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mc:AlternateContent xmlns:mc="http://schemas.openxmlformats.org/markup-compatibility/2006">
    <mc:Choice Requires="x15">
      <x15ac:absPath xmlns:x15ac="http://schemas.microsoft.com/office/spreadsheetml/2010/11/ac" url="O:\OoP\FLOOD-PLANNING\05_StateFloodPlanning\06_ProjectRanking\2023 Ranking Schema Briefings\04_For_Public\02_Workbooks\"/>
    </mc:Choice>
  </mc:AlternateContent>
  <xr:revisionPtr revIDLastSave="0" documentId="13_ncr:1_{86185F5A-1A40-4AEE-8FD3-E617B9DF7E01}" xr6:coauthVersionLast="47" xr6:coauthVersionMax="47" xr10:uidLastSave="{00000000-0000-0000-0000-000000000000}"/>
  <bookViews>
    <workbookView xWindow="20370" yWindow="-120" windowWidth="29040" windowHeight="15840" activeTab="3" xr2:uid="{00000000-000D-0000-FFFF-FFFF00000000}"/>
  </bookViews>
  <sheets>
    <sheet name="Read_Me" sheetId="13" r:id="rId1"/>
    <sheet name="FME_Input" sheetId="2" state="hidden" r:id="rId2"/>
    <sheet name="Ranking_Criteria" sheetId="21" r:id="rId3"/>
    <sheet name="FME_Ranking" sheetId="16" r:id="rId4"/>
    <sheet name="FME_Ranking_Option2" sheetId="23" state="hidden" r:id="rId5"/>
    <sheet name="Cost_Estimate_delete" sheetId="9" state="hidden"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7" i="21" l="1"/>
  <c r="I47" i="21"/>
  <c r="L28" i="21"/>
  <c r="N23" i="21"/>
  <c r="N21" i="21"/>
  <c r="N14" i="21"/>
  <c r="N13" i="21"/>
  <c r="N11" i="21"/>
  <c r="N6" i="21"/>
  <c r="K23" i="21"/>
  <c r="K21" i="21"/>
  <c r="K14" i="21"/>
  <c r="I28" i="21"/>
  <c r="K13" i="21"/>
  <c r="K11" i="21"/>
  <c r="K6" i="21"/>
  <c r="H11" i="21"/>
  <c r="H6" i="21"/>
  <c r="H13" i="21"/>
  <c r="B924" i="16" l="1"/>
  <c r="B925" i="16"/>
  <c r="B1204" i="16"/>
  <c r="B1205" i="16"/>
  <c r="B1206" i="16"/>
  <c r="B1436" i="16"/>
  <c r="B1437" i="16"/>
  <c r="B1470" i="16"/>
  <c r="B902" i="16"/>
  <c r="B903" i="16"/>
  <c r="B904" i="16"/>
  <c r="B926" i="16"/>
  <c r="B927" i="16"/>
  <c r="B928" i="16"/>
  <c r="B1015" i="16"/>
  <c r="B1016" i="16"/>
  <c r="B1017" i="16"/>
  <c r="B1018" i="16"/>
  <c r="B1019" i="16"/>
  <c r="B1020" i="16"/>
  <c r="B1402" i="16"/>
  <c r="B1550" i="16"/>
  <c r="B1551" i="16"/>
  <c r="B933" i="16"/>
  <c r="B847" i="16"/>
  <c r="B1110" i="16"/>
  <c r="B1111" i="16"/>
  <c r="B1112" i="16"/>
  <c r="B1021" i="16"/>
  <c r="B1022" i="16"/>
  <c r="B1471" i="16"/>
  <c r="B1207" i="16"/>
  <c r="B1427" i="16"/>
  <c r="B1428" i="16"/>
  <c r="B1403" i="16"/>
  <c r="B1404" i="16"/>
  <c r="B1023" i="16"/>
  <c r="B878" i="16"/>
  <c r="B2060" i="16"/>
  <c r="B1091" i="16"/>
  <c r="B1353" i="16"/>
  <c r="B455" i="16"/>
  <c r="B1069" i="16"/>
  <c r="B998" i="16"/>
  <c r="B1223" i="16"/>
  <c r="B1203" i="16"/>
  <c r="B456" i="16"/>
  <c r="B658" i="16"/>
  <c r="B133" i="16"/>
  <c r="B261" i="16"/>
  <c r="B470" i="16"/>
  <c r="B81" i="16"/>
  <c r="B543" i="16"/>
  <c r="B544" i="16"/>
  <c r="B520" i="16"/>
  <c r="B521" i="16"/>
  <c r="B1990" i="16"/>
  <c r="B1991" i="16"/>
  <c r="B879" i="16"/>
  <c r="B606" i="16"/>
  <c r="B525" i="16"/>
  <c r="B526" i="16"/>
  <c r="B907" i="16"/>
  <c r="B908" i="16"/>
  <c r="B497" i="16"/>
  <c r="B694" i="16"/>
  <c r="B1544" i="16"/>
  <c r="B2096" i="16"/>
  <c r="B735" i="16"/>
  <c r="B736" i="16"/>
  <c r="B392" i="16"/>
  <c r="B1443" i="16"/>
  <c r="B1047" i="16"/>
  <c r="B824" i="16"/>
  <c r="B1809" i="16"/>
  <c r="B1823" i="16"/>
  <c r="B1824" i="16"/>
  <c r="B440" i="16"/>
  <c r="B1989" i="16"/>
  <c r="B787" i="16"/>
  <c r="B899" i="16"/>
  <c r="B900" i="16"/>
  <c r="B1612" i="16"/>
  <c r="B1613" i="16"/>
  <c r="B393" i="16"/>
  <c r="B2063" i="16"/>
  <c r="B1048" i="16"/>
  <c r="B64" i="16"/>
  <c r="B65" i="16"/>
  <c r="B47" i="16"/>
  <c r="B48" i="16"/>
  <c r="B698" i="16"/>
  <c r="B607" i="16"/>
  <c r="B49" i="16"/>
  <c r="B687" i="16"/>
  <c r="B66" i="16"/>
  <c r="B175" i="16"/>
  <c r="B176" i="16"/>
  <c r="B848" i="16"/>
  <c r="B784" i="16"/>
  <c r="B397" i="16"/>
  <c r="B308" i="16"/>
  <c r="B177" i="16"/>
  <c r="B178" i="16"/>
  <c r="B513" i="16"/>
  <c r="B406" i="16"/>
  <c r="B955" i="16"/>
  <c r="B948" i="16"/>
  <c r="B179" i="16"/>
  <c r="B180" i="16"/>
  <c r="B181" i="16"/>
  <c r="B785" i="16"/>
  <c r="B1387" i="16"/>
  <c r="B336" i="16"/>
  <c r="B641" i="16"/>
  <c r="B1266" i="16"/>
  <c r="B1024" i="16"/>
  <c r="B833" i="16"/>
  <c r="B653" i="16"/>
  <c r="B384" i="16"/>
  <c r="B1497" i="16"/>
  <c r="B263" i="16"/>
  <c r="B264" i="16"/>
  <c r="B834" i="16"/>
  <c r="B278" i="16"/>
  <c r="B226" i="16"/>
  <c r="B1025" i="16"/>
  <c r="B688" i="16"/>
  <c r="B58" i="16"/>
  <c r="B144" i="16"/>
  <c r="B1451" i="16"/>
  <c r="B1452" i="16"/>
  <c r="B435" i="16"/>
  <c r="B835" i="16"/>
  <c r="B187" i="16"/>
  <c r="B934" i="16"/>
  <c r="B145" i="16"/>
  <c r="B1502" i="16"/>
  <c r="B1619" i="16"/>
  <c r="B1385" i="16"/>
  <c r="B1233" i="16"/>
  <c r="B169" i="16"/>
  <c r="B836" i="16"/>
  <c r="B837" i="16"/>
  <c r="B984" i="16"/>
  <c r="B1565" i="16"/>
  <c r="B758" i="16"/>
  <c r="B146" i="16"/>
  <c r="B1405" i="16"/>
  <c r="B2189" i="16"/>
  <c r="B170" i="16"/>
  <c r="B700" i="16"/>
  <c r="B701" i="16"/>
  <c r="B127" i="16"/>
  <c r="B981" i="16"/>
  <c r="B183" i="16"/>
  <c r="B184" i="16"/>
  <c r="B2161" i="16"/>
  <c r="B2069" i="16"/>
  <c r="B2156" i="16"/>
  <c r="B2084" i="16"/>
  <c r="B842" i="16"/>
  <c r="B210" i="16"/>
  <c r="B1994" i="16"/>
  <c r="B1079" i="16"/>
  <c r="B1453" i="16"/>
  <c r="B1454" i="16"/>
  <c r="B185" i="16"/>
  <c r="B186" i="16"/>
  <c r="B1457" i="16"/>
  <c r="B151" i="16"/>
  <c r="B283" i="16"/>
  <c r="B1464" i="16"/>
  <c r="B2177" i="16"/>
  <c r="B1388" i="16"/>
  <c r="B337" i="16"/>
  <c r="B642" i="16"/>
  <c r="B227" i="16"/>
  <c r="B1267" i="16"/>
  <c r="B1026" i="16"/>
  <c r="B689" i="16"/>
  <c r="B436" i="16"/>
  <c r="B188" i="16"/>
  <c r="B935" i="16"/>
  <c r="B1503" i="16"/>
  <c r="B1620" i="16"/>
  <c r="B1386" i="16"/>
  <c r="B1234" i="16"/>
  <c r="B171" i="16"/>
  <c r="B1566" i="16"/>
  <c r="B759" i="16"/>
  <c r="B1406" i="16"/>
  <c r="B1702" i="16"/>
  <c r="B1540" i="16"/>
  <c r="B2190" i="16"/>
  <c r="B1459" i="16"/>
  <c r="B859" i="16"/>
  <c r="B1043" i="16"/>
  <c r="B905" i="16"/>
  <c r="B1088" i="16"/>
  <c r="B1211" i="16"/>
  <c r="B419" i="16"/>
  <c r="B1780" i="16"/>
  <c r="B294" i="16"/>
  <c r="B59" i="16"/>
  <c r="B2191" i="16"/>
  <c r="B1932" i="16"/>
  <c r="B2192" i="16"/>
  <c r="B1339" i="16"/>
  <c r="B1071" i="16"/>
  <c r="B1649" i="16"/>
  <c r="B490" i="16"/>
  <c r="B1072" i="16"/>
  <c r="B491" i="16"/>
  <c r="B1983" i="16"/>
  <c r="B1604" i="16"/>
  <c r="B1218" i="16"/>
  <c r="B1073" i="16"/>
  <c r="B492" i="16"/>
  <c r="B469" i="16"/>
  <c r="B1212" i="16"/>
  <c r="B1800" i="16"/>
  <c r="B493" i="16"/>
  <c r="B1650" i="16"/>
  <c r="B1087" i="16"/>
  <c r="B992" i="16"/>
  <c r="B1074" i="16"/>
  <c r="B1772" i="16"/>
  <c r="B1532" i="16"/>
  <c r="B1070" i="16"/>
  <c r="B1002" i="16"/>
  <c r="B2085" i="16"/>
  <c r="B2193" i="16"/>
  <c r="B2108" i="16"/>
  <c r="B993" i="16"/>
  <c r="B1314" i="16"/>
  <c r="B1949" i="16"/>
  <c r="B881" i="16"/>
  <c r="B2178" i="16"/>
  <c r="B2194" i="16"/>
  <c r="B965" i="16"/>
  <c r="B822" i="16"/>
  <c r="B2008" i="16"/>
  <c r="B1996" i="16"/>
  <c r="B1553" i="16"/>
  <c r="B1868" i="16"/>
  <c r="B1210" i="16"/>
  <c r="B1476" i="16"/>
  <c r="B843" i="16"/>
  <c r="B1498" i="16"/>
  <c r="B1499" i="16"/>
  <c r="B1500" i="16"/>
  <c r="B1120" i="16"/>
  <c r="B1162" i="16"/>
  <c r="B791" i="16"/>
  <c r="B1884" i="16"/>
  <c r="B228" i="16"/>
  <c r="B225" i="16"/>
  <c r="B1163" i="16"/>
  <c r="B917" i="16"/>
  <c r="B1741" i="16"/>
  <c r="B918" i="16"/>
  <c r="B919" i="16"/>
  <c r="B1033" i="16"/>
  <c r="B966" i="16"/>
  <c r="B654" i="16"/>
  <c r="B1195" i="16"/>
  <c r="B407" i="16"/>
  <c r="B1507" i="16"/>
  <c r="B1508" i="16"/>
  <c r="B1585" i="16"/>
  <c r="B1586" i="16"/>
  <c r="B1467" i="16"/>
  <c r="B599" i="16"/>
  <c r="B600" i="16"/>
  <c r="B601" i="16"/>
  <c r="B602" i="16"/>
  <c r="B603" i="16"/>
  <c r="B604" i="16"/>
  <c r="B874" i="16"/>
  <c r="B875" i="16"/>
  <c r="B476" i="16"/>
  <c r="B1432" i="16"/>
  <c r="B623" i="16"/>
  <c r="B624" i="16"/>
  <c r="B625" i="16"/>
  <c r="B626" i="16"/>
  <c r="B1256" i="16"/>
  <c r="B1257" i="16"/>
  <c r="B119" i="16"/>
  <c r="B2065" i="16"/>
  <c r="B2195" i="16"/>
  <c r="B2196" i="16"/>
  <c r="B1736" i="16"/>
  <c r="B2078" i="16"/>
  <c r="B2197" i="16"/>
  <c r="B717" i="16"/>
  <c r="B246" i="16"/>
  <c r="B247" i="16"/>
  <c r="B37" i="16"/>
  <c r="B122" i="16"/>
  <c r="B2198" i="16"/>
  <c r="B2199" i="16"/>
  <c r="B2200" i="16"/>
  <c r="B51" i="16"/>
  <c r="B464" i="16"/>
  <c r="B465" i="16"/>
  <c r="B52" i="16"/>
  <c r="B53" i="16"/>
  <c r="B54" i="16"/>
  <c r="B1396" i="16"/>
  <c r="B1397" i="16"/>
  <c r="B38" i="16"/>
  <c r="B39" i="16"/>
  <c r="B40" i="16"/>
  <c r="B1324" i="16"/>
  <c r="B985" i="16"/>
  <c r="B1134" i="16"/>
  <c r="B1027" i="16"/>
  <c r="B2201" i="16"/>
  <c r="B662" i="16"/>
  <c r="B1469" i="16"/>
  <c r="B639" i="16"/>
  <c r="B394" i="16"/>
  <c r="B672" i="16"/>
  <c r="B649" i="16"/>
  <c r="B1826" i="16"/>
  <c r="B644" i="16"/>
  <c r="B193" i="16"/>
  <c r="B420" i="16"/>
  <c r="B2202" i="16"/>
  <c r="B1827" i="16"/>
  <c r="B194" i="16"/>
  <c r="B19" i="16"/>
  <c r="B1151" i="16"/>
  <c r="B195" i="16"/>
  <c r="B1152" i="16"/>
  <c r="B20" i="16"/>
  <c r="B196" i="16"/>
  <c r="B671" i="16"/>
  <c r="B197" i="16"/>
  <c r="B1408" i="16"/>
  <c r="B729" i="16"/>
  <c r="B1767" i="16"/>
  <c r="B730" i="16"/>
  <c r="B395" i="16"/>
  <c r="B21" i="16"/>
  <c r="B1748" i="16"/>
  <c r="B751" i="16"/>
  <c r="B645" i="16"/>
  <c r="B1768" i="16"/>
  <c r="B1749" i="16"/>
  <c r="B661" i="16"/>
  <c r="B198" i="16"/>
  <c r="B737" i="16"/>
  <c r="B650" i="16"/>
  <c r="B1904" i="16"/>
  <c r="B1878" i="16"/>
  <c r="B627" i="16"/>
  <c r="B646" i="16"/>
  <c r="B647" i="16"/>
  <c r="B22" i="16"/>
  <c r="B1769" i="16"/>
  <c r="B1169" i="16"/>
  <c r="B930" i="16"/>
  <c r="B673" i="16"/>
  <c r="B1170" i="16"/>
  <c r="B1171" i="16"/>
  <c r="B23" i="16"/>
  <c r="B738" i="16"/>
  <c r="B739" i="16"/>
  <c r="B2203" i="16"/>
  <c r="B1172" i="16"/>
  <c r="B355" i="16"/>
  <c r="B223" i="16"/>
  <c r="B428" i="16"/>
  <c r="B214" i="16"/>
  <c r="B463" i="16"/>
  <c r="B209" i="16"/>
  <c r="B18" i="16"/>
  <c r="B135" i="16"/>
  <c r="B117" i="16"/>
  <c r="B121" i="16"/>
  <c r="B50" i="16"/>
  <c r="B213" i="16"/>
  <c r="B1080" i="16"/>
  <c r="B152" i="16"/>
  <c r="B1417" i="16"/>
  <c r="B1008" i="16"/>
  <c r="B1126" i="16"/>
  <c r="B1583" i="16"/>
  <c r="B571" i="16"/>
  <c r="B190" i="16"/>
  <c r="B1131" i="16"/>
  <c r="B191" i="16"/>
  <c r="B128" i="16"/>
  <c r="B331" i="16"/>
  <c r="B1414" i="16"/>
  <c r="B202" i="16"/>
  <c r="B203" i="16"/>
  <c r="B204" i="16"/>
  <c r="B929" i="16"/>
  <c r="B1609" i="16"/>
  <c r="B2152" i="16"/>
  <c r="B1595" i="16"/>
  <c r="B1127" i="16"/>
  <c r="B1607" i="16"/>
  <c r="B1770" i="16"/>
  <c r="B334" i="16"/>
  <c r="B2062" i="16"/>
  <c r="B840" i="16"/>
  <c r="B2204" i="16"/>
  <c r="B752" i="16"/>
  <c r="B1173" i="16"/>
  <c r="B2205" i="16"/>
  <c r="B1597" i="16"/>
  <c r="B592" i="16"/>
  <c r="B134" i="16"/>
  <c r="B616" i="16"/>
  <c r="B2206" i="16"/>
  <c r="B916" i="16"/>
  <c r="B2207" i="16"/>
  <c r="B1398" i="16"/>
  <c r="B2099" i="16"/>
  <c r="B345" i="16"/>
  <c r="B681" i="16"/>
  <c r="B1413" i="16"/>
  <c r="B715" i="16"/>
  <c r="B1920" i="16"/>
  <c r="B628" i="16"/>
  <c r="B651" i="16"/>
  <c r="B731" i="16"/>
  <c r="B648" i="16"/>
  <c r="B281" i="16"/>
  <c r="B199" i="16"/>
  <c r="B1522" i="16"/>
  <c r="B1805" i="16"/>
  <c r="B466" i="16"/>
  <c r="B2208" i="16"/>
  <c r="B1215" i="16"/>
  <c r="B1819" i="16"/>
  <c r="B1656" i="16"/>
  <c r="B399" i="16"/>
  <c r="B1828" i="16"/>
  <c r="B1750" i="16"/>
  <c r="B1513" i="16"/>
  <c r="B972" i="16"/>
  <c r="B182" i="16"/>
  <c r="B1117" i="16"/>
  <c r="B1273" i="16"/>
  <c r="B1814" i="16"/>
  <c r="B1153" i="16"/>
  <c r="B1788" i="16"/>
  <c r="B1561" i="16"/>
  <c r="B740" i="16"/>
  <c r="B207" i="16"/>
  <c r="B1896" i="16"/>
  <c r="B718" i="16"/>
  <c r="B365" i="16"/>
  <c r="B821" i="16"/>
  <c r="B1373" i="16"/>
  <c r="B1802" i="16"/>
  <c r="B2209" i="16"/>
  <c r="B1845" i="16"/>
  <c r="B2210" i="16"/>
  <c r="B805" i="16"/>
  <c r="B442" i="16"/>
  <c r="B640" i="16"/>
  <c r="B1879" i="16"/>
  <c r="B1590" i="16"/>
  <c r="B825" i="16"/>
  <c r="B1673" i="16"/>
  <c r="B1371" i="16"/>
  <c r="B1564" i="16"/>
  <c r="B55" i="16"/>
  <c r="B24" i="16"/>
  <c r="B1409" i="16"/>
  <c r="B46" i="16"/>
  <c r="B1995" i="16"/>
  <c r="B1617" i="16"/>
  <c r="B1050" i="16"/>
  <c r="B976" i="16"/>
  <c r="B1332" i="16"/>
  <c r="B1531" i="16"/>
  <c r="B224" i="16"/>
  <c r="B26" i="16"/>
  <c r="B719" i="16"/>
  <c r="B552" i="16"/>
  <c r="B553" i="16"/>
  <c r="B554" i="16"/>
  <c r="B555" i="16"/>
  <c r="B2211" i="16"/>
  <c r="B1625" i="16"/>
  <c r="B574" i="16"/>
  <c r="B575" i="16"/>
  <c r="B576" i="16"/>
  <c r="B950" i="16"/>
  <c r="B75" i="16"/>
  <c r="B1370" i="16"/>
  <c r="B2212" i="16"/>
  <c r="B1379" i="16"/>
  <c r="B211" i="16"/>
  <c r="B522" i="16"/>
  <c r="B82" i="16"/>
  <c r="B733" i="16"/>
  <c r="B212" i="16"/>
  <c r="B168" i="16"/>
  <c r="B439" i="16"/>
  <c r="B208" i="16"/>
  <c r="B215" i="16"/>
  <c r="B2213" i="16"/>
  <c r="B2214" i="16"/>
  <c r="B2215" i="16"/>
  <c r="B1902" i="16"/>
  <c r="B951" i="16"/>
  <c r="B1161" i="16"/>
  <c r="B1591" i="16"/>
  <c r="B28" i="16"/>
  <c r="B1562" i="16"/>
  <c r="B238" i="16"/>
  <c r="B239" i="16"/>
  <c r="B240" i="16"/>
  <c r="B584" i="16"/>
  <c r="B585" i="16"/>
  <c r="B437" i="16"/>
  <c r="B83" i="16"/>
  <c r="B29" i="16"/>
  <c r="B73" i="16"/>
  <c r="B586" i="16"/>
  <c r="B595" i="16"/>
  <c r="B596" i="16"/>
  <c r="B467" i="16"/>
  <c r="B71" i="16"/>
  <c r="B45" i="16"/>
  <c r="B763" i="16"/>
  <c r="B764" i="16"/>
  <c r="B421" i="16"/>
  <c r="B633" i="16"/>
  <c r="B557" i="16"/>
  <c r="B338" i="16"/>
  <c r="B1201" i="16"/>
  <c r="B56" i="16"/>
  <c r="B16" i="16"/>
  <c r="B25" i="16"/>
  <c r="B429" i="16"/>
  <c r="B33" i="16"/>
  <c r="B1181" i="16"/>
  <c r="B1182" i="16"/>
  <c r="B1183" i="16"/>
  <c r="B36" i="16"/>
  <c r="B1491" i="16"/>
  <c r="B1133" i="16"/>
  <c r="B234" i="16"/>
  <c r="B471" i="16"/>
  <c r="B302" i="16"/>
  <c r="B303" i="16"/>
  <c r="B1628" i="16"/>
  <c r="B148" i="16"/>
  <c r="B1039" i="16"/>
  <c r="B72" i="16"/>
  <c r="B241" i="16"/>
  <c r="B242" i="16"/>
  <c r="B243" i="16"/>
  <c r="B1514" i="16"/>
  <c r="B1442" i="16"/>
  <c r="B472" i="16"/>
  <c r="B304" i="16"/>
  <c r="B753" i="16"/>
  <c r="B2216" i="16"/>
  <c r="B156" i="16"/>
  <c r="B157" i="16"/>
  <c r="B248" i="16"/>
  <c r="B1771" i="16"/>
  <c r="B123" i="16"/>
  <c r="B2217" i="16"/>
  <c r="B468" i="16"/>
  <c r="B1429" i="16"/>
  <c r="B249" i="16"/>
  <c r="B250" i="16"/>
  <c r="B1430" i="16"/>
  <c r="B2175" i="16"/>
  <c r="B1051" i="16"/>
  <c r="B1096" i="16"/>
  <c r="B949" i="16"/>
  <c r="B312" i="16"/>
  <c r="B1482" i="16"/>
  <c r="B313" i="16"/>
  <c r="B422" i="16"/>
  <c r="B314" i="16"/>
  <c r="B315" i="16"/>
  <c r="B316" i="16"/>
  <c r="B7" i="16"/>
  <c r="B8" i="16"/>
  <c r="B124" i="16"/>
  <c r="B1779" i="16"/>
  <c r="B423" i="16"/>
  <c r="B1277" i="16"/>
  <c r="B1818" i="16"/>
  <c r="B1049" i="16"/>
  <c r="B562" i="16"/>
  <c r="B1431" i="16"/>
  <c r="B741" i="16"/>
  <c r="B931" i="16"/>
  <c r="B396" i="16"/>
  <c r="B577" i="16"/>
  <c r="B578" i="16"/>
  <c r="B990" i="16"/>
  <c r="B1714" i="16"/>
  <c r="B1245" i="16"/>
  <c r="B2218" i="16"/>
  <c r="B352" i="16"/>
  <c r="B353" i="16"/>
  <c r="B354" i="16"/>
  <c r="B136" i="16"/>
  <c r="B125" i="16"/>
  <c r="B1382" i="16"/>
  <c r="B1633" i="16"/>
  <c r="B317" i="16"/>
  <c r="B2071" i="16"/>
  <c r="B855" i="16"/>
  <c r="B856" i="16"/>
  <c r="B857" i="16"/>
  <c r="B473" i="16"/>
  <c r="B797" i="16"/>
  <c r="B798" i="16"/>
  <c r="B799" i="16"/>
  <c r="B1174" i="16"/>
  <c r="B1175" i="16"/>
  <c r="B1176" i="16"/>
  <c r="B1806" i="16"/>
  <c r="B1807" i="16"/>
  <c r="B1034" i="16"/>
  <c r="B1035" i="16"/>
  <c r="B1036" i="16"/>
  <c r="B2080" i="16"/>
  <c r="B809" i="16"/>
  <c r="B810" i="16"/>
  <c r="B811" i="16"/>
  <c r="B1358" i="16"/>
  <c r="B1359" i="16"/>
  <c r="B87" i="16"/>
  <c r="B88" i="16"/>
  <c r="B514" i="16"/>
  <c r="B515" i="16"/>
  <c r="B516" i="16"/>
  <c r="B2009" i="16"/>
  <c r="B2010" i="16"/>
  <c r="B1003" i="16"/>
  <c r="B1004" i="16"/>
  <c r="B1005" i="16"/>
  <c r="B431" i="16"/>
  <c r="B432" i="16"/>
  <c r="B433" i="16"/>
  <c r="B1155" i="16"/>
  <c r="B1156" i="16"/>
  <c r="B1157" i="16"/>
  <c r="B683" i="16"/>
  <c r="B684" i="16"/>
  <c r="B685" i="16"/>
  <c r="B780" i="16"/>
  <c r="B781" i="16"/>
  <c r="B782" i="16"/>
  <c r="B706" i="16"/>
  <c r="B707" i="16"/>
  <c r="B708" i="16"/>
  <c r="B1041" i="16"/>
  <c r="B342" i="16"/>
  <c r="B343" i="16"/>
  <c r="B774" i="16"/>
  <c r="B775" i="16"/>
  <c r="B776" i="16"/>
  <c r="B911" i="16"/>
  <c r="B912" i="16"/>
  <c r="B388" i="16"/>
  <c r="B389" i="16"/>
  <c r="B390" i="16"/>
  <c r="B546" i="16"/>
  <c r="B547" i="16"/>
  <c r="B1752" i="16"/>
  <c r="B1753" i="16"/>
  <c r="B563" i="16"/>
  <c r="B564" i="16"/>
  <c r="B565" i="16"/>
  <c r="B566" i="16"/>
  <c r="B1638" i="16"/>
  <c r="B1639" i="16"/>
  <c r="B1060" i="16"/>
  <c r="B1061" i="16"/>
  <c r="B1062" i="16"/>
  <c r="B722" i="16"/>
  <c r="B723" i="16"/>
  <c r="B724" i="16"/>
  <c r="B677" i="16"/>
  <c r="B678" i="16"/>
  <c r="B140" i="16"/>
  <c r="B1916" i="16"/>
  <c r="B1715" i="16"/>
  <c r="B1716" i="16"/>
  <c r="B1717" i="16"/>
  <c r="B886" i="16"/>
  <c r="B887" i="16"/>
  <c r="B888" i="16"/>
  <c r="B1011" i="16"/>
  <c r="B1012" i="16"/>
  <c r="B1013" i="16"/>
  <c r="B1785" i="16"/>
  <c r="B104" i="16"/>
  <c r="B1699" i="16"/>
  <c r="B1308" i="16"/>
  <c r="B1247" i="16"/>
  <c r="B1870" i="16"/>
  <c r="B2219" i="16"/>
  <c r="B2220" i="16"/>
  <c r="B850" i="16"/>
  <c r="B1556" i="16"/>
  <c r="B1743" i="16"/>
  <c r="B2143" i="16"/>
  <c r="B1812" i="16"/>
  <c r="B1378" i="16"/>
  <c r="B1912" i="16"/>
  <c r="B1727" i="16"/>
  <c r="B2077" i="16"/>
  <c r="B1260" i="16"/>
  <c r="B1997" i="16"/>
  <c r="B1940" i="16"/>
  <c r="B1512" i="16"/>
  <c r="B1873" i="16"/>
  <c r="B2070" i="16"/>
  <c r="B2125" i="16"/>
  <c r="B1184" i="16"/>
  <c r="B1765" i="16"/>
  <c r="B1722" i="16"/>
  <c r="B1859" i="16"/>
  <c r="B1786" i="16"/>
  <c r="B1921" i="16"/>
  <c r="B2221" i="16"/>
  <c r="B2073" i="16"/>
  <c r="B1344" i="16"/>
  <c r="B2061" i="16"/>
  <c r="B1917" i="16"/>
  <c r="B1918" i="16"/>
  <c r="B548" i="16"/>
  <c r="B725" i="16"/>
  <c r="B1808" i="16"/>
  <c r="B812" i="16"/>
  <c r="B813" i="16"/>
  <c r="B889" i="16"/>
  <c r="B105" i="16"/>
  <c r="B1841" i="16"/>
  <c r="B1842" i="16"/>
  <c r="B1191" i="16"/>
  <c r="B1192" i="16"/>
  <c r="B34" i="16"/>
  <c r="B35" i="16"/>
  <c r="B391" i="16"/>
  <c r="B426" i="16"/>
  <c r="B913" i="16"/>
  <c r="B474" i="16"/>
  <c r="B1042" i="16"/>
  <c r="B1360" i="16"/>
  <c r="B1006" i="16"/>
  <c r="B1007" i="16"/>
  <c r="B800" i="16"/>
  <c r="B801" i="16"/>
  <c r="B802" i="16"/>
  <c r="B803" i="16"/>
  <c r="B89" i="16"/>
  <c r="B90" i="16"/>
  <c r="B91" i="16"/>
  <c r="B2011" i="16"/>
  <c r="B686" i="16"/>
  <c r="B858" i="16"/>
  <c r="B1640" i="16"/>
  <c r="B517" i="16"/>
  <c r="B518" i="16"/>
  <c r="B519" i="16"/>
  <c r="B434" i="16"/>
  <c r="B344" i="16"/>
  <c r="B1037" i="16"/>
  <c r="B1038" i="16"/>
  <c r="B1063" i="16"/>
  <c r="B1718" i="16"/>
  <c r="B1177" i="16"/>
  <c r="B1178" i="16"/>
  <c r="B679" i="16"/>
  <c r="B2081" i="16"/>
  <c r="B141" i="16"/>
  <c r="B142" i="16"/>
  <c r="B783" i="16"/>
  <c r="B709" i="16"/>
  <c r="B1158" i="16"/>
  <c r="B1159" i="16"/>
  <c r="B1754" i="16"/>
  <c r="B1014" i="16"/>
  <c r="B567" i="16"/>
  <c r="B568" i="16"/>
  <c r="B569" i="16"/>
  <c r="B570" i="16"/>
  <c r="B777" i="16"/>
  <c r="B1248" i="16"/>
  <c r="B531" i="16"/>
  <c r="B1521" i="16"/>
  <c r="B1185" i="16"/>
  <c r="B1186" i="16"/>
  <c r="B1187" i="16"/>
  <c r="B1188" i="16"/>
  <c r="B1998" i="16"/>
  <c r="B1999" i="16"/>
  <c r="B1193" i="16"/>
  <c r="B795" i="16"/>
  <c r="B2222" i="16"/>
  <c r="B2223" i="16"/>
  <c r="B2224" i="16"/>
  <c r="B1309" i="16"/>
  <c r="B1310" i="16"/>
  <c r="B1311" i="16"/>
  <c r="B1312" i="16"/>
  <c r="B1313" i="16"/>
  <c r="B1730" i="16"/>
  <c r="B1833" i="16"/>
  <c r="B851" i="16"/>
  <c r="B2225" i="16"/>
  <c r="B1787" i="16"/>
  <c r="B1941" i="16"/>
  <c r="B1874" i="16"/>
  <c r="B1875" i="16"/>
  <c r="B1813" i="16"/>
  <c r="B143" i="16"/>
  <c r="B1010" i="16"/>
  <c r="B1601" i="16"/>
  <c r="B1559" i="16"/>
  <c r="B2226" i="16"/>
  <c r="B1496" i="16"/>
  <c r="B1509" i="16"/>
  <c r="B2105" i="16"/>
  <c r="B2104" i="16"/>
  <c r="B1933" i="16"/>
  <c r="B201" i="16"/>
  <c r="B1816" i="16"/>
  <c r="B1537" i="16"/>
  <c r="B2227" i="16"/>
  <c r="B2141" i="16"/>
  <c r="B2142" i="16"/>
  <c r="B2012" i="16"/>
  <c r="B84" i="16"/>
  <c r="B699" i="16"/>
  <c r="B816" i="16"/>
  <c r="B1887" i="16"/>
  <c r="B1888" i="16"/>
  <c r="B1146" i="16"/>
  <c r="B682" i="16"/>
  <c r="B712" i="16"/>
  <c r="B1525" i="16"/>
  <c r="B591" i="16"/>
  <c r="B2139" i="16"/>
  <c r="B817" i="16"/>
  <c r="B2110" i="16"/>
  <c r="B2024" i="16"/>
  <c r="B1518" i="16"/>
  <c r="B771" i="16"/>
  <c r="B772" i="16"/>
  <c r="B773" i="16"/>
  <c r="B457" i="16"/>
  <c r="B458" i="16"/>
  <c r="B885" i="16"/>
  <c r="B632" i="16"/>
  <c r="B1268" i="16"/>
  <c r="B613" i="16"/>
  <c r="B593" i="16"/>
  <c r="B1669" i="16"/>
  <c r="B1391" i="16"/>
  <c r="B1670" i="16"/>
  <c r="B1044" i="16"/>
  <c r="B666" i="16"/>
  <c r="B1728" i="16"/>
  <c r="B1059" i="16"/>
  <c r="B1165" i="16"/>
  <c r="B1198" i="16"/>
  <c r="B1407" i="16"/>
  <c r="B1113" i="16"/>
  <c r="B479" i="16"/>
  <c r="B1570" i="16"/>
  <c r="B1571" i="16"/>
  <c r="B1572" i="16"/>
  <c r="B2163" i="16"/>
  <c r="B2028" i="16"/>
  <c r="B690" i="16"/>
  <c r="B1092" i="16"/>
  <c r="B667" i="16"/>
  <c r="B1297" i="16"/>
  <c r="B1102" i="16"/>
  <c r="B1815" i="16"/>
  <c r="B1045" i="16"/>
  <c r="B1046" i="16"/>
  <c r="B832" i="16"/>
  <c r="B1746" i="16"/>
  <c r="B1756" i="16"/>
  <c r="B78" i="16"/>
  <c r="B1526" i="16"/>
  <c r="B968" i="16"/>
  <c r="B2228" i="16"/>
  <c r="B827" i="16"/>
  <c r="B1278" i="16"/>
  <c r="B1361" i="16"/>
  <c r="B961" i="16"/>
  <c r="B1362" i="16"/>
  <c r="B1803" i="16"/>
  <c r="B2229" i="16"/>
  <c r="B2230" i="16"/>
  <c r="B2231" i="16"/>
  <c r="B906" i="16"/>
  <c r="B865" i="16"/>
  <c r="B1589" i="16"/>
  <c r="B818" i="16"/>
  <c r="B819" i="16"/>
  <c r="B964" i="16"/>
  <c r="B820" i="16"/>
  <c r="B268" i="16"/>
  <c r="B1825" i="16"/>
  <c r="B1704" i="16"/>
  <c r="B2147" i="16"/>
  <c r="B594" i="16"/>
  <c r="B1505" i="16"/>
  <c r="B1579" i="16"/>
  <c r="B1298" i="16"/>
  <c r="B1757" i="16"/>
  <c r="B1758" i="16"/>
  <c r="B668" i="16"/>
  <c r="B305" i="16"/>
  <c r="B1747" i="16"/>
  <c r="B581" i="16"/>
  <c r="B590" i="16"/>
  <c r="B1438" i="16"/>
  <c r="B1830" i="16"/>
  <c r="B1790" i="16"/>
  <c r="B1630" i="16"/>
  <c r="B1608" i="16"/>
  <c r="B1272" i="16"/>
  <c r="B1463" i="16"/>
  <c r="B2232" i="16"/>
  <c r="B1599" i="16"/>
  <c r="B2233" i="16"/>
  <c r="B1632" i="16"/>
  <c r="B1472" i="16"/>
  <c r="B1993" i="16"/>
  <c r="B2172" i="16"/>
  <c r="B2234" i="16"/>
  <c r="B2109" i="16"/>
  <c r="B2235" i="16"/>
  <c r="B909" i="16"/>
  <c r="B147" i="16"/>
  <c r="B96" i="16"/>
  <c r="B695" i="16"/>
  <c r="B1221" i="16"/>
  <c r="B608" i="16"/>
  <c r="B1098" i="16"/>
  <c r="B629" i="16"/>
  <c r="B484" i="16"/>
  <c r="B945" i="16"/>
  <c r="B1076" i="16"/>
  <c r="B1355" i="16"/>
  <c r="B498" i="16"/>
  <c r="B503" i="16"/>
  <c r="B129" i="16"/>
  <c r="B1099" i="16"/>
  <c r="B485" i="16"/>
  <c r="B946" i="16"/>
  <c r="B696" i="16"/>
  <c r="B609" i="16"/>
  <c r="B504" i="16"/>
  <c r="B325" i="16"/>
  <c r="B130" i="16"/>
  <c r="B97" i="16"/>
  <c r="B867" i="16"/>
  <c r="B1100" i="16"/>
  <c r="B630" i="16"/>
  <c r="B361" i="16"/>
  <c r="B486" i="16"/>
  <c r="B1077" i="16"/>
  <c r="B499" i="16"/>
  <c r="B697" i="16"/>
  <c r="B910" i="16"/>
  <c r="B991" i="16"/>
  <c r="B326" i="16"/>
  <c r="B131" i="16"/>
  <c r="B98" i="16"/>
  <c r="B631" i="16"/>
  <c r="B362" i="16"/>
  <c r="B500" i="16"/>
  <c r="B614" i="16"/>
  <c r="B1230" i="16"/>
  <c r="B1950" i="16"/>
  <c r="B1960" i="16"/>
  <c r="B1651" i="16"/>
  <c r="B1239" i="16"/>
  <c r="B149" i="16"/>
  <c r="B274" i="16"/>
  <c r="B868" i="16"/>
  <c r="B869" i="16"/>
  <c r="B870" i="16"/>
  <c r="B100" i="16"/>
  <c r="B967" i="16"/>
  <c r="B610" i="16"/>
  <c r="B1240" i="16"/>
  <c r="B871" i="16"/>
  <c r="B32" i="16"/>
  <c r="B174" i="16"/>
  <c r="B702" i="16"/>
  <c r="B1028" i="16"/>
  <c r="B2136" i="16"/>
  <c r="B505" i="16"/>
  <c r="B99" i="16"/>
  <c r="B852" i="16"/>
  <c r="B327" i="16"/>
  <c r="B1142" i="16"/>
  <c r="B363" i="16"/>
  <c r="B1376" i="16"/>
  <c r="B1093" i="16"/>
  <c r="B509" i="16"/>
  <c r="B872" i="16"/>
  <c r="B1418" i="16"/>
  <c r="B703" i="16"/>
  <c r="B704" i="16"/>
  <c r="B1029" i="16"/>
  <c r="B1030" i="16"/>
  <c r="B2137" i="16"/>
  <c r="B2138" i="16"/>
  <c r="B1094" i="16"/>
  <c r="B1095" i="16"/>
  <c r="B1326" i="16"/>
  <c r="B1327" i="16"/>
  <c r="B1328" i="16"/>
  <c r="B938" i="16"/>
  <c r="B939" i="16"/>
  <c r="B940" i="16"/>
  <c r="B1356" i="16"/>
  <c r="B1143" i="16"/>
  <c r="B1144" i="16"/>
  <c r="B1078" i="16"/>
  <c r="B853" i="16"/>
  <c r="B854" i="16"/>
  <c r="B510" i="16"/>
  <c r="B511" i="16"/>
  <c r="B172" i="16"/>
  <c r="B173" i="16"/>
  <c r="B1419" i="16"/>
  <c r="B1420" i="16"/>
  <c r="B615" i="16"/>
  <c r="B2236" i="16"/>
  <c r="B1101" i="16"/>
  <c r="B150" i="16"/>
  <c r="B275" i="16"/>
  <c r="B1602" i="16"/>
  <c r="B1661" i="16"/>
  <c r="B1871" i="16"/>
  <c r="B1662" i="16"/>
  <c r="B2151" i="16"/>
  <c r="B2237" i="16"/>
  <c r="B306" i="16"/>
  <c r="B2238" i="16"/>
  <c r="B1528" i="16"/>
  <c r="B2239" i="16"/>
  <c r="B2086" i="16"/>
  <c r="B2240" i="16"/>
  <c r="B2007" i="16"/>
  <c r="B1733" i="16"/>
  <c r="B1766" i="16"/>
  <c r="B2002" i="16"/>
  <c r="B2169" i="16"/>
  <c r="B1903" i="16"/>
  <c r="B1760" i="16"/>
  <c r="B1737" i="16"/>
  <c r="B1677" i="16"/>
  <c r="B2119" i="16"/>
  <c r="B2148" i="16"/>
  <c r="B2241" i="16"/>
  <c r="B2149" i="16"/>
  <c r="B2067" i="16"/>
  <c r="B1957" i="16"/>
  <c r="B2122" i="16"/>
  <c r="B1434" i="16"/>
  <c r="B2133" i="16"/>
  <c r="B2242" i="16"/>
  <c r="B1792" i="16"/>
  <c r="B2093" i="16"/>
  <c r="B1735" i="16"/>
  <c r="B1224" i="16"/>
  <c r="B1910" i="16"/>
  <c r="B1911" i="16"/>
  <c r="B2243" i="16"/>
  <c r="B2244" i="16"/>
  <c r="B2180" i="16"/>
  <c r="B2245" i="16"/>
  <c r="B2246" i="16"/>
  <c r="B2247" i="16"/>
  <c r="B1799" i="16"/>
  <c r="B2248" i="16"/>
  <c r="B2249" i="16"/>
  <c r="B1685" i="16"/>
  <c r="B1289" i="16"/>
  <c r="B1671" i="16"/>
  <c r="B2250" i="16"/>
  <c r="B2251" i="16"/>
  <c r="B2252" i="16"/>
  <c r="B2146" i="16"/>
  <c r="B2097" i="16"/>
  <c r="B2157" i="16"/>
  <c r="B1288" i="16"/>
  <c r="B636" i="16"/>
  <c r="B1797" i="16"/>
  <c r="B1675" i="16"/>
  <c r="B1939" i="16"/>
  <c r="B1104" i="16"/>
  <c r="B2127" i="16"/>
  <c r="B1517" i="16"/>
  <c r="B1287" i="16"/>
  <c r="B1209" i="16"/>
  <c r="B120" i="16"/>
  <c r="B1336" i="16"/>
  <c r="B1380" i="16"/>
  <c r="B2089" i="16"/>
  <c r="B408" i="16"/>
  <c r="B189" i="16"/>
  <c r="B1759" i="16"/>
  <c r="B1089" i="16"/>
  <c r="B979" i="16"/>
  <c r="B980" i="16"/>
  <c r="B1468" i="16"/>
  <c r="B1415" i="16"/>
  <c r="B1944" i="16"/>
  <c r="B1461" i="16"/>
  <c r="B1462" i="16"/>
  <c r="B2253" i="16"/>
  <c r="B1031" i="16"/>
  <c r="B480" i="16"/>
  <c r="B481" i="16"/>
  <c r="B482" i="16"/>
  <c r="B483" i="16"/>
  <c r="B507" i="16"/>
  <c r="B508" i="16"/>
  <c r="B2254" i="16"/>
  <c r="B2255" i="16"/>
  <c r="B1618" i="16"/>
  <c r="B1421" i="16"/>
  <c r="B1516" i="16"/>
  <c r="B1249" i="16"/>
  <c r="B1250" i="16"/>
  <c r="B372" i="16"/>
  <c r="B373" i="16"/>
  <c r="B1930" i="16"/>
  <c r="B1389" i="16"/>
  <c r="B746" i="16"/>
  <c r="B438" i="16"/>
  <c r="B1889" i="16"/>
  <c r="B307" i="16"/>
  <c r="B1369" i="16"/>
  <c r="B2256" i="16"/>
  <c r="B915" i="16"/>
  <c r="B2257" i="16"/>
  <c r="B2258" i="16"/>
  <c r="B2158" i="16"/>
  <c r="B637" i="16"/>
  <c r="B2128" i="16"/>
  <c r="B2259" i="16"/>
  <c r="B2260" i="16"/>
  <c r="B2261" i="16"/>
  <c r="B2134" i="16"/>
  <c r="B728" i="16"/>
  <c r="B2170" i="16"/>
  <c r="B880" i="16"/>
  <c r="B1466" i="16"/>
  <c r="B1843" i="16"/>
  <c r="B2262" i="16"/>
  <c r="B86" i="16"/>
  <c r="B2083" i="16"/>
  <c r="B1719" i="16"/>
  <c r="B2263" i="16"/>
  <c r="B1458" i="16"/>
  <c r="B866" i="16"/>
  <c r="B2076" i="16"/>
  <c r="B2123" i="16"/>
  <c r="B405" i="16"/>
  <c r="B864" i="16"/>
  <c r="B1653" i="16"/>
  <c r="B1164" i="16"/>
  <c r="B742" i="16"/>
  <c r="B1290" i="16"/>
  <c r="B778" i="16"/>
  <c r="B744" i="16"/>
  <c r="B897" i="16"/>
  <c r="B2264" i="16"/>
  <c r="B2265" i="16"/>
  <c r="B158" i="16"/>
  <c r="B159" i="16"/>
  <c r="B1942" i="16"/>
  <c r="B297" i="16"/>
  <c r="B841" i="16"/>
  <c r="B1858" i="16"/>
  <c r="B638" i="16"/>
  <c r="B2132" i="16"/>
  <c r="B1598" i="16"/>
  <c r="B1798" i="16"/>
  <c r="B1882" i="16"/>
  <c r="B424" i="16"/>
  <c r="B425" i="16"/>
  <c r="B9" i="16"/>
  <c r="B1052" i="16"/>
  <c r="B2162" i="16"/>
  <c r="B2082" i="16"/>
  <c r="B2150" i="16"/>
  <c r="B2094" i="16"/>
  <c r="B1837" i="16"/>
  <c r="B256" i="16"/>
  <c r="B1331" i="16"/>
  <c r="B1660" i="16"/>
  <c r="B364" i="16"/>
  <c r="B954" i="16"/>
  <c r="B2013" i="16"/>
  <c r="B2266" i="16"/>
  <c r="B1755" i="16"/>
  <c r="B558" i="16"/>
  <c r="B448" i="16"/>
  <c r="B860" i="16"/>
  <c r="B1854" i="16"/>
  <c r="B137" i="16"/>
  <c r="B192" i="16"/>
  <c r="B561" i="16"/>
  <c r="B743" i="16"/>
  <c r="B814" i="16"/>
  <c r="B815" i="16"/>
  <c r="B2267" i="16"/>
  <c r="B2120" i="16"/>
  <c r="B914" i="16"/>
  <c r="B346" i="16"/>
  <c r="B443" i="16"/>
  <c r="B444" i="16"/>
  <c r="B260" i="16"/>
  <c r="B445" i="16"/>
  <c r="B446" i="16"/>
  <c r="B293" i="16"/>
  <c r="B1674" i="16"/>
  <c r="B1682" i="16"/>
  <c r="B1683" i="16"/>
  <c r="B2126" i="16"/>
  <c r="B2268" i="16"/>
  <c r="B1964" i="16"/>
  <c r="B792" i="16"/>
  <c r="B793" i="16"/>
  <c r="B1547" i="16"/>
  <c r="B2269" i="16"/>
  <c r="B1686" i="16"/>
  <c r="B1687" i="16"/>
  <c r="B1688" i="16"/>
  <c r="B2270" i="16"/>
  <c r="B2102" i="16"/>
  <c r="B2271" i="16"/>
  <c r="B2272" i="16"/>
  <c r="B1655" i="16"/>
  <c r="B732" i="16"/>
  <c r="B1678" i="16"/>
  <c r="B973" i="16"/>
  <c r="B974" i="16"/>
  <c r="B1622" i="16"/>
  <c r="B1084" i="16"/>
  <c r="B2273" i="16"/>
  <c r="B1196" i="16"/>
  <c r="B2087" i="16"/>
  <c r="B1533" i="16"/>
  <c r="B2274" i="16"/>
  <c r="B1885" i="16"/>
  <c r="B2275" i="16"/>
  <c r="B1483" i="16"/>
  <c r="B1914" i="16"/>
  <c r="B292" i="16"/>
  <c r="B1448" i="16"/>
  <c r="B2276" i="16"/>
  <c r="B2277" i="16"/>
  <c r="B1689" i="16"/>
  <c r="B2278" i="16"/>
  <c r="B1335" i="16"/>
  <c r="B534" i="16"/>
  <c r="B535" i="16"/>
  <c r="B536" i="16"/>
  <c r="B537" i="16"/>
  <c r="B538" i="16"/>
  <c r="B539" i="16"/>
  <c r="B1943" i="16"/>
  <c r="B1333" i="16"/>
  <c r="B409" i="16"/>
  <c r="B410" i="16"/>
  <c r="B411" i="16"/>
  <c r="B412" i="16"/>
  <c r="B413" i="16"/>
  <c r="B414" i="16"/>
  <c r="B415" i="16"/>
  <c r="B416" i="16"/>
  <c r="B417" i="16"/>
  <c r="B418" i="16"/>
  <c r="B877" i="16"/>
  <c r="B807" i="16"/>
  <c r="B1690" i="16"/>
  <c r="B1652" i="16"/>
  <c r="B2154" i="16"/>
  <c r="B1691" i="16"/>
  <c r="B2003" i="16"/>
  <c r="B1658" i="16"/>
  <c r="B2279" i="16"/>
  <c r="B2280" i="16"/>
  <c r="B1927" i="16"/>
  <c r="B1684" i="16"/>
  <c r="B2281" i="16"/>
  <c r="B1692" i="16"/>
  <c r="B1820" i="16"/>
  <c r="B2282" i="16"/>
  <c r="B2283" i="16"/>
  <c r="B164" i="16"/>
  <c r="B165" i="16"/>
  <c r="B166" i="16"/>
  <c r="B167" i="16"/>
  <c r="B401" i="16"/>
  <c r="B402" i="16"/>
  <c r="B403" i="16"/>
  <c r="B2072" i="16"/>
  <c r="B2284" i="16"/>
  <c r="B1913" i="16"/>
  <c r="B222" i="16"/>
  <c r="B30" i="16"/>
  <c r="B101" i="16"/>
  <c r="B102" i="16"/>
  <c r="B103" i="16"/>
  <c r="B114" i="16"/>
  <c r="B115" i="16"/>
  <c r="B2066" i="16"/>
  <c r="B2018" i="16"/>
  <c r="B356" i="16"/>
  <c r="B116" i="16"/>
  <c r="B107" i="16"/>
  <c r="B108" i="16"/>
  <c r="B1626" i="16"/>
  <c r="B109" i="16"/>
  <c r="B251" i="16"/>
  <c r="B252" i="16"/>
  <c r="B253" i="16"/>
  <c r="B2285" i="16"/>
  <c r="B254" i="16"/>
  <c r="B255" i="16"/>
  <c r="B1762" i="16"/>
  <c r="B1763" i="16"/>
  <c r="B1764" i="16"/>
  <c r="B447" i="16"/>
  <c r="B540" i="16"/>
  <c r="B541" i="16"/>
  <c r="B882" i="16"/>
  <c r="B978" i="16"/>
  <c r="B1693" i="16"/>
  <c r="B1694" i="16"/>
  <c r="B404" i="16"/>
  <c r="B1616" i="16"/>
  <c r="B340" i="16"/>
  <c r="B341" i="16"/>
  <c r="B2286" i="16"/>
  <c r="B2287" i="16"/>
  <c r="B1919" i="16"/>
  <c r="B333" i="16"/>
  <c r="B1848" i="16"/>
  <c r="B2288" i="16"/>
  <c r="B2289" i="16"/>
  <c r="B2290" i="16"/>
  <c r="B2091" i="16"/>
  <c r="B2121" i="16"/>
  <c r="B1664" i="16"/>
  <c r="B1969" i="16"/>
  <c r="B2032" i="16"/>
  <c r="B2159" i="16"/>
  <c r="B1713" i="16"/>
  <c r="B1343" i="16"/>
  <c r="B2038" i="16"/>
  <c r="B1970" i="16"/>
  <c r="B1354" i="16"/>
  <c r="B2039" i="16"/>
  <c r="B1706" i="16"/>
  <c r="B1672" i="16"/>
  <c r="B1554" i="16"/>
  <c r="B1695" i="16"/>
  <c r="B1374" i="16"/>
  <c r="B1631" i="16"/>
  <c r="B1372" i="16"/>
  <c r="B1665" i="16"/>
  <c r="B1666" i="16"/>
  <c r="B1635" i="16"/>
  <c r="B1895" i="16"/>
  <c r="B1307" i="16"/>
  <c r="B873" i="16"/>
  <c r="B1936" i="16"/>
  <c r="B1225" i="16"/>
  <c r="B1624" i="16"/>
  <c r="B1775" i="16"/>
  <c r="B1549" i="16"/>
  <c r="B986" i="16"/>
  <c r="B956" i="16"/>
  <c r="B1621" i="16"/>
  <c r="B1776" i="16"/>
  <c r="B1860" i="16"/>
  <c r="B987" i="16"/>
  <c r="B988" i="16"/>
  <c r="B989" i="16"/>
  <c r="B957" i="16"/>
  <c r="B958" i="16"/>
  <c r="B959" i="16"/>
  <c r="B2291" i="16"/>
  <c r="B2292" i="16"/>
  <c r="B2040" i="16"/>
  <c r="B2041" i="16"/>
  <c r="B2042" i="16"/>
  <c r="B2293" i="16"/>
  <c r="B2171" i="16"/>
  <c r="B2043" i="16"/>
  <c r="B1696" i="16"/>
  <c r="B1623" i="16"/>
  <c r="B1849" i="16"/>
  <c r="B1979" i="16"/>
  <c r="B1412" i="16"/>
  <c r="B1742" i="16"/>
  <c r="B1410" i="16"/>
  <c r="B1237" i="16"/>
  <c r="B1238" i="16"/>
  <c r="B1269" i="16"/>
  <c r="B1264" i="16"/>
  <c r="B1255" i="16"/>
  <c r="B1793" i="16"/>
  <c r="B1794" i="16"/>
  <c r="B2294" i="16"/>
  <c r="B1546" i="16"/>
  <c r="B1375" i="16"/>
  <c r="B2295" i="16"/>
  <c r="B1697" i="16"/>
  <c r="B1698" i="16"/>
  <c r="B1636" i="16"/>
  <c r="B1641" i="16"/>
  <c r="B1667" i="16"/>
  <c r="B1778" i="16"/>
  <c r="B1985" i="16"/>
  <c r="B1323" i="16"/>
  <c r="B1988" i="16"/>
  <c r="B1821" i="16"/>
  <c r="B1265" i="16"/>
  <c r="B994" i="16"/>
  <c r="B823" i="16"/>
  <c r="B1132" i="16"/>
  <c r="B1381" i="16"/>
  <c r="B1592" i="16"/>
  <c r="B1217" i="16"/>
  <c r="B1189" i="16"/>
  <c r="B2044" i="16"/>
  <c r="B1465" i="16"/>
  <c r="B2045" i="16"/>
  <c r="B1663" i="16"/>
  <c r="B1259" i="16"/>
  <c r="B1492" i="16"/>
  <c r="B983" i="16"/>
  <c r="B1455" i="16"/>
  <c r="B960" i="16"/>
  <c r="B1811" i="16"/>
  <c r="B2296" i="16"/>
  <c r="B2046" i="16"/>
  <c r="B2047" i="16"/>
  <c r="B2297" i="16"/>
  <c r="B2298" i="16"/>
  <c r="B1726" i="16"/>
  <c r="B1935" i="16"/>
  <c r="B2299" i="16"/>
  <c r="B1729" i="16"/>
  <c r="B218" i="16"/>
  <c r="B1971" i="16"/>
  <c r="B1972" i="16"/>
  <c r="B2179" i="16"/>
  <c r="B1329" i="16"/>
  <c r="B380" i="16"/>
  <c r="B381" i="16"/>
  <c r="B2048" i="16"/>
  <c r="B2300" i="16"/>
  <c r="B2144" i="16"/>
  <c r="B1906" i="16"/>
  <c r="B2153" i="16"/>
  <c r="B219" i="16"/>
  <c r="B220" i="16"/>
  <c r="B1423" i="16"/>
  <c r="B1637" i="16"/>
  <c r="B2049" i="16"/>
  <c r="B2027" i="16"/>
  <c r="B1959" i="16"/>
  <c r="B2014" i="16"/>
  <c r="B1958" i="16"/>
  <c r="B1947" i="16"/>
  <c r="B1973" i="16"/>
  <c r="B2050" i="16"/>
  <c r="B41" i="16"/>
  <c r="B42" i="16"/>
  <c r="B43" i="16"/>
  <c r="B2301" i="16"/>
  <c r="B44" i="16"/>
  <c r="B2165" i="16"/>
  <c r="B2034" i="16"/>
  <c r="B2302" i="16"/>
  <c r="B1515" i="16"/>
  <c r="B2116" i="16"/>
  <c r="B1834" i="16"/>
  <c r="B1322" i="16"/>
  <c r="B1961" i="16"/>
  <c r="B1907" i="16"/>
  <c r="B2051" i="16"/>
  <c r="B1424" i="16"/>
  <c r="B2303" i="16"/>
  <c r="B1909" i="16"/>
  <c r="B1330" i="16"/>
  <c r="B2033" i="16"/>
  <c r="B67" i="16"/>
  <c r="B68" i="16"/>
  <c r="B1791" i="16"/>
  <c r="B2052" i="16"/>
  <c r="B1456" i="16"/>
  <c r="B1594" i="16"/>
  <c r="B69" i="16"/>
  <c r="B382" i="16"/>
  <c r="B85" i="16"/>
  <c r="B2304" i="16"/>
  <c r="B70" i="16"/>
  <c r="B669" i="16"/>
  <c r="B1703" i="16"/>
  <c r="B617" i="16"/>
  <c r="B580" i="16"/>
  <c r="B618" i="16"/>
  <c r="B619" i="16"/>
  <c r="B620" i="16"/>
  <c r="B621" i="16"/>
  <c r="B622" i="16"/>
  <c r="B1563" i="16"/>
  <c r="B676" i="16"/>
  <c r="B670" i="16"/>
  <c r="B828" i="16"/>
  <c r="B829" i="16"/>
  <c r="B830" i="16"/>
  <c r="B244" i="16"/>
  <c r="B245" i="16"/>
  <c r="B1777" i="16"/>
  <c r="B1700" i="16"/>
  <c r="B1548" i="16"/>
  <c r="B844" i="16"/>
  <c r="B845" i="16"/>
  <c r="B1166" i="16"/>
  <c r="B2053" i="16"/>
  <c r="B2305" i="16"/>
  <c r="B377" i="16"/>
  <c r="B378" i="16"/>
  <c r="B379" i="16"/>
  <c r="B229" i="16"/>
  <c r="B230" i="16"/>
  <c r="B231" i="16"/>
  <c r="B1795" i="16"/>
  <c r="B1891" i="16"/>
  <c r="B1923" i="16"/>
  <c r="B2054" i="16"/>
  <c r="B2306" i="16"/>
  <c r="B1839" i="16"/>
  <c r="B1945" i="16"/>
  <c r="B1974" i="16"/>
  <c r="B1835" i="16"/>
  <c r="B1085" i="16"/>
  <c r="B1086" i="16"/>
  <c r="B1422" i="16"/>
  <c r="B1145" i="16"/>
  <c r="B1057" i="16"/>
  <c r="B1584" i="16"/>
  <c r="B1773" i="16"/>
  <c r="B1789" i="16"/>
  <c r="B1883" i="16"/>
  <c r="B1058" i="16"/>
  <c r="B1119" i="16"/>
  <c r="B1840" i="16"/>
  <c r="B846" i="16"/>
  <c r="B1254" i="16"/>
  <c r="B322" i="16"/>
  <c r="B2036" i="16"/>
  <c r="B2037" i="16"/>
  <c r="B1527" i="16"/>
  <c r="B1975" i="16"/>
  <c r="B1984" i="16"/>
  <c r="B1220" i="16"/>
  <c r="B1894" i="16"/>
  <c r="B1634" i="16"/>
  <c r="B2307" i="16"/>
  <c r="B2173" i="16"/>
  <c r="B1929" i="16"/>
  <c r="B2166" i="16"/>
  <c r="B2023" i="16"/>
  <c r="B1926" i="16"/>
  <c r="B1836" i="16"/>
  <c r="B1334" i="16"/>
  <c r="B2308" i="16"/>
  <c r="B1976" i="16"/>
  <c r="B1908" i="16"/>
  <c r="B1781" i="16"/>
  <c r="B2000" i="16"/>
  <c r="B2129" i="16"/>
  <c r="B1657" i="16"/>
  <c r="B1829" i="16"/>
  <c r="B1955" i="16"/>
  <c r="B2035" i="16"/>
  <c r="B1977" i="16"/>
  <c r="B2309" i="16"/>
  <c r="B2310" i="16"/>
  <c r="B2031" i="16"/>
  <c r="B2055" i="16"/>
  <c r="B2030" i="16"/>
  <c r="B1968" i="16"/>
  <c r="B2311" i="16"/>
  <c r="B1952" i="16"/>
  <c r="B2312" i="16"/>
  <c r="B2313" i="16"/>
  <c r="B2314" i="16"/>
  <c r="B1869" i="16"/>
  <c r="B1953" i="16"/>
  <c r="B1892" i="16"/>
  <c r="B1831" i="16"/>
  <c r="B1866" i="16"/>
  <c r="B2315" i="16"/>
  <c r="B2026" i="16"/>
  <c r="B1668" i="16"/>
  <c r="B2131" i="16"/>
  <c r="B1745" i="16"/>
  <c r="B2316" i="16"/>
  <c r="B2317" i="16"/>
  <c r="B2056" i="16"/>
  <c r="B2318" i="16"/>
  <c r="B2319" i="16"/>
  <c r="B2118" i="16"/>
  <c r="B1951" i="16"/>
  <c r="B1252" i="16"/>
  <c r="B217" i="16"/>
  <c r="B369" i="16"/>
  <c r="B138" i="16"/>
  <c r="B898" i="16"/>
  <c r="B1383" i="16"/>
  <c r="B1384" i="16"/>
  <c r="B1506" i="16"/>
  <c r="B262" i="16"/>
  <c r="B1426" i="16"/>
  <c r="B139" i="16"/>
  <c r="B657" i="16"/>
  <c r="B710" i="16"/>
  <c r="B1928" i="16"/>
  <c r="B1867" i="16"/>
  <c r="B1425" i="16"/>
  <c r="B1400" i="16"/>
  <c r="B1710" i="16"/>
  <c r="B2025" i="16"/>
  <c r="B1543" i="16"/>
  <c r="B1578" i="16"/>
  <c r="B1648" i="16"/>
  <c r="B1980" i="16"/>
  <c r="B2075" i="16"/>
  <c r="B2320" i="16"/>
  <c r="B2321" i="16"/>
  <c r="B1460" i="16"/>
  <c r="B2113" i="16"/>
  <c r="B1524" i="16"/>
  <c r="B2322" i="16"/>
  <c r="B2174" i="16"/>
  <c r="B1938" i="16"/>
  <c r="B1899" i="16"/>
  <c r="B2323" i="16"/>
  <c r="B2130" i="16"/>
  <c r="B711" i="16"/>
  <c r="B2145" i="16"/>
  <c r="B1922" i="16"/>
  <c r="B1489" i="16"/>
  <c r="B2176" i="16"/>
  <c r="B1593" i="16"/>
  <c r="B1963" i="16"/>
  <c r="B883" i="16"/>
  <c r="B2029" i="16"/>
  <c r="B1898" i="16"/>
  <c r="B10" i="16"/>
  <c r="B11" i="16"/>
  <c r="B12" i="16"/>
  <c r="B13" i="16"/>
  <c r="B14" i="16"/>
  <c r="B1965" i="16"/>
  <c r="B750" i="16"/>
  <c r="B15" i="16"/>
  <c r="B971" i="16"/>
  <c r="B1395" i="16"/>
  <c r="B1232" i="16"/>
  <c r="B760" i="16"/>
  <c r="B206" i="16"/>
  <c r="B663" i="16"/>
  <c r="B237" i="16"/>
  <c r="B111" i="16"/>
  <c r="B383" i="16"/>
  <c r="B311" i="16"/>
  <c r="B57" i="16"/>
  <c r="B110" i="16"/>
  <c r="B1629" i="16"/>
  <c r="B714" i="16"/>
  <c r="B1150" i="16"/>
  <c r="B323" i="16"/>
  <c r="B430" i="16"/>
  <c r="B339" i="16"/>
  <c r="B757" i="16"/>
  <c r="B374" i="16"/>
  <c r="B74" i="16"/>
  <c r="B106" i="16"/>
  <c r="B2016" i="16"/>
  <c r="B1905" i="16"/>
  <c r="B2324" i="16"/>
  <c r="B1774" i="16"/>
  <c r="B1274" i="16"/>
  <c r="B1948" i="16"/>
  <c r="B1838" i="16"/>
  <c r="B1865" i="16"/>
  <c r="B1761" i="16"/>
  <c r="B2111" i="16"/>
  <c r="B1744" i="16"/>
  <c r="B2090" i="16"/>
  <c r="B2325" i="16"/>
  <c r="B1510" i="16"/>
  <c r="B1557" i="16"/>
  <c r="B1363" i="16"/>
  <c r="B1705" i="16"/>
  <c r="B2020" i="16"/>
  <c r="B2021" i="16"/>
  <c r="B1801" i="16"/>
  <c r="B1782" i="16"/>
  <c r="B2326" i="16"/>
  <c r="B2017" i="16"/>
  <c r="B1978" i="16"/>
  <c r="B1844" i="16"/>
  <c r="B2092" i="16"/>
  <c r="B2117" i="16"/>
  <c r="B2327" i="16"/>
  <c r="B1872" i="16"/>
  <c r="B2328" i="16"/>
  <c r="B2329" i="16"/>
  <c r="B2330" i="16"/>
  <c r="B2331" i="16"/>
  <c r="B1855" i="16"/>
  <c r="B1877" i="16"/>
  <c r="B1337" i="16"/>
  <c r="B754" i="16"/>
  <c r="B1501" i="16"/>
  <c r="B2098" i="16"/>
  <c r="B831" i="16"/>
  <c r="B1611" i="16"/>
  <c r="B1582" i="16"/>
  <c r="B1558" i="16"/>
  <c r="B1246" i="16"/>
  <c r="B1106" i="16"/>
  <c r="B794" i="16"/>
  <c r="B1734" i="16"/>
  <c r="B1796" i="16"/>
  <c r="B1529" i="16"/>
  <c r="B1390" i="16"/>
  <c r="B1822" i="16"/>
  <c r="B952" i="16"/>
  <c r="B1213" i="16"/>
  <c r="B1444" i="16"/>
  <c r="B1545" i="16"/>
  <c r="B2332" i="16"/>
  <c r="B2333" i="16"/>
  <c r="B2334" i="16"/>
  <c r="B2335" i="16"/>
  <c r="B2336" i="16"/>
  <c r="B2337" i="16"/>
  <c r="B2338" i="16"/>
  <c r="B2339" i="16"/>
  <c r="B2340" i="16"/>
  <c r="B2341" i="16"/>
  <c r="B1229" i="16"/>
  <c r="B1147" i="16"/>
  <c r="B1490" i="16"/>
  <c r="B1114" i="16"/>
  <c r="B2095" i="16"/>
  <c r="B1681" i="16"/>
  <c r="B1832" i="16"/>
  <c r="B1241" i="16"/>
  <c r="B1881" i="16"/>
  <c r="B1847" i="16"/>
  <c r="B755" i="16"/>
  <c r="B1216" i="16"/>
  <c r="B721" i="16"/>
  <c r="B1495" i="16"/>
  <c r="B1804" i="16"/>
  <c r="B351" i="16"/>
  <c r="B489" i="16"/>
  <c r="B289" i="16"/>
  <c r="B290" i="16"/>
  <c r="B1214" i="16"/>
  <c r="B1721" i="16"/>
  <c r="B126" i="16"/>
  <c r="B376" i="16"/>
  <c r="B1488" i="16"/>
  <c r="B1712" i="16"/>
  <c r="B1056" i="16"/>
  <c r="B1580" i="16"/>
  <c r="B1097" i="16"/>
  <c r="B937" i="16"/>
  <c r="B1040" i="16"/>
  <c r="B1154" i="16"/>
  <c r="B1539" i="16"/>
  <c r="B1880" i="16"/>
  <c r="B291" i="16"/>
  <c r="C924" i="16"/>
  <c r="C925" i="16"/>
  <c r="C1204" i="16"/>
  <c r="C1205" i="16"/>
  <c r="C1206" i="16"/>
  <c r="C1436" i="16"/>
  <c r="C1437" i="16"/>
  <c r="C1470" i="16"/>
  <c r="C902" i="16"/>
  <c r="C903" i="16"/>
  <c r="C904" i="16"/>
  <c r="C926" i="16"/>
  <c r="C927" i="16"/>
  <c r="C928" i="16"/>
  <c r="C1015" i="16"/>
  <c r="C1016" i="16"/>
  <c r="C1017" i="16"/>
  <c r="C1018" i="16"/>
  <c r="C1019" i="16"/>
  <c r="C1020" i="16"/>
  <c r="C1402" i="16"/>
  <c r="C1550" i="16"/>
  <c r="C1551" i="16"/>
  <c r="C933" i="16"/>
  <c r="C847" i="16"/>
  <c r="C1110" i="16"/>
  <c r="C1111" i="16"/>
  <c r="C1112" i="16"/>
  <c r="C1021" i="16"/>
  <c r="C1022" i="16"/>
  <c r="C1471" i="16"/>
  <c r="C1207" i="16"/>
  <c r="C1427" i="16"/>
  <c r="C1428" i="16"/>
  <c r="C1403" i="16"/>
  <c r="C1404" i="16"/>
  <c r="C1023" i="16"/>
  <c r="C878" i="16"/>
  <c r="C2060" i="16"/>
  <c r="C1091" i="16"/>
  <c r="C1353" i="16"/>
  <c r="C455" i="16"/>
  <c r="C1069" i="16"/>
  <c r="C998" i="16"/>
  <c r="C1223" i="16"/>
  <c r="C1203" i="16"/>
  <c r="C456" i="16"/>
  <c r="C658" i="16"/>
  <c r="C133" i="16"/>
  <c r="C261" i="16"/>
  <c r="C470" i="16"/>
  <c r="C81" i="16"/>
  <c r="C543" i="16"/>
  <c r="C544" i="16"/>
  <c r="C520" i="16"/>
  <c r="C521" i="16"/>
  <c r="C1990" i="16"/>
  <c r="C1991" i="16"/>
  <c r="C879" i="16"/>
  <c r="C606" i="16"/>
  <c r="C525" i="16"/>
  <c r="C526" i="16"/>
  <c r="C907" i="16"/>
  <c r="C908" i="16"/>
  <c r="C497" i="16"/>
  <c r="C694" i="16"/>
  <c r="C1544" i="16"/>
  <c r="C2096" i="16"/>
  <c r="C735" i="16"/>
  <c r="C736" i="16"/>
  <c r="C392" i="16"/>
  <c r="C1443" i="16"/>
  <c r="C1047" i="16"/>
  <c r="C824" i="16"/>
  <c r="C1809" i="16"/>
  <c r="C1823" i="16"/>
  <c r="C1824" i="16"/>
  <c r="C440" i="16"/>
  <c r="C1989" i="16"/>
  <c r="C787" i="16"/>
  <c r="C899" i="16"/>
  <c r="C900" i="16"/>
  <c r="C1612" i="16"/>
  <c r="C1613" i="16"/>
  <c r="C393" i="16"/>
  <c r="C2063" i="16"/>
  <c r="C1048" i="16"/>
  <c r="C64" i="16"/>
  <c r="C65" i="16"/>
  <c r="C47" i="16"/>
  <c r="C48" i="16"/>
  <c r="C698" i="16"/>
  <c r="C607" i="16"/>
  <c r="C49" i="16"/>
  <c r="C687" i="16"/>
  <c r="C66" i="16"/>
  <c r="C175" i="16"/>
  <c r="C176" i="16"/>
  <c r="C848" i="16"/>
  <c r="C784" i="16"/>
  <c r="C397" i="16"/>
  <c r="C308" i="16"/>
  <c r="C177" i="16"/>
  <c r="C178" i="16"/>
  <c r="C513" i="16"/>
  <c r="C406" i="16"/>
  <c r="C955" i="16"/>
  <c r="C948" i="16"/>
  <c r="C179" i="16"/>
  <c r="C180" i="16"/>
  <c r="C181" i="16"/>
  <c r="C785" i="16"/>
  <c r="C1387" i="16"/>
  <c r="C336" i="16"/>
  <c r="C641" i="16"/>
  <c r="C1266" i="16"/>
  <c r="C1024" i="16"/>
  <c r="C833" i="16"/>
  <c r="C653" i="16"/>
  <c r="C384" i="16"/>
  <c r="C1497" i="16"/>
  <c r="C263" i="16"/>
  <c r="C264" i="16"/>
  <c r="C834" i="16"/>
  <c r="C278" i="16"/>
  <c r="C226" i="16"/>
  <c r="C1025" i="16"/>
  <c r="C688" i="16"/>
  <c r="C58" i="16"/>
  <c r="C144" i="16"/>
  <c r="C1451" i="16"/>
  <c r="C1452" i="16"/>
  <c r="C435" i="16"/>
  <c r="C835" i="16"/>
  <c r="C187" i="16"/>
  <c r="C934" i="16"/>
  <c r="C145" i="16"/>
  <c r="C1502" i="16"/>
  <c r="C1619" i="16"/>
  <c r="C1385" i="16"/>
  <c r="C1233" i="16"/>
  <c r="C169" i="16"/>
  <c r="C836" i="16"/>
  <c r="C837" i="16"/>
  <c r="C984" i="16"/>
  <c r="C1565" i="16"/>
  <c r="C758" i="16"/>
  <c r="C146" i="16"/>
  <c r="C1405" i="16"/>
  <c r="C2189" i="16"/>
  <c r="C170" i="16"/>
  <c r="C700" i="16"/>
  <c r="C701" i="16"/>
  <c r="C127" i="16"/>
  <c r="C981" i="16"/>
  <c r="C183" i="16"/>
  <c r="C184" i="16"/>
  <c r="C2161" i="16"/>
  <c r="C2069" i="16"/>
  <c r="C2156" i="16"/>
  <c r="C2084" i="16"/>
  <c r="C842" i="16"/>
  <c r="C210" i="16"/>
  <c r="C1994" i="16"/>
  <c r="C1079" i="16"/>
  <c r="C1453" i="16"/>
  <c r="C1454" i="16"/>
  <c r="C185" i="16"/>
  <c r="C186" i="16"/>
  <c r="C1457" i="16"/>
  <c r="C151" i="16"/>
  <c r="C283" i="16"/>
  <c r="C1464" i="16"/>
  <c r="C2177" i="16"/>
  <c r="C1388" i="16"/>
  <c r="C337" i="16"/>
  <c r="C642" i="16"/>
  <c r="C227" i="16"/>
  <c r="C1267" i="16"/>
  <c r="C1026" i="16"/>
  <c r="C689" i="16"/>
  <c r="C436" i="16"/>
  <c r="C188" i="16"/>
  <c r="C935" i="16"/>
  <c r="C1503" i="16"/>
  <c r="C1620" i="16"/>
  <c r="C1386" i="16"/>
  <c r="C1234" i="16"/>
  <c r="C171" i="16"/>
  <c r="C1566" i="16"/>
  <c r="C759" i="16"/>
  <c r="C1406" i="16"/>
  <c r="C1702" i="16"/>
  <c r="C1540" i="16"/>
  <c r="C2190" i="16"/>
  <c r="C1459" i="16"/>
  <c r="C859" i="16"/>
  <c r="C1043" i="16"/>
  <c r="C905" i="16"/>
  <c r="C1088" i="16"/>
  <c r="C1211" i="16"/>
  <c r="C419" i="16"/>
  <c r="C1780" i="16"/>
  <c r="C294" i="16"/>
  <c r="C59" i="16"/>
  <c r="C2191" i="16"/>
  <c r="C1932" i="16"/>
  <c r="C2192" i="16"/>
  <c r="C1339" i="16"/>
  <c r="C1071" i="16"/>
  <c r="C1649" i="16"/>
  <c r="C490" i="16"/>
  <c r="C1072" i="16"/>
  <c r="C491" i="16"/>
  <c r="C1983" i="16"/>
  <c r="C1604" i="16"/>
  <c r="C1218" i="16"/>
  <c r="C1073" i="16"/>
  <c r="C492" i="16"/>
  <c r="C469" i="16"/>
  <c r="C1212" i="16"/>
  <c r="C1800" i="16"/>
  <c r="C493" i="16"/>
  <c r="C1650" i="16"/>
  <c r="C1087" i="16"/>
  <c r="C992" i="16"/>
  <c r="C1074" i="16"/>
  <c r="C1772" i="16"/>
  <c r="C1532" i="16"/>
  <c r="C1070" i="16"/>
  <c r="C1002" i="16"/>
  <c r="C2085" i="16"/>
  <c r="C2193" i="16"/>
  <c r="C2108" i="16"/>
  <c r="C993" i="16"/>
  <c r="C1314" i="16"/>
  <c r="C1949" i="16"/>
  <c r="C881" i="16"/>
  <c r="C2178" i="16"/>
  <c r="C2194" i="16"/>
  <c r="C965" i="16"/>
  <c r="C822" i="16"/>
  <c r="C2008" i="16"/>
  <c r="C1996" i="16"/>
  <c r="C1553" i="16"/>
  <c r="C1868" i="16"/>
  <c r="C1210" i="16"/>
  <c r="C1476" i="16"/>
  <c r="C843" i="16"/>
  <c r="C1498" i="16"/>
  <c r="C1499" i="16"/>
  <c r="C1500" i="16"/>
  <c r="C1120" i="16"/>
  <c r="C1162" i="16"/>
  <c r="C791" i="16"/>
  <c r="C1884" i="16"/>
  <c r="C228" i="16"/>
  <c r="C225" i="16"/>
  <c r="C1163" i="16"/>
  <c r="C917" i="16"/>
  <c r="C1741" i="16"/>
  <c r="C918" i="16"/>
  <c r="C919" i="16"/>
  <c r="C1033" i="16"/>
  <c r="C966" i="16"/>
  <c r="C654" i="16"/>
  <c r="C1195" i="16"/>
  <c r="C407" i="16"/>
  <c r="C1507" i="16"/>
  <c r="C1508" i="16"/>
  <c r="C1585" i="16"/>
  <c r="C1586" i="16"/>
  <c r="C1467" i="16"/>
  <c r="C599" i="16"/>
  <c r="C600" i="16"/>
  <c r="C601" i="16"/>
  <c r="C602" i="16"/>
  <c r="C603" i="16"/>
  <c r="C604" i="16"/>
  <c r="C874" i="16"/>
  <c r="C875" i="16"/>
  <c r="C476" i="16"/>
  <c r="C1432" i="16"/>
  <c r="C623" i="16"/>
  <c r="C624" i="16"/>
  <c r="C625" i="16"/>
  <c r="C626" i="16"/>
  <c r="C1256" i="16"/>
  <c r="C1257" i="16"/>
  <c r="C119" i="16"/>
  <c r="C2065" i="16"/>
  <c r="C2195" i="16"/>
  <c r="C2196" i="16"/>
  <c r="C1736" i="16"/>
  <c r="C2078" i="16"/>
  <c r="C2197" i="16"/>
  <c r="C717" i="16"/>
  <c r="C246" i="16"/>
  <c r="C247" i="16"/>
  <c r="C37" i="16"/>
  <c r="C122" i="16"/>
  <c r="C2198" i="16"/>
  <c r="C2199" i="16"/>
  <c r="C2200" i="16"/>
  <c r="C51" i="16"/>
  <c r="C464" i="16"/>
  <c r="C465" i="16"/>
  <c r="C52" i="16"/>
  <c r="C53" i="16"/>
  <c r="C54" i="16"/>
  <c r="C1396" i="16"/>
  <c r="C1397" i="16"/>
  <c r="C38" i="16"/>
  <c r="C39" i="16"/>
  <c r="C40" i="16"/>
  <c r="C1324" i="16"/>
  <c r="C985" i="16"/>
  <c r="C1134" i="16"/>
  <c r="C1027" i="16"/>
  <c r="C2201" i="16"/>
  <c r="C662" i="16"/>
  <c r="C1469" i="16"/>
  <c r="C639" i="16"/>
  <c r="C394" i="16"/>
  <c r="C672" i="16"/>
  <c r="C649" i="16"/>
  <c r="C1826" i="16"/>
  <c r="C644" i="16"/>
  <c r="C193" i="16"/>
  <c r="C420" i="16"/>
  <c r="C2202" i="16"/>
  <c r="C1827" i="16"/>
  <c r="C194" i="16"/>
  <c r="C19" i="16"/>
  <c r="C1151" i="16"/>
  <c r="C195" i="16"/>
  <c r="C1152" i="16"/>
  <c r="C20" i="16"/>
  <c r="C196" i="16"/>
  <c r="C671" i="16"/>
  <c r="C197" i="16"/>
  <c r="C1408" i="16"/>
  <c r="C729" i="16"/>
  <c r="C1767" i="16"/>
  <c r="C730" i="16"/>
  <c r="C395" i="16"/>
  <c r="C21" i="16"/>
  <c r="C1748" i="16"/>
  <c r="C751" i="16"/>
  <c r="C645" i="16"/>
  <c r="C1768" i="16"/>
  <c r="C1749" i="16"/>
  <c r="C661" i="16"/>
  <c r="C198" i="16"/>
  <c r="C737" i="16"/>
  <c r="C650" i="16"/>
  <c r="C1904" i="16"/>
  <c r="C1878" i="16"/>
  <c r="C627" i="16"/>
  <c r="C646" i="16"/>
  <c r="C647" i="16"/>
  <c r="C22" i="16"/>
  <c r="C1769" i="16"/>
  <c r="C1169" i="16"/>
  <c r="C930" i="16"/>
  <c r="C673" i="16"/>
  <c r="C1170" i="16"/>
  <c r="C1171" i="16"/>
  <c r="C23" i="16"/>
  <c r="C738" i="16"/>
  <c r="C739" i="16"/>
  <c r="C2203" i="16"/>
  <c r="C1172" i="16"/>
  <c r="C355" i="16"/>
  <c r="C223" i="16"/>
  <c r="C428" i="16"/>
  <c r="C214" i="16"/>
  <c r="C463" i="16"/>
  <c r="C209" i="16"/>
  <c r="C18" i="16"/>
  <c r="C135" i="16"/>
  <c r="C117" i="16"/>
  <c r="C121" i="16"/>
  <c r="C50" i="16"/>
  <c r="C213" i="16"/>
  <c r="C1080" i="16"/>
  <c r="C152" i="16"/>
  <c r="C1417" i="16"/>
  <c r="C1008" i="16"/>
  <c r="C1126" i="16"/>
  <c r="C1583" i="16"/>
  <c r="C571" i="16"/>
  <c r="C190" i="16"/>
  <c r="C1131" i="16"/>
  <c r="C191" i="16"/>
  <c r="C128" i="16"/>
  <c r="C331" i="16"/>
  <c r="C1414" i="16"/>
  <c r="C202" i="16"/>
  <c r="C203" i="16"/>
  <c r="C204" i="16"/>
  <c r="C929" i="16"/>
  <c r="C1609" i="16"/>
  <c r="C2152" i="16"/>
  <c r="C1595" i="16"/>
  <c r="C1127" i="16"/>
  <c r="C1607" i="16"/>
  <c r="C1770" i="16"/>
  <c r="C334" i="16"/>
  <c r="C2062" i="16"/>
  <c r="C840" i="16"/>
  <c r="C2204" i="16"/>
  <c r="C752" i="16"/>
  <c r="C1173" i="16"/>
  <c r="C2205" i="16"/>
  <c r="C1597" i="16"/>
  <c r="C592" i="16"/>
  <c r="C134" i="16"/>
  <c r="C616" i="16"/>
  <c r="C2206" i="16"/>
  <c r="C916" i="16"/>
  <c r="C2207" i="16"/>
  <c r="C1398" i="16"/>
  <c r="C2099" i="16"/>
  <c r="C345" i="16"/>
  <c r="C681" i="16"/>
  <c r="C1413" i="16"/>
  <c r="C715" i="16"/>
  <c r="C1920" i="16"/>
  <c r="C628" i="16"/>
  <c r="C651" i="16"/>
  <c r="C731" i="16"/>
  <c r="C648" i="16"/>
  <c r="C281" i="16"/>
  <c r="C199" i="16"/>
  <c r="C1522" i="16"/>
  <c r="C1805" i="16"/>
  <c r="C466" i="16"/>
  <c r="C2208" i="16"/>
  <c r="C1215" i="16"/>
  <c r="C1819" i="16"/>
  <c r="C1656" i="16"/>
  <c r="C399" i="16"/>
  <c r="C1828" i="16"/>
  <c r="C1750" i="16"/>
  <c r="C1513" i="16"/>
  <c r="C972" i="16"/>
  <c r="C182" i="16"/>
  <c r="C1117" i="16"/>
  <c r="C1273" i="16"/>
  <c r="C1814" i="16"/>
  <c r="C1153" i="16"/>
  <c r="C1788" i="16"/>
  <c r="C1561" i="16"/>
  <c r="C740" i="16"/>
  <c r="C207" i="16"/>
  <c r="C1896" i="16"/>
  <c r="C718" i="16"/>
  <c r="C365" i="16"/>
  <c r="C821" i="16"/>
  <c r="C1373" i="16"/>
  <c r="C1802" i="16"/>
  <c r="C2209" i="16"/>
  <c r="C1845" i="16"/>
  <c r="C2210" i="16"/>
  <c r="C805" i="16"/>
  <c r="C442" i="16"/>
  <c r="C640" i="16"/>
  <c r="C1879" i="16"/>
  <c r="C1590" i="16"/>
  <c r="C825" i="16"/>
  <c r="C1673" i="16"/>
  <c r="C1371" i="16"/>
  <c r="C1564" i="16"/>
  <c r="C55" i="16"/>
  <c r="C24" i="16"/>
  <c r="C1409" i="16"/>
  <c r="C46" i="16"/>
  <c r="C1995" i="16"/>
  <c r="C1617" i="16"/>
  <c r="C1050" i="16"/>
  <c r="C976" i="16"/>
  <c r="C1332" i="16"/>
  <c r="C1531" i="16"/>
  <c r="C224" i="16"/>
  <c r="C26" i="16"/>
  <c r="C719" i="16"/>
  <c r="C552" i="16"/>
  <c r="C553" i="16"/>
  <c r="C554" i="16"/>
  <c r="C555" i="16"/>
  <c r="C2211" i="16"/>
  <c r="C1625" i="16"/>
  <c r="C574" i="16"/>
  <c r="C575" i="16"/>
  <c r="C576" i="16"/>
  <c r="C950" i="16"/>
  <c r="C75" i="16"/>
  <c r="C1370" i="16"/>
  <c r="C2212" i="16"/>
  <c r="C1379" i="16"/>
  <c r="C211" i="16"/>
  <c r="C522" i="16"/>
  <c r="C82" i="16"/>
  <c r="C733" i="16"/>
  <c r="C212" i="16"/>
  <c r="C168" i="16"/>
  <c r="C439" i="16"/>
  <c r="C208" i="16"/>
  <c r="C215" i="16"/>
  <c r="C2213" i="16"/>
  <c r="C2214" i="16"/>
  <c r="C2215" i="16"/>
  <c r="C1902" i="16"/>
  <c r="C951" i="16"/>
  <c r="C1161" i="16"/>
  <c r="C1591" i="16"/>
  <c r="C28" i="16"/>
  <c r="C1562" i="16"/>
  <c r="C238" i="16"/>
  <c r="C239" i="16"/>
  <c r="C240" i="16"/>
  <c r="C584" i="16"/>
  <c r="C585" i="16"/>
  <c r="C437" i="16"/>
  <c r="C83" i="16"/>
  <c r="C29" i="16"/>
  <c r="C73" i="16"/>
  <c r="C586" i="16"/>
  <c r="C595" i="16"/>
  <c r="C596" i="16"/>
  <c r="C467" i="16"/>
  <c r="C71" i="16"/>
  <c r="C45" i="16"/>
  <c r="C763" i="16"/>
  <c r="C764" i="16"/>
  <c r="C421" i="16"/>
  <c r="C633" i="16"/>
  <c r="C557" i="16"/>
  <c r="C338" i="16"/>
  <c r="C1201" i="16"/>
  <c r="C56" i="16"/>
  <c r="C16" i="16"/>
  <c r="C25" i="16"/>
  <c r="C429" i="16"/>
  <c r="C33" i="16"/>
  <c r="C1181" i="16"/>
  <c r="C1182" i="16"/>
  <c r="C1183" i="16"/>
  <c r="C36" i="16"/>
  <c r="C1491" i="16"/>
  <c r="C1133" i="16"/>
  <c r="C234" i="16"/>
  <c r="C471" i="16"/>
  <c r="C302" i="16"/>
  <c r="C303" i="16"/>
  <c r="C1628" i="16"/>
  <c r="C148" i="16"/>
  <c r="C1039" i="16"/>
  <c r="C72" i="16"/>
  <c r="C241" i="16"/>
  <c r="C242" i="16"/>
  <c r="C243" i="16"/>
  <c r="C1514" i="16"/>
  <c r="C1442" i="16"/>
  <c r="C472" i="16"/>
  <c r="C304" i="16"/>
  <c r="C753" i="16"/>
  <c r="C2216" i="16"/>
  <c r="C156" i="16"/>
  <c r="C157" i="16"/>
  <c r="C248" i="16"/>
  <c r="C1771" i="16"/>
  <c r="C123" i="16"/>
  <c r="C2217" i="16"/>
  <c r="C468" i="16"/>
  <c r="C1429" i="16"/>
  <c r="C249" i="16"/>
  <c r="C250" i="16"/>
  <c r="C1430" i="16"/>
  <c r="C2175" i="16"/>
  <c r="C1051" i="16"/>
  <c r="C1096" i="16"/>
  <c r="C949" i="16"/>
  <c r="C312" i="16"/>
  <c r="C1482" i="16"/>
  <c r="C313" i="16"/>
  <c r="C422" i="16"/>
  <c r="C314" i="16"/>
  <c r="C315" i="16"/>
  <c r="C316" i="16"/>
  <c r="C7" i="16"/>
  <c r="C8" i="16"/>
  <c r="C124" i="16"/>
  <c r="C1779" i="16"/>
  <c r="C423" i="16"/>
  <c r="C1277" i="16"/>
  <c r="C1818" i="16"/>
  <c r="C1049" i="16"/>
  <c r="C562" i="16"/>
  <c r="C1431" i="16"/>
  <c r="C741" i="16"/>
  <c r="C931" i="16"/>
  <c r="C396" i="16"/>
  <c r="C577" i="16"/>
  <c r="C578" i="16"/>
  <c r="C990" i="16"/>
  <c r="C1714" i="16"/>
  <c r="C1245" i="16"/>
  <c r="C2218" i="16"/>
  <c r="C352" i="16"/>
  <c r="C353" i="16"/>
  <c r="C354" i="16"/>
  <c r="C136" i="16"/>
  <c r="C125" i="16"/>
  <c r="C1382" i="16"/>
  <c r="C1633" i="16"/>
  <c r="C317" i="16"/>
  <c r="C2071" i="16"/>
  <c r="C855" i="16"/>
  <c r="C856" i="16"/>
  <c r="C857" i="16"/>
  <c r="C473" i="16"/>
  <c r="C797" i="16"/>
  <c r="C798" i="16"/>
  <c r="C799" i="16"/>
  <c r="C1174" i="16"/>
  <c r="C1175" i="16"/>
  <c r="C1176" i="16"/>
  <c r="C1806" i="16"/>
  <c r="C1807" i="16"/>
  <c r="C1034" i="16"/>
  <c r="C1035" i="16"/>
  <c r="C1036" i="16"/>
  <c r="C2080" i="16"/>
  <c r="C809" i="16"/>
  <c r="C810" i="16"/>
  <c r="C811" i="16"/>
  <c r="C1358" i="16"/>
  <c r="C1359" i="16"/>
  <c r="C87" i="16"/>
  <c r="C88" i="16"/>
  <c r="C514" i="16"/>
  <c r="C515" i="16"/>
  <c r="C516" i="16"/>
  <c r="C2009" i="16"/>
  <c r="C2010" i="16"/>
  <c r="C1003" i="16"/>
  <c r="C1004" i="16"/>
  <c r="C1005" i="16"/>
  <c r="C431" i="16"/>
  <c r="C432" i="16"/>
  <c r="C433" i="16"/>
  <c r="C1155" i="16"/>
  <c r="C1156" i="16"/>
  <c r="C1157" i="16"/>
  <c r="C683" i="16"/>
  <c r="C684" i="16"/>
  <c r="C685" i="16"/>
  <c r="C780" i="16"/>
  <c r="C781" i="16"/>
  <c r="C782" i="16"/>
  <c r="C706" i="16"/>
  <c r="C707" i="16"/>
  <c r="C708" i="16"/>
  <c r="C1041" i="16"/>
  <c r="C342" i="16"/>
  <c r="C343" i="16"/>
  <c r="C774" i="16"/>
  <c r="C775" i="16"/>
  <c r="C776" i="16"/>
  <c r="C911" i="16"/>
  <c r="C912" i="16"/>
  <c r="C388" i="16"/>
  <c r="C389" i="16"/>
  <c r="C390" i="16"/>
  <c r="C546" i="16"/>
  <c r="C547" i="16"/>
  <c r="C1752" i="16"/>
  <c r="C1753" i="16"/>
  <c r="C563" i="16"/>
  <c r="C564" i="16"/>
  <c r="C565" i="16"/>
  <c r="C566" i="16"/>
  <c r="C1638" i="16"/>
  <c r="C1639" i="16"/>
  <c r="C1060" i="16"/>
  <c r="C1061" i="16"/>
  <c r="C1062" i="16"/>
  <c r="C722" i="16"/>
  <c r="C723" i="16"/>
  <c r="C724" i="16"/>
  <c r="C677" i="16"/>
  <c r="C678" i="16"/>
  <c r="C140" i="16"/>
  <c r="C1916" i="16"/>
  <c r="C1715" i="16"/>
  <c r="C1716" i="16"/>
  <c r="C1717" i="16"/>
  <c r="C886" i="16"/>
  <c r="C887" i="16"/>
  <c r="C888" i="16"/>
  <c r="C1011" i="16"/>
  <c r="C1012" i="16"/>
  <c r="C1013" i="16"/>
  <c r="C1785" i="16"/>
  <c r="C104" i="16"/>
  <c r="C1699" i="16"/>
  <c r="C1308" i="16"/>
  <c r="C1247" i="16"/>
  <c r="C1870" i="16"/>
  <c r="C2219" i="16"/>
  <c r="C2220" i="16"/>
  <c r="C850" i="16"/>
  <c r="C1556" i="16"/>
  <c r="C1743" i="16"/>
  <c r="C2143" i="16"/>
  <c r="C1812" i="16"/>
  <c r="C1378" i="16"/>
  <c r="C1912" i="16"/>
  <c r="C1727" i="16"/>
  <c r="C2077" i="16"/>
  <c r="C1260" i="16"/>
  <c r="C1997" i="16"/>
  <c r="C1940" i="16"/>
  <c r="C1512" i="16"/>
  <c r="C1873" i="16"/>
  <c r="C2070" i="16"/>
  <c r="C2125" i="16"/>
  <c r="C1184" i="16"/>
  <c r="C1765" i="16"/>
  <c r="C1722" i="16"/>
  <c r="C1859" i="16"/>
  <c r="C1786" i="16"/>
  <c r="C1921" i="16"/>
  <c r="C2221" i="16"/>
  <c r="C2073" i="16"/>
  <c r="C1344" i="16"/>
  <c r="C2061" i="16"/>
  <c r="C1917" i="16"/>
  <c r="C1918" i="16"/>
  <c r="C548" i="16"/>
  <c r="C725" i="16"/>
  <c r="C1808" i="16"/>
  <c r="C812" i="16"/>
  <c r="C813" i="16"/>
  <c r="C889" i="16"/>
  <c r="C105" i="16"/>
  <c r="C1841" i="16"/>
  <c r="C1842" i="16"/>
  <c r="C1191" i="16"/>
  <c r="C1192" i="16"/>
  <c r="C34" i="16"/>
  <c r="C35" i="16"/>
  <c r="C391" i="16"/>
  <c r="C426" i="16"/>
  <c r="C913" i="16"/>
  <c r="C474" i="16"/>
  <c r="C1042" i="16"/>
  <c r="C1360" i="16"/>
  <c r="C1006" i="16"/>
  <c r="C1007" i="16"/>
  <c r="C800" i="16"/>
  <c r="C801" i="16"/>
  <c r="C802" i="16"/>
  <c r="C803" i="16"/>
  <c r="C89" i="16"/>
  <c r="C90" i="16"/>
  <c r="C91" i="16"/>
  <c r="C2011" i="16"/>
  <c r="C686" i="16"/>
  <c r="C858" i="16"/>
  <c r="C1640" i="16"/>
  <c r="C517" i="16"/>
  <c r="C518" i="16"/>
  <c r="C519" i="16"/>
  <c r="C434" i="16"/>
  <c r="C344" i="16"/>
  <c r="C1037" i="16"/>
  <c r="C1038" i="16"/>
  <c r="C1063" i="16"/>
  <c r="C1718" i="16"/>
  <c r="C1177" i="16"/>
  <c r="C1178" i="16"/>
  <c r="C679" i="16"/>
  <c r="C2081" i="16"/>
  <c r="C141" i="16"/>
  <c r="C142" i="16"/>
  <c r="C783" i="16"/>
  <c r="C709" i="16"/>
  <c r="C1158" i="16"/>
  <c r="C1159" i="16"/>
  <c r="C1754" i="16"/>
  <c r="C1014" i="16"/>
  <c r="C567" i="16"/>
  <c r="C568" i="16"/>
  <c r="C569" i="16"/>
  <c r="C570" i="16"/>
  <c r="C777" i="16"/>
  <c r="C1248" i="16"/>
  <c r="C531" i="16"/>
  <c r="C1521" i="16"/>
  <c r="C1185" i="16"/>
  <c r="C1186" i="16"/>
  <c r="C1187" i="16"/>
  <c r="C1188" i="16"/>
  <c r="C1998" i="16"/>
  <c r="C1999" i="16"/>
  <c r="C1193" i="16"/>
  <c r="C795" i="16"/>
  <c r="C2222" i="16"/>
  <c r="C2223" i="16"/>
  <c r="C2224" i="16"/>
  <c r="C1309" i="16"/>
  <c r="C1310" i="16"/>
  <c r="C1311" i="16"/>
  <c r="C1312" i="16"/>
  <c r="C1313" i="16"/>
  <c r="C1730" i="16"/>
  <c r="C1833" i="16"/>
  <c r="C851" i="16"/>
  <c r="C2225" i="16"/>
  <c r="C1787" i="16"/>
  <c r="C1941" i="16"/>
  <c r="C1874" i="16"/>
  <c r="C1875" i="16"/>
  <c r="C1813" i="16"/>
  <c r="C143" i="16"/>
  <c r="C1010" i="16"/>
  <c r="C1601" i="16"/>
  <c r="C1559" i="16"/>
  <c r="C2226" i="16"/>
  <c r="C1496" i="16"/>
  <c r="C1509" i="16"/>
  <c r="C2105" i="16"/>
  <c r="C2104" i="16"/>
  <c r="C1933" i="16"/>
  <c r="C201" i="16"/>
  <c r="C1816" i="16"/>
  <c r="C1537" i="16"/>
  <c r="C2227" i="16"/>
  <c r="C2141" i="16"/>
  <c r="C2142" i="16"/>
  <c r="C2012" i="16"/>
  <c r="C84" i="16"/>
  <c r="C699" i="16"/>
  <c r="C816" i="16"/>
  <c r="C1887" i="16"/>
  <c r="C1888" i="16"/>
  <c r="C1146" i="16"/>
  <c r="C682" i="16"/>
  <c r="C712" i="16"/>
  <c r="C1525" i="16"/>
  <c r="C591" i="16"/>
  <c r="C2139" i="16"/>
  <c r="C817" i="16"/>
  <c r="C2110" i="16"/>
  <c r="C2024" i="16"/>
  <c r="C1518" i="16"/>
  <c r="C771" i="16"/>
  <c r="C772" i="16"/>
  <c r="C773" i="16"/>
  <c r="C457" i="16"/>
  <c r="C458" i="16"/>
  <c r="C885" i="16"/>
  <c r="C632" i="16"/>
  <c r="C1268" i="16"/>
  <c r="C613" i="16"/>
  <c r="C593" i="16"/>
  <c r="C1669" i="16"/>
  <c r="C1391" i="16"/>
  <c r="C1670" i="16"/>
  <c r="C1044" i="16"/>
  <c r="C666" i="16"/>
  <c r="C1728" i="16"/>
  <c r="C1059" i="16"/>
  <c r="C1165" i="16"/>
  <c r="C1198" i="16"/>
  <c r="C1407" i="16"/>
  <c r="C1113" i="16"/>
  <c r="C479" i="16"/>
  <c r="C1570" i="16"/>
  <c r="C1571" i="16"/>
  <c r="C1572" i="16"/>
  <c r="C2163" i="16"/>
  <c r="C2028" i="16"/>
  <c r="C690" i="16"/>
  <c r="C1092" i="16"/>
  <c r="C667" i="16"/>
  <c r="C1297" i="16"/>
  <c r="C1102" i="16"/>
  <c r="C1815" i="16"/>
  <c r="C1045" i="16"/>
  <c r="C1046" i="16"/>
  <c r="C832" i="16"/>
  <c r="C1746" i="16"/>
  <c r="C1756" i="16"/>
  <c r="C78" i="16"/>
  <c r="C1526" i="16"/>
  <c r="C968" i="16"/>
  <c r="C2228" i="16"/>
  <c r="C827" i="16"/>
  <c r="C1278" i="16"/>
  <c r="C1361" i="16"/>
  <c r="C961" i="16"/>
  <c r="C1362" i="16"/>
  <c r="C1803" i="16"/>
  <c r="C2229" i="16"/>
  <c r="C2230" i="16"/>
  <c r="C2231" i="16"/>
  <c r="C906" i="16"/>
  <c r="C865" i="16"/>
  <c r="C1589" i="16"/>
  <c r="C818" i="16"/>
  <c r="C819" i="16"/>
  <c r="C964" i="16"/>
  <c r="C820" i="16"/>
  <c r="C268" i="16"/>
  <c r="C1825" i="16"/>
  <c r="C1704" i="16"/>
  <c r="C2147" i="16"/>
  <c r="C594" i="16"/>
  <c r="C1505" i="16"/>
  <c r="C1579" i="16"/>
  <c r="C1298" i="16"/>
  <c r="C1757" i="16"/>
  <c r="C1758" i="16"/>
  <c r="C668" i="16"/>
  <c r="C305" i="16"/>
  <c r="C1747" i="16"/>
  <c r="C581" i="16"/>
  <c r="C590" i="16"/>
  <c r="C1438" i="16"/>
  <c r="C1830" i="16"/>
  <c r="C1790" i="16"/>
  <c r="C1630" i="16"/>
  <c r="C1608" i="16"/>
  <c r="C1272" i="16"/>
  <c r="C1463" i="16"/>
  <c r="C2232" i="16"/>
  <c r="C1599" i="16"/>
  <c r="C2233" i="16"/>
  <c r="C1632" i="16"/>
  <c r="C1472" i="16"/>
  <c r="C1993" i="16"/>
  <c r="C2172" i="16"/>
  <c r="C2234" i="16"/>
  <c r="C2109" i="16"/>
  <c r="C2235" i="16"/>
  <c r="C909" i="16"/>
  <c r="C147" i="16"/>
  <c r="C96" i="16"/>
  <c r="C695" i="16"/>
  <c r="C1221" i="16"/>
  <c r="C608" i="16"/>
  <c r="C1098" i="16"/>
  <c r="C629" i="16"/>
  <c r="C484" i="16"/>
  <c r="C945" i="16"/>
  <c r="C1076" i="16"/>
  <c r="C1355" i="16"/>
  <c r="C498" i="16"/>
  <c r="C503" i="16"/>
  <c r="C129" i="16"/>
  <c r="C1099" i="16"/>
  <c r="C485" i="16"/>
  <c r="C946" i="16"/>
  <c r="C696" i="16"/>
  <c r="C609" i="16"/>
  <c r="C504" i="16"/>
  <c r="C325" i="16"/>
  <c r="C130" i="16"/>
  <c r="C97" i="16"/>
  <c r="C867" i="16"/>
  <c r="C1100" i="16"/>
  <c r="C630" i="16"/>
  <c r="C361" i="16"/>
  <c r="C486" i="16"/>
  <c r="C1077" i="16"/>
  <c r="C499" i="16"/>
  <c r="C697" i="16"/>
  <c r="C910" i="16"/>
  <c r="C991" i="16"/>
  <c r="C326" i="16"/>
  <c r="C131" i="16"/>
  <c r="C98" i="16"/>
  <c r="C631" i="16"/>
  <c r="C362" i="16"/>
  <c r="C500" i="16"/>
  <c r="C614" i="16"/>
  <c r="C1230" i="16"/>
  <c r="C1950" i="16"/>
  <c r="C1960" i="16"/>
  <c r="C1651" i="16"/>
  <c r="C1239" i="16"/>
  <c r="C149" i="16"/>
  <c r="C274" i="16"/>
  <c r="C868" i="16"/>
  <c r="C869" i="16"/>
  <c r="C870" i="16"/>
  <c r="C100" i="16"/>
  <c r="C967" i="16"/>
  <c r="C610" i="16"/>
  <c r="C1240" i="16"/>
  <c r="C871" i="16"/>
  <c r="C32" i="16"/>
  <c r="C174" i="16"/>
  <c r="C702" i="16"/>
  <c r="C1028" i="16"/>
  <c r="C2136" i="16"/>
  <c r="C505" i="16"/>
  <c r="C99" i="16"/>
  <c r="C852" i="16"/>
  <c r="C327" i="16"/>
  <c r="C1142" i="16"/>
  <c r="C363" i="16"/>
  <c r="C1376" i="16"/>
  <c r="C1093" i="16"/>
  <c r="C509" i="16"/>
  <c r="C872" i="16"/>
  <c r="C1418" i="16"/>
  <c r="C703" i="16"/>
  <c r="C704" i="16"/>
  <c r="C1029" i="16"/>
  <c r="C1030" i="16"/>
  <c r="C2137" i="16"/>
  <c r="C2138" i="16"/>
  <c r="C1094" i="16"/>
  <c r="C1095" i="16"/>
  <c r="C1326" i="16"/>
  <c r="C1327" i="16"/>
  <c r="C1328" i="16"/>
  <c r="C938" i="16"/>
  <c r="C939" i="16"/>
  <c r="C940" i="16"/>
  <c r="C1356" i="16"/>
  <c r="C1143" i="16"/>
  <c r="C1144" i="16"/>
  <c r="C1078" i="16"/>
  <c r="C853" i="16"/>
  <c r="C854" i="16"/>
  <c r="C510" i="16"/>
  <c r="C511" i="16"/>
  <c r="C172" i="16"/>
  <c r="C173" i="16"/>
  <c r="C1419" i="16"/>
  <c r="C1420" i="16"/>
  <c r="C615" i="16"/>
  <c r="C2236" i="16"/>
  <c r="C1101" i="16"/>
  <c r="C150" i="16"/>
  <c r="C275" i="16"/>
  <c r="C1602" i="16"/>
  <c r="C1661" i="16"/>
  <c r="C1871" i="16"/>
  <c r="C1662" i="16"/>
  <c r="C2151" i="16"/>
  <c r="C2237" i="16"/>
  <c r="C306" i="16"/>
  <c r="C2238" i="16"/>
  <c r="C1528" i="16"/>
  <c r="C2239" i="16"/>
  <c r="C2086" i="16"/>
  <c r="C2240" i="16"/>
  <c r="C2007" i="16"/>
  <c r="C1733" i="16"/>
  <c r="C1766" i="16"/>
  <c r="C2002" i="16"/>
  <c r="C2169" i="16"/>
  <c r="C1903" i="16"/>
  <c r="C1760" i="16"/>
  <c r="C1737" i="16"/>
  <c r="C1677" i="16"/>
  <c r="C2119" i="16"/>
  <c r="C2148" i="16"/>
  <c r="C2241" i="16"/>
  <c r="C2149" i="16"/>
  <c r="C2067" i="16"/>
  <c r="C1957" i="16"/>
  <c r="C2122" i="16"/>
  <c r="C1434" i="16"/>
  <c r="C2133" i="16"/>
  <c r="C2242" i="16"/>
  <c r="C1792" i="16"/>
  <c r="C2093" i="16"/>
  <c r="C1735" i="16"/>
  <c r="C1224" i="16"/>
  <c r="C1910" i="16"/>
  <c r="C1911" i="16"/>
  <c r="C2243" i="16"/>
  <c r="C2244" i="16"/>
  <c r="C2180" i="16"/>
  <c r="C2245" i="16"/>
  <c r="C2246" i="16"/>
  <c r="C2247" i="16"/>
  <c r="C1799" i="16"/>
  <c r="C2248" i="16"/>
  <c r="C2249" i="16"/>
  <c r="C1685" i="16"/>
  <c r="C1289" i="16"/>
  <c r="C1671" i="16"/>
  <c r="C2250" i="16"/>
  <c r="C2251" i="16"/>
  <c r="C2252" i="16"/>
  <c r="C2146" i="16"/>
  <c r="C2097" i="16"/>
  <c r="C2157" i="16"/>
  <c r="C1288" i="16"/>
  <c r="C636" i="16"/>
  <c r="C1797" i="16"/>
  <c r="C1675" i="16"/>
  <c r="C1939" i="16"/>
  <c r="C1104" i="16"/>
  <c r="C2127" i="16"/>
  <c r="C1517" i="16"/>
  <c r="C1287" i="16"/>
  <c r="C1209" i="16"/>
  <c r="C120" i="16"/>
  <c r="C1336" i="16"/>
  <c r="C1380" i="16"/>
  <c r="C2089" i="16"/>
  <c r="C408" i="16"/>
  <c r="C189" i="16"/>
  <c r="C1759" i="16"/>
  <c r="C1089" i="16"/>
  <c r="C979" i="16"/>
  <c r="C980" i="16"/>
  <c r="C1468" i="16"/>
  <c r="C1415" i="16"/>
  <c r="C1944" i="16"/>
  <c r="C1461" i="16"/>
  <c r="C1462" i="16"/>
  <c r="C2253" i="16"/>
  <c r="C1031" i="16"/>
  <c r="C480" i="16"/>
  <c r="C481" i="16"/>
  <c r="C482" i="16"/>
  <c r="C483" i="16"/>
  <c r="C507" i="16"/>
  <c r="C508" i="16"/>
  <c r="C2254" i="16"/>
  <c r="C2255" i="16"/>
  <c r="C1618" i="16"/>
  <c r="C1421" i="16"/>
  <c r="C1516" i="16"/>
  <c r="C1249" i="16"/>
  <c r="C1250" i="16"/>
  <c r="C372" i="16"/>
  <c r="C373" i="16"/>
  <c r="C1930" i="16"/>
  <c r="C1389" i="16"/>
  <c r="C746" i="16"/>
  <c r="C438" i="16"/>
  <c r="C1889" i="16"/>
  <c r="C307" i="16"/>
  <c r="C1369" i="16"/>
  <c r="C2256" i="16"/>
  <c r="C915" i="16"/>
  <c r="C2257" i="16"/>
  <c r="C2258" i="16"/>
  <c r="C2158" i="16"/>
  <c r="C637" i="16"/>
  <c r="C2128" i="16"/>
  <c r="C2259" i="16"/>
  <c r="C2260" i="16"/>
  <c r="C2261" i="16"/>
  <c r="C2134" i="16"/>
  <c r="C728" i="16"/>
  <c r="C2170" i="16"/>
  <c r="C880" i="16"/>
  <c r="C1466" i="16"/>
  <c r="C1843" i="16"/>
  <c r="C2262" i="16"/>
  <c r="C86" i="16"/>
  <c r="C2083" i="16"/>
  <c r="C1719" i="16"/>
  <c r="C2263" i="16"/>
  <c r="C1458" i="16"/>
  <c r="C866" i="16"/>
  <c r="C2076" i="16"/>
  <c r="C2123" i="16"/>
  <c r="C405" i="16"/>
  <c r="C864" i="16"/>
  <c r="C1653" i="16"/>
  <c r="C1164" i="16"/>
  <c r="C742" i="16"/>
  <c r="C1290" i="16"/>
  <c r="C778" i="16"/>
  <c r="C744" i="16"/>
  <c r="C897" i="16"/>
  <c r="C2264" i="16"/>
  <c r="C2265" i="16"/>
  <c r="C158" i="16"/>
  <c r="C159" i="16"/>
  <c r="C1942" i="16"/>
  <c r="C297" i="16"/>
  <c r="C841" i="16"/>
  <c r="C1858" i="16"/>
  <c r="C638" i="16"/>
  <c r="C2132" i="16"/>
  <c r="C1598" i="16"/>
  <c r="C1798" i="16"/>
  <c r="C1882" i="16"/>
  <c r="C424" i="16"/>
  <c r="C425" i="16"/>
  <c r="C9" i="16"/>
  <c r="C1052" i="16"/>
  <c r="C2162" i="16"/>
  <c r="C2082" i="16"/>
  <c r="C2150" i="16"/>
  <c r="C2094" i="16"/>
  <c r="C1837" i="16"/>
  <c r="C256" i="16"/>
  <c r="C1331" i="16"/>
  <c r="C1660" i="16"/>
  <c r="C364" i="16"/>
  <c r="C954" i="16"/>
  <c r="C2013" i="16"/>
  <c r="C2266" i="16"/>
  <c r="C1755" i="16"/>
  <c r="C558" i="16"/>
  <c r="C448" i="16"/>
  <c r="C860" i="16"/>
  <c r="C1854" i="16"/>
  <c r="C137" i="16"/>
  <c r="C192" i="16"/>
  <c r="C561" i="16"/>
  <c r="C743" i="16"/>
  <c r="C814" i="16"/>
  <c r="C815" i="16"/>
  <c r="C2267" i="16"/>
  <c r="C2120" i="16"/>
  <c r="C914" i="16"/>
  <c r="C346" i="16"/>
  <c r="C443" i="16"/>
  <c r="C444" i="16"/>
  <c r="C260" i="16"/>
  <c r="C445" i="16"/>
  <c r="C446" i="16"/>
  <c r="C293" i="16"/>
  <c r="C1674" i="16"/>
  <c r="C1682" i="16"/>
  <c r="C1683" i="16"/>
  <c r="C2126" i="16"/>
  <c r="C2268" i="16"/>
  <c r="C1964" i="16"/>
  <c r="C792" i="16"/>
  <c r="C793" i="16"/>
  <c r="C1547" i="16"/>
  <c r="C2269" i="16"/>
  <c r="C1686" i="16"/>
  <c r="C1687" i="16"/>
  <c r="C1688" i="16"/>
  <c r="C2270" i="16"/>
  <c r="C2102" i="16"/>
  <c r="C2271" i="16"/>
  <c r="C2272" i="16"/>
  <c r="C1655" i="16"/>
  <c r="C732" i="16"/>
  <c r="C1678" i="16"/>
  <c r="C973" i="16"/>
  <c r="C974" i="16"/>
  <c r="C1622" i="16"/>
  <c r="C1084" i="16"/>
  <c r="C2273" i="16"/>
  <c r="C1196" i="16"/>
  <c r="C2087" i="16"/>
  <c r="C1533" i="16"/>
  <c r="C2274" i="16"/>
  <c r="C1885" i="16"/>
  <c r="C2275" i="16"/>
  <c r="C1483" i="16"/>
  <c r="C1914" i="16"/>
  <c r="C292" i="16"/>
  <c r="C1448" i="16"/>
  <c r="C2276" i="16"/>
  <c r="C2277" i="16"/>
  <c r="C1689" i="16"/>
  <c r="C2278" i="16"/>
  <c r="C1335" i="16"/>
  <c r="C534" i="16"/>
  <c r="C535" i="16"/>
  <c r="C536" i="16"/>
  <c r="C537" i="16"/>
  <c r="C538" i="16"/>
  <c r="C539" i="16"/>
  <c r="C1943" i="16"/>
  <c r="C1333" i="16"/>
  <c r="C409" i="16"/>
  <c r="C410" i="16"/>
  <c r="C411" i="16"/>
  <c r="C412" i="16"/>
  <c r="C413" i="16"/>
  <c r="C414" i="16"/>
  <c r="C415" i="16"/>
  <c r="C416" i="16"/>
  <c r="C417" i="16"/>
  <c r="C418" i="16"/>
  <c r="C877" i="16"/>
  <c r="C807" i="16"/>
  <c r="C1690" i="16"/>
  <c r="C1652" i="16"/>
  <c r="C2154" i="16"/>
  <c r="C1691" i="16"/>
  <c r="C2003" i="16"/>
  <c r="C1658" i="16"/>
  <c r="C2279" i="16"/>
  <c r="C2280" i="16"/>
  <c r="C1927" i="16"/>
  <c r="C1684" i="16"/>
  <c r="C2281" i="16"/>
  <c r="C1692" i="16"/>
  <c r="C1820" i="16"/>
  <c r="C2282" i="16"/>
  <c r="C2283" i="16"/>
  <c r="C164" i="16"/>
  <c r="C165" i="16"/>
  <c r="C166" i="16"/>
  <c r="C167" i="16"/>
  <c r="C401" i="16"/>
  <c r="C402" i="16"/>
  <c r="C403" i="16"/>
  <c r="C2072" i="16"/>
  <c r="C2284" i="16"/>
  <c r="C1913" i="16"/>
  <c r="C222" i="16"/>
  <c r="C30" i="16"/>
  <c r="C101" i="16"/>
  <c r="C102" i="16"/>
  <c r="C103" i="16"/>
  <c r="C114" i="16"/>
  <c r="C115" i="16"/>
  <c r="C2066" i="16"/>
  <c r="C2018" i="16"/>
  <c r="C356" i="16"/>
  <c r="C116" i="16"/>
  <c r="C107" i="16"/>
  <c r="C108" i="16"/>
  <c r="C1626" i="16"/>
  <c r="C109" i="16"/>
  <c r="C251" i="16"/>
  <c r="C252" i="16"/>
  <c r="C253" i="16"/>
  <c r="C2285" i="16"/>
  <c r="C254" i="16"/>
  <c r="C255" i="16"/>
  <c r="C1762" i="16"/>
  <c r="C1763" i="16"/>
  <c r="C1764" i="16"/>
  <c r="C447" i="16"/>
  <c r="C540" i="16"/>
  <c r="C541" i="16"/>
  <c r="C882" i="16"/>
  <c r="C978" i="16"/>
  <c r="C1693" i="16"/>
  <c r="C1694" i="16"/>
  <c r="C404" i="16"/>
  <c r="C1616" i="16"/>
  <c r="C340" i="16"/>
  <c r="C341" i="16"/>
  <c r="C2286" i="16"/>
  <c r="C2287" i="16"/>
  <c r="C1919" i="16"/>
  <c r="C333" i="16"/>
  <c r="C1848" i="16"/>
  <c r="C2288" i="16"/>
  <c r="C2289" i="16"/>
  <c r="C2290" i="16"/>
  <c r="C2091" i="16"/>
  <c r="C2121" i="16"/>
  <c r="C1664" i="16"/>
  <c r="C1969" i="16"/>
  <c r="C2032" i="16"/>
  <c r="C2159" i="16"/>
  <c r="C1713" i="16"/>
  <c r="C1343" i="16"/>
  <c r="C2038" i="16"/>
  <c r="C1970" i="16"/>
  <c r="C1354" i="16"/>
  <c r="C2039" i="16"/>
  <c r="C1706" i="16"/>
  <c r="C1672" i="16"/>
  <c r="C1554" i="16"/>
  <c r="C1695" i="16"/>
  <c r="C1374" i="16"/>
  <c r="C1631" i="16"/>
  <c r="C1372" i="16"/>
  <c r="C1665" i="16"/>
  <c r="C1666" i="16"/>
  <c r="C1635" i="16"/>
  <c r="C1895" i="16"/>
  <c r="C1307" i="16"/>
  <c r="C873" i="16"/>
  <c r="C1936" i="16"/>
  <c r="C1225" i="16"/>
  <c r="C1624" i="16"/>
  <c r="C1775" i="16"/>
  <c r="C1549" i="16"/>
  <c r="C986" i="16"/>
  <c r="C956" i="16"/>
  <c r="C1621" i="16"/>
  <c r="C1776" i="16"/>
  <c r="C1860" i="16"/>
  <c r="C987" i="16"/>
  <c r="C988" i="16"/>
  <c r="C989" i="16"/>
  <c r="C957" i="16"/>
  <c r="C958" i="16"/>
  <c r="C959" i="16"/>
  <c r="C2291" i="16"/>
  <c r="C2292" i="16"/>
  <c r="C2040" i="16"/>
  <c r="C2041" i="16"/>
  <c r="C2042" i="16"/>
  <c r="C2293" i="16"/>
  <c r="C2171" i="16"/>
  <c r="C2043" i="16"/>
  <c r="C1696" i="16"/>
  <c r="C1623" i="16"/>
  <c r="C1849" i="16"/>
  <c r="C1979" i="16"/>
  <c r="C1412" i="16"/>
  <c r="C1742" i="16"/>
  <c r="C1410" i="16"/>
  <c r="C1237" i="16"/>
  <c r="C1238" i="16"/>
  <c r="C1269" i="16"/>
  <c r="C1264" i="16"/>
  <c r="C1255" i="16"/>
  <c r="C1793" i="16"/>
  <c r="C1794" i="16"/>
  <c r="C2294" i="16"/>
  <c r="C1546" i="16"/>
  <c r="C1375" i="16"/>
  <c r="C2295" i="16"/>
  <c r="C1697" i="16"/>
  <c r="C1698" i="16"/>
  <c r="C1636" i="16"/>
  <c r="C1641" i="16"/>
  <c r="C1667" i="16"/>
  <c r="C1778" i="16"/>
  <c r="C1985" i="16"/>
  <c r="C1323" i="16"/>
  <c r="C1988" i="16"/>
  <c r="C1821" i="16"/>
  <c r="C1265" i="16"/>
  <c r="C994" i="16"/>
  <c r="C823" i="16"/>
  <c r="C1132" i="16"/>
  <c r="C1381" i="16"/>
  <c r="C1592" i="16"/>
  <c r="C1217" i="16"/>
  <c r="C1189" i="16"/>
  <c r="C2044" i="16"/>
  <c r="C1465" i="16"/>
  <c r="C2045" i="16"/>
  <c r="C1663" i="16"/>
  <c r="C1259" i="16"/>
  <c r="C1492" i="16"/>
  <c r="C983" i="16"/>
  <c r="C1455" i="16"/>
  <c r="C960" i="16"/>
  <c r="C1811" i="16"/>
  <c r="C2296" i="16"/>
  <c r="C2046" i="16"/>
  <c r="C2047" i="16"/>
  <c r="C2297" i="16"/>
  <c r="C2298" i="16"/>
  <c r="C1726" i="16"/>
  <c r="C1935" i="16"/>
  <c r="C2299" i="16"/>
  <c r="C1729" i="16"/>
  <c r="C218" i="16"/>
  <c r="C1971" i="16"/>
  <c r="C1972" i="16"/>
  <c r="C2179" i="16"/>
  <c r="C1329" i="16"/>
  <c r="C380" i="16"/>
  <c r="C381" i="16"/>
  <c r="C2048" i="16"/>
  <c r="C2300" i="16"/>
  <c r="C2144" i="16"/>
  <c r="C1906" i="16"/>
  <c r="C2153" i="16"/>
  <c r="C219" i="16"/>
  <c r="C220" i="16"/>
  <c r="C1423" i="16"/>
  <c r="C1637" i="16"/>
  <c r="C2049" i="16"/>
  <c r="C2027" i="16"/>
  <c r="C1959" i="16"/>
  <c r="C2014" i="16"/>
  <c r="C1958" i="16"/>
  <c r="C1947" i="16"/>
  <c r="C1973" i="16"/>
  <c r="C2050" i="16"/>
  <c r="C41" i="16"/>
  <c r="C42" i="16"/>
  <c r="C43" i="16"/>
  <c r="C2301" i="16"/>
  <c r="C44" i="16"/>
  <c r="C2165" i="16"/>
  <c r="C2034" i="16"/>
  <c r="C2302" i="16"/>
  <c r="C1515" i="16"/>
  <c r="C2116" i="16"/>
  <c r="C1834" i="16"/>
  <c r="C1322" i="16"/>
  <c r="C1961" i="16"/>
  <c r="C1907" i="16"/>
  <c r="C2051" i="16"/>
  <c r="C1424" i="16"/>
  <c r="C2303" i="16"/>
  <c r="C1909" i="16"/>
  <c r="C1330" i="16"/>
  <c r="C2033" i="16"/>
  <c r="C67" i="16"/>
  <c r="C68" i="16"/>
  <c r="C1791" i="16"/>
  <c r="C2052" i="16"/>
  <c r="C1456" i="16"/>
  <c r="C1594" i="16"/>
  <c r="C69" i="16"/>
  <c r="C382" i="16"/>
  <c r="C85" i="16"/>
  <c r="C2304" i="16"/>
  <c r="C70" i="16"/>
  <c r="C669" i="16"/>
  <c r="C1703" i="16"/>
  <c r="C617" i="16"/>
  <c r="C580" i="16"/>
  <c r="C618" i="16"/>
  <c r="C619" i="16"/>
  <c r="C620" i="16"/>
  <c r="C621" i="16"/>
  <c r="C622" i="16"/>
  <c r="C1563" i="16"/>
  <c r="C676" i="16"/>
  <c r="C670" i="16"/>
  <c r="C828" i="16"/>
  <c r="C829" i="16"/>
  <c r="C830" i="16"/>
  <c r="C244" i="16"/>
  <c r="C245" i="16"/>
  <c r="C1777" i="16"/>
  <c r="C1700" i="16"/>
  <c r="C1548" i="16"/>
  <c r="C844" i="16"/>
  <c r="C845" i="16"/>
  <c r="C1166" i="16"/>
  <c r="C2053" i="16"/>
  <c r="C2305" i="16"/>
  <c r="C377" i="16"/>
  <c r="C378" i="16"/>
  <c r="C379" i="16"/>
  <c r="C229" i="16"/>
  <c r="C230" i="16"/>
  <c r="C231" i="16"/>
  <c r="C1795" i="16"/>
  <c r="C1891" i="16"/>
  <c r="C1923" i="16"/>
  <c r="C2054" i="16"/>
  <c r="C2306" i="16"/>
  <c r="C1839" i="16"/>
  <c r="C1945" i="16"/>
  <c r="C1974" i="16"/>
  <c r="C1835" i="16"/>
  <c r="C1085" i="16"/>
  <c r="C1086" i="16"/>
  <c r="C1422" i="16"/>
  <c r="C1145" i="16"/>
  <c r="C1057" i="16"/>
  <c r="C1584" i="16"/>
  <c r="C1773" i="16"/>
  <c r="C1789" i="16"/>
  <c r="C1883" i="16"/>
  <c r="C1058" i="16"/>
  <c r="C1119" i="16"/>
  <c r="C1840" i="16"/>
  <c r="C846" i="16"/>
  <c r="C1254" i="16"/>
  <c r="C322" i="16"/>
  <c r="C2036" i="16"/>
  <c r="C2037" i="16"/>
  <c r="C1527" i="16"/>
  <c r="C1975" i="16"/>
  <c r="C1984" i="16"/>
  <c r="C1220" i="16"/>
  <c r="C1894" i="16"/>
  <c r="C1634" i="16"/>
  <c r="C2307" i="16"/>
  <c r="C2173" i="16"/>
  <c r="C1929" i="16"/>
  <c r="C2166" i="16"/>
  <c r="C2023" i="16"/>
  <c r="C1926" i="16"/>
  <c r="C1836" i="16"/>
  <c r="C1334" i="16"/>
  <c r="C2308" i="16"/>
  <c r="C1976" i="16"/>
  <c r="C1908" i="16"/>
  <c r="C1781" i="16"/>
  <c r="C2000" i="16"/>
  <c r="C2129" i="16"/>
  <c r="C1657" i="16"/>
  <c r="C1829" i="16"/>
  <c r="C1955" i="16"/>
  <c r="C2035" i="16"/>
  <c r="C1977" i="16"/>
  <c r="C2309" i="16"/>
  <c r="C2310" i="16"/>
  <c r="C2031" i="16"/>
  <c r="C2055" i="16"/>
  <c r="C2030" i="16"/>
  <c r="C1968" i="16"/>
  <c r="C2311" i="16"/>
  <c r="C1952" i="16"/>
  <c r="C2312" i="16"/>
  <c r="C2313" i="16"/>
  <c r="C2314" i="16"/>
  <c r="C1869" i="16"/>
  <c r="C1953" i="16"/>
  <c r="C1892" i="16"/>
  <c r="C1831" i="16"/>
  <c r="C1866" i="16"/>
  <c r="C2315" i="16"/>
  <c r="C2026" i="16"/>
  <c r="C1668" i="16"/>
  <c r="C2131" i="16"/>
  <c r="C1745" i="16"/>
  <c r="C2316" i="16"/>
  <c r="C2317" i="16"/>
  <c r="C2056" i="16"/>
  <c r="C2318" i="16"/>
  <c r="C2319" i="16"/>
  <c r="C2118" i="16"/>
  <c r="C1951" i="16"/>
  <c r="C1252" i="16"/>
  <c r="C217" i="16"/>
  <c r="C369" i="16"/>
  <c r="C138" i="16"/>
  <c r="C898" i="16"/>
  <c r="C1383" i="16"/>
  <c r="C1384" i="16"/>
  <c r="C1506" i="16"/>
  <c r="C262" i="16"/>
  <c r="C1426" i="16"/>
  <c r="C139" i="16"/>
  <c r="C657" i="16"/>
  <c r="C710" i="16"/>
  <c r="C1928" i="16"/>
  <c r="C1867" i="16"/>
  <c r="C1425" i="16"/>
  <c r="C1400" i="16"/>
  <c r="C1710" i="16"/>
  <c r="C2025" i="16"/>
  <c r="C1543" i="16"/>
  <c r="C1578" i="16"/>
  <c r="C1648" i="16"/>
  <c r="C1980" i="16"/>
  <c r="C2075" i="16"/>
  <c r="C2320" i="16"/>
  <c r="C2321" i="16"/>
  <c r="C1460" i="16"/>
  <c r="C2113" i="16"/>
  <c r="C1524" i="16"/>
  <c r="C2322" i="16"/>
  <c r="C2174" i="16"/>
  <c r="C1938" i="16"/>
  <c r="C1899" i="16"/>
  <c r="C2323" i="16"/>
  <c r="C2130" i="16"/>
  <c r="C711" i="16"/>
  <c r="C2145" i="16"/>
  <c r="C1922" i="16"/>
  <c r="C1489" i="16"/>
  <c r="C2176" i="16"/>
  <c r="C1593" i="16"/>
  <c r="C1963" i="16"/>
  <c r="C883" i="16"/>
  <c r="C2029" i="16"/>
  <c r="C1898" i="16"/>
  <c r="C10" i="16"/>
  <c r="C11" i="16"/>
  <c r="C12" i="16"/>
  <c r="C13" i="16"/>
  <c r="C14" i="16"/>
  <c r="C1965" i="16"/>
  <c r="C750" i="16"/>
  <c r="C15" i="16"/>
  <c r="C971" i="16"/>
  <c r="C1395" i="16"/>
  <c r="C1232" i="16"/>
  <c r="C760" i="16"/>
  <c r="C206" i="16"/>
  <c r="C663" i="16"/>
  <c r="C237" i="16"/>
  <c r="C111" i="16"/>
  <c r="C383" i="16"/>
  <c r="C311" i="16"/>
  <c r="C57" i="16"/>
  <c r="C110" i="16"/>
  <c r="C1629" i="16"/>
  <c r="C714" i="16"/>
  <c r="C1150" i="16"/>
  <c r="C323" i="16"/>
  <c r="C430" i="16"/>
  <c r="C339" i="16"/>
  <c r="C757" i="16"/>
  <c r="C374" i="16"/>
  <c r="C74" i="16"/>
  <c r="C106" i="16"/>
  <c r="C2016" i="16"/>
  <c r="C1905" i="16"/>
  <c r="C2324" i="16"/>
  <c r="C1774" i="16"/>
  <c r="C1274" i="16"/>
  <c r="C1948" i="16"/>
  <c r="C1838" i="16"/>
  <c r="C1865" i="16"/>
  <c r="C1761" i="16"/>
  <c r="C2111" i="16"/>
  <c r="C1744" i="16"/>
  <c r="C2090" i="16"/>
  <c r="C2325" i="16"/>
  <c r="C1510" i="16"/>
  <c r="C1557" i="16"/>
  <c r="C1363" i="16"/>
  <c r="C1705" i="16"/>
  <c r="C2020" i="16"/>
  <c r="C2021" i="16"/>
  <c r="C1801" i="16"/>
  <c r="C1782" i="16"/>
  <c r="C2326" i="16"/>
  <c r="C2017" i="16"/>
  <c r="C1978" i="16"/>
  <c r="C1844" i="16"/>
  <c r="C2092" i="16"/>
  <c r="C2117" i="16"/>
  <c r="C2327" i="16"/>
  <c r="C1872" i="16"/>
  <c r="C2328" i="16"/>
  <c r="C2329" i="16"/>
  <c r="C2330" i="16"/>
  <c r="C2331" i="16"/>
  <c r="C1855" i="16"/>
  <c r="C1877" i="16"/>
  <c r="C1337" i="16"/>
  <c r="C754" i="16"/>
  <c r="C1501" i="16"/>
  <c r="C2098" i="16"/>
  <c r="C831" i="16"/>
  <c r="C1611" i="16"/>
  <c r="C1582" i="16"/>
  <c r="C1558" i="16"/>
  <c r="C1246" i="16"/>
  <c r="C1106" i="16"/>
  <c r="C794" i="16"/>
  <c r="C1734" i="16"/>
  <c r="C1796" i="16"/>
  <c r="C1529" i="16"/>
  <c r="C1390" i="16"/>
  <c r="C1822" i="16"/>
  <c r="C952" i="16"/>
  <c r="C1213" i="16"/>
  <c r="C1444" i="16"/>
  <c r="C1545" i="16"/>
  <c r="C2332" i="16"/>
  <c r="C2333" i="16"/>
  <c r="C2334" i="16"/>
  <c r="C2335" i="16"/>
  <c r="C2336" i="16"/>
  <c r="C2337" i="16"/>
  <c r="C2338" i="16"/>
  <c r="C2339" i="16"/>
  <c r="C2340" i="16"/>
  <c r="C2341" i="16"/>
  <c r="C1229" i="16"/>
  <c r="C1147" i="16"/>
  <c r="C1490" i="16"/>
  <c r="C1114" i="16"/>
  <c r="C2095" i="16"/>
  <c r="C1681" i="16"/>
  <c r="C1832" i="16"/>
  <c r="C1241" i="16"/>
  <c r="C1881" i="16"/>
  <c r="C1847" i="16"/>
  <c r="C755" i="16"/>
  <c r="C1216" i="16"/>
  <c r="C721" i="16"/>
  <c r="C1495" i="16"/>
  <c r="C1804" i="16"/>
  <c r="C351" i="16"/>
  <c r="C489" i="16"/>
  <c r="C289" i="16"/>
  <c r="C290" i="16"/>
  <c r="C1214" i="16"/>
  <c r="C1721" i="16"/>
  <c r="C126" i="16"/>
  <c r="C376" i="16"/>
  <c r="C1488" i="16"/>
  <c r="C1712" i="16"/>
  <c r="C1056" i="16"/>
  <c r="C1580" i="16"/>
  <c r="C1097" i="16"/>
  <c r="C937" i="16"/>
  <c r="C1040" i="16"/>
  <c r="C1154" i="16"/>
  <c r="C1539" i="16"/>
  <c r="C1880" i="16"/>
  <c r="C291" i="16"/>
  <c r="D924" i="16"/>
  <c r="D925" i="16"/>
  <c r="D1204" i="16"/>
  <c r="D1205" i="16"/>
  <c r="D1206" i="16"/>
  <c r="D1436" i="16"/>
  <c r="D1437" i="16"/>
  <c r="D1470" i="16"/>
  <c r="D902" i="16"/>
  <c r="D903" i="16"/>
  <c r="D904" i="16"/>
  <c r="D926" i="16"/>
  <c r="D927" i="16"/>
  <c r="D928" i="16"/>
  <c r="D1015" i="16"/>
  <c r="D1016" i="16"/>
  <c r="D1017" i="16"/>
  <c r="D1018" i="16"/>
  <c r="D1019" i="16"/>
  <c r="D1020" i="16"/>
  <c r="D1402" i="16"/>
  <c r="D1550" i="16"/>
  <c r="D1551" i="16"/>
  <c r="D933" i="16"/>
  <c r="D847" i="16"/>
  <c r="D1110" i="16"/>
  <c r="D1111" i="16"/>
  <c r="D1112" i="16"/>
  <c r="D1021" i="16"/>
  <c r="D1022" i="16"/>
  <c r="D1471" i="16"/>
  <c r="D1207" i="16"/>
  <c r="D1427" i="16"/>
  <c r="D1428" i="16"/>
  <c r="D1403" i="16"/>
  <c r="D1404" i="16"/>
  <c r="D1023" i="16"/>
  <c r="D878" i="16"/>
  <c r="D2060" i="16"/>
  <c r="D1091" i="16"/>
  <c r="D1353" i="16"/>
  <c r="D455" i="16"/>
  <c r="D1069" i="16"/>
  <c r="D998" i="16"/>
  <c r="D1223" i="16"/>
  <c r="D1203" i="16"/>
  <c r="D456" i="16"/>
  <c r="D658" i="16"/>
  <c r="D133" i="16"/>
  <c r="D261" i="16"/>
  <c r="D470" i="16"/>
  <c r="D81" i="16"/>
  <c r="D543" i="16"/>
  <c r="D544" i="16"/>
  <c r="D520" i="16"/>
  <c r="D521" i="16"/>
  <c r="D1990" i="16"/>
  <c r="D1991" i="16"/>
  <c r="D879" i="16"/>
  <c r="D606" i="16"/>
  <c r="D525" i="16"/>
  <c r="D526" i="16"/>
  <c r="D907" i="16"/>
  <c r="D908" i="16"/>
  <c r="D497" i="16"/>
  <c r="D694" i="16"/>
  <c r="D1544" i="16"/>
  <c r="D2096" i="16"/>
  <c r="D735" i="16"/>
  <c r="D736" i="16"/>
  <c r="D392" i="16"/>
  <c r="D1443" i="16"/>
  <c r="D1047" i="16"/>
  <c r="D824" i="16"/>
  <c r="D1809" i="16"/>
  <c r="D1823" i="16"/>
  <c r="D1824" i="16"/>
  <c r="D440" i="16"/>
  <c r="D1989" i="16"/>
  <c r="D787" i="16"/>
  <c r="D899" i="16"/>
  <c r="D900" i="16"/>
  <c r="D1612" i="16"/>
  <c r="D1613" i="16"/>
  <c r="D393" i="16"/>
  <c r="D2063" i="16"/>
  <c r="D1048" i="16"/>
  <c r="D64" i="16"/>
  <c r="D65" i="16"/>
  <c r="D47" i="16"/>
  <c r="D48" i="16"/>
  <c r="D698" i="16"/>
  <c r="D607" i="16"/>
  <c r="D49" i="16"/>
  <c r="D687" i="16"/>
  <c r="D66" i="16"/>
  <c r="D175" i="16"/>
  <c r="D176" i="16"/>
  <c r="D848" i="16"/>
  <c r="D784" i="16"/>
  <c r="D397" i="16"/>
  <c r="D308" i="16"/>
  <c r="D177" i="16"/>
  <c r="D178" i="16"/>
  <c r="D513" i="16"/>
  <c r="D406" i="16"/>
  <c r="D955" i="16"/>
  <c r="D948" i="16"/>
  <c r="D179" i="16"/>
  <c r="D180" i="16"/>
  <c r="D181" i="16"/>
  <c r="D785" i="16"/>
  <c r="D1387" i="16"/>
  <c r="D336" i="16"/>
  <c r="D641" i="16"/>
  <c r="D1266" i="16"/>
  <c r="D1024" i="16"/>
  <c r="D833" i="16"/>
  <c r="D653" i="16"/>
  <c r="D384" i="16"/>
  <c r="D1497" i="16"/>
  <c r="D263" i="16"/>
  <c r="D264" i="16"/>
  <c r="D834" i="16"/>
  <c r="D278" i="16"/>
  <c r="D226" i="16"/>
  <c r="D1025" i="16"/>
  <c r="D688" i="16"/>
  <c r="D58" i="16"/>
  <c r="D144" i="16"/>
  <c r="D1451" i="16"/>
  <c r="D1452" i="16"/>
  <c r="D435" i="16"/>
  <c r="D835" i="16"/>
  <c r="D187" i="16"/>
  <c r="D934" i="16"/>
  <c r="D145" i="16"/>
  <c r="D1502" i="16"/>
  <c r="D1619" i="16"/>
  <c r="D1385" i="16"/>
  <c r="D1233" i="16"/>
  <c r="D169" i="16"/>
  <c r="D836" i="16"/>
  <c r="D837" i="16"/>
  <c r="D984" i="16"/>
  <c r="D1565" i="16"/>
  <c r="D758" i="16"/>
  <c r="D146" i="16"/>
  <c r="D1405" i="16"/>
  <c r="D2189" i="16"/>
  <c r="D170" i="16"/>
  <c r="D700" i="16"/>
  <c r="D701" i="16"/>
  <c r="D127" i="16"/>
  <c r="D981" i="16"/>
  <c r="D183" i="16"/>
  <c r="D184" i="16"/>
  <c r="D2161" i="16"/>
  <c r="D2069" i="16"/>
  <c r="D2156" i="16"/>
  <c r="D2084" i="16"/>
  <c r="D842" i="16"/>
  <c r="D210" i="16"/>
  <c r="D1994" i="16"/>
  <c r="D1079" i="16"/>
  <c r="D1453" i="16"/>
  <c r="D1454" i="16"/>
  <c r="D185" i="16"/>
  <c r="D186" i="16"/>
  <c r="D1457" i="16"/>
  <c r="D151" i="16"/>
  <c r="D283" i="16"/>
  <c r="D1464" i="16"/>
  <c r="D2177" i="16"/>
  <c r="D1388" i="16"/>
  <c r="D337" i="16"/>
  <c r="D642" i="16"/>
  <c r="D227" i="16"/>
  <c r="D1267" i="16"/>
  <c r="D1026" i="16"/>
  <c r="D689" i="16"/>
  <c r="D436" i="16"/>
  <c r="D188" i="16"/>
  <c r="D935" i="16"/>
  <c r="D1503" i="16"/>
  <c r="D1620" i="16"/>
  <c r="D1386" i="16"/>
  <c r="D1234" i="16"/>
  <c r="D171" i="16"/>
  <c r="D1566" i="16"/>
  <c r="D759" i="16"/>
  <c r="D1406" i="16"/>
  <c r="D1702" i="16"/>
  <c r="D1540" i="16"/>
  <c r="D2190" i="16"/>
  <c r="D1459" i="16"/>
  <c r="D859" i="16"/>
  <c r="D1043" i="16"/>
  <c r="D905" i="16"/>
  <c r="D1088" i="16"/>
  <c r="D1211" i="16"/>
  <c r="D419" i="16"/>
  <c r="D1780" i="16"/>
  <c r="D294" i="16"/>
  <c r="D59" i="16"/>
  <c r="D2191" i="16"/>
  <c r="D1932" i="16"/>
  <c r="D2192" i="16"/>
  <c r="D1339" i="16"/>
  <c r="D1071" i="16"/>
  <c r="D1649" i="16"/>
  <c r="D490" i="16"/>
  <c r="D1072" i="16"/>
  <c r="D491" i="16"/>
  <c r="D1983" i="16"/>
  <c r="D1604" i="16"/>
  <c r="D1218" i="16"/>
  <c r="D1073" i="16"/>
  <c r="D492" i="16"/>
  <c r="D469" i="16"/>
  <c r="D1212" i="16"/>
  <c r="D1800" i="16"/>
  <c r="D493" i="16"/>
  <c r="D1650" i="16"/>
  <c r="D1087" i="16"/>
  <c r="D992" i="16"/>
  <c r="D1074" i="16"/>
  <c r="D1772" i="16"/>
  <c r="D1532" i="16"/>
  <c r="D1070" i="16"/>
  <c r="D1002" i="16"/>
  <c r="D2085" i="16"/>
  <c r="D2193" i="16"/>
  <c r="D2108" i="16"/>
  <c r="D993" i="16"/>
  <c r="D1314" i="16"/>
  <c r="D1949" i="16"/>
  <c r="D881" i="16"/>
  <c r="D2178" i="16"/>
  <c r="D2194" i="16"/>
  <c r="D965" i="16"/>
  <c r="D822" i="16"/>
  <c r="D2008" i="16"/>
  <c r="D1996" i="16"/>
  <c r="D1553" i="16"/>
  <c r="D1868" i="16"/>
  <c r="D1210" i="16"/>
  <c r="D1476" i="16"/>
  <c r="D843" i="16"/>
  <c r="D1498" i="16"/>
  <c r="D1499" i="16"/>
  <c r="D1500" i="16"/>
  <c r="D1120" i="16"/>
  <c r="D1162" i="16"/>
  <c r="D791" i="16"/>
  <c r="D1884" i="16"/>
  <c r="D228" i="16"/>
  <c r="D225" i="16"/>
  <c r="D1163" i="16"/>
  <c r="D917" i="16"/>
  <c r="D1741" i="16"/>
  <c r="D918" i="16"/>
  <c r="D919" i="16"/>
  <c r="D1033" i="16"/>
  <c r="D966" i="16"/>
  <c r="D654" i="16"/>
  <c r="D1195" i="16"/>
  <c r="D407" i="16"/>
  <c r="D1507" i="16"/>
  <c r="D1508" i="16"/>
  <c r="D1585" i="16"/>
  <c r="D1586" i="16"/>
  <c r="D1467" i="16"/>
  <c r="D599" i="16"/>
  <c r="D600" i="16"/>
  <c r="D601" i="16"/>
  <c r="D602" i="16"/>
  <c r="D603" i="16"/>
  <c r="D604" i="16"/>
  <c r="D874" i="16"/>
  <c r="D875" i="16"/>
  <c r="D476" i="16"/>
  <c r="D1432" i="16"/>
  <c r="D623" i="16"/>
  <c r="D624" i="16"/>
  <c r="D625" i="16"/>
  <c r="D626" i="16"/>
  <c r="D1256" i="16"/>
  <c r="D1257" i="16"/>
  <c r="D119" i="16"/>
  <c r="D2065" i="16"/>
  <c r="D2195" i="16"/>
  <c r="D2196" i="16"/>
  <c r="D1736" i="16"/>
  <c r="D2078" i="16"/>
  <c r="D2197" i="16"/>
  <c r="D717" i="16"/>
  <c r="D246" i="16"/>
  <c r="D247" i="16"/>
  <c r="D37" i="16"/>
  <c r="D122" i="16"/>
  <c r="D2198" i="16"/>
  <c r="D2199" i="16"/>
  <c r="D2200" i="16"/>
  <c r="D51" i="16"/>
  <c r="D464" i="16"/>
  <c r="D465" i="16"/>
  <c r="D52" i="16"/>
  <c r="D53" i="16"/>
  <c r="D54" i="16"/>
  <c r="D1396" i="16"/>
  <c r="D1397" i="16"/>
  <c r="D38" i="16"/>
  <c r="D39" i="16"/>
  <c r="D40" i="16"/>
  <c r="D1324" i="16"/>
  <c r="D985" i="16"/>
  <c r="D1134" i="16"/>
  <c r="D1027" i="16"/>
  <c r="D2201" i="16"/>
  <c r="D662" i="16"/>
  <c r="D1469" i="16"/>
  <c r="D639" i="16"/>
  <c r="D394" i="16"/>
  <c r="D672" i="16"/>
  <c r="D649" i="16"/>
  <c r="D1826" i="16"/>
  <c r="D644" i="16"/>
  <c r="D193" i="16"/>
  <c r="D420" i="16"/>
  <c r="D2202" i="16"/>
  <c r="D1827" i="16"/>
  <c r="D194" i="16"/>
  <c r="D19" i="16"/>
  <c r="D1151" i="16"/>
  <c r="D195" i="16"/>
  <c r="D1152" i="16"/>
  <c r="D20" i="16"/>
  <c r="D196" i="16"/>
  <c r="D671" i="16"/>
  <c r="D197" i="16"/>
  <c r="D1408" i="16"/>
  <c r="D729" i="16"/>
  <c r="D1767" i="16"/>
  <c r="D730" i="16"/>
  <c r="D395" i="16"/>
  <c r="D21" i="16"/>
  <c r="D1748" i="16"/>
  <c r="D751" i="16"/>
  <c r="D645" i="16"/>
  <c r="D1768" i="16"/>
  <c r="D1749" i="16"/>
  <c r="D661" i="16"/>
  <c r="D198" i="16"/>
  <c r="D737" i="16"/>
  <c r="D650" i="16"/>
  <c r="D1904" i="16"/>
  <c r="D1878" i="16"/>
  <c r="D627" i="16"/>
  <c r="D646" i="16"/>
  <c r="D647" i="16"/>
  <c r="D22" i="16"/>
  <c r="D1769" i="16"/>
  <c r="D1169" i="16"/>
  <c r="D930" i="16"/>
  <c r="D673" i="16"/>
  <c r="D1170" i="16"/>
  <c r="D1171" i="16"/>
  <c r="D23" i="16"/>
  <c r="D738" i="16"/>
  <c r="D739" i="16"/>
  <c r="D2203" i="16"/>
  <c r="D1172" i="16"/>
  <c r="D355" i="16"/>
  <c r="D223" i="16"/>
  <c r="D428" i="16"/>
  <c r="D214" i="16"/>
  <c r="D463" i="16"/>
  <c r="D209" i="16"/>
  <c r="D18" i="16"/>
  <c r="D135" i="16"/>
  <c r="D117" i="16"/>
  <c r="D121" i="16"/>
  <c r="D50" i="16"/>
  <c r="D213" i="16"/>
  <c r="D1080" i="16"/>
  <c r="D152" i="16"/>
  <c r="D1417" i="16"/>
  <c r="D1008" i="16"/>
  <c r="D1126" i="16"/>
  <c r="D1583" i="16"/>
  <c r="D571" i="16"/>
  <c r="D190" i="16"/>
  <c r="D1131" i="16"/>
  <c r="D191" i="16"/>
  <c r="D128" i="16"/>
  <c r="D331" i="16"/>
  <c r="D1414" i="16"/>
  <c r="D202" i="16"/>
  <c r="D203" i="16"/>
  <c r="D204" i="16"/>
  <c r="D929" i="16"/>
  <c r="D1609" i="16"/>
  <c r="D2152" i="16"/>
  <c r="D1595" i="16"/>
  <c r="D1127" i="16"/>
  <c r="D1607" i="16"/>
  <c r="D1770" i="16"/>
  <c r="D334" i="16"/>
  <c r="D2062" i="16"/>
  <c r="D840" i="16"/>
  <c r="D2204" i="16"/>
  <c r="D752" i="16"/>
  <c r="D1173" i="16"/>
  <c r="D2205" i="16"/>
  <c r="D1597" i="16"/>
  <c r="D592" i="16"/>
  <c r="D134" i="16"/>
  <c r="D616" i="16"/>
  <c r="D2206" i="16"/>
  <c r="D916" i="16"/>
  <c r="D2207" i="16"/>
  <c r="D1398" i="16"/>
  <c r="D2099" i="16"/>
  <c r="D345" i="16"/>
  <c r="D681" i="16"/>
  <c r="D1413" i="16"/>
  <c r="D715" i="16"/>
  <c r="D1920" i="16"/>
  <c r="D628" i="16"/>
  <c r="D651" i="16"/>
  <c r="D731" i="16"/>
  <c r="D648" i="16"/>
  <c r="D281" i="16"/>
  <c r="D199" i="16"/>
  <c r="D1522" i="16"/>
  <c r="D1805" i="16"/>
  <c r="D466" i="16"/>
  <c r="D2208" i="16"/>
  <c r="D1215" i="16"/>
  <c r="D1819" i="16"/>
  <c r="D1656" i="16"/>
  <c r="D399" i="16"/>
  <c r="D1828" i="16"/>
  <c r="D1750" i="16"/>
  <c r="D1513" i="16"/>
  <c r="D972" i="16"/>
  <c r="D182" i="16"/>
  <c r="D1117" i="16"/>
  <c r="D1273" i="16"/>
  <c r="D1814" i="16"/>
  <c r="D1153" i="16"/>
  <c r="D1788" i="16"/>
  <c r="D1561" i="16"/>
  <c r="D740" i="16"/>
  <c r="D207" i="16"/>
  <c r="D1896" i="16"/>
  <c r="D718" i="16"/>
  <c r="D365" i="16"/>
  <c r="D821" i="16"/>
  <c r="D1373" i="16"/>
  <c r="D1802" i="16"/>
  <c r="D2209" i="16"/>
  <c r="D1845" i="16"/>
  <c r="D2210" i="16"/>
  <c r="D805" i="16"/>
  <c r="D442" i="16"/>
  <c r="D640" i="16"/>
  <c r="D1879" i="16"/>
  <c r="D1590" i="16"/>
  <c r="D825" i="16"/>
  <c r="D1673" i="16"/>
  <c r="D1371" i="16"/>
  <c r="D1564" i="16"/>
  <c r="D55" i="16"/>
  <c r="D24" i="16"/>
  <c r="D1409" i="16"/>
  <c r="D46" i="16"/>
  <c r="D1995" i="16"/>
  <c r="D1617" i="16"/>
  <c r="D1050" i="16"/>
  <c r="D976" i="16"/>
  <c r="D1332" i="16"/>
  <c r="D1531" i="16"/>
  <c r="D224" i="16"/>
  <c r="D26" i="16"/>
  <c r="D719" i="16"/>
  <c r="D552" i="16"/>
  <c r="D553" i="16"/>
  <c r="D554" i="16"/>
  <c r="D555" i="16"/>
  <c r="D2211" i="16"/>
  <c r="D1625" i="16"/>
  <c r="D574" i="16"/>
  <c r="D575" i="16"/>
  <c r="D576" i="16"/>
  <c r="D950" i="16"/>
  <c r="D75" i="16"/>
  <c r="D1370" i="16"/>
  <c r="D2212" i="16"/>
  <c r="D1379" i="16"/>
  <c r="D211" i="16"/>
  <c r="D522" i="16"/>
  <c r="D82" i="16"/>
  <c r="D733" i="16"/>
  <c r="D212" i="16"/>
  <c r="D168" i="16"/>
  <c r="D439" i="16"/>
  <c r="D208" i="16"/>
  <c r="D215" i="16"/>
  <c r="D2213" i="16"/>
  <c r="D2214" i="16"/>
  <c r="D2215" i="16"/>
  <c r="D1902" i="16"/>
  <c r="D951" i="16"/>
  <c r="D1161" i="16"/>
  <c r="D1591" i="16"/>
  <c r="D28" i="16"/>
  <c r="D1562" i="16"/>
  <c r="D238" i="16"/>
  <c r="D239" i="16"/>
  <c r="D240" i="16"/>
  <c r="D584" i="16"/>
  <c r="D585" i="16"/>
  <c r="D437" i="16"/>
  <c r="D83" i="16"/>
  <c r="D29" i="16"/>
  <c r="D73" i="16"/>
  <c r="D586" i="16"/>
  <c r="D595" i="16"/>
  <c r="D596" i="16"/>
  <c r="D467" i="16"/>
  <c r="D71" i="16"/>
  <c r="D45" i="16"/>
  <c r="D763" i="16"/>
  <c r="D764" i="16"/>
  <c r="D421" i="16"/>
  <c r="D633" i="16"/>
  <c r="D557" i="16"/>
  <c r="D338" i="16"/>
  <c r="D1201" i="16"/>
  <c r="D56" i="16"/>
  <c r="D16" i="16"/>
  <c r="D25" i="16"/>
  <c r="D429" i="16"/>
  <c r="D33" i="16"/>
  <c r="D1181" i="16"/>
  <c r="D1182" i="16"/>
  <c r="D1183" i="16"/>
  <c r="D36" i="16"/>
  <c r="D1491" i="16"/>
  <c r="D1133" i="16"/>
  <c r="D234" i="16"/>
  <c r="D471" i="16"/>
  <c r="D302" i="16"/>
  <c r="D303" i="16"/>
  <c r="D1628" i="16"/>
  <c r="D148" i="16"/>
  <c r="D1039" i="16"/>
  <c r="D72" i="16"/>
  <c r="D241" i="16"/>
  <c r="D242" i="16"/>
  <c r="D243" i="16"/>
  <c r="D1514" i="16"/>
  <c r="D1442" i="16"/>
  <c r="D472" i="16"/>
  <c r="D304" i="16"/>
  <c r="D753" i="16"/>
  <c r="D2216" i="16"/>
  <c r="D156" i="16"/>
  <c r="D157" i="16"/>
  <c r="D248" i="16"/>
  <c r="D1771" i="16"/>
  <c r="D123" i="16"/>
  <c r="D2217" i="16"/>
  <c r="D468" i="16"/>
  <c r="D1429" i="16"/>
  <c r="D249" i="16"/>
  <c r="D250" i="16"/>
  <c r="D1430" i="16"/>
  <c r="D2175" i="16"/>
  <c r="D1051" i="16"/>
  <c r="D1096" i="16"/>
  <c r="D949" i="16"/>
  <c r="D312" i="16"/>
  <c r="D1482" i="16"/>
  <c r="D313" i="16"/>
  <c r="D422" i="16"/>
  <c r="D314" i="16"/>
  <c r="D315" i="16"/>
  <c r="D316" i="16"/>
  <c r="D7" i="16"/>
  <c r="D8" i="16"/>
  <c r="D124" i="16"/>
  <c r="D1779" i="16"/>
  <c r="D423" i="16"/>
  <c r="D1277" i="16"/>
  <c r="D1818" i="16"/>
  <c r="D1049" i="16"/>
  <c r="D562" i="16"/>
  <c r="D1431" i="16"/>
  <c r="D741" i="16"/>
  <c r="D931" i="16"/>
  <c r="D396" i="16"/>
  <c r="D577" i="16"/>
  <c r="D578" i="16"/>
  <c r="D990" i="16"/>
  <c r="D1714" i="16"/>
  <c r="D1245" i="16"/>
  <c r="D2218" i="16"/>
  <c r="D352" i="16"/>
  <c r="D353" i="16"/>
  <c r="D354" i="16"/>
  <c r="D136" i="16"/>
  <c r="D125" i="16"/>
  <c r="D1382" i="16"/>
  <c r="D1633" i="16"/>
  <c r="D317" i="16"/>
  <c r="D2071" i="16"/>
  <c r="D855" i="16"/>
  <c r="D856" i="16"/>
  <c r="D857" i="16"/>
  <c r="D473" i="16"/>
  <c r="D797" i="16"/>
  <c r="D798" i="16"/>
  <c r="D799" i="16"/>
  <c r="D1174" i="16"/>
  <c r="D1175" i="16"/>
  <c r="D1176" i="16"/>
  <c r="D1806" i="16"/>
  <c r="D1807" i="16"/>
  <c r="D1034" i="16"/>
  <c r="D1035" i="16"/>
  <c r="D1036" i="16"/>
  <c r="D2080" i="16"/>
  <c r="D809" i="16"/>
  <c r="D810" i="16"/>
  <c r="D811" i="16"/>
  <c r="D1358" i="16"/>
  <c r="D1359" i="16"/>
  <c r="D87" i="16"/>
  <c r="D88" i="16"/>
  <c r="D514" i="16"/>
  <c r="D515" i="16"/>
  <c r="D516" i="16"/>
  <c r="D2009" i="16"/>
  <c r="D2010" i="16"/>
  <c r="D1003" i="16"/>
  <c r="D1004" i="16"/>
  <c r="D1005" i="16"/>
  <c r="D431" i="16"/>
  <c r="D432" i="16"/>
  <c r="D433" i="16"/>
  <c r="D1155" i="16"/>
  <c r="D1156" i="16"/>
  <c r="D1157" i="16"/>
  <c r="D683" i="16"/>
  <c r="D684" i="16"/>
  <c r="D685" i="16"/>
  <c r="D780" i="16"/>
  <c r="D781" i="16"/>
  <c r="D782" i="16"/>
  <c r="D706" i="16"/>
  <c r="D707" i="16"/>
  <c r="D708" i="16"/>
  <c r="D1041" i="16"/>
  <c r="D342" i="16"/>
  <c r="D343" i="16"/>
  <c r="D774" i="16"/>
  <c r="D775" i="16"/>
  <c r="D776" i="16"/>
  <c r="D911" i="16"/>
  <c r="D912" i="16"/>
  <c r="D388" i="16"/>
  <c r="D389" i="16"/>
  <c r="D390" i="16"/>
  <c r="D546" i="16"/>
  <c r="D547" i="16"/>
  <c r="D1752" i="16"/>
  <c r="D1753" i="16"/>
  <c r="D563" i="16"/>
  <c r="D564" i="16"/>
  <c r="D565" i="16"/>
  <c r="D566" i="16"/>
  <c r="D1638" i="16"/>
  <c r="D1639" i="16"/>
  <c r="D1060" i="16"/>
  <c r="D1061" i="16"/>
  <c r="D1062" i="16"/>
  <c r="D722" i="16"/>
  <c r="D723" i="16"/>
  <c r="D724" i="16"/>
  <c r="D677" i="16"/>
  <c r="D678" i="16"/>
  <c r="D140" i="16"/>
  <c r="D1916" i="16"/>
  <c r="D1715" i="16"/>
  <c r="D1716" i="16"/>
  <c r="D1717" i="16"/>
  <c r="D886" i="16"/>
  <c r="D887" i="16"/>
  <c r="D888" i="16"/>
  <c r="D1011" i="16"/>
  <c r="D1012" i="16"/>
  <c r="D1013" i="16"/>
  <c r="D1785" i="16"/>
  <c r="D104" i="16"/>
  <c r="D1699" i="16"/>
  <c r="D1308" i="16"/>
  <c r="D1247" i="16"/>
  <c r="D1870" i="16"/>
  <c r="D2219" i="16"/>
  <c r="D2220" i="16"/>
  <c r="D850" i="16"/>
  <c r="D1556" i="16"/>
  <c r="D1743" i="16"/>
  <c r="D2143" i="16"/>
  <c r="D1812" i="16"/>
  <c r="D1378" i="16"/>
  <c r="D1912" i="16"/>
  <c r="D1727" i="16"/>
  <c r="D2077" i="16"/>
  <c r="D1260" i="16"/>
  <c r="D1997" i="16"/>
  <c r="D1940" i="16"/>
  <c r="D1512" i="16"/>
  <c r="D1873" i="16"/>
  <c r="D2070" i="16"/>
  <c r="D2125" i="16"/>
  <c r="D1184" i="16"/>
  <c r="D1765" i="16"/>
  <c r="D1722" i="16"/>
  <c r="D1859" i="16"/>
  <c r="D1786" i="16"/>
  <c r="D1921" i="16"/>
  <c r="D2221" i="16"/>
  <c r="D2073" i="16"/>
  <c r="D1344" i="16"/>
  <c r="D2061" i="16"/>
  <c r="D1917" i="16"/>
  <c r="D1918" i="16"/>
  <c r="D548" i="16"/>
  <c r="D725" i="16"/>
  <c r="D1808" i="16"/>
  <c r="D812" i="16"/>
  <c r="D813" i="16"/>
  <c r="D889" i="16"/>
  <c r="D105" i="16"/>
  <c r="D1841" i="16"/>
  <c r="D1842" i="16"/>
  <c r="D1191" i="16"/>
  <c r="D1192" i="16"/>
  <c r="D34" i="16"/>
  <c r="D35" i="16"/>
  <c r="D391" i="16"/>
  <c r="D426" i="16"/>
  <c r="D913" i="16"/>
  <c r="D474" i="16"/>
  <c r="D1042" i="16"/>
  <c r="D1360" i="16"/>
  <c r="D1006" i="16"/>
  <c r="D1007" i="16"/>
  <c r="D800" i="16"/>
  <c r="D801" i="16"/>
  <c r="D802" i="16"/>
  <c r="D803" i="16"/>
  <c r="D89" i="16"/>
  <c r="D90" i="16"/>
  <c r="D91" i="16"/>
  <c r="D2011" i="16"/>
  <c r="D686" i="16"/>
  <c r="D858" i="16"/>
  <c r="D1640" i="16"/>
  <c r="D517" i="16"/>
  <c r="D518" i="16"/>
  <c r="D519" i="16"/>
  <c r="D434" i="16"/>
  <c r="D344" i="16"/>
  <c r="D1037" i="16"/>
  <c r="D1038" i="16"/>
  <c r="D1063" i="16"/>
  <c r="D1718" i="16"/>
  <c r="D1177" i="16"/>
  <c r="D1178" i="16"/>
  <c r="D679" i="16"/>
  <c r="D2081" i="16"/>
  <c r="D141" i="16"/>
  <c r="D142" i="16"/>
  <c r="D783" i="16"/>
  <c r="D709" i="16"/>
  <c r="D1158" i="16"/>
  <c r="D1159" i="16"/>
  <c r="D1754" i="16"/>
  <c r="D1014" i="16"/>
  <c r="D567" i="16"/>
  <c r="D568" i="16"/>
  <c r="D569" i="16"/>
  <c r="D570" i="16"/>
  <c r="D777" i="16"/>
  <c r="D1248" i="16"/>
  <c r="D531" i="16"/>
  <c r="D1521" i="16"/>
  <c r="D1185" i="16"/>
  <c r="D1186" i="16"/>
  <c r="D1187" i="16"/>
  <c r="D1188" i="16"/>
  <c r="D1998" i="16"/>
  <c r="D1999" i="16"/>
  <c r="D1193" i="16"/>
  <c r="D795" i="16"/>
  <c r="D2222" i="16"/>
  <c r="D2223" i="16"/>
  <c r="D2224" i="16"/>
  <c r="D1309" i="16"/>
  <c r="D1310" i="16"/>
  <c r="D1311" i="16"/>
  <c r="D1312" i="16"/>
  <c r="D1313" i="16"/>
  <c r="D1730" i="16"/>
  <c r="D1833" i="16"/>
  <c r="D851" i="16"/>
  <c r="D2225" i="16"/>
  <c r="D1787" i="16"/>
  <c r="D1941" i="16"/>
  <c r="D1874" i="16"/>
  <c r="D1875" i="16"/>
  <c r="D1813" i="16"/>
  <c r="D143" i="16"/>
  <c r="D1010" i="16"/>
  <c r="D1601" i="16"/>
  <c r="D1559" i="16"/>
  <c r="D2226" i="16"/>
  <c r="D1496" i="16"/>
  <c r="D1509" i="16"/>
  <c r="D2105" i="16"/>
  <c r="D2104" i="16"/>
  <c r="D1933" i="16"/>
  <c r="D201" i="16"/>
  <c r="D1816" i="16"/>
  <c r="D1537" i="16"/>
  <c r="D2227" i="16"/>
  <c r="D2141" i="16"/>
  <c r="D2142" i="16"/>
  <c r="D2012" i="16"/>
  <c r="D84" i="16"/>
  <c r="D699" i="16"/>
  <c r="D816" i="16"/>
  <c r="D1887" i="16"/>
  <c r="D1888" i="16"/>
  <c r="D1146" i="16"/>
  <c r="D682" i="16"/>
  <c r="D712" i="16"/>
  <c r="D1525" i="16"/>
  <c r="D591" i="16"/>
  <c r="D2139" i="16"/>
  <c r="D817" i="16"/>
  <c r="D2110" i="16"/>
  <c r="D2024" i="16"/>
  <c r="D1518" i="16"/>
  <c r="D771" i="16"/>
  <c r="D772" i="16"/>
  <c r="D773" i="16"/>
  <c r="D457" i="16"/>
  <c r="D458" i="16"/>
  <c r="D885" i="16"/>
  <c r="D632" i="16"/>
  <c r="D1268" i="16"/>
  <c r="D613" i="16"/>
  <c r="D593" i="16"/>
  <c r="D1669" i="16"/>
  <c r="D1391" i="16"/>
  <c r="D1670" i="16"/>
  <c r="D1044" i="16"/>
  <c r="D666" i="16"/>
  <c r="D1728" i="16"/>
  <c r="D1059" i="16"/>
  <c r="D1165" i="16"/>
  <c r="D1198" i="16"/>
  <c r="D1407" i="16"/>
  <c r="D1113" i="16"/>
  <c r="D479" i="16"/>
  <c r="D1570" i="16"/>
  <c r="D1571" i="16"/>
  <c r="D1572" i="16"/>
  <c r="D2163" i="16"/>
  <c r="D2028" i="16"/>
  <c r="D690" i="16"/>
  <c r="D1092" i="16"/>
  <c r="D667" i="16"/>
  <c r="D1297" i="16"/>
  <c r="D1102" i="16"/>
  <c r="D1815" i="16"/>
  <c r="D1045" i="16"/>
  <c r="D1046" i="16"/>
  <c r="D832" i="16"/>
  <c r="D1746" i="16"/>
  <c r="D1756" i="16"/>
  <c r="D78" i="16"/>
  <c r="D1526" i="16"/>
  <c r="D968" i="16"/>
  <c r="D2228" i="16"/>
  <c r="D827" i="16"/>
  <c r="D1278" i="16"/>
  <c r="D1361" i="16"/>
  <c r="D961" i="16"/>
  <c r="D1362" i="16"/>
  <c r="D1803" i="16"/>
  <c r="D2229" i="16"/>
  <c r="D2230" i="16"/>
  <c r="D2231" i="16"/>
  <c r="D906" i="16"/>
  <c r="D865" i="16"/>
  <c r="D1589" i="16"/>
  <c r="D818" i="16"/>
  <c r="D819" i="16"/>
  <c r="D964" i="16"/>
  <c r="D820" i="16"/>
  <c r="D268" i="16"/>
  <c r="D1825" i="16"/>
  <c r="D1704" i="16"/>
  <c r="D2147" i="16"/>
  <c r="D594" i="16"/>
  <c r="D1505" i="16"/>
  <c r="D1579" i="16"/>
  <c r="D1298" i="16"/>
  <c r="D1757" i="16"/>
  <c r="D1758" i="16"/>
  <c r="D668" i="16"/>
  <c r="D305" i="16"/>
  <c r="D1747" i="16"/>
  <c r="D581" i="16"/>
  <c r="D590" i="16"/>
  <c r="D1438" i="16"/>
  <c r="D1830" i="16"/>
  <c r="D1790" i="16"/>
  <c r="D1630" i="16"/>
  <c r="D1608" i="16"/>
  <c r="D1272" i="16"/>
  <c r="D1463" i="16"/>
  <c r="D2232" i="16"/>
  <c r="D1599" i="16"/>
  <c r="D2233" i="16"/>
  <c r="D1632" i="16"/>
  <c r="D1472" i="16"/>
  <c r="D1993" i="16"/>
  <c r="D2172" i="16"/>
  <c r="D2234" i="16"/>
  <c r="D2109" i="16"/>
  <c r="D2235" i="16"/>
  <c r="D909" i="16"/>
  <c r="D147" i="16"/>
  <c r="D96" i="16"/>
  <c r="D695" i="16"/>
  <c r="D1221" i="16"/>
  <c r="D608" i="16"/>
  <c r="D1098" i="16"/>
  <c r="D629" i="16"/>
  <c r="D484" i="16"/>
  <c r="D945" i="16"/>
  <c r="D1076" i="16"/>
  <c r="D1355" i="16"/>
  <c r="D498" i="16"/>
  <c r="D503" i="16"/>
  <c r="D129" i="16"/>
  <c r="D1099" i="16"/>
  <c r="D485" i="16"/>
  <c r="D946" i="16"/>
  <c r="D696" i="16"/>
  <c r="D609" i="16"/>
  <c r="D504" i="16"/>
  <c r="D325" i="16"/>
  <c r="D130" i="16"/>
  <c r="D97" i="16"/>
  <c r="D867" i="16"/>
  <c r="D1100" i="16"/>
  <c r="D630" i="16"/>
  <c r="D361" i="16"/>
  <c r="D486" i="16"/>
  <c r="D1077" i="16"/>
  <c r="D499" i="16"/>
  <c r="D697" i="16"/>
  <c r="D910" i="16"/>
  <c r="D991" i="16"/>
  <c r="D326" i="16"/>
  <c r="D131" i="16"/>
  <c r="D98" i="16"/>
  <c r="D631" i="16"/>
  <c r="D362" i="16"/>
  <c r="D500" i="16"/>
  <c r="D614" i="16"/>
  <c r="D1230" i="16"/>
  <c r="D1950" i="16"/>
  <c r="D1960" i="16"/>
  <c r="D1651" i="16"/>
  <c r="D1239" i="16"/>
  <c r="D149" i="16"/>
  <c r="D274" i="16"/>
  <c r="D868" i="16"/>
  <c r="D869" i="16"/>
  <c r="D870" i="16"/>
  <c r="D100" i="16"/>
  <c r="D967" i="16"/>
  <c r="D610" i="16"/>
  <c r="D1240" i="16"/>
  <c r="D871" i="16"/>
  <c r="D32" i="16"/>
  <c r="D174" i="16"/>
  <c r="D702" i="16"/>
  <c r="D1028" i="16"/>
  <c r="D2136" i="16"/>
  <c r="D505" i="16"/>
  <c r="D99" i="16"/>
  <c r="D852" i="16"/>
  <c r="D327" i="16"/>
  <c r="D1142" i="16"/>
  <c r="D363" i="16"/>
  <c r="D1376" i="16"/>
  <c r="D1093" i="16"/>
  <c r="D509" i="16"/>
  <c r="D872" i="16"/>
  <c r="D1418" i="16"/>
  <c r="D703" i="16"/>
  <c r="D704" i="16"/>
  <c r="D1029" i="16"/>
  <c r="D1030" i="16"/>
  <c r="D2137" i="16"/>
  <c r="D2138" i="16"/>
  <c r="D1094" i="16"/>
  <c r="D1095" i="16"/>
  <c r="D1326" i="16"/>
  <c r="D1327" i="16"/>
  <c r="D1328" i="16"/>
  <c r="D938" i="16"/>
  <c r="D939" i="16"/>
  <c r="D940" i="16"/>
  <c r="D1356" i="16"/>
  <c r="D1143" i="16"/>
  <c r="D1144" i="16"/>
  <c r="D1078" i="16"/>
  <c r="D853" i="16"/>
  <c r="D854" i="16"/>
  <c r="D510" i="16"/>
  <c r="D511" i="16"/>
  <c r="D172" i="16"/>
  <c r="D173" i="16"/>
  <c r="D1419" i="16"/>
  <c r="D1420" i="16"/>
  <c r="D615" i="16"/>
  <c r="D2236" i="16"/>
  <c r="D1101" i="16"/>
  <c r="D150" i="16"/>
  <c r="D275" i="16"/>
  <c r="D1602" i="16"/>
  <c r="D1661" i="16"/>
  <c r="D1871" i="16"/>
  <c r="D1662" i="16"/>
  <c r="D2151" i="16"/>
  <c r="D2237" i="16"/>
  <c r="D306" i="16"/>
  <c r="D2238" i="16"/>
  <c r="D1528" i="16"/>
  <c r="D2239" i="16"/>
  <c r="D2086" i="16"/>
  <c r="D2240" i="16"/>
  <c r="D2007" i="16"/>
  <c r="D1733" i="16"/>
  <c r="D1766" i="16"/>
  <c r="D2002" i="16"/>
  <c r="D2169" i="16"/>
  <c r="D1903" i="16"/>
  <c r="D1760" i="16"/>
  <c r="D1737" i="16"/>
  <c r="D1677" i="16"/>
  <c r="D2119" i="16"/>
  <c r="D2148" i="16"/>
  <c r="D2241" i="16"/>
  <c r="D2149" i="16"/>
  <c r="D2067" i="16"/>
  <c r="D1957" i="16"/>
  <c r="D2122" i="16"/>
  <c r="D1434" i="16"/>
  <c r="D2133" i="16"/>
  <c r="D2242" i="16"/>
  <c r="D1792" i="16"/>
  <c r="D2093" i="16"/>
  <c r="D1735" i="16"/>
  <c r="D1224" i="16"/>
  <c r="D1910" i="16"/>
  <c r="D1911" i="16"/>
  <c r="D2243" i="16"/>
  <c r="D2244" i="16"/>
  <c r="D2180" i="16"/>
  <c r="D2245" i="16"/>
  <c r="D2246" i="16"/>
  <c r="D2247" i="16"/>
  <c r="D1799" i="16"/>
  <c r="D2248" i="16"/>
  <c r="D2249" i="16"/>
  <c r="D1685" i="16"/>
  <c r="D1289" i="16"/>
  <c r="D1671" i="16"/>
  <c r="D2250" i="16"/>
  <c r="D2251" i="16"/>
  <c r="D2252" i="16"/>
  <c r="D2146" i="16"/>
  <c r="D2097" i="16"/>
  <c r="D2157" i="16"/>
  <c r="D1288" i="16"/>
  <c r="D636" i="16"/>
  <c r="D1797" i="16"/>
  <c r="D1675" i="16"/>
  <c r="D1939" i="16"/>
  <c r="D1104" i="16"/>
  <c r="D2127" i="16"/>
  <c r="D1517" i="16"/>
  <c r="D1287" i="16"/>
  <c r="D1209" i="16"/>
  <c r="D120" i="16"/>
  <c r="D1336" i="16"/>
  <c r="D1380" i="16"/>
  <c r="D2089" i="16"/>
  <c r="D408" i="16"/>
  <c r="D189" i="16"/>
  <c r="D1759" i="16"/>
  <c r="D1089" i="16"/>
  <c r="D979" i="16"/>
  <c r="D980" i="16"/>
  <c r="D1468" i="16"/>
  <c r="D1415" i="16"/>
  <c r="D1944" i="16"/>
  <c r="D1461" i="16"/>
  <c r="D1462" i="16"/>
  <c r="D2253" i="16"/>
  <c r="D1031" i="16"/>
  <c r="D480" i="16"/>
  <c r="D481" i="16"/>
  <c r="D482" i="16"/>
  <c r="D483" i="16"/>
  <c r="D507" i="16"/>
  <c r="D508" i="16"/>
  <c r="D2254" i="16"/>
  <c r="D2255" i="16"/>
  <c r="D1618" i="16"/>
  <c r="D1421" i="16"/>
  <c r="D1516" i="16"/>
  <c r="D1249" i="16"/>
  <c r="D1250" i="16"/>
  <c r="D372" i="16"/>
  <c r="D373" i="16"/>
  <c r="D1930" i="16"/>
  <c r="D1389" i="16"/>
  <c r="D746" i="16"/>
  <c r="D438" i="16"/>
  <c r="D1889" i="16"/>
  <c r="D307" i="16"/>
  <c r="D1369" i="16"/>
  <c r="D2256" i="16"/>
  <c r="D915" i="16"/>
  <c r="D2257" i="16"/>
  <c r="D2258" i="16"/>
  <c r="D2158" i="16"/>
  <c r="D637" i="16"/>
  <c r="D2128" i="16"/>
  <c r="D2259" i="16"/>
  <c r="D2260" i="16"/>
  <c r="D2261" i="16"/>
  <c r="D2134" i="16"/>
  <c r="D728" i="16"/>
  <c r="D2170" i="16"/>
  <c r="D880" i="16"/>
  <c r="D1466" i="16"/>
  <c r="D1843" i="16"/>
  <c r="D2262" i="16"/>
  <c r="D86" i="16"/>
  <c r="D2083" i="16"/>
  <c r="D1719" i="16"/>
  <c r="D2263" i="16"/>
  <c r="D1458" i="16"/>
  <c r="D866" i="16"/>
  <c r="D2076" i="16"/>
  <c r="D2123" i="16"/>
  <c r="D405" i="16"/>
  <c r="D864" i="16"/>
  <c r="D1653" i="16"/>
  <c r="D1164" i="16"/>
  <c r="D742" i="16"/>
  <c r="D1290" i="16"/>
  <c r="D778" i="16"/>
  <c r="D744" i="16"/>
  <c r="D897" i="16"/>
  <c r="D2264" i="16"/>
  <c r="D2265" i="16"/>
  <c r="D158" i="16"/>
  <c r="D159" i="16"/>
  <c r="D1942" i="16"/>
  <c r="D297" i="16"/>
  <c r="D841" i="16"/>
  <c r="D1858" i="16"/>
  <c r="D638" i="16"/>
  <c r="D2132" i="16"/>
  <c r="D1598" i="16"/>
  <c r="D1798" i="16"/>
  <c r="D1882" i="16"/>
  <c r="D424" i="16"/>
  <c r="D425" i="16"/>
  <c r="D9" i="16"/>
  <c r="D1052" i="16"/>
  <c r="D2162" i="16"/>
  <c r="D2082" i="16"/>
  <c r="D2150" i="16"/>
  <c r="D2094" i="16"/>
  <c r="D1837" i="16"/>
  <c r="D256" i="16"/>
  <c r="D1331" i="16"/>
  <c r="D1660" i="16"/>
  <c r="D364" i="16"/>
  <c r="D954" i="16"/>
  <c r="D2013" i="16"/>
  <c r="D2266" i="16"/>
  <c r="D1755" i="16"/>
  <c r="D558" i="16"/>
  <c r="D448" i="16"/>
  <c r="D860" i="16"/>
  <c r="D1854" i="16"/>
  <c r="D137" i="16"/>
  <c r="D192" i="16"/>
  <c r="D561" i="16"/>
  <c r="D743" i="16"/>
  <c r="D814" i="16"/>
  <c r="D815" i="16"/>
  <c r="D2267" i="16"/>
  <c r="D2120" i="16"/>
  <c r="D914" i="16"/>
  <c r="D346" i="16"/>
  <c r="D443" i="16"/>
  <c r="D444" i="16"/>
  <c r="D260" i="16"/>
  <c r="D445" i="16"/>
  <c r="D446" i="16"/>
  <c r="D293" i="16"/>
  <c r="D1674" i="16"/>
  <c r="D1682" i="16"/>
  <c r="D1683" i="16"/>
  <c r="D2126" i="16"/>
  <c r="D2268" i="16"/>
  <c r="D1964" i="16"/>
  <c r="D792" i="16"/>
  <c r="D793" i="16"/>
  <c r="D1547" i="16"/>
  <c r="D2269" i="16"/>
  <c r="D1686" i="16"/>
  <c r="D1687" i="16"/>
  <c r="D1688" i="16"/>
  <c r="D2270" i="16"/>
  <c r="D2102" i="16"/>
  <c r="D2271" i="16"/>
  <c r="D2272" i="16"/>
  <c r="D1655" i="16"/>
  <c r="D732" i="16"/>
  <c r="D1678" i="16"/>
  <c r="D973" i="16"/>
  <c r="D974" i="16"/>
  <c r="D1622" i="16"/>
  <c r="D1084" i="16"/>
  <c r="D2273" i="16"/>
  <c r="D1196" i="16"/>
  <c r="D2087" i="16"/>
  <c r="D1533" i="16"/>
  <c r="D2274" i="16"/>
  <c r="D1885" i="16"/>
  <c r="D2275" i="16"/>
  <c r="D1483" i="16"/>
  <c r="D1914" i="16"/>
  <c r="D292" i="16"/>
  <c r="D1448" i="16"/>
  <c r="D2276" i="16"/>
  <c r="D2277" i="16"/>
  <c r="D1689" i="16"/>
  <c r="D2278" i="16"/>
  <c r="D1335" i="16"/>
  <c r="D534" i="16"/>
  <c r="D535" i="16"/>
  <c r="D536" i="16"/>
  <c r="D537" i="16"/>
  <c r="D538" i="16"/>
  <c r="D539" i="16"/>
  <c r="D1943" i="16"/>
  <c r="D1333" i="16"/>
  <c r="D409" i="16"/>
  <c r="D410" i="16"/>
  <c r="D411" i="16"/>
  <c r="D412" i="16"/>
  <c r="D413" i="16"/>
  <c r="D414" i="16"/>
  <c r="D415" i="16"/>
  <c r="D416" i="16"/>
  <c r="D417" i="16"/>
  <c r="D418" i="16"/>
  <c r="D877" i="16"/>
  <c r="D807" i="16"/>
  <c r="D1690" i="16"/>
  <c r="D1652" i="16"/>
  <c r="D2154" i="16"/>
  <c r="D1691" i="16"/>
  <c r="D2003" i="16"/>
  <c r="D1658" i="16"/>
  <c r="D2279" i="16"/>
  <c r="D2280" i="16"/>
  <c r="D1927" i="16"/>
  <c r="D1684" i="16"/>
  <c r="D2281" i="16"/>
  <c r="D1692" i="16"/>
  <c r="D1820" i="16"/>
  <c r="D2282" i="16"/>
  <c r="D2283" i="16"/>
  <c r="D164" i="16"/>
  <c r="D165" i="16"/>
  <c r="D166" i="16"/>
  <c r="D167" i="16"/>
  <c r="D401" i="16"/>
  <c r="D402" i="16"/>
  <c r="D403" i="16"/>
  <c r="D2072" i="16"/>
  <c r="D2284" i="16"/>
  <c r="D1913" i="16"/>
  <c r="D222" i="16"/>
  <c r="D30" i="16"/>
  <c r="D101" i="16"/>
  <c r="D102" i="16"/>
  <c r="D103" i="16"/>
  <c r="D114" i="16"/>
  <c r="D115" i="16"/>
  <c r="D2066" i="16"/>
  <c r="D2018" i="16"/>
  <c r="D356" i="16"/>
  <c r="D116" i="16"/>
  <c r="D107" i="16"/>
  <c r="D108" i="16"/>
  <c r="D1626" i="16"/>
  <c r="D109" i="16"/>
  <c r="D251" i="16"/>
  <c r="D252" i="16"/>
  <c r="D253" i="16"/>
  <c r="D2285" i="16"/>
  <c r="D254" i="16"/>
  <c r="D255" i="16"/>
  <c r="D1762" i="16"/>
  <c r="D1763" i="16"/>
  <c r="D1764" i="16"/>
  <c r="D447" i="16"/>
  <c r="D540" i="16"/>
  <c r="D541" i="16"/>
  <c r="D882" i="16"/>
  <c r="D978" i="16"/>
  <c r="D1693" i="16"/>
  <c r="D1694" i="16"/>
  <c r="D404" i="16"/>
  <c r="D1616" i="16"/>
  <c r="D340" i="16"/>
  <c r="D341" i="16"/>
  <c r="D2286" i="16"/>
  <c r="D2287" i="16"/>
  <c r="D1919" i="16"/>
  <c r="D333" i="16"/>
  <c r="D1848" i="16"/>
  <c r="D2288" i="16"/>
  <c r="D2289" i="16"/>
  <c r="D2290" i="16"/>
  <c r="D2091" i="16"/>
  <c r="D2121" i="16"/>
  <c r="D1664" i="16"/>
  <c r="D1969" i="16"/>
  <c r="D2032" i="16"/>
  <c r="D2159" i="16"/>
  <c r="D1713" i="16"/>
  <c r="D1343" i="16"/>
  <c r="D2038" i="16"/>
  <c r="D1970" i="16"/>
  <c r="D1354" i="16"/>
  <c r="D2039" i="16"/>
  <c r="D1706" i="16"/>
  <c r="D1672" i="16"/>
  <c r="D1554" i="16"/>
  <c r="D1695" i="16"/>
  <c r="D1374" i="16"/>
  <c r="D1631" i="16"/>
  <c r="D1372" i="16"/>
  <c r="D1665" i="16"/>
  <c r="D1666" i="16"/>
  <c r="D1635" i="16"/>
  <c r="D1895" i="16"/>
  <c r="D1307" i="16"/>
  <c r="D873" i="16"/>
  <c r="D1936" i="16"/>
  <c r="D1225" i="16"/>
  <c r="D1624" i="16"/>
  <c r="D1775" i="16"/>
  <c r="D1549" i="16"/>
  <c r="D986" i="16"/>
  <c r="D956" i="16"/>
  <c r="D1621" i="16"/>
  <c r="D1776" i="16"/>
  <c r="D1860" i="16"/>
  <c r="D987" i="16"/>
  <c r="D988" i="16"/>
  <c r="D989" i="16"/>
  <c r="D957" i="16"/>
  <c r="D958" i="16"/>
  <c r="D959" i="16"/>
  <c r="D2291" i="16"/>
  <c r="D2292" i="16"/>
  <c r="D2040" i="16"/>
  <c r="D2041" i="16"/>
  <c r="D2042" i="16"/>
  <c r="D2293" i="16"/>
  <c r="D2171" i="16"/>
  <c r="D2043" i="16"/>
  <c r="D1696" i="16"/>
  <c r="D1623" i="16"/>
  <c r="D1849" i="16"/>
  <c r="D1979" i="16"/>
  <c r="D1412" i="16"/>
  <c r="D1742" i="16"/>
  <c r="D1410" i="16"/>
  <c r="D1237" i="16"/>
  <c r="D1238" i="16"/>
  <c r="D1269" i="16"/>
  <c r="D1264" i="16"/>
  <c r="D1255" i="16"/>
  <c r="D1793" i="16"/>
  <c r="D1794" i="16"/>
  <c r="D2294" i="16"/>
  <c r="D1546" i="16"/>
  <c r="D1375" i="16"/>
  <c r="D2295" i="16"/>
  <c r="D1697" i="16"/>
  <c r="D1698" i="16"/>
  <c r="D1636" i="16"/>
  <c r="D1641" i="16"/>
  <c r="D1667" i="16"/>
  <c r="D1778" i="16"/>
  <c r="D1985" i="16"/>
  <c r="D1323" i="16"/>
  <c r="D1988" i="16"/>
  <c r="D1821" i="16"/>
  <c r="D1265" i="16"/>
  <c r="D994" i="16"/>
  <c r="D823" i="16"/>
  <c r="D1132" i="16"/>
  <c r="D1381" i="16"/>
  <c r="D1592" i="16"/>
  <c r="D1217" i="16"/>
  <c r="D1189" i="16"/>
  <c r="D2044" i="16"/>
  <c r="D1465" i="16"/>
  <c r="D2045" i="16"/>
  <c r="D1663" i="16"/>
  <c r="D1259" i="16"/>
  <c r="D1492" i="16"/>
  <c r="D983" i="16"/>
  <c r="D1455" i="16"/>
  <c r="D960" i="16"/>
  <c r="D1811" i="16"/>
  <c r="D2296" i="16"/>
  <c r="D2046" i="16"/>
  <c r="D2047" i="16"/>
  <c r="D2297" i="16"/>
  <c r="D2298" i="16"/>
  <c r="D1726" i="16"/>
  <c r="D1935" i="16"/>
  <c r="D2299" i="16"/>
  <c r="D1729" i="16"/>
  <c r="D218" i="16"/>
  <c r="D1971" i="16"/>
  <c r="D1972" i="16"/>
  <c r="D2179" i="16"/>
  <c r="D1329" i="16"/>
  <c r="D380" i="16"/>
  <c r="D381" i="16"/>
  <c r="D2048" i="16"/>
  <c r="D2300" i="16"/>
  <c r="D2144" i="16"/>
  <c r="D1906" i="16"/>
  <c r="D2153" i="16"/>
  <c r="D219" i="16"/>
  <c r="D220" i="16"/>
  <c r="D1423" i="16"/>
  <c r="D1637" i="16"/>
  <c r="D2049" i="16"/>
  <c r="D2027" i="16"/>
  <c r="D1959" i="16"/>
  <c r="D2014" i="16"/>
  <c r="D1958" i="16"/>
  <c r="D1947" i="16"/>
  <c r="D1973" i="16"/>
  <c r="D2050" i="16"/>
  <c r="D41" i="16"/>
  <c r="D42" i="16"/>
  <c r="D43" i="16"/>
  <c r="D2301" i="16"/>
  <c r="D44" i="16"/>
  <c r="D2165" i="16"/>
  <c r="D2034" i="16"/>
  <c r="D2302" i="16"/>
  <c r="D1515" i="16"/>
  <c r="D2116" i="16"/>
  <c r="D1834" i="16"/>
  <c r="D1322" i="16"/>
  <c r="D1961" i="16"/>
  <c r="D1907" i="16"/>
  <c r="D2051" i="16"/>
  <c r="D1424" i="16"/>
  <c r="D2303" i="16"/>
  <c r="D1909" i="16"/>
  <c r="D1330" i="16"/>
  <c r="D2033" i="16"/>
  <c r="D67" i="16"/>
  <c r="D68" i="16"/>
  <c r="D1791" i="16"/>
  <c r="D2052" i="16"/>
  <c r="D1456" i="16"/>
  <c r="D1594" i="16"/>
  <c r="D69" i="16"/>
  <c r="D382" i="16"/>
  <c r="D85" i="16"/>
  <c r="D2304" i="16"/>
  <c r="D70" i="16"/>
  <c r="D669" i="16"/>
  <c r="D1703" i="16"/>
  <c r="D617" i="16"/>
  <c r="D580" i="16"/>
  <c r="D618" i="16"/>
  <c r="D619" i="16"/>
  <c r="D620" i="16"/>
  <c r="D621" i="16"/>
  <c r="D622" i="16"/>
  <c r="D1563" i="16"/>
  <c r="D676" i="16"/>
  <c r="D670" i="16"/>
  <c r="D828" i="16"/>
  <c r="D829" i="16"/>
  <c r="D830" i="16"/>
  <c r="D244" i="16"/>
  <c r="D245" i="16"/>
  <c r="D1777" i="16"/>
  <c r="D1700" i="16"/>
  <c r="D1548" i="16"/>
  <c r="D844" i="16"/>
  <c r="D845" i="16"/>
  <c r="D1166" i="16"/>
  <c r="D2053" i="16"/>
  <c r="D2305" i="16"/>
  <c r="D377" i="16"/>
  <c r="D378" i="16"/>
  <c r="D379" i="16"/>
  <c r="D229" i="16"/>
  <c r="D230" i="16"/>
  <c r="D231" i="16"/>
  <c r="D1795" i="16"/>
  <c r="D1891" i="16"/>
  <c r="D1923" i="16"/>
  <c r="D2054" i="16"/>
  <c r="D2306" i="16"/>
  <c r="D1839" i="16"/>
  <c r="D1945" i="16"/>
  <c r="D1974" i="16"/>
  <c r="D1835" i="16"/>
  <c r="D1085" i="16"/>
  <c r="D1086" i="16"/>
  <c r="D1422" i="16"/>
  <c r="D1145" i="16"/>
  <c r="D1057" i="16"/>
  <c r="D1584" i="16"/>
  <c r="D1773" i="16"/>
  <c r="D1789" i="16"/>
  <c r="D1883" i="16"/>
  <c r="D1058" i="16"/>
  <c r="D1119" i="16"/>
  <c r="D1840" i="16"/>
  <c r="D846" i="16"/>
  <c r="D1254" i="16"/>
  <c r="D322" i="16"/>
  <c r="D2036" i="16"/>
  <c r="D2037" i="16"/>
  <c r="D1527" i="16"/>
  <c r="D1975" i="16"/>
  <c r="D1984" i="16"/>
  <c r="D1220" i="16"/>
  <c r="D1894" i="16"/>
  <c r="D1634" i="16"/>
  <c r="D2307" i="16"/>
  <c r="D2173" i="16"/>
  <c r="D1929" i="16"/>
  <c r="D2166" i="16"/>
  <c r="D2023" i="16"/>
  <c r="D1926" i="16"/>
  <c r="D1836" i="16"/>
  <c r="D1334" i="16"/>
  <c r="D2308" i="16"/>
  <c r="D1976" i="16"/>
  <c r="D1908" i="16"/>
  <c r="D1781" i="16"/>
  <c r="D2000" i="16"/>
  <c r="D2129" i="16"/>
  <c r="D1657" i="16"/>
  <c r="D1829" i="16"/>
  <c r="D1955" i="16"/>
  <c r="D2035" i="16"/>
  <c r="D1977" i="16"/>
  <c r="D2309" i="16"/>
  <c r="D2310" i="16"/>
  <c r="D2031" i="16"/>
  <c r="D2055" i="16"/>
  <c r="D2030" i="16"/>
  <c r="D1968" i="16"/>
  <c r="D2311" i="16"/>
  <c r="D1952" i="16"/>
  <c r="D2312" i="16"/>
  <c r="D2313" i="16"/>
  <c r="D2314" i="16"/>
  <c r="D1869" i="16"/>
  <c r="D1953" i="16"/>
  <c r="D1892" i="16"/>
  <c r="D1831" i="16"/>
  <c r="D1866" i="16"/>
  <c r="D2315" i="16"/>
  <c r="D2026" i="16"/>
  <c r="D1668" i="16"/>
  <c r="D2131" i="16"/>
  <c r="D1745" i="16"/>
  <c r="D2316" i="16"/>
  <c r="D2317" i="16"/>
  <c r="D2056" i="16"/>
  <c r="D2318" i="16"/>
  <c r="D2319" i="16"/>
  <c r="D2118" i="16"/>
  <c r="D1951" i="16"/>
  <c r="D1252" i="16"/>
  <c r="D217" i="16"/>
  <c r="D369" i="16"/>
  <c r="D138" i="16"/>
  <c r="D898" i="16"/>
  <c r="D1383" i="16"/>
  <c r="D1384" i="16"/>
  <c r="D1506" i="16"/>
  <c r="D262" i="16"/>
  <c r="D1426" i="16"/>
  <c r="D139" i="16"/>
  <c r="D657" i="16"/>
  <c r="D710" i="16"/>
  <c r="D1928" i="16"/>
  <c r="D1867" i="16"/>
  <c r="D1425" i="16"/>
  <c r="D1400" i="16"/>
  <c r="D1710" i="16"/>
  <c r="D2025" i="16"/>
  <c r="D1543" i="16"/>
  <c r="D1578" i="16"/>
  <c r="D1648" i="16"/>
  <c r="D1980" i="16"/>
  <c r="D2075" i="16"/>
  <c r="D2320" i="16"/>
  <c r="D2321" i="16"/>
  <c r="D1460" i="16"/>
  <c r="D2113" i="16"/>
  <c r="D1524" i="16"/>
  <c r="D2322" i="16"/>
  <c r="D2174" i="16"/>
  <c r="D1938" i="16"/>
  <c r="D1899" i="16"/>
  <c r="D2323" i="16"/>
  <c r="D2130" i="16"/>
  <c r="D711" i="16"/>
  <c r="D2145" i="16"/>
  <c r="D1922" i="16"/>
  <c r="D1489" i="16"/>
  <c r="D2176" i="16"/>
  <c r="D1593" i="16"/>
  <c r="D1963" i="16"/>
  <c r="D883" i="16"/>
  <c r="D2029" i="16"/>
  <c r="D1898" i="16"/>
  <c r="D10" i="16"/>
  <c r="D11" i="16"/>
  <c r="D12" i="16"/>
  <c r="D13" i="16"/>
  <c r="D14" i="16"/>
  <c r="D1965" i="16"/>
  <c r="D750" i="16"/>
  <c r="D15" i="16"/>
  <c r="D971" i="16"/>
  <c r="D1395" i="16"/>
  <c r="D1232" i="16"/>
  <c r="D760" i="16"/>
  <c r="D206" i="16"/>
  <c r="D663" i="16"/>
  <c r="D237" i="16"/>
  <c r="D111" i="16"/>
  <c r="D383" i="16"/>
  <c r="D311" i="16"/>
  <c r="D57" i="16"/>
  <c r="D110" i="16"/>
  <c r="D1629" i="16"/>
  <c r="D714" i="16"/>
  <c r="D1150" i="16"/>
  <c r="D323" i="16"/>
  <c r="D430" i="16"/>
  <c r="D339" i="16"/>
  <c r="D757" i="16"/>
  <c r="D374" i="16"/>
  <c r="D74" i="16"/>
  <c r="D106" i="16"/>
  <c r="D2016" i="16"/>
  <c r="D1905" i="16"/>
  <c r="D2324" i="16"/>
  <c r="D1774" i="16"/>
  <c r="D1274" i="16"/>
  <c r="D1948" i="16"/>
  <c r="D1838" i="16"/>
  <c r="D1865" i="16"/>
  <c r="D1761" i="16"/>
  <c r="D2111" i="16"/>
  <c r="D1744" i="16"/>
  <c r="D2090" i="16"/>
  <c r="D2325" i="16"/>
  <c r="D1510" i="16"/>
  <c r="D1557" i="16"/>
  <c r="D1363" i="16"/>
  <c r="D1705" i="16"/>
  <c r="D2020" i="16"/>
  <c r="D2021" i="16"/>
  <c r="D1801" i="16"/>
  <c r="D1782" i="16"/>
  <c r="D2326" i="16"/>
  <c r="D2017" i="16"/>
  <c r="D1978" i="16"/>
  <c r="D1844" i="16"/>
  <c r="D2092" i="16"/>
  <c r="D2117" i="16"/>
  <c r="D2327" i="16"/>
  <c r="D1872" i="16"/>
  <c r="D2328" i="16"/>
  <c r="D2329" i="16"/>
  <c r="D2330" i="16"/>
  <c r="D2331" i="16"/>
  <c r="D1855" i="16"/>
  <c r="D1877" i="16"/>
  <c r="D1337" i="16"/>
  <c r="D754" i="16"/>
  <c r="D1501" i="16"/>
  <c r="D2098" i="16"/>
  <c r="D831" i="16"/>
  <c r="D1611" i="16"/>
  <c r="D1582" i="16"/>
  <c r="D1558" i="16"/>
  <c r="D1246" i="16"/>
  <c r="D1106" i="16"/>
  <c r="D794" i="16"/>
  <c r="D1734" i="16"/>
  <c r="D1796" i="16"/>
  <c r="D1529" i="16"/>
  <c r="D1390" i="16"/>
  <c r="D1822" i="16"/>
  <c r="D952" i="16"/>
  <c r="D1213" i="16"/>
  <c r="D1444" i="16"/>
  <c r="D1545" i="16"/>
  <c r="D2332" i="16"/>
  <c r="D2333" i="16"/>
  <c r="D2334" i="16"/>
  <c r="D2335" i="16"/>
  <c r="D2336" i="16"/>
  <c r="D2337" i="16"/>
  <c r="D2338" i="16"/>
  <c r="D2339" i="16"/>
  <c r="D2340" i="16"/>
  <c r="D2341" i="16"/>
  <c r="D1229" i="16"/>
  <c r="D1147" i="16"/>
  <c r="D1490" i="16"/>
  <c r="D1114" i="16"/>
  <c r="D2095" i="16"/>
  <c r="D1681" i="16"/>
  <c r="D1832" i="16"/>
  <c r="D1241" i="16"/>
  <c r="D1881" i="16"/>
  <c r="D1847" i="16"/>
  <c r="D755" i="16"/>
  <c r="D1216" i="16"/>
  <c r="D721" i="16"/>
  <c r="D1495" i="16"/>
  <c r="D1804" i="16"/>
  <c r="D351" i="16"/>
  <c r="D489" i="16"/>
  <c r="D289" i="16"/>
  <c r="D290" i="16"/>
  <c r="D1214" i="16"/>
  <c r="D1721" i="16"/>
  <c r="D126" i="16"/>
  <c r="D376" i="16"/>
  <c r="D1488" i="16"/>
  <c r="D1712" i="16"/>
  <c r="D1056" i="16"/>
  <c r="D1580" i="16"/>
  <c r="D1097" i="16"/>
  <c r="D937" i="16"/>
  <c r="D1040" i="16"/>
  <c r="D1154" i="16"/>
  <c r="D1539" i="16"/>
  <c r="D1880" i="16"/>
  <c r="D291" i="16"/>
  <c r="E924" i="16"/>
  <c r="E925" i="16"/>
  <c r="E1204" i="16"/>
  <c r="E1205" i="16"/>
  <c r="E1206" i="16"/>
  <c r="E1436" i="16"/>
  <c r="E1437" i="16"/>
  <c r="E1470" i="16"/>
  <c r="E902" i="16"/>
  <c r="E903" i="16"/>
  <c r="E904" i="16"/>
  <c r="E926" i="16"/>
  <c r="E927" i="16"/>
  <c r="E928" i="16"/>
  <c r="E1015" i="16"/>
  <c r="E1016" i="16"/>
  <c r="E1017" i="16"/>
  <c r="E1018" i="16"/>
  <c r="E1019" i="16"/>
  <c r="E1020" i="16"/>
  <c r="E1402" i="16"/>
  <c r="E1550" i="16"/>
  <c r="E1551" i="16"/>
  <c r="E933" i="16"/>
  <c r="E847" i="16"/>
  <c r="E1110" i="16"/>
  <c r="E1111" i="16"/>
  <c r="E1112" i="16"/>
  <c r="E1021" i="16"/>
  <c r="E1022" i="16"/>
  <c r="E1471" i="16"/>
  <c r="E1207" i="16"/>
  <c r="E1427" i="16"/>
  <c r="E1428" i="16"/>
  <c r="E1403" i="16"/>
  <c r="E1404" i="16"/>
  <c r="E1023" i="16"/>
  <c r="E878" i="16"/>
  <c r="E2060" i="16"/>
  <c r="E1091" i="16"/>
  <c r="E1353" i="16"/>
  <c r="E455" i="16"/>
  <c r="E1069" i="16"/>
  <c r="E998" i="16"/>
  <c r="E1223" i="16"/>
  <c r="E1203" i="16"/>
  <c r="E456" i="16"/>
  <c r="E658" i="16"/>
  <c r="E133" i="16"/>
  <c r="E261" i="16"/>
  <c r="E470" i="16"/>
  <c r="E81" i="16"/>
  <c r="E543" i="16"/>
  <c r="E544" i="16"/>
  <c r="E520" i="16"/>
  <c r="E521" i="16"/>
  <c r="E1990" i="16"/>
  <c r="E1991" i="16"/>
  <c r="E879" i="16"/>
  <c r="E606" i="16"/>
  <c r="E525" i="16"/>
  <c r="E526" i="16"/>
  <c r="E907" i="16"/>
  <c r="E908" i="16"/>
  <c r="E497" i="16"/>
  <c r="E694" i="16"/>
  <c r="E1544" i="16"/>
  <c r="E2096" i="16"/>
  <c r="E735" i="16"/>
  <c r="E736" i="16"/>
  <c r="E392" i="16"/>
  <c r="E1443" i="16"/>
  <c r="E1047" i="16"/>
  <c r="E824" i="16"/>
  <c r="E1809" i="16"/>
  <c r="E1823" i="16"/>
  <c r="E1824" i="16"/>
  <c r="E440" i="16"/>
  <c r="E1989" i="16"/>
  <c r="E787" i="16"/>
  <c r="E899" i="16"/>
  <c r="E900" i="16"/>
  <c r="E1612" i="16"/>
  <c r="E1613" i="16"/>
  <c r="E393" i="16"/>
  <c r="E2063" i="16"/>
  <c r="E1048" i="16"/>
  <c r="E64" i="16"/>
  <c r="E65" i="16"/>
  <c r="E47" i="16"/>
  <c r="E48" i="16"/>
  <c r="E698" i="16"/>
  <c r="E607" i="16"/>
  <c r="E49" i="16"/>
  <c r="E687" i="16"/>
  <c r="E66" i="16"/>
  <c r="E175" i="16"/>
  <c r="E176" i="16"/>
  <c r="E848" i="16"/>
  <c r="E784" i="16"/>
  <c r="E397" i="16"/>
  <c r="E308" i="16"/>
  <c r="E177" i="16"/>
  <c r="E178" i="16"/>
  <c r="E513" i="16"/>
  <c r="E406" i="16"/>
  <c r="E955" i="16"/>
  <c r="E948" i="16"/>
  <c r="E179" i="16"/>
  <c r="E180" i="16"/>
  <c r="E181" i="16"/>
  <c r="E785" i="16"/>
  <c r="E1387" i="16"/>
  <c r="E336" i="16"/>
  <c r="E641" i="16"/>
  <c r="E1266" i="16"/>
  <c r="E1024" i="16"/>
  <c r="E833" i="16"/>
  <c r="E653" i="16"/>
  <c r="E384" i="16"/>
  <c r="E1497" i="16"/>
  <c r="E263" i="16"/>
  <c r="E264" i="16"/>
  <c r="E834" i="16"/>
  <c r="E278" i="16"/>
  <c r="E226" i="16"/>
  <c r="E1025" i="16"/>
  <c r="E688" i="16"/>
  <c r="E58" i="16"/>
  <c r="E144" i="16"/>
  <c r="E1451" i="16"/>
  <c r="E1452" i="16"/>
  <c r="E435" i="16"/>
  <c r="E835" i="16"/>
  <c r="E187" i="16"/>
  <c r="E934" i="16"/>
  <c r="E145" i="16"/>
  <c r="E1502" i="16"/>
  <c r="E1619" i="16"/>
  <c r="E1385" i="16"/>
  <c r="E1233" i="16"/>
  <c r="E169" i="16"/>
  <c r="E836" i="16"/>
  <c r="E837" i="16"/>
  <c r="E984" i="16"/>
  <c r="E1565" i="16"/>
  <c r="E758" i="16"/>
  <c r="E146" i="16"/>
  <c r="E1405" i="16"/>
  <c r="E2189" i="16"/>
  <c r="E170" i="16"/>
  <c r="E700" i="16"/>
  <c r="E701" i="16"/>
  <c r="E127" i="16"/>
  <c r="E981" i="16"/>
  <c r="E183" i="16"/>
  <c r="E184" i="16"/>
  <c r="E2161" i="16"/>
  <c r="E2069" i="16"/>
  <c r="E2156" i="16"/>
  <c r="E2084" i="16"/>
  <c r="E842" i="16"/>
  <c r="E210" i="16"/>
  <c r="E1994" i="16"/>
  <c r="E1079" i="16"/>
  <c r="E1453" i="16"/>
  <c r="E1454" i="16"/>
  <c r="E185" i="16"/>
  <c r="E186" i="16"/>
  <c r="E1457" i="16"/>
  <c r="E151" i="16"/>
  <c r="E283" i="16"/>
  <c r="E1464" i="16"/>
  <c r="E2177" i="16"/>
  <c r="E1388" i="16"/>
  <c r="E337" i="16"/>
  <c r="E642" i="16"/>
  <c r="E227" i="16"/>
  <c r="E1267" i="16"/>
  <c r="E1026" i="16"/>
  <c r="E689" i="16"/>
  <c r="E436" i="16"/>
  <c r="E188" i="16"/>
  <c r="E935" i="16"/>
  <c r="E1503" i="16"/>
  <c r="E1620" i="16"/>
  <c r="E1386" i="16"/>
  <c r="E1234" i="16"/>
  <c r="E171" i="16"/>
  <c r="E1566" i="16"/>
  <c r="E759" i="16"/>
  <c r="E1406" i="16"/>
  <c r="E1702" i="16"/>
  <c r="E1540" i="16"/>
  <c r="E2190" i="16"/>
  <c r="E1459" i="16"/>
  <c r="E859" i="16"/>
  <c r="E1043" i="16"/>
  <c r="E905" i="16"/>
  <c r="E1088" i="16"/>
  <c r="E1211" i="16"/>
  <c r="E419" i="16"/>
  <c r="E1780" i="16"/>
  <c r="E294" i="16"/>
  <c r="E59" i="16"/>
  <c r="E2191" i="16"/>
  <c r="E1932" i="16"/>
  <c r="E2192" i="16"/>
  <c r="E1339" i="16"/>
  <c r="E1071" i="16"/>
  <c r="E1649" i="16"/>
  <c r="E490" i="16"/>
  <c r="E1072" i="16"/>
  <c r="E491" i="16"/>
  <c r="E1983" i="16"/>
  <c r="E1604" i="16"/>
  <c r="E1218" i="16"/>
  <c r="E1073" i="16"/>
  <c r="E492" i="16"/>
  <c r="E469" i="16"/>
  <c r="E1212" i="16"/>
  <c r="E1800" i="16"/>
  <c r="E493" i="16"/>
  <c r="E1650" i="16"/>
  <c r="E1087" i="16"/>
  <c r="E992" i="16"/>
  <c r="E1074" i="16"/>
  <c r="E1772" i="16"/>
  <c r="E1532" i="16"/>
  <c r="E1070" i="16"/>
  <c r="E1002" i="16"/>
  <c r="E2085" i="16"/>
  <c r="E2193" i="16"/>
  <c r="E2108" i="16"/>
  <c r="E993" i="16"/>
  <c r="E1314" i="16"/>
  <c r="E1949" i="16"/>
  <c r="E881" i="16"/>
  <c r="E2178" i="16"/>
  <c r="E2194" i="16"/>
  <c r="E965" i="16"/>
  <c r="E822" i="16"/>
  <c r="E2008" i="16"/>
  <c r="E1996" i="16"/>
  <c r="E1553" i="16"/>
  <c r="E1868" i="16"/>
  <c r="E1210" i="16"/>
  <c r="E1476" i="16"/>
  <c r="E843" i="16"/>
  <c r="E1498" i="16"/>
  <c r="E1499" i="16"/>
  <c r="E1500" i="16"/>
  <c r="E1120" i="16"/>
  <c r="E1162" i="16"/>
  <c r="E791" i="16"/>
  <c r="E1884" i="16"/>
  <c r="E228" i="16"/>
  <c r="E225" i="16"/>
  <c r="E1163" i="16"/>
  <c r="E917" i="16"/>
  <c r="E1741" i="16"/>
  <c r="E918" i="16"/>
  <c r="E919" i="16"/>
  <c r="E1033" i="16"/>
  <c r="E966" i="16"/>
  <c r="E654" i="16"/>
  <c r="E1195" i="16"/>
  <c r="E407" i="16"/>
  <c r="E1507" i="16"/>
  <c r="E1508" i="16"/>
  <c r="E1585" i="16"/>
  <c r="E1586" i="16"/>
  <c r="E1467" i="16"/>
  <c r="E599" i="16"/>
  <c r="E600" i="16"/>
  <c r="E601" i="16"/>
  <c r="E602" i="16"/>
  <c r="E603" i="16"/>
  <c r="E604" i="16"/>
  <c r="E874" i="16"/>
  <c r="E875" i="16"/>
  <c r="E476" i="16"/>
  <c r="E1432" i="16"/>
  <c r="E623" i="16"/>
  <c r="E624" i="16"/>
  <c r="E625" i="16"/>
  <c r="E626" i="16"/>
  <c r="E1256" i="16"/>
  <c r="E1257" i="16"/>
  <c r="E119" i="16"/>
  <c r="E2065" i="16"/>
  <c r="E2195" i="16"/>
  <c r="E2196" i="16"/>
  <c r="E1736" i="16"/>
  <c r="E2078" i="16"/>
  <c r="E2197" i="16"/>
  <c r="E717" i="16"/>
  <c r="E246" i="16"/>
  <c r="E247" i="16"/>
  <c r="E37" i="16"/>
  <c r="E122" i="16"/>
  <c r="E2198" i="16"/>
  <c r="E2199" i="16"/>
  <c r="E2200" i="16"/>
  <c r="E51" i="16"/>
  <c r="E464" i="16"/>
  <c r="E465" i="16"/>
  <c r="E52" i="16"/>
  <c r="E53" i="16"/>
  <c r="E54" i="16"/>
  <c r="E1396" i="16"/>
  <c r="E1397" i="16"/>
  <c r="E38" i="16"/>
  <c r="E39" i="16"/>
  <c r="E40" i="16"/>
  <c r="E1324" i="16"/>
  <c r="E985" i="16"/>
  <c r="E1134" i="16"/>
  <c r="E1027" i="16"/>
  <c r="E2201" i="16"/>
  <c r="E662" i="16"/>
  <c r="E1469" i="16"/>
  <c r="E639" i="16"/>
  <c r="E394" i="16"/>
  <c r="E672" i="16"/>
  <c r="E649" i="16"/>
  <c r="E1826" i="16"/>
  <c r="E644" i="16"/>
  <c r="E193" i="16"/>
  <c r="E420" i="16"/>
  <c r="E2202" i="16"/>
  <c r="E1827" i="16"/>
  <c r="E194" i="16"/>
  <c r="E19" i="16"/>
  <c r="E1151" i="16"/>
  <c r="E195" i="16"/>
  <c r="E1152" i="16"/>
  <c r="E20" i="16"/>
  <c r="E196" i="16"/>
  <c r="E671" i="16"/>
  <c r="E197" i="16"/>
  <c r="E1408" i="16"/>
  <c r="E729" i="16"/>
  <c r="E1767" i="16"/>
  <c r="E730" i="16"/>
  <c r="E395" i="16"/>
  <c r="E21" i="16"/>
  <c r="E1748" i="16"/>
  <c r="E751" i="16"/>
  <c r="E645" i="16"/>
  <c r="E1768" i="16"/>
  <c r="E1749" i="16"/>
  <c r="E661" i="16"/>
  <c r="E198" i="16"/>
  <c r="E737" i="16"/>
  <c r="E650" i="16"/>
  <c r="E1904" i="16"/>
  <c r="E1878" i="16"/>
  <c r="E627" i="16"/>
  <c r="E646" i="16"/>
  <c r="E647" i="16"/>
  <c r="E22" i="16"/>
  <c r="E1769" i="16"/>
  <c r="E1169" i="16"/>
  <c r="E930" i="16"/>
  <c r="E673" i="16"/>
  <c r="E1170" i="16"/>
  <c r="E1171" i="16"/>
  <c r="E23" i="16"/>
  <c r="E738" i="16"/>
  <c r="E739" i="16"/>
  <c r="E2203" i="16"/>
  <c r="E1172" i="16"/>
  <c r="E355" i="16"/>
  <c r="E223" i="16"/>
  <c r="E428" i="16"/>
  <c r="E214" i="16"/>
  <c r="E463" i="16"/>
  <c r="E209" i="16"/>
  <c r="E18" i="16"/>
  <c r="E135" i="16"/>
  <c r="E117" i="16"/>
  <c r="E121" i="16"/>
  <c r="E50" i="16"/>
  <c r="E213" i="16"/>
  <c r="E1080" i="16"/>
  <c r="E152" i="16"/>
  <c r="E1417" i="16"/>
  <c r="E1008" i="16"/>
  <c r="E1126" i="16"/>
  <c r="E1583" i="16"/>
  <c r="E571" i="16"/>
  <c r="E190" i="16"/>
  <c r="E1131" i="16"/>
  <c r="E191" i="16"/>
  <c r="E128" i="16"/>
  <c r="E331" i="16"/>
  <c r="E1414" i="16"/>
  <c r="E202" i="16"/>
  <c r="E203" i="16"/>
  <c r="E204" i="16"/>
  <c r="E929" i="16"/>
  <c r="E1609" i="16"/>
  <c r="E2152" i="16"/>
  <c r="E1595" i="16"/>
  <c r="E1127" i="16"/>
  <c r="E1607" i="16"/>
  <c r="E1770" i="16"/>
  <c r="E334" i="16"/>
  <c r="E2062" i="16"/>
  <c r="E840" i="16"/>
  <c r="E2204" i="16"/>
  <c r="E752" i="16"/>
  <c r="E1173" i="16"/>
  <c r="E2205" i="16"/>
  <c r="E1597" i="16"/>
  <c r="E592" i="16"/>
  <c r="E134" i="16"/>
  <c r="E616" i="16"/>
  <c r="E2206" i="16"/>
  <c r="E916" i="16"/>
  <c r="E2207" i="16"/>
  <c r="E1398" i="16"/>
  <c r="E2099" i="16"/>
  <c r="E345" i="16"/>
  <c r="E681" i="16"/>
  <c r="E1413" i="16"/>
  <c r="E715" i="16"/>
  <c r="E1920" i="16"/>
  <c r="E628" i="16"/>
  <c r="E651" i="16"/>
  <c r="E731" i="16"/>
  <c r="E648" i="16"/>
  <c r="E281" i="16"/>
  <c r="E199" i="16"/>
  <c r="E1522" i="16"/>
  <c r="E1805" i="16"/>
  <c r="E466" i="16"/>
  <c r="E2208" i="16"/>
  <c r="E1215" i="16"/>
  <c r="E1819" i="16"/>
  <c r="E1656" i="16"/>
  <c r="E399" i="16"/>
  <c r="E1828" i="16"/>
  <c r="E1750" i="16"/>
  <c r="E1513" i="16"/>
  <c r="E972" i="16"/>
  <c r="E182" i="16"/>
  <c r="E1117" i="16"/>
  <c r="E1273" i="16"/>
  <c r="E1814" i="16"/>
  <c r="E1153" i="16"/>
  <c r="E1788" i="16"/>
  <c r="E1561" i="16"/>
  <c r="E740" i="16"/>
  <c r="E207" i="16"/>
  <c r="E1896" i="16"/>
  <c r="E718" i="16"/>
  <c r="E365" i="16"/>
  <c r="E821" i="16"/>
  <c r="E1373" i="16"/>
  <c r="E1802" i="16"/>
  <c r="E2209" i="16"/>
  <c r="E1845" i="16"/>
  <c r="E2210" i="16"/>
  <c r="E805" i="16"/>
  <c r="E442" i="16"/>
  <c r="E640" i="16"/>
  <c r="E1879" i="16"/>
  <c r="E1590" i="16"/>
  <c r="E825" i="16"/>
  <c r="E1673" i="16"/>
  <c r="E1371" i="16"/>
  <c r="E1564" i="16"/>
  <c r="E55" i="16"/>
  <c r="E24" i="16"/>
  <c r="E1409" i="16"/>
  <c r="E46" i="16"/>
  <c r="E1995" i="16"/>
  <c r="E1617" i="16"/>
  <c r="E1050" i="16"/>
  <c r="E976" i="16"/>
  <c r="E1332" i="16"/>
  <c r="E1531" i="16"/>
  <c r="E224" i="16"/>
  <c r="E26" i="16"/>
  <c r="E719" i="16"/>
  <c r="E552" i="16"/>
  <c r="E553" i="16"/>
  <c r="E554" i="16"/>
  <c r="E555" i="16"/>
  <c r="E2211" i="16"/>
  <c r="E1625" i="16"/>
  <c r="E574" i="16"/>
  <c r="E575" i="16"/>
  <c r="E576" i="16"/>
  <c r="E950" i="16"/>
  <c r="E75" i="16"/>
  <c r="E1370" i="16"/>
  <c r="E2212" i="16"/>
  <c r="E1379" i="16"/>
  <c r="E211" i="16"/>
  <c r="E522" i="16"/>
  <c r="E82" i="16"/>
  <c r="E733" i="16"/>
  <c r="E212" i="16"/>
  <c r="E168" i="16"/>
  <c r="E439" i="16"/>
  <c r="E208" i="16"/>
  <c r="E215" i="16"/>
  <c r="E2213" i="16"/>
  <c r="E2214" i="16"/>
  <c r="E2215" i="16"/>
  <c r="E1902" i="16"/>
  <c r="E951" i="16"/>
  <c r="E1161" i="16"/>
  <c r="E1591" i="16"/>
  <c r="E28" i="16"/>
  <c r="E1562" i="16"/>
  <c r="E238" i="16"/>
  <c r="E239" i="16"/>
  <c r="E240" i="16"/>
  <c r="E584" i="16"/>
  <c r="E585" i="16"/>
  <c r="E437" i="16"/>
  <c r="E83" i="16"/>
  <c r="E29" i="16"/>
  <c r="E73" i="16"/>
  <c r="E586" i="16"/>
  <c r="E595" i="16"/>
  <c r="E596" i="16"/>
  <c r="E467" i="16"/>
  <c r="E71" i="16"/>
  <c r="E45" i="16"/>
  <c r="E763" i="16"/>
  <c r="E764" i="16"/>
  <c r="E421" i="16"/>
  <c r="E633" i="16"/>
  <c r="E557" i="16"/>
  <c r="E338" i="16"/>
  <c r="E1201" i="16"/>
  <c r="E56" i="16"/>
  <c r="E16" i="16"/>
  <c r="E25" i="16"/>
  <c r="E429" i="16"/>
  <c r="E33" i="16"/>
  <c r="E1181" i="16"/>
  <c r="E1182" i="16"/>
  <c r="E1183" i="16"/>
  <c r="E36" i="16"/>
  <c r="E1491" i="16"/>
  <c r="E1133" i="16"/>
  <c r="E234" i="16"/>
  <c r="E471" i="16"/>
  <c r="E302" i="16"/>
  <c r="E303" i="16"/>
  <c r="E1628" i="16"/>
  <c r="E148" i="16"/>
  <c r="E1039" i="16"/>
  <c r="E72" i="16"/>
  <c r="E241" i="16"/>
  <c r="E242" i="16"/>
  <c r="E243" i="16"/>
  <c r="E1514" i="16"/>
  <c r="E1442" i="16"/>
  <c r="E472" i="16"/>
  <c r="E304" i="16"/>
  <c r="E753" i="16"/>
  <c r="E2216" i="16"/>
  <c r="E156" i="16"/>
  <c r="E157" i="16"/>
  <c r="E248" i="16"/>
  <c r="E1771" i="16"/>
  <c r="E123" i="16"/>
  <c r="E2217" i="16"/>
  <c r="E468" i="16"/>
  <c r="E1429" i="16"/>
  <c r="E249" i="16"/>
  <c r="E250" i="16"/>
  <c r="E1430" i="16"/>
  <c r="E2175" i="16"/>
  <c r="E1051" i="16"/>
  <c r="E1096" i="16"/>
  <c r="E949" i="16"/>
  <c r="E312" i="16"/>
  <c r="E1482" i="16"/>
  <c r="E313" i="16"/>
  <c r="E422" i="16"/>
  <c r="E314" i="16"/>
  <c r="E315" i="16"/>
  <c r="E316" i="16"/>
  <c r="E7" i="16"/>
  <c r="E8" i="16"/>
  <c r="E124" i="16"/>
  <c r="E1779" i="16"/>
  <c r="E423" i="16"/>
  <c r="E1277" i="16"/>
  <c r="E1818" i="16"/>
  <c r="E1049" i="16"/>
  <c r="E562" i="16"/>
  <c r="E1431" i="16"/>
  <c r="E741" i="16"/>
  <c r="E931" i="16"/>
  <c r="E396" i="16"/>
  <c r="E577" i="16"/>
  <c r="E578" i="16"/>
  <c r="E990" i="16"/>
  <c r="E1714" i="16"/>
  <c r="E1245" i="16"/>
  <c r="E2218" i="16"/>
  <c r="E352" i="16"/>
  <c r="E353" i="16"/>
  <c r="E354" i="16"/>
  <c r="E136" i="16"/>
  <c r="E125" i="16"/>
  <c r="E1382" i="16"/>
  <c r="E1633" i="16"/>
  <c r="E317" i="16"/>
  <c r="E2071" i="16"/>
  <c r="E855" i="16"/>
  <c r="E856" i="16"/>
  <c r="E857" i="16"/>
  <c r="E473" i="16"/>
  <c r="E797" i="16"/>
  <c r="E798" i="16"/>
  <c r="E799" i="16"/>
  <c r="E1174" i="16"/>
  <c r="E1175" i="16"/>
  <c r="E1176" i="16"/>
  <c r="E1806" i="16"/>
  <c r="E1807" i="16"/>
  <c r="E1034" i="16"/>
  <c r="E1035" i="16"/>
  <c r="E1036" i="16"/>
  <c r="E2080" i="16"/>
  <c r="E809" i="16"/>
  <c r="E810" i="16"/>
  <c r="E811" i="16"/>
  <c r="E1358" i="16"/>
  <c r="E1359" i="16"/>
  <c r="E87" i="16"/>
  <c r="E88" i="16"/>
  <c r="E514" i="16"/>
  <c r="E515" i="16"/>
  <c r="E516" i="16"/>
  <c r="E2009" i="16"/>
  <c r="E2010" i="16"/>
  <c r="E1003" i="16"/>
  <c r="E1004" i="16"/>
  <c r="E1005" i="16"/>
  <c r="E431" i="16"/>
  <c r="E432" i="16"/>
  <c r="E433" i="16"/>
  <c r="E1155" i="16"/>
  <c r="E1156" i="16"/>
  <c r="E1157" i="16"/>
  <c r="E683" i="16"/>
  <c r="E684" i="16"/>
  <c r="E685" i="16"/>
  <c r="E780" i="16"/>
  <c r="E781" i="16"/>
  <c r="E782" i="16"/>
  <c r="E706" i="16"/>
  <c r="E707" i="16"/>
  <c r="E708" i="16"/>
  <c r="E1041" i="16"/>
  <c r="E342" i="16"/>
  <c r="E343" i="16"/>
  <c r="E774" i="16"/>
  <c r="E775" i="16"/>
  <c r="E776" i="16"/>
  <c r="E911" i="16"/>
  <c r="E912" i="16"/>
  <c r="E388" i="16"/>
  <c r="E389" i="16"/>
  <c r="E390" i="16"/>
  <c r="E546" i="16"/>
  <c r="E547" i="16"/>
  <c r="E1752" i="16"/>
  <c r="E1753" i="16"/>
  <c r="E563" i="16"/>
  <c r="E564" i="16"/>
  <c r="E565" i="16"/>
  <c r="E566" i="16"/>
  <c r="E1638" i="16"/>
  <c r="E1639" i="16"/>
  <c r="E1060" i="16"/>
  <c r="E1061" i="16"/>
  <c r="E1062" i="16"/>
  <c r="E722" i="16"/>
  <c r="E723" i="16"/>
  <c r="E724" i="16"/>
  <c r="E677" i="16"/>
  <c r="E678" i="16"/>
  <c r="E140" i="16"/>
  <c r="E1916" i="16"/>
  <c r="E1715" i="16"/>
  <c r="E1716" i="16"/>
  <c r="E1717" i="16"/>
  <c r="E886" i="16"/>
  <c r="E887" i="16"/>
  <c r="E888" i="16"/>
  <c r="E1011" i="16"/>
  <c r="E1012" i="16"/>
  <c r="E1013" i="16"/>
  <c r="E1785" i="16"/>
  <c r="E104" i="16"/>
  <c r="E1699" i="16"/>
  <c r="E1308" i="16"/>
  <c r="E1247" i="16"/>
  <c r="E1870" i="16"/>
  <c r="E2219" i="16"/>
  <c r="E2220" i="16"/>
  <c r="E850" i="16"/>
  <c r="E1556" i="16"/>
  <c r="E1743" i="16"/>
  <c r="E2143" i="16"/>
  <c r="E1812" i="16"/>
  <c r="E1378" i="16"/>
  <c r="E1912" i="16"/>
  <c r="E1727" i="16"/>
  <c r="E2077" i="16"/>
  <c r="E1260" i="16"/>
  <c r="E1997" i="16"/>
  <c r="E1940" i="16"/>
  <c r="E1512" i="16"/>
  <c r="E1873" i="16"/>
  <c r="E2070" i="16"/>
  <c r="E2125" i="16"/>
  <c r="E1184" i="16"/>
  <c r="E1765" i="16"/>
  <c r="E1722" i="16"/>
  <c r="E1859" i="16"/>
  <c r="E1786" i="16"/>
  <c r="E1921" i="16"/>
  <c r="E2221" i="16"/>
  <c r="E2073" i="16"/>
  <c r="E1344" i="16"/>
  <c r="E2061" i="16"/>
  <c r="E1917" i="16"/>
  <c r="E1918" i="16"/>
  <c r="E548" i="16"/>
  <c r="E725" i="16"/>
  <c r="E1808" i="16"/>
  <c r="E812" i="16"/>
  <c r="E813" i="16"/>
  <c r="E889" i="16"/>
  <c r="E105" i="16"/>
  <c r="E1841" i="16"/>
  <c r="E1842" i="16"/>
  <c r="E1191" i="16"/>
  <c r="E1192" i="16"/>
  <c r="E34" i="16"/>
  <c r="E35" i="16"/>
  <c r="E391" i="16"/>
  <c r="E426" i="16"/>
  <c r="E913" i="16"/>
  <c r="E474" i="16"/>
  <c r="E1042" i="16"/>
  <c r="E1360" i="16"/>
  <c r="E1006" i="16"/>
  <c r="E1007" i="16"/>
  <c r="E800" i="16"/>
  <c r="E801" i="16"/>
  <c r="E802" i="16"/>
  <c r="E803" i="16"/>
  <c r="E89" i="16"/>
  <c r="E90" i="16"/>
  <c r="E91" i="16"/>
  <c r="E2011" i="16"/>
  <c r="E686" i="16"/>
  <c r="E858" i="16"/>
  <c r="E1640" i="16"/>
  <c r="E517" i="16"/>
  <c r="E518" i="16"/>
  <c r="E519" i="16"/>
  <c r="E434" i="16"/>
  <c r="E344" i="16"/>
  <c r="E1037" i="16"/>
  <c r="E1038" i="16"/>
  <c r="E1063" i="16"/>
  <c r="E1718" i="16"/>
  <c r="E1177" i="16"/>
  <c r="E1178" i="16"/>
  <c r="E679" i="16"/>
  <c r="E2081" i="16"/>
  <c r="E141" i="16"/>
  <c r="E142" i="16"/>
  <c r="E783" i="16"/>
  <c r="E709" i="16"/>
  <c r="E1158" i="16"/>
  <c r="E1159" i="16"/>
  <c r="E1754" i="16"/>
  <c r="E1014" i="16"/>
  <c r="E567" i="16"/>
  <c r="E568" i="16"/>
  <c r="E569" i="16"/>
  <c r="E570" i="16"/>
  <c r="E777" i="16"/>
  <c r="E1248" i="16"/>
  <c r="E531" i="16"/>
  <c r="E1521" i="16"/>
  <c r="E1185" i="16"/>
  <c r="E1186" i="16"/>
  <c r="E1187" i="16"/>
  <c r="E1188" i="16"/>
  <c r="E1998" i="16"/>
  <c r="E1999" i="16"/>
  <c r="E1193" i="16"/>
  <c r="E795" i="16"/>
  <c r="E2222" i="16"/>
  <c r="E2223" i="16"/>
  <c r="E2224" i="16"/>
  <c r="E1309" i="16"/>
  <c r="E1310" i="16"/>
  <c r="E1311" i="16"/>
  <c r="E1312" i="16"/>
  <c r="E1313" i="16"/>
  <c r="E1730" i="16"/>
  <c r="E1833" i="16"/>
  <c r="E851" i="16"/>
  <c r="E2225" i="16"/>
  <c r="E1787" i="16"/>
  <c r="E1941" i="16"/>
  <c r="E1874" i="16"/>
  <c r="E1875" i="16"/>
  <c r="E1813" i="16"/>
  <c r="E143" i="16"/>
  <c r="E1010" i="16"/>
  <c r="E1601" i="16"/>
  <c r="E1559" i="16"/>
  <c r="E2226" i="16"/>
  <c r="E1496" i="16"/>
  <c r="E1509" i="16"/>
  <c r="E2105" i="16"/>
  <c r="E2104" i="16"/>
  <c r="E1933" i="16"/>
  <c r="E201" i="16"/>
  <c r="E1816" i="16"/>
  <c r="E1537" i="16"/>
  <c r="E2227" i="16"/>
  <c r="E2141" i="16"/>
  <c r="E2142" i="16"/>
  <c r="E2012" i="16"/>
  <c r="E84" i="16"/>
  <c r="E699" i="16"/>
  <c r="E816" i="16"/>
  <c r="E1887" i="16"/>
  <c r="E1888" i="16"/>
  <c r="E1146" i="16"/>
  <c r="E682" i="16"/>
  <c r="E712" i="16"/>
  <c r="E1525" i="16"/>
  <c r="E591" i="16"/>
  <c r="E2139" i="16"/>
  <c r="E817" i="16"/>
  <c r="E2110" i="16"/>
  <c r="E2024" i="16"/>
  <c r="E1518" i="16"/>
  <c r="E771" i="16"/>
  <c r="E772" i="16"/>
  <c r="E773" i="16"/>
  <c r="E457" i="16"/>
  <c r="E458" i="16"/>
  <c r="E885" i="16"/>
  <c r="E632" i="16"/>
  <c r="E1268" i="16"/>
  <c r="E613" i="16"/>
  <c r="E593" i="16"/>
  <c r="E1669" i="16"/>
  <c r="E1391" i="16"/>
  <c r="E1670" i="16"/>
  <c r="E1044" i="16"/>
  <c r="E666" i="16"/>
  <c r="E1728" i="16"/>
  <c r="E1059" i="16"/>
  <c r="E1165" i="16"/>
  <c r="E1198" i="16"/>
  <c r="E1407" i="16"/>
  <c r="E1113" i="16"/>
  <c r="E479" i="16"/>
  <c r="E1570" i="16"/>
  <c r="E1571" i="16"/>
  <c r="E1572" i="16"/>
  <c r="E2163" i="16"/>
  <c r="E2028" i="16"/>
  <c r="E690" i="16"/>
  <c r="E1092" i="16"/>
  <c r="E667" i="16"/>
  <c r="E1297" i="16"/>
  <c r="E1102" i="16"/>
  <c r="E1815" i="16"/>
  <c r="E1045" i="16"/>
  <c r="E1046" i="16"/>
  <c r="E832" i="16"/>
  <c r="E1746" i="16"/>
  <c r="E1756" i="16"/>
  <c r="E78" i="16"/>
  <c r="E1526" i="16"/>
  <c r="E968" i="16"/>
  <c r="E2228" i="16"/>
  <c r="E827" i="16"/>
  <c r="E1278" i="16"/>
  <c r="E1361" i="16"/>
  <c r="E961" i="16"/>
  <c r="E1362" i="16"/>
  <c r="E1803" i="16"/>
  <c r="E2229" i="16"/>
  <c r="E2230" i="16"/>
  <c r="E2231" i="16"/>
  <c r="E906" i="16"/>
  <c r="E865" i="16"/>
  <c r="E1589" i="16"/>
  <c r="E818" i="16"/>
  <c r="E819" i="16"/>
  <c r="E964" i="16"/>
  <c r="E820" i="16"/>
  <c r="E268" i="16"/>
  <c r="E1825" i="16"/>
  <c r="E1704" i="16"/>
  <c r="E2147" i="16"/>
  <c r="E594" i="16"/>
  <c r="E1505" i="16"/>
  <c r="E1579" i="16"/>
  <c r="E1298" i="16"/>
  <c r="E1757" i="16"/>
  <c r="E1758" i="16"/>
  <c r="E668" i="16"/>
  <c r="E305" i="16"/>
  <c r="E1747" i="16"/>
  <c r="E581" i="16"/>
  <c r="E590" i="16"/>
  <c r="E1438" i="16"/>
  <c r="E1830" i="16"/>
  <c r="E1790" i="16"/>
  <c r="E1630" i="16"/>
  <c r="E1608" i="16"/>
  <c r="E1272" i="16"/>
  <c r="E1463" i="16"/>
  <c r="E2232" i="16"/>
  <c r="E1599" i="16"/>
  <c r="E2233" i="16"/>
  <c r="E1632" i="16"/>
  <c r="E1472" i="16"/>
  <c r="E1993" i="16"/>
  <c r="E2172" i="16"/>
  <c r="E2234" i="16"/>
  <c r="E2109" i="16"/>
  <c r="E2235" i="16"/>
  <c r="E909" i="16"/>
  <c r="E147" i="16"/>
  <c r="E96" i="16"/>
  <c r="E695" i="16"/>
  <c r="E1221" i="16"/>
  <c r="E608" i="16"/>
  <c r="E1098" i="16"/>
  <c r="E629" i="16"/>
  <c r="E484" i="16"/>
  <c r="E945" i="16"/>
  <c r="E1076" i="16"/>
  <c r="E1355" i="16"/>
  <c r="E498" i="16"/>
  <c r="E503" i="16"/>
  <c r="E129" i="16"/>
  <c r="E1099" i="16"/>
  <c r="E485" i="16"/>
  <c r="E946" i="16"/>
  <c r="E696" i="16"/>
  <c r="E609" i="16"/>
  <c r="E504" i="16"/>
  <c r="E325" i="16"/>
  <c r="E130" i="16"/>
  <c r="E97" i="16"/>
  <c r="E867" i="16"/>
  <c r="E1100" i="16"/>
  <c r="E630" i="16"/>
  <c r="E361" i="16"/>
  <c r="E486" i="16"/>
  <c r="E1077" i="16"/>
  <c r="E499" i="16"/>
  <c r="E697" i="16"/>
  <c r="E910" i="16"/>
  <c r="E991" i="16"/>
  <c r="E326" i="16"/>
  <c r="E131" i="16"/>
  <c r="E98" i="16"/>
  <c r="E631" i="16"/>
  <c r="E362" i="16"/>
  <c r="E500" i="16"/>
  <c r="E614" i="16"/>
  <c r="E1230" i="16"/>
  <c r="E1950" i="16"/>
  <c r="E1960" i="16"/>
  <c r="E1651" i="16"/>
  <c r="E1239" i="16"/>
  <c r="E149" i="16"/>
  <c r="E274" i="16"/>
  <c r="E868" i="16"/>
  <c r="E869" i="16"/>
  <c r="E870" i="16"/>
  <c r="E100" i="16"/>
  <c r="E967" i="16"/>
  <c r="E610" i="16"/>
  <c r="E1240" i="16"/>
  <c r="E871" i="16"/>
  <c r="E32" i="16"/>
  <c r="E174" i="16"/>
  <c r="E702" i="16"/>
  <c r="E1028" i="16"/>
  <c r="E2136" i="16"/>
  <c r="E505" i="16"/>
  <c r="E99" i="16"/>
  <c r="E852" i="16"/>
  <c r="E327" i="16"/>
  <c r="E1142" i="16"/>
  <c r="E363" i="16"/>
  <c r="E1376" i="16"/>
  <c r="E1093" i="16"/>
  <c r="E509" i="16"/>
  <c r="E872" i="16"/>
  <c r="E1418" i="16"/>
  <c r="E703" i="16"/>
  <c r="E704" i="16"/>
  <c r="E1029" i="16"/>
  <c r="E1030" i="16"/>
  <c r="E2137" i="16"/>
  <c r="E2138" i="16"/>
  <c r="E1094" i="16"/>
  <c r="E1095" i="16"/>
  <c r="E1326" i="16"/>
  <c r="E1327" i="16"/>
  <c r="E1328" i="16"/>
  <c r="E938" i="16"/>
  <c r="E939" i="16"/>
  <c r="E940" i="16"/>
  <c r="E1356" i="16"/>
  <c r="E1143" i="16"/>
  <c r="E1144" i="16"/>
  <c r="E1078" i="16"/>
  <c r="E853" i="16"/>
  <c r="E854" i="16"/>
  <c r="E510" i="16"/>
  <c r="E511" i="16"/>
  <c r="E172" i="16"/>
  <c r="E173" i="16"/>
  <c r="E1419" i="16"/>
  <c r="E1420" i="16"/>
  <c r="E615" i="16"/>
  <c r="E2236" i="16"/>
  <c r="E1101" i="16"/>
  <c r="E150" i="16"/>
  <c r="E275" i="16"/>
  <c r="E1602" i="16"/>
  <c r="E1661" i="16"/>
  <c r="E1871" i="16"/>
  <c r="E1662" i="16"/>
  <c r="E2151" i="16"/>
  <c r="E2237" i="16"/>
  <c r="E306" i="16"/>
  <c r="E2238" i="16"/>
  <c r="E1528" i="16"/>
  <c r="E2239" i="16"/>
  <c r="E2086" i="16"/>
  <c r="E2240" i="16"/>
  <c r="E2007" i="16"/>
  <c r="E1733" i="16"/>
  <c r="E1766" i="16"/>
  <c r="E2002" i="16"/>
  <c r="E2169" i="16"/>
  <c r="E1903" i="16"/>
  <c r="E1760" i="16"/>
  <c r="E1737" i="16"/>
  <c r="E1677" i="16"/>
  <c r="E2119" i="16"/>
  <c r="E2148" i="16"/>
  <c r="E2241" i="16"/>
  <c r="E2149" i="16"/>
  <c r="E2067" i="16"/>
  <c r="E1957" i="16"/>
  <c r="E2122" i="16"/>
  <c r="E1434" i="16"/>
  <c r="E2133" i="16"/>
  <c r="E2242" i="16"/>
  <c r="E1792" i="16"/>
  <c r="E2093" i="16"/>
  <c r="E1735" i="16"/>
  <c r="E1224" i="16"/>
  <c r="E1910" i="16"/>
  <c r="E1911" i="16"/>
  <c r="E2243" i="16"/>
  <c r="E2244" i="16"/>
  <c r="E2180" i="16"/>
  <c r="E2245" i="16"/>
  <c r="E2246" i="16"/>
  <c r="E2247" i="16"/>
  <c r="E1799" i="16"/>
  <c r="E2248" i="16"/>
  <c r="E2249" i="16"/>
  <c r="E1685" i="16"/>
  <c r="E1289" i="16"/>
  <c r="E1671" i="16"/>
  <c r="E2250" i="16"/>
  <c r="E2251" i="16"/>
  <c r="E2252" i="16"/>
  <c r="E2146" i="16"/>
  <c r="E2097" i="16"/>
  <c r="E2157" i="16"/>
  <c r="E1288" i="16"/>
  <c r="E636" i="16"/>
  <c r="E1797" i="16"/>
  <c r="E1675" i="16"/>
  <c r="E1939" i="16"/>
  <c r="E1104" i="16"/>
  <c r="E2127" i="16"/>
  <c r="E1517" i="16"/>
  <c r="E1287" i="16"/>
  <c r="E1209" i="16"/>
  <c r="E120" i="16"/>
  <c r="E1336" i="16"/>
  <c r="E1380" i="16"/>
  <c r="E2089" i="16"/>
  <c r="E408" i="16"/>
  <c r="E189" i="16"/>
  <c r="E1759" i="16"/>
  <c r="E1089" i="16"/>
  <c r="E979" i="16"/>
  <c r="E980" i="16"/>
  <c r="E1468" i="16"/>
  <c r="E1415" i="16"/>
  <c r="E1944" i="16"/>
  <c r="E1461" i="16"/>
  <c r="E1462" i="16"/>
  <c r="E2253" i="16"/>
  <c r="E1031" i="16"/>
  <c r="E480" i="16"/>
  <c r="E481" i="16"/>
  <c r="E482" i="16"/>
  <c r="E483" i="16"/>
  <c r="E507" i="16"/>
  <c r="E508" i="16"/>
  <c r="E2254" i="16"/>
  <c r="E2255" i="16"/>
  <c r="E1618" i="16"/>
  <c r="E1421" i="16"/>
  <c r="E1516" i="16"/>
  <c r="E1249" i="16"/>
  <c r="E1250" i="16"/>
  <c r="E372" i="16"/>
  <c r="E373" i="16"/>
  <c r="E1930" i="16"/>
  <c r="E1389" i="16"/>
  <c r="E746" i="16"/>
  <c r="E438" i="16"/>
  <c r="E1889" i="16"/>
  <c r="E307" i="16"/>
  <c r="E1369" i="16"/>
  <c r="E2256" i="16"/>
  <c r="E915" i="16"/>
  <c r="E2257" i="16"/>
  <c r="E2258" i="16"/>
  <c r="E2158" i="16"/>
  <c r="E637" i="16"/>
  <c r="E2128" i="16"/>
  <c r="E2259" i="16"/>
  <c r="E2260" i="16"/>
  <c r="E2261" i="16"/>
  <c r="E2134" i="16"/>
  <c r="E728" i="16"/>
  <c r="E2170" i="16"/>
  <c r="E880" i="16"/>
  <c r="E1466" i="16"/>
  <c r="E1843" i="16"/>
  <c r="E2262" i="16"/>
  <c r="E86" i="16"/>
  <c r="E2083" i="16"/>
  <c r="E1719" i="16"/>
  <c r="E2263" i="16"/>
  <c r="E1458" i="16"/>
  <c r="E866" i="16"/>
  <c r="E2076" i="16"/>
  <c r="E2123" i="16"/>
  <c r="E405" i="16"/>
  <c r="E864" i="16"/>
  <c r="E1653" i="16"/>
  <c r="E1164" i="16"/>
  <c r="E742" i="16"/>
  <c r="E1290" i="16"/>
  <c r="E778" i="16"/>
  <c r="E744" i="16"/>
  <c r="E897" i="16"/>
  <c r="E2264" i="16"/>
  <c r="E2265" i="16"/>
  <c r="E158" i="16"/>
  <c r="E159" i="16"/>
  <c r="E1942" i="16"/>
  <c r="E297" i="16"/>
  <c r="E841" i="16"/>
  <c r="E1858" i="16"/>
  <c r="E638" i="16"/>
  <c r="E2132" i="16"/>
  <c r="E1598" i="16"/>
  <c r="E1798" i="16"/>
  <c r="E1882" i="16"/>
  <c r="E424" i="16"/>
  <c r="E425" i="16"/>
  <c r="E9" i="16"/>
  <c r="E1052" i="16"/>
  <c r="E2162" i="16"/>
  <c r="E2082" i="16"/>
  <c r="E2150" i="16"/>
  <c r="E2094" i="16"/>
  <c r="E1837" i="16"/>
  <c r="E256" i="16"/>
  <c r="E1331" i="16"/>
  <c r="E1660" i="16"/>
  <c r="E364" i="16"/>
  <c r="E954" i="16"/>
  <c r="E2013" i="16"/>
  <c r="E2266" i="16"/>
  <c r="E1755" i="16"/>
  <c r="E558" i="16"/>
  <c r="E448" i="16"/>
  <c r="E860" i="16"/>
  <c r="E1854" i="16"/>
  <c r="E137" i="16"/>
  <c r="E192" i="16"/>
  <c r="E561" i="16"/>
  <c r="E743" i="16"/>
  <c r="E814" i="16"/>
  <c r="E815" i="16"/>
  <c r="E2267" i="16"/>
  <c r="E2120" i="16"/>
  <c r="E914" i="16"/>
  <c r="E346" i="16"/>
  <c r="E443" i="16"/>
  <c r="E444" i="16"/>
  <c r="E260" i="16"/>
  <c r="E445" i="16"/>
  <c r="E446" i="16"/>
  <c r="E293" i="16"/>
  <c r="E1674" i="16"/>
  <c r="E1682" i="16"/>
  <c r="E1683" i="16"/>
  <c r="E2126" i="16"/>
  <c r="E2268" i="16"/>
  <c r="E1964" i="16"/>
  <c r="E792" i="16"/>
  <c r="E793" i="16"/>
  <c r="E1547" i="16"/>
  <c r="E2269" i="16"/>
  <c r="E1686" i="16"/>
  <c r="E1687" i="16"/>
  <c r="E1688" i="16"/>
  <c r="E2270" i="16"/>
  <c r="E2102" i="16"/>
  <c r="E2271" i="16"/>
  <c r="E2272" i="16"/>
  <c r="E1655" i="16"/>
  <c r="E732" i="16"/>
  <c r="E1678" i="16"/>
  <c r="E973" i="16"/>
  <c r="E974" i="16"/>
  <c r="E1622" i="16"/>
  <c r="E1084" i="16"/>
  <c r="E2273" i="16"/>
  <c r="E1196" i="16"/>
  <c r="E2087" i="16"/>
  <c r="E1533" i="16"/>
  <c r="E2274" i="16"/>
  <c r="E1885" i="16"/>
  <c r="E2275" i="16"/>
  <c r="E1483" i="16"/>
  <c r="E1914" i="16"/>
  <c r="E292" i="16"/>
  <c r="E1448" i="16"/>
  <c r="E2276" i="16"/>
  <c r="E2277" i="16"/>
  <c r="E1689" i="16"/>
  <c r="E2278" i="16"/>
  <c r="E1335" i="16"/>
  <c r="E534" i="16"/>
  <c r="E535" i="16"/>
  <c r="E536" i="16"/>
  <c r="E537" i="16"/>
  <c r="E538" i="16"/>
  <c r="E539" i="16"/>
  <c r="E1943" i="16"/>
  <c r="E1333" i="16"/>
  <c r="E409" i="16"/>
  <c r="E410" i="16"/>
  <c r="E411" i="16"/>
  <c r="E412" i="16"/>
  <c r="E413" i="16"/>
  <c r="E414" i="16"/>
  <c r="E415" i="16"/>
  <c r="E416" i="16"/>
  <c r="E417" i="16"/>
  <c r="E418" i="16"/>
  <c r="E877" i="16"/>
  <c r="E807" i="16"/>
  <c r="E1690" i="16"/>
  <c r="E1652" i="16"/>
  <c r="E2154" i="16"/>
  <c r="E1691" i="16"/>
  <c r="E2003" i="16"/>
  <c r="E1658" i="16"/>
  <c r="E2279" i="16"/>
  <c r="E2280" i="16"/>
  <c r="E1927" i="16"/>
  <c r="E1684" i="16"/>
  <c r="E2281" i="16"/>
  <c r="E1692" i="16"/>
  <c r="E1820" i="16"/>
  <c r="E2282" i="16"/>
  <c r="E2283" i="16"/>
  <c r="E164" i="16"/>
  <c r="E165" i="16"/>
  <c r="E166" i="16"/>
  <c r="E167" i="16"/>
  <c r="E401" i="16"/>
  <c r="E402" i="16"/>
  <c r="E403" i="16"/>
  <c r="E2072" i="16"/>
  <c r="E2284" i="16"/>
  <c r="E1913" i="16"/>
  <c r="E222" i="16"/>
  <c r="E30" i="16"/>
  <c r="E101" i="16"/>
  <c r="E102" i="16"/>
  <c r="E103" i="16"/>
  <c r="E114" i="16"/>
  <c r="E115" i="16"/>
  <c r="E2066" i="16"/>
  <c r="E2018" i="16"/>
  <c r="E356" i="16"/>
  <c r="E116" i="16"/>
  <c r="E107" i="16"/>
  <c r="E108" i="16"/>
  <c r="E1626" i="16"/>
  <c r="E109" i="16"/>
  <c r="E251" i="16"/>
  <c r="E252" i="16"/>
  <c r="E253" i="16"/>
  <c r="E2285" i="16"/>
  <c r="E254" i="16"/>
  <c r="E255" i="16"/>
  <c r="E1762" i="16"/>
  <c r="E1763" i="16"/>
  <c r="E1764" i="16"/>
  <c r="E447" i="16"/>
  <c r="E540" i="16"/>
  <c r="E541" i="16"/>
  <c r="E882" i="16"/>
  <c r="E978" i="16"/>
  <c r="E1693" i="16"/>
  <c r="E1694" i="16"/>
  <c r="E404" i="16"/>
  <c r="E1616" i="16"/>
  <c r="E340" i="16"/>
  <c r="E341" i="16"/>
  <c r="E2286" i="16"/>
  <c r="E2287" i="16"/>
  <c r="E1919" i="16"/>
  <c r="E333" i="16"/>
  <c r="E1848" i="16"/>
  <c r="E2288" i="16"/>
  <c r="E2289" i="16"/>
  <c r="E2290" i="16"/>
  <c r="E2091" i="16"/>
  <c r="E2121" i="16"/>
  <c r="E1664" i="16"/>
  <c r="E1969" i="16"/>
  <c r="E2032" i="16"/>
  <c r="E2159" i="16"/>
  <c r="E1713" i="16"/>
  <c r="E1343" i="16"/>
  <c r="E2038" i="16"/>
  <c r="E1970" i="16"/>
  <c r="E1354" i="16"/>
  <c r="E2039" i="16"/>
  <c r="E1706" i="16"/>
  <c r="E1672" i="16"/>
  <c r="E1554" i="16"/>
  <c r="E1695" i="16"/>
  <c r="E1374" i="16"/>
  <c r="E1631" i="16"/>
  <c r="E1372" i="16"/>
  <c r="E1665" i="16"/>
  <c r="E1666" i="16"/>
  <c r="E1635" i="16"/>
  <c r="E1895" i="16"/>
  <c r="E1307" i="16"/>
  <c r="E873" i="16"/>
  <c r="E1936" i="16"/>
  <c r="E1225" i="16"/>
  <c r="E1624" i="16"/>
  <c r="E1775" i="16"/>
  <c r="E1549" i="16"/>
  <c r="E986" i="16"/>
  <c r="E956" i="16"/>
  <c r="E1621" i="16"/>
  <c r="E1776" i="16"/>
  <c r="E1860" i="16"/>
  <c r="E987" i="16"/>
  <c r="E988" i="16"/>
  <c r="E989" i="16"/>
  <c r="E957" i="16"/>
  <c r="E958" i="16"/>
  <c r="E959" i="16"/>
  <c r="E2291" i="16"/>
  <c r="E2292" i="16"/>
  <c r="E2040" i="16"/>
  <c r="E2041" i="16"/>
  <c r="E2042" i="16"/>
  <c r="E2293" i="16"/>
  <c r="E2171" i="16"/>
  <c r="E2043" i="16"/>
  <c r="E1696" i="16"/>
  <c r="E1623" i="16"/>
  <c r="E1849" i="16"/>
  <c r="E1979" i="16"/>
  <c r="E1412" i="16"/>
  <c r="E1742" i="16"/>
  <c r="E1410" i="16"/>
  <c r="E1237" i="16"/>
  <c r="E1238" i="16"/>
  <c r="E1269" i="16"/>
  <c r="E1264" i="16"/>
  <c r="E1255" i="16"/>
  <c r="E1793" i="16"/>
  <c r="E1794" i="16"/>
  <c r="E2294" i="16"/>
  <c r="E1546" i="16"/>
  <c r="E1375" i="16"/>
  <c r="E2295" i="16"/>
  <c r="E1697" i="16"/>
  <c r="E1698" i="16"/>
  <c r="E1636" i="16"/>
  <c r="E1641" i="16"/>
  <c r="E1667" i="16"/>
  <c r="E1778" i="16"/>
  <c r="E1985" i="16"/>
  <c r="E1323" i="16"/>
  <c r="E1988" i="16"/>
  <c r="E1821" i="16"/>
  <c r="E1265" i="16"/>
  <c r="E994" i="16"/>
  <c r="E823" i="16"/>
  <c r="E1132" i="16"/>
  <c r="E1381" i="16"/>
  <c r="E1592" i="16"/>
  <c r="E1217" i="16"/>
  <c r="E1189" i="16"/>
  <c r="E2044" i="16"/>
  <c r="E1465" i="16"/>
  <c r="E2045" i="16"/>
  <c r="E1663" i="16"/>
  <c r="E1259" i="16"/>
  <c r="E1492" i="16"/>
  <c r="E983" i="16"/>
  <c r="E1455" i="16"/>
  <c r="E960" i="16"/>
  <c r="E1811" i="16"/>
  <c r="E2296" i="16"/>
  <c r="E2046" i="16"/>
  <c r="E2047" i="16"/>
  <c r="E2297" i="16"/>
  <c r="E2298" i="16"/>
  <c r="E1726" i="16"/>
  <c r="E1935" i="16"/>
  <c r="E2299" i="16"/>
  <c r="E1729" i="16"/>
  <c r="E218" i="16"/>
  <c r="E1971" i="16"/>
  <c r="E1972" i="16"/>
  <c r="E2179" i="16"/>
  <c r="E1329" i="16"/>
  <c r="E380" i="16"/>
  <c r="E381" i="16"/>
  <c r="E2048" i="16"/>
  <c r="E2300" i="16"/>
  <c r="E2144" i="16"/>
  <c r="E1906" i="16"/>
  <c r="E2153" i="16"/>
  <c r="E219" i="16"/>
  <c r="E220" i="16"/>
  <c r="E1423" i="16"/>
  <c r="E1637" i="16"/>
  <c r="E2049" i="16"/>
  <c r="E2027" i="16"/>
  <c r="E1959" i="16"/>
  <c r="E2014" i="16"/>
  <c r="E1958" i="16"/>
  <c r="E1947" i="16"/>
  <c r="E1973" i="16"/>
  <c r="E2050" i="16"/>
  <c r="E41" i="16"/>
  <c r="E42" i="16"/>
  <c r="E43" i="16"/>
  <c r="E2301" i="16"/>
  <c r="E44" i="16"/>
  <c r="E2165" i="16"/>
  <c r="E2034" i="16"/>
  <c r="E2302" i="16"/>
  <c r="E1515" i="16"/>
  <c r="E2116" i="16"/>
  <c r="E1834" i="16"/>
  <c r="E1322" i="16"/>
  <c r="E1961" i="16"/>
  <c r="E1907" i="16"/>
  <c r="E2051" i="16"/>
  <c r="E1424" i="16"/>
  <c r="E2303" i="16"/>
  <c r="E1909" i="16"/>
  <c r="E1330" i="16"/>
  <c r="E2033" i="16"/>
  <c r="E67" i="16"/>
  <c r="E68" i="16"/>
  <c r="E1791" i="16"/>
  <c r="E2052" i="16"/>
  <c r="E1456" i="16"/>
  <c r="E1594" i="16"/>
  <c r="E69" i="16"/>
  <c r="E382" i="16"/>
  <c r="E85" i="16"/>
  <c r="E2304" i="16"/>
  <c r="E70" i="16"/>
  <c r="E669" i="16"/>
  <c r="E1703" i="16"/>
  <c r="E617" i="16"/>
  <c r="E580" i="16"/>
  <c r="E618" i="16"/>
  <c r="E619" i="16"/>
  <c r="E620" i="16"/>
  <c r="E621" i="16"/>
  <c r="E622" i="16"/>
  <c r="E1563" i="16"/>
  <c r="E676" i="16"/>
  <c r="E670" i="16"/>
  <c r="E828" i="16"/>
  <c r="E829" i="16"/>
  <c r="E830" i="16"/>
  <c r="E244" i="16"/>
  <c r="E245" i="16"/>
  <c r="E1777" i="16"/>
  <c r="E1700" i="16"/>
  <c r="E1548" i="16"/>
  <c r="E844" i="16"/>
  <c r="E845" i="16"/>
  <c r="E1166" i="16"/>
  <c r="E2053" i="16"/>
  <c r="E2305" i="16"/>
  <c r="E377" i="16"/>
  <c r="E378" i="16"/>
  <c r="E379" i="16"/>
  <c r="E229" i="16"/>
  <c r="E230" i="16"/>
  <c r="E231" i="16"/>
  <c r="E1795" i="16"/>
  <c r="E1891" i="16"/>
  <c r="E1923" i="16"/>
  <c r="E2054" i="16"/>
  <c r="E2306" i="16"/>
  <c r="E1839" i="16"/>
  <c r="E1945" i="16"/>
  <c r="E1974" i="16"/>
  <c r="E1835" i="16"/>
  <c r="E1085" i="16"/>
  <c r="E1086" i="16"/>
  <c r="E1422" i="16"/>
  <c r="E1145" i="16"/>
  <c r="E1057" i="16"/>
  <c r="E1584" i="16"/>
  <c r="E1773" i="16"/>
  <c r="E1789" i="16"/>
  <c r="E1883" i="16"/>
  <c r="E1058" i="16"/>
  <c r="E1119" i="16"/>
  <c r="E1840" i="16"/>
  <c r="E846" i="16"/>
  <c r="E1254" i="16"/>
  <c r="E322" i="16"/>
  <c r="E2036" i="16"/>
  <c r="E2037" i="16"/>
  <c r="E1527" i="16"/>
  <c r="E1975" i="16"/>
  <c r="E1984" i="16"/>
  <c r="E1220" i="16"/>
  <c r="E1894" i="16"/>
  <c r="E1634" i="16"/>
  <c r="E2307" i="16"/>
  <c r="E2173" i="16"/>
  <c r="E1929" i="16"/>
  <c r="E2166" i="16"/>
  <c r="E2023" i="16"/>
  <c r="E1926" i="16"/>
  <c r="E1836" i="16"/>
  <c r="E1334" i="16"/>
  <c r="E2308" i="16"/>
  <c r="E1976" i="16"/>
  <c r="E1908" i="16"/>
  <c r="E1781" i="16"/>
  <c r="E2000" i="16"/>
  <c r="E2129" i="16"/>
  <c r="E1657" i="16"/>
  <c r="E1829" i="16"/>
  <c r="E1955" i="16"/>
  <c r="E2035" i="16"/>
  <c r="E1977" i="16"/>
  <c r="E2309" i="16"/>
  <c r="E2310" i="16"/>
  <c r="E2031" i="16"/>
  <c r="E2055" i="16"/>
  <c r="E2030" i="16"/>
  <c r="E1968" i="16"/>
  <c r="E2311" i="16"/>
  <c r="E1952" i="16"/>
  <c r="E2312" i="16"/>
  <c r="E2313" i="16"/>
  <c r="E2314" i="16"/>
  <c r="E1869" i="16"/>
  <c r="E1953" i="16"/>
  <c r="E1892" i="16"/>
  <c r="E1831" i="16"/>
  <c r="E1866" i="16"/>
  <c r="E2315" i="16"/>
  <c r="E2026" i="16"/>
  <c r="E1668" i="16"/>
  <c r="E2131" i="16"/>
  <c r="E1745" i="16"/>
  <c r="E2316" i="16"/>
  <c r="E2317" i="16"/>
  <c r="E2056" i="16"/>
  <c r="E2318" i="16"/>
  <c r="E2319" i="16"/>
  <c r="E2118" i="16"/>
  <c r="E1951" i="16"/>
  <c r="E1252" i="16"/>
  <c r="E217" i="16"/>
  <c r="E369" i="16"/>
  <c r="E138" i="16"/>
  <c r="E898" i="16"/>
  <c r="E1383" i="16"/>
  <c r="E1384" i="16"/>
  <c r="E1506" i="16"/>
  <c r="E262" i="16"/>
  <c r="E1426" i="16"/>
  <c r="E139" i="16"/>
  <c r="E657" i="16"/>
  <c r="E710" i="16"/>
  <c r="E1928" i="16"/>
  <c r="E1867" i="16"/>
  <c r="E1425" i="16"/>
  <c r="E1400" i="16"/>
  <c r="E1710" i="16"/>
  <c r="E2025" i="16"/>
  <c r="E1543" i="16"/>
  <c r="E1578" i="16"/>
  <c r="E1648" i="16"/>
  <c r="E1980" i="16"/>
  <c r="E2075" i="16"/>
  <c r="E2320" i="16"/>
  <c r="E2321" i="16"/>
  <c r="E1460" i="16"/>
  <c r="E2113" i="16"/>
  <c r="E1524" i="16"/>
  <c r="E2322" i="16"/>
  <c r="E2174" i="16"/>
  <c r="E1938" i="16"/>
  <c r="E1899" i="16"/>
  <c r="E2323" i="16"/>
  <c r="E2130" i="16"/>
  <c r="E711" i="16"/>
  <c r="E2145" i="16"/>
  <c r="E1922" i="16"/>
  <c r="E1489" i="16"/>
  <c r="E2176" i="16"/>
  <c r="E1593" i="16"/>
  <c r="E1963" i="16"/>
  <c r="E883" i="16"/>
  <c r="E2029" i="16"/>
  <c r="E1898" i="16"/>
  <c r="E10" i="16"/>
  <c r="E11" i="16"/>
  <c r="E12" i="16"/>
  <c r="E13" i="16"/>
  <c r="E14" i="16"/>
  <c r="E1965" i="16"/>
  <c r="E750" i="16"/>
  <c r="E15" i="16"/>
  <c r="E971" i="16"/>
  <c r="E1395" i="16"/>
  <c r="E1232" i="16"/>
  <c r="E760" i="16"/>
  <c r="E206" i="16"/>
  <c r="E663" i="16"/>
  <c r="E237" i="16"/>
  <c r="E111" i="16"/>
  <c r="E383" i="16"/>
  <c r="E311" i="16"/>
  <c r="E57" i="16"/>
  <c r="E110" i="16"/>
  <c r="E1629" i="16"/>
  <c r="E714" i="16"/>
  <c r="E1150" i="16"/>
  <c r="E323" i="16"/>
  <c r="E430" i="16"/>
  <c r="E339" i="16"/>
  <c r="E757" i="16"/>
  <c r="E374" i="16"/>
  <c r="E74" i="16"/>
  <c r="E106" i="16"/>
  <c r="E2016" i="16"/>
  <c r="E1905" i="16"/>
  <c r="E2324" i="16"/>
  <c r="E1774" i="16"/>
  <c r="E1274" i="16"/>
  <c r="E1948" i="16"/>
  <c r="E1838" i="16"/>
  <c r="E1865" i="16"/>
  <c r="E1761" i="16"/>
  <c r="E2111" i="16"/>
  <c r="E1744" i="16"/>
  <c r="E2090" i="16"/>
  <c r="E2325" i="16"/>
  <c r="E1510" i="16"/>
  <c r="E1557" i="16"/>
  <c r="E1363" i="16"/>
  <c r="E1705" i="16"/>
  <c r="E2020" i="16"/>
  <c r="E2021" i="16"/>
  <c r="E1801" i="16"/>
  <c r="E1782" i="16"/>
  <c r="E2326" i="16"/>
  <c r="E2017" i="16"/>
  <c r="E1978" i="16"/>
  <c r="E1844" i="16"/>
  <c r="E2092" i="16"/>
  <c r="E2117" i="16"/>
  <c r="E2327" i="16"/>
  <c r="E1872" i="16"/>
  <c r="E2328" i="16"/>
  <c r="E2329" i="16"/>
  <c r="E2330" i="16"/>
  <c r="E2331" i="16"/>
  <c r="E1855" i="16"/>
  <c r="E1877" i="16"/>
  <c r="E1337" i="16"/>
  <c r="E754" i="16"/>
  <c r="E1501" i="16"/>
  <c r="E2098" i="16"/>
  <c r="E831" i="16"/>
  <c r="E1611" i="16"/>
  <c r="E1582" i="16"/>
  <c r="E1558" i="16"/>
  <c r="E1246" i="16"/>
  <c r="E1106" i="16"/>
  <c r="E794" i="16"/>
  <c r="E1734" i="16"/>
  <c r="E1796" i="16"/>
  <c r="E1529" i="16"/>
  <c r="E1390" i="16"/>
  <c r="E1822" i="16"/>
  <c r="E952" i="16"/>
  <c r="E1213" i="16"/>
  <c r="E1444" i="16"/>
  <c r="E1545" i="16"/>
  <c r="E2332" i="16"/>
  <c r="E2333" i="16"/>
  <c r="E2334" i="16"/>
  <c r="E2335" i="16"/>
  <c r="E2336" i="16"/>
  <c r="E2337" i="16"/>
  <c r="E2338" i="16"/>
  <c r="E2339" i="16"/>
  <c r="E2340" i="16"/>
  <c r="E2341" i="16"/>
  <c r="E1229" i="16"/>
  <c r="E1147" i="16"/>
  <c r="E1490" i="16"/>
  <c r="E1114" i="16"/>
  <c r="E2095" i="16"/>
  <c r="E1681" i="16"/>
  <c r="E1832" i="16"/>
  <c r="E1241" i="16"/>
  <c r="E1881" i="16"/>
  <c r="E1847" i="16"/>
  <c r="E755" i="16"/>
  <c r="E1216" i="16"/>
  <c r="E721" i="16"/>
  <c r="E1495" i="16"/>
  <c r="E1804" i="16"/>
  <c r="E351" i="16"/>
  <c r="E489" i="16"/>
  <c r="E289" i="16"/>
  <c r="E290" i="16"/>
  <c r="E1214" i="16"/>
  <c r="E1721" i="16"/>
  <c r="E126" i="16"/>
  <c r="E376" i="16"/>
  <c r="E1488" i="16"/>
  <c r="E1712" i="16"/>
  <c r="E1056" i="16"/>
  <c r="E1580" i="16"/>
  <c r="E1097" i="16"/>
  <c r="E937" i="16"/>
  <c r="E1040" i="16"/>
  <c r="E1154" i="16"/>
  <c r="E1539" i="16"/>
  <c r="E1880" i="16"/>
  <c r="E291" i="16"/>
  <c r="F924" i="16"/>
  <c r="G924" i="16" s="1"/>
  <c r="F925" i="16"/>
  <c r="G925" i="16" s="1"/>
  <c r="F1204" i="16"/>
  <c r="G1204" i="16" s="1"/>
  <c r="F1205" i="16"/>
  <c r="G1205" i="16" s="1"/>
  <c r="F1206" i="16"/>
  <c r="G1206" i="16" s="1"/>
  <c r="F1436" i="16"/>
  <c r="G1436" i="16" s="1"/>
  <c r="F1437" i="16"/>
  <c r="G1437" i="16" s="1"/>
  <c r="F1470" i="16"/>
  <c r="G1470" i="16" s="1"/>
  <c r="F902" i="16"/>
  <c r="G902" i="16" s="1"/>
  <c r="F903" i="16"/>
  <c r="G903" i="16" s="1"/>
  <c r="F904" i="16"/>
  <c r="G904" i="16" s="1"/>
  <c r="F926" i="16"/>
  <c r="G926" i="16" s="1"/>
  <c r="F927" i="16"/>
  <c r="G927" i="16" s="1"/>
  <c r="F928" i="16"/>
  <c r="G928" i="16" s="1"/>
  <c r="F1015" i="16"/>
  <c r="G1015" i="16" s="1"/>
  <c r="F1016" i="16"/>
  <c r="G1016" i="16" s="1"/>
  <c r="F1017" i="16"/>
  <c r="G1017" i="16" s="1"/>
  <c r="F1018" i="16"/>
  <c r="G1018" i="16" s="1"/>
  <c r="F1019" i="16"/>
  <c r="G1019" i="16" s="1"/>
  <c r="F1020" i="16"/>
  <c r="G1020" i="16" s="1"/>
  <c r="F1402" i="16"/>
  <c r="G1402" i="16" s="1"/>
  <c r="F1550" i="16"/>
  <c r="G1550" i="16" s="1"/>
  <c r="F1551" i="16"/>
  <c r="G1551" i="16" s="1"/>
  <c r="F933" i="16"/>
  <c r="G933" i="16" s="1"/>
  <c r="F847" i="16"/>
  <c r="G847" i="16" s="1"/>
  <c r="F1110" i="16"/>
  <c r="G1110" i="16" s="1"/>
  <c r="F1111" i="16"/>
  <c r="G1111" i="16" s="1"/>
  <c r="F1112" i="16"/>
  <c r="G1112" i="16" s="1"/>
  <c r="F1021" i="16"/>
  <c r="G1021" i="16" s="1"/>
  <c r="F1022" i="16"/>
  <c r="G1022" i="16" s="1"/>
  <c r="F1471" i="16"/>
  <c r="G1471" i="16" s="1"/>
  <c r="F1207" i="16"/>
  <c r="G1207" i="16" s="1"/>
  <c r="F1427" i="16"/>
  <c r="G1427" i="16" s="1"/>
  <c r="F1428" i="16"/>
  <c r="G1428" i="16" s="1"/>
  <c r="F1403" i="16"/>
  <c r="G1403" i="16" s="1"/>
  <c r="F1404" i="16"/>
  <c r="G1404" i="16" s="1"/>
  <c r="F1023" i="16"/>
  <c r="G1023" i="16" s="1"/>
  <c r="F878" i="16"/>
  <c r="G878" i="16" s="1"/>
  <c r="F2060" i="16"/>
  <c r="G2060" i="16" s="1"/>
  <c r="F1091" i="16"/>
  <c r="G1091" i="16" s="1"/>
  <c r="F1353" i="16"/>
  <c r="G1353" i="16" s="1"/>
  <c r="F455" i="16"/>
  <c r="G455" i="16" s="1"/>
  <c r="F1069" i="16"/>
  <c r="G1069" i="16" s="1"/>
  <c r="F998" i="16"/>
  <c r="G998" i="16" s="1"/>
  <c r="F1223" i="16"/>
  <c r="G1223" i="16" s="1"/>
  <c r="F1203" i="16"/>
  <c r="G1203" i="16" s="1"/>
  <c r="F456" i="16"/>
  <c r="G456" i="16" s="1"/>
  <c r="F658" i="16"/>
  <c r="G658" i="16" s="1"/>
  <c r="F133" i="16"/>
  <c r="G133" i="16" s="1"/>
  <c r="F261" i="16"/>
  <c r="G261" i="16" s="1"/>
  <c r="F470" i="16"/>
  <c r="G470" i="16" s="1"/>
  <c r="F81" i="16"/>
  <c r="G81" i="16" s="1"/>
  <c r="F543" i="16"/>
  <c r="G543" i="16" s="1"/>
  <c r="F544" i="16"/>
  <c r="G544" i="16" s="1"/>
  <c r="F520" i="16"/>
  <c r="G520" i="16" s="1"/>
  <c r="F521" i="16"/>
  <c r="G521" i="16" s="1"/>
  <c r="F1990" i="16"/>
  <c r="G1990" i="16" s="1"/>
  <c r="F1991" i="16"/>
  <c r="G1991" i="16" s="1"/>
  <c r="F879" i="16"/>
  <c r="G879" i="16" s="1"/>
  <c r="F606" i="16"/>
  <c r="G606" i="16" s="1"/>
  <c r="F525" i="16"/>
  <c r="G525" i="16" s="1"/>
  <c r="F526" i="16"/>
  <c r="G526" i="16" s="1"/>
  <c r="F907" i="16"/>
  <c r="G907" i="16" s="1"/>
  <c r="F908" i="16"/>
  <c r="G908" i="16" s="1"/>
  <c r="F497" i="16"/>
  <c r="G497" i="16" s="1"/>
  <c r="F694" i="16"/>
  <c r="G694" i="16" s="1"/>
  <c r="F1544" i="16"/>
  <c r="G1544" i="16" s="1"/>
  <c r="F2096" i="16"/>
  <c r="G2096" i="16" s="1"/>
  <c r="F735" i="16"/>
  <c r="G735" i="16" s="1"/>
  <c r="F736" i="16"/>
  <c r="G736" i="16" s="1"/>
  <c r="F392" i="16"/>
  <c r="G392" i="16" s="1"/>
  <c r="F1443" i="16"/>
  <c r="G1443" i="16" s="1"/>
  <c r="F1047" i="16"/>
  <c r="G1047" i="16" s="1"/>
  <c r="F824" i="16"/>
  <c r="G824" i="16" s="1"/>
  <c r="F1809" i="16"/>
  <c r="G1809" i="16" s="1"/>
  <c r="F1823" i="16"/>
  <c r="G1823" i="16" s="1"/>
  <c r="F1824" i="16"/>
  <c r="G1824" i="16" s="1"/>
  <c r="F440" i="16"/>
  <c r="G440" i="16" s="1"/>
  <c r="F1989" i="16"/>
  <c r="G1989" i="16" s="1"/>
  <c r="F787" i="16"/>
  <c r="G787" i="16" s="1"/>
  <c r="F899" i="16"/>
  <c r="G899" i="16" s="1"/>
  <c r="F900" i="16"/>
  <c r="G900" i="16" s="1"/>
  <c r="F1612" i="16"/>
  <c r="G1612" i="16" s="1"/>
  <c r="F1613" i="16"/>
  <c r="G1613" i="16" s="1"/>
  <c r="F393" i="16"/>
  <c r="G393" i="16" s="1"/>
  <c r="F2063" i="16"/>
  <c r="G2063" i="16" s="1"/>
  <c r="F1048" i="16"/>
  <c r="G1048" i="16" s="1"/>
  <c r="F64" i="16"/>
  <c r="G64" i="16" s="1"/>
  <c r="F65" i="16"/>
  <c r="G65" i="16" s="1"/>
  <c r="F47" i="16"/>
  <c r="G47" i="16" s="1"/>
  <c r="F48" i="16"/>
  <c r="G48" i="16" s="1"/>
  <c r="F698" i="16"/>
  <c r="G698" i="16" s="1"/>
  <c r="F607" i="16"/>
  <c r="G607" i="16" s="1"/>
  <c r="F49" i="16"/>
  <c r="G49" i="16" s="1"/>
  <c r="F687" i="16"/>
  <c r="G687" i="16" s="1"/>
  <c r="F66" i="16"/>
  <c r="G66" i="16" s="1"/>
  <c r="F175" i="16"/>
  <c r="G175" i="16" s="1"/>
  <c r="F176" i="16"/>
  <c r="G176" i="16" s="1"/>
  <c r="F848" i="16"/>
  <c r="G848" i="16" s="1"/>
  <c r="F784" i="16"/>
  <c r="G784" i="16" s="1"/>
  <c r="F397" i="16"/>
  <c r="G397" i="16" s="1"/>
  <c r="F308" i="16"/>
  <c r="G308" i="16" s="1"/>
  <c r="F177" i="16"/>
  <c r="G177" i="16" s="1"/>
  <c r="F178" i="16"/>
  <c r="G178" i="16" s="1"/>
  <c r="F513" i="16"/>
  <c r="G513" i="16" s="1"/>
  <c r="F406" i="16"/>
  <c r="G406" i="16" s="1"/>
  <c r="F955" i="16"/>
  <c r="G955" i="16" s="1"/>
  <c r="F948" i="16"/>
  <c r="G948" i="16" s="1"/>
  <c r="F179" i="16"/>
  <c r="G179" i="16" s="1"/>
  <c r="F180" i="16"/>
  <c r="G180" i="16" s="1"/>
  <c r="F181" i="16"/>
  <c r="G181" i="16" s="1"/>
  <c r="F785" i="16"/>
  <c r="G785" i="16" s="1"/>
  <c r="F1387" i="16"/>
  <c r="G1387" i="16" s="1"/>
  <c r="F336" i="16"/>
  <c r="G336" i="16" s="1"/>
  <c r="F641" i="16"/>
  <c r="G641" i="16" s="1"/>
  <c r="F1266" i="16"/>
  <c r="G1266" i="16" s="1"/>
  <c r="F1024" i="16"/>
  <c r="G1024" i="16" s="1"/>
  <c r="F833" i="16"/>
  <c r="G833" i="16" s="1"/>
  <c r="F653" i="16"/>
  <c r="G653" i="16" s="1"/>
  <c r="F384" i="16"/>
  <c r="G384" i="16" s="1"/>
  <c r="F1497" i="16"/>
  <c r="G1497" i="16" s="1"/>
  <c r="F263" i="16"/>
  <c r="G263" i="16" s="1"/>
  <c r="F264" i="16"/>
  <c r="G264" i="16" s="1"/>
  <c r="F834" i="16"/>
  <c r="G834" i="16" s="1"/>
  <c r="F278" i="16"/>
  <c r="G278" i="16" s="1"/>
  <c r="F226" i="16"/>
  <c r="G226" i="16" s="1"/>
  <c r="F1025" i="16"/>
  <c r="G1025" i="16" s="1"/>
  <c r="F688" i="16"/>
  <c r="G688" i="16" s="1"/>
  <c r="F58" i="16"/>
  <c r="G58" i="16" s="1"/>
  <c r="F144" i="16"/>
  <c r="G144" i="16" s="1"/>
  <c r="F1451" i="16"/>
  <c r="G1451" i="16" s="1"/>
  <c r="F1452" i="16"/>
  <c r="G1452" i="16" s="1"/>
  <c r="F435" i="16"/>
  <c r="G435" i="16" s="1"/>
  <c r="F835" i="16"/>
  <c r="G835" i="16" s="1"/>
  <c r="F187" i="16"/>
  <c r="G187" i="16" s="1"/>
  <c r="F934" i="16"/>
  <c r="G934" i="16" s="1"/>
  <c r="F145" i="16"/>
  <c r="G145" i="16" s="1"/>
  <c r="F1502" i="16"/>
  <c r="G1502" i="16" s="1"/>
  <c r="F1619" i="16"/>
  <c r="G1619" i="16" s="1"/>
  <c r="F1385" i="16"/>
  <c r="G1385" i="16" s="1"/>
  <c r="F1233" i="16"/>
  <c r="G1233" i="16" s="1"/>
  <c r="F169" i="16"/>
  <c r="G169" i="16" s="1"/>
  <c r="F836" i="16"/>
  <c r="G836" i="16" s="1"/>
  <c r="F837" i="16"/>
  <c r="G837" i="16" s="1"/>
  <c r="F984" i="16"/>
  <c r="G984" i="16" s="1"/>
  <c r="F1565" i="16"/>
  <c r="G1565" i="16" s="1"/>
  <c r="F758" i="16"/>
  <c r="G758" i="16" s="1"/>
  <c r="F146" i="16"/>
  <c r="G146" i="16" s="1"/>
  <c r="F1405" i="16"/>
  <c r="G1405" i="16" s="1"/>
  <c r="F2189" i="16"/>
  <c r="G2189" i="16" s="1"/>
  <c r="F170" i="16"/>
  <c r="G170" i="16" s="1"/>
  <c r="F700" i="16"/>
  <c r="G700" i="16" s="1"/>
  <c r="F701" i="16"/>
  <c r="G701" i="16" s="1"/>
  <c r="F127" i="16"/>
  <c r="G127" i="16" s="1"/>
  <c r="F981" i="16"/>
  <c r="G981" i="16" s="1"/>
  <c r="F183" i="16"/>
  <c r="G183" i="16" s="1"/>
  <c r="F184" i="16"/>
  <c r="G184" i="16" s="1"/>
  <c r="F2161" i="16"/>
  <c r="G2161" i="16" s="1"/>
  <c r="F2069" i="16"/>
  <c r="G2069" i="16" s="1"/>
  <c r="F2156" i="16"/>
  <c r="G2156" i="16" s="1"/>
  <c r="F2084" i="16"/>
  <c r="G2084" i="16" s="1"/>
  <c r="F842" i="16"/>
  <c r="G842" i="16" s="1"/>
  <c r="F210" i="16"/>
  <c r="G210" i="16" s="1"/>
  <c r="F1994" i="16"/>
  <c r="G1994" i="16" s="1"/>
  <c r="F1079" i="16"/>
  <c r="G1079" i="16" s="1"/>
  <c r="F1453" i="16"/>
  <c r="G1453" i="16" s="1"/>
  <c r="F1454" i="16"/>
  <c r="G1454" i="16" s="1"/>
  <c r="F185" i="16"/>
  <c r="G185" i="16" s="1"/>
  <c r="F186" i="16"/>
  <c r="G186" i="16" s="1"/>
  <c r="F1457" i="16"/>
  <c r="G1457" i="16" s="1"/>
  <c r="F151" i="16"/>
  <c r="G151" i="16" s="1"/>
  <c r="F283" i="16"/>
  <c r="G283" i="16" s="1"/>
  <c r="F1464" i="16"/>
  <c r="G1464" i="16" s="1"/>
  <c r="F2177" i="16"/>
  <c r="G2177" i="16" s="1"/>
  <c r="F1388" i="16"/>
  <c r="G1388" i="16" s="1"/>
  <c r="F337" i="16"/>
  <c r="G337" i="16" s="1"/>
  <c r="F642" i="16"/>
  <c r="G642" i="16" s="1"/>
  <c r="F227" i="16"/>
  <c r="G227" i="16" s="1"/>
  <c r="F1267" i="16"/>
  <c r="G1267" i="16" s="1"/>
  <c r="F1026" i="16"/>
  <c r="G1026" i="16" s="1"/>
  <c r="F689" i="16"/>
  <c r="G689" i="16" s="1"/>
  <c r="F436" i="16"/>
  <c r="G436" i="16" s="1"/>
  <c r="F188" i="16"/>
  <c r="G188" i="16" s="1"/>
  <c r="F935" i="16"/>
  <c r="G935" i="16" s="1"/>
  <c r="F1503" i="16"/>
  <c r="G1503" i="16" s="1"/>
  <c r="F1620" i="16"/>
  <c r="G1620" i="16" s="1"/>
  <c r="F1386" i="16"/>
  <c r="G1386" i="16" s="1"/>
  <c r="F1234" i="16"/>
  <c r="G1234" i="16" s="1"/>
  <c r="F171" i="16"/>
  <c r="G171" i="16" s="1"/>
  <c r="F1566" i="16"/>
  <c r="G1566" i="16" s="1"/>
  <c r="F759" i="16"/>
  <c r="G759" i="16" s="1"/>
  <c r="F1406" i="16"/>
  <c r="G1406" i="16" s="1"/>
  <c r="F1702" i="16"/>
  <c r="G1702" i="16" s="1"/>
  <c r="F1540" i="16"/>
  <c r="G1540" i="16" s="1"/>
  <c r="F2190" i="16"/>
  <c r="G2190" i="16" s="1"/>
  <c r="F1459" i="16"/>
  <c r="G1459" i="16" s="1"/>
  <c r="F859" i="16"/>
  <c r="G859" i="16" s="1"/>
  <c r="F1043" i="16"/>
  <c r="G1043" i="16" s="1"/>
  <c r="F905" i="16"/>
  <c r="G905" i="16" s="1"/>
  <c r="F1088" i="16"/>
  <c r="G1088" i="16" s="1"/>
  <c r="F1211" i="16"/>
  <c r="G1211" i="16" s="1"/>
  <c r="F419" i="16"/>
  <c r="G419" i="16" s="1"/>
  <c r="F1780" i="16"/>
  <c r="G1780" i="16" s="1"/>
  <c r="F294" i="16"/>
  <c r="G294" i="16" s="1"/>
  <c r="F59" i="16"/>
  <c r="G59" i="16" s="1"/>
  <c r="F2191" i="16"/>
  <c r="G2191" i="16" s="1"/>
  <c r="F1932" i="16"/>
  <c r="G1932" i="16" s="1"/>
  <c r="F2192" i="16"/>
  <c r="G2192" i="16" s="1"/>
  <c r="F1339" i="16"/>
  <c r="G1339" i="16" s="1"/>
  <c r="F1071" i="16"/>
  <c r="G1071" i="16" s="1"/>
  <c r="F1649" i="16"/>
  <c r="G1649" i="16" s="1"/>
  <c r="F490" i="16"/>
  <c r="G490" i="16" s="1"/>
  <c r="F1072" i="16"/>
  <c r="G1072" i="16" s="1"/>
  <c r="F491" i="16"/>
  <c r="G491" i="16" s="1"/>
  <c r="F1983" i="16"/>
  <c r="G1983" i="16" s="1"/>
  <c r="F1604" i="16"/>
  <c r="G1604" i="16" s="1"/>
  <c r="F1218" i="16"/>
  <c r="G1218" i="16" s="1"/>
  <c r="F1073" i="16"/>
  <c r="G1073" i="16" s="1"/>
  <c r="F492" i="16"/>
  <c r="G492" i="16" s="1"/>
  <c r="F469" i="16"/>
  <c r="G469" i="16" s="1"/>
  <c r="F1212" i="16"/>
  <c r="G1212" i="16" s="1"/>
  <c r="F1800" i="16"/>
  <c r="G1800" i="16" s="1"/>
  <c r="F493" i="16"/>
  <c r="G493" i="16" s="1"/>
  <c r="F1650" i="16"/>
  <c r="G1650" i="16" s="1"/>
  <c r="F1087" i="16"/>
  <c r="G1087" i="16" s="1"/>
  <c r="F992" i="16"/>
  <c r="G992" i="16" s="1"/>
  <c r="F1074" i="16"/>
  <c r="G1074" i="16" s="1"/>
  <c r="F1772" i="16"/>
  <c r="G1772" i="16" s="1"/>
  <c r="F1532" i="16"/>
  <c r="G1532" i="16" s="1"/>
  <c r="F1070" i="16"/>
  <c r="G1070" i="16" s="1"/>
  <c r="F1002" i="16"/>
  <c r="G1002" i="16" s="1"/>
  <c r="F2085" i="16"/>
  <c r="G2085" i="16" s="1"/>
  <c r="F2193" i="16"/>
  <c r="G2193" i="16" s="1"/>
  <c r="F2108" i="16"/>
  <c r="G2108" i="16" s="1"/>
  <c r="F993" i="16"/>
  <c r="G993" i="16" s="1"/>
  <c r="F1314" i="16"/>
  <c r="G1314" i="16" s="1"/>
  <c r="F1949" i="16"/>
  <c r="G1949" i="16" s="1"/>
  <c r="F881" i="16"/>
  <c r="G881" i="16" s="1"/>
  <c r="F2178" i="16"/>
  <c r="G2178" i="16" s="1"/>
  <c r="F2194" i="16"/>
  <c r="G2194" i="16" s="1"/>
  <c r="F965" i="16"/>
  <c r="G965" i="16" s="1"/>
  <c r="F822" i="16"/>
  <c r="G822" i="16" s="1"/>
  <c r="F2008" i="16"/>
  <c r="G2008" i="16" s="1"/>
  <c r="F1996" i="16"/>
  <c r="G1996" i="16" s="1"/>
  <c r="F1553" i="16"/>
  <c r="G1553" i="16" s="1"/>
  <c r="F1868" i="16"/>
  <c r="G1868" i="16" s="1"/>
  <c r="F1210" i="16"/>
  <c r="G1210" i="16" s="1"/>
  <c r="F1476" i="16"/>
  <c r="G1476" i="16" s="1"/>
  <c r="F843" i="16"/>
  <c r="G843" i="16" s="1"/>
  <c r="F1498" i="16"/>
  <c r="G1498" i="16" s="1"/>
  <c r="F1499" i="16"/>
  <c r="G1499" i="16" s="1"/>
  <c r="F1500" i="16"/>
  <c r="G1500" i="16" s="1"/>
  <c r="F1120" i="16"/>
  <c r="G1120" i="16" s="1"/>
  <c r="F1162" i="16"/>
  <c r="G1162" i="16" s="1"/>
  <c r="F791" i="16"/>
  <c r="G791" i="16" s="1"/>
  <c r="F1884" i="16"/>
  <c r="G1884" i="16" s="1"/>
  <c r="F228" i="16"/>
  <c r="G228" i="16" s="1"/>
  <c r="F225" i="16"/>
  <c r="G225" i="16" s="1"/>
  <c r="F1163" i="16"/>
  <c r="G1163" i="16" s="1"/>
  <c r="F917" i="16"/>
  <c r="G917" i="16" s="1"/>
  <c r="F1741" i="16"/>
  <c r="G1741" i="16" s="1"/>
  <c r="F918" i="16"/>
  <c r="G918" i="16" s="1"/>
  <c r="F919" i="16"/>
  <c r="G919" i="16" s="1"/>
  <c r="F1033" i="16"/>
  <c r="G1033" i="16" s="1"/>
  <c r="F966" i="16"/>
  <c r="G966" i="16" s="1"/>
  <c r="F654" i="16"/>
  <c r="G654" i="16" s="1"/>
  <c r="F1195" i="16"/>
  <c r="G1195" i="16" s="1"/>
  <c r="F407" i="16"/>
  <c r="G407" i="16" s="1"/>
  <c r="F1507" i="16"/>
  <c r="G1507" i="16" s="1"/>
  <c r="F1508" i="16"/>
  <c r="G1508" i="16" s="1"/>
  <c r="F1585" i="16"/>
  <c r="G1585" i="16" s="1"/>
  <c r="F1586" i="16"/>
  <c r="G1586" i="16" s="1"/>
  <c r="F1467" i="16"/>
  <c r="G1467" i="16" s="1"/>
  <c r="F599" i="16"/>
  <c r="G599" i="16" s="1"/>
  <c r="F600" i="16"/>
  <c r="G600" i="16" s="1"/>
  <c r="F601" i="16"/>
  <c r="G601" i="16" s="1"/>
  <c r="F602" i="16"/>
  <c r="G602" i="16" s="1"/>
  <c r="F603" i="16"/>
  <c r="G603" i="16" s="1"/>
  <c r="F604" i="16"/>
  <c r="G604" i="16" s="1"/>
  <c r="F874" i="16"/>
  <c r="G874" i="16" s="1"/>
  <c r="F875" i="16"/>
  <c r="G875" i="16" s="1"/>
  <c r="F476" i="16"/>
  <c r="G476" i="16" s="1"/>
  <c r="F1432" i="16"/>
  <c r="G1432" i="16" s="1"/>
  <c r="F623" i="16"/>
  <c r="G623" i="16" s="1"/>
  <c r="F624" i="16"/>
  <c r="G624" i="16" s="1"/>
  <c r="F625" i="16"/>
  <c r="G625" i="16" s="1"/>
  <c r="F626" i="16"/>
  <c r="G626" i="16" s="1"/>
  <c r="F1256" i="16"/>
  <c r="G1256" i="16" s="1"/>
  <c r="F1257" i="16"/>
  <c r="G1257" i="16" s="1"/>
  <c r="F119" i="16"/>
  <c r="G119" i="16" s="1"/>
  <c r="F2065" i="16"/>
  <c r="G2065" i="16" s="1"/>
  <c r="F2195" i="16"/>
  <c r="G2195" i="16" s="1"/>
  <c r="F2196" i="16"/>
  <c r="G2196" i="16" s="1"/>
  <c r="F1736" i="16"/>
  <c r="G1736" i="16" s="1"/>
  <c r="F2078" i="16"/>
  <c r="G2078" i="16" s="1"/>
  <c r="F2197" i="16"/>
  <c r="G2197" i="16" s="1"/>
  <c r="F717" i="16"/>
  <c r="G717" i="16" s="1"/>
  <c r="F246" i="16"/>
  <c r="G246" i="16" s="1"/>
  <c r="F247" i="16"/>
  <c r="G247" i="16" s="1"/>
  <c r="F37" i="16"/>
  <c r="G37" i="16" s="1"/>
  <c r="F122" i="16"/>
  <c r="G122" i="16" s="1"/>
  <c r="F2198" i="16"/>
  <c r="G2198" i="16" s="1"/>
  <c r="F2199" i="16"/>
  <c r="G2199" i="16" s="1"/>
  <c r="F2200" i="16"/>
  <c r="G2200" i="16" s="1"/>
  <c r="F51" i="16"/>
  <c r="G51" i="16" s="1"/>
  <c r="F464" i="16"/>
  <c r="G464" i="16" s="1"/>
  <c r="F465" i="16"/>
  <c r="G465" i="16" s="1"/>
  <c r="F52" i="16"/>
  <c r="G52" i="16" s="1"/>
  <c r="F53" i="16"/>
  <c r="G53" i="16" s="1"/>
  <c r="F54" i="16"/>
  <c r="G54" i="16" s="1"/>
  <c r="F1396" i="16"/>
  <c r="G1396" i="16" s="1"/>
  <c r="F1397" i="16"/>
  <c r="G1397" i="16" s="1"/>
  <c r="F38" i="16"/>
  <c r="G38" i="16" s="1"/>
  <c r="F39" i="16"/>
  <c r="G39" i="16" s="1"/>
  <c r="F40" i="16"/>
  <c r="G40" i="16" s="1"/>
  <c r="F1324" i="16"/>
  <c r="G1324" i="16" s="1"/>
  <c r="F985" i="16"/>
  <c r="G985" i="16" s="1"/>
  <c r="F1134" i="16"/>
  <c r="G1134" i="16" s="1"/>
  <c r="F1027" i="16"/>
  <c r="G1027" i="16" s="1"/>
  <c r="F2201" i="16"/>
  <c r="G2201" i="16" s="1"/>
  <c r="F662" i="16"/>
  <c r="G662" i="16" s="1"/>
  <c r="F1469" i="16"/>
  <c r="G1469" i="16" s="1"/>
  <c r="F639" i="16"/>
  <c r="G639" i="16" s="1"/>
  <c r="F394" i="16"/>
  <c r="G394" i="16" s="1"/>
  <c r="F672" i="16"/>
  <c r="G672" i="16" s="1"/>
  <c r="F649" i="16"/>
  <c r="G649" i="16" s="1"/>
  <c r="F1826" i="16"/>
  <c r="G1826" i="16" s="1"/>
  <c r="F644" i="16"/>
  <c r="G644" i="16" s="1"/>
  <c r="F193" i="16"/>
  <c r="G193" i="16" s="1"/>
  <c r="F420" i="16"/>
  <c r="G420" i="16" s="1"/>
  <c r="F2202" i="16"/>
  <c r="G2202" i="16" s="1"/>
  <c r="F1827" i="16"/>
  <c r="G1827" i="16" s="1"/>
  <c r="F194" i="16"/>
  <c r="G194" i="16" s="1"/>
  <c r="F19" i="16"/>
  <c r="G19" i="16" s="1"/>
  <c r="F1151" i="16"/>
  <c r="G1151" i="16" s="1"/>
  <c r="F195" i="16"/>
  <c r="G195" i="16" s="1"/>
  <c r="F1152" i="16"/>
  <c r="G1152" i="16" s="1"/>
  <c r="F20" i="16"/>
  <c r="G20" i="16" s="1"/>
  <c r="F196" i="16"/>
  <c r="G196" i="16" s="1"/>
  <c r="F671" i="16"/>
  <c r="G671" i="16" s="1"/>
  <c r="F197" i="16"/>
  <c r="G197" i="16" s="1"/>
  <c r="F1408" i="16"/>
  <c r="G1408" i="16" s="1"/>
  <c r="F729" i="16"/>
  <c r="G729" i="16" s="1"/>
  <c r="F1767" i="16"/>
  <c r="G1767" i="16" s="1"/>
  <c r="F730" i="16"/>
  <c r="G730" i="16" s="1"/>
  <c r="F395" i="16"/>
  <c r="G395" i="16" s="1"/>
  <c r="F21" i="16"/>
  <c r="G21" i="16" s="1"/>
  <c r="F1748" i="16"/>
  <c r="G1748" i="16" s="1"/>
  <c r="F751" i="16"/>
  <c r="G751" i="16" s="1"/>
  <c r="F645" i="16"/>
  <c r="G645" i="16" s="1"/>
  <c r="F1768" i="16"/>
  <c r="G1768" i="16" s="1"/>
  <c r="F1749" i="16"/>
  <c r="G1749" i="16" s="1"/>
  <c r="F661" i="16"/>
  <c r="G661" i="16" s="1"/>
  <c r="F198" i="16"/>
  <c r="G198" i="16" s="1"/>
  <c r="F737" i="16"/>
  <c r="G737" i="16" s="1"/>
  <c r="F650" i="16"/>
  <c r="G650" i="16" s="1"/>
  <c r="F1904" i="16"/>
  <c r="G1904" i="16" s="1"/>
  <c r="F1878" i="16"/>
  <c r="G1878" i="16" s="1"/>
  <c r="F627" i="16"/>
  <c r="G627" i="16" s="1"/>
  <c r="F646" i="16"/>
  <c r="G646" i="16" s="1"/>
  <c r="F647" i="16"/>
  <c r="G647" i="16" s="1"/>
  <c r="F22" i="16"/>
  <c r="G22" i="16" s="1"/>
  <c r="F1769" i="16"/>
  <c r="G1769" i="16" s="1"/>
  <c r="F1169" i="16"/>
  <c r="G1169" i="16" s="1"/>
  <c r="F930" i="16"/>
  <c r="G930" i="16" s="1"/>
  <c r="F673" i="16"/>
  <c r="G673" i="16" s="1"/>
  <c r="F1170" i="16"/>
  <c r="G1170" i="16" s="1"/>
  <c r="F1171" i="16"/>
  <c r="G1171" i="16" s="1"/>
  <c r="F23" i="16"/>
  <c r="G23" i="16" s="1"/>
  <c r="F738" i="16"/>
  <c r="G738" i="16" s="1"/>
  <c r="F739" i="16"/>
  <c r="G739" i="16" s="1"/>
  <c r="F2203" i="16"/>
  <c r="G2203" i="16" s="1"/>
  <c r="F1172" i="16"/>
  <c r="G1172" i="16" s="1"/>
  <c r="F355" i="16"/>
  <c r="G355" i="16" s="1"/>
  <c r="F223" i="16"/>
  <c r="G223" i="16" s="1"/>
  <c r="F428" i="16"/>
  <c r="G428" i="16" s="1"/>
  <c r="F214" i="16"/>
  <c r="G214" i="16" s="1"/>
  <c r="F463" i="16"/>
  <c r="G463" i="16" s="1"/>
  <c r="F209" i="16"/>
  <c r="G209" i="16" s="1"/>
  <c r="F18" i="16"/>
  <c r="G18" i="16" s="1"/>
  <c r="F135" i="16"/>
  <c r="G135" i="16" s="1"/>
  <c r="F117" i="16"/>
  <c r="G117" i="16" s="1"/>
  <c r="F121" i="16"/>
  <c r="G121" i="16" s="1"/>
  <c r="F50" i="16"/>
  <c r="G50" i="16" s="1"/>
  <c r="F213" i="16"/>
  <c r="G213" i="16" s="1"/>
  <c r="F1080" i="16"/>
  <c r="G1080" i="16" s="1"/>
  <c r="F152" i="16"/>
  <c r="G152" i="16" s="1"/>
  <c r="F1417" i="16"/>
  <c r="G1417" i="16" s="1"/>
  <c r="F1008" i="16"/>
  <c r="G1008" i="16" s="1"/>
  <c r="F1126" i="16"/>
  <c r="G1126" i="16" s="1"/>
  <c r="F1583" i="16"/>
  <c r="G1583" i="16" s="1"/>
  <c r="F571" i="16"/>
  <c r="G571" i="16" s="1"/>
  <c r="F190" i="16"/>
  <c r="G190" i="16" s="1"/>
  <c r="F1131" i="16"/>
  <c r="G1131" i="16" s="1"/>
  <c r="F191" i="16"/>
  <c r="G191" i="16" s="1"/>
  <c r="F128" i="16"/>
  <c r="G128" i="16" s="1"/>
  <c r="F331" i="16"/>
  <c r="G331" i="16" s="1"/>
  <c r="F1414" i="16"/>
  <c r="G1414" i="16" s="1"/>
  <c r="F202" i="16"/>
  <c r="G202" i="16" s="1"/>
  <c r="F203" i="16"/>
  <c r="G203" i="16" s="1"/>
  <c r="F204" i="16"/>
  <c r="G204" i="16" s="1"/>
  <c r="F929" i="16"/>
  <c r="G929" i="16" s="1"/>
  <c r="F1609" i="16"/>
  <c r="G1609" i="16" s="1"/>
  <c r="F2152" i="16"/>
  <c r="G2152" i="16" s="1"/>
  <c r="F1595" i="16"/>
  <c r="G1595" i="16" s="1"/>
  <c r="F1127" i="16"/>
  <c r="G1127" i="16" s="1"/>
  <c r="F1607" i="16"/>
  <c r="G1607" i="16" s="1"/>
  <c r="F1770" i="16"/>
  <c r="G1770" i="16" s="1"/>
  <c r="F334" i="16"/>
  <c r="G334" i="16" s="1"/>
  <c r="F2062" i="16"/>
  <c r="G2062" i="16" s="1"/>
  <c r="F840" i="16"/>
  <c r="G840" i="16" s="1"/>
  <c r="F2204" i="16"/>
  <c r="G2204" i="16" s="1"/>
  <c r="F752" i="16"/>
  <c r="G752" i="16" s="1"/>
  <c r="F1173" i="16"/>
  <c r="G1173" i="16" s="1"/>
  <c r="F2205" i="16"/>
  <c r="G2205" i="16" s="1"/>
  <c r="F1597" i="16"/>
  <c r="G1597" i="16" s="1"/>
  <c r="F592" i="16"/>
  <c r="G592" i="16" s="1"/>
  <c r="F134" i="16"/>
  <c r="G134" i="16" s="1"/>
  <c r="F616" i="16"/>
  <c r="G616" i="16" s="1"/>
  <c r="F2206" i="16"/>
  <c r="G2206" i="16" s="1"/>
  <c r="F916" i="16"/>
  <c r="G916" i="16" s="1"/>
  <c r="F2207" i="16"/>
  <c r="G2207" i="16" s="1"/>
  <c r="F1398" i="16"/>
  <c r="G1398" i="16" s="1"/>
  <c r="F2099" i="16"/>
  <c r="G2099" i="16" s="1"/>
  <c r="F345" i="16"/>
  <c r="G345" i="16" s="1"/>
  <c r="F681" i="16"/>
  <c r="G681" i="16" s="1"/>
  <c r="F1413" i="16"/>
  <c r="G1413" i="16" s="1"/>
  <c r="F715" i="16"/>
  <c r="G715" i="16" s="1"/>
  <c r="F1920" i="16"/>
  <c r="G1920" i="16" s="1"/>
  <c r="F628" i="16"/>
  <c r="G628" i="16" s="1"/>
  <c r="F651" i="16"/>
  <c r="G651" i="16" s="1"/>
  <c r="F731" i="16"/>
  <c r="G731" i="16" s="1"/>
  <c r="F648" i="16"/>
  <c r="G648" i="16" s="1"/>
  <c r="F281" i="16"/>
  <c r="G281" i="16" s="1"/>
  <c r="F199" i="16"/>
  <c r="G199" i="16" s="1"/>
  <c r="F1522" i="16"/>
  <c r="G1522" i="16" s="1"/>
  <c r="F1805" i="16"/>
  <c r="G1805" i="16" s="1"/>
  <c r="F466" i="16"/>
  <c r="G466" i="16" s="1"/>
  <c r="F2208" i="16"/>
  <c r="G2208" i="16" s="1"/>
  <c r="F1215" i="16"/>
  <c r="G1215" i="16" s="1"/>
  <c r="F1819" i="16"/>
  <c r="G1819" i="16" s="1"/>
  <c r="F1656" i="16"/>
  <c r="G1656" i="16" s="1"/>
  <c r="F399" i="16"/>
  <c r="G399" i="16" s="1"/>
  <c r="F1828" i="16"/>
  <c r="G1828" i="16" s="1"/>
  <c r="F1750" i="16"/>
  <c r="G1750" i="16" s="1"/>
  <c r="F1513" i="16"/>
  <c r="G1513" i="16" s="1"/>
  <c r="F972" i="16"/>
  <c r="G972" i="16" s="1"/>
  <c r="F182" i="16"/>
  <c r="G182" i="16" s="1"/>
  <c r="F1117" i="16"/>
  <c r="G1117" i="16" s="1"/>
  <c r="F1273" i="16"/>
  <c r="G1273" i="16" s="1"/>
  <c r="F1814" i="16"/>
  <c r="G1814" i="16" s="1"/>
  <c r="F1153" i="16"/>
  <c r="G1153" i="16" s="1"/>
  <c r="F1788" i="16"/>
  <c r="G1788" i="16" s="1"/>
  <c r="F1561" i="16"/>
  <c r="G1561" i="16" s="1"/>
  <c r="F740" i="16"/>
  <c r="G740" i="16" s="1"/>
  <c r="F207" i="16"/>
  <c r="G207" i="16" s="1"/>
  <c r="F1896" i="16"/>
  <c r="G1896" i="16" s="1"/>
  <c r="F718" i="16"/>
  <c r="G718" i="16" s="1"/>
  <c r="F365" i="16"/>
  <c r="G365" i="16" s="1"/>
  <c r="F821" i="16"/>
  <c r="G821" i="16" s="1"/>
  <c r="F1373" i="16"/>
  <c r="G1373" i="16" s="1"/>
  <c r="F1802" i="16"/>
  <c r="G1802" i="16" s="1"/>
  <c r="F2209" i="16"/>
  <c r="G2209" i="16" s="1"/>
  <c r="F1845" i="16"/>
  <c r="G1845" i="16" s="1"/>
  <c r="F2210" i="16"/>
  <c r="G2210" i="16" s="1"/>
  <c r="F805" i="16"/>
  <c r="G805" i="16" s="1"/>
  <c r="F442" i="16"/>
  <c r="G442" i="16" s="1"/>
  <c r="F640" i="16"/>
  <c r="G640" i="16" s="1"/>
  <c r="F1879" i="16"/>
  <c r="G1879" i="16" s="1"/>
  <c r="F1590" i="16"/>
  <c r="G1590" i="16" s="1"/>
  <c r="F825" i="16"/>
  <c r="G825" i="16" s="1"/>
  <c r="F1673" i="16"/>
  <c r="G1673" i="16" s="1"/>
  <c r="F1371" i="16"/>
  <c r="G1371" i="16" s="1"/>
  <c r="F1564" i="16"/>
  <c r="G1564" i="16" s="1"/>
  <c r="F55" i="16"/>
  <c r="G55" i="16" s="1"/>
  <c r="F24" i="16"/>
  <c r="G24" i="16" s="1"/>
  <c r="F1409" i="16"/>
  <c r="G1409" i="16" s="1"/>
  <c r="F46" i="16"/>
  <c r="G46" i="16" s="1"/>
  <c r="F1995" i="16"/>
  <c r="G1995" i="16" s="1"/>
  <c r="F1617" i="16"/>
  <c r="G1617" i="16" s="1"/>
  <c r="F1050" i="16"/>
  <c r="G1050" i="16" s="1"/>
  <c r="F976" i="16"/>
  <c r="G976" i="16" s="1"/>
  <c r="F1332" i="16"/>
  <c r="G1332" i="16" s="1"/>
  <c r="F1531" i="16"/>
  <c r="G1531" i="16" s="1"/>
  <c r="F224" i="16"/>
  <c r="G224" i="16" s="1"/>
  <c r="F26" i="16"/>
  <c r="G26" i="16" s="1"/>
  <c r="F719" i="16"/>
  <c r="G719" i="16" s="1"/>
  <c r="F552" i="16"/>
  <c r="G552" i="16" s="1"/>
  <c r="F553" i="16"/>
  <c r="G553" i="16" s="1"/>
  <c r="F554" i="16"/>
  <c r="G554" i="16" s="1"/>
  <c r="F555" i="16"/>
  <c r="G555" i="16" s="1"/>
  <c r="F2211" i="16"/>
  <c r="G2211" i="16" s="1"/>
  <c r="F1625" i="16"/>
  <c r="G1625" i="16" s="1"/>
  <c r="F574" i="16"/>
  <c r="G574" i="16" s="1"/>
  <c r="F575" i="16"/>
  <c r="G575" i="16" s="1"/>
  <c r="F576" i="16"/>
  <c r="G576" i="16" s="1"/>
  <c r="F950" i="16"/>
  <c r="G950" i="16" s="1"/>
  <c r="F75" i="16"/>
  <c r="G75" i="16" s="1"/>
  <c r="F1370" i="16"/>
  <c r="G1370" i="16" s="1"/>
  <c r="F2212" i="16"/>
  <c r="G2212" i="16" s="1"/>
  <c r="F1379" i="16"/>
  <c r="G1379" i="16" s="1"/>
  <c r="F211" i="16"/>
  <c r="G211" i="16" s="1"/>
  <c r="F522" i="16"/>
  <c r="G522" i="16" s="1"/>
  <c r="F82" i="16"/>
  <c r="G82" i="16" s="1"/>
  <c r="F733" i="16"/>
  <c r="G733" i="16" s="1"/>
  <c r="F212" i="16"/>
  <c r="G212" i="16" s="1"/>
  <c r="F168" i="16"/>
  <c r="G168" i="16" s="1"/>
  <c r="F439" i="16"/>
  <c r="G439" i="16" s="1"/>
  <c r="F208" i="16"/>
  <c r="G208" i="16" s="1"/>
  <c r="F215" i="16"/>
  <c r="G215" i="16" s="1"/>
  <c r="F2213" i="16"/>
  <c r="G2213" i="16" s="1"/>
  <c r="F2214" i="16"/>
  <c r="G2214" i="16" s="1"/>
  <c r="F2215" i="16"/>
  <c r="G2215" i="16" s="1"/>
  <c r="F1902" i="16"/>
  <c r="G1902" i="16" s="1"/>
  <c r="F951" i="16"/>
  <c r="G951" i="16" s="1"/>
  <c r="F1161" i="16"/>
  <c r="G1161" i="16" s="1"/>
  <c r="F1591" i="16"/>
  <c r="G1591" i="16" s="1"/>
  <c r="F28" i="16"/>
  <c r="G28" i="16" s="1"/>
  <c r="F1562" i="16"/>
  <c r="G1562" i="16" s="1"/>
  <c r="F238" i="16"/>
  <c r="G238" i="16" s="1"/>
  <c r="F239" i="16"/>
  <c r="G239" i="16" s="1"/>
  <c r="F240" i="16"/>
  <c r="G240" i="16" s="1"/>
  <c r="F584" i="16"/>
  <c r="G584" i="16" s="1"/>
  <c r="F585" i="16"/>
  <c r="G585" i="16" s="1"/>
  <c r="F437" i="16"/>
  <c r="G437" i="16" s="1"/>
  <c r="F83" i="16"/>
  <c r="G83" i="16" s="1"/>
  <c r="F29" i="16"/>
  <c r="G29" i="16" s="1"/>
  <c r="F73" i="16"/>
  <c r="G73" i="16" s="1"/>
  <c r="F586" i="16"/>
  <c r="G586" i="16" s="1"/>
  <c r="F595" i="16"/>
  <c r="G595" i="16" s="1"/>
  <c r="F596" i="16"/>
  <c r="G596" i="16" s="1"/>
  <c r="F467" i="16"/>
  <c r="G467" i="16" s="1"/>
  <c r="F71" i="16"/>
  <c r="G71" i="16" s="1"/>
  <c r="F45" i="16"/>
  <c r="G45" i="16" s="1"/>
  <c r="F763" i="16"/>
  <c r="G763" i="16" s="1"/>
  <c r="F764" i="16"/>
  <c r="G764" i="16" s="1"/>
  <c r="F421" i="16"/>
  <c r="G421" i="16" s="1"/>
  <c r="F633" i="16"/>
  <c r="G633" i="16" s="1"/>
  <c r="F557" i="16"/>
  <c r="G557" i="16" s="1"/>
  <c r="F338" i="16"/>
  <c r="G338" i="16" s="1"/>
  <c r="F1201" i="16"/>
  <c r="G1201" i="16" s="1"/>
  <c r="F56" i="16"/>
  <c r="G56" i="16" s="1"/>
  <c r="F16" i="16"/>
  <c r="G16" i="16" s="1"/>
  <c r="F25" i="16"/>
  <c r="G25" i="16" s="1"/>
  <c r="F429" i="16"/>
  <c r="G429" i="16" s="1"/>
  <c r="F33" i="16"/>
  <c r="G33" i="16" s="1"/>
  <c r="F1181" i="16"/>
  <c r="G1181" i="16" s="1"/>
  <c r="F1182" i="16"/>
  <c r="G1182" i="16" s="1"/>
  <c r="F1183" i="16"/>
  <c r="G1183" i="16" s="1"/>
  <c r="F36" i="16"/>
  <c r="G36" i="16" s="1"/>
  <c r="F1491" i="16"/>
  <c r="G1491" i="16" s="1"/>
  <c r="F1133" i="16"/>
  <c r="G1133" i="16" s="1"/>
  <c r="F234" i="16"/>
  <c r="G234" i="16" s="1"/>
  <c r="F471" i="16"/>
  <c r="G471" i="16" s="1"/>
  <c r="F302" i="16"/>
  <c r="G302" i="16" s="1"/>
  <c r="F303" i="16"/>
  <c r="G303" i="16" s="1"/>
  <c r="F1628" i="16"/>
  <c r="G1628" i="16" s="1"/>
  <c r="F148" i="16"/>
  <c r="G148" i="16" s="1"/>
  <c r="F1039" i="16"/>
  <c r="G1039" i="16" s="1"/>
  <c r="F72" i="16"/>
  <c r="G72" i="16" s="1"/>
  <c r="F241" i="16"/>
  <c r="G241" i="16" s="1"/>
  <c r="F242" i="16"/>
  <c r="G242" i="16" s="1"/>
  <c r="F243" i="16"/>
  <c r="G243" i="16" s="1"/>
  <c r="F1514" i="16"/>
  <c r="G1514" i="16" s="1"/>
  <c r="F1442" i="16"/>
  <c r="G1442" i="16" s="1"/>
  <c r="F472" i="16"/>
  <c r="G472" i="16" s="1"/>
  <c r="F304" i="16"/>
  <c r="G304" i="16" s="1"/>
  <c r="F753" i="16"/>
  <c r="G753" i="16" s="1"/>
  <c r="F2216" i="16"/>
  <c r="G2216" i="16" s="1"/>
  <c r="F156" i="16"/>
  <c r="G156" i="16" s="1"/>
  <c r="F157" i="16"/>
  <c r="G157" i="16" s="1"/>
  <c r="F248" i="16"/>
  <c r="G248" i="16" s="1"/>
  <c r="F1771" i="16"/>
  <c r="G1771" i="16" s="1"/>
  <c r="F123" i="16"/>
  <c r="G123" i="16" s="1"/>
  <c r="F2217" i="16"/>
  <c r="G2217" i="16" s="1"/>
  <c r="F468" i="16"/>
  <c r="G468" i="16" s="1"/>
  <c r="F1429" i="16"/>
  <c r="G1429" i="16" s="1"/>
  <c r="F249" i="16"/>
  <c r="G249" i="16" s="1"/>
  <c r="F250" i="16"/>
  <c r="G250" i="16" s="1"/>
  <c r="F1430" i="16"/>
  <c r="G1430" i="16" s="1"/>
  <c r="F2175" i="16"/>
  <c r="G2175" i="16" s="1"/>
  <c r="F1051" i="16"/>
  <c r="G1051" i="16" s="1"/>
  <c r="F1096" i="16"/>
  <c r="G1096" i="16" s="1"/>
  <c r="F949" i="16"/>
  <c r="G949" i="16" s="1"/>
  <c r="F312" i="16"/>
  <c r="G312" i="16" s="1"/>
  <c r="F1482" i="16"/>
  <c r="G1482" i="16" s="1"/>
  <c r="F313" i="16"/>
  <c r="G313" i="16" s="1"/>
  <c r="F422" i="16"/>
  <c r="G422" i="16" s="1"/>
  <c r="F314" i="16"/>
  <c r="G314" i="16" s="1"/>
  <c r="F315" i="16"/>
  <c r="G315" i="16" s="1"/>
  <c r="F316" i="16"/>
  <c r="G316" i="16" s="1"/>
  <c r="F7" i="16"/>
  <c r="G7" i="16" s="1"/>
  <c r="F8" i="16"/>
  <c r="G8" i="16" s="1"/>
  <c r="F124" i="16"/>
  <c r="G124" i="16" s="1"/>
  <c r="F1779" i="16"/>
  <c r="G1779" i="16" s="1"/>
  <c r="F423" i="16"/>
  <c r="G423" i="16" s="1"/>
  <c r="F1277" i="16"/>
  <c r="G1277" i="16" s="1"/>
  <c r="F1818" i="16"/>
  <c r="G1818" i="16" s="1"/>
  <c r="F1049" i="16"/>
  <c r="G1049" i="16" s="1"/>
  <c r="F562" i="16"/>
  <c r="G562" i="16" s="1"/>
  <c r="F1431" i="16"/>
  <c r="G1431" i="16" s="1"/>
  <c r="F741" i="16"/>
  <c r="G741" i="16" s="1"/>
  <c r="F931" i="16"/>
  <c r="G931" i="16" s="1"/>
  <c r="F396" i="16"/>
  <c r="G396" i="16" s="1"/>
  <c r="F577" i="16"/>
  <c r="G577" i="16" s="1"/>
  <c r="F578" i="16"/>
  <c r="G578" i="16" s="1"/>
  <c r="F990" i="16"/>
  <c r="G990" i="16" s="1"/>
  <c r="F1714" i="16"/>
  <c r="G1714" i="16" s="1"/>
  <c r="F1245" i="16"/>
  <c r="G1245" i="16" s="1"/>
  <c r="F2218" i="16"/>
  <c r="G2218" i="16" s="1"/>
  <c r="F352" i="16"/>
  <c r="G352" i="16" s="1"/>
  <c r="F353" i="16"/>
  <c r="G353" i="16" s="1"/>
  <c r="F354" i="16"/>
  <c r="G354" i="16" s="1"/>
  <c r="F136" i="16"/>
  <c r="G136" i="16" s="1"/>
  <c r="F125" i="16"/>
  <c r="G125" i="16" s="1"/>
  <c r="F1382" i="16"/>
  <c r="G1382" i="16" s="1"/>
  <c r="F1633" i="16"/>
  <c r="G1633" i="16" s="1"/>
  <c r="F317" i="16"/>
  <c r="G317" i="16" s="1"/>
  <c r="F2071" i="16"/>
  <c r="G2071" i="16" s="1"/>
  <c r="F855" i="16"/>
  <c r="G855" i="16" s="1"/>
  <c r="F856" i="16"/>
  <c r="G856" i="16" s="1"/>
  <c r="F857" i="16"/>
  <c r="G857" i="16" s="1"/>
  <c r="F473" i="16"/>
  <c r="G473" i="16" s="1"/>
  <c r="F797" i="16"/>
  <c r="G797" i="16" s="1"/>
  <c r="F798" i="16"/>
  <c r="G798" i="16" s="1"/>
  <c r="F799" i="16"/>
  <c r="G799" i="16" s="1"/>
  <c r="F1174" i="16"/>
  <c r="G1174" i="16" s="1"/>
  <c r="F1175" i="16"/>
  <c r="G1175" i="16" s="1"/>
  <c r="F1176" i="16"/>
  <c r="G1176" i="16" s="1"/>
  <c r="F1806" i="16"/>
  <c r="G1806" i="16" s="1"/>
  <c r="F1807" i="16"/>
  <c r="G1807" i="16" s="1"/>
  <c r="F1034" i="16"/>
  <c r="G1034" i="16" s="1"/>
  <c r="F1035" i="16"/>
  <c r="G1035" i="16" s="1"/>
  <c r="F1036" i="16"/>
  <c r="G1036" i="16" s="1"/>
  <c r="F2080" i="16"/>
  <c r="G2080" i="16" s="1"/>
  <c r="F809" i="16"/>
  <c r="G809" i="16" s="1"/>
  <c r="F810" i="16"/>
  <c r="G810" i="16" s="1"/>
  <c r="F811" i="16"/>
  <c r="G811" i="16" s="1"/>
  <c r="F1358" i="16"/>
  <c r="G1358" i="16" s="1"/>
  <c r="F1359" i="16"/>
  <c r="G1359" i="16" s="1"/>
  <c r="F87" i="16"/>
  <c r="G87" i="16" s="1"/>
  <c r="F88" i="16"/>
  <c r="G88" i="16" s="1"/>
  <c r="F514" i="16"/>
  <c r="G514" i="16" s="1"/>
  <c r="F515" i="16"/>
  <c r="G515" i="16" s="1"/>
  <c r="F516" i="16"/>
  <c r="G516" i="16" s="1"/>
  <c r="F2009" i="16"/>
  <c r="G2009" i="16" s="1"/>
  <c r="F2010" i="16"/>
  <c r="G2010" i="16" s="1"/>
  <c r="F1003" i="16"/>
  <c r="G1003" i="16" s="1"/>
  <c r="F1004" i="16"/>
  <c r="G1004" i="16" s="1"/>
  <c r="F1005" i="16"/>
  <c r="G1005" i="16" s="1"/>
  <c r="F431" i="16"/>
  <c r="G431" i="16" s="1"/>
  <c r="F432" i="16"/>
  <c r="G432" i="16" s="1"/>
  <c r="F433" i="16"/>
  <c r="G433" i="16" s="1"/>
  <c r="F1155" i="16"/>
  <c r="G1155" i="16" s="1"/>
  <c r="F1156" i="16"/>
  <c r="G1156" i="16" s="1"/>
  <c r="F1157" i="16"/>
  <c r="G1157" i="16" s="1"/>
  <c r="F683" i="16"/>
  <c r="G683" i="16" s="1"/>
  <c r="F684" i="16"/>
  <c r="G684" i="16" s="1"/>
  <c r="F685" i="16"/>
  <c r="G685" i="16" s="1"/>
  <c r="F780" i="16"/>
  <c r="G780" i="16" s="1"/>
  <c r="F781" i="16"/>
  <c r="G781" i="16" s="1"/>
  <c r="F782" i="16"/>
  <c r="G782" i="16" s="1"/>
  <c r="F706" i="16"/>
  <c r="G706" i="16" s="1"/>
  <c r="F707" i="16"/>
  <c r="G707" i="16" s="1"/>
  <c r="F708" i="16"/>
  <c r="G708" i="16" s="1"/>
  <c r="F1041" i="16"/>
  <c r="G1041" i="16" s="1"/>
  <c r="F342" i="16"/>
  <c r="G342" i="16" s="1"/>
  <c r="F343" i="16"/>
  <c r="G343" i="16" s="1"/>
  <c r="F774" i="16"/>
  <c r="G774" i="16" s="1"/>
  <c r="F775" i="16"/>
  <c r="G775" i="16" s="1"/>
  <c r="F776" i="16"/>
  <c r="G776" i="16" s="1"/>
  <c r="F911" i="16"/>
  <c r="G911" i="16" s="1"/>
  <c r="F912" i="16"/>
  <c r="G912" i="16" s="1"/>
  <c r="F388" i="16"/>
  <c r="G388" i="16" s="1"/>
  <c r="F389" i="16"/>
  <c r="G389" i="16" s="1"/>
  <c r="F390" i="16"/>
  <c r="G390" i="16" s="1"/>
  <c r="F546" i="16"/>
  <c r="G546" i="16" s="1"/>
  <c r="F547" i="16"/>
  <c r="G547" i="16" s="1"/>
  <c r="F1752" i="16"/>
  <c r="G1752" i="16" s="1"/>
  <c r="F1753" i="16"/>
  <c r="G1753" i="16" s="1"/>
  <c r="F563" i="16"/>
  <c r="G563" i="16" s="1"/>
  <c r="F564" i="16"/>
  <c r="G564" i="16" s="1"/>
  <c r="F565" i="16"/>
  <c r="G565" i="16" s="1"/>
  <c r="F566" i="16"/>
  <c r="G566" i="16" s="1"/>
  <c r="F1638" i="16"/>
  <c r="G1638" i="16" s="1"/>
  <c r="F1639" i="16"/>
  <c r="G1639" i="16" s="1"/>
  <c r="F1060" i="16"/>
  <c r="G1060" i="16" s="1"/>
  <c r="F1061" i="16"/>
  <c r="G1061" i="16" s="1"/>
  <c r="F1062" i="16"/>
  <c r="G1062" i="16" s="1"/>
  <c r="F722" i="16"/>
  <c r="G722" i="16" s="1"/>
  <c r="F723" i="16"/>
  <c r="G723" i="16" s="1"/>
  <c r="F724" i="16"/>
  <c r="G724" i="16" s="1"/>
  <c r="F677" i="16"/>
  <c r="G677" i="16" s="1"/>
  <c r="F678" i="16"/>
  <c r="G678" i="16" s="1"/>
  <c r="F140" i="16"/>
  <c r="G140" i="16" s="1"/>
  <c r="F1916" i="16"/>
  <c r="G1916" i="16" s="1"/>
  <c r="F1715" i="16"/>
  <c r="G1715" i="16" s="1"/>
  <c r="F1716" i="16"/>
  <c r="G1716" i="16" s="1"/>
  <c r="F1717" i="16"/>
  <c r="G1717" i="16" s="1"/>
  <c r="F886" i="16"/>
  <c r="G886" i="16" s="1"/>
  <c r="F887" i="16"/>
  <c r="G887" i="16" s="1"/>
  <c r="F888" i="16"/>
  <c r="G888" i="16" s="1"/>
  <c r="F1011" i="16"/>
  <c r="G1011" i="16" s="1"/>
  <c r="F1012" i="16"/>
  <c r="G1012" i="16" s="1"/>
  <c r="F1013" i="16"/>
  <c r="G1013" i="16" s="1"/>
  <c r="F1785" i="16"/>
  <c r="G1785" i="16" s="1"/>
  <c r="F104" i="16"/>
  <c r="G104" i="16" s="1"/>
  <c r="F1699" i="16"/>
  <c r="G1699" i="16" s="1"/>
  <c r="F1308" i="16"/>
  <c r="G1308" i="16" s="1"/>
  <c r="F1247" i="16"/>
  <c r="G1247" i="16" s="1"/>
  <c r="F1870" i="16"/>
  <c r="G1870" i="16" s="1"/>
  <c r="F2219" i="16"/>
  <c r="G2219" i="16" s="1"/>
  <c r="F2220" i="16"/>
  <c r="G2220" i="16" s="1"/>
  <c r="F850" i="16"/>
  <c r="G850" i="16" s="1"/>
  <c r="F1556" i="16"/>
  <c r="G1556" i="16" s="1"/>
  <c r="F1743" i="16"/>
  <c r="G1743" i="16" s="1"/>
  <c r="F2143" i="16"/>
  <c r="G2143" i="16" s="1"/>
  <c r="F1812" i="16"/>
  <c r="G1812" i="16" s="1"/>
  <c r="F1378" i="16"/>
  <c r="G1378" i="16" s="1"/>
  <c r="F1912" i="16"/>
  <c r="G1912" i="16" s="1"/>
  <c r="F1727" i="16"/>
  <c r="G1727" i="16" s="1"/>
  <c r="F2077" i="16"/>
  <c r="G2077" i="16" s="1"/>
  <c r="F1260" i="16"/>
  <c r="G1260" i="16" s="1"/>
  <c r="F1997" i="16"/>
  <c r="G1997" i="16" s="1"/>
  <c r="F1940" i="16"/>
  <c r="G1940" i="16" s="1"/>
  <c r="F1512" i="16"/>
  <c r="G1512" i="16" s="1"/>
  <c r="F1873" i="16"/>
  <c r="G1873" i="16" s="1"/>
  <c r="F2070" i="16"/>
  <c r="G2070" i="16" s="1"/>
  <c r="F2125" i="16"/>
  <c r="G2125" i="16" s="1"/>
  <c r="F1184" i="16"/>
  <c r="G1184" i="16" s="1"/>
  <c r="F1765" i="16"/>
  <c r="G1765" i="16" s="1"/>
  <c r="F1722" i="16"/>
  <c r="G1722" i="16" s="1"/>
  <c r="F1859" i="16"/>
  <c r="G1859" i="16" s="1"/>
  <c r="F1786" i="16"/>
  <c r="G1786" i="16" s="1"/>
  <c r="F1921" i="16"/>
  <c r="G1921" i="16" s="1"/>
  <c r="F2221" i="16"/>
  <c r="G2221" i="16" s="1"/>
  <c r="F2073" i="16"/>
  <c r="G2073" i="16" s="1"/>
  <c r="F1344" i="16"/>
  <c r="G1344" i="16" s="1"/>
  <c r="F2061" i="16"/>
  <c r="G2061" i="16" s="1"/>
  <c r="F1917" i="16"/>
  <c r="G1917" i="16" s="1"/>
  <c r="F1918" i="16"/>
  <c r="G1918" i="16" s="1"/>
  <c r="F548" i="16"/>
  <c r="G548" i="16" s="1"/>
  <c r="F725" i="16"/>
  <c r="G725" i="16" s="1"/>
  <c r="F1808" i="16"/>
  <c r="G1808" i="16" s="1"/>
  <c r="F812" i="16"/>
  <c r="G812" i="16" s="1"/>
  <c r="F813" i="16"/>
  <c r="G813" i="16" s="1"/>
  <c r="F889" i="16"/>
  <c r="G889" i="16" s="1"/>
  <c r="F105" i="16"/>
  <c r="G105" i="16" s="1"/>
  <c r="F1841" i="16"/>
  <c r="G1841" i="16" s="1"/>
  <c r="F1842" i="16"/>
  <c r="G1842" i="16" s="1"/>
  <c r="F1191" i="16"/>
  <c r="G1191" i="16" s="1"/>
  <c r="F1192" i="16"/>
  <c r="G1192" i="16" s="1"/>
  <c r="F34" i="16"/>
  <c r="G34" i="16" s="1"/>
  <c r="F35" i="16"/>
  <c r="G35" i="16" s="1"/>
  <c r="F391" i="16"/>
  <c r="G391" i="16" s="1"/>
  <c r="F426" i="16"/>
  <c r="G426" i="16" s="1"/>
  <c r="F913" i="16"/>
  <c r="G913" i="16" s="1"/>
  <c r="F474" i="16"/>
  <c r="G474" i="16" s="1"/>
  <c r="F1042" i="16"/>
  <c r="G1042" i="16" s="1"/>
  <c r="F1360" i="16"/>
  <c r="G1360" i="16" s="1"/>
  <c r="F1006" i="16"/>
  <c r="G1006" i="16" s="1"/>
  <c r="F1007" i="16"/>
  <c r="G1007" i="16" s="1"/>
  <c r="F800" i="16"/>
  <c r="G800" i="16" s="1"/>
  <c r="F801" i="16"/>
  <c r="G801" i="16" s="1"/>
  <c r="F802" i="16"/>
  <c r="G802" i="16" s="1"/>
  <c r="F803" i="16"/>
  <c r="G803" i="16" s="1"/>
  <c r="F89" i="16"/>
  <c r="G89" i="16" s="1"/>
  <c r="F90" i="16"/>
  <c r="G90" i="16" s="1"/>
  <c r="F91" i="16"/>
  <c r="G91" i="16" s="1"/>
  <c r="F2011" i="16"/>
  <c r="G2011" i="16" s="1"/>
  <c r="F686" i="16"/>
  <c r="G686" i="16" s="1"/>
  <c r="F858" i="16"/>
  <c r="G858" i="16" s="1"/>
  <c r="F1640" i="16"/>
  <c r="G1640" i="16" s="1"/>
  <c r="F517" i="16"/>
  <c r="G517" i="16" s="1"/>
  <c r="F518" i="16"/>
  <c r="G518" i="16" s="1"/>
  <c r="F519" i="16"/>
  <c r="G519" i="16" s="1"/>
  <c r="F434" i="16"/>
  <c r="G434" i="16" s="1"/>
  <c r="F344" i="16"/>
  <c r="G344" i="16" s="1"/>
  <c r="F1037" i="16"/>
  <c r="G1037" i="16" s="1"/>
  <c r="F1038" i="16"/>
  <c r="G1038" i="16" s="1"/>
  <c r="F1063" i="16"/>
  <c r="G1063" i="16" s="1"/>
  <c r="F1718" i="16"/>
  <c r="G1718" i="16" s="1"/>
  <c r="F1177" i="16"/>
  <c r="G1177" i="16" s="1"/>
  <c r="F1178" i="16"/>
  <c r="G1178" i="16" s="1"/>
  <c r="F679" i="16"/>
  <c r="G679" i="16" s="1"/>
  <c r="F2081" i="16"/>
  <c r="G2081" i="16" s="1"/>
  <c r="F141" i="16"/>
  <c r="G141" i="16" s="1"/>
  <c r="F142" i="16"/>
  <c r="G142" i="16" s="1"/>
  <c r="F783" i="16"/>
  <c r="G783" i="16" s="1"/>
  <c r="F709" i="16"/>
  <c r="G709" i="16" s="1"/>
  <c r="F1158" i="16"/>
  <c r="G1158" i="16" s="1"/>
  <c r="F1159" i="16"/>
  <c r="G1159" i="16" s="1"/>
  <c r="F1754" i="16"/>
  <c r="G1754" i="16" s="1"/>
  <c r="F1014" i="16"/>
  <c r="G1014" i="16" s="1"/>
  <c r="F567" i="16"/>
  <c r="G567" i="16" s="1"/>
  <c r="F568" i="16"/>
  <c r="G568" i="16" s="1"/>
  <c r="F569" i="16"/>
  <c r="G569" i="16" s="1"/>
  <c r="F570" i="16"/>
  <c r="G570" i="16" s="1"/>
  <c r="F777" i="16"/>
  <c r="G777" i="16" s="1"/>
  <c r="F1248" i="16"/>
  <c r="G1248" i="16" s="1"/>
  <c r="F531" i="16"/>
  <c r="G531" i="16" s="1"/>
  <c r="F1521" i="16"/>
  <c r="G1521" i="16" s="1"/>
  <c r="F1185" i="16"/>
  <c r="G1185" i="16" s="1"/>
  <c r="F1186" i="16"/>
  <c r="G1186" i="16" s="1"/>
  <c r="F1187" i="16"/>
  <c r="G1187" i="16" s="1"/>
  <c r="F1188" i="16"/>
  <c r="G1188" i="16" s="1"/>
  <c r="F1998" i="16"/>
  <c r="G1998" i="16" s="1"/>
  <c r="F1999" i="16"/>
  <c r="G1999" i="16" s="1"/>
  <c r="F1193" i="16"/>
  <c r="G1193" i="16" s="1"/>
  <c r="F795" i="16"/>
  <c r="G795" i="16" s="1"/>
  <c r="F2222" i="16"/>
  <c r="G2222" i="16" s="1"/>
  <c r="F2223" i="16"/>
  <c r="G2223" i="16" s="1"/>
  <c r="F2224" i="16"/>
  <c r="G2224" i="16" s="1"/>
  <c r="F1309" i="16"/>
  <c r="G1309" i="16" s="1"/>
  <c r="F1310" i="16"/>
  <c r="G1310" i="16" s="1"/>
  <c r="F1311" i="16"/>
  <c r="G1311" i="16" s="1"/>
  <c r="F1312" i="16"/>
  <c r="G1312" i="16" s="1"/>
  <c r="F1313" i="16"/>
  <c r="G1313" i="16" s="1"/>
  <c r="F1730" i="16"/>
  <c r="G1730" i="16" s="1"/>
  <c r="F1833" i="16"/>
  <c r="G1833" i="16" s="1"/>
  <c r="F851" i="16"/>
  <c r="G851" i="16" s="1"/>
  <c r="F2225" i="16"/>
  <c r="G2225" i="16" s="1"/>
  <c r="F1787" i="16"/>
  <c r="G1787" i="16" s="1"/>
  <c r="F1941" i="16"/>
  <c r="G1941" i="16" s="1"/>
  <c r="F1874" i="16"/>
  <c r="G1874" i="16" s="1"/>
  <c r="F1875" i="16"/>
  <c r="G1875" i="16" s="1"/>
  <c r="F1813" i="16"/>
  <c r="G1813" i="16" s="1"/>
  <c r="F143" i="16"/>
  <c r="G143" i="16" s="1"/>
  <c r="F1010" i="16"/>
  <c r="G1010" i="16" s="1"/>
  <c r="F1601" i="16"/>
  <c r="G1601" i="16" s="1"/>
  <c r="F1559" i="16"/>
  <c r="G1559" i="16" s="1"/>
  <c r="F2226" i="16"/>
  <c r="G2226" i="16" s="1"/>
  <c r="F1496" i="16"/>
  <c r="G1496" i="16" s="1"/>
  <c r="F1509" i="16"/>
  <c r="G1509" i="16" s="1"/>
  <c r="F2105" i="16"/>
  <c r="G2105" i="16" s="1"/>
  <c r="F2104" i="16"/>
  <c r="G2104" i="16" s="1"/>
  <c r="F1933" i="16"/>
  <c r="G1933" i="16" s="1"/>
  <c r="F201" i="16"/>
  <c r="G201" i="16" s="1"/>
  <c r="F1816" i="16"/>
  <c r="G1816" i="16" s="1"/>
  <c r="F1537" i="16"/>
  <c r="G1537" i="16" s="1"/>
  <c r="F2227" i="16"/>
  <c r="G2227" i="16" s="1"/>
  <c r="F2141" i="16"/>
  <c r="G2141" i="16" s="1"/>
  <c r="F2142" i="16"/>
  <c r="G2142" i="16" s="1"/>
  <c r="F2012" i="16"/>
  <c r="G2012" i="16" s="1"/>
  <c r="F84" i="16"/>
  <c r="G84" i="16" s="1"/>
  <c r="F699" i="16"/>
  <c r="G699" i="16" s="1"/>
  <c r="F816" i="16"/>
  <c r="G816" i="16" s="1"/>
  <c r="F1887" i="16"/>
  <c r="G1887" i="16" s="1"/>
  <c r="F1888" i="16"/>
  <c r="G1888" i="16" s="1"/>
  <c r="F1146" i="16"/>
  <c r="G1146" i="16" s="1"/>
  <c r="F682" i="16"/>
  <c r="G682" i="16" s="1"/>
  <c r="F712" i="16"/>
  <c r="G712" i="16" s="1"/>
  <c r="F1525" i="16"/>
  <c r="G1525" i="16" s="1"/>
  <c r="F591" i="16"/>
  <c r="G591" i="16" s="1"/>
  <c r="F2139" i="16"/>
  <c r="G2139" i="16" s="1"/>
  <c r="F817" i="16"/>
  <c r="G817" i="16" s="1"/>
  <c r="F2110" i="16"/>
  <c r="G2110" i="16" s="1"/>
  <c r="F2024" i="16"/>
  <c r="G2024" i="16" s="1"/>
  <c r="F1518" i="16"/>
  <c r="G1518" i="16" s="1"/>
  <c r="F771" i="16"/>
  <c r="G771" i="16" s="1"/>
  <c r="F772" i="16"/>
  <c r="G772" i="16" s="1"/>
  <c r="F773" i="16"/>
  <c r="G773" i="16" s="1"/>
  <c r="F457" i="16"/>
  <c r="G457" i="16" s="1"/>
  <c r="F458" i="16"/>
  <c r="G458" i="16" s="1"/>
  <c r="F885" i="16"/>
  <c r="G885" i="16" s="1"/>
  <c r="F632" i="16"/>
  <c r="G632" i="16" s="1"/>
  <c r="F1268" i="16"/>
  <c r="G1268" i="16" s="1"/>
  <c r="F613" i="16"/>
  <c r="G613" i="16" s="1"/>
  <c r="F593" i="16"/>
  <c r="G593" i="16" s="1"/>
  <c r="F1669" i="16"/>
  <c r="G1669" i="16" s="1"/>
  <c r="F1391" i="16"/>
  <c r="G1391" i="16" s="1"/>
  <c r="F1670" i="16"/>
  <c r="G1670" i="16" s="1"/>
  <c r="F1044" i="16"/>
  <c r="G1044" i="16" s="1"/>
  <c r="F666" i="16"/>
  <c r="G666" i="16" s="1"/>
  <c r="F1728" i="16"/>
  <c r="G1728" i="16" s="1"/>
  <c r="F1059" i="16"/>
  <c r="G1059" i="16" s="1"/>
  <c r="F1165" i="16"/>
  <c r="G1165" i="16" s="1"/>
  <c r="F1198" i="16"/>
  <c r="G1198" i="16" s="1"/>
  <c r="F1407" i="16"/>
  <c r="G1407" i="16" s="1"/>
  <c r="F1113" i="16"/>
  <c r="G1113" i="16" s="1"/>
  <c r="F479" i="16"/>
  <c r="G479" i="16" s="1"/>
  <c r="F1570" i="16"/>
  <c r="G1570" i="16" s="1"/>
  <c r="F1571" i="16"/>
  <c r="G1571" i="16" s="1"/>
  <c r="F1572" i="16"/>
  <c r="G1572" i="16" s="1"/>
  <c r="F2163" i="16"/>
  <c r="G2163" i="16" s="1"/>
  <c r="F2028" i="16"/>
  <c r="G2028" i="16" s="1"/>
  <c r="F690" i="16"/>
  <c r="G690" i="16" s="1"/>
  <c r="F1092" i="16"/>
  <c r="G1092" i="16" s="1"/>
  <c r="F667" i="16"/>
  <c r="G667" i="16" s="1"/>
  <c r="F1297" i="16"/>
  <c r="G1297" i="16" s="1"/>
  <c r="F1102" i="16"/>
  <c r="G1102" i="16" s="1"/>
  <c r="F1815" i="16"/>
  <c r="G1815" i="16" s="1"/>
  <c r="F1045" i="16"/>
  <c r="G1045" i="16" s="1"/>
  <c r="F1046" i="16"/>
  <c r="G1046" i="16" s="1"/>
  <c r="F832" i="16"/>
  <c r="G832" i="16" s="1"/>
  <c r="F1746" i="16"/>
  <c r="G1746" i="16" s="1"/>
  <c r="F1756" i="16"/>
  <c r="G1756" i="16" s="1"/>
  <c r="F78" i="16"/>
  <c r="G78" i="16" s="1"/>
  <c r="F1526" i="16"/>
  <c r="G1526" i="16" s="1"/>
  <c r="F968" i="16"/>
  <c r="G968" i="16" s="1"/>
  <c r="F2228" i="16"/>
  <c r="G2228" i="16" s="1"/>
  <c r="F827" i="16"/>
  <c r="G827" i="16" s="1"/>
  <c r="F1278" i="16"/>
  <c r="G1278" i="16" s="1"/>
  <c r="F1361" i="16"/>
  <c r="G1361" i="16" s="1"/>
  <c r="F961" i="16"/>
  <c r="G961" i="16" s="1"/>
  <c r="F1362" i="16"/>
  <c r="G1362" i="16" s="1"/>
  <c r="F1803" i="16"/>
  <c r="G1803" i="16" s="1"/>
  <c r="F2229" i="16"/>
  <c r="G2229" i="16" s="1"/>
  <c r="F2230" i="16"/>
  <c r="G2230" i="16" s="1"/>
  <c r="F2231" i="16"/>
  <c r="G2231" i="16" s="1"/>
  <c r="F906" i="16"/>
  <c r="G906" i="16" s="1"/>
  <c r="F865" i="16"/>
  <c r="G865" i="16" s="1"/>
  <c r="F1589" i="16"/>
  <c r="G1589" i="16" s="1"/>
  <c r="F818" i="16"/>
  <c r="G818" i="16" s="1"/>
  <c r="F819" i="16"/>
  <c r="G819" i="16" s="1"/>
  <c r="F964" i="16"/>
  <c r="G964" i="16" s="1"/>
  <c r="F820" i="16"/>
  <c r="G820" i="16" s="1"/>
  <c r="F268" i="16"/>
  <c r="G268" i="16" s="1"/>
  <c r="F1825" i="16"/>
  <c r="G1825" i="16" s="1"/>
  <c r="F1704" i="16"/>
  <c r="G1704" i="16" s="1"/>
  <c r="F2147" i="16"/>
  <c r="G2147" i="16" s="1"/>
  <c r="F594" i="16"/>
  <c r="G594" i="16" s="1"/>
  <c r="F1505" i="16"/>
  <c r="G1505" i="16" s="1"/>
  <c r="F1579" i="16"/>
  <c r="G1579" i="16" s="1"/>
  <c r="F1298" i="16"/>
  <c r="G1298" i="16" s="1"/>
  <c r="F1757" i="16"/>
  <c r="G1757" i="16" s="1"/>
  <c r="F1758" i="16"/>
  <c r="G1758" i="16" s="1"/>
  <c r="F668" i="16"/>
  <c r="G668" i="16" s="1"/>
  <c r="F305" i="16"/>
  <c r="G305" i="16" s="1"/>
  <c r="F1747" i="16"/>
  <c r="G1747" i="16" s="1"/>
  <c r="F581" i="16"/>
  <c r="G581" i="16" s="1"/>
  <c r="F590" i="16"/>
  <c r="G590" i="16" s="1"/>
  <c r="F1438" i="16"/>
  <c r="G1438" i="16" s="1"/>
  <c r="F1830" i="16"/>
  <c r="G1830" i="16" s="1"/>
  <c r="F1790" i="16"/>
  <c r="G1790" i="16" s="1"/>
  <c r="F1630" i="16"/>
  <c r="G1630" i="16" s="1"/>
  <c r="F1608" i="16"/>
  <c r="G1608" i="16" s="1"/>
  <c r="F1272" i="16"/>
  <c r="G1272" i="16" s="1"/>
  <c r="F1463" i="16"/>
  <c r="G1463" i="16" s="1"/>
  <c r="F2232" i="16"/>
  <c r="G2232" i="16" s="1"/>
  <c r="F1599" i="16"/>
  <c r="G1599" i="16" s="1"/>
  <c r="F2233" i="16"/>
  <c r="G2233" i="16" s="1"/>
  <c r="F1632" i="16"/>
  <c r="G1632" i="16" s="1"/>
  <c r="F1472" i="16"/>
  <c r="G1472" i="16" s="1"/>
  <c r="F1993" i="16"/>
  <c r="G1993" i="16" s="1"/>
  <c r="F2172" i="16"/>
  <c r="G2172" i="16" s="1"/>
  <c r="F2234" i="16"/>
  <c r="G2234" i="16" s="1"/>
  <c r="F2109" i="16"/>
  <c r="G2109" i="16" s="1"/>
  <c r="F2235" i="16"/>
  <c r="G2235" i="16" s="1"/>
  <c r="F909" i="16"/>
  <c r="G909" i="16" s="1"/>
  <c r="F147" i="16"/>
  <c r="G147" i="16" s="1"/>
  <c r="F96" i="16"/>
  <c r="G96" i="16" s="1"/>
  <c r="F695" i="16"/>
  <c r="G695" i="16" s="1"/>
  <c r="F1221" i="16"/>
  <c r="G1221" i="16" s="1"/>
  <c r="F608" i="16"/>
  <c r="G608" i="16" s="1"/>
  <c r="F1098" i="16"/>
  <c r="G1098" i="16" s="1"/>
  <c r="F629" i="16"/>
  <c r="G629" i="16" s="1"/>
  <c r="F484" i="16"/>
  <c r="G484" i="16" s="1"/>
  <c r="F945" i="16"/>
  <c r="G945" i="16" s="1"/>
  <c r="F1076" i="16"/>
  <c r="G1076" i="16" s="1"/>
  <c r="F1355" i="16"/>
  <c r="G1355" i="16" s="1"/>
  <c r="F498" i="16"/>
  <c r="G498" i="16" s="1"/>
  <c r="F503" i="16"/>
  <c r="G503" i="16" s="1"/>
  <c r="F129" i="16"/>
  <c r="G129" i="16" s="1"/>
  <c r="F1099" i="16"/>
  <c r="G1099" i="16" s="1"/>
  <c r="F485" i="16"/>
  <c r="G485" i="16" s="1"/>
  <c r="F946" i="16"/>
  <c r="G946" i="16" s="1"/>
  <c r="F696" i="16"/>
  <c r="G696" i="16" s="1"/>
  <c r="F609" i="16"/>
  <c r="G609" i="16" s="1"/>
  <c r="F504" i="16"/>
  <c r="G504" i="16" s="1"/>
  <c r="F325" i="16"/>
  <c r="G325" i="16" s="1"/>
  <c r="F130" i="16"/>
  <c r="G130" i="16" s="1"/>
  <c r="F97" i="16"/>
  <c r="G97" i="16" s="1"/>
  <c r="F867" i="16"/>
  <c r="G867" i="16" s="1"/>
  <c r="F1100" i="16"/>
  <c r="G1100" i="16" s="1"/>
  <c r="F630" i="16"/>
  <c r="G630" i="16" s="1"/>
  <c r="F361" i="16"/>
  <c r="G361" i="16" s="1"/>
  <c r="F486" i="16"/>
  <c r="G486" i="16" s="1"/>
  <c r="F1077" i="16"/>
  <c r="G1077" i="16" s="1"/>
  <c r="F499" i="16"/>
  <c r="G499" i="16" s="1"/>
  <c r="F697" i="16"/>
  <c r="G697" i="16" s="1"/>
  <c r="F910" i="16"/>
  <c r="G910" i="16" s="1"/>
  <c r="F991" i="16"/>
  <c r="G991" i="16" s="1"/>
  <c r="F326" i="16"/>
  <c r="G326" i="16" s="1"/>
  <c r="F131" i="16"/>
  <c r="G131" i="16" s="1"/>
  <c r="F98" i="16"/>
  <c r="G98" i="16" s="1"/>
  <c r="F631" i="16"/>
  <c r="G631" i="16" s="1"/>
  <c r="F362" i="16"/>
  <c r="G362" i="16" s="1"/>
  <c r="F500" i="16"/>
  <c r="G500" i="16" s="1"/>
  <c r="F614" i="16"/>
  <c r="G614" i="16" s="1"/>
  <c r="F1230" i="16"/>
  <c r="G1230" i="16" s="1"/>
  <c r="F1950" i="16"/>
  <c r="G1950" i="16" s="1"/>
  <c r="F1960" i="16"/>
  <c r="G1960" i="16" s="1"/>
  <c r="F1651" i="16"/>
  <c r="G1651" i="16" s="1"/>
  <c r="F1239" i="16"/>
  <c r="G1239" i="16" s="1"/>
  <c r="F149" i="16"/>
  <c r="G149" i="16" s="1"/>
  <c r="F274" i="16"/>
  <c r="G274" i="16" s="1"/>
  <c r="F868" i="16"/>
  <c r="G868" i="16" s="1"/>
  <c r="F869" i="16"/>
  <c r="G869" i="16" s="1"/>
  <c r="F870" i="16"/>
  <c r="G870" i="16" s="1"/>
  <c r="F100" i="16"/>
  <c r="G100" i="16" s="1"/>
  <c r="F967" i="16"/>
  <c r="G967" i="16" s="1"/>
  <c r="F610" i="16"/>
  <c r="G610" i="16" s="1"/>
  <c r="F1240" i="16"/>
  <c r="G1240" i="16" s="1"/>
  <c r="F871" i="16"/>
  <c r="G871" i="16" s="1"/>
  <c r="F32" i="16"/>
  <c r="G32" i="16" s="1"/>
  <c r="F174" i="16"/>
  <c r="G174" i="16" s="1"/>
  <c r="F702" i="16"/>
  <c r="G702" i="16" s="1"/>
  <c r="F1028" i="16"/>
  <c r="G1028" i="16" s="1"/>
  <c r="F2136" i="16"/>
  <c r="G2136" i="16" s="1"/>
  <c r="F505" i="16"/>
  <c r="G505" i="16" s="1"/>
  <c r="F99" i="16"/>
  <c r="G99" i="16" s="1"/>
  <c r="F852" i="16"/>
  <c r="G852" i="16" s="1"/>
  <c r="F327" i="16"/>
  <c r="G327" i="16" s="1"/>
  <c r="F1142" i="16"/>
  <c r="G1142" i="16" s="1"/>
  <c r="F363" i="16"/>
  <c r="G363" i="16" s="1"/>
  <c r="F1376" i="16"/>
  <c r="G1376" i="16" s="1"/>
  <c r="F1093" i="16"/>
  <c r="G1093" i="16" s="1"/>
  <c r="F509" i="16"/>
  <c r="G509" i="16" s="1"/>
  <c r="F872" i="16"/>
  <c r="G872" i="16" s="1"/>
  <c r="F1418" i="16"/>
  <c r="G1418" i="16" s="1"/>
  <c r="F703" i="16"/>
  <c r="G703" i="16" s="1"/>
  <c r="F704" i="16"/>
  <c r="G704" i="16" s="1"/>
  <c r="F1029" i="16"/>
  <c r="G1029" i="16" s="1"/>
  <c r="F1030" i="16"/>
  <c r="G1030" i="16" s="1"/>
  <c r="F2137" i="16"/>
  <c r="G2137" i="16" s="1"/>
  <c r="F2138" i="16"/>
  <c r="G2138" i="16" s="1"/>
  <c r="F1094" i="16"/>
  <c r="G1094" i="16" s="1"/>
  <c r="F1095" i="16"/>
  <c r="G1095" i="16" s="1"/>
  <c r="F1326" i="16"/>
  <c r="G1326" i="16" s="1"/>
  <c r="F1327" i="16"/>
  <c r="G1327" i="16" s="1"/>
  <c r="F1328" i="16"/>
  <c r="G1328" i="16" s="1"/>
  <c r="F938" i="16"/>
  <c r="G938" i="16" s="1"/>
  <c r="F939" i="16"/>
  <c r="G939" i="16" s="1"/>
  <c r="F940" i="16"/>
  <c r="G940" i="16" s="1"/>
  <c r="F1356" i="16"/>
  <c r="G1356" i="16" s="1"/>
  <c r="F1143" i="16"/>
  <c r="G1143" i="16" s="1"/>
  <c r="F1144" i="16"/>
  <c r="G1144" i="16" s="1"/>
  <c r="F1078" i="16"/>
  <c r="G1078" i="16" s="1"/>
  <c r="F853" i="16"/>
  <c r="G853" i="16" s="1"/>
  <c r="F854" i="16"/>
  <c r="G854" i="16" s="1"/>
  <c r="F510" i="16"/>
  <c r="G510" i="16" s="1"/>
  <c r="F511" i="16"/>
  <c r="G511" i="16" s="1"/>
  <c r="F172" i="16"/>
  <c r="G172" i="16" s="1"/>
  <c r="F173" i="16"/>
  <c r="G173" i="16" s="1"/>
  <c r="F1419" i="16"/>
  <c r="G1419" i="16" s="1"/>
  <c r="F1420" i="16"/>
  <c r="G1420" i="16" s="1"/>
  <c r="F615" i="16"/>
  <c r="G615" i="16" s="1"/>
  <c r="F2236" i="16"/>
  <c r="G2236" i="16" s="1"/>
  <c r="F1101" i="16"/>
  <c r="G1101" i="16" s="1"/>
  <c r="F150" i="16"/>
  <c r="G150" i="16" s="1"/>
  <c r="F275" i="16"/>
  <c r="G275" i="16" s="1"/>
  <c r="F1602" i="16"/>
  <c r="G1602" i="16" s="1"/>
  <c r="F1661" i="16"/>
  <c r="G1661" i="16" s="1"/>
  <c r="F1871" i="16"/>
  <c r="G1871" i="16" s="1"/>
  <c r="F1662" i="16"/>
  <c r="G1662" i="16" s="1"/>
  <c r="F2151" i="16"/>
  <c r="G2151" i="16" s="1"/>
  <c r="F2237" i="16"/>
  <c r="G2237" i="16" s="1"/>
  <c r="F306" i="16"/>
  <c r="G306" i="16" s="1"/>
  <c r="F2238" i="16"/>
  <c r="G2238" i="16" s="1"/>
  <c r="F1528" i="16"/>
  <c r="G1528" i="16" s="1"/>
  <c r="F2239" i="16"/>
  <c r="G2239" i="16" s="1"/>
  <c r="F2086" i="16"/>
  <c r="G2086" i="16" s="1"/>
  <c r="F2240" i="16"/>
  <c r="G2240" i="16" s="1"/>
  <c r="F2007" i="16"/>
  <c r="G2007" i="16" s="1"/>
  <c r="F1733" i="16"/>
  <c r="G1733" i="16" s="1"/>
  <c r="F1766" i="16"/>
  <c r="G1766" i="16" s="1"/>
  <c r="F2002" i="16"/>
  <c r="G2002" i="16" s="1"/>
  <c r="F2169" i="16"/>
  <c r="G2169" i="16" s="1"/>
  <c r="F1903" i="16"/>
  <c r="G1903" i="16" s="1"/>
  <c r="F1760" i="16"/>
  <c r="G1760" i="16" s="1"/>
  <c r="F1737" i="16"/>
  <c r="G1737" i="16" s="1"/>
  <c r="F1677" i="16"/>
  <c r="G1677" i="16" s="1"/>
  <c r="F2119" i="16"/>
  <c r="G2119" i="16" s="1"/>
  <c r="F2148" i="16"/>
  <c r="G2148" i="16" s="1"/>
  <c r="F2241" i="16"/>
  <c r="G2241" i="16" s="1"/>
  <c r="F2149" i="16"/>
  <c r="G2149" i="16" s="1"/>
  <c r="F2067" i="16"/>
  <c r="G2067" i="16" s="1"/>
  <c r="F1957" i="16"/>
  <c r="G1957" i="16" s="1"/>
  <c r="F2122" i="16"/>
  <c r="G2122" i="16" s="1"/>
  <c r="F1434" i="16"/>
  <c r="G1434" i="16" s="1"/>
  <c r="F2133" i="16"/>
  <c r="G2133" i="16" s="1"/>
  <c r="F2242" i="16"/>
  <c r="G2242" i="16" s="1"/>
  <c r="F1792" i="16"/>
  <c r="G1792" i="16" s="1"/>
  <c r="F2093" i="16"/>
  <c r="G2093" i="16" s="1"/>
  <c r="F1735" i="16"/>
  <c r="G1735" i="16" s="1"/>
  <c r="F1224" i="16"/>
  <c r="G1224" i="16" s="1"/>
  <c r="F1910" i="16"/>
  <c r="G1910" i="16" s="1"/>
  <c r="F1911" i="16"/>
  <c r="G1911" i="16" s="1"/>
  <c r="F2243" i="16"/>
  <c r="G2243" i="16" s="1"/>
  <c r="F2244" i="16"/>
  <c r="G2244" i="16" s="1"/>
  <c r="F2180" i="16"/>
  <c r="G2180" i="16" s="1"/>
  <c r="F2245" i="16"/>
  <c r="G2245" i="16" s="1"/>
  <c r="F2246" i="16"/>
  <c r="G2246" i="16" s="1"/>
  <c r="F2247" i="16"/>
  <c r="G2247" i="16" s="1"/>
  <c r="F1799" i="16"/>
  <c r="G1799" i="16" s="1"/>
  <c r="F2248" i="16"/>
  <c r="G2248" i="16" s="1"/>
  <c r="F2249" i="16"/>
  <c r="G2249" i="16" s="1"/>
  <c r="F1685" i="16"/>
  <c r="G1685" i="16" s="1"/>
  <c r="F1289" i="16"/>
  <c r="G1289" i="16" s="1"/>
  <c r="F1671" i="16"/>
  <c r="G1671" i="16" s="1"/>
  <c r="F2250" i="16"/>
  <c r="G2250" i="16" s="1"/>
  <c r="F2251" i="16"/>
  <c r="G2251" i="16" s="1"/>
  <c r="F2252" i="16"/>
  <c r="G2252" i="16" s="1"/>
  <c r="F2146" i="16"/>
  <c r="G2146" i="16" s="1"/>
  <c r="F2097" i="16"/>
  <c r="G2097" i="16" s="1"/>
  <c r="F2157" i="16"/>
  <c r="G2157" i="16" s="1"/>
  <c r="F1288" i="16"/>
  <c r="G1288" i="16" s="1"/>
  <c r="F636" i="16"/>
  <c r="G636" i="16" s="1"/>
  <c r="F1797" i="16"/>
  <c r="G1797" i="16" s="1"/>
  <c r="F1675" i="16"/>
  <c r="G1675" i="16" s="1"/>
  <c r="F1939" i="16"/>
  <c r="G1939" i="16" s="1"/>
  <c r="F1104" i="16"/>
  <c r="G1104" i="16" s="1"/>
  <c r="F2127" i="16"/>
  <c r="G2127" i="16" s="1"/>
  <c r="F1517" i="16"/>
  <c r="G1517" i="16" s="1"/>
  <c r="F1287" i="16"/>
  <c r="G1287" i="16" s="1"/>
  <c r="F1209" i="16"/>
  <c r="G1209" i="16" s="1"/>
  <c r="F120" i="16"/>
  <c r="G120" i="16" s="1"/>
  <c r="F1336" i="16"/>
  <c r="G1336" i="16" s="1"/>
  <c r="F1380" i="16"/>
  <c r="G1380" i="16" s="1"/>
  <c r="F2089" i="16"/>
  <c r="G2089" i="16" s="1"/>
  <c r="F408" i="16"/>
  <c r="G408" i="16" s="1"/>
  <c r="F189" i="16"/>
  <c r="G189" i="16" s="1"/>
  <c r="F1759" i="16"/>
  <c r="G1759" i="16" s="1"/>
  <c r="F1089" i="16"/>
  <c r="G1089" i="16" s="1"/>
  <c r="F979" i="16"/>
  <c r="G979" i="16" s="1"/>
  <c r="F980" i="16"/>
  <c r="G980" i="16" s="1"/>
  <c r="F1468" i="16"/>
  <c r="G1468" i="16" s="1"/>
  <c r="F1415" i="16"/>
  <c r="G1415" i="16" s="1"/>
  <c r="F1944" i="16"/>
  <c r="G1944" i="16" s="1"/>
  <c r="F1461" i="16"/>
  <c r="G1461" i="16" s="1"/>
  <c r="F1462" i="16"/>
  <c r="G1462" i="16" s="1"/>
  <c r="F2253" i="16"/>
  <c r="G2253" i="16" s="1"/>
  <c r="F1031" i="16"/>
  <c r="G1031" i="16" s="1"/>
  <c r="F480" i="16"/>
  <c r="G480" i="16" s="1"/>
  <c r="F481" i="16"/>
  <c r="G481" i="16" s="1"/>
  <c r="F482" i="16"/>
  <c r="G482" i="16" s="1"/>
  <c r="F483" i="16"/>
  <c r="G483" i="16" s="1"/>
  <c r="F507" i="16"/>
  <c r="G507" i="16" s="1"/>
  <c r="F508" i="16"/>
  <c r="G508" i="16" s="1"/>
  <c r="F2254" i="16"/>
  <c r="G2254" i="16" s="1"/>
  <c r="F2255" i="16"/>
  <c r="G2255" i="16" s="1"/>
  <c r="F1618" i="16"/>
  <c r="G1618" i="16" s="1"/>
  <c r="F1421" i="16"/>
  <c r="G1421" i="16" s="1"/>
  <c r="F1516" i="16"/>
  <c r="G1516" i="16" s="1"/>
  <c r="F1249" i="16"/>
  <c r="G1249" i="16" s="1"/>
  <c r="F1250" i="16"/>
  <c r="G1250" i="16" s="1"/>
  <c r="F372" i="16"/>
  <c r="G372" i="16" s="1"/>
  <c r="F373" i="16"/>
  <c r="G373" i="16" s="1"/>
  <c r="F1930" i="16"/>
  <c r="G1930" i="16" s="1"/>
  <c r="F1389" i="16"/>
  <c r="G1389" i="16" s="1"/>
  <c r="F746" i="16"/>
  <c r="G746" i="16" s="1"/>
  <c r="F438" i="16"/>
  <c r="G438" i="16" s="1"/>
  <c r="F1889" i="16"/>
  <c r="G1889" i="16" s="1"/>
  <c r="F307" i="16"/>
  <c r="G307" i="16" s="1"/>
  <c r="F1369" i="16"/>
  <c r="G1369" i="16" s="1"/>
  <c r="F2256" i="16"/>
  <c r="G2256" i="16" s="1"/>
  <c r="F915" i="16"/>
  <c r="G915" i="16" s="1"/>
  <c r="F2257" i="16"/>
  <c r="G2257" i="16" s="1"/>
  <c r="F2258" i="16"/>
  <c r="G2258" i="16" s="1"/>
  <c r="F2158" i="16"/>
  <c r="G2158" i="16" s="1"/>
  <c r="F637" i="16"/>
  <c r="G637" i="16" s="1"/>
  <c r="F2128" i="16"/>
  <c r="G2128" i="16" s="1"/>
  <c r="F2259" i="16"/>
  <c r="G2259" i="16" s="1"/>
  <c r="F2260" i="16"/>
  <c r="G2260" i="16" s="1"/>
  <c r="F2261" i="16"/>
  <c r="G2261" i="16" s="1"/>
  <c r="F2134" i="16"/>
  <c r="G2134" i="16" s="1"/>
  <c r="F728" i="16"/>
  <c r="G728" i="16" s="1"/>
  <c r="F2170" i="16"/>
  <c r="G2170" i="16" s="1"/>
  <c r="F880" i="16"/>
  <c r="G880" i="16" s="1"/>
  <c r="F1466" i="16"/>
  <c r="G1466" i="16" s="1"/>
  <c r="F1843" i="16"/>
  <c r="G1843" i="16" s="1"/>
  <c r="F2262" i="16"/>
  <c r="G2262" i="16" s="1"/>
  <c r="F86" i="16"/>
  <c r="G86" i="16" s="1"/>
  <c r="F2083" i="16"/>
  <c r="G2083" i="16" s="1"/>
  <c r="F1719" i="16"/>
  <c r="G1719" i="16" s="1"/>
  <c r="F2263" i="16"/>
  <c r="G2263" i="16" s="1"/>
  <c r="F1458" i="16"/>
  <c r="G1458" i="16" s="1"/>
  <c r="F866" i="16"/>
  <c r="G866" i="16" s="1"/>
  <c r="F2076" i="16"/>
  <c r="G2076" i="16" s="1"/>
  <c r="F2123" i="16"/>
  <c r="G2123" i="16" s="1"/>
  <c r="F405" i="16"/>
  <c r="G405" i="16" s="1"/>
  <c r="F864" i="16"/>
  <c r="G864" i="16" s="1"/>
  <c r="F1653" i="16"/>
  <c r="G1653" i="16" s="1"/>
  <c r="F1164" i="16"/>
  <c r="G1164" i="16" s="1"/>
  <c r="F742" i="16"/>
  <c r="G742" i="16" s="1"/>
  <c r="F1290" i="16"/>
  <c r="G1290" i="16" s="1"/>
  <c r="F778" i="16"/>
  <c r="G778" i="16" s="1"/>
  <c r="F744" i="16"/>
  <c r="G744" i="16" s="1"/>
  <c r="F897" i="16"/>
  <c r="G897" i="16" s="1"/>
  <c r="F2264" i="16"/>
  <c r="G2264" i="16" s="1"/>
  <c r="F2265" i="16"/>
  <c r="G2265" i="16" s="1"/>
  <c r="F158" i="16"/>
  <c r="G158" i="16" s="1"/>
  <c r="F159" i="16"/>
  <c r="G159" i="16" s="1"/>
  <c r="F1942" i="16"/>
  <c r="G1942" i="16" s="1"/>
  <c r="F297" i="16"/>
  <c r="G297" i="16" s="1"/>
  <c r="F841" i="16"/>
  <c r="G841" i="16" s="1"/>
  <c r="F1858" i="16"/>
  <c r="G1858" i="16" s="1"/>
  <c r="F638" i="16"/>
  <c r="G638" i="16" s="1"/>
  <c r="F2132" i="16"/>
  <c r="G2132" i="16" s="1"/>
  <c r="F1598" i="16"/>
  <c r="G1598" i="16" s="1"/>
  <c r="F1798" i="16"/>
  <c r="G1798" i="16" s="1"/>
  <c r="F1882" i="16"/>
  <c r="G1882" i="16" s="1"/>
  <c r="F424" i="16"/>
  <c r="G424" i="16" s="1"/>
  <c r="F425" i="16"/>
  <c r="G425" i="16" s="1"/>
  <c r="F9" i="16"/>
  <c r="G9" i="16" s="1"/>
  <c r="F1052" i="16"/>
  <c r="G1052" i="16" s="1"/>
  <c r="F2162" i="16"/>
  <c r="G2162" i="16" s="1"/>
  <c r="F2082" i="16"/>
  <c r="G2082" i="16" s="1"/>
  <c r="F2150" i="16"/>
  <c r="G2150" i="16" s="1"/>
  <c r="F2094" i="16"/>
  <c r="G2094" i="16" s="1"/>
  <c r="F1837" i="16"/>
  <c r="G1837" i="16" s="1"/>
  <c r="F256" i="16"/>
  <c r="G256" i="16" s="1"/>
  <c r="F1331" i="16"/>
  <c r="G1331" i="16" s="1"/>
  <c r="F1660" i="16"/>
  <c r="G1660" i="16" s="1"/>
  <c r="F364" i="16"/>
  <c r="G364" i="16" s="1"/>
  <c r="F954" i="16"/>
  <c r="G954" i="16" s="1"/>
  <c r="F2013" i="16"/>
  <c r="G2013" i="16" s="1"/>
  <c r="F2266" i="16"/>
  <c r="G2266" i="16" s="1"/>
  <c r="F1755" i="16"/>
  <c r="G1755" i="16" s="1"/>
  <c r="F558" i="16"/>
  <c r="G558" i="16" s="1"/>
  <c r="F448" i="16"/>
  <c r="G448" i="16" s="1"/>
  <c r="F860" i="16"/>
  <c r="G860" i="16" s="1"/>
  <c r="F1854" i="16"/>
  <c r="G1854" i="16" s="1"/>
  <c r="F137" i="16"/>
  <c r="G137" i="16" s="1"/>
  <c r="F192" i="16"/>
  <c r="G192" i="16" s="1"/>
  <c r="F561" i="16"/>
  <c r="G561" i="16" s="1"/>
  <c r="F743" i="16"/>
  <c r="G743" i="16" s="1"/>
  <c r="F814" i="16"/>
  <c r="G814" i="16" s="1"/>
  <c r="F815" i="16"/>
  <c r="G815" i="16" s="1"/>
  <c r="F2267" i="16"/>
  <c r="G2267" i="16" s="1"/>
  <c r="F2120" i="16"/>
  <c r="G2120" i="16" s="1"/>
  <c r="F914" i="16"/>
  <c r="G914" i="16" s="1"/>
  <c r="F346" i="16"/>
  <c r="G346" i="16" s="1"/>
  <c r="F443" i="16"/>
  <c r="G443" i="16" s="1"/>
  <c r="F444" i="16"/>
  <c r="G444" i="16" s="1"/>
  <c r="F260" i="16"/>
  <c r="G260" i="16" s="1"/>
  <c r="F445" i="16"/>
  <c r="G445" i="16" s="1"/>
  <c r="F446" i="16"/>
  <c r="G446" i="16" s="1"/>
  <c r="F293" i="16"/>
  <c r="G293" i="16" s="1"/>
  <c r="F1674" i="16"/>
  <c r="G1674" i="16" s="1"/>
  <c r="F1682" i="16"/>
  <c r="G1682" i="16" s="1"/>
  <c r="F1683" i="16"/>
  <c r="G1683" i="16" s="1"/>
  <c r="F2126" i="16"/>
  <c r="G2126" i="16" s="1"/>
  <c r="F2268" i="16"/>
  <c r="G2268" i="16" s="1"/>
  <c r="F1964" i="16"/>
  <c r="G1964" i="16" s="1"/>
  <c r="F792" i="16"/>
  <c r="G792" i="16" s="1"/>
  <c r="F793" i="16"/>
  <c r="G793" i="16" s="1"/>
  <c r="F1547" i="16"/>
  <c r="G1547" i="16" s="1"/>
  <c r="F2269" i="16"/>
  <c r="G2269" i="16" s="1"/>
  <c r="F1686" i="16"/>
  <c r="G1686" i="16" s="1"/>
  <c r="F1687" i="16"/>
  <c r="G1687" i="16" s="1"/>
  <c r="F1688" i="16"/>
  <c r="G1688" i="16" s="1"/>
  <c r="F2270" i="16"/>
  <c r="G2270" i="16" s="1"/>
  <c r="F2102" i="16"/>
  <c r="G2102" i="16" s="1"/>
  <c r="F2271" i="16"/>
  <c r="G2271" i="16" s="1"/>
  <c r="F2272" i="16"/>
  <c r="G2272" i="16" s="1"/>
  <c r="F1655" i="16"/>
  <c r="G1655" i="16" s="1"/>
  <c r="F732" i="16"/>
  <c r="G732" i="16" s="1"/>
  <c r="F1678" i="16"/>
  <c r="G1678" i="16" s="1"/>
  <c r="F973" i="16"/>
  <c r="G973" i="16" s="1"/>
  <c r="F974" i="16"/>
  <c r="G974" i="16" s="1"/>
  <c r="F1622" i="16"/>
  <c r="G1622" i="16" s="1"/>
  <c r="F1084" i="16"/>
  <c r="G1084" i="16" s="1"/>
  <c r="F2273" i="16"/>
  <c r="G2273" i="16" s="1"/>
  <c r="F1196" i="16"/>
  <c r="G1196" i="16" s="1"/>
  <c r="F2087" i="16"/>
  <c r="G2087" i="16" s="1"/>
  <c r="F1533" i="16"/>
  <c r="G1533" i="16" s="1"/>
  <c r="F2274" i="16"/>
  <c r="G2274" i="16" s="1"/>
  <c r="F1885" i="16"/>
  <c r="G1885" i="16" s="1"/>
  <c r="F2275" i="16"/>
  <c r="G2275" i="16" s="1"/>
  <c r="F1483" i="16"/>
  <c r="G1483" i="16" s="1"/>
  <c r="F1914" i="16"/>
  <c r="G1914" i="16" s="1"/>
  <c r="F292" i="16"/>
  <c r="G292" i="16" s="1"/>
  <c r="F1448" i="16"/>
  <c r="G1448" i="16" s="1"/>
  <c r="F2276" i="16"/>
  <c r="G2276" i="16" s="1"/>
  <c r="F2277" i="16"/>
  <c r="G2277" i="16" s="1"/>
  <c r="F1689" i="16"/>
  <c r="G1689" i="16" s="1"/>
  <c r="F2278" i="16"/>
  <c r="G2278" i="16" s="1"/>
  <c r="F1335" i="16"/>
  <c r="G1335" i="16" s="1"/>
  <c r="F534" i="16"/>
  <c r="G534" i="16" s="1"/>
  <c r="F535" i="16"/>
  <c r="G535" i="16" s="1"/>
  <c r="F536" i="16"/>
  <c r="G536" i="16" s="1"/>
  <c r="F537" i="16"/>
  <c r="G537" i="16" s="1"/>
  <c r="F538" i="16"/>
  <c r="G538" i="16" s="1"/>
  <c r="F539" i="16"/>
  <c r="G539" i="16" s="1"/>
  <c r="F1943" i="16"/>
  <c r="G1943" i="16" s="1"/>
  <c r="F1333" i="16"/>
  <c r="G1333" i="16" s="1"/>
  <c r="F409" i="16"/>
  <c r="G409" i="16" s="1"/>
  <c r="F410" i="16"/>
  <c r="G410" i="16" s="1"/>
  <c r="F411" i="16"/>
  <c r="G411" i="16" s="1"/>
  <c r="F412" i="16"/>
  <c r="G412" i="16" s="1"/>
  <c r="F413" i="16"/>
  <c r="G413" i="16" s="1"/>
  <c r="F414" i="16"/>
  <c r="G414" i="16" s="1"/>
  <c r="F415" i="16"/>
  <c r="G415" i="16" s="1"/>
  <c r="F416" i="16"/>
  <c r="G416" i="16" s="1"/>
  <c r="F417" i="16"/>
  <c r="G417" i="16" s="1"/>
  <c r="F418" i="16"/>
  <c r="G418" i="16" s="1"/>
  <c r="F877" i="16"/>
  <c r="G877" i="16" s="1"/>
  <c r="F807" i="16"/>
  <c r="G807" i="16" s="1"/>
  <c r="F1690" i="16"/>
  <c r="G1690" i="16" s="1"/>
  <c r="F1652" i="16"/>
  <c r="G1652" i="16" s="1"/>
  <c r="F2154" i="16"/>
  <c r="G2154" i="16" s="1"/>
  <c r="F1691" i="16"/>
  <c r="G1691" i="16" s="1"/>
  <c r="F2003" i="16"/>
  <c r="G2003" i="16" s="1"/>
  <c r="F1658" i="16"/>
  <c r="G1658" i="16" s="1"/>
  <c r="F2279" i="16"/>
  <c r="G2279" i="16" s="1"/>
  <c r="F2280" i="16"/>
  <c r="G2280" i="16" s="1"/>
  <c r="F1927" i="16"/>
  <c r="G1927" i="16" s="1"/>
  <c r="F1684" i="16"/>
  <c r="G1684" i="16" s="1"/>
  <c r="F2281" i="16"/>
  <c r="G2281" i="16" s="1"/>
  <c r="F1692" i="16"/>
  <c r="G1692" i="16" s="1"/>
  <c r="F1820" i="16"/>
  <c r="G1820" i="16" s="1"/>
  <c r="F2282" i="16"/>
  <c r="G2282" i="16" s="1"/>
  <c r="F2283" i="16"/>
  <c r="G2283" i="16" s="1"/>
  <c r="F164" i="16"/>
  <c r="G164" i="16" s="1"/>
  <c r="F165" i="16"/>
  <c r="G165" i="16" s="1"/>
  <c r="F166" i="16"/>
  <c r="G166" i="16" s="1"/>
  <c r="F167" i="16"/>
  <c r="G167" i="16" s="1"/>
  <c r="F401" i="16"/>
  <c r="G401" i="16" s="1"/>
  <c r="F402" i="16"/>
  <c r="G402" i="16" s="1"/>
  <c r="F403" i="16"/>
  <c r="G403" i="16" s="1"/>
  <c r="F2072" i="16"/>
  <c r="G2072" i="16" s="1"/>
  <c r="F2284" i="16"/>
  <c r="G2284" i="16" s="1"/>
  <c r="F1913" i="16"/>
  <c r="G1913" i="16" s="1"/>
  <c r="F222" i="16"/>
  <c r="G222" i="16" s="1"/>
  <c r="F30" i="16"/>
  <c r="G30" i="16" s="1"/>
  <c r="F101" i="16"/>
  <c r="G101" i="16" s="1"/>
  <c r="F102" i="16"/>
  <c r="G102" i="16" s="1"/>
  <c r="F103" i="16"/>
  <c r="G103" i="16" s="1"/>
  <c r="F114" i="16"/>
  <c r="G114" i="16" s="1"/>
  <c r="F115" i="16"/>
  <c r="G115" i="16" s="1"/>
  <c r="F2066" i="16"/>
  <c r="G2066" i="16" s="1"/>
  <c r="F2018" i="16"/>
  <c r="G2018" i="16" s="1"/>
  <c r="F356" i="16"/>
  <c r="G356" i="16" s="1"/>
  <c r="F116" i="16"/>
  <c r="G116" i="16" s="1"/>
  <c r="F107" i="16"/>
  <c r="G107" i="16" s="1"/>
  <c r="F108" i="16"/>
  <c r="G108" i="16" s="1"/>
  <c r="F1626" i="16"/>
  <c r="G1626" i="16" s="1"/>
  <c r="F109" i="16"/>
  <c r="G109" i="16" s="1"/>
  <c r="F251" i="16"/>
  <c r="G251" i="16" s="1"/>
  <c r="F252" i="16"/>
  <c r="G252" i="16" s="1"/>
  <c r="F253" i="16"/>
  <c r="G253" i="16" s="1"/>
  <c r="F2285" i="16"/>
  <c r="G2285" i="16" s="1"/>
  <c r="F254" i="16"/>
  <c r="G254" i="16" s="1"/>
  <c r="F255" i="16"/>
  <c r="G255" i="16" s="1"/>
  <c r="F1762" i="16"/>
  <c r="G1762" i="16" s="1"/>
  <c r="F1763" i="16"/>
  <c r="G1763" i="16" s="1"/>
  <c r="F1764" i="16"/>
  <c r="G1764" i="16" s="1"/>
  <c r="F447" i="16"/>
  <c r="G447" i="16" s="1"/>
  <c r="F540" i="16"/>
  <c r="G540" i="16" s="1"/>
  <c r="F541" i="16"/>
  <c r="G541" i="16" s="1"/>
  <c r="F882" i="16"/>
  <c r="G882" i="16" s="1"/>
  <c r="F978" i="16"/>
  <c r="G978" i="16" s="1"/>
  <c r="F1693" i="16"/>
  <c r="G1693" i="16" s="1"/>
  <c r="F1694" i="16"/>
  <c r="G1694" i="16" s="1"/>
  <c r="F404" i="16"/>
  <c r="G404" i="16" s="1"/>
  <c r="F1616" i="16"/>
  <c r="G1616" i="16" s="1"/>
  <c r="F340" i="16"/>
  <c r="G340" i="16" s="1"/>
  <c r="F341" i="16"/>
  <c r="G341" i="16" s="1"/>
  <c r="F2286" i="16"/>
  <c r="G2286" i="16" s="1"/>
  <c r="F2287" i="16"/>
  <c r="G2287" i="16" s="1"/>
  <c r="F1919" i="16"/>
  <c r="G1919" i="16" s="1"/>
  <c r="F333" i="16"/>
  <c r="G333" i="16" s="1"/>
  <c r="F1848" i="16"/>
  <c r="G1848" i="16" s="1"/>
  <c r="F2288" i="16"/>
  <c r="G2288" i="16" s="1"/>
  <c r="F2289" i="16"/>
  <c r="G2289" i="16" s="1"/>
  <c r="F2290" i="16"/>
  <c r="G2290" i="16" s="1"/>
  <c r="F2091" i="16"/>
  <c r="G2091" i="16" s="1"/>
  <c r="F2121" i="16"/>
  <c r="G2121" i="16" s="1"/>
  <c r="F1664" i="16"/>
  <c r="G1664" i="16" s="1"/>
  <c r="F1969" i="16"/>
  <c r="G1969" i="16" s="1"/>
  <c r="F2032" i="16"/>
  <c r="G2032" i="16" s="1"/>
  <c r="F2159" i="16"/>
  <c r="G2159" i="16" s="1"/>
  <c r="F1713" i="16"/>
  <c r="G1713" i="16" s="1"/>
  <c r="F1343" i="16"/>
  <c r="G1343" i="16" s="1"/>
  <c r="F2038" i="16"/>
  <c r="G2038" i="16" s="1"/>
  <c r="F1970" i="16"/>
  <c r="G1970" i="16" s="1"/>
  <c r="F1354" i="16"/>
  <c r="G1354" i="16" s="1"/>
  <c r="F2039" i="16"/>
  <c r="G2039" i="16" s="1"/>
  <c r="F1706" i="16"/>
  <c r="G1706" i="16" s="1"/>
  <c r="F1672" i="16"/>
  <c r="G1672" i="16" s="1"/>
  <c r="F1554" i="16"/>
  <c r="G1554" i="16" s="1"/>
  <c r="F1695" i="16"/>
  <c r="G1695" i="16" s="1"/>
  <c r="F1374" i="16"/>
  <c r="G1374" i="16" s="1"/>
  <c r="F1631" i="16"/>
  <c r="G1631" i="16" s="1"/>
  <c r="F1372" i="16"/>
  <c r="G1372" i="16" s="1"/>
  <c r="F1665" i="16"/>
  <c r="G1665" i="16" s="1"/>
  <c r="F1666" i="16"/>
  <c r="G1666" i="16" s="1"/>
  <c r="F1635" i="16"/>
  <c r="G1635" i="16" s="1"/>
  <c r="F1895" i="16"/>
  <c r="G1895" i="16" s="1"/>
  <c r="F1307" i="16"/>
  <c r="G1307" i="16" s="1"/>
  <c r="F873" i="16"/>
  <c r="G873" i="16" s="1"/>
  <c r="F1936" i="16"/>
  <c r="G1936" i="16" s="1"/>
  <c r="F1225" i="16"/>
  <c r="G1225" i="16" s="1"/>
  <c r="F1624" i="16"/>
  <c r="G1624" i="16" s="1"/>
  <c r="F1775" i="16"/>
  <c r="G1775" i="16" s="1"/>
  <c r="F1549" i="16"/>
  <c r="G1549" i="16" s="1"/>
  <c r="F986" i="16"/>
  <c r="G986" i="16" s="1"/>
  <c r="F956" i="16"/>
  <c r="G956" i="16" s="1"/>
  <c r="F1621" i="16"/>
  <c r="G1621" i="16" s="1"/>
  <c r="F1776" i="16"/>
  <c r="G1776" i="16" s="1"/>
  <c r="F1860" i="16"/>
  <c r="G1860" i="16" s="1"/>
  <c r="F987" i="16"/>
  <c r="G987" i="16" s="1"/>
  <c r="F988" i="16"/>
  <c r="G988" i="16" s="1"/>
  <c r="F989" i="16"/>
  <c r="G989" i="16" s="1"/>
  <c r="F957" i="16"/>
  <c r="G957" i="16" s="1"/>
  <c r="F958" i="16"/>
  <c r="G958" i="16" s="1"/>
  <c r="F959" i="16"/>
  <c r="G959" i="16" s="1"/>
  <c r="F2291" i="16"/>
  <c r="G2291" i="16" s="1"/>
  <c r="F2292" i="16"/>
  <c r="G2292" i="16" s="1"/>
  <c r="F2040" i="16"/>
  <c r="G2040" i="16" s="1"/>
  <c r="F2041" i="16"/>
  <c r="G2041" i="16" s="1"/>
  <c r="F2042" i="16"/>
  <c r="G2042" i="16" s="1"/>
  <c r="F2293" i="16"/>
  <c r="G2293" i="16" s="1"/>
  <c r="F2171" i="16"/>
  <c r="G2171" i="16" s="1"/>
  <c r="F2043" i="16"/>
  <c r="G2043" i="16" s="1"/>
  <c r="F1696" i="16"/>
  <c r="G1696" i="16" s="1"/>
  <c r="F1623" i="16"/>
  <c r="G1623" i="16" s="1"/>
  <c r="F1849" i="16"/>
  <c r="G1849" i="16" s="1"/>
  <c r="F1979" i="16"/>
  <c r="G1979" i="16" s="1"/>
  <c r="F1412" i="16"/>
  <c r="G1412" i="16" s="1"/>
  <c r="F1742" i="16"/>
  <c r="G1742" i="16" s="1"/>
  <c r="F1410" i="16"/>
  <c r="G1410" i="16" s="1"/>
  <c r="F1237" i="16"/>
  <c r="G1237" i="16" s="1"/>
  <c r="F1238" i="16"/>
  <c r="G1238" i="16" s="1"/>
  <c r="F1269" i="16"/>
  <c r="G1269" i="16" s="1"/>
  <c r="F1264" i="16"/>
  <c r="G1264" i="16" s="1"/>
  <c r="F1255" i="16"/>
  <c r="G1255" i="16" s="1"/>
  <c r="F1793" i="16"/>
  <c r="G1793" i="16" s="1"/>
  <c r="F1794" i="16"/>
  <c r="G1794" i="16" s="1"/>
  <c r="F2294" i="16"/>
  <c r="G2294" i="16" s="1"/>
  <c r="F1546" i="16"/>
  <c r="G1546" i="16" s="1"/>
  <c r="F1375" i="16"/>
  <c r="G1375" i="16" s="1"/>
  <c r="F2295" i="16"/>
  <c r="G2295" i="16" s="1"/>
  <c r="F1697" i="16"/>
  <c r="G1697" i="16" s="1"/>
  <c r="F1698" i="16"/>
  <c r="G1698" i="16" s="1"/>
  <c r="F1636" i="16"/>
  <c r="G1636" i="16" s="1"/>
  <c r="F1641" i="16"/>
  <c r="G1641" i="16" s="1"/>
  <c r="F1667" i="16"/>
  <c r="G1667" i="16" s="1"/>
  <c r="F1778" i="16"/>
  <c r="G1778" i="16" s="1"/>
  <c r="F1985" i="16"/>
  <c r="G1985" i="16" s="1"/>
  <c r="F1323" i="16"/>
  <c r="G1323" i="16" s="1"/>
  <c r="F1988" i="16"/>
  <c r="G1988" i="16" s="1"/>
  <c r="F1821" i="16"/>
  <c r="G1821" i="16" s="1"/>
  <c r="F1265" i="16"/>
  <c r="G1265" i="16" s="1"/>
  <c r="F994" i="16"/>
  <c r="G994" i="16" s="1"/>
  <c r="F823" i="16"/>
  <c r="G823" i="16" s="1"/>
  <c r="F1132" i="16"/>
  <c r="G1132" i="16" s="1"/>
  <c r="F1381" i="16"/>
  <c r="G1381" i="16" s="1"/>
  <c r="F1592" i="16"/>
  <c r="G1592" i="16" s="1"/>
  <c r="F1217" i="16"/>
  <c r="G1217" i="16" s="1"/>
  <c r="F1189" i="16"/>
  <c r="G1189" i="16" s="1"/>
  <c r="F2044" i="16"/>
  <c r="G2044" i="16" s="1"/>
  <c r="F1465" i="16"/>
  <c r="G1465" i="16" s="1"/>
  <c r="F2045" i="16"/>
  <c r="G2045" i="16" s="1"/>
  <c r="F1663" i="16"/>
  <c r="G1663" i="16" s="1"/>
  <c r="F1259" i="16"/>
  <c r="G1259" i="16" s="1"/>
  <c r="F1492" i="16"/>
  <c r="G1492" i="16" s="1"/>
  <c r="F983" i="16"/>
  <c r="G983" i="16" s="1"/>
  <c r="F1455" i="16"/>
  <c r="G1455" i="16" s="1"/>
  <c r="F960" i="16"/>
  <c r="G960" i="16" s="1"/>
  <c r="F1811" i="16"/>
  <c r="G1811" i="16" s="1"/>
  <c r="F2296" i="16"/>
  <c r="G2296" i="16" s="1"/>
  <c r="F2046" i="16"/>
  <c r="G2046" i="16" s="1"/>
  <c r="F2047" i="16"/>
  <c r="G2047" i="16" s="1"/>
  <c r="F2297" i="16"/>
  <c r="G2297" i="16" s="1"/>
  <c r="F2298" i="16"/>
  <c r="G2298" i="16" s="1"/>
  <c r="F1726" i="16"/>
  <c r="G1726" i="16" s="1"/>
  <c r="F1935" i="16"/>
  <c r="G1935" i="16" s="1"/>
  <c r="F2299" i="16"/>
  <c r="G2299" i="16" s="1"/>
  <c r="F1729" i="16"/>
  <c r="G1729" i="16" s="1"/>
  <c r="F218" i="16"/>
  <c r="G218" i="16" s="1"/>
  <c r="F1971" i="16"/>
  <c r="G1971" i="16" s="1"/>
  <c r="F1972" i="16"/>
  <c r="G1972" i="16" s="1"/>
  <c r="F2179" i="16"/>
  <c r="G2179" i="16" s="1"/>
  <c r="F1329" i="16"/>
  <c r="G1329" i="16" s="1"/>
  <c r="F380" i="16"/>
  <c r="G380" i="16" s="1"/>
  <c r="F381" i="16"/>
  <c r="G381" i="16" s="1"/>
  <c r="F2048" i="16"/>
  <c r="G2048" i="16" s="1"/>
  <c r="F2300" i="16"/>
  <c r="G2300" i="16" s="1"/>
  <c r="F2144" i="16"/>
  <c r="G2144" i="16" s="1"/>
  <c r="F1906" i="16"/>
  <c r="G1906" i="16" s="1"/>
  <c r="F2153" i="16"/>
  <c r="G2153" i="16" s="1"/>
  <c r="F219" i="16"/>
  <c r="G219" i="16" s="1"/>
  <c r="F220" i="16"/>
  <c r="G220" i="16" s="1"/>
  <c r="F1423" i="16"/>
  <c r="G1423" i="16" s="1"/>
  <c r="F1637" i="16"/>
  <c r="G1637" i="16" s="1"/>
  <c r="F2049" i="16"/>
  <c r="G2049" i="16" s="1"/>
  <c r="F2027" i="16"/>
  <c r="G2027" i="16" s="1"/>
  <c r="F1959" i="16"/>
  <c r="G1959" i="16" s="1"/>
  <c r="F2014" i="16"/>
  <c r="G2014" i="16" s="1"/>
  <c r="F1958" i="16"/>
  <c r="G1958" i="16" s="1"/>
  <c r="F1947" i="16"/>
  <c r="G1947" i="16" s="1"/>
  <c r="F1973" i="16"/>
  <c r="G1973" i="16" s="1"/>
  <c r="F2050" i="16"/>
  <c r="G2050" i="16" s="1"/>
  <c r="F41" i="16"/>
  <c r="G41" i="16" s="1"/>
  <c r="F42" i="16"/>
  <c r="G42" i="16" s="1"/>
  <c r="F43" i="16"/>
  <c r="G43" i="16" s="1"/>
  <c r="F2301" i="16"/>
  <c r="G2301" i="16" s="1"/>
  <c r="F44" i="16"/>
  <c r="G44" i="16" s="1"/>
  <c r="F2165" i="16"/>
  <c r="G2165" i="16" s="1"/>
  <c r="F2034" i="16"/>
  <c r="G2034" i="16" s="1"/>
  <c r="F2302" i="16"/>
  <c r="G2302" i="16" s="1"/>
  <c r="F1515" i="16"/>
  <c r="G1515" i="16" s="1"/>
  <c r="F2116" i="16"/>
  <c r="G2116" i="16" s="1"/>
  <c r="F1834" i="16"/>
  <c r="G1834" i="16" s="1"/>
  <c r="F1322" i="16"/>
  <c r="G1322" i="16" s="1"/>
  <c r="F1961" i="16"/>
  <c r="G1961" i="16" s="1"/>
  <c r="F1907" i="16"/>
  <c r="G1907" i="16" s="1"/>
  <c r="F2051" i="16"/>
  <c r="G2051" i="16" s="1"/>
  <c r="F1424" i="16"/>
  <c r="G1424" i="16" s="1"/>
  <c r="F2303" i="16"/>
  <c r="G2303" i="16" s="1"/>
  <c r="F1909" i="16"/>
  <c r="G1909" i="16" s="1"/>
  <c r="F1330" i="16"/>
  <c r="G1330" i="16" s="1"/>
  <c r="F2033" i="16"/>
  <c r="G2033" i="16" s="1"/>
  <c r="F67" i="16"/>
  <c r="G67" i="16" s="1"/>
  <c r="F68" i="16"/>
  <c r="G68" i="16" s="1"/>
  <c r="F1791" i="16"/>
  <c r="G1791" i="16" s="1"/>
  <c r="F2052" i="16"/>
  <c r="G2052" i="16" s="1"/>
  <c r="F1456" i="16"/>
  <c r="G1456" i="16" s="1"/>
  <c r="F1594" i="16"/>
  <c r="G1594" i="16" s="1"/>
  <c r="F69" i="16"/>
  <c r="G69" i="16" s="1"/>
  <c r="F382" i="16"/>
  <c r="G382" i="16" s="1"/>
  <c r="F85" i="16"/>
  <c r="G85" i="16" s="1"/>
  <c r="F2304" i="16"/>
  <c r="G2304" i="16" s="1"/>
  <c r="F70" i="16"/>
  <c r="G70" i="16" s="1"/>
  <c r="F669" i="16"/>
  <c r="G669" i="16" s="1"/>
  <c r="F1703" i="16"/>
  <c r="G1703" i="16" s="1"/>
  <c r="F617" i="16"/>
  <c r="G617" i="16" s="1"/>
  <c r="F580" i="16"/>
  <c r="G580" i="16" s="1"/>
  <c r="F618" i="16"/>
  <c r="G618" i="16" s="1"/>
  <c r="F619" i="16"/>
  <c r="G619" i="16" s="1"/>
  <c r="F620" i="16"/>
  <c r="G620" i="16" s="1"/>
  <c r="F621" i="16"/>
  <c r="G621" i="16" s="1"/>
  <c r="F622" i="16"/>
  <c r="G622" i="16" s="1"/>
  <c r="F1563" i="16"/>
  <c r="G1563" i="16" s="1"/>
  <c r="F676" i="16"/>
  <c r="G676" i="16" s="1"/>
  <c r="F670" i="16"/>
  <c r="G670" i="16" s="1"/>
  <c r="F828" i="16"/>
  <c r="G828" i="16" s="1"/>
  <c r="F829" i="16"/>
  <c r="G829" i="16" s="1"/>
  <c r="F830" i="16"/>
  <c r="G830" i="16" s="1"/>
  <c r="F244" i="16"/>
  <c r="G244" i="16" s="1"/>
  <c r="F245" i="16"/>
  <c r="G245" i="16" s="1"/>
  <c r="F1777" i="16"/>
  <c r="G1777" i="16" s="1"/>
  <c r="F1700" i="16"/>
  <c r="G1700" i="16" s="1"/>
  <c r="F1548" i="16"/>
  <c r="G1548" i="16" s="1"/>
  <c r="F844" i="16"/>
  <c r="G844" i="16" s="1"/>
  <c r="F845" i="16"/>
  <c r="G845" i="16" s="1"/>
  <c r="F1166" i="16"/>
  <c r="G1166" i="16" s="1"/>
  <c r="F2053" i="16"/>
  <c r="G2053" i="16" s="1"/>
  <c r="F2305" i="16"/>
  <c r="G2305" i="16" s="1"/>
  <c r="F377" i="16"/>
  <c r="G377" i="16" s="1"/>
  <c r="F378" i="16"/>
  <c r="G378" i="16" s="1"/>
  <c r="F379" i="16"/>
  <c r="G379" i="16" s="1"/>
  <c r="F229" i="16"/>
  <c r="G229" i="16" s="1"/>
  <c r="F230" i="16"/>
  <c r="G230" i="16" s="1"/>
  <c r="F231" i="16"/>
  <c r="G231" i="16" s="1"/>
  <c r="F1795" i="16"/>
  <c r="G1795" i="16" s="1"/>
  <c r="F1891" i="16"/>
  <c r="G1891" i="16" s="1"/>
  <c r="F1923" i="16"/>
  <c r="G1923" i="16" s="1"/>
  <c r="F2054" i="16"/>
  <c r="G2054" i="16" s="1"/>
  <c r="F2306" i="16"/>
  <c r="G2306" i="16" s="1"/>
  <c r="F1839" i="16"/>
  <c r="G1839" i="16" s="1"/>
  <c r="F1945" i="16"/>
  <c r="G1945" i="16" s="1"/>
  <c r="F1974" i="16"/>
  <c r="G1974" i="16" s="1"/>
  <c r="F1835" i="16"/>
  <c r="G1835" i="16" s="1"/>
  <c r="F1085" i="16"/>
  <c r="G1085" i="16" s="1"/>
  <c r="F1086" i="16"/>
  <c r="G1086" i="16" s="1"/>
  <c r="F1422" i="16"/>
  <c r="G1422" i="16" s="1"/>
  <c r="F1145" i="16"/>
  <c r="G1145" i="16" s="1"/>
  <c r="F1057" i="16"/>
  <c r="G1057" i="16" s="1"/>
  <c r="F1584" i="16"/>
  <c r="G1584" i="16" s="1"/>
  <c r="F1773" i="16"/>
  <c r="G1773" i="16" s="1"/>
  <c r="F1789" i="16"/>
  <c r="G1789" i="16" s="1"/>
  <c r="F1883" i="16"/>
  <c r="G1883" i="16" s="1"/>
  <c r="F1058" i="16"/>
  <c r="G1058" i="16" s="1"/>
  <c r="F1119" i="16"/>
  <c r="G1119" i="16" s="1"/>
  <c r="F1840" i="16"/>
  <c r="G1840" i="16" s="1"/>
  <c r="F846" i="16"/>
  <c r="G846" i="16" s="1"/>
  <c r="F1254" i="16"/>
  <c r="G1254" i="16" s="1"/>
  <c r="F322" i="16"/>
  <c r="G322" i="16" s="1"/>
  <c r="F2036" i="16"/>
  <c r="G2036" i="16" s="1"/>
  <c r="F2037" i="16"/>
  <c r="G2037" i="16" s="1"/>
  <c r="F1527" i="16"/>
  <c r="G1527" i="16" s="1"/>
  <c r="F1975" i="16"/>
  <c r="G1975" i="16" s="1"/>
  <c r="F1984" i="16"/>
  <c r="G1984" i="16" s="1"/>
  <c r="F1220" i="16"/>
  <c r="G1220" i="16" s="1"/>
  <c r="F1894" i="16"/>
  <c r="G1894" i="16" s="1"/>
  <c r="F1634" i="16"/>
  <c r="G1634" i="16" s="1"/>
  <c r="F2307" i="16"/>
  <c r="G2307" i="16" s="1"/>
  <c r="F2173" i="16"/>
  <c r="G2173" i="16" s="1"/>
  <c r="F1929" i="16"/>
  <c r="G1929" i="16" s="1"/>
  <c r="F2166" i="16"/>
  <c r="G2166" i="16" s="1"/>
  <c r="F2023" i="16"/>
  <c r="G2023" i="16" s="1"/>
  <c r="F1926" i="16"/>
  <c r="G1926" i="16" s="1"/>
  <c r="F1836" i="16"/>
  <c r="G1836" i="16" s="1"/>
  <c r="F1334" i="16"/>
  <c r="G1334" i="16" s="1"/>
  <c r="F2308" i="16"/>
  <c r="G2308" i="16" s="1"/>
  <c r="F1976" i="16"/>
  <c r="G1976" i="16" s="1"/>
  <c r="F1908" i="16"/>
  <c r="G1908" i="16" s="1"/>
  <c r="F1781" i="16"/>
  <c r="G1781" i="16" s="1"/>
  <c r="F2000" i="16"/>
  <c r="G2000" i="16" s="1"/>
  <c r="F2129" i="16"/>
  <c r="G2129" i="16" s="1"/>
  <c r="F1657" i="16"/>
  <c r="G1657" i="16" s="1"/>
  <c r="F1829" i="16"/>
  <c r="G1829" i="16" s="1"/>
  <c r="F1955" i="16"/>
  <c r="G1955" i="16" s="1"/>
  <c r="F2035" i="16"/>
  <c r="G2035" i="16" s="1"/>
  <c r="F1977" i="16"/>
  <c r="G1977" i="16" s="1"/>
  <c r="F2309" i="16"/>
  <c r="G2309" i="16" s="1"/>
  <c r="F2310" i="16"/>
  <c r="G2310" i="16" s="1"/>
  <c r="F2031" i="16"/>
  <c r="G2031" i="16" s="1"/>
  <c r="F2055" i="16"/>
  <c r="G2055" i="16" s="1"/>
  <c r="F2030" i="16"/>
  <c r="G2030" i="16" s="1"/>
  <c r="F1968" i="16"/>
  <c r="G1968" i="16" s="1"/>
  <c r="F2311" i="16"/>
  <c r="G2311" i="16" s="1"/>
  <c r="F1952" i="16"/>
  <c r="G1952" i="16" s="1"/>
  <c r="F2312" i="16"/>
  <c r="G2312" i="16" s="1"/>
  <c r="F2313" i="16"/>
  <c r="G2313" i="16" s="1"/>
  <c r="F2314" i="16"/>
  <c r="G2314" i="16" s="1"/>
  <c r="F1869" i="16"/>
  <c r="G1869" i="16" s="1"/>
  <c r="F1953" i="16"/>
  <c r="G1953" i="16" s="1"/>
  <c r="F1892" i="16"/>
  <c r="G1892" i="16" s="1"/>
  <c r="F1831" i="16"/>
  <c r="G1831" i="16" s="1"/>
  <c r="F1866" i="16"/>
  <c r="G1866" i="16" s="1"/>
  <c r="F2315" i="16"/>
  <c r="G2315" i="16" s="1"/>
  <c r="F2026" i="16"/>
  <c r="G2026" i="16" s="1"/>
  <c r="F1668" i="16"/>
  <c r="G1668" i="16" s="1"/>
  <c r="F2131" i="16"/>
  <c r="G2131" i="16" s="1"/>
  <c r="F1745" i="16"/>
  <c r="G1745" i="16" s="1"/>
  <c r="F2316" i="16"/>
  <c r="G2316" i="16" s="1"/>
  <c r="F2317" i="16"/>
  <c r="G2317" i="16" s="1"/>
  <c r="F2056" i="16"/>
  <c r="G2056" i="16" s="1"/>
  <c r="F2318" i="16"/>
  <c r="G2318" i="16" s="1"/>
  <c r="F2319" i="16"/>
  <c r="G2319" i="16" s="1"/>
  <c r="F2118" i="16"/>
  <c r="G2118" i="16" s="1"/>
  <c r="F1951" i="16"/>
  <c r="G1951" i="16" s="1"/>
  <c r="F1252" i="16"/>
  <c r="G1252" i="16" s="1"/>
  <c r="F217" i="16"/>
  <c r="G217" i="16" s="1"/>
  <c r="F369" i="16"/>
  <c r="G369" i="16" s="1"/>
  <c r="F138" i="16"/>
  <c r="G138" i="16" s="1"/>
  <c r="F898" i="16"/>
  <c r="G898" i="16" s="1"/>
  <c r="F1383" i="16"/>
  <c r="G1383" i="16" s="1"/>
  <c r="F1384" i="16"/>
  <c r="G1384" i="16" s="1"/>
  <c r="F1506" i="16"/>
  <c r="G1506" i="16" s="1"/>
  <c r="F262" i="16"/>
  <c r="G262" i="16" s="1"/>
  <c r="F1426" i="16"/>
  <c r="G1426" i="16" s="1"/>
  <c r="F139" i="16"/>
  <c r="G139" i="16" s="1"/>
  <c r="F657" i="16"/>
  <c r="G657" i="16" s="1"/>
  <c r="F710" i="16"/>
  <c r="G710" i="16" s="1"/>
  <c r="F1928" i="16"/>
  <c r="G1928" i="16" s="1"/>
  <c r="F1867" i="16"/>
  <c r="G1867" i="16" s="1"/>
  <c r="F1425" i="16"/>
  <c r="G1425" i="16" s="1"/>
  <c r="F1400" i="16"/>
  <c r="G1400" i="16" s="1"/>
  <c r="F1710" i="16"/>
  <c r="G1710" i="16" s="1"/>
  <c r="F2025" i="16"/>
  <c r="G2025" i="16" s="1"/>
  <c r="F1543" i="16"/>
  <c r="G1543" i="16" s="1"/>
  <c r="F1578" i="16"/>
  <c r="G1578" i="16" s="1"/>
  <c r="F1648" i="16"/>
  <c r="G1648" i="16" s="1"/>
  <c r="F1980" i="16"/>
  <c r="G1980" i="16" s="1"/>
  <c r="F2075" i="16"/>
  <c r="G2075" i="16" s="1"/>
  <c r="F2320" i="16"/>
  <c r="G2320" i="16" s="1"/>
  <c r="F2321" i="16"/>
  <c r="G2321" i="16" s="1"/>
  <c r="F1460" i="16"/>
  <c r="G1460" i="16" s="1"/>
  <c r="F2113" i="16"/>
  <c r="G2113" i="16" s="1"/>
  <c r="F1524" i="16"/>
  <c r="G1524" i="16" s="1"/>
  <c r="F2322" i="16"/>
  <c r="G2322" i="16" s="1"/>
  <c r="F2174" i="16"/>
  <c r="G2174" i="16" s="1"/>
  <c r="F1938" i="16"/>
  <c r="G1938" i="16" s="1"/>
  <c r="F1899" i="16"/>
  <c r="G1899" i="16" s="1"/>
  <c r="F2323" i="16"/>
  <c r="G2323" i="16" s="1"/>
  <c r="F2130" i="16"/>
  <c r="G2130" i="16" s="1"/>
  <c r="F711" i="16"/>
  <c r="G711" i="16" s="1"/>
  <c r="F2145" i="16"/>
  <c r="G2145" i="16" s="1"/>
  <c r="F1922" i="16"/>
  <c r="G1922" i="16" s="1"/>
  <c r="F1489" i="16"/>
  <c r="G1489" i="16" s="1"/>
  <c r="F2176" i="16"/>
  <c r="G2176" i="16" s="1"/>
  <c r="F1593" i="16"/>
  <c r="G1593" i="16" s="1"/>
  <c r="F1963" i="16"/>
  <c r="G1963" i="16" s="1"/>
  <c r="F883" i="16"/>
  <c r="G883" i="16" s="1"/>
  <c r="F2029" i="16"/>
  <c r="G2029" i="16" s="1"/>
  <c r="F1898" i="16"/>
  <c r="G1898" i="16" s="1"/>
  <c r="F10" i="16"/>
  <c r="G10" i="16" s="1"/>
  <c r="F11" i="16"/>
  <c r="G11" i="16" s="1"/>
  <c r="F12" i="16"/>
  <c r="G12" i="16" s="1"/>
  <c r="F13" i="16"/>
  <c r="G13" i="16" s="1"/>
  <c r="F14" i="16"/>
  <c r="G14" i="16" s="1"/>
  <c r="F1965" i="16"/>
  <c r="G1965" i="16" s="1"/>
  <c r="F750" i="16"/>
  <c r="G750" i="16" s="1"/>
  <c r="F15" i="16"/>
  <c r="G15" i="16" s="1"/>
  <c r="F971" i="16"/>
  <c r="G971" i="16" s="1"/>
  <c r="F1395" i="16"/>
  <c r="G1395" i="16" s="1"/>
  <c r="F1232" i="16"/>
  <c r="G1232" i="16" s="1"/>
  <c r="F760" i="16"/>
  <c r="G760" i="16" s="1"/>
  <c r="F206" i="16"/>
  <c r="G206" i="16" s="1"/>
  <c r="F663" i="16"/>
  <c r="G663" i="16" s="1"/>
  <c r="F237" i="16"/>
  <c r="G237" i="16" s="1"/>
  <c r="F111" i="16"/>
  <c r="G111" i="16" s="1"/>
  <c r="F383" i="16"/>
  <c r="G383" i="16" s="1"/>
  <c r="F311" i="16"/>
  <c r="G311" i="16" s="1"/>
  <c r="F57" i="16"/>
  <c r="G57" i="16" s="1"/>
  <c r="F110" i="16"/>
  <c r="G110" i="16" s="1"/>
  <c r="F1629" i="16"/>
  <c r="G1629" i="16" s="1"/>
  <c r="F714" i="16"/>
  <c r="G714" i="16" s="1"/>
  <c r="F1150" i="16"/>
  <c r="G1150" i="16" s="1"/>
  <c r="F323" i="16"/>
  <c r="G323" i="16" s="1"/>
  <c r="F430" i="16"/>
  <c r="G430" i="16" s="1"/>
  <c r="F339" i="16"/>
  <c r="G339" i="16" s="1"/>
  <c r="F757" i="16"/>
  <c r="G757" i="16" s="1"/>
  <c r="F374" i="16"/>
  <c r="G374" i="16" s="1"/>
  <c r="F74" i="16"/>
  <c r="G74" i="16" s="1"/>
  <c r="F106" i="16"/>
  <c r="G106" i="16" s="1"/>
  <c r="F2016" i="16"/>
  <c r="G2016" i="16" s="1"/>
  <c r="F1905" i="16"/>
  <c r="G1905" i="16" s="1"/>
  <c r="F2324" i="16"/>
  <c r="G2324" i="16" s="1"/>
  <c r="F1774" i="16"/>
  <c r="G1774" i="16" s="1"/>
  <c r="F1274" i="16"/>
  <c r="G1274" i="16" s="1"/>
  <c r="F1948" i="16"/>
  <c r="G1948" i="16" s="1"/>
  <c r="F1838" i="16"/>
  <c r="G1838" i="16" s="1"/>
  <c r="F1865" i="16"/>
  <c r="G1865" i="16" s="1"/>
  <c r="F1761" i="16"/>
  <c r="G1761" i="16" s="1"/>
  <c r="F2111" i="16"/>
  <c r="G2111" i="16" s="1"/>
  <c r="F1744" i="16"/>
  <c r="G1744" i="16" s="1"/>
  <c r="F2090" i="16"/>
  <c r="G2090" i="16" s="1"/>
  <c r="F2325" i="16"/>
  <c r="G2325" i="16" s="1"/>
  <c r="F1510" i="16"/>
  <c r="G1510" i="16" s="1"/>
  <c r="F1557" i="16"/>
  <c r="G1557" i="16" s="1"/>
  <c r="F1363" i="16"/>
  <c r="G1363" i="16" s="1"/>
  <c r="F1705" i="16"/>
  <c r="G1705" i="16" s="1"/>
  <c r="F2020" i="16"/>
  <c r="G2020" i="16" s="1"/>
  <c r="F2021" i="16"/>
  <c r="G2021" i="16" s="1"/>
  <c r="F1801" i="16"/>
  <c r="G1801" i="16" s="1"/>
  <c r="F1782" i="16"/>
  <c r="G1782" i="16" s="1"/>
  <c r="F2326" i="16"/>
  <c r="G2326" i="16" s="1"/>
  <c r="F2017" i="16"/>
  <c r="G2017" i="16" s="1"/>
  <c r="F1978" i="16"/>
  <c r="G1978" i="16" s="1"/>
  <c r="F1844" i="16"/>
  <c r="G1844" i="16" s="1"/>
  <c r="F2092" i="16"/>
  <c r="G2092" i="16" s="1"/>
  <c r="F2117" i="16"/>
  <c r="G2117" i="16" s="1"/>
  <c r="F2327" i="16"/>
  <c r="G2327" i="16" s="1"/>
  <c r="F1872" i="16"/>
  <c r="G1872" i="16" s="1"/>
  <c r="F2328" i="16"/>
  <c r="G2328" i="16" s="1"/>
  <c r="F2329" i="16"/>
  <c r="G2329" i="16" s="1"/>
  <c r="F2330" i="16"/>
  <c r="G2330" i="16" s="1"/>
  <c r="F2331" i="16"/>
  <c r="G2331" i="16" s="1"/>
  <c r="F1855" i="16"/>
  <c r="G1855" i="16" s="1"/>
  <c r="F1877" i="16"/>
  <c r="G1877" i="16" s="1"/>
  <c r="F1337" i="16"/>
  <c r="G1337" i="16" s="1"/>
  <c r="F754" i="16"/>
  <c r="G754" i="16" s="1"/>
  <c r="F1501" i="16"/>
  <c r="G1501" i="16" s="1"/>
  <c r="F2098" i="16"/>
  <c r="G2098" i="16" s="1"/>
  <c r="F831" i="16"/>
  <c r="G831" i="16" s="1"/>
  <c r="F1611" i="16"/>
  <c r="G1611" i="16" s="1"/>
  <c r="F1582" i="16"/>
  <c r="G1582" i="16" s="1"/>
  <c r="F1558" i="16"/>
  <c r="G1558" i="16" s="1"/>
  <c r="F1246" i="16"/>
  <c r="G1246" i="16" s="1"/>
  <c r="F1106" i="16"/>
  <c r="G1106" i="16" s="1"/>
  <c r="F794" i="16"/>
  <c r="G794" i="16" s="1"/>
  <c r="F1734" i="16"/>
  <c r="G1734" i="16" s="1"/>
  <c r="F1796" i="16"/>
  <c r="G1796" i="16" s="1"/>
  <c r="F1529" i="16"/>
  <c r="G1529" i="16" s="1"/>
  <c r="F1390" i="16"/>
  <c r="G1390" i="16" s="1"/>
  <c r="F1822" i="16"/>
  <c r="G1822" i="16" s="1"/>
  <c r="F952" i="16"/>
  <c r="G952" i="16" s="1"/>
  <c r="F1213" i="16"/>
  <c r="G1213" i="16" s="1"/>
  <c r="F1444" i="16"/>
  <c r="G1444" i="16" s="1"/>
  <c r="F1545" i="16"/>
  <c r="G1545" i="16" s="1"/>
  <c r="F2332" i="16"/>
  <c r="G2332" i="16" s="1"/>
  <c r="F2333" i="16"/>
  <c r="G2333" i="16" s="1"/>
  <c r="F2334" i="16"/>
  <c r="G2334" i="16" s="1"/>
  <c r="F2335" i="16"/>
  <c r="G2335" i="16" s="1"/>
  <c r="F2336" i="16"/>
  <c r="G2336" i="16" s="1"/>
  <c r="F2337" i="16"/>
  <c r="G2337" i="16" s="1"/>
  <c r="F2338" i="16"/>
  <c r="G2338" i="16" s="1"/>
  <c r="F2339" i="16"/>
  <c r="G2339" i="16" s="1"/>
  <c r="F2340" i="16"/>
  <c r="G2340" i="16" s="1"/>
  <c r="F2341" i="16"/>
  <c r="G2341" i="16" s="1"/>
  <c r="F1229" i="16"/>
  <c r="G1229" i="16" s="1"/>
  <c r="F1147" i="16"/>
  <c r="G1147" i="16" s="1"/>
  <c r="F1490" i="16"/>
  <c r="G1490" i="16" s="1"/>
  <c r="F1114" i="16"/>
  <c r="G1114" i="16" s="1"/>
  <c r="F2095" i="16"/>
  <c r="G2095" i="16" s="1"/>
  <c r="F1681" i="16"/>
  <c r="G1681" i="16" s="1"/>
  <c r="F1832" i="16"/>
  <c r="G1832" i="16" s="1"/>
  <c r="F1241" i="16"/>
  <c r="G1241" i="16" s="1"/>
  <c r="F1881" i="16"/>
  <c r="G1881" i="16" s="1"/>
  <c r="F1847" i="16"/>
  <c r="G1847" i="16" s="1"/>
  <c r="F755" i="16"/>
  <c r="G755" i="16" s="1"/>
  <c r="F1216" i="16"/>
  <c r="G1216" i="16" s="1"/>
  <c r="F721" i="16"/>
  <c r="G721" i="16" s="1"/>
  <c r="F1495" i="16"/>
  <c r="G1495" i="16" s="1"/>
  <c r="F1804" i="16"/>
  <c r="G1804" i="16" s="1"/>
  <c r="F351" i="16"/>
  <c r="G351" i="16" s="1"/>
  <c r="F489" i="16"/>
  <c r="G489" i="16" s="1"/>
  <c r="F289" i="16"/>
  <c r="G289" i="16" s="1"/>
  <c r="F290" i="16"/>
  <c r="G290" i="16" s="1"/>
  <c r="F1214" i="16"/>
  <c r="G1214" i="16" s="1"/>
  <c r="F1721" i="16"/>
  <c r="G1721" i="16" s="1"/>
  <c r="F126" i="16"/>
  <c r="G126" i="16" s="1"/>
  <c r="F376" i="16"/>
  <c r="G376" i="16" s="1"/>
  <c r="F1488" i="16"/>
  <c r="G1488" i="16" s="1"/>
  <c r="F1712" i="16"/>
  <c r="G1712" i="16" s="1"/>
  <c r="F1056" i="16"/>
  <c r="G1056" i="16" s="1"/>
  <c r="F1580" i="16"/>
  <c r="G1580" i="16" s="1"/>
  <c r="F1097" i="16"/>
  <c r="G1097" i="16" s="1"/>
  <c r="F937" i="16"/>
  <c r="G937" i="16" s="1"/>
  <c r="F1040" i="16"/>
  <c r="G1040" i="16" s="1"/>
  <c r="F1154" i="16"/>
  <c r="G1154" i="16" s="1"/>
  <c r="F1539" i="16"/>
  <c r="G1539" i="16" s="1"/>
  <c r="F1880" i="16"/>
  <c r="G1880" i="16" s="1"/>
  <c r="F291" i="16"/>
  <c r="G291" i="16" s="1"/>
  <c r="I924" i="16"/>
  <c r="I925" i="16"/>
  <c r="I1204" i="16"/>
  <c r="I1205" i="16"/>
  <c r="I1206" i="16"/>
  <c r="I1436" i="16"/>
  <c r="I1437" i="16"/>
  <c r="I1470" i="16"/>
  <c r="I902" i="16"/>
  <c r="I903" i="16"/>
  <c r="I904" i="16"/>
  <c r="I926" i="16"/>
  <c r="I927" i="16"/>
  <c r="I928" i="16"/>
  <c r="I1015" i="16"/>
  <c r="I1016" i="16"/>
  <c r="I1017" i="16"/>
  <c r="I1018" i="16"/>
  <c r="I1019" i="16"/>
  <c r="I1020" i="16"/>
  <c r="I1402" i="16"/>
  <c r="I1550" i="16"/>
  <c r="I1551" i="16"/>
  <c r="I933" i="16"/>
  <c r="I847" i="16"/>
  <c r="I1110" i="16"/>
  <c r="I1111" i="16"/>
  <c r="I1112" i="16"/>
  <c r="I1021" i="16"/>
  <c r="I1022" i="16"/>
  <c r="I1471" i="16"/>
  <c r="I1207" i="16"/>
  <c r="I1427" i="16"/>
  <c r="I1428" i="16"/>
  <c r="I1403" i="16"/>
  <c r="I1404" i="16"/>
  <c r="I1023" i="16"/>
  <c r="I878" i="16"/>
  <c r="I2060" i="16"/>
  <c r="I1091" i="16"/>
  <c r="I1353" i="16"/>
  <c r="I455" i="16"/>
  <c r="I1069" i="16"/>
  <c r="I998" i="16"/>
  <c r="I1223" i="16"/>
  <c r="I1203" i="16"/>
  <c r="I456" i="16"/>
  <c r="I658" i="16"/>
  <c r="I133" i="16"/>
  <c r="I261" i="16"/>
  <c r="I470" i="16"/>
  <c r="I81" i="16"/>
  <c r="I543" i="16"/>
  <c r="I544" i="16"/>
  <c r="I520" i="16"/>
  <c r="I521" i="16"/>
  <c r="I1990" i="16"/>
  <c r="I1991" i="16"/>
  <c r="I879" i="16"/>
  <c r="I606" i="16"/>
  <c r="I525" i="16"/>
  <c r="I526" i="16"/>
  <c r="I907" i="16"/>
  <c r="I908" i="16"/>
  <c r="I497" i="16"/>
  <c r="I694" i="16"/>
  <c r="I1544" i="16"/>
  <c r="I2096" i="16"/>
  <c r="I735" i="16"/>
  <c r="I736" i="16"/>
  <c r="I392" i="16"/>
  <c r="I1443" i="16"/>
  <c r="I1047" i="16"/>
  <c r="I824" i="16"/>
  <c r="I1809" i="16"/>
  <c r="I1823" i="16"/>
  <c r="I1824" i="16"/>
  <c r="I440" i="16"/>
  <c r="I1989" i="16"/>
  <c r="I787" i="16"/>
  <c r="I899" i="16"/>
  <c r="I900" i="16"/>
  <c r="I1612" i="16"/>
  <c r="I1613" i="16"/>
  <c r="I393" i="16"/>
  <c r="I2063" i="16"/>
  <c r="I1048" i="16"/>
  <c r="I64" i="16"/>
  <c r="I65" i="16"/>
  <c r="I47" i="16"/>
  <c r="I48" i="16"/>
  <c r="I698" i="16"/>
  <c r="I607" i="16"/>
  <c r="I49" i="16"/>
  <c r="I687" i="16"/>
  <c r="I66" i="16"/>
  <c r="I175" i="16"/>
  <c r="I176" i="16"/>
  <c r="I848" i="16"/>
  <c r="I784" i="16"/>
  <c r="I397" i="16"/>
  <c r="I308" i="16"/>
  <c r="I177" i="16"/>
  <c r="I178" i="16"/>
  <c r="I513" i="16"/>
  <c r="I406" i="16"/>
  <c r="I955" i="16"/>
  <c r="I948" i="16"/>
  <c r="I179" i="16"/>
  <c r="I180" i="16"/>
  <c r="I181" i="16"/>
  <c r="I785" i="16"/>
  <c r="I1387" i="16"/>
  <c r="I336" i="16"/>
  <c r="I641" i="16"/>
  <c r="I1266" i="16"/>
  <c r="I1024" i="16"/>
  <c r="I833" i="16"/>
  <c r="I653" i="16"/>
  <c r="I384" i="16"/>
  <c r="I1497" i="16"/>
  <c r="I263" i="16"/>
  <c r="I264" i="16"/>
  <c r="I834" i="16"/>
  <c r="I278" i="16"/>
  <c r="I226" i="16"/>
  <c r="I1025" i="16"/>
  <c r="I688" i="16"/>
  <c r="I58" i="16"/>
  <c r="I144" i="16"/>
  <c r="I1451" i="16"/>
  <c r="I1452" i="16"/>
  <c r="I435" i="16"/>
  <c r="I835" i="16"/>
  <c r="I187" i="16"/>
  <c r="I934" i="16"/>
  <c r="I145" i="16"/>
  <c r="I1502" i="16"/>
  <c r="I1619" i="16"/>
  <c r="I1385" i="16"/>
  <c r="I1233" i="16"/>
  <c r="I169" i="16"/>
  <c r="I836" i="16"/>
  <c r="I837" i="16"/>
  <c r="I984" i="16"/>
  <c r="I1565" i="16"/>
  <c r="I758" i="16"/>
  <c r="I146" i="16"/>
  <c r="I1405" i="16"/>
  <c r="I2189" i="16"/>
  <c r="I170" i="16"/>
  <c r="I700" i="16"/>
  <c r="I701" i="16"/>
  <c r="I127" i="16"/>
  <c r="I981" i="16"/>
  <c r="I183" i="16"/>
  <c r="I184" i="16"/>
  <c r="I2161" i="16"/>
  <c r="I2069" i="16"/>
  <c r="I2156" i="16"/>
  <c r="I2084" i="16"/>
  <c r="I842" i="16"/>
  <c r="I210" i="16"/>
  <c r="I1994" i="16"/>
  <c r="I1079" i="16"/>
  <c r="I1453" i="16"/>
  <c r="I1454" i="16"/>
  <c r="I185" i="16"/>
  <c r="I186" i="16"/>
  <c r="I1457" i="16"/>
  <c r="I151" i="16"/>
  <c r="I283" i="16"/>
  <c r="I1464" i="16"/>
  <c r="I2177" i="16"/>
  <c r="I1388" i="16"/>
  <c r="I337" i="16"/>
  <c r="I642" i="16"/>
  <c r="I227" i="16"/>
  <c r="I1267" i="16"/>
  <c r="I1026" i="16"/>
  <c r="I689" i="16"/>
  <c r="I436" i="16"/>
  <c r="I188" i="16"/>
  <c r="I935" i="16"/>
  <c r="I1503" i="16"/>
  <c r="I1620" i="16"/>
  <c r="I1386" i="16"/>
  <c r="I1234" i="16"/>
  <c r="I171" i="16"/>
  <c r="I1566" i="16"/>
  <c r="I759" i="16"/>
  <c r="I1406" i="16"/>
  <c r="I1702" i="16"/>
  <c r="I1540" i="16"/>
  <c r="I2190" i="16"/>
  <c r="I1459" i="16"/>
  <c r="I859" i="16"/>
  <c r="I1043" i="16"/>
  <c r="I905" i="16"/>
  <c r="I1088" i="16"/>
  <c r="I1211" i="16"/>
  <c r="I419" i="16"/>
  <c r="I1780" i="16"/>
  <c r="I294" i="16"/>
  <c r="I59" i="16"/>
  <c r="I2191" i="16"/>
  <c r="I1932" i="16"/>
  <c r="I2192" i="16"/>
  <c r="I1339" i="16"/>
  <c r="I1071" i="16"/>
  <c r="I1649" i="16"/>
  <c r="I490" i="16"/>
  <c r="I1072" i="16"/>
  <c r="I491" i="16"/>
  <c r="I1983" i="16"/>
  <c r="I1604" i="16"/>
  <c r="I1218" i="16"/>
  <c r="I1073" i="16"/>
  <c r="I492" i="16"/>
  <c r="I469" i="16"/>
  <c r="I1212" i="16"/>
  <c r="I1800" i="16"/>
  <c r="I493" i="16"/>
  <c r="I1650" i="16"/>
  <c r="I1087" i="16"/>
  <c r="I992" i="16"/>
  <c r="I1074" i="16"/>
  <c r="I1772" i="16"/>
  <c r="I1532" i="16"/>
  <c r="I1070" i="16"/>
  <c r="I1002" i="16"/>
  <c r="I2085" i="16"/>
  <c r="I2193" i="16"/>
  <c r="I2108" i="16"/>
  <c r="I993" i="16"/>
  <c r="I1314" i="16"/>
  <c r="I1949" i="16"/>
  <c r="I881" i="16"/>
  <c r="I2178" i="16"/>
  <c r="I2194" i="16"/>
  <c r="I965" i="16"/>
  <c r="I822" i="16"/>
  <c r="I2008" i="16"/>
  <c r="I1996" i="16"/>
  <c r="I1553" i="16"/>
  <c r="I1868" i="16"/>
  <c r="I1210" i="16"/>
  <c r="I1476" i="16"/>
  <c r="I843" i="16"/>
  <c r="I1498" i="16"/>
  <c r="I1499" i="16"/>
  <c r="I1500" i="16"/>
  <c r="I1120" i="16"/>
  <c r="I1162" i="16"/>
  <c r="I791" i="16"/>
  <c r="I1884" i="16"/>
  <c r="I228" i="16"/>
  <c r="I225" i="16"/>
  <c r="I1163" i="16"/>
  <c r="I917" i="16"/>
  <c r="I1741" i="16"/>
  <c r="I918" i="16"/>
  <c r="I919" i="16"/>
  <c r="I1033" i="16"/>
  <c r="I966" i="16"/>
  <c r="I654" i="16"/>
  <c r="I1195" i="16"/>
  <c r="I407" i="16"/>
  <c r="I1507" i="16"/>
  <c r="I1508" i="16"/>
  <c r="I1585" i="16"/>
  <c r="I1586" i="16"/>
  <c r="I1467" i="16"/>
  <c r="I599" i="16"/>
  <c r="I600" i="16"/>
  <c r="I601" i="16"/>
  <c r="I602" i="16"/>
  <c r="I603" i="16"/>
  <c r="I604" i="16"/>
  <c r="I874" i="16"/>
  <c r="I875" i="16"/>
  <c r="I476" i="16"/>
  <c r="I1432" i="16"/>
  <c r="I623" i="16"/>
  <c r="I624" i="16"/>
  <c r="I625" i="16"/>
  <c r="I626" i="16"/>
  <c r="I1256" i="16"/>
  <c r="I1257" i="16"/>
  <c r="I119" i="16"/>
  <c r="I2065" i="16"/>
  <c r="I2195" i="16"/>
  <c r="I2196" i="16"/>
  <c r="I1736" i="16"/>
  <c r="I2078" i="16"/>
  <c r="I2197" i="16"/>
  <c r="I717" i="16"/>
  <c r="I246" i="16"/>
  <c r="I247" i="16"/>
  <c r="I37" i="16"/>
  <c r="I122" i="16"/>
  <c r="I2198" i="16"/>
  <c r="I2199" i="16"/>
  <c r="I2200" i="16"/>
  <c r="I51" i="16"/>
  <c r="I464" i="16"/>
  <c r="I465" i="16"/>
  <c r="I52" i="16"/>
  <c r="I53" i="16"/>
  <c r="I54" i="16"/>
  <c r="I1396" i="16"/>
  <c r="I1397" i="16"/>
  <c r="I38" i="16"/>
  <c r="I39" i="16"/>
  <c r="I40" i="16"/>
  <c r="I1324" i="16"/>
  <c r="I985" i="16"/>
  <c r="I1134" i="16"/>
  <c r="I1027" i="16"/>
  <c r="I2201" i="16"/>
  <c r="I662" i="16"/>
  <c r="I1469" i="16"/>
  <c r="I639" i="16"/>
  <c r="I394" i="16"/>
  <c r="I672" i="16"/>
  <c r="I649" i="16"/>
  <c r="I1826" i="16"/>
  <c r="I644" i="16"/>
  <c r="I193" i="16"/>
  <c r="I420" i="16"/>
  <c r="I2202" i="16"/>
  <c r="I1827" i="16"/>
  <c r="I194" i="16"/>
  <c r="I19" i="16"/>
  <c r="I1151" i="16"/>
  <c r="I195" i="16"/>
  <c r="I1152" i="16"/>
  <c r="I20" i="16"/>
  <c r="I196" i="16"/>
  <c r="I671" i="16"/>
  <c r="I197" i="16"/>
  <c r="I1408" i="16"/>
  <c r="I729" i="16"/>
  <c r="I1767" i="16"/>
  <c r="I730" i="16"/>
  <c r="I395" i="16"/>
  <c r="I21" i="16"/>
  <c r="I1748" i="16"/>
  <c r="I751" i="16"/>
  <c r="I645" i="16"/>
  <c r="I1768" i="16"/>
  <c r="I1749" i="16"/>
  <c r="I661" i="16"/>
  <c r="I198" i="16"/>
  <c r="I737" i="16"/>
  <c r="I650" i="16"/>
  <c r="I1904" i="16"/>
  <c r="I1878" i="16"/>
  <c r="I627" i="16"/>
  <c r="I646" i="16"/>
  <c r="I647" i="16"/>
  <c r="I22" i="16"/>
  <c r="I1769" i="16"/>
  <c r="I1169" i="16"/>
  <c r="I930" i="16"/>
  <c r="I673" i="16"/>
  <c r="I1170" i="16"/>
  <c r="I1171" i="16"/>
  <c r="I23" i="16"/>
  <c r="I738" i="16"/>
  <c r="I739" i="16"/>
  <c r="I2203" i="16"/>
  <c r="I1172" i="16"/>
  <c r="I355" i="16"/>
  <c r="I223" i="16"/>
  <c r="I428" i="16"/>
  <c r="I214" i="16"/>
  <c r="I463" i="16"/>
  <c r="I209" i="16"/>
  <c r="I18" i="16"/>
  <c r="I135" i="16"/>
  <c r="I117" i="16"/>
  <c r="I121" i="16"/>
  <c r="I50" i="16"/>
  <c r="I213" i="16"/>
  <c r="I1080" i="16"/>
  <c r="I152" i="16"/>
  <c r="I1417" i="16"/>
  <c r="I1008" i="16"/>
  <c r="I1126" i="16"/>
  <c r="I1583" i="16"/>
  <c r="I571" i="16"/>
  <c r="I190" i="16"/>
  <c r="I1131" i="16"/>
  <c r="I191" i="16"/>
  <c r="I128" i="16"/>
  <c r="I331" i="16"/>
  <c r="I1414" i="16"/>
  <c r="I202" i="16"/>
  <c r="I203" i="16"/>
  <c r="I204" i="16"/>
  <c r="I929" i="16"/>
  <c r="I1609" i="16"/>
  <c r="I2152" i="16"/>
  <c r="I1595" i="16"/>
  <c r="I1127" i="16"/>
  <c r="I1607" i="16"/>
  <c r="I1770" i="16"/>
  <c r="I334" i="16"/>
  <c r="I2062" i="16"/>
  <c r="I840" i="16"/>
  <c r="I2204" i="16"/>
  <c r="I752" i="16"/>
  <c r="I1173" i="16"/>
  <c r="I2205" i="16"/>
  <c r="I1597" i="16"/>
  <c r="I592" i="16"/>
  <c r="I134" i="16"/>
  <c r="I616" i="16"/>
  <c r="I2206" i="16"/>
  <c r="I916" i="16"/>
  <c r="I2207" i="16"/>
  <c r="I1398" i="16"/>
  <c r="I2099" i="16"/>
  <c r="I345" i="16"/>
  <c r="I681" i="16"/>
  <c r="I1413" i="16"/>
  <c r="I715" i="16"/>
  <c r="I1920" i="16"/>
  <c r="I628" i="16"/>
  <c r="I651" i="16"/>
  <c r="I731" i="16"/>
  <c r="I648" i="16"/>
  <c r="I281" i="16"/>
  <c r="I199" i="16"/>
  <c r="I1522" i="16"/>
  <c r="I1805" i="16"/>
  <c r="I466" i="16"/>
  <c r="I2208" i="16"/>
  <c r="I1215" i="16"/>
  <c r="I1819" i="16"/>
  <c r="I1656" i="16"/>
  <c r="I399" i="16"/>
  <c r="I1828" i="16"/>
  <c r="I1750" i="16"/>
  <c r="I1513" i="16"/>
  <c r="I972" i="16"/>
  <c r="I182" i="16"/>
  <c r="I1117" i="16"/>
  <c r="I1273" i="16"/>
  <c r="I1814" i="16"/>
  <c r="I1153" i="16"/>
  <c r="I1788" i="16"/>
  <c r="I1561" i="16"/>
  <c r="I740" i="16"/>
  <c r="I207" i="16"/>
  <c r="I1896" i="16"/>
  <c r="I718" i="16"/>
  <c r="I365" i="16"/>
  <c r="I821" i="16"/>
  <c r="I1373" i="16"/>
  <c r="I1802" i="16"/>
  <c r="I2209" i="16"/>
  <c r="I1845" i="16"/>
  <c r="I2210" i="16"/>
  <c r="I805" i="16"/>
  <c r="I442" i="16"/>
  <c r="I640" i="16"/>
  <c r="I1879" i="16"/>
  <c r="I1590" i="16"/>
  <c r="I825" i="16"/>
  <c r="I1673" i="16"/>
  <c r="I1371" i="16"/>
  <c r="I1564" i="16"/>
  <c r="I55" i="16"/>
  <c r="I24" i="16"/>
  <c r="I1409" i="16"/>
  <c r="I46" i="16"/>
  <c r="I1995" i="16"/>
  <c r="I1617" i="16"/>
  <c r="I1050" i="16"/>
  <c r="I976" i="16"/>
  <c r="I1332" i="16"/>
  <c r="I1531" i="16"/>
  <c r="I224" i="16"/>
  <c r="I26" i="16"/>
  <c r="I719" i="16"/>
  <c r="I552" i="16"/>
  <c r="I553" i="16"/>
  <c r="I554" i="16"/>
  <c r="I555" i="16"/>
  <c r="I2211" i="16"/>
  <c r="I1625" i="16"/>
  <c r="I574" i="16"/>
  <c r="I575" i="16"/>
  <c r="I576" i="16"/>
  <c r="I950" i="16"/>
  <c r="I75" i="16"/>
  <c r="I1370" i="16"/>
  <c r="I2212" i="16"/>
  <c r="I1379" i="16"/>
  <c r="I211" i="16"/>
  <c r="I522" i="16"/>
  <c r="I82" i="16"/>
  <c r="I733" i="16"/>
  <c r="I212" i="16"/>
  <c r="I168" i="16"/>
  <c r="I439" i="16"/>
  <c r="I208" i="16"/>
  <c r="I215" i="16"/>
  <c r="I2213" i="16"/>
  <c r="I2214" i="16"/>
  <c r="I2215" i="16"/>
  <c r="I1902" i="16"/>
  <c r="I951" i="16"/>
  <c r="I1161" i="16"/>
  <c r="I1591" i="16"/>
  <c r="I28" i="16"/>
  <c r="I1562" i="16"/>
  <c r="I238" i="16"/>
  <c r="I239" i="16"/>
  <c r="I240" i="16"/>
  <c r="I584" i="16"/>
  <c r="I585" i="16"/>
  <c r="I437" i="16"/>
  <c r="I83" i="16"/>
  <c r="I29" i="16"/>
  <c r="I73" i="16"/>
  <c r="I586" i="16"/>
  <c r="I595" i="16"/>
  <c r="I596" i="16"/>
  <c r="I467" i="16"/>
  <c r="I71" i="16"/>
  <c r="I45" i="16"/>
  <c r="I763" i="16"/>
  <c r="I764" i="16"/>
  <c r="I421" i="16"/>
  <c r="I633" i="16"/>
  <c r="I557" i="16"/>
  <c r="I338" i="16"/>
  <c r="I1201" i="16"/>
  <c r="I56" i="16"/>
  <c r="I16" i="16"/>
  <c r="I25" i="16"/>
  <c r="I429" i="16"/>
  <c r="I33" i="16"/>
  <c r="I1181" i="16"/>
  <c r="I1182" i="16"/>
  <c r="I1183" i="16"/>
  <c r="I36" i="16"/>
  <c r="I1491" i="16"/>
  <c r="I1133" i="16"/>
  <c r="I234" i="16"/>
  <c r="I471" i="16"/>
  <c r="I302" i="16"/>
  <c r="I303" i="16"/>
  <c r="I1628" i="16"/>
  <c r="I148" i="16"/>
  <c r="I1039" i="16"/>
  <c r="I72" i="16"/>
  <c r="I241" i="16"/>
  <c r="I242" i="16"/>
  <c r="I243" i="16"/>
  <c r="I1514" i="16"/>
  <c r="I1442" i="16"/>
  <c r="I472" i="16"/>
  <c r="I304" i="16"/>
  <c r="I753" i="16"/>
  <c r="I2216" i="16"/>
  <c r="I156" i="16"/>
  <c r="I157" i="16"/>
  <c r="I248" i="16"/>
  <c r="I1771" i="16"/>
  <c r="I123" i="16"/>
  <c r="I2217" i="16"/>
  <c r="I468" i="16"/>
  <c r="I1429" i="16"/>
  <c r="I249" i="16"/>
  <c r="I250" i="16"/>
  <c r="I1430" i="16"/>
  <c r="I2175" i="16"/>
  <c r="I1051" i="16"/>
  <c r="I1096" i="16"/>
  <c r="I949" i="16"/>
  <c r="I312" i="16"/>
  <c r="I1482" i="16"/>
  <c r="I313" i="16"/>
  <c r="I422" i="16"/>
  <c r="I314" i="16"/>
  <c r="I315" i="16"/>
  <c r="I316" i="16"/>
  <c r="I7" i="16"/>
  <c r="I8" i="16"/>
  <c r="I124" i="16"/>
  <c r="I1779" i="16"/>
  <c r="I423" i="16"/>
  <c r="I1277" i="16"/>
  <c r="I1818" i="16"/>
  <c r="I1049" i="16"/>
  <c r="I562" i="16"/>
  <c r="I1431" i="16"/>
  <c r="I741" i="16"/>
  <c r="I931" i="16"/>
  <c r="I396" i="16"/>
  <c r="I577" i="16"/>
  <c r="I578" i="16"/>
  <c r="I990" i="16"/>
  <c r="I1714" i="16"/>
  <c r="I1245" i="16"/>
  <c r="I2218" i="16"/>
  <c r="I352" i="16"/>
  <c r="I353" i="16"/>
  <c r="I354" i="16"/>
  <c r="I136" i="16"/>
  <c r="I125" i="16"/>
  <c r="I1382" i="16"/>
  <c r="I1633" i="16"/>
  <c r="I317" i="16"/>
  <c r="I2071" i="16"/>
  <c r="I855" i="16"/>
  <c r="I856" i="16"/>
  <c r="I857" i="16"/>
  <c r="I473" i="16"/>
  <c r="I797" i="16"/>
  <c r="I798" i="16"/>
  <c r="I799" i="16"/>
  <c r="I1174" i="16"/>
  <c r="I1175" i="16"/>
  <c r="I1176" i="16"/>
  <c r="I1806" i="16"/>
  <c r="I1807" i="16"/>
  <c r="I1034" i="16"/>
  <c r="I1035" i="16"/>
  <c r="I1036" i="16"/>
  <c r="I2080" i="16"/>
  <c r="I809" i="16"/>
  <c r="I810" i="16"/>
  <c r="I811" i="16"/>
  <c r="I1358" i="16"/>
  <c r="I1359" i="16"/>
  <c r="I87" i="16"/>
  <c r="I88" i="16"/>
  <c r="I514" i="16"/>
  <c r="I515" i="16"/>
  <c r="I516" i="16"/>
  <c r="I2009" i="16"/>
  <c r="I2010" i="16"/>
  <c r="I1003" i="16"/>
  <c r="I1004" i="16"/>
  <c r="I1005" i="16"/>
  <c r="I431" i="16"/>
  <c r="I432" i="16"/>
  <c r="I433" i="16"/>
  <c r="I1155" i="16"/>
  <c r="I1156" i="16"/>
  <c r="I1157" i="16"/>
  <c r="I683" i="16"/>
  <c r="I684" i="16"/>
  <c r="I685" i="16"/>
  <c r="I780" i="16"/>
  <c r="I781" i="16"/>
  <c r="I782" i="16"/>
  <c r="I706" i="16"/>
  <c r="I707" i="16"/>
  <c r="I708" i="16"/>
  <c r="I1041" i="16"/>
  <c r="I342" i="16"/>
  <c r="I343" i="16"/>
  <c r="I774" i="16"/>
  <c r="I775" i="16"/>
  <c r="I776" i="16"/>
  <c r="I911" i="16"/>
  <c r="I912" i="16"/>
  <c r="I388" i="16"/>
  <c r="I389" i="16"/>
  <c r="I390" i="16"/>
  <c r="I546" i="16"/>
  <c r="I547" i="16"/>
  <c r="I1752" i="16"/>
  <c r="I1753" i="16"/>
  <c r="I563" i="16"/>
  <c r="I564" i="16"/>
  <c r="I565" i="16"/>
  <c r="I566" i="16"/>
  <c r="I1638" i="16"/>
  <c r="I1639" i="16"/>
  <c r="I1060" i="16"/>
  <c r="I1061" i="16"/>
  <c r="I1062" i="16"/>
  <c r="I722" i="16"/>
  <c r="I723" i="16"/>
  <c r="I724" i="16"/>
  <c r="I677" i="16"/>
  <c r="I678" i="16"/>
  <c r="I140" i="16"/>
  <c r="I1916" i="16"/>
  <c r="I1715" i="16"/>
  <c r="I1716" i="16"/>
  <c r="I1717" i="16"/>
  <c r="I886" i="16"/>
  <c r="I887" i="16"/>
  <c r="I888" i="16"/>
  <c r="I1011" i="16"/>
  <c r="I1012" i="16"/>
  <c r="I1013" i="16"/>
  <c r="I1785" i="16"/>
  <c r="I104" i="16"/>
  <c r="I1699" i="16"/>
  <c r="I1308" i="16"/>
  <c r="I1247" i="16"/>
  <c r="I1870" i="16"/>
  <c r="I2219" i="16"/>
  <c r="I2220" i="16"/>
  <c r="I850" i="16"/>
  <c r="I1556" i="16"/>
  <c r="I1743" i="16"/>
  <c r="I2143" i="16"/>
  <c r="I1812" i="16"/>
  <c r="I1378" i="16"/>
  <c r="I1912" i="16"/>
  <c r="I1727" i="16"/>
  <c r="I2077" i="16"/>
  <c r="I1260" i="16"/>
  <c r="I1997" i="16"/>
  <c r="I1940" i="16"/>
  <c r="I1512" i="16"/>
  <c r="I1873" i="16"/>
  <c r="I2070" i="16"/>
  <c r="I2125" i="16"/>
  <c r="I1184" i="16"/>
  <c r="I1765" i="16"/>
  <c r="I1722" i="16"/>
  <c r="I1859" i="16"/>
  <c r="I1786" i="16"/>
  <c r="I1921" i="16"/>
  <c r="I2221" i="16"/>
  <c r="I2073" i="16"/>
  <c r="I1344" i="16"/>
  <c r="I2061" i="16"/>
  <c r="I1917" i="16"/>
  <c r="I1918" i="16"/>
  <c r="I548" i="16"/>
  <c r="I725" i="16"/>
  <c r="I1808" i="16"/>
  <c r="I812" i="16"/>
  <c r="I813" i="16"/>
  <c r="I889" i="16"/>
  <c r="I105" i="16"/>
  <c r="I1841" i="16"/>
  <c r="I1842" i="16"/>
  <c r="I1191" i="16"/>
  <c r="I1192" i="16"/>
  <c r="I34" i="16"/>
  <c r="I35" i="16"/>
  <c r="I391" i="16"/>
  <c r="I426" i="16"/>
  <c r="I913" i="16"/>
  <c r="I474" i="16"/>
  <c r="I1042" i="16"/>
  <c r="I1360" i="16"/>
  <c r="I1006" i="16"/>
  <c r="I1007" i="16"/>
  <c r="I800" i="16"/>
  <c r="I801" i="16"/>
  <c r="I802" i="16"/>
  <c r="I803" i="16"/>
  <c r="I89" i="16"/>
  <c r="I90" i="16"/>
  <c r="I91" i="16"/>
  <c r="I2011" i="16"/>
  <c r="I686" i="16"/>
  <c r="I858" i="16"/>
  <c r="I1640" i="16"/>
  <c r="I517" i="16"/>
  <c r="I518" i="16"/>
  <c r="I519" i="16"/>
  <c r="I434" i="16"/>
  <c r="I344" i="16"/>
  <c r="I1037" i="16"/>
  <c r="I1038" i="16"/>
  <c r="I1063" i="16"/>
  <c r="I1718" i="16"/>
  <c r="I1177" i="16"/>
  <c r="I1178" i="16"/>
  <c r="I679" i="16"/>
  <c r="I2081" i="16"/>
  <c r="I141" i="16"/>
  <c r="I142" i="16"/>
  <c r="I783" i="16"/>
  <c r="I709" i="16"/>
  <c r="I1158" i="16"/>
  <c r="I1159" i="16"/>
  <c r="I1754" i="16"/>
  <c r="I1014" i="16"/>
  <c r="I567" i="16"/>
  <c r="I568" i="16"/>
  <c r="I569" i="16"/>
  <c r="I570" i="16"/>
  <c r="I777" i="16"/>
  <c r="I1248" i="16"/>
  <c r="I531" i="16"/>
  <c r="I1521" i="16"/>
  <c r="I1185" i="16"/>
  <c r="I1186" i="16"/>
  <c r="I1187" i="16"/>
  <c r="I1188" i="16"/>
  <c r="I1998" i="16"/>
  <c r="I1999" i="16"/>
  <c r="I1193" i="16"/>
  <c r="I795" i="16"/>
  <c r="I2222" i="16"/>
  <c r="I2223" i="16"/>
  <c r="I2224" i="16"/>
  <c r="I1309" i="16"/>
  <c r="I1310" i="16"/>
  <c r="I1311" i="16"/>
  <c r="I1312" i="16"/>
  <c r="I1313" i="16"/>
  <c r="I1730" i="16"/>
  <c r="I1833" i="16"/>
  <c r="I851" i="16"/>
  <c r="I2225" i="16"/>
  <c r="I1787" i="16"/>
  <c r="I1941" i="16"/>
  <c r="I1874" i="16"/>
  <c r="I1875" i="16"/>
  <c r="I1813" i="16"/>
  <c r="I143" i="16"/>
  <c r="I1010" i="16"/>
  <c r="I1601" i="16"/>
  <c r="I1559" i="16"/>
  <c r="I2226" i="16"/>
  <c r="I1496" i="16"/>
  <c r="I1509" i="16"/>
  <c r="I2105" i="16"/>
  <c r="I2104" i="16"/>
  <c r="I1933" i="16"/>
  <c r="I201" i="16"/>
  <c r="I1816" i="16"/>
  <c r="I1537" i="16"/>
  <c r="I2227" i="16"/>
  <c r="I2141" i="16"/>
  <c r="I2142" i="16"/>
  <c r="I2012" i="16"/>
  <c r="I84" i="16"/>
  <c r="I699" i="16"/>
  <c r="I816" i="16"/>
  <c r="I1887" i="16"/>
  <c r="I1888" i="16"/>
  <c r="I1146" i="16"/>
  <c r="I682" i="16"/>
  <c r="I712" i="16"/>
  <c r="I1525" i="16"/>
  <c r="I591" i="16"/>
  <c r="I2139" i="16"/>
  <c r="I817" i="16"/>
  <c r="I2110" i="16"/>
  <c r="I2024" i="16"/>
  <c r="I1518" i="16"/>
  <c r="I771" i="16"/>
  <c r="I772" i="16"/>
  <c r="I773" i="16"/>
  <c r="I457" i="16"/>
  <c r="I458" i="16"/>
  <c r="I885" i="16"/>
  <c r="I632" i="16"/>
  <c r="I1268" i="16"/>
  <c r="I613" i="16"/>
  <c r="I593" i="16"/>
  <c r="I1669" i="16"/>
  <c r="I1391" i="16"/>
  <c r="I1670" i="16"/>
  <c r="I1044" i="16"/>
  <c r="I666" i="16"/>
  <c r="I1728" i="16"/>
  <c r="I1059" i="16"/>
  <c r="I1165" i="16"/>
  <c r="I1198" i="16"/>
  <c r="I1407" i="16"/>
  <c r="I1113" i="16"/>
  <c r="I479" i="16"/>
  <c r="I1570" i="16"/>
  <c r="I1571" i="16"/>
  <c r="I1572" i="16"/>
  <c r="I2163" i="16"/>
  <c r="I2028" i="16"/>
  <c r="I690" i="16"/>
  <c r="I1092" i="16"/>
  <c r="I667" i="16"/>
  <c r="I1297" i="16"/>
  <c r="I1102" i="16"/>
  <c r="I1815" i="16"/>
  <c r="I1045" i="16"/>
  <c r="I1046" i="16"/>
  <c r="I832" i="16"/>
  <c r="I1746" i="16"/>
  <c r="I1756" i="16"/>
  <c r="I78" i="16"/>
  <c r="I1526" i="16"/>
  <c r="I968" i="16"/>
  <c r="I2228" i="16"/>
  <c r="I827" i="16"/>
  <c r="I1278" i="16"/>
  <c r="I1361" i="16"/>
  <c r="I961" i="16"/>
  <c r="I1362" i="16"/>
  <c r="I1803" i="16"/>
  <c r="I2229" i="16"/>
  <c r="I2230" i="16"/>
  <c r="I2231" i="16"/>
  <c r="I906" i="16"/>
  <c r="I865" i="16"/>
  <c r="I1589" i="16"/>
  <c r="I818" i="16"/>
  <c r="I819" i="16"/>
  <c r="I964" i="16"/>
  <c r="I820" i="16"/>
  <c r="I268" i="16"/>
  <c r="I1825" i="16"/>
  <c r="I1704" i="16"/>
  <c r="I2147" i="16"/>
  <c r="I594" i="16"/>
  <c r="I1505" i="16"/>
  <c r="I1579" i="16"/>
  <c r="I1298" i="16"/>
  <c r="I1757" i="16"/>
  <c r="I1758" i="16"/>
  <c r="I668" i="16"/>
  <c r="I305" i="16"/>
  <c r="I1747" i="16"/>
  <c r="I581" i="16"/>
  <c r="I590" i="16"/>
  <c r="I1438" i="16"/>
  <c r="I1830" i="16"/>
  <c r="I1790" i="16"/>
  <c r="I1630" i="16"/>
  <c r="I1608" i="16"/>
  <c r="I1272" i="16"/>
  <c r="I1463" i="16"/>
  <c r="I2232" i="16"/>
  <c r="I1599" i="16"/>
  <c r="I2233" i="16"/>
  <c r="I1632" i="16"/>
  <c r="I1472" i="16"/>
  <c r="I1993" i="16"/>
  <c r="I2172" i="16"/>
  <c r="I2234" i="16"/>
  <c r="I2109" i="16"/>
  <c r="I2235" i="16"/>
  <c r="I909" i="16"/>
  <c r="I147" i="16"/>
  <c r="I96" i="16"/>
  <c r="I695" i="16"/>
  <c r="I1221" i="16"/>
  <c r="I608" i="16"/>
  <c r="I1098" i="16"/>
  <c r="I629" i="16"/>
  <c r="I484" i="16"/>
  <c r="I945" i="16"/>
  <c r="I1076" i="16"/>
  <c r="I1355" i="16"/>
  <c r="I498" i="16"/>
  <c r="I503" i="16"/>
  <c r="I129" i="16"/>
  <c r="I1099" i="16"/>
  <c r="I485" i="16"/>
  <c r="I946" i="16"/>
  <c r="I696" i="16"/>
  <c r="I609" i="16"/>
  <c r="I504" i="16"/>
  <c r="I325" i="16"/>
  <c r="I130" i="16"/>
  <c r="I97" i="16"/>
  <c r="I867" i="16"/>
  <c r="I1100" i="16"/>
  <c r="I630" i="16"/>
  <c r="I361" i="16"/>
  <c r="I486" i="16"/>
  <c r="I1077" i="16"/>
  <c r="I499" i="16"/>
  <c r="I697" i="16"/>
  <c r="I910" i="16"/>
  <c r="I991" i="16"/>
  <c r="I326" i="16"/>
  <c r="I131" i="16"/>
  <c r="I98" i="16"/>
  <c r="I631" i="16"/>
  <c r="I362" i="16"/>
  <c r="I500" i="16"/>
  <c r="I614" i="16"/>
  <c r="I1230" i="16"/>
  <c r="I1950" i="16"/>
  <c r="I1960" i="16"/>
  <c r="I1651" i="16"/>
  <c r="I1239" i="16"/>
  <c r="I149" i="16"/>
  <c r="I274" i="16"/>
  <c r="I868" i="16"/>
  <c r="I869" i="16"/>
  <c r="I870" i="16"/>
  <c r="I100" i="16"/>
  <c r="I967" i="16"/>
  <c r="I610" i="16"/>
  <c r="I1240" i="16"/>
  <c r="I871" i="16"/>
  <c r="I32" i="16"/>
  <c r="I174" i="16"/>
  <c r="I702" i="16"/>
  <c r="I1028" i="16"/>
  <c r="I2136" i="16"/>
  <c r="I505" i="16"/>
  <c r="I99" i="16"/>
  <c r="I852" i="16"/>
  <c r="I327" i="16"/>
  <c r="I1142" i="16"/>
  <c r="I363" i="16"/>
  <c r="I1376" i="16"/>
  <c r="I1093" i="16"/>
  <c r="I509" i="16"/>
  <c r="I872" i="16"/>
  <c r="I1418" i="16"/>
  <c r="I703" i="16"/>
  <c r="I704" i="16"/>
  <c r="I1029" i="16"/>
  <c r="I1030" i="16"/>
  <c r="I2137" i="16"/>
  <c r="I2138" i="16"/>
  <c r="I1094" i="16"/>
  <c r="I1095" i="16"/>
  <c r="I1326" i="16"/>
  <c r="I1327" i="16"/>
  <c r="I1328" i="16"/>
  <c r="I938" i="16"/>
  <c r="I939" i="16"/>
  <c r="I940" i="16"/>
  <c r="I1356" i="16"/>
  <c r="I1143" i="16"/>
  <c r="I1144" i="16"/>
  <c r="I1078" i="16"/>
  <c r="I853" i="16"/>
  <c r="I854" i="16"/>
  <c r="I510" i="16"/>
  <c r="I511" i="16"/>
  <c r="I172" i="16"/>
  <c r="I173" i="16"/>
  <c r="I1419" i="16"/>
  <c r="I1420" i="16"/>
  <c r="I615" i="16"/>
  <c r="I2236" i="16"/>
  <c r="I1101" i="16"/>
  <c r="I150" i="16"/>
  <c r="I275" i="16"/>
  <c r="I1602" i="16"/>
  <c r="I1661" i="16"/>
  <c r="I1871" i="16"/>
  <c r="I1662" i="16"/>
  <c r="I2151" i="16"/>
  <c r="I2237" i="16"/>
  <c r="I306" i="16"/>
  <c r="I2238" i="16"/>
  <c r="I1528" i="16"/>
  <c r="I2239" i="16"/>
  <c r="I2086" i="16"/>
  <c r="I2240" i="16"/>
  <c r="I2007" i="16"/>
  <c r="I1733" i="16"/>
  <c r="I1766" i="16"/>
  <c r="I2002" i="16"/>
  <c r="I2169" i="16"/>
  <c r="I1903" i="16"/>
  <c r="I1760" i="16"/>
  <c r="I1737" i="16"/>
  <c r="I1677" i="16"/>
  <c r="I2119" i="16"/>
  <c r="I2148" i="16"/>
  <c r="I2241" i="16"/>
  <c r="I2149" i="16"/>
  <c r="I2067" i="16"/>
  <c r="I1957" i="16"/>
  <c r="I2122" i="16"/>
  <c r="I1434" i="16"/>
  <c r="I2133" i="16"/>
  <c r="I2242" i="16"/>
  <c r="I1792" i="16"/>
  <c r="I2093" i="16"/>
  <c r="I1735" i="16"/>
  <c r="I1224" i="16"/>
  <c r="I1910" i="16"/>
  <c r="I1911" i="16"/>
  <c r="I2243" i="16"/>
  <c r="I2244" i="16"/>
  <c r="I2180" i="16"/>
  <c r="I2245" i="16"/>
  <c r="I2246" i="16"/>
  <c r="I2247" i="16"/>
  <c r="I1799" i="16"/>
  <c r="I2248" i="16"/>
  <c r="I2249" i="16"/>
  <c r="I1685" i="16"/>
  <c r="I1289" i="16"/>
  <c r="I1671" i="16"/>
  <c r="I2250" i="16"/>
  <c r="I2251" i="16"/>
  <c r="I2252" i="16"/>
  <c r="I2146" i="16"/>
  <c r="I2097" i="16"/>
  <c r="I2157" i="16"/>
  <c r="I1288" i="16"/>
  <c r="I636" i="16"/>
  <c r="I1797" i="16"/>
  <c r="I1675" i="16"/>
  <c r="I1939" i="16"/>
  <c r="I1104" i="16"/>
  <c r="I2127" i="16"/>
  <c r="I1517" i="16"/>
  <c r="I1287" i="16"/>
  <c r="I1209" i="16"/>
  <c r="I120" i="16"/>
  <c r="I1336" i="16"/>
  <c r="I1380" i="16"/>
  <c r="I2089" i="16"/>
  <c r="I408" i="16"/>
  <c r="I189" i="16"/>
  <c r="I1759" i="16"/>
  <c r="I1089" i="16"/>
  <c r="I979" i="16"/>
  <c r="I980" i="16"/>
  <c r="I1468" i="16"/>
  <c r="I1415" i="16"/>
  <c r="I1944" i="16"/>
  <c r="I1461" i="16"/>
  <c r="I1462" i="16"/>
  <c r="I2253" i="16"/>
  <c r="I1031" i="16"/>
  <c r="I480" i="16"/>
  <c r="I481" i="16"/>
  <c r="I482" i="16"/>
  <c r="I483" i="16"/>
  <c r="I507" i="16"/>
  <c r="I508" i="16"/>
  <c r="I2254" i="16"/>
  <c r="I2255" i="16"/>
  <c r="I1618" i="16"/>
  <c r="I1421" i="16"/>
  <c r="I1516" i="16"/>
  <c r="I1249" i="16"/>
  <c r="I1250" i="16"/>
  <c r="I372" i="16"/>
  <c r="I373" i="16"/>
  <c r="I1930" i="16"/>
  <c r="I1389" i="16"/>
  <c r="I746" i="16"/>
  <c r="I438" i="16"/>
  <c r="I1889" i="16"/>
  <c r="I307" i="16"/>
  <c r="I1369" i="16"/>
  <c r="I2256" i="16"/>
  <c r="I915" i="16"/>
  <c r="I2257" i="16"/>
  <c r="I2258" i="16"/>
  <c r="I2158" i="16"/>
  <c r="I637" i="16"/>
  <c r="I2128" i="16"/>
  <c r="I2259" i="16"/>
  <c r="I2260" i="16"/>
  <c r="I2261" i="16"/>
  <c r="I2134" i="16"/>
  <c r="I728" i="16"/>
  <c r="I2170" i="16"/>
  <c r="I880" i="16"/>
  <c r="I1466" i="16"/>
  <c r="I1843" i="16"/>
  <c r="I2262" i="16"/>
  <c r="I86" i="16"/>
  <c r="I2083" i="16"/>
  <c r="I1719" i="16"/>
  <c r="I2263" i="16"/>
  <c r="I1458" i="16"/>
  <c r="I866" i="16"/>
  <c r="I2076" i="16"/>
  <c r="I2123" i="16"/>
  <c r="I405" i="16"/>
  <c r="I864" i="16"/>
  <c r="I1653" i="16"/>
  <c r="I1164" i="16"/>
  <c r="I742" i="16"/>
  <c r="I1290" i="16"/>
  <c r="I778" i="16"/>
  <c r="I744" i="16"/>
  <c r="I897" i="16"/>
  <c r="I2264" i="16"/>
  <c r="I2265" i="16"/>
  <c r="I158" i="16"/>
  <c r="I159" i="16"/>
  <c r="I1942" i="16"/>
  <c r="I297" i="16"/>
  <c r="I841" i="16"/>
  <c r="I1858" i="16"/>
  <c r="I638" i="16"/>
  <c r="I2132" i="16"/>
  <c r="I1598" i="16"/>
  <c r="I1798" i="16"/>
  <c r="I1882" i="16"/>
  <c r="I424" i="16"/>
  <c r="I425" i="16"/>
  <c r="I9" i="16"/>
  <c r="I1052" i="16"/>
  <c r="I2162" i="16"/>
  <c r="I2082" i="16"/>
  <c r="I2150" i="16"/>
  <c r="I2094" i="16"/>
  <c r="I1837" i="16"/>
  <c r="I256" i="16"/>
  <c r="I1331" i="16"/>
  <c r="I1660" i="16"/>
  <c r="I364" i="16"/>
  <c r="I954" i="16"/>
  <c r="I2013" i="16"/>
  <c r="I2266" i="16"/>
  <c r="I1755" i="16"/>
  <c r="I558" i="16"/>
  <c r="I448" i="16"/>
  <c r="I860" i="16"/>
  <c r="I1854" i="16"/>
  <c r="I137" i="16"/>
  <c r="I192" i="16"/>
  <c r="I561" i="16"/>
  <c r="I743" i="16"/>
  <c r="I814" i="16"/>
  <c r="I815" i="16"/>
  <c r="I2267" i="16"/>
  <c r="I2120" i="16"/>
  <c r="I914" i="16"/>
  <c r="I346" i="16"/>
  <c r="I443" i="16"/>
  <c r="I444" i="16"/>
  <c r="I260" i="16"/>
  <c r="I445" i="16"/>
  <c r="I446" i="16"/>
  <c r="I293" i="16"/>
  <c r="I1674" i="16"/>
  <c r="I1682" i="16"/>
  <c r="I1683" i="16"/>
  <c r="I2126" i="16"/>
  <c r="I2268" i="16"/>
  <c r="I1964" i="16"/>
  <c r="I792" i="16"/>
  <c r="I793" i="16"/>
  <c r="I1547" i="16"/>
  <c r="I2269" i="16"/>
  <c r="I1686" i="16"/>
  <c r="I1687" i="16"/>
  <c r="I1688" i="16"/>
  <c r="I2270" i="16"/>
  <c r="I2102" i="16"/>
  <c r="I2271" i="16"/>
  <c r="I2272" i="16"/>
  <c r="I1655" i="16"/>
  <c r="I732" i="16"/>
  <c r="I1678" i="16"/>
  <c r="I973" i="16"/>
  <c r="I974" i="16"/>
  <c r="I1622" i="16"/>
  <c r="I1084" i="16"/>
  <c r="I2273" i="16"/>
  <c r="I1196" i="16"/>
  <c r="I2087" i="16"/>
  <c r="I1533" i="16"/>
  <c r="I2274" i="16"/>
  <c r="I1885" i="16"/>
  <c r="I2275" i="16"/>
  <c r="I1483" i="16"/>
  <c r="I1914" i="16"/>
  <c r="I292" i="16"/>
  <c r="I1448" i="16"/>
  <c r="I2276" i="16"/>
  <c r="I2277" i="16"/>
  <c r="I1689" i="16"/>
  <c r="I2278" i="16"/>
  <c r="I1335" i="16"/>
  <c r="I534" i="16"/>
  <c r="I535" i="16"/>
  <c r="I536" i="16"/>
  <c r="I537" i="16"/>
  <c r="I538" i="16"/>
  <c r="I539" i="16"/>
  <c r="I1943" i="16"/>
  <c r="I1333" i="16"/>
  <c r="I409" i="16"/>
  <c r="I410" i="16"/>
  <c r="I411" i="16"/>
  <c r="I412" i="16"/>
  <c r="I413" i="16"/>
  <c r="I414" i="16"/>
  <c r="I415" i="16"/>
  <c r="I416" i="16"/>
  <c r="I417" i="16"/>
  <c r="I418" i="16"/>
  <c r="I877" i="16"/>
  <c r="I807" i="16"/>
  <c r="I1690" i="16"/>
  <c r="I1652" i="16"/>
  <c r="I2154" i="16"/>
  <c r="I1691" i="16"/>
  <c r="I2003" i="16"/>
  <c r="I1658" i="16"/>
  <c r="I2279" i="16"/>
  <c r="I2280" i="16"/>
  <c r="I1927" i="16"/>
  <c r="I1684" i="16"/>
  <c r="I2281" i="16"/>
  <c r="I1692" i="16"/>
  <c r="I1820" i="16"/>
  <c r="I2282" i="16"/>
  <c r="I2283" i="16"/>
  <c r="I164" i="16"/>
  <c r="I165" i="16"/>
  <c r="I166" i="16"/>
  <c r="I167" i="16"/>
  <c r="I401" i="16"/>
  <c r="I402" i="16"/>
  <c r="I403" i="16"/>
  <c r="I2072" i="16"/>
  <c r="I2284" i="16"/>
  <c r="I1913" i="16"/>
  <c r="I222" i="16"/>
  <c r="I30" i="16"/>
  <c r="I101" i="16"/>
  <c r="I102" i="16"/>
  <c r="I103" i="16"/>
  <c r="I114" i="16"/>
  <c r="I115" i="16"/>
  <c r="I2066" i="16"/>
  <c r="I2018" i="16"/>
  <c r="I356" i="16"/>
  <c r="I116" i="16"/>
  <c r="I107" i="16"/>
  <c r="I108" i="16"/>
  <c r="I1626" i="16"/>
  <c r="I109" i="16"/>
  <c r="I251" i="16"/>
  <c r="I252" i="16"/>
  <c r="I253" i="16"/>
  <c r="I2285" i="16"/>
  <c r="I254" i="16"/>
  <c r="I255" i="16"/>
  <c r="I1762" i="16"/>
  <c r="I1763" i="16"/>
  <c r="I1764" i="16"/>
  <c r="I447" i="16"/>
  <c r="I540" i="16"/>
  <c r="I541" i="16"/>
  <c r="I882" i="16"/>
  <c r="I978" i="16"/>
  <c r="I1693" i="16"/>
  <c r="I1694" i="16"/>
  <c r="I404" i="16"/>
  <c r="I1616" i="16"/>
  <c r="I340" i="16"/>
  <c r="I341" i="16"/>
  <c r="I2286" i="16"/>
  <c r="I2287" i="16"/>
  <c r="I1919" i="16"/>
  <c r="I333" i="16"/>
  <c r="I1848" i="16"/>
  <c r="I2288" i="16"/>
  <c r="I2289" i="16"/>
  <c r="I2290" i="16"/>
  <c r="I2091" i="16"/>
  <c r="I2121" i="16"/>
  <c r="I1664" i="16"/>
  <c r="I1969" i="16"/>
  <c r="I2032" i="16"/>
  <c r="I2159" i="16"/>
  <c r="I1713" i="16"/>
  <c r="I1343" i="16"/>
  <c r="I2038" i="16"/>
  <c r="I1970" i="16"/>
  <c r="I1354" i="16"/>
  <c r="I2039" i="16"/>
  <c r="I1706" i="16"/>
  <c r="I1672" i="16"/>
  <c r="I1554" i="16"/>
  <c r="I1695" i="16"/>
  <c r="I1374" i="16"/>
  <c r="I1631" i="16"/>
  <c r="I1372" i="16"/>
  <c r="I1665" i="16"/>
  <c r="I1666" i="16"/>
  <c r="I1635" i="16"/>
  <c r="I1895" i="16"/>
  <c r="I1307" i="16"/>
  <c r="I873" i="16"/>
  <c r="I1936" i="16"/>
  <c r="I1225" i="16"/>
  <c r="I1624" i="16"/>
  <c r="I1775" i="16"/>
  <c r="I1549" i="16"/>
  <c r="I986" i="16"/>
  <c r="I956" i="16"/>
  <c r="I1621" i="16"/>
  <c r="I1776" i="16"/>
  <c r="I1860" i="16"/>
  <c r="I987" i="16"/>
  <c r="I988" i="16"/>
  <c r="I989" i="16"/>
  <c r="I957" i="16"/>
  <c r="I958" i="16"/>
  <c r="I959" i="16"/>
  <c r="I2291" i="16"/>
  <c r="I2292" i="16"/>
  <c r="I2040" i="16"/>
  <c r="I2041" i="16"/>
  <c r="I2042" i="16"/>
  <c r="I2293" i="16"/>
  <c r="I2171" i="16"/>
  <c r="I2043" i="16"/>
  <c r="I1696" i="16"/>
  <c r="I1623" i="16"/>
  <c r="I1849" i="16"/>
  <c r="I1979" i="16"/>
  <c r="I1412" i="16"/>
  <c r="I1742" i="16"/>
  <c r="I1410" i="16"/>
  <c r="I1237" i="16"/>
  <c r="I1238" i="16"/>
  <c r="I1269" i="16"/>
  <c r="I1264" i="16"/>
  <c r="I1255" i="16"/>
  <c r="I1793" i="16"/>
  <c r="I1794" i="16"/>
  <c r="I2294" i="16"/>
  <c r="I1546" i="16"/>
  <c r="I1375" i="16"/>
  <c r="I2295" i="16"/>
  <c r="I1697" i="16"/>
  <c r="I1698" i="16"/>
  <c r="I1636" i="16"/>
  <c r="I1641" i="16"/>
  <c r="I1667" i="16"/>
  <c r="I1778" i="16"/>
  <c r="I1985" i="16"/>
  <c r="I1323" i="16"/>
  <c r="I1988" i="16"/>
  <c r="I1821" i="16"/>
  <c r="I1265" i="16"/>
  <c r="I994" i="16"/>
  <c r="I823" i="16"/>
  <c r="I1132" i="16"/>
  <c r="I1381" i="16"/>
  <c r="I1592" i="16"/>
  <c r="I1217" i="16"/>
  <c r="I1189" i="16"/>
  <c r="I2044" i="16"/>
  <c r="I1465" i="16"/>
  <c r="I2045" i="16"/>
  <c r="I1663" i="16"/>
  <c r="I1259" i="16"/>
  <c r="I1492" i="16"/>
  <c r="I983" i="16"/>
  <c r="I1455" i="16"/>
  <c r="I960" i="16"/>
  <c r="I1811" i="16"/>
  <c r="I2296" i="16"/>
  <c r="I2046" i="16"/>
  <c r="I2047" i="16"/>
  <c r="I2297" i="16"/>
  <c r="I2298" i="16"/>
  <c r="I1726" i="16"/>
  <c r="I1935" i="16"/>
  <c r="I2299" i="16"/>
  <c r="I1729" i="16"/>
  <c r="I218" i="16"/>
  <c r="I1971" i="16"/>
  <c r="I1972" i="16"/>
  <c r="I2179" i="16"/>
  <c r="I1329" i="16"/>
  <c r="I380" i="16"/>
  <c r="I381" i="16"/>
  <c r="I2048" i="16"/>
  <c r="I2300" i="16"/>
  <c r="I2144" i="16"/>
  <c r="I1906" i="16"/>
  <c r="I2153" i="16"/>
  <c r="I219" i="16"/>
  <c r="I220" i="16"/>
  <c r="I1423" i="16"/>
  <c r="I1637" i="16"/>
  <c r="I2049" i="16"/>
  <c r="I2027" i="16"/>
  <c r="I1959" i="16"/>
  <c r="I2014" i="16"/>
  <c r="I1958" i="16"/>
  <c r="I1947" i="16"/>
  <c r="I1973" i="16"/>
  <c r="I2050" i="16"/>
  <c r="I41" i="16"/>
  <c r="I42" i="16"/>
  <c r="I43" i="16"/>
  <c r="I2301" i="16"/>
  <c r="I44" i="16"/>
  <c r="I2165" i="16"/>
  <c r="I2034" i="16"/>
  <c r="I2302" i="16"/>
  <c r="I1515" i="16"/>
  <c r="I2116" i="16"/>
  <c r="I1834" i="16"/>
  <c r="I1322" i="16"/>
  <c r="I1961" i="16"/>
  <c r="I1907" i="16"/>
  <c r="I2051" i="16"/>
  <c r="I1424" i="16"/>
  <c r="I2303" i="16"/>
  <c r="I1909" i="16"/>
  <c r="I1330" i="16"/>
  <c r="I2033" i="16"/>
  <c r="I67" i="16"/>
  <c r="I68" i="16"/>
  <c r="I1791" i="16"/>
  <c r="I2052" i="16"/>
  <c r="I1456" i="16"/>
  <c r="I1594" i="16"/>
  <c r="I69" i="16"/>
  <c r="I382" i="16"/>
  <c r="I85" i="16"/>
  <c r="I2304" i="16"/>
  <c r="I70" i="16"/>
  <c r="I669" i="16"/>
  <c r="I1703" i="16"/>
  <c r="I617" i="16"/>
  <c r="I580" i="16"/>
  <c r="I618" i="16"/>
  <c r="I619" i="16"/>
  <c r="I620" i="16"/>
  <c r="I621" i="16"/>
  <c r="I622" i="16"/>
  <c r="I1563" i="16"/>
  <c r="I676" i="16"/>
  <c r="I670" i="16"/>
  <c r="I828" i="16"/>
  <c r="I829" i="16"/>
  <c r="I830" i="16"/>
  <c r="I244" i="16"/>
  <c r="I245" i="16"/>
  <c r="I1777" i="16"/>
  <c r="I1700" i="16"/>
  <c r="I1548" i="16"/>
  <c r="I844" i="16"/>
  <c r="I845" i="16"/>
  <c r="I1166" i="16"/>
  <c r="I2053" i="16"/>
  <c r="I2305" i="16"/>
  <c r="I377" i="16"/>
  <c r="I378" i="16"/>
  <c r="I379" i="16"/>
  <c r="I229" i="16"/>
  <c r="I230" i="16"/>
  <c r="I231" i="16"/>
  <c r="I1795" i="16"/>
  <c r="I1891" i="16"/>
  <c r="I1923" i="16"/>
  <c r="I2054" i="16"/>
  <c r="I2306" i="16"/>
  <c r="I1839" i="16"/>
  <c r="I1945" i="16"/>
  <c r="I1974" i="16"/>
  <c r="I1835" i="16"/>
  <c r="I1085" i="16"/>
  <c r="I1086" i="16"/>
  <c r="I1422" i="16"/>
  <c r="I1145" i="16"/>
  <c r="I1057" i="16"/>
  <c r="I1584" i="16"/>
  <c r="I1773" i="16"/>
  <c r="I1789" i="16"/>
  <c r="I1883" i="16"/>
  <c r="I1058" i="16"/>
  <c r="I1119" i="16"/>
  <c r="I1840" i="16"/>
  <c r="I846" i="16"/>
  <c r="I1254" i="16"/>
  <c r="I322" i="16"/>
  <c r="I2036" i="16"/>
  <c r="I2037" i="16"/>
  <c r="I1527" i="16"/>
  <c r="I1975" i="16"/>
  <c r="I1984" i="16"/>
  <c r="I1220" i="16"/>
  <c r="I1894" i="16"/>
  <c r="I1634" i="16"/>
  <c r="I2307" i="16"/>
  <c r="I2173" i="16"/>
  <c r="I1929" i="16"/>
  <c r="I2166" i="16"/>
  <c r="I2023" i="16"/>
  <c r="I1926" i="16"/>
  <c r="I1836" i="16"/>
  <c r="I1334" i="16"/>
  <c r="I2308" i="16"/>
  <c r="I1976" i="16"/>
  <c r="I1908" i="16"/>
  <c r="I1781" i="16"/>
  <c r="I2000" i="16"/>
  <c r="I2129" i="16"/>
  <c r="I1657" i="16"/>
  <c r="I1829" i="16"/>
  <c r="I1955" i="16"/>
  <c r="I2035" i="16"/>
  <c r="I1977" i="16"/>
  <c r="I2309" i="16"/>
  <c r="I2310" i="16"/>
  <c r="I2031" i="16"/>
  <c r="I2055" i="16"/>
  <c r="I2030" i="16"/>
  <c r="I1968" i="16"/>
  <c r="I2311" i="16"/>
  <c r="I1952" i="16"/>
  <c r="I2312" i="16"/>
  <c r="I2313" i="16"/>
  <c r="I2314" i="16"/>
  <c r="I1869" i="16"/>
  <c r="I1953" i="16"/>
  <c r="I1892" i="16"/>
  <c r="I1831" i="16"/>
  <c r="I1866" i="16"/>
  <c r="I2315" i="16"/>
  <c r="I2026" i="16"/>
  <c r="I1668" i="16"/>
  <c r="I2131" i="16"/>
  <c r="I1745" i="16"/>
  <c r="I2316" i="16"/>
  <c r="I2317" i="16"/>
  <c r="I2056" i="16"/>
  <c r="I2318" i="16"/>
  <c r="I2319" i="16"/>
  <c r="I2118" i="16"/>
  <c r="I1951" i="16"/>
  <c r="I1252" i="16"/>
  <c r="I217" i="16"/>
  <c r="I369" i="16"/>
  <c r="I138" i="16"/>
  <c r="I898" i="16"/>
  <c r="I1383" i="16"/>
  <c r="I1384" i="16"/>
  <c r="I1506" i="16"/>
  <c r="I262" i="16"/>
  <c r="I1426" i="16"/>
  <c r="I139" i="16"/>
  <c r="I657" i="16"/>
  <c r="I710" i="16"/>
  <c r="I1928" i="16"/>
  <c r="I1867" i="16"/>
  <c r="I1425" i="16"/>
  <c r="I1400" i="16"/>
  <c r="I1710" i="16"/>
  <c r="I2025" i="16"/>
  <c r="I1543" i="16"/>
  <c r="I1578" i="16"/>
  <c r="I1648" i="16"/>
  <c r="I1980" i="16"/>
  <c r="I2075" i="16"/>
  <c r="I2320" i="16"/>
  <c r="I2321" i="16"/>
  <c r="I1460" i="16"/>
  <c r="I2113" i="16"/>
  <c r="I1524" i="16"/>
  <c r="I2322" i="16"/>
  <c r="I2174" i="16"/>
  <c r="I1938" i="16"/>
  <c r="I1899" i="16"/>
  <c r="I2323" i="16"/>
  <c r="I2130" i="16"/>
  <c r="I711" i="16"/>
  <c r="I2145" i="16"/>
  <c r="I1922" i="16"/>
  <c r="I1489" i="16"/>
  <c r="I2176" i="16"/>
  <c r="I1593" i="16"/>
  <c r="I1963" i="16"/>
  <c r="I883" i="16"/>
  <c r="I2029" i="16"/>
  <c r="I1898" i="16"/>
  <c r="I10" i="16"/>
  <c r="I11" i="16"/>
  <c r="I12" i="16"/>
  <c r="I13" i="16"/>
  <c r="I14" i="16"/>
  <c r="I1965" i="16"/>
  <c r="I750" i="16"/>
  <c r="I15" i="16"/>
  <c r="I971" i="16"/>
  <c r="I1395" i="16"/>
  <c r="I1232" i="16"/>
  <c r="I760" i="16"/>
  <c r="I206" i="16"/>
  <c r="I663" i="16"/>
  <c r="I237" i="16"/>
  <c r="I111" i="16"/>
  <c r="I383" i="16"/>
  <c r="I311" i="16"/>
  <c r="I57" i="16"/>
  <c r="I110" i="16"/>
  <c r="I1629" i="16"/>
  <c r="I714" i="16"/>
  <c r="I1150" i="16"/>
  <c r="I323" i="16"/>
  <c r="I430" i="16"/>
  <c r="I339" i="16"/>
  <c r="I757" i="16"/>
  <c r="I374" i="16"/>
  <c r="I74" i="16"/>
  <c r="I106" i="16"/>
  <c r="I2016" i="16"/>
  <c r="I1905" i="16"/>
  <c r="I2324" i="16"/>
  <c r="I1774" i="16"/>
  <c r="I1274" i="16"/>
  <c r="I1948" i="16"/>
  <c r="I1838" i="16"/>
  <c r="I1865" i="16"/>
  <c r="I1761" i="16"/>
  <c r="I2111" i="16"/>
  <c r="I1744" i="16"/>
  <c r="I2090" i="16"/>
  <c r="I2325" i="16"/>
  <c r="I1510" i="16"/>
  <c r="I1557" i="16"/>
  <c r="I1363" i="16"/>
  <c r="I1705" i="16"/>
  <c r="I2020" i="16"/>
  <c r="I2021" i="16"/>
  <c r="I1801" i="16"/>
  <c r="I1782" i="16"/>
  <c r="I2326" i="16"/>
  <c r="I2017" i="16"/>
  <c r="I1978" i="16"/>
  <c r="I1844" i="16"/>
  <c r="I2092" i="16"/>
  <c r="I2117" i="16"/>
  <c r="I2327" i="16"/>
  <c r="I1872" i="16"/>
  <c r="I2328" i="16"/>
  <c r="I2329" i="16"/>
  <c r="I2330" i="16"/>
  <c r="I2331" i="16"/>
  <c r="I1855" i="16"/>
  <c r="I1877" i="16"/>
  <c r="I1337" i="16"/>
  <c r="I754" i="16"/>
  <c r="I1501" i="16"/>
  <c r="I2098" i="16"/>
  <c r="I831" i="16"/>
  <c r="I1611" i="16"/>
  <c r="I1582" i="16"/>
  <c r="I1558" i="16"/>
  <c r="I1246" i="16"/>
  <c r="I1106" i="16"/>
  <c r="I794" i="16"/>
  <c r="I1734" i="16"/>
  <c r="I1796" i="16"/>
  <c r="I1529" i="16"/>
  <c r="I1390" i="16"/>
  <c r="I1822" i="16"/>
  <c r="I952" i="16"/>
  <c r="I1213" i="16"/>
  <c r="I1444" i="16"/>
  <c r="I1545" i="16"/>
  <c r="I2332" i="16"/>
  <c r="I2333" i="16"/>
  <c r="I2334" i="16"/>
  <c r="I2335" i="16"/>
  <c r="I2336" i="16"/>
  <c r="I2337" i="16"/>
  <c r="I2338" i="16"/>
  <c r="I2339" i="16"/>
  <c r="I2340" i="16"/>
  <c r="I2341" i="16"/>
  <c r="I1229" i="16"/>
  <c r="I1147" i="16"/>
  <c r="I1490" i="16"/>
  <c r="I1114" i="16"/>
  <c r="I2095" i="16"/>
  <c r="I1681" i="16"/>
  <c r="I1832" i="16"/>
  <c r="I1241" i="16"/>
  <c r="I1881" i="16"/>
  <c r="I1847" i="16"/>
  <c r="I755" i="16"/>
  <c r="I1216" i="16"/>
  <c r="I721" i="16"/>
  <c r="I1495" i="16"/>
  <c r="I1804" i="16"/>
  <c r="I351" i="16"/>
  <c r="I489" i="16"/>
  <c r="I289" i="16"/>
  <c r="I290" i="16"/>
  <c r="I1214" i="16"/>
  <c r="I1721" i="16"/>
  <c r="I126" i="16"/>
  <c r="I376" i="16"/>
  <c r="I1488" i="16"/>
  <c r="I1712" i="16"/>
  <c r="I1056" i="16"/>
  <c r="I1580" i="16"/>
  <c r="I1097" i="16"/>
  <c r="I937" i="16"/>
  <c r="I1040" i="16"/>
  <c r="I1154" i="16"/>
  <c r="I1539" i="16"/>
  <c r="I1880" i="16"/>
  <c r="I291" i="16"/>
  <c r="L924" i="16"/>
  <c r="L925" i="16"/>
  <c r="L1204" i="16"/>
  <c r="L1205" i="16"/>
  <c r="L1206" i="16"/>
  <c r="L1436" i="16"/>
  <c r="L1437" i="16"/>
  <c r="L1470" i="16"/>
  <c r="L902" i="16"/>
  <c r="L903" i="16"/>
  <c r="L904" i="16"/>
  <c r="L926" i="16"/>
  <c r="L927" i="16"/>
  <c r="L928" i="16"/>
  <c r="L1015" i="16"/>
  <c r="L1016" i="16"/>
  <c r="L1017" i="16"/>
  <c r="L1018" i="16"/>
  <c r="L1019" i="16"/>
  <c r="L1020" i="16"/>
  <c r="L1402" i="16"/>
  <c r="L1550" i="16"/>
  <c r="L1551" i="16"/>
  <c r="L933" i="16"/>
  <c r="L847" i="16"/>
  <c r="L1110" i="16"/>
  <c r="L1111" i="16"/>
  <c r="L1112" i="16"/>
  <c r="L1021" i="16"/>
  <c r="L1022" i="16"/>
  <c r="L1471" i="16"/>
  <c r="L1207" i="16"/>
  <c r="L1427" i="16"/>
  <c r="L1428" i="16"/>
  <c r="L1403" i="16"/>
  <c r="L1404" i="16"/>
  <c r="L1023" i="16"/>
  <c r="L878" i="16"/>
  <c r="L2060" i="16"/>
  <c r="L1091" i="16"/>
  <c r="L1353" i="16"/>
  <c r="L455" i="16"/>
  <c r="L1069" i="16"/>
  <c r="L998" i="16"/>
  <c r="L1223" i="16"/>
  <c r="L1203" i="16"/>
  <c r="L456" i="16"/>
  <c r="L658" i="16"/>
  <c r="L133" i="16"/>
  <c r="L261" i="16"/>
  <c r="L470" i="16"/>
  <c r="L81" i="16"/>
  <c r="L543" i="16"/>
  <c r="L544" i="16"/>
  <c r="L520" i="16"/>
  <c r="L521" i="16"/>
  <c r="L1990" i="16"/>
  <c r="L1991" i="16"/>
  <c r="L879" i="16"/>
  <c r="L606" i="16"/>
  <c r="L525" i="16"/>
  <c r="L526" i="16"/>
  <c r="L907" i="16"/>
  <c r="L908" i="16"/>
  <c r="L497" i="16"/>
  <c r="L694" i="16"/>
  <c r="L1544" i="16"/>
  <c r="L2096" i="16"/>
  <c r="L735" i="16"/>
  <c r="L736" i="16"/>
  <c r="L392" i="16"/>
  <c r="L1443" i="16"/>
  <c r="L1047" i="16"/>
  <c r="L824" i="16"/>
  <c r="L1809" i="16"/>
  <c r="L1823" i="16"/>
  <c r="L1824" i="16"/>
  <c r="L440" i="16"/>
  <c r="L1989" i="16"/>
  <c r="L787" i="16"/>
  <c r="L899" i="16"/>
  <c r="L900" i="16"/>
  <c r="L1612" i="16"/>
  <c r="L1613" i="16"/>
  <c r="L393" i="16"/>
  <c r="L2063" i="16"/>
  <c r="L1048" i="16"/>
  <c r="L64" i="16"/>
  <c r="L65" i="16"/>
  <c r="L47" i="16"/>
  <c r="L48" i="16"/>
  <c r="L698" i="16"/>
  <c r="L607" i="16"/>
  <c r="L49" i="16"/>
  <c r="L687" i="16"/>
  <c r="L66" i="16"/>
  <c r="L175" i="16"/>
  <c r="L176" i="16"/>
  <c r="L848" i="16"/>
  <c r="L784" i="16"/>
  <c r="L397" i="16"/>
  <c r="L308" i="16"/>
  <c r="L177" i="16"/>
  <c r="L178" i="16"/>
  <c r="L513" i="16"/>
  <c r="L406" i="16"/>
  <c r="L955" i="16"/>
  <c r="L948" i="16"/>
  <c r="L179" i="16"/>
  <c r="L180" i="16"/>
  <c r="L181" i="16"/>
  <c r="L785" i="16"/>
  <c r="L1387" i="16"/>
  <c r="L336" i="16"/>
  <c r="L641" i="16"/>
  <c r="L1266" i="16"/>
  <c r="L1024" i="16"/>
  <c r="L833" i="16"/>
  <c r="L653" i="16"/>
  <c r="L384" i="16"/>
  <c r="L1497" i="16"/>
  <c r="L263" i="16"/>
  <c r="L264" i="16"/>
  <c r="L834" i="16"/>
  <c r="L278" i="16"/>
  <c r="L226" i="16"/>
  <c r="L1025" i="16"/>
  <c r="L688" i="16"/>
  <c r="L58" i="16"/>
  <c r="L144" i="16"/>
  <c r="L1451" i="16"/>
  <c r="L1452" i="16"/>
  <c r="L435" i="16"/>
  <c r="L835" i="16"/>
  <c r="L187" i="16"/>
  <c r="L934" i="16"/>
  <c r="L145" i="16"/>
  <c r="L1502" i="16"/>
  <c r="L1619" i="16"/>
  <c r="L1385" i="16"/>
  <c r="L1233" i="16"/>
  <c r="L169" i="16"/>
  <c r="L836" i="16"/>
  <c r="L837" i="16"/>
  <c r="L984" i="16"/>
  <c r="L1565" i="16"/>
  <c r="L758" i="16"/>
  <c r="L146" i="16"/>
  <c r="L1405" i="16"/>
  <c r="L2189" i="16"/>
  <c r="L170" i="16"/>
  <c r="L700" i="16"/>
  <c r="L701" i="16"/>
  <c r="L127" i="16"/>
  <c r="L981" i="16"/>
  <c r="L183" i="16"/>
  <c r="L184" i="16"/>
  <c r="L2161" i="16"/>
  <c r="L2069" i="16"/>
  <c r="L2156" i="16"/>
  <c r="L2084" i="16"/>
  <c r="L842" i="16"/>
  <c r="L210" i="16"/>
  <c r="L1994" i="16"/>
  <c r="L1079" i="16"/>
  <c r="L1453" i="16"/>
  <c r="L1454" i="16"/>
  <c r="L185" i="16"/>
  <c r="L186" i="16"/>
  <c r="L1457" i="16"/>
  <c r="L151" i="16"/>
  <c r="L283" i="16"/>
  <c r="L1464" i="16"/>
  <c r="L2177" i="16"/>
  <c r="L1388" i="16"/>
  <c r="L337" i="16"/>
  <c r="L642" i="16"/>
  <c r="L227" i="16"/>
  <c r="L1267" i="16"/>
  <c r="L1026" i="16"/>
  <c r="L689" i="16"/>
  <c r="L436" i="16"/>
  <c r="L188" i="16"/>
  <c r="L935" i="16"/>
  <c r="L1503" i="16"/>
  <c r="L1620" i="16"/>
  <c r="L1386" i="16"/>
  <c r="L1234" i="16"/>
  <c r="L171" i="16"/>
  <c r="L1566" i="16"/>
  <c r="L759" i="16"/>
  <c r="L1406" i="16"/>
  <c r="L1702" i="16"/>
  <c r="L1540" i="16"/>
  <c r="L2190" i="16"/>
  <c r="L1459" i="16"/>
  <c r="L859" i="16"/>
  <c r="L1043" i="16"/>
  <c r="L905" i="16"/>
  <c r="L1088" i="16"/>
  <c r="L1211" i="16"/>
  <c r="L419" i="16"/>
  <c r="L1780" i="16"/>
  <c r="L294" i="16"/>
  <c r="L59" i="16"/>
  <c r="L2191" i="16"/>
  <c r="L1932" i="16"/>
  <c r="L2192" i="16"/>
  <c r="L1339" i="16"/>
  <c r="L1071" i="16"/>
  <c r="L1649" i="16"/>
  <c r="L490" i="16"/>
  <c r="L1072" i="16"/>
  <c r="L491" i="16"/>
  <c r="L1983" i="16"/>
  <c r="L1604" i="16"/>
  <c r="L1218" i="16"/>
  <c r="L1073" i="16"/>
  <c r="L492" i="16"/>
  <c r="L469" i="16"/>
  <c r="L1212" i="16"/>
  <c r="L1800" i="16"/>
  <c r="L493" i="16"/>
  <c r="L1650" i="16"/>
  <c r="L1087" i="16"/>
  <c r="L992" i="16"/>
  <c r="L1074" i="16"/>
  <c r="L1772" i="16"/>
  <c r="L1532" i="16"/>
  <c r="L1070" i="16"/>
  <c r="L1002" i="16"/>
  <c r="L2085" i="16"/>
  <c r="L2193" i="16"/>
  <c r="L2108" i="16"/>
  <c r="L993" i="16"/>
  <c r="L1314" i="16"/>
  <c r="L1949" i="16"/>
  <c r="L881" i="16"/>
  <c r="L2178" i="16"/>
  <c r="L2194" i="16"/>
  <c r="L965" i="16"/>
  <c r="L822" i="16"/>
  <c r="L2008" i="16"/>
  <c r="L1996" i="16"/>
  <c r="L1553" i="16"/>
  <c r="L1868" i="16"/>
  <c r="L1210" i="16"/>
  <c r="L1476" i="16"/>
  <c r="L843" i="16"/>
  <c r="L1498" i="16"/>
  <c r="L1499" i="16"/>
  <c r="L1500" i="16"/>
  <c r="L1120" i="16"/>
  <c r="L1162" i="16"/>
  <c r="L791" i="16"/>
  <c r="L1884" i="16"/>
  <c r="L228" i="16"/>
  <c r="L225" i="16"/>
  <c r="L1163" i="16"/>
  <c r="L917" i="16"/>
  <c r="L1741" i="16"/>
  <c r="L918" i="16"/>
  <c r="L919" i="16"/>
  <c r="L1033" i="16"/>
  <c r="L966" i="16"/>
  <c r="L654" i="16"/>
  <c r="L1195" i="16"/>
  <c r="L407" i="16"/>
  <c r="L1507" i="16"/>
  <c r="L1508" i="16"/>
  <c r="L1585" i="16"/>
  <c r="L1586" i="16"/>
  <c r="L1467" i="16"/>
  <c r="L599" i="16"/>
  <c r="L600" i="16"/>
  <c r="L601" i="16"/>
  <c r="L602" i="16"/>
  <c r="L603" i="16"/>
  <c r="L604" i="16"/>
  <c r="L874" i="16"/>
  <c r="L875" i="16"/>
  <c r="L476" i="16"/>
  <c r="L1432" i="16"/>
  <c r="L623" i="16"/>
  <c r="L624" i="16"/>
  <c r="L625" i="16"/>
  <c r="L626" i="16"/>
  <c r="L1256" i="16"/>
  <c r="L1257" i="16"/>
  <c r="L119" i="16"/>
  <c r="L2065" i="16"/>
  <c r="L2195" i="16"/>
  <c r="L2196" i="16"/>
  <c r="L1736" i="16"/>
  <c r="L2078" i="16"/>
  <c r="L2197" i="16"/>
  <c r="L717" i="16"/>
  <c r="L246" i="16"/>
  <c r="L247" i="16"/>
  <c r="L37" i="16"/>
  <c r="L122" i="16"/>
  <c r="L2198" i="16"/>
  <c r="L2199" i="16"/>
  <c r="L2200" i="16"/>
  <c r="L51" i="16"/>
  <c r="L464" i="16"/>
  <c r="L465" i="16"/>
  <c r="L52" i="16"/>
  <c r="L53" i="16"/>
  <c r="L54" i="16"/>
  <c r="L1396" i="16"/>
  <c r="L1397" i="16"/>
  <c r="L38" i="16"/>
  <c r="L39" i="16"/>
  <c r="L40" i="16"/>
  <c r="L1324" i="16"/>
  <c r="L985" i="16"/>
  <c r="L1134" i="16"/>
  <c r="L1027" i="16"/>
  <c r="L2201" i="16"/>
  <c r="L662" i="16"/>
  <c r="L1469" i="16"/>
  <c r="L639" i="16"/>
  <c r="L394" i="16"/>
  <c r="L672" i="16"/>
  <c r="L649" i="16"/>
  <c r="L1826" i="16"/>
  <c r="L644" i="16"/>
  <c r="L193" i="16"/>
  <c r="L420" i="16"/>
  <c r="L2202" i="16"/>
  <c r="L1827" i="16"/>
  <c r="L194" i="16"/>
  <c r="L19" i="16"/>
  <c r="L1151" i="16"/>
  <c r="L195" i="16"/>
  <c r="L1152" i="16"/>
  <c r="L20" i="16"/>
  <c r="L196" i="16"/>
  <c r="L671" i="16"/>
  <c r="L197" i="16"/>
  <c r="L1408" i="16"/>
  <c r="L729" i="16"/>
  <c r="L1767" i="16"/>
  <c r="L730" i="16"/>
  <c r="L395" i="16"/>
  <c r="L21" i="16"/>
  <c r="L1748" i="16"/>
  <c r="L751" i="16"/>
  <c r="L645" i="16"/>
  <c r="L1768" i="16"/>
  <c r="L1749" i="16"/>
  <c r="L661" i="16"/>
  <c r="L198" i="16"/>
  <c r="L737" i="16"/>
  <c r="L650" i="16"/>
  <c r="L1904" i="16"/>
  <c r="L1878" i="16"/>
  <c r="L627" i="16"/>
  <c r="L646" i="16"/>
  <c r="L647" i="16"/>
  <c r="L22" i="16"/>
  <c r="L1769" i="16"/>
  <c r="L1169" i="16"/>
  <c r="L930" i="16"/>
  <c r="L673" i="16"/>
  <c r="L1170" i="16"/>
  <c r="L1171" i="16"/>
  <c r="L23" i="16"/>
  <c r="L738" i="16"/>
  <c r="L739" i="16"/>
  <c r="L2203" i="16"/>
  <c r="L1172" i="16"/>
  <c r="L355" i="16"/>
  <c r="L223" i="16"/>
  <c r="L428" i="16"/>
  <c r="L214" i="16"/>
  <c r="L463" i="16"/>
  <c r="L209" i="16"/>
  <c r="L18" i="16"/>
  <c r="L135" i="16"/>
  <c r="L117" i="16"/>
  <c r="L121" i="16"/>
  <c r="L50" i="16"/>
  <c r="L213" i="16"/>
  <c r="L1080" i="16"/>
  <c r="L152" i="16"/>
  <c r="L1417" i="16"/>
  <c r="L1008" i="16"/>
  <c r="L1126" i="16"/>
  <c r="L1583" i="16"/>
  <c r="L571" i="16"/>
  <c r="L190" i="16"/>
  <c r="L1131" i="16"/>
  <c r="L191" i="16"/>
  <c r="L128" i="16"/>
  <c r="L331" i="16"/>
  <c r="L1414" i="16"/>
  <c r="L202" i="16"/>
  <c r="L203" i="16"/>
  <c r="L204" i="16"/>
  <c r="L929" i="16"/>
  <c r="L1609" i="16"/>
  <c r="L2152" i="16"/>
  <c r="L1595" i="16"/>
  <c r="L1127" i="16"/>
  <c r="L1607" i="16"/>
  <c r="L1770" i="16"/>
  <c r="L334" i="16"/>
  <c r="L2062" i="16"/>
  <c r="L840" i="16"/>
  <c r="L2204" i="16"/>
  <c r="L752" i="16"/>
  <c r="L1173" i="16"/>
  <c r="L2205" i="16"/>
  <c r="L1597" i="16"/>
  <c r="L592" i="16"/>
  <c r="L134" i="16"/>
  <c r="L616" i="16"/>
  <c r="L2206" i="16"/>
  <c r="L916" i="16"/>
  <c r="L2207" i="16"/>
  <c r="L1398" i="16"/>
  <c r="L2099" i="16"/>
  <c r="L345" i="16"/>
  <c r="L681" i="16"/>
  <c r="L1413" i="16"/>
  <c r="L715" i="16"/>
  <c r="L1920" i="16"/>
  <c r="L628" i="16"/>
  <c r="L651" i="16"/>
  <c r="L731" i="16"/>
  <c r="L648" i="16"/>
  <c r="L281" i="16"/>
  <c r="L199" i="16"/>
  <c r="L1522" i="16"/>
  <c r="L1805" i="16"/>
  <c r="L466" i="16"/>
  <c r="L2208" i="16"/>
  <c r="L1215" i="16"/>
  <c r="L1819" i="16"/>
  <c r="L1656" i="16"/>
  <c r="L399" i="16"/>
  <c r="L1828" i="16"/>
  <c r="L1750" i="16"/>
  <c r="L1513" i="16"/>
  <c r="L972" i="16"/>
  <c r="L182" i="16"/>
  <c r="L1117" i="16"/>
  <c r="L1273" i="16"/>
  <c r="L1814" i="16"/>
  <c r="L1153" i="16"/>
  <c r="L1788" i="16"/>
  <c r="L1561" i="16"/>
  <c r="L740" i="16"/>
  <c r="L207" i="16"/>
  <c r="L1896" i="16"/>
  <c r="L718" i="16"/>
  <c r="L365" i="16"/>
  <c r="L821" i="16"/>
  <c r="L1373" i="16"/>
  <c r="L1802" i="16"/>
  <c r="L2209" i="16"/>
  <c r="L1845" i="16"/>
  <c r="L2210" i="16"/>
  <c r="L805" i="16"/>
  <c r="L442" i="16"/>
  <c r="L640" i="16"/>
  <c r="L1879" i="16"/>
  <c r="L1590" i="16"/>
  <c r="L825" i="16"/>
  <c r="L1673" i="16"/>
  <c r="L1371" i="16"/>
  <c r="L1564" i="16"/>
  <c r="L55" i="16"/>
  <c r="L24" i="16"/>
  <c r="L1409" i="16"/>
  <c r="L46" i="16"/>
  <c r="L1995" i="16"/>
  <c r="L1617" i="16"/>
  <c r="L1050" i="16"/>
  <c r="L976" i="16"/>
  <c r="L1332" i="16"/>
  <c r="L1531" i="16"/>
  <c r="L224" i="16"/>
  <c r="L26" i="16"/>
  <c r="L719" i="16"/>
  <c r="L552" i="16"/>
  <c r="L553" i="16"/>
  <c r="L554" i="16"/>
  <c r="L555" i="16"/>
  <c r="L2211" i="16"/>
  <c r="L1625" i="16"/>
  <c r="L574" i="16"/>
  <c r="L575" i="16"/>
  <c r="L576" i="16"/>
  <c r="L950" i="16"/>
  <c r="L75" i="16"/>
  <c r="L1370" i="16"/>
  <c r="L2212" i="16"/>
  <c r="L1379" i="16"/>
  <c r="L211" i="16"/>
  <c r="L522" i="16"/>
  <c r="L82" i="16"/>
  <c r="L733" i="16"/>
  <c r="L212" i="16"/>
  <c r="L168" i="16"/>
  <c r="L439" i="16"/>
  <c r="L208" i="16"/>
  <c r="L215" i="16"/>
  <c r="L2213" i="16"/>
  <c r="L2214" i="16"/>
  <c r="L2215" i="16"/>
  <c r="L1902" i="16"/>
  <c r="L951" i="16"/>
  <c r="L1161" i="16"/>
  <c r="L1591" i="16"/>
  <c r="L28" i="16"/>
  <c r="L1562" i="16"/>
  <c r="L238" i="16"/>
  <c r="L239" i="16"/>
  <c r="L240" i="16"/>
  <c r="L584" i="16"/>
  <c r="L585" i="16"/>
  <c r="L437" i="16"/>
  <c r="L83" i="16"/>
  <c r="L29" i="16"/>
  <c r="L73" i="16"/>
  <c r="L586" i="16"/>
  <c r="L595" i="16"/>
  <c r="L596" i="16"/>
  <c r="L467" i="16"/>
  <c r="L71" i="16"/>
  <c r="L45" i="16"/>
  <c r="L763" i="16"/>
  <c r="L764" i="16"/>
  <c r="L421" i="16"/>
  <c r="L633" i="16"/>
  <c r="L557" i="16"/>
  <c r="L338" i="16"/>
  <c r="L1201" i="16"/>
  <c r="L56" i="16"/>
  <c r="L16" i="16"/>
  <c r="L25" i="16"/>
  <c r="L429" i="16"/>
  <c r="L33" i="16"/>
  <c r="L1181" i="16"/>
  <c r="L1182" i="16"/>
  <c r="L1183" i="16"/>
  <c r="L36" i="16"/>
  <c r="L1491" i="16"/>
  <c r="L1133" i="16"/>
  <c r="L234" i="16"/>
  <c r="L471" i="16"/>
  <c r="L302" i="16"/>
  <c r="L303" i="16"/>
  <c r="L1628" i="16"/>
  <c r="L148" i="16"/>
  <c r="L1039" i="16"/>
  <c r="L72" i="16"/>
  <c r="L241" i="16"/>
  <c r="L242" i="16"/>
  <c r="L243" i="16"/>
  <c r="L1514" i="16"/>
  <c r="L1442" i="16"/>
  <c r="L472" i="16"/>
  <c r="L304" i="16"/>
  <c r="L753" i="16"/>
  <c r="L2216" i="16"/>
  <c r="L156" i="16"/>
  <c r="L157" i="16"/>
  <c r="L248" i="16"/>
  <c r="L1771" i="16"/>
  <c r="L123" i="16"/>
  <c r="L2217" i="16"/>
  <c r="L468" i="16"/>
  <c r="L1429" i="16"/>
  <c r="L249" i="16"/>
  <c r="L250" i="16"/>
  <c r="L1430" i="16"/>
  <c r="L2175" i="16"/>
  <c r="L1051" i="16"/>
  <c r="L1096" i="16"/>
  <c r="L949" i="16"/>
  <c r="L312" i="16"/>
  <c r="L1482" i="16"/>
  <c r="L313" i="16"/>
  <c r="L422" i="16"/>
  <c r="L314" i="16"/>
  <c r="L315" i="16"/>
  <c r="L316" i="16"/>
  <c r="L7" i="16"/>
  <c r="L8" i="16"/>
  <c r="L124" i="16"/>
  <c r="L1779" i="16"/>
  <c r="L423" i="16"/>
  <c r="L1277" i="16"/>
  <c r="L1818" i="16"/>
  <c r="L1049" i="16"/>
  <c r="L562" i="16"/>
  <c r="L1431" i="16"/>
  <c r="L741" i="16"/>
  <c r="L931" i="16"/>
  <c r="L396" i="16"/>
  <c r="L577" i="16"/>
  <c r="L578" i="16"/>
  <c r="L990" i="16"/>
  <c r="L1714" i="16"/>
  <c r="L1245" i="16"/>
  <c r="L2218" i="16"/>
  <c r="L352" i="16"/>
  <c r="L353" i="16"/>
  <c r="L354" i="16"/>
  <c r="L136" i="16"/>
  <c r="L125" i="16"/>
  <c r="L1382" i="16"/>
  <c r="L1633" i="16"/>
  <c r="L317" i="16"/>
  <c r="L2071" i="16"/>
  <c r="L855" i="16"/>
  <c r="L856" i="16"/>
  <c r="L857" i="16"/>
  <c r="L473" i="16"/>
  <c r="L797" i="16"/>
  <c r="L798" i="16"/>
  <c r="L799" i="16"/>
  <c r="L1174" i="16"/>
  <c r="L1175" i="16"/>
  <c r="L1176" i="16"/>
  <c r="L1806" i="16"/>
  <c r="L1807" i="16"/>
  <c r="L1034" i="16"/>
  <c r="L1035" i="16"/>
  <c r="L1036" i="16"/>
  <c r="L2080" i="16"/>
  <c r="L809" i="16"/>
  <c r="L810" i="16"/>
  <c r="L811" i="16"/>
  <c r="L1358" i="16"/>
  <c r="L1359" i="16"/>
  <c r="L87" i="16"/>
  <c r="L88" i="16"/>
  <c r="L514" i="16"/>
  <c r="L515" i="16"/>
  <c r="L516" i="16"/>
  <c r="L2009" i="16"/>
  <c r="L2010" i="16"/>
  <c r="L1003" i="16"/>
  <c r="L1004" i="16"/>
  <c r="L1005" i="16"/>
  <c r="L431" i="16"/>
  <c r="L432" i="16"/>
  <c r="L433" i="16"/>
  <c r="L1155" i="16"/>
  <c r="L1156" i="16"/>
  <c r="L1157" i="16"/>
  <c r="L683" i="16"/>
  <c r="L684" i="16"/>
  <c r="L685" i="16"/>
  <c r="L780" i="16"/>
  <c r="L781" i="16"/>
  <c r="L782" i="16"/>
  <c r="L706" i="16"/>
  <c r="L707" i="16"/>
  <c r="L708" i="16"/>
  <c r="L1041" i="16"/>
  <c r="L342" i="16"/>
  <c r="L343" i="16"/>
  <c r="L774" i="16"/>
  <c r="L775" i="16"/>
  <c r="L776" i="16"/>
  <c r="L911" i="16"/>
  <c r="L912" i="16"/>
  <c r="L388" i="16"/>
  <c r="L389" i="16"/>
  <c r="L390" i="16"/>
  <c r="L546" i="16"/>
  <c r="L547" i="16"/>
  <c r="L1752" i="16"/>
  <c r="L1753" i="16"/>
  <c r="L563" i="16"/>
  <c r="L564" i="16"/>
  <c r="L565" i="16"/>
  <c r="L566" i="16"/>
  <c r="L1638" i="16"/>
  <c r="L1639" i="16"/>
  <c r="L1060" i="16"/>
  <c r="L1061" i="16"/>
  <c r="L1062" i="16"/>
  <c r="L722" i="16"/>
  <c r="L723" i="16"/>
  <c r="L724" i="16"/>
  <c r="L677" i="16"/>
  <c r="L678" i="16"/>
  <c r="L140" i="16"/>
  <c r="L1916" i="16"/>
  <c r="L1715" i="16"/>
  <c r="L1716" i="16"/>
  <c r="L1717" i="16"/>
  <c r="L886" i="16"/>
  <c r="L887" i="16"/>
  <c r="L888" i="16"/>
  <c r="L1011" i="16"/>
  <c r="L1012" i="16"/>
  <c r="L1013" i="16"/>
  <c r="L1785" i="16"/>
  <c r="L104" i="16"/>
  <c r="L1699" i="16"/>
  <c r="L1308" i="16"/>
  <c r="L1247" i="16"/>
  <c r="L1870" i="16"/>
  <c r="L2219" i="16"/>
  <c r="L2220" i="16"/>
  <c r="L850" i="16"/>
  <c r="L1556" i="16"/>
  <c r="L1743" i="16"/>
  <c r="L2143" i="16"/>
  <c r="L1812" i="16"/>
  <c r="L1378" i="16"/>
  <c r="L1912" i="16"/>
  <c r="L1727" i="16"/>
  <c r="L2077" i="16"/>
  <c r="L1260" i="16"/>
  <c r="L1997" i="16"/>
  <c r="L1940" i="16"/>
  <c r="L1512" i="16"/>
  <c r="L1873" i="16"/>
  <c r="L2070" i="16"/>
  <c r="L2125" i="16"/>
  <c r="L1184" i="16"/>
  <c r="L1765" i="16"/>
  <c r="L1722" i="16"/>
  <c r="L1859" i="16"/>
  <c r="L1786" i="16"/>
  <c r="L1921" i="16"/>
  <c r="L2221" i="16"/>
  <c r="L2073" i="16"/>
  <c r="L1344" i="16"/>
  <c r="L2061" i="16"/>
  <c r="L1917" i="16"/>
  <c r="L1918" i="16"/>
  <c r="L548" i="16"/>
  <c r="L725" i="16"/>
  <c r="L1808" i="16"/>
  <c r="L812" i="16"/>
  <c r="L813" i="16"/>
  <c r="L889" i="16"/>
  <c r="L105" i="16"/>
  <c r="L1841" i="16"/>
  <c r="L1842" i="16"/>
  <c r="L1191" i="16"/>
  <c r="L1192" i="16"/>
  <c r="L34" i="16"/>
  <c r="L35" i="16"/>
  <c r="L391" i="16"/>
  <c r="L426" i="16"/>
  <c r="L913" i="16"/>
  <c r="L474" i="16"/>
  <c r="L1042" i="16"/>
  <c r="L1360" i="16"/>
  <c r="L1006" i="16"/>
  <c r="L1007" i="16"/>
  <c r="L800" i="16"/>
  <c r="L801" i="16"/>
  <c r="L802" i="16"/>
  <c r="L803" i="16"/>
  <c r="L89" i="16"/>
  <c r="L90" i="16"/>
  <c r="L91" i="16"/>
  <c r="L2011" i="16"/>
  <c r="L686" i="16"/>
  <c r="L858" i="16"/>
  <c r="L1640" i="16"/>
  <c r="L517" i="16"/>
  <c r="L518" i="16"/>
  <c r="L519" i="16"/>
  <c r="L434" i="16"/>
  <c r="L344" i="16"/>
  <c r="L1037" i="16"/>
  <c r="L1038" i="16"/>
  <c r="L1063" i="16"/>
  <c r="L1718" i="16"/>
  <c r="L1177" i="16"/>
  <c r="L1178" i="16"/>
  <c r="L679" i="16"/>
  <c r="L2081" i="16"/>
  <c r="L141" i="16"/>
  <c r="L142" i="16"/>
  <c r="L783" i="16"/>
  <c r="L709" i="16"/>
  <c r="L1158" i="16"/>
  <c r="L1159" i="16"/>
  <c r="L1754" i="16"/>
  <c r="L1014" i="16"/>
  <c r="L567" i="16"/>
  <c r="L568" i="16"/>
  <c r="L569" i="16"/>
  <c r="L570" i="16"/>
  <c r="L777" i="16"/>
  <c r="L1248" i="16"/>
  <c r="L531" i="16"/>
  <c r="L1521" i="16"/>
  <c r="L1185" i="16"/>
  <c r="L1186" i="16"/>
  <c r="L1187" i="16"/>
  <c r="L1188" i="16"/>
  <c r="L1998" i="16"/>
  <c r="L1999" i="16"/>
  <c r="L1193" i="16"/>
  <c r="L795" i="16"/>
  <c r="L2222" i="16"/>
  <c r="L2223" i="16"/>
  <c r="L2224" i="16"/>
  <c r="L1309" i="16"/>
  <c r="L1310" i="16"/>
  <c r="L1311" i="16"/>
  <c r="L1312" i="16"/>
  <c r="L1313" i="16"/>
  <c r="L1730" i="16"/>
  <c r="L1833" i="16"/>
  <c r="L851" i="16"/>
  <c r="L2225" i="16"/>
  <c r="L1787" i="16"/>
  <c r="L1941" i="16"/>
  <c r="L1874" i="16"/>
  <c r="L1875" i="16"/>
  <c r="L1813" i="16"/>
  <c r="L143" i="16"/>
  <c r="L1010" i="16"/>
  <c r="L1601" i="16"/>
  <c r="L1559" i="16"/>
  <c r="L2226" i="16"/>
  <c r="L1496" i="16"/>
  <c r="L1509" i="16"/>
  <c r="L2105" i="16"/>
  <c r="L2104" i="16"/>
  <c r="L1933" i="16"/>
  <c r="L201" i="16"/>
  <c r="L1816" i="16"/>
  <c r="L1537" i="16"/>
  <c r="L2227" i="16"/>
  <c r="L2141" i="16"/>
  <c r="L2142" i="16"/>
  <c r="L2012" i="16"/>
  <c r="L84" i="16"/>
  <c r="L699" i="16"/>
  <c r="L816" i="16"/>
  <c r="L1887" i="16"/>
  <c r="L1888" i="16"/>
  <c r="L1146" i="16"/>
  <c r="L682" i="16"/>
  <c r="L712" i="16"/>
  <c r="L1525" i="16"/>
  <c r="L591" i="16"/>
  <c r="L2139" i="16"/>
  <c r="L817" i="16"/>
  <c r="L2110" i="16"/>
  <c r="L2024" i="16"/>
  <c r="L1518" i="16"/>
  <c r="L771" i="16"/>
  <c r="L772" i="16"/>
  <c r="L773" i="16"/>
  <c r="L457" i="16"/>
  <c r="L458" i="16"/>
  <c r="L885" i="16"/>
  <c r="L632" i="16"/>
  <c r="L1268" i="16"/>
  <c r="L613" i="16"/>
  <c r="L593" i="16"/>
  <c r="L1669" i="16"/>
  <c r="L1391" i="16"/>
  <c r="L1670" i="16"/>
  <c r="L1044" i="16"/>
  <c r="L666" i="16"/>
  <c r="L1728" i="16"/>
  <c r="L1059" i="16"/>
  <c r="L1165" i="16"/>
  <c r="L1198" i="16"/>
  <c r="L1407" i="16"/>
  <c r="L1113" i="16"/>
  <c r="L479" i="16"/>
  <c r="L1570" i="16"/>
  <c r="L1571" i="16"/>
  <c r="L1572" i="16"/>
  <c r="L2163" i="16"/>
  <c r="L2028" i="16"/>
  <c r="L690" i="16"/>
  <c r="L1092" i="16"/>
  <c r="L667" i="16"/>
  <c r="L1297" i="16"/>
  <c r="L1102" i="16"/>
  <c r="L1815" i="16"/>
  <c r="L1045" i="16"/>
  <c r="L1046" i="16"/>
  <c r="L832" i="16"/>
  <c r="L1746" i="16"/>
  <c r="L1756" i="16"/>
  <c r="L78" i="16"/>
  <c r="L1526" i="16"/>
  <c r="L968" i="16"/>
  <c r="L2228" i="16"/>
  <c r="L827" i="16"/>
  <c r="L1278" i="16"/>
  <c r="L1361" i="16"/>
  <c r="L961" i="16"/>
  <c r="L1362" i="16"/>
  <c r="L1803" i="16"/>
  <c r="L2229" i="16"/>
  <c r="L2230" i="16"/>
  <c r="L2231" i="16"/>
  <c r="L906" i="16"/>
  <c r="L865" i="16"/>
  <c r="L1589" i="16"/>
  <c r="L818" i="16"/>
  <c r="L819" i="16"/>
  <c r="L964" i="16"/>
  <c r="L820" i="16"/>
  <c r="L268" i="16"/>
  <c r="L1825" i="16"/>
  <c r="L1704" i="16"/>
  <c r="L2147" i="16"/>
  <c r="L594" i="16"/>
  <c r="L1505" i="16"/>
  <c r="L1579" i="16"/>
  <c r="L1298" i="16"/>
  <c r="L1757" i="16"/>
  <c r="L1758" i="16"/>
  <c r="L668" i="16"/>
  <c r="L305" i="16"/>
  <c r="L1747" i="16"/>
  <c r="L581" i="16"/>
  <c r="L590" i="16"/>
  <c r="L1438" i="16"/>
  <c r="L1830" i="16"/>
  <c r="L1790" i="16"/>
  <c r="L1630" i="16"/>
  <c r="L1608" i="16"/>
  <c r="L1272" i="16"/>
  <c r="L1463" i="16"/>
  <c r="L2232" i="16"/>
  <c r="L1599" i="16"/>
  <c r="L2233" i="16"/>
  <c r="L1632" i="16"/>
  <c r="L1472" i="16"/>
  <c r="L1993" i="16"/>
  <c r="L2172" i="16"/>
  <c r="L2234" i="16"/>
  <c r="L2109" i="16"/>
  <c r="L2235" i="16"/>
  <c r="L909" i="16"/>
  <c r="L147" i="16"/>
  <c r="L96" i="16"/>
  <c r="L695" i="16"/>
  <c r="L1221" i="16"/>
  <c r="L608" i="16"/>
  <c r="L1098" i="16"/>
  <c r="L629" i="16"/>
  <c r="L484" i="16"/>
  <c r="L945" i="16"/>
  <c r="L1076" i="16"/>
  <c r="L1355" i="16"/>
  <c r="L498" i="16"/>
  <c r="L503" i="16"/>
  <c r="L129" i="16"/>
  <c r="L1099" i="16"/>
  <c r="L485" i="16"/>
  <c r="L946" i="16"/>
  <c r="L696" i="16"/>
  <c r="L609" i="16"/>
  <c r="L504" i="16"/>
  <c r="L325" i="16"/>
  <c r="L130" i="16"/>
  <c r="L97" i="16"/>
  <c r="L867" i="16"/>
  <c r="L1100" i="16"/>
  <c r="L630" i="16"/>
  <c r="L361" i="16"/>
  <c r="L486" i="16"/>
  <c r="L1077" i="16"/>
  <c r="L499" i="16"/>
  <c r="L697" i="16"/>
  <c r="L910" i="16"/>
  <c r="L991" i="16"/>
  <c r="L326" i="16"/>
  <c r="L131" i="16"/>
  <c r="L98" i="16"/>
  <c r="L631" i="16"/>
  <c r="L362" i="16"/>
  <c r="L500" i="16"/>
  <c r="L614" i="16"/>
  <c r="L1230" i="16"/>
  <c r="L1950" i="16"/>
  <c r="L1960" i="16"/>
  <c r="L1651" i="16"/>
  <c r="L1239" i="16"/>
  <c r="L149" i="16"/>
  <c r="L274" i="16"/>
  <c r="L868" i="16"/>
  <c r="L869" i="16"/>
  <c r="L870" i="16"/>
  <c r="L100" i="16"/>
  <c r="L967" i="16"/>
  <c r="L610" i="16"/>
  <c r="L1240" i="16"/>
  <c r="L871" i="16"/>
  <c r="L32" i="16"/>
  <c r="L174" i="16"/>
  <c r="L702" i="16"/>
  <c r="L1028" i="16"/>
  <c r="L2136" i="16"/>
  <c r="L505" i="16"/>
  <c r="L99" i="16"/>
  <c r="L852" i="16"/>
  <c r="L327" i="16"/>
  <c r="L1142" i="16"/>
  <c r="L363" i="16"/>
  <c r="L1376" i="16"/>
  <c r="L1093" i="16"/>
  <c r="L509" i="16"/>
  <c r="L872" i="16"/>
  <c r="L1418" i="16"/>
  <c r="L703" i="16"/>
  <c r="L704" i="16"/>
  <c r="L1029" i="16"/>
  <c r="L1030" i="16"/>
  <c r="L2137" i="16"/>
  <c r="L2138" i="16"/>
  <c r="L1094" i="16"/>
  <c r="L1095" i="16"/>
  <c r="L1326" i="16"/>
  <c r="L1327" i="16"/>
  <c r="L1328" i="16"/>
  <c r="L938" i="16"/>
  <c r="L939" i="16"/>
  <c r="L940" i="16"/>
  <c r="L1356" i="16"/>
  <c r="L1143" i="16"/>
  <c r="L1144" i="16"/>
  <c r="L1078" i="16"/>
  <c r="L853" i="16"/>
  <c r="L854" i="16"/>
  <c r="L510" i="16"/>
  <c r="L511" i="16"/>
  <c r="L172" i="16"/>
  <c r="L173" i="16"/>
  <c r="L1419" i="16"/>
  <c r="L1420" i="16"/>
  <c r="L615" i="16"/>
  <c r="L2236" i="16"/>
  <c r="L1101" i="16"/>
  <c r="L150" i="16"/>
  <c r="L275" i="16"/>
  <c r="L1602" i="16"/>
  <c r="L1661" i="16"/>
  <c r="L1871" i="16"/>
  <c r="L1662" i="16"/>
  <c r="L2151" i="16"/>
  <c r="L2237" i="16"/>
  <c r="L306" i="16"/>
  <c r="L2238" i="16"/>
  <c r="L1528" i="16"/>
  <c r="L2239" i="16"/>
  <c r="L2086" i="16"/>
  <c r="L2240" i="16"/>
  <c r="L2007" i="16"/>
  <c r="L1733" i="16"/>
  <c r="L1766" i="16"/>
  <c r="L2002" i="16"/>
  <c r="L2169" i="16"/>
  <c r="L1903" i="16"/>
  <c r="L1760" i="16"/>
  <c r="L1737" i="16"/>
  <c r="L1677" i="16"/>
  <c r="L2119" i="16"/>
  <c r="L2148" i="16"/>
  <c r="L2241" i="16"/>
  <c r="L2149" i="16"/>
  <c r="L2067" i="16"/>
  <c r="L1957" i="16"/>
  <c r="L2122" i="16"/>
  <c r="L1434" i="16"/>
  <c r="L2133" i="16"/>
  <c r="L2242" i="16"/>
  <c r="L1792" i="16"/>
  <c r="L2093" i="16"/>
  <c r="L1735" i="16"/>
  <c r="L1224" i="16"/>
  <c r="L1910" i="16"/>
  <c r="L1911" i="16"/>
  <c r="L2243" i="16"/>
  <c r="L2244" i="16"/>
  <c r="L2180" i="16"/>
  <c r="L2245" i="16"/>
  <c r="L2246" i="16"/>
  <c r="L2247" i="16"/>
  <c r="L1799" i="16"/>
  <c r="L2248" i="16"/>
  <c r="L2249" i="16"/>
  <c r="L1685" i="16"/>
  <c r="L1289" i="16"/>
  <c r="L1671" i="16"/>
  <c r="L2250" i="16"/>
  <c r="L2251" i="16"/>
  <c r="L2252" i="16"/>
  <c r="L2146" i="16"/>
  <c r="L2097" i="16"/>
  <c r="L2157" i="16"/>
  <c r="L1288" i="16"/>
  <c r="L636" i="16"/>
  <c r="L1797" i="16"/>
  <c r="L1675" i="16"/>
  <c r="L1939" i="16"/>
  <c r="L1104" i="16"/>
  <c r="L2127" i="16"/>
  <c r="L1517" i="16"/>
  <c r="L1287" i="16"/>
  <c r="L1209" i="16"/>
  <c r="L120" i="16"/>
  <c r="L1336" i="16"/>
  <c r="L1380" i="16"/>
  <c r="L2089" i="16"/>
  <c r="L408" i="16"/>
  <c r="L189" i="16"/>
  <c r="L1759" i="16"/>
  <c r="L1089" i="16"/>
  <c r="L979" i="16"/>
  <c r="L980" i="16"/>
  <c r="L1468" i="16"/>
  <c r="L1415" i="16"/>
  <c r="L1944" i="16"/>
  <c r="L1461" i="16"/>
  <c r="L1462" i="16"/>
  <c r="L2253" i="16"/>
  <c r="L1031" i="16"/>
  <c r="L480" i="16"/>
  <c r="L481" i="16"/>
  <c r="L482" i="16"/>
  <c r="L483" i="16"/>
  <c r="L507" i="16"/>
  <c r="L508" i="16"/>
  <c r="L2254" i="16"/>
  <c r="L2255" i="16"/>
  <c r="L1618" i="16"/>
  <c r="L1421" i="16"/>
  <c r="L1516" i="16"/>
  <c r="L1249" i="16"/>
  <c r="L1250" i="16"/>
  <c r="L372" i="16"/>
  <c r="L373" i="16"/>
  <c r="L1930" i="16"/>
  <c r="L1389" i="16"/>
  <c r="L746" i="16"/>
  <c r="L438" i="16"/>
  <c r="L1889" i="16"/>
  <c r="L307" i="16"/>
  <c r="L1369" i="16"/>
  <c r="L2256" i="16"/>
  <c r="L915" i="16"/>
  <c r="L2257" i="16"/>
  <c r="L2258" i="16"/>
  <c r="L2158" i="16"/>
  <c r="L637" i="16"/>
  <c r="L2128" i="16"/>
  <c r="L2259" i="16"/>
  <c r="L2260" i="16"/>
  <c r="L2261" i="16"/>
  <c r="L2134" i="16"/>
  <c r="L728" i="16"/>
  <c r="L2170" i="16"/>
  <c r="L880" i="16"/>
  <c r="L1466" i="16"/>
  <c r="L1843" i="16"/>
  <c r="L2262" i="16"/>
  <c r="L86" i="16"/>
  <c r="L2083" i="16"/>
  <c r="L1719" i="16"/>
  <c r="L2263" i="16"/>
  <c r="L1458" i="16"/>
  <c r="L866" i="16"/>
  <c r="L2076" i="16"/>
  <c r="L2123" i="16"/>
  <c r="L405" i="16"/>
  <c r="L864" i="16"/>
  <c r="L1653" i="16"/>
  <c r="L1164" i="16"/>
  <c r="L742" i="16"/>
  <c r="L1290" i="16"/>
  <c r="L778" i="16"/>
  <c r="L744" i="16"/>
  <c r="L897" i="16"/>
  <c r="L2264" i="16"/>
  <c r="L2265" i="16"/>
  <c r="L158" i="16"/>
  <c r="L159" i="16"/>
  <c r="L1942" i="16"/>
  <c r="L297" i="16"/>
  <c r="L841" i="16"/>
  <c r="L1858" i="16"/>
  <c r="L638" i="16"/>
  <c r="L2132" i="16"/>
  <c r="L1598" i="16"/>
  <c r="L1798" i="16"/>
  <c r="L1882" i="16"/>
  <c r="L424" i="16"/>
  <c r="L425" i="16"/>
  <c r="L9" i="16"/>
  <c r="L1052" i="16"/>
  <c r="L2162" i="16"/>
  <c r="L2082" i="16"/>
  <c r="L2150" i="16"/>
  <c r="L2094" i="16"/>
  <c r="L1837" i="16"/>
  <c r="L256" i="16"/>
  <c r="L1331" i="16"/>
  <c r="L1660" i="16"/>
  <c r="L364" i="16"/>
  <c r="L954" i="16"/>
  <c r="L2013" i="16"/>
  <c r="L2266" i="16"/>
  <c r="L1755" i="16"/>
  <c r="L558" i="16"/>
  <c r="L448" i="16"/>
  <c r="L860" i="16"/>
  <c r="L1854" i="16"/>
  <c r="L137" i="16"/>
  <c r="L192" i="16"/>
  <c r="L561" i="16"/>
  <c r="L743" i="16"/>
  <c r="L814" i="16"/>
  <c r="L815" i="16"/>
  <c r="L2267" i="16"/>
  <c r="L2120" i="16"/>
  <c r="L914" i="16"/>
  <c r="L346" i="16"/>
  <c r="L443" i="16"/>
  <c r="L444" i="16"/>
  <c r="L260" i="16"/>
  <c r="L445" i="16"/>
  <c r="L446" i="16"/>
  <c r="L293" i="16"/>
  <c r="L1674" i="16"/>
  <c r="L1682" i="16"/>
  <c r="L1683" i="16"/>
  <c r="L2126" i="16"/>
  <c r="L2268" i="16"/>
  <c r="L1964" i="16"/>
  <c r="L792" i="16"/>
  <c r="L793" i="16"/>
  <c r="L1547" i="16"/>
  <c r="L2269" i="16"/>
  <c r="L1686" i="16"/>
  <c r="L1687" i="16"/>
  <c r="L1688" i="16"/>
  <c r="L2270" i="16"/>
  <c r="L2102" i="16"/>
  <c r="L2271" i="16"/>
  <c r="L2272" i="16"/>
  <c r="L1655" i="16"/>
  <c r="L732" i="16"/>
  <c r="L1678" i="16"/>
  <c r="L973" i="16"/>
  <c r="L974" i="16"/>
  <c r="L1622" i="16"/>
  <c r="L1084" i="16"/>
  <c r="L2273" i="16"/>
  <c r="L1196" i="16"/>
  <c r="L2087" i="16"/>
  <c r="L1533" i="16"/>
  <c r="L2274" i="16"/>
  <c r="L1885" i="16"/>
  <c r="L2275" i="16"/>
  <c r="L1483" i="16"/>
  <c r="L1914" i="16"/>
  <c r="L292" i="16"/>
  <c r="L1448" i="16"/>
  <c r="L2276" i="16"/>
  <c r="L2277" i="16"/>
  <c r="L1689" i="16"/>
  <c r="L2278" i="16"/>
  <c r="L1335" i="16"/>
  <c r="L534" i="16"/>
  <c r="L535" i="16"/>
  <c r="L536" i="16"/>
  <c r="L537" i="16"/>
  <c r="L538" i="16"/>
  <c r="L539" i="16"/>
  <c r="L1943" i="16"/>
  <c r="L1333" i="16"/>
  <c r="L409" i="16"/>
  <c r="L410" i="16"/>
  <c r="L411" i="16"/>
  <c r="L412" i="16"/>
  <c r="L413" i="16"/>
  <c r="L414" i="16"/>
  <c r="L415" i="16"/>
  <c r="L416" i="16"/>
  <c r="L417" i="16"/>
  <c r="L418" i="16"/>
  <c r="L877" i="16"/>
  <c r="L807" i="16"/>
  <c r="L1690" i="16"/>
  <c r="L1652" i="16"/>
  <c r="L2154" i="16"/>
  <c r="L1691" i="16"/>
  <c r="L2003" i="16"/>
  <c r="L1658" i="16"/>
  <c r="L2279" i="16"/>
  <c r="L2280" i="16"/>
  <c r="L1927" i="16"/>
  <c r="L1684" i="16"/>
  <c r="L2281" i="16"/>
  <c r="L1692" i="16"/>
  <c r="L1820" i="16"/>
  <c r="L2282" i="16"/>
  <c r="L2283" i="16"/>
  <c r="L164" i="16"/>
  <c r="L165" i="16"/>
  <c r="L166" i="16"/>
  <c r="L167" i="16"/>
  <c r="L401" i="16"/>
  <c r="L402" i="16"/>
  <c r="L403" i="16"/>
  <c r="L2072" i="16"/>
  <c r="L2284" i="16"/>
  <c r="L1913" i="16"/>
  <c r="L222" i="16"/>
  <c r="L30" i="16"/>
  <c r="L101" i="16"/>
  <c r="L102" i="16"/>
  <c r="L103" i="16"/>
  <c r="L114" i="16"/>
  <c r="L115" i="16"/>
  <c r="L2066" i="16"/>
  <c r="L2018" i="16"/>
  <c r="L356" i="16"/>
  <c r="L116" i="16"/>
  <c r="L107" i="16"/>
  <c r="L108" i="16"/>
  <c r="L1626" i="16"/>
  <c r="L109" i="16"/>
  <c r="L251" i="16"/>
  <c r="L252" i="16"/>
  <c r="L253" i="16"/>
  <c r="L2285" i="16"/>
  <c r="L254" i="16"/>
  <c r="L255" i="16"/>
  <c r="L1762" i="16"/>
  <c r="L1763" i="16"/>
  <c r="L1764" i="16"/>
  <c r="L447" i="16"/>
  <c r="L540" i="16"/>
  <c r="L541" i="16"/>
  <c r="L882" i="16"/>
  <c r="L978" i="16"/>
  <c r="L1693" i="16"/>
  <c r="L1694" i="16"/>
  <c r="L404" i="16"/>
  <c r="L1616" i="16"/>
  <c r="L340" i="16"/>
  <c r="L341" i="16"/>
  <c r="L2286" i="16"/>
  <c r="L2287" i="16"/>
  <c r="L1919" i="16"/>
  <c r="L333" i="16"/>
  <c r="L1848" i="16"/>
  <c r="L2288" i="16"/>
  <c r="L2289" i="16"/>
  <c r="L2290" i="16"/>
  <c r="L2091" i="16"/>
  <c r="L2121" i="16"/>
  <c r="L1664" i="16"/>
  <c r="L1969" i="16"/>
  <c r="L2032" i="16"/>
  <c r="L2159" i="16"/>
  <c r="L1713" i="16"/>
  <c r="L1343" i="16"/>
  <c r="L2038" i="16"/>
  <c r="L1970" i="16"/>
  <c r="L1354" i="16"/>
  <c r="L2039" i="16"/>
  <c r="L1706" i="16"/>
  <c r="L1672" i="16"/>
  <c r="L1554" i="16"/>
  <c r="L1695" i="16"/>
  <c r="L1374" i="16"/>
  <c r="L1631" i="16"/>
  <c r="L1372" i="16"/>
  <c r="L1665" i="16"/>
  <c r="L1666" i="16"/>
  <c r="L1635" i="16"/>
  <c r="L1895" i="16"/>
  <c r="L1307" i="16"/>
  <c r="L873" i="16"/>
  <c r="L1936" i="16"/>
  <c r="L1225" i="16"/>
  <c r="L1624" i="16"/>
  <c r="L1775" i="16"/>
  <c r="L1549" i="16"/>
  <c r="L986" i="16"/>
  <c r="L956" i="16"/>
  <c r="L1621" i="16"/>
  <c r="L1776" i="16"/>
  <c r="L1860" i="16"/>
  <c r="L987" i="16"/>
  <c r="L988" i="16"/>
  <c r="L989" i="16"/>
  <c r="L957" i="16"/>
  <c r="L958" i="16"/>
  <c r="L959" i="16"/>
  <c r="L2291" i="16"/>
  <c r="L2292" i="16"/>
  <c r="L2040" i="16"/>
  <c r="L2041" i="16"/>
  <c r="L2042" i="16"/>
  <c r="L2293" i="16"/>
  <c r="L2171" i="16"/>
  <c r="L2043" i="16"/>
  <c r="L1696" i="16"/>
  <c r="L1623" i="16"/>
  <c r="L1849" i="16"/>
  <c r="L1979" i="16"/>
  <c r="L1412" i="16"/>
  <c r="L1742" i="16"/>
  <c r="L1410" i="16"/>
  <c r="L1237" i="16"/>
  <c r="L1238" i="16"/>
  <c r="L1269" i="16"/>
  <c r="L1264" i="16"/>
  <c r="L1255" i="16"/>
  <c r="L1793" i="16"/>
  <c r="L1794" i="16"/>
  <c r="L2294" i="16"/>
  <c r="L1546" i="16"/>
  <c r="L1375" i="16"/>
  <c r="L2295" i="16"/>
  <c r="L1697" i="16"/>
  <c r="L1698" i="16"/>
  <c r="L1636" i="16"/>
  <c r="L1641" i="16"/>
  <c r="L1667" i="16"/>
  <c r="L1778" i="16"/>
  <c r="L1985" i="16"/>
  <c r="L1323" i="16"/>
  <c r="L1988" i="16"/>
  <c r="L1821" i="16"/>
  <c r="L1265" i="16"/>
  <c r="L994" i="16"/>
  <c r="L823" i="16"/>
  <c r="L1132" i="16"/>
  <c r="L1381" i="16"/>
  <c r="L1592" i="16"/>
  <c r="L1217" i="16"/>
  <c r="L1189" i="16"/>
  <c r="L2044" i="16"/>
  <c r="L1465" i="16"/>
  <c r="L2045" i="16"/>
  <c r="L1663" i="16"/>
  <c r="L1259" i="16"/>
  <c r="L1492" i="16"/>
  <c r="L983" i="16"/>
  <c r="L1455" i="16"/>
  <c r="L960" i="16"/>
  <c r="L1811" i="16"/>
  <c r="L2296" i="16"/>
  <c r="L2046" i="16"/>
  <c r="L2047" i="16"/>
  <c r="L2297" i="16"/>
  <c r="L2298" i="16"/>
  <c r="L1726" i="16"/>
  <c r="L1935" i="16"/>
  <c r="L2299" i="16"/>
  <c r="L1729" i="16"/>
  <c r="L218" i="16"/>
  <c r="L1971" i="16"/>
  <c r="L1972" i="16"/>
  <c r="L2179" i="16"/>
  <c r="L1329" i="16"/>
  <c r="L380" i="16"/>
  <c r="L381" i="16"/>
  <c r="L2048" i="16"/>
  <c r="L2300" i="16"/>
  <c r="L2144" i="16"/>
  <c r="L1906" i="16"/>
  <c r="L2153" i="16"/>
  <c r="L219" i="16"/>
  <c r="L220" i="16"/>
  <c r="L1423" i="16"/>
  <c r="L1637" i="16"/>
  <c r="L2049" i="16"/>
  <c r="L2027" i="16"/>
  <c r="L1959" i="16"/>
  <c r="L2014" i="16"/>
  <c r="L1958" i="16"/>
  <c r="L1947" i="16"/>
  <c r="L1973" i="16"/>
  <c r="L2050" i="16"/>
  <c r="L41" i="16"/>
  <c r="L42" i="16"/>
  <c r="L43" i="16"/>
  <c r="L2301" i="16"/>
  <c r="L44" i="16"/>
  <c r="L2165" i="16"/>
  <c r="L2034" i="16"/>
  <c r="L2302" i="16"/>
  <c r="L1515" i="16"/>
  <c r="L2116" i="16"/>
  <c r="L1834" i="16"/>
  <c r="L1322" i="16"/>
  <c r="L1961" i="16"/>
  <c r="L1907" i="16"/>
  <c r="L2051" i="16"/>
  <c r="L1424" i="16"/>
  <c r="L2303" i="16"/>
  <c r="L1909" i="16"/>
  <c r="L1330" i="16"/>
  <c r="L2033" i="16"/>
  <c r="L67" i="16"/>
  <c r="L68" i="16"/>
  <c r="L1791" i="16"/>
  <c r="L2052" i="16"/>
  <c r="L1456" i="16"/>
  <c r="L1594" i="16"/>
  <c r="L69" i="16"/>
  <c r="L382" i="16"/>
  <c r="L85" i="16"/>
  <c r="L2304" i="16"/>
  <c r="L70" i="16"/>
  <c r="L669" i="16"/>
  <c r="L1703" i="16"/>
  <c r="L617" i="16"/>
  <c r="L580" i="16"/>
  <c r="L618" i="16"/>
  <c r="L619" i="16"/>
  <c r="L620" i="16"/>
  <c r="L621" i="16"/>
  <c r="L622" i="16"/>
  <c r="L1563" i="16"/>
  <c r="L676" i="16"/>
  <c r="L670" i="16"/>
  <c r="L828" i="16"/>
  <c r="L829" i="16"/>
  <c r="L830" i="16"/>
  <c r="L244" i="16"/>
  <c r="L245" i="16"/>
  <c r="L1777" i="16"/>
  <c r="L1700" i="16"/>
  <c r="L1548" i="16"/>
  <c r="L844" i="16"/>
  <c r="L845" i="16"/>
  <c r="L1166" i="16"/>
  <c r="L2053" i="16"/>
  <c r="L2305" i="16"/>
  <c r="L377" i="16"/>
  <c r="L378" i="16"/>
  <c r="L379" i="16"/>
  <c r="L229" i="16"/>
  <c r="L230" i="16"/>
  <c r="L231" i="16"/>
  <c r="L1795" i="16"/>
  <c r="L1891" i="16"/>
  <c r="L1923" i="16"/>
  <c r="L2054" i="16"/>
  <c r="L2306" i="16"/>
  <c r="L1839" i="16"/>
  <c r="L1945" i="16"/>
  <c r="L1974" i="16"/>
  <c r="L1835" i="16"/>
  <c r="L1085" i="16"/>
  <c r="L1086" i="16"/>
  <c r="L1422" i="16"/>
  <c r="L1145" i="16"/>
  <c r="L1057" i="16"/>
  <c r="L1584" i="16"/>
  <c r="L1773" i="16"/>
  <c r="L1789" i="16"/>
  <c r="L1883" i="16"/>
  <c r="L1058" i="16"/>
  <c r="L1119" i="16"/>
  <c r="L1840" i="16"/>
  <c r="L846" i="16"/>
  <c r="L1254" i="16"/>
  <c r="L322" i="16"/>
  <c r="L2036" i="16"/>
  <c r="L2037" i="16"/>
  <c r="L1527" i="16"/>
  <c r="L1975" i="16"/>
  <c r="L1984" i="16"/>
  <c r="L1220" i="16"/>
  <c r="L1894" i="16"/>
  <c r="L1634" i="16"/>
  <c r="L2307" i="16"/>
  <c r="L2173" i="16"/>
  <c r="L1929" i="16"/>
  <c r="L2166" i="16"/>
  <c r="L2023" i="16"/>
  <c r="L1926" i="16"/>
  <c r="L1836" i="16"/>
  <c r="L1334" i="16"/>
  <c r="L2308" i="16"/>
  <c r="L1976" i="16"/>
  <c r="L1908" i="16"/>
  <c r="L1781" i="16"/>
  <c r="L2000" i="16"/>
  <c r="L2129" i="16"/>
  <c r="L1657" i="16"/>
  <c r="L1829" i="16"/>
  <c r="L1955" i="16"/>
  <c r="L2035" i="16"/>
  <c r="L1977" i="16"/>
  <c r="L2309" i="16"/>
  <c r="L2310" i="16"/>
  <c r="L2031" i="16"/>
  <c r="L2055" i="16"/>
  <c r="L2030" i="16"/>
  <c r="L1968" i="16"/>
  <c r="L2311" i="16"/>
  <c r="L1952" i="16"/>
  <c r="L2312" i="16"/>
  <c r="L2313" i="16"/>
  <c r="L2314" i="16"/>
  <c r="L1869" i="16"/>
  <c r="L1953" i="16"/>
  <c r="L1892" i="16"/>
  <c r="L1831" i="16"/>
  <c r="L1866" i="16"/>
  <c r="L2315" i="16"/>
  <c r="L2026" i="16"/>
  <c r="L1668" i="16"/>
  <c r="L2131" i="16"/>
  <c r="L1745" i="16"/>
  <c r="L2316" i="16"/>
  <c r="L2317" i="16"/>
  <c r="L2056" i="16"/>
  <c r="L2318" i="16"/>
  <c r="L2319" i="16"/>
  <c r="L2118" i="16"/>
  <c r="L1951" i="16"/>
  <c r="L1252" i="16"/>
  <c r="L217" i="16"/>
  <c r="L369" i="16"/>
  <c r="L138" i="16"/>
  <c r="L898" i="16"/>
  <c r="L1383" i="16"/>
  <c r="L1384" i="16"/>
  <c r="L1506" i="16"/>
  <c r="L262" i="16"/>
  <c r="L1426" i="16"/>
  <c r="L139" i="16"/>
  <c r="L657" i="16"/>
  <c r="L710" i="16"/>
  <c r="L1928" i="16"/>
  <c r="L1867" i="16"/>
  <c r="L1425" i="16"/>
  <c r="L1400" i="16"/>
  <c r="L1710" i="16"/>
  <c r="L2025" i="16"/>
  <c r="L1543" i="16"/>
  <c r="L1578" i="16"/>
  <c r="L1648" i="16"/>
  <c r="L1980" i="16"/>
  <c r="L2075" i="16"/>
  <c r="L2320" i="16"/>
  <c r="L2321" i="16"/>
  <c r="L1460" i="16"/>
  <c r="L2113" i="16"/>
  <c r="L1524" i="16"/>
  <c r="L2322" i="16"/>
  <c r="L2174" i="16"/>
  <c r="L1938" i="16"/>
  <c r="L1899" i="16"/>
  <c r="L2323" i="16"/>
  <c r="L2130" i="16"/>
  <c r="L711" i="16"/>
  <c r="L2145" i="16"/>
  <c r="L1922" i="16"/>
  <c r="L1489" i="16"/>
  <c r="L2176" i="16"/>
  <c r="L1593" i="16"/>
  <c r="L1963" i="16"/>
  <c r="L883" i="16"/>
  <c r="L2029" i="16"/>
  <c r="L1898" i="16"/>
  <c r="L10" i="16"/>
  <c r="L11" i="16"/>
  <c r="L12" i="16"/>
  <c r="L13" i="16"/>
  <c r="L14" i="16"/>
  <c r="L1965" i="16"/>
  <c r="L750" i="16"/>
  <c r="L15" i="16"/>
  <c r="L971" i="16"/>
  <c r="L1395" i="16"/>
  <c r="L1232" i="16"/>
  <c r="L760" i="16"/>
  <c r="L206" i="16"/>
  <c r="L663" i="16"/>
  <c r="L237" i="16"/>
  <c r="L111" i="16"/>
  <c r="L383" i="16"/>
  <c r="L311" i="16"/>
  <c r="L57" i="16"/>
  <c r="L110" i="16"/>
  <c r="L1629" i="16"/>
  <c r="L714" i="16"/>
  <c r="L1150" i="16"/>
  <c r="L323" i="16"/>
  <c r="L430" i="16"/>
  <c r="L339" i="16"/>
  <c r="L757" i="16"/>
  <c r="L374" i="16"/>
  <c r="L74" i="16"/>
  <c r="L106" i="16"/>
  <c r="L2016" i="16"/>
  <c r="L1905" i="16"/>
  <c r="L2324" i="16"/>
  <c r="L1774" i="16"/>
  <c r="L1274" i="16"/>
  <c r="L1948" i="16"/>
  <c r="L1838" i="16"/>
  <c r="L1865" i="16"/>
  <c r="L1761" i="16"/>
  <c r="L2111" i="16"/>
  <c r="L1744" i="16"/>
  <c r="L2090" i="16"/>
  <c r="L2325" i="16"/>
  <c r="L1510" i="16"/>
  <c r="L1557" i="16"/>
  <c r="L1363" i="16"/>
  <c r="L1705" i="16"/>
  <c r="L2020" i="16"/>
  <c r="L2021" i="16"/>
  <c r="L1801" i="16"/>
  <c r="L1782" i="16"/>
  <c r="L2326" i="16"/>
  <c r="L2017" i="16"/>
  <c r="L1978" i="16"/>
  <c r="L1844" i="16"/>
  <c r="L2092" i="16"/>
  <c r="L2117" i="16"/>
  <c r="L2327" i="16"/>
  <c r="L1872" i="16"/>
  <c r="L2328" i="16"/>
  <c r="L2329" i="16"/>
  <c r="L2330" i="16"/>
  <c r="L2331" i="16"/>
  <c r="L1855" i="16"/>
  <c r="L1877" i="16"/>
  <c r="L1337" i="16"/>
  <c r="L754" i="16"/>
  <c r="L1501" i="16"/>
  <c r="L2098" i="16"/>
  <c r="L831" i="16"/>
  <c r="L1611" i="16"/>
  <c r="L1582" i="16"/>
  <c r="L1558" i="16"/>
  <c r="L1246" i="16"/>
  <c r="L1106" i="16"/>
  <c r="L794" i="16"/>
  <c r="L1734" i="16"/>
  <c r="L1796" i="16"/>
  <c r="L1529" i="16"/>
  <c r="L1390" i="16"/>
  <c r="L1822" i="16"/>
  <c r="L952" i="16"/>
  <c r="L1213" i="16"/>
  <c r="L1444" i="16"/>
  <c r="L1545" i="16"/>
  <c r="L2332" i="16"/>
  <c r="L2333" i="16"/>
  <c r="L2334" i="16"/>
  <c r="L2335" i="16"/>
  <c r="L2336" i="16"/>
  <c r="L2337" i="16"/>
  <c r="L2338" i="16"/>
  <c r="L2339" i="16"/>
  <c r="L2340" i="16"/>
  <c r="L2341" i="16"/>
  <c r="L1229" i="16"/>
  <c r="L1147" i="16"/>
  <c r="L1490" i="16"/>
  <c r="L1114" i="16"/>
  <c r="L2095" i="16"/>
  <c r="L1681" i="16"/>
  <c r="L1832" i="16"/>
  <c r="L1241" i="16"/>
  <c r="L1881" i="16"/>
  <c r="L1847" i="16"/>
  <c r="L755" i="16"/>
  <c r="L1216" i="16"/>
  <c r="L721" i="16"/>
  <c r="L1495" i="16"/>
  <c r="L1804" i="16"/>
  <c r="L351" i="16"/>
  <c r="L489" i="16"/>
  <c r="L289" i="16"/>
  <c r="L290" i="16"/>
  <c r="L1214" i="16"/>
  <c r="L1721" i="16"/>
  <c r="L126" i="16"/>
  <c r="L376" i="16"/>
  <c r="L1488" i="16"/>
  <c r="L1712" i="16"/>
  <c r="L1056" i="16"/>
  <c r="L1580" i="16"/>
  <c r="L1097" i="16"/>
  <c r="L937" i="16"/>
  <c r="L1040" i="16"/>
  <c r="L1154" i="16"/>
  <c r="L1539" i="16"/>
  <c r="L1880" i="16"/>
  <c r="L291" i="16"/>
  <c r="O924" i="16"/>
  <c r="O925" i="16"/>
  <c r="O1204" i="16"/>
  <c r="O1205" i="16"/>
  <c r="O1206" i="16"/>
  <c r="O1436" i="16"/>
  <c r="O1437" i="16"/>
  <c r="O1470" i="16"/>
  <c r="O902" i="16"/>
  <c r="O903" i="16"/>
  <c r="O904" i="16"/>
  <c r="O926" i="16"/>
  <c r="O927" i="16"/>
  <c r="O928" i="16"/>
  <c r="O1015" i="16"/>
  <c r="O1016" i="16"/>
  <c r="O1017" i="16"/>
  <c r="O1018" i="16"/>
  <c r="O1019" i="16"/>
  <c r="O1020" i="16"/>
  <c r="O1402" i="16"/>
  <c r="O1550" i="16"/>
  <c r="O1551" i="16"/>
  <c r="O933" i="16"/>
  <c r="O847" i="16"/>
  <c r="O1110" i="16"/>
  <c r="O1111" i="16"/>
  <c r="O1112" i="16"/>
  <c r="O1021" i="16"/>
  <c r="O1022" i="16"/>
  <c r="O1471" i="16"/>
  <c r="O1207" i="16"/>
  <c r="O1427" i="16"/>
  <c r="O1428" i="16"/>
  <c r="O1403" i="16"/>
  <c r="O1404" i="16"/>
  <c r="O1023" i="16"/>
  <c r="O878" i="16"/>
  <c r="O2060" i="16"/>
  <c r="O1091" i="16"/>
  <c r="O1353" i="16"/>
  <c r="O455" i="16"/>
  <c r="O1069" i="16"/>
  <c r="O998" i="16"/>
  <c r="O1223" i="16"/>
  <c r="O1203" i="16"/>
  <c r="O456" i="16"/>
  <c r="O658" i="16"/>
  <c r="O133" i="16"/>
  <c r="O261" i="16"/>
  <c r="O470" i="16"/>
  <c r="O81" i="16"/>
  <c r="O543" i="16"/>
  <c r="O544" i="16"/>
  <c r="O520" i="16"/>
  <c r="O521" i="16"/>
  <c r="O1990" i="16"/>
  <c r="O1991" i="16"/>
  <c r="O879" i="16"/>
  <c r="O606" i="16"/>
  <c r="O525" i="16"/>
  <c r="O526" i="16"/>
  <c r="O907" i="16"/>
  <c r="O908" i="16"/>
  <c r="O497" i="16"/>
  <c r="O694" i="16"/>
  <c r="O1544" i="16"/>
  <c r="O2096" i="16"/>
  <c r="O735" i="16"/>
  <c r="O736" i="16"/>
  <c r="O392" i="16"/>
  <c r="O1443" i="16"/>
  <c r="O1047" i="16"/>
  <c r="O824" i="16"/>
  <c r="O1809" i="16"/>
  <c r="O1823" i="16"/>
  <c r="O1824" i="16"/>
  <c r="O440" i="16"/>
  <c r="O1989" i="16"/>
  <c r="O787" i="16"/>
  <c r="O899" i="16"/>
  <c r="O900" i="16"/>
  <c r="O1612" i="16"/>
  <c r="O1613" i="16"/>
  <c r="O393" i="16"/>
  <c r="O2063" i="16"/>
  <c r="O1048" i="16"/>
  <c r="O64" i="16"/>
  <c r="O65" i="16"/>
  <c r="O47" i="16"/>
  <c r="O48" i="16"/>
  <c r="O698" i="16"/>
  <c r="O607" i="16"/>
  <c r="O49" i="16"/>
  <c r="O687" i="16"/>
  <c r="O66" i="16"/>
  <c r="O175" i="16"/>
  <c r="O176" i="16"/>
  <c r="O848" i="16"/>
  <c r="O784" i="16"/>
  <c r="O397" i="16"/>
  <c r="O308" i="16"/>
  <c r="O177" i="16"/>
  <c r="O178" i="16"/>
  <c r="O513" i="16"/>
  <c r="O406" i="16"/>
  <c r="O955" i="16"/>
  <c r="O948" i="16"/>
  <c r="O179" i="16"/>
  <c r="O180" i="16"/>
  <c r="O181" i="16"/>
  <c r="O785" i="16"/>
  <c r="O1387" i="16"/>
  <c r="O336" i="16"/>
  <c r="O641" i="16"/>
  <c r="O1266" i="16"/>
  <c r="O1024" i="16"/>
  <c r="O833" i="16"/>
  <c r="O653" i="16"/>
  <c r="O384" i="16"/>
  <c r="O1497" i="16"/>
  <c r="O263" i="16"/>
  <c r="O264" i="16"/>
  <c r="O834" i="16"/>
  <c r="O278" i="16"/>
  <c r="O226" i="16"/>
  <c r="O1025" i="16"/>
  <c r="O688" i="16"/>
  <c r="O58" i="16"/>
  <c r="O144" i="16"/>
  <c r="O1451" i="16"/>
  <c r="O1452" i="16"/>
  <c r="O435" i="16"/>
  <c r="O835" i="16"/>
  <c r="O187" i="16"/>
  <c r="O934" i="16"/>
  <c r="O145" i="16"/>
  <c r="O1502" i="16"/>
  <c r="O1619" i="16"/>
  <c r="O1385" i="16"/>
  <c r="O1233" i="16"/>
  <c r="O169" i="16"/>
  <c r="O836" i="16"/>
  <c r="O837" i="16"/>
  <c r="O984" i="16"/>
  <c r="O1565" i="16"/>
  <c r="O758" i="16"/>
  <c r="O146" i="16"/>
  <c r="O1405" i="16"/>
  <c r="O2189" i="16"/>
  <c r="O170" i="16"/>
  <c r="O700" i="16"/>
  <c r="O701" i="16"/>
  <c r="O127" i="16"/>
  <c r="O981" i="16"/>
  <c r="O183" i="16"/>
  <c r="O184" i="16"/>
  <c r="O2161" i="16"/>
  <c r="O2069" i="16"/>
  <c r="O2156" i="16"/>
  <c r="O2084" i="16"/>
  <c r="O842" i="16"/>
  <c r="O210" i="16"/>
  <c r="O1994" i="16"/>
  <c r="O1079" i="16"/>
  <c r="O1453" i="16"/>
  <c r="O1454" i="16"/>
  <c r="O185" i="16"/>
  <c r="O186" i="16"/>
  <c r="O1457" i="16"/>
  <c r="O151" i="16"/>
  <c r="O283" i="16"/>
  <c r="O1464" i="16"/>
  <c r="O2177" i="16"/>
  <c r="O1388" i="16"/>
  <c r="O337" i="16"/>
  <c r="O642" i="16"/>
  <c r="O227" i="16"/>
  <c r="O1267" i="16"/>
  <c r="O1026" i="16"/>
  <c r="O689" i="16"/>
  <c r="O436" i="16"/>
  <c r="O188" i="16"/>
  <c r="O935" i="16"/>
  <c r="O1503" i="16"/>
  <c r="O1620" i="16"/>
  <c r="O1386" i="16"/>
  <c r="O1234" i="16"/>
  <c r="O171" i="16"/>
  <c r="O1566" i="16"/>
  <c r="O759" i="16"/>
  <c r="O1406" i="16"/>
  <c r="O1702" i="16"/>
  <c r="O1540" i="16"/>
  <c r="O2190" i="16"/>
  <c r="O1459" i="16"/>
  <c r="O859" i="16"/>
  <c r="O1043" i="16"/>
  <c r="O905" i="16"/>
  <c r="O1088" i="16"/>
  <c r="O1211" i="16"/>
  <c r="O419" i="16"/>
  <c r="O1780" i="16"/>
  <c r="O294" i="16"/>
  <c r="O59" i="16"/>
  <c r="O2191" i="16"/>
  <c r="O1932" i="16"/>
  <c r="O2192" i="16"/>
  <c r="O1339" i="16"/>
  <c r="O1071" i="16"/>
  <c r="O1649" i="16"/>
  <c r="O490" i="16"/>
  <c r="O1072" i="16"/>
  <c r="O491" i="16"/>
  <c r="O1983" i="16"/>
  <c r="O1604" i="16"/>
  <c r="O1218" i="16"/>
  <c r="O1073" i="16"/>
  <c r="O492" i="16"/>
  <c r="O469" i="16"/>
  <c r="O1212" i="16"/>
  <c r="O1800" i="16"/>
  <c r="O493" i="16"/>
  <c r="O1650" i="16"/>
  <c r="O1087" i="16"/>
  <c r="O992" i="16"/>
  <c r="O1074" i="16"/>
  <c r="O1772" i="16"/>
  <c r="O1532" i="16"/>
  <c r="O1070" i="16"/>
  <c r="O1002" i="16"/>
  <c r="O2085" i="16"/>
  <c r="O2193" i="16"/>
  <c r="O2108" i="16"/>
  <c r="O993" i="16"/>
  <c r="O1314" i="16"/>
  <c r="O1949" i="16"/>
  <c r="O881" i="16"/>
  <c r="O2178" i="16"/>
  <c r="O2194" i="16"/>
  <c r="O965" i="16"/>
  <c r="O822" i="16"/>
  <c r="O2008" i="16"/>
  <c r="O1996" i="16"/>
  <c r="O1553" i="16"/>
  <c r="O1868" i="16"/>
  <c r="O1210" i="16"/>
  <c r="O1476" i="16"/>
  <c r="O843" i="16"/>
  <c r="O1498" i="16"/>
  <c r="O1499" i="16"/>
  <c r="O1500" i="16"/>
  <c r="O1120" i="16"/>
  <c r="O1162" i="16"/>
  <c r="O791" i="16"/>
  <c r="O1884" i="16"/>
  <c r="O228" i="16"/>
  <c r="O225" i="16"/>
  <c r="O1163" i="16"/>
  <c r="O917" i="16"/>
  <c r="O1741" i="16"/>
  <c r="O918" i="16"/>
  <c r="O919" i="16"/>
  <c r="O1033" i="16"/>
  <c r="O966" i="16"/>
  <c r="O654" i="16"/>
  <c r="O1195" i="16"/>
  <c r="O407" i="16"/>
  <c r="O1507" i="16"/>
  <c r="O1508" i="16"/>
  <c r="O1585" i="16"/>
  <c r="O1586" i="16"/>
  <c r="O1467" i="16"/>
  <c r="O599" i="16"/>
  <c r="O600" i="16"/>
  <c r="O601" i="16"/>
  <c r="O602" i="16"/>
  <c r="O603" i="16"/>
  <c r="O604" i="16"/>
  <c r="O874" i="16"/>
  <c r="O875" i="16"/>
  <c r="O476" i="16"/>
  <c r="O1432" i="16"/>
  <c r="O623" i="16"/>
  <c r="O624" i="16"/>
  <c r="O625" i="16"/>
  <c r="O626" i="16"/>
  <c r="O1256" i="16"/>
  <c r="O1257" i="16"/>
  <c r="O119" i="16"/>
  <c r="O2065" i="16"/>
  <c r="O2195" i="16"/>
  <c r="O2196" i="16"/>
  <c r="O1736" i="16"/>
  <c r="O2078" i="16"/>
  <c r="O2197" i="16"/>
  <c r="O717" i="16"/>
  <c r="O246" i="16"/>
  <c r="O247" i="16"/>
  <c r="O37" i="16"/>
  <c r="O122" i="16"/>
  <c r="O2198" i="16"/>
  <c r="O2199" i="16"/>
  <c r="O2200" i="16"/>
  <c r="O51" i="16"/>
  <c r="O464" i="16"/>
  <c r="O465" i="16"/>
  <c r="O52" i="16"/>
  <c r="O53" i="16"/>
  <c r="O54" i="16"/>
  <c r="O1396" i="16"/>
  <c r="O1397" i="16"/>
  <c r="O38" i="16"/>
  <c r="O39" i="16"/>
  <c r="O40" i="16"/>
  <c r="O1324" i="16"/>
  <c r="O985" i="16"/>
  <c r="O1134" i="16"/>
  <c r="O1027" i="16"/>
  <c r="O2201" i="16"/>
  <c r="O662" i="16"/>
  <c r="O1469" i="16"/>
  <c r="O639" i="16"/>
  <c r="O394" i="16"/>
  <c r="O672" i="16"/>
  <c r="O649" i="16"/>
  <c r="O1826" i="16"/>
  <c r="O644" i="16"/>
  <c r="O193" i="16"/>
  <c r="O420" i="16"/>
  <c r="O2202" i="16"/>
  <c r="O1827" i="16"/>
  <c r="O194" i="16"/>
  <c r="O19" i="16"/>
  <c r="O1151" i="16"/>
  <c r="O195" i="16"/>
  <c r="O1152" i="16"/>
  <c r="O20" i="16"/>
  <c r="O196" i="16"/>
  <c r="O671" i="16"/>
  <c r="O197" i="16"/>
  <c r="O1408" i="16"/>
  <c r="O729" i="16"/>
  <c r="O1767" i="16"/>
  <c r="O730" i="16"/>
  <c r="O395" i="16"/>
  <c r="O21" i="16"/>
  <c r="O1748" i="16"/>
  <c r="O751" i="16"/>
  <c r="O645" i="16"/>
  <c r="O1768" i="16"/>
  <c r="O1749" i="16"/>
  <c r="O661" i="16"/>
  <c r="O198" i="16"/>
  <c r="O737" i="16"/>
  <c r="O650" i="16"/>
  <c r="O1904" i="16"/>
  <c r="O1878" i="16"/>
  <c r="O627" i="16"/>
  <c r="O646" i="16"/>
  <c r="O647" i="16"/>
  <c r="O22" i="16"/>
  <c r="O1769" i="16"/>
  <c r="O1169" i="16"/>
  <c r="O930" i="16"/>
  <c r="O673" i="16"/>
  <c r="O1170" i="16"/>
  <c r="O1171" i="16"/>
  <c r="O23" i="16"/>
  <c r="O738" i="16"/>
  <c r="O739" i="16"/>
  <c r="O2203" i="16"/>
  <c r="O1172" i="16"/>
  <c r="O355" i="16"/>
  <c r="O223" i="16"/>
  <c r="O428" i="16"/>
  <c r="O214" i="16"/>
  <c r="O463" i="16"/>
  <c r="O209" i="16"/>
  <c r="O18" i="16"/>
  <c r="O135" i="16"/>
  <c r="O117" i="16"/>
  <c r="O121" i="16"/>
  <c r="O50" i="16"/>
  <c r="O213" i="16"/>
  <c r="O1080" i="16"/>
  <c r="O152" i="16"/>
  <c r="O1417" i="16"/>
  <c r="O1008" i="16"/>
  <c r="O1126" i="16"/>
  <c r="O1583" i="16"/>
  <c r="O571" i="16"/>
  <c r="O190" i="16"/>
  <c r="O1131" i="16"/>
  <c r="O191" i="16"/>
  <c r="O128" i="16"/>
  <c r="O331" i="16"/>
  <c r="O1414" i="16"/>
  <c r="O202" i="16"/>
  <c r="O203" i="16"/>
  <c r="O204" i="16"/>
  <c r="O929" i="16"/>
  <c r="O1609" i="16"/>
  <c r="O2152" i="16"/>
  <c r="O1595" i="16"/>
  <c r="O1127" i="16"/>
  <c r="O1607" i="16"/>
  <c r="O1770" i="16"/>
  <c r="O334" i="16"/>
  <c r="O2062" i="16"/>
  <c r="O840" i="16"/>
  <c r="O2204" i="16"/>
  <c r="O752" i="16"/>
  <c r="O1173" i="16"/>
  <c r="O2205" i="16"/>
  <c r="O1597" i="16"/>
  <c r="O592" i="16"/>
  <c r="O134" i="16"/>
  <c r="O616" i="16"/>
  <c r="O2206" i="16"/>
  <c r="O916" i="16"/>
  <c r="O2207" i="16"/>
  <c r="O1398" i="16"/>
  <c r="O2099" i="16"/>
  <c r="O345" i="16"/>
  <c r="O681" i="16"/>
  <c r="O1413" i="16"/>
  <c r="O715" i="16"/>
  <c r="O1920" i="16"/>
  <c r="O628" i="16"/>
  <c r="O651" i="16"/>
  <c r="O731" i="16"/>
  <c r="O648" i="16"/>
  <c r="O281" i="16"/>
  <c r="O199" i="16"/>
  <c r="O1522" i="16"/>
  <c r="O1805" i="16"/>
  <c r="O466" i="16"/>
  <c r="O2208" i="16"/>
  <c r="O1215" i="16"/>
  <c r="O1819" i="16"/>
  <c r="O1656" i="16"/>
  <c r="O399" i="16"/>
  <c r="O1828" i="16"/>
  <c r="O1750" i="16"/>
  <c r="O1513" i="16"/>
  <c r="O972" i="16"/>
  <c r="O182" i="16"/>
  <c r="O1117" i="16"/>
  <c r="O1273" i="16"/>
  <c r="O1814" i="16"/>
  <c r="O1153" i="16"/>
  <c r="O1788" i="16"/>
  <c r="O1561" i="16"/>
  <c r="O740" i="16"/>
  <c r="O207" i="16"/>
  <c r="O1896" i="16"/>
  <c r="O718" i="16"/>
  <c r="O365" i="16"/>
  <c r="O821" i="16"/>
  <c r="O1373" i="16"/>
  <c r="O1802" i="16"/>
  <c r="O2209" i="16"/>
  <c r="O1845" i="16"/>
  <c r="O2210" i="16"/>
  <c r="O805" i="16"/>
  <c r="O442" i="16"/>
  <c r="O640" i="16"/>
  <c r="O1879" i="16"/>
  <c r="O1590" i="16"/>
  <c r="O825" i="16"/>
  <c r="O1673" i="16"/>
  <c r="O1371" i="16"/>
  <c r="O1564" i="16"/>
  <c r="O55" i="16"/>
  <c r="O24" i="16"/>
  <c r="O1409" i="16"/>
  <c r="O46" i="16"/>
  <c r="O1995" i="16"/>
  <c r="O1617" i="16"/>
  <c r="O1050" i="16"/>
  <c r="O976" i="16"/>
  <c r="O1332" i="16"/>
  <c r="O1531" i="16"/>
  <c r="O224" i="16"/>
  <c r="O26" i="16"/>
  <c r="O719" i="16"/>
  <c r="O552" i="16"/>
  <c r="O553" i="16"/>
  <c r="O554" i="16"/>
  <c r="O555" i="16"/>
  <c r="O2211" i="16"/>
  <c r="O1625" i="16"/>
  <c r="O574" i="16"/>
  <c r="O575" i="16"/>
  <c r="O576" i="16"/>
  <c r="O950" i="16"/>
  <c r="O75" i="16"/>
  <c r="O1370" i="16"/>
  <c r="O2212" i="16"/>
  <c r="O1379" i="16"/>
  <c r="O211" i="16"/>
  <c r="O522" i="16"/>
  <c r="O82" i="16"/>
  <c r="O733" i="16"/>
  <c r="O212" i="16"/>
  <c r="O168" i="16"/>
  <c r="O439" i="16"/>
  <c r="O208" i="16"/>
  <c r="O215" i="16"/>
  <c r="O2213" i="16"/>
  <c r="O2214" i="16"/>
  <c r="O2215" i="16"/>
  <c r="O1902" i="16"/>
  <c r="O951" i="16"/>
  <c r="O1161" i="16"/>
  <c r="O1591" i="16"/>
  <c r="O28" i="16"/>
  <c r="O1562" i="16"/>
  <c r="O238" i="16"/>
  <c r="O239" i="16"/>
  <c r="O240" i="16"/>
  <c r="O584" i="16"/>
  <c r="O585" i="16"/>
  <c r="O437" i="16"/>
  <c r="O83" i="16"/>
  <c r="O29" i="16"/>
  <c r="O73" i="16"/>
  <c r="O586" i="16"/>
  <c r="O595" i="16"/>
  <c r="O596" i="16"/>
  <c r="O467" i="16"/>
  <c r="O71" i="16"/>
  <c r="O45" i="16"/>
  <c r="O763" i="16"/>
  <c r="O764" i="16"/>
  <c r="O421" i="16"/>
  <c r="O633" i="16"/>
  <c r="O557" i="16"/>
  <c r="O338" i="16"/>
  <c r="O1201" i="16"/>
  <c r="O56" i="16"/>
  <c r="O16" i="16"/>
  <c r="O25" i="16"/>
  <c r="O429" i="16"/>
  <c r="O33" i="16"/>
  <c r="O1181" i="16"/>
  <c r="O1182" i="16"/>
  <c r="O1183" i="16"/>
  <c r="O36" i="16"/>
  <c r="O1491" i="16"/>
  <c r="O1133" i="16"/>
  <c r="O234" i="16"/>
  <c r="O471" i="16"/>
  <c r="O302" i="16"/>
  <c r="O303" i="16"/>
  <c r="O1628" i="16"/>
  <c r="O148" i="16"/>
  <c r="O1039" i="16"/>
  <c r="O72" i="16"/>
  <c r="O241" i="16"/>
  <c r="O242" i="16"/>
  <c r="O243" i="16"/>
  <c r="O1514" i="16"/>
  <c r="O1442" i="16"/>
  <c r="O472" i="16"/>
  <c r="O304" i="16"/>
  <c r="O753" i="16"/>
  <c r="O2216" i="16"/>
  <c r="O156" i="16"/>
  <c r="O157" i="16"/>
  <c r="O248" i="16"/>
  <c r="O1771" i="16"/>
  <c r="O123" i="16"/>
  <c r="O2217" i="16"/>
  <c r="O468" i="16"/>
  <c r="O1429" i="16"/>
  <c r="O249" i="16"/>
  <c r="O250" i="16"/>
  <c r="O1430" i="16"/>
  <c r="O2175" i="16"/>
  <c r="O1051" i="16"/>
  <c r="O1096" i="16"/>
  <c r="O949" i="16"/>
  <c r="O312" i="16"/>
  <c r="O1482" i="16"/>
  <c r="O313" i="16"/>
  <c r="O422" i="16"/>
  <c r="O314" i="16"/>
  <c r="O315" i="16"/>
  <c r="O316" i="16"/>
  <c r="O7" i="16"/>
  <c r="O8" i="16"/>
  <c r="O124" i="16"/>
  <c r="O1779" i="16"/>
  <c r="O423" i="16"/>
  <c r="O1277" i="16"/>
  <c r="O1818" i="16"/>
  <c r="O1049" i="16"/>
  <c r="O562" i="16"/>
  <c r="O1431" i="16"/>
  <c r="O741" i="16"/>
  <c r="O931" i="16"/>
  <c r="O396" i="16"/>
  <c r="O577" i="16"/>
  <c r="O578" i="16"/>
  <c r="O990" i="16"/>
  <c r="O1714" i="16"/>
  <c r="O1245" i="16"/>
  <c r="O2218" i="16"/>
  <c r="O352" i="16"/>
  <c r="O353" i="16"/>
  <c r="O354" i="16"/>
  <c r="O136" i="16"/>
  <c r="O125" i="16"/>
  <c r="O1382" i="16"/>
  <c r="O1633" i="16"/>
  <c r="O317" i="16"/>
  <c r="O2071" i="16"/>
  <c r="O855" i="16"/>
  <c r="O856" i="16"/>
  <c r="O857" i="16"/>
  <c r="O473" i="16"/>
  <c r="O797" i="16"/>
  <c r="O798" i="16"/>
  <c r="O799" i="16"/>
  <c r="O1174" i="16"/>
  <c r="O1175" i="16"/>
  <c r="O1176" i="16"/>
  <c r="O1806" i="16"/>
  <c r="O1807" i="16"/>
  <c r="O1034" i="16"/>
  <c r="O1035" i="16"/>
  <c r="O1036" i="16"/>
  <c r="O2080" i="16"/>
  <c r="O809" i="16"/>
  <c r="O810" i="16"/>
  <c r="O811" i="16"/>
  <c r="O1358" i="16"/>
  <c r="O1359" i="16"/>
  <c r="O87" i="16"/>
  <c r="O88" i="16"/>
  <c r="O514" i="16"/>
  <c r="O515" i="16"/>
  <c r="O516" i="16"/>
  <c r="O2009" i="16"/>
  <c r="O2010" i="16"/>
  <c r="O1003" i="16"/>
  <c r="O1004" i="16"/>
  <c r="O1005" i="16"/>
  <c r="O431" i="16"/>
  <c r="O432" i="16"/>
  <c r="O433" i="16"/>
  <c r="O1155" i="16"/>
  <c r="O1156" i="16"/>
  <c r="O1157" i="16"/>
  <c r="O683" i="16"/>
  <c r="O684" i="16"/>
  <c r="O685" i="16"/>
  <c r="O780" i="16"/>
  <c r="O781" i="16"/>
  <c r="O782" i="16"/>
  <c r="O706" i="16"/>
  <c r="O707" i="16"/>
  <c r="O708" i="16"/>
  <c r="O1041" i="16"/>
  <c r="O342" i="16"/>
  <c r="O343" i="16"/>
  <c r="O774" i="16"/>
  <c r="O775" i="16"/>
  <c r="O776" i="16"/>
  <c r="O911" i="16"/>
  <c r="O912" i="16"/>
  <c r="O388" i="16"/>
  <c r="O389" i="16"/>
  <c r="O390" i="16"/>
  <c r="O546" i="16"/>
  <c r="O547" i="16"/>
  <c r="O1752" i="16"/>
  <c r="O1753" i="16"/>
  <c r="O563" i="16"/>
  <c r="O564" i="16"/>
  <c r="O565" i="16"/>
  <c r="O566" i="16"/>
  <c r="O1638" i="16"/>
  <c r="O1639" i="16"/>
  <c r="O1060" i="16"/>
  <c r="O1061" i="16"/>
  <c r="O1062" i="16"/>
  <c r="O722" i="16"/>
  <c r="O723" i="16"/>
  <c r="O724" i="16"/>
  <c r="O677" i="16"/>
  <c r="O678" i="16"/>
  <c r="O140" i="16"/>
  <c r="O1916" i="16"/>
  <c r="O1715" i="16"/>
  <c r="O1716" i="16"/>
  <c r="O1717" i="16"/>
  <c r="O886" i="16"/>
  <c r="O887" i="16"/>
  <c r="O888" i="16"/>
  <c r="O1011" i="16"/>
  <c r="O1012" i="16"/>
  <c r="O1013" i="16"/>
  <c r="O1785" i="16"/>
  <c r="O104" i="16"/>
  <c r="O1699" i="16"/>
  <c r="O1308" i="16"/>
  <c r="O1247" i="16"/>
  <c r="O1870" i="16"/>
  <c r="O2219" i="16"/>
  <c r="O2220" i="16"/>
  <c r="O850" i="16"/>
  <c r="O1556" i="16"/>
  <c r="O1743" i="16"/>
  <c r="O2143" i="16"/>
  <c r="O1812" i="16"/>
  <c r="O1378" i="16"/>
  <c r="O1912" i="16"/>
  <c r="O1727" i="16"/>
  <c r="O2077" i="16"/>
  <c r="O1260" i="16"/>
  <c r="O1997" i="16"/>
  <c r="O1940" i="16"/>
  <c r="O1512" i="16"/>
  <c r="O1873" i="16"/>
  <c r="O2070" i="16"/>
  <c r="O2125" i="16"/>
  <c r="O1184" i="16"/>
  <c r="O1765" i="16"/>
  <c r="O1722" i="16"/>
  <c r="O1859" i="16"/>
  <c r="O1786" i="16"/>
  <c r="O1921" i="16"/>
  <c r="O2221" i="16"/>
  <c r="O2073" i="16"/>
  <c r="O1344" i="16"/>
  <c r="O2061" i="16"/>
  <c r="O1917" i="16"/>
  <c r="O1918" i="16"/>
  <c r="O548" i="16"/>
  <c r="O725" i="16"/>
  <c r="O1808" i="16"/>
  <c r="O812" i="16"/>
  <c r="O813" i="16"/>
  <c r="O889" i="16"/>
  <c r="O105" i="16"/>
  <c r="O1841" i="16"/>
  <c r="O1842" i="16"/>
  <c r="O1191" i="16"/>
  <c r="O1192" i="16"/>
  <c r="O34" i="16"/>
  <c r="O35" i="16"/>
  <c r="O391" i="16"/>
  <c r="O426" i="16"/>
  <c r="O913" i="16"/>
  <c r="O474" i="16"/>
  <c r="O1042" i="16"/>
  <c r="O1360" i="16"/>
  <c r="O1006" i="16"/>
  <c r="O1007" i="16"/>
  <c r="O800" i="16"/>
  <c r="O801" i="16"/>
  <c r="O802" i="16"/>
  <c r="O803" i="16"/>
  <c r="O89" i="16"/>
  <c r="O90" i="16"/>
  <c r="O91" i="16"/>
  <c r="O2011" i="16"/>
  <c r="O686" i="16"/>
  <c r="O858" i="16"/>
  <c r="O1640" i="16"/>
  <c r="O517" i="16"/>
  <c r="O518" i="16"/>
  <c r="O519" i="16"/>
  <c r="O434" i="16"/>
  <c r="O344" i="16"/>
  <c r="O1037" i="16"/>
  <c r="O1038" i="16"/>
  <c r="O1063" i="16"/>
  <c r="O1718" i="16"/>
  <c r="O1177" i="16"/>
  <c r="O1178" i="16"/>
  <c r="O679" i="16"/>
  <c r="O2081" i="16"/>
  <c r="O141" i="16"/>
  <c r="O142" i="16"/>
  <c r="O783" i="16"/>
  <c r="O709" i="16"/>
  <c r="O1158" i="16"/>
  <c r="O1159" i="16"/>
  <c r="O1754" i="16"/>
  <c r="O1014" i="16"/>
  <c r="O567" i="16"/>
  <c r="O568" i="16"/>
  <c r="O569" i="16"/>
  <c r="O570" i="16"/>
  <c r="O777" i="16"/>
  <c r="O1248" i="16"/>
  <c r="O531" i="16"/>
  <c r="O1521" i="16"/>
  <c r="O1185" i="16"/>
  <c r="O1186" i="16"/>
  <c r="O1187" i="16"/>
  <c r="O1188" i="16"/>
  <c r="O1998" i="16"/>
  <c r="O1999" i="16"/>
  <c r="O1193" i="16"/>
  <c r="O795" i="16"/>
  <c r="O2222" i="16"/>
  <c r="O2223" i="16"/>
  <c r="O2224" i="16"/>
  <c r="O1309" i="16"/>
  <c r="O1310" i="16"/>
  <c r="O1311" i="16"/>
  <c r="O1312" i="16"/>
  <c r="O1313" i="16"/>
  <c r="O1730" i="16"/>
  <c r="O1833" i="16"/>
  <c r="O851" i="16"/>
  <c r="O2225" i="16"/>
  <c r="O1787" i="16"/>
  <c r="O1941" i="16"/>
  <c r="O1874" i="16"/>
  <c r="O1875" i="16"/>
  <c r="O1813" i="16"/>
  <c r="O143" i="16"/>
  <c r="O1010" i="16"/>
  <c r="O1601" i="16"/>
  <c r="O1559" i="16"/>
  <c r="O2226" i="16"/>
  <c r="O1496" i="16"/>
  <c r="O1509" i="16"/>
  <c r="O2105" i="16"/>
  <c r="O2104" i="16"/>
  <c r="O1933" i="16"/>
  <c r="O201" i="16"/>
  <c r="O1816" i="16"/>
  <c r="O1537" i="16"/>
  <c r="O2227" i="16"/>
  <c r="O2141" i="16"/>
  <c r="O2142" i="16"/>
  <c r="O2012" i="16"/>
  <c r="O84" i="16"/>
  <c r="O699" i="16"/>
  <c r="O816" i="16"/>
  <c r="O1887" i="16"/>
  <c r="O1888" i="16"/>
  <c r="O1146" i="16"/>
  <c r="O682" i="16"/>
  <c r="O712" i="16"/>
  <c r="O1525" i="16"/>
  <c r="O591" i="16"/>
  <c r="O2139" i="16"/>
  <c r="O817" i="16"/>
  <c r="O2110" i="16"/>
  <c r="O2024" i="16"/>
  <c r="O1518" i="16"/>
  <c r="O771" i="16"/>
  <c r="O772" i="16"/>
  <c r="O773" i="16"/>
  <c r="O457" i="16"/>
  <c r="O458" i="16"/>
  <c r="O885" i="16"/>
  <c r="O632" i="16"/>
  <c r="O1268" i="16"/>
  <c r="O613" i="16"/>
  <c r="O593" i="16"/>
  <c r="O1669" i="16"/>
  <c r="O1391" i="16"/>
  <c r="O1670" i="16"/>
  <c r="O1044" i="16"/>
  <c r="O666" i="16"/>
  <c r="O1728" i="16"/>
  <c r="O1059" i="16"/>
  <c r="O1165" i="16"/>
  <c r="O1198" i="16"/>
  <c r="O1407" i="16"/>
  <c r="O1113" i="16"/>
  <c r="O479" i="16"/>
  <c r="O1570" i="16"/>
  <c r="O1571" i="16"/>
  <c r="O1572" i="16"/>
  <c r="O2163" i="16"/>
  <c r="O2028" i="16"/>
  <c r="O690" i="16"/>
  <c r="O1092" i="16"/>
  <c r="O667" i="16"/>
  <c r="O1297" i="16"/>
  <c r="O1102" i="16"/>
  <c r="O1815" i="16"/>
  <c r="O1045" i="16"/>
  <c r="O1046" i="16"/>
  <c r="O832" i="16"/>
  <c r="O1746" i="16"/>
  <c r="O1756" i="16"/>
  <c r="O78" i="16"/>
  <c r="O1526" i="16"/>
  <c r="O968" i="16"/>
  <c r="O2228" i="16"/>
  <c r="O827" i="16"/>
  <c r="O1278" i="16"/>
  <c r="O1361" i="16"/>
  <c r="O961" i="16"/>
  <c r="O1362" i="16"/>
  <c r="O1803" i="16"/>
  <c r="O2229" i="16"/>
  <c r="O2230" i="16"/>
  <c r="O2231" i="16"/>
  <c r="O906" i="16"/>
  <c r="O865" i="16"/>
  <c r="O1589" i="16"/>
  <c r="O818" i="16"/>
  <c r="O819" i="16"/>
  <c r="O964" i="16"/>
  <c r="O820" i="16"/>
  <c r="O268" i="16"/>
  <c r="O1825" i="16"/>
  <c r="O1704" i="16"/>
  <c r="O2147" i="16"/>
  <c r="O594" i="16"/>
  <c r="O1505" i="16"/>
  <c r="O1579" i="16"/>
  <c r="O1298" i="16"/>
  <c r="O1757" i="16"/>
  <c r="O1758" i="16"/>
  <c r="O668" i="16"/>
  <c r="O305" i="16"/>
  <c r="O1747" i="16"/>
  <c r="O581" i="16"/>
  <c r="O590" i="16"/>
  <c r="O1438" i="16"/>
  <c r="O1830" i="16"/>
  <c r="O1790" i="16"/>
  <c r="O1630" i="16"/>
  <c r="O1608" i="16"/>
  <c r="O1272" i="16"/>
  <c r="O1463" i="16"/>
  <c r="O2232" i="16"/>
  <c r="O1599" i="16"/>
  <c r="O2233" i="16"/>
  <c r="O1632" i="16"/>
  <c r="O1472" i="16"/>
  <c r="O1993" i="16"/>
  <c r="O2172" i="16"/>
  <c r="O2234" i="16"/>
  <c r="O2109" i="16"/>
  <c r="O2235" i="16"/>
  <c r="O909" i="16"/>
  <c r="O147" i="16"/>
  <c r="O96" i="16"/>
  <c r="O695" i="16"/>
  <c r="O1221" i="16"/>
  <c r="O608" i="16"/>
  <c r="O1098" i="16"/>
  <c r="O629" i="16"/>
  <c r="O484" i="16"/>
  <c r="O945" i="16"/>
  <c r="O1076" i="16"/>
  <c r="O1355" i="16"/>
  <c r="O498" i="16"/>
  <c r="O503" i="16"/>
  <c r="O129" i="16"/>
  <c r="O1099" i="16"/>
  <c r="O485" i="16"/>
  <c r="O946" i="16"/>
  <c r="O696" i="16"/>
  <c r="O609" i="16"/>
  <c r="O504" i="16"/>
  <c r="O325" i="16"/>
  <c r="O130" i="16"/>
  <c r="O97" i="16"/>
  <c r="O867" i="16"/>
  <c r="O1100" i="16"/>
  <c r="O630" i="16"/>
  <c r="O361" i="16"/>
  <c r="O486" i="16"/>
  <c r="O1077" i="16"/>
  <c r="O499" i="16"/>
  <c r="O697" i="16"/>
  <c r="O910" i="16"/>
  <c r="O991" i="16"/>
  <c r="O326" i="16"/>
  <c r="O131" i="16"/>
  <c r="O98" i="16"/>
  <c r="O631" i="16"/>
  <c r="O362" i="16"/>
  <c r="O500" i="16"/>
  <c r="O614" i="16"/>
  <c r="O1230" i="16"/>
  <c r="O1950" i="16"/>
  <c r="O1960" i="16"/>
  <c r="O1651" i="16"/>
  <c r="O1239" i="16"/>
  <c r="O149" i="16"/>
  <c r="O274" i="16"/>
  <c r="O868" i="16"/>
  <c r="O869" i="16"/>
  <c r="O870" i="16"/>
  <c r="O100" i="16"/>
  <c r="O967" i="16"/>
  <c r="O610" i="16"/>
  <c r="O1240" i="16"/>
  <c r="O871" i="16"/>
  <c r="O32" i="16"/>
  <c r="O174" i="16"/>
  <c r="O702" i="16"/>
  <c r="O1028" i="16"/>
  <c r="O2136" i="16"/>
  <c r="O505" i="16"/>
  <c r="O99" i="16"/>
  <c r="O852" i="16"/>
  <c r="O327" i="16"/>
  <c r="O1142" i="16"/>
  <c r="O363" i="16"/>
  <c r="O1376" i="16"/>
  <c r="O1093" i="16"/>
  <c r="O509" i="16"/>
  <c r="O872" i="16"/>
  <c r="O1418" i="16"/>
  <c r="O703" i="16"/>
  <c r="O704" i="16"/>
  <c r="O1029" i="16"/>
  <c r="O1030" i="16"/>
  <c r="O2137" i="16"/>
  <c r="O2138" i="16"/>
  <c r="O1094" i="16"/>
  <c r="O1095" i="16"/>
  <c r="O1326" i="16"/>
  <c r="O1327" i="16"/>
  <c r="O1328" i="16"/>
  <c r="O938" i="16"/>
  <c r="O939" i="16"/>
  <c r="O940" i="16"/>
  <c r="O1356" i="16"/>
  <c r="O1143" i="16"/>
  <c r="O1144" i="16"/>
  <c r="O1078" i="16"/>
  <c r="O853" i="16"/>
  <c r="O854" i="16"/>
  <c r="O510" i="16"/>
  <c r="O511" i="16"/>
  <c r="O172" i="16"/>
  <c r="O173" i="16"/>
  <c r="O1419" i="16"/>
  <c r="O1420" i="16"/>
  <c r="O615" i="16"/>
  <c r="O2236" i="16"/>
  <c r="O1101" i="16"/>
  <c r="O150" i="16"/>
  <c r="O275" i="16"/>
  <c r="O1602" i="16"/>
  <c r="O1661" i="16"/>
  <c r="O1871" i="16"/>
  <c r="O1662" i="16"/>
  <c r="O2151" i="16"/>
  <c r="O2237" i="16"/>
  <c r="O306" i="16"/>
  <c r="O2238" i="16"/>
  <c r="O1528" i="16"/>
  <c r="O2239" i="16"/>
  <c r="O2086" i="16"/>
  <c r="O2240" i="16"/>
  <c r="O2007" i="16"/>
  <c r="O1733" i="16"/>
  <c r="O1766" i="16"/>
  <c r="O2002" i="16"/>
  <c r="O2169" i="16"/>
  <c r="O1903" i="16"/>
  <c r="O1760" i="16"/>
  <c r="O1737" i="16"/>
  <c r="O1677" i="16"/>
  <c r="O2119" i="16"/>
  <c r="O2148" i="16"/>
  <c r="O2241" i="16"/>
  <c r="O2149" i="16"/>
  <c r="O2067" i="16"/>
  <c r="O1957" i="16"/>
  <c r="O2122" i="16"/>
  <c r="O1434" i="16"/>
  <c r="O2133" i="16"/>
  <c r="O2242" i="16"/>
  <c r="O1792" i="16"/>
  <c r="O2093" i="16"/>
  <c r="O1735" i="16"/>
  <c r="O1224" i="16"/>
  <c r="O1910" i="16"/>
  <c r="O1911" i="16"/>
  <c r="O2243" i="16"/>
  <c r="O2244" i="16"/>
  <c r="O2180" i="16"/>
  <c r="O2245" i="16"/>
  <c r="O2246" i="16"/>
  <c r="O2247" i="16"/>
  <c r="O1799" i="16"/>
  <c r="O2248" i="16"/>
  <c r="O2249" i="16"/>
  <c r="O1685" i="16"/>
  <c r="O1289" i="16"/>
  <c r="O1671" i="16"/>
  <c r="O2250" i="16"/>
  <c r="O2251" i="16"/>
  <c r="O2252" i="16"/>
  <c r="O2146" i="16"/>
  <c r="O2097" i="16"/>
  <c r="O2157" i="16"/>
  <c r="O1288" i="16"/>
  <c r="O636" i="16"/>
  <c r="O1797" i="16"/>
  <c r="O1675" i="16"/>
  <c r="O1939" i="16"/>
  <c r="O1104" i="16"/>
  <c r="O2127" i="16"/>
  <c r="O1517" i="16"/>
  <c r="O1287" i="16"/>
  <c r="O1209" i="16"/>
  <c r="O120" i="16"/>
  <c r="O1336" i="16"/>
  <c r="O1380" i="16"/>
  <c r="O2089" i="16"/>
  <c r="O408" i="16"/>
  <c r="O189" i="16"/>
  <c r="O1759" i="16"/>
  <c r="O1089" i="16"/>
  <c r="O979" i="16"/>
  <c r="O980" i="16"/>
  <c r="O1468" i="16"/>
  <c r="O1415" i="16"/>
  <c r="O1944" i="16"/>
  <c r="O1461" i="16"/>
  <c r="O1462" i="16"/>
  <c r="O2253" i="16"/>
  <c r="O1031" i="16"/>
  <c r="O480" i="16"/>
  <c r="O481" i="16"/>
  <c r="O482" i="16"/>
  <c r="O483" i="16"/>
  <c r="O507" i="16"/>
  <c r="O508" i="16"/>
  <c r="O2254" i="16"/>
  <c r="O2255" i="16"/>
  <c r="O1618" i="16"/>
  <c r="O1421" i="16"/>
  <c r="O1516" i="16"/>
  <c r="O1249" i="16"/>
  <c r="O1250" i="16"/>
  <c r="O372" i="16"/>
  <c r="O373" i="16"/>
  <c r="O1930" i="16"/>
  <c r="O1389" i="16"/>
  <c r="O746" i="16"/>
  <c r="O438" i="16"/>
  <c r="O1889" i="16"/>
  <c r="O307" i="16"/>
  <c r="O1369" i="16"/>
  <c r="O2256" i="16"/>
  <c r="O915" i="16"/>
  <c r="O2257" i="16"/>
  <c r="O2258" i="16"/>
  <c r="O2158" i="16"/>
  <c r="O637" i="16"/>
  <c r="O2128" i="16"/>
  <c r="O2259" i="16"/>
  <c r="O2260" i="16"/>
  <c r="O2261" i="16"/>
  <c r="O2134" i="16"/>
  <c r="O728" i="16"/>
  <c r="O2170" i="16"/>
  <c r="O880" i="16"/>
  <c r="O1466" i="16"/>
  <c r="O1843" i="16"/>
  <c r="O2262" i="16"/>
  <c r="O86" i="16"/>
  <c r="O2083" i="16"/>
  <c r="O1719" i="16"/>
  <c r="O2263" i="16"/>
  <c r="O1458" i="16"/>
  <c r="O866" i="16"/>
  <c r="O2076" i="16"/>
  <c r="O2123" i="16"/>
  <c r="O405" i="16"/>
  <c r="O864" i="16"/>
  <c r="O1653" i="16"/>
  <c r="O1164" i="16"/>
  <c r="O742" i="16"/>
  <c r="O1290" i="16"/>
  <c r="O778" i="16"/>
  <c r="O744" i="16"/>
  <c r="O897" i="16"/>
  <c r="O2264" i="16"/>
  <c r="O2265" i="16"/>
  <c r="O158" i="16"/>
  <c r="O159" i="16"/>
  <c r="O1942" i="16"/>
  <c r="O297" i="16"/>
  <c r="O841" i="16"/>
  <c r="O1858" i="16"/>
  <c r="O638" i="16"/>
  <c r="O2132" i="16"/>
  <c r="O1598" i="16"/>
  <c r="O1798" i="16"/>
  <c r="O1882" i="16"/>
  <c r="O424" i="16"/>
  <c r="O425" i="16"/>
  <c r="O9" i="16"/>
  <c r="O1052" i="16"/>
  <c r="O2162" i="16"/>
  <c r="O2082" i="16"/>
  <c r="O2150" i="16"/>
  <c r="O2094" i="16"/>
  <c r="O1837" i="16"/>
  <c r="O256" i="16"/>
  <c r="O1331" i="16"/>
  <c r="O1660" i="16"/>
  <c r="O364" i="16"/>
  <c r="O954" i="16"/>
  <c r="O2013" i="16"/>
  <c r="O2266" i="16"/>
  <c r="O1755" i="16"/>
  <c r="O558" i="16"/>
  <c r="O448" i="16"/>
  <c r="O860" i="16"/>
  <c r="O1854" i="16"/>
  <c r="O137" i="16"/>
  <c r="O192" i="16"/>
  <c r="O561" i="16"/>
  <c r="O743" i="16"/>
  <c r="O814" i="16"/>
  <c r="O815" i="16"/>
  <c r="O2267" i="16"/>
  <c r="O2120" i="16"/>
  <c r="O914" i="16"/>
  <c r="O346" i="16"/>
  <c r="O443" i="16"/>
  <c r="O444" i="16"/>
  <c r="O260" i="16"/>
  <c r="O445" i="16"/>
  <c r="O446" i="16"/>
  <c r="O293" i="16"/>
  <c r="O1674" i="16"/>
  <c r="O1682" i="16"/>
  <c r="O1683" i="16"/>
  <c r="O2126" i="16"/>
  <c r="O2268" i="16"/>
  <c r="O1964" i="16"/>
  <c r="O792" i="16"/>
  <c r="O793" i="16"/>
  <c r="O1547" i="16"/>
  <c r="O2269" i="16"/>
  <c r="O1686" i="16"/>
  <c r="O1687" i="16"/>
  <c r="O1688" i="16"/>
  <c r="O2270" i="16"/>
  <c r="O2102" i="16"/>
  <c r="O2271" i="16"/>
  <c r="O2272" i="16"/>
  <c r="O1655" i="16"/>
  <c r="O732" i="16"/>
  <c r="O1678" i="16"/>
  <c r="O973" i="16"/>
  <c r="O974" i="16"/>
  <c r="O1622" i="16"/>
  <c r="O1084" i="16"/>
  <c r="O2273" i="16"/>
  <c r="O1196" i="16"/>
  <c r="O2087" i="16"/>
  <c r="O1533" i="16"/>
  <c r="O2274" i="16"/>
  <c r="O1885" i="16"/>
  <c r="O2275" i="16"/>
  <c r="O1483" i="16"/>
  <c r="O1914" i="16"/>
  <c r="O292" i="16"/>
  <c r="O1448" i="16"/>
  <c r="O2276" i="16"/>
  <c r="O2277" i="16"/>
  <c r="O1689" i="16"/>
  <c r="O2278" i="16"/>
  <c r="O1335" i="16"/>
  <c r="O534" i="16"/>
  <c r="O535" i="16"/>
  <c r="O536" i="16"/>
  <c r="O537" i="16"/>
  <c r="O538" i="16"/>
  <c r="O539" i="16"/>
  <c r="O1943" i="16"/>
  <c r="O1333" i="16"/>
  <c r="O409" i="16"/>
  <c r="O410" i="16"/>
  <c r="O411" i="16"/>
  <c r="O412" i="16"/>
  <c r="O413" i="16"/>
  <c r="O414" i="16"/>
  <c r="O415" i="16"/>
  <c r="O416" i="16"/>
  <c r="O417" i="16"/>
  <c r="O418" i="16"/>
  <c r="O877" i="16"/>
  <c r="O807" i="16"/>
  <c r="O1690" i="16"/>
  <c r="O1652" i="16"/>
  <c r="O2154" i="16"/>
  <c r="O1691" i="16"/>
  <c r="O2003" i="16"/>
  <c r="O1658" i="16"/>
  <c r="O2279" i="16"/>
  <c r="O2280" i="16"/>
  <c r="O1927" i="16"/>
  <c r="O1684" i="16"/>
  <c r="O2281" i="16"/>
  <c r="O1692" i="16"/>
  <c r="O1820" i="16"/>
  <c r="O2282" i="16"/>
  <c r="O2283" i="16"/>
  <c r="O164" i="16"/>
  <c r="O165" i="16"/>
  <c r="O166" i="16"/>
  <c r="O167" i="16"/>
  <c r="O401" i="16"/>
  <c r="O402" i="16"/>
  <c r="O403" i="16"/>
  <c r="O2072" i="16"/>
  <c r="O2284" i="16"/>
  <c r="O1913" i="16"/>
  <c r="O222" i="16"/>
  <c r="O30" i="16"/>
  <c r="O101" i="16"/>
  <c r="O102" i="16"/>
  <c r="O103" i="16"/>
  <c r="O114" i="16"/>
  <c r="O115" i="16"/>
  <c r="O2066" i="16"/>
  <c r="O2018" i="16"/>
  <c r="O356" i="16"/>
  <c r="O116" i="16"/>
  <c r="O107" i="16"/>
  <c r="O108" i="16"/>
  <c r="O1626" i="16"/>
  <c r="O109" i="16"/>
  <c r="O251" i="16"/>
  <c r="O252" i="16"/>
  <c r="O253" i="16"/>
  <c r="O2285" i="16"/>
  <c r="O254" i="16"/>
  <c r="O255" i="16"/>
  <c r="O1762" i="16"/>
  <c r="O1763" i="16"/>
  <c r="O1764" i="16"/>
  <c r="O447" i="16"/>
  <c r="O540" i="16"/>
  <c r="O541" i="16"/>
  <c r="O882" i="16"/>
  <c r="O978" i="16"/>
  <c r="O1693" i="16"/>
  <c r="O1694" i="16"/>
  <c r="O404" i="16"/>
  <c r="O1616" i="16"/>
  <c r="O340" i="16"/>
  <c r="O341" i="16"/>
  <c r="O2286" i="16"/>
  <c r="O2287" i="16"/>
  <c r="O1919" i="16"/>
  <c r="O333" i="16"/>
  <c r="O1848" i="16"/>
  <c r="O2288" i="16"/>
  <c r="O2289" i="16"/>
  <c r="O2290" i="16"/>
  <c r="O2091" i="16"/>
  <c r="O2121" i="16"/>
  <c r="O1664" i="16"/>
  <c r="O1969" i="16"/>
  <c r="O2032" i="16"/>
  <c r="O2159" i="16"/>
  <c r="O1713" i="16"/>
  <c r="O1343" i="16"/>
  <c r="O2038" i="16"/>
  <c r="O1970" i="16"/>
  <c r="O1354" i="16"/>
  <c r="O2039" i="16"/>
  <c r="O1706" i="16"/>
  <c r="O1672" i="16"/>
  <c r="O1554" i="16"/>
  <c r="O1695" i="16"/>
  <c r="O1374" i="16"/>
  <c r="O1631" i="16"/>
  <c r="O1372" i="16"/>
  <c r="O1665" i="16"/>
  <c r="O1666" i="16"/>
  <c r="O1635" i="16"/>
  <c r="O1895" i="16"/>
  <c r="O1307" i="16"/>
  <c r="O873" i="16"/>
  <c r="O1936" i="16"/>
  <c r="O1225" i="16"/>
  <c r="O1624" i="16"/>
  <c r="O1775" i="16"/>
  <c r="O1549" i="16"/>
  <c r="O986" i="16"/>
  <c r="O956" i="16"/>
  <c r="O1621" i="16"/>
  <c r="O1776" i="16"/>
  <c r="O1860" i="16"/>
  <c r="O987" i="16"/>
  <c r="O988" i="16"/>
  <c r="O989" i="16"/>
  <c r="O957" i="16"/>
  <c r="O958" i="16"/>
  <c r="O959" i="16"/>
  <c r="O2291" i="16"/>
  <c r="O2292" i="16"/>
  <c r="O2040" i="16"/>
  <c r="O2041" i="16"/>
  <c r="O2042" i="16"/>
  <c r="O2293" i="16"/>
  <c r="O2171" i="16"/>
  <c r="O2043" i="16"/>
  <c r="O1696" i="16"/>
  <c r="O1623" i="16"/>
  <c r="O1849" i="16"/>
  <c r="O1979" i="16"/>
  <c r="O1412" i="16"/>
  <c r="O1742" i="16"/>
  <c r="O1410" i="16"/>
  <c r="O1237" i="16"/>
  <c r="O1238" i="16"/>
  <c r="O1269" i="16"/>
  <c r="O1264" i="16"/>
  <c r="O1255" i="16"/>
  <c r="O1793" i="16"/>
  <c r="O1794" i="16"/>
  <c r="O2294" i="16"/>
  <c r="O1546" i="16"/>
  <c r="O1375" i="16"/>
  <c r="O2295" i="16"/>
  <c r="O1697" i="16"/>
  <c r="O1698" i="16"/>
  <c r="O1636" i="16"/>
  <c r="O1641" i="16"/>
  <c r="O1667" i="16"/>
  <c r="O1778" i="16"/>
  <c r="O1985" i="16"/>
  <c r="O1323" i="16"/>
  <c r="O1988" i="16"/>
  <c r="O1821" i="16"/>
  <c r="O1265" i="16"/>
  <c r="O994" i="16"/>
  <c r="O823" i="16"/>
  <c r="O1132" i="16"/>
  <c r="O1381" i="16"/>
  <c r="O1592" i="16"/>
  <c r="O1217" i="16"/>
  <c r="O1189" i="16"/>
  <c r="O2044" i="16"/>
  <c r="O1465" i="16"/>
  <c r="O2045" i="16"/>
  <c r="O1663" i="16"/>
  <c r="O1259" i="16"/>
  <c r="O1492" i="16"/>
  <c r="O983" i="16"/>
  <c r="O1455" i="16"/>
  <c r="O960" i="16"/>
  <c r="O1811" i="16"/>
  <c r="O2296" i="16"/>
  <c r="O2046" i="16"/>
  <c r="O2047" i="16"/>
  <c r="O2297" i="16"/>
  <c r="O2298" i="16"/>
  <c r="O1726" i="16"/>
  <c r="O1935" i="16"/>
  <c r="O2299" i="16"/>
  <c r="O1729" i="16"/>
  <c r="O218" i="16"/>
  <c r="O1971" i="16"/>
  <c r="O1972" i="16"/>
  <c r="O2179" i="16"/>
  <c r="O1329" i="16"/>
  <c r="O380" i="16"/>
  <c r="O381" i="16"/>
  <c r="O2048" i="16"/>
  <c r="O2300" i="16"/>
  <c r="O2144" i="16"/>
  <c r="O1906" i="16"/>
  <c r="O2153" i="16"/>
  <c r="O219" i="16"/>
  <c r="O220" i="16"/>
  <c r="O1423" i="16"/>
  <c r="O1637" i="16"/>
  <c r="O2049" i="16"/>
  <c r="O2027" i="16"/>
  <c r="O1959" i="16"/>
  <c r="O2014" i="16"/>
  <c r="O1958" i="16"/>
  <c r="O1947" i="16"/>
  <c r="O1973" i="16"/>
  <c r="O2050" i="16"/>
  <c r="O41" i="16"/>
  <c r="O42" i="16"/>
  <c r="O43" i="16"/>
  <c r="O2301" i="16"/>
  <c r="O44" i="16"/>
  <c r="O2165" i="16"/>
  <c r="O2034" i="16"/>
  <c r="O2302" i="16"/>
  <c r="O1515" i="16"/>
  <c r="O2116" i="16"/>
  <c r="O1834" i="16"/>
  <c r="O1322" i="16"/>
  <c r="O1961" i="16"/>
  <c r="O1907" i="16"/>
  <c r="O2051" i="16"/>
  <c r="O1424" i="16"/>
  <c r="O2303" i="16"/>
  <c r="O1909" i="16"/>
  <c r="O1330" i="16"/>
  <c r="O2033" i="16"/>
  <c r="O67" i="16"/>
  <c r="O68" i="16"/>
  <c r="O1791" i="16"/>
  <c r="O2052" i="16"/>
  <c r="O1456" i="16"/>
  <c r="O1594" i="16"/>
  <c r="O69" i="16"/>
  <c r="O382" i="16"/>
  <c r="O85" i="16"/>
  <c r="O2304" i="16"/>
  <c r="O70" i="16"/>
  <c r="O669" i="16"/>
  <c r="O1703" i="16"/>
  <c r="O617" i="16"/>
  <c r="O580" i="16"/>
  <c r="O618" i="16"/>
  <c r="O619" i="16"/>
  <c r="O620" i="16"/>
  <c r="O621" i="16"/>
  <c r="O622" i="16"/>
  <c r="O1563" i="16"/>
  <c r="O676" i="16"/>
  <c r="O670" i="16"/>
  <c r="O828" i="16"/>
  <c r="O829" i="16"/>
  <c r="O830" i="16"/>
  <c r="O244" i="16"/>
  <c r="O245" i="16"/>
  <c r="O1777" i="16"/>
  <c r="O1700" i="16"/>
  <c r="O1548" i="16"/>
  <c r="O844" i="16"/>
  <c r="O845" i="16"/>
  <c r="O1166" i="16"/>
  <c r="O2053" i="16"/>
  <c r="O2305" i="16"/>
  <c r="O377" i="16"/>
  <c r="O378" i="16"/>
  <c r="O379" i="16"/>
  <c r="O229" i="16"/>
  <c r="O230" i="16"/>
  <c r="O231" i="16"/>
  <c r="O1795" i="16"/>
  <c r="O1891" i="16"/>
  <c r="O1923" i="16"/>
  <c r="O2054" i="16"/>
  <c r="O2306" i="16"/>
  <c r="O1839" i="16"/>
  <c r="O1945" i="16"/>
  <c r="O1974" i="16"/>
  <c r="O1835" i="16"/>
  <c r="O1085" i="16"/>
  <c r="O1086" i="16"/>
  <c r="O1422" i="16"/>
  <c r="O1145" i="16"/>
  <c r="O1057" i="16"/>
  <c r="O1584" i="16"/>
  <c r="O1773" i="16"/>
  <c r="O1789" i="16"/>
  <c r="O1883" i="16"/>
  <c r="O1058" i="16"/>
  <c r="O1119" i="16"/>
  <c r="O1840" i="16"/>
  <c r="O846" i="16"/>
  <c r="O1254" i="16"/>
  <c r="O322" i="16"/>
  <c r="O2036" i="16"/>
  <c r="O2037" i="16"/>
  <c r="O1527" i="16"/>
  <c r="O1975" i="16"/>
  <c r="O1984" i="16"/>
  <c r="O1220" i="16"/>
  <c r="O1894" i="16"/>
  <c r="O1634" i="16"/>
  <c r="O2307" i="16"/>
  <c r="O2173" i="16"/>
  <c r="O1929" i="16"/>
  <c r="O2166" i="16"/>
  <c r="O2023" i="16"/>
  <c r="O1926" i="16"/>
  <c r="O1836" i="16"/>
  <c r="O1334" i="16"/>
  <c r="O2308" i="16"/>
  <c r="O1976" i="16"/>
  <c r="O1908" i="16"/>
  <c r="O1781" i="16"/>
  <c r="O2000" i="16"/>
  <c r="O2129" i="16"/>
  <c r="O1657" i="16"/>
  <c r="O1829" i="16"/>
  <c r="O1955" i="16"/>
  <c r="O2035" i="16"/>
  <c r="O1977" i="16"/>
  <c r="O2309" i="16"/>
  <c r="O2310" i="16"/>
  <c r="O2031" i="16"/>
  <c r="O2055" i="16"/>
  <c r="O2030" i="16"/>
  <c r="O1968" i="16"/>
  <c r="O2311" i="16"/>
  <c r="O1952" i="16"/>
  <c r="O2312" i="16"/>
  <c r="O2313" i="16"/>
  <c r="O2314" i="16"/>
  <c r="O1869" i="16"/>
  <c r="O1953" i="16"/>
  <c r="O1892" i="16"/>
  <c r="O1831" i="16"/>
  <c r="O1866" i="16"/>
  <c r="O2315" i="16"/>
  <c r="O2026" i="16"/>
  <c r="O1668" i="16"/>
  <c r="O2131" i="16"/>
  <c r="O1745" i="16"/>
  <c r="O2316" i="16"/>
  <c r="O2317" i="16"/>
  <c r="O2056" i="16"/>
  <c r="O2318" i="16"/>
  <c r="O2319" i="16"/>
  <c r="O2118" i="16"/>
  <c r="O1951" i="16"/>
  <c r="O1252" i="16"/>
  <c r="O217" i="16"/>
  <c r="O369" i="16"/>
  <c r="O138" i="16"/>
  <c r="O898" i="16"/>
  <c r="O1383" i="16"/>
  <c r="O1384" i="16"/>
  <c r="O1506" i="16"/>
  <c r="O262" i="16"/>
  <c r="O1426" i="16"/>
  <c r="O139" i="16"/>
  <c r="O657" i="16"/>
  <c r="O710" i="16"/>
  <c r="O1928" i="16"/>
  <c r="O1867" i="16"/>
  <c r="O1425" i="16"/>
  <c r="O1400" i="16"/>
  <c r="O1710" i="16"/>
  <c r="O2025" i="16"/>
  <c r="O1543" i="16"/>
  <c r="O1578" i="16"/>
  <c r="O1648" i="16"/>
  <c r="O1980" i="16"/>
  <c r="O2075" i="16"/>
  <c r="O2320" i="16"/>
  <c r="O2321" i="16"/>
  <c r="O1460" i="16"/>
  <c r="O2113" i="16"/>
  <c r="O1524" i="16"/>
  <c r="O2322" i="16"/>
  <c r="O2174" i="16"/>
  <c r="O1938" i="16"/>
  <c r="O1899" i="16"/>
  <c r="O2323" i="16"/>
  <c r="O2130" i="16"/>
  <c r="O711" i="16"/>
  <c r="O2145" i="16"/>
  <c r="O1922" i="16"/>
  <c r="O1489" i="16"/>
  <c r="O2176" i="16"/>
  <c r="O1593" i="16"/>
  <c r="O1963" i="16"/>
  <c r="O883" i="16"/>
  <c r="O2029" i="16"/>
  <c r="O1898" i="16"/>
  <c r="O10" i="16"/>
  <c r="O11" i="16"/>
  <c r="O12" i="16"/>
  <c r="O13" i="16"/>
  <c r="O14" i="16"/>
  <c r="O1965" i="16"/>
  <c r="O750" i="16"/>
  <c r="O15" i="16"/>
  <c r="O971" i="16"/>
  <c r="O1395" i="16"/>
  <c r="O1232" i="16"/>
  <c r="O760" i="16"/>
  <c r="O206" i="16"/>
  <c r="O663" i="16"/>
  <c r="O237" i="16"/>
  <c r="O111" i="16"/>
  <c r="O383" i="16"/>
  <c r="O311" i="16"/>
  <c r="O57" i="16"/>
  <c r="O110" i="16"/>
  <c r="O1629" i="16"/>
  <c r="O714" i="16"/>
  <c r="O1150" i="16"/>
  <c r="O323" i="16"/>
  <c r="O430" i="16"/>
  <c r="O339" i="16"/>
  <c r="O757" i="16"/>
  <c r="O374" i="16"/>
  <c r="O74" i="16"/>
  <c r="O106" i="16"/>
  <c r="O2016" i="16"/>
  <c r="O1905" i="16"/>
  <c r="O2324" i="16"/>
  <c r="O1774" i="16"/>
  <c r="O1274" i="16"/>
  <c r="O1948" i="16"/>
  <c r="O1838" i="16"/>
  <c r="O1865" i="16"/>
  <c r="O1761" i="16"/>
  <c r="O2111" i="16"/>
  <c r="O1744" i="16"/>
  <c r="O2090" i="16"/>
  <c r="O2325" i="16"/>
  <c r="O1510" i="16"/>
  <c r="O1557" i="16"/>
  <c r="O1363" i="16"/>
  <c r="O1705" i="16"/>
  <c r="O2020" i="16"/>
  <c r="O2021" i="16"/>
  <c r="O1801" i="16"/>
  <c r="O1782" i="16"/>
  <c r="O2326" i="16"/>
  <c r="O2017" i="16"/>
  <c r="O1978" i="16"/>
  <c r="O1844" i="16"/>
  <c r="O2092" i="16"/>
  <c r="O2117" i="16"/>
  <c r="O2327" i="16"/>
  <c r="O1872" i="16"/>
  <c r="O2328" i="16"/>
  <c r="O2329" i="16"/>
  <c r="O2330" i="16"/>
  <c r="O2331" i="16"/>
  <c r="O1855" i="16"/>
  <c r="O1877" i="16"/>
  <c r="O1337" i="16"/>
  <c r="O754" i="16"/>
  <c r="O1501" i="16"/>
  <c r="O2098" i="16"/>
  <c r="O831" i="16"/>
  <c r="O1611" i="16"/>
  <c r="O1582" i="16"/>
  <c r="O1558" i="16"/>
  <c r="O1246" i="16"/>
  <c r="O1106" i="16"/>
  <c r="O794" i="16"/>
  <c r="O1734" i="16"/>
  <c r="O1796" i="16"/>
  <c r="O1529" i="16"/>
  <c r="O1390" i="16"/>
  <c r="O1822" i="16"/>
  <c r="O952" i="16"/>
  <c r="O1213" i="16"/>
  <c r="O1444" i="16"/>
  <c r="O1545" i="16"/>
  <c r="O2332" i="16"/>
  <c r="O2333" i="16"/>
  <c r="O2334" i="16"/>
  <c r="O2335" i="16"/>
  <c r="O2336" i="16"/>
  <c r="O2337" i="16"/>
  <c r="O2338" i="16"/>
  <c r="O2339" i="16"/>
  <c r="O2340" i="16"/>
  <c r="O2341" i="16"/>
  <c r="O1229" i="16"/>
  <c r="O1147" i="16"/>
  <c r="O1490" i="16"/>
  <c r="O1114" i="16"/>
  <c r="O2095" i="16"/>
  <c r="O1681" i="16"/>
  <c r="O1832" i="16"/>
  <c r="O1241" i="16"/>
  <c r="O1881" i="16"/>
  <c r="O1847" i="16"/>
  <c r="O755" i="16"/>
  <c r="O1216" i="16"/>
  <c r="O721" i="16"/>
  <c r="O1495" i="16"/>
  <c r="O1804" i="16"/>
  <c r="O351" i="16"/>
  <c r="O489" i="16"/>
  <c r="O289" i="16"/>
  <c r="O290" i="16"/>
  <c r="O1214" i="16"/>
  <c r="O1721" i="16"/>
  <c r="O126" i="16"/>
  <c r="O376" i="16"/>
  <c r="O1488" i="16"/>
  <c r="O1712" i="16"/>
  <c r="O1056" i="16"/>
  <c r="O1580" i="16"/>
  <c r="O1097" i="16"/>
  <c r="O937" i="16"/>
  <c r="O1040" i="16"/>
  <c r="O1154" i="16"/>
  <c r="O1539" i="16"/>
  <c r="O1880" i="16"/>
  <c r="O291" i="16"/>
  <c r="R924" i="16"/>
  <c r="R925" i="16"/>
  <c r="R1204" i="16"/>
  <c r="R1205" i="16"/>
  <c r="R1206" i="16"/>
  <c r="R1436" i="16"/>
  <c r="R1437" i="16"/>
  <c r="R1470" i="16"/>
  <c r="R902" i="16"/>
  <c r="R903" i="16"/>
  <c r="R904" i="16"/>
  <c r="R926" i="16"/>
  <c r="R927" i="16"/>
  <c r="R928" i="16"/>
  <c r="R1015" i="16"/>
  <c r="R1016" i="16"/>
  <c r="R1017" i="16"/>
  <c r="R1018" i="16"/>
  <c r="R1019" i="16"/>
  <c r="R1020" i="16"/>
  <c r="R1402" i="16"/>
  <c r="R1550" i="16"/>
  <c r="R1551" i="16"/>
  <c r="R933" i="16"/>
  <c r="R847" i="16"/>
  <c r="R1110" i="16"/>
  <c r="R1111" i="16"/>
  <c r="R1112" i="16"/>
  <c r="R1021" i="16"/>
  <c r="R1022" i="16"/>
  <c r="R1471" i="16"/>
  <c r="R1207" i="16"/>
  <c r="R1427" i="16"/>
  <c r="R1428" i="16"/>
  <c r="R1403" i="16"/>
  <c r="R1404" i="16"/>
  <c r="R1023" i="16"/>
  <c r="R878" i="16"/>
  <c r="R2060" i="16"/>
  <c r="R1091" i="16"/>
  <c r="R1353" i="16"/>
  <c r="R455" i="16"/>
  <c r="R1069" i="16"/>
  <c r="R998" i="16"/>
  <c r="R1223" i="16"/>
  <c r="R1203" i="16"/>
  <c r="R456" i="16"/>
  <c r="R658" i="16"/>
  <c r="R133" i="16"/>
  <c r="R261" i="16"/>
  <c r="R470" i="16"/>
  <c r="R81" i="16"/>
  <c r="R543" i="16"/>
  <c r="R544" i="16"/>
  <c r="R520" i="16"/>
  <c r="R521" i="16"/>
  <c r="R1990" i="16"/>
  <c r="R1991" i="16"/>
  <c r="R879" i="16"/>
  <c r="R606" i="16"/>
  <c r="R525" i="16"/>
  <c r="R526" i="16"/>
  <c r="R907" i="16"/>
  <c r="R908" i="16"/>
  <c r="R497" i="16"/>
  <c r="R694" i="16"/>
  <c r="R1544" i="16"/>
  <c r="R2096" i="16"/>
  <c r="R735" i="16"/>
  <c r="R736" i="16"/>
  <c r="R392" i="16"/>
  <c r="R1443" i="16"/>
  <c r="R1047" i="16"/>
  <c r="R824" i="16"/>
  <c r="R1809" i="16"/>
  <c r="R1823" i="16"/>
  <c r="R1824" i="16"/>
  <c r="R440" i="16"/>
  <c r="R1989" i="16"/>
  <c r="R787" i="16"/>
  <c r="R899" i="16"/>
  <c r="R900" i="16"/>
  <c r="R1612" i="16"/>
  <c r="R1613" i="16"/>
  <c r="R393" i="16"/>
  <c r="R2063" i="16"/>
  <c r="R1048" i="16"/>
  <c r="R64" i="16"/>
  <c r="R65" i="16"/>
  <c r="R47" i="16"/>
  <c r="R48" i="16"/>
  <c r="R698" i="16"/>
  <c r="R607" i="16"/>
  <c r="R49" i="16"/>
  <c r="R687" i="16"/>
  <c r="R66" i="16"/>
  <c r="R175" i="16"/>
  <c r="R176" i="16"/>
  <c r="R848" i="16"/>
  <c r="R784" i="16"/>
  <c r="R397" i="16"/>
  <c r="R308" i="16"/>
  <c r="R177" i="16"/>
  <c r="R178" i="16"/>
  <c r="R513" i="16"/>
  <c r="R406" i="16"/>
  <c r="R955" i="16"/>
  <c r="R948" i="16"/>
  <c r="R179" i="16"/>
  <c r="R180" i="16"/>
  <c r="R181" i="16"/>
  <c r="R785" i="16"/>
  <c r="R1387" i="16"/>
  <c r="R336" i="16"/>
  <c r="R641" i="16"/>
  <c r="R1266" i="16"/>
  <c r="R1024" i="16"/>
  <c r="R833" i="16"/>
  <c r="R653" i="16"/>
  <c r="R384" i="16"/>
  <c r="R1497" i="16"/>
  <c r="R263" i="16"/>
  <c r="R264" i="16"/>
  <c r="R834" i="16"/>
  <c r="R278" i="16"/>
  <c r="R226" i="16"/>
  <c r="R1025" i="16"/>
  <c r="R688" i="16"/>
  <c r="R58" i="16"/>
  <c r="R144" i="16"/>
  <c r="R1451" i="16"/>
  <c r="R1452" i="16"/>
  <c r="R435" i="16"/>
  <c r="R835" i="16"/>
  <c r="R187" i="16"/>
  <c r="R934" i="16"/>
  <c r="R145" i="16"/>
  <c r="R1502" i="16"/>
  <c r="R1619" i="16"/>
  <c r="R1385" i="16"/>
  <c r="R1233" i="16"/>
  <c r="R169" i="16"/>
  <c r="R836" i="16"/>
  <c r="R837" i="16"/>
  <c r="R984" i="16"/>
  <c r="R1565" i="16"/>
  <c r="R758" i="16"/>
  <c r="R146" i="16"/>
  <c r="R1405" i="16"/>
  <c r="R2189" i="16"/>
  <c r="R170" i="16"/>
  <c r="R700" i="16"/>
  <c r="R701" i="16"/>
  <c r="R127" i="16"/>
  <c r="R981" i="16"/>
  <c r="R183" i="16"/>
  <c r="R184" i="16"/>
  <c r="R2161" i="16"/>
  <c r="R2069" i="16"/>
  <c r="R2156" i="16"/>
  <c r="R2084" i="16"/>
  <c r="R842" i="16"/>
  <c r="R210" i="16"/>
  <c r="R1994" i="16"/>
  <c r="R1079" i="16"/>
  <c r="R1453" i="16"/>
  <c r="R1454" i="16"/>
  <c r="R185" i="16"/>
  <c r="R186" i="16"/>
  <c r="R1457" i="16"/>
  <c r="R151" i="16"/>
  <c r="R283" i="16"/>
  <c r="R1464" i="16"/>
  <c r="R2177" i="16"/>
  <c r="R1388" i="16"/>
  <c r="R337" i="16"/>
  <c r="R642" i="16"/>
  <c r="R227" i="16"/>
  <c r="R1267" i="16"/>
  <c r="R1026" i="16"/>
  <c r="R689" i="16"/>
  <c r="R436" i="16"/>
  <c r="R188" i="16"/>
  <c r="R935" i="16"/>
  <c r="R1503" i="16"/>
  <c r="R1620" i="16"/>
  <c r="R1386" i="16"/>
  <c r="R1234" i="16"/>
  <c r="R171" i="16"/>
  <c r="R1566" i="16"/>
  <c r="R759" i="16"/>
  <c r="R1406" i="16"/>
  <c r="R1702" i="16"/>
  <c r="R1540" i="16"/>
  <c r="R2190" i="16"/>
  <c r="R1459" i="16"/>
  <c r="R859" i="16"/>
  <c r="R1043" i="16"/>
  <c r="R905" i="16"/>
  <c r="R1088" i="16"/>
  <c r="R1211" i="16"/>
  <c r="R419" i="16"/>
  <c r="R1780" i="16"/>
  <c r="R294" i="16"/>
  <c r="R59" i="16"/>
  <c r="R2191" i="16"/>
  <c r="R1932" i="16"/>
  <c r="R2192" i="16"/>
  <c r="R1339" i="16"/>
  <c r="R1071" i="16"/>
  <c r="R1649" i="16"/>
  <c r="R490" i="16"/>
  <c r="R1072" i="16"/>
  <c r="R491" i="16"/>
  <c r="R1983" i="16"/>
  <c r="R1604" i="16"/>
  <c r="R1218" i="16"/>
  <c r="R1073" i="16"/>
  <c r="R492" i="16"/>
  <c r="R469" i="16"/>
  <c r="R1212" i="16"/>
  <c r="R1800" i="16"/>
  <c r="R493" i="16"/>
  <c r="R1650" i="16"/>
  <c r="R1087" i="16"/>
  <c r="R992" i="16"/>
  <c r="R1074" i="16"/>
  <c r="R1772" i="16"/>
  <c r="R1532" i="16"/>
  <c r="R1070" i="16"/>
  <c r="R1002" i="16"/>
  <c r="R2085" i="16"/>
  <c r="R2193" i="16"/>
  <c r="R2108" i="16"/>
  <c r="R993" i="16"/>
  <c r="R1314" i="16"/>
  <c r="R1949" i="16"/>
  <c r="R881" i="16"/>
  <c r="R2178" i="16"/>
  <c r="R2194" i="16"/>
  <c r="R965" i="16"/>
  <c r="R822" i="16"/>
  <c r="R2008" i="16"/>
  <c r="R1996" i="16"/>
  <c r="R1553" i="16"/>
  <c r="R1868" i="16"/>
  <c r="R1210" i="16"/>
  <c r="R1476" i="16"/>
  <c r="R843" i="16"/>
  <c r="R1498" i="16"/>
  <c r="R1499" i="16"/>
  <c r="R1500" i="16"/>
  <c r="R1120" i="16"/>
  <c r="R1162" i="16"/>
  <c r="R791" i="16"/>
  <c r="R1884" i="16"/>
  <c r="R228" i="16"/>
  <c r="R225" i="16"/>
  <c r="R1163" i="16"/>
  <c r="R917" i="16"/>
  <c r="R1741" i="16"/>
  <c r="R918" i="16"/>
  <c r="R919" i="16"/>
  <c r="R1033" i="16"/>
  <c r="R966" i="16"/>
  <c r="R654" i="16"/>
  <c r="R1195" i="16"/>
  <c r="R407" i="16"/>
  <c r="R1507" i="16"/>
  <c r="R1508" i="16"/>
  <c r="R1585" i="16"/>
  <c r="R1586" i="16"/>
  <c r="R1467" i="16"/>
  <c r="R599" i="16"/>
  <c r="R600" i="16"/>
  <c r="R601" i="16"/>
  <c r="R602" i="16"/>
  <c r="R603" i="16"/>
  <c r="R604" i="16"/>
  <c r="R874" i="16"/>
  <c r="R875" i="16"/>
  <c r="R476" i="16"/>
  <c r="R1432" i="16"/>
  <c r="R623" i="16"/>
  <c r="R624" i="16"/>
  <c r="R625" i="16"/>
  <c r="R626" i="16"/>
  <c r="R1256" i="16"/>
  <c r="R1257" i="16"/>
  <c r="R119" i="16"/>
  <c r="R2065" i="16"/>
  <c r="R2195" i="16"/>
  <c r="R2196" i="16"/>
  <c r="R1736" i="16"/>
  <c r="R2078" i="16"/>
  <c r="R2197" i="16"/>
  <c r="R717" i="16"/>
  <c r="R246" i="16"/>
  <c r="R247" i="16"/>
  <c r="R37" i="16"/>
  <c r="R122" i="16"/>
  <c r="R2198" i="16"/>
  <c r="R2199" i="16"/>
  <c r="R2200" i="16"/>
  <c r="R51" i="16"/>
  <c r="R464" i="16"/>
  <c r="R465" i="16"/>
  <c r="R52" i="16"/>
  <c r="R53" i="16"/>
  <c r="R54" i="16"/>
  <c r="R1396" i="16"/>
  <c r="R1397" i="16"/>
  <c r="R38" i="16"/>
  <c r="R39" i="16"/>
  <c r="R40" i="16"/>
  <c r="R1324" i="16"/>
  <c r="R985" i="16"/>
  <c r="R1134" i="16"/>
  <c r="R1027" i="16"/>
  <c r="R2201" i="16"/>
  <c r="R662" i="16"/>
  <c r="R1469" i="16"/>
  <c r="R639" i="16"/>
  <c r="R394" i="16"/>
  <c r="R672" i="16"/>
  <c r="R649" i="16"/>
  <c r="R1826" i="16"/>
  <c r="R644" i="16"/>
  <c r="R193" i="16"/>
  <c r="R420" i="16"/>
  <c r="R2202" i="16"/>
  <c r="R1827" i="16"/>
  <c r="R194" i="16"/>
  <c r="R19" i="16"/>
  <c r="R1151" i="16"/>
  <c r="R195" i="16"/>
  <c r="R1152" i="16"/>
  <c r="R20" i="16"/>
  <c r="R196" i="16"/>
  <c r="R671" i="16"/>
  <c r="R197" i="16"/>
  <c r="R1408" i="16"/>
  <c r="R729" i="16"/>
  <c r="R1767" i="16"/>
  <c r="R730" i="16"/>
  <c r="R395" i="16"/>
  <c r="R21" i="16"/>
  <c r="R1748" i="16"/>
  <c r="R751" i="16"/>
  <c r="R645" i="16"/>
  <c r="R1768" i="16"/>
  <c r="R1749" i="16"/>
  <c r="R661" i="16"/>
  <c r="R198" i="16"/>
  <c r="R737" i="16"/>
  <c r="R650" i="16"/>
  <c r="R1904" i="16"/>
  <c r="R1878" i="16"/>
  <c r="R627" i="16"/>
  <c r="R646" i="16"/>
  <c r="R647" i="16"/>
  <c r="R22" i="16"/>
  <c r="R1769" i="16"/>
  <c r="R1169" i="16"/>
  <c r="R930" i="16"/>
  <c r="R673" i="16"/>
  <c r="R1170" i="16"/>
  <c r="R1171" i="16"/>
  <c r="R23" i="16"/>
  <c r="R738" i="16"/>
  <c r="R739" i="16"/>
  <c r="R2203" i="16"/>
  <c r="R1172" i="16"/>
  <c r="R355" i="16"/>
  <c r="R223" i="16"/>
  <c r="R428" i="16"/>
  <c r="R214" i="16"/>
  <c r="R463" i="16"/>
  <c r="R209" i="16"/>
  <c r="R18" i="16"/>
  <c r="R135" i="16"/>
  <c r="R117" i="16"/>
  <c r="R121" i="16"/>
  <c r="R50" i="16"/>
  <c r="R213" i="16"/>
  <c r="R1080" i="16"/>
  <c r="R152" i="16"/>
  <c r="R1417" i="16"/>
  <c r="R1008" i="16"/>
  <c r="R1126" i="16"/>
  <c r="R1583" i="16"/>
  <c r="R571" i="16"/>
  <c r="R190" i="16"/>
  <c r="R1131" i="16"/>
  <c r="R191" i="16"/>
  <c r="R128" i="16"/>
  <c r="R331" i="16"/>
  <c r="R1414" i="16"/>
  <c r="R202" i="16"/>
  <c r="R203" i="16"/>
  <c r="R204" i="16"/>
  <c r="R929" i="16"/>
  <c r="R1609" i="16"/>
  <c r="R2152" i="16"/>
  <c r="R1595" i="16"/>
  <c r="R1127" i="16"/>
  <c r="R1607" i="16"/>
  <c r="R1770" i="16"/>
  <c r="R334" i="16"/>
  <c r="R2062" i="16"/>
  <c r="R840" i="16"/>
  <c r="R2204" i="16"/>
  <c r="R752" i="16"/>
  <c r="R1173" i="16"/>
  <c r="R2205" i="16"/>
  <c r="R1597" i="16"/>
  <c r="R592" i="16"/>
  <c r="R134" i="16"/>
  <c r="R616" i="16"/>
  <c r="R2206" i="16"/>
  <c r="R916" i="16"/>
  <c r="R2207" i="16"/>
  <c r="R1398" i="16"/>
  <c r="R2099" i="16"/>
  <c r="R345" i="16"/>
  <c r="R681" i="16"/>
  <c r="R1413" i="16"/>
  <c r="R715" i="16"/>
  <c r="R1920" i="16"/>
  <c r="R628" i="16"/>
  <c r="R651" i="16"/>
  <c r="R731" i="16"/>
  <c r="R648" i="16"/>
  <c r="R281" i="16"/>
  <c r="R199" i="16"/>
  <c r="R1522" i="16"/>
  <c r="R1805" i="16"/>
  <c r="R466" i="16"/>
  <c r="R2208" i="16"/>
  <c r="R1215" i="16"/>
  <c r="R1819" i="16"/>
  <c r="R1656" i="16"/>
  <c r="R399" i="16"/>
  <c r="R1828" i="16"/>
  <c r="R1750" i="16"/>
  <c r="R1513" i="16"/>
  <c r="R972" i="16"/>
  <c r="R182" i="16"/>
  <c r="R1117" i="16"/>
  <c r="R1273" i="16"/>
  <c r="R1814" i="16"/>
  <c r="R1153" i="16"/>
  <c r="R1788" i="16"/>
  <c r="R1561" i="16"/>
  <c r="R740" i="16"/>
  <c r="R207" i="16"/>
  <c r="R1896" i="16"/>
  <c r="R718" i="16"/>
  <c r="R365" i="16"/>
  <c r="R821" i="16"/>
  <c r="R1373" i="16"/>
  <c r="R1802" i="16"/>
  <c r="R2209" i="16"/>
  <c r="R1845" i="16"/>
  <c r="R2210" i="16"/>
  <c r="R805" i="16"/>
  <c r="R442" i="16"/>
  <c r="R640" i="16"/>
  <c r="R1879" i="16"/>
  <c r="R1590" i="16"/>
  <c r="R825" i="16"/>
  <c r="R1673" i="16"/>
  <c r="R1371" i="16"/>
  <c r="R1564" i="16"/>
  <c r="R55" i="16"/>
  <c r="R24" i="16"/>
  <c r="R1409" i="16"/>
  <c r="R46" i="16"/>
  <c r="R1995" i="16"/>
  <c r="R1617" i="16"/>
  <c r="R1050" i="16"/>
  <c r="R976" i="16"/>
  <c r="R1332" i="16"/>
  <c r="R1531" i="16"/>
  <c r="R224" i="16"/>
  <c r="R26" i="16"/>
  <c r="R719" i="16"/>
  <c r="R552" i="16"/>
  <c r="R553" i="16"/>
  <c r="R554" i="16"/>
  <c r="R555" i="16"/>
  <c r="R2211" i="16"/>
  <c r="R1625" i="16"/>
  <c r="R574" i="16"/>
  <c r="R575" i="16"/>
  <c r="R576" i="16"/>
  <c r="R950" i="16"/>
  <c r="R75" i="16"/>
  <c r="R1370" i="16"/>
  <c r="R2212" i="16"/>
  <c r="R1379" i="16"/>
  <c r="R211" i="16"/>
  <c r="R522" i="16"/>
  <c r="R82" i="16"/>
  <c r="R733" i="16"/>
  <c r="R212" i="16"/>
  <c r="R168" i="16"/>
  <c r="R439" i="16"/>
  <c r="R208" i="16"/>
  <c r="R215" i="16"/>
  <c r="R2213" i="16"/>
  <c r="R2214" i="16"/>
  <c r="R2215" i="16"/>
  <c r="R1902" i="16"/>
  <c r="R951" i="16"/>
  <c r="R1161" i="16"/>
  <c r="R1591" i="16"/>
  <c r="R28" i="16"/>
  <c r="R1562" i="16"/>
  <c r="R238" i="16"/>
  <c r="R239" i="16"/>
  <c r="R240" i="16"/>
  <c r="R584" i="16"/>
  <c r="R585" i="16"/>
  <c r="R437" i="16"/>
  <c r="R83" i="16"/>
  <c r="R29" i="16"/>
  <c r="R73" i="16"/>
  <c r="R586" i="16"/>
  <c r="R595" i="16"/>
  <c r="R596" i="16"/>
  <c r="R467" i="16"/>
  <c r="R71" i="16"/>
  <c r="R45" i="16"/>
  <c r="R763" i="16"/>
  <c r="R764" i="16"/>
  <c r="R421" i="16"/>
  <c r="R633" i="16"/>
  <c r="R557" i="16"/>
  <c r="R338" i="16"/>
  <c r="R1201" i="16"/>
  <c r="R56" i="16"/>
  <c r="R16" i="16"/>
  <c r="R25" i="16"/>
  <c r="R429" i="16"/>
  <c r="R33" i="16"/>
  <c r="R1181" i="16"/>
  <c r="R1182" i="16"/>
  <c r="R1183" i="16"/>
  <c r="R36" i="16"/>
  <c r="R1491" i="16"/>
  <c r="R1133" i="16"/>
  <c r="R234" i="16"/>
  <c r="R471" i="16"/>
  <c r="R302" i="16"/>
  <c r="R303" i="16"/>
  <c r="R1628" i="16"/>
  <c r="R148" i="16"/>
  <c r="R1039" i="16"/>
  <c r="R72" i="16"/>
  <c r="R241" i="16"/>
  <c r="R242" i="16"/>
  <c r="R243" i="16"/>
  <c r="R1514" i="16"/>
  <c r="R1442" i="16"/>
  <c r="R472" i="16"/>
  <c r="R304" i="16"/>
  <c r="R753" i="16"/>
  <c r="R2216" i="16"/>
  <c r="R156" i="16"/>
  <c r="R157" i="16"/>
  <c r="R248" i="16"/>
  <c r="R1771" i="16"/>
  <c r="R123" i="16"/>
  <c r="R2217" i="16"/>
  <c r="R468" i="16"/>
  <c r="R1429" i="16"/>
  <c r="R249" i="16"/>
  <c r="R250" i="16"/>
  <c r="R1430" i="16"/>
  <c r="R2175" i="16"/>
  <c r="R1051" i="16"/>
  <c r="R1096" i="16"/>
  <c r="R949" i="16"/>
  <c r="R312" i="16"/>
  <c r="R1482" i="16"/>
  <c r="R313" i="16"/>
  <c r="R422" i="16"/>
  <c r="R314" i="16"/>
  <c r="R315" i="16"/>
  <c r="R316" i="16"/>
  <c r="R7" i="16"/>
  <c r="R8" i="16"/>
  <c r="R124" i="16"/>
  <c r="R1779" i="16"/>
  <c r="R423" i="16"/>
  <c r="R1277" i="16"/>
  <c r="R1818" i="16"/>
  <c r="R1049" i="16"/>
  <c r="R562" i="16"/>
  <c r="R1431" i="16"/>
  <c r="R741" i="16"/>
  <c r="R931" i="16"/>
  <c r="R396" i="16"/>
  <c r="R577" i="16"/>
  <c r="R578" i="16"/>
  <c r="R990" i="16"/>
  <c r="R1714" i="16"/>
  <c r="R1245" i="16"/>
  <c r="R2218" i="16"/>
  <c r="R352" i="16"/>
  <c r="R353" i="16"/>
  <c r="R354" i="16"/>
  <c r="R136" i="16"/>
  <c r="R125" i="16"/>
  <c r="R1382" i="16"/>
  <c r="R1633" i="16"/>
  <c r="R317" i="16"/>
  <c r="R2071" i="16"/>
  <c r="R855" i="16"/>
  <c r="R856" i="16"/>
  <c r="R857" i="16"/>
  <c r="R473" i="16"/>
  <c r="R797" i="16"/>
  <c r="R798" i="16"/>
  <c r="R799" i="16"/>
  <c r="R1174" i="16"/>
  <c r="R1175" i="16"/>
  <c r="R1176" i="16"/>
  <c r="R1806" i="16"/>
  <c r="R1807" i="16"/>
  <c r="R1034" i="16"/>
  <c r="R1035" i="16"/>
  <c r="R1036" i="16"/>
  <c r="R2080" i="16"/>
  <c r="R809" i="16"/>
  <c r="R810" i="16"/>
  <c r="R811" i="16"/>
  <c r="R1358" i="16"/>
  <c r="R1359" i="16"/>
  <c r="R87" i="16"/>
  <c r="R88" i="16"/>
  <c r="R514" i="16"/>
  <c r="R515" i="16"/>
  <c r="R516" i="16"/>
  <c r="R2009" i="16"/>
  <c r="R2010" i="16"/>
  <c r="R1003" i="16"/>
  <c r="R1004" i="16"/>
  <c r="R1005" i="16"/>
  <c r="R431" i="16"/>
  <c r="R432" i="16"/>
  <c r="R433" i="16"/>
  <c r="R1155" i="16"/>
  <c r="R1156" i="16"/>
  <c r="R1157" i="16"/>
  <c r="R683" i="16"/>
  <c r="R684" i="16"/>
  <c r="R685" i="16"/>
  <c r="R780" i="16"/>
  <c r="R781" i="16"/>
  <c r="R782" i="16"/>
  <c r="R706" i="16"/>
  <c r="R707" i="16"/>
  <c r="R708" i="16"/>
  <c r="R1041" i="16"/>
  <c r="R342" i="16"/>
  <c r="R343" i="16"/>
  <c r="R774" i="16"/>
  <c r="R775" i="16"/>
  <c r="R776" i="16"/>
  <c r="R911" i="16"/>
  <c r="R912" i="16"/>
  <c r="R388" i="16"/>
  <c r="R389" i="16"/>
  <c r="R390" i="16"/>
  <c r="R546" i="16"/>
  <c r="R547" i="16"/>
  <c r="R1752" i="16"/>
  <c r="R1753" i="16"/>
  <c r="R563" i="16"/>
  <c r="R564" i="16"/>
  <c r="R565" i="16"/>
  <c r="R566" i="16"/>
  <c r="R1638" i="16"/>
  <c r="R1639" i="16"/>
  <c r="R1060" i="16"/>
  <c r="R1061" i="16"/>
  <c r="R1062" i="16"/>
  <c r="R722" i="16"/>
  <c r="R723" i="16"/>
  <c r="R724" i="16"/>
  <c r="R677" i="16"/>
  <c r="R678" i="16"/>
  <c r="R140" i="16"/>
  <c r="R1916" i="16"/>
  <c r="R1715" i="16"/>
  <c r="R1716" i="16"/>
  <c r="R1717" i="16"/>
  <c r="R886" i="16"/>
  <c r="R887" i="16"/>
  <c r="R888" i="16"/>
  <c r="R1011" i="16"/>
  <c r="R1012" i="16"/>
  <c r="R1013" i="16"/>
  <c r="R1785" i="16"/>
  <c r="R104" i="16"/>
  <c r="R1699" i="16"/>
  <c r="R1308" i="16"/>
  <c r="R1247" i="16"/>
  <c r="R1870" i="16"/>
  <c r="R2219" i="16"/>
  <c r="R2220" i="16"/>
  <c r="R850" i="16"/>
  <c r="R1556" i="16"/>
  <c r="R1743" i="16"/>
  <c r="R2143" i="16"/>
  <c r="R1812" i="16"/>
  <c r="R1378" i="16"/>
  <c r="R1912" i="16"/>
  <c r="R1727" i="16"/>
  <c r="R2077" i="16"/>
  <c r="R1260" i="16"/>
  <c r="R1997" i="16"/>
  <c r="R1940" i="16"/>
  <c r="R1512" i="16"/>
  <c r="R1873" i="16"/>
  <c r="R2070" i="16"/>
  <c r="R2125" i="16"/>
  <c r="R1184" i="16"/>
  <c r="R1765" i="16"/>
  <c r="R1722" i="16"/>
  <c r="R1859" i="16"/>
  <c r="R1786" i="16"/>
  <c r="R1921" i="16"/>
  <c r="R2221" i="16"/>
  <c r="R2073" i="16"/>
  <c r="R1344" i="16"/>
  <c r="R2061" i="16"/>
  <c r="R1917" i="16"/>
  <c r="R1918" i="16"/>
  <c r="R548" i="16"/>
  <c r="R725" i="16"/>
  <c r="R1808" i="16"/>
  <c r="R812" i="16"/>
  <c r="R813" i="16"/>
  <c r="R889" i="16"/>
  <c r="R105" i="16"/>
  <c r="R1841" i="16"/>
  <c r="R1842" i="16"/>
  <c r="R1191" i="16"/>
  <c r="R1192" i="16"/>
  <c r="R34" i="16"/>
  <c r="R35" i="16"/>
  <c r="R391" i="16"/>
  <c r="R426" i="16"/>
  <c r="R913" i="16"/>
  <c r="R474" i="16"/>
  <c r="R1042" i="16"/>
  <c r="R1360" i="16"/>
  <c r="R1006" i="16"/>
  <c r="R1007" i="16"/>
  <c r="R800" i="16"/>
  <c r="R801" i="16"/>
  <c r="R802" i="16"/>
  <c r="R803" i="16"/>
  <c r="R89" i="16"/>
  <c r="R90" i="16"/>
  <c r="R91" i="16"/>
  <c r="R2011" i="16"/>
  <c r="R686" i="16"/>
  <c r="R858" i="16"/>
  <c r="R1640" i="16"/>
  <c r="R517" i="16"/>
  <c r="R518" i="16"/>
  <c r="R519" i="16"/>
  <c r="R434" i="16"/>
  <c r="R344" i="16"/>
  <c r="R1037" i="16"/>
  <c r="R1038" i="16"/>
  <c r="R1063" i="16"/>
  <c r="R1718" i="16"/>
  <c r="R1177" i="16"/>
  <c r="R1178" i="16"/>
  <c r="R679" i="16"/>
  <c r="R2081" i="16"/>
  <c r="R141" i="16"/>
  <c r="R142" i="16"/>
  <c r="R783" i="16"/>
  <c r="R709" i="16"/>
  <c r="R1158" i="16"/>
  <c r="R1159" i="16"/>
  <c r="R1754" i="16"/>
  <c r="R1014" i="16"/>
  <c r="R567" i="16"/>
  <c r="R568" i="16"/>
  <c r="R569" i="16"/>
  <c r="R570" i="16"/>
  <c r="R777" i="16"/>
  <c r="R1248" i="16"/>
  <c r="R531" i="16"/>
  <c r="R1521" i="16"/>
  <c r="R1185" i="16"/>
  <c r="R1186" i="16"/>
  <c r="R1187" i="16"/>
  <c r="R1188" i="16"/>
  <c r="R1998" i="16"/>
  <c r="R1999" i="16"/>
  <c r="R1193" i="16"/>
  <c r="R795" i="16"/>
  <c r="R2222" i="16"/>
  <c r="R2223" i="16"/>
  <c r="R2224" i="16"/>
  <c r="R1309" i="16"/>
  <c r="R1310" i="16"/>
  <c r="R1311" i="16"/>
  <c r="R1312" i="16"/>
  <c r="R1313" i="16"/>
  <c r="R1730" i="16"/>
  <c r="R1833" i="16"/>
  <c r="R851" i="16"/>
  <c r="R2225" i="16"/>
  <c r="R1787" i="16"/>
  <c r="R1941" i="16"/>
  <c r="R1874" i="16"/>
  <c r="R1875" i="16"/>
  <c r="R1813" i="16"/>
  <c r="R143" i="16"/>
  <c r="R1010" i="16"/>
  <c r="R1601" i="16"/>
  <c r="R1559" i="16"/>
  <c r="R2226" i="16"/>
  <c r="R1496" i="16"/>
  <c r="R1509" i="16"/>
  <c r="R2105" i="16"/>
  <c r="R2104" i="16"/>
  <c r="R1933" i="16"/>
  <c r="R201" i="16"/>
  <c r="R1816" i="16"/>
  <c r="R1537" i="16"/>
  <c r="R2227" i="16"/>
  <c r="R2141" i="16"/>
  <c r="R2142" i="16"/>
  <c r="R2012" i="16"/>
  <c r="R84" i="16"/>
  <c r="R699" i="16"/>
  <c r="R816" i="16"/>
  <c r="R1887" i="16"/>
  <c r="R1888" i="16"/>
  <c r="R1146" i="16"/>
  <c r="R682" i="16"/>
  <c r="R712" i="16"/>
  <c r="R1525" i="16"/>
  <c r="R591" i="16"/>
  <c r="R2139" i="16"/>
  <c r="R817" i="16"/>
  <c r="R2110" i="16"/>
  <c r="R2024" i="16"/>
  <c r="R1518" i="16"/>
  <c r="R771" i="16"/>
  <c r="R772" i="16"/>
  <c r="R773" i="16"/>
  <c r="R457" i="16"/>
  <c r="R458" i="16"/>
  <c r="R885" i="16"/>
  <c r="R632" i="16"/>
  <c r="R1268" i="16"/>
  <c r="R613" i="16"/>
  <c r="R593" i="16"/>
  <c r="R1669" i="16"/>
  <c r="R1391" i="16"/>
  <c r="R1670" i="16"/>
  <c r="R1044" i="16"/>
  <c r="R666" i="16"/>
  <c r="R1728" i="16"/>
  <c r="R1059" i="16"/>
  <c r="R1165" i="16"/>
  <c r="R1198" i="16"/>
  <c r="R1407" i="16"/>
  <c r="R1113" i="16"/>
  <c r="R479" i="16"/>
  <c r="R1570" i="16"/>
  <c r="R1571" i="16"/>
  <c r="R1572" i="16"/>
  <c r="R2163" i="16"/>
  <c r="R2028" i="16"/>
  <c r="R690" i="16"/>
  <c r="R1092" i="16"/>
  <c r="R667" i="16"/>
  <c r="R1297" i="16"/>
  <c r="R1102" i="16"/>
  <c r="R1815" i="16"/>
  <c r="R1045" i="16"/>
  <c r="R1046" i="16"/>
  <c r="R832" i="16"/>
  <c r="R1746" i="16"/>
  <c r="R1756" i="16"/>
  <c r="R78" i="16"/>
  <c r="R1526" i="16"/>
  <c r="R968" i="16"/>
  <c r="R2228" i="16"/>
  <c r="R827" i="16"/>
  <c r="R1278" i="16"/>
  <c r="R1361" i="16"/>
  <c r="R961" i="16"/>
  <c r="R1362" i="16"/>
  <c r="R1803" i="16"/>
  <c r="R2229" i="16"/>
  <c r="R2230" i="16"/>
  <c r="R2231" i="16"/>
  <c r="R906" i="16"/>
  <c r="R865" i="16"/>
  <c r="R1589" i="16"/>
  <c r="R818" i="16"/>
  <c r="R819" i="16"/>
  <c r="R964" i="16"/>
  <c r="R820" i="16"/>
  <c r="R268" i="16"/>
  <c r="R1825" i="16"/>
  <c r="R1704" i="16"/>
  <c r="R2147" i="16"/>
  <c r="R594" i="16"/>
  <c r="R1505" i="16"/>
  <c r="R1579" i="16"/>
  <c r="R1298" i="16"/>
  <c r="R1757" i="16"/>
  <c r="R1758" i="16"/>
  <c r="R668" i="16"/>
  <c r="R305" i="16"/>
  <c r="R1747" i="16"/>
  <c r="R581" i="16"/>
  <c r="R590" i="16"/>
  <c r="R1438" i="16"/>
  <c r="R1830" i="16"/>
  <c r="R1790" i="16"/>
  <c r="R1630" i="16"/>
  <c r="R1608" i="16"/>
  <c r="R1272" i="16"/>
  <c r="R1463" i="16"/>
  <c r="R2232" i="16"/>
  <c r="R1599" i="16"/>
  <c r="R2233" i="16"/>
  <c r="R1632" i="16"/>
  <c r="R1472" i="16"/>
  <c r="R1993" i="16"/>
  <c r="R2172" i="16"/>
  <c r="R2234" i="16"/>
  <c r="R2109" i="16"/>
  <c r="R2235" i="16"/>
  <c r="R909" i="16"/>
  <c r="R147" i="16"/>
  <c r="R96" i="16"/>
  <c r="R695" i="16"/>
  <c r="R1221" i="16"/>
  <c r="R608" i="16"/>
  <c r="R1098" i="16"/>
  <c r="R629" i="16"/>
  <c r="R484" i="16"/>
  <c r="R945" i="16"/>
  <c r="R1076" i="16"/>
  <c r="R1355" i="16"/>
  <c r="R498" i="16"/>
  <c r="R503" i="16"/>
  <c r="R129" i="16"/>
  <c r="R1099" i="16"/>
  <c r="R485" i="16"/>
  <c r="R946" i="16"/>
  <c r="R696" i="16"/>
  <c r="R609" i="16"/>
  <c r="R504" i="16"/>
  <c r="R325" i="16"/>
  <c r="R130" i="16"/>
  <c r="R97" i="16"/>
  <c r="R867" i="16"/>
  <c r="R1100" i="16"/>
  <c r="R630" i="16"/>
  <c r="R361" i="16"/>
  <c r="R486" i="16"/>
  <c r="R1077" i="16"/>
  <c r="R499" i="16"/>
  <c r="R697" i="16"/>
  <c r="R910" i="16"/>
  <c r="R991" i="16"/>
  <c r="R326" i="16"/>
  <c r="R131" i="16"/>
  <c r="R98" i="16"/>
  <c r="R631" i="16"/>
  <c r="R362" i="16"/>
  <c r="R500" i="16"/>
  <c r="R614" i="16"/>
  <c r="R1230" i="16"/>
  <c r="R1950" i="16"/>
  <c r="R1960" i="16"/>
  <c r="R1651" i="16"/>
  <c r="R1239" i="16"/>
  <c r="R149" i="16"/>
  <c r="R274" i="16"/>
  <c r="R868" i="16"/>
  <c r="R869" i="16"/>
  <c r="R870" i="16"/>
  <c r="R100" i="16"/>
  <c r="R967" i="16"/>
  <c r="R610" i="16"/>
  <c r="R1240" i="16"/>
  <c r="R871" i="16"/>
  <c r="R32" i="16"/>
  <c r="R174" i="16"/>
  <c r="R702" i="16"/>
  <c r="R1028" i="16"/>
  <c r="R2136" i="16"/>
  <c r="R505" i="16"/>
  <c r="R99" i="16"/>
  <c r="R852" i="16"/>
  <c r="R327" i="16"/>
  <c r="R1142" i="16"/>
  <c r="R363" i="16"/>
  <c r="R1376" i="16"/>
  <c r="R1093" i="16"/>
  <c r="R509" i="16"/>
  <c r="R872" i="16"/>
  <c r="R1418" i="16"/>
  <c r="R703" i="16"/>
  <c r="R704" i="16"/>
  <c r="R1029" i="16"/>
  <c r="R1030" i="16"/>
  <c r="R2137" i="16"/>
  <c r="R2138" i="16"/>
  <c r="R1094" i="16"/>
  <c r="R1095" i="16"/>
  <c r="R1326" i="16"/>
  <c r="R1327" i="16"/>
  <c r="R1328" i="16"/>
  <c r="R938" i="16"/>
  <c r="R939" i="16"/>
  <c r="R940" i="16"/>
  <c r="R1356" i="16"/>
  <c r="R1143" i="16"/>
  <c r="R1144" i="16"/>
  <c r="R1078" i="16"/>
  <c r="R853" i="16"/>
  <c r="R854" i="16"/>
  <c r="R510" i="16"/>
  <c r="R511" i="16"/>
  <c r="R172" i="16"/>
  <c r="R173" i="16"/>
  <c r="R1419" i="16"/>
  <c r="R1420" i="16"/>
  <c r="R615" i="16"/>
  <c r="R2236" i="16"/>
  <c r="R1101" i="16"/>
  <c r="R150" i="16"/>
  <c r="R275" i="16"/>
  <c r="R1602" i="16"/>
  <c r="R1661" i="16"/>
  <c r="R1871" i="16"/>
  <c r="R1662" i="16"/>
  <c r="R2151" i="16"/>
  <c r="R2237" i="16"/>
  <c r="R306" i="16"/>
  <c r="R2238" i="16"/>
  <c r="R1528" i="16"/>
  <c r="R2239" i="16"/>
  <c r="R2086" i="16"/>
  <c r="R2240" i="16"/>
  <c r="R2007" i="16"/>
  <c r="R1733" i="16"/>
  <c r="R1766" i="16"/>
  <c r="R2002" i="16"/>
  <c r="R2169" i="16"/>
  <c r="R1903" i="16"/>
  <c r="R1760" i="16"/>
  <c r="R1737" i="16"/>
  <c r="R1677" i="16"/>
  <c r="R2119" i="16"/>
  <c r="R2148" i="16"/>
  <c r="R2241" i="16"/>
  <c r="R2149" i="16"/>
  <c r="R2067" i="16"/>
  <c r="R1957" i="16"/>
  <c r="R2122" i="16"/>
  <c r="R1434" i="16"/>
  <c r="R2133" i="16"/>
  <c r="R2242" i="16"/>
  <c r="R1792" i="16"/>
  <c r="R2093" i="16"/>
  <c r="R1735" i="16"/>
  <c r="R1224" i="16"/>
  <c r="R1910" i="16"/>
  <c r="R1911" i="16"/>
  <c r="R2243" i="16"/>
  <c r="R2244" i="16"/>
  <c r="R2180" i="16"/>
  <c r="R2245" i="16"/>
  <c r="R2246" i="16"/>
  <c r="R2247" i="16"/>
  <c r="R1799" i="16"/>
  <c r="R2248" i="16"/>
  <c r="R2249" i="16"/>
  <c r="R1685" i="16"/>
  <c r="R1289" i="16"/>
  <c r="R1671" i="16"/>
  <c r="R2250" i="16"/>
  <c r="R2251" i="16"/>
  <c r="R2252" i="16"/>
  <c r="R2146" i="16"/>
  <c r="R2097" i="16"/>
  <c r="R2157" i="16"/>
  <c r="R1288" i="16"/>
  <c r="R636" i="16"/>
  <c r="R1797" i="16"/>
  <c r="R1675" i="16"/>
  <c r="R1939" i="16"/>
  <c r="R1104" i="16"/>
  <c r="R2127" i="16"/>
  <c r="R1517" i="16"/>
  <c r="R1287" i="16"/>
  <c r="R1209" i="16"/>
  <c r="R120" i="16"/>
  <c r="R1336" i="16"/>
  <c r="R1380" i="16"/>
  <c r="R2089" i="16"/>
  <c r="R408" i="16"/>
  <c r="R189" i="16"/>
  <c r="R1759" i="16"/>
  <c r="R1089" i="16"/>
  <c r="R979" i="16"/>
  <c r="R980" i="16"/>
  <c r="R1468" i="16"/>
  <c r="R1415" i="16"/>
  <c r="R1944" i="16"/>
  <c r="R1461" i="16"/>
  <c r="R1462" i="16"/>
  <c r="R2253" i="16"/>
  <c r="R1031" i="16"/>
  <c r="R480" i="16"/>
  <c r="R481" i="16"/>
  <c r="R482" i="16"/>
  <c r="R483" i="16"/>
  <c r="R507" i="16"/>
  <c r="R508" i="16"/>
  <c r="R2254" i="16"/>
  <c r="R2255" i="16"/>
  <c r="R1618" i="16"/>
  <c r="R1421" i="16"/>
  <c r="R1516" i="16"/>
  <c r="R1249" i="16"/>
  <c r="R1250" i="16"/>
  <c r="R372" i="16"/>
  <c r="R373" i="16"/>
  <c r="R1930" i="16"/>
  <c r="R1389" i="16"/>
  <c r="R746" i="16"/>
  <c r="R438" i="16"/>
  <c r="R1889" i="16"/>
  <c r="R307" i="16"/>
  <c r="R1369" i="16"/>
  <c r="R2256" i="16"/>
  <c r="R915" i="16"/>
  <c r="R2257" i="16"/>
  <c r="R2258" i="16"/>
  <c r="R2158" i="16"/>
  <c r="R637" i="16"/>
  <c r="R2128" i="16"/>
  <c r="R2259" i="16"/>
  <c r="R2260" i="16"/>
  <c r="R2261" i="16"/>
  <c r="R2134" i="16"/>
  <c r="R728" i="16"/>
  <c r="R2170" i="16"/>
  <c r="R880" i="16"/>
  <c r="R1466" i="16"/>
  <c r="R1843" i="16"/>
  <c r="R2262" i="16"/>
  <c r="R86" i="16"/>
  <c r="R2083" i="16"/>
  <c r="R1719" i="16"/>
  <c r="R2263" i="16"/>
  <c r="R1458" i="16"/>
  <c r="R866" i="16"/>
  <c r="R2076" i="16"/>
  <c r="R2123" i="16"/>
  <c r="R405" i="16"/>
  <c r="R864" i="16"/>
  <c r="R1653" i="16"/>
  <c r="R1164" i="16"/>
  <c r="R742" i="16"/>
  <c r="R1290" i="16"/>
  <c r="R778" i="16"/>
  <c r="R744" i="16"/>
  <c r="R897" i="16"/>
  <c r="R2264" i="16"/>
  <c r="R2265" i="16"/>
  <c r="R158" i="16"/>
  <c r="R159" i="16"/>
  <c r="R1942" i="16"/>
  <c r="R297" i="16"/>
  <c r="R841" i="16"/>
  <c r="R1858" i="16"/>
  <c r="R638" i="16"/>
  <c r="R2132" i="16"/>
  <c r="R1598" i="16"/>
  <c r="R1798" i="16"/>
  <c r="R1882" i="16"/>
  <c r="R424" i="16"/>
  <c r="R425" i="16"/>
  <c r="R9" i="16"/>
  <c r="R1052" i="16"/>
  <c r="R2162" i="16"/>
  <c r="R2082" i="16"/>
  <c r="R2150" i="16"/>
  <c r="R2094" i="16"/>
  <c r="R1837" i="16"/>
  <c r="R256" i="16"/>
  <c r="R1331" i="16"/>
  <c r="R1660" i="16"/>
  <c r="R364" i="16"/>
  <c r="R954" i="16"/>
  <c r="R2013" i="16"/>
  <c r="R2266" i="16"/>
  <c r="R1755" i="16"/>
  <c r="R558" i="16"/>
  <c r="R448" i="16"/>
  <c r="R860" i="16"/>
  <c r="R1854" i="16"/>
  <c r="R137" i="16"/>
  <c r="R192" i="16"/>
  <c r="R561" i="16"/>
  <c r="R743" i="16"/>
  <c r="R814" i="16"/>
  <c r="R815" i="16"/>
  <c r="R2267" i="16"/>
  <c r="R2120" i="16"/>
  <c r="R914" i="16"/>
  <c r="R346" i="16"/>
  <c r="R443" i="16"/>
  <c r="R444" i="16"/>
  <c r="R260" i="16"/>
  <c r="R445" i="16"/>
  <c r="R446" i="16"/>
  <c r="R293" i="16"/>
  <c r="R1674" i="16"/>
  <c r="R1682" i="16"/>
  <c r="R1683" i="16"/>
  <c r="R2126" i="16"/>
  <c r="R2268" i="16"/>
  <c r="R1964" i="16"/>
  <c r="R792" i="16"/>
  <c r="R793" i="16"/>
  <c r="R1547" i="16"/>
  <c r="R2269" i="16"/>
  <c r="R1686" i="16"/>
  <c r="R1687" i="16"/>
  <c r="R1688" i="16"/>
  <c r="R2270" i="16"/>
  <c r="R2102" i="16"/>
  <c r="R2271" i="16"/>
  <c r="R2272" i="16"/>
  <c r="R1655" i="16"/>
  <c r="R732" i="16"/>
  <c r="R1678" i="16"/>
  <c r="R973" i="16"/>
  <c r="R974" i="16"/>
  <c r="R1622" i="16"/>
  <c r="R1084" i="16"/>
  <c r="R2273" i="16"/>
  <c r="R1196" i="16"/>
  <c r="R2087" i="16"/>
  <c r="R1533" i="16"/>
  <c r="R2274" i="16"/>
  <c r="R1885" i="16"/>
  <c r="R2275" i="16"/>
  <c r="R1483" i="16"/>
  <c r="R1914" i="16"/>
  <c r="R292" i="16"/>
  <c r="R1448" i="16"/>
  <c r="R2276" i="16"/>
  <c r="R2277" i="16"/>
  <c r="R1689" i="16"/>
  <c r="R2278" i="16"/>
  <c r="R1335" i="16"/>
  <c r="R534" i="16"/>
  <c r="R535" i="16"/>
  <c r="R536" i="16"/>
  <c r="R537" i="16"/>
  <c r="R538" i="16"/>
  <c r="R539" i="16"/>
  <c r="R1943" i="16"/>
  <c r="R1333" i="16"/>
  <c r="R409" i="16"/>
  <c r="R410" i="16"/>
  <c r="R411" i="16"/>
  <c r="R412" i="16"/>
  <c r="R413" i="16"/>
  <c r="R414" i="16"/>
  <c r="R415" i="16"/>
  <c r="R416" i="16"/>
  <c r="R417" i="16"/>
  <c r="R418" i="16"/>
  <c r="R877" i="16"/>
  <c r="R807" i="16"/>
  <c r="R1690" i="16"/>
  <c r="R1652" i="16"/>
  <c r="R2154" i="16"/>
  <c r="R1691" i="16"/>
  <c r="R2003" i="16"/>
  <c r="R1658" i="16"/>
  <c r="R2279" i="16"/>
  <c r="R2280" i="16"/>
  <c r="R1927" i="16"/>
  <c r="R1684" i="16"/>
  <c r="R2281" i="16"/>
  <c r="R1692" i="16"/>
  <c r="R1820" i="16"/>
  <c r="R2282" i="16"/>
  <c r="R2283" i="16"/>
  <c r="R164" i="16"/>
  <c r="R165" i="16"/>
  <c r="R166" i="16"/>
  <c r="R167" i="16"/>
  <c r="R401" i="16"/>
  <c r="R402" i="16"/>
  <c r="R403" i="16"/>
  <c r="R2072" i="16"/>
  <c r="R2284" i="16"/>
  <c r="R1913" i="16"/>
  <c r="R222" i="16"/>
  <c r="R30" i="16"/>
  <c r="R101" i="16"/>
  <c r="R102" i="16"/>
  <c r="R103" i="16"/>
  <c r="R114" i="16"/>
  <c r="R115" i="16"/>
  <c r="R2066" i="16"/>
  <c r="R2018" i="16"/>
  <c r="R356" i="16"/>
  <c r="R116" i="16"/>
  <c r="R107" i="16"/>
  <c r="R108" i="16"/>
  <c r="R1626" i="16"/>
  <c r="R109" i="16"/>
  <c r="R251" i="16"/>
  <c r="R252" i="16"/>
  <c r="R253" i="16"/>
  <c r="R2285" i="16"/>
  <c r="R254" i="16"/>
  <c r="R255" i="16"/>
  <c r="R1762" i="16"/>
  <c r="R1763" i="16"/>
  <c r="R1764" i="16"/>
  <c r="R447" i="16"/>
  <c r="R540" i="16"/>
  <c r="R541" i="16"/>
  <c r="R882" i="16"/>
  <c r="R978" i="16"/>
  <c r="R1693" i="16"/>
  <c r="R1694" i="16"/>
  <c r="R404" i="16"/>
  <c r="R1616" i="16"/>
  <c r="R340" i="16"/>
  <c r="R341" i="16"/>
  <c r="R2286" i="16"/>
  <c r="R2287" i="16"/>
  <c r="R1919" i="16"/>
  <c r="R333" i="16"/>
  <c r="R1848" i="16"/>
  <c r="R2288" i="16"/>
  <c r="R2289" i="16"/>
  <c r="R2290" i="16"/>
  <c r="R2091" i="16"/>
  <c r="R2121" i="16"/>
  <c r="R1664" i="16"/>
  <c r="R1969" i="16"/>
  <c r="R2032" i="16"/>
  <c r="R2159" i="16"/>
  <c r="R1713" i="16"/>
  <c r="R1343" i="16"/>
  <c r="R2038" i="16"/>
  <c r="R1970" i="16"/>
  <c r="R1354" i="16"/>
  <c r="R2039" i="16"/>
  <c r="R1706" i="16"/>
  <c r="R1672" i="16"/>
  <c r="R1554" i="16"/>
  <c r="R1695" i="16"/>
  <c r="R1374" i="16"/>
  <c r="R1631" i="16"/>
  <c r="R1372" i="16"/>
  <c r="R1665" i="16"/>
  <c r="R1666" i="16"/>
  <c r="R1635" i="16"/>
  <c r="R1895" i="16"/>
  <c r="R1307" i="16"/>
  <c r="R873" i="16"/>
  <c r="R1936" i="16"/>
  <c r="R1225" i="16"/>
  <c r="R1624" i="16"/>
  <c r="R1775" i="16"/>
  <c r="R1549" i="16"/>
  <c r="R986" i="16"/>
  <c r="R956" i="16"/>
  <c r="R1621" i="16"/>
  <c r="R1776" i="16"/>
  <c r="R1860" i="16"/>
  <c r="R987" i="16"/>
  <c r="R988" i="16"/>
  <c r="R989" i="16"/>
  <c r="R957" i="16"/>
  <c r="R958" i="16"/>
  <c r="R959" i="16"/>
  <c r="R2291" i="16"/>
  <c r="R2292" i="16"/>
  <c r="R2040" i="16"/>
  <c r="R2041" i="16"/>
  <c r="R2042" i="16"/>
  <c r="R2293" i="16"/>
  <c r="R2171" i="16"/>
  <c r="R2043" i="16"/>
  <c r="R1696" i="16"/>
  <c r="R1623" i="16"/>
  <c r="R1849" i="16"/>
  <c r="R1979" i="16"/>
  <c r="R1412" i="16"/>
  <c r="R1742" i="16"/>
  <c r="R1410" i="16"/>
  <c r="R1237" i="16"/>
  <c r="R1238" i="16"/>
  <c r="R1269" i="16"/>
  <c r="R1264" i="16"/>
  <c r="R1255" i="16"/>
  <c r="R1793" i="16"/>
  <c r="R1794" i="16"/>
  <c r="R2294" i="16"/>
  <c r="R1546" i="16"/>
  <c r="R1375" i="16"/>
  <c r="R2295" i="16"/>
  <c r="R1697" i="16"/>
  <c r="R1698" i="16"/>
  <c r="R1636" i="16"/>
  <c r="R1641" i="16"/>
  <c r="R1667" i="16"/>
  <c r="R1778" i="16"/>
  <c r="R1985" i="16"/>
  <c r="R1323" i="16"/>
  <c r="R1988" i="16"/>
  <c r="R1821" i="16"/>
  <c r="R1265" i="16"/>
  <c r="R994" i="16"/>
  <c r="R823" i="16"/>
  <c r="R1132" i="16"/>
  <c r="R1381" i="16"/>
  <c r="R1592" i="16"/>
  <c r="R1217" i="16"/>
  <c r="R1189" i="16"/>
  <c r="R2044" i="16"/>
  <c r="R1465" i="16"/>
  <c r="R2045" i="16"/>
  <c r="R1663" i="16"/>
  <c r="R1259" i="16"/>
  <c r="R1492" i="16"/>
  <c r="R983" i="16"/>
  <c r="R1455" i="16"/>
  <c r="R960" i="16"/>
  <c r="R1811" i="16"/>
  <c r="R2296" i="16"/>
  <c r="R2046" i="16"/>
  <c r="R2047" i="16"/>
  <c r="R2297" i="16"/>
  <c r="R2298" i="16"/>
  <c r="R1726" i="16"/>
  <c r="R1935" i="16"/>
  <c r="R2299" i="16"/>
  <c r="R1729" i="16"/>
  <c r="R218" i="16"/>
  <c r="R1971" i="16"/>
  <c r="R1972" i="16"/>
  <c r="R2179" i="16"/>
  <c r="R1329" i="16"/>
  <c r="R380" i="16"/>
  <c r="R381" i="16"/>
  <c r="R2048" i="16"/>
  <c r="R2300" i="16"/>
  <c r="R2144" i="16"/>
  <c r="R1906" i="16"/>
  <c r="R2153" i="16"/>
  <c r="R219" i="16"/>
  <c r="R220" i="16"/>
  <c r="R1423" i="16"/>
  <c r="R1637" i="16"/>
  <c r="R2049" i="16"/>
  <c r="R2027" i="16"/>
  <c r="R1959" i="16"/>
  <c r="R2014" i="16"/>
  <c r="R1958" i="16"/>
  <c r="R1947" i="16"/>
  <c r="R1973" i="16"/>
  <c r="R2050" i="16"/>
  <c r="R41" i="16"/>
  <c r="R42" i="16"/>
  <c r="R43" i="16"/>
  <c r="R2301" i="16"/>
  <c r="R44" i="16"/>
  <c r="R2165" i="16"/>
  <c r="R2034" i="16"/>
  <c r="R2302" i="16"/>
  <c r="R1515" i="16"/>
  <c r="R2116" i="16"/>
  <c r="R1834" i="16"/>
  <c r="R1322" i="16"/>
  <c r="R1961" i="16"/>
  <c r="R1907" i="16"/>
  <c r="R2051" i="16"/>
  <c r="R1424" i="16"/>
  <c r="R2303" i="16"/>
  <c r="R1909" i="16"/>
  <c r="R1330" i="16"/>
  <c r="R2033" i="16"/>
  <c r="R67" i="16"/>
  <c r="R68" i="16"/>
  <c r="R1791" i="16"/>
  <c r="R2052" i="16"/>
  <c r="R1456" i="16"/>
  <c r="R1594" i="16"/>
  <c r="R69" i="16"/>
  <c r="R382" i="16"/>
  <c r="R85" i="16"/>
  <c r="R2304" i="16"/>
  <c r="R70" i="16"/>
  <c r="R669" i="16"/>
  <c r="R1703" i="16"/>
  <c r="R617" i="16"/>
  <c r="R580" i="16"/>
  <c r="R618" i="16"/>
  <c r="R619" i="16"/>
  <c r="R620" i="16"/>
  <c r="R621" i="16"/>
  <c r="R622" i="16"/>
  <c r="R1563" i="16"/>
  <c r="R676" i="16"/>
  <c r="R670" i="16"/>
  <c r="R828" i="16"/>
  <c r="R829" i="16"/>
  <c r="R830" i="16"/>
  <c r="R244" i="16"/>
  <c r="R245" i="16"/>
  <c r="R1777" i="16"/>
  <c r="R1700" i="16"/>
  <c r="R1548" i="16"/>
  <c r="R844" i="16"/>
  <c r="R845" i="16"/>
  <c r="R1166" i="16"/>
  <c r="R2053" i="16"/>
  <c r="R2305" i="16"/>
  <c r="R377" i="16"/>
  <c r="R378" i="16"/>
  <c r="R379" i="16"/>
  <c r="R229" i="16"/>
  <c r="R230" i="16"/>
  <c r="R231" i="16"/>
  <c r="R1795" i="16"/>
  <c r="R1891" i="16"/>
  <c r="R1923" i="16"/>
  <c r="R2054" i="16"/>
  <c r="R2306" i="16"/>
  <c r="R1839" i="16"/>
  <c r="R1945" i="16"/>
  <c r="R1974" i="16"/>
  <c r="R1835" i="16"/>
  <c r="R1085" i="16"/>
  <c r="R1086" i="16"/>
  <c r="R1422" i="16"/>
  <c r="R1145" i="16"/>
  <c r="R1057" i="16"/>
  <c r="R1584" i="16"/>
  <c r="R1773" i="16"/>
  <c r="R1789" i="16"/>
  <c r="R1883" i="16"/>
  <c r="R1058" i="16"/>
  <c r="R1119" i="16"/>
  <c r="R1840" i="16"/>
  <c r="R846" i="16"/>
  <c r="R1254" i="16"/>
  <c r="R322" i="16"/>
  <c r="R2036" i="16"/>
  <c r="R2037" i="16"/>
  <c r="R1527" i="16"/>
  <c r="R1975" i="16"/>
  <c r="R1984" i="16"/>
  <c r="R1220" i="16"/>
  <c r="R1894" i="16"/>
  <c r="R1634" i="16"/>
  <c r="R2307" i="16"/>
  <c r="R2173" i="16"/>
  <c r="R1929" i="16"/>
  <c r="R2166" i="16"/>
  <c r="R2023" i="16"/>
  <c r="R1926" i="16"/>
  <c r="R1836" i="16"/>
  <c r="R1334" i="16"/>
  <c r="R2308" i="16"/>
  <c r="R1976" i="16"/>
  <c r="R1908" i="16"/>
  <c r="R1781" i="16"/>
  <c r="R2000" i="16"/>
  <c r="R2129" i="16"/>
  <c r="R1657" i="16"/>
  <c r="R1829" i="16"/>
  <c r="R1955" i="16"/>
  <c r="R2035" i="16"/>
  <c r="R1977" i="16"/>
  <c r="R2309" i="16"/>
  <c r="R2310" i="16"/>
  <c r="R2031" i="16"/>
  <c r="R2055" i="16"/>
  <c r="R2030" i="16"/>
  <c r="R1968" i="16"/>
  <c r="R2311" i="16"/>
  <c r="R1952" i="16"/>
  <c r="R2312" i="16"/>
  <c r="R2313" i="16"/>
  <c r="R2314" i="16"/>
  <c r="R1869" i="16"/>
  <c r="R1953" i="16"/>
  <c r="R1892" i="16"/>
  <c r="R1831" i="16"/>
  <c r="R1866" i="16"/>
  <c r="R2315" i="16"/>
  <c r="R2026" i="16"/>
  <c r="R1668" i="16"/>
  <c r="R2131" i="16"/>
  <c r="R1745" i="16"/>
  <c r="R2316" i="16"/>
  <c r="R2317" i="16"/>
  <c r="R2056" i="16"/>
  <c r="R2318" i="16"/>
  <c r="R2319" i="16"/>
  <c r="R2118" i="16"/>
  <c r="R1951" i="16"/>
  <c r="R1252" i="16"/>
  <c r="R217" i="16"/>
  <c r="R369" i="16"/>
  <c r="R138" i="16"/>
  <c r="R898" i="16"/>
  <c r="R1383" i="16"/>
  <c r="R1384" i="16"/>
  <c r="R1506" i="16"/>
  <c r="R262" i="16"/>
  <c r="R1426" i="16"/>
  <c r="R139" i="16"/>
  <c r="R657" i="16"/>
  <c r="R710" i="16"/>
  <c r="R1928" i="16"/>
  <c r="R1867" i="16"/>
  <c r="R1425" i="16"/>
  <c r="R1400" i="16"/>
  <c r="R1710" i="16"/>
  <c r="R2025" i="16"/>
  <c r="R1543" i="16"/>
  <c r="R1578" i="16"/>
  <c r="R1648" i="16"/>
  <c r="R1980" i="16"/>
  <c r="R2075" i="16"/>
  <c r="R2320" i="16"/>
  <c r="R2321" i="16"/>
  <c r="R1460" i="16"/>
  <c r="R2113" i="16"/>
  <c r="R1524" i="16"/>
  <c r="R2322" i="16"/>
  <c r="R2174" i="16"/>
  <c r="R1938" i="16"/>
  <c r="R1899" i="16"/>
  <c r="R2323" i="16"/>
  <c r="R2130" i="16"/>
  <c r="R711" i="16"/>
  <c r="R2145" i="16"/>
  <c r="R1922" i="16"/>
  <c r="R1489" i="16"/>
  <c r="R2176" i="16"/>
  <c r="R1593" i="16"/>
  <c r="R1963" i="16"/>
  <c r="R883" i="16"/>
  <c r="R2029" i="16"/>
  <c r="R1898" i="16"/>
  <c r="R10" i="16"/>
  <c r="R11" i="16"/>
  <c r="R12" i="16"/>
  <c r="R13" i="16"/>
  <c r="R14" i="16"/>
  <c r="R1965" i="16"/>
  <c r="R750" i="16"/>
  <c r="R15" i="16"/>
  <c r="R971" i="16"/>
  <c r="R1395" i="16"/>
  <c r="R1232" i="16"/>
  <c r="R760" i="16"/>
  <c r="R206" i="16"/>
  <c r="R663" i="16"/>
  <c r="R237" i="16"/>
  <c r="R111" i="16"/>
  <c r="R383" i="16"/>
  <c r="R311" i="16"/>
  <c r="R57" i="16"/>
  <c r="R110" i="16"/>
  <c r="R1629" i="16"/>
  <c r="R714" i="16"/>
  <c r="R1150" i="16"/>
  <c r="R323" i="16"/>
  <c r="R430" i="16"/>
  <c r="R339" i="16"/>
  <c r="R757" i="16"/>
  <c r="R374" i="16"/>
  <c r="R74" i="16"/>
  <c r="R106" i="16"/>
  <c r="R2016" i="16"/>
  <c r="R1905" i="16"/>
  <c r="R2324" i="16"/>
  <c r="R1774" i="16"/>
  <c r="R1274" i="16"/>
  <c r="R1948" i="16"/>
  <c r="R1838" i="16"/>
  <c r="R1865" i="16"/>
  <c r="R1761" i="16"/>
  <c r="R2111" i="16"/>
  <c r="R1744" i="16"/>
  <c r="R2090" i="16"/>
  <c r="R2325" i="16"/>
  <c r="R1510" i="16"/>
  <c r="R1557" i="16"/>
  <c r="R1363" i="16"/>
  <c r="R1705" i="16"/>
  <c r="R2020" i="16"/>
  <c r="R2021" i="16"/>
  <c r="R1801" i="16"/>
  <c r="R1782" i="16"/>
  <c r="R2326" i="16"/>
  <c r="R2017" i="16"/>
  <c r="R1978" i="16"/>
  <c r="R1844" i="16"/>
  <c r="R2092" i="16"/>
  <c r="R2117" i="16"/>
  <c r="R2327" i="16"/>
  <c r="R1872" i="16"/>
  <c r="R2328" i="16"/>
  <c r="R2329" i="16"/>
  <c r="R2330" i="16"/>
  <c r="R2331" i="16"/>
  <c r="R1855" i="16"/>
  <c r="R1877" i="16"/>
  <c r="R1337" i="16"/>
  <c r="R754" i="16"/>
  <c r="R1501" i="16"/>
  <c r="R2098" i="16"/>
  <c r="R831" i="16"/>
  <c r="R1611" i="16"/>
  <c r="R1582" i="16"/>
  <c r="R1558" i="16"/>
  <c r="R1246" i="16"/>
  <c r="R1106" i="16"/>
  <c r="R794" i="16"/>
  <c r="R1734" i="16"/>
  <c r="R1796" i="16"/>
  <c r="R1529" i="16"/>
  <c r="R1390" i="16"/>
  <c r="R1822" i="16"/>
  <c r="R952" i="16"/>
  <c r="R1213" i="16"/>
  <c r="R1444" i="16"/>
  <c r="R1545" i="16"/>
  <c r="R2332" i="16"/>
  <c r="R2333" i="16"/>
  <c r="R2334" i="16"/>
  <c r="R2335" i="16"/>
  <c r="R2336" i="16"/>
  <c r="R2337" i="16"/>
  <c r="R2338" i="16"/>
  <c r="R2339" i="16"/>
  <c r="R2340" i="16"/>
  <c r="R2341" i="16"/>
  <c r="R1229" i="16"/>
  <c r="R1147" i="16"/>
  <c r="R1490" i="16"/>
  <c r="R1114" i="16"/>
  <c r="R2095" i="16"/>
  <c r="R1681" i="16"/>
  <c r="R1832" i="16"/>
  <c r="R1241" i="16"/>
  <c r="R1881" i="16"/>
  <c r="R1847" i="16"/>
  <c r="R755" i="16"/>
  <c r="R1216" i="16"/>
  <c r="R721" i="16"/>
  <c r="R1495" i="16"/>
  <c r="R1804" i="16"/>
  <c r="R351" i="16"/>
  <c r="R489" i="16"/>
  <c r="R289" i="16"/>
  <c r="R290" i="16"/>
  <c r="R1214" i="16"/>
  <c r="R1721" i="16"/>
  <c r="R126" i="16"/>
  <c r="R376" i="16"/>
  <c r="R1488" i="16"/>
  <c r="R1712" i="16"/>
  <c r="R1056" i="16"/>
  <c r="R1580" i="16"/>
  <c r="R1097" i="16"/>
  <c r="R937" i="16"/>
  <c r="R1040" i="16"/>
  <c r="R1154" i="16"/>
  <c r="R1539" i="16"/>
  <c r="R1880" i="16"/>
  <c r="R291" i="16"/>
  <c r="U924" i="16"/>
  <c r="U925" i="16"/>
  <c r="U1204" i="16"/>
  <c r="U1205" i="16"/>
  <c r="U1206" i="16"/>
  <c r="U1436" i="16"/>
  <c r="U1437" i="16"/>
  <c r="U1470" i="16"/>
  <c r="U902" i="16"/>
  <c r="U903" i="16"/>
  <c r="U904" i="16"/>
  <c r="U926" i="16"/>
  <c r="U927" i="16"/>
  <c r="U928" i="16"/>
  <c r="U1015" i="16"/>
  <c r="U1016" i="16"/>
  <c r="U1017" i="16"/>
  <c r="U1018" i="16"/>
  <c r="U1019" i="16"/>
  <c r="U1020" i="16"/>
  <c r="U1402" i="16"/>
  <c r="U1550" i="16"/>
  <c r="U1551" i="16"/>
  <c r="U933" i="16"/>
  <c r="U847" i="16"/>
  <c r="U1110" i="16"/>
  <c r="U1111" i="16"/>
  <c r="U1112" i="16"/>
  <c r="U1021" i="16"/>
  <c r="U1022" i="16"/>
  <c r="U1471" i="16"/>
  <c r="U1207" i="16"/>
  <c r="U1427" i="16"/>
  <c r="U1428" i="16"/>
  <c r="U1403" i="16"/>
  <c r="U1404" i="16"/>
  <c r="U1023" i="16"/>
  <c r="U878" i="16"/>
  <c r="U2060" i="16"/>
  <c r="U1091" i="16"/>
  <c r="U1353" i="16"/>
  <c r="U455" i="16"/>
  <c r="U1069" i="16"/>
  <c r="U998" i="16"/>
  <c r="U1223" i="16"/>
  <c r="U1203" i="16"/>
  <c r="U456" i="16"/>
  <c r="U658" i="16"/>
  <c r="U133" i="16"/>
  <c r="U261" i="16"/>
  <c r="U470" i="16"/>
  <c r="U81" i="16"/>
  <c r="U543" i="16"/>
  <c r="U544" i="16"/>
  <c r="U520" i="16"/>
  <c r="U521" i="16"/>
  <c r="U1990" i="16"/>
  <c r="U1991" i="16"/>
  <c r="U879" i="16"/>
  <c r="U606" i="16"/>
  <c r="U525" i="16"/>
  <c r="U526" i="16"/>
  <c r="U907" i="16"/>
  <c r="U908" i="16"/>
  <c r="U497" i="16"/>
  <c r="U694" i="16"/>
  <c r="U1544" i="16"/>
  <c r="U2096" i="16"/>
  <c r="U735" i="16"/>
  <c r="U736" i="16"/>
  <c r="U392" i="16"/>
  <c r="U1443" i="16"/>
  <c r="U1047" i="16"/>
  <c r="U824" i="16"/>
  <c r="U1809" i="16"/>
  <c r="U1823" i="16"/>
  <c r="U1824" i="16"/>
  <c r="U440" i="16"/>
  <c r="U1989" i="16"/>
  <c r="U787" i="16"/>
  <c r="U899" i="16"/>
  <c r="U900" i="16"/>
  <c r="U1612" i="16"/>
  <c r="U1613" i="16"/>
  <c r="U393" i="16"/>
  <c r="U2063" i="16"/>
  <c r="U1048" i="16"/>
  <c r="U64" i="16"/>
  <c r="U65" i="16"/>
  <c r="U47" i="16"/>
  <c r="U48" i="16"/>
  <c r="U698" i="16"/>
  <c r="U607" i="16"/>
  <c r="U49" i="16"/>
  <c r="U687" i="16"/>
  <c r="U66" i="16"/>
  <c r="U175" i="16"/>
  <c r="U176" i="16"/>
  <c r="U848" i="16"/>
  <c r="U784" i="16"/>
  <c r="U397" i="16"/>
  <c r="U308" i="16"/>
  <c r="U177" i="16"/>
  <c r="U178" i="16"/>
  <c r="U513" i="16"/>
  <c r="U406" i="16"/>
  <c r="U955" i="16"/>
  <c r="U948" i="16"/>
  <c r="U179" i="16"/>
  <c r="U180" i="16"/>
  <c r="U181" i="16"/>
  <c r="U785" i="16"/>
  <c r="U1387" i="16"/>
  <c r="U336" i="16"/>
  <c r="U641" i="16"/>
  <c r="U1266" i="16"/>
  <c r="U1024" i="16"/>
  <c r="U833" i="16"/>
  <c r="U653" i="16"/>
  <c r="U384" i="16"/>
  <c r="U1497" i="16"/>
  <c r="U263" i="16"/>
  <c r="U264" i="16"/>
  <c r="U834" i="16"/>
  <c r="U278" i="16"/>
  <c r="U226" i="16"/>
  <c r="U1025" i="16"/>
  <c r="U688" i="16"/>
  <c r="U58" i="16"/>
  <c r="U144" i="16"/>
  <c r="U1451" i="16"/>
  <c r="U1452" i="16"/>
  <c r="U435" i="16"/>
  <c r="U835" i="16"/>
  <c r="U187" i="16"/>
  <c r="U934" i="16"/>
  <c r="U145" i="16"/>
  <c r="U1502" i="16"/>
  <c r="U1619" i="16"/>
  <c r="U1385" i="16"/>
  <c r="U1233" i="16"/>
  <c r="U169" i="16"/>
  <c r="U836" i="16"/>
  <c r="U837" i="16"/>
  <c r="U984" i="16"/>
  <c r="U1565" i="16"/>
  <c r="U758" i="16"/>
  <c r="U146" i="16"/>
  <c r="U1405" i="16"/>
  <c r="U2189" i="16"/>
  <c r="U170" i="16"/>
  <c r="U700" i="16"/>
  <c r="U701" i="16"/>
  <c r="U127" i="16"/>
  <c r="U981" i="16"/>
  <c r="U183" i="16"/>
  <c r="U184" i="16"/>
  <c r="U2161" i="16"/>
  <c r="U2069" i="16"/>
  <c r="U2156" i="16"/>
  <c r="U2084" i="16"/>
  <c r="U842" i="16"/>
  <c r="U210" i="16"/>
  <c r="U1994" i="16"/>
  <c r="U1079" i="16"/>
  <c r="U1453" i="16"/>
  <c r="U1454" i="16"/>
  <c r="U185" i="16"/>
  <c r="U186" i="16"/>
  <c r="U1457" i="16"/>
  <c r="U151" i="16"/>
  <c r="U283" i="16"/>
  <c r="U1464" i="16"/>
  <c r="U2177" i="16"/>
  <c r="U1388" i="16"/>
  <c r="U337" i="16"/>
  <c r="U642" i="16"/>
  <c r="U227" i="16"/>
  <c r="U1267" i="16"/>
  <c r="U1026" i="16"/>
  <c r="U689" i="16"/>
  <c r="U436" i="16"/>
  <c r="U188" i="16"/>
  <c r="U935" i="16"/>
  <c r="U1503" i="16"/>
  <c r="U1620" i="16"/>
  <c r="U1386" i="16"/>
  <c r="U1234" i="16"/>
  <c r="U171" i="16"/>
  <c r="U1566" i="16"/>
  <c r="U759" i="16"/>
  <c r="U1406" i="16"/>
  <c r="U1702" i="16"/>
  <c r="U1540" i="16"/>
  <c r="U2190" i="16"/>
  <c r="U1459" i="16"/>
  <c r="U859" i="16"/>
  <c r="U1043" i="16"/>
  <c r="U905" i="16"/>
  <c r="U1088" i="16"/>
  <c r="U1211" i="16"/>
  <c r="U419" i="16"/>
  <c r="U1780" i="16"/>
  <c r="U294" i="16"/>
  <c r="U59" i="16"/>
  <c r="U2191" i="16"/>
  <c r="U1932" i="16"/>
  <c r="U2192" i="16"/>
  <c r="U1339" i="16"/>
  <c r="U1071" i="16"/>
  <c r="U1649" i="16"/>
  <c r="U490" i="16"/>
  <c r="U1072" i="16"/>
  <c r="U491" i="16"/>
  <c r="U1983" i="16"/>
  <c r="U1604" i="16"/>
  <c r="U1218" i="16"/>
  <c r="U1073" i="16"/>
  <c r="U492" i="16"/>
  <c r="U469" i="16"/>
  <c r="U1212" i="16"/>
  <c r="U1800" i="16"/>
  <c r="U493" i="16"/>
  <c r="U1650" i="16"/>
  <c r="U1087" i="16"/>
  <c r="U992" i="16"/>
  <c r="U1074" i="16"/>
  <c r="U1772" i="16"/>
  <c r="U1532" i="16"/>
  <c r="U1070" i="16"/>
  <c r="U1002" i="16"/>
  <c r="U2085" i="16"/>
  <c r="U2193" i="16"/>
  <c r="U2108" i="16"/>
  <c r="U993" i="16"/>
  <c r="U1314" i="16"/>
  <c r="U1949" i="16"/>
  <c r="U881" i="16"/>
  <c r="U2178" i="16"/>
  <c r="U2194" i="16"/>
  <c r="U965" i="16"/>
  <c r="U822" i="16"/>
  <c r="U2008" i="16"/>
  <c r="U1996" i="16"/>
  <c r="U1553" i="16"/>
  <c r="U1868" i="16"/>
  <c r="U1210" i="16"/>
  <c r="U1476" i="16"/>
  <c r="U843" i="16"/>
  <c r="U1498" i="16"/>
  <c r="U1499" i="16"/>
  <c r="U1500" i="16"/>
  <c r="U1120" i="16"/>
  <c r="U1162" i="16"/>
  <c r="U791" i="16"/>
  <c r="U1884" i="16"/>
  <c r="U228" i="16"/>
  <c r="U225" i="16"/>
  <c r="U1163" i="16"/>
  <c r="U917" i="16"/>
  <c r="U1741" i="16"/>
  <c r="U918" i="16"/>
  <c r="U919" i="16"/>
  <c r="U1033" i="16"/>
  <c r="U966" i="16"/>
  <c r="U654" i="16"/>
  <c r="U1195" i="16"/>
  <c r="U407" i="16"/>
  <c r="U1507" i="16"/>
  <c r="U1508" i="16"/>
  <c r="U1585" i="16"/>
  <c r="U1586" i="16"/>
  <c r="U1467" i="16"/>
  <c r="U599" i="16"/>
  <c r="U600" i="16"/>
  <c r="U601" i="16"/>
  <c r="U602" i="16"/>
  <c r="U603" i="16"/>
  <c r="U604" i="16"/>
  <c r="U874" i="16"/>
  <c r="U875" i="16"/>
  <c r="U476" i="16"/>
  <c r="U1432" i="16"/>
  <c r="U623" i="16"/>
  <c r="U624" i="16"/>
  <c r="U625" i="16"/>
  <c r="U626" i="16"/>
  <c r="U1256" i="16"/>
  <c r="U1257" i="16"/>
  <c r="U119" i="16"/>
  <c r="U2065" i="16"/>
  <c r="U2195" i="16"/>
  <c r="U2196" i="16"/>
  <c r="U1736" i="16"/>
  <c r="U2078" i="16"/>
  <c r="U2197" i="16"/>
  <c r="U717" i="16"/>
  <c r="U246" i="16"/>
  <c r="U247" i="16"/>
  <c r="U37" i="16"/>
  <c r="U122" i="16"/>
  <c r="U2198" i="16"/>
  <c r="U2199" i="16"/>
  <c r="U2200" i="16"/>
  <c r="U51" i="16"/>
  <c r="U464" i="16"/>
  <c r="U465" i="16"/>
  <c r="U52" i="16"/>
  <c r="U53" i="16"/>
  <c r="U54" i="16"/>
  <c r="U1396" i="16"/>
  <c r="U1397" i="16"/>
  <c r="U38" i="16"/>
  <c r="U39" i="16"/>
  <c r="U40" i="16"/>
  <c r="U1324" i="16"/>
  <c r="U985" i="16"/>
  <c r="U1134" i="16"/>
  <c r="U1027" i="16"/>
  <c r="U2201" i="16"/>
  <c r="U662" i="16"/>
  <c r="U1469" i="16"/>
  <c r="U639" i="16"/>
  <c r="U394" i="16"/>
  <c r="U672" i="16"/>
  <c r="U649" i="16"/>
  <c r="U1826" i="16"/>
  <c r="U644" i="16"/>
  <c r="U193" i="16"/>
  <c r="U420" i="16"/>
  <c r="U2202" i="16"/>
  <c r="U1827" i="16"/>
  <c r="U194" i="16"/>
  <c r="U19" i="16"/>
  <c r="U1151" i="16"/>
  <c r="U195" i="16"/>
  <c r="U1152" i="16"/>
  <c r="U20" i="16"/>
  <c r="U196" i="16"/>
  <c r="U671" i="16"/>
  <c r="U197" i="16"/>
  <c r="U1408" i="16"/>
  <c r="U729" i="16"/>
  <c r="U1767" i="16"/>
  <c r="U730" i="16"/>
  <c r="U395" i="16"/>
  <c r="U21" i="16"/>
  <c r="U1748" i="16"/>
  <c r="U751" i="16"/>
  <c r="U645" i="16"/>
  <c r="U1768" i="16"/>
  <c r="U1749" i="16"/>
  <c r="U661" i="16"/>
  <c r="U198" i="16"/>
  <c r="U737" i="16"/>
  <c r="U650" i="16"/>
  <c r="U1904" i="16"/>
  <c r="U1878" i="16"/>
  <c r="U627" i="16"/>
  <c r="U646" i="16"/>
  <c r="U647" i="16"/>
  <c r="U22" i="16"/>
  <c r="U1769" i="16"/>
  <c r="U1169" i="16"/>
  <c r="U930" i="16"/>
  <c r="U673" i="16"/>
  <c r="U1170" i="16"/>
  <c r="U1171" i="16"/>
  <c r="U23" i="16"/>
  <c r="U738" i="16"/>
  <c r="U739" i="16"/>
  <c r="U2203" i="16"/>
  <c r="U1172" i="16"/>
  <c r="U355" i="16"/>
  <c r="U223" i="16"/>
  <c r="U428" i="16"/>
  <c r="U214" i="16"/>
  <c r="U463" i="16"/>
  <c r="U209" i="16"/>
  <c r="U18" i="16"/>
  <c r="U135" i="16"/>
  <c r="U117" i="16"/>
  <c r="U121" i="16"/>
  <c r="U50" i="16"/>
  <c r="U213" i="16"/>
  <c r="U1080" i="16"/>
  <c r="U152" i="16"/>
  <c r="U1417" i="16"/>
  <c r="U1008" i="16"/>
  <c r="U1126" i="16"/>
  <c r="U1583" i="16"/>
  <c r="U571" i="16"/>
  <c r="U190" i="16"/>
  <c r="U1131" i="16"/>
  <c r="U191" i="16"/>
  <c r="U128" i="16"/>
  <c r="U331" i="16"/>
  <c r="U1414" i="16"/>
  <c r="U202" i="16"/>
  <c r="U203" i="16"/>
  <c r="U204" i="16"/>
  <c r="U929" i="16"/>
  <c r="U1609" i="16"/>
  <c r="U2152" i="16"/>
  <c r="U1595" i="16"/>
  <c r="U1127" i="16"/>
  <c r="U1607" i="16"/>
  <c r="U1770" i="16"/>
  <c r="U334" i="16"/>
  <c r="U2062" i="16"/>
  <c r="U840" i="16"/>
  <c r="U2204" i="16"/>
  <c r="U752" i="16"/>
  <c r="U1173" i="16"/>
  <c r="U2205" i="16"/>
  <c r="U1597" i="16"/>
  <c r="U592" i="16"/>
  <c r="U134" i="16"/>
  <c r="U616" i="16"/>
  <c r="U2206" i="16"/>
  <c r="U916" i="16"/>
  <c r="U2207" i="16"/>
  <c r="U1398" i="16"/>
  <c r="U2099" i="16"/>
  <c r="U345" i="16"/>
  <c r="U681" i="16"/>
  <c r="U1413" i="16"/>
  <c r="U715" i="16"/>
  <c r="U1920" i="16"/>
  <c r="U628" i="16"/>
  <c r="U651" i="16"/>
  <c r="U731" i="16"/>
  <c r="U648" i="16"/>
  <c r="U281" i="16"/>
  <c r="U199" i="16"/>
  <c r="U1522" i="16"/>
  <c r="U1805" i="16"/>
  <c r="U466" i="16"/>
  <c r="U2208" i="16"/>
  <c r="U1215" i="16"/>
  <c r="U1819" i="16"/>
  <c r="U1656" i="16"/>
  <c r="U399" i="16"/>
  <c r="U1828" i="16"/>
  <c r="U1750" i="16"/>
  <c r="U1513" i="16"/>
  <c r="U972" i="16"/>
  <c r="U182" i="16"/>
  <c r="U1117" i="16"/>
  <c r="U1273" i="16"/>
  <c r="U1814" i="16"/>
  <c r="U1153" i="16"/>
  <c r="U1788" i="16"/>
  <c r="U1561" i="16"/>
  <c r="U740" i="16"/>
  <c r="U207" i="16"/>
  <c r="U1896" i="16"/>
  <c r="U718" i="16"/>
  <c r="U365" i="16"/>
  <c r="U821" i="16"/>
  <c r="U1373" i="16"/>
  <c r="U1802" i="16"/>
  <c r="U2209" i="16"/>
  <c r="U1845" i="16"/>
  <c r="U2210" i="16"/>
  <c r="U805" i="16"/>
  <c r="U442" i="16"/>
  <c r="U640" i="16"/>
  <c r="U1879" i="16"/>
  <c r="U1590" i="16"/>
  <c r="U825" i="16"/>
  <c r="U1673" i="16"/>
  <c r="U1371" i="16"/>
  <c r="U1564" i="16"/>
  <c r="U55" i="16"/>
  <c r="U24" i="16"/>
  <c r="U1409" i="16"/>
  <c r="U46" i="16"/>
  <c r="U1995" i="16"/>
  <c r="U1617" i="16"/>
  <c r="U1050" i="16"/>
  <c r="U976" i="16"/>
  <c r="U1332" i="16"/>
  <c r="U1531" i="16"/>
  <c r="U224" i="16"/>
  <c r="U26" i="16"/>
  <c r="U719" i="16"/>
  <c r="U552" i="16"/>
  <c r="U553" i="16"/>
  <c r="U554" i="16"/>
  <c r="U555" i="16"/>
  <c r="U2211" i="16"/>
  <c r="U1625" i="16"/>
  <c r="U574" i="16"/>
  <c r="U575" i="16"/>
  <c r="U576" i="16"/>
  <c r="U950" i="16"/>
  <c r="U75" i="16"/>
  <c r="U1370" i="16"/>
  <c r="U2212" i="16"/>
  <c r="U1379" i="16"/>
  <c r="U211" i="16"/>
  <c r="U522" i="16"/>
  <c r="U82" i="16"/>
  <c r="U733" i="16"/>
  <c r="U212" i="16"/>
  <c r="U168" i="16"/>
  <c r="U439" i="16"/>
  <c r="U208" i="16"/>
  <c r="U215" i="16"/>
  <c r="U2213" i="16"/>
  <c r="U2214" i="16"/>
  <c r="U2215" i="16"/>
  <c r="U1902" i="16"/>
  <c r="U951" i="16"/>
  <c r="U1161" i="16"/>
  <c r="U1591" i="16"/>
  <c r="U28" i="16"/>
  <c r="U1562" i="16"/>
  <c r="U238" i="16"/>
  <c r="U239" i="16"/>
  <c r="U240" i="16"/>
  <c r="U584" i="16"/>
  <c r="U585" i="16"/>
  <c r="U437" i="16"/>
  <c r="U83" i="16"/>
  <c r="U29" i="16"/>
  <c r="U73" i="16"/>
  <c r="U586" i="16"/>
  <c r="U595" i="16"/>
  <c r="U596" i="16"/>
  <c r="U467" i="16"/>
  <c r="U71" i="16"/>
  <c r="U45" i="16"/>
  <c r="U763" i="16"/>
  <c r="U764" i="16"/>
  <c r="U421" i="16"/>
  <c r="U633" i="16"/>
  <c r="U557" i="16"/>
  <c r="U338" i="16"/>
  <c r="U1201" i="16"/>
  <c r="U56" i="16"/>
  <c r="U16" i="16"/>
  <c r="U25" i="16"/>
  <c r="U429" i="16"/>
  <c r="U33" i="16"/>
  <c r="U1181" i="16"/>
  <c r="U1182" i="16"/>
  <c r="U1183" i="16"/>
  <c r="U36" i="16"/>
  <c r="U1491" i="16"/>
  <c r="U1133" i="16"/>
  <c r="U234" i="16"/>
  <c r="U471" i="16"/>
  <c r="U302" i="16"/>
  <c r="U303" i="16"/>
  <c r="U1628" i="16"/>
  <c r="U148" i="16"/>
  <c r="U1039" i="16"/>
  <c r="U72" i="16"/>
  <c r="U241" i="16"/>
  <c r="U242" i="16"/>
  <c r="U243" i="16"/>
  <c r="U1514" i="16"/>
  <c r="U1442" i="16"/>
  <c r="U472" i="16"/>
  <c r="U304" i="16"/>
  <c r="U753" i="16"/>
  <c r="U2216" i="16"/>
  <c r="U156" i="16"/>
  <c r="U157" i="16"/>
  <c r="U248" i="16"/>
  <c r="U1771" i="16"/>
  <c r="U123" i="16"/>
  <c r="U2217" i="16"/>
  <c r="U468" i="16"/>
  <c r="U1429" i="16"/>
  <c r="U249" i="16"/>
  <c r="U250" i="16"/>
  <c r="U1430" i="16"/>
  <c r="U2175" i="16"/>
  <c r="U1051" i="16"/>
  <c r="U1096" i="16"/>
  <c r="U949" i="16"/>
  <c r="U312" i="16"/>
  <c r="U1482" i="16"/>
  <c r="U313" i="16"/>
  <c r="U422" i="16"/>
  <c r="U314" i="16"/>
  <c r="U315" i="16"/>
  <c r="U316" i="16"/>
  <c r="U7" i="16"/>
  <c r="U8" i="16"/>
  <c r="U124" i="16"/>
  <c r="U1779" i="16"/>
  <c r="U423" i="16"/>
  <c r="U1277" i="16"/>
  <c r="U1818" i="16"/>
  <c r="U1049" i="16"/>
  <c r="U562" i="16"/>
  <c r="U1431" i="16"/>
  <c r="U741" i="16"/>
  <c r="U931" i="16"/>
  <c r="U396" i="16"/>
  <c r="U577" i="16"/>
  <c r="U578" i="16"/>
  <c r="U990" i="16"/>
  <c r="U1714" i="16"/>
  <c r="U1245" i="16"/>
  <c r="U2218" i="16"/>
  <c r="U352" i="16"/>
  <c r="U353" i="16"/>
  <c r="U354" i="16"/>
  <c r="U136" i="16"/>
  <c r="U125" i="16"/>
  <c r="U1382" i="16"/>
  <c r="U1633" i="16"/>
  <c r="U317" i="16"/>
  <c r="U2071" i="16"/>
  <c r="U855" i="16"/>
  <c r="U856" i="16"/>
  <c r="U857" i="16"/>
  <c r="U473" i="16"/>
  <c r="U797" i="16"/>
  <c r="U798" i="16"/>
  <c r="U799" i="16"/>
  <c r="U1174" i="16"/>
  <c r="U1175" i="16"/>
  <c r="U1176" i="16"/>
  <c r="U1806" i="16"/>
  <c r="U1807" i="16"/>
  <c r="U1034" i="16"/>
  <c r="U1035" i="16"/>
  <c r="U1036" i="16"/>
  <c r="U2080" i="16"/>
  <c r="U809" i="16"/>
  <c r="U810" i="16"/>
  <c r="U811" i="16"/>
  <c r="U1358" i="16"/>
  <c r="U1359" i="16"/>
  <c r="U87" i="16"/>
  <c r="U88" i="16"/>
  <c r="U514" i="16"/>
  <c r="U515" i="16"/>
  <c r="U516" i="16"/>
  <c r="U2009" i="16"/>
  <c r="U2010" i="16"/>
  <c r="U1003" i="16"/>
  <c r="U1004" i="16"/>
  <c r="U1005" i="16"/>
  <c r="U431" i="16"/>
  <c r="U432" i="16"/>
  <c r="U433" i="16"/>
  <c r="U1155" i="16"/>
  <c r="U1156" i="16"/>
  <c r="U1157" i="16"/>
  <c r="U683" i="16"/>
  <c r="U684" i="16"/>
  <c r="U685" i="16"/>
  <c r="U780" i="16"/>
  <c r="U781" i="16"/>
  <c r="U782" i="16"/>
  <c r="U706" i="16"/>
  <c r="U707" i="16"/>
  <c r="U708" i="16"/>
  <c r="U1041" i="16"/>
  <c r="U342" i="16"/>
  <c r="U343" i="16"/>
  <c r="U774" i="16"/>
  <c r="U775" i="16"/>
  <c r="U776" i="16"/>
  <c r="U911" i="16"/>
  <c r="U912" i="16"/>
  <c r="U388" i="16"/>
  <c r="U389" i="16"/>
  <c r="U390" i="16"/>
  <c r="U546" i="16"/>
  <c r="U547" i="16"/>
  <c r="U1752" i="16"/>
  <c r="U1753" i="16"/>
  <c r="U563" i="16"/>
  <c r="U564" i="16"/>
  <c r="U565" i="16"/>
  <c r="U566" i="16"/>
  <c r="U1638" i="16"/>
  <c r="U1639" i="16"/>
  <c r="U1060" i="16"/>
  <c r="U1061" i="16"/>
  <c r="U1062" i="16"/>
  <c r="U722" i="16"/>
  <c r="U723" i="16"/>
  <c r="U724" i="16"/>
  <c r="U677" i="16"/>
  <c r="U678" i="16"/>
  <c r="U140" i="16"/>
  <c r="U1916" i="16"/>
  <c r="U1715" i="16"/>
  <c r="U1716" i="16"/>
  <c r="U1717" i="16"/>
  <c r="U886" i="16"/>
  <c r="U887" i="16"/>
  <c r="U888" i="16"/>
  <c r="U1011" i="16"/>
  <c r="U1012" i="16"/>
  <c r="U1013" i="16"/>
  <c r="U1785" i="16"/>
  <c r="U104" i="16"/>
  <c r="U1699" i="16"/>
  <c r="U1308" i="16"/>
  <c r="U1247" i="16"/>
  <c r="U1870" i="16"/>
  <c r="U2219" i="16"/>
  <c r="U2220" i="16"/>
  <c r="U850" i="16"/>
  <c r="U1556" i="16"/>
  <c r="U1743" i="16"/>
  <c r="U2143" i="16"/>
  <c r="U1812" i="16"/>
  <c r="U1378" i="16"/>
  <c r="U1912" i="16"/>
  <c r="U1727" i="16"/>
  <c r="U2077" i="16"/>
  <c r="U1260" i="16"/>
  <c r="U1997" i="16"/>
  <c r="U1940" i="16"/>
  <c r="U1512" i="16"/>
  <c r="U1873" i="16"/>
  <c r="U2070" i="16"/>
  <c r="U2125" i="16"/>
  <c r="U1184" i="16"/>
  <c r="U1765" i="16"/>
  <c r="U1722" i="16"/>
  <c r="U1859" i="16"/>
  <c r="U1786" i="16"/>
  <c r="U1921" i="16"/>
  <c r="U2221" i="16"/>
  <c r="U2073" i="16"/>
  <c r="U1344" i="16"/>
  <c r="U2061" i="16"/>
  <c r="U1917" i="16"/>
  <c r="U1918" i="16"/>
  <c r="U548" i="16"/>
  <c r="U725" i="16"/>
  <c r="U1808" i="16"/>
  <c r="U812" i="16"/>
  <c r="U813" i="16"/>
  <c r="U889" i="16"/>
  <c r="U105" i="16"/>
  <c r="U1841" i="16"/>
  <c r="U1842" i="16"/>
  <c r="U1191" i="16"/>
  <c r="U1192" i="16"/>
  <c r="U34" i="16"/>
  <c r="U35" i="16"/>
  <c r="U391" i="16"/>
  <c r="U426" i="16"/>
  <c r="U913" i="16"/>
  <c r="U474" i="16"/>
  <c r="U1042" i="16"/>
  <c r="U1360" i="16"/>
  <c r="U1006" i="16"/>
  <c r="U1007" i="16"/>
  <c r="U800" i="16"/>
  <c r="U801" i="16"/>
  <c r="U802" i="16"/>
  <c r="U803" i="16"/>
  <c r="U89" i="16"/>
  <c r="U90" i="16"/>
  <c r="U91" i="16"/>
  <c r="U2011" i="16"/>
  <c r="U686" i="16"/>
  <c r="U858" i="16"/>
  <c r="U1640" i="16"/>
  <c r="U517" i="16"/>
  <c r="U518" i="16"/>
  <c r="U519" i="16"/>
  <c r="U434" i="16"/>
  <c r="U344" i="16"/>
  <c r="U1037" i="16"/>
  <c r="U1038" i="16"/>
  <c r="U1063" i="16"/>
  <c r="U1718" i="16"/>
  <c r="U1177" i="16"/>
  <c r="U1178" i="16"/>
  <c r="U679" i="16"/>
  <c r="U2081" i="16"/>
  <c r="U141" i="16"/>
  <c r="U142" i="16"/>
  <c r="U783" i="16"/>
  <c r="U709" i="16"/>
  <c r="U1158" i="16"/>
  <c r="U1159" i="16"/>
  <c r="U1754" i="16"/>
  <c r="U1014" i="16"/>
  <c r="U567" i="16"/>
  <c r="U568" i="16"/>
  <c r="U569" i="16"/>
  <c r="U570" i="16"/>
  <c r="U777" i="16"/>
  <c r="U1248" i="16"/>
  <c r="U531" i="16"/>
  <c r="U1521" i="16"/>
  <c r="U1185" i="16"/>
  <c r="U1186" i="16"/>
  <c r="U1187" i="16"/>
  <c r="U1188" i="16"/>
  <c r="U1998" i="16"/>
  <c r="U1999" i="16"/>
  <c r="U1193" i="16"/>
  <c r="U795" i="16"/>
  <c r="U2222" i="16"/>
  <c r="U2223" i="16"/>
  <c r="U2224" i="16"/>
  <c r="U1309" i="16"/>
  <c r="U1310" i="16"/>
  <c r="U1311" i="16"/>
  <c r="U1312" i="16"/>
  <c r="U1313" i="16"/>
  <c r="U1730" i="16"/>
  <c r="U1833" i="16"/>
  <c r="U851" i="16"/>
  <c r="U2225" i="16"/>
  <c r="U1787" i="16"/>
  <c r="U1941" i="16"/>
  <c r="U1874" i="16"/>
  <c r="U1875" i="16"/>
  <c r="U1813" i="16"/>
  <c r="U143" i="16"/>
  <c r="U1010" i="16"/>
  <c r="U1601" i="16"/>
  <c r="U1559" i="16"/>
  <c r="U2226" i="16"/>
  <c r="U1496" i="16"/>
  <c r="U1509" i="16"/>
  <c r="U2105" i="16"/>
  <c r="U2104" i="16"/>
  <c r="U1933" i="16"/>
  <c r="U201" i="16"/>
  <c r="U1816" i="16"/>
  <c r="U1537" i="16"/>
  <c r="U2227" i="16"/>
  <c r="U2141" i="16"/>
  <c r="U2142" i="16"/>
  <c r="U2012" i="16"/>
  <c r="U84" i="16"/>
  <c r="U699" i="16"/>
  <c r="U816" i="16"/>
  <c r="U1887" i="16"/>
  <c r="U1888" i="16"/>
  <c r="U1146" i="16"/>
  <c r="U682" i="16"/>
  <c r="U712" i="16"/>
  <c r="U1525" i="16"/>
  <c r="U591" i="16"/>
  <c r="U2139" i="16"/>
  <c r="U817" i="16"/>
  <c r="U2110" i="16"/>
  <c r="U2024" i="16"/>
  <c r="U1518" i="16"/>
  <c r="U771" i="16"/>
  <c r="U772" i="16"/>
  <c r="U773" i="16"/>
  <c r="U457" i="16"/>
  <c r="U458" i="16"/>
  <c r="U885" i="16"/>
  <c r="U632" i="16"/>
  <c r="U1268" i="16"/>
  <c r="U613" i="16"/>
  <c r="U593" i="16"/>
  <c r="U1669" i="16"/>
  <c r="U1391" i="16"/>
  <c r="U1670" i="16"/>
  <c r="U1044" i="16"/>
  <c r="U666" i="16"/>
  <c r="U1728" i="16"/>
  <c r="U1059" i="16"/>
  <c r="U1165" i="16"/>
  <c r="U1198" i="16"/>
  <c r="U1407" i="16"/>
  <c r="U1113" i="16"/>
  <c r="U479" i="16"/>
  <c r="U1570" i="16"/>
  <c r="U1571" i="16"/>
  <c r="U1572" i="16"/>
  <c r="U2163" i="16"/>
  <c r="U2028" i="16"/>
  <c r="U690" i="16"/>
  <c r="U1092" i="16"/>
  <c r="U667" i="16"/>
  <c r="U1297" i="16"/>
  <c r="U1102" i="16"/>
  <c r="U1815" i="16"/>
  <c r="U1045" i="16"/>
  <c r="U1046" i="16"/>
  <c r="U832" i="16"/>
  <c r="U1746" i="16"/>
  <c r="U1756" i="16"/>
  <c r="U78" i="16"/>
  <c r="U1526" i="16"/>
  <c r="U968" i="16"/>
  <c r="U2228" i="16"/>
  <c r="U827" i="16"/>
  <c r="U1278" i="16"/>
  <c r="U1361" i="16"/>
  <c r="U961" i="16"/>
  <c r="U1362" i="16"/>
  <c r="U1803" i="16"/>
  <c r="U2229" i="16"/>
  <c r="U2230" i="16"/>
  <c r="U2231" i="16"/>
  <c r="U906" i="16"/>
  <c r="U865" i="16"/>
  <c r="U1589" i="16"/>
  <c r="U818" i="16"/>
  <c r="U819" i="16"/>
  <c r="U964" i="16"/>
  <c r="U820" i="16"/>
  <c r="U268" i="16"/>
  <c r="U1825" i="16"/>
  <c r="U1704" i="16"/>
  <c r="U2147" i="16"/>
  <c r="U594" i="16"/>
  <c r="U1505" i="16"/>
  <c r="U1579" i="16"/>
  <c r="U1298" i="16"/>
  <c r="U1757" i="16"/>
  <c r="U1758" i="16"/>
  <c r="U668" i="16"/>
  <c r="U305" i="16"/>
  <c r="U1747" i="16"/>
  <c r="U581" i="16"/>
  <c r="U590" i="16"/>
  <c r="U1438" i="16"/>
  <c r="U1830" i="16"/>
  <c r="U1790" i="16"/>
  <c r="U1630" i="16"/>
  <c r="U1608" i="16"/>
  <c r="U1272" i="16"/>
  <c r="U1463" i="16"/>
  <c r="U2232" i="16"/>
  <c r="U1599" i="16"/>
  <c r="U2233" i="16"/>
  <c r="U1632" i="16"/>
  <c r="U1472" i="16"/>
  <c r="U1993" i="16"/>
  <c r="U2172" i="16"/>
  <c r="U2234" i="16"/>
  <c r="U2109" i="16"/>
  <c r="U2235" i="16"/>
  <c r="U909" i="16"/>
  <c r="U147" i="16"/>
  <c r="U96" i="16"/>
  <c r="U695" i="16"/>
  <c r="U1221" i="16"/>
  <c r="U608" i="16"/>
  <c r="U1098" i="16"/>
  <c r="U629" i="16"/>
  <c r="U484" i="16"/>
  <c r="U945" i="16"/>
  <c r="U1076" i="16"/>
  <c r="U1355" i="16"/>
  <c r="U498" i="16"/>
  <c r="U503" i="16"/>
  <c r="U129" i="16"/>
  <c r="U1099" i="16"/>
  <c r="U485" i="16"/>
  <c r="U946" i="16"/>
  <c r="U696" i="16"/>
  <c r="U609" i="16"/>
  <c r="U504" i="16"/>
  <c r="U325" i="16"/>
  <c r="U130" i="16"/>
  <c r="U97" i="16"/>
  <c r="U867" i="16"/>
  <c r="U1100" i="16"/>
  <c r="U630" i="16"/>
  <c r="U361" i="16"/>
  <c r="U486" i="16"/>
  <c r="U1077" i="16"/>
  <c r="U499" i="16"/>
  <c r="U697" i="16"/>
  <c r="U910" i="16"/>
  <c r="U991" i="16"/>
  <c r="U326" i="16"/>
  <c r="U131" i="16"/>
  <c r="U98" i="16"/>
  <c r="U631" i="16"/>
  <c r="U362" i="16"/>
  <c r="U500" i="16"/>
  <c r="U614" i="16"/>
  <c r="U1230" i="16"/>
  <c r="U1950" i="16"/>
  <c r="U1960" i="16"/>
  <c r="U1651" i="16"/>
  <c r="U1239" i="16"/>
  <c r="U149" i="16"/>
  <c r="U274" i="16"/>
  <c r="U868" i="16"/>
  <c r="U869" i="16"/>
  <c r="U870" i="16"/>
  <c r="U100" i="16"/>
  <c r="U967" i="16"/>
  <c r="U610" i="16"/>
  <c r="U1240" i="16"/>
  <c r="U871" i="16"/>
  <c r="U32" i="16"/>
  <c r="U174" i="16"/>
  <c r="U702" i="16"/>
  <c r="U1028" i="16"/>
  <c r="U2136" i="16"/>
  <c r="U505" i="16"/>
  <c r="U99" i="16"/>
  <c r="U852" i="16"/>
  <c r="U327" i="16"/>
  <c r="U1142" i="16"/>
  <c r="U363" i="16"/>
  <c r="U1376" i="16"/>
  <c r="U1093" i="16"/>
  <c r="U509" i="16"/>
  <c r="U872" i="16"/>
  <c r="U1418" i="16"/>
  <c r="U703" i="16"/>
  <c r="U704" i="16"/>
  <c r="U1029" i="16"/>
  <c r="U1030" i="16"/>
  <c r="U2137" i="16"/>
  <c r="U2138" i="16"/>
  <c r="U1094" i="16"/>
  <c r="U1095" i="16"/>
  <c r="U1326" i="16"/>
  <c r="U1327" i="16"/>
  <c r="U1328" i="16"/>
  <c r="U938" i="16"/>
  <c r="U939" i="16"/>
  <c r="U940" i="16"/>
  <c r="U1356" i="16"/>
  <c r="U1143" i="16"/>
  <c r="U1144" i="16"/>
  <c r="U1078" i="16"/>
  <c r="U853" i="16"/>
  <c r="U854" i="16"/>
  <c r="U510" i="16"/>
  <c r="U511" i="16"/>
  <c r="U172" i="16"/>
  <c r="U173" i="16"/>
  <c r="U1419" i="16"/>
  <c r="U1420" i="16"/>
  <c r="U615" i="16"/>
  <c r="U2236" i="16"/>
  <c r="U1101" i="16"/>
  <c r="U150" i="16"/>
  <c r="U275" i="16"/>
  <c r="U1602" i="16"/>
  <c r="U1661" i="16"/>
  <c r="U1871" i="16"/>
  <c r="U1662" i="16"/>
  <c r="U2151" i="16"/>
  <c r="U2237" i="16"/>
  <c r="U306" i="16"/>
  <c r="U2238" i="16"/>
  <c r="U1528" i="16"/>
  <c r="U2239" i="16"/>
  <c r="U2086" i="16"/>
  <c r="U2240" i="16"/>
  <c r="U2007" i="16"/>
  <c r="U1733" i="16"/>
  <c r="U1766" i="16"/>
  <c r="U2002" i="16"/>
  <c r="U2169" i="16"/>
  <c r="U1903" i="16"/>
  <c r="U1760" i="16"/>
  <c r="U1737" i="16"/>
  <c r="U1677" i="16"/>
  <c r="U2119" i="16"/>
  <c r="U2148" i="16"/>
  <c r="U2241" i="16"/>
  <c r="U2149" i="16"/>
  <c r="U2067" i="16"/>
  <c r="U1957" i="16"/>
  <c r="U2122" i="16"/>
  <c r="U1434" i="16"/>
  <c r="U2133" i="16"/>
  <c r="U2242" i="16"/>
  <c r="U1792" i="16"/>
  <c r="U2093" i="16"/>
  <c r="U1735" i="16"/>
  <c r="U1224" i="16"/>
  <c r="U1910" i="16"/>
  <c r="U1911" i="16"/>
  <c r="U2243" i="16"/>
  <c r="U2244" i="16"/>
  <c r="U2180" i="16"/>
  <c r="U2245" i="16"/>
  <c r="U2246" i="16"/>
  <c r="U2247" i="16"/>
  <c r="U1799" i="16"/>
  <c r="U2248" i="16"/>
  <c r="U2249" i="16"/>
  <c r="U1685" i="16"/>
  <c r="U1289" i="16"/>
  <c r="U1671" i="16"/>
  <c r="U2250" i="16"/>
  <c r="U2251" i="16"/>
  <c r="U2252" i="16"/>
  <c r="U2146" i="16"/>
  <c r="U2097" i="16"/>
  <c r="U2157" i="16"/>
  <c r="U1288" i="16"/>
  <c r="U636" i="16"/>
  <c r="U1797" i="16"/>
  <c r="U1675" i="16"/>
  <c r="U1939" i="16"/>
  <c r="U1104" i="16"/>
  <c r="U2127" i="16"/>
  <c r="U1517" i="16"/>
  <c r="U1287" i="16"/>
  <c r="U1209" i="16"/>
  <c r="U120" i="16"/>
  <c r="U1336" i="16"/>
  <c r="U1380" i="16"/>
  <c r="U2089" i="16"/>
  <c r="U408" i="16"/>
  <c r="U189" i="16"/>
  <c r="U1759" i="16"/>
  <c r="U1089" i="16"/>
  <c r="U979" i="16"/>
  <c r="U980" i="16"/>
  <c r="U1468" i="16"/>
  <c r="U1415" i="16"/>
  <c r="U1944" i="16"/>
  <c r="U1461" i="16"/>
  <c r="U1462" i="16"/>
  <c r="U2253" i="16"/>
  <c r="U1031" i="16"/>
  <c r="U480" i="16"/>
  <c r="U481" i="16"/>
  <c r="U482" i="16"/>
  <c r="U483" i="16"/>
  <c r="U507" i="16"/>
  <c r="U508" i="16"/>
  <c r="U2254" i="16"/>
  <c r="U2255" i="16"/>
  <c r="U1618" i="16"/>
  <c r="U1421" i="16"/>
  <c r="U1516" i="16"/>
  <c r="U1249" i="16"/>
  <c r="U1250" i="16"/>
  <c r="U372" i="16"/>
  <c r="U373" i="16"/>
  <c r="U1930" i="16"/>
  <c r="U1389" i="16"/>
  <c r="U746" i="16"/>
  <c r="U438" i="16"/>
  <c r="U1889" i="16"/>
  <c r="U307" i="16"/>
  <c r="U1369" i="16"/>
  <c r="U2256" i="16"/>
  <c r="U915" i="16"/>
  <c r="U2257" i="16"/>
  <c r="U2258" i="16"/>
  <c r="U2158" i="16"/>
  <c r="U637" i="16"/>
  <c r="U2128" i="16"/>
  <c r="U2259" i="16"/>
  <c r="U2260" i="16"/>
  <c r="U2261" i="16"/>
  <c r="U2134" i="16"/>
  <c r="U728" i="16"/>
  <c r="U2170" i="16"/>
  <c r="U880" i="16"/>
  <c r="U1466" i="16"/>
  <c r="U1843" i="16"/>
  <c r="U2262" i="16"/>
  <c r="U86" i="16"/>
  <c r="U2083" i="16"/>
  <c r="U1719" i="16"/>
  <c r="U2263" i="16"/>
  <c r="U1458" i="16"/>
  <c r="U866" i="16"/>
  <c r="U2076" i="16"/>
  <c r="U2123" i="16"/>
  <c r="U405" i="16"/>
  <c r="U864" i="16"/>
  <c r="U1653" i="16"/>
  <c r="U1164" i="16"/>
  <c r="U742" i="16"/>
  <c r="U1290" i="16"/>
  <c r="U778" i="16"/>
  <c r="U744" i="16"/>
  <c r="U897" i="16"/>
  <c r="U2264" i="16"/>
  <c r="U2265" i="16"/>
  <c r="U158" i="16"/>
  <c r="U159" i="16"/>
  <c r="U1942" i="16"/>
  <c r="U297" i="16"/>
  <c r="U841" i="16"/>
  <c r="U1858" i="16"/>
  <c r="U638" i="16"/>
  <c r="U2132" i="16"/>
  <c r="U1598" i="16"/>
  <c r="U1798" i="16"/>
  <c r="U1882" i="16"/>
  <c r="U424" i="16"/>
  <c r="U425" i="16"/>
  <c r="U9" i="16"/>
  <c r="U1052" i="16"/>
  <c r="U2162" i="16"/>
  <c r="U2082" i="16"/>
  <c r="U2150" i="16"/>
  <c r="U2094" i="16"/>
  <c r="U1837" i="16"/>
  <c r="U256" i="16"/>
  <c r="U1331" i="16"/>
  <c r="U1660" i="16"/>
  <c r="U364" i="16"/>
  <c r="U954" i="16"/>
  <c r="U2013" i="16"/>
  <c r="U2266" i="16"/>
  <c r="U1755" i="16"/>
  <c r="U558" i="16"/>
  <c r="U448" i="16"/>
  <c r="U860" i="16"/>
  <c r="U1854" i="16"/>
  <c r="U137" i="16"/>
  <c r="U192" i="16"/>
  <c r="U561" i="16"/>
  <c r="U743" i="16"/>
  <c r="U814" i="16"/>
  <c r="U815" i="16"/>
  <c r="U2267" i="16"/>
  <c r="U2120" i="16"/>
  <c r="U914" i="16"/>
  <c r="U346" i="16"/>
  <c r="U443" i="16"/>
  <c r="U444" i="16"/>
  <c r="U260" i="16"/>
  <c r="U445" i="16"/>
  <c r="U446" i="16"/>
  <c r="U293" i="16"/>
  <c r="U1674" i="16"/>
  <c r="U1682" i="16"/>
  <c r="U1683" i="16"/>
  <c r="U2126" i="16"/>
  <c r="U2268" i="16"/>
  <c r="U1964" i="16"/>
  <c r="U792" i="16"/>
  <c r="U793" i="16"/>
  <c r="U1547" i="16"/>
  <c r="U2269" i="16"/>
  <c r="U1686" i="16"/>
  <c r="U1687" i="16"/>
  <c r="U1688" i="16"/>
  <c r="U2270" i="16"/>
  <c r="U2102" i="16"/>
  <c r="U2271" i="16"/>
  <c r="U2272" i="16"/>
  <c r="U1655" i="16"/>
  <c r="U732" i="16"/>
  <c r="U1678" i="16"/>
  <c r="U973" i="16"/>
  <c r="U974" i="16"/>
  <c r="U1622" i="16"/>
  <c r="U1084" i="16"/>
  <c r="U2273" i="16"/>
  <c r="U1196" i="16"/>
  <c r="U2087" i="16"/>
  <c r="U1533" i="16"/>
  <c r="U2274" i="16"/>
  <c r="U1885" i="16"/>
  <c r="U2275" i="16"/>
  <c r="U1483" i="16"/>
  <c r="U1914" i="16"/>
  <c r="U292" i="16"/>
  <c r="U1448" i="16"/>
  <c r="U2276" i="16"/>
  <c r="U2277" i="16"/>
  <c r="U1689" i="16"/>
  <c r="U2278" i="16"/>
  <c r="U1335" i="16"/>
  <c r="U534" i="16"/>
  <c r="U535" i="16"/>
  <c r="U536" i="16"/>
  <c r="U537" i="16"/>
  <c r="U538" i="16"/>
  <c r="U539" i="16"/>
  <c r="U1943" i="16"/>
  <c r="U1333" i="16"/>
  <c r="U409" i="16"/>
  <c r="U410" i="16"/>
  <c r="U411" i="16"/>
  <c r="U412" i="16"/>
  <c r="U413" i="16"/>
  <c r="U414" i="16"/>
  <c r="U415" i="16"/>
  <c r="U416" i="16"/>
  <c r="U417" i="16"/>
  <c r="U418" i="16"/>
  <c r="U877" i="16"/>
  <c r="U807" i="16"/>
  <c r="U1690" i="16"/>
  <c r="U1652" i="16"/>
  <c r="U2154" i="16"/>
  <c r="U1691" i="16"/>
  <c r="U2003" i="16"/>
  <c r="U1658" i="16"/>
  <c r="U2279" i="16"/>
  <c r="U2280" i="16"/>
  <c r="U1927" i="16"/>
  <c r="U1684" i="16"/>
  <c r="U2281" i="16"/>
  <c r="U1692" i="16"/>
  <c r="U1820" i="16"/>
  <c r="U2282" i="16"/>
  <c r="U2283" i="16"/>
  <c r="U164" i="16"/>
  <c r="U165" i="16"/>
  <c r="U166" i="16"/>
  <c r="U167" i="16"/>
  <c r="U401" i="16"/>
  <c r="U402" i="16"/>
  <c r="U403" i="16"/>
  <c r="U2072" i="16"/>
  <c r="U2284" i="16"/>
  <c r="U1913" i="16"/>
  <c r="U222" i="16"/>
  <c r="U30" i="16"/>
  <c r="U101" i="16"/>
  <c r="U102" i="16"/>
  <c r="U103" i="16"/>
  <c r="U114" i="16"/>
  <c r="U115" i="16"/>
  <c r="U2066" i="16"/>
  <c r="U2018" i="16"/>
  <c r="U356" i="16"/>
  <c r="U116" i="16"/>
  <c r="U107" i="16"/>
  <c r="U108" i="16"/>
  <c r="U1626" i="16"/>
  <c r="U109" i="16"/>
  <c r="U251" i="16"/>
  <c r="U252" i="16"/>
  <c r="U253" i="16"/>
  <c r="U2285" i="16"/>
  <c r="U254" i="16"/>
  <c r="U255" i="16"/>
  <c r="U1762" i="16"/>
  <c r="U1763" i="16"/>
  <c r="U1764" i="16"/>
  <c r="U447" i="16"/>
  <c r="U540" i="16"/>
  <c r="U541" i="16"/>
  <c r="U882" i="16"/>
  <c r="U978" i="16"/>
  <c r="U1693" i="16"/>
  <c r="U1694" i="16"/>
  <c r="U404" i="16"/>
  <c r="U1616" i="16"/>
  <c r="U340" i="16"/>
  <c r="U341" i="16"/>
  <c r="U2286" i="16"/>
  <c r="U2287" i="16"/>
  <c r="U1919" i="16"/>
  <c r="U333" i="16"/>
  <c r="U1848" i="16"/>
  <c r="U2288" i="16"/>
  <c r="U2289" i="16"/>
  <c r="U2290" i="16"/>
  <c r="U2091" i="16"/>
  <c r="U2121" i="16"/>
  <c r="U1664" i="16"/>
  <c r="U1969" i="16"/>
  <c r="U2032" i="16"/>
  <c r="U2159" i="16"/>
  <c r="U1713" i="16"/>
  <c r="U1343" i="16"/>
  <c r="U2038" i="16"/>
  <c r="U1970" i="16"/>
  <c r="U1354" i="16"/>
  <c r="U2039" i="16"/>
  <c r="U1706" i="16"/>
  <c r="U1672" i="16"/>
  <c r="U1554" i="16"/>
  <c r="U1695" i="16"/>
  <c r="U1374" i="16"/>
  <c r="U1631" i="16"/>
  <c r="U1372" i="16"/>
  <c r="U1665" i="16"/>
  <c r="U1666" i="16"/>
  <c r="U1635" i="16"/>
  <c r="U1895" i="16"/>
  <c r="U1307" i="16"/>
  <c r="U873" i="16"/>
  <c r="U1936" i="16"/>
  <c r="U1225" i="16"/>
  <c r="U1624" i="16"/>
  <c r="U1775" i="16"/>
  <c r="U1549" i="16"/>
  <c r="U986" i="16"/>
  <c r="U956" i="16"/>
  <c r="U1621" i="16"/>
  <c r="U1776" i="16"/>
  <c r="U1860" i="16"/>
  <c r="U987" i="16"/>
  <c r="U988" i="16"/>
  <c r="U989" i="16"/>
  <c r="U957" i="16"/>
  <c r="U958" i="16"/>
  <c r="U959" i="16"/>
  <c r="U2291" i="16"/>
  <c r="U2292" i="16"/>
  <c r="U2040" i="16"/>
  <c r="U2041" i="16"/>
  <c r="U2042" i="16"/>
  <c r="U2293" i="16"/>
  <c r="U2171" i="16"/>
  <c r="U2043" i="16"/>
  <c r="U1696" i="16"/>
  <c r="U1623" i="16"/>
  <c r="U1849" i="16"/>
  <c r="U1979" i="16"/>
  <c r="U1412" i="16"/>
  <c r="U1742" i="16"/>
  <c r="U1410" i="16"/>
  <c r="U1237" i="16"/>
  <c r="U1238" i="16"/>
  <c r="U1269" i="16"/>
  <c r="U1264" i="16"/>
  <c r="U1255" i="16"/>
  <c r="U1793" i="16"/>
  <c r="U1794" i="16"/>
  <c r="U2294" i="16"/>
  <c r="U1546" i="16"/>
  <c r="U1375" i="16"/>
  <c r="U2295" i="16"/>
  <c r="U1697" i="16"/>
  <c r="U1698" i="16"/>
  <c r="U1636" i="16"/>
  <c r="U1641" i="16"/>
  <c r="U1667" i="16"/>
  <c r="U1778" i="16"/>
  <c r="U1985" i="16"/>
  <c r="U1323" i="16"/>
  <c r="U1988" i="16"/>
  <c r="U1821" i="16"/>
  <c r="U1265" i="16"/>
  <c r="U994" i="16"/>
  <c r="U823" i="16"/>
  <c r="U1132" i="16"/>
  <c r="U1381" i="16"/>
  <c r="U1592" i="16"/>
  <c r="U1217" i="16"/>
  <c r="U1189" i="16"/>
  <c r="U2044" i="16"/>
  <c r="U1465" i="16"/>
  <c r="U2045" i="16"/>
  <c r="U1663" i="16"/>
  <c r="U1259" i="16"/>
  <c r="U1492" i="16"/>
  <c r="U983" i="16"/>
  <c r="U1455" i="16"/>
  <c r="U960" i="16"/>
  <c r="U1811" i="16"/>
  <c r="U2296" i="16"/>
  <c r="U2046" i="16"/>
  <c r="U2047" i="16"/>
  <c r="U2297" i="16"/>
  <c r="U2298" i="16"/>
  <c r="U1726" i="16"/>
  <c r="U1935" i="16"/>
  <c r="U2299" i="16"/>
  <c r="U1729" i="16"/>
  <c r="U218" i="16"/>
  <c r="U1971" i="16"/>
  <c r="U1972" i="16"/>
  <c r="U2179" i="16"/>
  <c r="U1329" i="16"/>
  <c r="U380" i="16"/>
  <c r="U381" i="16"/>
  <c r="U2048" i="16"/>
  <c r="U2300" i="16"/>
  <c r="U2144" i="16"/>
  <c r="U1906" i="16"/>
  <c r="U2153" i="16"/>
  <c r="U219" i="16"/>
  <c r="U220" i="16"/>
  <c r="U1423" i="16"/>
  <c r="U1637" i="16"/>
  <c r="U2049" i="16"/>
  <c r="U2027" i="16"/>
  <c r="U1959" i="16"/>
  <c r="U2014" i="16"/>
  <c r="U1958" i="16"/>
  <c r="U1947" i="16"/>
  <c r="U1973" i="16"/>
  <c r="U2050" i="16"/>
  <c r="U41" i="16"/>
  <c r="U42" i="16"/>
  <c r="U43" i="16"/>
  <c r="U2301" i="16"/>
  <c r="U44" i="16"/>
  <c r="U2165" i="16"/>
  <c r="U2034" i="16"/>
  <c r="U2302" i="16"/>
  <c r="U1515" i="16"/>
  <c r="U2116" i="16"/>
  <c r="U1834" i="16"/>
  <c r="U1322" i="16"/>
  <c r="U1961" i="16"/>
  <c r="U1907" i="16"/>
  <c r="U2051" i="16"/>
  <c r="U1424" i="16"/>
  <c r="U2303" i="16"/>
  <c r="U1909" i="16"/>
  <c r="U1330" i="16"/>
  <c r="U2033" i="16"/>
  <c r="U67" i="16"/>
  <c r="U68" i="16"/>
  <c r="U1791" i="16"/>
  <c r="U2052" i="16"/>
  <c r="U1456" i="16"/>
  <c r="U1594" i="16"/>
  <c r="U69" i="16"/>
  <c r="U382" i="16"/>
  <c r="U85" i="16"/>
  <c r="U2304" i="16"/>
  <c r="U70" i="16"/>
  <c r="U669" i="16"/>
  <c r="U1703" i="16"/>
  <c r="U617" i="16"/>
  <c r="U580" i="16"/>
  <c r="U618" i="16"/>
  <c r="U619" i="16"/>
  <c r="U620" i="16"/>
  <c r="U621" i="16"/>
  <c r="U622" i="16"/>
  <c r="U1563" i="16"/>
  <c r="U676" i="16"/>
  <c r="U670" i="16"/>
  <c r="U828" i="16"/>
  <c r="U829" i="16"/>
  <c r="U830" i="16"/>
  <c r="U244" i="16"/>
  <c r="U245" i="16"/>
  <c r="U1777" i="16"/>
  <c r="U1700" i="16"/>
  <c r="U1548" i="16"/>
  <c r="U844" i="16"/>
  <c r="U845" i="16"/>
  <c r="U1166" i="16"/>
  <c r="U2053" i="16"/>
  <c r="U2305" i="16"/>
  <c r="U377" i="16"/>
  <c r="U378" i="16"/>
  <c r="U379" i="16"/>
  <c r="U229" i="16"/>
  <c r="U230" i="16"/>
  <c r="U231" i="16"/>
  <c r="U1795" i="16"/>
  <c r="U1891" i="16"/>
  <c r="U1923" i="16"/>
  <c r="U2054" i="16"/>
  <c r="U2306" i="16"/>
  <c r="U1839" i="16"/>
  <c r="U1945" i="16"/>
  <c r="U1974" i="16"/>
  <c r="U1835" i="16"/>
  <c r="U1085" i="16"/>
  <c r="U1086" i="16"/>
  <c r="U1422" i="16"/>
  <c r="U1145" i="16"/>
  <c r="U1057" i="16"/>
  <c r="U1584" i="16"/>
  <c r="U1773" i="16"/>
  <c r="U1789" i="16"/>
  <c r="U1883" i="16"/>
  <c r="U1058" i="16"/>
  <c r="U1119" i="16"/>
  <c r="U1840" i="16"/>
  <c r="U846" i="16"/>
  <c r="U1254" i="16"/>
  <c r="U322" i="16"/>
  <c r="U2036" i="16"/>
  <c r="U2037" i="16"/>
  <c r="U1527" i="16"/>
  <c r="U1975" i="16"/>
  <c r="U1984" i="16"/>
  <c r="U1220" i="16"/>
  <c r="U1894" i="16"/>
  <c r="U1634" i="16"/>
  <c r="U2307" i="16"/>
  <c r="U2173" i="16"/>
  <c r="U1929" i="16"/>
  <c r="U2166" i="16"/>
  <c r="U2023" i="16"/>
  <c r="U1926" i="16"/>
  <c r="U1836" i="16"/>
  <c r="U1334" i="16"/>
  <c r="U2308" i="16"/>
  <c r="U1976" i="16"/>
  <c r="U1908" i="16"/>
  <c r="U1781" i="16"/>
  <c r="U2000" i="16"/>
  <c r="U2129" i="16"/>
  <c r="U1657" i="16"/>
  <c r="U1829" i="16"/>
  <c r="U1955" i="16"/>
  <c r="U2035" i="16"/>
  <c r="U1977" i="16"/>
  <c r="U2309" i="16"/>
  <c r="U2310" i="16"/>
  <c r="U2031" i="16"/>
  <c r="U2055" i="16"/>
  <c r="U2030" i="16"/>
  <c r="U1968" i="16"/>
  <c r="U2311" i="16"/>
  <c r="U1952" i="16"/>
  <c r="U2312" i="16"/>
  <c r="U2313" i="16"/>
  <c r="U2314" i="16"/>
  <c r="U1869" i="16"/>
  <c r="U1953" i="16"/>
  <c r="U1892" i="16"/>
  <c r="U1831" i="16"/>
  <c r="U1866" i="16"/>
  <c r="U2315" i="16"/>
  <c r="U2026" i="16"/>
  <c r="U1668" i="16"/>
  <c r="U2131" i="16"/>
  <c r="U1745" i="16"/>
  <c r="U2316" i="16"/>
  <c r="U2317" i="16"/>
  <c r="U2056" i="16"/>
  <c r="U2318" i="16"/>
  <c r="U2319" i="16"/>
  <c r="U2118" i="16"/>
  <c r="U1951" i="16"/>
  <c r="U1252" i="16"/>
  <c r="U217" i="16"/>
  <c r="U369" i="16"/>
  <c r="U138" i="16"/>
  <c r="U898" i="16"/>
  <c r="U1383" i="16"/>
  <c r="U1384" i="16"/>
  <c r="U1506" i="16"/>
  <c r="U262" i="16"/>
  <c r="U1426" i="16"/>
  <c r="U139" i="16"/>
  <c r="U657" i="16"/>
  <c r="U710" i="16"/>
  <c r="U1928" i="16"/>
  <c r="U1867" i="16"/>
  <c r="U1425" i="16"/>
  <c r="U1400" i="16"/>
  <c r="U1710" i="16"/>
  <c r="U2025" i="16"/>
  <c r="U1543" i="16"/>
  <c r="U1578" i="16"/>
  <c r="U1648" i="16"/>
  <c r="U1980" i="16"/>
  <c r="U2075" i="16"/>
  <c r="U2320" i="16"/>
  <c r="U2321" i="16"/>
  <c r="U1460" i="16"/>
  <c r="U2113" i="16"/>
  <c r="U1524" i="16"/>
  <c r="U2322" i="16"/>
  <c r="U2174" i="16"/>
  <c r="U1938" i="16"/>
  <c r="U1899" i="16"/>
  <c r="U2323" i="16"/>
  <c r="U2130" i="16"/>
  <c r="U711" i="16"/>
  <c r="U2145" i="16"/>
  <c r="U1922" i="16"/>
  <c r="U1489" i="16"/>
  <c r="U2176" i="16"/>
  <c r="U1593" i="16"/>
  <c r="U1963" i="16"/>
  <c r="U883" i="16"/>
  <c r="U2029" i="16"/>
  <c r="U1898" i="16"/>
  <c r="U10" i="16"/>
  <c r="U11" i="16"/>
  <c r="U12" i="16"/>
  <c r="U13" i="16"/>
  <c r="U14" i="16"/>
  <c r="U1965" i="16"/>
  <c r="U750" i="16"/>
  <c r="U15" i="16"/>
  <c r="U971" i="16"/>
  <c r="U1395" i="16"/>
  <c r="U1232" i="16"/>
  <c r="U760" i="16"/>
  <c r="U206" i="16"/>
  <c r="U663" i="16"/>
  <c r="U237" i="16"/>
  <c r="U111" i="16"/>
  <c r="U383" i="16"/>
  <c r="U311" i="16"/>
  <c r="U57" i="16"/>
  <c r="U110" i="16"/>
  <c r="U1629" i="16"/>
  <c r="U714" i="16"/>
  <c r="U1150" i="16"/>
  <c r="U323" i="16"/>
  <c r="U430" i="16"/>
  <c r="U339" i="16"/>
  <c r="U757" i="16"/>
  <c r="U374" i="16"/>
  <c r="U74" i="16"/>
  <c r="U106" i="16"/>
  <c r="U2016" i="16"/>
  <c r="U1905" i="16"/>
  <c r="U2324" i="16"/>
  <c r="U1774" i="16"/>
  <c r="U1274" i="16"/>
  <c r="U1948" i="16"/>
  <c r="U1838" i="16"/>
  <c r="U1865" i="16"/>
  <c r="U1761" i="16"/>
  <c r="U2111" i="16"/>
  <c r="U1744" i="16"/>
  <c r="U2090" i="16"/>
  <c r="U2325" i="16"/>
  <c r="U1510" i="16"/>
  <c r="U1557" i="16"/>
  <c r="U1363" i="16"/>
  <c r="U1705" i="16"/>
  <c r="U2020" i="16"/>
  <c r="U2021" i="16"/>
  <c r="U1801" i="16"/>
  <c r="U1782" i="16"/>
  <c r="U2326" i="16"/>
  <c r="U2017" i="16"/>
  <c r="U1978" i="16"/>
  <c r="U1844" i="16"/>
  <c r="U2092" i="16"/>
  <c r="U2117" i="16"/>
  <c r="U2327" i="16"/>
  <c r="U1872" i="16"/>
  <c r="U2328" i="16"/>
  <c r="U2329" i="16"/>
  <c r="U2330" i="16"/>
  <c r="U2331" i="16"/>
  <c r="U1855" i="16"/>
  <c r="U1877" i="16"/>
  <c r="U1337" i="16"/>
  <c r="U754" i="16"/>
  <c r="U1501" i="16"/>
  <c r="U2098" i="16"/>
  <c r="U831" i="16"/>
  <c r="U1611" i="16"/>
  <c r="U1582" i="16"/>
  <c r="U1558" i="16"/>
  <c r="U1246" i="16"/>
  <c r="U1106" i="16"/>
  <c r="U794" i="16"/>
  <c r="U1734" i="16"/>
  <c r="U1796" i="16"/>
  <c r="U1529" i="16"/>
  <c r="U1390" i="16"/>
  <c r="U1822" i="16"/>
  <c r="U952" i="16"/>
  <c r="U1213" i="16"/>
  <c r="U1444" i="16"/>
  <c r="U1545" i="16"/>
  <c r="U2332" i="16"/>
  <c r="U2333" i="16"/>
  <c r="U2334" i="16"/>
  <c r="U2335" i="16"/>
  <c r="U2336" i="16"/>
  <c r="U2337" i="16"/>
  <c r="U2338" i="16"/>
  <c r="U2339" i="16"/>
  <c r="U2340" i="16"/>
  <c r="U2341" i="16"/>
  <c r="U1229" i="16"/>
  <c r="U1147" i="16"/>
  <c r="U1490" i="16"/>
  <c r="U1114" i="16"/>
  <c r="U2095" i="16"/>
  <c r="U1681" i="16"/>
  <c r="U1832" i="16"/>
  <c r="U1241" i="16"/>
  <c r="U1881" i="16"/>
  <c r="U1847" i="16"/>
  <c r="U755" i="16"/>
  <c r="U1216" i="16"/>
  <c r="U721" i="16"/>
  <c r="U1495" i="16"/>
  <c r="U1804" i="16"/>
  <c r="U351" i="16"/>
  <c r="U489" i="16"/>
  <c r="U289" i="16"/>
  <c r="U290" i="16"/>
  <c r="U1214" i="16"/>
  <c r="U1721" i="16"/>
  <c r="U126" i="16"/>
  <c r="U376" i="16"/>
  <c r="U1488" i="16"/>
  <c r="U1712" i="16"/>
  <c r="U1056" i="16"/>
  <c r="U1580" i="16"/>
  <c r="U1097" i="16"/>
  <c r="U937" i="16"/>
  <c r="U1040" i="16"/>
  <c r="U1154" i="16"/>
  <c r="U1539" i="16"/>
  <c r="U1880" i="16"/>
  <c r="U291" i="16"/>
  <c r="X924" i="16"/>
  <c r="X925" i="16"/>
  <c r="X1204" i="16"/>
  <c r="X1205" i="16"/>
  <c r="X1206" i="16"/>
  <c r="X1436" i="16"/>
  <c r="X1437" i="16"/>
  <c r="X1470" i="16"/>
  <c r="X902" i="16"/>
  <c r="X903" i="16"/>
  <c r="X904" i="16"/>
  <c r="X926" i="16"/>
  <c r="X927" i="16"/>
  <c r="X928" i="16"/>
  <c r="X1015" i="16"/>
  <c r="X1016" i="16"/>
  <c r="X1017" i="16"/>
  <c r="X1018" i="16"/>
  <c r="X1019" i="16"/>
  <c r="X1020" i="16"/>
  <c r="X1402" i="16"/>
  <c r="X1550" i="16"/>
  <c r="X1551" i="16"/>
  <c r="X933" i="16"/>
  <c r="X847" i="16"/>
  <c r="X1110" i="16"/>
  <c r="X1111" i="16"/>
  <c r="X1112" i="16"/>
  <c r="X1021" i="16"/>
  <c r="X1022" i="16"/>
  <c r="X1471" i="16"/>
  <c r="X1207" i="16"/>
  <c r="X1427" i="16"/>
  <c r="X1428" i="16"/>
  <c r="X1403" i="16"/>
  <c r="X1404" i="16"/>
  <c r="X1023" i="16"/>
  <c r="X878" i="16"/>
  <c r="X2060" i="16"/>
  <c r="X1091" i="16"/>
  <c r="X1353" i="16"/>
  <c r="X455" i="16"/>
  <c r="X1069" i="16"/>
  <c r="X998" i="16"/>
  <c r="X1223" i="16"/>
  <c r="X1203" i="16"/>
  <c r="X456" i="16"/>
  <c r="X658" i="16"/>
  <c r="X133" i="16"/>
  <c r="X261" i="16"/>
  <c r="X470" i="16"/>
  <c r="X81" i="16"/>
  <c r="X543" i="16"/>
  <c r="X544" i="16"/>
  <c r="X520" i="16"/>
  <c r="X521" i="16"/>
  <c r="X1990" i="16"/>
  <c r="X1991" i="16"/>
  <c r="X879" i="16"/>
  <c r="X606" i="16"/>
  <c r="X525" i="16"/>
  <c r="X526" i="16"/>
  <c r="X907" i="16"/>
  <c r="X908" i="16"/>
  <c r="X497" i="16"/>
  <c r="X694" i="16"/>
  <c r="X1544" i="16"/>
  <c r="X2096" i="16"/>
  <c r="X735" i="16"/>
  <c r="X736" i="16"/>
  <c r="X392" i="16"/>
  <c r="X1443" i="16"/>
  <c r="X1047" i="16"/>
  <c r="X824" i="16"/>
  <c r="X1809" i="16"/>
  <c r="X1823" i="16"/>
  <c r="X1824" i="16"/>
  <c r="X440" i="16"/>
  <c r="X1989" i="16"/>
  <c r="X787" i="16"/>
  <c r="X899" i="16"/>
  <c r="X900" i="16"/>
  <c r="X1612" i="16"/>
  <c r="X1613" i="16"/>
  <c r="X393" i="16"/>
  <c r="X2063" i="16"/>
  <c r="X1048" i="16"/>
  <c r="X64" i="16"/>
  <c r="X65" i="16"/>
  <c r="X47" i="16"/>
  <c r="X48" i="16"/>
  <c r="X698" i="16"/>
  <c r="X607" i="16"/>
  <c r="X49" i="16"/>
  <c r="X687" i="16"/>
  <c r="X66" i="16"/>
  <c r="X175" i="16"/>
  <c r="X176" i="16"/>
  <c r="X848" i="16"/>
  <c r="X784" i="16"/>
  <c r="X397" i="16"/>
  <c r="X308" i="16"/>
  <c r="X177" i="16"/>
  <c r="X178" i="16"/>
  <c r="X513" i="16"/>
  <c r="X406" i="16"/>
  <c r="X955" i="16"/>
  <c r="X948" i="16"/>
  <c r="X179" i="16"/>
  <c r="X180" i="16"/>
  <c r="X181" i="16"/>
  <c r="X785" i="16"/>
  <c r="X1387" i="16"/>
  <c r="X336" i="16"/>
  <c r="X641" i="16"/>
  <c r="X1266" i="16"/>
  <c r="X1024" i="16"/>
  <c r="X833" i="16"/>
  <c r="X653" i="16"/>
  <c r="X384" i="16"/>
  <c r="X1497" i="16"/>
  <c r="X263" i="16"/>
  <c r="X264" i="16"/>
  <c r="X834" i="16"/>
  <c r="X278" i="16"/>
  <c r="X226" i="16"/>
  <c r="X1025" i="16"/>
  <c r="X688" i="16"/>
  <c r="X58" i="16"/>
  <c r="X144" i="16"/>
  <c r="X1451" i="16"/>
  <c r="X1452" i="16"/>
  <c r="X435" i="16"/>
  <c r="X835" i="16"/>
  <c r="X187" i="16"/>
  <c r="X934" i="16"/>
  <c r="X145" i="16"/>
  <c r="X1502" i="16"/>
  <c r="X1619" i="16"/>
  <c r="X1385" i="16"/>
  <c r="X1233" i="16"/>
  <c r="X169" i="16"/>
  <c r="X836" i="16"/>
  <c r="X837" i="16"/>
  <c r="X984" i="16"/>
  <c r="X1565" i="16"/>
  <c r="X758" i="16"/>
  <c r="X146" i="16"/>
  <c r="X1405" i="16"/>
  <c r="X2189" i="16"/>
  <c r="X170" i="16"/>
  <c r="X700" i="16"/>
  <c r="X701" i="16"/>
  <c r="X127" i="16"/>
  <c r="X981" i="16"/>
  <c r="X183" i="16"/>
  <c r="X184" i="16"/>
  <c r="X2161" i="16"/>
  <c r="X2069" i="16"/>
  <c r="X2156" i="16"/>
  <c r="X2084" i="16"/>
  <c r="X842" i="16"/>
  <c r="X210" i="16"/>
  <c r="X1994" i="16"/>
  <c r="X1079" i="16"/>
  <c r="X1453" i="16"/>
  <c r="X1454" i="16"/>
  <c r="X185" i="16"/>
  <c r="X186" i="16"/>
  <c r="X1457" i="16"/>
  <c r="X151" i="16"/>
  <c r="X283" i="16"/>
  <c r="X1464" i="16"/>
  <c r="X2177" i="16"/>
  <c r="X1388" i="16"/>
  <c r="X337" i="16"/>
  <c r="X642" i="16"/>
  <c r="X227" i="16"/>
  <c r="X1267" i="16"/>
  <c r="X1026" i="16"/>
  <c r="X689" i="16"/>
  <c r="X436" i="16"/>
  <c r="X188" i="16"/>
  <c r="X935" i="16"/>
  <c r="X1503" i="16"/>
  <c r="X1620" i="16"/>
  <c r="X1386" i="16"/>
  <c r="X1234" i="16"/>
  <c r="X171" i="16"/>
  <c r="X1566" i="16"/>
  <c r="X759" i="16"/>
  <c r="X1406" i="16"/>
  <c r="X1702" i="16"/>
  <c r="X1540" i="16"/>
  <c r="X2190" i="16"/>
  <c r="X1459" i="16"/>
  <c r="X859" i="16"/>
  <c r="X1043" i="16"/>
  <c r="X905" i="16"/>
  <c r="X1088" i="16"/>
  <c r="X1211" i="16"/>
  <c r="X419" i="16"/>
  <c r="X1780" i="16"/>
  <c r="X294" i="16"/>
  <c r="X59" i="16"/>
  <c r="X2191" i="16"/>
  <c r="X1932" i="16"/>
  <c r="X2192" i="16"/>
  <c r="X1339" i="16"/>
  <c r="X1071" i="16"/>
  <c r="X1649" i="16"/>
  <c r="X490" i="16"/>
  <c r="X1072" i="16"/>
  <c r="X491" i="16"/>
  <c r="X1983" i="16"/>
  <c r="X1604" i="16"/>
  <c r="X1218" i="16"/>
  <c r="X1073" i="16"/>
  <c r="X492" i="16"/>
  <c r="X469" i="16"/>
  <c r="X1212" i="16"/>
  <c r="X1800" i="16"/>
  <c r="X493" i="16"/>
  <c r="X1650" i="16"/>
  <c r="X1087" i="16"/>
  <c r="X992" i="16"/>
  <c r="X1074" i="16"/>
  <c r="X1772" i="16"/>
  <c r="X1532" i="16"/>
  <c r="X1070" i="16"/>
  <c r="X1002" i="16"/>
  <c r="X2085" i="16"/>
  <c r="X2193" i="16"/>
  <c r="X2108" i="16"/>
  <c r="X993" i="16"/>
  <c r="X1314" i="16"/>
  <c r="X1949" i="16"/>
  <c r="X881" i="16"/>
  <c r="X2178" i="16"/>
  <c r="X2194" i="16"/>
  <c r="X965" i="16"/>
  <c r="X822" i="16"/>
  <c r="X2008" i="16"/>
  <c r="X1996" i="16"/>
  <c r="X1553" i="16"/>
  <c r="X1868" i="16"/>
  <c r="X1210" i="16"/>
  <c r="X1476" i="16"/>
  <c r="X843" i="16"/>
  <c r="X1498" i="16"/>
  <c r="X1499" i="16"/>
  <c r="X1500" i="16"/>
  <c r="X1120" i="16"/>
  <c r="X1162" i="16"/>
  <c r="X791" i="16"/>
  <c r="X1884" i="16"/>
  <c r="X228" i="16"/>
  <c r="X225" i="16"/>
  <c r="X1163" i="16"/>
  <c r="X917" i="16"/>
  <c r="X1741" i="16"/>
  <c r="X918" i="16"/>
  <c r="X919" i="16"/>
  <c r="X1033" i="16"/>
  <c r="X966" i="16"/>
  <c r="X654" i="16"/>
  <c r="X1195" i="16"/>
  <c r="X407" i="16"/>
  <c r="X1507" i="16"/>
  <c r="X1508" i="16"/>
  <c r="X1585" i="16"/>
  <c r="X1586" i="16"/>
  <c r="X1467" i="16"/>
  <c r="X599" i="16"/>
  <c r="X600" i="16"/>
  <c r="X601" i="16"/>
  <c r="X602" i="16"/>
  <c r="X603" i="16"/>
  <c r="X604" i="16"/>
  <c r="X874" i="16"/>
  <c r="X875" i="16"/>
  <c r="X476" i="16"/>
  <c r="X1432" i="16"/>
  <c r="X623" i="16"/>
  <c r="X624" i="16"/>
  <c r="X625" i="16"/>
  <c r="X626" i="16"/>
  <c r="X1256" i="16"/>
  <c r="X1257" i="16"/>
  <c r="X119" i="16"/>
  <c r="X2065" i="16"/>
  <c r="X2195" i="16"/>
  <c r="X2196" i="16"/>
  <c r="X1736" i="16"/>
  <c r="X2078" i="16"/>
  <c r="X2197" i="16"/>
  <c r="X717" i="16"/>
  <c r="X246" i="16"/>
  <c r="X247" i="16"/>
  <c r="X37" i="16"/>
  <c r="X122" i="16"/>
  <c r="X2198" i="16"/>
  <c r="X2199" i="16"/>
  <c r="X2200" i="16"/>
  <c r="X51" i="16"/>
  <c r="X464" i="16"/>
  <c r="X465" i="16"/>
  <c r="X52" i="16"/>
  <c r="X53" i="16"/>
  <c r="X54" i="16"/>
  <c r="X1396" i="16"/>
  <c r="X1397" i="16"/>
  <c r="X38" i="16"/>
  <c r="X39" i="16"/>
  <c r="X40" i="16"/>
  <c r="X1324" i="16"/>
  <c r="X985" i="16"/>
  <c r="X1134" i="16"/>
  <c r="X1027" i="16"/>
  <c r="X2201" i="16"/>
  <c r="X662" i="16"/>
  <c r="X1469" i="16"/>
  <c r="X639" i="16"/>
  <c r="X394" i="16"/>
  <c r="X672" i="16"/>
  <c r="X649" i="16"/>
  <c r="X1826" i="16"/>
  <c r="X644" i="16"/>
  <c r="X193" i="16"/>
  <c r="X420" i="16"/>
  <c r="X2202" i="16"/>
  <c r="X1827" i="16"/>
  <c r="X194" i="16"/>
  <c r="X19" i="16"/>
  <c r="X1151" i="16"/>
  <c r="X195" i="16"/>
  <c r="X1152" i="16"/>
  <c r="X20" i="16"/>
  <c r="X196" i="16"/>
  <c r="X671" i="16"/>
  <c r="X197" i="16"/>
  <c r="X1408" i="16"/>
  <c r="X729" i="16"/>
  <c r="X1767" i="16"/>
  <c r="X730" i="16"/>
  <c r="X395" i="16"/>
  <c r="X21" i="16"/>
  <c r="X1748" i="16"/>
  <c r="X751" i="16"/>
  <c r="X645" i="16"/>
  <c r="X1768" i="16"/>
  <c r="X1749" i="16"/>
  <c r="X661" i="16"/>
  <c r="X198" i="16"/>
  <c r="X737" i="16"/>
  <c r="X650" i="16"/>
  <c r="X1904" i="16"/>
  <c r="X1878" i="16"/>
  <c r="X627" i="16"/>
  <c r="X646" i="16"/>
  <c r="X647" i="16"/>
  <c r="X22" i="16"/>
  <c r="X1769" i="16"/>
  <c r="X1169" i="16"/>
  <c r="X930" i="16"/>
  <c r="X673" i="16"/>
  <c r="X1170" i="16"/>
  <c r="X1171" i="16"/>
  <c r="X23" i="16"/>
  <c r="X738" i="16"/>
  <c r="X739" i="16"/>
  <c r="X2203" i="16"/>
  <c r="X1172" i="16"/>
  <c r="X355" i="16"/>
  <c r="X223" i="16"/>
  <c r="X428" i="16"/>
  <c r="X214" i="16"/>
  <c r="X463" i="16"/>
  <c r="X209" i="16"/>
  <c r="X18" i="16"/>
  <c r="X135" i="16"/>
  <c r="X117" i="16"/>
  <c r="X121" i="16"/>
  <c r="X50" i="16"/>
  <c r="X213" i="16"/>
  <c r="X1080" i="16"/>
  <c r="X152" i="16"/>
  <c r="X1417" i="16"/>
  <c r="X1008" i="16"/>
  <c r="X1126" i="16"/>
  <c r="X1583" i="16"/>
  <c r="X571" i="16"/>
  <c r="X190" i="16"/>
  <c r="X1131" i="16"/>
  <c r="X191" i="16"/>
  <c r="X128" i="16"/>
  <c r="X331" i="16"/>
  <c r="X1414" i="16"/>
  <c r="X202" i="16"/>
  <c r="X203" i="16"/>
  <c r="X204" i="16"/>
  <c r="X929" i="16"/>
  <c r="X1609" i="16"/>
  <c r="X2152" i="16"/>
  <c r="X1595" i="16"/>
  <c r="X1127" i="16"/>
  <c r="X1607" i="16"/>
  <c r="X1770" i="16"/>
  <c r="X334" i="16"/>
  <c r="X2062" i="16"/>
  <c r="X840" i="16"/>
  <c r="X2204" i="16"/>
  <c r="X752" i="16"/>
  <c r="X1173" i="16"/>
  <c r="X2205" i="16"/>
  <c r="X1597" i="16"/>
  <c r="X592" i="16"/>
  <c r="X134" i="16"/>
  <c r="X616" i="16"/>
  <c r="X2206" i="16"/>
  <c r="X916" i="16"/>
  <c r="X2207" i="16"/>
  <c r="X1398" i="16"/>
  <c r="X2099" i="16"/>
  <c r="X345" i="16"/>
  <c r="X681" i="16"/>
  <c r="X1413" i="16"/>
  <c r="X715" i="16"/>
  <c r="X1920" i="16"/>
  <c r="X628" i="16"/>
  <c r="X651" i="16"/>
  <c r="X731" i="16"/>
  <c r="X648" i="16"/>
  <c r="X281" i="16"/>
  <c r="X199" i="16"/>
  <c r="X1522" i="16"/>
  <c r="X1805" i="16"/>
  <c r="X466" i="16"/>
  <c r="X2208" i="16"/>
  <c r="X1215" i="16"/>
  <c r="X1819" i="16"/>
  <c r="X1656" i="16"/>
  <c r="X399" i="16"/>
  <c r="X1828" i="16"/>
  <c r="X1750" i="16"/>
  <c r="X1513" i="16"/>
  <c r="X972" i="16"/>
  <c r="X182" i="16"/>
  <c r="X1117" i="16"/>
  <c r="X1273" i="16"/>
  <c r="X1814" i="16"/>
  <c r="X1153" i="16"/>
  <c r="X1788" i="16"/>
  <c r="X1561" i="16"/>
  <c r="X740" i="16"/>
  <c r="X207" i="16"/>
  <c r="X1896" i="16"/>
  <c r="X718" i="16"/>
  <c r="X365" i="16"/>
  <c r="X821" i="16"/>
  <c r="X1373" i="16"/>
  <c r="X1802" i="16"/>
  <c r="X2209" i="16"/>
  <c r="X1845" i="16"/>
  <c r="X2210" i="16"/>
  <c r="X805" i="16"/>
  <c r="X442" i="16"/>
  <c r="X640" i="16"/>
  <c r="X1879" i="16"/>
  <c r="X1590" i="16"/>
  <c r="X825" i="16"/>
  <c r="X1673" i="16"/>
  <c r="X1371" i="16"/>
  <c r="X1564" i="16"/>
  <c r="X55" i="16"/>
  <c r="X24" i="16"/>
  <c r="X1409" i="16"/>
  <c r="X46" i="16"/>
  <c r="X1995" i="16"/>
  <c r="X1617" i="16"/>
  <c r="X1050" i="16"/>
  <c r="X976" i="16"/>
  <c r="X1332" i="16"/>
  <c r="X1531" i="16"/>
  <c r="X224" i="16"/>
  <c r="X26" i="16"/>
  <c r="X719" i="16"/>
  <c r="X552" i="16"/>
  <c r="X553" i="16"/>
  <c r="X554" i="16"/>
  <c r="X555" i="16"/>
  <c r="X2211" i="16"/>
  <c r="X1625" i="16"/>
  <c r="X574" i="16"/>
  <c r="X575" i="16"/>
  <c r="X576" i="16"/>
  <c r="X950" i="16"/>
  <c r="X75" i="16"/>
  <c r="X1370" i="16"/>
  <c r="X2212" i="16"/>
  <c r="X1379" i="16"/>
  <c r="X211" i="16"/>
  <c r="X522" i="16"/>
  <c r="X82" i="16"/>
  <c r="X733" i="16"/>
  <c r="X212" i="16"/>
  <c r="X168" i="16"/>
  <c r="X439" i="16"/>
  <c r="X208" i="16"/>
  <c r="X215" i="16"/>
  <c r="X2213" i="16"/>
  <c r="X2214" i="16"/>
  <c r="X2215" i="16"/>
  <c r="X1902" i="16"/>
  <c r="X951" i="16"/>
  <c r="X1161" i="16"/>
  <c r="X1591" i="16"/>
  <c r="X28" i="16"/>
  <c r="X1562" i="16"/>
  <c r="X238" i="16"/>
  <c r="X239" i="16"/>
  <c r="X240" i="16"/>
  <c r="X584" i="16"/>
  <c r="X585" i="16"/>
  <c r="X437" i="16"/>
  <c r="X83" i="16"/>
  <c r="X29" i="16"/>
  <c r="X73" i="16"/>
  <c r="X586" i="16"/>
  <c r="X595" i="16"/>
  <c r="X596" i="16"/>
  <c r="X467" i="16"/>
  <c r="X71" i="16"/>
  <c r="X45" i="16"/>
  <c r="X763" i="16"/>
  <c r="X764" i="16"/>
  <c r="X421" i="16"/>
  <c r="X633" i="16"/>
  <c r="X557" i="16"/>
  <c r="X338" i="16"/>
  <c r="X1201" i="16"/>
  <c r="X56" i="16"/>
  <c r="X16" i="16"/>
  <c r="X25" i="16"/>
  <c r="X429" i="16"/>
  <c r="X33" i="16"/>
  <c r="X1181" i="16"/>
  <c r="X1182" i="16"/>
  <c r="X1183" i="16"/>
  <c r="X36" i="16"/>
  <c r="X1491" i="16"/>
  <c r="X1133" i="16"/>
  <c r="X234" i="16"/>
  <c r="X471" i="16"/>
  <c r="X302" i="16"/>
  <c r="X303" i="16"/>
  <c r="X1628" i="16"/>
  <c r="X148" i="16"/>
  <c r="X1039" i="16"/>
  <c r="X72" i="16"/>
  <c r="X241" i="16"/>
  <c r="X242" i="16"/>
  <c r="X243" i="16"/>
  <c r="X1514" i="16"/>
  <c r="X1442" i="16"/>
  <c r="X472" i="16"/>
  <c r="X304" i="16"/>
  <c r="X753" i="16"/>
  <c r="X2216" i="16"/>
  <c r="X156" i="16"/>
  <c r="X157" i="16"/>
  <c r="X248" i="16"/>
  <c r="X1771" i="16"/>
  <c r="X123" i="16"/>
  <c r="X2217" i="16"/>
  <c r="X468" i="16"/>
  <c r="X1429" i="16"/>
  <c r="X249" i="16"/>
  <c r="X250" i="16"/>
  <c r="X1430" i="16"/>
  <c r="X2175" i="16"/>
  <c r="X1051" i="16"/>
  <c r="X1096" i="16"/>
  <c r="X949" i="16"/>
  <c r="X312" i="16"/>
  <c r="X1482" i="16"/>
  <c r="X313" i="16"/>
  <c r="X422" i="16"/>
  <c r="X314" i="16"/>
  <c r="X315" i="16"/>
  <c r="X316" i="16"/>
  <c r="X7" i="16"/>
  <c r="X8" i="16"/>
  <c r="X124" i="16"/>
  <c r="X1779" i="16"/>
  <c r="X423" i="16"/>
  <c r="X1277" i="16"/>
  <c r="X1818" i="16"/>
  <c r="X1049" i="16"/>
  <c r="X562" i="16"/>
  <c r="X1431" i="16"/>
  <c r="X741" i="16"/>
  <c r="X931" i="16"/>
  <c r="X396" i="16"/>
  <c r="X577" i="16"/>
  <c r="X578" i="16"/>
  <c r="X990" i="16"/>
  <c r="X1714" i="16"/>
  <c r="X1245" i="16"/>
  <c r="X2218" i="16"/>
  <c r="X352" i="16"/>
  <c r="X353" i="16"/>
  <c r="X354" i="16"/>
  <c r="X136" i="16"/>
  <c r="X125" i="16"/>
  <c r="X1382" i="16"/>
  <c r="X1633" i="16"/>
  <c r="X317" i="16"/>
  <c r="X2071" i="16"/>
  <c r="X855" i="16"/>
  <c r="X856" i="16"/>
  <c r="X857" i="16"/>
  <c r="X473" i="16"/>
  <c r="X797" i="16"/>
  <c r="X798" i="16"/>
  <c r="X799" i="16"/>
  <c r="X1174" i="16"/>
  <c r="X1175" i="16"/>
  <c r="X1176" i="16"/>
  <c r="X1806" i="16"/>
  <c r="X1807" i="16"/>
  <c r="X1034" i="16"/>
  <c r="X1035" i="16"/>
  <c r="X1036" i="16"/>
  <c r="X2080" i="16"/>
  <c r="X809" i="16"/>
  <c r="X810" i="16"/>
  <c r="X811" i="16"/>
  <c r="X1358" i="16"/>
  <c r="X1359" i="16"/>
  <c r="X87" i="16"/>
  <c r="X88" i="16"/>
  <c r="X514" i="16"/>
  <c r="X515" i="16"/>
  <c r="X516" i="16"/>
  <c r="X2009" i="16"/>
  <c r="X2010" i="16"/>
  <c r="X1003" i="16"/>
  <c r="X1004" i="16"/>
  <c r="X1005" i="16"/>
  <c r="X431" i="16"/>
  <c r="X432" i="16"/>
  <c r="X433" i="16"/>
  <c r="X1155" i="16"/>
  <c r="X1156" i="16"/>
  <c r="X1157" i="16"/>
  <c r="X683" i="16"/>
  <c r="X684" i="16"/>
  <c r="X685" i="16"/>
  <c r="X780" i="16"/>
  <c r="X781" i="16"/>
  <c r="X782" i="16"/>
  <c r="X706" i="16"/>
  <c r="X707" i="16"/>
  <c r="X708" i="16"/>
  <c r="X1041" i="16"/>
  <c r="X342" i="16"/>
  <c r="X343" i="16"/>
  <c r="X774" i="16"/>
  <c r="X775" i="16"/>
  <c r="X776" i="16"/>
  <c r="X911" i="16"/>
  <c r="X912" i="16"/>
  <c r="X388" i="16"/>
  <c r="X389" i="16"/>
  <c r="X390" i="16"/>
  <c r="X546" i="16"/>
  <c r="X547" i="16"/>
  <c r="X1752" i="16"/>
  <c r="X1753" i="16"/>
  <c r="X563" i="16"/>
  <c r="X564" i="16"/>
  <c r="X565" i="16"/>
  <c r="X566" i="16"/>
  <c r="X1638" i="16"/>
  <c r="X1639" i="16"/>
  <c r="X1060" i="16"/>
  <c r="X1061" i="16"/>
  <c r="X1062" i="16"/>
  <c r="X722" i="16"/>
  <c r="X723" i="16"/>
  <c r="X724" i="16"/>
  <c r="X677" i="16"/>
  <c r="X678" i="16"/>
  <c r="X140" i="16"/>
  <c r="X1916" i="16"/>
  <c r="X1715" i="16"/>
  <c r="X1716" i="16"/>
  <c r="X1717" i="16"/>
  <c r="X886" i="16"/>
  <c r="X887" i="16"/>
  <c r="X888" i="16"/>
  <c r="X1011" i="16"/>
  <c r="X1012" i="16"/>
  <c r="X1013" i="16"/>
  <c r="X1785" i="16"/>
  <c r="X104" i="16"/>
  <c r="X1699" i="16"/>
  <c r="X1308" i="16"/>
  <c r="X1247" i="16"/>
  <c r="X1870" i="16"/>
  <c r="X2219" i="16"/>
  <c r="X2220" i="16"/>
  <c r="X850" i="16"/>
  <c r="X1556" i="16"/>
  <c r="X1743" i="16"/>
  <c r="X2143" i="16"/>
  <c r="X1812" i="16"/>
  <c r="X1378" i="16"/>
  <c r="X1912" i="16"/>
  <c r="X1727" i="16"/>
  <c r="X2077" i="16"/>
  <c r="X1260" i="16"/>
  <c r="X1997" i="16"/>
  <c r="X1940" i="16"/>
  <c r="X1512" i="16"/>
  <c r="X1873" i="16"/>
  <c r="X2070" i="16"/>
  <c r="X2125" i="16"/>
  <c r="X1184" i="16"/>
  <c r="X1765" i="16"/>
  <c r="X1722" i="16"/>
  <c r="X1859" i="16"/>
  <c r="X1786" i="16"/>
  <c r="X1921" i="16"/>
  <c r="X2221" i="16"/>
  <c r="X2073" i="16"/>
  <c r="X1344" i="16"/>
  <c r="X2061" i="16"/>
  <c r="X1917" i="16"/>
  <c r="X1918" i="16"/>
  <c r="X548" i="16"/>
  <c r="X725" i="16"/>
  <c r="X1808" i="16"/>
  <c r="X812" i="16"/>
  <c r="X813" i="16"/>
  <c r="X889" i="16"/>
  <c r="X105" i="16"/>
  <c r="X1841" i="16"/>
  <c r="X1842" i="16"/>
  <c r="X1191" i="16"/>
  <c r="X1192" i="16"/>
  <c r="X34" i="16"/>
  <c r="X35" i="16"/>
  <c r="X391" i="16"/>
  <c r="X426" i="16"/>
  <c r="X913" i="16"/>
  <c r="X474" i="16"/>
  <c r="X1042" i="16"/>
  <c r="X1360" i="16"/>
  <c r="X1006" i="16"/>
  <c r="X1007" i="16"/>
  <c r="X800" i="16"/>
  <c r="X801" i="16"/>
  <c r="X802" i="16"/>
  <c r="X803" i="16"/>
  <c r="X89" i="16"/>
  <c r="X90" i="16"/>
  <c r="X91" i="16"/>
  <c r="X2011" i="16"/>
  <c r="X686" i="16"/>
  <c r="X858" i="16"/>
  <c r="X1640" i="16"/>
  <c r="X517" i="16"/>
  <c r="X518" i="16"/>
  <c r="X519" i="16"/>
  <c r="X434" i="16"/>
  <c r="X344" i="16"/>
  <c r="X1037" i="16"/>
  <c r="X1038" i="16"/>
  <c r="X1063" i="16"/>
  <c r="X1718" i="16"/>
  <c r="X1177" i="16"/>
  <c r="X1178" i="16"/>
  <c r="X679" i="16"/>
  <c r="X2081" i="16"/>
  <c r="X141" i="16"/>
  <c r="X142" i="16"/>
  <c r="X783" i="16"/>
  <c r="X709" i="16"/>
  <c r="X1158" i="16"/>
  <c r="X1159" i="16"/>
  <c r="X1754" i="16"/>
  <c r="X1014" i="16"/>
  <c r="X567" i="16"/>
  <c r="X568" i="16"/>
  <c r="X569" i="16"/>
  <c r="X570" i="16"/>
  <c r="X777" i="16"/>
  <c r="X1248" i="16"/>
  <c r="X531" i="16"/>
  <c r="X1521" i="16"/>
  <c r="X1185" i="16"/>
  <c r="X1186" i="16"/>
  <c r="X1187" i="16"/>
  <c r="X1188" i="16"/>
  <c r="X1998" i="16"/>
  <c r="X1999" i="16"/>
  <c r="X1193" i="16"/>
  <c r="X795" i="16"/>
  <c r="X2222" i="16"/>
  <c r="X2223" i="16"/>
  <c r="X2224" i="16"/>
  <c r="X1309" i="16"/>
  <c r="X1310" i="16"/>
  <c r="X1311" i="16"/>
  <c r="X1312" i="16"/>
  <c r="X1313" i="16"/>
  <c r="X1730" i="16"/>
  <c r="X1833" i="16"/>
  <c r="X851" i="16"/>
  <c r="X2225" i="16"/>
  <c r="X1787" i="16"/>
  <c r="X1941" i="16"/>
  <c r="X1874" i="16"/>
  <c r="X1875" i="16"/>
  <c r="X1813" i="16"/>
  <c r="X143" i="16"/>
  <c r="X1010" i="16"/>
  <c r="X1601" i="16"/>
  <c r="X1559" i="16"/>
  <c r="X2226" i="16"/>
  <c r="X1496" i="16"/>
  <c r="X1509" i="16"/>
  <c r="X2105" i="16"/>
  <c r="X2104" i="16"/>
  <c r="X1933" i="16"/>
  <c r="X201" i="16"/>
  <c r="X1816" i="16"/>
  <c r="X1537" i="16"/>
  <c r="X2227" i="16"/>
  <c r="X2141" i="16"/>
  <c r="X2142" i="16"/>
  <c r="X2012" i="16"/>
  <c r="X84" i="16"/>
  <c r="X699" i="16"/>
  <c r="X816" i="16"/>
  <c r="X1887" i="16"/>
  <c r="X1888" i="16"/>
  <c r="X1146" i="16"/>
  <c r="X682" i="16"/>
  <c r="X712" i="16"/>
  <c r="X1525" i="16"/>
  <c r="X591" i="16"/>
  <c r="X2139" i="16"/>
  <c r="X817" i="16"/>
  <c r="X2110" i="16"/>
  <c r="X2024" i="16"/>
  <c r="X1518" i="16"/>
  <c r="X771" i="16"/>
  <c r="X772" i="16"/>
  <c r="X773" i="16"/>
  <c r="X457" i="16"/>
  <c r="X458" i="16"/>
  <c r="X885" i="16"/>
  <c r="X632" i="16"/>
  <c r="X1268" i="16"/>
  <c r="X613" i="16"/>
  <c r="X593" i="16"/>
  <c r="X1669" i="16"/>
  <c r="X1391" i="16"/>
  <c r="X1670" i="16"/>
  <c r="X1044" i="16"/>
  <c r="X666" i="16"/>
  <c r="X1728" i="16"/>
  <c r="X1059" i="16"/>
  <c r="X1165" i="16"/>
  <c r="X1198" i="16"/>
  <c r="X1407" i="16"/>
  <c r="X1113" i="16"/>
  <c r="X479" i="16"/>
  <c r="X1570" i="16"/>
  <c r="X1571" i="16"/>
  <c r="X1572" i="16"/>
  <c r="X2163" i="16"/>
  <c r="X2028" i="16"/>
  <c r="X690" i="16"/>
  <c r="X1092" i="16"/>
  <c r="X667" i="16"/>
  <c r="X1297" i="16"/>
  <c r="X1102" i="16"/>
  <c r="X1815" i="16"/>
  <c r="X1045" i="16"/>
  <c r="X1046" i="16"/>
  <c r="X832" i="16"/>
  <c r="X1746" i="16"/>
  <c r="X1756" i="16"/>
  <c r="X78" i="16"/>
  <c r="X1526" i="16"/>
  <c r="X968" i="16"/>
  <c r="X2228" i="16"/>
  <c r="X827" i="16"/>
  <c r="X1278" i="16"/>
  <c r="X1361" i="16"/>
  <c r="X961" i="16"/>
  <c r="X1362" i="16"/>
  <c r="X1803" i="16"/>
  <c r="X2229" i="16"/>
  <c r="X2230" i="16"/>
  <c r="X2231" i="16"/>
  <c r="X906" i="16"/>
  <c r="X865" i="16"/>
  <c r="X1589" i="16"/>
  <c r="X818" i="16"/>
  <c r="X819" i="16"/>
  <c r="X964" i="16"/>
  <c r="X820" i="16"/>
  <c r="X268" i="16"/>
  <c r="X1825" i="16"/>
  <c r="X1704" i="16"/>
  <c r="X2147" i="16"/>
  <c r="X594" i="16"/>
  <c r="X1505" i="16"/>
  <c r="X1579" i="16"/>
  <c r="X1298" i="16"/>
  <c r="X1757" i="16"/>
  <c r="X1758" i="16"/>
  <c r="X668" i="16"/>
  <c r="X305" i="16"/>
  <c r="X1747" i="16"/>
  <c r="X581" i="16"/>
  <c r="X590" i="16"/>
  <c r="X1438" i="16"/>
  <c r="X1830" i="16"/>
  <c r="X1790" i="16"/>
  <c r="X1630" i="16"/>
  <c r="X1608" i="16"/>
  <c r="X1272" i="16"/>
  <c r="X1463" i="16"/>
  <c r="X2232" i="16"/>
  <c r="X1599" i="16"/>
  <c r="X2233" i="16"/>
  <c r="X1632" i="16"/>
  <c r="X1472" i="16"/>
  <c r="X1993" i="16"/>
  <c r="X2172" i="16"/>
  <c r="X2234" i="16"/>
  <c r="X2109" i="16"/>
  <c r="X2235" i="16"/>
  <c r="X909" i="16"/>
  <c r="X147" i="16"/>
  <c r="X96" i="16"/>
  <c r="X695" i="16"/>
  <c r="X1221" i="16"/>
  <c r="X608" i="16"/>
  <c r="X1098" i="16"/>
  <c r="X629" i="16"/>
  <c r="X484" i="16"/>
  <c r="X945" i="16"/>
  <c r="X1076" i="16"/>
  <c r="X1355" i="16"/>
  <c r="X498" i="16"/>
  <c r="X503" i="16"/>
  <c r="X129" i="16"/>
  <c r="X1099" i="16"/>
  <c r="X485" i="16"/>
  <c r="X946" i="16"/>
  <c r="X696" i="16"/>
  <c r="X609" i="16"/>
  <c r="X504" i="16"/>
  <c r="X325" i="16"/>
  <c r="X130" i="16"/>
  <c r="X97" i="16"/>
  <c r="X867" i="16"/>
  <c r="X1100" i="16"/>
  <c r="X630" i="16"/>
  <c r="X361" i="16"/>
  <c r="X486" i="16"/>
  <c r="X1077" i="16"/>
  <c r="X499" i="16"/>
  <c r="X697" i="16"/>
  <c r="X910" i="16"/>
  <c r="X991" i="16"/>
  <c r="X326" i="16"/>
  <c r="X131" i="16"/>
  <c r="X98" i="16"/>
  <c r="X631" i="16"/>
  <c r="X362" i="16"/>
  <c r="X500" i="16"/>
  <c r="X614" i="16"/>
  <c r="X1230" i="16"/>
  <c r="X1950" i="16"/>
  <c r="X1960" i="16"/>
  <c r="X1651" i="16"/>
  <c r="X1239" i="16"/>
  <c r="X149" i="16"/>
  <c r="X274" i="16"/>
  <c r="X868" i="16"/>
  <c r="X869" i="16"/>
  <c r="X870" i="16"/>
  <c r="X100" i="16"/>
  <c r="X967" i="16"/>
  <c r="X610" i="16"/>
  <c r="X1240" i="16"/>
  <c r="X871" i="16"/>
  <c r="X32" i="16"/>
  <c r="X174" i="16"/>
  <c r="X702" i="16"/>
  <c r="X1028" i="16"/>
  <c r="X2136" i="16"/>
  <c r="X505" i="16"/>
  <c r="X99" i="16"/>
  <c r="X852" i="16"/>
  <c r="X327" i="16"/>
  <c r="X1142" i="16"/>
  <c r="X363" i="16"/>
  <c r="X1376" i="16"/>
  <c r="X1093" i="16"/>
  <c r="X509" i="16"/>
  <c r="X872" i="16"/>
  <c r="X1418" i="16"/>
  <c r="X703" i="16"/>
  <c r="X704" i="16"/>
  <c r="X1029" i="16"/>
  <c r="X1030" i="16"/>
  <c r="X2137" i="16"/>
  <c r="X2138" i="16"/>
  <c r="X1094" i="16"/>
  <c r="X1095" i="16"/>
  <c r="X1326" i="16"/>
  <c r="X1327" i="16"/>
  <c r="X1328" i="16"/>
  <c r="X938" i="16"/>
  <c r="X939" i="16"/>
  <c r="X940" i="16"/>
  <c r="X1356" i="16"/>
  <c r="X1143" i="16"/>
  <c r="X1144" i="16"/>
  <c r="X1078" i="16"/>
  <c r="X853" i="16"/>
  <c r="X854" i="16"/>
  <c r="X510" i="16"/>
  <c r="X511" i="16"/>
  <c r="X172" i="16"/>
  <c r="X173" i="16"/>
  <c r="X1419" i="16"/>
  <c r="X1420" i="16"/>
  <c r="X615" i="16"/>
  <c r="X2236" i="16"/>
  <c r="X1101" i="16"/>
  <c r="X150" i="16"/>
  <c r="X275" i="16"/>
  <c r="X1602" i="16"/>
  <c r="X1661" i="16"/>
  <c r="X1871" i="16"/>
  <c r="X1662" i="16"/>
  <c r="X2151" i="16"/>
  <c r="X2237" i="16"/>
  <c r="X306" i="16"/>
  <c r="X2238" i="16"/>
  <c r="X1528" i="16"/>
  <c r="X2239" i="16"/>
  <c r="X2086" i="16"/>
  <c r="X2240" i="16"/>
  <c r="X2007" i="16"/>
  <c r="X1733" i="16"/>
  <c r="X1766" i="16"/>
  <c r="X2002" i="16"/>
  <c r="X2169" i="16"/>
  <c r="X1903" i="16"/>
  <c r="X1760" i="16"/>
  <c r="X1737" i="16"/>
  <c r="X1677" i="16"/>
  <c r="X2119" i="16"/>
  <c r="X2148" i="16"/>
  <c r="X2241" i="16"/>
  <c r="X2149" i="16"/>
  <c r="X2067" i="16"/>
  <c r="X1957" i="16"/>
  <c r="X2122" i="16"/>
  <c r="X1434" i="16"/>
  <c r="X2133" i="16"/>
  <c r="X2242" i="16"/>
  <c r="X1792" i="16"/>
  <c r="X2093" i="16"/>
  <c r="X1735" i="16"/>
  <c r="X1224" i="16"/>
  <c r="X1910" i="16"/>
  <c r="X1911" i="16"/>
  <c r="X2243" i="16"/>
  <c r="X2244" i="16"/>
  <c r="X2180" i="16"/>
  <c r="X2245" i="16"/>
  <c r="X2246" i="16"/>
  <c r="X2247" i="16"/>
  <c r="X1799" i="16"/>
  <c r="X2248" i="16"/>
  <c r="X2249" i="16"/>
  <c r="X1685" i="16"/>
  <c r="X1289" i="16"/>
  <c r="X1671" i="16"/>
  <c r="X2250" i="16"/>
  <c r="X2251" i="16"/>
  <c r="X2252" i="16"/>
  <c r="X2146" i="16"/>
  <c r="X2097" i="16"/>
  <c r="X2157" i="16"/>
  <c r="X1288" i="16"/>
  <c r="X636" i="16"/>
  <c r="X1797" i="16"/>
  <c r="X1675" i="16"/>
  <c r="X1939" i="16"/>
  <c r="X1104" i="16"/>
  <c r="X2127" i="16"/>
  <c r="X1517" i="16"/>
  <c r="X1287" i="16"/>
  <c r="X1209" i="16"/>
  <c r="X120" i="16"/>
  <c r="X1336" i="16"/>
  <c r="X1380" i="16"/>
  <c r="X2089" i="16"/>
  <c r="X408" i="16"/>
  <c r="X189" i="16"/>
  <c r="X1759" i="16"/>
  <c r="X1089" i="16"/>
  <c r="X979" i="16"/>
  <c r="X980" i="16"/>
  <c r="X1468" i="16"/>
  <c r="X1415" i="16"/>
  <c r="X1944" i="16"/>
  <c r="X1461" i="16"/>
  <c r="X1462" i="16"/>
  <c r="X2253" i="16"/>
  <c r="X1031" i="16"/>
  <c r="X480" i="16"/>
  <c r="X481" i="16"/>
  <c r="X482" i="16"/>
  <c r="X483" i="16"/>
  <c r="X507" i="16"/>
  <c r="X508" i="16"/>
  <c r="X2254" i="16"/>
  <c r="X2255" i="16"/>
  <c r="X1618" i="16"/>
  <c r="X1421" i="16"/>
  <c r="X1516" i="16"/>
  <c r="X1249" i="16"/>
  <c r="X1250" i="16"/>
  <c r="X372" i="16"/>
  <c r="X373" i="16"/>
  <c r="X1930" i="16"/>
  <c r="X1389" i="16"/>
  <c r="X746" i="16"/>
  <c r="X438" i="16"/>
  <c r="X1889" i="16"/>
  <c r="X307" i="16"/>
  <c r="X1369" i="16"/>
  <c r="X2256" i="16"/>
  <c r="X915" i="16"/>
  <c r="X2257" i="16"/>
  <c r="X2258" i="16"/>
  <c r="X2158" i="16"/>
  <c r="X637" i="16"/>
  <c r="X2128" i="16"/>
  <c r="X2259" i="16"/>
  <c r="X2260" i="16"/>
  <c r="X2261" i="16"/>
  <c r="X2134" i="16"/>
  <c r="X728" i="16"/>
  <c r="X2170" i="16"/>
  <c r="X880" i="16"/>
  <c r="X1466" i="16"/>
  <c r="X1843" i="16"/>
  <c r="X2262" i="16"/>
  <c r="X86" i="16"/>
  <c r="X2083" i="16"/>
  <c r="X1719" i="16"/>
  <c r="X2263" i="16"/>
  <c r="X1458" i="16"/>
  <c r="X866" i="16"/>
  <c r="X2076" i="16"/>
  <c r="X2123" i="16"/>
  <c r="X405" i="16"/>
  <c r="X864" i="16"/>
  <c r="X1653" i="16"/>
  <c r="X1164" i="16"/>
  <c r="X742" i="16"/>
  <c r="X1290" i="16"/>
  <c r="X778" i="16"/>
  <c r="X744" i="16"/>
  <c r="X897" i="16"/>
  <c r="X2264" i="16"/>
  <c r="X2265" i="16"/>
  <c r="X158" i="16"/>
  <c r="X159" i="16"/>
  <c r="X1942" i="16"/>
  <c r="X297" i="16"/>
  <c r="X841" i="16"/>
  <c r="X1858" i="16"/>
  <c r="X638" i="16"/>
  <c r="X2132" i="16"/>
  <c r="X1598" i="16"/>
  <c r="X1798" i="16"/>
  <c r="X1882" i="16"/>
  <c r="X424" i="16"/>
  <c r="X425" i="16"/>
  <c r="X9" i="16"/>
  <c r="X1052" i="16"/>
  <c r="X2162" i="16"/>
  <c r="X2082" i="16"/>
  <c r="X2150" i="16"/>
  <c r="X2094" i="16"/>
  <c r="X1837" i="16"/>
  <c r="X256" i="16"/>
  <c r="X1331" i="16"/>
  <c r="X1660" i="16"/>
  <c r="X364" i="16"/>
  <c r="X954" i="16"/>
  <c r="X2013" i="16"/>
  <c r="X2266" i="16"/>
  <c r="X1755" i="16"/>
  <c r="X558" i="16"/>
  <c r="X448" i="16"/>
  <c r="X860" i="16"/>
  <c r="X1854" i="16"/>
  <c r="X137" i="16"/>
  <c r="X192" i="16"/>
  <c r="X561" i="16"/>
  <c r="X743" i="16"/>
  <c r="X814" i="16"/>
  <c r="X815" i="16"/>
  <c r="X2267" i="16"/>
  <c r="X2120" i="16"/>
  <c r="X914" i="16"/>
  <c r="X346" i="16"/>
  <c r="X443" i="16"/>
  <c r="X444" i="16"/>
  <c r="X260" i="16"/>
  <c r="X445" i="16"/>
  <c r="X446" i="16"/>
  <c r="X293" i="16"/>
  <c r="X1674" i="16"/>
  <c r="X1682" i="16"/>
  <c r="X1683" i="16"/>
  <c r="X2126" i="16"/>
  <c r="X2268" i="16"/>
  <c r="X1964" i="16"/>
  <c r="X792" i="16"/>
  <c r="X793" i="16"/>
  <c r="X1547" i="16"/>
  <c r="X2269" i="16"/>
  <c r="X1686" i="16"/>
  <c r="X1687" i="16"/>
  <c r="X1688" i="16"/>
  <c r="X2270" i="16"/>
  <c r="X2102" i="16"/>
  <c r="X2271" i="16"/>
  <c r="X2272" i="16"/>
  <c r="X1655" i="16"/>
  <c r="X732" i="16"/>
  <c r="X1678" i="16"/>
  <c r="X973" i="16"/>
  <c r="X974" i="16"/>
  <c r="X1622" i="16"/>
  <c r="X1084" i="16"/>
  <c r="X2273" i="16"/>
  <c r="X1196" i="16"/>
  <c r="X2087" i="16"/>
  <c r="X1533" i="16"/>
  <c r="X2274" i="16"/>
  <c r="X1885" i="16"/>
  <c r="X2275" i="16"/>
  <c r="X1483" i="16"/>
  <c r="X1914" i="16"/>
  <c r="X292" i="16"/>
  <c r="X1448" i="16"/>
  <c r="X2276" i="16"/>
  <c r="X2277" i="16"/>
  <c r="X1689" i="16"/>
  <c r="X2278" i="16"/>
  <c r="X1335" i="16"/>
  <c r="X534" i="16"/>
  <c r="X535" i="16"/>
  <c r="X536" i="16"/>
  <c r="X537" i="16"/>
  <c r="X538" i="16"/>
  <c r="X539" i="16"/>
  <c r="X1943" i="16"/>
  <c r="X1333" i="16"/>
  <c r="X409" i="16"/>
  <c r="X410" i="16"/>
  <c r="X411" i="16"/>
  <c r="X412" i="16"/>
  <c r="X413" i="16"/>
  <c r="X414" i="16"/>
  <c r="X415" i="16"/>
  <c r="X416" i="16"/>
  <c r="X417" i="16"/>
  <c r="X418" i="16"/>
  <c r="X877" i="16"/>
  <c r="X807" i="16"/>
  <c r="X1690" i="16"/>
  <c r="X1652" i="16"/>
  <c r="X2154" i="16"/>
  <c r="X1691" i="16"/>
  <c r="X2003" i="16"/>
  <c r="X1658" i="16"/>
  <c r="X2279" i="16"/>
  <c r="X2280" i="16"/>
  <c r="X1927" i="16"/>
  <c r="X1684" i="16"/>
  <c r="X2281" i="16"/>
  <c r="X1692" i="16"/>
  <c r="X1820" i="16"/>
  <c r="X2282" i="16"/>
  <c r="X2283" i="16"/>
  <c r="X164" i="16"/>
  <c r="X165" i="16"/>
  <c r="X166" i="16"/>
  <c r="X167" i="16"/>
  <c r="X401" i="16"/>
  <c r="X402" i="16"/>
  <c r="X403" i="16"/>
  <c r="X2072" i="16"/>
  <c r="X2284" i="16"/>
  <c r="X1913" i="16"/>
  <c r="X222" i="16"/>
  <c r="X30" i="16"/>
  <c r="X101" i="16"/>
  <c r="X102" i="16"/>
  <c r="X103" i="16"/>
  <c r="X114" i="16"/>
  <c r="X115" i="16"/>
  <c r="X2066" i="16"/>
  <c r="X2018" i="16"/>
  <c r="X356" i="16"/>
  <c r="X116" i="16"/>
  <c r="X107" i="16"/>
  <c r="X108" i="16"/>
  <c r="X1626" i="16"/>
  <c r="X109" i="16"/>
  <c r="X251" i="16"/>
  <c r="X252" i="16"/>
  <c r="X253" i="16"/>
  <c r="X2285" i="16"/>
  <c r="X254" i="16"/>
  <c r="X255" i="16"/>
  <c r="X1762" i="16"/>
  <c r="X1763" i="16"/>
  <c r="X1764" i="16"/>
  <c r="X447" i="16"/>
  <c r="X540" i="16"/>
  <c r="X541" i="16"/>
  <c r="X882" i="16"/>
  <c r="X978" i="16"/>
  <c r="X1693" i="16"/>
  <c r="X1694" i="16"/>
  <c r="X404" i="16"/>
  <c r="X1616" i="16"/>
  <c r="X340" i="16"/>
  <c r="X341" i="16"/>
  <c r="X2286" i="16"/>
  <c r="X2287" i="16"/>
  <c r="X1919" i="16"/>
  <c r="X333" i="16"/>
  <c r="X1848" i="16"/>
  <c r="X2288" i="16"/>
  <c r="X2289" i="16"/>
  <c r="X2290" i="16"/>
  <c r="X2091" i="16"/>
  <c r="X2121" i="16"/>
  <c r="X1664" i="16"/>
  <c r="X1969" i="16"/>
  <c r="X2032" i="16"/>
  <c r="X2159" i="16"/>
  <c r="X1713" i="16"/>
  <c r="X1343" i="16"/>
  <c r="X2038" i="16"/>
  <c r="X1970" i="16"/>
  <c r="X1354" i="16"/>
  <c r="X2039" i="16"/>
  <c r="X1706" i="16"/>
  <c r="X1672" i="16"/>
  <c r="X1554" i="16"/>
  <c r="X1695" i="16"/>
  <c r="X1374" i="16"/>
  <c r="X1631" i="16"/>
  <c r="X1372" i="16"/>
  <c r="X1665" i="16"/>
  <c r="X1666" i="16"/>
  <c r="X1635" i="16"/>
  <c r="X1895" i="16"/>
  <c r="X1307" i="16"/>
  <c r="X873" i="16"/>
  <c r="X1936" i="16"/>
  <c r="X1225" i="16"/>
  <c r="X1624" i="16"/>
  <c r="X1775" i="16"/>
  <c r="X1549" i="16"/>
  <c r="X986" i="16"/>
  <c r="X956" i="16"/>
  <c r="X1621" i="16"/>
  <c r="X1776" i="16"/>
  <c r="X1860" i="16"/>
  <c r="X987" i="16"/>
  <c r="X988" i="16"/>
  <c r="X989" i="16"/>
  <c r="X957" i="16"/>
  <c r="X958" i="16"/>
  <c r="X959" i="16"/>
  <c r="X2291" i="16"/>
  <c r="X2292" i="16"/>
  <c r="X2040" i="16"/>
  <c r="X2041" i="16"/>
  <c r="X2042" i="16"/>
  <c r="X2293" i="16"/>
  <c r="X2171" i="16"/>
  <c r="X2043" i="16"/>
  <c r="X1696" i="16"/>
  <c r="X1623" i="16"/>
  <c r="X1849" i="16"/>
  <c r="X1979" i="16"/>
  <c r="X1412" i="16"/>
  <c r="X1742" i="16"/>
  <c r="X1410" i="16"/>
  <c r="X1237" i="16"/>
  <c r="X1238" i="16"/>
  <c r="X1269" i="16"/>
  <c r="X1264" i="16"/>
  <c r="X1255" i="16"/>
  <c r="X1793" i="16"/>
  <c r="X1794" i="16"/>
  <c r="X2294" i="16"/>
  <c r="X1546" i="16"/>
  <c r="X1375" i="16"/>
  <c r="X2295" i="16"/>
  <c r="X1697" i="16"/>
  <c r="X1698" i="16"/>
  <c r="X1636" i="16"/>
  <c r="X1641" i="16"/>
  <c r="X1667" i="16"/>
  <c r="X1778" i="16"/>
  <c r="X1985" i="16"/>
  <c r="X1323" i="16"/>
  <c r="X1988" i="16"/>
  <c r="X1821" i="16"/>
  <c r="X1265" i="16"/>
  <c r="X994" i="16"/>
  <c r="X823" i="16"/>
  <c r="X1132" i="16"/>
  <c r="X1381" i="16"/>
  <c r="X1592" i="16"/>
  <c r="X1217" i="16"/>
  <c r="X1189" i="16"/>
  <c r="X2044" i="16"/>
  <c r="X1465" i="16"/>
  <c r="X2045" i="16"/>
  <c r="X1663" i="16"/>
  <c r="X1259" i="16"/>
  <c r="X1492" i="16"/>
  <c r="X983" i="16"/>
  <c r="X1455" i="16"/>
  <c r="X960" i="16"/>
  <c r="X1811" i="16"/>
  <c r="X2296" i="16"/>
  <c r="X2046" i="16"/>
  <c r="X2047" i="16"/>
  <c r="X2297" i="16"/>
  <c r="X2298" i="16"/>
  <c r="X1726" i="16"/>
  <c r="X1935" i="16"/>
  <c r="X2299" i="16"/>
  <c r="X1729" i="16"/>
  <c r="X218" i="16"/>
  <c r="X1971" i="16"/>
  <c r="X1972" i="16"/>
  <c r="X2179" i="16"/>
  <c r="X1329" i="16"/>
  <c r="X380" i="16"/>
  <c r="X381" i="16"/>
  <c r="X2048" i="16"/>
  <c r="X2300" i="16"/>
  <c r="X2144" i="16"/>
  <c r="X1906" i="16"/>
  <c r="X2153" i="16"/>
  <c r="X219" i="16"/>
  <c r="X220" i="16"/>
  <c r="X1423" i="16"/>
  <c r="X1637" i="16"/>
  <c r="X2049" i="16"/>
  <c r="X2027" i="16"/>
  <c r="X1959" i="16"/>
  <c r="X2014" i="16"/>
  <c r="X1958" i="16"/>
  <c r="X1947" i="16"/>
  <c r="X1973" i="16"/>
  <c r="X2050" i="16"/>
  <c r="X41" i="16"/>
  <c r="X42" i="16"/>
  <c r="X43" i="16"/>
  <c r="X2301" i="16"/>
  <c r="X44" i="16"/>
  <c r="X2165" i="16"/>
  <c r="X2034" i="16"/>
  <c r="X2302" i="16"/>
  <c r="X1515" i="16"/>
  <c r="X2116" i="16"/>
  <c r="X1834" i="16"/>
  <c r="X1322" i="16"/>
  <c r="X1961" i="16"/>
  <c r="X1907" i="16"/>
  <c r="X2051" i="16"/>
  <c r="X1424" i="16"/>
  <c r="X2303" i="16"/>
  <c r="X1909" i="16"/>
  <c r="X1330" i="16"/>
  <c r="X2033" i="16"/>
  <c r="X67" i="16"/>
  <c r="X68" i="16"/>
  <c r="X1791" i="16"/>
  <c r="X2052" i="16"/>
  <c r="X1456" i="16"/>
  <c r="X1594" i="16"/>
  <c r="X69" i="16"/>
  <c r="X382" i="16"/>
  <c r="X85" i="16"/>
  <c r="X2304" i="16"/>
  <c r="X70" i="16"/>
  <c r="X669" i="16"/>
  <c r="X1703" i="16"/>
  <c r="X617" i="16"/>
  <c r="X580" i="16"/>
  <c r="X618" i="16"/>
  <c r="X619" i="16"/>
  <c r="X620" i="16"/>
  <c r="X621" i="16"/>
  <c r="X622" i="16"/>
  <c r="X1563" i="16"/>
  <c r="X676" i="16"/>
  <c r="X670" i="16"/>
  <c r="X828" i="16"/>
  <c r="X829" i="16"/>
  <c r="X830" i="16"/>
  <c r="X244" i="16"/>
  <c r="X245" i="16"/>
  <c r="X1777" i="16"/>
  <c r="X1700" i="16"/>
  <c r="X1548" i="16"/>
  <c r="X844" i="16"/>
  <c r="X845" i="16"/>
  <c r="X1166" i="16"/>
  <c r="X2053" i="16"/>
  <c r="X2305" i="16"/>
  <c r="X377" i="16"/>
  <c r="X378" i="16"/>
  <c r="X379" i="16"/>
  <c r="X229" i="16"/>
  <c r="X230" i="16"/>
  <c r="X231" i="16"/>
  <c r="X1795" i="16"/>
  <c r="X1891" i="16"/>
  <c r="X1923" i="16"/>
  <c r="X2054" i="16"/>
  <c r="X2306" i="16"/>
  <c r="X1839" i="16"/>
  <c r="X1945" i="16"/>
  <c r="X1974" i="16"/>
  <c r="X1835" i="16"/>
  <c r="X1085" i="16"/>
  <c r="X1086" i="16"/>
  <c r="X1422" i="16"/>
  <c r="X1145" i="16"/>
  <c r="X1057" i="16"/>
  <c r="X1584" i="16"/>
  <c r="X1773" i="16"/>
  <c r="X1789" i="16"/>
  <c r="X1883" i="16"/>
  <c r="X1058" i="16"/>
  <c r="X1119" i="16"/>
  <c r="X1840" i="16"/>
  <c r="X846" i="16"/>
  <c r="X1254" i="16"/>
  <c r="X322" i="16"/>
  <c r="X2036" i="16"/>
  <c r="X2037" i="16"/>
  <c r="X1527" i="16"/>
  <c r="X1975" i="16"/>
  <c r="X1984" i="16"/>
  <c r="X1220" i="16"/>
  <c r="X1894" i="16"/>
  <c r="X1634" i="16"/>
  <c r="X2307" i="16"/>
  <c r="X2173" i="16"/>
  <c r="X1929" i="16"/>
  <c r="X2166" i="16"/>
  <c r="X2023" i="16"/>
  <c r="X1926" i="16"/>
  <c r="X1836" i="16"/>
  <c r="X1334" i="16"/>
  <c r="X2308" i="16"/>
  <c r="X1976" i="16"/>
  <c r="X1908" i="16"/>
  <c r="X1781" i="16"/>
  <c r="X2000" i="16"/>
  <c r="X2129" i="16"/>
  <c r="X1657" i="16"/>
  <c r="X1829" i="16"/>
  <c r="X1955" i="16"/>
  <c r="X2035" i="16"/>
  <c r="X1977" i="16"/>
  <c r="X2309" i="16"/>
  <c r="X2310" i="16"/>
  <c r="X2031" i="16"/>
  <c r="X2055" i="16"/>
  <c r="X2030" i="16"/>
  <c r="X1968" i="16"/>
  <c r="X2311" i="16"/>
  <c r="X1952" i="16"/>
  <c r="X2312" i="16"/>
  <c r="X2313" i="16"/>
  <c r="X2314" i="16"/>
  <c r="X1869" i="16"/>
  <c r="X1953" i="16"/>
  <c r="X1892" i="16"/>
  <c r="X1831" i="16"/>
  <c r="X1866" i="16"/>
  <c r="X2315" i="16"/>
  <c r="X2026" i="16"/>
  <c r="X1668" i="16"/>
  <c r="X2131" i="16"/>
  <c r="X1745" i="16"/>
  <c r="X2316" i="16"/>
  <c r="X2317" i="16"/>
  <c r="X2056" i="16"/>
  <c r="X2318" i="16"/>
  <c r="X2319" i="16"/>
  <c r="X2118" i="16"/>
  <c r="X1951" i="16"/>
  <c r="X1252" i="16"/>
  <c r="X217" i="16"/>
  <c r="X369" i="16"/>
  <c r="X138" i="16"/>
  <c r="X898" i="16"/>
  <c r="X1383" i="16"/>
  <c r="X1384" i="16"/>
  <c r="X1506" i="16"/>
  <c r="X262" i="16"/>
  <c r="X1426" i="16"/>
  <c r="X139" i="16"/>
  <c r="X657" i="16"/>
  <c r="X710" i="16"/>
  <c r="X1928" i="16"/>
  <c r="X1867" i="16"/>
  <c r="X1425" i="16"/>
  <c r="X1400" i="16"/>
  <c r="X1710" i="16"/>
  <c r="X2025" i="16"/>
  <c r="X1543" i="16"/>
  <c r="X1578" i="16"/>
  <c r="X1648" i="16"/>
  <c r="X1980" i="16"/>
  <c r="X2075" i="16"/>
  <c r="X2320" i="16"/>
  <c r="X2321" i="16"/>
  <c r="X1460" i="16"/>
  <c r="X2113" i="16"/>
  <c r="X1524" i="16"/>
  <c r="X2322" i="16"/>
  <c r="X2174" i="16"/>
  <c r="X1938" i="16"/>
  <c r="X1899" i="16"/>
  <c r="X2323" i="16"/>
  <c r="X2130" i="16"/>
  <c r="X711" i="16"/>
  <c r="X2145" i="16"/>
  <c r="X1922" i="16"/>
  <c r="X1489" i="16"/>
  <c r="X2176" i="16"/>
  <c r="X1593" i="16"/>
  <c r="X1963" i="16"/>
  <c r="X883" i="16"/>
  <c r="X2029" i="16"/>
  <c r="X1898" i="16"/>
  <c r="X10" i="16"/>
  <c r="X11" i="16"/>
  <c r="X12" i="16"/>
  <c r="X13" i="16"/>
  <c r="X14" i="16"/>
  <c r="X1965" i="16"/>
  <c r="X750" i="16"/>
  <c r="X15" i="16"/>
  <c r="X971" i="16"/>
  <c r="X1395" i="16"/>
  <c r="X1232" i="16"/>
  <c r="X760" i="16"/>
  <c r="X206" i="16"/>
  <c r="X663" i="16"/>
  <c r="X237" i="16"/>
  <c r="X111" i="16"/>
  <c r="X383" i="16"/>
  <c r="X311" i="16"/>
  <c r="X57" i="16"/>
  <c r="X110" i="16"/>
  <c r="X1629" i="16"/>
  <c r="X714" i="16"/>
  <c r="X1150" i="16"/>
  <c r="X323" i="16"/>
  <c r="X430" i="16"/>
  <c r="X339" i="16"/>
  <c r="X757" i="16"/>
  <c r="X374" i="16"/>
  <c r="X74" i="16"/>
  <c r="X106" i="16"/>
  <c r="X2016" i="16"/>
  <c r="X1905" i="16"/>
  <c r="X2324" i="16"/>
  <c r="X1774" i="16"/>
  <c r="X1274" i="16"/>
  <c r="X1948" i="16"/>
  <c r="X1838" i="16"/>
  <c r="X1865" i="16"/>
  <c r="X1761" i="16"/>
  <c r="X2111" i="16"/>
  <c r="X1744" i="16"/>
  <c r="X2090" i="16"/>
  <c r="X2325" i="16"/>
  <c r="X1510" i="16"/>
  <c r="X1557" i="16"/>
  <c r="X1363" i="16"/>
  <c r="X1705" i="16"/>
  <c r="X2020" i="16"/>
  <c r="X2021" i="16"/>
  <c r="X1801" i="16"/>
  <c r="X1782" i="16"/>
  <c r="X2326" i="16"/>
  <c r="X2017" i="16"/>
  <c r="X1978" i="16"/>
  <c r="X1844" i="16"/>
  <c r="X2092" i="16"/>
  <c r="X2117" i="16"/>
  <c r="X2327" i="16"/>
  <c r="X1872" i="16"/>
  <c r="X2328" i="16"/>
  <c r="X2329" i="16"/>
  <c r="X2330" i="16"/>
  <c r="X2331" i="16"/>
  <c r="X1855" i="16"/>
  <c r="X1877" i="16"/>
  <c r="X1337" i="16"/>
  <c r="X754" i="16"/>
  <c r="X1501" i="16"/>
  <c r="X2098" i="16"/>
  <c r="X831" i="16"/>
  <c r="X1611" i="16"/>
  <c r="X1582" i="16"/>
  <c r="X1558" i="16"/>
  <c r="X1246" i="16"/>
  <c r="X1106" i="16"/>
  <c r="X794" i="16"/>
  <c r="X1734" i="16"/>
  <c r="X1796" i="16"/>
  <c r="X1529" i="16"/>
  <c r="X1390" i="16"/>
  <c r="X1822" i="16"/>
  <c r="X952" i="16"/>
  <c r="X1213" i="16"/>
  <c r="X1444" i="16"/>
  <c r="X1545" i="16"/>
  <c r="X2332" i="16"/>
  <c r="X2333" i="16"/>
  <c r="X2334" i="16"/>
  <c r="X2335" i="16"/>
  <c r="X2336" i="16"/>
  <c r="X2337" i="16"/>
  <c r="X2338" i="16"/>
  <c r="X2339" i="16"/>
  <c r="X2340" i="16"/>
  <c r="X2341" i="16"/>
  <c r="X1229" i="16"/>
  <c r="X1147" i="16"/>
  <c r="X1490" i="16"/>
  <c r="X1114" i="16"/>
  <c r="X2095" i="16"/>
  <c r="X1681" i="16"/>
  <c r="X1832" i="16"/>
  <c r="X1241" i="16"/>
  <c r="X1881" i="16"/>
  <c r="X1847" i="16"/>
  <c r="X755" i="16"/>
  <c r="X1216" i="16"/>
  <c r="X721" i="16"/>
  <c r="X1495" i="16"/>
  <c r="X1804" i="16"/>
  <c r="X351" i="16"/>
  <c r="X489" i="16"/>
  <c r="X289" i="16"/>
  <c r="X290" i="16"/>
  <c r="X1214" i="16"/>
  <c r="X1721" i="16"/>
  <c r="X126" i="16"/>
  <c r="X376" i="16"/>
  <c r="X1488" i="16"/>
  <c r="X1712" i="16"/>
  <c r="X1056" i="16"/>
  <c r="X1580" i="16"/>
  <c r="X1097" i="16"/>
  <c r="X937" i="16"/>
  <c r="X1040" i="16"/>
  <c r="X1154" i="16"/>
  <c r="X1539" i="16"/>
  <c r="X1880" i="16"/>
  <c r="X291" i="16"/>
  <c r="AA924" i="16"/>
  <c r="AA925" i="16"/>
  <c r="AA1204" i="16"/>
  <c r="AA1205" i="16"/>
  <c r="AA1206" i="16"/>
  <c r="AA1436" i="16"/>
  <c r="AA1437" i="16"/>
  <c r="AA1470" i="16"/>
  <c r="AA902" i="16"/>
  <c r="AA903" i="16"/>
  <c r="AA904" i="16"/>
  <c r="AA926" i="16"/>
  <c r="AA927" i="16"/>
  <c r="AA928" i="16"/>
  <c r="AA1015" i="16"/>
  <c r="AA1016" i="16"/>
  <c r="AA1017" i="16"/>
  <c r="AA1018" i="16"/>
  <c r="AA1019" i="16"/>
  <c r="AA1020" i="16"/>
  <c r="AA1402" i="16"/>
  <c r="AA1550" i="16"/>
  <c r="AA1551" i="16"/>
  <c r="AA933" i="16"/>
  <c r="AA847" i="16"/>
  <c r="AA1110" i="16"/>
  <c r="AA1111" i="16"/>
  <c r="AA1112" i="16"/>
  <c r="AA1021" i="16"/>
  <c r="AA1022" i="16"/>
  <c r="AA1471" i="16"/>
  <c r="AA1207" i="16"/>
  <c r="AA1427" i="16"/>
  <c r="AA1428" i="16"/>
  <c r="AA1403" i="16"/>
  <c r="AA1404" i="16"/>
  <c r="AA1023" i="16"/>
  <c r="AA878" i="16"/>
  <c r="AA2060" i="16"/>
  <c r="AA1091" i="16"/>
  <c r="AA1353" i="16"/>
  <c r="AA455" i="16"/>
  <c r="AA1069" i="16"/>
  <c r="AA998" i="16"/>
  <c r="AA1223" i="16"/>
  <c r="AA1203" i="16"/>
  <c r="AA456" i="16"/>
  <c r="AA658" i="16"/>
  <c r="AA133" i="16"/>
  <c r="AA261" i="16"/>
  <c r="AA470" i="16"/>
  <c r="AA81" i="16"/>
  <c r="AA543" i="16"/>
  <c r="AA544" i="16"/>
  <c r="AA520" i="16"/>
  <c r="AA521" i="16"/>
  <c r="AA1990" i="16"/>
  <c r="AA1991" i="16"/>
  <c r="AA879" i="16"/>
  <c r="AA606" i="16"/>
  <c r="AA525" i="16"/>
  <c r="AA526" i="16"/>
  <c r="AA907" i="16"/>
  <c r="AA908" i="16"/>
  <c r="AA497" i="16"/>
  <c r="AA694" i="16"/>
  <c r="AA1544" i="16"/>
  <c r="AA2096" i="16"/>
  <c r="AA735" i="16"/>
  <c r="AA736" i="16"/>
  <c r="AA392" i="16"/>
  <c r="AA1443" i="16"/>
  <c r="AA1047" i="16"/>
  <c r="AA824" i="16"/>
  <c r="AA1809" i="16"/>
  <c r="AA1823" i="16"/>
  <c r="AA1824" i="16"/>
  <c r="AA440" i="16"/>
  <c r="AA1989" i="16"/>
  <c r="AA787" i="16"/>
  <c r="AA899" i="16"/>
  <c r="AA900" i="16"/>
  <c r="AA1612" i="16"/>
  <c r="AA1613" i="16"/>
  <c r="AA393" i="16"/>
  <c r="AA2063" i="16"/>
  <c r="AA1048" i="16"/>
  <c r="AA64" i="16"/>
  <c r="AA65" i="16"/>
  <c r="AA47" i="16"/>
  <c r="AA48" i="16"/>
  <c r="AA698" i="16"/>
  <c r="AA607" i="16"/>
  <c r="AA49" i="16"/>
  <c r="AA687" i="16"/>
  <c r="AA66" i="16"/>
  <c r="AA175" i="16"/>
  <c r="AA176" i="16"/>
  <c r="AA848" i="16"/>
  <c r="AA784" i="16"/>
  <c r="AA397" i="16"/>
  <c r="AA308" i="16"/>
  <c r="AA177" i="16"/>
  <c r="AA178" i="16"/>
  <c r="AA513" i="16"/>
  <c r="AA406" i="16"/>
  <c r="AA955" i="16"/>
  <c r="AA948" i="16"/>
  <c r="AA179" i="16"/>
  <c r="AA180" i="16"/>
  <c r="AA181" i="16"/>
  <c r="AA785" i="16"/>
  <c r="AA1387" i="16"/>
  <c r="AA336" i="16"/>
  <c r="AA641" i="16"/>
  <c r="AA1266" i="16"/>
  <c r="AA1024" i="16"/>
  <c r="AA833" i="16"/>
  <c r="AA653" i="16"/>
  <c r="AA384" i="16"/>
  <c r="AA1497" i="16"/>
  <c r="AA263" i="16"/>
  <c r="AA264" i="16"/>
  <c r="AA834" i="16"/>
  <c r="AA278" i="16"/>
  <c r="AA226" i="16"/>
  <c r="AA1025" i="16"/>
  <c r="AA688" i="16"/>
  <c r="AA58" i="16"/>
  <c r="AA144" i="16"/>
  <c r="AA1451" i="16"/>
  <c r="AA1452" i="16"/>
  <c r="AA435" i="16"/>
  <c r="AA835" i="16"/>
  <c r="AA187" i="16"/>
  <c r="AA934" i="16"/>
  <c r="AA145" i="16"/>
  <c r="AA1502" i="16"/>
  <c r="AA1619" i="16"/>
  <c r="AA1385" i="16"/>
  <c r="AA1233" i="16"/>
  <c r="AA169" i="16"/>
  <c r="AA836" i="16"/>
  <c r="AA837" i="16"/>
  <c r="AA984" i="16"/>
  <c r="AA1565" i="16"/>
  <c r="AA758" i="16"/>
  <c r="AA146" i="16"/>
  <c r="AA1405" i="16"/>
  <c r="AA2189" i="16"/>
  <c r="AA170" i="16"/>
  <c r="AA700" i="16"/>
  <c r="AA701" i="16"/>
  <c r="AA127" i="16"/>
  <c r="AA981" i="16"/>
  <c r="AA183" i="16"/>
  <c r="AA184" i="16"/>
  <c r="AA2161" i="16"/>
  <c r="AA2069" i="16"/>
  <c r="AA2156" i="16"/>
  <c r="AA2084" i="16"/>
  <c r="AA842" i="16"/>
  <c r="AA210" i="16"/>
  <c r="AA1994" i="16"/>
  <c r="AA1079" i="16"/>
  <c r="AA1453" i="16"/>
  <c r="AA1454" i="16"/>
  <c r="AA185" i="16"/>
  <c r="AA186" i="16"/>
  <c r="AA1457" i="16"/>
  <c r="AA151" i="16"/>
  <c r="AA283" i="16"/>
  <c r="AA1464" i="16"/>
  <c r="AA2177" i="16"/>
  <c r="AA1388" i="16"/>
  <c r="AA337" i="16"/>
  <c r="AA642" i="16"/>
  <c r="AA227" i="16"/>
  <c r="AA1267" i="16"/>
  <c r="AA1026" i="16"/>
  <c r="AA689" i="16"/>
  <c r="AA436" i="16"/>
  <c r="AA188" i="16"/>
  <c r="AA935" i="16"/>
  <c r="AA1503" i="16"/>
  <c r="AA1620" i="16"/>
  <c r="AA1386" i="16"/>
  <c r="AA1234" i="16"/>
  <c r="AA171" i="16"/>
  <c r="AA1566" i="16"/>
  <c r="AA759" i="16"/>
  <c r="AA1406" i="16"/>
  <c r="AA1702" i="16"/>
  <c r="AA1540" i="16"/>
  <c r="AA2190" i="16"/>
  <c r="AA1459" i="16"/>
  <c r="AA859" i="16"/>
  <c r="AA1043" i="16"/>
  <c r="AA905" i="16"/>
  <c r="AA1088" i="16"/>
  <c r="AA1211" i="16"/>
  <c r="AA419" i="16"/>
  <c r="AA1780" i="16"/>
  <c r="AA294" i="16"/>
  <c r="AA59" i="16"/>
  <c r="AA2191" i="16"/>
  <c r="AA1932" i="16"/>
  <c r="AA2192" i="16"/>
  <c r="AA1339" i="16"/>
  <c r="AA1071" i="16"/>
  <c r="AA1649" i="16"/>
  <c r="AA490" i="16"/>
  <c r="AA1072" i="16"/>
  <c r="AA491" i="16"/>
  <c r="AA1983" i="16"/>
  <c r="AA1604" i="16"/>
  <c r="AA1218" i="16"/>
  <c r="AA1073" i="16"/>
  <c r="AA492" i="16"/>
  <c r="AA469" i="16"/>
  <c r="AA1212" i="16"/>
  <c r="AA1800" i="16"/>
  <c r="AA493" i="16"/>
  <c r="AA1650" i="16"/>
  <c r="AA1087" i="16"/>
  <c r="AA992" i="16"/>
  <c r="AA1074" i="16"/>
  <c r="AA1772" i="16"/>
  <c r="AA1532" i="16"/>
  <c r="AA1070" i="16"/>
  <c r="AA1002" i="16"/>
  <c r="AA2085" i="16"/>
  <c r="AA2193" i="16"/>
  <c r="AA2108" i="16"/>
  <c r="AA993" i="16"/>
  <c r="AA1314" i="16"/>
  <c r="AA1949" i="16"/>
  <c r="AA881" i="16"/>
  <c r="AA2178" i="16"/>
  <c r="AA2194" i="16"/>
  <c r="AA965" i="16"/>
  <c r="AA822" i="16"/>
  <c r="AA2008" i="16"/>
  <c r="AA1996" i="16"/>
  <c r="AA1553" i="16"/>
  <c r="AA1868" i="16"/>
  <c r="AA1210" i="16"/>
  <c r="AA1476" i="16"/>
  <c r="AA843" i="16"/>
  <c r="AA1498" i="16"/>
  <c r="AA1499" i="16"/>
  <c r="AA1500" i="16"/>
  <c r="AA1120" i="16"/>
  <c r="AA1162" i="16"/>
  <c r="AA791" i="16"/>
  <c r="AA1884" i="16"/>
  <c r="AA228" i="16"/>
  <c r="AA225" i="16"/>
  <c r="AA1163" i="16"/>
  <c r="AA917" i="16"/>
  <c r="AA1741" i="16"/>
  <c r="AA918" i="16"/>
  <c r="AA919" i="16"/>
  <c r="AA1033" i="16"/>
  <c r="AA966" i="16"/>
  <c r="AA654" i="16"/>
  <c r="AA1195" i="16"/>
  <c r="AA407" i="16"/>
  <c r="AA1507" i="16"/>
  <c r="AA1508" i="16"/>
  <c r="AA1585" i="16"/>
  <c r="AA1586" i="16"/>
  <c r="AA1467" i="16"/>
  <c r="AA599" i="16"/>
  <c r="AA600" i="16"/>
  <c r="AA601" i="16"/>
  <c r="AA602" i="16"/>
  <c r="AA603" i="16"/>
  <c r="AA604" i="16"/>
  <c r="AA874" i="16"/>
  <c r="AA875" i="16"/>
  <c r="AA476" i="16"/>
  <c r="AA1432" i="16"/>
  <c r="AA623" i="16"/>
  <c r="AA624" i="16"/>
  <c r="AA625" i="16"/>
  <c r="AA626" i="16"/>
  <c r="AA1256" i="16"/>
  <c r="AA1257" i="16"/>
  <c r="AA119" i="16"/>
  <c r="AA2065" i="16"/>
  <c r="AA2195" i="16"/>
  <c r="AA2196" i="16"/>
  <c r="AA1736" i="16"/>
  <c r="AA2078" i="16"/>
  <c r="AA2197" i="16"/>
  <c r="AA717" i="16"/>
  <c r="AA246" i="16"/>
  <c r="AA247" i="16"/>
  <c r="AA37" i="16"/>
  <c r="AA122" i="16"/>
  <c r="AA2198" i="16"/>
  <c r="AA2199" i="16"/>
  <c r="AA2200" i="16"/>
  <c r="AA51" i="16"/>
  <c r="AA464" i="16"/>
  <c r="AA465" i="16"/>
  <c r="AA52" i="16"/>
  <c r="AA53" i="16"/>
  <c r="AA54" i="16"/>
  <c r="AA1396" i="16"/>
  <c r="AA1397" i="16"/>
  <c r="AA38" i="16"/>
  <c r="AA39" i="16"/>
  <c r="AA40" i="16"/>
  <c r="AA1324" i="16"/>
  <c r="AA985" i="16"/>
  <c r="AA1134" i="16"/>
  <c r="AA1027" i="16"/>
  <c r="AA2201" i="16"/>
  <c r="AA662" i="16"/>
  <c r="AA1469" i="16"/>
  <c r="AA639" i="16"/>
  <c r="AA394" i="16"/>
  <c r="AA672" i="16"/>
  <c r="AA649" i="16"/>
  <c r="AA1826" i="16"/>
  <c r="AA644" i="16"/>
  <c r="AA193" i="16"/>
  <c r="AA420" i="16"/>
  <c r="AA2202" i="16"/>
  <c r="AA1827" i="16"/>
  <c r="AA194" i="16"/>
  <c r="AA19" i="16"/>
  <c r="AA1151" i="16"/>
  <c r="AA195" i="16"/>
  <c r="AA1152" i="16"/>
  <c r="AA20" i="16"/>
  <c r="AA196" i="16"/>
  <c r="AA671" i="16"/>
  <c r="AA197" i="16"/>
  <c r="AA1408" i="16"/>
  <c r="AA729" i="16"/>
  <c r="AA1767" i="16"/>
  <c r="AA730" i="16"/>
  <c r="AA395" i="16"/>
  <c r="AA21" i="16"/>
  <c r="AA1748" i="16"/>
  <c r="AA751" i="16"/>
  <c r="AA645" i="16"/>
  <c r="AA1768" i="16"/>
  <c r="AA1749" i="16"/>
  <c r="AA661" i="16"/>
  <c r="AA198" i="16"/>
  <c r="AA737" i="16"/>
  <c r="AA650" i="16"/>
  <c r="AA1904" i="16"/>
  <c r="AA1878" i="16"/>
  <c r="AA627" i="16"/>
  <c r="AA646" i="16"/>
  <c r="AA647" i="16"/>
  <c r="AA22" i="16"/>
  <c r="AA1769" i="16"/>
  <c r="AA1169" i="16"/>
  <c r="AA930" i="16"/>
  <c r="AA673" i="16"/>
  <c r="AA1170" i="16"/>
  <c r="AA1171" i="16"/>
  <c r="AA23" i="16"/>
  <c r="AA738" i="16"/>
  <c r="AA739" i="16"/>
  <c r="AA2203" i="16"/>
  <c r="AA1172" i="16"/>
  <c r="AA355" i="16"/>
  <c r="AA223" i="16"/>
  <c r="AA428" i="16"/>
  <c r="AA214" i="16"/>
  <c r="AA463" i="16"/>
  <c r="AA209" i="16"/>
  <c r="AA18" i="16"/>
  <c r="AA135" i="16"/>
  <c r="AA117" i="16"/>
  <c r="AA121" i="16"/>
  <c r="AA50" i="16"/>
  <c r="AA213" i="16"/>
  <c r="AA1080" i="16"/>
  <c r="AA152" i="16"/>
  <c r="AA1417" i="16"/>
  <c r="AA1008" i="16"/>
  <c r="AA1126" i="16"/>
  <c r="AA1583" i="16"/>
  <c r="AA571" i="16"/>
  <c r="AA190" i="16"/>
  <c r="AA1131" i="16"/>
  <c r="AA191" i="16"/>
  <c r="AA128" i="16"/>
  <c r="AA331" i="16"/>
  <c r="AA1414" i="16"/>
  <c r="AA202" i="16"/>
  <c r="AA203" i="16"/>
  <c r="AA204" i="16"/>
  <c r="AA929" i="16"/>
  <c r="AA1609" i="16"/>
  <c r="AA2152" i="16"/>
  <c r="AA1595" i="16"/>
  <c r="AA1127" i="16"/>
  <c r="AA1607" i="16"/>
  <c r="AA1770" i="16"/>
  <c r="AA334" i="16"/>
  <c r="AA2062" i="16"/>
  <c r="AA840" i="16"/>
  <c r="AA2204" i="16"/>
  <c r="AA752" i="16"/>
  <c r="AA1173" i="16"/>
  <c r="AA2205" i="16"/>
  <c r="AA1597" i="16"/>
  <c r="AA592" i="16"/>
  <c r="AA134" i="16"/>
  <c r="AA616" i="16"/>
  <c r="AA2206" i="16"/>
  <c r="AA916" i="16"/>
  <c r="AA2207" i="16"/>
  <c r="AA1398" i="16"/>
  <c r="AA2099" i="16"/>
  <c r="AA345" i="16"/>
  <c r="AA681" i="16"/>
  <c r="AA1413" i="16"/>
  <c r="AA715" i="16"/>
  <c r="AA1920" i="16"/>
  <c r="AA628" i="16"/>
  <c r="AA651" i="16"/>
  <c r="AA731" i="16"/>
  <c r="AA648" i="16"/>
  <c r="AA281" i="16"/>
  <c r="AA199" i="16"/>
  <c r="AA1522" i="16"/>
  <c r="AA1805" i="16"/>
  <c r="AA466" i="16"/>
  <c r="AA2208" i="16"/>
  <c r="AA1215" i="16"/>
  <c r="AA1819" i="16"/>
  <c r="AA1656" i="16"/>
  <c r="AA399" i="16"/>
  <c r="AA1828" i="16"/>
  <c r="AA1750" i="16"/>
  <c r="AA1513" i="16"/>
  <c r="AA972" i="16"/>
  <c r="AA182" i="16"/>
  <c r="AA1117" i="16"/>
  <c r="AA1273" i="16"/>
  <c r="AA1814" i="16"/>
  <c r="AA1153" i="16"/>
  <c r="AA1788" i="16"/>
  <c r="AA1561" i="16"/>
  <c r="AA740" i="16"/>
  <c r="AA207" i="16"/>
  <c r="AA1896" i="16"/>
  <c r="AA718" i="16"/>
  <c r="AA365" i="16"/>
  <c r="AA821" i="16"/>
  <c r="AA1373" i="16"/>
  <c r="AA1802" i="16"/>
  <c r="AA2209" i="16"/>
  <c r="AA1845" i="16"/>
  <c r="AA2210" i="16"/>
  <c r="AA805" i="16"/>
  <c r="AA442" i="16"/>
  <c r="AA640" i="16"/>
  <c r="AA1879" i="16"/>
  <c r="AA1590" i="16"/>
  <c r="AA825" i="16"/>
  <c r="AA1673" i="16"/>
  <c r="AA1371" i="16"/>
  <c r="AA1564" i="16"/>
  <c r="AA55" i="16"/>
  <c r="AA24" i="16"/>
  <c r="AA1409" i="16"/>
  <c r="AA46" i="16"/>
  <c r="AA1995" i="16"/>
  <c r="AA1617" i="16"/>
  <c r="AA1050" i="16"/>
  <c r="AA976" i="16"/>
  <c r="AA1332" i="16"/>
  <c r="AA1531" i="16"/>
  <c r="AA224" i="16"/>
  <c r="AA26" i="16"/>
  <c r="AA719" i="16"/>
  <c r="AA552" i="16"/>
  <c r="AA553" i="16"/>
  <c r="AA554" i="16"/>
  <c r="AA555" i="16"/>
  <c r="AA2211" i="16"/>
  <c r="AA1625" i="16"/>
  <c r="AA574" i="16"/>
  <c r="AA575" i="16"/>
  <c r="AA576" i="16"/>
  <c r="AA950" i="16"/>
  <c r="AA75" i="16"/>
  <c r="AA1370" i="16"/>
  <c r="AA2212" i="16"/>
  <c r="AA1379" i="16"/>
  <c r="AA211" i="16"/>
  <c r="AA522" i="16"/>
  <c r="AA82" i="16"/>
  <c r="AA733" i="16"/>
  <c r="AA212" i="16"/>
  <c r="AA168" i="16"/>
  <c r="AA439" i="16"/>
  <c r="AA208" i="16"/>
  <c r="AA215" i="16"/>
  <c r="AA2213" i="16"/>
  <c r="AA2214" i="16"/>
  <c r="AA2215" i="16"/>
  <c r="AA1902" i="16"/>
  <c r="AA951" i="16"/>
  <c r="AA1161" i="16"/>
  <c r="AA1591" i="16"/>
  <c r="AA28" i="16"/>
  <c r="AA1562" i="16"/>
  <c r="AA238" i="16"/>
  <c r="AA239" i="16"/>
  <c r="AA240" i="16"/>
  <c r="AA584" i="16"/>
  <c r="AA585" i="16"/>
  <c r="AA437" i="16"/>
  <c r="AA83" i="16"/>
  <c r="AA29" i="16"/>
  <c r="AA73" i="16"/>
  <c r="AA586" i="16"/>
  <c r="AA595" i="16"/>
  <c r="AA596" i="16"/>
  <c r="AA467" i="16"/>
  <c r="AA71" i="16"/>
  <c r="AA45" i="16"/>
  <c r="AA763" i="16"/>
  <c r="AA764" i="16"/>
  <c r="AA421" i="16"/>
  <c r="AA633" i="16"/>
  <c r="AA557" i="16"/>
  <c r="AA338" i="16"/>
  <c r="AA1201" i="16"/>
  <c r="AA56" i="16"/>
  <c r="AA16" i="16"/>
  <c r="AA25" i="16"/>
  <c r="AA429" i="16"/>
  <c r="AA33" i="16"/>
  <c r="AA1181" i="16"/>
  <c r="AA1182" i="16"/>
  <c r="AA1183" i="16"/>
  <c r="AA36" i="16"/>
  <c r="AA1491" i="16"/>
  <c r="AA1133" i="16"/>
  <c r="AA234" i="16"/>
  <c r="AA471" i="16"/>
  <c r="AA302" i="16"/>
  <c r="AA303" i="16"/>
  <c r="AA1628" i="16"/>
  <c r="AA148" i="16"/>
  <c r="AA1039" i="16"/>
  <c r="AA72" i="16"/>
  <c r="AA241" i="16"/>
  <c r="AA242" i="16"/>
  <c r="AA243" i="16"/>
  <c r="AA1514" i="16"/>
  <c r="AA1442" i="16"/>
  <c r="AA472" i="16"/>
  <c r="AA304" i="16"/>
  <c r="AA753" i="16"/>
  <c r="AA2216" i="16"/>
  <c r="AA156" i="16"/>
  <c r="AA157" i="16"/>
  <c r="AA248" i="16"/>
  <c r="AA1771" i="16"/>
  <c r="AA123" i="16"/>
  <c r="AA2217" i="16"/>
  <c r="AA468" i="16"/>
  <c r="AA1429" i="16"/>
  <c r="AA249" i="16"/>
  <c r="AA250" i="16"/>
  <c r="AA1430" i="16"/>
  <c r="AA2175" i="16"/>
  <c r="AA1051" i="16"/>
  <c r="AA1096" i="16"/>
  <c r="AA949" i="16"/>
  <c r="AA312" i="16"/>
  <c r="AA1482" i="16"/>
  <c r="AA313" i="16"/>
  <c r="AA422" i="16"/>
  <c r="AA314" i="16"/>
  <c r="AA315" i="16"/>
  <c r="AA316" i="16"/>
  <c r="AA7" i="16"/>
  <c r="AA8" i="16"/>
  <c r="AA124" i="16"/>
  <c r="AA1779" i="16"/>
  <c r="AA423" i="16"/>
  <c r="AA1277" i="16"/>
  <c r="AA1818" i="16"/>
  <c r="AA1049" i="16"/>
  <c r="AA562" i="16"/>
  <c r="AA1431" i="16"/>
  <c r="AA741" i="16"/>
  <c r="AA931" i="16"/>
  <c r="AA396" i="16"/>
  <c r="AA577" i="16"/>
  <c r="AA578" i="16"/>
  <c r="AA990" i="16"/>
  <c r="AA1714" i="16"/>
  <c r="AA1245" i="16"/>
  <c r="AA2218" i="16"/>
  <c r="AA352" i="16"/>
  <c r="AA353" i="16"/>
  <c r="AA354" i="16"/>
  <c r="AA136" i="16"/>
  <c r="AA125" i="16"/>
  <c r="AA1382" i="16"/>
  <c r="AA1633" i="16"/>
  <c r="AA317" i="16"/>
  <c r="AA2071" i="16"/>
  <c r="AA855" i="16"/>
  <c r="AA856" i="16"/>
  <c r="AA857" i="16"/>
  <c r="AA473" i="16"/>
  <c r="AA797" i="16"/>
  <c r="AA798" i="16"/>
  <c r="AA799" i="16"/>
  <c r="AA1174" i="16"/>
  <c r="AA1175" i="16"/>
  <c r="AA1176" i="16"/>
  <c r="AA1806" i="16"/>
  <c r="AA1807" i="16"/>
  <c r="AA1034" i="16"/>
  <c r="AA1035" i="16"/>
  <c r="AA1036" i="16"/>
  <c r="AA2080" i="16"/>
  <c r="AA809" i="16"/>
  <c r="AA810" i="16"/>
  <c r="AA811" i="16"/>
  <c r="AA1358" i="16"/>
  <c r="AA1359" i="16"/>
  <c r="AA87" i="16"/>
  <c r="AA88" i="16"/>
  <c r="AA514" i="16"/>
  <c r="AA515" i="16"/>
  <c r="AA516" i="16"/>
  <c r="AA2009" i="16"/>
  <c r="AA2010" i="16"/>
  <c r="AA1003" i="16"/>
  <c r="AA1004" i="16"/>
  <c r="AA1005" i="16"/>
  <c r="AA431" i="16"/>
  <c r="AA432" i="16"/>
  <c r="AA433" i="16"/>
  <c r="AA1155" i="16"/>
  <c r="AA1156" i="16"/>
  <c r="AA1157" i="16"/>
  <c r="AA683" i="16"/>
  <c r="AA684" i="16"/>
  <c r="AA685" i="16"/>
  <c r="AA780" i="16"/>
  <c r="AA781" i="16"/>
  <c r="AA782" i="16"/>
  <c r="AA706" i="16"/>
  <c r="AA707" i="16"/>
  <c r="AA708" i="16"/>
  <c r="AA1041" i="16"/>
  <c r="AA342" i="16"/>
  <c r="AA343" i="16"/>
  <c r="AA774" i="16"/>
  <c r="AA775" i="16"/>
  <c r="AA776" i="16"/>
  <c r="AA911" i="16"/>
  <c r="AA912" i="16"/>
  <c r="AA388" i="16"/>
  <c r="AA389" i="16"/>
  <c r="AA390" i="16"/>
  <c r="AA546" i="16"/>
  <c r="AA547" i="16"/>
  <c r="AA1752" i="16"/>
  <c r="AA1753" i="16"/>
  <c r="AA563" i="16"/>
  <c r="AA564" i="16"/>
  <c r="AA565" i="16"/>
  <c r="AA566" i="16"/>
  <c r="AA1638" i="16"/>
  <c r="AA1639" i="16"/>
  <c r="AA1060" i="16"/>
  <c r="AA1061" i="16"/>
  <c r="AA1062" i="16"/>
  <c r="AA722" i="16"/>
  <c r="AA723" i="16"/>
  <c r="AA724" i="16"/>
  <c r="AA677" i="16"/>
  <c r="AA678" i="16"/>
  <c r="AA140" i="16"/>
  <c r="AA1916" i="16"/>
  <c r="AA1715" i="16"/>
  <c r="AA1716" i="16"/>
  <c r="AA1717" i="16"/>
  <c r="AA886" i="16"/>
  <c r="AA887" i="16"/>
  <c r="AA888" i="16"/>
  <c r="AA1011" i="16"/>
  <c r="AA1012" i="16"/>
  <c r="AA1013" i="16"/>
  <c r="AA1785" i="16"/>
  <c r="AA104" i="16"/>
  <c r="AA1699" i="16"/>
  <c r="AA1308" i="16"/>
  <c r="AA1247" i="16"/>
  <c r="AA1870" i="16"/>
  <c r="AA2219" i="16"/>
  <c r="AA2220" i="16"/>
  <c r="AA850" i="16"/>
  <c r="AA1556" i="16"/>
  <c r="AA1743" i="16"/>
  <c r="AA2143" i="16"/>
  <c r="AA1812" i="16"/>
  <c r="AA1378" i="16"/>
  <c r="AA1912" i="16"/>
  <c r="AA1727" i="16"/>
  <c r="AA2077" i="16"/>
  <c r="AA1260" i="16"/>
  <c r="AA1997" i="16"/>
  <c r="AA1940" i="16"/>
  <c r="AA1512" i="16"/>
  <c r="AA1873" i="16"/>
  <c r="AA2070" i="16"/>
  <c r="AA2125" i="16"/>
  <c r="AA1184" i="16"/>
  <c r="AA1765" i="16"/>
  <c r="AA1722" i="16"/>
  <c r="AA1859" i="16"/>
  <c r="AA1786" i="16"/>
  <c r="AA1921" i="16"/>
  <c r="AA2221" i="16"/>
  <c r="AA2073" i="16"/>
  <c r="AA1344" i="16"/>
  <c r="AA2061" i="16"/>
  <c r="AA1917" i="16"/>
  <c r="AA1918" i="16"/>
  <c r="AA548" i="16"/>
  <c r="AA725" i="16"/>
  <c r="AA1808" i="16"/>
  <c r="AA812" i="16"/>
  <c r="AA813" i="16"/>
  <c r="AA889" i="16"/>
  <c r="AA105" i="16"/>
  <c r="AA1841" i="16"/>
  <c r="AA1842" i="16"/>
  <c r="AA1191" i="16"/>
  <c r="AA1192" i="16"/>
  <c r="AA34" i="16"/>
  <c r="AA35" i="16"/>
  <c r="AA391" i="16"/>
  <c r="AA426" i="16"/>
  <c r="AA913" i="16"/>
  <c r="AA474" i="16"/>
  <c r="AA1042" i="16"/>
  <c r="AA1360" i="16"/>
  <c r="AA1006" i="16"/>
  <c r="AA1007" i="16"/>
  <c r="AA800" i="16"/>
  <c r="AA801" i="16"/>
  <c r="AA802" i="16"/>
  <c r="AA803" i="16"/>
  <c r="AA89" i="16"/>
  <c r="AA90" i="16"/>
  <c r="AA91" i="16"/>
  <c r="AA2011" i="16"/>
  <c r="AA686" i="16"/>
  <c r="AA858" i="16"/>
  <c r="AA1640" i="16"/>
  <c r="AA517" i="16"/>
  <c r="AA518" i="16"/>
  <c r="AA519" i="16"/>
  <c r="AA434" i="16"/>
  <c r="AA344" i="16"/>
  <c r="AA1037" i="16"/>
  <c r="AA1038" i="16"/>
  <c r="AA1063" i="16"/>
  <c r="AA1718" i="16"/>
  <c r="AA1177" i="16"/>
  <c r="AA1178" i="16"/>
  <c r="AA679" i="16"/>
  <c r="AA2081" i="16"/>
  <c r="AA141" i="16"/>
  <c r="AA142" i="16"/>
  <c r="AA783" i="16"/>
  <c r="AA709" i="16"/>
  <c r="AA1158" i="16"/>
  <c r="AA1159" i="16"/>
  <c r="AA1754" i="16"/>
  <c r="AA1014" i="16"/>
  <c r="AA567" i="16"/>
  <c r="AA568" i="16"/>
  <c r="AA569" i="16"/>
  <c r="AA570" i="16"/>
  <c r="AA777" i="16"/>
  <c r="AA1248" i="16"/>
  <c r="AA531" i="16"/>
  <c r="AA1521" i="16"/>
  <c r="AA1185" i="16"/>
  <c r="AA1186" i="16"/>
  <c r="AA1187" i="16"/>
  <c r="AA1188" i="16"/>
  <c r="AA1998" i="16"/>
  <c r="AA1999" i="16"/>
  <c r="AA1193" i="16"/>
  <c r="AA795" i="16"/>
  <c r="AA2222" i="16"/>
  <c r="AA2223" i="16"/>
  <c r="AA2224" i="16"/>
  <c r="AA1309" i="16"/>
  <c r="AA1310" i="16"/>
  <c r="AA1311" i="16"/>
  <c r="AA1312" i="16"/>
  <c r="AA1313" i="16"/>
  <c r="AA1730" i="16"/>
  <c r="AA1833" i="16"/>
  <c r="AA851" i="16"/>
  <c r="AA2225" i="16"/>
  <c r="AA1787" i="16"/>
  <c r="AA1941" i="16"/>
  <c r="AA1874" i="16"/>
  <c r="AA1875" i="16"/>
  <c r="AA1813" i="16"/>
  <c r="AA143" i="16"/>
  <c r="AA1010" i="16"/>
  <c r="AA1601" i="16"/>
  <c r="AA1559" i="16"/>
  <c r="AA2226" i="16"/>
  <c r="AA1496" i="16"/>
  <c r="AA1509" i="16"/>
  <c r="AA2105" i="16"/>
  <c r="AA2104" i="16"/>
  <c r="AA1933" i="16"/>
  <c r="AA201" i="16"/>
  <c r="AA1816" i="16"/>
  <c r="AA1537" i="16"/>
  <c r="AA2227" i="16"/>
  <c r="AA2141" i="16"/>
  <c r="AA2142" i="16"/>
  <c r="AA2012" i="16"/>
  <c r="AA84" i="16"/>
  <c r="AA699" i="16"/>
  <c r="AA816" i="16"/>
  <c r="AA1887" i="16"/>
  <c r="AA1888" i="16"/>
  <c r="AA1146" i="16"/>
  <c r="AA682" i="16"/>
  <c r="AA712" i="16"/>
  <c r="AA1525" i="16"/>
  <c r="AA591" i="16"/>
  <c r="AA2139" i="16"/>
  <c r="AA817" i="16"/>
  <c r="AA2110" i="16"/>
  <c r="AA2024" i="16"/>
  <c r="AA1518" i="16"/>
  <c r="AA771" i="16"/>
  <c r="AA772" i="16"/>
  <c r="AA773" i="16"/>
  <c r="AA457" i="16"/>
  <c r="AA458" i="16"/>
  <c r="AA885" i="16"/>
  <c r="AA632" i="16"/>
  <c r="AA1268" i="16"/>
  <c r="AA613" i="16"/>
  <c r="AA593" i="16"/>
  <c r="AA1669" i="16"/>
  <c r="AA1391" i="16"/>
  <c r="AA1670" i="16"/>
  <c r="AA1044" i="16"/>
  <c r="AA666" i="16"/>
  <c r="AA1728" i="16"/>
  <c r="AA1059" i="16"/>
  <c r="AA1165" i="16"/>
  <c r="AA1198" i="16"/>
  <c r="AA1407" i="16"/>
  <c r="AA1113" i="16"/>
  <c r="AA479" i="16"/>
  <c r="AA1570" i="16"/>
  <c r="AA1571" i="16"/>
  <c r="AA1572" i="16"/>
  <c r="AA2163" i="16"/>
  <c r="AA2028" i="16"/>
  <c r="AA690" i="16"/>
  <c r="AA1092" i="16"/>
  <c r="AA667" i="16"/>
  <c r="AA1297" i="16"/>
  <c r="AA1102" i="16"/>
  <c r="AA1815" i="16"/>
  <c r="AA1045" i="16"/>
  <c r="AA1046" i="16"/>
  <c r="AA832" i="16"/>
  <c r="AA1746" i="16"/>
  <c r="AA1756" i="16"/>
  <c r="AA78" i="16"/>
  <c r="AA1526" i="16"/>
  <c r="AA968" i="16"/>
  <c r="AA2228" i="16"/>
  <c r="AA827" i="16"/>
  <c r="AA1278" i="16"/>
  <c r="AA1361" i="16"/>
  <c r="AA961" i="16"/>
  <c r="AA1362" i="16"/>
  <c r="AA1803" i="16"/>
  <c r="AA2229" i="16"/>
  <c r="AA2230" i="16"/>
  <c r="AA2231" i="16"/>
  <c r="AA906" i="16"/>
  <c r="AA865" i="16"/>
  <c r="AA1589" i="16"/>
  <c r="AA818" i="16"/>
  <c r="AA819" i="16"/>
  <c r="AA964" i="16"/>
  <c r="AA820" i="16"/>
  <c r="AA268" i="16"/>
  <c r="AA1825" i="16"/>
  <c r="AA1704" i="16"/>
  <c r="AA2147" i="16"/>
  <c r="AA594" i="16"/>
  <c r="AA1505" i="16"/>
  <c r="AA1579" i="16"/>
  <c r="AA1298" i="16"/>
  <c r="AA1757" i="16"/>
  <c r="AA1758" i="16"/>
  <c r="AA668" i="16"/>
  <c r="AA305" i="16"/>
  <c r="AA1747" i="16"/>
  <c r="AA581" i="16"/>
  <c r="AA590" i="16"/>
  <c r="AA1438" i="16"/>
  <c r="AA1830" i="16"/>
  <c r="AA1790" i="16"/>
  <c r="AA1630" i="16"/>
  <c r="AA1608" i="16"/>
  <c r="AA1272" i="16"/>
  <c r="AA1463" i="16"/>
  <c r="AA2232" i="16"/>
  <c r="AA1599" i="16"/>
  <c r="AA2233" i="16"/>
  <c r="AA1632" i="16"/>
  <c r="AA1472" i="16"/>
  <c r="AA1993" i="16"/>
  <c r="AA2172" i="16"/>
  <c r="AA2234" i="16"/>
  <c r="AA2109" i="16"/>
  <c r="AA2235" i="16"/>
  <c r="AA909" i="16"/>
  <c r="AA147" i="16"/>
  <c r="AA96" i="16"/>
  <c r="AA695" i="16"/>
  <c r="AA1221" i="16"/>
  <c r="AA608" i="16"/>
  <c r="AA1098" i="16"/>
  <c r="AA629" i="16"/>
  <c r="AA484" i="16"/>
  <c r="AA945" i="16"/>
  <c r="AA1076" i="16"/>
  <c r="AA1355" i="16"/>
  <c r="AA498" i="16"/>
  <c r="AA503" i="16"/>
  <c r="AA129" i="16"/>
  <c r="AA1099" i="16"/>
  <c r="AA485" i="16"/>
  <c r="AA946" i="16"/>
  <c r="AA696" i="16"/>
  <c r="AA609" i="16"/>
  <c r="AA504" i="16"/>
  <c r="AA325" i="16"/>
  <c r="AA130" i="16"/>
  <c r="AA97" i="16"/>
  <c r="AA867" i="16"/>
  <c r="AA1100" i="16"/>
  <c r="AA630" i="16"/>
  <c r="AA361" i="16"/>
  <c r="AA486" i="16"/>
  <c r="AA1077" i="16"/>
  <c r="AA499" i="16"/>
  <c r="AA697" i="16"/>
  <c r="AA910" i="16"/>
  <c r="AA991" i="16"/>
  <c r="AA326" i="16"/>
  <c r="AA131" i="16"/>
  <c r="AA98" i="16"/>
  <c r="AA631" i="16"/>
  <c r="AA362" i="16"/>
  <c r="AA500" i="16"/>
  <c r="AA614" i="16"/>
  <c r="AA1230" i="16"/>
  <c r="AA1950" i="16"/>
  <c r="AA1960" i="16"/>
  <c r="AA1651" i="16"/>
  <c r="AA1239" i="16"/>
  <c r="AA149" i="16"/>
  <c r="AA274" i="16"/>
  <c r="AA868" i="16"/>
  <c r="AA869" i="16"/>
  <c r="AA870" i="16"/>
  <c r="AA100" i="16"/>
  <c r="AA967" i="16"/>
  <c r="AA610" i="16"/>
  <c r="AA1240" i="16"/>
  <c r="AA871" i="16"/>
  <c r="AA32" i="16"/>
  <c r="AA174" i="16"/>
  <c r="AA702" i="16"/>
  <c r="AA1028" i="16"/>
  <c r="AA2136" i="16"/>
  <c r="AA505" i="16"/>
  <c r="AA99" i="16"/>
  <c r="AA852" i="16"/>
  <c r="AA327" i="16"/>
  <c r="AA1142" i="16"/>
  <c r="AA363" i="16"/>
  <c r="AA1376" i="16"/>
  <c r="AA1093" i="16"/>
  <c r="AA509" i="16"/>
  <c r="AA872" i="16"/>
  <c r="AA1418" i="16"/>
  <c r="AA703" i="16"/>
  <c r="AA704" i="16"/>
  <c r="AA1029" i="16"/>
  <c r="AA1030" i="16"/>
  <c r="AA2137" i="16"/>
  <c r="AA2138" i="16"/>
  <c r="AA1094" i="16"/>
  <c r="AA1095" i="16"/>
  <c r="AA1326" i="16"/>
  <c r="AA1327" i="16"/>
  <c r="AA1328" i="16"/>
  <c r="AA938" i="16"/>
  <c r="AA939" i="16"/>
  <c r="AA940" i="16"/>
  <c r="AA1356" i="16"/>
  <c r="AA1143" i="16"/>
  <c r="AA1144" i="16"/>
  <c r="AA1078" i="16"/>
  <c r="AA853" i="16"/>
  <c r="AA854" i="16"/>
  <c r="AA510" i="16"/>
  <c r="AA511" i="16"/>
  <c r="AA172" i="16"/>
  <c r="AA173" i="16"/>
  <c r="AA1419" i="16"/>
  <c r="AA1420" i="16"/>
  <c r="AA615" i="16"/>
  <c r="AA2236" i="16"/>
  <c r="AA1101" i="16"/>
  <c r="AA150" i="16"/>
  <c r="AA275" i="16"/>
  <c r="AA1602" i="16"/>
  <c r="AA1661" i="16"/>
  <c r="AA1871" i="16"/>
  <c r="AA1662" i="16"/>
  <c r="AA2151" i="16"/>
  <c r="AA2237" i="16"/>
  <c r="AA306" i="16"/>
  <c r="AA2238" i="16"/>
  <c r="AA1528" i="16"/>
  <c r="AA2239" i="16"/>
  <c r="AA2086" i="16"/>
  <c r="AA2240" i="16"/>
  <c r="AA2007" i="16"/>
  <c r="AA1733" i="16"/>
  <c r="AA1766" i="16"/>
  <c r="AA2002" i="16"/>
  <c r="AA2169" i="16"/>
  <c r="AA1903" i="16"/>
  <c r="AA1760" i="16"/>
  <c r="AA1737" i="16"/>
  <c r="AA1677" i="16"/>
  <c r="AA2119" i="16"/>
  <c r="AA2148" i="16"/>
  <c r="AA2241" i="16"/>
  <c r="AA2149" i="16"/>
  <c r="AA2067" i="16"/>
  <c r="AA1957" i="16"/>
  <c r="AA2122" i="16"/>
  <c r="AA1434" i="16"/>
  <c r="AA2133" i="16"/>
  <c r="AA2242" i="16"/>
  <c r="AA1792" i="16"/>
  <c r="AA2093" i="16"/>
  <c r="AA1735" i="16"/>
  <c r="AA1224" i="16"/>
  <c r="AA1910" i="16"/>
  <c r="AA1911" i="16"/>
  <c r="AA2243" i="16"/>
  <c r="AA2244" i="16"/>
  <c r="AA2180" i="16"/>
  <c r="AA2245" i="16"/>
  <c r="AA2246" i="16"/>
  <c r="AA2247" i="16"/>
  <c r="AA1799" i="16"/>
  <c r="AA2248" i="16"/>
  <c r="AA2249" i="16"/>
  <c r="AA1685" i="16"/>
  <c r="AA1289" i="16"/>
  <c r="AA1671" i="16"/>
  <c r="AA2250" i="16"/>
  <c r="AA2251" i="16"/>
  <c r="AA2252" i="16"/>
  <c r="AA2146" i="16"/>
  <c r="AA2097" i="16"/>
  <c r="AA2157" i="16"/>
  <c r="AA1288" i="16"/>
  <c r="AA636" i="16"/>
  <c r="AA1797" i="16"/>
  <c r="AA1675" i="16"/>
  <c r="AA1939" i="16"/>
  <c r="AA1104" i="16"/>
  <c r="AA2127" i="16"/>
  <c r="AA1517" i="16"/>
  <c r="AA1287" i="16"/>
  <c r="AA1209" i="16"/>
  <c r="AA120" i="16"/>
  <c r="AA1336" i="16"/>
  <c r="AA1380" i="16"/>
  <c r="AA2089" i="16"/>
  <c r="AA408" i="16"/>
  <c r="AA189" i="16"/>
  <c r="AA1759" i="16"/>
  <c r="AA1089" i="16"/>
  <c r="AA979" i="16"/>
  <c r="AA980" i="16"/>
  <c r="AA1468" i="16"/>
  <c r="AA1415" i="16"/>
  <c r="AA1944" i="16"/>
  <c r="AA1461" i="16"/>
  <c r="AA1462" i="16"/>
  <c r="AA2253" i="16"/>
  <c r="AA1031" i="16"/>
  <c r="AA480" i="16"/>
  <c r="AA481" i="16"/>
  <c r="AA482" i="16"/>
  <c r="AA483" i="16"/>
  <c r="AA507" i="16"/>
  <c r="AA508" i="16"/>
  <c r="AA2254" i="16"/>
  <c r="AA2255" i="16"/>
  <c r="AA1618" i="16"/>
  <c r="AA1421" i="16"/>
  <c r="AA1516" i="16"/>
  <c r="AA1249" i="16"/>
  <c r="AA1250" i="16"/>
  <c r="AA372" i="16"/>
  <c r="AA373" i="16"/>
  <c r="AA1930" i="16"/>
  <c r="AA1389" i="16"/>
  <c r="AA746" i="16"/>
  <c r="AA438" i="16"/>
  <c r="AA1889" i="16"/>
  <c r="AA307" i="16"/>
  <c r="AA1369" i="16"/>
  <c r="AA2256" i="16"/>
  <c r="AA915" i="16"/>
  <c r="AA2257" i="16"/>
  <c r="AA2258" i="16"/>
  <c r="AA2158" i="16"/>
  <c r="AA637" i="16"/>
  <c r="AA2128" i="16"/>
  <c r="AA2259" i="16"/>
  <c r="AA2260" i="16"/>
  <c r="AA2261" i="16"/>
  <c r="AA2134" i="16"/>
  <c r="AA728" i="16"/>
  <c r="AA2170" i="16"/>
  <c r="AA880" i="16"/>
  <c r="AA1466" i="16"/>
  <c r="AA1843" i="16"/>
  <c r="AA2262" i="16"/>
  <c r="AA86" i="16"/>
  <c r="AA2083" i="16"/>
  <c r="AA1719" i="16"/>
  <c r="AA2263" i="16"/>
  <c r="AA1458" i="16"/>
  <c r="AA866" i="16"/>
  <c r="AA2076" i="16"/>
  <c r="AA2123" i="16"/>
  <c r="AA405" i="16"/>
  <c r="AA864" i="16"/>
  <c r="AA1653" i="16"/>
  <c r="AA1164" i="16"/>
  <c r="AA742" i="16"/>
  <c r="AA1290" i="16"/>
  <c r="AA778" i="16"/>
  <c r="AA744" i="16"/>
  <c r="AA897" i="16"/>
  <c r="AA2264" i="16"/>
  <c r="AA2265" i="16"/>
  <c r="AA158" i="16"/>
  <c r="AA159" i="16"/>
  <c r="AA1942" i="16"/>
  <c r="AA297" i="16"/>
  <c r="AA841" i="16"/>
  <c r="AA1858" i="16"/>
  <c r="AA638" i="16"/>
  <c r="AA2132" i="16"/>
  <c r="AA1598" i="16"/>
  <c r="AA1798" i="16"/>
  <c r="AA1882" i="16"/>
  <c r="AA424" i="16"/>
  <c r="AA425" i="16"/>
  <c r="AA9" i="16"/>
  <c r="AA1052" i="16"/>
  <c r="AA2162" i="16"/>
  <c r="AA2082" i="16"/>
  <c r="AA2150" i="16"/>
  <c r="AA2094" i="16"/>
  <c r="AA1837" i="16"/>
  <c r="AA256" i="16"/>
  <c r="AA1331" i="16"/>
  <c r="AA1660" i="16"/>
  <c r="AA364" i="16"/>
  <c r="AA954" i="16"/>
  <c r="AA2013" i="16"/>
  <c r="AA2266" i="16"/>
  <c r="AA1755" i="16"/>
  <c r="AA558" i="16"/>
  <c r="AA448" i="16"/>
  <c r="AA860" i="16"/>
  <c r="AA1854" i="16"/>
  <c r="AA137" i="16"/>
  <c r="AA192" i="16"/>
  <c r="AA561" i="16"/>
  <c r="AA743" i="16"/>
  <c r="AA814" i="16"/>
  <c r="AA815" i="16"/>
  <c r="AA2267" i="16"/>
  <c r="AA2120" i="16"/>
  <c r="AA914" i="16"/>
  <c r="AA346" i="16"/>
  <c r="AA443" i="16"/>
  <c r="AA444" i="16"/>
  <c r="AA260" i="16"/>
  <c r="AA445" i="16"/>
  <c r="AA446" i="16"/>
  <c r="AA293" i="16"/>
  <c r="AA1674" i="16"/>
  <c r="AA1682" i="16"/>
  <c r="AA1683" i="16"/>
  <c r="AA2126" i="16"/>
  <c r="AA2268" i="16"/>
  <c r="AA1964" i="16"/>
  <c r="AA792" i="16"/>
  <c r="AA793" i="16"/>
  <c r="AA1547" i="16"/>
  <c r="AA2269" i="16"/>
  <c r="AA1686" i="16"/>
  <c r="AA1687" i="16"/>
  <c r="AA1688" i="16"/>
  <c r="AA2270" i="16"/>
  <c r="AA2102" i="16"/>
  <c r="AA2271" i="16"/>
  <c r="AA2272" i="16"/>
  <c r="AA1655" i="16"/>
  <c r="AA732" i="16"/>
  <c r="AA1678" i="16"/>
  <c r="AA973" i="16"/>
  <c r="AA974" i="16"/>
  <c r="AA1622" i="16"/>
  <c r="AA1084" i="16"/>
  <c r="AA2273" i="16"/>
  <c r="AA1196" i="16"/>
  <c r="AA2087" i="16"/>
  <c r="AA1533" i="16"/>
  <c r="AA2274" i="16"/>
  <c r="AA1885" i="16"/>
  <c r="AA2275" i="16"/>
  <c r="AA1483" i="16"/>
  <c r="AA1914" i="16"/>
  <c r="AA292" i="16"/>
  <c r="AA1448" i="16"/>
  <c r="AA2276" i="16"/>
  <c r="AA2277" i="16"/>
  <c r="AA1689" i="16"/>
  <c r="AA2278" i="16"/>
  <c r="AA1335" i="16"/>
  <c r="AA534" i="16"/>
  <c r="AA535" i="16"/>
  <c r="AA536" i="16"/>
  <c r="AA537" i="16"/>
  <c r="AA538" i="16"/>
  <c r="AA539" i="16"/>
  <c r="AA1943" i="16"/>
  <c r="AA1333" i="16"/>
  <c r="AA409" i="16"/>
  <c r="AA410" i="16"/>
  <c r="AA411" i="16"/>
  <c r="AA412" i="16"/>
  <c r="AA413" i="16"/>
  <c r="AA414" i="16"/>
  <c r="AA415" i="16"/>
  <c r="AA416" i="16"/>
  <c r="AA417" i="16"/>
  <c r="AA418" i="16"/>
  <c r="AA877" i="16"/>
  <c r="AA807" i="16"/>
  <c r="AA1690" i="16"/>
  <c r="AA1652" i="16"/>
  <c r="AA2154" i="16"/>
  <c r="AA1691" i="16"/>
  <c r="AA2003" i="16"/>
  <c r="AA1658" i="16"/>
  <c r="AA2279" i="16"/>
  <c r="AA2280" i="16"/>
  <c r="AA1927" i="16"/>
  <c r="AA1684" i="16"/>
  <c r="AA2281" i="16"/>
  <c r="AA1692" i="16"/>
  <c r="AA1820" i="16"/>
  <c r="AA2282" i="16"/>
  <c r="AA2283" i="16"/>
  <c r="AA164" i="16"/>
  <c r="AA165" i="16"/>
  <c r="AA166" i="16"/>
  <c r="AA167" i="16"/>
  <c r="AA401" i="16"/>
  <c r="AA402" i="16"/>
  <c r="AA403" i="16"/>
  <c r="AA2072" i="16"/>
  <c r="AA2284" i="16"/>
  <c r="AA1913" i="16"/>
  <c r="AA222" i="16"/>
  <c r="AA30" i="16"/>
  <c r="AA101" i="16"/>
  <c r="AA102" i="16"/>
  <c r="AA103" i="16"/>
  <c r="AA114" i="16"/>
  <c r="AA115" i="16"/>
  <c r="AA2066" i="16"/>
  <c r="AA2018" i="16"/>
  <c r="AA356" i="16"/>
  <c r="AA116" i="16"/>
  <c r="AA107" i="16"/>
  <c r="AA108" i="16"/>
  <c r="AA1626" i="16"/>
  <c r="AA109" i="16"/>
  <c r="AA251" i="16"/>
  <c r="AA252" i="16"/>
  <c r="AA253" i="16"/>
  <c r="AA2285" i="16"/>
  <c r="AA254" i="16"/>
  <c r="AA255" i="16"/>
  <c r="AA1762" i="16"/>
  <c r="AA1763" i="16"/>
  <c r="AA1764" i="16"/>
  <c r="AA447" i="16"/>
  <c r="AA540" i="16"/>
  <c r="AA541" i="16"/>
  <c r="AA882" i="16"/>
  <c r="AA978" i="16"/>
  <c r="AA1693" i="16"/>
  <c r="AA1694" i="16"/>
  <c r="AA404" i="16"/>
  <c r="AA1616" i="16"/>
  <c r="AA340" i="16"/>
  <c r="AA341" i="16"/>
  <c r="AA2286" i="16"/>
  <c r="AA2287" i="16"/>
  <c r="AA1919" i="16"/>
  <c r="AA333" i="16"/>
  <c r="AA1848" i="16"/>
  <c r="AA2288" i="16"/>
  <c r="AA2289" i="16"/>
  <c r="AA2290" i="16"/>
  <c r="AA2091" i="16"/>
  <c r="AA2121" i="16"/>
  <c r="AA1664" i="16"/>
  <c r="AA1969" i="16"/>
  <c r="AA2032" i="16"/>
  <c r="AA2159" i="16"/>
  <c r="AA1713" i="16"/>
  <c r="AA1343" i="16"/>
  <c r="AA2038" i="16"/>
  <c r="AA1970" i="16"/>
  <c r="AA1354" i="16"/>
  <c r="AA2039" i="16"/>
  <c r="AA1706" i="16"/>
  <c r="AA1672" i="16"/>
  <c r="AA1554" i="16"/>
  <c r="AA1695" i="16"/>
  <c r="AA1374" i="16"/>
  <c r="AA1631" i="16"/>
  <c r="AA1372" i="16"/>
  <c r="AA1665" i="16"/>
  <c r="AA1666" i="16"/>
  <c r="AA1635" i="16"/>
  <c r="AA1895" i="16"/>
  <c r="AA1307" i="16"/>
  <c r="AA873" i="16"/>
  <c r="AA1936" i="16"/>
  <c r="AA1225" i="16"/>
  <c r="AA1624" i="16"/>
  <c r="AA1775" i="16"/>
  <c r="AA1549" i="16"/>
  <c r="AA986" i="16"/>
  <c r="AA956" i="16"/>
  <c r="AA1621" i="16"/>
  <c r="AA1776" i="16"/>
  <c r="AA1860" i="16"/>
  <c r="AA987" i="16"/>
  <c r="AA988" i="16"/>
  <c r="AA989" i="16"/>
  <c r="AA957" i="16"/>
  <c r="AA958" i="16"/>
  <c r="AA959" i="16"/>
  <c r="AA2291" i="16"/>
  <c r="AA2292" i="16"/>
  <c r="AA2040" i="16"/>
  <c r="AA2041" i="16"/>
  <c r="AA2042" i="16"/>
  <c r="AA2293" i="16"/>
  <c r="AA2171" i="16"/>
  <c r="AA2043" i="16"/>
  <c r="AA1696" i="16"/>
  <c r="AA1623" i="16"/>
  <c r="AA1849" i="16"/>
  <c r="AA1979" i="16"/>
  <c r="AA1412" i="16"/>
  <c r="AA1742" i="16"/>
  <c r="AA1410" i="16"/>
  <c r="AA1237" i="16"/>
  <c r="AA1238" i="16"/>
  <c r="AA1269" i="16"/>
  <c r="AA1264" i="16"/>
  <c r="AA1255" i="16"/>
  <c r="AA1793" i="16"/>
  <c r="AA1794" i="16"/>
  <c r="AA2294" i="16"/>
  <c r="AA1546" i="16"/>
  <c r="AA1375" i="16"/>
  <c r="AA2295" i="16"/>
  <c r="AA1697" i="16"/>
  <c r="AA1698" i="16"/>
  <c r="AA1636" i="16"/>
  <c r="AA1641" i="16"/>
  <c r="AA1667" i="16"/>
  <c r="AA1778" i="16"/>
  <c r="AA1985" i="16"/>
  <c r="AA1323" i="16"/>
  <c r="AA1988" i="16"/>
  <c r="AA1821" i="16"/>
  <c r="AA1265" i="16"/>
  <c r="AA994" i="16"/>
  <c r="AA823" i="16"/>
  <c r="AA1132" i="16"/>
  <c r="AA1381" i="16"/>
  <c r="AA1592" i="16"/>
  <c r="AA1217" i="16"/>
  <c r="AA1189" i="16"/>
  <c r="AA2044" i="16"/>
  <c r="AA1465" i="16"/>
  <c r="AA2045" i="16"/>
  <c r="AA1663" i="16"/>
  <c r="AA1259" i="16"/>
  <c r="AA1492" i="16"/>
  <c r="AA983" i="16"/>
  <c r="AA1455" i="16"/>
  <c r="AA960" i="16"/>
  <c r="AA1811" i="16"/>
  <c r="AA2296" i="16"/>
  <c r="AA2046" i="16"/>
  <c r="AA2047" i="16"/>
  <c r="AA2297" i="16"/>
  <c r="AA2298" i="16"/>
  <c r="AA1726" i="16"/>
  <c r="AA1935" i="16"/>
  <c r="AA2299" i="16"/>
  <c r="AA1729" i="16"/>
  <c r="AA218" i="16"/>
  <c r="AA1971" i="16"/>
  <c r="AA1972" i="16"/>
  <c r="AA2179" i="16"/>
  <c r="AA1329" i="16"/>
  <c r="AA380" i="16"/>
  <c r="AA381" i="16"/>
  <c r="AA2048" i="16"/>
  <c r="AA2300" i="16"/>
  <c r="AA2144" i="16"/>
  <c r="AA1906" i="16"/>
  <c r="AA2153" i="16"/>
  <c r="AA219" i="16"/>
  <c r="AA220" i="16"/>
  <c r="AA1423" i="16"/>
  <c r="AA1637" i="16"/>
  <c r="AA2049" i="16"/>
  <c r="AA2027" i="16"/>
  <c r="AA1959" i="16"/>
  <c r="AA2014" i="16"/>
  <c r="AA1958" i="16"/>
  <c r="AA1947" i="16"/>
  <c r="AA1973" i="16"/>
  <c r="AA2050" i="16"/>
  <c r="AA41" i="16"/>
  <c r="AA42" i="16"/>
  <c r="AA43" i="16"/>
  <c r="AA2301" i="16"/>
  <c r="AA44" i="16"/>
  <c r="AA2165" i="16"/>
  <c r="AA2034" i="16"/>
  <c r="AA2302" i="16"/>
  <c r="AA1515" i="16"/>
  <c r="AA2116" i="16"/>
  <c r="AA1834" i="16"/>
  <c r="AA1322" i="16"/>
  <c r="AA1961" i="16"/>
  <c r="AA1907" i="16"/>
  <c r="AA2051" i="16"/>
  <c r="AA1424" i="16"/>
  <c r="AA2303" i="16"/>
  <c r="AA1909" i="16"/>
  <c r="AA1330" i="16"/>
  <c r="AA2033" i="16"/>
  <c r="AA67" i="16"/>
  <c r="AA68" i="16"/>
  <c r="AA1791" i="16"/>
  <c r="AA2052" i="16"/>
  <c r="AA1456" i="16"/>
  <c r="AA1594" i="16"/>
  <c r="AA69" i="16"/>
  <c r="AA382" i="16"/>
  <c r="AA85" i="16"/>
  <c r="AA2304" i="16"/>
  <c r="AA70" i="16"/>
  <c r="AA669" i="16"/>
  <c r="AA1703" i="16"/>
  <c r="AA617" i="16"/>
  <c r="AA580" i="16"/>
  <c r="AA618" i="16"/>
  <c r="AA619" i="16"/>
  <c r="AA620" i="16"/>
  <c r="AA621" i="16"/>
  <c r="AA622" i="16"/>
  <c r="AA1563" i="16"/>
  <c r="AA676" i="16"/>
  <c r="AA670" i="16"/>
  <c r="AA828" i="16"/>
  <c r="AA829" i="16"/>
  <c r="AA830" i="16"/>
  <c r="AA244" i="16"/>
  <c r="AA245" i="16"/>
  <c r="AA1777" i="16"/>
  <c r="AA1700" i="16"/>
  <c r="AA1548" i="16"/>
  <c r="AA844" i="16"/>
  <c r="AA845" i="16"/>
  <c r="AA1166" i="16"/>
  <c r="AA2053" i="16"/>
  <c r="AA2305" i="16"/>
  <c r="AA377" i="16"/>
  <c r="AA378" i="16"/>
  <c r="AA379" i="16"/>
  <c r="AA229" i="16"/>
  <c r="AA230" i="16"/>
  <c r="AA231" i="16"/>
  <c r="AA1795" i="16"/>
  <c r="AA1891" i="16"/>
  <c r="AA1923" i="16"/>
  <c r="AA2054" i="16"/>
  <c r="AA2306" i="16"/>
  <c r="AA1839" i="16"/>
  <c r="AA1945" i="16"/>
  <c r="AA1974" i="16"/>
  <c r="AA1835" i="16"/>
  <c r="AA1085" i="16"/>
  <c r="AA1086" i="16"/>
  <c r="AA1422" i="16"/>
  <c r="AA1145" i="16"/>
  <c r="AA1057" i="16"/>
  <c r="AA1584" i="16"/>
  <c r="AA1773" i="16"/>
  <c r="AA1789" i="16"/>
  <c r="AA1883" i="16"/>
  <c r="AA1058" i="16"/>
  <c r="AA1119" i="16"/>
  <c r="AA1840" i="16"/>
  <c r="AA846" i="16"/>
  <c r="AA1254" i="16"/>
  <c r="AA322" i="16"/>
  <c r="AA2036" i="16"/>
  <c r="AA2037" i="16"/>
  <c r="AA1527" i="16"/>
  <c r="AA1975" i="16"/>
  <c r="AA1984" i="16"/>
  <c r="AA1220" i="16"/>
  <c r="AA1894" i="16"/>
  <c r="AA1634" i="16"/>
  <c r="AA2307" i="16"/>
  <c r="AA2173" i="16"/>
  <c r="AA1929" i="16"/>
  <c r="AA2166" i="16"/>
  <c r="AA2023" i="16"/>
  <c r="AA1926" i="16"/>
  <c r="AA1836" i="16"/>
  <c r="AA1334" i="16"/>
  <c r="AA2308" i="16"/>
  <c r="AA1976" i="16"/>
  <c r="AA1908" i="16"/>
  <c r="AA1781" i="16"/>
  <c r="AA2000" i="16"/>
  <c r="AA2129" i="16"/>
  <c r="AA1657" i="16"/>
  <c r="AA1829" i="16"/>
  <c r="AA1955" i="16"/>
  <c r="AA2035" i="16"/>
  <c r="AA1977" i="16"/>
  <c r="AA2309" i="16"/>
  <c r="AA2310" i="16"/>
  <c r="AA2031" i="16"/>
  <c r="AA2055" i="16"/>
  <c r="AA2030" i="16"/>
  <c r="AA1968" i="16"/>
  <c r="AA2311" i="16"/>
  <c r="AA1952" i="16"/>
  <c r="AA2312" i="16"/>
  <c r="AA2313" i="16"/>
  <c r="AA2314" i="16"/>
  <c r="AA1869" i="16"/>
  <c r="AA1953" i="16"/>
  <c r="AA1892" i="16"/>
  <c r="AA1831" i="16"/>
  <c r="AA1866" i="16"/>
  <c r="AA2315" i="16"/>
  <c r="AA2026" i="16"/>
  <c r="AA1668" i="16"/>
  <c r="AA2131" i="16"/>
  <c r="AA1745" i="16"/>
  <c r="AA2316" i="16"/>
  <c r="AA2317" i="16"/>
  <c r="AA2056" i="16"/>
  <c r="AA2318" i="16"/>
  <c r="AA2319" i="16"/>
  <c r="AA2118" i="16"/>
  <c r="AA1951" i="16"/>
  <c r="AA1252" i="16"/>
  <c r="AA217" i="16"/>
  <c r="AA369" i="16"/>
  <c r="AA138" i="16"/>
  <c r="AA898" i="16"/>
  <c r="AA1383" i="16"/>
  <c r="AA1384" i="16"/>
  <c r="AA1506" i="16"/>
  <c r="AA262" i="16"/>
  <c r="AA1426" i="16"/>
  <c r="AA139" i="16"/>
  <c r="AA657" i="16"/>
  <c r="AA710" i="16"/>
  <c r="AA1928" i="16"/>
  <c r="AA1867" i="16"/>
  <c r="AA1425" i="16"/>
  <c r="AA1400" i="16"/>
  <c r="AA1710" i="16"/>
  <c r="AA2025" i="16"/>
  <c r="AA1543" i="16"/>
  <c r="AA1578" i="16"/>
  <c r="AA1648" i="16"/>
  <c r="AA1980" i="16"/>
  <c r="AA2075" i="16"/>
  <c r="AA2320" i="16"/>
  <c r="AA2321" i="16"/>
  <c r="AA1460" i="16"/>
  <c r="AA2113" i="16"/>
  <c r="AA1524" i="16"/>
  <c r="AA2322" i="16"/>
  <c r="AA2174" i="16"/>
  <c r="AA1938" i="16"/>
  <c r="AA1899" i="16"/>
  <c r="AA2323" i="16"/>
  <c r="AA2130" i="16"/>
  <c r="AA711" i="16"/>
  <c r="AA2145" i="16"/>
  <c r="AA1922" i="16"/>
  <c r="AA1489" i="16"/>
  <c r="AA2176" i="16"/>
  <c r="AA1593" i="16"/>
  <c r="AA1963" i="16"/>
  <c r="AA883" i="16"/>
  <c r="AA2029" i="16"/>
  <c r="AA1898" i="16"/>
  <c r="AA10" i="16"/>
  <c r="AA11" i="16"/>
  <c r="AA12" i="16"/>
  <c r="AA13" i="16"/>
  <c r="AA14" i="16"/>
  <c r="AA1965" i="16"/>
  <c r="AA750" i="16"/>
  <c r="AA15" i="16"/>
  <c r="AA971" i="16"/>
  <c r="AA1395" i="16"/>
  <c r="AA1232" i="16"/>
  <c r="AA760" i="16"/>
  <c r="AA206" i="16"/>
  <c r="AA663" i="16"/>
  <c r="AA237" i="16"/>
  <c r="AA111" i="16"/>
  <c r="AA383" i="16"/>
  <c r="AA311" i="16"/>
  <c r="AA57" i="16"/>
  <c r="AA110" i="16"/>
  <c r="AA1629" i="16"/>
  <c r="AA714" i="16"/>
  <c r="AA1150" i="16"/>
  <c r="AA323" i="16"/>
  <c r="AA430" i="16"/>
  <c r="AA339" i="16"/>
  <c r="AA757" i="16"/>
  <c r="AA374" i="16"/>
  <c r="AA74" i="16"/>
  <c r="AA106" i="16"/>
  <c r="AA2016" i="16"/>
  <c r="AA1905" i="16"/>
  <c r="AA2324" i="16"/>
  <c r="AA1774" i="16"/>
  <c r="AA1274" i="16"/>
  <c r="AA1948" i="16"/>
  <c r="AA1838" i="16"/>
  <c r="AA1865" i="16"/>
  <c r="AA1761" i="16"/>
  <c r="AA2111" i="16"/>
  <c r="AA1744" i="16"/>
  <c r="AA2090" i="16"/>
  <c r="AA2325" i="16"/>
  <c r="AA1510" i="16"/>
  <c r="AA1557" i="16"/>
  <c r="AA1363" i="16"/>
  <c r="AA1705" i="16"/>
  <c r="AA2020" i="16"/>
  <c r="AA2021" i="16"/>
  <c r="AA1801" i="16"/>
  <c r="AA1782" i="16"/>
  <c r="AA2326" i="16"/>
  <c r="AA2017" i="16"/>
  <c r="AA1978" i="16"/>
  <c r="AA1844" i="16"/>
  <c r="AA2092" i="16"/>
  <c r="AA2117" i="16"/>
  <c r="AA2327" i="16"/>
  <c r="AA1872" i="16"/>
  <c r="AA2328" i="16"/>
  <c r="AA2329" i="16"/>
  <c r="AA2330" i="16"/>
  <c r="AA2331" i="16"/>
  <c r="AA1855" i="16"/>
  <c r="AA1877" i="16"/>
  <c r="AA1337" i="16"/>
  <c r="AA754" i="16"/>
  <c r="AA1501" i="16"/>
  <c r="AA2098" i="16"/>
  <c r="AA831" i="16"/>
  <c r="AA1611" i="16"/>
  <c r="AA1582" i="16"/>
  <c r="AA1558" i="16"/>
  <c r="AA1246" i="16"/>
  <c r="AA1106" i="16"/>
  <c r="AA794" i="16"/>
  <c r="AA1734" i="16"/>
  <c r="AA1796" i="16"/>
  <c r="AA1529" i="16"/>
  <c r="AA1390" i="16"/>
  <c r="AA1822" i="16"/>
  <c r="AA952" i="16"/>
  <c r="AA1213" i="16"/>
  <c r="AA1444" i="16"/>
  <c r="AA1545" i="16"/>
  <c r="AA2332" i="16"/>
  <c r="AA2333" i="16"/>
  <c r="AA2334" i="16"/>
  <c r="AA2335" i="16"/>
  <c r="AA2336" i="16"/>
  <c r="AA2337" i="16"/>
  <c r="AA2338" i="16"/>
  <c r="AA2339" i="16"/>
  <c r="AA2340" i="16"/>
  <c r="AA2341" i="16"/>
  <c r="AA1229" i="16"/>
  <c r="AA1147" i="16"/>
  <c r="AA1490" i="16"/>
  <c r="AA1114" i="16"/>
  <c r="AA2095" i="16"/>
  <c r="AA1681" i="16"/>
  <c r="AA1832" i="16"/>
  <c r="AA1241" i="16"/>
  <c r="AA1881" i="16"/>
  <c r="AA1847" i="16"/>
  <c r="AA755" i="16"/>
  <c r="AA1216" i="16"/>
  <c r="AA721" i="16"/>
  <c r="AA1495" i="16"/>
  <c r="AA1804" i="16"/>
  <c r="AA351" i="16"/>
  <c r="AA489" i="16"/>
  <c r="AA289" i="16"/>
  <c r="AA290" i="16"/>
  <c r="AA1214" i="16"/>
  <c r="AA1721" i="16"/>
  <c r="AA126" i="16"/>
  <c r="AA376" i="16"/>
  <c r="AA1488" i="16"/>
  <c r="AA1712" i="16"/>
  <c r="AA1056" i="16"/>
  <c r="AA1580" i="16"/>
  <c r="AA1097" i="16"/>
  <c r="AA937" i="16"/>
  <c r="AA1040" i="16"/>
  <c r="AA1154" i="16"/>
  <c r="AA1539" i="16"/>
  <c r="AA1880" i="16"/>
  <c r="AA291" i="16"/>
  <c r="AD924" i="16"/>
  <c r="AD925" i="16"/>
  <c r="AD1204" i="16"/>
  <c r="AD1205" i="16"/>
  <c r="AD1206" i="16"/>
  <c r="AD1436" i="16"/>
  <c r="AD1437" i="16"/>
  <c r="AD1470" i="16"/>
  <c r="AD902" i="16"/>
  <c r="AD903" i="16"/>
  <c r="AD904" i="16"/>
  <c r="AD926" i="16"/>
  <c r="AD927" i="16"/>
  <c r="AD928" i="16"/>
  <c r="AD1015" i="16"/>
  <c r="AD1016" i="16"/>
  <c r="AD1017" i="16"/>
  <c r="AD1018" i="16"/>
  <c r="AD1019" i="16"/>
  <c r="AD1020" i="16"/>
  <c r="AD1402" i="16"/>
  <c r="AD1550" i="16"/>
  <c r="AD1551" i="16"/>
  <c r="AD933" i="16"/>
  <c r="AD847" i="16"/>
  <c r="AD1110" i="16"/>
  <c r="AD1111" i="16"/>
  <c r="AD1112" i="16"/>
  <c r="AD1021" i="16"/>
  <c r="AD1022" i="16"/>
  <c r="AD1471" i="16"/>
  <c r="AD1207" i="16"/>
  <c r="AD1427" i="16"/>
  <c r="AD1428" i="16"/>
  <c r="AD1403" i="16"/>
  <c r="AD1404" i="16"/>
  <c r="AD1023" i="16"/>
  <c r="AD878" i="16"/>
  <c r="AD2060" i="16"/>
  <c r="AD1091" i="16"/>
  <c r="AD1353" i="16"/>
  <c r="AD455" i="16"/>
  <c r="AD1069" i="16"/>
  <c r="AD998" i="16"/>
  <c r="AD1223" i="16"/>
  <c r="AD1203" i="16"/>
  <c r="AD456" i="16"/>
  <c r="AD658" i="16"/>
  <c r="AD133" i="16"/>
  <c r="AD261" i="16"/>
  <c r="AD470" i="16"/>
  <c r="AD81" i="16"/>
  <c r="AD543" i="16"/>
  <c r="AD544" i="16"/>
  <c r="AD520" i="16"/>
  <c r="AD521" i="16"/>
  <c r="AD1990" i="16"/>
  <c r="AD1991" i="16"/>
  <c r="AD879" i="16"/>
  <c r="AD606" i="16"/>
  <c r="AD525" i="16"/>
  <c r="AD526" i="16"/>
  <c r="AD907" i="16"/>
  <c r="AD908" i="16"/>
  <c r="AD497" i="16"/>
  <c r="AD694" i="16"/>
  <c r="AD1544" i="16"/>
  <c r="AD2096" i="16"/>
  <c r="AD735" i="16"/>
  <c r="AD736" i="16"/>
  <c r="AD392" i="16"/>
  <c r="AD1443" i="16"/>
  <c r="AD1047" i="16"/>
  <c r="AD824" i="16"/>
  <c r="AD1809" i="16"/>
  <c r="AD1823" i="16"/>
  <c r="AD1824" i="16"/>
  <c r="AD440" i="16"/>
  <c r="AD1989" i="16"/>
  <c r="AD787" i="16"/>
  <c r="AD899" i="16"/>
  <c r="AD900" i="16"/>
  <c r="AD1612" i="16"/>
  <c r="AD1613" i="16"/>
  <c r="AD393" i="16"/>
  <c r="AD2063" i="16"/>
  <c r="AD1048" i="16"/>
  <c r="AD64" i="16"/>
  <c r="AD65" i="16"/>
  <c r="AD47" i="16"/>
  <c r="AD48" i="16"/>
  <c r="AD698" i="16"/>
  <c r="AD607" i="16"/>
  <c r="AD49" i="16"/>
  <c r="AD687" i="16"/>
  <c r="AD66" i="16"/>
  <c r="AD175" i="16"/>
  <c r="AD176" i="16"/>
  <c r="AD848" i="16"/>
  <c r="AD784" i="16"/>
  <c r="AD397" i="16"/>
  <c r="AD308" i="16"/>
  <c r="AD177" i="16"/>
  <c r="AD178" i="16"/>
  <c r="AD513" i="16"/>
  <c r="AD406" i="16"/>
  <c r="AD955" i="16"/>
  <c r="AD948" i="16"/>
  <c r="AD179" i="16"/>
  <c r="AD180" i="16"/>
  <c r="AD181" i="16"/>
  <c r="AD785" i="16"/>
  <c r="AD1387" i="16"/>
  <c r="AD336" i="16"/>
  <c r="AD641" i="16"/>
  <c r="AD1266" i="16"/>
  <c r="AD1024" i="16"/>
  <c r="AD833" i="16"/>
  <c r="AD653" i="16"/>
  <c r="AD384" i="16"/>
  <c r="AD1497" i="16"/>
  <c r="AD263" i="16"/>
  <c r="AD264" i="16"/>
  <c r="AD834" i="16"/>
  <c r="AD278" i="16"/>
  <c r="AD226" i="16"/>
  <c r="AD1025" i="16"/>
  <c r="AD688" i="16"/>
  <c r="AD58" i="16"/>
  <c r="AD144" i="16"/>
  <c r="AD1451" i="16"/>
  <c r="AD1452" i="16"/>
  <c r="AD435" i="16"/>
  <c r="AD835" i="16"/>
  <c r="AD187" i="16"/>
  <c r="AD934" i="16"/>
  <c r="AD145" i="16"/>
  <c r="AD1502" i="16"/>
  <c r="AD1619" i="16"/>
  <c r="AD1385" i="16"/>
  <c r="AD1233" i="16"/>
  <c r="AD169" i="16"/>
  <c r="AD836" i="16"/>
  <c r="AD837" i="16"/>
  <c r="AD984" i="16"/>
  <c r="AD1565" i="16"/>
  <c r="AD758" i="16"/>
  <c r="AD146" i="16"/>
  <c r="AD1405" i="16"/>
  <c r="AD2189" i="16"/>
  <c r="AD170" i="16"/>
  <c r="AD700" i="16"/>
  <c r="AD701" i="16"/>
  <c r="AD127" i="16"/>
  <c r="AD981" i="16"/>
  <c r="AD183" i="16"/>
  <c r="AD184" i="16"/>
  <c r="AD2161" i="16"/>
  <c r="AD2069" i="16"/>
  <c r="AD2156" i="16"/>
  <c r="AD2084" i="16"/>
  <c r="AD842" i="16"/>
  <c r="AD210" i="16"/>
  <c r="AD1994" i="16"/>
  <c r="AD1079" i="16"/>
  <c r="AD1453" i="16"/>
  <c r="AD1454" i="16"/>
  <c r="AD185" i="16"/>
  <c r="AD186" i="16"/>
  <c r="AD1457" i="16"/>
  <c r="AD151" i="16"/>
  <c r="AD283" i="16"/>
  <c r="AD1464" i="16"/>
  <c r="AD2177" i="16"/>
  <c r="AD1388" i="16"/>
  <c r="AD337" i="16"/>
  <c r="AD642" i="16"/>
  <c r="AD227" i="16"/>
  <c r="AD1267" i="16"/>
  <c r="AD1026" i="16"/>
  <c r="AD689" i="16"/>
  <c r="AD436" i="16"/>
  <c r="AD188" i="16"/>
  <c r="AD935" i="16"/>
  <c r="AD1503" i="16"/>
  <c r="AD1620" i="16"/>
  <c r="AD1386" i="16"/>
  <c r="AD1234" i="16"/>
  <c r="AD171" i="16"/>
  <c r="AD1566" i="16"/>
  <c r="AD759" i="16"/>
  <c r="AD1406" i="16"/>
  <c r="AD1702" i="16"/>
  <c r="AD1540" i="16"/>
  <c r="AD2190" i="16"/>
  <c r="AD1459" i="16"/>
  <c r="AD859" i="16"/>
  <c r="AD1043" i="16"/>
  <c r="AD905" i="16"/>
  <c r="AD1088" i="16"/>
  <c r="AD1211" i="16"/>
  <c r="AD419" i="16"/>
  <c r="AD1780" i="16"/>
  <c r="AD294" i="16"/>
  <c r="AD59" i="16"/>
  <c r="AD2191" i="16"/>
  <c r="AD1932" i="16"/>
  <c r="AD2192" i="16"/>
  <c r="AD1339" i="16"/>
  <c r="AD1071" i="16"/>
  <c r="AD1649" i="16"/>
  <c r="AD490" i="16"/>
  <c r="AD1072" i="16"/>
  <c r="AD491" i="16"/>
  <c r="AD1983" i="16"/>
  <c r="AD1604" i="16"/>
  <c r="AD1218" i="16"/>
  <c r="AD1073" i="16"/>
  <c r="AD492" i="16"/>
  <c r="AD469" i="16"/>
  <c r="AD1212" i="16"/>
  <c r="AD1800" i="16"/>
  <c r="AD493" i="16"/>
  <c r="AD1650" i="16"/>
  <c r="AD1087" i="16"/>
  <c r="AD992" i="16"/>
  <c r="AD1074" i="16"/>
  <c r="AD1772" i="16"/>
  <c r="AD1532" i="16"/>
  <c r="AD1070" i="16"/>
  <c r="AD1002" i="16"/>
  <c r="AD2085" i="16"/>
  <c r="AD2193" i="16"/>
  <c r="AD2108" i="16"/>
  <c r="AD993" i="16"/>
  <c r="AD1314" i="16"/>
  <c r="AD1949" i="16"/>
  <c r="AD881" i="16"/>
  <c r="AD2178" i="16"/>
  <c r="AD2194" i="16"/>
  <c r="AD965" i="16"/>
  <c r="AD822" i="16"/>
  <c r="AD2008" i="16"/>
  <c r="AD1996" i="16"/>
  <c r="AD1553" i="16"/>
  <c r="AD1868" i="16"/>
  <c r="AD1210" i="16"/>
  <c r="AD1476" i="16"/>
  <c r="AD843" i="16"/>
  <c r="AD1498" i="16"/>
  <c r="AD1499" i="16"/>
  <c r="AD1500" i="16"/>
  <c r="AD1120" i="16"/>
  <c r="AD1162" i="16"/>
  <c r="AD791" i="16"/>
  <c r="AD1884" i="16"/>
  <c r="AD228" i="16"/>
  <c r="AD225" i="16"/>
  <c r="AD1163" i="16"/>
  <c r="AD917" i="16"/>
  <c r="AD1741" i="16"/>
  <c r="AD918" i="16"/>
  <c r="AD919" i="16"/>
  <c r="AD1033" i="16"/>
  <c r="AD966" i="16"/>
  <c r="AD654" i="16"/>
  <c r="AD1195" i="16"/>
  <c r="AD407" i="16"/>
  <c r="AD1507" i="16"/>
  <c r="AD1508" i="16"/>
  <c r="AD1585" i="16"/>
  <c r="AD1586" i="16"/>
  <c r="AD1467" i="16"/>
  <c r="AD599" i="16"/>
  <c r="AD600" i="16"/>
  <c r="AD601" i="16"/>
  <c r="AD602" i="16"/>
  <c r="AD603" i="16"/>
  <c r="AD604" i="16"/>
  <c r="AD874" i="16"/>
  <c r="AD875" i="16"/>
  <c r="AD476" i="16"/>
  <c r="AD1432" i="16"/>
  <c r="AD623" i="16"/>
  <c r="AD624" i="16"/>
  <c r="AD625" i="16"/>
  <c r="AD626" i="16"/>
  <c r="AD1256" i="16"/>
  <c r="AD1257" i="16"/>
  <c r="AD119" i="16"/>
  <c r="AD2065" i="16"/>
  <c r="AD2195" i="16"/>
  <c r="AD2196" i="16"/>
  <c r="AD1736" i="16"/>
  <c r="AD2078" i="16"/>
  <c r="AD2197" i="16"/>
  <c r="AD717" i="16"/>
  <c r="AD246" i="16"/>
  <c r="AD247" i="16"/>
  <c r="AD37" i="16"/>
  <c r="AD122" i="16"/>
  <c r="AD2198" i="16"/>
  <c r="AD2199" i="16"/>
  <c r="AD2200" i="16"/>
  <c r="AD51" i="16"/>
  <c r="AD464" i="16"/>
  <c r="AD465" i="16"/>
  <c r="AD52" i="16"/>
  <c r="AD53" i="16"/>
  <c r="AD54" i="16"/>
  <c r="AD1396" i="16"/>
  <c r="AD1397" i="16"/>
  <c r="AD38" i="16"/>
  <c r="AD39" i="16"/>
  <c r="AD40" i="16"/>
  <c r="AD1324" i="16"/>
  <c r="AD985" i="16"/>
  <c r="AD1134" i="16"/>
  <c r="AD1027" i="16"/>
  <c r="AD2201" i="16"/>
  <c r="AD662" i="16"/>
  <c r="AD1469" i="16"/>
  <c r="AD639" i="16"/>
  <c r="AD394" i="16"/>
  <c r="AD672" i="16"/>
  <c r="AD649" i="16"/>
  <c r="AD1826" i="16"/>
  <c r="AD644" i="16"/>
  <c r="AD193" i="16"/>
  <c r="AD420" i="16"/>
  <c r="AD2202" i="16"/>
  <c r="AD1827" i="16"/>
  <c r="AD194" i="16"/>
  <c r="AD19" i="16"/>
  <c r="AD1151" i="16"/>
  <c r="AD195" i="16"/>
  <c r="AD1152" i="16"/>
  <c r="AD20" i="16"/>
  <c r="AD196" i="16"/>
  <c r="AD671" i="16"/>
  <c r="AD197" i="16"/>
  <c r="AD1408" i="16"/>
  <c r="AD729" i="16"/>
  <c r="AD1767" i="16"/>
  <c r="AD730" i="16"/>
  <c r="AD395" i="16"/>
  <c r="AD21" i="16"/>
  <c r="AD1748" i="16"/>
  <c r="AD751" i="16"/>
  <c r="AD645" i="16"/>
  <c r="AD1768" i="16"/>
  <c r="AD1749" i="16"/>
  <c r="AD661" i="16"/>
  <c r="AD198" i="16"/>
  <c r="AD737" i="16"/>
  <c r="AD650" i="16"/>
  <c r="AD1904" i="16"/>
  <c r="AD1878" i="16"/>
  <c r="AD627" i="16"/>
  <c r="AD646" i="16"/>
  <c r="AD647" i="16"/>
  <c r="AD22" i="16"/>
  <c r="AD1769" i="16"/>
  <c r="AD1169" i="16"/>
  <c r="AD930" i="16"/>
  <c r="AD673" i="16"/>
  <c r="AD1170" i="16"/>
  <c r="AD1171" i="16"/>
  <c r="AD23" i="16"/>
  <c r="AD738" i="16"/>
  <c r="AD739" i="16"/>
  <c r="AD2203" i="16"/>
  <c r="AD1172" i="16"/>
  <c r="AD355" i="16"/>
  <c r="AD223" i="16"/>
  <c r="AD428" i="16"/>
  <c r="AD214" i="16"/>
  <c r="AD463" i="16"/>
  <c r="AD209" i="16"/>
  <c r="AD18" i="16"/>
  <c r="AD135" i="16"/>
  <c r="AD117" i="16"/>
  <c r="AD121" i="16"/>
  <c r="AD50" i="16"/>
  <c r="AD213" i="16"/>
  <c r="AD1080" i="16"/>
  <c r="AD152" i="16"/>
  <c r="AD1417" i="16"/>
  <c r="AD1008" i="16"/>
  <c r="AD1126" i="16"/>
  <c r="AD1583" i="16"/>
  <c r="AD571" i="16"/>
  <c r="AD190" i="16"/>
  <c r="AD1131" i="16"/>
  <c r="AD191" i="16"/>
  <c r="AD128" i="16"/>
  <c r="AD331" i="16"/>
  <c r="AD1414" i="16"/>
  <c r="AD202" i="16"/>
  <c r="AD203" i="16"/>
  <c r="AD204" i="16"/>
  <c r="AD929" i="16"/>
  <c r="AD1609" i="16"/>
  <c r="AD2152" i="16"/>
  <c r="AD1595" i="16"/>
  <c r="AD1127" i="16"/>
  <c r="AD1607" i="16"/>
  <c r="AD1770" i="16"/>
  <c r="AD334" i="16"/>
  <c r="AD2062" i="16"/>
  <c r="AD840" i="16"/>
  <c r="AD2204" i="16"/>
  <c r="AD752" i="16"/>
  <c r="AD1173" i="16"/>
  <c r="AD2205" i="16"/>
  <c r="AD1597" i="16"/>
  <c r="AD592" i="16"/>
  <c r="AD134" i="16"/>
  <c r="AD616" i="16"/>
  <c r="AD2206" i="16"/>
  <c r="AD916" i="16"/>
  <c r="AD2207" i="16"/>
  <c r="AD1398" i="16"/>
  <c r="AD2099" i="16"/>
  <c r="AD345" i="16"/>
  <c r="AD681" i="16"/>
  <c r="AD1413" i="16"/>
  <c r="AD715" i="16"/>
  <c r="AD1920" i="16"/>
  <c r="AD628" i="16"/>
  <c r="AD651" i="16"/>
  <c r="AD731" i="16"/>
  <c r="AD648" i="16"/>
  <c r="AD281" i="16"/>
  <c r="AD199" i="16"/>
  <c r="AD1522" i="16"/>
  <c r="AD1805" i="16"/>
  <c r="AD466" i="16"/>
  <c r="AD2208" i="16"/>
  <c r="AD1215" i="16"/>
  <c r="AD1819" i="16"/>
  <c r="AD1656" i="16"/>
  <c r="AD399" i="16"/>
  <c r="AD1828" i="16"/>
  <c r="AD1750" i="16"/>
  <c r="AD1513" i="16"/>
  <c r="AD972" i="16"/>
  <c r="AD182" i="16"/>
  <c r="AD1117" i="16"/>
  <c r="AD1273" i="16"/>
  <c r="AD1814" i="16"/>
  <c r="AD1153" i="16"/>
  <c r="AD1788" i="16"/>
  <c r="AD1561" i="16"/>
  <c r="AD740" i="16"/>
  <c r="AD207" i="16"/>
  <c r="AD1896" i="16"/>
  <c r="AD718" i="16"/>
  <c r="AD365" i="16"/>
  <c r="AD821" i="16"/>
  <c r="AD1373" i="16"/>
  <c r="AD1802" i="16"/>
  <c r="AD2209" i="16"/>
  <c r="AD1845" i="16"/>
  <c r="AD2210" i="16"/>
  <c r="AD805" i="16"/>
  <c r="AD442" i="16"/>
  <c r="AD640" i="16"/>
  <c r="AD1879" i="16"/>
  <c r="AD1590" i="16"/>
  <c r="AD825" i="16"/>
  <c r="AD1673" i="16"/>
  <c r="AD1371" i="16"/>
  <c r="AD1564" i="16"/>
  <c r="AD55" i="16"/>
  <c r="AD24" i="16"/>
  <c r="AD1409" i="16"/>
  <c r="AD46" i="16"/>
  <c r="AD1995" i="16"/>
  <c r="AD1617" i="16"/>
  <c r="AD1050" i="16"/>
  <c r="AD976" i="16"/>
  <c r="AD1332" i="16"/>
  <c r="AD1531" i="16"/>
  <c r="AD224" i="16"/>
  <c r="AD26" i="16"/>
  <c r="AD719" i="16"/>
  <c r="AD552" i="16"/>
  <c r="AD553" i="16"/>
  <c r="AD554" i="16"/>
  <c r="AD555" i="16"/>
  <c r="AD2211" i="16"/>
  <c r="AD1625" i="16"/>
  <c r="AD574" i="16"/>
  <c r="AD575" i="16"/>
  <c r="AD576" i="16"/>
  <c r="AD950" i="16"/>
  <c r="AD75" i="16"/>
  <c r="AD1370" i="16"/>
  <c r="AD2212" i="16"/>
  <c r="AD1379" i="16"/>
  <c r="AD211" i="16"/>
  <c r="AD522" i="16"/>
  <c r="AD82" i="16"/>
  <c r="AD733" i="16"/>
  <c r="AD212" i="16"/>
  <c r="AD168" i="16"/>
  <c r="AD439" i="16"/>
  <c r="AD208" i="16"/>
  <c r="AD215" i="16"/>
  <c r="AD2213" i="16"/>
  <c r="AD2214" i="16"/>
  <c r="AD2215" i="16"/>
  <c r="AD1902" i="16"/>
  <c r="AD951" i="16"/>
  <c r="AD1161" i="16"/>
  <c r="AD1591" i="16"/>
  <c r="AD28" i="16"/>
  <c r="AD1562" i="16"/>
  <c r="AD238" i="16"/>
  <c r="AD239" i="16"/>
  <c r="AD240" i="16"/>
  <c r="AD584" i="16"/>
  <c r="AD585" i="16"/>
  <c r="AD437" i="16"/>
  <c r="AD83" i="16"/>
  <c r="AD29" i="16"/>
  <c r="AD73" i="16"/>
  <c r="AD586" i="16"/>
  <c r="AD595" i="16"/>
  <c r="AD596" i="16"/>
  <c r="AD467" i="16"/>
  <c r="AD71" i="16"/>
  <c r="AD45" i="16"/>
  <c r="AD763" i="16"/>
  <c r="AD764" i="16"/>
  <c r="AD421" i="16"/>
  <c r="AD633" i="16"/>
  <c r="AD557" i="16"/>
  <c r="AD338" i="16"/>
  <c r="AD1201" i="16"/>
  <c r="AD56" i="16"/>
  <c r="AD16" i="16"/>
  <c r="AD25" i="16"/>
  <c r="AD429" i="16"/>
  <c r="AD33" i="16"/>
  <c r="AD1181" i="16"/>
  <c r="AD1182" i="16"/>
  <c r="AD1183" i="16"/>
  <c r="AD36" i="16"/>
  <c r="AD1491" i="16"/>
  <c r="AD1133" i="16"/>
  <c r="AD234" i="16"/>
  <c r="AD471" i="16"/>
  <c r="AD302" i="16"/>
  <c r="AD303" i="16"/>
  <c r="AD1628" i="16"/>
  <c r="AD148" i="16"/>
  <c r="AD1039" i="16"/>
  <c r="AD72" i="16"/>
  <c r="AD241" i="16"/>
  <c r="AD242" i="16"/>
  <c r="AD243" i="16"/>
  <c r="AD1514" i="16"/>
  <c r="AD1442" i="16"/>
  <c r="AD472" i="16"/>
  <c r="AD304" i="16"/>
  <c r="AD753" i="16"/>
  <c r="AD2216" i="16"/>
  <c r="AD156" i="16"/>
  <c r="AD157" i="16"/>
  <c r="AD248" i="16"/>
  <c r="AD1771" i="16"/>
  <c r="AD123" i="16"/>
  <c r="AD2217" i="16"/>
  <c r="AD468" i="16"/>
  <c r="AD1429" i="16"/>
  <c r="AD249" i="16"/>
  <c r="AD250" i="16"/>
  <c r="AD1430" i="16"/>
  <c r="AD2175" i="16"/>
  <c r="AD1051" i="16"/>
  <c r="AD1096" i="16"/>
  <c r="AD949" i="16"/>
  <c r="AD312" i="16"/>
  <c r="AD1482" i="16"/>
  <c r="AD313" i="16"/>
  <c r="AD422" i="16"/>
  <c r="AD314" i="16"/>
  <c r="AD315" i="16"/>
  <c r="AD316" i="16"/>
  <c r="AD7" i="16"/>
  <c r="AD8" i="16"/>
  <c r="AD124" i="16"/>
  <c r="AD1779" i="16"/>
  <c r="AD423" i="16"/>
  <c r="AD1277" i="16"/>
  <c r="AD1818" i="16"/>
  <c r="AD1049" i="16"/>
  <c r="AD562" i="16"/>
  <c r="AD1431" i="16"/>
  <c r="AD741" i="16"/>
  <c r="AD931" i="16"/>
  <c r="AD396" i="16"/>
  <c r="AD577" i="16"/>
  <c r="AD578" i="16"/>
  <c r="AD990" i="16"/>
  <c r="AD1714" i="16"/>
  <c r="AD1245" i="16"/>
  <c r="AD2218" i="16"/>
  <c r="AD352" i="16"/>
  <c r="AD353" i="16"/>
  <c r="AD354" i="16"/>
  <c r="AD136" i="16"/>
  <c r="AD125" i="16"/>
  <c r="AD1382" i="16"/>
  <c r="AD1633" i="16"/>
  <c r="AD317" i="16"/>
  <c r="AD2071" i="16"/>
  <c r="AD855" i="16"/>
  <c r="AD856" i="16"/>
  <c r="AD857" i="16"/>
  <c r="AD473" i="16"/>
  <c r="AD797" i="16"/>
  <c r="AD798" i="16"/>
  <c r="AD799" i="16"/>
  <c r="AD1174" i="16"/>
  <c r="AD1175" i="16"/>
  <c r="AD1176" i="16"/>
  <c r="AD1806" i="16"/>
  <c r="AD1807" i="16"/>
  <c r="AD1034" i="16"/>
  <c r="AD1035" i="16"/>
  <c r="AD1036" i="16"/>
  <c r="AD2080" i="16"/>
  <c r="AD809" i="16"/>
  <c r="AD810" i="16"/>
  <c r="AD811" i="16"/>
  <c r="AD1358" i="16"/>
  <c r="AD1359" i="16"/>
  <c r="AD87" i="16"/>
  <c r="AD88" i="16"/>
  <c r="AD514" i="16"/>
  <c r="AD515" i="16"/>
  <c r="AD516" i="16"/>
  <c r="AD2009" i="16"/>
  <c r="AD2010" i="16"/>
  <c r="AD1003" i="16"/>
  <c r="AD1004" i="16"/>
  <c r="AD1005" i="16"/>
  <c r="AD431" i="16"/>
  <c r="AD432" i="16"/>
  <c r="AD433" i="16"/>
  <c r="AD1155" i="16"/>
  <c r="AD1156" i="16"/>
  <c r="AD1157" i="16"/>
  <c r="AD683" i="16"/>
  <c r="AD684" i="16"/>
  <c r="AD685" i="16"/>
  <c r="AD780" i="16"/>
  <c r="AD781" i="16"/>
  <c r="AD782" i="16"/>
  <c r="AD706" i="16"/>
  <c r="AD707" i="16"/>
  <c r="AD708" i="16"/>
  <c r="AD1041" i="16"/>
  <c r="AD342" i="16"/>
  <c r="AD343" i="16"/>
  <c r="AD774" i="16"/>
  <c r="AD775" i="16"/>
  <c r="AD776" i="16"/>
  <c r="AD911" i="16"/>
  <c r="AD912" i="16"/>
  <c r="AD388" i="16"/>
  <c r="AD389" i="16"/>
  <c r="AD390" i="16"/>
  <c r="AD546" i="16"/>
  <c r="AD547" i="16"/>
  <c r="AD1752" i="16"/>
  <c r="AD1753" i="16"/>
  <c r="AD563" i="16"/>
  <c r="AD564" i="16"/>
  <c r="AD565" i="16"/>
  <c r="AD566" i="16"/>
  <c r="AD1638" i="16"/>
  <c r="AD1639" i="16"/>
  <c r="AD1060" i="16"/>
  <c r="AD1061" i="16"/>
  <c r="AD1062" i="16"/>
  <c r="AD722" i="16"/>
  <c r="AD723" i="16"/>
  <c r="AD724" i="16"/>
  <c r="AD677" i="16"/>
  <c r="AD678" i="16"/>
  <c r="AD140" i="16"/>
  <c r="AD1916" i="16"/>
  <c r="AD1715" i="16"/>
  <c r="AD1716" i="16"/>
  <c r="AD1717" i="16"/>
  <c r="AD886" i="16"/>
  <c r="AD887" i="16"/>
  <c r="AD888" i="16"/>
  <c r="AD1011" i="16"/>
  <c r="AD1012" i="16"/>
  <c r="AD1013" i="16"/>
  <c r="AD1785" i="16"/>
  <c r="AD104" i="16"/>
  <c r="AD1699" i="16"/>
  <c r="AD1308" i="16"/>
  <c r="AD1247" i="16"/>
  <c r="AD1870" i="16"/>
  <c r="AD2219" i="16"/>
  <c r="AD2220" i="16"/>
  <c r="AD850" i="16"/>
  <c r="AD1556" i="16"/>
  <c r="AD1743" i="16"/>
  <c r="AD2143" i="16"/>
  <c r="AD1812" i="16"/>
  <c r="AD1378" i="16"/>
  <c r="AD1912" i="16"/>
  <c r="AD1727" i="16"/>
  <c r="AD2077" i="16"/>
  <c r="AD1260" i="16"/>
  <c r="AD1997" i="16"/>
  <c r="AD1940" i="16"/>
  <c r="AD1512" i="16"/>
  <c r="AD1873" i="16"/>
  <c r="AD2070" i="16"/>
  <c r="AD2125" i="16"/>
  <c r="AD1184" i="16"/>
  <c r="AD1765" i="16"/>
  <c r="AD1722" i="16"/>
  <c r="AD1859" i="16"/>
  <c r="AD1786" i="16"/>
  <c r="AD1921" i="16"/>
  <c r="AD2221" i="16"/>
  <c r="AD2073" i="16"/>
  <c r="AD1344" i="16"/>
  <c r="AD2061" i="16"/>
  <c r="AD1917" i="16"/>
  <c r="AD1918" i="16"/>
  <c r="AD548" i="16"/>
  <c r="AD725" i="16"/>
  <c r="AD1808" i="16"/>
  <c r="AD812" i="16"/>
  <c r="AD813" i="16"/>
  <c r="AD889" i="16"/>
  <c r="AD105" i="16"/>
  <c r="AD1841" i="16"/>
  <c r="AD1842" i="16"/>
  <c r="AD1191" i="16"/>
  <c r="AD1192" i="16"/>
  <c r="AD34" i="16"/>
  <c r="AD35" i="16"/>
  <c r="AD391" i="16"/>
  <c r="AD426" i="16"/>
  <c r="AD913" i="16"/>
  <c r="AD474" i="16"/>
  <c r="AD1042" i="16"/>
  <c r="AD1360" i="16"/>
  <c r="AD1006" i="16"/>
  <c r="AD1007" i="16"/>
  <c r="AD800" i="16"/>
  <c r="AD801" i="16"/>
  <c r="AD802" i="16"/>
  <c r="AD803" i="16"/>
  <c r="AD89" i="16"/>
  <c r="AD90" i="16"/>
  <c r="AD91" i="16"/>
  <c r="AD2011" i="16"/>
  <c r="AD686" i="16"/>
  <c r="AD858" i="16"/>
  <c r="AD1640" i="16"/>
  <c r="AD517" i="16"/>
  <c r="AD518" i="16"/>
  <c r="AD519" i="16"/>
  <c r="AD434" i="16"/>
  <c r="AD344" i="16"/>
  <c r="AD1037" i="16"/>
  <c r="AD1038" i="16"/>
  <c r="AD1063" i="16"/>
  <c r="AD1718" i="16"/>
  <c r="AD1177" i="16"/>
  <c r="AD1178" i="16"/>
  <c r="AD679" i="16"/>
  <c r="AD2081" i="16"/>
  <c r="AD141" i="16"/>
  <c r="AD142" i="16"/>
  <c r="AD783" i="16"/>
  <c r="AD709" i="16"/>
  <c r="AD1158" i="16"/>
  <c r="AD1159" i="16"/>
  <c r="AD1754" i="16"/>
  <c r="AD1014" i="16"/>
  <c r="AD567" i="16"/>
  <c r="AD568" i="16"/>
  <c r="AD569" i="16"/>
  <c r="AD570" i="16"/>
  <c r="AD777" i="16"/>
  <c r="AD1248" i="16"/>
  <c r="AD531" i="16"/>
  <c r="AD1521" i="16"/>
  <c r="AD1185" i="16"/>
  <c r="AD1186" i="16"/>
  <c r="AD1187" i="16"/>
  <c r="AD1188" i="16"/>
  <c r="AD1998" i="16"/>
  <c r="AD1999" i="16"/>
  <c r="AD1193" i="16"/>
  <c r="AD795" i="16"/>
  <c r="AD2222" i="16"/>
  <c r="AD2223" i="16"/>
  <c r="AD2224" i="16"/>
  <c r="AD1309" i="16"/>
  <c r="AD1310" i="16"/>
  <c r="AD1311" i="16"/>
  <c r="AD1312" i="16"/>
  <c r="AD1313" i="16"/>
  <c r="AD1730" i="16"/>
  <c r="AD1833" i="16"/>
  <c r="AD851" i="16"/>
  <c r="AD2225" i="16"/>
  <c r="AD1787" i="16"/>
  <c r="AD1941" i="16"/>
  <c r="AD1874" i="16"/>
  <c r="AD1875" i="16"/>
  <c r="AD1813" i="16"/>
  <c r="AD143" i="16"/>
  <c r="AD1010" i="16"/>
  <c r="AD1601" i="16"/>
  <c r="AD1559" i="16"/>
  <c r="AD2226" i="16"/>
  <c r="AD1496" i="16"/>
  <c r="AD1509" i="16"/>
  <c r="AD2105" i="16"/>
  <c r="AD2104" i="16"/>
  <c r="AD1933" i="16"/>
  <c r="AD201" i="16"/>
  <c r="AD1816" i="16"/>
  <c r="AD1537" i="16"/>
  <c r="AD2227" i="16"/>
  <c r="AD2141" i="16"/>
  <c r="AD2142" i="16"/>
  <c r="AD2012" i="16"/>
  <c r="AD84" i="16"/>
  <c r="AD699" i="16"/>
  <c r="AD816" i="16"/>
  <c r="AD1887" i="16"/>
  <c r="AD1888" i="16"/>
  <c r="AD1146" i="16"/>
  <c r="AD682" i="16"/>
  <c r="AD712" i="16"/>
  <c r="AD1525" i="16"/>
  <c r="AD591" i="16"/>
  <c r="AD2139" i="16"/>
  <c r="AD817" i="16"/>
  <c r="AD2110" i="16"/>
  <c r="AD2024" i="16"/>
  <c r="AD1518" i="16"/>
  <c r="AD771" i="16"/>
  <c r="AD772" i="16"/>
  <c r="AD773" i="16"/>
  <c r="AD457" i="16"/>
  <c r="AD458" i="16"/>
  <c r="AD885" i="16"/>
  <c r="AD632" i="16"/>
  <c r="AD1268" i="16"/>
  <c r="AD613" i="16"/>
  <c r="AD593" i="16"/>
  <c r="AD1669" i="16"/>
  <c r="AD1391" i="16"/>
  <c r="AD1670" i="16"/>
  <c r="AD1044" i="16"/>
  <c r="AD666" i="16"/>
  <c r="AD1728" i="16"/>
  <c r="AD1059" i="16"/>
  <c r="AD1165" i="16"/>
  <c r="AD1198" i="16"/>
  <c r="AD1407" i="16"/>
  <c r="AD1113" i="16"/>
  <c r="AD479" i="16"/>
  <c r="AD1570" i="16"/>
  <c r="AD1571" i="16"/>
  <c r="AD1572" i="16"/>
  <c r="AD2163" i="16"/>
  <c r="AD2028" i="16"/>
  <c r="AD690" i="16"/>
  <c r="AD1092" i="16"/>
  <c r="AD667" i="16"/>
  <c r="AD1297" i="16"/>
  <c r="AD1102" i="16"/>
  <c r="AD1815" i="16"/>
  <c r="AD1045" i="16"/>
  <c r="AD1046" i="16"/>
  <c r="AD832" i="16"/>
  <c r="AD1746" i="16"/>
  <c r="AD1756" i="16"/>
  <c r="AD78" i="16"/>
  <c r="AD1526" i="16"/>
  <c r="AD968" i="16"/>
  <c r="AD2228" i="16"/>
  <c r="AD827" i="16"/>
  <c r="AD1278" i="16"/>
  <c r="AD1361" i="16"/>
  <c r="AD961" i="16"/>
  <c r="AD1362" i="16"/>
  <c r="AD1803" i="16"/>
  <c r="AD2229" i="16"/>
  <c r="AD2230" i="16"/>
  <c r="AD2231" i="16"/>
  <c r="AD906" i="16"/>
  <c r="AD865" i="16"/>
  <c r="AD1589" i="16"/>
  <c r="AD818" i="16"/>
  <c r="AD819" i="16"/>
  <c r="AD964" i="16"/>
  <c r="AD820" i="16"/>
  <c r="AD268" i="16"/>
  <c r="AD1825" i="16"/>
  <c r="AD1704" i="16"/>
  <c r="AD2147" i="16"/>
  <c r="AD594" i="16"/>
  <c r="AD1505" i="16"/>
  <c r="AD1579" i="16"/>
  <c r="AD1298" i="16"/>
  <c r="AD1757" i="16"/>
  <c r="AD1758" i="16"/>
  <c r="AD668" i="16"/>
  <c r="AD305" i="16"/>
  <c r="AD1747" i="16"/>
  <c r="AD581" i="16"/>
  <c r="AD590" i="16"/>
  <c r="AD1438" i="16"/>
  <c r="AD1830" i="16"/>
  <c r="AD1790" i="16"/>
  <c r="AD1630" i="16"/>
  <c r="AD1608" i="16"/>
  <c r="AD1272" i="16"/>
  <c r="AD1463" i="16"/>
  <c r="AD2232" i="16"/>
  <c r="AD1599" i="16"/>
  <c r="AD2233" i="16"/>
  <c r="AD1632" i="16"/>
  <c r="AD1472" i="16"/>
  <c r="AD1993" i="16"/>
  <c r="AD2172" i="16"/>
  <c r="AD2234" i="16"/>
  <c r="AD2109" i="16"/>
  <c r="AD2235" i="16"/>
  <c r="AD909" i="16"/>
  <c r="AD147" i="16"/>
  <c r="AD96" i="16"/>
  <c r="AD695" i="16"/>
  <c r="AD1221" i="16"/>
  <c r="AD608" i="16"/>
  <c r="AD1098" i="16"/>
  <c r="AD629" i="16"/>
  <c r="AD484" i="16"/>
  <c r="AD945" i="16"/>
  <c r="AD1076" i="16"/>
  <c r="AD1355" i="16"/>
  <c r="AD498" i="16"/>
  <c r="AD503" i="16"/>
  <c r="AD129" i="16"/>
  <c r="AD1099" i="16"/>
  <c r="AD485" i="16"/>
  <c r="AD946" i="16"/>
  <c r="AD696" i="16"/>
  <c r="AD609" i="16"/>
  <c r="AD504" i="16"/>
  <c r="AD325" i="16"/>
  <c r="AD130" i="16"/>
  <c r="AD97" i="16"/>
  <c r="AD867" i="16"/>
  <c r="AD1100" i="16"/>
  <c r="AD630" i="16"/>
  <c r="AD361" i="16"/>
  <c r="AD486" i="16"/>
  <c r="AD1077" i="16"/>
  <c r="AD499" i="16"/>
  <c r="AD697" i="16"/>
  <c r="AD910" i="16"/>
  <c r="AD991" i="16"/>
  <c r="AD326" i="16"/>
  <c r="AD131" i="16"/>
  <c r="AD98" i="16"/>
  <c r="AD631" i="16"/>
  <c r="AD362" i="16"/>
  <c r="AD500" i="16"/>
  <c r="AD614" i="16"/>
  <c r="AD1230" i="16"/>
  <c r="AD1950" i="16"/>
  <c r="AD1960" i="16"/>
  <c r="AD1651" i="16"/>
  <c r="AD1239" i="16"/>
  <c r="AD149" i="16"/>
  <c r="AD274" i="16"/>
  <c r="AD868" i="16"/>
  <c r="AD869" i="16"/>
  <c r="AD870" i="16"/>
  <c r="AD100" i="16"/>
  <c r="AD967" i="16"/>
  <c r="AD610" i="16"/>
  <c r="AD1240" i="16"/>
  <c r="AD871" i="16"/>
  <c r="AD32" i="16"/>
  <c r="AD174" i="16"/>
  <c r="AD702" i="16"/>
  <c r="AD1028" i="16"/>
  <c r="AD2136" i="16"/>
  <c r="AD505" i="16"/>
  <c r="AD99" i="16"/>
  <c r="AD852" i="16"/>
  <c r="AD327" i="16"/>
  <c r="AD1142" i="16"/>
  <c r="AD363" i="16"/>
  <c r="AD1376" i="16"/>
  <c r="AD1093" i="16"/>
  <c r="AD509" i="16"/>
  <c r="AD872" i="16"/>
  <c r="AD1418" i="16"/>
  <c r="AD703" i="16"/>
  <c r="AD704" i="16"/>
  <c r="AD1029" i="16"/>
  <c r="AD1030" i="16"/>
  <c r="AD2137" i="16"/>
  <c r="AD2138" i="16"/>
  <c r="AD1094" i="16"/>
  <c r="AD1095" i="16"/>
  <c r="AD1326" i="16"/>
  <c r="AD1327" i="16"/>
  <c r="AD1328" i="16"/>
  <c r="AD938" i="16"/>
  <c r="AD939" i="16"/>
  <c r="AD940" i="16"/>
  <c r="AD1356" i="16"/>
  <c r="AD1143" i="16"/>
  <c r="AD1144" i="16"/>
  <c r="AD1078" i="16"/>
  <c r="AD853" i="16"/>
  <c r="AD854" i="16"/>
  <c r="AD510" i="16"/>
  <c r="AD511" i="16"/>
  <c r="AD172" i="16"/>
  <c r="AD173" i="16"/>
  <c r="AD1419" i="16"/>
  <c r="AD1420" i="16"/>
  <c r="AD615" i="16"/>
  <c r="AD2236" i="16"/>
  <c r="AD1101" i="16"/>
  <c r="AD150" i="16"/>
  <c r="AD275" i="16"/>
  <c r="AD1602" i="16"/>
  <c r="AD1661" i="16"/>
  <c r="AD1871" i="16"/>
  <c r="AD1662" i="16"/>
  <c r="AD2151" i="16"/>
  <c r="AD2237" i="16"/>
  <c r="AD306" i="16"/>
  <c r="AD2238" i="16"/>
  <c r="AD1528" i="16"/>
  <c r="AD2239" i="16"/>
  <c r="AD2086" i="16"/>
  <c r="AD2240" i="16"/>
  <c r="AD2007" i="16"/>
  <c r="AD1733" i="16"/>
  <c r="AD1766" i="16"/>
  <c r="AD2002" i="16"/>
  <c r="AD2169" i="16"/>
  <c r="AD1903" i="16"/>
  <c r="AD1760" i="16"/>
  <c r="AD1737" i="16"/>
  <c r="AD1677" i="16"/>
  <c r="AD2119" i="16"/>
  <c r="AD2148" i="16"/>
  <c r="AD2241" i="16"/>
  <c r="AD2149" i="16"/>
  <c r="AD2067" i="16"/>
  <c r="AD1957" i="16"/>
  <c r="AD2122" i="16"/>
  <c r="AD1434" i="16"/>
  <c r="AD2133" i="16"/>
  <c r="AD2242" i="16"/>
  <c r="AD1792" i="16"/>
  <c r="AD2093" i="16"/>
  <c r="AD1735" i="16"/>
  <c r="AD1224" i="16"/>
  <c r="AD1910" i="16"/>
  <c r="AD1911" i="16"/>
  <c r="AD2243" i="16"/>
  <c r="AD2244" i="16"/>
  <c r="AD2180" i="16"/>
  <c r="AD2245" i="16"/>
  <c r="AD2246" i="16"/>
  <c r="AD2247" i="16"/>
  <c r="AD1799" i="16"/>
  <c r="AD2248" i="16"/>
  <c r="AD2249" i="16"/>
  <c r="AD1685" i="16"/>
  <c r="AD1289" i="16"/>
  <c r="AD1671" i="16"/>
  <c r="AD2250" i="16"/>
  <c r="AD2251" i="16"/>
  <c r="AD2252" i="16"/>
  <c r="AD2146" i="16"/>
  <c r="AD2097" i="16"/>
  <c r="AD2157" i="16"/>
  <c r="AD1288" i="16"/>
  <c r="AD636" i="16"/>
  <c r="AD1797" i="16"/>
  <c r="AD1675" i="16"/>
  <c r="AD1939" i="16"/>
  <c r="AD1104" i="16"/>
  <c r="AD2127" i="16"/>
  <c r="AD1517" i="16"/>
  <c r="AD1287" i="16"/>
  <c r="AD1209" i="16"/>
  <c r="AD120" i="16"/>
  <c r="AD1336" i="16"/>
  <c r="AD1380" i="16"/>
  <c r="AD2089" i="16"/>
  <c r="AD408" i="16"/>
  <c r="AD189" i="16"/>
  <c r="AD1759" i="16"/>
  <c r="AD1089" i="16"/>
  <c r="AD979" i="16"/>
  <c r="AD980" i="16"/>
  <c r="AD1468" i="16"/>
  <c r="AD1415" i="16"/>
  <c r="AD1944" i="16"/>
  <c r="AD1461" i="16"/>
  <c r="AD1462" i="16"/>
  <c r="AD2253" i="16"/>
  <c r="AD1031" i="16"/>
  <c r="AD480" i="16"/>
  <c r="AD481" i="16"/>
  <c r="AD482" i="16"/>
  <c r="AD483" i="16"/>
  <c r="AD507" i="16"/>
  <c r="AD508" i="16"/>
  <c r="AD2254" i="16"/>
  <c r="AD2255" i="16"/>
  <c r="AD1618" i="16"/>
  <c r="AD1421" i="16"/>
  <c r="AD1516" i="16"/>
  <c r="AD1249" i="16"/>
  <c r="AD1250" i="16"/>
  <c r="AD372" i="16"/>
  <c r="AD373" i="16"/>
  <c r="AD1930" i="16"/>
  <c r="AD1389" i="16"/>
  <c r="AD746" i="16"/>
  <c r="AD438" i="16"/>
  <c r="AD1889" i="16"/>
  <c r="AD307" i="16"/>
  <c r="AD1369" i="16"/>
  <c r="AD2256" i="16"/>
  <c r="AD915" i="16"/>
  <c r="AD2257" i="16"/>
  <c r="AD2258" i="16"/>
  <c r="AD2158" i="16"/>
  <c r="AD637" i="16"/>
  <c r="AD2128" i="16"/>
  <c r="AD2259" i="16"/>
  <c r="AD2260" i="16"/>
  <c r="AD2261" i="16"/>
  <c r="AD2134" i="16"/>
  <c r="AD728" i="16"/>
  <c r="AD2170" i="16"/>
  <c r="AD880" i="16"/>
  <c r="AD1466" i="16"/>
  <c r="AD1843" i="16"/>
  <c r="AD2262" i="16"/>
  <c r="AD86" i="16"/>
  <c r="AD2083" i="16"/>
  <c r="AD1719" i="16"/>
  <c r="AD2263" i="16"/>
  <c r="AD1458" i="16"/>
  <c r="AD866" i="16"/>
  <c r="AD2076" i="16"/>
  <c r="AD2123" i="16"/>
  <c r="AD405" i="16"/>
  <c r="AD864" i="16"/>
  <c r="AD1653" i="16"/>
  <c r="AD1164" i="16"/>
  <c r="AD742" i="16"/>
  <c r="AD1290" i="16"/>
  <c r="AD778" i="16"/>
  <c r="AD744" i="16"/>
  <c r="AD897" i="16"/>
  <c r="AD2264" i="16"/>
  <c r="AD2265" i="16"/>
  <c r="AD158" i="16"/>
  <c r="AD159" i="16"/>
  <c r="AD1942" i="16"/>
  <c r="AD297" i="16"/>
  <c r="AD841" i="16"/>
  <c r="AD1858" i="16"/>
  <c r="AD638" i="16"/>
  <c r="AD2132" i="16"/>
  <c r="AD1598" i="16"/>
  <c r="AD1798" i="16"/>
  <c r="AD1882" i="16"/>
  <c r="AD424" i="16"/>
  <c r="AD425" i="16"/>
  <c r="AD9" i="16"/>
  <c r="AD1052" i="16"/>
  <c r="AD2162" i="16"/>
  <c r="AD2082" i="16"/>
  <c r="AD2150" i="16"/>
  <c r="AD2094" i="16"/>
  <c r="AD1837" i="16"/>
  <c r="AD256" i="16"/>
  <c r="AD1331" i="16"/>
  <c r="AD1660" i="16"/>
  <c r="AD364" i="16"/>
  <c r="AD954" i="16"/>
  <c r="AD2013" i="16"/>
  <c r="AD2266" i="16"/>
  <c r="AD1755" i="16"/>
  <c r="AD558" i="16"/>
  <c r="AD448" i="16"/>
  <c r="AD860" i="16"/>
  <c r="AD1854" i="16"/>
  <c r="AD137" i="16"/>
  <c r="AD192" i="16"/>
  <c r="AD561" i="16"/>
  <c r="AD743" i="16"/>
  <c r="AD814" i="16"/>
  <c r="AD815" i="16"/>
  <c r="AD2267" i="16"/>
  <c r="AD2120" i="16"/>
  <c r="AD914" i="16"/>
  <c r="AD346" i="16"/>
  <c r="AD443" i="16"/>
  <c r="AD444" i="16"/>
  <c r="AD260" i="16"/>
  <c r="AD445" i="16"/>
  <c r="AD446" i="16"/>
  <c r="AD293" i="16"/>
  <c r="AD1674" i="16"/>
  <c r="AD1682" i="16"/>
  <c r="AD1683" i="16"/>
  <c r="AD2126" i="16"/>
  <c r="AD2268" i="16"/>
  <c r="AD1964" i="16"/>
  <c r="AD792" i="16"/>
  <c r="AD793" i="16"/>
  <c r="AD1547" i="16"/>
  <c r="AD2269" i="16"/>
  <c r="AD1686" i="16"/>
  <c r="AD1687" i="16"/>
  <c r="AD1688" i="16"/>
  <c r="AD2270" i="16"/>
  <c r="AD2102" i="16"/>
  <c r="AD2271" i="16"/>
  <c r="AD2272" i="16"/>
  <c r="AD1655" i="16"/>
  <c r="AD732" i="16"/>
  <c r="AD1678" i="16"/>
  <c r="AD973" i="16"/>
  <c r="AD974" i="16"/>
  <c r="AD1622" i="16"/>
  <c r="AD1084" i="16"/>
  <c r="AD2273" i="16"/>
  <c r="AD1196" i="16"/>
  <c r="AD2087" i="16"/>
  <c r="AD1533" i="16"/>
  <c r="AD2274" i="16"/>
  <c r="AD1885" i="16"/>
  <c r="AD2275" i="16"/>
  <c r="AD1483" i="16"/>
  <c r="AD1914" i="16"/>
  <c r="AD292" i="16"/>
  <c r="AD1448" i="16"/>
  <c r="AD2276" i="16"/>
  <c r="AD2277" i="16"/>
  <c r="AD1689" i="16"/>
  <c r="AD2278" i="16"/>
  <c r="AD1335" i="16"/>
  <c r="AD534" i="16"/>
  <c r="AD535" i="16"/>
  <c r="AD536" i="16"/>
  <c r="AD537" i="16"/>
  <c r="AD538" i="16"/>
  <c r="AD539" i="16"/>
  <c r="AD1943" i="16"/>
  <c r="AD1333" i="16"/>
  <c r="AD409" i="16"/>
  <c r="AD410" i="16"/>
  <c r="AD411" i="16"/>
  <c r="AD412" i="16"/>
  <c r="AD413" i="16"/>
  <c r="AD414" i="16"/>
  <c r="AD415" i="16"/>
  <c r="AD416" i="16"/>
  <c r="AD417" i="16"/>
  <c r="AD418" i="16"/>
  <c r="AD877" i="16"/>
  <c r="AD807" i="16"/>
  <c r="AD1690" i="16"/>
  <c r="AD1652" i="16"/>
  <c r="AD2154" i="16"/>
  <c r="AD1691" i="16"/>
  <c r="AD2003" i="16"/>
  <c r="AD1658" i="16"/>
  <c r="AD2279" i="16"/>
  <c r="AD2280" i="16"/>
  <c r="AD1927" i="16"/>
  <c r="AD1684" i="16"/>
  <c r="AD2281" i="16"/>
  <c r="AD1692" i="16"/>
  <c r="AD1820" i="16"/>
  <c r="AD2282" i="16"/>
  <c r="AD2283" i="16"/>
  <c r="AD164" i="16"/>
  <c r="AD165" i="16"/>
  <c r="AD166" i="16"/>
  <c r="AD167" i="16"/>
  <c r="AD401" i="16"/>
  <c r="AD402" i="16"/>
  <c r="AD403" i="16"/>
  <c r="AD2072" i="16"/>
  <c r="AD2284" i="16"/>
  <c r="AD1913" i="16"/>
  <c r="AD222" i="16"/>
  <c r="AD30" i="16"/>
  <c r="AD101" i="16"/>
  <c r="AD102" i="16"/>
  <c r="AD103" i="16"/>
  <c r="AD114" i="16"/>
  <c r="AD115" i="16"/>
  <c r="AD2066" i="16"/>
  <c r="AD2018" i="16"/>
  <c r="AD356" i="16"/>
  <c r="AD116" i="16"/>
  <c r="AD107" i="16"/>
  <c r="AD108" i="16"/>
  <c r="AD1626" i="16"/>
  <c r="AD109" i="16"/>
  <c r="AD251" i="16"/>
  <c r="AD252" i="16"/>
  <c r="AD253" i="16"/>
  <c r="AD2285" i="16"/>
  <c r="AD254" i="16"/>
  <c r="AD255" i="16"/>
  <c r="AD1762" i="16"/>
  <c r="AD1763" i="16"/>
  <c r="AD1764" i="16"/>
  <c r="AD447" i="16"/>
  <c r="AD540" i="16"/>
  <c r="AD541" i="16"/>
  <c r="AD882" i="16"/>
  <c r="AD978" i="16"/>
  <c r="AD1693" i="16"/>
  <c r="AD1694" i="16"/>
  <c r="AD404" i="16"/>
  <c r="AD1616" i="16"/>
  <c r="AD340" i="16"/>
  <c r="AD341" i="16"/>
  <c r="AD2286" i="16"/>
  <c r="AD2287" i="16"/>
  <c r="AD1919" i="16"/>
  <c r="AD333" i="16"/>
  <c r="AD1848" i="16"/>
  <c r="AD2288" i="16"/>
  <c r="AD2289" i="16"/>
  <c r="AD2290" i="16"/>
  <c r="AD2091" i="16"/>
  <c r="AD2121" i="16"/>
  <c r="AD1664" i="16"/>
  <c r="AD1969" i="16"/>
  <c r="AD2032" i="16"/>
  <c r="AD2159" i="16"/>
  <c r="AD1713" i="16"/>
  <c r="AD1343" i="16"/>
  <c r="AD2038" i="16"/>
  <c r="AD1970" i="16"/>
  <c r="AD1354" i="16"/>
  <c r="AD2039" i="16"/>
  <c r="AD1706" i="16"/>
  <c r="AD1672" i="16"/>
  <c r="AD1554" i="16"/>
  <c r="AD1695" i="16"/>
  <c r="AD1374" i="16"/>
  <c r="AD1631" i="16"/>
  <c r="AD1372" i="16"/>
  <c r="AD1665" i="16"/>
  <c r="AD1666" i="16"/>
  <c r="AD1635" i="16"/>
  <c r="AD1895" i="16"/>
  <c r="AD1307" i="16"/>
  <c r="AD873" i="16"/>
  <c r="AD1936" i="16"/>
  <c r="AD1225" i="16"/>
  <c r="AD1624" i="16"/>
  <c r="AD1775" i="16"/>
  <c r="AD1549" i="16"/>
  <c r="AD986" i="16"/>
  <c r="AD956" i="16"/>
  <c r="AD1621" i="16"/>
  <c r="AD1776" i="16"/>
  <c r="AD1860" i="16"/>
  <c r="AD987" i="16"/>
  <c r="AD988" i="16"/>
  <c r="AD989" i="16"/>
  <c r="AD957" i="16"/>
  <c r="AD958" i="16"/>
  <c r="AD959" i="16"/>
  <c r="AD2291" i="16"/>
  <c r="AD2292" i="16"/>
  <c r="AD2040" i="16"/>
  <c r="AD2041" i="16"/>
  <c r="AD2042" i="16"/>
  <c r="AD2293" i="16"/>
  <c r="AD2171" i="16"/>
  <c r="AD2043" i="16"/>
  <c r="AD1696" i="16"/>
  <c r="AD1623" i="16"/>
  <c r="AD1849" i="16"/>
  <c r="AD1979" i="16"/>
  <c r="AD1412" i="16"/>
  <c r="AD1742" i="16"/>
  <c r="AD1410" i="16"/>
  <c r="AD1237" i="16"/>
  <c r="AD1238" i="16"/>
  <c r="AD1269" i="16"/>
  <c r="AD1264" i="16"/>
  <c r="AD1255" i="16"/>
  <c r="AD1793" i="16"/>
  <c r="AD1794" i="16"/>
  <c r="AD2294" i="16"/>
  <c r="AD1546" i="16"/>
  <c r="AD1375" i="16"/>
  <c r="AD2295" i="16"/>
  <c r="AD1697" i="16"/>
  <c r="AD1698" i="16"/>
  <c r="AD1636" i="16"/>
  <c r="AD1641" i="16"/>
  <c r="AD1667" i="16"/>
  <c r="AD1778" i="16"/>
  <c r="AD1985" i="16"/>
  <c r="AD1323" i="16"/>
  <c r="AD1988" i="16"/>
  <c r="AD1821" i="16"/>
  <c r="AD1265" i="16"/>
  <c r="AD994" i="16"/>
  <c r="AD823" i="16"/>
  <c r="AD1132" i="16"/>
  <c r="AD1381" i="16"/>
  <c r="AD1592" i="16"/>
  <c r="AD1217" i="16"/>
  <c r="AD1189" i="16"/>
  <c r="AD2044" i="16"/>
  <c r="AD1465" i="16"/>
  <c r="AD2045" i="16"/>
  <c r="AD1663" i="16"/>
  <c r="AD1259" i="16"/>
  <c r="AD1492" i="16"/>
  <c r="AD983" i="16"/>
  <c r="AD1455" i="16"/>
  <c r="AD960" i="16"/>
  <c r="AD1811" i="16"/>
  <c r="AD2296" i="16"/>
  <c r="AD2046" i="16"/>
  <c r="AD2047" i="16"/>
  <c r="AD2297" i="16"/>
  <c r="AD2298" i="16"/>
  <c r="AD1726" i="16"/>
  <c r="AD1935" i="16"/>
  <c r="AD2299" i="16"/>
  <c r="AD1729" i="16"/>
  <c r="AD218" i="16"/>
  <c r="AD1971" i="16"/>
  <c r="AD1972" i="16"/>
  <c r="AD2179" i="16"/>
  <c r="AD1329" i="16"/>
  <c r="AD380" i="16"/>
  <c r="AD381" i="16"/>
  <c r="AD2048" i="16"/>
  <c r="AD2300" i="16"/>
  <c r="AD2144" i="16"/>
  <c r="AD1906" i="16"/>
  <c r="AD2153" i="16"/>
  <c r="AD219" i="16"/>
  <c r="AD220" i="16"/>
  <c r="AD1423" i="16"/>
  <c r="AD1637" i="16"/>
  <c r="AD2049" i="16"/>
  <c r="AD2027" i="16"/>
  <c r="AD1959" i="16"/>
  <c r="AD2014" i="16"/>
  <c r="AD1958" i="16"/>
  <c r="AD1947" i="16"/>
  <c r="AD1973" i="16"/>
  <c r="AD2050" i="16"/>
  <c r="AD41" i="16"/>
  <c r="AD42" i="16"/>
  <c r="AD43" i="16"/>
  <c r="AD2301" i="16"/>
  <c r="AD44" i="16"/>
  <c r="AD2165" i="16"/>
  <c r="AD2034" i="16"/>
  <c r="AD2302" i="16"/>
  <c r="AD1515" i="16"/>
  <c r="AD2116" i="16"/>
  <c r="AD1834" i="16"/>
  <c r="AD1322" i="16"/>
  <c r="AD1961" i="16"/>
  <c r="AD1907" i="16"/>
  <c r="AD2051" i="16"/>
  <c r="AD1424" i="16"/>
  <c r="AD2303" i="16"/>
  <c r="AD1909" i="16"/>
  <c r="AD1330" i="16"/>
  <c r="AD2033" i="16"/>
  <c r="AD67" i="16"/>
  <c r="AD68" i="16"/>
  <c r="AD1791" i="16"/>
  <c r="AD2052" i="16"/>
  <c r="AD1456" i="16"/>
  <c r="AD1594" i="16"/>
  <c r="AD69" i="16"/>
  <c r="AD382" i="16"/>
  <c r="AD85" i="16"/>
  <c r="AD2304" i="16"/>
  <c r="AD70" i="16"/>
  <c r="AD669" i="16"/>
  <c r="AD1703" i="16"/>
  <c r="AD617" i="16"/>
  <c r="AD580" i="16"/>
  <c r="AD618" i="16"/>
  <c r="AD619" i="16"/>
  <c r="AD620" i="16"/>
  <c r="AD621" i="16"/>
  <c r="AD622" i="16"/>
  <c r="AD1563" i="16"/>
  <c r="AD676" i="16"/>
  <c r="AD670" i="16"/>
  <c r="AD828" i="16"/>
  <c r="AD829" i="16"/>
  <c r="AD830" i="16"/>
  <c r="AD244" i="16"/>
  <c r="AD245" i="16"/>
  <c r="AD1777" i="16"/>
  <c r="AD1700" i="16"/>
  <c r="AD1548" i="16"/>
  <c r="AD844" i="16"/>
  <c r="AD845" i="16"/>
  <c r="AD1166" i="16"/>
  <c r="AD2053" i="16"/>
  <c r="AD2305" i="16"/>
  <c r="AD377" i="16"/>
  <c r="AD378" i="16"/>
  <c r="AD379" i="16"/>
  <c r="AD229" i="16"/>
  <c r="AD230" i="16"/>
  <c r="AD231" i="16"/>
  <c r="AD1795" i="16"/>
  <c r="AD1891" i="16"/>
  <c r="AD1923" i="16"/>
  <c r="AD2054" i="16"/>
  <c r="AD2306" i="16"/>
  <c r="AD1839" i="16"/>
  <c r="AD1945" i="16"/>
  <c r="AD1974" i="16"/>
  <c r="AD1835" i="16"/>
  <c r="AD1085" i="16"/>
  <c r="AD1086" i="16"/>
  <c r="AD1422" i="16"/>
  <c r="AD1145" i="16"/>
  <c r="AD1057" i="16"/>
  <c r="AD1584" i="16"/>
  <c r="AD1773" i="16"/>
  <c r="AD1789" i="16"/>
  <c r="AD1883" i="16"/>
  <c r="AD1058" i="16"/>
  <c r="AD1119" i="16"/>
  <c r="AD1840" i="16"/>
  <c r="AD846" i="16"/>
  <c r="AD1254" i="16"/>
  <c r="AD322" i="16"/>
  <c r="AD2036" i="16"/>
  <c r="AD2037" i="16"/>
  <c r="AD1527" i="16"/>
  <c r="AD1975" i="16"/>
  <c r="AD1984" i="16"/>
  <c r="AD1220" i="16"/>
  <c r="AD1894" i="16"/>
  <c r="AD1634" i="16"/>
  <c r="AD2307" i="16"/>
  <c r="AD2173" i="16"/>
  <c r="AD1929" i="16"/>
  <c r="AD2166" i="16"/>
  <c r="AD2023" i="16"/>
  <c r="AD1926" i="16"/>
  <c r="AD1836" i="16"/>
  <c r="AD1334" i="16"/>
  <c r="AD2308" i="16"/>
  <c r="AD1976" i="16"/>
  <c r="AD1908" i="16"/>
  <c r="AD1781" i="16"/>
  <c r="AD2000" i="16"/>
  <c r="AD2129" i="16"/>
  <c r="AD1657" i="16"/>
  <c r="AD1829" i="16"/>
  <c r="AD1955" i="16"/>
  <c r="AD2035" i="16"/>
  <c r="AD1977" i="16"/>
  <c r="AD2309" i="16"/>
  <c r="AD2310" i="16"/>
  <c r="AD2031" i="16"/>
  <c r="AD2055" i="16"/>
  <c r="AD2030" i="16"/>
  <c r="AD1968" i="16"/>
  <c r="AD2311" i="16"/>
  <c r="AD1952" i="16"/>
  <c r="AD2312" i="16"/>
  <c r="AD2313" i="16"/>
  <c r="AD2314" i="16"/>
  <c r="AD1869" i="16"/>
  <c r="AD1953" i="16"/>
  <c r="AD1892" i="16"/>
  <c r="AD1831" i="16"/>
  <c r="AD1866" i="16"/>
  <c r="AD2315" i="16"/>
  <c r="AD2026" i="16"/>
  <c r="AD1668" i="16"/>
  <c r="AD2131" i="16"/>
  <c r="AD1745" i="16"/>
  <c r="AD2316" i="16"/>
  <c r="AD2317" i="16"/>
  <c r="AD2056" i="16"/>
  <c r="AD2318" i="16"/>
  <c r="AD2319" i="16"/>
  <c r="AD2118" i="16"/>
  <c r="AD1951" i="16"/>
  <c r="AD1252" i="16"/>
  <c r="AD217" i="16"/>
  <c r="AD369" i="16"/>
  <c r="AD138" i="16"/>
  <c r="AD898" i="16"/>
  <c r="AD1383" i="16"/>
  <c r="AD1384" i="16"/>
  <c r="AD1506" i="16"/>
  <c r="AD262" i="16"/>
  <c r="AD1426" i="16"/>
  <c r="AD139" i="16"/>
  <c r="AD657" i="16"/>
  <c r="AD710" i="16"/>
  <c r="AD1928" i="16"/>
  <c r="AD1867" i="16"/>
  <c r="AD1425" i="16"/>
  <c r="AD1400" i="16"/>
  <c r="AD1710" i="16"/>
  <c r="AD2025" i="16"/>
  <c r="AD1543" i="16"/>
  <c r="AD1578" i="16"/>
  <c r="AD1648" i="16"/>
  <c r="AD1980" i="16"/>
  <c r="AD2075" i="16"/>
  <c r="AD2320" i="16"/>
  <c r="AD2321" i="16"/>
  <c r="AD1460" i="16"/>
  <c r="AD2113" i="16"/>
  <c r="AD1524" i="16"/>
  <c r="AD2322" i="16"/>
  <c r="AD2174" i="16"/>
  <c r="AD1938" i="16"/>
  <c r="AD1899" i="16"/>
  <c r="AD2323" i="16"/>
  <c r="AD2130" i="16"/>
  <c r="AD711" i="16"/>
  <c r="AD2145" i="16"/>
  <c r="AD1922" i="16"/>
  <c r="AD1489" i="16"/>
  <c r="AD2176" i="16"/>
  <c r="AD1593" i="16"/>
  <c r="AD1963" i="16"/>
  <c r="AD883" i="16"/>
  <c r="AD2029" i="16"/>
  <c r="AD1898" i="16"/>
  <c r="AD10" i="16"/>
  <c r="AD11" i="16"/>
  <c r="AD12" i="16"/>
  <c r="AD13" i="16"/>
  <c r="AD14" i="16"/>
  <c r="AD1965" i="16"/>
  <c r="AD750" i="16"/>
  <c r="AD15" i="16"/>
  <c r="AD971" i="16"/>
  <c r="AD1395" i="16"/>
  <c r="AD1232" i="16"/>
  <c r="AD760" i="16"/>
  <c r="AD206" i="16"/>
  <c r="AD663" i="16"/>
  <c r="AD237" i="16"/>
  <c r="AD111" i="16"/>
  <c r="AD383" i="16"/>
  <c r="AD311" i="16"/>
  <c r="AD57" i="16"/>
  <c r="AD110" i="16"/>
  <c r="AD1629" i="16"/>
  <c r="AD714" i="16"/>
  <c r="AD1150" i="16"/>
  <c r="AD323" i="16"/>
  <c r="AD430" i="16"/>
  <c r="AD339" i="16"/>
  <c r="AD757" i="16"/>
  <c r="AD374" i="16"/>
  <c r="AD74" i="16"/>
  <c r="AD106" i="16"/>
  <c r="AD2016" i="16"/>
  <c r="AD1905" i="16"/>
  <c r="AD2324" i="16"/>
  <c r="AD1774" i="16"/>
  <c r="AD1274" i="16"/>
  <c r="AD1948" i="16"/>
  <c r="AD1838" i="16"/>
  <c r="AD1865" i="16"/>
  <c r="AD1761" i="16"/>
  <c r="AD2111" i="16"/>
  <c r="AD1744" i="16"/>
  <c r="AD2090" i="16"/>
  <c r="AD2325" i="16"/>
  <c r="AD1510" i="16"/>
  <c r="AD1557" i="16"/>
  <c r="AD1363" i="16"/>
  <c r="AD1705" i="16"/>
  <c r="AD2020" i="16"/>
  <c r="AD2021" i="16"/>
  <c r="AD1801" i="16"/>
  <c r="AD1782" i="16"/>
  <c r="AD2326" i="16"/>
  <c r="AD2017" i="16"/>
  <c r="AD1978" i="16"/>
  <c r="AD1844" i="16"/>
  <c r="AD2092" i="16"/>
  <c r="AD2117" i="16"/>
  <c r="AD2327" i="16"/>
  <c r="AD1872" i="16"/>
  <c r="AD2328" i="16"/>
  <c r="AD2329" i="16"/>
  <c r="AD2330" i="16"/>
  <c r="AD2331" i="16"/>
  <c r="AD1855" i="16"/>
  <c r="AD1877" i="16"/>
  <c r="AD1337" i="16"/>
  <c r="AD754" i="16"/>
  <c r="AD1501" i="16"/>
  <c r="AD2098" i="16"/>
  <c r="AD831" i="16"/>
  <c r="AD1611" i="16"/>
  <c r="AD1582" i="16"/>
  <c r="AD1558" i="16"/>
  <c r="AD1246" i="16"/>
  <c r="AD1106" i="16"/>
  <c r="AD794" i="16"/>
  <c r="AD1734" i="16"/>
  <c r="AD1796" i="16"/>
  <c r="AD1529" i="16"/>
  <c r="AD1390" i="16"/>
  <c r="AD1822" i="16"/>
  <c r="AD952" i="16"/>
  <c r="AD1213" i="16"/>
  <c r="AD1444" i="16"/>
  <c r="AD1545" i="16"/>
  <c r="AD2332" i="16"/>
  <c r="AD2333" i="16"/>
  <c r="AD2334" i="16"/>
  <c r="AD2335" i="16"/>
  <c r="AD2336" i="16"/>
  <c r="AD2337" i="16"/>
  <c r="AD2338" i="16"/>
  <c r="AD2339" i="16"/>
  <c r="AD2340" i="16"/>
  <c r="AD2341" i="16"/>
  <c r="AD1229" i="16"/>
  <c r="AD1147" i="16"/>
  <c r="AD1490" i="16"/>
  <c r="AD1114" i="16"/>
  <c r="AD2095" i="16"/>
  <c r="AD1681" i="16"/>
  <c r="AD1832" i="16"/>
  <c r="AD1241" i="16"/>
  <c r="AD1881" i="16"/>
  <c r="AD1847" i="16"/>
  <c r="AD755" i="16"/>
  <c r="AD1216" i="16"/>
  <c r="AD721" i="16"/>
  <c r="AD1495" i="16"/>
  <c r="AD1804" i="16"/>
  <c r="AD351" i="16"/>
  <c r="AD489" i="16"/>
  <c r="AD289" i="16"/>
  <c r="AD290" i="16"/>
  <c r="AD1214" i="16"/>
  <c r="AD1721" i="16"/>
  <c r="AD126" i="16"/>
  <c r="AD376" i="16"/>
  <c r="AD1488" i="16"/>
  <c r="AD1712" i="16"/>
  <c r="AD1056" i="16"/>
  <c r="AD1580" i="16"/>
  <c r="AD1097" i="16"/>
  <c r="AD937" i="16"/>
  <c r="AD1040" i="16"/>
  <c r="AD1154" i="16"/>
  <c r="AD1539" i="16"/>
  <c r="AD1880" i="16"/>
  <c r="AD291" i="16"/>
  <c r="I1479" i="16" l="1"/>
  <c r="I3" i="16"/>
  <c r="I1" i="16"/>
  <c r="B1479" i="16"/>
  <c r="B1160" i="16"/>
  <c r="B1168" i="16"/>
  <c r="B749" i="16"/>
  <c r="B1962" i="16"/>
  <c r="B1857" i="16"/>
  <c r="B1279" i="16"/>
  <c r="B634" i="16"/>
  <c r="B1846" i="16"/>
  <c r="B1433" i="16"/>
  <c r="B713" i="16"/>
  <c r="B1222" i="16"/>
  <c r="B922" i="16"/>
  <c r="B920" i="16"/>
  <c r="B427" i="16"/>
  <c r="B1646" i="16"/>
  <c r="B1275" i="16"/>
  <c r="B506" i="16"/>
  <c r="B892" i="16"/>
  <c r="B1284" i="16"/>
  <c r="B1862" i="16"/>
  <c r="B1853" i="16"/>
  <c r="B2140" i="16"/>
  <c r="B1931" i="16"/>
  <c r="B1319" i="16"/>
  <c r="B1709" i="16"/>
  <c r="B1890" i="16"/>
  <c r="B1541" i="16"/>
  <c r="B2019" i="16"/>
  <c r="B233" i="16"/>
  <c r="B1270" i="16"/>
  <c r="B1555" i="16"/>
  <c r="B1701" i="16"/>
  <c r="B1886" i="16"/>
  <c r="B1262" i="16"/>
  <c r="B366" i="16"/>
  <c r="B301" i="16"/>
  <c r="B884" i="16"/>
  <c r="B460" i="16"/>
  <c r="B2164" i="16"/>
  <c r="B1481" i="16"/>
  <c r="B300" i="16"/>
  <c r="B288" i="16"/>
  <c r="B1081" i="16"/>
  <c r="B545" i="16"/>
  <c r="B398" i="16"/>
  <c r="B1536" i="16"/>
  <c r="B762" i="16"/>
  <c r="B674" i="16"/>
  <c r="B1320" i="16"/>
  <c r="B1982" i="16"/>
  <c r="B512" i="16"/>
  <c r="B2068" i="16"/>
  <c r="B477" i="16"/>
  <c r="B385" i="16"/>
  <c r="B1494" i="16"/>
  <c r="B643" i="16"/>
  <c r="B1123" i="16"/>
  <c r="B1863" i="16"/>
  <c r="B347" i="16"/>
  <c r="B1148" i="16"/>
  <c r="B1534" i="16"/>
  <c r="B1480" i="16"/>
  <c r="B1299" i="16"/>
  <c r="B1116" i="16"/>
  <c r="B298" i="16"/>
  <c r="B808" i="16"/>
  <c r="B267" i="16"/>
  <c r="B1614" i="16"/>
  <c r="B295" i="16"/>
  <c r="B1136" i="16"/>
  <c r="B1242" i="16"/>
  <c r="B1610" i="16"/>
  <c r="B279" i="16"/>
  <c r="B726" i="16"/>
  <c r="B1315" i="16"/>
  <c r="B1720" i="16"/>
  <c r="B257" i="16"/>
  <c r="B1784" i="16"/>
  <c r="B1986" i="16"/>
  <c r="B496" i="16"/>
  <c r="B200" i="16"/>
  <c r="B478" i="16"/>
  <c r="B77" i="16"/>
  <c r="B1504" i="16"/>
  <c r="B1243" i="16"/>
  <c r="B1342" i="16"/>
  <c r="B1487" i="16"/>
  <c r="B272" i="16"/>
  <c r="B1180" i="16"/>
  <c r="B1301" i="16"/>
  <c r="B1560" i="16"/>
  <c r="B1654" i="16"/>
  <c r="B92" i="16"/>
  <c r="B838" i="16"/>
  <c r="B1235" i="16"/>
  <c r="B1644" i="16"/>
  <c r="B1447" i="16"/>
  <c r="B1347" i="16"/>
  <c r="B761" i="16"/>
  <c r="B95" i="16"/>
  <c r="B299" i="16"/>
  <c r="B1852" i="16"/>
  <c r="B153" i="16"/>
  <c r="B1199" i="16"/>
  <c r="B495" i="16"/>
  <c r="B2107" i="16"/>
  <c r="B839" i="16"/>
  <c r="B488" i="16"/>
  <c r="B532" i="16"/>
  <c r="B1574" i="16"/>
  <c r="B2187" i="16"/>
  <c r="B350" i="16"/>
  <c r="B572" i="16"/>
  <c r="B501" i="16"/>
  <c r="B269" i="16"/>
  <c r="B756" i="16"/>
  <c r="B716" i="16"/>
  <c r="B768" i="16"/>
  <c r="B1341" i="16"/>
  <c r="B1304" i="16"/>
  <c r="B1303" i="16"/>
  <c r="B1575" i="16"/>
  <c r="B1318" i="16"/>
  <c r="B1864" i="16"/>
  <c r="B1179" i="16"/>
  <c r="B1340" i="16"/>
  <c r="B1317" i="16"/>
  <c r="B560" i="16"/>
  <c r="B1300" i="16"/>
  <c r="B235" i="16"/>
  <c r="B982" i="16"/>
  <c r="B2160" i="16"/>
  <c r="B2186" i="16"/>
  <c r="B765" i="16"/>
  <c r="B2103" i="16"/>
  <c r="B1956" i="16"/>
  <c r="B1861" i="16"/>
  <c r="B400" i="16"/>
  <c r="B1856" i="16"/>
  <c r="B2184" i="16"/>
  <c r="B953" i="16"/>
  <c r="B969" i="16"/>
  <c r="B779" i="16"/>
  <c r="B205" i="16"/>
  <c r="B1001" i="16"/>
  <c r="B1627" i="16"/>
  <c r="B1075" i="16"/>
  <c r="B1124" i="16"/>
  <c r="B890" i="16"/>
  <c r="B1573" i="16"/>
  <c r="B155" i="16"/>
  <c r="B1817" i="16"/>
  <c r="B1981" i="16"/>
  <c r="B332" i="16"/>
  <c r="B1066" i="16"/>
  <c r="B896" i="16"/>
  <c r="B2058" i="16"/>
  <c r="B1474" i="16"/>
  <c r="B583" i="16"/>
  <c r="B276" i="16"/>
  <c r="B691" i="16"/>
  <c r="B1367" i="16"/>
  <c r="B321" i="16"/>
  <c r="B573" i="16"/>
  <c r="B1569" i="16"/>
  <c r="B79" i="16"/>
  <c r="B461" i="16"/>
  <c r="B80" i="16"/>
  <c r="B1366" i="16"/>
  <c r="B2064" i="16"/>
  <c r="B324" i="16"/>
  <c r="B1676" i="16"/>
  <c r="B271" i="16"/>
  <c r="B1577" i="16"/>
  <c r="B1107" i="16"/>
  <c r="B861" i="16"/>
  <c r="B2015" i="16"/>
  <c r="B2188" i="16"/>
  <c r="B1535" i="16"/>
  <c r="B947" i="16"/>
  <c r="B309" i="16"/>
  <c r="B1605" i="16"/>
  <c r="B1228" i="16"/>
  <c r="B318" i="16"/>
  <c r="B1295" i="16"/>
  <c r="B1740" i="16"/>
  <c r="B963" i="16"/>
  <c r="B2106" i="16"/>
  <c r="B680" i="16"/>
  <c r="B160" i="16"/>
  <c r="B2079" i="16"/>
  <c r="B1954" i="16"/>
  <c r="B747" i="16"/>
  <c r="B2005" i="16"/>
  <c r="B1227" i="16"/>
  <c r="B1109" i="16"/>
  <c r="B494" i="16"/>
  <c r="B386" i="16"/>
  <c r="B387" i="16"/>
  <c r="B1679" i="16"/>
  <c r="B1149" i="16"/>
  <c r="B112" i="16"/>
  <c r="B375" i="16"/>
  <c r="B451" i="16"/>
  <c r="B675" i="16"/>
  <c r="B1282" i="16"/>
  <c r="B236" i="16"/>
  <c r="B282" i="16"/>
  <c r="B2006" i="16"/>
  <c r="B1135" i="16"/>
  <c r="B259" i="16"/>
  <c r="B1364" i="16"/>
  <c r="B579" i="16"/>
  <c r="B1850" i="16"/>
  <c r="B996" i="16"/>
  <c r="B2088" i="16"/>
  <c r="B1271" i="16"/>
  <c r="B1435" i="16"/>
  <c r="B1915" i="16"/>
  <c r="B1924" i="16"/>
  <c r="B1485" i="16"/>
  <c r="B1338" i="16"/>
  <c r="B1108" i="16"/>
  <c r="B1530" i="16"/>
  <c r="B1897" i="16"/>
  <c r="B1258" i="16"/>
  <c r="B660" i="16"/>
  <c r="B1090" i="16"/>
  <c r="B528" i="16"/>
  <c r="B932" i="16"/>
  <c r="B1377" i="16"/>
  <c r="B665" i="16"/>
  <c r="B1723" i="16"/>
  <c r="B1345" i="16"/>
  <c r="B1711" i="16"/>
  <c r="B1900" i="16"/>
  <c r="B551" i="16"/>
  <c r="B60" i="16"/>
  <c r="B1477" i="16"/>
  <c r="B296" i="16"/>
  <c r="B1231" i="16"/>
  <c r="B2182" i="16"/>
  <c r="B370" i="16"/>
  <c r="B63" i="16"/>
  <c r="B901" i="16"/>
  <c r="B1934" i="16"/>
  <c r="B349" i="16"/>
  <c r="B1606" i="16"/>
  <c r="B450" i="16"/>
  <c r="B266" i="16"/>
  <c r="B258" i="16"/>
  <c r="B273" i="16"/>
  <c r="B1200" i="16"/>
  <c r="B786" i="16"/>
  <c r="B1105" i="16"/>
  <c r="B154" i="16"/>
  <c r="B2057" i="16"/>
  <c r="B1302" i="16"/>
  <c r="B727" i="16"/>
  <c r="B977" i="16"/>
  <c r="B368" i="16"/>
  <c r="B705" i="16"/>
  <c r="B1523" i="16"/>
  <c r="B1439" i="16"/>
  <c r="B1305" i="16"/>
  <c r="B2183" i="16"/>
  <c r="B891" i="16"/>
  <c r="B559" i="16"/>
  <c r="B280" i="16"/>
  <c r="B1731" i="16"/>
  <c r="B2115" i="16"/>
  <c r="B999" i="16"/>
  <c r="B1538" i="16"/>
  <c r="B2022" i="16"/>
  <c r="B1083" i="16"/>
  <c r="B1473" i="16"/>
  <c r="B893" i="16"/>
  <c r="B287" i="16"/>
  <c r="B923" i="16"/>
  <c r="B849" i="16"/>
  <c r="B1316" i="16"/>
  <c r="B17" i="16"/>
  <c r="B2112" i="16"/>
  <c r="B1286" i="16"/>
  <c r="B1283" i="16"/>
  <c r="B1739" i="16"/>
  <c r="B1542" i="16"/>
  <c r="B1851" i="16"/>
  <c r="B2155" i="16"/>
  <c r="B1263" i="16"/>
  <c r="B1596" i="16"/>
  <c r="B1122" i="16"/>
  <c r="B1645" i="16"/>
  <c r="B796" i="16"/>
  <c r="B459" i="16"/>
  <c r="B1138" i="16"/>
  <c r="B693" i="16"/>
  <c r="B936" i="16"/>
  <c r="B1009" i="16"/>
  <c r="B1292" i="16"/>
  <c r="B529" i="16"/>
  <c r="B876" i="16"/>
  <c r="B1190" i="16"/>
  <c r="B582" i="16"/>
  <c r="B1642" i="16"/>
  <c r="B1118" i="16"/>
  <c r="B605" i="16"/>
  <c r="B1082" i="16"/>
  <c r="B789" i="16"/>
  <c r="B1440" i="16"/>
  <c r="B1576" i="16"/>
  <c r="B1244" i="16"/>
  <c r="B652" i="16"/>
  <c r="B1416" i="16"/>
  <c r="B1226" i="16"/>
  <c r="B587" i="16"/>
  <c r="B1219" i="16"/>
  <c r="B285" i="16"/>
  <c r="B692" i="16"/>
  <c r="B1399" i="16"/>
  <c r="B2124" i="16"/>
  <c r="B970" i="16"/>
  <c r="B894" i="16"/>
  <c r="B1261" i="16"/>
  <c r="B2001" i="16"/>
  <c r="B655" i="16"/>
  <c r="B1115" i="16"/>
  <c r="B2167" i="16"/>
  <c r="B941" i="16"/>
  <c r="B1449" i="16"/>
  <c r="B2168" i="16"/>
  <c r="B611" i="16"/>
  <c r="B367" i="16"/>
  <c r="B1208" i="16"/>
  <c r="B1321" i="16"/>
  <c r="B1987" i="16"/>
  <c r="B769" i="16"/>
  <c r="B1581" i="16"/>
  <c r="B2135" i="16"/>
  <c r="B1032" i="16"/>
  <c r="B1281" i="16"/>
  <c r="B635" i="16"/>
  <c r="B597" i="16"/>
  <c r="B2114" i="16"/>
  <c r="B270" i="16"/>
  <c r="B720" i="16"/>
  <c r="B1202" i="16"/>
  <c r="B1065" i="16"/>
  <c r="B1493" i="16"/>
  <c r="B1125" i="16"/>
  <c r="B862" i="16"/>
  <c r="B359" i="16"/>
  <c r="B358" i="16"/>
  <c r="B1876" i="16"/>
  <c r="B745" i="16"/>
  <c r="B975" i="16"/>
  <c r="B1306" i="16"/>
  <c r="B502" i="16"/>
  <c r="B2185" i="16"/>
  <c r="B542" i="16"/>
  <c r="B1000" i="16"/>
  <c r="B284" i="16"/>
  <c r="B1450" i="16"/>
  <c r="B1441" i="16"/>
  <c r="B806" i="16"/>
  <c r="B1392" i="16"/>
  <c r="B1659" i="16"/>
  <c r="B1511" i="16"/>
  <c r="B664" i="16"/>
  <c r="B2059" i="16"/>
  <c r="B328" i="16"/>
  <c r="B942" i="16"/>
  <c r="B1280" i="16"/>
  <c r="B310" i="16"/>
  <c r="B1325" i="16"/>
  <c r="B1967" i="16"/>
  <c r="B826" i="16"/>
  <c r="B659" i="16"/>
  <c r="B76" i="16"/>
  <c r="B748" i="16"/>
  <c r="B320" i="16"/>
  <c r="B453" i="16"/>
  <c r="B1707" i="16"/>
  <c r="B1393" i="16"/>
  <c r="B1738" i="16"/>
  <c r="B1484" i="16"/>
  <c r="B921" i="16"/>
  <c r="B1054" i="16"/>
  <c r="B895" i="16"/>
  <c r="B487" i="16"/>
  <c r="B1352" i="16"/>
  <c r="B1068" i="16"/>
  <c r="B556" i="16"/>
  <c r="B462" i="16"/>
  <c r="B598" i="16"/>
  <c r="B1401" i="16"/>
  <c r="B6" i="16"/>
  <c r="B1925" i="16"/>
  <c r="B1680" i="16"/>
  <c r="B329" i="16"/>
  <c r="B995" i="16"/>
  <c r="B1139" i="16"/>
  <c r="B335" i="16"/>
  <c r="B1348" i="16"/>
  <c r="B1966" i="16"/>
  <c r="B1603" i="16"/>
  <c r="B1296" i="16"/>
  <c r="B766" i="16"/>
  <c r="B1725" i="16"/>
  <c r="B454" i="16"/>
  <c r="B1137" i="16"/>
  <c r="B2004" i="16"/>
  <c r="B1129" i="16"/>
  <c r="B1055" i="16"/>
  <c r="B475" i="16"/>
  <c r="B804" i="16"/>
  <c r="B1751" i="16"/>
  <c r="B319" i="16"/>
  <c r="B1724" i="16"/>
  <c r="B1349" i="16"/>
  <c r="B1351" i="16"/>
  <c r="B734" i="16"/>
  <c r="B1141" i="16"/>
  <c r="B1346" i="16"/>
  <c r="B1103" i="16"/>
  <c r="B94" i="16"/>
  <c r="B1519" i="16"/>
  <c r="B997" i="16"/>
  <c r="B530" i="16"/>
  <c r="B216" i="16"/>
  <c r="B1411" i="16"/>
  <c r="B656" i="16"/>
  <c r="B371" i="16"/>
  <c r="B357" i="16"/>
  <c r="B1194" i="16"/>
  <c r="B452" i="16"/>
  <c r="B1357" i="16"/>
  <c r="B1600" i="16"/>
  <c r="B2101" i="16"/>
  <c r="B62" i="16"/>
  <c r="B348" i="16"/>
  <c r="B524" i="16"/>
  <c r="B612" i="16"/>
  <c r="B1552" i="16"/>
  <c r="B1893" i="16"/>
  <c r="B1350" i="16"/>
  <c r="B1783" i="16"/>
  <c r="B1901" i="16"/>
  <c r="B1568" i="16"/>
  <c r="B118" i="16"/>
  <c r="B943" i="16"/>
  <c r="B31" i="16"/>
  <c r="B232" i="16"/>
  <c r="B944" i="16"/>
  <c r="B962" i="16"/>
  <c r="B767" i="16"/>
  <c r="B1067" i="16"/>
  <c r="B1643" i="16"/>
  <c r="B1167" i="16"/>
  <c r="B221" i="16"/>
  <c r="B1064" i="16"/>
  <c r="B533" i="16"/>
  <c r="B2074" i="16"/>
  <c r="B1197" i="16"/>
  <c r="B788" i="16"/>
  <c r="B277" i="16"/>
  <c r="B163" i="16"/>
  <c r="B1937" i="16"/>
  <c r="B330" i="16"/>
  <c r="B1285" i="16"/>
  <c r="B1293" i="16"/>
  <c r="B1810" i="16"/>
  <c r="B863" i="16"/>
  <c r="B286" i="16"/>
  <c r="B1276" i="16"/>
  <c r="B1587" i="16"/>
  <c r="B1294" i="16"/>
  <c r="B1567" i="16"/>
  <c r="B1475" i="16"/>
  <c r="B1478" i="16"/>
  <c r="B1946" i="16"/>
  <c r="B1708" i="16"/>
  <c r="B549" i="16"/>
  <c r="B1128" i="16"/>
  <c r="B2100" i="16"/>
  <c r="B1140" i="16"/>
  <c r="B1520" i="16"/>
  <c r="B1130" i="16"/>
  <c r="B162" i="16"/>
  <c r="B265" i="16"/>
  <c r="B1365" i="16"/>
  <c r="B2181" i="16"/>
  <c r="B1236" i="16"/>
  <c r="B770" i="16"/>
  <c r="B1647" i="16"/>
  <c r="B1588" i="16"/>
  <c r="B1394" i="16"/>
  <c r="B1368" i="16"/>
  <c r="B1251" i="16"/>
  <c r="B790" i="16"/>
  <c r="B527" i="16"/>
  <c r="B1992" i="16"/>
  <c r="B588" i="16"/>
  <c r="B113" i="16"/>
  <c r="B1291" i="16"/>
  <c r="B93" i="16"/>
  <c r="B161" i="16"/>
  <c r="B1732" i="16"/>
  <c r="B1053" i="16"/>
  <c r="B1445" i="16"/>
  <c r="B1446" i="16"/>
  <c r="B1121" i="16"/>
  <c r="B1486" i="16"/>
  <c r="B1615" i="16"/>
  <c r="B132" i="16"/>
  <c r="B449" i="16"/>
  <c r="B523" i="16"/>
  <c r="B589" i="16"/>
  <c r="B27" i="16"/>
  <c r="B61" i="16"/>
  <c r="B441" i="16"/>
  <c r="B360" i="16"/>
  <c r="B1253" i="16"/>
  <c r="B550" i="16"/>
  <c r="C1479" i="16"/>
  <c r="E1479" i="16" l="1"/>
  <c r="E1160" i="16"/>
  <c r="E1168" i="16"/>
  <c r="E749" i="16"/>
  <c r="E1962" i="16"/>
  <c r="E1857" i="16"/>
  <c r="E1279" i="16"/>
  <c r="E634" i="16"/>
  <c r="E1846" i="16"/>
  <c r="E1433" i="16"/>
  <c r="E713" i="16"/>
  <c r="E1222" i="16"/>
  <c r="E922" i="16"/>
  <c r="E920" i="16"/>
  <c r="E427" i="16"/>
  <c r="E1646" i="16"/>
  <c r="E1275" i="16"/>
  <c r="E506" i="16"/>
  <c r="E892" i="16"/>
  <c r="E1284" i="16"/>
  <c r="E1862" i="16"/>
  <c r="E1853" i="16"/>
  <c r="E2140" i="16"/>
  <c r="E1931" i="16"/>
  <c r="E1319" i="16"/>
  <c r="E1709" i="16"/>
  <c r="E1890" i="16"/>
  <c r="E1541" i="16"/>
  <c r="E2019" i="16"/>
  <c r="E233" i="16"/>
  <c r="E1270" i="16"/>
  <c r="E1555" i="16"/>
  <c r="E1701" i="16"/>
  <c r="E1886" i="16"/>
  <c r="E1262" i="16"/>
  <c r="E366" i="16"/>
  <c r="E301" i="16"/>
  <c r="E884" i="16"/>
  <c r="E460" i="16"/>
  <c r="E2164" i="16"/>
  <c r="E1481" i="16"/>
  <c r="E300" i="16"/>
  <c r="E288" i="16"/>
  <c r="E1081" i="16"/>
  <c r="E545" i="16"/>
  <c r="E398" i="16"/>
  <c r="E1536" i="16"/>
  <c r="E762" i="16"/>
  <c r="E674" i="16"/>
  <c r="E1320" i="16"/>
  <c r="E1982" i="16"/>
  <c r="E512" i="16"/>
  <c r="E2068" i="16"/>
  <c r="E477" i="16"/>
  <c r="E385" i="16"/>
  <c r="E1494" i="16"/>
  <c r="E643" i="16"/>
  <c r="E1123" i="16"/>
  <c r="E1863" i="16"/>
  <c r="E347" i="16"/>
  <c r="E1148" i="16"/>
  <c r="E1534" i="16"/>
  <c r="E1480" i="16"/>
  <c r="E1299" i="16"/>
  <c r="E1116" i="16"/>
  <c r="E298" i="16"/>
  <c r="E808" i="16"/>
  <c r="E267" i="16"/>
  <c r="E1614" i="16"/>
  <c r="E295" i="16"/>
  <c r="E1136" i="16"/>
  <c r="E1242" i="16"/>
  <c r="E1610" i="16"/>
  <c r="E279" i="16"/>
  <c r="E726" i="16"/>
  <c r="E1315" i="16"/>
  <c r="E1720" i="16"/>
  <c r="E257" i="16"/>
  <c r="E1784" i="16"/>
  <c r="E1986" i="16"/>
  <c r="E496" i="16"/>
  <c r="E200" i="16"/>
  <c r="E478" i="16"/>
  <c r="E77" i="16"/>
  <c r="E1504" i="16"/>
  <c r="E1243" i="16"/>
  <c r="E1342" i="16"/>
  <c r="E1487" i="16"/>
  <c r="E272" i="16"/>
  <c r="E1180" i="16"/>
  <c r="E1301" i="16"/>
  <c r="E1560" i="16"/>
  <c r="E1654" i="16"/>
  <c r="E92" i="16"/>
  <c r="E838" i="16"/>
  <c r="E1235" i="16"/>
  <c r="E1644" i="16"/>
  <c r="E1447" i="16"/>
  <c r="E1347" i="16"/>
  <c r="E761" i="16"/>
  <c r="E95" i="16"/>
  <c r="E299" i="16"/>
  <c r="E1852" i="16"/>
  <c r="E153" i="16"/>
  <c r="E1199" i="16"/>
  <c r="E495" i="16"/>
  <c r="E2107" i="16"/>
  <c r="E839" i="16"/>
  <c r="E488" i="16"/>
  <c r="E532" i="16"/>
  <c r="E1574" i="16"/>
  <c r="E2187" i="16"/>
  <c r="E350" i="16"/>
  <c r="E572" i="16"/>
  <c r="E501" i="16"/>
  <c r="E269" i="16"/>
  <c r="E756" i="16"/>
  <c r="E716" i="16"/>
  <c r="E768" i="16"/>
  <c r="E1341" i="16"/>
  <c r="E1304" i="16"/>
  <c r="E1303" i="16"/>
  <c r="E1575" i="16"/>
  <c r="E1318" i="16"/>
  <c r="E1864" i="16"/>
  <c r="E1179" i="16"/>
  <c r="E1340" i="16"/>
  <c r="E1317" i="16"/>
  <c r="E560" i="16"/>
  <c r="E1300" i="16"/>
  <c r="E235" i="16"/>
  <c r="E982" i="16"/>
  <c r="E2160" i="16"/>
  <c r="E2186" i="16"/>
  <c r="E765" i="16"/>
  <c r="E2103" i="16"/>
  <c r="E1956" i="16"/>
  <c r="E1861" i="16"/>
  <c r="E400" i="16"/>
  <c r="E1856" i="16"/>
  <c r="E2184" i="16"/>
  <c r="E953" i="16"/>
  <c r="E969" i="16"/>
  <c r="E779" i="16"/>
  <c r="E205" i="16"/>
  <c r="E1001" i="16"/>
  <c r="E1627" i="16"/>
  <c r="E1075" i="16"/>
  <c r="E1124" i="16"/>
  <c r="E890" i="16"/>
  <c r="E1573" i="16"/>
  <c r="E155" i="16"/>
  <c r="E1817" i="16"/>
  <c r="E1981" i="16"/>
  <c r="E332" i="16"/>
  <c r="E1066" i="16"/>
  <c r="E896" i="16"/>
  <c r="E2058" i="16"/>
  <c r="E1474" i="16"/>
  <c r="E583" i="16"/>
  <c r="E276" i="16"/>
  <c r="E691" i="16"/>
  <c r="E1367" i="16"/>
  <c r="E321" i="16"/>
  <c r="E573" i="16"/>
  <c r="E1569" i="16"/>
  <c r="E79" i="16"/>
  <c r="E461" i="16"/>
  <c r="E80" i="16"/>
  <c r="E1366" i="16"/>
  <c r="E2064" i="16"/>
  <c r="E324" i="16"/>
  <c r="E1676" i="16"/>
  <c r="E271" i="16"/>
  <c r="E1577" i="16"/>
  <c r="E1107" i="16"/>
  <c r="E861" i="16"/>
  <c r="E2015" i="16"/>
  <c r="E2188" i="16"/>
  <c r="E1535" i="16"/>
  <c r="E947" i="16"/>
  <c r="E309" i="16"/>
  <c r="E1605" i="16"/>
  <c r="E1228" i="16"/>
  <c r="E318" i="16"/>
  <c r="E1295" i="16"/>
  <c r="E1740" i="16"/>
  <c r="E963" i="16"/>
  <c r="E2106" i="16"/>
  <c r="E680" i="16"/>
  <c r="E160" i="16"/>
  <c r="E2079" i="16"/>
  <c r="E1954" i="16"/>
  <c r="E747" i="16"/>
  <c r="E2005" i="16"/>
  <c r="E1227" i="16"/>
  <c r="E1109" i="16"/>
  <c r="E494" i="16"/>
  <c r="E386" i="16"/>
  <c r="E387" i="16"/>
  <c r="E1679" i="16"/>
  <c r="E1149" i="16"/>
  <c r="E112" i="16"/>
  <c r="E375" i="16"/>
  <c r="E451" i="16"/>
  <c r="E675" i="16"/>
  <c r="E1282" i="16"/>
  <c r="E236" i="16"/>
  <c r="E282" i="16"/>
  <c r="E2006" i="16"/>
  <c r="E1135" i="16"/>
  <c r="E259" i="16"/>
  <c r="E1364" i="16"/>
  <c r="E579" i="16"/>
  <c r="E1850" i="16"/>
  <c r="E996" i="16"/>
  <c r="E2088" i="16"/>
  <c r="E1271" i="16"/>
  <c r="E1435" i="16"/>
  <c r="E1915" i="16"/>
  <c r="E1924" i="16"/>
  <c r="E1485" i="16"/>
  <c r="E1338" i="16"/>
  <c r="E1108" i="16"/>
  <c r="E1530" i="16"/>
  <c r="E1897" i="16"/>
  <c r="E1258" i="16"/>
  <c r="E660" i="16"/>
  <c r="E1090" i="16"/>
  <c r="E528" i="16"/>
  <c r="E932" i="16"/>
  <c r="E1377" i="16"/>
  <c r="E665" i="16"/>
  <c r="E1723" i="16"/>
  <c r="E1345" i="16"/>
  <c r="E1711" i="16"/>
  <c r="E1900" i="16"/>
  <c r="E551" i="16"/>
  <c r="E60" i="16"/>
  <c r="E1477" i="16"/>
  <c r="E296" i="16"/>
  <c r="E1231" i="16"/>
  <c r="E2182" i="16"/>
  <c r="E370" i="16"/>
  <c r="E63" i="16"/>
  <c r="E901" i="16"/>
  <c r="E1934" i="16"/>
  <c r="E349" i="16"/>
  <c r="E1606" i="16"/>
  <c r="E450" i="16"/>
  <c r="E266" i="16"/>
  <c r="E258" i="16"/>
  <c r="E273" i="16"/>
  <c r="E1200" i="16"/>
  <c r="E786" i="16"/>
  <c r="E1105" i="16"/>
  <c r="E154" i="16"/>
  <c r="E2057" i="16"/>
  <c r="E1302" i="16"/>
  <c r="E727" i="16"/>
  <c r="E977" i="16"/>
  <c r="E368" i="16"/>
  <c r="E705" i="16"/>
  <c r="E1523" i="16"/>
  <c r="E1439" i="16"/>
  <c r="E1305" i="16"/>
  <c r="E2183" i="16"/>
  <c r="E891" i="16"/>
  <c r="E559" i="16"/>
  <c r="E280" i="16"/>
  <c r="E1731" i="16"/>
  <c r="E2115" i="16"/>
  <c r="E999" i="16"/>
  <c r="E1538" i="16"/>
  <c r="E2022" i="16"/>
  <c r="E1083" i="16"/>
  <c r="E1473" i="16"/>
  <c r="E893" i="16"/>
  <c r="E287" i="16"/>
  <c r="E923" i="16"/>
  <c r="E849" i="16"/>
  <c r="E1316" i="16"/>
  <c r="E17" i="16"/>
  <c r="E2112" i="16"/>
  <c r="E1286" i="16"/>
  <c r="E1283" i="16"/>
  <c r="E1739" i="16"/>
  <c r="E1542" i="16"/>
  <c r="E1851" i="16"/>
  <c r="E2155" i="16"/>
  <c r="E1263" i="16"/>
  <c r="E1596" i="16"/>
  <c r="E1122" i="16"/>
  <c r="E1645" i="16"/>
  <c r="E796" i="16"/>
  <c r="E459" i="16"/>
  <c r="E1138" i="16"/>
  <c r="E693" i="16"/>
  <c r="E936" i="16"/>
  <c r="E1009" i="16"/>
  <c r="E1292" i="16"/>
  <c r="E529" i="16"/>
  <c r="E876" i="16"/>
  <c r="E1190" i="16"/>
  <c r="E582" i="16"/>
  <c r="E1642" i="16"/>
  <c r="E1118" i="16"/>
  <c r="E605" i="16"/>
  <c r="E1082" i="16"/>
  <c r="E789" i="16"/>
  <c r="E1440" i="16"/>
  <c r="E1576" i="16"/>
  <c r="E1244" i="16"/>
  <c r="E652" i="16"/>
  <c r="E1416" i="16"/>
  <c r="E1226" i="16"/>
  <c r="E587" i="16"/>
  <c r="E1219" i="16"/>
  <c r="E285" i="16"/>
  <c r="E692" i="16"/>
  <c r="E1399" i="16"/>
  <c r="E2124" i="16"/>
  <c r="E970" i="16"/>
  <c r="E894" i="16"/>
  <c r="E1261" i="16"/>
  <c r="E2001" i="16"/>
  <c r="E655" i="16"/>
  <c r="E1115" i="16"/>
  <c r="E2167" i="16"/>
  <c r="E941" i="16"/>
  <c r="E1449" i="16"/>
  <c r="E2168" i="16"/>
  <c r="E611" i="16"/>
  <c r="E367" i="16"/>
  <c r="E1208" i="16"/>
  <c r="E1321" i="16"/>
  <c r="E1987" i="16"/>
  <c r="E769" i="16"/>
  <c r="E1581" i="16"/>
  <c r="E2135" i="16"/>
  <c r="E1032" i="16"/>
  <c r="E1281" i="16"/>
  <c r="E635" i="16"/>
  <c r="E597" i="16"/>
  <c r="E2114" i="16"/>
  <c r="E270" i="16"/>
  <c r="E720" i="16"/>
  <c r="E1202" i="16"/>
  <c r="E1065" i="16"/>
  <c r="E1493" i="16"/>
  <c r="E1125" i="16"/>
  <c r="E862" i="16"/>
  <c r="E359" i="16"/>
  <c r="E358" i="16"/>
  <c r="E1876" i="16"/>
  <c r="E745" i="16"/>
  <c r="E975" i="16"/>
  <c r="E1306" i="16"/>
  <c r="E502" i="16"/>
  <c r="E2185" i="16"/>
  <c r="E542" i="16"/>
  <c r="E1000" i="16"/>
  <c r="E284" i="16"/>
  <c r="E1450" i="16"/>
  <c r="E1441" i="16"/>
  <c r="E806" i="16"/>
  <c r="E1392" i="16"/>
  <c r="E1659" i="16"/>
  <c r="E1511" i="16"/>
  <c r="E664" i="16"/>
  <c r="E2059" i="16"/>
  <c r="E328" i="16"/>
  <c r="E942" i="16"/>
  <c r="E1280" i="16"/>
  <c r="E310" i="16"/>
  <c r="E1325" i="16"/>
  <c r="E1967" i="16"/>
  <c r="E826" i="16"/>
  <c r="E659" i="16"/>
  <c r="E76" i="16"/>
  <c r="E748" i="16"/>
  <c r="E320" i="16"/>
  <c r="E453" i="16"/>
  <c r="E1707" i="16"/>
  <c r="E1393" i="16"/>
  <c r="E1738" i="16"/>
  <c r="E1484" i="16"/>
  <c r="E921" i="16"/>
  <c r="E1054" i="16"/>
  <c r="E895" i="16"/>
  <c r="E487" i="16"/>
  <c r="E1352" i="16"/>
  <c r="E1068" i="16"/>
  <c r="E556" i="16"/>
  <c r="E462" i="16"/>
  <c r="E598" i="16"/>
  <c r="E1401" i="16"/>
  <c r="E6" i="16"/>
  <c r="E1925" i="16"/>
  <c r="E1680" i="16"/>
  <c r="E329" i="16"/>
  <c r="E995" i="16"/>
  <c r="E1139" i="16"/>
  <c r="E335" i="16"/>
  <c r="E1348" i="16"/>
  <c r="E1966" i="16"/>
  <c r="E1603" i="16"/>
  <c r="E1296" i="16"/>
  <c r="E766" i="16"/>
  <c r="E1725" i="16"/>
  <c r="E454" i="16"/>
  <c r="E1137" i="16"/>
  <c r="E2004" i="16"/>
  <c r="E1129" i="16"/>
  <c r="E1055" i="16"/>
  <c r="E475" i="16"/>
  <c r="E804" i="16"/>
  <c r="E1751" i="16"/>
  <c r="E319" i="16"/>
  <c r="E1724" i="16"/>
  <c r="E1349" i="16"/>
  <c r="E1351" i="16"/>
  <c r="E734" i="16"/>
  <c r="E1141" i="16"/>
  <c r="E1346" i="16"/>
  <c r="E1103" i="16"/>
  <c r="E94" i="16"/>
  <c r="E1519" i="16"/>
  <c r="E997" i="16"/>
  <c r="E530" i="16"/>
  <c r="E216" i="16"/>
  <c r="E1411" i="16"/>
  <c r="E656" i="16"/>
  <c r="E371" i="16"/>
  <c r="E357" i="16"/>
  <c r="E1194" i="16"/>
  <c r="E452" i="16"/>
  <c r="E1357" i="16"/>
  <c r="E1600" i="16"/>
  <c r="E2101" i="16"/>
  <c r="E62" i="16"/>
  <c r="E348" i="16"/>
  <c r="E524" i="16"/>
  <c r="E612" i="16"/>
  <c r="E1552" i="16"/>
  <c r="E1893" i="16"/>
  <c r="E1350" i="16"/>
  <c r="E1783" i="16"/>
  <c r="E1901" i="16"/>
  <c r="E1568" i="16"/>
  <c r="E118" i="16"/>
  <c r="E943" i="16"/>
  <c r="E31" i="16"/>
  <c r="E232" i="16"/>
  <c r="E944" i="16"/>
  <c r="E962" i="16"/>
  <c r="E767" i="16"/>
  <c r="E1067" i="16"/>
  <c r="E1643" i="16"/>
  <c r="E1167" i="16"/>
  <c r="E221" i="16"/>
  <c r="E1064" i="16"/>
  <c r="E533" i="16"/>
  <c r="E2074" i="16"/>
  <c r="E1197" i="16"/>
  <c r="E788" i="16"/>
  <c r="E277" i="16"/>
  <c r="E163" i="16"/>
  <c r="E1937" i="16"/>
  <c r="E330" i="16"/>
  <c r="E1285" i="16"/>
  <c r="E1293" i="16"/>
  <c r="E1810" i="16"/>
  <c r="E863" i="16"/>
  <c r="E286" i="16"/>
  <c r="E1276" i="16"/>
  <c r="E1587" i="16"/>
  <c r="E1294" i="16"/>
  <c r="E1567" i="16"/>
  <c r="E1475" i="16"/>
  <c r="E1478" i="16"/>
  <c r="E1946" i="16"/>
  <c r="E1708" i="16"/>
  <c r="E549" i="16"/>
  <c r="E1128" i="16"/>
  <c r="E2100" i="16"/>
  <c r="E1140" i="16"/>
  <c r="E1520" i="16"/>
  <c r="E1130" i="16"/>
  <c r="E162" i="16"/>
  <c r="E265" i="16"/>
  <c r="E1365" i="16"/>
  <c r="E2181" i="16"/>
  <c r="E1236" i="16"/>
  <c r="E770" i="16"/>
  <c r="E1647" i="16"/>
  <c r="E1588" i="16"/>
  <c r="E1394" i="16"/>
  <c r="E1368" i="16"/>
  <c r="E1251" i="16"/>
  <c r="E790" i="16"/>
  <c r="E527" i="16"/>
  <c r="E1992" i="16"/>
  <c r="E588" i="16"/>
  <c r="E113" i="16"/>
  <c r="E1291" i="16"/>
  <c r="E93" i="16"/>
  <c r="E161" i="16"/>
  <c r="E1732" i="16"/>
  <c r="E1053" i="16"/>
  <c r="E1445" i="16"/>
  <c r="E1446" i="16"/>
  <c r="E1121" i="16"/>
  <c r="E1486" i="16"/>
  <c r="E1615" i="16"/>
  <c r="E132" i="16"/>
  <c r="E449" i="16"/>
  <c r="E523" i="16"/>
  <c r="E589" i="16"/>
  <c r="E27" i="16"/>
  <c r="E61" i="16"/>
  <c r="E441" i="16"/>
  <c r="E360" i="16"/>
  <c r="E1253" i="16"/>
  <c r="E550" i="16"/>
  <c r="D1479" i="16"/>
  <c r="AL4" i="23" l="1"/>
  <c r="AH4" i="23"/>
  <c r="AD4" i="23"/>
  <c r="AB4" i="23"/>
  <c r="X4" i="23"/>
  <c r="T4" i="23"/>
  <c r="P4" i="23"/>
  <c r="L4" i="23"/>
  <c r="H4" i="23"/>
  <c r="F4" i="23"/>
  <c r="D4" i="23"/>
  <c r="AH2" i="23"/>
  <c r="AD2" i="23"/>
  <c r="AB2" i="23"/>
  <c r="X2" i="23"/>
  <c r="T2" i="23"/>
  <c r="P2" i="23"/>
  <c r="L2" i="23"/>
  <c r="H2" i="23"/>
  <c r="F2" i="23"/>
  <c r="D2" i="23"/>
  <c r="AD3" i="16"/>
  <c r="AA3" i="16"/>
  <c r="X3" i="16"/>
  <c r="U3" i="16"/>
  <c r="R3" i="16"/>
  <c r="O3" i="16"/>
  <c r="L3" i="16"/>
  <c r="AD1" i="16"/>
  <c r="AA1" i="16"/>
  <c r="X1" i="16"/>
  <c r="U1" i="16"/>
  <c r="R1" i="16"/>
  <c r="O1" i="16"/>
  <c r="L1" i="16"/>
  <c r="F1" i="16"/>
  <c r="F3" i="16"/>
  <c r="I46" i="21"/>
  <c r="F28" i="21"/>
  <c r="F47" i="21" s="1"/>
  <c r="B8" i="21"/>
  <c r="B9" i="21" s="1"/>
  <c r="B10" i="21" s="1"/>
  <c r="B11" i="21" s="1"/>
  <c r="B12" i="21" s="1"/>
  <c r="B13" i="21" s="1"/>
  <c r="B18" i="21" s="1"/>
  <c r="B19" i="21" s="1"/>
  <c r="B20" i="21" s="1"/>
  <c r="B21" i="21" s="1"/>
  <c r="B22" i="21" s="1"/>
  <c r="B23" i="21" s="1"/>
  <c r="B24" i="21" s="1"/>
  <c r="B25" i="21" s="1"/>
  <c r="B26" i="21" s="1"/>
  <c r="B31" i="21" s="1"/>
  <c r="B32" i="21" s="1"/>
  <c r="B33" i="21" s="1"/>
  <c r="B34" i="21" s="1"/>
  <c r="B35" i="21" s="1"/>
  <c r="B36" i="21" s="1"/>
  <c r="B37" i="21" s="1"/>
  <c r="B38" i="21" s="1"/>
  <c r="B39" i="21" s="1"/>
  <c r="B40" i="21" s="1"/>
  <c r="B41" i="21" s="1"/>
  <c r="B42" i="21" s="1"/>
  <c r="B43" i="21" s="1"/>
  <c r="B44" i="21" s="1"/>
  <c r="B45" i="21" s="1"/>
  <c r="H291" i="16" l="1"/>
  <c r="H1877" i="16"/>
  <c r="H10" i="16"/>
  <c r="H2313" i="16"/>
  <c r="H379" i="16"/>
  <c r="H1959" i="16"/>
  <c r="H1269" i="16"/>
  <c r="H1919" i="16"/>
  <c r="H877" i="16"/>
  <c r="H443" i="16"/>
  <c r="H1466" i="16"/>
  <c r="H2157" i="16"/>
  <c r="H511" i="16"/>
  <c r="H1077" i="16"/>
  <c r="H819" i="16"/>
  <c r="H682" i="16"/>
  <c r="H141" i="16"/>
  <c r="H1260" i="16"/>
  <c r="H685" i="16"/>
  <c r="H1779" i="16"/>
  <c r="H596" i="16"/>
  <c r="H442" i="16"/>
  <c r="H1609" i="16"/>
  <c r="H196" i="16"/>
  <c r="H600" i="16"/>
  <c r="H1649" i="16"/>
  <c r="H758" i="16"/>
  <c r="H1612" i="16"/>
  <c r="H1019" i="16"/>
  <c r="H2333" i="16"/>
  <c r="H1150" i="16"/>
  <c r="H138" i="16"/>
  <c r="H1058" i="16"/>
  <c r="H2303" i="16"/>
  <c r="H1132" i="16"/>
  <c r="H1374" i="16"/>
  <c r="H402" i="16"/>
  <c r="H2272" i="16"/>
  <c r="H158" i="16"/>
  <c r="H1415" i="16"/>
  <c r="H2007" i="16"/>
  <c r="H100" i="16"/>
  <c r="H1608" i="16"/>
  <c r="H1044" i="16"/>
  <c r="H1193" i="16"/>
  <c r="H812" i="16"/>
  <c r="H563" i="16"/>
  <c r="H1337" i="16"/>
  <c r="H11" i="16"/>
  <c r="H2314" i="16"/>
  <c r="H229" i="16"/>
  <c r="H2014" i="16"/>
  <c r="H1264" i="16"/>
  <c r="H333" i="16"/>
  <c r="H807" i="16"/>
  <c r="H444" i="16"/>
  <c r="H1843" i="16"/>
  <c r="H1288" i="16"/>
  <c r="H172" i="16"/>
  <c r="H499" i="16"/>
  <c r="H1880" i="16"/>
  <c r="H1855" i="16"/>
  <c r="H1898" i="16"/>
  <c r="H2312" i="16"/>
  <c r="H378" i="16"/>
  <c r="H2027" i="16"/>
  <c r="H1238" i="16"/>
  <c r="H2287" i="16"/>
  <c r="H1035" i="16"/>
  <c r="H2216" i="16"/>
  <c r="H733" i="16"/>
  <c r="H1819" i="16"/>
  <c r="H214" i="16"/>
  <c r="H38" i="16"/>
  <c r="H843" i="16"/>
  <c r="H1503" i="16"/>
  <c r="H1497" i="16"/>
  <c r="H1990" i="16"/>
  <c r="H1154" i="16"/>
  <c r="H2330" i="16"/>
  <c r="H883" i="16"/>
  <c r="H2311" i="16"/>
  <c r="H2305" i="16"/>
  <c r="H1637" i="16"/>
  <c r="H1410" i="16"/>
  <c r="H2229" i="16"/>
  <c r="H2012" i="16"/>
  <c r="H1038" i="16"/>
  <c r="H1743" i="16"/>
  <c r="H432" i="16"/>
  <c r="H422" i="16"/>
  <c r="H585" i="16"/>
  <c r="H821" i="16"/>
  <c r="H128" i="16"/>
  <c r="H1827" i="16"/>
  <c r="H407" i="16"/>
  <c r="H1658" i="16"/>
  <c r="H1682" i="16"/>
  <c r="H1458" i="16"/>
  <c r="H2127" i="16"/>
  <c r="H1101" i="16"/>
  <c r="H98" i="16"/>
  <c r="H594" i="16"/>
  <c r="H2024" i="16"/>
  <c r="H1014" i="16"/>
  <c r="H1184" i="16"/>
  <c r="H341" i="16"/>
  <c r="H416" i="16"/>
  <c r="H2120" i="16"/>
  <c r="H728" i="16"/>
  <c r="H2252" i="16"/>
  <c r="H853" i="16"/>
  <c r="H630" i="16"/>
  <c r="H865" i="16"/>
  <c r="H1887" i="16"/>
  <c r="H1178" i="16"/>
  <c r="H126" i="16"/>
  <c r="H2017" i="16"/>
  <c r="H2323" i="16"/>
  <c r="H1955" i="16"/>
  <c r="H244" i="16"/>
  <c r="H381" i="16"/>
  <c r="H2293" i="16"/>
  <c r="H540" i="16"/>
  <c r="H1943" i="16"/>
  <c r="H860" i="16"/>
  <c r="H1444" i="16"/>
  <c r="H110" i="16"/>
  <c r="H1252" i="16"/>
  <c r="H1773" i="16"/>
  <c r="H1907" i="16"/>
  <c r="H1265" i="16"/>
  <c r="H1056" i="16"/>
  <c r="H2117" i="16"/>
  <c r="H1922" i="16"/>
  <c r="H2310" i="16"/>
  <c r="H1548" i="16"/>
  <c r="H1906" i="16"/>
  <c r="H1623" i="16"/>
  <c r="H1693" i="16"/>
  <c r="H411" i="16"/>
  <c r="H561" i="16"/>
  <c r="H2128" i="16"/>
  <c r="H1685" i="16"/>
  <c r="H940" i="16"/>
  <c r="H325" i="16"/>
  <c r="H1803" i="16"/>
  <c r="H2142" i="16"/>
  <c r="H1037" i="16"/>
  <c r="H1556" i="16"/>
  <c r="H431" i="16"/>
  <c r="H313" i="16"/>
  <c r="H584" i="16"/>
  <c r="H365" i="16"/>
  <c r="H191" i="16"/>
  <c r="H2202" i="16"/>
  <c r="H1195" i="16"/>
  <c r="H1780" i="16"/>
  <c r="H1619" i="16"/>
  <c r="H1809" i="16"/>
  <c r="H904" i="16"/>
  <c r="H1529" i="16"/>
  <c r="H237" i="16"/>
  <c r="H2056" i="16"/>
  <c r="H1086" i="16"/>
  <c r="H1515" i="16"/>
  <c r="H1778" i="16"/>
  <c r="H2038" i="16"/>
  <c r="H1820" i="16"/>
  <c r="H1547" i="16"/>
  <c r="H1164" i="16"/>
  <c r="H2089" i="16"/>
  <c r="H2151" i="16"/>
  <c r="H1960" i="16"/>
  <c r="H305" i="16"/>
  <c r="H885" i="16"/>
  <c r="H531" i="16"/>
  <c r="H2073" i="16"/>
  <c r="H1580" i="16"/>
  <c r="H2327" i="16"/>
  <c r="H1489" i="16"/>
  <c r="H2031" i="16"/>
  <c r="H844" i="16"/>
  <c r="H2153" i="16"/>
  <c r="H1849" i="16"/>
  <c r="H1694" i="16"/>
  <c r="H412" i="16"/>
  <c r="H743" i="16"/>
  <c r="H2259" i="16"/>
  <c r="H1289" i="16"/>
  <c r="H1356" i="16"/>
  <c r="H130" i="16"/>
  <c r="H1712" i="16"/>
  <c r="H2092" i="16"/>
  <c r="H2145" i="16"/>
  <c r="H2309" i="16"/>
  <c r="H1700" i="16"/>
  <c r="H2144" i="16"/>
  <c r="H1696" i="16"/>
  <c r="H978" i="16"/>
  <c r="H798" i="16"/>
  <c r="H241" i="16"/>
  <c r="H950" i="16"/>
  <c r="H648" i="16"/>
  <c r="H23" i="16"/>
  <c r="H51" i="16"/>
  <c r="H965" i="16"/>
  <c r="H642" i="16"/>
  <c r="H1387" i="16"/>
  <c r="H133" i="16"/>
  <c r="H376" i="16"/>
  <c r="H1978" i="16"/>
  <c r="H2130" i="16"/>
  <c r="H2035" i="16"/>
  <c r="H245" i="16"/>
  <c r="H2048" i="16"/>
  <c r="H2171" i="16"/>
  <c r="H968" i="16"/>
  <c r="H2104" i="16"/>
  <c r="H858" i="16"/>
  <c r="H1699" i="16"/>
  <c r="H515" i="16"/>
  <c r="H1430" i="16"/>
  <c r="H1161" i="16"/>
  <c r="H1153" i="16"/>
  <c r="H1417" i="16"/>
  <c r="H394" i="16"/>
  <c r="H917" i="16"/>
  <c r="H418" i="16"/>
  <c r="H346" i="16"/>
  <c r="H880" i="16"/>
  <c r="H2097" i="16"/>
  <c r="H510" i="16"/>
  <c r="H486" i="16"/>
  <c r="H818" i="16"/>
  <c r="H1146" i="16"/>
  <c r="H2081" i="16"/>
  <c r="H2077" i="16"/>
  <c r="H541" i="16"/>
  <c r="H1333" i="16"/>
  <c r="H1854" i="16"/>
  <c r="H2258" i="16"/>
  <c r="H1799" i="16"/>
  <c r="H1328" i="16"/>
  <c r="H696" i="16"/>
  <c r="H1361" i="16"/>
  <c r="H1537" i="16"/>
  <c r="H519" i="16"/>
  <c r="H1495" i="16"/>
  <c r="H1557" i="16"/>
  <c r="H2321" i="16"/>
  <c r="H2308" i="16"/>
  <c r="H621" i="16"/>
  <c r="H2299" i="16"/>
  <c r="H957" i="16"/>
  <c r="H289" i="16"/>
  <c r="H2021" i="16"/>
  <c r="H2322" i="16"/>
  <c r="H2000" i="16"/>
  <c r="H670" i="16"/>
  <c r="H1972" i="16"/>
  <c r="H2292" i="16"/>
  <c r="H1762" i="16"/>
  <c r="H536" i="16"/>
  <c r="H2266" i="16"/>
  <c r="H307" i="16"/>
  <c r="H2244" i="16"/>
  <c r="H2138" i="16"/>
  <c r="H503" i="16"/>
  <c r="H1526" i="16"/>
  <c r="H2105" i="16"/>
  <c r="H686" i="16"/>
  <c r="H104" i="16"/>
  <c r="H514" i="16"/>
  <c r="H250" i="16"/>
  <c r="H951" i="16"/>
  <c r="H1814" i="16"/>
  <c r="H152" i="16"/>
  <c r="H639" i="16"/>
  <c r="H1163" i="16"/>
  <c r="H2190" i="16"/>
  <c r="H1451" i="16"/>
  <c r="H1544" i="16"/>
  <c r="H1204" i="16"/>
  <c r="H1611" i="16"/>
  <c r="H750" i="16"/>
  <c r="H1866" i="16"/>
  <c r="H1923" i="16"/>
  <c r="H41" i="16"/>
  <c r="H1546" i="16"/>
  <c r="H2091" i="16"/>
  <c r="H2003" i="16"/>
  <c r="H1674" i="16"/>
  <c r="H2263" i="16"/>
  <c r="H1104" i="16"/>
  <c r="H2236" i="16"/>
  <c r="H131" i="16"/>
  <c r="H2147" i="16"/>
  <c r="H2110" i="16"/>
  <c r="H1754" i="16"/>
  <c r="H2125" i="16"/>
  <c r="H290" i="16"/>
  <c r="H1801" i="16"/>
  <c r="H2174" i="16"/>
  <c r="H2129" i="16"/>
  <c r="H828" i="16"/>
  <c r="H2179" i="16"/>
  <c r="H2040" i="16"/>
  <c r="H1763" i="16"/>
  <c r="H537" i="16"/>
  <c r="H1755" i="16"/>
  <c r="H1369" i="16"/>
  <c r="H2180" i="16"/>
  <c r="H1094" i="16"/>
  <c r="H129" i="16"/>
  <c r="H489" i="16"/>
  <c r="H2020" i="16"/>
  <c r="H1524" i="16"/>
  <c r="H1781" i="16"/>
  <c r="H676" i="16"/>
  <c r="H1971" i="16"/>
  <c r="H2291" i="16"/>
  <c r="H255" i="16"/>
  <c r="H1633" i="16"/>
  <c r="H234" i="16"/>
  <c r="H553" i="16"/>
  <c r="H345" i="16"/>
  <c r="H647" i="16"/>
  <c r="H717" i="16"/>
  <c r="H2193" i="16"/>
  <c r="H186" i="16"/>
  <c r="H513" i="16"/>
  <c r="H1353" i="16"/>
  <c r="H1804" i="16"/>
  <c r="H1363" i="16"/>
  <c r="H1460" i="16"/>
  <c r="H1976" i="16"/>
  <c r="H622" i="16"/>
  <c r="H1729" i="16"/>
  <c r="H958" i="16"/>
  <c r="H1815" i="16"/>
  <c r="H143" i="16"/>
  <c r="H801" i="16"/>
  <c r="H886" i="16"/>
  <c r="H809" i="16"/>
  <c r="H248" i="16"/>
  <c r="H439" i="16"/>
  <c r="H1828" i="16"/>
  <c r="H18" i="16"/>
  <c r="H1324" i="16"/>
  <c r="H1500" i="16"/>
  <c r="H410" i="16"/>
  <c r="H192" i="16"/>
  <c r="H637" i="16"/>
  <c r="H2249" i="16"/>
  <c r="H939" i="16"/>
  <c r="H504" i="16"/>
  <c r="H1362" i="16"/>
  <c r="H2141" i="16"/>
  <c r="H344" i="16"/>
  <c r="H850" i="16"/>
  <c r="H2285" i="16"/>
  <c r="H1335" i="16"/>
  <c r="H364" i="16"/>
  <c r="H746" i="16"/>
  <c r="H1910" i="16"/>
  <c r="H1029" i="16"/>
  <c r="H1076" i="16"/>
  <c r="H1746" i="16"/>
  <c r="H2226" i="16"/>
  <c r="H90" i="16"/>
  <c r="H1681" i="16"/>
  <c r="H1838" i="16"/>
  <c r="H1710" i="16"/>
  <c r="H2307" i="16"/>
  <c r="H70" i="16"/>
  <c r="H1811" i="16"/>
  <c r="H986" i="16"/>
  <c r="H356" i="16"/>
  <c r="H2275" i="16"/>
  <c r="H1052" i="16"/>
  <c r="H1501" i="16"/>
  <c r="H13" i="16"/>
  <c r="H1953" i="16"/>
  <c r="H231" i="16"/>
  <c r="H1947" i="16"/>
  <c r="H1793" i="16"/>
  <c r="H2288" i="16"/>
  <c r="H1652" i="16"/>
  <c r="H1106" i="16"/>
  <c r="H1232" i="16"/>
  <c r="H2131" i="16"/>
  <c r="H1945" i="16"/>
  <c r="H44" i="16"/>
  <c r="H1698" i="16"/>
  <c r="H2032" i="16"/>
  <c r="H1927" i="16"/>
  <c r="H1459" i="16"/>
  <c r="H1452" i="16"/>
  <c r="H2096" i="16"/>
  <c r="H1205" i="16"/>
  <c r="H317" i="16"/>
  <c r="H471" i="16"/>
  <c r="H554" i="16"/>
  <c r="H681" i="16"/>
  <c r="H22" i="16"/>
  <c r="H246" i="16"/>
  <c r="H2108" i="16"/>
  <c r="H1457" i="16"/>
  <c r="H406" i="16"/>
  <c r="H455" i="16"/>
  <c r="H2219" i="16"/>
  <c r="H1003" i="16"/>
  <c r="H949" i="16"/>
  <c r="H238" i="16"/>
  <c r="H207" i="16"/>
  <c r="H571" i="16"/>
  <c r="H644" i="16"/>
  <c r="H1033" i="16"/>
  <c r="H1088" i="16"/>
  <c r="H934" i="16"/>
  <c r="H1443" i="16"/>
  <c r="H1470" i="16"/>
  <c r="H1618" i="16"/>
  <c r="H1957" i="16"/>
  <c r="H1847" i="16"/>
  <c r="H1744" i="16"/>
  <c r="H1648" i="16"/>
  <c r="H2023" i="16"/>
  <c r="H580" i="16"/>
  <c r="H2297" i="16"/>
  <c r="H1860" i="16"/>
  <c r="H1626" i="16"/>
  <c r="H1448" i="16"/>
  <c r="H2094" i="16"/>
  <c r="H1250" i="16"/>
  <c r="H2242" i="16"/>
  <c r="H509" i="16"/>
  <c r="H608" i="16"/>
  <c r="H1102" i="16"/>
  <c r="H1813" i="16"/>
  <c r="H800" i="16"/>
  <c r="H1717" i="16"/>
  <c r="H2080" i="16"/>
  <c r="H157" i="16"/>
  <c r="H168" i="16"/>
  <c r="H399" i="16"/>
  <c r="H209" i="16"/>
  <c r="H40" i="16"/>
  <c r="H1499" i="16"/>
  <c r="H1386" i="16"/>
  <c r="H264" i="16"/>
  <c r="H879" i="16"/>
  <c r="H1539" i="16"/>
  <c r="H2331" i="16"/>
  <c r="H2029" i="16"/>
  <c r="H1952" i="16"/>
  <c r="H377" i="16"/>
  <c r="H2049" i="16"/>
  <c r="H1237" i="16"/>
  <c r="H2286" i="16"/>
  <c r="H417" i="16"/>
  <c r="H914" i="16"/>
  <c r="H2170" i="16"/>
  <c r="H2146" i="16"/>
  <c r="H854" i="16"/>
  <c r="H361" i="16"/>
  <c r="H1589" i="16"/>
  <c r="H1888" i="16"/>
  <c r="H679" i="16"/>
  <c r="H1727" i="16"/>
  <c r="H755" i="16"/>
  <c r="H2090" i="16"/>
  <c r="H1980" i="16"/>
  <c r="H1926" i="16"/>
  <c r="H618" i="16"/>
  <c r="H2298" i="16"/>
  <c r="H987" i="16"/>
  <c r="H109" i="16"/>
  <c r="H2276" i="16"/>
  <c r="H1837" i="16"/>
  <c r="H372" i="16"/>
  <c r="H1792" i="16"/>
  <c r="H872" i="16"/>
  <c r="H1098" i="16"/>
  <c r="H1881" i="16"/>
  <c r="H2111" i="16"/>
  <c r="H1578" i="16"/>
  <c r="H2166" i="16"/>
  <c r="H617" i="16"/>
  <c r="H2047" i="16"/>
  <c r="H1776" i="16"/>
  <c r="H912" i="16"/>
  <c r="H1245" i="16"/>
  <c r="H429" i="16"/>
  <c r="H1050" i="16"/>
  <c r="H592" i="16"/>
  <c r="H661" i="16"/>
  <c r="H1257" i="16"/>
  <c r="H1087" i="16"/>
  <c r="H2084" i="16"/>
  <c r="H175" i="16"/>
  <c r="H1427" i="16"/>
  <c r="H1832" i="16"/>
  <c r="H1865" i="16"/>
  <c r="H2025" i="16"/>
  <c r="H2173" i="16"/>
  <c r="H669" i="16"/>
  <c r="H2296" i="16"/>
  <c r="H956" i="16"/>
  <c r="H1572" i="16"/>
  <c r="H1833" i="16"/>
  <c r="H426" i="16"/>
  <c r="H724" i="16"/>
  <c r="H1175" i="16"/>
  <c r="H1514" i="16"/>
  <c r="H2212" i="16"/>
  <c r="H1522" i="16"/>
  <c r="H2203" i="16"/>
  <c r="H52" i="16"/>
  <c r="H1996" i="16"/>
  <c r="H535" i="16"/>
  <c r="H2013" i="16"/>
  <c r="H1889" i="16"/>
  <c r="H2243" i="16"/>
  <c r="H2137" i="16"/>
  <c r="H498" i="16"/>
  <c r="H78" i="16"/>
  <c r="H1509" i="16"/>
  <c r="H2011" i="16"/>
  <c r="H1785" i="16"/>
  <c r="H116" i="16"/>
  <c r="H1483" i="16"/>
  <c r="H2162" i="16"/>
  <c r="H1421" i="16"/>
  <c r="H2122" i="16"/>
  <c r="H363" i="16"/>
  <c r="H96" i="16"/>
  <c r="H1092" i="16"/>
  <c r="H1941" i="16"/>
  <c r="H1360" i="16"/>
  <c r="H2339" i="16"/>
  <c r="H74" i="16"/>
  <c r="H1426" i="16"/>
  <c r="H2036" i="16"/>
  <c r="H1791" i="16"/>
  <c r="H1465" i="16"/>
  <c r="H1895" i="16"/>
  <c r="H30" i="16"/>
  <c r="H1622" i="16"/>
  <c r="H937" i="16"/>
  <c r="H2328" i="16"/>
  <c r="H1593" i="16"/>
  <c r="H2030" i="16"/>
  <c r="H1166" i="16"/>
  <c r="H220" i="16"/>
  <c r="H1147" i="16"/>
  <c r="H2324" i="16"/>
  <c r="H1928" i="16"/>
  <c r="H1984" i="16"/>
  <c r="H69" i="16"/>
  <c r="H1492" i="16"/>
  <c r="H1225" i="16"/>
  <c r="H114" i="16"/>
  <c r="H2087" i="16"/>
  <c r="H1882" i="16"/>
  <c r="H507" i="16"/>
  <c r="H2148" i="16"/>
  <c r="H505" i="16"/>
  <c r="H2234" i="16"/>
  <c r="H1571" i="16"/>
  <c r="H1730" i="16"/>
  <c r="H391" i="16"/>
  <c r="H723" i="16"/>
  <c r="H1174" i="16"/>
  <c r="H243" i="16"/>
  <c r="H1370" i="16"/>
  <c r="H199" i="16"/>
  <c r="H739" i="16"/>
  <c r="H465" i="16"/>
  <c r="H2008" i="16"/>
  <c r="H1267" i="16"/>
  <c r="H641" i="16"/>
  <c r="H470" i="16"/>
  <c r="H1488" i="16"/>
  <c r="H1844" i="16"/>
  <c r="H711" i="16"/>
  <c r="H1977" i="16"/>
  <c r="H1777" i="16"/>
  <c r="H2300" i="16"/>
  <c r="H2043" i="16"/>
  <c r="H882" i="16"/>
  <c r="H409" i="16"/>
  <c r="H137" i="16"/>
  <c r="H2335" i="16"/>
  <c r="H430" i="16"/>
  <c r="H1383" i="16"/>
  <c r="H1840" i="16"/>
  <c r="H1330" i="16"/>
  <c r="H1592" i="16"/>
  <c r="H1372" i="16"/>
  <c r="H2072" i="16"/>
  <c r="H732" i="16"/>
  <c r="H1942" i="16"/>
  <c r="H1461" i="16"/>
  <c r="H1766" i="16"/>
  <c r="H610" i="16"/>
  <c r="H1463" i="16"/>
  <c r="H1728" i="16"/>
  <c r="H2222" i="16"/>
  <c r="H889" i="16"/>
  <c r="H565" i="16"/>
  <c r="H2071" i="16"/>
  <c r="H302" i="16"/>
  <c r="H555" i="16"/>
  <c r="H1413" i="16"/>
  <c r="H1769" i="16"/>
  <c r="H247" i="16"/>
  <c r="H993" i="16"/>
  <c r="H151" i="16"/>
  <c r="H955" i="16"/>
  <c r="H1069" i="16"/>
  <c r="H351" i="16"/>
  <c r="H1705" i="16"/>
  <c r="H2113" i="16"/>
  <c r="H1908" i="16"/>
  <c r="H1563" i="16"/>
  <c r="H218" i="16"/>
  <c r="H959" i="16"/>
  <c r="H254" i="16"/>
  <c r="H534" i="16"/>
  <c r="H954" i="16"/>
  <c r="H438" i="16"/>
  <c r="H1911" i="16"/>
  <c r="H1030" i="16"/>
  <c r="H1355" i="16"/>
  <c r="H1756" i="16"/>
  <c r="H1496" i="16"/>
  <c r="H91" i="16"/>
  <c r="H1013" i="16"/>
  <c r="H2336" i="16"/>
  <c r="H339" i="16"/>
  <c r="H1384" i="16"/>
  <c r="H846" i="16"/>
  <c r="H2033" i="16"/>
  <c r="H1217" i="16"/>
  <c r="H1665" i="16"/>
  <c r="H2284" i="16"/>
  <c r="H1678" i="16"/>
  <c r="H297" i="16"/>
  <c r="H1462" i="16"/>
  <c r="H2002" i="16"/>
  <c r="H1240" i="16"/>
  <c r="H2232" i="16"/>
  <c r="H2334" i="16"/>
  <c r="H323" i="16"/>
  <c r="H898" i="16"/>
  <c r="H1119" i="16"/>
  <c r="H1909" i="16"/>
  <c r="H1381" i="16"/>
  <c r="H1631" i="16"/>
  <c r="H683" i="16"/>
  <c r="H8" i="16"/>
  <c r="H586" i="16"/>
  <c r="H2210" i="16"/>
  <c r="H204" i="16"/>
  <c r="H1152" i="16"/>
  <c r="H1467" i="16"/>
  <c r="H1339" i="16"/>
  <c r="H984" i="16"/>
  <c r="H899" i="16"/>
  <c r="H1017" i="16"/>
  <c r="H2332" i="16"/>
  <c r="H714" i="16"/>
  <c r="H369" i="16"/>
  <c r="H1883" i="16"/>
  <c r="H1424" i="16"/>
  <c r="H823" i="16"/>
  <c r="H1695" i="16"/>
  <c r="H613" i="16"/>
  <c r="H1186" i="16"/>
  <c r="H1917" i="16"/>
  <c r="H390" i="16"/>
  <c r="H353" i="16"/>
  <c r="H1182" i="16"/>
  <c r="H1531" i="16"/>
  <c r="H2206" i="16"/>
  <c r="H650" i="16"/>
  <c r="H2195" i="16"/>
  <c r="H103" i="16"/>
  <c r="H1196" i="16"/>
  <c r="H1798" i="16"/>
  <c r="H483" i="16"/>
  <c r="H2119" i="16"/>
  <c r="H2136" i="16"/>
  <c r="H2172" i="16"/>
  <c r="H1570" i="16"/>
  <c r="H1313" i="16"/>
  <c r="H35" i="16"/>
  <c r="H722" i="16"/>
  <c r="H401" i="16"/>
  <c r="H2271" i="16"/>
  <c r="H2265" i="16"/>
  <c r="H1468" i="16"/>
  <c r="H2240" i="16"/>
  <c r="H870" i="16"/>
  <c r="H1630" i="16"/>
  <c r="H1670" i="16"/>
  <c r="H1999" i="16"/>
  <c r="H1808" i="16"/>
  <c r="H1734" i="16"/>
  <c r="H206" i="16"/>
  <c r="H2316" i="16"/>
  <c r="H1835" i="16"/>
  <c r="H2034" i="16"/>
  <c r="H1641" i="16"/>
  <c r="H1713" i="16"/>
  <c r="H2281" i="16"/>
  <c r="H792" i="16"/>
  <c r="H721" i="16"/>
  <c r="H1510" i="16"/>
  <c r="H2320" i="16"/>
  <c r="H1334" i="16"/>
  <c r="H620" i="16"/>
  <c r="H1935" i="16"/>
  <c r="H989" i="16"/>
  <c r="H252" i="16"/>
  <c r="H1214" i="16"/>
  <c r="H1782" i="16"/>
  <c r="H1938" i="16"/>
  <c r="H1657" i="16"/>
  <c r="H829" i="16"/>
  <c r="H1329" i="16"/>
  <c r="H2041" i="16"/>
  <c r="H1764" i="16"/>
  <c r="H1314" i="16"/>
  <c r="H283" i="16"/>
  <c r="H948" i="16"/>
  <c r="H998" i="16"/>
  <c r="H684" i="16"/>
  <c r="H124" i="16"/>
  <c r="H595" i="16"/>
  <c r="H805" i="16"/>
  <c r="H929" i="16"/>
  <c r="H20" i="16"/>
  <c r="H599" i="16"/>
  <c r="H1071" i="16"/>
  <c r="H1565" i="16"/>
  <c r="H900" i="16"/>
  <c r="H1018" i="16"/>
  <c r="H1061" i="16"/>
  <c r="H797" i="16"/>
  <c r="H72" i="16"/>
  <c r="H576" i="16"/>
  <c r="H731" i="16"/>
  <c r="H1171" i="16"/>
  <c r="H2200" i="16"/>
  <c r="H2194" i="16"/>
  <c r="H337" i="16"/>
  <c r="H1822" i="16"/>
  <c r="H383" i="16"/>
  <c r="H2319" i="16"/>
  <c r="H1145" i="16"/>
  <c r="H1834" i="16"/>
  <c r="H1323" i="16"/>
  <c r="H1354" i="16"/>
  <c r="H2283" i="16"/>
  <c r="H1686" i="16"/>
  <c r="H1290" i="16"/>
  <c r="H189" i="16"/>
  <c r="H306" i="16"/>
  <c r="H1239" i="16"/>
  <c r="H581" i="16"/>
  <c r="H1268" i="16"/>
  <c r="H1185" i="16"/>
  <c r="H2061" i="16"/>
  <c r="H389" i="16"/>
  <c r="H352" i="16"/>
  <c r="H1181" i="16"/>
  <c r="H1332" i="16"/>
  <c r="H616" i="16"/>
  <c r="H737" i="16"/>
  <c r="H2065" i="16"/>
  <c r="H1074" i="16"/>
  <c r="H210" i="16"/>
  <c r="H848" i="16"/>
  <c r="H1403" i="16"/>
  <c r="H1241" i="16"/>
  <c r="H1761" i="16"/>
  <c r="H1543" i="16"/>
  <c r="H1929" i="16"/>
  <c r="H1703" i="16"/>
  <c r="H2046" i="16"/>
  <c r="H1621" i="16"/>
  <c r="H107" i="16"/>
  <c r="H1914" i="16"/>
  <c r="H2082" i="16"/>
  <c r="H1516" i="16"/>
  <c r="H1434" i="16"/>
  <c r="H1376" i="16"/>
  <c r="H695" i="16"/>
  <c r="H667" i="16"/>
  <c r="H1874" i="16"/>
  <c r="H1006" i="16"/>
  <c r="H1715" i="16"/>
  <c r="H952" i="16"/>
  <c r="H311" i="16"/>
  <c r="H2118" i="16"/>
  <c r="H1057" i="16"/>
  <c r="H1322" i="16"/>
  <c r="H1988" i="16"/>
  <c r="H2039" i="16"/>
  <c r="H164" i="16"/>
  <c r="H1687" i="16"/>
  <c r="H778" i="16"/>
  <c r="H1759" i="16"/>
  <c r="H2238" i="16"/>
  <c r="H149" i="16"/>
  <c r="H590" i="16"/>
  <c r="H1390" i="16"/>
  <c r="H111" i="16"/>
  <c r="H2318" i="16"/>
  <c r="H1422" i="16"/>
  <c r="H2116" i="16"/>
  <c r="H1985" i="16"/>
  <c r="H1970" i="16"/>
  <c r="H1004" i="16"/>
  <c r="H312" i="16"/>
  <c r="H239" i="16"/>
  <c r="H1896" i="16"/>
  <c r="H190" i="16"/>
  <c r="H193" i="16"/>
  <c r="H966" i="16"/>
  <c r="H1211" i="16"/>
  <c r="H145" i="16"/>
  <c r="H1047" i="16"/>
  <c r="H902" i="16"/>
  <c r="H1796" i="16"/>
  <c r="H663" i="16"/>
  <c r="H2317" i="16"/>
  <c r="H1085" i="16"/>
  <c r="H2302" i="16"/>
  <c r="H1667" i="16"/>
  <c r="H1343" i="16"/>
  <c r="H771" i="16"/>
  <c r="H568" i="16"/>
  <c r="H1722" i="16"/>
  <c r="H343" i="16"/>
  <c r="H396" i="16"/>
  <c r="H338" i="16"/>
  <c r="H24" i="16"/>
  <c r="H2204" i="16"/>
  <c r="H1748" i="16"/>
  <c r="H623" i="16"/>
  <c r="H403" i="16"/>
  <c r="H1655" i="16"/>
  <c r="H159" i="16"/>
  <c r="H1944" i="16"/>
  <c r="H1733" i="16"/>
  <c r="H967" i="16"/>
  <c r="H1272" i="16"/>
  <c r="H666" i="16"/>
  <c r="H795" i="16"/>
  <c r="H813" i="16"/>
  <c r="H564" i="16"/>
  <c r="H1692" i="16"/>
  <c r="H793" i="16"/>
  <c r="H1653" i="16"/>
  <c r="H1380" i="16"/>
  <c r="H1662" i="16"/>
  <c r="H1950" i="16"/>
  <c r="H668" i="16"/>
  <c r="H458" i="16"/>
  <c r="H1248" i="16"/>
  <c r="H2221" i="16"/>
  <c r="H2098" i="16"/>
  <c r="H14" i="16"/>
  <c r="H1892" i="16"/>
  <c r="H1795" i="16"/>
  <c r="H1973" i="16"/>
  <c r="H1794" i="16"/>
  <c r="H2289" i="16"/>
  <c r="H2154" i="16"/>
  <c r="H446" i="16"/>
  <c r="H2095" i="16"/>
  <c r="H1948" i="16"/>
  <c r="H1400" i="16"/>
  <c r="H1634" i="16"/>
  <c r="H2304" i="16"/>
  <c r="H960" i="16"/>
  <c r="H1549" i="16"/>
  <c r="H2018" i="16"/>
  <c r="H1216" i="16"/>
  <c r="H2325" i="16"/>
  <c r="H2075" i="16"/>
  <c r="H1836" i="16"/>
  <c r="H619" i="16"/>
  <c r="H1726" i="16"/>
  <c r="H988" i="16"/>
  <c r="H251" i="16"/>
  <c r="H1772" i="16"/>
  <c r="H1994" i="16"/>
  <c r="H784" i="16"/>
  <c r="H1404" i="16"/>
  <c r="H1005" i="16"/>
  <c r="H1482" i="16"/>
  <c r="H240" i="16"/>
  <c r="H718" i="16"/>
  <c r="H1131" i="16"/>
  <c r="H420" i="16"/>
  <c r="H654" i="16"/>
  <c r="H419" i="16"/>
  <c r="H1502" i="16"/>
  <c r="H824" i="16"/>
  <c r="H903" i="16"/>
  <c r="H1753" i="16"/>
  <c r="H1382" i="16"/>
  <c r="H1133" i="16"/>
  <c r="H552" i="16"/>
  <c r="H2099" i="16"/>
  <c r="H646" i="16"/>
  <c r="H2197" i="16"/>
  <c r="H2085" i="16"/>
  <c r="H185" i="16"/>
  <c r="H178" i="16"/>
  <c r="H1558" i="16"/>
  <c r="H971" i="16"/>
  <c r="H2026" i="16"/>
  <c r="H2306" i="16"/>
  <c r="H43" i="16"/>
  <c r="H2295" i="16"/>
  <c r="H1664" i="16"/>
  <c r="H2279" i="16"/>
  <c r="H1683" i="16"/>
  <c r="H866" i="16"/>
  <c r="H1517" i="16"/>
  <c r="H150" i="16"/>
  <c r="H631" i="16"/>
  <c r="H1505" i="16"/>
  <c r="H1518" i="16"/>
  <c r="H567" i="16"/>
  <c r="H1765" i="16"/>
  <c r="H342" i="16"/>
  <c r="H931" i="16"/>
  <c r="H557" i="16"/>
  <c r="H55" i="16"/>
  <c r="H840" i="16"/>
  <c r="H21" i="16"/>
  <c r="H1432" i="16"/>
  <c r="H492" i="16"/>
  <c r="H981" i="16"/>
  <c r="H48" i="16"/>
  <c r="H1111" i="16"/>
  <c r="H2341" i="16"/>
  <c r="H2016" i="16"/>
  <c r="H657" i="16"/>
  <c r="H1527" i="16"/>
  <c r="H1456" i="16"/>
  <c r="H1663" i="16"/>
  <c r="H873" i="16"/>
  <c r="H102" i="16"/>
  <c r="H2273" i="16"/>
  <c r="H1598" i="16"/>
  <c r="H482" i="16"/>
  <c r="H1677" i="16"/>
  <c r="H1028" i="16"/>
  <c r="H1993" i="16"/>
  <c r="H479" i="16"/>
  <c r="H1312" i="16"/>
  <c r="H34" i="16"/>
  <c r="H1062" i="16"/>
  <c r="H1246" i="16"/>
  <c r="H1395" i="16"/>
  <c r="H1668" i="16"/>
  <c r="H1839" i="16"/>
  <c r="H2301" i="16"/>
  <c r="H1697" i="16"/>
  <c r="H1969" i="16"/>
  <c r="H2280" i="16"/>
  <c r="H2126" i="16"/>
  <c r="H2076" i="16"/>
  <c r="H1287" i="16"/>
  <c r="H275" i="16"/>
  <c r="H362" i="16"/>
  <c r="H1579" i="16"/>
  <c r="H1582" i="16"/>
  <c r="H15" i="16"/>
  <c r="H2315" i="16"/>
  <c r="H2054" i="16"/>
  <c r="H42" i="16"/>
  <c r="H1375" i="16"/>
  <c r="H2121" i="16"/>
  <c r="H87" i="16"/>
  <c r="H1429" i="16"/>
  <c r="H2215" i="16"/>
  <c r="H1117" i="16"/>
  <c r="H213" i="16"/>
  <c r="H662" i="16"/>
  <c r="H228" i="16"/>
  <c r="H1702" i="16"/>
  <c r="H58" i="16"/>
  <c r="H497" i="16"/>
  <c r="H924" i="16"/>
  <c r="H831" i="16"/>
  <c r="H1965" i="16"/>
  <c r="H1831" i="16"/>
  <c r="H1891" i="16"/>
  <c r="H2050" i="16"/>
  <c r="H2294" i="16"/>
  <c r="H964" i="16"/>
  <c r="H712" i="16"/>
  <c r="H142" i="16"/>
  <c r="H1997" i="16"/>
  <c r="H780" i="16"/>
  <c r="H423" i="16"/>
  <c r="H467" i="16"/>
  <c r="H640" i="16"/>
  <c r="H2152" i="16"/>
  <c r="H671" i="16"/>
  <c r="H601" i="16"/>
  <c r="H2282" i="16"/>
  <c r="H2269" i="16"/>
  <c r="H742" i="16"/>
  <c r="H408" i="16"/>
  <c r="H2237" i="16"/>
  <c r="H1651" i="16"/>
  <c r="H1747" i="16"/>
  <c r="H632" i="16"/>
  <c r="H1521" i="16"/>
  <c r="H1344" i="16"/>
  <c r="H2290" i="16"/>
  <c r="H1691" i="16"/>
  <c r="H293" i="16"/>
  <c r="H1719" i="16"/>
  <c r="H1939" i="16"/>
  <c r="H615" i="16"/>
  <c r="H326" i="16"/>
  <c r="H1704" i="16"/>
  <c r="H817" i="16"/>
  <c r="H1159" i="16"/>
  <c r="H1040" i="16"/>
  <c r="H2329" i="16"/>
  <c r="H1963" i="16"/>
  <c r="H1968" i="16"/>
  <c r="H2053" i="16"/>
  <c r="H1423" i="16"/>
  <c r="H1742" i="16"/>
  <c r="H340" i="16"/>
  <c r="H415" i="16"/>
  <c r="H2267" i="16"/>
  <c r="H2338" i="16"/>
  <c r="H374" i="16"/>
  <c r="H262" i="16"/>
  <c r="H322" i="16"/>
  <c r="H68" i="16"/>
  <c r="H2044" i="16"/>
  <c r="H1635" i="16"/>
  <c r="H222" i="16"/>
  <c r="H1114" i="16"/>
  <c r="H1274" i="16"/>
  <c r="H1425" i="16"/>
  <c r="H1894" i="16"/>
  <c r="H85" i="16"/>
  <c r="H1455" i="16"/>
  <c r="H1775" i="16"/>
  <c r="H2066" i="16"/>
  <c r="H469" i="16"/>
  <c r="H183" i="16"/>
  <c r="H698" i="16"/>
  <c r="H1112" i="16"/>
  <c r="H88" i="16"/>
  <c r="H249" i="16"/>
  <c r="H1902" i="16"/>
  <c r="H1273" i="16"/>
  <c r="H1080" i="16"/>
  <c r="H1469" i="16"/>
  <c r="H225" i="16"/>
  <c r="H1540" i="16"/>
  <c r="H144" i="16"/>
  <c r="H694" i="16"/>
  <c r="H925" i="16"/>
  <c r="H911" i="16"/>
  <c r="H1714" i="16"/>
  <c r="H25" i="16"/>
  <c r="H1617" i="16"/>
  <c r="H1597" i="16"/>
  <c r="H1749" i="16"/>
  <c r="H1256" i="16"/>
  <c r="H1650" i="16"/>
  <c r="H2156" i="16"/>
  <c r="H66" i="16"/>
  <c r="H1207" i="16"/>
  <c r="H2134" i="16"/>
  <c r="H2251" i="16"/>
  <c r="H1078" i="16"/>
  <c r="H2158" i="16"/>
  <c r="H1490" i="16"/>
  <c r="H1533" i="16"/>
  <c r="H710" i="16"/>
  <c r="H1371" i="16"/>
  <c r="H2340" i="16"/>
  <c r="H2223" i="16"/>
  <c r="H37" i="16"/>
  <c r="H1297" i="16"/>
  <c r="H1737" i="16"/>
  <c r="H217" i="16"/>
  <c r="H2102" i="16"/>
  <c r="H1829" i="16"/>
  <c r="H1672" i="16"/>
  <c r="H2337" i="16"/>
  <c r="H1506" i="16"/>
  <c r="H67" i="16"/>
  <c r="H1666" i="16"/>
  <c r="H490" i="16"/>
  <c r="H1613" i="16"/>
  <c r="H1036" i="16"/>
  <c r="H212" i="16"/>
  <c r="H463" i="16"/>
  <c r="H1498" i="16"/>
  <c r="H263" i="16"/>
  <c r="H2070" i="16"/>
  <c r="H562" i="16"/>
  <c r="H1673" i="16"/>
  <c r="H1767" i="16"/>
  <c r="H1604" i="16"/>
  <c r="H785" i="16"/>
  <c r="H1016" i="16"/>
  <c r="H980" i="16"/>
  <c r="H1420" i="16"/>
  <c r="H1100" i="16"/>
  <c r="H906" i="16"/>
  <c r="H816" i="16"/>
  <c r="H1177" i="16"/>
  <c r="H1378" i="16"/>
  <c r="H1156" i="16"/>
  <c r="H316" i="16"/>
  <c r="H29" i="16"/>
  <c r="H2209" i="16"/>
  <c r="H202" i="16"/>
  <c r="H1151" i="16"/>
  <c r="H1585" i="16"/>
  <c r="H1932" i="16"/>
  <c r="H836" i="16"/>
  <c r="H1989" i="16"/>
  <c r="H1015" i="16"/>
  <c r="H445" i="16"/>
  <c r="H86" i="16"/>
  <c r="H1797" i="16"/>
  <c r="H1419" i="16"/>
  <c r="H910" i="16"/>
  <c r="H268" i="16"/>
  <c r="H591" i="16"/>
  <c r="H709" i="16"/>
  <c r="H1512" i="16"/>
  <c r="H782" i="16"/>
  <c r="H1818" i="16"/>
  <c r="H45" i="16"/>
  <c r="H1590" i="16"/>
  <c r="H1127" i="16"/>
  <c r="H1408" i="16"/>
  <c r="H603" i="16"/>
  <c r="H491" i="16"/>
  <c r="H2189" i="16"/>
  <c r="H2063" i="16"/>
  <c r="H1550" i="16"/>
  <c r="H2268" i="16"/>
  <c r="H2123" i="16"/>
  <c r="H1209" i="16"/>
  <c r="H1602" i="16"/>
  <c r="H500" i="16"/>
  <c r="H1298" i="16"/>
  <c r="H772" i="16"/>
  <c r="H569" i="16"/>
  <c r="H1859" i="16"/>
  <c r="H774" i="16"/>
  <c r="H577" i="16"/>
  <c r="H1201" i="16"/>
  <c r="H1409" i="16"/>
  <c r="H752" i="16"/>
  <c r="H751" i="16"/>
  <c r="H624" i="16"/>
  <c r="H1212" i="16"/>
  <c r="H184" i="16"/>
  <c r="H607" i="16"/>
  <c r="H1021" i="16"/>
  <c r="H2248" i="16"/>
  <c r="H1774" i="16"/>
  <c r="H424" i="16"/>
  <c r="H1975" i="16"/>
  <c r="H334" i="16"/>
  <c r="H106" i="16"/>
  <c r="H105" i="16"/>
  <c r="H108" i="16"/>
  <c r="H1875" i="16"/>
  <c r="H702" i="16"/>
  <c r="H1789" i="16"/>
  <c r="H1660" i="16"/>
  <c r="H1974" i="16"/>
  <c r="H2159" i="16"/>
  <c r="H1213" i="16"/>
  <c r="H1951" i="16"/>
  <c r="H1961" i="16"/>
  <c r="H1706" i="16"/>
  <c r="H294" i="16"/>
  <c r="H1823" i="16"/>
  <c r="H799" i="16"/>
  <c r="H75" i="16"/>
  <c r="H738" i="16"/>
  <c r="H822" i="16"/>
  <c r="H336" i="16"/>
  <c r="H1912" i="16"/>
  <c r="H7" i="16"/>
  <c r="H1845" i="16"/>
  <c r="H195" i="16"/>
  <c r="H2192" i="16"/>
  <c r="H64" i="16"/>
  <c r="H638" i="16"/>
  <c r="H1336" i="16"/>
  <c r="H1327" i="16"/>
  <c r="H946" i="16"/>
  <c r="H1278" i="16"/>
  <c r="H1816" i="16"/>
  <c r="H518" i="16"/>
  <c r="H1870" i="16"/>
  <c r="H2010" i="16"/>
  <c r="H1096" i="16"/>
  <c r="H1562" i="16"/>
  <c r="H740" i="16"/>
  <c r="H1583" i="16"/>
  <c r="H1826" i="16"/>
  <c r="H919" i="16"/>
  <c r="H905" i="16"/>
  <c r="H187" i="16"/>
  <c r="H392" i="16"/>
  <c r="H1437" i="16"/>
  <c r="H815" i="16"/>
  <c r="H2261" i="16"/>
  <c r="H2250" i="16"/>
  <c r="H1144" i="16"/>
  <c r="H867" i="16"/>
  <c r="H2231" i="16"/>
  <c r="H699" i="16"/>
  <c r="H1718" i="16"/>
  <c r="H1812" i="16"/>
  <c r="H1155" i="16"/>
  <c r="H315" i="16"/>
  <c r="H83" i="16"/>
  <c r="H1802" i="16"/>
  <c r="H1414" i="16"/>
  <c r="H19" i="16"/>
  <c r="H1508" i="16"/>
  <c r="H2191" i="16"/>
  <c r="H169" i="16"/>
  <c r="H440" i="16"/>
  <c r="H928" i="16"/>
  <c r="H260" i="16"/>
  <c r="H2262" i="16"/>
  <c r="H636" i="16"/>
  <c r="H173" i="16"/>
  <c r="H697" i="16"/>
  <c r="H820" i="16"/>
  <c r="H1525" i="16"/>
  <c r="H783" i="16"/>
  <c r="H1940" i="16"/>
  <c r="H781" i="16"/>
  <c r="H1277" i="16"/>
  <c r="H71" i="16"/>
  <c r="H1879" i="16"/>
  <c r="H1595" i="16"/>
  <c r="H197" i="16"/>
  <c r="H602" i="16"/>
  <c r="H1072" i="16"/>
  <c r="H1405" i="16"/>
  <c r="H393" i="16"/>
  <c r="H1402" i="16"/>
  <c r="H938" i="16"/>
  <c r="H1867" i="16"/>
  <c r="H508" i="16"/>
  <c r="H1594" i="16"/>
  <c r="H730" i="16"/>
  <c r="H139" i="16"/>
  <c r="H566" i="16"/>
  <c r="H292" i="16"/>
  <c r="H1007" i="16"/>
  <c r="H1472" i="16"/>
  <c r="H2051" i="16"/>
  <c r="H1721" i="16"/>
  <c r="H830" i="16"/>
  <c r="H1616" i="16"/>
  <c r="H754" i="16"/>
  <c r="H1869" i="16"/>
  <c r="H1958" i="16"/>
  <c r="H1848" i="16"/>
  <c r="H1234" i="16"/>
  <c r="H606" i="16"/>
  <c r="H2218" i="16"/>
  <c r="H976" i="16"/>
  <c r="H198" i="16"/>
  <c r="H992" i="16"/>
  <c r="H176" i="16"/>
  <c r="H1012" i="16"/>
  <c r="H468" i="16"/>
  <c r="H182" i="16"/>
  <c r="H2201" i="16"/>
  <c r="H1406" i="16"/>
  <c r="H787" i="16"/>
  <c r="H2264" i="16"/>
  <c r="H1675" i="16"/>
  <c r="H704" i="16"/>
  <c r="H945" i="16"/>
  <c r="H832" i="16"/>
  <c r="H1559" i="16"/>
  <c r="H89" i="16"/>
  <c r="H1011" i="16"/>
  <c r="H1358" i="16"/>
  <c r="H2217" i="16"/>
  <c r="H2213" i="16"/>
  <c r="H972" i="16"/>
  <c r="H121" i="16"/>
  <c r="H1027" i="16"/>
  <c r="H791" i="16"/>
  <c r="H759" i="16"/>
  <c r="H1025" i="16"/>
  <c r="H907" i="16"/>
  <c r="H539" i="16"/>
  <c r="H448" i="16"/>
  <c r="H915" i="16"/>
  <c r="H2246" i="16"/>
  <c r="H1326" i="16"/>
  <c r="H485" i="16"/>
  <c r="H827" i="16"/>
  <c r="H201" i="16"/>
  <c r="H517" i="16"/>
  <c r="H1247" i="16"/>
  <c r="H2009" i="16"/>
  <c r="H1051" i="16"/>
  <c r="H28" i="16"/>
  <c r="H1561" i="16"/>
  <c r="H1126" i="16"/>
  <c r="H649" i="16"/>
  <c r="H918" i="16"/>
  <c r="H1043" i="16"/>
  <c r="H835" i="16"/>
  <c r="H736" i="16"/>
  <c r="H1436" i="16"/>
  <c r="H814" i="16"/>
  <c r="H2260" i="16"/>
  <c r="H1671" i="16"/>
  <c r="H1143" i="16"/>
  <c r="H97" i="16"/>
  <c r="H2230" i="16"/>
  <c r="H84" i="16"/>
  <c r="H1063" i="16"/>
  <c r="H2143" i="16"/>
  <c r="H433" i="16"/>
  <c r="H314" i="16"/>
  <c r="H437" i="16"/>
  <c r="H1373" i="16"/>
  <c r="H331" i="16"/>
  <c r="H194" i="16"/>
  <c r="H1507" i="16"/>
  <c r="H59" i="16"/>
  <c r="H1233" i="16"/>
  <c r="H1824" i="16"/>
  <c r="H927" i="16"/>
  <c r="H609" i="16"/>
  <c r="H1220" i="16"/>
  <c r="H2241" i="16"/>
  <c r="H1259" i="16"/>
  <c r="H875" i="16"/>
  <c r="H2037" i="16"/>
  <c r="H855" i="16"/>
  <c r="H2150" i="16"/>
  <c r="H1716" i="16"/>
  <c r="H1113" i="16"/>
  <c r="H994" i="16"/>
  <c r="H794" i="16"/>
  <c r="H2165" i="16"/>
  <c r="H447" i="16"/>
  <c r="H1872" i="16"/>
  <c r="H2055" i="16"/>
  <c r="H219" i="16"/>
  <c r="H404" i="16"/>
  <c r="H1026" i="16"/>
  <c r="H81" i="16"/>
  <c r="H741" i="16"/>
  <c r="H1564" i="16"/>
  <c r="H395" i="16"/>
  <c r="H1073" i="16"/>
  <c r="H47" i="16"/>
  <c r="H1916" i="16"/>
  <c r="H753" i="16"/>
  <c r="H1215" i="16"/>
  <c r="H1397" i="16"/>
  <c r="H935" i="16"/>
  <c r="H908" i="16"/>
  <c r="H864" i="16"/>
  <c r="H2247" i="16"/>
  <c r="H1142" i="16"/>
  <c r="H147" i="16"/>
  <c r="H690" i="16"/>
  <c r="H1787" i="16"/>
  <c r="H1042" i="16"/>
  <c r="H140" i="16"/>
  <c r="H1807" i="16"/>
  <c r="H304" i="16"/>
  <c r="H522" i="16"/>
  <c r="H2208" i="16"/>
  <c r="H223" i="16"/>
  <c r="H1396" i="16"/>
  <c r="H1210" i="16"/>
  <c r="H188" i="16"/>
  <c r="H653" i="16"/>
  <c r="H520" i="16"/>
  <c r="H1689" i="16"/>
  <c r="H1331" i="16"/>
  <c r="H1930" i="16"/>
  <c r="H1735" i="16"/>
  <c r="H703" i="16"/>
  <c r="H484" i="16"/>
  <c r="H1046" i="16"/>
  <c r="H1601" i="16"/>
  <c r="H803" i="16"/>
  <c r="H888" i="16"/>
  <c r="H811" i="16"/>
  <c r="H123" i="16"/>
  <c r="H215" i="16"/>
  <c r="H1513" i="16"/>
  <c r="H117" i="16"/>
  <c r="H1134" i="16"/>
  <c r="H1162" i="16"/>
  <c r="H1566" i="16"/>
  <c r="H226" i="16"/>
  <c r="H526" i="16"/>
  <c r="H538" i="16"/>
  <c r="H558" i="16"/>
  <c r="H2256" i="16"/>
  <c r="H2245" i="16"/>
  <c r="H1095" i="16"/>
  <c r="H1099" i="16"/>
  <c r="H2228" i="16"/>
  <c r="H1933" i="16"/>
  <c r="H1640" i="16"/>
  <c r="H1308" i="16"/>
  <c r="H516" i="16"/>
  <c r="H2175" i="16"/>
  <c r="H1591" i="16"/>
  <c r="H1788" i="16"/>
  <c r="H1008" i="16"/>
  <c r="H672" i="16"/>
  <c r="H1741" i="16"/>
  <c r="H859" i="16"/>
  <c r="H435" i="16"/>
  <c r="H735" i="16"/>
  <c r="H1206" i="16"/>
  <c r="H961" i="16"/>
  <c r="H382" i="16"/>
  <c r="H99" i="16"/>
  <c r="H1936" i="16"/>
  <c r="H1218" i="16"/>
  <c r="H2052" i="16"/>
  <c r="H303" i="16"/>
  <c r="H1249" i="16"/>
  <c r="H101" i="16"/>
  <c r="H1311" i="16"/>
  <c r="H1554" i="16"/>
  <c r="H2326" i="16"/>
  <c r="H380" i="16"/>
  <c r="H166" i="16"/>
  <c r="H757" i="16"/>
  <c r="H1254" i="16"/>
  <c r="H1189" i="16"/>
  <c r="H1913" i="16"/>
  <c r="H146" i="16"/>
  <c r="H1020" i="16"/>
  <c r="H156" i="16"/>
  <c r="H1656" i="16"/>
  <c r="H39" i="16"/>
  <c r="H1620" i="16"/>
  <c r="H1991" i="16"/>
  <c r="H707" i="16"/>
  <c r="H764" i="16"/>
  <c r="H1770" i="16"/>
  <c r="H874" i="16"/>
  <c r="H700" i="16"/>
  <c r="H521" i="16"/>
  <c r="H2083" i="16"/>
  <c r="H1224" i="16"/>
  <c r="H174" i="16"/>
  <c r="H1632" i="16"/>
  <c r="H1407" i="16"/>
  <c r="H1310" i="16"/>
  <c r="H1191" i="16"/>
  <c r="H1060" i="16"/>
  <c r="H473" i="16"/>
  <c r="H1039" i="16"/>
  <c r="H575" i="16"/>
  <c r="H651" i="16"/>
  <c r="H1170" i="16"/>
  <c r="H2199" i="16"/>
  <c r="H2178" i="16"/>
  <c r="H1388" i="16"/>
  <c r="H181" i="16"/>
  <c r="H456" i="16"/>
  <c r="H1885" i="16"/>
  <c r="H9" i="16"/>
  <c r="H2255" i="16"/>
  <c r="H2067" i="16"/>
  <c r="H327" i="16"/>
  <c r="H909" i="16"/>
  <c r="H2028" i="16"/>
  <c r="H2225" i="16"/>
  <c r="H474" i="16"/>
  <c r="H678" i="16"/>
  <c r="H1806" i="16"/>
  <c r="H472" i="16"/>
  <c r="H211" i="16"/>
  <c r="H466" i="16"/>
  <c r="H355" i="16"/>
  <c r="H54" i="16"/>
  <c r="H1868" i="16"/>
  <c r="H436" i="16"/>
  <c r="H833" i="16"/>
  <c r="H544" i="16"/>
  <c r="H2277" i="16"/>
  <c r="H256" i="16"/>
  <c r="H373" i="16"/>
  <c r="H2093" i="16"/>
  <c r="H1418" i="16"/>
  <c r="H629" i="16"/>
  <c r="H1045" i="16"/>
  <c r="H1010" i="16"/>
  <c r="H802" i="16"/>
  <c r="H887" i="16"/>
  <c r="H810" i="16"/>
  <c r="H1771" i="16"/>
  <c r="H208" i="16"/>
  <c r="H1750" i="16"/>
  <c r="H135" i="16"/>
  <c r="H985" i="16"/>
  <c r="H1120" i="16"/>
  <c r="H171" i="16"/>
  <c r="H278" i="16"/>
  <c r="H525" i="16"/>
  <c r="H2227" i="16"/>
  <c r="H983" i="16"/>
  <c r="H2109" i="16"/>
  <c r="H708" i="16"/>
  <c r="H701" i="16"/>
  <c r="H2045" i="16"/>
  <c r="H2211" i="16"/>
  <c r="H2133" i="16"/>
  <c r="H1084" i="16"/>
  <c r="H1192" i="16"/>
  <c r="H253" i="16"/>
  <c r="H760" i="16"/>
  <c r="H1636" i="16"/>
  <c r="H1684" i="16"/>
  <c r="H57" i="16"/>
  <c r="H1584" i="16"/>
  <c r="H1821" i="16"/>
  <c r="H165" i="16"/>
  <c r="H1385" i="16"/>
  <c r="H926" i="16"/>
  <c r="H242" i="16"/>
  <c r="H281" i="16"/>
  <c r="H464" i="16"/>
  <c r="H227" i="16"/>
  <c r="H261" i="16"/>
  <c r="H1157" i="16"/>
  <c r="H73" i="16"/>
  <c r="H203" i="16"/>
  <c r="H1586" i="16"/>
  <c r="H837" i="16"/>
  <c r="H658" i="16"/>
  <c r="H2257" i="16"/>
  <c r="H1760" i="16"/>
  <c r="H869" i="16"/>
  <c r="H1790" i="16"/>
  <c r="H1391" i="16"/>
  <c r="H1998" i="16"/>
  <c r="H725" i="16"/>
  <c r="H1752" i="16"/>
  <c r="H125" i="16"/>
  <c r="H1491" i="16"/>
  <c r="H719" i="16"/>
  <c r="H1398" i="16"/>
  <c r="H627" i="16"/>
  <c r="H2078" i="16"/>
  <c r="H1002" i="16"/>
  <c r="H1454" i="16"/>
  <c r="H177" i="16"/>
  <c r="H2060" i="16"/>
  <c r="H974" i="16"/>
  <c r="H1858" i="16"/>
  <c r="H1031" i="16"/>
  <c r="H1903" i="16"/>
  <c r="H32" i="16"/>
  <c r="H2233" i="16"/>
  <c r="H1198" i="16"/>
  <c r="H1309" i="16"/>
  <c r="H1842" i="16"/>
  <c r="H1639" i="16"/>
  <c r="H857" i="16"/>
  <c r="H148" i="16"/>
  <c r="H574" i="16"/>
  <c r="H628" i="16"/>
  <c r="H673" i="16"/>
  <c r="H2198" i="16"/>
  <c r="H881" i="16"/>
  <c r="H2177" i="16"/>
  <c r="H180" i="16"/>
  <c r="H1203" i="16"/>
  <c r="H2274" i="16"/>
  <c r="H425" i="16"/>
  <c r="H2254" i="16"/>
  <c r="H2149" i="16"/>
  <c r="H852" i="16"/>
  <c r="H2235" i="16"/>
  <c r="H2163" i="16"/>
  <c r="H851" i="16"/>
  <c r="H913" i="16"/>
  <c r="H677" i="16"/>
  <c r="H1176" i="16"/>
  <c r="H1442" i="16"/>
  <c r="H1379" i="16"/>
  <c r="H1805" i="16"/>
  <c r="H1172" i="16"/>
  <c r="H53" i="16"/>
  <c r="H1553" i="16"/>
  <c r="H689" i="16"/>
  <c r="H1024" i="16"/>
  <c r="H543" i="16"/>
  <c r="H434" i="16"/>
  <c r="H1624" i="16"/>
  <c r="H1229" i="16"/>
  <c r="H1431" i="16"/>
  <c r="H65" i="16"/>
  <c r="H1307" i="16"/>
  <c r="H715" i="16"/>
  <c r="H1093" i="16"/>
  <c r="H2132" i="16"/>
  <c r="H1545" i="16"/>
  <c r="H167" i="16"/>
  <c r="H1899" i="16"/>
  <c r="H1412" i="16"/>
  <c r="H414" i="16"/>
  <c r="H12" i="16"/>
  <c r="H230" i="16"/>
  <c r="H1255" i="16"/>
  <c r="H1690" i="16"/>
  <c r="H834" i="16"/>
  <c r="H388" i="16"/>
  <c r="H33" i="16"/>
  <c r="H134" i="16"/>
  <c r="H119" i="16"/>
  <c r="H842" i="16"/>
  <c r="H1428" i="16"/>
  <c r="H1359" i="16"/>
  <c r="H2214" i="16"/>
  <c r="H50" i="16"/>
  <c r="H1884" i="16"/>
  <c r="H688" i="16"/>
  <c r="H1091" i="16"/>
  <c r="H1389" i="16"/>
  <c r="H2086" i="16"/>
  <c r="H1230" i="16"/>
  <c r="H1758" i="16"/>
  <c r="H457" i="16"/>
  <c r="H777" i="16"/>
  <c r="H1921" i="16"/>
  <c r="H776" i="16"/>
  <c r="H990" i="16"/>
  <c r="H16" i="16"/>
  <c r="H1995" i="16"/>
  <c r="H2205" i="16"/>
  <c r="H1768" i="16"/>
  <c r="H626" i="16"/>
  <c r="H493" i="16"/>
  <c r="H2069" i="16"/>
  <c r="H687" i="16"/>
  <c r="H1471" i="16"/>
  <c r="H2270" i="16"/>
  <c r="H897" i="16"/>
  <c r="H979" i="16"/>
  <c r="H2239" i="16"/>
  <c r="H868" i="16"/>
  <c r="H1830" i="16"/>
  <c r="H1669" i="16"/>
  <c r="H1188" i="16"/>
  <c r="H548" i="16"/>
  <c r="H547" i="16"/>
  <c r="H136" i="16"/>
  <c r="H36" i="16"/>
  <c r="H26" i="16"/>
  <c r="H2207" i="16"/>
  <c r="H1878" i="16"/>
  <c r="H1736" i="16"/>
  <c r="H1070" i="16"/>
  <c r="H1453" i="16"/>
  <c r="H308" i="16"/>
  <c r="H878" i="16"/>
  <c r="H973" i="16"/>
  <c r="H841" i="16"/>
  <c r="H2253" i="16"/>
  <c r="H2169" i="16"/>
  <c r="H871" i="16"/>
  <c r="H1599" i="16"/>
  <c r="H1165" i="16"/>
  <c r="H2224" i="16"/>
  <c r="H1841" i="16"/>
  <c r="H1638" i="16"/>
  <c r="H856" i="16"/>
  <c r="H1628" i="16"/>
  <c r="H1625" i="16"/>
  <c r="H1920" i="16"/>
  <c r="H930" i="16"/>
  <c r="H122" i="16"/>
  <c r="H1949" i="16"/>
  <c r="H1464" i="16"/>
  <c r="H179" i="16"/>
  <c r="H1223" i="16"/>
  <c r="H2220" i="16"/>
  <c r="H115" i="16"/>
  <c r="H1905" i="16"/>
  <c r="H421" i="16"/>
  <c r="H847" i="16"/>
  <c r="H1059" i="16"/>
  <c r="H1169" i="16"/>
  <c r="H1221" i="16"/>
  <c r="H481" i="16"/>
  <c r="H1629" i="16"/>
  <c r="H2278" i="16"/>
  <c r="H1745" i="16"/>
  <c r="H2042" i="16"/>
  <c r="H1097" i="16"/>
  <c r="H2176" i="16"/>
  <c r="H845" i="16"/>
  <c r="H1979" i="16"/>
  <c r="H413" i="16"/>
  <c r="H1266" i="16"/>
  <c r="H1041" i="16"/>
  <c r="H633" i="16"/>
  <c r="H2062" i="16"/>
  <c r="H476" i="16"/>
  <c r="H127" i="16"/>
  <c r="H1110" i="16"/>
  <c r="H1034" i="16"/>
  <c r="H82" i="16"/>
  <c r="H428" i="16"/>
  <c r="H1476" i="16"/>
  <c r="H384" i="16"/>
  <c r="H933" i="16"/>
  <c r="H480" i="16"/>
  <c r="H1871" i="16"/>
  <c r="H991" i="16"/>
  <c r="H1825" i="16"/>
  <c r="H2139" i="16"/>
  <c r="H1158" i="16"/>
  <c r="H1873" i="16"/>
  <c r="H706" i="16"/>
  <c r="H1049" i="16"/>
  <c r="H763" i="16"/>
  <c r="H825" i="16"/>
  <c r="H1607" i="16"/>
  <c r="H729" i="16"/>
  <c r="H604" i="16"/>
  <c r="H1983" i="16"/>
  <c r="H170" i="16"/>
  <c r="H1048" i="16"/>
  <c r="H1551" i="16"/>
  <c r="H1964" i="16"/>
  <c r="H405" i="16"/>
  <c r="H120" i="16"/>
  <c r="H1661" i="16"/>
  <c r="H614" i="16"/>
  <c r="H1757" i="16"/>
  <c r="H773" i="16"/>
  <c r="H570" i="16"/>
  <c r="H1786" i="16"/>
  <c r="H775" i="16"/>
  <c r="H578" i="16"/>
  <c r="H56" i="16"/>
  <c r="H46" i="16"/>
  <c r="H1173" i="16"/>
  <c r="H645" i="16"/>
  <c r="H625" i="16"/>
  <c r="H1800" i="16"/>
  <c r="H2161" i="16"/>
  <c r="H49" i="16"/>
  <c r="H1022" i="16"/>
  <c r="H1688" i="16"/>
  <c r="H744" i="16"/>
  <c r="H1089" i="16"/>
  <c r="H1528" i="16"/>
  <c r="H274" i="16"/>
  <c r="H1438" i="16"/>
  <c r="H593" i="16"/>
  <c r="H1187" i="16"/>
  <c r="H1918" i="16"/>
  <c r="H546" i="16"/>
  <c r="H354" i="16"/>
  <c r="H1183" i="16"/>
  <c r="H224" i="16"/>
  <c r="H916" i="16"/>
  <c r="H1904" i="16"/>
  <c r="H2196" i="16"/>
  <c r="H1532" i="16"/>
  <c r="H1079" i="16"/>
  <c r="H397" i="16"/>
  <c r="H1023" i="16"/>
  <c r="AO531" i="23"/>
  <c r="AH531" i="23"/>
  <c r="AD531" i="23"/>
  <c r="AB531" i="23"/>
  <c r="X531" i="23"/>
  <c r="T531" i="23"/>
  <c r="P531" i="23"/>
  <c r="L531" i="23"/>
  <c r="H531" i="23"/>
  <c r="F531" i="23"/>
  <c r="G531" i="23" s="1"/>
  <c r="D531" i="23"/>
  <c r="E531" i="23" s="1"/>
  <c r="C531" i="23"/>
  <c r="B531" i="23"/>
  <c r="AO530" i="23"/>
  <c r="AH530" i="23"/>
  <c r="AD530" i="23"/>
  <c r="AB530" i="23"/>
  <c r="X530" i="23"/>
  <c r="T530" i="23"/>
  <c r="P530" i="23"/>
  <c r="L530" i="23"/>
  <c r="H530" i="23"/>
  <c r="F530" i="23"/>
  <c r="G530" i="23" s="1"/>
  <c r="D530" i="23"/>
  <c r="E530" i="23" s="1"/>
  <c r="C530" i="23"/>
  <c r="B530" i="23"/>
  <c r="AO529" i="23"/>
  <c r="AH529" i="23"/>
  <c r="AD529" i="23"/>
  <c r="AB529" i="23"/>
  <c r="X529" i="23"/>
  <c r="T529" i="23"/>
  <c r="P529" i="23"/>
  <c r="L529" i="23"/>
  <c r="H529" i="23"/>
  <c r="F529" i="23"/>
  <c r="G529" i="23" s="1"/>
  <c r="D529" i="23"/>
  <c r="E529" i="23" s="1"/>
  <c r="C529" i="23"/>
  <c r="B529" i="23"/>
  <c r="AO528" i="23"/>
  <c r="AH528" i="23"/>
  <c r="AD528" i="23"/>
  <c r="AB528" i="23"/>
  <c r="X528" i="23"/>
  <c r="T528" i="23"/>
  <c r="P528" i="23"/>
  <c r="L528" i="23"/>
  <c r="H528" i="23"/>
  <c r="F528" i="23"/>
  <c r="G528" i="23" s="1"/>
  <c r="D528" i="23"/>
  <c r="E528" i="23" s="1"/>
  <c r="C528" i="23"/>
  <c r="B528" i="23"/>
  <c r="AO527" i="23"/>
  <c r="AH527" i="23"/>
  <c r="AD527" i="23"/>
  <c r="AB527" i="23"/>
  <c r="X527" i="23"/>
  <c r="T527" i="23"/>
  <c r="P527" i="23"/>
  <c r="L527" i="23"/>
  <c r="H527" i="23"/>
  <c r="F527" i="23"/>
  <c r="G527" i="23" s="1"/>
  <c r="D527" i="23"/>
  <c r="E527" i="23" s="1"/>
  <c r="C527" i="23"/>
  <c r="B527" i="23"/>
  <c r="AO526" i="23"/>
  <c r="AH526" i="23"/>
  <c r="AD526" i="23"/>
  <c r="AB526" i="23"/>
  <c r="X526" i="23"/>
  <c r="T526" i="23"/>
  <c r="P526" i="23"/>
  <c r="L526" i="23"/>
  <c r="H526" i="23"/>
  <c r="F526" i="23"/>
  <c r="G526" i="23" s="1"/>
  <c r="D526" i="23"/>
  <c r="E526" i="23" s="1"/>
  <c r="C526" i="23"/>
  <c r="B526" i="23"/>
  <c r="AO525" i="23"/>
  <c r="AH525" i="23"/>
  <c r="AD525" i="23"/>
  <c r="AB525" i="23"/>
  <c r="X525" i="23"/>
  <c r="T525" i="23"/>
  <c r="P525" i="23"/>
  <c r="L525" i="23"/>
  <c r="H525" i="23"/>
  <c r="F525" i="23"/>
  <c r="G525" i="23" s="1"/>
  <c r="D525" i="23"/>
  <c r="E525" i="23" s="1"/>
  <c r="C525" i="23"/>
  <c r="B525" i="23"/>
  <c r="AO524" i="23"/>
  <c r="AH524" i="23"/>
  <c r="AD524" i="23"/>
  <c r="AB524" i="23"/>
  <c r="X524" i="23"/>
  <c r="T524" i="23"/>
  <c r="P524" i="23"/>
  <c r="L524" i="23"/>
  <c r="H524" i="23"/>
  <c r="F524" i="23"/>
  <c r="G524" i="23" s="1"/>
  <c r="D524" i="23"/>
  <c r="E524" i="23" s="1"/>
  <c r="C524" i="23"/>
  <c r="B524" i="23"/>
  <c r="AO523" i="23"/>
  <c r="AH523" i="23"/>
  <c r="AD523" i="23"/>
  <c r="AB523" i="23"/>
  <c r="X523" i="23"/>
  <c r="T523" i="23"/>
  <c r="P523" i="23"/>
  <c r="L523" i="23"/>
  <c r="H523" i="23"/>
  <c r="F523" i="23"/>
  <c r="G523" i="23" s="1"/>
  <c r="D523" i="23"/>
  <c r="E523" i="23" s="1"/>
  <c r="C523" i="23"/>
  <c r="B523" i="23"/>
  <c r="AO522" i="23"/>
  <c r="AH522" i="23"/>
  <c r="AD522" i="23"/>
  <c r="AB522" i="23"/>
  <c r="X522" i="23"/>
  <c r="T522" i="23"/>
  <c r="P522" i="23"/>
  <c r="L522" i="23"/>
  <c r="H522" i="23"/>
  <c r="F522" i="23"/>
  <c r="G522" i="23" s="1"/>
  <c r="D522" i="23"/>
  <c r="E522" i="23" s="1"/>
  <c r="C522" i="23"/>
  <c r="B522" i="23"/>
  <c r="AO521" i="23"/>
  <c r="AH521" i="23"/>
  <c r="AD521" i="23"/>
  <c r="AB521" i="23"/>
  <c r="X521" i="23"/>
  <c r="T521" i="23"/>
  <c r="P521" i="23"/>
  <c r="L521" i="23"/>
  <c r="H521" i="23"/>
  <c r="F521" i="23"/>
  <c r="G521" i="23" s="1"/>
  <c r="D521" i="23"/>
  <c r="E521" i="23" s="1"/>
  <c r="C521" i="23"/>
  <c r="B521" i="23"/>
  <c r="AO520" i="23"/>
  <c r="AH520" i="23"/>
  <c r="AD520" i="23"/>
  <c r="AB520" i="23"/>
  <c r="X520" i="23"/>
  <c r="T520" i="23"/>
  <c r="P520" i="23"/>
  <c r="L520" i="23"/>
  <c r="H520" i="23"/>
  <c r="F520" i="23"/>
  <c r="G520" i="23" s="1"/>
  <c r="D520" i="23"/>
  <c r="E520" i="23" s="1"/>
  <c r="C520" i="23"/>
  <c r="B520" i="23"/>
  <c r="AO519" i="23"/>
  <c r="AH519" i="23"/>
  <c r="AD519" i="23"/>
  <c r="AB519" i="23"/>
  <c r="X519" i="23"/>
  <c r="T519" i="23"/>
  <c r="P519" i="23"/>
  <c r="L519" i="23"/>
  <c r="H519" i="23"/>
  <c r="F519" i="23"/>
  <c r="G519" i="23" s="1"/>
  <c r="D519" i="23"/>
  <c r="E519" i="23" s="1"/>
  <c r="C519" i="23"/>
  <c r="B519" i="23"/>
  <c r="AO518" i="23"/>
  <c r="AH518" i="23"/>
  <c r="AD518" i="23"/>
  <c r="AB518" i="23"/>
  <c r="X518" i="23"/>
  <c r="T518" i="23"/>
  <c r="P518" i="23"/>
  <c r="L518" i="23"/>
  <c r="H518" i="23"/>
  <c r="F518" i="23"/>
  <c r="G518" i="23" s="1"/>
  <c r="D518" i="23"/>
  <c r="E518" i="23" s="1"/>
  <c r="C518" i="23"/>
  <c r="B518" i="23"/>
  <c r="AO517" i="23"/>
  <c r="AH517" i="23"/>
  <c r="AD517" i="23"/>
  <c r="AB517" i="23"/>
  <c r="X517" i="23"/>
  <c r="T517" i="23"/>
  <c r="P517" i="23"/>
  <c r="L517" i="23"/>
  <c r="H517" i="23"/>
  <c r="F517" i="23"/>
  <c r="G517" i="23" s="1"/>
  <c r="D517" i="23"/>
  <c r="E517" i="23" s="1"/>
  <c r="C517" i="23"/>
  <c r="B517" i="23"/>
  <c r="AO516" i="23"/>
  <c r="AH516" i="23"/>
  <c r="AD516" i="23"/>
  <c r="AB516" i="23"/>
  <c r="X516" i="23"/>
  <c r="T516" i="23"/>
  <c r="P516" i="23"/>
  <c r="L516" i="23"/>
  <c r="H516" i="23"/>
  <c r="F516" i="23"/>
  <c r="G516" i="23" s="1"/>
  <c r="D516" i="23"/>
  <c r="E516" i="23" s="1"/>
  <c r="C516" i="23"/>
  <c r="B516" i="23"/>
  <c r="AO515" i="23"/>
  <c r="AH515" i="23"/>
  <c r="AD515" i="23"/>
  <c r="AB515" i="23"/>
  <c r="X515" i="23"/>
  <c r="T515" i="23"/>
  <c r="P515" i="23"/>
  <c r="L515" i="23"/>
  <c r="H515" i="23"/>
  <c r="F515" i="23"/>
  <c r="G515" i="23" s="1"/>
  <c r="D515" i="23"/>
  <c r="E515" i="23" s="1"/>
  <c r="C515" i="23"/>
  <c r="B515" i="23"/>
  <c r="AO514" i="23"/>
  <c r="AH514" i="23"/>
  <c r="AD514" i="23"/>
  <c r="AB514" i="23"/>
  <c r="X514" i="23"/>
  <c r="T514" i="23"/>
  <c r="P514" i="23"/>
  <c r="L514" i="23"/>
  <c r="H514" i="23"/>
  <c r="F514" i="23"/>
  <c r="G514" i="23" s="1"/>
  <c r="D514" i="23"/>
  <c r="E514" i="23" s="1"/>
  <c r="C514" i="23"/>
  <c r="B514" i="23"/>
  <c r="AO513" i="23"/>
  <c r="AH513" i="23"/>
  <c r="AD513" i="23"/>
  <c r="AB513" i="23"/>
  <c r="X513" i="23"/>
  <c r="T513" i="23"/>
  <c r="P513" i="23"/>
  <c r="L513" i="23"/>
  <c r="H513" i="23"/>
  <c r="F513" i="23"/>
  <c r="G513" i="23" s="1"/>
  <c r="D513" i="23"/>
  <c r="E513" i="23" s="1"/>
  <c r="C513" i="23"/>
  <c r="B513" i="23"/>
  <c r="AO512" i="23"/>
  <c r="AH512" i="23"/>
  <c r="AD512" i="23"/>
  <c r="AB512" i="23"/>
  <c r="X512" i="23"/>
  <c r="T512" i="23"/>
  <c r="P512" i="23"/>
  <c r="L512" i="23"/>
  <c r="H512" i="23"/>
  <c r="F512" i="23"/>
  <c r="G512" i="23" s="1"/>
  <c r="D512" i="23"/>
  <c r="E512" i="23" s="1"/>
  <c r="C512" i="23"/>
  <c r="B512" i="23"/>
  <c r="AO511" i="23"/>
  <c r="AH511" i="23"/>
  <c r="AD511" i="23"/>
  <c r="AB511" i="23"/>
  <c r="X511" i="23"/>
  <c r="T511" i="23"/>
  <c r="P511" i="23"/>
  <c r="L511" i="23"/>
  <c r="H511" i="23"/>
  <c r="F511" i="23"/>
  <c r="G511" i="23" s="1"/>
  <c r="D511" i="23"/>
  <c r="E511" i="23" s="1"/>
  <c r="C511" i="23"/>
  <c r="B511" i="23"/>
  <c r="AO510" i="23"/>
  <c r="AH510" i="23"/>
  <c r="AD510" i="23"/>
  <c r="AB510" i="23"/>
  <c r="X510" i="23"/>
  <c r="T510" i="23"/>
  <c r="P510" i="23"/>
  <c r="L510" i="23"/>
  <c r="H510" i="23"/>
  <c r="F510" i="23"/>
  <c r="G510" i="23" s="1"/>
  <c r="D510" i="23"/>
  <c r="E510" i="23" s="1"/>
  <c r="C510" i="23"/>
  <c r="B510" i="23"/>
  <c r="AO509" i="23"/>
  <c r="AH509" i="23"/>
  <c r="AD509" i="23"/>
  <c r="AB509" i="23"/>
  <c r="X509" i="23"/>
  <c r="T509" i="23"/>
  <c r="P509" i="23"/>
  <c r="L509" i="23"/>
  <c r="H509" i="23"/>
  <c r="F509" i="23"/>
  <c r="G509" i="23" s="1"/>
  <c r="D509" i="23"/>
  <c r="E509" i="23" s="1"/>
  <c r="C509" i="23"/>
  <c r="B509" i="23"/>
  <c r="AO508" i="23"/>
  <c r="AH508" i="23"/>
  <c r="AD508" i="23"/>
  <c r="AB508" i="23"/>
  <c r="X508" i="23"/>
  <c r="T508" i="23"/>
  <c r="P508" i="23"/>
  <c r="L508" i="23"/>
  <c r="H508" i="23"/>
  <c r="F508" i="23"/>
  <c r="G508" i="23" s="1"/>
  <c r="D508" i="23"/>
  <c r="E508" i="23" s="1"/>
  <c r="C508" i="23"/>
  <c r="B508" i="23"/>
  <c r="AO507" i="23"/>
  <c r="AH507" i="23"/>
  <c r="AD507" i="23"/>
  <c r="AB507" i="23"/>
  <c r="X507" i="23"/>
  <c r="T507" i="23"/>
  <c r="P507" i="23"/>
  <c r="L507" i="23"/>
  <c r="H507" i="23"/>
  <c r="F507" i="23"/>
  <c r="G507" i="23" s="1"/>
  <c r="D507" i="23"/>
  <c r="E507" i="23" s="1"/>
  <c r="C507" i="23"/>
  <c r="B507" i="23"/>
  <c r="AO506" i="23"/>
  <c r="AH506" i="23"/>
  <c r="AD506" i="23"/>
  <c r="AB506" i="23"/>
  <c r="X506" i="23"/>
  <c r="T506" i="23"/>
  <c r="P506" i="23"/>
  <c r="L506" i="23"/>
  <c r="H506" i="23"/>
  <c r="F506" i="23"/>
  <c r="G506" i="23" s="1"/>
  <c r="D506" i="23"/>
  <c r="E506" i="23" s="1"/>
  <c r="C506" i="23"/>
  <c r="B506" i="23"/>
  <c r="AO505" i="23"/>
  <c r="AH505" i="23"/>
  <c r="AD505" i="23"/>
  <c r="AB505" i="23"/>
  <c r="X505" i="23"/>
  <c r="T505" i="23"/>
  <c r="P505" i="23"/>
  <c r="L505" i="23"/>
  <c r="H505" i="23"/>
  <c r="F505" i="23"/>
  <c r="G505" i="23" s="1"/>
  <c r="D505" i="23"/>
  <c r="E505" i="23" s="1"/>
  <c r="C505" i="23"/>
  <c r="B505" i="23"/>
  <c r="AO504" i="23"/>
  <c r="AH504" i="23"/>
  <c r="AD504" i="23"/>
  <c r="AB504" i="23"/>
  <c r="X504" i="23"/>
  <c r="T504" i="23"/>
  <c r="P504" i="23"/>
  <c r="L504" i="23"/>
  <c r="H504" i="23"/>
  <c r="F504" i="23"/>
  <c r="G504" i="23" s="1"/>
  <c r="D504" i="23"/>
  <c r="E504" i="23" s="1"/>
  <c r="C504" i="23"/>
  <c r="B504" i="23"/>
  <c r="AO503" i="23"/>
  <c r="AH503" i="23"/>
  <c r="AD503" i="23"/>
  <c r="AB503" i="23"/>
  <c r="X503" i="23"/>
  <c r="T503" i="23"/>
  <c r="P503" i="23"/>
  <c r="L503" i="23"/>
  <c r="H503" i="23"/>
  <c r="F503" i="23"/>
  <c r="G503" i="23" s="1"/>
  <c r="D503" i="23"/>
  <c r="E503" i="23" s="1"/>
  <c r="C503" i="23"/>
  <c r="B503" i="23"/>
  <c r="AO502" i="23"/>
  <c r="AH502" i="23"/>
  <c r="AD502" i="23"/>
  <c r="AB502" i="23"/>
  <c r="X502" i="23"/>
  <c r="T502" i="23"/>
  <c r="P502" i="23"/>
  <c r="L502" i="23"/>
  <c r="H502" i="23"/>
  <c r="F502" i="23"/>
  <c r="G502" i="23" s="1"/>
  <c r="D502" i="23"/>
  <c r="E502" i="23" s="1"/>
  <c r="C502" i="23"/>
  <c r="B502" i="23"/>
  <c r="AO501" i="23"/>
  <c r="AH501" i="23"/>
  <c r="AD501" i="23"/>
  <c r="AB501" i="23"/>
  <c r="X501" i="23"/>
  <c r="T501" i="23"/>
  <c r="P501" i="23"/>
  <c r="L501" i="23"/>
  <c r="H501" i="23"/>
  <c r="F501" i="23"/>
  <c r="G501" i="23" s="1"/>
  <c r="D501" i="23"/>
  <c r="E501" i="23" s="1"/>
  <c r="C501" i="23"/>
  <c r="B501" i="23"/>
  <c r="AO500" i="23"/>
  <c r="AH500" i="23"/>
  <c r="AD500" i="23"/>
  <c r="AB500" i="23"/>
  <c r="X500" i="23"/>
  <c r="T500" i="23"/>
  <c r="P500" i="23"/>
  <c r="L500" i="23"/>
  <c r="H500" i="23"/>
  <c r="F500" i="23"/>
  <c r="G500" i="23" s="1"/>
  <c r="D500" i="23"/>
  <c r="E500" i="23" s="1"/>
  <c r="C500" i="23"/>
  <c r="B500" i="23"/>
  <c r="AO499" i="23"/>
  <c r="AH499" i="23"/>
  <c r="AD499" i="23"/>
  <c r="AB499" i="23"/>
  <c r="X499" i="23"/>
  <c r="T499" i="23"/>
  <c r="P499" i="23"/>
  <c r="L499" i="23"/>
  <c r="H499" i="23"/>
  <c r="F499" i="23"/>
  <c r="G499" i="23" s="1"/>
  <c r="D499" i="23"/>
  <c r="E499" i="23" s="1"/>
  <c r="C499" i="23"/>
  <c r="B499" i="23"/>
  <c r="AO498" i="23"/>
  <c r="AH498" i="23"/>
  <c r="AD498" i="23"/>
  <c r="AB498" i="23"/>
  <c r="X498" i="23"/>
  <c r="T498" i="23"/>
  <c r="P498" i="23"/>
  <c r="L498" i="23"/>
  <c r="H498" i="23"/>
  <c r="F498" i="23"/>
  <c r="G498" i="23" s="1"/>
  <c r="D498" i="23"/>
  <c r="E498" i="23" s="1"/>
  <c r="C498" i="23"/>
  <c r="B498" i="23"/>
  <c r="AO497" i="23"/>
  <c r="AH497" i="23"/>
  <c r="AD497" i="23"/>
  <c r="AB497" i="23"/>
  <c r="X497" i="23"/>
  <c r="T497" i="23"/>
  <c r="P497" i="23"/>
  <c r="L497" i="23"/>
  <c r="H497" i="23"/>
  <c r="F497" i="23"/>
  <c r="G497" i="23" s="1"/>
  <c r="D497" i="23"/>
  <c r="E497" i="23" s="1"/>
  <c r="C497" i="23"/>
  <c r="B497" i="23"/>
  <c r="AO496" i="23"/>
  <c r="AH496" i="23"/>
  <c r="AD496" i="23"/>
  <c r="AB496" i="23"/>
  <c r="X496" i="23"/>
  <c r="T496" i="23"/>
  <c r="P496" i="23"/>
  <c r="L496" i="23"/>
  <c r="H496" i="23"/>
  <c r="F496" i="23"/>
  <c r="G496" i="23" s="1"/>
  <c r="D496" i="23"/>
  <c r="E496" i="23" s="1"/>
  <c r="C496" i="23"/>
  <c r="B496" i="23"/>
  <c r="AO495" i="23"/>
  <c r="AH495" i="23"/>
  <c r="AD495" i="23"/>
  <c r="AB495" i="23"/>
  <c r="X495" i="23"/>
  <c r="T495" i="23"/>
  <c r="P495" i="23"/>
  <c r="L495" i="23"/>
  <c r="H495" i="23"/>
  <c r="F495" i="23"/>
  <c r="G495" i="23" s="1"/>
  <c r="D495" i="23"/>
  <c r="E495" i="23" s="1"/>
  <c r="C495" i="23"/>
  <c r="B495" i="23"/>
  <c r="AO494" i="23"/>
  <c r="AH494" i="23"/>
  <c r="AD494" i="23"/>
  <c r="AB494" i="23"/>
  <c r="X494" i="23"/>
  <c r="T494" i="23"/>
  <c r="P494" i="23"/>
  <c r="L494" i="23"/>
  <c r="H494" i="23"/>
  <c r="F494" i="23"/>
  <c r="G494" i="23" s="1"/>
  <c r="D494" i="23"/>
  <c r="E494" i="23" s="1"/>
  <c r="C494" i="23"/>
  <c r="B494" i="23"/>
  <c r="AO493" i="23"/>
  <c r="AH493" i="23"/>
  <c r="AD493" i="23"/>
  <c r="AB493" i="23"/>
  <c r="X493" i="23"/>
  <c r="T493" i="23"/>
  <c r="P493" i="23"/>
  <c r="L493" i="23"/>
  <c r="H493" i="23"/>
  <c r="F493" i="23"/>
  <c r="G493" i="23" s="1"/>
  <c r="D493" i="23"/>
  <c r="E493" i="23" s="1"/>
  <c r="C493" i="23"/>
  <c r="B493" i="23"/>
  <c r="AO492" i="23"/>
  <c r="AH492" i="23"/>
  <c r="AD492" i="23"/>
  <c r="AB492" i="23"/>
  <c r="X492" i="23"/>
  <c r="T492" i="23"/>
  <c r="P492" i="23"/>
  <c r="L492" i="23"/>
  <c r="H492" i="23"/>
  <c r="F492" i="23"/>
  <c r="G492" i="23" s="1"/>
  <c r="D492" i="23"/>
  <c r="E492" i="23" s="1"/>
  <c r="C492" i="23"/>
  <c r="B492" i="23"/>
  <c r="AO491" i="23"/>
  <c r="AH491" i="23"/>
  <c r="AD491" i="23"/>
  <c r="AB491" i="23"/>
  <c r="X491" i="23"/>
  <c r="T491" i="23"/>
  <c r="P491" i="23"/>
  <c r="L491" i="23"/>
  <c r="H491" i="23"/>
  <c r="F491" i="23"/>
  <c r="G491" i="23" s="1"/>
  <c r="D491" i="23"/>
  <c r="E491" i="23" s="1"/>
  <c r="C491" i="23"/>
  <c r="B491" i="23"/>
  <c r="AO490" i="23"/>
  <c r="AH490" i="23"/>
  <c r="AD490" i="23"/>
  <c r="AB490" i="23"/>
  <c r="X490" i="23"/>
  <c r="T490" i="23"/>
  <c r="P490" i="23"/>
  <c r="L490" i="23"/>
  <c r="H490" i="23"/>
  <c r="F490" i="23"/>
  <c r="G490" i="23" s="1"/>
  <c r="D490" i="23"/>
  <c r="E490" i="23" s="1"/>
  <c r="C490" i="23"/>
  <c r="B490" i="23"/>
  <c r="AO489" i="23"/>
  <c r="AH489" i="23"/>
  <c r="AD489" i="23"/>
  <c r="AB489" i="23"/>
  <c r="X489" i="23"/>
  <c r="T489" i="23"/>
  <c r="P489" i="23"/>
  <c r="L489" i="23"/>
  <c r="H489" i="23"/>
  <c r="F489" i="23"/>
  <c r="G489" i="23" s="1"/>
  <c r="D489" i="23"/>
  <c r="E489" i="23" s="1"/>
  <c r="C489" i="23"/>
  <c r="B489" i="23"/>
  <c r="AO488" i="23"/>
  <c r="AH488" i="23"/>
  <c r="AD488" i="23"/>
  <c r="AB488" i="23"/>
  <c r="X488" i="23"/>
  <c r="T488" i="23"/>
  <c r="P488" i="23"/>
  <c r="L488" i="23"/>
  <c r="H488" i="23"/>
  <c r="F488" i="23"/>
  <c r="G488" i="23" s="1"/>
  <c r="D488" i="23"/>
  <c r="E488" i="23" s="1"/>
  <c r="C488" i="23"/>
  <c r="B488" i="23"/>
  <c r="AO487" i="23"/>
  <c r="AH487" i="23"/>
  <c r="AD487" i="23"/>
  <c r="AB487" i="23"/>
  <c r="X487" i="23"/>
  <c r="T487" i="23"/>
  <c r="P487" i="23"/>
  <c r="L487" i="23"/>
  <c r="H487" i="23"/>
  <c r="F487" i="23"/>
  <c r="G487" i="23" s="1"/>
  <c r="D487" i="23"/>
  <c r="E487" i="23" s="1"/>
  <c r="C487" i="23"/>
  <c r="B487" i="23"/>
  <c r="AO486" i="23"/>
  <c r="AH486" i="23"/>
  <c r="AD486" i="23"/>
  <c r="AB486" i="23"/>
  <c r="X486" i="23"/>
  <c r="T486" i="23"/>
  <c r="P486" i="23"/>
  <c r="L486" i="23"/>
  <c r="H486" i="23"/>
  <c r="F486" i="23"/>
  <c r="G486" i="23" s="1"/>
  <c r="D486" i="23"/>
  <c r="E486" i="23" s="1"/>
  <c r="C486" i="23"/>
  <c r="B486" i="23"/>
  <c r="AO485" i="23"/>
  <c r="AH485" i="23"/>
  <c r="AD485" i="23"/>
  <c r="AB485" i="23"/>
  <c r="X485" i="23"/>
  <c r="T485" i="23"/>
  <c r="P485" i="23"/>
  <c r="L485" i="23"/>
  <c r="H485" i="23"/>
  <c r="F485" i="23"/>
  <c r="G485" i="23" s="1"/>
  <c r="D485" i="23"/>
  <c r="E485" i="23" s="1"/>
  <c r="C485" i="23"/>
  <c r="B485" i="23"/>
  <c r="AO484" i="23"/>
  <c r="AH484" i="23"/>
  <c r="AD484" i="23"/>
  <c r="AB484" i="23"/>
  <c r="X484" i="23"/>
  <c r="T484" i="23"/>
  <c r="P484" i="23"/>
  <c r="L484" i="23"/>
  <c r="H484" i="23"/>
  <c r="F484" i="23"/>
  <c r="G484" i="23" s="1"/>
  <c r="D484" i="23"/>
  <c r="E484" i="23" s="1"/>
  <c r="C484" i="23"/>
  <c r="B484" i="23"/>
  <c r="AO483" i="23"/>
  <c r="AH483" i="23"/>
  <c r="AD483" i="23"/>
  <c r="AB483" i="23"/>
  <c r="X483" i="23"/>
  <c r="T483" i="23"/>
  <c r="P483" i="23"/>
  <c r="L483" i="23"/>
  <c r="H483" i="23"/>
  <c r="F483" i="23"/>
  <c r="G483" i="23" s="1"/>
  <c r="D483" i="23"/>
  <c r="E483" i="23" s="1"/>
  <c r="C483" i="23"/>
  <c r="B483" i="23"/>
  <c r="AO482" i="23"/>
  <c r="AH482" i="23"/>
  <c r="AD482" i="23"/>
  <c r="AB482" i="23"/>
  <c r="X482" i="23"/>
  <c r="T482" i="23"/>
  <c r="P482" i="23"/>
  <c r="L482" i="23"/>
  <c r="H482" i="23"/>
  <c r="F482" i="23"/>
  <c r="G482" i="23" s="1"/>
  <c r="D482" i="23"/>
  <c r="E482" i="23" s="1"/>
  <c r="C482" i="23"/>
  <c r="B482" i="23"/>
  <c r="AO481" i="23"/>
  <c r="AH481" i="23"/>
  <c r="AD481" i="23"/>
  <c r="AB481" i="23"/>
  <c r="X481" i="23"/>
  <c r="T481" i="23"/>
  <c r="P481" i="23"/>
  <c r="L481" i="23"/>
  <c r="H481" i="23"/>
  <c r="F481" i="23"/>
  <c r="G481" i="23" s="1"/>
  <c r="D481" i="23"/>
  <c r="E481" i="23" s="1"/>
  <c r="C481" i="23"/>
  <c r="B481" i="23"/>
  <c r="AO480" i="23"/>
  <c r="AH480" i="23"/>
  <c r="AD480" i="23"/>
  <c r="AB480" i="23"/>
  <c r="X480" i="23"/>
  <c r="T480" i="23"/>
  <c r="P480" i="23"/>
  <c r="L480" i="23"/>
  <c r="H480" i="23"/>
  <c r="F480" i="23"/>
  <c r="G480" i="23" s="1"/>
  <c r="D480" i="23"/>
  <c r="E480" i="23" s="1"/>
  <c r="C480" i="23"/>
  <c r="B480" i="23"/>
  <c r="AO479" i="23"/>
  <c r="AH479" i="23"/>
  <c r="AD479" i="23"/>
  <c r="AB479" i="23"/>
  <c r="X479" i="23"/>
  <c r="T479" i="23"/>
  <c r="P479" i="23"/>
  <c r="L479" i="23"/>
  <c r="H479" i="23"/>
  <c r="F479" i="23"/>
  <c r="G479" i="23" s="1"/>
  <c r="D479" i="23"/>
  <c r="E479" i="23" s="1"/>
  <c r="C479" i="23"/>
  <c r="B479" i="23"/>
  <c r="AO478" i="23"/>
  <c r="AH478" i="23"/>
  <c r="AD478" i="23"/>
  <c r="AB478" i="23"/>
  <c r="X478" i="23"/>
  <c r="T478" i="23"/>
  <c r="P478" i="23"/>
  <c r="L478" i="23"/>
  <c r="H478" i="23"/>
  <c r="F478" i="23"/>
  <c r="G478" i="23" s="1"/>
  <c r="D478" i="23"/>
  <c r="E478" i="23" s="1"/>
  <c r="C478" i="23"/>
  <c r="B478" i="23"/>
  <c r="AO477" i="23"/>
  <c r="AH477" i="23"/>
  <c r="AD477" i="23"/>
  <c r="AB477" i="23"/>
  <c r="X477" i="23"/>
  <c r="T477" i="23"/>
  <c r="P477" i="23"/>
  <c r="L477" i="23"/>
  <c r="H477" i="23"/>
  <c r="F477" i="23"/>
  <c r="G477" i="23" s="1"/>
  <c r="D477" i="23"/>
  <c r="E477" i="23" s="1"/>
  <c r="C477" i="23"/>
  <c r="B477" i="23"/>
  <c r="AO476" i="23"/>
  <c r="AH476" i="23"/>
  <c r="AD476" i="23"/>
  <c r="AB476" i="23"/>
  <c r="X476" i="23"/>
  <c r="T476" i="23"/>
  <c r="P476" i="23"/>
  <c r="L476" i="23"/>
  <c r="H476" i="23"/>
  <c r="F476" i="23"/>
  <c r="G476" i="23" s="1"/>
  <c r="D476" i="23"/>
  <c r="E476" i="23" s="1"/>
  <c r="C476" i="23"/>
  <c r="B476" i="23"/>
  <c r="AO475" i="23"/>
  <c r="AH475" i="23"/>
  <c r="AD475" i="23"/>
  <c r="AB475" i="23"/>
  <c r="X475" i="23"/>
  <c r="T475" i="23"/>
  <c r="P475" i="23"/>
  <c r="L475" i="23"/>
  <c r="H475" i="23"/>
  <c r="F475" i="23"/>
  <c r="G475" i="23" s="1"/>
  <c r="D475" i="23"/>
  <c r="E475" i="23" s="1"/>
  <c r="C475" i="23"/>
  <c r="B475" i="23"/>
  <c r="AO474" i="23"/>
  <c r="AH474" i="23"/>
  <c r="AD474" i="23"/>
  <c r="AB474" i="23"/>
  <c r="X474" i="23"/>
  <c r="T474" i="23"/>
  <c r="P474" i="23"/>
  <c r="L474" i="23"/>
  <c r="H474" i="23"/>
  <c r="F474" i="23"/>
  <c r="G474" i="23" s="1"/>
  <c r="D474" i="23"/>
  <c r="E474" i="23" s="1"/>
  <c r="C474" i="23"/>
  <c r="B474" i="23"/>
  <c r="AO473" i="23"/>
  <c r="AH473" i="23"/>
  <c r="AD473" i="23"/>
  <c r="AB473" i="23"/>
  <c r="X473" i="23"/>
  <c r="T473" i="23"/>
  <c r="P473" i="23"/>
  <c r="L473" i="23"/>
  <c r="H473" i="23"/>
  <c r="F473" i="23"/>
  <c r="G473" i="23" s="1"/>
  <c r="D473" i="23"/>
  <c r="E473" i="23" s="1"/>
  <c r="C473" i="23"/>
  <c r="B473" i="23"/>
  <c r="AO472" i="23"/>
  <c r="AH472" i="23"/>
  <c r="AD472" i="23"/>
  <c r="AB472" i="23"/>
  <c r="X472" i="23"/>
  <c r="T472" i="23"/>
  <c r="P472" i="23"/>
  <c r="L472" i="23"/>
  <c r="H472" i="23"/>
  <c r="F472" i="23"/>
  <c r="G472" i="23" s="1"/>
  <c r="D472" i="23"/>
  <c r="E472" i="23" s="1"/>
  <c r="C472" i="23"/>
  <c r="B472" i="23"/>
  <c r="AO471" i="23"/>
  <c r="AH471" i="23"/>
  <c r="AD471" i="23"/>
  <c r="AB471" i="23"/>
  <c r="X471" i="23"/>
  <c r="T471" i="23"/>
  <c r="P471" i="23"/>
  <c r="L471" i="23"/>
  <c r="H471" i="23"/>
  <c r="F471" i="23"/>
  <c r="G471" i="23" s="1"/>
  <c r="D471" i="23"/>
  <c r="E471" i="23" s="1"/>
  <c r="C471" i="23"/>
  <c r="B471" i="23"/>
  <c r="AO470" i="23"/>
  <c r="AH470" i="23"/>
  <c r="AD470" i="23"/>
  <c r="AB470" i="23"/>
  <c r="X470" i="23"/>
  <c r="T470" i="23"/>
  <c r="P470" i="23"/>
  <c r="L470" i="23"/>
  <c r="H470" i="23"/>
  <c r="F470" i="23"/>
  <c r="G470" i="23" s="1"/>
  <c r="D470" i="23"/>
  <c r="E470" i="23" s="1"/>
  <c r="C470" i="23"/>
  <c r="B470" i="23"/>
  <c r="AO469" i="23"/>
  <c r="AH469" i="23"/>
  <c r="AD469" i="23"/>
  <c r="AB469" i="23"/>
  <c r="X469" i="23"/>
  <c r="T469" i="23"/>
  <c r="P469" i="23"/>
  <c r="L469" i="23"/>
  <c r="H469" i="23"/>
  <c r="F469" i="23"/>
  <c r="G469" i="23" s="1"/>
  <c r="D469" i="23"/>
  <c r="E469" i="23" s="1"/>
  <c r="C469" i="23"/>
  <c r="B469" i="23"/>
  <c r="AO468" i="23"/>
  <c r="AH468" i="23"/>
  <c r="AD468" i="23"/>
  <c r="AB468" i="23"/>
  <c r="X468" i="23"/>
  <c r="T468" i="23"/>
  <c r="P468" i="23"/>
  <c r="L468" i="23"/>
  <c r="H468" i="23"/>
  <c r="F468" i="23"/>
  <c r="G468" i="23" s="1"/>
  <c r="D468" i="23"/>
  <c r="E468" i="23" s="1"/>
  <c r="C468" i="23"/>
  <c r="B468" i="23"/>
  <c r="AO467" i="23"/>
  <c r="AH467" i="23"/>
  <c r="AD467" i="23"/>
  <c r="AB467" i="23"/>
  <c r="X467" i="23"/>
  <c r="T467" i="23"/>
  <c r="P467" i="23"/>
  <c r="L467" i="23"/>
  <c r="H467" i="23"/>
  <c r="F467" i="23"/>
  <c r="G467" i="23" s="1"/>
  <c r="D467" i="23"/>
  <c r="E467" i="23" s="1"/>
  <c r="C467" i="23"/>
  <c r="B467" i="23"/>
  <c r="AO466" i="23"/>
  <c r="AH466" i="23"/>
  <c r="AD466" i="23"/>
  <c r="AB466" i="23"/>
  <c r="X466" i="23"/>
  <c r="T466" i="23"/>
  <c r="P466" i="23"/>
  <c r="L466" i="23"/>
  <c r="H466" i="23"/>
  <c r="F466" i="23"/>
  <c r="G466" i="23" s="1"/>
  <c r="D466" i="23"/>
  <c r="E466" i="23" s="1"/>
  <c r="C466" i="23"/>
  <c r="B466" i="23"/>
  <c r="AO465" i="23"/>
  <c r="AH465" i="23"/>
  <c r="AD465" i="23"/>
  <c r="AB465" i="23"/>
  <c r="X465" i="23"/>
  <c r="T465" i="23"/>
  <c r="P465" i="23"/>
  <c r="L465" i="23"/>
  <c r="H465" i="23"/>
  <c r="F465" i="23"/>
  <c r="G465" i="23" s="1"/>
  <c r="D465" i="23"/>
  <c r="E465" i="23" s="1"/>
  <c r="C465" i="23"/>
  <c r="B465" i="23"/>
  <c r="AO464" i="23"/>
  <c r="AH464" i="23"/>
  <c r="AD464" i="23"/>
  <c r="AB464" i="23"/>
  <c r="X464" i="23"/>
  <c r="T464" i="23"/>
  <c r="P464" i="23"/>
  <c r="L464" i="23"/>
  <c r="H464" i="23"/>
  <c r="F464" i="23"/>
  <c r="G464" i="23" s="1"/>
  <c r="D464" i="23"/>
  <c r="E464" i="23" s="1"/>
  <c r="C464" i="23"/>
  <c r="B464" i="23"/>
  <c r="AO463" i="23"/>
  <c r="AH463" i="23"/>
  <c r="AD463" i="23"/>
  <c r="AB463" i="23"/>
  <c r="X463" i="23"/>
  <c r="T463" i="23"/>
  <c r="P463" i="23"/>
  <c r="L463" i="23"/>
  <c r="H463" i="23"/>
  <c r="F463" i="23"/>
  <c r="G463" i="23" s="1"/>
  <c r="D463" i="23"/>
  <c r="E463" i="23" s="1"/>
  <c r="C463" i="23"/>
  <c r="B463" i="23"/>
  <c r="AO462" i="23"/>
  <c r="AH462" i="23"/>
  <c r="AD462" i="23"/>
  <c r="AB462" i="23"/>
  <c r="X462" i="23"/>
  <c r="T462" i="23"/>
  <c r="P462" i="23"/>
  <c r="L462" i="23"/>
  <c r="H462" i="23"/>
  <c r="F462" i="23"/>
  <c r="G462" i="23" s="1"/>
  <c r="D462" i="23"/>
  <c r="E462" i="23" s="1"/>
  <c r="C462" i="23"/>
  <c r="B462" i="23"/>
  <c r="AO461" i="23"/>
  <c r="AH461" i="23"/>
  <c r="AD461" i="23"/>
  <c r="AB461" i="23"/>
  <c r="X461" i="23"/>
  <c r="T461" i="23"/>
  <c r="P461" i="23"/>
  <c r="L461" i="23"/>
  <c r="H461" i="23"/>
  <c r="F461" i="23"/>
  <c r="G461" i="23" s="1"/>
  <c r="D461" i="23"/>
  <c r="E461" i="23" s="1"/>
  <c r="C461" i="23"/>
  <c r="B461" i="23"/>
  <c r="AO460" i="23"/>
  <c r="AH460" i="23"/>
  <c r="AD460" i="23"/>
  <c r="AB460" i="23"/>
  <c r="X460" i="23"/>
  <c r="T460" i="23"/>
  <c r="P460" i="23"/>
  <c r="L460" i="23"/>
  <c r="H460" i="23"/>
  <c r="F460" i="23"/>
  <c r="G460" i="23" s="1"/>
  <c r="D460" i="23"/>
  <c r="E460" i="23" s="1"/>
  <c r="C460" i="23"/>
  <c r="B460" i="23"/>
  <c r="AO459" i="23"/>
  <c r="AH459" i="23"/>
  <c r="AD459" i="23"/>
  <c r="AB459" i="23"/>
  <c r="X459" i="23"/>
  <c r="T459" i="23"/>
  <c r="P459" i="23"/>
  <c r="L459" i="23"/>
  <c r="H459" i="23"/>
  <c r="F459" i="23"/>
  <c r="G459" i="23" s="1"/>
  <c r="D459" i="23"/>
  <c r="E459" i="23" s="1"/>
  <c r="C459" i="23"/>
  <c r="B459" i="23"/>
  <c r="AO458" i="23"/>
  <c r="AH458" i="23"/>
  <c r="AD458" i="23"/>
  <c r="AB458" i="23"/>
  <c r="X458" i="23"/>
  <c r="T458" i="23"/>
  <c r="P458" i="23"/>
  <c r="L458" i="23"/>
  <c r="H458" i="23"/>
  <c r="F458" i="23"/>
  <c r="G458" i="23" s="1"/>
  <c r="D458" i="23"/>
  <c r="E458" i="23" s="1"/>
  <c r="C458" i="23"/>
  <c r="B458" i="23"/>
  <c r="AO457" i="23"/>
  <c r="AH457" i="23"/>
  <c r="AD457" i="23"/>
  <c r="AB457" i="23"/>
  <c r="X457" i="23"/>
  <c r="T457" i="23"/>
  <c r="P457" i="23"/>
  <c r="L457" i="23"/>
  <c r="H457" i="23"/>
  <c r="F457" i="23"/>
  <c r="G457" i="23" s="1"/>
  <c r="D457" i="23"/>
  <c r="E457" i="23" s="1"/>
  <c r="C457" i="23"/>
  <c r="B457" i="23"/>
  <c r="AO456" i="23"/>
  <c r="AH456" i="23"/>
  <c r="AD456" i="23"/>
  <c r="AB456" i="23"/>
  <c r="X456" i="23"/>
  <c r="T456" i="23"/>
  <c r="P456" i="23"/>
  <c r="L456" i="23"/>
  <c r="H456" i="23"/>
  <c r="F456" i="23"/>
  <c r="G456" i="23" s="1"/>
  <c r="D456" i="23"/>
  <c r="E456" i="23" s="1"/>
  <c r="C456" i="23"/>
  <c r="B456" i="23"/>
  <c r="AO455" i="23"/>
  <c r="AH455" i="23"/>
  <c r="AD455" i="23"/>
  <c r="AB455" i="23"/>
  <c r="X455" i="23"/>
  <c r="T455" i="23"/>
  <c r="P455" i="23"/>
  <c r="L455" i="23"/>
  <c r="H455" i="23"/>
  <c r="F455" i="23"/>
  <c r="G455" i="23" s="1"/>
  <c r="D455" i="23"/>
  <c r="E455" i="23" s="1"/>
  <c r="C455" i="23"/>
  <c r="B455" i="23"/>
  <c r="AO454" i="23"/>
  <c r="AH454" i="23"/>
  <c r="AD454" i="23"/>
  <c r="AB454" i="23"/>
  <c r="X454" i="23"/>
  <c r="T454" i="23"/>
  <c r="P454" i="23"/>
  <c r="L454" i="23"/>
  <c r="H454" i="23"/>
  <c r="F454" i="23"/>
  <c r="G454" i="23" s="1"/>
  <c r="D454" i="23"/>
  <c r="E454" i="23" s="1"/>
  <c r="C454" i="23"/>
  <c r="B454" i="23"/>
  <c r="AO453" i="23"/>
  <c r="AH453" i="23"/>
  <c r="AD453" i="23"/>
  <c r="AB453" i="23"/>
  <c r="X453" i="23"/>
  <c r="T453" i="23"/>
  <c r="P453" i="23"/>
  <c r="L453" i="23"/>
  <c r="H453" i="23"/>
  <c r="F453" i="23"/>
  <c r="G453" i="23" s="1"/>
  <c r="D453" i="23"/>
  <c r="E453" i="23" s="1"/>
  <c r="C453" i="23"/>
  <c r="B453" i="23"/>
  <c r="AO452" i="23"/>
  <c r="AH452" i="23"/>
  <c r="AD452" i="23"/>
  <c r="AB452" i="23"/>
  <c r="X452" i="23"/>
  <c r="T452" i="23"/>
  <c r="P452" i="23"/>
  <c r="L452" i="23"/>
  <c r="H452" i="23"/>
  <c r="F452" i="23"/>
  <c r="G452" i="23" s="1"/>
  <c r="D452" i="23"/>
  <c r="E452" i="23" s="1"/>
  <c r="C452" i="23"/>
  <c r="B452" i="23"/>
  <c r="AO451" i="23"/>
  <c r="AH451" i="23"/>
  <c r="AD451" i="23"/>
  <c r="AB451" i="23"/>
  <c r="X451" i="23"/>
  <c r="T451" i="23"/>
  <c r="P451" i="23"/>
  <c r="L451" i="23"/>
  <c r="H451" i="23"/>
  <c r="F451" i="23"/>
  <c r="G451" i="23" s="1"/>
  <c r="D451" i="23"/>
  <c r="E451" i="23" s="1"/>
  <c r="C451" i="23"/>
  <c r="B451" i="23"/>
  <c r="AO450" i="23"/>
  <c r="AH450" i="23"/>
  <c r="AD450" i="23"/>
  <c r="AB450" i="23"/>
  <c r="X450" i="23"/>
  <c r="T450" i="23"/>
  <c r="P450" i="23"/>
  <c r="L450" i="23"/>
  <c r="H450" i="23"/>
  <c r="F450" i="23"/>
  <c r="G450" i="23" s="1"/>
  <c r="D450" i="23"/>
  <c r="E450" i="23" s="1"/>
  <c r="C450" i="23"/>
  <c r="B450" i="23"/>
  <c r="AO449" i="23"/>
  <c r="AH449" i="23"/>
  <c r="AD449" i="23"/>
  <c r="AB449" i="23"/>
  <c r="X449" i="23"/>
  <c r="T449" i="23"/>
  <c r="P449" i="23"/>
  <c r="L449" i="23"/>
  <c r="H449" i="23"/>
  <c r="F449" i="23"/>
  <c r="G449" i="23" s="1"/>
  <c r="D449" i="23"/>
  <c r="E449" i="23" s="1"/>
  <c r="C449" i="23"/>
  <c r="B449" i="23"/>
  <c r="AO448" i="23"/>
  <c r="AH448" i="23"/>
  <c r="AD448" i="23"/>
  <c r="AB448" i="23"/>
  <c r="X448" i="23"/>
  <c r="T448" i="23"/>
  <c r="P448" i="23"/>
  <c r="L448" i="23"/>
  <c r="H448" i="23"/>
  <c r="F448" i="23"/>
  <c r="G448" i="23" s="1"/>
  <c r="D448" i="23"/>
  <c r="E448" i="23" s="1"/>
  <c r="C448" i="23"/>
  <c r="B448" i="23"/>
  <c r="AO447" i="23"/>
  <c r="AH447" i="23"/>
  <c r="AD447" i="23"/>
  <c r="AB447" i="23"/>
  <c r="X447" i="23"/>
  <c r="T447" i="23"/>
  <c r="P447" i="23"/>
  <c r="L447" i="23"/>
  <c r="H447" i="23"/>
  <c r="F447" i="23"/>
  <c r="G447" i="23" s="1"/>
  <c r="D447" i="23"/>
  <c r="E447" i="23" s="1"/>
  <c r="C447" i="23"/>
  <c r="B447" i="23"/>
  <c r="AO446" i="23"/>
  <c r="AH446" i="23"/>
  <c r="AD446" i="23"/>
  <c r="AB446" i="23"/>
  <c r="X446" i="23"/>
  <c r="T446" i="23"/>
  <c r="P446" i="23"/>
  <c r="L446" i="23"/>
  <c r="H446" i="23"/>
  <c r="F446" i="23"/>
  <c r="G446" i="23" s="1"/>
  <c r="D446" i="23"/>
  <c r="E446" i="23" s="1"/>
  <c r="C446" i="23"/>
  <c r="B446" i="23"/>
  <c r="AO445" i="23"/>
  <c r="AH445" i="23"/>
  <c r="AD445" i="23"/>
  <c r="AB445" i="23"/>
  <c r="X445" i="23"/>
  <c r="T445" i="23"/>
  <c r="P445" i="23"/>
  <c r="L445" i="23"/>
  <c r="H445" i="23"/>
  <c r="F445" i="23"/>
  <c r="G445" i="23" s="1"/>
  <c r="D445" i="23"/>
  <c r="E445" i="23" s="1"/>
  <c r="C445" i="23"/>
  <c r="B445" i="23"/>
  <c r="AO444" i="23"/>
  <c r="AH444" i="23"/>
  <c r="AD444" i="23"/>
  <c r="AB444" i="23"/>
  <c r="X444" i="23"/>
  <c r="T444" i="23"/>
  <c r="P444" i="23"/>
  <c r="L444" i="23"/>
  <c r="H444" i="23"/>
  <c r="F444" i="23"/>
  <c r="G444" i="23" s="1"/>
  <c r="D444" i="23"/>
  <c r="E444" i="23" s="1"/>
  <c r="C444" i="23"/>
  <c r="B444" i="23"/>
  <c r="AO443" i="23"/>
  <c r="AH443" i="23"/>
  <c r="AD443" i="23"/>
  <c r="AB443" i="23"/>
  <c r="X443" i="23"/>
  <c r="T443" i="23"/>
  <c r="P443" i="23"/>
  <c r="L443" i="23"/>
  <c r="H443" i="23"/>
  <c r="F443" i="23"/>
  <c r="G443" i="23" s="1"/>
  <c r="D443" i="23"/>
  <c r="E443" i="23" s="1"/>
  <c r="C443" i="23"/>
  <c r="B443" i="23"/>
  <c r="AO442" i="23"/>
  <c r="AH442" i="23"/>
  <c r="AD442" i="23"/>
  <c r="AB442" i="23"/>
  <c r="X442" i="23"/>
  <c r="T442" i="23"/>
  <c r="P442" i="23"/>
  <c r="L442" i="23"/>
  <c r="H442" i="23"/>
  <c r="F442" i="23"/>
  <c r="G442" i="23" s="1"/>
  <c r="D442" i="23"/>
  <c r="E442" i="23" s="1"/>
  <c r="C442" i="23"/>
  <c r="B442" i="23"/>
  <c r="AO441" i="23"/>
  <c r="AH441" i="23"/>
  <c r="AD441" i="23"/>
  <c r="AB441" i="23"/>
  <c r="X441" i="23"/>
  <c r="T441" i="23"/>
  <c r="P441" i="23"/>
  <c r="L441" i="23"/>
  <c r="H441" i="23"/>
  <c r="F441" i="23"/>
  <c r="G441" i="23" s="1"/>
  <c r="D441" i="23"/>
  <c r="E441" i="23" s="1"/>
  <c r="C441" i="23"/>
  <c r="B441" i="23"/>
  <c r="AO440" i="23"/>
  <c r="AH440" i="23"/>
  <c r="AD440" i="23"/>
  <c r="AB440" i="23"/>
  <c r="X440" i="23"/>
  <c r="T440" i="23"/>
  <c r="P440" i="23"/>
  <c r="L440" i="23"/>
  <c r="H440" i="23"/>
  <c r="F440" i="23"/>
  <c r="G440" i="23" s="1"/>
  <c r="D440" i="23"/>
  <c r="E440" i="23" s="1"/>
  <c r="C440" i="23"/>
  <c r="B440" i="23"/>
  <c r="AO439" i="23"/>
  <c r="AH439" i="23"/>
  <c r="AD439" i="23"/>
  <c r="AB439" i="23"/>
  <c r="X439" i="23"/>
  <c r="T439" i="23"/>
  <c r="P439" i="23"/>
  <c r="L439" i="23"/>
  <c r="H439" i="23"/>
  <c r="F439" i="23"/>
  <c r="G439" i="23" s="1"/>
  <c r="D439" i="23"/>
  <c r="E439" i="23" s="1"/>
  <c r="C439" i="23"/>
  <c r="B439" i="23"/>
  <c r="AO438" i="23"/>
  <c r="AH438" i="23"/>
  <c r="AD438" i="23"/>
  <c r="AB438" i="23"/>
  <c r="X438" i="23"/>
  <c r="T438" i="23"/>
  <c r="P438" i="23"/>
  <c r="L438" i="23"/>
  <c r="H438" i="23"/>
  <c r="F438" i="23"/>
  <c r="G438" i="23" s="1"/>
  <c r="D438" i="23"/>
  <c r="E438" i="23" s="1"/>
  <c r="C438" i="23"/>
  <c r="B438" i="23"/>
  <c r="AO437" i="23"/>
  <c r="AH437" i="23"/>
  <c r="AD437" i="23"/>
  <c r="AB437" i="23"/>
  <c r="X437" i="23"/>
  <c r="T437" i="23"/>
  <c r="P437" i="23"/>
  <c r="L437" i="23"/>
  <c r="H437" i="23"/>
  <c r="F437" i="23"/>
  <c r="G437" i="23" s="1"/>
  <c r="D437" i="23"/>
  <c r="E437" i="23" s="1"/>
  <c r="C437" i="23"/>
  <c r="B437" i="23"/>
  <c r="AO436" i="23"/>
  <c r="AH436" i="23"/>
  <c r="AD436" i="23"/>
  <c r="AB436" i="23"/>
  <c r="X436" i="23"/>
  <c r="T436" i="23"/>
  <c r="P436" i="23"/>
  <c r="L436" i="23"/>
  <c r="H436" i="23"/>
  <c r="F436" i="23"/>
  <c r="G436" i="23" s="1"/>
  <c r="D436" i="23"/>
  <c r="E436" i="23" s="1"/>
  <c r="C436" i="23"/>
  <c r="B436" i="23"/>
  <c r="AO435" i="23"/>
  <c r="AH435" i="23"/>
  <c r="AD435" i="23"/>
  <c r="AB435" i="23"/>
  <c r="X435" i="23"/>
  <c r="T435" i="23"/>
  <c r="P435" i="23"/>
  <c r="L435" i="23"/>
  <c r="H435" i="23"/>
  <c r="F435" i="23"/>
  <c r="G435" i="23" s="1"/>
  <c r="D435" i="23"/>
  <c r="E435" i="23" s="1"/>
  <c r="C435" i="23"/>
  <c r="B435" i="23"/>
  <c r="AO434" i="23"/>
  <c r="AH434" i="23"/>
  <c r="AD434" i="23"/>
  <c r="AB434" i="23"/>
  <c r="X434" i="23"/>
  <c r="T434" i="23"/>
  <c r="P434" i="23"/>
  <c r="L434" i="23"/>
  <c r="H434" i="23"/>
  <c r="F434" i="23"/>
  <c r="G434" i="23" s="1"/>
  <c r="D434" i="23"/>
  <c r="E434" i="23" s="1"/>
  <c r="C434" i="23"/>
  <c r="B434" i="23"/>
  <c r="AO433" i="23"/>
  <c r="AH433" i="23"/>
  <c r="AD433" i="23"/>
  <c r="AB433" i="23"/>
  <c r="X433" i="23"/>
  <c r="T433" i="23"/>
  <c r="P433" i="23"/>
  <c r="L433" i="23"/>
  <c r="H433" i="23"/>
  <c r="F433" i="23"/>
  <c r="G433" i="23" s="1"/>
  <c r="D433" i="23"/>
  <c r="E433" i="23" s="1"/>
  <c r="C433" i="23"/>
  <c r="B433" i="23"/>
  <c r="AO432" i="23"/>
  <c r="AH432" i="23"/>
  <c r="AD432" i="23"/>
  <c r="AB432" i="23"/>
  <c r="X432" i="23"/>
  <c r="T432" i="23"/>
  <c r="P432" i="23"/>
  <c r="L432" i="23"/>
  <c r="H432" i="23"/>
  <c r="F432" i="23"/>
  <c r="G432" i="23" s="1"/>
  <c r="D432" i="23"/>
  <c r="E432" i="23" s="1"/>
  <c r="C432" i="23"/>
  <c r="B432" i="23"/>
  <c r="AO431" i="23"/>
  <c r="AH431" i="23"/>
  <c r="AD431" i="23"/>
  <c r="AB431" i="23"/>
  <c r="X431" i="23"/>
  <c r="T431" i="23"/>
  <c r="P431" i="23"/>
  <c r="L431" i="23"/>
  <c r="H431" i="23"/>
  <c r="F431" i="23"/>
  <c r="G431" i="23" s="1"/>
  <c r="D431" i="23"/>
  <c r="E431" i="23" s="1"/>
  <c r="C431" i="23"/>
  <c r="B431" i="23"/>
  <c r="AO430" i="23"/>
  <c r="AH430" i="23"/>
  <c r="AD430" i="23"/>
  <c r="AB430" i="23"/>
  <c r="X430" i="23"/>
  <c r="T430" i="23"/>
  <c r="P430" i="23"/>
  <c r="L430" i="23"/>
  <c r="H430" i="23"/>
  <c r="F430" i="23"/>
  <c r="G430" i="23" s="1"/>
  <c r="D430" i="23"/>
  <c r="E430" i="23" s="1"/>
  <c r="C430" i="23"/>
  <c r="B430" i="23"/>
  <c r="AO429" i="23"/>
  <c r="AH429" i="23"/>
  <c r="AD429" i="23"/>
  <c r="AB429" i="23"/>
  <c r="X429" i="23"/>
  <c r="T429" i="23"/>
  <c r="P429" i="23"/>
  <c r="L429" i="23"/>
  <c r="H429" i="23"/>
  <c r="F429" i="23"/>
  <c r="G429" i="23" s="1"/>
  <c r="D429" i="23"/>
  <c r="E429" i="23" s="1"/>
  <c r="C429" i="23"/>
  <c r="B429" i="23"/>
  <c r="AO428" i="23"/>
  <c r="AH428" i="23"/>
  <c r="AD428" i="23"/>
  <c r="AB428" i="23"/>
  <c r="X428" i="23"/>
  <c r="T428" i="23"/>
  <c r="P428" i="23"/>
  <c r="L428" i="23"/>
  <c r="H428" i="23"/>
  <c r="F428" i="23"/>
  <c r="G428" i="23" s="1"/>
  <c r="D428" i="23"/>
  <c r="E428" i="23" s="1"/>
  <c r="C428" i="23"/>
  <c r="B428" i="23"/>
  <c r="AO427" i="23"/>
  <c r="AH427" i="23"/>
  <c r="AD427" i="23"/>
  <c r="AB427" i="23"/>
  <c r="X427" i="23"/>
  <c r="T427" i="23"/>
  <c r="P427" i="23"/>
  <c r="L427" i="23"/>
  <c r="H427" i="23"/>
  <c r="F427" i="23"/>
  <c r="G427" i="23" s="1"/>
  <c r="D427" i="23"/>
  <c r="E427" i="23" s="1"/>
  <c r="C427" i="23"/>
  <c r="B427" i="23"/>
  <c r="AO426" i="23"/>
  <c r="AH426" i="23"/>
  <c r="AD426" i="23"/>
  <c r="AB426" i="23"/>
  <c r="X426" i="23"/>
  <c r="T426" i="23"/>
  <c r="P426" i="23"/>
  <c r="L426" i="23"/>
  <c r="H426" i="23"/>
  <c r="F426" i="23"/>
  <c r="G426" i="23" s="1"/>
  <c r="D426" i="23"/>
  <c r="E426" i="23" s="1"/>
  <c r="C426" i="23"/>
  <c r="B426" i="23"/>
  <c r="AO425" i="23"/>
  <c r="AH425" i="23"/>
  <c r="AD425" i="23"/>
  <c r="AB425" i="23"/>
  <c r="X425" i="23"/>
  <c r="T425" i="23"/>
  <c r="P425" i="23"/>
  <c r="L425" i="23"/>
  <c r="H425" i="23"/>
  <c r="F425" i="23"/>
  <c r="G425" i="23" s="1"/>
  <c r="D425" i="23"/>
  <c r="E425" i="23" s="1"/>
  <c r="C425" i="23"/>
  <c r="B425" i="23"/>
  <c r="AO424" i="23"/>
  <c r="AH424" i="23"/>
  <c r="AD424" i="23"/>
  <c r="AB424" i="23"/>
  <c r="X424" i="23"/>
  <c r="T424" i="23"/>
  <c r="P424" i="23"/>
  <c r="L424" i="23"/>
  <c r="H424" i="23"/>
  <c r="F424" i="23"/>
  <c r="G424" i="23" s="1"/>
  <c r="D424" i="23"/>
  <c r="E424" i="23" s="1"/>
  <c r="C424" i="23"/>
  <c r="B424" i="23"/>
  <c r="AO423" i="23"/>
  <c r="AH423" i="23"/>
  <c r="AD423" i="23"/>
  <c r="AB423" i="23"/>
  <c r="X423" i="23"/>
  <c r="T423" i="23"/>
  <c r="P423" i="23"/>
  <c r="L423" i="23"/>
  <c r="H423" i="23"/>
  <c r="F423" i="23"/>
  <c r="G423" i="23" s="1"/>
  <c r="D423" i="23"/>
  <c r="E423" i="23" s="1"/>
  <c r="C423" i="23"/>
  <c r="B423" i="23"/>
  <c r="AO422" i="23"/>
  <c r="AH422" i="23"/>
  <c r="AD422" i="23"/>
  <c r="AB422" i="23"/>
  <c r="X422" i="23"/>
  <c r="T422" i="23"/>
  <c r="P422" i="23"/>
  <c r="L422" i="23"/>
  <c r="H422" i="23"/>
  <c r="F422" i="23"/>
  <c r="G422" i="23" s="1"/>
  <c r="D422" i="23"/>
  <c r="E422" i="23" s="1"/>
  <c r="C422" i="23"/>
  <c r="B422" i="23"/>
  <c r="AO421" i="23"/>
  <c r="AH421" i="23"/>
  <c r="AD421" i="23"/>
  <c r="AB421" i="23"/>
  <c r="X421" i="23"/>
  <c r="T421" i="23"/>
  <c r="P421" i="23"/>
  <c r="L421" i="23"/>
  <c r="H421" i="23"/>
  <c r="F421" i="23"/>
  <c r="G421" i="23" s="1"/>
  <c r="D421" i="23"/>
  <c r="E421" i="23" s="1"/>
  <c r="C421" i="23"/>
  <c r="B421" i="23"/>
  <c r="AO420" i="23"/>
  <c r="AH420" i="23"/>
  <c r="AD420" i="23"/>
  <c r="AB420" i="23"/>
  <c r="X420" i="23"/>
  <c r="T420" i="23"/>
  <c r="P420" i="23"/>
  <c r="L420" i="23"/>
  <c r="H420" i="23"/>
  <c r="F420" i="23"/>
  <c r="G420" i="23" s="1"/>
  <c r="D420" i="23"/>
  <c r="E420" i="23" s="1"/>
  <c r="C420" i="23"/>
  <c r="B420" i="23"/>
  <c r="AO419" i="23"/>
  <c r="AH419" i="23"/>
  <c r="AD419" i="23"/>
  <c r="AB419" i="23"/>
  <c r="X419" i="23"/>
  <c r="T419" i="23"/>
  <c r="P419" i="23"/>
  <c r="L419" i="23"/>
  <c r="H419" i="23"/>
  <c r="F419" i="23"/>
  <c r="G419" i="23" s="1"/>
  <c r="D419" i="23"/>
  <c r="E419" i="23" s="1"/>
  <c r="C419" i="23"/>
  <c r="B419" i="23"/>
  <c r="AO418" i="23"/>
  <c r="AH418" i="23"/>
  <c r="AD418" i="23"/>
  <c r="AB418" i="23"/>
  <c r="X418" i="23"/>
  <c r="T418" i="23"/>
  <c r="P418" i="23"/>
  <c r="L418" i="23"/>
  <c r="H418" i="23"/>
  <c r="F418" i="23"/>
  <c r="G418" i="23" s="1"/>
  <c r="D418" i="23"/>
  <c r="E418" i="23" s="1"/>
  <c r="C418" i="23"/>
  <c r="B418" i="23"/>
  <c r="AO417" i="23"/>
  <c r="AH417" i="23"/>
  <c r="AD417" i="23"/>
  <c r="AB417" i="23"/>
  <c r="X417" i="23"/>
  <c r="T417" i="23"/>
  <c r="P417" i="23"/>
  <c r="L417" i="23"/>
  <c r="H417" i="23"/>
  <c r="F417" i="23"/>
  <c r="G417" i="23" s="1"/>
  <c r="D417" i="23"/>
  <c r="E417" i="23" s="1"/>
  <c r="C417" i="23"/>
  <c r="B417" i="23"/>
  <c r="AO416" i="23"/>
  <c r="AH416" i="23"/>
  <c r="AD416" i="23"/>
  <c r="AB416" i="23"/>
  <c r="X416" i="23"/>
  <c r="T416" i="23"/>
  <c r="P416" i="23"/>
  <c r="L416" i="23"/>
  <c r="H416" i="23"/>
  <c r="F416" i="23"/>
  <c r="G416" i="23" s="1"/>
  <c r="D416" i="23"/>
  <c r="E416" i="23" s="1"/>
  <c r="C416" i="23"/>
  <c r="B416" i="23"/>
  <c r="AO415" i="23"/>
  <c r="AH415" i="23"/>
  <c r="AD415" i="23"/>
  <c r="AB415" i="23"/>
  <c r="X415" i="23"/>
  <c r="T415" i="23"/>
  <c r="P415" i="23"/>
  <c r="L415" i="23"/>
  <c r="H415" i="23"/>
  <c r="F415" i="23"/>
  <c r="G415" i="23" s="1"/>
  <c r="D415" i="23"/>
  <c r="E415" i="23" s="1"/>
  <c r="C415" i="23"/>
  <c r="B415" i="23"/>
  <c r="AO414" i="23"/>
  <c r="AH414" i="23"/>
  <c r="AD414" i="23"/>
  <c r="AB414" i="23"/>
  <c r="X414" i="23"/>
  <c r="T414" i="23"/>
  <c r="P414" i="23"/>
  <c r="L414" i="23"/>
  <c r="H414" i="23"/>
  <c r="F414" i="23"/>
  <c r="G414" i="23" s="1"/>
  <c r="D414" i="23"/>
  <c r="E414" i="23" s="1"/>
  <c r="C414" i="23"/>
  <c r="B414" i="23"/>
  <c r="AO413" i="23"/>
  <c r="AH413" i="23"/>
  <c r="AD413" i="23"/>
  <c r="AB413" i="23"/>
  <c r="X413" i="23"/>
  <c r="T413" i="23"/>
  <c r="P413" i="23"/>
  <c r="L413" i="23"/>
  <c r="H413" i="23"/>
  <c r="F413" i="23"/>
  <c r="G413" i="23" s="1"/>
  <c r="D413" i="23"/>
  <c r="E413" i="23" s="1"/>
  <c r="C413" i="23"/>
  <c r="B413" i="23"/>
  <c r="AO412" i="23"/>
  <c r="AH412" i="23"/>
  <c r="AD412" i="23"/>
  <c r="AB412" i="23"/>
  <c r="X412" i="23"/>
  <c r="T412" i="23"/>
  <c r="P412" i="23"/>
  <c r="L412" i="23"/>
  <c r="H412" i="23"/>
  <c r="F412" i="23"/>
  <c r="G412" i="23" s="1"/>
  <c r="D412" i="23"/>
  <c r="E412" i="23" s="1"/>
  <c r="C412" i="23"/>
  <c r="B412" i="23"/>
  <c r="AO411" i="23"/>
  <c r="AH411" i="23"/>
  <c r="AD411" i="23"/>
  <c r="AB411" i="23"/>
  <c r="X411" i="23"/>
  <c r="T411" i="23"/>
  <c r="P411" i="23"/>
  <c r="L411" i="23"/>
  <c r="H411" i="23"/>
  <c r="F411" i="23"/>
  <c r="G411" i="23" s="1"/>
  <c r="D411" i="23"/>
  <c r="E411" i="23" s="1"/>
  <c r="C411" i="23"/>
  <c r="B411" i="23"/>
  <c r="AO410" i="23"/>
  <c r="AH410" i="23"/>
  <c r="AD410" i="23"/>
  <c r="AB410" i="23"/>
  <c r="X410" i="23"/>
  <c r="T410" i="23"/>
  <c r="P410" i="23"/>
  <c r="L410" i="23"/>
  <c r="H410" i="23"/>
  <c r="F410" i="23"/>
  <c r="G410" i="23" s="1"/>
  <c r="D410" i="23"/>
  <c r="E410" i="23" s="1"/>
  <c r="C410" i="23"/>
  <c r="B410" i="23"/>
  <c r="AO409" i="23"/>
  <c r="AH409" i="23"/>
  <c r="AD409" i="23"/>
  <c r="AB409" i="23"/>
  <c r="X409" i="23"/>
  <c r="T409" i="23"/>
  <c r="P409" i="23"/>
  <c r="L409" i="23"/>
  <c r="H409" i="23"/>
  <c r="F409" i="23"/>
  <c r="G409" i="23" s="1"/>
  <c r="D409" i="23"/>
  <c r="E409" i="23" s="1"/>
  <c r="C409" i="23"/>
  <c r="B409" i="23"/>
  <c r="AO408" i="23"/>
  <c r="AH408" i="23"/>
  <c r="AD408" i="23"/>
  <c r="AB408" i="23"/>
  <c r="X408" i="23"/>
  <c r="T408" i="23"/>
  <c r="P408" i="23"/>
  <c r="L408" i="23"/>
  <c r="H408" i="23"/>
  <c r="F408" i="23"/>
  <c r="G408" i="23" s="1"/>
  <c r="D408" i="23"/>
  <c r="E408" i="23" s="1"/>
  <c r="C408" i="23"/>
  <c r="B408" i="23"/>
  <c r="AO407" i="23"/>
  <c r="AH407" i="23"/>
  <c r="AD407" i="23"/>
  <c r="AB407" i="23"/>
  <c r="X407" i="23"/>
  <c r="T407" i="23"/>
  <c r="P407" i="23"/>
  <c r="L407" i="23"/>
  <c r="H407" i="23"/>
  <c r="F407" i="23"/>
  <c r="G407" i="23" s="1"/>
  <c r="D407" i="23"/>
  <c r="E407" i="23" s="1"/>
  <c r="C407" i="23"/>
  <c r="B407" i="23"/>
  <c r="AO406" i="23"/>
  <c r="AH406" i="23"/>
  <c r="AD406" i="23"/>
  <c r="AB406" i="23"/>
  <c r="X406" i="23"/>
  <c r="T406" i="23"/>
  <c r="P406" i="23"/>
  <c r="L406" i="23"/>
  <c r="H406" i="23"/>
  <c r="F406" i="23"/>
  <c r="G406" i="23" s="1"/>
  <c r="D406" i="23"/>
  <c r="E406" i="23" s="1"/>
  <c r="C406" i="23"/>
  <c r="B406" i="23"/>
  <c r="AO405" i="23"/>
  <c r="AH405" i="23"/>
  <c r="AD405" i="23"/>
  <c r="AB405" i="23"/>
  <c r="X405" i="23"/>
  <c r="T405" i="23"/>
  <c r="P405" i="23"/>
  <c r="L405" i="23"/>
  <c r="H405" i="23"/>
  <c r="F405" i="23"/>
  <c r="G405" i="23" s="1"/>
  <c r="D405" i="23"/>
  <c r="E405" i="23" s="1"/>
  <c r="C405" i="23"/>
  <c r="B405" i="23"/>
  <c r="AO404" i="23"/>
  <c r="AH404" i="23"/>
  <c r="AD404" i="23"/>
  <c r="AB404" i="23"/>
  <c r="X404" i="23"/>
  <c r="T404" i="23"/>
  <c r="P404" i="23"/>
  <c r="L404" i="23"/>
  <c r="H404" i="23"/>
  <c r="F404" i="23"/>
  <c r="G404" i="23" s="1"/>
  <c r="D404" i="23"/>
  <c r="E404" i="23" s="1"/>
  <c r="C404" i="23"/>
  <c r="B404" i="23"/>
  <c r="AO403" i="23"/>
  <c r="AH403" i="23"/>
  <c r="AD403" i="23"/>
  <c r="AB403" i="23"/>
  <c r="X403" i="23"/>
  <c r="T403" i="23"/>
  <c r="P403" i="23"/>
  <c r="L403" i="23"/>
  <c r="H403" i="23"/>
  <c r="F403" i="23"/>
  <c r="G403" i="23" s="1"/>
  <c r="D403" i="23"/>
  <c r="E403" i="23" s="1"/>
  <c r="C403" i="23"/>
  <c r="B403" i="23"/>
  <c r="AO402" i="23"/>
  <c r="AH402" i="23"/>
  <c r="AD402" i="23"/>
  <c r="AB402" i="23"/>
  <c r="X402" i="23"/>
  <c r="T402" i="23"/>
  <c r="P402" i="23"/>
  <c r="L402" i="23"/>
  <c r="H402" i="23"/>
  <c r="F402" i="23"/>
  <c r="G402" i="23" s="1"/>
  <c r="D402" i="23"/>
  <c r="E402" i="23" s="1"/>
  <c r="C402" i="23"/>
  <c r="B402" i="23"/>
  <c r="AO401" i="23"/>
  <c r="AH401" i="23"/>
  <c r="AD401" i="23"/>
  <c r="AB401" i="23"/>
  <c r="X401" i="23"/>
  <c r="T401" i="23"/>
  <c r="P401" i="23"/>
  <c r="L401" i="23"/>
  <c r="H401" i="23"/>
  <c r="F401" i="23"/>
  <c r="G401" i="23" s="1"/>
  <c r="D401" i="23"/>
  <c r="E401" i="23" s="1"/>
  <c r="C401" i="23"/>
  <c r="B401" i="23"/>
  <c r="AO400" i="23"/>
  <c r="AH400" i="23"/>
  <c r="AD400" i="23"/>
  <c r="AB400" i="23"/>
  <c r="X400" i="23"/>
  <c r="T400" i="23"/>
  <c r="P400" i="23"/>
  <c r="L400" i="23"/>
  <c r="H400" i="23"/>
  <c r="F400" i="23"/>
  <c r="G400" i="23" s="1"/>
  <c r="D400" i="23"/>
  <c r="E400" i="23" s="1"/>
  <c r="C400" i="23"/>
  <c r="B400" i="23"/>
  <c r="AO399" i="23"/>
  <c r="AH399" i="23"/>
  <c r="AD399" i="23"/>
  <c r="AB399" i="23"/>
  <c r="X399" i="23"/>
  <c r="T399" i="23"/>
  <c r="P399" i="23"/>
  <c r="L399" i="23"/>
  <c r="H399" i="23"/>
  <c r="F399" i="23"/>
  <c r="G399" i="23" s="1"/>
  <c r="D399" i="23"/>
  <c r="E399" i="23" s="1"/>
  <c r="C399" i="23"/>
  <c r="B399" i="23"/>
  <c r="AO398" i="23"/>
  <c r="AH398" i="23"/>
  <c r="AD398" i="23"/>
  <c r="AB398" i="23"/>
  <c r="X398" i="23"/>
  <c r="T398" i="23"/>
  <c r="P398" i="23"/>
  <c r="L398" i="23"/>
  <c r="H398" i="23"/>
  <c r="F398" i="23"/>
  <c r="G398" i="23" s="1"/>
  <c r="D398" i="23"/>
  <c r="E398" i="23" s="1"/>
  <c r="C398" i="23"/>
  <c r="B398" i="23"/>
  <c r="AO397" i="23"/>
  <c r="AH397" i="23"/>
  <c r="AD397" i="23"/>
  <c r="AB397" i="23"/>
  <c r="X397" i="23"/>
  <c r="T397" i="23"/>
  <c r="P397" i="23"/>
  <c r="L397" i="23"/>
  <c r="H397" i="23"/>
  <c r="F397" i="23"/>
  <c r="G397" i="23" s="1"/>
  <c r="D397" i="23"/>
  <c r="E397" i="23" s="1"/>
  <c r="C397" i="23"/>
  <c r="B397" i="23"/>
  <c r="AO396" i="23"/>
  <c r="AH396" i="23"/>
  <c r="AD396" i="23"/>
  <c r="AB396" i="23"/>
  <c r="X396" i="23"/>
  <c r="T396" i="23"/>
  <c r="P396" i="23"/>
  <c r="L396" i="23"/>
  <c r="H396" i="23"/>
  <c r="F396" i="23"/>
  <c r="G396" i="23" s="1"/>
  <c r="D396" i="23"/>
  <c r="E396" i="23" s="1"/>
  <c r="C396" i="23"/>
  <c r="B396" i="23"/>
  <c r="AO395" i="23"/>
  <c r="AH395" i="23"/>
  <c r="AD395" i="23"/>
  <c r="AB395" i="23"/>
  <c r="X395" i="23"/>
  <c r="T395" i="23"/>
  <c r="P395" i="23"/>
  <c r="L395" i="23"/>
  <c r="H395" i="23"/>
  <c r="F395" i="23"/>
  <c r="G395" i="23" s="1"/>
  <c r="D395" i="23"/>
  <c r="E395" i="23" s="1"/>
  <c r="C395" i="23"/>
  <c r="B395" i="23"/>
  <c r="AO394" i="23"/>
  <c r="AH394" i="23"/>
  <c r="AD394" i="23"/>
  <c r="AB394" i="23"/>
  <c r="X394" i="23"/>
  <c r="T394" i="23"/>
  <c r="P394" i="23"/>
  <c r="L394" i="23"/>
  <c r="H394" i="23"/>
  <c r="F394" i="23"/>
  <c r="G394" i="23" s="1"/>
  <c r="D394" i="23"/>
  <c r="E394" i="23" s="1"/>
  <c r="C394" i="23"/>
  <c r="B394" i="23"/>
  <c r="AO393" i="23"/>
  <c r="AH393" i="23"/>
  <c r="AD393" i="23"/>
  <c r="AB393" i="23"/>
  <c r="X393" i="23"/>
  <c r="T393" i="23"/>
  <c r="P393" i="23"/>
  <c r="L393" i="23"/>
  <c r="H393" i="23"/>
  <c r="F393" i="23"/>
  <c r="G393" i="23" s="1"/>
  <c r="D393" i="23"/>
  <c r="E393" i="23" s="1"/>
  <c r="C393" i="23"/>
  <c r="B393" i="23"/>
  <c r="AO392" i="23"/>
  <c r="AH392" i="23"/>
  <c r="AD392" i="23"/>
  <c r="AB392" i="23"/>
  <c r="X392" i="23"/>
  <c r="T392" i="23"/>
  <c r="P392" i="23"/>
  <c r="L392" i="23"/>
  <c r="H392" i="23"/>
  <c r="F392" i="23"/>
  <c r="G392" i="23" s="1"/>
  <c r="D392" i="23"/>
  <c r="E392" i="23" s="1"/>
  <c r="C392" i="23"/>
  <c r="B392" i="23"/>
  <c r="AO391" i="23"/>
  <c r="AH391" i="23"/>
  <c r="AD391" i="23"/>
  <c r="AB391" i="23"/>
  <c r="X391" i="23"/>
  <c r="T391" i="23"/>
  <c r="P391" i="23"/>
  <c r="L391" i="23"/>
  <c r="H391" i="23"/>
  <c r="F391" i="23"/>
  <c r="G391" i="23" s="1"/>
  <c r="D391" i="23"/>
  <c r="E391" i="23" s="1"/>
  <c r="C391" i="23"/>
  <c r="B391" i="23"/>
  <c r="AO390" i="23"/>
  <c r="AH390" i="23"/>
  <c r="AD390" i="23"/>
  <c r="AB390" i="23"/>
  <c r="X390" i="23"/>
  <c r="T390" i="23"/>
  <c r="P390" i="23"/>
  <c r="L390" i="23"/>
  <c r="H390" i="23"/>
  <c r="F390" i="23"/>
  <c r="G390" i="23" s="1"/>
  <c r="D390" i="23"/>
  <c r="E390" i="23" s="1"/>
  <c r="C390" i="23"/>
  <c r="B390" i="23"/>
  <c r="AO389" i="23"/>
  <c r="AH389" i="23"/>
  <c r="AD389" i="23"/>
  <c r="AB389" i="23"/>
  <c r="X389" i="23"/>
  <c r="T389" i="23"/>
  <c r="P389" i="23"/>
  <c r="L389" i="23"/>
  <c r="H389" i="23"/>
  <c r="F389" i="23"/>
  <c r="G389" i="23" s="1"/>
  <c r="D389" i="23"/>
  <c r="E389" i="23" s="1"/>
  <c r="C389" i="23"/>
  <c r="B389" i="23"/>
  <c r="AO388" i="23"/>
  <c r="AH388" i="23"/>
  <c r="AD388" i="23"/>
  <c r="AB388" i="23"/>
  <c r="X388" i="23"/>
  <c r="T388" i="23"/>
  <c r="P388" i="23"/>
  <c r="L388" i="23"/>
  <c r="H388" i="23"/>
  <c r="F388" i="23"/>
  <c r="G388" i="23" s="1"/>
  <c r="D388" i="23"/>
  <c r="E388" i="23" s="1"/>
  <c r="C388" i="23"/>
  <c r="B388" i="23"/>
  <c r="AO387" i="23"/>
  <c r="AH387" i="23"/>
  <c r="AD387" i="23"/>
  <c r="AB387" i="23"/>
  <c r="X387" i="23"/>
  <c r="T387" i="23"/>
  <c r="P387" i="23"/>
  <c r="L387" i="23"/>
  <c r="H387" i="23"/>
  <c r="F387" i="23"/>
  <c r="G387" i="23" s="1"/>
  <c r="D387" i="23"/>
  <c r="E387" i="23" s="1"/>
  <c r="C387" i="23"/>
  <c r="B387" i="23"/>
  <c r="AO386" i="23"/>
  <c r="AH386" i="23"/>
  <c r="AD386" i="23"/>
  <c r="AB386" i="23"/>
  <c r="X386" i="23"/>
  <c r="T386" i="23"/>
  <c r="P386" i="23"/>
  <c r="L386" i="23"/>
  <c r="H386" i="23"/>
  <c r="F386" i="23"/>
  <c r="G386" i="23" s="1"/>
  <c r="D386" i="23"/>
  <c r="E386" i="23" s="1"/>
  <c r="C386" i="23"/>
  <c r="B386" i="23"/>
  <c r="AO385" i="23"/>
  <c r="AH385" i="23"/>
  <c r="AD385" i="23"/>
  <c r="AB385" i="23"/>
  <c r="X385" i="23"/>
  <c r="T385" i="23"/>
  <c r="P385" i="23"/>
  <c r="L385" i="23"/>
  <c r="H385" i="23"/>
  <c r="F385" i="23"/>
  <c r="G385" i="23" s="1"/>
  <c r="D385" i="23"/>
  <c r="E385" i="23" s="1"/>
  <c r="C385" i="23"/>
  <c r="B385" i="23"/>
  <c r="AO384" i="23"/>
  <c r="AH384" i="23"/>
  <c r="AD384" i="23"/>
  <c r="AB384" i="23"/>
  <c r="X384" i="23"/>
  <c r="T384" i="23"/>
  <c r="P384" i="23"/>
  <c r="L384" i="23"/>
  <c r="H384" i="23"/>
  <c r="F384" i="23"/>
  <c r="G384" i="23" s="1"/>
  <c r="D384" i="23"/>
  <c r="E384" i="23" s="1"/>
  <c r="C384" i="23"/>
  <c r="B384" i="23"/>
  <c r="AO383" i="23"/>
  <c r="AH383" i="23"/>
  <c r="AD383" i="23"/>
  <c r="AB383" i="23"/>
  <c r="X383" i="23"/>
  <c r="T383" i="23"/>
  <c r="P383" i="23"/>
  <c r="L383" i="23"/>
  <c r="H383" i="23"/>
  <c r="F383" i="23"/>
  <c r="G383" i="23" s="1"/>
  <c r="D383" i="23"/>
  <c r="E383" i="23" s="1"/>
  <c r="C383" i="23"/>
  <c r="B383" i="23"/>
  <c r="AO382" i="23"/>
  <c r="AH382" i="23"/>
  <c r="AD382" i="23"/>
  <c r="AB382" i="23"/>
  <c r="X382" i="23"/>
  <c r="T382" i="23"/>
  <c r="P382" i="23"/>
  <c r="L382" i="23"/>
  <c r="H382" i="23"/>
  <c r="F382" i="23"/>
  <c r="G382" i="23" s="1"/>
  <c r="D382" i="23"/>
  <c r="E382" i="23" s="1"/>
  <c r="C382" i="23"/>
  <c r="B382" i="23"/>
  <c r="AO381" i="23"/>
  <c r="AH381" i="23"/>
  <c r="AD381" i="23"/>
  <c r="AB381" i="23"/>
  <c r="X381" i="23"/>
  <c r="T381" i="23"/>
  <c r="P381" i="23"/>
  <c r="L381" i="23"/>
  <c r="H381" i="23"/>
  <c r="F381" i="23"/>
  <c r="G381" i="23" s="1"/>
  <c r="D381" i="23"/>
  <c r="E381" i="23" s="1"/>
  <c r="C381" i="23"/>
  <c r="B381" i="23"/>
  <c r="AO380" i="23"/>
  <c r="AH380" i="23"/>
  <c r="AD380" i="23"/>
  <c r="AB380" i="23"/>
  <c r="X380" i="23"/>
  <c r="T380" i="23"/>
  <c r="P380" i="23"/>
  <c r="L380" i="23"/>
  <c r="H380" i="23"/>
  <c r="F380" i="23"/>
  <c r="G380" i="23" s="1"/>
  <c r="D380" i="23"/>
  <c r="E380" i="23" s="1"/>
  <c r="C380" i="23"/>
  <c r="B380" i="23"/>
  <c r="AO379" i="23"/>
  <c r="AH379" i="23"/>
  <c r="AD379" i="23"/>
  <c r="AB379" i="23"/>
  <c r="X379" i="23"/>
  <c r="T379" i="23"/>
  <c r="P379" i="23"/>
  <c r="L379" i="23"/>
  <c r="H379" i="23"/>
  <c r="F379" i="23"/>
  <c r="G379" i="23" s="1"/>
  <c r="D379" i="23"/>
  <c r="E379" i="23" s="1"/>
  <c r="C379" i="23"/>
  <c r="B379" i="23"/>
  <c r="AO378" i="23"/>
  <c r="AH378" i="23"/>
  <c r="AD378" i="23"/>
  <c r="AB378" i="23"/>
  <c r="X378" i="23"/>
  <c r="T378" i="23"/>
  <c r="P378" i="23"/>
  <c r="L378" i="23"/>
  <c r="H378" i="23"/>
  <c r="F378" i="23"/>
  <c r="G378" i="23" s="1"/>
  <c r="D378" i="23"/>
  <c r="E378" i="23" s="1"/>
  <c r="C378" i="23"/>
  <c r="B378" i="23"/>
  <c r="AO377" i="23"/>
  <c r="AH377" i="23"/>
  <c r="AD377" i="23"/>
  <c r="AB377" i="23"/>
  <c r="X377" i="23"/>
  <c r="T377" i="23"/>
  <c r="P377" i="23"/>
  <c r="L377" i="23"/>
  <c r="H377" i="23"/>
  <c r="F377" i="23"/>
  <c r="G377" i="23" s="1"/>
  <c r="D377" i="23"/>
  <c r="E377" i="23" s="1"/>
  <c r="C377" i="23"/>
  <c r="B377" i="23"/>
  <c r="AO376" i="23"/>
  <c r="AH376" i="23"/>
  <c r="AD376" i="23"/>
  <c r="AB376" i="23"/>
  <c r="X376" i="23"/>
  <c r="T376" i="23"/>
  <c r="P376" i="23"/>
  <c r="L376" i="23"/>
  <c r="H376" i="23"/>
  <c r="F376" i="23"/>
  <c r="G376" i="23" s="1"/>
  <c r="D376" i="23"/>
  <c r="E376" i="23" s="1"/>
  <c r="C376" i="23"/>
  <c r="B376" i="23"/>
  <c r="AO375" i="23"/>
  <c r="AH375" i="23"/>
  <c r="AD375" i="23"/>
  <c r="AB375" i="23"/>
  <c r="X375" i="23"/>
  <c r="T375" i="23"/>
  <c r="P375" i="23"/>
  <c r="L375" i="23"/>
  <c r="H375" i="23"/>
  <c r="F375" i="23"/>
  <c r="G375" i="23" s="1"/>
  <c r="D375" i="23"/>
  <c r="E375" i="23" s="1"/>
  <c r="C375" i="23"/>
  <c r="B375" i="23"/>
  <c r="AO374" i="23"/>
  <c r="AH374" i="23"/>
  <c r="AD374" i="23"/>
  <c r="AB374" i="23"/>
  <c r="X374" i="23"/>
  <c r="T374" i="23"/>
  <c r="P374" i="23"/>
  <c r="L374" i="23"/>
  <c r="H374" i="23"/>
  <c r="F374" i="23"/>
  <c r="G374" i="23" s="1"/>
  <c r="D374" i="23"/>
  <c r="E374" i="23" s="1"/>
  <c r="C374" i="23"/>
  <c r="B374" i="23"/>
  <c r="AO373" i="23"/>
  <c r="AH373" i="23"/>
  <c r="AD373" i="23"/>
  <c r="AB373" i="23"/>
  <c r="X373" i="23"/>
  <c r="T373" i="23"/>
  <c r="P373" i="23"/>
  <c r="L373" i="23"/>
  <c r="H373" i="23"/>
  <c r="F373" i="23"/>
  <c r="G373" i="23" s="1"/>
  <c r="D373" i="23"/>
  <c r="E373" i="23" s="1"/>
  <c r="C373" i="23"/>
  <c r="B373" i="23"/>
  <c r="AO372" i="23"/>
  <c r="AH372" i="23"/>
  <c r="AD372" i="23"/>
  <c r="AB372" i="23"/>
  <c r="X372" i="23"/>
  <c r="T372" i="23"/>
  <c r="P372" i="23"/>
  <c r="L372" i="23"/>
  <c r="H372" i="23"/>
  <c r="F372" i="23"/>
  <c r="G372" i="23" s="1"/>
  <c r="D372" i="23"/>
  <c r="E372" i="23" s="1"/>
  <c r="C372" i="23"/>
  <c r="B372" i="23"/>
  <c r="AO371" i="23"/>
  <c r="AH371" i="23"/>
  <c r="AD371" i="23"/>
  <c r="AB371" i="23"/>
  <c r="X371" i="23"/>
  <c r="T371" i="23"/>
  <c r="P371" i="23"/>
  <c r="L371" i="23"/>
  <c r="H371" i="23"/>
  <c r="F371" i="23"/>
  <c r="G371" i="23" s="1"/>
  <c r="D371" i="23"/>
  <c r="E371" i="23" s="1"/>
  <c r="C371" i="23"/>
  <c r="B371" i="23"/>
  <c r="AO370" i="23"/>
  <c r="AH370" i="23"/>
  <c r="AD370" i="23"/>
  <c r="AB370" i="23"/>
  <c r="X370" i="23"/>
  <c r="T370" i="23"/>
  <c r="P370" i="23"/>
  <c r="L370" i="23"/>
  <c r="H370" i="23"/>
  <c r="F370" i="23"/>
  <c r="G370" i="23" s="1"/>
  <c r="D370" i="23"/>
  <c r="E370" i="23" s="1"/>
  <c r="C370" i="23"/>
  <c r="B370" i="23"/>
  <c r="AO369" i="23"/>
  <c r="AH369" i="23"/>
  <c r="AD369" i="23"/>
  <c r="AB369" i="23"/>
  <c r="X369" i="23"/>
  <c r="T369" i="23"/>
  <c r="P369" i="23"/>
  <c r="L369" i="23"/>
  <c r="H369" i="23"/>
  <c r="F369" i="23"/>
  <c r="G369" i="23" s="1"/>
  <c r="D369" i="23"/>
  <c r="E369" i="23" s="1"/>
  <c r="C369" i="23"/>
  <c r="B369" i="23"/>
  <c r="AO368" i="23"/>
  <c r="AH368" i="23"/>
  <c r="AD368" i="23"/>
  <c r="AB368" i="23"/>
  <c r="X368" i="23"/>
  <c r="T368" i="23"/>
  <c r="P368" i="23"/>
  <c r="L368" i="23"/>
  <c r="H368" i="23"/>
  <c r="F368" i="23"/>
  <c r="G368" i="23" s="1"/>
  <c r="D368" i="23"/>
  <c r="E368" i="23" s="1"/>
  <c r="C368" i="23"/>
  <c r="B368" i="23"/>
  <c r="AO367" i="23"/>
  <c r="AH367" i="23"/>
  <c r="AD367" i="23"/>
  <c r="AB367" i="23"/>
  <c r="X367" i="23"/>
  <c r="T367" i="23"/>
  <c r="P367" i="23"/>
  <c r="L367" i="23"/>
  <c r="H367" i="23"/>
  <c r="F367" i="23"/>
  <c r="G367" i="23" s="1"/>
  <c r="D367" i="23"/>
  <c r="E367" i="23" s="1"/>
  <c r="C367" i="23"/>
  <c r="B367" i="23"/>
  <c r="AO366" i="23"/>
  <c r="AH366" i="23"/>
  <c r="AD366" i="23"/>
  <c r="AB366" i="23"/>
  <c r="X366" i="23"/>
  <c r="T366" i="23"/>
  <c r="P366" i="23"/>
  <c r="L366" i="23"/>
  <c r="H366" i="23"/>
  <c r="F366" i="23"/>
  <c r="G366" i="23" s="1"/>
  <c r="D366" i="23"/>
  <c r="E366" i="23" s="1"/>
  <c r="C366" i="23"/>
  <c r="B366" i="23"/>
  <c r="AO365" i="23"/>
  <c r="AH365" i="23"/>
  <c r="AD365" i="23"/>
  <c r="AB365" i="23"/>
  <c r="X365" i="23"/>
  <c r="T365" i="23"/>
  <c r="P365" i="23"/>
  <c r="L365" i="23"/>
  <c r="H365" i="23"/>
  <c r="F365" i="23"/>
  <c r="G365" i="23" s="1"/>
  <c r="D365" i="23"/>
  <c r="E365" i="23" s="1"/>
  <c r="C365" i="23"/>
  <c r="B365" i="23"/>
  <c r="AO364" i="23"/>
  <c r="AH364" i="23"/>
  <c r="AD364" i="23"/>
  <c r="AB364" i="23"/>
  <c r="X364" i="23"/>
  <c r="T364" i="23"/>
  <c r="P364" i="23"/>
  <c r="L364" i="23"/>
  <c r="H364" i="23"/>
  <c r="F364" i="23"/>
  <c r="G364" i="23" s="1"/>
  <c r="D364" i="23"/>
  <c r="E364" i="23" s="1"/>
  <c r="C364" i="23"/>
  <c r="B364" i="23"/>
  <c r="AO363" i="23"/>
  <c r="AH363" i="23"/>
  <c r="AD363" i="23"/>
  <c r="AB363" i="23"/>
  <c r="X363" i="23"/>
  <c r="T363" i="23"/>
  <c r="P363" i="23"/>
  <c r="L363" i="23"/>
  <c r="H363" i="23"/>
  <c r="F363" i="23"/>
  <c r="G363" i="23" s="1"/>
  <c r="D363" i="23"/>
  <c r="E363" i="23" s="1"/>
  <c r="C363" i="23"/>
  <c r="B363" i="23"/>
  <c r="AO362" i="23"/>
  <c r="AH362" i="23"/>
  <c r="AD362" i="23"/>
  <c r="AB362" i="23"/>
  <c r="X362" i="23"/>
  <c r="T362" i="23"/>
  <c r="P362" i="23"/>
  <c r="L362" i="23"/>
  <c r="H362" i="23"/>
  <c r="F362" i="23"/>
  <c r="G362" i="23" s="1"/>
  <c r="D362" i="23"/>
  <c r="E362" i="23" s="1"/>
  <c r="C362" i="23"/>
  <c r="B362" i="23"/>
  <c r="AO361" i="23"/>
  <c r="AH361" i="23"/>
  <c r="AD361" i="23"/>
  <c r="AB361" i="23"/>
  <c r="X361" i="23"/>
  <c r="T361" i="23"/>
  <c r="P361" i="23"/>
  <c r="L361" i="23"/>
  <c r="H361" i="23"/>
  <c r="F361" i="23"/>
  <c r="G361" i="23" s="1"/>
  <c r="D361" i="23"/>
  <c r="E361" i="23" s="1"/>
  <c r="C361" i="23"/>
  <c r="B361" i="23"/>
  <c r="AO360" i="23"/>
  <c r="AH360" i="23"/>
  <c r="AD360" i="23"/>
  <c r="AB360" i="23"/>
  <c r="X360" i="23"/>
  <c r="T360" i="23"/>
  <c r="P360" i="23"/>
  <c r="L360" i="23"/>
  <c r="H360" i="23"/>
  <c r="F360" i="23"/>
  <c r="G360" i="23" s="1"/>
  <c r="D360" i="23"/>
  <c r="E360" i="23" s="1"/>
  <c r="C360" i="23"/>
  <c r="B360" i="23"/>
  <c r="AO359" i="23"/>
  <c r="AH359" i="23"/>
  <c r="AD359" i="23"/>
  <c r="AB359" i="23"/>
  <c r="X359" i="23"/>
  <c r="T359" i="23"/>
  <c r="P359" i="23"/>
  <c r="L359" i="23"/>
  <c r="H359" i="23"/>
  <c r="F359" i="23"/>
  <c r="G359" i="23" s="1"/>
  <c r="D359" i="23"/>
  <c r="E359" i="23" s="1"/>
  <c r="C359" i="23"/>
  <c r="B359" i="23"/>
  <c r="AO358" i="23"/>
  <c r="AH358" i="23"/>
  <c r="AD358" i="23"/>
  <c r="AB358" i="23"/>
  <c r="X358" i="23"/>
  <c r="T358" i="23"/>
  <c r="P358" i="23"/>
  <c r="L358" i="23"/>
  <c r="H358" i="23"/>
  <c r="F358" i="23"/>
  <c r="G358" i="23" s="1"/>
  <c r="D358" i="23"/>
  <c r="E358" i="23" s="1"/>
  <c r="C358" i="23"/>
  <c r="B358" i="23"/>
  <c r="AO357" i="23"/>
  <c r="AH357" i="23"/>
  <c r="AD357" i="23"/>
  <c r="AB357" i="23"/>
  <c r="X357" i="23"/>
  <c r="T357" i="23"/>
  <c r="P357" i="23"/>
  <c r="L357" i="23"/>
  <c r="H357" i="23"/>
  <c r="F357" i="23"/>
  <c r="G357" i="23" s="1"/>
  <c r="D357" i="23"/>
  <c r="E357" i="23" s="1"/>
  <c r="C357" i="23"/>
  <c r="B357" i="23"/>
  <c r="AO356" i="23"/>
  <c r="AH356" i="23"/>
  <c r="AD356" i="23"/>
  <c r="AB356" i="23"/>
  <c r="X356" i="23"/>
  <c r="T356" i="23"/>
  <c r="P356" i="23"/>
  <c r="L356" i="23"/>
  <c r="H356" i="23"/>
  <c r="F356" i="23"/>
  <c r="G356" i="23" s="1"/>
  <c r="D356" i="23"/>
  <c r="E356" i="23" s="1"/>
  <c r="C356" i="23"/>
  <c r="B356" i="23"/>
  <c r="AO355" i="23"/>
  <c r="AH355" i="23"/>
  <c r="AD355" i="23"/>
  <c r="AB355" i="23"/>
  <c r="X355" i="23"/>
  <c r="T355" i="23"/>
  <c r="P355" i="23"/>
  <c r="L355" i="23"/>
  <c r="H355" i="23"/>
  <c r="F355" i="23"/>
  <c r="G355" i="23" s="1"/>
  <c r="D355" i="23"/>
  <c r="E355" i="23" s="1"/>
  <c r="C355" i="23"/>
  <c r="B355" i="23"/>
  <c r="AO354" i="23"/>
  <c r="AH354" i="23"/>
  <c r="AD354" i="23"/>
  <c r="AB354" i="23"/>
  <c r="X354" i="23"/>
  <c r="T354" i="23"/>
  <c r="P354" i="23"/>
  <c r="L354" i="23"/>
  <c r="H354" i="23"/>
  <c r="F354" i="23"/>
  <c r="G354" i="23" s="1"/>
  <c r="D354" i="23"/>
  <c r="E354" i="23" s="1"/>
  <c r="C354" i="23"/>
  <c r="B354" i="23"/>
  <c r="AO353" i="23"/>
  <c r="AH353" i="23"/>
  <c r="AD353" i="23"/>
  <c r="AB353" i="23"/>
  <c r="X353" i="23"/>
  <c r="T353" i="23"/>
  <c r="P353" i="23"/>
  <c r="L353" i="23"/>
  <c r="H353" i="23"/>
  <c r="F353" i="23"/>
  <c r="G353" i="23" s="1"/>
  <c r="D353" i="23"/>
  <c r="E353" i="23" s="1"/>
  <c r="C353" i="23"/>
  <c r="B353" i="23"/>
  <c r="AO352" i="23"/>
  <c r="AH352" i="23"/>
  <c r="AD352" i="23"/>
  <c r="AB352" i="23"/>
  <c r="X352" i="23"/>
  <c r="T352" i="23"/>
  <c r="P352" i="23"/>
  <c r="L352" i="23"/>
  <c r="H352" i="23"/>
  <c r="F352" i="23"/>
  <c r="G352" i="23" s="1"/>
  <c r="D352" i="23"/>
  <c r="E352" i="23" s="1"/>
  <c r="C352" i="23"/>
  <c r="B352" i="23"/>
  <c r="AO351" i="23"/>
  <c r="AH351" i="23"/>
  <c r="AD351" i="23"/>
  <c r="AB351" i="23"/>
  <c r="X351" i="23"/>
  <c r="T351" i="23"/>
  <c r="P351" i="23"/>
  <c r="L351" i="23"/>
  <c r="H351" i="23"/>
  <c r="F351" i="23"/>
  <c r="G351" i="23" s="1"/>
  <c r="D351" i="23"/>
  <c r="E351" i="23" s="1"/>
  <c r="C351" i="23"/>
  <c r="B351" i="23"/>
  <c r="AO350" i="23"/>
  <c r="AH350" i="23"/>
  <c r="AD350" i="23"/>
  <c r="AB350" i="23"/>
  <c r="X350" i="23"/>
  <c r="T350" i="23"/>
  <c r="P350" i="23"/>
  <c r="L350" i="23"/>
  <c r="H350" i="23"/>
  <c r="F350" i="23"/>
  <c r="G350" i="23" s="1"/>
  <c r="D350" i="23"/>
  <c r="E350" i="23" s="1"/>
  <c r="C350" i="23"/>
  <c r="B350" i="23"/>
  <c r="AO349" i="23"/>
  <c r="AH349" i="23"/>
  <c r="AD349" i="23"/>
  <c r="AB349" i="23"/>
  <c r="X349" i="23"/>
  <c r="T349" i="23"/>
  <c r="P349" i="23"/>
  <c r="L349" i="23"/>
  <c r="H349" i="23"/>
  <c r="F349" i="23"/>
  <c r="G349" i="23" s="1"/>
  <c r="D349" i="23"/>
  <c r="E349" i="23" s="1"/>
  <c r="C349" i="23"/>
  <c r="B349" i="23"/>
  <c r="AO348" i="23"/>
  <c r="AH348" i="23"/>
  <c r="AD348" i="23"/>
  <c r="AB348" i="23"/>
  <c r="X348" i="23"/>
  <c r="T348" i="23"/>
  <c r="P348" i="23"/>
  <c r="L348" i="23"/>
  <c r="H348" i="23"/>
  <c r="F348" i="23"/>
  <c r="G348" i="23" s="1"/>
  <c r="D348" i="23"/>
  <c r="E348" i="23" s="1"/>
  <c r="C348" i="23"/>
  <c r="B348" i="23"/>
  <c r="AO347" i="23"/>
  <c r="AH347" i="23"/>
  <c r="AD347" i="23"/>
  <c r="AB347" i="23"/>
  <c r="X347" i="23"/>
  <c r="T347" i="23"/>
  <c r="P347" i="23"/>
  <c r="L347" i="23"/>
  <c r="H347" i="23"/>
  <c r="F347" i="23"/>
  <c r="G347" i="23" s="1"/>
  <c r="D347" i="23"/>
  <c r="E347" i="23" s="1"/>
  <c r="C347" i="23"/>
  <c r="B347" i="23"/>
  <c r="AO346" i="23"/>
  <c r="AH346" i="23"/>
  <c r="AD346" i="23"/>
  <c r="AB346" i="23"/>
  <c r="X346" i="23"/>
  <c r="T346" i="23"/>
  <c r="P346" i="23"/>
  <c r="L346" i="23"/>
  <c r="H346" i="23"/>
  <c r="F346" i="23"/>
  <c r="G346" i="23" s="1"/>
  <c r="D346" i="23"/>
  <c r="E346" i="23" s="1"/>
  <c r="C346" i="23"/>
  <c r="B346" i="23"/>
  <c r="AO345" i="23"/>
  <c r="AH345" i="23"/>
  <c r="AD345" i="23"/>
  <c r="AB345" i="23"/>
  <c r="X345" i="23"/>
  <c r="T345" i="23"/>
  <c r="P345" i="23"/>
  <c r="L345" i="23"/>
  <c r="H345" i="23"/>
  <c r="F345" i="23"/>
  <c r="G345" i="23" s="1"/>
  <c r="D345" i="23"/>
  <c r="E345" i="23" s="1"/>
  <c r="C345" i="23"/>
  <c r="B345" i="23"/>
  <c r="AO344" i="23"/>
  <c r="AH344" i="23"/>
  <c r="AD344" i="23"/>
  <c r="AB344" i="23"/>
  <c r="X344" i="23"/>
  <c r="T344" i="23"/>
  <c r="P344" i="23"/>
  <c r="L344" i="23"/>
  <c r="H344" i="23"/>
  <c r="F344" i="23"/>
  <c r="G344" i="23" s="1"/>
  <c r="D344" i="23"/>
  <c r="E344" i="23" s="1"/>
  <c r="C344" i="23"/>
  <c r="B344" i="23"/>
  <c r="AO343" i="23"/>
  <c r="AH343" i="23"/>
  <c r="AD343" i="23"/>
  <c r="AB343" i="23"/>
  <c r="X343" i="23"/>
  <c r="T343" i="23"/>
  <c r="P343" i="23"/>
  <c r="L343" i="23"/>
  <c r="H343" i="23"/>
  <c r="F343" i="23"/>
  <c r="G343" i="23" s="1"/>
  <c r="D343" i="23"/>
  <c r="E343" i="23" s="1"/>
  <c r="C343" i="23"/>
  <c r="B343" i="23"/>
  <c r="AO342" i="23"/>
  <c r="AH342" i="23"/>
  <c r="AD342" i="23"/>
  <c r="AB342" i="23"/>
  <c r="X342" i="23"/>
  <c r="T342" i="23"/>
  <c r="P342" i="23"/>
  <c r="L342" i="23"/>
  <c r="H342" i="23"/>
  <c r="F342" i="23"/>
  <c r="G342" i="23" s="1"/>
  <c r="D342" i="23"/>
  <c r="E342" i="23" s="1"/>
  <c r="C342" i="23"/>
  <c r="B342" i="23"/>
  <c r="AO341" i="23"/>
  <c r="AH341" i="23"/>
  <c r="AD341" i="23"/>
  <c r="AB341" i="23"/>
  <c r="X341" i="23"/>
  <c r="T341" i="23"/>
  <c r="P341" i="23"/>
  <c r="L341" i="23"/>
  <c r="H341" i="23"/>
  <c r="F341" i="23"/>
  <c r="G341" i="23" s="1"/>
  <c r="D341" i="23"/>
  <c r="E341" i="23" s="1"/>
  <c r="C341" i="23"/>
  <c r="B341" i="23"/>
  <c r="AO340" i="23"/>
  <c r="AH340" i="23"/>
  <c r="AD340" i="23"/>
  <c r="AB340" i="23"/>
  <c r="X340" i="23"/>
  <c r="T340" i="23"/>
  <c r="P340" i="23"/>
  <c r="L340" i="23"/>
  <c r="H340" i="23"/>
  <c r="F340" i="23"/>
  <c r="G340" i="23" s="1"/>
  <c r="D340" i="23"/>
  <c r="E340" i="23" s="1"/>
  <c r="C340" i="23"/>
  <c r="B340" i="23"/>
  <c r="AO339" i="23"/>
  <c r="AH339" i="23"/>
  <c r="AD339" i="23"/>
  <c r="AB339" i="23"/>
  <c r="X339" i="23"/>
  <c r="T339" i="23"/>
  <c r="P339" i="23"/>
  <c r="L339" i="23"/>
  <c r="H339" i="23"/>
  <c r="F339" i="23"/>
  <c r="G339" i="23" s="1"/>
  <c r="D339" i="23"/>
  <c r="E339" i="23" s="1"/>
  <c r="C339" i="23"/>
  <c r="B339" i="23"/>
  <c r="AO338" i="23"/>
  <c r="AH338" i="23"/>
  <c r="AD338" i="23"/>
  <c r="AB338" i="23"/>
  <c r="X338" i="23"/>
  <c r="T338" i="23"/>
  <c r="P338" i="23"/>
  <c r="L338" i="23"/>
  <c r="H338" i="23"/>
  <c r="F338" i="23"/>
  <c r="G338" i="23" s="1"/>
  <c r="D338" i="23"/>
  <c r="E338" i="23" s="1"/>
  <c r="C338" i="23"/>
  <c r="B338" i="23"/>
  <c r="AO337" i="23"/>
  <c r="AH337" i="23"/>
  <c r="AD337" i="23"/>
  <c r="AB337" i="23"/>
  <c r="X337" i="23"/>
  <c r="T337" i="23"/>
  <c r="P337" i="23"/>
  <c r="L337" i="23"/>
  <c r="H337" i="23"/>
  <c r="F337" i="23"/>
  <c r="G337" i="23" s="1"/>
  <c r="D337" i="23"/>
  <c r="E337" i="23" s="1"/>
  <c r="C337" i="23"/>
  <c r="B337" i="23"/>
  <c r="AO336" i="23"/>
  <c r="AH336" i="23"/>
  <c r="AD336" i="23"/>
  <c r="AB336" i="23"/>
  <c r="X336" i="23"/>
  <c r="T336" i="23"/>
  <c r="P336" i="23"/>
  <c r="L336" i="23"/>
  <c r="H336" i="23"/>
  <c r="F336" i="23"/>
  <c r="G336" i="23" s="1"/>
  <c r="D336" i="23"/>
  <c r="E336" i="23" s="1"/>
  <c r="C336" i="23"/>
  <c r="B336" i="23"/>
  <c r="AO335" i="23"/>
  <c r="AH335" i="23"/>
  <c r="AD335" i="23"/>
  <c r="AB335" i="23"/>
  <c r="X335" i="23"/>
  <c r="T335" i="23"/>
  <c r="P335" i="23"/>
  <c r="L335" i="23"/>
  <c r="H335" i="23"/>
  <c r="F335" i="23"/>
  <c r="G335" i="23" s="1"/>
  <c r="D335" i="23"/>
  <c r="E335" i="23" s="1"/>
  <c r="C335" i="23"/>
  <c r="B335" i="23"/>
  <c r="AO334" i="23"/>
  <c r="AH334" i="23"/>
  <c r="AD334" i="23"/>
  <c r="AB334" i="23"/>
  <c r="X334" i="23"/>
  <c r="T334" i="23"/>
  <c r="P334" i="23"/>
  <c r="L334" i="23"/>
  <c r="H334" i="23"/>
  <c r="F334" i="23"/>
  <c r="G334" i="23" s="1"/>
  <c r="D334" i="23"/>
  <c r="E334" i="23" s="1"/>
  <c r="C334" i="23"/>
  <c r="B334" i="23"/>
  <c r="AO333" i="23"/>
  <c r="AH333" i="23"/>
  <c r="AD333" i="23"/>
  <c r="AB333" i="23"/>
  <c r="X333" i="23"/>
  <c r="T333" i="23"/>
  <c r="P333" i="23"/>
  <c r="L333" i="23"/>
  <c r="H333" i="23"/>
  <c r="F333" i="23"/>
  <c r="G333" i="23" s="1"/>
  <c r="D333" i="23"/>
  <c r="E333" i="23" s="1"/>
  <c r="C333" i="23"/>
  <c r="B333" i="23"/>
  <c r="AO332" i="23"/>
  <c r="AH332" i="23"/>
  <c r="AD332" i="23"/>
  <c r="AB332" i="23"/>
  <c r="X332" i="23"/>
  <c r="T332" i="23"/>
  <c r="P332" i="23"/>
  <c r="L332" i="23"/>
  <c r="H332" i="23"/>
  <c r="F332" i="23"/>
  <c r="G332" i="23" s="1"/>
  <c r="D332" i="23"/>
  <c r="E332" i="23" s="1"/>
  <c r="C332" i="23"/>
  <c r="B332" i="23"/>
  <c r="AO331" i="23"/>
  <c r="AH331" i="23"/>
  <c r="AD331" i="23"/>
  <c r="AB331" i="23"/>
  <c r="X331" i="23"/>
  <c r="T331" i="23"/>
  <c r="P331" i="23"/>
  <c r="L331" i="23"/>
  <c r="H331" i="23"/>
  <c r="F331" i="23"/>
  <c r="G331" i="23" s="1"/>
  <c r="D331" i="23"/>
  <c r="E331" i="23" s="1"/>
  <c r="C331" i="23"/>
  <c r="B331" i="23"/>
  <c r="AO330" i="23"/>
  <c r="AH330" i="23"/>
  <c r="AD330" i="23"/>
  <c r="AB330" i="23"/>
  <c r="X330" i="23"/>
  <c r="T330" i="23"/>
  <c r="P330" i="23"/>
  <c r="L330" i="23"/>
  <c r="H330" i="23"/>
  <c r="F330" i="23"/>
  <c r="G330" i="23" s="1"/>
  <c r="D330" i="23"/>
  <c r="E330" i="23" s="1"/>
  <c r="C330" i="23"/>
  <c r="B330" i="23"/>
  <c r="AO329" i="23"/>
  <c r="AH329" i="23"/>
  <c r="AD329" i="23"/>
  <c r="AB329" i="23"/>
  <c r="X329" i="23"/>
  <c r="T329" i="23"/>
  <c r="P329" i="23"/>
  <c r="L329" i="23"/>
  <c r="H329" i="23"/>
  <c r="F329" i="23"/>
  <c r="G329" i="23" s="1"/>
  <c r="D329" i="23"/>
  <c r="E329" i="23" s="1"/>
  <c r="C329" i="23"/>
  <c r="B329" i="23"/>
  <c r="AO328" i="23"/>
  <c r="AH328" i="23"/>
  <c r="AD328" i="23"/>
  <c r="AB328" i="23"/>
  <c r="X328" i="23"/>
  <c r="T328" i="23"/>
  <c r="P328" i="23"/>
  <c r="L328" i="23"/>
  <c r="H328" i="23"/>
  <c r="F328" i="23"/>
  <c r="G328" i="23" s="1"/>
  <c r="D328" i="23"/>
  <c r="E328" i="23" s="1"/>
  <c r="C328" i="23"/>
  <c r="B328" i="23"/>
  <c r="AO327" i="23"/>
  <c r="AH327" i="23"/>
  <c r="AD327" i="23"/>
  <c r="AB327" i="23"/>
  <c r="X327" i="23"/>
  <c r="T327" i="23"/>
  <c r="P327" i="23"/>
  <c r="L327" i="23"/>
  <c r="H327" i="23"/>
  <c r="F327" i="23"/>
  <c r="G327" i="23" s="1"/>
  <c r="D327" i="23"/>
  <c r="E327" i="23" s="1"/>
  <c r="C327" i="23"/>
  <c r="B327" i="23"/>
  <c r="AO326" i="23"/>
  <c r="AH326" i="23"/>
  <c r="AD326" i="23"/>
  <c r="AB326" i="23"/>
  <c r="X326" i="23"/>
  <c r="T326" i="23"/>
  <c r="P326" i="23"/>
  <c r="L326" i="23"/>
  <c r="H326" i="23"/>
  <c r="F326" i="23"/>
  <c r="G326" i="23" s="1"/>
  <c r="D326" i="23"/>
  <c r="E326" i="23" s="1"/>
  <c r="C326" i="23"/>
  <c r="B326" i="23"/>
  <c r="AO325" i="23"/>
  <c r="AH325" i="23"/>
  <c r="AD325" i="23"/>
  <c r="AB325" i="23"/>
  <c r="X325" i="23"/>
  <c r="T325" i="23"/>
  <c r="P325" i="23"/>
  <c r="L325" i="23"/>
  <c r="H325" i="23"/>
  <c r="F325" i="23"/>
  <c r="G325" i="23" s="1"/>
  <c r="D325" i="23"/>
  <c r="E325" i="23" s="1"/>
  <c r="C325" i="23"/>
  <c r="B325" i="23"/>
  <c r="AO324" i="23"/>
  <c r="AH324" i="23"/>
  <c r="AD324" i="23"/>
  <c r="AB324" i="23"/>
  <c r="X324" i="23"/>
  <c r="T324" i="23"/>
  <c r="P324" i="23"/>
  <c r="L324" i="23"/>
  <c r="H324" i="23"/>
  <c r="F324" i="23"/>
  <c r="G324" i="23" s="1"/>
  <c r="D324" i="23"/>
  <c r="E324" i="23" s="1"/>
  <c r="C324" i="23"/>
  <c r="B324" i="23"/>
  <c r="AO323" i="23"/>
  <c r="AH323" i="23"/>
  <c r="AD323" i="23"/>
  <c r="AB323" i="23"/>
  <c r="X323" i="23"/>
  <c r="T323" i="23"/>
  <c r="P323" i="23"/>
  <c r="L323" i="23"/>
  <c r="H323" i="23"/>
  <c r="F323" i="23"/>
  <c r="G323" i="23" s="1"/>
  <c r="D323" i="23"/>
  <c r="E323" i="23" s="1"/>
  <c r="C323" i="23"/>
  <c r="B323" i="23"/>
  <c r="AO322" i="23"/>
  <c r="AH322" i="23"/>
  <c r="AD322" i="23"/>
  <c r="AB322" i="23"/>
  <c r="X322" i="23"/>
  <c r="T322" i="23"/>
  <c r="P322" i="23"/>
  <c r="L322" i="23"/>
  <c r="H322" i="23"/>
  <c r="F322" i="23"/>
  <c r="G322" i="23" s="1"/>
  <c r="D322" i="23"/>
  <c r="E322" i="23" s="1"/>
  <c r="C322" i="23"/>
  <c r="B322" i="23"/>
  <c r="AO321" i="23"/>
  <c r="AH321" i="23"/>
  <c r="AD321" i="23"/>
  <c r="AB321" i="23"/>
  <c r="X321" i="23"/>
  <c r="T321" i="23"/>
  <c r="P321" i="23"/>
  <c r="L321" i="23"/>
  <c r="H321" i="23"/>
  <c r="F321" i="23"/>
  <c r="G321" i="23" s="1"/>
  <c r="D321" i="23"/>
  <c r="E321" i="23" s="1"/>
  <c r="C321" i="23"/>
  <c r="B321" i="23"/>
  <c r="AO320" i="23"/>
  <c r="AH320" i="23"/>
  <c r="AD320" i="23"/>
  <c r="AB320" i="23"/>
  <c r="X320" i="23"/>
  <c r="T320" i="23"/>
  <c r="P320" i="23"/>
  <c r="L320" i="23"/>
  <c r="H320" i="23"/>
  <c r="F320" i="23"/>
  <c r="G320" i="23" s="1"/>
  <c r="D320" i="23"/>
  <c r="E320" i="23" s="1"/>
  <c r="C320" i="23"/>
  <c r="B320" i="23"/>
  <c r="AO319" i="23"/>
  <c r="AH319" i="23"/>
  <c r="AD319" i="23"/>
  <c r="AB319" i="23"/>
  <c r="X319" i="23"/>
  <c r="T319" i="23"/>
  <c r="P319" i="23"/>
  <c r="L319" i="23"/>
  <c r="H319" i="23"/>
  <c r="F319" i="23"/>
  <c r="G319" i="23" s="1"/>
  <c r="D319" i="23"/>
  <c r="E319" i="23" s="1"/>
  <c r="C319" i="23"/>
  <c r="B319" i="23"/>
  <c r="AO318" i="23"/>
  <c r="AH318" i="23"/>
  <c r="AD318" i="23"/>
  <c r="AB318" i="23"/>
  <c r="X318" i="23"/>
  <c r="T318" i="23"/>
  <c r="P318" i="23"/>
  <c r="L318" i="23"/>
  <c r="H318" i="23"/>
  <c r="F318" i="23"/>
  <c r="G318" i="23" s="1"/>
  <c r="D318" i="23"/>
  <c r="E318" i="23" s="1"/>
  <c r="C318" i="23"/>
  <c r="B318" i="23"/>
  <c r="AO317" i="23"/>
  <c r="AH317" i="23"/>
  <c r="AD317" i="23"/>
  <c r="AB317" i="23"/>
  <c r="X317" i="23"/>
  <c r="T317" i="23"/>
  <c r="P317" i="23"/>
  <c r="L317" i="23"/>
  <c r="H317" i="23"/>
  <c r="F317" i="23"/>
  <c r="G317" i="23" s="1"/>
  <c r="D317" i="23"/>
  <c r="E317" i="23" s="1"/>
  <c r="C317" i="23"/>
  <c r="B317" i="23"/>
  <c r="AO316" i="23"/>
  <c r="AH316" i="23"/>
  <c r="AD316" i="23"/>
  <c r="AB316" i="23"/>
  <c r="X316" i="23"/>
  <c r="T316" i="23"/>
  <c r="P316" i="23"/>
  <c r="L316" i="23"/>
  <c r="H316" i="23"/>
  <c r="F316" i="23"/>
  <c r="G316" i="23" s="1"/>
  <c r="D316" i="23"/>
  <c r="E316" i="23" s="1"/>
  <c r="C316" i="23"/>
  <c r="B316" i="23"/>
  <c r="AO315" i="23"/>
  <c r="AH315" i="23"/>
  <c r="AD315" i="23"/>
  <c r="AB315" i="23"/>
  <c r="X315" i="23"/>
  <c r="T315" i="23"/>
  <c r="P315" i="23"/>
  <c r="L315" i="23"/>
  <c r="H315" i="23"/>
  <c r="F315" i="23"/>
  <c r="G315" i="23" s="1"/>
  <c r="D315" i="23"/>
  <c r="E315" i="23" s="1"/>
  <c r="C315" i="23"/>
  <c r="B315" i="23"/>
  <c r="AO314" i="23"/>
  <c r="AH314" i="23"/>
  <c r="AD314" i="23"/>
  <c r="AB314" i="23"/>
  <c r="X314" i="23"/>
  <c r="T314" i="23"/>
  <c r="P314" i="23"/>
  <c r="L314" i="23"/>
  <c r="H314" i="23"/>
  <c r="F314" i="23"/>
  <c r="G314" i="23" s="1"/>
  <c r="D314" i="23"/>
  <c r="E314" i="23" s="1"/>
  <c r="C314" i="23"/>
  <c r="B314" i="23"/>
  <c r="AO313" i="23"/>
  <c r="AH313" i="23"/>
  <c r="AD313" i="23"/>
  <c r="AB313" i="23"/>
  <c r="X313" i="23"/>
  <c r="T313" i="23"/>
  <c r="P313" i="23"/>
  <c r="L313" i="23"/>
  <c r="H313" i="23"/>
  <c r="F313" i="23"/>
  <c r="G313" i="23" s="1"/>
  <c r="D313" i="23"/>
  <c r="E313" i="23" s="1"/>
  <c r="C313" i="23"/>
  <c r="B313" i="23"/>
  <c r="AO312" i="23"/>
  <c r="AH312" i="23"/>
  <c r="AD312" i="23"/>
  <c r="AB312" i="23"/>
  <c r="X312" i="23"/>
  <c r="T312" i="23"/>
  <c r="P312" i="23"/>
  <c r="L312" i="23"/>
  <c r="H312" i="23"/>
  <c r="F312" i="23"/>
  <c r="G312" i="23" s="1"/>
  <c r="D312" i="23"/>
  <c r="E312" i="23" s="1"/>
  <c r="C312" i="23"/>
  <c r="B312" i="23"/>
  <c r="AO311" i="23"/>
  <c r="AH311" i="23"/>
  <c r="AD311" i="23"/>
  <c r="AB311" i="23"/>
  <c r="X311" i="23"/>
  <c r="T311" i="23"/>
  <c r="P311" i="23"/>
  <c r="L311" i="23"/>
  <c r="H311" i="23"/>
  <c r="F311" i="23"/>
  <c r="G311" i="23" s="1"/>
  <c r="D311" i="23"/>
  <c r="E311" i="23" s="1"/>
  <c r="C311" i="23"/>
  <c r="B311" i="23"/>
  <c r="AO310" i="23"/>
  <c r="AH310" i="23"/>
  <c r="AD310" i="23"/>
  <c r="AB310" i="23"/>
  <c r="X310" i="23"/>
  <c r="T310" i="23"/>
  <c r="P310" i="23"/>
  <c r="L310" i="23"/>
  <c r="H310" i="23"/>
  <c r="F310" i="23"/>
  <c r="G310" i="23" s="1"/>
  <c r="D310" i="23"/>
  <c r="E310" i="23" s="1"/>
  <c r="C310" i="23"/>
  <c r="B310" i="23"/>
  <c r="AO309" i="23"/>
  <c r="AH309" i="23"/>
  <c r="AD309" i="23"/>
  <c r="AB309" i="23"/>
  <c r="X309" i="23"/>
  <c r="T309" i="23"/>
  <c r="P309" i="23"/>
  <c r="L309" i="23"/>
  <c r="H309" i="23"/>
  <c r="F309" i="23"/>
  <c r="G309" i="23" s="1"/>
  <c r="D309" i="23"/>
  <c r="E309" i="23" s="1"/>
  <c r="C309" i="23"/>
  <c r="B309" i="23"/>
  <c r="AO308" i="23"/>
  <c r="AH308" i="23"/>
  <c r="AD308" i="23"/>
  <c r="AB308" i="23"/>
  <c r="X308" i="23"/>
  <c r="T308" i="23"/>
  <c r="P308" i="23"/>
  <c r="L308" i="23"/>
  <c r="H308" i="23"/>
  <c r="F308" i="23"/>
  <c r="G308" i="23" s="1"/>
  <c r="D308" i="23"/>
  <c r="E308" i="23" s="1"/>
  <c r="C308" i="23"/>
  <c r="B308" i="23"/>
  <c r="AO307" i="23"/>
  <c r="AH307" i="23"/>
  <c r="AD307" i="23"/>
  <c r="AB307" i="23"/>
  <c r="X307" i="23"/>
  <c r="T307" i="23"/>
  <c r="P307" i="23"/>
  <c r="L307" i="23"/>
  <c r="H307" i="23"/>
  <c r="F307" i="23"/>
  <c r="G307" i="23" s="1"/>
  <c r="D307" i="23"/>
  <c r="E307" i="23" s="1"/>
  <c r="C307" i="23"/>
  <c r="B307" i="23"/>
  <c r="AO306" i="23"/>
  <c r="AH306" i="23"/>
  <c r="AD306" i="23"/>
  <c r="AB306" i="23"/>
  <c r="X306" i="23"/>
  <c r="T306" i="23"/>
  <c r="P306" i="23"/>
  <c r="L306" i="23"/>
  <c r="H306" i="23"/>
  <c r="F306" i="23"/>
  <c r="G306" i="23" s="1"/>
  <c r="D306" i="23"/>
  <c r="E306" i="23" s="1"/>
  <c r="C306" i="23"/>
  <c r="B306" i="23"/>
  <c r="AO305" i="23"/>
  <c r="AH305" i="23"/>
  <c r="AD305" i="23"/>
  <c r="AB305" i="23"/>
  <c r="X305" i="23"/>
  <c r="T305" i="23"/>
  <c r="P305" i="23"/>
  <c r="L305" i="23"/>
  <c r="H305" i="23"/>
  <c r="F305" i="23"/>
  <c r="G305" i="23" s="1"/>
  <c r="D305" i="23"/>
  <c r="E305" i="23" s="1"/>
  <c r="C305" i="23"/>
  <c r="B305" i="23"/>
  <c r="AO304" i="23"/>
  <c r="AH304" i="23"/>
  <c r="AD304" i="23"/>
  <c r="AB304" i="23"/>
  <c r="X304" i="23"/>
  <c r="T304" i="23"/>
  <c r="P304" i="23"/>
  <c r="L304" i="23"/>
  <c r="H304" i="23"/>
  <c r="F304" i="23"/>
  <c r="G304" i="23" s="1"/>
  <c r="D304" i="23"/>
  <c r="E304" i="23" s="1"/>
  <c r="C304" i="23"/>
  <c r="B304" i="23"/>
  <c r="AO303" i="23"/>
  <c r="AH303" i="23"/>
  <c r="AD303" i="23"/>
  <c r="AB303" i="23"/>
  <c r="X303" i="23"/>
  <c r="T303" i="23"/>
  <c r="P303" i="23"/>
  <c r="L303" i="23"/>
  <c r="H303" i="23"/>
  <c r="F303" i="23"/>
  <c r="G303" i="23" s="1"/>
  <c r="D303" i="23"/>
  <c r="E303" i="23" s="1"/>
  <c r="C303" i="23"/>
  <c r="B303" i="23"/>
  <c r="AO302" i="23"/>
  <c r="AH302" i="23"/>
  <c r="AD302" i="23"/>
  <c r="AB302" i="23"/>
  <c r="X302" i="23"/>
  <c r="T302" i="23"/>
  <c r="P302" i="23"/>
  <c r="L302" i="23"/>
  <c r="H302" i="23"/>
  <c r="F302" i="23"/>
  <c r="G302" i="23" s="1"/>
  <c r="D302" i="23"/>
  <c r="E302" i="23" s="1"/>
  <c r="C302" i="23"/>
  <c r="B302" i="23"/>
  <c r="AO301" i="23"/>
  <c r="AH301" i="23"/>
  <c r="AD301" i="23"/>
  <c r="AB301" i="23"/>
  <c r="X301" i="23"/>
  <c r="T301" i="23"/>
  <c r="P301" i="23"/>
  <c r="L301" i="23"/>
  <c r="H301" i="23"/>
  <c r="F301" i="23"/>
  <c r="G301" i="23" s="1"/>
  <c r="D301" i="23"/>
  <c r="E301" i="23" s="1"/>
  <c r="C301" i="23"/>
  <c r="B301" i="23"/>
  <c r="AO300" i="23"/>
  <c r="AH300" i="23"/>
  <c r="AD300" i="23"/>
  <c r="AB300" i="23"/>
  <c r="X300" i="23"/>
  <c r="T300" i="23"/>
  <c r="P300" i="23"/>
  <c r="L300" i="23"/>
  <c r="H300" i="23"/>
  <c r="F300" i="23"/>
  <c r="G300" i="23" s="1"/>
  <c r="D300" i="23"/>
  <c r="E300" i="23" s="1"/>
  <c r="C300" i="23"/>
  <c r="B300" i="23"/>
  <c r="AO299" i="23"/>
  <c r="AH299" i="23"/>
  <c r="AD299" i="23"/>
  <c r="AB299" i="23"/>
  <c r="X299" i="23"/>
  <c r="T299" i="23"/>
  <c r="P299" i="23"/>
  <c r="L299" i="23"/>
  <c r="H299" i="23"/>
  <c r="F299" i="23"/>
  <c r="G299" i="23" s="1"/>
  <c r="D299" i="23"/>
  <c r="E299" i="23" s="1"/>
  <c r="C299" i="23"/>
  <c r="B299" i="23"/>
  <c r="AO298" i="23"/>
  <c r="AH298" i="23"/>
  <c r="AD298" i="23"/>
  <c r="AB298" i="23"/>
  <c r="X298" i="23"/>
  <c r="T298" i="23"/>
  <c r="P298" i="23"/>
  <c r="L298" i="23"/>
  <c r="H298" i="23"/>
  <c r="F298" i="23"/>
  <c r="G298" i="23" s="1"/>
  <c r="D298" i="23"/>
  <c r="E298" i="23" s="1"/>
  <c r="C298" i="23"/>
  <c r="B298" i="23"/>
  <c r="AO297" i="23"/>
  <c r="AH297" i="23"/>
  <c r="AD297" i="23"/>
  <c r="AB297" i="23"/>
  <c r="X297" i="23"/>
  <c r="T297" i="23"/>
  <c r="P297" i="23"/>
  <c r="L297" i="23"/>
  <c r="H297" i="23"/>
  <c r="F297" i="23"/>
  <c r="G297" i="23" s="1"/>
  <c r="D297" i="23"/>
  <c r="E297" i="23" s="1"/>
  <c r="C297" i="23"/>
  <c r="B297" i="23"/>
  <c r="AO296" i="23"/>
  <c r="AH296" i="23"/>
  <c r="AD296" i="23"/>
  <c r="AB296" i="23"/>
  <c r="X296" i="23"/>
  <c r="T296" i="23"/>
  <c r="P296" i="23"/>
  <c r="L296" i="23"/>
  <c r="H296" i="23"/>
  <c r="F296" i="23"/>
  <c r="G296" i="23" s="1"/>
  <c r="D296" i="23"/>
  <c r="E296" i="23" s="1"/>
  <c r="C296" i="23"/>
  <c r="B296" i="23"/>
  <c r="AO295" i="23"/>
  <c r="AH295" i="23"/>
  <c r="AD295" i="23"/>
  <c r="AB295" i="23"/>
  <c r="X295" i="23"/>
  <c r="T295" i="23"/>
  <c r="P295" i="23"/>
  <c r="L295" i="23"/>
  <c r="H295" i="23"/>
  <c r="F295" i="23"/>
  <c r="G295" i="23" s="1"/>
  <c r="D295" i="23"/>
  <c r="E295" i="23" s="1"/>
  <c r="C295" i="23"/>
  <c r="B295" i="23"/>
  <c r="AO294" i="23"/>
  <c r="AH294" i="23"/>
  <c r="AD294" i="23"/>
  <c r="AB294" i="23"/>
  <c r="X294" i="23"/>
  <c r="T294" i="23"/>
  <c r="P294" i="23"/>
  <c r="L294" i="23"/>
  <c r="H294" i="23"/>
  <c r="F294" i="23"/>
  <c r="G294" i="23" s="1"/>
  <c r="D294" i="23"/>
  <c r="E294" i="23" s="1"/>
  <c r="C294" i="23"/>
  <c r="B294" i="23"/>
  <c r="AO293" i="23"/>
  <c r="AH293" i="23"/>
  <c r="AD293" i="23"/>
  <c r="AB293" i="23"/>
  <c r="X293" i="23"/>
  <c r="T293" i="23"/>
  <c r="P293" i="23"/>
  <c r="L293" i="23"/>
  <c r="H293" i="23"/>
  <c r="F293" i="23"/>
  <c r="G293" i="23" s="1"/>
  <c r="D293" i="23"/>
  <c r="E293" i="23" s="1"/>
  <c r="C293" i="23"/>
  <c r="B293" i="23"/>
  <c r="AO292" i="23"/>
  <c r="AH292" i="23"/>
  <c r="AD292" i="23"/>
  <c r="AB292" i="23"/>
  <c r="X292" i="23"/>
  <c r="T292" i="23"/>
  <c r="P292" i="23"/>
  <c r="L292" i="23"/>
  <c r="H292" i="23"/>
  <c r="F292" i="23"/>
  <c r="G292" i="23" s="1"/>
  <c r="D292" i="23"/>
  <c r="E292" i="23" s="1"/>
  <c r="C292" i="23"/>
  <c r="B292" i="23"/>
  <c r="AO291" i="23"/>
  <c r="AH291" i="23"/>
  <c r="AD291" i="23"/>
  <c r="AB291" i="23"/>
  <c r="X291" i="23"/>
  <c r="T291" i="23"/>
  <c r="P291" i="23"/>
  <c r="L291" i="23"/>
  <c r="H291" i="23"/>
  <c r="F291" i="23"/>
  <c r="G291" i="23" s="1"/>
  <c r="D291" i="23"/>
  <c r="E291" i="23" s="1"/>
  <c r="C291" i="23"/>
  <c r="B291" i="23"/>
  <c r="AO290" i="23"/>
  <c r="AH290" i="23"/>
  <c r="AD290" i="23"/>
  <c r="AB290" i="23"/>
  <c r="X290" i="23"/>
  <c r="T290" i="23"/>
  <c r="P290" i="23"/>
  <c r="L290" i="23"/>
  <c r="H290" i="23"/>
  <c r="F290" i="23"/>
  <c r="G290" i="23" s="1"/>
  <c r="D290" i="23"/>
  <c r="E290" i="23" s="1"/>
  <c r="C290" i="23"/>
  <c r="B290" i="23"/>
  <c r="AO289" i="23"/>
  <c r="AH289" i="23"/>
  <c r="AD289" i="23"/>
  <c r="AB289" i="23"/>
  <c r="X289" i="23"/>
  <c r="T289" i="23"/>
  <c r="P289" i="23"/>
  <c r="L289" i="23"/>
  <c r="H289" i="23"/>
  <c r="F289" i="23"/>
  <c r="G289" i="23" s="1"/>
  <c r="D289" i="23"/>
  <c r="E289" i="23" s="1"/>
  <c r="C289" i="23"/>
  <c r="B289" i="23"/>
  <c r="AO288" i="23"/>
  <c r="AH288" i="23"/>
  <c r="AD288" i="23"/>
  <c r="AB288" i="23"/>
  <c r="X288" i="23"/>
  <c r="T288" i="23"/>
  <c r="P288" i="23"/>
  <c r="L288" i="23"/>
  <c r="H288" i="23"/>
  <c r="F288" i="23"/>
  <c r="G288" i="23" s="1"/>
  <c r="D288" i="23"/>
  <c r="E288" i="23" s="1"/>
  <c r="C288" i="23"/>
  <c r="B288" i="23"/>
  <c r="AO287" i="23"/>
  <c r="AH287" i="23"/>
  <c r="AD287" i="23"/>
  <c r="AB287" i="23"/>
  <c r="X287" i="23"/>
  <c r="T287" i="23"/>
  <c r="P287" i="23"/>
  <c r="L287" i="23"/>
  <c r="H287" i="23"/>
  <c r="F287" i="23"/>
  <c r="G287" i="23" s="1"/>
  <c r="D287" i="23"/>
  <c r="E287" i="23" s="1"/>
  <c r="C287" i="23"/>
  <c r="B287" i="23"/>
  <c r="AO286" i="23"/>
  <c r="AH286" i="23"/>
  <c r="AD286" i="23"/>
  <c r="AB286" i="23"/>
  <c r="X286" i="23"/>
  <c r="T286" i="23"/>
  <c r="P286" i="23"/>
  <c r="L286" i="23"/>
  <c r="H286" i="23"/>
  <c r="F286" i="23"/>
  <c r="G286" i="23" s="1"/>
  <c r="D286" i="23"/>
  <c r="E286" i="23" s="1"/>
  <c r="C286" i="23"/>
  <c r="B286" i="23"/>
  <c r="AO285" i="23"/>
  <c r="AH285" i="23"/>
  <c r="AD285" i="23"/>
  <c r="AB285" i="23"/>
  <c r="X285" i="23"/>
  <c r="T285" i="23"/>
  <c r="P285" i="23"/>
  <c r="L285" i="23"/>
  <c r="H285" i="23"/>
  <c r="F285" i="23"/>
  <c r="G285" i="23" s="1"/>
  <c r="D285" i="23"/>
  <c r="E285" i="23" s="1"/>
  <c r="C285" i="23"/>
  <c r="B285" i="23"/>
  <c r="AO284" i="23"/>
  <c r="AH284" i="23"/>
  <c r="AD284" i="23"/>
  <c r="AB284" i="23"/>
  <c r="X284" i="23"/>
  <c r="T284" i="23"/>
  <c r="P284" i="23"/>
  <c r="L284" i="23"/>
  <c r="H284" i="23"/>
  <c r="F284" i="23"/>
  <c r="G284" i="23" s="1"/>
  <c r="D284" i="23"/>
  <c r="E284" i="23" s="1"/>
  <c r="C284" i="23"/>
  <c r="B284" i="23"/>
  <c r="AO283" i="23"/>
  <c r="AH283" i="23"/>
  <c r="AD283" i="23"/>
  <c r="AB283" i="23"/>
  <c r="X283" i="23"/>
  <c r="T283" i="23"/>
  <c r="P283" i="23"/>
  <c r="L283" i="23"/>
  <c r="H283" i="23"/>
  <c r="F283" i="23"/>
  <c r="G283" i="23" s="1"/>
  <c r="D283" i="23"/>
  <c r="E283" i="23" s="1"/>
  <c r="C283" i="23"/>
  <c r="B283" i="23"/>
  <c r="AO282" i="23"/>
  <c r="AH282" i="23"/>
  <c r="AD282" i="23"/>
  <c r="AB282" i="23"/>
  <c r="X282" i="23"/>
  <c r="T282" i="23"/>
  <c r="P282" i="23"/>
  <c r="L282" i="23"/>
  <c r="H282" i="23"/>
  <c r="F282" i="23"/>
  <c r="G282" i="23" s="1"/>
  <c r="D282" i="23"/>
  <c r="E282" i="23" s="1"/>
  <c r="C282" i="23"/>
  <c r="B282" i="23"/>
  <c r="AO281" i="23"/>
  <c r="AH281" i="23"/>
  <c r="AD281" i="23"/>
  <c r="AB281" i="23"/>
  <c r="X281" i="23"/>
  <c r="T281" i="23"/>
  <c r="P281" i="23"/>
  <c r="L281" i="23"/>
  <c r="H281" i="23"/>
  <c r="F281" i="23"/>
  <c r="G281" i="23" s="1"/>
  <c r="D281" i="23"/>
  <c r="E281" i="23" s="1"/>
  <c r="C281" i="23"/>
  <c r="B281" i="23"/>
  <c r="AO280" i="23"/>
  <c r="AH280" i="23"/>
  <c r="AD280" i="23"/>
  <c r="AB280" i="23"/>
  <c r="X280" i="23"/>
  <c r="T280" i="23"/>
  <c r="P280" i="23"/>
  <c r="L280" i="23"/>
  <c r="H280" i="23"/>
  <c r="F280" i="23"/>
  <c r="G280" i="23" s="1"/>
  <c r="D280" i="23"/>
  <c r="E280" i="23" s="1"/>
  <c r="C280" i="23"/>
  <c r="B280" i="23"/>
  <c r="AO279" i="23"/>
  <c r="AH279" i="23"/>
  <c r="AD279" i="23"/>
  <c r="AB279" i="23"/>
  <c r="X279" i="23"/>
  <c r="T279" i="23"/>
  <c r="P279" i="23"/>
  <c r="L279" i="23"/>
  <c r="H279" i="23"/>
  <c r="F279" i="23"/>
  <c r="G279" i="23" s="1"/>
  <c r="D279" i="23"/>
  <c r="E279" i="23" s="1"/>
  <c r="C279" i="23"/>
  <c r="B279" i="23"/>
  <c r="AO278" i="23"/>
  <c r="AH278" i="23"/>
  <c r="AD278" i="23"/>
  <c r="AB278" i="23"/>
  <c r="X278" i="23"/>
  <c r="T278" i="23"/>
  <c r="P278" i="23"/>
  <c r="L278" i="23"/>
  <c r="H278" i="23"/>
  <c r="F278" i="23"/>
  <c r="G278" i="23" s="1"/>
  <c r="D278" i="23"/>
  <c r="E278" i="23" s="1"/>
  <c r="C278" i="23"/>
  <c r="B278" i="23"/>
  <c r="AO277" i="23"/>
  <c r="AH277" i="23"/>
  <c r="AD277" i="23"/>
  <c r="AB277" i="23"/>
  <c r="X277" i="23"/>
  <c r="T277" i="23"/>
  <c r="P277" i="23"/>
  <c r="L277" i="23"/>
  <c r="H277" i="23"/>
  <c r="F277" i="23"/>
  <c r="G277" i="23" s="1"/>
  <c r="D277" i="23"/>
  <c r="E277" i="23" s="1"/>
  <c r="C277" i="23"/>
  <c r="B277" i="23"/>
  <c r="AO276" i="23"/>
  <c r="AH276" i="23"/>
  <c r="AD276" i="23"/>
  <c r="AB276" i="23"/>
  <c r="X276" i="23"/>
  <c r="T276" i="23"/>
  <c r="P276" i="23"/>
  <c r="L276" i="23"/>
  <c r="H276" i="23"/>
  <c r="F276" i="23"/>
  <c r="G276" i="23" s="1"/>
  <c r="D276" i="23"/>
  <c r="E276" i="23" s="1"/>
  <c r="C276" i="23"/>
  <c r="B276" i="23"/>
  <c r="AO275" i="23"/>
  <c r="AH275" i="23"/>
  <c r="AD275" i="23"/>
  <c r="AB275" i="23"/>
  <c r="X275" i="23"/>
  <c r="T275" i="23"/>
  <c r="P275" i="23"/>
  <c r="L275" i="23"/>
  <c r="H275" i="23"/>
  <c r="F275" i="23"/>
  <c r="G275" i="23" s="1"/>
  <c r="D275" i="23"/>
  <c r="E275" i="23" s="1"/>
  <c r="C275" i="23"/>
  <c r="B275" i="23"/>
  <c r="AO274" i="23"/>
  <c r="AH274" i="23"/>
  <c r="AD274" i="23"/>
  <c r="AB274" i="23"/>
  <c r="X274" i="23"/>
  <c r="T274" i="23"/>
  <c r="P274" i="23"/>
  <c r="L274" i="23"/>
  <c r="H274" i="23"/>
  <c r="F274" i="23"/>
  <c r="G274" i="23" s="1"/>
  <c r="D274" i="23"/>
  <c r="E274" i="23" s="1"/>
  <c r="C274" i="23"/>
  <c r="B274" i="23"/>
  <c r="AO273" i="23"/>
  <c r="AH273" i="23"/>
  <c r="AD273" i="23"/>
  <c r="AB273" i="23"/>
  <c r="X273" i="23"/>
  <c r="T273" i="23"/>
  <c r="P273" i="23"/>
  <c r="L273" i="23"/>
  <c r="H273" i="23"/>
  <c r="F273" i="23"/>
  <c r="G273" i="23" s="1"/>
  <c r="D273" i="23"/>
  <c r="E273" i="23" s="1"/>
  <c r="C273" i="23"/>
  <c r="B273" i="23"/>
  <c r="AO272" i="23"/>
  <c r="AH272" i="23"/>
  <c r="AD272" i="23"/>
  <c r="AB272" i="23"/>
  <c r="X272" i="23"/>
  <c r="T272" i="23"/>
  <c r="P272" i="23"/>
  <c r="L272" i="23"/>
  <c r="H272" i="23"/>
  <c r="F272" i="23"/>
  <c r="G272" i="23" s="1"/>
  <c r="D272" i="23"/>
  <c r="E272" i="23" s="1"/>
  <c r="C272" i="23"/>
  <c r="B272" i="23"/>
  <c r="AO271" i="23"/>
  <c r="AH271" i="23"/>
  <c r="AD271" i="23"/>
  <c r="AB271" i="23"/>
  <c r="X271" i="23"/>
  <c r="T271" i="23"/>
  <c r="P271" i="23"/>
  <c r="L271" i="23"/>
  <c r="H271" i="23"/>
  <c r="F271" i="23"/>
  <c r="G271" i="23" s="1"/>
  <c r="D271" i="23"/>
  <c r="E271" i="23" s="1"/>
  <c r="C271" i="23"/>
  <c r="B271" i="23"/>
  <c r="AO270" i="23"/>
  <c r="AH270" i="23"/>
  <c r="AD270" i="23"/>
  <c r="AB270" i="23"/>
  <c r="X270" i="23"/>
  <c r="T270" i="23"/>
  <c r="P270" i="23"/>
  <c r="L270" i="23"/>
  <c r="H270" i="23"/>
  <c r="F270" i="23"/>
  <c r="G270" i="23" s="1"/>
  <c r="D270" i="23"/>
  <c r="E270" i="23" s="1"/>
  <c r="C270" i="23"/>
  <c r="B270" i="23"/>
  <c r="AO269" i="23"/>
  <c r="AH269" i="23"/>
  <c r="AD269" i="23"/>
  <c r="AB269" i="23"/>
  <c r="X269" i="23"/>
  <c r="T269" i="23"/>
  <c r="P269" i="23"/>
  <c r="L269" i="23"/>
  <c r="H269" i="23"/>
  <c r="F269" i="23"/>
  <c r="G269" i="23" s="1"/>
  <c r="D269" i="23"/>
  <c r="E269" i="23" s="1"/>
  <c r="C269" i="23"/>
  <c r="B269" i="23"/>
  <c r="AO268" i="23"/>
  <c r="AH268" i="23"/>
  <c r="AD268" i="23"/>
  <c r="AB268" i="23"/>
  <c r="X268" i="23"/>
  <c r="T268" i="23"/>
  <c r="P268" i="23"/>
  <c r="L268" i="23"/>
  <c r="H268" i="23"/>
  <c r="F268" i="23"/>
  <c r="G268" i="23" s="1"/>
  <c r="D268" i="23"/>
  <c r="E268" i="23" s="1"/>
  <c r="C268" i="23"/>
  <c r="B268" i="23"/>
  <c r="AO267" i="23"/>
  <c r="AH267" i="23"/>
  <c r="AD267" i="23"/>
  <c r="AB267" i="23"/>
  <c r="X267" i="23"/>
  <c r="T267" i="23"/>
  <c r="P267" i="23"/>
  <c r="L267" i="23"/>
  <c r="H267" i="23"/>
  <c r="F267" i="23"/>
  <c r="G267" i="23" s="1"/>
  <c r="D267" i="23"/>
  <c r="E267" i="23" s="1"/>
  <c r="C267" i="23"/>
  <c r="B267" i="23"/>
  <c r="AO266" i="23"/>
  <c r="AH266" i="23"/>
  <c r="AD266" i="23"/>
  <c r="AB266" i="23"/>
  <c r="X266" i="23"/>
  <c r="T266" i="23"/>
  <c r="P266" i="23"/>
  <c r="L266" i="23"/>
  <c r="H266" i="23"/>
  <c r="F266" i="23"/>
  <c r="G266" i="23" s="1"/>
  <c r="D266" i="23"/>
  <c r="E266" i="23" s="1"/>
  <c r="C266" i="23"/>
  <c r="B266" i="23"/>
  <c r="AO265" i="23"/>
  <c r="AH265" i="23"/>
  <c r="AD265" i="23"/>
  <c r="AB265" i="23"/>
  <c r="X265" i="23"/>
  <c r="T265" i="23"/>
  <c r="P265" i="23"/>
  <c r="L265" i="23"/>
  <c r="H265" i="23"/>
  <c r="F265" i="23"/>
  <c r="G265" i="23" s="1"/>
  <c r="D265" i="23"/>
  <c r="E265" i="23" s="1"/>
  <c r="C265" i="23"/>
  <c r="B265" i="23"/>
  <c r="AO264" i="23"/>
  <c r="AH264" i="23"/>
  <c r="AD264" i="23"/>
  <c r="AB264" i="23"/>
  <c r="X264" i="23"/>
  <c r="T264" i="23"/>
  <c r="P264" i="23"/>
  <c r="L264" i="23"/>
  <c r="H264" i="23"/>
  <c r="F264" i="23"/>
  <c r="G264" i="23" s="1"/>
  <c r="D264" i="23"/>
  <c r="E264" i="23" s="1"/>
  <c r="C264" i="23"/>
  <c r="B264" i="23"/>
  <c r="AO263" i="23"/>
  <c r="AH263" i="23"/>
  <c r="AD263" i="23"/>
  <c r="AB263" i="23"/>
  <c r="X263" i="23"/>
  <c r="T263" i="23"/>
  <c r="P263" i="23"/>
  <c r="L263" i="23"/>
  <c r="H263" i="23"/>
  <c r="F263" i="23"/>
  <c r="G263" i="23" s="1"/>
  <c r="D263" i="23"/>
  <c r="E263" i="23" s="1"/>
  <c r="C263" i="23"/>
  <c r="B263" i="23"/>
  <c r="AO262" i="23"/>
  <c r="AH262" i="23"/>
  <c r="AD262" i="23"/>
  <c r="AB262" i="23"/>
  <c r="X262" i="23"/>
  <c r="T262" i="23"/>
  <c r="P262" i="23"/>
  <c r="L262" i="23"/>
  <c r="H262" i="23"/>
  <c r="F262" i="23"/>
  <c r="G262" i="23" s="1"/>
  <c r="D262" i="23"/>
  <c r="E262" i="23" s="1"/>
  <c r="C262" i="23"/>
  <c r="B262" i="23"/>
  <c r="AO261" i="23"/>
  <c r="AH261" i="23"/>
  <c r="AD261" i="23"/>
  <c r="AB261" i="23"/>
  <c r="X261" i="23"/>
  <c r="T261" i="23"/>
  <c r="P261" i="23"/>
  <c r="L261" i="23"/>
  <c r="H261" i="23"/>
  <c r="F261" i="23"/>
  <c r="G261" i="23" s="1"/>
  <c r="D261" i="23"/>
  <c r="E261" i="23" s="1"/>
  <c r="C261" i="23"/>
  <c r="B261" i="23"/>
  <c r="AO260" i="23"/>
  <c r="AH260" i="23"/>
  <c r="AD260" i="23"/>
  <c r="AB260" i="23"/>
  <c r="X260" i="23"/>
  <c r="T260" i="23"/>
  <c r="P260" i="23"/>
  <c r="L260" i="23"/>
  <c r="H260" i="23"/>
  <c r="F260" i="23"/>
  <c r="G260" i="23" s="1"/>
  <c r="D260" i="23"/>
  <c r="E260" i="23" s="1"/>
  <c r="C260" i="23"/>
  <c r="B260" i="23"/>
  <c r="AO259" i="23"/>
  <c r="AH259" i="23"/>
  <c r="AD259" i="23"/>
  <c r="AB259" i="23"/>
  <c r="X259" i="23"/>
  <c r="T259" i="23"/>
  <c r="P259" i="23"/>
  <c r="L259" i="23"/>
  <c r="H259" i="23"/>
  <c r="F259" i="23"/>
  <c r="G259" i="23" s="1"/>
  <c r="D259" i="23"/>
  <c r="E259" i="23" s="1"/>
  <c r="C259" i="23"/>
  <c r="B259" i="23"/>
  <c r="AO258" i="23"/>
  <c r="AH258" i="23"/>
  <c r="AD258" i="23"/>
  <c r="AB258" i="23"/>
  <c r="X258" i="23"/>
  <c r="T258" i="23"/>
  <c r="P258" i="23"/>
  <c r="L258" i="23"/>
  <c r="H258" i="23"/>
  <c r="F258" i="23"/>
  <c r="G258" i="23" s="1"/>
  <c r="D258" i="23"/>
  <c r="E258" i="23" s="1"/>
  <c r="C258" i="23"/>
  <c r="B258" i="23"/>
  <c r="AO257" i="23"/>
  <c r="AH257" i="23"/>
  <c r="AD257" i="23"/>
  <c r="AB257" i="23"/>
  <c r="X257" i="23"/>
  <c r="T257" i="23"/>
  <c r="P257" i="23"/>
  <c r="L257" i="23"/>
  <c r="H257" i="23"/>
  <c r="F257" i="23"/>
  <c r="G257" i="23" s="1"/>
  <c r="D257" i="23"/>
  <c r="E257" i="23" s="1"/>
  <c r="C257" i="23"/>
  <c r="B257" i="23"/>
  <c r="AO256" i="23"/>
  <c r="AH256" i="23"/>
  <c r="AD256" i="23"/>
  <c r="AB256" i="23"/>
  <c r="X256" i="23"/>
  <c r="T256" i="23"/>
  <c r="P256" i="23"/>
  <c r="L256" i="23"/>
  <c r="H256" i="23"/>
  <c r="F256" i="23"/>
  <c r="G256" i="23" s="1"/>
  <c r="D256" i="23"/>
  <c r="E256" i="23" s="1"/>
  <c r="C256" i="23"/>
  <c r="B256" i="23"/>
  <c r="AO255" i="23"/>
  <c r="AH255" i="23"/>
  <c r="AD255" i="23"/>
  <c r="AB255" i="23"/>
  <c r="X255" i="23"/>
  <c r="T255" i="23"/>
  <c r="P255" i="23"/>
  <c r="L255" i="23"/>
  <c r="H255" i="23"/>
  <c r="F255" i="23"/>
  <c r="G255" i="23" s="1"/>
  <c r="D255" i="23"/>
  <c r="E255" i="23" s="1"/>
  <c r="C255" i="23"/>
  <c r="B255" i="23"/>
  <c r="AO254" i="23"/>
  <c r="AH254" i="23"/>
  <c r="AD254" i="23"/>
  <c r="AB254" i="23"/>
  <c r="X254" i="23"/>
  <c r="T254" i="23"/>
  <c r="P254" i="23"/>
  <c r="L254" i="23"/>
  <c r="H254" i="23"/>
  <c r="F254" i="23"/>
  <c r="G254" i="23" s="1"/>
  <c r="D254" i="23"/>
  <c r="E254" i="23" s="1"/>
  <c r="C254" i="23"/>
  <c r="B254" i="23"/>
  <c r="AO253" i="23"/>
  <c r="AH253" i="23"/>
  <c r="AD253" i="23"/>
  <c r="AB253" i="23"/>
  <c r="X253" i="23"/>
  <c r="T253" i="23"/>
  <c r="P253" i="23"/>
  <c r="L253" i="23"/>
  <c r="H253" i="23"/>
  <c r="F253" i="23"/>
  <c r="G253" i="23" s="1"/>
  <c r="D253" i="23"/>
  <c r="E253" i="23" s="1"/>
  <c r="C253" i="23"/>
  <c r="B253" i="23"/>
  <c r="AO252" i="23"/>
  <c r="AH252" i="23"/>
  <c r="AD252" i="23"/>
  <c r="AB252" i="23"/>
  <c r="X252" i="23"/>
  <c r="T252" i="23"/>
  <c r="P252" i="23"/>
  <c r="L252" i="23"/>
  <c r="H252" i="23"/>
  <c r="F252" i="23"/>
  <c r="G252" i="23" s="1"/>
  <c r="D252" i="23"/>
  <c r="E252" i="23" s="1"/>
  <c r="C252" i="23"/>
  <c r="B252" i="23"/>
  <c r="AO251" i="23"/>
  <c r="AH251" i="23"/>
  <c r="AD251" i="23"/>
  <c r="AB251" i="23"/>
  <c r="X251" i="23"/>
  <c r="T251" i="23"/>
  <c r="P251" i="23"/>
  <c r="L251" i="23"/>
  <c r="H251" i="23"/>
  <c r="F251" i="23"/>
  <c r="G251" i="23" s="1"/>
  <c r="D251" i="23"/>
  <c r="E251" i="23" s="1"/>
  <c r="C251" i="23"/>
  <c r="B251" i="23"/>
  <c r="AO250" i="23"/>
  <c r="AH250" i="23"/>
  <c r="AD250" i="23"/>
  <c r="AB250" i="23"/>
  <c r="X250" i="23"/>
  <c r="T250" i="23"/>
  <c r="P250" i="23"/>
  <c r="L250" i="23"/>
  <c r="H250" i="23"/>
  <c r="F250" i="23"/>
  <c r="G250" i="23" s="1"/>
  <c r="D250" i="23"/>
  <c r="E250" i="23" s="1"/>
  <c r="C250" i="23"/>
  <c r="B250" i="23"/>
  <c r="AO249" i="23"/>
  <c r="AH249" i="23"/>
  <c r="AD249" i="23"/>
  <c r="AB249" i="23"/>
  <c r="X249" i="23"/>
  <c r="T249" i="23"/>
  <c r="P249" i="23"/>
  <c r="L249" i="23"/>
  <c r="H249" i="23"/>
  <c r="F249" i="23"/>
  <c r="G249" i="23" s="1"/>
  <c r="D249" i="23"/>
  <c r="E249" i="23" s="1"/>
  <c r="C249" i="23"/>
  <c r="B249" i="23"/>
  <c r="AO248" i="23"/>
  <c r="AH248" i="23"/>
  <c r="AD248" i="23"/>
  <c r="AB248" i="23"/>
  <c r="X248" i="23"/>
  <c r="T248" i="23"/>
  <c r="P248" i="23"/>
  <c r="L248" i="23"/>
  <c r="H248" i="23"/>
  <c r="F248" i="23"/>
  <c r="G248" i="23" s="1"/>
  <c r="D248" i="23"/>
  <c r="E248" i="23" s="1"/>
  <c r="C248" i="23"/>
  <c r="B248" i="23"/>
  <c r="AO247" i="23"/>
  <c r="AH247" i="23"/>
  <c r="AD247" i="23"/>
  <c r="AB247" i="23"/>
  <c r="X247" i="23"/>
  <c r="T247" i="23"/>
  <c r="P247" i="23"/>
  <c r="L247" i="23"/>
  <c r="H247" i="23"/>
  <c r="F247" i="23"/>
  <c r="G247" i="23" s="1"/>
  <c r="D247" i="23"/>
  <c r="E247" i="23" s="1"/>
  <c r="C247" i="23"/>
  <c r="B247" i="23"/>
  <c r="AO246" i="23"/>
  <c r="AH246" i="23"/>
  <c r="AD246" i="23"/>
  <c r="AB246" i="23"/>
  <c r="X246" i="23"/>
  <c r="T246" i="23"/>
  <c r="P246" i="23"/>
  <c r="L246" i="23"/>
  <c r="H246" i="23"/>
  <c r="F246" i="23"/>
  <c r="G246" i="23" s="1"/>
  <c r="D246" i="23"/>
  <c r="E246" i="23" s="1"/>
  <c r="C246" i="23"/>
  <c r="B246" i="23"/>
  <c r="AO245" i="23"/>
  <c r="AH245" i="23"/>
  <c r="AD245" i="23"/>
  <c r="AB245" i="23"/>
  <c r="X245" i="23"/>
  <c r="T245" i="23"/>
  <c r="P245" i="23"/>
  <c r="L245" i="23"/>
  <c r="H245" i="23"/>
  <c r="F245" i="23"/>
  <c r="G245" i="23" s="1"/>
  <c r="D245" i="23"/>
  <c r="E245" i="23" s="1"/>
  <c r="C245" i="23"/>
  <c r="B245" i="23"/>
  <c r="AO244" i="23"/>
  <c r="AH244" i="23"/>
  <c r="AD244" i="23"/>
  <c r="AB244" i="23"/>
  <c r="X244" i="23"/>
  <c r="T244" i="23"/>
  <c r="P244" i="23"/>
  <c r="L244" i="23"/>
  <c r="H244" i="23"/>
  <c r="F244" i="23"/>
  <c r="G244" i="23" s="1"/>
  <c r="D244" i="23"/>
  <c r="E244" i="23" s="1"/>
  <c r="C244" i="23"/>
  <c r="B244" i="23"/>
  <c r="AO243" i="23"/>
  <c r="AH243" i="23"/>
  <c r="AD243" i="23"/>
  <c r="AB243" i="23"/>
  <c r="X243" i="23"/>
  <c r="T243" i="23"/>
  <c r="P243" i="23"/>
  <c r="L243" i="23"/>
  <c r="H243" i="23"/>
  <c r="F243" i="23"/>
  <c r="G243" i="23" s="1"/>
  <c r="D243" i="23"/>
  <c r="E243" i="23" s="1"/>
  <c r="C243" i="23"/>
  <c r="B243" i="23"/>
  <c r="AO242" i="23"/>
  <c r="AH242" i="23"/>
  <c r="AD242" i="23"/>
  <c r="AB242" i="23"/>
  <c r="X242" i="23"/>
  <c r="T242" i="23"/>
  <c r="P242" i="23"/>
  <c r="L242" i="23"/>
  <c r="H242" i="23"/>
  <c r="F242" i="23"/>
  <c r="G242" i="23" s="1"/>
  <c r="D242" i="23"/>
  <c r="E242" i="23" s="1"/>
  <c r="C242" i="23"/>
  <c r="B242" i="23"/>
  <c r="AO241" i="23"/>
  <c r="AH241" i="23"/>
  <c r="AD241" i="23"/>
  <c r="AB241" i="23"/>
  <c r="X241" i="23"/>
  <c r="T241" i="23"/>
  <c r="P241" i="23"/>
  <c r="L241" i="23"/>
  <c r="H241" i="23"/>
  <c r="F241" i="23"/>
  <c r="G241" i="23" s="1"/>
  <c r="D241" i="23"/>
  <c r="E241" i="23" s="1"/>
  <c r="C241" i="23"/>
  <c r="B241" i="23"/>
  <c r="AO240" i="23"/>
  <c r="AH240" i="23"/>
  <c r="AD240" i="23"/>
  <c r="AB240" i="23"/>
  <c r="X240" i="23"/>
  <c r="T240" i="23"/>
  <c r="P240" i="23"/>
  <c r="L240" i="23"/>
  <c r="H240" i="23"/>
  <c r="F240" i="23"/>
  <c r="G240" i="23" s="1"/>
  <c r="D240" i="23"/>
  <c r="E240" i="23" s="1"/>
  <c r="C240" i="23"/>
  <c r="B240" i="23"/>
  <c r="AO239" i="23"/>
  <c r="AH239" i="23"/>
  <c r="AD239" i="23"/>
  <c r="AB239" i="23"/>
  <c r="X239" i="23"/>
  <c r="T239" i="23"/>
  <c r="P239" i="23"/>
  <c r="L239" i="23"/>
  <c r="H239" i="23"/>
  <c r="F239" i="23"/>
  <c r="G239" i="23" s="1"/>
  <c r="D239" i="23"/>
  <c r="E239" i="23" s="1"/>
  <c r="C239" i="23"/>
  <c r="B239" i="23"/>
  <c r="AO238" i="23"/>
  <c r="AH238" i="23"/>
  <c r="AD238" i="23"/>
  <c r="AB238" i="23"/>
  <c r="X238" i="23"/>
  <c r="T238" i="23"/>
  <c r="P238" i="23"/>
  <c r="L238" i="23"/>
  <c r="H238" i="23"/>
  <c r="F238" i="23"/>
  <c r="G238" i="23" s="1"/>
  <c r="D238" i="23"/>
  <c r="E238" i="23" s="1"/>
  <c r="C238" i="23"/>
  <c r="B238" i="23"/>
  <c r="AO237" i="23"/>
  <c r="AH237" i="23"/>
  <c r="AD237" i="23"/>
  <c r="AB237" i="23"/>
  <c r="X237" i="23"/>
  <c r="T237" i="23"/>
  <c r="P237" i="23"/>
  <c r="L237" i="23"/>
  <c r="H237" i="23"/>
  <c r="F237" i="23"/>
  <c r="G237" i="23" s="1"/>
  <c r="D237" i="23"/>
  <c r="E237" i="23" s="1"/>
  <c r="C237" i="23"/>
  <c r="B237" i="23"/>
  <c r="AO236" i="23"/>
  <c r="AH236" i="23"/>
  <c r="AD236" i="23"/>
  <c r="AB236" i="23"/>
  <c r="X236" i="23"/>
  <c r="T236" i="23"/>
  <c r="P236" i="23"/>
  <c r="L236" i="23"/>
  <c r="H236" i="23"/>
  <c r="F236" i="23"/>
  <c r="G236" i="23" s="1"/>
  <c r="D236" i="23"/>
  <c r="E236" i="23" s="1"/>
  <c r="C236" i="23"/>
  <c r="B236" i="23"/>
  <c r="AO235" i="23"/>
  <c r="AH235" i="23"/>
  <c r="AD235" i="23"/>
  <c r="AB235" i="23"/>
  <c r="X235" i="23"/>
  <c r="T235" i="23"/>
  <c r="P235" i="23"/>
  <c r="L235" i="23"/>
  <c r="H235" i="23"/>
  <c r="F235" i="23"/>
  <c r="G235" i="23" s="1"/>
  <c r="D235" i="23"/>
  <c r="E235" i="23" s="1"/>
  <c r="C235" i="23"/>
  <c r="B235" i="23"/>
  <c r="AO234" i="23"/>
  <c r="AH234" i="23"/>
  <c r="AD234" i="23"/>
  <c r="AB234" i="23"/>
  <c r="X234" i="23"/>
  <c r="T234" i="23"/>
  <c r="P234" i="23"/>
  <c r="L234" i="23"/>
  <c r="H234" i="23"/>
  <c r="F234" i="23"/>
  <c r="G234" i="23" s="1"/>
  <c r="D234" i="23"/>
  <c r="E234" i="23" s="1"/>
  <c r="C234" i="23"/>
  <c r="B234" i="23"/>
  <c r="AO233" i="23"/>
  <c r="AH233" i="23"/>
  <c r="AD233" i="23"/>
  <c r="AB233" i="23"/>
  <c r="X233" i="23"/>
  <c r="T233" i="23"/>
  <c r="P233" i="23"/>
  <c r="L233" i="23"/>
  <c r="H233" i="23"/>
  <c r="F233" i="23"/>
  <c r="G233" i="23" s="1"/>
  <c r="D233" i="23"/>
  <c r="E233" i="23" s="1"/>
  <c r="C233" i="23"/>
  <c r="B233" i="23"/>
  <c r="AO232" i="23"/>
  <c r="AH232" i="23"/>
  <c r="AD232" i="23"/>
  <c r="AB232" i="23"/>
  <c r="X232" i="23"/>
  <c r="T232" i="23"/>
  <c r="P232" i="23"/>
  <c r="L232" i="23"/>
  <c r="H232" i="23"/>
  <c r="F232" i="23"/>
  <c r="G232" i="23" s="1"/>
  <c r="D232" i="23"/>
  <c r="E232" i="23" s="1"/>
  <c r="C232" i="23"/>
  <c r="B232" i="23"/>
  <c r="AO231" i="23"/>
  <c r="AH231" i="23"/>
  <c r="AD231" i="23"/>
  <c r="AB231" i="23"/>
  <c r="X231" i="23"/>
  <c r="T231" i="23"/>
  <c r="P231" i="23"/>
  <c r="L231" i="23"/>
  <c r="H231" i="23"/>
  <c r="F231" i="23"/>
  <c r="G231" i="23" s="1"/>
  <c r="D231" i="23"/>
  <c r="E231" i="23" s="1"/>
  <c r="C231" i="23"/>
  <c r="B231" i="23"/>
  <c r="AO230" i="23"/>
  <c r="AH230" i="23"/>
  <c r="AD230" i="23"/>
  <c r="AB230" i="23"/>
  <c r="X230" i="23"/>
  <c r="T230" i="23"/>
  <c r="P230" i="23"/>
  <c r="L230" i="23"/>
  <c r="H230" i="23"/>
  <c r="F230" i="23"/>
  <c r="G230" i="23" s="1"/>
  <c r="D230" i="23"/>
  <c r="E230" i="23" s="1"/>
  <c r="C230" i="23"/>
  <c r="B230" i="23"/>
  <c r="AO229" i="23"/>
  <c r="AH229" i="23"/>
  <c r="AD229" i="23"/>
  <c r="AB229" i="23"/>
  <c r="X229" i="23"/>
  <c r="T229" i="23"/>
  <c r="P229" i="23"/>
  <c r="L229" i="23"/>
  <c r="H229" i="23"/>
  <c r="F229" i="23"/>
  <c r="G229" i="23" s="1"/>
  <c r="D229" i="23"/>
  <c r="E229" i="23" s="1"/>
  <c r="C229" i="23"/>
  <c r="B229" i="23"/>
  <c r="AO228" i="23"/>
  <c r="AH228" i="23"/>
  <c r="AD228" i="23"/>
  <c r="AB228" i="23"/>
  <c r="X228" i="23"/>
  <c r="T228" i="23"/>
  <c r="P228" i="23"/>
  <c r="L228" i="23"/>
  <c r="H228" i="23"/>
  <c r="F228" i="23"/>
  <c r="G228" i="23" s="1"/>
  <c r="D228" i="23"/>
  <c r="E228" i="23" s="1"/>
  <c r="C228" i="23"/>
  <c r="B228" i="23"/>
  <c r="AO227" i="23"/>
  <c r="AH227" i="23"/>
  <c r="AD227" i="23"/>
  <c r="AB227" i="23"/>
  <c r="X227" i="23"/>
  <c r="T227" i="23"/>
  <c r="P227" i="23"/>
  <c r="L227" i="23"/>
  <c r="H227" i="23"/>
  <c r="F227" i="23"/>
  <c r="G227" i="23" s="1"/>
  <c r="D227" i="23"/>
  <c r="E227" i="23" s="1"/>
  <c r="C227" i="23"/>
  <c r="B227" i="23"/>
  <c r="AO226" i="23"/>
  <c r="AH226" i="23"/>
  <c r="AD226" i="23"/>
  <c r="AB226" i="23"/>
  <c r="X226" i="23"/>
  <c r="T226" i="23"/>
  <c r="P226" i="23"/>
  <c r="L226" i="23"/>
  <c r="H226" i="23"/>
  <c r="F226" i="23"/>
  <c r="G226" i="23" s="1"/>
  <c r="D226" i="23"/>
  <c r="E226" i="23" s="1"/>
  <c r="C226" i="23"/>
  <c r="B226" i="23"/>
  <c r="AO225" i="23"/>
  <c r="AH225" i="23"/>
  <c r="AD225" i="23"/>
  <c r="AB225" i="23"/>
  <c r="X225" i="23"/>
  <c r="T225" i="23"/>
  <c r="P225" i="23"/>
  <c r="L225" i="23"/>
  <c r="H225" i="23"/>
  <c r="F225" i="23"/>
  <c r="G225" i="23" s="1"/>
  <c r="D225" i="23"/>
  <c r="E225" i="23" s="1"/>
  <c r="C225" i="23"/>
  <c r="B225" i="23"/>
  <c r="AO224" i="23"/>
  <c r="AH224" i="23"/>
  <c r="AD224" i="23"/>
  <c r="AB224" i="23"/>
  <c r="X224" i="23"/>
  <c r="T224" i="23"/>
  <c r="P224" i="23"/>
  <c r="L224" i="23"/>
  <c r="H224" i="23"/>
  <c r="F224" i="23"/>
  <c r="G224" i="23" s="1"/>
  <c r="D224" i="23"/>
  <c r="E224" i="23" s="1"/>
  <c r="C224" i="23"/>
  <c r="B224" i="23"/>
  <c r="AO223" i="23"/>
  <c r="AH223" i="23"/>
  <c r="AD223" i="23"/>
  <c r="AB223" i="23"/>
  <c r="X223" i="23"/>
  <c r="T223" i="23"/>
  <c r="P223" i="23"/>
  <c r="L223" i="23"/>
  <c r="H223" i="23"/>
  <c r="F223" i="23"/>
  <c r="G223" i="23" s="1"/>
  <c r="D223" i="23"/>
  <c r="E223" i="23" s="1"/>
  <c r="C223" i="23"/>
  <c r="B223" i="23"/>
  <c r="AO222" i="23"/>
  <c r="AH222" i="23"/>
  <c r="AD222" i="23"/>
  <c r="AB222" i="23"/>
  <c r="X222" i="23"/>
  <c r="T222" i="23"/>
  <c r="P222" i="23"/>
  <c r="L222" i="23"/>
  <c r="H222" i="23"/>
  <c r="F222" i="23"/>
  <c r="G222" i="23" s="1"/>
  <c r="D222" i="23"/>
  <c r="E222" i="23" s="1"/>
  <c r="C222" i="23"/>
  <c r="B222" i="23"/>
  <c r="AO221" i="23"/>
  <c r="AH221" i="23"/>
  <c r="AD221" i="23"/>
  <c r="AB221" i="23"/>
  <c r="X221" i="23"/>
  <c r="T221" i="23"/>
  <c r="P221" i="23"/>
  <c r="L221" i="23"/>
  <c r="H221" i="23"/>
  <c r="F221" i="23"/>
  <c r="G221" i="23" s="1"/>
  <c r="D221" i="23"/>
  <c r="E221" i="23" s="1"/>
  <c r="C221" i="23"/>
  <c r="B221" i="23"/>
  <c r="AO220" i="23"/>
  <c r="AH220" i="23"/>
  <c r="AD220" i="23"/>
  <c r="AB220" i="23"/>
  <c r="X220" i="23"/>
  <c r="T220" i="23"/>
  <c r="P220" i="23"/>
  <c r="L220" i="23"/>
  <c r="H220" i="23"/>
  <c r="F220" i="23"/>
  <c r="G220" i="23" s="1"/>
  <c r="D220" i="23"/>
  <c r="E220" i="23" s="1"/>
  <c r="C220" i="23"/>
  <c r="B220" i="23"/>
  <c r="AO219" i="23"/>
  <c r="AH219" i="23"/>
  <c r="AD219" i="23"/>
  <c r="AB219" i="23"/>
  <c r="X219" i="23"/>
  <c r="T219" i="23"/>
  <c r="P219" i="23"/>
  <c r="L219" i="23"/>
  <c r="H219" i="23"/>
  <c r="F219" i="23"/>
  <c r="G219" i="23" s="1"/>
  <c r="D219" i="23"/>
  <c r="E219" i="23" s="1"/>
  <c r="C219" i="23"/>
  <c r="B219" i="23"/>
  <c r="AO218" i="23"/>
  <c r="AH218" i="23"/>
  <c r="AD218" i="23"/>
  <c r="AB218" i="23"/>
  <c r="X218" i="23"/>
  <c r="T218" i="23"/>
  <c r="P218" i="23"/>
  <c r="L218" i="23"/>
  <c r="H218" i="23"/>
  <c r="F218" i="23"/>
  <c r="G218" i="23" s="1"/>
  <c r="D218" i="23"/>
  <c r="E218" i="23" s="1"/>
  <c r="C218" i="23"/>
  <c r="B218" i="23"/>
  <c r="AO217" i="23"/>
  <c r="AH217" i="23"/>
  <c r="AD217" i="23"/>
  <c r="AB217" i="23"/>
  <c r="X217" i="23"/>
  <c r="T217" i="23"/>
  <c r="P217" i="23"/>
  <c r="L217" i="23"/>
  <c r="H217" i="23"/>
  <c r="F217" i="23"/>
  <c r="G217" i="23" s="1"/>
  <c r="D217" i="23"/>
  <c r="E217" i="23" s="1"/>
  <c r="C217" i="23"/>
  <c r="B217" i="23"/>
  <c r="AO216" i="23"/>
  <c r="AH216" i="23"/>
  <c r="AD216" i="23"/>
  <c r="AB216" i="23"/>
  <c r="X216" i="23"/>
  <c r="T216" i="23"/>
  <c r="P216" i="23"/>
  <c r="L216" i="23"/>
  <c r="H216" i="23"/>
  <c r="F216" i="23"/>
  <c r="G216" i="23" s="1"/>
  <c r="D216" i="23"/>
  <c r="E216" i="23" s="1"/>
  <c r="C216" i="23"/>
  <c r="B216" i="23"/>
  <c r="AO215" i="23"/>
  <c r="AH215" i="23"/>
  <c r="AD215" i="23"/>
  <c r="AB215" i="23"/>
  <c r="X215" i="23"/>
  <c r="T215" i="23"/>
  <c r="P215" i="23"/>
  <c r="L215" i="23"/>
  <c r="H215" i="23"/>
  <c r="F215" i="23"/>
  <c r="G215" i="23" s="1"/>
  <c r="D215" i="23"/>
  <c r="E215" i="23" s="1"/>
  <c r="C215" i="23"/>
  <c r="B215" i="23"/>
  <c r="AO214" i="23"/>
  <c r="AH214" i="23"/>
  <c r="AD214" i="23"/>
  <c r="AB214" i="23"/>
  <c r="X214" i="23"/>
  <c r="T214" i="23"/>
  <c r="P214" i="23"/>
  <c r="L214" i="23"/>
  <c r="H214" i="23"/>
  <c r="F214" i="23"/>
  <c r="G214" i="23" s="1"/>
  <c r="D214" i="23"/>
  <c r="E214" i="23" s="1"/>
  <c r="C214" i="23"/>
  <c r="B214" i="23"/>
  <c r="AO213" i="23"/>
  <c r="AH213" i="23"/>
  <c r="AD213" i="23"/>
  <c r="AB213" i="23"/>
  <c r="X213" i="23"/>
  <c r="T213" i="23"/>
  <c r="P213" i="23"/>
  <c r="L213" i="23"/>
  <c r="H213" i="23"/>
  <c r="F213" i="23"/>
  <c r="G213" i="23" s="1"/>
  <c r="D213" i="23"/>
  <c r="E213" i="23" s="1"/>
  <c r="C213" i="23"/>
  <c r="B213" i="23"/>
  <c r="AO212" i="23"/>
  <c r="AH212" i="23"/>
  <c r="AD212" i="23"/>
  <c r="AB212" i="23"/>
  <c r="X212" i="23"/>
  <c r="T212" i="23"/>
  <c r="P212" i="23"/>
  <c r="L212" i="23"/>
  <c r="H212" i="23"/>
  <c r="F212" i="23"/>
  <c r="G212" i="23" s="1"/>
  <c r="D212" i="23"/>
  <c r="E212" i="23" s="1"/>
  <c r="C212" i="23"/>
  <c r="B212" i="23"/>
  <c r="AO211" i="23"/>
  <c r="AH211" i="23"/>
  <c r="AD211" i="23"/>
  <c r="AB211" i="23"/>
  <c r="X211" i="23"/>
  <c r="T211" i="23"/>
  <c r="P211" i="23"/>
  <c r="L211" i="23"/>
  <c r="H211" i="23"/>
  <c r="F211" i="23"/>
  <c r="G211" i="23" s="1"/>
  <c r="D211" i="23"/>
  <c r="E211" i="23" s="1"/>
  <c r="C211" i="23"/>
  <c r="B211" i="23"/>
  <c r="AO210" i="23"/>
  <c r="AH210" i="23"/>
  <c r="AD210" i="23"/>
  <c r="AB210" i="23"/>
  <c r="X210" i="23"/>
  <c r="T210" i="23"/>
  <c r="P210" i="23"/>
  <c r="L210" i="23"/>
  <c r="H210" i="23"/>
  <c r="F210" i="23"/>
  <c r="G210" i="23" s="1"/>
  <c r="D210" i="23"/>
  <c r="E210" i="23" s="1"/>
  <c r="C210" i="23"/>
  <c r="B210" i="23"/>
  <c r="AO209" i="23"/>
  <c r="AH209" i="23"/>
  <c r="AD209" i="23"/>
  <c r="AB209" i="23"/>
  <c r="X209" i="23"/>
  <c r="T209" i="23"/>
  <c r="P209" i="23"/>
  <c r="L209" i="23"/>
  <c r="H209" i="23"/>
  <c r="F209" i="23"/>
  <c r="G209" i="23" s="1"/>
  <c r="D209" i="23"/>
  <c r="E209" i="23" s="1"/>
  <c r="C209" i="23"/>
  <c r="B209" i="23"/>
  <c r="AO208" i="23"/>
  <c r="AH208" i="23"/>
  <c r="AD208" i="23"/>
  <c r="AB208" i="23"/>
  <c r="X208" i="23"/>
  <c r="T208" i="23"/>
  <c r="P208" i="23"/>
  <c r="L208" i="23"/>
  <c r="H208" i="23"/>
  <c r="F208" i="23"/>
  <c r="G208" i="23" s="1"/>
  <c r="D208" i="23"/>
  <c r="E208" i="23" s="1"/>
  <c r="C208" i="23"/>
  <c r="B208" i="23"/>
  <c r="AO207" i="23"/>
  <c r="AH207" i="23"/>
  <c r="AD207" i="23"/>
  <c r="AB207" i="23"/>
  <c r="X207" i="23"/>
  <c r="T207" i="23"/>
  <c r="P207" i="23"/>
  <c r="L207" i="23"/>
  <c r="H207" i="23"/>
  <c r="F207" i="23"/>
  <c r="G207" i="23" s="1"/>
  <c r="D207" i="23"/>
  <c r="E207" i="23" s="1"/>
  <c r="C207" i="23"/>
  <c r="B207" i="23"/>
  <c r="AO206" i="23"/>
  <c r="AH206" i="23"/>
  <c r="AD206" i="23"/>
  <c r="AB206" i="23"/>
  <c r="X206" i="23"/>
  <c r="T206" i="23"/>
  <c r="P206" i="23"/>
  <c r="L206" i="23"/>
  <c r="H206" i="23"/>
  <c r="F206" i="23"/>
  <c r="G206" i="23" s="1"/>
  <c r="D206" i="23"/>
  <c r="E206" i="23" s="1"/>
  <c r="C206" i="23"/>
  <c r="B206" i="23"/>
  <c r="AO205" i="23"/>
  <c r="AH205" i="23"/>
  <c r="AD205" i="23"/>
  <c r="AB205" i="23"/>
  <c r="X205" i="23"/>
  <c r="T205" i="23"/>
  <c r="P205" i="23"/>
  <c r="L205" i="23"/>
  <c r="H205" i="23"/>
  <c r="F205" i="23"/>
  <c r="G205" i="23" s="1"/>
  <c r="D205" i="23"/>
  <c r="E205" i="23" s="1"/>
  <c r="C205" i="23"/>
  <c r="B205" i="23"/>
  <c r="AO204" i="23"/>
  <c r="AH204" i="23"/>
  <c r="AD204" i="23"/>
  <c r="AB204" i="23"/>
  <c r="X204" i="23"/>
  <c r="T204" i="23"/>
  <c r="P204" i="23"/>
  <c r="L204" i="23"/>
  <c r="H204" i="23"/>
  <c r="F204" i="23"/>
  <c r="G204" i="23" s="1"/>
  <c r="D204" i="23"/>
  <c r="E204" i="23" s="1"/>
  <c r="C204" i="23"/>
  <c r="B204" i="23"/>
  <c r="AO203" i="23"/>
  <c r="AH203" i="23"/>
  <c r="AD203" i="23"/>
  <c r="AB203" i="23"/>
  <c r="X203" i="23"/>
  <c r="T203" i="23"/>
  <c r="P203" i="23"/>
  <c r="L203" i="23"/>
  <c r="H203" i="23"/>
  <c r="F203" i="23"/>
  <c r="G203" i="23" s="1"/>
  <c r="D203" i="23"/>
  <c r="E203" i="23" s="1"/>
  <c r="C203" i="23"/>
  <c r="B203" i="23"/>
  <c r="AO202" i="23"/>
  <c r="AH202" i="23"/>
  <c r="AD202" i="23"/>
  <c r="AB202" i="23"/>
  <c r="X202" i="23"/>
  <c r="T202" i="23"/>
  <c r="P202" i="23"/>
  <c r="L202" i="23"/>
  <c r="H202" i="23"/>
  <c r="F202" i="23"/>
  <c r="G202" i="23" s="1"/>
  <c r="D202" i="23"/>
  <c r="E202" i="23" s="1"/>
  <c r="C202" i="23"/>
  <c r="B202" i="23"/>
  <c r="AO201" i="23"/>
  <c r="AH201" i="23"/>
  <c r="AD201" i="23"/>
  <c r="AB201" i="23"/>
  <c r="X201" i="23"/>
  <c r="T201" i="23"/>
  <c r="P201" i="23"/>
  <c r="L201" i="23"/>
  <c r="H201" i="23"/>
  <c r="F201" i="23"/>
  <c r="G201" i="23" s="1"/>
  <c r="D201" i="23"/>
  <c r="E201" i="23" s="1"/>
  <c r="C201" i="23"/>
  <c r="B201" i="23"/>
  <c r="AO200" i="23"/>
  <c r="AH200" i="23"/>
  <c r="AD200" i="23"/>
  <c r="AB200" i="23"/>
  <c r="X200" i="23"/>
  <c r="T200" i="23"/>
  <c r="P200" i="23"/>
  <c r="L200" i="23"/>
  <c r="H200" i="23"/>
  <c r="F200" i="23"/>
  <c r="G200" i="23" s="1"/>
  <c r="D200" i="23"/>
  <c r="E200" i="23" s="1"/>
  <c r="C200" i="23"/>
  <c r="B200" i="23"/>
  <c r="AO199" i="23"/>
  <c r="AH199" i="23"/>
  <c r="AD199" i="23"/>
  <c r="AB199" i="23"/>
  <c r="X199" i="23"/>
  <c r="T199" i="23"/>
  <c r="P199" i="23"/>
  <c r="L199" i="23"/>
  <c r="H199" i="23"/>
  <c r="F199" i="23"/>
  <c r="G199" i="23" s="1"/>
  <c r="D199" i="23"/>
  <c r="E199" i="23" s="1"/>
  <c r="C199" i="23"/>
  <c r="B199" i="23"/>
  <c r="AO198" i="23"/>
  <c r="AH198" i="23"/>
  <c r="AD198" i="23"/>
  <c r="AB198" i="23"/>
  <c r="X198" i="23"/>
  <c r="T198" i="23"/>
  <c r="P198" i="23"/>
  <c r="L198" i="23"/>
  <c r="H198" i="23"/>
  <c r="F198" i="23"/>
  <c r="G198" i="23" s="1"/>
  <c r="D198" i="23"/>
  <c r="E198" i="23" s="1"/>
  <c r="C198" i="23"/>
  <c r="B198" i="23"/>
  <c r="AO197" i="23"/>
  <c r="AH197" i="23"/>
  <c r="AD197" i="23"/>
  <c r="AB197" i="23"/>
  <c r="X197" i="23"/>
  <c r="T197" i="23"/>
  <c r="P197" i="23"/>
  <c r="L197" i="23"/>
  <c r="H197" i="23"/>
  <c r="F197" i="23"/>
  <c r="G197" i="23" s="1"/>
  <c r="D197" i="23"/>
  <c r="E197" i="23" s="1"/>
  <c r="C197" i="23"/>
  <c r="B197" i="23"/>
  <c r="AO196" i="23"/>
  <c r="AH196" i="23"/>
  <c r="AD196" i="23"/>
  <c r="AB196" i="23"/>
  <c r="X196" i="23"/>
  <c r="T196" i="23"/>
  <c r="P196" i="23"/>
  <c r="L196" i="23"/>
  <c r="H196" i="23"/>
  <c r="F196" i="23"/>
  <c r="G196" i="23" s="1"/>
  <c r="D196" i="23"/>
  <c r="E196" i="23" s="1"/>
  <c r="C196" i="23"/>
  <c r="B196" i="23"/>
  <c r="AO195" i="23"/>
  <c r="AH195" i="23"/>
  <c r="AD195" i="23"/>
  <c r="AB195" i="23"/>
  <c r="X195" i="23"/>
  <c r="T195" i="23"/>
  <c r="P195" i="23"/>
  <c r="L195" i="23"/>
  <c r="H195" i="23"/>
  <c r="F195" i="23"/>
  <c r="G195" i="23" s="1"/>
  <c r="D195" i="23"/>
  <c r="E195" i="23" s="1"/>
  <c r="C195" i="23"/>
  <c r="B195" i="23"/>
  <c r="AO194" i="23"/>
  <c r="AH194" i="23"/>
  <c r="AD194" i="23"/>
  <c r="AB194" i="23"/>
  <c r="X194" i="23"/>
  <c r="T194" i="23"/>
  <c r="P194" i="23"/>
  <c r="L194" i="23"/>
  <c r="H194" i="23"/>
  <c r="F194" i="23"/>
  <c r="G194" i="23" s="1"/>
  <c r="D194" i="23"/>
  <c r="E194" i="23" s="1"/>
  <c r="C194" i="23"/>
  <c r="B194" i="23"/>
  <c r="AO193" i="23"/>
  <c r="AH193" i="23"/>
  <c r="AD193" i="23"/>
  <c r="AB193" i="23"/>
  <c r="X193" i="23"/>
  <c r="T193" i="23"/>
  <c r="P193" i="23"/>
  <c r="L193" i="23"/>
  <c r="H193" i="23"/>
  <c r="F193" i="23"/>
  <c r="G193" i="23" s="1"/>
  <c r="D193" i="23"/>
  <c r="E193" i="23" s="1"/>
  <c r="C193" i="23"/>
  <c r="B193" i="23"/>
  <c r="AO192" i="23"/>
  <c r="AH192" i="23"/>
  <c r="AD192" i="23"/>
  <c r="AB192" i="23"/>
  <c r="X192" i="23"/>
  <c r="T192" i="23"/>
  <c r="P192" i="23"/>
  <c r="L192" i="23"/>
  <c r="H192" i="23"/>
  <c r="F192" i="23"/>
  <c r="G192" i="23" s="1"/>
  <c r="D192" i="23"/>
  <c r="E192" i="23" s="1"/>
  <c r="C192" i="23"/>
  <c r="B192" i="23"/>
  <c r="AO191" i="23"/>
  <c r="AH191" i="23"/>
  <c r="AD191" i="23"/>
  <c r="AB191" i="23"/>
  <c r="X191" i="23"/>
  <c r="T191" i="23"/>
  <c r="P191" i="23"/>
  <c r="L191" i="23"/>
  <c r="H191" i="23"/>
  <c r="F191" i="23"/>
  <c r="G191" i="23" s="1"/>
  <c r="D191" i="23"/>
  <c r="E191" i="23" s="1"/>
  <c r="C191" i="23"/>
  <c r="B191" i="23"/>
  <c r="AO190" i="23"/>
  <c r="AH190" i="23"/>
  <c r="AD190" i="23"/>
  <c r="AB190" i="23"/>
  <c r="X190" i="23"/>
  <c r="T190" i="23"/>
  <c r="P190" i="23"/>
  <c r="L190" i="23"/>
  <c r="H190" i="23"/>
  <c r="F190" i="23"/>
  <c r="G190" i="23" s="1"/>
  <c r="D190" i="23"/>
  <c r="E190" i="23" s="1"/>
  <c r="C190" i="23"/>
  <c r="B190" i="23"/>
  <c r="AO189" i="23"/>
  <c r="AH189" i="23"/>
  <c r="AD189" i="23"/>
  <c r="AB189" i="23"/>
  <c r="X189" i="23"/>
  <c r="T189" i="23"/>
  <c r="P189" i="23"/>
  <c r="L189" i="23"/>
  <c r="H189" i="23"/>
  <c r="F189" i="23"/>
  <c r="G189" i="23" s="1"/>
  <c r="D189" i="23"/>
  <c r="E189" i="23" s="1"/>
  <c r="C189" i="23"/>
  <c r="B189" i="23"/>
  <c r="AO188" i="23"/>
  <c r="AH188" i="23"/>
  <c r="AD188" i="23"/>
  <c r="AB188" i="23"/>
  <c r="X188" i="23"/>
  <c r="T188" i="23"/>
  <c r="P188" i="23"/>
  <c r="L188" i="23"/>
  <c r="H188" i="23"/>
  <c r="F188" i="23"/>
  <c r="G188" i="23" s="1"/>
  <c r="D188" i="23"/>
  <c r="E188" i="23" s="1"/>
  <c r="C188" i="23"/>
  <c r="B188" i="23"/>
  <c r="AO187" i="23"/>
  <c r="AH187" i="23"/>
  <c r="AD187" i="23"/>
  <c r="AB187" i="23"/>
  <c r="X187" i="23"/>
  <c r="T187" i="23"/>
  <c r="P187" i="23"/>
  <c r="L187" i="23"/>
  <c r="H187" i="23"/>
  <c r="F187" i="23"/>
  <c r="G187" i="23" s="1"/>
  <c r="D187" i="23"/>
  <c r="E187" i="23" s="1"/>
  <c r="C187" i="23"/>
  <c r="B187" i="23"/>
  <c r="AO186" i="23"/>
  <c r="AH186" i="23"/>
  <c r="AD186" i="23"/>
  <c r="AB186" i="23"/>
  <c r="X186" i="23"/>
  <c r="T186" i="23"/>
  <c r="P186" i="23"/>
  <c r="L186" i="23"/>
  <c r="H186" i="23"/>
  <c r="F186" i="23"/>
  <c r="G186" i="23" s="1"/>
  <c r="D186" i="23"/>
  <c r="E186" i="23" s="1"/>
  <c r="C186" i="23"/>
  <c r="B186" i="23"/>
  <c r="AO185" i="23"/>
  <c r="AH185" i="23"/>
  <c r="AD185" i="23"/>
  <c r="AB185" i="23"/>
  <c r="X185" i="23"/>
  <c r="T185" i="23"/>
  <c r="P185" i="23"/>
  <c r="L185" i="23"/>
  <c r="H185" i="23"/>
  <c r="F185" i="23"/>
  <c r="G185" i="23" s="1"/>
  <c r="D185" i="23"/>
  <c r="E185" i="23" s="1"/>
  <c r="C185" i="23"/>
  <c r="B185" i="23"/>
  <c r="AO184" i="23"/>
  <c r="AH184" i="23"/>
  <c r="AD184" i="23"/>
  <c r="AB184" i="23"/>
  <c r="X184" i="23"/>
  <c r="T184" i="23"/>
  <c r="P184" i="23"/>
  <c r="L184" i="23"/>
  <c r="H184" i="23"/>
  <c r="F184" i="23"/>
  <c r="G184" i="23" s="1"/>
  <c r="D184" i="23"/>
  <c r="E184" i="23" s="1"/>
  <c r="C184" i="23"/>
  <c r="B184" i="23"/>
  <c r="AO183" i="23"/>
  <c r="AH183" i="23"/>
  <c r="AD183" i="23"/>
  <c r="AB183" i="23"/>
  <c r="X183" i="23"/>
  <c r="T183" i="23"/>
  <c r="P183" i="23"/>
  <c r="L183" i="23"/>
  <c r="H183" i="23"/>
  <c r="F183" i="23"/>
  <c r="G183" i="23" s="1"/>
  <c r="D183" i="23"/>
  <c r="E183" i="23" s="1"/>
  <c r="C183" i="23"/>
  <c r="B183" i="23"/>
  <c r="AO182" i="23"/>
  <c r="AH182" i="23"/>
  <c r="AD182" i="23"/>
  <c r="AB182" i="23"/>
  <c r="X182" i="23"/>
  <c r="T182" i="23"/>
  <c r="P182" i="23"/>
  <c r="L182" i="23"/>
  <c r="H182" i="23"/>
  <c r="F182" i="23"/>
  <c r="G182" i="23" s="1"/>
  <c r="D182" i="23"/>
  <c r="E182" i="23" s="1"/>
  <c r="C182" i="23"/>
  <c r="B182" i="23"/>
  <c r="AO181" i="23"/>
  <c r="AH181" i="23"/>
  <c r="AD181" i="23"/>
  <c r="AB181" i="23"/>
  <c r="X181" i="23"/>
  <c r="T181" i="23"/>
  <c r="P181" i="23"/>
  <c r="L181" i="23"/>
  <c r="H181" i="23"/>
  <c r="F181" i="23"/>
  <c r="G181" i="23" s="1"/>
  <c r="D181" i="23"/>
  <c r="E181" i="23" s="1"/>
  <c r="C181" i="23"/>
  <c r="B181" i="23"/>
  <c r="AO180" i="23"/>
  <c r="AH180" i="23"/>
  <c r="AD180" i="23"/>
  <c r="AB180" i="23"/>
  <c r="X180" i="23"/>
  <c r="T180" i="23"/>
  <c r="P180" i="23"/>
  <c r="L180" i="23"/>
  <c r="H180" i="23"/>
  <c r="F180" i="23"/>
  <c r="G180" i="23" s="1"/>
  <c r="D180" i="23"/>
  <c r="E180" i="23" s="1"/>
  <c r="C180" i="23"/>
  <c r="B180" i="23"/>
  <c r="AO179" i="23"/>
  <c r="AH179" i="23"/>
  <c r="AD179" i="23"/>
  <c r="AB179" i="23"/>
  <c r="X179" i="23"/>
  <c r="T179" i="23"/>
  <c r="P179" i="23"/>
  <c r="L179" i="23"/>
  <c r="H179" i="23"/>
  <c r="F179" i="23"/>
  <c r="G179" i="23" s="1"/>
  <c r="D179" i="23"/>
  <c r="E179" i="23" s="1"/>
  <c r="C179" i="23"/>
  <c r="B179" i="23"/>
  <c r="AO178" i="23"/>
  <c r="AH178" i="23"/>
  <c r="AD178" i="23"/>
  <c r="AB178" i="23"/>
  <c r="X178" i="23"/>
  <c r="T178" i="23"/>
  <c r="P178" i="23"/>
  <c r="L178" i="23"/>
  <c r="H178" i="23"/>
  <c r="F178" i="23"/>
  <c r="G178" i="23" s="1"/>
  <c r="D178" i="23"/>
  <c r="E178" i="23" s="1"/>
  <c r="C178" i="23"/>
  <c r="B178" i="23"/>
  <c r="AO177" i="23"/>
  <c r="AH177" i="23"/>
  <c r="AD177" i="23"/>
  <c r="AB177" i="23"/>
  <c r="X177" i="23"/>
  <c r="T177" i="23"/>
  <c r="P177" i="23"/>
  <c r="L177" i="23"/>
  <c r="H177" i="23"/>
  <c r="F177" i="23"/>
  <c r="G177" i="23" s="1"/>
  <c r="D177" i="23"/>
  <c r="E177" i="23" s="1"/>
  <c r="C177" i="23"/>
  <c r="B177" i="23"/>
  <c r="AO176" i="23"/>
  <c r="AH176" i="23"/>
  <c r="AD176" i="23"/>
  <c r="AB176" i="23"/>
  <c r="X176" i="23"/>
  <c r="T176" i="23"/>
  <c r="P176" i="23"/>
  <c r="L176" i="23"/>
  <c r="H176" i="23"/>
  <c r="F176" i="23"/>
  <c r="G176" i="23" s="1"/>
  <c r="D176" i="23"/>
  <c r="E176" i="23" s="1"/>
  <c r="C176" i="23"/>
  <c r="B176" i="23"/>
  <c r="AO175" i="23"/>
  <c r="AH175" i="23"/>
  <c r="AD175" i="23"/>
  <c r="AB175" i="23"/>
  <c r="X175" i="23"/>
  <c r="T175" i="23"/>
  <c r="P175" i="23"/>
  <c r="L175" i="23"/>
  <c r="H175" i="23"/>
  <c r="F175" i="23"/>
  <c r="G175" i="23" s="1"/>
  <c r="D175" i="23"/>
  <c r="E175" i="23" s="1"/>
  <c r="C175" i="23"/>
  <c r="B175" i="23"/>
  <c r="AO174" i="23"/>
  <c r="AH174" i="23"/>
  <c r="AD174" i="23"/>
  <c r="AB174" i="23"/>
  <c r="X174" i="23"/>
  <c r="T174" i="23"/>
  <c r="P174" i="23"/>
  <c r="L174" i="23"/>
  <c r="H174" i="23"/>
  <c r="F174" i="23"/>
  <c r="G174" i="23" s="1"/>
  <c r="D174" i="23"/>
  <c r="E174" i="23" s="1"/>
  <c r="C174" i="23"/>
  <c r="B174" i="23"/>
  <c r="AO173" i="23"/>
  <c r="AH173" i="23"/>
  <c r="AD173" i="23"/>
  <c r="AB173" i="23"/>
  <c r="X173" i="23"/>
  <c r="T173" i="23"/>
  <c r="P173" i="23"/>
  <c r="L173" i="23"/>
  <c r="H173" i="23"/>
  <c r="F173" i="23"/>
  <c r="G173" i="23" s="1"/>
  <c r="D173" i="23"/>
  <c r="E173" i="23" s="1"/>
  <c r="C173" i="23"/>
  <c r="B173" i="23"/>
  <c r="AO172" i="23"/>
  <c r="AH172" i="23"/>
  <c r="AD172" i="23"/>
  <c r="AB172" i="23"/>
  <c r="X172" i="23"/>
  <c r="T172" i="23"/>
  <c r="P172" i="23"/>
  <c r="L172" i="23"/>
  <c r="H172" i="23"/>
  <c r="F172" i="23"/>
  <c r="G172" i="23" s="1"/>
  <c r="D172" i="23"/>
  <c r="E172" i="23" s="1"/>
  <c r="C172" i="23"/>
  <c r="B172" i="23"/>
  <c r="AO171" i="23"/>
  <c r="AH171" i="23"/>
  <c r="AD171" i="23"/>
  <c r="AB171" i="23"/>
  <c r="X171" i="23"/>
  <c r="T171" i="23"/>
  <c r="P171" i="23"/>
  <c r="L171" i="23"/>
  <c r="H171" i="23"/>
  <c r="F171" i="23"/>
  <c r="G171" i="23" s="1"/>
  <c r="D171" i="23"/>
  <c r="E171" i="23" s="1"/>
  <c r="C171" i="23"/>
  <c r="B171" i="23"/>
  <c r="AO170" i="23"/>
  <c r="AH170" i="23"/>
  <c r="AD170" i="23"/>
  <c r="AB170" i="23"/>
  <c r="X170" i="23"/>
  <c r="T170" i="23"/>
  <c r="P170" i="23"/>
  <c r="L170" i="23"/>
  <c r="H170" i="23"/>
  <c r="F170" i="23"/>
  <c r="G170" i="23" s="1"/>
  <c r="D170" i="23"/>
  <c r="E170" i="23" s="1"/>
  <c r="C170" i="23"/>
  <c r="B170" i="23"/>
  <c r="AO169" i="23"/>
  <c r="AH169" i="23"/>
  <c r="AD169" i="23"/>
  <c r="AB169" i="23"/>
  <c r="X169" i="23"/>
  <c r="T169" i="23"/>
  <c r="P169" i="23"/>
  <c r="L169" i="23"/>
  <c r="H169" i="23"/>
  <c r="F169" i="23"/>
  <c r="G169" i="23" s="1"/>
  <c r="D169" i="23"/>
  <c r="E169" i="23" s="1"/>
  <c r="C169" i="23"/>
  <c r="B169" i="23"/>
  <c r="AO168" i="23"/>
  <c r="AH168" i="23"/>
  <c r="AD168" i="23"/>
  <c r="AB168" i="23"/>
  <c r="X168" i="23"/>
  <c r="T168" i="23"/>
  <c r="P168" i="23"/>
  <c r="L168" i="23"/>
  <c r="H168" i="23"/>
  <c r="F168" i="23"/>
  <c r="G168" i="23" s="1"/>
  <c r="D168" i="23"/>
  <c r="E168" i="23" s="1"/>
  <c r="C168" i="23"/>
  <c r="B168" i="23"/>
  <c r="AO167" i="23"/>
  <c r="AH167" i="23"/>
  <c r="AD167" i="23"/>
  <c r="AB167" i="23"/>
  <c r="X167" i="23"/>
  <c r="T167" i="23"/>
  <c r="P167" i="23"/>
  <c r="L167" i="23"/>
  <c r="H167" i="23"/>
  <c r="F167" i="23"/>
  <c r="G167" i="23" s="1"/>
  <c r="D167" i="23"/>
  <c r="E167" i="23" s="1"/>
  <c r="C167" i="23"/>
  <c r="B167" i="23"/>
  <c r="AO166" i="23"/>
  <c r="AH166" i="23"/>
  <c r="AD166" i="23"/>
  <c r="AB166" i="23"/>
  <c r="X166" i="23"/>
  <c r="T166" i="23"/>
  <c r="P166" i="23"/>
  <c r="L166" i="23"/>
  <c r="H166" i="23"/>
  <c r="F166" i="23"/>
  <c r="G166" i="23" s="1"/>
  <c r="D166" i="23"/>
  <c r="E166" i="23" s="1"/>
  <c r="C166" i="23"/>
  <c r="B166" i="23"/>
  <c r="AO165" i="23"/>
  <c r="AH165" i="23"/>
  <c r="AD165" i="23"/>
  <c r="AB165" i="23"/>
  <c r="X165" i="23"/>
  <c r="T165" i="23"/>
  <c r="P165" i="23"/>
  <c r="L165" i="23"/>
  <c r="H165" i="23"/>
  <c r="F165" i="23"/>
  <c r="G165" i="23" s="1"/>
  <c r="D165" i="23"/>
  <c r="E165" i="23" s="1"/>
  <c r="C165" i="23"/>
  <c r="B165" i="23"/>
  <c r="AO164" i="23"/>
  <c r="AH164" i="23"/>
  <c r="AD164" i="23"/>
  <c r="AB164" i="23"/>
  <c r="X164" i="23"/>
  <c r="T164" i="23"/>
  <c r="P164" i="23"/>
  <c r="L164" i="23"/>
  <c r="H164" i="23"/>
  <c r="F164" i="23"/>
  <c r="G164" i="23" s="1"/>
  <c r="D164" i="23"/>
  <c r="E164" i="23" s="1"/>
  <c r="C164" i="23"/>
  <c r="B164" i="23"/>
  <c r="AO163" i="23"/>
  <c r="AH163" i="23"/>
  <c r="AD163" i="23"/>
  <c r="AB163" i="23"/>
  <c r="X163" i="23"/>
  <c r="T163" i="23"/>
  <c r="P163" i="23"/>
  <c r="L163" i="23"/>
  <c r="H163" i="23"/>
  <c r="F163" i="23"/>
  <c r="G163" i="23" s="1"/>
  <c r="D163" i="23"/>
  <c r="E163" i="23" s="1"/>
  <c r="C163" i="23"/>
  <c r="B163" i="23"/>
  <c r="AO162" i="23"/>
  <c r="AH162" i="23"/>
  <c r="AD162" i="23"/>
  <c r="AB162" i="23"/>
  <c r="X162" i="23"/>
  <c r="T162" i="23"/>
  <c r="P162" i="23"/>
  <c r="L162" i="23"/>
  <c r="H162" i="23"/>
  <c r="F162" i="23"/>
  <c r="G162" i="23" s="1"/>
  <c r="D162" i="23"/>
  <c r="E162" i="23" s="1"/>
  <c r="C162" i="23"/>
  <c r="B162" i="23"/>
  <c r="AO161" i="23"/>
  <c r="AH161" i="23"/>
  <c r="AD161" i="23"/>
  <c r="AB161" i="23"/>
  <c r="X161" i="23"/>
  <c r="T161" i="23"/>
  <c r="P161" i="23"/>
  <c r="L161" i="23"/>
  <c r="H161" i="23"/>
  <c r="F161" i="23"/>
  <c r="G161" i="23" s="1"/>
  <c r="D161" i="23"/>
  <c r="E161" i="23" s="1"/>
  <c r="C161" i="23"/>
  <c r="B161" i="23"/>
  <c r="AO160" i="23"/>
  <c r="AH160" i="23"/>
  <c r="AD160" i="23"/>
  <c r="AB160" i="23"/>
  <c r="X160" i="23"/>
  <c r="T160" i="23"/>
  <c r="P160" i="23"/>
  <c r="L160" i="23"/>
  <c r="H160" i="23"/>
  <c r="F160" i="23"/>
  <c r="G160" i="23" s="1"/>
  <c r="D160" i="23"/>
  <c r="E160" i="23" s="1"/>
  <c r="C160" i="23"/>
  <c r="B160" i="23"/>
  <c r="AO159" i="23"/>
  <c r="AH159" i="23"/>
  <c r="AD159" i="23"/>
  <c r="AB159" i="23"/>
  <c r="X159" i="23"/>
  <c r="T159" i="23"/>
  <c r="P159" i="23"/>
  <c r="L159" i="23"/>
  <c r="H159" i="23"/>
  <c r="F159" i="23"/>
  <c r="G159" i="23" s="1"/>
  <c r="D159" i="23"/>
  <c r="E159" i="23" s="1"/>
  <c r="C159" i="23"/>
  <c r="B159" i="23"/>
  <c r="AO158" i="23"/>
  <c r="AH158" i="23"/>
  <c r="AD158" i="23"/>
  <c r="AB158" i="23"/>
  <c r="X158" i="23"/>
  <c r="T158" i="23"/>
  <c r="P158" i="23"/>
  <c r="L158" i="23"/>
  <c r="H158" i="23"/>
  <c r="F158" i="23"/>
  <c r="G158" i="23" s="1"/>
  <c r="D158" i="23"/>
  <c r="E158" i="23" s="1"/>
  <c r="C158" i="23"/>
  <c r="B158" i="23"/>
  <c r="AO157" i="23"/>
  <c r="AH157" i="23"/>
  <c r="AD157" i="23"/>
  <c r="AB157" i="23"/>
  <c r="X157" i="23"/>
  <c r="T157" i="23"/>
  <c r="P157" i="23"/>
  <c r="L157" i="23"/>
  <c r="H157" i="23"/>
  <c r="F157" i="23"/>
  <c r="G157" i="23" s="1"/>
  <c r="D157" i="23"/>
  <c r="E157" i="23" s="1"/>
  <c r="C157" i="23"/>
  <c r="B157" i="23"/>
  <c r="AO156" i="23"/>
  <c r="AH156" i="23"/>
  <c r="AD156" i="23"/>
  <c r="AB156" i="23"/>
  <c r="X156" i="23"/>
  <c r="T156" i="23"/>
  <c r="P156" i="23"/>
  <c r="L156" i="23"/>
  <c r="H156" i="23"/>
  <c r="F156" i="23"/>
  <c r="G156" i="23" s="1"/>
  <c r="D156" i="23"/>
  <c r="E156" i="23" s="1"/>
  <c r="C156" i="23"/>
  <c r="B156" i="23"/>
  <c r="AO155" i="23"/>
  <c r="AH155" i="23"/>
  <c r="AD155" i="23"/>
  <c r="AB155" i="23"/>
  <c r="X155" i="23"/>
  <c r="T155" i="23"/>
  <c r="P155" i="23"/>
  <c r="L155" i="23"/>
  <c r="H155" i="23"/>
  <c r="F155" i="23"/>
  <c r="G155" i="23" s="1"/>
  <c r="D155" i="23"/>
  <c r="E155" i="23" s="1"/>
  <c r="C155" i="23"/>
  <c r="B155" i="23"/>
  <c r="AO154" i="23"/>
  <c r="AH154" i="23"/>
  <c r="AD154" i="23"/>
  <c r="AB154" i="23"/>
  <c r="X154" i="23"/>
  <c r="T154" i="23"/>
  <c r="P154" i="23"/>
  <c r="L154" i="23"/>
  <c r="H154" i="23"/>
  <c r="F154" i="23"/>
  <c r="G154" i="23" s="1"/>
  <c r="D154" i="23"/>
  <c r="E154" i="23" s="1"/>
  <c r="C154" i="23"/>
  <c r="B154" i="23"/>
  <c r="AO153" i="23"/>
  <c r="AH153" i="23"/>
  <c r="AD153" i="23"/>
  <c r="AB153" i="23"/>
  <c r="X153" i="23"/>
  <c r="T153" i="23"/>
  <c r="P153" i="23"/>
  <c r="L153" i="23"/>
  <c r="H153" i="23"/>
  <c r="F153" i="23"/>
  <c r="G153" i="23" s="1"/>
  <c r="D153" i="23"/>
  <c r="E153" i="23" s="1"/>
  <c r="C153" i="23"/>
  <c r="B153" i="23"/>
  <c r="AO152" i="23"/>
  <c r="AH152" i="23"/>
  <c r="AD152" i="23"/>
  <c r="AB152" i="23"/>
  <c r="X152" i="23"/>
  <c r="T152" i="23"/>
  <c r="P152" i="23"/>
  <c r="L152" i="23"/>
  <c r="H152" i="23"/>
  <c r="F152" i="23"/>
  <c r="G152" i="23" s="1"/>
  <c r="D152" i="23"/>
  <c r="E152" i="23" s="1"/>
  <c r="C152" i="23"/>
  <c r="B152" i="23"/>
  <c r="AO151" i="23"/>
  <c r="AH151" i="23"/>
  <c r="AD151" i="23"/>
  <c r="AB151" i="23"/>
  <c r="X151" i="23"/>
  <c r="T151" i="23"/>
  <c r="P151" i="23"/>
  <c r="L151" i="23"/>
  <c r="H151" i="23"/>
  <c r="F151" i="23"/>
  <c r="G151" i="23" s="1"/>
  <c r="D151" i="23"/>
  <c r="E151" i="23" s="1"/>
  <c r="C151" i="23"/>
  <c r="B151" i="23"/>
  <c r="AO150" i="23"/>
  <c r="AH150" i="23"/>
  <c r="AD150" i="23"/>
  <c r="AB150" i="23"/>
  <c r="X150" i="23"/>
  <c r="T150" i="23"/>
  <c r="P150" i="23"/>
  <c r="L150" i="23"/>
  <c r="H150" i="23"/>
  <c r="F150" i="23"/>
  <c r="G150" i="23" s="1"/>
  <c r="D150" i="23"/>
  <c r="E150" i="23" s="1"/>
  <c r="C150" i="23"/>
  <c r="B150" i="23"/>
  <c r="AO149" i="23"/>
  <c r="AH149" i="23"/>
  <c r="AD149" i="23"/>
  <c r="AB149" i="23"/>
  <c r="X149" i="23"/>
  <c r="T149" i="23"/>
  <c r="P149" i="23"/>
  <c r="L149" i="23"/>
  <c r="H149" i="23"/>
  <c r="F149" i="23"/>
  <c r="G149" i="23" s="1"/>
  <c r="D149" i="23"/>
  <c r="E149" i="23" s="1"/>
  <c r="C149" i="23"/>
  <c r="B149" i="23"/>
  <c r="AO148" i="23"/>
  <c r="AH148" i="23"/>
  <c r="AD148" i="23"/>
  <c r="AB148" i="23"/>
  <c r="X148" i="23"/>
  <c r="T148" i="23"/>
  <c r="P148" i="23"/>
  <c r="L148" i="23"/>
  <c r="H148" i="23"/>
  <c r="F148" i="23"/>
  <c r="G148" i="23" s="1"/>
  <c r="D148" i="23"/>
  <c r="E148" i="23" s="1"/>
  <c r="C148" i="23"/>
  <c r="B148" i="23"/>
  <c r="AO147" i="23"/>
  <c r="AH147" i="23"/>
  <c r="AD147" i="23"/>
  <c r="AB147" i="23"/>
  <c r="X147" i="23"/>
  <c r="T147" i="23"/>
  <c r="P147" i="23"/>
  <c r="L147" i="23"/>
  <c r="H147" i="23"/>
  <c r="F147" i="23"/>
  <c r="G147" i="23" s="1"/>
  <c r="D147" i="23"/>
  <c r="E147" i="23" s="1"/>
  <c r="C147" i="23"/>
  <c r="B147" i="23"/>
  <c r="AO146" i="23"/>
  <c r="AH146" i="23"/>
  <c r="AD146" i="23"/>
  <c r="AB146" i="23"/>
  <c r="X146" i="23"/>
  <c r="T146" i="23"/>
  <c r="P146" i="23"/>
  <c r="L146" i="23"/>
  <c r="H146" i="23"/>
  <c r="F146" i="23"/>
  <c r="G146" i="23" s="1"/>
  <c r="D146" i="23"/>
  <c r="E146" i="23" s="1"/>
  <c r="C146" i="23"/>
  <c r="B146" i="23"/>
  <c r="AO145" i="23"/>
  <c r="AH145" i="23"/>
  <c r="AD145" i="23"/>
  <c r="AB145" i="23"/>
  <c r="X145" i="23"/>
  <c r="T145" i="23"/>
  <c r="P145" i="23"/>
  <c r="L145" i="23"/>
  <c r="H145" i="23"/>
  <c r="F145" i="23"/>
  <c r="G145" i="23" s="1"/>
  <c r="D145" i="23"/>
  <c r="E145" i="23" s="1"/>
  <c r="C145" i="23"/>
  <c r="B145" i="23"/>
  <c r="AO144" i="23"/>
  <c r="AH144" i="23"/>
  <c r="AD144" i="23"/>
  <c r="AB144" i="23"/>
  <c r="X144" i="23"/>
  <c r="T144" i="23"/>
  <c r="P144" i="23"/>
  <c r="L144" i="23"/>
  <c r="H144" i="23"/>
  <c r="F144" i="23"/>
  <c r="G144" i="23" s="1"/>
  <c r="D144" i="23"/>
  <c r="E144" i="23" s="1"/>
  <c r="C144" i="23"/>
  <c r="B144" i="23"/>
  <c r="AO143" i="23"/>
  <c r="AH143" i="23"/>
  <c r="AD143" i="23"/>
  <c r="AB143" i="23"/>
  <c r="X143" i="23"/>
  <c r="T143" i="23"/>
  <c r="P143" i="23"/>
  <c r="L143" i="23"/>
  <c r="H143" i="23"/>
  <c r="F143" i="23"/>
  <c r="G143" i="23" s="1"/>
  <c r="D143" i="23"/>
  <c r="E143" i="23" s="1"/>
  <c r="C143" i="23"/>
  <c r="B143" i="23"/>
  <c r="AO142" i="23"/>
  <c r="AH142" i="23"/>
  <c r="AD142" i="23"/>
  <c r="AB142" i="23"/>
  <c r="X142" i="23"/>
  <c r="T142" i="23"/>
  <c r="P142" i="23"/>
  <c r="L142" i="23"/>
  <c r="H142" i="23"/>
  <c r="F142" i="23"/>
  <c r="G142" i="23" s="1"/>
  <c r="D142" i="23"/>
  <c r="E142" i="23" s="1"/>
  <c r="C142" i="23"/>
  <c r="B142" i="23"/>
  <c r="AO141" i="23"/>
  <c r="AH141" i="23"/>
  <c r="AD141" i="23"/>
  <c r="AB141" i="23"/>
  <c r="X141" i="23"/>
  <c r="T141" i="23"/>
  <c r="P141" i="23"/>
  <c r="L141" i="23"/>
  <c r="H141" i="23"/>
  <c r="F141" i="23"/>
  <c r="G141" i="23" s="1"/>
  <c r="D141" i="23"/>
  <c r="E141" i="23" s="1"/>
  <c r="C141" i="23"/>
  <c r="B141" i="23"/>
  <c r="AO140" i="23"/>
  <c r="AH140" i="23"/>
  <c r="AD140" i="23"/>
  <c r="AB140" i="23"/>
  <c r="X140" i="23"/>
  <c r="T140" i="23"/>
  <c r="P140" i="23"/>
  <c r="L140" i="23"/>
  <c r="H140" i="23"/>
  <c r="F140" i="23"/>
  <c r="G140" i="23" s="1"/>
  <c r="D140" i="23"/>
  <c r="E140" i="23" s="1"/>
  <c r="C140" i="23"/>
  <c r="B140" i="23"/>
  <c r="AO139" i="23"/>
  <c r="AH139" i="23"/>
  <c r="AD139" i="23"/>
  <c r="AB139" i="23"/>
  <c r="X139" i="23"/>
  <c r="T139" i="23"/>
  <c r="P139" i="23"/>
  <c r="L139" i="23"/>
  <c r="H139" i="23"/>
  <c r="F139" i="23"/>
  <c r="G139" i="23" s="1"/>
  <c r="D139" i="23"/>
  <c r="E139" i="23" s="1"/>
  <c r="C139" i="23"/>
  <c r="B139" i="23"/>
  <c r="AO138" i="23"/>
  <c r="AH138" i="23"/>
  <c r="AD138" i="23"/>
  <c r="AB138" i="23"/>
  <c r="X138" i="23"/>
  <c r="T138" i="23"/>
  <c r="P138" i="23"/>
  <c r="L138" i="23"/>
  <c r="H138" i="23"/>
  <c r="F138" i="23"/>
  <c r="G138" i="23" s="1"/>
  <c r="D138" i="23"/>
  <c r="E138" i="23" s="1"/>
  <c r="C138" i="23"/>
  <c r="B138" i="23"/>
  <c r="AO137" i="23"/>
  <c r="AH137" i="23"/>
  <c r="AD137" i="23"/>
  <c r="AB137" i="23"/>
  <c r="X137" i="23"/>
  <c r="T137" i="23"/>
  <c r="P137" i="23"/>
  <c r="L137" i="23"/>
  <c r="H137" i="23"/>
  <c r="F137" i="23"/>
  <c r="G137" i="23" s="1"/>
  <c r="D137" i="23"/>
  <c r="E137" i="23" s="1"/>
  <c r="C137" i="23"/>
  <c r="B137" i="23"/>
  <c r="AO136" i="23"/>
  <c r="AH136" i="23"/>
  <c r="AD136" i="23"/>
  <c r="AB136" i="23"/>
  <c r="X136" i="23"/>
  <c r="T136" i="23"/>
  <c r="P136" i="23"/>
  <c r="L136" i="23"/>
  <c r="H136" i="23"/>
  <c r="F136" i="23"/>
  <c r="G136" i="23" s="1"/>
  <c r="D136" i="23"/>
  <c r="E136" i="23" s="1"/>
  <c r="C136" i="23"/>
  <c r="B136" i="23"/>
  <c r="AO135" i="23"/>
  <c r="AH135" i="23"/>
  <c r="AD135" i="23"/>
  <c r="AB135" i="23"/>
  <c r="X135" i="23"/>
  <c r="T135" i="23"/>
  <c r="P135" i="23"/>
  <c r="L135" i="23"/>
  <c r="H135" i="23"/>
  <c r="F135" i="23"/>
  <c r="G135" i="23" s="1"/>
  <c r="D135" i="23"/>
  <c r="E135" i="23" s="1"/>
  <c r="C135" i="23"/>
  <c r="B135" i="23"/>
  <c r="AO134" i="23"/>
  <c r="AH134" i="23"/>
  <c r="AD134" i="23"/>
  <c r="AB134" i="23"/>
  <c r="X134" i="23"/>
  <c r="T134" i="23"/>
  <c r="P134" i="23"/>
  <c r="L134" i="23"/>
  <c r="H134" i="23"/>
  <c r="F134" i="23"/>
  <c r="G134" i="23" s="1"/>
  <c r="D134" i="23"/>
  <c r="E134" i="23" s="1"/>
  <c r="C134" i="23"/>
  <c r="B134" i="23"/>
  <c r="AO133" i="23"/>
  <c r="AH133" i="23"/>
  <c r="AD133" i="23"/>
  <c r="AB133" i="23"/>
  <c r="X133" i="23"/>
  <c r="T133" i="23"/>
  <c r="P133" i="23"/>
  <c r="L133" i="23"/>
  <c r="H133" i="23"/>
  <c r="F133" i="23"/>
  <c r="G133" i="23" s="1"/>
  <c r="D133" i="23"/>
  <c r="E133" i="23" s="1"/>
  <c r="C133" i="23"/>
  <c r="B133" i="23"/>
  <c r="AO132" i="23"/>
  <c r="AH132" i="23"/>
  <c r="AD132" i="23"/>
  <c r="AB132" i="23"/>
  <c r="X132" i="23"/>
  <c r="T132" i="23"/>
  <c r="P132" i="23"/>
  <c r="L132" i="23"/>
  <c r="H132" i="23"/>
  <c r="F132" i="23"/>
  <c r="G132" i="23" s="1"/>
  <c r="D132" i="23"/>
  <c r="E132" i="23" s="1"/>
  <c r="C132" i="23"/>
  <c r="B132" i="23"/>
  <c r="AO131" i="23"/>
  <c r="AH131" i="23"/>
  <c r="AD131" i="23"/>
  <c r="AB131" i="23"/>
  <c r="X131" i="23"/>
  <c r="T131" i="23"/>
  <c r="P131" i="23"/>
  <c r="L131" i="23"/>
  <c r="H131" i="23"/>
  <c r="F131" i="23"/>
  <c r="G131" i="23" s="1"/>
  <c r="D131" i="23"/>
  <c r="E131" i="23" s="1"/>
  <c r="C131" i="23"/>
  <c r="B131" i="23"/>
  <c r="AO130" i="23"/>
  <c r="AH130" i="23"/>
  <c r="AD130" i="23"/>
  <c r="AB130" i="23"/>
  <c r="X130" i="23"/>
  <c r="T130" i="23"/>
  <c r="P130" i="23"/>
  <c r="L130" i="23"/>
  <c r="H130" i="23"/>
  <c r="F130" i="23"/>
  <c r="G130" i="23" s="1"/>
  <c r="D130" i="23"/>
  <c r="E130" i="23" s="1"/>
  <c r="C130" i="23"/>
  <c r="B130" i="23"/>
  <c r="AO129" i="23"/>
  <c r="AH129" i="23"/>
  <c r="AD129" i="23"/>
  <c r="AB129" i="23"/>
  <c r="X129" i="23"/>
  <c r="T129" i="23"/>
  <c r="P129" i="23"/>
  <c r="L129" i="23"/>
  <c r="H129" i="23"/>
  <c r="F129" i="23"/>
  <c r="G129" i="23" s="1"/>
  <c r="D129" i="23"/>
  <c r="E129" i="23" s="1"/>
  <c r="C129" i="23"/>
  <c r="B129" i="23"/>
  <c r="AO128" i="23"/>
  <c r="AH128" i="23"/>
  <c r="AD128" i="23"/>
  <c r="AB128" i="23"/>
  <c r="X128" i="23"/>
  <c r="T128" i="23"/>
  <c r="P128" i="23"/>
  <c r="L128" i="23"/>
  <c r="H128" i="23"/>
  <c r="F128" i="23"/>
  <c r="G128" i="23" s="1"/>
  <c r="D128" i="23"/>
  <c r="E128" i="23" s="1"/>
  <c r="C128" i="23"/>
  <c r="B128" i="23"/>
  <c r="AO127" i="23"/>
  <c r="AH127" i="23"/>
  <c r="AD127" i="23"/>
  <c r="AB127" i="23"/>
  <c r="X127" i="23"/>
  <c r="T127" i="23"/>
  <c r="P127" i="23"/>
  <c r="L127" i="23"/>
  <c r="H127" i="23"/>
  <c r="F127" i="23"/>
  <c r="G127" i="23" s="1"/>
  <c r="D127" i="23"/>
  <c r="E127" i="23" s="1"/>
  <c r="C127" i="23"/>
  <c r="B127" i="23"/>
  <c r="AO126" i="23"/>
  <c r="AH126" i="23"/>
  <c r="AD126" i="23"/>
  <c r="AB126" i="23"/>
  <c r="X126" i="23"/>
  <c r="T126" i="23"/>
  <c r="P126" i="23"/>
  <c r="L126" i="23"/>
  <c r="H126" i="23"/>
  <c r="F126" i="23"/>
  <c r="G126" i="23" s="1"/>
  <c r="D126" i="23"/>
  <c r="E126" i="23" s="1"/>
  <c r="C126" i="23"/>
  <c r="B126" i="23"/>
  <c r="AO125" i="23"/>
  <c r="AH125" i="23"/>
  <c r="AD125" i="23"/>
  <c r="AB125" i="23"/>
  <c r="X125" i="23"/>
  <c r="T125" i="23"/>
  <c r="P125" i="23"/>
  <c r="L125" i="23"/>
  <c r="H125" i="23"/>
  <c r="F125" i="23"/>
  <c r="G125" i="23" s="1"/>
  <c r="D125" i="23"/>
  <c r="E125" i="23" s="1"/>
  <c r="C125" i="23"/>
  <c r="B125" i="23"/>
  <c r="AO124" i="23"/>
  <c r="AH124" i="23"/>
  <c r="AD124" i="23"/>
  <c r="AB124" i="23"/>
  <c r="X124" i="23"/>
  <c r="T124" i="23"/>
  <c r="P124" i="23"/>
  <c r="L124" i="23"/>
  <c r="H124" i="23"/>
  <c r="F124" i="23"/>
  <c r="G124" i="23" s="1"/>
  <c r="D124" i="23"/>
  <c r="E124" i="23" s="1"/>
  <c r="C124" i="23"/>
  <c r="B124" i="23"/>
  <c r="AO123" i="23"/>
  <c r="AH123" i="23"/>
  <c r="AD123" i="23"/>
  <c r="AB123" i="23"/>
  <c r="X123" i="23"/>
  <c r="T123" i="23"/>
  <c r="P123" i="23"/>
  <c r="L123" i="23"/>
  <c r="H123" i="23"/>
  <c r="F123" i="23"/>
  <c r="G123" i="23" s="1"/>
  <c r="D123" i="23"/>
  <c r="E123" i="23" s="1"/>
  <c r="C123" i="23"/>
  <c r="B123" i="23"/>
  <c r="AO122" i="23"/>
  <c r="AH122" i="23"/>
  <c r="AD122" i="23"/>
  <c r="AB122" i="23"/>
  <c r="X122" i="23"/>
  <c r="T122" i="23"/>
  <c r="P122" i="23"/>
  <c r="L122" i="23"/>
  <c r="H122" i="23"/>
  <c r="F122" i="23"/>
  <c r="G122" i="23" s="1"/>
  <c r="D122" i="23"/>
  <c r="E122" i="23" s="1"/>
  <c r="C122" i="23"/>
  <c r="B122" i="23"/>
  <c r="AO121" i="23"/>
  <c r="AH121" i="23"/>
  <c r="AD121" i="23"/>
  <c r="AB121" i="23"/>
  <c r="X121" i="23"/>
  <c r="T121" i="23"/>
  <c r="P121" i="23"/>
  <c r="L121" i="23"/>
  <c r="H121" i="23"/>
  <c r="F121" i="23"/>
  <c r="G121" i="23" s="1"/>
  <c r="D121" i="23"/>
  <c r="E121" i="23" s="1"/>
  <c r="C121" i="23"/>
  <c r="B121" i="23"/>
  <c r="AO120" i="23"/>
  <c r="AH120" i="23"/>
  <c r="AD120" i="23"/>
  <c r="AB120" i="23"/>
  <c r="X120" i="23"/>
  <c r="T120" i="23"/>
  <c r="P120" i="23"/>
  <c r="L120" i="23"/>
  <c r="H120" i="23"/>
  <c r="F120" i="23"/>
  <c r="G120" i="23" s="1"/>
  <c r="D120" i="23"/>
  <c r="E120" i="23" s="1"/>
  <c r="C120" i="23"/>
  <c r="B120" i="23"/>
  <c r="AO119" i="23"/>
  <c r="AH119" i="23"/>
  <c r="AD119" i="23"/>
  <c r="AB119" i="23"/>
  <c r="X119" i="23"/>
  <c r="T119" i="23"/>
  <c r="P119" i="23"/>
  <c r="L119" i="23"/>
  <c r="H119" i="23"/>
  <c r="F119" i="23"/>
  <c r="G119" i="23" s="1"/>
  <c r="D119" i="23"/>
  <c r="E119" i="23" s="1"/>
  <c r="C119" i="23"/>
  <c r="B119" i="23"/>
  <c r="AO118" i="23"/>
  <c r="AH118" i="23"/>
  <c r="AD118" i="23"/>
  <c r="AB118" i="23"/>
  <c r="X118" i="23"/>
  <c r="T118" i="23"/>
  <c r="P118" i="23"/>
  <c r="L118" i="23"/>
  <c r="H118" i="23"/>
  <c r="F118" i="23"/>
  <c r="G118" i="23" s="1"/>
  <c r="D118" i="23"/>
  <c r="E118" i="23" s="1"/>
  <c r="C118" i="23"/>
  <c r="B118" i="23"/>
  <c r="AO117" i="23"/>
  <c r="AH117" i="23"/>
  <c r="AD117" i="23"/>
  <c r="AB117" i="23"/>
  <c r="X117" i="23"/>
  <c r="T117" i="23"/>
  <c r="P117" i="23"/>
  <c r="L117" i="23"/>
  <c r="H117" i="23"/>
  <c r="F117" i="23"/>
  <c r="G117" i="23" s="1"/>
  <c r="D117" i="23"/>
  <c r="E117" i="23" s="1"/>
  <c r="C117" i="23"/>
  <c r="B117" i="23"/>
  <c r="AO116" i="23"/>
  <c r="AH116" i="23"/>
  <c r="AD116" i="23"/>
  <c r="AB116" i="23"/>
  <c r="X116" i="23"/>
  <c r="T116" i="23"/>
  <c r="P116" i="23"/>
  <c r="L116" i="23"/>
  <c r="H116" i="23"/>
  <c r="F116" i="23"/>
  <c r="G116" i="23" s="1"/>
  <c r="D116" i="23"/>
  <c r="E116" i="23" s="1"/>
  <c r="C116" i="23"/>
  <c r="B116" i="23"/>
  <c r="AO115" i="23"/>
  <c r="AH115" i="23"/>
  <c r="AD115" i="23"/>
  <c r="AB115" i="23"/>
  <c r="X115" i="23"/>
  <c r="T115" i="23"/>
  <c r="P115" i="23"/>
  <c r="L115" i="23"/>
  <c r="H115" i="23"/>
  <c r="F115" i="23"/>
  <c r="G115" i="23" s="1"/>
  <c r="D115" i="23"/>
  <c r="E115" i="23" s="1"/>
  <c r="C115" i="23"/>
  <c r="B115" i="23"/>
  <c r="AO114" i="23"/>
  <c r="AH114" i="23"/>
  <c r="AD114" i="23"/>
  <c r="AB114" i="23"/>
  <c r="X114" i="23"/>
  <c r="T114" i="23"/>
  <c r="P114" i="23"/>
  <c r="L114" i="23"/>
  <c r="H114" i="23"/>
  <c r="F114" i="23"/>
  <c r="G114" i="23" s="1"/>
  <c r="D114" i="23"/>
  <c r="E114" i="23" s="1"/>
  <c r="C114" i="23"/>
  <c r="B114" i="23"/>
  <c r="AO113" i="23"/>
  <c r="AH113" i="23"/>
  <c r="AD113" i="23"/>
  <c r="AB113" i="23"/>
  <c r="X113" i="23"/>
  <c r="T113" i="23"/>
  <c r="P113" i="23"/>
  <c r="L113" i="23"/>
  <c r="H113" i="23"/>
  <c r="F113" i="23"/>
  <c r="G113" i="23" s="1"/>
  <c r="D113" i="23"/>
  <c r="E113" i="23" s="1"/>
  <c r="C113" i="23"/>
  <c r="B113" i="23"/>
  <c r="AO112" i="23"/>
  <c r="AH112" i="23"/>
  <c r="AD112" i="23"/>
  <c r="AB112" i="23"/>
  <c r="X112" i="23"/>
  <c r="T112" i="23"/>
  <c r="P112" i="23"/>
  <c r="L112" i="23"/>
  <c r="H112" i="23"/>
  <c r="F112" i="23"/>
  <c r="G112" i="23" s="1"/>
  <c r="D112" i="23"/>
  <c r="E112" i="23" s="1"/>
  <c r="C112" i="23"/>
  <c r="B112" i="23"/>
  <c r="AO111" i="23"/>
  <c r="AH111" i="23"/>
  <c r="AD111" i="23"/>
  <c r="AB111" i="23"/>
  <c r="X111" i="23"/>
  <c r="T111" i="23"/>
  <c r="P111" i="23"/>
  <c r="L111" i="23"/>
  <c r="H111" i="23"/>
  <c r="F111" i="23"/>
  <c r="G111" i="23" s="1"/>
  <c r="D111" i="23"/>
  <c r="E111" i="23" s="1"/>
  <c r="C111" i="23"/>
  <c r="B111" i="23"/>
  <c r="AO110" i="23"/>
  <c r="AH110" i="23"/>
  <c r="AD110" i="23"/>
  <c r="AB110" i="23"/>
  <c r="X110" i="23"/>
  <c r="T110" i="23"/>
  <c r="P110" i="23"/>
  <c r="L110" i="23"/>
  <c r="H110" i="23"/>
  <c r="F110" i="23"/>
  <c r="G110" i="23" s="1"/>
  <c r="D110" i="23"/>
  <c r="E110" i="23" s="1"/>
  <c r="C110" i="23"/>
  <c r="B110" i="23"/>
  <c r="AO109" i="23"/>
  <c r="AH109" i="23"/>
  <c r="AD109" i="23"/>
  <c r="AB109" i="23"/>
  <c r="X109" i="23"/>
  <c r="T109" i="23"/>
  <c r="P109" i="23"/>
  <c r="L109" i="23"/>
  <c r="H109" i="23"/>
  <c r="F109" i="23"/>
  <c r="G109" i="23" s="1"/>
  <c r="D109" i="23"/>
  <c r="E109" i="23" s="1"/>
  <c r="C109" i="23"/>
  <c r="B109" i="23"/>
  <c r="AO108" i="23"/>
  <c r="AH108" i="23"/>
  <c r="AD108" i="23"/>
  <c r="AB108" i="23"/>
  <c r="X108" i="23"/>
  <c r="T108" i="23"/>
  <c r="P108" i="23"/>
  <c r="L108" i="23"/>
  <c r="H108" i="23"/>
  <c r="F108" i="23"/>
  <c r="G108" i="23" s="1"/>
  <c r="D108" i="23"/>
  <c r="E108" i="23" s="1"/>
  <c r="C108" i="23"/>
  <c r="B108" i="23"/>
  <c r="AO107" i="23"/>
  <c r="AH107" i="23"/>
  <c r="AD107" i="23"/>
  <c r="AB107" i="23"/>
  <c r="X107" i="23"/>
  <c r="T107" i="23"/>
  <c r="P107" i="23"/>
  <c r="L107" i="23"/>
  <c r="H107" i="23"/>
  <c r="F107" i="23"/>
  <c r="G107" i="23" s="1"/>
  <c r="D107" i="23"/>
  <c r="E107" i="23" s="1"/>
  <c r="C107" i="23"/>
  <c r="B107" i="23"/>
  <c r="AO106" i="23"/>
  <c r="AH106" i="23"/>
  <c r="AD106" i="23"/>
  <c r="AB106" i="23"/>
  <c r="X106" i="23"/>
  <c r="T106" i="23"/>
  <c r="P106" i="23"/>
  <c r="L106" i="23"/>
  <c r="H106" i="23"/>
  <c r="F106" i="23"/>
  <c r="G106" i="23" s="1"/>
  <c r="D106" i="23"/>
  <c r="E106" i="23" s="1"/>
  <c r="C106" i="23"/>
  <c r="B106" i="23"/>
  <c r="AO105" i="23"/>
  <c r="AH105" i="23"/>
  <c r="AD105" i="23"/>
  <c r="AB105" i="23"/>
  <c r="X105" i="23"/>
  <c r="T105" i="23"/>
  <c r="P105" i="23"/>
  <c r="L105" i="23"/>
  <c r="H105" i="23"/>
  <c r="F105" i="23"/>
  <c r="G105" i="23" s="1"/>
  <c r="D105" i="23"/>
  <c r="E105" i="23" s="1"/>
  <c r="C105" i="23"/>
  <c r="B105" i="23"/>
  <c r="AO104" i="23"/>
  <c r="AH104" i="23"/>
  <c r="AD104" i="23"/>
  <c r="AB104" i="23"/>
  <c r="X104" i="23"/>
  <c r="T104" i="23"/>
  <c r="P104" i="23"/>
  <c r="L104" i="23"/>
  <c r="H104" i="23"/>
  <c r="F104" i="23"/>
  <c r="G104" i="23" s="1"/>
  <c r="D104" i="23"/>
  <c r="E104" i="23" s="1"/>
  <c r="C104" i="23"/>
  <c r="B104" i="23"/>
  <c r="AO103" i="23"/>
  <c r="AH103" i="23"/>
  <c r="AD103" i="23"/>
  <c r="AB103" i="23"/>
  <c r="X103" i="23"/>
  <c r="T103" i="23"/>
  <c r="P103" i="23"/>
  <c r="L103" i="23"/>
  <c r="H103" i="23"/>
  <c r="F103" i="23"/>
  <c r="G103" i="23" s="1"/>
  <c r="D103" i="23"/>
  <c r="E103" i="23" s="1"/>
  <c r="C103" i="23"/>
  <c r="B103" i="23"/>
  <c r="AO102" i="23"/>
  <c r="AH102" i="23"/>
  <c r="AD102" i="23"/>
  <c r="AB102" i="23"/>
  <c r="X102" i="23"/>
  <c r="T102" i="23"/>
  <c r="P102" i="23"/>
  <c r="L102" i="23"/>
  <c r="H102" i="23"/>
  <c r="F102" i="23"/>
  <c r="G102" i="23" s="1"/>
  <c r="D102" i="23"/>
  <c r="E102" i="23" s="1"/>
  <c r="C102" i="23"/>
  <c r="B102" i="23"/>
  <c r="AO101" i="23"/>
  <c r="AH101" i="23"/>
  <c r="AD101" i="23"/>
  <c r="AB101" i="23"/>
  <c r="X101" i="23"/>
  <c r="T101" i="23"/>
  <c r="P101" i="23"/>
  <c r="L101" i="23"/>
  <c r="H101" i="23"/>
  <c r="F101" i="23"/>
  <c r="G101" i="23" s="1"/>
  <c r="D101" i="23"/>
  <c r="E101" i="23" s="1"/>
  <c r="C101" i="23"/>
  <c r="B101" i="23"/>
  <c r="AO100" i="23"/>
  <c r="AH100" i="23"/>
  <c r="AD100" i="23"/>
  <c r="AB100" i="23"/>
  <c r="X100" i="23"/>
  <c r="T100" i="23"/>
  <c r="P100" i="23"/>
  <c r="L100" i="23"/>
  <c r="H100" i="23"/>
  <c r="F100" i="23"/>
  <c r="G100" i="23" s="1"/>
  <c r="D100" i="23"/>
  <c r="E100" i="23" s="1"/>
  <c r="C100" i="23"/>
  <c r="B100" i="23"/>
  <c r="AO99" i="23"/>
  <c r="AH99" i="23"/>
  <c r="AD99" i="23"/>
  <c r="AB99" i="23"/>
  <c r="X99" i="23"/>
  <c r="T99" i="23"/>
  <c r="P99" i="23"/>
  <c r="L99" i="23"/>
  <c r="H99" i="23"/>
  <c r="F99" i="23"/>
  <c r="G99" i="23" s="1"/>
  <c r="D99" i="23"/>
  <c r="E99" i="23" s="1"/>
  <c r="C99" i="23"/>
  <c r="B99" i="23"/>
  <c r="AO98" i="23"/>
  <c r="AH98" i="23"/>
  <c r="AD98" i="23"/>
  <c r="AB98" i="23"/>
  <c r="X98" i="23"/>
  <c r="T98" i="23"/>
  <c r="P98" i="23"/>
  <c r="L98" i="23"/>
  <c r="H98" i="23"/>
  <c r="F98" i="23"/>
  <c r="G98" i="23" s="1"/>
  <c r="D98" i="23"/>
  <c r="E98" i="23" s="1"/>
  <c r="C98" i="23"/>
  <c r="B98" i="23"/>
  <c r="AO97" i="23"/>
  <c r="AH97" i="23"/>
  <c r="AD97" i="23"/>
  <c r="AB97" i="23"/>
  <c r="X97" i="23"/>
  <c r="T97" i="23"/>
  <c r="P97" i="23"/>
  <c r="L97" i="23"/>
  <c r="H97" i="23"/>
  <c r="F97" i="23"/>
  <c r="G97" i="23" s="1"/>
  <c r="D97" i="23"/>
  <c r="E97" i="23" s="1"/>
  <c r="C97" i="23"/>
  <c r="B97" i="23"/>
  <c r="AO96" i="23"/>
  <c r="AH96" i="23"/>
  <c r="AD96" i="23"/>
  <c r="AB96" i="23"/>
  <c r="X96" i="23"/>
  <c r="T96" i="23"/>
  <c r="P96" i="23"/>
  <c r="L96" i="23"/>
  <c r="H96" i="23"/>
  <c r="F96" i="23"/>
  <c r="G96" i="23" s="1"/>
  <c r="D96" i="23"/>
  <c r="E96" i="23" s="1"/>
  <c r="C96" i="23"/>
  <c r="B96" i="23"/>
  <c r="AO95" i="23"/>
  <c r="AH95" i="23"/>
  <c r="AD95" i="23"/>
  <c r="AB95" i="23"/>
  <c r="X95" i="23"/>
  <c r="T95" i="23"/>
  <c r="P95" i="23"/>
  <c r="L95" i="23"/>
  <c r="H95" i="23"/>
  <c r="F95" i="23"/>
  <c r="G95" i="23" s="1"/>
  <c r="D95" i="23"/>
  <c r="E95" i="23" s="1"/>
  <c r="C95" i="23"/>
  <c r="B95" i="23"/>
  <c r="AO94" i="23"/>
  <c r="AH94" i="23"/>
  <c r="AD94" i="23"/>
  <c r="AB94" i="23"/>
  <c r="X94" i="23"/>
  <c r="T94" i="23"/>
  <c r="P94" i="23"/>
  <c r="L94" i="23"/>
  <c r="H94" i="23"/>
  <c r="F94" i="23"/>
  <c r="G94" i="23" s="1"/>
  <c r="D94" i="23"/>
  <c r="E94" i="23" s="1"/>
  <c r="C94" i="23"/>
  <c r="B94" i="23"/>
  <c r="AO93" i="23"/>
  <c r="AH93" i="23"/>
  <c r="AD93" i="23"/>
  <c r="AB93" i="23"/>
  <c r="X93" i="23"/>
  <c r="T93" i="23"/>
  <c r="P93" i="23"/>
  <c r="L93" i="23"/>
  <c r="H93" i="23"/>
  <c r="F93" i="23"/>
  <c r="G93" i="23" s="1"/>
  <c r="D93" i="23"/>
  <c r="E93" i="23" s="1"/>
  <c r="C93" i="23"/>
  <c r="B93" i="23"/>
  <c r="AO92" i="23"/>
  <c r="AH92" i="23"/>
  <c r="AD92" i="23"/>
  <c r="AB92" i="23"/>
  <c r="X92" i="23"/>
  <c r="T92" i="23"/>
  <c r="P92" i="23"/>
  <c r="L92" i="23"/>
  <c r="H92" i="23"/>
  <c r="F92" i="23"/>
  <c r="G92" i="23" s="1"/>
  <c r="D92" i="23"/>
  <c r="E92" i="23" s="1"/>
  <c r="C92" i="23"/>
  <c r="B92" i="23"/>
  <c r="AO91" i="23"/>
  <c r="AH91" i="23"/>
  <c r="AD91" i="23"/>
  <c r="AB91" i="23"/>
  <c r="X91" i="23"/>
  <c r="T91" i="23"/>
  <c r="P91" i="23"/>
  <c r="L91" i="23"/>
  <c r="H91" i="23"/>
  <c r="F91" i="23"/>
  <c r="G91" i="23" s="1"/>
  <c r="D91" i="23"/>
  <c r="E91" i="23" s="1"/>
  <c r="C91" i="23"/>
  <c r="B91" i="23"/>
  <c r="AO90" i="23"/>
  <c r="AH90" i="23"/>
  <c r="AD90" i="23"/>
  <c r="AB90" i="23"/>
  <c r="X90" i="23"/>
  <c r="T90" i="23"/>
  <c r="P90" i="23"/>
  <c r="L90" i="23"/>
  <c r="H90" i="23"/>
  <c r="F90" i="23"/>
  <c r="G90" i="23" s="1"/>
  <c r="D90" i="23"/>
  <c r="E90" i="23" s="1"/>
  <c r="C90" i="23"/>
  <c r="B90" i="23"/>
  <c r="AO89" i="23"/>
  <c r="AH89" i="23"/>
  <c r="AD89" i="23"/>
  <c r="AB89" i="23"/>
  <c r="X89" i="23"/>
  <c r="T89" i="23"/>
  <c r="P89" i="23"/>
  <c r="L89" i="23"/>
  <c r="H89" i="23"/>
  <c r="F89" i="23"/>
  <c r="G89" i="23" s="1"/>
  <c r="D89" i="23"/>
  <c r="E89" i="23" s="1"/>
  <c r="C89" i="23"/>
  <c r="B89" i="23"/>
  <c r="AO88" i="23"/>
  <c r="AH88" i="23"/>
  <c r="AD88" i="23"/>
  <c r="AB88" i="23"/>
  <c r="X88" i="23"/>
  <c r="T88" i="23"/>
  <c r="P88" i="23"/>
  <c r="L88" i="23"/>
  <c r="H88" i="23"/>
  <c r="F88" i="23"/>
  <c r="G88" i="23" s="1"/>
  <c r="D88" i="23"/>
  <c r="E88" i="23" s="1"/>
  <c r="C88" i="23"/>
  <c r="B88" i="23"/>
  <c r="AO87" i="23"/>
  <c r="AH87" i="23"/>
  <c r="AD87" i="23"/>
  <c r="AB87" i="23"/>
  <c r="X87" i="23"/>
  <c r="T87" i="23"/>
  <c r="P87" i="23"/>
  <c r="L87" i="23"/>
  <c r="H87" i="23"/>
  <c r="F87" i="23"/>
  <c r="G87" i="23" s="1"/>
  <c r="D87" i="23"/>
  <c r="E87" i="23" s="1"/>
  <c r="C87" i="23"/>
  <c r="B87" i="23"/>
  <c r="AO86" i="23"/>
  <c r="AH86" i="23"/>
  <c r="AD86" i="23"/>
  <c r="AB86" i="23"/>
  <c r="X86" i="23"/>
  <c r="T86" i="23"/>
  <c r="P86" i="23"/>
  <c r="L86" i="23"/>
  <c r="H86" i="23"/>
  <c r="F86" i="23"/>
  <c r="G86" i="23" s="1"/>
  <c r="D86" i="23"/>
  <c r="E86" i="23" s="1"/>
  <c r="C86" i="23"/>
  <c r="B86" i="23"/>
  <c r="AO85" i="23"/>
  <c r="AH85" i="23"/>
  <c r="AD85" i="23"/>
  <c r="AB85" i="23"/>
  <c r="X85" i="23"/>
  <c r="T85" i="23"/>
  <c r="P85" i="23"/>
  <c r="L85" i="23"/>
  <c r="H85" i="23"/>
  <c r="F85" i="23"/>
  <c r="G85" i="23" s="1"/>
  <c r="D85" i="23"/>
  <c r="E85" i="23" s="1"/>
  <c r="C85" i="23"/>
  <c r="B85" i="23"/>
  <c r="AO84" i="23"/>
  <c r="AH84" i="23"/>
  <c r="AD84" i="23"/>
  <c r="AB84" i="23"/>
  <c r="X84" i="23"/>
  <c r="T84" i="23"/>
  <c r="P84" i="23"/>
  <c r="L84" i="23"/>
  <c r="H84" i="23"/>
  <c r="F84" i="23"/>
  <c r="G84" i="23" s="1"/>
  <c r="D84" i="23"/>
  <c r="E84" i="23" s="1"/>
  <c r="C84" i="23"/>
  <c r="B84" i="23"/>
  <c r="AO83" i="23"/>
  <c r="AH83" i="23"/>
  <c r="AD83" i="23"/>
  <c r="AB83" i="23"/>
  <c r="X83" i="23"/>
  <c r="T83" i="23"/>
  <c r="P83" i="23"/>
  <c r="L83" i="23"/>
  <c r="H83" i="23"/>
  <c r="F83" i="23"/>
  <c r="G83" i="23" s="1"/>
  <c r="D83" i="23"/>
  <c r="E83" i="23" s="1"/>
  <c r="C83" i="23"/>
  <c r="B83" i="23"/>
  <c r="AO82" i="23"/>
  <c r="AH82" i="23"/>
  <c r="AD82" i="23"/>
  <c r="AB82" i="23"/>
  <c r="X82" i="23"/>
  <c r="T82" i="23"/>
  <c r="P82" i="23"/>
  <c r="L82" i="23"/>
  <c r="H82" i="23"/>
  <c r="F82" i="23"/>
  <c r="G82" i="23" s="1"/>
  <c r="D82" i="23"/>
  <c r="E82" i="23" s="1"/>
  <c r="C82" i="23"/>
  <c r="B82" i="23"/>
  <c r="AO81" i="23"/>
  <c r="AH81" i="23"/>
  <c r="AD81" i="23"/>
  <c r="AB81" i="23"/>
  <c r="X81" i="23"/>
  <c r="T81" i="23"/>
  <c r="P81" i="23"/>
  <c r="L81" i="23"/>
  <c r="H81" i="23"/>
  <c r="F81" i="23"/>
  <c r="G81" i="23" s="1"/>
  <c r="D81" i="23"/>
  <c r="E81" i="23" s="1"/>
  <c r="C81" i="23"/>
  <c r="B81" i="23"/>
  <c r="AO80" i="23"/>
  <c r="AH80" i="23"/>
  <c r="AD80" i="23"/>
  <c r="AB80" i="23"/>
  <c r="X80" i="23"/>
  <c r="T80" i="23"/>
  <c r="P80" i="23"/>
  <c r="L80" i="23"/>
  <c r="H80" i="23"/>
  <c r="F80" i="23"/>
  <c r="G80" i="23" s="1"/>
  <c r="D80" i="23"/>
  <c r="E80" i="23" s="1"/>
  <c r="C80" i="23"/>
  <c r="B80" i="23"/>
  <c r="AO79" i="23"/>
  <c r="AH79" i="23"/>
  <c r="AD79" i="23"/>
  <c r="AB79" i="23"/>
  <c r="X79" i="23"/>
  <c r="T79" i="23"/>
  <c r="P79" i="23"/>
  <c r="L79" i="23"/>
  <c r="H79" i="23"/>
  <c r="F79" i="23"/>
  <c r="G79" i="23" s="1"/>
  <c r="D79" i="23"/>
  <c r="E79" i="23" s="1"/>
  <c r="C79" i="23"/>
  <c r="B79" i="23"/>
  <c r="AO78" i="23"/>
  <c r="AH78" i="23"/>
  <c r="AD78" i="23"/>
  <c r="AB78" i="23"/>
  <c r="X78" i="23"/>
  <c r="T78" i="23"/>
  <c r="P78" i="23"/>
  <c r="L78" i="23"/>
  <c r="H78" i="23"/>
  <c r="F78" i="23"/>
  <c r="G78" i="23" s="1"/>
  <c r="D78" i="23"/>
  <c r="E78" i="23" s="1"/>
  <c r="C78" i="23"/>
  <c r="B78" i="23"/>
  <c r="AO77" i="23"/>
  <c r="AH77" i="23"/>
  <c r="AD77" i="23"/>
  <c r="AB77" i="23"/>
  <c r="X77" i="23"/>
  <c r="T77" i="23"/>
  <c r="P77" i="23"/>
  <c r="L77" i="23"/>
  <c r="H77" i="23"/>
  <c r="F77" i="23"/>
  <c r="G77" i="23" s="1"/>
  <c r="D77" i="23"/>
  <c r="E77" i="23" s="1"/>
  <c r="C77" i="23"/>
  <c r="B77" i="23"/>
  <c r="AO76" i="23"/>
  <c r="AH76" i="23"/>
  <c r="AD76" i="23"/>
  <c r="AB76" i="23"/>
  <c r="X76" i="23"/>
  <c r="T76" i="23"/>
  <c r="P76" i="23"/>
  <c r="L76" i="23"/>
  <c r="H76" i="23"/>
  <c r="F76" i="23"/>
  <c r="G76" i="23" s="1"/>
  <c r="D76" i="23"/>
  <c r="E76" i="23" s="1"/>
  <c r="C76" i="23"/>
  <c r="B76" i="23"/>
  <c r="AO75" i="23"/>
  <c r="AH75" i="23"/>
  <c r="AD75" i="23"/>
  <c r="AB75" i="23"/>
  <c r="X75" i="23"/>
  <c r="T75" i="23"/>
  <c r="P75" i="23"/>
  <c r="L75" i="23"/>
  <c r="H75" i="23"/>
  <c r="F75" i="23"/>
  <c r="G75" i="23" s="1"/>
  <c r="D75" i="23"/>
  <c r="E75" i="23" s="1"/>
  <c r="C75" i="23"/>
  <c r="B75" i="23"/>
  <c r="AO74" i="23"/>
  <c r="AH74" i="23"/>
  <c r="AD74" i="23"/>
  <c r="AB74" i="23"/>
  <c r="X74" i="23"/>
  <c r="T74" i="23"/>
  <c r="P74" i="23"/>
  <c r="L74" i="23"/>
  <c r="H74" i="23"/>
  <c r="F74" i="23"/>
  <c r="G74" i="23" s="1"/>
  <c r="D74" i="23"/>
  <c r="E74" i="23" s="1"/>
  <c r="C74" i="23"/>
  <c r="B74" i="23"/>
  <c r="AO73" i="23"/>
  <c r="AH73" i="23"/>
  <c r="AD73" i="23"/>
  <c r="AB73" i="23"/>
  <c r="X73" i="23"/>
  <c r="T73" i="23"/>
  <c r="P73" i="23"/>
  <c r="L73" i="23"/>
  <c r="H73" i="23"/>
  <c r="F73" i="23"/>
  <c r="G73" i="23" s="1"/>
  <c r="D73" i="23"/>
  <c r="E73" i="23" s="1"/>
  <c r="C73" i="23"/>
  <c r="B73" i="23"/>
  <c r="AO72" i="23"/>
  <c r="AH72" i="23"/>
  <c r="AD72" i="23"/>
  <c r="AB72" i="23"/>
  <c r="X72" i="23"/>
  <c r="T72" i="23"/>
  <c r="P72" i="23"/>
  <c r="L72" i="23"/>
  <c r="H72" i="23"/>
  <c r="F72" i="23"/>
  <c r="G72" i="23" s="1"/>
  <c r="D72" i="23"/>
  <c r="E72" i="23" s="1"/>
  <c r="C72" i="23"/>
  <c r="B72" i="23"/>
  <c r="AO71" i="23"/>
  <c r="AH71" i="23"/>
  <c r="AD71" i="23"/>
  <c r="AB71" i="23"/>
  <c r="X71" i="23"/>
  <c r="T71" i="23"/>
  <c r="P71" i="23"/>
  <c r="L71" i="23"/>
  <c r="H71" i="23"/>
  <c r="F71" i="23"/>
  <c r="G71" i="23" s="1"/>
  <c r="D71" i="23"/>
  <c r="E71" i="23" s="1"/>
  <c r="C71" i="23"/>
  <c r="B71" i="23"/>
  <c r="AO70" i="23"/>
  <c r="AH70" i="23"/>
  <c r="AD70" i="23"/>
  <c r="AB70" i="23"/>
  <c r="X70" i="23"/>
  <c r="T70" i="23"/>
  <c r="P70" i="23"/>
  <c r="L70" i="23"/>
  <c r="H70" i="23"/>
  <c r="F70" i="23"/>
  <c r="G70" i="23" s="1"/>
  <c r="D70" i="23"/>
  <c r="E70" i="23" s="1"/>
  <c r="C70" i="23"/>
  <c r="B70" i="23"/>
  <c r="AO69" i="23"/>
  <c r="AH69" i="23"/>
  <c r="AD69" i="23"/>
  <c r="AB69" i="23"/>
  <c r="X69" i="23"/>
  <c r="T69" i="23"/>
  <c r="P69" i="23"/>
  <c r="L69" i="23"/>
  <c r="H69" i="23"/>
  <c r="F69" i="23"/>
  <c r="G69" i="23" s="1"/>
  <c r="D69" i="23"/>
  <c r="E69" i="23" s="1"/>
  <c r="C69" i="23"/>
  <c r="B69" i="23"/>
  <c r="AO68" i="23"/>
  <c r="AH68" i="23"/>
  <c r="AD68" i="23"/>
  <c r="AB68" i="23"/>
  <c r="X68" i="23"/>
  <c r="T68" i="23"/>
  <c r="P68" i="23"/>
  <c r="Q68" i="23" s="1"/>
  <c r="L68" i="23"/>
  <c r="H68" i="23"/>
  <c r="F68" i="23"/>
  <c r="G68" i="23" s="1"/>
  <c r="D68" i="23"/>
  <c r="E68" i="23" s="1"/>
  <c r="C68" i="23"/>
  <c r="B68" i="23"/>
  <c r="AO67" i="23"/>
  <c r="AH67" i="23"/>
  <c r="AD67" i="23"/>
  <c r="AB67" i="23"/>
  <c r="X67" i="23"/>
  <c r="T67" i="23"/>
  <c r="P67" i="23"/>
  <c r="L67" i="23"/>
  <c r="H67" i="23"/>
  <c r="F67" i="23"/>
  <c r="G67" i="23" s="1"/>
  <c r="D67" i="23"/>
  <c r="E67" i="23" s="1"/>
  <c r="C67" i="23"/>
  <c r="B67" i="23"/>
  <c r="AO66" i="23"/>
  <c r="AH66" i="23"/>
  <c r="AD66" i="23"/>
  <c r="AB66" i="23"/>
  <c r="X66" i="23"/>
  <c r="T66" i="23"/>
  <c r="P66" i="23"/>
  <c r="L66" i="23"/>
  <c r="H66" i="23"/>
  <c r="F66" i="23"/>
  <c r="G66" i="23" s="1"/>
  <c r="D66" i="23"/>
  <c r="E66" i="23" s="1"/>
  <c r="C66" i="23"/>
  <c r="B66" i="23"/>
  <c r="AO65" i="23"/>
  <c r="AH65" i="23"/>
  <c r="AD65" i="23"/>
  <c r="AB65" i="23"/>
  <c r="X65" i="23"/>
  <c r="T65" i="23"/>
  <c r="P65" i="23"/>
  <c r="L65" i="23"/>
  <c r="H65" i="23"/>
  <c r="F65" i="23"/>
  <c r="G65" i="23" s="1"/>
  <c r="D65" i="23"/>
  <c r="E65" i="23" s="1"/>
  <c r="C65" i="23"/>
  <c r="B65" i="23"/>
  <c r="AO64" i="23"/>
  <c r="AH64" i="23"/>
  <c r="AD64" i="23"/>
  <c r="AB64" i="23"/>
  <c r="X64" i="23"/>
  <c r="T64" i="23"/>
  <c r="P64" i="23"/>
  <c r="L64" i="23"/>
  <c r="H64" i="23"/>
  <c r="F64" i="23"/>
  <c r="G64" i="23" s="1"/>
  <c r="D64" i="23"/>
  <c r="E64" i="23" s="1"/>
  <c r="C64" i="23"/>
  <c r="B64" i="23"/>
  <c r="AO63" i="23"/>
  <c r="AH63" i="23"/>
  <c r="AD63" i="23"/>
  <c r="AB63" i="23"/>
  <c r="X63" i="23"/>
  <c r="T63" i="23"/>
  <c r="P63" i="23"/>
  <c r="L63" i="23"/>
  <c r="H63" i="23"/>
  <c r="F63" i="23"/>
  <c r="G63" i="23" s="1"/>
  <c r="D63" i="23"/>
  <c r="E63" i="23" s="1"/>
  <c r="C63" i="23"/>
  <c r="B63" i="23"/>
  <c r="AO62" i="23"/>
  <c r="AH62" i="23"/>
  <c r="AD62" i="23"/>
  <c r="AB62" i="23"/>
  <c r="X62" i="23"/>
  <c r="T62" i="23"/>
  <c r="P62" i="23"/>
  <c r="L62" i="23"/>
  <c r="H62" i="23"/>
  <c r="F62" i="23"/>
  <c r="G62" i="23" s="1"/>
  <c r="D62" i="23"/>
  <c r="E62" i="23" s="1"/>
  <c r="C62" i="23"/>
  <c r="B62" i="23"/>
  <c r="AO61" i="23"/>
  <c r="AH61" i="23"/>
  <c r="AD61" i="23"/>
  <c r="AB61" i="23"/>
  <c r="X61" i="23"/>
  <c r="T61" i="23"/>
  <c r="P61" i="23"/>
  <c r="L61" i="23"/>
  <c r="H61" i="23"/>
  <c r="F61" i="23"/>
  <c r="G61" i="23" s="1"/>
  <c r="D61" i="23"/>
  <c r="E61" i="23" s="1"/>
  <c r="C61" i="23"/>
  <c r="B61" i="23"/>
  <c r="AO60" i="23"/>
  <c r="AH60" i="23"/>
  <c r="AD60" i="23"/>
  <c r="AB60" i="23"/>
  <c r="X60" i="23"/>
  <c r="T60" i="23"/>
  <c r="P60" i="23"/>
  <c r="L60" i="23"/>
  <c r="H60" i="23"/>
  <c r="F60" i="23"/>
  <c r="G60" i="23" s="1"/>
  <c r="D60" i="23"/>
  <c r="E60" i="23" s="1"/>
  <c r="C60" i="23"/>
  <c r="B60" i="23"/>
  <c r="AO59" i="23"/>
  <c r="AH59" i="23"/>
  <c r="AD59" i="23"/>
  <c r="AB59" i="23"/>
  <c r="X59" i="23"/>
  <c r="T59" i="23"/>
  <c r="P59" i="23"/>
  <c r="L59" i="23"/>
  <c r="H59" i="23"/>
  <c r="F59" i="23"/>
  <c r="G59" i="23" s="1"/>
  <c r="D59" i="23"/>
  <c r="E59" i="23" s="1"/>
  <c r="C59" i="23"/>
  <c r="B59" i="23"/>
  <c r="AO58" i="23"/>
  <c r="AH58" i="23"/>
  <c r="AD58" i="23"/>
  <c r="AB58" i="23"/>
  <c r="X58" i="23"/>
  <c r="T58" i="23"/>
  <c r="P58" i="23"/>
  <c r="L58" i="23"/>
  <c r="H58" i="23"/>
  <c r="F58" i="23"/>
  <c r="G58" i="23" s="1"/>
  <c r="D58" i="23"/>
  <c r="E58" i="23" s="1"/>
  <c r="C58" i="23"/>
  <c r="B58" i="23"/>
  <c r="AO57" i="23"/>
  <c r="AH57" i="23"/>
  <c r="AD57" i="23"/>
  <c r="AB57" i="23"/>
  <c r="X57" i="23"/>
  <c r="T57" i="23"/>
  <c r="P57" i="23"/>
  <c r="L57" i="23"/>
  <c r="H57" i="23"/>
  <c r="F57" i="23"/>
  <c r="G57" i="23" s="1"/>
  <c r="D57" i="23"/>
  <c r="E57" i="23" s="1"/>
  <c r="C57" i="23"/>
  <c r="B57" i="23"/>
  <c r="AO56" i="23"/>
  <c r="AH56" i="23"/>
  <c r="AD56" i="23"/>
  <c r="AB56" i="23"/>
  <c r="X56" i="23"/>
  <c r="T56" i="23"/>
  <c r="P56" i="23"/>
  <c r="L56" i="23"/>
  <c r="H56" i="23"/>
  <c r="F56" i="23"/>
  <c r="G56" i="23" s="1"/>
  <c r="D56" i="23"/>
  <c r="E56" i="23" s="1"/>
  <c r="C56" i="23"/>
  <c r="B56" i="23"/>
  <c r="AO55" i="23"/>
  <c r="AH55" i="23"/>
  <c r="AD55" i="23"/>
  <c r="AB55" i="23"/>
  <c r="X55" i="23"/>
  <c r="T55" i="23"/>
  <c r="P55" i="23"/>
  <c r="L55" i="23"/>
  <c r="H55" i="23"/>
  <c r="F55" i="23"/>
  <c r="G55" i="23" s="1"/>
  <c r="D55" i="23"/>
  <c r="E55" i="23" s="1"/>
  <c r="C55" i="23"/>
  <c r="B55" i="23"/>
  <c r="AO54" i="23"/>
  <c r="AH54" i="23"/>
  <c r="AD54" i="23"/>
  <c r="AB54" i="23"/>
  <c r="X54" i="23"/>
  <c r="T54" i="23"/>
  <c r="P54" i="23"/>
  <c r="L54" i="23"/>
  <c r="H54" i="23"/>
  <c r="I54" i="23" s="1"/>
  <c r="F54" i="23"/>
  <c r="G54" i="23" s="1"/>
  <c r="D54" i="23"/>
  <c r="E54" i="23" s="1"/>
  <c r="C54" i="23"/>
  <c r="B54" i="23"/>
  <c r="AO53" i="23"/>
  <c r="AH53" i="23"/>
  <c r="AD53" i="23"/>
  <c r="AB53" i="23"/>
  <c r="X53" i="23"/>
  <c r="T53" i="23"/>
  <c r="U53" i="23" s="1"/>
  <c r="P53" i="23"/>
  <c r="L53" i="23"/>
  <c r="H53" i="23"/>
  <c r="F53" i="23"/>
  <c r="G53" i="23" s="1"/>
  <c r="D53" i="23"/>
  <c r="E53" i="23" s="1"/>
  <c r="C53" i="23"/>
  <c r="B53" i="23"/>
  <c r="AO52" i="23"/>
  <c r="AH52" i="23"/>
  <c r="AD52" i="23"/>
  <c r="AB52" i="23"/>
  <c r="X52" i="23"/>
  <c r="T52" i="23"/>
  <c r="P52" i="23"/>
  <c r="L52" i="23"/>
  <c r="H52" i="23"/>
  <c r="F52" i="23"/>
  <c r="G52" i="23" s="1"/>
  <c r="D52" i="23"/>
  <c r="E52" i="23" s="1"/>
  <c r="C52" i="23"/>
  <c r="B52" i="23"/>
  <c r="AO51" i="23"/>
  <c r="AH51" i="23"/>
  <c r="AD51" i="23"/>
  <c r="AB51" i="23"/>
  <c r="X51" i="23"/>
  <c r="T51" i="23"/>
  <c r="P51" i="23"/>
  <c r="L51" i="23"/>
  <c r="H51" i="23"/>
  <c r="F51" i="23"/>
  <c r="G51" i="23" s="1"/>
  <c r="D51" i="23"/>
  <c r="E51" i="23" s="1"/>
  <c r="C51" i="23"/>
  <c r="B51" i="23"/>
  <c r="AO50" i="23"/>
  <c r="AH50" i="23"/>
  <c r="AD50" i="23"/>
  <c r="AB50" i="23"/>
  <c r="X50" i="23"/>
  <c r="T50" i="23"/>
  <c r="P50" i="23"/>
  <c r="L50" i="23"/>
  <c r="H50" i="23"/>
  <c r="F50" i="23"/>
  <c r="G50" i="23" s="1"/>
  <c r="D50" i="23"/>
  <c r="E50" i="23" s="1"/>
  <c r="C50" i="23"/>
  <c r="B50" i="23"/>
  <c r="AO49" i="23"/>
  <c r="AH49" i="23"/>
  <c r="AD49" i="23"/>
  <c r="AB49" i="23"/>
  <c r="X49" i="23"/>
  <c r="T49" i="23"/>
  <c r="P49" i="23"/>
  <c r="L49" i="23"/>
  <c r="H49" i="23"/>
  <c r="F49" i="23"/>
  <c r="G49" i="23" s="1"/>
  <c r="D49" i="23"/>
  <c r="E49" i="23" s="1"/>
  <c r="C49" i="23"/>
  <c r="B49" i="23"/>
  <c r="AO48" i="23"/>
  <c r="AH48" i="23"/>
  <c r="AD48" i="23"/>
  <c r="AB48" i="23"/>
  <c r="X48" i="23"/>
  <c r="T48" i="23"/>
  <c r="P48" i="23"/>
  <c r="L48" i="23"/>
  <c r="H48" i="23"/>
  <c r="F48" i="23"/>
  <c r="G48" i="23" s="1"/>
  <c r="D48" i="23"/>
  <c r="E48" i="23" s="1"/>
  <c r="C48" i="23"/>
  <c r="B48" i="23"/>
  <c r="AO47" i="23"/>
  <c r="AH47" i="23"/>
  <c r="AD47" i="23"/>
  <c r="AB47" i="23"/>
  <c r="X47" i="23"/>
  <c r="T47" i="23"/>
  <c r="P47" i="23"/>
  <c r="L47" i="23"/>
  <c r="H47" i="23"/>
  <c r="F47" i="23"/>
  <c r="G47" i="23" s="1"/>
  <c r="D47" i="23"/>
  <c r="E47" i="23" s="1"/>
  <c r="C47" i="23"/>
  <c r="B47" i="23"/>
  <c r="AO46" i="23"/>
  <c r="AH46" i="23"/>
  <c r="AD46" i="23"/>
  <c r="AB46" i="23"/>
  <c r="X46" i="23"/>
  <c r="T46" i="23"/>
  <c r="P46" i="23"/>
  <c r="L46" i="23"/>
  <c r="H46" i="23"/>
  <c r="F46" i="23"/>
  <c r="G46" i="23" s="1"/>
  <c r="D46" i="23"/>
  <c r="E46" i="23" s="1"/>
  <c r="C46" i="23"/>
  <c r="B46" i="23"/>
  <c r="AO45" i="23"/>
  <c r="AH45" i="23"/>
  <c r="AD45" i="23"/>
  <c r="AB45" i="23"/>
  <c r="X45" i="23"/>
  <c r="T45" i="23"/>
  <c r="P45" i="23"/>
  <c r="L45" i="23"/>
  <c r="H45" i="23"/>
  <c r="F45" i="23"/>
  <c r="G45" i="23" s="1"/>
  <c r="D45" i="23"/>
  <c r="E45" i="23" s="1"/>
  <c r="C45" i="23"/>
  <c r="B45" i="23"/>
  <c r="AO44" i="23"/>
  <c r="AH44" i="23"/>
  <c r="AD44" i="23"/>
  <c r="AB44" i="23"/>
  <c r="X44" i="23"/>
  <c r="T44" i="23"/>
  <c r="P44" i="23"/>
  <c r="L44" i="23"/>
  <c r="H44" i="23"/>
  <c r="F44" i="23"/>
  <c r="G44" i="23" s="1"/>
  <c r="D44" i="23"/>
  <c r="E44" i="23" s="1"/>
  <c r="C44" i="23"/>
  <c r="B44" i="23"/>
  <c r="AO43" i="23"/>
  <c r="AH43" i="23"/>
  <c r="AD43" i="23"/>
  <c r="AB43" i="23"/>
  <c r="X43" i="23"/>
  <c r="T43" i="23"/>
  <c r="P43" i="23"/>
  <c r="L43" i="23"/>
  <c r="H43" i="23"/>
  <c r="F43" i="23"/>
  <c r="G43" i="23" s="1"/>
  <c r="D43" i="23"/>
  <c r="E43" i="23" s="1"/>
  <c r="C43" i="23"/>
  <c r="B43" i="23"/>
  <c r="AO42" i="23"/>
  <c r="AH42" i="23"/>
  <c r="AD42" i="23"/>
  <c r="AB42" i="23"/>
  <c r="X42" i="23"/>
  <c r="T42" i="23"/>
  <c r="P42" i="23"/>
  <c r="L42" i="23"/>
  <c r="H42" i="23"/>
  <c r="F42" i="23"/>
  <c r="G42" i="23" s="1"/>
  <c r="D42" i="23"/>
  <c r="E42" i="23" s="1"/>
  <c r="C42" i="23"/>
  <c r="B42" i="23"/>
  <c r="AO41" i="23"/>
  <c r="AH41" i="23"/>
  <c r="AD41" i="23"/>
  <c r="AB41" i="23"/>
  <c r="X41" i="23"/>
  <c r="T41" i="23"/>
  <c r="P41" i="23"/>
  <c r="L41" i="23"/>
  <c r="H41" i="23"/>
  <c r="F41" i="23"/>
  <c r="G41" i="23" s="1"/>
  <c r="D41" i="23"/>
  <c r="E41" i="23" s="1"/>
  <c r="C41" i="23"/>
  <c r="B41" i="23"/>
  <c r="AO40" i="23"/>
  <c r="AH40" i="23"/>
  <c r="AD40" i="23"/>
  <c r="AB40" i="23"/>
  <c r="X40" i="23"/>
  <c r="T40" i="23"/>
  <c r="P40" i="23"/>
  <c r="L40" i="23"/>
  <c r="H40" i="23"/>
  <c r="F40" i="23"/>
  <c r="G40" i="23" s="1"/>
  <c r="D40" i="23"/>
  <c r="E40" i="23" s="1"/>
  <c r="C40" i="23"/>
  <c r="B40" i="23"/>
  <c r="AO39" i="23"/>
  <c r="AH39" i="23"/>
  <c r="AD39" i="23"/>
  <c r="AB39" i="23"/>
  <c r="X39" i="23"/>
  <c r="T39" i="23"/>
  <c r="P39" i="23"/>
  <c r="L39" i="23"/>
  <c r="H39" i="23"/>
  <c r="F39" i="23"/>
  <c r="G39" i="23" s="1"/>
  <c r="D39" i="23"/>
  <c r="E39" i="23" s="1"/>
  <c r="C39" i="23"/>
  <c r="B39" i="23"/>
  <c r="AO38" i="23"/>
  <c r="AH38" i="23"/>
  <c r="AD38" i="23"/>
  <c r="AB38" i="23"/>
  <c r="X38" i="23"/>
  <c r="T38" i="23"/>
  <c r="P38" i="23"/>
  <c r="L38" i="23"/>
  <c r="H38" i="23"/>
  <c r="F38" i="23"/>
  <c r="G38" i="23" s="1"/>
  <c r="D38" i="23"/>
  <c r="E38" i="23" s="1"/>
  <c r="C38" i="23"/>
  <c r="B38" i="23"/>
  <c r="AO37" i="23"/>
  <c r="AH37" i="23"/>
  <c r="AD37" i="23"/>
  <c r="AB37" i="23"/>
  <c r="X37" i="23"/>
  <c r="T37" i="23"/>
  <c r="P37" i="23"/>
  <c r="L37" i="23"/>
  <c r="H37" i="23"/>
  <c r="F37" i="23"/>
  <c r="G37" i="23" s="1"/>
  <c r="D37" i="23"/>
  <c r="E37" i="23" s="1"/>
  <c r="C37" i="23"/>
  <c r="B37" i="23"/>
  <c r="AO36" i="23"/>
  <c r="AH36" i="23"/>
  <c r="AD36" i="23"/>
  <c r="AB36" i="23"/>
  <c r="X36" i="23"/>
  <c r="T36" i="23"/>
  <c r="P36" i="23"/>
  <c r="L36" i="23"/>
  <c r="H36" i="23"/>
  <c r="F36" i="23"/>
  <c r="G36" i="23" s="1"/>
  <c r="D36" i="23"/>
  <c r="E36" i="23" s="1"/>
  <c r="C36" i="23"/>
  <c r="B36" i="23"/>
  <c r="AO35" i="23"/>
  <c r="AH35" i="23"/>
  <c r="AD35" i="23"/>
  <c r="AB35" i="23"/>
  <c r="X35" i="23"/>
  <c r="T35" i="23"/>
  <c r="P35" i="23"/>
  <c r="L35" i="23"/>
  <c r="H35" i="23"/>
  <c r="F35" i="23"/>
  <c r="G35" i="23" s="1"/>
  <c r="D35" i="23"/>
  <c r="E35" i="23" s="1"/>
  <c r="C35" i="23"/>
  <c r="B35" i="23"/>
  <c r="AO34" i="23"/>
  <c r="AH34" i="23"/>
  <c r="AD34" i="23"/>
  <c r="AB34" i="23"/>
  <c r="X34" i="23"/>
  <c r="T34" i="23"/>
  <c r="P34" i="23"/>
  <c r="L34" i="23"/>
  <c r="H34" i="23"/>
  <c r="F34" i="23"/>
  <c r="G34" i="23" s="1"/>
  <c r="D34" i="23"/>
  <c r="E34" i="23" s="1"/>
  <c r="C34" i="23"/>
  <c r="B34" i="23"/>
  <c r="AO33" i="23"/>
  <c r="AH33" i="23"/>
  <c r="AD33" i="23"/>
  <c r="AB33" i="23"/>
  <c r="X33" i="23"/>
  <c r="T33" i="23"/>
  <c r="P33" i="23"/>
  <c r="L33" i="23"/>
  <c r="H33" i="23"/>
  <c r="F33" i="23"/>
  <c r="G33" i="23" s="1"/>
  <c r="D33" i="23"/>
  <c r="E33" i="23" s="1"/>
  <c r="C33" i="23"/>
  <c r="B33" i="23"/>
  <c r="AO32" i="23"/>
  <c r="AH32" i="23"/>
  <c r="AD32" i="23"/>
  <c r="AB32" i="23"/>
  <c r="X32" i="23"/>
  <c r="T32" i="23"/>
  <c r="P32" i="23"/>
  <c r="L32" i="23"/>
  <c r="H32" i="23"/>
  <c r="F32" i="23"/>
  <c r="G32" i="23" s="1"/>
  <c r="D32" i="23"/>
  <c r="E32" i="23" s="1"/>
  <c r="C32" i="23"/>
  <c r="B32" i="23"/>
  <c r="AO31" i="23"/>
  <c r="AH31" i="23"/>
  <c r="AD31" i="23"/>
  <c r="AB31" i="23"/>
  <c r="X31" i="23"/>
  <c r="T31" i="23"/>
  <c r="P31" i="23"/>
  <c r="L31" i="23"/>
  <c r="H31" i="23"/>
  <c r="F31" i="23"/>
  <c r="G31" i="23" s="1"/>
  <c r="D31" i="23"/>
  <c r="E31" i="23" s="1"/>
  <c r="C31" i="23"/>
  <c r="B31" i="23"/>
  <c r="AO30" i="23"/>
  <c r="AH30" i="23"/>
  <c r="AD30" i="23"/>
  <c r="AB30" i="23"/>
  <c r="X30" i="23"/>
  <c r="T30" i="23"/>
  <c r="P30" i="23"/>
  <c r="L30" i="23"/>
  <c r="H30" i="23"/>
  <c r="F30" i="23"/>
  <c r="G30" i="23" s="1"/>
  <c r="D30" i="23"/>
  <c r="E30" i="23" s="1"/>
  <c r="C30" i="23"/>
  <c r="B30" i="23"/>
  <c r="AO29" i="23"/>
  <c r="AH29" i="23"/>
  <c r="AD29" i="23"/>
  <c r="AB29" i="23"/>
  <c r="X29" i="23"/>
  <c r="T29" i="23"/>
  <c r="P29" i="23"/>
  <c r="L29" i="23"/>
  <c r="H29" i="23"/>
  <c r="F29" i="23"/>
  <c r="G29" i="23" s="1"/>
  <c r="D29" i="23"/>
  <c r="E29" i="23" s="1"/>
  <c r="C29" i="23"/>
  <c r="B29" i="23"/>
  <c r="AO28" i="23"/>
  <c r="AH28" i="23"/>
  <c r="AD28" i="23"/>
  <c r="AB28" i="23"/>
  <c r="X28" i="23"/>
  <c r="T28" i="23"/>
  <c r="P28" i="23"/>
  <c r="L28" i="23"/>
  <c r="H28" i="23"/>
  <c r="F28" i="23"/>
  <c r="G28" i="23" s="1"/>
  <c r="D28" i="23"/>
  <c r="E28" i="23" s="1"/>
  <c r="C28" i="23"/>
  <c r="B28" i="23"/>
  <c r="AO27" i="23"/>
  <c r="AH27" i="23"/>
  <c r="AD27" i="23"/>
  <c r="AB27" i="23"/>
  <c r="X27" i="23"/>
  <c r="T27" i="23"/>
  <c r="P27" i="23"/>
  <c r="L27" i="23"/>
  <c r="H27" i="23"/>
  <c r="F27" i="23"/>
  <c r="G27" i="23" s="1"/>
  <c r="D27" i="23"/>
  <c r="E27" i="23" s="1"/>
  <c r="C27" i="23"/>
  <c r="B27" i="23"/>
  <c r="AO26" i="23"/>
  <c r="AH26" i="23"/>
  <c r="AD26" i="23"/>
  <c r="AB26" i="23"/>
  <c r="X26" i="23"/>
  <c r="T26" i="23"/>
  <c r="P26" i="23"/>
  <c r="L26" i="23"/>
  <c r="H26" i="23"/>
  <c r="F26" i="23"/>
  <c r="G26" i="23" s="1"/>
  <c r="D26" i="23"/>
  <c r="E26" i="23" s="1"/>
  <c r="C26" i="23"/>
  <c r="B26" i="23"/>
  <c r="AO25" i="23"/>
  <c r="AH25" i="23"/>
  <c r="AD25" i="23"/>
  <c r="AB25" i="23"/>
  <c r="X25" i="23"/>
  <c r="T25" i="23"/>
  <c r="P25" i="23"/>
  <c r="L25" i="23"/>
  <c r="H25" i="23"/>
  <c r="F25" i="23"/>
  <c r="G25" i="23" s="1"/>
  <c r="D25" i="23"/>
  <c r="E25" i="23" s="1"/>
  <c r="C25" i="23"/>
  <c r="B25" i="23"/>
  <c r="AO24" i="23"/>
  <c r="AH24" i="23"/>
  <c r="AD24" i="23"/>
  <c r="AB24" i="23"/>
  <c r="X24" i="23"/>
  <c r="T24" i="23"/>
  <c r="P24" i="23"/>
  <c r="L24" i="23"/>
  <c r="H24" i="23"/>
  <c r="F24" i="23"/>
  <c r="G24" i="23" s="1"/>
  <c r="D24" i="23"/>
  <c r="E24" i="23" s="1"/>
  <c r="C24" i="23"/>
  <c r="B24" i="23"/>
  <c r="AO23" i="23"/>
  <c r="AH23" i="23"/>
  <c r="AD23" i="23"/>
  <c r="AB23" i="23"/>
  <c r="X23" i="23"/>
  <c r="T23" i="23"/>
  <c r="P23" i="23"/>
  <c r="L23" i="23"/>
  <c r="H23" i="23"/>
  <c r="F23" i="23"/>
  <c r="G23" i="23" s="1"/>
  <c r="D23" i="23"/>
  <c r="E23" i="23" s="1"/>
  <c r="C23" i="23"/>
  <c r="B23" i="23"/>
  <c r="AO22" i="23"/>
  <c r="AH22" i="23"/>
  <c r="AD22" i="23"/>
  <c r="AE22" i="23" s="1"/>
  <c r="AB22" i="23"/>
  <c r="X22" i="23"/>
  <c r="T22" i="23"/>
  <c r="P22" i="23"/>
  <c r="L22" i="23"/>
  <c r="H22" i="23"/>
  <c r="F22" i="23"/>
  <c r="G22" i="23" s="1"/>
  <c r="D22" i="23"/>
  <c r="E22" i="23" s="1"/>
  <c r="C22" i="23"/>
  <c r="B22" i="23"/>
  <c r="AO21" i="23"/>
  <c r="AH21" i="23"/>
  <c r="AD21" i="23"/>
  <c r="AB21" i="23"/>
  <c r="X21" i="23"/>
  <c r="T21" i="23"/>
  <c r="P21" i="23"/>
  <c r="L21" i="23"/>
  <c r="H21" i="23"/>
  <c r="F21" i="23"/>
  <c r="G21" i="23" s="1"/>
  <c r="D21" i="23"/>
  <c r="E21" i="23" s="1"/>
  <c r="C21" i="23"/>
  <c r="B21" i="23"/>
  <c r="AO20" i="23"/>
  <c r="AH20" i="23"/>
  <c r="AD20" i="23"/>
  <c r="AB20" i="23"/>
  <c r="X20" i="23"/>
  <c r="T20" i="23"/>
  <c r="P20" i="23"/>
  <c r="Q20" i="23" s="1"/>
  <c r="L20" i="23"/>
  <c r="H20" i="23"/>
  <c r="F20" i="23"/>
  <c r="G20" i="23" s="1"/>
  <c r="D20" i="23"/>
  <c r="E20" i="23" s="1"/>
  <c r="C20" i="23"/>
  <c r="B20" i="23"/>
  <c r="AO19" i="23"/>
  <c r="AH19" i="23"/>
  <c r="AD19" i="23"/>
  <c r="AB19" i="23"/>
  <c r="X19" i="23"/>
  <c r="T19" i="23"/>
  <c r="U19" i="23" s="1"/>
  <c r="P19" i="23"/>
  <c r="L19" i="23"/>
  <c r="M19" i="23" s="1"/>
  <c r="H19" i="23"/>
  <c r="F19" i="23"/>
  <c r="G19" i="23" s="1"/>
  <c r="D19" i="23"/>
  <c r="E19" i="23" s="1"/>
  <c r="C19" i="23"/>
  <c r="B19" i="23"/>
  <c r="AO18" i="23"/>
  <c r="AH18" i="23"/>
  <c r="AI18" i="23" s="1"/>
  <c r="AD18" i="23"/>
  <c r="AB18" i="23"/>
  <c r="X18" i="23"/>
  <c r="T18" i="23"/>
  <c r="P18" i="23"/>
  <c r="L18" i="23"/>
  <c r="H18" i="23"/>
  <c r="F18" i="23"/>
  <c r="G18" i="23" s="1"/>
  <c r="D18" i="23"/>
  <c r="E18" i="23" s="1"/>
  <c r="C18" i="23"/>
  <c r="B18" i="23"/>
  <c r="AO17" i="23"/>
  <c r="AH17" i="23"/>
  <c r="AD17" i="23"/>
  <c r="AB17" i="23"/>
  <c r="X17" i="23"/>
  <c r="T17" i="23"/>
  <c r="P17" i="23"/>
  <c r="L17" i="23"/>
  <c r="H17" i="23"/>
  <c r="F17" i="23"/>
  <c r="G17" i="23" s="1"/>
  <c r="D17" i="23"/>
  <c r="E17" i="23" s="1"/>
  <c r="C17" i="23"/>
  <c r="B17" i="23"/>
  <c r="AO16" i="23"/>
  <c r="AH16" i="23"/>
  <c r="AD16" i="23"/>
  <c r="AB16" i="23"/>
  <c r="X16" i="23"/>
  <c r="T16" i="23"/>
  <c r="U16" i="23" s="1"/>
  <c r="P16" i="23"/>
  <c r="L16" i="23"/>
  <c r="M16" i="23" s="1"/>
  <c r="H16" i="23"/>
  <c r="F16" i="23"/>
  <c r="G16" i="23" s="1"/>
  <c r="D16" i="23"/>
  <c r="E16" i="23" s="1"/>
  <c r="C16" i="23"/>
  <c r="B16" i="23"/>
  <c r="AO15" i="23"/>
  <c r="AH15" i="23"/>
  <c r="AD15" i="23"/>
  <c r="AB15" i="23"/>
  <c r="X15" i="23"/>
  <c r="Y15" i="23" s="1"/>
  <c r="T15" i="23"/>
  <c r="P15" i="23"/>
  <c r="Q15" i="23" s="1"/>
  <c r="L15" i="23"/>
  <c r="H15" i="23"/>
  <c r="F15" i="23"/>
  <c r="G15" i="23" s="1"/>
  <c r="D15" i="23"/>
  <c r="E15" i="23" s="1"/>
  <c r="C15" i="23"/>
  <c r="B15" i="23"/>
  <c r="AO14" i="23"/>
  <c r="AH14" i="23"/>
  <c r="AD14" i="23"/>
  <c r="AE14" i="23" s="1"/>
  <c r="AB14" i="23"/>
  <c r="X14" i="23"/>
  <c r="T14" i="23"/>
  <c r="P14" i="23"/>
  <c r="L14" i="23"/>
  <c r="H14" i="23"/>
  <c r="F14" i="23"/>
  <c r="G14" i="23" s="1"/>
  <c r="D14" i="23"/>
  <c r="E14" i="23" s="1"/>
  <c r="C14" i="23"/>
  <c r="B14" i="23"/>
  <c r="AO13" i="23"/>
  <c r="AH13" i="23"/>
  <c r="AI13" i="23" s="1"/>
  <c r="AD13" i="23"/>
  <c r="AB13" i="23"/>
  <c r="X13" i="23"/>
  <c r="T13" i="23"/>
  <c r="P13" i="23"/>
  <c r="L13" i="23"/>
  <c r="H13" i="23"/>
  <c r="F13" i="23"/>
  <c r="G13" i="23" s="1"/>
  <c r="D13" i="23"/>
  <c r="E13" i="23" s="1"/>
  <c r="C13" i="23"/>
  <c r="B13" i="23"/>
  <c r="AO12" i="23"/>
  <c r="AH12" i="23"/>
  <c r="AD12" i="23"/>
  <c r="AB12" i="23"/>
  <c r="X12" i="23"/>
  <c r="T12" i="23"/>
  <c r="P12" i="23"/>
  <c r="Q12" i="23" s="1"/>
  <c r="L12" i="23"/>
  <c r="H12" i="23"/>
  <c r="F12" i="23"/>
  <c r="G12" i="23" s="1"/>
  <c r="D12" i="23"/>
  <c r="E12" i="23" s="1"/>
  <c r="C12" i="23"/>
  <c r="B12" i="23"/>
  <c r="AO11" i="23"/>
  <c r="AH11" i="23"/>
  <c r="AD11" i="23"/>
  <c r="AB11" i="23"/>
  <c r="X11" i="23"/>
  <c r="T11" i="23"/>
  <c r="U11" i="23" s="1"/>
  <c r="P11" i="23"/>
  <c r="L11" i="23"/>
  <c r="M11" i="23" s="1"/>
  <c r="H11" i="23"/>
  <c r="F11" i="23"/>
  <c r="G11" i="23" s="1"/>
  <c r="D11" i="23"/>
  <c r="E11" i="23" s="1"/>
  <c r="C11" i="23"/>
  <c r="B11" i="23"/>
  <c r="AO10" i="23"/>
  <c r="AH10" i="23"/>
  <c r="AI10" i="23" s="1"/>
  <c r="AD10" i="23"/>
  <c r="AB10" i="23"/>
  <c r="X10" i="23"/>
  <c r="T10" i="23"/>
  <c r="P10" i="23"/>
  <c r="L10" i="23"/>
  <c r="H10" i="23"/>
  <c r="F10" i="23"/>
  <c r="G10" i="23" s="1"/>
  <c r="D10" i="23"/>
  <c r="E10" i="23" s="1"/>
  <c r="C10" i="23"/>
  <c r="B10" i="23"/>
  <c r="AO9" i="23"/>
  <c r="AH9" i="23"/>
  <c r="AD9" i="23"/>
  <c r="AB9" i="23"/>
  <c r="X9" i="23"/>
  <c r="T9" i="23"/>
  <c r="P9" i="23"/>
  <c r="L9" i="23"/>
  <c r="H9" i="23"/>
  <c r="F9" i="23"/>
  <c r="G9" i="23" s="1"/>
  <c r="D9" i="23"/>
  <c r="E9" i="23" s="1"/>
  <c r="C9" i="23"/>
  <c r="B9" i="23"/>
  <c r="AO8" i="23"/>
  <c r="AH8" i="23"/>
  <c r="AD8" i="23"/>
  <c r="AB8" i="23"/>
  <c r="X8" i="23"/>
  <c r="T8" i="23"/>
  <c r="U8" i="23" s="1"/>
  <c r="P8" i="23"/>
  <c r="L8" i="23"/>
  <c r="M8" i="23" s="1"/>
  <c r="H8" i="23"/>
  <c r="F8" i="23"/>
  <c r="G8" i="23" s="1"/>
  <c r="D8" i="23"/>
  <c r="E8" i="23" s="1"/>
  <c r="C8" i="23"/>
  <c r="B8" i="23"/>
  <c r="AO7" i="23"/>
  <c r="AH7" i="23"/>
  <c r="AD7" i="23"/>
  <c r="AB7" i="23"/>
  <c r="X7" i="23"/>
  <c r="T7" i="23"/>
  <c r="P7" i="23"/>
  <c r="Q7" i="23" s="1"/>
  <c r="L7" i="23"/>
  <c r="M7" i="23" s="1"/>
  <c r="H7" i="23"/>
  <c r="F7" i="23"/>
  <c r="G7" i="23" s="1"/>
  <c r="D7" i="23"/>
  <c r="E7" i="23" s="1"/>
  <c r="C7" i="23"/>
  <c r="B7" i="23"/>
  <c r="AH3" i="23"/>
  <c r="AD3" i="23"/>
  <c r="AF51" i="23" s="1"/>
  <c r="X3" i="23"/>
  <c r="Z59" i="23" s="1"/>
  <c r="T3" i="23"/>
  <c r="V10" i="23" s="1"/>
  <c r="P3" i="23"/>
  <c r="L3" i="23"/>
  <c r="H3" i="23"/>
  <c r="D1160" i="16"/>
  <c r="D1168" i="16"/>
  <c r="D749" i="16"/>
  <c r="D1962" i="16"/>
  <c r="D1857" i="16"/>
  <c r="D1279" i="16"/>
  <c r="D634" i="16"/>
  <c r="D1846" i="16"/>
  <c r="D1433" i="16"/>
  <c r="D713" i="16"/>
  <c r="D1222" i="16"/>
  <c r="D922" i="16"/>
  <c r="D920" i="16"/>
  <c r="D427" i="16"/>
  <c r="D1646" i="16"/>
  <c r="D1275" i="16"/>
  <c r="D506" i="16"/>
  <c r="D892" i="16"/>
  <c r="D1284" i="16"/>
  <c r="D1862" i="16"/>
  <c r="D1853" i="16"/>
  <c r="D2140" i="16"/>
  <c r="D1931" i="16"/>
  <c r="D1319" i="16"/>
  <c r="D1709" i="16"/>
  <c r="D1890" i="16"/>
  <c r="D1541" i="16"/>
  <c r="D2019" i="16"/>
  <c r="D233" i="16"/>
  <c r="D1270" i="16"/>
  <c r="D1555" i="16"/>
  <c r="D1701" i="16"/>
  <c r="D1886" i="16"/>
  <c r="D1262" i="16"/>
  <c r="D366" i="16"/>
  <c r="D301" i="16"/>
  <c r="D884" i="16"/>
  <c r="D460" i="16"/>
  <c r="D2164" i="16"/>
  <c r="D1481" i="16"/>
  <c r="D300" i="16"/>
  <c r="D288" i="16"/>
  <c r="D1081" i="16"/>
  <c r="D545" i="16"/>
  <c r="D398" i="16"/>
  <c r="D1536" i="16"/>
  <c r="D762" i="16"/>
  <c r="D674" i="16"/>
  <c r="D1320" i="16"/>
  <c r="D1982" i="16"/>
  <c r="D512" i="16"/>
  <c r="D2068" i="16"/>
  <c r="D477" i="16"/>
  <c r="D385" i="16"/>
  <c r="D1494" i="16"/>
  <c r="D643" i="16"/>
  <c r="D1123" i="16"/>
  <c r="D1863" i="16"/>
  <c r="D347" i="16"/>
  <c r="D1148" i="16"/>
  <c r="D1534" i="16"/>
  <c r="D1480" i="16"/>
  <c r="D1299" i="16"/>
  <c r="D1116" i="16"/>
  <c r="D298" i="16"/>
  <c r="D808" i="16"/>
  <c r="D267" i="16"/>
  <c r="D1614" i="16"/>
  <c r="D295" i="16"/>
  <c r="D1136" i="16"/>
  <c r="D1242" i="16"/>
  <c r="D1610" i="16"/>
  <c r="D279" i="16"/>
  <c r="D726" i="16"/>
  <c r="D1315" i="16"/>
  <c r="D1720" i="16"/>
  <c r="D257" i="16"/>
  <c r="D1784" i="16"/>
  <c r="D1986" i="16"/>
  <c r="D496" i="16"/>
  <c r="D200" i="16"/>
  <c r="D478" i="16"/>
  <c r="D77" i="16"/>
  <c r="D1504" i="16"/>
  <c r="D1243" i="16"/>
  <c r="D1342" i="16"/>
  <c r="D1487" i="16"/>
  <c r="D272" i="16"/>
  <c r="D1180" i="16"/>
  <c r="D1301" i="16"/>
  <c r="D1560" i="16"/>
  <c r="D1654" i="16"/>
  <c r="D92" i="16"/>
  <c r="D838" i="16"/>
  <c r="D1235" i="16"/>
  <c r="D1644" i="16"/>
  <c r="D1447" i="16"/>
  <c r="D1347" i="16"/>
  <c r="D761" i="16"/>
  <c r="D95" i="16"/>
  <c r="D299" i="16"/>
  <c r="D1852" i="16"/>
  <c r="D153" i="16"/>
  <c r="D1199" i="16"/>
  <c r="D495" i="16"/>
  <c r="D2107" i="16"/>
  <c r="D839" i="16"/>
  <c r="D488" i="16"/>
  <c r="D532" i="16"/>
  <c r="D1574" i="16"/>
  <c r="D2187" i="16"/>
  <c r="D350" i="16"/>
  <c r="D572" i="16"/>
  <c r="D501" i="16"/>
  <c r="D269" i="16"/>
  <c r="D756" i="16"/>
  <c r="D716" i="16"/>
  <c r="D768" i="16"/>
  <c r="D1341" i="16"/>
  <c r="D1304" i="16"/>
  <c r="D1303" i="16"/>
  <c r="D1575" i="16"/>
  <c r="D1318" i="16"/>
  <c r="D1864" i="16"/>
  <c r="D1179" i="16"/>
  <c r="D1340" i="16"/>
  <c r="D1317" i="16"/>
  <c r="D560" i="16"/>
  <c r="D1300" i="16"/>
  <c r="D235" i="16"/>
  <c r="D982" i="16"/>
  <c r="D2160" i="16"/>
  <c r="D2186" i="16"/>
  <c r="D765" i="16"/>
  <c r="D2103" i="16"/>
  <c r="D1956" i="16"/>
  <c r="D1861" i="16"/>
  <c r="D400" i="16"/>
  <c r="D1856" i="16"/>
  <c r="D2184" i="16"/>
  <c r="D953" i="16"/>
  <c r="D969" i="16"/>
  <c r="D779" i="16"/>
  <c r="D205" i="16"/>
  <c r="D1001" i="16"/>
  <c r="D1627" i="16"/>
  <c r="D1075" i="16"/>
  <c r="D1124" i="16"/>
  <c r="D890" i="16"/>
  <c r="D1573" i="16"/>
  <c r="D155" i="16"/>
  <c r="D1817" i="16"/>
  <c r="D1981" i="16"/>
  <c r="D332" i="16"/>
  <c r="D1066" i="16"/>
  <c r="D896" i="16"/>
  <c r="D2058" i="16"/>
  <c r="D1474" i="16"/>
  <c r="D583" i="16"/>
  <c r="D276" i="16"/>
  <c r="D691" i="16"/>
  <c r="D1367" i="16"/>
  <c r="D321" i="16"/>
  <c r="D573" i="16"/>
  <c r="D1569" i="16"/>
  <c r="D79" i="16"/>
  <c r="D461" i="16"/>
  <c r="D80" i="16"/>
  <c r="D1366" i="16"/>
  <c r="D2064" i="16"/>
  <c r="D324" i="16"/>
  <c r="D1676" i="16"/>
  <c r="D271" i="16"/>
  <c r="D1577" i="16"/>
  <c r="D1107" i="16"/>
  <c r="D861" i="16"/>
  <c r="D2015" i="16"/>
  <c r="D2188" i="16"/>
  <c r="D1535" i="16"/>
  <c r="D947" i="16"/>
  <c r="D309" i="16"/>
  <c r="D1605" i="16"/>
  <c r="D1228" i="16"/>
  <c r="D318" i="16"/>
  <c r="D1295" i="16"/>
  <c r="D1740" i="16"/>
  <c r="D963" i="16"/>
  <c r="D2106" i="16"/>
  <c r="D680" i="16"/>
  <c r="D160" i="16"/>
  <c r="D2079" i="16"/>
  <c r="D1954" i="16"/>
  <c r="D747" i="16"/>
  <c r="D2005" i="16"/>
  <c r="D1227" i="16"/>
  <c r="D1109" i="16"/>
  <c r="D494" i="16"/>
  <c r="D386" i="16"/>
  <c r="D387" i="16"/>
  <c r="D1679" i="16"/>
  <c r="D1149" i="16"/>
  <c r="D112" i="16"/>
  <c r="D375" i="16"/>
  <c r="D451" i="16"/>
  <c r="D675" i="16"/>
  <c r="D1282" i="16"/>
  <c r="D236" i="16"/>
  <c r="D282" i="16"/>
  <c r="D2006" i="16"/>
  <c r="D1135" i="16"/>
  <c r="D259" i="16"/>
  <c r="D1364" i="16"/>
  <c r="D579" i="16"/>
  <c r="D1850" i="16"/>
  <c r="D996" i="16"/>
  <c r="D2088" i="16"/>
  <c r="D1271" i="16"/>
  <c r="D1435" i="16"/>
  <c r="D1915" i="16"/>
  <c r="D1924" i="16"/>
  <c r="D1485" i="16"/>
  <c r="D1338" i="16"/>
  <c r="D1108" i="16"/>
  <c r="D1530" i="16"/>
  <c r="D1897" i="16"/>
  <c r="D1258" i="16"/>
  <c r="D660" i="16"/>
  <c r="D1090" i="16"/>
  <c r="D528" i="16"/>
  <c r="D932" i="16"/>
  <c r="D1377" i="16"/>
  <c r="D665" i="16"/>
  <c r="D1723" i="16"/>
  <c r="D1345" i="16"/>
  <c r="D1711" i="16"/>
  <c r="D1900" i="16"/>
  <c r="D551" i="16"/>
  <c r="D60" i="16"/>
  <c r="D1477" i="16"/>
  <c r="D296" i="16"/>
  <c r="D1231" i="16"/>
  <c r="D2182" i="16"/>
  <c r="D370" i="16"/>
  <c r="D63" i="16"/>
  <c r="D901" i="16"/>
  <c r="D1934" i="16"/>
  <c r="D349" i="16"/>
  <c r="D1606" i="16"/>
  <c r="D450" i="16"/>
  <c r="D266" i="16"/>
  <c r="D258" i="16"/>
  <c r="D273" i="16"/>
  <c r="D1200" i="16"/>
  <c r="D786" i="16"/>
  <c r="D1105" i="16"/>
  <c r="D154" i="16"/>
  <c r="D2057" i="16"/>
  <c r="D1302" i="16"/>
  <c r="D727" i="16"/>
  <c r="D977" i="16"/>
  <c r="D368" i="16"/>
  <c r="D705" i="16"/>
  <c r="D1523" i="16"/>
  <c r="D1439" i="16"/>
  <c r="D1305" i="16"/>
  <c r="D2183" i="16"/>
  <c r="D891" i="16"/>
  <c r="D559" i="16"/>
  <c r="D280" i="16"/>
  <c r="D1731" i="16"/>
  <c r="D2115" i="16"/>
  <c r="D999" i="16"/>
  <c r="D1538" i="16"/>
  <c r="D2022" i="16"/>
  <c r="D1083" i="16"/>
  <c r="D1473" i="16"/>
  <c r="D893" i="16"/>
  <c r="D287" i="16"/>
  <c r="D923" i="16"/>
  <c r="D849" i="16"/>
  <c r="D1316" i="16"/>
  <c r="D17" i="16"/>
  <c r="D2112" i="16"/>
  <c r="D1286" i="16"/>
  <c r="D1283" i="16"/>
  <c r="D1739" i="16"/>
  <c r="D1542" i="16"/>
  <c r="D1851" i="16"/>
  <c r="D2155" i="16"/>
  <c r="D1263" i="16"/>
  <c r="D1596" i="16"/>
  <c r="D1122" i="16"/>
  <c r="D1645" i="16"/>
  <c r="D796" i="16"/>
  <c r="D459" i="16"/>
  <c r="D1138" i="16"/>
  <c r="D693" i="16"/>
  <c r="D936" i="16"/>
  <c r="D1009" i="16"/>
  <c r="D1292" i="16"/>
  <c r="D529" i="16"/>
  <c r="D876" i="16"/>
  <c r="D1190" i="16"/>
  <c r="D582" i="16"/>
  <c r="D1642" i="16"/>
  <c r="D1118" i="16"/>
  <c r="D605" i="16"/>
  <c r="D1082" i="16"/>
  <c r="D789" i="16"/>
  <c r="D1440" i="16"/>
  <c r="D1576" i="16"/>
  <c r="D1244" i="16"/>
  <c r="D652" i="16"/>
  <c r="D1416" i="16"/>
  <c r="D1226" i="16"/>
  <c r="D587" i="16"/>
  <c r="D1219" i="16"/>
  <c r="D285" i="16"/>
  <c r="D692" i="16"/>
  <c r="D1399" i="16"/>
  <c r="D2124" i="16"/>
  <c r="D970" i="16"/>
  <c r="D894" i="16"/>
  <c r="D1261" i="16"/>
  <c r="D2001" i="16"/>
  <c r="D655" i="16"/>
  <c r="D1115" i="16"/>
  <c r="D2167" i="16"/>
  <c r="D941" i="16"/>
  <c r="D1449" i="16"/>
  <c r="D2168" i="16"/>
  <c r="D611" i="16"/>
  <c r="D367" i="16"/>
  <c r="D1208" i="16"/>
  <c r="D1321" i="16"/>
  <c r="D1987" i="16"/>
  <c r="D769" i="16"/>
  <c r="D1581" i="16"/>
  <c r="D2135" i="16"/>
  <c r="D1032" i="16"/>
  <c r="D1281" i="16"/>
  <c r="D635" i="16"/>
  <c r="D597" i="16"/>
  <c r="D2114" i="16"/>
  <c r="D270" i="16"/>
  <c r="D720" i="16"/>
  <c r="D1202" i="16"/>
  <c r="D1065" i="16"/>
  <c r="D1493" i="16"/>
  <c r="D1125" i="16"/>
  <c r="D862" i="16"/>
  <c r="D359" i="16"/>
  <c r="D358" i="16"/>
  <c r="D1876" i="16"/>
  <c r="D745" i="16"/>
  <c r="D975" i="16"/>
  <c r="D1306" i="16"/>
  <c r="D502" i="16"/>
  <c r="D2185" i="16"/>
  <c r="D542" i="16"/>
  <c r="D1000" i="16"/>
  <c r="D284" i="16"/>
  <c r="D1450" i="16"/>
  <c r="D1441" i="16"/>
  <c r="D806" i="16"/>
  <c r="D1392" i="16"/>
  <c r="D1659" i="16"/>
  <c r="D1511" i="16"/>
  <c r="D664" i="16"/>
  <c r="D2059" i="16"/>
  <c r="D328" i="16"/>
  <c r="D942" i="16"/>
  <c r="D1280" i="16"/>
  <c r="D310" i="16"/>
  <c r="D1325" i="16"/>
  <c r="D1967" i="16"/>
  <c r="D826" i="16"/>
  <c r="D659" i="16"/>
  <c r="D76" i="16"/>
  <c r="D748" i="16"/>
  <c r="D320" i="16"/>
  <c r="D453" i="16"/>
  <c r="D1707" i="16"/>
  <c r="D1393" i="16"/>
  <c r="D1738" i="16"/>
  <c r="D1484" i="16"/>
  <c r="D921" i="16"/>
  <c r="D1054" i="16"/>
  <c r="D895" i="16"/>
  <c r="D487" i="16"/>
  <c r="D1352" i="16"/>
  <c r="D1068" i="16"/>
  <c r="D556" i="16"/>
  <c r="D462" i="16"/>
  <c r="D598" i="16"/>
  <c r="D1401" i="16"/>
  <c r="D6" i="16"/>
  <c r="D1925" i="16"/>
  <c r="D1680" i="16"/>
  <c r="D329" i="16"/>
  <c r="D995" i="16"/>
  <c r="D1139" i="16"/>
  <c r="D335" i="16"/>
  <c r="D1348" i="16"/>
  <c r="D1966" i="16"/>
  <c r="D1603" i="16"/>
  <c r="D1296" i="16"/>
  <c r="D766" i="16"/>
  <c r="D1725" i="16"/>
  <c r="D454" i="16"/>
  <c r="D1137" i="16"/>
  <c r="D2004" i="16"/>
  <c r="D1129" i="16"/>
  <c r="D1055" i="16"/>
  <c r="D475" i="16"/>
  <c r="D804" i="16"/>
  <c r="D1751" i="16"/>
  <c r="D319" i="16"/>
  <c r="D1724" i="16"/>
  <c r="D1349" i="16"/>
  <c r="D1351" i="16"/>
  <c r="D734" i="16"/>
  <c r="D1141" i="16"/>
  <c r="D1346" i="16"/>
  <c r="D1103" i="16"/>
  <c r="D94" i="16"/>
  <c r="D1519" i="16"/>
  <c r="D997" i="16"/>
  <c r="D530" i="16"/>
  <c r="D216" i="16"/>
  <c r="D1411" i="16"/>
  <c r="D656" i="16"/>
  <c r="D371" i="16"/>
  <c r="D357" i="16"/>
  <c r="D1194" i="16"/>
  <c r="D452" i="16"/>
  <c r="D1357" i="16"/>
  <c r="D1600" i="16"/>
  <c r="D2101" i="16"/>
  <c r="D62" i="16"/>
  <c r="D348" i="16"/>
  <c r="D524" i="16"/>
  <c r="D612" i="16"/>
  <c r="D1552" i="16"/>
  <c r="D1893" i="16"/>
  <c r="D1350" i="16"/>
  <c r="D1783" i="16"/>
  <c r="D1901" i="16"/>
  <c r="D1568" i="16"/>
  <c r="D118" i="16"/>
  <c r="D943" i="16"/>
  <c r="D31" i="16"/>
  <c r="D232" i="16"/>
  <c r="D944" i="16"/>
  <c r="D962" i="16"/>
  <c r="D767" i="16"/>
  <c r="D1067" i="16"/>
  <c r="D1643" i="16"/>
  <c r="D1167" i="16"/>
  <c r="D221" i="16"/>
  <c r="D1064" i="16"/>
  <c r="D533" i="16"/>
  <c r="D2074" i="16"/>
  <c r="D1197" i="16"/>
  <c r="D788" i="16"/>
  <c r="D277" i="16"/>
  <c r="D163" i="16"/>
  <c r="D1937" i="16"/>
  <c r="D330" i="16"/>
  <c r="D1285" i="16"/>
  <c r="D1293" i="16"/>
  <c r="D1810" i="16"/>
  <c r="D863" i="16"/>
  <c r="D286" i="16"/>
  <c r="D1276" i="16"/>
  <c r="D1587" i="16"/>
  <c r="D1294" i="16"/>
  <c r="D1567" i="16"/>
  <c r="D1475" i="16"/>
  <c r="D1478" i="16"/>
  <c r="D1946" i="16"/>
  <c r="D1708" i="16"/>
  <c r="D549" i="16"/>
  <c r="D1128" i="16"/>
  <c r="D2100" i="16"/>
  <c r="D1140" i="16"/>
  <c r="D1520" i="16"/>
  <c r="D1130" i="16"/>
  <c r="D162" i="16"/>
  <c r="D265" i="16"/>
  <c r="D1365" i="16"/>
  <c r="D2181" i="16"/>
  <c r="D1236" i="16"/>
  <c r="D770" i="16"/>
  <c r="D1647" i="16"/>
  <c r="D1588" i="16"/>
  <c r="D1394" i="16"/>
  <c r="D1368" i="16"/>
  <c r="D1251" i="16"/>
  <c r="D790" i="16"/>
  <c r="D527" i="16"/>
  <c r="D1992" i="16"/>
  <c r="D588" i="16"/>
  <c r="D113" i="16"/>
  <c r="D1291" i="16"/>
  <c r="D93" i="16"/>
  <c r="D161" i="16"/>
  <c r="D1732" i="16"/>
  <c r="D1053" i="16"/>
  <c r="D1445" i="16"/>
  <c r="D1446" i="16"/>
  <c r="D1121" i="16"/>
  <c r="D1486" i="16"/>
  <c r="D1615" i="16"/>
  <c r="D132" i="16"/>
  <c r="D449" i="16"/>
  <c r="D523" i="16"/>
  <c r="D589" i="16"/>
  <c r="D27" i="16"/>
  <c r="D61" i="16"/>
  <c r="D441" i="16"/>
  <c r="D360" i="16"/>
  <c r="D1253" i="16"/>
  <c r="D550" i="16"/>
  <c r="C1160" i="16"/>
  <c r="C1168" i="16"/>
  <c r="C749" i="16"/>
  <c r="C1962" i="16"/>
  <c r="C1857" i="16"/>
  <c r="C1279" i="16"/>
  <c r="C634" i="16"/>
  <c r="C1846" i="16"/>
  <c r="C1433" i="16"/>
  <c r="C713" i="16"/>
  <c r="C1222" i="16"/>
  <c r="C922" i="16"/>
  <c r="C920" i="16"/>
  <c r="C427" i="16"/>
  <c r="C1646" i="16"/>
  <c r="C1275" i="16"/>
  <c r="C506" i="16"/>
  <c r="C892" i="16"/>
  <c r="C1284" i="16"/>
  <c r="C1862" i="16"/>
  <c r="C1853" i="16"/>
  <c r="C2140" i="16"/>
  <c r="C1931" i="16"/>
  <c r="C1319" i="16"/>
  <c r="C1709" i="16"/>
  <c r="C1890" i="16"/>
  <c r="C1541" i="16"/>
  <c r="C2019" i="16"/>
  <c r="C233" i="16"/>
  <c r="C1270" i="16"/>
  <c r="C1555" i="16"/>
  <c r="C1701" i="16"/>
  <c r="C1886" i="16"/>
  <c r="C1262" i="16"/>
  <c r="C366" i="16"/>
  <c r="C301" i="16"/>
  <c r="C884" i="16"/>
  <c r="C460" i="16"/>
  <c r="C2164" i="16"/>
  <c r="C1481" i="16"/>
  <c r="C300" i="16"/>
  <c r="C288" i="16"/>
  <c r="C1081" i="16"/>
  <c r="C545" i="16"/>
  <c r="C398" i="16"/>
  <c r="C1536" i="16"/>
  <c r="C762" i="16"/>
  <c r="C674" i="16"/>
  <c r="C1320" i="16"/>
  <c r="C1982" i="16"/>
  <c r="C512" i="16"/>
  <c r="C2068" i="16"/>
  <c r="C477" i="16"/>
  <c r="C385" i="16"/>
  <c r="C1494" i="16"/>
  <c r="C643" i="16"/>
  <c r="C1123" i="16"/>
  <c r="C1863" i="16"/>
  <c r="C347" i="16"/>
  <c r="C1148" i="16"/>
  <c r="C1534" i="16"/>
  <c r="C1480" i="16"/>
  <c r="C1299" i="16"/>
  <c r="C1116" i="16"/>
  <c r="C298" i="16"/>
  <c r="C808" i="16"/>
  <c r="C267" i="16"/>
  <c r="C1614" i="16"/>
  <c r="C295" i="16"/>
  <c r="C1136" i="16"/>
  <c r="C1242" i="16"/>
  <c r="C1610" i="16"/>
  <c r="C279" i="16"/>
  <c r="C726" i="16"/>
  <c r="C1315" i="16"/>
  <c r="C1720" i="16"/>
  <c r="C257" i="16"/>
  <c r="C1784" i="16"/>
  <c r="C1986" i="16"/>
  <c r="C496" i="16"/>
  <c r="C200" i="16"/>
  <c r="C478" i="16"/>
  <c r="C77" i="16"/>
  <c r="C1504" i="16"/>
  <c r="C1243" i="16"/>
  <c r="C1342" i="16"/>
  <c r="C1487" i="16"/>
  <c r="C272" i="16"/>
  <c r="C1180" i="16"/>
  <c r="C1301" i="16"/>
  <c r="C1560" i="16"/>
  <c r="C1654" i="16"/>
  <c r="C92" i="16"/>
  <c r="C838" i="16"/>
  <c r="C1235" i="16"/>
  <c r="C1644" i="16"/>
  <c r="C1447" i="16"/>
  <c r="C1347" i="16"/>
  <c r="C761" i="16"/>
  <c r="C95" i="16"/>
  <c r="C299" i="16"/>
  <c r="C1852" i="16"/>
  <c r="C153" i="16"/>
  <c r="C1199" i="16"/>
  <c r="C495" i="16"/>
  <c r="C2107" i="16"/>
  <c r="C839" i="16"/>
  <c r="C488" i="16"/>
  <c r="C532" i="16"/>
  <c r="C1574" i="16"/>
  <c r="C2187" i="16"/>
  <c r="C350" i="16"/>
  <c r="C572" i="16"/>
  <c r="C501" i="16"/>
  <c r="C269" i="16"/>
  <c r="C756" i="16"/>
  <c r="C716" i="16"/>
  <c r="C768" i="16"/>
  <c r="C1341" i="16"/>
  <c r="C1304" i="16"/>
  <c r="C1303" i="16"/>
  <c r="C1575" i="16"/>
  <c r="C1318" i="16"/>
  <c r="C1864" i="16"/>
  <c r="C1179" i="16"/>
  <c r="C1340" i="16"/>
  <c r="C1317" i="16"/>
  <c r="C560" i="16"/>
  <c r="C1300" i="16"/>
  <c r="C235" i="16"/>
  <c r="C982" i="16"/>
  <c r="C2160" i="16"/>
  <c r="C2186" i="16"/>
  <c r="C765" i="16"/>
  <c r="C2103" i="16"/>
  <c r="C1956" i="16"/>
  <c r="C1861" i="16"/>
  <c r="C400" i="16"/>
  <c r="C1856" i="16"/>
  <c r="C2184" i="16"/>
  <c r="C953" i="16"/>
  <c r="C969" i="16"/>
  <c r="C779" i="16"/>
  <c r="C205" i="16"/>
  <c r="C1001" i="16"/>
  <c r="C1627" i="16"/>
  <c r="C1075" i="16"/>
  <c r="C1124" i="16"/>
  <c r="C890" i="16"/>
  <c r="C1573" i="16"/>
  <c r="C155" i="16"/>
  <c r="C1817" i="16"/>
  <c r="C1981" i="16"/>
  <c r="C332" i="16"/>
  <c r="C1066" i="16"/>
  <c r="C896" i="16"/>
  <c r="C2058" i="16"/>
  <c r="C1474" i="16"/>
  <c r="C583" i="16"/>
  <c r="C276" i="16"/>
  <c r="C691" i="16"/>
  <c r="C1367" i="16"/>
  <c r="C321" i="16"/>
  <c r="C573" i="16"/>
  <c r="C1569" i="16"/>
  <c r="C79" i="16"/>
  <c r="C461" i="16"/>
  <c r="C80" i="16"/>
  <c r="C1366" i="16"/>
  <c r="C2064" i="16"/>
  <c r="C324" i="16"/>
  <c r="C1676" i="16"/>
  <c r="C271" i="16"/>
  <c r="C1577" i="16"/>
  <c r="C1107" i="16"/>
  <c r="C861" i="16"/>
  <c r="C2015" i="16"/>
  <c r="C2188" i="16"/>
  <c r="C1535" i="16"/>
  <c r="C947" i="16"/>
  <c r="C309" i="16"/>
  <c r="C1605" i="16"/>
  <c r="C1228" i="16"/>
  <c r="C318" i="16"/>
  <c r="C1295" i="16"/>
  <c r="C1740" i="16"/>
  <c r="C963" i="16"/>
  <c r="C2106" i="16"/>
  <c r="C680" i="16"/>
  <c r="C160" i="16"/>
  <c r="C2079" i="16"/>
  <c r="C1954" i="16"/>
  <c r="C747" i="16"/>
  <c r="C2005" i="16"/>
  <c r="C1227" i="16"/>
  <c r="C1109" i="16"/>
  <c r="C494" i="16"/>
  <c r="C386" i="16"/>
  <c r="C387" i="16"/>
  <c r="C1679" i="16"/>
  <c r="C1149" i="16"/>
  <c r="C112" i="16"/>
  <c r="C375" i="16"/>
  <c r="C451" i="16"/>
  <c r="C675" i="16"/>
  <c r="C1282" i="16"/>
  <c r="C236" i="16"/>
  <c r="C282" i="16"/>
  <c r="C2006" i="16"/>
  <c r="C1135" i="16"/>
  <c r="C259" i="16"/>
  <c r="C1364" i="16"/>
  <c r="C579" i="16"/>
  <c r="C1850" i="16"/>
  <c r="C996" i="16"/>
  <c r="C2088" i="16"/>
  <c r="C1271" i="16"/>
  <c r="C1435" i="16"/>
  <c r="C1915" i="16"/>
  <c r="C1924" i="16"/>
  <c r="C1485" i="16"/>
  <c r="C1338" i="16"/>
  <c r="C1108" i="16"/>
  <c r="C1530" i="16"/>
  <c r="C1897" i="16"/>
  <c r="C1258" i="16"/>
  <c r="C660" i="16"/>
  <c r="C1090" i="16"/>
  <c r="C528" i="16"/>
  <c r="C932" i="16"/>
  <c r="C1377" i="16"/>
  <c r="C665" i="16"/>
  <c r="C1723" i="16"/>
  <c r="C1345" i="16"/>
  <c r="C1711" i="16"/>
  <c r="C1900" i="16"/>
  <c r="C551" i="16"/>
  <c r="C60" i="16"/>
  <c r="C1477" i="16"/>
  <c r="C296" i="16"/>
  <c r="C1231" i="16"/>
  <c r="C2182" i="16"/>
  <c r="C370" i="16"/>
  <c r="C63" i="16"/>
  <c r="C901" i="16"/>
  <c r="C1934" i="16"/>
  <c r="C349" i="16"/>
  <c r="C1606" i="16"/>
  <c r="C450" i="16"/>
  <c r="C266" i="16"/>
  <c r="C258" i="16"/>
  <c r="C273" i="16"/>
  <c r="C1200" i="16"/>
  <c r="C786" i="16"/>
  <c r="C1105" i="16"/>
  <c r="C154" i="16"/>
  <c r="C2057" i="16"/>
  <c r="C1302" i="16"/>
  <c r="C727" i="16"/>
  <c r="C977" i="16"/>
  <c r="C368" i="16"/>
  <c r="C705" i="16"/>
  <c r="C1523" i="16"/>
  <c r="C1439" i="16"/>
  <c r="C1305" i="16"/>
  <c r="C2183" i="16"/>
  <c r="C891" i="16"/>
  <c r="C559" i="16"/>
  <c r="C280" i="16"/>
  <c r="C1731" i="16"/>
  <c r="C2115" i="16"/>
  <c r="C999" i="16"/>
  <c r="C1538" i="16"/>
  <c r="C2022" i="16"/>
  <c r="C1083" i="16"/>
  <c r="C1473" i="16"/>
  <c r="C893" i="16"/>
  <c r="C287" i="16"/>
  <c r="C923" i="16"/>
  <c r="C849" i="16"/>
  <c r="C1316" i="16"/>
  <c r="C17" i="16"/>
  <c r="C2112" i="16"/>
  <c r="C1286" i="16"/>
  <c r="C1283" i="16"/>
  <c r="C1739" i="16"/>
  <c r="C1542" i="16"/>
  <c r="C1851" i="16"/>
  <c r="C2155" i="16"/>
  <c r="C1263" i="16"/>
  <c r="C1596" i="16"/>
  <c r="C1122" i="16"/>
  <c r="C1645" i="16"/>
  <c r="C796" i="16"/>
  <c r="C459" i="16"/>
  <c r="C1138" i="16"/>
  <c r="C693" i="16"/>
  <c r="C936" i="16"/>
  <c r="C1009" i="16"/>
  <c r="C1292" i="16"/>
  <c r="C529" i="16"/>
  <c r="C876" i="16"/>
  <c r="C1190" i="16"/>
  <c r="C582" i="16"/>
  <c r="C1642" i="16"/>
  <c r="C1118" i="16"/>
  <c r="C605" i="16"/>
  <c r="C1082" i="16"/>
  <c r="C789" i="16"/>
  <c r="C1440" i="16"/>
  <c r="C1576" i="16"/>
  <c r="C1244" i="16"/>
  <c r="C652" i="16"/>
  <c r="C1416" i="16"/>
  <c r="C1226" i="16"/>
  <c r="C587" i="16"/>
  <c r="C1219" i="16"/>
  <c r="C285" i="16"/>
  <c r="C692" i="16"/>
  <c r="C1399" i="16"/>
  <c r="C2124" i="16"/>
  <c r="C970" i="16"/>
  <c r="C894" i="16"/>
  <c r="C1261" i="16"/>
  <c r="C2001" i="16"/>
  <c r="C655" i="16"/>
  <c r="C1115" i="16"/>
  <c r="C2167" i="16"/>
  <c r="C941" i="16"/>
  <c r="C1449" i="16"/>
  <c r="C2168" i="16"/>
  <c r="C611" i="16"/>
  <c r="C367" i="16"/>
  <c r="C1208" i="16"/>
  <c r="C1321" i="16"/>
  <c r="C1987" i="16"/>
  <c r="C769" i="16"/>
  <c r="C1581" i="16"/>
  <c r="C2135" i="16"/>
  <c r="C1032" i="16"/>
  <c r="C1281" i="16"/>
  <c r="C635" i="16"/>
  <c r="C597" i="16"/>
  <c r="C2114" i="16"/>
  <c r="C270" i="16"/>
  <c r="C720" i="16"/>
  <c r="C1202" i="16"/>
  <c r="C1065" i="16"/>
  <c r="C1493" i="16"/>
  <c r="C1125" i="16"/>
  <c r="C862" i="16"/>
  <c r="C359" i="16"/>
  <c r="C358" i="16"/>
  <c r="C1876" i="16"/>
  <c r="C745" i="16"/>
  <c r="C975" i="16"/>
  <c r="C1306" i="16"/>
  <c r="C502" i="16"/>
  <c r="C2185" i="16"/>
  <c r="C542" i="16"/>
  <c r="C1000" i="16"/>
  <c r="C284" i="16"/>
  <c r="C1450" i="16"/>
  <c r="C1441" i="16"/>
  <c r="C806" i="16"/>
  <c r="C1392" i="16"/>
  <c r="C1659" i="16"/>
  <c r="C1511" i="16"/>
  <c r="C664" i="16"/>
  <c r="C2059" i="16"/>
  <c r="C328" i="16"/>
  <c r="C942" i="16"/>
  <c r="C1280" i="16"/>
  <c r="C310" i="16"/>
  <c r="C1325" i="16"/>
  <c r="C1967" i="16"/>
  <c r="C826" i="16"/>
  <c r="C659" i="16"/>
  <c r="C76" i="16"/>
  <c r="C748" i="16"/>
  <c r="C320" i="16"/>
  <c r="C453" i="16"/>
  <c r="C1707" i="16"/>
  <c r="C1393" i="16"/>
  <c r="C1738" i="16"/>
  <c r="C1484" i="16"/>
  <c r="C921" i="16"/>
  <c r="C1054" i="16"/>
  <c r="C895" i="16"/>
  <c r="C487" i="16"/>
  <c r="C1352" i="16"/>
  <c r="C1068" i="16"/>
  <c r="C556" i="16"/>
  <c r="C462" i="16"/>
  <c r="C598" i="16"/>
  <c r="C1401" i="16"/>
  <c r="C6" i="16"/>
  <c r="C1925" i="16"/>
  <c r="C1680" i="16"/>
  <c r="C329" i="16"/>
  <c r="C995" i="16"/>
  <c r="C1139" i="16"/>
  <c r="C335" i="16"/>
  <c r="C1348" i="16"/>
  <c r="C1966" i="16"/>
  <c r="C1603" i="16"/>
  <c r="C1296" i="16"/>
  <c r="C766" i="16"/>
  <c r="C1725" i="16"/>
  <c r="C454" i="16"/>
  <c r="C1137" i="16"/>
  <c r="C2004" i="16"/>
  <c r="C1129" i="16"/>
  <c r="C1055" i="16"/>
  <c r="C475" i="16"/>
  <c r="C804" i="16"/>
  <c r="C1751" i="16"/>
  <c r="C319" i="16"/>
  <c r="C1724" i="16"/>
  <c r="C1349" i="16"/>
  <c r="C1351" i="16"/>
  <c r="C734" i="16"/>
  <c r="C1141" i="16"/>
  <c r="C1346" i="16"/>
  <c r="C1103" i="16"/>
  <c r="C94" i="16"/>
  <c r="C1519" i="16"/>
  <c r="C997" i="16"/>
  <c r="C530" i="16"/>
  <c r="C216" i="16"/>
  <c r="C1411" i="16"/>
  <c r="C656" i="16"/>
  <c r="C371" i="16"/>
  <c r="C357" i="16"/>
  <c r="C1194" i="16"/>
  <c r="C452" i="16"/>
  <c r="C1357" i="16"/>
  <c r="C1600" i="16"/>
  <c r="C2101" i="16"/>
  <c r="C62" i="16"/>
  <c r="C348" i="16"/>
  <c r="C524" i="16"/>
  <c r="C612" i="16"/>
  <c r="C1552" i="16"/>
  <c r="C1893" i="16"/>
  <c r="C1350" i="16"/>
  <c r="C1783" i="16"/>
  <c r="C1901" i="16"/>
  <c r="C1568" i="16"/>
  <c r="C118" i="16"/>
  <c r="C943" i="16"/>
  <c r="C31" i="16"/>
  <c r="C232" i="16"/>
  <c r="C944" i="16"/>
  <c r="C962" i="16"/>
  <c r="C767" i="16"/>
  <c r="C1067" i="16"/>
  <c r="C1643" i="16"/>
  <c r="C1167" i="16"/>
  <c r="C221" i="16"/>
  <c r="C1064" i="16"/>
  <c r="C533" i="16"/>
  <c r="C2074" i="16"/>
  <c r="C1197" i="16"/>
  <c r="C788" i="16"/>
  <c r="C277" i="16"/>
  <c r="C163" i="16"/>
  <c r="C1937" i="16"/>
  <c r="C330" i="16"/>
  <c r="C1285" i="16"/>
  <c r="C1293" i="16"/>
  <c r="C1810" i="16"/>
  <c r="C863" i="16"/>
  <c r="C286" i="16"/>
  <c r="C1276" i="16"/>
  <c r="C1587" i="16"/>
  <c r="C1294" i="16"/>
  <c r="C1567" i="16"/>
  <c r="C1475" i="16"/>
  <c r="C1478" i="16"/>
  <c r="C1946" i="16"/>
  <c r="C1708" i="16"/>
  <c r="C549" i="16"/>
  <c r="C1128" i="16"/>
  <c r="C2100" i="16"/>
  <c r="C1140" i="16"/>
  <c r="C1520" i="16"/>
  <c r="C1130" i="16"/>
  <c r="C162" i="16"/>
  <c r="C265" i="16"/>
  <c r="C1365" i="16"/>
  <c r="C2181" i="16"/>
  <c r="C1236" i="16"/>
  <c r="C770" i="16"/>
  <c r="C1647" i="16"/>
  <c r="C1588" i="16"/>
  <c r="C1394" i="16"/>
  <c r="C1368" i="16"/>
  <c r="C1251" i="16"/>
  <c r="C790" i="16"/>
  <c r="C527" i="16"/>
  <c r="C1992" i="16"/>
  <c r="C588" i="16"/>
  <c r="C113" i="16"/>
  <c r="C1291" i="16"/>
  <c r="C93" i="16"/>
  <c r="C161" i="16"/>
  <c r="C1732" i="16"/>
  <c r="C1053" i="16"/>
  <c r="C1445" i="16"/>
  <c r="C1446" i="16"/>
  <c r="C1121" i="16"/>
  <c r="C1486" i="16"/>
  <c r="C1615" i="16"/>
  <c r="C132" i="16"/>
  <c r="C449" i="16"/>
  <c r="C523" i="16"/>
  <c r="C589" i="16"/>
  <c r="C27" i="16"/>
  <c r="C61" i="16"/>
  <c r="C441" i="16"/>
  <c r="C360" i="16"/>
  <c r="C1253" i="16"/>
  <c r="C550" i="16"/>
  <c r="F1479" i="16"/>
  <c r="G1479" i="16" s="1"/>
  <c r="I1179" i="16"/>
  <c r="H1479" i="16" l="1"/>
  <c r="N57" i="23"/>
  <c r="O57" i="23" s="1"/>
  <c r="J52" i="23"/>
  <c r="V7" i="23"/>
  <c r="W7" i="23" s="1"/>
  <c r="U7" i="23"/>
  <c r="R54" i="23"/>
  <c r="S54" i="23" s="1"/>
  <c r="V51" i="23"/>
  <c r="AF8" i="23"/>
  <c r="AG8" i="23" s="1"/>
  <c r="R14" i="23"/>
  <c r="S14" i="23" s="1"/>
  <c r="J19" i="23"/>
  <c r="K19" i="23" s="1"/>
  <c r="Z19" i="23"/>
  <c r="AA19" i="23" s="1"/>
  <c r="R11" i="23"/>
  <c r="S11" i="23" s="1"/>
  <c r="V23" i="23"/>
  <c r="AF13" i="23"/>
  <c r="V18" i="23"/>
  <c r="W18" i="23" s="1"/>
  <c r="AF16" i="23"/>
  <c r="AG16" i="23" s="1"/>
  <c r="AF21" i="23"/>
  <c r="AG21" i="23" s="1"/>
  <c r="Z14" i="23"/>
  <c r="AA14" i="23" s="1"/>
  <c r="R19" i="23"/>
  <c r="S19" i="23" s="1"/>
  <c r="J11" i="23"/>
  <c r="K11" i="23" s="1"/>
  <c r="Z11" i="23"/>
  <c r="AA11" i="23" s="1"/>
  <c r="J14" i="23"/>
  <c r="K14" i="23" s="1"/>
  <c r="V15" i="23"/>
  <c r="W15" i="23" s="1"/>
  <c r="AL23" i="23"/>
  <c r="AE17" i="23"/>
  <c r="AE54" i="23"/>
  <c r="AE9" i="23"/>
  <c r="Y12" i="23"/>
  <c r="Y20" i="23"/>
  <c r="AL55" i="23"/>
  <c r="Y7" i="23"/>
  <c r="AJ529" i="23"/>
  <c r="AK529" i="23" s="1"/>
  <c r="AJ521" i="23"/>
  <c r="AK521" i="23" s="1"/>
  <c r="AJ513" i="23"/>
  <c r="AK513" i="23" s="1"/>
  <c r="AJ528" i="23"/>
  <c r="AK528" i="23" s="1"/>
  <c r="AJ520" i="23"/>
  <c r="AK520" i="23" s="1"/>
  <c r="AJ512" i="23"/>
  <c r="AK512" i="23" s="1"/>
  <c r="AJ527" i="23"/>
  <c r="AK527" i="23" s="1"/>
  <c r="AJ526" i="23"/>
  <c r="AK526" i="23" s="1"/>
  <c r="AJ525" i="23"/>
  <c r="AK525" i="23" s="1"/>
  <c r="AJ524" i="23"/>
  <c r="AK524" i="23" s="1"/>
  <c r="AJ531" i="23"/>
  <c r="AJ523" i="23"/>
  <c r="AK523" i="23" s="1"/>
  <c r="AJ530" i="23"/>
  <c r="AJ522" i="23"/>
  <c r="AJ510" i="23"/>
  <c r="AK510" i="23" s="1"/>
  <c r="AJ507" i="23"/>
  <c r="AK507" i="23" s="1"/>
  <c r="AJ501" i="23"/>
  <c r="AK501" i="23" s="1"/>
  <c r="AJ508" i="23"/>
  <c r="AK508" i="23" s="1"/>
  <c r="AJ500" i="23"/>
  <c r="AK500" i="23" s="1"/>
  <c r="AJ506" i="23"/>
  <c r="AK506" i="23" s="1"/>
  <c r="AJ505" i="23"/>
  <c r="AJ518" i="23"/>
  <c r="AK518" i="23" s="1"/>
  <c r="AJ515" i="23"/>
  <c r="AK515" i="23" s="1"/>
  <c r="AJ504" i="23"/>
  <c r="AK504" i="23" s="1"/>
  <c r="AJ496" i="23"/>
  <c r="AK496" i="23" s="1"/>
  <c r="AJ519" i="23"/>
  <c r="AK519" i="23" s="1"/>
  <c r="AJ514" i="23"/>
  <c r="AK514" i="23" s="1"/>
  <c r="AJ511" i="23"/>
  <c r="AK511" i="23" s="1"/>
  <c r="AJ503" i="23"/>
  <c r="AK503" i="23" s="1"/>
  <c r="AJ517" i="23"/>
  <c r="AK517" i="23" s="1"/>
  <c r="AJ502" i="23"/>
  <c r="AK502" i="23" s="1"/>
  <c r="AJ493" i="23"/>
  <c r="AJ485" i="23"/>
  <c r="AJ509" i="23"/>
  <c r="AK509" i="23" s="1"/>
  <c r="AJ492" i="23"/>
  <c r="AJ484" i="23"/>
  <c r="AK484" i="23" s="1"/>
  <c r="AJ516" i="23"/>
  <c r="AK516" i="23" s="1"/>
  <c r="AJ499" i="23"/>
  <c r="AK499" i="23" s="1"/>
  <c r="AJ497" i="23"/>
  <c r="AK497" i="23" s="1"/>
  <c r="AJ490" i="23"/>
  <c r="AJ489" i="23"/>
  <c r="AK489" i="23" s="1"/>
  <c r="AJ481" i="23"/>
  <c r="AK481" i="23" s="1"/>
  <c r="AJ488" i="23"/>
  <c r="AK488" i="23" s="1"/>
  <c r="AJ480" i="23"/>
  <c r="AK480" i="23" s="1"/>
  <c r="AJ498" i="23"/>
  <c r="AK498" i="23" s="1"/>
  <c r="AJ495" i="23"/>
  <c r="AK495" i="23" s="1"/>
  <c r="AJ487" i="23"/>
  <c r="AK487" i="23" s="1"/>
  <c r="AJ475" i="23"/>
  <c r="AK475" i="23" s="1"/>
  <c r="AJ467" i="23"/>
  <c r="AK467" i="23" s="1"/>
  <c r="AJ491" i="23"/>
  <c r="AK491" i="23" s="1"/>
  <c r="AJ474" i="23"/>
  <c r="AJ466" i="23"/>
  <c r="AJ473" i="23"/>
  <c r="AJ465" i="23"/>
  <c r="AJ483" i="23"/>
  <c r="AK483" i="23" s="1"/>
  <c r="AJ482" i="23"/>
  <c r="AK482" i="23" s="1"/>
  <c r="AJ472" i="23"/>
  <c r="AK472" i="23" s="1"/>
  <c r="AJ479" i="23"/>
  <c r="AK479" i="23" s="1"/>
  <c r="AJ471" i="23"/>
  <c r="AK471" i="23" s="1"/>
  <c r="AJ463" i="23"/>
  <c r="AK463" i="23" s="1"/>
  <c r="AJ478" i="23"/>
  <c r="AK478" i="23" s="1"/>
  <c r="AJ470" i="23"/>
  <c r="AK470" i="23" s="1"/>
  <c r="AJ462" i="23"/>
  <c r="AK462" i="23" s="1"/>
  <c r="AJ477" i="23"/>
  <c r="AK477" i="23" s="1"/>
  <c r="AJ469" i="23"/>
  <c r="AK469" i="23" s="1"/>
  <c r="AJ452" i="23"/>
  <c r="AK452" i="23" s="1"/>
  <c r="AJ444" i="23"/>
  <c r="AK444" i="23" s="1"/>
  <c r="AJ494" i="23"/>
  <c r="AK494" i="23" s="1"/>
  <c r="AJ460" i="23"/>
  <c r="AK460" i="23" s="1"/>
  <c r="AJ451" i="23"/>
  <c r="AK451" i="23" s="1"/>
  <c r="AJ443" i="23"/>
  <c r="AK443" i="23" s="1"/>
  <c r="AJ450" i="23"/>
  <c r="AJ442" i="23"/>
  <c r="AJ461" i="23"/>
  <c r="AK461" i="23" s="1"/>
  <c r="AJ457" i="23"/>
  <c r="AJ449" i="23"/>
  <c r="AK449" i="23" s="1"/>
  <c r="AJ486" i="23"/>
  <c r="AK486" i="23" s="1"/>
  <c r="AJ476" i="23"/>
  <c r="AK476" i="23" s="1"/>
  <c r="AJ456" i="23"/>
  <c r="AJ448" i="23"/>
  <c r="AK448" i="23" s="1"/>
  <c r="AJ455" i="23"/>
  <c r="AK455" i="23" s="1"/>
  <c r="AJ447" i="23"/>
  <c r="AK447" i="23" s="1"/>
  <c r="AJ468" i="23"/>
  <c r="AK468" i="23" s="1"/>
  <c r="AJ464" i="23"/>
  <c r="AK464" i="23" s="1"/>
  <c r="AJ458" i="23"/>
  <c r="AK458" i="23" s="1"/>
  <c r="AJ454" i="23"/>
  <c r="AK454" i="23" s="1"/>
  <c r="AJ446" i="23"/>
  <c r="AK446" i="23" s="1"/>
  <c r="AJ436" i="23"/>
  <c r="AK436" i="23" s="1"/>
  <c r="AJ428" i="23"/>
  <c r="AK428" i="23" s="1"/>
  <c r="AJ459" i="23"/>
  <c r="AK459" i="23" s="1"/>
  <c r="AJ445" i="23"/>
  <c r="AJ441" i="23"/>
  <c r="AK441" i="23" s="1"/>
  <c r="AJ435" i="23"/>
  <c r="AJ427" i="23"/>
  <c r="AJ419" i="23"/>
  <c r="AK419" i="23" s="1"/>
  <c r="AJ434" i="23"/>
  <c r="AK434" i="23" s="1"/>
  <c r="AJ426" i="23"/>
  <c r="AK426" i="23" s="1"/>
  <c r="AJ433" i="23"/>
  <c r="AK433" i="23" s="1"/>
  <c r="AJ425" i="23"/>
  <c r="AK425" i="23" s="1"/>
  <c r="AJ440" i="23"/>
  <c r="AK440" i="23" s="1"/>
  <c r="AJ432" i="23"/>
  <c r="AK432" i="23" s="1"/>
  <c r="AJ424" i="23"/>
  <c r="AK424" i="23" s="1"/>
  <c r="AJ439" i="23"/>
  <c r="AK439" i="23" s="1"/>
  <c r="AJ431" i="23"/>
  <c r="AK431" i="23" s="1"/>
  <c r="AJ423" i="23"/>
  <c r="AK423" i="23" s="1"/>
  <c r="AJ429" i="23"/>
  <c r="AK429" i="23" s="1"/>
  <c r="AJ411" i="23"/>
  <c r="AK411" i="23" s="1"/>
  <c r="AJ418" i="23"/>
  <c r="AK418" i="23" s="1"/>
  <c r="AJ410" i="23"/>
  <c r="AK410" i="23" s="1"/>
  <c r="AJ417" i="23"/>
  <c r="AK417" i="23" s="1"/>
  <c r="AJ409" i="23"/>
  <c r="AK409" i="23" s="1"/>
  <c r="AJ401" i="23"/>
  <c r="AJ453" i="23"/>
  <c r="AJ430" i="23"/>
  <c r="AK430" i="23" s="1"/>
  <c r="AJ437" i="23"/>
  <c r="AJ415" i="23"/>
  <c r="AK415" i="23" s="1"/>
  <c r="AJ407" i="23"/>
  <c r="AK407" i="23" s="1"/>
  <c r="AJ420" i="23"/>
  <c r="AJ414" i="23"/>
  <c r="AK414" i="23" s="1"/>
  <c r="AJ422" i="23"/>
  <c r="AJ413" i="23"/>
  <c r="AK413" i="23" s="1"/>
  <c r="AJ405" i="23"/>
  <c r="AK405" i="23" s="1"/>
  <c r="AJ402" i="23"/>
  <c r="AK402" i="23" s="1"/>
  <c r="AJ399" i="23"/>
  <c r="AK399" i="23" s="1"/>
  <c r="AJ391" i="23"/>
  <c r="AK391" i="23" s="1"/>
  <c r="AJ383" i="23"/>
  <c r="AK383" i="23" s="1"/>
  <c r="AJ375" i="23"/>
  <c r="AK375" i="23" s="1"/>
  <c r="AJ367" i="23"/>
  <c r="AK367" i="23" s="1"/>
  <c r="AJ403" i="23"/>
  <c r="AK403" i="23" s="1"/>
  <c r="AJ398" i="23"/>
  <c r="AK398" i="23" s="1"/>
  <c r="AJ390" i="23"/>
  <c r="AJ382" i="23"/>
  <c r="AK382" i="23" s="1"/>
  <c r="AJ374" i="23"/>
  <c r="AJ366" i="23"/>
  <c r="AJ406" i="23"/>
  <c r="AK406" i="23" s="1"/>
  <c r="AJ397" i="23"/>
  <c r="AJ389" i="23"/>
  <c r="AK389" i="23" s="1"/>
  <c r="AJ381" i="23"/>
  <c r="AK381" i="23" s="1"/>
  <c r="AJ373" i="23"/>
  <c r="AK373" i="23" s="1"/>
  <c r="AJ365" i="23"/>
  <c r="AK365" i="23" s="1"/>
  <c r="AJ412" i="23"/>
  <c r="AK412" i="23" s="1"/>
  <c r="AJ408" i="23"/>
  <c r="AK408" i="23" s="1"/>
  <c r="AJ396" i="23"/>
  <c r="AK396" i="23" s="1"/>
  <c r="AJ388" i="23"/>
  <c r="AK388" i="23" s="1"/>
  <c r="AJ380" i="23"/>
  <c r="AK380" i="23" s="1"/>
  <c r="AJ372" i="23"/>
  <c r="AK372" i="23" s="1"/>
  <c r="AJ364" i="23"/>
  <c r="AK364" i="23" s="1"/>
  <c r="AJ393" i="23"/>
  <c r="AK393" i="23" s="1"/>
  <c r="AJ385" i="23"/>
  <c r="AK385" i="23" s="1"/>
  <c r="AJ377" i="23"/>
  <c r="AK377" i="23" s="1"/>
  <c r="AJ369" i="23"/>
  <c r="AK369" i="23" s="1"/>
  <c r="AJ361" i="23"/>
  <c r="AJ400" i="23"/>
  <c r="AJ392" i="23"/>
  <c r="AK392" i="23" s="1"/>
  <c r="AJ416" i="23"/>
  <c r="AK416" i="23" s="1"/>
  <c r="AJ353" i="23"/>
  <c r="AK353" i="23" s="1"/>
  <c r="AJ345" i="23"/>
  <c r="AK345" i="23" s="1"/>
  <c r="AJ337" i="23"/>
  <c r="AK337" i="23" s="1"/>
  <c r="AJ329" i="23"/>
  <c r="AK329" i="23" s="1"/>
  <c r="AJ394" i="23"/>
  <c r="AK394" i="23" s="1"/>
  <c r="AJ387" i="23"/>
  <c r="AK387" i="23" s="1"/>
  <c r="AJ378" i="23"/>
  <c r="AK378" i="23" s="1"/>
  <c r="AJ368" i="23"/>
  <c r="AK368" i="23" s="1"/>
  <c r="AJ360" i="23"/>
  <c r="AK360" i="23" s="1"/>
  <c r="AJ352" i="23"/>
  <c r="AK352" i="23" s="1"/>
  <c r="AJ421" i="23"/>
  <c r="AK421" i="23" s="1"/>
  <c r="AJ351" i="23"/>
  <c r="AK351" i="23" s="1"/>
  <c r="AJ343" i="23"/>
  <c r="AK343" i="23" s="1"/>
  <c r="AJ335" i="23"/>
  <c r="AK335" i="23" s="1"/>
  <c r="AJ327" i="23"/>
  <c r="AK327" i="23" s="1"/>
  <c r="AJ386" i="23"/>
  <c r="AJ376" i="23"/>
  <c r="AK376" i="23" s="1"/>
  <c r="AJ363" i="23"/>
  <c r="AJ350" i="23"/>
  <c r="AJ342" i="23"/>
  <c r="AK342" i="23" s="1"/>
  <c r="AJ334" i="23"/>
  <c r="AK334" i="23" s="1"/>
  <c r="AJ326" i="23"/>
  <c r="AJ438" i="23"/>
  <c r="AK438" i="23" s="1"/>
  <c r="AJ355" i="23"/>
  <c r="AK355" i="23" s="1"/>
  <c r="AJ347" i="23"/>
  <c r="AK347" i="23" s="1"/>
  <c r="AJ339" i="23"/>
  <c r="AK339" i="23" s="1"/>
  <c r="AJ331" i="23"/>
  <c r="AK331" i="23" s="1"/>
  <c r="AJ323" i="23"/>
  <c r="AK323" i="23" s="1"/>
  <c r="AJ384" i="23"/>
  <c r="AK384" i="23" s="1"/>
  <c r="AJ359" i="23"/>
  <c r="AK359" i="23" s="1"/>
  <c r="AJ354" i="23"/>
  <c r="AK354" i="23" s="1"/>
  <c r="AJ341" i="23"/>
  <c r="AK341" i="23" s="1"/>
  <c r="AJ333" i="23"/>
  <c r="AK333" i="23" s="1"/>
  <c r="AJ315" i="23"/>
  <c r="AK315" i="23" s="1"/>
  <c r="AJ322" i="23"/>
  <c r="AK322" i="23" s="1"/>
  <c r="AJ379" i="23"/>
  <c r="AK379" i="23" s="1"/>
  <c r="AJ371" i="23"/>
  <c r="AJ349" i="23"/>
  <c r="AJ321" i="23"/>
  <c r="AK321" i="23" s="1"/>
  <c r="AJ320" i="23"/>
  <c r="AK320" i="23" s="1"/>
  <c r="AJ312" i="23"/>
  <c r="AK312" i="23" s="1"/>
  <c r="AJ324" i="23"/>
  <c r="AK324" i="23" s="1"/>
  <c r="AJ317" i="23"/>
  <c r="AJ314" i="23"/>
  <c r="AK314" i="23" s="1"/>
  <c r="AJ304" i="23"/>
  <c r="AK304" i="23" s="1"/>
  <c r="AJ296" i="23"/>
  <c r="AJ288" i="23"/>
  <c r="AK288" i="23" s="1"/>
  <c r="AJ280" i="23"/>
  <c r="AK280" i="23" s="1"/>
  <c r="AJ358" i="23"/>
  <c r="AK358" i="23" s="1"/>
  <c r="AJ311" i="23"/>
  <c r="AK311" i="23" s="1"/>
  <c r="AJ303" i="23"/>
  <c r="AK303" i="23" s="1"/>
  <c r="AJ295" i="23"/>
  <c r="AK295" i="23" s="1"/>
  <c r="AJ287" i="23"/>
  <c r="AK287" i="23" s="1"/>
  <c r="AJ279" i="23"/>
  <c r="AK279" i="23" s="1"/>
  <c r="AJ362" i="23"/>
  <c r="AK362" i="23" s="1"/>
  <c r="AJ348" i="23"/>
  <c r="AJ328" i="23"/>
  <c r="AK328" i="23" s="1"/>
  <c r="AJ325" i="23"/>
  <c r="AJ318" i="23"/>
  <c r="AJ313" i="23"/>
  <c r="AK313" i="23" s="1"/>
  <c r="AJ310" i="23"/>
  <c r="AK310" i="23" s="1"/>
  <c r="AJ302" i="23"/>
  <c r="AK302" i="23" s="1"/>
  <c r="AJ294" i="23"/>
  <c r="AK294" i="23" s="1"/>
  <c r="AJ286" i="23"/>
  <c r="AK286" i="23" s="1"/>
  <c r="AJ278" i="23"/>
  <c r="AK278" i="23" s="1"/>
  <c r="AJ357" i="23"/>
  <c r="AJ336" i="23"/>
  <c r="AK336" i="23" s="1"/>
  <c r="AJ332" i="23"/>
  <c r="AK332" i="23" s="1"/>
  <c r="AJ330" i="23"/>
  <c r="AK330" i="23" s="1"/>
  <c r="AJ316" i="23"/>
  <c r="AK316" i="23" s="1"/>
  <c r="AJ309" i="23"/>
  <c r="AK309" i="23" s="1"/>
  <c r="AJ395" i="23"/>
  <c r="AK395" i="23" s="1"/>
  <c r="AJ308" i="23"/>
  <c r="AK308" i="23" s="1"/>
  <c r="AJ300" i="23"/>
  <c r="AK300" i="23" s="1"/>
  <c r="AJ292" i="23"/>
  <c r="AK292" i="23" s="1"/>
  <c r="AJ284" i="23"/>
  <c r="AJ344" i="23"/>
  <c r="AJ340" i="23"/>
  <c r="AJ338" i="23"/>
  <c r="AK338" i="23" s="1"/>
  <c r="AJ319" i="23"/>
  <c r="AJ307" i="23"/>
  <c r="AK307" i="23" s="1"/>
  <c r="AJ299" i="23"/>
  <c r="AK299" i="23" s="1"/>
  <c r="AJ291" i="23"/>
  <c r="AK291" i="23" s="1"/>
  <c r="AJ283" i="23"/>
  <c r="AK283" i="23" s="1"/>
  <c r="AJ276" i="23"/>
  <c r="AK276" i="23" s="1"/>
  <c r="AJ301" i="23"/>
  <c r="AJ277" i="23"/>
  <c r="AK277" i="23" s="1"/>
  <c r="AJ268" i="23"/>
  <c r="AK268" i="23" s="1"/>
  <c r="AJ260" i="23"/>
  <c r="AK260" i="23" s="1"/>
  <c r="AJ252" i="23"/>
  <c r="AK252" i="23" s="1"/>
  <c r="AJ267" i="23"/>
  <c r="AK267" i="23" s="1"/>
  <c r="AJ259" i="23"/>
  <c r="AK259" i="23" s="1"/>
  <c r="AJ251" i="23"/>
  <c r="AK251" i="23" s="1"/>
  <c r="AJ243" i="23"/>
  <c r="AK243" i="23" s="1"/>
  <c r="AJ404" i="23"/>
  <c r="AK404" i="23" s="1"/>
  <c r="AJ370" i="23"/>
  <c r="AJ305" i="23"/>
  <c r="AK305" i="23" s="1"/>
  <c r="AJ290" i="23"/>
  <c r="AJ289" i="23"/>
  <c r="AJ282" i="23"/>
  <c r="AK282" i="23" s="1"/>
  <c r="AJ275" i="23"/>
  <c r="AK275" i="23" s="1"/>
  <c r="AJ274" i="23"/>
  <c r="AJ266" i="23"/>
  <c r="AK266" i="23" s="1"/>
  <c r="AJ258" i="23"/>
  <c r="AK258" i="23" s="1"/>
  <c r="AJ250" i="23"/>
  <c r="AK250" i="23" s="1"/>
  <c r="AJ242" i="23"/>
  <c r="AK242" i="23" s="1"/>
  <c r="AJ356" i="23"/>
  <c r="AK356" i="23" s="1"/>
  <c r="AJ346" i="23"/>
  <c r="AK346" i="23" s="1"/>
  <c r="AJ298" i="23"/>
  <c r="AK298" i="23" s="1"/>
  <c r="AJ297" i="23"/>
  <c r="AK297" i="23" s="1"/>
  <c r="AJ285" i="23"/>
  <c r="AK285" i="23" s="1"/>
  <c r="AJ272" i="23"/>
  <c r="AK272" i="23" s="1"/>
  <c r="AJ264" i="23"/>
  <c r="AK264" i="23" s="1"/>
  <c r="AJ256" i="23"/>
  <c r="AK256" i="23" s="1"/>
  <c r="AJ306" i="23"/>
  <c r="AK306" i="23" s="1"/>
  <c r="AJ271" i="23"/>
  <c r="AJ263" i="23"/>
  <c r="AJ255" i="23"/>
  <c r="AJ247" i="23"/>
  <c r="AK247" i="23" s="1"/>
  <c r="AJ293" i="23"/>
  <c r="AJ281" i="23"/>
  <c r="AK281" i="23" s="1"/>
  <c r="AJ270" i="23"/>
  <c r="AK270" i="23" s="1"/>
  <c r="AJ262" i="23"/>
  <c r="AK262" i="23" s="1"/>
  <c r="AJ254" i="23"/>
  <c r="AK254" i="23" s="1"/>
  <c r="AJ246" i="23"/>
  <c r="AK246" i="23" s="1"/>
  <c r="AJ269" i="23"/>
  <c r="AK269" i="23" s="1"/>
  <c r="AJ253" i="23"/>
  <c r="AK253" i="23" s="1"/>
  <c r="AJ234" i="23"/>
  <c r="AK234" i="23" s="1"/>
  <c r="AJ226" i="23"/>
  <c r="AK226" i="23" s="1"/>
  <c r="AJ218" i="23"/>
  <c r="AK218" i="23" s="1"/>
  <c r="AJ210" i="23"/>
  <c r="AK210" i="23" s="1"/>
  <c r="AJ202" i="23"/>
  <c r="AK202" i="23" s="1"/>
  <c r="AJ241" i="23"/>
  <c r="AK241" i="23" s="1"/>
  <c r="AJ233" i="23"/>
  <c r="AK233" i="23" s="1"/>
  <c r="AJ225" i="23"/>
  <c r="AK225" i="23" s="1"/>
  <c r="AJ217" i="23"/>
  <c r="AJ209" i="23"/>
  <c r="AK209" i="23" s="1"/>
  <c r="AJ257" i="23"/>
  <c r="AJ232" i="23"/>
  <c r="AJ224" i="23"/>
  <c r="AK224" i="23" s="1"/>
  <c r="AJ216" i="23"/>
  <c r="AK216" i="23" s="1"/>
  <c r="AJ208" i="23"/>
  <c r="AK208" i="23" s="1"/>
  <c r="AJ200" i="23"/>
  <c r="AK200" i="23" s="1"/>
  <c r="AJ273" i="23"/>
  <c r="AJ249" i="23"/>
  <c r="AK249" i="23" s="1"/>
  <c r="AJ245" i="23"/>
  <c r="AK245" i="23" s="1"/>
  <c r="AJ239" i="23"/>
  <c r="AK239" i="23" s="1"/>
  <c r="AJ231" i="23"/>
  <c r="AK231" i="23" s="1"/>
  <c r="AJ223" i="23"/>
  <c r="AK223" i="23" s="1"/>
  <c r="AJ215" i="23"/>
  <c r="AK215" i="23" s="1"/>
  <c r="AJ207" i="23"/>
  <c r="AK207" i="23" s="1"/>
  <c r="AJ261" i="23"/>
  <c r="AK261" i="23" s="1"/>
  <c r="AJ238" i="23"/>
  <c r="AK238" i="23" s="1"/>
  <c r="AJ230" i="23"/>
  <c r="AK230" i="23" s="1"/>
  <c r="AJ222" i="23"/>
  <c r="AK222" i="23" s="1"/>
  <c r="AJ214" i="23"/>
  <c r="AK214" i="23" s="1"/>
  <c r="AJ206" i="23"/>
  <c r="AJ248" i="23"/>
  <c r="AJ244" i="23"/>
  <c r="AK244" i="23" s="1"/>
  <c r="AJ237" i="23"/>
  <c r="AJ229" i="23"/>
  <c r="AK229" i="23" s="1"/>
  <c r="AJ265" i="23"/>
  <c r="AK265" i="23" s="1"/>
  <c r="AJ240" i="23"/>
  <c r="AK240" i="23" s="1"/>
  <c r="AJ236" i="23"/>
  <c r="AK236" i="23" s="1"/>
  <c r="AJ228" i="23"/>
  <c r="AK228" i="23" s="1"/>
  <c r="AJ220" i="23"/>
  <c r="AK220" i="23" s="1"/>
  <c r="AJ212" i="23"/>
  <c r="AK212" i="23" s="1"/>
  <c r="AJ204" i="23"/>
  <c r="AK204" i="23" s="1"/>
  <c r="AJ235" i="23"/>
  <c r="AK235" i="23" s="1"/>
  <c r="AJ227" i="23"/>
  <c r="AK227" i="23" s="1"/>
  <c r="AJ219" i="23"/>
  <c r="AK219" i="23" s="1"/>
  <c r="AJ211" i="23"/>
  <c r="AK211" i="23" s="1"/>
  <c r="AJ221" i="23"/>
  <c r="AK221" i="23" s="1"/>
  <c r="AJ205" i="23"/>
  <c r="AK205" i="23" s="1"/>
  <c r="AJ201" i="23"/>
  <c r="AK201" i="23" s="1"/>
  <c r="AJ197" i="23"/>
  <c r="AJ189" i="23"/>
  <c r="AK189" i="23" s="1"/>
  <c r="AJ181" i="23"/>
  <c r="AJ173" i="23"/>
  <c r="AJ165" i="23"/>
  <c r="AJ157" i="23"/>
  <c r="AK157" i="23" s="1"/>
  <c r="AJ196" i="23"/>
  <c r="AK196" i="23" s="1"/>
  <c r="AJ188" i="23"/>
  <c r="AK188" i="23" s="1"/>
  <c r="AJ180" i="23"/>
  <c r="AK180" i="23" s="1"/>
  <c r="AJ172" i="23"/>
  <c r="AK172" i="23" s="1"/>
  <c r="AJ164" i="23"/>
  <c r="AK164" i="23" s="1"/>
  <c r="AJ156" i="23"/>
  <c r="AK156" i="23" s="1"/>
  <c r="AJ213" i="23"/>
  <c r="AK213" i="23" s="1"/>
  <c r="AJ203" i="23"/>
  <c r="AK203" i="23" s="1"/>
  <c r="AJ195" i="23"/>
  <c r="AK195" i="23" s="1"/>
  <c r="AJ187" i="23"/>
  <c r="AK187" i="23" s="1"/>
  <c r="AJ179" i="23"/>
  <c r="AK179" i="23" s="1"/>
  <c r="AJ171" i="23"/>
  <c r="AK171" i="23" s="1"/>
  <c r="AJ163" i="23"/>
  <c r="AK163" i="23" s="1"/>
  <c r="AJ155" i="23"/>
  <c r="AK155" i="23" s="1"/>
  <c r="AJ194" i="23"/>
  <c r="AK194" i="23" s="1"/>
  <c r="AJ186" i="23"/>
  <c r="AJ178" i="23"/>
  <c r="AJ170" i="23"/>
  <c r="AK170" i="23" s="1"/>
  <c r="AJ162" i="23"/>
  <c r="AJ154" i="23"/>
  <c r="AK154" i="23" s="1"/>
  <c r="AJ192" i="23"/>
  <c r="AK192" i="23" s="1"/>
  <c r="AJ184" i="23"/>
  <c r="AK184" i="23" s="1"/>
  <c r="AJ176" i="23"/>
  <c r="AK176" i="23" s="1"/>
  <c r="AJ168" i="23"/>
  <c r="AK168" i="23" s="1"/>
  <c r="AJ191" i="23"/>
  <c r="AK191" i="23" s="1"/>
  <c r="AJ183" i="23"/>
  <c r="AK183" i="23" s="1"/>
  <c r="AJ175" i="23"/>
  <c r="AK175" i="23" s="1"/>
  <c r="AJ167" i="23"/>
  <c r="AK167" i="23" s="1"/>
  <c r="AJ159" i="23"/>
  <c r="AK159" i="23" s="1"/>
  <c r="AJ151" i="23"/>
  <c r="AK151" i="23" s="1"/>
  <c r="AJ199" i="23"/>
  <c r="AK199" i="23" s="1"/>
  <c r="AJ198" i="23"/>
  <c r="AK198" i="23" s="1"/>
  <c r="AJ190" i="23"/>
  <c r="AK190" i="23" s="1"/>
  <c r="AJ182" i="23"/>
  <c r="AK182" i="23" s="1"/>
  <c r="AJ174" i="23"/>
  <c r="AJ166" i="23"/>
  <c r="AJ158" i="23"/>
  <c r="AJ143" i="23"/>
  <c r="AJ135" i="23"/>
  <c r="AK135" i="23" s="1"/>
  <c r="AJ127" i="23"/>
  <c r="AK127" i="23" s="1"/>
  <c r="AJ119" i="23"/>
  <c r="AK119" i="23" s="1"/>
  <c r="AJ193" i="23"/>
  <c r="AK193" i="23" s="1"/>
  <c r="AJ161" i="23"/>
  <c r="AJ153" i="23"/>
  <c r="AK153" i="23" s="1"/>
  <c r="AJ152" i="23"/>
  <c r="AK152" i="23" s="1"/>
  <c r="AJ150" i="23"/>
  <c r="AK150" i="23" s="1"/>
  <c r="AJ142" i="23"/>
  <c r="AK142" i="23" s="1"/>
  <c r="AJ134" i="23"/>
  <c r="AK134" i="23" s="1"/>
  <c r="AJ126" i="23"/>
  <c r="AK126" i="23" s="1"/>
  <c r="AJ118" i="23"/>
  <c r="AK118" i="23" s="1"/>
  <c r="AJ110" i="23"/>
  <c r="AK110" i="23" s="1"/>
  <c r="AJ160" i="23"/>
  <c r="AK160" i="23" s="1"/>
  <c r="AJ149" i="23"/>
  <c r="AK149" i="23" s="1"/>
  <c r="AJ141" i="23"/>
  <c r="AK141" i="23" s="1"/>
  <c r="AJ133" i="23"/>
  <c r="AK133" i="23" s="1"/>
  <c r="AJ125" i="23"/>
  <c r="AJ117" i="23"/>
  <c r="AJ185" i="23"/>
  <c r="AK185" i="23" s="1"/>
  <c r="AJ148" i="23"/>
  <c r="AJ140" i="23"/>
  <c r="AK140" i="23" s="1"/>
  <c r="AJ132" i="23"/>
  <c r="AK132" i="23" s="1"/>
  <c r="AJ124" i="23"/>
  <c r="AK124" i="23" s="1"/>
  <c r="AJ116" i="23"/>
  <c r="AK116" i="23" s="1"/>
  <c r="AJ108" i="23"/>
  <c r="AK108" i="23" s="1"/>
  <c r="AJ147" i="23"/>
  <c r="AK147" i="23" s="1"/>
  <c r="AJ139" i="23"/>
  <c r="AK139" i="23" s="1"/>
  <c r="AJ131" i="23"/>
  <c r="AK131" i="23" s="1"/>
  <c r="AJ123" i="23"/>
  <c r="AK123" i="23" s="1"/>
  <c r="AJ115" i="23"/>
  <c r="AK115" i="23" s="1"/>
  <c r="AJ177" i="23"/>
  <c r="AK177" i="23" s="1"/>
  <c r="AJ146" i="23"/>
  <c r="AK146" i="23" s="1"/>
  <c r="AJ138" i="23"/>
  <c r="AK138" i="23" s="1"/>
  <c r="AJ130" i="23"/>
  <c r="AK130" i="23" s="1"/>
  <c r="AJ122" i="23"/>
  <c r="AK122" i="23" s="1"/>
  <c r="AJ114" i="23"/>
  <c r="AJ145" i="23"/>
  <c r="AK145" i="23" s="1"/>
  <c r="AJ137" i="23"/>
  <c r="AJ129" i="23"/>
  <c r="AJ121" i="23"/>
  <c r="AK121" i="23" s="1"/>
  <c r="AJ113" i="23"/>
  <c r="AK113" i="23" s="1"/>
  <c r="AJ169" i="23"/>
  <c r="AK169" i="23" s="1"/>
  <c r="AJ144" i="23"/>
  <c r="AK144" i="23" s="1"/>
  <c r="AJ136" i="23"/>
  <c r="AK136" i="23" s="1"/>
  <c r="AJ128" i="23"/>
  <c r="AK128" i="23" s="1"/>
  <c r="AJ120" i="23"/>
  <c r="AK120" i="23" s="1"/>
  <c r="AJ112" i="23"/>
  <c r="AK112" i="23" s="1"/>
  <c r="AJ111" i="23"/>
  <c r="AK111" i="23" s="1"/>
  <c r="AJ105" i="23"/>
  <c r="AK105" i="23" s="1"/>
  <c r="AJ97" i="23"/>
  <c r="AK97" i="23" s="1"/>
  <c r="AJ89" i="23"/>
  <c r="AK89" i="23" s="1"/>
  <c r="AJ81" i="23"/>
  <c r="AK81" i="23" s="1"/>
  <c r="AJ73" i="23"/>
  <c r="AK73" i="23" s="1"/>
  <c r="AJ109" i="23"/>
  <c r="AK109" i="23" s="1"/>
  <c r="AJ104" i="23"/>
  <c r="AK104" i="23" s="1"/>
  <c r="AJ96" i="23"/>
  <c r="AK96" i="23" s="1"/>
  <c r="AJ88" i="23"/>
  <c r="AJ80" i="23"/>
  <c r="AJ72" i="23"/>
  <c r="AK72" i="23" s="1"/>
  <c r="AJ64" i="23"/>
  <c r="AJ103" i="23"/>
  <c r="AK103" i="23" s="1"/>
  <c r="AJ95" i="23"/>
  <c r="AK95" i="23" s="1"/>
  <c r="AJ87" i="23"/>
  <c r="AJ79" i="23"/>
  <c r="AK79" i="23" s="1"/>
  <c r="AJ71" i="23"/>
  <c r="AK71" i="23" s="1"/>
  <c r="AJ63" i="23"/>
  <c r="AJ102" i="23"/>
  <c r="AK102" i="23" s="1"/>
  <c r="AJ94" i="23"/>
  <c r="AK94" i="23" s="1"/>
  <c r="AJ86" i="23"/>
  <c r="AK86" i="23" s="1"/>
  <c r="AJ78" i="23"/>
  <c r="AK78" i="23" s="1"/>
  <c r="AJ70" i="23"/>
  <c r="AK70" i="23" s="1"/>
  <c r="AJ62" i="23"/>
  <c r="AK62" i="23" s="1"/>
  <c r="AJ101" i="23"/>
  <c r="AK101" i="23" s="1"/>
  <c r="AJ93" i="23"/>
  <c r="AK93" i="23" s="1"/>
  <c r="AJ85" i="23"/>
  <c r="AK85" i="23" s="1"/>
  <c r="AJ77" i="23"/>
  <c r="AJ69" i="23"/>
  <c r="AK69" i="23" s="1"/>
  <c r="AJ61" i="23"/>
  <c r="AJ107" i="23"/>
  <c r="AJ100" i="23"/>
  <c r="AK100" i="23" s="1"/>
  <c r="AJ92" i="23"/>
  <c r="AK92" i="23" s="1"/>
  <c r="AJ84" i="23"/>
  <c r="AK84" i="23" s="1"/>
  <c r="AJ76" i="23"/>
  <c r="AK76" i="23" s="1"/>
  <c r="AJ68" i="23"/>
  <c r="AJ60" i="23"/>
  <c r="AK60" i="23" s="1"/>
  <c r="AJ99" i="23"/>
  <c r="AK99" i="23" s="1"/>
  <c r="AJ91" i="23"/>
  <c r="AK91" i="23" s="1"/>
  <c r="AJ83" i="23"/>
  <c r="AK83" i="23" s="1"/>
  <c r="AJ75" i="23"/>
  <c r="AK75" i="23" s="1"/>
  <c r="AJ67" i="23"/>
  <c r="AK67" i="23" s="1"/>
  <c r="AJ59" i="23"/>
  <c r="AK59" i="23" s="1"/>
  <c r="AJ106" i="23"/>
  <c r="AK106" i="23" s="1"/>
  <c r="AJ98" i="23"/>
  <c r="AK98" i="23" s="1"/>
  <c r="AJ90" i="23"/>
  <c r="AK90" i="23" s="1"/>
  <c r="AJ82" i="23"/>
  <c r="AK82" i="23" s="1"/>
  <c r="AJ74" i="23"/>
  <c r="AK74" i="23" s="1"/>
  <c r="AJ66" i="23"/>
  <c r="AJ58" i="23"/>
  <c r="AC528" i="23"/>
  <c r="AC520" i="23"/>
  <c r="AC512" i="23"/>
  <c r="AC527" i="23"/>
  <c r="AC519" i="23"/>
  <c r="AC511" i="23"/>
  <c r="AC526" i="23"/>
  <c r="AC524" i="23"/>
  <c r="AC531" i="23"/>
  <c r="AC523" i="23"/>
  <c r="AC530" i="23"/>
  <c r="AC522" i="23"/>
  <c r="AC529" i="23"/>
  <c r="AC521" i="23"/>
  <c r="AC516" i="23"/>
  <c r="AC509" i="23"/>
  <c r="AC499" i="23"/>
  <c r="AC517" i="23"/>
  <c r="AC514" i="23"/>
  <c r="AC504" i="23"/>
  <c r="AC513" i="23"/>
  <c r="AC503" i="23"/>
  <c r="AC525" i="23"/>
  <c r="AC510" i="23"/>
  <c r="AC507" i="23"/>
  <c r="AC502" i="23"/>
  <c r="AC508" i="23"/>
  <c r="AC501" i="23"/>
  <c r="AC497" i="23"/>
  <c r="AC492" i="23"/>
  <c r="AC484" i="23"/>
  <c r="AC515" i="23"/>
  <c r="AC505" i="23"/>
  <c r="AC500" i="23"/>
  <c r="AC491" i="23"/>
  <c r="AC483" i="23"/>
  <c r="AC498" i="23"/>
  <c r="AC489" i="23"/>
  <c r="AC488" i="23"/>
  <c r="AC480" i="23"/>
  <c r="AC518" i="23"/>
  <c r="AC506" i="23"/>
  <c r="AC495" i="23"/>
  <c r="AC487" i="23"/>
  <c r="AC494" i="23"/>
  <c r="AC486" i="23"/>
  <c r="AC490" i="23"/>
  <c r="AC474" i="23"/>
  <c r="AC466" i="23"/>
  <c r="AC473" i="23"/>
  <c r="AC465" i="23"/>
  <c r="AC496" i="23"/>
  <c r="AC485" i="23"/>
  <c r="AC479" i="23"/>
  <c r="AC472" i="23"/>
  <c r="AC464" i="23"/>
  <c r="AC471" i="23"/>
  <c r="AC478" i="23"/>
  <c r="AC470" i="23"/>
  <c r="AC462" i="23"/>
  <c r="AC477" i="23"/>
  <c r="AC469" i="23"/>
  <c r="AC481" i="23"/>
  <c r="AC476" i="23"/>
  <c r="AC468" i="23"/>
  <c r="AC482" i="23"/>
  <c r="AC451" i="23"/>
  <c r="AC443" i="23"/>
  <c r="AC450" i="23"/>
  <c r="AC442" i="23"/>
  <c r="AC463" i="23"/>
  <c r="AC461" i="23"/>
  <c r="AC457" i="23"/>
  <c r="AC449" i="23"/>
  <c r="AC441" i="23"/>
  <c r="AC456" i="23"/>
  <c r="AC448" i="23"/>
  <c r="AC493" i="23"/>
  <c r="AC467" i="23"/>
  <c r="AC458" i="23"/>
  <c r="AC455" i="23"/>
  <c r="AC447" i="23"/>
  <c r="AC459" i="23"/>
  <c r="AC454" i="23"/>
  <c r="AC446" i="23"/>
  <c r="AC453" i="23"/>
  <c r="AC445" i="23"/>
  <c r="AC435" i="23"/>
  <c r="AC427" i="23"/>
  <c r="AC434" i="23"/>
  <c r="AC426" i="23"/>
  <c r="AC460" i="23"/>
  <c r="AC452" i="23"/>
  <c r="AC433" i="23"/>
  <c r="AC425" i="23"/>
  <c r="AC440" i="23"/>
  <c r="AC432" i="23"/>
  <c r="AC424" i="23"/>
  <c r="AC439" i="23"/>
  <c r="AC431" i="23"/>
  <c r="AC423" i="23"/>
  <c r="AC438" i="23"/>
  <c r="AC430" i="23"/>
  <c r="AC422" i="23"/>
  <c r="AC419" i="23"/>
  <c r="AC418" i="23"/>
  <c r="AC410" i="23"/>
  <c r="AC420" i="23"/>
  <c r="AC417" i="23"/>
  <c r="AC409" i="23"/>
  <c r="AC416" i="23"/>
  <c r="AC408" i="23"/>
  <c r="AC400" i="23"/>
  <c r="AC475" i="23"/>
  <c r="AC436" i="23"/>
  <c r="AC429" i="23"/>
  <c r="AC444" i="23"/>
  <c r="AC421" i="23"/>
  <c r="AC414" i="23"/>
  <c r="AC406" i="23"/>
  <c r="AC413" i="23"/>
  <c r="AC412" i="23"/>
  <c r="AC404" i="23"/>
  <c r="AC398" i="23"/>
  <c r="AC390" i="23"/>
  <c r="AC382" i="23"/>
  <c r="AC374" i="23"/>
  <c r="AC366" i="23"/>
  <c r="AC411" i="23"/>
  <c r="AC407" i="23"/>
  <c r="AC397" i="23"/>
  <c r="AC389" i="23"/>
  <c r="AC381" i="23"/>
  <c r="AC373" i="23"/>
  <c r="AC365" i="23"/>
  <c r="AC405" i="23"/>
  <c r="AC396" i="23"/>
  <c r="AC388" i="23"/>
  <c r="AC380" i="23"/>
  <c r="AC372" i="23"/>
  <c r="AC364" i="23"/>
  <c r="AC415" i="23"/>
  <c r="AC395" i="23"/>
  <c r="AC387" i="23"/>
  <c r="AC379" i="23"/>
  <c r="AC371" i="23"/>
  <c r="AC363" i="23"/>
  <c r="AC392" i="23"/>
  <c r="AC384" i="23"/>
  <c r="AC376" i="23"/>
  <c r="AC368" i="23"/>
  <c r="AC360" i="23"/>
  <c r="AC437" i="23"/>
  <c r="AC403" i="23"/>
  <c r="AC401" i="23"/>
  <c r="AC399" i="23"/>
  <c r="AC391" i="23"/>
  <c r="AC393" i="23"/>
  <c r="AC383" i="23"/>
  <c r="AC352" i="23"/>
  <c r="AC344" i="23"/>
  <c r="AC336" i="23"/>
  <c r="AC428" i="23"/>
  <c r="AC359" i="23"/>
  <c r="AC351" i="23"/>
  <c r="AC370" i="23"/>
  <c r="AC369" i="23"/>
  <c r="AC350" i="23"/>
  <c r="AC342" i="23"/>
  <c r="AC334" i="23"/>
  <c r="AC326" i="23"/>
  <c r="AC362" i="23"/>
  <c r="AC358" i="23"/>
  <c r="AC357" i="23"/>
  <c r="AC349" i="23"/>
  <c r="AC341" i="23"/>
  <c r="AC333" i="23"/>
  <c r="AC386" i="23"/>
  <c r="AC385" i="23"/>
  <c r="AC375" i="23"/>
  <c r="AC354" i="23"/>
  <c r="AC346" i="23"/>
  <c r="AC338" i="23"/>
  <c r="AC330" i="23"/>
  <c r="AC377" i="23"/>
  <c r="AC327" i="23"/>
  <c r="AC322" i="23"/>
  <c r="AC314" i="23"/>
  <c r="AC367" i="23"/>
  <c r="AC356" i="23"/>
  <c r="AC355" i="23"/>
  <c r="AC340" i="23"/>
  <c r="AC332" i="23"/>
  <c r="AC321" i="23"/>
  <c r="AC394" i="23"/>
  <c r="AC361" i="23"/>
  <c r="AC328" i="23"/>
  <c r="AC320" i="23"/>
  <c r="AC353" i="23"/>
  <c r="AC343" i="23"/>
  <c r="AC339" i="23"/>
  <c r="AC335" i="23"/>
  <c r="AC331" i="23"/>
  <c r="AC325" i="23"/>
  <c r="AC319" i="23"/>
  <c r="AC402" i="23"/>
  <c r="AC348" i="23"/>
  <c r="AC347" i="23"/>
  <c r="AC323" i="23"/>
  <c r="AC316" i="23"/>
  <c r="AC313" i="23"/>
  <c r="AC311" i="23"/>
  <c r="AC303" i="23"/>
  <c r="AC295" i="23"/>
  <c r="AC287" i="23"/>
  <c r="AC279" i="23"/>
  <c r="AC329" i="23"/>
  <c r="AC312" i="23"/>
  <c r="AC310" i="23"/>
  <c r="AC302" i="23"/>
  <c r="AC294" i="23"/>
  <c r="AC286" i="23"/>
  <c r="AC278" i="23"/>
  <c r="AC309" i="23"/>
  <c r="AC301" i="23"/>
  <c r="AC293" i="23"/>
  <c r="AC285" i="23"/>
  <c r="AC277" i="23"/>
  <c r="AC337" i="23"/>
  <c r="AC324" i="23"/>
  <c r="AC315" i="23"/>
  <c r="AC308" i="23"/>
  <c r="AC307" i="23"/>
  <c r="AC299" i="23"/>
  <c r="AC291" i="23"/>
  <c r="AC283" i="23"/>
  <c r="AC378" i="23"/>
  <c r="AC345" i="23"/>
  <c r="AC306" i="23"/>
  <c r="AC298" i="23"/>
  <c r="AC290" i="23"/>
  <c r="AC284" i="23"/>
  <c r="AC282" i="23"/>
  <c r="AC297" i="23"/>
  <c r="AC275" i="23"/>
  <c r="AC267" i="23"/>
  <c r="AC259" i="23"/>
  <c r="AC251" i="23"/>
  <c r="AC318" i="23"/>
  <c r="AC304" i="23"/>
  <c r="AC292" i="23"/>
  <c r="AC274" i="23"/>
  <c r="AC266" i="23"/>
  <c r="AC258" i="23"/>
  <c r="AC250" i="23"/>
  <c r="AC242" i="23"/>
  <c r="AC281" i="23"/>
  <c r="AC273" i="23"/>
  <c r="AC265" i="23"/>
  <c r="AC257" i="23"/>
  <c r="AC249" i="23"/>
  <c r="AC241" i="23"/>
  <c r="AC300" i="23"/>
  <c r="AC288" i="23"/>
  <c r="AC280" i="23"/>
  <c r="AC276" i="23"/>
  <c r="AC271" i="23"/>
  <c r="AC263" i="23"/>
  <c r="AC255" i="23"/>
  <c r="AC317" i="23"/>
  <c r="AC305" i="23"/>
  <c r="AC270" i="23"/>
  <c r="AC262" i="23"/>
  <c r="AC254" i="23"/>
  <c r="AC246" i="23"/>
  <c r="AC296" i="23"/>
  <c r="AC289" i="23"/>
  <c r="AC269" i="23"/>
  <c r="AC261" i="23"/>
  <c r="AC253" i="23"/>
  <c r="AC245" i="23"/>
  <c r="AC272" i="23"/>
  <c r="AC256" i="23"/>
  <c r="AC233" i="23"/>
  <c r="AC225" i="23"/>
  <c r="AC217" i="23"/>
  <c r="AC209" i="23"/>
  <c r="AC232" i="23"/>
  <c r="AC224" i="23"/>
  <c r="AC216" i="23"/>
  <c r="AC208" i="23"/>
  <c r="AC260" i="23"/>
  <c r="AC248" i="23"/>
  <c r="AC244" i="23"/>
  <c r="AC239" i="23"/>
  <c r="AC231" i="23"/>
  <c r="AC223" i="23"/>
  <c r="AC215" i="23"/>
  <c r="AC207" i="23"/>
  <c r="AC199" i="23"/>
  <c r="AC238" i="23"/>
  <c r="AC230" i="23"/>
  <c r="AC222" i="23"/>
  <c r="AC214" i="23"/>
  <c r="AC264" i="23"/>
  <c r="AC247" i="23"/>
  <c r="AC243" i="23"/>
  <c r="AC240" i="23"/>
  <c r="AC237" i="23"/>
  <c r="AC229" i="23"/>
  <c r="AC221" i="23"/>
  <c r="AC213" i="23"/>
  <c r="AC205" i="23"/>
  <c r="AC236" i="23"/>
  <c r="AC228" i="23"/>
  <c r="AC268" i="23"/>
  <c r="AC235" i="23"/>
  <c r="AC227" i="23"/>
  <c r="AC219" i="23"/>
  <c r="AC211" i="23"/>
  <c r="AC203" i="23"/>
  <c r="AC252" i="23"/>
  <c r="AC234" i="23"/>
  <c r="AC226" i="23"/>
  <c r="AC218" i="23"/>
  <c r="AC210" i="23"/>
  <c r="AC206" i="23"/>
  <c r="AC196" i="23"/>
  <c r="AC188" i="23"/>
  <c r="AC180" i="23"/>
  <c r="AC172" i="23"/>
  <c r="AC164" i="23"/>
  <c r="AC156" i="23"/>
  <c r="AC195" i="23"/>
  <c r="AC187" i="23"/>
  <c r="AC179" i="23"/>
  <c r="AC171" i="23"/>
  <c r="AC163" i="23"/>
  <c r="AC155" i="23"/>
  <c r="AC194" i="23"/>
  <c r="AC186" i="23"/>
  <c r="AC178" i="23"/>
  <c r="AC170" i="23"/>
  <c r="AC162" i="23"/>
  <c r="AC154" i="23"/>
  <c r="AC220" i="23"/>
  <c r="AC193" i="23"/>
  <c r="AC185" i="23"/>
  <c r="AC177" i="23"/>
  <c r="AC169" i="23"/>
  <c r="AC161" i="23"/>
  <c r="AC153" i="23"/>
  <c r="AC202" i="23"/>
  <c r="AC212" i="23"/>
  <c r="AC204" i="23"/>
  <c r="AC201" i="23"/>
  <c r="AC191" i="23"/>
  <c r="AC183" i="23"/>
  <c r="AC175" i="23"/>
  <c r="AC167" i="23"/>
  <c r="AC198" i="23"/>
  <c r="AC190" i="23"/>
  <c r="AC182" i="23"/>
  <c r="AC174" i="23"/>
  <c r="AC166" i="23"/>
  <c r="AC158" i="23"/>
  <c r="AC200" i="23"/>
  <c r="AC197" i="23"/>
  <c r="AC189" i="23"/>
  <c r="AC181" i="23"/>
  <c r="AC173" i="23"/>
  <c r="AC165" i="23"/>
  <c r="AC157" i="23"/>
  <c r="AC176" i="23"/>
  <c r="AC150" i="23"/>
  <c r="AC142" i="23"/>
  <c r="AC134" i="23"/>
  <c r="AC126" i="23"/>
  <c r="AC118" i="23"/>
  <c r="AC159" i="23"/>
  <c r="AC149" i="23"/>
  <c r="AC141" i="23"/>
  <c r="AC133" i="23"/>
  <c r="AC125" i="23"/>
  <c r="AC117" i="23"/>
  <c r="AC109" i="23"/>
  <c r="AC168" i="23"/>
  <c r="AC148" i="23"/>
  <c r="AC140" i="23"/>
  <c r="AC132" i="23"/>
  <c r="AC124" i="23"/>
  <c r="AC116" i="23"/>
  <c r="AC147" i="23"/>
  <c r="AC139" i="23"/>
  <c r="AC131" i="23"/>
  <c r="AC123" i="23"/>
  <c r="AC115" i="23"/>
  <c r="AC192" i="23"/>
  <c r="AC146" i="23"/>
  <c r="AC138" i="23"/>
  <c r="AC130" i="23"/>
  <c r="AC122" i="23"/>
  <c r="AC114" i="23"/>
  <c r="AC160" i="23"/>
  <c r="AC152" i="23"/>
  <c r="AC145" i="23"/>
  <c r="AC137" i="23"/>
  <c r="AC129" i="23"/>
  <c r="AC121" i="23"/>
  <c r="AC113" i="23"/>
  <c r="AC184" i="23"/>
  <c r="AC144" i="23"/>
  <c r="AC136" i="23"/>
  <c r="AC128" i="23"/>
  <c r="AC120" i="23"/>
  <c r="AC151" i="23"/>
  <c r="AC143" i="23"/>
  <c r="AC135" i="23"/>
  <c r="AC127" i="23"/>
  <c r="AC119" i="23"/>
  <c r="AC111" i="23"/>
  <c r="AC104" i="23"/>
  <c r="AC96" i="23"/>
  <c r="AC88" i="23"/>
  <c r="AC80" i="23"/>
  <c r="AC72" i="23"/>
  <c r="AC103" i="23"/>
  <c r="AC95" i="23"/>
  <c r="AC87" i="23"/>
  <c r="AC79" i="23"/>
  <c r="AC71" i="23"/>
  <c r="AC63" i="23"/>
  <c r="AC107" i="23"/>
  <c r="AC102" i="23"/>
  <c r="AC94" i="23"/>
  <c r="AC86" i="23"/>
  <c r="AC78" i="23"/>
  <c r="AC70" i="23"/>
  <c r="AC62" i="23"/>
  <c r="AC110" i="23"/>
  <c r="AC101" i="23"/>
  <c r="AC93" i="23"/>
  <c r="AC85" i="23"/>
  <c r="AC77" i="23"/>
  <c r="AC69" i="23"/>
  <c r="AC61" i="23"/>
  <c r="AC112" i="23"/>
  <c r="AC108" i="23"/>
  <c r="AC100" i="23"/>
  <c r="AC92" i="23"/>
  <c r="AC84" i="23"/>
  <c r="AC76" i="23"/>
  <c r="AC68" i="23"/>
  <c r="AC99" i="23"/>
  <c r="AC91" i="23"/>
  <c r="AC83" i="23"/>
  <c r="AC75" i="23"/>
  <c r="AC67" i="23"/>
  <c r="AC59" i="23"/>
  <c r="AC106" i="23"/>
  <c r="AC98" i="23"/>
  <c r="AC90" i="23"/>
  <c r="AC82" i="23"/>
  <c r="AC74" i="23"/>
  <c r="AC66" i="23"/>
  <c r="AC58" i="23"/>
  <c r="AC105" i="23"/>
  <c r="AC97" i="23"/>
  <c r="AC89" i="23"/>
  <c r="AC81" i="23"/>
  <c r="AC73" i="23"/>
  <c r="AC65" i="23"/>
  <c r="N7" i="23"/>
  <c r="O7" i="23" s="1"/>
  <c r="AL7" i="23"/>
  <c r="AC8" i="23"/>
  <c r="AJ9" i="23"/>
  <c r="AK9" i="23" s="1"/>
  <c r="I12" i="23"/>
  <c r="N15" i="23"/>
  <c r="O15" i="23" s="1"/>
  <c r="AL15" i="23"/>
  <c r="AC16" i="23"/>
  <c r="AJ17" i="23"/>
  <c r="AK17" i="23" s="1"/>
  <c r="I20" i="23"/>
  <c r="N23" i="23"/>
  <c r="O23" i="23" s="1"/>
  <c r="M24" i="23"/>
  <c r="U24" i="23"/>
  <c r="AC24" i="23"/>
  <c r="AJ25" i="23"/>
  <c r="AK25" i="23" s="1"/>
  <c r="AI26" i="23"/>
  <c r="J27" i="23"/>
  <c r="K27" i="23" s="1"/>
  <c r="R27" i="23"/>
  <c r="S27" i="23" s="1"/>
  <c r="Z27" i="23"/>
  <c r="AA27" i="23" s="1"/>
  <c r="I28" i="23"/>
  <c r="Q28" i="23"/>
  <c r="Y28" i="23"/>
  <c r="AF29" i="23"/>
  <c r="AG29" i="23" s="1"/>
  <c r="AE30" i="23"/>
  <c r="N31" i="23"/>
  <c r="O31" i="23" s="1"/>
  <c r="V31" i="23"/>
  <c r="AL31" i="23"/>
  <c r="M32" i="23"/>
  <c r="U32" i="23"/>
  <c r="AC32" i="23"/>
  <c r="AJ33" i="23"/>
  <c r="AK33" i="23" s="1"/>
  <c r="AI34" i="23"/>
  <c r="J35" i="23"/>
  <c r="K35" i="23" s="1"/>
  <c r="R35" i="23"/>
  <c r="S35" i="23" s="1"/>
  <c r="Z35" i="23"/>
  <c r="AA35" i="23" s="1"/>
  <c r="I36" i="23"/>
  <c r="Q36" i="23"/>
  <c r="Y36" i="23"/>
  <c r="AF37" i="23"/>
  <c r="AG37" i="23" s="1"/>
  <c r="AE38" i="23"/>
  <c r="N39" i="23"/>
  <c r="O39" i="23" s="1"/>
  <c r="V39" i="23"/>
  <c r="W39" i="23" s="1"/>
  <c r="AL39" i="23"/>
  <c r="M40" i="23"/>
  <c r="U40" i="23"/>
  <c r="AC40" i="23"/>
  <c r="AJ41" i="23"/>
  <c r="AI42" i="23"/>
  <c r="J43" i="23"/>
  <c r="K43" i="23" s="1"/>
  <c r="R43" i="23"/>
  <c r="S43" i="23" s="1"/>
  <c r="Z43" i="23"/>
  <c r="AA43" i="23" s="1"/>
  <c r="I44" i="23"/>
  <c r="Q44" i="23"/>
  <c r="Y44" i="23"/>
  <c r="AF45" i="23"/>
  <c r="AG45" i="23" s="1"/>
  <c r="AE46" i="23"/>
  <c r="N47" i="23"/>
  <c r="O47" i="23" s="1"/>
  <c r="V47" i="23"/>
  <c r="W47" i="23" s="1"/>
  <c r="AL47" i="23"/>
  <c r="M48" i="23"/>
  <c r="U48" i="23"/>
  <c r="AC48" i="23"/>
  <c r="AJ49" i="23"/>
  <c r="AK49" i="23" s="1"/>
  <c r="AI50" i="23"/>
  <c r="J51" i="23"/>
  <c r="K51" i="23" s="1"/>
  <c r="R51" i="23"/>
  <c r="Z51" i="23"/>
  <c r="AA51" i="23" s="1"/>
  <c r="I52" i="23"/>
  <c r="Q52" i="23"/>
  <c r="Y52" i="23"/>
  <c r="AF53" i="23"/>
  <c r="AG53" i="23" s="1"/>
  <c r="N55" i="23"/>
  <c r="O55" i="23" s="1"/>
  <c r="V55" i="23"/>
  <c r="W55" i="23" s="1"/>
  <c r="M56" i="23"/>
  <c r="U56" i="23"/>
  <c r="AC56" i="23"/>
  <c r="U57" i="23"/>
  <c r="AF57" i="23"/>
  <c r="AG57" i="23" s="1"/>
  <c r="AL527" i="23"/>
  <c r="AL519" i="23"/>
  <c r="AL511" i="23"/>
  <c r="AL526" i="23"/>
  <c r="AL518" i="23"/>
  <c r="AL510" i="23"/>
  <c r="AL525" i="23"/>
  <c r="AL531" i="23"/>
  <c r="AL523" i="23"/>
  <c r="AL530" i="23"/>
  <c r="AL522" i="23"/>
  <c r="AL529" i="23"/>
  <c r="AL521" i="23"/>
  <c r="AL528" i="23"/>
  <c r="AL520" i="23"/>
  <c r="AL516" i="23"/>
  <c r="AL509" i="23"/>
  <c r="AL498" i="23"/>
  <c r="AL514" i="23"/>
  <c r="AL503" i="23"/>
  <c r="AL517" i="23"/>
  <c r="AL502" i="23"/>
  <c r="AL524" i="23"/>
  <c r="AL513" i="23"/>
  <c r="AL507" i="23"/>
  <c r="AL501" i="23"/>
  <c r="AL508" i="23"/>
  <c r="AL496" i="23"/>
  <c r="AL491" i="23"/>
  <c r="AL483" i="23"/>
  <c r="AL506" i="23"/>
  <c r="AL497" i="23"/>
  <c r="AL490" i="23"/>
  <c r="AL482" i="23"/>
  <c r="AL512" i="23"/>
  <c r="AL488" i="23"/>
  <c r="AL504" i="23"/>
  <c r="AL500" i="23"/>
  <c r="AL495" i="23"/>
  <c r="AL487" i="23"/>
  <c r="AL479" i="23"/>
  <c r="AL505" i="23"/>
  <c r="AL494" i="23"/>
  <c r="AL486" i="23"/>
  <c r="AL515" i="23"/>
  <c r="AL493" i="23"/>
  <c r="AL485" i="23"/>
  <c r="AL481" i="23"/>
  <c r="AL473" i="23"/>
  <c r="AL465" i="23"/>
  <c r="AL499" i="23"/>
  <c r="AL489" i="23"/>
  <c r="AL484" i="23"/>
  <c r="AL472" i="23"/>
  <c r="AL464" i="23"/>
  <c r="AL492" i="23"/>
  <c r="AL471" i="23"/>
  <c r="AL463" i="23"/>
  <c r="AL478" i="23"/>
  <c r="AL470" i="23"/>
  <c r="AL477" i="23"/>
  <c r="AL469" i="23"/>
  <c r="AL461" i="23"/>
  <c r="AL476" i="23"/>
  <c r="AL468" i="23"/>
  <c r="AL480" i="23"/>
  <c r="AL475" i="23"/>
  <c r="AL467" i="23"/>
  <c r="AL466" i="23"/>
  <c r="AL450" i="23"/>
  <c r="AL442" i="23"/>
  <c r="AL457" i="23"/>
  <c r="AL449" i="23"/>
  <c r="AL441" i="23"/>
  <c r="AL462" i="23"/>
  <c r="AL456" i="23"/>
  <c r="AL448" i="23"/>
  <c r="AL455" i="23"/>
  <c r="AL447" i="23"/>
  <c r="AL458" i="23"/>
  <c r="AL454" i="23"/>
  <c r="AL446" i="23"/>
  <c r="AL459" i="23"/>
  <c r="AL453" i="23"/>
  <c r="AL445" i="23"/>
  <c r="AL452" i="23"/>
  <c r="AL444" i="23"/>
  <c r="AL434" i="23"/>
  <c r="AL426" i="23"/>
  <c r="AL433" i="23"/>
  <c r="AL425" i="23"/>
  <c r="AL451" i="23"/>
  <c r="AL440" i="23"/>
  <c r="AL432" i="23"/>
  <c r="AL424" i="23"/>
  <c r="AL443" i="23"/>
  <c r="AL439" i="23"/>
  <c r="AL431" i="23"/>
  <c r="AL423" i="23"/>
  <c r="AL438" i="23"/>
  <c r="AL430" i="23"/>
  <c r="AL422" i="23"/>
  <c r="AL474" i="23"/>
  <c r="AL437" i="23"/>
  <c r="AL429" i="23"/>
  <c r="AL421" i="23"/>
  <c r="AL419" i="23"/>
  <c r="AL417" i="23"/>
  <c r="AL409" i="23"/>
  <c r="AL416" i="23"/>
  <c r="AL408" i="23"/>
  <c r="AL427" i="23"/>
  <c r="AL415" i="23"/>
  <c r="AL407" i="23"/>
  <c r="AL428" i="23"/>
  <c r="AL420" i="23"/>
  <c r="AL413" i="23"/>
  <c r="AL405" i="23"/>
  <c r="AL412" i="23"/>
  <c r="AL460" i="23"/>
  <c r="AL435" i="23"/>
  <c r="AL411" i="23"/>
  <c r="AL403" i="23"/>
  <c r="AL418" i="23"/>
  <c r="AL401" i="23"/>
  <c r="AL397" i="23"/>
  <c r="AL389" i="23"/>
  <c r="AL381" i="23"/>
  <c r="AL373" i="23"/>
  <c r="AL365" i="23"/>
  <c r="AL406" i="23"/>
  <c r="AL396" i="23"/>
  <c r="AL388" i="23"/>
  <c r="AL380" i="23"/>
  <c r="AL372" i="23"/>
  <c r="AL364" i="23"/>
  <c r="AL395" i="23"/>
  <c r="AL387" i="23"/>
  <c r="AL379" i="23"/>
  <c r="AL371" i="23"/>
  <c r="AL363" i="23"/>
  <c r="AL404" i="23"/>
  <c r="AL394" i="23"/>
  <c r="AL386" i="23"/>
  <c r="AL378" i="23"/>
  <c r="AL370" i="23"/>
  <c r="AL362" i="23"/>
  <c r="AL402" i="23"/>
  <c r="AL400" i="23"/>
  <c r="AL399" i="23"/>
  <c r="AL391" i="23"/>
  <c r="AL383" i="23"/>
  <c r="AL375" i="23"/>
  <c r="AL367" i="23"/>
  <c r="AL359" i="23"/>
  <c r="AL414" i="23"/>
  <c r="AL398" i="23"/>
  <c r="AL390" i="23"/>
  <c r="AL368" i="23"/>
  <c r="AL360" i="23"/>
  <c r="AL351" i="23"/>
  <c r="AL343" i="23"/>
  <c r="AL335" i="23"/>
  <c r="AL385" i="23"/>
  <c r="AL374" i="23"/>
  <c r="AL350" i="23"/>
  <c r="AL376" i="23"/>
  <c r="AL361" i="23"/>
  <c r="AL357" i="23"/>
  <c r="AL349" i="23"/>
  <c r="AL341" i="23"/>
  <c r="AL333" i="23"/>
  <c r="AL325" i="23"/>
  <c r="AL392" i="23"/>
  <c r="AL382" i="23"/>
  <c r="AL358" i="23"/>
  <c r="AL356" i="23"/>
  <c r="AL348" i="23"/>
  <c r="AL340" i="23"/>
  <c r="AL332" i="23"/>
  <c r="AL410" i="23"/>
  <c r="AL353" i="23"/>
  <c r="AL345" i="23"/>
  <c r="AL337" i="23"/>
  <c r="AL329" i="23"/>
  <c r="AL369" i="23"/>
  <c r="AL321" i="23"/>
  <c r="AL313" i="23"/>
  <c r="AL393" i="23"/>
  <c r="AL320" i="23"/>
  <c r="AL366" i="23"/>
  <c r="AL347" i="23"/>
  <c r="AL327" i="23"/>
  <c r="AL319" i="23"/>
  <c r="AL344" i="23"/>
  <c r="AL336" i="23"/>
  <c r="AL328" i="23"/>
  <c r="AL318" i="23"/>
  <c r="AL384" i="23"/>
  <c r="AL354" i="23"/>
  <c r="AL323" i="23"/>
  <c r="AL322" i="23"/>
  <c r="AL352" i="23"/>
  <c r="AL310" i="23"/>
  <c r="AL302" i="23"/>
  <c r="AL294" i="23"/>
  <c r="AL286" i="23"/>
  <c r="AL278" i="23"/>
  <c r="AL316" i="23"/>
  <c r="AL309" i="23"/>
  <c r="AL301" i="23"/>
  <c r="AL293" i="23"/>
  <c r="AL285" i="23"/>
  <c r="AL277" i="23"/>
  <c r="AL330" i="23"/>
  <c r="AL312" i="23"/>
  <c r="AL308" i="23"/>
  <c r="AL300" i="23"/>
  <c r="AL292" i="23"/>
  <c r="AL284" i="23"/>
  <c r="AL276" i="23"/>
  <c r="AL377" i="23"/>
  <c r="AL334" i="23"/>
  <c r="AL307" i="23"/>
  <c r="AL436" i="23"/>
  <c r="AL338" i="23"/>
  <c r="AL331" i="23"/>
  <c r="AL315" i="23"/>
  <c r="AL306" i="23"/>
  <c r="AL298" i="23"/>
  <c r="AL290" i="23"/>
  <c r="AL282" i="23"/>
  <c r="AL342" i="23"/>
  <c r="AL326" i="23"/>
  <c r="AL305" i="23"/>
  <c r="AL297" i="23"/>
  <c r="AL289" i="23"/>
  <c r="AL324" i="23"/>
  <c r="AL303" i="23"/>
  <c r="AL288" i="23"/>
  <c r="AL311" i="23"/>
  <c r="AL291" i="23"/>
  <c r="AL275" i="23"/>
  <c r="AL274" i="23"/>
  <c r="AL266" i="23"/>
  <c r="AL258" i="23"/>
  <c r="AL250" i="23"/>
  <c r="AL317" i="23"/>
  <c r="AL296" i="23"/>
  <c r="AL273" i="23"/>
  <c r="AL265" i="23"/>
  <c r="AL257" i="23"/>
  <c r="AL249" i="23"/>
  <c r="AL241" i="23"/>
  <c r="AL339" i="23"/>
  <c r="AL299" i="23"/>
  <c r="AL272" i="23"/>
  <c r="AL264" i="23"/>
  <c r="AL256" i="23"/>
  <c r="AL248" i="23"/>
  <c r="AL240" i="23"/>
  <c r="AL346" i="23"/>
  <c r="AL287" i="23"/>
  <c r="AL355" i="23"/>
  <c r="AL314" i="23"/>
  <c r="AL281" i="23"/>
  <c r="AL270" i="23"/>
  <c r="AL262" i="23"/>
  <c r="AL254" i="23"/>
  <c r="AL304" i="23"/>
  <c r="AL295" i="23"/>
  <c r="AL279" i="23"/>
  <c r="AL269" i="23"/>
  <c r="AL261" i="23"/>
  <c r="AL253" i="23"/>
  <c r="AL245" i="23"/>
  <c r="AL283" i="23"/>
  <c r="AL280" i="23"/>
  <c r="AL268" i="23"/>
  <c r="AL260" i="23"/>
  <c r="AL252" i="23"/>
  <c r="AL244" i="23"/>
  <c r="AL263" i="23"/>
  <c r="AL232" i="23"/>
  <c r="AL224" i="23"/>
  <c r="AL216" i="23"/>
  <c r="AL208" i="23"/>
  <c r="AL239" i="23"/>
  <c r="AL231" i="23"/>
  <c r="AL223" i="23"/>
  <c r="AL215" i="23"/>
  <c r="AL207" i="23"/>
  <c r="AL267" i="23"/>
  <c r="AL238" i="23"/>
  <c r="AL230" i="23"/>
  <c r="AL222" i="23"/>
  <c r="AL214" i="23"/>
  <c r="AL206" i="23"/>
  <c r="AL198" i="23"/>
  <c r="AL237" i="23"/>
  <c r="AL229" i="23"/>
  <c r="AL221" i="23"/>
  <c r="AL213" i="23"/>
  <c r="AL271" i="23"/>
  <c r="AL255" i="23"/>
  <c r="AL251" i="23"/>
  <c r="AL236" i="23"/>
  <c r="AL228" i="23"/>
  <c r="AL220" i="23"/>
  <c r="AL212" i="23"/>
  <c r="AL204" i="23"/>
  <c r="AL235" i="23"/>
  <c r="AL227" i="23"/>
  <c r="AL259" i="23"/>
  <c r="AL246" i="23"/>
  <c r="AL234" i="23"/>
  <c r="AL226" i="23"/>
  <c r="AL218" i="23"/>
  <c r="AL210" i="23"/>
  <c r="AL202" i="23"/>
  <c r="AL247" i="23"/>
  <c r="AL243" i="23"/>
  <c r="AL242" i="23"/>
  <c r="AL233" i="23"/>
  <c r="AL225" i="23"/>
  <c r="AL217" i="23"/>
  <c r="AL209" i="23"/>
  <c r="AL200" i="23"/>
  <c r="AL195" i="23"/>
  <c r="AL187" i="23"/>
  <c r="AL179" i="23"/>
  <c r="AL171" i="23"/>
  <c r="AL163" i="23"/>
  <c r="AL155" i="23"/>
  <c r="AL203" i="23"/>
  <c r="AL194" i="23"/>
  <c r="AL186" i="23"/>
  <c r="AL178" i="23"/>
  <c r="AL170" i="23"/>
  <c r="AL162" i="23"/>
  <c r="AL154" i="23"/>
  <c r="AL193" i="23"/>
  <c r="AL185" i="23"/>
  <c r="AL177" i="23"/>
  <c r="AL169" i="23"/>
  <c r="AL161" i="23"/>
  <c r="AL153" i="23"/>
  <c r="AL219" i="23"/>
  <c r="AL192" i="23"/>
  <c r="AL184" i="23"/>
  <c r="AL176" i="23"/>
  <c r="AL168" i="23"/>
  <c r="AL160" i="23"/>
  <c r="AL152" i="23"/>
  <c r="AL211" i="23"/>
  <c r="AL190" i="23"/>
  <c r="AL182" i="23"/>
  <c r="AL174" i="23"/>
  <c r="AL166" i="23"/>
  <c r="AL201" i="23"/>
  <c r="AL199" i="23"/>
  <c r="AL197" i="23"/>
  <c r="AL189" i="23"/>
  <c r="AL181" i="23"/>
  <c r="AL173" i="23"/>
  <c r="AL165" i="23"/>
  <c r="AL157" i="23"/>
  <c r="AL205" i="23"/>
  <c r="AL196" i="23"/>
  <c r="AL188" i="23"/>
  <c r="AL180" i="23"/>
  <c r="AL172" i="23"/>
  <c r="AL164" i="23"/>
  <c r="AL156" i="23"/>
  <c r="AL175" i="23"/>
  <c r="AL151" i="23"/>
  <c r="AL149" i="23"/>
  <c r="AL141" i="23"/>
  <c r="AL133" i="23"/>
  <c r="AL125" i="23"/>
  <c r="AL117" i="23"/>
  <c r="AL148" i="23"/>
  <c r="AL140" i="23"/>
  <c r="AL132" i="23"/>
  <c r="AL124" i="23"/>
  <c r="AL116" i="23"/>
  <c r="AL108" i="23"/>
  <c r="AL167" i="23"/>
  <c r="AL147" i="23"/>
  <c r="AL139" i="23"/>
  <c r="AL131" i="23"/>
  <c r="AL123" i="23"/>
  <c r="AL115" i="23"/>
  <c r="AL146" i="23"/>
  <c r="AL138" i="23"/>
  <c r="AL130" i="23"/>
  <c r="AL122" i="23"/>
  <c r="AL114" i="23"/>
  <c r="AL191" i="23"/>
  <c r="AL158" i="23"/>
  <c r="AL145" i="23"/>
  <c r="AL137" i="23"/>
  <c r="AL129" i="23"/>
  <c r="AL121" i="23"/>
  <c r="AL113" i="23"/>
  <c r="AL159" i="23"/>
  <c r="AL144" i="23"/>
  <c r="AL136" i="23"/>
  <c r="AL128" i="23"/>
  <c r="AL120" i="23"/>
  <c r="AL112" i="23"/>
  <c r="AL183" i="23"/>
  <c r="AL143" i="23"/>
  <c r="AL135" i="23"/>
  <c r="AL127" i="23"/>
  <c r="AL119" i="23"/>
  <c r="AL150" i="23"/>
  <c r="AL142" i="23"/>
  <c r="AL134" i="23"/>
  <c r="AL126" i="23"/>
  <c r="AL118" i="23"/>
  <c r="AL110" i="23"/>
  <c r="AL109" i="23"/>
  <c r="AL103" i="23"/>
  <c r="AL95" i="23"/>
  <c r="AL87" i="23"/>
  <c r="AL79" i="23"/>
  <c r="AL71" i="23"/>
  <c r="AL102" i="23"/>
  <c r="AL94" i="23"/>
  <c r="AL86" i="23"/>
  <c r="AL78" i="23"/>
  <c r="AL70" i="23"/>
  <c r="AL62" i="23"/>
  <c r="AL101" i="23"/>
  <c r="AL93" i="23"/>
  <c r="AL85" i="23"/>
  <c r="AL77" i="23"/>
  <c r="AL69" i="23"/>
  <c r="AL61" i="23"/>
  <c r="AL107" i="23"/>
  <c r="AL100" i="23"/>
  <c r="AL92" i="23"/>
  <c r="AL84" i="23"/>
  <c r="AL76" i="23"/>
  <c r="AL68" i="23"/>
  <c r="AL60" i="23"/>
  <c r="AL99" i="23"/>
  <c r="AL91" i="23"/>
  <c r="AL83" i="23"/>
  <c r="AL75" i="23"/>
  <c r="AL67" i="23"/>
  <c r="AL106" i="23"/>
  <c r="AL98" i="23"/>
  <c r="AL90" i="23"/>
  <c r="AL82" i="23"/>
  <c r="AL74" i="23"/>
  <c r="AL66" i="23"/>
  <c r="AL58" i="23"/>
  <c r="AL105" i="23"/>
  <c r="AL97" i="23"/>
  <c r="AL89" i="23"/>
  <c r="AL81" i="23"/>
  <c r="AL73" i="23"/>
  <c r="AL65" i="23"/>
  <c r="AL57" i="23"/>
  <c r="AL111" i="23"/>
  <c r="AL104" i="23"/>
  <c r="AL96" i="23"/>
  <c r="AL88" i="23"/>
  <c r="AL80" i="23"/>
  <c r="AL72" i="23"/>
  <c r="AL64" i="23"/>
  <c r="AE526" i="23"/>
  <c r="AE518" i="23"/>
  <c r="AE510" i="23"/>
  <c r="AE525" i="23"/>
  <c r="AE517" i="23"/>
  <c r="AE509" i="23"/>
  <c r="AE524" i="23"/>
  <c r="AE531" i="23"/>
  <c r="AE530" i="23"/>
  <c r="AE522" i="23"/>
  <c r="AE529" i="23"/>
  <c r="AE521" i="23"/>
  <c r="AE528" i="23"/>
  <c r="AE520" i="23"/>
  <c r="AE527" i="23"/>
  <c r="AE519" i="23"/>
  <c r="AE515" i="23"/>
  <c r="AE506" i="23"/>
  <c r="AE505" i="23"/>
  <c r="AE497" i="23"/>
  <c r="AE507" i="23"/>
  <c r="AE502" i="23"/>
  <c r="AE508" i="23"/>
  <c r="AE501" i="23"/>
  <c r="AE516" i="23"/>
  <c r="AE500" i="23"/>
  <c r="AE512" i="23"/>
  <c r="AE513" i="23"/>
  <c r="AE490" i="23"/>
  <c r="AE482" i="23"/>
  <c r="AE523" i="23"/>
  <c r="AE498" i="23"/>
  <c r="AE489" i="23"/>
  <c r="AE481" i="23"/>
  <c r="AE514" i="23"/>
  <c r="AE495" i="23"/>
  <c r="AE511" i="23"/>
  <c r="AE503" i="23"/>
  <c r="AE494" i="23"/>
  <c r="AE486" i="23"/>
  <c r="AE496" i="23"/>
  <c r="AE493" i="23"/>
  <c r="AE485" i="23"/>
  <c r="AE504" i="23"/>
  <c r="AE499" i="23"/>
  <c r="AE492" i="23"/>
  <c r="AE484" i="23"/>
  <c r="AE479" i="23"/>
  <c r="AE472" i="23"/>
  <c r="AE464" i="23"/>
  <c r="AE480" i="23"/>
  <c r="AE471" i="23"/>
  <c r="AE463" i="23"/>
  <c r="AE488" i="23"/>
  <c r="AE487" i="23"/>
  <c r="AE478" i="23"/>
  <c r="AE470" i="23"/>
  <c r="AE462" i="23"/>
  <c r="AE491" i="23"/>
  <c r="AE477" i="23"/>
  <c r="AE469" i="23"/>
  <c r="AE476" i="23"/>
  <c r="AE468" i="23"/>
  <c r="AE460" i="23"/>
  <c r="AE475" i="23"/>
  <c r="AE467" i="23"/>
  <c r="AE483" i="23"/>
  <c r="AE474" i="23"/>
  <c r="AE466" i="23"/>
  <c r="AE461" i="23"/>
  <c r="AE457" i="23"/>
  <c r="AE449" i="23"/>
  <c r="AE441" i="23"/>
  <c r="AE465" i="23"/>
  <c r="AE456" i="23"/>
  <c r="AE448" i="23"/>
  <c r="AE458" i="23"/>
  <c r="AE455" i="23"/>
  <c r="AE447" i="23"/>
  <c r="AE473" i="23"/>
  <c r="AE459" i="23"/>
  <c r="AE454" i="23"/>
  <c r="AE446" i="23"/>
  <c r="AE453" i="23"/>
  <c r="AE445" i="23"/>
  <c r="AE452" i="23"/>
  <c r="AE444" i="23"/>
  <c r="AE451" i="23"/>
  <c r="AE443" i="23"/>
  <c r="AE433" i="23"/>
  <c r="AE425" i="23"/>
  <c r="AE440" i="23"/>
  <c r="AE432" i="23"/>
  <c r="AE424" i="23"/>
  <c r="AE439" i="23"/>
  <c r="AE431" i="23"/>
  <c r="AE423" i="23"/>
  <c r="AE438" i="23"/>
  <c r="AE430" i="23"/>
  <c r="AE422" i="23"/>
  <c r="AE442" i="23"/>
  <c r="AE437" i="23"/>
  <c r="AE429" i="23"/>
  <c r="AE421" i="23"/>
  <c r="AE436" i="23"/>
  <c r="AE428" i="23"/>
  <c r="AE420" i="23"/>
  <c r="AE435" i="23"/>
  <c r="AE416" i="23"/>
  <c r="AE415" i="23"/>
  <c r="AE407" i="23"/>
  <c r="AE426" i="23"/>
  <c r="AE414" i="23"/>
  <c r="AE406" i="23"/>
  <c r="AE450" i="23"/>
  <c r="AE427" i="23"/>
  <c r="AE412" i="23"/>
  <c r="AE411" i="23"/>
  <c r="AE434" i="23"/>
  <c r="AE419" i="23"/>
  <c r="AE418" i="23"/>
  <c r="AE410" i="23"/>
  <c r="AE402" i="23"/>
  <c r="AE409" i="23"/>
  <c r="AE405" i="23"/>
  <c r="AE404" i="23"/>
  <c r="AE396" i="23"/>
  <c r="AE388" i="23"/>
  <c r="AE380" i="23"/>
  <c r="AE372" i="23"/>
  <c r="AE364" i="23"/>
  <c r="AE395" i="23"/>
  <c r="AE387" i="23"/>
  <c r="AE379" i="23"/>
  <c r="AE371" i="23"/>
  <c r="AE363" i="23"/>
  <c r="AE394" i="23"/>
  <c r="AE386" i="23"/>
  <c r="AE378" i="23"/>
  <c r="AE370" i="23"/>
  <c r="AE362" i="23"/>
  <c r="AE400" i="23"/>
  <c r="AE393" i="23"/>
  <c r="AE385" i="23"/>
  <c r="AE377" i="23"/>
  <c r="AE369" i="23"/>
  <c r="AE361" i="23"/>
  <c r="AE408" i="23"/>
  <c r="AE398" i="23"/>
  <c r="AE390" i="23"/>
  <c r="AE382" i="23"/>
  <c r="AE374" i="23"/>
  <c r="AE366" i="23"/>
  <c r="AE358" i="23"/>
  <c r="AE413" i="23"/>
  <c r="AE397" i="23"/>
  <c r="AE389" i="23"/>
  <c r="AE350" i="23"/>
  <c r="AE342" i="23"/>
  <c r="AE334" i="23"/>
  <c r="AE417" i="23"/>
  <c r="AE401" i="23"/>
  <c r="AE357" i="23"/>
  <c r="AE349" i="23"/>
  <c r="AE403" i="23"/>
  <c r="AE367" i="23"/>
  <c r="AE356" i="23"/>
  <c r="AE348" i="23"/>
  <c r="AE340" i="23"/>
  <c r="AE332" i="23"/>
  <c r="AE324" i="23"/>
  <c r="AE391" i="23"/>
  <c r="AE368" i="23"/>
  <c r="AE365" i="23"/>
  <c r="AE355" i="23"/>
  <c r="AE347" i="23"/>
  <c r="AE339" i="23"/>
  <c r="AE331" i="23"/>
  <c r="AE383" i="23"/>
  <c r="AE352" i="23"/>
  <c r="AE344" i="23"/>
  <c r="AE336" i="23"/>
  <c r="AE328" i="23"/>
  <c r="AE399" i="23"/>
  <c r="AE376" i="23"/>
  <c r="AE373" i="23"/>
  <c r="AE346" i="23"/>
  <c r="AE338" i="23"/>
  <c r="AE330" i="23"/>
  <c r="AE326" i="23"/>
  <c r="AE320" i="23"/>
  <c r="AE312" i="23"/>
  <c r="AE381" i="23"/>
  <c r="AE375" i="23"/>
  <c r="AE353" i="23"/>
  <c r="AE343" i="23"/>
  <c r="AE335" i="23"/>
  <c r="AE325" i="23"/>
  <c r="AE319" i="23"/>
  <c r="AE384" i="23"/>
  <c r="AE359" i="23"/>
  <c r="AE354" i="23"/>
  <c r="AE351" i="23"/>
  <c r="AE318" i="23"/>
  <c r="AE345" i="23"/>
  <c r="AE337" i="23"/>
  <c r="AE329" i="23"/>
  <c r="AE317" i="23"/>
  <c r="AE321" i="23"/>
  <c r="AE323" i="23"/>
  <c r="AE322" i="23"/>
  <c r="AE309" i="23"/>
  <c r="AE301" i="23"/>
  <c r="AE293" i="23"/>
  <c r="AE285" i="23"/>
  <c r="AE277" i="23"/>
  <c r="AE333" i="23"/>
  <c r="AE327" i="23"/>
  <c r="AE315" i="23"/>
  <c r="AE308" i="23"/>
  <c r="AE300" i="23"/>
  <c r="AE292" i="23"/>
  <c r="AE284" i="23"/>
  <c r="AE276" i="23"/>
  <c r="AE307" i="23"/>
  <c r="AE299" i="23"/>
  <c r="AE291" i="23"/>
  <c r="AE283" i="23"/>
  <c r="AE341" i="23"/>
  <c r="AE306" i="23"/>
  <c r="AE305" i="23"/>
  <c r="AE297" i="23"/>
  <c r="AE289" i="23"/>
  <c r="AE281" i="23"/>
  <c r="AE392" i="23"/>
  <c r="AE314" i="23"/>
  <c r="AE304" i="23"/>
  <c r="AE296" i="23"/>
  <c r="AE288" i="23"/>
  <c r="AE316" i="23"/>
  <c r="AE298" i="23"/>
  <c r="AE295" i="23"/>
  <c r="AE286" i="23"/>
  <c r="AE274" i="23"/>
  <c r="AE313" i="23"/>
  <c r="AE310" i="23"/>
  <c r="AE279" i="23"/>
  <c r="AE273" i="23"/>
  <c r="AE265" i="23"/>
  <c r="AE257" i="23"/>
  <c r="AE303" i="23"/>
  <c r="AE294" i="23"/>
  <c r="AE272" i="23"/>
  <c r="AE264" i="23"/>
  <c r="AE256" i="23"/>
  <c r="AE248" i="23"/>
  <c r="AE240" i="23"/>
  <c r="AE311" i="23"/>
  <c r="AE280" i="23"/>
  <c r="AE271" i="23"/>
  <c r="AE263" i="23"/>
  <c r="AE255" i="23"/>
  <c r="AE247" i="23"/>
  <c r="AE302" i="23"/>
  <c r="AE278" i="23"/>
  <c r="AE269" i="23"/>
  <c r="AE261" i="23"/>
  <c r="AE253" i="23"/>
  <c r="AE290" i="23"/>
  <c r="AE287" i="23"/>
  <c r="AE282" i="23"/>
  <c r="AE268" i="23"/>
  <c r="AE260" i="23"/>
  <c r="AE252" i="23"/>
  <c r="AE244" i="23"/>
  <c r="AE360" i="23"/>
  <c r="AE275" i="23"/>
  <c r="AE267" i="23"/>
  <c r="AE259" i="23"/>
  <c r="AE251" i="23"/>
  <c r="AE243" i="23"/>
  <c r="AE262" i="23"/>
  <c r="AE239" i="23"/>
  <c r="AE231" i="23"/>
  <c r="AE223" i="23"/>
  <c r="AE215" i="23"/>
  <c r="AE207" i="23"/>
  <c r="AE250" i="23"/>
  <c r="AE246" i="23"/>
  <c r="AE238" i="23"/>
  <c r="AE230" i="23"/>
  <c r="AE222" i="23"/>
  <c r="AE214" i="23"/>
  <c r="AE206" i="23"/>
  <c r="AE266" i="23"/>
  <c r="AE237" i="23"/>
  <c r="AE229" i="23"/>
  <c r="AE221" i="23"/>
  <c r="AE213" i="23"/>
  <c r="AE205" i="23"/>
  <c r="AE242" i="23"/>
  <c r="AE236" i="23"/>
  <c r="AE228" i="23"/>
  <c r="AE220" i="23"/>
  <c r="AE212" i="23"/>
  <c r="AE270" i="23"/>
  <c r="AE254" i="23"/>
  <c r="AE235" i="23"/>
  <c r="AE227" i="23"/>
  <c r="AE219" i="23"/>
  <c r="AE211" i="23"/>
  <c r="AE241" i="23"/>
  <c r="AE234" i="23"/>
  <c r="AE226" i="23"/>
  <c r="AE258" i="23"/>
  <c r="AE233" i="23"/>
  <c r="AE225" i="23"/>
  <c r="AE217" i="23"/>
  <c r="AE209" i="23"/>
  <c r="AE201" i="23"/>
  <c r="AE249" i="23"/>
  <c r="AE245" i="23"/>
  <c r="AE232" i="23"/>
  <c r="AE224" i="23"/>
  <c r="AE216" i="23"/>
  <c r="AE208" i="23"/>
  <c r="AE194" i="23"/>
  <c r="AE186" i="23"/>
  <c r="AE178" i="23"/>
  <c r="AE170" i="23"/>
  <c r="AE162" i="23"/>
  <c r="AE154" i="23"/>
  <c r="AE210" i="23"/>
  <c r="AE193" i="23"/>
  <c r="AE185" i="23"/>
  <c r="AE177" i="23"/>
  <c r="AE169" i="23"/>
  <c r="AE161" i="23"/>
  <c r="AE153" i="23"/>
  <c r="AE202" i="23"/>
  <c r="AE192" i="23"/>
  <c r="AE184" i="23"/>
  <c r="AE176" i="23"/>
  <c r="AE168" i="23"/>
  <c r="AE160" i="23"/>
  <c r="AE152" i="23"/>
  <c r="AE204" i="23"/>
  <c r="AE199" i="23"/>
  <c r="AE191" i="23"/>
  <c r="AE183" i="23"/>
  <c r="AE175" i="23"/>
  <c r="AE167" i="23"/>
  <c r="AE159" i="23"/>
  <c r="AE203" i="23"/>
  <c r="AE200" i="23"/>
  <c r="AE197" i="23"/>
  <c r="AE189" i="23"/>
  <c r="AE181" i="23"/>
  <c r="AE173" i="23"/>
  <c r="AE165" i="23"/>
  <c r="AE196" i="23"/>
  <c r="AE188" i="23"/>
  <c r="AE180" i="23"/>
  <c r="AE172" i="23"/>
  <c r="AE164" i="23"/>
  <c r="AE156" i="23"/>
  <c r="AE218" i="23"/>
  <c r="AE195" i="23"/>
  <c r="AE187" i="23"/>
  <c r="AE179" i="23"/>
  <c r="AE171" i="23"/>
  <c r="AE163" i="23"/>
  <c r="AE155" i="23"/>
  <c r="AE190" i="23"/>
  <c r="AE148" i="23"/>
  <c r="AE140" i="23"/>
  <c r="AE132" i="23"/>
  <c r="AE124" i="23"/>
  <c r="AE116" i="23"/>
  <c r="AE147" i="23"/>
  <c r="AE139" i="23"/>
  <c r="AE131" i="23"/>
  <c r="AE123" i="23"/>
  <c r="AE115" i="23"/>
  <c r="AE107" i="23"/>
  <c r="AE182" i="23"/>
  <c r="AE146" i="23"/>
  <c r="AE138" i="23"/>
  <c r="AE130" i="23"/>
  <c r="AE122" i="23"/>
  <c r="AE114" i="23"/>
  <c r="AE145" i="23"/>
  <c r="AE137" i="23"/>
  <c r="AE129" i="23"/>
  <c r="AE121" i="23"/>
  <c r="AE113" i="23"/>
  <c r="AE174" i="23"/>
  <c r="AE157" i="23"/>
  <c r="AE144" i="23"/>
  <c r="AE136" i="23"/>
  <c r="AE128" i="23"/>
  <c r="AE120" i="23"/>
  <c r="AE112" i="23"/>
  <c r="AE151" i="23"/>
  <c r="AE143" i="23"/>
  <c r="AE135" i="23"/>
  <c r="AE127" i="23"/>
  <c r="AE119" i="23"/>
  <c r="AE111" i="23"/>
  <c r="AE198" i="23"/>
  <c r="AE166" i="23"/>
  <c r="AE158" i="23"/>
  <c r="AE150" i="23"/>
  <c r="AE142" i="23"/>
  <c r="AE134" i="23"/>
  <c r="AE126" i="23"/>
  <c r="AE118" i="23"/>
  <c r="AE149" i="23"/>
  <c r="AE141" i="23"/>
  <c r="AE133" i="23"/>
  <c r="AE125" i="23"/>
  <c r="AE117" i="23"/>
  <c r="AE109" i="23"/>
  <c r="AE102" i="23"/>
  <c r="AE94" i="23"/>
  <c r="AE86" i="23"/>
  <c r="AE78" i="23"/>
  <c r="AE70" i="23"/>
  <c r="AE110" i="23"/>
  <c r="AE101" i="23"/>
  <c r="AE93" i="23"/>
  <c r="AE85" i="23"/>
  <c r="AE77" i="23"/>
  <c r="AE69" i="23"/>
  <c r="AE61" i="23"/>
  <c r="AE108" i="23"/>
  <c r="AE100" i="23"/>
  <c r="AE92" i="23"/>
  <c r="AE84" i="23"/>
  <c r="AE76" i="23"/>
  <c r="AE68" i="23"/>
  <c r="AE60" i="23"/>
  <c r="AE99" i="23"/>
  <c r="AE91" i="23"/>
  <c r="AE83" i="23"/>
  <c r="AE75" i="23"/>
  <c r="AE67" i="23"/>
  <c r="AE59" i="23"/>
  <c r="AE106" i="23"/>
  <c r="AE98" i="23"/>
  <c r="AE90" i="23"/>
  <c r="AE82" i="23"/>
  <c r="AE74" i="23"/>
  <c r="AE66" i="23"/>
  <c r="AE105" i="23"/>
  <c r="AE97" i="23"/>
  <c r="AE89" i="23"/>
  <c r="AE81" i="23"/>
  <c r="AE73" i="23"/>
  <c r="AE65" i="23"/>
  <c r="AE57" i="23"/>
  <c r="AE104" i="23"/>
  <c r="AE96" i="23"/>
  <c r="AE88" i="23"/>
  <c r="AE80" i="23"/>
  <c r="AE72" i="23"/>
  <c r="AE64" i="23"/>
  <c r="AE103" i="23"/>
  <c r="AE95" i="23"/>
  <c r="AE87" i="23"/>
  <c r="AE79" i="23"/>
  <c r="AE71" i="23"/>
  <c r="AE63" i="23"/>
  <c r="AE7" i="23"/>
  <c r="N8" i="23"/>
  <c r="O8" i="23" s="1"/>
  <c r="V8" i="23"/>
  <c r="W8" i="23" s="1"/>
  <c r="AL8" i="23"/>
  <c r="M9" i="23"/>
  <c r="U9" i="23"/>
  <c r="AC9" i="23"/>
  <c r="AJ10" i="23"/>
  <c r="AK10" i="23" s="1"/>
  <c r="AI11" i="23"/>
  <c r="J12" i="23"/>
  <c r="K12" i="23" s="1"/>
  <c r="R12" i="23"/>
  <c r="S12" i="23" s="1"/>
  <c r="Z12" i="23"/>
  <c r="AA12" i="23" s="1"/>
  <c r="I13" i="23"/>
  <c r="Q13" i="23"/>
  <c r="Y13" i="23"/>
  <c r="AG13" i="23"/>
  <c r="AF14" i="23"/>
  <c r="AG14" i="23" s="1"/>
  <c r="AE15" i="23"/>
  <c r="N16" i="23"/>
  <c r="O16" i="23" s="1"/>
  <c r="V16" i="23"/>
  <c r="W16" i="23" s="1"/>
  <c r="AL16" i="23"/>
  <c r="M17" i="23"/>
  <c r="U17" i="23"/>
  <c r="AC17" i="23"/>
  <c r="AJ18" i="23"/>
  <c r="AK18" i="23" s="1"/>
  <c r="AI19" i="23"/>
  <c r="J20" i="23"/>
  <c r="K20" i="23" s="1"/>
  <c r="R20" i="23"/>
  <c r="S20" i="23" s="1"/>
  <c r="Z20" i="23"/>
  <c r="AA20" i="23" s="1"/>
  <c r="I21" i="23"/>
  <c r="Q21" i="23"/>
  <c r="Y21" i="23"/>
  <c r="AF22" i="23"/>
  <c r="AG22" i="23" s="1"/>
  <c r="W23" i="23"/>
  <c r="AE23" i="23"/>
  <c r="N24" i="23"/>
  <c r="O24" i="23" s="1"/>
  <c r="V24" i="23"/>
  <c r="W24" i="23" s="1"/>
  <c r="AL24" i="23"/>
  <c r="M25" i="23"/>
  <c r="U25" i="23"/>
  <c r="AC25" i="23"/>
  <c r="AJ26" i="23"/>
  <c r="AK26" i="23" s="1"/>
  <c r="AI27" i="23"/>
  <c r="J28" i="23"/>
  <c r="K28" i="23" s="1"/>
  <c r="R28" i="23"/>
  <c r="S28" i="23" s="1"/>
  <c r="Z28" i="23"/>
  <c r="AA28" i="23" s="1"/>
  <c r="I29" i="23"/>
  <c r="Q29" i="23"/>
  <c r="Y29" i="23"/>
  <c r="AF30" i="23"/>
  <c r="AG30" i="23" s="1"/>
  <c r="W31" i="23"/>
  <c r="AE31" i="23"/>
  <c r="N32" i="23"/>
  <c r="O32" i="23" s="1"/>
  <c r="V32" i="23"/>
  <c r="W32" i="23" s="1"/>
  <c r="AL32" i="23"/>
  <c r="M33" i="23"/>
  <c r="U33" i="23"/>
  <c r="AC33" i="23"/>
  <c r="AJ34" i="23"/>
  <c r="AK34" i="23" s="1"/>
  <c r="AI35" i="23"/>
  <c r="J36" i="23"/>
  <c r="K36" i="23" s="1"/>
  <c r="R36" i="23"/>
  <c r="S36" i="23" s="1"/>
  <c r="Z36" i="23"/>
  <c r="AA36" i="23" s="1"/>
  <c r="I37" i="23"/>
  <c r="Q37" i="23"/>
  <c r="Y37" i="23"/>
  <c r="AF38" i="23"/>
  <c r="AG38" i="23" s="1"/>
  <c r="AE39" i="23"/>
  <c r="N40" i="23"/>
  <c r="O40" i="23" s="1"/>
  <c r="V40" i="23"/>
  <c r="W40" i="23" s="1"/>
  <c r="AL40" i="23"/>
  <c r="M41" i="23"/>
  <c r="U41" i="23"/>
  <c r="AC41" i="23"/>
  <c r="AK41" i="23"/>
  <c r="AJ42" i="23"/>
  <c r="AK42" i="23" s="1"/>
  <c r="AI43" i="23"/>
  <c r="J44" i="23"/>
  <c r="K44" i="23" s="1"/>
  <c r="R44" i="23"/>
  <c r="S44" i="23" s="1"/>
  <c r="Z44" i="23"/>
  <c r="AA44" i="23" s="1"/>
  <c r="I45" i="23"/>
  <c r="Q45" i="23"/>
  <c r="Y45" i="23"/>
  <c r="AF46" i="23"/>
  <c r="AG46" i="23" s="1"/>
  <c r="AE47" i="23"/>
  <c r="N48" i="23"/>
  <c r="O48" i="23" s="1"/>
  <c r="V48" i="23"/>
  <c r="W48" i="23" s="1"/>
  <c r="AL48" i="23"/>
  <c r="M49" i="23"/>
  <c r="U49" i="23"/>
  <c r="AC49" i="23"/>
  <c r="AJ50" i="23"/>
  <c r="AK50" i="23" s="1"/>
  <c r="S51" i="23"/>
  <c r="AI51" i="23"/>
  <c r="R52" i="23"/>
  <c r="S52" i="23" s="1"/>
  <c r="Z52" i="23"/>
  <c r="AA52" i="23" s="1"/>
  <c r="I53" i="23"/>
  <c r="Q53" i="23"/>
  <c r="Y53" i="23"/>
  <c r="AF54" i="23"/>
  <c r="AG54" i="23" s="1"/>
  <c r="AE55" i="23"/>
  <c r="N56" i="23"/>
  <c r="O56" i="23" s="1"/>
  <c r="V56" i="23"/>
  <c r="W56" i="23" s="1"/>
  <c r="AL56" i="23"/>
  <c r="M57" i="23"/>
  <c r="V57" i="23"/>
  <c r="W57" i="23" s="1"/>
  <c r="AE58" i="23"/>
  <c r="R59" i="23"/>
  <c r="S59" i="23" s="1"/>
  <c r="AL59" i="23"/>
  <c r="U60" i="23"/>
  <c r="AF61" i="23"/>
  <c r="AG61" i="23" s="1"/>
  <c r="M64" i="23"/>
  <c r="R67" i="23"/>
  <c r="S67" i="23" s="1"/>
  <c r="I68" i="23"/>
  <c r="J531" i="23"/>
  <c r="K531" i="23" s="1"/>
  <c r="J523" i="23"/>
  <c r="K523" i="23" s="1"/>
  <c r="J515" i="23"/>
  <c r="K515" i="23" s="1"/>
  <c r="J530" i="23"/>
  <c r="K530" i="23" s="1"/>
  <c r="J522" i="23"/>
  <c r="K522" i="23" s="1"/>
  <c r="J514" i="23"/>
  <c r="K514" i="23" s="1"/>
  <c r="J529" i="23"/>
  <c r="K529" i="23" s="1"/>
  <c r="J528" i="23"/>
  <c r="K528" i="23" s="1"/>
  <c r="J527" i="23"/>
  <c r="K527" i="23" s="1"/>
  <c r="J526" i="23"/>
  <c r="K526" i="23" s="1"/>
  <c r="J525" i="23"/>
  <c r="K525" i="23" s="1"/>
  <c r="J524" i="23"/>
  <c r="K524" i="23" s="1"/>
  <c r="J519" i="23"/>
  <c r="K519" i="23" s="1"/>
  <c r="J503" i="23"/>
  <c r="K503" i="23" s="1"/>
  <c r="J518" i="23"/>
  <c r="K518" i="23" s="1"/>
  <c r="J516" i="23"/>
  <c r="K516" i="23" s="1"/>
  <c r="J512" i="23"/>
  <c r="K512" i="23" s="1"/>
  <c r="J502" i="23"/>
  <c r="K502" i="23" s="1"/>
  <c r="J499" i="23"/>
  <c r="K499" i="23" s="1"/>
  <c r="J517" i="23"/>
  <c r="K517" i="23" s="1"/>
  <c r="J513" i="23"/>
  <c r="K513" i="23" s="1"/>
  <c r="J510" i="23"/>
  <c r="K510" i="23" s="1"/>
  <c r="J506" i="23"/>
  <c r="K506" i="23" s="1"/>
  <c r="J498" i="23"/>
  <c r="K498" i="23" s="1"/>
  <c r="J521" i="23"/>
  <c r="K521" i="23" s="1"/>
  <c r="J505" i="23"/>
  <c r="K505" i="23" s="1"/>
  <c r="J497" i="23"/>
  <c r="K497" i="23" s="1"/>
  <c r="J507" i="23"/>
  <c r="K507" i="23" s="1"/>
  <c r="J504" i="23"/>
  <c r="K504" i="23" s="1"/>
  <c r="J520" i="23"/>
  <c r="K520" i="23" s="1"/>
  <c r="J500" i="23"/>
  <c r="K500" i="23" s="1"/>
  <c r="J495" i="23"/>
  <c r="K495" i="23" s="1"/>
  <c r="J487" i="23"/>
  <c r="K487" i="23" s="1"/>
  <c r="J501" i="23"/>
  <c r="K501" i="23" s="1"/>
  <c r="J494" i="23"/>
  <c r="K494" i="23" s="1"/>
  <c r="J486" i="23"/>
  <c r="K486" i="23" s="1"/>
  <c r="J508" i="23"/>
  <c r="K508" i="23" s="1"/>
  <c r="J492" i="23"/>
  <c r="K492" i="23" s="1"/>
  <c r="J509" i="23"/>
  <c r="K509" i="23" s="1"/>
  <c r="J491" i="23"/>
  <c r="K491" i="23" s="1"/>
  <c r="J483" i="23"/>
  <c r="K483" i="23" s="1"/>
  <c r="J511" i="23"/>
  <c r="K511" i="23" s="1"/>
  <c r="J490" i="23"/>
  <c r="K490" i="23" s="1"/>
  <c r="J482" i="23"/>
  <c r="K482" i="23" s="1"/>
  <c r="J489" i="23"/>
  <c r="K489" i="23" s="1"/>
  <c r="J481" i="23"/>
  <c r="K481" i="23" s="1"/>
  <c r="J480" i="23"/>
  <c r="K480" i="23" s="1"/>
  <c r="J477" i="23"/>
  <c r="K477" i="23" s="1"/>
  <c r="J469" i="23"/>
  <c r="K469" i="23" s="1"/>
  <c r="J496" i="23"/>
  <c r="K496" i="23" s="1"/>
  <c r="J493" i="23"/>
  <c r="K493" i="23" s="1"/>
  <c r="J484" i="23"/>
  <c r="K484" i="23" s="1"/>
  <c r="J479" i="23"/>
  <c r="K479" i="23" s="1"/>
  <c r="J476" i="23"/>
  <c r="K476" i="23" s="1"/>
  <c r="J468" i="23"/>
  <c r="K468" i="23" s="1"/>
  <c r="J475" i="23"/>
  <c r="K475" i="23" s="1"/>
  <c r="J467" i="23"/>
  <c r="K467" i="23" s="1"/>
  <c r="J474" i="23"/>
  <c r="K474" i="23" s="1"/>
  <c r="J473" i="23"/>
  <c r="K473" i="23" s="1"/>
  <c r="J465" i="23"/>
  <c r="K465" i="23" s="1"/>
  <c r="J488" i="23"/>
  <c r="K488" i="23" s="1"/>
  <c r="J472" i="23"/>
  <c r="K472" i="23" s="1"/>
  <c r="J464" i="23"/>
  <c r="K464" i="23" s="1"/>
  <c r="J485" i="23"/>
  <c r="K485" i="23" s="1"/>
  <c r="J471" i="23"/>
  <c r="K471" i="23" s="1"/>
  <c r="J478" i="23"/>
  <c r="K478" i="23" s="1"/>
  <c r="J460" i="23"/>
  <c r="K460" i="23" s="1"/>
  <c r="J459" i="23"/>
  <c r="K459" i="23" s="1"/>
  <c r="J454" i="23"/>
  <c r="K454" i="23" s="1"/>
  <c r="J446" i="23"/>
  <c r="K446" i="23" s="1"/>
  <c r="J453" i="23"/>
  <c r="K453" i="23" s="1"/>
  <c r="J445" i="23"/>
  <c r="K445" i="23" s="1"/>
  <c r="J470" i="23"/>
  <c r="K470" i="23" s="1"/>
  <c r="J452" i="23"/>
  <c r="K452" i="23" s="1"/>
  <c r="J444" i="23"/>
  <c r="K444" i="23" s="1"/>
  <c r="J461" i="23"/>
  <c r="K461" i="23" s="1"/>
  <c r="J451" i="23"/>
  <c r="K451" i="23" s="1"/>
  <c r="J466" i="23"/>
  <c r="K466" i="23" s="1"/>
  <c r="J450" i="23"/>
  <c r="K450" i="23" s="1"/>
  <c r="J442" i="23"/>
  <c r="K442" i="23" s="1"/>
  <c r="J462" i="23"/>
  <c r="K462" i="23" s="1"/>
  <c r="J458" i="23"/>
  <c r="K458" i="23" s="1"/>
  <c r="J457" i="23"/>
  <c r="K457" i="23" s="1"/>
  <c r="J449" i="23"/>
  <c r="K449" i="23" s="1"/>
  <c r="J463" i="23"/>
  <c r="K463" i="23" s="1"/>
  <c r="J456" i="23"/>
  <c r="K456" i="23" s="1"/>
  <c r="J448" i="23"/>
  <c r="K448" i="23" s="1"/>
  <c r="J438" i="23"/>
  <c r="K438" i="23" s="1"/>
  <c r="J430" i="23"/>
  <c r="K430" i="23" s="1"/>
  <c r="J437" i="23"/>
  <c r="K437" i="23" s="1"/>
  <c r="J429" i="23"/>
  <c r="K429" i="23" s="1"/>
  <c r="J421" i="23"/>
  <c r="K421" i="23" s="1"/>
  <c r="J436" i="23"/>
  <c r="K436" i="23" s="1"/>
  <c r="J428" i="23"/>
  <c r="K428" i="23" s="1"/>
  <c r="J455" i="23"/>
  <c r="K455" i="23" s="1"/>
  <c r="J435" i="23"/>
  <c r="K435" i="23" s="1"/>
  <c r="J427" i="23"/>
  <c r="K427" i="23" s="1"/>
  <c r="J434" i="23"/>
  <c r="K434" i="23" s="1"/>
  <c r="J426" i="23"/>
  <c r="K426" i="23" s="1"/>
  <c r="J447" i="23"/>
  <c r="K447" i="23" s="1"/>
  <c r="J441" i="23"/>
  <c r="K441" i="23" s="1"/>
  <c r="J433" i="23"/>
  <c r="K433" i="23" s="1"/>
  <c r="J425" i="23"/>
  <c r="K425" i="23" s="1"/>
  <c r="J413" i="23"/>
  <c r="K413" i="23" s="1"/>
  <c r="J412" i="23"/>
  <c r="K412" i="23" s="1"/>
  <c r="J404" i="23"/>
  <c r="K404" i="23" s="1"/>
  <c r="J432" i="23"/>
  <c r="K432" i="23" s="1"/>
  <c r="J431" i="23"/>
  <c r="K431" i="23" s="1"/>
  <c r="J419" i="23"/>
  <c r="K419" i="23" s="1"/>
  <c r="J411" i="23"/>
  <c r="K411" i="23" s="1"/>
  <c r="J403" i="23"/>
  <c r="K403" i="23" s="1"/>
  <c r="J443" i="23"/>
  <c r="K443" i="23" s="1"/>
  <c r="J423" i="23"/>
  <c r="K423" i="23" s="1"/>
  <c r="J418" i="23"/>
  <c r="K418" i="23" s="1"/>
  <c r="J422" i="23"/>
  <c r="K422" i="23" s="1"/>
  <c r="J417" i="23"/>
  <c r="K417" i="23" s="1"/>
  <c r="J409" i="23"/>
  <c r="K409" i="23" s="1"/>
  <c r="J420" i="23"/>
  <c r="K420" i="23" s="1"/>
  <c r="J416" i="23"/>
  <c r="K416" i="23" s="1"/>
  <c r="J440" i="23"/>
  <c r="K440" i="23" s="1"/>
  <c r="J439" i="23"/>
  <c r="K439" i="23" s="1"/>
  <c r="J415" i="23"/>
  <c r="K415" i="23" s="1"/>
  <c r="J407" i="23"/>
  <c r="K407" i="23" s="1"/>
  <c r="J393" i="23"/>
  <c r="K393" i="23" s="1"/>
  <c r="J385" i="23"/>
  <c r="K385" i="23" s="1"/>
  <c r="J377" i="23"/>
  <c r="K377" i="23" s="1"/>
  <c r="J369" i="23"/>
  <c r="K369" i="23" s="1"/>
  <c r="J408" i="23"/>
  <c r="K408" i="23" s="1"/>
  <c r="J406" i="23"/>
  <c r="K406" i="23" s="1"/>
  <c r="J405" i="23"/>
  <c r="K405" i="23" s="1"/>
  <c r="J392" i="23"/>
  <c r="K392" i="23" s="1"/>
  <c r="J384" i="23"/>
  <c r="K384" i="23" s="1"/>
  <c r="J376" i="23"/>
  <c r="K376" i="23" s="1"/>
  <c r="J368" i="23"/>
  <c r="K368" i="23" s="1"/>
  <c r="J360" i="23"/>
  <c r="K360" i="23" s="1"/>
  <c r="J410" i="23"/>
  <c r="K410" i="23" s="1"/>
  <c r="J401" i="23"/>
  <c r="K401" i="23" s="1"/>
  <c r="J399" i="23"/>
  <c r="K399" i="23" s="1"/>
  <c r="J391" i="23"/>
  <c r="K391" i="23" s="1"/>
  <c r="J383" i="23"/>
  <c r="K383" i="23" s="1"/>
  <c r="J375" i="23"/>
  <c r="K375" i="23" s="1"/>
  <c r="J367" i="23"/>
  <c r="K367" i="23" s="1"/>
  <c r="J424" i="23"/>
  <c r="K424" i="23" s="1"/>
  <c r="J414" i="23"/>
  <c r="K414" i="23" s="1"/>
  <c r="J402" i="23"/>
  <c r="K402" i="23" s="1"/>
  <c r="J400" i="23"/>
  <c r="K400" i="23" s="1"/>
  <c r="J398" i="23"/>
  <c r="K398" i="23" s="1"/>
  <c r="J390" i="23"/>
  <c r="K390" i="23" s="1"/>
  <c r="J382" i="23"/>
  <c r="K382" i="23" s="1"/>
  <c r="J374" i="23"/>
  <c r="K374" i="23" s="1"/>
  <c r="J366" i="23"/>
  <c r="K366" i="23" s="1"/>
  <c r="J395" i="23"/>
  <c r="K395" i="23" s="1"/>
  <c r="J387" i="23"/>
  <c r="K387" i="23" s="1"/>
  <c r="J379" i="23"/>
  <c r="K379" i="23" s="1"/>
  <c r="J371" i="23"/>
  <c r="K371" i="23" s="1"/>
  <c r="J363" i="23"/>
  <c r="K363" i="23" s="1"/>
  <c r="J394" i="23"/>
  <c r="K394" i="23" s="1"/>
  <c r="J386" i="23"/>
  <c r="K386" i="23" s="1"/>
  <c r="J365" i="23"/>
  <c r="K365" i="23" s="1"/>
  <c r="J355" i="23"/>
  <c r="K355" i="23" s="1"/>
  <c r="J347" i="23"/>
  <c r="K347" i="23" s="1"/>
  <c r="J339" i="23"/>
  <c r="K339" i="23" s="1"/>
  <c r="J331" i="23"/>
  <c r="K331" i="23" s="1"/>
  <c r="J364" i="23"/>
  <c r="K364" i="23" s="1"/>
  <c r="J354" i="23"/>
  <c r="K354" i="23" s="1"/>
  <c r="J373" i="23"/>
  <c r="K373" i="23" s="1"/>
  <c r="J353" i="23"/>
  <c r="K353" i="23" s="1"/>
  <c r="J345" i="23"/>
  <c r="K345" i="23" s="1"/>
  <c r="J337" i="23"/>
  <c r="K337" i="23" s="1"/>
  <c r="J329" i="23"/>
  <c r="K329" i="23" s="1"/>
  <c r="J397" i="23"/>
  <c r="K397" i="23" s="1"/>
  <c r="J396" i="23"/>
  <c r="K396" i="23" s="1"/>
  <c r="J372" i="23"/>
  <c r="K372" i="23" s="1"/>
  <c r="J352" i="23"/>
  <c r="K352" i="23" s="1"/>
  <c r="J344" i="23"/>
  <c r="K344" i="23" s="1"/>
  <c r="J336" i="23"/>
  <c r="K336" i="23" s="1"/>
  <c r="J328" i="23"/>
  <c r="K328" i="23" s="1"/>
  <c r="J378" i="23"/>
  <c r="K378" i="23" s="1"/>
  <c r="J361" i="23"/>
  <c r="K361" i="23" s="1"/>
  <c r="J357" i="23"/>
  <c r="K357" i="23" s="1"/>
  <c r="J349" i="23"/>
  <c r="K349" i="23" s="1"/>
  <c r="J341" i="23"/>
  <c r="K341" i="23" s="1"/>
  <c r="J333" i="23"/>
  <c r="K333" i="23" s="1"/>
  <c r="J325" i="23"/>
  <c r="K325" i="23" s="1"/>
  <c r="J389" i="23"/>
  <c r="K389" i="23" s="1"/>
  <c r="J380" i="23"/>
  <c r="K380" i="23" s="1"/>
  <c r="J350" i="23"/>
  <c r="K350" i="23" s="1"/>
  <c r="J327" i="23"/>
  <c r="K327" i="23" s="1"/>
  <c r="J326" i="23"/>
  <c r="K326" i="23" s="1"/>
  <c r="J317" i="23"/>
  <c r="K317" i="23" s="1"/>
  <c r="J388" i="23"/>
  <c r="K388" i="23" s="1"/>
  <c r="J348" i="23"/>
  <c r="K348" i="23" s="1"/>
  <c r="J343" i="23"/>
  <c r="K343" i="23" s="1"/>
  <c r="J335" i="23"/>
  <c r="K335" i="23" s="1"/>
  <c r="J381" i="23"/>
  <c r="K381" i="23" s="1"/>
  <c r="J358" i="23"/>
  <c r="K358" i="23" s="1"/>
  <c r="J324" i="23"/>
  <c r="K324" i="23" s="1"/>
  <c r="J323" i="23"/>
  <c r="K323" i="23" s="1"/>
  <c r="J359" i="23"/>
  <c r="K359" i="23" s="1"/>
  <c r="J356" i="23"/>
  <c r="K356" i="23" s="1"/>
  <c r="J340" i="23"/>
  <c r="K340" i="23" s="1"/>
  <c r="J332" i="23"/>
  <c r="K332" i="23" s="1"/>
  <c r="J322" i="23"/>
  <c r="K322" i="23" s="1"/>
  <c r="J314" i="23"/>
  <c r="K314" i="23" s="1"/>
  <c r="J370" i="23"/>
  <c r="K370" i="23" s="1"/>
  <c r="J351" i="23"/>
  <c r="K351" i="23" s="1"/>
  <c r="J342" i="23"/>
  <c r="K342" i="23" s="1"/>
  <c r="J316" i="23"/>
  <c r="K316" i="23" s="1"/>
  <c r="J306" i="23"/>
  <c r="K306" i="23" s="1"/>
  <c r="J298" i="23"/>
  <c r="K298" i="23" s="1"/>
  <c r="J290" i="23"/>
  <c r="K290" i="23" s="1"/>
  <c r="J282" i="23"/>
  <c r="K282" i="23" s="1"/>
  <c r="J346" i="23"/>
  <c r="K346" i="23" s="1"/>
  <c r="J320" i="23"/>
  <c r="K320" i="23" s="1"/>
  <c r="J305" i="23"/>
  <c r="K305" i="23" s="1"/>
  <c r="J297" i="23"/>
  <c r="K297" i="23" s="1"/>
  <c r="J289" i="23"/>
  <c r="K289" i="23" s="1"/>
  <c r="J281" i="23"/>
  <c r="K281" i="23" s="1"/>
  <c r="J312" i="23"/>
  <c r="K312" i="23" s="1"/>
  <c r="J304" i="23"/>
  <c r="K304" i="23" s="1"/>
  <c r="J296" i="23"/>
  <c r="K296" i="23" s="1"/>
  <c r="J288" i="23"/>
  <c r="K288" i="23" s="1"/>
  <c r="J280" i="23"/>
  <c r="K280" i="23" s="1"/>
  <c r="J362" i="23"/>
  <c r="K362" i="23" s="1"/>
  <c r="J311" i="23"/>
  <c r="K311" i="23" s="1"/>
  <c r="J321" i="23"/>
  <c r="K321" i="23" s="1"/>
  <c r="J318" i="23"/>
  <c r="K318" i="23" s="1"/>
  <c r="J315" i="23"/>
  <c r="K315" i="23" s="1"/>
  <c r="J310" i="23"/>
  <c r="K310" i="23" s="1"/>
  <c r="J302" i="23"/>
  <c r="K302" i="23" s="1"/>
  <c r="J294" i="23"/>
  <c r="K294" i="23" s="1"/>
  <c r="J286" i="23"/>
  <c r="K286" i="23" s="1"/>
  <c r="J330" i="23"/>
  <c r="K330" i="23" s="1"/>
  <c r="J309" i="23"/>
  <c r="K309" i="23" s="1"/>
  <c r="J301" i="23"/>
  <c r="K301" i="23" s="1"/>
  <c r="J293" i="23"/>
  <c r="K293" i="23" s="1"/>
  <c r="J285" i="23"/>
  <c r="K285" i="23" s="1"/>
  <c r="J300" i="23"/>
  <c r="K300" i="23" s="1"/>
  <c r="J283" i="23"/>
  <c r="K283" i="23" s="1"/>
  <c r="J313" i="23"/>
  <c r="K313" i="23" s="1"/>
  <c r="J291" i="23"/>
  <c r="K291" i="23" s="1"/>
  <c r="J270" i="23"/>
  <c r="K270" i="23" s="1"/>
  <c r="J262" i="23"/>
  <c r="K262" i="23" s="1"/>
  <c r="J254" i="23"/>
  <c r="K254" i="23" s="1"/>
  <c r="J269" i="23"/>
  <c r="K269" i="23" s="1"/>
  <c r="J261" i="23"/>
  <c r="K261" i="23" s="1"/>
  <c r="J253" i="23"/>
  <c r="K253" i="23" s="1"/>
  <c r="J245" i="23"/>
  <c r="K245" i="23" s="1"/>
  <c r="J299" i="23"/>
  <c r="K299" i="23" s="1"/>
  <c r="J287" i="23"/>
  <c r="K287" i="23" s="1"/>
  <c r="J277" i="23"/>
  <c r="K277" i="23" s="1"/>
  <c r="J268" i="23"/>
  <c r="K268" i="23" s="1"/>
  <c r="J260" i="23"/>
  <c r="K260" i="23" s="1"/>
  <c r="J252" i="23"/>
  <c r="K252" i="23" s="1"/>
  <c r="J244" i="23"/>
  <c r="K244" i="23" s="1"/>
  <c r="J338" i="23"/>
  <c r="K338" i="23" s="1"/>
  <c r="J284" i="23"/>
  <c r="K284" i="23" s="1"/>
  <c r="J276" i="23"/>
  <c r="K276" i="23" s="1"/>
  <c r="J275" i="23"/>
  <c r="K275" i="23" s="1"/>
  <c r="J334" i="23"/>
  <c r="K334" i="23" s="1"/>
  <c r="J319" i="23"/>
  <c r="K319" i="23" s="1"/>
  <c r="J308" i="23"/>
  <c r="K308" i="23" s="1"/>
  <c r="J307" i="23"/>
  <c r="K307" i="23" s="1"/>
  <c r="J295" i="23"/>
  <c r="K295" i="23" s="1"/>
  <c r="J278" i="23"/>
  <c r="K278" i="23" s="1"/>
  <c r="J274" i="23"/>
  <c r="K274" i="23" s="1"/>
  <c r="J266" i="23"/>
  <c r="K266" i="23" s="1"/>
  <c r="J258" i="23"/>
  <c r="K258" i="23" s="1"/>
  <c r="J292" i="23"/>
  <c r="K292" i="23" s="1"/>
  <c r="J279" i="23"/>
  <c r="K279" i="23" s="1"/>
  <c r="J273" i="23"/>
  <c r="K273" i="23" s="1"/>
  <c r="J265" i="23"/>
  <c r="K265" i="23" s="1"/>
  <c r="J257" i="23"/>
  <c r="K257" i="23" s="1"/>
  <c r="J249" i="23"/>
  <c r="K249" i="23" s="1"/>
  <c r="J303" i="23"/>
  <c r="K303" i="23" s="1"/>
  <c r="J272" i="23"/>
  <c r="K272" i="23" s="1"/>
  <c r="J264" i="23"/>
  <c r="K264" i="23" s="1"/>
  <c r="J256" i="23"/>
  <c r="K256" i="23" s="1"/>
  <c r="J248" i="23"/>
  <c r="K248" i="23" s="1"/>
  <c r="J271" i="23"/>
  <c r="K271" i="23" s="1"/>
  <c r="J255" i="23"/>
  <c r="K255" i="23" s="1"/>
  <c r="J236" i="23"/>
  <c r="K236" i="23" s="1"/>
  <c r="J228" i="23"/>
  <c r="K228" i="23" s="1"/>
  <c r="J220" i="23"/>
  <c r="K220" i="23" s="1"/>
  <c r="J212" i="23"/>
  <c r="K212" i="23" s="1"/>
  <c r="J204" i="23"/>
  <c r="K204" i="23" s="1"/>
  <c r="J250" i="23"/>
  <c r="K250" i="23" s="1"/>
  <c r="J246" i="23"/>
  <c r="K246" i="23" s="1"/>
  <c r="J235" i="23"/>
  <c r="K235" i="23" s="1"/>
  <c r="J227" i="23"/>
  <c r="K227" i="23" s="1"/>
  <c r="J219" i="23"/>
  <c r="K219" i="23" s="1"/>
  <c r="J211" i="23"/>
  <c r="K211" i="23" s="1"/>
  <c r="J259" i="23"/>
  <c r="K259" i="23" s="1"/>
  <c r="J247" i="23"/>
  <c r="K247" i="23" s="1"/>
  <c r="J243" i="23"/>
  <c r="K243" i="23" s="1"/>
  <c r="J234" i="23"/>
  <c r="K234" i="23" s="1"/>
  <c r="J226" i="23"/>
  <c r="K226" i="23" s="1"/>
  <c r="J218" i="23"/>
  <c r="K218" i="23" s="1"/>
  <c r="J210" i="23"/>
  <c r="K210" i="23" s="1"/>
  <c r="J202" i="23"/>
  <c r="K202" i="23" s="1"/>
  <c r="J251" i="23"/>
  <c r="K251" i="23" s="1"/>
  <c r="J241" i="23"/>
  <c r="K241" i="23" s="1"/>
  <c r="J233" i="23"/>
  <c r="K233" i="23" s="1"/>
  <c r="J225" i="23"/>
  <c r="K225" i="23" s="1"/>
  <c r="J217" i="23"/>
  <c r="K217" i="23" s="1"/>
  <c r="J209" i="23"/>
  <c r="K209" i="23" s="1"/>
  <c r="J263" i="23"/>
  <c r="K263" i="23" s="1"/>
  <c r="J240" i="23"/>
  <c r="K240" i="23" s="1"/>
  <c r="J232" i="23"/>
  <c r="K232" i="23" s="1"/>
  <c r="J224" i="23"/>
  <c r="K224" i="23" s="1"/>
  <c r="J216" i="23"/>
  <c r="K216" i="23" s="1"/>
  <c r="J208" i="23"/>
  <c r="K208" i="23" s="1"/>
  <c r="J242" i="23"/>
  <c r="K242" i="23" s="1"/>
  <c r="J239" i="23"/>
  <c r="K239" i="23" s="1"/>
  <c r="J231" i="23"/>
  <c r="K231" i="23" s="1"/>
  <c r="J267" i="23"/>
  <c r="K267" i="23" s="1"/>
  <c r="J238" i="23"/>
  <c r="K238" i="23" s="1"/>
  <c r="J230" i="23"/>
  <c r="K230" i="23" s="1"/>
  <c r="J222" i="23"/>
  <c r="K222" i="23" s="1"/>
  <c r="J214" i="23"/>
  <c r="K214" i="23" s="1"/>
  <c r="J206" i="23"/>
  <c r="K206" i="23" s="1"/>
  <c r="J237" i="23"/>
  <c r="K237" i="23" s="1"/>
  <c r="J229" i="23"/>
  <c r="K229" i="23" s="1"/>
  <c r="J221" i="23"/>
  <c r="K221" i="23" s="1"/>
  <c r="J213" i="23"/>
  <c r="K213" i="23" s="1"/>
  <c r="J191" i="23"/>
  <c r="K191" i="23" s="1"/>
  <c r="J183" i="23"/>
  <c r="K183" i="23" s="1"/>
  <c r="J175" i="23"/>
  <c r="K175" i="23" s="1"/>
  <c r="J167" i="23"/>
  <c r="K167" i="23" s="1"/>
  <c r="J159" i="23"/>
  <c r="K159" i="23" s="1"/>
  <c r="J207" i="23"/>
  <c r="K207" i="23" s="1"/>
  <c r="J198" i="23"/>
  <c r="K198" i="23" s="1"/>
  <c r="J190" i="23"/>
  <c r="K190" i="23" s="1"/>
  <c r="J182" i="23"/>
  <c r="K182" i="23" s="1"/>
  <c r="J174" i="23"/>
  <c r="K174" i="23" s="1"/>
  <c r="J166" i="23"/>
  <c r="K166" i="23" s="1"/>
  <c r="J158" i="23"/>
  <c r="K158" i="23" s="1"/>
  <c r="J203" i="23"/>
  <c r="K203" i="23" s="1"/>
  <c r="J200" i="23"/>
  <c r="K200" i="23" s="1"/>
  <c r="J197" i="23"/>
  <c r="K197" i="23" s="1"/>
  <c r="J189" i="23"/>
  <c r="K189" i="23" s="1"/>
  <c r="J181" i="23"/>
  <c r="K181" i="23" s="1"/>
  <c r="J173" i="23"/>
  <c r="K173" i="23" s="1"/>
  <c r="J165" i="23"/>
  <c r="K165" i="23" s="1"/>
  <c r="J157" i="23"/>
  <c r="K157" i="23" s="1"/>
  <c r="J201" i="23"/>
  <c r="K201" i="23" s="1"/>
  <c r="J199" i="23"/>
  <c r="K199" i="23" s="1"/>
  <c r="J196" i="23"/>
  <c r="K196" i="23" s="1"/>
  <c r="J188" i="23"/>
  <c r="K188" i="23" s="1"/>
  <c r="J180" i="23"/>
  <c r="K180" i="23" s="1"/>
  <c r="J172" i="23"/>
  <c r="K172" i="23" s="1"/>
  <c r="J164" i="23"/>
  <c r="K164" i="23" s="1"/>
  <c r="J156" i="23"/>
  <c r="K156" i="23" s="1"/>
  <c r="J223" i="23"/>
  <c r="K223" i="23" s="1"/>
  <c r="J205" i="23"/>
  <c r="K205" i="23" s="1"/>
  <c r="J194" i="23"/>
  <c r="K194" i="23" s="1"/>
  <c r="J186" i="23"/>
  <c r="K186" i="23" s="1"/>
  <c r="J178" i="23"/>
  <c r="K178" i="23" s="1"/>
  <c r="J170" i="23"/>
  <c r="K170" i="23" s="1"/>
  <c r="J162" i="23"/>
  <c r="K162" i="23" s="1"/>
  <c r="J215" i="23"/>
  <c r="K215" i="23" s="1"/>
  <c r="J193" i="23"/>
  <c r="K193" i="23" s="1"/>
  <c r="J185" i="23"/>
  <c r="K185" i="23" s="1"/>
  <c r="J177" i="23"/>
  <c r="K177" i="23" s="1"/>
  <c r="J169" i="23"/>
  <c r="K169" i="23" s="1"/>
  <c r="J161" i="23"/>
  <c r="K161" i="23" s="1"/>
  <c r="J153" i="23"/>
  <c r="K153" i="23" s="1"/>
  <c r="J192" i="23"/>
  <c r="K192" i="23" s="1"/>
  <c r="J184" i="23"/>
  <c r="K184" i="23" s="1"/>
  <c r="J176" i="23"/>
  <c r="K176" i="23" s="1"/>
  <c r="J168" i="23"/>
  <c r="K168" i="23" s="1"/>
  <c r="J160" i="23"/>
  <c r="K160" i="23" s="1"/>
  <c r="J155" i="23"/>
  <c r="K155" i="23" s="1"/>
  <c r="J154" i="23"/>
  <c r="K154" i="23" s="1"/>
  <c r="J145" i="23"/>
  <c r="K145" i="23" s="1"/>
  <c r="J137" i="23"/>
  <c r="K137" i="23" s="1"/>
  <c r="J129" i="23"/>
  <c r="K129" i="23" s="1"/>
  <c r="J121" i="23"/>
  <c r="K121" i="23" s="1"/>
  <c r="J179" i="23"/>
  <c r="K179" i="23" s="1"/>
  <c r="J144" i="23"/>
  <c r="K144" i="23" s="1"/>
  <c r="J136" i="23"/>
  <c r="K136" i="23" s="1"/>
  <c r="J128" i="23"/>
  <c r="K128" i="23" s="1"/>
  <c r="J120" i="23"/>
  <c r="K120" i="23" s="1"/>
  <c r="J112" i="23"/>
  <c r="K112" i="23" s="1"/>
  <c r="J151" i="23"/>
  <c r="K151" i="23" s="1"/>
  <c r="J143" i="23"/>
  <c r="K143" i="23" s="1"/>
  <c r="J135" i="23"/>
  <c r="K135" i="23" s="1"/>
  <c r="J127" i="23"/>
  <c r="K127" i="23" s="1"/>
  <c r="J119" i="23"/>
  <c r="K119" i="23" s="1"/>
  <c r="J171" i="23"/>
  <c r="K171" i="23" s="1"/>
  <c r="J152" i="23"/>
  <c r="K152" i="23" s="1"/>
  <c r="J150" i="23"/>
  <c r="K150" i="23" s="1"/>
  <c r="J142" i="23"/>
  <c r="K142" i="23" s="1"/>
  <c r="J134" i="23"/>
  <c r="K134" i="23" s="1"/>
  <c r="J126" i="23"/>
  <c r="K126" i="23" s="1"/>
  <c r="J118" i="23"/>
  <c r="K118" i="23" s="1"/>
  <c r="J110" i="23"/>
  <c r="K110" i="23" s="1"/>
  <c r="J149" i="23"/>
  <c r="K149" i="23" s="1"/>
  <c r="J141" i="23"/>
  <c r="K141" i="23" s="1"/>
  <c r="J133" i="23"/>
  <c r="K133" i="23" s="1"/>
  <c r="J125" i="23"/>
  <c r="K125" i="23" s="1"/>
  <c r="J117" i="23"/>
  <c r="K117" i="23" s="1"/>
  <c r="J109" i="23"/>
  <c r="K109" i="23" s="1"/>
  <c r="J195" i="23"/>
  <c r="K195" i="23" s="1"/>
  <c r="J163" i="23"/>
  <c r="K163" i="23" s="1"/>
  <c r="J148" i="23"/>
  <c r="K148" i="23" s="1"/>
  <c r="J140" i="23"/>
  <c r="K140" i="23" s="1"/>
  <c r="J132" i="23"/>
  <c r="K132" i="23" s="1"/>
  <c r="J124" i="23"/>
  <c r="K124" i="23" s="1"/>
  <c r="J116" i="23"/>
  <c r="K116" i="23" s="1"/>
  <c r="J108" i="23"/>
  <c r="K108" i="23" s="1"/>
  <c r="J147" i="23"/>
  <c r="K147" i="23" s="1"/>
  <c r="J139" i="23"/>
  <c r="K139" i="23" s="1"/>
  <c r="J131" i="23"/>
  <c r="K131" i="23" s="1"/>
  <c r="J123" i="23"/>
  <c r="K123" i="23" s="1"/>
  <c r="J115" i="23"/>
  <c r="K115" i="23" s="1"/>
  <c r="J187" i="23"/>
  <c r="K187" i="23" s="1"/>
  <c r="J146" i="23"/>
  <c r="K146" i="23" s="1"/>
  <c r="J138" i="23"/>
  <c r="K138" i="23" s="1"/>
  <c r="J130" i="23"/>
  <c r="K130" i="23" s="1"/>
  <c r="J122" i="23"/>
  <c r="K122" i="23" s="1"/>
  <c r="J114" i="23"/>
  <c r="K114" i="23" s="1"/>
  <c r="J107" i="23"/>
  <c r="K107" i="23" s="1"/>
  <c r="J99" i="23"/>
  <c r="K99" i="23" s="1"/>
  <c r="J91" i="23"/>
  <c r="K91" i="23" s="1"/>
  <c r="J83" i="23"/>
  <c r="K83" i="23" s="1"/>
  <c r="J75" i="23"/>
  <c r="K75" i="23" s="1"/>
  <c r="J106" i="23"/>
  <c r="K106" i="23" s="1"/>
  <c r="J98" i="23"/>
  <c r="K98" i="23" s="1"/>
  <c r="J90" i="23"/>
  <c r="K90" i="23" s="1"/>
  <c r="J82" i="23"/>
  <c r="K82" i="23" s="1"/>
  <c r="J74" i="23"/>
  <c r="K74" i="23" s="1"/>
  <c r="J66" i="23"/>
  <c r="K66" i="23" s="1"/>
  <c r="J58" i="23"/>
  <c r="K58" i="23" s="1"/>
  <c r="J105" i="23"/>
  <c r="K105" i="23" s="1"/>
  <c r="J97" i="23"/>
  <c r="K97" i="23" s="1"/>
  <c r="J89" i="23"/>
  <c r="K89" i="23" s="1"/>
  <c r="J81" i="23"/>
  <c r="K81" i="23" s="1"/>
  <c r="J73" i="23"/>
  <c r="K73" i="23" s="1"/>
  <c r="J65" i="23"/>
  <c r="K65" i="23" s="1"/>
  <c r="J104" i="23"/>
  <c r="K104" i="23" s="1"/>
  <c r="J96" i="23"/>
  <c r="K96" i="23" s="1"/>
  <c r="J88" i="23"/>
  <c r="K88" i="23" s="1"/>
  <c r="J80" i="23"/>
  <c r="K80" i="23" s="1"/>
  <c r="J72" i="23"/>
  <c r="K72" i="23" s="1"/>
  <c r="J64" i="23"/>
  <c r="K64" i="23" s="1"/>
  <c r="J111" i="23"/>
  <c r="K111" i="23" s="1"/>
  <c r="J103" i="23"/>
  <c r="K103" i="23" s="1"/>
  <c r="J95" i="23"/>
  <c r="K95" i="23" s="1"/>
  <c r="J87" i="23"/>
  <c r="K87" i="23" s="1"/>
  <c r="J79" i="23"/>
  <c r="K79" i="23" s="1"/>
  <c r="J71" i="23"/>
  <c r="K71" i="23" s="1"/>
  <c r="J63" i="23"/>
  <c r="K63" i="23" s="1"/>
  <c r="J102" i="23"/>
  <c r="K102" i="23" s="1"/>
  <c r="J94" i="23"/>
  <c r="K94" i="23" s="1"/>
  <c r="J86" i="23"/>
  <c r="K86" i="23" s="1"/>
  <c r="J78" i="23"/>
  <c r="K78" i="23" s="1"/>
  <c r="J70" i="23"/>
  <c r="K70" i="23" s="1"/>
  <c r="J62" i="23"/>
  <c r="K62" i="23" s="1"/>
  <c r="J101" i="23"/>
  <c r="K101" i="23" s="1"/>
  <c r="J93" i="23"/>
  <c r="K93" i="23" s="1"/>
  <c r="J85" i="23"/>
  <c r="K85" i="23" s="1"/>
  <c r="J77" i="23"/>
  <c r="K77" i="23" s="1"/>
  <c r="J69" i="23"/>
  <c r="K69" i="23" s="1"/>
  <c r="J61" i="23"/>
  <c r="K61" i="23" s="1"/>
  <c r="J113" i="23"/>
  <c r="K113" i="23" s="1"/>
  <c r="J100" i="23"/>
  <c r="K100" i="23" s="1"/>
  <c r="J92" i="23"/>
  <c r="K92" i="23" s="1"/>
  <c r="J84" i="23"/>
  <c r="K84" i="23" s="1"/>
  <c r="J76" i="23"/>
  <c r="K76" i="23" s="1"/>
  <c r="J68" i="23"/>
  <c r="K68" i="23" s="1"/>
  <c r="J60" i="23"/>
  <c r="K60" i="23" s="1"/>
  <c r="AI530" i="23"/>
  <c r="AI522" i="23"/>
  <c r="AI514" i="23"/>
  <c r="AI529" i="23"/>
  <c r="AI521" i="23"/>
  <c r="AI513" i="23"/>
  <c r="AI528" i="23"/>
  <c r="AI527" i="23"/>
  <c r="AI526" i="23"/>
  <c r="AK531" i="23"/>
  <c r="AI525" i="23"/>
  <c r="AK530" i="23"/>
  <c r="AI524" i="23"/>
  <c r="AK522" i="23"/>
  <c r="AI531" i="23"/>
  <c r="AI523" i="23"/>
  <c r="AI517" i="23"/>
  <c r="AI502" i="23"/>
  <c r="AI510" i="23"/>
  <c r="AI507" i="23"/>
  <c r="AI501" i="23"/>
  <c r="AI516" i="23"/>
  <c r="AI509" i="23"/>
  <c r="AI498" i="23"/>
  <c r="AI506" i="23"/>
  <c r="AI505" i="23"/>
  <c r="AI497" i="23"/>
  <c r="AI518" i="23"/>
  <c r="AI515" i="23"/>
  <c r="AI504" i="23"/>
  <c r="AI496" i="23"/>
  <c r="AI519" i="23"/>
  <c r="AI511" i="23"/>
  <c r="AI503" i="23"/>
  <c r="AI520" i="23"/>
  <c r="AI494" i="23"/>
  <c r="AK492" i="23"/>
  <c r="AI486" i="23"/>
  <c r="AI493" i="23"/>
  <c r="AI485" i="23"/>
  <c r="AI512" i="23"/>
  <c r="AI491" i="23"/>
  <c r="AI499" i="23"/>
  <c r="AI490" i="23"/>
  <c r="AI482" i="23"/>
  <c r="AI489" i="23"/>
  <c r="AI481" i="23"/>
  <c r="AK505" i="23"/>
  <c r="AI500" i="23"/>
  <c r="AI488" i="23"/>
  <c r="AI480" i="23"/>
  <c r="AI476" i="23"/>
  <c r="AK474" i="23"/>
  <c r="AI468" i="23"/>
  <c r="AK466" i="23"/>
  <c r="AI475" i="23"/>
  <c r="AK473" i="23"/>
  <c r="AI467" i="23"/>
  <c r="AK465" i="23"/>
  <c r="AI495" i="23"/>
  <c r="AI484" i="23"/>
  <c r="AI474" i="23"/>
  <c r="AI466" i="23"/>
  <c r="AI492" i="23"/>
  <c r="AI473" i="23"/>
  <c r="AK493" i="23"/>
  <c r="AK490" i="23"/>
  <c r="AI483" i="23"/>
  <c r="AI472" i="23"/>
  <c r="AI464" i="23"/>
  <c r="AI508" i="23"/>
  <c r="AI479" i="23"/>
  <c r="AI471" i="23"/>
  <c r="AI463" i="23"/>
  <c r="AK485" i="23"/>
  <c r="AI478" i="23"/>
  <c r="AI470" i="23"/>
  <c r="AI459" i="23"/>
  <c r="AI453" i="23"/>
  <c r="AI445" i="23"/>
  <c r="AI477" i="23"/>
  <c r="AI452" i="23"/>
  <c r="AK450" i="23"/>
  <c r="AI444" i="23"/>
  <c r="AK442" i="23"/>
  <c r="AI460" i="23"/>
  <c r="AK457" i="23"/>
  <c r="AI451" i="23"/>
  <c r="AI443" i="23"/>
  <c r="AI487" i="23"/>
  <c r="AI469" i="23"/>
  <c r="AI462" i="23"/>
  <c r="AK456" i="23"/>
  <c r="AI450" i="23"/>
  <c r="AI461" i="23"/>
  <c r="AI457" i="23"/>
  <c r="AI449" i="23"/>
  <c r="AI456" i="23"/>
  <c r="AI448" i="23"/>
  <c r="AI465" i="23"/>
  <c r="AI455" i="23"/>
  <c r="AK453" i="23"/>
  <c r="AI447" i="23"/>
  <c r="AK445" i="23"/>
  <c r="AI437" i="23"/>
  <c r="AK435" i="23"/>
  <c r="AI429" i="23"/>
  <c r="AK427" i="23"/>
  <c r="AI442" i="23"/>
  <c r="AI436" i="23"/>
  <c r="AI428" i="23"/>
  <c r="AI420" i="23"/>
  <c r="AI441" i="23"/>
  <c r="AI435" i="23"/>
  <c r="AI427" i="23"/>
  <c r="AI434" i="23"/>
  <c r="AI426" i="23"/>
  <c r="AI458" i="23"/>
  <c r="AI454" i="23"/>
  <c r="AI433" i="23"/>
  <c r="AI425" i="23"/>
  <c r="AI440" i="23"/>
  <c r="AI432" i="23"/>
  <c r="AI424" i="23"/>
  <c r="AK422" i="23"/>
  <c r="AI438" i="23"/>
  <c r="AI421" i="23"/>
  <c r="AI412" i="23"/>
  <c r="AI439" i="23"/>
  <c r="AI411" i="23"/>
  <c r="AI403" i="23"/>
  <c r="AI419" i="23"/>
  <c r="AI418" i="23"/>
  <c r="AI410" i="23"/>
  <c r="AI402" i="23"/>
  <c r="AK400" i="23"/>
  <c r="AI446" i="23"/>
  <c r="AK437" i="23"/>
  <c r="AI423" i="23"/>
  <c r="AI417" i="23"/>
  <c r="AI430" i="23"/>
  <c r="AK420" i="23"/>
  <c r="AI416" i="23"/>
  <c r="AI408" i="23"/>
  <c r="AI431" i="23"/>
  <c r="AI415" i="23"/>
  <c r="AI414" i="23"/>
  <c r="AI406" i="23"/>
  <c r="AI400" i="23"/>
  <c r="AI392" i="23"/>
  <c r="AK390" i="23"/>
  <c r="AI384" i="23"/>
  <c r="AI376" i="23"/>
  <c r="AK374" i="23"/>
  <c r="AI368" i="23"/>
  <c r="AK366" i="23"/>
  <c r="AK401" i="23"/>
  <c r="AI399" i="23"/>
  <c r="AK397" i="23"/>
  <c r="AI391" i="23"/>
  <c r="AI383" i="23"/>
  <c r="AI375" i="23"/>
  <c r="AI367" i="23"/>
  <c r="AI359" i="23"/>
  <c r="AI401" i="23"/>
  <c r="AI398" i="23"/>
  <c r="AI390" i="23"/>
  <c r="AI382" i="23"/>
  <c r="AI374" i="23"/>
  <c r="AI366" i="23"/>
  <c r="AI397" i="23"/>
  <c r="AI389" i="23"/>
  <c r="AI381" i="23"/>
  <c r="AI373" i="23"/>
  <c r="AK371" i="23"/>
  <c r="AI365" i="23"/>
  <c r="AK363" i="23"/>
  <c r="AI405" i="23"/>
  <c r="AI394" i="23"/>
  <c r="AI386" i="23"/>
  <c r="AI378" i="23"/>
  <c r="AI370" i="23"/>
  <c r="AI362" i="23"/>
  <c r="AI393" i="23"/>
  <c r="AI409" i="23"/>
  <c r="AI379" i="23"/>
  <c r="AI354" i="23"/>
  <c r="AI346" i="23"/>
  <c r="AK344" i="23"/>
  <c r="AI338" i="23"/>
  <c r="AI330" i="23"/>
  <c r="AI377" i="23"/>
  <c r="AI353" i="23"/>
  <c r="AI422" i="23"/>
  <c r="AI388" i="23"/>
  <c r="AI387" i="23"/>
  <c r="AK386" i="23"/>
  <c r="AI360" i="23"/>
  <c r="AI352" i="23"/>
  <c r="AK350" i="23"/>
  <c r="AI344" i="23"/>
  <c r="AI336" i="23"/>
  <c r="AI328" i="23"/>
  <c r="AK326" i="23"/>
  <c r="AI385" i="23"/>
  <c r="AI364" i="23"/>
  <c r="AK361" i="23"/>
  <c r="AK357" i="23"/>
  <c r="AI351" i="23"/>
  <c r="AK349" i="23"/>
  <c r="AI343" i="23"/>
  <c r="AI335" i="23"/>
  <c r="AI327" i="23"/>
  <c r="AI396" i="23"/>
  <c r="AI371" i="23"/>
  <c r="AK370" i="23"/>
  <c r="AI358" i="23"/>
  <c r="AI356" i="23"/>
  <c r="AI348" i="23"/>
  <c r="AI340" i="23"/>
  <c r="AI332" i="23"/>
  <c r="AI324" i="23"/>
  <c r="AI372" i="23"/>
  <c r="AI345" i="23"/>
  <c r="AI337" i="23"/>
  <c r="AI329" i="23"/>
  <c r="AI316" i="23"/>
  <c r="AI407" i="23"/>
  <c r="AI369" i="23"/>
  <c r="AI363" i="23"/>
  <c r="AI341" i="23"/>
  <c r="AI333" i="23"/>
  <c r="AI323" i="23"/>
  <c r="AI413" i="23"/>
  <c r="AI350" i="23"/>
  <c r="AI322" i="23"/>
  <c r="AI349" i="23"/>
  <c r="AK348" i="23"/>
  <c r="AK325" i="23"/>
  <c r="AI321" i="23"/>
  <c r="AK319" i="23"/>
  <c r="AI313" i="23"/>
  <c r="AI395" i="23"/>
  <c r="AI361" i="23"/>
  <c r="AI339" i="23"/>
  <c r="AI331" i="23"/>
  <c r="AI404" i="23"/>
  <c r="AI320" i="23"/>
  <c r="AI305" i="23"/>
  <c r="AI297" i="23"/>
  <c r="AI289" i="23"/>
  <c r="AI281" i="23"/>
  <c r="AI355" i="23"/>
  <c r="AK318" i="23"/>
  <c r="AI317" i="23"/>
  <c r="AI314" i="23"/>
  <c r="AI304" i="23"/>
  <c r="AI296" i="23"/>
  <c r="AI288" i="23"/>
  <c r="AI280" i="23"/>
  <c r="AI311" i="23"/>
  <c r="AI303" i="23"/>
  <c r="AK301" i="23"/>
  <c r="AI295" i="23"/>
  <c r="AK293" i="23"/>
  <c r="AI287" i="23"/>
  <c r="AI279" i="23"/>
  <c r="AI380" i="23"/>
  <c r="AI347" i="23"/>
  <c r="AI325" i="23"/>
  <c r="AI318" i="23"/>
  <c r="AI310" i="23"/>
  <c r="AI357" i="23"/>
  <c r="AK340" i="23"/>
  <c r="AI334" i="23"/>
  <c r="AI312" i="23"/>
  <c r="AI309" i="23"/>
  <c r="AI301" i="23"/>
  <c r="AI293" i="23"/>
  <c r="AI285" i="23"/>
  <c r="AI308" i="23"/>
  <c r="AI300" i="23"/>
  <c r="AI292" i="23"/>
  <c r="AK290" i="23"/>
  <c r="AI284" i="23"/>
  <c r="AI307" i="23"/>
  <c r="AI302" i="23"/>
  <c r="AI283" i="23"/>
  <c r="AI278" i="23"/>
  <c r="AI276" i="23"/>
  <c r="AI269" i="23"/>
  <c r="AI261" i="23"/>
  <c r="AI253" i="23"/>
  <c r="AI315" i="23"/>
  <c r="AI291" i="23"/>
  <c r="AK289" i="23"/>
  <c r="AI277" i="23"/>
  <c r="AK274" i="23"/>
  <c r="AI268" i="23"/>
  <c r="AI260" i="23"/>
  <c r="AI252" i="23"/>
  <c r="AI244" i="23"/>
  <c r="AK317" i="23"/>
  <c r="AK296" i="23"/>
  <c r="AK273" i="23"/>
  <c r="AI267" i="23"/>
  <c r="AI259" i="23"/>
  <c r="AK257" i="23"/>
  <c r="AI251" i="23"/>
  <c r="AI243" i="23"/>
  <c r="AI342" i="23"/>
  <c r="AI299" i="23"/>
  <c r="AI290" i="23"/>
  <c r="AK284" i="23"/>
  <c r="AI282" i="23"/>
  <c r="AI275" i="23"/>
  <c r="AI319" i="23"/>
  <c r="AI286" i="23"/>
  <c r="AI273" i="23"/>
  <c r="AK271" i="23"/>
  <c r="AI265" i="23"/>
  <c r="AK263" i="23"/>
  <c r="AI257" i="23"/>
  <c r="AK255" i="23"/>
  <c r="AI298" i="23"/>
  <c r="AI272" i="23"/>
  <c r="AI264" i="23"/>
  <c r="AI256" i="23"/>
  <c r="AI248" i="23"/>
  <c r="AI326" i="23"/>
  <c r="AI306" i="23"/>
  <c r="AI294" i="23"/>
  <c r="AI271" i="23"/>
  <c r="AI263" i="23"/>
  <c r="AI255" i="23"/>
  <c r="AI247" i="23"/>
  <c r="AI274" i="23"/>
  <c r="AI266" i="23"/>
  <c r="AI242" i="23"/>
  <c r="AI235" i="23"/>
  <c r="AI227" i="23"/>
  <c r="AI219" i="23"/>
  <c r="AK217" i="23"/>
  <c r="AI211" i="23"/>
  <c r="AI203" i="23"/>
  <c r="AI234" i="23"/>
  <c r="AK232" i="23"/>
  <c r="AI226" i="23"/>
  <c r="AI218" i="23"/>
  <c r="AI210" i="23"/>
  <c r="AI270" i="23"/>
  <c r="AI254" i="23"/>
  <c r="AI241" i="23"/>
  <c r="AI233" i="23"/>
  <c r="AI225" i="23"/>
  <c r="AI217" i="23"/>
  <c r="AI209" i="23"/>
  <c r="AI201" i="23"/>
  <c r="AI232" i="23"/>
  <c r="AI224" i="23"/>
  <c r="AI216" i="23"/>
  <c r="AI208" i="23"/>
  <c r="AI258" i="23"/>
  <c r="AI249" i="23"/>
  <c r="AK248" i="23"/>
  <c r="AI245" i="23"/>
  <c r="AI239" i="23"/>
  <c r="AK237" i="23"/>
  <c r="AI231" i="23"/>
  <c r="AI223" i="23"/>
  <c r="AI215" i="23"/>
  <c r="AI207" i="23"/>
  <c r="AI238" i="23"/>
  <c r="AI230" i="23"/>
  <c r="AI262" i="23"/>
  <c r="AI237" i="23"/>
  <c r="AI229" i="23"/>
  <c r="AI221" i="23"/>
  <c r="AI213" i="23"/>
  <c r="AI205" i="23"/>
  <c r="AI250" i="23"/>
  <c r="AI246" i="23"/>
  <c r="AI240" i="23"/>
  <c r="AI236" i="23"/>
  <c r="AI228" i="23"/>
  <c r="AI220" i="23"/>
  <c r="AI212" i="23"/>
  <c r="AI204" i="23"/>
  <c r="AI199" i="23"/>
  <c r="AI198" i="23"/>
  <c r="AI190" i="23"/>
  <c r="AI182" i="23"/>
  <c r="AI174" i="23"/>
  <c r="AI166" i="23"/>
  <c r="AI158" i="23"/>
  <c r="AI197" i="23"/>
  <c r="AI189" i="23"/>
  <c r="AI181" i="23"/>
  <c r="AI173" i="23"/>
  <c r="AI165" i="23"/>
  <c r="AI157" i="23"/>
  <c r="AI200" i="23"/>
  <c r="AI196" i="23"/>
  <c r="AI188" i="23"/>
  <c r="AK186" i="23"/>
  <c r="AI180" i="23"/>
  <c r="AK178" i="23"/>
  <c r="AI172" i="23"/>
  <c r="AI164" i="23"/>
  <c r="AK162" i="23"/>
  <c r="AI156" i="23"/>
  <c r="AK206" i="23"/>
  <c r="AI195" i="23"/>
  <c r="AI187" i="23"/>
  <c r="AI179" i="23"/>
  <c r="AI171" i="23"/>
  <c r="AI163" i="23"/>
  <c r="AK161" i="23"/>
  <c r="AI155" i="23"/>
  <c r="AI206" i="23"/>
  <c r="AI222" i="23"/>
  <c r="AI193" i="23"/>
  <c r="AI185" i="23"/>
  <c r="AI177" i="23"/>
  <c r="AI169" i="23"/>
  <c r="AI161" i="23"/>
  <c r="AI202" i="23"/>
  <c r="AI192" i="23"/>
  <c r="AI184" i="23"/>
  <c r="AI176" i="23"/>
  <c r="AK174" i="23"/>
  <c r="AI168" i="23"/>
  <c r="AK166" i="23"/>
  <c r="AI160" i="23"/>
  <c r="AK158" i="23"/>
  <c r="AI152" i="23"/>
  <c r="AI214" i="23"/>
  <c r="AK197" i="23"/>
  <c r="AI191" i="23"/>
  <c r="AI183" i="23"/>
  <c r="AK181" i="23"/>
  <c r="AI175" i="23"/>
  <c r="AK173" i="23"/>
  <c r="AI167" i="23"/>
  <c r="AK165" i="23"/>
  <c r="AI159" i="23"/>
  <c r="AI186" i="23"/>
  <c r="AI144" i="23"/>
  <c r="AI136" i="23"/>
  <c r="AI128" i="23"/>
  <c r="AI120" i="23"/>
  <c r="AI143" i="23"/>
  <c r="AI135" i="23"/>
  <c r="AI127" i="23"/>
  <c r="AK125" i="23"/>
  <c r="AI119" i="23"/>
  <c r="AK117" i="23"/>
  <c r="AI111" i="23"/>
  <c r="AI178" i="23"/>
  <c r="AI153" i="23"/>
  <c r="AI151" i="23"/>
  <c r="AI150" i="23"/>
  <c r="AK148" i="23"/>
  <c r="AI142" i="23"/>
  <c r="AI134" i="23"/>
  <c r="AI126" i="23"/>
  <c r="AI118" i="23"/>
  <c r="AI154" i="23"/>
  <c r="AI149" i="23"/>
  <c r="AI141" i="23"/>
  <c r="AI133" i="23"/>
  <c r="AI125" i="23"/>
  <c r="AI117" i="23"/>
  <c r="AI109" i="23"/>
  <c r="AI170" i="23"/>
  <c r="AI148" i="23"/>
  <c r="AI140" i="23"/>
  <c r="AI132" i="23"/>
  <c r="AI124" i="23"/>
  <c r="AI116" i="23"/>
  <c r="AK114" i="23"/>
  <c r="AI108" i="23"/>
  <c r="AI147" i="23"/>
  <c r="AI139" i="23"/>
  <c r="AK137" i="23"/>
  <c r="AI131" i="23"/>
  <c r="AK129" i="23"/>
  <c r="AI123" i="23"/>
  <c r="AI115" i="23"/>
  <c r="AI107" i="23"/>
  <c r="AI194" i="23"/>
  <c r="AI162" i="23"/>
  <c r="AI146" i="23"/>
  <c r="AI138" i="23"/>
  <c r="AI130" i="23"/>
  <c r="AI122" i="23"/>
  <c r="AI114" i="23"/>
  <c r="AI145" i="23"/>
  <c r="AK143" i="23"/>
  <c r="AI137" i="23"/>
  <c r="AI129" i="23"/>
  <c r="AI121" i="23"/>
  <c r="AI113" i="23"/>
  <c r="AI106" i="23"/>
  <c r="AI98" i="23"/>
  <c r="AI90" i="23"/>
  <c r="AK88" i="23"/>
  <c r="AI82" i="23"/>
  <c r="AK80" i="23"/>
  <c r="AI74" i="23"/>
  <c r="AI112" i="23"/>
  <c r="AI105" i="23"/>
  <c r="AI97" i="23"/>
  <c r="AI89" i="23"/>
  <c r="AK87" i="23"/>
  <c r="AI81" i="23"/>
  <c r="AI73" i="23"/>
  <c r="AI65" i="23"/>
  <c r="AK63" i="23"/>
  <c r="AI57" i="23"/>
  <c r="AI104" i="23"/>
  <c r="AI96" i="23"/>
  <c r="AI88" i="23"/>
  <c r="AI80" i="23"/>
  <c r="AI72" i="23"/>
  <c r="AI64" i="23"/>
  <c r="AI103" i="23"/>
  <c r="AI95" i="23"/>
  <c r="AI87" i="23"/>
  <c r="AI79" i="23"/>
  <c r="AK77" i="23"/>
  <c r="AI71" i="23"/>
  <c r="AI63" i="23"/>
  <c r="AK61" i="23"/>
  <c r="AK107" i="23"/>
  <c r="AI102" i="23"/>
  <c r="AI94" i="23"/>
  <c r="AI86" i="23"/>
  <c r="AI78" i="23"/>
  <c r="AI70" i="23"/>
  <c r="AK68" i="23"/>
  <c r="AI62" i="23"/>
  <c r="AI101" i="23"/>
  <c r="AI93" i="23"/>
  <c r="AI85" i="23"/>
  <c r="AI77" i="23"/>
  <c r="AI69" i="23"/>
  <c r="AI61" i="23"/>
  <c r="AI100" i="23"/>
  <c r="AI92" i="23"/>
  <c r="AI84" i="23"/>
  <c r="AI76" i="23"/>
  <c r="AI68" i="23"/>
  <c r="AK66" i="23"/>
  <c r="AI60" i="23"/>
  <c r="AK58" i="23"/>
  <c r="AI110" i="23"/>
  <c r="AI99" i="23"/>
  <c r="AI91" i="23"/>
  <c r="AI83" i="23"/>
  <c r="AI75" i="23"/>
  <c r="AI67" i="23"/>
  <c r="AI59" i="23"/>
  <c r="AF7" i="23"/>
  <c r="AG7" i="23" s="1"/>
  <c r="AE8" i="23"/>
  <c r="N9" i="23"/>
  <c r="O9" i="23" s="1"/>
  <c r="V9" i="23"/>
  <c r="W9" i="23" s="1"/>
  <c r="AL9" i="23"/>
  <c r="M10" i="23"/>
  <c r="U10" i="23"/>
  <c r="AC10" i="23"/>
  <c r="AJ11" i="23"/>
  <c r="AK11" i="23" s="1"/>
  <c r="AI12" i="23"/>
  <c r="J13" i="23"/>
  <c r="K13" i="23" s="1"/>
  <c r="R13" i="23"/>
  <c r="S13" i="23" s="1"/>
  <c r="Z13" i="23"/>
  <c r="AA13" i="23" s="1"/>
  <c r="I14" i="23"/>
  <c r="Q14" i="23"/>
  <c r="Y14" i="23"/>
  <c r="AF15" i="23"/>
  <c r="AG15" i="23" s="1"/>
  <c r="AE16" i="23"/>
  <c r="N17" i="23"/>
  <c r="O17" i="23" s="1"/>
  <c r="V17" i="23"/>
  <c r="W17" i="23" s="1"/>
  <c r="AL17" i="23"/>
  <c r="M18" i="23"/>
  <c r="U18" i="23"/>
  <c r="AC18" i="23"/>
  <c r="AJ19" i="23"/>
  <c r="AK19" i="23" s="1"/>
  <c r="AI20" i="23"/>
  <c r="J21" i="23"/>
  <c r="K21" i="23" s="1"/>
  <c r="R21" i="23"/>
  <c r="S21" i="23" s="1"/>
  <c r="Z21" i="23"/>
  <c r="AA21" i="23" s="1"/>
  <c r="I22" i="23"/>
  <c r="Q22" i="23"/>
  <c r="Y22" i="23"/>
  <c r="AF23" i="23"/>
  <c r="AG23" i="23" s="1"/>
  <c r="AE24" i="23"/>
  <c r="N25" i="23"/>
  <c r="O25" i="23" s="1"/>
  <c r="V25" i="23"/>
  <c r="W25" i="23" s="1"/>
  <c r="AL25" i="23"/>
  <c r="M26" i="23"/>
  <c r="U26" i="23"/>
  <c r="AC26" i="23"/>
  <c r="AJ27" i="23"/>
  <c r="AK27" i="23" s="1"/>
  <c r="AI28" i="23"/>
  <c r="J29" i="23"/>
  <c r="K29" i="23" s="1"/>
  <c r="R29" i="23"/>
  <c r="S29" i="23" s="1"/>
  <c r="Z29" i="23"/>
  <c r="AA29" i="23" s="1"/>
  <c r="I30" i="23"/>
  <c r="Q30" i="23"/>
  <c r="Y30" i="23"/>
  <c r="AF31" i="23"/>
  <c r="AG31" i="23" s="1"/>
  <c r="AE32" i="23"/>
  <c r="N33" i="23"/>
  <c r="O33" i="23" s="1"/>
  <c r="V33" i="23"/>
  <c r="W33" i="23" s="1"/>
  <c r="AL33" i="23"/>
  <c r="M34" i="23"/>
  <c r="U34" i="23"/>
  <c r="AC34" i="23"/>
  <c r="AJ35" i="23"/>
  <c r="AK35" i="23" s="1"/>
  <c r="AI36" i="23"/>
  <c r="J37" i="23"/>
  <c r="K37" i="23" s="1"/>
  <c r="R37" i="23"/>
  <c r="S37" i="23" s="1"/>
  <c r="Z37" i="23"/>
  <c r="AA37" i="23" s="1"/>
  <c r="I38" i="23"/>
  <c r="Q38" i="23"/>
  <c r="Y38" i="23"/>
  <c r="AF39" i="23"/>
  <c r="AG39" i="23" s="1"/>
  <c r="AE40" i="23"/>
  <c r="N41" i="23"/>
  <c r="O41" i="23" s="1"/>
  <c r="V41" i="23"/>
  <c r="W41" i="23" s="1"/>
  <c r="AL41" i="23"/>
  <c r="M42" i="23"/>
  <c r="U42" i="23"/>
  <c r="AC42" i="23"/>
  <c r="AJ43" i="23"/>
  <c r="AK43" i="23" s="1"/>
  <c r="AI44" i="23"/>
  <c r="J45" i="23"/>
  <c r="K45" i="23" s="1"/>
  <c r="R45" i="23"/>
  <c r="S45" i="23" s="1"/>
  <c r="Z45" i="23"/>
  <c r="AA45" i="23" s="1"/>
  <c r="I46" i="23"/>
  <c r="Q46" i="23"/>
  <c r="Y46" i="23"/>
  <c r="AF47" i="23"/>
  <c r="AG47" i="23" s="1"/>
  <c r="AE48" i="23"/>
  <c r="N49" i="23"/>
  <c r="O49" i="23" s="1"/>
  <c r="V49" i="23"/>
  <c r="W49" i="23" s="1"/>
  <c r="AL49" i="23"/>
  <c r="M50" i="23"/>
  <c r="U50" i="23"/>
  <c r="AC50" i="23"/>
  <c r="AJ51" i="23"/>
  <c r="AK51" i="23" s="1"/>
  <c r="K52" i="23"/>
  <c r="AI52" i="23"/>
  <c r="J53" i="23"/>
  <c r="K53" i="23" s="1"/>
  <c r="R53" i="23"/>
  <c r="S53" i="23" s="1"/>
  <c r="Z53" i="23"/>
  <c r="AA53" i="23" s="1"/>
  <c r="Q54" i="23"/>
  <c r="Y54" i="23"/>
  <c r="AF55" i="23"/>
  <c r="AG55" i="23" s="1"/>
  <c r="AE56" i="23"/>
  <c r="V63" i="23"/>
  <c r="W63" i="23" s="1"/>
  <c r="AK64" i="23"/>
  <c r="AJ65" i="23"/>
  <c r="AK65" i="23" s="1"/>
  <c r="N527" i="23"/>
  <c r="O527" i="23" s="1"/>
  <c r="N519" i="23"/>
  <c r="O519" i="23" s="1"/>
  <c r="N511" i="23"/>
  <c r="O511" i="23" s="1"/>
  <c r="N526" i="23"/>
  <c r="O526" i="23" s="1"/>
  <c r="N518" i="23"/>
  <c r="O518" i="23" s="1"/>
  <c r="N510" i="23"/>
  <c r="O510" i="23" s="1"/>
  <c r="N525" i="23"/>
  <c r="O525" i="23" s="1"/>
  <c r="N531" i="23"/>
  <c r="O531" i="23" s="1"/>
  <c r="N523" i="23"/>
  <c r="O523" i="23" s="1"/>
  <c r="N530" i="23"/>
  <c r="O530" i="23" s="1"/>
  <c r="N522" i="23"/>
  <c r="O522" i="23" s="1"/>
  <c r="N529" i="23"/>
  <c r="O529" i="23" s="1"/>
  <c r="N521" i="23"/>
  <c r="O521" i="23" s="1"/>
  <c r="N528" i="23"/>
  <c r="O528" i="23" s="1"/>
  <c r="N520" i="23"/>
  <c r="O520" i="23" s="1"/>
  <c r="N517" i="23"/>
  <c r="O517" i="23" s="1"/>
  <c r="N506" i="23"/>
  <c r="O506" i="23" s="1"/>
  <c r="N498" i="23"/>
  <c r="O498" i="23" s="1"/>
  <c r="N503" i="23"/>
  <c r="O503" i="23" s="1"/>
  <c r="N516" i="23"/>
  <c r="O516" i="23" s="1"/>
  <c r="N502" i="23"/>
  <c r="O502" i="23" s="1"/>
  <c r="N524" i="23"/>
  <c r="O524" i="23" s="1"/>
  <c r="N515" i="23"/>
  <c r="O515" i="23" s="1"/>
  <c r="N512" i="23"/>
  <c r="O512" i="23" s="1"/>
  <c r="N509" i="23"/>
  <c r="O509" i="23" s="1"/>
  <c r="N508" i="23"/>
  <c r="O508" i="23" s="1"/>
  <c r="N501" i="23"/>
  <c r="O501" i="23" s="1"/>
  <c r="N514" i="23"/>
  <c r="O514" i="23" s="1"/>
  <c r="N513" i="23"/>
  <c r="O513" i="23" s="1"/>
  <c r="N505" i="23"/>
  <c r="O505" i="23" s="1"/>
  <c r="N491" i="23"/>
  <c r="O491" i="23" s="1"/>
  <c r="N483" i="23"/>
  <c r="O483" i="23" s="1"/>
  <c r="N499" i="23"/>
  <c r="O499" i="23" s="1"/>
  <c r="N497" i="23"/>
  <c r="O497" i="23" s="1"/>
  <c r="N490" i="23"/>
  <c r="O490" i="23" s="1"/>
  <c r="N482" i="23"/>
  <c r="O482" i="23" s="1"/>
  <c r="N488" i="23"/>
  <c r="O488" i="23" s="1"/>
  <c r="N500" i="23"/>
  <c r="O500" i="23" s="1"/>
  <c r="N496" i="23"/>
  <c r="O496" i="23" s="1"/>
  <c r="N495" i="23"/>
  <c r="O495" i="23" s="1"/>
  <c r="N487" i="23"/>
  <c r="O487" i="23" s="1"/>
  <c r="N479" i="23"/>
  <c r="O479" i="23" s="1"/>
  <c r="N494" i="23"/>
  <c r="O494" i="23" s="1"/>
  <c r="N486" i="23"/>
  <c r="O486" i="23" s="1"/>
  <c r="N493" i="23"/>
  <c r="O493" i="23" s="1"/>
  <c r="N485" i="23"/>
  <c r="O485" i="23" s="1"/>
  <c r="N473" i="23"/>
  <c r="O473" i="23" s="1"/>
  <c r="N465" i="23"/>
  <c r="O465" i="23" s="1"/>
  <c r="N472" i="23"/>
  <c r="O472" i="23" s="1"/>
  <c r="N464" i="23"/>
  <c r="O464" i="23" s="1"/>
  <c r="N471" i="23"/>
  <c r="O471" i="23" s="1"/>
  <c r="N463" i="23"/>
  <c r="O463" i="23" s="1"/>
  <c r="N504" i="23"/>
  <c r="O504" i="23" s="1"/>
  <c r="N478" i="23"/>
  <c r="O478" i="23" s="1"/>
  <c r="N470" i="23"/>
  <c r="O470" i="23" s="1"/>
  <c r="N489" i="23"/>
  <c r="O489" i="23" s="1"/>
  <c r="N477" i="23"/>
  <c r="O477" i="23" s="1"/>
  <c r="N469" i="23"/>
  <c r="O469" i="23" s="1"/>
  <c r="N461" i="23"/>
  <c r="O461" i="23" s="1"/>
  <c r="N507" i="23"/>
  <c r="O507" i="23" s="1"/>
  <c r="N492" i="23"/>
  <c r="O492" i="23" s="1"/>
  <c r="N476" i="23"/>
  <c r="O476" i="23" s="1"/>
  <c r="N468" i="23"/>
  <c r="O468" i="23" s="1"/>
  <c r="N484" i="23"/>
  <c r="O484" i="23" s="1"/>
  <c r="N480" i="23"/>
  <c r="O480" i="23" s="1"/>
  <c r="N475" i="23"/>
  <c r="O475" i="23" s="1"/>
  <c r="N467" i="23"/>
  <c r="O467" i="23" s="1"/>
  <c r="N450" i="23"/>
  <c r="O450" i="23" s="1"/>
  <c r="N442" i="23"/>
  <c r="O442" i="23" s="1"/>
  <c r="N458" i="23"/>
  <c r="O458" i="23" s="1"/>
  <c r="N457" i="23"/>
  <c r="O457" i="23" s="1"/>
  <c r="N449" i="23"/>
  <c r="O449" i="23" s="1"/>
  <c r="N466" i="23"/>
  <c r="O466" i="23" s="1"/>
  <c r="N462" i="23"/>
  <c r="O462" i="23" s="1"/>
  <c r="N456" i="23"/>
  <c r="O456" i="23" s="1"/>
  <c r="N448" i="23"/>
  <c r="O448" i="23" s="1"/>
  <c r="N455" i="23"/>
  <c r="O455" i="23" s="1"/>
  <c r="N447" i="23"/>
  <c r="O447" i="23" s="1"/>
  <c r="N481" i="23"/>
  <c r="O481" i="23" s="1"/>
  <c r="N460" i="23"/>
  <c r="O460" i="23" s="1"/>
  <c r="N459" i="23"/>
  <c r="O459" i="23" s="1"/>
  <c r="N454" i="23"/>
  <c r="O454" i="23" s="1"/>
  <c r="N446" i="23"/>
  <c r="O446" i="23" s="1"/>
  <c r="N453" i="23"/>
  <c r="O453" i="23" s="1"/>
  <c r="N445" i="23"/>
  <c r="O445" i="23" s="1"/>
  <c r="N452" i="23"/>
  <c r="O452" i="23" s="1"/>
  <c r="N444" i="23"/>
  <c r="O444" i="23" s="1"/>
  <c r="N434" i="23"/>
  <c r="O434" i="23" s="1"/>
  <c r="N426" i="23"/>
  <c r="O426" i="23" s="1"/>
  <c r="N441" i="23"/>
  <c r="O441" i="23" s="1"/>
  <c r="N433" i="23"/>
  <c r="O433" i="23" s="1"/>
  <c r="N425" i="23"/>
  <c r="O425" i="23" s="1"/>
  <c r="N451" i="23"/>
  <c r="O451" i="23" s="1"/>
  <c r="N440" i="23"/>
  <c r="O440" i="23" s="1"/>
  <c r="N432" i="23"/>
  <c r="O432" i="23" s="1"/>
  <c r="N424" i="23"/>
  <c r="O424" i="23" s="1"/>
  <c r="N439" i="23"/>
  <c r="O439" i="23" s="1"/>
  <c r="N431" i="23"/>
  <c r="O431" i="23" s="1"/>
  <c r="N423" i="23"/>
  <c r="O423" i="23" s="1"/>
  <c r="N474" i="23"/>
  <c r="O474" i="23" s="1"/>
  <c r="N438" i="23"/>
  <c r="O438" i="23" s="1"/>
  <c r="N430" i="23"/>
  <c r="O430" i="23" s="1"/>
  <c r="N422" i="23"/>
  <c r="O422" i="23" s="1"/>
  <c r="N443" i="23"/>
  <c r="O443" i="23" s="1"/>
  <c r="N437" i="23"/>
  <c r="O437" i="23" s="1"/>
  <c r="N429" i="23"/>
  <c r="O429" i="23" s="1"/>
  <c r="N421" i="23"/>
  <c r="O421" i="23" s="1"/>
  <c r="N417" i="23"/>
  <c r="O417" i="23" s="1"/>
  <c r="N435" i="23"/>
  <c r="O435" i="23" s="1"/>
  <c r="N416" i="23"/>
  <c r="O416" i="23" s="1"/>
  <c r="N408" i="23"/>
  <c r="O408" i="23" s="1"/>
  <c r="N436" i="23"/>
  <c r="O436" i="23" s="1"/>
  <c r="N420" i="23"/>
  <c r="O420" i="23" s="1"/>
  <c r="N415" i="23"/>
  <c r="O415" i="23" s="1"/>
  <c r="N407" i="23"/>
  <c r="O407" i="23" s="1"/>
  <c r="N413" i="23"/>
  <c r="O413" i="23" s="1"/>
  <c r="N405" i="23"/>
  <c r="O405" i="23" s="1"/>
  <c r="N427" i="23"/>
  <c r="O427" i="23" s="1"/>
  <c r="N412" i="23"/>
  <c r="O412" i="23" s="1"/>
  <c r="N428" i="23"/>
  <c r="O428" i="23" s="1"/>
  <c r="N419" i="23"/>
  <c r="O419" i="23" s="1"/>
  <c r="N411" i="23"/>
  <c r="O411" i="23" s="1"/>
  <c r="N403" i="23"/>
  <c r="O403" i="23" s="1"/>
  <c r="N418" i="23"/>
  <c r="O418" i="23" s="1"/>
  <c r="N410" i="23"/>
  <c r="O410" i="23" s="1"/>
  <c r="N402" i="23"/>
  <c r="O402" i="23" s="1"/>
  <c r="N400" i="23"/>
  <c r="O400" i="23" s="1"/>
  <c r="N397" i="23"/>
  <c r="O397" i="23" s="1"/>
  <c r="N389" i="23"/>
  <c r="O389" i="23" s="1"/>
  <c r="N381" i="23"/>
  <c r="O381" i="23" s="1"/>
  <c r="N373" i="23"/>
  <c r="O373" i="23" s="1"/>
  <c r="N365" i="23"/>
  <c r="O365" i="23" s="1"/>
  <c r="N414" i="23"/>
  <c r="O414" i="23" s="1"/>
  <c r="N396" i="23"/>
  <c r="O396" i="23" s="1"/>
  <c r="N388" i="23"/>
  <c r="O388" i="23" s="1"/>
  <c r="N380" i="23"/>
  <c r="O380" i="23" s="1"/>
  <c r="N372" i="23"/>
  <c r="O372" i="23" s="1"/>
  <c r="N364" i="23"/>
  <c r="O364" i="23" s="1"/>
  <c r="N395" i="23"/>
  <c r="O395" i="23" s="1"/>
  <c r="N387" i="23"/>
  <c r="O387" i="23" s="1"/>
  <c r="N379" i="23"/>
  <c r="O379" i="23" s="1"/>
  <c r="N371" i="23"/>
  <c r="O371" i="23" s="1"/>
  <c r="N363" i="23"/>
  <c r="O363" i="23" s="1"/>
  <c r="N404" i="23"/>
  <c r="O404" i="23" s="1"/>
  <c r="N394" i="23"/>
  <c r="O394" i="23" s="1"/>
  <c r="N386" i="23"/>
  <c r="O386" i="23" s="1"/>
  <c r="N378" i="23"/>
  <c r="O378" i="23" s="1"/>
  <c r="N370" i="23"/>
  <c r="O370" i="23" s="1"/>
  <c r="N362" i="23"/>
  <c r="O362" i="23" s="1"/>
  <c r="N401" i="23"/>
  <c r="O401" i="23" s="1"/>
  <c r="N399" i="23"/>
  <c r="O399" i="23" s="1"/>
  <c r="N391" i="23"/>
  <c r="O391" i="23" s="1"/>
  <c r="N383" i="23"/>
  <c r="O383" i="23" s="1"/>
  <c r="N375" i="23"/>
  <c r="O375" i="23" s="1"/>
  <c r="N367" i="23"/>
  <c r="O367" i="23" s="1"/>
  <c r="N359" i="23"/>
  <c r="O359" i="23" s="1"/>
  <c r="N406" i="23"/>
  <c r="O406" i="23" s="1"/>
  <c r="N398" i="23"/>
  <c r="O398" i="23" s="1"/>
  <c r="N390" i="23"/>
  <c r="O390" i="23" s="1"/>
  <c r="N384" i="23"/>
  <c r="O384" i="23" s="1"/>
  <c r="N351" i="23"/>
  <c r="O351" i="23" s="1"/>
  <c r="N343" i="23"/>
  <c r="O343" i="23" s="1"/>
  <c r="N335" i="23"/>
  <c r="O335" i="23" s="1"/>
  <c r="N409" i="23"/>
  <c r="O409" i="23" s="1"/>
  <c r="N358" i="23"/>
  <c r="O358" i="23" s="1"/>
  <c r="N350" i="23"/>
  <c r="O350" i="23" s="1"/>
  <c r="N361" i="23"/>
  <c r="O361" i="23" s="1"/>
  <c r="N357" i="23"/>
  <c r="O357" i="23" s="1"/>
  <c r="N349" i="23"/>
  <c r="O349" i="23" s="1"/>
  <c r="N341" i="23"/>
  <c r="O341" i="23" s="1"/>
  <c r="N333" i="23"/>
  <c r="O333" i="23" s="1"/>
  <c r="N325" i="23"/>
  <c r="O325" i="23" s="1"/>
  <c r="N369" i="23"/>
  <c r="O369" i="23" s="1"/>
  <c r="N366" i="23"/>
  <c r="O366" i="23" s="1"/>
  <c r="N356" i="23"/>
  <c r="O356" i="23" s="1"/>
  <c r="N348" i="23"/>
  <c r="O348" i="23" s="1"/>
  <c r="N340" i="23"/>
  <c r="O340" i="23" s="1"/>
  <c r="N332" i="23"/>
  <c r="O332" i="23" s="1"/>
  <c r="N392" i="23"/>
  <c r="O392" i="23" s="1"/>
  <c r="N376" i="23"/>
  <c r="O376" i="23" s="1"/>
  <c r="N353" i="23"/>
  <c r="O353" i="23" s="1"/>
  <c r="N345" i="23"/>
  <c r="O345" i="23" s="1"/>
  <c r="N337" i="23"/>
  <c r="O337" i="23" s="1"/>
  <c r="N329" i="23"/>
  <c r="O329" i="23" s="1"/>
  <c r="N347" i="23"/>
  <c r="O347" i="23" s="1"/>
  <c r="N344" i="23"/>
  <c r="O344" i="23" s="1"/>
  <c r="N336" i="23"/>
  <c r="O336" i="23" s="1"/>
  <c r="N321" i="23"/>
  <c r="O321" i="23" s="1"/>
  <c r="N313" i="23"/>
  <c r="O313" i="23" s="1"/>
  <c r="N320" i="23"/>
  <c r="O320" i="23" s="1"/>
  <c r="N393" i="23"/>
  <c r="O393" i="23" s="1"/>
  <c r="N374" i="23"/>
  <c r="O374" i="23" s="1"/>
  <c r="N355" i="23"/>
  <c r="O355" i="23" s="1"/>
  <c r="N352" i="23"/>
  <c r="O352" i="23" s="1"/>
  <c r="N342" i="23"/>
  <c r="O342" i="23" s="1"/>
  <c r="N334" i="23"/>
  <c r="O334" i="23" s="1"/>
  <c r="N319" i="23"/>
  <c r="O319" i="23" s="1"/>
  <c r="N354" i="23"/>
  <c r="O354" i="23" s="1"/>
  <c r="N346" i="23"/>
  <c r="O346" i="23" s="1"/>
  <c r="N338" i="23"/>
  <c r="O338" i="23" s="1"/>
  <c r="N330" i="23"/>
  <c r="O330" i="23" s="1"/>
  <c r="N328" i="23"/>
  <c r="O328" i="23" s="1"/>
  <c r="N318" i="23"/>
  <c r="O318" i="23" s="1"/>
  <c r="N324" i="23"/>
  <c r="O324" i="23" s="1"/>
  <c r="N322" i="23"/>
  <c r="O322" i="23" s="1"/>
  <c r="N385" i="23"/>
  <c r="O385" i="23" s="1"/>
  <c r="N326" i="23"/>
  <c r="O326" i="23" s="1"/>
  <c r="N315" i="23"/>
  <c r="O315" i="23" s="1"/>
  <c r="N310" i="23"/>
  <c r="O310" i="23" s="1"/>
  <c r="N302" i="23"/>
  <c r="O302" i="23" s="1"/>
  <c r="N294" i="23"/>
  <c r="O294" i="23" s="1"/>
  <c r="N286" i="23"/>
  <c r="O286" i="23" s="1"/>
  <c r="N278" i="23"/>
  <c r="O278" i="23" s="1"/>
  <c r="N382" i="23"/>
  <c r="O382" i="23" s="1"/>
  <c r="N339" i="23"/>
  <c r="O339" i="23" s="1"/>
  <c r="N323" i="23"/>
  <c r="O323" i="23" s="1"/>
  <c r="N317" i="23"/>
  <c r="O317" i="23" s="1"/>
  <c r="N309" i="23"/>
  <c r="O309" i="23" s="1"/>
  <c r="N301" i="23"/>
  <c r="O301" i="23" s="1"/>
  <c r="N293" i="23"/>
  <c r="O293" i="23" s="1"/>
  <c r="N285" i="23"/>
  <c r="O285" i="23" s="1"/>
  <c r="N277" i="23"/>
  <c r="O277" i="23" s="1"/>
  <c r="N377" i="23"/>
  <c r="O377" i="23" s="1"/>
  <c r="N327" i="23"/>
  <c r="O327" i="23" s="1"/>
  <c r="N314" i="23"/>
  <c r="O314" i="23" s="1"/>
  <c r="N308" i="23"/>
  <c r="O308" i="23" s="1"/>
  <c r="N300" i="23"/>
  <c r="O300" i="23" s="1"/>
  <c r="N292" i="23"/>
  <c r="O292" i="23" s="1"/>
  <c r="N284" i="23"/>
  <c r="O284" i="23" s="1"/>
  <c r="N276" i="23"/>
  <c r="O276" i="23" s="1"/>
  <c r="N307" i="23"/>
  <c r="O307" i="23" s="1"/>
  <c r="N306" i="23"/>
  <c r="O306" i="23" s="1"/>
  <c r="N298" i="23"/>
  <c r="O298" i="23" s="1"/>
  <c r="N290" i="23"/>
  <c r="O290" i="23" s="1"/>
  <c r="N282" i="23"/>
  <c r="O282" i="23" s="1"/>
  <c r="N368" i="23"/>
  <c r="O368" i="23" s="1"/>
  <c r="N316" i="23"/>
  <c r="O316" i="23" s="1"/>
  <c r="N305" i="23"/>
  <c r="O305" i="23" s="1"/>
  <c r="N297" i="23"/>
  <c r="O297" i="23" s="1"/>
  <c r="N289" i="23"/>
  <c r="O289" i="23" s="1"/>
  <c r="N299" i="23"/>
  <c r="O299" i="23" s="1"/>
  <c r="N296" i="23"/>
  <c r="O296" i="23" s="1"/>
  <c r="N280" i="23"/>
  <c r="O280" i="23" s="1"/>
  <c r="N275" i="23"/>
  <c r="O275" i="23" s="1"/>
  <c r="N287" i="23"/>
  <c r="O287" i="23" s="1"/>
  <c r="N274" i="23"/>
  <c r="O274" i="23" s="1"/>
  <c r="N266" i="23"/>
  <c r="O266" i="23" s="1"/>
  <c r="N258" i="23"/>
  <c r="O258" i="23" s="1"/>
  <c r="N304" i="23"/>
  <c r="O304" i="23" s="1"/>
  <c r="N281" i="23"/>
  <c r="O281" i="23" s="1"/>
  <c r="N273" i="23"/>
  <c r="O273" i="23" s="1"/>
  <c r="N265" i="23"/>
  <c r="O265" i="23" s="1"/>
  <c r="N257" i="23"/>
  <c r="O257" i="23" s="1"/>
  <c r="N249" i="23"/>
  <c r="O249" i="23" s="1"/>
  <c r="N241" i="23"/>
  <c r="O241" i="23" s="1"/>
  <c r="N295" i="23"/>
  <c r="O295" i="23" s="1"/>
  <c r="N272" i="23"/>
  <c r="O272" i="23" s="1"/>
  <c r="N264" i="23"/>
  <c r="O264" i="23" s="1"/>
  <c r="N256" i="23"/>
  <c r="O256" i="23" s="1"/>
  <c r="N248" i="23"/>
  <c r="O248" i="23" s="1"/>
  <c r="N311" i="23"/>
  <c r="O311" i="23" s="1"/>
  <c r="N279" i="23"/>
  <c r="O279" i="23" s="1"/>
  <c r="N360" i="23"/>
  <c r="O360" i="23" s="1"/>
  <c r="N331" i="23"/>
  <c r="O331" i="23" s="1"/>
  <c r="N312" i="23"/>
  <c r="O312" i="23" s="1"/>
  <c r="N303" i="23"/>
  <c r="O303" i="23" s="1"/>
  <c r="N283" i="23"/>
  <c r="O283" i="23" s="1"/>
  <c r="N270" i="23"/>
  <c r="O270" i="23" s="1"/>
  <c r="N262" i="23"/>
  <c r="O262" i="23" s="1"/>
  <c r="N254" i="23"/>
  <c r="O254" i="23" s="1"/>
  <c r="N291" i="23"/>
  <c r="O291" i="23" s="1"/>
  <c r="N288" i="23"/>
  <c r="O288" i="23" s="1"/>
  <c r="N269" i="23"/>
  <c r="O269" i="23" s="1"/>
  <c r="N261" i="23"/>
  <c r="O261" i="23" s="1"/>
  <c r="N253" i="23"/>
  <c r="O253" i="23" s="1"/>
  <c r="N245" i="23"/>
  <c r="O245" i="23" s="1"/>
  <c r="N268" i="23"/>
  <c r="O268" i="23" s="1"/>
  <c r="N260" i="23"/>
  <c r="O260" i="23" s="1"/>
  <c r="N252" i="23"/>
  <c r="O252" i="23" s="1"/>
  <c r="N244" i="23"/>
  <c r="O244" i="23" s="1"/>
  <c r="N259" i="23"/>
  <c r="O259" i="23" s="1"/>
  <c r="N240" i="23"/>
  <c r="O240" i="23" s="1"/>
  <c r="N232" i="23"/>
  <c r="O232" i="23" s="1"/>
  <c r="N224" i="23"/>
  <c r="O224" i="23" s="1"/>
  <c r="N216" i="23"/>
  <c r="O216" i="23" s="1"/>
  <c r="N208" i="23"/>
  <c r="O208" i="23" s="1"/>
  <c r="N251" i="23"/>
  <c r="O251" i="23" s="1"/>
  <c r="N239" i="23"/>
  <c r="O239" i="23" s="1"/>
  <c r="N231" i="23"/>
  <c r="O231" i="23" s="1"/>
  <c r="N223" i="23"/>
  <c r="O223" i="23" s="1"/>
  <c r="N215" i="23"/>
  <c r="O215" i="23" s="1"/>
  <c r="N207" i="23"/>
  <c r="O207" i="23" s="1"/>
  <c r="N263" i="23"/>
  <c r="O263" i="23" s="1"/>
  <c r="N242" i="23"/>
  <c r="O242" i="23" s="1"/>
  <c r="N238" i="23"/>
  <c r="O238" i="23" s="1"/>
  <c r="N230" i="23"/>
  <c r="O230" i="23" s="1"/>
  <c r="N222" i="23"/>
  <c r="O222" i="23" s="1"/>
  <c r="N214" i="23"/>
  <c r="O214" i="23" s="1"/>
  <c r="N206" i="23"/>
  <c r="O206" i="23" s="1"/>
  <c r="N237" i="23"/>
  <c r="O237" i="23" s="1"/>
  <c r="N229" i="23"/>
  <c r="O229" i="23" s="1"/>
  <c r="N221" i="23"/>
  <c r="O221" i="23" s="1"/>
  <c r="N213" i="23"/>
  <c r="O213" i="23" s="1"/>
  <c r="N267" i="23"/>
  <c r="O267" i="23" s="1"/>
  <c r="N236" i="23"/>
  <c r="O236" i="23" s="1"/>
  <c r="N228" i="23"/>
  <c r="O228" i="23" s="1"/>
  <c r="N220" i="23"/>
  <c r="O220" i="23" s="1"/>
  <c r="N212" i="23"/>
  <c r="O212" i="23" s="1"/>
  <c r="N235" i="23"/>
  <c r="O235" i="23" s="1"/>
  <c r="N227" i="23"/>
  <c r="O227" i="23" s="1"/>
  <c r="N271" i="23"/>
  <c r="O271" i="23" s="1"/>
  <c r="N255" i="23"/>
  <c r="O255" i="23" s="1"/>
  <c r="N250" i="23"/>
  <c r="O250" i="23" s="1"/>
  <c r="N246" i="23"/>
  <c r="O246" i="23" s="1"/>
  <c r="N234" i="23"/>
  <c r="O234" i="23" s="1"/>
  <c r="N226" i="23"/>
  <c r="O226" i="23" s="1"/>
  <c r="N218" i="23"/>
  <c r="O218" i="23" s="1"/>
  <c r="N210" i="23"/>
  <c r="O210" i="23" s="1"/>
  <c r="N202" i="23"/>
  <c r="O202" i="23" s="1"/>
  <c r="N247" i="23"/>
  <c r="O247" i="23" s="1"/>
  <c r="N243" i="23"/>
  <c r="O243" i="23" s="1"/>
  <c r="N233" i="23"/>
  <c r="O233" i="23" s="1"/>
  <c r="N225" i="23"/>
  <c r="O225" i="23" s="1"/>
  <c r="N217" i="23"/>
  <c r="O217" i="23" s="1"/>
  <c r="N209" i="23"/>
  <c r="O209" i="23" s="1"/>
  <c r="N203" i="23"/>
  <c r="O203" i="23" s="1"/>
  <c r="N201" i="23"/>
  <c r="O201" i="23" s="1"/>
  <c r="N199" i="23"/>
  <c r="O199" i="23" s="1"/>
  <c r="N195" i="23"/>
  <c r="O195" i="23" s="1"/>
  <c r="N187" i="23"/>
  <c r="O187" i="23" s="1"/>
  <c r="N179" i="23"/>
  <c r="O179" i="23" s="1"/>
  <c r="N171" i="23"/>
  <c r="O171" i="23" s="1"/>
  <c r="N163" i="23"/>
  <c r="O163" i="23" s="1"/>
  <c r="N155" i="23"/>
  <c r="O155" i="23" s="1"/>
  <c r="N194" i="23"/>
  <c r="O194" i="23" s="1"/>
  <c r="N186" i="23"/>
  <c r="O186" i="23" s="1"/>
  <c r="N178" i="23"/>
  <c r="O178" i="23" s="1"/>
  <c r="N170" i="23"/>
  <c r="O170" i="23" s="1"/>
  <c r="N162" i="23"/>
  <c r="O162" i="23" s="1"/>
  <c r="N154" i="23"/>
  <c r="O154" i="23" s="1"/>
  <c r="N205" i="23"/>
  <c r="O205" i="23" s="1"/>
  <c r="N204" i="23"/>
  <c r="O204" i="23" s="1"/>
  <c r="N193" i="23"/>
  <c r="O193" i="23" s="1"/>
  <c r="N185" i="23"/>
  <c r="O185" i="23" s="1"/>
  <c r="N177" i="23"/>
  <c r="O177" i="23" s="1"/>
  <c r="N169" i="23"/>
  <c r="O169" i="23" s="1"/>
  <c r="N161" i="23"/>
  <c r="O161" i="23" s="1"/>
  <c r="N153" i="23"/>
  <c r="O153" i="23" s="1"/>
  <c r="N219" i="23"/>
  <c r="O219" i="23" s="1"/>
  <c r="N192" i="23"/>
  <c r="O192" i="23" s="1"/>
  <c r="N184" i="23"/>
  <c r="O184" i="23" s="1"/>
  <c r="N176" i="23"/>
  <c r="O176" i="23" s="1"/>
  <c r="N168" i="23"/>
  <c r="O168" i="23" s="1"/>
  <c r="N160" i="23"/>
  <c r="O160" i="23" s="1"/>
  <c r="N211" i="23"/>
  <c r="O211" i="23" s="1"/>
  <c r="N198" i="23"/>
  <c r="O198" i="23" s="1"/>
  <c r="N190" i="23"/>
  <c r="O190" i="23" s="1"/>
  <c r="N182" i="23"/>
  <c r="O182" i="23" s="1"/>
  <c r="N174" i="23"/>
  <c r="O174" i="23" s="1"/>
  <c r="N166" i="23"/>
  <c r="O166" i="23" s="1"/>
  <c r="N200" i="23"/>
  <c r="O200" i="23" s="1"/>
  <c r="N197" i="23"/>
  <c r="O197" i="23" s="1"/>
  <c r="N189" i="23"/>
  <c r="O189" i="23" s="1"/>
  <c r="N181" i="23"/>
  <c r="O181" i="23" s="1"/>
  <c r="N173" i="23"/>
  <c r="O173" i="23" s="1"/>
  <c r="N165" i="23"/>
  <c r="O165" i="23" s="1"/>
  <c r="N157" i="23"/>
  <c r="O157" i="23" s="1"/>
  <c r="N196" i="23"/>
  <c r="O196" i="23" s="1"/>
  <c r="N188" i="23"/>
  <c r="O188" i="23" s="1"/>
  <c r="N180" i="23"/>
  <c r="O180" i="23" s="1"/>
  <c r="N172" i="23"/>
  <c r="O172" i="23" s="1"/>
  <c r="N164" i="23"/>
  <c r="O164" i="23" s="1"/>
  <c r="N156" i="23"/>
  <c r="O156" i="23" s="1"/>
  <c r="N175" i="23"/>
  <c r="O175" i="23" s="1"/>
  <c r="N159" i="23"/>
  <c r="O159" i="23" s="1"/>
  <c r="N152" i="23"/>
  <c r="O152" i="23" s="1"/>
  <c r="N149" i="23"/>
  <c r="O149" i="23" s="1"/>
  <c r="N141" i="23"/>
  <c r="O141" i="23" s="1"/>
  <c r="N133" i="23"/>
  <c r="O133" i="23" s="1"/>
  <c r="N125" i="23"/>
  <c r="O125" i="23" s="1"/>
  <c r="N117" i="23"/>
  <c r="O117" i="23" s="1"/>
  <c r="N148" i="23"/>
  <c r="O148" i="23" s="1"/>
  <c r="N140" i="23"/>
  <c r="O140" i="23" s="1"/>
  <c r="N132" i="23"/>
  <c r="O132" i="23" s="1"/>
  <c r="N124" i="23"/>
  <c r="O124" i="23" s="1"/>
  <c r="N116" i="23"/>
  <c r="O116" i="23" s="1"/>
  <c r="N108" i="23"/>
  <c r="O108" i="23" s="1"/>
  <c r="N167" i="23"/>
  <c r="O167" i="23" s="1"/>
  <c r="N147" i="23"/>
  <c r="O147" i="23" s="1"/>
  <c r="N139" i="23"/>
  <c r="O139" i="23" s="1"/>
  <c r="N131" i="23"/>
  <c r="O131" i="23" s="1"/>
  <c r="N123" i="23"/>
  <c r="O123" i="23" s="1"/>
  <c r="N115" i="23"/>
  <c r="O115" i="23" s="1"/>
  <c r="N146" i="23"/>
  <c r="O146" i="23" s="1"/>
  <c r="N138" i="23"/>
  <c r="O138" i="23" s="1"/>
  <c r="N130" i="23"/>
  <c r="O130" i="23" s="1"/>
  <c r="N122" i="23"/>
  <c r="O122" i="23" s="1"/>
  <c r="N114" i="23"/>
  <c r="O114" i="23" s="1"/>
  <c r="N191" i="23"/>
  <c r="O191" i="23" s="1"/>
  <c r="N145" i="23"/>
  <c r="O145" i="23" s="1"/>
  <c r="N137" i="23"/>
  <c r="O137" i="23" s="1"/>
  <c r="N129" i="23"/>
  <c r="O129" i="23" s="1"/>
  <c r="N121" i="23"/>
  <c r="O121" i="23" s="1"/>
  <c r="N113" i="23"/>
  <c r="O113" i="23" s="1"/>
  <c r="N144" i="23"/>
  <c r="O144" i="23" s="1"/>
  <c r="N136" i="23"/>
  <c r="O136" i="23" s="1"/>
  <c r="N128" i="23"/>
  <c r="O128" i="23" s="1"/>
  <c r="N120" i="23"/>
  <c r="O120" i="23" s="1"/>
  <c r="N112" i="23"/>
  <c r="O112" i="23" s="1"/>
  <c r="N183" i="23"/>
  <c r="O183" i="23" s="1"/>
  <c r="N151" i="23"/>
  <c r="O151" i="23" s="1"/>
  <c r="N143" i="23"/>
  <c r="O143" i="23" s="1"/>
  <c r="N135" i="23"/>
  <c r="O135" i="23" s="1"/>
  <c r="N127" i="23"/>
  <c r="O127" i="23" s="1"/>
  <c r="N119" i="23"/>
  <c r="O119" i="23" s="1"/>
  <c r="N158" i="23"/>
  <c r="O158" i="23" s="1"/>
  <c r="N150" i="23"/>
  <c r="O150" i="23" s="1"/>
  <c r="N142" i="23"/>
  <c r="O142" i="23" s="1"/>
  <c r="N134" i="23"/>
  <c r="O134" i="23" s="1"/>
  <c r="N126" i="23"/>
  <c r="O126" i="23" s="1"/>
  <c r="N118" i="23"/>
  <c r="O118" i="23" s="1"/>
  <c r="N110" i="23"/>
  <c r="O110" i="23" s="1"/>
  <c r="N103" i="23"/>
  <c r="O103" i="23" s="1"/>
  <c r="N95" i="23"/>
  <c r="O95" i="23" s="1"/>
  <c r="N87" i="23"/>
  <c r="O87" i="23" s="1"/>
  <c r="N79" i="23"/>
  <c r="O79" i="23" s="1"/>
  <c r="N71" i="23"/>
  <c r="O71" i="23" s="1"/>
  <c r="N102" i="23"/>
  <c r="O102" i="23" s="1"/>
  <c r="N94" i="23"/>
  <c r="O94" i="23" s="1"/>
  <c r="N86" i="23"/>
  <c r="O86" i="23" s="1"/>
  <c r="N78" i="23"/>
  <c r="O78" i="23" s="1"/>
  <c r="N70" i="23"/>
  <c r="O70" i="23" s="1"/>
  <c r="N62" i="23"/>
  <c r="O62" i="23" s="1"/>
  <c r="N111" i="23"/>
  <c r="O111" i="23" s="1"/>
  <c r="N109" i="23"/>
  <c r="O109" i="23" s="1"/>
  <c r="N101" i="23"/>
  <c r="O101" i="23" s="1"/>
  <c r="N93" i="23"/>
  <c r="O93" i="23" s="1"/>
  <c r="N85" i="23"/>
  <c r="O85" i="23" s="1"/>
  <c r="N77" i="23"/>
  <c r="O77" i="23" s="1"/>
  <c r="N69" i="23"/>
  <c r="O69" i="23" s="1"/>
  <c r="N61" i="23"/>
  <c r="O61" i="23" s="1"/>
  <c r="N100" i="23"/>
  <c r="O100" i="23" s="1"/>
  <c r="N92" i="23"/>
  <c r="O92" i="23" s="1"/>
  <c r="N84" i="23"/>
  <c r="O84" i="23" s="1"/>
  <c r="N76" i="23"/>
  <c r="O76" i="23" s="1"/>
  <c r="N68" i="23"/>
  <c r="O68" i="23" s="1"/>
  <c r="N60" i="23"/>
  <c r="O60" i="23" s="1"/>
  <c r="N99" i="23"/>
  <c r="O99" i="23" s="1"/>
  <c r="N91" i="23"/>
  <c r="O91" i="23" s="1"/>
  <c r="N83" i="23"/>
  <c r="O83" i="23" s="1"/>
  <c r="N75" i="23"/>
  <c r="O75" i="23" s="1"/>
  <c r="N67" i="23"/>
  <c r="O67" i="23" s="1"/>
  <c r="N107" i="23"/>
  <c r="O107" i="23" s="1"/>
  <c r="N106" i="23"/>
  <c r="O106" i="23" s="1"/>
  <c r="N98" i="23"/>
  <c r="O98" i="23" s="1"/>
  <c r="N90" i="23"/>
  <c r="O90" i="23" s="1"/>
  <c r="N82" i="23"/>
  <c r="O82" i="23" s="1"/>
  <c r="N74" i="23"/>
  <c r="O74" i="23" s="1"/>
  <c r="N66" i="23"/>
  <c r="O66" i="23" s="1"/>
  <c r="N58" i="23"/>
  <c r="O58" i="23" s="1"/>
  <c r="N105" i="23"/>
  <c r="O105" i="23" s="1"/>
  <c r="N97" i="23"/>
  <c r="O97" i="23" s="1"/>
  <c r="N89" i="23"/>
  <c r="O89" i="23" s="1"/>
  <c r="N81" i="23"/>
  <c r="O81" i="23" s="1"/>
  <c r="N73" i="23"/>
  <c r="O73" i="23" s="1"/>
  <c r="N65" i="23"/>
  <c r="O65" i="23" s="1"/>
  <c r="N104" i="23"/>
  <c r="O104" i="23" s="1"/>
  <c r="N96" i="23"/>
  <c r="O96" i="23" s="1"/>
  <c r="N88" i="23"/>
  <c r="O88" i="23" s="1"/>
  <c r="N80" i="23"/>
  <c r="O80" i="23" s="1"/>
  <c r="N72" i="23"/>
  <c r="O72" i="23" s="1"/>
  <c r="N64" i="23"/>
  <c r="O64" i="23" s="1"/>
  <c r="I524" i="23"/>
  <c r="I516" i="23"/>
  <c r="I531" i="23"/>
  <c r="I523" i="23"/>
  <c r="I515" i="23"/>
  <c r="I507" i="23"/>
  <c r="I530" i="23"/>
  <c r="I529" i="23"/>
  <c r="I528" i="23"/>
  <c r="I527" i="23"/>
  <c r="I526" i="23"/>
  <c r="I525" i="23"/>
  <c r="I504" i="23"/>
  <c r="I519" i="23"/>
  <c r="I503" i="23"/>
  <c r="I520" i="23"/>
  <c r="I511" i="23"/>
  <c r="I500" i="23"/>
  <c r="I499" i="23"/>
  <c r="I517" i="23"/>
  <c r="I513" i="23"/>
  <c r="I510" i="23"/>
  <c r="I506" i="23"/>
  <c r="I498" i="23"/>
  <c r="I522" i="23"/>
  <c r="I521" i="23"/>
  <c r="I505" i="23"/>
  <c r="I496" i="23"/>
  <c r="I488" i="23"/>
  <c r="I502" i="23"/>
  <c r="I495" i="23"/>
  <c r="I487" i="23"/>
  <c r="I479" i="23"/>
  <c r="I514" i="23"/>
  <c r="I493" i="23"/>
  <c r="I518" i="23"/>
  <c r="I508" i="23"/>
  <c r="I497" i="23"/>
  <c r="I492" i="23"/>
  <c r="I484" i="23"/>
  <c r="I509" i="23"/>
  <c r="I491" i="23"/>
  <c r="I483" i="23"/>
  <c r="I490" i="23"/>
  <c r="I482" i="23"/>
  <c r="I478" i="23"/>
  <c r="I470" i="23"/>
  <c r="I480" i="23"/>
  <c r="I477" i="23"/>
  <c r="I469" i="23"/>
  <c r="I494" i="23"/>
  <c r="I481" i="23"/>
  <c r="I476" i="23"/>
  <c r="I468" i="23"/>
  <c r="I486" i="23"/>
  <c r="I475" i="23"/>
  <c r="I474" i="23"/>
  <c r="I466" i="23"/>
  <c r="I458" i="23"/>
  <c r="I512" i="23"/>
  <c r="I501" i="23"/>
  <c r="I473" i="23"/>
  <c r="I465" i="23"/>
  <c r="I489" i="23"/>
  <c r="I472" i="23"/>
  <c r="I455" i="23"/>
  <c r="I447" i="23"/>
  <c r="I460" i="23"/>
  <c r="I459" i="23"/>
  <c r="I454" i="23"/>
  <c r="I446" i="23"/>
  <c r="I464" i="23"/>
  <c r="I453" i="23"/>
  <c r="I445" i="23"/>
  <c r="I452" i="23"/>
  <c r="I485" i="23"/>
  <c r="I461" i="23"/>
  <c r="I451" i="23"/>
  <c r="I443" i="23"/>
  <c r="I450" i="23"/>
  <c r="I442" i="23"/>
  <c r="I467" i="23"/>
  <c r="I462" i="23"/>
  <c r="I457" i="23"/>
  <c r="I449" i="23"/>
  <c r="I456" i="23"/>
  <c r="I439" i="23"/>
  <c r="I431" i="23"/>
  <c r="I444" i="23"/>
  <c r="I438" i="23"/>
  <c r="I430" i="23"/>
  <c r="I422" i="23"/>
  <c r="I448" i="23"/>
  <c r="I437" i="23"/>
  <c r="I429" i="23"/>
  <c r="I463" i="23"/>
  <c r="I436" i="23"/>
  <c r="I428" i="23"/>
  <c r="I420" i="23"/>
  <c r="I471" i="23"/>
  <c r="I435" i="23"/>
  <c r="I427" i="23"/>
  <c r="I434" i="23"/>
  <c r="I426" i="23"/>
  <c r="I424" i="23"/>
  <c r="I414" i="23"/>
  <c r="I421" i="23"/>
  <c r="I413" i="23"/>
  <c r="I405" i="23"/>
  <c r="I412" i="23"/>
  <c r="I404" i="23"/>
  <c r="I433" i="23"/>
  <c r="I432" i="23"/>
  <c r="I419" i="23"/>
  <c r="I423" i="23"/>
  <c r="I418" i="23"/>
  <c r="I410" i="23"/>
  <c r="I417" i="23"/>
  <c r="I416" i="23"/>
  <c r="I408" i="23"/>
  <c r="I400" i="23"/>
  <c r="I409" i="23"/>
  <c r="I394" i="23"/>
  <c r="I386" i="23"/>
  <c r="I378" i="23"/>
  <c r="I370" i="23"/>
  <c r="I441" i="23"/>
  <c r="I425" i="23"/>
  <c r="I393" i="23"/>
  <c r="I385" i="23"/>
  <c r="I377" i="23"/>
  <c r="I369" i="23"/>
  <c r="I361" i="23"/>
  <c r="I406" i="23"/>
  <c r="I392" i="23"/>
  <c r="I384" i="23"/>
  <c r="I376" i="23"/>
  <c r="I368" i="23"/>
  <c r="I360" i="23"/>
  <c r="I440" i="23"/>
  <c r="I411" i="23"/>
  <c r="I403" i="23"/>
  <c r="I401" i="23"/>
  <c r="I399" i="23"/>
  <c r="I391" i="23"/>
  <c r="I383" i="23"/>
  <c r="I375" i="23"/>
  <c r="I367" i="23"/>
  <c r="I407" i="23"/>
  <c r="I396" i="23"/>
  <c r="I388" i="23"/>
  <c r="I380" i="23"/>
  <c r="I372" i="23"/>
  <c r="I364" i="23"/>
  <c r="I395" i="23"/>
  <c r="I390" i="23"/>
  <c r="I389" i="23"/>
  <c r="I387" i="23"/>
  <c r="I362" i="23"/>
  <c r="I359" i="23"/>
  <c r="I356" i="23"/>
  <c r="I348" i="23"/>
  <c r="I340" i="23"/>
  <c r="I332" i="23"/>
  <c r="I415" i="23"/>
  <c r="I382" i="23"/>
  <c r="I365" i="23"/>
  <c r="I355" i="23"/>
  <c r="I347" i="23"/>
  <c r="I354" i="23"/>
  <c r="I346" i="23"/>
  <c r="I338" i="23"/>
  <c r="I330" i="23"/>
  <c r="I373" i="23"/>
  <c r="I363" i="23"/>
  <c r="I353" i="23"/>
  <c r="I345" i="23"/>
  <c r="I337" i="23"/>
  <c r="I329" i="23"/>
  <c r="I379" i="23"/>
  <c r="I358" i="23"/>
  <c r="I350" i="23"/>
  <c r="I342" i="23"/>
  <c r="I334" i="23"/>
  <c r="I326" i="23"/>
  <c r="I351" i="23"/>
  <c r="I318" i="23"/>
  <c r="I349" i="23"/>
  <c r="I327" i="23"/>
  <c r="I344" i="23"/>
  <c r="I343" i="23"/>
  <c r="I341" i="23"/>
  <c r="I339" i="23"/>
  <c r="I336" i="23"/>
  <c r="I335" i="23"/>
  <c r="I333" i="23"/>
  <c r="I331" i="23"/>
  <c r="I325" i="23"/>
  <c r="I397" i="23"/>
  <c r="I381" i="23"/>
  <c r="I357" i="23"/>
  <c r="I324" i="23"/>
  <c r="I323" i="23"/>
  <c r="I315" i="23"/>
  <c r="I398" i="23"/>
  <c r="I366" i="23"/>
  <c r="I307" i="23"/>
  <c r="I299" i="23"/>
  <c r="I291" i="23"/>
  <c r="I283" i="23"/>
  <c r="I316" i="23"/>
  <c r="I306" i="23"/>
  <c r="I298" i="23"/>
  <c r="I290" i="23"/>
  <c r="I282" i="23"/>
  <c r="I352" i="23"/>
  <c r="I320" i="23"/>
  <c r="I305" i="23"/>
  <c r="I297" i="23"/>
  <c r="I289" i="23"/>
  <c r="I281" i="23"/>
  <c r="I374" i="23"/>
  <c r="I322" i="23"/>
  <c r="I312" i="23"/>
  <c r="I371" i="23"/>
  <c r="I311" i="23"/>
  <c r="I303" i="23"/>
  <c r="I295" i="23"/>
  <c r="I287" i="23"/>
  <c r="I279" i="23"/>
  <c r="I328" i="23"/>
  <c r="I321" i="23"/>
  <c r="I317" i="23"/>
  <c r="I314" i="23"/>
  <c r="I310" i="23"/>
  <c r="I302" i="23"/>
  <c r="I294" i="23"/>
  <c r="I286" i="23"/>
  <c r="I402" i="23"/>
  <c r="I300" i="23"/>
  <c r="I288" i="23"/>
  <c r="I285" i="23"/>
  <c r="I271" i="23"/>
  <c r="I263" i="23"/>
  <c r="I255" i="23"/>
  <c r="I313" i="23"/>
  <c r="I270" i="23"/>
  <c r="I262" i="23"/>
  <c r="I254" i="23"/>
  <c r="I246" i="23"/>
  <c r="I296" i="23"/>
  <c r="I293" i="23"/>
  <c r="I280" i="23"/>
  <c r="I269" i="23"/>
  <c r="I261" i="23"/>
  <c r="I253" i="23"/>
  <c r="I245" i="23"/>
  <c r="I277" i="23"/>
  <c r="I304" i="23"/>
  <c r="I301" i="23"/>
  <c r="I284" i="23"/>
  <c r="I276" i="23"/>
  <c r="I275" i="23"/>
  <c r="I267" i="23"/>
  <c r="I259" i="23"/>
  <c r="I319" i="23"/>
  <c r="I309" i="23"/>
  <c r="I308" i="23"/>
  <c r="I278" i="23"/>
  <c r="I274" i="23"/>
  <c r="I266" i="23"/>
  <c r="I258" i="23"/>
  <c r="I250" i="23"/>
  <c r="I292" i="23"/>
  <c r="I273" i="23"/>
  <c r="I265" i="23"/>
  <c r="I257" i="23"/>
  <c r="I249" i="23"/>
  <c r="I241" i="23"/>
  <c r="I268" i="23"/>
  <c r="I237" i="23"/>
  <c r="I229" i="23"/>
  <c r="I221" i="23"/>
  <c r="I213" i="23"/>
  <c r="I205" i="23"/>
  <c r="I252" i="23"/>
  <c r="I236" i="23"/>
  <c r="I228" i="23"/>
  <c r="I220" i="23"/>
  <c r="I212" i="23"/>
  <c r="I272" i="23"/>
  <c r="I256" i="23"/>
  <c r="I235" i="23"/>
  <c r="I227" i="23"/>
  <c r="I219" i="23"/>
  <c r="I211" i="23"/>
  <c r="I203" i="23"/>
  <c r="I247" i="23"/>
  <c r="I243" i="23"/>
  <c r="I234" i="23"/>
  <c r="I226" i="23"/>
  <c r="I218" i="23"/>
  <c r="I210" i="23"/>
  <c r="I260" i="23"/>
  <c r="I251" i="23"/>
  <c r="I248" i="23"/>
  <c r="I244" i="23"/>
  <c r="I233" i="23"/>
  <c r="I225" i="23"/>
  <c r="I217" i="23"/>
  <c r="I209" i="23"/>
  <c r="I240" i="23"/>
  <c r="I232" i="23"/>
  <c r="I264" i="23"/>
  <c r="I242" i="23"/>
  <c r="I239" i="23"/>
  <c r="I231" i="23"/>
  <c r="I223" i="23"/>
  <c r="I215" i="23"/>
  <c r="I207" i="23"/>
  <c r="I199" i="23"/>
  <c r="I238" i="23"/>
  <c r="I230" i="23"/>
  <c r="I222" i="23"/>
  <c r="I214" i="23"/>
  <c r="I192" i="23"/>
  <c r="I184" i="23"/>
  <c r="I176" i="23"/>
  <c r="I168" i="23"/>
  <c r="I160" i="23"/>
  <c r="I224" i="23"/>
  <c r="I191" i="23"/>
  <c r="I183" i="23"/>
  <c r="I175" i="23"/>
  <c r="I167" i="23"/>
  <c r="I159" i="23"/>
  <c r="I198" i="23"/>
  <c r="I190" i="23"/>
  <c r="I182" i="23"/>
  <c r="I174" i="23"/>
  <c r="I166" i="23"/>
  <c r="I158" i="23"/>
  <c r="I216" i="23"/>
  <c r="I202" i="23"/>
  <c r="I200" i="23"/>
  <c r="I197" i="23"/>
  <c r="I189" i="23"/>
  <c r="I181" i="23"/>
  <c r="I173" i="23"/>
  <c r="I165" i="23"/>
  <c r="I157" i="23"/>
  <c r="I201" i="23"/>
  <c r="I208" i="23"/>
  <c r="I206" i="23"/>
  <c r="I195" i="23"/>
  <c r="I187" i="23"/>
  <c r="I179" i="23"/>
  <c r="I171" i="23"/>
  <c r="I163" i="23"/>
  <c r="I204" i="23"/>
  <c r="I194" i="23"/>
  <c r="I186" i="23"/>
  <c r="I178" i="23"/>
  <c r="I170" i="23"/>
  <c r="I162" i="23"/>
  <c r="I154" i="23"/>
  <c r="I193" i="23"/>
  <c r="I185" i="23"/>
  <c r="I177" i="23"/>
  <c r="I169" i="23"/>
  <c r="I161" i="23"/>
  <c r="I172" i="23"/>
  <c r="I146" i="23"/>
  <c r="I138" i="23"/>
  <c r="I130" i="23"/>
  <c r="I122" i="23"/>
  <c r="I156" i="23"/>
  <c r="I155" i="23"/>
  <c r="I145" i="23"/>
  <c r="I137" i="23"/>
  <c r="I129" i="23"/>
  <c r="I121" i="23"/>
  <c r="I113" i="23"/>
  <c r="I196" i="23"/>
  <c r="I164" i="23"/>
  <c r="I144" i="23"/>
  <c r="I136" i="23"/>
  <c r="I128" i="23"/>
  <c r="I120" i="23"/>
  <c r="I112" i="23"/>
  <c r="I151" i="23"/>
  <c r="I143" i="23"/>
  <c r="I135" i="23"/>
  <c r="I127" i="23"/>
  <c r="I119" i="23"/>
  <c r="I111" i="23"/>
  <c r="I188" i="23"/>
  <c r="I152" i="23"/>
  <c r="I150" i="23"/>
  <c r="I142" i="23"/>
  <c r="I134" i="23"/>
  <c r="I126" i="23"/>
  <c r="I118" i="23"/>
  <c r="I110" i="23"/>
  <c r="I153" i="23"/>
  <c r="I149" i="23"/>
  <c r="I141" i="23"/>
  <c r="I133" i="23"/>
  <c r="I125" i="23"/>
  <c r="I117" i="23"/>
  <c r="I109" i="23"/>
  <c r="I180" i="23"/>
  <c r="I148" i="23"/>
  <c r="I140" i="23"/>
  <c r="I132" i="23"/>
  <c r="I124" i="23"/>
  <c r="I116" i="23"/>
  <c r="I147" i="23"/>
  <c r="I139" i="23"/>
  <c r="I131" i="23"/>
  <c r="I123" i="23"/>
  <c r="I115" i="23"/>
  <c r="I108" i="23"/>
  <c r="I100" i="23"/>
  <c r="I92" i="23"/>
  <c r="I84" i="23"/>
  <c r="I76" i="23"/>
  <c r="I107" i="23"/>
  <c r="I99" i="23"/>
  <c r="I91" i="23"/>
  <c r="I83" i="23"/>
  <c r="I75" i="23"/>
  <c r="I67" i="23"/>
  <c r="I59" i="23"/>
  <c r="I106" i="23"/>
  <c r="I98" i="23"/>
  <c r="I90" i="23"/>
  <c r="I82" i="23"/>
  <c r="I74" i="23"/>
  <c r="I66" i="23"/>
  <c r="I58" i="23"/>
  <c r="I105" i="23"/>
  <c r="I97" i="23"/>
  <c r="I89" i="23"/>
  <c r="I81" i="23"/>
  <c r="I73" i="23"/>
  <c r="I65" i="23"/>
  <c r="I114" i="23"/>
  <c r="I104" i="23"/>
  <c r="I96" i="23"/>
  <c r="I88" i="23"/>
  <c r="I80" i="23"/>
  <c r="I72" i="23"/>
  <c r="I64" i="23"/>
  <c r="I103" i="23"/>
  <c r="I95" i="23"/>
  <c r="I87" i="23"/>
  <c r="I79" i="23"/>
  <c r="I71" i="23"/>
  <c r="I63" i="23"/>
  <c r="I102" i="23"/>
  <c r="I94" i="23"/>
  <c r="I86" i="23"/>
  <c r="I78" i="23"/>
  <c r="I70" i="23"/>
  <c r="I62" i="23"/>
  <c r="I101" i="23"/>
  <c r="I93" i="23"/>
  <c r="I85" i="23"/>
  <c r="I77" i="23"/>
  <c r="I69" i="23"/>
  <c r="I61" i="23"/>
  <c r="I7" i="23"/>
  <c r="N10" i="23"/>
  <c r="O10" i="23" s="1"/>
  <c r="AL10" i="23"/>
  <c r="AC11" i="23"/>
  <c r="AJ12" i="23"/>
  <c r="AK12" i="23" s="1"/>
  <c r="I15" i="23"/>
  <c r="N18" i="23"/>
  <c r="O18" i="23" s="1"/>
  <c r="AL18" i="23"/>
  <c r="AC19" i="23"/>
  <c r="AJ20" i="23"/>
  <c r="AK20" i="23" s="1"/>
  <c r="AI21" i="23"/>
  <c r="J22" i="23"/>
  <c r="K22" i="23" s="1"/>
  <c r="R22" i="23"/>
  <c r="S22" i="23" s="1"/>
  <c r="Z22" i="23"/>
  <c r="AA22" i="23" s="1"/>
  <c r="I23" i="23"/>
  <c r="Q23" i="23"/>
  <c r="Y23" i="23"/>
  <c r="AF24" i="23"/>
  <c r="AG24" i="23" s="1"/>
  <c r="AE25" i="23"/>
  <c r="N26" i="23"/>
  <c r="O26" i="23" s="1"/>
  <c r="V26" i="23"/>
  <c r="W26" i="23" s="1"/>
  <c r="AL26" i="23"/>
  <c r="M27" i="23"/>
  <c r="U27" i="23"/>
  <c r="AC27" i="23"/>
  <c r="AJ28" i="23"/>
  <c r="AK28" i="23" s="1"/>
  <c r="AI29" i="23"/>
  <c r="J30" i="23"/>
  <c r="K30" i="23" s="1"/>
  <c r="R30" i="23"/>
  <c r="S30" i="23" s="1"/>
  <c r="Z30" i="23"/>
  <c r="AA30" i="23" s="1"/>
  <c r="I31" i="23"/>
  <c r="Q31" i="23"/>
  <c r="Y31" i="23"/>
  <c r="AF32" i="23"/>
  <c r="AG32" i="23" s="1"/>
  <c r="AE33" i="23"/>
  <c r="N34" i="23"/>
  <c r="O34" i="23" s="1"/>
  <c r="V34" i="23"/>
  <c r="W34" i="23" s="1"/>
  <c r="AL34" i="23"/>
  <c r="M35" i="23"/>
  <c r="U35" i="23"/>
  <c r="AC35" i="23"/>
  <c r="AJ36" i="23"/>
  <c r="AK36" i="23" s="1"/>
  <c r="AI37" i="23"/>
  <c r="J38" i="23"/>
  <c r="K38" i="23" s="1"/>
  <c r="R38" i="23"/>
  <c r="S38" i="23" s="1"/>
  <c r="Z38" i="23"/>
  <c r="AA38" i="23" s="1"/>
  <c r="I39" i="23"/>
  <c r="Q39" i="23"/>
  <c r="Y39" i="23"/>
  <c r="AF40" i="23"/>
  <c r="AG40" i="23" s="1"/>
  <c r="AE41" i="23"/>
  <c r="N42" i="23"/>
  <c r="O42" i="23" s="1"/>
  <c r="V42" i="23"/>
  <c r="W42" i="23" s="1"/>
  <c r="AL42" i="23"/>
  <c r="M43" i="23"/>
  <c r="U43" i="23"/>
  <c r="AC43" i="23"/>
  <c r="AJ44" i="23"/>
  <c r="AK44" i="23" s="1"/>
  <c r="AI45" i="23"/>
  <c r="J46" i="23"/>
  <c r="K46" i="23" s="1"/>
  <c r="R46" i="23"/>
  <c r="S46" i="23" s="1"/>
  <c r="Z46" i="23"/>
  <c r="AA46" i="23" s="1"/>
  <c r="I47" i="23"/>
  <c r="Q47" i="23"/>
  <c r="Y47" i="23"/>
  <c r="AF48" i="23"/>
  <c r="AG48" i="23" s="1"/>
  <c r="AE49" i="23"/>
  <c r="N50" i="23"/>
  <c r="O50" i="23" s="1"/>
  <c r="V50" i="23"/>
  <c r="W50" i="23" s="1"/>
  <c r="AL50" i="23"/>
  <c r="M51" i="23"/>
  <c r="U51" i="23"/>
  <c r="AC51" i="23"/>
  <c r="AJ52" i="23"/>
  <c r="AK52" i="23" s="1"/>
  <c r="AI53" i="23"/>
  <c r="J54" i="23"/>
  <c r="K54" i="23" s="1"/>
  <c r="Z54" i="23"/>
  <c r="AA54" i="23" s="1"/>
  <c r="I55" i="23"/>
  <c r="Q55" i="23"/>
  <c r="Y55" i="23"/>
  <c r="AF56" i="23"/>
  <c r="AG56" i="23" s="1"/>
  <c r="Y57" i="23"/>
  <c r="AJ57" i="23"/>
  <c r="AK57" i="23" s="1"/>
  <c r="AI58" i="23"/>
  <c r="V59" i="23"/>
  <c r="W59" i="23" s="1"/>
  <c r="I60" i="23"/>
  <c r="Y60" i="23"/>
  <c r="AE62" i="23"/>
  <c r="AF69" i="23"/>
  <c r="AG69" i="23" s="1"/>
  <c r="R531" i="23"/>
  <c r="S531" i="23" s="1"/>
  <c r="R523" i="23"/>
  <c r="S523" i="23" s="1"/>
  <c r="R515" i="23"/>
  <c r="S515" i="23" s="1"/>
  <c r="R530" i="23"/>
  <c r="S530" i="23" s="1"/>
  <c r="R522" i="23"/>
  <c r="S522" i="23" s="1"/>
  <c r="R514" i="23"/>
  <c r="S514" i="23" s="1"/>
  <c r="R529" i="23"/>
  <c r="S529" i="23" s="1"/>
  <c r="R528" i="23"/>
  <c r="S528" i="23" s="1"/>
  <c r="R527" i="23"/>
  <c r="S527" i="23" s="1"/>
  <c r="R526" i="23"/>
  <c r="S526" i="23" s="1"/>
  <c r="R525" i="23"/>
  <c r="S525" i="23" s="1"/>
  <c r="R524" i="23"/>
  <c r="S524" i="23" s="1"/>
  <c r="R507" i="23"/>
  <c r="S507" i="23" s="1"/>
  <c r="R503" i="23"/>
  <c r="S503" i="23" s="1"/>
  <c r="R502" i="23"/>
  <c r="S502" i="23" s="1"/>
  <c r="R519" i="23"/>
  <c r="S519" i="23" s="1"/>
  <c r="R518" i="23"/>
  <c r="S518" i="23" s="1"/>
  <c r="R499" i="23"/>
  <c r="S499" i="23" s="1"/>
  <c r="R520" i="23"/>
  <c r="S520" i="23" s="1"/>
  <c r="R511" i="23"/>
  <c r="S511" i="23" s="1"/>
  <c r="R506" i="23"/>
  <c r="S506" i="23" s="1"/>
  <c r="R498" i="23"/>
  <c r="S498" i="23" s="1"/>
  <c r="R517" i="23"/>
  <c r="S517" i="23" s="1"/>
  <c r="R513" i="23"/>
  <c r="S513" i="23" s="1"/>
  <c r="R505" i="23"/>
  <c r="S505" i="23" s="1"/>
  <c r="R497" i="23"/>
  <c r="S497" i="23" s="1"/>
  <c r="R510" i="23"/>
  <c r="S510" i="23" s="1"/>
  <c r="R504" i="23"/>
  <c r="S504" i="23" s="1"/>
  <c r="R496" i="23"/>
  <c r="S496" i="23" s="1"/>
  <c r="R495" i="23"/>
  <c r="S495" i="23" s="1"/>
  <c r="R487" i="23"/>
  <c r="S487" i="23" s="1"/>
  <c r="R509" i="23"/>
  <c r="S509" i="23" s="1"/>
  <c r="R494" i="23"/>
  <c r="S494" i="23" s="1"/>
  <c r="R486" i="23"/>
  <c r="S486" i="23" s="1"/>
  <c r="R516" i="23"/>
  <c r="S516" i="23" s="1"/>
  <c r="R512" i="23"/>
  <c r="S512" i="23" s="1"/>
  <c r="R492" i="23"/>
  <c r="S492" i="23" s="1"/>
  <c r="R501" i="23"/>
  <c r="S501" i="23" s="1"/>
  <c r="R491" i="23"/>
  <c r="S491" i="23" s="1"/>
  <c r="R483" i="23"/>
  <c r="S483" i="23" s="1"/>
  <c r="R521" i="23"/>
  <c r="S521" i="23" s="1"/>
  <c r="R490" i="23"/>
  <c r="S490" i="23" s="1"/>
  <c r="R482" i="23"/>
  <c r="S482" i="23" s="1"/>
  <c r="R489" i="23"/>
  <c r="S489" i="23" s="1"/>
  <c r="R481" i="23"/>
  <c r="S481" i="23" s="1"/>
  <c r="R477" i="23"/>
  <c r="S477" i="23" s="1"/>
  <c r="R469" i="23"/>
  <c r="S469" i="23" s="1"/>
  <c r="R488" i="23"/>
  <c r="S488" i="23" s="1"/>
  <c r="R485" i="23"/>
  <c r="S485" i="23" s="1"/>
  <c r="R476" i="23"/>
  <c r="S476" i="23" s="1"/>
  <c r="R468" i="23"/>
  <c r="S468" i="23" s="1"/>
  <c r="R480" i="23"/>
  <c r="S480" i="23" s="1"/>
  <c r="R475" i="23"/>
  <c r="S475" i="23" s="1"/>
  <c r="R467" i="23"/>
  <c r="S467" i="23" s="1"/>
  <c r="R508" i="23"/>
  <c r="S508" i="23" s="1"/>
  <c r="R479" i="23"/>
  <c r="S479" i="23" s="1"/>
  <c r="R474" i="23"/>
  <c r="S474" i="23" s="1"/>
  <c r="R484" i="23"/>
  <c r="S484" i="23" s="1"/>
  <c r="R473" i="23"/>
  <c r="S473" i="23" s="1"/>
  <c r="R465" i="23"/>
  <c r="S465" i="23" s="1"/>
  <c r="R500" i="23"/>
  <c r="S500" i="23" s="1"/>
  <c r="R493" i="23"/>
  <c r="S493" i="23" s="1"/>
  <c r="R472" i="23"/>
  <c r="S472" i="23" s="1"/>
  <c r="R464" i="23"/>
  <c r="S464" i="23" s="1"/>
  <c r="R471" i="23"/>
  <c r="S471" i="23" s="1"/>
  <c r="R466" i="23"/>
  <c r="S466" i="23" s="1"/>
  <c r="R459" i="23"/>
  <c r="S459" i="23" s="1"/>
  <c r="R454" i="23"/>
  <c r="S454" i="23" s="1"/>
  <c r="R446" i="23"/>
  <c r="S446" i="23" s="1"/>
  <c r="R463" i="23"/>
  <c r="S463" i="23" s="1"/>
  <c r="R460" i="23"/>
  <c r="S460" i="23" s="1"/>
  <c r="R453" i="23"/>
  <c r="S453" i="23" s="1"/>
  <c r="R445" i="23"/>
  <c r="S445" i="23" s="1"/>
  <c r="R452" i="23"/>
  <c r="S452" i="23" s="1"/>
  <c r="R444" i="23"/>
  <c r="S444" i="23" s="1"/>
  <c r="R451" i="23"/>
  <c r="S451" i="23" s="1"/>
  <c r="R461" i="23"/>
  <c r="S461" i="23" s="1"/>
  <c r="R450" i="23"/>
  <c r="S450" i="23" s="1"/>
  <c r="R442" i="23"/>
  <c r="S442" i="23" s="1"/>
  <c r="R478" i="23"/>
  <c r="S478" i="23" s="1"/>
  <c r="R457" i="23"/>
  <c r="S457" i="23" s="1"/>
  <c r="R449" i="23"/>
  <c r="S449" i="23" s="1"/>
  <c r="R458" i="23"/>
  <c r="S458" i="23" s="1"/>
  <c r="R456" i="23"/>
  <c r="S456" i="23" s="1"/>
  <c r="R448" i="23"/>
  <c r="S448" i="23" s="1"/>
  <c r="R455" i="23"/>
  <c r="S455" i="23" s="1"/>
  <c r="R438" i="23"/>
  <c r="S438" i="23" s="1"/>
  <c r="R430" i="23"/>
  <c r="S430" i="23" s="1"/>
  <c r="R437" i="23"/>
  <c r="S437" i="23" s="1"/>
  <c r="R429" i="23"/>
  <c r="S429" i="23" s="1"/>
  <c r="R421" i="23"/>
  <c r="S421" i="23" s="1"/>
  <c r="R462" i="23"/>
  <c r="S462" i="23" s="1"/>
  <c r="R447" i="23"/>
  <c r="S447" i="23" s="1"/>
  <c r="R436" i="23"/>
  <c r="S436" i="23" s="1"/>
  <c r="R428" i="23"/>
  <c r="S428" i="23" s="1"/>
  <c r="R470" i="23"/>
  <c r="S470" i="23" s="1"/>
  <c r="R443" i="23"/>
  <c r="S443" i="23" s="1"/>
  <c r="R435" i="23"/>
  <c r="S435" i="23" s="1"/>
  <c r="R427" i="23"/>
  <c r="S427" i="23" s="1"/>
  <c r="R434" i="23"/>
  <c r="S434" i="23" s="1"/>
  <c r="R426" i="23"/>
  <c r="S426" i="23" s="1"/>
  <c r="R433" i="23"/>
  <c r="S433" i="23" s="1"/>
  <c r="R425" i="23"/>
  <c r="S425" i="23" s="1"/>
  <c r="R422" i="23"/>
  <c r="S422" i="23" s="1"/>
  <c r="R420" i="23"/>
  <c r="S420" i="23" s="1"/>
  <c r="R413" i="23"/>
  <c r="S413" i="23" s="1"/>
  <c r="R412" i="23"/>
  <c r="S412" i="23" s="1"/>
  <c r="R404" i="23"/>
  <c r="S404" i="23" s="1"/>
  <c r="R440" i="23"/>
  <c r="S440" i="23" s="1"/>
  <c r="R439" i="23"/>
  <c r="S439" i="23" s="1"/>
  <c r="R419" i="23"/>
  <c r="S419" i="23" s="1"/>
  <c r="R411" i="23"/>
  <c r="S411" i="23" s="1"/>
  <c r="R403" i="23"/>
  <c r="S403" i="23" s="1"/>
  <c r="R441" i="23"/>
  <c r="S441" i="23" s="1"/>
  <c r="R424" i="23"/>
  <c r="S424" i="23" s="1"/>
  <c r="R418" i="23"/>
  <c r="S418" i="23" s="1"/>
  <c r="R417" i="23"/>
  <c r="S417" i="23" s="1"/>
  <c r="R409" i="23"/>
  <c r="S409" i="23" s="1"/>
  <c r="R416" i="23"/>
  <c r="S416" i="23" s="1"/>
  <c r="R432" i="23"/>
  <c r="S432" i="23" s="1"/>
  <c r="R431" i="23"/>
  <c r="S431" i="23" s="1"/>
  <c r="R423" i="23"/>
  <c r="S423" i="23" s="1"/>
  <c r="R415" i="23"/>
  <c r="S415" i="23" s="1"/>
  <c r="R407" i="23"/>
  <c r="S407" i="23" s="1"/>
  <c r="R393" i="23"/>
  <c r="S393" i="23" s="1"/>
  <c r="R385" i="23"/>
  <c r="S385" i="23" s="1"/>
  <c r="R377" i="23"/>
  <c r="S377" i="23" s="1"/>
  <c r="R369" i="23"/>
  <c r="S369" i="23" s="1"/>
  <c r="R392" i="23"/>
  <c r="S392" i="23" s="1"/>
  <c r="R384" i="23"/>
  <c r="S384" i="23" s="1"/>
  <c r="R376" i="23"/>
  <c r="S376" i="23" s="1"/>
  <c r="R368" i="23"/>
  <c r="S368" i="23" s="1"/>
  <c r="R360" i="23"/>
  <c r="S360" i="23" s="1"/>
  <c r="R401" i="23"/>
  <c r="S401" i="23" s="1"/>
  <c r="R399" i="23"/>
  <c r="S399" i="23" s="1"/>
  <c r="R391" i="23"/>
  <c r="S391" i="23" s="1"/>
  <c r="R383" i="23"/>
  <c r="S383" i="23" s="1"/>
  <c r="R375" i="23"/>
  <c r="S375" i="23" s="1"/>
  <c r="R367" i="23"/>
  <c r="S367" i="23" s="1"/>
  <c r="R405" i="23"/>
  <c r="S405" i="23" s="1"/>
  <c r="R398" i="23"/>
  <c r="S398" i="23" s="1"/>
  <c r="R390" i="23"/>
  <c r="S390" i="23" s="1"/>
  <c r="R382" i="23"/>
  <c r="S382" i="23" s="1"/>
  <c r="R374" i="23"/>
  <c r="S374" i="23" s="1"/>
  <c r="R366" i="23"/>
  <c r="S366" i="23" s="1"/>
  <c r="R410" i="23"/>
  <c r="S410" i="23" s="1"/>
  <c r="R395" i="23"/>
  <c r="S395" i="23" s="1"/>
  <c r="R387" i="23"/>
  <c r="S387" i="23" s="1"/>
  <c r="R379" i="23"/>
  <c r="S379" i="23" s="1"/>
  <c r="R371" i="23"/>
  <c r="S371" i="23" s="1"/>
  <c r="R363" i="23"/>
  <c r="S363" i="23" s="1"/>
  <c r="R414" i="23"/>
  <c r="S414" i="23" s="1"/>
  <c r="R394" i="23"/>
  <c r="S394" i="23" s="1"/>
  <c r="R370" i="23"/>
  <c r="S370" i="23" s="1"/>
  <c r="R361" i="23"/>
  <c r="S361" i="23" s="1"/>
  <c r="R359" i="23"/>
  <c r="S359" i="23" s="1"/>
  <c r="R355" i="23"/>
  <c r="S355" i="23" s="1"/>
  <c r="R347" i="23"/>
  <c r="S347" i="23" s="1"/>
  <c r="R339" i="23"/>
  <c r="S339" i="23" s="1"/>
  <c r="R331" i="23"/>
  <c r="S331" i="23" s="1"/>
  <c r="R408" i="23"/>
  <c r="S408" i="23" s="1"/>
  <c r="R402" i="23"/>
  <c r="S402" i="23" s="1"/>
  <c r="R400" i="23"/>
  <c r="S400" i="23" s="1"/>
  <c r="R380" i="23"/>
  <c r="S380" i="23" s="1"/>
  <c r="R354" i="23"/>
  <c r="S354" i="23" s="1"/>
  <c r="R378" i="23"/>
  <c r="S378" i="23" s="1"/>
  <c r="R362" i="23"/>
  <c r="S362" i="23" s="1"/>
  <c r="R353" i="23"/>
  <c r="S353" i="23" s="1"/>
  <c r="R345" i="23"/>
  <c r="S345" i="23" s="1"/>
  <c r="R337" i="23"/>
  <c r="S337" i="23" s="1"/>
  <c r="R329" i="23"/>
  <c r="S329" i="23" s="1"/>
  <c r="R389" i="23"/>
  <c r="S389" i="23" s="1"/>
  <c r="R388" i="23"/>
  <c r="S388" i="23" s="1"/>
  <c r="R365" i="23"/>
  <c r="S365" i="23" s="1"/>
  <c r="R352" i="23"/>
  <c r="S352" i="23" s="1"/>
  <c r="R344" i="23"/>
  <c r="S344" i="23" s="1"/>
  <c r="R336" i="23"/>
  <c r="S336" i="23" s="1"/>
  <c r="R328" i="23"/>
  <c r="S328" i="23" s="1"/>
  <c r="R357" i="23"/>
  <c r="S357" i="23" s="1"/>
  <c r="R349" i="23"/>
  <c r="S349" i="23" s="1"/>
  <c r="R341" i="23"/>
  <c r="S341" i="23" s="1"/>
  <c r="R333" i="23"/>
  <c r="S333" i="23" s="1"/>
  <c r="R325" i="23"/>
  <c r="S325" i="23" s="1"/>
  <c r="R406" i="23"/>
  <c r="S406" i="23" s="1"/>
  <c r="R397" i="23"/>
  <c r="S397" i="23" s="1"/>
  <c r="R346" i="23"/>
  <c r="S346" i="23" s="1"/>
  <c r="R342" i="23"/>
  <c r="S342" i="23" s="1"/>
  <c r="R338" i="23"/>
  <c r="S338" i="23" s="1"/>
  <c r="R334" i="23"/>
  <c r="S334" i="23" s="1"/>
  <c r="R330" i="23"/>
  <c r="S330" i="23" s="1"/>
  <c r="R317" i="23"/>
  <c r="S317" i="23" s="1"/>
  <c r="R327" i="23"/>
  <c r="S327" i="23" s="1"/>
  <c r="R396" i="23"/>
  <c r="S396" i="23" s="1"/>
  <c r="R351" i="23"/>
  <c r="S351" i="23" s="1"/>
  <c r="R326" i="23"/>
  <c r="S326" i="23" s="1"/>
  <c r="R323" i="23"/>
  <c r="S323" i="23" s="1"/>
  <c r="R386" i="23"/>
  <c r="S386" i="23" s="1"/>
  <c r="R343" i="23"/>
  <c r="S343" i="23" s="1"/>
  <c r="R335" i="23"/>
  <c r="S335" i="23" s="1"/>
  <c r="R322" i="23"/>
  <c r="S322" i="23" s="1"/>
  <c r="R314" i="23"/>
  <c r="S314" i="23" s="1"/>
  <c r="R381" i="23"/>
  <c r="S381" i="23" s="1"/>
  <c r="R372" i="23"/>
  <c r="S372" i="23" s="1"/>
  <c r="R356" i="23"/>
  <c r="S356" i="23" s="1"/>
  <c r="R340" i="23"/>
  <c r="S340" i="23" s="1"/>
  <c r="R332" i="23"/>
  <c r="S332" i="23" s="1"/>
  <c r="R364" i="23"/>
  <c r="S364" i="23" s="1"/>
  <c r="R358" i="23"/>
  <c r="S358" i="23" s="1"/>
  <c r="R348" i="23"/>
  <c r="S348" i="23" s="1"/>
  <c r="R324" i="23"/>
  <c r="S324" i="23" s="1"/>
  <c r="R313" i="23"/>
  <c r="S313" i="23" s="1"/>
  <c r="R306" i="23"/>
  <c r="S306" i="23" s="1"/>
  <c r="R298" i="23"/>
  <c r="S298" i="23" s="1"/>
  <c r="R290" i="23"/>
  <c r="S290" i="23" s="1"/>
  <c r="R282" i="23"/>
  <c r="S282" i="23" s="1"/>
  <c r="R319" i="23"/>
  <c r="S319" i="23" s="1"/>
  <c r="R316" i="23"/>
  <c r="S316" i="23" s="1"/>
  <c r="R305" i="23"/>
  <c r="S305" i="23" s="1"/>
  <c r="R297" i="23"/>
  <c r="S297" i="23" s="1"/>
  <c r="R289" i="23"/>
  <c r="S289" i="23" s="1"/>
  <c r="R281" i="23"/>
  <c r="S281" i="23" s="1"/>
  <c r="R373" i="23"/>
  <c r="S373" i="23" s="1"/>
  <c r="R304" i="23"/>
  <c r="S304" i="23" s="1"/>
  <c r="R296" i="23"/>
  <c r="S296" i="23" s="1"/>
  <c r="R288" i="23"/>
  <c r="S288" i="23" s="1"/>
  <c r="R280" i="23"/>
  <c r="S280" i="23" s="1"/>
  <c r="R312" i="23"/>
  <c r="S312" i="23" s="1"/>
  <c r="R311" i="23"/>
  <c r="S311" i="23" s="1"/>
  <c r="R320" i="23"/>
  <c r="S320" i="23" s="1"/>
  <c r="R310" i="23"/>
  <c r="S310" i="23" s="1"/>
  <c r="R302" i="23"/>
  <c r="S302" i="23" s="1"/>
  <c r="R294" i="23"/>
  <c r="S294" i="23" s="1"/>
  <c r="R286" i="23"/>
  <c r="S286" i="23" s="1"/>
  <c r="R350" i="23"/>
  <c r="S350" i="23" s="1"/>
  <c r="R315" i="23"/>
  <c r="S315" i="23" s="1"/>
  <c r="R309" i="23"/>
  <c r="S309" i="23" s="1"/>
  <c r="R301" i="23"/>
  <c r="S301" i="23" s="1"/>
  <c r="R293" i="23"/>
  <c r="S293" i="23" s="1"/>
  <c r="R285" i="23"/>
  <c r="S285" i="23" s="1"/>
  <c r="R321" i="23"/>
  <c r="S321" i="23" s="1"/>
  <c r="R295" i="23"/>
  <c r="S295" i="23" s="1"/>
  <c r="R308" i="23"/>
  <c r="S308" i="23" s="1"/>
  <c r="R307" i="23"/>
  <c r="S307" i="23" s="1"/>
  <c r="R292" i="23"/>
  <c r="S292" i="23" s="1"/>
  <c r="R279" i="23"/>
  <c r="S279" i="23" s="1"/>
  <c r="R270" i="23"/>
  <c r="S270" i="23" s="1"/>
  <c r="R262" i="23"/>
  <c r="S262" i="23" s="1"/>
  <c r="R254" i="23"/>
  <c r="S254" i="23" s="1"/>
  <c r="R303" i="23"/>
  <c r="S303" i="23" s="1"/>
  <c r="R269" i="23"/>
  <c r="S269" i="23" s="1"/>
  <c r="R261" i="23"/>
  <c r="S261" i="23" s="1"/>
  <c r="R253" i="23"/>
  <c r="S253" i="23" s="1"/>
  <c r="R245" i="23"/>
  <c r="S245" i="23" s="1"/>
  <c r="R300" i="23"/>
  <c r="S300" i="23" s="1"/>
  <c r="R283" i="23"/>
  <c r="S283" i="23" s="1"/>
  <c r="R268" i="23"/>
  <c r="S268" i="23" s="1"/>
  <c r="R260" i="23"/>
  <c r="S260" i="23" s="1"/>
  <c r="R252" i="23"/>
  <c r="S252" i="23" s="1"/>
  <c r="R244" i="23"/>
  <c r="S244" i="23" s="1"/>
  <c r="R291" i="23"/>
  <c r="S291" i="23" s="1"/>
  <c r="R275" i="23"/>
  <c r="S275" i="23" s="1"/>
  <c r="R274" i="23"/>
  <c r="S274" i="23" s="1"/>
  <c r="R266" i="23"/>
  <c r="S266" i="23" s="1"/>
  <c r="R258" i="23"/>
  <c r="S258" i="23" s="1"/>
  <c r="R299" i="23"/>
  <c r="S299" i="23" s="1"/>
  <c r="R287" i="23"/>
  <c r="S287" i="23" s="1"/>
  <c r="R277" i="23"/>
  <c r="S277" i="23" s="1"/>
  <c r="R276" i="23"/>
  <c r="S276" i="23" s="1"/>
  <c r="R273" i="23"/>
  <c r="S273" i="23" s="1"/>
  <c r="R265" i="23"/>
  <c r="S265" i="23" s="1"/>
  <c r="R257" i="23"/>
  <c r="S257" i="23" s="1"/>
  <c r="R249" i="23"/>
  <c r="S249" i="23" s="1"/>
  <c r="R318" i="23"/>
  <c r="S318" i="23" s="1"/>
  <c r="R284" i="23"/>
  <c r="S284" i="23" s="1"/>
  <c r="R278" i="23"/>
  <c r="S278" i="23" s="1"/>
  <c r="R272" i="23"/>
  <c r="S272" i="23" s="1"/>
  <c r="R264" i="23"/>
  <c r="S264" i="23" s="1"/>
  <c r="R256" i="23"/>
  <c r="S256" i="23" s="1"/>
  <c r="R248" i="23"/>
  <c r="S248" i="23" s="1"/>
  <c r="R263" i="23"/>
  <c r="S263" i="23" s="1"/>
  <c r="R236" i="23"/>
  <c r="S236" i="23" s="1"/>
  <c r="R228" i="23"/>
  <c r="S228" i="23" s="1"/>
  <c r="R220" i="23"/>
  <c r="S220" i="23" s="1"/>
  <c r="R212" i="23"/>
  <c r="S212" i="23" s="1"/>
  <c r="R204" i="23"/>
  <c r="S204" i="23" s="1"/>
  <c r="R235" i="23"/>
  <c r="S235" i="23" s="1"/>
  <c r="R227" i="23"/>
  <c r="S227" i="23" s="1"/>
  <c r="R219" i="23"/>
  <c r="S219" i="23" s="1"/>
  <c r="R211" i="23"/>
  <c r="S211" i="23" s="1"/>
  <c r="R267" i="23"/>
  <c r="S267" i="23" s="1"/>
  <c r="R234" i="23"/>
  <c r="S234" i="23" s="1"/>
  <c r="R226" i="23"/>
  <c r="S226" i="23" s="1"/>
  <c r="R218" i="23"/>
  <c r="S218" i="23" s="1"/>
  <c r="R210" i="23"/>
  <c r="S210" i="23" s="1"/>
  <c r="R202" i="23"/>
  <c r="S202" i="23" s="1"/>
  <c r="R250" i="23"/>
  <c r="S250" i="23" s="1"/>
  <c r="R246" i="23"/>
  <c r="S246" i="23" s="1"/>
  <c r="R233" i="23"/>
  <c r="S233" i="23" s="1"/>
  <c r="R225" i="23"/>
  <c r="S225" i="23" s="1"/>
  <c r="R217" i="23"/>
  <c r="S217" i="23" s="1"/>
  <c r="R209" i="23"/>
  <c r="S209" i="23" s="1"/>
  <c r="R271" i="23"/>
  <c r="S271" i="23" s="1"/>
  <c r="R255" i="23"/>
  <c r="S255" i="23" s="1"/>
  <c r="R247" i="23"/>
  <c r="S247" i="23" s="1"/>
  <c r="R243" i="23"/>
  <c r="S243" i="23" s="1"/>
  <c r="R240" i="23"/>
  <c r="S240" i="23" s="1"/>
  <c r="R232" i="23"/>
  <c r="S232" i="23" s="1"/>
  <c r="R224" i="23"/>
  <c r="S224" i="23" s="1"/>
  <c r="R216" i="23"/>
  <c r="S216" i="23" s="1"/>
  <c r="R208" i="23"/>
  <c r="S208" i="23" s="1"/>
  <c r="R239" i="23"/>
  <c r="S239" i="23" s="1"/>
  <c r="R231" i="23"/>
  <c r="S231" i="23" s="1"/>
  <c r="R259" i="23"/>
  <c r="S259" i="23" s="1"/>
  <c r="R251" i="23"/>
  <c r="S251" i="23" s="1"/>
  <c r="R242" i="23"/>
  <c r="S242" i="23" s="1"/>
  <c r="R241" i="23"/>
  <c r="S241" i="23" s="1"/>
  <c r="R238" i="23"/>
  <c r="S238" i="23" s="1"/>
  <c r="R230" i="23"/>
  <c r="S230" i="23" s="1"/>
  <c r="R222" i="23"/>
  <c r="S222" i="23" s="1"/>
  <c r="R214" i="23"/>
  <c r="S214" i="23" s="1"/>
  <c r="R206" i="23"/>
  <c r="S206" i="23" s="1"/>
  <c r="R237" i="23"/>
  <c r="S237" i="23" s="1"/>
  <c r="R229" i="23"/>
  <c r="S229" i="23" s="1"/>
  <c r="R221" i="23"/>
  <c r="S221" i="23" s="1"/>
  <c r="R213" i="23"/>
  <c r="S213" i="23" s="1"/>
  <c r="R205" i="23"/>
  <c r="S205" i="23" s="1"/>
  <c r="R191" i="23"/>
  <c r="S191" i="23" s="1"/>
  <c r="R183" i="23"/>
  <c r="S183" i="23" s="1"/>
  <c r="R175" i="23"/>
  <c r="S175" i="23" s="1"/>
  <c r="R167" i="23"/>
  <c r="S167" i="23" s="1"/>
  <c r="R159" i="23"/>
  <c r="S159" i="23" s="1"/>
  <c r="R223" i="23"/>
  <c r="S223" i="23" s="1"/>
  <c r="R198" i="23"/>
  <c r="S198" i="23" s="1"/>
  <c r="R190" i="23"/>
  <c r="S190" i="23" s="1"/>
  <c r="R182" i="23"/>
  <c r="S182" i="23" s="1"/>
  <c r="R174" i="23"/>
  <c r="S174" i="23" s="1"/>
  <c r="R166" i="23"/>
  <c r="S166" i="23" s="1"/>
  <c r="R158" i="23"/>
  <c r="S158" i="23" s="1"/>
  <c r="R200" i="23"/>
  <c r="S200" i="23" s="1"/>
  <c r="R197" i="23"/>
  <c r="S197" i="23" s="1"/>
  <c r="R189" i="23"/>
  <c r="S189" i="23" s="1"/>
  <c r="R181" i="23"/>
  <c r="S181" i="23" s="1"/>
  <c r="R173" i="23"/>
  <c r="S173" i="23" s="1"/>
  <c r="R165" i="23"/>
  <c r="S165" i="23" s="1"/>
  <c r="R157" i="23"/>
  <c r="S157" i="23" s="1"/>
  <c r="R215" i="23"/>
  <c r="S215" i="23" s="1"/>
  <c r="R196" i="23"/>
  <c r="S196" i="23" s="1"/>
  <c r="R188" i="23"/>
  <c r="S188" i="23" s="1"/>
  <c r="R180" i="23"/>
  <c r="S180" i="23" s="1"/>
  <c r="R172" i="23"/>
  <c r="S172" i="23" s="1"/>
  <c r="R164" i="23"/>
  <c r="S164" i="23" s="1"/>
  <c r="R156" i="23"/>
  <c r="S156" i="23" s="1"/>
  <c r="R203" i="23"/>
  <c r="S203" i="23" s="1"/>
  <c r="R201" i="23"/>
  <c r="S201" i="23" s="1"/>
  <c r="R199" i="23"/>
  <c r="S199" i="23" s="1"/>
  <c r="R194" i="23"/>
  <c r="S194" i="23" s="1"/>
  <c r="R186" i="23"/>
  <c r="S186" i="23" s="1"/>
  <c r="R178" i="23"/>
  <c r="S178" i="23" s="1"/>
  <c r="R170" i="23"/>
  <c r="S170" i="23" s="1"/>
  <c r="R162" i="23"/>
  <c r="S162" i="23" s="1"/>
  <c r="R207" i="23"/>
  <c r="S207" i="23" s="1"/>
  <c r="R193" i="23"/>
  <c r="S193" i="23" s="1"/>
  <c r="R185" i="23"/>
  <c r="S185" i="23" s="1"/>
  <c r="R177" i="23"/>
  <c r="S177" i="23" s="1"/>
  <c r="R169" i="23"/>
  <c r="S169" i="23" s="1"/>
  <c r="R161" i="23"/>
  <c r="S161" i="23" s="1"/>
  <c r="R153" i="23"/>
  <c r="S153" i="23" s="1"/>
  <c r="R192" i="23"/>
  <c r="S192" i="23" s="1"/>
  <c r="R184" i="23"/>
  <c r="S184" i="23" s="1"/>
  <c r="R176" i="23"/>
  <c r="S176" i="23" s="1"/>
  <c r="R168" i="23"/>
  <c r="S168" i="23" s="1"/>
  <c r="R160" i="23"/>
  <c r="S160" i="23" s="1"/>
  <c r="R171" i="23"/>
  <c r="S171" i="23" s="1"/>
  <c r="R145" i="23"/>
  <c r="S145" i="23" s="1"/>
  <c r="R137" i="23"/>
  <c r="S137" i="23" s="1"/>
  <c r="R129" i="23"/>
  <c r="S129" i="23" s="1"/>
  <c r="R121" i="23"/>
  <c r="S121" i="23" s="1"/>
  <c r="R144" i="23"/>
  <c r="S144" i="23" s="1"/>
  <c r="R136" i="23"/>
  <c r="S136" i="23" s="1"/>
  <c r="R128" i="23"/>
  <c r="S128" i="23" s="1"/>
  <c r="R120" i="23"/>
  <c r="S120" i="23" s="1"/>
  <c r="R112" i="23"/>
  <c r="S112" i="23" s="1"/>
  <c r="R195" i="23"/>
  <c r="S195" i="23" s="1"/>
  <c r="R163" i="23"/>
  <c r="S163" i="23" s="1"/>
  <c r="R151" i="23"/>
  <c r="S151" i="23" s="1"/>
  <c r="R143" i="23"/>
  <c r="S143" i="23" s="1"/>
  <c r="R135" i="23"/>
  <c r="S135" i="23" s="1"/>
  <c r="R127" i="23"/>
  <c r="S127" i="23" s="1"/>
  <c r="R119" i="23"/>
  <c r="S119" i="23" s="1"/>
  <c r="R150" i="23"/>
  <c r="S150" i="23" s="1"/>
  <c r="R142" i="23"/>
  <c r="S142" i="23" s="1"/>
  <c r="R134" i="23"/>
  <c r="S134" i="23" s="1"/>
  <c r="R126" i="23"/>
  <c r="S126" i="23" s="1"/>
  <c r="R118" i="23"/>
  <c r="S118" i="23" s="1"/>
  <c r="R110" i="23"/>
  <c r="S110" i="23" s="1"/>
  <c r="R187" i="23"/>
  <c r="S187" i="23" s="1"/>
  <c r="R155" i="23"/>
  <c r="S155" i="23" s="1"/>
  <c r="R154" i="23"/>
  <c r="S154" i="23" s="1"/>
  <c r="R149" i="23"/>
  <c r="S149" i="23" s="1"/>
  <c r="R141" i="23"/>
  <c r="S141" i="23" s="1"/>
  <c r="R133" i="23"/>
  <c r="S133" i="23" s="1"/>
  <c r="R125" i="23"/>
  <c r="S125" i="23" s="1"/>
  <c r="R117" i="23"/>
  <c r="S117" i="23" s="1"/>
  <c r="R109" i="23"/>
  <c r="S109" i="23" s="1"/>
  <c r="R152" i="23"/>
  <c r="S152" i="23" s="1"/>
  <c r="R148" i="23"/>
  <c r="S148" i="23" s="1"/>
  <c r="R140" i="23"/>
  <c r="S140" i="23" s="1"/>
  <c r="R132" i="23"/>
  <c r="S132" i="23" s="1"/>
  <c r="R124" i="23"/>
  <c r="S124" i="23" s="1"/>
  <c r="R116" i="23"/>
  <c r="S116" i="23" s="1"/>
  <c r="R108" i="23"/>
  <c r="S108" i="23" s="1"/>
  <c r="R179" i="23"/>
  <c r="S179" i="23" s="1"/>
  <c r="R147" i="23"/>
  <c r="S147" i="23" s="1"/>
  <c r="R139" i="23"/>
  <c r="S139" i="23" s="1"/>
  <c r="R131" i="23"/>
  <c r="S131" i="23" s="1"/>
  <c r="R123" i="23"/>
  <c r="S123" i="23" s="1"/>
  <c r="R115" i="23"/>
  <c r="S115" i="23" s="1"/>
  <c r="R146" i="23"/>
  <c r="S146" i="23" s="1"/>
  <c r="R138" i="23"/>
  <c r="S138" i="23" s="1"/>
  <c r="R130" i="23"/>
  <c r="S130" i="23" s="1"/>
  <c r="R122" i="23"/>
  <c r="S122" i="23" s="1"/>
  <c r="R114" i="23"/>
  <c r="S114" i="23" s="1"/>
  <c r="R111" i="23"/>
  <c r="S111" i="23" s="1"/>
  <c r="R99" i="23"/>
  <c r="S99" i="23" s="1"/>
  <c r="R91" i="23"/>
  <c r="S91" i="23" s="1"/>
  <c r="R83" i="23"/>
  <c r="S83" i="23" s="1"/>
  <c r="R75" i="23"/>
  <c r="S75" i="23" s="1"/>
  <c r="R106" i="23"/>
  <c r="S106" i="23" s="1"/>
  <c r="R98" i="23"/>
  <c r="S98" i="23" s="1"/>
  <c r="R90" i="23"/>
  <c r="S90" i="23" s="1"/>
  <c r="R82" i="23"/>
  <c r="S82" i="23" s="1"/>
  <c r="R74" i="23"/>
  <c r="S74" i="23" s="1"/>
  <c r="R66" i="23"/>
  <c r="S66" i="23" s="1"/>
  <c r="R58" i="23"/>
  <c r="S58" i="23" s="1"/>
  <c r="R107" i="23"/>
  <c r="S107" i="23" s="1"/>
  <c r="R105" i="23"/>
  <c r="S105" i="23" s="1"/>
  <c r="R97" i="23"/>
  <c r="S97" i="23" s="1"/>
  <c r="R89" i="23"/>
  <c r="S89" i="23" s="1"/>
  <c r="R81" i="23"/>
  <c r="S81" i="23" s="1"/>
  <c r="R73" i="23"/>
  <c r="S73" i="23" s="1"/>
  <c r="R65" i="23"/>
  <c r="S65" i="23" s="1"/>
  <c r="R104" i="23"/>
  <c r="S104" i="23" s="1"/>
  <c r="R96" i="23"/>
  <c r="S96" i="23" s="1"/>
  <c r="R88" i="23"/>
  <c r="S88" i="23" s="1"/>
  <c r="R80" i="23"/>
  <c r="S80" i="23" s="1"/>
  <c r="R72" i="23"/>
  <c r="S72" i="23" s="1"/>
  <c r="R64" i="23"/>
  <c r="S64" i="23" s="1"/>
  <c r="R113" i="23"/>
  <c r="S113" i="23" s="1"/>
  <c r="R103" i="23"/>
  <c r="S103" i="23" s="1"/>
  <c r="R95" i="23"/>
  <c r="S95" i="23" s="1"/>
  <c r="R87" i="23"/>
  <c r="S87" i="23" s="1"/>
  <c r="R79" i="23"/>
  <c r="S79" i="23" s="1"/>
  <c r="R71" i="23"/>
  <c r="S71" i="23" s="1"/>
  <c r="R63" i="23"/>
  <c r="S63" i="23" s="1"/>
  <c r="R102" i="23"/>
  <c r="S102" i="23" s="1"/>
  <c r="R94" i="23"/>
  <c r="S94" i="23" s="1"/>
  <c r="R86" i="23"/>
  <c r="S86" i="23" s="1"/>
  <c r="R78" i="23"/>
  <c r="S78" i="23" s="1"/>
  <c r="R70" i="23"/>
  <c r="S70" i="23" s="1"/>
  <c r="R62" i="23"/>
  <c r="S62" i="23" s="1"/>
  <c r="R101" i="23"/>
  <c r="S101" i="23" s="1"/>
  <c r="R93" i="23"/>
  <c r="S93" i="23" s="1"/>
  <c r="R85" i="23"/>
  <c r="S85" i="23" s="1"/>
  <c r="R77" i="23"/>
  <c r="S77" i="23" s="1"/>
  <c r="R69" i="23"/>
  <c r="S69" i="23" s="1"/>
  <c r="R61" i="23"/>
  <c r="S61" i="23" s="1"/>
  <c r="R100" i="23"/>
  <c r="S100" i="23" s="1"/>
  <c r="R92" i="23"/>
  <c r="S92" i="23" s="1"/>
  <c r="R84" i="23"/>
  <c r="S84" i="23" s="1"/>
  <c r="R76" i="23"/>
  <c r="S76" i="23" s="1"/>
  <c r="R68" i="23"/>
  <c r="S68" i="23" s="1"/>
  <c r="R60" i="23"/>
  <c r="S60" i="23" s="1"/>
  <c r="M528" i="23"/>
  <c r="M520" i="23"/>
  <c r="M512" i="23"/>
  <c r="M527" i="23"/>
  <c r="M519" i="23"/>
  <c r="M511" i="23"/>
  <c r="M526" i="23"/>
  <c r="M524" i="23"/>
  <c r="M531" i="23"/>
  <c r="M523" i="23"/>
  <c r="M530" i="23"/>
  <c r="M522" i="23"/>
  <c r="M529" i="23"/>
  <c r="M521" i="23"/>
  <c r="M514" i="23"/>
  <c r="M499" i="23"/>
  <c r="M525" i="23"/>
  <c r="M507" i="23"/>
  <c r="M504" i="23"/>
  <c r="M503" i="23"/>
  <c r="M518" i="23"/>
  <c r="M516" i="23"/>
  <c r="M502" i="23"/>
  <c r="M515" i="23"/>
  <c r="M509" i="23"/>
  <c r="M508" i="23"/>
  <c r="M517" i="23"/>
  <c r="M513" i="23"/>
  <c r="M492" i="23"/>
  <c r="M484" i="23"/>
  <c r="M505" i="23"/>
  <c r="M491" i="23"/>
  <c r="M483" i="23"/>
  <c r="M506" i="23"/>
  <c r="M489" i="23"/>
  <c r="M488" i="23"/>
  <c r="M480" i="23"/>
  <c r="M500" i="23"/>
  <c r="M498" i="23"/>
  <c r="M496" i="23"/>
  <c r="M495" i="23"/>
  <c r="M487" i="23"/>
  <c r="M510" i="23"/>
  <c r="M494" i="23"/>
  <c r="M486" i="23"/>
  <c r="M481" i="23"/>
  <c r="M474" i="23"/>
  <c r="M466" i="23"/>
  <c r="M473" i="23"/>
  <c r="M465" i="23"/>
  <c r="M472" i="23"/>
  <c r="M464" i="23"/>
  <c r="M501" i="23"/>
  <c r="M471" i="23"/>
  <c r="M485" i="23"/>
  <c r="M478" i="23"/>
  <c r="M470" i="23"/>
  <c r="M462" i="23"/>
  <c r="M497" i="23"/>
  <c r="M482" i="23"/>
  <c r="M477" i="23"/>
  <c r="M469" i="23"/>
  <c r="M490" i="23"/>
  <c r="M479" i="23"/>
  <c r="M476" i="23"/>
  <c r="M468" i="23"/>
  <c r="M461" i="23"/>
  <c r="M451" i="23"/>
  <c r="M443" i="23"/>
  <c r="M493" i="23"/>
  <c r="M450" i="23"/>
  <c r="M442" i="23"/>
  <c r="M458" i="23"/>
  <c r="M457" i="23"/>
  <c r="M449" i="23"/>
  <c r="M456" i="23"/>
  <c r="M448" i="23"/>
  <c r="M467" i="23"/>
  <c r="M463" i="23"/>
  <c r="M455" i="23"/>
  <c r="M447" i="23"/>
  <c r="M475" i="23"/>
  <c r="M460" i="23"/>
  <c r="M459" i="23"/>
  <c r="M454" i="23"/>
  <c r="M446" i="23"/>
  <c r="M453" i="23"/>
  <c r="M445" i="23"/>
  <c r="M452" i="23"/>
  <c r="M435" i="23"/>
  <c r="M427" i="23"/>
  <c r="M434" i="23"/>
  <c r="M426" i="23"/>
  <c r="M441" i="23"/>
  <c r="M433" i="23"/>
  <c r="M425" i="23"/>
  <c r="M440" i="23"/>
  <c r="M432" i="23"/>
  <c r="M424" i="23"/>
  <c r="M439" i="23"/>
  <c r="M431" i="23"/>
  <c r="M423" i="23"/>
  <c r="M438" i="23"/>
  <c r="M430" i="23"/>
  <c r="M422" i="23"/>
  <c r="M418" i="23"/>
  <c r="M410" i="23"/>
  <c r="M444" i="23"/>
  <c r="M429" i="23"/>
  <c r="M417" i="23"/>
  <c r="M409" i="23"/>
  <c r="M416" i="23"/>
  <c r="M408" i="23"/>
  <c r="M400" i="23"/>
  <c r="M436" i="23"/>
  <c r="M420" i="23"/>
  <c r="M414" i="23"/>
  <c r="M406" i="23"/>
  <c r="M437" i="23"/>
  <c r="M413" i="23"/>
  <c r="M421" i="23"/>
  <c r="M412" i="23"/>
  <c r="M404" i="23"/>
  <c r="M398" i="23"/>
  <c r="M390" i="23"/>
  <c r="M382" i="23"/>
  <c r="M374" i="23"/>
  <c r="M366" i="23"/>
  <c r="M428" i="23"/>
  <c r="M411" i="23"/>
  <c r="M403" i="23"/>
  <c r="M402" i="23"/>
  <c r="M397" i="23"/>
  <c r="M389" i="23"/>
  <c r="M381" i="23"/>
  <c r="M373" i="23"/>
  <c r="M365" i="23"/>
  <c r="M396" i="23"/>
  <c r="M388" i="23"/>
  <c r="M380" i="23"/>
  <c r="M372" i="23"/>
  <c r="M364" i="23"/>
  <c r="M415" i="23"/>
  <c r="M407" i="23"/>
  <c r="M395" i="23"/>
  <c r="M387" i="23"/>
  <c r="M379" i="23"/>
  <c r="M371" i="23"/>
  <c r="M363" i="23"/>
  <c r="M419" i="23"/>
  <c r="M405" i="23"/>
  <c r="M392" i="23"/>
  <c r="M384" i="23"/>
  <c r="M376" i="23"/>
  <c r="M368" i="23"/>
  <c r="M360" i="23"/>
  <c r="M401" i="23"/>
  <c r="M399" i="23"/>
  <c r="M391" i="23"/>
  <c r="M393" i="23"/>
  <c r="M385" i="23"/>
  <c r="M383" i="23"/>
  <c r="M352" i="23"/>
  <c r="M344" i="23"/>
  <c r="M336" i="23"/>
  <c r="M351" i="23"/>
  <c r="M394" i="23"/>
  <c r="M370" i="23"/>
  <c r="M358" i="23"/>
  <c r="M350" i="23"/>
  <c r="M342" i="23"/>
  <c r="M334" i="23"/>
  <c r="M326" i="23"/>
  <c r="M361" i="23"/>
  <c r="M357" i="23"/>
  <c r="M349" i="23"/>
  <c r="M341" i="23"/>
  <c r="M333" i="23"/>
  <c r="M386" i="23"/>
  <c r="M377" i="23"/>
  <c r="M375" i="23"/>
  <c r="M354" i="23"/>
  <c r="M346" i="23"/>
  <c r="M338" i="23"/>
  <c r="M330" i="23"/>
  <c r="M324" i="23"/>
  <c r="M322" i="23"/>
  <c r="M314" i="23"/>
  <c r="M359" i="23"/>
  <c r="M356" i="23"/>
  <c r="M347" i="23"/>
  <c r="M340" i="23"/>
  <c r="M332" i="23"/>
  <c r="M321" i="23"/>
  <c r="M369" i="23"/>
  <c r="M320" i="23"/>
  <c r="M378" i="23"/>
  <c r="M355" i="23"/>
  <c r="M353" i="23"/>
  <c r="M319" i="23"/>
  <c r="M367" i="23"/>
  <c r="M348" i="23"/>
  <c r="M345" i="23"/>
  <c r="M343" i="23"/>
  <c r="M339" i="23"/>
  <c r="M337" i="23"/>
  <c r="M335" i="23"/>
  <c r="M331" i="23"/>
  <c r="M329" i="23"/>
  <c r="M325" i="23"/>
  <c r="M323" i="23"/>
  <c r="M311" i="23"/>
  <c r="M303" i="23"/>
  <c r="M295" i="23"/>
  <c r="M287" i="23"/>
  <c r="M279" i="23"/>
  <c r="M362" i="23"/>
  <c r="M318" i="23"/>
  <c r="M315" i="23"/>
  <c r="M310" i="23"/>
  <c r="M302" i="23"/>
  <c r="M294" i="23"/>
  <c r="M286" i="23"/>
  <c r="M278" i="23"/>
  <c r="M317" i="23"/>
  <c r="M309" i="23"/>
  <c r="M301" i="23"/>
  <c r="M293" i="23"/>
  <c r="M285" i="23"/>
  <c r="M277" i="23"/>
  <c r="M328" i="23"/>
  <c r="M327" i="23"/>
  <c r="M308" i="23"/>
  <c r="M313" i="23"/>
  <c r="M307" i="23"/>
  <c r="M299" i="23"/>
  <c r="M291" i="23"/>
  <c r="M283" i="23"/>
  <c r="M306" i="23"/>
  <c r="M298" i="23"/>
  <c r="M290" i="23"/>
  <c r="M316" i="23"/>
  <c r="M296" i="23"/>
  <c r="M280" i="23"/>
  <c r="M276" i="23"/>
  <c r="M275" i="23"/>
  <c r="M267" i="23"/>
  <c r="M259" i="23"/>
  <c r="M251" i="23"/>
  <c r="M284" i="23"/>
  <c r="M282" i="23"/>
  <c r="M274" i="23"/>
  <c r="M266" i="23"/>
  <c r="M258" i="23"/>
  <c r="M250" i="23"/>
  <c r="M242" i="23"/>
  <c r="M304" i="23"/>
  <c r="M281" i="23"/>
  <c r="M273" i="23"/>
  <c r="M265" i="23"/>
  <c r="M257" i="23"/>
  <c r="M249" i="23"/>
  <c r="M241" i="23"/>
  <c r="M305" i="23"/>
  <c r="M292" i="23"/>
  <c r="M289" i="23"/>
  <c r="M271" i="23"/>
  <c r="M263" i="23"/>
  <c r="M255" i="23"/>
  <c r="M312" i="23"/>
  <c r="M300" i="23"/>
  <c r="M270" i="23"/>
  <c r="M262" i="23"/>
  <c r="M254" i="23"/>
  <c r="M246" i="23"/>
  <c r="M297" i="23"/>
  <c r="M288" i="23"/>
  <c r="M269" i="23"/>
  <c r="M261" i="23"/>
  <c r="M253" i="23"/>
  <c r="M245" i="23"/>
  <c r="M272" i="23"/>
  <c r="M256" i="23"/>
  <c r="M247" i="23"/>
  <c r="M243" i="23"/>
  <c r="M233" i="23"/>
  <c r="M225" i="23"/>
  <c r="M217" i="23"/>
  <c r="M209" i="23"/>
  <c r="M240" i="23"/>
  <c r="M232" i="23"/>
  <c r="M224" i="23"/>
  <c r="M216" i="23"/>
  <c r="M208" i="23"/>
  <c r="M260" i="23"/>
  <c r="M248" i="23"/>
  <c r="M244" i="23"/>
  <c r="M239" i="23"/>
  <c r="M231" i="23"/>
  <c r="M223" i="23"/>
  <c r="M215" i="23"/>
  <c r="M207" i="23"/>
  <c r="M199" i="23"/>
  <c r="M238" i="23"/>
  <c r="M230" i="23"/>
  <c r="M222" i="23"/>
  <c r="M214" i="23"/>
  <c r="M264" i="23"/>
  <c r="M237" i="23"/>
  <c r="M229" i="23"/>
  <c r="M221" i="23"/>
  <c r="M213" i="23"/>
  <c r="M205" i="23"/>
  <c r="M236" i="23"/>
  <c r="M228" i="23"/>
  <c r="M268" i="23"/>
  <c r="M235" i="23"/>
  <c r="M227" i="23"/>
  <c r="M219" i="23"/>
  <c r="M211" i="23"/>
  <c r="M203" i="23"/>
  <c r="M252" i="23"/>
  <c r="M234" i="23"/>
  <c r="M226" i="23"/>
  <c r="M218" i="23"/>
  <c r="M210" i="23"/>
  <c r="M202" i="23"/>
  <c r="M196" i="23"/>
  <c r="M188" i="23"/>
  <c r="M180" i="23"/>
  <c r="M172" i="23"/>
  <c r="M164" i="23"/>
  <c r="M156" i="23"/>
  <c r="M220" i="23"/>
  <c r="M201" i="23"/>
  <c r="M195" i="23"/>
  <c r="M187" i="23"/>
  <c r="M179" i="23"/>
  <c r="M171" i="23"/>
  <c r="M163" i="23"/>
  <c r="M155" i="23"/>
  <c r="M206" i="23"/>
  <c r="M194" i="23"/>
  <c r="M186" i="23"/>
  <c r="M178" i="23"/>
  <c r="M170" i="23"/>
  <c r="M162" i="23"/>
  <c r="M154" i="23"/>
  <c r="M212" i="23"/>
  <c r="M204" i="23"/>
  <c r="M193" i="23"/>
  <c r="M185" i="23"/>
  <c r="M177" i="23"/>
  <c r="M169" i="23"/>
  <c r="M161" i="23"/>
  <c r="M153" i="23"/>
  <c r="M191" i="23"/>
  <c r="M183" i="23"/>
  <c r="M175" i="23"/>
  <c r="M167" i="23"/>
  <c r="M198" i="23"/>
  <c r="M190" i="23"/>
  <c r="M182" i="23"/>
  <c r="M174" i="23"/>
  <c r="M166" i="23"/>
  <c r="M158" i="23"/>
  <c r="M200" i="23"/>
  <c r="M197" i="23"/>
  <c r="M189" i="23"/>
  <c r="M181" i="23"/>
  <c r="M173" i="23"/>
  <c r="M165" i="23"/>
  <c r="M157" i="23"/>
  <c r="M168" i="23"/>
  <c r="M150" i="23"/>
  <c r="M142" i="23"/>
  <c r="M134" i="23"/>
  <c r="M126" i="23"/>
  <c r="M118" i="23"/>
  <c r="M159" i="23"/>
  <c r="M152" i="23"/>
  <c r="M149" i="23"/>
  <c r="M141" i="23"/>
  <c r="M133" i="23"/>
  <c r="M125" i="23"/>
  <c r="M117" i="23"/>
  <c r="M109" i="23"/>
  <c r="M192" i="23"/>
  <c r="M148" i="23"/>
  <c r="M140" i="23"/>
  <c r="M132" i="23"/>
  <c r="M124" i="23"/>
  <c r="M116" i="23"/>
  <c r="M160" i="23"/>
  <c r="M147" i="23"/>
  <c r="M139" i="23"/>
  <c r="M131" i="23"/>
  <c r="M123" i="23"/>
  <c r="M115" i="23"/>
  <c r="M184" i="23"/>
  <c r="M146" i="23"/>
  <c r="M138" i="23"/>
  <c r="M130" i="23"/>
  <c r="M122" i="23"/>
  <c r="M114" i="23"/>
  <c r="M145" i="23"/>
  <c r="M137" i="23"/>
  <c r="M129" i="23"/>
  <c r="M121" i="23"/>
  <c r="M113" i="23"/>
  <c r="M176" i="23"/>
  <c r="M144" i="23"/>
  <c r="M136" i="23"/>
  <c r="M128" i="23"/>
  <c r="M120" i="23"/>
  <c r="M151" i="23"/>
  <c r="M143" i="23"/>
  <c r="M135" i="23"/>
  <c r="M127" i="23"/>
  <c r="M119" i="23"/>
  <c r="M111" i="23"/>
  <c r="M104" i="23"/>
  <c r="M96" i="23"/>
  <c r="M88" i="23"/>
  <c r="M80" i="23"/>
  <c r="M72" i="23"/>
  <c r="M103" i="23"/>
  <c r="M95" i="23"/>
  <c r="M87" i="23"/>
  <c r="M79" i="23"/>
  <c r="M71" i="23"/>
  <c r="M63" i="23"/>
  <c r="M102" i="23"/>
  <c r="M94" i="23"/>
  <c r="M86" i="23"/>
  <c r="M78" i="23"/>
  <c r="M70" i="23"/>
  <c r="M62" i="23"/>
  <c r="M101" i="23"/>
  <c r="M93" i="23"/>
  <c r="M85" i="23"/>
  <c r="M77" i="23"/>
  <c r="M69" i="23"/>
  <c r="M61" i="23"/>
  <c r="M112" i="23"/>
  <c r="M100" i="23"/>
  <c r="M92" i="23"/>
  <c r="M84" i="23"/>
  <c r="M76" i="23"/>
  <c r="M68" i="23"/>
  <c r="M110" i="23"/>
  <c r="M99" i="23"/>
  <c r="M91" i="23"/>
  <c r="M83" i="23"/>
  <c r="M75" i="23"/>
  <c r="M67" i="23"/>
  <c r="M59" i="23"/>
  <c r="M108" i="23"/>
  <c r="M107" i="23"/>
  <c r="M106" i="23"/>
  <c r="M98" i="23"/>
  <c r="M90" i="23"/>
  <c r="M82" i="23"/>
  <c r="M74" i="23"/>
  <c r="M66" i="23"/>
  <c r="M58" i="23"/>
  <c r="M105" i="23"/>
  <c r="M97" i="23"/>
  <c r="M89" i="23"/>
  <c r="M81" i="23"/>
  <c r="M73" i="23"/>
  <c r="M65" i="23"/>
  <c r="J7" i="23"/>
  <c r="K7" i="23" s="1"/>
  <c r="R7" i="23"/>
  <c r="S7" i="23" s="1"/>
  <c r="Z7" i="23"/>
  <c r="AA7" i="23" s="1"/>
  <c r="I8" i="23"/>
  <c r="Q8" i="23"/>
  <c r="Y8" i="23"/>
  <c r="AF9" i="23"/>
  <c r="AG9" i="23" s="1"/>
  <c r="W10" i="23"/>
  <c r="AE10" i="23"/>
  <c r="N11" i="23"/>
  <c r="O11" i="23" s="1"/>
  <c r="V11" i="23"/>
  <c r="W11" i="23" s="1"/>
  <c r="AL11" i="23"/>
  <c r="M12" i="23"/>
  <c r="U12" i="23"/>
  <c r="AC12" i="23"/>
  <c r="AJ13" i="23"/>
  <c r="AK13" i="23" s="1"/>
  <c r="AI14" i="23"/>
  <c r="J15" i="23"/>
  <c r="K15" i="23" s="1"/>
  <c r="R15" i="23"/>
  <c r="S15" i="23" s="1"/>
  <c r="Z15" i="23"/>
  <c r="AA15" i="23" s="1"/>
  <c r="I16" i="23"/>
  <c r="Q16" i="23"/>
  <c r="Y16" i="23"/>
  <c r="AF17" i="23"/>
  <c r="AG17" i="23" s="1"/>
  <c r="AE18" i="23"/>
  <c r="N19" i="23"/>
  <c r="O19" i="23" s="1"/>
  <c r="V19" i="23"/>
  <c r="W19" i="23" s="1"/>
  <c r="AL19" i="23"/>
  <c r="M20" i="23"/>
  <c r="U20" i="23"/>
  <c r="AC20" i="23"/>
  <c r="AJ21" i="23"/>
  <c r="AK21" i="23" s="1"/>
  <c r="AI22" i="23"/>
  <c r="J23" i="23"/>
  <c r="K23" i="23" s="1"/>
  <c r="R23" i="23"/>
  <c r="S23" i="23" s="1"/>
  <c r="Z23" i="23"/>
  <c r="AA23" i="23" s="1"/>
  <c r="I24" i="23"/>
  <c r="Q24" i="23"/>
  <c r="Y24" i="23"/>
  <c r="AF25" i="23"/>
  <c r="AG25" i="23" s="1"/>
  <c r="AE26" i="23"/>
  <c r="N27" i="23"/>
  <c r="O27" i="23" s="1"/>
  <c r="V27" i="23"/>
  <c r="W27" i="23" s="1"/>
  <c r="AL27" i="23"/>
  <c r="M28" i="23"/>
  <c r="U28" i="23"/>
  <c r="AC28" i="23"/>
  <c r="AJ29" i="23"/>
  <c r="AK29" i="23" s="1"/>
  <c r="AI30" i="23"/>
  <c r="J31" i="23"/>
  <c r="K31" i="23" s="1"/>
  <c r="R31" i="23"/>
  <c r="S31" i="23" s="1"/>
  <c r="Z31" i="23"/>
  <c r="AA31" i="23" s="1"/>
  <c r="I32" i="23"/>
  <c r="Q32" i="23"/>
  <c r="Y32" i="23"/>
  <c r="AF33" i="23"/>
  <c r="AG33" i="23" s="1"/>
  <c r="AE34" i="23"/>
  <c r="N35" i="23"/>
  <c r="O35" i="23" s="1"/>
  <c r="V35" i="23"/>
  <c r="W35" i="23" s="1"/>
  <c r="AL35" i="23"/>
  <c r="M36" i="23"/>
  <c r="U36" i="23"/>
  <c r="AC36" i="23"/>
  <c r="AJ37" i="23"/>
  <c r="AK37" i="23" s="1"/>
  <c r="AI38" i="23"/>
  <c r="J39" i="23"/>
  <c r="K39" i="23" s="1"/>
  <c r="R39" i="23"/>
  <c r="S39" i="23" s="1"/>
  <c r="Z39" i="23"/>
  <c r="AA39" i="23" s="1"/>
  <c r="I40" i="23"/>
  <c r="Q40" i="23"/>
  <c r="Y40" i="23"/>
  <c r="AF41" i="23"/>
  <c r="AG41" i="23" s="1"/>
  <c r="AE42" i="23"/>
  <c r="N43" i="23"/>
  <c r="O43" i="23" s="1"/>
  <c r="V43" i="23"/>
  <c r="W43" i="23" s="1"/>
  <c r="AL43" i="23"/>
  <c r="M44" i="23"/>
  <c r="U44" i="23"/>
  <c r="AC44" i="23"/>
  <c r="AJ45" i="23"/>
  <c r="AK45" i="23" s="1"/>
  <c r="AI46" i="23"/>
  <c r="J47" i="23"/>
  <c r="K47" i="23" s="1"/>
  <c r="R47" i="23"/>
  <c r="S47" i="23" s="1"/>
  <c r="Z47" i="23"/>
  <c r="AA47" i="23" s="1"/>
  <c r="I48" i="23"/>
  <c r="Q48" i="23"/>
  <c r="Y48" i="23"/>
  <c r="AF49" i="23"/>
  <c r="AG49" i="23" s="1"/>
  <c r="AE50" i="23"/>
  <c r="N51" i="23"/>
  <c r="O51" i="23" s="1"/>
  <c r="AL51" i="23"/>
  <c r="M52" i="23"/>
  <c r="U52" i="23"/>
  <c r="AC52" i="23"/>
  <c r="AJ53" i="23"/>
  <c r="AK53" i="23" s="1"/>
  <c r="AI54" i="23"/>
  <c r="J55" i="23"/>
  <c r="K55" i="23" s="1"/>
  <c r="R55" i="23"/>
  <c r="S55" i="23" s="1"/>
  <c r="Z55" i="23"/>
  <c r="AA55" i="23" s="1"/>
  <c r="I56" i="23"/>
  <c r="Q56" i="23"/>
  <c r="Y56" i="23"/>
  <c r="Z57" i="23"/>
  <c r="AA57" i="23" s="1"/>
  <c r="U64" i="23"/>
  <c r="Z67" i="23"/>
  <c r="AA67" i="23" s="1"/>
  <c r="V527" i="23"/>
  <c r="W527" i="23" s="1"/>
  <c r="V519" i="23"/>
  <c r="W519" i="23" s="1"/>
  <c r="V511" i="23"/>
  <c r="W511" i="23" s="1"/>
  <c r="V526" i="23"/>
  <c r="W526" i="23" s="1"/>
  <c r="V518" i="23"/>
  <c r="W518" i="23" s="1"/>
  <c r="V510" i="23"/>
  <c r="W510" i="23" s="1"/>
  <c r="V525" i="23"/>
  <c r="W525" i="23" s="1"/>
  <c r="V531" i="23"/>
  <c r="W531" i="23" s="1"/>
  <c r="V523" i="23"/>
  <c r="W523" i="23" s="1"/>
  <c r="V530" i="23"/>
  <c r="W530" i="23" s="1"/>
  <c r="V522" i="23"/>
  <c r="W522" i="23" s="1"/>
  <c r="V529" i="23"/>
  <c r="W529" i="23" s="1"/>
  <c r="V521" i="23"/>
  <c r="W521" i="23" s="1"/>
  <c r="V528" i="23"/>
  <c r="W528" i="23" s="1"/>
  <c r="V520" i="23"/>
  <c r="W520" i="23" s="1"/>
  <c r="V515" i="23"/>
  <c r="W515" i="23" s="1"/>
  <c r="V514" i="23"/>
  <c r="W514" i="23" s="1"/>
  <c r="V506" i="23"/>
  <c r="W506" i="23" s="1"/>
  <c r="V498" i="23"/>
  <c r="W498" i="23" s="1"/>
  <c r="V524" i="23"/>
  <c r="W524" i="23" s="1"/>
  <c r="V507" i="23"/>
  <c r="W507" i="23" s="1"/>
  <c r="V503" i="23"/>
  <c r="W503" i="23" s="1"/>
  <c r="V502" i="23"/>
  <c r="W502" i="23" s="1"/>
  <c r="V516" i="23"/>
  <c r="W516" i="23" s="1"/>
  <c r="V508" i="23"/>
  <c r="W508" i="23" s="1"/>
  <c r="V501" i="23"/>
  <c r="W501" i="23" s="1"/>
  <c r="V512" i="23"/>
  <c r="W512" i="23" s="1"/>
  <c r="V509" i="23"/>
  <c r="W509" i="23" s="1"/>
  <c r="V491" i="23"/>
  <c r="W491" i="23" s="1"/>
  <c r="V483" i="23"/>
  <c r="W483" i="23" s="1"/>
  <c r="V490" i="23"/>
  <c r="W490" i="23" s="1"/>
  <c r="V482" i="23"/>
  <c r="W482" i="23" s="1"/>
  <c r="V517" i="23"/>
  <c r="W517" i="23" s="1"/>
  <c r="V504" i="23"/>
  <c r="W504" i="23" s="1"/>
  <c r="V488" i="23"/>
  <c r="W488" i="23" s="1"/>
  <c r="V513" i="23"/>
  <c r="W513" i="23" s="1"/>
  <c r="V505" i="23"/>
  <c r="W505" i="23" s="1"/>
  <c r="V499" i="23"/>
  <c r="W499" i="23" s="1"/>
  <c r="V497" i="23"/>
  <c r="W497" i="23" s="1"/>
  <c r="V495" i="23"/>
  <c r="W495" i="23" s="1"/>
  <c r="V487" i="23"/>
  <c r="W487" i="23" s="1"/>
  <c r="V479" i="23"/>
  <c r="W479" i="23" s="1"/>
  <c r="V496" i="23"/>
  <c r="W496" i="23" s="1"/>
  <c r="V494" i="23"/>
  <c r="W494" i="23" s="1"/>
  <c r="V486" i="23"/>
  <c r="W486" i="23" s="1"/>
  <c r="V500" i="23"/>
  <c r="W500" i="23" s="1"/>
  <c r="V493" i="23"/>
  <c r="W493" i="23" s="1"/>
  <c r="V485" i="23"/>
  <c r="W485" i="23" s="1"/>
  <c r="V489" i="23"/>
  <c r="W489" i="23" s="1"/>
  <c r="V480" i="23"/>
  <c r="W480" i="23" s="1"/>
  <c r="V473" i="23"/>
  <c r="W473" i="23" s="1"/>
  <c r="V465" i="23"/>
  <c r="W465" i="23" s="1"/>
  <c r="V492" i="23"/>
  <c r="W492" i="23" s="1"/>
  <c r="V484" i="23"/>
  <c r="W484" i="23" s="1"/>
  <c r="V472" i="23"/>
  <c r="W472" i="23" s="1"/>
  <c r="V464" i="23"/>
  <c r="W464" i="23" s="1"/>
  <c r="V481" i="23"/>
  <c r="W481" i="23" s="1"/>
  <c r="V471" i="23"/>
  <c r="W471" i="23" s="1"/>
  <c r="V463" i="23"/>
  <c r="W463" i="23" s="1"/>
  <c r="V478" i="23"/>
  <c r="W478" i="23" s="1"/>
  <c r="V470" i="23"/>
  <c r="W470" i="23" s="1"/>
  <c r="V477" i="23"/>
  <c r="W477" i="23" s="1"/>
  <c r="V469" i="23"/>
  <c r="W469" i="23" s="1"/>
  <c r="V461" i="23"/>
  <c r="W461" i="23" s="1"/>
  <c r="V476" i="23"/>
  <c r="W476" i="23" s="1"/>
  <c r="V468" i="23"/>
  <c r="W468" i="23" s="1"/>
  <c r="V475" i="23"/>
  <c r="W475" i="23" s="1"/>
  <c r="V467" i="23"/>
  <c r="W467" i="23" s="1"/>
  <c r="V450" i="23"/>
  <c r="W450" i="23" s="1"/>
  <c r="V442" i="23"/>
  <c r="W442" i="23" s="1"/>
  <c r="V457" i="23"/>
  <c r="W457" i="23" s="1"/>
  <c r="V449" i="23"/>
  <c r="W449" i="23" s="1"/>
  <c r="V441" i="23"/>
  <c r="W441" i="23" s="1"/>
  <c r="V458" i="23"/>
  <c r="W458" i="23" s="1"/>
  <c r="V456" i="23"/>
  <c r="W456" i="23" s="1"/>
  <c r="V448" i="23"/>
  <c r="W448" i="23" s="1"/>
  <c r="V455" i="23"/>
  <c r="W455" i="23" s="1"/>
  <c r="V447" i="23"/>
  <c r="W447" i="23" s="1"/>
  <c r="V474" i="23"/>
  <c r="W474" i="23" s="1"/>
  <c r="V462" i="23"/>
  <c r="W462" i="23" s="1"/>
  <c r="V459" i="23"/>
  <c r="W459" i="23" s="1"/>
  <c r="V454" i="23"/>
  <c r="W454" i="23" s="1"/>
  <c r="V446" i="23"/>
  <c r="W446" i="23" s="1"/>
  <c r="V460" i="23"/>
  <c r="W460" i="23" s="1"/>
  <c r="V453" i="23"/>
  <c r="W453" i="23" s="1"/>
  <c r="V445" i="23"/>
  <c r="W445" i="23" s="1"/>
  <c r="V466" i="23"/>
  <c r="W466" i="23" s="1"/>
  <c r="V452" i="23"/>
  <c r="W452" i="23" s="1"/>
  <c r="V444" i="23"/>
  <c r="W444" i="23" s="1"/>
  <c r="V434" i="23"/>
  <c r="W434" i="23" s="1"/>
  <c r="V426" i="23"/>
  <c r="W426" i="23" s="1"/>
  <c r="V443" i="23"/>
  <c r="W443" i="23" s="1"/>
  <c r="V433" i="23"/>
  <c r="W433" i="23" s="1"/>
  <c r="V425" i="23"/>
  <c r="W425" i="23" s="1"/>
  <c r="V440" i="23"/>
  <c r="W440" i="23" s="1"/>
  <c r="V432" i="23"/>
  <c r="W432" i="23" s="1"/>
  <c r="V424" i="23"/>
  <c r="W424" i="23" s="1"/>
  <c r="V439" i="23"/>
  <c r="W439" i="23" s="1"/>
  <c r="V431" i="23"/>
  <c r="W431" i="23" s="1"/>
  <c r="V423" i="23"/>
  <c r="W423" i="23" s="1"/>
  <c r="V438" i="23"/>
  <c r="W438" i="23" s="1"/>
  <c r="V430" i="23"/>
  <c r="W430" i="23" s="1"/>
  <c r="V422" i="23"/>
  <c r="W422" i="23" s="1"/>
  <c r="V437" i="23"/>
  <c r="W437" i="23" s="1"/>
  <c r="V429" i="23"/>
  <c r="W429" i="23" s="1"/>
  <c r="V421" i="23"/>
  <c r="W421" i="23" s="1"/>
  <c r="V417" i="23"/>
  <c r="W417" i="23" s="1"/>
  <c r="V427" i="23"/>
  <c r="W427" i="23" s="1"/>
  <c r="V416" i="23"/>
  <c r="W416" i="23" s="1"/>
  <c r="V408" i="23"/>
  <c r="W408" i="23" s="1"/>
  <c r="V428" i="23"/>
  <c r="W428" i="23" s="1"/>
  <c r="V415" i="23"/>
  <c r="W415" i="23" s="1"/>
  <c r="V407" i="23"/>
  <c r="W407" i="23" s="1"/>
  <c r="V413" i="23"/>
  <c r="W413" i="23" s="1"/>
  <c r="V405" i="23"/>
  <c r="W405" i="23" s="1"/>
  <c r="V435" i="23"/>
  <c r="W435" i="23" s="1"/>
  <c r="V420" i="23"/>
  <c r="W420" i="23" s="1"/>
  <c r="V412" i="23"/>
  <c r="W412" i="23" s="1"/>
  <c r="V436" i="23"/>
  <c r="W436" i="23" s="1"/>
  <c r="V419" i="23"/>
  <c r="W419" i="23" s="1"/>
  <c r="V411" i="23"/>
  <c r="W411" i="23" s="1"/>
  <c r="V403" i="23"/>
  <c r="W403" i="23" s="1"/>
  <c r="V397" i="23"/>
  <c r="W397" i="23" s="1"/>
  <c r="V389" i="23"/>
  <c r="W389" i="23" s="1"/>
  <c r="V381" i="23"/>
  <c r="W381" i="23" s="1"/>
  <c r="V373" i="23"/>
  <c r="W373" i="23" s="1"/>
  <c r="V365" i="23"/>
  <c r="W365" i="23" s="1"/>
  <c r="V396" i="23"/>
  <c r="W396" i="23" s="1"/>
  <c r="V388" i="23"/>
  <c r="W388" i="23" s="1"/>
  <c r="V380" i="23"/>
  <c r="W380" i="23" s="1"/>
  <c r="V372" i="23"/>
  <c r="W372" i="23" s="1"/>
  <c r="V364" i="23"/>
  <c r="W364" i="23" s="1"/>
  <c r="V406" i="23"/>
  <c r="W406" i="23" s="1"/>
  <c r="V402" i="23"/>
  <c r="W402" i="23" s="1"/>
  <c r="V400" i="23"/>
  <c r="W400" i="23" s="1"/>
  <c r="V395" i="23"/>
  <c r="W395" i="23" s="1"/>
  <c r="V387" i="23"/>
  <c r="W387" i="23" s="1"/>
  <c r="V379" i="23"/>
  <c r="W379" i="23" s="1"/>
  <c r="V371" i="23"/>
  <c r="W371" i="23" s="1"/>
  <c r="V363" i="23"/>
  <c r="W363" i="23" s="1"/>
  <c r="V394" i="23"/>
  <c r="W394" i="23" s="1"/>
  <c r="V386" i="23"/>
  <c r="W386" i="23" s="1"/>
  <c r="V378" i="23"/>
  <c r="W378" i="23" s="1"/>
  <c r="V370" i="23"/>
  <c r="W370" i="23" s="1"/>
  <c r="V362" i="23"/>
  <c r="W362" i="23" s="1"/>
  <c r="V451" i="23"/>
  <c r="W451" i="23" s="1"/>
  <c r="V404" i="23"/>
  <c r="W404" i="23" s="1"/>
  <c r="V401" i="23"/>
  <c r="W401" i="23" s="1"/>
  <c r="V399" i="23"/>
  <c r="W399" i="23" s="1"/>
  <c r="V391" i="23"/>
  <c r="W391" i="23" s="1"/>
  <c r="V383" i="23"/>
  <c r="W383" i="23" s="1"/>
  <c r="V375" i="23"/>
  <c r="W375" i="23" s="1"/>
  <c r="V367" i="23"/>
  <c r="W367" i="23" s="1"/>
  <c r="V359" i="23"/>
  <c r="W359" i="23" s="1"/>
  <c r="V409" i="23"/>
  <c r="W409" i="23" s="1"/>
  <c r="V398" i="23"/>
  <c r="W398" i="23" s="1"/>
  <c r="V390" i="23"/>
  <c r="W390" i="23" s="1"/>
  <c r="V377" i="23"/>
  <c r="W377" i="23" s="1"/>
  <c r="V368" i="23"/>
  <c r="W368" i="23" s="1"/>
  <c r="V351" i="23"/>
  <c r="W351" i="23" s="1"/>
  <c r="V343" i="23"/>
  <c r="W343" i="23" s="1"/>
  <c r="V335" i="23"/>
  <c r="W335" i="23" s="1"/>
  <c r="V374" i="23"/>
  <c r="W374" i="23" s="1"/>
  <c r="V358" i="23"/>
  <c r="W358" i="23" s="1"/>
  <c r="V350" i="23"/>
  <c r="W350" i="23" s="1"/>
  <c r="V392" i="23"/>
  <c r="W392" i="23" s="1"/>
  <c r="V385" i="23"/>
  <c r="W385" i="23" s="1"/>
  <c r="V376" i="23"/>
  <c r="W376" i="23" s="1"/>
  <c r="V360" i="23"/>
  <c r="W360" i="23" s="1"/>
  <c r="V357" i="23"/>
  <c r="W357" i="23" s="1"/>
  <c r="V349" i="23"/>
  <c r="W349" i="23" s="1"/>
  <c r="V341" i="23"/>
  <c r="W341" i="23" s="1"/>
  <c r="V333" i="23"/>
  <c r="W333" i="23" s="1"/>
  <c r="V325" i="23"/>
  <c r="W325" i="23" s="1"/>
  <c r="V410" i="23"/>
  <c r="W410" i="23" s="1"/>
  <c r="V393" i="23"/>
  <c r="W393" i="23" s="1"/>
  <c r="V382" i="23"/>
  <c r="W382" i="23" s="1"/>
  <c r="V356" i="23"/>
  <c r="W356" i="23" s="1"/>
  <c r="V348" i="23"/>
  <c r="W348" i="23" s="1"/>
  <c r="V340" i="23"/>
  <c r="W340" i="23" s="1"/>
  <c r="V332" i="23"/>
  <c r="W332" i="23" s="1"/>
  <c r="V369" i="23"/>
  <c r="W369" i="23" s="1"/>
  <c r="V353" i="23"/>
  <c r="W353" i="23" s="1"/>
  <c r="V345" i="23"/>
  <c r="W345" i="23" s="1"/>
  <c r="V337" i="23"/>
  <c r="W337" i="23" s="1"/>
  <c r="V329" i="23"/>
  <c r="W329" i="23" s="1"/>
  <c r="V366" i="23"/>
  <c r="W366" i="23" s="1"/>
  <c r="V339" i="23"/>
  <c r="W339" i="23" s="1"/>
  <c r="V331" i="23"/>
  <c r="W331" i="23" s="1"/>
  <c r="V321" i="23"/>
  <c r="W321" i="23" s="1"/>
  <c r="V313" i="23"/>
  <c r="W313" i="23" s="1"/>
  <c r="V324" i="23"/>
  <c r="W324" i="23" s="1"/>
  <c r="V320" i="23"/>
  <c r="W320" i="23" s="1"/>
  <c r="V319" i="23"/>
  <c r="W319" i="23" s="1"/>
  <c r="V347" i="23"/>
  <c r="W347" i="23" s="1"/>
  <c r="V318" i="23"/>
  <c r="W318" i="23" s="1"/>
  <c r="V414" i="23"/>
  <c r="W414" i="23" s="1"/>
  <c r="V418" i="23"/>
  <c r="W418" i="23" s="1"/>
  <c r="V354" i="23"/>
  <c r="W354" i="23" s="1"/>
  <c r="V326" i="23"/>
  <c r="W326" i="23" s="1"/>
  <c r="V322" i="23"/>
  <c r="W322" i="23" s="1"/>
  <c r="V361" i="23"/>
  <c r="W361" i="23" s="1"/>
  <c r="V328" i="23"/>
  <c r="W328" i="23" s="1"/>
  <c r="V310" i="23"/>
  <c r="W310" i="23" s="1"/>
  <c r="V302" i="23"/>
  <c r="W302" i="23" s="1"/>
  <c r="V294" i="23"/>
  <c r="W294" i="23" s="1"/>
  <c r="V286" i="23"/>
  <c r="W286" i="23" s="1"/>
  <c r="V278" i="23"/>
  <c r="W278" i="23" s="1"/>
  <c r="V336" i="23"/>
  <c r="W336" i="23" s="1"/>
  <c r="V334" i="23"/>
  <c r="W334" i="23" s="1"/>
  <c r="V330" i="23"/>
  <c r="W330" i="23" s="1"/>
  <c r="V315" i="23"/>
  <c r="W315" i="23" s="1"/>
  <c r="V309" i="23"/>
  <c r="W309" i="23" s="1"/>
  <c r="V301" i="23"/>
  <c r="W301" i="23" s="1"/>
  <c r="V293" i="23"/>
  <c r="W293" i="23" s="1"/>
  <c r="V285" i="23"/>
  <c r="W285" i="23" s="1"/>
  <c r="V277" i="23"/>
  <c r="W277" i="23" s="1"/>
  <c r="V308" i="23"/>
  <c r="W308" i="23" s="1"/>
  <c r="V300" i="23"/>
  <c r="W300" i="23" s="1"/>
  <c r="V292" i="23"/>
  <c r="W292" i="23" s="1"/>
  <c r="V284" i="23"/>
  <c r="W284" i="23" s="1"/>
  <c r="V276" i="23"/>
  <c r="W276" i="23" s="1"/>
  <c r="V344" i="23"/>
  <c r="W344" i="23" s="1"/>
  <c r="V342" i="23"/>
  <c r="W342" i="23" s="1"/>
  <c r="V338" i="23"/>
  <c r="W338" i="23" s="1"/>
  <c r="V317" i="23"/>
  <c r="W317" i="23" s="1"/>
  <c r="V307" i="23"/>
  <c r="W307" i="23" s="1"/>
  <c r="V314" i="23"/>
  <c r="W314" i="23" s="1"/>
  <c r="V306" i="23"/>
  <c r="W306" i="23" s="1"/>
  <c r="V298" i="23"/>
  <c r="W298" i="23" s="1"/>
  <c r="V290" i="23"/>
  <c r="W290" i="23" s="1"/>
  <c r="V282" i="23"/>
  <c r="W282" i="23" s="1"/>
  <c r="V346" i="23"/>
  <c r="W346" i="23" s="1"/>
  <c r="V323" i="23"/>
  <c r="W323" i="23" s="1"/>
  <c r="V305" i="23"/>
  <c r="W305" i="23" s="1"/>
  <c r="V297" i="23"/>
  <c r="W297" i="23" s="1"/>
  <c r="V289" i="23"/>
  <c r="W289" i="23" s="1"/>
  <c r="V384" i="23"/>
  <c r="W384" i="23" s="1"/>
  <c r="V311" i="23"/>
  <c r="W311" i="23" s="1"/>
  <c r="V303" i="23"/>
  <c r="W303" i="23" s="1"/>
  <c r="V283" i="23"/>
  <c r="W283" i="23" s="1"/>
  <c r="V275" i="23"/>
  <c r="W275" i="23" s="1"/>
  <c r="V291" i="23"/>
  <c r="W291" i="23" s="1"/>
  <c r="V288" i="23"/>
  <c r="W288" i="23" s="1"/>
  <c r="V274" i="23"/>
  <c r="W274" i="23" s="1"/>
  <c r="V266" i="23"/>
  <c r="W266" i="23" s="1"/>
  <c r="V258" i="23"/>
  <c r="W258" i="23" s="1"/>
  <c r="V355" i="23"/>
  <c r="W355" i="23" s="1"/>
  <c r="V312" i="23"/>
  <c r="W312" i="23" s="1"/>
  <c r="V280" i="23"/>
  <c r="W280" i="23" s="1"/>
  <c r="V273" i="23"/>
  <c r="W273" i="23" s="1"/>
  <c r="V265" i="23"/>
  <c r="W265" i="23" s="1"/>
  <c r="V257" i="23"/>
  <c r="W257" i="23" s="1"/>
  <c r="V249" i="23"/>
  <c r="W249" i="23" s="1"/>
  <c r="V241" i="23"/>
  <c r="W241" i="23" s="1"/>
  <c r="V352" i="23"/>
  <c r="W352" i="23" s="1"/>
  <c r="V327" i="23"/>
  <c r="W327" i="23" s="1"/>
  <c r="V299" i="23"/>
  <c r="W299" i="23" s="1"/>
  <c r="V296" i="23"/>
  <c r="W296" i="23" s="1"/>
  <c r="V272" i="23"/>
  <c r="W272" i="23" s="1"/>
  <c r="V264" i="23"/>
  <c r="W264" i="23" s="1"/>
  <c r="V256" i="23"/>
  <c r="W256" i="23" s="1"/>
  <c r="V248" i="23"/>
  <c r="W248" i="23" s="1"/>
  <c r="V240" i="23"/>
  <c r="W240" i="23" s="1"/>
  <c r="V316" i="23"/>
  <c r="W316" i="23" s="1"/>
  <c r="V287" i="23"/>
  <c r="W287" i="23" s="1"/>
  <c r="V304" i="23"/>
  <c r="W304" i="23" s="1"/>
  <c r="V270" i="23"/>
  <c r="W270" i="23" s="1"/>
  <c r="V262" i="23"/>
  <c r="W262" i="23" s="1"/>
  <c r="V254" i="23"/>
  <c r="W254" i="23" s="1"/>
  <c r="V295" i="23"/>
  <c r="W295" i="23" s="1"/>
  <c r="V281" i="23"/>
  <c r="W281" i="23" s="1"/>
  <c r="V269" i="23"/>
  <c r="W269" i="23" s="1"/>
  <c r="V261" i="23"/>
  <c r="W261" i="23" s="1"/>
  <c r="V253" i="23"/>
  <c r="W253" i="23" s="1"/>
  <c r="V245" i="23"/>
  <c r="W245" i="23" s="1"/>
  <c r="V279" i="23"/>
  <c r="W279" i="23" s="1"/>
  <c r="V268" i="23"/>
  <c r="W268" i="23" s="1"/>
  <c r="V260" i="23"/>
  <c r="W260" i="23" s="1"/>
  <c r="V252" i="23"/>
  <c r="W252" i="23" s="1"/>
  <c r="V244" i="23"/>
  <c r="W244" i="23" s="1"/>
  <c r="V267" i="23"/>
  <c r="W267" i="23" s="1"/>
  <c r="V250" i="23"/>
  <c r="W250" i="23" s="1"/>
  <c r="V246" i="23"/>
  <c r="W246" i="23" s="1"/>
  <c r="V232" i="23"/>
  <c r="W232" i="23" s="1"/>
  <c r="V224" i="23"/>
  <c r="W224" i="23" s="1"/>
  <c r="V216" i="23"/>
  <c r="W216" i="23" s="1"/>
  <c r="V208" i="23"/>
  <c r="W208" i="23" s="1"/>
  <c r="V247" i="23"/>
  <c r="W247" i="23" s="1"/>
  <c r="V243" i="23"/>
  <c r="W243" i="23" s="1"/>
  <c r="V239" i="23"/>
  <c r="W239" i="23" s="1"/>
  <c r="V231" i="23"/>
  <c r="W231" i="23" s="1"/>
  <c r="V223" i="23"/>
  <c r="W223" i="23" s="1"/>
  <c r="V215" i="23"/>
  <c r="W215" i="23" s="1"/>
  <c r="V207" i="23"/>
  <c r="W207" i="23" s="1"/>
  <c r="V271" i="23"/>
  <c r="W271" i="23" s="1"/>
  <c r="V255" i="23"/>
  <c r="W255" i="23" s="1"/>
  <c r="V238" i="23"/>
  <c r="W238" i="23" s="1"/>
  <c r="V230" i="23"/>
  <c r="W230" i="23" s="1"/>
  <c r="V222" i="23"/>
  <c r="W222" i="23" s="1"/>
  <c r="V214" i="23"/>
  <c r="W214" i="23" s="1"/>
  <c r="V206" i="23"/>
  <c r="W206" i="23" s="1"/>
  <c r="V242" i="23"/>
  <c r="W242" i="23" s="1"/>
  <c r="V237" i="23"/>
  <c r="W237" i="23" s="1"/>
  <c r="V229" i="23"/>
  <c r="W229" i="23" s="1"/>
  <c r="V221" i="23"/>
  <c r="W221" i="23" s="1"/>
  <c r="V213" i="23"/>
  <c r="W213" i="23" s="1"/>
  <c r="V259" i="23"/>
  <c r="W259" i="23" s="1"/>
  <c r="V251" i="23"/>
  <c r="W251" i="23" s="1"/>
  <c r="V236" i="23"/>
  <c r="W236" i="23" s="1"/>
  <c r="V228" i="23"/>
  <c r="W228" i="23" s="1"/>
  <c r="V220" i="23"/>
  <c r="W220" i="23" s="1"/>
  <c r="V212" i="23"/>
  <c r="W212" i="23" s="1"/>
  <c r="V235" i="23"/>
  <c r="W235" i="23" s="1"/>
  <c r="V227" i="23"/>
  <c r="W227" i="23" s="1"/>
  <c r="V263" i="23"/>
  <c r="W263" i="23" s="1"/>
  <c r="V234" i="23"/>
  <c r="W234" i="23" s="1"/>
  <c r="V226" i="23"/>
  <c r="W226" i="23" s="1"/>
  <c r="V218" i="23"/>
  <c r="W218" i="23" s="1"/>
  <c r="V210" i="23"/>
  <c r="W210" i="23" s="1"/>
  <c r="V202" i="23"/>
  <c r="W202" i="23" s="1"/>
  <c r="V233" i="23"/>
  <c r="W233" i="23" s="1"/>
  <c r="V225" i="23"/>
  <c r="W225" i="23" s="1"/>
  <c r="V217" i="23"/>
  <c r="W217" i="23" s="1"/>
  <c r="V209" i="23"/>
  <c r="W209" i="23" s="1"/>
  <c r="V219" i="23"/>
  <c r="W219" i="23" s="1"/>
  <c r="V195" i="23"/>
  <c r="W195" i="23" s="1"/>
  <c r="V187" i="23"/>
  <c r="W187" i="23" s="1"/>
  <c r="V179" i="23"/>
  <c r="W179" i="23" s="1"/>
  <c r="V171" i="23"/>
  <c r="W171" i="23" s="1"/>
  <c r="V163" i="23"/>
  <c r="W163" i="23" s="1"/>
  <c r="V155" i="23"/>
  <c r="W155" i="23" s="1"/>
  <c r="V194" i="23"/>
  <c r="W194" i="23" s="1"/>
  <c r="V186" i="23"/>
  <c r="W186" i="23" s="1"/>
  <c r="V178" i="23"/>
  <c r="W178" i="23" s="1"/>
  <c r="V170" i="23"/>
  <c r="W170" i="23" s="1"/>
  <c r="V162" i="23"/>
  <c r="W162" i="23" s="1"/>
  <c r="V154" i="23"/>
  <c r="W154" i="23" s="1"/>
  <c r="V211" i="23"/>
  <c r="W211" i="23" s="1"/>
  <c r="V201" i="23"/>
  <c r="W201" i="23" s="1"/>
  <c r="V199" i="23"/>
  <c r="W199" i="23" s="1"/>
  <c r="V193" i="23"/>
  <c r="W193" i="23" s="1"/>
  <c r="V185" i="23"/>
  <c r="W185" i="23" s="1"/>
  <c r="V177" i="23"/>
  <c r="W177" i="23" s="1"/>
  <c r="V169" i="23"/>
  <c r="W169" i="23" s="1"/>
  <c r="V161" i="23"/>
  <c r="W161" i="23" s="1"/>
  <c r="V153" i="23"/>
  <c r="W153" i="23" s="1"/>
  <c r="V204" i="23"/>
  <c r="W204" i="23" s="1"/>
  <c r="V203" i="23"/>
  <c r="W203" i="23" s="1"/>
  <c r="V192" i="23"/>
  <c r="W192" i="23" s="1"/>
  <c r="V184" i="23"/>
  <c r="W184" i="23" s="1"/>
  <c r="V176" i="23"/>
  <c r="W176" i="23" s="1"/>
  <c r="V168" i="23"/>
  <c r="W168" i="23" s="1"/>
  <c r="V160" i="23"/>
  <c r="W160" i="23" s="1"/>
  <c r="V198" i="23"/>
  <c r="W198" i="23" s="1"/>
  <c r="V190" i="23"/>
  <c r="W190" i="23" s="1"/>
  <c r="V182" i="23"/>
  <c r="W182" i="23" s="1"/>
  <c r="V174" i="23"/>
  <c r="W174" i="23" s="1"/>
  <c r="V166" i="23"/>
  <c r="W166" i="23" s="1"/>
  <c r="V205" i="23"/>
  <c r="W205" i="23" s="1"/>
  <c r="V200" i="23"/>
  <c r="W200" i="23" s="1"/>
  <c r="V197" i="23"/>
  <c r="W197" i="23" s="1"/>
  <c r="V189" i="23"/>
  <c r="W189" i="23" s="1"/>
  <c r="V181" i="23"/>
  <c r="W181" i="23" s="1"/>
  <c r="V173" i="23"/>
  <c r="W173" i="23" s="1"/>
  <c r="V165" i="23"/>
  <c r="W165" i="23" s="1"/>
  <c r="V157" i="23"/>
  <c r="W157" i="23" s="1"/>
  <c r="V196" i="23"/>
  <c r="W196" i="23" s="1"/>
  <c r="V188" i="23"/>
  <c r="W188" i="23" s="1"/>
  <c r="V180" i="23"/>
  <c r="W180" i="23" s="1"/>
  <c r="V172" i="23"/>
  <c r="W172" i="23" s="1"/>
  <c r="V164" i="23"/>
  <c r="W164" i="23" s="1"/>
  <c r="V156" i="23"/>
  <c r="W156" i="23" s="1"/>
  <c r="V149" i="23"/>
  <c r="W149" i="23" s="1"/>
  <c r="V141" i="23"/>
  <c r="W141" i="23" s="1"/>
  <c r="V133" i="23"/>
  <c r="W133" i="23" s="1"/>
  <c r="V125" i="23"/>
  <c r="W125" i="23" s="1"/>
  <c r="V117" i="23"/>
  <c r="W117" i="23" s="1"/>
  <c r="V191" i="23"/>
  <c r="W191" i="23" s="1"/>
  <c r="V148" i="23"/>
  <c r="W148" i="23" s="1"/>
  <c r="V140" i="23"/>
  <c r="W140" i="23" s="1"/>
  <c r="V132" i="23"/>
  <c r="W132" i="23" s="1"/>
  <c r="V124" i="23"/>
  <c r="W124" i="23" s="1"/>
  <c r="V116" i="23"/>
  <c r="W116" i="23" s="1"/>
  <c r="V108" i="23"/>
  <c r="W108" i="23" s="1"/>
  <c r="V152" i="23"/>
  <c r="W152" i="23" s="1"/>
  <c r="V147" i="23"/>
  <c r="W147" i="23" s="1"/>
  <c r="V139" i="23"/>
  <c r="W139" i="23" s="1"/>
  <c r="V131" i="23"/>
  <c r="W131" i="23" s="1"/>
  <c r="V123" i="23"/>
  <c r="W123" i="23" s="1"/>
  <c r="V115" i="23"/>
  <c r="W115" i="23" s="1"/>
  <c r="V183" i="23"/>
  <c r="W183" i="23" s="1"/>
  <c r="V158" i="23"/>
  <c r="W158" i="23" s="1"/>
  <c r="V146" i="23"/>
  <c r="W146" i="23" s="1"/>
  <c r="V138" i="23"/>
  <c r="W138" i="23" s="1"/>
  <c r="V130" i="23"/>
  <c r="W130" i="23" s="1"/>
  <c r="V122" i="23"/>
  <c r="W122" i="23" s="1"/>
  <c r="V114" i="23"/>
  <c r="W114" i="23" s="1"/>
  <c r="V159" i="23"/>
  <c r="W159" i="23" s="1"/>
  <c r="V145" i="23"/>
  <c r="W145" i="23" s="1"/>
  <c r="V137" i="23"/>
  <c r="W137" i="23" s="1"/>
  <c r="V129" i="23"/>
  <c r="W129" i="23" s="1"/>
  <c r="V121" i="23"/>
  <c r="W121" i="23" s="1"/>
  <c r="V113" i="23"/>
  <c r="W113" i="23" s="1"/>
  <c r="V175" i="23"/>
  <c r="W175" i="23" s="1"/>
  <c r="V144" i="23"/>
  <c r="W144" i="23" s="1"/>
  <c r="V136" i="23"/>
  <c r="W136" i="23" s="1"/>
  <c r="V128" i="23"/>
  <c r="W128" i="23" s="1"/>
  <c r="V120" i="23"/>
  <c r="W120" i="23" s="1"/>
  <c r="V112" i="23"/>
  <c r="W112" i="23" s="1"/>
  <c r="V151" i="23"/>
  <c r="W151" i="23" s="1"/>
  <c r="V143" i="23"/>
  <c r="W143" i="23" s="1"/>
  <c r="V135" i="23"/>
  <c r="W135" i="23" s="1"/>
  <c r="V127" i="23"/>
  <c r="W127" i="23" s="1"/>
  <c r="V119" i="23"/>
  <c r="W119" i="23" s="1"/>
  <c r="V167" i="23"/>
  <c r="W167" i="23" s="1"/>
  <c r="V150" i="23"/>
  <c r="W150" i="23" s="1"/>
  <c r="V142" i="23"/>
  <c r="W142" i="23" s="1"/>
  <c r="V134" i="23"/>
  <c r="W134" i="23" s="1"/>
  <c r="V126" i="23"/>
  <c r="W126" i="23" s="1"/>
  <c r="V118" i="23"/>
  <c r="W118" i="23" s="1"/>
  <c r="V110" i="23"/>
  <c r="W110" i="23" s="1"/>
  <c r="V103" i="23"/>
  <c r="W103" i="23" s="1"/>
  <c r="V95" i="23"/>
  <c r="W95" i="23" s="1"/>
  <c r="V87" i="23"/>
  <c r="W87" i="23" s="1"/>
  <c r="V79" i="23"/>
  <c r="W79" i="23" s="1"/>
  <c r="V71" i="23"/>
  <c r="W71" i="23" s="1"/>
  <c r="V102" i="23"/>
  <c r="W102" i="23" s="1"/>
  <c r="V94" i="23"/>
  <c r="W94" i="23" s="1"/>
  <c r="V86" i="23"/>
  <c r="W86" i="23" s="1"/>
  <c r="V78" i="23"/>
  <c r="W78" i="23" s="1"/>
  <c r="V70" i="23"/>
  <c r="W70" i="23" s="1"/>
  <c r="V62" i="23"/>
  <c r="W62" i="23" s="1"/>
  <c r="V101" i="23"/>
  <c r="W101" i="23" s="1"/>
  <c r="V93" i="23"/>
  <c r="W93" i="23" s="1"/>
  <c r="V85" i="23"/>
  <c r="W85" i="23" s="1"/>
  <c r="V77" i="23"/>
  <c r="W77" i="23" s="1"/>
  <c r="V69" i="23"/>
  <c r="W69" i="23" s="1"/>
  <c r="V61" i="23"/>
  <c r="W61" i="23" s="1"/>
  <c r="V100" i="23"/>
  <c r="W100" i="23" s="1"/>
  <c r="V92" i="23"/>
  <c r="W92" i="23" s="1"/>
  <c r="V84" i="23"/>
  <c r="W84" i="23" s="1"/>
  <c r="V76" i="23"/>
  <c r="W76" i="23" s="1"/>
  <c r="V68" i="23"/>
  <c r="W68" i="23" s="1"/>
  <c r="V60" i="23"/>
  <c r="W60" i="23" s="1"/>
  <c r="V99" i="23"/>
  <c r="W99" i="23" s="1"/>
  <c r="V91" i="23"/>
  <c r="W91" i="23" s="1"/>
  <c r="V83" i="23"/>
  <c r="W83" i="23" s="1"/>
  <c r="V75" i="23"/>
  <c r="W75" i="23" s="1"/>
  <c r="V67" i="23"/>
  <c r="W67" i="23" s="1"/>
  <c r="V106" i="23"/>
  <c r="W106" i="23" s="1"/>
  <c r="V98" i="23"/>
  <c r="W98" i="23" s="1"/>
  <c r="V90" i="23"/>
  <c r="W90" i="23" s="1"/>
  <c r="V82" i="23"/>
  <c r="W82" i="23" s="1"/>
  <c r="V74" i="23"/>
  <c r="W74" i="23" s="1"/>
  <c r="V66" i="23"/>
  <c r="W66" i="23" s="1"/>
  <c r="V58" i="23"/>
  <c r="W58" i="23" s="1"/>
  <c r="V111" i="23"/>
  <c r="W111" i="23" s="1"/>
  <c r="V105" i="23"/>
  <c r="W105" i="23" s="1"/>
  <c r="V97" i="23"/>
  <c r="W97" i="23" s="1"/>
  <c r="V89" i="23"/>
  <c r="W89" i="23" s="1"/>
  <c r="V81" i="23"/>
  <c r="W81" i="23" s="1"/>
  <c r="V73" i="23"/>
  <c r="W73" i="23" s="1"/>
  <c r="V65" i="23"/>
  <c r="W65" i="23" s="1"/>
  <c r="V109" i="23"/>
  <c r="W109" i="23" s="1"/>
  <c r="V107" i="23"/>
  <c r="W107" i="23" s="1"/>
  <c r="V104" i="23"/>
  <c r="W104" i="23" s="1"/>
  <c r="V96" i="23"/>
  <c r="W96" i="23" s="1"/>
  <c r="V88" i="23"/>
  <c r="W88" i="23" s="1"/>
  <c r="V80" i="23"/>
  <c r="W80" i="23" s="1"/>
  <c r="V72" i="23"/>
  <c r="W72" i="23" s="1"/>
  <c r="V64" i="23"/>
  <c r="W64" i="23" s="1"/>
  <c r="Q524" i="23"/>
  <c r="Q516" i="23"/>
  <c r="Q531" i="23"/>
  <c r="Q523" i="23"/>
  <c r="Q515" i="23"/>
  <c r="Q507" i="23"/>
  <c r="Q530" i="23"/>
  <c r="Q529" i="23"/>
  <c r="Q528" i="23"/>
  <c r="Q527" i="23"/>
  <c r="Q526" i="23"/>
  <c r="Q525" i="23"/>
  <c r="Q510" i="23"/>
  <c r="Q504" i="23"/>
  <c r="Q503" i="23"/>
  <c r="Q521" i="23"/>
  <c r="Q522" i="23"/>
  <c r="Q519" i="23"/>
  <c r="Q518" i="23"/>
  <c r="Q514" i="23"/>
  <c r="Q509" i="23"/>
  <c r="Q500" i="23"/>
  <c r="Q499" i="23"/>
  <c r="Q520" i="23"/>
  <c r="Q511" i="23"/>
  <c r="Q506" i="23"/>
  <c r="Q498" i="23"/>
  <c r="Q517" i="23"/>
  <c r="Q513" i="23"/>
  <c r="Q505" i="23"/>
  <c r="Q508" i="23"/>
  <c r="Q488" i="23"/>
  <c r="Q496" i="23"/>
  <c r="Q495" i="23"/>
  <c r="Q487" i="23"/>
  <c r="Q479" i="23"/>
  <c r="Q493" i="23"/>
  <c r="Q512" i="23"/>
  <c r="Q492" i="23"/>
  <c r="Q484" i="23"/>
  <c r="Q501" i="23"/>
  <c r="Q491" i="23"/>
  <c r="Q483" i="23"/>
  <c r="Q502" i="23"/>
  <c r="Q490" i="23"/>
  <c r="Q482" i="23"/>
  <c r="Q486" i="23"/>
  <c r="Q478" i="23"/>
  <c r="Q470" i="23"/>
  <c r="Q477" i="23"/>
  <c r="Q469" i="23"/>
  <c r="Q489" i="23"/>
  <c r="Q485" i="23"/>
  <c r="Q476" i="23"/>
  <c r="Q468" i="23"/>
  <c r="Q497" i="23"/>
  <c r="Q480" i="23"/>
  <c r="Q475" i="23"/>
  <c r="Q474" i="23"/>
  <c r="Q466" i="23"/>
  <c r="Q458" i="23"/>
  <c r="Q481" i="23"/>
  <c r="Q473" i="23"/>
  <c r="Q465" i="23"/>
  <c r="Q472" i="23"/>
  <c r="Q462" i="23"/>
  <c r="Q455" i="23"/>
  <c r="Q447" i="23"/>
  <c r="Q459" i="23"/>
  <c r="Q454" i="23"/>
  <c r="Q446" i="23"/>
  <c r="Q467" i="23"/>
  <c r="Q463" i="23"/>
  <c r="Q460" i="23"/>
  <c r="Q453" i="23"/>
  <c r="Q445" i="23"/>
  <c r="Q452" i="23"/>
  <c r="Q471" i="23"/>
  <c r="Q451" i="23"/>
  <c r="Q443" i="23"/>
  <c r="Q461" i="23"/>
  <c r="Q450" i="23"/>
  <c r="Q442" i="23"/>
  <c r="Q457" i="23"/>
  <c r="Q449" i="23"/>
  <c r="Q439" i="23"/>
  <c r="Q431" i="23"/>
  <c r="Q438" i="23"/>
  <c r="Q430" i="23"/>
  <c r="Q422" i="23"/>
  <c r="Q494" i="23"/>
  <c r="Q437" i="23"/>
  <c r="Q429" i="23"/>
  <c r="Q436" i="23"/>
  <c r="Q428" i="23"/>
  <c r="Q420" i="23"/>
  <c r="Q435" i="23"/>
  <c r="Q427" i="23"/>
  <c r="Q456" i="23"/>
  <c r="Q444" i="23"/>
  <c r="Q434" i="23"/>
  <c r="Q426" i="23"/>
  <c r="Q448" i="23"/>
  <c r="Q433" i="23"/>
  <c r="Q414" i="23"/>
  <c r="Q413" i="23"/>
  <c r="Q405" i="23"/>
  <c r="Q412" i="23"/>
  <c r="Q404" i="23"/>
  <c r="Q440" i="23"/>
  <c r="Q419" i="23"/>
  <c r="Q464" i="23"/>
  <c r="Q441" i="23"/>
  <c r="Q425" i="23"/>
  <c r="Q424" i="23"/>
  <c r="Q421" i="23"/>
  <c r="Q418" i="23"/>
  <c r="Q410" i="23"/>
  <c r="Q417" i="23"/>
  <c r="Q416" i="23"/>
  <c r="Q408" i="23"/>
  <c r="Q400" i="23"/>
  <c r="Q394" i="23"/>
  <c r="Q386" i="23"/>
  <c r="Q378" i="23"/>
  <c r="Q370" i="23"/>
  <c r="Q432" i="23"/>
  <c r="Q423" i="23"/>
  <c r="Q415" i="23"/>
  <c r="Q407" i="23"/>
  <c r="Q393" i="23"/>
  <c r="Q385" i="23"/>
  <c r="Q377" i="23"/>
  <c r="Q369" i="23"/>
  <c r="Q361" i="23"/>
  <c r="Q409" i="23"/>
  <c r="Q392" i="23"/>
  <c r="Q384" i="23"/>
  <c r="Q376" i="23"/>
  <c r="Q368" i="23"/>
  <c r="Q360" i="23"/>
  <c r="Q401" i="23"/>
  <c r="Q399" i="23"/>
  <c r="Q391" i="23"/>
  <c r="Q383" i="23"/>
  <c r="Q375" i="23"/>
  <c r="Q367" i="23"/>
  <c r="Q403" i="23"/>
  <c r="Q402" i="23"/>
  <c r="Q396" i="23"/>
  <c r="Q388" i="23"/>
  <c r="Q380" i="23"/>
  <c r="Q372" i="23"/>
  <c r="Q364" i="23"/>
  <c r="Q411" i="23"/>
  <c r="Q395" i="23"/>
  <c r="Q397" i="23"/>
  <c r="Q381" i="23"/>
  <c r="Q371" i="23"/>
  <c r="Q356" i="23"/>
  <c r="Q348" i="23"/>
  <c r="Q340" i="23"/>
  <c r="Q332" i="23"/>
  <c r="Q398" i="23"/>
  <c r="Q366" i="23"/>
  <c r="Q359" i="23"/>
  <c r="Q355" i="23"/>
  <c r="Q347" i="23"/>
  <c r="Q379" i="23"/>
  <c r="Q354" i="23"/>
  <c r="Q346" i="23"/>
  <c r="Q338" i="23"/>
  <c r="Q330" i="23"/>
  <c r="Q374" i="23"/>
  <c r="Q362" i="23"/>
  <c r="Q353" i="23"/>
  <c r="Q345" i="23"/>
  <c r="Q337" i="23"/>
  <c r="Q329" i="23"/>
  <c r="Q373" i="23"/>
  <c r="Q358" i="23"/>
  <c r="Q350" i="23"/>
  <c r="Q342" i="23"/>
  <c r="Q334" i="23"/>
  <c r="Q326" i="23"/>
  <c r="Q363" i="23"/>
  <c r="Q352" i="23"/>
  <c r="Q318" i="23"/>
  <c r="Q406" i="23"/>
  <c r="Q328" i="23"/>
  <c r="Q387" i="23"/>
  <c r="Q327" i="23"/>
  <c r="Q390" i="23"/>
  <c r="Q382" i="23"/>
  <c r="Q351" i="23"/>
  <c r="Q323" i="23"/>
  <c r="Q315" i="23"/>
  <c r="Q357" i="23"/>
  <c r="Q321" i="23"/>
  <c r="Q307" i="23"/>
  <c r="Q299" i="23"/>
  <c r="Q291" i="23"/>
  <c r="Q283" i="23"/>
  <c r="Q343" i="23"/>
  <c r="Q341" i="23"/>
  <c r="Q324" i="23"/>
  <c r="Q313" i="23"/>
  <c r="Q306" i="23"/>
  <c r="Q298" i="23"/>
  <c r="Q290" i="23"/>
  <c r="Q282" i="23"/>
  <c r="Q319" i="23"/>
  <c r="Q316" i="23"/>
  <c r="Q305" i="23"/>
  <c r="Q297" i="23"/>
  <c r="Q289" i="23"/>
  <c r="Q281" i="23"/>
  <c r="Q336" i="23"/>
  <c r="Q325" i="23"/>
  <c r="Q312" i="23"/>
  <c r="Q311" i="23"/>
  <c r="Q303" i="23"/>
  <c r="Q295" i="23"/>
  <c r="Q287" i="23"/>
  <c r="Q279" i="23"/>
  <c r="Q344" i="23"/>
  <c r="Q331" i="23"/>
  <c r="Q320" i="23"/>
  <c r="Q310" i="23"/>
  <c r="Q302" i="23"/>
  <c r="Q294" i="23"/>
  <c r="Q286" i="23"/>
  <c r="Q304" i="23"/>
  <c r="Q293" i="23"/>
  <c r="Q284" i="23"/>
  <c r="Q278" i="23"/>
  <c r="Q271" i="23"/>
  <c r="Q263" i="23"/>
  <c r="Q255" i="23"/>
  <c r="Q339" i="23"/>
  <c r="Q308" i="23"/>
  <c r="Q301" i="23"/>
  <c r="Q292" i="23"/>
  <c r="Q270" i="23"/>
  <c r="Q262" i="23"/>
  <c r="Q254" i="23"/>
  <c r="Q246" i="23"/>
  <c r="Q349" i="23"/>
  <c r="Q335" i="23"/>
  <c r="Q317" i="23"/>
  <c r="Q309" i="23"/>
  <c r="Q269" i="23"/>
  <c r="Q261" i="23"/>
  <c r="Q253" i="23"/>
  <c r="Q245" i="23"/>
  <c r="Q314" i="23"/>
  <c r="Q300" i="23"/>
  <c r="Q288" i="23"/>
  <c r="Q389" i="23"/>
  <c r="Q333" i="23"/>
  <c r="Q280" i="23"/>
  <c r="Q275" i="23"/>
  <c r="Q267" i="23"/>
  <c r="Q259" i="23"/>
  <c r="Q365" i="23"/>
  <c r="Q296" i="23"/>
  <c r="Q285" i="23"/>
  <c r="Q274" i="23"/>
  <c r="Q266" i="23"/>
  <c r="Q258" i="23"/>
  <c r="Q250" i="23"/>
  <c r="Q322" i="23"/>
  <c r="Q277" i="23"/>
  <c r="Q276" i="23"/>
  <c r="Q273" i="23"/>
  <c r="Q265" i="23"/>
  <c r="Q257" i="23"/>
  <c r="Q249" i="23"/>
  <c r="Q241" i="23"/>
  <c r="Q260" i="23"/>
  <c r="Q248" i="23"/>
  <c r="Q244" i="23"/>
  <c r="Q237" i="23"/>
  <c r="Q229" i="23"/>
  <c r="Q221" i="23"/>
  <c r="Q213" i="23"/>
  <c r="Q205" i="23"/>
  <c r="Q236" i="23"/>
  <c r="Q228" i="23"/>
  <c r="Q220" i="23"/>
  <c r="Q212" i="23"/>
  <c r="Q264" i="23"/>
  <c r="Q235" i="23"/>
  <c r="Q227" i="23"/>
  <c r="Q219" i="23"/>
  <c r="Q211" i="23"/>
  <c r="Q203" i="23"/>
  <c r="Q234" i="23"/>
  <c r="Q226" i="23"/>
  <c r="Q218" i="23"/>
  <c r="Q210" i="23"/>
  <c r="Q268" i="23"/>
  <c r="Q233" i="23"/>
  <c r="Q225" i="23"/>
  <c r="Q217" i="23"/>
  <c r="Q209" i="23"/>
  <c r="Q252" i="23"/>
  <c r="Q247" i="23"/>
  <c r="Q243" i="23"/>
  <c r="Q240" i="23"/>
  <c r="Q232" i="23"/>
  <c r="Q272" i="23"/>
  <c r="Q256" i="23"/>
  <c r="Q239" i="23"/>
  <c r="Q231" i="23"/>
  <c r="Q223" i="23"/>
  <c r="Q215" i="23"/>
  <c r="Q207" i="23"/>
  <c r="Q199" i="23"/>
  <c r="Q251" i="23"/>
  <c r="Q242" i="23"/>
  <c r="Q238" i="23"/>
  <c r="Q230" i="23"/>
  <c r="Q222" i="23"/>
  <c r="Q214" i="23"/>
  <c r="Q216" i="23"/>
  <c r="Q206" i="23"/>
  <c r="Q192" i="23"/>
  <c r="Q184" i="23"/>
  <c r="Q176" i="23"/>
  <c r="Q168" i="23"/>
  <c r="Q160" i="23"/>
  <c r="Q191" i="23"/>
  <c r="Q183" i="23"/>
  <c r="Q175" i="23"/>
  <c r="Q167" i="23"/>
  <c r="Q159" i="23"/>
  <c r="Q208" i="23"/>
  <c r="Q198" i="23"/>
  <c r="Q190" i="23"/>
  <c r="Q182" i="23"/>
  <c r="Q174" i="23"/>
  <c r="Q166" i="23"/>
  <c r="Q158" i="23"/>
  <c r="Q200" i="23"/>
  <c r="Q197" i="23"/>
  <c r="Q189" i="23"/>
  <c r="Q181" i="23"/>
  <c r="Q173" i="23"/>
  <c r="Q165" i="23"/>
  <c r="Q157" i="23"/>
  <c r="Q202" i="23"/>
  <c r="Q195" i="23"/>
  <c r="Q187" i="23"/>
  <c r="Q179" i="23"/>
  <c r="Q171" i="23"/>
  <c r="Q163" i="23"/>
  <c r="Q224" i="23"/>
  <c r="Q201" i="23"/>
  <c r="Q194" i="23"/>
  <c r="Q186" i="23"/>
  <c r="Q178" i="23"/>
  <c r="Q170" i="23"/>
  <c r="Q162" i="23"/>
  <c r="Q154" i="23"/>
  <c r="Q204" i="23"/>
  <c r="Q193" i="23"/>
  <c r="Q185" i="23"/>
  <c r="Q177" i="23"/>
  <c r="Q169" i="23"/>
  <c r="Q161" i="23"/>
  <c r="Q153" i="23"/>
  <c r="Q146" i="23"/>
  <c r="Q138" i="23"/>
  <c r="Q130" i="23"/>
  <c r="Q122" i="23"/>
  <c r="Q188" i="23"/>
  <c r="Q145" i="23"/>
  <c r="Q137" i="23"/>
  <c r="Q129" i="23"/>
  <c r="Q121" i="23"/>
  <c r="Q113" i="23"/>
  <c r="Q144" i="23"/>
  <c r="Q136" i="23"/>
  <c r="Q128" i="23"/>
  <c r="Q120" i="23"/>
  <c r="Q112" i="23"/>
  <c r="Q180" i="23"/>
  <c r="Q151" i="23"/>
  <c r="Q143" i="23"/>
  <c r="Q135" i="23"/>
  <c r="Q127" i="23"/>
  <c r="Q119" i="23"/>
  <c r="Q111" i="23"/>
  <c r="Q150" i="23"/>
  <c r="Q142" i="23"/>
  <c r="Q134" i="23"/>
  <c r="Q126" i="23"/>
  <c r="Q118" i="23"/>
  <c r="Q110" i="23"/>
  <c r="Q172" i="23"/>
  <c r="Q155" i="23"/>
  <c r="Q149" i="23"/>
  <c r="Q141" i="23"/>
  <c r="Q133" i="23"/>
  <c r="Q125" i="23"/>
  <c r="Q117" i="23"/>
  <c r="Q109" i="23"/>
  <c r="Q156" i="23"/>
  <c r="Q152" i="23"/>
  <c r="Q148" i="23"/>
  <c r="Q140" i="23"/>
  <c r="Q132" i="23"/>
  <c r="Q124" i="23"/>
  <c r="Q116" i="23"/>
  <c r="Q196" i="23"/>
  <c r="Q164" i="23"/>
  <c r="Q147" i="23"/>
  <c r="Q139" i="23"/>
  <c r="Q131" i="23"/>
  <c r="Q123" i="23"/>
  <c r="Q115" i="23"/>
  <c r="Q100" i="23"/>
  <c r="Q92" i="23"/>
  <c r="Q84" i="23"/>
  <c r="Q76" i="23"/>
  <c r="Q114" i="23"/>
  <c r="Q99" i="23"/>
  <c r="Q91" i="23"/>
  <c r="Q83" i="23"/>
  <c r="Q75" i="23"/>
  <c r="Q67" i="23"/>
  <c r="Q59" i="23"/>
  <c r="Q106" i="23"/>
  <c r="Q98" i="23"/>
  <c r="Q90" i="23"/>
  <c r="Q82" i="23"/>
  <c r="Q74" i="23"/>
  <c r="Q66" i="23"/>
  <c r="Q58" i="23"/>
  <c r="Q108" i="23"/>
  <c r="Q107" i="23"/>
  <c r="Q105" i="23"/>
  <c r="Q97" i="23"/>
  <c r="Q89" i="23"/>
  <c r="Q81" i="23"/>
  <c r="Q73" i="23"/>
  <c r="Q65" i="23"/>
  <c r="Q104" i="23"/>
  <c r="Q96" i="23"/>
  <c r="Q88" i="23"/>
  <c r="Q80" i="23"/>
  <c r="Q72" i="23"/>
  <c r="Q64" i="23"/>
  <c r="Q103" i="23"/>
  <c r="Q95" i="23"/>
  <c r="Q87" i="23"/>
  <c r="Q79" i="23"/>
  <c r="Q71" i="23"/>
  <c r="Q63" i="23"/>
  <c r="Q102" i="23"/>
  <c r="Q94" i="23"/>
  <c r="Q86" i="23"/>
  <c r="Q78" i="23"/>
  <c r="Q70" i="23"/>
  <c r="Q62" i="23"/>
  <c r="Q101" i="23"/>
  <c r="Q93" i="23"/>
  <c r="Q85" i="23"/>
  <c r="Q77" i="23"/>
  <c r="Q69" i="23"/>
  <c r="Q61" i="23"/>
  <c r="AI7" i="23"/>
  <c r="J8" i="23"/>
  <c r="K8" i="23" s="1"/>
  <c r="R8" i="23"/>
  <c r="S8" i="23" s="1"/>
  <c r="Z8" i="23"/>
  <c r="AA8" i="23" s="1"/>
  <c r="I9" i="23"/>
  <c r="Q9" i="23"/>
  <c r="Y9" i="23"/>
  <c r="AF10" i="23"/>
  <c r="AG10" i="23" s="1"/>
  <c r="AE11" i="23"/>
  <c r="N12" i="23"/>
  <c r="O12" i="23" s="1"/>
  <c r="V12" i="23"/>
  <c r="W12" i="23" s="1"/>
  <c r="AL12" i="23"/>
  <c r="M13" i="23"/>
  <c r="U13" i="23"/>
  <c r="AC13" i="23"/>
  <c r="AJ14" i="23"/>
  <c r="AK14" i="23" s="1"/>
  <c r="AI15" i="23"/>
  <c r="J16" i="23"/>
  <c r="K16" i="23" s="1"/>
  <c r="R16" i="23"/>
  <c r="S16" i="23" s="1"/>
  <c r="Z16" i="23"/>
  <c r="AA16" i="23" s="1"/>
  <c r="I17" i="23"/>
  <c r="Q17" i="23"/>
  <c r="Y17" i="23"/>
  <c r="AF18" i="23"/>
  <c r="AG18" i="23" s="1"/>
  <c r="AE19" i="23"/>
  <c r="N20" i="23"/>
  <c r="O20" i="23" s="1"/>
  <c r="V20" i="23"/>
  <c r="W20" i="23" s="1"/>
  <c r="AL20" i="23"/>
  <c r="M21" i="23"/>
  <c r="U21" i="23"/>
  <c r="AC21" i="23"/>
  <c r="AJ22" i="23"/>
  <c r="AK22" i="23" s="1"/>
  <c r="AI23" i="23"/>
  <c r="J24" i="23"/>
  <c r="K24" i="23" s="1"/>
  <c r="R24" i="23"/>
  <c r="S24" i="23" s="1"/>
  <c r="Z24" i="23"/>
  <c r="AA24" i="23" s="1"/>
  <c r="I25" i="23"/>
  <c r="Q25" i="23"/>
  <c r="Y25" i="23"/>
  <c r="AF26" i="23"/>
  <c r="AG26" i="23" s="1"/>
  <c r="AE27" i="23"/>
  <c r="N28" i="23"/>
  <c r="O28" i="23" s="1"/>
  <c r="V28" i="23"/>
  <c r="W28" i="23" s="1"/>
  <c r="AL28" i="23"/>
  <c r="M29" i="23"/>
  <c r="U29" i="23"/>
  <c r="AC29" i="23"/>
  <c r="AJ30" i="23"/>
  <c r="AK30" i="23" s="1"/>
  <c r="AI31" i="23"/>
  <c r="J32" i="23"/>
  <c r="K32" i="23" s="1"/>
  <c r="R32" i="23"/>
  <c r="S32" i="23" s="1"/>
  <c r="Z32" i="23"/>
  <c r="AA32" i="23" s="1"/>
  <c r="I33" i="23"/>
  <c r="Q33" i="23"/>
  <c r="Y33" i="23"/>
  <c r="AF34" i="23"/>
  <c r="AG34" i="23" s="1"/>
  <c r="AE35" i="23"/>
  <c r="N36" i="23"/>
  <c r="O36" i="23" s="1"/>
  <c r="V36" i="23"/>
  <c r="W36" i="23" s="1"/>
  <c r="AL36" i="23"/>
  <c r="M37" i="23"/>
  <c r="U37" i="23"/>
  <c r="AC37" i="23"/>
  <c r="AJ38" i="23"/>
  <c r="AK38" i="23" s="1"/>
  <c r="AI39" i="23"/>
  <c r="J40" i="23"/>
  <c r="K40" i="23" s="1"/>
  <c r="R40" i="23"/>
  <c r="S40" i="23" s="1"/>
  <c r="Z40" i="23"/>
  <c r="AA40" i="23" s="1"/>
  <c r="I41" i="23"/>
  <c r="Q41" i="23"/>
  <c r="Y41" i="23"/>
  <c r="AF42" i="23"/>
  <c r="AG42" i="23" s="1"/>
  <c r="AE43" i="23"/>
  <c r="N44" i="23"/>
  <c r="O44" i="23" s="1"/>
  <c r="V44" i="23"/>
  <c r="W44" i="23" s="1"/>
  <c r="AL44" i="23"/>
  <c r="M45" i="23"/>
  <c r="U45" i="23"/>
  <c r="AC45" i="23"/>
  <c r="AJ46" i="23"/>
  <c r="AK46" i="23" s="1"/>
  <c r="AI47" i="23"/>
  <c r="J48" i="23"/>
  <c r="K48" i="23" s="1"/>
  <c r="R48" i="23"/>
  <c r="S48" i="23" s="1"/>
  <c r="Z48" i="23"/>
  <c r="AA48" i="23" s="1"/>
  <c r="I49" i="23"/>
  <c r="Q49" i="23"/>
  <c r="Y49" i="23"/>
  <c r="AF50" i="23"/>
  <c r="AG50" i="23" s="1"/>
  <c r="W51" i="23"/>
  <c r="AE51" i="23"/>
  <c r="N52" i="23"/>
  <c r="O52" i="23" s="1"/>
  <c r="V52" i="23"/>
  <c r="W52" i="23" s="1"/>
  <c r="AL52" i="23"/>
  <c r="M53" i="23"/>
  <c r="AC53" i="23"/>
  <c r="AJ54" i="23"/>
  <c r="AK54" i="23" s="1"/>
  <c r="AI55" i="23"/>
  <c r="J56" i="23"/>
  <c r="K56" i="23" s="1"/>
  <c r="R56" i="23"/>
  <c r="S56" i="23" s="1"/>
  <c r="Z56" i="23"/>
  <c r="AA56" i="23" s="1"/>
  <c r="I57" i="23"/>
  <c r="Q57" i="23"/>
  <c r="J59" i="23"/>
  <c r="K59" i="23" s="1"/>
  <c r="M60" i="23"/>
  <c r="AC60" i="23"/>
  <c r="AI66" i="23"/>
  <c r="Z531" i="23"/>
  <c r="AA531" i="23" s="1"/>
  <c r="Z523" i="23"/>
  <c r="AA523" i="23" s="1"/>
  <c r="Z515" i="23"/>
  <c r="AA515" i="23" s="1"/>
  <c r="Z530" i="23"/>
  <c r="AA530" i="23" s="1"/>
  <c r="Z522" i="23"/>
  <c r="AA522" i="23" s="1"/>
  <c r="Z514" i="23"/>
  <c r="AA514" i="23" s="1"/>
  <c r="Z506" i="23"/>
  <c r="AA506" i="23" s="1"/>
  <c r="Z529" i="23"/>
  <c r="AA529" i="23" s="1"/>
  <c r="Z528" i="23"/>
  <c r="AA528" i="23" s="1"/>
  <c r="Z527" i="23"/>
  <c r="AA527" i="23" s="1"/>
  <c r="Z526" i="23"/>
  <c r="AA526" i="23" s="1"/>
  <c r="Z525" i="23"/>
  <c r="AA525" i="23" s="1"/>
  <c r="Z524" i="23"/>
  <c r="AA524" i="23" s="1"/>
  <c r="Z520" i="23"/>
  <c r="AA520" i="23" s="1"/>
  <c r="Z503" i="23"/>
  <c r="AA503" i="23" s="1"/>
  <c r="Z510" i="23"/>
  <c r="AA510" i="23" s="1"/>
  <c r="Z507" i="23"/>
  <c r="AA507" i="23" s="1"/>
  <c r="Z502" i="23"/>
  <c r="AA502" i="23" s="1"/>
  <c r="Z509" i="23"/>
  <c r="AA509" i="23" s="1"/>
  <c r="Z499" i="23"/>
  <c r="AA499" i="23" s="1"/>
  <c r="Z518" i="23"/>
  <c r="AA518" i="23" s="1"/>
  <c r="Z498" i="23"/>
  <c r="AA498" i="23" s="1"/>
  <c r="Z521" i="23"/>
  <c r="AA521" i="23" s="1"/>
  <c r="Z519" i="23"/>
  <c r="AA519" i="23" s="1"/>
  <c r="Z505" i="23"/>
  <c r="AA505" i="23" s="1"/>
  <c r="Z497" i="23"/>
  <c r="AA497" i="23" s="1"/>
  <c r="Z517" i="23"/>
  <c r="AA517" i="23" s="1"/>
  <c r="Z513" i="23"/>
  <c r="AA513" i="23" s="1"/>
  <c r="Z511" i="23"/>
  <c r="AA511" i="23" s="1"/>
  <c r="Z504" i="23"/>
  <c r="AA504" i="23" s="1"/>
  <c r="Z516" i="23"/>
  <c r="AA516" i="23" s="1"/>
  <c r="Z512" i="23"/>
  <c r="AA512" i="23" s="1"/>
  <c r="Z501" i="23"/>
  <c r="AA501" i="23" s="1"/>
  <c r="Z495" i="23"/>
  <c r="AA495" i="23" s="1"/>
  <c r="Z487" i="23"/>
  <c r="AA487" i="23" s="1"/>
  <c r="Z496" i="23"/>
  <c r="AA496" i="23" s="1"/>
  <c r="Z494" i="23"/>
  <c r="AA494" i="23" s="1"/>
  <c r="Z486" i="23"/>
  <c r="AA486" i="23" s="1"/>
  <c r="Z508" i="23"/>
  <c r="AA508" i="23" s="1"/>
  <c r="Z492" i="23"/>
  <c r="AA492" i="23" s="1"/>
  <c r="Z500" i="23"/>
  <c r="AA500" i="23" s="1"/>
  <c r="Z491" i="23"/>
  <c r="AA491" i="23" s="1"/>
  <c r="Z483" i="23"/>
  <c r="AA483" i="23" s="1"/>
  <c r="Z490" i="23"/>
  <c r="AA490" i="23" s="1"/>
  <c r="Z482" i="23"/>
  <c r="AA482" i="23" s="1"/>
  <c r="Z489" i="23"/>
  <c r="AA489" i="23" s="1"/>
  <c r="Z481" i="23"/>
  <c r="AA481" i="23" s="1"/>
  <c r="Z477" i="23"/>
  <c r="AA477" i="23" s="1"/>
  <c r="Z469" i="23"/>
  <c r="AA469" i="23" s="1"/>
  <c r="Z493" i="23"/>
  <c r="AA493" i="23" s="1"/>
  <c r="Z476" i="23"/>
  <c r="AA476" i="23" s="1"/>
  <c r="Z468" i="23"/>
  <c r="AA468" i="23" s="1"/>
  <c r="Z475" i="23"/>
  <c r="AA475" i="23" s="1"/>
  <c r="Z467" i="23"/>
  <c r="AA467" i="23" s="1"/>
  <c r="Z474" i="23"/>
  <c r="AA474" i="23" s="1"/>
  <c r="Z485" i="23"/>
  <c r="AA485" i="23" s="1"/>
  <c r="Z480" i="23"/>
  <c r="AA480" i="23" s="1"/>
  <c r="Z473" i="23"/>
  <c r="AA473" i="23" s="1"/>
  <c r="Z465" i="23"/>
  <c r="AA465" i="23" s="1"/>
  <c r="Z488" i="23"/>
  <c r="AA488" i="23" s="1"/>
  <c r="Z479" i="23"/>
  <c r="AA479" i="23" s="1"/>
  <c r="Z472" i="23"/>
  <c r="AA472" i="23" s="1"/>
  <c r="Z464" i="23"/>
  <c r="AA464" i="23" s="1"/>
  <c r="Z471" i="23"/>
  <c r="AA471" i="23" s="1"/>
  <c r="Z459" i="23"/>
  <c r="AA459" i="23" s="1"/>
  <c r="Z454" i="23"/>
  <c r="AA454" i="23" s="1"/>
  <c r="Z446" i="23"/>
  <c r="AA446" i="23" s="1"/>
  <c r="Z484" i="23"/>
  <c r="AA484" i="23" s="1"/>
  <c r="Z462" i="23"/>
  <c r="AA462" i="23" s="1"/>
  <c r="Z453" i="23"/>
  <c r="AA453" i="23" s="1"/>
  <c r="Z445" i="23"/>
  <c r="AA445" i="23" s="1"/>
  <c r="Z478" i="23"/>
  <c r="AA478" i="23" s="1"/>
  <c r="Z460" i="23"/>
  <c r="AA460" i="23" s="1"/>
  <c r="Z452" i="23"/>
  <c r="AA452" i="23" s="1"/>
  <c r="Z444" i="23"/>
  <c r="AA444" i="23" s="1"/>
  <c r="Z451" i="23"/>
  <c r="AA451" i="23" s="1"/>
  <c r="Z470" i="23"/>
  <c r="AA470" i="23" s="1"/>
  <c r="Z466" i="23"/>
  <c r="AA466" i="23" s="1"/>
  <c r="Z463" i="23"/>
  <c r="AA463" i="23" s="1"/>
  <c r="Z450" i="23"/>
  <c r="AA450" i="23" s="1"/>
  <c r="Z442" i="23"/>
  <c r="AA442" i="23" s="1"/>
  <c r="Z461" i="23"/>
  <c r="AA461" i="23" s="1"/>
  <c r="Z457" i="23"/>
  <c r="AA457" i="23" s="1"/>
  <c r="Z449" i="23"/>
  <c r="AA449" i="23" s="1"/>
  <c r="Z456" i="23"/>
  <c r="AA456" i="23" s="1"/>
  <c r="Z448" i="23"/>
  <c r="AA448" i="23" s="1"/>
  <c r="Z458" i="23"/>
  <c r="AA458" i="23" s="1"/>
  <c r="Z438" i="23"/>
  <c r="AA438" i="23" s="1"/>
  <c r="Z430" i="23"/>
  <c r="AA430" i="23" s="1"/>
  <c r="Z441" i="23"/>
  <c r="AA441" i="23" s="1"/>
  <c r="Z437" i="23"/>
  <c r="AA437" i="23" s="1"/>
  <c r="Z429" i="23"/>
  <c r="AA429" i="23" s="1"/>
  <c r="Z421" i="23"/>
  <c r="AA421" i="23" s="1"/>
  <c r="Z436" i="23"/>
  <c r="AA436" i="23" s="1"/>
  <c r="Z428" i="23"/>
  <c r="AA428" i="23" s="1"/>
  <c r="Z435" i="23"/>
  <c r="AA435" i="23" s="1"/>
  <c r="Z427" i="23"/>
  <c r="AA427" i="23" s="1"/>
  <c r="Z419" i="23"/>
  <c r="AA419" i="23" s="1"/>
  <c r="Z434" i="23"/>
  <c r="AA434" i="23" s="1"/>
  <c r="Z426" i="23"/>
  <c r="AA426" i="23" s="1"/>
  <c r="Z455" i="23"/>
  <c r="AA455" i="23" s="1"/>
  <c r="Z433" i="23"/>
  <c r="AA433" i="23" s="1"/>
  <c r="Z425" i="23"/>
  <c r="AA425" i="23" s="1"/>
  <c r="Z413" i="23"/>
  <c r="AA413" i="23" s="1"/>
  <c r="Z423" i="23"/>
  <c r="AA423" i="23" s="1"/>
  <c r="Z412" i="23"/>
  <c r="AA412" i="23" s="1"/>
  <c r="Z404" i="23"/>
  <c r="AA404" i="23" s="1"/>
  <c r="Z432" i="23"/>
  <c r="AA432" i="23" s="1"/>
  <c r="Z431" i="23"/>
  <c r="AA431" i="23" s="1"/>
  <c r="Z411" i="23"/>
  <c r="AA411" i="23" s="1"/>
  <c r="Z403" i="23"/>
  <c r="AA403" i="23" s="1"/>
  <c r="Z420" i="23"/>
  <c r="AA420" i="23" s="1"/>
  <c r="Z418" i="23"/>
  <c r="AA418" i="23" s="1"/>
  <c r="Z422" i="23"/>
  <c r="AA422" i="23" s="1"/>
  <c r="Z417" i="23"/>
  <c r="AA417" i="23" s="1"/>
  <c r="Z409" i="23"/>
  <c r="AA409" i="23" s="1"/>
  <c r="Z416" i="23"/>
  <c r="AA416" i="23" s="1"/>
  <c r="Z447" i="23"/>
  <c r="AA447" i="23" s="1"/>
  <c r="Z443" i="23"/>
  <c r="AA443" i="23" s="1"/>
  <c r="Z440" i="23"/>
  <c r="AA440" i="23" s="1"/>
  <c r="Z439" i="23"/>
  <c r="AA439" i="23" s="1"/>
  <c r="Z415" i="23"/>
  <c r="AA415" i="23" s="1"/>
  <c r="Z407" i="23"/>
  <c r="AA407" i="23" s="1"/>
  <c r="Z393" i="23"/>
  <c r="AA393" i="23" s="1"/>
  <c r="Z385" i="23"/>
  <c r="AA385" i="23" s="1"/>
  <c r="Z377" i="23"/>
  <c r="AA377" i="23" s="1"/>
  <c r="Z369" i="23"/>
  <c r="AA369" i="23" s="1"/>
  <c r="Z408" i="23"/>
  <c r="AA408" i="23" s="1"/>
  <c r="Z392" i="23"/>
  <c r="AA392" i="23" s="1"/>
  <c r="Z384" i="23"/>
  <c r="AA384" i="23" s="1"/>
  <c r="Z376" i="23"/>
  <c r="AA376" i="23" s="1"/>
  <c r="Z368" i="23"/>
  <c r="AA368" i="23" s="1"/>
  <c r="Z360" i="23"/>
  <c r="AA360" i="23" s="1"/>
  <c r="Z410" i="23"/>
  <c r="AA410" i="23" s="1"/>
  <c r="Z401" i="23"/>
  <c r="AA401" i="23" s="1"/>
  <c r="Z399" i="23"/>
  <c r="AA399" i="23" s="1"/>
  <c r="Z391" i="23"/>
  <c r="AA391" i="23" s="1"/>
  <c r="Z383" i="23"/>
  <c r="AA383" i="23" s="1"/>
  <c r="Z375" i="23"/>
  <c r="AA375" i="23" s="1"/>
  <c r="Z367" i="23"/>
  <c r="AA367" i="23" s="1"/>
  <c r="Z414" i="23"/>
  <c r="AA414" i="23" s="1"/>
  <c r="Z398" i="23"/>
  <c r="AA398" i="23" s="1"/>
  <c r="Z390" i="23"/>
  <c r="AA390" i="23" s="1"/>
  <c r="Z382" i="23"/>
  <c r="AA382" i="23" s="1"/>
  <c r="Z374" i="23"/>
  <c r="AA374" i="23" s="1"/>
  <c r="Z366" i="23"/>
  <c r="AA366" i="23" s="1"/>
  <c r="Z424" i="23"/>
  <c r="AA424" i="23" s="1"/>
  <c r="Z395" i="23"/>
  <c r="AA395" i="23" s="1"/>
  <c r="Z387" i="23"/>
  <c r="AA387" i="23" s="1"/>
  <c r="Z379" i="23"/>
  <c r="AA379" i="23" s="1"/>
  <c r="Z371" i="23"/>
  <c r="AA371" i="23" s="1"/>
  <c r="Z363" i="23"/>
  <c r="AA363" i="23" s="1"/>
  <c r="Z406" i="23"/>
  <c r="AA406" i="23" s="1"/>
  <c r="Z402" i="23"/>
  <c r="AA402" i="23" s="1"/>
  <c r="Z400" i="23"/>
  <c r="AA400" i="23" s="1"/>
  <c r="Z394" i="23"/>
  <c r="AA394" i="23" s="1"/>
  <c r="Z386" i="23"/>
  <c r="AA386" i="23" s="1"/>
  <c r="Z373" i="23"/>
  <c r="AA373" i="23" s="1"/>
  <c r="Z355" i="23"/>
  <c r="AA355" i="23" s="1"/>
  <c r="Z347" i="23"/>
  <c r="AA347" i="23" s="1"/>
  <c r="Z339" i="23"/>
  <c r="AA339" i="23" s="1"/>
  <c r="Z331" i="23"/>
  <c r="AA331" i="23" s="1"/>
  <c r="Z364" i="23"/>
  <c r="AA364" i="23" s="1"/>
  <c r="Z354" i="23"/>
  <c r="AA354" i="23" s="1"/>
  <c r="Z381" i="23"/>
  <c r="AA381" i="23" s="1"/>
  <c r="Z361" i="23"/>
  <c r="AA361" i="23" s="1"/>
  <c r="Z353" i="23"/>
  <c r="AA353" i="23" s="1"/>
  <c r="Z345" i="23"/>
  <c r="AA345" i="23" s="1"/>
  <c r="Z337" i="23"/>
  <c r="AA337" i="23" s="1"/>
  <c r="Z329" i="23"/>
  <c r="AA329" i="23" s="1"/>
  <c r="Z397" i="23"/>
  <c r="AA397" i="23" s="1"/>
  <c r="Z396" i="23"/>
  <c r="AA396" i="23" s="1"/>
  <c r="Z372" i="23"/>
  <c r="AA372" i="23" s="1"/>
  <c r="Z359" i="23"/>
  <c r="AA359" i="23" s="1"/>
  <c r="Z352" i="23"/>
  <c r="AA352" i="23" s="1"/>
  <c r="Z344" i="23"/>
  <c r="AA344" i="23" s="1"/>
  <c r="Z336" i="23"/>
  <c r="AA336" i="23" s="1"/>
  <c r="Z328" i="23"/>
  <c r="AA328" i="23" s="1"/>
  <c r="Z405" i="23"/>
  <c r="AA405" i="23" s="1"/>
  <c r="Z378" i="23"/>
  <c r="AA378" i="23" s="1"/>
  <c r="Z365" i="23"/>
  <c r="AA365" i="23" s="1"/>
  <c r="Z358" i="23"/>
  <c r="AA358" i="23" s="1"/>
  <c r="Z357" i="23"/>
  <c r="AA357" i="23" s="1"/>
  <c r="Z349" i="23"/>
  <c r="AA349" i="23" s="1"/>
  <c r="Z341" i="23"/>
  <c r="AA341" i="23" s="1"/>
  <c r="Z333" i="23"/>
  <c r="AA333" i="23" s="1"/>
  <c r="Z325" i="23"/>
  <c r="AA325" i="23" s="1"/>
  <c r="Z362" i="23"/>
  <c r="AA362" i="23" s="1"/>
  <c r="Z350" i="23"/>
  <c r="AA350" i="23" s="1"/>
  <c r="Z317" i="23"/>
  <c r="AA317" i="23" s="1"/>
  <c r="Z348" i="23"/>
  <c r="AA348" i="23" s="1"/>
  <c r="Z389" i="23"/>
  <c r="AA389" i="23" s="1"/>
  <c r="Z380" i="23"/>
  <c r="AA380" i="23" s="1"/>
  <c r="Z370" i="23"/>
  <c r="AA370" i="23" s="1"/>
  <c r="Z327" i="23"/>
  <c r="AA327" i="23" s="1"/>
  <c r="Z323" i="23"/>
  <c r="AA323" i="23" s="1"/>
  <c r="Z356" i="23"/>
  <c r="AA356" i="23" s="1"/>
  <c r="Z346" i="23"/>
  <c r="AA346" i="23" s="1"/>
  <c r="Z342" i="23"/>
  <c r="AA342" i="23" s="1"/>
  <c r="Z340" i="23"/>
  <c r="AA340" i="23" s="1"/>
  <c r="Z338" i="23"/>
  <c r="AA338" i="23" s="1"/>
  <c r="Z334" i="23"/>
  <c r="AA334" i="23" s="1"/>
  <c r="Z332" i="23"/>
  <c r="AA332" i="23" s="1"/>
  <c r="Z330" i="23"/>
  <c r="AA330" i="23" s="1"/>
  <c r="Z322" i="23"/>
  <c r="AA322" i="23" s="1"/>
  <c r="Z314" i="23"/>
  <c r="AA314" i="23" s="1"/>
  <c r="Z351" i="23"/>
  <c r="AA351" i="23" s="1"/>
  <c r="Z306" i="23"/>
  <c r="AA306" i="23" s="1"/>
  <c r="Z298" i="23"/>
  <c r="AA298" i="23" s="1"/>
  <c r="Z290" i="23"/>
  <c r="AA290" i="23" s="1"/>
  <c r="Z282" i="23"/>
  <c r="AA282" i="23" s="1"/>
  <c r="Z305" i="23"/>
  <c r="AA305" i="23" s="1"/>
  <c r="Z297" i="23"/>
  <c r="AA297" i="23" s="1"/>
  <c r="Z289" i="23"/>
  <c r="AA289" i="23" s="1"/>
  <c r="Z281" i="23"/>
  <c r="AA281" i="23" s="1"/>
  <c r="Z326" i="23"/>
  <c r="AA326" i="23" s="1"/>
  <c r="Z318" i="23"/>
  <c r="AA318" i="23" s="1"/>
  <c r="Z316" i="23"/>
  <c r="AA316" i="23" s="1"/>
  <c r="Z313" i="23"/>
  <c r="AA313" i="23" s="1"/>
  <c r="Z304" i="23"/>
  <c r="AA304" i="23" s="1"/>
  <c r="Z296" i="23"/>
  <c r="AA296" i="23" s="1"/>
  <c r="Z288" i="23"/>
  <c r="AA288" i="23" s="1"/>
  <c r="Z280" i="23"/>
  <c r="AA280" i="23" s="1"/>
  <c r="Z335" i="23"/>
  <c r="AA335" i="23" s="1"/>
  <c r="Z321" i="23"/>
  <c r="AA321" i="23" s="1"/>
  <c r="Z311" i="23"/>
  <c r="AA311" i="23" s="1"/>
  <c r="Z319" i="23"/>
  <c r="AA319" i="23" s="1"/>
  <c r="Z312" i="23"/>
  <c r="AA312" i="23" s="1"/>
  <c r="Z310" i="23"/>
  <c r="AA310" i="23" s="1"/>
  <c r="Z302" i="23"/>
  <c r="AA302" i="23" s="1"/>
  <c r="Z294" i="23"/>
  <c r="AA294" i="23" s="1"/>
  <c r="Z286" i="23"/>
  <c r="AA286" i="23" s="1"/>
  <c r="Z388" i="23"/>
  <c r="AA388" i="23" s="1"/>
  <c r="Z343" i="23"/>
  <c r="AA343" i="23" s="1"/>
  <c r="Z324" i="23"/>
  <c r="AA324" i="23" s="1"/>
  <c r="Z309" i="23"/>
  <c r="AA309" i="23" s="1"/>
  <c r="Z301" i="23"/>
  <c r="AA301" i="23" s="1"/>
  <c r="Z293" i="23"/>
  <c r="AA293" i="23" s="1"/>
  <c r="Z285" i="23"/>
  <c r="AA285" i="23" s="1"/>
  <c r="Z320" i="23"/>
  <c r="AA320" i="23" s="1"/>
  <c r="Z276" i="23"/>
  <c r="AA276" i="23" s="1"/>
  <c r="Z299" i="23"/>
  <c r="AA299" i="23" s="1"/>
  <c r="Z287" i="23"/>
  <c r="AA287" i="23" s="1"/>
  <c r="Z278" i="23"/>
  <c r="AA278" i="23" s="1"/>
  <c r="Z277" i="23"/>
  <c r="AA277" i="23" s="1"/>
  <c r="Z270" i="23"/>
  <c r="AA270" i="23" s="1"/>
  <c r="Z262" i="23"/>
  <c r="AA262" i="23" s="1"/>
  <c r="Z254" i="23"/>
  <c r="AA254" i="23" s="1"/>
  <c r="Z284" i="23"/>
  <c r="AA284" i="23" s="1"/>
  <c r="Z269" i="23"/>
  <c r="AA269" i="23" s="1"/>
  <c r="Z261" i="23"/>
  <c r="AA261" i="23" s="1"/>
  <c r="Z253" i="23"/>
  <c r="AA253" i="23" s="1"/>
  <c r="Z245" i="23"/>
  <c r="AA245" i="23" s="1"/>
  <c r="Z295" i="23"/>
  <c r="AA295" i="23" s="1"/>
  <c r="Z268" i="23"/>
  <c r="AA268" i="23" s="1"/>
  <c r="Z260" i="23"/>
  <c r="AA260" i="23" s="1"/>
  <c r="Z252" i="23"/>
  <c r="AA252" i="23" s="1"/>
  <c r="Z244" i="23"/>
  <c r="AA244" i="23" s="1"/>
  <c r="Z292" i="23"/>
  <c r="AA292" i="23" s="1"/>
  <c r="Z279" i="23"/>
  <c r="AA279" i="23" s="1"/>
  <c r="Z275" i="23"/>
  <c r="AA275" i="23" s="1"/>
  <c r="Z308" i="23"/>
  <c r="AA308" i="23" s="1"/>
  <c r="Z307" i="23"/>
  <c r="AA307" i="23" s="1"/>
  <c r="Z303" i="23"/>
  <c r="AA303" i="23" s="1"/>
  <c r="Z274" i="23"/>
  <c r="AA274" i="23" s="1"/>
  <c r="Z266" i="23"/>
  <c r="AA266" i="23" s="1"/>
  <c r="Z258" i="23"/>
  <c r="AA258" i="23" s="1"/>
  <c r="Z315" i="23"/>
  <c r="AA315" i="23" s="1"/>
  <c r="Z300" i="23"/>
  <c r="AA300" i="23" s="1"/>
  <c r="Z283" i="23"/>
  <c r="AA283" i="23" s="1"/>
  <c r="Z273" i="23"/>
  <c r="AA273" i="23" s="1"/>
  <c r="Z265" i="23"/>
  <c r="AA265" i="23" s="1"/>
  <c r="Z257" i="23"/>
  <c r="AA257" i="23" s="1"/>
  <c r="Z249" i="23"/>
  <c r="AA249" i="23" s="1"/>
  <c r="Z291" i="23"/>
  <c r="AA291" i="23" s="1"/>
  <c r="Z272" i="23"/>
  <c r="AA272" i="23" s="1"/>
  <c r="Z264" i="23"/>
  <c r="AA264" i="23" s="1"/>
  <c r="Z256" i="23"/>
  <c r="AA256" i="23" s="1"/>
  <c r="Z248" i="23"/>
  <c r="AA248" i="23" s="1"/>
  <c r="Z240" i="23"/>
  <c r="AA240" i="23" s="1"/>
  <c r="Z271" i="23"/>
  <c r="AA271" i="23" s="1"/>
  <c r="Z255" i="23"/>
  <c r="AA255" i="23" s="1"/>
  <c r="Z236" i="23"/>
  <c r="AA236" i="23" s="1"/>
  <c r="Z228" i="23"/>
  <c r="AA228" i="23" s="1"/>
  <c r="Z220" i="23"/>
  <c r="AA220" i="23" s="1"/>
  <c r="Z212" i="23"/>
  <c r="AA212" i="23" s="1"/>
  <c r="Z204" i="23"/>
  <c r="AA204" i="23" s="1"/>
  <c r="Z251" i="23"/>
  <c r="AA251" i="23" s="1"/>
  <c r="Z241" i="23"/>
  <c r="AA241" i="23" s="1"/>
  <c r="Z235" i="23"/>
  <c r="AA235" i="23" s="1"/>
  <c r="Z227" i="23"/>
  <c r="AA227" i="23" s="1"/>
  <c r="Z219" i="23"/>
  <c r="AA219" i="23" s="1"/>
  <c r="Z211" i="23"/>
  <c r="AA211" i="23" s="1"/>
  <c r="Z259" i="23"/>
  <c r="AA259" i="23" s="1"/>
  <c r="Z234" i="23"/>
  <c r="AA234" i="23" s="1"/>
  <c r="Z226" i="23"/>
  <c r="AA226" i="23" s="1"/>
  <c r="Z218" i="23"/>
  <c r="AA218" i="23" s="1"/>
  <c r="Z210" i="23"/>
  <c r="AA210" i="23" s="1"/>
  <c r="Z202" i="23"/>
  <c r="AA202" i="23" s="1"/>
  <c r="Z233" i="23"/>
  <c r="AA233" i="23" s="1"/>
  <c r="Z225" i="23"/>
  <c r="AA225" i="23" s="1"/>
  <c r="Z217" i="23"/>
  <c r="AA217" i="23" s="1"/>
  <c r="Z209" i="23"/>
  <c r="AA209" i="23" s="1"/>
  <c r="Z263" i="23"/>
  <c r="AA263" i="23" s="1"/>
  <c r="Z232" i="23"/>
  <c r="AA232" i="23" s="1"/>
  <c r="Z224" i="23"/>
  <c r="AA224" i="23" s="1"/>
  <c r="Z216" i="23"/>
  <c r="AA216" i="23" s="1"/>
  <c r="Z208" i="23"/>
  <c r="AA208" i="23" s="1"/>
  <c r="Z250" i="23"/>
  <c r="AA250" i="23" s="1"/>
  <c r="Z246" i="23"/>
  <c r="AA246" i="23" s="1"/>
  <c r="Z239" i="23"/>
  <c r="AA239" i="23" s="1"/>
  <c r="Z231" i="23"/>
  <c r="AA231" i="23" s="1"/>
  <c r="Z267" i="23"/>
  <c r="AA267" i="23" s="1"/>
  <c r="Z247" i="23"/>
  <c r="AA247" i="23" s="1"/>
  <c r="Z243" i="23"/>
  <c r="AA243" i="23" s="1"/>
  <c r="Z238" i="23"/>
  <c r="AA238" i="23" s="1"/>
  <c r="Z230" i="23"/>
  <c r="AA230" i="23" s="1"/>
  <c r="Z222" i="23"/>
  <c r="AA222" i="23" s="1"/>
  <c r="Z214" i="23"/>
  <c r="AA214" i="23" s="1"/>
  <c r="Z206" i="23"/>
  <c r="AA206" i="23" s="1"/>
  <c r="Z242" i="23"/>
  <c r="AA242" i="23" s="1"/>
  <c r="Z237" i="23"/>
  <c r="AA237" i="23" s="1"/>
  <c r="Z229" i="23"/>
  <c r="AA229" i="23" s="1"/>
  <c r="Z221" i="23"/>
  <c r="AA221" i="23" s="1"/>
  <c r="Z213" i="23"/>
  <c r="AA213" i="23" s="1"/>
  <c r="Z215" i="23"/>
  <c r="AA215" i="23" s="1"/>
  <c r="Z203" i="23"/>
  <c r="AA203" i="23" s="1"/>
  <c r="Z191" i="23"/>
  <c r="AA191" i="23" s="1"/>
  <c r="Z183" i="23"/>
  <c r="AA183" i="23" s="1"/>
  <c r="Z175" i="23"/>
  <c r="AA175" i="23" s="1"/>
  <c r="Z167" i="23"/>
  <c r="AA167" i="23" s="1"/>
  <c r="Z159" i="23"/>
  <c r="AA159" i="23" s="1"/>
  <c r="Z198" i="23"/>
  <c r="AA198" i="23" s="1"/>
  <c r="Z190" i="23"/>
  <c r="AA190" i="23" s="1"/>
  <c r="Z182" i="23"/>
  <c r="AA182" i="23" s="1"/>
  <c r="Z174" i="23"/>
  <c r="AA174" i="23" s="1"/>
  <c r="Z166" i="23"/>
  <c r="AA166" i="23" s="1"/>
  <c r="Z158" i="23"/>
  <c r="AA158" i="23" s="1"/>
  <c r="Z200" i="23"/>
  <c r="AA200" i="23" s="1"/>
  <c r="Z197" i="23"/>
  <c r="AA197" i="23" s="1"/>
  <c r="Z189" i="23"/>
  <c r="AA189" i="23" s="1"/>
  <c r="Z181" i="23"/>
  <c r="AA181" i="23" s="1"/>
  <c r="Z173" i="23"/>
  <c r="AA173" i="23" s="1"/>
  <c r="Z165" i="23"/>
  <c r="AA165" i="23" s="1"/>
  <c r="Z157" i="23"/>
  <c r="AA157" i="23" s="1"/>
  <c r="Z207" i="23"/>
  <c r="AA207" i="23" s="1"/>
  <c r="Z196" i="23"/>
  <c r="AA196" i="23" s="1"/>
  <c r="Z188" i="23"/>
  <c r="AA188" i="23" s="1"/>
  <c r="Z180" i="23"/>
  <c r="AA180" i="23" s="1"/>
  <c r="Z172" i="23"/>
  <c r="AA172" i="23" s="1"/>
  <c r="Z164" i="23"/>
  <c r="AA164" i="23" s="1"/>
  <c r="Z156" i="23"/>
  <c r="AA156" i="23" s="1"/>
  <c r="Z205" i="23"/>
  <c r="AA205" i="23" s="1"/>
  <c r="Z194" i="23"/>
  <c r="AA194" i="23" s="1"/>
  <c r="Z186" i="23"/>
  <c r="AA186" i="23" s="1"/>
  <c r="Z178" i="23"/>
  <c r="AA178" i="23" s="1"/>
  <c r="Z170" i="23"/>
  <c r="AA170" i="23" s="1"/>
  <c r="Z162" i="23"/>
  <c r="AA162" i="23" s="1"/>
  <c r="Z223" i="23"/>
  <c r="AA223" i="23" s="1"/>
  <c r="Z193" i="23"/>
  <c r="AA193" i="23" s="1"/>
  <c r="Z185" i="23"/>
  <c r="AA185" i="23" s="1"/>
  <c r="Z177" i="23"/>
  <c r="AA177" i="23" s="1"/>
  <c r="Z169" i="23"/>
  <c r="AA169" i="23" s="1"/>
  <c r="Z161" i="23"/>
  <c r="AA161" i="23" s="1"/>
  <c r="Z153" i="23"/>
  <c r="AA153" i="23" s="1"/>
  <c r="Z201" i="23"/>
  <c r="AA201" i="23" s="1"/>
  <c r="Z199" i="23"/>
  <c r="AA199" i="23" s="1"/>
  <c r="Z192" i="23"/>
  <c r="AA192" i="23" s="1"/>
  <c r="Z184" i="23"/>
  <c r="AA184" i="23" s="1"/>
  <c r="Z176" i="23"/>
  <c r="AA176" i="23" s="1"/>
  <c r="Z168" i="23"/>
  <c r="AA168" i="23" s="1"/>
  <c r="Z160" i="23"/>
  <c r="AA160" i="23" s="1"/>
  <c r="Z155" i="23"/>
  <c r="AA155" i="23" s="1"/>
  <c r="Z154" i="23"/>
  <c r="AA154" i="23" s="1"/>
  <c r="Z145" i="23"/>
  <c r="AA145" i="23" s="1"/>
  <c r="Z137" i="23"/>
  <c r="AA137" i="23" s="1"/>
  <c r="Z129" i="23"/>
  <c r="AA129" i="23" s="1"/>
  <c r="Z121" i="23"/>
  <c r="AA121" i="23" s="1"/>
  <c r="Z187" i="23"/>
  <c r="AA187" i="23" s="1"/>
  <c r="Z144" i="23"/>
  <c r="AA144" i="23" s="1"/>
  <c r="Z136" i="23"/>
  <c r="AA136" i="23" s="1"/>
  <c r="Z128" i="23"/>
  <c r="AA128" i="23" s="1"/>
  <c r="Z120" i="23"/>
  <c r="AA120" i="23" s="1"/>
  <c r="Z112" i="23"/>
  <c r="AA112" i="23" s="1"/>
  <c r="Z151" i="23"/>
  <c r="AA151" i="23" s="1"/>
  <c r="Z143" i="23"/>
  <c r="AA143" i="23" s="1"/>
  <c r="Z135" i="23"/>
  <c r="AA135" i="23" s="1"/>
  <c r="Z127" i="23"/>
  <c r="AA127" i="23" s="1"/>
  <c r="Z119" i="23"/>
  <c r="AA119" i="23" s="1"/>
  <c r="Z179" i="23"/>
  <c r="AA179" i="23" s="1"/>
  <c r="Z150" i="23"/>
  <c r="AA150" i="23" s="1"/>
  <c r="Z142" i="23"/>
  <c r="AA142" i="23" s="1"/>
  <c r="Z134" i="23"/>
  <c r="AA134" i="23" s="1"/>
  <c r="Z126" i="23"/>
  <c r="AA126" i="23" s="1"/>
  <c r="Z118" i="23"/>
  <c r="AA118" i="23" s="1"/>
  <c r="Z110" i="23"/>
  <c r="AA110" i="23" s="1"/>
  <c r="Z149" i="23"/>
  <c r="AA149" i="23" s="1"/>
  <c r="Z141" i="23"/>
  <c r="AA141" i="23" s="1"/>
  <c r="Z133" i="23"/>
  <c r="AA133" i="23" s="1"/>
  <c r="Z125" i="23"/>
  <c r="AA125" i="23" s="1"/>
  <c r="Z117" i="23"/>
  <c r="AA117" i="23" s="1"/>
  <c r="Z109" i="23"/>
  <c r="AA109" i="23" s="1"/>
  <c r="Z171" i="23"/>
  <c r="AA171" i="23" s="1"/>
  <c r="Z148" i="23"/>
  <c r="AA148" i="23" s="1"/>
  <c r="Z140" i="23"/>
  <c r="AA140" i="23" s="1"/>
  <c r="Z132" i="23"/>
  <c r="AA132" i="23" s="1"/>
  <c r="Z124" i="23"/>
  <c r="AA124" i="23" s="1"/>
  <c r="Z116" i="23"/>
  <c r="AA116" i="23" s="1"/>
  <c r="Z108" i="23"/>
  <c r="AA108" i="23" s="1"/>
  <c r="Z147" i="23"/>
  <c r="AA147" i="23" s="1"/>
  <c r="Z139" i="23"/>
  <c r="AA139" i="23" s="1"/>
  <c r="Z131" i="23"/>
  <c r="AA131" i="23" s="1"/>
  <c r="Z123" i="23"/>
  <c r="AA123" i="23" s="1"/>
  <c r="Z115" i="23"/>
  <c r="AA115" i="23" s="1"/>
  <c r="Z195" i="23"/>
  <c r="AA195" i="23" s="1"/>
  <c r="Z163" i="23"/>
  <c r="AA163" i="23" s="1"/>
  <c r="Z152" i="23"/>
  <c r="AA152" i="23" s="1"/>
  <c r="Z146" i="23"/>
  <c r="AA146" i="23" s="1"/>
  <c r="Z138" i="23"/>
  <c r="AA138" i="23" s="1"/>
  <c r="Z130" i="23"/>
  <c r="AA130" i="23" s="1"/>
  <c r="Z122" i="23"/>
  <c r="AA122" i="23" s="1"/>
  <c r="Z114" i="23"/>
  <c r="AA114" i="23" s="1"/>
  <c r="Z99" i="23"/>
  <c r="AA99" i="23" s="1"/>
  <c r="Z91" i="23"/>
  <c r="AA91" i="23" s="1"/>
  <c r="Z83" i="23"/>
  <c r="AA83" i="23" s="1"/>
  <c r="Z75" i="23"/>
  <c r="AA75" i="23" s="1"/>
  <c r="Z113" i="23"/>
  <c r="AA113" i="23" s="1"/>
  <c r="Z106" i="23"/>
  <c r="AA106" i="23" s="1"/>
  <c r="Z98" i="23"/>
  <c r="AA98" i="23" s="1"/>
  <c r="Z90" i="23"/>
  <c r="AA90" i="23" s="1"/>
  <c r="Z82" i="23"/>
  <c r="AA82" i="23" s="1"/>
  <c r="Z74" i="23"/>
  <c r="AA74" i="23" s="1"/>
  <c r="Z66" i="23"/>
  <c r="AA66" i="23" s="1"/>
  <c r="Z58" i="23"/>
  <c r="AA58" i="23" s="1"/>
  <c r="Z105" i="23"/>
  <c r="AA105" i="23" s="1"/>
  <c r="Z97" i="23"/>
  <c r="AA97" i="23" s="1"/>
  <c r="Z89" i="23"/>
  <c r="AA89" i="23" s="1"/>
  <c r="Z81" i="23"/>
  <c r="AA81" i="23" s="1"/>
  <c r="Z73" i="23"/>
  <c r="AA73" i="23" s="1"/>
  <c r="Z65" i="23"/>
  <c r="AA65" i="23" s="1"/>
  <c r="Z104" i="23"/>
  <c r="AA104" i="23" s="1"/>
  <c r="Z96" i="23"/>
  <c r="AA96" i="23" s="1"/>
  <c r="Z88" i="23"/>
  <c r="AA88" i="23" s="1"/>
  <c r="Z80" i="23"/>
  <c r="AA80" i="23" s="1"/>
  <c r="Z72" i="23"/>
  <c r="AA72" i="23" s="1"/>
  <c r="Z64" i="23"/>
  <c r="AA64" i="23" s="1"/>
  <c r="Z111" i="23"/>
  <c r="AA111" i="23" s="1"/>
  <c r="Z107" i="23"/>
  <c r="AA107" i="23" s="1"/>
  <c r="Z103" i="23"/>
  <c r="AA103" i="23" s="1"/>
  <c r="Z95" i="23"/>
  <c r="AA95" i="23" s="1"/>
  <c r="Z87" i="23"/>
  <c r="AA87" i="23" s="1"/>
  <c r="Z79" i="23"/>
  <c r="AA79" i="23" s="1"/>
  <c r="Z71" i="23"/>
  <c r="AA71" i="23" s="1"/>
  <c r="Z63" i="23"/>
  <c r="AA63" i="23" s="1"/>
  <c r="Z102" i="23"/>
  <c r="AA102" i="23" s="1"/>
  <c r="Z94" i="23"/>
  <c r="AA94" i="23" s="1"/>
  <c r="Z86" i="23"/>
  <c r="AA86" i="23" s="1"/>
  <c r="Z78" i="23"/>
  <c r="AA78" i="23" s="1"/>
  <c r="Z70" i="23"/>
  <c r="AA70" i="23" s="1"/>
  <c r="Z62" i="23"/>
  <c r="AA62" i="23" s="1"/>
  <c r="Z101" i="23"/>
  <c r="AA101" i="23" s="1"/>
  <c r="Z93" i="23"/>
  <c r="AA93" i="23" s="1"/>
  <c r="Z85" i="23"/>
  <c r="AA85" i="23" s="1"/>
  <c r="Z77" i="23"/>
  <c r="AA77" i="23" s="1"/>
  <c r="Z69" i="23"/>
  <c r="AA69" i="23" s="1"/>
  <c r="Z61" i="23"/>
  <c r="AA61" i="23" s="1"/>
  <c r="Z100" i="23"/>
  <c r="AA100" i="23" s="1"/>
  <c r="Z92" i="23"/>
  <c r="AA92" i="23" s="1"/>
  <c r="Z84" i="23"/>
  <c r="AA84" i="23" s="1"/>
  <c r="Z76" i="23"/>
  <c r="AA76" i="23" s="1"/>
  <c r="Z68" i="23"/>
  <c r="AA68" i="23" s="1"/>
  <c r="Z60" i="23"/>
  <c r="AA60" i="23" s="1"/>
  <c r="U528" i="23"/>
  <c r="U520" i="23"/>
  <c r="U512" i="23"/>
  <c r="U527" i="23"/>
  <c r="U519" i="23"/>
  <c r="U511" i="23"/>
  <c r="U526" i="23"/>
  <c r="U524" i="23"/>
  <c r="U531" i="23"/>
  <c r="U523" i="23"/>
  <c r="U530" i="23"/>
  <c r="U522" i="23"/>
  <c r="U529" i="23"/>
  <c r="U521" i="23"/>
  <c r="U518" i="23"/>
  <c r="U509" i="23"/>
  <c r="U525" i="23"/>
  <c r="U515" i="23"/>
  <c r="U499" i="23"/>
  <c r="U513" i="23"/>
  <c r="U510" i="23"/>
  <c r="U504" i="23"/>
  <c r="U507" i="23"/>
  <c r="U503" i="23"/>
  <c r="U502" i="23"/>
  <c r="U516" i="23"/>
  <c r="U508" i="23"/>
  <c r="U501" i="23"/>
  <c r="U506" i="23"/>
  <c r="U498" i="23"/>
  <c r="U492" i="23"/>
  <c r="U484" i="23"/>
  <c r="U491" i="23"/>
  <c r="U483" i="23"/>
  <c r="U489" i="23"/>
  <c r="U517" i="23"/>
  <c r="U488" i="23"/>
  <c r="U480" i="23"/>
  <c r="U505" i="23"/>
  <c r="U497" i="23"/>
  <c r="U495" i="23"/>
  <c r="U487" i="23"/>
  <c r="U514" i="23"/>
  <c r="U496" i="23"/>
  <c r="U494" i="23"/>
  <c r="U486" i="23"/>
  <c r="U479" i="23"/>
  <c r="U474" i="23"/>
  <c r="U466" i="23"/>
  <c r="U473" i="23"/>
  <c r="U465" i="23"/>
  <c r="U482" i="23"/>
  <c r="U472" i="23"/>
  <c r="U464" i="23"/>
  <c r="U500" i="23"/>
  <c r="U493" i="23"/>
  <c r="U490" i="23"/>
  <c r="U481" i="23"/>
  <c r="U471" i="23"/>
  <c r="U478" i="23"/>
  <c r="U470" i="23"/>
  <c r="U462" i="23"/>
  <c r="U477" i="23"/>
  <c r="U469" i="23"/>
  <c r="U476" i="23"/>
  <c r="U468" i="23"/>
  <c r="U485" i="23"/>
  <c r="U467" i="23"/>
  <c r="U451" i="23"/>
  <c r="U443" i="23"/>
  <c r="U461" i="23"/>
  <c r="U450" i="23"/>
  <c r="U442" i="23"/>
  <c r="U475" i="23"/>
  <c r="U457" i="23"/>
  <c r="U449" i="23"/>
  <c r="U441" i="23"/>
  <c r="U458" i="23"/>
  <c r="U456" i="23"/>
  <c r="U448" i="23"/>
  <c r="U455" i="23"/>
  <c r="U447" i="23"/>
  <c r="U459" i="23"/>
  <c r="U454" i="23"/>
  <c r="U446" i="23"/>
  <c r="U460" i="23"/>
  <c r="U453" i="23"/>
  <c r="U445" i="23"/>
  <c r="U435" i="23"/>
  <c r="U427" i="23"/>
  <c r="U434" i="23"/>
  <c r="U426" i="23"/>
  <c r="U433" i="23"/>
  <c r="U425" i="23"/>
  <c r="U444" i="23"/>
  <c r="U440" i="23"/>
  <c r="U432" i="23"/>
  <c r="U424" i="23"/>
  <c r="U439" i="23"/>
  <c r="U431" i="23"/>
  <c r="U423" i="23"/>
  <c r="U452" i="23"/>
  <c r="U438" i="23"/>
  <c r="U430" i="23"/>
  <c r="U422" i="23"/>
  <c r="U418" i="23"/>
  <c r="U410" i="23"/>
  <c r="U421" i="23"/>
  <c r="U417" i="23"/>
  <c r="U409" i="23"/>
  <c r="U437" i="23"/>
  <c r="U416" i="23"/>
  <c r="U408" i="23"/>
  <c r="U400" i="23"/>
  <c r="U463" i="23"/>
  <c r="U428" i="23"/>
  <c r="U414" i="23"/>
  <c r="U406" i="23"/>
  <c r="U413" i="23"/>
  <c r="U429" i="23"/>
  <c r="U420" i="23"/>
  <c r="U412" i="23"/>
  <c r="U404" i="23"/>
  <c r="U405" i="23"/>
  <c r="U398" i="23"/>
  <c r="U390" i="23"/>
  <c r="U382" i="23"/>
  <c r="U374" i="23"/>
  <c r="U366" i="23"/>
  <c r="U397" i="23"/>
  <c r="U389" i="23"/>
  <c r="U381" i="23"/>
  <c r="U373" i="23"/>
  <c r="U365" i="23"/>
  <c r="U436" i="23"/>
  <c r="U396" i="23"/>
  <c r="U388" i="23"/>
  <c r="U380" i="23"/>
  <c r="U372" i="23"/>
  <c r="U364" i="23"/>
  <c r="U419" i="23"/>
  <c r="U402" i="23"/>
  <c r="U395" i="23"/>
  <c r="U387" i="23"/>
  <c r="U379" i="23"/>
  <c r="U371" i="23"/>
  <c r="U363" i="23"/>
  <c r="U407" i="23"/>
  <c r="U392" i="23"/>
  <c r="U384" i="23"/>
  <c r="U376" i="23"/>
  <c r="U368" i="23"/>
  <c r="U360" i="23"/>
  <c r="U415" i="23"/>
  <c r="U401" i="23"/>
  <c r="U399" i="23"/>
  <c r="U391" i="23"/>
  <c r="U378" i="23"/>
  <c r="U367" i="23"/>
  <c r="U362" i="23"/>
  <c r="U352" i="23"/>
  <c r="U344" i="23"/>
  <c r="U336" i="23"/>
  <c r="U377" i="23"/>
  <c r="U351" i="23"/>
  <c r="U411" i="23"/>
  <c r="U386" i="23"/>
  <c r="U375" i="23"/>
  <c r="U358" i="23"/>
  <c r="U350" i="23"/>
  <c r="U342" i="23"/>
  <c r="U334" i="23"/>
  <c r="U326" i="23"/>
  <c r="U385" i="23"/>
  <c r="U357" i="23"/>
  <c r="U349" i="23"/>
  <c r="U341" i="23"/>
  <c r="U333" i="23"/>
  <c r="U403" i="23"/>
  <c r="U370" i="23"/>
  <c r="U359" i="23"/>
  <c r="U354" i="23"/>
  <c r="U346" i="23"/>
  <c r="U338" i="23"/>
  <c r="U330" i="23"/>
  <c r="U383" i="23"/>
  <c r="U322" i="23"/>
  <c r="U314" i="23"/>
  <c r="U343" i="23"/>
  <c r="U339" i="23"/>
  <c r="U335" i="23"/>
  <c r="U331" i="23"/>
  <c r="U325" i="23"/>
  <c r="U321" i="23"/>
  <c r="U345" i="23"/>
  <c r="U337" i="23"/>
  <c r="U329" i="23"/>
  <c r="U324" i="23"/>
  <c r="U320" i="23"/>
  <c r="U348" i="23"/>
  <c r="U319" i="23"/>
  <c r="U393" i="23"/>
  <c r="U369" i="23"/>
  <c r="U353" i="23"/>
  <c r="U328" i="23"/>
  <c r="U327" i="23"/>
  <c r="U323" i="23"/>
  <c r="U347" i="23"/>
  <c r="U332" i="23"/>
  <c r="U312" i="23"/>
  <c r="U311" i="23"/>
  <c r="U303" i="23"/>
  <c r="U295" i="23"/>
  <c r="U287" i="23"/>
  <c r="U279" i="23"/>
  <c r="U394" i="23"/>
  <c r="U361" i="23"/>
  <c r="U310" i="23"/>
  <c r="U302" i="23"/>
  <c r="U294" i="23"/>
  <c r="U286" i="23"/>
  <c r="U278" i="23"/>
  <c r="U340" i="23"/>
  <c r="U315" i="23"/>
  <c r="U309" i="23"/>
  <c r="U301" i="23"/>
  <c r="U293" i="23"/>
  <c r="U285" i="23"/>
  <c r="U277" i="23"/>
  <c r="U356" i="23"/>
  <c r="U308" i="23"/>
  <c r="U318" i="23"/>
  <c r="U317" i="23"/>
  <c r="U307" i="23"/>
  <c r="U299" i="23"/>
  <c r="U291" i="23"/>
  <c r="U283" i="23"/>
  <c r="U306" i="23"/>
  <c r="U298" i="23"/>
  <c r="U290" i="23"/>
  <c r="U305" i="23"/>
  <c r="U300" i="23"/>
  <c r="U275" i="23"/>
  <c r="U267" i="23"/>
  <c r="U259" i="23"/>
  <c r="U251" i="23"/>
  <c r="U289" i="23"/>
  <c r="U288" i="23"/>
  <c r="U274" i="23"/>
  <c r="U266" i="23"/>
  <c r="U258" i="23"/>
  <c r="U250" i="23"/>
  <c r="U242" i="23"/>
  <c r="U355" i="23"/>
  <c r="U280" i="23"/>
  <c r="U276" i="23"/>
  <c r="U273" i="23"/>
  <c r="U265" i="23"/>
  <c r="U257" i="23"/>
  <c r="U249" i="23"/>
  <c r="U241" i="23"/>
  <c r="U297" i="23"/>
  <c r="U296" i="23"/>
  <c r="U316" i="23"/>
  <c r="U313" i="23"/>
  <c r="U284" i="23"/>
  <c r="U282" i="23"/>
  <c r="U271" i="23"/>
  <c r="U263" i="23"/>
  <c r="U255" i="23"/>
  <c r="U304" i="23"/>
  <c r="U270" i="23"/>
  <c r="U262" i="23"/>
  <c r="U254" i="23"/>
  <c r="U246" i="23"/>
  <c r="U292" i="23"/>
  <c r="U281" i="23"/>
  <c r="U269" i="23"/>
  <c r="U261" i="23"/>
  <c r="U253" i="23"/>
  <c r="U245" i="23"/>
  <c r="U264" i="23"/>
  <c r="U233" i="23"/>
  <c r="U225" i="23"/>
  <c r="U217" i="23"/>
  <c r="U209" i="23"/>
  <c r="U240" i="23"/>
  <c r="U232" i="23"/>
  <c r="U224" i="23"/>
  <c r="U216" i="23"/>
  <c r="U208" i="23"/>
  <c r="U268" i="23"/>
  <c r="U247" i="23"/>
  <c r="U243" i="23"/>
  <c r="U239" i="23"/>
  <c r="U231" i="23"/>
  <c r="U223" i="23"/>
  <c r="U215" i="23"/>
  <c r="U207" i="23"/>
  <c r="U199" i="23"/>
  <c r="U252" i="23"/>
  <c r="U238" i="23"/>
  <c r="U230" i="23"/>
  <c r="U222" i="23"/>
  <c r="U214" i="23"/>
  <c r="U272" i="23"/>
  <c r="U256" i="23"/>
  <c r="U237" i="23"/>
  <c r="U229" i="23"/>
  <c r="U221" i="23"/>
  <c r="U213" i="23"/>
  <c r="U205" i="23"/>
  <c r="U236" i="23"/>
  <c r="U228" i="23"/>
  <c r="U260" i="23"/>
  <c r="U248" i="23"/>
  <c r="U244" i="23"/>
  <c r="U235" i="23"/>
  <c r="U227" i="23"/>
  <c r="U219" i="23"/>
  <c r="U211" i="23"/>
  <c r="U203" i="23"/>
  <c r="U234" i="23"/>
  <c r="U226" i="23"/>
  <c r="U218" i="23"/>
  <c r="U210" i="23"/>
  <c r="U212" i="23"/>
  <c r="U196" i="23"/>
  <c r="U188" i="23"/>
  <c r="U180" i="23"/>
  <c r="U172" i="23"/>
  <c r="U164" i="23"/>
  <c r="U156" i="23"/>
  <c r="U195" i="23"/>
  <c r="U187" i="23"/>
  <c r="U179" i="23"/>
  <c r="U171" i="23"/>
  <c r="U163" i="23"/>
  <c r="U155" i="23"/>
  <c r="U202" i="23"/>
  <c r="U194" i="23"/>
  <c r="U186" i="23"/>
  <c r="U178" i="23"/>
  <c r="U170" i="23"/>
  <c r="U162" i="23"/>
  <c r="U154" i="23"/>
  <c r="U201" i="23"/>
  <c r="U193" i="23"/>
  <c r="U185" i="23"/>
  <c r="U177" i="23"/>
  <c r="U169" i="23"/>
  <c r="U161" i="23"/>
  <c r="U153" i="23"/>
  <c r="U204" i="23"/>
  <c r="U206" i="23"/>
  <c r="U191" i="23"/>
  <c r="U183" i="23"/>
  <c r="U175" i="23"/>
  <c r="U167" i="23"/>
  <c r="U220" i="23"/>
  <c r="U198" i="23"/>
  <c r="U190" i="23"/>
  <c r="U182" i="23"/>
  <c r="U174" i="23"/>
  <c r="U166" i="23"/>
  <c r="U158" i="23"/>
  <c r="U200" i="23"/>
  <c r="U197" i="23"/>
  <c r="U189" i="23"/>
  <c r="U181" i="23"/>
  <c r="U173" i="23"/>
  <c r="U165" i="23"/>
  <c r="U157" i="23"/>
  <c r="U160" i="23"/>
  <c r="U150" i="23"/>
  <c r="U142" i="23"/>
  <c r="U134" i="23"/>
  <c r="U126" i="23"/>
  <c r="U118" i="23"/>
  <c r="U184" i="23"/>
  <c r="U149" i="23"/>
  <c r="U141" i="23"/>
  <c r="U133" i="23"/>
  <c r="U125" i="23"/>
  <c r="U117" i="23"/>
  <c r="U109" i="23"/>
  <c r="U148" i="23"/>
  <c r="U140" i="23"/>
  <c r="U132" i="23"/>
  <c r="U124" i="23"/>
  <c r="U116" i="23"/>
  <c r="U176" i="23"/>
  <c r="U152" i="23"/>
  <c r="U147" i="23"/>
  <c r="U139" i="23"/>
  <c r="U131" i="23"/>
  <c r="U123" i="23"/>
  <c r="U115" i="23"/>
  <c r="U146" i="23"/>
  <c r="U138" i="23"/>
  <c r="U130" i="23"/>
  <c r="U122" i="23"/>
  <c r="U114" i="23"/>
  <c r="U168" i="23"/>
  <c r="U159" i="23"/>
  <c r="U145" i="23"/>
  <c r="U137" i="23"/>
  <c r="U129" i="23"/>
  <c r="U121" i="23"/>
  <c r="U113" i="23"/>
  <c r="U144" i="23"/>
  <c r="U136" i="23"/>
  <c r="U128" i="23"/>
  <c r="U120" i="23"/>
  <c r="U192" i="23"/>
  <c r="U151" i="23"/>
  <c r="U143" i="23"/>
  <c r="U135" i="23"/>
  <c r="U127" i="23"/>
  <c r="U119" i="23"/>
  <c r="U111" i="23"/>
  <c r="U112" i="23"/>
  <c r="U110" i="23"/>
  <c r="U107" i="23"/>
  <c r="U104" i="23"/>
  <c r="U96" i="23"/>
  <c r="U88" i="23"/>
  <c r="U80" i="23"/>
  <c r="U72" i="23"/>
  <c r="U108" i="23"/>
  <c r="U103" i="23"/>
  <c r="U95" i="23"/>
  <c r="U87" i="23"/>
  <c r="U79" i="23"/>
  <c r="U71" i="23"/>
  <c r="U63" i="23"/>
  <c r="U102" i="23"/>
  <c r="U94" i="23"/>
  <c r="U86" i="23"/>
  <c r="U78" i="23"/>
  <c r="U70" i="23"/>
  <c r="U62" i="23"/>
  <c r="U101" i="23"/>
  <c r="U93" i="23"/>
  <c r="U85" i="23"/>
  <c r="U77" i="23"/>
  <c r="U69" i="23"/>
  <c r="U61" i="23"/>
  <c r="U100" i="23"/>
  <c r="U92" i="23"/>
  <c r="U84" i="23"/>
  <c r="U76" i="23"/>
  <c r="U68" i="23"/>
  <c r="U99" i="23"/>
  <c r="U91" i="23"/>
  <c r="U83" i="23"/>
  <c r="U75" i="23"/>
  <c r="U67" i="23"/>
  <c r="U59" i="23"/>
  <c r="U106" i="23"/>
  <c r="U98" i="23"/>
  <c r="U90" i="23"/>
  <c r="U82" i="23"/>
  <c r="U74" i="23"/>
  <c r="U66" i="23"/>
  <c r="U58" i="23"/>
  <c r="U105" i="23"/>
  <c r="U97" i="23"/>
  <c r="U89" i="23"/>
  <c r="U81" i="23"/>
  <c r="U73" i="23"/>
  <c r="U65" i="23"/>
  <c r="AJ7" i="23"/>
  <c r="AK7" i="23" s="1"/>
  <c r="AI8" i="23"/>
  <c r="J9" i="23"/>
  <c r="K9" i="23" s="1"/>
  <c r="R9" i="23"/>
  <c r="S9" i="23" s="1"/>
  <c r="Z9" i="23"/>
  <c r="AA9" i="23" s="1"/>
  <c r="I10" i="23"/>
  <c r="Q10" i="23"/>
  <c r="Y10" i="23"/>
  <c r="AF11" i="23"/>
  <c r="AG11" i="23" s="1"/>
  <c r="AE12" i="23"/>
  <c r="N13" i="23"/>
  <c r="O13" i="23" s="1"/>
  <c r="V13" i="23"/>
  <c r="W13" i="23" s="1"/>
  <c r="AL13" i="23"/>
  <c r="M14" i="23"/>
  <c r="U14" i="23"/>
  <c r="AC14" i="23"/>
  <c r="AJ15" i="23"/>
  <c r="AK15" i="23" s="1"/>
  <c r="AI16" i="23"/>
  <c r="J17" i="23"/>
  <c r="K17" i="23" s="1"/>
  <c r="R17" i="23"/>
  <c r="S17" i="23" s="1"/>
  <c r="Z17" i="23"/>
  <c r="AA17" i="23" s="1"/>
  <c r="I18" i="23"/>
  <c r="Q18" i="23"/>
  <c r="Y18" i="23"/>
  <c r="AF19" i="23"/>
  <c r="AG19" i="23" s="1"/>
  <c r="AE20" i="23"/>
  <c r="N21" i="23"/>
  <c r="O21" i="23" s="1"/>
  <c r="V21" i="23"/>
  <c r="W21" i="23" s="1"/>
  <c r="AL21" i="23"/>
  <c r="M22" i="23"/>
  <c r="U22" i="23"/>
  <c r="AC22" i="23"/>
  <c r="AJ23" i="23"/>
  <c r="AK23" i="23" s="1"/>
  <c r="AI24" i="23"/>
  <c r="J25" i="23"/>
  <c r="K25" i="23" s="1"/>
  <c r="R25" i="23"/>
  <c r="S25" i="23" s="1"/>
  <c r="Z25" i="23"/>
  <c r="AA25" i="23" s="1"/>
  <c r="I26" i="23"/>
  <c r="Q26" i="23"/>
  <c r="Y26" i="23"/>
  <c r="AF27" i="23"/>
  <c r="AG27" i="23" s="1"/>
  <c r="AE28" i="23"/>
  <c r="N29" i="23"/>
  <c r="O29" i="23" s="1"/>
  <c r="V29" i="23"/>
  <c r="W29" i="23" s="1"/>
  <c r="AL29" i="23"/>
  <c r="M30" i="23"/>
  <c r="U30" i="23"/>
  <c r="AC30" i="23"/>
  <c r="AJ31" i="23"/>
  <c r="AK31" i="23" s="1"/>
  <c r="AI32" i="23"/>
  <c r="J33" i="23"/>
  <c r="K33" i="23" s="1"/>
  <c r="R33" i="23"/>
  <c r="S33" i="23" s="1"/>
  <c r="Z33" i="23"/>
  <c r="AA33" i="23" s="1"/>
  <c r="I34" i="23"/>
  <c r="Q34" i="23"/>
  <c r="Y34" i="23"/>
  <c r="AF35" i="23"/>
  <c r="AG35" i="23" s="1"/>
  <c r="AE36" i="23"/>
  <c r="N37" i="23"/>
  <c r="O37" i="23" s="1"/>
  <c r="V37" i="23"/>
  <c r="W37" i="23" s="1"/>
  <c r="AL37" i="23"/>
  <c r="M38" i="23"/>
  <c r="U38" i="23"/>
  <c r="AC38" i="23"/>
  <c r="AJ39" i="23"/>
  <c r="AK39" i="23" s="1"/>
  <c r="AI40" i="23"/>
  <c r="J41" i="23"/>
  <c r="K41" i="23" s="1"/>
  <c r="R41" i="23"/>
  <c r="S41" i="23" s="1"/>
  <c r="Z41" i="23"/>
  <c r="AA41" i="23" s="1"/>
  <c r="I42" i="23"/>
  <c r="Q42" i="23"/>
  <c r="Y42" i="23"/>
  <c r="AF43" i="23"/>
  <c r="AG43" i="23" s="1"/>
  <c r="AE44" i="23"/>
  <c r="N45" i="23"/>
  <c r="O45" i="23" s="1"/>
  <c r="V45" i="23"/>
  <c r="W45" i="23" s="1"/>
  <c r="AL45" i="23"/>
  <c r="M46" i="23"/>
  <c r="U46" i="23"/>
  <c r="AC46" i="23"/>
  <c r="AJ47" i="23"/>
  <c r="AK47" i="23" s="1"/>
  <c r="AI48" i="23"/>
  <c r="J49" i="23"/>
  <c r="K49" i="23" s="1"/>
  <c r="R49" i="23"/>
  <c r="S49" i="23" s="1"/>
  <c r="Z49" i="23"/>
  <c r="AA49" i="23" s="1"/>
  <c r="I50" i="23"/>
  <c r="Q50" i="23"/>
  <c r="Y50" i="23"/>
  <c r="AE52" i="23"/>
  <c r="N53" i="23"/>
  <c r="O53" i="23" s="1"/>
  <c r="V53" i="23"/>
  <c r="W53" i="23" s="1"/>
  <c r="AL53" i="23"/>
  <c r="M54" i="23"/>
  <c r="U54" i="23"/>
  <c r="AC54" i="23"/>
  <c r="AJ55" i="23"/>
  <c r="AK55" i="23" s="1"/>
  <c r="AI56" i="23"/>
  <c r="J57" i="23"/>
  <c r="K57" i="23" s="1"/>
  <c r="R57" i="23"/>
  <c r="S57" i="23" s="1"/>
  <c r="AC57" i="23"/>
  <c r="J67" i="23"/>
  <c r="K67" i="23" s="1"/>
  <c r="AF525" i="23"/>
  <c r="AG525" i="23" s="1"/>
  <c r="AF517" i="23"/>
  <c r="AG517" i="23" s="1"/>
  <c r="AF524" i="23"/>
  <c r="AG524" i="23" s="1"/>
  <c r="AF516" i="23"/>
  <c r="AG516" i="23" s="1"/>
  <c r="AF508" i="23"/>
  <c r="AG508" i="23" s="1"/>
  <c r="AF531" i="23"/>
  <c r="AG531" i="23" s="1"/>
  <c r="AF523" i="23"/>
  <c r="AG523" i="23" s="1"/>
  <c r="AF530" i="23"/>
  <c r="AG530" i="23" s="1"/>
  <c r="AF529" i="23"/>
  <c r="AG529" i="23" s="1"/>
  <c r="AF521" i="23"/>
  <c r="AG521" i="23" s="1"/>
  <c r="AF528" i="23"/>
  <c r="AG528" i="23" s="1"/>
  <c r="AF520" i="23"/>
  <c r="AG520" i="23" s="1"/>
  <c r="AF527" i="23"/>
  <c r="AG527" i="23" s="1"/>
  <c r="AF526" i="23"/>
  <c r="AG526" i="23" s="1"/>
  <c r="AF518" i="23"/>
  <c r="AG518" i="23" s="1"/>
  <c r="AF515" i="23"/>
  <c r="AG515" i="23" s="1"/>
  <c r="AF506" i="23"/>
  <c r="AG506" i="23" s="1"/>
  <c r="AF505" i="23"/>
  <c r="AG505" i="23" s="1"/>
  <c r="AF514" i="23"/>
  <c r="AG514" i="23" s="1"/>
  <c r="AF504" i="23"/>
  <c r="AG504" i="23" s="1"/>
  <c r="AF510" i="23"/>
  <c r="AG510" i="23" s="1"/>
  <c r="AF501" i="23"/>
  <c r="AG501" i="23" s="1"/>
  <c r="AF500" i="23"/>
  <c r="AG500" i="23" s="1"/>
  <c r="AF522" i="23"/>
  <c r="AG522" i="23" s="1"/>
  <c r="AF512" i="23"/>
  <c r="AG512" i="23" s="1"/>
  <c r="AF499" i="23"/>
  <c r="AG499" i="23" s="1"/>
  <c r="AF509" i="23"/>
  <c r="AG509" i="23" s="1"/>
  <c r="AF502" i="23"/>
  <c r="AG502" i="23" s="1"/>
  <c r="AF498" i="23"/>
  <c r="AG498" i="23" s="1"/>
  <c r="AF489" i="23"/>
  <c r="AG489" i="23" s="1"/>
  <c r="AF488" i="23"/>
  <c r="AG488" i="23" s="1"/>
  <c r="AF480" i="23"/>
  <c r="AG480" i="23" s="1"/>
  <c r="AF519" i="23"/>
  <c r="AG519" i="23" s="1"/>
  <c r="AF511" i="23"/>
  <c r="AG511" i="23" s="1"/>
  <c r="AF503" i="23"/>
  <c r="AG503" i="23" s="1"/>
  <c r="AF494" i="23"/>
  <c r="AG494" i="23" s="1"/>
  <c r="AF496" i="23"/>
  <c r="AG496" i="23" s="1"/>
  <c r="AF493" i="23"/>
  <c r="AG493" i="23" s="1"/>
  <c r="AF485" i="23"/>
  <c r="AG485" i="23" s="1"/>
  <c r="AF492" i="23"/>
  <c r="AG492" i="23" s="1"/>
  <c r="AF484" i="23"/>
  <c r="AG484" i="23" s="1"/>
  <c r="AF513" i="23"/>
  <c r="AG513" i="23" s="1"/>
  <c r="AF497" i="23"/>
  <c r="AG497" i="23" s="1"/>
  <c r="AF491" i="23"/>
  <c r="AG491" i="23" s="1"/>
  <c r="AF483" i="23"/>
  <c r="AG483" i="23" s="1"/>
  <c r="AF471" i="23"/>
  <c r="AG471" i="23" s="1"/>
  <c r="AF487" i="23"/>
  <c r="AG487" i="23" s="1"/>
  <c r="AF478" i="23"/>
  <c r="AG478" i="23" s="1"/>
  <c r="AF470" i="23"/>
  <c r="AG470" i="23" s="1"/>
  <c r="AF462" i="23"/>
  <c r="AG462" i="23" s="1"/>
  <c r="AF486" i="23"/>
  <c r="AG486" i="23" s="1"/>
  <c r="AF477" i="23"/>
  <c r="AG477" i="23" s="1"/>
  <c r="AF469" i="23"/>
  <c r="AG469" i="23" s="1"/>
  <c r="AF476" i="23"/>
  <c r="AG476" i="23" s="1"/>
  <c r="AF495" i="23"/>
  <c r="AG495" i="23" s="1"/>
  <c r="AF481" i="23"/>
  <c r="AG481" i="23" s="1"/>
  <c r="AF475" i="23"/>
  <c r="AG475" i="23" s="1"/>
  <c r="AF467" i="23"/>
  <c r="AG467" i="23" s="1"/>
  <c r="AF459" i="23"/>
  <c r="AG459" i="23" s="1"/>
  <c r="AF482" i="23"/>
  <c r="AG482" i="23" s="1"/>
  <c r="AF474" i="23"/>
  <c r="AG474" i="23" s="1"/>
  <c r="AF466" i="23"/>
  <c r="AG466" i="23" s="1"/>
  <c r="AF490" i="23"/>
  <c r="AG490" i="23" s="1"/>
  <c r="AF473" i="23"/>
  <c r="AG473" i="23" s="1"/>
  <c r="AF468" i="23"/>
  <c r="AG468" i="23" s="1"/>
  <c r="AF465" i="23"/>
  <c r="AG465" i="23" s="1"/>
  <c r="AF463" i="23"/>
  <c r="AG463" i="23" s="1"/>
  <c r="AF456" i="23"/>
  <c r="AG456" i="23" s="1"/>
  <c r="AF448" i="23"/>
  <c r="AG448" i="23" s="1"/>
  <c r="AF464" i="23"/>
  <c r="AG464" i="23" s="1"/>
  <c r="AF458" i="23"/>
  <c r="AG458" i="23" s="1"/>
  <c r="AF455" i="23"/>
  <c r="AG455" i="23" s="1"/>
  <c r="AF447" i="23"/>
  <c r="AG447" i="23" s="1"/>
  <c r="AF454" i="23"/>
  <c r="AG454" i="23" s="1"/>
  <c r="AF446" i="23"/>
  <c r="AG446" i="23" s="1"/>
  <c r="AF507" i="23"/>
  <c r="AG507" i="23" s="1"/>
  <c r="AF453" i="23"/>
  <c r="AG453" i="23" s="1"/>
  <c r="AF452" i="23"/>
  <c r="AG452" i="23" s="1"/>
  <c r="AF444" i="23"/>
  <c r="AG444" i="23" s="1"/>
  <c r="AF472" i="23"/>
  <c r="AG472" i="23" s="1"/>
  <c r="AF460" i="23"/>
  <c r="AG460" i="23" s="1"/>
  <c r="AF451" i="23"/>
  <c r="AG451" i="23" s="1"/>
  <c r="AF443" i="23"/>
  <c r="AG443" i="23" s="1"/>
  <c r="AF450" i="23"/>
  <c r="AG450" i="23" s="1"/>
  <c r="AF449" i="23"/>
  <c r="AG449" i="23" s="1"/>
  <c r="AF440" i="23"/>
  <c r="AG440" i="23" s="1"/>
  <c r="AF432" i="23"/>
  <c r="AG432" i="23" s="1"/>
  <c r="AF479" i="23"/>
  <c r="AG479" i="23" s="1"/>
  <c r="AF439" i="23"/>
  <c r="AG439" i="23" s="1"/>
  <c r="AF431" i="23"/>
  <c r="AG431" i="23" s="1"/>
  <c r="AF423" i="23"/>
  <c r="AG423" i="23" s="1"/>
  <c r="AF438" i="23"/>
  <c r="AG438" i="23" s="1"/>
  <c r="AF430" i="23"/>
  <c r="AG430" i="23" s="1"/>
  <c r="AF422" i="23"/>
  <c r="AG422" i="23" s="1"/>
  <c r="AF445" i="23"/>
  <c r="AG445" i="23" s="1"/>
  <c r="AF442" i="23"/>
  <c r="AG442" i="23" s="1"/>
  <c r="AF437" i="23"/>
  <c r="AG437" i="23" s="1"/>
  <c r="AF429" i="23"/>
  <c r="AG429" i="23" s="1"/>
  <c r="AF421" i="23"/>
  <c r="AG421" i="23" s="1"/>
  <c r="AF436" i="23"/>
  <c r="AG436" i="23" s="1"/>
  <c r="AF428" i="23"/>
  <c r="AG428" i="23" s="1"/>
  <c r="AF441" i="23"/>
  <c r="AG441" i="23" s="1"/>
  <c r="AF435" i="23"/>
  <c r="AG435" i="23" s="1"/>
  <c r="AF427" i="23"/>
  <c r="AG427" i="23" s="1"/>
  <c r="AF415" i="23"/>
  <c r="AG415" i="23" s="1"/>
  <c r="AF426" i="23"/>
  <c r="AG426" i="23" s="1"/>
  <c r="AF414" i="23"/>
  <c r="AG414" i="23" s="1"/>
  <c r="AF406" i="23"/>
  <c r="AG406" i="23" s="1"/>
  <c r="AF433" i="23"/>
  <c r="AG433" i="23" s="1"/>
  <c r="AF413" i="23"/>
  <c r="AG413" i="23" s="1"/>
  <c r="AF405" i="23"/>
  <c r="AG405" i="23" s="1"/>
  <c r="AF424" i="23"/>
  <c r="AG424" i="23" s="1"/>
  <c r="AF411" i="23"/>
  <c r="AG411" i="23" s="1"/>
  <c r="AF457" i="23"/>
  <c r="AG457" i="23" s="1"/>
  <c r="AF434" i="23"/>
  <c r="AG434" i="23" s="1"/>
  <c r="AF419" i="23"/>
  <c r="AG419" i="23" s="1"/>
  <c r="AF418" i="23"/>
  <c r="AG418" i="23" s="1"/>
  <c r="AF425" i="23"/>
  <c r="AG425" i="23" s="1"/>
  <c r="AF417" i="23"/>
  <c r="AG417" i="23" s="1"/>
  <c r="AF409" i="23"/>
  <c r="AG409" i="23" s="1"/>
  <c r="AF401" i="23"/>
  <c r="AG401" i="23" s="1"/>
  <c r="AF395" i="23"/>
  <c r="AG395" i="23" s="1"/>
  <c r="AF387" i="23"/>
  <c r="AG387" i="23" s="1"/>
  <c r="AF379" i="23"/>
  <c r="AG379" i="23" s="1"/>
  <c r="AF371" i="23"/>
  <c r="AG371" i="23" s="1"/>
  <c r="AF394" i="23"/>
  <c r="AG394" i="23" s="1"/>
  <c r="AF386" i="23"/>
  <c r="AG386" i="23" s="1"/>
  <c r="AF378" i="23"/>
  <c r="AG378" i="23" s="1"/>
  <c r="AF370" i="23"/>
  <c r="AG370" i="23" s="1"/>
  <c r="AF362" i="23"/>
  <c r="AG362" i="23" s="1"/>
  <c r="AF400" i="23"/>
  <c r="AG400" i="23" s="1"/>
  <c r="AF393" i="23"/>
  <c r="AG393" i="23" s="1"/>
  <c r="AF385" i="23"/>
  <c r="AG385" i="23" s="1"/>
  <c r="AF377" i="23"/>
  <c r="AG377" i="23" s="1"/>
  <c r="AF369" i="23"/>
  <c r="AG369" i="23" s="1"/>
  <c r="AF361" i="23"/>
  <c r="AG361" i="23" s="1"/>
  <c r="AF402" i="23"/>
  <c r="AG402" i="23" s="1"/>
  <c r="AF392" i="23"/>
  <c r="AG392" i="23" s="1"/>
  <c r="AF384" i="23"/>
  <c r="AG384" i="23" s="1"/>
  <c r="AF376" i="23"/>
  <c r="AG376" i="23" s="1"/>
  <c r="AF368" i="23"/>
  <c r="AG368" i="23" s="1"/>
  <c r="AF360" i="23"/>
  <c r="AG360" i="23" s="1"/>
  <c r="AF397" i="23"/>
  <c r="AG397" i="23" s="1"/>
  <c r="AF389" i="23"/>
  <c r="AG389" i="23" s="1"/>
  <c r="AF381" i="23"/>
  <c r="AG381" i="23" s="1"/>
  <c r="AF373" i="23"/>
  <c r="AG373" i="23" s="1"/>
  <c r="AF365" i="23"/>
  <c r="AG365" i="23" s="1"/>
  <c r="AF420" i="23"/>
  <c r="AG420" i="23" s="1"/>
  <c r="AF416" i="23"/>
  <c r="AG416" i="23" s="1"/>
  <c r="AF410" i="23"/>
  <c r="AG410" i="23" s="1"/>
  <c r="AF407" i="23"/>
  <c r="AG407" i="23" s="1"/>
  <c r="AF404" i="23"/>
  <c r="AG404" i="23" s="1"/>
  <c r="AF396" i="23"/>
  <c r="AG396" i="23" s="1"/>
  <c r="AF388" i="23"/>
  <c r="AG388" i="23" s="1"/>
  <c r="AF357" i="23"/>
  <c r="AG357" i="23" s="1"/>
  <c r="AF349" i="23"/>
  <c r="AG349" i="23" s="1"/>
  <c r="AF341" i="23"/>
  <c r="AG341" i="23" s="1"/>
  <c r="AF333" i="23"/>
  <c r="AG333" i="23" s="1"/>
  <c r="AF403" i="23"/>
  <c r="AG403" i="23" s="1"/>
  <c r="AF380" i="23"/>
  <c r="AG380" i="23" s="1"/>
  <c r="AF367" i="23"/>
  <c r="AG367" i="23" s="1"/>
  <c r="AF358" i="23"/>
  <c r="AG358" i="23" s="1"/>
  <c r="AF356" i="23"/>
  <c r="AG356" i="23" s="1"/>
  <c r="AF348" i="23"/>
  <c r="AG348" i="23" s="1"/>
  <c r="AF391" i="23"/>
  <c r="AG391" i="23" s="1"/>
  <c r="AF366" i="23"/>
  <c r="AG366" i="23" s="1"/>
  <c r="AF355" i="23"/>
  <c r="AG355" i="23" s="1"/>
  <c r="AF347" i="23"/>
  <c r="AG347" i="23" s="1"/>
  <c r="AF339" i="23"/>
  <c r="AG339" i="23" s="1"/>
  <c r="AF331" i="23"/>
  <c r="AG331" i="23" s="1"/>
  <c r="AF398" i="23"/>
  <c r="AG398" i="23" s="1"/>
  <c r="AF375" i="23"/>
  <c r="AG375" i="23" s="1"/>
  <c r="AF354" i="23"/>
  <c r="AG354" i="23" s="1"/>
  <c r="AF346" i="23"/>
  <c r="AG346" i="23" s="1"/>
  <c r="AF338" i="23"/>
  <c r="AG338" i="23" s="1"/>
  <c r="AF330" i="23"/>
  <c r="AG330" i="23" s="1"/>
  <c r="AF412" i="23"/>
  <c r="AG412" i="23" s="1"/>
  <c r="AF399" i="23"/>
  <c r="AG399" i="23" s="1"/>
  <c r="AF382" i="23"/>
  <c r="AG382" i="23" s="1"/>
  <c r="AF359" i="23"/>
  <c r="AG359" i="23" s="1"/>
  <c r="AF351" i="23"/>
  <c r="AG351" i="23" s="1"/>
  <c r="AF343" i="23"/>
  <c r="AG343" i="23" s="1"/>
  <c r="AF335" i="23"/>
  <c r="AG335" i="23" s="1"/>
  <c r="AF327" i="23"/>
  <c r="AG327" i="23" s="1"/>
  <c r="AF364" i="23"/>
  <c r="AG364" i="23" s="1"/>
  <c r="AF353" i="23"/>
  <c r="AG353" i="23" s="1"/>
  <c r="AF328" i="23"/>
  <c r="AG328" i="23" s="1"/>
  <c r="AF325" i="23"/>
  <c r="AG325" i="23" s="1"/>
  <c r="AF319" i="23"/>
  <c r="AG319" i="23" s="1"/>
  <c r="AF352" i="23"/>
  <c r="AG352" i="23" s="1"/>
  <c r="AF408" i="23"/>
  <c r="AG408" i="23" s="1"/>
  <c r="AF372" i="23"/>
  <c r="AG372" i="23" s="1"/>
  <c r="AF345" i="23"/>
  <c r="AG345" i="23" s="1"/>
  <c r="AF337" i="23"/>
  <c r="AG337" i="23" s="1"/>
  <c r="AF329" i="23"/>
  <c r="AG329" i="23" s="1"/>
  <c r="AF324" i="23"/>
  <c r="AG324" i="23" s="1"/>
  <c r="AF374" i="23"/>
  <c r="AG374" i="23" s="1"/>
  <c r="AF363" i="23"/>
  <c r="AG363" i="23" s="1"/>
  <c r="AF316" i="23"/>
  <c r="AG316" i="23" s="1"/>
  <c r="AF390" i="23"/>
  <c r="AG390" i="23" s="1"/>
  <c r="AF344" i="23"/>
  <c r="AG344" i="23" s="1"/>
  <c r="AF342" i="23"/>
  <c r="AG342" i="23" s="1"/>
  <c r="AF340" i="23"/>
  <c r="AG340" i="23" s="1"/>
  <c r="AF336" i="23"/>
  <c r="AG336" i="23" s="1"/>
  <c r="AF334" i="23"/>
  <c r="AG334" i="23" s="1"/>
  <c r="AF332" i="23"/>
  <c r="AG332" i="23" s="1"/>
  <c r="AF326" i="23"/>
  <c r="AG326" i="23" s="1"/>
  <c r="AF350" i="23"/>
  <c r="AG350" i="23" s="1"/>
  <c r="AF321" i="23"/>
  <c r="AG321" i="23" s="1"/>
  <c r="AF315" i="23"/>
  <c r="AG315" i="23" s="1"/>
  <c r="AF308" i="23"/>
  <c r="AG308" i="23" s="1"/>
  <c r="AF300" i="23"/>
  <c r="AG300" i="23" s="1"/>
  <c r="AF292" i="23"/>
  <c r="AG292" i="23" s="1"/>
  <c r="AF284" i="23"/>
  <c r="AG284" i="23" s="1"/>
  <c r="AF276" i="23"/>
  <c r="AG276" i="23" s="1"/>
  <c r="AF307" i="23"/>
  <c r="AG307" i="23" s="1"/>
  <c r="AF299" i="23"/>
  <c r="AG299" i="23" s="1"/>
  <c r="AF291" i="23"/>
  <c r="AG291" i="23" s="1"/>
  <c r="AF283" i="23"/>
  <c r="AG283" i="23" s="1"/>
  <c r="AF275" i="23"/>
  <c r="AG275" i="23" s="1"/>
  <c r="AF306" i="23"/>
  <c r="AG306" i="23" s="1"/>
  <c r="AF298" i="23"/>
  <c r="AG298" i="23" s="1"/>
  <c r="AF290" i="23"/>
  <c r="AG290" i="23" s="1"/>
  <c r="AF282" i="23"/>
  <c r="AG282" i="23" s="1"/>
  <c r="AF383" i="23"/>
  <c r="AG383" i="23" s="1"/>
  <c r="AF320" i="23"/>
  <c r="AG320" i="23" s="1"/>
  <c r="AF305" i="23"/>
  <c r="AG305" i="23" s="1"/>
  <c r="AF461" i="23"/>
  <c r="AG461" i="23" s="1"/>
  <c r="AF317" i="23"/>
  <c r="AG317" i="23" s="1"/>
  <c r="AF314" i="23"/>
  <c r="AG314" i="23" s="1"/>
  <c r="AF304" i="23"/>
  <c r="AG304" i="23" s="1"/>
  <c r="AF296" i="23"/>
  <c r="AG296" i="23" s="1"/>
  <c r="AF288" i="23"/>
  <c r="AG288" i="23" s="1"/>
  <c r="AF280" i="23"/>
  <c r="AG280" i="23" s="1"/>
  <c r="AF318" i="23"/>
  <c r="AG318" i="23" s="1"/>
  <c r="AF313" i="23"/>
  <c r="AG313" i="23" s="1"/>
  <c r="AF311" i="23"/>
  <c r="AG311" i="23" s="1"/>
  <c r="AF303" i="23"/>
  <c r="AG303" i="23" s="1"/>
  <c r="AF295" i="23"/>
  <c r="AG295" i="23" s="1"/>
  <c r="AF287" i="23"/>
  <c r="AG287" i="23" s="1"/>
  <c r="AF310" i="23"/>
  <c r="AG310" i="23" s="1"/>
  <c r="AF285" i="23"/>
  <c r="AG285" i="23" s="1"/>
  <c r="AF279" i="23"/>
  <c r="AG279" i="23" s="1"/>
  <c r="AF273" i="23"/>
  <c r="AG273" i="23" s="1"/>
  <c r="AF323" i="23"/>
  <c r="AG323" i="23" s="1"/>
  <c r="AF294" i="23"/>
  <c r="AG294" i="23" s="1"/>
  <c r="AF281" i="23"/>
  <c r="AG281" i="23" s="1"/>
  <c r="AF272" i="23"/>
  <c r="AG272" i="23" s="1"/>
  <c r="AF264" i="23"/>
  <c r="AG264" i="23" s="1"/>
  <c r="AF256" i="23"/>
  <c r="AG256" i="23" s="1"/>
  <c r="AF322" i="23"/>
  <c r="AG322" i="23" s="1"/>
  <c r="AF293" i="23"/>
  <c r="AG293" i="23" s="1"/>
  <c r="AF271" i="23"/>
  <c r="AG271" i="23" s="1"/>
  <c r="AF263" i="23"/>
  <c r="AG263" i="23" s="1"/>
  <c r="AF255" i="23"/>
  <c r="AG255" i="23" s="1"/>
  <c r="AF247" i="23"/>
  <c r="AG247" i="23" s="1"/>
  <c r="AF302" i="23"/>
  <c r="AG302" i="23" s="1"/>
  <c r="AF270" i="23"/>
  <c r="AG270" i="23" s="1"/>
  <c r="AF262" i="23"/>
  <c r="AG262" i="23" s="1"/>
  <c r="AF254" i="23"/>
  <c r="AG254" i="23" s="1"/>
  <c r="AF246" i="23"/>
  <c r="AG246" i="23" s="1"/>
  <c r="AF301" i="23"/>
  <c r="AG301" i="23" s="1"/>
  <c r="AF278" i="23"/>
  <c r="AG278" i="23" s="1"/>
  <c r="AF309" i="23"/>
  <c r="AG309" i="23" s="1"/>
  <c r="AF289" i="23"/>
  <c r="AG289" i="23" s="1"/>
  <c r="AF277" i="23"/>
  <c r="AG277" i="23" s="1"/>
  <c r="AF268" i="23"/>
  <c r="AG268" i="23" s="1"/>
  <c r="AF260" i="23"/>
  <c r="AG260" i="23" s="1"/>
  <c r="AF312" i="23"/>
  <c r="AG312" i="23" s="1"/>
  <c r="AF267" i="23"/>
  <c r="AG267" i="23" s="1"/>
  <c r="AF259" i="23"/>
  <c r="AG259" i="23" s="1"/>
  <c r="AF251" i="23"/>
  <c r="AG251" i="23" s="1"/>
  <c r="AF243" i="23"/>
  <c r="AG243" i="23" s="1"/>
  <c r="AF297" i="23"/>
  <c r="AG297" i="23" s="1"/>
  <c r="AF286" i="23"/>
  <c r="AG286" i="23" s="1"/>
  <c r="AF274" i="23"/>
  <c r="AG274" i="23" s="1"/>
  <c r="AF266" i="23"/>
  <c r="AG266" i="23" s="1"/>
  <c r="AF258" i="23"/>
  <c r="AG258" i="23" s="1"/>
  <c r="AF250" i="23"/>
  <c r="AG250" i="23" s="1"/>
  <c r="AF242" i="23"/>
  <c r="AG242" i="23" s="1"/>
  <c r="AF265" i="23"/>
  <c r="AG265" i="23" s="1"/>
  <c r="AF248" i="23"/>
  <c r="AG248" i="23" s="1"/>
  <c r="AF244" i="23"/>
  <c r="AG244" i="23" s="1"/>
  <c r="AF238" i="23"/>
  <c r="AG238" i="23" s="1"/>
  <c r="AF230" i="23"/>
  <c r="AG230" i="23" s="1"/>
  <c r="AF222" i="23"/>
  <c r="AG222" i="23" s="1"/>
  <c r="AF214" i="23"/>
  <c r="AG214" i="23" s="1"/>
  <c r="AF206" i="23"/>
  <c r="AG206" i="23" s="1"/>
  <c r="AF237" i="23"/>
  <c r="AG237" i="23" s="1"/>
  <c r="AF229" i="23"/>
  <c r="AG229" i="23" s="1"/>
  <c r="AF221" i="23"/>
  <c r="AG221" i="23" s="1"/>
  <c r="AF213" i="23"/>
  <c r="AG213" i="23" s="1"/>
  <c r="AF205" i="23"/>
  <c r="AG205" i="23" s="1"/>
  <c r="AF269" i="23"/>
  <c r="AG269" i="23" s="1"/>
  <c r="AF253" i="23"/>
  <c r="AG253" i="23" s="1"/>
  <c r="AF240" i="23"/>
  <c r="AG240" i="23" s="1"/>
  <c r="AF236" i="23"/>
  <c r="AG236" i="23" s="1"/>
  <c r="AF228" i="23"/>
  <c r="AG228" i="23" s="1"/>
  <c r="AF220" i="23"/>
  <c r="AG220" i="23" s="1"/>
  <c r="AF212" i="23"/>
  <c r="AG212" i="23" s="1"/>
  <c r="AF204" i="23"/>
  <c r="AG204" i="23" s="1"/>
  <c r="AF235" i="23"/>
  <c r="AG235" i="23" s="1"/>
  <c r="AF227" i="23"/>
  <c r="AG227" i="23" s="1"/>
  <c r="AF219" i="23"/>
  <c r="AG219" i="23" s="1"/>
  <c r="AF211" i="23"/>
  <c r="AG211" i="23" s="1"/>
  <c r="AF257" i="23"/>
  <c r="AG257" i="23" s="1"/>
  <c r="AF241" i="23"/>
  <c r="AG241" i="23" s="1"/>
  <c r="AF234" i="23"/>
  <c r="AG234" i="23" s="1"/>
  <c r="AF226" i="23"/>
  <c r="AG226" i="23" s="1"/>
  <c r="AF218" i="23"/>
  <c r="AG218" i="23" s="1"/>
  <c r="AF210" i="23"/>
  <c r="AG210" i="23" s="1"/>
  <c r="AF252" i="23"/>
  <c r="AG252" i="23" s="1"/>
  <c r="AF233" i="23"/>
  <c r="AG233" i="23" s="1"/>
  <c r="AF225" i="23"/>
  <c r="AG225" i="23" s="1"/>
  <c r="AF261" i="23"/>
  <c r="AG261" i="23" s="1"/>
  <c r="AF249" i="23"/>
  <c r="AG249" i="23" s="1"/>
  <c r="AF245" i="23"/>
  <c r="AG245" i="23" s="1"/>
  <c r="AF232" i="23"/>
  <c r="AG232" i="23" s="1"/>
  <c r="AF224" i="23"/>
  <c r="AG224" i="23" s="1"/>
  <c r="AF216" i="23"/>
  <c r="AG216" i="23" s="1"/>
  <c r="AF208" i="23"/>
  <c r="AG208" i="23" s="1"/>
  <c r="AF200" i="23"/>
  <c r="AG200" i="23" s="1"/>
  <c r="AF239" i="23"/>
  <c r="AG239" i="23" s="1"/>
  <c r="AF231" i="23"/>
  <c r="AG231" i="23" s="1"/>
  <c r="AF223" i="23"/>
  <c r="AG223" i="23" s="1"/>
  <c r="AF215" i="23"/>
  <c r="AG215" i="23" s="1"/>
  <c r="AF207" i="23"/>
  <c r="AG207" i="23" s="1"/>
  <c r="AF193" i="23"/>
  <c r="AG193" i="23" s="1"/>
  <c r="AF185" i="23"/>
  <c r="AG185" i="23" s="1"/>
  <c r="AF177" i="23"/>
  <c r="AG177" i="23" s="1"/>
  <c r="AF169" i="23"/>
  <c r="AG169" i="23" s="1"/>
  <c r="AF161" i="23"/>
  <c r="AG161" i="23" s="1"/>
  <c r="AF153" i="23"/>
  <c r="AG153" i="23" s="1"/>
  <c r="AF217" i="23"/>
  <c r="AG217" i="23" s="1"/>
  <c r="AF202" i="23"/>
  <c r="AG202" i="23" s="1"/>
  <c r="AF192" i="23"/>
  <c r="AG192" i="23" s="1"/>
  <c r="AF184" i="23"/>
  <c r="AG184" i="23" s="1"/>
  <c r="AF176" i="23"/>
  <c r="AG176" i="23" s="1"/>
  <c r="AF168" i="23"/>
  <c r="AG168" i="23" s="1"/>
  <c r="AF160" i="23"/>
  <c r="AG160" i="23" s="1"/>
  <c r="AF152" i="23"/>
  <c r="AG152" i="23" s="1"/>
  <c r="AF199" i="23"/>
  <c r="AG199" i="23" s="1"/>
  <c r="AF191" i="23"/>
  <c r="AG191" i="23" s="1"/>
  <c r="AF183" i="23"/>
  <c r="AG183" i="23" s="1"/>
  <c r="AF175" i="23"/>
  <c r="AG175" i="23" s="1"/>
  <c r="AF167" i="23"/>
  <c r="AG167" i="23" s="1"/>
  <c r="AF159" i="23"/>
  <c r="AG159" i="23" s="1"/>
  <c r="AF151" i="23"/>
  <c r="AG151" i="23" s="1"/>
  <c r="AF209" i="23"/>
  <c r="AG209" i="23" s="1"/>
  <c r="AF201" i="23"/>
  <c r="AG201" i="23" s="1"/>
  <c r="AF198" i="23"/>
  <c r="AG198" i="23" s="1"/>
  <c r="AF190" i="23"/>
  <c r="AG190" i="23" s="1"/>
  <c r="AF182" i="23"/>
  <c r="AG182" i="23" s="1"/>
  <c r="AF174" i="23"/>
  <c r="AG174" i="23" s="1"/>
  <c r="AF166" i="23"/>
  <c r="AG166" i="23" s="1"/>
  <c r="AF158" i="23"/>
  <c r="AG158" i="23" s="1"/>
  <c r="AF203" i="23"/>
  <c r="AG203" i="23" s="1"/>
  <c r="AF196" i="23"/>
  <c r="AG196" i="23" s="1"/>
  <c r="AF188" i="23"/>
  <c r="AG188" i="23" s="1"/>
  <c r="AF180" i="23"/>
  <c r="AG180" i="23" s="1"/>
  <c r="AF172" i="23"/>
  <c r="AG172" i="23" s="1"/>
  <c r="AF164" i="23"/>
  <c r="AG164" i="23" s="1"/>
  <c r="AF195" i="23"/>
  <c r="AG195" i="23" s="1"/>
  <c r="AF187" i="23"/>
  <c r="AG187" i="23" s="1"/>
  <c r="AF179" i="23"/>
  <c r="AG179" i="23" s="1"/>
  <c r="AF171" i="23"/>
  <c r="AG171" i="23" s="1"/>
  <c r="AF163" i="23"/>
  <c r="AG163" i="23" s="1"/>
  <c r="AF155" i="23"/>
  <c r="AG155" i="23" s="1"/>
  <c r="AF194" i="23"/>
  <c r="AG194" i="23" s="1"/>
  <c r="AF186" i="23"/>
  <c r="AG186" i="23" s="1"/>
  <c r="AF178" i="23"/>
  <c r="AG178" i="23" s="1"/>
  <c r="AF170" i="23"/>
  <c r="AG170" i="23" s="1"/>
  <c r="AF162" i="23"/>
  <c r="AG162" i="23" s="1"/>
  <c r="AF154" i="23"/>
  <c r="AG154" i="23" s="1"/>
  <c r="AF197" i="23"/>
  <c r="AG197" i="23" s="1"/>
  <c r="AF165" i="23"/>
  <c r="AG165" i="23" s="1"/>
  <c r="AF156" i="23"/>
  <c r="AG156" i="23" s="1"/>
  <c r="AF147" i="23"/>
  <c r="AG147" i="23" s="1"/>
  <c r="AF139" i="23"/>
  <c r="AG139" i="23" s="1"/>
  <c r="AF131" i="23"/>
  <c r="AG131" i="23" s="1"/>
  <c r="AF123" i="23"/>
  <c r="AG123" i="23" s="1"/>
  <c r="AF146" i="23"/>
  <c r="AG146" i="23" s="1"/>
  <c r="AF138" i="23"/>
  <c r="AG138" i="23" s="1"/>
  <c r="AF130" i="23"/>
  <c r="AG130" i="23" s="1"/>
  <c r="AF122" i="23"/>
  <c r="AG122" i="23" s="1"/>
  <c r="AF114" i="23"/>
  <c r="AG114" i="23" s="1"/>
  <c r="AF189" i="23"/>
  <c r="AG189" i="23" s="1"/>
  <c r="AF145" i="23"/>
  <c r="AG145" i="23" s="1"/>
  <c r="AF137" i="23"/>
  <c r="AG137" i="23" s="1"/>
  <c r="AF129" i="23"/>
  <c r="AG129" i="23" s="1"/>
  <c r="AF121" i="23"/>
  <c r="AG121" i="23" s="1"/>
  <c r="AF113" i="23"/>
  <c r="AG113" i="23" s="1"/>
  <c r="AF157" i="23"/>
  <c r="AG157" i="23" s="1"/>
  <c r="AF144" i="23"/>
  <c r="AG144" i="23" s="1"/>
  <c r="AF136" i="23"/>
  <c r="AG136" i="23" s="1"/>
  <c r="AF128" i="23"/>
  <c r="AG128" i="23" s="1"/>
  <c r="AF120" i="23"/>
  <c r="AG120" i="23" s="1"/>
  <c r="AF112" i="23"/>
  <c r="AG112" i="23" s="1"/>
  <c r="AF181" i="23"/>
  <c r="AG181" i="23" s="1"/>
  <c r="AF143" i="23"/>
  <c r="AG143" i="23" s="1"/>
  <c r="AF135" i="23"/>
  <c r="AG135" i="23" s="1"/>
  <c r="AF127" i="23"/>
  <c r="AG127" i="23" s="1"/>
  <c r="AF119" i="23"/>
  <c r="AG119" i="23" s="1"/>
  <c r="AF111" i="23"/>
  <c r="AG111" i="23" s="1"/>
  <c r="AF150" i="23"/>
  <c r="AG150" i="23" s="1"/>
  <c r="AF142" i="23"/>
  <c r="AG142" i="23" s="1"/>
  <c r="AF134" i="23"/>
  <c r="AG134" i="23" s="1"/>
  <c r="AF126" i="23"/>
  <c r="AG126" i="23" s="1"/>
  <c r="AF118" i="23"/>
  <c r="AG118" i="23" s="1"/>
  <c r="AF110" i="23"/>
  <c r="AG110" i="23" s="1"/>
  <c r="AF173" i="23"/>
  <c r="AG173" i="23" s="1"/>
  <c r="AF149" i="23"/>
  <c r="AG149" i="23" s="1"/>
  <c r="AF141" i="23"/>
  <c r="AG141" i="23" s="1"/>
  <c r="AF133" i="23"/>
  <c r="AG133" i="23" s="1"/>
  <c r="AF125" i="23"/>
  <c r="AG125" i="23" s="1"/>
  <c r="AF117" i="23"/>
  <c r="AG117" i="23" s="1"/>
  <c r="AF148" i="23"/>
  <c r="AG148" i="23" s="1"/>
  <c r="AF140" i="23"/>
  <c r="AG140" i="23" s="1"/>
  <c r="AF132" i="23"/>
  <c r="AG132" i="23" s="1"/>
  <c r="AF124" i="23"/>
  <c r="AG124" i="23" s="1"/>
  <c r="AF116" i="23"/>
  <c r="AG116" i="23" s="1"/>
  <c r="AF107" i="23"/>
  <c r="AG107" i="23" s="1"/>
  <c r="AF101" i="23"/>
  <c r="AG101" i="23" s="1"/>
  <c r="AF93" i="23"/>
  <c r="AG93" i="23" s="1"/>
  <c r="AF85" i="23"/>
  <c r="AG85" i="23" s="1"/>
  <c r="AF77" i="23"/>
  <c r="AG77" i="23" s="1"/>
  <c r="AF108" i="23"/>
  <c r="AG108" i="23" s="1"/>
  <c r="AF100" i="23"/>
  <c r="AG100" i="23" s="1"/>
  <c r="AF92" i="23"/>
  <c r="AG92" i="23" s="1"/>
  <c r="AF84" i="23"/>
  <c r="AG84" i="23" s="1"/>
  <c r="AF76" i="23"/>
  <c r="AG76" i="23" s="1"/>
  <c r="AF68" i="23"/>
  <c r="AG68" i="23" s="1"/>
  <c r="AF60" i="23"/>
  <c r="AG60" i="23" s="1"/>
  <c r="AF115" i="23"/>
  <c r="AG115" i="23" s="1"/>
  <c r="AF99" i="23"/>
  <c r="AG99" i="23" s="1"/>
  <c r="AF91" i="23"/>
  <c r="AG91" i="23" s="1"/>
  <c r="AF83" i="23"/>
  <c r="AG83" i="23" s="1"/>
  <c r="AF75" i="23"/>
  <c r="AG75" i="23" s="1"/>
  <c r="AF67" i="23"/>
  <c r="AG67" i="23" s="1"/>
  <c r="AF59" i="23"/>
  <c r="AG59" i="23" s="1"/>
  <c r="AF109" i="23"/>
  <c r="AG109" i="23" s="1"/>
  <c r="AF106" i="23"/>
  <c r="AG106" i="23" s="1"/>
  <c r="AF98" i="23"/>
  <c r="AG98" i="23" s="1"/>
  <c r="AF90" i="23"/>
  <c r="AG90" i="23" s="1"/>
  <c r="AF82" i="23"/>
  <c r="AG82" i="23" s="1"/>
  <c r="AF74" i="23"/>
  <c r="AG74" i="23" s="1"/>
  <c r="AF66" i="23"/>
  <c r="AG66" i="23" s="1"/>
  <c r="AF58" i="23"/>
  <c r="AG58" i="23" s="1"/>
  <c r="AF105" i="23"/>
  <c r="AG105" i="23" s="1"/>
  <c r="AF97" i="23"/>
  <c r="AG97" i="23" s="1"/>
  <c r="AF89" i="23"/>
  <c r="AG89" i="23" s="1"/>
  <c r="AF81" i="23"/>
  <c r="AG81" i="23" s="1"/>
  <c r="AF73" i="23"/>
  <c r="AG73" i="23" s="1"/>
  <c r="AF65" i="23"/>
  <c r="AG65" i="23" s="1"/>
  <c r="AF104" i="23"/>
  <c r="AG104" i="23" s="1"/>
  <c r="AF96" i="23"/>
  <c r="AG96" i="23" s="1"/>
  <c r="AF88" i="23"/>
  <c r="AG88" i="23" s="1"/>
  <c r="AF80" i="23"/>
  <c r="AG80" i="23" s="1"/>
  <c r="AF72" i="23"/>
  <c r="AG72" i="23" s="1"/>
  <c r="AF64" i="23"/>
  <c r="AG64" i="23" s="1"/>
  <c r="AF103" i="23"/>
  <c r="AG103" i="23" s="1"/>
  <c r="AF95" i="23"/>
  <c r="AG95" i="23" s="1"/>
  <c r="AF87" i="23"/>
  <c r="AG87" i="23" s="1"/>
  <c r="AF79" i="23"/>
  <c r="AG79" i="23" s="1"/>
  <c r="AF71" i="23"/>
  <c r="AG71" i="23" s="1"/>
  <c r="AF63" i="23"/>
  <c r="AG63" i="23" s="1"/>
  <c r="AF102" i="23"/>
  <c r="AG102" i="23" s="1"/>
  <c r="AF94" i="23"/>
  <c r="AG94" i="23" s="1"/>
  <c r="AF86" i="23"/>
  <c r="AG86" i="23" s="1"/>
  <c r="AF78" i="23"/>
  <c r="AG78" i="23" s="1"/>
  <c r="AF70" i="23"/>
  <c r="AG70" i="23" s="1"/>
  <c r="AF62" i="23"/>
  <c r="AG62" i="23" s="1"/>
  <c r="Y524" i="23"/>
  <c r="Y516" i="23"/>
  <c r="Y531" i="23"/>
  <c r="Y523" i="23"/>
  <c r="Y515" i="23"/>
  <c r="Y507" i="23"/>
  <c r="Y530" i="23"/>
  <c r="Y529" i="23"/>
  <c r="Y528" i="23"/>
  <c r="Y527" i="23"/>
  <c r="Y526" i="23"/>
  <c r="Y525" i="23"/>
  <c r="Y517" i="23"/>
  <c r="Y513" i="23"/>
  <c r="Y511" i="23"/>
  <c r="Y504" i="23"/>
  <c r="Y522" i="23"/>
  <c r="Y520" i="23"/>
  <c r="Y503" i="23"/>
  <c r="Y512" i="23"/>
  <c r="Y500" i="23"/>
  <c r="Y509" i="23"/>
  <c r="Y499" i="23"/>
  <c r="Y518" i="23"/>
  <c r="Y514" i="23"/>
  <c r="Y506" i="23"/>
  <c r="Y498" i="23"/>
  <c r="Y521" i="23"/>
  <c r="Y519" i="23"/>
  <c r="Y505" i="23"/>
  <c r="Y488" i="23"/>
  <c r="Y501" i="23"/>
  <c r="Y495" i="23"/>
  <c r="Y487" i="23"/>
  <c r="Y479" i="23"/>
  <c r="Y510" i="23"/>
  <c r="Y502" i="23"/>
  <c r="Y493" i="23"/>
  <c r="Y508" i="23"/>
  <c r="Y492" i="23"/>
  <c r="Y484" i="23"/>
  <c r="Y491" i="23"/>
  <c r="Y483" i="23"/>
  <c r="Y490" i="23"/>
  <c r="Y482" i="23"/>
  <c r="Y497" i="23"/>
  <c r="Y481" i="23"/>
  <c r="Y478" i="23"/>
  <c r="Y470" i="23"/>
  <c r="Y477" i="23"/>
  <c r="Y469" i="23"/>
  <c r="Y476" i="23"/>
  <c r="Y468" i="23"/>
  <c r="Y475" i="23"/>
  <c r="Y496" i="23"/>
  <c r="Y494" i="23"/>
  <c r="Y474" i="23"/>
  <c r="Y466" i="23"/>
  <c r="Y458" i="23"/>
  <c r="Y486" i="23"/>
  <c r="Y485" i="23"/>
  <c r="Y480" i="23"/>
  <c r="Y473" i="23"/>
  <c r="Y465" i="23"/>
  <c r="Y489" i="23"/>
  <c r="Y472" i="23"/>
  <c r="Y455" i="23"/>
  <c r="Y447" i="23"/>
  <c r="Y471" i="23"/>
  <c r="Y459" i="23"/>
  <c r="Y454" i="23"/>
  <c r="Y446" i="23"/>
  <c r="Y462" i="23"/>
  <c r="Y453" i="23"/>
  <c r="Y445" i="23"/>
  <c r="Y460" i="23"/>
  <c r="Y452" i="23"/>
  <c r="Y464" i="23"/>
  <c r="Y451" i="23"/>
  <c r="Y443" i="23"/>
  <c r="Y463" i="23"/>
  <c r="Y450" i="23"/>
  <c r="Y442" i="23"/>
  <c r="Y467" i="23"/>
  <c r="Y461" i="23"/>
  <c r="Y457" i="23"/>
  <c r="Y449" i="23"/>
  <c r="Y439" i="23"/>
  <c r="Y431" i="23"/>
  <c r="Y444" i="23"/>
  <c r="Y438" i="23"/>
  <c r="Y430" i="23"/>
  <c r="Y422" i="23"/>
  <c r="Y456" i="23"/>
  <c r="Y441" i="23"/>
  <c r="Y437" i="23"/>
  <c r="Y429" i="23"/>
  <c r="Y436" i="23"/>
  <c r="Y428" i="23"/>
  <c r="Y420" i="23"/>
  <c r="Y448" i="23"/>
  <c r="Y435" i="23"/>
  <c r="Y427" i="23"/>
  <c r="Y434" i="23"/>
  <c r="Y426" i="23"/>
  <c r="Y424" i="23"/>
  <c r="Y414" i="23"/>
  <c r="Y425" i="23"/>
  <c r="Y413" i="23"/>
  <c r="Y405" i="23"/>
  <c r="Y423" i="23"/>
  <c r="Y412" i="23"/>
  <c r="Y404" i="23"/>
  <c r="Y432" i="23"/>
  <c r="Y419" i="23"/>
  <c r="Y418" i="23"/>
  <c r="Y410" i="23"/>
  <c r="Y433" i="23"/>
  <c r="Y417" i="23"/>
  <c r="Y416" i="23"/>
  <c r="Y408" i="23"/>
  <c r="Y400" i="23"/>
  <c r="Y406" i="23"/>
  <c r="Y402" i="23"/>
  <c r="Y394" i="23"/>
  <c r="Y386" i="23"/>
  <c r="Y378" i="23"/>
  <c r="Y370" i="23"/>
  <c r="Y421" i="23"/>
  <c r="Y403" i="23"/>
  <c r="Y393" i="23"/>
  <c r="Y385" i="23"/>
  <c r="Y377" i="23"/>
  <c r="Y369" i="23"/>
  <c r="Y361" i="23"/>
  <c r="Y392" i="23"/>
  <c r="Y384" i="23"/>
  <c r="Y376" i="23"/>
  <c r="Y368" i="23"/>
  <c r="Y360" i="23"/>
  <c r="Y411" i="23"/>
  <c r="Y401" i="23"/>
  <c r="Y399" i="23"/>
  <c r="Y391" i="23"/>
  <c r="Y383" i="23"/>
  <c r="Y375" i="23"/>
  <c r="Y367" i="23"/>
  <c r="Y359" i="23"/>
  <c r="Y440" i="23"/>
  <c r="Y396" i="23"/>
  <c r="Y388" i="23"/>
  <c r="Y380" i="23"/>
  <c r="Y372" i="23"/>
  <c r="Y364" i="23"/>
  <c r="Y395" i="23"/>
  <c r="Y407" i="23"/>
  <c r="Y389" i="23"/>
  <c r="Y387" i="23"/>
  <c r="Y356" i="23"/>
  <c r="Y348" i="23"/>
  <c r="Y340" i="23"/>
  <c r="Y332" i="23"/>
  <c r="Y382" i="23"/>
  <c r="Y373" i="23"/>
  <c r="Y355" i="23"/>
  <c r="Y347" i="23"/>
  <c r="Y390" i="23"/>
  <c r="Y354" i="23"/>
  <c r="Y346" i="23"/>
  <c r="Y338" i="23"/>
  <c r="Y330" i="23"/>
  <c r="Y381" i="23"/>
  <c r="Y363" i="23"/>
  <c r="Y353" i="23"/>
  <c r="Y345" i="23"/>
  <c r="Y337" i="23"/>
  <c r="Y329" i="23"/>
  <c r="Y398" i="23"/>
  <c r="Y379" i="23"/>
  <c r="Y362" i="23"/>
  <c r="Y350" i="23"/>
  <c r="Y342" i="23"/>
  <c r="Y334" i="23"/>
  <c r="Y326" i="23"/>
  <c r="Y341" i="23"/>
  <c r="Y333" i="23"/>
  <c r="Y318" i="23"/>
  <c r="Y365" i="23"/>
  <c r="Y349" i="23"/>
  <c r="Y358" i="23"/>
  <c r="Y344" i="23"/>
  <c r="Y336" i="23"/>
  <c r="Y357" i="23"/>
  <c r="Y327" i="23"/>
  <c r="Y323" i="23"/>
  <c r="Y315" i="23"/>
  <c r="Y324" i="23"/>
  <c r="Y397" i="23"/>
  <c r="Y325" i="23"/>
  <c r="Y320" i="23"/>
  <c r="Y307" i="23"/>
  <c r="Y299" i="23"/>
  <c r="Y291" i="23"/>
  <c r="Y283" i="23"/>
  <c r="Y351" i="23"/>
  <c r="Y317" i="23"/>
  <c r="Y314" i="23"/>
  <c r="Y306" i="23"/>
  <c r="Y298" i="23"/>
  <c r="Y290" i="23"/>
  <c r="Y282" i="23"/>
  <c r="Y331" i="23"/>
  <c r="Y305" i="23"/>
  <c r="Y297" i="23"/>
  <c r="Y289" i="23"/>
  <c r="Y281" i="23"/>
  <c r="Y415" i="23"/>
  <c r="Y366" i="23"/>
  <c r="Y322" i="23"/>
  <c r="Y316" i="23"/>
  <c r="Y313" i="23"/>
  <c r="Y304" i="23"/>
  <c r="Y352" i="23"/>
  <c r="Y339" i="23"/>
  <c r="Y335" i="23"/>
  <c r="Y321" i="23"/>
  <c r="Y311" i="23"/>
  <c r="Y303" i="23"/>
  <c r="Y295" i="23"/>
  <c r="Y287" i="23"/>
  <c r="Y279" i="23"/>
  <c r="Y319" i="23"/>
  <c r="Y312" i="23"/>
  <c r="Y310" i="23"/>
  <c r="Y302" i="23"/>
  <c r="Y294" i="23"/>
  <c r="Y286" i="23"/>
  <c r="Y374" i="23"/>
  <c r="Y309" i="23"/>
  <c r="Y296" i="23"/>
  <c r="Y276" i="23"/>
  <c r="Y271" i="23"/>
  <c r="Y263" i="23"/>
  <c r="Y255" i="23"/>
  <c r="Y409" i="23"/>
  <c r="Y328" i="23"/>
  <c r="Y278" i="23"/>
  <c r="Y277" i="23"/>
  <c r="Y270" i="23"/>
  <c r="Y262" i="23"/>
  <c r="Y254" i="23"/>
  <c r="Y246" i="23"/>
  <c r="Y285" i="23"/>
  <c r="Y284" i="23"/>
  <c r="Y269" i="23"/>
  <c r="Y261" i="23"/>
  <c r="Y253" i="23"/>
  <c r="Y245" i="23"/>
  <c r="Y293" i="23"/>
  <c r="Y292" i="23"/>
  <c r="Y275" i="23"/>
  <c r="Y267" i="23"/>
  <c r="Y259" i="23"/>
  <c r="Y371" i="23"/>
  <c r="Y308" i="23"/>
  <c r="Y274" i="23"/>
  <c r="Y266" i="23"/>
  <c r="Y258" i="23"/>
  <c r="Y250" i="23"/>
  <c r="Y343" i="23"/>
  <c r="Y301" i="23"/>
  <c r="Y300" i="23"/>
  <c r="Y288" i="23"/>
  <c r="Y280" i="23"/>
  <c r="Y273" i="23"/>
  <c r="Y265" i="23"/>
  <c r="Y257" i="23"/>
  <c r="Y249" i="23"/>
  <c r="Y241" i="23"/>
  <c r="Y268" i="23"/>
  <c r="Y242" i="23"/>
  <c r="Y237" i="23"/>
  <c r="Y229" i="23"/>
  <c r="Y221" i="23"/>
  <c r="Y213" i="23"/>
  <c r="Y205" i="23"/>
  <c r="Y252" i="23"/>
  <c r="Y236" i="23"/>
  <c r="Y228" i="23"/>
  <c r="Y220" i="23"/>
  <c r="Y212" i="23"/>
  <c r="Y272" i="23"/>
  <c r="Y256" i="23"/>
  <c r="Y251" i="23"/>
  <c r="Y235" i="23"/>
  <c r="Y227" i="23"/>
  <c r="Y219" i="23"/>
  <c r="Y211" i="23"/>
  <c r="Y203" i="23"/>
  <c r="Y234" i="23"/>
  <c r="Y226" i="23"/>
  <c r="Y218" i="23"/>
  <c r="Y210" i="23"/>
  <c r="Y260" i="23"/>
  <c r="Y248" i="23"/>
  <c r="Y244" i="23"/>
  <c r="Y233" i="23"/>
  <c r="Y225" i="23"/>
  <c r="Y217" i="23"/>
  <c r="Y209" i="23"/>
  <c r="Y232" i="23"/>
  <c r="Y264" i="23"/>
  <c r="Y239" i="23"/>
  <c r="Y231" i="23"/>
  <c r="Y223" i="23"/>
  <c r="Y215" i="23"/>
  <c r="Y207" i="23"/>
  <c r="Y199" i="23"/>
  <c r="Y247" i="23"/>
  <c r="Y243" i="23"/>
  <c r="Y240" i="23"/>
  <c r="Y238" i="23"/>
  <c r="Y230" i="23"/>
  <c r="Y222" i="23"/>
  <c r="Y214" i="23"/>
  <c r="Y204" i="23"/>
  <c r="Y201" i="23"/>
  <c r="Y192" i="23"/>
  <c r="Y184" i="23"/>
  <c r="Y176" i="23"/>
  <c r="Y168" i="23"/>
  <c r="Y160" i="23"/>
  <c r="Y191" i="23"/>
  <c r="Y183" i="23"/>
  <c r="Y175" i="23"/>
  <c r="Y167" i="23"/>
  <c r="Y159" i="23"/>
  <c r="Y198" i="23"/>
  <c r="Y190" i="23"/>
  <c r="Y182" i="23"/>
  <c r="Y174" i="23"/>
  <c r="Y166" i="23"/>
  <c r="Y158" i="23"/>
  <c r="Y224" i="23"/>
  <c r="Y206" i="23"/>
  <c r="Y200" i="23"/>
  <c r="Y197" i="23"/>
  <c r="Y189" i="23"/>
  <c r="Y181" i="23"/>
  <c r="Y173" i="23"/>
  <c r="Y165" i="23"/>
  <c r="Y157" i="23"/>
  <c r="Y216" i="23"/>
  <c r="Y195" i="23"/>
  <c r="Y187" i="23"/>
  <c r="Y179" i="23"/>
  <c r="Y171" i="23"/>
  <c r="Y163" i="23"/>
  <c r="Y194" i="23"/>
  <c r="Y186" i="23"/>
  <c r="Y178" i="23"/>
  <c r="Y170" i="23"/>
  <c r="Y162" i="23"/>
  <c r="Y154" i="23"/>
  <c r="Y208" i="23"/>
  <c r="Y202" i="23"/>
  <c r="Y193" i="23"/>
  <c r="Y185" i="23"/>
  <c r="Y177" i="23"/>
  <c r="Y169" i="23"/>
  <c r="Y161" i="23"/>
  <c r="Y153" i="23"/>
  <c r="Y180" i="23"/>
  <c r="Y152" i="23"/>
  <c r="Y146" i="23"/>
  <c r="Y138" i="23"/>
  <c r="Y130" i="23"/>
  <c r="Y122" i="23"/>
  <c r="Y155" i="23"/>
  <c r="Y145" i="23"/>
  <c r="Y137" i="23"/>
  <c r="Y129" i="23"/>
  <c r="Y121" i="23"/>
  <c r="Y113" i="23"/>
  <c r="Y172" i="23"/>
  <c r="Y144" i="23"/>
  <c r="Y136" i="23"/>
  <c r="Y128" i="23"/>
  <c r="Y120" i="23"/>
  <c r="Y112" i="23"/>
  <c r="Y156" i="23"/>
  <c r="Y151" i="23"/>
  <c r="Y143" i="23"/>
  <c r="Y135" i="23"/>
  <c r="Y127" i="23"/>
  <c r="Y119" i="23"/>
  <c r="Y111" i="23"/>
  <c r="Y196" i="23"/>
  <c r="Y164" i="23"/>
  <c r="Y150" i="23"/>
  <c r="Y142" i="23"/>
  <c r="Y134" i="23"/>
  <c r="Y126" i="23"/>
  <c r="Y118" i="23"/>
  <c r="Y110" i="23"/>
  <c r="Y149" i="23"/>
  <c r="Y141" i="23"/>
  <c r="Y133" i="23"/>
  <c r="Y125" i="23"/>
  <c r="Y117" i="23"/>
  <c r="Y109" i="23"/>
  <c r="Y188" i="23"/>
  <c r="Y148" i="23"/>
  <c r="Y140" i="23"/>
  <c r="Y132" i="23"/>
  <c r="Y124" i="23"/>
  <c r="Y116" i="23"/>
  <c r="Y147" i="23"/>
  <c r="Y139" i="23"/>
  <c r="Y131" i="23"/>
  <c r="Y123" i="23"/>
  <c r="Y115" i="23"/>
  <c r="Y100" i="23"/>
  <c r="Y92" i="23"/>
  <c r="Y84" i="23"/>
  <c r="Y76" i="23"/>
  <c r="Y99" i="23"/>
  <c r="Y91" i="23"/>
  <c r="Y83" i="23"/>
  <c r="Y75" i="23"/>
  <c r="Y67" i="23"/>
  <c r="Y59" i="23"/>
  <c r="Y106" i="23"/>
  <c r="Y98" i="23"/>
  <c r="Y90" i="23"/>
  <c r="Y82" i="23"/>
  <c r="Y74" i="23"/>
  <c r="Y66" i="23"/>
  <c r="Y58" i="23"/>
  <c r="Y105" i="23"/>
  <c r="Y97" i="23"/>
  <c r="Y89" i="23"/>
  <c r="Y81" i="23"/>
  <c r="Y73" i="23"/>
  <c r="Y65" i="23"/>
  <c r="Y104" i="23"/>
  <c r="Y96" i="23"/>
  <c r="Y88" i="23"/>
  <c r="Y80" i="23"/>
  <c r="Y72" i="23"/>
  <c r="Y64" i="23"/>
  <c r="Y107" i="23"/>
  <c r="Y103" i="23"/>
  <c r="Y95" i="23"/>
  <c r="Y87" i="23"/>
  <c r="Y79" i="23"/>
  <c r="Y71" i="23"/>
  <c r="Y63" i="23"/>
  <c r="Y114" i="23"/>
  <c r="Y108" i="23"/>
  <c r="Y102" i="23"/>
  <c r="Y94" i="23"/>
  <c r="Y86" i="23"/>
  <c r="Y78" i="23"/>
  <c r="Y70" i="23"/>
  <c r="Y62" i="23"/>
  <c r="Y101" i="23"/>
  <c r="Y93" i="23"/>
  <c r="Y85" i="23"/>
  <c r="Y77" i="23"/>
  <c r="Y69" i="23"/>
  <c r="Y61" i="23"/>
  <c r="AA59" i="23"/>
  <c r="AC7" i="23"/>
  <c r="AJ8" i="23"/>
  <c r="AK8" i="23" s="1"/>
  <c r="AI9" i="23"/>
  <c r="J10" i="23"/>
  <c r="K10" i="23" s="1"/>
  <c r="R10" i="23"/>
  <c r="S10" i="23" s="1"/>
  <c r="Z10" i="23"/>
  <c r="AA10" i="23" s="1"/>
  <c r="I11" i="23"/>
  <c r="Q11" i="23"/>
  <c r="Y11" i="23"/>
  <c r="AF12" i="23"/>
  <c r="AG12" i="23" s="1"/>
  <c r="AE13" i="23"/>
  <c r="N14" i="23"/>
  <c r="O14" i="23" s="1"/>
  <c r="V14" i="23"/>
  <c r="W14" i="23" s="1"/>
  <c r="AL14" i="23"/>
  <c r="M15" i="23"/>
  <c r="U15" i="23"/>
  <c r="AC15" i="23"/>
  <c r="AJ16" i="23"/>
  <c r="AK16" i="23" s="1"/>
  <c r="AI17" i="23"/>
  <c r="J18" i="23"/>
  <c r="K18" i="23" s="1"/>
  <c r="R18" i="23"/>
  <c r="S18" i="23" s="1"/>
  <c r="Z18" i="23"/>
  <c r="AA18" i="23" s="1"/>
  <c r="I19" i="23"/>
  <c r="Q19" i="23"/>
  <c r="Y19" i="23"/>
  <c r="AF20" i="23"/>
  <c r="AG20" i="23" s="1"/>
  <c r="AE21" i="23"/>
  <c r="N22" i="23"/>
  <c r="O22" i="23" s="1"/>
  <c r="V22" i="23"/>
  <c r="W22" i="23" s="1"/>
  <c r="AL22" i="23"/>
  <c r="M23" i="23"/>
  <c r="U23" i="23"/>
  <c r="AC23" i="23"/>
  <c r="AJ24" i="23"/>
  <c r="AK24" i="23" s="1"/>
  <c r="AI25" i="23"/>
  <c r="J26" i="23"/>
  <c r="K26" i="23" s="1"/>
  <c r="R26" i="23"/>
  <c r="S26" i="23" s="1"/>
  <c r="Z26" i="23"/>
  <c r="AA26" i="23" s="1"/>
  <c r="I27" i="23"/>
  <c r="Q27" i="23"/>
  <c r="Y27" i="23"/>
  <c r="AF28" i="23"/>
  <c r="AG28" i="23" s="1"/>
  <c r="AE29" i="23"/>
  <c r="N30" i="23"/>
  <c r="O30" i="23" s="1"/>
  <c r="V30" i="23"/>
  <c r="W30" i="23" s="1"/>
  <c r="AL30" i="23"/>
  <c r="M31" i="23"/>
  <c r="U31" i="23"/>
  <c r="AC31" i="23"/>
  <c r="AJ32" i="23"/>
  <c r="AK32" i="23" s="1"/>
  <c r="AI33" i="23"/>
  <c r="J34" i="23"/>
  <c r="K34" i="23" s="1"/>
  <c r="R34" i="23"/>
  <c r="S34" i="23" s="1"/>
  <c r="Z34" i="23"/>
  <c r="AA34" i="23" s="1"/>
  <c r="I35" i="23"/>
  <c r="Q35" i="23"/>
  <c r="Y35" i="23"/>
  <c r="AF36" i="23"/>
  <c r="AG36" i="23" s="1"/>
  <c r="AE37" i="23"/>
  <c r="N38" i="23"/>
  <c r="O38" i="23" s="1"/>
  <c r="V38" i="23"/>
  <c r="W38" i="23" s="1"/>
  <c r="AL38" i="23"/>
  <c r="M39" i="23"/>
  <c r="U39" i="23"/>
  <c r="AC39" i="23"/>
  <c r="AJ40" i="23"/>
  <c r="AK40" i="23" s="1"/>
  <c r="AI41" i="23"/>
  <c r="J42" i="23"/>
  <c r="K42" i="23" s="1"/>
  <c r="R42" i="23"/>
  <c r="S42" i="23" s="1"/>
  <c r="Z42" i="23"/>
  <c r="AA42" i="23" s="1"/>
  <c r="I43" i="23"/>
  <c r="Q43" i="23"/>
  <c r="Y43" i="23"/>
  <c r="AF44" i="23"/>
  <c r="AG44" i="23" s="1"/>
  <c r="AE45" i="23"/>
  <c r="N46" i="23"/>
  <c r="O46" i="23" s="1"/>
  <c r="V46" i="23"/>
  <c r="W46" i="23" s="1"/>
  <c r="AL46" i="23"/>
  <c r="M47" i="23"/>
  <c r="U47" i="23"/>
  <c r="AC47" i="23"/>
  <c r="AJ48" i="23"/>
  <c r="AK48" i="23" s="1"/>
  <c r="AI49" i="23"/>
  <c r="J50" i="23"/>
  <c r="K50" i="23" s="1"/>
  <c r="R50" i="23"/>
  <c r="S50" i="23" s="1"/>
  <c r="Z50" i="23"/>
  <c r="AA50" i="23" s="1"/>
  <c r="I51" i="23"/>
  <c r="Q51" i="23"/>
  <c r="Y51" i="23"/>
  <c r="AG51" i="23"/>
  <c r="AF52" i="23"/>
  <c r="AG52" i="23" s="1"/>
  <c r="AE53" i="23"/>
  <c r="N54" i="23"/>
  <c r="O54" i="23" s="1"/>
  <c r="V54" i="23"/>
  <c r="W54" i="23" s="1"/>
  <c r="AL54" i="23"/>
  <c r="M55" i="23"/>
  <c r="U55" i="23"/>
  <c r="AC55" i="23"/>
  <c r="AJ56" i="23"/>
  <c r="AK56" i="23" s="1"/>
  <c r="N59" i="23"/>
  <c r="O59" i="23" s="1"/>
  <c r="Q60" i="23"/>
  <c r="N63" i="23"/>
  <c r="O63" i="23" s="1"/>
  <c r="AL63" i="23"/>
  <c r="AC64" i="23"/>
  <c r="Y68" i="23"/>
  <c r="R1555" i="16"/>
  <c r="F288" i="16"/>
  <c r="G288" i="16" s="1"/>
  <c r="F545" i="16"/>
  <c r="G545" i="16" s="1"/>
  <c r="F398" i="16"/>
  <c r="G398" i="16" s="1"/>
  <c r="R762" i="16"/>
  <c r="F1982" i="16"/>
  <c r="G1982" i="16" s="1"/>
  <c r="F512" i="16"/>
  <c r="G512" i="16" s="1"/>
  <c r="R1494" i="16"/>
  <c r="F1863" i="16"/>
  <c r="G1863" i="16" s="1"/>
  <c r="F1534" i="16"/>
  <c r="G1534" i="16" s="1"/>
  <c r="F1299" i="16"/>
  <c r="G1299" i="16" s="1"/>
  <c r="F808" i="16"/>
  <c r="G808" i="16" s="1"/>
  <c r="F295" i="16"/>
  <c r="G295" i="16" s="1"/>
  <c r="F1242" i="16"/>
  <c r="G1242" i="16" s="1"/>
  <c r="F726" i="16"/>
  <c r="G726" i="16" s="1"/>
  <c r="F1315" i="16"/>
  <c r="G1315" i="16" s="1"/>
  <c r="F1720" i="16"/>
  <c r="G1720" i="16" s="1"/>
  <c r="F257" i="16"/>
  <c r="G257" i="16" s="1"/>
  <c r="F1784" i="16"/>
  <c r="G1784" i="16" s="1"/>
  <c r="R1986" i="16"/>
  <c r="F478" i="16"/>
  <c r="G478" i="16" s="1"/>
  <c r="F1504" i="16"/>
  <c r="G1504" i="16" s="1"/>
  <c r="F1243" i="16"/>
  <c r="G1243" i="16" s="1"/>
  <c r="F1487" i="16"/>
  <c r="G1487" i="16" s="1"/>
  <c r="F1301" i="16"/>
  <c r="G1301" i="16" s="1"/>
  <c r="F1654" i="16"/>
  <c r="G1654" i="16" s="1"/>
  <c r="U838" i="16"/>
  <c r="F1235" i="16"/>
  <c r="G1235" i="16" s="1"/>
  <c r="F1347" i="16"/>
  <c r="G1347" i="16" s="1"/>
  <c r="R761" i="16"/>
  <c r="F299" i="16"/>
  <c r="G299" i="16" s="1"/>
  <c r="F153" i="16"/>
  <c r="G153" i="16" s="1"/>
  <c r="F2107" i="16"/>
  <c r="G2107" i="16" s="1"/>
  <c r="F488" i="16"/>
  <c r="G488" i="16" s="1"/>
  <c r="F532" i="16"/>
  <c r="G532" i="16" s="1"/>
  <c r="R2187" i="16"/>
  <c r="R501" i="16"/>
  <c r="F269" i="16"/>
  <c r="G269" i="16" s="1"/>
  <c r="F756" i="16"/>
  <c r="G756" i="16" s="1"/>
  <c r="R768" i="16"/>
  <c r="R1341" i="16"/>
  <c r="R1303" i="16"/>
  <c r="R1575" i="16"/>
  <c r="F1318" i="16"/>
  <c r="G1318" i="16" s="1"/>
  <c r="F1864" i="16"/>
  <c r="G1864" i="16" s="1"/>
  <c r="R1340" i="16"/>
  <c r="R1317" i="16"/>
  <c r="R1300" i="16"/>
  <c r="R235" i="16"/>
  <c r="F2186" i="16"/>
  <c r="G2186" i="16" s="1"/>
  <c r="R765" i="16"/>
  <c r="R2103" i="16"/>
  <c r="R1861" i="16"/>
  <c r="R400" i="16"/>
  <c r="F2184" i="16"/>
  <c r="G2184" i="16" s="1"/>
  <c r="F953" i="16"/>
  <c r="G953" i="16" s="1"/>
  <c r="R969" i="16"/>
  <c r="R779" i="16"/>
  <c r="R1001" i="16"/>
  <c r="R1627" i="16"/>
  <c r="F1075" i="16"/>
  <c r="G1075" i="16" s="1"/>
  <c r="F890" i="16"/>
  <c r="G890" i="16" s="1"/>
  <c r="R1573" i="16"/>
  <c r="F155" i="16"/>
  <c r="G155" i="16" s="1"/>
  <c r="R1981" i="16"/>
  <c r="R332" i="16"/>
  <c r="F896" i="16"/>
  <c r="G896" i="16" s="1"/>
  <c r="F2058" i="16"/>
  <c r="G2058" i="16" s="1"/>
  <c r="R1474" i="16"/>
  <c r="R583" i="16"/>
  <c r="R691" i="16"/>
  <c r="R1367" i="16"/>
  <c r="F321" i="16"/>
  <c r="G321" i="16" s="1"/>
  <c r="R79" i="16"/>
  <c r="R461" i="16"/>
  <c r="R1366" i="16"/>
  <c r="R2064" i="16"/>
  <c r="F1676" i="16"/>
  <c r="G1676" i="16" s="1"/>
  <c r="R1577" i="16"/>
  <c r="R1107" i="16"/>
  <c r="R2015" i="16"/>
  <c r="R2188" i="16"/>
  <c r="F309" i="16"/>
  <c r="G309" i="16" s="1"/>
  <c r="R1605" i="16"/>
  <c r="R1228" i="16"/>
  <c r="F318" i="16"/>
  <c r="G318" i="16" s="1"/>
  <c r="R1295" i="16"/>
  <c r="R1740" i="16"/>
  <c r="F963" i="16"/>
  <c r="G963" i="16" s="1"/>
  <c r="F2106" i="16"/>
  <c r="G2106" i="16" s="1"/>
  <c r="R160" i="16"/>
  <c r="R2079" i="16"/>
  <c r="R747" i="16"/>
  <c r="R2005" i="16"/>
  <c r="F1227" i="16"/>
  <c r="G1227" i="16" s="1"/>
  <c r="F1109" i="16"/>
  <c r="G1109" i="16" s="1"/>
  <c r="R386" i="16"/>
  <c r="R387" i="16"/>
  <c r="R1149" i="16"/>
  <c r="F112" i="16"/>
  <c r="G112" i="16" s="1"/>
  <c r="F675" i="16"/>
  <c r="G675" i="16" s="1"/>
  <c r="R1282" i="16"/>
  <c r="R236" i="16"/>
  <c r="R2006" i="16"/>
  <c r="R1135" i="16"/>
  <c r="F259" i="16"/>
  <c r="G259" i="16" s="1"/>
  <c r="R1850" i="16"/>
  <c r="R996" i="16"/>
  <c r="R1271" i="16"/>
  <c r="R1435" i="16"/>
  <c r="F1915" i="16"/>
  <c r="G1915" i="16" s="1"/>
  <c r="F1485" i="16"/>
  <c r="G1485" i="16" s="1"/>
  <c r="R1338" i="16"/>
  <c r="R1108" i="16"/>
  <c r="R1897" i="16"/>
  <c r="R1258" i="16"/>
  <c r="F660" i="16"/>
  <c r="G660" i="16" s="1"/>
  <c r="F1090" i="16"/>
  <c r="G1090" i="16" s="1"/>
  <c r="F528" i="16"/>
  <c r="G528" i="16" s="1"/>
  <c r="R932" i="16"/>
  <c r="R1377" i="16"/>
  <c r="R1723" i="16"/>
  <c r="R1345" i="16"/>
  <c r="F1900" i="16"/>
  <c r="G1900" i="16" s="1"/>
  <c r="R60" i="16"/>
  <c r="R1477" i="16"/>
  <c r="R1231" i="16"/>
  <c r="R2182" i="16"/>
  <c r="F370" i="16"/>
  <c r="G370" i="16" s="1"/>
  <c r="F63" i="16"/>
  <c r="G63" i="16" s="1"/>
  <c r="F901" i="16"/>
  <c r="G901" i="16" s="1"/>
  <c r="R1934" i="16"/>
  <c r="R349" i="16"/>
  <c r="F1606" i="16"/>
  <c r="G1606" i="16" s="1"/>
  <c r="R450" i="16"/>
  <c r="R266" i="16"/>
  <c r="F273" i="16"/>
  <c r="G273" i="16" s="1"/>
  <c r="F1200" i="16"/>
  <c r="G1200" i="16" s="1"/>
  <c r="R786" i="16"/>
  <c r="R1105" i="16"/>
  <c r="R2057" i="16"/>
  <c r="R1302" i="16"/>
  <c r="F727" i="16"/>
  <c r="G727" i="16" s="1"/>
  <c r="F977" i="16"/>
  <c r="G977" i="16" s="1"/>
  <c r="F368" i="16"/>
  <c r="G368" i="16" s="1"/>
  <c r="R705" i="16"/>
  <c r="R1523" i="16"/>
  <c r="R1305" i="16"/>
  <c r="R2183" i="16"/>
  <c r="F891" i="16"/>
  <c r="G891" i="16" s="1"/>
  <c r="F559" i="16"/>
  <c r="G559" i="16" s="1"/>
  <c r="F280" i="16"/>
  <c r="G280" i="16" s="1"/>
  <c r="R1731" i="16"/>
  <c r="R2115" i="16"/>
  <c r="F999" i="16"/>
  <c r="G999" i="16" s="1"/>
  <c r="R1538" i="16"/>
  <c r="R2022" i="16"/>
  <c r="F1083" i="16"/>
  <c r="G1083" i="16" s="1"/>
  <c r="F1473" i="16"/>
  <c r="G1473" i="16" s="1"/>
  <c r="F893" i="16"/>
  <c r="G893" i="16" s="1"/>
  <c r="R287" i="16"/>
  <c r="R923" i="16"/>
  <c r="R1316" i="16"/>
  <c r="R17" i="16"/>
  <c r="F2112" i="16"/>
  <c r="G2112" i="16" s="1"/>
  <c r="F1286" i="16"/>
  <c r="G1286" i="16" s="1"/>
  <c r="F1283" i="16"/>
  <c r="G1283" i="16" s="1"/>
  <c r="R1739" i="16"/>
  <c r="R1542" i="16"/>
  <c r="R2155" i="16"/>
  <c r="R1263" i="16"/>
  <c r="F1596" i="16"/>
  <c r="G1596" i="16" s="1"/>
  <c r="F1122" i="16"/>
  <c r="G1122" i="16" s="1"/>
  <c r="F1645" i="16"/>
  <c r="G1645" i="16" s="1"/>
  <c r="R936" i="16"/>
  <c r="R1642" i="16"/>
  <c r="R652" i="16"/>
  <c r="R1416" i="16"/>
  <c r="R970" i="16"/>
  <c r="R769" i="16"/>
  <c r="R1581" i="16"/>
  <c r="R270" i="16"/>
  <c r="R720" i="16"/>
  <c r="R284" i="16"/>
  <c r="F664" i="16"/>
  <c r="G664" i="16" s="1"/>
  <c r="R2059" i="16"/>
  <c r="F310" i="16"/>
  <c r="G310" i="16" s="1"/>
  <c r="R659" i="16"/>
  <c r="R76" i="16"/>
  <c r="F1738" i="16"/>
  <c r="G1738" i="16" s="1"/>
  <c r="R1484" i="16"/>
  <c r="R1352" i="16"/>
  <c r="R462" i="16"/>
  <c r="R598" i="16"/>
  <c r="F1401" i="16"/>
  <c r="G1401" i="16" s="1"/>
  <c r="R1680" i="16"/>
  <c r="F995" i="16"/>
  <c r="G995" i="16" s="1"/>
  <c r="R1139" i="16"/>
  <c r="R1296" i="16"/>
  <c r="R454" i="16"/>
  <c r="R1137" i="16"/>
  <c r="F2004" i="16"/>
  <c r="G2004" i="16" s="1"/>
  <c r="R475" i="16"/>
  <c r="F1751" i="16"/>
  <c r="G1751" i="16" s="1"/>
  <c r="R319" i="16"/>
  <c r="R1724" i="16"/>
  <c r="F1349" i="16"/>
  <c r="G1349" i="16" s="1"/>
  <c r="R1141" i="16"/>
  <c r="F94" i="16"/>
  <c r="G94" i="16" s="1"/>
  <c r="R1411" i="16"/>
  <c r="R357" i="16"/>
  <c r="R1194" i="16"/>
  <c r="R2101" i="16"/>
  <c r="R524" i="16"/>
  <c r="R612" i="16"/>
  <c r="R118" i="16"/>
  <c r="R962" i="16"/>
  <c r="R1643" i="16"/>
  <c r="R1167" i="16"/>
  <c r="R2074" i="16"/>
  <c r="X277" i="16"/>
  <c r="R1293" i="16"/>
  <c r="R286" i="16"/>
  <c r="R1276" i="16"/>
  <c r="R1475" i="16"/>
  <c r="R1708" i="16"/>
  <c r="R549" i="16"/>
  <c r="F1520" i="16"/>
  <c r="G1520" i="16" s="1"/>
  <c r="F162" i="16"/>
  <c r="G162" i="16" s="1"/>
  <c r="R1647" i="16"/>
  <c r="R1368" i="16"/>
  <c r="R1251" i="16"/>
  <c r="R588" i="16"/>
  <c r="R93" i="16"/>
  <c r="R161" i="16"/>
  <c r="R1615" i="16"/>
  <c r="R132" i="16"/>
  <c r="F441" i="16"/>
  <c r="G441" i="16" s="1"/>
  <c r="R360" i="16"/>
  <c r="R1253" i="16"/>
  <c r="U826" i="16"/>
  <c r="F496" i="16"/>
  <c r="G496" i="16" s="1"/>
  <c r="H2186" i="16" l="1"/>
  <c r="H257" i="16"/>
  <c r="H496" i="16"/>
  <c r="H1200" i="16"/>
  <c r="H259" i="16"/>
  <c r="H1654" i="16"/>
  <c r="H1534" i="16"/>
  <c r="H2004" i="16"/>
  <c r="H63" i="16"/>
  <c r="H2106" i="16"/>
  <c r="H488" i="16"/>
  <c r="H288" i="16"/>
  <c r="H162" i="16"/>
  <c r="H675" i="16"/>
  <c r="H1075" i="16"/>
  <c r="H1864" i="16"/>
  <c r="H1347" i="16"/>
  <c r="H478" i="16"/>
  <c r="H295" i="16"/>
  <c r="H995" i="16"/>
  <c r="H2112" i="16"/>
  <c r="H1122" i="16"/>
  <c r="H660" i="16"/>
  <c r="H1349" i="16"/>
  <c r="H1283" i="16"/>
  <c r="H1473" i="16"/>
  <c r="H559" i="16"/>
  <c r="H727" i="16"/>
  <c r="H528" i="16"/>
  <c r="H1915" i="16"/>
  <c r="H1227" i="16"/>
  <c r="H2184" i="16"/>
  <c r="H756" i="16"/>
  <c r="H299" i="16"/>
  <c r="H1243" i="16"/>
  <c r="H726" i="16"/>
  <c r="H512" i="16"/>
  <c r="H441" i="16"/>
  <c r="H1738" i="16"/>
  <c r="H1645" i="16"/>
  <c r="H1286" i="16"/>
  <c r="H1083" i="16"/>
  <c r="H891" i="16"/>
  <c r="H1606" i="16"/>
  <c r="H1090" i="16"/>
  <c r="H318" i="16"/>
  <c r="H1676" i="16"/>
  <c r="H890" i="16"/>
  <c r="H269" i="16"/>
  <c r="H1504" i="16"/>
  <c r="H1242" i="16"/>
  <c r="H1982" i="16"/>
  <c r="H1520" i="16"/>
  <c r="H1751" i="16"/>
  <c r="H1596" i="16"/>
  <c r="H1900" i="16"/>
  <c r="H112" i="16"/>
  <c r="H2058" i="16"/>
  <c r="H1318" i="16"/>
  <c r="H1235" i="16"/>
  <c r="H808" i="16"/>
  <c r="H398" i="16"/>
  <c r="H1401" i="16"/>
  <c r="H310" i="16"/>
  <c r="H999" i="16"/>
  <c r="H901" i="16"/>
  <c r="H309" i="16"/>
  <c r="H896" i="16"/>
  <c r="H532" i="16"/>
  <c r="H1784" i="16"/>
  <c r="H1299" i="16"/>
  <c r="H545" i="16"/>
  <c r="H94" i="16"/>
  <c r="H664" i="16"/>
  <c r="H368" i="16"/>
  <c r="H273" i="16"/>
  <c r="H370" i="16"/>
  <c r="H963" i="16"/>
  <c r="H321" i="16"/>
  <c r="H2107" i="16"/>
  <c r="H1301" i="16"/>
  <c r="H1720" i="16"/>
  <c r="H1863" i="16"/>
  <c r="H893" i="16"/>
  <c r="H280" i="16"/>
  <c r="H977" i="16"/>
  <c r="H1485" i="16"/>
  <c r="H1109" i="16"/>
  <c r="H155" i="16"/>
  <c r="H953" i="16"/>
  <c r="H153" i="16"/>
  <c r="H1487" i="16"/>
  <c r="H1315" i="16"/>
  <c r="AP57" i="23"/>
  <c r="AQ57" i="23" s="1"/>
  <c r="AP26" i="23"/>
  <c r="AQ26" i="23" s="1"/>
  <c r="AP34" i="23"/>
  <c r="AQ34" i="23" s="1"/>
  <c r="AP50" i="23"/>
  <c r="AQ50" i="23" s="1"/>
  <c r="AP23" i="23"/>
  <c r="AQ23" i="23" s="1"/>
  <c r="AP42" i="23"/>
  <c r="AQ42" i="23" s="1"/>
  <c r="AP18" i="23"/>
  <c r="AP10" i="23"/>
  <c r="AQ10" i="23" s="1"/>
  <c r="AP47" i="23"/>
  <c r="AQ47" i="23" s="1"/>
  <c r="AP35" i="23"/>
  <c r="AQ35" i="23" s="1"/>
  <c r="AP27" i="23"/>
  <c r="AQ27" i="23" s="1"/>
  <c r="AP19" i="23"/>
  <c r="AQ19" i="23" s="1"/>
  <c r="AP46" i="23"/>
  <c r="AQ46" i="23" s="1"/>
  <c r="AP38" i="23"/>
  <c r="AQ38" i="23" s="1"/>
  <c r="AP30" i="23"/>
  <c r="AQ30" i="23" s="1"/>
  <c r="AP22" i="23"/>
  <c r="AQ22" i="23" s="1"/>
  <c r="AP14" i="23"/>
  <c r="AQ14" i="23" s="1"/>
  <c r="AP60" i="23"/>
  <c r="AQ60" i="23" s="1"/>
  <c r="AP192" i="23"/>
  <c r="AQ192" i="23" s="1"/>
  <c r="AP233" i="23"/>
  <c r="AP270" i="23"/>
  <c r="AQ270" i="23" s="1"/>
  <c r="AP294" i="23"/>
  <c r="AQ294" i="23" s="1"/>
  <c r="AP336" i="23"/>
  <c r="AQ336" i="23" s="1"/>
  <c r="AP31" i="23"/>
  <c r="AQ31" i="23" s="1"/>
  <c r="AP43" i="23"/>
  <c r="AQ43" i="23" s="1"/>
  <c r="AP8" i="23"/>
  <c r="AQ8" i="23" s="1"/>
  <c r="AP25" i="23"/>
  <c r="AQ25" i="23" s="1"/>
  <c r="AP24" i="23"/>
  <c r="AQ24" i="23" s="1"/>
  <c r="AP48" i="23"/>
  <c r="AQ48" i="23" s="1"/>
  <c r="AP29" i="23"/>
  <c r="AQ29" i="23" s="1"/>
  <c r="AP28" i="23"/>
  <c r="AQ28" i="23" s="1"/>
  <c r="AP45" i="23"/>
  <c r="AQ45" i="23" s="1"/>
  <c r="AP13" i="23"/>
  <c r="AQ13" i="23" s="1"/>
  <c r="AP53" i="23"/>
  <c r="AQ53" i="23" s="1"/>
  <c r="AP229" i="23"/>
  <c r="AQ229" i="23" s="1"/>
  <c r="AP349" i="23"/>
  <c r="AP395" i="23"/>
  <c r="AQ395" i="23" s="1"/>
  <c r="AP403" i="23"/>
  <c r="AQ403" i="23" s="1"/>
  <c r="AP501" i="23"/>
  <c r="AQ501" i="23" s="1"/>
  <c r="AP508" i="23"/>
  <c r="AQ508" i="23" s="1"/>
  <c r="AP526" i="23"/>
  <c r="AQ526" i="23" s="1"/>
  <c r="AP16" i="23"/>
  <c r="AQ16" i="23" s="1"/>
  <c r="AP68" i="23"/>
  <c r="AQ68" i="23" s="1"/>
  <c r="AP11" i="23"/>
  <c r="AP157" i="23"/>
  <c r="AQ157" i="23" s="1"/>
  <c r="AP445" i="23"/>
  <c r="AQ445" i="23" s="1"/>
  <c r="AP93" i="23"/>
  <c r="AQ93" i="23" s="1"/>
  <c r="AP87" i="23"/>
  <c r="AQ87" i="23" s="1"/>
  <c r="AP89" i="23"/>
  <c r="AQ89" i="23" s="1"/>
  <c r="AP115" i="23"/>
  <c r="AQ115" i="23" s="1"/>
  <c r="AP147" i="23"/>
  <c r="AQ147" i="23" s="1"/>
  <c r="AP140" i="23"/>
  <c r="AQ140" i="23" s="1"/>
  <c r="AP153" i="23"/>
  <c r="AQ153" i="23" s="1"/>
  <c r="AP134" i="23"/>
  <c r="AQ134" i="23" s="1"/>
  <c r="AP188" i="23"/>
  <c r="AQ188" i="23" s="1"/>
  <c r="AP135" i="23"/>
  <c r="AQ135" i="23" s="1"/>
  <c r="AP196" i="23"/>
  <c r="AQ196" i="23" s="1"/>
  <c r="AP178" i="23"/>
  <c r="AQ178" i="23" s="1"/>
  <c r="AP206" i="23"/>
  <c r="AP176" i="23"/>
  <c r="AP242" i="23"/>
  <c r="AQ242" i="23" s="1"/>
  <c r="AP209" i="23"/>
  <c r="AQ209" i="23" s="1"/>
  <c r="AP218" i="23"/>
  <c r="AQ218" i="23" s="1"/>
  <c r="AP261" i="23"/>
  <c r="AQ261" i="23" s="1"/>
  <c r="AP295" i="23"/>
  <c r="AQ295" i="23" s="1"/>
  <c r="AP312" i="23"/>
  <c r="AQ312" i="23" s="1"/>
  <c r="AP352" i="23"/>
  <c r="AQ352" i="23" s="1"/>
  <c r="AP333" i="23"/>
  <c r="AQ333" i="23" s="1"/>
  <c r="AP326" i="23"/>
  <c r="AQ326" i="23" s="1"/>
  <c r="AP358" i="23"/>
  <c r="AQ358" i="23" s="1"/>
  <c r="AP373" i="23"/>
  <c r="AQ373" i="23" s="1"/>
  <c r="AP433" i="23"/>
  <c r="AQ433" i="23" s="1"/>
  <c r="AP54" i="23"/>
  <c r="AQ54" i="23" s="1"/>
  <c r="AP69" i="23"/>
  <c r="AQ69" i="23" s="1"/>
  <c r="AP166" i="23"/>
  <c r="AQ166" i="23" s="1"/>
  <c r="AP36" i="23"/>
  <c r="AP37" i="23"/>
  <c r="AQ37" i="23" s="1"/>
  <c r="AP236" i="23"/>
  <c r="AQ236" i="23" s="1"/>
  <c r="AP44" i="23"/>
  <c r="AQ44" i="23" s="1"/>
  <c r="AP249" i="23"/>
  <c r="AQ249" i="23" s="1"/>
  <c r="AP142" i="23"/>
  <c r="AQ142" i="23" s="1"/>
  <c r="AP52" i="23"/>
  <c r="AQ52" i="23" s="1"/>
  <c r="AP21" i="23"/>
  <c r="AQ21" i="23" s="1"/>
  <c r="AP146" i="23"/>
  <c r="AP272" i="23"/>
  <c r="AQ272" i="23" s="1"/>
  <c r="AP39" i="23"/>
  <c r="AQ39" i="23" s="1"/>
  <c r="AP131" i="23"/>
  <c r="AQ131" i="23" s="1"/>
  <c r="AP322" i="23"/>
  <c r="AQ322" i="23" s="1"/>
  <c r="AP160" i="23"/>
  <c r="AQ160" i="23" s="1"/>
  <c r="AP114" i="23"/>
  <c r="AQ114" i="23" s="1"/>
  <c r="AP278" i="23"/>
  <c r="AQ278" i="23" s="1"/>
  <c r="AP425" i="23"/>
  <c r="AQ425" i="23" s="1"/>
  <c r="AP110" i="23"/>
  <c r="AQ110" i="23" s="1"/>
  <c r="AP529" i="23"/>
  <c r="AQ529" i="23" s="1"/>
  <c r="AP32" i="23"/>
  <c r="AQ32" i="23" s="1"/>
  <c r="AP409" i="23"/>
  <c r="AQ409" i="23" s="1"/>
  <c r="AP40" i="23"/>
  <c r="AQ40" i="23" s="1"/>
  <c r="AP124" i="23"/>
  <c r="AQ124" i="23" s="1"/>
  <c r="AP353" i="23"/>
  <c r="AQ353" i="23" s="1"/>
  <c r="AP324" i="23"/>
  <c r="AP368" i="23"/>
  <c r="AQ368" i="23" s="1"/>
  <c r="AP64" i="23"/>
  <c r="AQ64" i="23" s="1"/>
  <c r="AP78" i="23"/>
  <c r="AQ78" i="23" s="1"/>
  <c r="AP239" i="23"/>
  <c r="AQ239" i="23" s="1"/>
  <c r="AP432" i="23"/>
  <c r="AQ432" i="23" s="1"/>
  <c r="AP483" i="23"/>
  <c r="AQ483" i="23" s="1"/>
  <c r="AP513" i="23"/>
  <c r="AQ513" i="23" s="1"/>
  <c r="AP189" i="23"/>
  <c r="AQ189" i="23" s="1"/>
  <c r="AP183" i="23"/>
  <c r="AQ183" i="23" s="1"/>
  <c r="AP378" i="23"/>
  <c r="AQ378" i="23" s="1"/>
  <c r="AP330" i="23"/>
  <c r="AQ330" i="23" s="1"/>
  <c r="AP422" i="23"/>
  <c r="AQ422" i="23" s="1"/>
  <c r="AP470" i="23"/>
  <c r="AQ470" i="23" s="1"/>
  <c r="AP106" i="23"/>
  <c r="AQ106" i="23" s="1"/>
  <c r="AP117" i="23"/>
  <c r="AQ117" i="23" s="1"/>
  <c r="AP128" i="23"/>
  <c r="AP130" i="23"/>
  <c r="AQ130" i="23" s="1"/>
  <c r="AP252" i="23"/>
  <c r="AQ252" i="23" s="1"/>
  <c r="AP271" i="23"/>
  <c r="AQ271" i="23" s="1"/>
  <c r="AP306" i="23"/>
  <c r="AQ306" i="23" s="1"/>
  <c r="AP299" i="23"/>
  <c r="AQ299" i="23" s="1"/>
  <c r="AP357" i="23"/>
  <c r="AQ357" i="23" s="1"/>
  <c r="AP354" i="23"/>
  <c r="AQ354" i="23" s="1"/>
  <c r="AP382" i="23"/>
  <c r="AQ382" i="23" s="1"/>
  <c r="AP390" i="23"/>
  <c r="AQ390" i="23" s="1"/>
  <c r="AP380" i="23"/>
  <c r="AQ380" i="23" s="1"/>
  <c r="AP401" i="23"/>
  <c r="AQ401" i="23" s="1"/>
  <c r="AP376" i="23"/>
  <c r="AQ376" i="23" s="1"/>
  <c r="AP393" i="23"/>
  <c r="AQ393" i="23" s="1"/>
  <c r="AP408" i="23"/>
  <c r="AQ408" i="23" s="1"/>
  <c r="AP410" i="23"/>
  <c r="AQ410" i="23" s="1"/>
  <c r="AP414" i="23"/>
  <c r="AQ414" i="23" s="1"/>
  <c r="AP427" i="23"/>
  <c r="AQ427" i="23" s="1"/>
  <c r="AP431" i="23"/>
  <c r="AQ431" i="23" s="1"/>
  <c r="AP457" i="23"/>
  <c r="AQ457" i="23" s="1"/>
  <c r="AP443" i="23"/>
  <c r="AQ443" i="23" s="1"/>
  <c r="AP452" i="23"/>
  <c r="AQ452" i="23" s="1"/>
  <c r="AP466" i="23"/>
  <c r="AQ466" i="23" s="1"/>
  <c r="AP477" i="23"/>
  <c r="AQ477" i="23" s="1"/>
  <c r="AP491" i="23"/>
  <c r="AP518" i="23"/>
  <c r="AQ518" i="23" s="1"/>
  <c r="AP511" i="23"/>
  <c r="AQ511" i="23" s="1"/>
  <c r="AP531" i="23"/>
  <c r="AQ531" i="23" s="1"/>
  <c r="AP101" i="23"/>
  <c r="AQ101" i="23" s="1"/>
  <c r="AP230" i="23"/>
  <c r="AQ230" i="23" s="1"/>
  <c r="AP61" i="23"/>
  <c r="AQ61" i="23" s="1"/>
  <c r="AP80" i="23"/>
  <c r="AQ80" i="23" s="1"/>
  <c r="AP74" i="23"/>
  <c r="AQ74" i="23" s="1"/>
  <c r="AP59" i="23"/>
  <c r="AQ59" i="23" s="1"/>
  <c r="AP91" i="23"/>
  <c r="AQ91" i="23" s="1"/>
  <c r="AP84" i="23"/>
  <c r="AQ84" i="23" s="1"/>
  <c r="AP145" i="23"/>
  <c r="AQ145" i="23" s="1"/>
  <c r="AP169" i="23"/>
  <c r="AQ169" i="23" s="1"/>
  <c r="AP171" i="23"/>
  <c r="AQ171" i="23" s="1"/>
  <c r="AP208" i="23"/>
  <c r="AQ208" i="23" s="1"/>
  <c r="AP173" i="23"/>
  <c r="AP216" i="23"/>
  <c r="AQ216" i="23" s="1"/>
  <c r="AP182" i="23"/>
  <c r="AQ182" i="23" s="1"/>
  <c r="AP167" i="23"/>
  <c r="AQ167" i="23" s="1"/>
  <c r="AP264" i="23"/>
  <c r="AQ264" i="23" s="1"/>
  <c r="AP244" i="23"/>
  <c r="AQ244" i="23" s="1"/>
  <c r="AP203" i="23"/>
  <c r="AQ203" i="23" s="1"/>
  <c r="AP235" i="23"/>
  <c r="AQ235" i="23" s="1"/>
  <c r="AP212" i="23"/>
  <c r="AQ212" i="23" s="1"/>
  <c r="AP237" i="23"/>
  <c r="AQ237" i="23" s="1"/>
  <c r="AP257" i="23"/>
  <c r="AQ257" i="23" s="1"/>
  <c r="AP308" i="23"/>
  <c r="AQ308" i="23" s="1"/>
  <c r="AP275" i="23"/>
  <c r="AQ275" i="23" s="1"/>
  <c r="AP269" i="23"/>
  <c r="AQ269" i="23" s="1"/>
  <c r="AP285" i="23"/>
  <c r="AQ285" i="23" s="1"/>
  <c r="AP286" i="23"/>
  <c r="AP317" i="23"/>
  <c r="AQ317" i="23" s="1"/>
  <c r="AP289" i="23"/>
  <c r="AQ289" i="23" s="1"/>
  <c r="AP398" i="23"/>
  <c r="AQ398" i="23" s="1"/>
  <c r="AP335" i="23"/>
  <c r="AQ335" i="23" s="1"/>
  <c r="AP327" i="23"/>
  <c r="AQ327" i="23" s="1"/>
  <c r="AP337" i="23"/>
  <c r="AQ337" i="23" s="1"/>
  <c r="AP415" i="23"/>
  <c r="AQ415" i="23" s="1"/>
  <c r="AP356" i="23"/>
  <c r="AQ356" i="23" s="1"/>
  <c r="AP375" i="23"/>
  <c r="AP361" i="23"/>
  <c r="AQ361" i="23" s="1"/>
  <c r="AP386" i="23"/>
  <c r="AQ386" i="23" s="1"/>
  <c r="AP424" i="23"/>
  <c r="AQ424" i="23" s="1"/>
  <c r="AP436" i="23"/>
  <c r="AQ436" i="23" s="1"/>
  <c r="AP462" i="23"/>
  <c r="AQ462" i="23" s="1"/>
  <c r="AP451" i="23"/>
  <c r="AQ451" i="23" s="1"/>
  <c r="AP446" i="23"/>
  <c r="AQ446" i="23" s="1"/>
  <c r="AP455" i="23"/>
  <c r="AQ455" i="23" s="1"/>
  <c r="AP473" i="23"/>
  <c r="AQ473" i="23" s="1"/>
  <c r="AP476" i="23"/>
  <c r="AQ476" i="23" s="1"/>
  <c r="AP480" i="23"/>
  <c r="AQ480" i="23" s="1"/>
  <c r="AP509" i="23"/>
  <c r="AQ509" i="23" s="1"/>
  <c r="AP495" i="23"/>
  <c r="AQ495" i="23" s="1"/>
  <c r="AP521" i="23"/>
  <c r="AQ521" i="23" s="1"/>
  <c r="AP517" i="23"/>
  <c r="AQ517" i="23" s="1"/>
  <c r="AP520" i="23"/>
  <c r="AP530" i="23"/>
  <c r="AQ530" i="23" s="1"/>
  <c r="AP55" i="23"/>
  <c r="AQ55" i="23" s="1"/>
  <c r="AP63" i="23"/>
  <c r="AQ63" i="23" s="1"/>
  <c r="AP95" i="23"/>
  <c r="AQ95" i="23" s="1"/>
  <c r="AP65" i="23"/>
  <c r="AQ65" i="23" s="1"/>
  <c r="AP97" i="23"/>
  <c r="AQ97" i="23" s="1"/>
  <c r="AP82" i="23"/>
  <c r="AQ82" i="23" s="1"/>
  <c r="AP123" i="23"/>
  <c r="AQ123" i="23" s="1"/>
  <c r="AP148" i="23"/>
  <c r="AQ148" i="23" s="1"/>
  <c r="AP125" i="23"/>
  <c r="AQ125" i="23" s="1"/>
  <c r="AP111" i="23"/>
  <c r="AQ111" i="23" s="1"/>
  <c r="AP143" i="23"/>
  <c r="AQ143" i="23" s="1"/>
  <c r="AP136" i="23"/>
  <c r="AQ136" i="23" s="1"/>
  <c r="AP113" i="23"/>
  <c r="AQ113" i="23" s="1"/>
  <c r="AP138" i="23"/>
  <c r="AQ138" i="23" s="1"/>
  <c r="AP154" i="23"/>
  <c r="AQ154" i="23" s="1"/>
  <c r="AP186" i="23"/>
  <c r="AQ186" i="23" s="1"/>
  <c r="AP179" i="23"/>
  <c r="AQ179" i="23" s="1"/>
  <c r="AP201" i="23"/>
  <c r="AQ201" i="23" s="1"/>
  <c r="AP224" i="23"/>
  <c r="AQ224" i="23" s="1"/>
  <c r="AP184" i="23"/>
  <c r="AQ184" i="23" s="1"/>
  <c r="AP215" i="23"/>
  <c r="AQ215" i="23" s="1"/>
  <c r="AP217" i="23"/>
  <c r="AP248" i="23"/>
  <c r="AQ248" i="23" s="1"/>
  <c r="AP226" i="23"/>
  <c r="AQ226" i="23" s="1"/>
  <c r="AP205" i="23"/>
  <c r="AQ205" i="23" s="1"/>
  <c r="AP250" i="23"/>
  <c r="AQ250" i="23" s="1"/>
  <c r="AP276" i="23"/>
  <c r="AQ276" i="23" s="1"/>
  <c r="AP246" i="23"/>
  <c r="AQ246" i="23" s="1"/>
  <c r="AP313" i="23"/>
  <c r="AQ313" i="23" s="1"/>
  <c r="AP288" i="23"/>
  <c r="AQ288" i="23" s="1"/>
  <c r="AP303" i="23"/>
  <c r="AQ303" i="23" s="1"/>
  <c r="AP316" i="23"/>
  <c r="AQ316" i="23" s="1"/>
  <c r="AP307" i="23"/>
  <c r="AQ307" i="23" s="1"/>
  <c r="AP334" i="23"/>
  <c r="AQ334" i="23" s="1"/>
  <c r="AP359" i="23"/>
  <c r="AQ359" i="23" s="1"/>
  <c r="AP388" i="23"/>
  <c r="AQ388" i="23" s="1"/>
  <c r="AP411" i="23"/>
  <c r="AQ411" i="23" s="1"/>
  <c r="AP384" i="23"/>
  <c r="AQ384" i="23" s="1"/>
  <c r="AP416" i="23"/>
  <c r="AP418" i="23"/>
  <c r="AQ418" i="23" s="1"/>
  <c r="AP404" i="23"/>
  <c r="AQ404" i="23" s="1"/>
  <c r="AP405" i="23"/>
  <c r="AQ405" i="23" s="1"/>
  <c r="AP435" i="23"/>
  <c r="AQ435" i="23" s="1"/>
  <c r="AP463" i="23"/>
  <c r="AQ463" i="23" s="1"/>
  <c r="AP439" i="23"/>
  <c r="AQ439" i="23" s="1"/>
  <c r="AP467" i="23"/>
  <c r="AQ467" i="23" s="1"/>
  <c r="AP474" i="23"/>
  <c r="AQ474" i="23" s="1"/>
  <c r="AP481" i="23"/>
  <c r="AQ481" i="23" s="1"/>
  <c r="AP482" i="23"/>
  <c r="AQ482" i="23" s="1"/>
  <c r="AP484" i="23"/>
  <c r="AQ484" i="23" s="1"/>
  <c r="AP493" i="23"/>
  <c r="AQ493" i="23" s="1"/>
  <c r="AP502" i="23"/>
  <c r="AQ502" i="23" s="1"/>
  <c r="AP522" i="23"/>
  <c r="AQ522" i="23" s="1"/>
  <c r="AP504" i="23"/>
  <c r="AQ504" i="23" s="1"/>
  <c r="AP507" i="23"/>
  <c r="AQ507" i="23" s="1"/>
  <c r="AP516" i="23"/>
  <c r="AQ516" i="23" s="1"/>
  <c r="AP309" i="23"/>
  <c r="AQ309" i="23" s="1"/>
  <c r="AP86" i="23"/>
  <c r="AQ86" i="23" s="1"/>
  <c r="AP103" i="23"/>
  <c r="AQ103" i="23" s="1"/>
  <c r="AP88" i="23"/>
  <c r="AQ88" i="23" s="1"/>
  <c r="AP67" i="23"/>
  <c r="AQ67" i="23" s="1"/>
  <c r="AP99" i="23"/>
  <c r="AQ99" i="23" s="1"/>
  <c r="AP92" i="23"/>
  <c r="AQ92" i="23" s="1"/>
  <c r="AP116" i="23"/>
  <c r="AQ116" i="23" s="1"/>
  <c r="AP155" i="23"/>
  <c r="AQ155" i="23" s="1"/>
  <c r="AP177" i="23"/>
  <c r="AQ177" i="23" s="1"/>
  <c r="AP181" i="23"/>
  <c r="AQ181" i="23" s="1"/>
  <c r="AP158" i="23"/>
  <c r="AQ158" i="23" s="1"/>
  <c r="AP190" i="23"/>
  <c r="AQ190" i="23" s="1"/>
  <c r="AP175" i="23"/>
  <c r="AQ175" i="23" s="1"/>
  <c r="AP238" i="23"/>
  <c r="AQ238" i="23" s="1"/>
  <c r="AP223" i="23"/>
  <c r="AQ223" i="23" s="1"/>
  <c r="AP232" i="23"/>
  <c r="AQ232" i="23" s="1"/>
  <c r="AP251" i="23"/>
  <c r="AQ251" i="23" s="1"/>
  <c r="AP211" i="23"/>
  <c r="AQ211" i="23" s="1"/>
  <c r="AP220" i="23"/>
  <c r="AQ220" i="23" s="1"/>
  <c r="AP213" i="23"/>
  <c r="AQ213" i="23" s="1"/>
  <c r="AP265" i="23"/>
  <c r="AQ265" i="23" s="1"/>
  <c r="AP319" i="23"/>
  <c r="AP284" i="23"/>
  <c r="AQ284" i="23" s="1"/>
  <c r="AP321" i="23"/>
  <c r="AQ321" i="23" s="1"/>
  <c r="AP297" i="23"/>
  <c r="AQ297" i="23" s="1"/>
  <c r="AP282" i="23"/>
  <c r="AQ282" i="23" s="1"/>
  <c r="AP315" i="23"/>
  <c r="AQ315" i="23" s="1"/>
  <c r="AP381" i="23"/>
  <c r="AQ381" i="23" s="1"/>
  <c r="AP339" i="23"/>
  <c r="AQ339" i="23" s="1"/>
  <c r="AP379" i="23"/>
  <c r="AQ379" i="23" s="1"/>
  <c r="AP345" i="23"/>
  <c r="AQ345" i="23" s="1"/>
  <c r="AP347" i="23"/>
  <c r="AQ347" i="23" s="1"/>
  <c r="AP332" i="23"/>
  <c r="AQ332" i="23" s="1"/>
  <c r="AP362" i="23"/>
  <c r="AQ362" i="23" s="1"/>
  <c r="AP383" i="23"/>
  <c r="AQ383" i="23" s="1"/>
  <c r="AP440" i="23"/>
  <c r="AQ440" i="23" s="1"/>
  <c r="AP369" i="23"/>
  <c r="AQ369" i="23" s="1"/>
  <c r="AP394" i="23"/>
  <c r="AQ394" i="23" s="1"/>
  <c r="AP423" i="23"/>
  <c r="AQ423" i="23" s="1"/>
  <c r="AP426" i="23"/>
  <c r="AQ426" i="23" s="1"/>
  <c r="AP430" i="23"/>
  <c r="AQ430" i="23" s="1"/>
  <c r="AP442" i="23"/>
  <c r="AQ442" i="23" s="1"/>
  <c r="AP454" i="23"/>
  <c r="AQ454" i="23" s="1"/>
  <c r="AP472" i="23"/>
  <c r="AQ472" i="23" s="1"/>
  <c r="AP494" i="23"/>
  <c r="AQ494" i="23" s="1"/>
  <c r="AP488" i="23"/>
  <c r="AQ488" i="23" s="1"/>
  <c r="AP499" i="23"/>
  <c r="AQ499" i="23" s="1"/>
  <c r="AP503" i="23"/>
  <c r="AQ503" i="23" s="1"/>
  <c r="AP527" i="23"/>
  <c r="AQ527" i="23" s="1"/>
  <c r="AP77" i="23"/>
  <c r="AQ77" i="23" s="1"/>
  <c r="AP71" i="23"/>
  <c r="AQ71" i="23" s="1"/>
  <c r="AP73" i="23"/>
  <c r="AQ73" i="23" s="1"/>
  <c r="AP105" i="23"/>
  <c r="AQ105" i="23" s="1"/>
  <c r="AP90" i="23"/>
  <c r="AQ90" i="23" s="1"/>
  <c r="AP180" i="23"/>
  <c r="AQ180" i="23" s="1"/>
  <c r="AP133" i="23"/>
  <c r="AQ133" i="23" s="1"/>
  <c r="AP118" i="23"/>
  <c r="AQ118" i="23" s="1"/>
  <c r="AP150" i="23"/>
  <c r="AQ150" i="23" s="1"/>
  <c r="AP119" i="23"/>
  <c r="AQ119" i="23" s="1"/>
  <c r="AP151" i="23"/>
  <c r="AQ151" i="23" s="1"/>
  <c r="AP144" i="23"/>
  <c r="AQ144" i="23" s="1"/>
  <c r="AP121" i="23"/>
  <c r="AP156" i="23"/>
  <c r="AQ156" i="23" s="1"/>
  <c r="AP162" i="23"/>
  <c r="AQ162" i="23" s="1"/>
  <c r="AP194" i="23"/>
  <c r="AQ194" i="23" s="1"/>
  <c r="AP187" i="23"/>
  <c r="AQ187" i="23" s="1"/>
  <c r="AP198" i="23"/>
  <c r="AQ198" i="23" s="1"/>
  <c r="AP225" i="23"/>
  <c r="AQ225" i="23" s="1"/>
  <c r="AP260" i="23"/>
  <c r="AQ260" i="23" s="1"/>
  <c r="AP234" i="23"/>
  <c r="AQ234" i="23" s="1"/>
  <c r="AP268" i="23"/>
  <c r="AQ268" i="23" s="1"/>
  <c r="AP258" i="23"/>
  <c r="AQ258" i="23" s="1"/>
  <c r="AP245" i="23"/>
  <c r="AQ245" i="23" s="1"/>
  <c r="AP280" i="23"/>
  <c r="AQ280" i="23" s="1"/>
  <c r="AP254" i="23"/>
  <c r="AQ254" i="23" s="1"/>
  <c r="AP255" i="23"/>
  <c r="AQ255" i="23" s="1"/>
  <c r="AP300" i="23"/>
  <c r="AQ300" i="23" s="1"/>
  <c r="AP328" i="23"/>
  <c r="AQ328" i="23" s="1"/>
  <c r="AP311" i="23"/>
  <c r="AQ311" i="23" s="1"/>
  <c r="AP283" i="23"/>
  <c r="AQ283" i="23" s="1"/>
  <c r="AP366" i="23"/>
  <c r="AQ366" i="23" s="1"/>
  <c r="AP397" i="23"/>
  <c r="AQ397" i="23" s="1"/>
  <c r="AP341" i="23"/>
  <c r="AQ341" i="23" s="1"/>
  <c r="AP318" i="23"/>
  <c r="AQ318" i="23" s="1"/>
  <c r="AP342" i="23"/>
  <c r="AQ342" i="23" s="1"/>
  <c r="AP338" i="23"/>
  <c r="AP364" i="23"/>
  <c r="AQ364" i="23" s="1"/>
  <c r="AP396" i="23"/>
  <c r="AQ396" i="23" s="1"/>
  <c r="AP360" i="23"/>
  <c r="AQ360" i="23" s="1"/>
  <c r="AP392" i="23"/>
  <c r="AQ392" i="23" s="1"/>
  <c r="AP441" i="23"/>
  <c r="AQ441" i="23" s="1"/>
  <c r="AP412" i="23"/>
  <c r="AQ412" i="23" s="1"/>
  <c r="AP413" i="23"/>
  <c r="AQ413" i="23" s="1"/>
  <c r="AP471" i="23"/>
  <c r="AQ471" i="23" s="1"/>
  <c r="AP429" i="23"/>
  <c r="AQ429" i="23" s="1"/>
  <c r="AP456" i="23"/>
  <c r="AQ456" i="23" s="1"/>
  <c r="AP461" i="23"/>
  <c r="AQ461" i="23" s="1"/>
  <c r="AP459" i="23"/>
  <c r="AQ459" i="23" s="1"/>
  <c r="AP475" i="23"/>
  <c r="AQ475" i="23" s="1"/>
  <c r="AP490" i="23"/>
  <c r="AQ490" i="23" s="1"/>
  <c r="AP492" i="23"/>
  <c r="AQ492" i="23" s="1"/>
  <c r="AP514" i="23"/>
  <c r="AP498" i="23"/>
  <c r="AQ498" i="23" s="1"/>
  <c r="AP515" i="23"/>
  <c r="AQ515" i="23" s="1"/>
  <c r="AP524" i="23"/>
  <c r="AQ524" i="23" s="1"/>
  <c r="AP62" i="23"/>
  <c r="AQ62" i="23" s="1"/>
  <c r="AP94" i="23"/>
  <c r="AQ94" i="23" s="1"/>
  <c r="AP96" i="23"/>
  <c r="AQ96" i="23" s="1"/>
  <c r="AP58" i="23"/>
  <c r="AQ58" i="23" s="1"/>
  <c r="AP75" i="23"/>
  <c r="AQ75" i="23" s="1"/>
  <c r="AP107" i="23"/>
  <c r="AQ107" i="23" s="1"/>
  <c r="AP100" i="23"/>
  <c r="AQ100" i="23" s="1"/>
  <c r="AP152" i="23"/>
  <c r="AQ152" i="23" s="1"/>
  <c r="AP112" i="23"/>
  <c r="AQ112" i="23" s="1"/>
  <c r="AP129" i="23"/>
  <c r="AQ129" i="23" s="1"/>
  <c r="AP172" i="23"/>
  <c r="AQ172" i="23" s="1"/>
  <c r="AP185" i="23"/>
  <c r="AQ185" i="23" s="1"/>
  <c r="AP204" i="23"/>
  <c r="AQ204" i="23" s="1"/>
  <c r="AP231" i="23"/>
  <c r="AQ231" i="23" s="1"/>
  <c r="AP240" i="23"/>
  <c r="AQ240" i="23" s="1"/>
  <c r="AP243" i="23"/>
  <c r="AQ243" i="23" s="1"/>
  <c r="AP219" i="23"/>
  <c r="AQ219" i="23" s="1"/>
  <c r="AP256" i="23"/>
  <c r="AQ256" i="23" s="1"/>
  <c r="AP228" i="23"/>
  <c r="AQ228" i="23" s="1"/>
  <c r="AP221" i="23"/>
  <c r="AQ221" i="23" s="1"/>
  <c r="AP241" i="23"/>
  <c r="AQ241" i="23" s="1"/>
  <c r="AP273" i="23"/>
  <c r="AQ273" i="23" s="1"/>
  <c r="AP259" i="23"/>
  <c r="AP301" i="23"/>
  <c r="AQ301" i="23" s="1"/>
  <c r="AP302" i="23"/>
  <c r="AQ302" i="23" s="1"/>
  <c r="AP279" i="23"/>
  <c r="AQ279" i="23" s="1"/>
  <c r="AP374" i="23"/>
  <c r="AQ374" i="23" s="1"/>
  <c r="AP305" i="23"/>
  <c r="AQ305" i="23" s="1"/>
  <c r="AP290" i="23"/>
  <c r="AQ290" i="23" s="1"/>
  <c r="AP323" i="23"/>
  <c r="AQ323" i="23" s="1"/>
  <c r="AP343" i="23"/>
  <c r="AQ343" i="23" s="1"/>
  <c r="AP355" i="23"/>
  <c r="AQ355" i="23" s="1"/>
  <c r="AP340" i="23"/>
  <c r="AQ340" i="23" s="1"/>
  <c r="AP407" i="23"/>
  <c r="AQ407" i="23" s="1"/>
  <c r="AP391" i="23"/>
  <c r="AQ391" i="23" s="1"/>
  <c r="AP377" i="23"/>
  <c r="AQ377" i="23" s="1"/>
  <c r="AP417" i="23"/>
  <c r="AP419" i="23"/>
  <c r="AQ419" i="23" s="1"/>
  <c r="AP434" i="23"/>
  <c r="AQ434" i="23" s="1"/>
  <c r="AP420" i="23"/>
  <c r="AQ420" i="23" s="1"/>
  <c r="AP438" i="23"/>
  <c r="AQ438" i="23" s="1"/>
  <c r="AP450" i="23"/>
  <c r="AQ450" i="23" s="1"/>
  <c r="AP460" i="23"/>
  <c r="AQ460" i="23" s="1"/>
  <c r="AP489" i="23"/>
  <c r="AQ489" i="23" s="1"/>
  <c r="AP512" i="23"/>
  <c r="AQ512" i="23" s="1"/>
  <c r="AP486" i="23"/>
  <c r="AQ486" i="23" s="1"/>
  <c r="AP497" i="23"/>
  <c r="AQ497" i="23" s="1"/>
  <c r="AP479" i="23"/>
  <c r="AQ479" i="23" s="1"/>
  <c r="AP496" i="23"/>
  <c r="AQ496" i="23" s="1"/>
  <c r="AP500" i="23"/>
  <c r="AQ500" i="23" s="1"/>
  <c r="AP528" i="23"/>
  <c r="AQ528" i="23" s="1"/>
  <c r="AP66" i="23"/>
  <c r="AQ66" i="23" s="1"/>
  <c r="AP98" i="23"/>
  <c r="AQ98" i="23" s="1"/>
  <c r="AP247" i="23"/>
  <c r="AQ247" i="23" s="1"/>
  <c r="AP85" i="23"/>
  <c r="AQ85" i="23" s="1"/>
  <c r="AP79" i="23"/>
  <c r="AQ79" i="23" s="1"/>
  <c r="AP81" i="23"/>
  <c r="AQ81" i="23" s="1"/>
  <c r="AP108" i="23"/>
  <c r="AQ108" i="23" s="1"/>
  <c r="AP139" i="23"/>
  <c r="AQ139" i="23" s="1"/>
  <c r="AP132" i="23"/>
  <c r="AQ132" i="23" s="1"/>
  <c r="AP109" i="23"/>
  <c r="AQ109" i="23" s="1"/>
  <c r="AP141" i="23"/>
  <c r="AQ141" i="23" s="1"/>
  <c r="AP126" i="23"/>
  <c r="AQ126" i="23" s="1"/>
  <c r="AP127" i="23"/>
  <c r="AQ127" i="23" s="1"/>
  <c r="AP120" i="23"/>
  <c r="AQ120" i="23" s="1"/>
  <c r="AP164" i="23"/>
  <c r="AQ164" i="23" s="1"/>
  <c r="AP122" i="23"/>
  <c r="AQ122" i="23" s="1"/>
  <c r="AP170" i="23"/>
  <c r="AQ170" i="23" s="1"/>
  <c r="AP195" i="23"/>
  <c r="AQ195" i="23" s="1"/>
  <c r="AP197" i="23"/>
  <c r="AQ197" i="23" s="1"/>
  <c r="AP168" i="23"/>
  <c r="AQ168" i="23" s="1"/>
  <c r="AP214" i="23"/>
  <c r="AQ214" i="23" s="1"/>
  <c r="AP199" i="23"/>
  <c r="AQ199" i="23" s="1"/>
  <c r="AP210" i="23"/>
  <c r="AQ210" i="23" s="1"/>
  <c r="AP266" i="23"/>
  <c r="AQ266" i="23" s="1"/>
  <c r="AP304" i="23"/>
  <c r="AQ304" i="23" s="1"/>
  <c r="AP253" i="23"/>
  <c r="AQ253" i="23" s="1"/>
  <c r="AP293" i="23"/>
  <c r="AQ293" i="23" s="1"/>
  <c r="AP262" i="23"/>
  <c r="AQ262" i="23" s="1"/>
  <c r="AP263" i="23"/>
  <c r="AQ263" i="23" s="1"/>
  <c r="AP402" i="23"/>
  <c r="AQ402" i="23" s="1"/>
  <c r="AP371" i="23"/>
  <c r="AQ371" i="23" s="1"/>
  <c r="AP291" i="23"/>
  <c r="AQ291" i="23" s="1"/>
  <c r="AP325" i="23"/>
  <c r="AQ325" i="23" s="1"/>
  <c r="AP344" i="23"/>
  <c r="AQ344" i="23" s="1"/>
  <c r="AP351" i="23"/>
  <c r="AQ351" i="23" s="1"/>
  <c r="AP350" i="23"/>
  <c r="AQ350" i="23" s="1"/>
  <c r="AP363" i="23"/>
  <c r="AQ363" i="23" s="1"/>
  <c r="AP346" i="23"/>
  <c r="AQ346" i="23" s="1"/>
  <c r="AP387" i="23"/>
  <c r="AQ387" i="23" s="1"/>
  <c r="AP372" i="23"/>
  <c r="AQ372" i="23" s="1"/>
  <c r="AP385" i="23"/>
  <c r="AQ385" i="23" s="1"/>
  <c r="AP370" i="23"/>
  <c r="AQ370" i="23" s="1"/>
  <c r="AP400" i="23"/>
  <c r="AQ400" i="23" s="1"/>
  <c r="AP421" i="23"/>
  <c r="AQ421" i="23" s="1"/>
  <c r="AP437" i="23"/>
  <c r="AQ437" i="23" s="1"/>
  <c r="AP444" i="23"/>
  <c r="AQ444" i="23" s="1"/>
  <c r="AP449" i="23"/>
  <c r="AQ449" i="23" s="1"/>
  <c r="AP485" i="23"/>
  <c r="AQ485" i="23" s="1"/>
  <c r="AP453" i="23"/>
  <c r="AQ453" i="23" s="1"/>
  <c r="AP458" i="23"/>
  <c r="AP469" i="23"/>
  <c r="AQ469" i="23" s="1"/>
  <c r="AP478" i="23"/>
  <c r="AQ478" i="23" s="1"/>
  <c r="AP506" i="23"/>
  <c r="AQ506" i="23" s="1"/>
  <c r="AP523" i="23"/>
  <c r="AQ523" i="23" s="1"/>
  <c r="AP70" i="23"/>
  <c r="AQ70" i="23" s="1"/>
  <c r="AP102" i="23"/>
  <c r="AQ102" i="23" s="1"/>
  <c r="AP72" i="23"/>
  <c r="AQ72" i="23" s="1"/>
  <c r="AP104" i="23"/>
  <c r="AQ104" i="23" s="1"/>
  <c r="AP83" i="23"/>
  <c r="AQ83" i="23" s="1"/>
  <c r="AP76" i="23"/>
  <c r="AQ76" i="23" s="1"/>
  <c r="AP149" i="23"/>
  <c r="AQ149" i="23" s="1"/>
  <c r="AP137" i="23"/>
  <c r="AQ137" i="23" s="1"/>
  <c r="AP161" i="23"/>
  <c r="AQ161" i="23" s="1"/>
  <c r="AP193" i="23"/>
  <c r="AQ193" i="23" s="1"/>
  <c r="AP163" i="23"/>
  <c r="AQ163" i="23" s="1"/>
  <c r="AP165" i="23"/>
  <c r="AQ165" i="23" s="1"/>
  <c r="AP200" i="23"/>
  <c r="AQ200" i="23" s="1"/>
  <c r="AP174" i="23"/>
  <c r="AQ174" i="23" s="1"/>
  <c r="AP159" i="23"/>
  <c r="AQ159" i="23" s="1"/>
  <c r="AP191" i="23"/>
  <c r="AQ191" i="23" s="1"/>
  <c r="AP222" i="23"/>
  <c r="AQ222" i="23" s="1"/>
  <c r="AP227" i="23"/>
  <c r="AQ227" i="23" s="1"/>
  <c r="AP292" i="23"/>
  <c r="AQ292" i="23" s="1"/>
  <c r="AP274" i="23"/>
  <c r="AQ274" i="23" s="1"/>
  <c r="AP267" i="23"/>
  <c r="AQ267" i="23" s="1"/>
  <c r="AP277" i="23"/>
  <c r="AQ277" i="23" s="1"/>
  <c r="AP296" i="23"/>
  <c r="AQ296" i="23" s="1"/>
  <c r="AP310" i="23"/>
  <c r="AQ310" i="23" s="1"/>
  <c r="AP287" i="23"/>
  <c r="AQ287" i="23" s="1"/>
  <c r="AP281" i="23"/>
  <c r="AQ281" i="23" s="1"/>
  <c r="AP320" i="23"/>
  <c r="AQ320" i="23" s="1"/>
  <c r="AP298" i="23"/>
  <c r="AQ298" i="23" s="1"/>
  <c r="AP331" i="23"/>
  <c r="AQ331" i="23" s="1"/>
  <c r="AP329" i="23"/>
  <c r="AQ329" i="23" s="1"/>
  <c r="AP365" i="23"/>
  <c r="AQ365" i="23" s="1"/>
  <c r="AP348" i="23"/>
  <c r="AQ348" i="23" s="1"/>
  <c r="AP389" i="23"/>
  <c r="AQ389" i="23" s="1"/>
  <c r="AP367" i="23"/>
  <c r="AQ367" i="23" s="1"/>
  <c r="AP399" i="23"/>
  <c r="AQ399" i="23" s="1"/>
  <c r="AP406" i="23"/>
  <c r="AP428" i="23"/>
  <c r="AQ428" i="23" s="1"/>
  <c r="AP448" i="23"/>
  <c r="AQ448" i="23" s="1"/>
  <c r="AP464" i="23"/>
  <c r="AQ464" i="23" s="1"/>
  <c r="AP447" i="23"/>
  <c r="AQ447" i="23" s="1"/>
  <c r="AP465" i="23"/>
  <c r="AQ465" i="23" s="1"/>
  <c r="AP468" i="23"/>
  <c r="AQ468" i="23" s="1"/>
  <c r="AP487" i="23"/>
  <c r="AQ487" i="23" s="1"/>
  <c r="AP505" i="23"/>
  <c r="AQ505" i="23" s="1"/>
  <c r="AP510" i="23"/>
  <c r="AQ510" i="23" s="1"/>
  <c r="AP519" i="23"/>
  <c r="AQ519" i="23" s="1"/>
  <c r="AP525" i="23"/>
  <c r="AQ525" i="23" s="1"/>
  <c r="AP51" i="23"/>
  <c r="AQ51" i="23" s="1"/>
  <c r="AP314" i="23"/>
  <c r="AQ314" i="23" s="1"/>
  <c r="AP33" i="23"/>
  <c r="AQ33" i="23" s="1"/>
  <c r="AP41" i="23"/>
  <c r="AQ41" i="23" s="1"/>
  <c r="AP9" i="23"/>
  <c r="AP202" i="23"/>
  <c r="AQ202" i="23" s="1"/>
  <c r="AP207" i="23"/>
  <c r="AQ207" i="23" s="1"/>
  <c r="AP49" i="23"/>
  <c r="AQ49" i="23" s="1"/>
  <c r="AP17" i="23"/>
  <c r="AQ17" i="23" s="1"/>
  <c r="AP56" i="23"/>
  <c r="AQ56" i="23" s="1"/>
  <c r="AM82" i="23"/>
  <c r="AM67" i="23"/>
  <c r="AM99" i="23"/>
  <c r="AM84" i="23"/>
  <c r="AM70" i="23"/>
  <c r="AM102" i="23"/>
  <c r="AM95" i="23"/>
  <c r="AM120" i="23"/>
  <c r="AM191" i="23"/>
  <c r="AM138" i="23"/>
  <c r="AM131" i="23"/>
  <c r="AM108" i="23"/>
  <c r="AM140" i="23"/>
  <c r="AM156" i="23"/>
  <c r="AM188" i="23"/>
  <c r="AM165" i="23"/>
  <c r="AM197" i="23"/>
  <c r="AM182" i="23"/>
  <c r="AM235" i="23"/>
  <c r="AM271" i="23"/>
  <c r="AM237" i="23"/>
  <c r="AM222" i="23"/>
  <c r="AM253" i="23"/>
  <c r="AM279" i="23"/>
  <c r="AM262" i="23"/>
  <c r="AM275" i="23"/>
  <c r="AM342" i="23"/>
  <c r="AM306" i="23"/>
  <c r="AM436" i="23"/>
  <c r="AM276" i="23"/>
  <c r="AM308" i="23"/>
  <c r="AM293" i="23"/>
  <c r="AQ286" i="23"/>
  <c r="AM286" i="23"/>
  <c r="AM320" i="23"/>
  <c r="AM321" i="23"/>
  <c r="AM353" i="23"/>
  <c r="AM392" i="23"/>
  <c r="AM335" i="23"/>
  <c r="AM367" i="23"/>
  <c r="AM399" i="23"/>
  <c r="AM378" i="23"/>
  <c r="AM380" i="23"/>
  <c r="AM401" i="23"/>
  <c r="AM435" i="23"/>
  <c r="AM421" i="23"/>
  <c r="AM430" i="23"/>
  <c r="AM431" i="23"/>
  <c r="AM440" i="23"/>
  <c r="AM426" i="23"/>
  <c r="AM446" i="23"/>
  <c r="AM450" i="23"/>
  <c r="AM461" i="23"/>
  <c r="AM478" i="23"/>
  <c r="AM499" i="23"/>
  <c r="AM493" i="23"/>
  <c r="AM479" i="23"/>
  <c r="AM488" i="23"/>
  <c r="AM501" i="23"/>
  <c r="AM509" i="23"/>
  <c r="AM528" i="23"/>
  <c r="AM518" i="23"/>
  <c r="AM527" i="23"/>
  <c r="AM10" i="23"/>
  <c r="AM48" i="23"/>
  <c r="AM40" i="23"/>
  <c r="AM32" i="23"/>
  <c r="AM24" i="23"/>
  <c r="AM16" i="23"/>
  <c r="AM8" i="23"/>
  <c r="AM64" i="23"/>
  <c r="AM96" i="23"/>
  <c r="AM73" i="23"/>
  <c r="AM105" i="23"/>
  <c r="AM61" i="23"/>
  <c r="AM93" i="23"/>
  <c r="AM126" i="23"/>
  <c r="AM119" i="23"/>
  <c r="AM159" i="23"/>
  <c r="AM137" i="23"/>
  <c r="AM141" i="23"/>
  <c r="AM199" i="23"/>
  <c r="AM152" i="23"/>
  <c r="AM184" i="23"/>
  <c r="AM161" i="23"/>
  <c r="AM193" i="23"/>
  <c r="AM178" i="23"/>
  <c r="AM155" i="23"/>
  <c r="AM187" i="23"/>
  <c r="AM225" i="23"/>
  <c r="AM202" i="23"/>
  <c r="AM234" i="23"/>
  <c r="AM228" i="23"/>
  <c r="AM267" i="23"/>
  <c r="AM231" i="23"/>
  <c r="AM224" i="23"/>
  <c r="AM244" i="23"/>
  <c r="AM248" i="23"/>
  <c r="AM299" i="23"/>
  <c r="AM265" i="23"/>
  <c r="AM250" i="23"/>
  <c r="AM291" i="23"/>
  <c r="AM289" i="23"/>
  <c r="AM312" i="23"/>
  <c r="AM352" i="23"/>
  <c r="AM318" i="23"/>
  <c r="AM344" i="23"/>
  <c r="AM348" i="23"/>
  <c r="AM325" i="23"/>
  <c r="AM357" i="23"/>
  <c r="AM390" i="23"/>
  <c r="AM400" i="23"/>
  <c r="AM363" i="23"/>
  <c r="AM395" i="23"/>
  <c r="AM373" i="23"/>
  <c r="AM418" i="23"/>
  <c r="AM460" i="23"/>
  <c r="AM415" i="23"/>
  <c r="AM451" i="23"/>
  <c r="AM441" i="23"/>
  <c r="AM464" i="23"/>
  <c r="AM465" i="23"/>
  <c r="AM515" i="23"/>
  <c r="AM497" i="23"/>
  <c r="AM507" i="23"/>
  <c r="AM503" i="23"/>
  <c r="AM521" i="23"/>
  <c r="AM531" i="23"/>
  <c r="AM7" i="23"/>
  <c r="AM63" i="23"/>
  <c r="AM52" i="23"/>
  <c r="AM44" i="23"/>
  <c r="AM36" i="23"/>
  <c r="AQ36" i="23"/>
  <c r="AM28" i="23"/>
  <c r="AM20" i="23"/>
  <c r="AM12" i="23"/>
  <c r="AM56" i="23"/>
  <c r="AM58" i="23"/>
  <c r="AM90" i="23"/>
  <c r="AM75" i="23"/>
  <c r="AM60" i="23"/>
  <c r="AM92" i="23"/>
  <c r="AM78" i="23"/>
  <c r="AM71" i="23"/>
  <c r="AM103" i="23"/>
  <c r="AQ128" i="23"/>
  <c r="AM128" i="23"/>
  <c r="AM114" i="23"/>
  <c r="AM146" i="23"/>
  <c r="AQ146" i="23"/>
  <c r="AM139" i="23"/>
  <c r="AM116" i="23"/>
  <c r="AM148" i="23"/>
  <c r="AM164" i="23"/>
  <c r="AM196" i="23"/>
  <c r="AQ173" i="23"/>
  <c r="AM173" i="23"/>
  <c r="AM201" i="23"/>
  <c r="AM190" i="23"/>
  <c r="AM213" i="23"/>
  <c r="AM198" i="23"/>
  <c r="AM230" i="23"/>
  <c r="AM280" i="23"/>
  <c r="AM261" i="23"/>
  <c r="AM295" i="23"/>
  <c r="AM270" i="23"/>
  <c r="AM355" i="23"/>
  <c r="AM339" i="23"/>
  <c r="AM282" i="23"/>
  <c r="AM307" i="23"/>
  <c r="AM284" i="23"/>
  <c r="AM301" i="23"/>
  <c r="AM294" i="23"/>
  <c r="AM322" i="23"/>
  <c r="AM319" i="23"/>
  <c r="AQ319" i="23"/>
  <c r="AM329" i="23"/>
  <c r="AM361" i="23"/>
  <c r="AM374" i="23"/>
  <c r="AM343" i="23"/>
  <c r="AQ375" i="23"/>
  <c r="AM375" i="23"/>
  <c r="AM402" i="23"/>
  <c r="AM386" i="23"/>
  <c r="AM388" i="23"/>
  <c r="AM412" i="23"/>
  <c r="AM409" i="23"/>
  <c r="AM429" i="23"/>
  <c r="AM438" i="23"/>
  <c r="AM439" i="23"/>
  <c r="AM434" i="23"/>
  <c r="AM445" i="23"/>
  <c r="AM454" i="23"/>
  <c r="AM468" i="23"/>
  <c r="AM469" i="23"/>
  <c r="AM487" i="23"/>
  <c r="AM506" i="23"/>
  <c r="AM513" i="23"/>
  <c r="AM516" i="23"/>
  <c r="AM526" i="23"/>
  <c r="AM45" i="23"/>
  <c r="AM37" i="23"/>
  <c r="AM29" i="23"/>
  <c r="AM21" i="23"/>
  <c r="AM13" i="23"/>
  <c r="AQ18" i="23"/>
  <c r="AM18" i="23"/>
  <c r="AP7" i="23"/>
  <c r="AQ7" i="23" s="1"/>
  <c r="AM72" i="23"/>
  <c r="AM104" i="23"/>
  <c r="AM81" i="23"/>
  <c r="AM69" i="23"/>
  <c r="AM101" i="23"/>
  <c r="AM109" i="23"/>
  <c r="AM134" i="23"/>
  <c r="AM127" i="23"/>
  <c r="AM183" i="23"/>
  <c r="AM113" i="23"/>
  <c r="AM145" i="23"/>
  <c r="AM117" i="23"/>
  <c r="AM149" i="23"/>
  <c r="AM205" i="23"/>
  <c r="AM160" i="23"/>
  <c r="AM192" i="23"/>
  <c r="AM169" i="23"/>
  <c r="AM154" i="23"/>
  <c r="AM186" i="23"/>
  <c r="AM163" i="23"/>
  <c r="AM195" i="23"/>
  <c r="AQ233" i="23"/>
  <c r="AM233" i="23"/>
  <c r="AM210" i="23"/>
  <c r="AM246" i="23"/>
  <c r="AM204" i="23"/>
  <c r="AM236" i="23"/>
  <c r="AM207" i="23"/>
  <c r="AM239" i="23"/>
  <c r="AM232" i="23"/>
  <c r="AM252" i="23"/>
  <c r="AM283" i="23"/>
  <c r="AM256" i="23"/>
  <c r="AM241" i="23"/>
  <c r="AM273" i="23"/>
  <c r="AM258" i="23"/>
  <c r="AM311" i="23"/>
  <c r="AM297" i="23"/>
  <c r="AM315" i="23"/>
  <c r="AM330" i="23"/>
  <c r="AM323" i="23"/>
  <c r="AM328" i="23"/>
  <c r="AM327" i="23"/>
  <c r="AM410" i="23"/>
  <c r="AM356" i="23"/>
  <c r="AM333" i="23"/>
  <c r="AM376" i="23"/>
  <c r="AM398" i="23"/>
  <c r="AM371" i="23"/>
  <c r="AM381" i="23"/>
  <c r="AM403" i="23"/>
  <c r="AM427" i="23"/>
  <c r="AM443" i="23"/>
  <c r="AM425" i="23"/>
  <c r="AQ458" i="23"/>
  <c r="AM458" i="23"/>
  <c r="AM448" i="23"/>
  <c r="AM449" i="23"/>
  <c r="AM466" i="23"/>
  <c r="AM463" i="23"/>
  <c r="AM472" i="23"/>
  <c r="AM473" i="23"/>
  <c r="AM486" i="23"/>
  <c r="AM512" i="23"/>
  <c r="AM524" i="23"/>
  <c r="AQ514" i="23"/>
  <c r="AM514" i="23"/>
  <c r="AM529" i="23"/>
  <c r="AM525" i="23"/>
  <c r="AM15" i="23"/>
  <c r="AM53" i="23"/>
  <c r="AM43" i="23"/>
  <c r="AM35" i="23"/>
  <c r="AM27" i="23"/>
  <c r="AM19" i="23"/>
  <c r="AM11" i="23"/>
  <c r="AQ11" i="23"/>
  <c r="AM59" i="23"/>
  <c r="AM111" i="23"/>
  <c r="AM66" i="23"/>
  <c r="AM98" i="23"/>
  <c r="AM83" i="23"/>
  <c r="AM68" i="23"/>
  <c r="AM100" i="23"/>
  <c r="AM86" i="23"/>
  <c r="AM79" i="23"/>
  <c r="AM136" i="23"/>
  <c r="AM122" i="23"/>
  <c r="AM115" i="23"/>
  <c r="AM147" i="23"/>
  <c r="AM124" i="23"/>
  <c r="AM151" i="23"/>
  <c r="AM172" i="23"/>
  <c r="AM181" i="23"/>
  <c r="AM166" i="23"/>
  <c r="AM200" i="23"/>
  <c r="AM259" i="23"/>
  <c r="AQ259" i="23"/>
  <c r="AM221" i="23"/>
  <c r="AM206" i="23"/>
  <c r="AQ206" i="23"/>
  <c r="AM238" i="23"/>
  <c r="AM269" i="23"/>
  <c r="AM304" i="23"/>
  <c r="AM281" i="23"/>
  <c r="AM287" i="23"/>
  <c r="AM288" i="23"/>
  <c r="AM290" i="23"/>
  <c r="AM292" i="23"/>
  <c r="AM277" i="23"/>
  <c r="AM309" i="23"/>
  <c r="AM302" i="23"/>
  <c r="AM347" i="23"/>
  <c r="AM369" i="23"/>
  <c r="AM337" i="23"/>
  <c r="AM358" i="23"/>
  <c r="AM385" i="23"/>
  <c r="AM351" i="23"/>
  <c r="AM383" i="23"/>
  <c r="AM362" i="23"/>
  <c r="AM394" i="23"/>
  <c r="AM364" i="23"/>
  <c r="AM396" i="23"/>
  <c r="AM420" i="23"/>
  <c r="AQ417" i="23"/>
  <c r="AM417" i="23"/>
  <c r="AM437" i="23"/>
  <c r="AM424" i="23"/>
  <c r="AM444" i="23"/>
  <c r="AM453" i="23"/>
  <c r="AM467" i="23"/>
  <c r="AM476" i="23"/>
  <c r="AM477" i="23"/>
  <c r="AM481" i="23"/>
  <c r="AM495" i="23"/>
  <c r="AM483" i="23"/>
  <c r="AM508" i="23"/>
  <c r="AM522" i="23"/>
  <c r="AM511" i="23"/>
  <c r="AM23" i="23"/>
  <c r="AM51" i="23"/>
  <c r="AP15" i="23"/>
  <c r="AQ15" i="23" s="1"/>
  <c r="AM80" i="23"/>
  <c r="AM57" i="23"/>
  <c r="AM89" i="23"/>
  <c r="AM77" i="23"/>
  <c r="AM110" i="23"/>
  <c r="AM142" i="23"/>
  <c r="AM135" i="23"/>
  <c r="AQ121" i="23"/>
  <c r="AM121" i="23"/>
  <c r="AM125" i="23"/>
  <c r="AM175" i="23"/>
  <c r="AM211" i="23"/>
  <c r="AM168" i="23"/>
  <c r="AM177" i="23"/>
  <c r="AM162" i="23"/>
  <c r="AM194" i="23"/>
  <c r="AM171" i="23"/>
  <c r="AM209" i="23"/>
  <c r="AM242" i="23"/>
  <c r="AM218" i="23"/>
  <c r="AM212" i="23"/>
  <c r="AM251" i="23"/>
  <c r="AM215" i="23"/>
  <c r="AM208" i="23"/>
  <c r="AM260" i="23"/>
  <c r="AM264" i="23"/>
  <c r="AM249" i="23"/>
  <c r="AM296" i="23"/>
  <c r="AM266" i="23"/>
  <c r="AM305" i="23"/>
  <c r="AM334" i="23"/>
  <c r="AM316" i="23"/>
  <c r="AM354" i="23"/>
  <c r="AM393" i="23"/>
  <c r="AM332" i="23"/>
  <c r="AM341" i="23"/>
  <c r="AM414" i="23"/>
  <c r="AM379" i="23"/>
  <c r="AM406" i="23"/>
  <c r="AQ406" i="23"/>
  <c r="AM389" i="23"/>
  <c r="AM411" i="23"/>
  <c r="AM405" i="23"/>
  <c r="AM428" i="23"/>
  <c r="AM408" i="23"/>
  <c r="AM419" i="23"/>
  <c r="AM474" i="23"/>
  <c r="AM433" i="23"/>
  <c r="AM459" i="23"/>
  <c r="AM447" i="23"/>
  <c r="AM456" i="23"/>
  <c r="AM457" i="23"/>
  <c r="AM471" i="23"/>
  <c r="AM494" i="23"/>
  <c r="AM500" i="23"/>
  <c r="AM482" i="23"/>
  <c r="AM502" i="23"/>
  <c r="AP12" i="23"/>
  <c r="AQ12" i="23" s="1"/>
  <c r="AM54" i="23"/>
  <c r="AM46" i="23"/>
  <c r="AM38" i="23"/>
  <c r="AM30" i="23"/>
  <c r="AM22" i="23"/>
  <c r="AM14" i="23"/>
  <c r="AM50" i="23"/>
  <c r="AM42" i="23"/>
  <c r="AM34" i="23"/>
  <c r="AM26" i="23"/>
  <c r="AM49" i="23"/>
  <c r="AM41" i="23"/>
  <c r="AM33" i="23"/>
  <c r="AM25" i="23"/>
  <c r="AM17" i="23"/>
  <c r="AQ9" i="23"/>
  <c r="AM9" i="23"/>
  <c r="AM74" i="23"/>
  <c r="AM106" i="23"/>
  <c r="AM91" i="23"/>
  <c r="AM76" i="23"/>
  <c r="AM107" i="23"/>
  <c r="AM62" i="23"/>
  <c r="AM94" i="23"/>
  <c r="AM87" i="23"/>
  <c r="AM112" i="23"/>
  <c r="AM144" i="23"/>
  <c r="AM158" i="23"/>
  <c r="AM130" i="23"/>
  <c r="AM123" i="23"/>
  <c r="AM167" i="23"/>
  <c r="AM132" i="23"/>
  <c r="AM180" i="23"/>
  <c r="AM157" i="23"/>
  <c r="AM189" i="23"/>
  <c r="AM174" i="23"/>
  <c r="AM219" i="23"/>
  <c r="AM203" i="23"/>
  <c r="AM243" i="23"/>
  <c r="AM227" i="23"/>
  <c r="AM255" i="23"/>
  <c r="AM229" i="23"/>
  <c r="AM214" i="23"/>
  <c r="AM263" i="23"/>
  <c r="AM245" i="23"/>
  <c r="AM254" i="23"/>
  <c r="AM314" i="23"/>
  <c r="AM346" i="23"/>
  <c r="AM317" i="23"/>
  <c r="AM303" i="23"/>
  <c r="AM298" i="23"/>
  <c r="AM331" i="23"/>
  <c r="AM300" i="23"/>
  <c r="AM285" i="23"/>
  <c r="AM278" i="23"/>
  <c r="AM310" i="23"/>
  <c r="AM384" i="23"/>
  <c r="AM336" i="23"/>
  <c r="AM313" i="23"/>
  <c r="AM345" i="23"/>
  <c r="AM382" i="23"/>
  <c r="AM350" i="23"/>
  <c r="AM360" i="23"/>
  <c r="AM359" i="23"/>
  <c r="AM391" i="23"/>
  <c r="AM370" i="23"/>
  <c r="AM404" i="23"/>
  <c r="AM372" i="23"/>
  <c r="AM422" i="23"/>
  <c r="AM423" i="23"/>
  <c r="AM432" i="23"/>
  <c r="AM452" i="23"/>
  <c r="AM442" i="23"/>
  <c r="AM475" i="23"/>
  <c r="AM470" i="23"/>
  <c r="AM484" i="23"/>
  <c r="AM485" i="23"/>
  <c r="AQ491" i="23"/>
  <c r="AM491" i="23"/>
  <c r="AM498" i="23"/>
  <c r="AM520" i="23"/>
  <c r="AQ520" i="23"/>
  <c r="AM530" i="23"/>
  <c r="AM510" i="23"/>
  <c r="AM519" i="23"/>
  <c r="AM47" i="23"/>
  <c r="AM39" i="23"/>
  <c r="AM31" i="23"/>
  <c r="AM55" i="23"/>
  <c r="AM88" i="23"/>
  <c r="AM65" i="23"/>
  <c r="AM97" i="23"/>
  <c r="AM85" i="23"/>
  <c r="AM118" i="23"/>
  <c r="AM150" i="23"/>
  <c r="AM143" i="23"/>
  <c r="AM129" i="23"/>
  <c r="AM133" i="23"/>
  <c r="AM176" i="23"/>
  <c r="AQ176" i="23"/>
  <c r="AM153" i="23"/>
  <c r="AM185" i="23"/>
  <c r="AM170" i="23"/>
  <c r="AM179" i="23"/>
  <c r="AQ217" i="23"/>
  <c r="AM217" i="23"/>
  <c r="AM247" i="23"/>
  <c r="AM226" i="23"/>
  <c r="AM220" i="23"/>
  <c r="AM223" i="23"/>
  <c r="AM216" i="23"/>
  <c r="AM268" i="23"/>
  <c r="AM240" i="23"/>
  <c r="AM272" i="23"/>
  <c r="AM257" i="23"/>
  <c r="AM274" i="23"/>
  <c r="AM324" i="23"/>
  <c r="AQ324" i="23"/>
  <c r="AM326" i="23"/>
  <c r="AQ338" i="23"/>
  <c r="AM338" i="23"/>
  <c r="AM377" i="23"/>
  <c r="AM366" i="23"/>
  <c r="AM340" i="23"/>
  <c r="AM349" i="23"/>
  <c r="AQ349" i="23"/>
  <c r="AM368" i="23"/>
  <c r="AM387" i="23"/>
  <c r="AM365" i="23"/>
  <c r="AM397" i="23"/>
  <c r="AM413" i="23"/>
  <c r="AM407" i="23"/>
  <c r="AM416" i="23"/>
  <c r="AQ416" i="23"/>
  <c r="AM455" i="23"/>
  <c r="AM462" i="23"/>
  <c r="AM480" i="23"/>
  <c r="AM492" i="23"/>
  <c r="AM489" i="23"/>
  <c r="AM505" i="23"/>
  <c r="AM504" i="23"/>
  <c r="AM490" i="23"/>
  <c r="AM496" i="23"/>
  <c r="AM517" i="23"/>
  <c r="AM523" i="23"/>
  <c r="AP20" i="23"/>
  <c r="AQ20" i="23" s="1"/>
  <c r="F235" i="16"/>
  <c r="G235" i="16" s="1"/>
  <c r="O1479" i="16"/>
  <c r="F761" i="16"/>
  <c r="G761" i="16" s="1"/>
  <c r="R257" i="16"/>
  <c r="F2187" i="16"/>
  <c r="G2187" i="16" s="1"/>
  <c r="R1487" i="16"/>
  <c r="R155" i="16"/>
  <c r="F461" i="16"/>
  <c r="G461" i="16" s="1"/>
  <c r="F1108" i="16"/>
  <c r="G1108" i="16" s="1"/>
  <c r="F2005" i="16"/>
  <c r="G2005" i="16" s="1"/>
  <c r="F400" i="16"/>
  <c r="G400" i="16" s="1"/>
  <c r="F501" i="16"/>
  <c r="G501" i="16" s="1"/>
  <c r="F1477" i="16"/>
  <c r="G1477" i="16" s="1"/>
  <c r="F1135" i="16"/>
  <c r="G1135" i="16" s="1"/>
  <c r="F2188" i="16"/>
  <c r="G2188" i="16" s="1"/>
  <c r="F2022" i="16"/>
  <c r="G2022" i="16" s="1"/>
  <c r="F1105" i="16"/>
  <c r="G1105" i="16" s="1"/>
  <c r="F1627" i="16"/>
  <c r="G1627" i="16" s="1"/>
  <c r="F1575" i="16"/>
  <c r="G1575" i="16" s="1"/>
  <c r="F1258" i="16"/>
  <c r="G1258" i="16" s="1"/>
  <c r="F2064" i="16"/>
  <c r="G2064" i="16" s="1"/>
  <c r="F1740" i="16"/>
  <c r="G1740" i="16" s="1"/>
  <c r="F1542" i="16"/>
  <c r="G1542" i="16" s="1"/>
  <c r="F1435" i="16"/>
  <c r="G1435" i="16" s="1"/>
  <c r="F1494" i="16"/>
  <c r="G1494" i="16" s="1"/>
  <c r="F17" i="16"/>
  <c r="G17" i="16" s="1"/>
  <c r="F1282" i="16"/>
  <c r="G1282" i="16" s="1"/>
  <c r="F1367" i="16"/>
  <c r="G1367" i="16" s="1"/>
  <c r="F2182" i="16"/>
  <c r="G2182" i="16" s="1"/>
  <c r="F1107" i="16"/>
  <c r="G1107" i="16" s="1"/>
  <c r="F332" i="16"/>
  <c r="G332" i="16" s="1"/>
  <c r="F2103" i="16"/>
  <c r="G2103" i="16" s="1"/>
  <c r="F1986" i="16"/>
  <c r="G1986" i="16" s="1"/>
  <c r="F1263" i="16"/>
  <c r="G1263" i="16" s="1"/>
  <c r="F1377" i="16"/>
  <c r="G1377" i="16" s="1"/>
  <c r="F583" i="16"/>
  <c r="G583" i="16" s="1"/>
  <c r="F969" i="16"/>
  <c r="G969" i="16" s="1"/>
  <c r="R112" i="16"/>
  <c r="F1302" i="16"/>
  <c r="G1302" i="16" s="1"/>
  <c r="F236" i="16"/>
  <c r="G236" i="16" s="1"/>
  <c r="R277" i="16"/>
  <c r="F2183" i="16"/>
  <c r="G2183" i="16" s="1"/>
  <c r="F1523" i="16"/>
  <c r="G1523" i="16" s="1"/>
  <c r="F266" i="16"/>
  <c r="G266" i="16" s="1"/>
  <c r="F1345" i="16"/>
  <c r="G1345" i="16" s="1"/>
  <c r="F387" i="16"/>
  <c r="G387" i="16" s="1"/>
  <c r="F1228" i="16"/>
  <c r="G1228" i="16" s="1"/>
  <c r="F1317" i="16"/>
  <c r="G1317" i="16" s="1"/>
  <c r="R1479" i="16"/>
  <c r="U349" i="16"/>
  <c r="F319" i="16"/>
  <c r="G319" i="16" s="1"/>
  <c r="F1647" i="16"/>
  <c r="G1647" i="16" s="1"/>
  <c r="F2115" i="16"/>
  <c r="G2115" i="16" s="1"/>
  <c r="F349" i="16"/>
  <c r="G349" i="16" s="1"/>
  <c r="F360" i="16"/>
  <c r="G360" i="16" s="1"/>
  <c r="F1731" i="16"/>
  <c r="G1731" i="16" s="1"/>
  <c r="F996" i="16"/>
  <c r="G996" i="16" s="1"/>
  <c r="R1520" i="16"/>
  <c r="F923" i="16"/>
  <c r="G923" i="16" s="1"/>
  <c r="AD163" i="16"/>
  <c r="AA163" i="16"/>
  <c r="X163" i="16"/>
  <c r="U163" i="16"/>
  <c r="AD1876" i="16"/>
  <c r="AA1876" i="16"/>
  <c r="U1876" i="16"/>
  <c r="X1876" i="16"/>
  <c r="AD1449" i="16"/>
  <c r="AA1449" i="16"/>
  <c r="U1449" i="16"/>
  <c r="X1449" i="16"/>
  <c r="AD1118" i="16"/>
  <c r="AA1118" i="16"/>
  <c r="U1118" i="16"/>
  <c r="X1118" i="16"/>
  <c r="AA1270" i="16"/>
  <c r="AD1270" i="16"/>
  <c r="X1270" i="16"/>
  <c r="R1270" i="16"/>
  <c r="U1270" i="16"/>
  <c r="AD944" i="16"/>
  <c r="AA944" i="16"/>
  <c r="X944" i="16"/>
  <c r="U944" i="16"/>
  <c r="R944" i="16"/>
  <c r="AD1350" i="16"/>
  <c r="AA1350" i="16"/>
  <c r="X1350" i="16"/>
  <c r="U1350" i="16"/>
  <c r="R1350" i="16"/>
  <c r="AD1600" i="16"/>
  <c r="AA1600" i="16"/>
  <c r="X1600" i="16"/>
  <c r="U1600" i="16"/>
  <c r="R1600" i="16"/>
  <c r="AA216" i="16"/>
  <c r="AD216" i="16"/>
  <c r="X216" i="16"/>
  <c r="U216" i="16"/>
  <c r="R216" i="16"/>
  <c r="AA734" i="16"/>
  <c r="AD734" i="16"/>
  <c r="X734" i="16"/>
  <c r="U734" i="16"/>
  <c r="R734" i="16"/>
  <c r="F1055" i="16"/>
  <c r="G1055" i="16" s="1"/>
  <c r="AD1055" i="16"/>
  <c r="AA1055" i="16"/>
  <c r="X1055" i="16"/>
  <c r="U1055" i="16"/>
  <c r="R1055" i="16"/>
  <c r="AA1603" i="16"/>
  <c r="AD1603" i="16"/>
  <c r="X1603" i="16"/>
  <c r="U1603" i="16"/>
  <c r="R1603" i="16"/>
  <c r="AD1925" i="16"/>
  <c r="AA1925" i="16"/>
  <c r="X1925" i="16"/>
  <c r="U1925" i="16"/>
  <c r="R1925" i="16"/>
  <c r="AD487" i="16"/>
  <c r="AA487" i="16"/>
  <c r="X487" i="16"/>
  <c r="U487" i="16"/>
  <c r="R487" i="16"/>
  <c r="AD453" i="16"/>
  <c r="AA453" i="16"/>
  <c r="X453" i="16"/>
  <c r="U453" i="16"/>
  <c r="R453" i="16"/>
  <c r="AD1280" i="16"/>
  <c r="AA1280" i="16"/>
  <c r="X1280" i="16"/>
  <c r="U1280" i="16"/>
  <c r="R1280" i="16"/>
  <c r="AA1893" i="16"/>
  <c r="X1893" i="16"/>
  <c r="AD1893" i="16"/>
  <c r="U1893" i="16"/>
  <c r="R1893" i="16"/>
  <c r="AA530" i="16"/>
  <c r="AD530" i="16"/>
  <c r="X530" i="16"/>
  <c r="U530" i="16"/>
  <c r="R530" i="16"/>
  <c r="AD1129" i="16"/>
  <c r="AA1129" i="16"/>
  <c r="X1129" i="16"/>
  <c r="U1129" i="16"/>
  <c r="R1129" i="16"/>
  <c r="AD6" i="16"/>
  <c r="AA6" i="16"/>
  <c r="X6" i="16"/>
  <c r="U6" i="16"/>
  <c r="R6" i="16"/>
  <c r="AD320" i="16"/>
  <c r="AA320" i="16"/>
  <c r="X320" i="16"/>
  <c r="U320" i="16"/>
  <c r="R320" i="16"/>
  <c r="AD1851" i="16"/>
  <c r="AA1851" i="16"/>
  <c r="X1851" i="16"/>
  <c r="U1851" i="16"/>
  <c r="R1851" i="16"/>
  <c r="AD1439" i="16"/>
  <c r="X1439" i="16"/>
  <c r="AA1439" i="16"/>
  <c r="U1439" i="16"/>
  <c r="R1439" i="16"/>
  <c r="AD1606" i="16"/>
  <c r="X1606" i="16"/>
  <c r="AA1606" i="16"/>
  <c r="U1606" i="16"/>
  <c r="R1606" i="16"/>
  <c r="AD1530" i="16"/>
  <c r="AA1530" i="16"/>
  <c r="X1530" i="16"/>
  <c r="U1530" i="16"/>
  <c r="F1530" i="16"/>
  <c r="G1530" i="16" s="1"/>
  <c r="R1530" i="16"/>
  <c r="F1679" i="16"/>
  <c r="G1679" i="16" s="1"/>
  <c r="AD1679" i="16"/>
  <c r="X1679" i="16"/>
  <c r="AA1679" i="16"/>
  <c r="U1679" i="16"/>
  <c r="R1679" i="16"/>
  <c r="F861" i="16"/>
  <c r="G861" i="16" s="1"/>
  <c r="AD861" i="16"/>
  <c r="AA861" i="16"/>
  <c r="X861" i="16"/>
  <c r="U861" i="16"/>
  <c r="R861" i="16"/>
  <c r="AD276" i="16"/>
  <c r="AA276" i="16"/>
  <c r="X276" i="16"/>
  <c r="U276" i="16"/>
  <c r="F276" i="16"/>
  <c r="G276" i="16" s="1"/>
  <c r="R276" i="16"/>
  <c r="AD205" i="16"/>
  <c r="AA205" i="16"/>
  <c r="X205" i="16"/>
  <c r="U205" i="16"/>
  <c r="R205" i="16"/>
  <c r="F1304" i="16"/>
  <c r="G1304" i="16" s="1"/>
  <c r="AD1304" i="16"/>
  <c r="AA1304" i="16"/>
  <c r="X1304" i="16"/>
  <c r="U1304" i="16"/>
  <c r="R1304" i="16"/>
  <c r="AD1644" i="16"/>
  <c r="AA1644" i="16"/>
  <c r="X1644" i="16"/>
  <c r="U1644" i="16"/>
  <c r="R1644" i="16"/>
  <c r="AD496" i="16"/>
  <c r="AA496" i="16"/>
  <c r="X496" i="16"/>
  <c r="U496" i="16"/>
  <c r="R496" i="16"/>
  <c r="F643" i="16"/>
  <c r="G643" i="16" s="1"/>
  <c r="AD643" i="16"/>
  <c r="AA643" i="16"/>
  <c r="X643" i="16"/>
  <c r="U643" i="16"/>
  <c r="R643" i="16"/>
  <c r="AA1446" i="16"/>
  <c r="AD1446" i="16"/>
  <c r="X1446" i="16"/>
  <c r="U1446" i="16"/>
  <c r="AD788" i="16"/>
  <c r="AA788" i="16"/>
  <c r="X788" i="16"/>
  <c r="U788" i="16"/>
  <c r="R788" i="16"/>
  <c r="AD542" i="16"/>
  <c r="AA542" i="16"/>
  <c r="X542" i="16"/>
  <c r="U542" i="16"/>
  <c r="R542" i="16"/>
  <c r="AD2114" i="16"/>
  <c r="AA2114" i="16"/>
  <c r="X2114" i="16"/>
  <c r="U2114" i="16"/>
  <c r="R2114" i="16"/>
  <c r="AD2167" i="16"/>
  <c r="AA2167" i="16"/>
  <c r="X2167" i="16"/>
  <c r="U2167" i="16"/>
  <c r="R2167" i="16"/>
  <c r="AD1244" i="16"/>
  <c r="X1244" i="16"/>
  <c r="AA1244" i="16"/>
  <c r="U1244" i="16"/>
  <c r="R1244" i="16"/>
  <c r="AD1138" i="16"/>
  <c r="X1138" i="16"/>
  <c r="AA1138" i="16"/>
  <c r="U1138" i="16"/>
  <c r="R1138" i="16"/>
  <c r="AD2019" i="16"/>
  <c r="AA2019" i="16"/>
  <c r="X2019" i="16"/>
  <c r="U2019" i="16"/>
  <c r="R2019" i="16"/>
  <c r="AD922" i="16"/>
  <c r="AA922" i="16"/>
  <c r="U922" i="16"/>
  <c r="X922" i="16"/>
  <c r="R922" i="16"/>
  <c r="R1118" i="16"/>
  <c r="AD232" i="16"/>
  <c r="X232" i="16"/>
  <c r="AA232" i="16"/>
  <c r="U232" i="16"/>
  <c r="R232" i="16"/>
  <c r="AD1357" i="16"/>
  <c r="AA1357" i="16"/>
  <c r="X1357" i="16"/>
  <c r="U1357" i="16"/>
  <c r="R1357" i="16"/>
  <c r="AD1351" i="16"/>
  <c r="AA1351" i="16"/>
  <c r="X1351" i="16"/>
  <c r="U1351" i="16"/>
  <c r="R1351" i="16"/>
  <c r="AD1966" i="16"/>
  <c r="X1966" i="16"/>
  <c r="U1966" i="16"/>
  <c r="AA1966" i="16"/>
  <c r="R1966" i="16"/>
  <c r="AD895" i="16"/>
  <c r="AA895" i="16"/>
  <c r="X895" i="16"/>
  <c r="U895" i="16"/>
  <c r="R895" i="16"/>
  <c r="AD942" i="16"/>
  <c r="AA942" i="16"/>
  <c r="X942" i="16"/>
  <c r="U942" i="16"/>
  <c r="R942" i="16"/>
  <c r="F849" i="16"/>
  <c r="G849" i="16" s="1"/>
  <c r="AD849" i="16"/>
  <c r="X849" i="16"/>
  <c r="AA849" i="16"/>
  <c r="U849" i="16"/>
  <c r="R849" i="16"/>
  <c r="F154" i="16"/>
  <c r="G154" i="16" s="1"/>
  <c r="AD154" i="16"/>
  <c r="AA154" i="16"/>
  <c r="X154" i="16"/>
  <c r="U154" i="16"/>
  <c r="R154" i="16"/>
  <c r="F665" i="16"/>
  <c r="G665" i="16" s="1"/>
  <c r="AD665" i="16"/>
  <c r="X665" i="16"/>
  <c r="AA665" i="16"/>
  <c r="U665" i="16"/>
  <c r="R665" i="16"/>
  <c r="F2088" i="16"/>
  <c r="G2088" i="16" s="1"/>
  <c r="AD2088" i="16"/>
  <c r="X2088" i="16"/>
  <c r="AA2088" i="16"/>
  <c r="U2088" i="16"/>
  <c r="R2088" i="16"/>
  <c r="F1954" i="16"/>
  <c r="G1954" i="16" s="1"/>
  <c r="AD1954" i="16"/>
  <c r="AA1954" i="16"/>
  <c r="X1954" i="16"/>
  <c r="U1954" i="16"/>
  <c r="R1954" i="16"/>
  <c r="F80" i="16"/>
  <c r="G80" i="16" s="1"/>
  <c r="AD80" i="16"/>
  <c r="X80" i="16"/>
  <c r="AA80" i="16"/>
  <c r="U80" i="16"/>
  <c r="R80" i="16"/>
  <c r="F1956" i="16"/>
  <c r="G1956" i="16" s="1"/>
  <c r="AD1956" i="16"/>
  <c r="X1956" i="16"/>
  <c r="AA1956" i="16"/>
  <c r="U1956" i="16"/>
  <c r="R1956" i="16"/>
  <c r="AD27" i="16"/>
  <c r="AA27" i="16"/>
  <c r="X27" i="16"/>
  <c r="AD1067" i="16"/>
  <c r="AA1067" i="16"/>
  <c r="X1067" i="16"/>
  <c r="U1067" i="16"/>
  <c r="R1067" i="16"/>
  <c r="AD359" i="16"/>
  <c r="AA359" i="16"/>
  <c r="X359" i="16"/>
  <c r="U359" i="16"/>
  <c r="R359" i="16"/>
  <c r="AD1987" i="16"/>
  <c r="AA1987" i="16"/>
  <c r="U1987" i="16"/>
  <c r="X1987" i="16"/>
  <c r="R1987" i="16"/>
  <c r="AD1399" i="16"/>
  <c r="AA1399" i="16"/>
  <c r="U1399" i="16"/>
  <c r="X1399" i="16"/>
  <c r="R1399" i="16"/>
  <c r="AD582" i="16"/>
  <c r="AA582" i="16"/>
  <c r="X582" i="16"/>
  <c r="U582" i="16"/>
  <c r="R582" i="16"/>
  <c r="AD301" i="16"/>
  <c r="AA301" i="16"/>
  <c r="X301" i="16"/>
  <c r="U301" i="16"/>
  <c r="R301" i="16"/>
  <c r="AD1862" i="16"/>
  <c r="AA1862" i="16"/>
  <c r="U1862" i="16"/>
  <c r="X1862" i="16"/>
  <c r="R1862" i="16"/>
  <c r="AD1962" i="16"/>
  <c r="AA1962" i="16"/>
  <c r="X1962" i="16"/>
  <c r="U1962" i="16"/>
  <c r="R1962" i="16"/>
  <c r="AD1197" i="16"/>
  <c r="AA1197" i="16"/>
  <c r="U1197" i="16"/>
  <c r="X1197" i="16"/>
  <c r="R1197" i="16"/>
  <c r="AD2185" i="16"/>
  <c r="AA2185" i="16"/>
  <c r="X2185" i="16"/>
  <c r="U2185" i="16"/>
  <c r="R2185" i="16"/>
  <c r="AD862" i="16"/>
  <c r="AA862" i="16"/>
  <c r="X862" i="16"/>
  <c r="U862" i="16"/>
  <c r="R862" i="16"/>
  <c r="AD597" i="16"/>
  <c r="AA597" i="16"/>
  <c r="X597" i="16"/>
  <c r="U597" i="16"/>
  <c r="R597" i="16"/>
  <c r="AA1321" i="16"/>
  <c r="AD1321" i="16"/>
  <c r="X1321" i="16"/>
  <c r="U1321" i="16"/>
  <c r="R1321" i="16"/>
  <c r="AA692" i="16"/>
  <c r="AD692" i="16"/>
  <c r="X692" i="16"/>
  <c r="U692" i="16"/>
  <c r="R692" i="16"/>
  <c r="AD1576" i="16"/>
  <c r="X1576" i="16"/>
  <c r="AA1576" i="16"/>
  <c r="U1576" i="16"/>
  <c r="R1576" i="16"/>
  <c r="AD459" i="16"/>
  <c r="X459" i="16"/>
  <c r="AA459" i="16"/>
  <c r="U459" i="16"/>
  <c r="R459" i="16"/>
  <c r="AD366" i="16"/>
  <c r="AA366" i="16"/>
  <c r="X366" i="16"/>
  <c r="U366" i="16"/>
  <c r="R366" i="16"/>
  <c r="AD1541" i="16"/>
  <c r="AA1541" i="16"/>
  <c r="X1541" i="16"/>
  <c r="U1541" i="16"/>
  <c r="R1541" i="16"/>
  <c r="AD1284" i="16"/>
  <c r="AA1284" i="16"/>
  <c r="X1284" i="16"/>
  <c r="U1284" i="16"/>
  <c r="R1284" i="16"/>
  <c r="AD1222" i="16"/>
  <c r="X1222" i="16"/>
  <c r="U1222" i="16"/>
  <c r="AA1222" i="16"/>
  <c r="R1222" i="16"/>
  <c r="AD749" i="16"/>
  <c r="AA749" i="16"/>
  <c r="X749" i="16"/>
  <c r="U749" i="16"/>
  <c r="R749" i="16"/>
  <c r="AD1992" i="16"/>
  <c r="X1992" i="16"/>
  <c r="U1992" i="16"/>
  <c r="AA1992" i="16"/>
  <c r="R1992" i="16"/>
  <c r="R664" i="16"/>
  <c r="AD1121" i="16"/>
  <c r="AA1121" i="16"/>
  <c r="U1121" i="16"/>
  <c r="X1121" i="16"/>
  <c r="R1121" i="16"/>
  <c r="AD277" i="16"/>
  <c r="AA277" i="16"/>
  <c r="U277" i="16"/>
  <c r="AD1643" i="16"/>
  <c r="AA1643" i="16"/>
  <c r="U1643" i="16"/>
  <c r="X1643" i="16"/>
  <c r="AD1000" i="16"/>
  <c r="AA1000" i="16"/>
  <c r="X1000" i="16"/>
  <c r="U1000" i="16"/>
  <c r="AD358" i="16"/>
  <c r="AA358" i="16"/>
  <c r="X358" i="16"/>
  <c r="U358" i="16"/>
  <c r="AD270" i="16"/>
  <c r="AA270" i="16"/>
  <c r="X270" i="16"/>
  <c r="U270" i="16"/>
  <c r="AD769" i="16"/>
  <c r="AA769" i="16"/>
  <c r="X769" i="16"/>
  <c r="U769" i="16"/>
  <c r="AD941" i="16"/>
  <c r="AA941" i="16"/>
  <c r="X941" i="16"/>
  <c r="U941" i="16"/>
  <c r="AD2124" i="16"/>
  <c r="AA2124" i="16"/>
  <c r="X2124" i="16"/>
  <c r="U2124" i="16"/>
  <c r="AD652" i="16"/>
  <c r="AA652" i="16"/>
  <c r="X652" i="16"/>
  <c r="U652" i="16"/>
  <c r="AD1642" i="16"/>
  <c r="AA1642" i="16"/>
  <c r="X1642" i="16"/>
  <c r="U1642" i="16"/>
  <c r="AD693" i="16"/>
  <c r="AA693" i="16"/>
  <c r="X693" i="16"/>
  <c r="U693" i="16"/>
  <c r="AA884" i="16"/>
  <c r="AD884" i="16"/>
  <c r="X884" i="16"/>
  <c r="U884" i="16"/>
  <c r="R884" i="16"/>
  <c r="AD233" i="16"/>
  <c r="X233" i="16"/>
  <c r="AA233" i="16"/>
  <c r="U233" i="16"/>
  <c r="R233" i="16"/>
  <c r="AA1853" i="16"/>
  <c r="AD1853" i="16"/>
  <c r="X1853" i="16"/>
  <c r="U1853" i="16"/>
  <c r="R1853" i="16"/>
  <c r="AA920" i="16"/>
  <c r="AD920" i="16"/>
  <c r="X920" i="16"/>
  <c r="U920" i="16"/>
  <c r="R920" i="16"/>
  <c r="AD1857" i="16"/>
  <c r="AA1857" i="16"/>
  <c r="X1857" i="16"/>
  <c r="U1857" i="16"/>
  <c r="R1857" i="16"/>
  <c r="AD61" i="16"/>
  <c r="AA61" i="16"/>
  <c r="X61" i="16"/>
  <c r="U61" i="16"/>
  <c r="R61" i="16"/>
  <c r="AD113" i="16"/>
  <c r="AA113" i="16"/>
  <c r="X113" i="16"/>
  <c r="U113" i="16"/>
  <c r="R113" i="16"/>
  <c r="F1588" i="16"/>
  <c r="G1588" i="16" s="1"/>
  <c r="AD1588" i="16"/>
  <c r="AA1588" i="16"/>
  <c r="X1588" i="16"/>
  <c r="U1588" i="16"/>
  <c r="R1588" i="16"/>
  <c r="F1130" i="16"/>
  <c r="G1130" i="16" s="1"/>
  <c r="AD1130" i="16"/>
  <c r="AA1130" i="16"/>
  <c r="X1130" i="16"/>
  <c r="U1130" i="16"/>
  <c r="R1130" i="16"/>
  <c r="F1478" i="16"/>
  <c r="G1478" i="16" s="1"/>
  <c r="AD1478" i="16"/>
  <c r="AA1478" i="16"/>
  <c r="X1478" i="16"/>
  <c r="U1478" i="16"/>
  <c r="R1478" i="16"/>
  <c r="F1810" i="16"/>
  <c r="G1810" i="16" s="1"/>
  <c r="AD1810" i="16"/>
  <c r="AA1810" i="16"/>
  <c r="X1810" i="16"/>
  <c r="U1810" i="16"/>
  <c r="R1810" i="16"/>
  <c r="AD999" i="16"/>
  <c r="AA999" i="16"/>
  <c r="X999" i="16"/>
  <c r="U999" i="16"/>
  <c r="R999" i="16"/>
  <c r="F296" i="16"/>
  <c r="G296" i="16" s="1"/>
  <c r="AD296" i="16"/>
  <c r="AA296" i="16"/>
  <c r="X296" i="16"/>
  <c r="U296" i="16"/>
  <c r="R296" i="16"/>
  <c r="AD282" i="16"/>
  <c r="AA282" i="16"/>
  <c r="X282" i="16"/>
  <c r="U282" i="16"/>
  <c r="F282" i="16"/>
  <c r="G282" i="16" s="1"/>
  <c r="R282" i="16"/>
  <c r="AD318" i="16"/>
  <c r="X318" i="16"/>
  <c r="AA318" i="16"/>
  <c r="U318" i="16"/>
  <c r="R318" i="16"/>
  <c r="F1817" i="16"/>
  <c r="G1817" i="16" s="1"/>
  <c r="AD1817" i="16"/>
  <c r="X1817" i="16"/>
  <c r="AA1817" i="16"/>
  <c r="U1817" i="16"/>
  <c r="R1817" i="16"/>
  <c r="F560" i="16"/>
  <c r="G560" i="16" s="1"/>
  <c r="AD560" i="16"/>
  <c r="X560" i="16"/>
  <c r="AA560" i="16"/>
  <c r="U560" i="16"/>
  <c r="R560" i="16"/>
  <c r="F350" i="16"/>
  <c r="G350" i="16" s="1"/>
  <c r="AD350" i="16"/>
  <c r="X350" i="16"/>
  <c r="AA350" i="16"/>
  <c r="U350" i="16"/>
  <c r="R350" i="16"/>
  <c r="F1199" i="16"/>
  <c r="G1199" i="16" s="1"/>
  <c r="AD1199" i="16"/>
  <c r="AA1199" i="16"/>
  <c r="X1199" i="16"/>
  <c r="U1199" i="16"/>
  <c r="R1199" i="16"/>
  <c r="F272" i="16"/>
  <c r="G272" i="16" s="1"/>
  <c r="AD272" i="16"/>
  <c r="X272" i="16"/>
  <c r="AA272" i="16"/>
  <c r="U272" i="16"/>
  <c r="R272" i="16"/>
  <c r="F1610" i="16"/>
  <c r="G1610" i="16" s="1"/>
  <c r="AD1610" i="16"/>
  <c r="X1610" i="16"/>
  <c r="AA1610" i="16"/>
  <c r="U1610" i="16"/>
  <c r="R1610" i="16"/>
  <c r="F1116" i="16"/>
  <c r="G1116" i="16" s="1"/>
  <c r="AD1116" i="16"/>
  <c r="X1116" i="16"/>
  <c r="AA1116" i="16"/>
  <c r="R1116" i="16"/>
  <c r="U1116" i="16"/>
  <c r="F674" i="16"/>
  <c r="G674" i="16" s="1"/>
  <c r="AD674" i="16"/>
  <c r="X674" i="16"/>
  <c r="AA674" i="16"/>
  <c r="R674" i="16"/>
  <c r="U674" i="16"/>
  <c r="F943" i="16"/>
  <c r="G943" i="16" s="1"/>
  <c r="AD943" i="16"/>
  <c r="AA943" i="16"/>
  <c r="X943" i="16"/>
  <c r="U943" i="16"/>
  <c r="AD1194" i="16"/>
  <c r="AA1194" i="16"/>
  <c r="X1194" i="16"/>
  <c r="U1194" i="16"/>
  <c r="AD1724" i="16"/>
  <c r="AA1724" i="16"/>
  <c r="X1724" i="16"/>
  <c r="U1724" i="16"/>
  <c r="AD335" i="16"/>
  <c r="AA335" i="16"/>
  <c r="X335" i="16"/>
  <c r="U335" i="16"/>
  <c r="AD598" i="16"/>
  <c r="AA598" i="16"/>
  <c r="X598" i="16"/>
  <c r="U598" i="16"/>
  <c r="AD921" i="16"/>
  <c r="AA921" i="16"/>
  <c r="X921" i="16"/>
  <c r="U921" i="16"/>
  <c r="AD2059" i="16"/>
  <c r="AA2059" i="16"/>
  <c r="U2059" i="16"/>
  <c r="X2059" i="16"/>
  <c r="F205" i="16"/>
  <c r="G205" i="16" s="1"/>
  <c r="AD1053" i="16"/>
  <c r="AA1053" i="16"/>
  <c r="X1053" i="16"/>
  <c r="U1053" i="16"/>
  <c r="R1053" i="16"/>
  <c r="AD1440" i="16"/>
  <c r="AA1440" i="16"/>
  <c r="X1440" i="16"/>
  <c r="U1440" i="16"/>
  <c r="R1440" i="16"/>
  <c r="F2059" i="16"/>
  <c r="G2059" i="16" s="1"/>
  <c r="AD462" i="16"/>
  <c r="AA462" i="16"/>
  <c r="U462" i="16"/>
  <c r="X462" i="16"/>
  <c r="AD1645" i="16"/>
  <c r="X1645" i="16"/>
  <c r="AA1645" i="16"/>
  <c r="U1645" i="16"/>
  <c r="R1645" i="16"/>
  <c r="AD1283" i="16"/>
  <c r="AA1283" i="16"/>
  <c r="X1283" i="16"/>
  <c r="U1283" i="16"/>
  <c r="R1283" i="16"/>
  <c r="AD893" i="16"/>
  <c r="X893" i="16"/>
  <c r="AA893" i="16"/>
  <c r="U893" i="16"/>
  <c r="R893" i="16"/>
  <c r="AD280" i="16"/>
  <c r="AA280" i="16"/>
  <c r="X280" i="16"/>
  <c r="U280" i="16"/>
  <c r="R280" i="16"/>
  <c r="AD368" i="16"/>
  <c r="X368" i="16"/>
  <c r="AA368" i="16"/>
  <c r="U368" i="16"/>
  <c r="R368" i="16"/>
  <c r="AA1200" i="16"/>
  <c r="X1200" i="16"/>
  <c r="AD1200" i="16"/>
  <c r="U1200" i="16"/>
  <c r="R1200" i="16"/>
  <c r="AD901" i="16"/>
  <c r="X901" i="16"/>
  <c r="AA901" i="16"/>
  <c r="U901" i="16"/>
  <c r="R901" i="16"/>
  <c r="AA551" i="16"/>
  <c r="X551" i="16"/>
  <c r="AD551" i="16"/>
  <c r="U551" i="16"/>
  <c r="R551" i="16"/>
  <c r="F551" i="16"/>
  <c r="G551" i="16" s="1"/>
  <c r="AD528" i="16"/>
  <c r="X528" i="16"/>
  <c r="AA528" i="16"/>
  <c r="U528" i="16"/>
  <c r="R528" i="16"/>
  <c r="R27" i="16"/>
  <c r="R1449" i="16"/>
  <c r="F31" i="16"/>
  <c r="G31" i="16" s="1"/>
  <c r="AD31" i="16"/>
  <c r="AA31" i="16"/>
  <c r="X31" i="16"/>
  <c r="U31" i="16"/>
  <c r="R31" i="16"/>
  <c r="AD997" i="16"/>
  <c r="AA997" i="16"/>
  <c r="X997" i="16"/>
  <c r="U997" i="16"/>
  <c r="R997" i="16"/>
  <c r="AD1349" i="16"/>
  <c r="AA1349" i="16"/>
  <c r="X1349" i="16"/>
  <c r="U1349" i="16"/>
  <c r="R1349" i="16"/>
  <c r="AD1348" i="16"/>
  <c r="AA1348" i="16"/>
  <c r="X1348" i="16"/>
  <c r="U1348" i="16"/>
  <c r="R1348" i="16"/>
  <c r="F1054" i="16"/>
  <c r="G1054" i="16" s="1"/>
  <c r="AD1054" i="16"/>
  <c r="AA1054" i="16"/>
  <c r="X1054" i="16"/>
  <c r="U1054" i="16"/>
  <c r="R1054" i="16"/>
  <c r="AD328" i="16"/>
  <c r="AA328" i="16"/>
  <c r="X328" i="16"/>
  <c r="U328" i="16"/>
  <c r="R328" i="16"/>
  <c r="F1644" i="16"/>
  <c r="G1644" i="16" s="1"/>
  <c r="AD589" i="16"/>
  <c r="AA589" i="16"/>
  <c r="X589" i="16"/>
  <c r="U589" i="16"/>
  <c r="R589" i="16"/>
  <c r="AD1659" i="16"/>
  <c r="X1659" i="16"/>
  <c r="AA1659" i="16"/>
  <c r="U1659" i="16"/>
  <c r="R1659" i="16"/>
  <c r="AD1190" i="16"/>
  <c r="AA1190" i="16"/>
  <c r="X1190" i="16"/>
  <c r="U1190" i="16"/>
  <c r="R1190" i="16"/>
  <c r="AD2074" i="16"/>
  <c r="AA2074" i="16"/>
  <c r="X2074" i="16"/>
  <c r="U2074" i="16"/>
  <c r="AA502" i="16"/>
  <c r="AD502" i="16"/>
  <c r="X502" i="16"/>
  <c r="U502" i="16"/>
  <c r="R502" i="16"/>
  <c r="AA635" i="16"/>
  <c r="AD635" i="16"/>
  <c r="X635" i="16"/>
  <c r="U635" i="16"/>
  <c r="R635" i="16"/>
  <c r="AD285" i="16"/>
  <c r="AA285" i="16"/>
  <c r="X285" i="16"/>
  <c r="U285" i="16"/>
  <c r="R285" i="16"/>
  <c r="AA796" i="16"/>
  <c r="AD796" i="16"/>
  <c r="X796" i="16"/>
  <c r="U796" i="16"/>
  <c r="R796" i="16"/>
  <c r="AD1890" i="16"/>
  <c r="AA1890" i="16"/>
  <c r="X1890" i="16"/>
  <c r="U1890" i="16"/>
  <c r="R1890" i="16"/>
  <c r="AD1168" i="16"/>
  <c r="AA1168" i="16"/>
  <c r="U1168" i="16"/>
  <c r="X1168" i="16"/>
  <c r="R1168" i="16"/>
  <c r="AD2100" i="16"/>
  <c r="AA2100" i="16"/>
  <c r="X2100" i="16"/>
  <c r="U2100" i="16"/>
  <c r="R2100" i="16"/>
  <c r="F524" i="16"/>
  <c r="G524" i="16" s="1"/>
  <c r="AD524" i="16"/>
  <c r="AA524" i="16"/>
  <c r="U524" i="16"/>
  <c r="X524" i="16"/>
  <c r="AD94" i="16"/>
  <c r="AA94" i="16"/>
  <c r="X94" i="16"/>
  <c r="U94" i="16"/>
  <c r="AD1139" i="16"/>
  <c r="AA1139" i="16"/>
  <c r="U1139" i="16"/>
  <c r="X1139" i="16"/>
  <c r="F659" i="16"/>
  <c r="G659" i="16" s="1"/>
  <c r="AD659" i="16"/>
  <c r="AA659" i="16"/>
  <c r="U659" i="16"/>
  <c r="X659" i="16"/>
  <c r="AD1568" i="16"/>
  <c r="AA1568" i="16"/>
  <c r="X1568" i="16"/>
  <c r="U1568" i="16"/>
  <c r="R1568" i="16"/>
  <c r="F371" i="16"/>
  <c r="G371" i="16" s="1"/>
  <c r="AD371" i="16"/>
  <c r="AA371" i="16"/>
  <c r="X371" i="16"/>
  <c r="U371" i="16"/>
  <c r="R371" i="16"/>
  <c r="AD1725" i="16"/>
  <c r="AA1725" i="16"/>
  <c r="X1725" i="16"/>
  <c r="U1725" i="16"/>
  <c r="R1725" i="16"/>
  <c r="AD556" i="16"/>
  <c r="AA556" i="16"/>
  <c r="X556" i="16"/>
  <c r="R556" i="16"/>
  <c r="AD1511" i="16"/>
  <c r="AA1511" i="16"/>
  <c r="X1511" i="16"/>
  <c r="U1511" i="16"/>
  <c r="R1511" i="16"/>
  <c r="AD1122" i="16"/>
  <c r="AA1122" i="16"/>
  <c r="X1122" i="16"/>
  <c r="U1122" i="16"/>
  <c r="R1122" i="16"/>
  <c r="AD1286" i="16"/>
  <c r="AA1286" i="16"/>
  <c r="X1286" i="16"/>
  <c r="U1286" i="16"/>
  <c r="R1286" i="16"/>
  <c r="AD1473" i="16"/>
  <c r="AA1473" i="16"/>
  <c r="U1473" i="16"/>
  <c r="X1473" i="16"/>
  <c r="R1473" i="16"/>
  <c r="AD559" i="16"/>
  <c r="AA559" i="16"/>
  <c r="U559" i="16"/>
  <c r="X559" i="16"/>
  <c r="R559" i="16"/>
  <c r="AD977" i="16"/>
  <c r="AA977" i="16"/>
  <c r="X977" i="16"/>
  <c r="U977" i="16"/>
  <c r="R977" i="16"/>
  <c r="AD273" i="16"/>
  <c r="AA273" i="16"/>
  <c r="X273" i="16"/>
  <c r="U273" i="16"/>
  <c r="R273" i="16"/>
  <c r="AD63" i="16"/>
  <c r="AA63" i="16"/>
  <c r="U63" i="16"/>
  <c r="X63" i="16"/>
  <c r="R63" i="16"/>
  <c r="AD1900" i="16"/>
  <c r="AA1900" i="16"/>
  <c r="U1900" i="16"/>
  <c r="X1900" i="16"/>
  <c r="R1900" i="16"/>
  <c r="AD1090" i="16"/>
  <c r="AA1090" i="16"/>
  <c r="X1090" i="16"/>
  <c r="U1090" i="16"/>
  <c r="R1090" i="16"/>
  <c r="AD1924" i="16"/>
  <c r="AA1924" i="16"/>
  <c r="X1924" i="16"/>
  <c r="U1924" i="16"/>
  <c r="R1924" i="16"/>
  <c r="F1924" i="16"/>
  <c r="G1924" i="16" s="1"/>
  <c r="AD1364" i="16"/>
  <c r="AA1364" i="16"/>
  <c r="U1364" i="16"/>
  <c r="X1364" i="16"/>
  <c r="R1364" i="16"/>
  <c r="F1364" i="16"/>
  <c r="G1364" i="16" s="1"/>
  <c r="AD451" i="16"/>
  <c r="AA451" i="16"/>
  <c r="U451" i="16"/>
  <c r="X451" i="16"/>
  <c r="R451" i="16"/>
  <c r="F451" i="16"/>
  <c r="G451" i="16" s="1"/>
  <c r="AD1109" i="16"/>
  <c r="AA1109" i="16"/>
  <c r="X1109" i="16"/>
  <c r="U1109" i="16"/>
  <c r="R1109" i="16"/>
  <c r="AD2106" i="16"/>
  <c r="AA2106" i="16"/>
  <c r="X2106" i="16"/>
  <c r="U2106" i="16"/>
  <c r="R2106" i="16"/>
  <c r="AD947" i="16"/>
  <c r="AA947" i="16"/>
  <c r="U947" i="16"/>
  <c r="X947" i="16"/>
  <c r="R947" i="16"/>
  <c r="F947" i="16"/>
  <c r="G947" i="16" s="1"/>
  <c r="AD1676" i="16"/>
  <c r="AA1676" i="16"/>
  <c r="U1676" i="16"/>
  <c r="X1676" i="16"/>
  <c r="R1676" i="16"/>
  <c r="AD573" i="16"/>
  <c r="AA573" i="16"/>
  <c r="X573" i="16"/>
  <c r="U573" i="16"/>
  <c r="R573" i="16"/>
  <c r="F573" i="16"/>
  <c r="G573" i="16" s="1"/>
  <c r="AD896" i="16"/>
  <c r="AA896" i="16"/>
  <c r="X896" i="16"/>
  <c r="U896" i="16"/>
  <c r="R896" i="16"/>
  <c r="AD1124" i="16"/>
  <c r="AA1124" i="16"/>
  <c r="U1124" i="16"/>
  <c r="X1124" i="16"/>
  <c r="R1124" i="16"/>
  <c r="F1124" i="16"/>
  <c r="G1124" i="16" s="1"/>
  <c r="AD2184" i="16"/>
  <c r="AA2184" i="16"/>
  <c r="U2184" i="16"/>
  <c r="X2184" i="16"/>
  <c r="R2184" i="16"/>
  <c r="AD2160" i="16"/>
  <c r="AA2160" i="16"/>
  <c r="X2160" i="16"/>
  <c r="U2160" i="16"/>
  <c r="R2160" i="16"/>
  <c r="F2160" i="16"/>
  <c r="G2160" i="16" s="1"/>
  <c r="AD1864" i="16"/>
  <c r="AA1864" i="16"/>
  <c r="X1864" i="16"/>
  <c r="U1864" i="16"/>
  <c r="R1864" i="16"/>
  <c r="AD756" i="16"/>
  <c r="AA756" i="16"/>
  <c r="U756" i="16"/>
  <c r="X756" i="16"/>
  <c r="R756" i="16"/>
  <c r="AD488" i="16"/>
  <c r="AA488" i="16"/>
  <c r="U488" i="16"/>
  <c r="X488" i="16"/>
  <c r="R488" i="16"/>
  <c r="AD95" i="16"/>
  <c r="AA95" i="16"/>
  <c r="X95" i="16"/>
  <c r="U95" i="16"/>
  <c r="R95" i="16"/>
  <c r="F95" i="16"/>
  <c r="G95" i="16" s="1"/>
  <c r="AD1654" i="16"/>
  <c r="AA1654" i="16"/>
  <c r="X1654" i="16"/>
  <c r="U1654" i="16"/>
  <c r="R1654" i="16"/>
  <c r="AD1504" i="16"/>
  <c r="AA1504" i="16"/>
  <c r="U1504" i="16"/>
  <c r="X1504" i="16"/>
  <c r="R1504" i="16"/>
  <c r="AD1720" i="16"/>
  <c r="AA1720" i="16"/>
  <c r="U1720" i="16"/>
  <c r="X1720" i="16"/>
  <c r="R1720" i="16"/>
  <c r="AD1614" i="16"/>
  <c r="AA1614" i="16"/>
  <c r="X1614" i="16"/>
  <c r="U1614" i="16"/>
  <c r="R1614" i="16"/>
  <c r="F1614" i="16"/>
  <c r="G1614" i="16" s="1"/>
  <c r="AD1148" i="16"/>
  <c r="AA1148" i="16"/>
  <c r="X1148" i="16"/>
  <c r="U1148" i="16"/>
  <c r="R1148" i="16"/>
  <c r="F1148" i="16"/>
  <c r="G1148" i="16" s="1"/>
  <c r="AD2068" i="16"/>
  <c r="AA2068" i="16"/>
  <c r="U2068" i="16"/>
  <c r="X2068" i="16"/>
  <c r="R2068" i="16"/>
  <c r="AD545" i="16"/>
  <c r="AA545" i="16"/>
  <c r="U545" i="16"/>
  <c r="X545" i="16"/>
  <c r="R545" i="16"/>
  <c r="R943" i="16"/>
  <c r="R921" i="16"/>
  <c r="R1000" i="16"/>
  <c r="R941" i="16"/>
  <c r="R693" i="16"/>
  <c r="U27" i="16"/>
  <c r="X770" i="16"/>
  <c r="AD770" i="16"/>
  <c r="AA770" i="16"/>
  <c r="U770" i="16"/>
  <c r="R770" i="16"/>
  <c r="AA1140" i="16"/>
  <c r="X1140" i="16"/>
  <c r="AD1140" i="16"/>
  <c r="U1140" i="16"/>
  <c r="R1140" i="16"/>
  <c r="AD1567" i="16"/>
  <c r="AA1567" i="16"/>
  <c r="X1567" i="16"/>
  <c r="U1567" i="16"/>
  <c r="R1567" i="16"/>
  <c r="AA1285" i="16"/>
  <c r="AD1285" i="16"/>
  <c r="X1285" i="16"/>
  <c r="U1285" i="16"/>
  <c r="R1285" i="16"/>
  <c r="F328" i="16"/>
  <c r="G328" i="16" s="1"/>
  <c r="AD612" i="16"/>
  <c r="AA612" i="16"/>
  <c r="X612" i="16"/>
  <c r="U612" i="16"/>
  <c r="AD1519" i="16"/>
  <c r="AA1519" i="16"/>
  <c r="X1519" i="16"/>
  <c r="U1519" i="16"/>
  <c r="F1137" i="16"/>
  <c r="G1137" i="16" s="1"/>
  <c r="AD1137" i="16"/>
  <c r="AA1137" i="16"/>
  <c r="X1137" i="16"/>
  <c r="U1137" i="16"/>
  <c r="F76" i="16"/>
  <c r="G76" i="16" s="1"/>
  <c r="AD76" i="16"/>
  <c r="AA76" i="16"/>
  <c r="X76" i="16"/>
  <c r="U76" i="16"/>
  <c r="AD1208" i="16"/>
  <c r="AA1208" i="16"/>
  <c r="X1208" i="16"/>
  <c r="U1208" i="16"/>
  <c r="R1208" i="16"/>
  <c r="AD892" i="16"/>
  <c r="AA892" i="16"/>
  <c r="U892" i="16"/>
  <c r="X892" i="16"/>
  <c r="R892" i="16"/>
  <c r="AD1294" i="16"/>
  <c r="AA1294" i="16"/>
  <c r="X1294" i="16"/>
  <c r="U1294" i="16"/>
  <c r="R1294" i="16"/>
  <c r="AD319" i="16"/>
  <c r="AA319" i="16"/>
  <c r="U319" i="16"/>
  <c r="X319" i="16"/>
  <c r="AD449" i="16"/>
  <c r="X449" i="16"/>
  <c r="AA449" i="16"/>
  <c r="U449" i="16"/>
  <c r="R449" i="16"/>
  <c r="AD1732" i="16"/>
  <c r="AA1732" i="16"/>
  <c r="X1732" i="16"/>
  <c r="U1732" i="16"/>
  <c r="R1732" i="16"/>
  <c r="AD533" i="16"/>
  <c r="AA533" i="16"/>
  <c r="X533" i="16"/>
  <c r="U533" i="16"/>
  <c r="R533" i="16"/>
  <c r="AA806" i="16"/>
  <c r="AD806" i="16"/>
  <c r="X806" i="16"/>
  <c r="U806" i="16"/>
  <c r="R806" i="16"/>
  <c r="AD1306" i="16"/>
  <c r="AA1306" i="16"/>
  <c r="X1306" i="16"/>
  <c r="U1306" i="16"/>
  <c r="R1306" i="16"/>
  <c r="AD1493" i="16"/>
  <c r="AA1493" i="16"/>
  <c r="X1493" i="16"/>
  <c r="U1493" i="16"/>
  <c r="R1493" i="16"/>
  <c r="AD1281" i="16"/>
  <c r="X1281" i="16"/>
  <c r="AA1281" i="16"/>
  <c r="U1281" i="16"/>
  <c r="R1281" i="16"/>
  <c r="AD367" i="16"/>
  <c r="AA367" i="16"/>
  <c r="X367" i="16"/>
  <c r="U367" i="16"/>
  <c r="R367" i="16"/>
  <c r="AD2001" i="16"/>
  <c r="AA2001" i="16"/>
  <c r="X2001" i="16"/>
  <c r="U2001" i="16"/>
  <c r="R2001" i="16"/>
  <c r="AA1219" i="16"/>
  <c r="AD1219" i="16"/>
  <c r="X1219" i="16"/>
  <c r="U1219" i="16"/>
  <c r="R1219" i="16"/>
  <c r="AD789" i="16"/>
  <c r="X789" i="16"/>
  <c r="AA789" i="16"/>
  <c r="U789" i="16"/>
  <c r="R789" i="16"/>
  <c r="AA529" i="16"/>
  <c r="X529" i="16"/>
  <c r="AD529" i="16"/>
  <c r="U529" i="16"/>
  <c r="R529" i="16"/>
  <c r="AD300" i="16"/>
  <c r="AA300" i="16"/>
  <c r="X300" i="16"/>
  <c r="U300" i="16"/>
  <c r="R300" i="16"/>
  <c r="AD1886" i="16"/>
  <c r="AA1886" i="16"/>
  <c r="X1886" i="16"/>
  <c r="U1886" i="16"/>
  <c r="R1886" i="16"/>
  <c r="AD1709" i="16"/>
  <c r="AA1709" i="16"/>
  <c r="X1709" i="16"/>
  <c r="U1709" i="16"/>
  <c r="R1709" i="16"/>
  <c r="AD506" i="16"/>
  <c r="AA506" i="16"/>
  <c r="X506" i="16"/>
  <c r="U506" i="16"/>
  <c r="R506" i="16"/>
  <c r="AD1433" i="16"/>
  <c r="AA1433" i="16"/>
  <c r="X1433" i="16"/>
  <c r="U1433" i="16"/>
  <c r="R1433" i="16"/>
  <c r="AD1160" i="16"/>
  <c r="AA1160" i="16"/>
  <c r="X1160" i="16"/>
  <c r="U1160" i="16"/>
  <c r="R1160" i="16"/>
  <c r="AD550" i="16"/>
  <c r="X550" i="16"/>
  <c r="AA550" i="16"/>
  <c r="U550" i="16"/>
  <c r="R550" i="16"/>
  <c r="F1293" i="16"/>
  <c r="G1293" i="16" s="1"/>
  <c r="AD790" i="16"/>
  <c r="X790" i="16"/>
  <c r="U790" i="16"/>
  <c r="AA790" i="16"/>
  <c r="R790" i="16"/>
  <c r="AD2181" i="16"/>
  <c r="X2181" i="16"/>
  <c r="AA2181" i="16"/>
  <c r="U2181" i="16"/>
  <c r="R2181" i="16"/>
  <c r="AD1128" i="16"/>
  <c r="X1128" i="16"/>
  <c r="AA1128" i="16"/>
  <c r="U1128" i="16"/>
  <c r="R1128" i="16"/>
  <c r="AD1587" i="16"/>
  <c r="AA1587" i="16"/>
  <c r="X1587" i="16"/>
  <c r="U1587" i="16"/>
  <c r="R1587" i="16"/>
  <c r="F118" i="16"/>
  <c r="G118" i="16" s="1"/>
  <c r="AD348" i="16"/>
  <c r="AA348" i="16"/>
  <c r="U348" i="16"/>
  <c r="X348" i="16"/>
  <c r="R348" i="16"/>
  <c r="AD1103" i="16"/>
  <c r="AA1103" i="16"/>
  <c r="X1103" i="16"/>
  <c r="U1103" i="16"/>
  <c r="R1103" i="16"/>
  <c r="AD1751" i="16"/>
  <c r="X1751" i="16"/>
  <c r="U1751" i="16"/>
  <c r="AA1751" i="16"/>
  <c r="R1751" i="16"/>
  <c r="AD995" i="16"/>
  <c r="AA995" i="16"/>
  <c r="X995" i="16"/>
  <c r="R995" i="16"/>
  <c r="U995" i="16"/>
  <c r="AD1738" i="16"/>
  <c r="AA1738" i="16"/>
  <c r="X1738" i="16"/>
  <c r="U1738" i="16"/>
  <c r="R1738" i="16"/>
  <c r="AD1967" i="16"/>
  <c r="AA1967" i="16"/>
  <c r="X1967" i="16"/>
  <c r="U1967" i="16"/>
  <c r="R1967" i="16"/>
  <c r="F1851" i="16"/>
  <c r="G1851" i="16" s="1"/>
  <c r="AD132" i="16"/>
  <c r="AA132" i="16"/>
  <c r="X132" i="16"/>
  <c r="U132" i="16"/>
  <c r="AD330" i="16"/>
  <c r="X330" i="16"/>
  <c r="AA330" i="16"/>
  <c r="U330" i="16"/>
  <c r="R330" i="16"/>
  <c r="AD1064" i="16"/>
  <c r="AA1064" i="16"/>
  <c r="X1064" i="16"/>
  <c r="U1064" i="16"/>
  <c r="R1064" i="16"/>
  <c r="AD1441" i="16"/>
  <c r="AA1441" i="16"/>
  <c r="X1441" i="16"/>
  <c r="U1441" i="16"/>
  <c r="R1441" i="16"/>
  <c r="AD975" i="16"/>
  <c r="AA975" i="16"/>
  <c r="X975" i="16"/>
  <c r="U975" i="16"/>
  <c r="R975" i="16"/>
  <c r="AD1065" i="16"/>
  <c r="AA1065" i="16"/>
  <c r="X1065" i="16"/>
  <c r="U1065" i="16"/>
  <c r="R1065" i="16"/>
  <c r="AD1032" i="16"/>
  <c r="AA1032" i="16"/>
  <c r="X1032" i="16"/>
  <c r="U1032" i="16"/>
  <c r="R1032" i="16"/>
  <c r="AD611" i="16"/>
  <c r="AA611" i="16"/>
  <c r="X611" i="16"/>
  <c r="U611" i="16"/>
  <c r="R611" i="16"/>
  <c r="AD1261" i="16"/>
  <c r="AA1261" i="16"/>
  <c r="X1261" i="16"/>
  <c r="U1261" i="16"/>
  <c r="R1261" i="16"/>
  <c r="AD587" i="16"/>
  <c r="AA587" i="16"/>
  <c r="X587" i="16"/>
  <c r="U587" i="16"/>
  <c r="R587" i="16"/>
  <c r="AD1082" i="16"/>
  <c r="AA1082" i="16"/>
  <c r="U1082" i="16"/>
  <c r="X1082" i="16"/>
  <c r="R1082" i="16"/>
  <c r="AD1292" i="16"/>
  <c r="AA1292" i="16"/>
  <c r="U1292" i="16"/>
  <c r="X1292" i="16"/>
  <c r="R1292" i="16"/>
  <c r="AD1481" i="16"/>
  <c r="AA1481" i="16"/>
  <c r="X1481" i="16"/>
  <c r="U1481" i="16"/>
  <c r="R1481" i="16"/>
  <c r="AD1701" i="16"/>
  <c r="AA1701" i="16"/>
  <c r="X1701" i="16"/>
  <c r="U1701" i="16"/>
  <c r="R1701" i="16"/>
  <c r="AD1319" i="16"/>
  <c r="AA1319" i="16"/>
  <c r="X1319" i="16"/>
  <c r="U1319" i="16"/>
  <c r="R1319" i="16"/>
  <c r="AD1275" i="16"/>
  <c r="AA1275" i="16"/>
  <c r="X1275" i="16"/>
  <c r="U1275" i="16"/>
  <c r="R1275" i="16"/>
  <c r="AD1846" i="16"/>
  <c r="AA1846" i="16"/>
  <c r="X1846" i="16"/>
  <c r="U1846" i="16"/>
  <c r="R1846" i="16"/>
  <c r="AD1479" i="16"/>
  <c r="AA1479" i="16"/>
  <c r="X1479" i="16"/>
  <c r="U1479" i="16"/>
  <c r="AD1253" i="16"/>
  <c r="AA1253" i="16"/>
  <c r="X1253" i="16"/>
  <c r="U1253" i="16"/>
  <c r="AD161" i="16"/>
  <c r="AA161" i="16"/>
  <c r="X161" i="16"/>
  <c r="U161" i="16"/>
  <c r="AD1251" i="16"/>
  <c r="AA1251" i="16"/>
  <c r="X1251" i="16"/>
  <c r="U1251" i="16"/>
  <c r="AD1365" i="16"/>
  <c r="AA1365" i="16"/>
  <c r="X1365" i="16"/>
  <c r="U1365" i="16"/>
  <c r="AD549" i="16"/>
  <c r="AA549" i="16"/>
  <c r="X549" i="16"/>
  <c r="U549" i="16"/>
  <c r="AD1276" i="16"/>
  <c r="AA1276" i="16"/>
  <c r="X1276" i="16"/>
  <c r="U1276" i="16"/>
  <c r="F1568" i="16"/>
  <c r="G1568" i="16" s="1"/>
  <c r="AD767" i="16"/>
  <c r="AA767" i="16"/>
  <c r="X767" i="16"/>
  <c r="U767" i="16"/>
  <c r="R767" i="16"/>
  <c r="AD1901" i="16"/>
  <c r="AA1901" i="16"/>
  <c r="U1901" i="16"/>
  <c r="X1901" i="16"/>
  <c r="R1901" i="16"/>
  <c r="AD62" i="16"/>
  <c r="AA62" i="16"/>
  <c r="X62" i="16"/>
  <c r="U62" i="16"/>
  <c r="R62" i="16"/>
  <c r="AD656" i="16"/>
  <c r="AA656" i="16"/>
  <c r="X656" i="16"/>
  <c r="U656" i="16"/>
  <c r="R656" i="16"/>
  <c r="AD1346" i="16"/>
  <c r="AA1346" i="16"/>
  <c r="X1346" i="16"/>
  <c r="U1346" i="16"/>
  <c r="R1346" i="16"/>
  <c r="AD804" i="16"/>
  <c r="AA804" i="16"/>
  <c r="X804" i="16"/>
  <c r="U804" i="16"/>
  <c r="R804" i="16"/>
  <c r="AD766" i="16"/>
  <c r="AA766" i="16"/>
  <c r="X766" i="16"/>
  <c r="U766" i="16"/>
  <c r="R766" i="16"/>
  <c r="AD329" i="16"/>
  <c r="AA329" i="16"/>
  <c r="U329" i="16"/>
  <c r="X329" i="16"/>
  <c r="R329" i="16"/>
  <c r="AD1068" i="16"/>
  <c r="AA1068" i="16"/>
  <c r="X1068" i="16"/>
  <c r="U1068" i="16"/>
  <c r="R1068" i="16"/>
  <c r="AD1393" i="16"/>
  <c r="AA1393" i="16"/>
  <c r="U1393" i="16"/>
  <c r="R1393" i="16"/>
  <c r="X1393" i="16"/>
  <c r="AD1325" i="16"/>
  <c r="AA1325" i="16"/>
  <c r="X1325" i="16"/>
  <c r="U1325" i="16"/>
  <c r="R1325" i="16"/>
  <c r="F2068" i="16"/>
  <c r="G2068" i="16" s="1"/>
  <c r="AD1596" i="16"/>
  <c r="AA1596" i="16"/>
  <c r="X1596" i="16"/>
  <c r="U1596" i="16"/>
  <c r="R1596" i="16"/>
  <c r="AD2112" i="16"/>
  <c r="AA2112" i="16"/>
  <c r="X2112" i="16"/>
  <c r="U2112" i="16"/>
  <c r="R2112" i="16"/>
  <c r="AD1083" i="16"/>
  <c r="AA1083" i="16"/>
  <c r="X1083" i="16"/>
  <c r="U1083" i="16"/>
  <c r="R1083" i="16"/>
  <c r="AD891" i="16"/>
  <c r="AA891" i="16"/>
  <c r="X891" i="16"/>
  <c r="U891" i="16"/>
  <c r="R891" i="16"/>
  <c r="AD727" i="16"/>
  <c r="AA727" i="16"/>
  <c r="X727" i="16"/>
  <c r="U727" i="16"/>
  <c r="R727" i="16"/>
  <c r="AD258" i="16"/>
  <c r="AA258" i="16"/>
  <c r="X258" i="16"/>
  <c r="U258" i="16"/>
  <c r="F258" i="16"/>
  <c r="G258" i="16" s="1"/>
  <c r="R258" i="16"/>
  <c r="AD370" i="16"/>
  <c r="AA370" i="16"/>
  <c r="X370" i="16"/>
  <c r="U370" i="16"/>
  <c r="R370" i="16"/>
  <c r="AD1711" i="16"/>
  <c r="AA1711" i="16"/>
  <c r="X1711" i="16"/>
  <c r="U1711" i="16"/>
  <c r="R1711" i="16"/>
  <c r="AD660" i="16"/>
  <c r="AA660" i="16"/>
  <c r="X660" i="16"/>
  <c r="U660" i="16"/>
  <c r="R660" i="16"/>
  <c r="AD1915" i="16"/>
  <c r="AA1915" i="16"/>
  <c r="X1915" i="16"/>
  <c r="U1915" i="16"/>
  <c r="R1915" i="16"/>
  <c r="AD259" i="16"/>
  <c r="AA259" i="16"/>
  <c r="X259" i="16"/>
  <c r="U259" i="16"/>
  <c r="R259" i="16"/>
  <c r="AD375" i="16"/>
  <c r="AA375" i="16"/>
  <c r="X375" i="16"/>
  <c r="U375" i="16"/>
  <c r="F375" i="16"/>
  <c r="G375" i="16" s="1"/>
  <c r="R375" i="16"/>
  <c r="AD1227" i="16"/>
  <c r="AA1227" i="16"/>
  <c r="X1227" i="16"/>
  <c r="U1227" i="16"/>
  <c r="R1227" i="16"/>
  <c r="AD963" i="16"/>
  <c r="AA963" i="16"/>
  <c r="X963" i="16"/>
  <c r="U963" i="16"/>
  <c r="R963" i="16"/>
  <c r="AD1535" i="16"/>
  <c r="AA1535" i="16"/>
  <c r="X1535" i="16"/>
  <c r="U1535" i="16"/>
  <c r="F1535" i="16"/>
  <c r="G1535" i="16" s="1"/>
  <c r="R1535" i="16"/>
  <c r="AD324" i="16"/>
  <c r="AA324" i="16"/>
  <c r="X324" i="16"/>
  <c r="U324" i="16"/>
  <c r="R324" i="16"/>
  <c r="AD321" i="16"/>
  <c r="AA321" i="16"/>
  <c r="X321" i="16"/>
  <c r="U321" i="16"/>
  <c r="R321" i="16"/>
  <c r="AD1066" i="16"/>
  <c r="AA1066" i="16"/>
  <c r="X1066" i="16"/>
  <c r="U1066" i="16"/>
  <c r="F1066" i="16"/>
  <c r="G1066" i="16" s="1"/>
  <c r="R1066" i="16"/>
  <c r="AD1075" i="16"/>
  <c r="AA1075" i="16"/>
  <c r="X1075" i="16"/>
  <c r="U1075" i="16"/>
  <c r="R1075" i="16"/>
  <c r="AD1856" i="16"/>
  <c r="AA1856" i="16"/>
  <c r="X1856" i="16"/>
  <c r="U1856" i="16"/>
  <c r="F1856" i="16"/>
  <c r="G1856" i="16" s="1"/>
  <c r="R1856" i="16"/>
  <c r="AD982" i="16"/>
  <c r="AA982" i="16"/>
  <c r="X982" i="16"/>
  <c r="U982" i="16"/>
  <c r="F982" i="16"/>
  <c r="G982" i="16" s="1"/>
  <c r="R982" i="16"/>
  <c r="AD1318" i="16"/>
  <c r="AA1318" i="16"/>
  <c r="X1318" i="16"/>
  <c r="U1318" i="16"/>
  <c r="R1318" i="16"/>
  <c r="AD269" i="16"/>
  <c r="AA269" i="16"/>
  <c r="X269" i="16"/>
  <c r="U269" i="16"/>
  <c r="R269" i="16"/>
  <c r="AD839" i="16"/>
  <c r="AA839" i="16"/>
  <c r="X839" i="16"/>
  <c r="U839" i="16"/>
  <c r="R839" i="16"/>
  <c r="F839" i="16"/>
  <c r="G839" i="16" s="1"/>
  <c r="AD761" i="16"/>
  <c r="AA761" i="16"/>
  <c r="X761" i="16"/>
  <c r="U761" i="16"/>
  <c r="AD1560" i="16"/>
  <c r="AA1560" i="16"/>
  <c r="X1560" i="16"/>
  <c r="U1560" i="16"/>
  <c r="F1560" i="16"/>
  <c r="G1560" i="16" s="1"/>
  <c r="R1560" i="16"/>
  <c r="AD77" i="16"/>
  <c r="AA77" i="16"/>
  <c r="X77" i="16"/>
  <c r="U77" i="16"/>
  <c r="R77" i="16"/>
  <c r="F77" i="16"/>
  <c r="G77" i="16" s="1"/>
  <c r="AD1315" i="16"/>
  <c r="AA1315" i="16"/>
  <c r="X1315" i="16"/>
  <c r="U1315" i="16"/>
  <c r="R1315" i="16"/>
  <c r="AD267" i="16"/>
  <c r="AA267" i="16"/>
  <c r="X267" i="16"/>
  <c r="U267" i="16"/>
  <c r="F267" i="16"/>
  <c r="G267" i="16" s="1"/>
  <c r="R267" i="16"/>
  <c r="AD347" i="16"/>
  <c r="AA347" i="16"/>
  <c r="X347" i="16"/>
  <c r="U347" i="16"/>
  <c r="F347" i="16"/>
  <c r="G347" i="16" s="1"/>
  <c r="R347" i="16"/>
  <c r="AD512" i="16"/>
  <c r="AA512" i="16"/>
  <c r="X512" i="16"/>
  <c r="U512" i="16"/>
  <c r="R512" i="16"/>
  <c r="AD1081" i="16"/>
  <c r="AA1081" i="16"/>
  <c r="X1081" i="16"/>
  <c r="U1081" i="16"/>
  <c r="R1081" i="16"/>
  <c r="F1081" i="16"/>
  <c r="G1081" i="16" s="1"/>
  <c r="R1365" i="16"/>
  <c r="R1519" i="16"/>
  <c r="R1876" i="16"/>
  <c r="U556" i="16"/>
  <c r="AD1486" i="16"/>
  <c r="AA1486" i="16"/>
  <c r="X1486" i="16"/>
  <c r="U1486" i="16"/>
  <c r="R1486" i="16"/>
  <c r="AD1167" i="16"/>
  <c r="AA1167" i="16"/>
  <c r="X1167" i="16"/>
  <c r="U1167" i="16"/>
  <c r="AD284" i="16"/>
  <c r="X284" i="16"/>
  <c r="U284" i="16"/>
  <c r="AA284" i="16"/>
  <c r="AD720" i="16"/>
  <c r="AA720" i="16"/>
  <c r="U720" i="16"/>
  <c r="X720" i="16"/>
  <c r="AD1581" i="16"/>
  <c r="AA1581" i="16"/>
  <c r="U1581" i="16"/>
  <c r="X1581" i="16"/>
  <c r="AD970" i="16"/>
  <c r="AA970" i="16"/>
  <c r="U970" i="16"/>
  <c r="X970" i="16"/>
  <c r="AD1416" i="16"/>
  <c r="X1416" i="16"/>
  <c r="U1416" i="16"/>
  <c r="AA1416" i="16"/>
  <c r="AD936" i="16"/>
  <c r="X936" i="16"/>
  <c r="U936" i="16"/>
  <c r="AA936" i="16"/>
  <c r="AA460" i="16"/>
  <c r="AD460" i="16"/>
  <c r="X460" i="16"/>
  <c r="U460" i="16"/>
  <c r="R460" i="16"/>
  <c r="AA2140" i="16"/>
  <c r="X2140" i="16"/>
  <c r="AD2140" i="16"/>
  <c r="U2140" i="16"/>
  <c r="R2140" i="16"/>
  <c r="AA427" i="16"/>
  <c r="AD427" i="16"/>
  <c r="X427" i="16"/>
  <c r="U427" i="16"/>
  <c r="R427" i="16"/>
  <c r="AA1279" i="16"/>
  <c r="AD1279" i="16"/>
  <c r="X1279" i="16"/>
  <c r="U1279" i="16"/>
  <c r="R1279" i="16"/>
  <c r="AD441" i="16"/>
  <c r="AA441" i="16"/>
  <c r="X441" i="16"/>
  <c r="U441" i="16"/>
  <c r="R441" i="16"/>
  <c r="AD1291" i="16"/>
  <c r="AA1291" i="16"/>
  <c r="X1291" i="16"/>
  <c r="U1291" i="16"/>
  <c r="R1291" i="16"/>
  <c r="AD1394" i="16"/>
  <c r="AA1394" i="16"/>
  <c r="X1394" i="16"/>
  <c r="R1394" i="16"/>
  <c r="U1394" i="16"/>
  <c r="AD162" i="16"/>
  <c r="AA162" i="16"/>
  <c r="U162" i="16"/>
  <c r="R162" i="16"/>
  <c r="X162" i="16"/>
  <c r="F1946" i="16"/>
  <c r="G1946" i="16" s="1"/>
  <c r="AD1946" i="16"/>
  <c r="AA1946" i="16"/>
  <c r="X1946" i="16"/>
  <c r="U1946" i="16"/>
  <c r="R1946" i="16"/>
  <c r="AD863" i="16"/>
  <c r="AA863" i="16"/>
  <c r="X863" i="16"/>
  <c r="U863" i="16"/>
  <c r="R863" i="16"/>
  <c r="F588" i="16"/>
  <c r="G588" i="16" s="1"/>
  <c r="AD588" i="16"/>
  <c r="AA588" i="16"/>
  <c r="X588" i="16"/>
  <c r="U588" i="16"/>
  <c r="AD1647" i="16"/>
  <c r="AA1647" i="16"/>
  <c r="X1647" i="16"/>
  <c r="U1647" i="16"/>
  <c r="AD1520" i="16"/>
  <c r="AA1520" i="16"/>
  <c r="X1520" i="16"/>
  <c r="U1520" i="16"/>
  <c r="F1475" i="16"/>
  <c r="G1475" i="16" s="1"/>
  <c r="AD1475" i="16"/>
  <c r="AA1475" i="16"/>
  <c r="X1475" i="16"/>
  <c r="U1475" i="16"/>
  <c r="AA1293" i="16"/>
  <c r="AD1293" i="16"/>
  <c r="X1293" i="16"/>
  <c r="U1293" i="16"/>
  <c r="F942" i="16"/>
  <c r="G942" i="16" s="1"/>
  <c r="F1552" i="16"/>
  <c r="G1552" i="16" s="1"/>
  <c r="AD1552" i="16"/>
  <c r="AA1552" i="16"/>
  <c r="X1552" i="16"/>
  <c r="U1552" i="16"/>
  <c r="R1552" i="16"/>
  <c r="AD452" i="16"/>
  <c r="AA452" i="16"/>
  <c r="X452" i="16"/>
  <c r="U452" i="16"/>
  <c r="R452" i="16"/>
  <c r="AD2004" i="16"/>
  <c r="AA2004" i="16"/>
  <c r="X2004" i="16"/>
  <c r="U2004" i="16"/>
  <c r="R2004" i="16"/>
  <c r="AD1401" i="16"/>
  <c r="AA1401" i="16"/>
  <c r="X1401" i="16"/>
  <c r="U1401" i="16"/>
  <c r="R1401" i="16"/>
  <c r="F748" i="16"/>
  <c r="G748" i="16" s="1"/>
  <c r="AD748" i="16"/>
  <c r="AA748" i="16"/>
  <c r="X748" i="16"/>
  <c r="U748" i="16"/>
  <c r="R748" i="16"/>
  <c r="AD1445" i="16"/>
  <c r="AA1445" i="16"/>
  <c r="X1445" i="16"/>
  <c r="U1445" i="16"/>
  <c r="R1445" i="16"/>
  <c r="AD1115" i="16"/>
  <c r="AA1115" i="16"/>
  <c r="X1115" i="16"/>
  <c r="U1115" i="16"/>
  <c r="R1115" i="16"/>
  <c r="AD523" i="16"/>
  <c r="AA523" i="16"/>
  <c r="X523" i="16"/>
  <c r="U523" i="16"/>
  <c r="R523" i="16"/>
  <c r="AD1392" i="16"/>
  <c r="AA1392" i="16"/>
  <c r="X1392" i="16"/>
  <c r="U1392" i="16"/>
  <c r="R1392" i="16"/>
  <c r="AD1125" i="16"/>
  <c r="AA1125" i="16"/>
  <c r="X1125" i="16"/>
  <c r="U1125" i="16"/>
  <c r="R1125" i="16"/>
  <c r="AD655" i="16"/>
  <c r="AA655" i="16"/>
  <c r="X655" i="16"/>
  <c r="U655" i="16"/>
  <c r="R655" i="16"/>
  <c r="AD876" i="16"/>
  <c r="AA876" i="16"/>
  <c r="X876" i="16"/>
  <c r="U876" i="16"/>
  <c r="R876" i="16"/>
  <c r="AD1262" i="16"/>
  <c r="AA1262" i="16"/>
  <c r="U1262" i="16"/>
  <c r="X1262" i="16"/>
  <c r="R1262" i="16"/>
  <c r="AD713" i="16"/>
  <c r="AA713" i="16"/>
  <c r="U713" i="16"/>
  <c r="X713" i="16"/>
  <c r="R713" i="16"/>
  <c r="AD527" i="16"/>
  <c r="AA527" i="16"/>
  <c r="X527" i="16"/>
  <c r="U527" i="16"/>
  <c r="R527" i="16"/>
  <c r="AD1236" i="16"/>
  <c r="AA1236" i="16"/>
  <c r="X1236" i="16"/>
  <c r="U1236" i="16"/>
  <c r="R1236" i="16"/>
  <c r="F944" i="16"/>
  <c r="G944" i="16" s="1"/>
  <c r="AD118" i="16"/>
  <c r="AA118" i="16"/>
  <c r="U118" i="16"/>
  <c r="X118" i="16"/>
  <c r="AD357" i="16"/>
  <c r="AA357" i="16"/>
  <c r="U357" i="16"/>
  <c r="X357" i="16"/>
  <c r="F454" i="16"/>
  <c r="G454" i="16" s="1"/>
  <c r="AD454" i="16"/>
  <c r="AA454" i="16"/>
  <c r="U454" i="16"/>
  <c r="X454" i="16"/>
  <c r="AD1484" i="16"/>
  <c r="AA1484" i="16"/>
  <c r="U1484" i="16"/>
  <c r="X1484" i="16"/>
  <c r="AD664" i="16"/>
  <c r="AA664" i="16"/>
  <c r="X664" i="16"/>
  <c r="U664" i="16"/>
  <c r="AD1615" i="16"/>
  <c r="AA1615" i="16"/>
  <c r="X1615" i="16"/>
  <c r="U1615" i="16"/>
  <c r="AD1937" i="16"/>
  <c r="AA1937" i="16"/>
  <c r="X1937" i="16"/>
  <c r="U1937" i="16"/>
  <c r="R1937" i="16"/>
  <c r="AD221" i="16"/>
  <c r="AA221" i="16"/>
  <c r="X221" i="16"/>
  <c r="U221" i="16"/>
  <c r="R221" i="16"/>
  <c r="AD1450" i="16"/>
  <c r="AA1450" i="16"/>
  <c r="X1450" i="16"/>
  <c r="U1450" i="16"/>
  <c r="R1450" i="16"/>
  <c r="AD745" i="16"/>
  <c r="AA745" i="16"/>
  <c r="X745" i="16"/>
  <c r="U745" i="16"/>
  <c r="R745" i="16"/>
  <c r="AD1202" i="16"/>
  <c r="AA1202" i="16"/>
  <c r="X1202" i="16"/>
  <c r="U1202" i="16"/>
  <c r="R1202" i="16"/>
  <c r="AD2135" i="16"/>
  <c r="AA2135" i="16"/>
  <c r="X2135" i="16"/>
  <c r="U2135" i="16"/>
  <c r="R2135" i="16"/>
  <c r="AD2168" i="16"/>
  <c r="AA2168" i="16"/>
  <c r="X2168" i="16"/>
  <c r="U2168" i="16"/>
  <c r="R2168" i="16"/>
  <c r="AD894" i="16"/>
  <c r="AA894" i="16"/>
  <c r="X894" i="16"/>
  <c r="U894" i="16"/>
  <c r="R894" i="16"/>
  <c r="AD1226" i="16"/>
  <c r="AA1226" i="16"/>
  <c r="X1226" i="16"/>
  <c r="U1226" i="16"/>
  <c r="R1226" i="16"/>
  <c r="AD605" i="16"/>
  <c r="AA605" i="16"/>
  <c r="X605" i="16"/>
  <c r="U605" i="16"/>
  <c r="R605" i="16"/>
  <c r="AD1009" i="16"/>
  <c r="AA1009" i="16"/>
  <c r="X1009" i="16"/>
  <c r="U1009" i="16"/>
  <c r="R1009" i="16"/>
  <c r="AA2164" i="16"/>
  <c r="AD2164" i="16"/>
  <c r="X2164" i="16"/>
  <c r="U2164" i="16"/>
  <c r="R2164" i="16"/>
  <c r="AA1555" i="16"/>
  <c r="AD1555" i="16"/>
  <c r="X1555" i="16"/>
  <c r="U1555" i="16"/>
  <c r="AA1931" i="16"/>
  <c r="AD1931" i="16"/>
  <c r="X1931" i="16"/>
  <c r="U1931" i="16"/>
  <c r="R1931" i="16"/>
  <c r="AA1646" i="16"/>
  <c r="X1646" i="16"/>
  <c r="AD1646" i="16"/>
  <c r="U1646" i="16"/>
  <c r="R1646" i="16"/>
  <c r="AA634" i="16"/>
  <c r="AD634" i="16"/>
  <c r="X634" i="16"/>
  <c r="U634" i="16"/>
  <c r="R634" i="16"/>
  <c r="AD360" i="16"/>
  <c r="AA360" i="16"/>
  <c r="X360" i="16"/>
  <c r="U360" i="16"/>
  <c r="AD93" i="16"/>
  <c r="AA93" i="16"/>
  <c r="U93" i="16"/>
  <c r="X93" i="16"/>
  <c r="AD1368" i="16"/>
  <c r="AA1368" i="16"/>
  <c r="U1368" i="16"/>
  <c r="X1368" i="16"/>
  <c r="AD265" i="16"/>
  <c r="AA265" i="16"/>
  <c r="X265" i="16"/>
  <c r="U265" i="16"/>
  <c r="AD1708" i="16"/>
  <c r="AA1708" i="16"/>
  <c r="U1708" i="16"/>
  <c r="X1708" i="16"/>
  <c r="AD286" i="16"/>
  <c r="AA286" i="16"/>
  <c r="U286" i="16"/>
  <c r="X286" i="16"/>
  <c r="F357" i="16"/>
  <c r="G357" i="16" s="1"/>
  <c r="F487" i="16"/>
  <c r="G487" i="16" s="1"/>
  <c r="AD962" i="16"/>
  <c r="AA962" i="16"/>
  <c r="X962" i="16"/>
  <c r="U962" i="16"/>
  <c r="AD1783" i="16"/>
  <c r="AA1783" i="16"/>
  <c r="X1783" i="16"/>
  <c r="U1783" i="16"/>
  <c r="AD2101" i="16"/>
  <c r="AA2101" i="16"/>
  <c r="X2101" i="16"/>
  <c r="U2101" i="16"/>
  <c r="AD1411" i="16"/>
  <c r="AA1411" i="16"/>
  <c r="X1411" i="16"/>
  <c r="U1411" i="16"/>
  <c r="AD1141" i="16"/>
  <c r="AA1141" i="16"/>
  <c r="X1141" i="16"/>
  <c r="U1141" i="16"/>
  <c r="AD475" i="16"/>
  <c r="X475" i="16"/>
  <c r="AA475" i="16"/>
  <c r="U475" i="16"/>
  <c r="AD1296" i="16"/>
  <c r="AA1296" i="16"/>
  <c r="X1296" i="16"/>
  <c r="U1296" i="16"/>
  <c r="AD1680" i="16"/>
  <c r="AA1680" i="16"/>
  <c r="X1680" i="16"/>
  <c r="U1680" i="16"/>
  <c r="AD1352" i="16"/>
  <c r="AA1352" i="16"/>
  <c r="X1352" i="16"/>
  <c r="U1352" i="16"/>
  <c r="AD1707" i="16"/>
  <c r="AA1707" i="16"/>
  <c r="X1707" i="16"/>
  <c r="U1707" i="16"/>
  <c r="AD310" i="16"/>
  <c r="AA310" i="16"/>
  <c r="X310" i="16"/>
  <c r="U310" i="16"/>
  <c r="R310" i="16"/>
  <c r="F1439" i="16"/>
  <c r="G1439" i="16" s="1"/>
  <c r="R1446" i="16"/>
  <c r="R265" i="16"/>
  <c r="R163" i="16"/>
  <c r="R1783" i="16"/>
  <c r="R94" i="16"/>
  <c r="R335" i="16"/>
  <c r="R1707" i="16"/>
  <c r="R358" i="16"/>
  <c r="R2124" i="16"/>
  <c r="AD1485" i="16"/>
  <c r="AA1485" i="16"/>
  <c r="X1485" i="16"/>
  <c r="U1485" i="16"/>
  <c r="AD579" i="16"/>
  <c r="X579" i="16"/>
  <c r="AA579" i="16"/>
  <c r="U579" i="16"/>
  <c r="AD675" i="16"/>
  <c r="AA675" i="16"/>
  <c r="X675" i="16"/>
  <c r="U675" i="16"/>
  <c r="AD494" i="16"/>
  <c r="X494" i="16"/>
  <c r="AA494" i="16"/>
  <c r="U494" i="16"/>
  <c r="AA680" i="16"/>
  <c r="X680" i="16"/>
  <c r="AD680" i="16"/>
  <c r="U680" i="16"/>
  <c r="AD309" i="16"/>
  <c r="X309" i="16"/>
  <c r="AA309" i="16"/>
  <c r="U309" i="16"/>
  <c r="AA271" i="16"/>
  <c r="X271" i="16"/>
  <c r="AD271" i="16"/>
  <c r="U271" i="16"/>
  <c r="AD1569" i="16"/>
  <c r="X1569" i="16"/>
  <c r="AA1569" i="16"/>
  <c r="U1569" i="16"/>
  <c r="AD2058" i="16"/>
  <c r="AA2058" i="16"/>
  <c r="X2058" i="16"/>
  <c r="U2058" i="16"/>
  <c r="AD890" i="16"/>
  <c r="X890" i="16"/>
  <c r="AA890" i="16"/>
  <c r="U890" i="16"/>
  <c r="AD953" i="16"/>
  <c r="AA953" i="16"/>
  <c r="X953" i="16"/>
  <c r="U953" i="16"/>
  <c r="AD2186" i="16"/>
  <c r="X2186" i="16"/>
  <c r="AA2186" i="16"/>
  <c r="U2186" i="16"/>
  <c r="AD1179" i="16"/>
  <c r="X1179" i="16"/>
  <c r="AA1179" i="16"/>
  <c r="U1179" i="16"/>
  <c r="AD716" i="16"/>
  <c r="X716" i="16"/>
  <c r="U716" i="16"/>
  <c r="AA716" i="16"/>
  <c r="X532" i="16"/>
  <c r="AA532" i="16"/>
  <c r="AD532" i="16"/>
  <c r="U532" i="16"/>
  <c r="AD299" i="16"/>
  <c r="X299" i="16"/>
  <c r="AA299" i="16"/>
  <c r="U299" i="16"/>
  <c r="AD92" i="16"/>
  <c r="X92" i="16"/>
  <c r="AA92" i="16"/>
  <c r="U92" i="16"/>
  <c r="AD1243" i="16"/>
  <c r="X1243" i="16"/>
  <c r="AA1243" i="16"/>
  <c r="U1243" i="16"/>
  <c r="AD257" i="16"/>
  <c r="AA257" i="16"/>
  <c r="X257" i="16"/>
  <c r="U257" i="16"/>
  <c r="AD295" i="16"/>
  <c r="X295" i="16"/>
  <c r="AA295" i="16"/>
  <c r="U295" i="16"/>
  <c r="X1534" i="16"/>
  <c r="AD1534" i="16"/>
  <c r="AA1534" i="16"/>
  <c r="U1534" i="16"/>
  <c r="AD477" i="16"/>
  <c r="X477" i="16"/>
  <c r="AA477" i="16"/>
  <c r="U477" i="16"/>
  <c r="X398" i="16"/>
  <c r="AD398" i="16"/>
  <c r="AA398" i="16"/>
  <c r="U398" i="16"/>
  <c r="R299" i="16"/>
  <c r="U1523" i="16"/>
  <c r="R1235" i="16"/>
  <c r="R477" i="16"/>
  <c r="U387" i="16"/>
  <c r="F579" i="16"/>
  <c r="G579" i="16" s="1"/>
  <c r="F2079" i="16"/>
  <c r="G2079" i="16" s="1"/>
  <c r="F1569" i="16"/>
  <c r="G1569" i="16" s="1"/>
  <c r="F779" i="16"/>
  <c r="G779" i="16" s="1"/>
  <c r="F1341" i="16"/>
  <c r="G1341" i="16" s="1"/>
  <c r="F762" i="16"/>
  <c r="G762" i="16" s="1"/>
  <c r="AD1263" i="16"/>
  <c r="AA1263" i="16"/>
  <c r="X1263" i="16"/>
  <c r="U1263" i="16"/>
  <c r="AD17" i="16"/>
  <c r="X17" i="16"/>
  <c r="AA17" i="16"/>
  <c r="U17" i="16"/>
  <c r="AD2022" i="16"/>
  <c r="AA2022" i="16"/>
  <c r="U2022" i="16"/>
  <c r="X2022" i="16"/>
  <c r="AD2183" i="16"/>
  <c r="AA2183" i="16"/>
  <c r="U2183" i="16"/>
  <c r="X2183" i="16"/>
  <c r="AD1302" i="16"/>
  <c r="AA1302" i="16"/>
  <c r="U1302" i="16"/>
  <c r="X1302" i="16"/>
  <c r="AD266" i="16"/>
  <c r="X266" i="16"/>
  <c r="U266" i="16"/>
  <c r="AA266" i="16"/>
  <c r="AD2182" i="16"/>
  <c r="AA2182" i="16"/>
  <c r="U2182" i="16"/>
  <c r="AD1345" i="16"/>
  <c r="U1345" i="16"/>
  <c r="X1345" i="16"/>
  <c r="AA1345" i="16"/>
  <c r="AD1258" i="16"/>
  <c r="AA1258" i="16"/>
  <c r="U1258" i="16"/>
  <c r="X1258" i="16"/>
  <c r="AD1435" i="16"/>
  <c r="X1435" i="16"/>
  <c r="U1435" i="16"/>
  <c r="AA1435" i="16"/>
  <c r="AD1135" i="16"/>
  <c r="AA1135" i="16"/>
  <c r="U1135" i="16"/>
  <c r="X1135" i="16"/>
  <c r="AD112" i="16"/>
  <c r="AA112" i="16"/>
  <c r="U112" i="16"/>
  <c r="X112" i="16"/>
  <c r="AD2005" i="16"/>
  <c r="AA2005" i="16"/>
  <c r="U2005" i="16"/>
  <c r="X2005" i="16"/>
  <c r="AD1740" i="16"/>
  <c r="X1740" i="16"/>
  <c r="U1740" i="16"/>
  <c r="AA1740" i="16"/>
  <c r="AD2188" i="16"/>
  <c r="AA2188" i="16"/>
  <c r="U2188" i="16"/>
  <c r="X2188" i="16"/>
  <c r="AD2064" i="16"/>
  <c r="U2064" i="16"/>
  <c r="X2064" i="16"/>
  <c r="AA2064" i="16"/>
  <c r="AD1367" i="16"/>
  <c r="AA1367" i="16"/>
  <c r="U1367" i="16"/>
  <c r="X1367" i="16"/>
  <c r="AD332" i="16"/>
  <c r="X332" i="16"/>
  <c r="U332" i="16"/>
  <c r="AA332" i="16"/>
  <c r="AD1627" i="16"/>
  <c r="AA1627" i="16"/>
  <c r="U1627" i="16"/>
  <c r="X1627" i="16"/>
  <c r="AD400" i="16"/>
  <c r="AA400" i="16"/>
  <c r="U400" i="16"/>
  <c r="X400" i="16"/>
  <c r="AD235" i="16"/>
  <c r="AA235" i="16"/>
  <c r="U235" i="16"/>
  <c r="X235" i="16"/>
  <c r="AD1575" i="16"/>
  <c r="AA1575" i="16"/>
  <c r="X1575" i="16"/>
  <c r="U1575" i="16"/>
  <c r="AD501" i="16"/>
  <c r="AA501" i="16"/>
  <c r="U501" i="16"/>
  <c r="X501" i="16"/>
  <c r="AD2107" i="16"/>
  <c r="AA2107" i="16"/>
  <c r="U2107" i="16"/>
  <c r="X2107" i="16"/>
  <c r="R2107" i="16"/>
  <c r="AD1347" i="16"/>
  <c r="AA1347" i="16"/>
  <c r="U1347" i="16"/>
  <c r="X1347" i="16"/>
  <c r="R1347" i="16"/>
  <c r="AD1301" i="16"/>
  <c r="AA1301" i="16"/>
  <c r="X1301" i="16"/>
  <c r="U1301" i="16"/>
  <c r="R1301" i="16"/>
  <c r="AD478" i="16"/>
  <c r="AA478" i="16"/>
  <c r="U478" i="16"/>
  <c r="X478" i="16"/>
  <c r="R478" i="16"/>
  <c r="AD726" i="16"/>
  <c r="AA726" i="16"/>
  <c r="U726" i="16"/>
  <c r="X726" i="16"/>
  <c r="R726" i="16"/>
  <c r="AD808" i="16"/>
  <c r="AA808" i="16"/>
  <c r="U808" i="16"/>
  <c r="X808" i="16"/>
  <c r="R808" i="16"/>
  <c r="AD1863" i="16"/>
  <c r="AA1863" i="16"/>
  <c r="X1863" i="16"/>
  <c r="U1863" i="16"/>
  <c r="R1863" i="16"/>
  <c r="AD1982" i="16"/>
  <c r="AA1982" i="16"/>
  <c r="U1982" i="16"/>
  <c r="X1982" i="16"/>
  <c r="R1982" i="16"/>
  <c r="AD288" i="16"/>
  <c r="AA288" i="16"/>
  <c r="U288" i="16"/>
  <c r="X288" i="16"/>
  <c r="R288" i="16"/>
  <c r="R92" i="16"/>
  <c r="R1242" i="16"/>
  <c r="F680" i="16"/>
  <c r="G680" i="16" s="1"/>
  <c r="F716" i="16"/>
  <c r="G716" i="16" s="1"/>
  <c r="F92" i="16"/>
  <c r="G92" i="16" s="1"/>
  <c r="AD2155" i="16"/>
  <c r="AA2155" i="16"/>
  <c r="X2155" i="16"/>
  <c r="U2155" i="16"/>
  <c r="AD1316" i="16"/>
  <c r="AA1316" i="16"/>
  <c r="X1316" i="16"/>
  <c r="U1316" i="16"/>
  <c r="AD1538" i="16"/>
  <c r="AA1538" i="16"/>
  <c r="X1538" i="16"/>
  <c r="U1538" i="16"/>
  <c r="AD1305" i="16"/>
  <c r="AA1305" i="16"/>
  <c r="X1305" i="16"/>
  <c r="U1305" i="16"/>
  <c r="AD2057" i="16"/>
  <c r="AA2057" i="16"/>
  <c r="X2057" i="16"/>
  <c r="U2057" i="16"/>
  <c r="AD450" i="16"/>
  <c r="AA450" i="16"/>
  <c r="X450" i="16"/>
  <c r="U450" i="16"/>
  <c r="AD1231" i="16"/>
  <c r="AA1231" i="16"/>
  <c r="X1231" i="16"/>
  <c r="U1231" i="16"/>
  <c r="AD1723" i="16"/>
  <c r="AA1723" i="16"/>
  <c r="X1723" i="16"/>
  <c r="U1723" i="16"/>
  <c r="AD1897" i="16"/>
  <c r="AA1897" i="16"/>
  <c r="X1897" i="16"/>
  <c r="U1897" i="16"/>
  <c r="AD1271" i="16"/>
  <c r="AA1271" i="16"/>
  <c r="X1271" i="16"/>
  <c r="U1271" i="16"/>
  <c r="AD2006" i="16"/>
  <c r="AA2006" i="16"/>
  <c r="X2006" i="16"/>
  <c r="U2006" i="16"/>
  <c r="AD1149" i="16"/>
  <c r="AA1149" i="16"/>
  <c r="X1149" i="16"/>
  <c r="U1149" i="16"/>
  <c r="AD747" i="16"/>
  <c r="AA747" i="16"/>
  <c r="X747" i="16"/>
  <c r="U747" i="16"/>
  <c r="AD1295" i="16"/>
  <c r="AA1295" i="16"/>
  <c r="X1295" i="16"/>
  <c r="U1295" i="16"/>
  <c r="AD2015" i="16"/>
  <c r="AA2015" i="16"/>
  <c r="X2015" i="16"/>
  <c r="U2015" i="16"/>
  <c r="AD1366" i="16"/>
  <c r="AA1366" i="16"/>
  <c r="X1366" i="16"/>
  <c r="U1366" i="16"/>
  <c r="AD691" i="16"/>
  <c r="AA691" i="16"/>
  <c r="X691" i="16"/>
  <c r="U691" i="16"/>
  <c r="AD1981" i="16"/>
  <c r="AA1981" i="16"/>
  <c r="X1981" i="16"/>
  <c r="U1981" i="16"/>
  <c r="AD1001" i="16"/>
  <c r="AA1001" i="16"/>
  <c r="X1001" i="16"/>
  <c r="U1001" i="16"/>
  <c r="AD1861" i="16"/>
  <c r="AA1861" i="16"/>
  <c r="X1861" i="16"/>
  <c r="U1861" i="16"/>
  <c r="AD1300" i="16"/>
  <c r="AA1300" i="16"/>
  <c r="X1300" i="16"/>
  <c r="U1300" i="16"/>
  <c r="AD1303" i="16"/>
  <c r="AA1303" i="16"/>
  <c r="X1303" i="16"/>
  <c r="U1303" i="16"/>
  <c r="AD572" i="16"/>
  <c r="AA572" i="16"/>
  <c r="X572" i="16"/>
  <c r="U572" i="16"/>
  <c r="R572" i="16"/>
  <c r="AD495" i="16"/>
  <c r="AA495" i="16"/>
  <c r="X495" i="16"/>
  <c r="U495" i="16"/>
  <c r="R495" i="16"/>
  <c r="AD1447" i="16"/>
  <c r="AA1447" i="16"/>
  <c r="X1447" i="16"/>
  <c r="U1447" i="16"/>
  <c r="R1447" i="16"/>
  <c r="AD1180" i="16"/>
  <c r="AA1180" i="16"/>
  <c r="X1180" i="16"/>
  <c r="U1180" i="16"/>
  <c r="R1180" i="16"/>
  <c r="AD200" i="16"/>
  <c r="AA200" i="16"/>
  <c r="X200" i="16"/>
  <c r="U200" i="16"/>
  <c r="R200" i="16"/>
  <c r="AD279" i="16"/>
  <c r="AA279" i="16"/>
  <c r="X279" i="16"/>
  <c r="U279" i="16"/>
  <c r="R279" i="16"/>
  <c r="AD298" i="16"/>
  <c r="AA298" i="16"/>
  <c r="X298" i="16"/>
  <c r="U298" i="16"/>
  <c r="R298" i="16"/>
  <c r="AD1123" i="16"/>
  <c r="AA1123" i="16"/>
  <c r="X1123" i="16"/>
  <c r="U1123" i="16"/>
  <c r="R1123" i="16"/>
  <c r="AD1320" i="16"/>
  <c r="AA1320" i="16"/>
  <c r="X1320" i="16"/>
  <c r="U1320" i="16"/>
  <c r="R1320" i="16"/>
  <c r="R532" i="16"/>
  <c r="R295" i="16"/>
  <c r="R398" i="16"/>
  <c r="X2182" i="16"/>
  <c r="AD1542" i="16"/>
  <c r="AA1542" i="16"/>
  <c r="X1542" i="16"/>
  <c r="U1542" i="16"/>
  <c r="AD923" i="16"/>
  <c r="X923" i="16"/>
  <c r="AA923" i="16"/>
  <c r="U923" i="16"/>
  <c r="AA2115" i="16"/>
  <c r="X2115" i="16"/>
  <c r="AD2115" i="16"/>
  <c r="U2115" i="16"/>
  <c r="AD1523" i="16"/>
  <c r="X1523" i="16"/>
  <c r="AA1523" i="16"/>
  <c r="AA1105" i="16"/>
  <c r="X1105" i="16"/>
  <c r="AD1105" i="16"/>
  <c r="U1105" i="16"/>
  <c r="AD349" i="16"/>
  <c r="X349" i="16"/>
  <c r="AA349" i="16"/>
  <c r="AD1477" i="16"/>
  <c r="AA1477" i="16"/>
  <c r="X1477" i="16"/>
  <c r="U1477" i="16"/>
  <c r="AD1377" i="16"/>
  <c r="X1377" i="16"/>
  <c r="AA1377" i="16"/>
  <c r="U1377" i="16"/>
  <c r="AD1108" i="16"/>
  <c r="AA1108" i="16"/>
  <c r="X1108" i="16"/>
  <c r="U1108" i="16"/>
  <c r="AD996" i="16"/>
  <c r="X996" i="16"/>
  <c r="AA996" i="16"/>
  <c r="U996" i="16"/>
  <c r="AD236" i="16"/>
  <c r="AA236" i="16"/>
  <c r="X236" i="16"/>
  <c r="U236" i="16"/>
  <c r="AD387" i="16"/>
  <c r="X387" i="16"/>
  <c r="AA387" i="16"/>
  <c r="AA2079" i="16"/>
  <c r="X2079" i="16"/>
  <c r="AD2079" i="16"/>
  <c r="U2079" i="16"/>
  <c r="AD1228" i="16"/>
  <c r="X1228" i="16"/>
  <c r="U1228" i="16"/>
  <c r="AA1228" i="16"/>
  <c r="AD1107" i="16"/>
  <c r="AA1107" i="16"/>
  <c r="X1107" i="16"/>
  <c r="U1107" i="16"/>
  <c r="AD461" i="16"/>
  <c r="X461" i="16"/>
  <c r="AA461" i="16"/>
  <c r="U461" i="16"/>
  <c r="AD583" i="16"/>
  <c r="AA583" i="16"/>
  <c r="X583" i="16"/>
  <c r="U583" i="16"/>
  <c r="AD155" i="16"/>
  <c r="X155" i="16"/>
  <c r="AA155" i="16"/>
  <c r="U155" i="16"/>
  <c r="AA779" i="16"/>
  <c r="AD779" i="16"/>
  <c r="X779" i="16"/>
  <c r="U779" i="16"/>
  <c r="AD2103" i="16"/>
  <c r="X2103" i="16"/>
  <c r="AA2103" i="16"/>
  <c r="U2103" i="16"/>
  <c r="AD1317" i="16"/>
  <c r="X1317" i="16"/>
  <c r="AA1317" i="16"/>
  <c r="U1317" i="16"/>
  <c r="AD1341" i="16"/>
  <c r="AA1341" i="16"/>
  <c r="X1341" i="16"/>
  <c r="U1341" i="16"/>
  <c r="AD2187" i="16"/>
  <c r="X2187" i="16"/>
  <c r="U2187" i="16"/>
  <c r="AA2187" i="16"/>
  <c r="AD153" i="16"/>
  <c r="AA153" i="16"/>
  <c r="X153" i="16"/>
  <c r="U153" i="16"/>
  <c r="AD1235" i="16"/>
  <c r="X1235" i="16"/>
  <c r="U1235" i="16"/>
  <c r="AA1235" i="16"/>
  <c r="AD1487" i="16"/>
  <c r="X1487" i="16"/>
  <c r="AA1487" i="16"/>
  <c r="U1487" i="16"/>
  <c r="AA1986" i="16"/>
  <c r="X1986" i="16"/>
  <c r="AD1986" i="16"/>
  <c r="U1986" i="16"/>
  <c r="AD1242" i="16"/>
  <c r="X1242" i="16"/>
  <c r="AA1242" i="16"/>
  <c r="U1242" i="16"/>
  <c r="X1299" i="16"/>
  <c r="AD1299" i="16"/>
  <c r="AA1299" i="16"/>
  <c r="U1299" i="16"/>
  <c r="AD1494" i="16"/>
  <c r="AA1494" i="16"/>
  <c r="X1494" i="16"/>
  <c r="U1494" i="16"/>
  <c r="AD762" i="16"/>
  <c r="X762" i="16"/>
  <c r="AA762" i="16"/>
  <c r="U762" i="16"/>
  <c r="R1485" i="16"/>
  <c r="R579" i="16"/>
  <c r="R675" i="16"/>
  <c r="R494" i="16"/>
  <c r="R680" i="16"/>
  <c r="R309" i="16"/>
  <c r="R271" i="16"/>
  <c r="R1569" i="16"/>
  <c r="R2058" i="16"/>
  <c r="R890" i="16"/>
  <c r="R953" i="16"/>
  <c r="R2186" i="16"/>
  <c r="R1179" i="16"/>
  <c r="R716" i="16"/>
  <c r="R1243" i="16"/>
  <c r="R1299" i="16"/>
  <c r="F494" i="16"/>
  <c r="G494" i="16" s="1"/>
  <c r="F271" i="16"/>
  <c r="G271" i="16" s="1"/>
  <c r="F1179" i="16"/>
  <c r="G1179" i="16" s="1"/>
  <c r="F477" i="16"/>
  <c r="G477" i="16" s="1"/>
  <c r="F1739" i="16"/>
  <c r="G1739" i="16" s="1"/>
  <c r="AD1739" i="16"/>
  <c r="AA1739" i="16"/>
  <c r="X1739" i="16"/>
  <c r="U1739" i="16"/>
  <c r="F287" i="16"/>
  <c r="G287" i="16" s="1"/>
  <c r="AA287" i="16"/>
  <c r="X287" i="16"/>
  <c r="AD287" i="16"/>
  <c r="U287" i="16"/>
  <c r="AD1731" i="16"/>
  <c r="AA1731" i="16"/>
  <c r="X1731" i="16"/>
  <c r="U1731" i="16"/>
  <c r="F705" i="16"/>
  <c r="G705" i="16" s="1"/>
  <c r="AD705" i="16"/>
  <c r="AA705" i="16"/>
  <c r="X705" i="16"/>
  <c r="U705" i="16"/>
  <c r="F786" i="16"/>
  <c r="G786" i="16" s="1"/>
  <c r="AD786" i="16"/>
  <c r="AA786" i="16"/>
  <c r="X786" i="16"/>
  <c r="U786" i="16"/>
  <c r="F1934" i="16"/>
  <c r="G1934" i="16" s="1"/>
  <c r="AD1934" i="16"/>
  <c r="AA1934" i="16"/>
  <c r="X1934" i="16"/>
  <c r="U1934" i="16"/>
  <c r="F60" i="16"/>
  <c r="G60" i="16" s="1"/>
  <c r="AD60" i="16"/>
  <c r="AA60" i="16"/>
  <c r="X60" i="16"/>
  <c r="U60" i="16"/>
  <c r="F932" i="16"/>
  <c r="G932" i="16" s="1"/>
  <c r="AA932" i="16"/>
  <c r="X932" i="16"/>
  <c r="AD932" i="16"/>
  <c r="U932" i="16"/>
  <c r="F1338" i="16"/>
  <c r="G1338" i="16" s="1"/>
  <c r="AD1338" i="16"/>
  <c r="AA1338" i="16"/>
  <c r="X1338" i="16"/>
  <c r="U1338" i="16"/>
  <c r="F1850" i="16"/>
  <c r="G1850" i="16" s="1"/>
  <c r="AA1850" i="16"/>
  <c r="AD1850" i="16"/>
  <c r="X1850" i="16"/>
  <c r="U1850" i="16"/>
  <c r="AD1282" i="16"/>
  <c r="AA1282" i="16"/>
  <c r="X1282" i="16"/>
  <c r="U1282" i="16"/>
  <c r="F386" i="16"/>
  <c r="G386" i="16" s="1"/>
  <c r="AD386" i="16"/>
  <c r="AA386" i="16"/>
  <c r="X386" i="16"/>
  <c r="U386" i="16"/>
  <c r="F160" i="16"/>
  <c r="G160" i="16" s="1"/>
  <c r="AD160" i="16"/>
  <c r="AA160" i="16"/>
  <c r="X160" i="16"/>
  <c r="U160" i="16"/>
  <c r="F1605" i="16"/>
  <c r="G1605" i="16" s="1"/>
  <c r="AD1605" i="16"/>
  <c r="AA1605" i="16"/>
  <c r="X1605" i="16"/>
  <c r="U1605" i="16"/>
  <c r="F1577" i="16"/>
  <c r="G1577" i="16" s="1"/>
  <c r="AD1577" i="16"/>
  <c r="AA1577" i="16"/>
  <c r="X1577" i="16"/>
  <c r="U1577" i="16"/>
  <c r="F79" i="16"/>
  <c r="G79" i="16" s="1"/>
  <c r="AA79" i="16"/>
  <c r="X79" i="16"/>
  <c r="AD79" i="16"/>
  <c r="U79" i="16"/>
  <c r="F1474" i="16"/>
  <c r="G1474" i="16" s="1"/>
  <c r="AD1474" i="16"/>
  <c r="AA1474" i="16"/>
  <c r="X1474" i="16"/>
  <c r="U1474" i="16"/>
  <c r="F1573" i="16"/>
  <c r="G1573" i="16" s="1"/>
  <c r="AA1573" i="16"/>
  <c r="X1573" i="16"/>
  <c r="AD1573" i="16"/>
  <c r="U1573" i="16"/>
  <c r="AD969" i="16"/>
  <c r="AA969" i="16"/>
  <c r="X969" i="16"/>
  <c r="U969" i="16"/>
  <c r="F765" i="16"/>
  <c r="G765" i="16" s="1"/>
  <c r="AD765" i="16"/>
  <c r="AA765" i="16"/>
  <c r="X765" i="16"/>
  <c r="U765" i="16"/>
  <c r="F1340" i="16"/>
  <c r="G1340" i="16" s="1"/>
  <c r="AD1340" i="16"/>
  <c r="AA1340" i="16"/>
  <c r="X1340" i="16"/>
  <c r="U1340" i="16"/>
  <c r="F768" i="16"/>
  <c r="G768" i="16" s="1"/>
  <c r="AD768" i="16"/>
  <c r="AA768" i="16"/>
  <c r="X768" i="16"/>
  <c r="U768" i="16"/>
  <c r="F1574" i="16"/>
  <c r="G1574" i="16" s="1"/>
  <c r="AD1574" i="16"/>
  <c r="AA1574" i="16"/>
  <c r="X1574" i="16"/>
  <c r="U1574" i="16"/>
  <c r="R1574" i="16"/>
  <c r="F1852" i="16"/>
  <c r="G1852" i="16" s="1"/>
  <c r="AA1852" i="16"/>
  <c r="X1852" i="16"/>
  <c r="AD1852" i="16"/>
  <c r="U1852" i="16"/>
  <c r="R1852" i="16"/>
  <c r="F838" i="16"/>
  <c r="G838" i="16" s="1"/>
  <c r="AD838" i="16"/>
  <c r="AA838" i="16"/>
  <c r="X838" i="16"/>
  <c r="R838" i="16"/>
  <c r="F1342" i="16"/>
  <c r="G1342" i="16" s="1"/>
  <c r="AA1342" i="16"/>
  <c r="X1342" i="16"/>
  <c r="AD1342" i="16"/>
  <c r="U1342" i="16"/>
  <c r="R1342" i="16"/>
  <c r="AD1784" i="16"/>
  <c r="AA1784" i="16"/>
  <c r="X1784" i="16"/>
  <c r="U1784" i="16"/>
  <c r="R1784" i="16"/>
  <c r="F1136" i="16"/>
  <c r="G1136" i="16" s="1"/>
  <c r="AD1136" i="16"/>
  <c r="AA1136" i="16"/>
  <c r="X1136" i="16"/>
  <c r="U1136" i="16"/>
  <c r="R1136" i="16"/>
  <c r="F1480" i="16"/>
  <c r="G1480" i="16" s="1"/>
  <c r="AD1480" i="16"/>
  <c r="AA1480" i="16"/>
  <c r="X1480" i="16"/>
  <c r="U1480" i="16"/>
  <c r="R1480" i="16"/>
  <c r="AD385" i="16"/>
  <c r="AA385" i="16"/>
  <c r="X385" i="16"/>
  <c r="U385" i="16"/>
  <c r="R385" i="16"/>
  <c r="F1536" i="16"/>
  <c r="G1536" i="16" s="1"/>
  <c r="AD1536" i="16"/>
  <c r="AA1536" i="16"/>
  <c r="X1536" i="16"/>
  <c r="U1536" i="16"/>
  <c r="R1536" i="16"/>
  <c r="R153" i="16"/>
  <c r="R1534" i="16"/>
  <c r="X826" i="16"/>
  <c r="R826" i="16"/>
  <c r="AD826" i="16"/>
  <c r="AA826" i="16"/>
  <c r="F452" i="16"/>
  <c r="G452" i="16" s="1"/>
  <c r="F1484" i="16"/>
  <c r="G1484" i="16" s="1"/>
  <c r="F1711" i="16"/>
  <c r="G1711" i="16" s="1"/>
  <c r="F324" i="16"/>
  <c r="G324" i="16" s="1"/>
  <c r="F1348" i="16"/>
  <c r="G1348" i="16" s="1"/>
  <c r="F997" i="16"/>
  <c r="G997" i="16" s="1"/>
  <c r="F1139" i="16"/>
  <c r="G1139" i="16" s="1"/>
  <c r="F385" i="16"/>
  <c r="G385" i="16" s="1"/>
  <c r="O523" i="16"/>
  <c r="L523" i="16"/>
  <c r="I523" i="16"/>
  <c r="O635" i="16"/>
  <c r="L635" i="16"/>
  <c r="I635" i="16"/>
  <c r="O1890" i="16"/>
  <c r="I1890" i="16"/>
  <c r="L1890" i="16"/>
  <c r="O1125" i="16"/>
  <c r="L1125" i="16"/>
  <c r="I1125" i="16"/>
  <c r="O1168" i="16"/>
  <c r="L1168" i="16"/>
  <c r="I1168" i="16"/>
  <c r="O2074" i="16"/>
  <c r="L2074" i="16"/>
  <c r="I2074" i="16"/>
  <c r="F285" i="16"/>
  <c r="G285" i="16" s="1"/>
  <c r="O285" i="16"/>
  <c r="L285" i="16"/>
  <c r="I285" i="16"/>
  <c r="I796" i="16"/>
  <c r="O796" i="16"/>
  <c r="L796" i="16"/>
  <c r="F1053" i="16"/>
  <c r="G1053" i="16" s="1"/>
  <c r="O1053" i="16"/>
  <c r="L1053" i="16"/>
  <c r="I1053" i="16"/>
  <c r="F1208" i="16"/>
  <c r="G1208" i="16" s="1"/>
  <c r="O1208" i="16"/>
  <c r="L1208" i="16"/>
  <c r="I1208" i="16"/>
  <c r="F1262" i="16"/>
  <c r="G1262" i="16" s="1"/>
  <c r="O1262" i="16"/>
  <c r="L1262" i="16"/>
  <c r="I1262" i="16"/>
  <c r="F1392" i="16"/>
  <c r="G1392" i="16" s="1"/>
  <c r="L1392" i="16"/>
  <c r="O1392" i="16"/>
  <c r="I1392" i="16"/>
  <c r="O1440" i="16"/>
  <c r="L1440" i="16"/>
  <c r="I1440" i="16"/>
  <c r="F892" i="16"/>
  <c r="G892" i="16" s="1"/>
  <c r="O892" i="16"/>
  <c r="L892" i="16"/>
  <c r="I892" i="16"/>
  <c r="O502" i="16"/>
  <c r="L502" i="16"/>
  <c r="I502" i="16"/>
  <c r="F655" i="16"/>
  <c r="G655" i="16" s="1"/>
  <c r="L655" i="16"/>
  <c r="O655" i="16"/>
  <c r="I655" i="16"/>
  <c r="F876" i="16"/>
  <c r="G876" i="16" s="1"/>
  <c r="L876" i="16"/>
  <c r="O876" i="16"/>
  <c r="I876" i="16"/>
  <c r="L713" i="16"/>
  <c r="O713" i="16"/>
  <c r="I713" i="16"/>
  <c r="O1194" i="16"/>
  <c r="L1194" i="16"/>
  <c r="I1194" i="16"/>
  <c r="L1724" i="16"/>
  <c r="O1724" i="16"/>
  <c r="I1724" i="16"/>
  <c r="L335" i="16"/>
  <c r="O335" i="16"/>
  <c r="I335" i="16"/>
  <c r="L921" i="16"/>
  <c r="O921" i="16"/>
  <c r="I921" i="16"/>
  <c r="O328" i="16"/>
  <c r="L328" i="16"/>
  <c r="I328" i="16"/>
  <c r="F1615" i="16"/>
  <c r="G1615" i="16" s="1"/>
  <c r="O1615" i="16"/>
  <c r="L1615" i="16"/>
  <c r="I1615" i="16"/>
  <c r="F221" i="16"/>
  <c r="G221" i="16" s="1"/>
  <c r="O221" i="16"/>
  <c r="L221" i="16"/>
  <c r="I221" i="16"/>
  <c r="F745" i="16"/>
  <c r="G745" i="16" s="1"/>
  <c r="L745" i="16"/>
  <c r="O745" i="16"/>
  <c r="I745" i="16"/>
  <c r="F2135" i="16"/>
  <c r="G2135" i="16" s="1"/>
  <c r="L2135" i="16"/>
  <c r="O2135" i="16"/>
  <c r="I2135" i="16"/>
  <c r="F894" i="16"/>
  <c r="G894" i="16" s="1"/>
  <c r="L894" i="16"/>
  <c r="O894" i="16"/>
  <c r="I894" i="16"/>
  <c r="F605" i="16"/>
  <c r="G605" i="16" s="1"/>
  <c r="O605" i="16"/>
  <c r="L605" i="16"/>
  <c r="I605" i="16"/>
  <c r="F2164" i="16"/>
  <c r="G2164" i="16" s="1"/>
  <c r="O2164" i="16"/>
  <c r="L2164" i="16"/>
  <c r="I2164" i="16"/>
  <c r="F1646" i="16"/>
  <c r="G1646" i="16" s="1"/>
  <c r="O1646" i="16"/>
  <c r="L1646" i="16"/>
  <c r="I1646" i="16"/>
  <c r="F1291" i="16"/>
  <c r="G1291" i="16" s="1"/>
  <c r="O1291" i="16"/>
  <c r="L1291" i="16"/>
  <c r="I1291" i="16"/>
  <c r="F1394" i="16"/>
  <c r="G1394" i="16" s="1"/>
  <c r="O1394" i="16"/>
  <c r="L1394" i="16"/>
  <c r="I1394" i="16"/>
  <c r="O162" i="16"/>
  <c r="I162" i="16"/>
  <c r="L162" i="16"/>
  <c r="O1946" i="16"/>
  <c r="I1946" i="16"/>
  <c r="L1946" i="16"/>
  <c r="I863" i="16"/>
  <c r="L863" i="16"/>
  <c r="O863" i="16"/>
  <c r="F598" i="16"/>
  <c r="G598" i="16" s="1"/>
  <c r="O1568" i="16"/>
  <c r="I1568" i="16"/>
  <c r="L1568" i="16"/>
  <c r="O348" i="16"/>
  <c r="L348" i="16"/>
  <c r="I348" i="16"/>
  <c r="L371" i="16"/>
  <c r="I371" i="16"/>
  <c r="O371" i="16"/>
  <c r="O1103" i="16"/>
  <c r="I1103" i="16"/>
  <c r="L1103" i="16"/>
  <c r="I1751" i="16"/>
  <c r="O1751" i="16"/>
  <c r="L1751" i="16"/>
  <c r="O1725" i="16"/>
  <c r="I1725" i="16"/>
  <c r="L1725" i="16"/>
  <c r="O995" i="16"/>
  <c r="I995" i="16"/>
  <c r="L995" i="16"/>
  <c r="O556" i="16"/>
  <c r="I556" i="16"/>
  <c r="L556" i="16"/>
  <c r="O1738" i="16"/>
  <c r="I1738" i="16"/>
  <c r="L1738" i="16"/>
  <c r="L826" i="16"/>
  <c r="O826" i="16"/>
  <c r="I826" i="16"/>
  <c r="O664" i="16"/>
  <c r="L664" i="16"/>
  <c r="I664" i="16"/>
  <c r="O1542" i="16"/>
  <c r="L1542" i="16"/>
  <c r="I1542" i="16"/>
  <c r="L923" i="16"/>
  <c r="O923" i="16"/>
  <c r="I923" i="16"/>
  <c r="O2115" i="16"/>
  <c r="L2115" i="16"/>
  <c r="I2115" i="16"/>
  <c r="L1523" i="16"/>
  <c r="O1523" i="16"/>
  <c r="I1523" i="16"/>
  <c r="O1105" i="16"/>
  <c r="L1105" i="16"/>
  <c r="I1105" i="16"/>
  <c r="L349" i="16"/>
  <c r="O349" i="16"/>
  <c r="I349" i="16"/>
  <c r="O1477" i="16"/>
  <c r="L1477" i="16"/>
  <c r="I1477" i="16"/>
  <c r="O1377" i="16"/>
  <c r="L1377" i="16"/>
  <c r="I1377" i="16"/>
  <c r="O1108" i="16"/>
  <c r="L1108" i="16"/>
  <c r="I1108" i="16"/>
  <c r="O996" i="16"/>
  <c r="L996" i="16"/>
  <c r="I996" i="16"/>
  <c r="O236" i="16"/>
  <c r="L236" i="16"/>
  <c r="I236" i="16"/>
  <c r="O387" i="16"/>
  <c r="L387" i="16"/>
  <c r="I387" i="16"/>
  <c r="O2079" i="16"/>
  <c r="L2079" i="16"/>
  <c r="I2079" i="16"/>
  <c r="O1228" i="16"/>
  <c r="L1228" i="16"/>
  <c r="I1228" i="16"/>
  <c r="O1107" i="16"/>
  <c r="L1107" i="16"/>
  <c r="I1107" i="16"/>
  <c r="O461" i="16"/>
  <c r="L461" i="16"/>
  <c r="I461" i="16"/>
  <c r="O583" i="16"/>
  <c r="L583" i="16"/>
  <c r="I583" i="16"/>
  <c r="O155" i="16"/>
  <c r="L155" i="16"/>
  <c r="I155" i="16"/>
  <c r="O779" i="16"/>
  <c r="L779" i="16"/>
  <c r="I779" i="16"/>
  <c r="O2103" i="16"/>
  <c r="L2103" i="16"/>
  <c r="I2103" i="16"/>
  <c r="O1317" i="16"/>
  <c r="L1317" i="16"/>
  <c r="I1317" i="16"/>
  <c r="O1341" i="16"/>
  <c r="L1341" i="16"/>
  <c r="I1341" i="16"/>
  <c r="O2187" i="16"/>
  <c r="L2187" i="16"/>
  <c r="I2187" i="16"/>
  <c r="O153" i="16"/>
  <c r="L153" i="16"/>
  <c r="I153" i="16"/>
  <c r="O1235" i="16"/>
  <c r="L1235" i="16"/>
  <c r="I1235" i="16"/>
  <c r="O1487" i="16"/>
  <c r="L1487" i="16"/>
  <c r="I1487" i="16"/>
  <c r="O1986" i="16"/>
  <c r="L1986" i="16"/>
  <c r="I1986" i="16"/>
  <c r="O1242" i="16"/>
  <c r="L1242" i="16"/>
  <c r="I1242" i="16"/>
  <c r="O1299" i="16"/>
  <c r="L1299" i="16"/>
  <c r="I1299" i="16"/>
  <c r="O1494" i="16"/>
  <c r="L1494" i="16"/>
  <c r="I1494" i="16"/>
  <c r="O762" i="16"/>
  <c r="L762" i="16"/>
  <c r="I762" i="16"/>
  <c r="O449" i="16"/>
  <c r="I449" i="16"/>
  <c r="L449" i="16"/>
  <c r="O1732" i="16"/>
  <c r="I1732" i="16"/>
  <c r="L1732" i="16"/>
  <c r="F533" i="16"/>
  <c r="G533" i="16" s="1"/>
  <c r="O533" i="16"/>
  <c r="L533" i="16"/>
  <c r="I533" i="16"/>
  <c r="O806" i="16"/>
  <c r="L806" i="16"/>
  <c r="I806" i="16"/>
  <c r="F1306" i="16"/>
  <c r="G1306" i="16" s="1"/>
  <c r="O1306" i="16"/>
  <c r="L1306" i="16"/>
  <c r="I1306" i="16"/>
  <c r="O1493" i="16"/>
  <c r="L1493" i="16"/>
  <c r="I1493" i="16"/>
  <c r="F1281" i="16"/>
  <c r="G1281" i="16" s="1"/>
  <c r="O1281" i="16"/>
  <c r="L1281" i="16"/>
  <c r="I1281" i="16"/>
  <c r="O367" i="16"/>
  <c r="L367" i="16"/>
  <c r="I367" i="16"/>
  <c r="F2001" i="16"/>
  <c r="G2001" i="16" s="1"/>
  <c r="O2001" i="16"/>
  <c r="L2001" i="16"/>
  <c r="I2001" i="16"/>
  <c r="O1219" i="16"/>
  <c r="L1219" i="16"/>
  <c r="I1219" i="16"/>
  <c r="F789" i="16"/>
  <c r="G789" i="16" s="1"/>
  <c r="O789" i="16"/>
  <c r="L789" i="16"/>
  <c r="I789" i="16"/>
  <c r="O529" i="16"/>
  <c r="L529" i="16"/>
  <c r="I529" i="16"/>
  <c r="F300" i="16"/>
  <c r="G300" i="16" s="1"/>
  <c r="L300" i="16"/>
  <c r="O300" i="16"/>
  <c r="I300" i="16"/>
  <c r="O1886" i="16"/>
  <c r="L1886" i="16"/>
  <c r="I1886" i="16"/>
  <c r="F1709" i="16"/>
  <c r="G1709" i="16" s="1"/>
  <c r="O1709" i="16"/>
  <c r="L1709" i="16"/>
  <c r="I1709" i="16"/>
  <c r="O506" i="16"/>
  <c r="I506" i="16"/>
  <c r="L506" i="16"/>
  <c r="F1433" i="16"/>
  <c r="G1433" i="16" s="1"/>
  <c r="O1433" i="16"/>
  <c r="I1433" i="16"/>
  <c r="L1433" i="16"/>
  <c r="L1160" i="16"/>
  <c r="O1160" i="16"/>
  <c r="I1160" i="16"/>
  <c r="F1032" i="16"/>
  <c r="G1032" i="16" s="1"/>
  <c r="O1032" i="16"/>
  <c r="L1032" i="16"/>
  <c r="I1032" i="16"/>
  <c r="F1937" i="16"/>
  <c r="G1937" i="16" s="1"/>
  <c r="O1937" i="16"/>
  <c r="L1937" i="16"/>
  <c r="I1937" i="16"/>
  <c r="F1450" i="16"/>
  <c r="G1450" i="16" s="1"/>
  <c r="L1450" i="16"/>
  <c r="O1450" i="16"/>
  <c r="I1450" i="16"/>
  <c r="F1202" i="16"/>
  <c r="G1202" i="16" s="1"/>
  <c r="O1202" i="16"/>
  <c r="L1202" i="16"/>
  <c r="I1202" i="16"/>
  <c r="F2168" i="16"/>
  <c r="G2168" i="16" s="1"/>
  <c r="O2168" i="16"/>
  <c r="L2168" i="16"/>
  <c r="I2168" i="16"/>
  <c r="F1226" i="16"/>
  <c r="G1226" i="16" s="1"/>
  <c r="O1226" i="16"/>
  <c r="L1226" i="16"/>
  <c r="I1226" i="16"/>
  <c r="F1009" i="16"/>
  <c r="G1009" i="16" s="1"/>
  <c r="L1009" i="16"/>
  <c r="O1009" i="16"/>
  <c r="I1009" i="16"/>
  <c r="F1555" i="16"/>
  <c r="G1555" i="16" s="1"/>
  <c r="O1555" i="16"/>
  <c r="L1555" i="16"/>
  <c r="I1555" i="16"/>
  <c r="F1931" i="16"/>
  <c r="G1931" i="16" s="1"/>
  <c r="O1931" i="16"/>
  <c r="L1931" i="16"/>
  <c r="I1931" i="16"/>
  <c r="F634" i="16"/>
  <c r="G634" i="16" s="1"/>
  <c r="O634" i="16"/>
  <c r="L634" i="16"/>
  <c r="I634" i="16"/>
  <c r="O1253" i="16"/>
  <c r="L1253" i="16"/>
  <c r="I1253" i="16"/>
  <c r="O1486" i="16"/>
  <c r="L1486" i="16"/>
  <c r="I1486" i="16"/>
  <c r="F163" i="16"/>
  <c r="G163" i="16" s="1"/>
  <c r="L163" i="16"/>
  <c r="O163" i="16"/>
  <c r="I163" i="16"/>
  <c r="F1167" i="16"/>
  <c r="G1167" i="16" s="1"/>
  <c r="L1167" i="16"/>
  <c r="O1167" i="16"/>
  <c r="I1167" i="16"/>
  <c r="O284" i="16"/>
  <c r="I284" i="16"/>
  <c r="L284" i="16"/>
  <c r="F1876" i="16"/>
  <c r="G1876" i="16" s="1"/>
  <c r="O1876" i="16"/>
  <c r="I1876" i="16"/>
  <c r="L1876" i="16"/>
  <c r="O720" i="16"/>
  <c r="I720" i="16"/>
  <c r="L720" i="16"/>
  <c r="F1581" i="16"/>
  <c r="G1581" i="16" s="1"/>
  <c r="O1581" i="16"/>
  <c r="L1581" i="16"/>
  <c r="I1581" i="16"/>
  <c r="L1449" i="16"/>
  <c r="O1449" i="16"/>
  <c r="I1449" i="16"/>
  <c r="O970" i="16"/>
  <c r="L970" i="16"/>
  <c r="I970" i="16"/>
  <c r="F1416" i="16"/>
  <c r="G1416" i="16" s="1"/>
  <c r="O1416" i="16"/>
  <c r="I1416" i="16"/>
  <c r="L1416" i="16"/>
  <c r="F1118" i="16"/>
  <c r="G1118" i="16" s="1"/>
  <c r="O1118" i="16"/>
  <c r="I1118" i="16"/>
  <c r="L1118" i="16"/>
  <c r="F936" i="16"/>
  <c r="G936" i="16" s="1"/>
  <c r="L936" i="16"/>
  <c r="O936" i="16"/>
  <c r="I936" i="16"/>
  <c r="F460" i="16"/>
  <c r="G460" i="16" s="1"/>
  <c r="O460" i="16"/>
  <c r="L460" i="16"/>
  <c r="I460" i="16"/>
  <c r="F1270" i="16"/>
  <c r="G1270" i="16" s="1"/>
  <c r="O1270" i="16"/>
  <c r="L1270" i="16"/>
  <c r="I1270" i="16"/>
  <c r="F2140" i="16"/>
  <c r="G2140" i="16" s="1"/>
  <c r="O2140" i="16"/>
  <c r="L2140" i="16"/>
  <c r="I2140" i="16"/>
  <c r="F427" i="16"/>
  <c r="G427" i="16" s="1"/>
  <c r="O427" i="16"/>
  <c r="L427" i="16"/>
  <c r="I427" i="16"/>
  <c r="F1279" i="16"/>
  <c r="G1279" i="16" s="1"/>
  <c r="O1279" i="16"/>
  <c r="L1279" i="16"/>
  <c r="I1279" i="16"/>
  <c r="O360" i="16"/>
  <c r="L360" i="16"/>
  <c r="I360" i="16"/>
  <c r="O1121" i="16"/>
  <c r="L1121" i="16"/>
  <c r="I1121" i="16"/>
  <c r="O277" i="16"/>
  <c r="L277" i="16"/>
  <c r="I277" i="16"/>
  <c r="O1643" i="16"/>
  <c r="L1643" i="16"/>
  <c r="I1643" i="16"/>
  <c r="O1000" i="16"/>
  <c r="I1000" i="16"/>
  <c r="L1000" i="16"/>
  <c r="O358" i="16"/>
  <c r="I358" i="16"/>
  <c r="L358" i="16"/>
  <c r="O270" i="16"/>
  <c r="I270" i="16"/>
  <c r="L270" i="16"/>
  <c r="I769" i="16"/>
  <c r="O769" i="16"/>
  <c r="L769" i="16"/>
  <c r="O941" i="16"/>
  <c r="L941" i="16"/>
  <c r="I941" i="16"/>
  <c r="O2124" i="16"/>
  <c r="L2124" i="16"/>
  <c r="I2124" i="16"/>
  <c r="L652" i="16"/>
  <c r="O652" i="16"/>
  <c r="I652" i="16"/>
  <c r="L1642" i="16"/>
  <c r="O1642" i="16"/>
  <c r="I1642" i="16"/>
  <c r="O693" i="16"/>
  <c r="I693" i="16"/>
  <c r="L693" i="16"/>
  <c r="O884" i="16"/>
  <c r="L884" i="16"/>
  <c r="I884" i="16"/>
  <c r="I233" i="16"/>
  <c r="O233" i="16"/>
  <c r="L233" i="16"/>
  <c r="I1853" i="16"/>
  <c r="O1853" i="16"/>
  <c r="L1853" i="16"/>
  <c r="O920" i="16"/>
  <c r="I920" i="16"/>
  <c r="L920" i="16"/>
  <c r="O1857" i="16"/>
  <c r="L1857" i="16"/>
  <c r="I1857" i="16"/>
  <c r="O441" i="16"/>
  <c r="I441" i="16"/>
  <c r="L441" i="16"/>
  <c r="O113" i="16"/>
  <c r="L113" i="16"/>
  <c r="I113" i="16"/>
  <c r="O1588" i="16"/>
  <c r="L1588" i="16"/>
  <c r="I1588" i="16"/>
  <c r="O1130" i="16"/>
  <c r="L1130" i="16"/>
  <c r="I1130" i="16"/>
  <c r="O1478" i="16"/>
  <c r="L1478" i="16"/>
  <c r="I1478" i="16"/>
  <c r="O1810" i="16"/>
  <c r="L1810" i="16"/>
  <c r="I1810" i="16"/>
  <c r="F348" i="16"/>
  <c r="G348" i="16" s="1"/>
  <c r="F1103" i="16"/>
  <c r="G1103" i="16" s="1"/>
  <c r="F462" i="16"/>
  <c r="G462" i="16" s="1"/>
  <c r="F767" i="16"/>
  <c r="G767" i="16" s="1"/>
  <c r="O767" i="16"/>
  <c r="I767" i="16"/>
  <c r="L767" i="16"/>
  <c r="F1901" i="16"/>
  <c r="G1901" i="16" s="1"/>
  <c r="O1901" i="16"/>
  <c r="L1901" i="16"/>
  <c r="I1901" i="16"/>
  <c r="F62" i="16"/>
  <c r="G62" i="16" s="1"/>
  <c r="O62" i="16"/>
  <c r="I62" i="16"/>
  <c r="L62" i="16"/>
  <c r="F656" i="16"/>
  <c r="G656" i="16" s="1"/>
  <c r="O656" i="16"/>
  <c r="L656" i="16"/>
  <c r="I656" i="16"/>
  <c r="F1346" i="16"/>
  <c r="G1346" i="16" s="1"/>
  <c r="O1346" i="16"/>
  <c r="L1346" i="16"/>
  <c r="I1346" i="16"/>
  <c r="F804" i="16"/>
  <c r="G804" i="16" s="1"/>
  <c r="O804" i="16"/>
  <c r="L804" i="16"/>
  <c r="I804" i="16"/>
  <c r="F766" i="16"/>
  <c r="G766" i="16" s="1"/>
  <c r="O766" i="16"/>
  <c r="L766" i="16"/>
  <c r="I766" i="16"/>
  <c r="F329" i="16"/>
  <c r="G329" i="16" s="1"/>
  <c r="O329" i="16"/>
  <c r="L329" i="16"/>
  <c r="I329" i="16"/>
  <c r="O1068" i="16"/>
  <c r="L1068" i="16"/>
  <c r="I1068" i="16"/>
  <c r="O1393" i="16"/>
  <c r="L1393" i="16"/>
  <c r="I1393" i="16"/>
  <c r="O1967" i="16"/>
  <c r="I1967" i="16"/>
  <c r="L1967" i="16"/>
  <c r="O1511" i="16"/>
  <c r="L1511" i="16"/>
  <c r="I1511" i="16"/>
  <c r="O1739" i="16"/>
  <c r="I1739" i="16"/>
  <c r="L1739" i="16"/>
  <c r="O287" i="16"/>
  <c r="I287" i="16"/>
  <c r="L287" i="16"/>
  <c r="O1731" i="16"/>
  <c r="L1731" i="16"/>
  <c r="I1731" i="16"/>
  <c r="O705" i="16"/>
  <c r="I705" i="16"/>
  <c r="L705" i="16"/>
  <c r="I786" i="16"/>
  <c r="L786" i="16"/>
  <c r="O786" i="16"/>
  <c r="O1934" i="16"/>
  <c r="I1934" i="16"/>
  <c r="L1934" i="16"/>
  <c r="O60" i="16"/>
  <c r="L60" i="16"/>
  <c r="I60" i="16"/>
  <c r="O932" i="16"/>
  <c r="I932" i="16"/>
  <c r="L932" i="16"/>
  <c r="O1338" i="16"/>
  <c r="I1338" i="16"/>
  <c r="L1338" i="16"/>
  <c r="O1850" i="16"/>
  <c r="L1850" i="16"/>
  <c r="I1850" i="16"/>
  <c r="O1282" i="16"/>
  <c r="L1282" i="16"/>
  <c r="I1282" i="16"/>
  <c r="O386" i="16"/>
  <c r="I386" i="16"/>
  <c r="L386" i="16"/>
  <c r="O160" i="16"/>
  <c r="I160" i="16"/>
  <c r="L160" i="16"/>
  <c r="O1605" i="16"/>
  <c r="I1605" i="16"/>
  <c r="L1605" i="16"/>
  <c r="O1577" i="16"/>
  <c r="L1577" i="16"/>
  <c r="I1577" i="16"/>
  <c r="O79" i="16"/>
  <c r="L79" i="16"/>
  <c r="I79" i="16"/>
  <c r="O1474" i="16"/>
  <c r="L1474" i="16"/>
  <c r="I1474" i="16"/>
  <c r="O1573" i="16"/>
  <c r="L1573" i="16"/>
  <c r="I1573" i="16"/>
  <c r="O969" i="16"/>
  <c r="L969" i="16"/>
  <c r="I969" i="16"/>
  <c r="O765" i="16"/>
  <c r="L765" i="16"/>
  <c r="I765" i="16"/>
  <c r="O1340" i="16"/>
  <c r="L1340" i="16"/>
  <c r="I1340" i="16"/>
  <c r="O768" i="16"/>
  <c r="L768" i="16"/>
  <c r="I768" i="16"/>
  <c r="O1574" i="16"/>
  <c r="L1574" i="16"/>
  <c r="I1574" i="16"/>
  <c r="O1852" i="16"/>
  <c r="L1852" i="16"/>
  <c r="I1852" i="16"/>
  <c r="O838" i="16"/>
  <c r="L838" i="16"/>
  <c r="I838" i="16"/>
  <c r="O1342" i="16"/>
  <c r="L1342" i="16"/>
  <c r="I1342" i="16"/>
  <c r="O1784" i="16"/>
  <c r="L1784" i="16"/>
  <c r="I1784" i="16"/>
  <c r="O1136" i="16"/>
  <c r="L1136" i="16"/>
  <c r="I1136" i="16"/>
  <c r="O1480" i="16"/>
  <c r="L1480" i="16"/>
  <c r="I1480" i="16"/>
  <c r="O385" i="16"/>
  <c r="L385" i="16"/>
  <c r="I385" i="16"/>
  <c r="O1536" i="16"/>
  <c r="L1536" i="16"/>
  <c r="I1536" i="16"/>
  <c r="F61" i="16"/>
  <c r="G61" i="16" s="1"/>
  <c r="O61" i="16"/>
  <c r="L61" i="16"/>
  <c r="I61" i="16"/>
  <c r="F527" i="16"/>
  <c r="G527" i="16" s="1"/>
  <c r="O588" i="16"/>
  <c r="L588" i="16"/>
  <c r="I588" i="16"/>
  <c r="O1647" i="16"/>
  <c r="L1647" i="16"/>
  <c r="I1647" i="16"/>
  <c r="O1520" i="16"/>
  <c r="L1520" i="16"/>
  <c r="I1520" i="16"/>
  <c r="L1475" i="16"/>
  <c r="O1475" i="16"/>
  <c r="I1475" i="16"/>
  <c r="O1293" i="16"/>
  <c r="L1293" i="16"/>
  <c r="I1293" i="16"/>
  <c r="F1725" i="16"/>
  <c r="G1725" i="16" s="1"/>
  <c r="F556" i="16"/>
  <c r="G556" i="16" s="1"/>
  <c r="F962" i="16"/>
  <c r="G962" i="16" s="1"/>
  <c r="O962" i="16"/>
  <c r="L962" i="16"/>
  <c r="I962" i="16"/>
  <c r="F1783" i="16"/>
  <c r="G1783" i="16" s="1"/>
  <c r="L1783" i="16"/>
  <c r="O1783" i="16"/>
  <c r="I1783" i="16"/>
  <c r="F2101" i="16"/>
  <c r="G2101" i="16" s="1"/>
  <c r="L2101" i="16"/>
  <c r="O2101" i="16"/>
  <c r="I2101" i="16"/>
  <c r="F1411" i="16"/>
  <c r="G1411" i="16" s="1"/>
  <c r="O1411" i="16"/>
  <c r="L1411" i="16"/>
  <c r="I1411" i="16"/>
  <c r="F1141" i="16"/>
  <c r="G1141" i="16" s="1"/>
  <c r="O1141" i="16"/>
  <c r="L1141" i="16"/>
  <c r="I1141" i="16"/>
  <c r="F475" i="16"/>
  <c r="G475" i="16" s="1"/>
  <c r="O475" i="16"/>
  <c r="L475" i="16"/>
  <c r="I475" i="16"/>
  <c r="F1296" i="16"/>
  <c r="G1296" i="16" s="1"/>
  <c r="L1296" i="16"/>
  <c r="O1296" i="16"/>
  <c r="I1296" i="16"/>
  <c r="F1680" i="16"/>
  <c r="G1680" i="16" s="1"/>
  <c r="O1680" i="16"/>
  <c r="L1680" i="16"/>
  <c r="I1680" i="16"/>
  <c r="F1352" i="16"/>
  <c r="G1352" i="16" s="1"/>
  <c r="L1352" i="16"/>
  <c r="I1352" i="16"/>
  <c r="O1352" i="16"/>
  <c r="O1707" i="16"/>
  <c r="L1707" i="16"/>
  <c r="I1707" i="16"/>
  <c r="O1325" i="16"/>
  <c r="L1325" i="16"/>
  <c r="I1325" i="16"/>
  <c r="O1645" i="16"/>
  <c r="L1645" i="16"/>
  <c r="I1645" i="16"/>
  <c r="O1283" i="16"/>
  <c r="L1283" i="16"/>
  <c r="I1283" i="16"/>
  <c r="O893" i="16"/>
  <c r="L893" i="16"/>
  <c r="I893" i="16"/>
  <c r="O280" i="16"/>
  <c r="L280" i="16"/>
  <c r="I280" i="16"/>
  <c r="O368" i="16"/>
  <c r="L368" i="16"/>
  <c r="I368" i="16"/>
  <c r="O1200" i="16"/>
  <c r="L1200" i="16"/>
  <c r="I1200" i="16"/>
  <c r="O901" i="16"/>
  <c r="L901" i="16"/>
  <c r="I901" i="16"/>
  <c r="O551" i="16"/>
  <c r="L551" i="16"/>
  <c r="I551" i="16"/>
  <c r="O528" i="16"/>
  <c r="L528" i="16"/>
  <c r="I528" i="16"/>
  <c r="O1485" i="16"/>
  <c r="L1485" i="16"/>
  <c r="I1485" i="16"/>
  <c r="O579" i="16"/>
  <c r="L579" i="16"/>
  <c r="I579" i="16"/>
  <c r="L675" i="16"/>
  <c r="O675" i="16"/>
  <c r="I675" i="16"/>
  <c r="O494" i="16"/>
  <c r="L494" i="16"/>
  <c r="I494" i="16"/>
  <c r="L680" i="16"/>
  <c r="O680" i="16"/>
  <c r="I680" i="16"/>
  <c r="O309" i="16"/>
  <c r="L309" i="16"/>
  <c r="I309" i="16"/>
  <c r="O271" i="16"/>
  <c r="L271" i="16"/>
  <c r="I271" i="16"/>
  <c r="O1569" i="16"/>
  <c r="L1569" i="16"/>
  <c r="I1569" i="16"/>
  <c r="O2058" i="16"/>
  <c r="I2058" i="16"/>
  <c r="L2058" i="16"/>
  <c r="I890" i="16"/>
  <c r="O890" i="16"/>
  <c r="L890" i="16"/>
  <c r="O953" i="16"/>
  <c r="I953" i="16"/>
  <c r="L953" i="16"/>
  <c r="O2186" i="16"/>
  <c r="I2186" i="16"/>
  <c r="L2186" i="16"/>
  <c r="O1179" i="16"/>
  <c r="L1179" i="16"/>
  <c r="O716" i="16"/>
  <c r="L716" i="16"/>
  <c r="I716" i="16"/>
  <c r="O532" i="16"/>
  <c r="I532" i="16"/>
  <c r="L532" i="16"/>
  <c r="O299" i="16"/>
  <c r="L299" i="16"/>
  <c r="I299" i="16"/>
  <c r="O92" i="16"/>
  <c r="I92" i="16"/>
  <c r="L92" i="16"/>
  <c r="O1243" i="16"/>
  <c r="I1243" i="16"/>
  <c r="L1243" i="16"/>
  <c r="O257" i="16"/>
  <c r="I257" i="16"/>
  <c r="L257" i="16"/>
  <c r="O295" i="16"/>
  <c r="I295" i="16"/>
  <c r="L295" i="16"/>
  <c r="O1534" i="16"/>
  <c r="I1534" i="16"/>
  <c r="L1534" i="16"/>
  <c r="O477" i="16"/>
  <c r="L477" i="16"/>
  <c r="I477" i="16"/>
  <c r="O398" i="16"/>
  <c r="I398" i="16"/>
  <c r="L398" i="16"/>
  <c r="F1261" i="16"/>
  <c r="G1261" i="16" s="1"/>
  <c r="O1261" i="16"/>
  <c r="L1261" i="16"/>
  <c r="I1261" i="16"/>
  <c r="F27" i="16"/>
  <c r="G27" i="16" s="1"/>
  <c r="L27" i="16"/>
  <c r="I27" i="16"/>
  <c r="O27" i="16"/>
  <c r="F1446" i="16"/>
  <c r="G1446" i="16" s="1"/>
  <c r="O1446" i="16"/>
  <c r="L1446" i="16"/>
  <c r="I1446" i="16"/>
  <c r="O788" i="16"/>
  <c r="I788" i="16"/>
  <c r="L788" i="16"/>
  <c r="F1067" i="16"/>
  <c r="G1067" i="16" s="1"/>
  <c r="O1067" i="16"/>
  <c r="I1067" i="16"/>
  <c r="L1067" i="16"/>
  <c r="O542" i="16"/>
  <c r="L542" i="16"/>
  <c r="I542" i="16"/>
  <c r="F359" i="16"/>
  <c r="G359" i="16" s="1"/>
  <c r="O359" i="16"/>
  <c r="L359" i="16"/>
  <c r="I359" i="16"/>
  <c r="F2114" i="16"/>
  <c r="G2114" i="16" s="1"/>
  <c r="O2114" i="16"/>
  <c r="L2114" i="16"/>
  <c r="I2114" i="16"/>
  <c r="F1987" i="16"/>
  <c r="G1987" i="16" s="1"/>
  <c r="O1987" i="16"/>
  <c r="I1987" i="16"/>
  <c r="L1987" i="16"/>
  <c r="F2167" i="16"/>
  <c r="G2167" i="16" s="1"/>
  <c r="O2167" i="16"/>
  <c r="I2167" i="16"/>
  <c r="L2167" i="16"/>
  <c r="F1399" i="16"/>
  <c r="G1399" i="16" s="1"/>
  <c r="O1399" i="16"/>
  <c r="L1399" i="16"/>
  <c r="I1399" i="16"/>
  <c r="F1244" i="16"/>
  <c r="G1244" i="16" s="1"/>
  <c r="O1244" i="16"/>
  <c r="L1244" i="16"/>
  <c r="I1244" i="16"/>
  <c r="O582" i="16"/>
  <c r="L582" i="16"/>
  <c r="I582" i="16"/>
  <c r="F1138" i="16"/>
  <c r="G1138" i="16" s="1"/>
  <c r="O1138" i="16"/>
  <c r="L1138" i="16"/>
  <c r="I1138" i="16"/>
  <c r="F301" i="16"/>
  <c r="G301" i="16" s="1"/>
  <c r="O301" i="16"/>
  <c r="I301" i="16"/>
  <c r="L301" i="16"/>
  <c r="O2019" i="16"/>
  <c r="L2019" i="16"/>
  <c r="I2019" i="16"/>
  <c r="F1862" i="16"/>
  <c r="G1862" i="16" s="1"/>
  <c r="O1862" i="16"/>
  <c r="L1862" i="16"/>
  <c r="I1862" i="16"/>
  <c r="O922" i="16"/>
  <c r="L922" i="16"/>
  <c r="I922" i="16"/>
  <c r="O1962" i="16"/>
  <c r="L1962" i="16"/>
  <c r="I1962" i="16"/>
  <c r="F589" i="16"/>
  <c r="G589" i="16" s="1"/>
  <c r="O589" i="16"/>
  <c r="L589" i="16"/>
  <c r="I589" i="16"/>
  <c r="F1445" i="16"/>
  <c r="G1445" i="16" s="1"/>
  <c r="L1445" i="16"/>
  <c r="O1445" i="16"/>
  <c r="I1445" i="16"/>
  <c r="F1197" i="16"/>
  <c r="G1197" i="16" s="1"/>
  <c r="O1197" i="16"/>
  <c r="I1197" i="16"/>
  <c r="L1197" i="16"/>
  <c r="F1659" i="16"/>
  <c r="G1659" i="16" s="1"/>
  <c r="O1659" i="16"/>
  <c r="L1659" i="16"/>
  <c r="I1659" i="16"/>
  <c r="F2185" i="16"/>
  <c r="G2185" i="16" s="1"/>
  <c r="O2185" i="16"/>
  <c r="L2185" i="16"/>
  <c r="I2185" i="16"/>
  <c r="F862" i="16"/>
  <c r="G862" i="16" s="1"/>
  <c r="L862" i="16"/>
  <c r="O862" i="16"/>
  <c r="I862" i="16"/>
  <c r="F597" i="16"/>
  <c r="G597" i="16" s="1"/>
  <c r="O597" i="16"/>
  <c r="L597" i="16"/>
  <c r="I597" i="16"/>
  <c r="F1321" i="16"/>
  <c r="G1321" i="16" s="1"/>
  <c r="O1321" i="16"/>
  <c r="L1321" i="16"/>
  <c r="I1321" i="16"/>
  <c r="F1115" i="16"/>
  <c r="G1115" i="16" s="1"/>
  <c r="O1115" i="16"/>
  <c r="L1115" i="16"/>
  <c r="I1115" i="16"/>
  <c r="F692" i="16"/>
  <c r="G692" i="16" s="1"/>
  <c r="O692" i="16"/>
  <c r="L692" i="16"/>
  <c r="I692" i="16"/>
  <c r="F1576" i="16"/>
  <c r="G1576" i="16" s="1"/>
  <c r="L1576" i="16"/>
  <c r="I1576" i="16"/>
  <c r="O1576" i="16"/>
  <c r="F1190" i="16"/>
  <c r="G1190" i="16" s="1"/>
  <c r="O1190" i="16"/>
  <c r="L1190" i="16"/>
  <c r="I1190" i="16"/>
  <c r="F459" i="16"/>
  <c r="G459" i="16" s="1"/>
  <c r="O459" i="16"/>
  <c r="L459" i="16"/>
  <c r="I459" i="16"/>
  <c r="F366" i="16"/>
  <c r="G366" i="16" s="1"/>
  <c r="O366" i="16"/>
  <c r="L366" i="16"/>
  <c r="I366" i="16"/>
  <c r="F1541" i="16"/>
  <c r="G1541" i="16" s="1"/>
  <c r="O1541" i="16"/>
  <c r="L1541" i="16"/>
  <c r="I1541" i="16"/>
  <c r="F1284" i="16"/>
  <c r="G1284" i="16" s="1"/>
  <c r="O1284" i="16"/>
  <c r="L1284" i="16"/>
  <c r="I1284" i="16"/>
  <c r="F1222" i="16"/>
  <c r="G1222" i="16" s="1"/>
  <c r="O1222" i="16"/>
  <c r="L1222" i="16"/>
  <c r="I1222" i="16"/>
  <c r="F749" i="16"/>
  <c r="G749" i="16" s="1"/>
  <c r="O749" i="16"/>
  <c r="I749" i="16"/>
  <c r="L749" i="16"/>
  <c r="F1253" i="16"/>
  <c r="G1253" i="16" s="1"/>
  <c r="F863" i="16"/>
  <c r="G863" i="16" s="1"/>
  <c r="F1992" i="16"/>
  <c r="G1992" i="16" s="1"/>
  <c r="O1992" i="16"/>
  <c r="L1992" i="16"/>
  <c r="I1992" i="16"/>
  <c r="F770" i="16"/>
  <c r="G770" i="16" s="1"/>
  <c r="L770" i="16"/>
  <c r="O770" i="16"/>
  <c r="I770" i="16"/>
  <c r="F1140" i="16"/>
  <c r="G1140" i="16" s="1"/>
  <c r="L1140" i="16"/>
  <c r="O1140" i="16"/>
  <c r="I1140" i="16"/>
  <c r="F1567" i="16"/>
  <c r="G1567" i="16" s="1"/>
  <c r="O1567" i="16"/>
  <c r="L1567" i="16"/>
  <c r="I1567" i="16"/>
  <c r="F1285" i="16"/>
  <c r="G1285" i="16" s="1"/>
  <c r="O1285" i="16"/>
  <c r="L1285" i="16"/>
  <c r="I1285" i="16"/>
  <c r="F1194" i="16"/>
  <c r="G1194" i="16" s="1"/>
  <c r="F1724" i="16"/>
  <c r="G1724" i="16" s="1"/>
  <c r="F826" i="16"/>
  <c r="G826" i="16" s="1"/>
  <c r="L944" i="16"/>
  <c r="O944" i="16"/>
  <c r="I944" i="16"/>
  <c r="F1350" i="16"/>
  <c r="G1350" i="16" s="1"/>
  <c r="L1350" i="16"/>
  <c r="O1350" i="16"/>
  <c r="I1350" i="16"/>
  <c r="F1600" i="16"/>
  <c r="G1600" i="16" s="1"/>
  <c r="O1600" i="16"/>
  <c r="L1600" i="16"/>
  <c r="I1600" i="16"/>
  <c r="F216" i="16"/>
  <c r="G216" i="16" s="1"/>
  <c r="O216" i="16"/>
  <c r="L216" i="16"/>
  <c r="I216" i="16"/>
  <c r="F734" i="16"/>
  <c r="G734" i="16" s="1"/>
  <c r="O734" i="16"/>
  <c r="L734" i="16"/>
  <c r="I734" i="16"/>
  <c r="L1055" i="16"/>
  <c r="I1055" i="16"/>
  <c r="O1055" i="16"/>
  <c r="F1603" i="16"/>
  <c r="G1603" i="16" s="1"/>
  <c r="O1603" i="16"/>
  <c r="L1603" i="16"/>
  <c r="I1603" i="16"/>
  <c r="F1925" i="16"/>
  <c r="G1925" i="16" s="1"/>
  <c r="O1925" i="16"/>
  <c r="L1925" i="16"/>
  <c r="I1925" i="16"/>
  <c r="O487" i="16"/>
  <c r="L487" i="16"/>
  <c r="I487" i="16"/>
  <c r="F453" i="16"/>
  <c r="G453" i="16" s="1"/>
  <c r="O453" i="16"/>
  <c r="L453" i="16"/>
  <c r="I453" i="16"/>
  <c r="O310" i="16"/>
  <c r="L310" i="16"/>
  <c r="I310" i="16"/>
  <c r="O1122" i="16"/>
  <c r="L1122" i="16"/>
  <c r="I1122" i="16"/>
  <c r="O1286" i="16"/>
  <c r="L1286" i="16"/>
  <c r="I1286" i="16"/>
  <c r="O1473" i="16"/>
  <c r="L1473" i="16"/>
  <c r="I1473" i="16"/>
  <c r="O559" i="16"/>
  <c r="I559" i="16"/>
  <c r="L559" i="16"/>
  <c r="O977" i="16"/>
  <c r="L977" i="16"/>
  <c r="I977" i="16"/>
  <c r="O273" i="16"/>
  <c r="L273" i="16"/>
  <c r="I273" i="16"/>
  <c r="O63" i="16"/>
  <c r="L63" i="16"/>
  <c r="I63" i="16"/>
  <c r="O1900" i="16"/>
  <c r="I1900" i="16"/>
  <c r="L1900" i="16"/>
  <c r="O1090" i="16"/>
  <c r="L1090" i="16"/>
  <c r="I1090" i="16"/>
  <c r="O1924" i="16"/>
  <c r="I1924" i="16"/>
  <c r="L1924" i="16"/>
  <c r="O1364" i="16"/>
  <c r="L1364" i="16"/>
  <c r="I1364" i="16"/>
  <c r="O451" i="16"/>
  <c r="L451" i="16"/>
  <c r="I451" i="16"/>
  <c r="O1109" i="16"/>
  <c r="L1109" i="16"/>
  <c r="I1109" i="16"/>
  <c r="O2106" i="16"/>
  <c r="L2106" i="16"/>
  <c r="I2106" i="16"/>
  <c r="O947" i="16"/>
  <c r="L947" i="16"/>
  <c r="I947" i="16"/>
  <c r="O1676" i="16"/>
  <c r="L1676" i="16"/>
  <c r="I1676" i="16"/>
  <c r="O573" i="16"/>
  <c r="L573" i="16"/>
  <c r="I573" i="16"/>
  <c r="O896" i="16"/>
  <c r="L896" i="16"/>
  <c r="I896" i="16"/>
  <c r="O1124" i="16"/>
  <c r="L1124" i="16"/>
  <c r="I1124" i="16"/>
  <c r="O2184" i="16"/>
  <c r="L2184" i="16"/>
  <c r="I2184" i="16"/>
  <c r="O2160" i="16"/>
  <c r="L2160" i="16"/>
  <c r="I2160" i="16"/>
  <c r="O1864" i="16"/>
  <c r="L1864" i="16"/>
  <c r="I1864" i="16"/>
  <c r="O756" i="16"/>
  <c r="I756" i="16"/>
  <c r="L756" i="16"/>
  <c r="O488" i="16"/>
  <c r="L488" i="16"/>
  <c r="I488" i="16"/>
  <c r="O95" i="16"/>
  <c r="L95" i="16"/>
  <c r="I95" i="16"/>
  <c r="L1654" i="16"/>
  <c r="O1654" i="16"/>
  <c r="I1654" i="16"/>
  <c r="O1504" i="16"/>
  <c r="L1504" i="16"/>
  <c r="I1504" i="16"/>
  <c r="O527" i="16"/>
  <c r="L527" i="16"/>
  <c r="I527" i="16"/>
  <c r="F1236" i="16"/>
  <c r="G1236" i="16" s="1"/>
  <c r="O1236" i="16"/>
  <c r="L1236" i="16"/>
  <c r="I1236" i="16"/>
  <c r="F2100" i="16"/>
  <c r="G2100" i="16" s="1"/>
  <c r="O2100" i="16"/>
  <c r="L2100" i="16"/>
  <c r="I2100" i="16"/>
  <c r="F1294" i="16"/>
  <c r="G1294" i="16" s="1"/>
  <c r="O1294" i="16"/>
  <c r="L1294" i="16"/>
  <c r="I1294" i="16"/>
  <c r="F335" i="16"/>
  <c r="G335" i="16" s="1"/>
  <c r="O232" i="16"/>
  <c r="L232" i="16"/>
  <c r="I232" i="16"/>
  <c r="O1893" i="16"/>
  <c r="L1893" i="16"/>
  <c r="I1893" i="16"/>
  <c r="O1357" i="16"/>
  <c r="L1357" i="16"/>
  <c r="I1357" i="16"/>
  <c r="O530" i="16"/>
  <c r="I530" i="16"/>
  <c r="L530" i="16"/>
  <c r="O1351" i="16"/>
  <c r="L1351" i="16"/>
  <c r="I1351" i="16"/>
  <c r="O1129" i="16"/>
  <c r="I1129" i="16"/>
  <c r="L1129" i="16"/>
  <c r="O1966" i="16"/>
  <c r="L1966" i="16"/>
  <c r="I1966" i="16"/>
  <c r="O6" i="16"/>
  <c r="L6" i="16"/>
  <c r="I6" i="16"/>
  <c r="O895" i="16"/>
  <c r="L895" i="16"/>
  <c r="I895" i="16"/>
  <c r="O320" i="16"/>
  <c r="L320" i="16"/>
  <c r="I320" i="16"/>
  <c r="O1280" i="16"/>
  <c r="L1280" i="16"/>
  <c r="I1280" i="16"/>
  <c r="L1596" i="16"/>
  <c r="O1596" i="16"/>
  <c r="I1596" i="16"/>
  <c r="L2112" i="16"/>
  <c r="O2112" i="16"/>
  <c r="I2112" i="16"/>
  <c r="L1083" i="16"/>
  <c r="O1083" i="16"/>
  <c r="I1083" i="16"/>
  <c r="L891" i="16"/>
  <c r="O891" i="16"/>
  <c r="I891" i="16"/>
  <c r="L727" i="16"/>
  <c r="O727" i="16"/>
  <c r="I727" i="16"/>
  <c r="O258" i="16"/>
  <c r="L258" i="16"/>
  <c r="I258" i="16"/>
  <c r="L370" i="16"/>
  <c r="O370" i="16"/>
  <c r="I370" i="16"/>
  <c r="O1711" i="16"/>
  <c r="L1711" i="16"/>
  <c r="I1711" i="16"/>
  <c r="L660" i="16"/>
  <c r="O660" i="16"/>
  <c r="I660" i="16"/>
  <c r="L1915" i="16"/>
  <c r="O1915" i="16"/>
  <c r="I1915" i="16"/>
  <c r="O259" i="16"/>
  <c r="L259" i="16"/>
  <c r="I259" i="16"/>
  <c r="O375" i="16"/>
  <c r="L375" i="16"/>
  <c r="I375" i="16"/>
  <c r="O1227" i="16"/>
  <c r="L1227" i="16"/>
  <c r="I1227" i="16"/>
  <c r="O963" i="16"/>
  <c r="L963" i="16"/>
  <c r="I963" i="16"/>
  <c r="O1535" i="16"/>
  <c r="L1535" i="16"/>
  <c r="I1535" i="16"/>
  <c r="O324" i="16"/>
  <c r="L324" i="16"/>
  <c r="I324" i="16"/>
  <c r="O321" i="16"/>
  <c r="L321" i="16"/>
  <c r="I321" i="16"/>
  <c r="O1066" i="16"/>
  <c r="L1066" i="16"/>
  <c r="I1066" i="16"/>
  <c r="O1075" i="16"/>
  <c r="L1075" i="16"/>
  <c r="I1075" i="16"/>
  <c r="O1856" i="16"/>
  <c r="L1856" i="16"/>
  <c r="I1856" i="16"/>
  <c r="O982" i="16"/>
  <c r="L982" i="16"/>
  <c r="I982" i="16"/>
  <c r="O1318" i="16"/>
  <c r="L1318" i="16"/>
  <c r="I1318" i="16"/>
  <c r="O269" i="16"/>
  <c r="L269" i="16"/>
  <c r="I269" i="16"/>
  <c r="O839" i="16"/>
  <c r="L839" i="16"/>
  <c r="I839" i="16"/>
  <c r="O761" i="16"/>
  <c r="L761" i="16"/>
  <c r="I761" i="16"/>
  <c r="O1560" i="16"/>
  <c r="L1560" i="16"/>
  <c r="I1560" i="16"/>
  <c r="O77" i="16"/>
  <c r="L77" i="16"/>
  <c r="I77" i="16"/>
  <c r="O790" i="16"/>
  <c r="L790" i="16"/>
  <c r="I790" i="16"/>
  <c r="O2181" i="16"/>
  <c r="L2181" i="16"/>
  <c r="I2181" i="16"/>
  <c r="O1128" i="16"/>
  <c r="L1128" i="16"/>
  <c r="I1128" i="16"/>
  <c r="F1587" i="16"/>
  <c r="G1587" i="16" s="1"/>
  <c r="O1587" i="16"/>
  <c r="L1587" i="16"/>
  <c r="I1587" i="16"/>
  <c r="F921" i="16"/>
  <c r="G921" i="16" s="1"/>
  <c r="O31" i="16"/>
  <c r="L31" i="16"/>
  <c r="I31" i="16"/>
  <c r="O1552" i="16"/>
  <c r="L1552" i="16"/>
  <c r="I1552" i="16"/>
  <c r="O452" i="16"/>
  <c r="L452" i="16"/>
  <c r="I452" i="16"/>
  <c r="O997" i="16"/>
  <c r="L997" i="16"/>
  <c r="I997" i="16"/>
  <c r="O1349" i="16"/>
  <c r="L1349" i="16"/>
  <c r="I1349" i="16"/>
  <c r="O2004" i="16"/>
  <c r="I2004" i="16"/>
  <c r="L2004" i="16"/>
  <c r="O1348" i="16"/>
  <c r="L1348" i="16"/>
  <c r="I1348" i="16"/>
  <c r="O1401" i="16"/>
  <c r="L1401" i="16"/>
  <c r="I1401" i="16"/>
  <c r="O1054" i="16"/>
  <c r="I1054" i="16"/>
  <c r="L1054" i="16"/>
  <c r="O748" i="16"/>
  <c r="I748" i="16"/>
  <c r="L748" i="16"/>
  <c r="O942" i="16"/>
  <c r="L942" i="16"/>
  <c r="I942" i="16"/>
  <c r="O1263" i="16"/>
  <c r="L1263" i="16"/>
  <c r="I1263" i="16"/>
  <c r="O17" i="16"/>
  <c r="L17" i="16"/>
  <c r="I17" i="16"/>
  <c r="O2022" i="16"/>
  <c r="L2022" i="16"/>
  <c r="I2022" i="16"/>
  <c r="L2183" i="16"/>
  <c r="O2183" i="16"/>
  <c r="I2183" i="16"/>
  <c r="O1302" i="16"/>
  <c r="L1302" i="16"/>
  <c r="I1302" i="16"/>
  <c r="O266" i="16"/>
  <c r="L266" i="16"/>
  <c r="I266" i="16"/>
  <c r="O2182" i="16"/>
  <c r="L2182" i="16"/>
  <c r="I2182" i="16"/>
  <c r="L1345" i="16"/>
  <c r="O1345" i="16"/>
  <c r="I1345" i="16"/>
  <c r="O1258" i="16"/>
  <c r="L1258" i="16"/>
  <c r="I1258" i="16"/>
  <c r="O1435" i="16"/>
  <c r="L1435" i="16"/>
  <c r="I1435" i="16"/>
  <c r="O1135" i="16"/>
  <c r="L1135" i="16"/>
  <c r="I1135" i="16"/>
  <c r="O112" i="16"/>
  <c r="L112" i="16"/>
  <c r="I112" i="16"/>
  <c r="L2005" i="16"/>
  <c r="O2005" i="16"/>
  <c r="I2005" i="16"/>
  <c r="O1740" i="16"/>
  <c r="L1740" i="16"/>
  <c r="I1740" i="16"/>
  <c r="O2188" i="16"/>
  <c r="L2188" i="16"/>
  <c r="I2188" i="16"/>
  <c r="O2064" i="16"/>
  <c r="L2064" i="16"/>
  <c r="I2064" i="16"/>
  <c r="O1367" i="16"/>
  <c r="L1367" i="16"/>
  <c r="I1367" i="16"/>
  <c r="O332" i="16"/>
  <c r="L332" i="16"/>
  <c r="I332" i="16"/>
  <c r="O1627" i="16"/>
  <c r="L1627" i="16"/>
  <c r="I1627" i="16"/>
  <c r="O400" i="16"/>
  <c r="I400" i="16"/>
  <c r="L400" i="16"/>
  <c r="O235" i="16"/>
  <c r="L235" i="16"/>
  <c r="I235" i="16"/>
  <c r="O1575" i="16"/>
  <c r="L1575" i="16"/>
  <c r="I1575" i="16"/>
  <c r="O501" i="16"/>
  <c r="L501" i="16"/>
  <c r="I501" i="16"/>
  <c r="O2107" i="16"/>
  <c r="L2107" i="16"/>
  <c r="I2107" i="16"/>
  <c r="O1347" i="16"/>
  <c r="L1347" i="16"/>
  <c r="I1347" i="16"/>
  <c r="O1301" i="16"/>
  <c r="I1301" i="16"/>
  <c r="L1301" i="16"/>
  <c r="O478" i="16"/>
  <c r="L478" i="16"/>
  <c r="I478" i="16"/>
  <c r="O726" i="16"/>
  <c r="L726" i="16"/>
  <c r="I726" i="16"/>
  <c r="O808" i="16"/>
  <c r="L808" i="16"/>
  <c r="I808" i="16"/>
  <c r="O1863" i="16"/>
  <c r="L1863" i="16"/>
  <c r="I1863" i="16"/>
  <c r="O1982" i="16"/>
  <c r="L1982" i="16"/>
  <c r="I1982" i="16"/>
  <c r="O288" i="16"/>
  <c r="L288" i="16"/>
  <c r="I288" i="16"/>
  <c r="O1251" i="16"/>
  <c r="L1251" i="16"/>
  <c r="I1251" i="16"/>
  <c r="L549" i="16"/>
  <c r="O549" i="16"/>
  <c r="I549" i="16"/>
  <c r="O943" i="16"/>
  <c r="L943" i="16"/>
  <c r="I943" i="16"/>
  <c r="L1519" i="16"/>
  <c r="O1519" i="16"/>
  <c r="I1519" i="16"/>
  <c r="O1137" i="16"/>
  <c r="L1137" i="16"/>
  <c r="I1137" i="16"/>
  <c r="L598" i="16"/>
  <c r="O598" i="16"/>
  <c r="I598" i="16"/>
  <c r="O76" i="16"/>
  <c r="L76" i="16"/>
  <c r="I76" i="16"/>
  <c r="O2155" i="16"/>
  <c r="I2155" i="16"/>
  <c r="L2155" i="16"/>
  <c r="O1316" i="16"/>
  <c r="L1316" i="16"/>
  <c r="I1316" i="16"/>
  <c r="O1538" i="16"/>
  <c r="L1538" i="16"/>
  <c r="I1538" i="16"/>
  <c r="O1305" i="16"/>
  <c r="I1305" i="16"/>
  <c r="L1305" i="16"/>
  <c r="O2057" i="16"/>
  <c r="I2057" i="16"/>
  <c r="L2057" i="16"/>
  <c r="O450" i="16"/>
  <c r="L450" i="16"/>
  <c r="I450" i="16"/>
  <c r="O1231" i="16"/>
  <c r="I1231" i="16"/>
  <c r="L1231" i="16"/>
  <c r="O1723" i="16"/>
  <c r="I1723" i="16"/>
  <c r="L1723" i="16"/>
  <c r="O1897" i="16"/>
  <c r="L1897" i="16"/>
  <c r="I1897" i="16"/>
  <c r="O1271" i="16"/>
  <c r="L1271" i="16"/>
  <c r="I1271" i="16"/>
  <c r="O2006" i="16"/>
  <c r="I2006" i="16"/>
  <c r="L2006" i="16"/>
  <c r="O1149" i="16"/>
  <c r="I1149" i="16"/>
  <c r="L1149" i="16"/>
  <c r="O747" i="16"/>
  <c r="I747" i="16"/>
  <c r="L747" i="16"/>
  <c r="O1295" i="16"/>
  <c r="L1295" i="16"/>
  <c r="I1295" i="16"/>
  <c r="O2015" i="16"/>
  <c r="I2015" i="16"/>
  <c r="L2015" i="16"/>
  <c r="O1366" i="16"/>
  <c r="L1366" i="16"/>
  <c r="I1366" i="16"/>
  <c r="O691" i="16"/>
  <c r="L691" i="16"/>
  <c r="I691" i="16"/>
  <c r="O1981" i="16"/>
  <c r="L1981" i="16"/>
  <c r="I1981" i="16"/>
  <c r="O1001" i="16"/>
  <c r="L1001" i="16"/>
  <c r="I1001" i="16"/>
  <c r="O1861" i="16"/>
  <c r="L1861" i="16"/>
  <c r="I1861" i="16"/>
  <c r="O1300" i="16"/>
  <c r="I1300" i="16"/>
  <c r="L1300" i="16"/>
  <c r="O1303" i="16"/>
  <c r="L1303" i="16"/>
  <c r="I1303" i="16"/>
  <c r="O572" i="16"/>
  <c r="I572" i="16"/>
  <c r="L572" i="16"/>
  <c r="O495" i="16"/>
  <c r="L495" i="16"/>
  <c r="I495" i="16"/>
  <c r="O1447" i="16"/>
  <c r="L1447" i="16"/>
  <c r="I1447" i="16"/>
  <c r="O1180" i="16"/>
  <c r="L1180" i="16"/>
  <c r="I1180" i="16"/>
  <c r="O200" i="16"/>
  <c r="I200" i="16"/>
  <c r="L200" i="16"/>
  <c r="O279" i="16"/>
  <c r="L279" i="16"/>
  <c r="I279" i="16"/>
  <c r="O298" i="16"/>
  <c r="I298" i="16"/>
  <c r="L298" i="16"/>
  <c r="O1123" i="16"/>
  <c r="L1123" i="16"/>
  <c r="I1123" i="16"/>
  <c r="O1320" i="16"/>
  <c r="I1320" i="16"/>
  <c r="L1320" i="16"/>
  <c r="F132" i="16"/>
  <c r="G132" i="16" s="1"/>
  <c r="L132" i="16"/>
  <c r="I132" i="16"/>
  <c r="O132" i="16"/>
  <c r="F330" i="16"/>
  <c r="G330" i="16" s="1"/>
  <c r="O330" i="16"/>
  <c r="L330" i="16"/>
  <c r="I330" i="16"/>
  <c r="O1064" i="16"/>
  <c r="L1064" i="16"/>
  <c r="I1064" i="16"/>
  <c r="F1441" i="16"/>
  <c r="G1441" i="16" s="1"/>
  <c r="O1441" i="16"/>
  <c r="L1441" i="16"/>
  <c r="I1441" i="16"/>
  <c r="F975" i="16"/>
  <c r="G975" i="16" s="1"/>
  <c r="O975" i="16"/>
  <c r="L975" i="16"/>
  <c r="I975" i="16"/>
  <c r="F1065" i="16"/>
  <c r="G1065" i="16" s="1"/>
  <c r="O1065" i="16"/>
  <c r="L1065" i="16"/>
  <c r="I1065" i="16"/>
  <c r="O611" i="16"/>
  <c r="L611" i="16"/>
  <c r="I611" i="16"/>
  <c r="F587" i="16"/>
  <c r="G587" i="16" s="1"/>
  <c r="O587" i="16"/>
  <c r="L587" i="16"/>
  <c r="I587" i="16"/>
  <c r="F1082" i="16"/>
  <c r="G1082" i="16" s="1"/>
  <c r="O1082" i="16"/>
  <c r="L1082" i="16"/>
  <c r="I1082" i="16"/>
  <c r="F1292" i="16"/>
  <c r="G1292" i="16" s="1"/>
  <c r="O1292" i="16"/>
  <c r="L1292" i="16"/>
  <c r="I1292" i="16"/>
  <c r="F1481" i="16"/>
  <c r="G1481" i="16" s="1"/>
  <c r="O1481" i="16"/>
  <c r="I1481" i="16"/>
  <c r="L1481" i="16"/>
  <c r="F1701" i="16"/>
  <c r="G1701" i="16" s="1"/>
  <c r="O1701" i="16"/>
  <c r="L1701" i="16"/>
  <c r="I1701" i="16"/>
  <c r="F1319" i="16"/>
  <c r="G1319" i="16" s="1"/>
  <c r="O1319" i="16"/>
  <c r="I1319" i="16"/>
  <c r="L1319" i="16"/>
  <c r="F1275" i="16"/>
  <c r="G1275" i="16" s="1"/>
  <c r="O1275" i="16"/>
  <c r="L1275" i="16"/>
  <c r="I1275" i="16"/>
  <c r="F1846" i="16"/>
  <c r="G1846" i="16" s="1"/>
  <c r="O1846" i="16"/>
  <c r="I1846" i="16"/>
  <c r="L1846" i="16"/>
  <c r="L1479" i="16"/>
  <c r="F550" i="16"/>
  <c r="G550" i="16" s="1"/>
  <c r="O550" i="16"/>
  <c r="L550" i="16"/>
  <c r="I550" i="16"/>
  <c r="O161" i="16"/>
  <c r="L161" i="16"/>
  <c r="I161" i="16"/>
  <c r="O1365" i="16"/>
  <c r="L1365" i="16"/>
  <c r="I1365" i="16"/>
  <c r="O1276" i="16"/>
  <c r="L1276" i="16"/>
  <c r="I1276" i="16"/>
  <c r="O612" i="16"/>
  <c r="L612" i="16"/>
  <c r="I612" i="16"/>
  <c r="F93" i="16"/>
  <c r="G93" i="16" s="1"/>
  <c r="O93" i="16"/>
  <c r="L93" i="16"/>
  <c r="I93" i="16"/>
  <c r="F1368" i="16"/>
  <c r="G1368" i="16" s="1"/>
  <c r="L1368" i="16"/>
  <c r="O1368" i="16"/>
  <c r="I1368" i="16"/>
  <c r="F265" i="16"/>
  <c r="G265" i="16" s="1"/>
  <c r="O265" i="16"/>
  <c r="L265" i="16"/>
  <c r="I265" i="16"/>
  <c r="F1708" i="16"/>
  <c r="G1708" i="16" s="1"/>
  <c r="O1708" i="16"/>
  <c r="L1708" i="16"/>
  <c r="I1708" i="16"/>
  <c r="F286" i="16"/>
  <c r="G286" i="16" s="1"/>
  <c r="O286" i="16"/>
  <c r="I286" i="16"/>
  <c r="L286" i="16"/>
  <c r="F612" i="16"/>
  <c r="G612" i="16" s="1"/>
  <c r="F1519" i="16"/>
  <c r="G1519" i="16" s="1"/>
  <c r="O118" i="16"/>
  <c r="I118" i="16"/>
  <c r="L118" i="16"/>
  <c r="O524" i="16"/>
  <c r="I524" i="16"/>
  <c r="L524" i="16"/>
  <c r="O357" i="16"/>
  <c r="L357" i="16"/>
  <c r="I357" i="16"/>
  <c r="O94" i="16"/>
  <c r="I94" i="16"/>
  <c r="L94" i="16"/>
  <c r="O319" i="16"/>
  <c r="I319" i="16"/>
  <c r="L319" i="16"/>
  <c r="O454" i="16"/>
  <c r="I454" i="16"/>
  <c r="L454" i="16"/>
  <c r="O1139" i="16"/>
  <c r="L1139" i="16"/>
  <c r="I1139" i="16"/>
  <c r="O462" i="16"/>
  <c r="L462" i="16"/>
  <c r="I462" i="16"/>
  <c r="O1484" i="16"/>
  <c r="I1484" i="16"/>
  <c r="L1484" i="16"/>
  <c r="O659" i="16"/>
  <c r="I659" i="16"/>
  <c r="L659" i="16"/>
  <c r="O2059" i="16"/>
  <c r="L2059" i="16"/>
  <c r="I2059" i="16"/>
  <c r="O1851" i="16"/>
  <c r="L1851" i="16"/>
  <c r="I1851" i="16"/>
  <c r="O849" i="16"/>
  <c r="L849" i="16"/>
  <c r="I849" i="16"/>
  <c r="O999" i="16"/>
  <c r="L999" i="16"/>
  <c r="I999" i="16"/>
  <c r="O1439" i="16"/>
  <c r="L1439" i="16"/>
  <c r="I1439" i="16"/>
  <c r="O154" i="16"/>
  <c r="L154" i="16"/>
  <c r="I154" i="16"/>
  <c r="O1606" i="16"/>
  <c r="L1606" i="16"/>
  <c r="I1606" i="16"/>
  <c r="O296" i="16"/>
  <c r="L296" i="16"/>
  <c r="I296" i="16"/>
  <c r="O665" i="16"/>
  <c r="L665" i="16"/>
  <c r="I665" i="16"/>
  <c r="O1530" i="16"/>
  <c r="L1530" i="16"/>
  <c r="I1530" i="16"/>
  <c r="O2088" i="16"/>
  <c r="L2088" i="16"/>
  <c r="I2088" i="16"/>
  <c r="O282" i="16"/>
  <c r="L282" i="16"/>
  <c r="I282" i="16"/>
  <c r="O1679" i="16"/>
  <c r="L1679" i="16"/>
  <c r="I1679" i="16"/>
  <c r="O1954" i="16"/>
  <c r="L1954" i="16"/>
  <c r="I1954" i="16"/>
  <c r="O318" i="16"/>
  <c r="L318" i="16"/>
  <c r="I318" i="16"/>
  <c r="O861" i="16"/>
  <c r="L861" i="16"/>
  <c r="I861" i="16"/>
  <c r="O80" i="16"/>
  <c r="L80" i="16"/>
  <c r="I80" i="16"/>
  <c r="O276" i="16"/>
  <c r="L276" i="16"/>
  <c r="I276" i="16"/>
  <c r="O1817" i="16"/>
  <c r="I1817" i="16"/>
  <c r="L1817" i="16"/>
  <c r="L205" i="16"/>
  <c r="O205" i="16"/>
  <c r="I205" i="16"/>
  <c r="O1956" i="16"/>
  <c r="L1956" i="16"/>
  <c r="I1956" i="16"/>
  <c r="O560" i="16"/>
  <c r="L560" i="16"/>
  <c r="I560" i="16"/>
  <c r="O1304" i="16"/>
  <c r="L1304" i="16"/>
  <c r="I1304" i="16"/>
  <c r="O350" i="16"/>
  <c r="L350" i="16"/>
  <c r="I350" i="16"/>
  <c r="O1199" i="16"/>
  <c r="L1199" i="16"/>
  <c r="I1199" i="16"/>
  <c r="O1644" i="16"/>
  <c r="L1644" i="16"/>
  <c r="I1644" i="16"/>
  <c r="O272" i="16"/>
  <c r="L272" i="16"/>
  <c r="I272" i="16"/>
  <c r="O496" i="16"/>
  <c r="L496" i="16"/>
  <c r="I496" i="16"/>
  <c r="O1610" i="16"/>
  <c r="L1610" i="16"/>
  <c r="I1610" i="16"/>
  <c r="O1116" i="16"/>
  <c r="L1116" i="16"/>
  <c r="I1116" i="16"/>
  <c r="O643" i="16"/>
  <c r="L643" i="16"/>
  <c r="I643" i="16"/>
  <c r="L674" i="16"/>
  <c r="O674" i="16"/>
  <c r="I674" i="16"/>
  <c r="O1720" i="16"/>
  <c r="L1720" i="16"/>
  <c r="I1720" i="16"/>
  <c r="O1614" i="16"/>
  <c r="L1614" i="16"/>
  <c r="I1614" i="16"/>
  <c r="O1148" i="16"/>
  <c r="L1148" i="16"/>
  <c r="I1148" i="16"/>
  <c r="O2068" i="16"/>
  <c r="L2068" i="16"/>
  <c r="I2068" i="16"/>
  <c r="O545" i="16"/>
  <c r="L545" i="16"/>
  <c r="I545" i="16"/>
  <c r="O1315" i="16"/>
  <c r="L1315" i="16"/>
  <c r="I1315" i="16"/>
  <c r="O267" i="16"/>
  <c r="L267" i="16"/>
  <c r="I267" i="16"/>
  <c r="O347" i="16"/>
  <c r="L347" i="16"/>
  <c r="I347" i="16"/>
  <c r="O512" i="16"/>
  <c r="L512" i="16"/>
  <c r="I512" i="16"/>
  <c r="O1081" i="16"/>
  <c r="L1081" i="16"/>
  <c r="I1081" i="16"/>
  <c r="F2155" i="16"/>
  <c r="G2155" i="16" s="1"/>
  <c r="F1316" i="16"/>
  <c r="G1316" i="16" s="1"/>
  <c r="F1538" i="16"/>
  <c r="G1538" i="16" s="1"/>
  <c r="F1305" i="16"/>
  <c r="G1305" i="16" s="1"/>
  <c r="F2057" i="16"/>
  <c r="G2057" i="16" s="1"/>
  <c r="F450" i="16"/>
  <c r="G450" i="16" s="1"/>
  <c r="F1231" i="16"/>
  <c r="G1231" i="16" s="1"/>
  <c r="F1723" i="16"/>
  <c r="G1723" i="16" s="1"/>
  <c r="F1897" i="16"/>
  <c r="G1897" i="16" s="1"/>
  <c r="F1271" i="16"/>
  <c r="G1271" i="16" s="1"/>
  <c r="F2006" i="16"/>
  <c r="G2006" i="16" s="1"/>
  <c r="F1149" i="16"/>
  <c r="G1149" i="16" s="1"/>
  <c r="F747" i="16"/>
  <c r="G747" i="16" s="1"/>
  <c r="F1295" i="16"/>
  <c r="G1295" i="16" s="1"/>
  <c r="F2015" i="16"/>
  <c r="G2015" i="16" s="1"/>
  <c r="F1366" i="16"/>
  <c r="G1366" i="16" s="1"/>
  <c r="F691" i="16"/>
  <c r="G691" i="16" s="1"/>
  <c r="F1981" i="16"/>
  <c r="G1981" i="16" s="1"/>
  <c r="F1001" i="16"/>
  <c r="G1001" i="16" s="1"/>
  <c r="F1861" i="16"/>
  <c r="G1861" i="16" s="1"/>
  <c r="F1300" i="16"/>
  <c r="G1300" i="16" s="1"/>
  <c r="F1303" i="16"/>
  <c r="G1303" i="16" s="1"/>
  <c r="F572" i="16"/>
  <c r="G572" i="16" s="1"/>
  <c r="F495" i="16"/>
  <c r="G495" i="16" s="1"/>
  <c r="F1447" i="16"/>
  <c r="G1447" i="16" s="1"/>
  <c r="F1180" i="16"/>
  <c r="G1180" i="16" s="1"/>
  <c r="F200" i="16"/>
  <c r="G200" i="16" s="1"/>
  <c r="F279" i="16"/>
  <c r="G279" i="16" s="1"/>
  <c r="F298" i="16"/>
  <c r="G298" i="16" s="1"/>
  <c r="F1123" i="16"/>
  <c r="G1123" i="16" s="1"/>
  <c r="F1320" i="16"/>
  <c r="G1320" i="16" s="1"/>
  <c r="F1068" i="16"/>
  <c r="G1068" i="16" s="1"/>
  <c r="F1393" i="16"/>
  <c r="G1393" i="16" s="1"/>
  <c r="F1967" i="16"/>
  <c r="G1967" i="16" s="1"/>
  <c r="F1511" i="16"/>
  <c r="G1511" i="16" s="1"/>
  <c r="F1707" i="16"/>
  <c r="G1707" i="16" s="1"/>
  <c r="F1325" i="16"/>
  <c r="G1325" i="16" s="1"/>
  <c r="F2181" i="16"/>
  <c r="G2181" i="16" s="1"/>
  <c r="F1128" i="16"/>
  <c r="G1128" i="16" s="1"/>
  <c r="F790" i="16"/>
  <c r="G790" i="16" s="1"/>
  <c r="F113" i="16"/>
  <c r="G113" i="16" s="1"/>
  <c r="F232" i="16"/>
  <c r="G232" i="16" s="1"/>
  <c r="F1893" i="16"/>
  <c r="G1893" i="16" s="1"/>
  <c r="F1357" i="16"/>
  <c r="G1357" i="16" s="1"/>
  <c r="F530" i="16"/>
  <c r="G530" i="16" s="1"/>
  <c r="F1351" i="16"/>
  <c r="G1351" i="16" s="1"/>
  <c r="F1129" i="16"/>
  <c r="G1129" i="16" s="1"/>
  <c r="F1966" i="16"/>
  <c r="G1966" i="16" s="1"/>
  <c r="F6" i="16"/>
  <c r="G6" i="16" s="1"/>
  <c r="H6" i="16" s="1"/>
  <c r="F895" i="16"/>
  <c r="G895" i="16" s="1"/>
  <c r="F320" i="16"/>
  <c r="G320" i="16" s="1"/>
  <c r="F1280" i="16"/>
  <c r="G1280" i="16" s="1"/>
  <c r="F161" i="16"/>
  <c r="G161" i="16" s="1"/>
  <c r="F1251" i="16"/>
  <c r="G1251" i="16" s="1"/>
  <c r="F1276" i="16"/>
  <c r="G1276" i="16" s="1"/>
  <c r="F720" i="16"/>
  <c r="G720" i="16" s="1"/>
  <c r="F542" i="16"/>
  <c r="G542" i="16" s="1"/>
  <c r="F582" i="16"/>
  <c r="G582" i="16" s="1"/>
  <c r="F2019" i="16"/>
  <c r="G2019" i="16" s="1"/>
  <c r="F922" i="16"/>
  <c r="G922" i="16" s="1"/>
  <c r="F1962" i="16"/>
  <c r="G1962" i="16" s="1"/>
  <c r="F549" i="16"/>
  <c r="G549" i="16" s="1"/>
  <c r="F788" i="16"/>
  <c r="G788" i="16" s="1"/>
  <c r="F1365" i="16"/>
  <c r="G1365" i="16" s="1"/>
  <c r="F1643" i="16"/>
  <c r="G1643" i="16" s="1"/>
  <c r="F884" i="16"/>
  <c r="G884" i="16" s="1"/>
  <c r="F1857" i="16"/>
  <c r="G1857" i="16" s="1"/>
  <c r="F652" i="16"/>
  <c r="G652" i="16" s="1"/>
  <c r="F1642" i="16"/>
  <c r="G1642" i="16" s="1"/>
  <c r="F277" i="16"/>
  <c r="G277" i="16" s="1"/>
  <c r="F1000" i="16"/>
  <c r="G1000" i="16" s="1"/>
  <c r="F693" i="16"/>
  <c r="G693" i="16" s="1"/>
  <c r="F358" i="16"/>
  <c r="G358" i="16" s="1"/>
  <c r="F270" i="16"/>
  <c r="G270" i="16" s="1"/>
  <c r="F233" i="16"/>
  <c r="G233" i="16" s="1"/>
  <c r="F769" i="16"/>
  <c r="G769" i="16" s="1"/>
  <c r="F1853" i="16"/>
  <c r="G1853" i="16" s="1"/>
  <c r="F941" i="16"/>
  <c r="G941" i="16" s="1"/>
  <c r="F920" i="16"/>
  <c r="G920" i="16" s="1"/>
  <c r="F1121" i="16"/>
  <c r="G1121" i="16" s="1"/>
  <c r="F2124" i="16"/>
  <c r="G2124" i="16" s="1"/>
  <c r="F523" i="16"/>
  <c r="G523" i="16" s="1"/>
  <c r="F2074" i="16"/>
  <c r="G2074" i="16" s="1"/>
  <c r="F502" i="16"/>
  <c r="G502" i="16" s="1"/>
  <c r="F1125" i="16"/>
  <c r="G1125" i="16" s="1"/>
  <c r="F635" i="16"/>
  <c r="G635" i="16" s="1"/>
  <c r="F1440" i="16"/>
  <c r="G1440" i="16" s="1"/>
  <c r="F796" i="16"/>
  <c r="G796" i="16" s="1"/>
  <c r="F1890" i="16"/>
  <c r="G1890" i="16" s="1"/>
  <c r="F713" i="16"/>
  <c r="G713" i="16" s="1"/>
  <c r="F1168" i="16"/>
  <c r="G1168" i="16" s="1"/>
  <c r="F449" i="16"/>
  <c r="G449" i="16" s="1"/>
  <c r="F1732" i="16"/>
  <c r="G1732" i="16" s="1"/>
  <c r="F806" i="16"/>
  <c r="G806" i="16" s="1"/>
  <c r="F1493" i="16"/>
  <c r="G1493" i="16" s="1"/>
  <c r="F367" i="16"/>
  <c r="G367" i="16" s="1"/>
  <c r="F1219" i="16"/>
  <c r="G1219" i="16" s="1"/>
  <c r="F529" i="16"/>
  <c r="G529" i="16" s="1"/>
  <c r="F1886" i="16"/>
  <c r="G1886" i="16" s="1"/>
  <c r="F506" i="16"/>
  <c r="G506" i="16" s="1"/>
  <c r="F1160" i="16"/>
  <c r="G1160" i="16" s="1"/>
  <c r="F1064" i="16"/>
  <c r="G1064" i="16" s="1"/>
  <c r="F611" i="16"/>
  <c r="G611" i="16" s="1"/>
  <c r="F1486" i="16"/>
  <c r="G1486" i="16" s="1"/>
  <c r="F284" i="16"/>
  <c r="G284" i="16" s="1"/>
  <c r="F1449" i="16"/>
  <c r="G1449" i="16" s="1"/>
  <c r="F970" i="16"/>
  <c r="G970" i="16" s="1"/>
  <c r="H713" i="16" l="1"/>
  <c r="H1271" i="16"/>
  <c r="H1846" i="16"/>
  <c r="H1279" i="16"/>
  <c r="H1394" i="16"/>
  <c r="H258" i="16"/>
  <c r="H276" i="16"/>
  <c r="H1302" i="16"/>
  <c r="H358" i="16"/>
  <c r="H1393" i="16"/>
  <c r="H1128" i="16"/>
  <c r="H1064" i="16"/>
  <c r="H769" i="16"/>
  <c r="H652" i="16"/>
  <c r="H1707" i="16"/>
  <c r="H279" i="16"/>
  <c r="H1861" i="16"/>
  <c r="H1149" i="16"/>
  <c r="H1305" i="16"/>
  <c r="H1519" i="16"/>
  <c r="H132" i="16"/>
  <c r="H1587" i="16"/>
  <c r="H1294" i="16"/>
  <c r="H1236" i="16"/>
  <c r="H1680" i="16"/>
  <c r="H475" i="16"/>
  <c r="H1411" i="16"/>
  <c r="H1783" i="16"/>
  <c r="H1581" i="16"/>
  <c r="H1931" i="16"/>
  <c r="H1009" i="16"/>
  <c r="H2168" i="16"/>
  <c r="H1450" i="16"/>
  <c r="H1032" i="16"/>
  <c r="H533" i="16"/>
  <c r="H655" i="16"/>
  <c r="H324" i="16"/>
  <c r="H1136" i="16"/>
  <c r="H838" i="16"/>
  <c r="H1605" i="16"/>
  <c r="H1338" i="16"/>
  <c r="H477" i="16"/>
  <c r="H680" i="16"/>
  <c r="H579" i="16"/>
  <c r="H748" i="16"/>
  <c r="H1560" i="16"/>
  <c r="H1856" i="16"/>
  <c r="H2068" i="16"/>
  <c r="H1568" i="16"/>
  <c r="H118" i="16"/>
  <c r="H947" i="16"/>
  <c r="H451" i="16"/>
  <c r="H1644" i="16"/>
  <c r="H31" i="16"/>
  <c r="H551" i="16"/>
  <c r="H205" i="16"/>
  <c r="H2088" i="16"/>
  <c r="H996" i="16"/>
  <c r="H1986" i="16"/>
  <c r="H1494" i="16"/>
  <c r="H1105" i="16"/>
  <c r="H1108" i="16"/>
  <c r="H235" i="16"/>
  <c r="H529" i="16"/>
  <c r="H1319" i="16"/>
  <c r="H1124" i="16"/>
  <c r="H2188" i="16"/>
  <c r="H284" i="16"/>
  <c r="H542" i="16"/>
  <c r="H691" i="16"/>
  <c r="H1440" i="16"/>
  <c r="H1129" i="16"/>
  <c r="H1231" i="16"/>
  <c r="H635" i="16"/>
  <c r="H1125" i="16"/>
  <c r="H970" i="16"/>
  <c r="H1886" i="16"/>
  <c r="H1168" i="16"/>
  <c r="H233" i="16"/>
  <c r="H1857" i="16"/>
  <c r="H2019" i="16"/>
  <c r="H320" i="16"/>
  <c r="H1893" i="16"/>
  <c r="H1511" i="16"/>
  <c r="H200" i="16"/>
  <c r="H1001" i="16"/>
  <c r="H2006" i="16"/>
  <c r="H1538" i="16"/>
  <c r="H612" i="16"/>
  <c r="H1708" i="16"/>
  <c r="H1368" i="16"/>
  <c r="H975" i="16"/>
  <c r="H216" i="16"/>
  <c r="H1350" i="16"/>
  <c r="H749" i="16"/>
  <c r="H1284" i="16"/>
  <c r="H366" i="16"/>
  <c r="H1190" i="16"/>
  <c r="H692" i="16"/>
  <c r="H1321" i="16"/>
  <c r="H862" i="16"/>
  <c r="H1659" i="16"/>
  <c r="H1445" i="16"/>
  <c r="H1244" i="16"/>
  <c r="H2167" i="16"/>
  <c r="H2114" i="16"/>
  <c r="H1306" i="16"/>
  <c r="H285" i="16"/>
  <c r="H1711" i="16"/>
  <c r="H768" i="16"/>
  <c r="H1474" i="16"/>
  <c r="H705" i="16"/>
  <c r="H1179" i="16"/>
  <c r="H487" i="16"/>
  <c r="H347" i="16"/>
  <c r="H77" i="16"/>
  <c r="H839" i="16"/>
  <c r="H1851" i="16"/>
  <c r="H1137" i="16"/>
  <c r="H524" i="16"/>
  <c r="H1116" i="16"/>
  <c r="H350" i="16"/>
  <c r="H1810" i="16"/>
  <c r="H1731" i="16"/>
  <c r="H1317" i="16"/>
  <c r="H236" i="16"/>
  <c r="H2103" i="16"/>
  <c r="H1435" i="16"/>
  <c r="H2022" i="16"/>
  <c r="H461" i="16"/>
  <c r="H884" i="16"/>
  <c r="H1646" i="16"/>
  <c r="H1480" i="16"/>
  <c r="H271" i="16"/>
  <c r="H371" i="16"/>
  <c r="H360" i="16"/>
  <c r="H453" i="16"/>
  <c r="H1285" i="16"/>
  <c r="H1140" i="16"/>
  <c r="H1992" i="16"/>
  <c r="H1446" i="16"/>
  <c r="H1261" i="16"/>
  <c r="H766" i="16"/>
  <c r="H1346" i="16"/>
  <c r="H62" i="16"/>
  <c r="H767" i="16"/>
  <c r="H2001" i="16"/>
  <c r="H452" i="16"/>
  <c r="H1342" i="16"/>
  <c r="H765" i="16"/>
  <c r="H1577" i="16"/>
  <c r="H1850" i="16"/>
  <c r="H494" i="16"/>
  <c r="H762" i="16"/>
  <c r="H1439" i="16"/>
  <c r="H944" i="16"/>
  <c r="H1066" i="16"/>
  <c r="H1535" i="16"/>
  <c r="H375" i="16"/>
  <c r="H1054" i="16"/>
  <c r="H674" i="16"/>
  <c r="H1199" i="16"/>
  <c r="H1588" i="16"/>
  <c r="H643" i="16"/>
  <c r="H1304" i="16"/>
  <c r="H349" i="16"/>
  <c r="H387" i="16"/>
  <c r="H1107" i="16"/>
  <c r="H1740" i="16"/>
  <c r="H1135" i="16"/>
  <c r="H1138" i="16"/>
  <c r="H163" i="16"/>
  <c r="H605" i="16"/>
  <c r="H1484" i="16"/>
  <c r="H287" i="16"/>
  <c r="H1228" i="16"/>
  <c r="H2124" i="16"/>
  <c r="H1447" i="16"/>
  <c r="H693" i="16"/>
  <c r="H1966" i="16"/>
  <c r="H790" i="16"/>
  <c r="H495" i="16"/>
  <c r="H1366" i="16"/>
  <c r="H1723" i="16"/>
  <c r="H330" i="16"/>
  <c r="H335" i="16"/>
  <c r="H2100" i="16"/>
  <c r="H863" i="16"/>
  <c r="H1067" i="16"/>
  <c r="H1352" i="16"/>
  <c r="H1296" i="16"/>
  <c r="H1141" i="16"/>
  <c r="H2101" i="16"/>
  <c r="H962" i="16"/>
  <c r="H462" i="16"/>
  <c r="H634" i="16"/>
  <c r="H1555" i="16"/>
  <c r="H1226" i="16"/>
  <c r="H1202" i="16"/>
  <c r="H1937" i="16"/>
  <c r="H789" i="16"/>
  <c r="H876" i="16"/>
  <c r="H385" i="16"/>
  <c r="H1574" i="16"/>
  <c r="H1573" i="16"/>
  <c r="H786" i="16"/>
  <c r="H1341" i="16"/>
  <c r="H588" i="16"/>
  <c r="H76" i="16"/>
  <c r="H1924" i="16"/>
  <c r="H659" i="16"/>
  <c r="H282" i="16"/>
  <c r="H80" i="16"/>
  <c r="H154" i="16"/>
  <c r="H861" i="16"/>
  <c r="H1530" i="16"/>
  <c r="H2115" i="16"/>
  <c r="H1345" i="16"/>
  <c r="H969" i="16"/>
  <c r="H2182" i="16"/>
  <c r="H2064" i="16"/>
  <c r="H1477" i="16"/>
  <c r="H2187" i="16"/>
  <c r="H1316" i="16"/>
  <c r="H1925" i="16"/>
  <c r="H1118" i="16"/>
  <c r="H386" i="16"/>
  <c r="H357" i="16"/>
  <c r="H328" i="16"/>
  <c r="H95" i="16"/>
  <c r="H1954" i="16"/>
  <c r="H1897" i="16"/>
  <c r="H1276" i="16"/>
  <c r="H2015" i="16"/>
  <c r="H286" i="16"/>
  <c r="H265" i="16"/>
  <c r="H93" i="16"/>
  <c r="H550" i="16"/>
  <c r="H1065" i="16"/>
  <c r="H1441" i="16"/>
  <c r="H734" i="16"/>
  <c r="H1600" i="16"/>
  <c r="H826" i="16"/>
  <c r="H1253" i="16"/>
  <c r="H1222" i="16"/>
  <c r="H1541" i="16"/>
  <c r="H459" i="16"/>
  <c r="H1576" i="16"/>
  <c r="H1115" i="16"/>
  <c r="H597" i="16"/>
  <c r="H2185" i="16"/>
  <c r="H1197" i="16"/>
  <c r="H589" i="16"/>
  <c r="H1399" i="16"/>
  <c r="H1987" i="16"/>
  <c r="H359" i="16"/>
  <c r="H556" i="16"/>
  <c r="H1103" i="16"/>
  <c r="H300" i="16"/>
  <c r="H598" i="16"/>
  <c r="H1139" i="16"/>
  <c r="H160" i="16"/>
  <c r="H932" i="16"/>
  <c r="H779" i="16"/>
  <c r="H1552" i="16"/>
  <c r="H1081" i="16"/>
  <c r="H1293" i="16"/>
  <c r="H1614" i="16"/>
  <c r="H573" i="16"/>
  <c r="H2059" i="16"/>
  <c r="H943" i="16"/>
  <c r="H272" i="16"/>
  <c r="H1817" i="16"/>
  <c r="H1130" i="16"/>
  <c r="H1647" i="16"/>
  <c r="H266" i="16"/>
  <c r="H583" i="16"/>
  <c r="H1367" i="16"/>
  <c r="H1258" i="16"/>
  <c r="H501" i="16"/>
  <c r="H1180" i="16"/>
  <c r="H1082" i="16"/>
  <c r="H460" i="16"/>
  <c r="H1281" i="16"/>
  <c r="H221" i="16"/>
  <c r="H1053" i="16"/>
  <c r="H60" i="16"/>
  <c r="H454" i="16"/>
  <c r="H332" i="16"/>
  <c r="H1219" i="16"/>
  <c r="H1000" i="16"/>
  <c r="H1320" i="16"/>
  <c r="H277" i="16"/>
  <c r="H549" i="16"/>
  <c r="H1251" i="16"/>
  <c r="H1351" i="16"/>
  <c r="H2181" i="16"/>
  <c r="H1123" i="16"/>
  <c r="H1303" i="16"/>
  <c r="H1295" i="16"/>
  <c r="H450" i="16"/>
  <c r="H1275" i="16"/>
  <c r="H1701" i="16"/>
  <c r="H1292" i="16"/>
  <c r="H587" i="16"/>
  <c r="H1603" i="16"/>
  <c r="H1724" i="16"/>
  <c r="H301" i="16"/>
  <c r="H1725" i="16"/>
  <c r="H527" i="16"/>
  <c r="H348" i="16"/>
  <c r="H427" i="16"/>
  <c r="H1270" i="16"/>
  <c r="H936" i="16"/>
  <c r="H1416" i="16"/>
  <c r="H1167" i="16"/>
  <c r="H1709" i="16"/>
  <c r="H1291" i="16"/>
  <c r="H2164" i="16"/>
  <c r="H894" i="16"/>
  <c r="H745" i="16"/>
  <c r="H1615" i="16"/>
  <c r="H1392" i="16"/>
  <c r="H1208" i="16"/>
  <c r="H997" i="16"/>
  <c r="H1852" i="16"/>
  <c r="H1340" i="16"/>
  <c r="H79" i="16"/>
  <c r="H92" i="16"/>
  <c r="H1569" i="16"/>
  <c r="H942" i="16"/>
  <c r="H1364" i="16"/>
  <c r="H296" i="16"/>
  <c r="H1956" i="16"/>
  <c r="H665" i="16"/>
  <c r="H923" i="16"/>
  <c r="H319" i="16"/>
  <c r="H1523" i="16"/>
  <c r="H1377" i="16"/>
  <c r="H1282" i="16"/>
  <c r="H1575" i="16"/>
  <c r="H400" i="16"/>
  <c r="H761" i="16"/>
  <c r="H1981" i="16"/>
  <c r="H1481" i="16"/>
  <c r="H61" i="16"/>
  <c r="H2140" i="16"/>
  <c r="H2135" i="16"/>
  <c r="H1262" i="16"/>
  <c r="H982" i="16"/>
  <c r="H849" i="16"/>
  <c r="H1679" i="16"/>
  <c r="H1542" i="16"/>
  <c r="H2155" i="16"/>
  <c r="H611" i="16"/>
  <c r="H788" i="16"/>
  <c r="H572" i="16"/>
  <c r="H1853" i="16"/>
  <c r="H1962" i="16"/>
  <c r="H161" i="16"/>
  <c r="H530" i="16"/>
  <c r="H298" i="16"/>
  <c r="H1300" i="16"/>
  <c r="H747" i="16"/>
  <c r="H2057" i="16"/>
  <c r="H1194" i="16"/>
  <c r="H1567" i="16"/>
  <c r="H770" i="16"/>
  <c r="H1862" i="16"/>
  <c r="H27" i="16"/>
  <c r="H329" i="16"/>
  <c r="H804" i="16"/>
  <c r="H656" i="16"/>
  <c r="H1901" i="16"/>
  <c r="H1876" i="16"/>
  <c r="H1433" i="16"/>
  <c r="H892" i="16"/>
  <c r="H1348" i="16"/>
  <c r="H1536" i="16"/>
  <c r="H1934" i="16"/>
  <c r="H1739" i="16"/>
  <c r="H716" i="16"/>
  <c r="H2079" i="16"/>
  <c r="H1475" i="16"/>
  <c r="H1946" i="16"/>
  <c r="H267" i="16"/>
  <c r="H1148" i="16"/>
  <c r="H2160" i="16"/>
  <c r="H1610" i="16"/>
  <c r="H560" i="16"/>
  <c r="H1478" i="16"/>
  <c r="H1055" i="16"/>
  <c r="H2183" i="16"/>
  <c r="H1263" i="16"/>
  <c r="H17" i="16"/>
  <c r="H1627" i="16"/>
  <c r="H2005" i="16"/>
  <c r="H941" i="16"/>
  <c r="H1449" i="16"/>
  <c r="H523" i="16"/>
  <c r="H270" i="16"/>
  <c r="H582" i="16"/>
  <c r="H895" i="16"/>
  <c r="H232" i="16"/>
  <c r="H1967" i="16"/>
  <c r="H1890" i="16"/>
  <c r="H113" i="16"/>
  <c r="H1642" i="16"/>
  <c r="H2074" i="16"/>
  <c r="H1643" i="16"/>
  <c r="H1486" i="16"/>
  <c r="H367" i="16"/>
  <c r="H796" i="16"/>
  <c r="H1121" i="16"/>
  <c r="H1365" i="16"/>
  <c r="H720" i="16"/>
  <c r="H1068" i="16"/>
  <c r="H921" i="16"/>
  <c r="H1325" i="16"/>
  <c r="H1493" i="16"/>
  <c r="H920" i="16"/>
  <c r="H806" i="16"/>
  <c r="H1160" i="16"/>
  <c r="H1732" i="16"/>
  <c r="H506" i="16"/>
  <c r="H449" i="16"/>
  <c r="H502" i="16"/>
  <c r="H922" i="16"/>
  <c r="H1280" i="16"/>
  <c r="H1357" i="16"/>
  <c r="I2" i="16"/>
  <c r="AD2" i="16"/>
  <c r="L2" i="16"/>
  <c r="R2" i="16"/>
  <c r="X2" i="16"/>
  <c r="O2" i="16"/>
  <c r="AA2" i="16"/>
  <c r="U2" i="16"/>
  <c r="Y7" i="16" l="1"/>
  <c r="Y15" i="16"/>
  <c r="Y23" i="16"/>
  <c r="Y31" i="16"/>
  <c r="Y39" i="16"/>
  <c r="Y47" i="16"/>
  <c r="Y55" i="16"/>
  <c r="Y63" i="16"/>
  <c r="Y71" i="16"/>
  <c r="Y79" i="16"/>
  <c r="Y87" i="16"/>
  <c r="Y95" i="16"/>
  <c r="Y103" i="16"/>
  <c r="Y111" i="16"/>
  <c r="Y119" i="16"/>
  <c r="Y127" i="16"/>
  <c r="Y135" i="16"/>
  <c r="Y143" i="16"/>
  <c r="Y151" i="16"/>
  <c r="Y159" i="16"/>
  <c r="Y167" i="16"/>
  <c r="Y175" i="16"/>
  <c r="Y183" i="16"/>
  <c r="Y191" i="16"/>
  <c r="Y199" i="16"/>
  <c r="Y207" i="16"/>
  <c r="Y215" i="16"/>
  <c r="Y223" i="16"/>
  <c r="Y231" i="16"/>
  <c r="Y239" i="16"/>
  <c r="Y247" i="16"/>
  <c r="Y255" i="16"/>
  <c r="Y263" i="16"/>
  <c r="Y271" i="16"/>
  <c r="Y279" i="16"/>
  <c r="Y287" i="16"/>
  <c r="Y295" i="16"/>
  <c r="Y303" i="16"/>
  <c r="Y311" i="16"/>
  <c r="Y319" i="16"/>
  <c r="Y327" i="16"/>
  <c r="Y335" i="16"/>
  <c r="Y343" i="16"/>
  <c r="Y351" i="16"/>
  <c r="Y359" i="16"/>
  <c r="Y367" i="16"/>
  <c r="Y375" i="16"/>
  <c r="Y383" i="16"/>
  <c r="Y391" i="16"/>
  <c r="Y399" i="16"/>
  <c r="Y407" i="16"/>
  <c r="Y415" i="16"/>
  <c r="Y423" i="16"/>
  <c r="Y431" i="16"/>
  <c r="Y439" i="16"/>
  <c r="Y447" i="16"/>
  <c r="Y455" i="16"/>
  <c r="Y463" i="16"/>
  <c r="Y471" i="16"/>
  <c r="Y479" i="16"/>
  <c r="Y487" i="16"/>
  <c r="Y495" i="16"/>
  <c r="Y503" i="16"/>
  <c r="Y511" i="16"/>
  <c r="Y519" i="16"/>
  <c r="Y527" i="16"/>
  <c r="Y535" i="16"/>
  <c r="Y543" i="16"/>
  <c r="Y551" i="16"/>
  <c r="Y559" i="16"/>
  <c r="Y567" i="16"/>
  <c r="Y575" i="16"/>
  <c r="Y583" i="16"/>
  <c r="Y591" i="16"/>
  <c r="Y599" i="16"/>
  <c r="Y607" i="16"/>
  <c r="Y615" i="16"/>
  <c r="Y623" i="16"/>
  <c r="Y631" i="16"/>
  <c r="Y639" i="16"/>
  <c r="Y647" i="16"/>
  <c r="Y655" i="16"/>
  <c r="Y663" i="16"/>
  <c r="Y671" i="16"/>
  <c r="Y679" i="16"/>
  <c r="Y687" i="16"/>
  <c r="Y695" i="16"/>
  <c r="Y703" i="16"/>
  <c r="Y8" i="16"/>
  <c r="Y16" i="16"/>
  <c r="Y24" i="16"/>
  <c r="Y32" i="16"/>
  <c r="Y40" i="16"/>
  <c r="Y48" i="16"/>
  <c r="Y56" i="16"/>
  <c r="Y64" i="16"/>
  <c r="Y72" i="16"/>
  <c r="Y80" i="16"/>
  <c r="Y88" i="16"/>
  <c r="Y96" i="16"/>
  <c r="Y104" i="16"/>
  <c r="Y112" i="16"/>
  <c r="Y120" i="16"/>
  <c r="Y128" i="16"/>
  <c r="Y136" i="16"/>
  <c r="Y144" i="16"/>
  <c r="Y152" i="16"/>
  <c r="Y160" i="16"/>
  <c r="Y168" i="16"/>
  <c r="Y176" i="16"/>
  <c r="Y184" i="16"/>
  <c r="Y192" i="16"/>
  <c r="Y200" i="16"/>
  <c r="Y208" i="16"/>
  <c r="Y216" i="16"/>
  <c r="Y224" i="16"/>
  <c r="Y232" i="16"/>
  <c r="Y240" i="16"/>
  <c r="Y248" i="16"/>
  <c r="Y256" i="16"/>
  <c r="Y264" i="16"/>
  <c r="Y272" i="16"/>
  <c r="Y280" i="16"/>
  <c r="Y288" i="16"/>
  <c r="Y296" i="16"/>
  <c r="Y304" i="16"/>
  <c r="Y312" i="16"/>
  <c r="Y320" i="16"/>
  <c r="Y328" i="16"/>
  <c r="Y336" i="16"/>
  <c r="Y344" i="16"/>
  <c r="Y352" i="16"/>
  <c r="Y360" i="16"/>
  <c r="Y368" i="16"/>
  <c r="Y376" i="16"/>
  <c r="Y384" i="16"/>
  <c r="Y392" i="16"/>
  <c r="Y400" i="16"/>
  <c r="Y408" i="16"/>
  <c r="Y416" i="16"/>
  <c r="Y424" i="16"/>
  <c r="Y432" i="16"/>
  <c r="Y440" i="16"/>
  <c r="Y448" i="16"/>
  <c r="Y456" i="16"/>
  <c r="Y464" i="16"/>
  <c r="Y472" i="16"/>
  <c r="Y480" i="16"/>
  <c r="Y488" i="16"/>
  <c r="Y496" i="16"/>
  <c r="Y504" i="16"/>
  <c r="Y512" i="16"/>
  <c r="Y520" i="16"/>
  <c r="Y528" i="16"/>
  <c r="Y536" i="16"/>
  <c r="Y544" i="16"/>
  <c r="Y552" i="16"/>
  <c r="Y560" i="16"/>
  <c r="Y568" i="16"/>
  <c r="Y576" i="16"/>
  <c r="Y584" i="16"/>
  <c r="Y592" i="16"/>
  <c r="Y600" i="16"/>
  <c r="Y608" i="16"/>
  <c r="Y616" i="16"/>
  <c r="Y624" i="16"/>
  <c r="Y632" i="16"/>
  <c r="Y640" i="16"/>
  <c r="Y648" i="16"/>
  <c r="Y656" i="16"/>
  <c r="Y664" i="16"/>
  <c r="Y672" i="16"/>
  <c r="Y680" i="16"/>
  <c r="Y688" i="16"/>
  <c r="Y696" i="16"/>
  <c r="Y9" i="16"/>
  <c r="Y17" i="16"/>
  <c r="Y25" i="16"/>
  <c r="Y33" i="16"/>
  <c r="Y41" i="16"/>
  <c r="Y49" i="16"/>
  <c r="Y57" i="16"/>
  <c r="Y65" i="16"/>
  <c r="Y73" i="16"/>
  <c r="Y81" i="16"/>
  <c r="Y89" i="16"/>
  <c r="Y97" i="16"/>
  <c r="Y105" i="16"/>
  <c r="Y113" i="16"/>
  <c r="Y121" i="16"/>
  <c r="Y129" i="16"/>
  <c r="Y137" i="16"/>
  <c r="Y145" i="16"/>
  <c r="Y153" i="16"/>
  <c r="Y161" i="16"/>
  <c r="Y169" i="16"/>
  <c r="Y177" i="16"/>
  <c r="Y185" i="16"/>
  <c r="Y193" i="16"/>
  <c r="Y201" i="16"/>
  <c r="Y209" i="16"/>
  <c r="Y217" i="16"/>
  <c r="Y225" i="16"/>
  <c r="Y233" i="16"/>
  <c r="Y241" i="16"/>
  <c r="Y249" i="16"/>
  <c r="Y257" i="16"/>
  <c r="Y265" i="16"/>
  <c r="Y273" i="16"/>
  <c r="Y281" i="16"/>
  <c r="Y289" i="16"/>
  <c r="Y297" i="16"/>
  <c r="Y305" i="16"/>
  <c r="Y313" i="16"/>
  <c r="Y321" i="16"/>
  <c r="Y329" i="16"/>
  <c r="Y337" i="16"/>
  <c r="Y345" i="16"/>
  <c r="Y353" i="16"/>
  <c r="Y361" i="16"/>
  <c r="Y369" i="16"/>
  <c r="Y377" i="16"/>
  <c r="Y385" i="16"/>
  <c r="Y393" i="16"/>
  <c r="Y401" i="16"/>
  <c r="Y409" i="16"/>
  <c r="Y417" i="16"/>
  <c r="Y425" i="16"/>
  <c r="Y433" i="16"/>
  <c r="Y441" i="16"/>
  <c r="Y449" i="16"/>
  <c r="Y457" i="16"/>
  <c r="Y465" i="16"/>
  <c r="Y473" i="16"/>
  <c r="Y481" i="16"/>
  <c r="Y489" i="16"/>
  <c r="Y497" i="16"/>
  <c r="Y505" i="16"/>
  <c r="Y513" i="16"/>
  <c r="Y521" i="16"/>
  <c r="Y529" i="16"/>
  <c r="Y537" i="16"/>
  <c r="Y545" i="16"/>
  <c r="Y553" i="16"/>
  <c r="Y561" i="16"/>
  <c r="Y569" i="16"/>
  <c r="Y577" i="16"/>
  <c r="Y585" i="16"/>
  <c r="Y593" i="16"/>
  <c r="Y601" i="16"/>
  <c r="Y609" i="16"/>
  <c r="Y617" i="16"/>
  <c r="Y625" i="16"/>
  <c r="Y633" i="16"/>
  <c r="Y641" i="16"/>
  <c r="Y649" i="16"/>
  <c r="Y657" i="16"/>
  <c r="Y665" i="16"/>
  <c r="Y673" i="16"/>
  <c r="Y681" i="16"/>
  <c r="Y689" i="16"/>
  <c r="Y697" i="16"/>
  <c r="Y10" i="16"/>
  <c r="Y18" i="16"/>
  <c r="Y26" i="16"/>
  <c r="Y34" i="16"/>
  <c r="Y42" i="16"/>
  <c r="Y50" i="16"/>
  <c r="Y58" i="16"/>
  <c r="Y66" i="16"/>
  <c r="Y74" i="16"/>
  <c r="Y82" i="16"/>
  <c r="Y90" i="16"/>
  <c r="Y98" i="16"/>
  <c r="Y106" i="16"/>
  <c r="Y114" i="16"/>
  <c r="Y122" i="16"/>
  <c r="Y130" i="16"/>
  <c r="Y138" i="16"/>
  <c r="Y146" i="16"/>
  <c r="Y154" i="16"/>
  <c r="Y162" i="16"/>
  <c r="Y170" i="16"/>
  <c r="Y178" i="16"/>
  <c r="Y186" i="16"/>
  <c r="Y194" i="16"/>
  <c r="Y202" i="16"/>
  <c r="Y210" i="16"/>
  <c r="Y218" i="16"/>
  <c r="Y226" i="16"/>
  <c r="Y234" i="16"/>
  <c r="Y242" i="16"/>
  <c r="Y250" i="16"/>
  <c r="Y258" i="16"/>
  <c r="Y266" i="16"/>
  <c r="Y274" i="16"/>
  <c r="Y282" i="16"/>
  <c r="Y290" i="16"/>
  <c r="Y298" i="16"/>
  <c r="Y306" i="16"/>
  <c r="Y314" i="16"/>
  <c r="Y322" i="16"/>
  <c r="Y330" i="16"/>
  <c r="Y338" i="16"/>
  <c r="Y346" i="16"/>
  <c r="Y354" i="16"/>
  <c r="Y362" i="16"/>
  <c r="Y370" i="16"/>
  <c r="Y378" i="16"/>
  <c r="Y386" i="16"/>
  <c r="Y394" i="16"/>
  <c r="Y402" i="16"/>
  <c r="Y410" i="16"/>
  <c r="Y418" i="16"/>
  <c r="Y426" i="16"/>
  <c r="Y434" i="16"/>
  <c r="Y442" i="16"/>
  <c r="Y450" i="16"/>
  <c r="Y458" i="16"/>
  <c r="Y466" i="16"/>
  <c r="Y474" i="16"/>
  <c r="Y482" i="16"/>
  <c r="Y490" i="16"/>
  <c r="Y498" i="16"/>
  <c r="Y506" i="16"/>
  <c r="Y514" i="16"/>
  <c r="Y522" i="16"/>
  <c r="Y530" i="16"/>
  <c r="Y538" i="16"/>
  <c r="Y546" i="16"/>
  <c r="Y554" i="16"/>
  <c r="Y562" i="16"/>
  <c r="Y570" i="16"/>
  <c r="Y578" i="16"/>
  <c r="Y586" i="16"/>
  <c r="Y594" i="16"/>
  <c r="Y602" i="16"/>
  <c r="Y610" i="16"/>
  <c r="Y618" i="16"/>
  <c r="Y626" i="16"/>
  <c r="Y634" i="16"/>
  <c r="Y642" i="16"/>
  <c r="Y650" i="16"/>
  <c r="Y658" i="16"/>
  <c r="Y666" i="16"/>
  <c r="Y674" i="16"/>
  <c r="Y682" i="16"/>
  <c r="Y690" i="16"/>
  <c r="Y698" i="16"/>
  <c r="Y11" i="16"/>
  <c r="Y19" i="16"/>
  <c r="Y27" i="16"/>
  <c r="Y35" i="16"/>
  <c r="Y43" i="16"/>
  <c r="Y51" i="16"/>
  <c r="Y59" i="16"/>
  <c r="Y67" i="16"/>
  <c r="Y75" i="16"/>
  <c r="Y83" i="16"/>
  <c r="Y91" i="16"/>
  <c r="Y99" i="16"/>
  <c r="Y107" i="16"/>
  <c r="Y115" i="16"/>
  <c r="Y123" i="16"/>
  <c r="Y131" i="16"/>
  <c r="Y139" i="16"/>
  <c r="Y147" i="16"/>
  <c r="Y155" i="16"/>
  <c r="Y163" i="16"/>
  <c r="Y171" i="16"/>
  <c r="Y179" i="16"/>
  <c r="Y187" i="16"/>
  <c r="Y195" i="16"/>
  <c r="Y203" i="16"/>
  <c r="Y211" i="16"/>
  <c r="Y219" i="16"/>
  <c r="Y227" i="16"/>
  <c r="Y235" i="16"/>
  <c r="Y243" i="16"/>
  <c r="Y251" i="16"/>
  <c r="Y259" i="16"/>
  <c r="Y267" i="16"/>
  <c r="Y275" i="16"/>
  <c r="Y283" i="16"/>
  <c r="Y291" i="16"/>
  <c r="Y299" i="16"/>
  <c r="Y307" i="16"/>
  <c r="Y315" i="16"/>
  <c r="Y323" i="16"/>
  <c r="Y331" i="16"/>
  <c r="Y339" i="16"/>
  <c r="Y347" i="16"/>
  <c r="Y355" i="16"/>
  <c r="Y363" i="16"/>
  <c r="Y371" i="16"/>
  <c r="Y379" i="16"/>
  <c r="Y387" i="16"/>
  <c r="Y395" i="16"/>
  <c r="Y403" i="16"/>
  <c r="Y411" i="16"/>
  <c r="Y419" i="16"/>
  <c r="Y427" i="16"/>
  <c r="Y435" i="16"/>
  <c r="Y443" i="16"/>
  <c r="Y451" i="16"/>
  <c r="Y459" i="16"/>
  <c r="Y467" i="16"/>
  <c r="Y475" i="16"/>
  <c r="Y483" i="16"/>
  <c r="Y491" i="16"/>
  <c r="Y499" i="16"/>
  <c r="Y507" i="16"/>
  <c r="Y515" i="16"/>
  <c r="Y523" i="16"/>
  <c r="Y531" i="16"/>
  <c r="Y539" i="16"/>
  <c r="Y547" i="16"/>
  <c r="Y555" i="16"/>
  <c r="Y563" i="16"/>
  <c r="Y571" i="16"/>
  <c r="Y579" i="16"/>
  <c r="Y587" i="16"/>
  <c r="Y595" i="16"/>
  <c r="Y603" i="16"/>
  <c r="Y611" i="16"/>
  <c r="Y619" i="16"/>
  <c r="Y627" i="16"/>
  <c r="Y635" i="16"/>
  <c r="Y643" i="16"/>
  <c r="Y651" i="16"/>
  <c r="Y659" i="16"/>
  <c r="Y667" i="16"/>
  <c r="Y675" i="16"/>
  <c r="Y683" i="16"/>
  <c r="Y691" i="16"/>
  <c r="Y699" i="16"/>
  <c r="Y12" i="16"/>
  <c r="Y20" i="16"/>
  <c r="Y28" i="16"/>
  <c r="Y36" i="16"/>
  <c r="Y44" i="16"/>
  <c r="Y52" i="16"/>
  <c r="Y60" i="16"/>
  <c r="Y68" i="16"/>
  <c r="Y76" i="16"/>
  <c r="Y84" i="16"/>
  <c r="Y92" i="16"/>
  <c r="Y100" i="16"/>
  <c r="Y108" i="16"/>
  <c r="Y116" i="16"/>
  <c r="Y124" i="16"/>
  <c r="Y132" i="16"/>
  <c r="Y140" i="16"/>
  <c r="Y148" i="16"/>
  <c r="Y156" i="16"/>
  <c r="Y164" i="16"/>
  <c r="Y172" i="16"/>
  <c r="Y180" i="16"/>
  <c r="Y188" i="16"/>
  <c r="Y196" i="16"/>
  <c r="Y204" i="16"/>
  <c r="Y212" i="16"/>
  <c r="Y220" i="16"/>
  <c r="Y228" i="16"/>
  <c r="Y236" i="16"/>
  <c r="Y244" i="16"/>
  <c r="Y252" i="16"/>
  <c r="Y260" i="16"/>
  <c r="Y268" i="16"/>
  <c r="Y276" i="16"/>
  <c r="Y284" i="16"/>
  <c r="Y292" i="16"/>
  <c r="Y300" i="16"/>
  <c r="Y308" i="16"/>
  <c r="Y316" i="16"/>
  <c r="Y324" i="16"/>
  <c r="Y332" i="16"/>
  <c r="Y340" i="16"/>
  <c r="Y348" i="16"/>
  <c r="Y356" i="16"/>
  <c r="Y364" i="16"/>
  <c r="Y372" i="16"/>
  <c r="Y380" i="16"/>
  <c r="Y388" i="16"/>
  <c r="Y396" i="16"/>
  <c r="Y404" i="16"/>
  <c r="Y412" i="16"/>
  <c r="Y420" i="16"/>
  <c r="Y428" i="16"/>
  <c r="Y436" i="16"/>
  <c r="Y444" i="16"/>
  <c r="Y452" i="16"/>
  <c r="Y460" i="16"/>
  <c r="Y468" i="16"/>
  <c r="Y476" i="16"/>
  <c r="Y484" i="16"/>
  <c r="Y492" i="16"/>
  <c r="Y500" i="16"/>
  <c r="Y508" i="16"/>
  <c r="Y516" i="16"/>
  <c r="Y524" i="16"/>
  <c r="Y532" i="16"/>
  <c r="Y540" i="16"/>
  <c r="Y548" i="16"/>
  <c r="Y556" i="16"/>
  <c r="Y564" i="16"/>
  <c r="Y572" i="16"/>
  <c r="Y580" i="16"/>
  <c r="Y588" i="16"/>
  <c r="Y596" i="16"/>
  <c r="Y604" i="16"/>
  <c r="Y612" i="16"/>
  <c r="Y620" i="16"/>
  <c r="Y628" i="16"/>
  <c r="Y636" i="16"/>
  <c r="Y644" i="16"/>
  <c r="Y652" i="16"/>
  <c r="Y660" i="16"/>
  <c r="Y668" i="16"/>
  <c r="Y676" i="16"/>
  <c r="Y684" i="16"/>
  <c r="Y692" i="16"/>
  <c r="Y700" i="16"/>
  <c r="Y13" i="16"/>
  <c r="Y21" i="16"/>
  <c r="Y29" i="16"/>
  <c r="Y37" i="16"/>
  <c r="Y45" i="16"/>
  <c r="Y53" i="16"/>
  <c r="Y61" i="16"/>
  <c r="Y69" i="16"/>
  <c r="Y77" i="16"/>
  <c r="Y85" i="16"/>
  <c r="Y93" i="16"/>
  <c r="Y101" i="16"/>
  <c r="Y109" i="16"/>
  <c r="Y117" i="16"/>
  <c r="Y125" i="16"/>
  <c r="Y133" i="16"/>
  <c r="Y141" i="16"/>
  <c r="Y149" i="16"/>
  <c r="Y157" i="16"/>
  <c r="Y165" i="16"/>
  <c r="Y173" i="16"/>
  <c r="Y181" i="16"/>
  <c r="Y189" i="16"/>
  <c r="Y197" i="16"/>
  <c r="Y205" i="16"/>
  <c r="Y213" i="16"/>
  <c r="Y221" i="16"/>
  <c r="Y229" i="16"/>
  <c r="Y237" i="16"/>
  <c r="Y245" i="16"/>
  <c r="Y253" i="16"/>
  <c r="Y261" i="16"/>
  <c r="Y269" i="16"/>
  <c r="Y277" i="16"/>
  <c r="Y285" i="16"/>
  <c r="Y293" i="16"/>
  <c r="Y301" i="16"/>
  <c r="Y309" i="16"/>
  <c r="Y317" i="16"/>
  <c r="Y325" i="16"/>
  <c r="Y333" i="16"/>
  <c r="Y341" i="16"/>
  <c r="Y349" i="16"/>
  <c r="Y357" i="16"/>
  <c r="Y365" i="16"/>
  <c r="Y373" i="16"/>
  <c r="Y381" i="16"/>
  <c r="Y389" i="16"/>
  <c r="Y397" i="16"/>
  <c r="Y405" i="16"/>
  <c r="Y413" i="16"/>
  <c r="Y421" i="16"/>
  <c r="Y429" i="16"/>
  <c r="Y437" i="16"/>
  <c r="Y445" i="16"/>
  <c r="Y453" i="16"/>
  <c r="Y461" i="16"/>
  <c r="Y469" i="16"/>
  <c r="Y477" i="16"/>
  <c r="Y485" i="16"/>
  <c r="Y493" i="16"/>
  <c r="Y501" i="16"/>
  <c r="Y509" i="16"/>
  <c r="Y517" i="16"/>
  <c r="Y525" i="16"/>
  <c r="Y533" i="16"/>
  <c r="Y541" i="16"/>
  <c r="Y549" i="16"/>
  <c r="Y557" i="16"/>
  <c r="Y565" i="16"/>
  <c r="Y573" i="16"/>
  <c r="Y581" i="16"/>
  <c r="Y589" i="16"/>
  <c r="Y597" i="16"/>
  <c r="Y605" i="16"/>
  <c r="Y613" i="16"/>
  <c r="Y621" i="16"/>
  <c r="Y629" i="16"/>
  <c r="Y637" i="16"/>
  <c r="Y645" i="16"/>
  <c r="Y653" i="16"/>
  <c r="Y661" i="16"/>
  <c r="Y669" i="16"/>
  <c r="Y677" i="16"/>
  <c r="Y685" i="16"/>
  <c r="Y693" i="16"/>
  <c r="Y701" i="16"/>
  <c r="Y6" i="16"/>
  <c r="Y14" i="16"/>
  <c r="Y22" i="16"/>
  <c r="Y30" i="16"/>
  <c r="Y38" i="16"/>
  <c r="Y46" i="16"/>
  <c r="Y54" i="16"/>
  <c r="Y62" i="16"/>
  <c r="Y70" i="16"/>
  <c r="Y78" i="16"/>
  <c r="Y86" i="16"/>
  <c r="Y94" i="16"/>
  <c r="Y102" i="16"/>
  <c r="Y110" i="16"/>
  <c r="Y118" i="16"/>
  <c r="Y126" i="16"/>
  <c r="Y134" i="16"/>
  <c r="Y142" i="16"/>
  <c r="Y150" i="16"/>
  <c r="Y158" i="16"/>
  <c r="Y166" i="16"/>
  <c r="Y174" i="16"/>
  <c r="Y182" i="16"/>
  <c r="Y190" i="16"/>
  <c r="Y198" i="16"/>
  <c r="Y206" i="16"/>
  <c r="Y214" i="16"/>
  <c r="Y222" i="16"/>
  <c r="Y230" i="16"/>
  <c r="Y238" i="16"/>
  <c r="Y246" i="16"/>
  <c r="Y254" i="16"/>
  <c r="Y262" i="16"/>
  <c r="Y270" i="16"/>
  <c r="Y278" i="16"/>
  <c r="Y286" i="16"/>
  <c r="Y294" i="16"/>
  <c r="Y302" i="16"/>
  <c r="Y310" i="16"/>
  <c r="Y318" i="16"/>
  <c r="Y326" i="16"/>
  <c r="Y334" i="16"/>
  <c r="Y342" i="16"/>
  <c r="Y350" i="16"/>
  <c r="Y358" i="16"/>
  <c r="Y366" i="16"/>
  <c r="Y374" i="16"/>
  <c r="Y382" i="16"/>
  <c r="Y390" i="16"/>
  <c r="Y398" i="16"/>
  <c r="Y406" i="16"/>
  <c r="Y414" i="16"/>
  <c r="Y422" i="16"/>
  <c r="Y430" i="16"/>
  <c r="Y438" i="16"/>
  <c r="Y446" i="16"/>
  <c r="Y454" i="16"/>
  <c r="Y462" i="16"/>
  <c r="Y470" i="16"/>
  <c r="Y478" i="16"/>
  <c r="Y486" i="16"/>
  <c r="Y494" i="16"/>
  <c r="Y502" i="16"/>
  <c r="Y510" i="16"/>
  <c r="Y518" i="16"/>
  <c r="Y526" i="16"/>
  <c r="Y534" i="16"/>
  <c r="Y542" i="16"/>
  <c r="Y550" i="16"/>
  <c r="Y558" i="16"/>
  <c r="Y566" i="16"/>
  <c r="Y574" i="16"/>
  <c r="Y582" i="16"/>
  <c r="Y590" i="16"/>
  <c r="Y598" i="16"/>
  <c r="Y606" i="16"/>
  <c r="Y614" i="16"/>
  <c r="Y622" i="16"/>
  <c r="Y630" i="16"/>
  <c r="Y638" i="16"/>
  <c r="Y646" i="16"/>
  <c r="Y654" i="16"/>
  <c r="Y662" i="16"/>
  <c r="Y670" i="16"/>
  <c r="Y678" i="16"/>
  <c r="Y686" i="16"/>
  <c r="Y694" i="16"/>
  <c r="Y702" i="16"/>
  <c r="Y704" i="16"/>
  <c r="Y712" i="16"/>
  <c r="Y720" i="16"/>
  <c r="Y728" i="16"/>
  <c r="Y736" i="16"/>
  <c r="Y744" i="16"/>
  <c r="Y752" i="16"/>
  <c r="Y760" i="16"/>
  <c r="Y768" i="16"/>
  <c r="Y776" i="16"/>
  <c r="Y784" i="16"/>
  <c r="Y792" i="16"/>
  <c r="Y800" i="16"/>
  <c r="Y808" i="16"/>
  <c r="Y816" i="16"/>
  <c r="Y824" i="16"/>
  <c r="Y832" i="16"/>
  <c r="Y840" i="16"/>
  <c r="Y848" i="16"/>
  <c r="Y856" i="16"/>
  <c r="Y864" i="16"/>
  <c r="Y872" i="16"/>
  <c r="Y880" i="16"/>
  <c r="Y888" i="16"/>
  <c r="Y896" i="16"/>
  <c r="Y904" i="16"/>
  <c r="Y912" i="16"/>
  <c r="Y920" i="16"/>
  <c r="Y928" i="16"/>
  <c r="Y936" i="16"/>
  <c r="Y944" i="16"/>
  <c r="Y952" i="16"/>
  <c r="Y960" i="16"/>
  <c r="Y968" i="16"/>
  <c r="Y976" i="16"/>
  <c r="Y984" i="16"/>
  <c r="Y992" i="16"/>
  <c r="Y1000" i="16"/>
  <c r="Y1008" i="16"/>
  <c r="Y1016" i="16"/>
  <c r="Y1024" i="16"/>
  <c r="Y1032" i="16"/>
  <c r="Y1040" i="16"/>
  <c r="Y1048" i="16"/>
  <c r="Y1056" i="16"/>
  <c r="Y1064" i="16"/>
  <c r="Y1072" i="16"/>
  <c r="Y1080" i="16"/>
  <c r="Y1088" i="16"/>
  <c r="Y1096" i="16"/>
  <c r="Y1104" i="16"/>
  <c r="Y1112" i="16"/>
  <c r="Y1120" i="16"/>
  <c r="Y1128" i="16"/>
  <c r="Y1136" i="16"/>
  <c r="Y1144" i="16"/>
  <c r="Y1152" i="16"/>
  <c r="Y1160" i="16"/>
  <c r="Y1168" i="16"/>
  <c r="Y1176" i="16"/>
  <c r="Y1184" i="16"/>
  <c r="Y1192" i="16"/>
  <c r="Y1200" i="16"/>
  <c r="Y1208" i="16"/>
  <c r="Y1216" i="16"/>
  <c r="Y1224" i="16"/>
  <c r="Y1232" i="16"/>
  <c r="Y1240" i="16"/>
  <c r="Y1248" i="16"/>
  <c r="Y1256" i="16"/>
  <c r="Y1264" i="16"/>
  <c r="Y1272" i="16"/>
  <c r="Y1280" i="16"/>
  <c r="Y1288" i="16"/>
  <c r="Y1296" i="16"/>
  <c r="Y1304" i="16"/>
  <c r="Y1312" i="16"/>
  <c r="Y1320" i="16"/>
  <c r="Y1328" i="16"/>
  <c r="Y1336" i="16"/>
  <c r="Y1344" i="16"/>
  <c r="Y1352" i="16"/>
  <c r="Y1360" i="16"/>
  <c r="Y1368" i="16"/>
  <c r="Y1376" i="16"/>
  <c r="Y1384" i="16"/>
  <c r="Y1392" i="16"/>
  <c r="Y1400" i="16"/>
  <c r="Y1408" i="16"/>
  <c r="Y1416" i="16"/>
  <c r="Y1424" i="16"/>
  <c r="Y1432" i="16"/>
  <c r="Y1440" i="16"/>
  <c r="Y1448" i="16"/>
  <c r="Y1456" i="16"/>
  <c r="Y1464" i="16"/>
  <c r="Y1472" i="16"/>
  <c r="Y1480" i="16"/>
  <c r="Y1488" i="16"/>
  <c r="Y1496" i="16"/>
  <c r="Y1504" i="16"/>
  <c r="Y1512" i="16"/>
  <c r="Y1520" i="16"/>
  <c r="Y1528" i="16"/>
  <c r="Y1536" i="16"/>
  <c r="Y1544" i="16"/>
  <c r="Y1552" i="16"/>
  <c r="Y1560" i="16"/>
  <c r="Y1568" i="16"/>
  <c r="Y1576" i="16"/>
  <c r="Y1584" i="16"/>
  <c r="Y1592" i="16"/>
  <c r="Y1600" i="16"/>
  <c r="Y1608" i="16"/>
  <c r="Y1616" i="16"/>
  <c r="Y1624" i="16"/>
  <c r="Y1632" i="16"/>
  <c r="Y1640" i="16"/>
  <c r="Y1648" i="16"/>
  <c r="Y1656" i="16"/>
  <c r="Y1664" i="16"/>
  <c r="Y1672" i="16"/>
  <c r="Y1680" i="16"/>
  <c r="Y1688" i="16"/>
  <c r="Y1696" i="16"/>
  <c r="Y1704" i="16"/>
  <c r="Y1712" i="16"/>
  <c r="Y1720" i="16"/>
  <c r="Y1728" i="16"/>
  <c r="Y1736" i="16"/>
  <c r="Y1744" i="16"/>
  <c r="Y1752" i="16"/>
  <c r="Y1760" i="16"/>
  <c r="Y1768" i="16"/>
  <c r="Y1776" i="16"/>
  <c r="Y705" i="16"/>
  <c r="Y713" i="16"/>
  <c r="Y721" i="16"/>
  <c r="Y729" i="16"/>
  <c r="Y737" i="16"/>
  <c r="Y745" i="16"/>
  <c r="Y753" i="16"/>
  <c r="Y761" i="16"/>
  <c r="Y769" i="16"/>
  <c r="Y777" i="16"/>
  <c r="Y785" i="16"/>
  <c r="Y793" i="16"/>
  <c r="Y801" i="16"/>
  <c r="Y809" i="16"/>
  <c r="Y817" i="16"/>
  <c r="Y825" i="16"/>
  <c r="Y833" i="16"/>
  <c r="Y841" i="16"/>
  <c r="Y849" i="16"/>
  <c r="Y857" i="16"/>
  <c r="Y865" i="16"/>
  <c r="Y873" i="16"/>
  <c r="Y881" i="16"/>
  <c r="Y889" i="16"/>
  <c r="Y897" i="16"/>
  <c r="Y905" i="16"/>
  <c r="Y913" i="16"/>
  <c r="Y921" i="16"/>
  <c r="Y929" i="16"/>
  <c r="Y937" i="16"/>
  <c r="Y945" i="16"/>
  <c r="Y953" i="16"/>
  <c r="Y961" i="16"/>
  <c r="Y969" i="16"/>
  <c r="Y977" i="16"/>
  <c r="Y985" i="16"/>
  <c r="Y993" i="16"/>
  <c r="Y1001" i="16"/>
  <c r="Y1009" i="16"/>
  <c r="Y1017" i="16"/>
  <c r="Y1025" i="16"/>
  <c r="Y1033" i="16"/>
  <c r="Y1041" i="16"/>
  <c r="Y1049" i="16"/>
  <c r="Y1057" i="16"/>
  <c r="Y1065" i="16"/>
  <c r="Y1073" i="16"/>
  <c r="Y1081" i="16"/>
  <c r="Y1089" i="16"/>
  <c r="Y1097" i="16"/>
  <c r="Y1105" i="16"/>
  <c r="Y1113" i="16"/>
  <c r="Y1121" i="16"/>
  <c r="Y1129" i="16"/>
  <c r="Y1137" i="16"/>
  <c r="Y1145" i="16"/>
  <c r="Y1153" i="16"/>
  <c r="Y1161" i="16"/>
  <c r="Y1169" i="16"/>
  <c r="Y1177" i="16"/>
  <c r="Y1185" i="16"/>
  <c r="Y1193" i="16"/>
  <c r="Y1201" i="16"/>
  <c r="Y1209" i="16"/>
  <c r="Y1217" i="16"/>
  <c r="Y1225" i="16"/>
  <c r="Y1233" i="16"/>
  <c r="Y1241" i="16"/>
  <c r="Y1249" i="16"/>
  <c r="Y1257" i="16"/>
  <c r="Y1265" i="16"/>
  <c r="Y1273" i="16"/>
  <c r="Y1281" i="16"/>
  <c r="Y1289" i="16"/>
  <c r="Y1297" i="16"/>
  <c r="Y1305" i="16"/>
  <c r="Y1313" i="16"/>
  <c r="Y1321" i="16"/>
  <c r="Y1329" i="16"/>
  <c r="Y1337" i="16"/>
  <c r="Y1345" i="16"/>
  <c r="Y1353" i="16"/>
  <c r="Y1361" i="16"/>
  <c r="Y1369" i="16"/>
  <c r="Y1377" i="16"/>
  <c r="Y1385" i="16"/>
  <c r="Y1393" i="16"/>
  <c r="Y1401" i="16"/>
  <c r="Y1409" i="16"/>
  <c r="Y1417" i="16"/>
  <c r="Y1425" i="16"/>
  <c r="Y1433" i="16"/>
  <c r="Y1441" i="16"/>
  <c r="Y1449" i="16"/>
  <c r="Y1457" i="16"/>
  <c r="Y1465" i="16"/>
  <c r="Y1473" i="16"/>
  <c r="Y1481" i="16"/>
  <c r="Y1489" i="16"/>
  <c r="Y1497" i="16"/>
  <c r="Y1505" i="16"/>
  <c r="Y1513" i="16"/>
  <c r="Y1521" i="16"/>
  <c r="Y1529" i="16"/>
  <c r="Y1537" i="16"/>
  <c r="Y1545" i="16"/>
  <c r="Y1553" i="16"/>
  <c r="Y1561" i="16"/>
  <c r="Y1569" i="16"/>
  <c r="Y1577" i="16"/>
  <c r="Y1585" i="16"/>
  <c r="Y1593" i="16"/>
  <c r="Y1601" i="16"/>
  <c r="Y1609" i="16"/>
  <c r="Y1617" i="16"/>
  <c r="Y1625" i="16"/>
  <c r="Y1633" i="16"/>
  <c r="Y1641" i="16"/>
  <c r="Y1649" i="16"/>
  <c r="Y1657" i="16"/>
  <c r="Y1665" i="16"/>
  <c r="Y1673" i="16"/>
  <c r="Y1681" i="16"/>
  <c r="Y1689" i="16"/>
  <c r="Y1697" i="16"/>
  <c r="Y1705" i="16"/>
  <c r="Y1713" i="16"/>
  <c r="Y1721" i="16"/>
  <c r="Y1729" i="16"/>
  <c r="Y1737" i="16"/>
  <c r="Y1745" i="16"/>
  <c r="Y1753" i="16"/>
  <c r="Y1761" i="16"/>
  <c r="Y1769" i="16"/>
  <c r="Y1777" i="16"/>
  <c r="Y1785" i="16"/>
  <c r="Y1793" i="16"/>
  <c r="Y1801" i="16"/>
  <c r="Y1809" i="16"/>
  <c r="Y1817" i="16"/>
  <c r="Y1825" i="16"/>
  <c r="Y1833" i="16"/>
  <c r="Y1841" i="16"/>
  <c r="Y1849" i="16"/>
  <c r="Y1857" i="16"/>
  <c r="Y1865" i="16"/>
  <c r="Y1873" i="16"/>
  <c r="Y1881" i="16"/>
  <c r="Y1889" i="16"/>
  <c r="Y1897" i="16"/>
  <c r="Y1905" i="16"/>
  <c r="Y1913" i="16"/>
  <c r="Y1921" i="16"/>
  <c r="Y1929" i="16"/>
  <c r="Y1937" i="16"/>
  <c r="Y1945" i="16"/>
  <c r="Y1953" i="16"/>
  <c r="Y1961" i="16"/>
  <c r="Y1969" i="16"/>
  <c r="Y1977" i="16"/>
  <c r="Y1985" i="16"/>
  <c r="Y1993" i="16"/>
  <c r="Y2001" i="16"/>
  <c r="Y2009" i="16"/>
  <c r="Y2017" i="16"/>
  <c r="Y2025" i="16"/>
  <c r="Y2033" i="16"/>
  <c r="Y2041" i="16"/>
  <c r="Y2049" i="16"/>
  <c r="Y2057" i="16"/>
  <c r="Y2065" i="16"/>
  <c r="Y706" i="16"/>
  <c r="Y714" i="16"/>
  <c r="Y722" i="16"/>
  <c r="Y730" i="16"/>
  <c r="Y738" i="16"/>
  <c r="Y746" i="16"/>
  <c r="Y754" i="16"/>
  <c r="Y762" i="16"/>
  <c r="Z762" i="16" s="1"/>
  <c r="Y770" i="16"/>
  <c r="Y778" i="16"/>
  <c r="Y786" i="16"/>
  <c r="Y794" i="16"/>
  <c r="Y802" i="16"/>
  <c r="Y810" i="16"/>
  <c r="Y818" i="16"/>
  <c r="Y826" i="16"/>
  <c r="Y834" i="16"/>
  <c r="Y842" i="16"/>
  <c r="Y850" i="16"/>
  <c r="Y858" i="16"/>
  <c r="Y866" i="16"/>
  <c r="Y874" i="16"/>
  <c r="Y882" i="16"/>
  <c r="Y890" i="16"/>
  <c r="Y898" i="16"/>
  <c r="Y906" i="16"/>
  <c r="Y914" i="16"/>
  <c r="Y922" i="16"/>
  <c r="Y930" i="16"/>
  <c r="Y938" i="16"/>
  <c r="Y946" i="16"/>
  <c r="Y954" i="16"/>
  <c r="Y962" i="16"/>
  <c r="Y970" i="16"/>
  <c r="Y978" i="16"/>
  <c r="Y986" i="16"/>
  <c r="Y994" i="16"/>
  <c r="Y1002" i="16"/>
  <c r="Y1010" i="16"/>
  <c r="Y1018" i="16"/>
  <c r="Y1026" i="16"/>
  <c r="Y1034" i="16"/>
  <c r="Y1042" i="16"/>
  <c r="Y1050" i="16"/>
  <c r="Y1058" i="16"/>
  <c r="Y1066" i="16"/>
  <c r="Y1074" i="16"/>
  <c r="Y1082" i="16"/>
  <c r="Y1090" i="16"/>
  <c r="Y1098" i="16"/>
  <c r="Y1106" i="16"/>
  <c r="Y1114" i="16"/>
  <c r="Y1122" i="16"/>
  <c r="Y1130" i="16"/>
  <c r="Y1138" i="16"/>
  <c r="Y1146" i="16"/>
  <c r="Y1154" i="16"/>
  <c r="Y1162" i="16"/>
  <c r="Y1170" i="16"/>
  <c r="Y1178" i="16"/>
  <c r="Y1186" i="16"/>
  <c r="Y1194" i="16"/>
  <c r="Y1202" i="16"/>
  <c r="Y1210" i="16"/>
  <c r="Y1218" i="16"/>
  <c r="Y1226" i="16"/>
  <c r="Y1234" i="16"/>
  <c r="Y1242" i="16"/>
  <c r="Y1250" i="16"/>
  <c r="Y1258" i="16"/>
  <c r="Y1266" i="16"/>
  <c r="Y1274" i="16"/>
  <c r="Y1282" i="16"/>
  <c r="Y1290" i="16"/>
  <c r="Y1298" i="16"/>
  <c r="Y1306" i="16"/>
  <c r="Y1314" i="16"/>
  <c r="Y1322" i="16"/>
  <c r="Y1330" i="16"/>
  <c r="Y1338" i="16"/>
  <c r="Y1346" i="16"/>
  <c r="Y1354" i="16"/>
  <c r="Y1362" i="16"/>
  <c r="Y1370" i="16"/>
  <c r="Y1378" i="16"/>
  <c r="Y1386" i="16"/>
  <c r="Y1394" i="16"/>
  <c r="Y1402" i="16"/>
  <c r="Y1410" i="16"/>
  <c r="Y1418" i="16"/>
  <c r="Y1426" i="16"/>
  <c r="Y1434" i="16"/>
  <c r="Y1442" i="16"/>
  <c r="Y1450" i="16"/>
  <c r="Y1458" i="16"/>
  <c r="Y1466" i="16"/>
  <c r="Y1474" i="16"/>
  <c r="Y1482" i="16"/>
  <c r="Y1490" i="16"/>
  <c r="Y1498" i="16"/>
  <c r="Y1506" i="16"/>
  <c r="Y1514" i="16"/>
  <c r="Y1522" i="16"/>
  <c r="Y1530" i="16"/>
  <c r="Y1538" i="16"/>
  <c r="Y1546" i="16"/>
  <c r="Y1554" i="16"/>
  <c r="Y1562" i="16"/>
  <c r="Y1570" i="16"/>
  <c r="Y1578" i="16"/>
  <c r="Y1586" i="16"/>
  <c r="Y1594" i="16"/>
  <c r="Y1602" i="16"/>
  <c r="Y1610" i="16"/>
  <c r="Y1618" i="16"/>
  <c r="Y1626" i="16"/>
  <c r="Y1634" i="16"/>
  <c r="Y1642" i="16"/>
  <c r="Y1650" i="16"/>
  <c r="Y1658" i="16"/>
  <c r="Y1666" i="16"/>
  <c r="Y1674" i="16"/>
  <c r="Y1682" i="16"/>
  <c r="Y1690" i="16"/>
  <c r="Y1698" i="16"/>
  <c r="Y1706" i="16"/>
  <c r="Y1714" i="16"/>
  <c r="Y1722" i="16"/>
  <c r="Y1730" i="16"/>
  <c r="Y1738" i="16"/>
  <c r="Y1746" i="16"/>
  <c r="Y1754" i="16"/>
  <c r="Y1762" i="16"/>
  <c r="Y1770" i="16"/>
  <c r="Y1778" i="16"/>
  <c r="Y1786" i="16"/>
  <c r="Y1794" i="16"/>
  <c r="Y1802" i="16"/>
  <c r="Y1810" i="16"/>
  <c r="Y1818" i="16"/>
  <c r="Y1826" i="16"/>
  <c r="Y1834" i="16"/>
  <c r="Y1842" i="16"/>
  <c r="Y1850" i="16"/>
  <c r="Y1858" i="16"/>
  <c r="Y1866" i="16"/>
  <c r="Y1874" i="16"/>
  <c r="Y1882" i="16"/>
  <c r="Y1890" i="16"/>
  <c r="Y1898" i="16"/>
  <c r="Y1906" i="16"/>
  <c r="Y1914" i="16"/>
  <c r="Y1922" i="16"/>
  <c r="Y1930" i="16"/>
  <c r="Y1938" i="16"/>
  <c r="Y1946" i="16"/>
  <c r="Y1954" i="16"/>
  <c r="Y1962" i="16"/>
  <c r="Y1970" i="16"/>
  <c r="Y1978" i="16"/>
  <c r="Y1986" i="16"/>
  <c r="Y1994" i="16"/>
  <c r="Y2002" i="16"/>
  <c r="Y2010" i="16"/>
  <c r="Y2018" i="16"/>
  <c r="Y2026" i="16"/>
  <c r="Y707" i="16"/>
  <c r="Y715" i="16"/>
  <c r="Y723" i="16"/>
  <c r="Y731" i="16"/>
  <c r="Y739" i="16"/>
  <c r="Y747" i="16"/>
  <c r="Y755" i="16"/>
  <c r="Y763" i="16"/>
  <c r="Y771" i="16"/>
  <c r="Y779" i="16"/>
  <c r="Y787" i="16"/>
  <c r="Y795" i="16"/>
  <c r="Y803" i="16"/>
  <c r="Y811" i="16"/>
  <c r="Y819" i="16"/>
  <c r="Y827" i="16"/>
  <c r="Y835" i="16"/>
  <c r="Y843" i="16"/>
  <c r="Y851" i="16"/>
  <c r="Y859" i="16"/>
  <c r="Y867" i="16"/>
  <c r="Y875" i="16"/>
  <c r="Y883" i="16"/>
  <c r="Y891" i="16"/>
  <c r="Y899" i="16"/>
  <c r="Y907" i="16"/>
  <c r="Y915" i="16"/>
  <c r="Y923" i="16"/>
  <c r="Y931" i="16"/>
  <c r="Y939" i="16"/>
  <c r="Y947" i="16"/>
  <c r="Y955" i="16"/>
  <c r="Y963" i="16"/>
  <c r="Y971" i="16"/>
  <c r="Y979" i="16"/>
  <c r="Y987" i="16"/>
  <c r="Y995" i="16"/>
  <c r="Y1003" i="16"/>
  <c r="Y1011" i="16"/>
  <c r="Y1019" i="16"/>
  <c r="Y1027" i="16"/>
  <c r="Y1035" i="16"/>
  <c r="Y1043" i="16"/>
  <c r="Y1051" i="16"/>
  <c r="Y1059" i="16"/>
  <c r="Y1067" i="16"/>
  <c r="Y1075" i="16"/>
  <c r="Y1083" i="16"/>
  <c r="Y1091" i="16"/>
  <c r="Y1099" i="16"/>
  <c r="Y1107" i="16"/>
  <c r="Y1115" i="16"/>
  <c r="Y1123" i="16"/>
  <c r="Y1131" i="16"/>
  <c r="Y1139" i="16"/>
  <c r="Y1147" i="16"/>
  <c r="Y1155" i="16"/>
  <c r="Y1163" i="16"/>
  <c r="Y1171" i="16"/>
  <c r="Y1179" i="16"/>
  <c r="Y1187" i="16"/>
  <c r="Y1195" i="16"/>
  <c r="Y1203" i="16"/>
  <c r="Y1211" i="16"/>
  <c r="Y1219" i="16"/>
  <c r="Y1227" i="16"/>
  <c r="Y1235" i="16"/>
  <c r="Y1243" i="16"/>
  <c r="Y1251" i="16"/>
  <c r="Y1259" i="16"/>
  <c r="Y1267" i="16"/>
  <c r="Y1275" i="16"/>
  <c r="Y1283" i="16"/>
  <c r="Y1291" i="16"/>
  <c r="Y1299" i="16"/>
  <c r="Y1307" i="16"/>
  <c r="Y1315" i="16"/>
  <c r="Y1323" i="16"/>
  <c r="Y1331" i="16"/>
  <c r="Y1339" i="16"/>
  <c r="Y1347" i="16"/>
  <c r="Y1355" i="16"/>
  <c r="Y1363" i="16"/>
  <c r="Y1371" i="16"/>
  <c r="Y1379" i="16"/>
  <c r="Y1387" i="16"/>
  <c r="Y1395" i="16"/>
  <c r="Y1403" i="16"/>
  <c r="Y1411" i="16"/>
  <c r="Y1419" i="16"/>
  <c r="Y1427" i="16"/>
  <c r="Y1435" i="16"/>
  <c r="Y1443" i="16"/>
  <c r="Y1451" i="16"/>
  <c r="Y1459" i="16"/>
  <c r="Y1467" i="16"/>
  <c r="Y1475" i="16"/>
  <c r="Y1483" i="16"/>
  <c r="Y1491" i="16"/>
  <c r="Y1499" i="16"/>
  <c r="Y1507" i="16"/>
  <c r="Y1515" i="16"/>
  <c r="Y1523" i="16"/>
  <c r="Y1531" i="16"/>
  <c r="Y1539" i="16"/>
  <c r="Y1547" i="16"/>
  <c r="Y1555" i="16"/>
  <c r="Y1563" i="16"/>
  <c r="Y1571" i="16"/>
  <c r="Y1579" i="16"/>
  <c r="Y1587" i="16"/>
  <c r="Y1595" i="16"/>
  <c r="Y1603" i="16"/>
  <c r="Y1611" i="16"/>
  <c r="Y1619" i="16"/>
  <c r="Y1627" i="16"/>
  <c r="Y1635" i="16"/>
  <c r="Y1643" i="16"/>
  <c r="Y1651" i="16"/>
  <c r="Y1659" i="16"/>
  <c r="Y1667" i="16"/>
  <c r="Y1675" i="16"/>
  <c r="Y1683" i="16"/>
  <c r="Y1691" i="16"/>
  <c r="Y1699" i="16"/>
  <c r="Y1707" i="16"/>
  <c r="Y1715" i="16"/>
  <c r="Y1723" i="16"/>
  <c r="Y1731" i="16"/>
  <c r="Y1739" i="16"/>
  <c r="Y1747" i="16"/>
  <c r="Y1755" i="16"/>
  <c r="Y1763" i="16"/>
  <c r="Y1771" i="16"/>
  <c r="Y1779" i="16"/>
  <c r="Y1787" i="16"/>
  <c r="Y1795" i="16"/>
  <c r="Y1803" i="16"/>
  <c r="Y1811" i="16"/>
  <c r="Y1819" i="16"/>
  <c r="Y1827" i="16"/>
  <c r="Y1835" i="16"/>
  <c r="Y1843" i="16"/>
  <c r="Y1851" i="16"/>
  <c r="Y1859" i="16"/>
  <c r="Y1867" i="16"/>
  <c r="Y1875" i="16"/>
  <c r="Y1883" i="16"/>
  <c r="Y1891" i="16"/>
  <c r="Y1899" i="16"/>
  <c r="Y1907" i="16"/>
  <c r="Y1915" i="16"/>
  <c r="Y1923" i="16"/>
  <c r="Y1931" i="16"/>
  <c r="Y1939" i="16"/>
  <c r="Y1947" i="16"/>
  <c r="Y1955" i="16"/>
  <c r="Y1963" i="16"/>
  <c r="Y1971" i="16"/>
  <c r="Y1979" i="16"/>
  <c r="Y1987" i="16"/>
  <c r="Y1995" i="16"/>
  <c r="Y2003" i="16"/>
  <c r="Y2011" i="16"/>
  <c r="Y2019" i="16"/>
  <c r="Y2027" i="16"/>
  <c r="Y2035" i="16"/>
  <c r="Y2043" i="16"/>
  <c r="Y2051" i="16"/>
  <c r="Y2059" i="16"/>
  <c r="Y708" i="16"/>
  <c r="Y716" i="16"/>
  <c r="Y724" i="16"/>
  <c r="Y732" i="16"/>
  <c r="Y740" i="16"/>
  <c r="Y748" i="16"/>
  <c r="Y756" i="16"/>
  <c r="Y764" i="16"/>
  <c r="Y772" i="16"/>
  <c r="Y780" i="16"/>
  <c r="Y788" i="16"/>
  <c r="Y796" i="16"/>
  <c r="Y804" i="16"/>
  <c r="Y812" i="16"/>
  <c r="Y820" i="16"/>
  <c r="Y828" i="16"/>
  <c r="Y836" i="16"/>
  <c r="Y844" i="16"/>
  <c r="Y852" i="16"/>
  <c r="Y860" i="16"/>
  <c r="Y868" i="16"/>
  <c r="Y876" i="16"/>
  <c r="Y884" i="16"/>
  <c r="Y892" i="16"/>
  <c r="Y900" i="16"/>
  <c r="Y908" i="16"/>
  <c r="Y916" i="16"/>
  <c r="Y924" i="16"/>
  <c r="Y932" i="16"/>
  <c r="Y940" i="16"/>
  <c r="Y948" i="16"/>
  <c r="Y956" i="16"/>
  <c r="Y964" i="16"/>
  <c r="Y972" i="16"/>
  <c r="Y980" i="16"/>
  <c r="Y988" i="16"/>
  <c r="Y996" i="16"/>
  <c r="Y1004" i="16"/>
  <c r="Y1012" i="16"/>
  <c r="Y1020" i="16"/>
  <c r="Y1028" i="16"/>
  <c r="Y1036" i="16"/>
  <c r="Y1044" i="16"/>
  <c r="Y1052" i="16"/>
  <c r="Y1060" i="16"/>
  <c r="Y1068" i="16"/>
  <c r="Y1076" i="16"/>
  <c r="Y1084" i="16"/>
  <c r="Y1092" i="16"/>
  <c r="Y1100" i="16"/>
  <c r="Y1108" i="16"/>
  <c r="Y1116" i="16"/>
  <c r="Y1124" i="16"/>
  <c r="Y1132" i="16"/>
  <c r="Y1140" i="16"/>
  <c r="Y1148" i="16"/>
  <c r="Y1156" i="16"/>
  <c r="Y1164" i="16"/>
  <c r="Y1172" i="16"/>
  <c r="Y1180" i="16"/>
  <c r="Y1188" i="16"/>
  <c r="Y1196" i="16"/>
  <c r="Y1204" i="16"/>
  <c r="Y1212" i="16"/>
  <c r="Y1220" i="16"/>
  <c r="Y1228" i="16"/>
  <c r="Y1236" i="16"/>
  <c r="Y1244" i="16"/>
  <c r="Y1252" i="16"/>
  <c r="Y1260" i="16"/>
  <c r="Y1268" i="16"/>
  <c r="Y1276" i="16"/>
  <c r="Y1284" i="16"/>
  <c r="Y1292" i="16"/>
  <c r="Y1300" i="16"/>
  <c r="Y1308" i="16"/>
  <c r="Y1316" i="16"/>
  <c r="Y1324" i="16"/>
  <c r="Y1332" i="16"/>
  <c r="Y1340" i="16"/>
  <c r="Y1348" i="16"/>
  <c r="Y1356" i="16"/>
  <c r="Y1364" i="16"/>
  <c r="Y1372" i="16"/>
  <c r="Y1380" i="16"/>
  <c r="Y1388" i="16"/>
  <c r="Y1396" i="16"/>
  <c r="Y1404" i="16"/>
  <c r="Y1412" i="16"/>
  <c r="Y1420" i="16"/>
  <c r="Y1428" i="16"/>
  <c r="Y1436" i="16"/>
  <c r="Y1444" i="16"/>
  <c r="Y1452" i="16"/>
  <c r="Y1460" i="16"/>
  <c r="Y1468" i="16"/>
  <c r="Y1476" i="16"/>
  <c r="Y1484" i="16"/>
  <c r="Y1492" i="16"/>
  <c r="Y1500" i="16"/>
  <c r="Y1508" i="16"/>
  <c r="Y1516" i="16"/>
  <c r="Y1524" i="16"/>
  <c r="Y1532" i="16"/>
  <c r="Y1540" i="16"/>
  <c r="Y1548" i="16"/>
  <c r="Y1556" i="16"/>
  <c r="Y1564" i="16"/>
  <c r="Y1572" i="16"/>
  <c r="Y1580" i="16"/>
  <c r="Y1588" i="16"/>
  <c r="Y1596" i="16"/>
  <c r="Y1604" i="16"/>
  <c r="Y1612" i="16"/>
  <c r="Y1620" i="16"/>
  <c r="Y1628" i="16"/>
  <c r="Y1636" i="16"/>
  <c r="Y1644" i="16"/>
  <c r="Y1652" i="16"/>
  <c r="Y1660" i="16"/>
  <c r="Y1668" i="16"/>
  <c r="Y1676" i="16"/>
  <c r="Y1684" i="16"/>
  <c r="Y1692" i="16"/>
  <c r="Y1700" i="16"/>
  <c r="Y709" i="16"/>
  <c r="Y717" i="16"/>
  <c r="Y725" i="16"/>
  <c r="Y733" i="16"/>
  <c r="Y741" i="16"/>
  <c r="Y749" i="16"/>
  <c r="Y757" i="16"/>
  <c r="Y765" i="16"/>
  <c r="Y773" i="16"/>
  <c r="Y781" i="16"/>
  <c r="Y789" i="16"/>
  <c r="Y797" i="16"/>
  <c r="Y805" i="16"/>
  <c r="Y813" i="16"/>
  <c r="Y821" i="16"/>
  <c r="Y829" i="16"/>
  <c r="Y837" i="16"/>
  <c r="Y845" i="16"/>
  <c r="Y853" i="16"/>
  <c r="Y861" i="16"/>
  <c r="Y869" i="16"/>
  <c r="Y877" i="16"/>
  <c r="Y885" i="16"/>
  <c r="Y893" i="16"/>
  <c r="Y901" i="16"/>
  <c r="Y909" i="16"/>
  <c r="Y917" i="16"/>
  <c r="Y925" i="16"/>
  <c r="Y933" i="16"/>
  <c r="Y941" i="16"/>
  <c r="Y949" i="16"/>
  <c r="Y957" i="16"/>
  <c r="Y965" i="16"/>
  <c r="Y973" i="16"/>
  <c r="Y981" i="16"/>
  <c r="Y989" i="16"/>
  <c r="Y997" i="16"/>
  <c r="Y1005" i="16"/>
  <c r="Y1013" i="16"/>
  <c r="Y1021" i="16"/>
  <c r="Y1029" i="16"/>
  <c r="Y1037" i="16"/>
  <c r="Y1045" i="16"/>
  <c r="Y1053" i="16"/>
  <c r="Y1061" i="16"/>
  <c r="Y1069" i="16"/>
  <c r="Y1077" i="16"/>
  <c r="Y1085" i="16"/>
  <c r="Y1093" i="16"/>
  <c r="Y1101" i="16"/>
  <c r="Y1109" i="16"/>
  <c r="Y1117" i="16"/>
  <c r="Y1125" i="16"/>
  <c r="Y1133" i="16"/>
  <c r="Y1141" i="16"/>
  <c r="Y1149" i="16"/>
  <c r="Y1157" i="16"/>
  <c r="Y1165" i="16"/>
  <c r="Y1173" i="16"/>
  <c r="Y1181" i="16"/>
  <c r="Y1189" i="16"/>
  <c r="Y1197" i="16"/>
  <c r="Y1205" i="16"/>
  <c r="Y1213" i="16"/>
  <c r="Y1221" i="16"/>
  <c r="Y1229" i="16"/>
  <c r="Y1237" i="16"/>
  <c r="Y1245" i="16"/>
  <c r="Y1253" i="16"/>
  <c r="Y1261" i="16"/>
  <c r="Y1269" i="16"/>
  <c r="Y1277" i="16"/>
  <c r="Y1285" i="16"/>
  <c r="Y1293" i="16"/>
  <c r="Y1301" i="16"/>
  <c r="Y1309" i="16"/>
  <c r="Y1317" i="16"/>
  <c r="Y1325" i="16"/>
  <c r="Y1333" i="16"/>
  <c r="Y1341" i="16"/>
  <c r="Y1349" i="16"/>
  <c r="Y1357" i="16"/>
  <c r="Y1365" i="16"/>
  <c r="Y1373" i="16"/>
  <c r="Y1381" i="16"/>
  <c r="Y1389" i="16"/>
  <c r="Y1397" i="16"/>
  <c r="Y1405" i="16"/>
  <c r="Y1413" i="16"/>
  <c r="Y1421" i="16"/>
  <c r="Y1429" i="16"/>
  <c r="Y1437" i="16"/>
  <c r="Y1445" i="16"/>
  <c r="Y1453" i="16"/>
  <c r="Y1461" i="16"/>
  <c r="Y1469" i="16"/>
  <c r="Y1477" i="16"/>
  <c r="Y1485" i="16"/>
  <c r="Y1493" i="16"/>
  <c r="Y1501" i="16"/>
  <c r="Y1509" i="16"/>
  <c r="Y1517" i="16"/>
  <c r="Y1525" i="16"/>
  <c r="Y1533" i="16"/>
  <c r="Y1541" i="16"/>
  <c r="Y1549" i="16"/>
  <c r="Y1557" i="16"/>
  <c r="Y1565" i="16"/>
  <c r="Y1573" i="16"/>
  <c r="Y1581" i="16"/>
  <c r="Y1589" i="16"/>
  <c r="Y1597" i="16"/>
  <c r="Y1605" i="16"/>
  <c r="Y1613" i="16"/>
  <c r="Y1621" i="16"/>
  <c r="Y1629" i="16"/>
  <c r="Y1637" i="16"/>
  <c r="Y1645" i="16"/>
  <c r="Y1653" i="16"/>
  <c r="Y1661" i="16"/>
  <c r="Y1669" i="16"/>
  <c r="Y1677" i="16"/>
  <c r="Y1685" i="16"/>
  <c r="Y1693" i="16"/>
  <c r="Y1701" i="16"/>
  <c r="Y1709" i="16"/>
  <c r="Y1717" i="16"/>
  <c r="Y1725" i="16"/>
  <c r="Y711" i="16"/>
  <c r="Y719" i="16"/>
  <c r="Y727" i="16"/>
  <c r="Y735" i="16"/>
  <c r="Y743" i="16"/>
  <c r="Y751" i="16"/>
  <c r="Y759" i="16"/>
  <c r="Y767" i="16"/>
  <c r="Y775" i="16"/>
  <c r="Y783" i="16"/>
  <c r="Y791" i="16"/>
  <c r="Y799" i="16"/>
  <c r="Y807" i="16"/>
  <c r="Y815" i="16"/>
  <c r="Y823" i="16"/>
  <c r="Y831" i="16"/>
  <c r="Y839" i="16"/>
  <c r="Y847" i="16"/>
  <c r="Y855" i="16"/>
  <c r="Y863" i="16"/>
  <c r="Y871" i="16"/>
  <c r="Y879" i="16"/>
  <c r="Y887" i="16"/>
  <c r="Y895" i="16"/>
  <c r="Y903" i="16"/>
  <c r="Y911" i="16"/>
  <c r="Y919" i="16"/>
  <c r="Y927" i="16"/>
  <c r="Y935" i="16"/>
  <c r="Y943" i="16"/>
  <c r="Y951" i="16"/>
  <c r="Y959" i="16"/>
  <c r="Y967" i="16"/>
  <c r="Y975" i="16"/>
  <c r="Y983" i="16"/>
  <c r="Y991" i="16"/>
  <c r="Y999" i="16"/>
  <c r="Y1007" i="16"/>
  <c r="Y1015" i="16"/>
  <c r="Y1023" i="16"/>
  <c r="Y1031" i="16"/>
  <c r="Y1039" i="16"/>
  <c r="Y1047" i="16"/>
  <c r="Y1055" i="16"/>
  <c r="Y1063" i="16"/>
  <c r="Y1071" i="16"/>
  <c r="Y1079" i="16"/>
  <c r="Y1087" i="16"/>
  <c r="Y1095" i="16"/>
  <c r="Y1103" i="16"/>
  <c r="Y1111" i="16"/>
  <c r="Y1119" i="16"/>
  <c r="Y1127" i="16"/>
  <c r="Y1135" i="16"/>
  <c r="Y1143" i="16"/>
  <c r="Y1151" i="16"/>
  <c r="Y1159" i="16"/>
  <c r="Y1167" i="16"/>
  <c r="Y1175" i="16"/>
  <c r="Y1183" i="16"/>
  <c r="Y1191" i="16"/>
  <c r="Y1199" i="16"/>
  <c r="Y1207" i="16"/>
  <c r="Y1215" i="16"/>
  <c r="Y1223" i="16"/>
  <c r="Y1231" i="16"/>
  <c r="Y1239" i="16"/>
  <c r="Y1247" i="16"/>
  <c r="Y1255" i="16"/>
  <c r="Y1263" i="16"/>
  <c r="Y1271" i="16"/>
  <c r="Y1279" i="16"/>
  <c r="Y1287" i="16"/>
  <c r="Y1295" i="16"/>
  <c r="Y1303" i="16"/>
  <c r="Y1311" i="16"/>
  <c r="Y1319" i="16"/>
  <c r="Y1327" i="16"/>
  <c r="Y1335" i="16"/>
  <c r="Y1343" i="16"/>
  <c r="Y1351" i="16"/>
  <c r="Y1359" i="16"/>
  <c r="Y1367" i="16"/>
  <c r="Y1375" i="16"/>
  <c r="Y1383" i="16"/>
  <c r="Y1391" i="16"/>
  <c r="Y1399" i="16"/>
  <c r="Y1407" i="16"/>
  <c r="Y1415" i="16"/>
  <c r="Y1423" i="16"/>
  <c r="Y1431" i="16"/>
  <c r="Y1439" i="16"/>
  <c r="Y1447" i="16"/>
  <c r="Y1455" i="16"/>
  <c r="Y1463" i="16"/>
  <c r="Y1471" i="16"/>
  <c r="Y1479" i="16"/>
  <c r="Y1487" i="16"/>
  <c r="Y1495" i="16"/>
  <c r="Y1503" i="16"/>
  <c r="Y1511" i="16"/>
  <c r="Y1519" i="16"/>
  <c r="Y1527" i="16"/>
  <c r="Y1535" i="16"/>
  <c r="Y1543" i="16"/>
  <c r="Y1551" i="16"/>
  <c r="Y1559" i="16"/>
  <c r="Y1567" i="16"/>
  <c r="Y1575" i="16"/>
  <c r="Y1583" i="16"/>
  <c r="Y1591" i="16"/>
  <c r="Y1599" i="16"/>
  <c r="Y1607" i="16"/>
  <c r="Y1615" i="16"/>
  <c r="Y1623" i="16"/>
  <c r="Y1631" i="16"/>
  <c r="Y1639" i="16"/>
  <c r="Y1647" i="16"/>
  <c r="Y1655" i="16"/>
  <c r="Y1663" i="16"/>
  <c r="Y1671" i="16"/>
  <c r="Y1679" i="16"/>
  <c r="Y1687" i="16"/>
  <c r="Y1695" i="16"/>
  <c r="Y1703" i="16"/>
  <c r="Y1711" i="16"/>
  <c r="Y1719" i="16"/>
  <c r="Y1727" i="16"/>
  <c r="Y1735" i="16"/>
  <c r="Y1743" i="16"/>
  <c r="Y1751" i="16"/>
  <c r="Y1759" i="16"/>
  <c r="Y1767" i="16"/>
  <c r="Y1775" i="16"/>
  <c r="Y1783" i="16"/>
  <c r="Y1791" i="16"/>
  <c r="Y1799" i="16"/>
  <c r="Y1807" i="16"/>
  <c r="Y1815" i="16"/>
  <c r="Y1823" i="16"/>
  <c r="Y1831" i="16"/>
  <c r="Y1839" i="16"/>
  <c r="Y1847" i="16"/>
  <c r="Y1855" i="16"/>
  <c r="Y1863" i="16"/>
  <c r="Y1871" i="16"/>
  <c r="Y1879" i="16"/>
  <c r="Y1887" i="16"/>
  <c r="Y1895" i="16"/>
  <c r="Y1903" i="16"/>
  <c r="Y1911" i="16"/>
  <c r="Y1919" i="16"/>
  <c r="Y1927" i="16"/>
  <c r="Y1935" i="16"/>
  <c r="Y1943" i="16"/>
  <c r="Y1951" i="16"/>
  <c r="Y1959" i="16"/>
  <c r="Y1967" i="16"/>
  <c r="Y1975" i="16"/>
  <c r="Y1983" i="16"/>
  <c r="Y1991" i="16"/>
  <c r="Y1999" i="16"/>
  <c r="Y2007" i="16"/>
  <c r="Y2015" i="16"/>
  <c r="Y2023" i="16"/>
  <c r="Y2031" i="16"/>
  <c r="Y2039" i="16"/>
  <c r="Y2047" i="16"/>
  <c r="Y2055" i="16"/>
  <c r="Y710" i="16"/>
  <c r="Y774" i="16"/>
  <c r="Y838" i="16"/>
  <c r="Y902" i="16"/>
  <c r="Y966" i="16"/>
  <c r="Y1030" i="16"/>
  <c r="Y1094" i="16"/>
  <c r="Y1158" i="16"/>
  <c r="Y1222" i="16"/>
  <c r="Y1286" i="16"/>
  <c r="Y1350" i="16"/>
  <c r="Y1414" i="16"/>
  <c r="Y1478" i="16"/>
  <c r="Y1542" i="16"/>
  <c r="Y1606" i="16"/>
  <c r="Y1670" i="16"/>
  <c r="Y1718" i="16"/>
  <c r="Y1742" i="16"/>
  <c r="Y1765" i="16"/>
  <c r="Y1784" i="16"/>
  <c r="Y1800" i="16"/>
  <c r="Y1816" i="16"/>
  <c r="Y1832" i="16"/>
  <c r="Y1848" i="16"/>
  <c r="Y1864" i="16"/>
  <c r="Y1880" i="16"/>
  <c r="Y1896" i="16"/>
  <c r="Y1912" i="16"/>
  <c r="Y1928" i="16"/>
  <c r="Y1944" i="16"/>
  <c r="Y1960" i="16"/>
  <c r="Y1976" i="16"/>
  <c r="Y1992" i="16"/>
  <c r="Y2008" i="16"/>
  <c r="Y2024" i="16"/>
  <c r="Y2038" i="16"/>
  <c r="Y2052" i="16"/>
  <c r="Y2063" i="16"/>
  <c r="Y2072" i="16"/>
  <c r="Y2080" i="16"/>
  <c r="Y2088" i="16"/>
  <c r="Y2096" i="16"/>
  <c r="Y2104" i="16"/>
  <c r="Y2112" i="16"/>
  <c r="Y2120" i="16"/>
  <c r="Y2128" i="16"/>
  <c r="Y2136" i="16"/>
  <c r="Y2144" i="16"/>
  <c r="Y2152" i="16"/>
  <c r="Y2160" i="16"/>
  <c r="Y2168" i="16"/>
  <c r="Y2176" i="16"/>
  <c r="Y2184" i="16"/>
  <c r="Y2192" i="16"/>
  <c r="Y2200" i="16"/>
  <c r="Y2208" i="16"/>
  <c r="Y2216" i="16"/>
  <c r="Y2224" i="16"/>
  <c r="Y2232" i="16"/>
  <c r="Y2240" i="16"/>
  <c r="Y2248" i="16"/>
  <c r="Y2256" i="16"/>
  <c r="Y2264" i="16"/>
  <c r="Y2272" i="16"/>
  <c r="Y2280" i="16"/>
  <c r="Y2288" i="16"/>
  <c r="Y2296" i="16"/>
  <c r="Y2304" i="16"/>
  <c r="Y2312" i="16"/>
  <c r="Y2320" i="16"/>
  <c r="Y2328" i="16"/>
  <c r="Y2336" i="16"/>
  <c r="Y718" i="16"/>
  <c r="Y782" i="16"/>
  <c r="Y846" i="16"/>
  <c r="Y910" i="16"/>
  <c r="Y974" i="16"/>
  <c r="Y1038" i="16"/>
  <c r="Y1102" i="16"/>
  <c r="Y1166" i="16"/>
  <c r="Y1230" i="16"/>
  <c r="Y1294" i="16"/>
  <c r="Y1358" i="16"/>
  <c r="Y1422" i="16"/>
  <c r="Y1486" i="16"/>
  <c r="Y1550" i="16"/>
  <c r="Y1614" i="16"/>
  <c r="Y1678" i="16"/>
  <c r="Y1724" i="16"/>
  <c r="Y1748" i="16"/>
  <c r="Y1766" i="16"/>
  <c r="Y1788" i="16"/>
  <c r="Y1804" i="16"/>
  <c r="Y1820" i="16"/>
  <c r="Y1836" i="16"/>
  <c r="Y1852" i="16"/>
  <c r="Y1868" i="16"/>
  <c r="Y1884" i="16"/>
  <c r="Y1900" i="16"/>
  <c r="Y1916" i="16"/>
  <c r="Y1932" i="16"/>
  <c r="Y1948" i="16"/>
  <c r="Y1964" i="16"/>
  <c r="Y1980" i="16"/>
  <c r="Y1996" i="16"/>
  <c r="Y2012" i="16"/>
  <c r="Y2028" i="16"/>
  <c r="Y2040" i="16"/>
  <c r="Y2053" i="16"/>
  <c r="Y2064" i="16"/>
  <c r="Y2073" i="16"/>
  <c r="Y2081" i="16"/>
  <c r="Y2089" i="16"/>
  <c r="Y2097" i="16"/>
  <c r="Y2105" i="16"/>
  <c r="Y2113" i="16"/>
  <c r="Y2121" i="16"/>
  <c r="Y2129" i="16"/>
  <c r="Y2137" i="16"/>
  <c r="Y2145" i="16"/>
  <c r="Y2153" i="16"/>
  <c r="Y2161" i="16"/>
  <c r="Y2169" i="16"/>
  <c r="Y2177" i="16"/>
  <c r="Y2185" i="16"/>
  <c r="Y2193" i="16"/>
  <c r="Y2201" i="16"/>
  <c r="Y2209" i="16"/>
  <c r="Y2217" i="16"/>
  <c r="Y2225" i="16"/>
  <c r="Y2233" i="16"/>
  <c r="Y2241" i="16"/>
  <c r="Y2249" i="16"/>
  <c r="Y2257" i="16"/>
  <c r="Y2265" i="16"/>
  <c r="Y2273" i="16"/>
  <c r="Y2281" i="16"/>
  <c r="Y2289" i="16"/>
  <c r="Y2297" i="16"/>
  <c r="Y2305" i="16"/>
  <c r="Y2313" i="16"/>
  <c r="Y2321" i="16"/>
  <c r="Y2329" i="16"/>
  <c r="Y2337" i="16"/>
  <c r="Y726" i="16"/>
  <c r="Y790" i="16"/>
  <c r="Y854" i="16"/>
  <c r="Y918" i="16"/>
  <c r="Y982" i="16"/>
  <c r="Y1046" i="16"/>
  <c r="Y1110" i="16"/>
  <c r="Y1174" i="16"/>
  <c r="Y1238" i="16"/>
  <c r="Y1302" i="16"/>
  <c r="Y1366" i="16"/>
  <c r="Y1430" i="16"/>
  <c r="Y1494" i="16"/>
  <c r="Y1558" i="16"/>
  <c r="Y1622" i="16"/>
  <c r="Y1686" i="16"/>
  <c r="Y1726" i="16"/>
  <c r="Y1749" i="16"/>
  <c r="Y1772" i="16"/>
  <c r="Y1789" i="16"/>
  <c r="Y1805" i="16"/>
  <c r="Y1821" i="16"/>
  <c r="Y1837" i="16"/>
  <c r="Y1853" i="16"/>
  <c r="Y1869" i="16"/>
  <c r="Y1885" i="16"/>
  <c r="Y1901" i="16"/>
  <c r="Y1917" i="16"/>
  <c r="Y1933" i="16"/>
  <c r="Y1949" i="16"/>
  <c r="Y1965" i="16"/>
  <c r="Y1981" i="16"/>
  <c r="Y1997" i="16"/>
  <c r="Y2013" i="16"/>
  <c r="Y2029" i="16"/>
  <c r="Y2042" i="16"/>
  <c r="Y2054" i="16"/>
  <c r="Y2066" i="16"/>
  <c r="Y2074" i="16"/>
  <c r="Y2082" i="16"/>
  <c r="Y2090" i="16"/>
  <c r="Y2098" i="16"/>
  <c r="Y2106" i="16"/>
  <c r="Y2114" i="16"/>
  <c r="Y2122" i="16"/>
  <c r="Y2130" i="16"/>
  <c r="Y2138" i="16"/>
  <c r="Y2146" i="16"/>
  <c r="Y2154" i="16"/>
  <c r="Y2162" i="16"/>
  <c r="Y2170" i="16"/>
  <c r="Y2178" i="16"/>
  <c r="Y2186" i="16"/>
  <c r="Y2194" i="16"/>
  <c r="Y2202" i="16"/>
  <c r="Y2210" i="16"/>
  <c r="Y2218" i="16"/>
  <c r="Y2226" i="16"/>
  <c r="Y2234" i="16"/>
  <c r="Y2242" i="16"/>
  <c r="Y2250" i="16"/>
  <c r="Y2258" i="16"/>
  <c r="Y2266" i="16"/>
  <c r="Y2274" i="16"/>
  <c r="Y2282" i="16"/>
  <c r="Y2290" i="16"/>
  <c r="Y2298" i="16"/>
  <c r="Y2306" i="16"/>
  <c r="Y2314" i="16"/>
  <c r="Y2322" i="16"/>
  <c r="Y2330" i="16"/>
  <c r="Y2338" i="16"/>
  <c r="Y734" i="16"/>
  <c r="Y798" i="16"/>
  <c r="Y862" i="16"/>
  <c r="Y926" i="16"/>
  <c r="Y990" i="16"/>
  <c r="Y1054" i="16"/>
  <c r="Y1118" i="16"/>
  <c r="Y1182" i="16"/>
  <c r="Y1246" i="16"/>
  <c r="Y1310" i="16"/>
  <c r="Y1374" i="16"/>
  <c r="Y1438" i="16"/>
  <c r="Y1502" i="16"/>
  <c r="Y1566" i="16"/>
  <c r="Y1630" i="16"/>
  <c r="Y1694" i="16"/>
  <c r="Y1732" i="16"/>
  <c r="Y1750" i="16"/>
  <c r="Y1773" i="16"/>
  <c r="Y1790" i="16"/>
  <c r="Y1806" i="16"/>
  <c r="Y1822" i="16"/>
  <c r="Y1838" i="16"/>
  <c r="Y1854" i="16"/>
  <c r="Y1870" i="16"/>
  <c r="Y1886" i="16"/>
  <c r="Y1902" i="16"/>
  <c r="Y1918" i="16"/>
  <c r="Y1934" i="16"/>
  <c r="Y1950" i="16"/>
  <c r="Y1966" i="16"/>
  <c r="Y1982" i="16"/>
  <c r="Y1998" i="16"/>
  <c r="Y2014" i="16"/>
  <c r="Y2030" i="16"/>
  <c r="Y2044" i="16"/>
  <c r="Y2056" i="16"/>
  <c r="Y2067" i="16"/>
  <c r="Y2075" i="16"/>
  <c r="Y2083" i="16"/>
  <c r="Y2091" i="16"/>
  <c r="Y2099" i="16"/>
  <c r="Y2107" i="16"/>
  <c r="Y2115" i="16"/>
  <c r="Y2123" i="16"/>
  <c r="Y2131" i="16"/>
  <c r="Y2139" i="16"/>
  <c r="Y2147" i="16"/>
  <c r="Y2155" i="16"/>
  <c r="Y2163" i="16"/>
  <c r="Y2171" i="16"/>
  <c r="Y2179" i="16"/>
  <c r="Y2187" i="16"/>
  <c r="Y2195" i="16"/>
  <c r="Y2203" i="16"/>
  <c r="Y2211" i="16"/>
  <c r="Y2219" i="16"/>
  <c r="Y2227" i="16"/>
  <c r="Y2235" i="16"/>
  <c r="Y2243" i="16"/>
  <c r="Y2251" i="16"/>
  <c r="Y2259" i="16"/>
  <c r="Y2267" i="16"/>
  <c r="Y2275" i="16"/>
  <c r="Y2283" i="16"/>
  <c r="Y2291" i="16"/>
  <c r="Y2299" i="16"/>
  <c r="Y2307" i="16"/>
  <c r="Y2315" i="16"/>
  <c r="Y2323" i="16"/>
  <c r="Y2331" i="16"/>
  <c r="Y2339" i="16"/>
  <c r="Y758" i="16"/>
  <c r="Y822" i="16"/>
  <c r="Y886" i="16"/>
  <c r="Y950" i="16"/>
  <c r="Y1014" i="16"/>
  <c r="Y1078" i="16"/>
  <c r="Y1142" i="16"/>
  <c r="Y1206" i="16"/>
  <c r="Y1270" i="16"/>
  <c r="Y1334" i="16"/>
  <c r="Y1398" i="16"/>
  <c r="Y1462" i="16"/>
  <c r="Y1526" i="16"/>
  <c r="Y1590" i="16"/>
  <c r="Y1654" i="16"/>
  <c r="Y1710" i="16"/>
  <c r="Y1740" i="16"/>
  <c r="Y1758" i="16"/>
  <c r="Y1781" i="16"/>
  <c r="Y1797" i="16"/>
  <c r="Y1813" i="16"/>
  <c r="Y1829" i="16"/>
  <c r="Y1845" i="16"/>
  <c r="Y1861" i="16"/>
  <c r="Y1877" i="16"/>
  <c r="Y1893" i="16"/>
  <c r="Y1909" i="16"/>
  <c r="Y1925" i="16"/>
  <c r="Y1941" i="16"/>
  <c r="Y1957" i="16"/>
  <c r="Y1973" i="16"/>
  <c r="Y1989" i="16"/>
  <c r="Y2005" i="16"/>
  <c r="Y2021" i="16"/>
  <c r="Y2036" i="16"/>
  <c r="Y2048" i="16"/>
  <c r="Y2061" i="16"/>
  <c r="Y2070" i="16"/>
  <c r="Y2078" i="16"/>
  <c r="Y2086" i="16"/>
  <c r="Y2094" i="16"/>
  <c r="Y2102" i="16"/>
  <c r="Y2110" i="16"/>
  <c r="Y2118" i="16"/>
  <c r="Y2126" i="16"/>
  <c r="Y2134" i="16"/>
  <c r="Y2142" i="16"/>
  <c r="Y2150" i="16"/>
  <c r="Y2158" i="16"/>
  <c r="Y2166" i="16"/>
  <c r="Y2174" i="16"/>
  <c r="Y2182" i="16"/>
  <c r="Y2190" i="16"/>
  <c r="Y2198" i="16"/>
  <c r="Y2206" i="16"/>
  <c r="Y2214" i="16"/>
  <c r="Y2222" i="16"/>
  <c r="Y2230" i="16"/>
  <c r="Y2238" i="16"/>
  <c r="Y2246" i="16"/>
  <c r="Y2254" i="16"/>
  <c r="Y2262" i="16"/>
  <c r="Y2270" i="16"/>
  <c r="Y2278" i="16"/>
  <c r="Y2286" i="16"/>
  <c r="Y2294" i="16"/>
  <c r="Y2302" i="16"/>
  <c r="Y2310" i="16"/>
  <c r="Y2318" i="16"/>
  <c r="Y2326" i="16"/>
  <c r="Y2334" i="16"/>
  <c r="Y766" i="16"/>
  <c r="Y830" i="16"/>
  <c r="Y894" i="16"/>
  <c r="Y958" i="16"/>
  <c r="Y1022" i="16"/>
  <c r="Y1086" i="16"/>
  <c r="Y1150" i="16"/>
  <c r="Y1214" i="16"/>
  <c r="Y1278" i="16"/>
  <c r="Y1342" i="16"/>
  <c r="Y1406" i="16"/>
  <c r="Y1470" i="16"/>
  <c r="Y1534" i="16"/>
  <c r="Y1598" i="16"/>
  <c r="Y1662" i="16"/>
  <c r="Y1716" i="16"/>
  <c r="Y1741" i="16"/>
  <c r="Y1764" i="16"/>
  <c r="Y1782" i="16"/>
  <c r="Y1798" i="16"/>
  <c r="Y1814" i="16"/>
  <c r="Y1830" i="16"/>
  <c r="Y1846" i="16"/>
  <c r="Y1862" i="16"/>
  <c r="Y1878" i="16"/>
  <c r="Y1894" i="16"/>
  <c r="Y1910" i="16"/>
  <c r="Y1926" i="16"/>
  <c r="Y1942" i="16"/>
  <c r="Y1958" i="16"/>
  <c r="Y1974" i="16"/>
  <c r="Y1990" i="16"/>
  <c r="Y2006" i="16"/>
  <c r="Y2022" i="16"/>
  <c r="Y2037" i="16"/>
  <c r="Y2050" i="16"/>
  <c r="Y2062" i="16"/>
  <c r="Y2071" i="16"/>
  <c r="Y2079" i="16"/>
  <c r="Y2087" i="16"/>
  <c r="Y2095" i="16"/>
  <c r="Y2103" i="16"/>
  <c r="Y2111" i="16"/>
  <c r="Y2119" i="16"/>
  <c r="Y2127" i="16"/>
  <c r="Y2135" i="16"/>
  <c r="Y2143" i="16"/>
  <c r="Y2151" i="16"/>
  <c r="Y2159" i="16"/>
  <c r="Y2167" i="16"/>
  <c r="Y2175" i="16"/>
  <c r="Y2183" i="16"/>
  <c r="Y2191" i="16"/>
  <c r="Y2199" i="16"/>
  <c r="Y2207" i="16"/>
  <c r="Y2215" i="16"/>
  <c r="Y2223" i="16"/>
  <c r="Y2231" i="16"/>
  <c r="Y2239" i="16"/>
  <c r="Y2247" i="16"/>
  <c r="Y2255" i="16"/>
  <c r="Y2263" i="16"/>
  <c r="Y2271" i="16"/>
  <c r="Y2279" i="16"/>
  <c r="Y2287" i="16"/>
  <c r="Y2295" i="16"/>
  <c r="Y2303" i="16"/>
  <c r="Y2311" i="16"/>
  <c r="Y2319" i="16"/>
  <c r="Y2327" i="16"/>
  <c r="Y2335" i="16"/>
  <c r="Y742" i="16"/>
  <c r="Y998" i="16"/>
  <c r="Y1254" i="16"/>
  <c r="Y1510" i="16"/>
  <c r="Y1733" i="16"/>
  <c r="Y1808" i="16"/>
  <c r="Y1872" i="16"/>
  <c r="Y1936" i="16"/>
  <c r="Y2000" i="16"/>
  <c r="Y2058" i="16"/>
  <c r="Y2092" i="16"/>
  <c r="Y2124" i="16"/>
  <c r="Y2156" i="16"/>
  <c r="Y2188" i="16"/>
  <c r="Y2220" i="16"/>
  <c r="Y2252" i="16"/>
  <c r="Y2284" i="16"/>
  <c r="Y2316" i="16"/>
  <c r="Y750" i="16"/>
  <c r="Y1006" i="16"/>
  <c r="Y1262" i="16"/>
  <c r="Y1518" i="16"/>
  <c r="Y1734" i="16"/>
  <c r="Y1812" i="16"/>
  <c r="Y1876" i="16"/>
  <c r="Y1940" i="16"/>
  <c r="Y2004" i="16"/>
  <c r="Y2060" i="16"/>
  <c r="Y2093" i="16"/>
  <c r="Y2125" i="16"/>
  <c r="Y2157" i="16"/>
  <c r="Y2189" i="16"/>
  <c r="Y2221" i="16"/>
  <c r="Y2253" i="16"/>
  <c r="Y2285" i="16"/>
  <c r="Y2317" i="16"/>
  <c r="Y806" i="16"/>
  <c r="Y1062" i="16"/>
  <c r="Y1318" i="16"/>
  <c r="Y1574" i="16"/>
  <c r="Y1756" i="16"/>
  <c r="Y1824" i="16"/>
  <c r="Y1888" i="16"/>
  <c r="Y1952" i="16"/>
  <c r="Y2016" i="16"/>
  <c r="Y2068" i="16"/>
  <c r="Y2100" i="16"/>
  <c r="Y2132" i="16"/>
  <c r="Y2164" i="16"/>
  <c r="Y2196" i="16"/>
  <c r="Y2228" i="16"/>
  <c r="Y2260" i="16"/>
  <c r="Y2292" i="16"/>
  <c r="Y2324" i="16"/>
  <c r="Y814" i="16"/>
  <c r="Y1070" i="16"/>
  <c r="Y1326" i="16"/>
  <c r="Y1582" i="16"/>
  <c r="Y1757" i="16"/>
  <c r="Y1828" i="16"/>
  <c r="Y1892" i="16"/>
  <c r="Y1956" i="16"/>
  <c r="Y2020" i="16"/>
  <c r="Y2069" i="16"/>
  <c r="Y2101" i="16"/>
  <c r="Y2133" i="16"/>
  <c r="Y2165" i="16"/>
  <c r="Y2197" i="16"/>
  <c r="Y2229" i="16"/>
  <c r="Y2261" i="16"/>
  <c r="Y2293" i="16"/>
  <c r="Y2325" i="16"/>
  <c r="Y870" i="16"/>
  <c r="Y1126" i="16"/>
  <c r="Y1382" i="16"/>
  <c r="Y1638" i="16"/>
  <c r="Y1774" i="16"/>
  <c r="Y1840" i="16"/>
  <c r="Y1904" i="16"/>
  <c r="Y1968" i="16"/>
  <c r="Y2032" i="16"/>
  <c r="Y2076" i="16"/>
  <c r="Y2108" i="16"/>
  <c r="Y2140" i="16"/>
  <c r="Y2172" i="16"/>
  <c r="Y2204" i="16"/>
  <c r="Y2236" i="16"/>
  <c r="Y2268" i="16"/>
  <c r="Y2300" i="16"/>
  <c r="Y2332" i="16"/>
  <c r="Y934" i="16"/>
  <c r="Y1190" i="16"/>
  <c r="Y1446" i="16"/>
  <c r="Y1702" i="16"/>
  <c r="Y1792" i="16"/>
  <c r="Y1856" i="16"/>
  <c r="Y1920" i="16"/>
  <c r="Y1984" i="16"/>
  <c r="Y2045" i="16"/>
  <c r="Y2084" i="16"/>
  <c r="Y2116" i="16"/>
  <c r="Y2148" i="16"/>
  <c r="Y2180" i="16"/>
  <c r="Y2212" i="16"/>
  <c r="Y2244" i="16"/>
  <c r="Y2276" i="16"/>
  <c r="Y2308" i="16"/>
  <c r="Y2340" i="16"/>
  <c r="Y942" i="16"/>
  <c r="Y1198" i="16"/>
  <c r="Y1454" i="16"/>
  <c r="Y1708" i="16"/>
  <c r="Y1796" i="16"/>
  <c r="Y1860" i="16"/>
  <c r="Y1924" i="16"/>
  <c r="Y1988" i="16"/>
  <c r="Y2046" i="16"/>
  <c r="Y2085" i="16"/>
  <c r="Y2117" i="16"/>
  <c r="Y2149" i="16"/>
  <c r="Y2181" i="16"/>
  <c r="Y2213" i="16"/>
  <c r="Y2245" i="16"/>
  <c r="Y2277" i="16"/>
  <c r="Y2309" i="16"/>
  <c r="Y2341" i="16"/>
  <c r="Y878" i="16"/>
  <c r="Y2034" i="16"/>
  <c r="Y2301" i="16"/>
  <c r="Y1134" i="16"/>
  <c r="Y2077" i="16"/>
  <c r="Y2333" i="16"/>
  <c r="Y1390" i="16"/>
  <c r="Y2109" i="16"/>
  <c r="Y1646" i="16"/>
  <c r="Y2141" i="16"/>
  <c r="Y1780" i="16"/>
  <c r="Y2173" i="16"/>
  <c r="Y1844" i="16"/>
  <c r="Y2205" i="16"/>
  <c r="Y1908" i="16"/>
  <c r="Y2237" i="16"/>
  <c r="Y1972" i="16"/>
  <c r="Y2269" i="16"/>
  <c r="S8" i="16"/>
  <c r="S16" i="16"/>
  <c r="S24" i="16"/>
  <c r="S32" i="16"/>
  <c r="S40" i="16"/>
  <c r="S48" i="16"/>
  <c r="S56" i="16"/>
  <c r="S64" i="16"/>
  <c r="S72" i="16"/>
  <c r="S80" i="16"/>
  <c r="S88" i="16"/>
  <c r="S96" i="16"/>
  <c r="S104" i="16"/>
  <c r="S112" i="16"/>
  <c r="S120" i="16"/>
  <c r="S128" i="16"/>
  <c r="S136" i="16"/>
  <c r="S144" i="16"/>
  <c r="S152" i="16"/>
  <c r="S160" i="16"/>
  <c r="S168" i="16"/>
  <c r="S176" i="16"/>
  <c r="S184" i="16"/>
  <c r="S192" i="16"/>
  <c r="S200" i="16"/>
  <c r="S208" i="16"/>
  <c r="S216" i="16"/>
  <c r="S224" i="16"/>
  <c r="S232" i="16"/>
  <c r="S240" i="16"/>
  <c r="S248" i="16"/>
  <c r="S256" i="16"/>
  <c r="S264" i="16"/>
  <c r="S272" i="16"/>
  <c r="S280" i="16"/>
  <c r="S288" i="16"/>
  <c r="S296" i="16"/>
  <c r="S304" i="16"/>
  <c r="S312" i="16"/>
  <c r="S320" i="16"/>
  <c r="S328" i="16"/>
  <c r="S336" i="16"/>
  <c r="S344" i="16"/>
  <c r="S352" i="16"/>
  <c r="S360" i="16"/>
  <c r="S368" i="16"/>
  <c r="S376" i="16"/>
  <c r="S384" i="16"/>
  <c r="S392" i="16"/>
  <c r="S400" i="16"/>
  <c r="S408" i="16"/>
  <c r="S416" i="16"/>
  <c r="S424" i="16"/>
  <c r="S432" i="16"/>
  <c r="S440" i="16"/>
  <c r="S448" i="16"/>
  <c r="S456" i="16"/>
  <c r="S464" i="16"/>
  <c r="S472" i="16"/>
  <c r="S480" i="16"/>
  <c r="S488" i="16"/>
  <c r="S496" i="16"/>
  <c r="S504" i="16"/>
  <c r="S512" i="16"/>
  <c r="S520" i="16"/>
  <c r="S528" i="16"/>
  <c r="S536" i="16"/>
  <c r="S544" i="16"/>
  <c r="S552" i="16"/>
  <c r="S560" i="16"/>
  <c r="S568" i="16"/>
  <c r="S576" i="16"/>
  <c r="S584" i="16"/>
  <c r="S592" i="16"/>
  <c r="S600" i="16"/>
  <c r="S608" i="16"/>
  <c r="S616" i="16"/>
  <c r="S624" i="16"/>
  <c r="S632" i="16"/>
  <c r="S640" i="16"/>
  <c r="S648" i="16"/>
  <c r="S656" i="16"/>
  <c r="S664" i="16"/>
  <c r="S672" i="16"/>
  <c r="S680" i="16"/>
  <c r="S688" i="16"/>
  <c r="S696" i="16"/>
  <c r="S704" i="16"/>
  <c r="S712" i="16"/>
  <c r="S720" i="16"/>
  <c r="S728" i="16"/>
  <c r="S736" i="16"/>
  <c r="S744" i="16"/>
  <c r="S752" i="16"/>
  <c r="S760" i="16"/>
  <c r="S768" i="16"/>
  <c r="S776" i="16"/>
  <c r="S784" i="16"/>
  <c r="S792" i="16"/>
  <c r="S800" i="16"/>
  <c r="S808" i="16"/>
  <c r="S816" i="16"/>
  <c r="S824" i="16"/>
  <c r="S832" i="16"/>
  <c r="S840" i="16"/>
  <c r="S9" i="16"/>
  <c r="S17" i="16"/>
  <c r="S25" i="16"/>
  <c r="S33" i="16"/>
  <c r="S41" i="16"/>
  <c r="S49" i="16"/>
  <c r="S57" i="16"/>
  <c r="S65" i="16"/>
  <c r="S73" i="16"/>
  <c r="S81" i="16"/>
  <c r="S89" i="16"/>
  <c r="S97" i="16"/>
  <c r="S105" i="16"/>
  <c r="S113" i="16"/>
  <c r="S121" i="16"/>
  <c r="S129" i="16"/>
  <c r="S137" i="16"/>
  <c r="S145" i="16"/>
  <c r="S153" i="16"/>
  <c r="S161" i="16"/>
  <c r="S169" i="16"/>
  <c r="S177" i="16"/>
  <c r="S185" i="16"/>
  <c r="S193" i="16"/>
  <c r="S201" i="16"/>
  <c r="S209" i="16"/>
  <c r="S217" i="16"/>
  <c r="S225" i="16"/>
  <c r="S233" i="16"/>
  <c r="S241" i="16"/>
  <c r="S249" i="16"/>
  <c r="S257" i="16"/>
  <c r="S265" i="16"/>
  <c r="S273" i="16"/>
  <c r="S281" i="16"/>
  <c r="S289" i="16"/>
  <c r="S297" i="16"/>
  <c r="S305" i="16"/>
  <c r="S313" i="16"/>
  <c r="S321" i="16"/>
  <c r="S329" i="16"/>
  <c r="S337" i="16"/>
  <c r="S345" i="16"/>
  <c r="S353" i="16"/>
  <c r="S361" i="16"/>
  <c r="S369" i="16"/>
  <c r="S377" i="16"/>
  <c r="S385" i="16"/>
  <c r="S393" i="16"/>
  <c r="S401" i="16"/>
  <c r="S409" i="16"/>
  <c r="S417" i="16"/>
  <c r="S425" i="16"/>
  <c r="S433" i="16"/>
  <c r="S441" i="16"/>
  <c r="S449" i="16"/>
  <c r="S457" i="16"/>
  <c r="S465" i="16"/>
  <c r="S473" i="16"/>
  <c r="S481" i="16"/>
  <c r="S489" i="16"/>
  <c r="S497" i="16"/>
  <c r="S505" i="16"/>
  <c r="S513" i="16"/>
  <c r="S521" i="16"/>
  <c r="S529" i="16"/>
  <c r="S537" i="16"/>
  <c r="S545" i="16"/>
  <c r="S553" i="16"/>
  <c r="S561" i="16"/>
  <c r="S569" i="16"/>
  <c r="S577" i="16"/>
  <c r="S585" i="16"/>
  <c r="S593" i="16"/>
  <c r="S601" i="16"/>
  <c r="S609" i="16"/>
  <c r="S617" i="16"/>
  <c r="S625" i="16"/>
  <c r="S633" i="16"/>
  <c r="S641" i="16"/>
  <c r="S649" i="16"/>
  <c r="S657" i="16"/>
  <c r="S665" i="16"/>
  <c r="S673" i="16"/>
  <c r="S681" i="16"/>
  <c r="S689" i="16"/>
  <c r="S697" i="16"/>
  <c r="S705" i="16"/>
  <c r="S713" i="16"/>
  <c r="S721" i="16"/>
  <c r="S729" i="16"/>
  <c r="S737" i="16"/>
  <c r="S745" i="16"/>
  <c r="S753" i="16"/>
  <c r="S761" i="16"/>
  <c r="S769" i="16"/>
  <c r="S777" i="16"/>
  <c r="S785" i="16"/>
  <c r="S793" i="16"/>
  <c r="S801" i="16"/>
  <c r="S809" i="16"/>
  <c r="S817" i="16"/>
  <c r="S825" i="16"/>
  <c r="S833" i="16"/>
  <c r="S841" i="16"/>
  <c r="S10" i="16"/>
  <c r="S18" i="16"/>
  <c r="S26" i="16"/>
  <c r="S34" i="16"/>
  <c r="S42" i="16"/>
  <c r="S50" i="16"/>
  <c r="S58" i="16"/>
  <c r="S66" i="16"/>
  <c r="S74" i="16"/>
  <c r="S82" i="16"/>
  <c r="S90" i="16"/>
  <c r="S98" i="16"/>
  <c r="S106" i="16"/>
  <c r="S114" i="16"/>
  <c r="S122" i="16"/>
  <c r="S130" i="16"/>
  <c r="S138" i="16"/>
  <c r="S146" i="16"/>
  <c r="S154" i="16"/>
  <c r="S162" i="16"/>
  <c r="S170" i="16"/>
  <c r="S178" i="16"/>
  <c r="S186" i="16"/>
  <c r="S194" i="16"/>
  <c r="S202" i="16"/>
  <c r="S210" i="16"/>
  <c r="S218" i="16"/>
  <c r="S226" i="16"/>
  <c r="S234" i="16"/>
  <c r="S242" i="16"/>
  <c r="S250" i="16"/>
  <c r="S258" i="16"/>
  <c r="S266" i="16"/>
  <c r="S274" i="16"/>
  <c r="S282" i="16"/>
  <c r="S290" i="16"/>
  <c r="S298" i="16"/>
  <c r="S306" i="16"/>
  <c r="S314" i="16"/>
  <c r="S322" i="16"/>
  <c r="S330" i="16"/>
  <c r="S338" i="16"/>
  <c r="S346" i="16"/>
  <c r="S354" i="16"/>
  <c r="S362" i="16"/>
  <c r="S370" i="16"/>
  <c r="S378" i="16"/>
  <c r="S386" i="16"/>
  <c r="S394" i="16"/>
  <c r="S402" i="16"/>
  <c r="S410" i="16"/>
  <c r="S418" i="16"/>
  <c r="S426" i="16"/>
  <c r="S434" i="16"/>
  <c r="S442" i="16"/>
  <c r="S450" i="16"/>
  <c r="S458" i="16"/>
  <c r="S466" i="16"/>
  <c r="S474" i="16"/>
  <c r="S482" i="16"/>
  <c r="S490" i="16"/>
  <c r="S498" i="16"/>
  <c r="S506" i="16"/>
  <c r="S514" i="16"/>
  <c r="S522" i="16"/>
  <c r="S530" i="16"/>
  <c r="S538" i="16"/>
  <c r="S546" i="16"/>
  <c r="S554" i="16"/>
  <c r="S562" i="16"/>
  <c r="S570" i="16"/>
  <c r="S578" i="16"/>
  <c r="S586" i="16"/>
  <c r="S594" i="16"/>
  <c r="S602" i="16"/>
  <c r="S610" i="16"/>
  <c r="S618" i="16"/>
  <c r="S626" i="16"/>
  <c r="S634" i="16"/>
  <c r="S642" i="16"/>
  <c r="S650" i="16"/>
  <c r="S658" i="16"/>
  <c r="S666" i="16"/>
  <c r="S674" i="16"/>
  <c r="S682" i="16"/>
  <c r="S690" i="16"/>
  <c r="S698" i="16"/>
  <c r="S11" i="16"/>
  <c r="S19" i="16"/>
  <c r="S27" i="16"/>
  <c r="S35" i="16"/>
  <c r="S43" i="16"/>
  <c r="S51" i="16"/>
  <c r="S59" i="16"/>
  <c r="S67" i="16"/>
  <c r="S75" i="16"/>
  <c r="S83" i="16"/>
  <c r="S91" i="16"/>
  <c r="S99" i="16"/>
  <c r="S107" i="16"/>
  <c r="S115" i="16"/>
  <c r="S123" i="16"/>
  <c r="S131" i="16"/>
  <c r="S139" i="16"/>
  <c r="S147" i="16"/>
  <c r="S155" i="16"/>
  <c r="S163" i="16"/>
  <c r="S171" i="16"/>
  <c r="S179" i="16"/>
  <c r="S187" i="16"/>
  <c r="S195" i="16"/>
  <c r="S203" i="16"/>
  <c r="S211" i="16"/>
  <c r="S219" i="16"/>
  <c r="S227" i="16"/>
  <c r="S235" i="16"/>
  <c r="S243" i="16"/>
  <c r="S251" i="16"/>
  <c r="S259" i="16"/>
  <c r="S267" i="16"/>
  <c r="S275" i="16"/>
  <c r="S283" i="16"/>
  <c r="S291" i="16"/>
  <c r="S299" i="16"/>
  <c r="S307" i="16"/>
  <c r="S315" i="16"/>
  <c r="S323" i="16"/>
  <c r="S331" i="16"/>
  <c r="S339" i="16"/>
  <c r="S347" i="16"/>
  <c r="S355" i="16"/>
  <c r="S363" i="16"/>
  <c r="S371" i="16"/>
  <c r="S379" i="16"/>
  <c r="S387" i="16"/>
  <c r="S395" i="16"/>
  <c r="S403" i="16"/>
  <c r="S411" i="16"/>
  <c r="S419" i="16"/>
  <c r="S427" i="16"/>
  <c r="S435" i="16"/>
  <c r="S443" i="16"/>
  <c r="S451" i="16"/>
  <c r="S459" i="16"/>
  <c r="S467" i="16"/>
  <c r="S475" i="16"/>
  <c r="S483" i="16"/>
  <c r="S491" i="16"/>
  <c r="S499" i="16"/>
  <c r="S507" i="16"/>
  <c r="S515" i="16"/>
  <c r="S523" i="16"/>
  <c r="S531" i="16"/>
  <c r="S539" i="16"/>
  <c r="S547" i="16"/>
  <c r="S555" i="16"/>
  <c r="S563" i="16"/>
  <c r="S571" i="16"/>
  <c r="S579" i="16"/>
  <c r="S587" i="16"/>
  <c r="S595" i="16"/>
  <c r="S603" i="16"/>
  <c r="S611" i="16"/>
  <c r="S619" i="16"/>
  <c r="S627" i="16"/>
  <c r="S635" i="16"/>
  <c r="S643" i="16"/>
  <c r="S651" i="16"/>
  <c r="S659" i="16"/>
  <c r="S667" i="16"/>
  <c r="S675" i="16"/>
  <c r="S683" i="16"/>
  <c r="S691" i="16"/>
  <c r="S699" i="16"/>
  <c r="S707" i="16"/>
  <c r="S715" i="16"/>
  <c r="S723" i="16"/>
  <c r="S731" i="16"/>
  <c r="S739" i="16"/>
  <c r="S747" i="16"/>
  <c r="S755" i="16"/>
  <c r="S763" i="16"/>
  <c r="S771" i="16"/>
  <c r="S779" i="16"/>
  <c r="S787" i="16"/>
  <c r="S795" i="16"/>
  <c r="S803" i="16"/>
  <c r="S811" i="16"/>
  <c r="S819" i="16"/>
  <c r="S827" i="16"/>
  <c r="S835" i="16"/>
  <c r="S843" i="16"/>
  <c r="S6" i="16"/>
  <c r="S14" i="16"/>
  <c r="S22" i="16"/>
  <c r="S30" i="16"/>
  <c r="S38" i="16"/>
  <c r="S46" i="16"/>
  <c r="S54" i="16"/>
  <c r="S62" i="16"/>
  <c r="S70" i="16"/>
  <c r="S78" i="16"/>
  <c r="S86" i="16"/>
  <c r="S94" i="16"/>
  <c r="S102" i="16"/>
  <c r="S110" i="16"/>
  <c r="S118" i="16"/>
  <c r="S126" i="16"/>
  <c r="S134" i="16"/>
  <c r="S142" i="16"/>
  <c r="S150" i="16"/>
  <c r="S158" i="16"/>
  <c r="S166" i="16"/>
  <c r="S174" i="16"/>
  <c r="S182" i="16"/>
  <c r="S190" i="16"/>
  <c r="S198" i="16"/>
  <c r="S206" i="16"/>
  <c r="S214" i="16"/>
  <c r="S222" i="16"/>
  <c r="S230" i="16"/>
  <c r="S238" i="16"/>
  <c r="S246" i="16"/>
  <c r="S254" i="16"/>
  <c r="S262" i="16"/>
  <c r="S270" i="16"/>
  <c r="S278" i="16"/>
  <c r="S286" i="16"/>
  <c r="S294" i="16"/>
  <c r="S302" i="16"/>
  <c r="S310" i="16"/>
  <c r="S318" i="16"/>
  <c r="S326" i="16"/>
  <c r="S334" i="16"/>
  <c r="S342" i="16"/>
  <c r="S350" i="16"/>
  <c r="S358" i="16"/>
  <c r="S366" i="16"/>
  <c r="S374" i="16"/>
  <c r="S382" i="16"/>
  <c r="S390" i="16"/>
  <c r="S398" i="16"/>
  <c r="S406" i="16"/>
  <c r="S414" i="16"/>
  <c r="S422" i="16"/>
  <c r="S430" i="16"/>
  <c r="S438" i="16"/>
  <c r="S446" i="16"/>
  <c r="S454" i="16"/>
  <c r="S462" i="16"/>
  <c r="S470" i="16"/>
  <c r="S478" i="16"/>
  <c r="S486" i="16"/>
  <c r="S494" i="16"/>
  <c r="S502" i="16"/>
  <c r="S510" i="16"/>
  <c r="S518" i="16"/>
  <c r="S526" i="16"/>
  <c r="S534" i="16"/>
  <c r="S542" i="16"/>
  <c r="S550" i="16"/>
  <c r="S558" i="16"/>
  <c r="T558" i="16" s="1"/>
  <c r="S566" i="16"/>
  <c r="S574" i="16"/>
  <c r="S582" i="16"/>
  <c r="S590" i="16"/>
  <c r="S598" i="16"/>
  <c r="S606" i="16"/>
  <c r="S614" i="16"/>
  <c r="S622" i="16"/>
  <c r="T622" i="16" s="1"/>
  <c r="S630" i="16"/>
  <c r="S638" i="16"/>
  <c r="S646" i="16"/>
  <c r="S654" i="16"/>
  <c r="S662" i="16"/>
  <c r="S670" i="16"/>
  <c r="S678" i="16"/>
  <c r="S686" i="16"/>
  <c r="T686" i="16" s="1"/>
  <c r="S694" i="16"/>
  <c r="S702" i="16"/>
  <c r="S710" i="16"/>
  <c r="S718" i="16"/>
  <c r="S726" i="16"/>
  <c r="S734" i="16"/>
  <c r="S742" i="16"/>
  <c r="S750" i="16"/>
  <c r="T750" i="16" s="1"/>
  <c r="S758" i="16"/>
  <c r="S766" i="16"/>
  <c r="S774" i="16"/>
  <c r="S782" i="16"/>
  <c r="S790" i="16"/>
  <c r="S798" i="16"/>
  <c r="S806" i="16"/>
  <c r="S814" i="16"/>
  <c r="S822" i="16"/>
  <c r="S830" i="16"/>
  <c r="S838" i="16"/>
  <c r="S846" i="16"/>
  <c r="S7" i="16"/>
  <c r="S15" i="16"/>
  <c r="S23" i="16"/>
  <c r="S31" i="16"/>
  <c r="S39" i="16"/>
  <c r="S47" i="16"/>
  <c r="S55" i="16"/>
  <c r="S63" i="16"/>
  <c r="S71" i="16"/>
  <c r="S79" i="16"/>
  <c r="S87" i="16"/>
  <c r="S95" i="16"/>
  <c r="S103" i="16"/>
  <c r="S111" i="16"/>
  <c r="S119" i="16"/>
  <c r="S127" i="16"/>
  <c r="S135" i="16"/>
  <c r="S143" i="16"/>
  <c r="S151" i="16"/>
  <c r="S159" i="16"/>
  <c r="T159" i="16" s="1"/>
  <c r="S167" i="16"/>
  <c r="S175" i="16"/>
  <c r="S183" i="16"/>
  <c r="S191" i="16"/>
  <c r="S199" i="16"/>
  <c r="S207" i="16"/>
  <c r="S215" i="16"/>
  <c r="S223" i="16"/>
  <c r="T223" i="16" s="1"/>
  <c r="S231" i="16"/>
  <c r="S239" i="16"/>
  <c r="S247" i="16"/>
  <c r="S255" i="16"/>
  <c r="S263" i="16"/>
  <c r="S271" i="16"/>
  <c r="S279" i="16"/>
  <c r="S287" i="16"/>
  <c r="S295" i="16"/>
  <c r="S303" i="16"/>
  <c r="S311" i="16"/>
  <c r="S319" i="16"/>
  <c r="S327" i="16"/>
  <c r="S335" i="16"/>
  <c r="S343" i="16"/>
  <c r="S351" i="16"/>
  <c r="T351" i="16" s="1"/>
  <c r="S359" i="16"/>
  <c r="S367" i="16"/>
  <c r="S375" i="16"/>
  <c r="S383" i="16"/>
  <c r="S391" i="16"/>
  <c r="S399" i="16"/>
  <c r="S407" i="16"/>
  <c r="S415" i="16"/>
  <c r="T415" i="16" s="1"/>
  <c r="S423" i="16"/>
  <c r="S431" i="16"/>
  <c r="S439" i="16"/>
  <c r="S447" i="16"/>
  <c r="S455" i="16"/>
  <c r="S463" i="16"/>
  <c r="S471" i="16"/>
  <c r="S479" i="16"/>
  <c r="T479" i="16" s="1"/>
  <c r="S487" i="16"/>
  <c r="S495" i="16"/>
  <c r="S503" i="16"/>
  <c r="S511" i="16"/>
  <c r="S519" i="16"/>
  <c r="S527" i="16"/>
  <c r="S535" i="16"/>
  <c r="S543" i="16"/>
  <c r="T543" i="16" s="1"/>
  <c r="S551" i="16"/>
  <c r="S559" i="16"/>
  <c r="S567" i="16"/>
  <c r="S575" i="16"/>
  <c r="S583" i="16"/>
  <c r="S591" i="16"/>
  <c r="S599" i="16"/>
  <c r="S607" i="16"/>
  <c r="T607" i="16" s="1"/>
  <c r="S615" i="16"/>
  <c r="S623" i="16"/>
  <c r="S631" i="16"/>
  <c r="S639" i="16"/>
  <c r="S647" i="16"/>
  <c r="S655" i="16"/>
  <c r="S663" i="16"/>
  <c r="S671" i="16"/>
  <c r="S679" i="16"/>
  <c r="S687" i="16"/>
  <c r="S695" i="16"/>
  <c r="S703" i="16"/>
  <c r="S711" i="16"/>
  <c r="S719" i="16"/>
  <c r="S727" i="16"/>
  <c r="S735" i="16"/>
  <c r="T735" i="16" s="1"/>
  <c r="S743" i="16"/>
  <c r="S751" i="16"/>
  <c r="S759" i="16"/>
  <c r="S767" i="16"/>
  <c r="S775" i="16"/>
  <c r="S783" i="16"/>
  <c r="S791" i="16"/>
  <c r="S799" i="16"/>
  <c r="T799" i="16" s="1"/>
  <c r="S807" i="16"/>
  <c r="S815" i="16"/>
  <c r="S823" i="16"/>
  <c r="S831" i="16"/>
  <c r="S839" i="16"/>
  <c r="S847" i="16"/>
  <c r="S37" i="16"/>
  <c r="S69" i="16"/>
  <c r="T69" i="16" s="1"/>
  <c r="S101" i="16"/>
  <c r="S133" i="16"/>
  <c r="S165" i="16"/>
  <c r="S197" i="16"/>
  <c r="S229" i="16"/>
  <c r="S261" i="16"/>
  <c r="S293" i="16"/>
  <c r="S325" i="16"/>
  <c r="T325" i="16" s="1"/>
  <c r="S357" i="16"/>
  <c r="S389" i="16"/>
  <c r="S421" i="16"/>
  <c r="S453" i="16"/>
  <c r="S485" i="16"/>
  <c r="S517" i="16"/>
  <c r="S549" i="16"/>
  <c r="S581" i="16"/>
  <c r="T581" i="16" s="1"/>
  <c r="S613" i="16"/>
  <c r="S645" i="16"/>
  <c r="S677" i="16"/>
  <c r="S708" i="16"/>
  <c r="S730" i="16"/>
  <c r="S749" i="16"/>
  <c r="S772" i="16"/>
  <c r="S794" i="16"/>
  <c r="T794" i="16" s="1"/>
  <c r="S813" i="16"/>
  <c r="S836" i="16"/>
  <c r="S851" i="16"/>
  <c r="S859" i="16"/>
  <c r="S867" i="16"/>
  <c r="S875" i="16"/>
  <c r="S883" i="16"/>
  <c r="S891" i="16"/>
  <c r="T891" i="16" s="1"/>
  <c r="S899" i="16"/>
  <c r="S907" i="16"/>
  <c r="S915" i="16"/>
  <c r="S923" i="16"/>
  <c r="S931" i="16"/>
  <c r="S939" i="16"/>
  <c r="S947" i="16"/>
  <c r="S955" i="16"/>
  <c r="T955" i="16" s="1"/>
  <c r="S963" i="16"/>
  <c r="S971" i="16"/>
  <c r="S979" i="16"/>
  <c r="S987" i="16"/>
  <c r="S995" i="16"/>
  <c r="S1003" i="16"/>
  <c r="S1011" i="16"/>
  <c r="S1019" i="16"/>
  <c r="T1019" i="16" s="1"/>
  <c r="S1027" i="16"/>
  <c r="S1035" i="16"/>
  <c r="S1043" i="16"/>
  <c r="S1051" i="16"/>
  <c r="S1059" i="16"/>
  <c r="S1067" i="16"/>
  <c r="S1075" i="16"/>
  <c r="S1083" i="16"/>
  <c r="T1083" i="16" s="1"/>
  <c r="S1091" i="16"/>
  <c r="S1099" i="16"/>
  <c r="S1107" i="16"/>
  <c r="S1115" i="16"/>
  <c r="T1115" i="16" s="1"/>
  <c r="S1123" i="16"/>
  <c r="S1131" i="16"/>
  <c r="S1139" i="16"/>
  <c r="S1147" i="16"/>
  <c r="T1147" i="16" s="1"/>
  <c r="S1155" i="16"/>
  <c r="S1163" i="16"/>
  <c r="S1171" i="16"/>
  <c r="S1179" i="16"/>
  <c r="S1187" i="16"/>
  <c r="S1195" i="16"/>
  <c r="S1203" i="16"/>
  <c r="S1211" i="16"/>
  <c r="T1211" i="16" s="1"/>
  <c r="S1219" i="16"/>
  <c r="S1227" i="16"/>
  <c r="S1235" i="16"/>
  <c r="S1243" i="16"/>
  <c r="S1251" i="16"/>
  <c r="S1259" i="16"/>
  <c r="S1267" i="16"/>
  <c r="S1275" i="16"/>
  <c r="T1275" i="16" s="1"/>
  <c r="S1283" i="16"/>
  <c r="S1291" i="16"/>
  <c r="S1299" i="16"/>
  <c r="S1307" i="16"/>
  <c r="S1315" i="16"/>
  <c r="S1323" i="16"/>
  <c r="S1331" i="16"/>
  <c r="S1339" i="16"/>
  <c r="T1339" i="16" s="1"/>
  <c r="S1347" i="16"/>
  <c r="S1355" i="16"/>
  <c r="S1363" i="16"/>
  <c r="S1371" i="16"/>
  <c r="S1379" i="16"/>
  <c r="S1387" i="16"/>
  <c r="S1395" i="16"/>
  <c r="S1403" i="16"/>
  <c r="T1403" i="16" s="1"/>
  <c r="S1411" i="16"/>
  <c r="S1419" i="16"/>
  <c r="S1427" i="16"/>
  <c r="S1435" i="16"/>
  <c r="S1443" i="16"/>
  <c r="S1451" i="16"/>
  <c r="S1459" i="16"/>
  <c r="S1467" i="16"/>
  <c r="T1467" i="16" s="1"/>
  <c r="S1475" i="16"/>
  <c r="S1483" i="16"/>
  <c r="S1491" i="16"/>
  <c r="S1499" i="16"/>
  <c r="S1507" i="16"/>
  <c r="S1515" i="16"/>
  <c r="S1523" i="16"/>
  <c r="S1531" i="16"/>
  <c r="S1539" i="16"/>
  <c r="S1547" i="16"/>
  <c r="S1555" i="16"/>
  <c r="S1563" i="16"/>
  <c r="S1571" i="16"/>
  <c r="S1579" i="16"/>
  <c r="S1587" i="16"/>
  <c r="S1595" i="16"/>
  <c r="T1595" i="16" s="1"/>
  <c r="S1603" i="16"/>
  <c r="S1611" i="16"/>
  <c r="S1619" i="16"/>
  <c r="S1627" i="16"/>
  <c r="S1635" i="16"/>
  <c r="S1643" i="16"/>
  <c r="S1651" i="16"/>
  <c r="S1659" i="16"/>
  <c r="S1667" i="16"/>
  <c r="S1675" i="16"/>
  <c r="S1683" i="16"/>
  <c r="S1691" i="16"/>
  <c r="S1699" i="16"/>
  <c r="S1707" i="16"/>
  <c r="S1715" i="16"/>
  <c r="S1723" i="16"/>
  <c r="T1723" i="16" s="1"/>
  <c r="S1731" i="16"/>
  <c r="S1739" i="16"/>
  <c r="S1747" i="16"/>
  <c r="S1755" i="16"/>
  <c r="S1763" i="16"/>
  <c r="S1771" i="16"/>
  <c r="S1779" i="16"/>
  <c r="S1787" i="16"/>
  <c r="T1787" i="16" s="1"/>
  <c r="S1795" i="16"/>
  <c r="S1803" i="16"/>
  <c r="S1811" i="16"/>
  <c r="S1819" i="16"/>
  <c r="S1827" i="16"/>
  <c r="S1835" i="16"/>
  <c r="S1843" i="16"/>
  <c r="S1851" i="16"/>
  <c r="T1851" i="16" s="1"/>
  <c r="S1859" i="16"/>
  <c r="S1867" i="16"/>
  <c r="S1875" i="16"/>
  <c r="S1883" i="16"/>
  <c r="S1891" i="16"/>
  <c r="S1899" i="16"/>
  <c r="S1907" i="16"/>
  <c r="S1915" i="16"/>
  <c r="S1923" i="16"/>
  <c r="S1931" i="16"/>
  <c r="S1939" i="16"/>
  <c r="S1947" i="16"/>
  <c r="S1955" i="16"/>
  <c r="S1963" i="16"/>
  <c r="S1971" i="16"/>
  <c r="S1979" i="16"/>
  <c r="T1979" i="16" s="1"/>
  <c r="S1987" i="16"/>
  <c r="S1995" i="16"/>
  <c r="S2003" i="16"/>
  <c r="S2011" i="16"/>
  <c r="S2019" i="16"/>
  <c r="S2027" i="16"/>
  <c r="S2035" i="16"/>
  <c r="S2043" i="16"/>
  <c r="T2043" i="16" s="1"/>
  <c r="S2051" i="16"/>
  <c r="S2059" i="16"/>
  <c r="S2067" i="16"/>
  <c r="S2075" i="16"/>
  <c r="S2083" i="16"/>
  <c r="S2091" i="16"/>
  <c r="S2099" i="16"/>
  <c r="S2107" i="16"/>
  <c r="S2115" i="16"/>
  <c r="S2123" i="16"/>
  <c r="S2131" i="16"/>
  <c r="S2139" i="16"/>
  <c r="S2147" i="16"/>
  <c r="S2155" i="16"/>
  <c r="S2163" i="16"/>
  <c r="S2171" i="16"/>
  <c r="S2179" i="16"/>
  <c r="S2187" i="16"/>
  <c r="S2195" i="16"/>
  <c r="S2203" i="16"/>
  <c r="S2211" i="16"/>
  <c r="S2219" i="16"/>
  <c r="S2227" i="16"/>
  <c r="S2235" i="16"/>
  <c r="T2235" i="16" s="1"/>
  <c r="S2243" i="16"/>
  <c r="S2251" i="16"/>
  <c r="S2259" i="16"/>
  <c r="S2267" i="16"/>
  <c r="S2275" i="16"/>
  <c r="S2283" i="16"/>
  <c r="S2291" i="16"/>
  <c r="S2299" i="16"/>
  <c r="T2299" i="16" s="1"/>
  <c r="S2307" i="16"/>
  <c r="S2315" i="16"/>
  <c r="S2323" i="16"/>
  <c r="S2331" i="16"/>
  <c r="S2339" i="16"/>
  <c r="S12" i="16"/>
  <c r="S44" i="16"/>
  <c r="S76" i="16"/>
  <c r="T76" i="16" s="1"/>
  <c r="S108" i="16"/>
  <c r="S140" i="16"/>
  <c r="S172" i="16"/>
  <c r="S204" i="16"/>
  <c r="S236" i="16"/>
  <c r="S268" i="16"/>
  <c r="S300" i="16"/>
  <c r="S332" i="16"/>
  <c r="T332" i="16" s="1"/>
  <c r="S364" i="16"/>
  <c r="S396" i="16"/>
  <c r="S428" i="16"/>
  <c r="S460" i="16"/>
  <c r="S492" i="16"/>
  <c r="S524" i="16"/>
  <c r="S556" i="16"/>
  <c r="S588" i="16"/>
  <c r="S620" i="16"/>
  <c r="S652" i="16"/>
  <c r="S684" i="16"/>
  <c r="S709" i="16"/>
  <c r="S732" i="16"/>
  <c r="S754" i="16"/>
  <c r="S773" i="16"/>
  <c r="S796" i="16"/>
  <c r="T796" i="16" s="1"/>
  <c r="S818" i="16"/>
  <c r="S837" i="16"/>
  <c r="S852" i="16"/>
  <c r="S860" i="16"/>
  <c r="S868" i="16"/>
  <c r="S876" i="16"/>
  <c r="S884" i="16"/>
  <c r="S892" i="16"/>
  <c r="T892" i="16" s="1"/>
  <c r="S900" i="16"/>
  <c r="S908" i="16"/>
  <c r="S916" i="16"/>
  <c r="S924" i="16"/>
  <c r="S932" i="16"/>
  <c r="S940" i="16"/>
  <c r="S948" i="16"/>
  <c r="S956" i="16"/>
  <c r="T956" i="16" s="1"/>
  <c r="S964" i="16"/>
  <c r="S972" i="16"/>
  <c r="S980" i="16"/>
  <c r="S988" i="16"/>
  <c r="S996" i="16"/>
  <c r="S1004" i="16"/>
  <c r="S1012" i="16"/>
  <c r="S1020" i="16"/>
  <c r="T1020" i="16" s="1"/>
  <c r="S1028" i="16"/>
  <c r="S1036" i="16"/>
  <c r="S1044" i="16"/>
  <c r="S1052" i="16"/>
  <c r="S1060" i="16"/>
  <c r="S1068" i="16"/>
  <c r="S1076" i="16"/>
  <c r="S1084" i="16"/>
  <c r="S1092" i="16"/>
  <c r="S1100" i="16"/>
  <c r="S1108" i="16"/>
  <c r="S1116" i="16"/>
  <c r="S1124" i="16"/>
  <c r="S1132" i="16"/>
  <c r="S1140" i="16"/>
  <c r="S1148" i="16"/>
  <c r="T1148" i="16" s="1"/>
  <c r="S1156" i="16"/>
  <c r="S1164" i="16"/>
  <c r="S1172" i="16"/>
  <c r="S1180" i="16"/>
  <c r="S1188" i="16"/>
  <c r="S1196" i="16"/>
  <c r="S1204" i="16"/>
  <c r="S1212" i="16"/>
  <c r="T1212" i="16" s="1"/>
  <c r="S1220" i="16"/>
  <c r="S1228" i="16"/>
  <c r="S1236" i="16"/>
  <c r="S1244" i="16"/>
  <c r="S1252" i="16"/>
  <c r="S1260" i="16"/>
  <c r="S1268" i="16"/>
  <c r="S1276" i="16"/>
  <c r="T1276" i="16" s="1"/>
  <c r="S1284" i="16"/>
  <c r="S1292" i="16"/>
  <c r="S1300" i="16"/>
  <c r="S1308" i="16"/>
  <c r="S1316" i="16"/>
  <c r="S1324" i="16"/>
  <c r="S1332" i="16"/>
  <c r="S1340" i="16"/>
  <c r="T1340" i="16" s="1"/>
  <c r="S1348" i="16"/>
  <c r="S1356" i="16"/>
  <c r="S1364" i="16"/>
  <c r="S1372" i="16"/>
  <c r="S1380" i="16"/>
  <c r="S1388" i="16"/>
  <c r="S1396" i="16"/>
  <c r="S1404" i="16"/>
  <c r="T1404" i="16" s="1"/>
  <c r="S1412" i="16"/>
  <c r="S1420" i="16"/>
  <c r="S1428" i="16"/>
  <c r="S1436" i="16"/>
  <c r="S1444" i="16"/>
  <c r="S1452" i="16"/>
  <c r="S1460" i="16"/>
  <c r="S1468" i="16"/>
  <c r="S1476" i="16"/>
  <c r="S1484" i="16"/>
  <c r="S1492" i="16"/>
  <c r="S1500" i="16"/>
  <c r="S1508" i="16"/>
  <c r="S1516" i="16"/>
  <c r="S1524" i="16"/>
  <c r="S1532" i="16"/>
  <c r="S1540" i="16"/>
  <c r="S1548" i="16"/>
  <c r="S1556" i="16"/>
  <c r="S1564" i="16"/>
  <c r="S1572" i="16"/>
  <c r="S1580" i="16"/>
  <c r="S1588" i="16"/>
  <c r="S1596" i="16"/>
  <c r="T1596" i="16" s="1"/>
  <c r="S1604" i="16"/>
  <c r="S1612" i="16"/>
  <c r="S1620" i="16"/>
  <c r="S1628" i="16"/>
  <c r="S1636" i="16"/>
  <c r="S1644" i="16"/>
  <c r="S1652" i="16"/>
  <c r="S1660" i="16"/>
  <c r="T1660" i="16" s="1"/>
  <c r="S1668" i="16"/>
  <c r="S1676" i="16"/>
  <c r="S1684" i="16"/>
  <c r="S1692" i="16"/>
  <c r="S1700" i="16"/>
  <c r="S1708" i="16"/>
  <c r="S1716" i="16"/>
  <c r="S1724" i="16"/>
  <c r="T1724" i="16" s="1"/>
  <c r="S1732" i="16"/>
  <c r="S1740" i="16"/>
  <c r="S1748" i="16"/>
  <c r="S1756" i="16"/>
  <c r="S1764" i="16"/>
  <c r="S1772" i="16"/>
  <c r="S1780" i="16"/>
  <c r="S1788" i="16"/>
  <c r="T1788" i="16" s="1"/>
  <c r="S1796" i="16"/>
  <c r="S1804" i="16"/>
  <c r="S1812" i="16"/>
  <c r="S1820" i="16"/>
  <c r="S1828" i="16"/>
  <c r="S1836" i="16"/>
  <c r="S1844" i="16"/>
  <c r="S1852" i="16"/>
  <c r="T1852" i="16" s="1"/>
  <c r="S1860" i="16"/>
  <c r="S1868" i="16"/>
  <c r="S1876" i="16"/>
  <c r="S1884" i="16"/>
  <c r="S1892" i="16"/>
  <c r="S1900" i="16"/>
  <c r="S1908" i="16"/>
  <c r="S1916" i="16"/>
  <c r="T1916" i="16" s="1"/>
  <c r="S1924" i="16"/>
  <c r="S1932" i="16"/>
  <c r="S1940" i="16"/>
  <c r="S1948" i="16"/>
  <c r="S1956" i="16"/>
  <c r="S1964" i="16"/>
  <c r="S1972" i="16"/>
  <c r="S1980" i="16"/>
  <c r="T1980" i="16" s="1"/>
  <c r="S1988" i="16"/>
  <c r="S1996" i="16"/>
  <c r="S2004" i="16"/>
  <c r="S2012" i="16"/>
  <c r="S2020" i="16"/>
  <c r="S2028" i="16"/>
  <c r="S2036" i="16"/>
  <c r="S2044" i="16"/>
  <c r="T2044" i="16" s="1"/>
  <c r="S2052" i="16"/>
  <c r="S2060" i="16"/>
  <c r="S2068" i="16"/>
  <c r="S2076" i="16"/>
  <c r="S2084" i="16"/>
  <c r="S2092" i="16"/>
  <c r="S2100" i="16"/>
  <c r="S2108" i="16"/>
  <c r="S2116" i="16"/>
  <c r="S2124" i="16"/>
  <c r="S2132" i="16"/>
  <c r="S2140" i="16"/>
  <c r="S2148" i="16"/>
  <c r="S2156" i="16"/>
  <c r="S2164" i="16"/>
  <c r="S2172" i="16"/>
  <c r="S2180" i="16"/>
  <c r="S2188" i="16"/>
  <c r="S2196" i="16"/>
  <c r="S2204" i="16"/>
  <c r="S2212" i="16"/>
  <c r="S2220" i="16"/>
  <c r="S2228" i="16"/>
  <c r="S2236" i="16"/>
  <c r="S2244" i="16"/>
  <c r="S2252" i="16"/>
  <c r="S2260" i="16"/>
  <c r="S2268" i="16"/>
  <c r="S2276" i="16"/>
  <c r="S2284" i="16"/>
  <c r="S2292" i="16"/>
  <c r="S2300" i="16"/>
  <c r="T2300" i="16" s="1"/>
  <c r="S2308" i="16"/>
  <c r="S2316" i="16"/>
  <c r="S2324" i="16"/>
  <c r="S2332" i="16"/>
  <c r="S2340" i="16"/>
  <c r="S13" i="16"/>
  <c r="S45" i="16"/>
  <c r="S77" i="16"/>
  <c r="T77" i="16" s="1"/>
  <c r="S109" i="16"/>
  <c r="S141" i="16"/>
  <c r="S173" i="16"/>
  <c r="S205" i="16"/>
  <c r="S237" i="16"/>
  <c r="S269" i="16"/>
  <c r="S301" i="16"/>
  <c r="S333" i="16"/>
  <c r="S365" i="16"/>
  <c r="S397" i="16"/>
  <c r="S429" i="16"/>
  <c r="S461" i="16"/>
  <c r="S493" i="16"/>
  <c r="S525" i="16"/>
  <c r="S557" i="16"/>
  <c r="S589" i="16"/>
  <c r="S621" i="16"/>
  <c r="S653" i="16"/>
  <c r="S685" i="16"/>
  <c r="S714" i="16"/>
  <c r="S733" i="16"/>
  <c r="S756" i="16"/>
  <c r="S778" i="16"/>
  <c r="S797" i="16"/>
  <c r="T797" i="16" s="1"/>
  <c r="S820" i="16"/>
  <c r="S842" i="16"/>
  <c r="S853" i="16"/>
  <c r="S861" i="16"/>
  <c r="S869" i="16"/>
  <c r="S877" i="16"/>
  <c r="S885" i="16"/>
  <c r="S893" i="16"/>
  <c r="T893" i="16" s="1"/>
  <c r="S901" i="16"/>
  <c r="S909" i="16"/>
  <c r="S917" i="16"/>
  <c r="S925" i="16"/>
  <c r="S933" i="16"/>
  <c r="S941" i="16"/>
  <c r="S949" i="16"/>
  <c r="S957" i="16"/>
  <c r="T957" i="16" s="1"/>
  <c r="S965" i="16"/>
  <c r="S973" i="16"/>
  <c r="S981" i="16"/>
  <c r="S989" i="16"/>
  <c r="S997" i="16"/>
  <c r="S1005" i="16"/>
  <c r="S1013" i="16"/>
  <c r="S1021" i="16"/>
  <c r="T1021" i="16" s="1"/>
  <c r="S1029" i="16"/>
  <c r="S1037" i="16"/>
  <c r="S1045" i="16"/>
  <c r="S1053" i="16"/>
  <c r="S1061" i="16"/>
  <c r="S1069" i="16"/>
  <c r="S1077" i="16"/>
  <c r="S1085" i="16"/>
  <c r="T1085" i="16" s="1"/>
  <c r="S1093" i="16"/>
  <c r="S1101" i="16"/>
  <c r="S1109" i="16"/>
  <c r="S1117" i="16"/>
  <c r="S1125" i="16"/>
  <c r="S1133" i="16"/>
  <c r="S1141" i="16"/>
  <c r="S1149" i="16"/>
  <c r="T1149" i="16" s="1"/>
  <c r="S1157" i="16"/>
  <c r="S1165" i="16"/>
  <c r="S1173" i="16"/>
  <c r="S1181" i="16"/>
  <c r="S1189" i="16"/>
  <c r="S1197" i="16"/>
  <c r="S1205" i="16"/>
  <c r="S1213" i="16"/>
  <c r="T1213" i="16" s="1"/>
  <c r="S1221" i="16"/>
  <c r="S1229" i="16"/>
  <c r="S1237" i="16"/>
  <c r="S1245" i="16"/>
  <c r="S1253" i="16"/>
  <c r="S1261" i="16"/>
  <c r="S1269" i="16"/>
  <c r="S1277" i="16"/>
  <c r="T1277" i="16" s="1"/>
  <c r="S1285" i="16"/>
  <c r="S1293" i="16"/>
  <c r="S1301" i="16"/>
  <c r="S1309" i="16"/>
  <c r="S1317" i="16"/>
  <c r="S1325" i="16"/>
  <c r="S1333" i="16"/>
  <c r="S1341" i="16"/>
  <c r="T1341" i="16" s="1"/>
  <c r="S1349" i="16"/>
  <c r="S1357" i="16"/>
  <c r="S1365" i="16"/>
  <c r="S1373" i="16"/>
  <c r="S1381" i="16"/>
  <c r="S1389" i="16"/>
  <c r="S1397" i="16"/>
  <c r="S1405" i="16"/>
  <c r="T1405" i="16" s="1"/>
  <c r="S1413" i="16"/>
  <c r="S1421" i="16"/>
  <c r="S1429" i="16"/>
  <c r="S1437" i="16"/>
  <c r="S1445" i="16"/>
  <c r="S1453" i="16"/>
  <c r="S1461" i="16"/>
  <c r="S1469" i="16"/>
  <c r="T1469" i="16" s="1"/>
  <c r="S1477" i="16"/>
  <c r="S1485" i="16"/>
  <c r="S1493" i="16"/>
  <c r="S1501" i="16"/>
  <c r="S1509" i="16"/>
  <c r="S1517" i="16"/>
  <c r="S1525" i="16"/>
  <c r="S1533" i="16"/>
  <c r="T1533" i="16" s="1"/>
  <c r="S1541" i="16"/>
  <c r="S1549" i="16"/>
  <c r="S1557" i="16"/>
  <c r="S1565" i="16"/>
  <c r="S1573" i="16"/>
  <c r="S1581" i="16"/>
  <c r="S1589" i="16"/>
  <c r="S1597" i="16"/>
  <c r="T1597" i="16" s="1"/>
  <c r="S1605" i="16"/>
  <c r="S1613" i="16"/>
  <c r="S1621" i="16"/>
  <c r="S1629" i="16"/>
  <c r="S1637" i="16"/>
  <c r="S1645" i="16"/>
  <c r="S1653" i="16"/>
  <c r="S1661" i="16"/>
  <c r="T1661" i="16" s="1"/>
  <c r="S1669" i="16"/>
  <c r="S1677" i="16"/>
  <c r="S1685" i="16"/>
  <c r="S1693" i="16"/>
  <c r="S1701" i="16"/>
  <c r="S1709" i="16"/>
  <c r="S1717" i="16"/>
  <c r="S1725" i="16"/>
  <c r="T1725" i="16" s="1"/>
  <c r="S1733" i="16"/>
  <c r="S1741" i="16"/>
  <c r="S1749" i="16"/>
  <c r="S1757" i="16"/>
  <c r="S1765" i="16"/>
  <c r="S1773" i="16"/>
  <c r="S1781" i="16"/>
  <c r="S1789" i="16"/>
  <c r="S1797" i="16"/>
  <c r="S1805" i="16"/>
  <c r="S1813" i="16"/>
  <c r="S1821" i="16"/>
  <c r="S1829" i="16"/>
  <c r="S1837" i="16"/>
  <c r="S1845" i="16"/>
  <c r="S1853" i="16"/>
  <c r="T1853" i="16" s="1"/>
  <c r="S1861" i="16"/>
  <c r="S1869" i="16"/>
  <c r="S1877" i="16"/>
  <c r="S1885" i="16"/>
  <c r="S1893" i="16"/>
  <c r="S1901" i="16"/>
  <c r="S1909" i="16"/>
  <c r="S1917" i="16"/>
  <c r="S1925" i="16"/>
  <c r="S1933" i="16"/>
  <c r="S1941" i="16"/>
  <c r="S1949" i="16"/>
  <c r="S1957" i="16"/>
  <c r="S1965" i="16"/>
  <c r="S1973" i="16"/>
  <c r="S1981" i="16"/>
  <c r="T1981" i="16" s="1"/>
  <c r="S1989" i="16"/>
  <c r="S1997" i="16"/>
  <c r="S2005" i="16"/>
  <c r="S2013" i="16"/>
  <c r="S2021" i="16"/>
  <c r="S2029" i="16"/>
  <c r="S2037" i="16"/>
  <c r="S2045" i="16"/>
  <c r="S2053" i="16"/>
  <c r="S2061" i="16"/>
  <c r="S2069" i="16"/>
  <c r="S2077" i="16"/>
  <c r="S2085" i="16"/>
  <c r="S2093" i="16"/>
  <c r="S2101" i="16"/>
  <c r="S2109" i="16"/>
  <c r="T2109" i="16" s="1"/>
  <c r="S2117" i="16"/>
  <c r="S2125" i="16"/>
  <c r="S2133" i="16"/>
  <c r="S2141" i="16"/>
  <c r="S2149" i="16"/>
  <c r="S2157" i="16"/>
  <c r="S2165" i="16"/>
  <c r="S2173" i="16"/>
  <c r="T2173" i="16" s="1"/>
  <c r="S2181" i="16"/>
  <c r="S2189" i="16"/>
  <c r="S2197" i="16"/>
  <c r="S2205" i="16"/>
  <c r="S2213" i="16"/>
  <c r="S2221" i="16"/>
  <c r="S2229" i="16"/>
  <c r="S2237" i="16"/>
  <c r="S2245" i="16"/>
  <c r="S2253" i="16"/>
  <c r="S2261" i="16"/>
  <c r="S2269" i="16"/>
  <c r="S2277" i="16"/>
  <c r="S2285" i="16"/>
  <c r="S2293" i="16"/>
  <c r="S2301" i="16"/>
  <c r="S2309" i="16"/>
  <c r="S2317" i="16"/>
  <c r="S2325" i="16"/>
  <c r="S2333" i="16"/>
  <c r="S2341" i="16"/>
  <c r="S20" i="16"/>
  <c r="S52" i="16"/>
  <c r="S84" i="16"/>
  <c r="T84" i="16" s="1"/>
  <c r="S116" i="16"/>
  <c r="S148" i="16"/>
  <c r="S180" i="16"/>
  <c r="S212" i="16"/>
  <c r="S244" i="16"/>
  <c r="S276" i="16"/>
  <c r="S308" i="16"/>
  <c r="S340" i="16"/>
  <c r="T340" i="16" s="1"/>
  <c r="S372" i="16"/>
  <c r="S404" i="16"/>
  <c r="S436" i="16"/>
  <c r="S468" i="16"/>
  <c r="S500" i="16"/>
  <c r="S532" i="16"/>
  <c r="S564" i="16"/>
  <c r="S596" i="16"/>
  <c r="T596" i="16" s="1"/>
  <c r="S628" i="16"/>
  <c r="S660" i="16"/>
  <c r="S692" i="16"/>
  <c r="S716" i="16"/>
  <c r="S738" i="16"/>
  <c r="S757" i="16"/>
  <c r="S780" i="16"/>
  <c r="S802" i="16"/>
  <c r="T802" i="16" s="1"/>
  <c r="S821" i="16"/>
  <c r="S844" i="16"/>
  <c r="S854" i="16"/>
  <c r="S862" i="16"/>
  <c r="S870" i="16"/>
  <c r="S878" i="16"/>
  <c r="S886" i="16"/>
  <c r="S894" i="16"/>
  <c r="T894" i="16" s="1"/>
  <c r="S902" i="16"/>
  <c r="S910" i="16"/>
  <c r="S918" i="16"/>
  <c r="S926" i="16"/>
  <c r="S934" i="16"/>
  <c r="S942" i="16"/>
  <c r="S950" i="16"/>
  <c r="S958" i="16"/>
  <c r="S966" i="16"/>
  <c r="S974" i="16"/>
  <c r="S982" i="16"/>
  <c r="S990" i="16"/>
  <c r="S998" i="16"/>
  <c r="S1006" i="16"/>
  <c r="S1014" i="16"/>
  <c r="S1022" i="16"/>
  <c r="T1022" i="16" s="1"/>
  <c r="S1030" i="16"/>
  <c r="S1038" i="16"/>
  <c r="S1046" i="16"/>
  <c r="S1054" i="16"/>
  <c r="S1062" i="16"/>
  <c r="S1070" i="16"/>
  <c r="S1078" i="16"/>
  <c r="S1086" i="16"/>
  <c r="T1086" i="16" s="1"/>
  <c r="S1094" i="16"/>
  <c r="S1102" i="16"/>
  <c r="S1110" i="16"/>
  <c r="S1118" i="16"/>
  <c r="S1126" i="16"/>
  <c r="S1134" i="16"/>
  <c r="S1142" i="16"/>
  <c r="S1150" i="16"/>
  <c r="S1158" i="16"/>
  <c r="S1166" i="16"/>
  <c r="S1174" i="16"/>
  <c r="S1182" i="16"/>
  <c r="S1190" i="16"/>
  <c r="S1198" i="16"/>
  <c r="S1206" i="16"/>
  <c r="S1214" i="16"/>
  <c r="S1222" i="16"/>
  <c r="S1230" i="16"/>
  <c r="S1238" i="16"/>
  <c r="S1246" i="16"/>
  <c r="S1254" i="16"/>
  <c r="S1262" i="16"/>
  <c r="S1270" i="16"/>
  <c r="S1278" i="16"/>
  <c r="S1286" i="16"/>
  <c r="S1294" i="16"/>
  <c r="S1302" i="16"/>
  <c r="S1310" i="16"/>
  <c r="S1318" i="16"/>
  <c r="S1326" i="16"/>
  <c r="S1334" i="16"/>
  <c r="S1342" i="16"/>
  <c r="T1342" i="16" s="1"/>
  <c r="S1350" i="16"/>
  <c r="S1358" i="16"/>
  <c r="S1366" i="16"/>
  <c r="S1374" i="16"/>
  <c r="S1382" i="16"/>
  <c r="S1390" i="16"/>
  <c r="S1398" i="16"/>
  <c r="S1406" i="16"/>
  <c r="T1406" i="16" s="1"/>
  <c r="S1414" i="16"/>
  <c r="S1422" i="16"/>
  <c r="S1430" i="16"/>
  <c r="S1438" i="16"/>
  <c r="S1446" i="16"/>
  <c r="S1454" i="16"/>
  <c r="S1462" i="16"/>
  <c r="S1470" i="16"/>
  <c r="S1478" i="16"/>
  <c r="S1486" i="16"/>
  <c r="S1494" i="16"/>
  <c r="S1502" i="16"/>
  <c r="S1510" i="16"/>
  <c r="S1518" i="16"/>
  <c r="S1526" i="16"/>
  <c r="S1534" i="16"/>
  <c r="T1534" i="16" s="1"/>
  <c r="S1542" i="16"/>
  <c r="S1550" i="16"/>
  <c r="S1558" i="16"/>
  <c r="S1566" i="16"/>
  <c r="S1574" i="16"/>
  <c r="S1582" i="16"/>
  <c r="S1590" i="16"/>
  <c r="S1598" i="16"/>
  <c r="T1598" i="16" s="1"/>
  <c r="S1606" i="16"/>
  <c r="S1614" i="16"/>
  <c r="S1622" i="16"/>
  <c r="S1630" i="16"/>
  <c r="S1638" i="16"/>
  <c r="S1646" i="16"/>
  <c r="S1654" i="16"/>
  <c r="S1662" i="16"/>
  <c r="S1670" i="16"/>
  <c r="S1678" i="16"/>
  <c r="S1686" i="16"/>
  <c r="S1694" i="16"/>
  <c r="S1702" i="16"/>
  <c r="S1710" i="16"/>
  <c r="S1718" i="16"/>
  <c r="S1726" i="16"/>
  <c r="T1726" i="16" s="1"/>
  <c r="S1734" i="16"/>
  <c r="S1742" i="16"/>
  <c r="S1750" i="16"/>
  <c r="S1758" i="16"/>
  <c r="S1766" i="16"/>
  <c r="S1774" i="16"/>
  <c r="S1782" i="16"/>
  <c r="S1790" i="16"/>
  <c r="T1790" i="16" s="1"/>
  <c r="S1798" i="16"/>
  <c r="S1806" i="16"/>
  <c r="S1814" i="16"/>
  <c r="S1822" i="16"/>
  <c r="S1830" i="16"/>
  <c r="S1838" i="16"/>
  <c r="S1846" i="16"/>
  <c r="S1854" i="16"/>
  <c r="T1854" i="16" s="1"/>
  <c r="S1862" i="16"/>
  <c r="S1870" i="16"/>
  <c r="S1878" i="16"/>
  <c r="S1886" i="16"/>
  <c r="S1894" i="16"/>
  <c r="S1902" i="16"/>
  <c r="S1910" i="16"/>
  <c r="S1918" i="16"/>
  <c r="T1918" i="16" s="1"/>
  <c r="S1926" i="16"/>
  <c r="S1934" i="16"/>
  <c r="S1942" i="16"/>
  <c r="S1950" i="16"/>
  <c r="S1958" i="16"/>
  <c r="S1966" i="16"/>
  <c r="S1974" i="16"/>
  <c r="S1982" i="16"/>
  <c r="T1982" i="16" s="1"/>
  <c r="S1990" i="16"/>
  <c r="S1998" i="16"/>
  <c r="S2006" i="16"/>
  <c r="S2014" i="16"/>
  <c r="S2022" i="16"/>
  <c r="S2030" i="16"/>
  <c r="S2038" i="16"/>
  <c r="S2046" i="16"/>
  <c r="T2046" i="16" s="1"/>
  <c r="S2054" i="16"/>
  <c r="S2062" i="16"/>
  <c r="S2070" i="16"/>
  <c r="S2078" i="16"/>
  <c r="S2086" i="16"/>
  <c r="S2094" i="16"/>
  <c r="S2102" i="16"/>
  <c r="S2110" i="16"/>
  <c r="T2110" i="16" s="1"/>
  <c r="S2118" i="16"/>
  <c r="S2126" i="16"/>
  <c r="S2134" i="16"/>
  <c r="S2142" i="16"/>
  <c r="S2150" i="16"/>
  <c r="S2158" i="16"/>
  <c r="S2166" i="16"/>
  <c r="S2174" i="16"/>
  <c r="S2182" i="16"/>
  <c r="S2190" i="16"/>
  <c r="S2198" i="16"/>
  <c r="S2206" i="16"/>
  <c r="S2214" i="16"/>
  <c r="S2222" i="16"/>
  <c r="S2230" i="16"/>
  <c r="S2238" i="16"/>
  <c r="T2238" i="16" s="1"/>
  <c r="S2246" i="16"/>
  <c r="S2254" i="16"/>
  <c r="S2262" i="16"/>
  <c r="S2270" i="16"/>
  <c r="S2278" i="16"/>
  <c r="S2286" i="16"/>
  <c r="S2294" i="16"/>
  <c r="S2302" i="16"/>
  <c r="T2302" i="16" s="1"/>
  <c r="S2310" i="16"/>
  <c r="S2318" i="16"/>
  <c r="S2326" i="16"/>
  <c r="S2334" i="16"/>
  <c r="S21" i="16"/>
  <c r="S53" i="16"/>
  <c r="S85" i="16"/>
  <c r="S117" i="16"/>
  <c r="T117" i="16" s="1"/>
  <c r="S149" i="16"/>
  <c r="S181" i="16"/>
  <c r="S213" i="16"/>
  <c r="S245" i="16"/>
  <c r="S277" i="16"/>
  <c r="S309" i="16"/>
  <c r="S341" i="16"/>
  <c r="S373" i="16"/>
  <c r="S405" i="16"/>
  <c r="S437" i="16"/>
  <c r="S469" i="16"/>
  <c r="S501" i="16"/>
  <c r="S533" i="16"/>
  <c r="S565" i="16"/>
  <c r="S597" i="16"/>
  <c r="S629" i="16"/>
  <c r="T629" i="16" s="1"/>
  <c r="S661" i="16"/>
  <c r="S693" i="16"/>
  <c r="S717" i="16"/>
  <c r="S740" i="16"/>
  <c r="S762" i="16"/>
  <c r="S781" i="16"/>
  <c r="S804" i="16"/>
  <c r="S826" i="16"/>
  <c r="T826" i="16" s="1"/>
  <c r="S845" i="16"/>
  <c r="S855" i="16"/>
  <c r="S863" i="16"/>
  <c r="S871" i="16"/>
  <c r="S879" i="16"/>
  <c r="S887" i="16"/>
  <c r="S895" i="16"/>
  <c r="S903" i="16"/>
  <c r="S911" i="16"/>
  <c r="S919" i="16"/>
  <c r="S927" i="16"/>
  <c r="S935" i="16"/>
  <c r="S943" i="16"/>
  <c r="S951" i="16"/>
  <c r="S959" i="16"/>
  <c r="S967" i="16"/>
  <c r="S975" i="16"/>
  <c r="S983" i="16"/>
  <c r="S991" i="16"/>
  <c r="S999" i="16"/>
  <c r="S1007" i="16"/>
  <c r="S1015" i="16"/>
  <c r="S1023" i="16"/>
  <c r="S1031" i="16"/>
  <c r="S1039" i="16"/>
  <c r="S1047" i="16"/>
  <c r="S1055" i="16"/>
  <c r="S1063" i="16"/>
  <c r="S1071" i="16"/>
  <c r="S1079" i="16"/>
  <c r="S1087" i="16"/>
  <c r="S1095" i="16"/>
  <c r="T1095" i="16" s="1"/>
  <c r="S1103" i="16"/>
  <c r="S1111" i="16"/>
  <c r="S1119" i="16"/>
  <c r="S1127" i="16"/>
  <c r="S1135" i="16"/>
  <c r="S1143" i="16"/>
  <c r="S1151" i="16"/>
  <c r="S1159" i="16"/>
  <c r="T1159" i="16" s="1"/>
  <c r="S1167" i="16"/>
  <c r="S1175" i="16"/>
  <c r="S1183" i="16"/>
  <c r="S1191" i="16"/>
  <c r="S1199" i="16"/>
  <c r="S1207" i="16"/>
  <c r="S1215" i="16"/>
  <c r="S1223" i="16"/>
  <c r="T1223" i="16" s="1"/>
  <c r="S1231" i="16"/>
  <c r="S1239" i="16"/>
  <c r="S1247" i="16"/>
  <c r="S1255" i="16"/>
  <c r="S1263" i="16"/>
  <c r="S1271" i="16"/>
  <c r="S1279" i="16"/>
  <c r="S1287" i="16"/>
  <c r="T1287" i="16" s="1"/>
  <c r="S1295" i="16"/>
  <c r="S1303" i="16"/>
  <c r="S1311" i="16"/>
  <c r="S1319" i="16"/>
  <c r="S1327" i="16"/>
  <c r="S1335" i="16"/>
  <c r="S1343" i="16"/>
  <c r="S1351" i="16"/>
  <c r="T1351" i="16" s="1"/>
  <c r="S1359" i="16"/>
  <c r="S1367" i="16"/>
  <c r="S1375" i="16"/>
  <c r="S1383" i="16"/>
  <c r="S1391" i="16"/>
  <c r="S1399" i="16"/>
  <c r="S1407" i="16"/>
  <c r="S1415" i="16"/>
  <c r="S1423" i="16"/>
  <c r="S1431" i="16"/>
  <c r="S1439" i="16"/>
  <c r="S1447" i="16"/>
  <c r="S1455" i="16"/>
  <c r="S1463" i="16"/>
  <c r="S1471" i="16"/>
  <c r="S1479" i="16"/>
  <c r="S1487" i="16"/>
  <c r="S1495" i="16"/>
  <c r="S1503" i="16"/>
  <c r="S1511" i="16"/>
  <c r="S1519" i="16"/>
  <c r="S1527" i="16"/>
  <c r="S1535" i="16"/>
  <c r="S1543" i="16"/>
  <c r="T1543" i="16" s="1"/>
  <c r="S1551" i="16"/>
  <c r="S1559" i="16"/>
  <c r="S1567" i="16"/>
  <c r="S1575" i="16"/>
  <c r="S1583" i="16"/>
  <c r="S1591" i="16"/>
  <c r="S1599" i="16"/>
  <c r="S1607" i="16"/>
  <c r="T1607" i="16" s="1"/>
  <c r="S1615" i="16"/>
  <c r="S1623" i="16"/>
  <c r="S1631" i="16"/>
  <c r="S1639" i="16"/>
  <c r="S1647" i="16"/>
  <c r="S1655" i="16"/>
  <c r="S1663" i="16"/>
  <c r="S1671" i="16"/>
  <c r="T1671" i="16" s="1"/>
  <c r="S1679" i="16"/>
  <c r="S1687" i="16"/>
  <c r="S1695" i="16"/>
  <c r="S1703" i="16"/>
  <c r="S1711" i="16"/>
  <c r="S1719" i="16"/>
  <c r="S1727" i="16"/>
  <c r="S1735" i="16"/>
  <c r="T1735" i="16" s="1"/>
  <c r="S1743" i="16"/>
  <c r="S1751" i="16"/>
  <c r="S1759" i="16"/>
  <c r="S1767" i="16"/>
  <c r="S1775" i="16"/>
  <c r="S1783" i="16"/>
  <c r="S1791" i="16"/>
  <c r="S1799" i="16"/>
  <c r="T1799" i="16" s="1"/>
  <c r="S1807" i="16"/>
  <c r="S1815" i="16"/>
  <c r="S1823" i="16"/>
  <c r="S1831" i="16"/>
  <c r="S1839" i="16"/>
  <c r="S1847" i="16"/>
  <c r="S1855" i="16"/>
  <c r="S1863" i="16"/>
  <c r="S1871" i="16"/>
  <c r="S1879" i="16"/>
  <c r="S1887" i="16"/>
  <c r="S1895" i="16"/>
  <c r="S1903" i="16"/>
  <c r="S1911" i="16"/>
  <c r="S1919" i="16"/>
  <c r="S1927" i="16"/>
  <c r="T1927" i="16" s="1"/>
  <c r="S1935" i="16"/>
  <c r="S1943" i="16"/>
  <c r="S1951" i="16"/>
  <c r="S1959" i="16"/>
  <c r="S1967" i="16"/>
  <c r="S1975" i="16"/>
  <c r="S1983" i="16"/>
  <c r="S1991" i="16"/>
  <c r="S1999" i="16"/>
  <c r="S2007" i="16"/>
  <c r="S2015" i="16"/>
  <c r="S2023" i="16"/>
  <c r="S2031" i="16"/>
  <c r="S2039" i="16"/>
  <c r="S2047" i="16"/>
  <c r="S2055" i="16"/>
  <c r="T2055" i="16" s="1"/>
  <c r="S2063" i="16"/>
  <c r="S2071" i="16"/>
  <c r="S2079" i="16"/>
  <c r="S2087" i="16"/>
  <c r="S2095" i="16"/>
  <c r="S2103" i="16"/>
  <c r="S2111" i="16"/>
  <c r="S2119" i="16"/>
  <c r="S2127" i="16"/>
  <c r="S2135" i="16"/>
  <c r="S2143" i="16"/>
  <c r="S2151" i="16"/>
  <c r="S2159" i="16"/>
  <c r="S2167" i="16"/>
  <c r="S2175" i="16"/>
  <c r="S2183" i="16"/>
  <c r="S2191" i="16"/>
  <c r="S2199" i="16"/>
  <c r="S2207" i="16"/>
  <c r="S2215" i="16"/>
  <c r="S2223" i="16"/>
  <c r="S2231" i="16"/>
  <c r="S2239" i="16"/>
  <c r="S2247" i="16"/>
  <c r="T2247" i="16" s="1"/>
  <c r="S2255" i="16"/>
  <c r="S2263" i="16"/>
  <c r="S2271" i="16"/>
  <c r="S2279" i="16"/>
  <c r="S2287" i="16"/>
  <c r="S2295" i="16"/>
  <c r="S2303" i="16"/>
  <c r="S2311" i="16"/>
  <c r="S2319" i="16"/>
  <c r="S2327" i="16"/>
  <c r="S2335" i="16"/>
  <c r="S28" i="16"/>
  <c r="S60" i="16"/>
  <c r="S92" i="16"/>
  <c r="S124" i="16"/>
  <c r="S156" i="16"/>
  <c r="T156" i="16" s="1"/>
  <c r="S188" i="16"/>
  <c r="S220" i="16"/>
  <c r="S252" i="16"/>
  <c r="S284" i="16"/>
  <c r="S316" i="16"/>
  <c r="S348" i="16"/>
  <c r="S380" i="16"/>
  <c r="S412" i="16"/>
  <c r="T412" i="16" s="1"/>
  <c r="S444" i="16"/>
  <c r="S476" i="16"/>
  <c r="S508" i="16"/>
  <c r="S540" i="16"/>
  <c r="S572" i="16"/>
  <c r="S604" i="16"/>
  <c r="S636" i="16"/>
  <c r="S668" i="16"/>
  <c r="T668" i="16" s="1"/>
  <c r="S700" i="16"/>
  <c r="S722" i="16"/>
  <c r="S741" i="16"/>
  <c r="S764" i="16"/>
  <c r="S786" i="16"/>
  <c r="S805" i="16"/>
  <c r="S828" i="16"/>
  <c r="S848" i="16"/>
  <c r="S856" i="16"/>
  <c r="S864" i="16"/>
  <c r="S872" i="16"/>
  <c r="S880" i="16"/>
  <c r="S888" i="16"/>
  <c r="S896" i="16"/>
  <c r="S904" i="16"/>
  <c r="S912" i="16"/>
  <c r="T912" i="16" s="1"/>
  <c r="S920" i="16"/>
  <c r="S928" i="16"/>
  <c r="S936" i="16"/>
  <c r="S944" i="16"/>
  <c r="S952" i="16"/>
  <c r="S960" i="16"/>
  <c r="S968" i="16"/>
  <c r="S976" i="16"/>
  <c r="T976" i="16" s="1"/>
  <c r="S984" i="16"/>
  <c r="S992" i="16"/>
  <c r="S1000" i="16"/>
  <c r="S1008" i="16"/>
  <c r="S1016" i="16"/>
  <c r="S1024" i="16"/>
  <c r="S1032" i="16"/>
  <c r="S1040" i="16"/>
  <c r="T1040" i="16" s="1"/>
  <c r="S1048" i="16"/>
  <c r="S1056" i="16"/>
  <c r="S1064" i="16"/>
  <c r="S1072" i="16"/>
  <c r="S1080" i="16"/>
  <c r="S1088" i="16"/>
  <c r="S1096" i="16"/>
  <c r="S1104" i="16"/>
  <c r="S1112" i="16"/>
  <c r="S1120" i="16"/>
  <c r="S1128" i="16"/>
  <c r="S1136" i="16"/>
  <c r="S1144" i="16"/>
  <c r="S1152" i="16"/>
  <c r="S1160" i="16"/>
  <c r="S1168" i="16"/>
  <c r="T1168" i="16" s="1"/>
  <c r="S1176" i="16"/>
  <c r="S1184" i="16"/>
  <c r="S1192" i="16"/>
  <c r="S1200" i="16"/>
  <c r="S1208" i="16"/>
  <c r="S1216" i="16"/>
  <c r="S1224" i="16"/>
  <c r="S1232" i="16"/>
  <c r="T1232" i="16" s="1"/>
  <c r="S1240" i="16"/>
  <c r="S1248" i="16"/>
  <c r="S1256" i="16"/>
  <c r="S1264" i="16"/>
  <c r="S1272" i="16"/>
  <c r="S1280" i="16"/>
  <c r="S1288" i="16"/>
  <c r="S1296" i="16"/>
  <c r="T1296" i="16" s="1"/>
  <c r="S1304" i="16"/>
  <c r="S1312" i="16"/>
  <c r="S1320" i="16"/>
  <c r="S1328" i="16"/>
  <c r="S1336" i="16"/>
  <c r="S1344" i="16"/>
  <c r="S1352" i="16"/>
  <c r="S1360" i="16"/>
  <c r="T1360" i="16" s="1"/>
  <c r="S1368" i="16"/>
  <c r="S1376" i="16"/>
  <c r="S1384" i="16"/>
  <c r="S1392" i="16"/>
  <c r="S1400" i="16"/>
  <c r="S1408" i="16"/>
  <c r="S1416" i="16"/>
  <c r="S1424" i="16"/>
  <c r="T1424" i="16" s="1"/>
  <c r="S1432" i="16"/>
  <c r="S1440" i="16"/>
  <c r="S1448" i="16"/>
  <c r="S1456" i="16"/>
  <c r="S1464" i="16"/>
  <c r="S1472" i="16"/>
  <c r="S1480" i="16"/>
  <c r="S1488" i="16"/>
  <c r="T1488" i="16" s="1"/>
  <c r="S1496" i="16"/>
  <c r="S1504" i="16"/>
  <c r="S1512" i="16"/>
  <c r="S1520" i="16"/>
  <c r="S1528" i="16"/>
  <c r="S1536" i="16"/>
  <c r="S1544" i="16"/>
  <c r="S1552" i="16"/>
  <c r="S1560" i="16"/>
  <c r="S1568" i="16"/>
  <c r="S1576" i="16"/>
  <c r="S1584" i="16"/>
  <c r="S1592" i="16"/>
  <c r="S1600" i="16"/>
  <c r="S1608" i="16"/>
  <c r="S1616" i="16"/>
  <c r="T1616" i="16" s="1"/>
  <c r="S1624" i="16"/>
  <c r="S1632" i="16"/>
  <c r="S1640" i="16"/>
  <c r="S1648" i="16"/>
  <c r="S1656" i="16"/>
  <c r="S1664" i="16"/>
  <c r="S1672" i="16"/>
  <c r="S1680" i="16"/>
  <c r="T1680" i="16" s="1"/>
  <c r="S1688" i="16"/>
  <c r="S1696" i="16"/>
  <c r="S1704" i="16"/>
  <c r="S1712" i="16"/>
  <c r="S1720" i="16"/>
  <c r="S1728" i="16"/>
  <c r="S1736" i="16"/>
  <c r="S1744" i="16"/>
  <c r="T1744" i="16" s="1"/>
  <c r="S1752" i="16"/>
  <c r="S1760" i="16"/>
  <c r="S1768" i="16"/>
  <c r="S1776" i="16"/>
  <c r="S1784" i="16"/>
  <c r="S1792" i="16"/>
  <c r="S1800" i="16"/>
  <c r="S1808" i="16"/>
  <c r="T1808" i="16" s="1"/>
  <c r="S1816" i="16"/>
  <c r="S1824" i="16"/>
  <c r="S1832" i="16"/>
  <c r="S1840" i="16"/>
  <c r="S1848" i="16"/>
  <c r="S1856" i="16"/>
  <c r="S1864" i="16"/>
  <c r="S1872" i="16"/>
  <c r="T1872" i="16" s="1"/>
  <c r="S1880" i="16"/>
  <c r="S1888" i="16"/>
  <c r="S1896" i="16"/>
  <c r="S1904" i="16"/>
  <c r="S1912" i="16"/>
  <c r="S1920" i="16"/>
  <c r="S1928" i="16"/>
  <c r="S1936" i="16"/>
  <c r="T1936" i="16" s="1"/>
  <c r="S1944" i="16"/>
  <c r="S1952" i="16"/>
  <c r="S1960" i="16"/>
  <c r="S1968" i="16"/>
  <c r="S1976" i="16"/>
  <c r="S1984" i="16"/>
  <c r="S1992" i="16"/>
  <c r="S2000" i="16"/>
  <c r="T2000" i="16" s="1"/>
  <c r="S2008" i="16"/>
  <c r="S2016" i="16"/>
  <c r="S2024" i="16"/>
  <c r="S2032" i="16"/>
  <c r="S2040" i="16"/>
  <c r="S2048" i="16"/>
  <c r="S2056" i="16"/>
  <c r="S2064" i="16"/>
  <c r="S2072" i="16"/>
  <c r="S2080" i="16"/>
  <c r="S2088" i="16"/>
  <c r="S2096" i="16"/>
  <c r="S2104" i="16"/>
  <c r="S2112" i="16"/>
  <c r="S2120" i="16"/>
  <c r="S2128" i="16"/>
  <c r="T2128" i="16" s="1"/>
  <c r="S2136" i="16"/>
  <c r="S2144" i="16"/>
  <c r="S2152" i="16"/>
  <c r="S2160" i="16"/>
  <c r="S2168" i="16"/>
  <c r="S2176" i="16"/>
  <c r="S2184" i="16"/>
  <c r="S2192" i="16"/>
  <c r="T2192" i="16" s="1"/>
  <c r="S2200" i="16"/>
  <c r="S2208" i="16"/>
  <c r="S2216" i="16"/>
  <c r="S2224" i="16"/>
  <c r="S2232" i="16"/>
  <c r="S2240" i="16"/>
  <c r="S2248" i="16"/>
  <c r="S2256" i="16"/>
  <c r="T2256" i="16" s="1"/>
  <c r="S2264" i="16"/>
  <c r="S2272" i="16"/>
  <c r="S2280" i="16"/>
  <c r="S2288" i="16"/>
  <c r="S2296" i="16"/>
  <c r="S2304" i="16"/>
  <c r="S2312" i="16"/>
  <c r="S2320" i="16"/>
  <c r="T2320" i="16" s="1"/>
  <c r="S2328" i="16"/>
  <c r="S2336" i="16"/>
  <c r="S29" i="16"/>
  <c r="S61" i="16"/>
  <c r="S93" i="16"/>
  <c r="S125" i="16"/>
  <c r="S157" i="16"/>
  <c r="S189" i="16"/>
  <c r="T189" i="16" s="1"/>
  <c r="S221" i="16"/>
  <c r="S253" i="16"/>
  <c r="S285" i="16"/>
  <c r="S317" i="16"/>
  <c r="S349" i="16"/>
  <c r="S381" i="16"/>
  <c r="S413" i="16"/>
  <c r="S445" i="16"/>
  <c r="S477" i="16"/>
  <c r="S509" i="16"/>
  <c r="S541" i="16"/>
  <c r="S573" i="16"/>
  <c r="S605" i="16"/>
  <c r="S637" i="16"/>
  <c r="S669" i="16"/>
  <c r="S701" i="16"/>
  <c r="S724" i="16"/>
  <c r="S746" i="16"/>
  <c r="S765" i="16"/>
  <c r="S788" i="16"/>
  <c r="S810" i="16"/>
  <c r="S829" i="16"/>
  <c r="S849" i="16"/>
  <c r="S857" i="16"/>
  <c r="S865" i="16"/>
  <c r="S873" i="16"/>
  <c r="S881" i="16"/>
  <c r="S889" i="16"/>
  <c r="S897" i="16"/>
  <c r="S905" i="16"/>
  <c r="S913" i="16"/>
  <c r="S921" i="16"/>
  <c r="T921" i="16" s="1"/>
  <c r="S929" i="16"/>
  <c r="S937" i="16"/>
  <c r="S945" i="16"/>
  <c r="S953" i="16"/>
  <c r="S961" i="16"/>
  <c r="S969" i="16"/>
  <c r="S977" i="16"/>
  <c r="S985" i="16"/>
  <c r="T985" i="16" s="1"/>
  <c r="S993" i="16"/>
  <c r="S1001" i="16"/>
  <c r="S1009" i="16"/>
  <c r="S1017" i="16"/>
  <c r="S1025" i="16"/>
  <c r="S1033" i="16"/>
  <c r="S1041" i="16"/>
  <c r="S1049" i="16"/>
  <c r="S1057" i="16"/>
  <c r="S1065" i="16"/>
  <c r="S1073" i="16"/>
  <c r="S1081" i="16"/>
  <c r="S1089" i="16"/>
  <c r="S1097" i="16"/>
  <c r="S1105" i="16"/>
  <c r="S1113" i="16"/>
  <c r="T1113" i="16" s="1"/>
  <c r="S1121" i="16"/>
  <c r="S1129" i="16"/>
  <c r="S1137" i="16"/>
  <c r="S1145" i="16"/>
  <c r="S1153" i="16"/>
  <c r="S1161" i="16"/>
  <c r="S1169" i="16"/>
  <c r="S1177" i="16"/>
  <c r="T1177" i="16" s="1"/>
  <c r="S1185" i="16"/>
  <c r="S1193" i="16"/>
  <c r="S1201" i="16"/>
  <c r="S1209" i="16"/>
  <c r="S1217" i="16"/>
  <c r="S1225" i="16"/>
  <c r="S1233" i="16"/>
  <c r="S1241" i="16"/>
  <c r="S1249" i="16"/>
  <c r="S1257" i="16"/>
  <c r="S1265" i="16"/>
  <c r="S1273" i="16"/>
  <c r="S1281" i="16"/>
  <c r="S1289" i="16"/>
  <c r="S1297" i="16"/>
  <c r="S1305" i="16"/>
  <c r="T1305" i="16" s="1"/>
  <c r="S1313" i="16"/>
  <c r="S1321" i="16"/>
  <c r="S1329" i="16"/>
  <c r="S1337" i="16"/>
  <c r="S1345" i="16"/>
  <c r="S1353" i="16"/>
  <c r="S1361" i="16"/>
  <c r="S1369" i="16"/>
  <c r="S1377" i="16"/>
  <c r="S1385" i="16"/>
  <c r="S1393" i="16"/>
  <c r="S1401" i="16"/>
  <c r="S1409" i="16"/>
  <c r="S1417" i="16"/>
  <c r="S1425" i="16"/>
  <c r="S1433" i="16"/>
  <c r="S1441" i="16"/>
  <c r="S1449" i="16"/>
  <c r="S1457" i="16"/>
  <c r="S1465" i="16"/>
  <c r="S1473" i="16"/>
  <c r="S1481" i="16"/>
  <c r="S1489" i="16"/>
  <c r="S1497" i="16"/>
  <c r="T1497" i="16" s="1"/>
  <c r="S1505" i="16"/>
  <c r="S1513" i="16"/>
  <c r="S1521" i="16"/>
  <c r="S1529" i="16"/>
  <c r="S1537" i="16"/>
  <c r="S1545" i="16"/>
  <c r="S1553" i="16"/>
  <c r="S1561" i="16"/>
  <c r="T1561" i="16" s="1"/>
  <c r="S1569" i="16"/>
  <c r="S1577" i="16"/>
  <c r="S1585" i="16"/>
  <c r="S1593" i="16"/>
  <c r="S1601" i="16"/>
  <c r="S1609" i="16"/>
  <c r="S1617" i="16"/>
  <c r="S1625" i="16"/>
  <c r="T1625" i="16" s="1"/>
  <c r="S1633" i="16"/>
  <c r="S1641" i="16"/>
  <c r="S1649" i="16"/>
  <c r="S1657" i="16"/>
  <c r="S1665" i="16"/>
  <c r="S1673" i="16"/>
  <c r="S1681" i="16"/>
  <c r="S1689" i="16"/>
  <c r="S1697" i="16"/>
  <c r="S1705" i="16"/>
  <c r="S1713" i="16"/>
  <c r="S1721" i="16"/>
  <c r="S1729" i="16"/>
  <c r="S1737" i="16"/>
  <c r="S1745" i="16"/>
  <c r="S1753" i="16"/>
  <c r="T1753" i="16" s="1"/>
  <c r="S1761" i="16"/>
  <c r="S1769" i="16"/>
  <c r="S1777" i="16"/>
  <c r="S1785" i="16"/>
  <c r="S1793" i="16"/>
  <c r="S1801" i="16"/>
  <c r="S1809" i="16"/>
  <c r="S1817" i="16"/>
  <c r="T1817" i="16" s="1"/>
  <c r="S1825" i="16"/>
  <c r="S1833" i="16"/>
  <c r="S1841" i="16"/>
  <c r="S1849" i="16"/>
  <c r="S1857" i="16"/>
  <c r="S1865" i="16"/>
  <c r="S1873" i="16"/>
  <c r="S1881" i="16"/>
  <c r="S1889" i="16"/>
  <c r="S1897" i="16"/>
  <c r="S1905" i="16"/>
  <c r="S1913" i="16"/>
  <c r="S1921" i="16"/>
  <c r="S1929" i="16"/>
  <c r="S1937" i="16"/>
  <c r="S1945" i="16"/>
  <c r="S1953" i="16"/>
  <c r="S1961" i="16"/>
  <c r="S1969" i="16"/>
  <c r="S1977" i="16"/>
  <c r="S1985" i="16"/>
  <c r="S1993" i="16"/>
  <c r="S2001" i="16"/>
  <c r="S2009" i="16"/>
  <c r="T2009" i="16" s="1"/>
  <c r="S2017" i="16"/>
  <c r="S2025" i="16"/>
  <c r="S2033" i="16"/>
  <c r="S2041" i="16"/>
  <c r="S2049" i="16"/>
  <c r="S2057" i="16"/>
  <c r="S2065" i="16"/>
  <c r="S2073" i="16"/>
  <c r="T2073" i="16" s="1"/>
  <c r="S2081" i="16"/>
  <c r="S2089" i="16"/>
  <c r="S2097" i="16"/>
  <c r="S2105" i="16"/>
  <c r="S2113" i="16"/>
  <c r="S2121" i="16"/>
  <c r="S2129" i="16"/>
  <c r="S2137" i="16"/>
  <c r="T2137" i="16" s="1"/>
  <c r="S2145" i="16"/>
  <c r="S2153" i="16"/>
  <c r="S2161" i="16"/>
  <c r="S2169" i="16"/>
  <c r="S2177" i="16"/>
  <c r="S2185" i="16"/>
  <c r="S2193" i="16"/>
  <c r="S2201" i="16"/>
  <c r="S2209" i="16"/>
  <c r="S2217" i="16"/>
  <c r="S2225" i="16"/>
  <c r="S2233" i="16"/>
  <c r="S2241" i="16"/>
  <c r="S2249" i="16"/>
  <c r="S2257" i="16"/>
  <c r="S2265" i="16"/>
  <c r="S2273" i="16"/>
  <c r="S2281" i="16"/>
  <c r="S2289" i="16"/>
  <c r="S2297" i="16"/>
  <c r="S2305" i="16"/>
  <c r="S2313" i="16"/>
  <c r="S2321" i="16"/>
  <c r="S2329" i="16"/>
  <c r="T2329" i="16" s="1"/>
  <c r="S2337" i="16"/>
  <c r="S228" i="16"/>
  <c r="S484" i="16"/>
  <c r="S725" i="16"/>
  <c r="S866" i="16"/>
  <c r="S930" i="16"/>
  <c r="S994" i="16"/>
  <c r="S1058" i="16"/>
  <c r="T1058" i="16" s="1"/>
  <c r="S1122" i="16"/>
  <c r="S1186" i="16"/>
  <c r="S1250" i="16"/>
  <c r="S1314" i="16"/>
  <c r="S1378" i="16"/>
  <c r="S1442" i="16"/>
  <c r="S1506" i="16"/>
  <c r="S1570" i="16"/>
  <c r="T1570" i="16" s="1"/>
  <c r="S1634" i="16"/>
  <c r="S1698" i="16"/>
  <c r="S1762" i="16"/>
  <c r="S1826" i="16"/>
  <c r="S1890" i="16"/>
  <c r="S1954" i="16"/>
  <c r="S2018" i="16"/>
  <c r="S2082" i="16"/>
  <c r="T2082" i="16" s="1"/>
  <c r="S2146" i="16"/>
  <c r="S2210" i="16"/>
  <c r="S2274" i="16"/>
  <c r="S2338" i="16"/>
  <c r="S260" i="16"/>
  <c r="S516" i="16"/>
  <c r="S748" i="16"/>
  <c r="S874" i="16"/>
  <c r="T874" i="16" s="1"/>
  <c r="S938" i="16"/>
  <c r="S1002" i="16"/>
  <c r="S1066" i="16"/>
  <c r="S1130" i="16"/>
  <c r="S1194" i="16"/>
  <c r="S1258" i="16"/>
  <c r="S1322" i="16"/>
  <c r="S1386" i="16"/>
  <c r="T1386" i="16" s="1"/>
  <c r="S1450" i="16"/>
  <c r="S1514" i="16"/>
  <c r="S1578" i="16"/>
  <c r="S1642" i="16"/>
  <c r="S1706" i="16"/>
  <c r="S1770" i="16"/>
  <c r="S1834" i="16"/>
  <c r="S1898" i="16"/>
  <c r="T1898" i="16" s="1"/>
  <c r="S1962" i="16"/>
  <c r="S2026" i="16"/>
  <c r="S2090" i="16"/>
  <c r="S2154" i="16"/>
  <c r="S2218" i="16"/>
  <c r="S2282" i="16"/>
  <c r="S36" i="16"/>
  <c r="S292" i="16"/>
  <c r="S548" i="16"/>
  <c r="S770" i="16"/>
  <c r="S882" i="16"/>
  <c r="S946" i="16"/>
  <c r="S1010" i="16"/>
  <c r="S1074" i="16"/>
  <c r="S1138" i="16"/>
  <c r="S1202" i="16"/>
  <c r="T1202" i="16" s="1"/>
  <c r="S1266" i="16"/>
  <c r="S1330" i="16"/>
  <c r="S1394" i="16"/>
  <c r="S1458" i="16"/>
  <c r="S1522" i="16"/>
  <c r="S1586" i="16"/>
  <c r="S1650" i="16"/>
  <c r="S1714" i="16"/>
  <c r="S1778" i="16"/>
  <c r="S1842" i="16"/>
  <c r="S1906" i="16"/>
  <c r="S1970" i="16"/>
  <c r="S2034" i="16"/>
  <c r="S2098" i="16"/>
  <c r="S2162" i="16"/>
  <c r="S2226" i="16"/>
  <c r="T2226" i="16" s="1"/>
  <c r="S2290" i="16"/>
  <c r="S68" i="16"/>
  <c r="S324" i="16"/>
  <c r="S580" i="16"/>
  <c r="S789" i="16"/>
  <c r="S890" i="16"/>
  <c r="S954" i="16"/>
  <c r="S1018" i="16"/>
  <c r="S1082" i="16"/>
  <c r="S1146" i="16"/>
  <c r="S1210" i="16"/>
  <c r="S1274" i="16"/>
  <c r="S1338" i="16"/>
  <c r="S1402" i="16"/>
  <c r="S1466" i="16"/>
  <c r="S1530" i="16"/>
  <c r="S1594" i="16"/>
  <c r="S1658" i="16"/>
  <c r="S1722" i="16"/>
  <c r="S1786" i="16"/>
  <c r="S1850" i="16"/>
  <c r="S1914" i="16"/>
  <c r="S1978" i="16"/>
  <c r="S2042" i="16"/>
  <c r="T2042" i="16" s="1"/>
  <c r="S2106" i="16"/>
  <c r="S2170" i="16"/>
  <c r="S2234" i="16"/>
  <c r="S2298" i="16"/>
  <c r="S100" i="16"/>
  <c r="S356" i="16"/>
  <c r="S612" i="16"/>
  <c r="S812" i="16"/>
  <c r="T812" i="16" s="1"/>
  <c r="S898" i="16"/>
  <c r="S962" i="16"/>
  <c r="S1026" i="16"/>
  <c r="S1090" i="16"/>
  <c r="S1154" i="16"/>
  <c r="S1218" i="16"/>
  <c r="S1282" i="16"/>
  <c r="S1346" i="16"/>
  <c r="T1346" i="16" s="1"/>
  <c r="S1410" i="16"/>
  <c r="S1474" i="16"/>
  <c r="S1538" i="16"/>
  <c r="S1602" i="16"/>
  <c r="S1666" i="16"/>
  <c r="S1730" i="16"/>
  <c r="S1794" i="16"/>
  <c r="S1858" i="16"/>
  <c r="T1858" i="16" s="1"/>
  <c r="S1922" i="16"/>
  <c r="S1986" i="16"/>
  <c r="S2050" i="16"/>
  <c r="S2114" i="16"/>
  <c r="S2178" i="16"/>
  <c r="S2242" i="16"/>
  <c r="S2306" i="16"/>
  <c r="S164" i="16"/>
  <c r="T164" i="16" s="1"/>
  <c r="S420" i="16"/>
  <c r="S676" i="16"/>
  <c r="S850" i="16"/>
  <c r="S914" i="16"/>
  <c r="S978" i="16"/>
  <c r="S1042" i="16"/>
  <c r="S1106" i="16"/>
  <c r="S1170" i="16"/>
  <c r="T1170" i="16" s="1"/>
  <c r="S1234" i="16"/>
  <c r="S1298" i="16"/>
  <c r="S1362" i="16"/>
  <c r="S1426" i="16"/>
  <c r="S1490" i="16"/>
  <c r="S1554" i="16"/>
  <c r="S1618" i="16"/>
  <c r="S1682" i="16"/>
  <c r="T1682" i="16" s="1"/>
  <c r="S1746" i="16"/>
  <c r="S1810" i="16"/>
  <c r="S1874" i="16"/>
  <c r="S1938" i="16"/>
  <c r="S2002" i="16"/>
  <c r="S2066" i="16"/>
  <c r="S2130" i="16"/>
  <c r="S2194" i="16"/>
  <c r="T2194" i="16" s="1"/>
  <c r="S2258" i="16"/>
  <c r="S2322" i="16"/>
  <c r="S196" i="16"/>
  <c r="S452" i="16"/>
  <c r="S706" i="16"/>
  <c r="S858" i="16"/>
  <c r="S922" i="16"/>
  <c r="S986" i="16"/>
  <c r="S1050" i="16"/>
  <c r="S1114" i="16"/>
  <c r="S1178" i="16"/>
  <c r="S1242" i="16"/>
  <c r="S1306" i="16"/>
  <c r="S1370" i="16"/>
  <c r="S1434" i="16"/>
  <c r="S1498" i="16"/>
  <c r="T1498" i="16" s="1"/>
  <c r="S1562" i="16"/>
  <c r="S1626" i="16"/>
  <c r="S1690" i="16"/>
  <c r="S1754" i="16"/>
  <c r="S1818" i="16"/>
  <c r="S1882" i="16"/>
  <c r="S1946" i="16"/>
  <c r="S2010" i="16"/>
  <c r="T2010" i="16" s="1"/>
  <c r="S2074" i="16"/>
  <c r="S2138" i="16"/>
  <c r="S2202" i="16"/>
  <c r="S2266" i="16"/>
  <c r="S2330" i="16"/>
  <c r="S906" i="16"/>
  <c r="S1418" i="16"/>
  <c r="S1930" i="16"/>
  <c r="T1930" i="16" s="1"/>
  <c r="S970" i="16"/>
  <c r="S1482" i="16"/>
  <c r="S1994" i="16"/>
  <c r="S1034" i="16"/>
  <c r="S1546" i="16"/>
  <c r="S2058" i="16"/>
  <c r="S1098" i="16"/>
  <c r="S1610" i="16"/>
  <c r="T1610" i="16" s="1"/>
  <c r="S2122" i="16"/>
  <c r="S132" i="16"/>
  <c r="S1162" i="16"/>
  <c r="S1674" i="16"/>
  <c r="S2186" i="16"/>
  <c r="S644" i="16"/>
  <c r="S1290" i="16"/>
  <c r="S1802" i="16"/>
  <c r="T1802" i="16" s="1"/>
  <c r="S2314" i="16"/>
  <c r="S834" i="16"/>
  <c r="S1354" i="16"/>
  <c r="S1866" i="16"/>
  <c r="S388" i="16"/>
  <c r="S1226" i="16"/>
  <c r="S1738" i="16"/>
  <c r="S2250" i="16"/>
  <c r="M7" i="16"/>
  <c r="M15" i="16"/>
  <c r="M23" i="16"/>
  <c r="M31" i="16"/>
  <c r="M39" i="16"/>
  <c r="M47" i="16"/>
  <c r="M55" i="16"/>
  <c r="M63" i="16"/>
  <c r="M71" i="16"/>
  <c r="M79" i="16"/>
  <c r="M87" i="16"/>
  <c r="M95" i="16"/>
  <c r="M103" i="16"/>
  <c r="M111" i="16"/>
  <c r="M119" i="16"/>
  <c r="M127" i="16"/>
  <c r="M135" i="16"/>
  <c r="M143" i="16"/>
  <c r="M151" i="16"/>
  <c r="M159" i="16"/>
  <c r="M167" i="16"/>
  <c r="M175" i="16"/>
  <c r="M183" i="16"/>
  <c r="M191" i="16"/>
  <c r="M199" i="16"/>
  <c r="M207" i="16"/>
  <c r="M215" i="16"/>
  <c r="M223" i="16"/>
  <c r="M231" i="16"/>
  <c r="M239" i="16"/>
  <c r="M247" i="16"/>
  <c r="M255" i="16"/>
  <c r="M263" i="16"/>
  <c r="M271" i="16"/>
  <c r="M279" i="16"/>
  <c r="M287" i="16"/>
  <c r="M295" i="16"/>
  <c r="M303" i="16"/>
  <c r="M311" i="16"/>
  <c r="M319" i="16"/>
  <c r="N319" i="16" s="1"/>
  <c r="M327" i="16"/>
  <c r="M335" i="16"/>
  <c r="M343" i="16"/>
  <c r="M351" i="16"/>
  <c r="M359" i="16"/>
  <c r="M367" i="16"/>
  <c r="M375" i="16"/>
  <c r="M383" i="16"/>
  <c r="M391" i="16"/>
  <c r="M399" i="16"/>
  <c r="M407" i="16"/>
  <c r="M415" i="16"/>
  <c r="M423" i="16"/>
  <c r="M431" i="16"/>
  <c r="M439" i="16"/>
  <c r="M447" i="16"/>
  <c r="M455" i="16"/>
  <c r="M463" i="16"/>
  <c r="M471" i="16"/>
  <c r="M479" i="16"/>
  <c r="M487" i="16"/>
  <c r="M495" i="16"/>
  <c r="M503" i="16"/>
  <c r="M511" i="16"/>
  <c r="M519" i="16"/>
  <c r="M527" i="16"/>
  <c r="M535" i="16"/>
  <c r="M543" i="16"/>
  <c r="M551" i="16"/>
  <c r="M559" i="16"/>
  <c r="M567" i="16"/>
  <c r="M575" i="16"/>
  <c r="M583" i="16"/>
  <c r="M591" i="16"/>
  <c r="M599" i="16"/>
  <c r="M607" i="16"/>
  <c r="M615" i="16"/>
  <c r="M623" i="16"/>
  <c r="M631" i="16"/>
  <c r="M639" i="16"/>
  <c r="M647" i="16"/>
  <c r="M655" i="16"/>
  <c r="M663" i="16"/>
  <c r="M671" i="16"/>
  <c r="M679" i="16"/>
  <c r="M687" i="16"/>
  <c r="M695" i="16"/>
  <c r="M703" i="16"/>
  <c r="M711" i="16"/>
  <c r="M719" i="16"/>
  <c r="M727" i="16"/>
  <c r="M735" i="16"/>
  <c r="M743" i="16"/>
  <c r="M751" i="16"/>
  <c r="M759" i="16"/>
  <c r="M767" i="16"/>
  <c r="M775" i="16"/>
  <c r="M783" i="16"/>
  <c r="M791" i="16"/>
  <c r="M8" i="16"/>
  <c r="M16" i="16"/>
  <c r="M24" i="16"/>
  <c r="M32" i="16"/>
  <c r="M40" i="16"/>
  <c r="M48" i="16"/>
  <c r="M56" i="16"/>
  <c r="M64" i="16"/>
  <c r="M72" i="16"/>
  <c r="M80" i="16"/>
  <c r="M88" i="16"/>
  <c r="M96" i="16"/>
  <c r="M104" i="16"/>
  <c r="M112" i="16"/>
  <c r="M120" i="16"/>
  <c r="M128" i="16"/>
  <c r="M136" i="16"/>
  <c r="M144" i="16"/>
  <c r="M152" i="16"/>
  <c r="M160" i="16"/>
  <c r="M168" i="16"/>
  <c r="M176" i="16"/>
  <c r="M184" i="16"/>
  <c r="M192" i="16"/>
  <c r="M200" i="16"/>
  <c r="M208" i="16"/>
  <c r="M216" i="16"/>
  <c r="M224" i="16"/>
  <c r="M232" i="16"/>
  <c r="M240" i="16"/>
  <c r="M248" i="16"/>
  <c r="M256" i="16"/>
  <c r="M264" i="16"/>
  <c r="M272" i="16"/>
  <c r="N272" i="16" s="1"/>
  <c r="M280" i="16"/>
  <c r="M288" i="16"/>
  <c r="M296" i="16"/>
  <c r="M304" i="16"/>
  <c r="M312" i="16"/>
  <c r="M320" i="16"/>
  <c r="M328" i="16"/>
  <c r="M336" i="16"/>
  <c r="M344" i="16"/>
  <c r="M352" i="16"/>
  <c r="M360" i="16"/>
  <c r="M368" i="16"/>
  <c r="M376" i="16"/>
  <c r="M384" i="16"/>
  <c r="M392" i="16"/>
  <c r="M400" i="16"/>
  <c r="M408" i="16"/>
  <c r="M416" i="16"/>
  <c r="M424" i="16"/>
  <c r="M432" i="16"/>
  <c r="M440" i="16"/>
  <c r="M448" i="16"/>
  <c r="M456" i="16"/>
  <c r="M464" i="16"/>
  <c r="M472" i="16"/>
  <c r="M480" i="16"/>
  <c r="M488" i="16"/>
  <c r="M496" i="16"/>
  <c r="M504" i="16"/>
  <c r="M512" i="16"/>
  <c r="M520" i="16"/>
  <c r="M528" i="16"/>
  <c r="M536" i="16"/>
  <c r="M544" i="16"/>
  <c r="M552" i="16"/>
  <c r="M560" i="16"/>
  <c r="M568" i="16"/>
  <c r="M576" i="16"/>
  <c r="M584" i="16"/>
  <c r="M592" i="16"/>
  <c r="M600" i="16"/>
  <c r="M608" i="16"/>
  <c r="M616" i="16"/>
  <c r="M624" i="16"/>
  <c r="M632" i="16"/>
  <c r="M640" i="16"/>
  <c r="M648" i="16"/>
  <c r="M656" i="16"/>
  <c r="M664" i="16"/>
  <c r="M672" i="16"/>
  <c r="M680" i="16"/>
  <c r="M688" i="16"/>
  <c r="M696" i="16"/>
  <c r="M704" i="16"/>
  <c r="M712" i="16"/>
  <c r="M720" i="16"/>
  <c r="M728" i="16"/>
  <c r="M736" i="16"/>
  <c r="M744" i="16"/>
  <c r="M752" i="16"/>
  <c r="M760" i="16"/>
  <c r="M768" i="16"/>
  <c r="M776" i="16"/>
  <c r="M784" i="16"/>
  <c r="M792" i="16"/>
  <c r="M9" i="16"/>
  <c r="M17" i="16"/>
  <c r="M25" i="16"/>
  <c r="M33" i="16"/>
  <c r="M41" i="16"/>
  <c r="M49" i="16"/>
  <c r="M57" i="16"/>
  <c r="M65" i="16"/>
  <c r="M73" i="16"/>
  <c r="M81" i="16"/>
  <c r="M89" i="16"/>
  <c r="M97" i="16"/>
  <c r="M105" i="16"/>
  <c r="M113" i="16"/>
  <c r="M121" i="16"/>
  <c r="M129" i="16"/>
  <c r="M137" i="16"/>
  <c r="M145" i="16"/>
  <c r="M153" i="16"/>
  <c r="M161" i="16"/>
  <c r="M169" i="16"/>
  <c r="M177" i="16"/>
  <c r="M185" i="16"/>
  <c r="M193" i="16"/>
  <c r="M201" i="16"/>
  <c r="M209" i="16"/>
  <c r="M217" i="16"/>
  <c r="M225" i="16"/>
  <c r="M233" i="16"/>
  <c r="M241" i="16"/>
  <c r="M249" i="16"/>
  <c r="M257" i="16"/>
  <c r="M265" i="16"/>
  <c r="M273" i="16"/>
  <c r="M281" i="16"/>
  <c r="M289" i="16"/>
  <c r="M297" i="16"/>
  <c r="M305" i="16"/>
  <c r="M313" i="16"/>
  <c r="M321" i="16"/>
  <c r="M329" i="16"/>
  <c r="M337" i="16"/>
  <c r="M345" i="16"/>
  <c r="M353" i="16"/>
  <c r="M361" i="16"/>
  <c r="M369" i="16"/>
  <c r="M377" i="16"/>
  <c r="M385" i="16"/>
  <c r="M393" i="16"/>
  <c r="M401" i="16"/>
  <c r="M409" i="16"/>
  <c r="M417" i="16"/>
  <c r="M425" i="16"/>
  <c r="M433" i="16"/>
  <c r="M441" i="16"/>
  <c r="M449" i="16"/>
  <c r="M457" i="16"/>
  <c r="M465" i="16"/>
  <c r="M473" i="16"/>
  <c r="M481" i="16"/>
  <c r="M489" i="16"/>
  <c r="M497" i="16"/>
  <c r="M505" i="16"/>
  <c r="M513" i="16"/>
  <c r="M521" i="16"/>
  <c r="M529" i="16"/>
  <c r="M537" i="16"/>
  <c r="M545" i="16"/>
  <c r="M553" i="16"/>
  <c r="M561" i="16"/>
  <c r="M569" i="16"/>
  <c r="M577" i="16"/>
  <c r="M585" i="16"/>
  <c r="M593" i="16"/>
  <c r="M601" i="16"/>
  <c r="M609" i="16"/>
  <c r="M617" i="16"/>
  <c r="M625" i="16"/>
  <c r="M633" i="16"/>
  <c r="M641" i="16"/>
  <c r="M649" i="16"/>
  <c r="M657" i="16"/>
  <c r="M665" i="16"/>
  <c r="M673" i="16"/>
  <c r="M681" i="16"/>
  <c r="M689" i="16"/>
  <c r="M697" i="16"/>
  <c r="M705" i="16"/>
  <c r="M713" i="16"/>
  <c r="M721" i="16"/>
  <c r="M729" i="16"/>
  <c r="M737" i="16"/>
  <c r="M745" i="16"/>
  <c r="M753" i="16"/>
  <c r="M761" i="16"/>
  <c r="M769" i="16"/>
  <c r="M777" i="16"/>
  <c r="M785" i="16"/>
  <c r="M10" i="16"/>
  <c r="M18" i="16"/>
  <c r="M26" i="16"/>
  <c r="M34" i="16"/>
  <c r="M42" i="16"/>
  <c r="M50" i="16"/>
  <c r="M58" i="16"/>
  <c r="M66" i="16"/>
  <c r="M74" i="16"/>
  <c r="M82" i="16"/>
  <c r="M90" i="16"/>
  <c r="M98" i="16"/>
  <c r="M106" i="16"/>
  <c r="M114" i="16"/>
  <c r="M122" i="16"/>
  <c r="M130" i="16"/>
  <c r="M138" i="16"/>
  <c r="M146" i="16"/>
  <c r="M154" i="16"/>
  <c r="M162" i="16"/>
  <c r="M170" i="16"/>
  <c r="M178" i="16"/>
  <c r="M186" i="16"/>
  <c r="M194" i="16"/>
  <c r="M202" i="16"/>
  <c r="M210" i="16"/>
  <c r="M218" i="16"/>
  <c r="M226" i="16"/>
  <c r="M234" i="16"/>
  <c r="M242" i="16"/>
  <c r="M250" i="16"/>
  <c r="M258" i="16"/>
  <c r="M266" i="16"/>
  <c r="M274" i="16"/>
  <c r="M282" i="16"/>
  <c r="M290" i="16"/>
  <c r="M298" i="16"/>
  <c r="M306" i="16"/>
  <c r="M314" i="16"/>
  <c r="M322" i="16"/>
  <c r="M330" i="16"/>
  <c r="M338" i="16"/>
  <c r="M346" i="16"/>
  <c r="M354" i="16"/>
  <c r="M362" i="16"/>
  <c r="M370" i="16"/>
  <c r="M378" i="16"/>
  <c r="M386" i="16"/>
  <c r="M394" i="16"/>
  <c r="M402" i="16"/>
  <c r="M410" i="16"/>
  <c r="M418" i="16"/>
  <c r="M426" i="16"/>
  <c r="M434" i="16"/>
  <c r="M442" i="16"/>
  <c r="M450" i="16"/>
  <c r="N450" i="16" s="1"/>
  <c r="M458" i="16"/>
  <c r="M466" i="16"/>
  <c r="M474" i="16"/>
  <c r="M482" i="16"/>
  <c r="M490" i="16"/>
  <c r="M498" i="16"/>
  <c r="M506" i="16"/>
  <c r="M514" i="16"/>
  <c r="M522" i="16"/>
  <c r="M530" i="16"/>
  <c r="M538" i="16"/>
  <c r="M546" i="16"/>
  <c r="M554" i="16"/>
  <c r="M562" i="16"/>
  <c r="M570" i="16"/>
  <c r="M578" i="16"/>
  <c r="M586" i="16"/>
  <c r="M594" i="16"/>
  <c r="M602" i="16"/>
  <c r="M610" i="16"/>
  <c r="M618" i="16"/>
  <c r="M626" i="16"/>
  <c r="M634" i="16"/>
  <c r="M642" i="16"/>
  <c r="M650" i="16"/>
  <c r="M658" i="16"/>
  <c r="M666" i="16"/>
  <c r="M674" i="16"/>
  <c r="M682" i="16"/>
  <c r="M690" i="16"/>
  <c r="M698" i="16"/>
  <c r="M706" i="16"/>
  <c r="M714" i="16"/>
  <c r="M722" i="16"/>
  <c r="M730" i="16"/>
  <c r="M738" i="16"/>
  <c r="M746" i="16"/>
  <c r="M754" i="16"/>
  <c r="M762" i="16"/>
  <c r="M770" i="16"/>
  <c r="M778" i="16"/>
  <c r="M786" i="16"/>
  <c r="M11" i="16"/>
  <c r="M19" i="16"/>
  <c r="M27" i="16"/>
  <c r="M35" i="16"/>
  <c r="M43" i="16"/>
  <c r="M51" i="16"/>
  <c r="M59" i="16"/>
  <c r="M67" i="16"/>
  <c r="M75" i="16"/>
  <c r="M83" i="16"/>
  <c r="M91" i="16"/>
  <c r="M99" i="16"/>
  <c r="M107" i="16"/>
  <c r="M115" i="16"/>
  <c r="M123" i="16"/>
  <c r="M131" i="16"/>
  <c r="M139" i="16"/>
  <c r="M147" i="16"/>
  <c r="M13" i="16"/>
  <c r="M21" i="16"/>
  <c r="M29" i="16"/>
  <c r="M37" i="16"/>
  <c r="M45" i="16"/>
  <c r="M53" i="16"/>
  <c r="M61" i="16"/>
  <c r="M69" i="16"/>
  <c r="M77" i="16"/>
  <c r="M85" i="16"/>
  <c r="M93" i="16"/>
  <c r="M101" i="16"/>
  <c r="M109" i="16"/>
  <c r="M117" i="16"/>
  <c r="M125" i="16"/>
  <c r="M133" i="16"/>
  <c r="M141" i="16"/>
  <c r="M149" i="16"/>
  <c r="M157" i="16"/>
  <c r="M165" i="16"/>
  <c r="M173" i="16"/>
  <c r="M181" i="16"/>
  <c r="M189" i="16"/>
  <c r="M197" i="16"/>
  <c r="M205" i="16"/>
  <c r="M213" i="16"/>
  <c r="M221" i="16"/>
  <c r="M229" i="16"/>
  <c r="M237" i="16"/>
  <c r="M245" i="16"/>
  <c r="M253" i="16"/>
  <c r="M261" i="16"/>
  <c r="M269" i="16"/>
  <c r="M277" i="16"/>
  <c r="M285" i="16"/>
  <c r="M293" i="16"/>
  <c r="M301" i="16"/>
  <c r="M309" i="16"/>
  <c r="M317" i="16"/>
  <c r="M325" i="16"/>
  <c r="M333" i="16"/>
  <c r="M341" i="16"/>
  <c r="M349" i="16"/>
  <c r="M357" i="16"/>
  <c r="M365" i="16"/>
  <c r="M373" i="16"/>
  <c r="M381" i="16"/>
  <c r="M389" i="16"/>
  <c r="M397" i="16"/>
  <c r="M405" i="16"/>
  <c r="M413" i="16"/>
  <c r="M421" i="16"/>
  <c r="M429" i="16"/>
  <c r="M437" i="16"/>
  <c r="M445" i="16"/>
  <c r="M453" i="16"/>
  <c r="M461" i="16"/>
  <c r="M469" i="16"/>
  <c r="M477" i="16"/>
  <c r="M485" i="16"/>
  <c r="M493" i="16"/>
  <c r="M501" i="16"/>
  <c r="M509" i="16"/>
  <c r="M517" i="16"/>
  <c r="M525" i="16"/>
  <c r="M533" i="16"/>
  <c r="M541" i="16"/>
  <c r="M549" i="16"/>
  <c r="M557" i="16"/>
  <c r="M565" i="16"/>
  <c r="M573" i="16"/>
  <c r="M581" i="16"/>
  <c r="M589" i="16"/>
  <c r="M597" i="16"/>
  <c r="M605" i="16"/>
  <c r="M613" i="16"/>
  <c r="M621" i="16"/>
  <c r="M629" i="16"/>
  <c r="M637" i="16"/>
  <c r="M645" i="16"/>
  <c r="M653" i="16"/>
  <c r="M661" i="16"/>
  <c r="M669" i="16"/>
  <c r="M677" i="16"/>
  <c r="M685" i="16"/>
  <c r="M693" i="16"/>
  <c r="M701" i="16"/>
  <c r="M709" i="16"/>
  <c r="M717" i="16"/>
  <c r="M725" i="16"/>
  <c r="M733" i="16"/>
  <c r="M741" i="16"/>
  <c r="M749" i="16"/>
  <c r="M757" i="16"/>
  <c r="M765" i="16"/>
  <c r="M773" i="16"/>
  <c r="M781" i="16"/>
  <c r="M789" i="16"/>
  <c r="M6" i="16"/>
  <c r="M14" i="16"/>
  <c r="M22" i="16"/>
  <c r="M30" i="16"/>
  <c r="M38" i="16"/>
  <c r="M46" i="16"/>
  <c r="M54" i="16"/>
  <c r="M62" i="16"/>
  <c r="M70" i="16"/>
  <c r="M78" i="16"/>
  <c r="M86" i="16"/>
  <c r="M94" i="16"/>
  <c r="M102" i="16"/>
  <c r="M110" i="16"/>
  <c r="M118" i="16"/>
  <c r="M126" i="16"/>
  <c r="M134" i="16"/>
  <c r="M142" i="16"/>
  <c r="M150" i="16"/>
  <c r="M158" i="16"/>
  <c r="M166" i="16"/>
  <c r="M174" i="16"/>
  <c r="M182" i="16"/>
  <c r="M190" i="16"/>
  <c r="M198" i="16"/>
  <c r="M206" i="16"/>
  <c r="M214" i="16"/>
  <c r="M222" i="16"/>
  <c r="M230" i="16"/>
  <c r="M238" i="16"/>
  <c r="M246" i="16"/>
  <c r="M254" i="16"/>
  <c r="M262" i="16"/>
  <c r="M270" i="16"/>
  <c r="M278" i="16"/>
  <c r="M286" i="16"/>
  <c r="M294" i="16"/>
  <c r="M302" i="16"/>
  <c r="M310" i="16"/>
  <c r="M318" i="16"/>
  <c r="M326" i="16"/>
  <c r="M334" i="16"/>
  <c r="M342" i="16"/>
  <c r="M350" i="16"/>
  <c r="M358" i="16"/>
  <c r="M366" i="16"/>
  <c r="M374" i="16"/>
  <c r="M382" i="16"/>
  <c r="M390" i="16"/>
  <c r="M398" i="16"/>
  <c r="M406" i="16"/>
  <c r="M414" i="16"/>
  <c r="M422" i="16"/>
  <c r="M430" i="16"/>
  <c r="M438" i="16"/>
  <c r="M446" i="16"/>
  <c r="M454" i="16"/>
  <c r="M462" i="16"/>
  <c r="M470" i="16"/>
  <c r="M478" i="16"/>
  <c r="M486" i="16"/>
  <c r="M494" i="16"/>
  <c r="M502" i="16"/>
  <c r="M510" i="16"/>
  <c r="M518" i="16"/>
  <c r="M526" i="16"/>
  <c r="M534" i="16"/>
  <c r="M542" i="16"/>
  <c r="M550" i="16"/>
  <c r="M558" i="16"/>
  <c r="M566" i="16"/>
  <c r="M574" i="16"/>
  <c r="M582" i="16"/>
  <c r="M590" i="16"/>
  <c r="M598" i="16"/>
  <c r="M606" i="16"/>
  <c r="M614" i="16"/>
  <c r="M622" i="16"/>
  <c r="M630" i="16"/>
  <c r="M638" i="16"/>
  <c r="M646" i="16"/>
  <c r="M654" i="16"/>
  <c r="M662" i="16"/>
  <c r="M670" i="16"/>
  <c r="M678" i="16"/>
  <c r="M686" i="16"/>
  <c r="M694" i="16"/>
  <c r="M702" i="16"/>
  <c r="M710" i="16"/>
  <c r="M718" i="16"/>
  <c r="M726" i="16"/>
  <c r="M734" i="16"/>
  <c r="M742" i="16"/>
  <c r="M750" i="16"/>
  <c r="M758" i="16"/>
  <c r="M766" i="16"/>
  <c r="M774" i="16"/>
  <c r="M782" i="16"/>
  <c r="M790" i="16"/>
  <c r="M52" i="16"/>
  <c r="M116" i="16"/>
  <c r="M164" i="16"/>
  <c r="M196" i="16"/>
  <c r="M228" i="16"/>
  <c r="M260" i="16"/>
  <c r="M292" i="16"/>
  <c r="M324" i="16"/>
  <c r="M356" i="16"/>
  <c r="M388" i="16"/>
  <c r="M420" i="16"/>
  <c r="M452" i="16"/>
  <c r="M484" i="16"/>
  <c r="M516" i="16"/>
  <c r="M548" i="16"/>
  <c r="M580" i="16"/>
  <c r="M612" i="16"/>
  <c r="M644" i="16"/>
  <c r="M676" i="16"/>
  <c r="M708" i="16"/>
  <c r="M740" i="16"/>
  <c r="M772" i="16"/>
  <c r="M796" i="16"/>
  <c r="N796" i="16" s="1"/>
  <c r="M804" i="16"/>
  <c r="M812" i="16"/>
  <c r="M820" i="16"/>
  <c r="M828" i="16"/>
  <c r="M836" i="16"/>
  <c r="M844" i="16"/>
  <c r="M852" i="16"/>
  <c r="M860" i="16"/>
  <c r="M868" i="16"/>
  <c r="M876" i="16"/>
  <c r="M884" i="16"/>
  <c r="M892" i="16"/>
  <c r="M900" i="16"/>
  <c r="M908" i="16"/>
  <c r="M916" i="16"/>
  <c r="M924" i="16"/>
  <c r="M932" i="16"/>
  <c r="M940" i="16"/>
  <c r="M948" i="16"/>
  <c r="M956" i="16"/>
  <c r="M964" i="16"/>
  <c r="M972" i="16"/>
  <c r="M980" i="16"/>
  <c r="M988" i="16"/>
  <c r="M996" i="16"/>
  <c r="M1004" i="16"/>
  <c r="M1012" i="16"/>
  <c r="M1020" i="16"/>
  <c r="M1028" i="16"/>
  <c r="M1036" i="16"/>
  <c r="M1044" i="16"/>
  <c r="M1052" i="16"/>
  <c r="M1060" i="16"/>
  <c r="M1068" i="16"/>
  <c r="M1076" i="16"/>
  <c r="M1084" i="16"/>
  <c r="M1092" i="16"/>
  <c r="M1100" i="16"/>
  <c r="M1108" i="16"/>
  <c r="M1116" i="16"/>
  <c r="M1124" i="16"/>
  <c r="M1132" i="16"/>
  <c r="M1140" i="16"/>
  <c r="M1148" i="16"/>
  <c r="M1156" i="16"/>
  <c r="M1164" i="16"/>
  <c r="M1172" i="16"/>
  <c r="M1180" i="16"/>
  <c r="M1188" i="16"/>
  <c r="M1196" i="16"/>
  <c r="M1204" i="16"/>
  <c r="M1212" i="16"/>
  <c r="M1220" i="16"/>
  <c r="M1228" i="16"/>
  <c r="M1236" i="16"/>
  <c r="M1244" i="16"/>
  <c r="M1252" i="16"/>
  <c r="M1260" i="16"/>
  <c r="M1268" i="16"/>
  <c r="M1276" i="16"/>
  <c r="M1284" i="16"/>
  <c r="M1292" i="16"/>
  <c r="M1300" i="16"/>
  <c r="M1308" i="16"/>
  <c r="M1316" i="16"/>
  <c r="M1324" i="16"/>
  <c r="M1332" i="16"/>
  <c r="M1340" i="16"/>
  <c r="M1348" i="16"/>
  <c r="M1356" i="16"/>
  <c r="M1364" i="16"/>
  <c r="M1372" i="16"/>
  <c r="M1380" i="16"/>
  <c r="M1388" i="16"/>
  <c r="M1396" i="16"/>
  <c r="M1404" i="16"/>
  <c r="M1412" i="16"/>
  <c r="M1420" i="16"/>
  <c r="M1428" i="16"/>
  <c r="M1436" i="16"/>
  <c r="M1444" i="16"/>
  <c r="M1452" i="16"/>
  <c r="M1460" i="16"/>
  <c r="M1468" i="16"/>
  <c r="M1476" i="16"/>
  <c r="M1484" i="16"/>
  <c r="M1492" i="16"/>
  <c r="M1500" i="16"/>
  <c r="M1508" i="16"/>
  <c r="M1516" i="16"/>
  <c r="M1524" i="16"/>
  <c r="M1532" i="16"/>
  <c r="M1540" i="16"/>
  <c r="M1548" i="16"/>
  <c r="M1556" i="16"/>
  <c r="M1564" i="16"/>
  <c r="M1572" i="16"/>
  <c r="M1580" i="16"/>
  <c r="M1588" i="16"/>
  <c r="M1596" i="16"/>
  <c r="M1604" i="16"/>
  <c r="M1612" i="16"/>
  <c r="M1620" i="16"/>
  <c r="M1628" i="16"/>
  <c r="M1636" i="16"/>
  <c r="M1644" i="16"/>
  <c r="M1652" i="16"/>
  <c r="M1660" i="16"/>
  <c r="M1668" i="16"/>
  <c r="M1676" i="16"/>
  <c r="M1684" i="16"/>
  <c r="M1692" i="16"/>
  <c r="M1700" i="16"/>
  <c r="M1708" i="16"/>
  <c r="M1716" i="16"/>
  <c r="M1724" i="16"/>
  <c r="M1732" i="16"/>
  <c r="M1740" i="16"/>
  <c r="M1748" i="16"/>
  <c r="M1756" i="16"/>
  <c r="M1764" i="16"/>
  <c r="M1772" i="16"/>
  <c r="M1780" i="16"/>
  <c r="M1788" i="16"/>
  <c r="M1796" i="16"/>
  <c r="M1804" i="16"/>
  <c r="M1812" i="16"/>
  <c r="M1820" i="16"/>
  <c r="M1828" i="16"/>
  <c r="M1836" i="16"/>
  <c r="M1844" i="16"/>
  <c r="M1852" i="16"/>
  <c r="M1860" i="16"/>
  <c r="M1868" i="16"/>
  <c r="M1876" i="16"/>
  <c r="M1884" i="16"/>
  <c r="M1892" i="16"/>
  <c r="M1900" i="16"/>
  <c r="M1908" i="16"/>
  <c r="M1916" i="16"/>
  <c r="M1924" i="16"/>
  <c r="M1932" i="16"/>
  <c r="M1940" i="16"/>
  <c r="M1948" i="16"/>
  <c r="M1956" i="16"/>
  <c r="M1964" i="16"/>
  <c r="M1972" i="16"/>
  <c r="M1980" i="16"/>
  <c r="M1988" i="16"/>
  <c r="M1996" i="16"/>
  <c r="M2004" i="16"/>
  <c r="M2012" i="16"/>
  <c r="M2020" i="16"/>
  <c r="M2028" i="16"/>
  <c r="M2036" i="16"/>
  <c r="M2044" i="16"/>
  <c r="M2052" i="16"/>
  <c r="M2060" i="16"/>
  <c r="M2068" i="16"/>
  <c r="M2076" i="16"/>
  <c r="M2084" i="16"/>
  <c r="M2092" i="16"/>
  <c r="M2100" i="16"/>
  <c r="M2108" i="16"/>
  <c r="M2116" i="16"/>
  <c r="M2124" i="16"/>
  <c r="M2132" i="16"/>
  <c r="M2140" i="16"/>
  <c r="M2148" i="16"/>
  <c r="M2156" i="16"/>
  <c r="M2164" i="16"/>
  <c r="M2172" i="16"/>
  <c r="M2180" i="16"/>
  <c r="M2188" i="16"/>
  <c r="M2196" i="16"/>
  <c r="M2204" i="16"/>
  <c r="M2212" i="16"/>
  <c r="M2220" i="16"/>
  <c r="M2228" i="16"/>
  <c r="M2236" i="16"/>
  <c r="M2244" i="16"/>
  <c r="M2252" i="16"/>
  <c r="M2260" i="16"/>
  <c r="M2268" i="16"/>
  <c r="M2276" i="16"/>
  <c r="M2284" i="16"/>
  <c r="M2292" i="16"/>
  <c r="M2300" i="16"/>
  <c r="M2308" i="16"/>
  <c r="M2316" i="16"/>
  <c r="M2324" i="16"/>
  <c r="M2332" i="16"/>
  <c r="M2340" i="16"/>
  <c r="M60" i="16"/>
  <c r="M124" i="16"/>
  <c r="M171" i="16"/>
  <c r="M203" i="16"/>
  <c r="M235" i="16"/>
  <c r="M267" i="16"/>
  <c r="M299" i="16"/>
  <c r="M331" i="16"/>
  <c r="M363" i="16"/>
  <c r="M395" i="16"/>
  <c r="M427" i="16"/>
  <c r="M459" i="16"/>
  <c r="M491" i="16"/>
  <c r="M523" i="16"/>
  <c r="M555" i="16"/>
  <c r="M587" i="16"/>
  <c r="M619" i="16"/>
  <c r="M651" i="16"/>
  <c r="M683" i="16"/>
  <c r="M715" i="16"/>
  <c r="M747" i="16"/>
  <c r="M779" i="16"/>
  <c r="M797" i="16"/>
  <c r="M805" i="16"/>
  <c r="M813" i="16"/>
  <c r="M821" i="16"/>
  <c r="M829" i="16"/>
  <c r="M837" i="16"/>
  <c r="M845" i="16"/>
  <c r="M853" i="16"/>
  <c r="M861" i="16"/>
  <c r="M869" i="16"/>
  <c r="M877" i="16"/>
  <c r="M885" i="16"/>
  <c r="M893" i="16"/>
  <c r="M901" i="16"/>
  <c r="M909" i="16"/>
  <c r="M917" i="16"/>
  <c r="M925" i="16"/>
  <c r="M933" i="16"/>
  <c r="M941" i="16"/>
  <c r="M949" i="16"/>
  <c r="M957" i="16"/>
  <c r="M965" i="16"/>
  <c r="M973" i="16"/>
  <c r="M981" i="16"/>
  <c r="M989" i="16"/>
  <c r="M997" i="16"/>
  <c r="M1005" i="16"/>
  <c r="M1013" i="16"/>
  <c r="M1021" i="16"/>
  <c r="M1029" i="16"/>
  <c r="M1037" i="16"/>
  <c r="M1045" i="16"/>
  <c r="M1053" i="16"/>
  <c r="M1061" i="16"/>
  <c r="M1069" i="16"/>
  <c r="M1077" i="16"/>
  <c r="M1085" i="16"/>
  <c r="M1093" i="16"/>
  <c r="M1101" i="16"/>
  <c r="M1109" i="16"/>
  <c r="M1117" i="16"/>
  <c r="M1125" i="16"/>
  <c r="M1133" i="16"/>
  <c r="M1141" i="16"/>
  <c r="M1149" i="16"/>
  <c r="M1157" i="16"/>
  <c r="M1165" i="16"/>
  <c r="M1173" i="16"/>
  <c r="M1181" i="16"/>
  <c r="M1189" i="16"/>
  <c r="M1197" i="16"/>
  <c r="M1205" i="16"/>
  <c r="M1213" i="16"/>
  <c r="M1221" i="16"/>
  <c r="M1229" i="16"/>
  <c r="M1237" i="16"/>
  <c r="M1245" i="16"/>
  <c r="M1253" i="16"/>
  <c r="M1261" i="16"/>
  <c r="M1269" i="16"/>
  <c r="M1277" i="16"/>
  <c r="M1285" i="16"/>
  <c r="M1293" i="16"/>
  <c r="M1301" i="16"/>
  <c r="M1309" i="16"/>
  <c r="M1317" i="16"/>
  <c r="M1325" i="16"/>
  <c r="M1333" i="16"/>
  <c r="M1341" i="16"/>
  <c r="M1349" i="16"/>
  <c r="M1357" i="16"/>
  <c r="M1365" i="16"/>
  <c r="M1373" i="16"/>
  <c r="M1381" i="16"/>
  <c r="M1389" i="16"/>
  <c r="M1397" i="16"/>
  <c r="M1405" i="16"/>
  <c r="M1413" i="16"/>
  <c r="M1421" i="16"/>
  <c r="M1429" i="16"/>
  <c r="M1437" i="16"/>
  <c r="M1445" i="16"/>
  <c r="M1453" i="16"/>
  <c r="M1461" i="16"/>
  <c r="M1469" i="16"/>
  <c r="M1477" i="16"/>
  <c r="M1485" i="16"/>
  <c r="M1493" i="16"/>
  <c r="M1501" i="16"/>
  <c r="M1509" i="16"/>
  <c r="M1517" i="16"/>
  <c r="M1525" i="16"/>
  <c r="M1533" i="16"/>
  <c r="M1541" i="16"/>
  <c r="M1549" i="16"/>
  <c r="M1557" i="16"/>
  <c r="M1565" i="16"/>
  <c r="M1573" i="16"/>
  <c r="M1581" i="16"/>
  <c r="M1589" i="16"/>
  <c r="M1597" i="16"/>
  <c r="M1605" i="16"/>
  <c r="M1613" i="16"/>
  <c r="M1621" i="16"/>
  <c r="M1629" i="16"/>
  <c r="M1637" i="16"/>
  <c r="M1645" i="16"/>
  <c r="M1653" i="16"/>
  <c r="M1661" i="16"/>
  <c r="M1669" i="16"/>
  <c r="M1677" i="16"/>
  <c r="M1685" i="16"/>
  <c r="M1693" i="16"/>
  <c r="M1701" i="16"/>
  <c r="M1709" i="16"/>
  <c r="M1717" i="16"/>
  <c r="M1725" i="16"/>
  <c r="M1733" i="16"/>
  <c r="M1741" i="16"/>
  <c r="M1749" i="16"/>
  <c r="M1757" i="16"/>
  <c r="M1765" i="16"/>
  <c r="M1773" i="16"/>
  <c r="M1781" i="16"/>
  <c r="M1789" i="16"/>
  <c r="M1797" i="16"/>
  <c r="M1805" i="16"/>
  <c r="M1813" i="16"/>
  <c r="M1821" i="16"/>
  <c r="M1829" i="16"/>
  <c r="M1837" i="16"/>
  <c r="M1845" i="16"/>
  <c r="M1853" i="16"/>
  <c r="M1861" i="16"/>
  <c r="M1869" i="16"/>
  <c r="M1877" i="16"/>
  <c r="M1885" i="16"/>
  <c r="M1893" i="16"/>
  <c r="M1901" i="16"/>
  <c r="M1909" i="16"/>
  <c r="M1917" i="16"/>
  <c r="M1925" i="16"/>
  <c r="M1933" i="16"/>
  <c r="M1941" i="16"/>
  <c r="M1949" i="16"/>
  <c r="M1957" i="16"/>
  <c r="M1965" i="16"/>
  <c r="M1973" i="16"/>
  <c r="M1981" i="16"/>
  <c r="M1989" i="16"/>
  <c r="M1997" i="16"/>
  <c r="M2005" i="16"/>
  <c r="M2013" i="16"/>
  <c r="M2021" i="16"/>
  <c r="M2029" i="16"/>
  <c r="M2037" i="16"/>
  <c r="M2045" i="16"/>
  <c r="M2053" i="16"/>
  <c r="M2061" i="16"/>
  <c r="M2069" i="16"/>
  <c r="M2077" i="16"/>
  <c r="M2085" i="16"/>
  <c r="M2093" i="16"/>
  <c r="M2101" i="16"/>
  <c r="M2109" i="16"/>
  <c r="M2117" i="16"/>
  <c r="M2125" i="16"/>
  <c r="M2133" i="16"/>
  <c r="M2141" i="16"/>
  <c r="M2149" i="16"/>
  <c r="M2157" i="16"/>
  <c r="M2165" i="16"/>
  <c r="M2173" i="16"/>
  <c r="M2181" i="16"/>
  <c r="M2189" i="16"/>
  <c r="M2197" i="16"/>
  <c r="M2205" i="16"/>
  <c r="M2213" i="16"/>
  <c r="M2221" i="16"/>
  <c r="M2229" i="16"/>
  <c r="M2237" i="16"/>
  <c r="M2245" i="16"/>
  <c r="M2253" i="16"/>
  <c r="M2261" i="16"/>
  <c r="M2269" i="16"/>
  <c r="M2277" i="16"/>
  <c r="M2285" i="16"/>
  <c r="M2293" i="16"/>
  <c r="M2301" i="16"/>
  <c r="M2309" i="16"/>
  <c r="M2317" i="16"/>
  <c r="M2325" i="16"/>
  <c r="M2333" i="16"/>
  <c r="M2341" i="16"/>
  <c r="M68" i="16"/>
  <c r="M132" i="16"/>
  <c r="M172" i="16"/>
  <c r="M204" i="16"/>
  <c r="M236" i="16"/>
  <c r="M268" i="16"/>
  <c r="M300" i="16"/>
  <c r="M332" i="16"/>
  <c r="M364" i="16"/>
  <c r="M396" i="16"/>
  <c r="M428" i="16"/>
  <c r="M460" i="16"/>
  <c r="M492" i="16"/>
  <c r="M524" i="16"/>
  <c r="M556" i="16"/>
  <c r="M588" i="16"/>
  <c r="M620" i="16"/>
  <c r="M652" i="16"/>
  <c r="M684" i="16"/>
  <c r="M716" i="16"/>
  <c r="M748" i="16"/>
  <c r="M780" i="16"/>
  <c r="M798" i="16"/>
  <c r="M806" i="16"/>
  <c r="M814" i="16"/>
  <c r="M822" i="16"/>
  <c r="M830" i="16"/>
  <c r="M838" i="16"/>
  <c r="M846" i="16"/>
  <c r="M854" i="16"/>
  <c r="M862" i="16"/>
  <c r="M870" i="16"/>
  <c r="M878" i="16"/>
  <c r="M886" i="16"/>
  <c r="M894" i="16"/>
  <c r="M902" i="16"/>
  <c r="M910" i="16"/>
  <c r="M918" i="16"/>
  <c r="M926" i="16"/>
  <c r="M934" i="16"/>
  <c r="M942" i="16"/>
  <c r="M950" i="16"/>
  <c r="M958" i="16"/>
  <c r="M966" i="16"/>
  <c r="M974" i="16"/>
  <c r="M982" i="16"/>
  <c r="M990" i="16"/>
  <c r="M998" i="16"/>
  <c r="M1006" i="16"/>
  <c r="M1014" i="16"/>
  <c r="M1022" i="16"/>
  <c r="M1030" i="16"/>
  <c r="M1038" i="16"/>
  <c r="M1046" i="16"/>
  <c r="M1054" i="16"/>
  <c r="M1062" i="16"/>
  <c r="M1070" i="16"/>
  <c r="M1078" i="16"/>
  <c r="M1086" i="16"/>
  <c r="M1094" i="16"/>
  <c r="M1102" i="16"/>
  <c r="M1110" i="16"/>
  <c r="M1118" i="16"/>
  <c r="M1126" i="16"/>
  <c r="M1134" i="16"/>
  <c r="M1142" i="16"/>
  <c r="M1150" i="16"/>
  <c r="M1158" i="16"/>
  <c r="M1166" i="16"/>
  <c r="M1174" i="16"/>
  <c r="M1182" i="16"/>
  <c r="M1190" i="16"/>
  <c r="M1198" i="16"/>
  <c r="M1206" i="16"/>
  <c r="M1214" i="16"/>
  <c r="M1222" i="16"/>
  <c r="M1230" i="16"/>
  <c r="M1238" i="16"/>
  <c r="M1246" i="16"/>
  <c r="M1254" i="16"/>
  <c r="M1262" i="16"/>
  <c r="M1270" i="16"/>
  <c r="M1278" i="16"/>
  <c r="M1286" i="16"/>
  <c r="M1294" i="16"/>
  <c r="M1302" i="16"/>
  <c r="M1310" i="16"/>
  <c r="M1318" i="16"/>
  <c r="M1326" i="16"/>
  <c r="M1334" i="16"/>
  <c r="M1342" i="16"/>
  <c r="M1350" i="16"/>
  <c r="M1358" i="16"/>
  <c r="M1366" i="16"/>
  <c r="M1374" i="16"/>
  <c r="M1382" i="16"/>
  <c r="M1390" i="16"/>
  <c r="M1398" i="16"/>
  <c r="M1406" i="16"/>
  <c r="M1414" i="16"/>
  <c r="M1422" i="16"/>
  <c r="M1430" i="16"/>
  <c r="M1438" i="16"/>
  <c r="M1446" i="16"/>
  <c r="M1454" i="16"/>
  <c r="M1462" i="16"/>
  <c r="M1470" i="16"/>
  <c r="M1478" i="16"/>
  <c r="M1486" i="16"/>
  <c r="M1494" i="16"/>
  <c r="M1502" i="16"/>
  <c r="M1510" i="16"/>
  <c r="M1518" i="16"/>
  <c r="M1526" i="16"/>
  <c r="M1534" i="16"/>
  <c r="M1542" i="16"/>
  <c r="M1550" i="16"/>
  <c r="M1558" i="16"/>
  <c r="M1566" i="16"/>
  <c r="M1574" i="16"/>
  <c r="M1582" i="16"/>
  <c r="M1590" i="16"/>
  <c r="M1598" i="16"/>
  <c r="M1606" i="16"/>
  <c r="M1614" i="16"/>
  <c r="M1622" i="16"/>
  <c r="M1630" i="16"/>
  <c r="M1638" i="16"/>
  <c r="M1646" i="16"/>
  <c r="M1654" i="16"/>
  <c r="M1662" i="16"/>
  <c r="M1670" i="16"/>
  <c r="M1678" i="16"/>
  <c r="M1686" i="16"/>
  <c r="M1694" i="16"/>
  <c r="M1702" i="16"/>
  <c r="M1710" i="16"/>
  <c r="M1718" i="16"/>
  <c r="M1726" i="16"/>
  <c r="M1734" i="16"/>
  <c r="M1742" i="16"/>
  <c r="M1750" i="16"/>
  <c r="M1758" i="16"/>
  <c r="M1766" i="16"/>
  <c r="M1774" i="16"/>
  <c r="M1782" i="16"/>
  <c r="M1790" i="16"/>
  <c r="M1798" i="16"/>
  <c r="M1806" i="16"/>
  <c r="M1814" i="16"/>
  <c r="M1822" i="16"/>
  <c r="M1830" i="16"/>
  <c r="M1838" i="16"/>
  <c r="M1846" i="16"/>
  <c r="M1854" i="16"/>
  <c r="M1862" i="16"/>
  <c r="M1870" i="16"/>
  <c r="M1878" i="16"/>
  <c r="M1886" i="16"/>
  <c r="M1894" i="16"/>
  <c r="M1902" i="16"/>
  <c r="M1910" i="16"/>
  <c r="M1918" i="16"/>
  <c r="M1926" i="16"/>
  <c r="M1934" i="16"/>
  <c r="M1942" i="16"/>
  <c r="M1950" i="16"/>
  <c r="M1958" i="16"/>
  <c r="M1966" i="16"/>
  <c r="M1974" i="16"/>
  <c r="M1982" i="16"/>
  <c r="M1990" i="16"/>
  <c r="M1998" i="16"/>
  <c r="M2006" i="16"/>
  <c r="M2014" i="16"/>
  <c r="M2022" i="16"/>
  <c r="M2030" i="16"/>
  <c r="M2038" i="16"/>
  <c r="M2046" i="16"/>
  <c r="M2054" i="16"/>
  <c r="M2062" i="16"/>
  <c r="M2070" i="16"/>
  <c r="M2078" i="16"/>
  <c r="M2086" i="16"/>
  <c r="M2094" i="16"/>
  <c r="M2102" i="16"/>
  <c r="M2110" i="16"/>
  <c r="M2118" i="16"/>
  <c r="M2126" i="16"/>
  <c r="M2134" i="16"/>
  <c r="M2142" i="16"/>
  <c r="M2150" i="16"/>
  <c r="M2158" i="16"/>
  <c r="M2166" i="16"/>
  <c r="M2174" i="16"/>
  <c r="M2182" i="16"/>
  <c r="M2190" i="16"/>
  <c r="M2198" i="16"/>
  <c r="M2206" i="16"/>
  <c r="M2214" i="16"/>
  <c r="M2222" i="16"/>
  <c r="M2230" i="16"/>
  <c r="M2238" i="16"/>
  <c r="M2246" i="16"/>
  <c r="M2254" i="16"/>
  <c r="M2262" i="16"/>
  <c r="M2270" i="16"/>
  <c r="M2278" i="16"/>
  <c r="M2286" i="16"/>
  <c r="M2294" i="16"/>
  <c r="M2302" i="16"/>
  <c r="M2310" i="16"/>
  <c r="M2318" i="16"/>
  <c r="M2326" i="16"/>
  <c r="M2334" i="16"/>
  <c r="M12" i="16"/>
  <c r="M76" i="16"/>
  <c r="M140" i="16"/>
  <c r="M179" i="16"/>
  <c r="M211" i="16"/>
  <c r="M243" i="16"/>
  <c r="M275" i="16"/>
  <c r="M307" i="16"/>
  <c r="M339" i="16"/>
  <c r="M371" i="16"/>
  <c r="M403" i="16"/>
  <c r="M435" i="16"/>
  <c r="M467" i="16"/>
  <c r="M499" i="16"/>
  <c r="M531" i="16"/>
  <c r="M563" i="16"/>
  <c r="M595" i="16"/>
  <c r="M627" i="16"/>
  <c r="M659" i="16"/>
  <c r="M691" i="16"/>
  <c r="M723" i="16"/>
  <c r="M755" i="16"/>
  <c r="M787" i="16"/>
  <c r="M799" i="16"/>
  <c r="M807" i="16"/>
  <c r="M815" i="16"/>
  <c r="M823" i="16"/>
  <c r="M831" i="16"/>
  <c r="M839" i="16"/>
  <c r="M847" i="16"/>
  <c r="M855" i="16"/>
  <c r="M863" i="16"/>
  <c r="M871" i="16"/>
  <c r="M879" i="16"/>
  <c r="M887" i="16"/>
  <c r="M895" i="16"/>
  <c r="M903" i="16"/>
  <c r="M911" i="16"/>
  <c r="M919" i="16"/>
  <c r="M927" i="16"/>
  <c r="M935" i="16"/>
  <c r="M943" i="16"/>
  <c r="M951" i="16"/>
  <c r="M959" i="16"/>
  <c r="M967" i="16"/>
  <c r="M975" i="16"/>
  <c r="M983" i="16"/>
  <c r="M991" i="16"/>
  <c r="M999" i="16"/>
  <c r="M1007" i="16"/>
  <c r="M1015" i="16"/>
  <c r="M1023" i="16"/>
  <c r="M1031" i="16"/>
  <c r="M1039" i="16"/>
  <c r="M1047" i="16"/>
  <c r="M1055" i="16"/>
  <c r="M1063" i="16"/>
  <c r="M1071" i="16"/>
  <c r="M1079" i="16"/>
  <c r="M1087" i="16"/>
  <c r="M1095" i="16"/>
  <c r="M1103" i="16"/>
  <c r="M1111" i="16"/>
  <c r="M1119" i="16"/>
  <c r="M1127" i="16"/>
  <c r="M1135" i="16"/>
  <c r="M1143" i="16"/>
  <c r="M1151" i="16"/>
  <c r="M1159" i="16"/>
  <c r="M1167" i="16"/>
  <c r="M1175" i="16"/>
  <c r="M1183" i="16"/>
  <c r="M1191" i="16"/>
  <c r="M1199" i="16"/>
  <c r="M1207" i="16"/>
  <c r="M1215" i="16"/>
  <c r="M1223" i="16"/>
  <c r="M1231" i="16"/>
  <c r="M1239" i="16"/>
  <c r="M1247" i="16"/>
  <c r="M1255" i="16"/>
  <c r="M1263" i="16"/>
  <c r="M1271" i="16"/>
  <c r="M1279" i="16"/>
  <c r="M1287" i="16"/>
  <c r="M1295" i="16"/>
  <c r="M1303" i="16"/>
  <c r="M1311" i="16"/>
  <c r="M1319" i="16"/>
  <c r="M1327" i="16"/>
  <c r="M1335" i="16"/>
  <c r="M1343" i="16"/>
  <c r="M1351" i="16"/>
  <c r="M1359" i="16"/>
  <c r="M1367" i="16"/>
  <c r="M1375" i="16"/>
  <c r="M1383" i="16"/>
  <c r="M1391" i="16"/>
  <c r="M1399" i="16"/>
  <c r="M1407" i="16"/>
  <c r="M1415" i="16"/>
  <c r="M1423" i="16"/>
  <c r="M1431" i="16"/>
  <c r="M1439" i="16"/>
  <c r="M1447" i="16"/>
  <c r="M1455" i="16"/>
  <c r="M1463" i="16"/>
  <c r="M1471" i="16"/>
  <c r="M1479" i="16"/>
  <c r="M1487" i="16"/>
  <c r="M1495" i="16"/>
  <c r="M1503" i="16"/>
  <c r="M1511" i="16"/>
  <c r="M1519" i="16"/>
  <c r="M1527" i="16"/>
  <c r="M1535" i="16"/>
  <c r="M1543" i="16"/>
  <c r="M1551" i="16"/>
  <c r="M1559" i="16"/>
  <c r="M1567" i="16"/>
  <c r="M1575" i="16"/>
  <c r="M1583" i="16"/>
  <c r="M1591" i="16"/>
  <c r="M1599" i="16"/>
  <c r="M1607" i="16"/>
  <c r="M1615" i="16"/>
  <c r="M1623" i="16"/>
  <c r="M1631" i="16"/>
  <c r="M1639" i="16"/>
  <c r="M1647" i="16"/>
  <c r="M1655" i="16"/>
  <c r="M1663" i="16"/>
  <c r="M1671" i="16"/>
  <c r="M1679" i="16"/>
  <c r="M1687" i="16"/>
  <c r="M1695" i="16"/>
  <c r="M1703" i="16"/>
  <c r="M1711" i="16"/>
  <c r="M1719" i="16"/>
  <c r="M1727" i="16"/>
  <c r="M1735" i="16"/>
  <c r="M1743" i="16"/>
  <c r="M1751" i="16"/>
  <c r="M1759" i="16"/>
  <c r="M1767" i="16"/>
  <c r="M1775" i="16"/>
  <c r="M1783" i="16"/>
  <c r="M1791" i="16"/>
  <c r="M1799" i="16"/>
  <c r="M1807" i="16"/>
  <c r="M1815" i="16"/>
  <c r="M1823" i="16"/>
  <c r="M1831" i="16"/>
  <c r="M1839" i="16"/>
  <c r="M1847" i="16"/>
  <c r="M1855" i="16"/>
  <c r="M1863" i="16"/>
  <c r="M1871" i="16"/>
  <c r="M1879" i="16"/>
  <c r="M1887" i="16"/>
  <c r="M1895" i="16"/>
  <c r="M1903" i="16"/>
  <c r="M1911" i="16"/>
  <c r="M1919" i="16"/>
  <c r="M1927" i="16"/>
  <c r="M1935" i="16"/>
  <c r="M1943" i="16"/>
  <c r="M1951" i="16"/>
  <c r="M1959" i="16"/>
  <c r="M1967" i="16"/>
  <c r="M1975" i="16"/>
  <c r="M1983" i="16"/>
  <c r="M1991" i="16"/>
  <c r="M1999" i="16"/>
  <c r="M2007" i="16"/>
  <c r="M2015" i="16"/>
  <c r="M2023" i="16"/>
  <c r="M2031" i="16"/>
  <c r="M2039" i="16"/>
  <c r="M2047" i="16"/>
  <c r="M2055" i="16"/>
  <c r="M2063" i="16"/>
  <c r="M2071" i="16"/>
  <c r="M2079" i="16"/>
  <c r="N2079" i="16" s="1"/>
  <c r="M2087" i="16"/>
  <c r="M2095" i="16"/>
  <c r="M2103" i="16"/>
  <c r="M2111" i="16"/>
  <c r="M2119" i="16"/>
  <c r="M2127" i="16"/>
  <c r="M2135" i="16"/>
  <c r="M2143" i="16"/>
  <c r="M2151" i="16"/>
  <c r="M2159" i="16"/>
  <c r="M2167" i="16"/>
  <c r="M2175" i="16"/>
  <c r="M2183" i="16"/>
  <c r="M2191" i="16"/>
  <c r="M2199" i="16"/>
  <c r="M2207" i="16"/>
  <c r="M2215" i="16"/>
  <c r="M2223" i="16"/>
  <c r="M2231" i="16"/>
  <c r="M2239" i="16"/>
  <c r="M2247" i="16"/>
  <c r="M2255" i="16"/>
  <c r="M2263" i="16"/>
  <c r="M2271" i="16"/>
  <c r="M2279" i="16"/>
  <c r="M2287" i="16"/>
  <c r="M2295" i="16"/>
  <c r="M2303" i="16"/>
  <c r="M2311" i="16"/>
  <c r="M2319" i="16"/>
  <c r="M2327" i="16"/>
  <c r="M2335" i="16"/>
  <c r="M20" i="16"/>
  <c r="M84" i="16"/>
  <c r="M148" i="16"/>
  <c r="M180" i="16"/>
  <c r="M212" i="16"/>
  <c r="M244" i="16"/>
  <c r="M276" i="16"/>
  <c r="M308" i="16"/>
  <c r="M340" i="16"/>
  <c r="M372" i="16"/>
  <c r="M404" i="16"/>
  <c r="M436" i="16"/>
  <c r="M468" i="16"/>
  <c r="M500" i="16"/>
  <c r="M532" i="16"/>
  <c r="M564" i="16"/>
  <c r="M596" i="16"/>
  <c r="M628" i="16"/>
  <c r="M660" i="16"/>
  <c r="M692" i="16"/>
  <c r="M724" i="16"/>
  <c r="M756" i="16"/>
  <c r="M788" i="16"/>
  <c r="M800" i="16"/>
  <c r="M808" i="16"/>
  <c r="M816" i="16"/>
  <c r="M824" i="16"/>
  <c r="M832" i="16"/>
  <c r="M840" i="16"/>
  <c r="M848" i="16"/>
  <c r="M856" i="16"/>
  <c r="M864" i="16"/>
  <c r="M872" i="16"/>
  <c r="M880" i="16"/>
  <c r="M888" i="16"/>
  <c r="M896" i="16"/>
  <c r="M904" i="16"/>
  <c r="M912" i="16"/>
  <c r="M920" i="16"/>
  <c r="M928" i="16"/>
  <c r="M936" i="16"/>
  <c r="M944" i="16"/>
  <c r="M952" i="16"/>
  <c r="M960" i="16"/>
  <c r="M968" i="16"/>
  <c r="M976" i="16"/>
  <c r="M984" i="16"/>
  <c r="M992" i="16"/>
  <c r="M1000" i="16"/>
  <c r="M1008" i="16"/>
  <c r="M1016" i="16"/>
  <c r="M1024" i="16"/>
  <c r="M1032" i="16"/>
  <c r="M1040" i="16"/>
  <c r="M1048" i="16"/>
  <c r="M1056" i="16"/>
  <c r="M1064" i="16"/>
  <c r="M1072" i="16"/>
  <c r="M1080" i="16"/>
  <c r="M1088" i="16"/>
  <c r="M1096" i="16"/>
  <c r="M1104" i="16"/>
  <c r="M1112" i="16"/>
  <c r="M1120" i="16"/>
  <c r="M1128" i="16"/>
  <c r="M1136" i="16"/>
  <c r="M1144" i="16"/>
  <c r="M1152" i="16"/>
  <c r="M1160" i="16"/>
  <c r="M1168" i="16"/>
  <c r="M1176" i="16"/>
  <c r="M1184" i="16"/>
  <c r="M1192" i="16"/>
  <c r="M1200" i="16"/>
  <c r="M1208" i="16"/>
  <c r="M1216" i="16"/>
  <c r="M1224" i="16"/>
  <c r="M1232" i="16"/>
  <c r="M1240" i="16"/>
  <c r="M1248" i="16"/>
  <c r="M1256" i="16"/>
  <c r="M1264" i="16"/>
  <c r="M1272" i="16"/>
  <c r="M1280" i="16"/>
  <c r="M1288" i="16"/>
  <c r="M1296" i="16"/>
  <c r="M1304" i="16"/>
  <c r="M1312" i="16"/>
  <c r="M1320" i="16"/>
  <c r="M1328" i="16"/>
  <c r="M1336" i="16"/>
  <c r="M1344" i="16"/>
  <c r="M1352" i="16"/>
  <c r="M1360" i="16"/>
  <c r="M1368" i="16"/>
  <c r="M1376" i="16"/>
  <c r="M1384" i="16"/>
  <c r="M1392" i="16"/>
  <c r="M1400" i="16"/>
  <c r="M1408" i="16"/>
  <c r="M1416" i="16"/>
  <c r="M1424" i="16"/>
  <c r="M1432" i="16"/>
  <c r="M1440" i="16"/>
  <c r="M1448" i="16"/>
  <c r="M1456" i="16"/>
  <c r="M1464" i="16"/>
  <c r="M1472" i="16"/>
  <c r="M1480" i="16"/>
  <c r="M1488" i="16"/>
  <c r="M1496" i="16"/>
  <c r="M1504" i="16"/>
  <c r="N1504" i="16" s="1"/>
  <c r="M1512" i="16"/>
  <c r="M1520" i="16"/>
  <c r="M1528" i="16"/>
  <c r="M1536" i="16"/>
  <c r="M1544" i="16"/>
  <c r="M1552" i="16"/>
  <c r="M1560" i="16"/>
  <c r="M1568" i="16"/>
  <c r="N1568" i="16" s="1"/>
  <c r="M1576" i="16"/>
  <c r="M1584" i="16"/>
  <c r="M1592" i="16"/>
  <c r="M1600" i="16"/>
  <c r="M1608" i="16"/>
  <c r="M1616" i="16"/>
  <c r="M1624" i="16"/>
  <c r="M1632" i="16"/>
  <c r="M1640" i="16"/>
  <c r="M1648" i="16"/>
  <c r="M1656" i="16"/>
  <c r="M1664" i="16"/>
  <c r="M1672" i="16"/>
  <c r="M1680" i="16"/>
  <c r="M1688" i="16"/>
  <c r="M1696" i="16"/>
  <c r="M1704" i="16"/>
  <c r="M1712" i="16"/>
  <c r="M1720" i="16"/>
  <c r="M1728" i="16"/>
  <c r="M1736" i="16"/>
  <c r="M1744" i="16"/>
  <c r="M1752" i="16"/>
  <c r="M1760" i="16"/>
  <c r="M1768" i="16"/>
  <c r="M1776" i="16"/>
  <c r="M1784" i="16"/>
  <c r="M1792" i="16"/>
  <c r="M1800" i="16"/>
  <c r="M1808" i="16"/>
  <c r="M1816" i="16"/>
  <c r="M1824" i="16"/>
  <c r="M1832" i="16"/>
  <c r="M1840" i="16"/>
  <c r="M1848" i="16"/>
  <c r="M1856" i="16"/>
  <c r="M1864" i="16"/>
  <c r="M1872" i="16"/>
  <c r="M1880" i="16"/>
  <c r="M1888" i="16"/>
  <c r="M1896" i="16"/>
  <c r="M1904" i="16"/>
  <c r="M1912" i="16"/>
  <c r="M1920" i="16"/>
  <c r="M1928" i="16"/>
  <c r="M1936" i="16"/>
  <c r="M1944" i="16"/>
  <c r="M1952" i="16"/>
  <c r="M1960" i="16"/>
  <c r="M1968" i="16"/>
  <c r="M1976" i="16"/>
  <c r="M1984" i="16"/>
  <c r="M1992" i="16"/>
  <c r="M2000" i="16"/>
  <c r="M2008" i="16"/>
  <c r="M2016" i="16"/>
  <c r="M2024" i="16"/>
  <c r="M2032" i="16"/>
  <c r="M2040" i="16"/>
  <c r="M2048" i="16"/>
  <c r="M2056" i="16"/>
  <c r="M2064" i="16"/>
  <c r="M2072" i="16"/>
  <c r="M2080" i="16"/>
  <c r="M2088" i="16"/>
  <c r="M2096" i="16"/>
  <c r="M2104" i="16"/>
  <c r="M2112" i="16"/>
  <c r="M2120" i="16"/>
  <c r="M2128" i="16"/>
  <c r="M2136" i="16"/>
  <c r="M2144" i="16"/>
  <c r="M2152" i="16"/>
  <c r="M2160" i="16"/>
  <c r="M2168" i="16"/>
  <c r="M2176" i="16"/>
  <c r="M2184" i="16"/>
  <c r="M2192" i="16"/>
  <c r="M2200" i="16"/>
  <c r="M2208" i="16"/>
  <c r="M2216" i="16"/>
  <c r="M2224" i="16"/>
  <c r="M2232" i="16"/>
  <c r="M2240" i="16"/>
  <c r="M2248" i="16"/>
  <c r="M2256" i="16"/>
  <c r="M2264" i="16"/>
  <c r="M2272" i="16"/>
  <c r="M2280" i="16"/>
  <c r="M2288" i="16"/>
  <c r="M2296" i="16"/>
  <c r="M2304" i="16"/>
  <c r="M2312" i="16"/>
  <c r="M2320" i="16"/>
  <c r="M2328" i="16"/>
  <c r="M2336" i="16"/>
  <c r="M36" i="16"/>
  <c r="M100" i="16"/>
  <c r="M156" i="16"/>
  <c r="M188" i="16"/>
  <c r="M220" i="16"/>
  <c r="M252" i="16"/>
  <c r="M284" i="16"/>
  <c r="M316" i="16"/>
  <c r="M348" i="16"/>
  <c r="M380" i="16"/>
  <c r="M412" i="16"/>
  <c r="M444" i="16"/>
  <c r="M476" i="16"/>
  <c r="M508" i="16"/>
  <c r="M540" i="16"/>
  <c r="M572" i="16"/>
  <c r="M604" i="16"/>
  <c r="M636" i="16"/>
  <c r="M668" i="16"/>
  <c r="M700" i="16"/>
  <c r="M732" i="16"/>
  <c r="M764" i="16"/>
  <c r="M794" i="16"/>
  <c r="M802" i="16"/>
  <c r="M810" i="16"/>
  <c r="M818" i="16"/>
  <c r="M826" i="16"/>
  <c r="M834" i="16"/>
  <c r="M842" i="16"/>
  <c r="M850" i="16"/>
  <c r="M858" i="16"/>
  <c r="M866" i="16"/>
  <c r="M874" i="16"/>
  <c r="M882" i="16"/>
  <c r="M890" i="16"/>
  <c r="M898" i="16"/>
  <c r="M906" i="16"/>
  <c r="M914" i="16"/>
  <c r="M922" i="16"/>
  <c r="M930" i="16"/>
  <c r="M938" i="16"/>
  <c r="M946" i="16"/>
  <c r="M954" i="16"/>
  <c r="M962" i="16"/>
  <c r="M970" i="16"/>
  <c r="M978" i="16"/>
  <c r="M986" i="16"/>
  <c r="M994" i="16"/>
  <c r="M1002" i="16"/>
  <c r="M1010" i="16"/>
  <c r="M1018" i="16"/>
  <c r="M1026" i="16"/>
  <c r="M1034" i="16"/>
  <c r="M1042" i="16"/>
  <c r="M1050" i="16"/>
  <c r="M1058" i="16"/>
  <c r="M1066" i="16"/>
  <c r="M1074" i="16"/>
  <c r="M1082" i="16"/>
  <c r="M1090" i="16"/>
  <c r="M1098" i="16"/>
  <c r="M1106" i="16"/>
  <c r="M1114" i="16"/>
  <c r="M1122" i="16"/>
  <c r="M1130" i="16"/>
  <c r="M1138" i="16"/>
  <c r="M1146" i="16"/>
  <c r="M1154" i="16"/>
  <c r="M1162" i="16"/>
  <c r="M1170" i="16"/>
  <c r="M1178" i="16"/>
  <c r="M1186" i="16"/>
  <c r="M1194" i="16"/>
  <c r="M1202" i="16"/>
  <c r="M1210" i="16"/>
  <c r="M1218" i="16"/>
  <c r="M1226" i="16"/>
  <c r="M1234" i="16"/>
  <c r="M1242" i="16"/>
  <c r="M1250" i="16"/>
  <c r="M1258" i="16"/>
  <c r="M1266" i="16"/>
  <c r="M1274" i="16"/>
  <c r="M1282" i="16"/>
  <c r="M1290" i="16"/>
  <c r="M1298" i="16"/>
  <c r="M1306" i="16"/>
  <c r="M1314" i="16"/>
  <c r="M1322" i="16"/>
  <c r="M1330" i="16"/>
  <c r="M1338" i="16"/>
  <c r="M1346" i="16"/>
  <c r="M1354" i="16"/>
  <c r="M1362" i="16"/>
  <c r="M1370" i="16"/>
  <c r="M1378" i="16"/>
  <c r="M1386" i="16"/>
  <c r="M1394" i="16"/>
  <c r="M1402" i="16"/>
  <c r="M1410" i="16"/>
  <c r="M1418" i="16"/>
  <c r="M1426" i="16"/>
  <c r="M1434" i="16"/>
  <c r="M1442" i="16"/>
  <c r="M1450" i="16"/>
  <c r="M1458" i="16"/>
  <c r="M1466" i="16"/>
  <c r="M1474" i="16"/>
  <c r="M1482" i="16"/>
  <c r="M1490" i="16"/>
  <c r="M1498" i="16"/>
  <c r="M1506" i="16"/>
  <c r="M1514" i="16"/>
  <c r="M1522" i="16"/>
  <c r="M1530" i="16"/>
  <c r="M1538" i="16"/>
  <c r="M1546" i="16"/>
  <c r="M1554" i="16"/>
  <c r="M1562" i="16"/>
  <c r="M1570" i="16"/>
  <c r="M1578" i="16"/>
  <c r="M1586" i="16"/>
  <c r="M1594" i="16"/>
  <c r="M1602" i="16"/>
  <c r="M1610" i="16"/>
  <c r="M1618" i="16"/>
  <c r="M1626" i="16"/>
  <c r="M1634" i="16"/>
  <c r="M1642" i="16"/>
  <c r="M1650" i="16"/>
  <c r="M1658" i="16"/>
  <c r="M1666" i="16"/>
  <c r="M1674" i="16"/>
  <c r="M1682" i="16"/>
  <c r="M1690" i="16"/>
  <c r="M1698" i="16"/>
  <c r="M1706" i="16"/>
  <c r="M1714" i="16"/>
  <c r="M1722" i="16"/>
  <c r="M1730" i="16"/>
  <c r="M1738" i="16"/>
  <c r="M1746" i="16"/>
  <c r="M1754" i="16"/>
  <c r="M1762" i="16"/>
  <c r="M1770" i="16"/>
  <c r="M1778" i="16"/>
  <c r="M1786" i="16"/>
  <c r="M1794" i="16"/>
  <c r="M1802" i="16"/>
  <c r="M1810" i="16"/>
  <c r="M1818" i="16"/>
  <c r="M1826" i="16"/>
  <c r="M1834" i="16"/>
  <c r="M1842" i="16"/>
  <c r="M1850" i="16"/>
  <c r="M1858" i="16"/>
  <c r="M1866" i="16"/>
  <c r="M1874" i="16"/>
  <c r="M1882" i="16"/>
  <c r="M1890" i="16"/>
  <c r="M1898" i="16"/>
  <c r="M1906" i="16"/>
  <c r="M1914" i="16"/>
  <c r="M1922" i="16"/>
  <c r="M1930" i="16"/>
  <c r="M1938" i="16"/>
  <c r="M1946" i="16"/>
  <c r="M1954" i="16"/>
  <c r="M1962" i="16"/>
  <c r="M1970" i="16"/>
  <c r="M1978" i="16"/>
  <c r="M1986" i="16"/>
  <c r="M1994" i="16"/>
  <c r="M2002" i="16"/>
  <c r="M2010" i="16"/>
  <c r="M2018" i="16"/>
  <c r="M2026" i="16"/>
  <c r="M2034" i="16"/>
  <c r="M2042" i="16"/>
  <c r="M2050" i="16"/>
  <c r="M2058" i="16"/>
  <c r="M2066" i="16"/>
  <c r="M2074" i="16"/>
  <c r="M2082" i="16"/>
  <c r="M2090" i="16"/>
  <c r="M2098" i="16"/>
  <c r="M2106" i="16"/>
  <c r="M2114" i="16"/>
  <c r="M2122" i="16"/>
  <c r="M2130" i="16"/>
  <c r="M2138" i="16"/>
  <c r="M2146" i="16"/>
  <c r="M2154" i="16"/>
  <c r="M2162" i="16"/>
  <c r="M2170" i="16"/>
  <c r="M2178" i="16"/>
  <c r="M2186" i="16"/>
  <c r="M2194" i="16"/>
  <c r="M2202" i="16"/>
  <c r="M2210" i="16"/>
  <c r="M2218" i="16"/>
  <c r="M2226" i="16"/>
  <c r="M2234" i="16"/>
  <c r="M2242" i="16"/>
  <c r="M2250" i="16"/>
  <c r="M2258" i="16"/>
  <c r="M2266" i="16"/>
  <c r="M2274" i="16"/>
  <c r="M2282" i="16"/>
  <c r="M2290" i="16"/>
  <c r="M2298" i="16"/>
  <c r="M2306" i="16"/>
  <c r="M2314" i="16"/>
  <c r="M2322" i="16"/>
  <c r="M2330" i="16"/>
  <c r="M2338" i="16"/>
  <c r="M44" i="16"/>
  <c r="M108" i="16"/>
  <c r="M163" i="16"/>
  <c r="M195" i="16"/>
  <c r="M227" i="16"/>
  <c r="M259" i="16"/>
  <c r="M291" i="16"/>
  <c r="M323" i="16"/>
  <c r="M355" i="16"/>
  <c r="M387" i="16"/>
  <c r="M419" i="16"/>
  <c r="M451" i="16"/>
  <c r="M483" i="16"/>
  <c r="M515" i="16"/>
  <c r="M547" i="16"/>
  <c r="M579" i="16"/>
  <c r="M611" i="16"/>
  <c r="M643" i="16"/>
  <c r="M675" i="16"/>
  <c r="M707" i="16"/>
  <c r="M739" i="16"/>
  <c r="M771" i="16"/>
  <c r="M795" i="16"/>
  <c r="M803" i="16"/>
  <c r="M811" i="16"/>
  <c r="M819" i="16"/>
  <c r="M827" i="16"/>
  <c r="M835" i="16"/>
  <c r="M843" i="16"/>
  <c r="M851" i="16"/>
  <c r="M859" i="16"/>
  <c r="M867" i="16"/>
  <c r="M875" i="16"/>
  <c r="M883" i="16"/>
  <c r="M891" i="16"/>
  <c r="M899" i="16"/>
  <c r="M907" i="16"/>
  <c r="M915" i="16"/>
  <c r="M923" i="16"/>
  <c r="M931" i="16"/>
  <c r="M939" i="16"/>
  <c r="M947" i="16"/>
  <c r="M955" i="16"/>
  <c r="M963" i="16"/>
  <c r="M971" i="16"/>
  <c r="M979" i="16"/>
  <c r="M987" i="16"/>
  <c r="M995" i="16"/>
  <c r="M1003" i="16"/>
  <c r="M1011" i="16"/>
  <c r="M1019" i="16"/>
  <c r="M1027" i="16"/>
  <c r="M1035" i="16"/>
  <c r="M1043" i="16"/>
  <c r="M1051" i="16"/>
  <c r="M1059" i="16"/>
  <c r="M1067" i="16"/>
  <c r="M1075" i="16"/>
  <c r="M1083" i="16"/>
  <c r="M1091" i="16"/>
  <c r="M1099" i="16"/>
  <c r="M1107" i="16"/>
  <c r="M1115" i="16"/>
  <c r="M1123" i="16"/>
  <c r="M1131" i="16"/>
  <c r="M1139" i="16"/>
  <c r="M1147" i="16"/>
  <c r="M1155" i="16"/>
  <c r="M1163" i="16"/>
  <c r="M1171" i="16"/>
  <c r="M1179" i="16"/>
  <c r="M1187" i="16"/>
  <c r="M1195" i="16"/>
  <c r="M1203" i="16"/>
  <c r="M1211" i="16"/>
  <c r="M1219" i="16"/>
  <c r="M1227" i="16"/>
  <c r="M1235" i="16"/>
  <c r="M1243" i="16"/>
  <c r="M1251" i="16"/>
  <c r="M1259" i="16"/>
  <c r="M1267" i="16"/>
  <c r="M1275" i="16"/>
  <c r="M1283" i="16"/>
  <c r="M1291" i="16"/>
  <c r="M1299" i="16"/>
  <c r="M1307" i="16"/>
  <c r="M1315" i="16"/>
  <c r="M1323" i="16"/>
  <c r="M1331" i="16"/>
  <c r="M1339" i="16"/>
  <c r="M1347" i="16"/>
  <c r="M1355" i="16"/>
  <c r="M1363" i="16"/>
  <c r="M1371" i="16"/>
  <c r="M1379" i="16"/>
  <c r="M1387" i="16"/>
  <c r="M1395" i="16"/>
  <c r="M1403" i="16"/>
  <c r="M1411" i="16"/>
  <c r="M1419" i="16"/>
  <c r="M1427" i="16"/>
  <c r="M1435" i="16"/>
  <c r="M1443" i="16"/>
  <c r="M1451" i="16"/>
  <c r="M1459" i="16"/>
  <c r="M1467" i="16"/>
  <c r="M1475" i="16"/>
  <c r="M1483" i="16"/>
  <c r="M1491" i="16"/>
  <c r="M1499" i="16"/>
  <c r="M1507" i="16"/>
  <c r="M1515" i="16"/>
  <c r="M1523" i="16"/>
  <c r="M1531" i="16"/>
  <c r="M1539" i="16"/>
  <c r="M1547" i="16"/>
  <c r="M1555" i="16"/>
  <c r="M1563" i="16"/>
  <c r="M1571" i="16"/>
  <c r="M1579" i="16"/>
  <c r="M1587" i="16"/>
  <c r="M1595" i="16"/>
  <c r="M1603" i="16"/>
  <c r="M1611" i="16"/>
  <c r="M1619" i="16"/>
  <c r="M1627" i="16"/>
  <c r="M1635" i="16"/>
  <c r="M1643" i="16"/>
  <c r="M1651" i="16"/>
  <c r="M1659" i="16"/>
  <c r="M1667" i="16"/>
  <c r="M1675" i="16"/>
  <c r="M1683" i="16"/>
  <c r="M1691" i="16"/>
  <c r="M1699" i="16"/>
  <c r="M1707" i="16"/>
  <c r="M1715" i="16"/>
  <c r="M1723" i="16"/>
  <c r="M1731" i="16"/>
  <c r="M1739" i="16"/>
  <c r="M1747" i="16"/>
  <c r="M1755" i="16"/>
  <c r="M1763" i="16"/>
  <c r="M1771" i="16"/>
  <c r="M1779" i="16"/>
  <c r="M1787" i="16"/>
  <c r="M1795" i="16"/>
  <c r="M1803" i="16"/>
  <c r="M1811" i="16"/>
  <c r="M1819" i="16"/>
  <c r="M1827" i="16"/>
  <c r="M1835" i="16"/>
  <c r="M1843" i="16"/>
  <c r="M1851" i="16"/>
  <c r="M1859" i="16"/>
  <c r="M1867" i="16"/>
  <c r="M1875" i="16"/>
  <c r="M1883" i="16"/>
  <c r="M1891" i="16"/>
  <c r="M1899" i="16"/>
  <c r="M1907" i="16"/>
  <c r="M1915" i="16"/>
  <c r="M1923" i="16"/>
  <c r="M1931" i="16"/>
  <c r="M1939" i="16"/>
  <c r="M1947" i="16"/>
  <c r="M1955" i="16"/>
  <c r="M1963" i="16"/>
  <c r="M1971" i="16"/>
  <c r="M1979" i="16"/>
  <c r="M1987" i="16"/>
  <c r="M1995" i="16"/>
  <c r="M2003" i="16"/>
  <c r="M2011" i="16"/>
  <c r="M2019" i="16"/>
  <c r="M2027" i="16"/>
  <c r="M2035" i="16"/>
  <c r="M2043" i="16"/>
  <c r="M2051" i="16"/>
  <c r="M2059" i="16"/>
  <c r="M2067" i="16"/>
  <c r="M2075" i="16"/>
  <c r="M2083" i="16"/>
  <c r="M2091" i="16"/>
  <c r="M2099" i="16"/>
  <c r="M2107" i="16"/>
  <c r="M2115" i="16"/>
  <c r="M2123" i="16"/>
  <c r="M2131" i="16"/>
  <c r="M2139" i="16"/>
  <c r="M2147" i="16"/>
  <c r="M2155" i="16"/>
  <c r="M2163" i="16"/>
  <c r="M2171" i="16"/>
  <c r="M2179" i="16"/>
  <c r="M2187" i="16"/>
  <c r="M2195" i="16"/>
  <c r="M2203" i="16"/>
  <c r="M2211" i="16"/>
  <c r="M2219" i="16"/>
  <c r="M2227" i="16"/>
  <c r="M2235" i="16"/>
  <c r="M2243" i="16"/>
  <c r="M2251" i="16"/>
  <c r="M2259" i="16"/>
  <c r="M2267" i="16"/>
  <c r="M2275" i="16"/>
  <c r="M2283" i="16"/>
  <c r="M2291" i="16"/>
  <c r="M2299" i="16"/>
  <c r="M2307" i="16"/>
  <c r="M2315" i="16"/>
  <c r="M2323" i="16"/>
  <c r="M2331" i="16"/>
  <c r="M2339" i="16"/>
  <c r="M155" i="16"/>
  <c r="M411" i="16"/>
  <c r="M667" i="16"/>
  <c r="M825" i="16"/>
  <c r="M889" i="16"/>
  <c r="M953" i="16"/>
  <c r="M1017" i="16"/>
  <c r="M1081" i="16"/>
  <c r="M1145" i="16"/>
  <c r="M1209" i="16"/>
  <c r="M1273" i="16"/>
  <c r="M1337" i="16"/>
  <c r="M1401" i="16"/>
  <c r="M1465" i="16"/>
  <c r="M1529" i="16"/>
  <c r="M1593" i="16"/>
  <c r="M1657" i="16"/>
  <c r="M1721" i="16"/>
  <c r="M1785" i="16"/>
  <c r="M1849" i="16"/>
  <c r="M1913" i="16"/>
  <c r="M1977" i="16"/>
  <c r="M2041" i="16"/>
  <c r="M2105" i="16"/>
  <c r="M2169" i="16"/>
  <c r="M2233" i="16"/>
  <c r="M2297" i="16"/>
  <c r="M187" i="16"/>
  <c r="M443" i="16"/>
  <c r="M699" i="16"/>
  <c r="M833" i="16"/>
  <c r="M897" i="16"/>
  <c r="M961" i="16"/>
  <c r="M1025" i="16"/>
  <c r="M1089" i="16"/>
  <c r="M1153" i="16"/>
  <c r="M1217" i="16"/>
  <c r="M1281" i="16"/>
  <c r="M1345" i="16"/>
  <c r="M1409" i="16"/>
  <c r="M1473" i="16"/>
  <c r="M1537" i="16"/>
  <c r="M1601" i="16"/>
  <c r="M1665" i="16"/>
  <c r="M1729" i="16"/>
  <c r="M1793" i="16"/>
  <c r="M1857" i="16"/>
  <c r="M1921" i="16"/>
  <c r="M1985" i="16"/>
  <c r="M2049" i="16"/>
  <c r="M2113" i="16"/>
  <c r="M2177" i="16"/>
  <c r="M2241" i="16"/>
  <c r="M2305" i="16"/>
  <c r="M219" i="16"/>
  <c r="M475" i="16"/>
  <c r="M731" i="16"/>
  <c r="M841" i="16"/>
  <c r="M905" i="16"/>
  <c r="M969" i="16"/>
  <c r="M1033" i="16"/>
  <c r="M1097" i="16"/>
  <c r="M1161" i="16"/>
  <c r="M1225" i="16"/>
  <c r="M1289" i="16"/>
  <c r="M1353" i="16"/>
  <c r="M1417" i="16"/>
  <c r="M1481" i="16"/>
  <c r="M1545" i="16"/>
  <c r="M1609" i="16"/>
  <c r="M1673" i="16"/>
  <c r="M1737" i="16"/>
  <c r="M1801" i="16"/>
  <c r="M1865" i="16"/>
  <c r="M1929" i="16"/>
  <c r="M1993" i="16"/>
  <c r="M2057" i="16"/>
  <c r="M2121" i="16"/>
  <c r="M2185" i="16"/>
  <c r="M2249" i="16"/>
  <c r="M2313" i="16"/>
  <c r="M251" i="16"/>
  <c r="M507" i="16"/>
  <c r="M763" i="16"/>
  <c r="M849" i="16"/>
  <c r="M913" i="16"/>
  <c r="M977" i="16"/>
  <c r="M1041" i="16"/>
  <c r="M1105" i="16"/>
  <c r="M1169" i="16"/>
  <c r="M1233" i="16"/>
  <c r="M1297" i="16"/>
  <c r="M1361" i="16"/>
  <c r="M1425" i="16"/>
  <c r="M1489" i="16"/>
  <c r="M1553" i="16"/>
  <c r="M1617" i="16"/>
  <c r="M1681" i="16"/>
  <c r="M1745" i="16"/>
  <c r="M1809" i="16"/>
  <c r="M1873" i="16"/>
  <c r="M1937" i="16"/>
  <c r="M2001" i="16"/>
  <c r="M2065" i="16"/>
  <c r="M2129" i="16"/>
  <c r="M2193" i="16"/>
  <c r="M2257" i="16"/>
  <c r="M2321" i="16"/>
  <c r="M283" i="16"/>
  <c r="M539" i="16"/>
  <c r="M793" i="16"/>
  <c r="M857" i="16"/>
  <c r="M921" i="16"/>
  <c r="M985" i="16"/>
  <c r="M1049" i="16"/>
  <c r="M1113" i="16"/>
  <c r="M1177" i="16"/>
  <c r="M1241" i="16"/>
  <c r="M1305" i="16"/>
  <c r="M1369" i="16"/>
  <c r="M1433" i="16"/>
  <c r="M1497" i="16"/>
  <c r="M1561" i="16"/>
  <c r="M1625" i="16"/>
  <c r="M1689" i="16"/>
  <c r="M1753" i="16"/>
  <c r="M1817" i="16"/>
  <c r="M1881" i="16"/>
  <c r="M1945" i="16"/>
  <c r="M2009" i="16"/>
  <c r="M2073" i="16"/>
  <c r="M2137" i="16"/>
  <c r="M2201" i="16"/>
  <c r="M2265" i="16"/>
  <c r="M2329" i="16"/>
  <c r="M315" i="16"/>
  <c r="M571" i="16"/>
  <c r="M801" i="16"/>
  <c r="M865" i="16"/>
  <c r="M929" i="16"/>
  <c r="M993" i="16"/>
  <c r="M1057" i="16"/>
  <c r="M1121" i="16"/>
  <c r="M1185" i="16"/>
  <c r="M1249" i="16"/>
  <c r="M1313" i="16"/>
  <c r="M1377" i="16"/>
  <c r="M1441" i="16"/>
  <c r="M1505" i="16"/>
  <c r="M1569" i="16"/>
  <c r="M1633" i="16"/>
  <c r="M1697" i="16"/>
  <c r="M1761" i="16"/>
  <c r="M1825" i="16"/>
  <c r="M1889" i="16"/>
  <c r="M1953" i="16"/>
  <c r="M2017" i="16"/>
  <c r="M2081" i="16"/>
  <c r="M2145" i="16"/>
  <c r="M2209" i="16"/>
  <c r="M2273" i="16"/>
  <c r="M2337" i="16"/>
  <c r="M28" i="16"/>
  <c r="M347" i="16"/>
  <c r="M603" i="16"/>
  <c r="M809" i="16"/>
  <c r="M873" i="16"/>
  <c r="M937" i="16"/>
  <c r="M1001" i="16"/>
  <c r="M1065" i="16"/>
  <c r="M1129" i="16"/>
  <c r="M1193" i="16"/>
  <c r="M1257" i="16"/>
  <c r="M1321" i="16"/>
  <c r="M1385" i="16"/>
  <c r="M1449" i="16"/>
  <c r="M1513" i="16"/>
  <c r="M1577" i="16"/>
  <c r="M1641" i="16"/>
  <c r="M1705" i="16"/>
  <c r="M1769" i="16"/>
  <c r="M1833" i="16"/>
  <c r="M1897" i="16"/>
  <c r="M1961" i="16"/>
  <c r="M2025" i="16"/>
  <c r="M2089" i="16"/>
  <c r="M2153" i="16"/>
  <c r="M2217" i="16"/>
  <c r="M2281" i="16"/>
  <c r="M92" i="16"/>
  <c r="M379" i="16"/>
  <c r="M635" i="16"/>
  <c r="N635" i="16" s="1"/>
  <c r="M817" i="16"/>
  <c r="M881" i="16"/>
  <c r="M945" i="16"/>
  <c r="M1009" i="16"/>
  <c r="M1073" i="16"/>
  <c r="M1137" i="16"/>
  <c r="M1201" i="16"/>
  <c r="M1265" i="16"/>
  <c r="M1329" i="16"/>
  <c r="M1393" i="16"/>
  <c r="M1457" i="16"/>
  <c r="M1521" i="16"/>
  <c r="M1585" i="16"/>
  <c r="M1649" i="16"/>
  <c r="M1713" i="16"/>
  <c r="M1777" i="16"/>
  <c r="M1841" i="16"/>
  <c r="M1905" i="16"/>
  <c r="M1969" i="16"/>
  <c r="M2033" i="16"/>
  <c r="M2097" i="16"/>
  <c r="M2161" i="16"/>
  <c r="M2225" i="16"/>
  <c r="M2289" i="16"/>
  <c r="AE7" i="16"/>
  <c r="AE15" i="16"/>
  <c r="AE23" i="16"/>
  <c r="AE31" i="16"/>
  <c r="AE39" i="16"/>
  <c r="AE47" i="16"/>
  <c r="AE55" i="16"/>
  <c r="AE63" i="16"/>
  <c r="AF63" i="16" s="1"/>
  <c r="AE71" i="16"/>
  <c r="AE79" i="16"/>
  <c r="AE87" i="16"/>
  <c r="AE95" i="16"/>
  <c r="AE103" i="16"/>
  <c r="AE111" i="16"/>
  <c r="AE119" i="16"/>
  <c r="AE127" i="16"/>
  <c r="AF127" i="16" s="1"/>
  <c r="AE135" i="16"/>
  <c r="AE143" i="16"/>
  <c r="AE151" i="16"/>
  <c r="AE159" i="16"/>
  <c r="AE167" i="16"/>
  <c r="AE175" i="16"/>
  <c r="AE183" i="16"/>
  <c r="AE191" i="16"/>
  <c r="AF191" i="16" s="1"/>
  <c r="AE199" i="16"/>
  <c r="AE207" i="16"/>
  <c r="AE215" i="16"/>
  <c r="AE223" i="16"/>
  <c r="AE231" i="16"/>
  <c r="AE239" i="16"/>
  <c r="AE247" i="16"/>
  <c r="AE255" i="16"/>
  <c r="AF255" i="16" s="1"/>
  <c r="AE263" i="16"/>
  <c r="AE271" i="16"/>
  <c r="AE279" i="16"/>
  <c r="AE287" i="16"/>
  <c r="AE295" i="16"/>
  <c r="AE303" i="16"/>
  <c r="AE311" i="16"/>
  <c r="AE319" i="16"/>
  <c r="AF319" i="16" s="1"/>
  <c r="AE327" i="16"/>
  <c r="AE335" i="16"/>
  <c r="AE343" i="16"/>
  <c r="AE351" i="16"/>
  <c r="AE359" i="16"/>
  <c r="AE367" i="16"/>
  <c r="AE375" i="16"/>
  <c r="AE383" i="16"/>
  <c r="AF383" i="16" s="1"/>
  <c r="AE391" i="16"/>
  <c r="AE399" i="16"/>
  <c r="AE407" i="16"/>
  <c r="AE415" i="16"/>
  <c r="AE423" i="16"/>
  <c r="AE431" i="16"/>
  <c r="AE8" i="16"/>
  <c r="AE16" i="16"/>
  <c r="AF16" i="16" s="1"/>
  <c r="AE24" i="16"/>
  <c r="AE32" i="16"/>
  <c r="AE40" i="16"/>
  <c r="AE48" i="16"/>
  <c r="AE56" i="16"/>
  <c r="AE64" i="16"/>
  <c r="AE72" i="16"/>
  <c r="AE80" i="16"/>
  <c r="AF80" i="16" s="1"/>
  <c r="AE88" i="16"/>
  <c r="AE96" i="16"/>
  <c r="AE104" i="16"/>
  <c r="AE112" i="16"/>
  <c r="AE120" i="16"/>
  <c r="AE128" i="16"/>
  <c r="AE136" i="16"/>
  <c r="AE144" i="16"/>
  <c r="AF144" i="16" s="1"/>
  <c r="AE152" i="16"/>
  <c r="AE9" i="16"/>
  <c r="AE17" i="16"/>
  <c r="AE25" i="16"/>
  <c r="AE33" i="16"/>
  <c r="AE41" i="16"/>
  <c r="AE49" i="16"/>
  <c r="AE57" i="16"/>
  <c r="AF57" i="16" s="1"/>
  <c r="AE65" i="16"/>
  <c r="AE73" i="16"/>
  <c r="AE81" i="16"/>
  <c r="AE89" i="16"/>
  <c r="AE97" i="16"/>
  <c r="AE10" i="16"/>
  <c r="AE18" i="16"/>
  <c r="AE26" i="16"/>
  <c r="AF26" i="16" s="1"/>
  <c r="AE34" i="16"/>
  <c r="AE42" i="16"/>
  <c r="AE50" i="16"/>
  <c r="AE58" i="16"/>
  <c r="AE66" i="16"/>
  <c r="AE74" i="16"/>
  <c r="AE82" i="16"/>
  <c r="AE90" i="16"/>
  <c r="AF90" i="16" s="1"/>
  <c r="AE11" i="16"/>
  <c r="AE19" i="16"/>
  <c r="AE27" i="16"/>
  <c r="AE35" i="16"/>
  <c r="AE43" i="16"/>
  <c r="AE51" i="16"/>
  <c r="AE59" i="16"/>
  <c r="AE67" i="16"/>
  <c r="AF67" i="16" s="1"/>
  <c r="AE75" i="16"/>
  <c r="AE83" i="16"/>
  <c r="AE91" i="16"/>
  <c r="AE99" i="16"/>
  <c r="AE107" i="16"/>
  <c r="AE115" i="16"/>
  <c r="AE123" i="16"/>
  <c r="AE131" i="16"/>
  <c r="AF131" i="16" s="1"/>
  <c r="AE139" i="16"/>
  <c r="AE147" i="16"/>
  <c r="AE155" i="16"/>
  <c r="AE163" i="16"/>
  <c r="AE171" i="16"/>
  <c r="AE179" i="16"/>
  <c r="AE187" i="16"/>
  <c r="AE195" i="16"/>
  <c r="AF195" i="16" s="1"/>
  <c r="AE203" i="16"/>
  <c r="AE211" i="16"/>
  <c r="AE219" i="16"/>
  <c r="AE227" i="16"/>
  <c r="AE235" i="16"/>
  <c r="AE243" i="16"/>
  <c r="AE251" i="16"/>
  <c r="AE259" i="16"/>
  <c r="AF259" i="16" s="1"/>
  <c r="AE267" i="16"/>
  <c r="AE275" i="16"/>
  <c r="AE283" i="16"/>
  <c r="AE291" i="16"/>
  <c r="AE299" i="16"/>
  <c r="AE307" i="16"/>
  <c r="AE315" i="16"/>
  <c r="AE323" i="16"/>
  <c r="AF323" i="16" s="1"/>
  <c r="AE331" i="16"/>
  <c r="AE339" i="16"/>
  <c r="AE347" i="16"/>
  <c r="AE355" i="16"/>
  <c r="AE363" i="16"/>
  <c r="AE371" i="16"/>
  <c r="AE379" i="16"/>
  <c r="AE387" i="16"/>
  <c r="AF387" i="16" s="1"/>
  <c r="AE395" i="16"/>
  <c r="AE403" i="16"/>
  <c r="AE411" i="16"/>
  <c r="AE419" i="16"/>
  <c r="AE427" i="16"/>
  <c r="AE435" i="16"/>
  <c r="AE443" i="16"/>
  <c r="AE451" i="16"/>
  <c r="AF451" i="16" s="1"/>
  <c r="AE459" i="16"/>
  <c r="AE467" i="16"/>
  <c r="AE475" i="16"/>
  <c r="AE483" i="16"/>
  <c r="AE491" i="16"/>
  <c r="AE499" i="16"/>
  <c r="AE507" i="16"/>
  <c r="AE515" i="16"/>
  <c r="AF515" i="16" s="1"/>
  <c r="AE523" i="16"/>
  <c r="AE531" i="16"/>
  <c r="AE539" i="16"/>
  <c r="AE547" i="16"/>
  <c r="AE555" i="16"/>
  <c r="AE563" i="16"/>
  <c r="AE571" i="16"/>
  <c r="AE579" i="16"/>
  <c r="AF579" i="16" s="1"/>
  <c r="AE587" i="16"/>
  <c r="AE595" i="16"/>
  <c r="AE603" i="16"/>
  <c r="AE611" i="16"/>
  <c r="AE619" i="16"/>
  <c r="AE627" i="16"/>
  <c r="AE635" i="16"/>
  <c r="AE643" i="16"/>
  <c r="AF643" i="16" s="1"/>
  <c r="AE651" i="16"/>
  <c r="AE659" i="16"/>
  <c r="AE667" i="16"/>
  <c r="AE675" i="16"/>
  <c r="AE683" i="16"/>
  <c r="AE691" i="16"/>
  <c r="AE699" i="16"/>
  <c r="AE12" i="16"/>
  <c r="AF12" i="16" s="1"/>
  <c r="AE20" i="16"/>
  <c r="AE28" i="16"/>
  <c r="AE36" i="16"/>
  <c r="AE44" i="16"/>
  <c r="AE52" i="16"/>
  <c r="AE60" i="16"/>
  <c r="AE68" i="16"/>
  <c r="AE76" i="16"/>
  <c r="AF76" i="16" s="1"/>
  <c r="AE84" i="16"/>
  <c r="AE92" i="16"/>
  <c r="AE100" i="16"/>
  <c r="AE108" i="16"/>
  <c r="AE116" i="16"/>
  <c r="AE124" i="16"/>
  <c r="AE132" i="16"/>
  <c r="AE140" i="16"/>
  <c r="AF140" i="16" s="1"/>
  <c r="AE148" i="16"/>
  <c r="AE156" i="16"/>
  <c r="AE164" i="16"/>
  <c r="AE172" i="16"/>
  <c r="AE180" i="16"/>
  <c r="AE188" i="16"/>
  <c r="AE196" i="16"/>
  <c r="AE204" i="16"/>
  <c r="AF204" i="16" s="1"/>
  <c r="AE212" i="16"/>
  <c r="AE220" i="16"/>
  <c r="AE228" i="16"/>
  <c r="AE236" i="16"/>
  <c r="AE244" i="16"/>
  <c r="AE252" i="16"/>
  <c r="AE260" i="16"/>
  <c r="AE268" i="16"/>
  <c r="AF268" i="16" s="1"/>
  <c r="AE276" i="16"/>
  <c r="AE284" i="16"/>
  <c r="AE292" i="16"/>
  <c r="AE300" i="16"/>
  <c r="AE308" i="16"/>
  <c r="AE316" i="16"/>
  <c r="AE324" i="16"/>
  <c r="AE332" i="16"/>
  <c r="AF332" i="16" s="1"/>
  <c r="AE340" i="16"/>
  <c r="AE348" i="16"/>
  <c r="AE356" i="16"/>
  <c r="AE364" i="16"/>
  <c r="AE372" i="16"/>
  <c r="AE380" i="16"/>
  <c r="AE388" i="16"/>
  <c r="AE396" i="16"/>
  <c r="AF396" i="16" s="1"/>
  <c r="AE404" i="16"/>
  <c r="AE412" i="16"/>
  <c r="AE420" i="16"/>
  <c r="AE428" i="16"/>
  <c r="AE436" i="16"/>
  <c r="AE13" i="16"/>
  <c r="AE21" i="16"/>
  <c r="AE29" i="16"/>
  <c r="AF29" i="16" s="1"/>
  <c r="AE37" i="16"/>
  <c r="AE45" i="16"/>
  <c r="AE53" i="16"/>
  <c r="AE61" i="16"/>
  <c r="AE69" i="16"/>
  <c r="AE77" i="16"/>
  <c r="AE85" i="16"/>
  <c r="AE93" i="16"/>
  <c r="AF93" i="16" s="1"/>
  <c r="AE101" i="16"/>
  <c r="AE109" i="16"/>
  <c r="AE117" i="16"/>
  <c r="AE125" i="16"/>
  <c r="AE133" i="16"/>
  <c r="AE141" i="16"/>
  <c r="AE149" i="16"/>
  <c r="AE6" i="16"/>
  <c r="AF6" i="16" s="1"/>
  <c r="AE14" i="16"/>
  <c r="AE22" i="16"/>
  <c r="AE30" i="16"/>
  <c r="AE38" i="16"/>
  <c r="AE46" i="16"/>
  <c r="AE54" i="16"/>
  <c r="AE62" i="16"/>
  <c r="AE70" i="16"/>
  <c r="AF70" i="16" s="1"/>
  <c r="AE78" i="16"/>
  <c r="AE86" i="16"/>
  <c r="AE94" i="16"/>
  <c r="AE102" i="16"/>
  <c r="AE110" i="16"/>
  <c r="AE118" i="16"/>
  <c r="AE126" i="16"/>
  <c r="AE134" i="16"/>
  <c r="AF134" i="16" s="1"/>
  <c r="AE142" i="16"/>
  <c r="AE150" i="16"/>
  <c r="AE158" i="16"/>
  <c r="AE166" i="16"/>
  <c r="AE174" i="16"/>
  <c r="AE182" i="16"/>
  <c r="AE190" i="16"/>
  <c r="AE198" i="16"/>
  <c r="AF198" i="16" s="1"/>
  <c r="AE206" i="16"/>
  <c r="AE214" i="16"/>
  <c r="AE222" i="16"/>
  <c r="AE230" i="16"/>
  <c r="AE238" i="16"/>
  <c r="AE246" i="16"/>
  <c r="AE254" i="16"/>
  <c r="AE262" i="16"/>
  <c r="AF262" i="16" s="1"/>
  <c r="AE270" i="16"/>
  <c r="AE278" i="16"/>
  <c r="AE286" i="16"/>
  <c r="AE294" i="16"/>
  <c r="AE302" i="16"/>
  <c r="AE310" i="16"/>
  <c r="AE318" i="16"/>
  <c r="AE326" i="16"/>
  <c r="AF326" i="16" s="1"/>
  <c r="AE334" i="16"/>
  <c r="AE342" i="16"/>
  <c r="AE350" i="16"/>
  <c r="AE358" i="16"/>
  <c r="AE366" i="16"/>
  <c r="AE374" i="16"/>
  <c r="AE382" i="16"/>
  <c r="AE390" i="16"/>
  <c r="AF390" i="16" s="1"/>
  <c r="AE398" i="16"/>
  <c r="AE406" i="16"/>
  <c r="AE414" i="16"/>
  <c r="AE422" i="16"/>
  <c r="AE430" i="16"/>
  <c r="AE438" i="16"/>
  <c r="AE446" i="16"/>
  <c r="AE454" i="16"/>
  <c r="AF454" i="16" s="1"/>
  <c r="AE462" i="16"/>
  <c r="AE470" i="16"/>
  <c r="AE478" i="16"/>
  <c r="AE486" i="16"/>
  <c r="AE494" i="16"/>
  <c r="AE502" i="16"/>
  <c r="AE510" i="16"/>
  <c r="AE518" i="16"/>
  <c r="AF518" i="16" s="1"/>
  <c r="AE526" i="16"/>
  <c r="AE534" i="16"/>
  <c r="AE542" i="16"/>
  <c r="AE550" i="16"/>
  <c r="AE558" i="16"/>
  <c r="AE566" i="16"/>
  <c r="AE574" i="16"/>
  <c r="AE582" i="16"/>
  <c r="AF582" i="16" s="1"/>
  <c r="AE590" i="16"/>
  <c r="AE598" i="16"/>
  <c r="AE606" i="16"/>
  <c r="AE614" i="16"/>
  <c r="AE622" i="16"/>
  <c r="AE630" i="16"/>
  <c r="AE638" i="16"/>
  <c r="AE646" i="16"/>
  <c r="AF646" i="16" s="1"/>
  <c r="AE654" i="16"/>
  <c r="AE662" i="16"/>
  <c r="AE670" i="16"/>
  <c r="AE678" i="16"/>
  <c r="AE686" i="16"/>
  <c r="AE694" i="16"/>
  <c r="AE702" i="16"/>
  <c r="AE98" i="16"/>
  <c r="AF98" i="16" s="1"/>
  <c r="AE130" i="16"/>
  <c r="AE160" i="16"/>
  <c r="AE176" i="16"/>
  <c r="AE192" i="16"/>
  <c r="AE208" i="16"/>
  <c r="AE224" i="16"/>
  <c r="AE240" i="16"/>
  <c r="AE256" i="16"/>
  <c r="AF256" i="16" s="1"/>
  <c r="AE272" i="16"/>
  <c r="AE288" i="16"/>
  <c r="AE304" i="16"/>
  <c r="AE320" i="16"/>
  <c r="AE336" i="16"/>
  <c r="AE352" i="16"/>
  <c r="AE368" i="16"/>
  <c r="AE384" i="16"/>
  <c r="AF384" i="16" s="1"/>
  <c r="AE400" i="16"/>
  <c r="AE416" i="16"/>
  <c r="AE432" i="16"/>
  <c r="AE444" i="16"/>
  <c r="AE455" i="16"/>
  <c r="AE465" i="16"/>
  <c r="AE476" i="16"/>
  <c r="AE487" i="16"/>
  <c r="AF487" i="16" s="1"/>
  <c r="AE497" i="16"/>
  <c r="AE508" i="16"/>
  <c r="AE519" i="16"/>
  <c r="AE529" i="16"/>
  <c r="AE540" i="16"/>
  <c r="AE551" i="16"/>
  <c r="AE561" i="16"/>
  <c r="AE572" i="16"/>
  <c r="AF572" i="16" s="1"/>
  <c r="AE583" i="16"/>
  <c r="AE593" i="16"/>
  <c r="AE604" i="16"/>
  <c r="AE615" i="16"/>
  <c r="AE625" i="16"/>
  <c r="AE636" i="16"/>
  <c r="AE647" i="16"/>
  <c r="AE657" i="16"/>
  <c r="AF657" i="16" s="1"/>
  <c r="AE668" i="16"/>
  <c r="AE679" i="16"/>
  <c r="AE689" i="16"/>
  <c r="AE700" i="16"/>
  <c r="AE709" i="16"/>
  <c r="AE717" i="16"/>
  <c r="AE725" i="16"/>
  <c r="AE733" i="16"/>
  <c r="AF733" i="16" s="1"/>
  <c r="AE741" i="16"/>
  <c r="AE749" i="16"/>
  <c r="AE757" i="16"/>
  <c r="AE765" i="16"/>
  <c r="AE773" i="16"/>
  <c r="AE781" i="16"/>
  <c r="AE789" i="16"/>
  <c r="AE797" i="16"/>
  <c r="AF797" i="16" s="1"/>
  <c r="AE805" i="16"/>
  <c r="AE813" i="16"/>
  <c r="AE821" i="16"/>
  <c r="AE829" i="16"/>
  <c r="AE837" i="16"/>
  <c r="AE845" i="16"/>
  <c r="AE853" i="16"/>
  <c r="AE861" i="16"/>
  <c r="AF861" i="16" s="1"/>
  <c r="AE869" i="16"/>
  <c r="AE877" i="16"/>
  <c r="AE885" i="16"/>
  <c r="AE893" i="16"/>
  <c r="AE901" i="16"/>
  <c r="AE909" i="16"/>
  <c r="AE917" i="16"/>
  <c r="AE925" i="16"/>
  <c r="AF925" i="16" s="1"/>
  <c r="AE933" i="16"/>
  <c r="AE941" i="16"/>
  <c r="AE949" i="16"/>
  <c r="AE957" i="16"/>
  <c r="AE965" i="16"/>
  <c r="AE973" i="16"/>
  <c r="AE981" i="16"/>
  <c r="AE989" i="16"/>
  <c r="AF989" i="16" s="1"/>
  <c r="AE997" i="16"/>
  <c r="AE1005" i="16"/>
  <c r="AE1013" i="16"/>
  <c r="AE1021" i="16"/>
  <c r="AE1029" i="16"/>
  <c r="AE1037" i="16"/>
  <c r="AE1045" i="16"/>
  <c r="AE1053" i="16"/>
  <c r="AF1053" i="16" s="1"/>
  <c r="AE1061" i="16"/>
  <c r="AE1069" i="16"/>
  <c r="AE1077" i="16"/>
  <c r="AE1085" i="16"/>
  <c r="AE1093" i="16"/>
  <c r="AE1101" i="16"/>
  <c r="AE1109" i="16"/>
  <c r="AE1117" i="16"/>
  <c r="AF1117" i="16" s="1"/>
  <c r="AE1125" i="16"/>
  <c r="AE1133" i="16"/>
  <c r="AE1141" i="16"/>
  <c r="AE1149" i="16"/>
  <c r="AE1157" i="16"/>
  <c r="AE1165" i="16"/>
  <c r="AE1173" i="16"/>
  <c r="AE1181" i="16"/>
  <c r="AF1181" i="16" s="1"/>
  <c r="AE1189" i="16"/>
  <c r="AE1197" i="16"/>
  <c r="AE1205" i="16"/>
  <c r="AE1213" i="16"/>
  <c r="AE1221" i="16"/>
  <c r="AE1229" i="16"/>
  <c r="AE1237" i="16"/>
  <c r="AE1245" i="16"/>
  <c r="AF1245" i="16" s="1"/>
  <c r="AE1253" i="16"/>
  <c r="AE1261" i="16"/>
  <c r="AE1269" i="16"/>
  <c r="AE1277" i="16"/>
  <c r="AE1285" i="16"/>
  <c r="AE1293" i="16"/>
  <c r="AE1301" i="16"/>
  <c r="AE1309" i="16"/>
  <c r="AF1309" i="16" s="1"/>
  <c r="AE1317" i="16"/>
  <c r="AE1325" i="16"/>
  <c r="AE1333" i="16"/>
  <c r="AE1341" i="16"/>
  <c r="AE1349" i="16"/>
  <c r="AE1357" i="16"/>
  <c r="AE1365" i="16"/>
  <c r="AE1373" i="16"/>
  <c r="AF1373" i="16" s="1"/>
  <c r="AE1381" i="16"/>
  <c r="AE1389" i="16"/>
  <c r="AE1397" i="16"/>
  <c r="AE1405" i="16"/>
  <c r="AE1413" i="16"/>
  <c r="AE1421" i="16"/>
  <c r="AE1429" i="16"/>
  <c r="AE1437" i="16"/>
  <c r="AF1437" i="16" s="1"/>
  <c r="AE105" i="16"/>
  <c r="AE137" i="16"/>
  <c r="AE161" i="16"/>
  <c r="AE177" i="16"/>
  <c r="AE193" i="16"/>
  <c r="AE209" i="16"/>
  <c r="AE225" i="16"/>
  <c r="AE241" i="16"/>
  <c r="AF241" i="16" s="1"/>
  <c r="AE257" i="16"/>
  <c r="AE273" i="16"/>
  <c r="AE289" i="16"/>
  <c r="AE305" i="16"/>
  <c r="AE321" i="16"/>
  <c r="AE337" i="16"/>
  <c r="AE353" i="16"/>
  <c r="AE369" i="16"/>
  <c r="AF369" i="16" s="1"/>
  <c r="AE385" i="16"/>
  <c r="AE401" i="16"/>
  <c r="AE417" i="16"/>
  <c r="AE433" i="16"/>
  <c r="AE445" i="16"/>
  <c r="AE456" i="16"/>
  <c r="AE466" i="16"/>
  <c r="AE477" i="16"/>
  <c r="AF477" i="16" s="1"/>
  <c r="AE488" i="16"/>
  <c r="AE498" i="16"/>
  <c r="AE509" i="16"/>
  <c r="AE520" i="16"/>
  <c r="AE530" i="16"/>
  <c r="AE541" i="16"/>
  <c r="AE552" i="16"/>
  <c r="AE562" i="16"/>
  <c r="AF562" i="16" s="1"/>
  <c r="AE573" i="16"/>
  <c r="AE584" i="16"/>
  <c r="AE594" i="16"/>
  <c r="AE605" i="16"/>
  <c r="AE616" i="16"/>
  <c r="AE626" i="16"/>
  <c r="AE637" i="16"/>
  <c r="AE648" i="16"/>
  <c r="AF648" i="16" s="1"/>
  <c r="AE658" i="16"/>
  <c r="AE669" i="16"/>
  <c r="AE680" i="16"/>
  <c r="AE690" i="16"/>
  <c r="AE701" i="16"/>
  <c r="AE710" i="16"/>
  <c r="AE718" i="16"/>
  <c r="AE726" i="16"/>
  <c r="AF726" i="16" s="1"/>
  <c r="AE734" i="16"/>
  <c r="AE742" i="16"/>
  <c r="AE750" i="16"/>
  <c r="AE758" i="16"/>
  <c r="AE766" i="16"/>
  <c r="AE774" i="16"/>
  <c r="AE782" i="16"/>
  <c r="AE790" i="16"/>
  <c r="AF790" i="16" s="1"/>
  <c r="AE798" i="16"/>
  <c r="AE806" i="16"/>
  <c r="AE814" i="16"/>
  <c r="AE822" i="16"/>
  <c r="AE830" i="16"/>
  <c r="AE838" i="16"/>
  <c r="AE846" i="16"/>
  <c r="AE854" i="16"/>
  <c r="AF854" i="16" s="1"/>
  <c r="AE862" i="16"/>
  <c r="AE870" i="16"/>
  <c r="AE878" i="16"/>
  <c r="AE886" i="16"/>
  <c r="AE894" i="16"/>
  <c r="AE902" i="16"/>
  <c r="AE910" i="16"/>
  <c r="AE918" i="16"/>
  <c r="AF918" i="16" s="1"/>
  <c r="AE926" i="16"/>
  <c r="AE934" i="16"/>
  <c r="AE942" i="16"/>
  <c r="AE950" i="16"/>
  <c r="AE958" i="16"/>
  <c r="AE966" i="16"/>
  <c r="AE974" i="16"/>
  <c r="AE982" i="16"/>
  <c r="AF982" i="16" s="1"/>
  <c r="AE990" i="16"/>
  <c r="AE998" i="16"/>
  <c r="AE1006" i="16"/>
  <c r="AE1014" i="16"/>
  <c r="AE1022" i="16"/>
  <c r="AE1030" i="16"/>
  <c r="AE1038" i="16"/>
  <c r="AE1046" i="16"/>
  <c r="AF1046" i="16" s="1"/>
  <c r="AE1054" i="16"/>
  <c r="AF1054" i="16" s="1"/>
  <c r="AE1062" i="16"/>
  <c r="AE1070" i="16"/>
  <c r="AE1078" i="16"/>
  <c r="AE1086" i="16"/>
  <c r="AE1094" i="16"/>
  <c r="AE1102" i="16"/>
  <c r="AE1110" i="16"/>
  <c r="AF1110" i="16" s="1"/>
  <c r="AE1118" i="16"/>
  <c r="AE1126" i="16"/>
  <c r="AE106" i="16"/>
  <c r="AE138" i="16"/>
  <c r="AE162" i="16"/>
  <c r="AE178" i="16"/>
  <c r="AE194" i="16"/>
  <c r="AE210" i="16"/>
  <c r="AE226" i="16"/>
  <c r="AE242" i="16"/>
  <c r="AE258" i="16"/>
  <c r="AE274" i="16"/>
  <c r="AE290" i="16"/>
  <c r="AE306" i="16"/>
  <c r="AE322" i="16"/>
  <c r="AE338" i="16"/>
  <c r="AF338" i="16" s="1"/>
  <c r="AE354" i="16"/>
  <c r="AE370" i="16"/>
  <c r="AE386" i="16"/>
  <c r="AE402" i="16"/>
  <c r="AE418" i="16"/>
  <c r="AE434" i="16"/>
  <c r="AE447" i="16"/>
  <c r="AE457" i="16"/>
  <c r="AF457" i="16" s="1"/>
  <c r="AE468" i="16"/>
  <c r="AE479" i="16"/>
  <c r="AE489" i="16"/>
  <c r="AE500" i="16"/>
  <c r="AE511" i="16"/>
  <c r="AE521" i="16"/>
  <c r="AE532" i="16"/>
  <c r="AE543" i="16"/>
  <c r="AF543" i="16" s="1"/>
  <c r="AE553" i="16"/>
  <c r="AE564" i="16"/>
  <c r="AE575" i="16"/>
  <c r="AE585" i="16"/>
  <c r="AE596" i="16"/>
  <c r="AE607" i="16"/>
  <c r="AE617" i="16"/>
  <c r="AE628" i="16"/>
  <c r="AF628" i="16" s="1"/>
  <c r="AE639" i="16"/>
  <c r="AE649" i="16"/>
  <c r="AE660" i="16"/>
  <c r="AE671" i="16"/>
  <c r="AE681" i="16"/>
  <c r="AE692" i="16"/>
  <c r="AE703" i="16"/>
  <c r="AE711" i="16"/>
  <c r="AF711" i="16" s="1"/>
  <c r="AE719" i="16"/>
  <c r="AE727" i="16"/>
  <c r="AE735" i="16"/>
  <c r="AE743" i="16"/>
  <c r="AE751" i="16"/>
  <c r="AE759" i="16"/>
  <c r="AE767" i="16"/>
  <c r="AE775" i="16"/>
  <c r="AF775" i="16" s="1"/>
  <c r="AE783" i="16"/>
  <c r="AE791" i="16"/>
  <c r="AE799" i="16"/>
  <c r="AE807" i="16"/>
  <c r="AE815" i="16"/>
  <c r="AE823" i="16"/>
  <c r="AE831" i="16"/>
  <c r="AE839" i="16"/>
  <c r="AF839" i="16" s="1"/>
  <c r="AE847" i="16"/>
  <c r="AE855" i="16"/>
  <c r="AE863" i="16"/>
  <c r="AE871" i="16"/>
  <c r="AE879" i="16"/>
  <c r="AE887" i="16"/>
  <c r="AE895" i="16"/>
  <c r="AE903" i="16"/>
  <c r="AF903" i="16" s="1"/>
  <c r="AE911" i="16"/>
  <c r="AE919" i="16"/>
  <c r="AE927" i="16"/>
  <c r="AE935" i="16"/>
  <c r="AE943" i="16"/>
  <c r="AE951" i="16"/>
  <c r="AE959" i="16"/>
  <c r="AE967" i="16"/>
  <c r="AF967" i="16" s="1"/>
  <c r="AE975" i="16"/>
  <c r="AE983" i="16"/>
  <c r="AE991" i="16"/>
  <c r="AE999" i="16"/>
  <c r="AE1007" i="16"/>
  <c r="AE1015" i="16"/>
  <c r="AE1023" i="16"/>
  <c r="AE1031" i="16"/>
  <c r="AF1031" i="16" s="1"/>
  <c r="AE1039" i="16"/>
  <c r="AE1047" i="16"/>
  <c r="AE1055" i="16"/>
  <c r="AE1063" i="16"/>
  <c r="AE1071" i="16"/>
  <c r="AE1079" i="16"/>
  <c r="AE1087" i="16"/>
  <c r="AE1095" i="16"/>
  <c r="AF1095" i="16" s="1"/>
  <c r="AE1103" i="16"/>
  <c r="AE1111" i="16"/>
  <c r="AE1119" i="16"/>
  <c r="AE113" i="16"/>
  <c r="AE145" i="16"/>
  <c r="AE165" i="16"/>
  <c r="AE181" i="16"/>
  <c r="AE197" i="16"/>
  <c r="AF197" i="16" s="1"/>
  <c r="AE213" i="16"/>
  <c r="AE229" i="16"/>
  <c r="AE245" i="16"/>
  <c r="AE261" i="16"/>
  <c r="AE277" i="16"/>
  <c r="AE293" i="16"/>
  <c r="AE309" i="16"/>
  <c r="AE325" i="16"/>
  <c r="AF325" i="16" s="1"/>
  <c r="AE341" i="16"/>
  <c r="AE357" i="16"/>
  <c r="AE373" i="16"/>
  <c r="AE389" i="16"/>
  <c r="AE405" i="16"/>
  <c r="AE421" i="16"/>
  <c r="AE437" i="16"/>
  <c r="AE448" i="16"/>
  <c r="AF448" i="16" s="1"/>
  <c r="AE458" i="16"/>
  <c r="AE469" i="16"/>
  <c r="AE480" i="16"/>
  <c r="AE490" i="16"/>
  <c r="AE501" i="16"/>
  <c r="AE512" i="16"/>
  <c r="AE522" i="16"/>
  <c r="AE533" i="16"/>
  <c r="AF533" i="16" s="1"/>
  <c r="AE544" i="16"/>
  <c r="AE554" i="16"/>
  <c r="AE565" i="16"/>
  <c r="AE576" i="16"/>
  <c r="AE586" i="16"/>
  <c r="AE597" i="16"/>
  <c r="AE608" i="16"/>
  <c r="AE618" i="16"/>
  <c r="AF618" i="16" s="1"/>
  <c r="AE629" i="16"/>
  <c r="AE640" i="16"/>
  <c r="AE650" i="16"/>
  <c r="AE661" i="16"/>
  <c r="AE672" i="16"/>
  <c r="AE682" i="16"/>
  <c r="AE693" i="16"/>
  <c r="AE704" i="16"/>
  <c r="AF704" i="16" s="1"/>
  <c r="AE712" i="16"/>
  <c r="AE720" i="16"/>
  <c r="AE728" i="16"/>
  <c r="AE736" i="16"/>
  <c r="AE744" i="16"/>
  <c r="AE752" i="16"/>
  <c r="AE760" i="16"/>
  <c r="AE768" i="16"/>
  <c r="AF768" i="16" s="1"/>
  <c r="AE776" i="16"/>
  <c r="AE784" i="16"/>
  <c r="AE792" i="16"/>
  <c r="AE800" i="16"/>
  <c r="AE808" i="16"/>
  <c r="AE816" i="16"/>
  <c r="AE824" i="16"/>
  <c r="AE832" i="16"/>
  <c r="AF832" i="16" s="1"/>
  <c r="AE840" i="16"/>
  <c r="AE848" i="16"/>
  <c r="AE856" i="16"/>
  <c r="AE864" i="16"/>
  <c r="AE872" i="16"/>
  <c r="AE880" i="16"/>
  <c r="AE888" i="16"/>
  <c r="AE896" i="16"/>
  <c r="AF896" i="16" s="1"/>
  <c r="AE904" i="16"/>
  <c r="AE912" i="16"/>
  <c r="AE920" i="16"/>
  <c r="AE928" i="16"/>
  <c r="AE936" i="16"/>
  <c r="AE944" i="16"/>
  <c r="AE952" i="16"/>
  <c r="AE960" i="16"/>
  <c r="AF960" i="16" s="1"/>
  <c r="AE968" i="16"/>
  <c r="AE976" i="16"/>
  <c r="AE984" i="16"/>
  <c r="AE992" i="16"/>
  <c r="AE1000" i="16"/>
  <c r="AE1008" i="16"/>
  <c r="AE1016" i="16"/>
  <c r="AE1024" i="16"/>
  <c r="AF1024" i="16" s="1"/>
  <c r="AE1032" i="16"/>
  <c r="AE1040" i="16"/>
  <c r="AE1048" i="16"/>
  <c r="AE1056" i="16"/>
  <c r="AE1064" i="16"/>
  <c r="AE1072" i="16"/>
  <c r="AE1080" i="16"/>
  <c r="AE1088" i="16"/>
  <c r="AF1088" i="16" s="1"/>
  <c r="AE1096" i="16"/>
  <c r="AE1104" i="16"/>
  <c r="AE1112" i="16"/>
  <c r="AE1120" i="16"/>
  <c r="AE114" i="16"/>
  <c r="AE146" i="16"/>
  <c r="AE168" i="16"/>
  <c r="AE184" i="16"/>
  <c r="AF184" i="16" s="1"/>
  <c r="AE200" i="16"/>
  <c r="AE216" i="16"/>
  <c r="AE232" i="16"/>
  <c r="AE248" i="16"/>
  <c r="AE264" i="16"/>
  <c r="AE280" i="16"/>
  <c r="AE296" i="16"/>
  <c r="AE312" i="16"/>
  <c r="AF312" i="16" s="1"/>
  <c r="AE328" i="16"/>
  <c r="AE344" i="16"/>
  <c r="AE360" i="16"/>
  <c r="AE376" i="16"/>
  <c r="AE392" i="16"/>
  <c r="AE408" i="16"/>
  <c r="AE424" i="16"/>
  <c r="AE439" i="16"/>
  <c r="AF439" i="16" s="1"/>
  <c r="AE449" i="16"/>
  <c r="AE460" i="16"/>
  <c r="AE471" i="16"/>
  <c r="AE481" i="16"/>
  <c r="AE492" i="16"/>
  <c r="AE503" i="16"/>
  <c r="AE513" i="16"/>
  <c r="AE524" i="16"/>
  <c r="AF524" i="16" s="1"/>
  <c r="AE535" i="16"/>
  <c r="AE545" i="16"/>
  <c r="AE556" i="16"/>
  <c r="AE567" i="16"/>
  <c r="AE577" i="16"/>
  <c r="AE588" i="16"/>
  <c r="AE599" i="16"/>
  <c r="AE609" i="16"/>
  <c r="AF609" i="16" s="1"/>
  <c r="AE620" i="16"/>
  <c r="AE631" i="16"/>
  <c r="AE641" i="16"/>
  <c r="AE652" i="16"/>
  <c r="AE663" i="16"/>
  <c r="AE673" i="16"/>
  <c r="AE684" i="16"/>
  <c r="AE695" i="16"/>
  <c r="AF695" i="16" s="1"/>
  <c r="AE705" i="16"/>
  <c r="AE713" i="16"/>
  <c r="AE721" i="16"/>
  <c r="AE729" i="16"/>
  <c r="AE737" i="16"/>
  <c r="AE745" i="16"/>
  <c r="AE753" i="16"/>
  <c r="AE761" i="16"/>
  <c r="AF761" i="16" s="1"/>
  <c r="AE769" i="16"/>
  <c r="AE777" i="16"/>
  <c r="AE785" i="16"/>
  <c r="AE793" i="16"/>
  <c r="AE801" i="16"/>
  <c r="AE809" i="16"/>
  <c r="AE817" i="16"/>
  <c r="AE825" i="16"/>
  <c r="AF825" i="16" s="1"/>
  <c r="AE833" i="16"/>
  <c r="AE841" i="16"/>
  <c r="AE849" i="16"/>
  <c r="AE857" i="16"/>
  <c r="AE865" i="16"/>
  <c r="AE873" i="16"/>
  <c r="AE881" i="16"/>
  <c r="AE889" i="16"/>
  <c r="AF889" i="16" s="1"/>
  <c r="AE897" i="16"/>
  <c r="AE905" i="16"/>
  <c r="AE913" i="16"/>
  <c r="AE921" i="16"/>
  <c r="AE929" i="16"/>
  <c r="AE937" i="16"/>
  <c r="AE945" i="16"/>
  <c r="AE953" i="16"/>
  <c r="AF953" i="16" s="1"/>
  <c r="AE961" i="16"/>
  <c r="AE969" i="16"/>
  <c r="AE977" i="16"/>
  <c r="AE985" i="16"/>
  <c r="AE993" i="16"/>
  <c r="AE1001" i="16"/>
  <c r="AE1009" i="16"/>
  <c r="AE1017" i="16"/>
  <c r="AF1017" i="16" s="1"/>
  <c r="AE1025" i="16"/>
  <c r="AE1033" i="16"/>
  <c r="AE1041" i="16"/>
  <c r="AE1049" i="16"/>
  <c r="AE1057" i="16"/>
  <c r="AE1065" i="16"/>
  <c r="AE1073" i="16"/>
  <c r="AE1081" i="16"/>
  <c r="AF1081" i="16" s="1"/>
  <c r="AE1089" i="16"/>
  <c r="AE1097" i="16"/>
  <c r="AE1105" i="16"/>
  <c r="AE1113" i="16"/>
  <c r="AE1121" i="16"/>
  <c r="AE1129" i="16"/>
  <c r="AE1137" i="16"/>
  <c r="AE1145" i="16"/>
  <c r="AF1145" i="16" s="1"/>
  <c r="AE1153" i="16"/>
  <c r="AE1161" i="16"/>
  <c r="AE1169" i="16"/>
  <c r="AE1177" i="16"/>
  <c r="AE1185" i="16"/>
  <c r="AE1193" i="16"/>
  <c r="AE1201" i="16"/>
  <c r="AE1209" i="16"/>
  <c r="AF1209" i="16" s="1"/>
  <c r="AE1217" i="16"/>
  <c r="AE1225" i="16"/>
  <c r="AE1233" i="16"/>
  <c r="AE1241" i="16"/>
  <c r="AE1249" i="16"/>
  <c r="AE1257" i="16"/>
  <c r="AE1265" i="16"/>
  <c r="AE1273" i="16"/>
  <c r="AF1273" i="16" s="1"/>
  <c r="AE1281" i="16"/>
  <c r="AE1289" i="16"/>
  <c r="AE1297" i="16"/>
  <c r="AE1305" i="16"/>
  <c r="AE1313" i="16"/>
  <c r="AE1321" i="16"/>
  <c r="AE1329" i="16"/>
  <c r="AE1337" i="16"/>
  <c r="AF1337" i="16" s="1"/>
  <c r="AE1345" i="16"/>
  <c r="AE1353" i="16"/>
  <c r="AE1361" i="16"/>
  <c r="AE1369" i="16"/>
  <c r="AE1377" i="16"/>
  <c r="AE1385" i="16"/>
  <c r="AE1393" i="16"/>
  <c r="AE1401" i="16"/>
  <c r="AF1401" i="16" s="1"/>
  <c r="AE1409" i="16"/>
  <c r="AE1417" i="16"/>
  <c r="AE1425" i="16"/>
  <c r="AE1433" i="16"/>
  <c r="AE1441" i="16"/>
  <c r="AE1449" i="16"/>
  <c r="AE1457" i="16"/>
  <c r="AE1465" i="16"/>
  <c r="AF1465" i="16" s="1"/>
  <c r="AE1473" i="16"/>
  <c r="AE1481" i="16"/>
  <c r="AE1489" i="16"/>
  <c r="AE1497" i="16"/>
  <c r="AE1505" i="16"/>
  <c r="AE1513" i="16"/>
  <c r="AE1521" i="16"/>
  <c r="AE1529" i="16"/>
  <c r="AE1537" i="16"/>
  <c r="AE1545" i="16"/>
  <c r="AE1553" i="16"/>
  <c r="AE1561" i="16"/>
  <c r="AE1569" i="16"/>
  <c r="AE1577" i="16"/>
  <c r="AE1585" i="16"/>
  <c r="AE1593" i="16"/>
  <c r="AF1593" i="16" s="1"/>
  <c r="AE1601" i="16"/>
  <c r="AE1609" i="16"/>
  <c r="AE1617" i="16"/>
  <c r="AE1625" i="16"/>
  <c r="AE1633" i="16"/>
  <c r="AE1641" i="16"/>
  <c r="AE1649" i="16"/>
  <c r="AE1657" i="16"/>
  <c r="AF1657" i="16" s="1"/>
  <c r="AE1665" i="16"/>
  <c r="AE1673" i="16"/>
  <c r="AE1681" i="16"/>
  <c r="AE1689" i="16"/>
  <c r="AE1697" i="16"/>
  <c r="AE1705" i="16"/>
  <c r="AE1713" i="16"/>
  <c r="AE121" i="16"/>
  <c r="AF121" i="16" s="1"/>
  <c r="AE153" i="16"/>
  <c r="AE169" i="16"/>
  <c r="AE185" i="16"/>
  <c r="AE201" i="16"/>
  <c r="AE217" i="16"/>
  <c r="AE233" i="16"/>
  <c r="AE249" i="16"/>
  <c r="AE265" i="16"/>
  <c r="AF265" i="16" s="1"/>
  <c r="AE281" i="16"/>
  <c r="AE297" i="16"/>
  <c r="AE313" i="16"/>
  <c r="AE329" i="16"/>
  <c r="AE345" i="16"/>
  <c r="AE361" i="16"/>
  <c r="AE377" i="16"/>
  <c r="AE393" i="16"/>
  <c r="AF393" i="16" s="1"/>
  <c r="AE409" i="16"/>
  <c r="AE425" i="16"/>
  <c r="AE440" i="16"/>
  <c r="AE450" i="16"/>
  <c r="AE461" i="16"/>
  <c r="AE472" i="16"/>
  <c r="AE482" i="16"/>
  <c r="AE493" i="16"/>
  <c r="AF493" i="16" s="1"/>
  <c r="AE504" i="16"/>
  <c r="AE514" i="16"/>
  <c r="AE525" i="16"/>
  <c r="AE536" i="16"/>
  <c r="AE546" i="16"/>
  <c r="AE557" i="16"/>
  <c r="AE568" i="16"/>
  <c r="AE578" i="16"/>
  <c r="AF578" i="16" s="1"/>
  <c r="AE589" i="16"/>
  <c r="AE600" i="16"/>
  <c r="AE610" i="16"/>
  <c r="AE621" i="16"/>
  <c r="AE632" i="16"/>
  <c r="AE642" i="16"/>
  <c r="AE653" i="16"/>
  <c r="AE664" i="16"/>
  <c r="AF664" i="16" s="1"/>
  <c r="AE674" i="16"/>
  <c r="AE685" i="16"/>
  <c r="AE696" i="16"/>
  <c r="AE706" i="16"/>
  <c r="AE714" i="16"/>
  <c r="AE722" i="16"/>
  <c r="AE730" i="16"/>
  <c r="AE738" i="16"/>
  <c r="AF738" i="16" s="1"/>
  <c r="AE746" i="16"/>
  <c r="AE754" i="16"/>
  <c r="AE762" i="16"/>
  <c r="AE770" i="16"/>
  <c r="AE778" i="16"/>
  <c r="AE786" i="16"/>
  <c r="AE794" i="16"/>
  <c r="AE802" i="16"/>
  <c r="AF802" i="16" s="1"/>
  <c r="AE810" i="16"/>
  <c r="AE818" i="16"/>
  <c r="AE826" i="16"/>
  <c r="AE834" i="16"/>
  <c r="AE842" i="16"/>
  <c r="AE850" i="16"/>
  <c r="AE858" i="16"/>
  <c r="AE866" i="16"/>
  <c r="AF866" i="16" s="1"/>
  <c r="AE874" i="16"/>
  <c r="AE882" i="16"/>
  <c r="AE890" i="16"/>
  <c r="AE898" i="16"/>
  <c r="AE906" i="16"/>
  <c r="AE914" i="16"/>
  <c r="AE922" i="16"/>
  <c r="AE930" i="16"/>
  <c r="AF930" i="16" s="1"/>
  <c r="AE938" i="16"/>
  <c r="AE946" i="16"/>
  <c r="AE954" i="16"/>
  <c r="AE962" i="16"/>
  <c r="AE970" i="16"/>
  <c r="AE978" i="16"/>
  <c r="AE986" i="16"/>
  <c r="AE994" i="16"/>
  <c r="AF994" i="16" s="1"/>
  <c r="AE1002" i="16"/>
  <c r="AE1010" i="16"/>
  <c r="AE1018" i="16"/>
  <c r="AE1026" i="16"/>
  <c r="AE1034" i="16"/>
  <c r="AE1042" i="16"/>
  <c r="AE1050" i="16"/>
  <c r="AE1058" i="16"/>
  <c r="AF1058" i="16" s="1"/>
  <c r="AE1066" i="16"/>
  <c r="AE1074" i="16"/>
  <c r="AE1082" i="16"/>
  <c r="AE1090" i="16"/>
  <c r="AE1098" i="16"/>
  <c r="AE1106" i="16"/>
  <c r="AE1114" i="16"/>
  <c r="AE1122" i="16"/>
  <c r="AF1122" i="16" s="1"/>
  <c r="AE1130" i="16"/>
  <c r="AE122" i="16"/>
  <c r="AE154" i="16"/>
  <c r="AE170" i="16"/>
  <c r="AE186" i="16"/>
  <c r="AE202" i="16"/>
  <c r="AE218" i="16"/>
  <c r="AE234" i="16"/>
  <c r="AF234" i="16" s="1"/>
  <c r="AE250" i="16"/>
  <c r="AE266" i="16"/>
  <c r="AE282" i="16"/>
  <c r="AE298" i="16"/>
  <c r="AE314" i="16"/>
  <c r="AE330" i="16"/>
  <c r="AE346" i="16"/>
  <c r="AE362" i="16"/>
  <c r="AF362" i="16" s="1"/>
  <c r="AE378" i="16"/>
  <c r="AE394" i="16"/>
  <c r="AE410" i="16"/>
  <c r="AE426" i="16"/>
  <c r="AE441" i="16"/>
  <c r="AE452" i="16"/>
  <c r="AE463" i="16"/>
  <c r="AE473" i="16"/>
  <c r="AF473" i="16" s="1"/>
  <c r="AE484" i="16"/>
  <c r="AE495" i="16"/>
  <c r="AE505" i="16"/>
  <c r="AE516" i="16"/>
  <c r="AE527" i="16"/>
  <c r="AE537" i="16"/>
  <c r="AE548" i="16"/>
  <c r="AE559" i="16"/>
  <c r="AF559" i="16" s="1"/>
  <c r="AE569" i="16"/>
  <c r="AE580" i="16"/>
  <c r="AE591" i="16"/>
  <c r="AE601" i="16"/>
  <c r="AE612" i="16"/>
  <c r="AE623" i="16"/>
  <c r="AE633" i="16"/>
  <c r="AE644" i="16"/>
  <c r="AF644" i="16" s="1"/>
  <c r="AE655" i="16"/>
  <c r="AE665" i="16"/>
  <c r="AE676" i="16"/>
  <c r="AE687" i="16"/>
  <c r="AE697" i="16"/>
  <c r="AE707" i="16"/>
  <c r="AE715" i="16"/>
  <c r="AE723" i="16"/>
  <c r="AF723" i="16" s="1"/>
  <c r="AE731" i="16"/>
  <c r="AE739" i="16"/>
  <c r="AE747" i="16"/>
  <c r="AE755" i="16"/>
  <c r="AE763" i="16"/>
  <c r="AE771" i="16"/>
  <c r="AE779" i="16"/>
  <c r="AE787" i="16"/>
  <c r="AF787" i="16" s="1"/>
  <c r="AE795" i="16"/>
  <c r="AE803" i="16"/>
  <c r="AE811" i="16"/>
  <c r="AE819" i="16"/>
  <c r="AE827" i="16"/>
  <c r="AE835" i="16"/>
  <c r="AE843" i="16"/>
  <c r="AE851" i="16"/>
  <c r="AF851" i="16" s="1"/>
  <c r="AE859" i="16"/>
  <c r="AE867" i="16"/>
  <c r="AE875" i="16"/>
  <c r="AE883" i="16"/>
  <c r="AE891" i="16"/>
  <c r="AE899" i="16"/>
  <c r="AE907" i="16"/>
  <c r="AE915" i="16"/>
  <c r="AF915" i="16" s="1"/>
  <c r="AE923" i="16"/>
  <c r="AE931" i="16"/>
  <c r="AE939" i="16"/>
  <c r="AE947" i="16"/>
  <c r="AE955" i="16"/>
  <c r="AE963" i="16"/>
  <c r="AE971" i="16"/>
  <c r="AE979" i="16"/>
  <c r="AF979" i="16" s="1"/>
  <c r="AE987" i="16"/>
  <c r="AE995" i="16"/>
  <c r="AE1003" i="16"/>
  <c r="AE1011" i="16"/>
  <c r="AE1019" i="16"/>
  <c r="AE1027" i="16"/>
  <c r="AE1035" i="16"/>
  <c r="AE1043" i="16"/>
  <c r="AF1043" i="16" s="1"/>
  <c r="AE1051" i="16"/>
  <c r="AE1059" i="16"/>
  <c r="AE1067" i="16"/>
  <c r="AE1075" i="16"/>
  <c r="AE1083" i="16"/>
  <c r="AE1091" i="16"/>
  <c r="AE1099" i="16"/>
  <c r="AE1107" i="16"/>
  <c r="AF1107" i="16" s="1"/>
  <c r="AE1115" i="16"/>
  <c r="AE1123" i="16"/>
  <c r="AE1131" i="16"/>
  <c r="AE1139" i="16"/>
  <c r="AE1147" i="16"/>
  <c r="AE1155" i="16"/>
  <c r="AE1163" i="16"/>
  <c r="AE1171" i="16"/>
  <c r="AF1171" i="16" s="1"/>
  <c r="AE1179" i="16"/>
  <c r="AE1187" i="16"/>
  <c r="AE1195" i="16"/>
  <c r="AE1203" i="16"/>
  <c r="AE1211" i="16"/>
  <c r="AE1219" i="16"/>
  <c r="AE1227" i="16"/>
  <c r="AE1235" i="16"/>
  <c r="AF1235" i="16" s="1"/>
  <c r="AE1243" i="16"/>
  <c r="AE1251" i="16"/>
  <c r="AE1259" i="16"/>
  <c r="AE1267" i="16"/>
  <c r="AE1275" i="16"/>
  <c r="AE1283" i="16"/>
  <c r="AE1291" i="16"/>
  <c r="AE1299" i="16"/>
  <c r="AF1299" i="16" s="1"/>
  <c r="AE1307" i="16"/>
  <c r="AE1315" i="16"/>
  <c r="AE1323" i="16"/>
  <c r="AE1331" i="16"/>
  <c r="AE1339" i="16"/>
  <c r="AE1347" i="16"/>
  <c r="AE1355" i="16"/>
  <c r="AE1363" i="16"/>
  <c r="AF1363" i="16" s="1"/>
  <c r="AE1371" i="16"/>
  <c r="AE1379" i="16"/>
  <c r="AE1387" i="16"/>
  <c r="AE1395" i="16"/>
  <c r="AE1403" i="16"/>
  <c r="AE1411" i="16"/>
  <c r="AE1419" i="16"/>
  <c r="AE1427" i="16"/>
  <c r="AF1427" i="16" s="1"/>
  <c r="AE1435" i="16"/>
  <c r="AE129" i="16"/>
  <c r="AE157" i="16"/>
  <c r="AE173" i="16"/>
  <c r="AE189" i="16"/>
  <c r="AE205" i="16"/>
  <c r="AE221" i="16"/>
  <c r="AE237" i="16"/>
  <c r="AF237" i="16" s="1"/>
  <c r="AE253" i="16"/>
  <c r="AE269" i="16"/>
  <c r="AE285" i="16"/>
  <c r="AE301" i="16"/>
  <c r="AE317" i="16"/>
  <c r="AE333" i="16"/>
  <c r="AE349" i="16"/>
  <c r="AE365" i="16"/>
  <c r="AF365" i="16" s="1"/>
  <c r="AE381" i="16"/>
  <c r="AE397" i="16"/>
  <c r="AE413" i="16"/>
  <c r="AE429" i="16"/>
  <c r="AE442" i="16"/>
  <c r="AE453" i="16"/>
  <c r="AE464" i="16"/>
  <c r="AE474" i="16"/>
  <c r="AF474" i="16" s="1"/>
  <c r="AE485" i="16"/>
  <c r="AE496" i="16"/>
  <c r="AE506" i="16"/>
  <c r="AE517" i="16"/>
  <c r="AE528" i="16"/>
  <c r="AE538" i="16"/>
  <c r="AE549" i="16"/>
  <c r="AE560" i="16"/>
  <c r="AF560" i="16" s="1"/>
  <c r="AE570" i="16"/>
  <c r="AE581" i="16"/>
  <c r="AE592" i="16"/>
  <c r="AE602" i="16"/>
  <c r="AE613" i="16"/>
  <c r="AE624" i="16"/>
  <c r="AE634" i="16"/>
  <c r="AE645" i="16"/>
  <c r="AF645" i="16" s="1"/>
  <c r="AE656" i="16"/>
  <c r="AE666" i="16"/>
  <c r="AE677" i="16"/>
  <c r="AE688" i="16"/>
  <c r="AE698" i="16"/>
  <c r="AE708" i="16"/>
  <c r="AE716" i="16"/>
  <c r="AE724" i="16"/>
  <c r="AF724" i="16" s="1"/>
  <c r="AE732" i="16"/>
  <c r="AE740" i="16"/>
  <c r="AE748" i="16"/>
  <c r="AE756" i="16"/>
  <c r="AE764" i="16"/>
  <c r="AE772" i="16"/>
  <c r="AE780" i="16"/>
  <c r="AE788" i="16"/>
  <c r="AF788" i="16" s="1"/>
  <c r="AE796" i="16"/>
  <c r="AE804" i="16"/>
  <c r="AE812" i="16"/>
  <c r="AE820" i="16"/>
  <c r="AE828" i="16"/>
  <c r="AE836" i="16"/>
  <c r="AE844" i="16"/>
  <c r="AE852" i="16"/>
  <c r="AF852" i="16" s="1"/>
  <c r="AE860" i="16"/>
  <c r="AE868" i="16"/>
  <c r="AE876" i="16"/>
  <c r="AE884" i="16"/>
  <c r="AE892" i="16"/>
  <c r="AE900" i="16"/>
  <c r="AE908" i="16"/>
  <c r="AE916" i="16"/>
  <c r="AF916" i="16" s="1"/>
  <c r="AE924" i="16"/>
  <c r="AE932" i="16"/>
  <c r="AE940" i="16"/>
  <c r="AE948" i="16"/>
  <c r="AE956" i="16"/>
  <c r="AE964" i="16"/>
  <c r="AE972" i="16"/>
  <c r="AE980" i="16"/>
  <c r="AF980" i="16" s="1"/>
  <c r="AE988" i="16"/>
  <c r="AE996" i="16"/>
  <c r="AE1004" i="16"/>
  <c r="AE1012" i="16"/>
  <c r="AE1020" i="16"/>
  <c r="AE1028" i="16"/>
  <c r="AE1036" i="16"/>
  <c r="AE1044" i="16"/>
  <c r="AF1044" i="16" s="1"/>
  <c r="AE1052" i="16"/>
  <c r="AE1060" i="16"/>
  <c r="AE1068" i="16"/>
  <c r="AE1076" i="16"/>
  <c r="AE1084" i="16"/>
  <c r="AE1092" i="16"/>
  <c r="AE1100" i="16"/>
  <c r="AE1108" i="16"/>
  <c r="AF1108" i="16" s="1"/>
  <c r="AE1116" i="16"/>
  <c r="AE1124" i="16"/>
  <c r="AE1132" i="16"/>
  <c r="AE1140" i="16"/>
  <c r="AE1148" i="16"/>
  <c r="AE1156" i="16"/>
  <c r="AE1164" i="16"/>
  <c r="AE1172" i="16"/>
  <c r="AF1172" i="16" s="1"/>
  <c r="AE1180" i="16"/>
  <c r="AE1188" i="16"/>
  <c r="AE1196" i="16"/>
  <c r="AE1204" i="16"/>
  <c r="AE1212" i="16"/>
  <c r="AE1220" i="16"/>
  <c r="AE1228" i="16"/>
  <c r="AE1236" i="16"/>
  <c r="AF1236" i="16" s="1"/>
  <c r="AE1244" i="16"/>
  <c r="AE1252" i="16"/>
  <c r="AE1260" i="16"/>
  <c r="AE1268" i="16"/>
  <c r="AE1276" i="16"/>
  <c r="AE1284" i="16"/>
  <c r="AE1292" i="16"/>
  <c r="AE1300" i="16"/>
  <c r="AF1300" i="16" s="1"/>
  <c r="AE1308" i="16"/>
  <c r="AE1316" i="16"/>
  <c r="AE1324" i="16"/>
  <c r="AE1332" i="16"/>
  <c r="AE1340" i="16"/>
  <c r="AE1348" i="16"/>
  <c r="AE1356" i="16"/>
  <c r="AE1364" i="16"/>
  <c r="AF1364" i="16" s="1"/>
  <c r="AE1372" i="16"/>
  <c r="AE1380" i="16"/>
  <c r="AE1388" i="16"/>
  <c r="AE1396" i="16"/>
  <c r="AE1404" i="16"/>
  <c r="AE1412" i="16"/>
  <c r="AE1420" i="16"/>
  <c r="AE1428" i="16"/>
  <c r="AF1428" i="16" s="1"/>
  <c r="AE1436" i="16"/>
  <c r="AE1444" i="16"/>
  <c r="AE1452" i="16"/>
  <c r="AE1460" i="16"/>
  <c r="AE1468" i="16"/>
  <c r="AE1476" i="16"/>
  <c r="AE1484" i="16"/>
  <c r="AE1492" i="16"/>
  <c r="AF1492" i="16" s="1"/>
  <c r="AE1500" i="16"/>
  <c r="AE1508" i="16"/>
  <c r="AE1516" i="16"/>
  <c r="AE1524" i="16"/>
  <c r="AE1532" i="16"/>
  <c r="AE1540" i="16"/>
  <c r="AE1548" i="16"/>
  <c r="AE1556" i="16"/>
  <c r="AF1556" i="16" s="1"/>
  <c r="AE1564" i="16"/>
  <c r="AE1572" i="16"/>
  <c r="AE1580" i="16"/>
  <c r="AE1588" i="16"/>
  <c r="AE1596" i="16"/>
  <c r="AE1604" i="16"/>
  <c r="AE1612" i="16"/>
  <c r="AE1620" i="16"/>
  <c r="AF1620" i="16" s="1"/>
  <c r="AE1628" i="16"/>
  <c r="AE1636" i="16"/>
  <c r="AE1644" i="16"/>
  <c r="AE1652" i="16"/>
  <c r="AE1660" i="16"/>
  <c r="AE1668" i="16"/>
  <c r="AE1676" i="16"/>
  <c r="AE1684" i="16"/>
  <c r="AF1684" i="16" s="1"/>
  <c r="AE1692" i="16"/>
  <c r="AE1700" i="16"/>
  <c r="AE1708" i="16"/>
  <c r="AE1127" i="16"/>
  <c r="AE1144" i="16"/>
  <c r="AE1160" i="16"/>
  <c r="AE1176" i="16"/>
  <c r="AE1192" i="16"/>
  <c r="AF1192" i="16" s="1"/>
  <c r="AE1208" i="16"/>
  <c r="AE1224" i="16"/>
  <c r="AE1240" i="16"/>
  <c r="AE1256" i="16"/>
  <c r="AE1272" i="16"/>
  <c r="AE1288" i="16"/>
  <c r="AE1304" i="16"/>
  <c r="AE1320" i="16"/>
  <c r="AF1320" i="16" s="1"/>
  <c r="AE1336" i="16"/>
  <c r="AE1352" i="16"/>
  <c r="AE1368" i="16"/>
  <c r="AE1384" i="16"/>
  <c r="AE1400" i="16"/>
  <c r="AE1416" i="16"/>
  <c r="AE1432" i="16"/>
  <c r="AE1446" i="16"/>
  <c r="AF1446" i="16" s="1"/>
  <c r="AE1456" i="16"/>
  <c r="AE1467" i="16"/>
  <c r="AE1478" i="16"/>
  <c r="AE1488" i="16"/>
  <c r="AE1499" i="16"/>
  <c r="AE1510" i="16"/>
  <c r="AE1520" i="16"/>
  <c r="AE1531" i="16"/>
  <c r="AF1531" i="16" s="1"/>
  <c r="AE1542" i="16"/>
  <c r="AE1552" i="16"/>
  <c r="AE1563" i="16"/>
  <c r="AE1574" i="16"/>
  <c r="AE1584" i="16"/>
  <c r="AE1595" i="16"/>
  <c r="AE1606" i="16"/>
  <c r="AE1616" i="16"/>
  <c r="AF1616" i="16" s="1"/>
  <c r="AE1627" i="16"/>
  <c r="AE1638" i="16"/>
  <c r="AE1648" i="16"/>
  <c r="AE1659" i="16"/>
  <c r="AE1670" i="16"/>
  <c r="AE1680" i="16"/>
  <c r="AE1691" i="16"/>
  <c r="AE1702" i="16"/>
  <c r="AF1702" i="16" s="1"/>
  <c r="AE1712" i="16"/>
  <c r="AE1721" i="16"/>
  <c r="AE1729" i="16"/>
  <c r="AE1737" i="16"/>
  <c r="AE1745" i="16"/>
  <c r="AE1753" i="16"/>
  <c r="AE1761" i="16"/>
  <c r="AE1769" i="16"/>
  <c r="AF1769" i="16" s="1"/>
  <c r="AE1777" i="16"/>
  <c r="AE1785" i="16"/>
  <c r="AE1793" i="16"/>
  <c r="AE1801" i="16"/>
  <c r="AE1809" i="16"/>
  <c r="AE1817" i="16"/>
  <c r="AE1825" i="16"/>
  <c r="AE1833" i="16"/>
  <c r="AF1833" i="16" s="1"/>
  <c r="AE1841" i="16"/>
  <c r="AE1849" i="16"/>
  <c r="AE1857" i="16"/>
  <c r="AE1865" i="16"/>
  <c r="AE1873" i="16"/>
  <c r="AE1881" i="16"/>
  <c r="AE1889" i="16"/>
  <c r="AE1897" i="16"/>
  <c r="AF1897" i="16" s="1"/>
  <c r="AE1905" i="16"/>
  <c r="AE1913" i="16"/>
  <c r="AE1921" i="16"/>
  <c r="AE1929" i="16"/>
  <c r="AE1937" i="16"/>
  <c r="AE1945" i="16"/>
  <c r="AE1953" i="16"/>
  <c r="AE1961" i="16"/>
  <c r="AF1961" i="16" s="1"/>
  <c r="AE1969" i="16"/>
  <c r="AE1977" i="16"/>
  <c r="AE1985" i="16"/>
  <c r="AE1993" i="16"/>
  <c r="AE2001" i="16"/>
  <c r="AE2009" i="16"/>
  <c r="AE2017" i="16"/>
  <c r="AE2025" i="16"/>
  <c r="AF2025" i="16" s="1"/>
  <c r="AE2033" i="16"/>
  <c r="AE2041" i="16"/>
  <c r="AE2049" i="16"/>
  <c r="AE2057" i="16"/>
  <c r="AE2065" i="16"/>
  <c r="AE2073" i="16"/>
  <c r="AE2081" i="16"/>
  <c r="AE2089" i="16"/>
  <c r="AF2089" i="16" s="1"/>
  <c r="AE2097" i="16"/>
  <c r="AE2105" i="16"/>
  <c r="AE2113" i="16"/>
  <c r="AE2121" i="16"/>
  <c r="AE2129" i="16"/>
  <c r="AE2137" i="16"/>
  <c r="AE2145" i="16"/>
  <c r="AE2153" i="16"/>
  <c r="AF2153" i="16" s="1"/>
  <c r="AE2161" i="16"/>
  <c r="AE2169" i="16"/>
  <c r="AE2177" i="16"/>
  <c r="AE2185" i="16"/>
  <c r="AE2193" i="16"/>
  <c r="AE2201" i="16"/>
  <c r="AE2209" i="16"/>
  <c r="AE2217" i="16"/>
  <c r="AF2217" i="16" s="1"/>
  <c r="AE2225" i="16"/>
  <c r="AE2233" i="16"/>
  <c r="AE2241" i="16"/>
  <c r="AE2249" i="16"/>
  <c r="AE2257" i="16"/>
  <c r="AE2265" i="16"/>
  <c r="AE2273" i="16"/>
  <c r="AE2281" i="16"/>
  <c r="AF2281" i="16" s="1"/>
  <c r="AE2289" i="16"/>
  <c r="AE2297" i="16"/>
  <c r="AE2305" i="16"/>
  <c r="AE2313" i="16"/>
  <c r="AE2321" i="16"/>
  <c r="AE2329" i="16"/>
  <c r="AE2337" i="16"/>
  <c r="AE1128" i="16"/>
  <c r="AF1128" i="16" s="1"/>
  <c r="AE1146" i="16"/>
  <c r="AE1162" i="16"/>
  <c r="AE1178" i="16"/>
  <c r="AE1194" i="16"/>
  <c r="AE1210" i="16"/>
  <c r="AE1226" i="16"/>
  <c r="AE1242" i="16"/>
  <c r="AE1258" i="16"/>
  <c r="AF1258" i="16" s="1"/>
  <c r="AE1274" i="16"/>
  <c r="AE1290" i="16"/>
  <c r="AE1306" i="16"/>
  <c r="AE1322" i="16"/>
  <c r="AE1338" i="16"/>
  <c r="AE1354" i="16"/>
  <c r="AE1370" i="16"/>
  <c r="AE1386" i="16"/>
  <c r="AF1386" i="16" s="1"/>
  <c r="AE1402" i="16"/>
  <c r="AE1418" i="16"/>
  <c r="AE1434" i="16"/>
  <c r="AE1447" i="16"/>
  <c r="AE1458" i="16"/>
  <c r="AE1469" i="16"/>
  <c r="AE1479" i="16"/>
  <c r="AE1490" i="16"/>
  <c r="AF1490" i="16" s="1"/>
  <c r="AE1501" i="16"/>
  <c r="AE1511" i="16"/>
  <c r="AE1522" i="16"/>
  <c r="AE1533" i="16"/>
  <c r="AE1543" i="16"/>
  <c r="AE1554" i="16"/>
  <c r="AE1565" i="16"/>
  <c r="AE1575" i="16"/>
  <c r="AF1575" i="16" s="1"/>
  <c r="AE1586" i="16"/>
  <c r="AE1597" i="16"/>
  <c r="AE1607" i="16"/>
  <c r="AE1618" i="16"/>
  <c r="AE1629" i="16"/>
  <c r="AE1639" i="16"/>
  <c r="AE1650" i="16"/>
  <c r="AE1661" i="16"/>
  <c r="AF1661" i="16" s="1"/>
  <c r="AE1671" i="16"/>
  <c r="AE1682" i="16"/>
  <c r="AE1693" i="16"/>
  <c r="AE1703" i="16"/>
  <c r="AE1714" i="16"/>
  <c r="AE1722" i="16"/>
  <c r="AE1730" i="16"/>
  <c r="AE1738" i="16"/>
  <c r="AF1738" i="16" s="1"/>
  <c r="AE1746" i="16"/>
  <c r="AE1754" i="16"/>
  <c r="AE1762" i="16"/>
  <c r="AE1770" i="16"/>
  <c r="AE1778" i="16"/>
  <c r="AE1786" i="16"/>
  <c r="AE1794" i="16"/>
  <c r="AE1802" i="16"/>
  <c r="AF1802" i="16" s="1"/>
  <c r="AE1810" i="16"/>
  <c r="AE1818" i="16"/>
  <c r="AE1826" i="16"/>
  <c r="AE1834" i="16"/>
  <c r="AE1842" i="16"/>
  <c r="AE1850" i="16"/>
  <c r="AE1858" i="16"/>
  <c r="AE1866" i="16"/>
  <c r="AF1866" i="16" s="1"/>
  <c r="AE1874" i="16"/>
  <c r="AE1882" i="16"/>
  <c r="AE1890" i="16"/>
  <c r="AE1898" i="16"/>
  <c r="AE1906" i="16"/>
  <c r="AE1914" i="16"/>
  <c r="AE1922" i="16"/>
  <c r="AE1930" i="16"/>
  <c r="AF1930" i="16" s="1"/>
  <c r="AE1938" i="16"/>
  <c r="AE1946" i="16"/>
  <c r="AE1954" i="16"/>
  <c r="AE1962" i="16"/>
  <c r="AE1970" i="16"/>
  <c r="AE1978" i="16"/>
  <c r="AE1986" i="16"/>
  <c r="AE1994" i="16"/>
  <c r="AF1994" i="16" s="1"/>
  <c r="AE2002" i="16"/>
  <c r="AE2010" i="16"/>
  <c r="AE2018" i="16"/>
  <c r="AE2026" i="16"/>
  <c r="AE2034" i="16"/>
  <c r="AE2042" i="16"/>
  <c r="AE2050" i="16"/>
  <c r="AE2058" i="16"/>
  <c r="AF2058" i="16" s="1"/>
  <c r="AE2066" i="16"/>
  <c r="AE2074" i="16"/>
  <c r="AE2082" i="16"/>
  <c r="AE2090" i="16"/>
  <c r="AE2098" i="16"/>
  <c r="AE2106" i="16"/>
  <c r="AE2114" i="16"/>
  <c r="AE2122" i="16"/>
  <c r="AF2122" i="16" s="1"/>
  <c r="AE2130" i="16"/>
  <c r="AE2138" i="16"/>
  <c r="AE2146" i="16"/>
  <c r="AE2154" i="16"/>
  <c r="AE2162" i="16"/>
  <c r="AE2170" i="16"/>
  <c r="AE2178" i="16"/>
  <c r="AE2186" i="16"/>
  <c r="AF2186" i="16" s="1"/>
  <c r="AE2194" i="16"/>
  <c r="AE2202" i="16"/>
  <c r="AE2210" i="16"/>
  <c r="AE2218" i="16"/>
  <c r="AE2226" i="16"/>
  <c r="AE2234" i="16"/>
  <c r="AE2242" i="16"/>
  <c r="AE2250" i="16"/>
  <c r="AF2250" i="16" s="1"/>
  <c r="AE2258" i="16"/>
  <c r="AE2266" i="16"/>
  <c r="AE2274" i="16"/>
  <c r="AE2282" i="16"/>
  <c r="AE2290" i="16"/>
  <c r="AE2298" i="16"/>
  <c r="AE2306" i="16"/>
  <c r="AE2314" i="16"/>
  <c r="AF2314" i="16" s="1"/>
  <c r="AE2322" i="16"/>
  <c r="AE2330" i="16"/>
  <c r="AE2338" i="16"/>
  <c r="AE1134" i="16"/>
  <c r="AE1150" i="16"/>
  <c r="AE1166" i="16"/>
  <c r="AE1182" i="16"/>
  <c r="AE1198" i="16"/>
  <c r="AF1198" i="16" s="1"/>
  <c r="AE1214" i="16"/>
  <c r="AE1230" i="16"/>
  <c r="AE1246" i="16"/>
  <c r="AE1262" i="16"/>
  <c r="AE1278" i="16"/>
  <c r="AE1294" i="16"/>
  <c r="AE1310" i="16"/>
  <c r="AE1326" i="16"/>
  <c r="AF1326" i="16" s="1"/>
  <c r="AE1342" i="16"/>
  <c r="AE1358" i="16"/>
  <c r="AE1374" i="16"/>
  <c r="AE1390" i="16"/>
  <c r="AE1406" i="16"/>
  <c r="AE1422" i="16"/>
  <c r="AE1438" i="16"/>
  <c r="AE1448" i="16"/>
  <c r="AF1448" i="16" s="1"/>
  <c r="AE1459" i="16"/>
  <c r="AE1470" i="16"/>
  <c r="AE1480" i="16"/>
  <c r="AE1491" i="16"/>
  <c r="AE1502" i="16"/>
  <c r="AE1512" i="16"/>
  <c r="AE1523" i="16"/>
  <c r="AE1534" i="16"/>
  <c r="AF1534" i="16" s="1"/>
  <c r="AE1544" i="16"/>
  <c r="AE1555" i="16"/>
  <c r="AE1566" i="16"/>
  <c r="AE1576" i="16"/>
  <c r="AE1587" i="16"/>
  <c r="AE1598" i="16"/>
  <c r="AE1608" i="16"/>
  <c r="AE1619" i="16"/>
  <c r="AF1619" i="16" s="1"/>
  <c r="AE1630" i="16"/>
  <c r="AE1640" i="16"/>
  <c r="AE1651" i="16"/>
  <c r="AE1662" i="16"/>
  <c r="AE1672" i="16"/>
  <c r="AE1683" i="16"/>
  <c r="AE1694" i="16"/>
  <c r="AE1704" i="16"/>
  <c r="AF1704" i="16" s="1"/>
  <c r="AE1715" i="16"/>
  <c r="AE1723" i="16"/>
  <c r="AE1731" i="16"/>
  <c r="AE1739" i="16"/>
  <c r="AE1747" i="16"/>
  <c r="AE1755" i="16"/>
  <c r="AE1763" i="16"/>
  <c r="AE1771" i="16"/>
  <c r="AF1771" i="16" s="1"/>
  <c r="AE1779" i="16"/>
  <c r="AE1787" i="16"/>
  <c r="AE1795" i="16"/>
  <c r="AE1803" i="16"/>
  <c r="AE1811" i="16"/>
  <c r="AE1819" i="16"/>
  <c r="AE1827" i="16"/>
  <c r="AE1835" i="16"/>
  <c r="AF1835" i="16" s="1"/>
  <c r="AE1843" i="16"/>
  <c r="AE1851" i="16"/>
  <c r="AE1859" i="16"/>
  <c r="AE1867" i="16"/>
  <c r="AE1875" i="16"/>
  <c r="AE1883" i="16"/>
  <c r="AE1891" i="16"/>
  <c r="AE1899" i="16"/>
  <c r="AF1899" i="16" s="1"/>
  <c r="AE1907" i="16"/>
  <c r="AE1915" i="16"/>
  <c r="AE1923" i="16"/>
  <c r="AE1931" i="16"/>
  <c r="AE1939" i="16"/>
  <c r="AE1947" i="16"/>
  <c r="AE1955" i="16"/>
  <c r="AE1963" i="16"/>
  <c r="AF1963" i="16" s="1"/>
  <c r="AE1971" i="16"/>
  <c r="AE1979" i="16"/>
  <c r="AE1987" i="16"/>
  <c r="AE1995" i="16"/>
  <c r="AE2003" i="16"/>
  <c r="AE2011" i="16"/>
  <c r="AE2019" i="16"/>
  <c r="AE2027" i="16"/>
  <c r="AF2027" i="16" s="1"/>
  <c r="AE2035" i="16"/>
  <c r="AE2043" i="16"/>
  <c r="AE2051" i="16"/>
  <c r="AE2059" i="16"/>
  <c r="AE2067" i="16"/>
  <c r="AE2075" i="16"/>
  <c r="AE2083" i="16"/>
  <c r="AE2091" i="16"/>
  <c r="AF2091" i="16" s="1"/>
  <c r="AE2099" i="16"/>
  <c r="AE2107" i="16"/>
  <c r="AE2115" i="16"/>
  <c r="AE2123" i="16"/>
  <c r="AE2131" i="16"/>
  <c r="AE2139" i="16"/>
  <c r="AE2147" i="16"/>
  <c r="AE2155" i="16"/>
  <c r="AF2155" i="16" s="1"/>
  <c r="AE2163" i="16"/>
  <c r="AE2171" i="16"/>
  <c r="AE2179" i="16"/>
  <c r="AE2187" i="16"/>
  <c r="AE2195" i="16"/>
  <c r="AE2203" i="16"/>
  <c r="AE2211" i="16"/>
  <c r="AE2219" i="16"/>
  <c r="AF2219" i="16" s="1"/>
  <c r="AE2227" i="16"/>
  <c r="AE2235" i="16"/>
  <c r="AE2243" i="16"/>
  <c r="AE2251" i="16"/>
  <c r="AE2259" i="16"/>
  <c r="AE2267" i="16"/>
  <c r="AE2275" i="16"/>
  <c r="AE2283" i="16"/>
  <c r="AF2283" i="16" s="1"/>
  <c r="AE2291" i="16"/>
  <c r="AE2299" i="16"/>
  <c r="AE2307" i="16"/>
  <c r="AE2315" i="16"/>
  <c r="AE2323" i="16"/>
  <c r="AE2331" i="16"/>
  <c r="AE2339" i="16"/>
  <c r="AE1135" i="16"/>
  <c r="AF1135" i="16" s="1"/>
  <c r="AE1151" i="16"/>
  <c r="AE1167" i="16"/>
  <c r="AE1183" i="16"/>
  <c r="AE1199" i="16"/>
  <c r="AE1215" i="16"/>
  <c r="AE1231" i="16"/>
  <c r="AE1247" i="16"/>
  <c r="AE1263" i="16"/>
  <c r="AF1263" i="16" s="1"/>
  <c r="AE1279" i="16"/>
  <c r="AE1295" i="16"/>
  <c r="AE1311" i="16"/>
  <c r="AE1327" i="16"/>
  <c r="AE1343" i="16"/>
  <c r="AE1359" i="16"/>
  <c r="AE1375" i="16"/>
  <c r="AE1391" i="16"/>
  <c r="AF1391" i="16" s="1"/>
  <c r="AE1407" i="16"/>
  <c r="AE1423" i="16"/>
  <c r="AE1439" i="16"/>
  <c r="AE1450" i="16"/>
  <c r="AE1461" i="16"/>
  <c r="AE1471" i="16"/>
  <c r="AE1482" i="16"/>
  <c r="AE1493" i="16"/>
  <c r="AF1493" i="16" s="1"/>
  <c r="AE1503" i="16"/>
  <c r="AE1514" i="16"/>
  <c r="AE1525" i="16"/>
  <c r="AE1535" i="16"/>
  <c r="AE1546" i="16"/>
  <c r="AE1557" i="16"/>
  <c r="AE1567" i="16"/>
  <c r="AE1578" i="16"/>
  <c r="AF1578" i="16" s="1"/>
  <c r="AE1589" i="16"/>
  <c r="AE1599" i="16"/>
  <c r="AE1610" i="16"/>
  <c r="AE1621" i="16"/>
  <c r="AE1631" i="16"/>
  <c r="AE1642" i="16"/>
  <c r="AE1653" i="16"/>
  <c r="AE1663" i="16"/>
  <c r="AF1663" i="16" s="1"/>
  <c r="AE1674" i="16"/>
  <c r="AE1685" i="16"/>
  <c r="AE1695" i="16"/>
  <c r="AE1706" i="16"/>
  <c r="AE1716" i="16"/>
  <c r="AE1724" i="16"/>
  <c r="AE1732" i="16"/>
  <c r="AE1740" i="16"/>
  <c r="AF1740" i="16" s="1"/>
  <c r="AE1748" i="16"/>
  <c r="AE1756" i="16"/>
  <c r="AE1764" i="16"/>
  <c r="AE1772" i="16"/>
  <c r="AE1780" i="16"/>
  <c r="AE1788" i="16"/>
  <c r="AE1796" i="16"/>
  <c r="AE1804" i="16"/>
  <c r="AF1804" i="16" s="1"/>
  <c r="AE1812" i="16"/>
  <c r="AE1820" i="16"/>
  <c r="AE1828" i="16"/>
  <c r="AE1836" i="16"/>
  <c r="AE1844" i="16"/>
  <c r="AE1852" i="16"/>
  <c r="AE1860" i="16"/>
  <c r="AE1868" i="16"/>
  <c r="AF1868" i="16" s="1"/>
  <c r="AE1876" i="16"/>
  <c r="AE1884" i="16"/>
  <c r="AE1892" i="16"/>
  <c r="AE1900" i="16"/>
  <c r="AE1908" i="16"/>
  <c r="AE1916" i="16"/>
  <c r="AE1924" i="16"/>
  <c r="AE1932" i="16"/>
  <c r="AF1932" i="16" s="1"/>
  <c r="AE1940" i="16"/>
  <c r="AE1948" i="16"/>
  <c r="AE1956" i="16"/>
  <c r="AE1964" i="16"/>
  <c r="AE1972" i="16"/>
  <c r="AE1980" i="16"/>
  <c r="AE1988" i="16"/>
  <c r="AE1996" i="16"/>
  <c r="AF1996" i="16" s="1"/>
  <c r="AE2004" i="16"/>
  <c r="AE2012" i="16"/>
  <c r="AE2020" i="16"/>
  <c r="AE2028" i="16"/>
  <c r="AE2036" i="16"/>
  <c r="AE2044" i="16"/>
  <c r="AE2052" i="16"/>
  <c r="AE2060" i="16"/>
  <c r="AF2060" i="16" s="1"/>
  <c r="AE2068" i="16"/>
  <c r="AE2076" i="16"/>
  <c r="AE2084" i="16"/>
  <c r="AE2092" i="16"/>
  <c r="AE2100" i="16"/>
  <c r="AE2108" i="16"/>
  <c r="AE2116" i="16"/>
  <c r="AE2124" i="16"/>
  <c r="AF2124" i="16" s="1"/>
  <c r="AE2132" i="16"/>
  <c r="AE2140" i="16"/>
  <c r="AE2148" i="16"/>
  <c r="AE2156" i="16"/>
  <c r="AE2164" i="16"/>
  <c r="AE2172" i="16"/>
  <c r="AE2180" i="16"/>
  <c r="AE2188" i="16"/>
  <c r="AF2188" i="16" s="1"/>
  <c r="AE2196" i="16"/>
  <c r="AE2204" i="16"/>
  <c r="AE2212" i="16"/>
  <c r="AE2220" i="16"/>
  <c r="AE2228" i="16"/>
  <c r="AE2236" i="16"/>
  <c r="AE2244" i="16"/>
  <c r="AE2252" i="16"/>
  <c r="AF2252" i="16" s="1"/>
  <c r="AE2260" i="16"/>
  <c r="AE2268" i="16"/>
  <c r="AE2276" i="16"/>
  <c r="AE2284" i="16"/>
  <c r="AE2292" i="16"/>
  <c r="AE2300" i="16"/>
  <c r="AE2308" i="16"/>
  <c r="AE2316" i="16"/>
  <c r="AF2316" i="16" s="1"/>
  <c r="AE2324" i="16"/>
  <c r="AE2332" i="16"/>
  <c r="AE2340" i="16"/>
  <c r="AE1136" i="16"/>
  <c r="AE1152" i="16"/>
  <c r="AE1168" i="16"/>
  <c r="AE1184" i="16"/>
  <c r="AE1200" i="16"/>
  <c r="AF1200" i="16" s="1"/>
  <c r="AE1216" i="16"/>
  <c r="AE1232" i="16"/>
  <c r="AE1248" i="16"/>
  <c r="AE1264" i="16"/>
  <c r="AE1280" i="16"/>
  <c r="AE1296" i="16"/>
  <c r="AE1312" i="16"/>
  <c r="AE1328" i="16"/>
  <c r="AF1328" i="16" s="1"/>
  <c r="AE1344" i="16"/>
  <c r="AE1360" i="16"/>
  <c r="AE1376" i="16"/>
  <c r="AE1392" i="16"/>
  <c r="AE1408" i="16"/>
  <c r="AE1424" i="16"/>
  <c r="AE1440" i="16"/>
  <c r="AE1451" i="16"/>
  <c r="AF1451" i="16" s="1"/>
  <c r="AE1462" i="16"/>
  <c r="AE1472" i="16"/>
  <c r="AE1483" i="16"/>
  <c r="AE1494" i="16"/>
  <c r="AE1504" i="16"/>
  <c r="AE1515" i="16"/>
  <c r="AE1526" i="16"/>
  <c r="AE1536" i="16"/>
  <c r="AF1536" i="16" s="1"/>
  <c r="AE1547" i="16"/>
  <c r="AE1558" i="16"/>
  <c r="AE1568" i="16"/>
  <c r="AE1579" i="16"/>
  <c r="AE1590" i="16"/>
  <c r="AE1600" i="16"/>
  <c r="AE1611" i="16"/>
  <c r="AE1622" i="16"/>
  <c r="AF1622" i="16" s="1"/>
  <c r="AE1632" i="16"/>
  <c r="AE1643" i="16"/>
  <c r="AE1654" i="16"/>
  <c r="AE1664" i="16"/>
  <c r="AE1675" i="16"/>
  <c r="AE1686" i="16"/>
  <c r="AE1696" i="16"/>
  <c r="AE1707" i="16"/>
  <c r="AF1707" i="16" s="1"/>
  <c r="AE1717" i="16"/>
  <c r="AE1725" i="16"/>
  <c r="AE1733" i="16"/>
  <c r="AE1741" i="16"/>
  <c r="AE1749" i="16"/>
  <c r="AE1757" i="16"/>
  <c r="AE1765" i="16"/>
  <c r="AE1773" i="16"/>
  <c r="AF1773" i="16" s="1"/>
  <c r="AE1781" i="16"/>
  <c r="AE1789" i="16"/>
  <c r="AE1797" i="16"/>
  <c r="AE1805" i="16"/>
  <c r="AE1813" i="16"/>
  <c r="AE1821" i="16"/>
  <c r="AE1829" i="16"/>
  <c r="AE1837" i="16"/>
  <c r="AF1837" i="16" s="1"/>
  <c r="AE1845" i="16"/>
  <c r="AE1853" i="16"/>
  <c r="AE1861" i="16"/>
  <c r="AE1869" i="16"/>
  <c r="AE1877" i="16"/>
  <c r="AE1885" i="16"/>
  <c r="AE1893" i="16"/>
  <c r="AE1901" i="16"/>
  <c r="AF1901" i="16" s="1"/>
  <c r="AE1909" i="16"/>
  <c r="AE1917" i="16"/>
  <c r="AE1925" i="16"/>
  <c r="AE1933" i="16"/>
  <c r="AE1941" i="16"/>
  <c r="AE1949" i="16"/>
  <c r="AE1957" i="16"/>
  <c r="AE1965" i="16"/>
  <c r="AF1965" i="16" s="1"/>
  <c r="AE1973" i="16"/>
  <c r="AE1981" i="16"/>
  <c r="AE1989" i="16"/>
  <c r="AE1997" i="16"/>
  <c r="AE2005" i="16"/>
  <c r="AE2013" i="16"/>
  <c r="AE2021" i="16"/>
  <c r="AE2029" i="16"/>
  <c r="AF2029" i="16" s="1"/>
  <c r="AE2037" i="16"/>
  <c r="AE2045" i="16"/>
  <c r="AE2053" i="16"/>
  <c r="AE2061" i="16"/>
  <c r="AE2069" i="16"/>
  <c r="AE2077" i="16"/>
  <c r="AE2085" i="16"/>
  <c r="AE2093" i="16"/>
  <c r="AF2093" i="16" s="1"/>
  <c r="AE2101" i="16"/>
  <c r="AE2109" i="16"/>
  <c r="AE2117" i="16"/>
  <c r="AE2125" i="16"/>
  <c r="AE2133" i="16"/>
  <c r="AE2141" i="16"/>
  <c r="AE2149" i="16"/>
  <c r="AE2157" i="16"/>
  <c r="AF2157" i="16" s="1"/>
  <c r="AE2165" i="16"/>
  <c r="AE2173" i="16"/>
  <c r="AE2181" i="16"/>
  <c r="AE2189" i="16"/>
  <c r="AE2197" i="16"/>
  <c r="AE2205" i="16"/>
  <c r="AE2213" i="16"/>
  <c r="AE2221" i="16"/>
  <c r="AF2221" i="16" s="1"/>
  <c r="AE2229" i="16"/>
  <c r="AE2237" i="16"/>
  <c r="AE2245" i="16"/>
  <c r="AE2253" i="16"/>
  <c r="AE2261" i="16"/>
  <c r="AE2269" i="16"/>
  <c r="AE2277" i="16"/>
  <c r="AE2285" i="16"/>
  <c r="AF2285" i="16" s="1"/>
  <c r="AE2293" i="16"/>
  <c r="AE2301" i="16"/>
  <c r="AE2309" i="16"/>
  <c r="AE2317" i="16"/>
  <c r="AE2325" i="16"/>
  <c r="AE2333" i="16"/>
  <c r="AE2341" i="16"/>
  <c r="AE1138" i="16"/>
  <c r="AF1138" i="16" s="1"/>
  <c r="AE1154" i="16"/>
  <c r="AE1170" i="16"/>
  <c r="AE1186" i="16"/>
  <c r="AE1202" i="16"/>
  <c r="AE1218" i="16"/>
  <c r="AE1234" i="16"/>
  <c r="AE1250" i="16"/>
  <c r="AE1266" i="16"/>
  <c r="AF1266" i="16" s="1"/>
  <c r="AE1282" i="16"/>
  <c r="AE1298" i="16"/>
  <c r="AE1314" i="16"/>
  <c r="AE1330" i="16"/>
  <c r="AE1346" i="16"/>
  <c r="AE1362" i="16"/>
  <c r="AE1378" i="16"/>
  <c r="AE1394" i="16"/>
  <c r="AF1394" i="16" s="1"/>
  <c r="AE1410" i="16"/>
  <c r="AE1426" i="16"/>
  <c r="AE1442" i="16"/>
  <c r="AE1453" i="16"/>
  <c r="AE1463" i="16"/>
  <c r="AE1474" i="16"/>
  <c r="AE1485" i="16"/>
  <c r="AE1495" i="16"/>
  <c r="AF1495" i="16" s="1"/>
  <c r="AE1506" i="16"/>
  <c r="AE1517" i="16"/>
  <c r="AE1527" i="16"/>
  <c r="AE1538" i="16"/>
  <c r="AE1549" i="16"/>
  <c r="AE1559" i="16"/>
  <c r="AE1570" i="16"/>
  <c r="AE1581" i="16"/>
  <c r="AF1581" i="16" s="1"/>
  <c r="AE1591" i="16"/>
  <c r="AE1602" i="16"/>
  <c r="AE1613" i="16"/>
  <c r="AE1623" i="16"/>
  <c r="AE1634" i="16"/>
  <c r="AE1645" i="16"/>
  <c r="AE1655" i="16"/>
  <c r="AE1666" i="16"/>
  <c r="AF1666" i="16" s="1"/>
  <c r="AE1677" i="16"/>
  <c r="AE1687" i="16"/>
  <c r="AE1698" i="16"/>
  <c r="AE1709" i="16"/>
  <c r="AE1718" i="16"/>
  <c r="AE1726" i="16"/>
  <c r="AE1734" i="16"/>
  <c r="AE1742" i="16"/>
  <c r="AF1742" i="16" s="1"/>
  <c r="AE1750" i="16"/>
  <c r="AE1758" i="16"/>
  <c r="AE1766" i="16"/>
  <c r="AE1774" i="16"/>
  <c r="AE1782" i="16"/>
  <c r="AE1790" i="16"/>
  <c r="AE1798" i="16"/>
  <c r="AE1806" i="16"/>
  <c r="AF1806" i="16" s="1"/>
  <c r="AE1814" i="16"/>
  <c r="AE1822" i="16"/>
  <c r="AE1830" i="16"/>
  <c r="AE1838" i="16"/>
  <c r="AE1846" i="16"/>
  <c r="AE1854" i="16"/>
  <c r="AE1862" i="16"/>
  <c r="AE1870" i="16"/>
  <c r="AF1870" i="16" s="1"/>
  <c r="AE1878" i="16"/>
  <c r="AE1886" i="16"/>
  <c r="AE1894" i="16"/>
  <c r="AE1902" i="16"/>
  <c r="AE1910" i="16"/>
  <c r="AE1918" i="16"/>
  <c r="AE1926" i="16"/>
  <c r="AE1934" i="16"/>
  <c r="AF1934" i="16" s="1"/>
  <c r="AE1942" i="16"/>
  <c r="AE1950" i="16"/>
  <c r="AE1958" i="16"/>
  <c r="AE1966" i="16"/>
  <c r="AE1974" i="16"/>
  <c r="AE1982" i="16"/>
  <c r="AE1990" i="16"/>
  <c r="AE1998" i="16"/>
  <c r="AF1998" i="16" s="1"/>
  <c r="AE2006" i="16"/>
  <c r="AE2014" i="16"/>
  <c r="AE2022" i="16"/>
  <c r="AE2030" i="16"/>
  <c r="AE2038" i="16"/>
  <c r="AE2046" i="16"/>
  <c r="AE2054" i="16"/>
  <c r="AE2062" i="16"/>
  <c r="AF2062" i="16" s="1"/>
  <c r="AE2070" i="16"/>
  <c r="AE2078" i="16"/>
  <c r="AE2086" i="16"/>
  <c r="AE2094" i="16"/>
  <c r="AE2102" i="16"/>
  <c r="AE2110" i="16"/>
  <c r="AE2118" i="16"/>
  <c r="AE2126" i="16"/>
  <c r="AF2126" i="16" s="1"/>
  <c r="AE2134" i="16"/>
  <c r="AE2142" i="16"/>
  <c r="AE2150" i="16"/>
  <c r="AE2158" i="16"/>
  <c r="AE2166" i="16"/>
  <c r="AE2174" i="16"/>
  <c r="AE2182" i="16"/>
  <c r="AE2190" i="16"/>
  <c r="AF2190" i="16" s="1"/>
  <c r="AE2198" i="16"/>
  <c r="AE2206" i="16"/>
  <c r="AE2214" i="16"/>
  <c r="AE2222" i="16"/>
  <c r="AE2230" i="16"/>
  <c r="AE2238" i="16"/>
  <c r="AE2246" i="16"/>
  <c r="AE2254" i="16"/>
  <c r="AF2254" i="16" s="1"/>
  <c r="AE2262" i="16"/>
  <c r="AE2270" i="16"/>
  <c r="AE2278" i="16"/>
  <c r="AE2286" i="16"/>
  <c r="AE2294" i="16"/>
  <c r="AE2302" i="16"/>
  <c r="AE2310" i="16"/>
  <c r="AE2318" i="16"/>
  <c r="AF2318" i="16" s="1"/>
  <c r="AE2326" i="16"/>
  <c r="AE2334" i="16"/>
  <c r="AE1142" i="16"/>
  <c r="AE1158" i="16"/>
  <c r="AE1174" i="16"/>
  <c r="AE1190" i="16"/>
  <c r="AE1206" i="16"/>
  <c r="AE1222" i="16"/>
  <c r="AF1222" i="16" s="1"/>
  <c r="AE1238" i="16"/>
  <c r="AE1254" i="16"/>
  <c r="AE1270" i="16"/>
  <c r="AE1286" i="16"/>
  <c r="AE1302" i="16"/>
  <c r="AE1318" i="16"/>
  <c r="AE1334" i="16"/>
  <c r="AE1350" i="16"/>
  <c r="AF1350" i="16" s="1"/>
  <c r="AE1366" i="16"/>
  <c r="AE1382" i="16"/>
  <c r="AE1398" i="16"/>
  <c r="AE1414" i="16"/>
  <c r="AE1430" i="16"/>
  <c r="AE1443" i="16"/>
  <c r="AE1454" i="16"/>
  <c r="AE1464" i="16"/>
  <c r="AF1464" i="16" s="1"/>
  <c r="AE1475" i="16"/>
  <c r="AE1486" i="16"/>
  <c r="AE1496" i="16"/>
  <c r="AE1507" i="16"/>
  <c r="AE1518" i="16"/>
  <c r="AE1528" i="16"/>
  <c r="AE1539" i="16"/>
  <c r="AE1550" i="16"/>
  <c r="AF1550" i="16" s="1"/>
  <c r="AE1560" i="16"/>
  <c r="AE1571" i="16"/>
  <c r="AE1582" i="16"/>
  <c r="AE1592" i="16"/>
  <c r="AE1603" i="16"/>
  <c r="AE1614" i="16"/>
  <c r="AE1624" i="16"/>
  <c r="AE1635" i="16"/>
  <c r="AF1635" i="16" s="1"/>
  <c r="AE1646" i="16"/>
  <c r="AE1656" i="16"/>
  <c r="AE1667" i="16"/>
  <c r="AE1678" i="16"/>
  <c r="AE1688" i="16"/>
  <c r="AE1699" i="16"/>
  <c r="AE1710" i="16"/>
  <c r="AE1719" i="16"/>
  <c r="AF1719" i="16" s="1"/>
  <c r="AE1727" i="16"/>
  <c r="AE1735" i="16"/>
  <c r="AE1743" i="16"/>
  <c r="AE1751" i="16"/>
  <c r="AE1759" i="16"/>
  <c r="AE1767" i="16"/>
  <c r="AE1775" i="16"/>
  <c r="AE1783" i="16"/>
  <c r="AF1783" i="16" s="1"/>
  <c r="AE1791" i="16"/>
  <c r="AE1799" i="16"/>
  <c r="AE1807" i="16"/>
  <c r="AE1815" i="16"/>
  <c r="AE1823" i="16"/>
  <c r="AE1831" i="16"/>
  <c r="AE1839" i="16"/>
  <c r="AE1847" i="16"/>
  <c r="AF1847" i="16" s="1"/>
  <c r="AE1855" i="16"/>
  <c r="AE1863" i="16"/>
  <c r="AE1871" i="16"/>
  <c r="AE1879" i="16"/>
  <c r="AE1887" i="16"/>
  <c r="AE1895" i="16"/>
  <c r="AE1903" i="16"/>
  <c r="AE1911" i="16"/>
  <c r="AF1911" i="16" s="1"/>
  <c r="AE1919" i="16"/>
  <c r="AE1927" i="16"/>
  <c r="AE1935" i="16"/>
  <c r="AE1943" i="16"/>
  <c r="AE1951" i="16"/>
  <c r="AE1959" i="16"/>
  <c r="AE1967" i="16"/>
  <c r="AE1975" i="16"/>
  <c r="AF1975" i="16" s="1"/>
  <c r="AE1983" i="16"/>
  <c r="AE1991" i="16"/>
  <c r="AE1999" i="16"/>
  <c r="AE2007" i="16"/>
  <c r="AE2015" i="16"/>
  <c r="AE2023" i="16"/>
  <c r="AE2031" i="16"/>
  <c r="AE2039" i="16"/>
  <c r="AF2039" i="16" s="1"/>
  <c r="AE2047" i="16"/>
  <c r="AE2055" i="16"/>
  <c r="AE2063" i="16"/>
  <c r="AE2071" i="16"/>
  <c r="AE2079" i="16"/>
  <c r="AE2087" i="16"/>
  <c r="AE2095" i="16"/>
  <c r="AE2103" i="16"/>
  <c r="AF2103" i="16" s="1"/>
  <c r="AE2111" i="16"/>
  <c r="AE2119" i="16"/>
  <c r="AE2127" i="16"/>
  <c r="AE2135" i="16"/>
  <c r="AE2143" i="16"/>
  <c r="AE2151" i="16"/>
  <c r="AE2159" i="16"/>
  <c r="AE2167" i="16"/>
  <c r="AF2167" i="16" s="1"/>
  <c r="AE2175" i="16"/>
  <c r="AE2183" i="16"/>
  <c r="AE2191" i="16"/>
  <c r="AE2199" i="16"/>
  <c r="AE2207" i="16"/>
  <c r="AE2215" i="16"/>
  <c r="AE2223" i="16"/>
  <c r="AE2231" i="16"/>
  <c r="AF2231" i="16" s="1"/>
  <c r="AE2239" i="16"/>
  <c r="AE2247" i="16"/>
  <c r="AE2255" i="16"/>
  <c r="AE2263" i="16"/>
  <c r="AE2271" i="16"/>
  <c r="AE2279" i="16"/>
  <c r="AE2287" i="16"/>
  <c r="AE2295" i="16"/>
  <c r="AF2295" i="16" s="1"/>
  <c r="AE2303" i="16"/>
  <c r="AE2311" i="16"/>
  <c r="AE2319" i="16"/>
  <c r="AE2327" i="16"/>
  <c r="AE2335" i="16"/>
  <c r="AE1143" i="16"/>
  <c r="AE1159" i="16"/>
  <c r="AE1175" i="16"/>
  <c r="AF1175" i="16" s="1"/>
  <c r="AE1191" i="16"/>
  <c r="AE1207" i="16"/>
  <c r="AE1223" i="16"/>
  <c r="AE1239" i="16"/>
  <c r="AE1255" i="16"/>
  <c r="AE1271" i="16"/>
  <c r="AE1287" i="16"/>
  <c r="AE1303" i="16"/>
  <c r="AF1303" i="16" s="1"/>
  <c r="AE1319" i="16"/>
  <c r="AE1335" i="16"/>
  <c r="AE1351" i="16"/>
  <c r="AE1367" i="16"/>
  <c r="AE1383" i="16"/>
  <c r="AE1399" i="16"/>
  <c r="AE1415" i="16"/>
  <c r="AE1431" i="16"/>
  <c r="AF1431" i="16" s="1"/>
  <c r="AE1445" i="16"/>
  <c r="AE1455" i="16"/>
  <c r="AE1466" i="16"/>
  <c r="AE1477" i="16"/>
  <c r="AE1487" i="16"/>
  <c r="AE1498" i="16"/>
  <c r="AE1509" i="16"/>
  <c r="AE1519" i="16"/>
  <c r="AF1519" i="16" s="1"/>
  <c r="AE1530" i="16"/>
  <c r="AE1541" i="16"/>
  <c r="AE1551" i="16"/>
  <c r="AE1562" i="16"/>
  <c r="AE1573" i="16"/>
  <c r="AE1583" i="16"/>
  <c r="AE1594" i="16"/>
  <c r="AE1605" i="16"/>
  <c r="AF1605" i="16" s="1"/>
  <c r="AE1615" i="16"/>
  <c r="AE1626" i="16"/>
  <c r="AE1637" i="16"/>
  <c r="AE1647" i="16"/>
  <c r="AE1658" i="16"/>
  <c r="AE1669" i="16"/>
  <c r="AE1679" i="16"/>
  <c r="AE1690" i="16"/>
  <c r="AF1690" i="16" s="1"/>
  <c r="AE1701" i="16"/>
  <c r="AE1711" i="16"/>
  <c r="AE1720" i="16"/>
  <c r="AE1728" i="16"/>
  <c r="AE1736" i="16"/>
  <c r="AE1744" i="16"/>
  <c r="AE1752" i="16"/>
  <c r="AE1760" i="16"/>
  <c r="AF1760" i="16" s="1"/>
  <c r="AE1768" i="16"/>
  <c r="AE1776" i="16"/>
  <c r="AE1784" i="16"/>
  <c r="AE1792" i="16"/>
  <c r="AE1800" i="16"/>
  <c r="AE1808" i="16"/>
  <c r="AE1816" i="16"/>
  <c r="AE1824" i="16"/>
  <c r="AF1824" i="16" s="1"/>
  <c r="AE1832" i="16"/>
  <c r="AE1840" i="16"/>
  <c r="AE1848" i="16"/>
  <c r="AE1856" i="16"/>
  <c r="AE1864" i="16"/>
  <c r="AE1872" i="16"/>
  <c r="AE1880" i="16"/>
  <c r="AE1888" i="16"/>
  <c r="AF1888" i="16" s="1"/>
  <c r="AE1896" i="16"/>
  <c r="AE1904" i="16"/>
  <c r="AE1912" i="16"/>
  <c r="AE1920" i="16"/>
  <c r="AE1928" i="16"/>
  <c r="AE1936" i="16"/>
  <c r="AE1944" i="16"/>
  <c r="AE1952" i="16"/>
  <c r="AF1952" i="16" s="1"/>
  <c r="AE1960" i="16"/>
  <c r="AE1968" i="16"/>
  <c r="AE1976" i="16"/>
  <c r="AE1984" i="16"/>
  <c r="AE1992" i="16"/>
  <c r="AE2000" i="16"/>
  <c r="AE2008" i="16"/>
  <c r="AE2016" i="16"/>
  <c r="AF2016" i="16" s="1"/>
  <c r="AE2024" i="16"/>
  <c r="AE2032" i="16"/>
  <c r="AE2040" i="16"/>
  <c r="AE2048" i="16"/>
  <c r="AE2056" i="16"/>
  <c r="AE2064" i="16"/>
  <c r="AE2072" i="16"/>
  <c r="AE2080" i="16"/>
  <c r="AF2080" i="16" s="1"/>
  <c r="AE2088" i="16"/>
  <c r="AE2096" i="16"/>
  <c r="AE2104" i="16"/>
  <c r="AE2112" i="16"/>
  <c r="AE2120" i="16"/>
  <c r="AE2128" i="16"/>
  <c r="AE2136" i="16"/>
  <c r="AE2144" i="16"/>
  <c r="AF2144" i="16" s="1"/>
  <c r="AE2152" i="16"/>
  <c r="AE2160" i="16"/>
  <c r="AE2168" i="16"/>
  <c r="AE2176" i="16"/>
  <c r="AE2184" i="16"/>
  <c r="AE2192" i="16"/>
  <c r="AE2200" i="16"/>
  <c r="AE2208" i="16"/>
  <c r="AF2208" i="16" s="1"/>
  <c r="AE2216" i="16"/>
  <c r="AE2224" i="16"/>
  <c r="AE2232" i="16"/>
  <c r="AE2240" i="16"/>
  <c r="AE2248" i="16"/>
  <c r="AE2256" i="16"/>
  <c r="AE2264" i="16"/>
  <c r="AE2272" i="16"/>
  <c r="AF2272" i="16" s="1"/>
  <c r="AE2280" i="16"/>
  <c r="AE2288" i="16"/>
  <c r="AE2296" i="16"/>
  <c r="AE2304" i="16"/>
  <c r="AE2312" i="16"/>
  <c r="AE2320" i="16"/>
  <c r="AE2328" i="16"/>
  <c r="AE2336" i="16"/>
  <c r="AF2336" i="16" s="1"/>
  <c r="J12" i="16"/>
  <c r="J20" i="16"/>
  <c r="J28" i="16"/>
  <c r="J36" i="16"/>
  <c r="J44" i="16"/>
  <c r="J52" i="16"/>
  <c r="J60" i="16"/>
  <c r="J68" i="16"/>
  <c r="J76" i="16"/>
  <c r="J84" i="16"/>
  <c r="J92" i="16"/>
  <c r="J100" i="16"/>
  <c r="J108" i="16"/>
  <c r="J116" i="16"/>
  <c r="J124" i="16"/>
  <c r="J132" i="16"/>
  <c r="J140" i="16"/>
  <c r="J148" i="16"/>
  <c r="J156" i="16"/>
  <c r="J164" i="16"/>
  <c r="J172" i="16"/>
  <c r="J180" i="16"/>
  <c r="J188" i="16"/>
  <c r="J196" i="16"/>
  <c r="J204" i="16"/>
  <c r="J212" i="16"/>
  <c r="J220" i="16"/>
  <c r="J228" i="16"/>
  <c r="J236" i="16"/>
  <c r="J244" i="16"/>
  <c r="J252" i="16"/>
  <c r="J260" i="16"/>
  <c r="J268" i="16"/>
  <c r="J276" i="16"/>
  <c r="J284" i="16"/>
  <c r="J292" i="16"/>
  <c r="J300" i="16"/>
  <c r="J308" i="16"/>
  <c r="J316" i="16"/>
  <c r="J324" i="16"/>
  <c r="J332" i="16"/>
  <c r="J340" i="16"/>
  <c r="J348" i="16"/>
  <c r="J356" i="16"/>
  <c r="J364" i="16"/>
  <c r="J372" i="16"/>
  <c r="J380" i="16"/>
  <c r="J388" i="16"/>
  <c r="J396" i="16"/>
  <c r="J404" i="16"/>
  <c r="J412" i="16"/>
  <c r="J420" i="16"/>
  <c r="J428" i="16"/>
  <c r="J436" i="16"/>
  <c r="J444" i="16"/>
  <c r="J452" i="16"/>
  <c r="J460" i="16"/>
  <c r="J468" i="16"/>
  <c r="J476" i="16"/>
  <c r="J484" i="16"/>
  <c r="J492" i="16"/>
  <c r="J500" i="16"/>
  <c r="J508" i="16"/>
  <c r="J516" i="16"/>
  <c r="J524" i="16"/>
  <c r="J532" i="16"/>
  <c r="J540" i="16"/>
  <c r="J548" i="16"/>
  <c r="J556" i="16"/>
  <c r="J564" i="16"/>
  <c r="J572" i="16"/>
  <c r="J580" i="16"/>
  <c r="J588" i="16"/>
  <c r="J596" i="16"/>
  <c r="J604" i="16"/>
  <c r="J612" i="16"/>
  <c r="J620" i="16"/>
  <c r="J628" i="16"/>
  <c r="J636" i="16"/>
  <c r="J644" i="16"/>
  <c r="J652" i="16"/>
  <c r="J660" i="16"/>
  <c r="J668" i="16"/>
  <c r="J676" i="16"/>
  <c r="J684" i="16"/>
  <c r="J692" i="16"/>
  <c r="J700" i="16"/>
  <c r="J708" i="16"/>
  <c r="J716" i="16"/>
  <c r="J724" i="16"/>
  <c r="J732" i="16"/>
  <c r="J740" i="16"/>
  <c r="J748" i="16"/>
  <c r="J756" i="16"/>
  <c r="J764" i="16"/>
  <c r="J13" i="16"/>
  <c r="J21" i="16"/>
  <c r="J29" i="16"/>
  <c r="J37" i="16"/>
  <c r="J45" i="16"/>
  <c r="J53" i="16"/>
  <c r="J61" i="16"/>
  <c r="J69" i="16"/>
  <c r="J77" i="16"/>
  <c r="J85" i="16"/>
  <c r="J93" i="16"/>
  <c r="J101" i="16"/>
  <c r="J109" i="16"/>
  <c r="J117" i="16"/>
  <c r="J125" i="16"/>
  <c r="J133" i="16"/>
  <c r="J141" i="16"/>
  <c r="J149" i="16"/>
  <c r="J157" i="16"/>
  <c r="J165" i="16"/>
  <c r="J173" i="16"/>
  <c r="J181" i="16"/>
  <c r="J189" i="16"/>
  <c r="J197" i="16"/>
  <c r="J205" i="16"/>
  <c r="J213" i="16"/>
  <c r="J221" i="16"/>
  <c r="J229" i="16"/>
  <c r="J237" i="16"/>
  <c r="J245" i="16"/>
  <c r="J253" i="16"/>
  <c r="J261" i="16"/>
  <c r="J269" i="16"/>
  <c r="J277" i="16"/>
  <c r="J285" i="16"/>
  <c r="J293" i="16"/>
  <c r="J301" i="16"/>
  <c r="J309" i="16"/>
  <c r="J317" i="16"/>
  <c r="J325" i="16"/>
  <c r="J333" i="16"/>
  <c r="J341" i="16"/>
  <c r="J349" i="16"/>
  <c r="J357" i="16"/>
  <c r="J365" i="16"/>
  <c r="J373" i="16"/>
  <c r="J381" i="16"/>
  <c r="J389" i="16"/>
  <c r="J397" i="16"/>
  <c r="J405" i="16"/>
  <c r="J413" i="16"/>
  <c r="J421" i="16"/>
  <c r="J429" i="16"/>
  <c r="J437" i="16"/>
  <c r="J445" i="16"/>
  <c r="J453" i="16"/>
  <c r="J461" i="16"/>
  <c r="J469" i="16"/>
  <c r="J477" i="16"/>
  <c r="J485" i="16"/>
  <c r="J493" i="16"/>
  <c r="J501" i="16"/>
  <c r="J509" i="16"/>
  <c r="J517" i="16"/>
  <c r="J525" i="16"/>
  <c r="J533" i="16"/>
  <c r="J541" i="16"/>
  <c r="J549" i="16"/>
  <c r="J557" i="16"/>
  <c r="J565" i="16"/>
  <c r="J573" i="16"/>
  <c r="J581" i="16"/>
  <c r="J589" i="16"/>
  <c r="J597" i="16"/>
  <c r="J605" i="16"/>
  <c r="J613" i="16"/>
  <c r="J621" i="16"/>
  <c r="J629" i="16"/>
  <c r="J637" i="16"/>
  <c r="J645" i="16"/>
  <c r="J653" i="16"/>
  <c r="J661" i="16"/>
  <c r="J669" i="16"/>
  <c r="J677" i="16"/>
  <c r="J685" i="16"/>
  <c r="J693" i="16"/>
  <c r="J701" i="16"/>
  <c r="J709" i="16"/>
  <c r="J717" i="16"/>
  <c r="J725" i="16"/>
  <c r="J733" i="16"/>
  <c r="J741" i="16"/>
  <c r="J749" i="16"/>
  <c r="J757" i="16"/>
  <c r="J765" i="16"/>
  <c r="J6" i="16"/>
  <c r="J14" i="16"/>
  <c r="J22" i="16"/>
  <c r="J30" i="16"/>
  <c r="J38" i="16"/>
  <c r="J46" i="16"/>
  <c r="J54" i="16"/>
  <c r="J62" i="16"/>
  <c r="J70" i="16"/>
  <c r="J78" i="16"/>
  <c r="J86" i="16"/>
  <c r="J94" i="16"/>
  <c r="J102" i="16"/>
  <c r="J110" i="16"/>
  <c r="J118" i="16"/>
  <c r="J126" i="16"/>
  <c r="J134" i="16"/>
  <c r="J142" i="16"/>
  <c r="J150" i="16"/>
  <c r="J158" i="16"/>
  <c r="J166" i="16"/>
  <c r="J174" i="16"/>
  <c r="J182" i="16"/>
  <c r="J190" i="16"/>
  <c r="J198" i="16"/>
  <c r="J206" i="16"/>
  <c r="J214" i="16"/>
  <c r="J222" i="16"/>
  <c r="J230" i="16"/>
  <c r="J238" i="16"/>
  <c r="J246" i="16"/>
  <c r="J254" i="16"/>
  <c r="J262" i="16"/>
  <c r="J270" i="16"/>
  <c r="J278" i="16"/>
  <c r="J286" i="16"/>
  <c r="J294" i="16"/>
  <c r="J302" i="16"/>
  <c r="J310" i="16"/>
  <c r="J318" i="16"/>
  <c r="J326" i="16"/>
  <c r="J334" i="16"/>
  <c r="J342" i="16"/>
  <c r="J350" i="16"/>
  <c r="J358" i="16"/>
  <c r="J366" i="16"/>
  <c r="J374" i="16"/>
  <c r="J382" i="16"/>
  <c r="J390" i="16"/>
  <c r="J398" i="16"/>
  <c r="J406" i="16"/>
  <c r="J414" i="16"/>
  <c r="J422" i="16"/>
  <c r="J430" i="16"/>
  <c r="J438" i="16"/>
  <c r="J446" i="16"/>
  <c r="J454" i="16"/>
  <c r="J462" i="16"/>
  <c r="J470" i="16"/>
  <c r="J478" i="16"/>
  <c r="J486" i="16"/>
  <c r="J494" i="16"/>
  <c r="J502" i="16"/>
  <c r="J510" i="16"/>
  <c r="J518" i="16"/>
  <c r="J526" i="16"/>
  <c r="J534" i="16"/>
  <c r="J542" i="16"/>
  <c r="J550" i="16"/>
  <c r="J558" i="16"/>
  <c r="J566" i="16"/>
  <c r="J574" i="16"/>
  <c r="J582" i="16"/>
  <c r="J590" i="16"/>
  <c r="J598" i="16"/>
  <c r="J606" i="16"/>
  <c r="J614" i="16"/>
  <c r="J622" i="16"/>
  <c r="J630" i="16"/>
  <c r="J638" i="16"/>
  <c r="J646" i="16"/>
  <c r="J654" i="16"/>
  <c r="J662" i="16"/>
  <c r="J670" i="16"/>
  <c r="J678" i="16"/>
  <c r="J686" i="16"/>
  <c r="J694" i="16"/>
  <c r="J702" i="16"/>
  <c r="J710" i="16"/>
  <c r="J718" i="16"/>
  <c r="J726" i="16"/>
  <c r="J734" i="16"/>
  <c r="J742" i="16"/>
  <c r="J750" i="16"/>
  <c r="J758" i="16"/>
  <c r="J766" i="16"/>
  <c r="J7" i="16"/>
  <c r="J15" i="16"/>
  <c r="J23" i="16"/>
  <c r="J31" i="16"/>
  <c r="J39" i="16"/>
  <c r="J47" i="16"/>
  <c r="J55" i="16"/>
  <c r="J63" i="16"/>
  <c r="J71" i="16"/>
  <c r="J79" i="16"/>
  <c r="J87" i="16"/>
  <c r="J95" i="16"/>
  <c r="J103" i="16"/>
  <c r="J111" i="16"/>
  <c r="J119" i="16"/>
  <c r="J127" i="16"/>
  <c r="J135" i="16"/>
  <c r="J143" i="16"/>
  <c r="J151" i="16"/>
  <c r="J159" i="16"/>
  <c r="J167" i="16"/>
  <c r="J175" i="16"/>
  <c r="J183" i="16"/>
  <c r="J191" i="16"/>
  <c r="J199" i="16"/>
  <c r="J207" i="16"/>
  <c r="J215" i="16"/>
  <c r="J223" i="16"/>
  <c r="J231" i="16"/>
  <c r="J239" i="16"/>
  <c r="J247" i="16"/>
  <c r="J255" i="16"/>
  <c r="J263" i="16"/>
  <c r="J271" i="16"/>
  <c r="J279" i="16"/>
  <c r="J287" i="16"/>
  <c r="J295" i="16"/>
  <c r="J303" i="16"/>
  <c r="J311" i="16"/>
  <c r="J319" i="16"/>
  <c r="J327" i="16"/>
  <c r="J335" i="16"/>
  <c r="J343" i="16"/>
  <c r="J351" i="16"/>
  <c r="J359" i="16"/>
  <c r="J367" i="16"/>
  <c r="J375" i="16"/>
  <c r="J383" i="16"/>
  <c r="J391" i="16"/>
  <c r="J399" i="16"/>
  <c r="J407" i="16"/>
  <c r="J415" i="16"/>
  <c r="J423" i="16"/>
  <c r="J431" i="16"/>
  <c r="J439" i="16"/>
  <c r="J447" i="16"/>
  <c r="J455" i="16"/>
  <c r="J463" i="16"/>
  <c r="J471" i="16"/>
  <c r="J479" i="16"/>
  <c r="J487" i="16"/>
  <c r="J495" i="16"/>
  <c r="J503" i="16"/>
  <c r="J511" i="16"/>
  <c r="J519" i="16"/>
  <c r="J527" i="16"/>
  <c r="J535" i="16"/>
  <c r="J543" i="16"/>
  <c r="J551" i="16"/>
  <c r="J559" i="16"/>
  <c r="J567" i="16"/>
  <c r="J575" i="16"/>
  <c r="J583" i="16"/>
  <c r="J591" i="16"/>
  <c r="J599" i="16"/>
  <c r="J607" i="16"/>
  <c r="J615" i="16"/>
  <c r="J623" i="16"/>
  <c r="J631" i="16"/>
  <c r="J639" i="16"/>
  <c r="J647" i="16"/>
  <c r="J655" i="16"/>
  <c r="J663" i="16"/>
  <c r="J671" i="16"/>
  <c r="J679" i="16"/>
  <c r="J687" i="16"/>
  <c r="J695" i="16"/>
  <c r="J703" i="16"/>
  <c r="J711" i="16"/>
  <c r="J719" i="16"/>
  <c r="J727" i="16"/>
  <c r="J735" i="16"/>
  <c r="J743" i="16"/>
  <c r="J751" i="16"/>
  <c r="J759" i="16"/>
  <c r="J767" i="16"/>
  <c r="J8" i="16"/>
  <c r="J16" i="16"/>
  <c r="J24" i="16"/>
  <c r="J32" i="16"/>
  <c r="J40" i="16"/>
  <c r="J48" i="16"/>
  <c r="J56" i="16"/>
  <c r="J64" i="16"/>
  <c r="J72" i="16"/>
  <c r="J80" i="16"/>
  <c r="J88" i="16"/>
  <c r="J96" i="16"/>
  <c r="J104" i="16"/>
  <c r="J112" i="16"/>
  <c r="J120" i="16"/>
  <c r="J128" i="16"/>
  <c r="J136" i="16"/>
  <c r="J144" i="16"/>
  <c r="J152" i="16"/>
  <c r="J160" i="16"/>
  <c r="J168" i="16"/>
  <c r="J176" i="16"/>
  <c r="J184" i="16"/>
  <c r="J192" i="16"/>
  <c r="J200" i="16"/>
  <c r="J208" i="16"/>
  <c r="J216" i="16"/>
  <c r="J224" i="16"/>
  <c r="J232" i="16"/>
  <c r="J240" i="16"/>
  <c r="J248" i="16"/>
  <c r="J256" i="16"/>
  <c r="J264" i="16"/>
  <c r="J272" i="16"/>
  <c r="K272" i="16" s="1"/>
  <c r="J280" i="16"/>
  <c r="J288" i="16"/>
  <c r="J296" i="16"/>
  <c r="J304" i="16"/>
  <c r="J312" i="16"/>
  <c r="J320" i="16"/>
  <c r="J328" i="16"/>
  <c r="J336" i="16"/>
  <c r="J344" i="16"/>
  <c r="J352" i="16"/>
  <c r="J360" i="16"/>
  <c r="J368" i="16"/>
  <c r="J376" i="16"/>
  <c r="J384" i="16"/>
  <c r="J392" i="16"/>
  <c r="J400" i="16"/>
  <c r="J408" i="16"/>
  <c r="J416" i="16"/>
  <c r="J424" i="16"/>
  <c r="J432" i="16"/>
  <c r="J440" i="16"/>
  <c r="J448" i="16"/>
  <c r="J456" i="16"/>
  <c r="J464" i="16"/>
  <c r="J472" i="16"/>
  <c r="J480" i="16"/>
  <c r="J488" i="16"/>
  <c r="J496" i="16"/>
  <c r="J504" i="16"/>
  <c r="J512" i="16"/>
  <c r="J520" i="16"/>
  <c r="J528" i="16"/>
  <c r="J536" i="16"/>
  <c r="J544" i="16"/>
  <c r="J552" i="16"/>
  <c r="J560" i="16"/>
  <c r="J568" i="16"/>
  <c r="J576" i="16"/>
  <c r="J584" i="16"/>
  <c r="J592" i="16"/>
  <c r="J600" i="16"/>
  <c r="J608" i="16"/>
  <c r="J616" i="16"/>
  <c r="J624" i="16"/>
  <c r="J632" i="16"/>
  <c r="J640" i="16"/>
  <c r="J648" i="16"/>
  <c r="J656" i="16"/>
  <c r="K656" i="16" s="1"/>
  <c r="J664" i="16"/>
  <c r="J672" i="16"/>
  <c r="J680" i="16"/>
  <c r="J688" i="16"/>
  <c r="J696" i="16"/>
  <c r="J704" i="16"/>
  <c r="J712" i="16"/>
  <c r="J720" i="16"/>
  <c r="K720" i="16" s="1"/>
  <c r="J728" i="16"/>
  <c r="J736" i="16"/>
  <c r="J744" i="16"/>
  <c r="J752" i="16"/>
  <c r="J760" i="16"/>
  <c r="J10" i="16"/>
  <c r="J18" i="16"/>
  <c r="J26" i="16"/>
  <c r="J34" i="16"/>
  <c r="J42" i="16"/>
  <c r="J50" i="16"/>
  <c r="J58" i="16"/>
  <c r="J66" i="16"/>
  <c r="J74" i="16"/>
  <c r="J82" i="16"/>
  <c r="J90" i="16"/>
  <c r="J98" i="16"/>
  <c r="J106" i="16"/>
  <c r="J114" i="16"/>
  <c r="J122" i="16"/>
  <c r="J130" i="16"/>
  <c r="J138" i="16"/>
  <c r="J146" i="16"/>
  <c r="J154" i="16"/>
  <c r="J162" i="16"/>
  <c r="J170" i="16"/>
  <c r="J178" i="16"/>
  <c r="J186" i="16"/>
  <c r="J194" i="16"/>
  <c r="J202" i="16"/>
  <c r="J210" i="16"/>
  <c r="J218" i="16"/>
  <c r="J226" i="16"/>
  <c r="J234" i="16"/>
  <c r="J242" i="16"/>
  <c r="J250" i="16"/>
  <c r="J258" i="16"/>
  <c r="J266" i="16"/>
  <c r="J274" i="16"/>
  <c r="J282" i="16"/>
  <c r="K282" i="16" s="1"/>
  <c r="J290" i="16"/>
  <c r="J11" i="16"/>
  <c r="J19" i="16"/>
  <c r="J27" i="16"/>
  <c r="J35" i="16"/>
  <c r="J43" i="16"/>
  <c r="J51" i="16"/>
  <c r="J59" i="16"/>
  <c r="J67" i="16"/>
  <c r="J75" i="16"/>
  <c r="J83" i="16"/>
  <c r="J91" i="16"/>
  <c r="J99" i="16"/>
  <c r="J107" i="16"/>
  <c r="J115" i="16"/>
  <c r="J123" i="16"/>
  <c r="J131" i="16"/>
  <c r="J139" i="16"/>
  <c r="J147" i="16"/>
  <c r="J155" i="16"/>
  <c r="J163" i="16"/>
  <c r="J171" i="16"/>
  <c r="J179" i="16"/>
  <c r="J187" i="16"/>
  <c r="J195" i="16"/>
  <c r="J203" i="16"/>
  <c r="J211" i="16"/>
  <c r="J219" i="16"/>
  <c r="J227" i="16"/>
  <c r="J235" i="16"/>
  <c r="J243" i="16"/>
  <c r="J251" i="16"/>
  <c r="J259" i="16"/>
  <c r="J267" i="16"/>
  <c r="J275" i="16"/>
  <c r="J283" i="16"/>
  <c r="J291" i="16"/>
  <c r="J299" i="16"/>
  <c r="J307" i="16"/>
  <c r="J315" i="16"/>
  <c r="J323" i="16"/>
  <c r="J331" i="16"/>
  <c r="J339" i="16"/>
  <c r="J347" i="16"/>
  <c r="J355" i="16"/>
  <c r="J363" i="16"/>
  <c r="J371" i="16"/>
  <c r="J379" i="16"/>
  <c r="J387" i="16"/>
  <c r="J395" i="16"/>
  <c r="J403" i="16"/>
  <c r="J411" i="16"/>
  <c r="J419" i="16"/>
  <c r="J427" i="16"/>
  <c r="J435" i="16"/>
  <c r="J443" i="16"/>
  <c r="J451" i="16"/>
  <c r="J459" i="16"/>
  <c r="J467" i="16"/>
  <c r="J475" i="16"/>
  <c r="J483" i="16"/>
  <c r="J491" i="16"/>
  <c r="J499" i="16"/>
  <c r="J507" i="16"/>
  <c r="J515" i="16"/>
  <c r="J523" i="16"/>
  <c r="J531" i="16"/>
  <c r="J539" i="16"/>
  <c r="J547" i="16"/>
  <c r="J555" i="16"/>
  <c r="J563" i="16"/>
  <c r="J571" i="16"/>
  <c r="J579" i="16"/>
  <c r="J587" i="16"/>
  <c r="J595" i="16"/>
  <c r="J603" i="16"/>
  <c r="J611" i="16"/>
  <c r="J619" i="16"/>
  <c r="J627" i="16"/>
  <c r="J635" i="16"/>
  <c r="J643" i="16"/>
  <c r="J651" i="16"/>
  <c r="J659" i="16"/>
  <c r="J667" i="16"/>
  <c r="J675" i="16"/>
  <c r="J683" i="16"/>
  <c r="J691" i="16"/>
  <c r="J699" i="16"/>
  <c r="J707" i="16"/>
  <c r="J715" i="16"/>
  <c r="J723" i="16"/>
  <c r="J731" i="16"/>
  <c r="J739" i="16"/>
  <c r="J747" i="16"/>
  <c r="J755" i="16"/>
  <c r="J763" i="16"/>
  <c r="J25" i="16"/>
  <c r="J89" i="16"/>
  <c r="J153" i="16"/>
  <c r="J217" i="16"/>
  <c r="J281" i="16"/>
  <c r="J321" i="16"/>
  <c r="J353" i="16"/>
  <c r="J385" i="16"/>
  <c r="J417" i="16"/>
  <c r="J449" i="16"/>
  <c r="J481" i="16"/>
  <c r="J513" i="16"/>
  <c r="J545" i="16"/>
  <c r="J577" i="16"/>
  <c r="J609" i="16"/>
  <c r="J641" i="16"/>
  <c r="J673" i="16"/>
  <c r="J705" i="16"/>
  <c r="J737" i="16"/>
  <c r="J768" i="16"/>
  <c r="J776" i="16"/>
  <c r="J784" i="16"/>
  <c r="J792" i="16"/>
  <c r="J800" i="16"/>
  <c r="J808" i="16"/>
  <c r="J816" i="16"/>
  <c r="J824" i="16"/>
  <c r="J832" i="16"/>
  <c r="J840" i="16"/>
  <c r="J848" i="16"/>
  <c r="J856" i="16"/>
  <c r="J864" i="16"/>
  <c r="J872" i="16"/>
  <c r="J880" i="16"/>
  <c r="J888" i="16"/>
  <c r="J896" i="16"/>
  <c r="J904" i="16"/>
  <c r="J912" i="16"/>
  <c r="J920" i="16"/>
  <c r="J928" i="16"/>
  <c r="J936" i="16"/>
  <c r="J944" i="16"/>
  <c r="J952" i="16"/>
  <c r="J960" i="16"/>
  <c r="J968" i="16"/>
  <c r="J976" i="16"/>
  <c r="J984" i="16"/>
  <c r="J992" i="16"/>
  <c r="J1000" i="16"/>
  <c r="J1008" i="16"/>
  <c r="J1016" i="16"/>
  <c r="J1024" i="16"/>
  <c r="J1032" i="16"/>
  <c r="J1040" i="16"/>
  <c r="J1048" i="16"/>
  <c r="J1056" i="16"/>
  <c r="J1064" i="16"/>
  <c r="J1072" i="16"/>
  <c r="J1080" i="16"/>
  <c r="J1088" i="16"/>
  <c r="J1096" i="16"/>
  <c r="J1104" i="16"/>
  <c r="J1112" i="16"/>
  <c r="J1120" i="16"/>
  <c r="J1128" i="16"/>
  <c r="J1136" i="16"/>
  <c r="J1144" i="16"/>
  <c r="J1152" i="16"/>
  <c r="J1160" i="16"/>
  <c r="J1168" i="16"/>
  <c r="J1176" i="16"/>
  <c r="J1184" i="16"/>
  <c r="J1192" i="16"/>
  <c r="J1200" i="16"/>
  <c r="J1208" i="16"/>
  <c r="J1216" i="16"/>
  <c r="J1224" i="16"/>
  <c r="J1232" i="16"/>
  <c r="J1240" i="16"/>
  <c r="J1248" i="16"/>
  <c r="J1256" i="16"/>
  <c r="J1264" i="16"/>
  <c r="J1272" i="16"/>
  <c r="J1280" i="16"/>
  <c r="J1288" i="16"/>
  <c r="J1296" i="16"/>
  <c r="J1304" i="16"/>
  <c r="J1312" i="16"/>
  <c r="J1320" i="16"/>
  <c r="J1328" i="16"/>
  <c r="J1336" i="16"/>
  <c r="J1344" i="16"/>
  <c r="J1352" i="16"/>
  <c r="J1360" i="16"/>
  <c r="J1368" i="16"/>
  <c r="J1376" i="16"/>
  <c r="J1384" i="16"/>
  <c r="J1392" i="16"/>
  <c r="J1400" i="16"/>
  <c r="J1408" i="16"/>
  <c r="J1416" i="16"/>
  <c r="J1424" i="16"/>
  <c r="J1432" i="16"/>
  <c r="J1440" i="16"/>
  <c r="J1448" i="16"/>
  <c r="J1456" i="16"/>
  <c r="J1464" i="16"/>
  <c r="J1472" i="16"/>
  <c r="J1480" i="16"/>
  <c r="J1488" i="16"/>
  <c r="J1496" i="16"/>
  <c r="J1504" i="16"/>
  <c r="K1504" i="16" s="1"/>
  <c r="J1512" i="16"/>
  <c r="J1520" i="16"/>
  <c r="J1528" i="16"/>
  <c r="J1536" i="16"/>
  <c r="J1544" i="16"/>
  <c r="J1552" i="16"/>
  <c r="J1560" i="16"/>
  <c r="J1568" i="16"/>
  <c r="J1576" i="16"/>
  <c r="J1584" i="16"/>
  <c r="J1592" i="16"/>
  <c r="J1600" i="16"/>
  <c r="J1608" i="16"/>
  <c r="J1616" i="16"/>
  <c r="J1624" i="16"/>
  <c r="J1632" i="16"/>
  <c r="J1640" i="16"/>
  <c r="J1648" i="16"/>
  <c r="J1656" i="16"/>
  <c r="J1664" i="16"/>
  <c r="J1672" i="16"/>
  <c r="J1680" i="16"/>
  <c r="J1688" i="16"/>
  <c r="J1696" i="16"/>
  <c r="J1704" i="16"/>
  <c r="J1712" i="16"/>
  <c r="J1720" i="16"/>
  <c r="J1728" i="16"/>
  <c r="J1736" i="16"/>
  <c r="J1744" i="16"/>
  <c r="J1752" i="16"/>
  <c r="J1760" i="16"/>
  <c r="J1768" i="16"/>
  <c r="J1776" i="16"/>
  <c r="J1784" i="16"/>
  <c r="J1792" i="16"/>
  <c r="J1800" i="16"/>
  <c r="J1808" i="16"/>
  <c r="J1816" i="16"/>
  <c r="J1824" i="16"/>
  <c r="J1832" i="16"/>
  <c r="J1840" i="16"/>
  <c r="J1848" i="16"/>
  <c r="J1856" i="16"/>
  <c r="J1864" i="16"/>
  <c r="J1872" i="16"/>
  <c r="J1880" i="16"/>
  <c r="J1888" i="16"/>
  <c r="J1896" i="16"/>
  <c r="J1904" i="16"/>
  <c r="J1912" i="16"/>
  <c r="J1920" i="16"/>
  <c r="J1928" i="16"/>
  <c r="J1936" i="16"/>
  <c r="J1944" i="16"/>
  <c r="J1952" i="16"/>
  <c r="J1960" i="16"/>
  <c r="J1968" i="16"/>
  <c r="J1976" i="16"/>
  <c r="J1984" i="16"/>
  <c r="J1992" i="16"/>
  <c r="J2000" i="16"/>
  <c r="J2008" i="16"/>
  <c r="J2016" i="16"/>
  <c r="J2024" i="16"/>
  <c r="J2032" i="16"/>
  <c r="J2040" i="16"/>
  <c r="J2048" i="16"/>
  <c r="J2056" i="16"/>
  <c r="J2064" i="16"/>
  <c r="J2072" i="16"/>
  <c r="J2080" i="16"/>
  <c r="J2088" i="16"/>
  <c r="J2096" i="16"/>
  <c r="J2104" i="16"/>
  <c r="J2112" i="16"/>
  <c r="J2120" i="16"/>
  <c r="J2128" i="16"/>
  <c r="J2136" i="16"/>
  <c r="J2144" i="16"/>
  <c r="J2152" i="16"/>
  <c r="J2160" i="16"/>
  <c r="J2168" i="16"/>
  <c r="J2176" i="16"/>
  <c r="J2184" i="16"/>
  <c r="J2192" i="16"/>
  <c r="J2200" i="16"/>
  <c r="J2208" i="16"/>
  <c r="J2216" i="16"/>
  <c r="J2224" i="16"/>
  <c r="J2232" i="16"/>
  <c r="J2240" i="16"/>
  <c r="J2248" i="16"/>
  <c r="J2256" i="16"/>
  <c r="J2264" i="16"/>
  <c r="J2272" i="16"/>
  <c r="J2280" i="16"/>
  <c r="J2288" i="16"/>
  <c r="J2296" i="16"/>
  <c r="J2304" i="16"/>
  <c r="J2312" i="16"/>
  <c r="J2320" i="16"/>
  <c r="J2328" i="16"/>
  <c r="J2336" i="16"/>
  <c r="J33" i="16"/>
  <c r="J97" i="16"/>
  <c r="J161" i="16"/>
  <c r="J225" i="16"/>
  <c r="J289" i="16"/>
  <c r="J322" i="16"/>
  <c r="J354" i="16"/>
  <c r="J386" i="16"/>
  <c r="J418" i="16"/>
  <c r="J450" i="16"/>
  <c r="J482" i="16"/>
  <c r="J514" i="16"/>
  <c r="J546" i="16"/>
  <c r="J578" i="16"/>
  <c r="J610" i="16"/>
  <c r="J642" i="16"/>
  <c r="K642" i="16" s="1"/>
  <c r="J674" i="16"/>
  <c r="J706" i="16"/>
  <c r="J738" i="16"/>
  <c r="J769" i="16"/>
  <c r="J777" i="16"/>
  <c r="J785" i="16"/>
  <c r="J793" i="16"/>
  <c r="J801" i="16"/>
  <c r="J809" i="16"/>
  <c r="J817" i="16"/>
  <c r="J825" i="16"/>
  <c r="J833" i="16"/>
  <c r="J841" i="16"/>
  <c r="J849" i="16"/>
  <c r="J857" i="16"/>
  <c r="J865" i="16"/>
  <c r="J873" i="16"/>
  <c r="J881" i="16"/>
  <c r="J889" i="16"/>
  <c r="J897" i="16"/>
  <c r="J905" i="16"/>
  <c r="J913" i="16"/>
  <c r="J921" i="16"/>
  <c r="J929" i="16"/>
  <c r="J937" i="16"/>
  <c r="J945" i="16"/>
  <c r="J953" i="16"/>
  <c r="J961" i="16"/>
  <c r="J969" i="16"/>
  <c r="J977" i="16"/>
  <c r="J985" i="16"/>
  <c r="J993" i="16"/>
  <c r="J1001" i="16"/>
  <c r="J1009" i="16"/>
  <c r="J1017" i="16"/>
  <c r="J1025" i="16"/>
  <c r="J1033" i="16"/>
  <c r="J1041" i="16"/>
  <c r="J1049" i="16"/>
  <c r="J1057" i="16"/>
  <c r="J1065" i="16"/>
  <c r="J1073" i="16"/>
  <c r="J1081" i="16"/>
  <c r="J1089" i="16"/>
  <c r="J1097" i="16"/>
  <c r="J1105" i="16"/>
  <c r="J1113" i="16"/>
  <c r="J1121" i="16"/>
  <c r="J1129" i="16"/>
  <c r="J1137" i="16"/>
  <c r="J1145" i="16"/>
  <c r="J1153" i="16"/>
  <c r="J1161" i="16"/>
  <c r="J1169" i="16"/>
  <c r="J1177" i="16"/>
  <c r="J1185" i="16"/>
  <c r="J1193" i="16"/>
  <c r="J1201" i="16"/>
  <c r="J1209" i="16"/>
  <c r="J1217" i="16"/>
  <c r="J1225" i="16"/>
  <c r="J1233" i="16"/>
  <c r="J1241" i="16"/>
  <c r="J1249" i="16"/>
  <c r="J1257" i="16"/>
  <c r="J1265" i="16"/>
  <c r="J1273" i="16"/>
  <c r="J1281" i="16"/>
  <c r="J1289" i="16"/>
  <c r="J1297" i="16"/>
  <c r="J1305" i="16"/>
  <c r="J1313" i="16"/>
  <c r="J1321" i="16"/>
  <c r="J1329" i="16"/>
  <c r="J1337" i="16"/>
  <c r="J1345" i="16"/>
  <c r="J1353" i="16"/>
  <c r="J1361" i="16"/>
  <c r="J1369" i="16"/>
  <c r="J1377" i="16"/>
  <c r="K1377" i="16" s="1"/>
  <c r="AI1377" i="16" s="1"/>
  <c r="J1385" i="16"/>
  <c r="J1393" i="16"/>
  <c r="J1401" i="16"/>
  <c r="J1409" i="16"/>
  <c r="J1417" i="16"/>
  <c r="J1425" i="16"/>
  <c r="J1433" i="16"/>
  <c r="J1441" i="16"/>
  <c r="J1449" i="16"/>
  <c r="J1457" i="16"/>
  <c r="J1465" i="16"/>
  <c r="J1473" i="16"/>
  <c r="J1481" i="16"/>
  <c r="J1489" i="16"/>
  <c r="J1497" i="16"/>
  <c r="J1505" i="16"/>
  <c r="J1513" i="16"/>
  <c r="J1521" i="16"/>
  <c r="J1529" i="16"/>
  <c r="J1537" i="16"/>
  <c r="J1545" i="16"/>
  <c r="J1553" i="16"/>
  <c r="J1561" i="16"/>
  <c r="J1569" i="16"/>
  <c r="J1577" i="16"/>
  <c r="J1585" i="16"/>
  <c r="J1593" i="16"/>
  <c r="J1601" i="16"/>
  <c r="J1609" i="16"/>
  <c r="J1617" i="16"/>
  <c r="J1625" i="16"/>
  <c r="J1633" i="16"/>
  <c r="K1633" i="16" s="1"/>
  <c r="J1641" i="16"/>
  <c r="J1649" i="16"/>
  <c r="J1657" i="16"/>
  <c r="J1665" i="16"/>
  <c r="J1673" i="16"/>
  <c r="J1681" i="16"/>
  <c r="J1689" i="16"/>
  <c r="J1697" i="16"/>
  <c r="J1705" i="16"/>
  <c r="J1713" i="16"/>
  <c r="J1721" i="16"/>
  <c r="J1729" i="16"/>
  <c r="J1737" i="16"/>
  <c r="J1745" i="16"/>
  <c r="J1753" i="16"/>
  <c r="J1761" i="16"/>
  <c r="K1761" i="16" s="1"/>
  <c r="AI1761" i="16" s="1"/>
  <c r="J1769" i="16"/>
  <c r="J1777" i="16"/>
  <c r="J1785" i="16"/>
  <c r="J1793" i="16"/>
  <c r="J1801" i="16"/>
  <c r="J1809" i="16"/>
  <c r="J1817" i="16"/>
  <c r="J1825" i="16"/>
  <c r="K1825" i="16" s="1"/>
  <c r="AI1825" i="16" s="1"/>
  <c r="J1833" i="16"/>
  <c r="J1841" i="16"/>
  <c r="J1849" i="16"/>
  <c r="J1857" i="16"/>
  <c r="J1865" i="16"/>
  <c r="J1873" i="16"/>
  <c r="J1881" i="16"/>
  <c r="J1889" i="16"/>
  <c r="K1889" i="16" s="1"/>
  <c r="J1897" i="16"/>
  <c r="J1905" i="16"/>
  <c r="J1913" i="16"/>
  <c r="J1921" i="16"/>
  <c r="J1929" i="16"/>
  <c r="J1937" i="16"/>
  <c r="J1945" i="16"/>
  <c r="J1953" i="16"/>
  <c r="J1961" i="16"/>
  <c r="J1969" i="16"/>
  <c r="J1977" i="16"/>
  <c r="J1985" i="16"/>
  <c r="J1993" i="16"/>
  <c r="J2001" i="16"/>
  <c r="J2009" i="16"/>
  <c r="J2017" i="16"/>
  <c r="J2025" i="16"/>
  <c r="J2033" i="16"/>
  <c r="J2041" i="16"/>
  <c r="J2049" i="16"/>
  <c r="J2057" i="16"/>
  <c r="J2065" i="16"/>
  <c r="J2073" i="16"/>
  <c r="J2081" i="16"/>
  <c r="J2089" i="16"/>
  <c r="J2097" i="16"/>
  <c r="J2105" i="16"/>
  <c r="J2113" i="16"/>
  <c r="J2121" i="16"/>
  <c r="J2129" i="16"/>
  <c r="J2137" i="16"/>
  <c r="J2145" i="16"/>
  <c r="J2153" i="16"/>
  <c r="J2161" i="16"/>
  <c r="J2169" i="16"/>
  <c r="J2177" i="16"/>
  <c r="J2185" i="16"/>
  <c r="J2193" i="16"/>
  <c r="J2201" i="16"/>
  <c r="J2209" i="16"/>
  <c r="J2217" i="16"/>
  <c r="J2225" i="16"/>
  <c r="J2233" i="16"/>
  <c r="J2241" i="16"/>
  <c r="J2249" i="16"/>
  <c r="J2257" i="16"/>
  <c r="J2265" i="16"/>
  <c r="J2273" i="16"/>
  <c r="J2281" i="16"/>
  <c r="J2289" i="16"/>
  <c r="J2297" i="16"/>
  <c r="J2305" i="16"/>
  <c r="J2313" i="16"/>
  <c r="J2321" i="16"/>
  <c r="J2329" i="16"/>
  <c r="J2337" i="16"/>
  <c r="J41" i="16"/>
  <c r="J105" i="16"/>
  <c r="J169" i="16"/>
  <c r="J233" i="16"/>
  <c r="J297" i="16"/>
  <c r="J329" i="16"/>
  <c r="J361" i="16"/>
  <c r="J393" i="16"/>
  <c r="J425" i="16"/>
  <c r="J457" i="16"/>
  <c r="J489" i="16"/>
  <c r="J521" i="16"/>
  <c r="J553" i="16"/>
  <c r="J585" i="16"/>
  <c r="J617" i="16"/>
  <c r="J649" i="16"/>
  <c r="K649" i="16" s="1"/>
  <c r="J681" i="16"/>
  <c r="J713" i="16"/>
  <c r="J745" i="16"/>
  <c r="J770" i="16"/>
  <c r="J778" i="16"/>
  <c r="J786" i="16"/>
  <c r="J794" i="16"/>
  <c r="J802" i="16"/>
  <c r="J810" i="16"/>
  <c r="J818" i="16"/>
  <c r="J826" i="16"/>
  <c r="J834" i="16"/>
  <c r="J842" i="16"/>
  <c r="J850" i="16"/>
  <c r="J858" i="16"/>
  <c r="J866" i="16"/>
  <c r="J874" i="16"/>
  <c r="J882" i="16"/>
  <c r="J890" i="16"/>
  <c r="J898" i="16"/>
  <c r="J906" i="16"/>
  <c r="J914" i="16"/>
  <c r="J922" i="16"/>
  <c r="J930" i="16"/>
  <c r="J938" i="16"/>
  <c r="J946" i="16"/>
  <c r="J954" i="16"/>
  <c r="J962" i="16"/>
  <c r="J970" i="16"/>
  <c r="J978" i="16"/>
  <c r="J986" i="16"/>
  <c r="J994" i="16"/>
  <c r="J1002" i="16"/>
  <c r="J1010" i="16"/>
  <c r="J1018" i="16"/>
  <c r="J1026" i="16"/>
  <c r="J1034" i="16"/>
  <c r="J1042" i="16"/>
  <c r="J1050" i="16"/>
  <c r="J1058" i="16"/>
  <c r="J1066" i="16"/>
  <c r="J1074" i="16"/>
  <c r="J1082" i="16"/>
  <c r="J1090" i="16"/>
  <c r="J1098" i="16"/>
  <c r="J1106" i="16"/>
  <c r="J1114" i="16"/>
  <c r="J1122" i="16"/>
  <c r="K1122" i="16" s="1"/>
  <c r="J1130" i="16"/>
  <c r="J1138" i="16"/>
  <c r="J1146" i="16"/>
  <c r="J1154" i="16"/>
  <c r="J1162" i="16"/>
  <c r="J1170" i="16"/>
  <c r="J1178" i="16"/>
  <c r="J1186" i="16"/>
  <c r="J1194" i="16"/>
  <c r="J1202" i="16"/>
  <c r="J1210" i="16"/>
  <c r="J1218" i="16"/>
  <c r="J1226" i="16"/>
  <c r="J1234" i="16"/>
  <c r="J1242" i="16"/>
  <c r="J1250" i="16"/>
  <c r="J1258" i="16"/>
  <c r="J1266" i="16"/>
  <c r="J1274" i="16"/>
  <c r="J1282" i="16"/>
  <c r="J1290" i="16"/>
  <c r="J1298" i="16"/>
  <c r="J1306" i="16"/>
  <c r="J1314" i="16"/>
  <c r="J1322" i="16"/>
  <c r="J1330" i="16"/>
  <c r="J1338" i="16"/>
  <c r="J1346" i="16"/>
  <c r="J1354" i="16"/>
  <c r="J1362" i="16"/>
  <c r="J1370" i="16"/>
  <c r="J1378" i="16"/>
  <c r="K1378" i="16" s="1"/>
  <c r="J1386" i="16"/>
  <c r="J1394" i="16"/>
  <c r="J1402" i="16"/>
  <c r="J1410" i="16"/>
  <c r="J1418" i="16"/>
  <c r="J1426" i="16"/>
  <c r="J1434" i="16"/>
  <c r="J1442" i="16"/>
  <c r="J1450" i="16"/>
  <c r="J1458" i="16"/>
  <c r="J1466" i="16"/>
  <c r="J1474" i="16"/>
  <c r="J1482" i="16"/>
  <c r="J1490" i="16"/>
  <c r="J1498" i="16"/>
  <c r="J1506" i="16"/>
  <c r="J1514" i="16"/>
  <c r="J1522" i="16"/>
  <c r="J1530" i="16"/>
  <c r="J1538" i="16"/>
  <c r="J1546" i="16"/>
  <c r="J1554" i="16"/>
  <c r="J1562" i="16"/>
  <c r="J1570" i="16"/>
  <c r="K1570" i="16" s="1"/>
  <c r="J1578" i="16"/>
  <c r="J1586" i="16"/>
  <c r="J1594" i="16"/>
  <c r="J1602" i="16"/>
  <c r="J1610" i="16"/>
  <c r="J1618" i="16"/>
  <c r="J1626" i="16"/>
  <c r="J1634" i="16"/>
  <c r="K1634" i="16" s="1"/>
  <c r="J1642" i="16"/>
  <c r="J1650" i="16"/>
  <c r="J1658" i="16"/>
  <c r="J1666" i="16"/>
  <c r="J1674" i="16"/>
  <c r="J1682" i="16"/>
  <c r="J1690" i="16"/>
  <c r="J1698" i="16"/>
  <c r="K1698" i="16" s="1"/>
  <c r="J1706" i="16"/>
  <c r="J1714" i="16"/>
  <c r="J1722" i="16"/>
  <c r="J1730" i="16"/>
  <c r="J1738" i="16"/>
  <c r="J1746" i="16"/>
  <c r="J1754" i="16"/>
  <c r="J1762" i="16"/>
  <c r="J1770" i="16"/>
  <c r="J1778" i="16"/>
  <c r="J1786" i="16"/>
  <c r="J1794" i="16"/>
  <c r="J1802" i="16"/>
  <c r="J1810" i="16"/>
  <c r="J1818" i="16"/>
  <c r="J1826" i="16"/>
  <c r="J1834" i="16"/>
  <c r="J1842" i="16"/>
  <c r="J1850" i="16"/>
  <c r="J1858" i="16"/>
  <c r="J1866" i="16"/>
  <c r="J1874" i="16"/>
  <c r="J1882" i="16"/>
  <c r="J1890" i="16"/>
  <c r="J1898" i="16"/>
  <c r="J1906" i="16"/>
  <c r="J1914" i="16"/>
  <c r="J1922" i="16"/>
  <c r="J1930" i="16"/>
  <c r="J1938" i="16"/>
  <c r="J1946" i="16"/>
  <c r="J1954" i="16"/>
  <c r="K1954" i="16" s="1"/>
  <c r="J1962" i="16"/>
  <c r="J1970" i="16"/>
  <c r="J1978" i="16"/>
  <c r="J1986" i="16"/>
  <c r="J1994" i="16"/>
  <c r="J2002" i="16"/>
  <c r="J2010" i="16"/>
  <c r="J2018" i="16"/>
  <c r="K2018" i="16" s="1"/>
  <c r="J2026" i="16"/>
  <c r="J2034" i="16"/>
  <c r="J2042" i="16"/>
  <c r="J2050" i="16"/>
  <c r="J2058" i="16"/>
  <c r="J2066" i="16"/>
  <c r="J2074" i="16"/>
  <c r="J2082" i="16"/>
  <c r="J2090" i="16"/>
  <c r="J2098" i="16"/>
  <c r="J2106" i="16"/>
  <c r="J2114" i="16"/>
  <c r="J2122" i="16"/>
  <c r="J2130" i="16"/>
  <c r="J2138" i="16"/>
  <c r="J2146" i="16"/>
  <c r="K2146" i="16" s="1"/>
  <c r="J2154" i="16"/>
  <c r="J2162" i="16"/>
  <c r="J2170" i="16"/>
  <c r="J2178" i="16"/>
  <c r="J2186" i="16"/>
  <c r="J2194" i="16"/>
  <c r="J2202" i="16"/>
  <c r="J2210" i="16"/>
  <c r="K2210" i="16" s="1"/>
  <c r="J2218" i="16"/>
  <c r="J2226" i="16"/>
  <c r="J2234" i="16"/>
  <c r="J2242" i="16"/>
  <c r="J2250" i="16"/>
  <c r="J2258" i="16"/>
  <c r="J2266" i="16"/>
  <c r="J2274" i="16"/>
  <c r="J2282" i="16"/>
  <c r="J2290" i="16"/>
  <c r="J2298" i="16"/>
  <c r="J2306" i="16"/>
  <c r="J2314" i="16"/>
  <c r="J2322" i="16"/>
  <c r="J2330" i="16"/>
  <c r="J2338" i="16"/>
  <c r="J49" i="16"/>
  <c r="J113" i="16"/>
  <c r="J177" i="16"/>
  <c r="J241" i="16"/>
  <c r="J298" i="16"/>
  <c r="J330" i="16"/>
  <c r="J362" i="16"/>
  <c r="J394" i="16"/>
  <c r="K394" i="16" s="1"/>
  <c r="J426" i="16"/>
  <c r="J458" i="16"/>
  <c r="J490" i="16"/>
  <c r="J522" i="16"/>
  <c r="J554" i="16"/>
  <c r="J586" i="16"/>
  <c r="J618" i="16"/>
  <c r="J650" i="16"/>
  <c r="J682" i="16"/>
  <c r="J714" i="16"/>
  <c r="J746" i="16"/>
  <c r="J771" i="16"/>
  <c r="J779" i="16"/>
  <c r="J787" i="16"/>
  <c r="J795" i="16"/>
  <c r="J803" i="16"/>
  <c r="J811" i="16"/>
  <c r="J819" i="16"/>
  <c r="J827" i="16"/>
  <c r="J835" i="16"/>
  <c r="J843" i="16"/>
  <c r="J851" i="16"/>
  <c r="J859" i="16"/>
  <c r="J867" i="16"/>
  <c r="J875" i="16"/>
  <c r="J883" i="16"/>
  <c r="J891" i="16"/>
  <c r="J899" i="16"/>
  <c r="J907" i="16"/>
  <c r="J915" i="16"/>
  <c r="J923" i="16"/>
  <c r="J931" i="16"/>
  <c r="J939" i="16"/>
  <c r="J947" i="16"/>
  <c r="J955" i="16"/>
  <c r="J963" i="16"/>
  <c r="J971" i="16"/>
  <c r="J979" i="16"/>
  <c r="J987" i="16"/>
  <c r="J995" i="16"/>
  <c r="J1003" i="16"/>
  <c r="J1011" i="16"/>
  <c r="J1019" i="16"/>
  <c r="J1027" i="16"/>
  <c r="J1035" i="16"/>
  <c r="J1043" i="16"/>
  <c r="J1051" i="16"/>
  <c r="J1059" i="16"/>
  <c r="J1067" i="16"/>
  <c r="J1075" i="16"/>
  <c r="J1083" i="16"/>
  <c r="J1091" i="16"/>
  <c r="J1099" i="16"/>
  <c r="J1107" i="16"/>
  <c r="J1115" i="16"/>
  <c r="J1123" i="16"/>
  <c r="J1131" i="16"/>
  <c r="J1139" i="16"/>
  <c r="J1147" i="16"/>
  <c r="J1155" i="16"/>
  <c r="J1163" i="16"/>
  <c r="J1171" i="16"/>
  <c r="J1179" i="16"/>
  <c r="J1187" i="16"/>
  <c r="J1195" i="16"/>
  <c r="J1203" i="16"/>
  <c r="J1211" i="16"/>
  <c r="J1219" i="16"/>
  <c r="J1227" i="16"/>
  <c r="J1235" i="16"/>
  <c r="J1243" i="16"/>
  <c r="J1251" i="16"/>
  <c r="K1251" i="16" s="1"/>
  <c r="J1259" i="16"/>
  <c r="J1267" i="16"/>
  <c r="J1275" i="16"/>
  <c r="J1283" i="16"/>
  <c r="J1291" i="16"/>
  <c r="J1299" i="16"/>
  <c r="J1307" i="16"/>
  <c r="J1315" i="16"/>
  <c r="K1315" i="16" s="1"/>
  <c r="J1323" i="16"/>
  <c r="J1331" i="16"/>
  <c r="J1339" i="16"/>
  <c r="J1347" i="16"/>
  <c r="J1355" i="16"/>
  <c r="J1363" i="16"/>
  <c r="J1371" i="16"/>
  <c r="J1379" i="16"/>
  <c r="K1379" i="16" s="1"/>
  <c r="J1387" i="16"/>
  <c r="J1395" i="16"/>
  <c r="J1403" i="16"/>
  <c r="J1411" i="16"/>
  <c r="J1419" i="16"/>
  <c r="J1427" i="16"/>
  <c r="J1435" i="16"/>
  <c r="J1443" i="16"/>
  <c r="J1451" i="16"/>
  <c r="J1459" i="16"/>
  <c r="J1467" i="16"/>
  <c r="J1475" i="16"/>
  <c r="J1483" i="16"/>
  <c r="J1491" i="16"/>
  <c r="J1499" i="16"/>
  <c r="J1507" i="16"/>
  <c r="J1515" i="16"/>
  <c r="J1523" i="16"/>
  <c r="J1531" i="16"/>
  <c r="J1539" i="16"/>
  <c r="J1547" i="16"/>
  <c r="J1555" i="16"/>
  <c r="J1563" i="16"/>
  <c r="J1571" i="16"/>
  <c r="J1579" i="16"/>
  <c r="J1587" i="16"/>
  <c r="J1595" i="16"/>
  <c r="J1603" i="16"/>
  <c r="J1611" i="16"/>
  <c r="J1619" i="16"/>
  <c r="J1627" i="16"/>
  <c r="J1635" i="16"/>
  <c r="K1635" i="16" s="1"/>
  <c r="J1643" i="16"/>
  <c r="J1651" i="16"/>
  <c r="J1659" i="16"/>
  <c r="J1667" i="16"/>
  <c r="J1675" i="16"/>
  <c r="J1683" i="16"/>
  <c r="J1691" i="16"/>
  <c r="J1699" i="16"/>
  <c r="K1699" i="16" s="1"/>
  <c r="J1707" i="16"/>
  <c r="J1715" i="16"/>
  <c r="J1723" i="16"/>
  <c r="J1731" i="16"/>
  <c r="J1739" i="16"/>
  <c r="J1747" i="16"/>
  <c r="J1755" i="16"/>
  <c r="J1763" i="16"/>
  <c r="K1763" i="16" s="1"/>
  <c r="J1771" i="16"/>
  <c r="J1779" i="16"/>
  <c r="J1787" i="16"/>
  <c r="J1795" i="16"/>
  <c r="J1803" i="16"/>
  <c r="J1811" i="16"/>
  <c r="J1819" i="16"/>
  <c r="J1827" i="16"/>
  <c r="J1835" i="16"/>
  <c r="J1843" i="16"/>
  <c r="J1851" i="16"/>
  <c r="J1859" i="16"/>
  <c r="J1867" i="16"/>
  <c r="J1875" i="16"/>
  <c r="J1883" i="16"/>
  <c r="J1891" i="16"/>
  <c r="K1891" i="16" s="1"/>
  <c r="J1899" i="16"/>
  <c r="J1907" i="16"/>
  <c r="J1915" i="16"/>
  <c r="J1923" i="16"/>
  <c r="J1931" i="16"/>
  <c r="J1939" i="16"/>
  <c r="J1947" i="16"/>
  <c r="J1955" i="16"/>
  <c r="K1955" i="16" s="1"/>
  <c r="J1963" i="16"/>
  <c r="J1971" i="16"/>
  <c r="J1979" i="16"/>
  <c r="J1987" i="16"/>
  <c r="J1995" i="16"/>
  <c r="J2003" i="16"/>
  <c r="J2011" i="16"/>
  <c r="J2019" i="16"/>
  <c r="K2019" i="16" s="1"/>
  <c r="J2027" i="16"/>
  <c r="J2035" i="16"/>
  <c r="J2043" i="16"/>
  <c r="J2051" i="16"/>
  <c r="J2059" i="16"/>
  <c r="J2067" i="16"/>
  <c r="J2075" i="16"/>
  <c r="J2083" i="16"/>
  <c r="K2083" i="16" s="1"/>
  <c r="J2091" i="16"/>
  <c r="J2099" i="16"/>
  <c r="J2107" i="16"/>
  <c r="J2115" i="16"/>
  <c r="J2123" i="16"/>
  <c r="J2131" i="16"/>
  <c r="J2139" i="16"/>
  <c r="J2147" i="16"/>
  <c r="K2147" i="16" s="1"/>
  <c r="J2155" i="16"/>
  <c r="J2163" i="16"/>
  <c r="J2171" i="16"/>
  <c r="J2179" i="16"/>
  <c r="J2187" i="16"/>
  <c r="J2195" i="16"/>
  <c r="J2203" i="16"/>
  <c r="J2211" i="16"/>
  <c r="K2211" i="16" s="1"/>
  <c r="J2219" i="16"/>
  <c r="J2227" i="16"/>
  <c r="J2235" i="16"/>
  <c r="J2243" i="16"/>
  <c r="J2251" i="16"/>
  <c r="J2259" i="16"/>
  <c r="J2267" i="16"/>
  <c r="J2275" i="16"/>
  <c r="J2283" i="16"/>
  <c r="J2291" i="16"/>
  <c r="J2299" i="16"/>
  <c r="J2307" i="16"/>
  <c r="J2315" i="16"/>
  <c r="J2323" i="16"/>
  <c r="J2331" i="16"/>
  <c r="J2339" i="16"/>
  <c r="J57" i="16"/>
  <c r="J121" i="16"/>
  <c r="J185" i="16"/>
  <c r="J249" i="16"/>
  <c r="J305" i="16"/>
  <c r="J337" i="16"/>
  <c r="J369" i="16"/>
  <c r="J401" i="16"/>
  <c r="K401" i="16" s="1"/>
  <c r="J433" i="16"/>
  <c r="J465" i="16"/>
  <c r="J497" i="16"/>
  <c r="J529" i="16"/>
  <c r="J561" i="16"/>
  <c r="J593" i="16"/>
  <c r="J625" i="16"/>
  <c r="J657" i="16"/>
  <c r="K657" i="16" s="1"/>
  <c r="J689" i="16"/>
  <c r="J721" i="16"/>
  <c r="J753" i="16"/>
  <c r="J772" i="16"/>
  <c r="J780" i="16"/>
  <c r="J788" i="16"/>
  <c r="J796" i="16"/>
  <c r="J804" i="16"/>
  <c r="K804" i="16" s="1"/>
  <c r="AI804" i="16" s="1"/>
  <c r="J812" i="16"/>
  <c r="J820" i="16"/>
  <c r="J828" i="16"/>
  <c r="J836" i="16"/>
  <c r="J844" i="16"/>
  <c r="J852" i="16"/>
  <c r="J860" i="16"/>
  <c r="J868" i="16"/>
  <c r="K868" i="16" s="1"/>
  <c r="J876" i="16"/>
  <c r="J884" i="16"/>
  <c r="J892" i="16"/>
  <c r="J900" i="16"/>
  <c r="J908" i="16"/>
  <c r="J916" i="16"/>
  <c r="J924" i="16"/>
  <c r="J932" i="16"/>
  <c r="J940" i="16"/>
  <c r="J948" i="16"/>
  <c r="J956" i="16"/>
  <c r="J964" i="16"/>
  <c r="J972" i="16"/>
  <c r="J980" i="16"/>
  <c r="J988" i="16"/>
  <c r="J996" i="16"/>
  <c r="K996" i="16" s="1"/>
  <c r="J1004" i="16"/>
  <c r="J1012" i="16"/>
  <c r="J1020" i="16"/>
  <c r="J1028" i="16"/>
  <c r="J1036" i="16"/>
  <c r="J1044" i="16"/>
  <c r="J1052" i="16"/>
  <c r="J1060" i="16"/>
  <c r="J1068" i="16"/>
  <c r="J1076" i="16"/>
  <c r="J1084" i="16"/>
  <c r="J1092" i="16"/>
  <c r="J1100" i="16"/>
  <c r="J1108" i="16"/>
  <c r="J1116" i="16"/>
  <c r="J1124" i="16"/>
  <c r="K1124" i="16" s="1"/>
  <c r="AI1124" i="16" s="1"/>
  <c r="J1132" i="16"/>
  <c r="J1140" i="16"/>
  <c r="J1148" i="16"/>
  <c r="J1156" i="16"/>
  <c r="J1164" i="16"/>
  <c r="J1172" i="16"/>
  <c r="J1180" i="16"/>
  <c r="J1188" i="16"/>
  <c r="K1188" i="16" s="1"/>
  <c r="J1196" i="16"/>
  <c r="J1204" i="16"/>
  <c r="J1212" i="16"/>
  <c r="J1220" i="16"/>
  <c r="J1228" i="16"/>
  <c r="J1236" i="16"/>
  <c r="J1244" i="16"/>
  <c r="J1252" i="16"/>
  <c r="K1252" i="16" s="1"/>
  <c r="J1260" i="16"/>
  <c r="J1268" i="16"/>
  <c r="J1276" i="16"/>
  <c r="J1284" i="16"/>
  <c r="J1292" i="16"/>
  <c r="J1300" i="16"/>
  <c r="J1308" i="16"/>
  <c r="J1316" i="16"/>
  <c r="K1316" i="16" s="1"/>
  <c r="J1324" i="16"/>
  <c r="J1332" i="16"/>
  <c r="J1340" i="16"/>
  <c r="J1348" i="16"/>
  <c r="J1356" i="16"/>
  <c r="J1364" i="16"/>
  <c r="J1372" i="16"/>
  <c r="J1380" i="16"/>
  <c r="J1388" i="16"/>
  <c r="J1396" i="16"/>
  <c r="J1404" i="16"/>
  <c r="J1412" i="16"/>
  <c r="J1420" i="16"/>
  <c r="J1428" i="16"/>
  <c r="J1436" i="16"/>
  <c r="J1444" i="16"/>
  <c r="K1444" i="16" s="1"/>
  <c r="J1452" i="16"/>
  <c r="J1460" i="16"/>
  <c r="J1468" i="16"/>
  <c r="J1476" i="16"/>
  <c r="J1484" i="16"/>
  <c r="J1492" i="16"/>
  <c r="J1500" i="16"/>
  <c r="J1508" i="16"/>
  <c r="J1516" i="16"/>
  <c r="J1524" i="16"/>
  <c r="J1532" i="16"/>
  <c r="J1540" i="16"/>
  <c r="J1548" i="16"/>
  <c r="J1556" i="16"/>
  <c r="J1564" i="16"/>
  <c r="J1572" i="16"/>
  <c r="K1572" i="16" s="1"/>
  <c r="J1580" i="16"/>
  <c r="J1588" i="16"/>
  <c r="J1596" i="16"/>
  <c r="J1604" i="16"/>
  <c r="J1612" i="16"/>
  <c r="J1620" i="16"/>
  <c r="J1628" i="16"/>
  <c r="J1636" i="16"/>
  <c r="J1644" i="16"/>
  <c r="J1652" i="16"/>
  <c r="J1660" i="16"/>
  <c r="J1668" i="16"/>
  <c r="J1676" i="16"/>
  <c r="J1684" i="16"/>
  <c r="J1692" i="16"/>
  <c r="J1700" i="16"/>
  <c r="J1708" i="16"/>
  <c r="J1716" i="16"/>
  <c r="J1724" i="16"/>
  <c r="J1732" i="16"/>
  <c r="J1740" i="16"/>
  <c r="J1748" i="16"/>
  <c r="J1756" i="16"/>
  <c r="J1764" i="16"/>
  <c r="K1764" i="16" s="1"/>
  <c r="J1772" i="16"/>
  <c r="J1780" i="16"/>
  <c r="J1788" i="16"/>
  <c r="J1796" i="16"/>
  <c r="J1804" i="16"/>
  <c r="J1812" i="16"/>
  <c r="J1820" i="16"/>
  <c r="J1828" i="16"/>
  <c r="K1828" i="16" s="1"/>
  <c r="J1836" i="16"/>
  <c r="J1844" i="16"/>
  <c r="J1852" i="16"/>
  <c r="J1860" i="16"/>
  <c r="J1868" i="16"/>
  <c r="J1876" i="16"/>
  <c r="J1884" i="16"/>
  <c r="J1892" i="16"/>
  <c r="K1892" i="16" s="1"/>
  <c r="J1900" i="16"/>
  <c r="J1908" i="16"/>
  <c r="J1916" i="16"/>
  <c r="J1924" i="16"/>
  <c r="J1932" i="16"/>
  <c r="J1940" i="16"/>
  <c r="J1948" i="16"/>
  <c r="J1956" i="16"/>
  <c r="J1964" i="16"/>
  <c r="J1972" i="16"/>
  <c r="J1980" i="16"/>
  <c r="J1988" i="16"/>
  <c r="J1996" i="16"/>
  <c r="J2004" i="16"/>
  <c r="J2012" i="16"/>
  <c r="J2020" i="16"/>
  <c r="K2020" i="16" s="1"/>
  <c r="AI2020" i="16" s="1"/>
  <c r="J2028" i="16"/>
  <c r="J2036" i="16"/>
  <c r="J2044" i="16"/>
  <c r="J2052" i="16"/>
  <c r="J2060" i="16"/>
  <c r="J2068" i="16"/>
  <c r="J2076" i="16"/>
  <c r="J2084" i="16"/>
  <c r="K2084" i="16" s="1"/>
  <c r="J2092" i="16"/>
  <c r="J2100" i="16"/>
  <c r="J2108" i="16"/>
  <c r="J2116" i="16"/>
  <c r="J2124" i="16"/>
  <c r="J2132" i="16"/>
  <c r="J2140" i="16"/>
  <c r="J2148" i="16"/>
  <c r="J2156" i="16"/>
  <c r="J2164" i="16"/>
  <c r="J2172" i="16"/>
  <c r="J2180" i="16"/>
  <c r="J2188" i="16"/>
  <c r="J2196" i="16"/>
  <c r="J2204" i="16"/>
  <c r="J2212" i="16"/>
  <c r="K2212" i="16" s="1"/>
  <c r="AI2212" i="16" s="1"/>
  <c r="J2220" i="16"/>
  <c r="J2228" i="16"/>
  <c r="J2236" i="16"/>
  <c r="J2244" i="16"/>
  <c r="J2252" i="16"/>
  <c r="J2260" i="16"/>
  <c r="J2268" i="16"/>
  <c r="J2276" i="16"/>
  <c r="K2276" i="16" s="1"/>
  <c r="J2284" i="16"/>
  <c r="J2292" i="16"/>
  <c r="J2300" i="16"/>
  <c r="J2308" i="16"/>
  <c r="J2316" i="16"/>
  <c r="J2324" i="16"/>
  <c r="J2332" i="16"/>
  <c r="J2340" i="16"/>
  <c r="J65" i="16"/>
  <c r="J129" i="16"/>
  <c r="J193" i="16"/>
  <c r="J257" i="16"/>
  <c r="J306" i="16"/>
  <c r="J338" i="16"/>
  <c r="J370" i="16"/>
  <c r="J402" i="16"/>
  <c r="K402" i="16" s="1"/>
  <c r="J434" i="16"/>
  <c r="J466" i="16"/>
  <c r="J498" i="16"/>
  <c r="J530" i="16"/>
  <c r="J562" i="16"/>
  <c r="J594" i="16"/>
  <c r="J626" i="16"/>
  <c r="J658" i="16"/>
  <c r="K658" i="16" s="1"/>
  <c r="J690" i="16"/>
  <c r="J722" i="16"/>
  <c r="J754" i="16"/>
  <c r="J773" i="16"/>
  <c r="J781" i="16"/>
  <c r="J789" i="16"/>
  <c r="J797" i="16"/>
  <c r="J805" i="16"/>
  <c r="K805" i="16" s="1"/>
  <c r="J813" i="16"/>
  <c r="J821" i="16"/>
  <c r="J829" i="16"/>
  <c r="J837" i="16"/>
  <c r="J845" i="16"/>
  <c r="J853" i="16"/>
  <c r="J861" i="16"/>
  <c r="J869" i="16"/>
  <c r="J877" i="16"/>
  <c r="J885" i="16"/>
  <c r="J893" i="16"/>
  <c r="J901" i="16"/>
  <c r="J909" i="16"/>
  <c r="J917" i="16"/>
  <c r="J925" i="16"/>
  <c r="J933" i="16"/>
  <c r="J941" i="16"/>
  <c r="J949" i="16"/>
  <c r="J957" i="16"/>
  <c r="J965" i="16"/>
  <c r="J973" i="16"/>
  <c r="J981" i="16"/>
  <c r="J989" i="16"/>
  <c r="J997" i="16"/>
  <c r="K997" i="16" s="1"/>
  <c r="J1005" i="16"/>
  <c r="J1013" i="16"/>
  <c r="J1021" i="16"/>
  <c r="J1029" i="16"/>
  <c r="J1037" i="16"/>
  <c r="J1045" i="16"/>
  <c r="J1053" i="16"/>
  <c r="J1061" i="16"/>
  <c r="K1061" i="16" s="1"/>
  <c r="J1069" i="16"/>
  <c r="J1077" i="16"/>
  <c r="J1085" i="16"/>
  <c r="J1093" i="16"/>
  <c r="J1101" i="16"/>
  <c r="J1109" i="16"/>
  <c r="J1117" i="16"/>
  <c r="J1125" i="16"/>
  <c r="J1133" i="16"/>
  <c r="J1141" i="16"/>
  <c r="J1149" i="16"/>
  <c r="J1157" i="16"/>
  <c r="J1165" i="16"/>
  <c r="J1173" i="16"/>
  <c r="J1181" i="16"/>
  <c r="J1189" i="16"/>
  <c r="J1197" i="16"/>
  <c r="J1205" i="16"/>
  <c r="J1213" i="16"/>
  <c r="J1221" i="16"/>
  <c r="J1229" i="16"/>
  <c r="J1237" i="16"/>
  <c r="J1245" i="16"/>
  <c r="J1253" i="16"/>
  <c r="J1261" i="16"/>
  <c r="J1269" i="16"/>
  <c r="J1277" i="16"/>
  <c r="J1285" i="16"/>
  <c r="J1293" i="16"/>
  <c r="J1301" i="16"/>
  <c r="J1309" i="16"/>
  <c r="J1317" i="16"/>
  <c r="K1317" i="16" s="1"/>
  <c r="AI1317" i="16" s="1"/>
  <c r="J1325" i="16"/>
  <c r="J1333" i="16"/>
  <c r="J1341" i="16"/>
  <c r="J1349" i="16"/>
  <c r="J1357" i="16"/>
  <c r="J1365" i="16"/>
  <c r="J1373" i="16"/>
  <c r="J1381" i="16"/>
  <c r="K1381" i="16" s="1"/>
  <c r="J1389" i="16"/>
  <c r="J1397" i="16"/>
  <c r="J1405" i="16"/>
  <c r="J1413" i="16"/>
  <c r="J1421" i="16"/>
  <c r="J1429" i="16"/>
  <c r="J1437" i="16"/>
  <c r="J1445" i="16"/>
  <c r="K1445" i="16" s="1"/>
  <c r="J1453" i="16"/>
  <c r="J1461" i="16"/>
  <c r="J1469" i="16"/>
  <c r="J1477" i="16"/>
  <c r="J1485" i="16"/>
  <c r="J1493" i="16"/>
  <c r="J1501" i="16"/>
  <c r="J1509" i="16"/>
  <c r="K1509" i="16" s="1"/>
  <c r="J1517" i="16"/>
  <c r="J1525" i="16"/>
  <c r="J1533" i="16"/>
  <c r="J1541" i="16"/>
  <c r="J1549" i="16"/>
  <c r="J1557" i="16"/>
  <c r="J1565" i="16"/>
  <c r="J1573" i="16"/>
  <c r="K1573" i="16" s="1"/>
  <c r="J1581" i="16"/>
  <c r="J1589" i="16"/>
  <c r="J1597" i="16"/>
  <c r="J1605" i="16"/>
  <c r="J1613" i="16"/>
  <c r="J1621" i="16"/>
  <c r="J1629" i="16"/>
  <c r="J1637" i="16"/>
  <c r="K1637" i="16" s="1"/>
  <c r="J1645" i="16"/>
  <c r="J1653" i="16"/>
  <c r="J1661" i="16"/>
  <c r="J1669" i="16"/>
  <c r="J1677" i="16"/>
  <c r="J1685" i="16"/>
  <c r="J1693" i="16"/>
  <c r="J1701" i="16"/>
  <c r="J1709" i="16"/>
  <c r="J1717" i="16"/>
  <c r="J1725" i="16"/>
  <c r="J1733" i="16"/>
  <c r="J1741" i="16"/>
  <c r="J1749" i="16"/>
  <c r="J1757" i="16"/>
  <c r="J1765" i="16"/>
  <c r="K1765" i="16" s="1"/>
  <c r="AI1765" i="16" s="1"/>
  <c r="J1773" i="16"/>
  <c r="J1781" i="16"/>
  <c r="J1789" i="16"/>
  <c r="J1797" i="16"/>
  <c r="J1805" i="16"/>
  <c r="J1813" i="16"/>
  <c r="J1821" i="16"/>
  <c r="J1829" i="16"/>
  <c r="J1837" i="16"/>
  <c r="J1845" i="16"/>
  <c r="J1853" i="16"/>
  <c r="J1861" i="16"/>
  <c r="J1869" i="16"/>
  <c r="J1877" i="16"/>
  <c r="J1885" i="16"/>
  <c r="J1893" i="16"/>
  <c r="J1901" i="16"/>
  <c r="J1909" i="16"/>
  <c r="J1917" i="16"/>
  <c r="J1925" i="16"/>
  <c r="J1933" i="16"/>
  <c r="J1941" i="16"/>
  <c r="J1949" i="16"/>
  <c r="J1957" i="16"/>
  <c r="K1957" i="16" s="1"/>
  <c r="AI1957" i="16" s="1"/>
  <c r="J1965" i="16"/>
  <c r="J1973" i="16"/>
  <c r="J1981" i="16"/>
  <c r="J1989" i="16"/>
  <c r="J1997" i="16"/>
  <c r="J2005" i="16"/>
  <c r="J2013" i="16"/>
  <c r="J2021" i="16"/>
  <c r="J2029" i="16"/>
  <c r="J2037" i="16"/>
  <c r="J2045" i="16"/>
  <c r="J2053" i="16"/>
  <c r="J2061" i="16"/>
  <c r="J2069" i="16"/>
  <c r="J2077" i="16"/>
  <c r="J2085" i="16"/>
  <c r="K2085" i="16" s="1"/>
  <c r="J2093" i="16"/>
  <c r="J2101" i="16"/>
  <c r="J2109" i="16"/>
  <c r="J2117" i="16"/>
  <c r="J2125" i="16"/>
  <c r="J2133" i="16"/>
  <c r="J2141" i="16"/>
  <c r="J2149" i="16"/>
  <c r="K2149" i="16" s="1"/>
  <c r="J2157" i="16"/>
  <c r="J2165" i="16"/>
  <c r="J2173" i="16"/>
  <c r="J2181" i="16"/>
  <c r="J2189" i="16"/>
  <c r="J2197" i="16"/>
  <c r="J2205" i="16"/>
  <c r="J2213" i="16"/>
  <c r="J2221" i="16"/>
  <c r="J2229" i="16"/>
  <c r="J2237" i="16"/>
  <c r="J2245" i="16"/>
  <c r="J2253" i="16"/>
  <c r="J2261" i="16"/>
  <c r="J2269" i="16"/>
  <c r="J2277" i="16"/>
  <c r="J2285" i="16"/>
  <c r="J2293" i="16"/>
  <c r="J2301" i="16"/>
  <c r="J2309" i="16"/>
  <c r="J2317" i="16"/>
  <c r="J2325" i="16"/>
  <c r="J2333" i="16"/>
  <c r="J2341" i="16"/>
  <c r="J9" i="16"/>
  <c r="J73" i="16"/>
  <c r="J137" i="16"/>
  <c r="J201" i="16"/>
  <c r="J265" i="16"/>
  <c r="J313" i="16"/>
  <c r="J345" i="16"/>
  <c r="J377" i="16"/>
  <c r="K377" i="16" s="1"/>
  <c r="J409" i="16"/>
  <c r="J441" i="16"/>
  <c r="J473" i="16"/>
  <c r="J505" i="16"/>
  <c r="J537" i="16"/>
  <c r="J569" i="16"/>
  <c r="J601" i="16"/>
  <c r="J633" i="16"/>
  <c r="K633" i="16" s="1"/>
  <c r="J665" i="16"/>
  <c r="J697" i="16"/>
  <c r="J729" i="16"/>
  <c r="J761" i="16"/>
  <c r="J774" i="16"/>
  <c r="J782" i="16"/>
  <c r="J790" i="16"/>
  <c r="J798" i="16"/>
  <c r="K798" i="16" s="1"/>
  <c r="J806" i="16"/>
  <c r="J814" i="16"/>
  <c r="J822" i="16"/>
  <c r="J830" i="16"/>
  <c r="J838" i="16"/>
  <c r="J846" i="16"/>
  <c r="J854" i="16"/>
  <c r="J862" i="16"/>
  <c r="K862" i="16" s="1"/>
  <c r="J870" i="16"/>
  <c r="J878" i="16"/>
  <c r="J886" i="16"/>
  <c r="J894" i="16"/>
  <c r="J902" i="16"/>
  <c r="J910" i="16"/>
  <c r="J918" i="16"/>
  <c r="J926" i="16"/>
  <c r="K926" i="16" s="1"/>
  <c r="J934" i="16"/>
  <c r="J942" i="16"/>
  <c r="J950" i="16"/>
  <c r="J958" i="16"/>
  <c r="J966" i="16"/>
  <c r="J974" i="16"/>
  <c r="J982" i="16"/>
  <c r="J990" i="16"/>
  <c r="K990" i="16" s="1"/>
  <c r="J998" i="16"/>
  <c r="J1006" i="16"/>
  <c r="J1014" i="16"/>
  <c r="J1022" i="16"/>
  <c r="J1030" i="16"/>
  <c r="J1038" i="16"/>
  <c r="J1046" i="16"/>
  <c r="J1054" i="16"/>
  <c r="K1054" i="16" s="1"/>
  <c r="J1062" i="16"/>
  <c r="J1070" i="16"/>
  <c r="J1078" i="16"/>
  <c r="J1086" i="16"/>
  <c r="J1094" i="16"/>
  <c r="J1102" i="16"/>
  <c r="J1110" i="16"/>
  <c r="J1118" i="16"/>
  <c r="J1126" i="16"/>
  <c r="J1134" i="16"/>
  <c r="J1142" i="16"/>
  <c r="J1150" i="16"/>
  <c r="J1158" i="16"/>
  <c r="J1166" i="16"/>
  <c r="J1174" i="16"/>
  <c r="J1182" i="16"/>
  <c r="K1182" i="16" s="1"/>
  <c r="J1190" i="16"/>
  <c r="J1198" i="16"/>
  <c r="J1206" i="16"/>
  <c r="J1214" i="16"/>
  <c r="J1222" i="16"/>
  <c r="J1230" i="16"/>
  <c r="J1238" i="16"/>
  <c r="J1246" i="16"/>
  <c r="K1246" i="16" s="1"/>
  <c r="J1254" i="16"/>
  <c r="J1262" i="16"/>
  <c r="J1270" i="16"/>
  <c r="J1278" i="16"/>
  <c r="J1286" i="16"/>
  <c r="J1294" i="16"/>
  <c r="J1302" i="16"/>
  <c r="J1310" i="16"/>
  <c r="K1310" i="16" s="1"/>
  <c r="AI1310" i="16" s="1"/>
  <c r="J1318" i="16"/>
  <c r="J1326" i="16"/>
  <c r="J1334" i="16"/>
  <c r="J1342" i="16"/>
  <c r="J1350" i="16"/>
  <c r="J1358" i="16"/>
  <c r="J1366" i="16"/>
  <c r="J1374" i="16"/>
  <c r="K1374" i="16" s="1"/>
  <c r="J1382" i="16"/>
  <c r="J1390" i="16"/>
  <c r="J1398" i="16"/>
  <c r="J1406" i="16"/>
  <c r="J1414" i="16"/>
  <c r="J1422" i="16"/>
  <c r="J1430" i="16"/>
  <c r="J1438" i="16"/>
  <c r="K1438" i="16" s="1"/>
  <c r="J1446" i="16"/>
  <c r="J1454" i="16"/>
  <c r="J1462" i="16"/>
  <c r="J1470" i="16"/>
  <c r="J1478" i="16"/>
  <c r="J1486" i="16"/>
  <c r="J1494" i="16"/>
  <c r="J1502" i="16"/>
  <c r="K1502" i="16" s="1"/>
  <c r="AI1502" i="16" s="1"/>
  <c r="J1510" i="16"/>
  <c r="J1518" i="16"/>
  <c r="J1526" i="16"/>
  <c r="J1534" i="16"/>
  <c r="J1542" i="16"/>
  <c r="J1550" i="16"/>
  <c r="J1558" i="16"/>
  <c r="J1566" i="16"/>
  <c r="K1566" i="16" s="1"/>
  <c r="J1574" i="16"/>
  <c r="J1582" i="16"/>
  <c r="J1590" i="16"/>
  <c r="J1598" i="16"/>
  <c r="J1606" i="16"/>
  <c r="J1614" i="16"/>
  <c r="J1622" i="16"/>
  <c r="J1630" i="16"/>
  <c r="K1630" i="16" s="1"/>
  <c r="J1638" i="16"/>
  <c r="J1646" i="16"/>
  <c r="J1654" i="16"/>
  <c r="J1662" i="16"/>
  <c r="J1670" i="16"/>
  <c r="J1678" i="16"/>
  <c r="J1686" i="16"/>
  <c r="J1694" i="16"/>
  <c r="K1694" i="16" s="1"/>
  <c r="J1702" i="16"/>
  <c r="J1710" i="16"/>
  <c r="J1718" i="16"/>
  <c r="J1726" i="16"/>
  <c r="J1734" i="16"/>
  <c r="J1742" i="16"/>
  <c r="J1750" i="16"/>
  <c r="J1758" i="16"/>
  <c r="K1758" i="16" s="1"/>
  <c r="J1766" i="16"/>
  <c r="J1774" i="16"/>
  <c r="J1782" i="16"/>
  <c r="J1790" i="16"/>
  <c r="J1798" i="16"/>
  <c r="J1806" i="16"/>
  <c r="J1814" i="16"/>
  <c r="J1822" i="16"/>
  <c r="K1822" i="16" s="1"/>
  <c r="J1830" i="16"/>
  <c r="J1838" i="16"/>
  <c r="J1846" i="16"/>
  <c r="J1854" i="16"/>
  <c r="J1862" i="16"/>
  <c r="J1870" i="16"/>
  <c r="J1878" i="16"/>
  <c r="J1886" i="16"/>
  <c r="K1886" i="16" s="1"/>
  <c r="J1894" i="16"/>
  <c r="J1902" i="16"/>
  <c r="J1910" i="16"/>
  <c r="J1918" i="16"/>
  <c r="J1926" i="16"/>
  <c r="J1934" i="16"/>
  <c r="J1942" i="16"/>
  <c r="J1950" i="16"/>
  <c r="K1950" i="16" s="1"/>
  <c r="J1958" i="16"/>
  <c r="J1966" i="16"/>
  <c r="J1974" i="16"/>
  <c r="J1982" i="16"/>
  <c r="J1990" i="16"/>
  <c r="J1998" i="16"/>
  <c r="J2006" i="16"/>
  <c r="J2014" i="16"/>
  <c r="K2014" i="16" s="1"/>
  <c r="J2022" i="16"/>
  <c r="J2030" i="16"/>
  <c r="J2038" i="16"/>
  <c r="J2046" i="16"/>
  <c r="J2054" i="16"/>
  <c r="J2062" i="16"/>
  <c r="J2070" i="16"/>
  <c r="J2078" i="16"/>
  <c r="K2078" i="16" s="1"/>
  <c r="J2086" i="16"/>
  <c r="J2094" i="16"/>
  <c r="J2102" i="16"/>
  <c r="J2110" i="16"/>
  <c r="J2118" i="16"/>
  <c r="J2126" i="16"/>
  <c r="J2134" i="16"/>
  <c r="J2142" i="16"/>
  <c r="K2142" i="16" s="1"/>
  <c r="J2150" i="16"/>
  <c r="J2158" i="16"/>
  <c r="J2166" i="16"/>
  <c r="J2174" i="16"/>
  <c r="J2182" i="16"/>
  <c r="J2190" i="16"/>
  <c r="J2198" i="16"/>
  <c r="J2206" i="16"/>
  <c r="K2206" i="16" s="1"/>
  <c r="J2214" i="16"/>
  <c r="J2222" i="16"/>
  <c r="J2230" i="16"/>
  <c r="J2238" i="16"/>
  <c r="J2246" i="16"/>
  <c r="J2254" i="16"/>
  <c r="J2262" i="16"/>
  <c r="J2270" i="16"/>
  <c r="K2270" i="16" s="1"/>
  <c r="J2278" i="16"/>
  <c r="J2286" i="16"/>
  <c r="J2294" i="16"/>
  <c r="J2302" i="16"/>
  <c r="J2310" i="16"/>
  <c r="J2318" i="16"/>
  <c r="J2326" i="16"/>
  <c r="J2334" i="16"/>
  <c r="K2334" i="16" s="1"/>
  <c r="J17" i="16"/>
  <c r="J81" i="16"/>
  <c r="J145" i="16"/>
  <c r="J209" i="16"/>
  <c r="J273" i="16"/>
  <c r="J314" i="16"/>
  <c r="J346" i="16"/>
  <c r="J378" i="16"/>
  <c r="K378" i="16" s="1"/>
  <c r="AI378" i="16" s="1"/>
  <c r="J410" i="16"/>
  <c r="J442" i="16"/>
  <c r="J474" i="16"/>
  <c r="J506" i="16"/>
  <c r="J538" i="16"/>
  <c r="J570" i="16"/>
  <c r="J602" i="16"/>
  <c r="J634" i="16"/>
  <c r="K634" i="16" s="1"/>
  <c r="AI634" i="16" s="1"/>
  <c r="J666" i="16"/>
  <c r="J698" i="16"/>
  <c r="J730" i="16"/>
  <c r="J762" i="16"/>
  <c r="J775" i="16"/>
  <c r="J783" i="16"/>
  <c r="J791" i="16"/>
  <c r="J799" i="16"/>
  <c r="K799" i="16" s="1"/>
  <c r="AI799" i="16" s="1"/>
  <c r="J807" i="16"/>
  <c r="J815" i="16"/>
  <c r="J823" i="16"/>
  <c r="J831" i="16"/>
  <c r="J839" i="16"/>
  <c r="J847" i="16"/>
  <c r="J855" i="16"/>
  <c r="J863" i="16"/>
  <c r="K863" i="16" s="1"/>
  <c r="J871" i="16"/>
  <c r="J879" i="16"/>
  <c r="J887" i="16"/>
  <c r="J895" i="16"/>
  <c r="J903" i="16"/>
  <c r="J911" i="16"/>
  <c r="J919" i="16"/>
  <c r="J927" i="16"/>
  <c r="J935" i="16"/>
  <c r="J943" i="16"/>
  <c r="J951" i="16"/>
  <c r="J959" i="16"/>
  <c r="J967" i="16"/>
  <c r="J975" i="16"/>
  <c r="J983" i="16"/>
  <c r="J991" i="16"/>
  <c r="K991" i="16" s="1"/>
  <c r="J999" i="16"/>
  <c r="J1007" i="16"/>
  <c r="J1015" i="16"/>
  <c r="J1023" i="16"/>
  <c r="J1031" i="16"/>
  <c r="J1039" i="16"/>
  <c r="J1047" i="16"/>
  <c r="J1055" i="16"/>
  <c r="K1055" i="16" s="1"/>
  <c r="J1063" i="16"/>
  <c r="J1071" i="16"/>
  <c r="J1079" i="16"/>
  <c r="J1087" i="16"/>
  <c r="J1095" i="16"/>
  <c r="J1103" i="16"/>
  <c r="J1111" i="16"/>
  <c r="J1119" i="16"/>
  <c r="K1119" i="16" s="1"/>
  <c r="J1127" i="16"/>
  <c r="J1135" i="16"/>
  <c r="J1143" i="16"/>
  <c r="J1151" i="16"/>
  <c r="J1159" i="16"/>
  <c r="J1167" i="16"/>
  <c r="J1175" i="16"/>
  <c r="J1183" i="16"/>
  <c r="K1183" i="16" s="1"/>
  <c r="J1191" i="16"/>
  <c r="J1199" i="16"/>
  <c r="J1207" i="16"/>
  <c r="J1215" i="16"/>
  <c r="J1223" i="16"/>
  <c r="J1231" i="16"/>
  <c r="J1239" i="16"/>
  <c r="J1247" i="16"/>
  <c r="J1255" i="16"/>
  <c r="J1263" i="16"/>
  <c r="J1271" i="16"/>
  <c r="J1279" i="16"/>
  <c r="J1287" i="16"/>
  <c r="J1295" i="16"/>
  <c r="J1303" i="16"/>
  <c r="J1311" i="16"/>
  <c r="K1311" i="16" s="1"/>
  <c r="AI1311" i="16" s="1"/>
  <c r="J1319" i="16"/>
  <c r="J1327" i="16"/>
  <c r="J1335" i="16"/>
  <c r="J1343" i="16"/>
  <c r="J1351" i="16"/>
  <c r="J1359" i="16"/>
  <c r="J1367" i="16"/>
  <c r="J1375" i="16"/>
  <c r="K1375" i="16" s="1"/>
  <c r="J1383" i="16"/>
  <c r="J1391" i="16"/>
  <c r="J1399" i="16"/>
  <c r="J1407" i="16"/>
  <c r="J1415" i="16"/>
  <c r="J1423" i="16"/>
  <c r="J1431" i="16"/>
  <c r="J1439" i="16"/>
  <c r="K1439" i="16" s="1"/>
  <c r="J1447" i="16"/>
  <c r="J1455" i="16"/>
  <c r="J1463" i="16"/>
  <c r="J1471" i="16"/>
  <c r="J1479" i="16"/>
  <c r="J1487" i="16"/>
  <c r="J1495" i="16"/>
  <c r="J1503" i="16"/>
  <c r="K1503" i="16" s="1"/>
  <c r="J1511" i="16"/>
  <c r="J1519" i="16"/>
  <c r="J1527" i="16"/>
  <c r="J1535" i="16"/>
  <c r="J1543" i="16"/>
  <c r="J1551" i="16"/>
  <c r="J1559" i="16"/>
  <c r="J1567" i="16"/>
  <c r="K1567" i="16" s="1"/>
  <c r="AI1567" i="16" s="1"/>
  <c r="J1575" i="16"/>
  <c r="J1583" i="16"/>
  <c r="J1591" i="16"/>
  <c r="J1599" i="16"/>
  <c r="J1607" i="16"/>
  <c r="J1615" i="16"/>
  <c r="J1623" i="16"/>
  <c r="J1631" i="16"/>
  <c r="K1631" i="16" s="1"/>
  <c r="AI1631" i="16" s="1"/>
  <c r="J1639" i="16"/>
  <c r="J1647" i="16"/>
  <c r="J1655" i="16"/>
  <c r="J1663" i="16"/>
  <c r="J1671" i="16"/>
  <c r="J1679" i="16"/>
  <c r="J1687" i="16"/>
  <c r="J1695" i="16"/>
  <c r="K1695" i="16" s="1"/>
  <c r="J1703" i="16"/>
  <c r="J1711" i="16"/>
  <c r="J1719" i="16"/>
  <c r="J1727" i="16"/>
  <c r="J1735" i="16"/>
  <c r="J1743" i="16"/>
  <c r="J1751" i="16"/>
  <c r="J1759" i="16"/>
  <c r="K1759" i="16" s="1"/>
  <c r="J1767" i="16"/>
  <c r="J1775" i="16"/>
  <c r="J1783" i="16"/>
  <c r="J1791" i="16"/>
  <c r="J1799" i="16"/>
  <c r="J1807" i="16"/>
  <c r="J1815" i="16"/>
  <c r="J1823" i="16"/>
  <c r="K1823" i="16" s="1"/>
  <c r="J1831" i="16"/>
  <c r="J1839" i="16"/>
  <c r="J1847" i="16"/>
  <c r="J1855" i="16"/>
  <c r="J1863" i="16"/>
  <c r="J1871" i="16"/>
  <c r="J1879" i="16"/>
  <c r="J1887" i="16"/>
  <c r="K1887" i="16" s="1"/>
  <c r="J1895" i="16"/>
  <c r="J1903" i="16"/>
  <c r="J1911" i="16"/>
  <c r="J1919" i="16"/>
  <c r="J1927" i="16"/>
  <c r="J1935" i="16"/>
  <c r="J1943" i="16"/>
  <c r="J1951" i="16"/>
  <c r="J1959" i="16"/>
  <c r="J1967" i="16"/>
  <c r="J1975" i="16"/>
  <c r="J1983" i="16"/>
  <c r="J1991" i="16"/>
  <c r="J1999" i="16"/>
  <c r="J2007" i="16"/>
  <c r="J2015" i="16"/>
  <c r="K2015" i="16" s="1"/>
  <c r="AI2015" i="16" s="1"/>
  <c r="J2023" i="16"/>
  <c r="J2031" i="16"/>
  <c r="J2039" i="16"/>
  <c r="J2047" i="16"/>
  <c r="J2055" i="16"/>
  <c r="J2063" i="16"/>
  <c r="J2071" i="16"/>
  <c r="J2079" i="16"/>
  <c r="K2079" i="16" s="1"/>
  <c r="J2087" i="16"/>
  <c r="J2095" i="16"/>
  <c r="J2103" i="16"/>
  <c r="J2111" i="16"/>
  <c r="J2119" i="16"/>
  <c r="J2127" i="16"/>
  <c r="J2135" i="16"/>
  <c r="J2143" i="16"/>
  <c r="K2143" i="16" s="1"/>
  <c r="J2151" i="16"/>
  <c r="J2159" i="16"/>
  <c r="J2167" i="16"/>
  <c r="J2175" i="16"/>
  <c r="J2183" i="16"/>
  <c r="J2191" i="16"/>
  <c r="J2199" i="16"/>
  <c r="J2207" i="16"/>
  <c r="K2207" i="16" s="1"/>
  <c r="J2215" i="16"/>
  <c r="J2223" i="16"/>
  <c r="J2231" i="16"/>
  <c r="J2239" i="16"/>
  <c r="J2247" i="16"/>
  <c r="J2255" i="16"/>
  <c r="J2263" i="16"/>
  <c r="J2271" i="16"/>
  <c r="K2271" i="16" s="1"/>
  <c r="J2279" i="16"/>
  <c r="J2287" i="16"/>
  <c r="J2295" i="16"/>
  <c r="J2303" i="16"/>
  <c r="J2311" i="16"/>
  <c r="J2319" i="16"/>
  <c r="J2327" i="16"/>
  <c r="J2335" i="16"/>
  <c r="K2335" i="16" s="1"/>
  <c r="AG6" i="16"/>
  <c r="AG70" i="16"/>
  <c r="AG134" i="16"/>
  <c r="AG198" i="16"/>
  <c r="AG262" i="16"/>
  <c r="AG326" i="16"/>
  <c r="AG390" i="16"/>
  <c r="AG454" i="16"/>
  <c r="AG518" i="16"/>
  <c r="AG582" i="16"/>
  <c r="AG646" i="16"/>
  <c r="AG31" i="16"/>
  <c r="AG95" i="16"/>
  <c r="AG159" i="16"/>
  <c r="AG223" i="16"/>
  <c r="AG287" i="16"/>
  <c r="AG351" i="16"/>
  <c r="AG415" i="16"/>
  <c r="AG479" i="16"/>
  <c r="AG543" i="16"/>
  <c r="AG607" i="16"/>
  <c r="AG48" i="16"/>
  <c r="AG112" i="16"/>
  <c r="AG176" i="16"/>
  <c r="AG240" i="16"/>
  <c r="AG304" i="16"/>
  <c r="AG368" i="16"/>
  <c r="AG432" i="16"/>
  <c r="AG496" i="16"/>
  <c r="AG560" i="16"/>
  <c r="AG624" i="16"/>
  <c r="AG65" i="16"/>
  <c r="AG129" i="16"/>
  <c r="AG193" i="16"/>
  <c r="AG257" i="16"/>
  <c r="AG321" i="16"/>
  <c r="AG385" i="16"/>
  <c r="AG449" i="16"/>
  <c r="AG513" i="16"/>
  <c r="AG577" i="16"/>
  <c r="AG641" i="16"/>
  <c r="AG26" i="16"/>
  <c r="AG90" i="16"/>
  <c r="AG154" i="16"/>
  <c r="AG218" i="16"/>
  <c r="AG282" i="16"/>
  <c r="AG346" i="16"/>
  <c r="AG410" i="16"/>
  <c r="AG474" i="16"/>
  <c r="AG538" i="16"/>
  <c r="AG602" i="16"/>
  <c r="AG666" i="16"/>
  <c r="AG51" i="16"/>
  <c r="AG115" i="16"/>
  <c r="AG179" i="16"/>
  <c r="AG243" i="16"/>
  <c r="AG307" i="16"/>
  <c r="AG371" i="16"/>
  <c r="AG435" i="16"/>
  <c r="AG499" i="16"/>
  <c r="AG563" i="16"/>
  <c r="AG627" i="16"/>
  <c r="AG12" i="16"/>
  <c r="AG69" i="16"/>
  <c r="AG133" i="16"/>
  <c r="AG197" i="16"/>
  <c r="AG261" i="16"/>
  <c r="AG325" i="16"/>
  <c r="AG389" i="16"/>
  <c r="AG453" i="16"/>
  <c r="AG517" i="16"/>
  <c r="AG581" i="16"/>
  <c r="AG645" i="16"/>
  <c r="AG148" i="16"/>
  <c r="AG639" i="16"/>
  <c r="AG732" i="16"/>
  <c r="AG796" i="16"/>
  <c r="AG860" i="16"/>
  <c r="AG284" i="16"/>
  <c r="AG684" i="16"/>
  <c r="AG749" i="16"/>
  <c r="AG813" i="16"/>
  <c r="AG877" i="16"/>
  <c r="AG292" i="16"/>
  <c r="AG686" i="16"/>
  <c r="AG750" i="16"/>
  <c r="AG814" i="16"/>
  <c r="AG878" i="16"/>
  <c r="AG428" i="16"/>
  <c r="AG703" i="16"/>
  <c r="AG767" i="16"/>
  <c r="AG831" i="16"/>
  <c r="AG895" i="16"/>
  <c r="AG436" i="16"/>
  <c r="AG704" i="16"/>
  <c r="AG768" i="16"/>
  <c r="AG832" i="16"/>
  <c r="AG896" i="16"/>
  <c r="AG960" i="16"/>
  <c r="AG1024" i="16"/>
  <c r="AG1088" i="16"/>
  <c r="AG1152" i="16"/>
  <c r="AG1216" i="16"/>
  <c r="AG124" i="16"/>
  <c r="AG631" i="16"/>
  <c r="AG729" i="16"/>
  <c r="AG793" i="16"/>
  <c r="AG857" i="16"/>
  <c r="AG921" i="16"/>
  <c r="AG985" i="16"/>
  <c r="AG1049" i="16"/>
  <c r="AG1113" i="16"/>
  <c r="AG1177" i="16"/>
  <c r="AG1241" i="16"/>
  <c r="AG324" i="16"/>
  <c r="AG690" i="16"/>
  <c r="AG754" i="16"/>
  <c r="AG818" i="16"/>
  <c r="AG882" i="16"/>
  <c r="AG946" i="16"/>
  <c r="AG1010" i="16"/>
  <c r="AG1074" i="16"/>
  <c r="AG1138" i="16"/>
  <c r="AG1202" i="16"/>
  <c r="AG1266" i="16"/>
  <c r="AG875" i="16"/>
  <c r="AG996" i="16"/>
  <c r="AG1099" i="16"/>
  <c r="AG1199" i="16"/>
  <c r="AG1290" i="16"/>
  <c r="AG1354" i="16"/>
  <c r="AG1418" i="16"/>
  <c r="AG1482" i="16"/>
  <c r="AG1546" i="16"/>
  <c r="AG1610" i="16"/>
  <c r="AG1674" i="16"/>
  <c r="AG923" i="16"/>
  <c r="AG1023" i="16"/>
  <c r="AG1126" i="16"/>
  <c r="AG1229" i="16"/>
  <c r="AG1308" i="16"/>
  <c r="AG1372" i="16"/>
  <c r="AG1436" i="16"/>
  <c r="AG1500" i="16"/>
  <c r="AG1564" i="16"/>
  <c r="AG1628" i="16"/>
  <c r="AG935" i="16"/>
  <c r="AG1038" i="16"/>
  <c r="AG1141" i="16"/>
  <c r="AG1244" i="16"/>
  <c r="AG1317" i="16"/>
  <c r="AG1381" i="16"/>
  <c r="AG1445" i="16"/>
  <c r="AG1509" i="16"/>
  <c r="AG1573" i="16"/>
  <c r="AG1637" i="16"/>
  <c r="AG851" i="16"/>
  <c r="AG1053" i="16"/>
  <c r="AG979" i="16"/>
  <c r="AG1142" i="16"/>
  <c r="AG1291" i="16"/>
  <c r="AG1393" i="16"/>
  <c r="AG1496" i="16"/>
  <c r="AG1599" i="16"/>
  <c r="AG1687" i="16"/>
  <c r="AG1751" i="16"/>
  <c r="AG1815" i="16"/>
  <c r="AG1879" i="16"/>
  <c r="AG691" i="16"/>
  <c r="AG1020" i="16"/>
  <c r="AG964" i="16"/>
  <c r="AG1125" i="16"/>
  <c r="AG1281" i="16"/>
  <c r="AG1384" i="16"/>
  <c r="AG1487" i="16"/>
  <c r="AG1590" i="16"/>
  <c r="AG1681" i="16"/>
  <c r="AG1745" i="16"/>
  <c r="AG1809" i="16"/>
  <c r="AG1005" i="16"/>
  <c r="AG1171" i="16"/>
  <c r="AG1310" i="16"/>
  <c r="AG1411" i="16"/>
  <c r="AG1513" i="16"/>
  <c r="AG1616" i="16"/>
  <c r="AG1698" i="16"/>
  <c r="AG1762" i="16"/>
  <c r="AG1826" i="16"/>
  <c r="AG1890" i="16"/>
  <c r="AG989" i="16"/>
  <c r="AG1278" i="16"/>
  <c r="AG1441" i="16"/>
  <c r="AG1607" i="16"/>
  <c r="AG1731" i="16"/>
  <c r="AG1829" i="16"/>
  <c r="AG1915" i="16"/>
  <c r="AG1984" i="16"/>
  <c r="AG2048" i="16"/>
  <c r="AG2112" i="16"/>
  <c r="AG2176" i="16"/>
  <c r="AG1095" i="16"/>
  <c r="AG1327" i="16"/>
  <c r="AG1491" i="16"/>
  <c r="AG1652" i="16"/>
  <c r="AG1760" i="16"/>
  <c r="AG1854" i="16"/>
  <c r="AG1939" i="16"/>
  <c r="AG2003" i="16"/>
  <c r="AG2067" i="16"/>
  <c r="AG2131" i="16"/>
  <c r="AG2195" i="16"/>
  <c r="AG1239" i="16"/>
  <c r="AG1472" i="16"/>
  <c r="AG1680" i="16"/>
  <c r="AG1816" i="16"/>
  <c r="AG1931" i="16"/>
  <c r="AG2017" i="16"/>
  <c r="AG2102" i="16"/>
  <c r="AG2188" i="16"/>
  <c r="AG2255" i="16"/>
  <c r="AG2319" i="16"/>
  <c r="AG1158" i="16"/>
  <c r="AG1417" i="16"/>
  <c r="AG1638" i="16"/>
  <c r="AG1784" i="16"/>
  <c r="AG1902" i="16"/>
  <c r="AG1997" i="16"/>
  <c r="AG2082" i="16"/>
  <c r="AG2167" i="16"/>
  <c r="AG2240" i="16"/>
  <c r="AG2304" i="16"/>
  <c r="AG1078" i="16"/>
  <c r="AG1369" i="16"/>
  <c r="AG1587" i="16"/>
  <c r="AG1752" i="16"/>
  <c r="AG1877" i="16"/>
  <c r="AG1977" i="16"/>
  <c r="AG2062" i="16"/>
  <c r="AG2148" i="16"/>
  <c r="AG2225" i="16"/>
  <c r="AG2289" i="16"/>
  <c r="AG947" i="16"/>
  <c r="AG1315" i="16"/>
  <c r="AG1536" i="16"/>
  <c r="AG1720" i="16"/>
  <c r="AG1849" i="16"/>
  <c r="AG1957" i="16"/>
  <c r="AG2042" i="16"/>
  <c r="AG2127" i="16"/>
  <c r="AG2210" i="16"/>
  <c r="AG2274" i="16"/>
  <c r="AG2338" i="16"/>
  <c r="AG1267" i="16"/>
  <c r="AG1486" i="16"/>
  <c r="AG1688" i="16"/>
  <c r="AG1824" i="16"/>
  <c r="AG1937" i="16"/>
  <c r="AG2022" i="16"/>
  <c r="AG2108" i="16"/>
  <c r="AG2193" i="16"/>
  <c r="AG2259" i="16"/>
  <c r="AG2323" i="16"/>
  <c r="AG1181" i="16"/>
  <c r="AG1433" i="16"/>
  <c r="AG1648" i="16"/>
  <c r="AG1792" i="16"/>
  <c r="AG1910" i="16"/>
  <c r="AG2002" i="16"/>
  <c r="AG2087" i="16"/>
  <c r="AG2173" i="16"/>
  <c r="AG2244" i="16"/>
  <c r="AG2308" i="16"/>
  <c r="AG1103" i="16"/>
  <c r="AG1383" i="16"/>
  <c r="AG1600" i="16"/>
  <c r="AG1763" i="16"/>
  <c r="AG1884" i="16"/>
  <c r="AG1982" i="16"/>
  <c r="AG2068" i="16"/>
  <c r="AG2153" i="16"/>
  <c r="AG2229" i="16"/>
  <c r="AG2293" i="16"/>
  <c r="AG975" i="16"/>
  <c r="AG1331" i="16"/>
  <c r="AG1550" i="16"/>
  <c r="AG1728" i="16"/>
  <c r="AG1857" i="16"/>
  <c r="AG1962" i="16"/>
  <c r="AG2047" i="16"/>
  <c r="AG2133" i="16"/>
  <c r="AG2214" i="16"/>
  <c r="AG2278" i="16"/>
  <c r="AG14" i="16"/>
  <c r="AG78" i="16"/>
  <c r="AG142" i="16"/>
  <c r="AG206" i="16"/>
  <c r="AG270" i="16"/>
  <c r="AG334" i="16"/>
  <c r="AG398" i="16"/>
  <c r="AG462" i="16"/>
  <c r="AG526" i="16"/>
  <c r="AG590" i="16"/>
  <c r="AG654" i="16"/>
  <c r="AG39" i="16"/>
  <c r="AG103" i="16"/>
  <c r="AG167" i="16"/>
  <c r="AG231" i="16"/>
  <c r="AG295" i="16"/>
  <c r="AG359" i="16"/>
  <c r="AG423" i="16"/>
  <c r="AG487" i="16"/>
  <c r="AG551" i="16"/>
  <c r="AG615" i="16"/>
  <c r="AG56" i="16"/>
  <c r="AG120" i="16"/>
  <c r="AG184" i="16"/>
  <c r="AG248" i="16"/>
  <c r="AG312" i="16"/>
  <c r="AG376" i="16"/>
  <c r="AG440" i="16"/>
  <c r="AG504" i="16"/>
  <c r="AG568" i="16"/>
  <c r="AG9" i="16"/>
  <c r="AG73" i="16"/>
  <c r="AG137" i="16"/>
  <c r="AG201" i="16"/>
  <c r="AG265" i="16"/>
  <c r="AG329" i="16"/>
  <c r="AG393" i="16"/>
  <c r="AG457" i="16"/>
  <c r="AG521" i="16"/>
  <c r="AG585" i="16"/>
  <c r="AG649" i="16"/>
  <c r="AG34" i="16"/>
  <c r="AG98" i="16"/>
  <c r="AG162" i="16"/>
  <c r="AG226" i="16"/>
  <c r="AG290" i="16"/>
  <c r="AG354" i="16"/>
  <c r="AG418" i="16"/>
  <c r="AG482" i="16"/>
  <c r="AG546" i="16"/>
  <c r="AG610" i="16"/>
  <c r="AG674" i="16"/>
  <c r="AG59" i="16"/>
  <c r="AG123" i="16"/>
  <c r="AG187" i="16"/>
  <c r="AG251" i="16"/>
  <c r="AG315" i="16"/>
  <c r="AG379" i="16"/>
  <c r="AG443" i="16"/>
  <c r="AG507" i="16"/>
  <c r="AG571" i="16"/>
  <c r="AG635" i="16"/>
  <c r="AG13" i="16"/>
  <c r="AG77" i="16"/>
  <c r="AG141" i="16"/>
  <c r="AG205" i="16"/>
  <c r="AG269" i="16"/>
  <c r="AG333" i="16"/>
  <c r="AG397" i="16"/>
  <c r="AG461" i="16"/>
  <c r="AG525" i="16"/>
  <c r="AG589" i="16"/>
  <c r="AG653" i="16"/>
  <c r="AG212" i="16"/>
  <c r="AG660" i="16"/>
  <c r="AG740" i="16"/>
  <c r="AG804" i="16"/>
  <c r="AG868" i="16"/>
  <c r="AG348" i="16"/>
  <c r="AG693" i="16"/>
  <c r="AG757" i="16"/>
  <c r="AG821" i="16"/>
  <c r="AG885" i="16"/>
  <c r="AG356" i="16"/>
  <c r="AG694" i="16"/>
  <c r="AG758" i="16"/>
  <c r="AG822" i="16"/>
  <c r="AG886" i="16"/>
  <c r="AG492" i="16"/>
  <c r="AG711" i="16"/>
  <c r="AG775" i="16"/>
  <c r="AG839" i="16"/>
  <c r="AG903" i="16"/>
  <c r="AG500" i="16"/>
  <c r="AG712" i="16"/>
  <c r="AG776" i="16"/>
  <c r="AG840" i="16"/>
  <c r="AG904" i="16"/>
  <c r="AG968" i="16"/>
  <c r="AG1032" i="16"/>
  <c r="AG1096" i="16"/>
  <c r="AG1160" i="16"/>
  <c r="AG1224" i="16"/>
  <c r="AG188" i="16"/>
  <c r="AG652" i="16"/>
  <c r="AG737" i="16"/>
  <c r="AG801" i="16"/>
  <c r="AG865" i="16"/>
  <c r="AG929" i="16"/>
  <c r="AG993" i="16"/>
  <c r="AG1057" i="16"/>
  <c r="AG1121" i="16"/>
  <c r="AG1185" i="16"/>
  <c r="AG1249" i="16"/>
  <c r="AG388" i="16"/>
  <c r="AG698" i="16"/>
  <c r="AG762" i="16"/>
  <c r="AG826" i="16"/>
  <c r="AG890" i="16"/>
  <c r="AG954" i="16"/>
  <c r="AG1018" i="16"/>
  <c r="AG1082" i="16"/>
  <c r="AG1146" i="16"/>
  <c r="AG1210" i="16"/>
  <c r="AG76" i="16"/>
  <c r="AG907" i="16"/>
  <c r="AG1007" i="16"/>
  <c r="AG1110" i="16"/>
  <c r="AG1213" i="16"/>
  <c r="AG1298" i="16"/>
  <c r="AG1362" i="16"/>
  <c r="AG1426" i="16"/>
  <c r="AG1490" i="16"/>
  <c r="AG1554" i="16"/>
  <c r="AG1618" i="16"/>
  <c r="AG332" i="16"/>
  <c r="AG934" i="16"/>
  <c r="AG1037" i="16"/>
  <c r="AG1140" i="16"/>
  <c r="AG1243" i="16"/>
  <c r="AG1316" i="16"/>
  <c r="AG1380" i="16"/>
  <c r="AG1444" i="16"/>
  <c r="AG1508" i="16"/>
  <c r="AG1572" i="16"/>
  <c r="AG460" i="16"/>
  <c r="AG949" i="16"/>
  <c r="AG1052" i="16"/>
  <c r="AG1155" i="16"/>
  <c r="AG1255" i="16"/>
  <c r="AG1325" i="16"/>
  <c r="AG1389" i="16"/>
  <c r="AG1453" i="16"/>
  <c r="AG1517" i="16"/>
  <c r="AG1581" i="16"/>
  <c r="AG1645" i="16"/>
  <c r="AG908" i="16"/>
  <c r="AG1070" i="16"/>
  <c r="AG997" i="16"/>
  <c r="AG1159" i="16"/>
  <c r="AG1304" i="16"/>
  <c r="AG1407" i="16"/>
  <c r="AG1510" i="16"/>
  <c r="AG1611" i="16"/>
  <c r="AG1695" i="16"/>
  <c r="AG1759" i="16"/>
  <c r="AG1823" i="16"/>
  <c r="AG1887" i="16"/>
  <c r="AG795" i="16"/>
  <c r="AG1043" i="16"/>
  <c r="AG981" i="16"/>
  <c r="AG1147" i="16"/>
  <c r="AG1295" i="16"/>
  <c r="AG1398" i="16"/>
  <c r="AG1499" i="16"/>
  <c r="AG1601" i="16"/>
  <c r="AG1689" i="16"/>
  <c r="AG1753" i="16"/>
  <c r="AG723" i="16"/>
  <c r="AG1028" i="16"/>
  <c r="AG1189" i="16"/>
  <c r="AG1321" i="16"/>
  <c r="AG1424" i="16"/>
  <c r="AG1527" i="16"/>
  <c r="AG1630" i="16"/>
  <c r="AG1706" i="16"/>
  <c r="AG1770" i="16"/>
  <c r="AG1834" i="16"/>
  <c r="AG1898" i="16"/>
  <c r="AG1036" i="16"/>
  <c r="AG1299" i="16"/>
  <c r="AG1464" i="16"/>
  <c r="AG1625" i="16"/>
  <c r="AG1742" i="16"/>
  <c r="AG1840" i="16"/>
  <c r="AG1925" i="16"/>
  <c r="AG1992" i="16"/>
  <c r="AG2056" i="16"/>
  <c r="AG2120" i="16"/>
  <c r="AG2184" i="16"/>
  <c r="AG1133" i="16"/>
  <c r="AG1350" i="16"/>
  <c r="AG1511" i="16"/>
  <c r="AG1667" i="16"/>
  <c r="AG1773" i="16"/>
  <c r="AG1865" i="16"/>
  <c r="AG1947" i="16"/>
  <c r="AG2011" i="16"/>
  <c r="AG2075" i="16"/>
  <c r="AG2139" i="16"/>
  <c r="AG588" i="16"/>
  <c r="AG1280" i="16"/>
  <c r="AG1497" i="16"/>
  <c r="AG1699" i="16"/>
  <c r="AG1830" i="16"/>
  <c r="AG1942" i="16"/>
  <c r="AG2028" i="16"/>
  <c r="AG2113" i="16"/>
  <c r="AG2198" i="16"/>
  <c r="AG2263" i="16"/>
  <c r="AG2327" i="16"/>
  <c r="AG1206" i="16"/>
  <c r="AG1447" i="16"/>
  <c r="AG1659" i="16"/>
  <c r="AG1803" i="16"/>
  <c r="AG1917" i="16"/>
  <c r="AG2007" i="16"/>
  <c r="AG2093" i="16"/>
  <c r="AG2178" i="16"/>
  <c r="AG2248" i="16"/>
  <c r="AG2312" i="16"/>
  <c r="AG1123" i="16"/>
  <c r="AG1395" i="16"/>
  <c r="AG1617" i="16"/>
  <c r="AG1771" i="16"/>
  <c r="AG1891" i="16"/>
  <c r="AG1988" i="16"/>
  <c r="AG2073" i="16"/>
  <c r="AG2158" i="16"/>
  <c r="AG2233" i="16"/>
  <c r="AG2297" i="16"/>
  <c r="AG1015" i="16"/>
  <c r="AG1344" i="16"/>
  <c r="AG1561" i="16"/>
  <c r="AG1739" i="16"/>
  <c r="AG1864" i="16"/>
  <c r="AG1967" i="16"/>
  <c r="AG2053" i="16"/>
  <c r="AG2138" i="16"/>
  <c r="AG2218" i="16"/>
  <c r="AG2282" i="16"/>
  <c r="AG843" i="16"/>
  <c r="AG1294" i="16"/>
  <c r="AG1515" i="16"/>
  <c r="AG1707" i="16"/>
  <c r="AG1837" i="16"/>
  <c r="AG1948" i="16"/>
  <c r="AG2033" i="16"/>
  <c r="AG2118" i="16"/>
  <c r="AG2203" i="16"/>
  <c r="AG2267" i="16"/>
  <c r="AG2331" i="16"/>
  <c r="AG1223" i="16"/>
  <c r="AG1459" i="16"/>
  <c r="AG1673" i="16"/>
  <c r="AG1811" i="16"/>
  <c r="AG1924" i="16"/>
  <c r="AG2013" i="16"/>
  <c r="AG2098" i="16"/>
  <c r="AG2183" i="16"/>
  <c r="AG2252" i="16"/>
  <c r="AG2316" i="16"/>
  <c r="AG1143" i="16"/>
  <c r="AG1414" i="16"/>
  <c r="AG1631" i="16"/>
  <c r="AG1779" i="16"/>
  <c r="AG1899" i="16"/>
  <c r="AG1993" i="16"/>
  <c r="AG2078" i="16"/>
  <c r="AG2164" i="16"/>
  <c r="AG2237" i="16"/>
  <c r="AG2301" i="16"/>
  <c r="AG1054" i="16"/>
  <c r="AG1358" i="16"/>
  <c r="AG1579" i="16"/>
  <c r="AG1747" i="16"/>
  <c r="AG1870" i="16"/>
  <c r="AG1973" i="16"/>
  <c r="AG2058" i="16"/>
  <c r="AG2143" i="16"/>
  <c r="AG2222" i="16"/>
  <c r="AG2286" i="16"/>
  <c r="AG22" i="16"/>
  <c r="AG86" i="16"/>
  <c r="AG150" i="16"/>
  <c r="AG214" i="16"/>
  <c r="AG278" i="16"/>
  <c r="AG342" i="16"/>
  <c r="AG406" i="16"/>
  <c r="AG470" i="16"/>
  <c r="AG534" i="16"/>
  <c r="AG598" i="16"/>
  <c r="AG662" i="16"/>
  <c r="AG47" i="16"/>
  <c r="AG111" i="16"/>
  <c r="AG175" i="16"/>
  <c r="AG239" i="16"/>
  <c r="AG303" i="16"/>
  <c r="AG367" i="16"/>
  <c r="AG431" i="16"/>
  <c r="AG495" i="16"/>
  <c r="AG559" i="16"/>
  <c r="AG623" i="16"/>
  <c r="AG64" i="16"/>
  <c r="AG128" i="16"/>
  <c r="AG192" i="16"/>
  <c r="AG256" i="16"/>
  <c r="AG320" i="16"/>
  <c r="AG384" i="16"/>
  <c r="AG448" i="16"/>
  <c r="AG512" i="16"/>
  <c r="AG576" i="16"/>
  <c r="AG17" i="16"/>
  <c r="AG81" i="16"/>
  <c r="AG145" i="16"/>
  <c r="AG209" i="16"/>
  <c r="AG273" i="16"/>
  <c r="AG337" i="16"/>
  <c r="AG401" i="16"/>
  <c r="AG465" i="16"/>
  <c r="AG529" i="16"/>
  <c r="AG593" i="16"/>
  <c r="AG657" i="16"/>
  <c r="AG42" i="16"/>
  <c r="AG106" i="16"/>
  <c r="AG170" i="16"/>
  <c r="AG234" i="16"/>
  <c r="AG298" i="16"/>
  <c r="AG362" i="16"/>
  <c r="AG426" i="16"/>
  <c r="AG490" i="16"/>
  <c r="AG554" i="16"/>
  <c r="AG618" i="16"/>
  <c r="AG682" i="16"/>
  <c r="AG67" i="16"/>
  <c r="AG131" i="16"/>
  <c r="AG195" i="16"/>
  <c r="AG259" i="16"/>
  <c r="AG323" i="16"/>
  <c r="AG387" i="16"/>
  <c r="AG451" i="16"/>
  <c r="AG515" i="16"/>
  <c r="AG579" i="16"/>
  <c r="AG643" i="16"/>
  <c r="AG21" i="16"/>
  <c r="AG85" i="16"/>
  <c r="AG149" i="16"/>
  <c r="AG213" i="16"/>
  <c r="AG277" i="16"/>
  <c r="AG341" i="16"/>
  <c r="AG405" i="16"/>
  <c r="AG469" i="16"/>
  <c r="AG533" i="16"/>
  <c r="AG597" i="16"/>
  <c r="AG661" i="16"/>
  <c r="AG276" i="16"/>
  <c r="AG680" i="16"/>
  <c r="AG748" i="16"/>
  <c r="AG812" i="16"/>
  <c r="AG876" i="16"/>
  <c r="AG412" i="16"/>
  <c r="AG701" i="16"/>
  <c r="AG765" i="16"/>
  <c r="AG829" i="16"/>
  <c r="AG893" i="16"/>
  <c r="AG420" i="16"/>
  <c r="AG702" i="16"/>
  <c r="AG766" i="16"/>
  <c r="AG830" i="16"/>
  <c r="AG44" i="16"/>
  <c r="AG556" i="16"/>
  <c r="AG719" i="16"/>
  <c r="AG783" i="16"/>
  <c r="AG847" i="16"/>
  <c r="AG52" i="16"/>
  <c r="AG564" i="16"/>
  <c r="AG720" i="16"/>
  <c r="AG784" i="16"/>
  <c r="AG848" i="16"/>
  <c r="AG912" i="16"/>
  <c r="AG976" i="16"/>
  <c r="AG1040" i="16"/>
  <c r="AG1104" i="16"/>
  <c r="AG1168" i="16"/>
  <c r="AG1232" i="16"/>
  <c r="AG252" i="16"/>
  <c r="AG672" i="16"/>
  <c r="AG745" i="16"/>
  <c r="AG809" i="16"/>
  <c r="AG873" i="16"/>
  <c r="AG937" i="16"/>
  <c r="AG1001" i="16"/>
  <c r="AG1065" i="16"/>
  <c r="AG1129" i="16"/>
  <c r="AG1193" i="16"/>
  <c r="AG1257" i="16"/>
  <c r="AG452" i="16"/>
  <c r="AG706" i="16"/>
  <c r="AG770" i="16"/>
  <c r="AG834" i="16"/>
  <c r="AG898" i="16"/>
  <c r="AG962" i="16"/>
  <c r="AG1026" i="16"/>
  <c r="AG1090" i="16"/>
  <c r="AG1154" i="16"/>
  <c r="AG1218" i="16"/>
  <c r="AG140" i="16"/>
  <c r="AG918" i="16"/>
  <c r="AG1021" i="16"/>
  <c r="AG1124" i="16"/>
  <c r="AG1227" i="16"/>
  <c r="AG1306" i="16"/>
  <c r="AG1370" i="16"/>
  <c r="AG1434" i="16"/>
  <c r="AG1498" i="16"/>
  <c r="AG1562" i="16"/>
  <c r="AG1626" i="16"/>
  <c r="AG396" i="16"/>
  <c r="AG948" i="16"/>
  <c r="AG1051" i="16"/>
  <c r="AG1151" i="16"/>
  <c r="AG1254" i="16"/>
  <c r="AG1324" i="16"/>
  <c r="AG1388" i="16"/>
  <c r="AG1452" i="16"/>
  <c r="AG1516" i="16"/>
  <c r="AG1580" i="16"/>
  <c r="AG707" i="16"/>
  <c r="AG963" i="16"/>
  <c r="AG1063" i="16"/>
  <c r="AG1166" i="16"/>
  <c r="AG1269" i="16"/>
  <c r="AG1333" i="16"/>
  <c r="AG1397" i="16"/>
  <c r="AG1461" i="16"/>
  <c r="AG1525" i="16"/>
  <c r="AG1589" i="16"/>
  <c r="AG1653" i="16"/>
  <c r="AG927" i="16"/>
  <c r="AG656" i="16"/>
  <c r="AG1019" i="16"/>
  <c r="AG1182" i="16"/>
  <c r="AG1318" i="16"/>
  <c r="AG1419" i="16"/>
  <c r="AG1521" i="16"/>
  <c r="AG1624" i="16"/>
  <c r="AG1703" i="16"/>
  <c r="AG1767" i="16"/>
  <c r="AG1831" i="16"/>
  <c r="AG1895" i="16"/>
  <c r="AG894" i="16"/>
  <c r="AG1061" i="16"/>
  <c r="AG1004" i="16"/>
  <c r="AG1167" i="16"/>
  <c r="AG1307" i="16"/>
  <c r="AG1409" i="16"/>
  <c r="AG1512" i="16"/>
  <c r="AG1615" i="16"/>
  <c r="AG1697" i="16"/>
  <c r="AG1761" i="16"/>
  <c r="AG819" i="16"/>
  <c r="AG1045" i="16"/>
  <c r="AG1211" i="16"/>
  <c r="AG1335" i="16"/>
  <c r="AG1438" i="16"/>
  <c r="AG1539" i="16"/>
  <c r="AG1640" i="16"/>
  <c r="AG1714" i="16"/>
  <c r="AG1778" i="16"/>
  <c r="AG1842" i="16"/>
  <c r="AG1906" i="16"/>
  <c r="AG1092" i="16"/>
  <c r="AG1319" i="16"/>
  <c r="AG1481" i="16"/>
  <c r="AG1644" i="16"/>
  <c r="AG1756" i="16"/>
  <c r="AG1851" i="16"/>
  <c r="AG1936" i="16"/>
  <c r="AG2000" i="16"/>
  <c r="AG2064" i="16"/>
  <c r="AG2128" i="16"/>
  <c r="AG2192" i="16"/>
  <c r="AG1164" i="16"/>
  <c r="AG1367" i="16"/>
  <c r="AG1531" i="16"/>
  <c r="AG1684" i="16"/>
  <c r="AG1787" i="16"/>
  <c r="AG1876" i="16"/>
  <c r="AG1955" i="16"/>
  <c r="AG2019" i="16"/>
  <c r="AG2083" i="16"/>
  <c r="AG2147" i="16"/>
  <c r="AG915" i="16"/>
  <c r="AG1311" i="16"/>
  <c r="AG1528" i="16"/>
  <c r="AG1715" i="16"/>
  <c r="AG1845" i="16"/>
  <c r="AG1953" i="16"/>
  <c r="AG2038" i="16"/>
  <c r="AG2124" i="16"/>
  <c r="AG2207" i="16"/>
  <c r="AG2271" i="16"/>
  <c r="AG2335" i="16"/>
  <c r="AG1246" i="16"/>
  <c r="AG1478" i="16"/>
  <c r="AG1683" i="16"/>
  <c r="AG1817" i="16"/>
  <c r="AG1932" i="16"/>
  <c r="AG2018" i="16"/>
  <c r="AG2103" i="16"/>
  <c r="AG2189" i="16"/>
  <c r="AG2256" i="16"/>
  <c r="AG2320" i="16"/>
  <c r="AG1172" i="16"/>
  <c r="AG1425" i="16"/>
  <c r="AG1641" i="16"/>
  <c r="AG1788" i="16"/>
  <c r="AG1905" i="16"/>
  <c r="AG1998" i="16"/>
  <c r="AG2084" i="16"/>
  <c r="AG2169" i="16"/>
  <c r="AG2241" i="16"/>
  <c r="AG2305" i="16"/>
  <c r="AG1083" i="16"/>
  <c r="AG1375" i="16"/>
  <c r="AG1592" i="16"/>
  <c r="AG1755" i="16"/>
  <c r="AG1878" i="16"/>
  <c r="AG1978" i="16"/>
  <c r="AG2063" i="16"/>
  <c r="AG2149" i="16"/>
  <c r="AG2226" i="16"/>
  <c r="AG2290" i="16"/>
  <c r="AG955" i="16"/>
  <c r="AG1323" i="16"/>
  <c r="AG1542" i="16"/>
  <c r="AG1724" i="16"/>
  <c r="AG1852" i="16"/>
  <c r="AG1958" i="16"/>
  <c r="AG2044" i="16"/>
  <c r="AG2129" i="16"/>
  <c r="AG2211" i="16"/>
  <c r="AG2275" i="16"/>
  <c r="AG2339" i="16"/>
  <c r="AG1272" i="16"/>
  <c r="AG1489" i="16"/>
  <c r="AG1691" i="16"/>
  <c r="AG1825" i="16"/>
  <c r="AG1938" i="16"/>
  <c r="AG2023" i="16"/>
  <c r="AG2109" i="16"/>
  <c r="AG2194" i="16"/>
  <c r="AG2260" i="16"/>
  <c r="AG2324" i="16"/>
  <c r="AG1195" i="16"/>
  <c r="AG1439" i="16"/>
  <c r="AG1654" i="16"/>
  <c r="AG1796" i="16"/>
  <c r="AG1912" i="16"/>
  <c r="AG2004" i="16"/>
  <c r="AG2089" i="16"/>
  <c r="AG2174" i="16"/>
  <c r="AG2245" i="16"/>
  <c r="AG2309" i="16"/>
  <c r="AG1109" i="16"/>
  <c r="AG1387" i="16"/>
  <c r="AG1606" i="16"/>
  <c r="AG1764" i="16"/>
  <c r="AG1885" i="16"/>
  <c r="AG1983" i="16"/>
  <c r="AG2069" i="16"/>
  <c r="AG2154" i="16"/>
  <c r="AG2230" i="16"/>
  <c r="AG2294" i="16"/>
  <c r="AG30" i="16"/>
  <c r="AG94" i="16"/>
  <c r="AG158" i="16"/>
  <c r="AG222" i="16"/>
  <c r="AG286" i="16"/>
  <c r="AG350" i="16"/>
  <c r="AG414" i="16"/>
  <c r="AG478" i="16"/>
  <c r="AG542" i="16"/>
  <c r="AG606" i="16"/>
  <c r="AG670" i="16"/>
  <c r="AG55" i="16"/>
  <c r="AG119" i="16"/>
  <c r="AG183" i="16"/>
  <c r="AG247" i="16"/>
  <c r="AG311" i="16"/>
  <c r="AG375" i="16"/>
  <c r="AG439" i="16"/>
  <c r="AG503" i="16"/>
  <c r="AG567" i="16"/>
  <c r="AG8" i="16"/>
  <c r="AG72" i="16"/>
  <c r="AG136" i="16"/>
  <c r="AG200" i="16"/>
  <c r="AG264" i="16"/>
  <c r="AG328" i="16"/>
  <c r="AG392" i="16"/>
  <c r="AG456" i="16"/>
  <c r="AG520" i="16"/>
  <c r="AG584" i="16"/>
  <c r="AG25" i="16"/>
  <c r="AG89" i="16"/>
  <c r="AG153" i="16"/>
  <c r="AG217" i="16"/>
  <c r="AG281" i="16"/>
  <c r="AG345" i="16"/>
  <c r="AG409" i="16"/>
  <c r="AG473" i="16"/>
  <c r="AG537" i="16"/>
  <c r="AG601" i="16"/>
  <c r="AG665" i="16"/>
  <c r="AG50" i="16"/>
  <c r="AG114" i="16"/>
  <c r="AG178" i="16"/>
  <c r="AG242" i="16"/>
  <c r="AG306" i="16"/>
  <c r="AG370" i="16"/>
  <c r="AG434" i="16"/>
  <c r="AG498" i="16"/>
  <c r="AG562" i="16"/>
  <c r="AG626" i="16"/>
  <c r="AG11" i="16"/>
  <c r="AG75" i="16"/>
  <c r="AG139" i="16"/>
  <c r="AG203" i="16"/>
  <c r="AG267" i="16"/>
  <c r="AG331" i="16"/>
  <c r="AG395" i="16"/>
  <c r="AG459" i="16"/>
  <c r="AG523" i="16"/>
  <c r="AG587" i="16"/>
  <c r="AG651" i="16"/>
  <c r="AG29" i="16"/>
  <c r="AG93" i="16"/>
  <c r="AG157" i="16"/>
  <c r="AG221" i="16"/>
  <c r="AG285" i="16"/>
  <c r="AG349" i="16"/>
  <c r="AG413" i="16"/>
  <c r="AG477" i="16"/>
  <c r="AG541" i="16"/>
  <c r="AG605" i="16"/>
  <c r="AG669" i="16"/>
  <c r="AG340" i="16"/>
  <c r="AG692" i="16"/>
  <c r="AG756" i="16"/>
  <c r="AG820" i="16"/>
  <c r="AG884" i="16"/>
  <c r="AG476" i="16"/>
  <c r="AG709" i="16"/>
  <c r="AG773" i="16"/>
  <c r="AG837" i="16"/>
  <c r="AG901" i="16"/>
  <c r="AG484" i="16"/>
  <c r="AG710" i="16"/>
  <c r="AG774" i="16"/>
  <c r="AG838" i="16"/>
  <c r="AG108" i="16"/>
  <c r="AG620" i="16"/>
  <c r="AG727" i="16"/>
  <c r="AG791" i="16"/>
  <c r="AG855" i="16"/>
  <c r="AG116" i="16"/>
  <c r="AG628" i="16"/>
  <c r="AG728" i="16"/>
  <c r="AG792" i="16"/>
  <c r="AG856" i="16"/>
  <c r="AG920" i="16"/>
  <c r="AG984" i="16"/>
  <c r="AG1048" i="16"/>
  <c r="AG1112" i="16"/>
  <c r="AG1176" i="16"/>
  <c r="AG1240" i="16"/>
  <c r="AG316" i="16"/>
  <c r="AG689" i="16"/>
  <c r="AG753" i="16"/>
  <c r="AG817" i="16"/>
  <c r="AG881" i="16"/>
  <c r="AG945" i="16"/>
  <c r="AG1009" i="16"/>
  <c r="AG1073" i="16"/>
  <c r="AG1137" i="16"/>
  <c r="AG1201" i="16"/>
  <c r="AG1265" i="16"/>
  <c r="AG516" i="16"/>
  <c r="AG714" i="16"/>
  <c r="AG778" i="16"/>
  <c r="AG842" i="16"/>
  <c r="AG906" i="16"/>
  <c r="AG970" i="16"/>
  <c r="AG1034" i="16"/>
  <c r="AG1098" i="16"/>
  <c r="AG1162" i="16"/>
  <c r="AG1226" i="16"/>
  <c r="AG204" i="16"/>
  <c r="AG932" i="16"/>
  <c r="AG1035" i="16"/>
  <c r="AG1135" i="16"/>
  <c r="AG1238" i="16"/>
  <c r="AG1314" i="16"/>
  <c r="AG1378" i="16"/>
  <c r="AG1442" i="16"/>
  <c r="AG1506" i="16"/>
  <c r="AG1570" i="16"/>
  <c r="AG1634" i="16"/>
  <c r="AG699" i="16"/>
  <c r="AG959" i="16"/>
  <c r="AG1062" i="16"/>
  <c r="AG1165" i="16"/>
  <c r="AG1268" i="16"/>
  <c r="AG1332" i="16"/>
  <c r="AG1396" i="16"/>
  <c r="AG1460" i="16"/>
  <c r="AG1524" i="16"/>
  <c r="AG1588" i="16"/>
  <c r="AG771" i="16"/>
  <c r="AG974" i="16"/>
  <c r="AG1077" i="16"/>
  <c r="AG1180" i="16"/>
  <c r="AG1277" i="16"/>
  <c r="AG1341" i="16"/>
  <c r="AG1405" i="16"/>
  <c r="AG1469" i="16"/>
  <c r="AG1533" i="16"/>
  <c r="AG1597" i="16"/>
  <c r="AG1661" i="16"/>
  <c r="AG950" i="16"/>
  <c r="AG787" i="16"/>
  <c r="AG1039" i="16"/>
  <c r="AG1203" i="16"/>
  <c r="AG1329" i="16"/>
  <c r="AG1432" i="16"/>
  <c r="AG1535" i="16"/>
  <c r="AG1636" i="16"/>
  <c r="AG1711" i="16"/>
  <c r="AG1775" i="16"/>
  <c r="AG1839" i="16"/>
  <c r="AG1903" i="16"/>
  <c r="AG917" i="16"/>
  <c r="AG715" i="16"/>
  <c r="AG1022" i="16"/>
  <c r="AG1187" i="16"/>
  <c r="AG1320" i="16"/>
  <c r="AG1423" i="16"/>
  <c r="AG1526" i="16"/>
  <c r="AG1627" i="16"/>
  <c r="AG1705" i="16"/>
  <c r="AG1769" i="16"/>
  <c r="AG900" i="16"/>
  <c r="AG1068" i="16"/>
  <c r="AG1231" i="16"/>
  <c r="AG1347" i="16"/>
  <c r="AG1449" i="16"/>
  <c r="AG1552" i="16"/>
  <c r="AG1651" i="16"/>
  <c r="AG1722" i="16"/>
  <c r="AG1786" i="16"/>
  <c r="AG1850" i="16"/>
  <c r="AG1914" i="16"/>
  <c r="AG1118" i="16"/>
  <c r="AG1339" i="16"/>
  <c r="AG1504" i="16"/>
  <c r="AG1663" i="16"/>
  <c r="AG1768" i="16"/>
  <c r="AG1861" i="16"/>
  <c r="AG1944" i="16"/>
  <c r="AG2008" i="16"/>
  <c r="AG2072" i="16"/>
  <c r="AG2136" i="16"/>
  <c r="AG2200" i="16"/>
  <c r="AG1197" i="16"/>
  <c r="AG1390" i="16"/>
  <c r="AG1553" i="16"/>
  <c r="AG1696" i="16"/>
  <c r="AG1798" i="16"/>
  <c r="AG1886" i="16"/>
  <c r="AG1963" i="16"/>
  <c r="AG2027" i="16"/>
  <c r="AG2091" i="16"/>
  <c r="AG2155" i="16"/>
  <c r="AG991" i="16"/>
  <c r="AG1336" i="16"/>
  <c r="AG1555" i="16"/>
  <c r="AG1732" i="16"/>
  <c r="AG1859" i="16"/>
  <c r="AG1964" i="16"/>
  <c r="AG2049" i="16"/>
  <c r="AG2134" i="16"/>
  <c r="AG2215" i="16"/>
  <c r="AG2279" i="16"/>
  <c r="AG636" i="16"/>
  <c r="AG1286" i="16"/>
  <c r="AG1503" i="16"/>
  <c r="AG1700" i="16"/>
  <c r="AG1832" i="16"/>
  <c r="AG1943" i="16"/>
  <c r="AG2029" i="16"/>
  <c r="AG2114" i="16"/>
  <c r="AG2199" i="16"/>
  <c r="AG2264" i="16"/>
  <c r="AG2328" i="16"/>
  <c r="AG1212" i="16"/>
  <c r="AG1454" i="16"/>
  <c r="AG1664" i="16"/>
  <c r="AG1804" i="16"/>
  <c r="AG1920" i="16"/>
  <c r="AG2009" i="16"/>
  <c r="AG2094" i="16"/>
  <c r="AG2180" i="16"/>
  <c r="AG2249" i="16"/>
  <c r="AG2313" i="16"/>
  <c r="AG1132" i="16"/>
  <c r="AG1400" i="16"/>
  <c r="AG1619" i="16"/>
  <c r="AG1772" i="16"/>
  <c r="AG1892" i="16"/>
  <c r="AG1989" i="16"/>
  <c r="AG2074" i="16"/>
  <c r="AG2159" i="16"/>
  <c r="AG2234" i="16"/>
  <c r="AG2298" i="16"/>
  <c r="AG1029" i="16"/>
  <c r="AG1351" i="16"/>
  <c r="AG1568" i="16"/>
  <c r="AG1740" i="16"/>
  <c r="AG1867" i="16"/>
  <c r="AG1969" i="16"/>
  <c r="AG2054" i="16"/>
  <c r="AG2140" i="16"/>
  <c r="AG2219" i="16"/>
  <c r="AG2283" i="16"/>
  <c r="AG859" i="16"/>
  <c r="AG1297" i="16"/>
  <c r="AG1518" i="16"/>
  <c r="AG1708" i="16"/>
  <c r="AG1838" i="16"/>
  <c r="AG1949" i="16"/>
  <c r="AG2034" i="16"/>
  <c r="AG2119" i="16"/>
  <c r="AG2204" i="16"/>
  <c r="AG2268" i="16"/>
  <c r="AG2332" i="16"/>
  <c r="AG1236" i="16"/>
  <c r="AG1465" i="16"/>
  <c r="AG1675" i="16"/>
  <c r="AG1813" i="16"/>
  <c r="AG1926" i="16"/>
  <c r="AG2014" i="16"/>
  <c r="AG2100" i="16"/>
  <c r="AG2185" i="16"/>
  <c r="AG2253" i="16"/>
  <c r="AG2317" i="16"/>
  <c r="AG1150" i="16"/>
  <c r="AG1415" i="16"/>
  <c r="AG1632" i="16"/>
  <c r="AG1780" i="16"/>
  <c r="AG1900" i="16"/>
  <c r="AG1994" i="16"/>
  <c r="AG2079" i="16"/>
  <c r="AG2165" i="16"/>
  <c r="AG2238" i="16"/>
  <c r="AG2302" i="16"/>
  <c r="AG38" i="16"/>
  <c r="AG102" i="16"/>
  <c r="AG166" i="16"/>
  <c r="AG230" i="16"/>
  <c r="AG294" i="16"/>
  <c r="AG358" i="16"/>
  <c r="AG422" i="16"/>
  <c r="AG486" i="16"/>
  <c r="AG550" i="16"/>
  <c r="AG614" i="16"/>
  <c r="AG678" i="16"/>
  <c r="AG63" i="16"/>
  <c r="AG127" i="16"/>
  <c r="AG191" i="16"/>
  <c r="AG255" i="16"/>
  <c r="AG319" i="16"/>
  <c r="AG383" i="16"/>
  <c r="AG447" i="16"/>
  <c r="AG511" i="16"/>
  <c r="AG575" i="16"/>
  <c r="AG16" i="16"/>
  <c r="AG80" i="16"/>
  <c r="AG144" i="16"/>
  <c r="AG208" i="16"/>
  <c r="AG272" i="16"/>
  <c r="AG336" i="16"/>
  <c r="AG400" i="16"/>
  <c r="AG464" i="16"/>
  <c r="AG528" i="16"/>
  <c r="AG592" i="16"/>
  <c r="AG33" i="16"/>
  <c r="AG97" i="16"/>
  <c r="AG161" i="16"/>
  <c r="AG225" i="16"/>
  <c r="AG289" i="16"/>
  <c r="AG353" i="16"/>
  <c r="AG417" i="16"/>
  <c r="AG481" i="16"/>
  <c r="AG545" i="16"/>
  <c r="AG609" i="16"/>
  <c r="AG673" i="16"/>
  <c r="AG58" i="16"/>
  <c r="AG122" i="16"/>
  <c r="AG186" i="16"/>
  <c r="AG250" i="16"/>
  <c r="AG314" i="16"/>
  <c r="AG378" i="16"/>
  <c r="AG442" i="16"/>
  <c r="AG506" i="16"/>
  <c r="AG570" i="16"/>
  <c r="AG634" i="16"/>
  <c r="AG19" i="16"/>
  <c r="AG83" i="16"/>
  <c r="AG147" i="16"/>
  <c r="AG211" i="16"/>
  <c r="AG275" i="16"/>
  <c r="AG339" i="16"/>
  <c r="AG403" i="16"/>
  <c r="AG467" i="16"/>
  <c r="AG531" i="16"/>
  <c r="AG595" i="16"/>
  <c r="AG659" i="16"/>
  <c r="AG37" i="16"/>
  <c r="AG101" i="16"/>
  <c r="AG165" i="16"/>
  <c r="AG229" i="16"/>
  <c r="AG293" i="16"/>
  <c r="AG357" i="16"/>
  <c r="AG421" i="16"/>
  <c r="AG485" i="16"/>
  <c r="AG549" i="16"/>
  <c r="AG613" i="16"/>
  <c r="AG677" i="16"/>
  <c r="AG404" i="16"/>
  <c r="AG700" i="16"/>
  <c r="AG764" i="16"/>
  <c r="AG828" i="16"/>
  <c r="AG28" i="16"/>
  <c r="AG540" i="16"/>
  <c r="AG717" i="16"/>
  <c r="AG781" i="16"/>
  <c r="AG845" i="16"/>
  <c r="AG36" i="16"/>
  <c r="AG548" i="16"/>
  <c r="AG718" i="16"/>
  <c r="AG782" i="16"/>
  <c r="AG846" i="16"/>
  <c r="AG172" i="16"/>
  <c r="AG647" i="16"/>
  <c r="AG735" i="16"/>
  <c r="AG799" i="16"/>
  <c r="AG863" i="16"/>
  <c r="AG180" i="16"/>
  <c r="AG648" i="16"/>
  <c r="AG736" i="16"/>
  <c r="AG800" i="16"/>
  <c r="AG864" i="16"/>
  <c r="AG928" i="16"/>
  <c r="AG992" i="16"/>
  <c r="AG1056" i="16"/>
  <c r="AG1120" i="16"/>
  <c r="AG1184" i="16"/>
  <c r="AG1248" i="16"/>
  <c r="AG380" i="16"/>
  <c r="AG697" i="16"/>
  <c r="AG761" i="16"/>
  <c r="AG825" i="16"/>
  <c r="AG889" i="16"/>
  <c r="AG953" i="16"/>
  <c r="AG1017" i="16"/>
  <c r="AG1081" i="16"/>
  <c r="AG1145" i="16"/>
  <c r="AG1209" i="16"/>
  <c r="AG68" i="16"/>
  <c r="AG580" i="16"/>
  <c r="AG722" i="16"/>
  <c r="AG786" i="16"/>
  <c r="AG850" i="16"/>
  <c r="AG914" i="16"/>
  <c r="AG978" i="16"/>
  <c r="AG1042" i="16"/>
  <c r="AG1106" i="16"/>
  <c r="AG1170" i="16"/>
  <c r="AG1234" i="16"/>
  <c r="AG268" i="16"/>
  <c r="AG943" i="16"/>
  <c r="AG1046" i="16"/>
  <c r="AG1149" i="16"/>
  <c r="AG1252" i="16"/>
  <c r="AG1322" i="16"/>
  <c r="AG1386" i="16"/>
  <c r="AG1450" i="16"/>
  <c r="AG1514" i="16"/>
  <c r="AG1578" i="16"/>
  <c r="AG1642" i="16"/>
  <c r="AG763" i="16"/>
  <c r="AG973" i="16"/>
  <c r="AG1076" i="16"/>
  <c r="AG1179" i="16"/>
  <c r="AG1276" i="16"/>
  <c r="AG1340" i="16"/>
  <c r="AG1404" i="16"/>
  <c r="AG1468" i="16"/>
  <c r="AG1532" i="16"/>
  <c r="AG1596" i="16"/>
  <c r="AG835" i="16"/>
  <c r="AG988" i="16"/>
  <c r="AG1091" i="16"/>
  <c r="AG1191" i="16"/>
  <c r="AG1285" i="16"/>
  <c r="AG1349" i="16"/>
  <c r="AG1413" i="16"/>
  <c r="AG1477" i="16"/>
  <c r="AG1541" i="16"/>
  <c r="AG1605" i="16"/>
  <c r="AG1669" i="16"/>
  <c r="AG967" i="16"/>
  <c r="AG883" i="16"/>
  <c r="AG1059" i="16"/>
  <c r="AG1222" i="16"/>
  <c r="AG1343" i="16"/>
  <c r="AG1446" i="16"/>
  <c r="AG1547" i="16"/>
  <c r="AG1647" i="16"/>
  <c r="AG1719" i="16"/>
  <c r="AG1783" i="16"/>
  <c r="AG1847" i="16"/>
  <c r="AG1911" i="16"/>
  <c r="AG940" i="16"/>
  <c r="AG803" i="16"/>
  <c r="AG1044" i="16"/>
  <c r="AG1207" i="16"/>
  <c r="AG1334" i="16"/>
  <c r="AG1435" i="16"/>
  <c r="AG1537" i="16"/>
  <c r="AG1639" i="16"/>
  <c r="AG1713" i="16"/>
  <c r="AG1777" i="16"/>
  <c r="AG925" i="16"/>
  <c r="AG1086" i="16"/>
  <c r="AG1251" i="16"/>
  <c r="AG1360" i="16"/>
  <c r="AG1463" i="16"/>
  <c r="AG1566" i="16"/>
  <c r="AG1662" i="16"/>
  <c r="AG1730" i="16"/>
  <c r="AG1794" i="16"/>
  <c r="AG1858" i="16"/>
  <c r="AG1922" i="16"/>
  <c r="AG1156" i="16"/>
  <c r="AG1361" i="16"/>
  <c r="AG1523" i="16"/>
  <c r="AG1678" i="16"/>
  <c r="AG1781" i="16"/>
  <c r="AG1872" i="16"/>
  <c r="AG1952" i="16"/>
  <c r="AG2016" i="16"/>
  <c r="AG2080" i="16"/>
  <c r="AG2144" i="16"/>
  <c r="AG867" i="16"/>
  <c r="AG1235" i="16"/>
  <c r="AG1408" i="16"/>
  <c r="AG1571" i="16"/>
  <c r="AG1709" i="16"/>
  <c r="AG1812" i="16"/>
  <c r="AG1897" i="16"/>
  <c r="AG1971" i="16"/>
  <c r="AG2035" i="16"/>
  <c r="AG2099" i="16"/>
  <c r="AG2163" i="16"/>
  <c r="AG1069" i="16"/>
  <c r="AG1363" i="16"/>
  <c r="AG1582" i="16"/>
  <c r="AG1749" i="16"/>
  <c r="AG1873" i="16"/>
  <c r="AG1974" i="16"/>
  <c r="AG2060" i="16"/>
  <c r="AG2145" i="16"/>
  <c r="AG2223" i="16"/>
  <c r="AG2287" i="16"/>
  <c r="AG926" i="16"/>
  <c r="AG1312" i="16"/>
  <c r="AG1529" i="16"/>
  <c r="AG1716" i="16"/>
  <c r="AG1846" i="16"/>
  <c r="AG1954" i="16"/>
  <c r="AG2039" i="16"/>
  <c r="AG2125" i="16"/>
  <c r="AG2208" i="16"/>
  <c r="AG2272" i="16"/>
  <c r="AG2336" i="16"/>
  <c r="AG1259" i="16"/>
  <c r="AG1479" i="16"/>
  <c r="AG1685" i="16"/>
  <c r="AG1820" i="16"/>
  <c r="AG1933" i="16"/>
  <c r="AG2020" i="16"/>
  <c r="AG2105" i="16"/>
  <c r="AG2190" i="16"/>
  <c r="AG2257" i="16"/>
  <c r="AG2321" i="16"/>
  <c r="AG1173" i="16"/>
  <c r="AG1427" i="16"/>
  <c r="AG1643" i="16"/>
  <c r="AG1789" i="16"/>
  <c r="AG1907" i="16"/>
  <c r="AG1999" i="16"/>
  <c r="AG2085" i="16"/>
  <c r="AG2170" i="16"/>
  <c r="AG2242" i="16"/>
  <c r="AG2306" i="16"/>
  <c r="AG1093" i="16"/>
  <c r="AG1376" i="16"/>
  <c r="AG1595" i="16"/>
  <c r="AG1757" i="16"/>
  <c r="AG1880" i="16"/>
  <c r="AG1980" i="16"/>
  <c r="AG2065" i="16"/>
  <c r="AG2150" i="16"/>
  <c r="AG2227" i="16"/>
  <c r="AG2291" i="16"/>
  <c r="AG966" i="16"/>
  <c r="AG1326" i="16"/>
  <c r="AG1543" i="16"/>
  <c r="AG1725" i="16"/>
  <c r="AG1853" i="16"/>
  <c r="AG1959" i="16"/>
  <c r="AG2045" i="16"/>
  <c r="AG2130" i="16"/>
  <c r="AG2212" i="16"/>
  <c r="AG2276" i="16"/>
  <c r="AG2340" i="16"/>
  <c r="AG1273" i="16"/>
  <c r="AG1494" i="16"/>
  <c r="AG1693" i="16"/>
  <c r="AG1827" i="16"/>
  <c r="AG1940" i="16"/>
  <c r="AG2025" i="16"/>
  <c r="AG2110" i="16"/>
  <c r="AG2196" i="16"/>
  <c r="AG2261" i="16"/>
  <c r="AG2325" i="16"/>
  <c r="AG1196" i="16"/>
  <c r="AG1440" i="16"/>
  <c r="AG1655" i="16"/>
  <c r="AG1797" i="16"/>
  <c r="AG1913" i="16"/>
  <c r="AG2005" i="16"/>
  <c r="AG2090" i="16"/>
  <c r="AG2175" i="16"/>
  <c r="AG2246" i="16"/>
  <c r="AG2310" i="16"/>
  <c r="AG46" i="16"/>
  <c r="AG110" i="16"/>
  <c r="AG174" i="16"/>
  <c r="AG238" i="16"/>
  <c r="AG302" i="16"/>
  <c r="AG366" i="16"/>
  <c r="AG430" i="16"/>
  <c r="AG494" i="16"/>
  <c r="AG558" i="16"/>
  <c r="AG622" i="16"/>
  <c r="AG7" i="16"/>
  <c r="AG71" i="16"/>
  <c r="AG135" i="16"/>
  <c r="AG199" i="16"/>
  <c r="AG263" i="16"/>
  <c r="AG327" i="16"/>
  <c r="AG391" i="16"/>
  <c r="AG455" i="16"/>
  <c r="AG519" i="16"/>
  <c r="AG583" i="16"/>
  <c r="AG24" i="16"/>
  <c r="AG88" i="16"/>
  <c r="AG152" i="16"/>
  <c r="AG216" i="16"/>
  <c r="AG280" i="16"/>
  <c r="AG344" i="16"/>
  <c r="AG408" i="16"/>
  <c r="AG472" i="16"/>
  <c r="AG536" i="16"/>
  <c r="AG600" i="16"/>
  <c r="AG41" i="16"/>
  <c r="AG105" i="16"/>
  <c r="AG169" i="16"/>
  <c r="AG233" i="16"/>
  <c r="AG297" i="16"/>
  <c r="AG361" i="16"/>
  <c r="AG425" i="16"/>
  <c r="AG489" i="16"/>
  <c r="AG553" i="16"/>
  <c r="AG617" i="16"/>
  <c r="AG681" i="16"/>
  <c r="AG66" i="16"/>
  <c r="AG130" i="16"/>
  <c r="AG194" i="16"/>
  <c r="AG258" i="16"/>
  <c r="AG322" i="16"/>
  <c r="AG386" i="16"/>
  <c r="AG450" i="16"/>
  <c r="AG514" i="16"/>
  <c r="AG578" i="16"/>
  <c r="AG642" i="16"/>
  <c r="AG27" i="16"/>
  <c r="AG91" i="16"/>
  <c r="AG155" i="16"/>
  <c r="AG219" i="16"/>
  <c r="AG283" i="16"/>
  <c r="AG347" i="16"/>
  <c r="AG411" i="16"/>
  <c r="AG475" i="16"/>
  <c r="AG539" i="16"/>
  <c r="AG603" i="16"/>
  <c r="AG667" i="16"/>
  <c r="AG45" i="16"/>
  <c r="AG109" i="16"/>
  <c r="AG173" i="16"/>
  <c r="AG237" i="16"/>
  <c r="AG301" i="16"/>
  <c r="AG365" i="16"/>
  <c r="AG429" i="16"/>
  <c r="AG493" i="16"/>
  <c r="AG557" i="16"/>
  <c r="AG621" i="16"/>
  <c r="AG685" i="16"/>
  <c r="AG468" i="16"/>
  <c r="AG708" i="16"/>
  <c r="AG772" i="16"/>
  <c r="AG836" i="16"/>
  <c r="AG92" i="16"/>
  <c r="AG604" i="16"/>
  <c r="AG725" i="16"/>
  <c r="AG789" i="16"/>
  <c r="AG853" i="16"/>
  <c r="AG100" i="16"/>
  <c r="AG612" i="16"/>
  <c r="AG726" i="16"/>
  <c r="AG790" i="16"/>
  <c r="AG854" i="16"/>
  <c r="AG236" i="16"/>
  <c r="AG668" i="16"/>
  <c r="AG743" i="16"/>
  <c r="AG807" i="16"/>
  <c r="AG871" i="16"/>
  <c r="AG244" i="16"/>
  <c r="AG671" i="16"/>
  <c r="AG744" i="16"/>
  <c r="AG808" i="16"/>
  <c r="AG872" i="16"/>
  <c r="AG936" i="16"/>
  <c r="AG1000" i="16"/>
  <c r="AG1064" i="16"/>
  <c r="AG1128" i="16"/>
  <c r="AG1192" i="16"/>
  <c r="AG1256" i="16"/>
  <c r="AG444" i="16"/>
  <c r="AG705" i="16"/>
  <c r="AG769" i="16"/>
  <c r="AG833" i="16"/>
  <c r="AG897" i="16"/>
  <c r="AG961" i="16"/>
  <c r="AG1025" i="16"/>
  <c r="AG1089" i="16"/>
  <c r="AG1153" i="16"/>
  <c r="AG1217" i="16"/>
  <c r="AG132" i="16"/>
  <c r="AG632" i="16"/>
  <c r="AG730" i="16"/>
  <c r="AG794" i="16"/>
  <c r="AG858" i="16"/>
  <c r="AG922" i="16"/>
  <c r="AG986" i="16"/>
  <c r="AG1050" i="16"/>
  <c r="AG1114" i="16"/>
  <c r="AG1178" i="16"/>
  <c r="AG1242" i="16"/>
  <c r="AG679" i="16"/>
  <c r="AG957" i="16"/>
  <c r="AG1060" i="16"/>
  <c r="AG1163" i="16"/>
  <c r="AG1263" i="16"/>
  <c r="AG1330" i="16"/>
  <c r="AG1394" i="16"/>
  <c r="AG1458" i="16"/>
  <c r="AG1522" i="16"/>
  <c r="AG1586" i="16"/>
  <c r="AG1650" i="16"/>
  <c r="AG827" i="16"/>
  <c r="AG987" i="16"/>
  <c r="AG1087" i="16"/>
  <c r="AG1190" i="16"/>
  <c r="AG1284" i="16"/>
  <c r="AG1348" i="16"/>
  <c r="AG1412" i="16"/>
  <c r="AG1476" i="16"/>
  <c r="AG1540" i="16"/>
  <c r="AG1604" i="16"/>
  <c r="AG892" i="16"/>
  <c r="AG999" i="16"/>
  <c r="AG1102" i="16"/>
  <c r="AG1205" i="16"/>
  <c r="AG1293" i="16"/>
  <c r="AG1357" i="16"/>
  <c r="AG1421" i="16"/>
  <c r="AG1485" i="16"/>
  <c r="AG1549" i="16"/>
  <c r="AG1613" i="16"/>
  <c r="AG1677" i="16"/>
  <c r="AG990" i="16"/>
  <c r="AG916" i="16"/>
  <c r="AG1079" i="16"/>
  <c r="AG1245" i="16"/>
  <c r="AG1355" i="16"/>
  <c r="AG1457" i="16"/>
  <c r="AG1560" i="16"/>
  <c r="AG1657" i="16"/>
  <c r="AG1727" i="16"/>
  <c r="AG1791" i="16"/>
  <c r="AG1855" i="16"/>
  <c r="AG1919" i="16"/>
  <c r="AG958" i="16"/>
  <c r="AG899" i="16"/>
  <c r="AG1067" i="16"/>
  <c r="AG1228" i="16"/>
  <c r="AG1345" i="16"/>
  <c r="AG1448" i="16"/>
  <c r="AG1551" i="16"/>
  <c r="AG1649" i="16"/>
  <c r="AG1721" i="16"/>
  <c r="AG1785" i="16"/>
  <c r="AG942" i="16"/>
  <c r="AG1108" i="16"/>
  <c r="AG1271" i="16"/>
  <c r="AG1374" i="16"/>
  <c r="AG1475" i="16"/>
  <c r="AG1577" i="16"/>
  <c r="AG1672" i="16"/>
  <c r="AG1738" i="16"/>
  <c r="AG1802" i="16"/>
  <c r="AG1866" i="16"/>
  <c r="AG1930" i="16"/>
  <c r="AG1183" i="16"/>
  <c r="AG1379" i="16"/>
  <c r="AG1544" i="16"/>
  <c r="AG1692" i="16"/>
  <c r="AG1795" i="16"/>
  <c r="AG1883" i="16"/>
  <c r="AG1960" i="16"/>
  <c r="AG2024" i="16"/>
  <c r="AG2088" i="16"/>
  <c r="AG2152" i="16"/>
  <c r="AG951" i="16"/>
  <c r="AG1261" i="16"/>
  <c r="AG1430" i="16"/>
  <c r="AG1593" i="16"/>
  <c r="AG1723" i="16"/>
  <c r="AG1822" i="16"/>
  <c r="AG1908" i="16"/>
  <c r="AG1979" i="16"/>
  <c r="AG2043" i="16"/>
  <c r="AG2107" i="16"/>
  <c r="AG2171" i="16"/>
  <c r="AG1111" i="16"/>
  <c r="AG1391" i="16"/>
  <c r="AG1608" i="16"/>
  <c r="AG1765" i="16"/>
  <c r="AG1888" i="16"/>
  <c r="AG1985" i="16"/>
  <c r="AG2070" i="16"/>
  <c r="AG2156" i="16"/>
  <c r="AG2231" i="16"/>
  <c r="AG2295" i="16"/>
  <c r="AG995" i="16"/>
  <c r="AG1337" i="16"/>
  <c r="AG1558" i="16"/>
  <c r="AG1733" i="16"/>
  <c r="AG1860" i="16"/>
  <c r="AG1965" i="16"/>
  <c r="AG2050" i="16"/>
  <c r="AG2135" i="16"/>
  <c r="AG2216" i="16"/>
  <c r="AG2280" i="16"/>
  <c r="AG731" i="16"/>
  <c r="AG1288" i="16"/>
  <c r="AG1505" i="16"/>
  <c r="AG1701" i="16"/>
  <c r="AG1835" i="16"/>
  <c r="AG1945" i="16"/>
  <c r="AG2030" i="16"/>
  <c r="AG2116" i="16"/>
  <c r="AG2201" i="16"/>
  <c r="AG2265" i="16"/>
  <c r="AG2329" i="16"/>
  <c r="AG1214" i="16"/>
  <c r="AG1455" i="16"/>
  <c r="AG1665" i="16"/>
  <c r="AG1805" i="16"/>
  <c r="AG1921" i="16"/>
  <c r="AG2010" i="16"/>
  <c r="AG2095" i="16"/>
  <c r="AG2181" i="16"/>
  <c r="AG2250" i="16"/>
  <c r="AG2314" i="16"/>
  <c r="AG1134" i="16"/>
  <c r="AG1403" i="16"/>
  <c r="AG1622" i="16"/>
  <c r="AG1774" i="16"/>
  <c r="AG1894" i="16"/>
  <c r="AG1990" i="16"/>
  <c r="AG2076" i="16"/>
  <c r="AG2161" i="16"/>
  <c r="AG2235" i="16"/>
  <c r="AG2299" i="16"/>
  <c r="AG1031" i="16"/>
  <c r="AG1352" i="16"/>
  <c r="AG1569" i="16"/>
  <c r="AG1741" i="16"/>
  <c r="AG1868" i="16"/>
  <c r="AG1970" i="16"/>
  <c r="AG2055" i="16"/>
  <c r="AG2141" i="16"/>
  <c r="AG2220" i="16"/>
  <c r="AG2284" i="16"/>
  <c r="AG902" i="16"/>
  <c r="AG1302" i="16"/>
  <c r="AG1519" i="16"/>
  <c r="AG1710" i="16"/>
  <c r="AG1841" i="16"/>
  <c r="AG1950" i="16"/>
  <c r="AG2036" i="16"/>
  <c r="AG2121" i="16"/>
  <c r="AG2205" i="16"/>
  <c r="AG2269" i="16"/>
  <c r="AG2333" i="16"/>
  <c r="AG1237" i="16"/>
  <c r="AG1467" i="16"/>
  <c r="AG1676" i="16"/>
  <c r="AG1814" i="16"/>
  <c r="AG1928" i="16"/>
  <c r="AG2015" i="16"/>
  <c r="AG2101" i="16"/>
  <c r="AG2186" i="16"/>
  <c r="AG2254" i="16"/>
  <c r="AG2318" i="16"/>
  <c r="AG54" i="16"/>
  <c r="AG118" i="16"/>
  <c r="AG182" i="16"/>
  <c r="AG246" i="16"/>
  <c r="AG310" i="16"/>
  <c r="AG374" i="16"/>
  <c r="AG438" i="16"/>
  <c r="AG502" i="16"/>
  <c r="AG566" i="16"/>
  <c r="AG630" i="16"/>
  <c r="AG15" i="16"/>
  <c r="AG79" i="16"/>
  <c r="AG143" i="16"/>
  <c r="AG207" i="16"/>
  <c r="AG271" i="16"/>
  <c r="AG335" i="16"/>
  <c r="AG399" i="16"/>
  <c r="AG463" i="16"/>
  <c r="AG527" i="16"/>
  <c r="AG591" i="16"/>
  <c r="AG32" i="16"/>
  <c r="AG96" i="16"/>
  <c r="AG160" i="16"/>
  <c r="AG224" i="16"/>
  <c r="AG288" i="16"/>
  <c r="AG352" i="16"/>
  <c r="AG416" i="16"/>
  <c r="AG480" i="16"/>
  <c r="AG544" i="16"/>
  <c r="AG608" i="16"/>
  <c r="AG49" i="16"/>
  <c r="AG113" i="16"/>
  <c r="AG177" i="16"/>
  <c r="AG241" i="16"/>
  <c r="AG305" i="16"/>
  <c r="AG369" i="16"/>
  <c r="AG433" i="16"/>
  <c r="AG497" i="16"/>
  <c r="AG561" i="16"/>
  <c r="AG625" i="16"/>
  <c r="AG10" i="16"/>
  <c r="AG74" i="16"/>
  <c r="AG138" i="16"/>
  <c r="AG202" i="16"/>
  <c r="AG266" i="16"/>
  <c r="AG330" i="16"/>
  <c r="AG394" i="16"/>
  <c r="AG458" i="16"/>
  <c r="AG522" i="16"/>
  <c r="AG586" i="16"/>
  <c r="AG650" i="16"/>
  <c r="AG35" i="16"/>
  <c r="AG99" i="16"/>
  <c r="AG163" i="16"/>
  <c r="AG227" i="16"/>
  <c r="AG291" i="16"/>
  <c r="AG355" i="16"/>
  <c r="AG419" i="16"/>
  <c r="AG483" i="16"/>
  <c r="AG547" i="16"/>
  <c r="AG611" i="16"/>
  <c r="AG675" i="16"/>
  <c r="AG53" i="16"/>
  <c r="AG117" i="16"/>
  <c r="AG181" i="16"/>
  <c r="AG245" i="16"/>
  <c r="AG309" i="16"/>
  <c r="AG373" i="16"/>
  <c r="AG437" i="16"/>
  <c r="AG501" i="16"/>
  <c r="AG565" i="16"/>
  <c r="AG629" i="16"/>
  <c r="AG20" i="16"/>
  <c r="AG532" i="16"/>
  <c r="AG716" i="16"/>
  <c r="AG780" i="16"/>
  <c r="AG844" i="16"/>
  <c r="AG156" i="16"/>
  <c r="AG640" i="16"/>
  <c r="AG733" i="16"/>
  <c r="AG797" i="16"/>
  <c r="AG861" i="16"/>
  <c r="AG164" i="16"/>
  <c r="AG644" i="16"/>
  <c r="AG734" i="16"/>
  <c r="AG798" i="16"/>
  <c r="AG862" i="16"/>
  <c r="AG300" i="16"/>
  <c r="AG687" i="16"/>
  <c r="AG751" i="16"/>
  <c r="AG815" i="16"/>
  <c r="AG879" i="16"/>
  <c r="AG308" i="16"/>
  <c r="AG688" i="16"/>
  <c r="AG752" i="16"/>
  <c r="AG816" i="16"/>
  <c r="AG880" i="16"/>
  <c r="AG944" i="16"/>
  <c r="AG1008" i="16"/>
  <c r="AG1072" i="16"/>
  <c r="AG1136" i="16"/>
  <c r="AG1200" i="16"/>
  <c r="AG1264" i="16"/>
  <c r="AG508" i="16"/>
  <c r="AG713" i="16"/>
  <c r="AG777" i="16"/>
  <c r="AG841" i="16"/>
  <c r="AG905" i="16"/>
  <c r="AG969" i="16"/>
  <c r="AG1033" i="16"/>
  <c r="AG1097" i="16"/>
  <c r="AG1161" i="16"/>
  <c r="AG1225" i="16"/>
  <c r="AG196" i="16"/>
  <c r="AG655" i="16"/>
  <c r="AG738" i="16"/>
  <c r="AG802" i="16"/>
  <c r="AG866" i="16"/>
  <c r="AG930" i="16"/>
  <c r="AG994" i="16"/>
  <c r="AG1058" i="16"/>
  <c r="AG1122" i="16"/>
  <c r="AG1186" i="16"/>
  <c r="AG1250" i="16"/>
  <c r="AG747" i="16"/>
  <c r="AG971" i="16"/>
  <c r="AG1071" i="16"/>
  <c r="AG1174" i="16"/>
  <c r="AG1274" i="16"/>
  <c r="AG1338" i="16"/>
  <c r="AG1402" i="16"/>
  <c r="AG1466" i="16"/>
  <c r="AG1530" i="16"/>
  <c r="AG1594" i="16"/>
  <c r="AG1658" i="16"/>
  <c r="AG891" i="16"/>
  <c r="AG998" i="16"/>
  <c r="AG1101" i="16"/>
  <c r="AG1204" i="16"/>
  <c r="AG1292" i="16"/>
  <c r="AG1356" i="16"/>
  <c r="AG1420" i="16"/>
  <c r="AG1484" i="16"/>
  <c r="AG1548" i="16"/>
  <c r="AG1612" i="16"/>
  <c r="AG910" i="16"/>
  <c r="AG1013" i="16"/>
  <c r="AG1116" i="16"/>
  <c r="AG1219" i="16"/>
  <c r="AG1301" i="16"/>
  <c r="AG1365" i="16"/>
  <c r="AG1429" i="16"/>
  <c r="AG1493" i="16"/>
  <c r="AG1557" i="16"/>
  <c r="AG1621" i="16"/>
  <c r="AG524" i="16"/>
  <c r="AG1011" i="16"/>
  <c r="AG939" i="16"/>
  <c r="AG1100" i="16"/>
  <c r="AG1262" i="16"/>
  <c r="AG1368" i="16"/>
  <c r="AG1471" i="16"/>
  <c r="AG1574" i="16"/>
  <c r="AG1668" i="16"/>
  <c r="AG1735" i="16"/>
  <c r="AG1799" i="16"/>
  <c r="AG1863" i="16"/>
  <c r="AG1927" i="16"/>
  <c r="AG980" i="16"/>
  <c r="AG919" i="16"/>
  <c r="AG1084" i="16"/>
  <c r="AG1247" i="16"/>
  <c r="AG1359" i="16"/>
  <c r="AG1462" i="16"/>
  <c r="AG1563" i="16"/>
  <c r="AG1660" i="16"/>
  <c r="AG1729" i="16"/>
  <c r="AG1793" i="16"/>
  <c r="AG965" i="16"/>
  <c r="AG1131" i="16"/>
  <c r="AG1283" i="16"/>
  <c r="AG1385" i="16"/>
  <c r="AG1488" i="16"/>
  <c r="AG1591" i="16"/>
  <c r="AG1682" i="16"/>
  <c r="AG1746" i="16"/>
  <c r="AG1810" i="16"/>
  <c r="AG1874" i="16"/>
  <c r="AG779" i="16"/>
  <c r="AG1220" i="16"/>
  <c r="AG1401" i="16"/>
  <c r="AG1567" i="16"/>
  <c r="AG1704" i="16"/>
  <c r="AG1806" i="16"/>
  <c r="AG1893" i="16"/>
  <c r="AG1968" i="16"/>
  <c r="AG2032" i="16"/>
  <c r="AG2096" i="16"/>
  <c r="AG2160" i="16"/>
  <c r="AG1006" i="16"/>
  <c r="AG1287" i="16"/>
  <c r="AG1451" i="16"/>
  <c r="AG1614" i="16"/>
  <c r="AG1734" i="16"/>
  <c r="AG1833" i="16"/>
  <c r="AG1918" i="16"/>
  <c r="AG1987" i="16"/>
  <c r="AG2051" i="16"/>
  <c r="AG2115" i="16"/>
  <c r="AG2179" i="16"/>
  <c r="AG1157" i="16"/>
  <c r="AG1416" i="16"/>
  <c r="AG1635" i="16"/>
  <c r="AG1782" i="16"/>
  <c r="AG1901" i="16"/>
  <c r="AG1996" i="16"/>
  <c r="AG2081" i="16"/>
  <c r="AG2166" i="16"/>
  <c r="AG2239" i="16"/>
  <c r="AG2303" i="16"/>
  <c r="AG1075" i="16"/>
  <c r="AG1366" i="16"/>
  <c r="AG1583" i="16"/>
  <c r="AG1750" i="16"/>
  <c r="AG1875" i="16"/>
  <c r="AG1975" i="16"/>
  <c r="AG2061" i="16"/>
  <c r="AG2146" i="16"/>
  <c r="AG2224" i="16"/>
  <c r="AG2288" i="16"/>
  <c r="AG933" i="16"/>
  <c r="AG1313" i="16"/>
  <c r="AG1534" i="16"/>
  <c r="AG1718" i="16"/>
  <c r="AG1848" i="16"/>
  <c r="AG1956" i="16"/>
  <c r="AG2041" i="16"/>
  <c r="AG2126" i="16"/>
  <c r="AG2209" i="16"/>
  <c r="AG2273" i="16"/>
  <c r="AG2337" i="16"/>
  <c r="AG1260" i="16"/>
  <c r="AG1480" i="16"/>
  <c r="AG1686" i="16"/>
  <c r="AG1821" i="16"/>
  <c r="AG1934" i="16"/>
  <c r="AG2021" i="16"/>
  <c r="AG2106" i="16"/>
  <c r="AG2191" i="16"/>
  <c r="AG2258" i="16"/>
  <c r="AG2322" i="16"/>
  <c r="AG1175" i="16"/>
  <c r="AG1431" i="16"/>
  <c r="AG1646" i="16"/>
  <c r="AG1790" i="16"/>
  <c r="AG1909" i="16"/>
  <c r="AG2001" i="16"/>
  <c r="AG2086" i="16"/>
  <c r="AG2172" i="16"/>
  <c r="AG2243" i="16"/>
  <c r="AG2307" i="16"/>
  <c r="AG1094" i="16"/>
  <c r="AG1377" i="16"/>
  <c r="AG1598" i="16"/>
  <c r="AG1758" i="16"/>
  <c r="AG1881" i="16"/>
  <c r="AG1981" i="16"/>
  <c r="AG2066" i="16"/>
  <c r="AG2151" i="16"/>
  <c r="AG2228" i="16"/>
  <c r="AG2292" i="16"/>
  <c r="AG972" i="16"/>
  <c r="AG1328" i="16"/>
  <c r="AG1545" i="16"/>
  <c r="AG1726" i="16"/>
  <c r="AG1856" i="16"/>
  <c r="AG1961" i="16"/>
  <c r="AG2046" i="16"/>
  <c r="AG2132" i="16"/>
  <c r="AG2213" i="16"/>
  <c r="AG2277" i="16"/>
  <c r="AG2341" i="16"/>
  <c r="AG1275" i="16"/>
  <c r="AG1495" i="16"/>
  <c r="AG1694" i="16"/>
  <c r="AG1828" i="16"/>
  <c r="AG1941" i="16"/>
  <c r="AG2026" i="16"/>
  <c r="AG2111" i="16"/>
  <c r="AG2197" i="16"/>
  <c r="AG2262" i="16"/>
  <c r="AG2326" i="16"/>
  <c r="AG62" i="16"/>
  <c r="AG574" i="16"/>
  <c r="AG407" i="16"/>
  <c r="AG296" i="16"/>
  <c r="AG185" i="16"/>
  <c r="AG18" i="16"/>
  <c r="AG530" i="16"/>
  <c r="AG363" i="16"/>
  <c r="AG189" i="16"/>
  <c r="AG84" i="16"/>
  <c r="AG805" i="16"/>
  <c r="AG695" i="16"/>
  <c r="AG888" i="16"/>
  <c r="AG721" i="16"/>
  <c r="AG1233" i="16"/>
  <c r="AG1066" i="16"/>
  <c r="AG1282" i="16"/>
  <c r="AG1012" i="16"/>
  <c r="AG1620" i="16"/>
  <c r="AG1501" i="16"/>
  <c r="AG1382" i="16"/>
  <c r="AG1003" i="16"/>
  <c r="AG1737" i="16"/>
  <c r="AG1690" i="16"/>
  <c r="AG1717" i="16"/>
  <c r="AG1305" i="16"/>
  <c r="AG2123" i="16"/>
  <c r="AG2092" i="16"/>
  <c r="AG1889" i="16"/>
  <c r="AG1559" i="16"/>
  <c r="AG755" i="16"/>
  <c r="AG2202" i="16"/>
  <c r="AG2012" i="16"/>
  <c r="AG1776" i="16"/>
  <c r="AG1353" i="16"/>
  <c r="AG2285" i="16"/>
  <c r="AG2122" i="16"/>
  <c r="AG126" i="16"/>
  <c r="AG638" i="16"/>
  <c r="AG471" i="16"/>
  <c r="AG360" i="16"/>
  <c r="AG249" i="16"/>
  <c r="AG82" i="16"/>
  <c r="AG594" i="16"/>
  <c r="AG427" i="16"/>
  <c r="AG253" i="16"/>
  <c r="AG596" i="16"/>
  <c r="AG869" i="16"/>
  <c r="AG759" i="16"/>
  <c r="AG952" i="16"/>
  <c r="AG785" i="16"/>
  <c r="AG260" i="16"/>
  <c r="AG1130" i="16"/>
  <c r="AG1346" i="16"/>
  <c r="AG1115" i="16"/>
  <c r="AG924" i="16"/>
  <c r="AG1565" i="16"/>
  <c r="AG1483" i="16"/>
  <c r="AG941" i="16"/>
  <c r="AG1801" i="16"/>
  <c r="AG1754" i="16"/>
  <c r="AG1819" i="16"/>
  <c r="AG1470" i="16"/>
  <c r="AG2187" i="16"/>
  <c r="AG2177" i="16"/>
  <c r="AG1986" i="16"/>
  <c r="AG1736" i="16"/>
  <c r="AG1289" i="16"/>
  <c r="AG2266" i="16"/>
  <c r="AG2097" i="16"/>
  <c r="AG1896" i="16"/>
  <c r="AG1575" i="16"/>
  <c r="AG911" i="16"/>
  <c r="AG2206" i="16"/>
  <c r="AG190" i="16"/>
  <c r="AG23" i="16"/>
  <c r="AG535" i="16"/>
  <c r="AG424" i="16"/>
  <c r="AG313" i="16"/>
  <c r="AG146" i="16"/>
  <c r="AG658" i="16"/>
  <c r="AG491" i="16"/>
  <c r="AG317" i="16"/>
  <c r="AG724" i="16"/>
  <c r="AG228" i="16"/>
  <c r="AG823" i="16"/>
  <c r="AG1016" i="16"/>
  <c r="AG849" i="16"/>
  <c r="AG676" i="16"/>
  <c r="AG1194" i="16"/>
  <c r="AG1410" i="16"/>
  <c r="AG1215" i="16"/>
  <c r="AG1027" i="16"/>
  <c r="AG1629" i="16"/>
  <c r="AG1585" i="16"/>
  <c r="AG1107" i="16"/>
  <c r="AG983" i="16"/>
  <c r="AG1818" i="16"/>
  <c r="AG1904" i="16"/>
  <c r="AG1633" i="16"/>
  <c r="AG1198" i="16"/>
  <c r="AG2247" i="16"/>
  <c r="AG2071" i="16"/>
  <c r="AG1862" i="16"/>
  <c r="AG1507" i="16"/>
  <c r="AG2330" i="16"/>
  <c r="AG2182" i="16"/>
  <c r="AG1991" i="16"/>
  <c r="AG1744" i="16"/>
  <c r="AG1303" i="16"/>
  <c r="AG2270" i="16"/>
  <c r="AG254" i="16"/>
  <c r="AG87" i="16"/>
  <c r="AG599" i="16"/>
  <c r="AG488" i="16"/>
  <c r="AG377" i="16"/>
  <c r="AG210" i="16"/>
  <c r="AG43" i="16"/>
  <c r="AG555" i="16"/>
  <c r="AG381" i="16"/>
  <c r="AG788" i="16"/>
  <c r="AG664" i="16"/>
  <c r="AG887" i="16"/>
  <c r="AG1080" i="16"/>
  <c r="AG913" i="16"/>
  <c r="AG746" i="16"/>
  <c r="AG1258" i="16"/>
  <c r="AG1474" i="16"/>
  <c r="AG1300" i="16"/>
  <c r="AG1127" i="16"/>
  <c r="AG739" i="16"/>
  <c r="AG1679" i="16"/>
  <c r="AG1270" i="16"/>
  <c r="AG1148" i="16"/>
  <c r="AG1882" i="16"/>
  <c r="AG1976" i="16"/>
  <c r="AG1748" i="16"/>
  <c r="AG1443" i="16"/>
  <c r="AG2311" i="16"/>
  <c r="AG2157" i="16"/>
  <c r="AG1966" i="16"/>
  <c r="AG1702" i="16"/>
  <c r="AG1221" i="16"/>
  <c r="AG2251" i="16"/>
  <c r="AG2077" i="16"/>
  <c r="AG1869" i="16"/>
  <c r="AG1520" i="16"/>
  <c r="AG2334" i="16"/>
  <c r="AG318" i="16"/>
  <c r="AG151" i="16"/>
  <c r="AG40" i="16"/>
  <c r="AG552" i="16"/>
  <c r="AG441" i="16"/>
  <c r="AG274" i="16"/>
  <c r="AG107" i="16"/>
  <c r="AG619" i="16"/>
  <c r="AG445" i="16"/>
  <c r="AG852" i="16"/>
  <c r="AG742" i="16"/>
  <c r="AG372" i="16"/>
  <c r="AG1144" i="16"/>
  <c r="AG977" i="16"/>
  <c r="AG810" i="16"/>
  <c r="AG811" i="16"/>
  <c r="AG1538" i="16"/>
  <c r="AG1364" i="16"/>
  <c r="AG1230" i="16"/>
  <c r="AG1030" i="16"/>
  <c r="AG1743" i="16"/>
  <c r="AG1371" i="16"/>
  <c r="AG1296" i="16"/>
  <c r="AG931" i="16"/>
  <c r="AG2040" i="16"/>
  <c r="AG1844" i="16"/>
  <c r="AG1656" i="16"/>
  <c r="AG1117" i="16"/>
  <c r="AG2232" i="16"/>
  <c r="AG2052" i="16"/>
  <c r="AG1836" i="16"/>
  <c r="AG1456" i="16"/>
  <c r="AG2315" i="16"/>
  <c r="AG2162" i="16"/>
  <c r="AG1972" i="16"/>
  <c r="AG1712" i="16"/>
  <c r="AG382" i="16"/>
  <c r="AG215" i="16"/>
  <c r="AG104" i="16"/>
  <c r="AG616" i="16"/>
  <c r="AG505" i="16"/>
  <c r="AG338" i="16"/>
  <c r="AG171" i="16"/>
  <c r="AG683" i="16"/>
  <c r="AG509" i="16"/>
  <c r="AG220" i="16"/>
  <c r="AG806" i="16"/>
  <c r="AG696" i="16"/>
  <c r="AG1208" i="16"/>
  <c r="AG1041" i="16"/>
  <c r="AG874" i="16"/>
  <c r="AG982" i="16"/>
  <c r="AG1602" i="16"/>
  <c r="AG1428" i="16"/>
  <c r="AG1309" i="16"/>
  <c r="AG956" i="16"/>
  <c r="AG1807" i="16"/>
  <c r="AG1473" i="16"/>
  <c r="AG1399" i="16"/>
  <c r="AG1253" i="16"/>
  <c r="AG2104" i="16"/>
  <c r="AG1929" i="16"/>
  <c r="AG1800" i="16"/>
  <c r="AG1392" i="16"/>
  <c r="AG2296" i="16"/>
  <c r="AG2137" i="16"/>
  <c r="AG1946" i="16"/>
  <c r="AG1670" i="16"/>
  <c r="AG1139" i="16"/>
  <c r="AG2236" i="16"/>
  <c r="AG2057" i="16"/>
  <c r="AG1843" i="16"/>
  <c r="AG446" i="16"/>
  <c r="AG279" i="16"/>
  <c r="AG168" i="16"/>
  <c r="AG57" i="16"/>
  <c r="AG569" i="16"/>
  <c r="AG402" i="16"/>
  <c r="AG235" i="16"/>
  <c r="AG61" i="16"/>
  <c r="AG573" i="16"/>
  <c r="AG663" i="16"/>
  <c r="AG870" i="16"/>
  <c r="AG760" i="16"/>
  <c r="AG60" i="16"/>
  <c r="AG1105" i="16"/>
  <c r="AG938" i="16"/>
  <c r="AG1085" i="16"/>
  <c r="AG1666" i="16"/>
  <c r="AG1492" i="16"/>
  <c r="AG1373" i="16"/>
  <c r="AG1119" i="16"/>
  <c r="AG1871" i="16"/>
  <c r="AG1576" i="16"/>
  <c r="AG1502" i="16"/>
  <c r="AG1422" i="16"/>
  <c r="AG2168" i="16"/>
  <c r="AG1995" i="16"/>
  <c r="AG1916" i="16"/>
  <c r="AG1609" i="16"/>
  <c r="AG1014" i="16"/>
  <c r="AG2217" i="16"/>
  <c r="AG2031" i="16"/>
  <c r="AG1808" i="16"/>
  <c r="AG1406" i="16"/>
  <c r="AG2300" i="16"/>
  <c r="AG2142" i="16"/>
  <c r="AG1951" i="16"/>
  <c r="AG510" i="16"/>
  <c r="AG343" i="16"/>
  <c r="AG232" i="16"/>
  <c r="AG121" i="16"/>
  <c r="AG633" i="16"/>
  <c r="AG466" i="16"/>
  <c r="AG299" i="16"/>
  <c r="AG125" i="16"/>
  <c r="AG637" i="16"/>
  <c r="AG741" i="16"/>
  <c r="AG364" i="16"/>
  <c r="AG824" i="16"/>
  <c r="AG572" i="16"/>
  <c r="AG1169" i="16"/>
  <c r="AG1002" i="16"/>
  <c r="AG1188" i="16"/>
  <c r="AG909" i="16"/>
  <c r="AG1556" i="16"/>
  <c r="AG1437" i="16"/>
  <c r="AG1279" i="16"/>
  <c r="AG1935" i="16"/>
  <c r="AG1671" i="16"/>
  <c r="AG1603" i="16"/>
  <c r="AG1584" i="16"/>
  <c r="AG1055" i="16"/>
  <c r="AG2059" i="16"/>
  <c r="AG2006" i="16"/>
  <c r="AG1766" i="16"/>
  <c r="AG1342" i="16"/>
  <c r="AG2281" i="16"/>
  <c r="AG2117" i="16"/>
  <c r="AG1923" i="16"/>
  <c r="AG1623" i="16"/>
  <c r="AG1047" i="16"/>
  <c r="AG2221" i="16"/>
  <c r="AG2037" i="16"/>
  <c r="AH2037" i="16" s="1"/>
  <c r="V9" i="16"/>
  <c r="V17" i="16"/>
  <c r="V25" i="16"/>
  <c r="V33" i="16"/>
  <c r="V41" i="16"/>
  <c r="V49" i="16"/>
  <c r="V57" i="16"/>
  <c r="V65" i="16"/>
  <c r="W65" i="16" s="1"/>
  <c r="V73" i="16"/>
  <c r="V81" i="16"/>
  <c r="V89" i="16"/>
  <c r="V97" i="16"/>
  <c r="V105" i="16"/>
  <c r="V113" i="16"/>
  <c r="V121" i="16"/>
  <c r="V129" i="16"/>
  <c r="W129" i="16" s="1"/>
  <c r="V137" i="16"/>
  <c r="V145" i="16"/>
  <c r="V153" i="16"/>
  <c r="V161" i="16"/>
  <c r="V169" i="16"/>
  <c r="V177" i="16"/>
  <c r="V185" i="16"/>
  <c r="V193" i="16"/>
  <c r="W193" i="16" s="1"/>
  <c r="V201" i="16"/>
  <c r="V209" i="16"/>
  <c r="V217" i="16"/>
  <c r="V225" i="16"/>
  <c r="V233" i="16"/>
  <c r="V241" i="16"/>
  <c r="V249" i="16"/>
  <c r="V257" i="16"/>
  <c r="W257" i="16" s="1"/>
  <c r="V265" i="16"/>
  <c r="V273" i="16"/>
  <c r="V281" i="16"/>
  <c r="V289" i="16"/>
  <c r="V297" i="16"/>
  <c r="V305" i="16"/>
  <c r="V313" i="16"/>
  <c r="V321" i="16"/>
  <c r="W321" i="16" s="1"/>
  <c r="V329" i="16"/>
  <c r="V337" i="16"/>
  <c r="V345" i="16"/>
  <c r="V353" i="16"/>
  <c r="V361" i="16"/>
  <c r="V369" i="16"/>
  <c r="V377" i="16"/>
  <c r="V385" i="16"/>
  <c r="W385" i="16" s="1"/>
  <c r="V393" i="16"/>
  <c r="V401" i="16"/>
  <c r="V409" i="16"/>
  <c r="V417" i="16"/>
  <c r="V425" i="16"/>
  <c r="V433" i="16"/>
  <c r="V441" i="16"/>
  <c r="V449" i="16"/>
  <c r="W449" i="16" s="1"/>
  <c r="V457" i="16"/>
  <c r="V465" i="16"/>
  <c r="V473" i="16"/>
  <c r="V481" i="16"/>
  <c r="V489" i="16"/>
  <c r="V497" i="16"/>
  <c r="V505" i="16"/>
  <c r="V513" i="16"/>
  <c r="W513" i="16" s="1"/>
  <c r="V521" i="16"/>
  <c r="V529" i="16"/>
  <c r="V537" i="16"/>
  <c r="V545" i="16"/>
  <c r="V553" i="16"/>
  <c r="V561" i="16"/>
  <c r="V569" i="16"/>
  <c r="V577" i="16"/>
  <c r="W577" i="16" s="1"/>
  <c r="V585" i="16"/>
  <c r="V593" i="16"/>
  <c r="V601" i="16"/>
  <c r="V609" i="16"/>
  <c r="V617" i="16"/>
  <c r="V625" i="16"/>
  <c r="V633" i="16"/>
  <c r="V641" i="16"/>
  <c r="W641" i="16" s="1"/>
  <c r="V649" i="16"/>
  <c r="V657" i="16"/>
  <c r="V665" i="16"/>
  <c r="V673" i="16"/>
  <c r="V681" i="16"/>
  <c r="V689" i="16"/>
  <c r="V697" i="16"/>
  <c r="V705" i="16"/>
  <c r="W705" i="16" s="1"/>
  <c r="V713" i="16"/>
  <c r="V721" i="16"/>
  <c r="V729" i="16"/>
  <c r="V737" i="16"/>
  <c r="V745" i="16"/>
  <c r="V753" i="16"/>
  <c r="V761" i="16"/>
  <c r="V769" i="16"/>
  <c r="W769" i="16" s="1"/>
  <c r="V777" i="16"/>
  <c r="V785" i="16"/>
  <c r="V793" i="16"/>
  <c r="V10" i="16"/>
  <c r="V18" i="16"/>
  <c r="V26" i="16"/>
  <c r="V34" i="16"/>
  <c r="V42" i="16"/>
  <c r="W42" i="16" s="1"/>
  <c r="V50" i="16"/>
  <c r="V58" i="16"/>
  <c r="V66" i="16"/>
  <c r="V74" i="16"/>
  <c r="V82" i="16"/>
  <c r="V90" i="16"/>
  <c r="V98" i="16"/>
  <c r="V106" i="16"/>
  <c r="W106" i="16" s="1"/>
  <c r="V114" i="16"/>
  <c r="V122" i="16"/>
  <c r="V130" i="16"/>
  <c r="V138" i="16"/>
  <c r="V146" i="16"/>
  <c r="V154" i="16"/>
  <c r="V162" i="16"/>
  <c r="V170" i="16"/>
  <c r="W170" i="16" s="1"/>
  <c r="V178" i="16"/>
  <c r="V186" i="16"/>
  <c r="V194" i="16"/>
  <c r="V202" i="16"/>
  <c r="V210" i="16"/>
  <c r="V218" i="16"/>
  <c r="V226" i="16"/>
  <c r="V234" i="16"/>
  <c r="W234" i="16" s="1"/>
  <c r="V242" i="16"/>
  <c r="V250" i="16"/>
  <c r="V258" i="16"/>
  <c r="V266" i="16"/>
  <c r="V274" i="16"/>
  <c r="V282" i="16"/>
  <c r="V290" i="16"/>
  <c r="V298" i="16"/>
  <c r="W298" i="16" s="1"/>
  <c r="V306" i="16"/>
  <c r="V314" i="16"/>
  <c r="V322" i="16"/>
  <c r="V330" i="16"/>
  <c r="V338" i="16"/>
  <c r="V346" i="16"/>
  <c r="V354" i="16"/>
  <c r="V362" i="16"/>
  <c r="W362" i="16" s="1"/>
  <c r="V370" i="16"/>
  <c r="V378" i="16"/>
  <c r="V386" i="16"/>
  <c r="V394" i="16"/>
  <c r="V402" i="16"/>
  <c r="V410" i="16"/>
  <c r="V418" i="16"/>
  <c r="V426" i="16"/>
  <c r="W426" i="16" s="1"/>
  <c r="V434" i="16"/>
  <c r="V442" i="16"/>
  <c r="V450" i="16"/>
  <c r="V458" i="16"/>
  <c r="V466" i="16"/>
  <c r="V474" i="16"/>
  <c r="V482" i="16"/>
  <c r="V490" i="16"/>
  <c r="W490" i="16" s="1"/>
  <c r="V498" i="16"/>
  <c r="V506" i="16"/>
  <c r="V514" i="16"/>
  <c r="V522" i="16"/>
  <c r="V530" i="16"/>
  <c r="V538" i="16"/>
  <c r="V546" i="16"/>
  <c r="V554" i="16"/>
  <c r="W554" i="16" s="1"/>
  <c r="V562" i="16"/>
  <c r="V570" i="16"/>
  <c r="V578" i="16"/>
  <c r="V586" i="16"/>
  <c r="V594" i="16"/>
  <c r="V602" i="16"/>
  <c r="V610" i="16"/>
  <c r="V618" i="16"/>
  <c r="W618" i="16" s="1"/>
  <c r="V626" i="16"/>
  <c r="V634" i="16"/>
  <c r="V642" i="16"/>
  <c r="V650" i="16"/>
  <c r="V658" i="16"/>
  <c r="V666" i="16"/>
  <c r="V674" i="16"/>
  <c r="V682" i="16"/>
  <c r="W682" i="16" s="1"/>
  <c r="V690" i="16"/>
  <c r="V698" i="16"/>
  <c r="V706" i="16"/>
  <c r="V714" i="16"/>
  <c r="V722" i="16"/>
  <c r="V730" i="16"/>
  <c r="V738" i="16"/>
  <c r="V746" i="16"/>
  <c r="W746" i="16" s="1"/>
  <c r="V754" i="16"/>
  <c r="V762" i="16"/>
  <c r="V770" i="16"/>
  <c r="V778" i="16"/>
  <c r="V786" i="16"/>
  <c r="V794" i="16"/>
  <c r="V11" i="16"/>
  <c r="V19" i="16"/>
  <c r="W19" i="16" s="1"/>
  <c r="V27" i="16"/>
  <c r="V35" i="16"/>
  <c r="V43" i="16"/>
  <c r="V51" i="16"/>
  <c r="V59" i="16"/>
  <c r="V67" i="16"/>
  <c r="V75" i="16"/>
  <c r="V83" i="16"/>
  <c r="W83" i="16" s="1"/>
  <c r="V91" i="16"/>
  <c r="V99" i="16"/>
  <c r="V107" i="16"/>
  <c r="V115" i="16"/>
  <c r="V123" i="16"/>
  <c r="V131" i="16"/>
  <c r="V139" i="16"/>
  <c r="V147" i="16"/>
  <c r="W147" i="16" s="1"/>
  <c r="V155" i="16"/>
  <c r="V163" i="16"/>
  <c r="V171" i="16"/>
  <c r="V179" i="16"/>
  <c r="V187" i="16"/>
  <c r="V195" i="16"/>
  <c r="V203" i="16"/>
  <c r="V211" i="16"/>
  <c r="W211" i="16" s="1"/>
  <c r="V219" i="16"/>
  <c r="V227" i="16"/>
  <c r="V235" i="16"/>
  <c r="V243" i="16"/>
  <c r="V251" i="16"/>
  <c r="V259" i="16"/>
  <c r="V267" i="16"/>
  <c r="V275" i="16"/>
  <c r="W275" i="16" s="1"/>
  <c r="V283" i="16"/>
  <c r="V291" i="16"/>
  <c r="V299" i="16"/>
  <c r="V307" i="16"/>
  <c r="V315" i="16"/>
  <c r="V323" i="16"/>
  <c r="V331" i="16"/>
  <c r="V339" i="16"/>
  <c r="W339" i="16" s="1"/>
  <c r="V347" i="16"/>
  <c r="V355" i="16"/>
  <c r="V363" i="16"/>
  <c r="V371" i="16"/>
  <c r="V379" i="16"/>
  <c r="V387" i="16"/>
  <c r="V395" i="16"/>
  <c r="V403" i="16"/>
  <c r="W403" i="16" s="1"/>
  <c r="V411" i="16"/>
  <c r="V419" i="16"/>
  <c r="V427" i="16"/>
  <c r="V435" i="16"/>
  <c r="V443" i="16"/>
  <c r="V451" i="16"/>
  <c r="V459" i="16"/>
  <c r="V467" i="16"/>
  <c r="W467" i="16" s="1"/>
  <c r="V475" i="16"/>
  <c r="V483" i="16"/>
  <c r="V491" i="16"/>
  <c r="V499" i="16"/>
  <c r="V507" i="16"/>
  <c r="V515" i="16"/>
  <c r="V523" i="16"/>
  <c r="V531" i="16"/>
  <c r="W531" i="16" s="1"/>
  <c r="V539" i="16"/>
  <c r="V547" i="16"/>
  <c r="V555" i="16"/>
  <c r="V563" i="16"/>
  <c r="V571" i="16"/>
  <c r="V579" i="16"/>
  <c r="V587" i="16"/>
  <c r="V595" i="16"/>
  <c r="W595" i="16" s="1"/>
  <c r="V603" i="16"/>
  <c r="V611" i="16"/>
  <c r="V619" i="16"/>
  <c r="V627" i="16"/>
  <c r="V635" i="16"/>
  <c r="V643" i="16"/>
  <c r="V651" i="16"/>
  <c r="V659" i="16"/>
  <c r="W659" i="16" s="1"/>
  <c r="V667" i="16"/>
  <c r="V675" i="16"/>
  <c r="V683" i="16"/>
  <c r="V691" i="16"/>
  <c r="V699" i="16"/>
  <c r="V707" i="16"/>
  <c r="V715" i="16"/>
  <c r="V723" i="16"/>
  <c r="W723" i="16" s="1"/>
  <c r="V731" i="16"/>
  <c r="V739" i="16"/>
  <c r="V747" i="16"/>
  <c r="V755" i="16"/>
  <c r="V763" i="16"/>
  <c r="V771" i="16"/>
  <c r="V779" i="16"/>
  <c r="V787" i="16"/>
  <c r="W787" i="16" s="1"/>
  <c r="V795" i="16"/>
  <c r="V12" i="16"/>
  <c r="V20" i="16"/>
  <c r="V28" i="16"/>
  <c r="V36" i="16"/>
  <c r="V44" i="16"/>
  <c r="V52" i="16"/>
  <c r="V60" i="16"/>
  <c r="W60" i="16" s="1"/>
  <c r="V68" i="16"/>
  <c r="V76" i="16"/>
  <c r="V84" i="16"/>
  <c r="V92" i="16"/>
  <c r="V100" i="16"/>
  <c r="V108" i="16"/>
  <c r="V116" i="16"/>
  <c r="V124" i="16"/>
  <c r="W124" i="16" s="1"/>
  <c r="V132" i="16"/>
  <c r="V140" i="16"/>
  <c r="V148" i="16"/>
  <c r="V156" i="16"/>
  <c r="V164" i="16"/>
  <c r="V172" i="16"/>
  <c r="V180" i="16"/>
  <c r="V188" i="16"/>
  <c r="W188" i="16" s="1"/>
  <c r="V196" i="16"/>
  <c r="V204" i="16"/>
  <c r="V212" i="16"/>
  <c r="V220" i="16"/>
  <c r="V228" i="16"/>
  <c r="V236" i="16"/>
  <c r="V244" i="16"/>
  <c r="V252" i="16"/>
  <c r="W252" i="16" s="1"/>
  <c r="V260" i="16"/>
  <c r="V268" i="16"/>
  <c r="V276" i="16"/>
  <c r="V284" i="16"/>
  <c r="V292" i="16"/>
  <c r="V300" i="16"/>
  <c r="V308" i="16"/>
  <c r="V316" i="16"/>
  <c r="W316" i="16" s="1"/>
  <c r="V324" i="16"/>
  <c r="V332" i="16"/>
  <c r="V340" i="16"/>
  <c r="V348" i="16"/>
  <c r="V356" i="16"/>
  <c r="V364" i="16"/>
  <c r="V372" i="16"/>
  <c r="V380" i="16"/>
  <c r="W380" i="16" s="1"/>
  <c r="V388" i="16"/>
  <c r="V396" i="16"/>
  <c r="V404" i="16"/>
  <c r="V412" i="16"/>
  <c r="V420" i="16"/>
  <c r="V428" i="16"/>
  <c r="V436" i="16"/>
  <c r="V444" i="16"/>
  <c r="W444" i="16" s="1"/>
  <c r="V452" i="16"/>
  <c r="V460" i="16"/>
  <c r="V468" i="16"/>
  <c r="V476" i="16"/>
  <c r="V484" i="16"/>
  <c r="V492" i="16"/>
  <c r="V500" i="16"/>
  <c r="V508" i="16"/>
  <c r="W508" i="16" s="1"/>
  <c r="V516" i="16"/>
  <c r="V524" i="16"/>
  <c r="V532" i="16"/>
  <c r="V540" i="16"/>
  <c r="V548" i="16"/>
  <c r="V556" i="16"/>
  <c r="V564" i="16"/>
  <c r="V572" i="16"/>
  <c r="W572" i="16" s="1"/>
  <c r="V580" i="16"/>
  <c r="V588" i="16"/>
  <c r="V596" i="16"/>
  <c r="V604" i="16"/>
  <c r="V612" i="16"/>
  <c r="V620" i="16"/>
  <c r="V628" i="16"/>
  <c r="V636" i="16"/>
  <c r="W636" i="16" s="1"/>
  <c r="V644" i="16"/>
  <c r="V652" i="16"/>
  <c r="V660" i="16"/>
  <c r="V668" i="16"/>
  <c r="V676" i="16"/>
  <c r="V684" i="16"/>
  <c r="V692" i="16"/>
  <c r="V700" i="16"/>
  <c r="W700" i="16" s="1"/>
  <c r="V708" i="16"/>
  <c r="V716" i="16"/>
  <c r="V724" i="16"/>
  <c r="V732" i="16"/>
  <c r="V740" i="16"/>
  <c r="V748" i="16"/>
  <c r="V756" i="16"/>
  <c r="V764" i="16"/>
  <c r="W764" i="16" s="1"/>
  <c r="V772" i="16"/>
  <c r="V780" i="16"/>
  <c r="V788" i="16"/>
  <c r="V796" i="16"/>
  <c r="V7" i="16"/>
  <c r="V15" i="16"/>
  <c r="V23" i="16"/>
  <c r="V31" i="16"/>
  <c r="W31" i="16" s="1"/>
  <c r="V39" i="16"/>
  <c r="V47" i="16"/>
  <c r="V55" i="16"/>
  <c r="V63" i="16"/>
  <c r="V71" i="16"/>
  <c r="V79" i="16"/>
  <c r="V87" i="16"/>
  <c r="V95" i="16"/>
  <c r="W95" i="16" s="1"/>
  <c r="V103" i="16"/>
  <c r="V111" i="16"/>
  <c r="V119" i="16"/>
  <c r="V127" i="16"/>
  <c r="V135" i="16"/>
  <c r="V143" i="16"/>
  <c r="V151" i="16"/>
  <c r="V159" i="16"/>
  <c r="W159" i="16" s="1"/>
  <c r="V167" i="16"/>
  <c r="V175" i="16"/>
  <c r="V183" i="16"/>
  <c r="V191" i="16"/>
  <c r="V199" i="16"/>
  <c r="V207" i="16"/>
  <c r="V215" i="16"/>
  <c r="V223" i="16"/>
  <c r="W223" i="16" s="1"/>
  <c r="V231" i="16"/>
  <c r="V239" i="16"/>
  <c r="V247" i="16"/>
  <c r="V255" i="16"/>
  <c r="V263" i="16"/>
  <c r="V271" i="16"/>
  <c r="V279" i="16"/>
  <c r="V287" i="16"/>
  <c r="W287" i="16" s="1"/>
  <c r="V295" i="16"/>
  <c r="V303" i="16"/>
  <c r="V311" i="16"/>
  <c r="V319" i="16"/>
  <c r="V327" i="16"/>
  <c r="V335" i="16"/>
  <c r="V343" i="16"/>
  <c r="V351" i="16"/>
  <c r="W351" i="16" s="1"/>
  <c r="V359" i="16"/>
  <c r="V367" i="16"/>
  <c r="V375" i="16"/>
  <c r="V383" i="16"/>
  <c r="V391" i="16"/>
  <c r="V399" i="16"/>
  <c r="V407" i="16"/>
  <c r="V415" i="16"/>
  <c r="W415" i="16" s="1"/>
  <c r="V423" i="16"/>
  <c r="V431" i="16"/>
  <c r="V439" i="16"/>
  <c r="V447" i="16"/>
  <c r="V455" i="16"/>
  <c r="V463" i="16"/>
  <c r="V471" i="16"/>
  <c r="V479" i="16"/>
  <c r="W479" i="16" s="1"/>
  <c r="V487" i="16"/>
  <c r="V495" i="16"/>
  <c r="V503" i="16"/>
  <c r="V511" i="16"/>
  <c r="V519" i="16"/>
  <c r="V527" i="16"/>
  <c r="V535" i="16"/>
  <c r="V543" i="16"/>
  <c r="W543" i="16" s="1"/>
  <c r="V551" i="16"/>
  <c r="V559" i="16"/>
  <c r="V567" i="16"/>
  <c r="V575" i="16"/>
  <c r="V583" i="16"/>
  <c r="V591" i="16"/>
  <c r="V599" i="16"/>
  <c r="V607" i="16"/>
  <c r="W607" i="16" s="1"/>
  <c r="V615" i="16"/>
  <c r="V623" i="16"/>
  <c r="V631" i="16"/>
  <c r="V639" i="16"/>
  <c r="V647" i="16"/>
  <c r="V655" i="16"/>
  <c r="V663" i="16"/>
  <c r="V671" i="16"/>
  <c r="W671" i="16" s="1"/>
  <c r="V679" i="16"/>
  <c r="V687" i="16"/>
  <c r="V695" i="16"/>
  <c r="V703" i="16"/>
  <c r="V711" i="16"/>
  <c r="V719" i="16"/>
  <c r="V727" i="16"/>
  <c r="V735" i="16"/>
  <c r="W735" i="16" s="1"/>
  <c r="V743" i="16"/>
  <c r="V751" i="16"/>
  <c r="V759" i="16"/>
  <c r="V767" i="16"/>
  <c r="V775" i="16"/>
  <c r="V783" i="16"/>
  <c r="V791" i="16"/>
  <c r="V8" i="16"/>
  <c r="W8" i="16" s="1"/>
  <c r="V16" i="16"/>
  <c r="V24" i="16"/>
  <c r="V32" i="16"/>
  <c r="V40" i="16"/>
  <c r="V48" i="16"/>
  <c r="V56" i="16"/>
  <c r="V64" i="16"/>
  <c r="V72" i="16"/>
  <c r="W72" i="16" s="1"/>
  <c r="V80" i="16"/>
  <c r="V88" i="16"/>
  <c r="V96" i="16"/>
  <c r="V104" i="16"/>
  <c r="V112" i="16"/>
  <c r="V120" i="16"/>
  <c r="V128" i="16"/>
  <c r="V136" i="16"/>
  <c r="W136" i="16" s="1"/>
  <c r="V144" i="16"/>
  <c r="V152" i="16"/>
  <c r="V160" i="16"/>
  <c r="V168" i="16"/>
  <c r="V176" i="16"/>
  <c r="V184" i="16"/>
  <c r="V192" i="16"/>
  <c r="V200" i="16"/>
  <c r="W200" i="16" s="1"/>
  <c r="V208" i="16"/>
  <c r="V216" i="16"/>
  <c r="V224" i="16"/>
  <c r="V232" i="16"/>
  <c r="V240" i="16"/>
  <c r="V248" i="16"/>
  <c r="V256" i="16"/>
  <c r="V264" i="16"/>
  <c r="W264" i="16" s="1"/>
  <c r="V272" i="16"/>
  <c r="V280" i="16"/>
  <c r="V288" i="16"/>
  <c r="V296" i="16"/>
  <c r="V304" i="16"/>
  <c r="V312" i="16"/>
  <c r="V320" i="16"/>
  <c r="V328" i="16"/>
  <c r="W328" i="16" s="1"/>
  <c r="V336" i="16"/>
  <c r="V344" i="16"/>
  <c r="V352" i="16"/>
  <c r="V360" i="16"/>
  <c r="V368" i="16"/>
  <c r="V376" i="16"/>
  <c r="V384" i="16"/>
  <c r="V392" i="16"/>
  <c r="W392" i="16" s="1"/>
  <c r="V400" i="16"/>
  <c r="V408" i="16"/>
  <c r="V416" i="16"/>
  <c r="V424" i="16"/>
  <c r="V432" i="16"/>
  <c r="V440" i="16"/>
  <c r="V448" i="16"/>
  <c r="V456" i="16"/>
  <c r="W456" i="16" s="1"/>
  <c r="V464" i="16"/>
  <c r="V472" i="16"/>
  <c r="V480" i="16"/>
  <c r="V488" i="16"/>
  <c r="V496" i="16"/>
  <c r="V504" i="16"/>
  <c r="V512" i="16"/>
  <c r="V520" i="16"/>
  <c r="W520" i="16" s="1"/>
  <c r="V528" i="16"/>
  <c r="V536" i="16"/>
  <c r="V544" i="16"/>
  <c r="V552" i="16"/>
  <c r="V560" i="16"/>
  <c r="V568" i="16"/>
  <c r="V576" i="16"/>
  <c r="V584" i="16"/>
  <c r="W584" i="16" s="1"/>
  <c r="V592" i="16"/>
  <c r="V600" i="16"/>
  <c r="V608" i="16"/>
  <c r="V616" i="16"/>
  <c r="V624" i="16"/>
  <c r="V632" i="16"/>
  <c r="V640" i="16"/>
  <c r="V648" i="16"/>
  <c r="W648" i="16" s="1"/>
  <c r="V656" i="16"/>
  <c r="V664" i="16"/>
  <c r="V672" i="16"/>
  <c r="V680" i="16"/>
  <c r="V688" i="16"/>
  <c r="V696" i="16"/>
  <c r="V704" i="16"/>
  <c r="V712" i="16"/>
  <c r="W712" i="16" s="1"/>
  <c r="V720" i="16"/>
  <c r="V728" i="16"/>
  <c r="V736" i="16"/>
  <c r="V744" i="16"/>
  <c r="V752" i="16"/>
  <c r="V760" i="16"/>
  <c r="V768" i="16"/>
  <c r="V776" i="16"/>
  <c r="W776" i="16" s="1"/>
  <c r="V784" i="16"/>
  <c r="V792" i="16"/>
  <c r="V13" i="16"/>
  <c r="V45" i="16"/>
  <c r="V77" i="16"/>
  <c r="V109" i="16"/>
  <c r="V141" i="16"/>
  <c r="V173" i="16"/>
  <c r="W173" i="16" s="1"/>
  <c r="V205" i="16"/>
  <c r="V237" i="16"/>
  <c r="V269" i="16"/>
  <c r="V301" i="16"/>
  <c r="V333" i="16"/>
  <c r="V365" i="16"/>
  <c r="V397" i="16"/>
  <c r="V429" i="16"/>
  <c r="W429" i="16" s="1"/>
  <c r="V461" i="16"/>
  <c r="V493" i="16"/>
  <c r="V525" i="16"/>
  <c r="V557" i="16"/>
  <c r="V589" i="16"/>
  <c r="V621" i="16"/>
  <c r="V653" i="16"/>
  <c r="V685" i="16"/>
  <c r="W685" i="16" s="1"/>
  <c r="V717" i="16"/>
  <c r="V749" i="16"/>
  <c r="V781" i="16"/>
  <c r="V801" i="16"/>
  <c r="V809" i="16"/>
  <c r="V817" i="16"/>
  <c r="V825" i="16"/>
  <c r="V833" i="16"/>
  <c r="W833" i="16" s="1"/>
  <c r="V841" i="16"/>
  <c r="V849" i="16"/>
  <c r="V857" i="16"/>
  <c r="V865" i="16"/>
  <c r="V873" i="16"/>
  <c r="V881" i="16"/>
  <c r="V889" i="16"/>
  <c r="V897" i="16"/>
  <c r="W897" i="16" s="1"/>
  <c r="V905" i="16"/>
  <c r="V913" i="16"/>
  <c r="V921" i="16"/>
  <c r="V929" i="16"/>
  <c r="V937" i="16"/>
  <c r="V945" i="16"/>
  <c r="V953" i="16"/>
  <c r="V961" i="16"/>
  <c r="W961" i="16" s="1"/>
  <c r="V969" i="16"/>
  <c r="V977" i="16"/>
  <c r="V985" i="16"/>
  <c r="V993" i="16"/>
  <c r="V1001" i="16"/>
  <c r="V1009" i="16"/>
  <c r="V1017" i="16"/>
  <c r="V1025" i="16"/>
  <c r="W1025" i="16" s="1"/>
  <c r="V1033" i="16"/>
  <c r="V1041" i="16"/>
  <c r="V1049" i="16"/>
  <c r="V1057" i="16"/>
  <c r="V1065" i="16"/>
  <c r="V1073" i="16"/>
  <c r="V1081" i="16"/>
  <c r="V1089" i="16"/>
  <c r="W1089" i="16" s="1"/>
  <c r="V1097" i="16"/>
  <c r="V1105" i="16"/>
  <c r="V1113" i="16"/>
  <c r="V1121" i="16"/>
  <c r="V1129" i="16"/>
  <c r="V1137" i="16"/>
  <c r="V1145" i="16"/>
  <c r="V1153" i="16"/>
  <c r="W1153" i="16" s="1"/>
  <c r="V1161" i="16"/>
  <c r="V1169" i="16"/>
  <c r="V1177" i="16"/>
  <c r="V1185" i="16"/>
  <c r="V1193" i="16"/>
  <c r="V1201" i="16"/>
  <c r="V1209" i="16"/>
  <c r="V1217" i="16"/>
  <c r="W1217" i="16" s="1"/>
  <c r="V1225" i="16"/>
  <c r="V1233" i="16"/>
  <c r="V1241" i="16"/>
  <c r="V1249" i="16"/>
  <c r="V1257" i="16"/>
  <c r="V1265" i="16"/>
  <c r="V1273" i="16"/>
  <c r="V1281" i="16"/>
  <c r="W1281" i="16" s="1"/>
  <c r="V1289" i="16"/>
  <c r="V1297" i="16"/>
  <c r="V1305" i="16"/>
  <c r="V1313" i="16"/>
  <c r="V1321" i="16"/>
  <c r="V1329" i="16"/>
  <c r="V1337" i="16"/>
  <c r="V1345" i="16"/>
  <c r="W1345" i="16" s="1"/>
  <c r="V1353" i="16"/>
  <c r="V1361" i="16"/>
  <c r="V1369" i="16"/>
  <c r="V1377" i="16"/>
  <c r="V1385" i="16"/>
  <c r="V1393" i="16"/>
  <c r="V1401" i="16"/>
  <c r="V1409" i="16"/>
  <c r="W1409" i="16" s="1"/>
  <c r="V1417" i="16"/>
  <c r="V1425" i="16"/>
  <c r="V1433" i="16"/>
  <c r="V1441" i="16"/>
  <c r="W1441" i="16" s="1"/>
  <c r="V1449" i="16"/>
  <c r="V1457" i="16"/>
  <c r="V1465" i="16"/>
  <c r="V1473" i="16"/>
  <c r="W1473" i="16" s="1"/>
  <c r="V1481" i="16"/>
  <c r="V1489" i="16"/>
  <c r="V1497" i="16"/>
  <c r="V1505" i="16"/>
  <c r="V1513" i="16"/>
  <c r="V1521" i="16"/>
  <c r="V1529" i="16"/>
  <c r="V1537" i="16"/>
  <c r="W1537" i="16" s="1"/>
  <c r="V1545" i="16"/>
  <c r="V1553" i="16"/>
  <c r="V1561" i="16"/>
  <c r="V1569" i="16"/>
  <c r="V1577" i="16"/>
  <c r="V1585" i="16"/>
  <c r="V1593" i="16"/>
  <c r="V1601" i="16"/>
  <c r="W1601" i="16" s="1"/>
  <c r="V1609" i="16"/>
  <c r="V1617" i="16"/>
  <c r="V1625" i="16"/>
  <c r="V1633" i="16"/>
  <c r="V1641" i="16"/>
  <c r="V1649" i="16"/>
  <c r="V1657" i="16"/>
  <c r="V1665" i="16"/>
  <c r="W1665" i="16" s="1"/>
  <c r="V1673" i="16"/>
  <c r="V1681" i="16"/>
  <c r="V1689" i="16"/>
  <c r="V1697" i="16"/>
  <c r="V1705" i="16"/>
  <c r="V1713" i="16"/>
  <c r="V1721" i="16"/>
  <c r="V1729" i="16"/>
  <c r="W1729" i="16" s="1"/>
  <c r="V1737" i="16"/>
  <c r="V1745" i="16"/>
  <c r="V1753" i="16"/>
  <c r="V1761" i="16"/>
  <c r="V1769" i="16"/>
  <c r="V1777" i="16"/>
  <c r="V1785" i="16"/>
  <c r="V1793" i="16"/>
  <c r="W1793" i="16" s="1"/>
  <c r="V1801" i="16"/>
  <c r="V1809" i="16"/>
  <c r="V1817" i="16"/>
  <c r="V1825" i="16"/>
  <c r="V1833" i="16"/>
  <c r="V1841" i="16"/>
  <c r="V1849" i="16"/>
  <c r="V1857" i="16"/>
  <c r="W1857" i="16" s="1"/>
  <c r="V1865" i="16"/>
  <c r="V1873" i="16"/>
  <c r="V1881" i="16"/>
  <c r="V1889" i="16"/>
  <c r="V1897" i="16"/>
  <c r="V1905" i="16"/>
  <c r="V1913" i="16"/>
  <c r="V1921" i="16"/>
  <c r="W1921" i="16" s="1"/>
  <c r="V1929" i="16"/>
  <c r="V1937" i="16"/>
  <c r="V1945" i="16"/>
  <c r="V1953" i="16"/>
  <c r="V1961" i="16"/>
  <c r="V1969" i="16"/>
  <c r="V1977" i="16"/>
  <c r="V1985" i="16"/>
  <c r="W1985" i="16" s="1"/>
  <c r="V1993" i="16"/>
  <c r="V2001" i="16"/>
  <c r="V2009" i="16"/>
  <c r="V2017" i="16"/>
  <c r="V2025" i="16"/>
  <c r="V2033" i="16"/>
  <c r="V2041" i="16"/>
  <c r="V2049" i="16"/>
  <c r="W2049" i="16" s="1"/>
  <c r="V2057" i="16"/>
  <c r="V2065" i="16"/>
  <c r="V2073" i="16"/>
  <c r="V2081" i="16"/>
  <c r="V2089" i="16"/>
  <c r="V2097" i="16"/>
  <c r="V2105" i="16"/>
  <c r="V2113" i="16"/>
  <c r="W2113" i="16" s="1"/>
  <c r="V2121" i="16"/>
  <c r="V2129" i="16"/>
  <c r="V2137" i="16"/>
  <c r="V2145" i="16"/>
  <c r="V2153" i="16"/>
  <c r="V2161" i="16"/>
  <c r="V2169" i="16"/>
  <c r="V2177" i="16"/>
  <c r="W2177" i="16" s="1"/>
  <c r="V2185" i="16"/>
  <c r="V2193" i="16"/>
  <c r="V2201" i="16"/>
  <c r="V2209" i="16"/>
  <c r="V2217" i="16"/>
  <c r="V2225" i="16"/>
  <c r="V2233" i="16"/>
  <c r="V2241" i="16"/>
  <c r="W2241" i="16" s="1"/>
  <c r="V2249" i="16"/>
  <c r="V2257" i="16"/>
  <c r="V2265" i="16"/>
  <c r="V2273" i="16"/>
  <c r="V2281" i="16"/>
  <c r="V2289" i="16"/>
  <c r="V2297" i="16"/>
  <c r="V2305" i="16"/>
  <c r="W2305" i="16" s="1"/>
  <c r="V2313" i="16"/>
  <c r="V2321" i="16"/>
  <c r="V2329" i="16"/>
  <c r="V2337" i="16"/>
  <c r="V14" i="16"/>
  <c r="V46" i="16"/>
  <c r="V78" i="16"/>
  <c r="V110" i="16"/>
  <c r="W110" i="16" s="1"/>
  <c r="V142" i="16"/>
  <c r="V174" i="16"/>
  <c r="V206" i="16"/>
  <c r="V238" i="16"/>
  <c r="V270" i="16"/>
  <c r="V302" i="16"/>
  <c r="V334" i="16"/>
  <c r="V366" i="16"/>
  <c r="W366" i="16" s="1"/>
  <c r="V398" i="16"/>
  <c r="V430" i="16"/>
  <c r="V462" i="16"/>
  <c r="V494" i="16"/>
  <c r="V526" i="16"/>
  <c r="V558" i="16"/>
  <c r="V590" i="16"/>
  <c r="V622" i="16"/>
  <c r="W622" i="16" s="1"/>
  <c r="V654" i="16"/>
  <c r="V686" i="16"/>
  <c r="V718" i="16"/>
  <c r="V750" i="16"/>
  <c r="V782" i="16"/>
  <c r="V802" i="16"/>
  <c r="V810" i="16"/>
  <c r="V818" i="16"/>
  <c r="W818" i="16" s="1"/>
  <c r="V826" i="16"/>
  <c r="V834" i="16"/>
  <c r="V842" i="16"/>
  <c r="V850" i="16"/>
  <c r="V858" i="16"/>
  <c r="V866" i="16"/>
  <c r="V874" i="16"/>
  <c r="V882" i="16"/>
  <c r="W882" i="16" s="1"/>
  <c r="V890" i="16"/>
  <c r="V898" i="16"/>
  <c r="V906" i="16"/>
  <c r="V914" i="16"/>
  <c r="V922" i="16"/>
  <c r="V930" i="16"/>
  <c r="V938" i="16"/>
  <c r="V946" i="16"/>
  <c r="W946" i="16" s="1"/>
  <c r="V954" i="16"/>
  <c r="V962" i="16"/>
  <c r="V970" i="16"/>
  <c r="V978" i="16"/>
  <c r="V986" i="16"/>
  <c r="V994" i="16"/>
  <c r="V1002" i="16"/>
  <c r="V1010" i="16"/>
  <c r="W1010" i="16" s="1"/>
  <c r="V1018" i="16"/>
  <c r="V1026" i="16"/>
  <c r="V1034" i="16"/>
  <c r="V1042" i="16"/>
  <c r="V1050" i="16"/>
  <c r="V1058" i="16"/>
  <c r="V1066" i="16"/>
  <c r="V1074" i="16"/>
  <c r="W1074" i="16" s="1"/>
  <c r="V1082" i="16"/>
  <c r="V1090" i="16"/>
  <c r="V1098" i="16"/>
  <c r="V1106" i="16"/>
  <c r="V1114" i="16"/>
  <c r="V1122" i="16"/>
  <c r="V1130" i="16"/>
  <c r="V1138" i="16"/>
  <c r="W1138" i="16" s="1"/>
  <c r="V1146" i="16"/>
  <c r="V1154" i="16"/>
  <c r="V1162" i="16"/>
  <c r="V1170" i="16"/>
  <c r="V1178" i="16"/>
  <c r="V1186" i="16"/>
  <c r="V1194" i="16"/>
  <c r="V1202" i="16"/>
  <c r="W1202" i="16" s="1"/>
  <c r="V1210" i="16"/>
  <c r="V1218" i="16"/>
  <c r="V1226" i="16"/>
  <c r="V1234" i="16"/>
  <c r="V1242" i="16"/>
  <c r="V1250" i="16"/>
  <c r="V1258" i="16"/>
  <c r="V1266" i="16"/>
  <c r="W1266" i="16" s="1"/>
  <c r="V1274" i="16"/>
  <c r="V1282" i="16"/>
  <c r="V1290" i="16"/>
  <c r="V1298" i="16"/>
  <c r="V1306" i="16"/>
  <c r="V1314" i="16"/>
  <c r="V1322" i="16"/>
  <c r="V1330" i="16"/>
  <c r="W1330" i="16" s="1"/>
  <c r="V1338" i="16"/>
  <c r="V1346" i="16"/>
  <c r="V1354" i="16"/>
  <c r="V1362" i="16"/>
  <c r="V1370" i="16"/>
  <c r="V1378" i="16"/>
  <c r="V1386" i="16"/>
  <c r="V1394" i="16"/>
  <c r="W1394" i="16" s="1"/>
  <c r="V1402" i="16"/>
  <c r="V1410" i="16"/>
  <c r="V1418" i="16"/>
  <c r="V1426" i="16"/>
  <c r="V1434" i="16"/>
  <c r="V1442" i="16"/>
  <c r="V1450" i="16"/>
  <c r="V1458" i="16"/>
  <c r="W1458" i="16" s="1"/>
  <c r="V1466" i="16"/>
  <c r="V1474" i="16"/>
  <c r="V1482" i="16"/>
  <c r="V1490" i="16"/>
  <c r="V1498" i="16"/>
  <c r="V1506" i="16"/>
  <c r="V1514" i="16"/>
  <c r="V1522" i="16"/>
  <c r="W1522" i="16" s="1"/>
  <c r="V1530" i="16"/>
  <c r="V1538" i="16"/>
  <c r="V1546" i="16"/>
  <c r="V1554" i="16"/>
  <c r="V1562" i="16"/>
  <c r="V1570" i="16"/>
  <c r="V1578" i="16"/>
  <c r="V1586" i="16"/>
  <c r="W1586" i="16" s="1"/>
  <c r="V1594" i="16"/>
  <c r="V1602" i="16"/>
  <c r="V1610" i="16"/>
  <c r="V1618" i="16"/>
  <c r="V1626" i="16"/>
  <c r="V1634" i="16"/>
  <c r="V1642" i="16"/>
  <c r="V1650" i="16"/>
  <c r="W1650" i="16" s="1"/>
  <c r="V1658" i="16"/>
  <c r="V1666" i="16"/>
  <c r="V1674" i="16"/>
  <c r="V1682" i="16"/>
  <c r="V1690" i="16"/>
  <c r="V1698" i="16"/>
  <c r="V1706" i="16"/>
  <c r="V1714" i="16"/>
  <c r="W1714" i="16" s="1"/>
  <c r="V1722" i="16"/>
  <c r="V1730" i="16"/>
  <c r="V1738" i="16"/>
  <c r="V1746" i="16"/>
  <c r="V1754" i="16"/>
  <c r="V1762" i="16"/>
  <c r="V1770" i="16"/>
  <c r="V1778" i="16"/>
  <c r="W1778" i="16" s="1"/>
  <c r="V1786" i="16"/>
  <c r="V1794" i="16"/>
  <c r="V1802" i="16"/>
  <c r="V1810" i="16"/>
  <c r="V1818" i="16"/>
  <c r="V1826" i="16"/>
  <c r="V1834" i="16"/>
  <c r="V1842" i="16"/>
  <c r="W1842" i="16" s="1"/>
  <c r="V1850" i="16"/>
  <c r="V1858" i="16"/>
  <c r="V1866" i="16"/>
  <c r="V1874" i="16"/>
  <c r="V1882" i="16"/>
  <c r="V1890" i="16"/>
  <c r="V1898" i="16"/>
  <c r="V1906" i="16"/>
  <c r="W1906" i="16" s="1"/>
  <c r="V1914" i="16"/>
  <c r="V1922" i="16"/>
  <c r="V1930" i="16"/>
  <c r="V1938" i="16"/>
  <c r="V1946" i="16"/>
  <c r="V1954" i="16"/>
  <c r="V1962" i="16"/>
  <c r="V1970" i="16"/>
  <c r="W1970" i="16" s="1"/>
  <c r="V1978" i="16"/>
  <c r="V1986" i="16"/>
  <c r="V1994" i="16"/>
  <c r="V2002" i="16"/>
  <c r="V2010" i="16"/>
  <c r="V2018" i="16"/>
  <c r="V2026" i="16"/>
  <c r="V2034" i="16"/>
  <c r="W2034" i="16" s="1"/>
  <c r="V2042" i="16"/>
  <c r="V2050" i="16"/>
  <c r="V2058" i="16"/>
  <c r="V2066" i="16"/>
  <c r="V2074" i="16"/>
  <c r="V2082" i="16"/>
  <c r="V2090" i="16"/>
  <c r="V2098" i="16"/>
  <c r="W2098" i="16" s="1"/>
  <c r="V2106" i="16"/>
  <c r="V2114" i="16"/>
  <c r="V2122" i="16"/>
  <c r="V2130" i="16"/>
  <c r="V2138" i="16"/>
  <c r="V2146" i="16"/>
  <c r="V2154" i="16"/>
  <c r="V2162" i="16"/>
  <c r="W2162" i="16" s="1"/>
  <c r="V2170" i="16"/>
  <c r="V2178" i="16"/>
  <c r="V2186" i="16"/>
  <c r="V2194" i="16"/>
  <c r="V2202" i="16"/>
  <c r="V2210" i="16"/>
  <c r="V2218" i="16"/>
  <c r="V2226" i="16"/>
  <c r="W2226" i="16" s="1"/>
  <c r="V2234" i="16"/>
  <c r="V2242" i="16"/>
  <c r="V2250" i="16"/>
  <c r="V2258" i="16"/>
  <c r="V2266" i="16"/>
  <c r="V2274" i="16"/>
  <c r="V2282" i="16"/>
  <c r="V2290" i="16"/>
  <c r="W2290" i="16" s="1"/>
  <c r="V2298" i="16"/>
  <c r="V2306" i="16"/>
  <c r="V2314" i="16"/>
  <c r="V2322" i="16"/>
  <c r="V2330" i="16"/>
  <c r="V2338" i="16"/>
  <c r="V21" i="16"/>
  <c r="V53" i="16"/>
  <c r="W53" i="16" s="1"/>
  <c r="V85" i="16"/>
  <c r="V117" i="16"/>
  <c r="V149" i="16"/>
  <c r="V181" i="16"/>
  <c r="V213" i="16"/>
  <c r="V245" i="16"/>
  <c r="V277" i="16"/>
  <c r="V309" i="16"/>
  <c r="W309" i="16" s="1"/>
  <c r="V341" i="16"/>
  <c r="V373" i="16"/>
  <c r="V405" i="16"/>
  <c r="V437" i="16"/>
  <c r="V469" i="16"/>
  <c r="V501" i="16"/>
  <c r="V533" i="16"/>
  <c r="V565" i="16"/>
  <c r="W565" i="16" s="1"/>
  <c r="V597" i="16"/>
  <c r="V629" i="16"/>
  <c r="V661" i="16"/>
  <c r="V693" i="16"/>
  <c r="V725" i="16"/>
  <c r="V757" i="16"/>
  <c r="V789" i="16"/>
  <c r="V803" i="16"/>
  <c r="W803" i="16" s="1"/>
  <c r="V811" i="16"/>
  <c r="V819" i="16"/>
  <c r="V827" i="16"/>
  <c r="V835" i="16"/>
  <c r="V843" i="16"/>
  <c r="V851" i="16"/>
  <c r="V859" i="16"/>
  <c r="V867" i="16"/>
  <c r="W867" i="16" s="1"/>
  <c r="V875" i="16"/>
  <c r="V883" i="16"/>
  <c r="V891" i="16"/>
  <c r="V899" i="16"/>
  <c r="V907" i="16"/>
  <c r="V915" i="16"/>
  <c r="V923" i="16"/>
  <c r="V931" i="16"/>
  <c r="W931" i="16" s="1"/>
  <c r="V939" i="16"/>
  <c r="V947" i="16"/>
  <c r="V955" i="16"/>
  <c r="V963" i="16"/>
  <c r="V971" i="16"/>
  <c r="V979" i="16"/>
  <c r="V987" i="16"/>
  <c r="V995" i="16"/>
  <c r="W995" i="16" s="1"/>
  <c r="V1003" i="16"/>
  <c r="V1011" i="16"/>
  <c r="V1019" i="16"/>
  <c r="V1027" i="16"/>
  <c r="V1035" i="16"/>
  <c r="V1043" i="16"/>
  <c r="V1051" i="16"/>
  <c r="V1059" i="16"/>
  <c r="W1059" i="16" s="1"/>
  <c r="V1067" i="16"/>
  <c r="V1075" i="16"/>
  <c r="V1083" i="16"/>
  <c r="V1091" i="16"/>
  <c r="V1099" i="16"/>
  <c r="V1107" i="16"/>
  <c r="V1115" i="16"/>
  <c r="V1123" i="16"/>
  <c r="W1123" i="16" s="1"/>
  <c r="V1131" i="16"/>
  <c r="V1139" i="16"/>
  <c r="V1147" i="16"/>
  <c r="V1155" i="16"/>
  <c r="V1163" i="16"/>
  <c r="V1171" i="16"/>
  <c r="V1179" i="16"/>
  <c r="V1187" i="16"/>
  <c r="W1187" i="16" s="1"/>
  <c r="V1195" i="16"/>
  <c r="V1203" i="16"/>
  <c r="V1211" i="16"/>
  <c r="V1219" i="16"/>
  <c r="V1227" i="16"/>
  <c r="V1235" i="16"/>
  <c r="V1243" i="16"/>
  <c r="V1251" i="16"/>
  <c r="W1251" i="16" s="1"/>
  <c r="V1259" i="16"/>
  <c r="V1267" i="16"/>
  <c r="V1275" i="16"/>
  <c r="V1283" i="16"/>
  <c r="V1291" i="16"/>
  <c r="V1299" i="16"/>
  <c r="V1307" i="16"/>
  <c r="V1315" i="16"/>
  <c r="W1315" i="16" s="1"/>
  <c r="V1323" i="16"/>
  <c r="V1331" i="16"/>
  <c r="V1339" i="16"/>
  <c r="V1347" i="16"/>
  <c r="V1355" i="16"/>
  <c r="V1363" i="16"/>
  <c r="V1371" i="16"/>
  <c r="V1379" i="16"/>
  <c r="W1379" i="16" s="1"/>
  <c r="V1387" i="16"/>
  <c r="V1395" i="16"/>
  <c r="V1403" i="16"/>
  <c r="V1411" i="16"/>
  <c r="V1419" i="16"/>
  <c r="V1427" i="16"/>
  <c r="V1435" i="16"/>
  <c r="V1443" i="16"/>
  <c r="W1443" i="16" s="1"/>
  <c r="V1451" i="16"/>
  <c r="V1459" i="16"/>
  <c r="V1467" i="16"/>
  <c r="V1475" i="16"/>
  <c r="V1483" i="16"/>
  <c r="V1491" i="16"/>
  <c r="V1499" i="16"/>
  <c r="V1507" i="16"/>
  <c r="W1507" i="16" s="1"/>
  <c r="V1515" i="16"/>
  <c r="V1523" i="16"/>
  <c r="V1531" i="16"/>
  <c r="V1539" i="16"/>
  <c r="V1547" i="16"/>
  <c r="V1555" i="16"/>
  <c r="V1563" i="16"/>
  <c r="V1571" i="16"/>
  <c r="W1571" i="16" s="1"/>
  <c r="V1579" i="16"/>
  <c r="V1587" i="16"/>
  <c r="V1595" i="16"/>
  <c r="V1603" i="16"/>
  <c r="V1611" i="16"/>
  <c r="V1619" i="16"/>
  <c r="V1627" i="16"/>
  <c r="V1635" i="16"/>
  <c r="W1635" i="16" s="1"/>
  <c r="V1643" i="16"/>
  <c r="V1651" i="16"/>
  <c r="V1659" i="16"/>
  <c r="V1667" i="16"/>
  <c r="V1675" i="16"/>
  <c r="V1683" i="16"/>
  <c r="V1691" i="16"/>
  <c r="V1699" i="16"/>
  <c r="W1699" i="16" s="1"/>
  <c r="V1707" i="16"/>
  <c r="V1715" i="16"/>
  <c r="V1723" i="16"/>
  <c r="V1731" i="16"/>
  <c r="V1739" i="16"/>
  <c r="V1747" i="16"/>
  <c r="V1755" i="16"/>
  <c r="V1763" i="16"/>
  <c r="W1763" i="16" s="1"/>
  <c r="V1771" i="16"/>
  <c r="V1779" i="16"/>
  <c r="V1787" i="16"/>
  <c r="V1795" i="16"/>
  <c r="V1803" i="16"/>
  <c r="V1811" i="16"/>
  <c r="V1819" i="16"/>
  <c r="V1827" i="16"/>
  <c r="W1827" i="16" s="1"/>
  <c r="V1835" i="16"/>
  <c r="V1843" i="16"/>
  <c r="V1851" i="16"/>
  <c r="V1859" i="16"/>
  <c r="V1867" i="16"/>
  <c r="V1875" i="16"/>
  <c r="V1883" i="16"/>
  <c r="V1891" i="16"/>
  <c r="W1891" i="16" s="1"/>
  <c r="V1899" i="16"/>
  <c r="V1907" i="16"/>
  <c r="V1915" i="16"/>
  <c r="V1923" i="16"/>
  <c r="V1931" i="16"/>
  <c r="V1939" i="16"/>
  <c r="V1947" i="16"/>
  <c r="V1955" i="16"/>
  <c r="W1955" i="16" s="1"/>
  <c r="V1963" i="16"/>
  <c r="V1971" i="16"/>
  <c r="V1979" i="16"/>
  <c r="V1987" i="16"/>
  <c r="V1995" i="16"/>
  <c r="V2003" i="16"/>
  <c r="V2011" i="16"/>
  <c r="V2019" i="16"/>
  <c r="W2019" i="16" s="1"/>
  <c r="V2027" i="16"/>
  <c r="V2035" i="16"/>
  <c r="V2043" i="16"/>
  <c r="V2051" i="16"/>
  <c r="V2059" i="16"/>
  <c r="V2067" i="16"/>
  <c r="V2075" i="16"/>
  <c r="V2083" i="16"/>
  <c r="W2083" i="16" s="1"/>
  <c r="V2091" i="16"/>
  <c r="V2099" i="16"/>
  <c r="V2107" i="16"/>
  <c r="V2115" i="16"/>
  <c r="V2123" i="16"/>
  <c r="V2131" i="16"/>
  <c r="V2139" i="16"/>
  <c r="V2147" i="16"/>
  <c r="W2147" i="16" s="1"/>
  <c r="V2155" i="16"/>
  <c r="V2163" i="16"/>
  <c r="V2171" i="16"/>
  <c r="V2179" i="16"/>
  <c r="V2187" i="16"/>
  <c r="V2195" i="16"/>
  <c r="V2203" i="16"/>
  <c r="V2211" i="16"/>
  <c r="W2211" i="16" s="1"/>
  <c r="V2219" i="16"/>
  <c r="V2227" i="16"/>
  <c r="V2235" i="16"/>
  <c r="V2243" i="16"/>
  <c r="V2251" i="16"/>
  <c r="V2259" i="16"/>
  <c r="V2267" i="16"/>
  <c r="V2275" i="16"/>
  <c r="W2275" i="16" s="1"/>
  <c r="V2283" i="16"/>
  <c r="V2291" i="16"/>
  <c r="V2299" i="16"/>
  <c r="V2307" i="16"/>
  <c r="V2315" i="16"/>
  <c r="V2323" i="16"/>
  <c r="V2331" i="16"/>
  <c r="V2339" i="16"/>
  <c r="W2339" i="16" s="1"/>
  <c r="V22" i="16"/>
  <c r="V54" i="16"/>
  <c r="V86" i="16"/>
  <c r="V118" i="16"/>
  <c r="V150" i="16"/>
  <c r="V182" i="16"/>
  <c r="V214" i="16"/>
  <c r="V246" i="16"/>
  <c r="W246" i="16" s="1"/>
  <c r="V278" i="16"/>
  <c r="V310" i="16"/>
  <c r="V342" i="16"/>
  <c r="V374" i="16"/>
  <c r="V406" i="16"/>
  <c r="V438" i="16"/>
  <c r="V470" i="16"/>
  <c r="V502" i="16"/>
  <c r="W502" i="16" s="1"/>
  <c r="V534" i="16"/>
  <c r="V566" i="16"/>
  <c r="V598" i="16"/>
  <c r="V630" i="16"/>
  <c r="V662" i="16"/>
  <c r="V694" i="16"/>
  <c r="V726" i="16"/>
  <c r="V758" i="16"/>
  <c r="W758" i="16" s="1"/>
  <c r="V790" i="16"/>
  <c r="V804" i="16"/>
  <c r="V812" i="16"/>
  <c r="V820" i="16"/>
  <c r="V828" i="16"/>
  <c r="V836" i="16"/>
  <c r="V844" i="16"/>
  <c r="V852" i="16"/>
  <c r="W852" i="16" s="1"/>
  <c r="V860" i="16"/>
  <c r="V868" i="16"/>
  <c r="V876" i="16"/>
  <c r="V884" i="16"/>
  <c r="V892" i="16"/>
  <c r="V900" i="16"/>
  <c r="V908" i="16"/>
  <c r="V916" i="16"/>
  <c r="W916" i="16" s="1"/>
  <c r="V924" i="16"/>
  <c r="V932" i="16"/>
  <c r="V940" i="16"/>
  <c r="V948" i="16"/>
  <c r="V956" i="16"/>
  <c r="V964" i="16"/>
  <c r="V972" i="16"/>
  <c r="V980" i="16"/>
  <c r="W980" i="16" s="1"/>
  <c r="V988" i="16"/>
  <c r="V996" i="16"/>
  <c r="V1004" i="16"/>
  <c r="V1012" i="16"/>
  <c r="V1020" i="16"/>
  <c r="V1028" i="16"/>
  <c r="V1036" i="16"/>
  <c r="V1044" i="16"/>
  <c r="W1044" i="16" s="1"/>
  <c r="V1052" i="16"/>
  <c r="V1060" i="16"/>
  <c r="V1068" i="16"/>
  <c r="V1076" i="16"/>
  <c r="V1084" i="16"/>
  <c r="V1092" i="16"/>
  <c r="V1100" i="16"/>
  <c r="V1108" i="16"/>
  <c r="W1108" i="16" s="1"/>
  <c r="V1116" i="16"/>
  <c r="V1124" i="16"/>
  <c r="V1132" i="16"/>
  <c r="V1140" i="16"/>
  <c r="V1148" i="16"/>
  <c r="V1156" i="16"/>
  <c r="V1164" i="16"/>
  <c r="V1172" i="16"/>
  <c r="W1172" i="16" s="1"/>
  <c r="V1180" i="16"/>
  <c r="V1188" i="16"/>
  <c r="V1196" i="16"/>
  <c r="V1204" i="16"/>
  <c r="V1212" i="16"/>
  <c r="V1220" i="16"/>
  <c r="V1228" i="16"/>
  <c r="V1236" i="16"/>
  <c r="W1236" i="16" s="1"/>
  <c r="V1244" i="16"/>
  <c r="V1252" i="16"/>
  <c r="V1260" i="16"/>
  <c r="V1268" i="16"/>
  <c r="V1276" i="16"/>
  <c r="V1284" i="16"/>
  <c r="V1292" i="16"/>
  <c r="V1300" i="16"/>
  <c r="W1300" i="16" s="1"/>
  <c r="V1308" i="16"/>
  <c r="V1316" i="16"/>
  <c r="V1324" i="16"/>
  <c r="V1332" i="16"/>
  <c r="V1340" i="16"/>
  <c r="V1348" i="16"/>
  <c r="V1356" i="16"/>
  <c r="V1364" i="16"/>
  <c r="W1364" i="16" s="1"/>
  <c r="V1372" i="16"/>
  <c r="V1380" i="16"/>
  <c r="V1388" i="16"/>
  <c r="V1396" i="16"/>
  <c r="V1404" i="16"/>
  <c r="V1412" i="16"/>
  <c r="V1420" i="16"/>
  <c r="V1428" i="16"/>
  <c r="W1428" i="16" s="1"/>
  <c r="V1436" i="16"/>
  <c r="V1444" i="16"/>
  <c r="V1452" i="16"/>
  <c r="V1460" i="16"/>
  <c r="V1468" i="16"/>
  <c r="V1476" i="16"/>
  <c r="V1484" i="16"/>
  <c r="V1492" i="16"/>
  <c r="W1492" i="16" s="1"/>
  <c r="V1500" i="16"/>
  <c r="V1508" i="16"/>
  <c r="V1516" i="16"/>
  <c r="V1524" i="16"/>
  <c r="V1532" i="16"/>
  <c r="V1540" i="16"/>
  <c r="V1548" i="16"/>
  <c r="V1556" i="16"/>
  <c r="W1556" i="16" s="1"/>
  <c r="V1564" i="16"/>
  <c r="V1572" i="16"/>
  <c r="V1580" i="16"/>
  <c r="V1588" i="16"/>
  <c r="V1596" i="16"/>
  <c r="V1604" i="16"/>
  <c r="V1612" i="16"/>
  <c r="V1620" i="16"/>
  <c r="W1620" i="16" s="1"/>
  <c r="V1628" i="16"/>
  <c r="V1636" i="16"/>
  <c r="V1644" i="16"/>
  <c r="V1652" i="16"/>
  <c r="V1660" i="16"/>
  <c r="V1668" i="16"/>
  <c r="V1676" i="16"/>
  <c r="V1684" i="16"/>
  <c r="W1684" i="16" s="1"/>
  <c r="V1692" i="16"/>
  <c r="V1700" i="16"/>
  <c r="V1708" i="16"/>
  <c r="V1716" i="16"/>
  <c r="V1724" i="16"/>
  <c r="V1732" i="16"/>
  <c r="V1740" i="16"/>
  <c r="V1748" i="16"/>
  <c r="W1748" i="16" s="1"/>
  <c r="V1756" i="16"/>
  <c r="V1764" i="16"/>
  <c r="V1772" i="16"/>
  <c r="V1780" i="16"/>
  <c r="V1788" i="16"/>
  <c r="V1796" i="16"/>
  <c r="V1804" i="16"/>
  <c r="V1812" i="16"/>
  <c r="W1812" i="16" s="1"/>
  <c r="V1820" i="16"/>
  <c r="V1828" i="16"/>
  <c r="V1836" i="16"/>
  <c r="V1844" i="16"/>
  <c r="V1852" i="16"/>
  <c r="V1860" i="16"/>
  <c r="V1868" i="16"/>
  <c r="V1876" i="16"/>
  <c r="W1876" i="16" s="1"/>
  <c r="V1884" i="16"/>
  <c r="V1892" i="16"/>
  <c r="V1900" i="16"/>
  <c r="V1908" i="16"/>
  <c r="V1916" i="16"/>
  <c r="V1924" i="16"/>
  <c r="V1932" i="16"/>
  <c r="V1940" i="16"/>
  <c r="W1940" i="16" s="1"/>
  <c r="V1948" i="16"/>
  <c r="V1956" i="16"/>
  <c r="V1964" i="16"/>
  <c r="V1972" i="16"/>
  <c r="V1980" i="16"/>
  <c r="V1988" i="16"/>
  <c r="V1996" i="16"/>
  <c r="V2004" i="16"/>
  <c r="W2004" i="16" s="1"/>
  <c r="V2012" i="16"/>
  <c r="V2020" i="16"/>
  <c r="V2028" i="16"/>
  <c r="V2036" i="16"/>
  <c r="V2044" i="16"/>
  <c r="V2052" i="16"/>
  <c r="V2060" i="16"/>
  <c r="V2068" i="16"/>
  <c r="W2068" i="16" s="1"/>
  <c r="V2076" i="16"/>
  <c r="V2084" i="16"/>
  <c r="V2092" i="16"/>
  <c r="V2100" i="16"/>
  <c r="V2108" i="16"/>
  <c r="V2116" i="16"/>
  <c r="V2124" i="16"/>
  <c r="V2132" i="16"/>
  <c r="W2132" i="16" s="1"/>
  <c r="V2140" i="16"/>
  <c r="V2148" i="16"/>
  <c r="V2156" i="16"/>
  <c r="V2164" i="16"/>
  <c r="V2172" i="16"/>
  <c r="V2180" i="16"/>
  <c r="V2188" i="16"/>
  <c r="V2196" i="16"/>
  <c r="W2196" i="16" s="1"/>
  <c r="V2204" i="16"/>
  <c r="V2212" i="16"/>
  <c r="V2220" i="16"/>
  <c r="V2228" i="16"/>
  <c r="V2236" i="16"/>
  <c r="V2244" i="16"/>
  <c r="V2252" i="16"/>
  <c r="V2260" i="16"/>
  <c r="W2260" i="16" s="1"/>
  <c r="V2268" i="16"/>
  <c r="V2276" i="16"/>
  <c r="V2284" i="16"/>
  <c r="V2292" i="16"/>
  <c r="V2300" i="16"/>
  <c r="V2308" i="16"/>
  <c r="V2316" i="16"/>
  <c r="V2324" i="16"/>
  <c r="W2324" i="16" s="1"/>
  <c r="V2332" i="16"/>
  <c r="V2340" i="16"/>
  <c r="V29" i="16"/>
  <c r="V61" i="16"/>
  <c r="V93" i="16"/>
  <c r="V125" i="16"/>
  <c r="V157" i="16"/>
  <c r="V189" i="16"/>
  <c r="W189" i="16" s="1"/>
  <c r="V221" i="16"/>
  <c r="V253" i="16"/>
  <c r="V285" i="16"/>
  <c r="V317" i="16"/>
  <c r="V349" i="16"/>
  <c r="V381" i="16"/>
  <c r="V413" i="16"/>
  <c r="V445" i="16"/>
  <c r="W445" i="16" s="1"/>
  <c r="V477" i="16"/>
  <c r="V509" i="16"/>
  <c r="V541" i="16"/>
  <c r="V573" i="16"/>
  <c r="V605" i="16"/>
  <c r="V637" i="16"/>
  <c r="V669" i="16"/>
  <c r="V701" i="16"/>
  <c r="W701" i="16" s="1"/>
  <c r="V733" i="16"/>
  <c r="V765" i="16"/>
  <c r="V797" i="16"/>
  <c r="V805" i="16"/>
  <c r="V813" i="16"/>
  <c r="V821" i="16"/>
  <c r="V829" i="16"/>
  <c r="V837" i="16"/>
  <c r="W837" i="16" s="1"/>
  <c r="V845" i="16"/>
  <c r="V853" i="16"/>
  <c r="V861" i="16"/>
  <c r="V869" i="16"/>
  <c r="V877" i="16"/>
  <c r="V885" i="16"/>
  <c r="V893" i="16"/>
  <c r="V901" i="16"/>
  <c r="W901" i="16" s="1"/>
  <c r="V909" i="16"/>
  <c r="V917" i="16"/>
  <c r="V925" i="16"/>
  <c r="V933" i="16"/>
  <c r="V941" i="16"/>
  <c r="V949" i="16"/>
  <c r="V957" i="16"/>
  <c r="V965" i="16"/>
  <c r="W965" i="16" s="1"/>
  <c r="V973" i="16"/>
  <c r="V981" i="16"/>
  <c r="V989" i="16"/>
  <c r="V997" i="16"/>
  <c r="V1005" i="16"/>
  <c r="V1013" i="16"/>
  <c r="V1021" i="16"/>
  <c r="V1029" i="16"/>
  <c r="W1029" i="16" s="1"/>
  <c r="V1037" i="16"/>
  <c r="V1045" i="16"/>
  <c r="V1053" i="16"/>
  <c r="V1061" i="16"/>
  <c r="V1069" i="16"/>
  <c r="V1077" i="16"/>
  <c r="V1085" i="16"/>
  <c r="V1093" i="16"/>
  <c r="W1093" i="16" s="1"/>
  <c r="V1101" i="16"/>
  <c r="V1109" i="16"/>
  <c r="V1117" i="16"/>
  <c r="V1125" i="16"/>
  <c r="V1133" i="16"/>
  <c r="V1141" i="16"/>
  <c r="V1149" i="16"/>
  <c r="V1157" i="16"/>
  <c r="W1157" i="16" s="1"/>
  <c r="V1165" i="16"/>
  <c r="V1173" i="16"/>
  <c r="V1181" i="16"/>
  <c r="V1189" i="16"/>
  <c r="V1197" i="16"/>
  <c r="V1205" i="16"/>
  <c r="V1213" i="16"/>
  <c r="V1221" i="16"/>
  <c r="W1221" i="16" s="1"/>
  <c r="V1229" i="16"/>
  <c r="V1237" i="16"/>
  <c r="V1245" i="16"/>
  <c r="V1253" i="16"/>
  <c r="V1261" i="16"/>
  <c r="V1269" i="16"/>
  <c r="V1277" i="16"/>
  <c r="V1285" i="16"/>
  <c r="W1285" i="16" s="1"/>
  <c r="V1293" i="16"/>
  <c r="V1301" i="16"/>
  <c r="V1309" i="16"/>
  <c r="V1317" i="16"/>
  <c r="V1325" i="16"/>
  <c r="V1333" i="16"/>
  <c r="V1341" i="16"/>
  <c r="V1349" i="16"/>
  <c r="W1349" i="16" s="1"/>
  <c r="V1357" i="16"/>
  <c r="V1365" i="16"/>
  <c r="V1373" i="16"/>
  <c r="V1381" i="16"/>
  <c r="V1389" i="16"/>
  <c r="V1397" i="16"/>
  <c r="V1405" i="16"/>
  <c r="V1413" i="16"/>
  <c r="W1413" i="16" s="1"/>
  <c r="V1421" i="16"/>
  <c r="V1429" i="16"/>
  <c r="V1437" i="16"/>
  <c r="V1445" i="16"/>
  <c r="V1453" i="16"/>
  <c r="V1461" i="16"/>
  <c r="V1469" i="16"/>
  <c r="V1477" i="16"/>
  <c r="W1477" i="16" s="1"/>
  <c r="V1485" i="16"/>
  <c r="V1493" i="16"/>
  <c r="V1501" i="16"/>
  <c r="V1509" i="16"/>
  <c r="V1517" i="16"/>
  <c r="V1525" i="16"/>
  <c r="V1533" i="16"/>
  <c r="V1541" i="16"/>
  <c r="W1541" i="16" s="1"/>
  <c r="V1549" i="16"/>
  <c r="V1557" i="16"/>
  <c r="V1565" i="16"/>
  <c r="V1573" i="16"/>
  <c r="V1581" i="16"/>
  <c r="V1589" i="16"/>
  <c r="V1597" i="16"/>
  <c r="V1605" i="16"/>
  <c r="W1605" i="16" s="1"/>
  <c r="V1613" i="16"/>
  <c r="V1621" i="16"/>
  <c r="V1629" i="16"/>
  <c r="V1637" i="16"/>
  <c r="V1645" i="16"/>
  <c r="V1653" i="16"/>
  <c r="V1661" i="16"/>
  <c r="V1669" i="16"/>
  <c r="W1669" i="16" s="1"/>
  <c r="V1677" i="16"/>
  <c r="V1685" i="16"/>
  <c r="V1693" i="16"/>
  <c r="V1701" i="16"/>
  <c r="V1709" i="16"/>
  <c r="V1717" i="16"/>
  <c r="V1725" i="16"/>
  <c r="V1733" i="16"/>
  <c r="W1733" i="16" s="1"/>
  <c r="V1741" i="16"/>
  <c r="V1749" i="16"/>
  <c r="V1757" i="16"/>
  <c r="V1765" i="16"/>
  <c r="V1773" i="16"/>
  <c r="V1781" i="16"/>
  <c r="V1789" i="16"/>
  <c r="V1797" i="16"/>
  <c r="W1797" i="16" s="1"/>
  <c r="V1805" i="16"/>
  <c r="V1813" i="16"/>
  <c r="V1821" i="16"/>
  <c r="V1829" i="16"/>
  <c r="V1837" i="16"/>
  <c r="V1845" i="16"/>
  <c r="V1853" i="16"/>
  <c r="V1861" i="16"/>
  <c r="W1861" i="16" s="1"/>
  <c r="V1869" i="16"/>
  <c r="V1877" i="16"/>
  <c r="V1885" i="16"/>
  <c r="V1893" i="16"/>
  <c r="V1901" i="16"/>
  <c r="V1909" i="16"/>
  <c r="V1917" i="16"/>
  <c r="V1925" i="16"/>
  <c r="W1925" i="16" s="1"/>
  <c r="V1933" i="16"/>
  <c r="V1941" i="16"/>
  <c r="V1949" i="16"/>
  <c r="V1957" i="16"/>
  <c r="V1965" i="16"/>
  <c r="V1973" i="16"/>
  <c r="V1981" i="16"/>
  <c r="V1989" i="16"/>
  <c r="W1989" i="16" s="1"/>
  <c r="V1997" i="16"/>
  <c r="V2005" i="16"/>
  <c r="V2013" i="16"/>
  <c r="V2021" i="16"/>
  <c r="V2029" i="16"/>
  <c r="V2037" i="16"/>
  <c r="V2045" i="16"/>
  <c r="V37" i="16"/>
  <c r="W37" i="16" s="1"/>
  <c r="V69" i="16"/>
  <c r="V101" i="16"/>
  <c r="V133" i="16"/>
  <c r="V165" i="16"/>
  <c r="V197" i="16"/>
  <c r="V229" i="16"/>
  <c r="V261" i="16"/>
  <c r="V293" i="16"/>
  <c r="W293" i="16" s="1"/>
  <c r="V325" i="16"/>
  <c r="V357" i="16"/>
  <c r="V389" i="16"/>
  <c r="V421" i="16"/>
  <c r="V453" i="16"/>
  <c r="V485" i="16"/>
  <c r="V517" i="16"/>
  <c r="V549" i="16"/>
  <c r="W549" i="16" s="1"/>
  <c r="V581" i="16"/>
  <c r="V613" i="16"/>
  <c r="V645" i="16"/>
  <c r="V677" i="16"/>
  <c r="V709" i="16"/>
  <c r="V741" i="16"/>
  <c r="V773" i="16"/>
  <c r="V799" i="16"/>
  <c r="W799" i="16" s="1"/>
  <c r="V807" i="16"/>
  <c r="V815" i="16"/>
  <c r="V823" i="16"/>
  <c r="V831" i="16"/>
  <c r="V839" i="16"/>
  <c r="V847" i="16"/>
  <c r="V855" i="16"/>
  <c r="V863" i="16"/>
  <c r="W863" i="16" s="1"/>
  <c r="V871" i="16"/>
  <c r="V879" i="16"/>
  <c r="V887" i="16"/>
  <c r="V895" i="16"/>
  <c r="V903" i="16"/>
  <c r="V911" i="16"/>
  <c r="V919" i="16"/>
  <c r="V927" i="16"/>
  <c r="W927" i="16" s="1"/>
  <c r="V935" i="16"/>
  <c r="V943" i="16"/>
  <c r="V951" i="16"/>
  <c r="V959" i="16"/>
  <c r="V967" i="16"/>
  <c r="V975" i="16"/>
  <c r="V983" i="16"/>
  <c r="V991" i="16"/>
  <c r="W991" i="16" s="1"/>
  <c r="V999" i="16"/>
  <c r="V1007" i="16"/>
  <c r="V1015" i="16"/>
  <c r="V1023" i="16"/>
  <c r="V1031" i="16"/>
  <c r="V1039" i="16"/>
  <c r="V1047" i="16"/>
  <c r="V1055" i="16"/>
  <c r="W1055" i="16" s="1"/>
  <c r="V1063" i="16"/>
  <c r="V1071" i="16"/>
  <c r="V1079" i="16"/>
  <c r="V1087" i="16"/>
  <c r="V1095" i="16"/>
  <c r="V1103" i="16"/>
  <c r="V1111" i="16"/>
  <c r="V1119" i="16"/>
  <c r="W1119" i="16" s="1"/>
  <c r="V1127" i="16"/>
  <c r="V1135" i="16"/>
  <c r="V1143" i="16"/>
  <c r="V1151" i="16"/>
  <c r="V1159" i="16"/>
  <c r="V1167" i="16"/>
  <c r="V1175" i="16"/>
  <c r="V1183" i="16"/>
  <c r="W1183" i="16" s="1"/>
  <c r="V1191" i="16"/>
  <c r="V1199" i="16"/>
  <c r="V1207" i="16"/>
  <c r="V1215" i="16"/>
  <c r="V1223" i="16"/>
  <c r="V1231" i="16"/>
  <c r="V1239" i="16"/>
  <c r="V1247" i="16"/>
  <c r="W1247" i="16" s="1"/>
  <c r="V1255" i="16"/>
  <c r="V1263" i="16"/>
  <c r="V1271" i="16"/>
  <c r="V1279" i="16"/>
  <c r="V1287" i="16"/>
  <c r="V1295" i="16"/>
  <c r="V1303" i="16"/>
  <c r="V1311" i="16"/>
  <c r="W1311" i="16" s="1"/>
  <c r="V1319" i="16"/>
  <c r="V1327" i="16"/>
  <c r="V1335" i="16"/>
  <c r="V1343" i="16"/>
  <c r="V1351" i="16"/>
  <c r="V1359" i="16"/>
  <c r="V1367" i="16"/>
  <c r="V1375" i="16"/>
  <c r="W1375" i="16" s="1"/>
  <c r="V1383" i="16"/>
  <c r="V1391" i="16"/>
  <c r="V1399" i="16"/>
  <c r="V1407" i="16"/>
  <c r="V1415" i="16"/>
  <c r="V1423" i="16"/>
  <c r="V1431" i="16"/>
  <c r="V1439" i="16"/>
  <c r="W1439" i="16" s="1"/>
  <c r="V1447" i="16"/>
  <c r="V1455" i="16"/>
  <c r="V1463" i="16"/>
  <c r="V1471" i="16"/>
  <c r="V1479" i="16"/>
  <c r="V1487" i="16"/>
  <c r="V1495" i="16"/>
  <c r="V1503" i="16"/>
  <c r="W1503" i="16" s="1"/>
  <c r="V1511" i="16"/>
  <c r="V1519" i="16"/>
  <c r="V1527" i="16"/>
  <c r="V1535" i="16"/>
  <c r="V1543" i="16"/>
  <c r="V1551" i="16"/>
  <c r="V1559" i="16"/>
  <c r="V1567" i="16"/>
  <c r="W1567" i="16" s="1"/>
  <c r="V1575" i="16"/>
  <c r="V1583" i="16"/>
  <c r="V1591" i="16"/>
  <c r="V1599" i="16"/>
  <c r="V1607" i="16"/>
  <c r="V1615" i="16"/>
  <c r="V1623" i="16"/>
  <c r="V1631" i="16"/>
  <c r="W1631" i="16" s="1"/>
  <c r="V1639" i="16"/>
  <c r="V1647" i="16"/>
  <c r="V1655" i="16"/>
  <c r="V1663" i="16"/>
  <c r="V1671" i="16"/>
  <c r="V1679" i="16"/>
  <c r="V1687" i="16"/>
  <c r="V1695" i="16"/>
  <c r="W1695" i="16" s="1"/>
  <c r="V1703" i="16"/>
  <c r="V1711" i="16"/>
  <c r="V1719" i="16"/>
  <c r="V1727" i="16"/>
  <c r="V1735" i="16"/>
  <c r="V1743" i="16"/>
  <c r="V1751" i="16"/>
  <c r="V1759" i="16"/>
  <c r="W1759" i="16" s="1"/>
  <c r="V1767" i="16"/>
  <c r="V1775" i="16"/>
  <c r="V1783" i="16"/>
  <c r="V1791" i="16"/>
  <c r="V1799" i="16"/>
  <c r="V1807" i="16"/>
  <c r="V1815" i="16"/>
  <c r="V1823" i="16"/>
  <c r="W1823" i="16" s="1"/>
  <c r="V1831" i="16"/>
  <c r="V1839" i="16"/>
  <c r="V1847" i="16"/>
  <c r="V1855" i="16"/>
  <c r="V1863" i="16"/>
  <c r="V1871" i="16"/>
  <c r="V1879" i="16"/>
  <c r="V1887" i="16"/>
  <c r="W1887" i="16" s="1"/>
  <c r="V1895" i="16"/>
  <c r="V1903" i="16"/>
  <c r="V1911" i="16"/>
  <c r="V1919" i="16"/>
  <c r="V1927" i="16"/>
  <c r="V1935" i="16"/>
  <c r="V1943" i="16"/>
  <c r="V1951" i="16"/>
  <c r="W1951" i="16" s="1"/>
  <c r="V1959" i="16"/>
  <c r="V1967" i="16"/>
  <c r="V1975" i="16"/>
  <c r="V1983" i="16"/>
  <c r="V1991" i="16"/>
  <c r="V1999" i="16"/>
  <c r="V2007" i="16"/>
  <c r="V2015" i="16"/>
  <c r="W2015" i="16" s="1"/>
  <c r="V2023" i="16"/>
  <c r="V2031" i="16"/>
  <c r="V2039" i="16"/>
  <c r="V2047" i="16"/>
  <c r="V2055" i="16"/>
  <c r="V2063" i="16"/>
  <c r="V2071" i="16"/>
  <c r="V2079" i="16"/>
  <c r="W2079" i="16" s="1"/>
  <c r="V2087" i="16"/>
  <c r="V2095" i="16"/>
  <c r="V2103" i="16"/>
  <c r="V2111" i="16"/>
  <c r="V2119" i="16"/>
  <c r="V2127" i="16"/>
  <c r="V2135" i="16"/>
  <c r="V2143" i="16"/>
  <c r="W2143" i="16" s="1"/>
  <c r="V2151" i="16"/>
  <c r="V2159" i="16"/>
  <c r="V2167" i="16"/>
  <c r="V2175" i="16"/>
  <c r="V2183" i="16"/>
  <c r="V2191" i="16"/>
  <c r="V2199" i="16"/>
  <c r="V2207" i="16"/>
  <c r="W2207" i="16" s="1"/>
  <c r="V2215" i="16"/>
  <c r="V2223" i="16"/>
  <c r="V2231" i="16"/>
  <c r="V2239" i="16"/>
  <c r="V2247" i="16"/>
  <c r="V2255" i="16"/>
  <c r="V2263" i="16"/>
  <c r="V2271" i="16"/>
  <c r="W2271" i="16" s="1"/>
  <c r="V2279" i="16"/>
  <c r="V2287" i="16"/>
  <c r="V2295" i="16"/>
  <c r="V2303" i="16"/>
  <c r="V2311" i="16"/>
  <c r="V2319" i="16"/>
  <c r="V2327" i="16"/>
  <c r="V2335" i="16"/>
  <c r="W2335" i="16" s="1"/>
  <c r="V38" i="16"/>
  <c r="V70" i="16"/>
  <c r="V102" i="16"/>
  <c r="V134" i="16"/>
  <c r="V166" i="16"/>
  <c r="V198" i="16"/>
  <c r="V230" i="16"/>
  <c r="V262" i="16"/>
  <c r="W262" i="16" s="1"/>
  <c r="V294" i="16"/>
  <c r="V326" i="16"/>
  <c r="V358" i="16"/>
  <c r="V390" i="16"/>
  <c r="V422" i="16"/>
  <c r="V454" i="16"/>
  <c r="V486" i="16"/>
  <c r="V518" i="16"/>
  <c r="W518" i="16" s="1"/>
  <c r="V550" i="16"/>
  <c r="V582" i="16"/>
  <c r="V614" i="16"/>
  <c r="V646" i="16"/>
  <c r="V678" i="16"/>
  <c r="V710" i="16"/>
  <c r="V742" i="16"/>
  <c r="V774" i="16"/>
  <c r="W774" i="16" s="1"/>
  <c r="V800" i="16"/>
  <c r="V808" i="16"/>
  <c r="V816" i="16"/>
  <c r="V824" i="16"/>
  <c r="V832" i="16"/>
  <c r="V840" i="16"/>
  <c r="V848" i="16"/>
  <c r="V856" i="16"/>
  <c r="W856" i="16" s="1"/>
  <c r="V864" i="16"/>
  <c r="V872" i="16"/>
  <c r="V880" i="16"/>
  <c r="V888" i="16"/>
  <c r="V896" i="16"/>
  <c r="V904" i="16"/>
  <c r="V912" i="16"/>
  <c r="V920" i="16"/>
  <c r="W920" i="16" s="1"/>
  <c r="V928" i="16"/>
  <c r="V936" i="16"/>
  <c r="V944" i="16"/>
  <c r="V952" i="16"/>
  <c r="V960" i="16"/>
  <c r="V968" i="16"/>
  <c r="V976" i="16"/>
  <c r="V984" i="16"/>
  <c r="W984" i="16" s="1"/>
  <c r="V992" i="16"/>
  <c r="V1000" i="16"/>
  <c r="V1008" i="16"/>
  <c r="V1016" i="16"/>
  <c r="V1024" i="16"/>
  <c r="V1032" i="16"/>
  <c r="V1040" i="16"/>
  <c r="V1048" i="16"/>
  <c r="W1048" i="16" s="1"/>
  <c r="V1056" i="16"/>
  <c r="V1064" i="16"/>
  <c r="V1072" i="16"/>
  <c r="V1080" i="16"/>
  <c r="V1088" i="16"/>
  <c r="V1096" i="16"/>
  <c r="V1104" i="16"/>
  <c r="V1112" i="16"/>
  <c r="W1112" i="16" s="1"/>
  <c r="V1120" i="16"/>
  <c r="V1128" i="16"/>
  <c r="V1136" i="16"/>
  <c r="V1144" i="16"/>
  <c r="V1152" i="16"/>
  <c r="V1160" i="16"/>
  <c r="V1168" i="16"/>
  <c r="V1176" i="16"/>
  <c r="W1176" i="16" s="1"/>
  <c r="V1184" i="16"/>
  <c r="V1192" i="16"/>
  <c r="V1200" i="16"/>
  <c r="V1208" i="16"/>
  <c r="V1216" i="16"/>
  <c r="V1224" i="16"/>
  <c r="V1232" i="16"/>
  <c r="V1240" i="16"/>
  <c r="W1240" i="16" s="1"/>
  <c r="V1248" i="16"/>
  <c r="V1256" i="16"/>
  <c r="V1264" i="16"/>
  <c r="V1272" i="16"/>
  <c r="V1280" i="16"/>
  <c r="V1288" i="16"/>
  <c r="V1296" i="16"/>
  <c r="V1304" i="16"/>
  <c r="W1304" i="16" s="1"/>
  <c r="V1312" i="16"/>
  <c r="V1320" i="16"/>
  <c r="V1328" i="16"/>
  <c r="V1336" i="16"/>
  <c r="V1344" i="16"/>
  <c r="V1352" i="16"/>
  <c r="V1360" i="16"/>
  <c r="V1368" i="16"/>
  <c r="W1368" i="16" s="1"/>
  <c r="V1376" i="16"/>
  <c r="V1384" i="16"/>
  <c r="V1392" i="16"/>
  <c r="V1400" i="16"/>
  <c r="V1408" i="16"/>
  <c r="V1416" i="16"/>
  <c r="V1424" i="16"/>
  <c r="V1432" i="16"/>
  <c r="W1432" i="16" s="1"/>
  <c r="V1440" i="16"/>
  <c r="V1448" i="16"/>
  <c r="V1456" i="16"/>
  <c r="V1464" i="16"/>
  <c r="V1472" i="16"/>
  <c r="V1480" i="16"/>
  <c r="V1488" i="16"/>
  <c r="V1496" i="16"/>
  <c r="W1496" i="16" s="1"/>
  <c r="V1504" i="16"/>
  <c r="V1512" i="16"/>
  <c r="V1520" i="16"/>
  <c r="V1528" i="16"/>
  <c r="V1536" i="16"/>
  <c r="V1544" i="16"/>
  <c r="V1552" i="16"/>
  <c r="V1560" i="16"/>
  <c r="W1560" i="16" s="1"/>
  <c r="V1568" i="16"/>
  <c r="V1576" i="16"/>
  <c r="V1584" i="16"/>
  <c r="V1592" i="16"/>
  <c r="V1600" i="16"/>
  <c r="V1608" i="16"/>
  <c r="V1616" i="16"/>
  <c r="V1624" i="16"/>
  <c r="W1624" i="16" s="1"/>
  <c r="V1632" i="16"/>
  <c r="V1640" i="16"/>
  <c r="V1648" i="16"/>
  <c r="V1656" i="16"/>
  <c r="V1664" i="16"/>
  <c r="V1672" i="16"/>
  <c r="V1680" i="16"/>
  <c r="V1688" i="16"/>
  <c r="W1688" i="16" s="1"/>
  <c r="V1696" i="16"/>
  <c r="V1704" i="16"/>
  <c r="V1712" i="16"/>
  <c r="V1720" i="16"/>
  <c r="V1728" i="16"/>
  <c r="V1736" i="16"/>
  <c r="V1744" i="16"/>
  <c r="V1752" i="16"/>
  <c r="W1752" i="16" s="1"/>
  <c r="V1760" i="16"/>
  <c r="V1768" i="16"/>
  <c r="V1776" i="16"/>
  <c r="V1784" i="16"/>
  <c r="V1792" i="16"/>
  <c r="V1800" i="16"/>
  <c r="V1808" i="16"/>
  <c r="V1816" i="16"/>
  <c r="W1816" i="16" s="1"/>
  <c r="V1824" i="16"/>
  <c r="V1832" i="16"/>
  <c r="V1840" i="16"/>
  <c r="V1848" i="16"/>
  <c r="V1856" i="16"/>
  <c r="V1864" i="16"/>
  <c r="V1872" i="16"/>
  <c r="V1880" i="16"/>
  <c r="W1880" i="16" s="1"/>
  <c r="V1888" i="16"/>
  <c r="V1896" i="16"/>
  <c r="V1904" i="16"/>
  <c r="V1912" i="16"/>
  <c r="V1920" i="16"/>
  <c r="V1928" i="16"/>
  <c r="V1936" i="16"/>
  <c r="V1944" i="16"/>
  <c r="W1944" i="16" s="1"/>
  <c r="V1952" i="16"/>
  <c r="V1960" i="16"/>
  <c r="V1968" i="16"/>
  <c r="V1976" i="16"/>
  <c r="V1984" i="16"/>
  <c r="V1992" i="16"/>
  <c r="V2000" i="16"/>
  <c r="V2008" i="16"/>
  <c r="W2008" i="16" s="1"/>
  <c r="V2016" i="16"/>
  <c r="V2024" i="16"/>
  <c r="V2032" i="16"/>
  <c r="V2040" i="16"/>
  <c r="V2048" i="16"/>
  <c r="V2056" i="16"/>
  <c r="V2064" i="16"/>
  <c r="V2072" i="16"/>
  <c r="W2072" i="16" s="1"/>
  <c r="V2080" i="16"/>
  <c r="V2088" i="16"/>
  <c r="V2096" i="16"/>
  <c r="V2104" i="16"/>
  <c r="V2112" i="16"/>
  <c r="V2120" i="16"/>
  <c r="V2128" i="16"/>
  <c r="V2136" i="16"/>
  <c r="W2136" i="16" s="1"/>
  <c r="V2144" i="16"/>
  <c r="V2152" i="16"/>
  <c r="V2160" i="16"/>
  <c r="V2168" i="16"/>
  <c r="V2176" i="16"/>
  <c r="V2184" i="16"/>
  <c r="V2192" i="16"/>
  <c r="V2200" i="16"/>
  <c r="W2200" i="16" s="1"/>
  <c r="V2208" i="16"/>
  <c r="V2216" i="16"/>
  <c r="V2224" i="16"/>
  <c r="V2232" i="16"/>
  <c r="V2240" i="16"/>
  <c r="V2248" i="16"/>
  <c r="V2256" i="16"/>
  <c r="V2264" i="16"/>
  <c r="W2264" i="16" s="1"/>
  <c r="V2272" i="16"/>
  <c r="V2280" i="16"/>
  <c r="V2288" i="16"/>
  <c r="V2296" i="16"/>
  <c r="V2304" i="16"/>
  <c r="V2312" i="16"/>
  <c r="V2320" i="16"/>
  <c r="V2328" i="16"/>
  <c r="W2328" i="16" s="1"/>
  <c r="V2336" i="16"/>
  <c r="V222" i="16"/>
  <c r="V478" i="16"/>
  <c r="V734" i="16"/>
  <c r="V846" i="16"/>
  <c r="V910" i="16"/>
  <c r="V974" i="16"/>
  <c r="V1038" i="16"/>
  <c r="W1038" i="16" s="1"/>
  <c r="V1102" i="16"/>
  <c r="V1166" i="16"/>
  <c r="V1230" i="16"/>
  <c r="V1294" i="16"/>
  <c r="V1358" i="16"/>
  <c r="V1422" i="16"/>
  <c r="V1486" i="16"/>
  <c r="V1550" i="16"/>
  <c r="W1550" i="16" s="1"/>
  <c r="V1614" i="16"/>
  <c r="V1678" i="16"/>
  <c r="V1742" i="16"/>
  <c r="V1806" i="16"/>
  <c r="V1870" i="16"/>
  <c r="V1934" i="16"/>
  <c r="V1998" i="16"/>
  <c r="V2054" i="16"/>
  <c r="W2054" i="16" s="1"/>
  <c r="V2086" i="16"/>
  <c r="V2118" i="16"/>
  <c r="V2150" i="16"/>
  <c r="V2182" i="16"/>
  <c r="V2214" i="16"/>
  <c r="V2246" i="16"/>
  <c r="V2278" i="16"/>
  <c r="V2310" i="16"/>
  <c r="W2310" i="16" s="1"/>
  <c r="V6" i="16"/>
  <c r="V254" i="16"/>
  <c r="V510" i="16"/>
  <c r="V766" i="16"/>
  <c r="V854" i="16"/>
  <c r="V918" i="16"/>
  <c r="V982" i="16"/>
  <c r="V1046" i="16"/>
  <c r="W1046" i="16" s="1"/>
  <c r="V1110" i="16"/>
  <c r="V1174" i="16"/>
  <c r="V1238" i="16"/>
  <c r="V1302" i="16"/>
  <c r="V1366" i="16"/>
  <c r="V1430" i="16"/>
  <c r="V1494" i="16"/>
  <c r="V1558" i="16"/>
  <c r="W1558" i="16" s="1"/>
  <c r="V1622" i="16"/>
  <c r="V1686" i="16"/>
  <c r="V1750" i="16"/>
  <c r="V1814" i="16"/>
  <c r="V1878" i="16"/>
  <c r="V1942" i="16"/>
  <c r="V2006" i="16"/>
  <c r="V2061" i="16"/>
  <c r="W2061" i="16" s="1"/>
  <c r="V2093" i="16"/>
  <c r="V2125" i="16"/>
  <c r="V2157" i="16"/>
  <c r="V2189" i="16"/>
  <c r="V2221" i="16"/>
  <c r="V2253" i="16"/>
  <c r="V2285" i="16"/>
  <c r="V2317" i="16"/>
  <c r="W2317" i="16" s="1"/>
  <c r="V30" i="16"/>
  <c r="V286" i="16"/>
  <c r="V542" i="16"/>
  <c r="V798" i="16"/>
  <c r="V862" i="16"/>
  <c r="V926" i="16"/>
  <c r="V990" i="16"/>
  <c r="V1054" i="16"/>
  <c r="W1054" i="16" s="1"/>
  <c r="V1118" i="16"/>
  <c r="V1182" i="16"/>
  <c r="V1246" i="16"/>
  <c r="V1310" i="16"/>
  <c r="V1374" i="16"/>
  <c r="V1438" i="16"/>
  <c r="V1502" i="16"/>
  <c r="V1566" i="16"/>
  <c r="W1566" i="16" s="1"/>
  <c r="V1630" i="16"/>
  <c r="V1694" i="16"/>
  <c r="V1758" i="16"/>
  <c r="V1822" i="16"/>
  <c r="V1886" i="16"/>
  <c r="V1950" i="16"/>
  <c r="V2014" i="16"/>
  <c r="V2062" i="16"/>
  <c r="W2062" i="16" s="1"/>
  <c r="V2094" i="16"/>
  <c r="V2126" i="16"/>
  <c r="V2158" i="16"/>
  <c r="V2190" i="16"/>
  <c r="V2222" i="16"/>
  <c r="V2254" i="16"/>
  <c r="V2286" i="16"/>
  <c r="V2318" i="16"/>
  <c r="W2318" i="16" s="1"/>
  <c r="V62" i="16"/>
  <c r="V318" i="16"/>
  <c r="V574" i="16"/>
  <c r="V806" i="16"/>
  <c r="V870" i="16"/>
  <c r="V934" i="16"/>
  <c r="V998" i="16"/>
  <c r="V1062" i="16"/>
  <c r="W1062" i="16" s="1"/>
  <c r="V1126" i="16"/>
  <c r="V1190" i="16"/>
  <c r="V1254" i="16"/>
  <c r="V1318" i="16"/>
  <c r="V1382" i="16"/>
  <c r="V1446" i="16"/>
  <c r="V1510" i="16"/>
  <c r="V1574" i="16"/>
  <c r="W1574" i="16" s="1"/>
  <c r="V1638" i="16"/>
  <c r="V1702" i="16"/>
  <c r="V1766" i="16"/>
  <c r="V1830" i="16"/>
  <c r="V1894" i="16"/>
  <c r="V1958" i="16"/>
  <c r="V2022" i="16"/>
  <c r="V2069" i="16"/>
  <c r="W2069" i="16" s="1"/>
  <c r="V2101" i="16"/>
  <c r="V2133" i="16"/>
  <c r="V2165" i="16"/>
  <c r="V2197" i="16"/>
  <c r="V2229" i="16"/>
  <c r="V2261" i="16"/>
  <c r="V2293" i="16"/>
  <c r="V2325" i="16"/>
  <c r="W2325" i="16" s="1"/>
  <c r="V94" i="16"/>
  <c r="V350" i="16"/>
  <c r="V606" i="16"/>
  <c r="V814" i="16"/>
  <c r="V878" i="16"/>
  <c r="V942" i="16"/>
  <c r="V1006" i="16"/>
  <c r="V1070" i="16"/>
  <c r="W1070" i="16" s="1"/>
  <c r="V1134" i="16"/>
  <c r="V1198" i="16"/>
  <c r="V1262" i="16"/>
  <c r="V1326" i="16"/>
  <c r="V1390" i="16"/>
  <c r="V1454" i="16"/>
  <c r="V1518" i="16"/>
  <c r="V1582" i="16"/>
  <c r="W1582" i="16" s="1"/>
  <c r="V1646" i="16"/>
  <c r="V1710" i="16"/>
  <c r="V1774" i="16"/>
  <c r="V1838" i="16"/>
  <c r="V1902" i="16"/>
  <c r="V1966" i="16"/>
  <c r="V2030" i="16"/>
  <c r="V2070" i="16"/>
  <c r="W2070" i="16" s="1"/>
  <c r="V2102" i="16"/>
  <c r="V2134" i="16"/>
  <c r="V2166" i="16"/>
  <c r="V2198" i="16"/>
  <c r="V2230" i="16"/>
  <c r="V2262" i="16"/>
  <c r="V2294" i="16"/>
  <c r="V2326" i="16"/>
  <c r="W2326" i="16" s="1"/>
  <c r="V126" i="16"/>
  <c r="V382" i="16"/>
  <c r="V638" i="16"/>
  <c r="V822" i="16"/>
  <c r="V886" i="16"/>
  <c r="V950" i="16"/>
  <c r="V1014" i="16"/>
  <c r="V1078" i="16"/>
  <c r="W1078" i="16" s="1"/>
  <c r="V1142" i="16"/>
  <c r="V1206" i="16"/>
  <c r="V1270" i="16"/>
  <c r="V1334" i="16"/>
  <c r="V1398" i="16"/>
  <c r="V1462" i="16"/>
  <c r="V1526" i="16"/>
  <c r="V1590" i="16"/>
  <c r="W1590" i="16" s="1"/>
  <c r="V1654" i="16"/>
  <c r="V1718" i="16"/>
  <c r="V1782" i="16"/>
  <c r="V1846" i="16"/>
  <c r="V1910" i="16"/>
  <c r="V1974" i="16"/>
  <c r="V2038" i="16"/>
  <c r="V2077" i="16"/>
  <c r="W2077" i="16" s="1"/>
  <c r="V2109" i="16"/>
  <c r="V2141" i="16"/>
  <c r="V2173" i="16"/>
  <c r="V2205" i="16"/>
  <c r="V2237" i="16"/>
  <c r="V2269" i="16"/>
  <c r="V2301" i="16"/>
  <c r="V2333" i="16"/>
  <c r="W2333" i="16" s="1"/>
  <c r="V158" i="16"/>
  <c r="V414" i="16"/>
  <c r="V670" i="16"/>
  <c r="V830" i="16"/>
  <c r="V894" i="16"/>
  <c r="V958" i="16"/>
  <c r="V1022" i="16"/>
  <c r="V1086" i="16"/>
  <c r="W1086" i="16" s="1"/>
  <c r="V1150" i="16"/>
  <c r="V1214" i="16"/>
  <c r="V1278" i="16"/>
  <c r="V1342" i="16"/>
  <c r="V1406" i="16"/>
  <c r="V1470" i="16"/>
  <c r="V1534" i="16"/>
  <c r="V1598" i="16"/>
  <c r="W1598" i="16" s="1"/>
  <c r="V1662" i="16"/>
  <c r="V1726" i="16"/>
  <c r="V1790" i="16"/>
  <c r="V1854" i="16"/>
  <c r="V1918" i="16"/>
  <c r="V1982" i="16"/>
  <c r="V2046" i="16"/>
  <c r="V2078" i="16"/>
  <c r="W2078" i="16" s="1"/>
  <c r="V2110" i="16"/>
  <c r="V2142" i="16"/>
  <c r="V2174" i="16"/>
  <c r="V2206" i="16"/>
  <c r="V2238" i="16"/>
  <c r="V2270" i="16"/>
  <c r="V2302" i="16"/>
  <c r="V2334" i="16"/>
  <c r="W2334" i="16" s="1"/>
  <c r="V1030" i="16"/>
  <c r="V1542" i="16"/>
  <c r="V2053" i="16"/>
  <c r="V2309" i="16"/>
  <c r="V1094" i="16"/>
  <c r="V1606" i="16"/>
  <c r="V2085" i="16"/>
  <c r="V2341" i="16"/>
  <c r="W2341" i="16" s="1"/>
  <c r="V190" i="16"/>
  <c r="V1158" i="16"/>
  <c r="V1670" i="16"/>
  <c r="V2117" i="16"/>
  <c r="V446" i="16"/>
  <c r="V1222" i="16"/>
  <c r="V1734" i="16"/>
  <c r="V2149" i="16"/>
  <c r="W2149" i="16" s="1"/>
  <c r="V702" i="16"/>
  <c r="V1286" i="16"/>
  <c r="V1798" i="16"/>
  <c r="V2181" i="16"/>
  <c r="V902" i="16"/>
  <c r="V1414" i="16"/>
  <c r="V1926" i="16"/>
  <c r="V2245" i="16"/>
  <c r="W2245" i="16" s="1"/>
  <c r="V966" i="16"/>
  <c r="V1478" i="16"/>
  <c r="V1990" i="16"/>
  <c r="V2277" i="16"/>
  <c r="V838" i="16"/>
  <c r="V1350" i="16"/>
  <c r="V1862" i="16"/>
  <c r="V2213" i="16"/>
  <c r="W2213" i="16" s="1"/>
  <c r="AB10" i="16"/>
  <c r="AB18" i="16"/>
  <c r="AB26" i="16"/>
  <c r="AB34" i="16"/>
  <c r="AB42" i="16"/>
  <c r="AB50" i="16"/>
  <c r="AB58" i="16"/>
  <c r="AB66" i="16"/>
  <c r="AC66" i="16" s="1"/>
  <c r="AB74" i="16"/>
  <c r="AB82" i="16"/>
  <c r="AB90" i="16"/>
  <c r="AB98" i="16"/>
  <c r="AB106" i="16"/>
  <c r="AB114" i="16"/>
  <c r="AB122" i="16"/>
  <c r="AC122" i="16" s="1"/>
  <c r="AB130" i="16"/>
  <c r="AC130" i="16" s="1"/>
  <c r="AB138" i="16"/>
  <c r="AB146" i="16"/>
  <c r="AB154" i="16"/>
  <c r="AB162" i="16"/>
  <c r="AB170" i="16"/>
  <c r="AB178" i="16"/>
  <c r="AB186" i="16"/>
  <c r="AB194" i="16"/>
  <c r="AC194" i="16" s="1"/>
  <c r="AB202" i="16"/>
  <c r="AB210" i="16"/>
  <c r="AB218" i="16"/>
  <c r="AB226" i="16"/>
  <c r="AB234" i="16"/>
  <c r="AB242" i="16"/>
  <c r="AB250" i="16"/>
  <c r="AB258" i="16"/>
  <c r="AC258" i="16" s="1"/>
  <c r="AB266" i="16"/>
  <c r="AB274" i="16"/>
  <c r="AB282" i="16"/>
  <c r="AB290" i="16"/>
  <c r="AB298" i="16"/>
  <c r="AB306" i="16"/>
  <c r="AB314" i="16"/>
  <c r="AB322" i="16"/>
  <c r="AC322" i="16" s="1"/>
  <c r="AB330" i="16"/>
  <c r="AB338" i="16"/>
  <c r="AB346" i="16"/>
  <c r="AB354" i="16"/>
  <c r="AB362" i="16"/>
  <c r="AB370" i="16"/>
  <c r="AB11" i="16"/>
  <c r="AB19" i="16"/>
  <c r="AC19" i="16" s="1"/>
  <c r="AB27" i="16"/>
  <c r="AB35" i="16"/>
  <c r="AB43" i="16"/>
  <c r="AB51" i="16"/>
  <c r="AB59" i="16"/>
  <c r="AB67" i="16"/>
  <c r="AB75" i="16"/>
  <c r="AB83" i="16"/>
  <c r="AC83" i="16" s="1"/>
  <c r="AB91" i="16"/>
  <c r="AB99" i="16"/>
  <c r="AB107" i="16"/>
  <c r="AB115" i="16"/>
  <c r="AB123" i="16"/>
  <c r="AB131" i="16"/>
  <c r="AB139" i="16"/>
  <c r="AC139" i="16" s="1"/>
  <c r="AB147" i="16"/>
  <c r="AC147" i="16" s="1"/>
  <c r="AB155" i="16"/>
  <c r="AB163" i="16"/>
  <c r="AB171" i="16"/>
  <c r="AB179" i="16"/>
  <c r="AB187" i="16"/>
  <c r="AB195" i="16"/>
  <c r="AB203" i="16"/>
  <c r="AB211" i="16"/>
  <c r="AC211" i="16" s="1"/>
  <c r="AB219" i="16"/>
  <c r="AB227" i="16"/>
  <c r="AB235" i="16"/>
  <c r="AB243" i="16"/>
  <c r="AB251" i="16"/>
  <c r="AB259" i="16"/>
  <c r="AB267" i="16"/>
  <c r="AC267" i="16" s="1"/>
  <c r="AB275" i="16"/>
  <c r="AC275" i="16" s="1"/>
  <c r="AB283" i="16"/>
  <c r="AB291" i="16"/>
  <c r="AB299" i="16"/>
  <c r="AB307" i="16"/>
  <c r="AB315" i="16"/>
  <c r="AB323" i="16"/>
  <c r="AB331" i="16"/>
  <c r="AB339" i="16"/>
  <c r="AC339" i="16" s="1"/>
  <c r="AB347" i="16"/>
  <c r="AB355" i="16"/>
  <c r="AB363" i="16"/>
  <c r="AB371" i="16"/>
  <c r="AB12" i="16"/>
  <c r="AB20" i="16"/>
  <c r="AB28" i="16"/>
  <c r="AB36" i="16"/>
  <c r="AC36" i="16" s="1"/>
  <c r="AB44" i="16"/>
  <c r="AB52" i="16"/>
  <c r="AB60" i="16"/>
  <c r="AB68" i="16"/>
  <c r="AB76" i="16"/>
  <c r="AB84" i="16"/>
  <c r="AB92" i="16"/>
  <c r="AB100" i="16"/>
  <c r="AC100" i="16" s="1"/>
  <c r="AB108" i="16"/>
  <c r="AB116" i="16"/>
  <c r="AB124" i="16"/>
  <c r="AB132" i="16"/>
  <c r="AB140" i="16"/>
  <c r="AB148" i="16"/>
  <c r="AB156" i="16"/>
  <c r="AB164" i="16"/>
  <c r="AC164" i="16" s="1"/>
  <c r="AB172" i="16"/>
  <c r="AB180" i="16"/>
  <c r="AB188" i="16"/>
  <c r="AB196" i="16"/>
  <c r="AB204" i="16"/>
  <c r="AB13" i="16"/>
  <c r="AB21" i="16"/>
  <c r="AB29" i="16"/>
  <c r="AC29" i="16" s="1"/>
  <c r="AB37" i="16"/>
  <c r="AB45" i="16"/>
  <c r="AB53" i="16"/>
  <c r="AB61" i="16"/>
  <c r="AB69" i="16"/>
  <c r="AB77" i="16"/>
  <c r="AB85" i="16"/>
  <c r="AB93" i="16"/>
  <c r="AC93" i="16" s="1"/>
  <c r="AB101" i="16"/>
  <c r="AB109" i="16"/>
  <c r="AB117" i="16"/>
  <c r="AB125" i="16"/>
  <c r="AB133" i="16"/>
  <c r="AB141" i="16"/>
  <c r="AB149" i="16"/>
  <c r="AB157" i="16"/>
  <c r="AC157" i="16" s="1"/>
  <c r="AB165" i="16"/>
  <c r="AB173" i="16"/>
  <c r="AB181" i="16"/>
  <c r="AB189" i="16"/>
  <c r="AB197" i="16"/>
  <c r="AB205" i="16"/>
  <c r="AB14" i="16"/>
  <c r="AC14" i="16" s="1"/>
  <c r="AB22" i="16"/>
  <c r="AC22" i="16" s="1"/>
  <c r="AB30" i="16"/>
  <c r="AB38" i="16"/>
  <c r="AB46" i="16"/>
  <c r="AB54" i="16"/>
  <c r="AB62" i="16"/>
  <c r="AB70" i="16"/>
  <c r="AB78" i="16"/>
  <c r="AB86" i="16"/>
  <c r="AC86" i="16" s="1"/>
  <c r="AB94" i="16"/>
  <c r="AB102" i="16"/>
  <c r="AB110" i="16"/>
  <c r="AB118" i="16"/>
  <c r="AB126" i="16"/>
  <c r="AB134" i="16"/>
  <c r="AB142" i="16"/>
  <c r="AB150" i="16"/>
  <c r="AC150" i="16" s="1"/>
  <c r="AB158" i="16"/>
  <c r="AB166" i="16"/>
  <c r="AB174" i="16"/>
  <c r="AB182" i="16"/>
  <c r="AB190" i="16"/>
  <c r="AB198" i="16"/>
  <c r="AB206" i="16"/>
  <c r="AC206" i="16" s="1"/>
  <c r="AB214" i="16"/>
  <c r="AC214" i="16" s="1"/>
  <c r="AB222" i="16"/>
  <c r="AB230" i="16"/>
  <c r="AB238" i="16"/>
  <c r="AB246" i="16"/>
  <c r="AB254" i="16"/>
  <c r="AB262" i="16"/>
  <c r="AB270" i="16"/>
  <c r="AB278" i="16"/>
  <c r="AC278" i="16" s="1"/>
  <c r="AB286" i="16"/>
  <c r="AB294" i="16"/>
  <c r="AB302" i="16"/>
  <c r="AB310" i="16"/>
  <c r="AB318" i="16"/>
  <c r="AB326" i="16"/>
  <c r="AB334" i="16"/>
  <c r="AB342" i="16"/>
  <c r="AC342" i="16" s="1"/>
  <c r="AB350" i="16"/>
  <c r="AB358" i="16"/>
  <c r="AB366" i="16"/>
  <c r="AB374" i="16"/>
  <c r="AB382" i="16"/>
  <c r="AB390" i="16"/>
  <c r="AB398" i="16"/>
  <c r="AC398" i="16" s="1"/>
  <c r="AB406" i="16"/>
  <c r="AC406" i="16" s="1"/>
  <c r="AB414" i="16"/>
  <c r="AB422" i="16"/>
  <c r="AB430" i="16"/>
  <c r="AB438" i="16"/>
  <c r="AB446" i="16"/>
  <c r="AB454" i="16"/>
  <c r="AB462" i="16"/>
  <c r="AC462" i="16" s="1"/>
  <c r="AB470" i="16"/>
  <c r="AC470" i="16" s="1"/>
  <c r="AB478" i="16"/>
  <c r="AB486" i="16"/>
  <c r="AB494" i="16"/>
  <c r="AB502" i="16"/>
  <c r="AB510" i="16"/>
  <c r="AB518" i="16"/>
  <c r="AB526" i="16"/>
  <c r="AB534" i="16"/>
  <c r="AC534" i="16" s="1"/>
  <c r="AB7" i="16"/>
  <c r="AB15" i="16"/>
  <c r="AB23" i="16"/>
  <c r="AB31" i="16"/>
  <c r="AB39" i="16"/>
  <c r="AB47" i="16"/>
  <c r="AB55" i="16"/>
  <c r="AC55" i="16" s="1"/>
  <c r="AB63" i="16"/>
  <c r="AC63" i="16" s="1"/>
  <c r="AB71" i="16"/>
  <c r="AB79" i="16"/>
  <c r="AB87" i="16"/>
  <c r="AB95" i="16"/>
  <c r="AB103" i="16"/>
  <c r="AB111" i="16"/>
  <c r="AB119" i="16"/>
  <c r="AB127" i="16"/>
  <c r="AC127" i="16" s="1"/>
  <c r="AB135" i="16"/>
  <c r="AB143" i="16"/>
  <c r="AB151" i="16"/>
  <c r="AB159" i="16"/>
  <c r="AB167" i="16"/>
  <c r="AB175" i="16"/>
  <c r="AB183" i="16"/>
  <c r="AC183" i="16" s="1"/>
  <c r="AB191" i="16"/>
  <c r="AC191" i="16" s="1"/>
  <c r="AB199" i="16"/>
  <c r="AB207" i="16"/>
  <c r="AB215" i="16"/>
  <c r="AB223" i="16"/>
  <c r="AB231" i="16"/>
  <c r="AB239" i="16"/>
  <c r="AB247" i="16"/>
  <c r="AC247" i="16" s="1"/>
  <c r="AB255" i="16"/>
  <c r="AC255" i="16" s="1"/>
  <c r="AB263" i="16"/>
  <c r="AB271" i="16"/>
  <c r="AB279" i="16"/>
  <c r="AB287" i="16"/>
  <c r="AB295" i="16"/>
  <c r="AB303" i="16"/>
  <c r="AB311" i="16"/>
  <c r="AB319" i="16"/>
  <c r="AC319" i="16" s="1"/>
  <c r="AB327" i="16"/>
  <c r="AB335" i="16"/>
  <c r="AB343" i="16"/>
  <c r="AB351" i="16"/>
  <c r="AB359" i="16"/>
  <c r="AB367" i="16"/>
  <c r="AB375" i="16"/>
  <c r="AB8" i="16"/>
  <c r="AC8" i="16" s="1"/>
  <c r="AB16" i="16"/>
  <c r="AB24" i="16"/>
  <c r="AB32" i="16"/>
  <c r="AB40" i="16"/>
  <c r="AB48" i="16"/>
  <c r="AB56" i="16"/>
  <c r="AB64" i="16"/>
  <c r="AB72" i="16"/>
  <c r="AC72" i="16" s="1"/>
  <c r="AB80" i="16"/>
  <c r="AB88" i="16"/>
  <c r="AB96" i="16"/>
  <c r="AB104" i="16"/>
  <c r="AB112" i="16"/>
  <c r="AB120" i="16"/>
  <c r="AB128" i="16"/>
  <c r="AC128" i="16" s="1"/>
  <c r="AB136" i="16"/>
  <c r="AC136" i="16" s="1"/>
  <c r="AB144" i="16"/>
  <c r="AB152" i="16"/>
  <c r="AB160" i="16"/>
  <c r="AB168" i="16"/>
  <c r="AB176" i="16"/>
  <c r="AB184" i="16"/>
  <c r="AB192" i="16"/>
  <c r="AC192" i="16" s="1"/>
  <c r="AB200" i="16"/>
  <c r="AC200" i="16" s="1"/>
  <c r="AB208" i="16"/>
  <c r="AB216" i="16"/>
  <c r="AB224" i="16"/>
  <c r="AB232" i="16"/>
  <c r="AB240" i="16"/>
  <c r="AB248" i="16"/>
  <c r="AB256" i="16"/>
  <c r="AC256" i="16" s="1"/>
  <c r="AB264" i="16"/>
  <c r="AC264" i="16" s="1"/>
  <c r="AB272" i="16"/>
  <c r="AB280" i="16"/>
  <c r="AB288" i="16"/>
  <c r="AB296" i="16"/>
  <c r="AB304" i="16"/>
  <c r="AB312" i="16"/>
  <c r="AB320" i="16"/>
  <c r="AB328" i="16"/>
  <c r="AC328" i="16" s="1"/>
  <c r="AB336" i="16"/>
  <c r="AB344" i="16"/>
  <c r="AB352" i="16"/>
  <c r="AB360" i="16"/>
  <c r="AB368" i="16"/>
  <c r="AB376" i="16"/>
  <c r="AB9" i="16"/>
  <c r="AC9" i="16" s="1"/>
  <c r="AB17" i="16"/>
  <c r="AC17" i="16" s="1"/>
  <c r="AB25" i="16"/>
  <c r="AB33" i="16"/>
  <c r="AB41" i="16"/>
  <c r="AB49" i="16"/>
  <c r="AB57" i="16"/>
  <c r="AB65" i="16"/>
  <c r="AB73" i="16"/>
  <c r="AB81" i="16"/>
  <c r="AC81" i="16" s="1"/>
  <c r="AB89" i="16"/>
  <c r="AB97" i="16"/>
  <c r="AB105" i="16"/>
  <c r="AB113" i="16"/>
  <c r="AB121" i="16"/>
  <c r="AB129" i="16"/>
  <c r="AB137" i="16"/>
  <c r="AB145" i="16"/>
  <c r="AC145" i="16" s="1"/>
  <c r="AB153" i="16"/>
  <c r="AB161" i="16"/>
  <c r="AB169" i="16"/>
  <c r="AB177" i="16"/>
  <c r="AB185" i="16"/>
  <c r="AB193" i="16"/>
  <c r="AB201" i="16"/>
  <c r="AC201" i="16" s="1"/>
  <c r="AB209" i="16"/>
  <c r="AC209" i="16" s="1"/>
  <c r="AB217" i="16"/>
  <c r="AB225" i="16"/>
  <c r="AB233" i="16"/>
  <c r="AB241" i="16"/>
  <c r="AB249" i="16"/>
  <c r="AB257" i="16"/>
  <c r="AC257" i="16" s="1"/>
  <c r="AB265" i="16"/>
  <c r="AB273" i="16"/>
  <c r="AC273" i="16" s="1"/>
  <c r="AB281" i="16"/>
  <c r="AB289" i="16"/>
  <c r="AB297" i="16"/>
  <c r="AB305" i="16"/>
  <c r="AB313" i="16"/>
  <c r="AB321" i="16"/>
  <c r="AB329" i="16"/>
  <c r="AC329" i="16" s="1"/>
  <c r="AB337" i="16"/>
  <c r="AC337" i="16" s="1"/>
  <c r="AB345" i="16"/>
  <c r="AB353" i="16"/>
  <c r="AB361" i="16"/>
  <c r="AB369" i="16"/>
  <c r="AB377" i="16"/>
  <c r="AB385" i="16"/>
  <c r="AC385" i="16" s="1"/>
  <c r="AB393" i="16"/>
  <c r="AC393" i="16" s="1"/>
  <c r="AB401" i="16"/>
  <c r="AC401" i="16" s="1"/>
  <c r="AB409" i="16"/>
  <c r="AB417" i="16"/>
  <c r="AB425" i="16"/>
  <c r="AB433" i="16"/>
  <c r="AB441" i="16"/>
  <c r="AB449" i="16"/>
  <c r="AB457" i="16"/>
  <c r="AB465" i="16"/>
  <c r="AC465" i="16" s="1"/>
  <c r="AB473" i="16"/>
  <c r="AB481" i="16"/>
  <c r="AB489" i="16"/>
  <c r="AB497" i="16"/>
  <c r="AB505" i="16"/>
  <c r="AB513" i="16"/>
  <c r="AB521" i="16"/>
  <c r="AB529" i="16"/>
  <c r="AC529" i="16" s="1"/>
  <c r="AB537" i="16"/>
  <c r="AB212" i="16"/>
  <c r="AB244" i="16"/>
  <c r="AB276" i="16"/>
  <c r="AB308" i="16"/>
  <c r="AB340" i="16"/>
  <c r="AB372" i="16"/>
  <c r="AB386" i="16"/>
  <c r="AC386" i="16" s="1"/>
  <c r="AB396" i="16"/>
  <c r="AB407" i="16"/>
  <c r="AB418" i="16"/>
  <c r="AB428" i="16"/>
  <c r="AB439" i="16"/>
  <c r="AB450" i="16"/>
  <c r="AB460" i="16"/>
  <c r="AB471" i="16"/>
  <c r="AC471" i="16" s="1"/>
  <c r="AB482" i="16"/>
  <c r="AB492" i="16"/>
  <c r="AB503" i="16"/>
  <c r="AB514" i="16"/>
  <c r="AB524" i="16"/>
  <c r="AB535" i="16"/>
  <c r="AB544" i="16"/>
  <c r="AB552" i="16"/>
  <c r="AC552" i="16" s="1"/>
  <c r="AB560" i="16"/>
  <c r="AB568" i="16"/>
  <c r="AB576" i="16"/>
  <c r="AB584" i="16"/>
  <c r="AB592" i="16"/>
  <c r="AB600" i="16"/>
  <c r="AB608" i="16"/>
  <c r="AB616" i="16"/>
  <c r="AC616" i="16" s="1"/>
  <c r="AB624" i="16"/>
  <c r="AB632" i="16"/>
  <c r="AB640" i="16"/>
  <c r="AB648" i="16"/>
  <c r="AB656" i="16"/>
  <c r="AB664" i="16"/>
  <c r="AB672" i="16"/>
  <c r="AB680" i="16"/>
  <c r="AC680" i="16" s="1"/>
  <c r="AB688" i="16"/>
  <c r="AB696" i="16"/>
  <c r="AB704" i="16"/>
  <c r="AB712" i="16"/>
  <c r="AB720" i="16"/>
  <c r="AB728" i="16"/>
  <c r="AB736" i="16"/>
  <c r="AB744" i="16"/>
  <c r="AC744" i="16" s="1"/>
  <c r="AB752" i="16"/>
  <c r="AB760" i="16"/>
  <c r="AB768" i="16"/>
  <c r="AB776" i="16"/>
  <c r="AB784" i="16"/>
  <c r="AB792" i="16"/>
  <c r="AC792" i="16" s="1"/>
  <c r="AB800" i="16"/>
  <c r="AC800" i="16" s="1"/>
  <c r="AB808" i="16"/>
  <c r="AC808" i="16" s="1"/>
  <c r="AB816" i="16"/>
  <c r="AB824" i="16"/>
  <c r="AB832" i="16"/>
  <c r="AB840" i="16"/>
  <c r="AB848" i="16"/>
  <c r="AB856" i="16"/>
  <c r="AB864" i="16"/>
  <c r="AC864" i="16" s="1"/>
  <c r="AB872" i="16"/>
  <c r="AC872" i="16" s="1"/>
  <c r="AB880" i="16"/>
  <c r="AB888" i="16"/>
  <c r="AB896" i="16"/>
  <c r="AB904" i="16"/>
  <c r="AB912" i="16"/>
  <c r="AB920" i="16"/>
  <c r="AC920" i="16" s="1"/>
  <c r="AB928" i="16"/>
  <c r="AB936" i="16"/>
  <c r="AC936" i="16" s="1"/>
  <c r="AB944" i="16"/>
  <c r="AB952" i="16"/>
  <c r="AB960" i="16"/>
  <c r="AB968" i="16"/>
  <c r="AB976" i="16"/>
  <c r="AB984" i="16"/>
  <c r="AB992" i="16"/>
  <c r="AB1000" i="16"/>
  <c r="AC1000" i="16" s="1"/>
  <c r="AB1008" i="16"/>
  <c r="AB1016" i="16"/>
  <c r="AB1024" i="16"/>
  <c r="AB1032" i="16"/>
  <c r="AB1040" i="16"/>
  <c r="AB1048" i="16"/>
  <c r="AB1056" i="16"/>
  <c r="AC1056" i="16" s="1"/>
  <c r="AB1064" i="16"/>
  <c r="AC1064" i="16" s="1"/>
  <c r="AB1072" i="16"/>
  <c r="AB1080" i="16"/>
  <c r="AB1088" i="16"/>
  <c r="AB1096" i="16"/>
  <c r="AB1104" i="16"/>
  <c r="AB1112" i="16"/>
  <c r="AB1120" i="16"/>
  <c r="AC1120" i="16" s="1"/>
  <c r="AB1128" i="16"/>
  <c r="AC1128" i="16" s="1"/>
  <c r="AB1136" i="16"/>
  <c r="AB1144" i="16"/>
  <c r="AB1152" i="16"/>
  <c r="AB1160" i="16"/>
  <c r="AB1168" i="16"/>
  <c r="AB1176" i="16"/>
  <c r="AB1184" i="16"/>
  <c r="AB1192" i="16"/>
  <c r="AC1192" i="16" s="1"/>
  <c r="AB1200" i="16"/>
  <c r="AB1208" i="16"/>
  <c r="AB1216" i="16"/>
  <c r="AB1224" i="16"/>
  <c r="AB1232" i="16"/>
  <c r="AB1240" i="16"/>
  <c r="AB1248" i="16"/>
  <c r="AB1256" i="16"/>
  <c r="AC1256" i="16" s="1"/>
  <c r="AB1264" i="16"/>
  <c r="AB1272" i="16"/>
  <c r="AB1280" i="16"/>
  <c r="AB1288" i="16"/>
  <c r="AB1296" i="16"/>
  <c r="AB1304" i="16"/>
  <c r="AB1312" i="16"/>
  <c r="AB1320" i="16"/>
  <c r="AC1320" i="16" s="1"/>
  <c r="AB1328" i="16"/>
  <c r="AB1336" i="16"/>
  <c r="AB1344" i="16"/>
  <c r="AB1352" i="16"/>
  <c r="AB1360" i="16"/>
  <c r="AB1368" i="16"/>
  <c r="AB1376" i="16"/>
  <c r="AB1384" i="16"/>
  <c r="AC1384" i="16" s="1"/>
  <c r="AB1392" i="16"/>
  <c r="AB1400" i="16"/>
  <c r="AB1408" i="16"/>
  <c r="AB1416" i="16"/>
  <c r="AB1424" i="16"/>
  <c r="AB1432" i="16"/>
  <c r="AB1440" i="16"/>
  <c r="AC1440" i="16" s="1"/>
  <c r="AB1448" i="16"/>
  <c r="AC1448" i="16" s="1"/>
  <c r="AB1456" i="16"/>
  <c r="AB1464" i="16"/>
  <c r="AB1472" i="16"/>
  <c r="AB1480" i="16"/>
  <c r="AB1488" i="16"/>
  <c r="AB1496" i="16"/>
  <c r="AB1504" i="16"/>
  <c r="AC1504" i="16" s="1"/>
  <c r="AB1512" i="16"/>
  <c r="AC1512" i="16" s="1"/>
  <c r="AB1520" i="16"/>
  <c r="AB1528" i="16"/>
  <c r="AB1536" i="16"/>
  <c r="AB1544" i="16"/>
  <c r="AB1552" i="16"/>
  <c r="AB1560" i="16"/>
  <c r="AB1568" i="16"/>
  <c r="AC1568" i="16" s="1"/>
  <c r="AB1576" i="16"/>
  <c r="AC1576" i="16" s="1"/>
  <c r="AB1584" i="16"/>
  <c r="AB1592" i="16"/>
  <c r="AB1600" i="16"/>
  <c r="AB1608" i="16"/>
  <c r="AB1616" i="16"/>
  <c r="AB1624" i="16"/>
  <c r="AC1624" i="16" s="1"/>
  <c r="AB1632" i="16"/>
  <c r="AC1632" i="16" s="1"/>
  <c r="AB1640" i="16"/>
  <c r="AC1640" i="16" s="1"/>
  <c r="AB1648" i="16"/>
  <c r="AB1656" i="16"/>
  <c r="AB1664" i="16"/>
  <c r="AB1672" i="16"/>
  <c r="AB1680" i="16"/>
  <c r="AB1688" i="16"/>
  <c r="AB1696" i="16"/>
  <c r="AB1704" i="16"/>
  <c r="AC1704" i="16" s="1"/>
  <c r="AB1712" i="16"/>
  <c r="AB1720" i="16"/>
  <c r="AB1728" i="16"/>
  <c r="AB1736" i="16"/>
  <c r="AB213" i="16"/>
  <c r="AB245" i="16"/>
  <c r="AB277" i="16"/>
  <c r="AC277" i="16" s="1"/>
  <c r="AB309" i="16"/>
  <c r="AC309" i="16" s="1"/>
  <c r="AB341" i="16"/>
  <c r="AB373" i="16"/>
  <c r="AB387" i="16"/>
  <c r="AB397" i="16"/>
  <c r="AB408" i="16"/>
  <c r="AB419" i="16"/>
  <c r="AB429" i="16"/>
  <c r="AB440" i="16"/>
  <c r="AC440" i="16" s="1"/>
  <c r="AB451" i="16"/>
  <c r="AB461" i="16"/>
  <c r="AB472" i="16"/>
  <c r="AB483" i="16"/>
  <c r="AB493" i="16"/>
  <c r="AB504" i="16"/>
  <c r="AB515" i="16"/>
  <c r="AB525" i="16"/>
  <c r="AC525" i="16" s="1"/>
  <c r="AB536" i="16"/>
  <c r="AB545" i="16"/>
  <c r="AB553" i="16"/>
  <c r="AB561" i="16"/>
  <c r="AB569" i="16"/>
  <c r="AB577" i="16"/>
  <c r="AB585" i="16"/>
  <c r="AC585" i="16" s="1"/>
  <c r="AB593" i="16"/>
  <c r="AC593" i="16" s="1"/>
  <c r="AB601" i="16"/>
  <c r="AB609" i="16"/>
  <c r="AB617" i="16"/>
  <c r="AB625" i="16"/>
  <c r="AB633" i="16"/>
  <c r="AB641" i="16"/>
  <c r="AC641" i="16" s="1"/>
  <c r="AB649" i="16"/>
  <c r="AB657" i="16"/>
  <c r="AC657" i="16" s="1"/>
  <c r="AB665" i="16"/>
  <c r="AB673" i="16"/>
  <c r="AB681" i="16"/>
  <c r="AB689" i="16"/>
  <c r="AB697" i="16"/>
  <c r="AB705" i="16"/>
  <c r="AC705" i="16" s="1"/>
  <c r="AB713" i="16"/>
  <c r="AB721" i="16"/>
  <c r="AC721" i="16" s="1"/>
  <c r="AB729" i="16"/>
  <c r="AB737" i="16"/>
  <c r="AB745" i="16"/>
  <c r="AB753" i="16"/>
  <c r="AB761" i="16"/>
  <c r="AB769" i="16"/>
  <c r="AB777" i="16"/>
  <c r="AC777" i="16" s="1"/>
  <c r="AB785" i="16"/>
  <c r="AC785" i="16" s="1"/>
  <c r="AB793" i="16"/>
  <c r="AB801" i="16"/>
  <c r="AB809" i="16"/>
  <c r="AB817" i="16"/>
  <c r="AB825" i="16"/>
  <c r="AB833" i="16"/>
  <c r="AC833" i="16" s="1"/>
  <c r="AB841" i="16"/>
  <c r="AC841" i="16" s="1"/>
  <c r="AB849" i="16"/>
  <c r="AC849" i="16" s="1"/>
  <c r="AB857" i="16"/>
  <c r="AB865" i="16"/>
  <c r="AB873" i="16"/>
  <c r="AB881" i="16"/>
  <c r="AB889" i="16"/>
  <c r="AB897" i="16"/>
  <c r="AB905" i="16"/>
  <c r="AB913" i="16"/>
  <c r="AC913" i="16" s="1"/>
  <c r="AB921" i="16"/>
  <c r="AB929" i="16"/>
  <c r="AB937" i="16"/>
  <c r="AB945" i="16"/>
  <c r="AB953" i="16"/>
  <c r="AB961" i="16"/>
  <c r="AB969" i="16"/>
  <c r="AB977" i="16"/>
  <c r="AC977" i="16" s="1"/>
  <c r="AB985" i="16"/>
  <c r="AB993" i="16"/>
  <c r="AB1001" i="16"/>
  <c r="AB1009" i="16"/>
  <c r="AB1017" i="16"/>
  <c r="AB1025" i="16"/>
  <c r="AB1033" i="16"/>
  <c r="AB1041" i="16"/>
  <c r="AC1041" i="16" s="1"/>
  <c r="AB1049" i="16"/>
  <c r="AB1057" i="16"/>
  <c r="AB1065" i="16"/>
  <c r="AB1073" i="16"/>
  <c r="AB1081" i="16"/>
  <c r="AB1089" i="16"/>
  <c r="AB1097" i="16"/>
  <c r="AC1097" i="16" s="1"/>
  <c r="AB1105" i="16"/>
  <c r="AC1105" i="16" s="1"/>
  <c r="AB1113" i="16"/>
  <c r="AB1121" i="16"/>
  <c r="AB1129" i="16"/>
  <c r="AB1137" i="16"/>
  <c r="AB1145" i="16"/>
  <c r="AB1153" i="16"/>
  <c r="AB1161" i="16"/>
  <c r="AC1161" i="16" s="1"/>
  <c r="AB1169" i="16"/>
  <c r="AC1169" i="16" s="1"/>
  <c r="AB1177" i="16"/>
  <c r="AB1185" i="16"/>
  <c r="AB1193" i="16"/>
  <c r="AB1201" i="16"/>
  <c r="AB1209" i="16"/>
  <c r="AB1217" i="16"/>
  <c r="AB1225" i="16"/>
  <c r="AB1233" i="16"/>
  <c r="AC1233" i="16" s="1"/>
  <c r="AB1241" i="16"/>
  <c r="AB1249" i="16"/>
  <c r="AB1257" i="16"/>
  <c r="AB1265" i="16"/>
  <c r="AB1273" i="16"/>
  <c r="AB1281" i="16"/>
  <c r="AB1289" i="16"/>
  <c r="AC1289" i="16" s="1"/>
  <c r="AB1297" i="16"/>
  <c r="AC1297" i="16" s="1"/>
  <c r="AB1305" i="16"/>
  <c r="AB1313" i="16"/>
  <c r="AB1321" i="16"/>
  <c r="AB1329" i="16"/>
  <c r="AB1337" i="16"/>
  <c r="AB1345" i="16"/>
  <c r="AB1353" i="16"/>
  <c r="AB1361" i="16"/>
  <c r="AC1361" i="16" s="1"/>
  <c r="AB1369" i="16"/>
  <c r="AB1377" i="16"/>
  <c r="AB1385" i="16"/>
  <c r="AB1393" i="16"/>
  <c r="AB1401" i="16"/>
  <c r="AB1409" i="16"/>
  <c r="AB1417" i="16"/>
  <c r="AC1417" i="16" s="1"/>
  <c r="AB1425" i="16"/>
  <c r="AC1425" i="16" s="1"/>
  <c r="AB1433" i="16"/>
  <c r="AB1441" i="16"/>
  <c r="AB1449" i="16"/>
  <c r="AB1457" i="16"/>
  <c r="AB1465" i="16"/>
  <c r="AB1473" i="16"/>
  <c r="AB1481" i="16"/>
  <c r="AB1489" i="16"/>
  <c r="AC1489" i="16" s="1"/>
  <c r="AB1497" i="16"/>
  <c r="AB1505" i="16"/>
  <c r="AB1513" i="16"/>
  <c r="AB1521" i="16"/>
  <c r="AB1529" i="16"/>
  <c r="AB1537" i="16"/>
  <c r="AB1545" i="16"/>
  <c r="AC1545" i="16" s="1"/>
  <c r="AB1553" i="16"/>
  <c r="AC1553" i="16" s="1"/>
  <c r="AB1561" i="16"/>
  <c r="AB1569" i="16"/>
  <c r="AB1577" i="16"/>
  <c r="AB1585" i="16"/>
  <c r="AB1593" i="16"/>
  <c r="AB1601" i="16"/>
  <c r="AC1601" i="16" s="1"/>
  <c r="AB1609" i="16"/>
  <c r="AB1617" i="16"/>
  <c r="AC1617" i="16" s="1"/>
  <c r="AB1625" i="16"/>
  <c r="AB1633" i="16"/>
  <c r="AB1641" i="16"/>
  <c r="AB1649" i="16"/>
  <c r="AB1657" i="16"/>
  <c r="AB1665" i="16"/>
  <c r="AC1665" i="16" s="1"/>
  <c r="AB1673" i="16"/>
  <c r="AB1681" i="16"/>
  <c r="AC1681" i="16" s="1"/>
  <c r="AB1689" i="16"/>
  <c r="AB1697" i="16"/>
  <c r="AB1705" i="16"/>
  <c r="AB1713" i="16"/>
  <c r="AB1721" i="16"/>
  <c r="AB1729" i="16"/>
  <c r="AB220" i="16"/>
  <c r="AC220" i="16" s="1"/>
  <c r="AB252" i="16"/>
  <c r="AC252" i="16" s="1"/>
  <c r="AB284" i="16"/>
  <c r="AB316" i="16"/>
  <c r="AB348" i="16"/>
  <c r="AB378" i="16"/>
  <c r="AB388" i="16"/>
  <c r="AB399" i="16"/>
  <c r="AC399" i="16" s="1"/>
  <c r="AB410" i="16"/>
  <c r="AC410" i="16" s="1"/>
  <c r="AB420" i="16"/>
  <c r="AC420" i="16" s="1"/>
  <c r="AB431" i="16"/>
  <c r="AB442" i="16"/>
  <c r="AB452" i="16"/>
  <c r="AB463" i="16"/>
  <c r="AB474" i="16"/>
  <c r="AB484" i="16"/>
  <c r="AC484" i="16" s="1"/>
  <c r="AB495" i="16"/>
  <c r="AB506" i="16"/>
  <c r="AC506" i="16" s="1"/>
  <c r="AB516" i="16"/>
  <c r="AB527" i="16"/>
  <c r="AB538" i="16"/>
  <c r="AB546" i="16"/>
  <c r="AB554" i="16"/>
  <c r="AB562" i="16"/>
  <c r="AB570" i="16"/>
  <c r="AB578" i="16"/>
  <c r="AC578" i="16" s="1"/>
  <c r="AB586" i="16"/>
  <c r="AB594" i="16"/>
  <c r="AB602" i="16"/>
  <c r="AB610" i="16"/>
  <c r="AB618" i="16"/>
  <c r="AB626" i="16"/>
  <c r="AB634" i="16"/>
  <c r="AB642" i="16"/>
  <c r="AC642" i="16" s="1"/>
  <c r="AB650" i="16"/>
  <c r="AB658" i="16"/>
  <c r="AB666" i="16"/>
  <c r="AB674" i="16"/>
  <c r="AB682" i="16"/>
  <c r="AB690" i="16"/>
  <c r="AC690" i="16" s="1"/>
  <c r="AB698" i="16"/>
  <c r="AB706" i="16"/>
  <c r="AC706" i="16" s="1"/>
  <c r="AB714" i="16"/>
  <c r="AB722" i="16"/>
  <c r="AB730" i="16"/>
  <c r="AB738" i="16"/>
  <c r="AB746" i="16"/>
  <c r="AB754" i="16"/>
  <c r="AB762" i="16"/>
  <c r="AB770" i="16"/>
  <c r="AC770" i="16" s="1"/>
  <c r="AB778" i="16"/>
  <c r="AB786" i="16"/>
  <c r="AB794" i="16"/>
  <c r="AB802" i="16"/>
  <c r="AB810" i="16"/>
  <c r="AB818" i="16"/>
  <c r="AB826" i="16"/>
  <c r="AC826" i="16" s="1"/>
  <c r="AB834" i="16"/>
  <c r="AC834" i="16" s="1"/>
  <c r="AB842" i="16"/>
  <c r="AB850" i="16"/>
  <c r="AB858" i="16"/>
  <c r="AB866" i="16"/>
  <c r="AB874" i="16"/>
  <c r="AB882" i="16"/>
  <c r="AB890" i="16"/>
  <c r="AB898" i="16"/>
  <c r="AC898" i="16" s="1"/>
  <c r="AB906" i="16"/>
  <c r="AB914" i="16"/>
  <c r="AB922" i="16"/>
  <c r="AB930" i="16"/>
  <c r="AB938" i="16"/>
  <c r="AB946" i="16"/>
  <c r="AB954" i="16"/>
  <c r="AB962" i="16"/>
  <c r="AC962" i="16" s="1"/>
  <c r="AB970" i="16"/>
  <c r="AB978" i="16"/>
  <c r="AB986" i="16"/>
  <c r="AB994" i="16"/>
  <c r="AB1002" i="16"/>
  <c r="AB1010" i="16"/>
  <c r="AC1010" i="16" s="1"/>
  <c r="AB1018" i="16"/>
  <c r="AB1026" i="16"/>
  <c r="AC1026" i="16" s="1"/>
  <c r="AB1034" i="16"/>
  <c r="AB1042" i="16"/>
  <c r="AB1050" i="16"/>
  <c r="AB1058" i="16"/>
  <c r="AB1066" i="16"/>
  <c r="AB1074" i="16"/>
  <c r="AC1074" i="16" s="1"/>
  <c r="AB1082" i="16"/>
  <c r="AB1090" i="16"/>
  <c r="AC1090" i="16" s="1"/>
  <c r="AB1098" i="16"/>
  <c r="AB1106" i="16"/>
  <c r="AB1114" i="16"/>
  <c r="AB1122" i="16"/>
  <c r="AB1130" i="16"/>
  <c r="AB1138" i="16"/>
  <c r="AB1146" i="16"/>
  <c r="AB1154" i="16"/>
  <c r="AC1154" i="16" s="1"/>
  <c r="AB1162" i="16"/>
  <c r="AB1170" i="16"/>
  <c r="AB1178" i="16"/>
  <c r="AB1186" i="16"/>
  <c r="AB1194" i="16"/>
  <c r="AB1202" i="16"/>
  <c r="AB1210" i="16"/>
  <c r="AB1218" i="16"/>
  <c r="AC1218" i="16" s="1"/>
  <c r="AB1226" i="16"/>
  <c r="AB1234" i="16"/>
  <c r="AB1242" i="16"/>
  <c r="AB1250" i="16"/>
  <c r="AB1258" i="16"/>
  <c r="AB1266" i="16"/>
  <c r="AB1274" i="16"/>
  <c r="AC1274" i="16" s="1"/>
  <c r="AB1282" i="16"/>
  <c r="AC1282" i="16" s="1"/>
  <c r="AB1290" i="16"/>
  <c r="AB1298" i="16"/>
  <c r="AB1306" i="16"/>
  <c r="AB1314" i="16"/>
  <c r="AB1322" i="16"/>
  <c r="AB1330" i="16"/>
  <c r="AB1338" i="16"/>
  <c r="AC1338" i="16" s="1"/>
  <c r="AB1346" i="16"/>
  <c r="AC1346" i="16" s="1"/>
  <c r="AB1354" i="16"/>
  <c r="AB1362" i="16"/>
  <c r="AB1370" i="16"/>
  <c r="AB1378" i="16"/>
  <c r="AB1386" i="16"/>
  <c r="AB1394" i="16"/>
  <c r="AB1402" i="16"/>
  <c r="AC1402" i="16" s="1"/>
  <c r="AB1410" i="16"/>
  <c r="AC1410" i="16" s="1"/>
  <c r="AB1418" i="16"/>
  <c r="AB1426" i="16"/>
  <c r="AB1434" i="16"/>
  <c r="AB1442" i="16"/>
  <c r="AB1450" i="16"/>
  <c r="AB1458" i="16"/>
  <c r="AB1466" i="16"/>
  <c r="AB1474" i="16"/>
  <c r="AC1474" i="16" s="1"/>
  <c r="AB1482" i="16"/>
  <c r="AB1490" i="16"/>
  <c r="AB1498" i="16"/>
  <c r="AB221" i="16"/>
  <c r="AB253" i="16"/>
  <c r="AB285" i="16"/>
  <c r="AB317" i="16"/>
  <c r="AB349" i="16"/>
  <c r="AC349" i="16" s="1"/>
  <c r="AB379" i="16"/>
  <c r="AB389" i="16"/>
  <c r="AB400" i="16"/>
  <c r="AB411" i="16"/>
  <c r="AB421" i="16"/>
  <c r="AB432" i="16"/>
  <c r="AB443" i="16"/>
  <c r="AB453" i="16"/>
  <c r="AC453" i="16" s="1"/>
  <c r="AB464" i="16"/>
  <c r="AB475" i="16"/>
  <c r="AB485" i="16"/>
  <c r="AB496" i="16"/>
  <c r="AB507" i="16"/>
  <c r="AB517" i="16"/>
  <c r="AB528" i="16"/>
  <c r="AC528" i="16" s="1"/>
  <c r="AB539" i="16"/>
  <c r="AC539" i="16" s="1"/>
  <c r="AB547" i="16"/>
  <c r="AB555" i="16"/>
  <c r="AB563" i="16"/>
  <c r="AB571" i="16"/>
  <c r="AB579" i="16"/>
  <c r="AB587" i="16"/>
  <c r="AB595" i="16"/>
  <c r="AB603" i="16"/>
  <c r="AC603" i="16" s="1"/>
  <c r="AB611" i="16"/>
  <c r="AB619" i="16"/>
  <c r="AB627" i="16"/>
  <c r="AB635" i="16"/>
  <c r="AB643" i="16"/>
  <c r="AB651" i="16"/>
  <c r="AC651" i="16" s="1"/>
  <c r="AB659" i="16"/>
  <c r="AC659" i="16" s="1"/>
  <c r="AB667" i="16"/>
  <c r="AC667" i="16" s="1"/>
  <c r="AB675" i="16"/>
  <c r="AB683" i="16"/>
  <c r="AB691" i="16"/>
  <c r="AB699" i="16"/>
  <c r="AB707" i="16"/>
  <c r="AB715" i="16"/>
  <c r="AB723" i="16"/>
  <c r="AC723" i="16" s="1"/>
  <c r="AB731" i="16"/>
  <c r="AC731" i="16" s="1"/>
  <c r="AB739" i="16"/>
  <c r="AB747" i="16"/>
  <c r="AB755" i="16"/>
  <c r="AB763" i="16"/>
  <c r="AB771" i="16"/>
  <c r="AB779" i="16"/>
  <c r="AB787" i="16"/>
  <c r="AB795" i="16"/>
  <c r="AC795" i="16" s="1"/>
  <c r="AB803" i="16"/>
  <c r="AB811" i="16"/>
  <c r="AB819" i="16"/>
  <c r="AB827" i="16"/>
  <c r="AB835" i="16"/>
  <c r="AB843" i="16"/>
  <c r="AB851" i="16"/>
  <c r="AC851" i="16" s="1"/>
  <c r="AB859" i="16"/>
  <c r="AC859" i="16" s="1"/>
  <c r="AB867" i="16"/>
  <c r="AB875" i="16"/>
  <c r="AB883" i="16"/>
  <c r="AB891" i="16"/>
  <c r="AB899" i="16"/>
  <c r="AB907" i="16"/>
  <c r="AB915" i="16"/>
  <c r="AB923" i="16"/>
  <c r="AC923" i="16" s="1"/>
  <c r="AB931" i="16"/>
  <c r="AB939" i="16"/>
  <c r="AB947" i="16"/>
  <c r="AB955" i="16"/>
  <c r="AB963" i="16"/>
  <c r="AB971" i="16"/>
  <c r="AB979" i="16"/>
  <c r="AC979" i="16" s="1"/>
  <c r="AB987" i="16"/>
  <c r="AC987" i="16" s="1"/>
  <c r="AB995" i="16"/>
  <c r="AB1003" i="16"/>
  <c r="AB1011" i="16"/>
  <c r="AB1019" i="16"/>
  <c r="AB1027" i="16"/>
  <c r="AB1035" i="16"/>
  <c r="AB1043" i="16"/>
  <c r="AC1043" i="16" s="1"/>
  <c r="AB1051" i="16"/>
  <c r="AC1051" i="16" s="1"/>
  <c r="AB1059" i="16"/>
  <c r="AB1067" i="16"/>
  <c r="AB1075" i="16"/>
  <c r="AB1083" i="16"/>
  <c r="AB1091" i="16"/>
  <c r="AB1099" i="16"/>
  <c r="AC1099" i="16" s="1"/>
  <c r="AB1107" i="16"/>
  <c r="AB1115" i="16"/>
  <c r="AC1115" i="16" s="1"/>
  <c r="AB1123" i="16"/>
  <c r="AB1131" i="16"/>
  <c r="AB1139" i="16"/>
  <c r="AB1147" i="16"/>
  <c r="AB1155" i="16"/>
  <c r="AB1163" i="16"/>
  <c r="AB1171" i="16"/>
  <c r="AB1179" i="16"/>
  <c r="AC1179" i="16" s="1"/>
  <c r="AB1187" i="16"/>
  <c r="AB1195" i="16"/>
  <c r="AB1203" i="16"/>
  <c r="AB1211" i="16"/>
  <c r="AB1219" i="16"/>
  <c r="AB1227" i="16"/>
  <c r="AB1235" i="16"/>
  <c r="AB1243" i="16"/>
  <c r="AC1243" i="16" s="1"/>
  <c r="AB1251" i="16"/>
  <c r="AB1259" i="16"/>
  <c r="AB1267" i="16"/>
  <c r="AB1275" i="16"/>
  <c r="AB1283" i="16"/>
  <c r="AB1291" i="16"/>
  <c r="AB1299" i="16"/>
  <c r="AC1299" i="16" s="1"/>
  <c r="AB1307" i="16"/>
  <c r="AC1307" i="16" s="1"/>
  <c r="AB1315" i="16"/>
  <c r="AB1323" i="16"/>
  <c r="AB1331" i="16"/>
  <c r="AB1339" i="16"/>
  <c r="AB1347" i="16"/>
  <c r="AB1355" i="16"/>
  <c r="AB1363" i="16"/>
  <c r="AB1371" i="16"/>
  <c r="AC1371" i="16" s="1"/>
  <c r="AB1379" i="16"/>
  <c r="AB1387" i="16"/>
  <c r="AB1395" i="16"/>
  <c r="AB1403" i="16"/>
  <c r="AB1411" i="16"/>
  <c r="AB1419" i="16"/>
  <c r="AC1419" i="16" s="1"/>
  <c r="AB1427" i="16"/>
  <c r="AB1435" i="16"/>
  <c r="AC1435" i="16" s="1"/>
  <c r="AB1443" i="16"/>
  <c r="AB1451" i="16"/>
  <c r="AB1459" i="16"/>
  <c r="AB1467" i="16"/>
  <c r="AB1475" i="16"/>
  <c r="AB1483" i="16"/>
  <c r="AB1491" i="16"/>
  <c r="AC1491" i="16" s="1"/>
  <c r="AB1499" i="16"/>
  <c r="AC1499" i="16" s="1"/>
  <c r="AB228" i="16"/>
  <c r="AB260" i="16"/>
  <c r="AB292" i="16"/>
  <c r="AB324" i="16"/>
  <c r="AB356" i="16"/>
  <c r="AB380" i="16"/>
  <c r="AB391" i="16"/>
  <c r="AB402" i="16"/>
  <c r="AC402" i="16" s="1"/>
  <c r="AB412" i="16"/>
  <c r="AB423" i="16"/>
  <c r="AB434" i="16"/>
  <c r="AB444" i="16"/>
  <c r="AB455" i="16"/>
  <c r="AB466" i="16"/>
  <c r="AC466" i="16" s="1"/>
  <c r="AB476" i="16"/>
  <c r="AB487" i="16"/>
  <c r="AC487" i="16" s="1"/>
  <c r="AB498" i="16"/>
  <c r="AB508" i="16"/>
  <c r="AB519" i="16"/>
  <c r="AB530" i="16"/>
  <c r="AB540" i="16"/>
  <c r="AB548" i="16"/>
  <c r="AB556" i="16"/>
  <c r="AB564" i="16"/>
  <c r="AC564" i="16" s="1"/>
  <c r="AB572" i="16"/>
  <c r="AB580" i="16"/>
  <c r="AB588" i="16"/>
  <c r="AB596" i="16"/>
  <c r="AB604" i="16"/>
  <c r="AB612" i="16"/>
  <c r="AB620" i="16"/>
  <c r="AC620" i="16" s="1"/>
  <c r="AB628" i="16"/>
  <c r="AC628" i="16" s="1"/>
  <c r="AB636" i="16"/>
  <c r="AB644" i="16"/>
  <c r="AB652" i="16"/>
  <c r="AB660" i="16"/>
  <c r="AB668" i="16"/>
  <c r="AB676" i="16"/>
  <c r="AB684" i="16"/>
  <c r="AB692" i="16"/>
  <c r="AC692" i="16" s="1"/>
  <c r="AB700" i="16"/>
  <c r="AB708" i="16"/>
  <c r="AB716" i="16"/>
  <c r="AB724" i="16"/>
  <c r="AB732" i="16"/>
  <c r="AB740" i="16"/>
  <c r="AC740" i="16" s="1"/>
  <c r="AB748" i="16"/>
  <c r="AC748" i="16" s="1"/>
  <c r="AB756" i="16"/>
  <c r="AC756" i="16" s="1"/>
  <c r="AB764" i="16"/>
  <c r="AB772" i="16"/>
  <c r="AB780" i="16"/>
  <c r="AB788" i="16"/>
  <c r="AB796" i="16"/>
  <c r="AB804" i="16"/>
  <c r="AB812" i="16"/>
  <c r="AB820" i="16"/>
  <c r="AC820" i="16" s="1"/>
  <c r="AB828" i="16"/>
  <c r="AB836" i="16"/>
  <c r="AB844" i="16"/>
  <c r="AB852" i="16"/>
  <c r="AB860" i="16"/>
  <c r="AB868" i="16"/>
  <c r="AC868" i="16" s="1"/>
  <c r="AB876" i="16"/>
  <c r="AC876" i="16" s="1"/>
  <c r="AB884" i="16"/>
  <c r="AC884" i="16" s="1"/>
  <c r="AB892" i="16"/>
  <c r="AB900" i="16"/>
  <c r="AB908" i="16"/>
  <c r="AB916" i="16"/>
  <c r="AB924" i="16"/>
  <c r="AB932" i="16"/>
  <c r="AB940" i="16"/>
  <c r="AC940" i="16" s="1"/>
  <c r="AB948" i="16"/>
  <c r="AC948" i="16" s="1"/>
  <c r="AB956" i="16"/>
  <c r="AB964" i="16"/>
  <c r="AB972" i="16"/>
  <c r="AB980" i="16"/>
  <c r="AB988" i="16"/>
  <c r="AB996" i="16"/>
  <c r="AB1004" i="16"/>
  <c r="AB1012" i="16"/>
  <c r="AC1012" i="16" s="1"/>
  <c r="AB1020" i="16"/>
  <c r="AB1028" i="16"/>
  <c r="AB1036" i="16"/>
  <c r="AB1044" i="16"/>
  <c r="AB1052" i="16"/>
  <c r="AB1060" i="16"/>
  <c r="AC1060" i="16" s="1"/>
  <c r="AB1068" i="16"/>
  <c r="AC1068" i="16" s="1"/>
  <c r="AB1076" i="16"/>
  <c r="AC1076" i="16" s="1"/>
  <c r="AB1084" i="16"/>
  <c r="AB1092" i="16"/>
  <c r="AB1100" i="16"/>
  <c r="AB1108" i="16"/>
  <c r="AB1116" i="16"/>
  <c r="AB1124" i="16"/>
  <c r="AB1132" i="16"/>
  <c r="AB1140" i="16"/>
  <c r="AC1140" i="16" s="1"/>
  <c r="AB1148" i="16"/>
  <c r="AB1156" i="16"/>
  <c r="AB1164" i="16"/>
  <c r="AB1172" i="16"/>
  <c r="AB1180" i="16"/>
  <c r="AB1188" i="16"/>
  <c r="AC1188" i="16" s="1"/>
  <c r="AB1196" i="16"/>
  <c r="AB1204" i="16"/>
  <c r="AC1204" i="16" s="1"/>
  <c r="AB1212" i="16"/>
  <c r="AB1220" i="16"/>
  <c r="AB1228" i="16"/>
  <c r="AB1236" i="16"/>
  <c r="AB1244" i="16"/>
  <c r="AB1252" i="16"/>
  <c r="AC1252" i="16" s="1"/>
  <c r="AB1260" i="16"/>
  <c r="AC1260" i="16" s="1"/>
  <c r="AB1268" i="16"/>
  <c r="AC1268" i="16" s="1"/>
  <c r="AB1276" i="16"/>
  <c r="AB1284" i="16"/>
  <c r="AB1292" i="16"/>
  <c r="AB1300" i="16"/>
  <c r="AB1308" i="16"/>
  <c r="AB1316" i="16"/>
  <c r="AC1316" i="16" s="1"/>
  <c r="AB1324" i="16"/>
  <c r="AB1332" i="16"/>
  <c r="AC1332" i="16" s="1"/>
  <c r="AB1340" i="16"/>
  <c r="AB1348" i="16"/>
  <c r="AB1356" i="16"/>
  <c r="AB1364" i="16"/>
  <c r="AB1372" i="16"/>
  <c r="AB1380" i="16"/>
  <c r="AC1380" i="16" s="1"/>
  <c r="AB1388" i="16"/>
  <c r="AC1388" i="16" s="1"/>
  <c r="AB1396" i="16"/>
  <c r="AC1396" i="16" s="1"/>
  <c r="AB1404" i="16"/>
  <c r="AB1412" i="16"/>
  <c r="AB1420" i="16"/>
  <c r="AB1428" i="16"/>
  <c r="AB1436" i="16"/>
  <c r="AB1444" i="16"/>
  <c r="AC1444" i="16" s="1"/>
  <c r="AB1452" i="16"/>
  <c r="AC1452" i="16" s="1"/>
  <c r="AB1460" i="16"/>
  <c r="AC1460" i="16" s="1"/>
  <c r="AB1468" i="16"/>
  <c r="AB1476" i="16"/>
  <c r="AB1484" i="16"/>
  <c r="AB1492" i="16"/>
  <c r="AB1500" i="16"/>
  <c r="AB1508" i="16"/>
  <c r="AB1516" i="16"/>
  <c r="AB1524" i="16"/>
  <c r="AC1524" i="16" s="1"/>
  <c r="AB1532" i="16"/>
  <c r="AB1540" i="16"/>
  <c r="AB1548" i="16"/>
  <c r="AB1556" i="16"/>
  <c r="AB1564" i="16"/>
  <c r="AB1572" i="16"/>
  <c r="AB1580" i="16"/>
  <c r="AC1580" i="16" s="1"/>
  <c r="AB1588" i="16"/>
  <c r="AC1588" i="16" s="1"/>
  <c r="AB1596" i="16"/>
  <c r="AB1604" i="16"/>
  <c r="AB1612" i="16"/>
  <c r="AB1620" i="16"/>
  <c r="AB1628" i="16"/>
  <c r="AB1636" i="16"/>
  <c r="AB1644" i="16"/>
  <c r="AB1652" i="16"/>
  <c r="AC1652" i="16" s="1"/>
  <c r="AB1660" i="16"/>
  <c r="AB1668" i="16"/>
  <c r="AB1676" i="16"/>
  <c r="AB1684" i="16"/>
  <c r="AB1692" i="16"/>
  <c r="AB1700" i="16"/>
  <c r="AC1700" i="16" s="1"/>
  <c r="AB1708" i="16"/>
  <c r="AB1716" i="16"/>
  <c r="AC1716" i="16" s="1"/>
  <c r="AB1724" i="16"/>
  <c r="AB1732" i="16"/>
  <c r="AB1740" i="16"/>
  <c r="AB229" i="16"/>
  <c r="AB261" i="16"/>
  <c r="AB293" i="16"/>
  <c r="AB325" i="16"/>
  <c r="AB357" i="16"/>
  <c r="AC357" i="16" s="1"/>
  <c r="AB381" i="16"/>
  <c r="AB392" i="16"/>
  <c r="AB403" i="16"/>
  <c r="AB413" i="16"/>
  <c r="AB424" i="16"/>
  <c r="AB435" i="16"/>
  <c r="AC435" i="16" s="1"/>
  <c r="AB445" i="16"/>
  <c r="AB456" i="16"/>
  <c r="AC456" i="16" s="1"/>
  <c r="AB467" i="16"/>
  <c r="AB477" i="16"/>
  <c r="AB488" i="16"/>
  <c r="AB499" i="16"/>
  <c r="AB509" i="16"/>
  <c r="AB520" i="16"/>
  <c r="AB531" i="16"/>
  <c r="AC531" i="16" s="1"/>
  <c r="AB541" i="16"/>
  <c r="AC541" i="16" s="1"/>
  <c r="AB549" i="16"/>
  <c r="AB557" i="16"/>
  <c r="AB565" i="16"/>
  <c r="AB573" i="16"/>
  <c r="AB581" i="16"/>
  <c r="AB589" i="16"/>
  <c r="AC589" i="16" s="1"/>
  <c r="AB597" i="16"/>
  <c r="AB605" i="16"/>
  <c r="AC605" i="16" s="1"/>
  <c r="AB613" i="16"/>
  <c r="AB621" i="16"/>
  <c r="AB629" i="16"/>
  <c r="AB637" i="16"/>
  <c r="AB645" i="16"/>
  <c r="AB653" i="16"/>
  <c r="AC653" i="16" s="1"/>
  <c r="AB661" i="16"/>
  <c r="AC661" i="16" s="1"/>
  <c r="AB669" i="16"/>
  <c r="AC669" i="16" s="1"/>
  <c r="AB677" i="16"/>
  <c r="AB685" i="16"/>
  <c r="AB693" i="16"/>
  <c r="AB701" i="16"/>
  <c r="AB709" i="16"/>
  <c r="AB717" i="16"/>
  <c r="AB725" i="16"/>
  <c r="AC725" i="16" s="1"/>
  <c r="AB733" i="16"/>
  <c r="AC733" i="16" s="1"/>
  <c r="AB741" i="16"/>
  <c r="AB749" i="16"/>
  <c r="AB757" i="16"/>
  <c r="AB765" i="16"/>
  <c r="AB773" i="16"/>
  <c r="AB781" i="16"/>
  <c r="AC781" i="16" s="1"/>
  <c r="AB789" i="16"/>
  <c r="AB797" i="16"/>
  <c r="AC797" i="16" s="1"/>
  <c r="AB805" i="16"/>
  <c r="AB813" i="16"/>
  <c r="AB821" i="16"/>
  <c r="AB829" i="16"/>
  <c r="AB837" i="16"/>
  <c r="AB845" i="16"/>
  <c r="AC845" i="16" s="1"/>
  <c r="AB853" i="16"/>
  <c r="AB861" i="16"/>
  <c r="AC861" i="16" s="1"/>
  <c r="AB869" i="16"/>
  <c r="AB877" i="16"/>
  <c r="AB885" i="16"/>
  <c r="AB893" i="16"/>
  <c r="AB901" i="16"/>
  <c r="AB909" i="16"/>
  <c r="AC909" i="16" s="1"/>
  <c r="AB917" i="16"/>
  <c r="AC917" i="16" s="1"/>
  <c r="AB925" i="16"/>
  <c r="AC925" i="16" s="1"/>
  <c r="AB933" i="16"/>
  <c r="AB941" i="16"/>
  <c r="AB949" i="16"/>
  <c r="AB957" i="16"/>
  <c r="AB965" i="16"/>
  <c r="AB973" i="16"/>
  <c r="AB981" i="16"/>
  <c r="AC981" i="16" s="1"/>
  <c r="AB989" i="16"/>
  <c r="AC989" i="16" s="1"/>
  <c r="AB997" i="16"/>
  <c r="AB1005" i="16"/>
  <c r="AB1013" i="16"/>
  <c r="AB1021" i="16"/>
  <c r="AB1029" i="16"/>
  <c r="AB1037" i="16"/>
  <c r="AC1037" i="16" s="1"/>
  <c r="AB1045" i="16"/>
  <c r="AC1045" i="16" s="1"/>
  <c r="AB1053" i="16"/>
  <c r="AC1053" i="16" s="1"/>
  <c r="AB1061" i="16"/>
  <c r="AB1069" i="16"/>
  <c r="AB1077" i="16"/>
  <c r="AB1085" i="16"/>
  <c r="AB1093" i="16"/>
  <c r="AB1101" i="16"/>
  <c r="AB1109" i="16"/>
  <c r="AB1117" i="16"/>
  <c r="AC1117" i="16" s="1"/>
  <c r="AB1125" i="16"/>
  <c r="AB1133" i="16"/>
  <c r="AB1141" i="16"/>
  <c r="AB1149" i="16"/>
  <c r="AB1157" i="16"/>
  <c r="AB1165" i="16"/>
  <c r="AC1165" i="16" s="1"/>
  <c r="AB1173" i="16"/>
  <c r="AC1173" i="16" s="1"/>
  <c r="AB1181" i="16"/>
  <c r="AC1181" i="16" s="1"/>
  <c r="AB1189" i="16"/>
  <c r="AB1197" i="16"/>
  <c r="AB1205" i="16"/>
  <c r="AB1213" i="16"/>
  <c r="AB1221" i="16"/>
  <c r="AB1229" i="16"/>
  <c r="AB1237" i="16"/>
  <c r="AB1245" i="16"/>
  <c r="AC1245" i="16" s="1"/>
  <c r="AB1253" i="16"/>
  <c r="AB1261" i="16"/>
  <c r="AB1269" i="16"/>
  <c r="AB1277" i="16"/>
  <c r="AB1285" i="16"/>
  <c r="AB1293" i="16"/>
  <c r="AC1293" i="16" s="1"/>
  <c r="AB1301" i="16"/>
  <c r="AB1309" i="16"/>
  <c r="AC1309" i="16" s="1"/>
  <c r="AB1317" i="16"/>
  <c r="AB1325" i="16"/>
  <c r="AB1333" i="16"/>
  <c r="AB1341" i="16"/>
  <c r="AB1349" i="16"/>
  <c r="AB1357" i="16"/>
  <c r="AB1365" i="16"/>
  <c r="AC1365" i="16" s="1"/>
  <c r="AB1373" i="16"/>
  <c r="AC1373" i="16" s="1"/>
  <c r="AB1381" i="16"/>
  <c r="AB1389" i="16"/>
  <c r="AB1397" i="16"/>
  <c r="AB1405" i="16"/>
  <c r="AB1413" i="16"/>
  <c r="AB1421" i="16"/>
  <c r="AB1429" i="16"/>
  <c r="AB1437" i="16"/>
  <c r="AC1437" i="16" s="1"/>
  <c r="AB1445" i="16"/>
  <c r="AB1453" i="16"/>
  <c r="AB1461" i="16"/>
  <c r="AB1469" i="16"/>
  <c r="AB1477" i="16"/>
  <c r="AB1485" i="16"/>
  <c r="AB1493" i="16"/>
  <c r="AB1501" i="16"/>
  <c r="AC1501" i="16" s="1"/>
  <c r="AB1509" i="16"/>
  <c r="AB1517" i="16"/>
  <c r="AB1525" i="16"/>
  <c r="AB1533" i="16"/>
  <c r="AB1541" i="16"/>
  <c r="AB1549" i="16"/>
  <c r="AC1549" i="16" s="1"/>
  <c r="AB1557" i="16"/>
  <c r="AC1557" i="16" s="1"/>
  <c r="AB1565" i="16"/>
  <c r="AC1565" i="16" s="1"/>
  <c r="AB1573" i="16"/>
  <c r="AB1581" i="16"/>
  <c r="AB1589" i="16"/>
  <c r="AB1597" i="16"/>
  <c r="AB1605" i="16"/>
  <c r="AB1613" i="16"/>
  <c r="AC1613" i="16" s="1"/>
  <c r="AB1621" i="16"/>
  <c r="AB1629" i="16"/>
  <c r="AC1629" i="16" s="1"/>
  <c r="AB1637" i="16"/>
  <c r="AB1645" i="16"/>
  <c r="AB1653" i="16"/>
  <c r="AB1661" i="16"/>
  <c r="AB1669" i="16"/>
  <c r="AB1677" i="16"/>
  <c r="AB1685" i="16"/>
  <c r="AB1693" i="16"/>
  <c r="AC1693" i="16" s="1"/>
  <c r="AB1701" i="16"/>
  <c r="AB1709" i="16"/>
  <c r="AB1717" i="16"/>
  <c r="AB1725" i="16"/>
  <c r="AB1733" i="16"/>
  <c r="AB236" i="16"/>
  <c r="AB268" i="16"/>
  <c r="AC268" i="16" s="1"/>
  <c r="AB300" i="16"/>
  <c r="AC300" i="16" s="1"/>
  <c r="AB332" i="16"/>
  <c r="AB364" i="16"/>
  <c r="AB383" i="16"/>
  <c r="AB394" i="16"/>
  <c r="AB404" i="16"/>
  <c r="AB415" i="16"/>
  <c r="AC415" i="16" s="1"/>
  <c r="AB426" i="16"/>
  <c r="AB436" i="16"/>
  <c r="AC436" i="16" s="1"/>
  <c r="AB447" i="16"/>
  <c r="AB458" i="16"/>
  <c r="AB468" i="16"/>
  <c r="AB479" i="16"/>
  <c r="AB490" i="16"/>
  <c r="AB500" i="16"/>
  <c r="AC500" i="16" s="1"/>
  <c r="AB511" i="16"/>
  <c r="AC511" i="16" s="1"/>
  <c r="AB522" i="16"/>
  <c r="AC522" i="16" s="1"/>
  <c r="AB532" i="16"/>
  <c r="AB542" i="16"/>
  <c r="AB550" i="16"/>
  <c r="AB558" i="16"/>
  <c r="AB566" i="16"/>
  <c r="AB574" i="16"/>
  <c r="AB582" i="16"/>
  <c r="AB590" i="16"/>
  <c r="AC590" i="16" s="1"/>
  <c r="AB598" i="16"/>
  <c r="AB606" i="16"/>
  <c r="AB614" i="16"/>
  <c r="AB622" i="16"/>
  <c r="AB630" i="16"/>
  <c r="AB638" i="16"/>
  <c r="AC638" i="16" s="1"/>
  <c r="AB646" i="16"/>
  <c r="AB654" i="16"/>
  <c r="AC654" i="16" s="1"/>
  <c r="AB662" i="16"/>
  <c r="AB670" i="16"/>
  <c r="AB678" i="16"/>
  <c r="AB686" i="16"/>
  <c r="AB694" i="16"/>
  <c r="AB702" i="16"/>
  <c r="AB710" i="16"/>
  <c r="AB718" i="16"/>
  <c r="AC718" i="16" s="1"/>
  <c r="AB726" i="16"/>
  <c r="AB734" i="16"/>
  <c r="AB742" i="16"/>
  <c r="AB750" i="16"/>
  <c r="AB758" i="16"/>
  <c r="AB766" i="16"/>
  <c r="AB774" i="16"/>
  <c r="AB782" i="16"/>
  <c r="AC782" i="16" s="1"/>
  <c r="AB790" i="16"/>
  <c r="AB798" i="16"/>
  <c r="AB806" i="16"/>
  <c r="AB814" i="16"/>
  <c r="AB822" i="16"/>
  <c r="AB830" i="16"/>
  <c r="AC830" i="16" s="1"/>
  <c r="AB838" i="16"/>
  <c r="AB846" i="16"/>
  <c r="AC846" i="16" s="1"/>
  <c r="AB854" i="16"/>
  <c r="AB862" i="16"/>
  <c r="AB870" i="16"/>
  <c r="AB878" i="16"/>
  <c r="AB886" i="16"/>
  <c r="AB894" i="16"/>
  <c r="AB902" i="16"/>
  <c r="AB910" i="16"/>
  <c r="AC910" i="16" s="1"/>
  <c r="AB918" i="16"/>
  <c r="AB926" i="16"/>
  <c r="AB934" i="16"/>
  <c r="AB942" i="16"/>
  <c r="AB950" i="16"/>
  <c r="AB958" i="16"/>
  <c r="AB966" i="16"/>
  <c r="AB974" i="16"/>
  <c r="AC974" i="16" s="1"/>
  <c r="AB982" i="16"/>
  <c r="AB990" i="16"/>
  <c r="AB998" i="16"/>
  <c r="AB1006" i="16"/>
  <c r="AB1014" i="16"/>
  <c r="AB1022" i="16"/>
  <c r="AC1022" i="16" s="1"/>
  <c r="AB1030" i="16"/>
  <c r="AB1038" i="16"/>
  <c r="AC1038" i="16" s="1"/>
  <c r="AB1046" i="16"/>
  <c r="AB1054" i="16"/>
  <c r="AB1062" i="16"/>
  <c r="AB1070" i="16"/>
  <c r="AB1078" i="16"/>
  <c r="AB1086" i="16"/>
  <c r="AB1094" i="16"/>
  <c r="AC1094" i="16" s="1"/>
  <c r="AB1102" i="16"/>
  <c r="AC1102" i="16" s="1"/>
  <c r="AB1110" i="16"/>
  <c r="AB1118" i="16"/>
  <c r="AB1126" i="16"/>
  <c r="AB1134" i="16"/>
  <c r="AB1142" i="16"/>
  <c r="AB1150" i="16"/>
  <c r="AB1158" i="16"/>
  <c r="AB1166" i="16"/>
  <c r="AC1166" i="16" s="1"/>
  <c r="AB1174" i="16"/>
  <c r="AB1182" i="16"/>
  <c r="AB1190" i="16"/>
  <c r="AB1198" i="16"/>
  <c r="AB1206" i="16"/>
  <c r="AB1214" i="16"/>
  <c r="AB1222" i="16"/>
  <c r="AB1230" i="16"/>
  <c r="AC1230" i="16" s="1"/>
  <c r="AB1238" i="16"/>
  <c r="AB1246" i="16"/>
  <c r="AB1254" i="16"/>
  <c r="AB1262" i="16"/>
  <c r="AB1270" i="16"/>
  <c r="AB1278" i="16"/>
  <c r="AC1278" i="16" s="1"/>
  <c r="AB1286" i="16"/>
  <c r="AB1294" i="16"/>
  <c r="AC1294" i="16" s="1"/>
  <c r="AB1302" i="16"/>
  <c r="AB1310" i="16"/>
  <c r="AB1318" i="16"/>
  <c r="AB1326" i="16"/>
  <c r="AB1334" i="16"/>
  <c r="AB1342" i="16"/>
  <c r="AB1350" i="16"/>
  <c r="AC1350" i="16" s="1"/>
  <c r="AB1358" i="16"/>
  <c r="AC1358" i="16" s="1"/>
  <c r="AB1366" i="16"/>
  <c r="AB1374" i="16"/>
  <c r="AB1382" i="16"/>
  <c r="AB1390" i="16"/>
  <c r="AB1398" i="16"/>
  <c r="AB1406" i="16"/>
  <c r="AB1414" i="16"/>
  <c r="AB1422" i="16"/>
  <c r="AC1422" i="16" s="1"/>
  <c r="AB1430" i="16"/>
  <c r="AB1438" i="16"/>
  <c r="AB1446" i="16"/>
  <c r="AB1454" i="16"/>
  <c r="AB1462" i="16"/>
  <c r="AB1470" i="16"/>
  <c r="AC1470" i="16" s="1"/>
  <c r="AB1478" i="16"/>
  <c r="AB1486" i="16"/>
  <c r="AC1486" i="16" s="1"/>
  <c r="AB1494" i="16"/>
  <c r="AB1502" i="16"/>
  <c r="AB1510" i="16"/>
  <c r="AB1518" i="16"/>
  <c r="AB1526" i="16"/>
  <c r="AB1534" i="16"/>
  <c r="AC1534" i="16" s="1"/>
  <c r="AB1542" i="16"/>
  <c r="AB1550" i="16"/>
  <c r="AC1550" i="16" s="1"/>
  <c r="AB1558" i="16"/>
  <c r="AB1566" i="16"/>
  <c r="AB1574" i="16"/>
  <c r="AB1582" i="16"/>
  <c r="AB1590" i="16"/>
  <c r="AB1598" i="16"/>
  <c r="AB1606" i="16"/>
  <c r="AB1614" i="16"/>
  <c r="AC1614" i="16" s="1"/>
  <c r="AB1622" i="16"/>
  <c r="AB1630" i="16"/>
  <c r="AB1638" i="16"/>
  <c r="AB1646" i="16"/>
  <c r="AB1654" i="16"/>
  <c r="AB1662" i="16"/>
  <c r="AC1662" i="16" s="1"/>
  <c r="AB1670" i="16"/>
  <c r="AB1678" i="16"/>
  <c r="AC1678" i="16" s="1"/>
  <c r="AB1686" i="16"/>
  <c r="AB1694" i="16"/>
  <c r="AB1702" i="16"/>
  <c r="AB1710" i="16"/>
  <c r="AB1718" i="16"/>
  <c r="AB1726" i="16"/>
  <c r="AC1726" i="16" s="1"/>
  <c r="AB237" i="16"/>
  <c r="AB269" i="16"/>
  <c r="AC269" i="16" s="1"/>
  <c r="AB301" i="16"/>
  <c r="AB333" i="16"/>
  <c r="AB365" i="16"/>
  <c r="AB384" i="16"/>
  <c r="AB395" i="16"/>
  <c r="AB405" i="16"/>
  <c r="AB416" i="16"/>
  <c r="AB427" i="16"/>
  <c r="AC427" i="16" s="1"/>
  <c r="AB437" i="16"/>
  <c r="AB448" i="16"/>
  <c r="AB459" i="16"/>
  <c r="AB469" i="16"/>
  <c r="AB480" i="16"/>
  <c r="AB491" i="16"/>
  <c r="AC491" i="16" s="1"/>
  <c r="AB501" i="16"/>
  <c r="AB512" i="16"/>
  <c r="AC512" i="16" s="1"/>
  <c r="AB523" i="16"/>
  <c r="AB533" i="16"/>
  <c r="AB543" i="16"/>
  <c r="AB551" i="16"/>
  <c r="AB559" i="16"/>
  <c r="AB567" i="16"/>
  <c r="AC567" i="16" s="1"/>
  <c r="AB575" i="16"/>
  <c r="AB583" i="16"/>
  <c r="AC583" i="16" s="1"/>
  <c r="AB591" i="16"/>
  <c r="AB599" i="16"/>
  <c r="AB607" i="16"/>
  <c r="AB615" i="16"/>
  <c r="AB623" i="16"/>
  <c r="AB631" i="16"/>
  <c r="AC631" i="16" s="1"/>
  <c r="AB639" i="16"/>
  <c r="AC639" i="16" s="1"/>
  <c r="AB647" i="16"/>
  <c r="AC647" i="16" s="1"/>
  <c r="AB655" i="16"/>
  <c r="AB663" i="16"/>
  <c r="AB671" i="16"/>
  <c r="AB679" i="16"/>
  <c r="AB687" i="16"/>
  <c r="AB695" i="16"/>
  <c r="AC695" i="16" s="1"/>
  <c r="AB703" i="16"/>
  <c r="AC703" i="16" s="1"/>
  <c r="AB711" i="16"/>
  <c r="AC711" i="16" s="1"/>
  <c r="AB719" i="16"/>
  <c r="AB727" i="16"/>
  <c r="AB735" i="16"/>
  <c r="AB743" i="16"/>
  <c r="AB751" i="16"/>
  <c r="AB759" i="16"/>
  <c r="AC759" i="16" s="1"/>
  <c r="AB767" i="16"/>
  <c r="AC767" i="16" s="1"/>
  <c r="AB775" i="16"/>
  <c r="AC775" i="16" s="1"/>
  <c r="AB783" i="16"/>
  <c r="AB791" i="16"/>
  <c r="AB799" i="16"/>
  <c r="AB807" i="16"/>
  <c r="AB815" i="16"/>
  <c r="AB823" i="16"/>
  <c r="AC823" i="16" s="1"/>
  <c r="AB831" i="16"/>
  <c r="AB839" i="16"/>
  <c r="AC839" i="16" s="1"/>
  <c r="AB847" i="16"/>
  <c r="AB855" i="16"/>
  <c r="AB863" i="16"/>
  <c r="AB871" i="16"/>
  <c r="AB879" i="16"/>
  <c r="AB887" i="16"/>
  <c r="AC887" i="16" s="1"/>
  <c r="AB895" i="16"/>
  <c r="AB903" i="16"/>
  <c r="AC903" i="16" s="1"/>
  <c r="AB911" i="16"/>
  <c r="AB919" i="16"/>
  <c r="AB927" i="16"/>
  <c r="AB935" i="16"/>
  <c r="AB943" i="16"/>
  <c r="AB951" i="16"/>
  <c r="AB959" i="16"/>
  <c r="AC959" i="16" s="1"/>
  <c r="AB967" i="16"/>
  <c r="AC967" i="16" s="1"/>
  <c r="AB975" i="16"/>
  <c r="AB983" i="16"/>
  <c r="AB991" i="16"/>
  <c r="AB999" i="16"/>
  <c r="AB1007" i="16"/>
  <c r="AB1015" i="16"/>
  <c r="AC1015" i="16" s="1"/>
  <c r="AB1023" i="16"/>
  <c r="AC1023" i="16" s="1"/>
  <c r="AB1031" i="16"/>
  <c r="AC1031" i="16" s="1"/>
  <c r="AB1039" i="16"/>
  <c r="AB1047" i="16"/>
  <c r="AB1055" i="16"/>
  <c r="AB1063" i="16"/>
  <c r="AB1071" i="16"/>
  <c r="AB1079" i="16"/>
  <c r="AC1079" i="16" s="1"/>
  <c r="AB1087" i="16"/>
  <c r="AB1095" i="16"/>
  <c r="AC1095" i="16" s="1"/>
  <c r="AB1103" i="16"/>
  <c r="AB1111" i="16"/>
  <c r="AB1119" i="16"/>
  <c r="AB1127" i="16"/>
  <c r="AB1135" i="16"/>
  <c r="AB1143" i="16"/>
  <c r="AC1143" i="16" s="1"/>
  <c r="AB1151" i="16"/>
  <c r="AC1151" i="16" s="1"/>
  <c r="AB1159" i="16"/>
  <c r="AC1159" i="16" s="1"/>
  <c r="AB1167" i="16"/>
  <c r="AB1175" i="16"/>
  <c r="AB1183" i="16"/>
  <c r="AB1191" i="16"/>
  <c r="AB1199" i="16"/>
  <c r="AB1207" i="16"/>
  <c r="AC1207" i="16" s="1"/>
  <c r="AB1215" i="16"/>
  <c r="AB1223" i="16"/>
  <c r="AC1223" i="16" s="1"/>
  <c r="AB1231" i="16"/>
  <c r="AB1239" i="16"/>
  <c r="AB1247" i="16"/>
  <c r="AB1255" i="16"/>
  <c r="AB1263" i="16"/>
  <c r="AB1271" i="16"/>
  <c r="AB1279" i="16"/>
  <c r="AB1287" i="16"/>
  <c r="AC1287" i="16" s="1"/>
  <c r="AB1295" i="16"/>
  <c r="AB1303" i="16"/>
  <c r="AB1311" i="16"/>
  <c r="AB1319" i="16"/>
  <c r="AB1327" i="16"/>
  <c r="AB1335" i="16"/>
  <c r="AC1335" i="16" s="1"/>
  <c r="AB1343" i="16"/>
  <c r="AB1351" i="16"/>
  <c r="AC1351" i="16" s="1"/>
  <c r="AB1359" i="16"/>
  <c r="AB1367" i="16"/>
  <c r="AB1375" i="16"/>
  <c r="AB1383" i="16"/>
  <c r="AB1391" i="16"/>
  <c r="AB1399" i="16"/>
  <c r="AB1407" i="16"/>
  <c r="AB1415" i="16"/>
  <c r="AC1415" i="16" s="1"/>
  <c r="AB1423" i="16"/>
  <c r="AB1431" i="16"/>
  <c r="AB1439" i="16"/>
  <c r="AB1447" i="16"/>
  <c r="AB1455" i="16"/>
  <c r="AB1463" i="16"/>
  <c r="AB1471" i="16"/>
  <c r="AC1471" i="16" s="1"/>
  <c r="AB1479" i="16"/>
  <c r="AC1479" i="16" s="1"/>
  <c r="AB1487" i="16"/>
  <c r="AB1495" i="16"/>
  <c r="AB1503" i="16"/>
  <c r="AB1511" i="16"/>
  <c r="AB1519" i="16"/>
  <c r="AB1527" i="16"/>
  <c r="AC1527" i="16" s="1"/>
  <c r="AB1535" i="16"/>
  <c r="AB1543" i="16"/>
  <c r="AC1543" i="16" s="1"/>
  <c r="AB1551" i="16"/>
  <c r="AB1559" i="16"/>
  <c r="AB1567" i="16"/>
  <c r="AB1575" i="16"/>
  <c r="AB1583" i="16"/>
  <c r="AB1591" i="16"/>
  <c r="AB1599" i="16"/>
  <c r="AC1599" i="16" s="1"/>
  <c r="AB1607" i="16"/>
  <c r="AC1607" i="16" s="1"/>
  <c r="AB1615" i="16"/>
  <c r="AB1623" i="16"/>
  <c r="AB1631" i="16"/>
  <c r="AB1639" i="16"/>
  <c r="AB1647" i="16"/>
  <c r="AB1655" i="16"/>
  <c r="AC1655" i="16" s="1"/>
  <c r="AB1663" i="16"/>
  <c r="AC1663" i="16" s="1"/>
  <c r="AB1671" i="16"/>
  <c r="AC1671" i="16" s="1"/>
  <c r="AB1679" i="16"/>
  <c r="AB1687" i="16"/>
  <c r="AB1695" i="16"/>
  <c r="AB1703" i="16"/>
  <c r="AB1711" i="16"/>
  <c r="AB1719" i="16"/>
  <c r="AC1719" i="16" s="1"/>
  <c r="AB1727" i="16"/>
  <c r="AC1727" i="16" s="1"/>
  <c r="AB1735" i="16"/>
  <c r="AC1735" i="16" s="1"/>
  <c r="AB1506" i="16"/>
  <c r="AB1538" i="16"/>
  <c r="AB1570" i="16"/>
  <c r="AB1602" i="16"/>
  <c r="AB1634" i="16"/>
  <c r="AB1666" i="16"/>
  <c r="AC1666" i="16" s="1"/>
  <c r="AB1698" i="16"/>
  <c r="AC1698" i="16" s="1"/>
  <c r="AB1730" i="16"/>
  <c r="AC1730" i="16" s="1"/>
  <c r="AB1743" i="16"/>
  <c r="AB1751" i="16"/>
  <c r="AB1759" i="16"/>
  <c r="AB1767" i="16"/>
  <c r="AB1775" i="16"/>
  <c r="AB1783" i="16"/>
  <c r="AB1791" i="16"/>
  <c r="AC1791" i="16" s="1"/>
  <c r="AB1799" i="16"/>
  <c r="AC1799" i="16" s="1"/>
  <c r="AB1807" i="16"/>
  <c r="AB1815" i="16"/>
  <c r="AB1823" i="16"/>
  <c r="AB1831" i="16"/>
  <c r="AB1839" i="16"/>
  <c r="AB1847" i="16"/>
  <c r="AC1847" i="16" s="1"/>
  <c r="AB1855" i="16"/>
  <c r="AB1863" i="16"/>
  <c r="AC1863" i="16" s="1"/>
  <c r="AB1871" i="16"/>
  <c r="AB1879" i="16"/>
  <c r="AB1887" i="16"/>
  <c r="AB1895" i="16"/>
  <c r="AB1903" i="16"/>
  <c r="AB1911" i="16"/>
  <c r="AC1911" i="16" s="1"/>
  <c r="AB1919" i="16"/>
  <c r="AB1927" i="16"/>
  <c r="AC1927" i="16" s="1"/>
  <c r="AB1935" i="16"/>
  <c r="AB1943" i="16"/>
  <c r="AB1951" i="16"/>
  <c r="AB1959" i="16"/>
  <c r="AB1967" i="16"/>
  <c r="AB1975" i="16"/>
  <c r="AB1983" i="16"/>
  <c r="AC1983" i="16" s="1"/>
  <c r="AB1991" i="16"/>
  <c r="AC1991" i="16" s="1"/>
  <c r="AB1999" i="16"/>
  <c r="AB2007" i="16"/>
  <c r="AB2015" i="16"/>
  <c r="AB2023" i="16"/>
  <c r="AB2031" i="16"/>
  <c r="AB2039" i="16"/>
  <c r="AB2047" i="16"/>
  <c r="AC2047" i="16" s="1"/>
  <c r="AB2055" i="16"/>
  <c r="AC2055" i="16" s="1"/>
  <c r="AB2063" i="16"/>
  <c r="AB2071" i="16"/>
  <c r="AB2079" i="16"/>
  <c r="AB2087" i="16"/>
  <c r="AB2095" i="16"/>
  <c r="AB2103" i="16"/>
  <c r="AC2103" i="16" s="1"/>
  <c r="AB2111" i="16"/>
  <c r="AB2119" i="16"/>
  <c r="AC2119" i="16" s="1"/>
  <c r="AB2127" i="16"/>
  <c r="AB2135" i="16"/>
  <c r="AB2143" i="16"/>
  <c r="AB2151" i="16"/>
  <c r="AB2159" i="16"/>
  <c r="AB2167" i="16"/>
  <c r="AB2175" i="16"/>
  <c r="AC2175" i="16" s="1"/>
  <c r="AB2183" i="16"/>
  <c r="AC2183" i="16" s="1"/>
  <c r="AB2191" i="16"/>
  <c r="AB2199" i="16"/>
  <c r="AB2207" i="16"/>
  <c r="AB2215" i="16"/>
  <c r="AB2223" i="16"/>
  <c r="AB2231" i="16"/>
  <c r="AC2231" i="16" s="1"/>
  <c r="AB2239" i="16"/>
  <c r="AC2239" i="16" s="1"/>
  <c r="AB2247" i="16"/>
  <c r="AC2247" i="16" s="1"/>
  <c r="AB2255" i="16"/>
  <c r="AB2263" i="16"/>
  <c r="AB2271" i="16"/>
  <c r="AB2279" i="16"/>
  <c r="AB2287" i="16"/>
  <c r="AB2295" i="16"/>
  <c r="AC2295" i="16" s="1"/>
  <c r="AB2303" i="16"/>
  <c r="AB2311" i="16"/>
  <c r="AC2311" i="16" s="1"/>
  <c r="AB2319" i="16"/>
  <c r="AB2327" i="16"/>
  <c r="AB2335" i="16"/>
  <c r="AB1507" i="16"/>
  <c r="AB1539" i="16"/>
  <c r="AB1571" i="16"/>
  <c r="AB1603" i="16"/>
  <c r="AC1603" i="16" s="1"/>
  <c r="AB1635" i="16"/>
  <c r="AC1635" i="16" s="1"/>
  <c r="AB1667" i="16"/>
  <c r="AB1699" i="16"/>
  <c r="AB1731" i="16"/>
  <c r="AB1744" i="16"/>
  <c r="AB1752" i="16"/>
  <c r="AB1760" i="16"/>
  <c r="AC1760" i="16" s="1"/>
  <c r="AB1768" i="16"/>
  <c r="AC1768" i="16" s="1"/>
  <c r="AB1776" i="16"/>
  <c r="AC1776" i="16" s="1"/>
  <c r="AB1784" i="16"/>
  <c r="AB1792" i="16"/>
  <c r="AB1800" i="16"/>
  <c r="AB1808" i="16"/>
  <c r="AB1816" i="16"/>
  <c r="AB1824" i="16"/>
  <c r="AB1832" i="16"/>
  <c r="AC1832" i="16" s="1"/>
  <c r="AB1840" i="16"/>
  <c r="AC1840" i="16" s="1"/>
  <c r="AB1848" i="16"/>
  <c r="AB1856" i="16"/>
  <c r="AB1864" i="16"/>
  <c r="AB1872" i="16"/>
  <c r="AB1880" i="16"/>
  <c r="AB1888" i="16"/>
  <c r="AC1888" i="16" s="1"/>
  <c r="AB1896" i="16"/>
  <c r="AC1896" i="16" s="1"/>
  <c r="AB1904" i="16"/>
  <c r="AC1904" i="16" s="1"/>
  <c r="AB1912" i="16"/>
  <c r="AB1920" i="16"/>
  <c r="AB1928" i="16"/>
  <c r="AB1936" i="16"/>
  <c r="AB1944" i="16"/>
  <c r="AB1952" i="16"/>
  <c r="AC1952" i="16" s="1"/>
  <c r="AB1960" i="16"/>
  <c r="AB1968" i="16"/>
  <c r="AC1968" i="16" s="1"/>
  <c r="AB1976" i="16"/>
  <c r="AB1984" i="16"/>
  <c r="AB1992" i="16"/>
  <c r="AB2000" i="16"/>
  <c r="AB2008" i="16"/>
  <c r="AB2016" i="16"/>
  <c r="AC2016" i="16" s="1"/>
  <c r="AB2024" i="16"/>
  <c r="AC2024" i="16" s="1"/>
  <c r="AB2032" i="16"/>
  <c r="AC2032" i="16" s="1"/>
  <c r="AB2040" i="16"/>
  <c r="AB2048" i="16"/>
  <c r="AB2056" i="16"/>
  <c r="AB2064" i="16"/>
  <c r="AB2072" i="16"/>
  <c r="AB2080" i="16"/>
  <c r="AC2080" i="16" s="1"/>
  <c r="AB2088" i="16"/>
  <c r="AB2096" i="16"/>
  <c r="AC2096" i="16" s="1"/>
  <c r="AB2104" i="16"/>
  <c r="AB2112" i="16"/>
  <c r="AB2120" i="16"/>
  <c r="AB2128" i="16"/>
  <c r="AB2136" i="16"/>
  <c r="AB2144" i="16"/>
  <c r="AC2144" i="16" s="1"/>
  <c r="AB2152" i="16"/>
  <c r="AB2160" i="16"/>
  <c r="AC2160" i="16" s="1"/>
  <c r="AB2168" i="16"/>
  <c r="AB2176" i="16"/>
  <c r="AB2184" i="16"/>
  <c r="AB2192" i="16"/>
  <c r="AB2200" i="16"/>
  <c r="AB2208" i="16"/>
  <c r="AC2208" i="16" s="1"/>
  <c r="AB2216" i="16"/>
  <c r="AB2224" i="16"/>
  <c r="AC2224" i="16" s="1"/>
  <c r="AB2232" i="16"/>
  <c r="AB2240" i="16"/>
  <c r="AB2248" i="16"/>
  <c r="AB2256" i="16"/>
  <c r="AB2264" i="16"/>
  <c r="AB2272" i="16"/>
  <c r="AC2272" i="16" s="1"/>
  <c r="AB2280" i="16"/>
  <c r="AC2280" i="16" s="1"/>
  <c r="AB2288" i="16"/>
  <c r="AC2288" i="16" s="1"/>
  <c r="AB2296" i="16"/>
  <c r="AB2304" i="16"/>
  <c r="AB2312" i="16"/>
  <c r="AB2320" i="16"/>
  <c r="AB2328" i="16"/>
  <c r="AB2336" i="16"/>
  <c r="AC2336" i="16" s="1"/>
  <c r="AB1514" i="16"/>
  <c r="AC1514" i="16" s="1"/>
  <c r="AB1546" i="16"/>
  <c r="AC1546" i="16" s="1"/>
  <c r="AB1578" i="16"/>
  <c r="AB1610" i="16"/>
  <c r="AB1642" i="16"/>
  <c r="AB1674" i="16"/>
  <c r="AB1706" i="16"/>
  <c r="AB1734" i="16"/>
  <c r="AC1734" i="16" s="1"/>
  <c r="AB1745" i="16"/>
  <c r="AB1753" i="16"/>
  <c r="AC1753" i="16" s="1"/>
  <c r="AB1761" i="16"/>
  <c r="AB1769" i="16"/>
  <c r="AB1777" i="16"/>
  <c r="AB1785" i="16"/>
  <c r="AB1793" i="16"/>
  <c r="AB1801" i="16"/>
  <c r="AC1801" i="16" s="1"/>
  <c r="AB1809" i="16"/>
  <c r="AC1809" i="16" s="1"/>
  <c r="AB1817" i="16"/>
  <c r="AC1817" i="16" s="1"/>
  <c r="AB1825" i="16"/>
  <c r="AB1833" i="16"/>
  <c r="AB1841" i="16"/>
  <c r="AB1849" i="16"/>
  <c r="AB1857" i="16"/>
  <c r="AB1865" i="16"/>
  <c r="AC1865" i="16" s="1"/>
  <c r="AB1873" i="16"/>
  <c r="AC1873" i="16" s="1"/>
  <c r="AB1881" i="16"/>
  <c r="AC1881" i="16" s="1"/>
  <c r="AB1889" i="16"/>
  <c r="AB1897" i="16"/>
  <c r="AB1905" i="16"/>
  <c r="AB1913" i="16"/>
  <c r="AB1921" i="16"/>
  <c r="AB1929" i="16"/>
  <c r="AC1929" i="16" s="1"/>
  <c r="AB1937" i="16"/>
  <c r="AC1937" i="16" s="1"/>
  <c r="AB1945" i="16"/>
  <c r="AC1945" i="16" s="1"/>
  <c r="AB1953" i="16"/>
  <c r="AB1961" i="16"/>
  <c r="AB1969" i="16"/>
  <c r="AB1977" i="16"/>
  <c r="AB1985" i="16"/>
  <c r="AB1993" i="16"/>
  <c r="AC1993" i="16" s="1"/>
  <c r="AB2001" i="16"/>
  <c r="AB2009" i="16"/>
  <c r="AC2009" i="16" s="1"/>
  <c r="AB2017" i="16"/>
  <c r="AB2025" i="16"/>
  <c r="AB2033" i="16"/>
  <c r="AB2041" i="16"/>
  <c r="AB2049" i="16"/>
  <c r="AB2057" i="16"/>
  <c r="AB2065" i="16"/>
  <c r="AC2065" i="16" s="1"/>
  <c r="AB2073" i="16"/>
  <c r="AC2073" i="16" s="1"/>
  <c r="AB2081" i="16"/>
  <c r="AB2089" i="16"/>
  <c r="AB2097" i="16"/>
  <c r="AB2105" i="16"/>
  <c r="AB2113" i="16"/>
  <c r="AB2121" i="16"/>
  <c r="AC2121" i="16" s="1"/>
  <c r="AB2129" i="16"/>
  <c r="AC2129" i="16" s="1"/>
  <c r="AB2137" i="16"/>
  <c r="AC2137" i="16" s="1"/>
  <c r="AB2145" i="16"/>
  <c r="AB2153" i="16"/>
  <c r="AB2161" i="16"/>
  <c r="AB2169" i="16"/>
  <c r="AB2177" i="16"/>
  <c r="AB2185" i="16"/>
  <c r="AB2193" i="16"/>
  <c r="AB2201" i="16"/>
  <c r="AC2201" i="16" s="1"/>
  <c r="AB2209" i="16"/>
  <c r="AB2217" i="16"/>
  <c r="AB2225" i="16"/>
  <c r="AB2233" i="16"/>
  <c r="AB2241" i="16"/>
  <c r="AB2249" i="16"/>
  <c r="AC2249" i="16" s="1"/>
  <c r="AB2257" i="16"/>
  <c r="AC2257" i="16" s="1"/>
  <c r="AB2265" i="16"/>
  <c r="AC2265" i="16" s="1"/>
  <c r="AB2273" i="16"/>
  <c r="AB2281" i="16"/>
  <c r="AB2289" i="16"/>
  <c r="AB2297" i="16"/>
  <c r="AB2305" i="16"/>
  <c r="AB2313" i="16"/>
  <c r="AC2313" i="16" s="1"/>
  <c r="AB2321" i="16"/>
  <c r="AC2321" i="16" s="1"/>
  <c r="AB2329" i="16"/>
  <c r="AC2329" i="16" s="1"/>
  <c r="AB2337" i="16"/>
  <c r="AB1515" i="16"/>
  <c r="AB1547" i="16"/>
  <c r="AB1579" i="16"/>
  <c r="AB1611" i="16"/>
  <c r="AB1643" i="16"/>
  <c r="AC1643" i="16" s="1"/>
  <c r="AB1675" i="16"/>
  <c r="AC1675" i="16" s="1"/>
  <c r="AB1707" i="16"/>
  <c r="AC1707" i="16" s="1"/>
  <c r="AB1737" i="16"/>
  <c r="AB1746" i="16"/>
  <c r="AB1754" i="16"/>
  <c r="AB1762" i="16"/>
  <c r="AB1770" i="16"/>
  <c r="AB1778" i="16"/>
  <c r="AC1778" i="16" s="1"/>
  <c r="AB1786" i="16"/>
  <c r="AC1786" i="16" s="1"/>
  <c r="AB1794" i="16"/>
  <c r="AC1794" i="16" s="1"/>
  <c r="AB1802" i="16"/>
  <c r="AB1810" i="16"/>
  <c r="AB1818" i="16"/>
  <c r="AB1826" i="16"/>
  <c r="AB1834" i="16"/>
  <c r="AB1842" i="16"/>
  <c r="AB1850" i="16"/>
  <c r="AB1858" i="16"/>
  <c r="AC1858" i="16" s="1"/>
  <c r="AB1866" i="16"/>
  <c r="AB1874" i="16"/>
  <c r="AB1882" i="16"/>
  <c r="AB1890" i="16"/>
  <c r="AB1898" i="16"/>
  <c r="AB1906" i="16"/>
  <c r="AC1906" i="16" s="1"/>
  <c r="AB1914" i="16"/>
  <c r="AB1922" i="16"/>
  <c r="AC1922" i="16" s="1"/>
  <c r="AB1930" i="16"/>
  <c r="AB1938" i="16"/>
  <c r="AB1946" i="16"/>
  <c r="AB1954" i="16"/>
  <c r="AB1962" i="16"/>
  <c r="AB1970" i="16"/>
  <c r="AC1970" i="16" s="1"/>
  <c r="AB1978" i="16"/>
  <c r="AB1986" i="16"/>
  <c r="AC1986" i="16" s="1"/>
  <c r="AB1994" i="16"/>
  <c r="AB2002" i="16"/>
  <c r="AB2010" i="16"/>
  <c r="AB2018" i="16"/>
  <c r="AB2026" i="16"/>
  <c r="AB2034" i="16"/>
  <c r="AC2034" i="16" s="1"/>
  <c r="AB2042" i="16"/>
  <c r="AC2042" i="16" s="1"/>
  <c r="AB2050" i="16"/>
  <c r="AC2050" i="16" s="1"/>
  <c r="AB2058" i="16"/>
  <c r="AB2066" i="16"/>
  <c r="AB2074" i="16"/>
  <c r="AB2082" i="16"/>
  <c r="AB2090" i="16"/>
  <c r="AB2098" i="16"/>
  <c r="AC2098" i="16" s="1"/>
  <c r="AB2106" i="16"/>
  <c r="AB2114" i="16"/>
  <c r="AC2114" i="16" s="1"/>
  <c r="AB2122" i="16"/>
  <c r="AB2130" i="16"/>
  <c r="AB2138" i="16"/>
  <c r="AB2146" i="16"/>
  <c r="AB2154" i="16"/>
  <c r="AB2162" i="16"/>
  <c r="AC2162" i="16" s="1"/>
  <c r="AB2170" i="16"/>
  <c r="AC2170" i="16" s="1"/>
  <c r="AB2178" i="16"/>
  <c r="AC2178" i="16" s="1"/>
  <c r="AB2186" i="16"/>
  <c r="AB2194" i="16"/>
  <c r="AB2202" i="16"/>
  <c r="AB2210" i="16"/>
  <c r="AB2218" i="16"/>
  <c r="AB2226" i="16"/>
  <c r="AC2226" i="16" s="1"/>
  <c r="AB2234" i="16"/>
  <c r="AC2234" i="16" s="1"/>
  <c r="AB2242" i="16"/>
  <c r="AC2242" i="16" s="1"/>
  <c r="AB2250" i="16"/>
  <c r="AB2258" i="16"/>
  <c r="AB2266" i="16"/>
  <c r="AB2274" i="16"/>
  <c r="AB2282" i="16"/>
  <c r="AB2290" i="16"/>
  <c r="AB2298" i="16"/>
  <c r="AC2298" i="16" s="1"/>
  <c r="AB2306" i="16"/>
  <c r="AC2306" i="16" s="1"/>
  <c r="AB2314" i="16"/>
  <c r="AB2322" i="16"/>
  <c r="AB2330" i="16"/>
  <c r="AB2338" i="16"/>
  <c r="AB1522" i="16"/>
  <c r="AB1554" i="16"/>
  <c r="AC1554" i="16" s="1"/>
  <c r="AB1586" i="16"/>
  <c r="AC1586" i="16" s="1"/>
  <c r="AB1618" i="16"/>
  <c r="AC1618" i="16" s="1"/>
  <c r="AB1650" i="16"/>
  <c r="AB1682" i="16"/>
  <c r="AB1714" i="16"/>
  <c r="AB1738" i="16"/>
  <c r="AB1747" i="16"/>
  <c r="AB1755" i="16"/>
  <c r="AC1755" i="16" s="1"/>
  <c r="AB1763" i="16"/>
  <c r="AB1771" i="16"/>
  <c r="AC1771" i="16" s="1"/>
  <c r="AB1779" i="16"/>
  <c r="AB1787" i="16"/>
  <c r="AB1795" i="16"/>
  <c r="AB1803" i="16"/>
  <c r="AB1811" i="16"/>
  <c r="AB1819" i="16"/>
  <c r="AC1819" i="16" s="1"/>
  <c r="AB1827" i="16"/>
  <c r="AC1827" i="16" s="1"/>
  <c r="AB1835" i="16"/>
  <c r="AC1835" i="16" s="1"/>
  <c r="AB1843" i="16"/>
  <c r="AB1851" i="16"/>
  <c r="AB1859" i="16"/>
  <c r="AB1867" i="16"/>
  <c r="AB1875" i="16"/>
  <c r="AB1883" i="16"/>
  <c r="AC1883" i="16" s="1"/>
  <c r="AB1891" i="16"/>
  <c r="AC1891" i="16" s="1"/>
  <c r="AB1899" i="16"/>
  <c r="AC1899" i="16" s="1"/>
  <c r="AB1907" i="16"/>
  <c r="AB1915" i="16"/>
  <c r="AB1923" i="16"/>
  <c r="AB1931" i="16"/>
  <c r="AB1939" i="16"/>
  <c r="AB1947" i="16"/>
  <c r="AC1947" i="16" s="1"/>
  <c r="AB1955" i="16"/>
  <c r="AC1955" i="16" s="1"/>
  <c r="AB1963" i="16"/>
  <c r="AC1963" i="16" s="1"/>
  <c r="AB1971" i="16"/>
  <c r="AB1979" i="16"/>
  <c r="AB1987" i="16"/>
  <c r="AB1995" i="16"/>
  <c r="AB2003" i="16"/>
  <c r="AB2011" i="16"/>
  <c r="AC2011" i="16" s="1"/>
  <c r="AB2019" i="16"/>
  <c r="AB2027" i="16"/>
  <c r="AC2027" i="16" s="1"/>
  <c r="AB2035" i="16"/>
  <c r="AB2043" i="16"/>
  <c r="AB2051" i="16"/>
  <c r="AB2059" i="16"/>
  <c r="AB2067" i="16"/>
  <c r="AB2075" i="16"/>
  <c r="AC2075" i="16" s="1"/>
  <c r="AB2083" i="16"/>
  <c r="AC2083" i="16" s="1"/>
  <c r="AB2091" i="16"/>
  <c r="AC2091" i="16" s="1"/>
  <c r="AB2099" i="16"/>
  <c r="AB2107" i="16"/>
  <c r="AB2115" i="16"/>
  <c r="AB2123" i="16"/>
  <c r="AB2131" i="16"/>
  <c r="AB2139" i="16"/>
  <c r="AC2139" i="16" s="1"/>
  <c r="AB2147" i="16"/>
  <c r="AC2147" i="16" s="1"/>
  <c r="AB2155" i="16"/>
  <c r="AC2155" i="16" s="1"/>
  <c r="AB2163" i="16"/>
  <c r="AB2171" i="16"/>
  <c r="AB2179" i="16"/>
  <c r="AB2187" i="16"/>
  <c r="AB2195" i="16"/>
  <c r="AB2203" i="16"/>
  <c r="AC2203" i="16" s="1"/>
  <c r="AB2211" i="16"/>
  <c r="AC2211" i="16" s="1"/>
  <c r="AB2219" i="16"/>
  <c r="AC2219" i="16" s="1"/>
  <c r="AB2227" i="16"/>
  <c r="AB2235" i="16"/>
  <c r="AB2243" i="16"/>
  <c r="AB2251" i="16"/>
  <c r="AB2259" i="16"/>
  <c r="AB2267" i="16"/>
  <c r="AC2267" i="16" s="1"/>
  <c r="AB2275" i="16"/>
  <c r="AC2275" i="16" s="1"/>
  <c r="AB2283" i="16"/>
  <c r="AC2283" i="16" s="1"/>
  <c r="AB2291" i="16"/>
  <c r="AB2299" i="16"/>
  <c r="AB2307" i="16"/>
  <c r="AB2315" i="16"/>
  <c r="AB2323" i="16"/>
  <c r="AB2331" i="16"/>
  <c r="AB2339" i="16"/>
  <c r="AC2339" i="16" s="1"/>
  <c r="AB1523" i="16"/>
  <c r="AC1523" i="16" s="1"/>
  <c r="AB1555" i="16"/>
  <c r="AB1587" i="16"/>
  <c r="AB1619" i="16"/>
  <c r="AB1651" i="16"/>
  <c r="AB1683" i="16"/>
  <c r="AB1715" i="16"/>
  <c r="AC1715" i="16" s="1"/>
  <c r="AB1739" i="16"/>
  <c r="AC1739" i="16" s="1"/>
  <c r="AB1748" i="16"/>
  <c r="AC1748" i="16" s="1"/>
  <c r="AB1756" i="16"/>
  <c r="AB1764" i="16"/>
  <c r="AB1772" i="16"/>
  <c r="AB1780" i="16"/>
  <c r="AB1788" i="16"/>
  <c r="AB1796" i="16"/>
  <c r="AC1796" i="16" s="1"/>
  <c r="AB1804" i="16"/>
  <c r="AB1812" i="16"/>
  <c r="AC1812" i="16" s="1"/>
  <c r="AB1820" i="16"/>
  <c r="AB1828" i="16"/>
  <c r="AB1836" i="16"/>
  <c r="AB1844" i="16"/>
  <c r="AB1852" i="16"/>
  <c r="AB1860" i="16"/>
  <c r="AC1860" i="16" s="1"/>
  <c r="AB1868" i="16"/>
  <c r="AC1868" i="16" s="1"/>
  <c r="AB1876" i="16"/>
  <c r="AC1876" i="16" s="1"/>
  <c r="AB1884" i="16"/>
  <c r="AB1892" i="16"/>
  <c r="AB1900" i="16"/>
  <c r="AB1908" i="16"/>
  <c r="AB1916" i="16"/>
  <c r="AB1924" i="16"/>
  <c r="AC1924" i="16" s="1"/>
  <c r="AB1932" i="16"/>
  <c r="AC1932" i="16" s="1"/>
  <c r="AB1940" i="16"/>
  <c r="AC1940" i="16" s="1"/>
  <c r="AB1948" i="16"/>
  <c r="AB1956" i="16"/>
  <c r="AB1964" i="16"/>
  <c r="AB1972" i="16"/>
  <c r="AB1980" i="16"/>
  <c r="AB1988" i="16"/>
  <c r="AC1988" i="16" s="1"/>
  <c r="AB1996" i="16"/>
  <c r="AC1996" i="16" s="1"/>
  <c r="AB2004" i="16"/>
  <c r="AC2004" i="16" s="1"/>
  <c r="AB2012" i="16"/>
  <c r="AB2020" i="16"/>
  <c r="AB2028" i="16"/>
  <c r="AB2036" i="16"/>
  <c r="AB2044" i="16"/>
  <c r="AB2052" i="16"/>
  <c r="AC2052" i="16" s="1"/>
  <c r="AB2060" i="16"/>
  <c r="AC2060" i="16" s="1"/>
  <c r="AB2068" i="16"/>
  <c r="AC2068" i="16" s="1"/>
  <c r="AB2076" i="16"/>
  <c r="AB2084" i="16"/>
  <c r="AB2092" i="16"/>
  <c r="AB2100" i="16"/>
  <c r="AB2108" i="16"/>
  <c r="AB2116" i="16"/>
  <c r="AC2116" i="16" s="1"/>
  <c r="AB2124" i="16"/>
  <c r="AB2132" i="16"/>
  <c r="AC2132" i="16" s="1"/>
  <c r="AB2140" i="16"/>
  <c r="AB2148" i="16"/>
  <c r="AB2156" i="16"/>
  <c r="AB2164" i="16"/>
  <c r="AB2172" i="16"/>
  <c r="AB2180" i="16"/>
  <c r="AC2180" i="16" s="1"/>
  <c r="AB2188" i="16"/>
  <c r="AB2196" i="16"/>
  <c r="AC2196" i="16" s="1"/>
  <c r="AB2204" i="16"/>
  <c r="AB2212" i="16"/>
  <c r="AB2220" i="16"/>
  <c r="AB2228" i="16"/>
  <c r="AB2236" i="16"/>
  <c r="AB2244" i="16"/>
  <c r="AC2244" i="16" s="1"/>
  <c r="AB2252" i="16"/>
  <c r="AC2252" i="16" s="1"/>
  <c r="AB2260" i="16"/>
  <c r="AC2260" i="16" s="1"/>
  <c r="AB2268" i="16"/>
  <c r="AB2276" i="16"/>
  <c r="AB2284" i="16"/>
  <c r="AB2292" i="16"/>
  <c r="AB2300" i="16"/>
  <c r="AB2308" i="16"/>
  <c r="AC2308" i="16" s="1"/>
  <c r="AB2316" i="16"/>
  <c r="AC2316" i="16" s="1"/>
  <c r="AB2324" i="16"/>
  <c r="AC2324" i="16" s="1"/>
  <c r="AB2332" i="16"/>
  <c r="AB2340" i="16"/>
  <c r="AB1530" i="16"/>
  <c r="AB1562" i="16"/>
  <c r="AB1594" i="16"/>
  <c r="AB1626" i="16"/>
  <c r="AC1626" i="16" s="1"/>
  <c r="AB1658" i="16"/>
  <c r="AC1658" i="16" s="1"/>
  <c r="AB1690" i="16"/>
  <c r="AC1690" i="16" s="1"/>
  <c r="AB1722" i="16"/>
  <c r="AB1741" i="16"/>
  <c r="AB1749" i="16"/>
  <c r="AB1757" i="16"/>
  <c r="AB1765" i="16"/>
  <c r="AB1773" i="16"/>
  <c r="AC1773" i="16" s="1"/>
  <c r="AB1781" i="16"/>
  <c r="AC1781" i="16" s="1"/>
  <c r="AB1789" i="16"/>
  <c r="AC1789" i="16" s="1"/>
  <c r="AB1797" i="16"/>
  <c r="AB1805" i="16"/>
  <c r="AB1813" i="16"/>
  <c r="AB1821" i="16"/>
  <c r="AB1829" i="16"/>
  <c r="AB1837" i="16"/>
  <c r="AC1837" i="16" s="1"/>
  <c r="AB1845" i="16"/>
  <c r="AC1845" i="16" s="1"/>
  <c r="AB1853" i="16"/>
  <c r="AC1853" i="16" s="1"/>
  <c r="AB1861" i="16"/>
  <c r="AB1869" i="16"/>
  <c r="AB1877" i="16"/>
  <c r="AB1885" i="16"/>
  <c r="AB1893" i="16"/>
  <c r="AB1901" i="16"/>
  <c r="AB1909" i="16"/>
  <c r="AC1909" i="16" s="1"/>
  <c r="AB1917" i="16"/>
  <c r="AC1917" i="16" s="1"/>
  <c r="AB1925" i="16"/>
  <c r="AB1933" i="16"/>
  <c r="AB1941" i="16"/>
  <c r="AB1949" i="16"/>
  <c r="AB1957" i="16"/>
  <c r="AB1965" i="16"/>
  <c r="AC1965" i="16" s="1"/>
  <c r="AB1973" i="16"/>
  <c r="AC1973" i="16" s="1"/>
  <c r="AB1981" i="16"/>
  <c r="AC1981" i="16" s="1"/>
  <c r="AB1989" i="16"/>
  <c r="AB1997" i="16"/>
  <c r="AB2005" i="16"/>
  <c r="AB2013" i="16"/>
  <c r="AB2021" i="16"/>
  <c r="AB2029" i="16"/>
  <c r="AB2037" i="16"/>
  <c r="AC2037" i="16" s="1"/>
  <c r="AB2045" i="16"/>
  <c r="AC2045" i="16" s="1"/>
  <c r="AB2053" i="16"/>
  <c r="AB2061" i="16"/>
  <c r="AB2069" i="16"/>
  <c r="AB2077" i="16"/>
  <c r="AB2085" i="16"/>
  <c r="AB2093" i="16"/>
  <c r="AB2101" i="16"/>
  <c r="AC2101" i="16" s="1"/>
  <c r="AB2109" i="16"/>
  <c r="AC2109" i="16" s="1"/>
  <c r="AB2117" i="16"/>
  <c r="AB2125" i="16"/>
  <c r="AB2133" i="16"/>
  <c r="AB2141" i="16"/>
  <c r="AB2149" i="16"/>
  <c r="AB2157" i="16"/>
  <c r="AC2157" i="16" s="1"/>
  <c r="AB2165" i="16"/>
  <c r="AC2165" i="16" s="1"/>
  <c r="AB2173" i="16"/>
  <c r="AC2173" i="16" s="1"/>
  <c r="AB2181" i="16"/>
  <c r="AB2189" i="16"/>
  <c r="AB2197" i="16"/>
  <c r="AB2205" i="16"/>
  <c r="AB2213" i="16"/>
  <c r="AB2221" i="16"/>
  <c r="AC2221" i="16" s="1"/>
  <c r="AB2229" i="16"/>
  <c r="AC2229" i="16" s="1"/>
  <c r="AB2237" i="16"/>
  <c r="AC2237" i="16" s="1"/>
  <c r="AB2245" i="16"/>
  <c r="AB2253" i="16"/>
  <c r="AB2261" i="16"/>
  <c r="AB2269" i="16"/>
  <c r="AB2277" i="16"/>
  <c r="AB2285" i="16"/>
  <c r="AC2285" i="16" s="1"/>
  <c r="AB2293" i="16"/>
  <c r="AC2293" i="16" s="1"/>
  <c r="AB2301" i="16"/>
  <c r="AC2301" i="16" s="1"/>
  <c r="AB2309" i="16"/>
  <c r="AB2317" i="16"/>
  <c r="AB2325" i="16"/>
  <c r="AB2333" i="16"/>
  <c r="AB2341" i="16"/>
  <c r="AB1531" i="16"/>
  <c r="AB1563" i="16"/>
  <c r="AC1563" i="16" s="1"/>
  <c r="AB1595" i="16"/>
  <c r="AC1595" i="16" s="1"/>
  <c r="AB1627" i="16"/>
  <c r="AB1659" i="16"/>
  <c r="AB1691" i="16"/>
  <c r="AB1723" i="16"/>
  <c r="AB1742" i="16"/>
  <c r="AB1750" i="16"/>
  <c r="AC1750" i="16" s="1"/>
  <c r="AB1758" i="16"/>
  <c r="AB1766" i="16"/>
  <c r="AC1766" i="16" s="1"/>
  <c r="AB1774" i="16"/>
  <c r="AB1782" i="16"/>
  <c r="AB1790" i="16"/>
  <c r="AB1798" i="16"/>
  <c r="AB1806" i="16"/>
  <c r="AB1814" i="16"/>
  <c r="AC1814" i="16" s="1"/>
  <c r="AB1822" i="16"/>
  <c r="AC1822" i="16" s="1"/>
  <c r="AB1830" i="16"/>
  <c r="AC1830" i="16" s="1"/>
  <c r="AB1838" i="16"/>
  <c r="AB1846" i="16"/>
  <c r="AB1854" i="16"/>
  <c r="AB1862" i="16"/>
  <c r="AB1870" i="16"/>
  <c r="AB1878" i="16"/>
  <c r="AC1878" i="16" s="1"/>
  <c r="AB1886" i="16"/>
  <c r="AB1894" i="16"/>
  <c r="AC1894" i="16" s="1"/>
  <c r="AB1902" i="16"/>
  <c r="AB1910" i="16"/>
  <c r="AB1918" i="16"/>
  <c r="AB1926" i="16"/>
  <c r="AB1934" i="16"/>
  <c r="AB1942" i="16"/>
  <c r="AC1942" i="16" s="1"/>
  <c r="AB1950" i="16"/>
  <c r="AC1950" i="16" s="1"/>
  <c r="AB1958" i="16"/>
  <c r="AC1958" i="16" s="1"/>
  <c r="AB1966" i="16"/>
  <c r="AB1974" i="16"/>
  <c r="AB1982" i="16"/>
  <c r="AB1990" i="16"/>
  <c r="AB1998" i="16"/>
  <c r="AB2006" i="16"/>
  <c r="AC2006" i="16" s="1"/>
  <c r="AB2014" i="16"/>
  <c r="AC2014" i="16" s="1"/>
  <c r="AB2022" i="16"/>
  <c r="AC2022" i="16" s="1"/>
  <c r="AB2030" i="16"/>
  <c r="AB2038" i="16"/>
  <c r="AB2046" i="16"/>
  <c r="AB2054" i="16"/>
  <c r="AB2062" i="16"/>
  <c r="AB2070" i="16"/>
  <c r="AC2070" i="16" s="1"/>
  <c r="AB2078" i="16"/>
  <c r="AC2078" i="16" s="1"/>
  <c r="AB2086" i="16"/>
  <c r="AC2086" i="16" s="1"/>
  <c r="AB2094" i="16"/>
  <c r="AB2102" i="16"/>
  <c r="AB2110" i="16"/>
  <c r="AB2118" i="16"/>
  <c r="AB2126" i="16"/>
  <c r="AB2134" i="16"/>
  <c r="AC2134" i="16" s="1"/>
  <c r="AB2142" i="16"/>
  <c r="AC2142" i="16" s="1"/>
  <c r="AB2150" i="16"/>
  <c r="AC2150" i="16" s="1"/>
  <c r="AB2158" i="16"/>
  <c r="AB2166" i="16"/>
  <c r="AB2174" i="16"/>
  <c r="AB2182" i="16"/>
  <c r="AB2190" i="16"/>
  <c r="AB2198" i="16"/>
  <c r="AC2198" i="16" s="1"/>
  <c r="AB2206" i="16"/>
  <c r="AC2206" i="16" s="1"/>
  <c r="AB2214" i="16"/>
  <c r="AC2214" i="16" s="1"/>
  <c r="AB2222" i="16"/>
  <c r="AB2230" i="16"/>
  <c r="AB2238" i="16"/>
  <c r="AB2246" i="16"/>
  <c r="AB2254" i="16"/>
  <c r="AB2262" i="16"/>
  <c r="AC2262" i="16" s="1"/>
  <c r="AB2270" i="16"/>
  <c r="AC2270" i="16" s="1"/>
  <c r="AB2278" i="16"/>
  <c r="AC2278" i="16" s="1"/>
  <c r="AB2286" i="16"/>
  <c r="AB2294" i="16"/>
  <c r="AB2302" i="16"/>
  <c r="AB2310" i="16"/>
  <c r="AB2318" i="16"/>
  <c r="AB2326" i="16"/>
  <c r="AC2326" i="16" s="1"/>
  <c r="AB2334" i="16"/>
  <c r="AC2334" i="16" s="1"/>
  <c r="AB6" i="16"/>
  <c r="AC6" i="16" s="1"/>
  <c r="P12" i="16"/>
  <c r="P20" i="16"/>
  <c r="P28" i="16"/>
  <c r="P36" i="16"/>
  <c r="P44" i="16"/>
  <c r="P52" i="16"/>
  <c r="P60" i="16"/>
  <c r="P68" i="16"/>
  <c r="Q68" i="16" s="1"/>
  <c r="P76" i="16"/>
  <c r="P84" i="16"/>
  <c r="P92" i="16"/>
  <c r="P100" i="16"/>
  <c r="P108" i="16"/>
  <c r="P116" i="16"/>
  <c r="P124" i="16"/>
  <c r="P132" i="16"/>
  <c r="Q132" i="16" s="1"/>
  <c r="P140" i="16"/>
  <c r="P148" i="16"/>
  <c r="P156" i="16"/>
  <c r="P164" i="16"/>
  <c r="P172" i="16"/>
  <c r="P180" i="16"/>
  <c r="P188" i="16"/>
  <c r="P196" i="16"/>
  <c r="Q196" i="16" s="1"/>
  <c r="P204" i="16"/>
  <c r="P212" i="16"/>
  <c r="P220" i="16"/>
  <c r="P228" i="16"/>
  <c r="P236" i="16"/>
  <c r="P244" i="16"/>
  <c r="P252" i="16"/>
  <c r="P260" i="16"/>
  <c r="Q260" i="16" s="1"/>
  <c r="P268" i="16"/>
  <c r="P276" i="16"/>
  <c r="P284" i="16"/>
  <c r="P292" i="16"/>
  <c r="P300" i="16"/>
  <c r="P308" i="16"/>
  <c r="P316" i="16"/>
  <c r="P324" i="16"/>
  <c r="Q324" i="16" s="1"/>
  <c r="P332" i="16"/>
  <c r="P340" i="16"/>
  <c r="P348" i="16"/>
  <c r="P356" i="16"/>
  <c r="P364" i="16"/>
  <c r="P372" i="16"/>
  <c r="P380" i="16"/>
  <c r="P388" i="16"/>
  <c r="Q388" i="16" s="1"/>
  <c r="P396" i="16"/>
  <c r="P404" i="16"/>
  <c r="P412" i="16"/>
  <c r="P420" i="16"/>
  <c r="P428" i="16"/>
  <c r="P436" i="16"/>
  <c r="P444" i="16"/>
  <c r="P452" i="16"/>
  <c r="Q452" i="16" s="1"/>
  <c r="P460" i="16"/>
  <c r="P468" i="16"/>
  <c r="P476" i="16"/>
  <c r="P484" i="16"/>
  <c r="P492" i="16"/>
  <c r="P500" i="16"/>
  <c r="P508" i="16"/>
  <c r="P516" i="16"/>
  <c r="Q516" i="16" s="1"/>
  <c r="P524" i="16"/>
  <c r="P532" i="16"/>
  <c r="P540" i="16"/>
  <c r="P548" i="16"/>
  <c r="P556" i="16"/>
  <c r="P564" i="16"/>
  <c r="P572" i="16"/>
  <c r="P580" i="16"/>
  <c r="Q580" i="16" s="1"/>
  <c r="P588" i="16"/>
  <c r="P596" i="16"/>
  <c r="P604" i="16"/>
  <c r="P612" i="16"/>
  <c r="P620" i="16"/>
  <c r="P628" i="16"/>
  <c r="P636" i="16"/>
  <c r="P644" i="16"/>
  <c r="Q644" i="16" s="1"/>
  <c r="P652" i="16"/>
  <c r="P660" i="16"/>
  <c r="P668" i="16"/>
  <c r="P676" i="16"/>
  <c r="P684" i="16"/>
  <c r="P692" i="16"/>
  <c r="P700" i="16"/>
  <c r="P708" i="16"/>
  <c r="Q708" i="16" s="1"/>
  <c r="P716" i="16"/>
  <c r="P724" i="16"/>
  <c r="P732" i="16"/>
  <c r="P740" i="16"/>
  <c r="P13" i="16"/>
  <c r="P21" i="16"/>
  <c r="P29" i="16"/>
  <c r="P37" i="16"/>
  <c r="Q37" i="16" s="1"/>
  <c r="P45" i="16"/>
  <c r="P53" i="16"/>
  <c r="P61" i="16"/>
  <c r="P69" i="16"/>
  <c r="P77" i="16"/>
  <c r="P85" i="16"/>
  <c r="P93" i="16"/>
  <c r="P101" i="16"/>
  <c r="Q101" i="16" s="1"/>
  <c r="P109" i="16"/>
  <c r="P117" i="16"/>
  <c r="P125" i="16"/>
  <c r="P133" i="16"/>
  <c r="P141" i="16"/>
  <c r="P149" i="16"/>
  <c r="P157" i="16"/>
  <c r="P165" i="16"/>
  <c r="Q165" i="16" s="1"/>
  <c r="P173" i="16"/>
  <c r="P181" i="16"/>
  <c r="P189" i="16"/>
  <c r="P197" i="16"/>
  <c r="P205" i="16"/>
  <c r="P213" i="16"/>
  <c r="P221" i="16"/>
  <c r="P229" i="16"/>
  <c r="Q229" i="16" s="1"/>
  <c r="P237" i="16"/>
  <c r="P245" i="16"/>
  <c r="P253" i="16"/>
  <c r="P261" i="16"/>
  <c r="P269" i="16"/>
  <c r="P277" i="16"/>
  <c r="P285" i="16"/>
  <c r="P293" i="16"/>
  <c r="Q293" i="16" s="1"/>
  <c r="P301" i="16"/>
  <c r="P309" i="16"/>
  <c r="P317" i="16"/>
  <c r="P325" i="16"/>
  <c r="P333" i="16"/>
  <c r="P341" i="16"/>
  <c r="P349" i="16"/>
  <c r="P357" i="16"/>
  <c r="Q357" i="16" s="1"/>
  <c r="P365" i="16"/>
  <c r="P373" i="16"/>
  <c r="P381" i="16"/>
  <c r="P389" i="16"/>
  <c r="P397" i="16"/>
  <c r="P405" i="16"/>
  <c r="P413" i="16"/>
  <c r="P421" i="16"/>
  <c r="Q421" i="16" s="1"/>
  <c r="P429" i="16"/>
  <c r="P437" i="16"/>
  <c r="P445" i="16"/>
  <c r="P453" i="16"/>
  <c r="P461" i="16"/>
  <c r="P469" i="16"/>
  <c r="P477" i="16"/>
  <c r="P485" i="16"/>
  <c r="Q485" i="16" s="1"/>
  <c r="P493" i="16"/>
  <c r="P501" i="16"/>
  <c r="P509" i="16"/>
  <c r="P517" i="16"/>
  <c r="P525" i="16"/>
  <c r="P533" i="16"/>
  <c r="P541" i="16"/>
  <c r="P549" i="16"/>
  <c r="Q549" i="16" s="1"/>
  <c r="P557" i="16"/>
  <c r="P565" i="16"/>
  <c r="P573" i="16"/>
  <c r="P581" i="16"/>
  <c r="P589" i="16"/>
  <c r="P597" i="16"/>
  <c r="P605" i="16"/>
  <c r="P613" i="16"/>
  <c r="Q613" i="16" s="1"/>
  <c r="P621" i="16"/>
  <c r="P629" i="16"/>
  <c r="P637" i="16"/>
  <c r="P645" i="16"/>
  <c r="P653" i="16"/>
  <c r="P661" i="16"/>
  <c r="P669" i="16"/>
  <c r="P677" i="16"/>
  <c r="Q677" i="16" s="1"/>
  <c r="P685" i="16"/>
  <c r="P693" i="16"/>
  <c r="P701" i="16"/>
  <c r="P709" i="16"/>
  <c r="P717" i="16"/>
  <c r="P725" i="16"/>
  <c r="P733" i="16"/>
  <c r="P14" i="16"/>
  <c r="Q14" i="16" s="1"/>
  <c r="P22" i="16"/>
  <c r="P30" i="16"/>
  <c r="P38" i="16"/>
  <c r="P46" i="16"/>
  <c r="P54" i="16"/>
  <c r="P62" i="16"/>
  <c r="P70" i="16"/>
  <c r="P78" i="16"/>
  <c r="Q78" i="16" s="1"/>
  <c r="P86" i="16"/>
  <c r="P94" i="16"/>
  <c r="P102" i="16"/>
  <c r="P110" i="16"/>
  <c r="P118" i="16"/>
  <c r="P126" i="16"/>
  <c r="P134" i="16"/>
  <c r="P142" i="16"/>
  <c r="Q142" i="16" s="1"/>
  <c r="P150" i="16"/>
  <c r="P158" i="16"/>
  <c r="P166" i="16"/>
  <c r="P174" i="16"/>
  <c r="P182" i="16"/>
  <c r="P190" i="16"/>
  <c r="P198" i="16"/>
  <c r="P206" i="16"/>
  <c r="Q206" i="16" s="1"/>
  <c r="P214" i="16"/>
  <c r="P222" i="16"/>
  <c r="P230" i="16"/>
  <c r="P238" i="16"/>
  <c r="P246" i="16"/>
  <c r="P254" i="16"/>
  <c r="P262" i="16"/>
  <c r="P270" i="16"/>
  <c r="Q270" i="16" s="1"/>
  <c r="P278" i="16"/>
  <c r="P286" i="16"/>
  <c r="P294" i="16"/>
  <c r="P302" i="16"/>
  <c r="P310" i="16"/>
  <c r="P318" i="16"/>
  <c r="P326" i="16"/>
  <c r="P334" i="16"/>
  <c r="Q334" i="16" s="1"/>
  <c r="P342" i="16"/>
  <c r="P350" i="16"/>
  <c r="P358" i="16"/>
  <c r="P366" i="16"/>
  <c r="P374" i="16"/>
  <c r="P382" i="16"/>
  <c r="P390" i="16"/>
  <c r="P398" i="16"/>
  <c r="Q398" i="16" s="1"/>
  <c r="P406" i="16"/>
  <c r="P414" i="16"/>
  <c r="P422" i="16"/>
  <c r="P430" i="16"/>
  <c r="P438" i="16"/>
  <c r="P446" i="16"/>
  <c r="P454" i="16"/>
  <c r="P462" i="16"/>
  <c r="Q462" i="16" s="1"/>
  <c r="P470" i="16"/>
  <c r="P478" i="16"/>
  <c r="P486" i="16"/>
  <c r="P494" i="16"/>
  <c r="P502" i="16"/>
  <c r="P510" i="16"/>
  <c r="P518" i="16"/>
  <c r="P526" i="16"/>
  <c r="Q526" i="16" s="1"/>
  <c r="P534" i="16"/>
  <c r="P542" i="16"/>
  <c r="P550" i="16"/>
  <c r="P558" i="16"/>
  <c r="P566" i="16"/>
  <c r="P574" i="16"/>
  <c r="P582" i="16"/>
  <c r="P590" i="16"/>
  <c r="Q590" i="16" s="1"/>
  <c r="P598" i="16"/>
  <c r="P606" i="16"/>
  <c r="P614" i="16"/>
  <c r="P622" i="16"/>
  <c r="P630" i="16"/>
  <c r="P638" i="16"/>
  <c r="P646" i="16"/>
  <c r="P654" i="16"/>
  <c r="Q654" i="16" s="1"/>
  <c r="P662" i="16"/>
  <c r="P670" i="16"/>
  <c r="P678" i="16"/>
  <c r="P686" i="16"/>
  <c r="P694" i="16"/>
  <c r="P702" i="16"/>
  <c r="P710" i="16"/>
  <c r="P718" i="16"/>
  <c r="Q718" i="16" s="1"/>
  <c r="P726" i="16"/>
  <c r="P734" i="16"/>
  <c r="P7" i="16"/>
  <c r="P15" i="16"/>
  <c r="P23" i="16"/>
  <c r="P31" i="16"/>
  <c r="P39" i="16"/>
  <c r="P47" i="16"/>
  <c r="Q47" i="16" s="1"/>
  <c r="P55" i="16"/>
  <c r="P63" i="16"/>
  <c r="P71" i="16"/>
  <c r="P79" i="16"/>
  <c r="P87" i="16"/>
  <c r="P95" i="16"/>
  <c r="P103" i="16"/>
  <c r="P111" i="16"/>
  <c r="Q111" i="16" s="1"/>
  <c r="P119" i="16"/>
  <c r="P127" i="16"/>
  <c r="P135" i="16"/>
  <c r="P143" i="16"/>
  <c r="P151" i="16"/>
  <c r="P159" i="16"/>
  <c r="P167" i="16"/>
  <c r="P175" i="16"/>
  <c r="Q175" i="16" s="1"/>
  <c r="P183" i="16"/>
  <c r="P191" i="16"/>
  <c r="P199" i="16"/>
  <c r="P207" i="16"/>
  <c r="P215" i="16"/>
  <c r="P223" i="16"/>
  <c r="P231" i="16"/>
  <c r="P239" i="16"/>
  <c r="Q239" i="16" s="1"/>
  <c r="P247" i="16"/>
  <c r="P255" i="16"/>
  <c r="P263" i="16"/>
  <c r="P271" i="16"/>
  <c r="P279" i="16"/>
  <c r="P287" i="16"/>
  <c r="P295" i="16"/>
  <c r="P303" i="16"/>
  <c r="Q303" i="16" s="1"/>
  <c r="P311" i="16"/>
  <c r="P319" i="16"/>
  <c r="P327" i="16"/>
  <c r="P335" i="16"/>
  <c r="P343" i="16"/>
  <c r="P351" i="16"/>
  <c r="P359" i="16"/>
  <c r="P367" i="16"/>
  <c r="Q367" i="16" s="1"/>
  <c r="P375" i="16"/>
  <c r="P383" i="16"/>
  <c r="P391" i="16"/>
  <c r="P399" i="16"/>
  <c r="P407" i="16"/>
  <c r="P415" i="16"/>
  <c r="P423" i="16"/>
  <c r="P431" i="16"/>
  <c r="Q431" i="16" s="1"/>
  <c r="P439" i="16"/>
  <c r="P447" i="16"/>
  <c r="P455" i="16"/>
  <c r="P463" i="16"/>
  <c r="P471" i="16"/>
  <c r="P479" i="16"/>
  <c r="P487" i="16"/>
  <c r="P495" i="16"/>
  <c r="Q495" i="16" s="1"/>
  <c r="P503" i="16"/>
  <c r="P511" i="16"/>
  <c r="P519" i="16"/>
  <c r="P527" i="16"/>
  <c r="P535" i="16"/>
  <c r="P543" i="16"/>
  <c r="P551" i="16"/>
  <c r="P559" i="16"/>
  <c r="Q559" i="16" s="1"/>
  <c r="P567" i="16"/>
  <c r="P575" i="16"/>
  <c r="P583" i="16"/>
  <c r="P591" i="16"/>
  <c r="P599" i="16"/>
  <c r="P607" i="16"/>
  <c r="P615" i="16"/>
  <c r="P623" i="16"/>
  <c r="Q623" i="16" s="1"/>
  <c r="P631" i="16"/>
  <c r="P639" i="16"/>
  <c r="P647" i="16"/>
  <c r="P655" i="16"/>
  <c r="P663" i="16"/>
  <c r="P671" i="16"/>
  <c r="P679" i="16"/>
  <c r="P687" i="16"/>
  <c r="Q687" i="16" s="1"/>
  <c r="P695" i="16"/>
  <c r="P703" i="16"/>
  <c r="P711" i="16"/>
  <c r="P719" i="16"/>
  <c r="P727" i="16"/>
  <c r="P735" i="16"/>
  <c r="P8" i="16"/>
  <c r="P16" i="16"/>
  <c r="Q16" i="16" s="1"/>
  <c r="P24" i="16"/>
  <c r="P32" i="16"/>
  <c r="P40" i="16"/>
  <c r="P48" i="16"/>
  <c r="P56" i="16"/>
  <c r="P64" i="16"/>
  <c r="P72" i="16"/>
  <c r="P80" i="16"/>
  <c r="Q80" i="16" s="1"/>
  <c r="P88" i="16"/>
  <c r="P96" i="16"/>
  <c r="P104" i="16"/>
  <c r="P112" i="16"/>
  <c r="P120" i="16"/>
  <c r="P128" i="16"/>
  <c r="P136" i="16"/>
  <c r="P144" i="16"/>
  <c r="Q144" i="16" s="1"/>
  <c r="P152" i="16"/>
  <c r="P160" i="16"/>
  <c r="P168" i="16"/>
  <c r="P176" i="16"/>
  <c r="P184" i="16"/>
  <c r="P192" i="16"/>
  <c r="P200" i="16"/>
  <c r="P208" i="16"/>
  <c r="Q208" i="16" s="1"/>
  <c r="P216" i="16"/>
  <c r="P224" i="16"/>
  <c r="P232" i="16"/>
  <c r="P240" i="16"/>
  <c r="P248" i="16"/>
  <c r="P256" i="16"/>
  <c r="P264" i="16"/>
  <c r="P272" i="16"/>
  <c r="Q272" i="16" s="1"/>
  <c r="P280" i="16"/>
  <c r="P288" i="16"/>
  <c r="P296" i="16"/>
  <c r="P304" i="16"/>
  <c r="P312" i="16"/>
  <c r="P320" i="16"/>
  <c r="P328" i="16"/>
  <c r="P336" i="16"/>
  <c r="Q336" i="16" s="1"/>
  <c r="P344" i="16"/>
  <c r="P352" i="16"/>
  <c r="P360" i="16"/>
  <c r="P368" i="16"/>
  <c r="P376" i="16"/>
  <c r="P384" i="16"/>
  <c r="P392" i="16"/>
  <c r="P400" i="16"/>
  <c r="Q400" i="16" s="1"/>
  <c r="P408" i="16"/>
  <c r="P416" i="16"/>
  <c r="P424" i="16"/>
  <c r="P432" i="16"/>
  <c r="P440" i="16"/>
  <c r="P448" i="16"/>
  <c r="P456" i="16"/>
  <c r="P464" i="16"/>
  <c r="Q464" i="16" s="1"/>
  <c r="P472" i="16"/>
  <c r="P480" i="16"/>
  <c r="P488" i="16"/>
  <c r="P496" i="16"/>
  <c r="P504" i="16"/>
  <c r="P512" i="16"/>
  <c r="P520" i="16"/>
  <c r="P528" i="16"/>
  <c r="Q528" i="16" s="1"/>
  <c r="P536" i="16"/>
  <c r="P544" i="16"/>
  <c r="P552" i="16"/>
  <c r="P560" i="16"/>
  <c r="P568" i="16"/>
  <c r="P576" i="16"/>
  <c r="P584" i="16"/>
  <c r="P592" i="16"/>
  <c r="Q592" i="16" s="1"/>
  <c r="P600" i="16"/>
  <c r="P608" i="16"/>
  <c r="P616" i="16"/>
  <c r="P624" i="16"/>
  <c r="P632" i="16"/>
  <c r="P640" i="16"/>
  <c r="P648" i="16"/>
  <c r="P656" i="16"/>
  <c r="Q656" i="16" s="1"/>
  <c r="P664" i="16"/>
  <c r="P672" i="16"/>
  <c r="P680" i="16"/>
  <c r="P688" i="16"/>
  <c r="P696" i="16"/>
  <c r="P704" i="16"/>
  <c r="P712" i="16"/>
  <c r="P720" i="16"/>
  <c r="Q720" i="16" s="1"/>
  <c r="P728" i="16"/>
  <c r="P736" i="16"/>
  <c r="P9" i="16"/>
  <c r="P17" i="16"/>
  <c r="P25" i="16"/>
  <c r="P33" i="16"/>
  <c r="P41" i="16"/>
  <c r="P49" i="16"/>
  <c r="Q49" i="16" s="1"/>
  <c r="P57" i="16"/>
  <c r="P65" i="16"/>
  <c r="P73" i="16"/>
  <c r="P81" i="16"/>
  <c r="P89" i="16"/>
  <c r="P97" i="16"/>
  <c r="P105" i="16"/>
  <c r="P113" i="16"/>
  <c r="Q113" i="16" s="1"/>
  <c r="P121" i="16"/>
  <c r="P129" i="16"/>
  <c r="P137" i="16"/>
  <c r="P145" i="16"/>
  <c r="P153" i="16"/>
  <c r="P161" i="16"/>
  <c r="P169" i="16"/>
  <c r="P177" i="16"/>
  <c r="Q177" i="16" s="1"/>
  <c r="P185" i="16"/>
  <c r="P193" i="16"/>
  <c r="P201" i="16"/>
  <c r="P209" i="16"/>
  <c r="P217" i="16"/>
  <c r="P225" i="16"/>
  <c r="P233" i="16"/>
  <c r="P241" i="16"/>
  <c r="Q241" i="16" s="1"/>
  <c r="P249" i="16"/>
  <c r="P257" i="16"/>
  <c r="P265" i="16"/>
  <c r="P273" i="16"/>
  <c r="P281" i="16"/>
  <c r="P289" i="16"/>
  <c r="P297" i="16"/>
  <c r="P305" i="16"/>
  <c r="Q305" i="16" s="1"/>
  <c r="P313" i="16"/>
  <c r="P321" i="16"/>
  <c r="P329" i="16"/>
  <c r="P337" i="16"/>
  <c r="P345" i="16"/>
  <c r="P353" i="16"/>
  <c r="P361" i="16"/>
  <c r="P369" i="16"/>
  <c r="Q369" i="16" s="1"/>
  <c r="P377" i="16"/>
  <c r="P385" i="16"/>
  <c r="P393" i="16"/>
  <c r="P401" i="16"/>
  <c r="P409" i="16"/>
  <c r="P417" i="16"/>
  <c r="P425" i="16"/>
  <c r="P433" i="16"/>
  <c r="Q433" i="16" s="1"/>
  <c r="P441" i="16"/>
  <c r="P449" i="16"/>
  <c r="P457" i="16"/>
  <c r="P465" i="16"/>
  <c r="P473" i="16"/>
  <c r="P481" i="16"/>
  <c r="P489" i="16"/>
  <c r="P497" i="16"/>
  <c r="Q497" i="16" s="1"/>
  <c r="P505" i="16"/>
  <c r="P513" i="16"/>
  <c r="P521" i="16"/>
  <c r="P529" i="16"/>
  <c r="P537" i="16"/>
  <c r="P545" i="16"/>
  <c r="P553" i="16"/>
  <c r="P561" i="16"/>
  <c r="Q561" i="16" s="1"/>
  <c r="P569" i="16"/>
  <c r="P577" i="16"/>
  <c r="P585" i="16"/>
  <c r="P593" i="16"/>
  <c r="P601" i="16"/>
  <c r="P609" i="16"/>
  <c r="P617" i="16"/>
  <c r="P625" i="16"/>
  <c r="Q625" i="16" s="1"/>
  <c r="P633" i="16"/>
  <c r="P641" i="16"/>
  <c r="P649" i="16"/>
  <c r="P657" i="16"/>
  <c r="P665" i="16"/>
  <c r="P673" i="16"/>
  <c r="P681" i="16"/>
  <c r="P689" i="16"/>
  <c r="Q689" i="16" s="1"/>
  <c r="P697" i="16"/>
  <c r="P705" i="16"/>
  <c r="P713" i="16"/>
  <c r="P721" i="16"/>
  <c r="P729" i="16"/>
  <c r="P737" i="16"/>
  <c r="P10" i="16"/>
  <c r="P18" i="16"/>
  <c r="P26" i="16"/>
  <c r="P34" i="16"/>
  <c r="P42" i="16"/>
  <c r="P50" i="16"/>
  <c r="P58" i="16"/>
  <c r="P66" i="16"/>
  <c r="P74" i="16"/>
  <c r="P82" i="16"/>
  <c r="Q82" i="16" s="1"/>
  <c r="P90" i="16"/>
  <c r="P98" i="16"/>
  <c r="P106" i="16"/>
  <c r="P114" i="16"/>
  <c r="P122" i="16"/>
  <c r="P130" i="16"/>
  <c r="P138" i="16"/>
  <c r="P146" i="16"/>
  <c r="Q146" i="16" s="1"/>
  <c r="P154" i="16"/>
  <c r="P162" i="16"/>
  <c r="P170" i="16"/>
  <c r="P178" i="16"/>
  <c r="P186" i="16"/>
  <c r="P194" i="16"/>
  <c r="P202" i="16"/>
  <c r="P210" i="16"/>
  <c r="Q210" i="16" s="1"/>
  <c r="P218" i="16"/>
  <c r="P226" i="16"/>
  <c r="P234" i="16"/>
  <c r="P242" i="16"/>
  <c r="P250" i="16"/>
  <c r="P258" i="16"/>
  <c r="P266" i="16"/>
  <c r="P274" i="16"/>
  <c r="Q274" i="16" s="1"/>
  <c r="P282" i="16"/>
  <c r="P290" i="16"/>
  <c r="P298" i="16"/>
  <c r="P306" i="16"/>
  <c r="P314" i="16"/>
  <c r="P322" i="16"/>
  <c r="P330" i="16"/>
  <c r="P338" i="16"/>
  <c r="Q338" i="16" s="1"/>
  <c r="P346" i="16"/>
  <c r="P354" i="16"/>
  <c r="P362" i="16"/>
  <c r="P370" i="16"/>
  <c r="P378" i="16"/>
  <c r="P386" i="16"/>
  <c r="P394" i="16"/>
  <c r="P402" i="16"/>
  <c r="Q402" i="16" s="1"/>
  <c r="P410" i="16"/>
  <c r="P418" i="16"/>
  <c r="P426" i="16"/>
  <c r="P434" i="16"/>
  <c r="P442" i="16"/>
  <c r="P450" i="16"/>
  <c r="P458" i="16"/>
  <c r="P466" i="16"/>
  <c r="Q466" i="16" s="1"/>
  <c r="P474" i="16"/>
  <c r="P482" i="16"/>
  <c r="P490" i="16"/>
  <c r="P498" i="16"/>
  <c r="P506" i="16"/>
  <c r="P514" i="16"/>
  <c r="P522" i="16"/>
  <c r="P530" i="16"/>
  <c r="Q530" i="16" s="1"/>
  <c r="P538" i="16"/>
  <c r="P546" i="16"/>
  <c r="P554" i="16"/>
  <c r="P562" i="16"/>
  <c r="P570" i="16"/>
  <c r="P578" i="16"/>
  <c r="P586" i="16"/>
  <c r="P594" i="16"/>
  <c r="Q594" i="16" s="1"/>
  <c r="P602" i="16"/>
  <c r="P610" i="16"/>
  <c r="P618" i="16"/>
  <c r="P626" i="16"/>
  <c r="P634" i="16"/>
  <c r="P642" i="16"/>
  <c r="P650" i="16"/>
  <c r="P658" i="16"/>
  <c r="Q658" i="16" s="1"/>
  <c r="P666" i="16"/>
  <c r="P674" i="16"/>
  <c r="P682" i="16"/>
  <c r="P690" i="16"/>
  <c r="P698" i="16"/>
  <c r="P706" i="16"/>
  <c r="P714" i="16"/>
  <c r="P722" i="16"/>
  <c r="Q722" i="16" s="1"/>
  <c r="P730" i="16"/>
  <c r="P738" i="16"/>
  <c r="P67" i="16"/>
  <c r="P131" i="16"/>
  <c r="P195" i="16"/>
  <c r="P259" i="16"/>
  <c r="P323" i="16"/>
  <c r="P387" i="16"/>
  <c r="Q387" i="16" s="1"/>
  <c r="P451" i="16"/>
  <c r="P515" i="16"/>
  <c r="P579" i="16"/>
  <c r="P643" i="16"/>
  <c r="P707" i="16"/>
  <c r="P744" i="16"/>
  <c r="P752" i="16"/>
  <c r="P760" i="16"/>
  <c r="Q760" i="16" s="1"/>
  <c r="P768" i="16"/>
  <c r="P776" i="16"/>
  <c r="P784" i="16"/>
  <c r="P792" i="16"/>
  <c r="P800" i="16"/>
  <c r="P808" i="16"/>
  <c r="P816" i="16"/>
  <c r="P824" i="16"/>
  <c r="Q824" i="16" s="1"/>
  <c r="P832" i="16"/>
  <c r="P840" i="16"/>
  <c r="P848" i="16"/>
  <c r="P856" i="16"/>
  <c r="P864" i="16"/>
  <c r="P872" i="16"/>
  <c r="P880" i="16"/>
  <c r="P888" i="16"/>
  <c r="Q888" i="16" s="1"/>
  <c r="P896" i="16"/>
  <c r="P904" i="16"/>
  <c r="P912" i="16"/>
  <c r="P920" i="16"/>
  <c r="P928" i="16"/>
  <c r="P936" i="16"/>
  <c r="P944" i="16"/>
  <c r="P952" i="16"/>
  <c r="Q952" i="16" s="1"/>
  <c r="P960" i="16"/>
  <c r="P968" i="16"/>
  <c r="P976" i="16"/>
  <c r="P984" i="16"/>
  <c r="P992" i="16"/>
  <c r="P1000" i="16"/>
  <c r="P1008" i="16"/>
  <c r="P1016" i="16"/>
  <c r="Q1016" i="16" s="1"/>
  <c r="P1024" i="16"/>
  <c r="P1032" i="16"/>
  <c r="P1040" i="16"/>
  <c r="P1048" i="16"/>
  <c r="P1056" i="16"/>
  <c r="P1064" i="16"/>
  <c r="P1072" i="16"/>
  <c r="P1080" i="16"/>
  <c r="Q1080" i="16" s="1"/>
  <c r="P1088" i="16"/>
  <c r="P1096" i="16"/>
  <c r="P1104" i="16"/>
  <c r="P1112" i="16"/>
  <c r="P1120" i="16"/>
  <c r="P1128" i="16"/>
  <c r="P1136" i="16"/>
  <c r="P1144" i="16"/>
  <c r="Q1144" i="16" s="1"/>
  <c r="P1152" i="16"/>
  <c r="P1160" i="16"/>
  <c r="P1168" i="16"/>
  <c r="P1176" i="16"/>
  <c r="P1184" i="16"/>
  <c r="P1192" i="16"/>
  <c r="P1200" i="16"/>
  <c r="P1208" i="16"/>
  <c r="Q1208" i="16" s="1"/>
  <c r="P1216" i="16"/>
  <c r="P1224" i="16"/>
  <c r="P1232" i="16"/>
  <c r="P1240" i="16"/>
  <c r="P1248" i="16"/>
  <c r="P1256" i="16"/>
  <c r="P1264" i="16"/>
  <c r="P1272" i="16"/>
  <c r="Q1272" i="16" s="1"/>
  <c r="P1280" i="16"/>
  <c r="P1288" i="16"/>
  <c r="P1296" i="16"/>
  <c r="P1304" i="16"/>
  <c r="P1312" i="16"/>
  <c r="P1320" i="16"/>
  <c r="P1328" i="16"/>
  <c r="P1336" i="16"/>
  <c r="Q1336" i="16" s="1"/>
  <c r="P1344" i="16"/>
  <c r="P1352" i="16"/>
  <c r="P1360" i="16"/>
  <c r="P1368" i="16"/>
  <c r="P1376" i="16"/>
  <c r="P1384" i="16"/>
  <c r="P1392" i="16"/>
  <c r="P1400" i="16"/>
  <c r="Q1400" i="16" s="1"/>
  <c r="P1408" i="16"/>
  <c r="P1416" i="16"/>
  <c r="P1424" i="16"/>
  <c r="P1432" i="16"/>
  <c r="P1440" i="16"/>
  <c r="P1448" i="16"/>
  <c r="P1456" i="16"/>
  <c r="P1464" i="16"/>
  <c r="Q1464" i="16" s="1"/>
  <c r="P1472" i="16"/>
  <c r="P1480" i="16"/>
  <c r="P1488" i="16"/>
  <c r="P1496" i="16"/>
  <c r="P1504" i="16"/>
  <c r="P1512" i="16"/>
  <c r="P1520" i="16"/>
  <c r="P1528" i="16"/>
  <c r="Q1528" i="16" s="1"/>
  <c r="P1536" i="16"/>
  <c r="P1544" i="16"/>
  <c r="P1552" i="16"/>
  <c r="P1560" i="16"/>
  <c r="P1568" i="16"/>
  <c r="P1576" i="16"/>
  <c r="P1584" i="16"/>
  <c r="P1592" i="16"/>
  <c r="Q1592" i="16" s="1"/>
  <c r="P1600" i="16"/>
  <c r="P1608" i="16"/>
  <c r="P1616" i="16"/>
  <c r="P1624" i="16"/>
  <c r="P1632" i="16"/>
  <c r="P1640" i="16"/>
  <c r="P1648" i="16"/>
  <c r="P1656" i="16"/>
  <c r="Q1656" i="16" s="1"/>
  <c r="P1664" i="16"/>
  <c r="P1672" i="16"/>
  <c r="P1680" i="16"/>
  <c r="P1688" i="16"/>
  <c r="P1696" i="16"/>
  <c r="P1704" i="16"/>
  <c r="P1712" i="16"/>
  <c r="P1720" i="16"/>
  <c r="Q1720" i="16" s="1"/>
  <c r="P1728" i="16"/>
  <c r="P1736" i="16"/>
  <c r="P1744" i="16"/>
  <c r="P1752" i="16"/>
  <c r="P1760" i="16"/>
  <c r="P1768" i="16"/>
  <c r="P1776" i="16"/>
  <c r="P1784" i="16"/>
  <c r="Q1784" i="16" s="1"/>
  <c r="P1792" i="16"/>
  <c r="P1800" i="16"/>
  <c r="P1808" i="16"/>
  <c r="P1816" i="16"/>
  <c r="P1824" i="16"/>
  <c r="P1832" i="16"/>
  <c r="P1840" i="16"/>
  <c r="P1848" i="16"/>
  <c r="Q1848" i="16" s="1"/>
  <c r="P1856" i="16"/>
  <c r="P1864" i="16"/>
  <c r="P1872" i="16"/>
  <c r="P1880" i="16"/>
  <c r="P1888" i="16"/>
  <c r="P1896" i="16"/>
  <c r="P1904" i="16"/>
  <c r="P1912" i="16"/>
  <c r="Q1912" i="16" s="1"/>
  <c r="P1920" i="16"/>
  <c r="P1928" i="16"/>
  <c r="P1936" i="16"/>
  <c r="P1944" i="16"/>
  <c r="P1952" i="16"/>
  <c r="P1960" i="16"/>
  <c r="P1968" i="16"/>
  <c r="P1976" i="16"/>
  <c r="Q1976" i="16" s="1"/>
  <c r="P1984" i="16"/>
  <c r="P1992" i="16"/>
  <c r="P2000" i="16"/>
  <c r="P2008" i="16"/>
  <c r="P2016" i="16"/>
  <c r="P2024" i="16"/>
  <c r="P2032" i="16"/>
  <c r="P2040" i="16"/>
  <c r="Q2040" i="16" s="1"/>
  <c r="P2048" i="16"/>
  <c r="P2056" i="16"/>
  <c r="P2064" i="16"/>
  <c r="P2072" i="16"/>
  <c r="P2080" i="16"/>
  <c r="P2088" i="16"/>
  <c r="P2096" i="16"/>
  <c r="P2104" i="16"/>
  <c r="Q2104" i="16" s="1"/>
  <c r="P2112" i="16"/>
  <c r="P2120" i="16"/>
  <c r="P2128" i="16"/>
  <c r="P2136" i="16"/>
  <c r="P2144" i="16"/>
  <c r="P2152" i="16"/>
  <c r="P2160" i="16"/>
  <c r="P2168" i="16"/>
  <c r="Q2168" i="16" s="1"/>
  <c r="P2176" i="16"/>
  <c r="P2184" i="16"/>
  <c r="P2192" i="16"/>
  <c r="P2200" i="16"/>
  <c r="P2208" i="16"/>
  <c r="P2216" i="16"/>
  <c r="P2224" i="16"/>
  <c r="P2232" i="16"/>
  <c r="Q2232" i="16" s="1"/>
  <c r="P2240" i="16"/>
  <c r="P2248" i="16"/>
  <c r="P2256" i="16"/>
  <c r="P2264" i="16"/>
  <c r="P2272" i="16"/>
  <c r="P2280" i="16"/>
  <c r="P2288" i="16"/>
  <c r="P2296" i="16"/>
  <c r="Q2296" i="16" s="1"/>
  <c r="P2304" i="16"/>
  <c r="P2312" i="16"/>
  <c r="P2320" i="16"/>
  <c r="P2328" i="16"/>
  <c r="P2336" i="16"/>
  <c r="P11" i="16"/>
  <c r="P75" i="16"/>
  <c r="P139" i="16"/>
  <c r="Q139" i="16" s="1"/>
  <c r="P203" i="16"/>
  <c r="P267" i="16"/>
  <c r="P331" i="16"/>
  <c r="P395" i="16"/>
  <c r="P459" i="16"/>
  <c r="P523" i="16"/>
  <c r="P587" i="16"/>
  <c r="P651" i="16"/>
  <c r="Q651" i="16" s="1"/>
  <c r="P715" i="16"/>
  <c r="P745" i="16"/>
  <c r="P753" i="16"/>
  <c r="P761" i="16"/>
  <c r="P769" i="16"/>
  <c r="P777" i="16"/>
  <c r="P785" i="16"/>
  <c r="P793" i="16"/>
  <c r="Q793" i="16" s="1"/>
  <c r="P801" i="16"/>
  <c r="P809" i="16"/>
  <c r="P817" i="16"/>
  <c r="P825" i="16"/>
  <c r="P833" i="16"/>
  <c r="P841" i="16"/>
  <c r="P849" i="16"/>
  <c r="P857" i="16"/>
  <c r="Q857" i="16" s="1"/>
  <c r="P865" i="16"/>
  <c r="P873" i="16"/>
  <c r="P881" i="16"/>
  <c r="P889" i="16"/>
  <c r="P897" i="16"/>
  <c r="P905" i="16"/>
  <c r="P913" i="16"/>
  <c r="P921" i="16"/>
  <c r="Q921" i="16" s="1"/>
  <c r="P929" i="16"/>
  <c r="P937" i="16"/>
  <c r="P945" i="16"/>
  <c r="P953" i="16"/>
  <c r="P961" i="16"/>
  <c r="P969" i="16"/>
  <c r="P977" i="16"/>
  <c r="P985" i="16"/>
  <c r="Q985" i="16" s="1"/>
  <c r="P993" i="16"/>
  <c r="P1001" i="16"/>
  <c r="P1009" i="16"/>
  <c r="P1017" i="16"/>
  <c r="P1025" i="16"/>
  <c r="P1033" i="16"/>
  <c r="P1041" i="16"/>
  <c r="P1049" i="16"/>
  <c r="Q1049" i="16" s="1"/>
  <c r="P1057" i="16"/>
  <c r="P1065" i="16"/>
  <c r="P1073" i="16"/>
  <c r="P1081" i="16"/>
  <c r="P1089" i="16"/>
  <c r="P1097" i="16"/>
  <c r="P1105" i="16"/>
  <c r="P1113" i="16"/>
  <c r="Q1113" i="16" s="1"/>
  <c r="P1121" i="16"/>
  <c r="P1129" i="16"/>
  <c r="P1137" i="16"/>
  <c r="P1145" i="16"/>
  <c r="P1153" i="16"/>
  <c r="P1161" i="16"/>
  <c r="P1169" i="16"/>
  <c r="P1177" i="16"/>
  <c r="Q1177" i="16" s="1"/>
  <c r="P1185" i="16"/>
  <c r="P1193" i="16"/>
  <c r="P1201" i="16"/>
  <c r="P1209" i="16"/>
  <c r="P1217" i="16"/>
  <c r="P1225" i="16"/>
  <c r="P1233" i="16"/>
  <c r="P1241" i="16"/>
  <c r="Q1241" i="16" s="1"/>
  <c r="P1249" i="16"/>
  <c r="P1257" i="16"/>
  <c r="P1265" i="16"/>
  <c r="P1273" i="16"/>
  <c r="P1281" i="16"/>
  <c r="P1289" i="16"/>
  <c r="P1297" i="16"/>
  <c r="P1305" i="16"/>
  <c r="Q1305" i="16" s="1"/>
  <c r="P1313" i="16"/>
  <c r="P1321" i="16"/>
  <c r="P1329" i="16"/>
  <c r="P1337" i="16"/>
  <c r="P1345" i="16"/>
  <c r="P1353" i="16"/>
  <c r="P1361" i="16"/>
  <c r="Q1361" i="16" s="1"/>
  <c r="P1369" i="16"/>
  <c r="Q1369" i="16" s="1"/>
  <c r="P1377" i="16"/>
  <c r="P1385" i="16"/>
  <c r="P1393" i="16"/>
  <c r="P1401" i="16"/>
  <c r="P1409" i="16"/>
  <c r="P1417" i="16"/>
  <c r="P1425" i="16"/>
  <c r="Q1425" i="16" s="1"/>
  <c r="P1433" i="16"/>
  <c r="Q1433" i="16" s="1"/>
  <c r="P1441" i="16"/>
  <c r="P1449" i="16"/>
  <c r="P1457" i="16"/>
  <c r="P1465" i="16"/>
  <c r="P1473" i="16"/>
  <c r="P1481" i="16"/>
  <c r="P1489" i="16"/>
  <c r="P1497" i="16"/>
  <c r="Q1497" i="16" s="1"/>
  <c r="P1505" i="16"/>
  <c r="P1513" i="16"/>
  <c r="P1521" i="16"/>
  <c r="P1529" i="16"/>
  <c r="P1537" i="16"/>
  <c r="P1545" i="16"/>
  <c r="P1553" i="16"/>
  <c r="P1561" i="16"/>
  <c r="Q1561" i="16" s="1"/>
  <c r="P1569" i="16"/>
  <c r="P1577" i="16"/>
  <c r="P1585" i="16"/>
  <c r="P1593" i="16"/>
  <c r="P1601" i="16"/>
  <c r="P1609" i="16"/>
  <c r="P1617" i="16"/>
  <c r="Q1617" i="16" s="1"/>
  <c r="P1625" i="16"/>
  <c r="Q1625" i="16" s="1"/>
  <c r="P1633" i="16"/>
  <c r="P1641" i="16"/>
  <c r="P1649" i="16"/>
  <c r="P1657" i="16"/>
  <c r="P1665" i="16"/>
  <c r="P1673" i="16"/>
  <c r="P1681" i="16"/>
  <c r="P1689" i="16"/>
  <c r="Q1689" i="16" s="1"/>
  <c r="P1697" i="16"/>
  <c r="P1705" i="16"/>
  <c r="P1713" i="16"/>
  <c r="P1721" i="16"/>
  <c r="P1729" i="16"/>
  <c r="P1737" i="16"/>
  <c r="P1745" i="16"/>
  <c r="P1753" i="16"/>
  <c r="Q1753" i="16" s="1"/>
  <c r="P1761" i="16"/>
  <c r="P1769" i="16"/>
  <c r="P1777" i="16"/>
  <c r="P1785" i="16"/>
  <c r="P1793" i="16"/>
  <c r="P1801" i="16"/>
  <c r="P1809" i="16"/>
  <c r="P1817" i="16"/>
  <c r="Q1817" i="16" s="1"/>
  <c r="P1825" i="16"/>
  <c r="P1833" i="16"/>
  <c r="P1841" i="16"/>
  <c r="P1849" i="16"/>
  <c r="P1857" i="16"/>
  <c r="P1865" i="16"/>
  <c r="P1873" i="16"/>
  <c r="Q1873" i="16" s="1"/>
  <c r="P1881" i="16"/>
  <c r="Q1881" i="16" s="1"/>
  <c r="P1889" i="16"/>
  <c r="P1897" i="16"/>
  <c r="P1905" i="16"/>
  <c r="P1913" i="16"/>
  <c r="P1921" i="16"/>
  <c r="P1929" i="16"/>
  <c r="P1937" i="16"/>
  <c r="P1945" i="16"/>
  <c r="Q1945" i="16" s="1"/>
  <c r="P1953" i="16"/>
  <c r="P1961" i="16"/>
  <c r="P1969" i="16"/>
  <c r="P1977" i="16"/>
  <c r="P1985" i="16"/>
  <c r="P1993" i="16"/>
  <c r="P2001" i="16"/>
  <c r="P2009" i="16"/>
  <c r="Q2009" i="16" s="1"/>
  <c r="P2017" i="16"/>
  <c r="P2025" i="16"/>
  <c r="P2033" i="16"/>
  <c r="P2041" i="16"/>
  <c r="P2049" i="16"/>
  <c r="P2057" i="16"/>
  <c r="P2065" i="16"/>
  <c r="P2073" i="16"/>
  <c r="Q2073" i="16" s="1"/>
  <c r="P2081" i="16"/>
  <c r="P2089" i="16"/>
  <c r="P2097" i="16"/>
  <c r="P2105" i="16"/>
  <c r="P2113" i="16"/>
  <c r="P2121" i="16"/>
  <c r="P2129" i="16"/>
  <c r="P2137" i="16"/>
  <c r="Q2137" i="16" s="1"/>
  <c r="P2145" i="16"/>
  <c r="P2153" i="16"/>
  <c r="P2161" i="16"/>
  <c r="P2169" i="16"/>
  <c r="P2177" i="16"/>
  <c r="P2185" i="16"/>
  <c r="P2193" i="16"/>
  <c r="P2201" i="16"/>
  <c r="Q2201" i="16" s="1"/>
  <c r="P2209" i="16"/>
  <c r="P2217" i="16"/>
  <c r="P2225" i="16"/>
  <c r="P2233" i="16"/>
  <c r="P2241" i="16"/>
  <c r="P2249" i="16"/>
  <c r="P2257" i="16"/>
  <c r="P2265" i="16"/>
  <c r="Q2265" i="16" s="1"/>
  <c r="P2273" i="16"/>
  <c r="P2281" i="16"/>
  <c r="P2289" i="16"/>
  <c r="P2297" i="16"/>
  <c r="P2305" i="16"/>
  <c r="P2313" i="16"/>
  <c r="P2321" i="16"/>
  <c r="P2329" i="16"/>
  <c r="Q2329" i="16" s="1"/>
  <c r="P2337" i="16"/>
  <c r="P19" i="16"/>
  <c r="P83" i="16"/>
  <c r="P147" i="16"/>
  <c r="P211" i="16"/>
  <c r="P275" i="16"/>
  <c r="P339" i="16"/>
  <c r="P403" i="16"/>
  <c r="Q403" i="16" s="1"/>
  <c r="P467" i="16"/>
  <c r="P531" i="16"/>
  <c r="P595" i="16"/>
  <c r="P659" i="16"/>
  <c r="P723" i="16"/>
  <c r="P746" i="16"/>
  <c r="P754" i="16"/>
  <c r="P762" i="16"/>
  <c r="Q762" i="16" s="1"/>
  <c r="P770" i="16"/>
  <c r="P778" i="16"/>
  <c r="P786" i="16"/>
  <c r="P794" i="16"/>
  <c r="P802" i="16"/>
  <c r="P810" i="16"/>
  <c r="P818" i="16"/>
  <c r="P826" i="16"/>
  <c r="Q826" i="16" s="1"/>
  <c r="P834" i="16"/>
  <c r="P842" i="16"/>
  <c r="P850" i="16"/>
  <c r="P858" i="16"/>
  <c r="P866" i="16"/>
  <c r="P874" i="16"/>
  <c r="P882" i="16"/>
  <c r="P890" i="16"/>
  <c r="Q890" i="16" s="1"/>
  <c r="P898" i="16"/>
  <c r="P906" i="16"/>
  <c r="P914" i="16"/>
  <c r="P922" i="16"/>
  <c r="P930" i="16"/>
  <c r="P938" i="16"/>
  <c r="P946" i="16"/>
  <c r="P954" i="16"/>
  <c r="Q954" i="16" s="1"/>
  <c r="P962" i="16"/>
  <c r="P970" i="16"/>
  <c r="P978" i="16"/>
  <c r="P986" i="16"/>
  <c r="P994" i="16"/>
  <c r="P1002" i="16"/>
  <c r="P1010" i="16"/>
  <c r="P1018" i="16"/>
  <c r="Q1018" i="16" s="1"/>
  <c r="P1026" i="16"/>
  <c r="P1034" i="16"/>
  <c r="P1042" i="16"/>
  <c r="P1050" i="16"/>
  <c r="P1058" i="16"/>
  <c r="P1066" i="16"/>
  <c r="P1074" i="16"/>
  <c r="P1082" i="16"/>
  <c r="Q1082" i="16" s="1"/>
  <c r="P1090" i="16"/>
  <c r="P1098" i="16"/>
  <c r="P1106" i="16"/>
  <c r="P1114" i="16"/>
  <c r="P1122" i="16"/>
  <c r="P1130" i="16"/>
  <c r="P1138" i="16"/>
  <c r="P1146" i="16"/>
  <c r="Q1146" i="16" s="1"/>
  <c r="P1154" i="16"/>
  <c r="P1162" i="16"/>
  <c r="P1170" i="16"/>
  <c r="P1178" i="16"/>
  <c r="P1186" i="16"/>
  <c r="P1194" i="16"/>
  <c r="P1202" i="16"/>
  <c r="P1210" i="16"/>
  <c r="Q1210" i="16" s="1"/>
  <c r="P1218" i="16"/>
  <c r="P1226" i="16"/>
  <c r="P1234" i="16"/>
  <c r="P1242" i="16"/>
  <c r="P1250" i="16"/>
  <c r="P1258" i="16"/>
  <c r="P1266" i="16"/>
  <c r="P1274" i="16"/>
  <c r="Q1274" i="16" s="1"/>
  <c r="P1282" i="16"/>
  <c r="P1290" i="16"/>
  <c r="P1298" i="16"/>
  <c r="P1306" i="16"/>
  <c r="P1314" i="16"/>
  <c r="P1322" i="16"/>
  <c r="P1330" i="16"/>
  <c r="P1338" i="16"/>
  <c r="Q1338" i="16" s="1"/>
  <c r="P1346" i="16"/>
  <c r="P1354" i="16"/>
  <c r="P1362" i="16"/>
  <c r="P1370" i="16"/>
  <c r="P1378" i="16"/>
  <c r="P1386" i="16"/>
  <c r="P1394" i="16"/>
  <c r="Q1394" i="16" s="1"/>
  <c r="P1402" i="16"/>
  <c r="Q1402" i="16" s="1"/>
  <c r="P1410" i="16"/>
  <c r="P1418" i="16"/>
  <c r="P1426" i="16"/>
  <c r="P1434" i="16"/>
  <c r="P1442" i="16"/>
  <c r="P1450" i="16"/>
  <c r="P1458" i="16"/>
  <c r="P1466" i="16"/>
  <c r="Q1466" i="16" s="1"/>
  <c r="P1474" i="16"/>
  <c r="P1482" i="16"/>
  <c r="P1490" i="16"/>
  <c r="P1498" i="16"/>
  <c r="P1506" i="16"/>
  <c r="P1514" i="16"/>
  <c r="P1522" i="16"/>
  <c r="P1530" i="16"/>
  <c r="Q1530" i="16" s="1"/>
  <c r="P1538" i="16"/>
  <c r="P1546" i="16"/>
  <c r="P1554" i="16"/>
  <c r="P1562" i="16"/>
  <c r="P1570" i="16"/>
  <c r="P1578" i="16"/>
  <c r="P1586" i="16"/>
  <c r="Q1586" i="16" s="1"/>
  <c r="P1594" i="16"/>
  <c r="Q1594" i="16" s="1"/>
  <c r="P1602" i="16"/>
  <c r="P1610" i="16"/>
  <c r="P1618" i="16"/>
  <c r="P1626" i="16"/>
  <c r="P1634" i="16"/>
  <c r="P1642" i="16"/>
  <c r="P1650" i="16"/>
  <c r="P1658" i="16"/>
  <c r="Q1658" i="16" s="1"/>
  <c r="P1666" i="16"/>
  <c r="P1674" i="16"/>
  <c r="P1682" i="16"/>
  <c r="P1690" i="16"/>
  <c r="P1698" i="16"/>
  <c r="P1706" i="16"/>
  <c r="P1714" i="16"/>
  <c r="P1722" i="16"/>
  <c r="Q1722" i="16" s="1"/>
  <c r="P1730" i="16"/>
  <c r="P1738" i="16"/>
  <c r="P1746" i="16"/>
  <c r="P1754" i="16"/>
  <c r="P1762" i="16"/>
  <c r="P1770" i="16"/>
  <c r="P1778" i="16"/>
  <c r="P1786" i="16"/>
  <c r="Q1786" i="16" s="1"/>
  <c r="P1794" i="16"/>
  <c r="P1802" i="16"/>
  <c r="P1810" i="16"/>
  <c r="P1818" i="16"/>
  <c r="P1826" i="16"/>
  <c r="P1834" i="16"/>
  <c r="P1842" i="16"/>
  <c r="P1850" i="16"/>
  <c r="Q1850" i="16" s="1"/>
  <c r="P1858" i="16"/>
  <c r="P1866" i="16"/>
  <c r="P1874" i="16"/>
  <c r="P1882" i="16"/>
  <c r="P1890" i="16"/>
  <c r="P1898" i="16"/>
  <c r="P1906" i="16"/>
  <c r="P1914" i="16"/>
  <c r="Q1914" i="16" s="1"/>
  <c r="P1922" i="16"/>
  <c r="P1930" i="16"/>
  <c r="P1938" i="16"/>
  <c r="P1946" i="16"/>
  <c r="P1954" i="16"/>
  <c r="P1962" i="16"/>
  <c r="P1970" i="16"/>
  <c r="P1978" i="16"/>
  <c r="Q1978" i="16" s="1"/>
  <c r="P1986" i="16"/>
  <c r="P1994" i="16"/>
  <c r="P2002" i="16"/>
  <c r="P2010" i="16"/>
  <c r="P2018" i="16"/>
  <c r="P2026" i="16"/>
  <c r="P2034" i="16"/>
  <c r="Q2034" i="16" s="1"/>
  <c r="P2042" i="16"/>
  <c r="Q2042" i="16" s="1"/>
  <c r="P2050" i="16"/>
  <c r="P2058" i="16"/>
  <c r="P2066" i="16"/>
  <c r="P2074" i="16"/>
  <c r="P2082" i="16"/>
  <c r="P2090" i="16"/>
  <c r="P2098" i="16"/>
  <c r="Q2098" i="16" s="1"/>
  <c r="P2106" i="16"/>
  <c r="Q2106" i="16" s="1"/>
  <c r="P2114" i="16"/>
  <c r="P2122" i="16"/>
  <c r="P2130" i="16"/>
  <c r="P2138" i="16"/>
  <c r="P2146" i="16"/>
  <c r="P2154" i="16"/>
  <c r="P2162" i="16"/>
  <c r="P2170" i="16"/>
  <c r="Q2170" i="16" s="1"/>
  <c r="P2178" i="16"/>
  <c r="P2186" i="16"/>
  <c r="P2194" i="16"/>
  <c r="P2202" i="16"/>
  <c r="P2210" i="16"/>
  <c r="P2218" i="16"/>
  <c r="P2226" i="16"/>
  <c r="Q2226" i="16" s="1"/>
  <c r="P2234" i="16"/>
  <c r="Q2234" i="16" s="1"/>
  <c r="P2242" i="16"/>
  <c r="P2250" i="16"/>
  <c r="P2258" i="16"/>
  <c r="P2266" i="16"/>
  <c r="P2274" i="16"/>
  <c r="P2282" i="16"/>
  <c r="P2290" i="16"/>
  <c r="Q2290" i="16" s="1"/>
  <c r="P2298" i="16"/>
  <c r="Q2298" i="16" s="1"/>
  <c r="P2306" i="16"/>
  <c r="P2314" i="16"/>
  <c r="P2322" i="16"/>
  <c r="P2330" i="16"/>
  <c r="P2338" i="16"/>
  <c r="P27" i="16"/>
  <c r="P91" i="16"/>
  <c r="P155" i="16"/>
  <c r="Q155" i="16" s="1"/>
  <c r="P219" i="16"/>
  <c r="P283" i="16"/>
  <c r="P347" i="16"/>
  <c r="P411" i="16"/>
  <c r="P475" i="16"/>
  <c r="P539" i="16"/>
  <c r="P603" i="16"/>
  <c r="Q603" i="16" s="1"/>
  <c r="P667" i="16"/>
  <c r="Q667" i="16" s="1"/>
  <c r="P731" i="16"/>
  <c r="P747" i="16"/>
  <c r="P755" i="16"/>
  <c r="P763" i="16"/>
  <c r="P771" i="16"/>
  <c r="P779" i="16"/>
  <c r="P787" i="16"/>
  <c r="P795" i="16"/>
  <c r="Q795" i="16" s="1"/>
  <c r="P803" i="16"/>
  <c r="P811" i="16"/>
  <c r="P819" i="16"/>
  <c r="P827" i="16"/>
  <c r="P835" i="16"/>
  <c r="P843" i="16"/>
  <c r="P851" i="16"/>
  <c r="P859" i="16"/>
  <c r="Q859" i="16" s="1"/>
  <c r="P867" i="16"/>
  <c r="P875" i="16"/>
  <c r="P883" i="16"/>
  <c r="P891" i="16"/>
  <c r="P899" i="16"/>
  <c r="P907" i="16"/>
  <c r="P915" i="16"/>
  <c r="P923" i="16"/>
  <c r="Q923" i="16" s="1"/>
  <c r="P931" i="16"/>
  <c r="P939" i="16"/>
  <c r="P947" i="16"/>
  <c r="P955" i="16"/>
  <c r="P963" i="16"/>
  <c r="P971" i="16"/>
  <c r="P979" i="16"/>
  <c r="Q979" i="16" s="1"/>
  <c r="P987" i="16"/>
  <c r="Q987" i="16" s="1"/>
  <c r="P995" i="16"/>
  <c r="P1003" i="16"/>
  <c r="P1011" i="16"/>
  <c r="P1019" i="16"/>
  <c r="P1027" i="16"/>
  <c r="P1035" i="16"/>
  <c r="P1043" i="16"/>
  <c r="P1051" i="16"/>
  <c r="Q1051" i="16" s="1"/>
  <c r="P1059" i="16"/>
  <c r="P1067" i="16"/>
  <c r="P1075" i="16"/>
  <c r="P1083" i="16"/>
  <c r="P1091" i="16"/>
  <c r="P1099" i="16"/>
  <c r="P1107" i="16"/>
  <c r="Q1107" i="16" s="1"/>
  <c r="P1115" i="16"/>
  <c r="Q1115" i="16" s="1"/>
  <c r="P1123" i="16"/>
  <c r="P1131" i="16"/>
  <c r="P1139" i="16"/>
  <c r="P1147" i="16"/>
  <c r="P1155" i="16"/>
  <c r="P1163" i="16"/>
  <c r="P1171" i="16"/>
  <c r="P1179" i="16"/>
  <c r="Q1179" i="16" s="1"/>
  <c r="P1187" i="16"/>
  <c r="P1195" i="16"/>
  <c r="P1203" i="16"/>
  <c r="P1211" i="16"/>
  <c r="P1219" i="16"/>
  <c r="P1227" i="16"/>
  <c r="P1235" i="16"/>
  <c r="P1243" i="16"/>
  <c r="Q1243" i="16" s="1"/>
  <c r="P1251" i="16"/>
  <c r="Q1251" i="16" s="1"/>
  <c r="P1259" i="16"/>
  <c r="P1267" i="16"/>
  <c r="P1275" i="16"/>
  <c r="P1283" i="16"/>
  <c r="P1291" i="16"/>
  <c r="P1299" i="16"/>
  <c r="P1307" i="16"/>
  <c r="Q1307" i="16" s="1"/>
  <c r="P1315" i="16"/>
  <c r="P1323" i="16"/>
  <c r="P1331" i="16"/>
  <c r="P1339" i="16"/>
  <c r="P1347" i="16"/>
  <c r="P1355" i="16"/>
  <c r="P1363" i="16"/>
  <c r="Q1363" i="16" s="1"/>
  <c r="P1371" i="16"/>
  <c r="Q1371" i="16" s="1"/>
  <c r="P1379" i="16"/>
  <c r="P1387" i="16"/>
  <c r="P1395" i="16"/>
  <c r="P1403" i="16"/>
  <c r="P1411" i="16"/>
  <c r="P1419" i="16"/>
  <c r="P1427" i="16"/>
  <c r="P1435" i="16"/>
  <c r="Q1435" i="16" s="1"/>
  <c r="P1443" i="16"/>
  <c r="P1451" i="16"/>
  <c r="P1459" i="16"/>
  <c r="P1467" i="16"/>
  <c r="P1475" i="16"/>
  <c r="P1483" i="16"/>
  <c r="P1491" i="16"/>
  <c r="P1499" i="16"/>
  <c r="Q1499" i="16" s="1"/>
  <c r="P1507" i="16"/>
  <c r="P1515" i="16"/>
  <c r="P1523" i="16"/>
  <c r="P1531" i="16"/>
  <c r="P1539" i="16"/>
  <c r="P1547" i="16"/>
  <c r="P1555" i="16"/>
  <c r="Q1555" i="16" s="1"/>
  <c r="P1563" i="16"/>
  <c r="Q1563" i="16" s="1"/>
  <c r="P1571" i="16"/>
  <c r="P1579" i="16"/>
  <c r="P1587" i="16"/>
  <c r="P1595" i="16"/>
  <c r="P1603" i="16"/>
  <c r="P1611" i="16"/>
  <c r="P1619" i="16"/>
  <c r="P1627" i="16"/>
  <c r="Q1627" i="16" s="1"/>
  <c r="P1635" i="16"/>
  <c r="P1643" i="16"/>
  <c r="P1651" i="16"/>
  <c r="P1659" i="16"/>
  <c r="P1667" i="16"/>
  <c r="P1675" i="16"/>
  <c r="P1683" i="16"/>
  <c r="Q1683" i="16" s="1"/>
  <c r="P1691" i="16"/>
  <c r="Q1691" i="16" s="1"/>
  <c r="P1699" i="16"/>
  <c r="P1707" i="16"/>
  <c r="P1715" i="16"/>
  <c r="P1723" i="16"/>
  <c r="P1731" i="16"/>
  <c r="P1739" i="16"/>
  <c r="P1747" i="16"/>
  <c r="P1755" i="16"/>
  <c r="Q1755" i="16" s="1"/>
  <c r="P1763" i="16"/>
  <c r="P1771" i="16"/>
  <c r="P1779" i="16"/>
  <c r="P1787" i="16"/>
  <c r="P1795" i="16"/>
  <c r="P1803" i="16"/>
  <c r="P1811" i="16"/>
  <c r="P1819" i="16"/>
  <c r="Q1819" i="16" s="1"/>
  <c r="P1827" i="16"/>
  <c r="P1835" i="16"/>
  <c r="P1843" i="16"/>
  <c r="P1851" i="16"/>
  <c r="P1859" i="16"/>
  <c r="P1867" i="16"/>
  <c r="P1875" i="16"/>
  <c r="Q1875" i="16" s="1"/>
  <c r="P1883" i="16"/>
  <c r="Q1883" i="16" s="1"/>
  <c r="P1891" i="16"/>
  <c r="P1899" i="16"/>
  <c r="P1907" i="16"/>
  <c r="P1915" i="16"/>
  <c r="P1923" i="16"/>
  <c r="P1931" i="16"/>
  <c r="P1939" i="16"/>
  <c r="Q1939" i="16" s="1"/>
  <c r="P1947" i="16"/>
  <c r="Q1947" i="16" s="1"/>
  <c r="P1955" i="16"/>
  <c r="P1963" i="16"/>
  <c r="P1971" i="16"/>
  <c r="P1979" i="16"/>
  <c r="P1987" i="16"/>
  <c r="P1995" i="16"/>
  <c r="P2003" i="16"/>
  <c r="P2011" i="16"/>
  <c r="Q2011" i="16" s="1"/>
  <c r="P2019" i="16"/>
  <c r="P2027" i="16"/>
  <c r="P2035" i="16"/>
  <c r="P2043" i="16"/>
  <c r="P2051" i="16"/>
  <c r="P2059" i="16"/>
  <c r="P2067" i="16"/>
  <c r="P2075" i="16"/>
  <c r="Q2075" i="16" s="1"/>
  <c r="P2083" i="16"/>
  <c r="P2091" i="16"/>
  <c r="P2099" i="16"/>
  <c r="P2107" i="16"/>
  <c r="P2115" i="16"/>
  <c r="P2123" i="16"/>
  <c r="P2131" i="16"/>
  <c r="P2139" i="16"/>
  <c r="Q2139" i="16" s="1"/>
  <c r="P2147" i="16"/>
  <c r="P2155" i="16"/>
  <c r="P2163" i="16"/>
  <c r="P2171" i="16"/>
  <c r="P2179" i="16"/>
  <c r="P2187" i="16"/>
  <c r="P2195" i="16"/>
  <c r="P2203" i="16"/>
  <c r="Q2203" i="16" s="1"/>
  <c r="P2211" i="16"/>
  <c r="P2219" i="16"/>
  <c r="P2227" i="16"/>
  <c r="P2235" i="16"/>
  <c r="P2243" i="16"/>
  <c r="P2251" i="16"/>
  <c r="P2259" i="16"/>
  <c r="P2267" i="16"/>
  <c r="Q2267" i="16" s="1"/>
  <c r="P2275" i="16"/>
  <c r="P2283" i="16"/>
  <c r="P2291" i="16"/>
  <c r="P2299" i="16"/>
  <c r="P2307" i="16"/>
  <c r="P2315" i="16"/>
  <c r="P2323" i="16"/>
  <c r="P2331" i="16"/>
  <c r="Q2331" i="16" s="1"/>
  <c r="P2339" i="16"/>
  <c r="P35" i="16"/>
  <c r="P99" i="16"/>
  <c r="P163" i="16"/>
  <c r="P227" i="16"/>
  <c r="P291" i="16"/>
  <c r="P355" i="16"/>
  <c r="P419" i="16"/>
  <c r="Q419" i="16" s="1"/>
  <c r="P483" i="16"/>
  <c r="P547" i="16"/>
  <c r="P611" i="16"/>
  <c r="P675" i="16"/>
  <c r="P739" i="16"/>
  <c r="P748" i="16"/>
  <c r="P756" i="16"/>
  <c r="P764" i="16"/>
  <c r="Q764" i="16" s="1"/>
  <c r="P772" i="16"/>
  <c r="P780" i="16"/>
  <c r="P788" i="16"/>
  <c r="P796" i="16"/>
  <c r="P804" i="16"/>
  <c r="P812" i="16"/>
  <c r="P820" i="16"/>
  <c r="P828" i="16"/>
  <c r="Q828" i="16" s="1"/>
  <c r="P836" i="16"/>
  <c r="P844" i="16"/>
  <c r="P852" i="16"/>
  <c r="P860" i="16"/>
  <c r="P868" i="16"/>
  <c r="P876" i="16"/>
  <c r="P884" i="16"/>
  <c r="P892" i="16"/>
  <c r="Q892" i="16" s="1"/>
  <c r="P900" i="16"/>
  <c r="P908" i="16"/>
  <c r="P916" i="16"/>
  <c r="P924" i="16"/>
  <c r="P932" i="16"/>
  <c r="P940" i="16"/>
  <c r="P948" i="16"/>
  <c r="P956" i="16"/>
  <c r="Q956" i="16" s="1"/>
  <c r="P964" i="16"/>
  <c r="P972" i="16"/>
  <c r="P980" i="16"/>
  <c r="P988" i="16"/>
  <c r="P996" i="16"/>
  <c r="P1004" i="16"/>
  <c r="P1012" i="16"/>
  <c r="Q1012" i="16" s="1"/>
  <c r="P1020" i="16"/>
  <c r="Q1020" i="16" s="1"/>
  <c r="P1028" i="16"/>
  <c r="P1036" i="16"/>
  <c r="P1044" i="16"/>
  <c r="P1052" i="16"/>
  <c r="P1060" i="16"/>
  <c r="P1068" i="16"/>
  <c r="P1076" i="16"/>
  <c r="P1084" i="16"/>
  <c r="Q1084" i="16" s="1"/>
  <c r="P1092" i="16"/>
  <c r="P1100" i="16"/>
  <c r="P1108" i="16"/>
  <c r="P1116" i="16"/>
  <c r="P1124" i="16"/>
  <c r="P1132" i="16"/>
  <c r="P1140" i="16"/>
  <c r="P1148" i="16"/>
  <c r="Q1148" i="16" s="1"/>
  <c r="P1156" i="16"/>
  <c r="P1164" i="16"/>
  <c r="P1172" i="16"/>
  <c r="P1180" i="16"/>
  <c r="P1188" i="16"/>
  <c r="P1196" i="16"/>
  <c r="P1204" i="16"/>
  <c r="P1212" i="16"/>
  <c r="Q1212" i="16" s="1"/>
  <c r="P1220" i="16"/>
  <c r="P1228" i="16"/>
  <c r="P1236" i="16"/>
  <c r="P1244" i="16"/>
  <c r="P1252" i="16"/>
  <c r="P1260" i="16"/>
  <c r="P1268" i="16"/>
  <c r="P1276" i="16"/>
  <c r="Q1276" i="16" s="1"/>
  <c r="P1284" i="16"/>
  <c r="P1292" i="16"/>
  <c r="P1300" i="16"/>
  <c r="P1308" i="16"/>
  <c r="P1316" i="16"/>
  <c r="P1324" i="16"/>
  <c r="P1332" i="16"/>
  <c r="P1340" i="16"/>
  <c r="Q1340" i="16" s="1"/>
  <c r="P1348" i="16"/>
  <c r="P1356" i="16"/>
  <c r="P1364" i="16"/>
  <c r="P1372" i="16"/>
  <c r="P1380" i="16"/>
  <c r="P1388" i="16"/>
  <c r="P1396" i="16"/>
  <c r="P1404" i="16"/>
  <c r="Q1404" i="16" s="1"/>
  <c r="P1412" i="16"/>
  <c r="P1420" i="16"/>
  <c r="P1428" i="16"/>
  <c r="P1436" i="16"/>
  <c r="P1444" i="16"/>
  <c r="P1452" i="16"/>
  <c r="P1460" i="16"/>
  <c r="Q1460" i="16" s="1"/>
  <c r="P1468" i="16"/>
  <c r="Q1468" i="16" s="1"/>
  <c r="P1476" i="16"/>
  <c r="P1484" i="16"/>
  <c r="P1492" i="16"/>
  <c r="P1500" i="16"/>
  <c r="P1508" i="16"/>
  <c r="P1516" i="16"/>
  <c r="P1524" i="16"/>
  <c r="Q1524" i="16" s="1"/>
  <c r="P1532" i="16"/>
  <c r="Q1532" i="16" s="1"/>
  <c r="P1540" i="16"/>
  <c r="P1548" i="16"/>
  <c r="P1556" i="16"/>
  <c r="P1564" i="16"/>
  <c r="P1572" i="16"/>
  <c r="P1580" i="16"/>
  <c r="P1588" i="16"/>
  <c r="P1596" i="16"/>
  <c r="Q1596" i="16" s="1"/>
  <c r="P1604" i="16"/>
  <c r="P1612" i="16"/>
  <c r="P1620" i="16"/>
  <c r="P1628" i="16"/>
  <c r="P1636" i="16"/>
  <c r="P1644" i="16"/>
  <c r="P1652" i="16"/>
  <c r="Q1652" i="16" s="1"/>
  <c r="P1660" i="16"/>
  <c r="Q1660" i="16" s="1"/>
  <c r="P1668" i="16"/>
  <c r="P1676" i="16"/>
  <c r="P1684" i="16"/>
  <c r="P1692" i="16"/>
  <c r="P1700" i="16"/>
  <c r="P1708" i="16"/>
  <c r="P1716" i="16"/>
  <c r="Q1716" i="16" s="1"/>
  <c r="P1724" i="16"/>
  <c r="Q1724" i="16" s="1"/>
  <c r="P1732" i="16"/>
  <c r="P1740" i="16"/>
  <c r="P1748" i="16"/>
  <c r="P1756" i="16"/>
  <c r="P1764" i="16"/>
  <c r="P1772" i="16"/>
  <c r="P1780" i="16"/>
  <c r="P1788" i="16"/>
  <c r="Q1788" i="16" s="1"/>
  <c r="P1796" i="16"/>
  <c r="P1804" i="16"/>
  <c r="P1812" i="16"/>
  <c r="P1820" i="16"/>
  <c r="P1828" i="16"/>
  <c r="P1836" i="16"/>
  <c r="P1844" i="16"/>
  <c r="P1852" i="16"/>
  <c r="Q1852" i="16" s="1"/>
  <c r="P1860" i="16"/>
  <c r="P1868" i="16"/>
  <c r="P1876" i="16"/>
  <c r="P1884" i="16"/>
  <c r="P1892" i="16"/>
  <c r="P1900" i="16"/>
  <c r="P1908" i="16"/>
  <c r="P1916" i="16"/>
  <c r="Q1916" i="16" s="1"/>
  <c r="P1924" i="16"/>
  <c r="P1932" i="16"/>
  <c r="P1940" i="16"/>
  <c r="P1948" i="16"/>
  <c r="P1956" i="16"/>
  <c r="P1964" i="16"/>
  <c r="P1972" i="16"/>
  <c r="P1980" i="16"/>
  <c r="Q1980" i="16" s="1"/>
  <c r="P1988" i="16"/>
  <c r="P1996" i="16"/>
  <c r="P2004" i="16"/>
  <c r="P2012" i="16"/>
  <c r="P2020" i="16"/>
  <c r="P2028" i="16"/>
  <c r="P2036" i="16"/>
  <c r="Q2036" i="16" s="1"/>
  <c r="P2044" i="16"/>
  <c r="Q2044" i="16" s="1"/>
  <c r="P2052" i="16"/>
  <c r="P2060" i="16"/>
  <c r="P2068" i="16"/>
  <c r="P2076" i="16"/>
  <c r="P2084" i="16"/>
  <c r="P2092" i="16"/>
  <c r="P2100" i="16"/>
  <c r="P2108" i="16"/>
  <c r="Q2108" i="16" s="1"/>
  <c r="P2116" i="16"/>
  <c r="P2124" i="16"/>
  <c r="P2132" i="16"/>
  <c r="P2140" i="16"/>
  <c r="P2148" i="16"/>
  <c r="P2156" i="16"/>
  <c r="P2164" i="16"/>
  <c r="Q2164" i="16" s="1"/>
  <c r="P2172" i="16"/>
  <c r="Q2172" i="16" s="1"/>
  <c r="P2180" i="16"/>
  <c r="P2188" i="16"/>
  <c r="P2196" i="16"/>
  <c r="P2204" i="16"/>
  <c r="P2212" i="16"/>
  <c r="P2220" i="16"/>
  <c r="P2228" i="16"/>
  <c r="P2236" i="16"/>
  <c r="Q2236" i="16" s="1"/>
  <c r="P2244" i="16"/>
  <c r="P2252" i="16"/>
  <c r="P2260" i="16"/>
  <c r="P2268" i="16"/>
  <c r="P2276" i="16"/>
  <c r="P2284" i="16"/>
  <c r="P2292" i="16"/>
  <c r="Q2292" i="16" s="1"/>
  <c r="P2300" i="16"/>
  <c r="Q2300" i="16" s="1"/>
  <c r="P2308" i="16"/>
  <c r="P2316" i="16"/>
  <c r="P2324" i="16"/>
  <c r="P2332" i="16"/>
  <c r="P2340" i="16"/>
  <c r="P51" i="16"/>
  <c r="P115" i="16"/>
  <c r="P179" i="16"/>
  <c r="Q179" i="16" s="1"/>
  <c r="P243" i="16"/>
  <c r="P307" i="16"/>
  <c r="P371" i="16"/>
  <c r="P435" i="16"/>
  <c r="P499" i="16"/>
  <c r="P563" i="16"/>
  <c r="P627" i="16"/>
  <c r="Q627" i="16" s="1"/>
  <c r="P691" i="16"/>
  <c r="Q691" i="16" s="1"/>
  <c r="P742" i="16"/>
  <c r="P750" i="16"/>
  <c r="P758" i="16"/>
  <c r="P766" i="16"/>
  <c r="P774" i="16"/>
  <c r="P782" i="16"/>
  <c r="P790" i="16"/>
  <c r="P798" i="16"/>
  <c r="Q798" i="16" s="1"/>
  <c r="P806" i="16"/>
  <c r="P814" i="16"/>
  <c r="P822" i="16"/>
  <c r="P830" i="16"/>
  <c r="P838" i="16"/>
  <c r="P846" i="16"/>
  <c r="P854" i="16"/>
  <c r="Q854" i="16" s="1"/>
  <c r="P862" i="16"/>
  <c r="Q862" i="16" s="1"/>
  <c r="P870" i="16"/>
  <c r="P878" i="16"/>
  <c r="P886" i="16"/>
  <c r="P894" i="16"/>
  <c r="P902" i="16"/>
  <c r="P910" i="16"/>
  <c r="P918" i="16"/>
  <c r="P926" i="16"/>
  <c r="Q926" i="16" s="1"/>
  <c r="P934" i="16"/>
  <c r="P942" i="16"/>
  <c r="P950" i="16"/>
  <c r="P958" i="16"/>
  <c r="P966" i="16"/>
  <c r="P974" i="16"/>
  <c r="P982" i="16"/>
  <c r="P990" i="16"/>
  <c r="Q990" i="16" s="1"/>
  <c r="P998" i="16"/>
  <c r="P1006" i="16"/>
  <c r="P1014" i="16"/>
  <c r="P1022" i="16"/>
  <c r="P1030" i="16"/>
  <c r="P1038" i="16"/>
  <c r="P1046" i="16"/>
  <c r="P1054" i="16"/>
  <c r="Q1054" i="16" s="1"/>
  <c r="P1062" i="16"/>
  <c r="P1070" i="16"/>
  <c r="P1078" i="16"/>
  <c r="P1086" i="16"/>
  <c r="P1094" i="16"/>
  <c r="P1102" i="16"/>
  <c r="P1110" i="16"/>
  <c r="P1118" i="16"/>
  <c r="Q1118" i="16" s="1"/>
  <c r="P1126" i="16"/>
  <c r="P1134" i="16"/>
  <c r="P1142" i="16"/>
  <c r="P1150" i="16"/>
  <c r="P1158" i="16"/>
  <c r="P1166" i="16"/>
  <c r="P1174" i="16"/>
  <c r="P1182" i="16"/>
  <c r="Q1182" i="16" s="1"/>
  <c r="P1190" i="16"/>
  <c r="P1198" i="16"/>
  <c r="P1206" i="16"/>
  <c r="P1214" i="16"/>
  <c r="P1222" i="16"/>
  <c r="P1230" i="16"/>
  <c r="P1238" i="16"/>
  <c r="P1246" i="16"/>
  <c r="Q1246" i="16" s="1"/>
  <c r="P1254" i="16"/>
  <c r="P1262" i="16"/>
  <c r="P1270" i="16"/>
  <c r="P1278" i="16"/>
  <c r="P1286" i="16"/>
  <c r="P1294" i="16"/>
  <c r="P1302" i="16"/>
  <c r="P1310" i="16"/>
  <c r="Q1310" i="16" s="1"/>
  <c r="P1318" i="16"/>
  <c r="P1326" i="16"/>
  <c r="P1334" i="16"/>
  <c r="P1342" i="16"/>
  <c r="P1350" i="16"/>
  <c r="P1358" i="16"/>
  <c r="P1366" i="16"/>
  <c r="P1374" i="16"/>
  <c r="Q1374" i="16" s="1"/>
  <c r="P1382" i="16"/>
  <c r="P1390" i="16"/>
  <c r="P1398" i="16"/>
  <c r="P1406" i="16"/>
  <c r="P1414" i="16"/>
  <c r="P1422" i="16"/>
  <c r="P1430" i="16"/>
  <c r="P1438" i="16"/>
  <c r="Q1438" i="16" s="1"/>
  <c r="P1446" i="16"/>
  <c r="P1454" i="16"/>
  <c r="P1462" i="16"/>
  <c r="P1470" i="16"/>
  <c r="P1478" i="16"/>
  <c r="P1486" i="16"/>
  <c r="P1494" i="16"/>
  <c r="P1502" i="16"/>
  <c r="Q1502" i="16" s="1"/>
  <c r="P1510" i="16"/>
  <c r="P1518" i="16"/>
  <c r="P1526" i="16"/>
  <c r="P1534" i="16"/>
  <c r="P1542" i="16"/>
  <c r="P1550" i="16"/>
  <c r="P1558" i="16"/>
  <c r="P1566" i="16"/>
  <c r="Q1566" i="16" s="1"/>
  <c r="P1574" i="16"/>
  <c r="P1582" i="16"/>
  <c r="P1590" i="16"/>
  <c r="P1598" i="16"/>
  <c r="P1606" i="16"/>
  <c r="P1614" i="16"/>
  <c r="P1622" i="16"/>
  <c r="Q1622" i="16" s="1"/>
  <c r="P1630" i="16"/>
  <c r="Q1630" i="16" s="1"/>
  <c r="P1638" i="16"/>
  <c r="P1646" i="16"/>
  <c r="P1654" i="16"/>
  <c r="P1662" i="16"/>
  <c r="P1670" i="16"/>
  <c r="P1678" i="16"/>
  <c r="P1686" i="16"/>
  <c r="Q1686" i="16" s="1"/>
  <c r="P1694" i="16"/>
  <c r="Q1694" i="16" s="1"/>
  <c r="P1702" i="16"/>
  <c r="P1710" i="16"/>
  <c r="P1718" i="16"/>
  <c r="P1726" i="16"/>
  <c r="P1734" i="16"/>
  <c r="P1742" i="16"/>
  <c r="P1750" i="16"/>
  <c r="P1758" i="16"/>
  <c r="Q1758" i="16" s="1"/>
  <c r="P1766" i="16"/>
  <c r="P1774" i="16"/>
  <c r="P1782" i="16"/>
  <c r="P1790" i="16"/>
  <c r="P1798" i="16"/>
  <c r="P1806" i="16"/>
  <c r="P1814" i="16"/>
  <c r="Q1814" i="16" s="1"/>
  <c r="P1822" i="16"/>
  <c r="Q1822" i="16" s="1"/>
  <c r="P1830" i="16"/>
  <c r="P1838" i="16"/>
  <c r="P1846" i="16"/>
  <c r="P1854" i="16"/>
  <c r="P1862" i="16"/>
  <c r="P1870" i="16"/>
  <c r="P1878" i="16"/>
  <c r="Q1878" i="16" s="1"/>
  <c r="P1886" i="16"/>
  <c r="Q1886" i="16" s="1"/>
  <c r="P1894" i="16"/>
  <c r="P1902" i="16"/>
  <c r="P1910" i="16"/>
  <c r="P1918" i="16"/>
  <c r="P1926" i="16"/>
  <c r="P1934" i="16"/>
  <c r="P1942" i="16"/>
  <c r="P1950" i="16"/>
  <c r="Q1950" i="16" s="1"/>
  <c r="P1958" i="16"/>
  <c r="P1966" i="16"/>
  <c r="P1974" i="16"/>
  <c r="P1982" i="16"/>
  <c r="P1990" i="16"/>
  <c r="P1998" i="16"/>
  <c r="P2006" i="16"/>
  <c r="P2014" i="16"/>
  <c r="Q2014" i="16" s="1"/>
  <c r="P2022" i="16"/>
  <c r="P2030" i="16"/>
  <c r="P2038" i="16"/>
  <c r="P2046" i="16"/>
  <c r="P2054" i="16"/>
  <c r="P2062" i="16"/>
  <c r="P2070" i="16"/>
  <c r="P2078" i="16"/>
  <c r="Q2078" i="16" s="1"/>
  <c r="P2086" i="16"/>
  <c r="P2094" i="16"/>
  <c r="P2102" i="16"/>
  <c r="P2110" i="16"/>
  <c r="P2118" i="16"/>
  <c r="P2126" i="16"/>
  <c r="P2134" i="16"/>
  <c r="Q2134" i="16" s="1"/>
  <c r="P2142" i="16"/>
  <c r="Q2142" i="16" s="1"/>
  <c r="P2150" i="16"/>
  <c r="P2158" i="16"/>
  <c r="P2166" i="16"/>
  <c r="P2174" i="16"/>
  <c r="P2182" i="16"/>
  <c r="P2190" i="16"/>
  <c r="P2198" i="16"/>
  <c r="Q2198" i="16" s="1"/>
  <c r="P2206" i="16"/>
  <c r="Q2206" i="16" s="1"/>
  <c r="P2214" i="16"/>
  <c r="P2222" i="16"/>
  <c r="P2230" i="16"/>
  <c r="P2238" i="16"/>
  <c r="P2246" i="16"/>
  <c r="P2254" i="16"/>
  <c r="P2262" i="16"/>
  <c r="P2270" i="16"/>
  <c r="Q2270" i="16" s="1"/>
  <c r="P2278" i="16"/>
  <c r="P2286" i="16"/>
  <c r="P2294" i="16"/>
  <c r="P2302" i="16"/>
  <c r="P2310" i="16"/>
  <c r="P2318" i="16"/>
  <c r="P2326" i="16"/>
  <c r="P2334" i="16"/>
  <c r="Q2334" i="16" s="1"/>
  <c r="P6" i="16"/>
  <c r="P59" i="16"/>
  <c r="P123" i="16"/>
  <c r="P187" i="16"/>
  <c r="P251" i="16"/>
  <c r="P315" i="16"/>
  <c r="P379" i="16"/>
  <c r="Q379" i="16" s="1"/>
  <c r="P443" i="16"/>
  <c r="Q443" i="16" s="1"/>
  <c r="P507" i="16"/>
  <c r="P571" i="16"/>
  <c r="P635" i="16"/>
  <c r="P699" i="16"/>
  <c r="P743" i="16"/>
  <c r="P751" i="16"/>
  <c r="P759" i="16"/>
  <c r="P767" i="16"/>
  <c r="Q767" i="16" s="1"/>
  <c r="P775" i="16"/>
  <c r="P783" i="16"/>
  <c r="P791" i="16"/>
  <c r="P799" i="16"/>
  <c r="P807" i="16"/>
  <c r="P815" i="16"/>
  <c r="P823" i="16"/>
  <c r="P831" i="16"/>
  <c r="Q831" i="16" s="1"/>
  <c r="P839" i="16"/>
  <c r="P847" i="16"/>
  <c r="P855" i="16"/>
  <c r="P863" i="16"/>
  <c r="P871" i="16"/>
  <c r="P879" i="16"/>
  <c r="P887" i="16"/>
  <c r="P895" i="16"/>
  <c r="Q895" i="16" s="1"/>
  <c r="P903" i="16"/>
  <c r="P911" i="16"/>
  <c r="P919" i="16"/>
  <c r="P927" i="16"/>
  <c r="P935" i="16"/>
  <c r="P943" i="16"/>
  <c r="P951" i="16"/>
  <c r="P959" i="16"/>
  <c r="Q959" i="16" s="1"/>
  <c r="P967" i="16"/>
  <c r="P975" i="16"/>
  <c r="P983" i="16"/>
  <c r="P991" i="16"/>
  <c r="P999" i="16"/>
  <c r="P1007" i="16"/>
  <c r="P1015" i="16"/>
  <c r="Q1015" i="16" s="1"/>
  <c r="P1023" i="16"/>
  <c r="Q1023" i="16" s="1"/>
  <c r="P1031" i="16"/>
  <c r="P1039" i="16"/>
  <c r="P1047" i="16"/>
  <c r="P1055" i="16"/>
  <c r="P1063" i="16"/>
  <c r="P1071" i="16"/>
  <c r="P1079" i="16"/>
  <c r="Q1079" i="16" s="1"/>
  <c r="P1087" i="16"/>
  <c r="Q1087" i="16" s="1"/>
  <c r="P1095" i="16"/>
  <c r="P1103" i="16"/>
  <c r="P1111" i="16"/>
  <c r="P1119" i="16"/>
  <c r="P1127" i="16"/>
  <c r="P1135" i="16"/>
  <c r="P1143" i="16"/>
  <c r="P1151" i="16"/>
  <c r="Q1151" i="16" s="1"/>
  <c r="P1159" i="16"/>
  <c r="P1167" i="16"/>
  <c r="P1175" i="16"/>
  <c r="P1183" i="16"/>
  <c r="P1191" i="16"/>
  <c r="P1199" i="16"/>
  <c r="P1207" i="16"/>
  <c r="Q1207" i="16" s="1"/>
  <c r="P1215" i="16"/>
  <c r="Q1215" i="16" s="1"/>
  <c r="P1223" i="16"/>
  <c r="P1231" i="16"/>
  <c r="P1239" i="16"/>
  <c r="P1247" i="16"/>
  <c r="P1255" i="16"/>
  <c r="P1263" i="16"/>
  <c r="P1271" i="16"/>
  <c r="P1279" i="16"/>
  <c r="Q1279" i="16" s="1"/>
  <c r="P1287" i="16"/>
  <c r="P1295" i="16"/>
  <c r="P1303" i="16"/>
  <c r="P1311" i="16"/>
  <c r="P1319" i="16"/>
  <c r="P1327" i="16"/>
  <c r="P1335" i="16"/>
  <c r="Q1335" i="16" s="1"/>
  <c r="P1343" i="16"/>
  <c r="Q1343" i="16" s="1"/>
  <c r="P1351" i="16"/>
  <c r="P1359" i="16"/>
  <c r="P1367" i="16"/>
  <c r="P1375" i="16"/>
  <c r="P1383" i="16"/>
  <c r="P1391" i="16"/>
  <c r="P1399" i="16"/>
  <c r="P1407" i="16"/>
  <c r="Q1407" i="16" s="1"/>
  <c r="P1415" i="16"/>
  <c r="P1423" i="16"/>
  <c r="P1431" i="16"/>
  <c r="P1439" i="16"/>
  <c r="P1447" i="16"/>
  <c r="P1455" i="16"/>
  <c r="P1463" i="16"/>
  <c r="P1471" i="16"/>
  <c r="Q1471" i="16" s="1"/>
  <c r="P1479" i="16"/>
  <c r="P1487" i="16"/>
  <c r="P1495" i="16"/>
  <c r="P1503" i="16"/>
  <c r="P1511" i="16"/>
  <c r="P1519" i="16"/>
  <c r="P1527" i="16"/>
  <c r="P1535" i="16"/>
  <c r="Q1535" i="16" s="1"/>
  <c r="P1543" i="16"/>
  <c r="P1551" i="16"/>
  <c r="P1559" i="16"/>
  <c r="P1567" i="16"/>
  <c r="P1575" i="16"/>
  <c r="P1583" i="16"/>
  <c r="P1591" i="16"/>
  <c r="P1599" i="16"/>
  <c r="Q1599" i="16" s="1"/>
  <c r="P1607" i="16"/>
  <c r="P1615" i="16"/>
  <c r="P1623" i="16"/>
  <c r="P1631" i="16"/>
  <c r="P1639" i="16"/>
  <c r="P1647" i="16"/>
  <c r="P1655" i="16"/>
  <c r="Q1655" i="16" s="1"/>
  <c r="P1663" i="16"/>
  <c r="Q1663" i="16" s="1"/>
  <c r="P1671" i="16"/>
  <c r="P1679" i="16"/>
  <c r="P1687" i="16"/>
  <c r="P1695" i="16"/>
  <c r="P1703" i="16"/>
  <c r="P1711" i="16"/>
  <c r="P1719" i="16"/>
  <c r="P1727" i="16"/>
  <c r="Q1727" i="16" s="1"/>
  <c r="P1735" i="16"/>
  <c r="P1743" i="16"/>
  <c r="P1751" i="16"/>
  <c r="P1759" i="16"/>
  <c r="P1767" i="16"/>
  <c r="P1775" i="16"/>
  <c r="P1783" i="16"/>
  <c r="P1791" i="16"/>
  <c r="Q1791" i="16" s="1"/>
  <c r="P1799" i="16"/>
  <c r="P1807" i="16"/>
  <c r="P1815" i="16"/>
  <c r="P1823" i="16"/>
  <c r="P1831" i="16"/>
  <c r="P1839" i="16"/>
  <c r="P1847" i="16"/>
  <c r="P1855" i="16"/>
  <c r="Q1855" i="16" s="1"/>
  <c r="P1863" i="16"/>
  <c r="P1871" i="16"/>
  <c r="P1879" i="16"/>
  <c r="P1887" i="16"/>
  <c r="P1895" i="16"/>
  <c r="P1903" i="16"/>
  <c r="P1911" i="16"/>
  <c r="P1919" i="16"/>
  <c r="Q1919" i="16" s="1"/>
  <c r="P1927" i="16"/>
  <c r="P1935" i="16"/>
  <c r="P1943" i="16"/>
  <c r="P1951" i="16"/>
  <c r="P1959" i="16"/>
  <c r="P1967" i="16"/>
  <c r="P1975" i="16"/>
  <c r="P1983" i="16"/>
  <c r="Q1983" i="16" s="1"/>
  <c r="P1991" i="16"/>
  <c r="P1999" i="16"/>
  <c r="P2007" i="16"/>
  <c r="P2015" i="16"/>
  <c r="P2023" i="16"/>
  <c r="P2031" i="16"/>
  <c r="P2039" i="16"/>
  <c r="P2047" i="16"/>
  <c r="Q2047" i="16" s="1"/>
  <c r="P2055" i="16"/>
  <c r="P2063" i="16"/>
  <c r="P2071" i="16"/>
  <c r="P2079" i="16"/>
  <c r="P2087" i="16"/>
  <c r="P2095" i="16"/>
  <c r="P2103" i="16"/>
  <c r="P2111" i="16"/>
  <c r="Q2111" i="16" s="1"/>
  <c r="P2119" i="16"/>
  <c r="P2127" i="16"/>
  <c r="P2135" i="16"/>
  <c r="P2143" i="16"/>
  <c r="P2151" i="16"/>
  <c r="P2159" i="16"/>
  <c r="P2167" i="16"/>
  <c r="P2175" i="16"/>
  <c r="Q2175" i="16" s="1"/>
  <c r="P2183" i="16"/>
  <c r="P2191" i="16"/>
  <c r="P2199" i="16"/>
  <c r="P2207" i="16"/>
  <c r="P2215" i="16"/>
  <c r="P2223" i="16"/>
  <c r="P2231" i="16"/>
  <c r="Q2231" i="16" s="1"/>
  <c r="P2239" i="16"/>
  <c r="Q2239" i="16" s="1"/>
  <c r="P2247" i="16"/>
  <c r="P2255" i="16"/>
  <c r="P2263" i="16"/>
  <c r="P2271" i="16"/>
  <c r="P2279" i="16"/>
  <c r="P2287" i="16"/>
  <c r="P2295" i="16"/>
  <c r="P2303" i="16"/>
  <c r="Q2303" i="16" s="1"/>
  <c r="P2311" i="16"/>
  <c r="P2319" i="16"/>
  <c r="P2327" i="16"/>
  <c r="P2335" i="16"/>
  <c r="P107" i="16"/>
  <c r="P619" i="16"/>
  <c r="P789" i="16"/>
  <c r="P853" i="16"/>
  <c r="Q853" i="16" s="1"/>
  <c r="P917" i="16"/>
  <c r="P981" i="16"/>
  <c r="P1045" i="16"/>
  <c r="P1109" i="16"/>
  <c r="P1173" i="16"/>
  <c r="P1237" i="16"/>
  <c r="P1301" i="16"/>
  <c r="P1365" i="16"/>
  <c r="Q1365" i="16" s="1"/>
  <c r="P1429" i="16"/>
  <c r="P1493" i="16"/>
  <c r="P1557" i="16"/>
  <c r="P1621" i="16"/>
  <c r="P1685" i="16"/>
  <c r="P1749" i="16"/>
  <c r="P1813" i="16"/>
  <c r="Q1813" i="16" s="1"/>
  <c r="P1877" i="16"/>
  <c r="Q1877" i="16" s="1"/>
  <c r="P1941" i="16"/>
  <c r="P2005" i="16"/>
  <c r="P2069" i="16"/>
  <c r="P2133" i="16"/>
  <c r="P2197" i="16"/>
  <c r="P2261" i="16"/>
  <c r="P2325" i="16"/>
  <c r="Q2325" i="16" s="1"/>
  <c r="P171" i="16"/>
  <c r="Q171" i="16" s="1"/>
  <c r="P683" i="16"/>
  <c r="P797" i="16"/>
  <c r="P861" i="16"/>
  <c r="P925" i="16"/>
  <c r="P989" i="16"/>
  <c r="P1053" i="16"/>
  <c r="P1117" i="16"/>
  <c r="P1181" i="16"/>
  <c r="Q1181" i="16" s="1"/>
  <c r="P1245" i="16"/>
  <c r="P1309" i="16"/>
  <c r="P1373" i="16"/>
  <c r="P1437" i="16"/>
  <c r="P1501" i="16"/>
  <c r="P1565" i="16"/>
  <c r="P1629" i="16"/>
  <c r="Q1629" i="16" s="1"/>
  <c r="P1693" i="16"/>
  <c r="Q1693" i="16" s="1"/>
  <c r="P1757" i="16"/>
  <c r="P1821" i="16"/>
  <c r="P1885" i="16"/>
  <c r="P1949" i="16"/>
  <c r="P2013" i="16"/>
  <c r="P2077" i="16"/>
  <c r="P2141" i="16"/>
  <c r="P2205" i="16"/>
  <c r="Q2205" i="16" s="1"/>
  <c r="P2269" i="16"/>
  <c r="P2333" i="16"/>
  <c r="P235" i="16"/>
  <c r="P741" i="16"/>
  <c r="P805" i="16"/>
  <c r="P869" i="16"/>
  <c r="P933" i="16"/>
  <c r="Q933" i="16" s="1"/>
  <c r="P997" i="16"/>
  <c r="Q997" i="16" s="1"/>
  <c r="P1061" i="16"/>
  <c r="P1125" i="16"/>
  <c r="P1189" i="16"/>
  <c r="P1253" i="16"/>
  <c r="P1317" i="16"/>
  <c r="P1381" i="16"/>
  <c r="P1445" i="16"/>
  <c r="P1509" i="16"/>
  <c r="Q1509" i="16" s="1"/>
  <c r="P1573" i="16"/>
  <c r="P1637" i="16"/>
  <c r="P1701" i="16"/>
  <c r="P1765" i="16"/>
  <c r="P1829" i="16"/>
  <c r="P1893" i="16"/>
  <c r="P1957" i="16"/>
  <c r="P2021" i="16"/>
  <c r="Q2021" i="16" s="1"/>
  <c r="P2085" i="16"/>
  <c r="P2149" i="16"/>
  <c r="P2213" i="16"/>
  <c r="P2277" i="16"/>
  <c r="P2341" i="16"/>
  <c r="P299" i="16"/>
  <c r="P749" i="16"/>
  <c r="P813" i="16"/>
  <c r="Q813" i="16" s="1"/>
  <c r="P877" i="16"/>
  <c r="P941" i="16"/>
  <c r="P1005" i="16"/>
  <c r="P1069" i="16"/>
  <c r="P1133" i="16"/>
  <c r="P1197" i="16"/>
  <c r="P1261" i="16"/>
  <c r="P1325" i="16"/>
  <c r="Q1325" i="16" s="1"/>
  <c r="P1389" i="16"/>
  <c r="P1453" i="16"/>
  <c r="P1517" i="16"/>
  <c r="P1581" i="16"/>
  <c r="P1645" i="16"/>
  <c r="P1709" i="16"/>
  <c r="P1773" i="16"/>
  <c r="Q1773" i="16" s="1"/>
  <c r="P1837" i="16"/>
  <c r="Q1837" i="16" s="1"/>
  <c r="P1901" i="16"/>
  <c r="P1965" i="16"/>
  <c r="P2029" i="16"/>
  <c r="P2093" i="16"/>
  <c r="P2157" i="16"/>
  <c r="P2221" i="16"/>
  <c r="P2285" i="16"/>
  <c r="Q2285" i="16" s="1"/>
  <c r="P363" i="16"/>
  <c r="Q363" i="16" s="1"/>
  <c r="P757" i="16"/>
  <c r="P821" i="16"/>
  <c r="P885" i="16"/>
  <c r="P949" i="16"/>
  <c r="P1013" i="16"/>
  <c r="P1077" i="16"/>
  <c r="P1141" i="16"/>
  <c r="P1205" i="16"/>
  <c r="P1269" i="16"/>
  <c r="P1333" i="16"/>
  <c r="P1397" i="16"/>
  <c r="P1461" i="16"/>
  <c r="P1525" i="16"/>
  <c r="P1589" i="16"/>
  <c r="P1653" i="16"/>
  <c r="P1717" i="16"/>
  <c r="Q1717" i="16" s="1"/>
  <c r="P1781" i="16"/>
  <c r="P1845" i="16"/>
  <c r="P1909" i="16"/>
  <c r="P1973" i="16"/>
  <c r="P2037" i="16"/>
  <c r="P2101" i="16"/>
  <c r="P2165" i="16"/>
  <c r="P2229" i="16"/>
  <c r="Q2229" i="16" s="1"/>
  <c r="P2293" i="16"/>
  <c r="P491" i="16"/>
  <c r="P773" i="16"/>
  <c r="P837" i="16"/>
  <c r="P901" i="16"/>
  <c r="P965" i="16"/>
  <c r="P1029" i="16"/>
  <c r="P1093" i="16"/>
  <c r="Q1093" i="16" s="1"/>
  <c r="P1157" i="16"/>
  <c r="P1221" i="16"/>
  <c r="P1285" i="16"/>
  <c r="P1349" i="16"/>
  <c r="P1413" i="16"/>
  <c r="P1477" i="16"/>
  <c r="P1541" i="16"/>
  <c r="P1605" i="16"/>
  <c r="Q1605" i="16" s="1"/>
  <c r="P1669" i="16"/>
  <c r="P1733" i="16"/>
  <c r="P1797" i="16"/>
  <c r="P1861" i="16"/>
  <c r="P1925" i="16"/>
  <c r="P1989" i="16"/>
  <c r="P2053" i="16"/>
  <c r="Q2053" i="16" s="1"/>
  <c r="P2117" i="16"/>
  <c r="Q2117" i="16" s="1"/>
  <c r="P2181" i="16"/>
  <c r="P2245" i="16"/>
  <c r="P2309" i="16"/>
  <c r="P43" i="16"/>
  <c r="P555" i="16"/>
  <c r="P781" i="16"/>
  <c r="P845" i="16"/>
  <c r="P909" i="16"/>
  <c r="Q909" i="16" s="1"/>
  <c r="P973" i="16"/>
  <c r="P1037" i="16"/>
  <c r="P1101" i="16"/>
  <c r="P1165" i="16"/>
  <c r="P1229" i="16"/>
  <c r="P1293" i="16"/>
  <c r="P1357" i="16"/>
  <c r="P1421" i="16"/>
  <c r="Q1421" i="16" s="1"/>
  <c r="P1485" i="16"/>
  <c r="P1549" i="16"/>
  <c r="P1613" i="16"/>
  <c r="P1677" i="16"/>
  <c r="P1741" i="16"/>
  <c r="P1805" i="16"/>
  <c r="P1869" i="16"/>
  <c r="P1933" i="16"/>
  <c r="Q1933" i="16" s="1"/>
  <c r="P1997" i="16"/>
  <c r="P2061" i="16"/>
  <c r="P2125" i="16"/>
  <c r="P2189" i="16"/>
  <c r="P2253" i="16"/>
  <c r="P2317" i="16"/>
  <c r="P957" i="16"/>
  <c r="P1469" i="16"/>
  <c r="Q1469" i="16" s="1"/>
  <c r="P1981" i="16"/>
  <c r="P1021" i="16"/>
  <c r="P1533" i="16"/>
  <c r="P2045" i="16"/>
  <c r="P1085" i="16"/>
  <c r="P1597" i="16"/>
  <c r="P2109" i="16"/>
  <c r="Q2109" i="16" s="1"/>
  <c r="P1149" i="16"/>
  <c r="Q1149" i="16" s="1"/>
  <c r="P1661" i="16"/>
  <c r="P2173" i="16"/>
  <c r="P427" i="16"/>
  <c r="P1213" i="16"/>
  <c r="P1725" i="16"/>
  <c r="P2237" i="16"/>
  <c r="P765" i="16"/>
  <c r="Q765" i="16" s="1"/>
  <c r="P1277" i="16"/>
  <c r="Q1277" i="16" s="1"/>
  <c r="P1789" i="16"/>
  <c r="P2301" i="16"/>
  <c r="P829" i="16"/>
  <c r="P1341" i="16"/>
  <c r="P1853" i="16"/>
  <c r="P893" i="16"/>
  <c r="P1405" i="16"/>
  <c r="P1917" i="16"/>
  <c r="Q1917" i="16" s="1"/>
  <c r="AF748" i="16"/>
  <c r="AF1614" i="16"/>
  <c r="AF1478" i="16"/>
  <c r="AF1377" i="16"/>
  <c r="AF347" i="16"/>
  <c r="AF1511" i="16"/>
  <c r="AF530" i="16"/>
  <c r="AF1924" i="16"/>
  <c r="AF495" i="16"/>
  <c r="AF1851" i="16"/>
  <c r="AF1568" i="16"/>
  <c r="AF95" i="16"/>
  <c r="AF2181" i="16"/>
  <c r="AF1535" i="16"/>
  <c r="AF1279" i="16"/>
  <c r="AF1262" i="16"/>
  <c r="AF1345" i="16"/>
  <c r="AF2107" i="16"/>
  <c r="AF2187" i="16"/>
  <c r="AF1338" i="16"/>
  <c r="AF892" i="16"/>
  <c r="AF2115" i="16"/>
  <c r="AF1351" i="16"/>
  <c r="AF1121" i="16"/>
  <c r="AF1090" i="16"/>
  <c r="AF1709" i="16"/>
  <c r="AF1125" i="16"/>
  <c r="AF1477" i="16"/>
  <c r="AF285" i="16"/>
  <c r="AF163" i="16"/>
  <c r="AF1067" i="16"/>
  <c r="AF1587" i="16"/>
  <c r="AF1615" i="16"/>
  <c r="AF716" i="16"/>
  <c r="AF691" i="16"/>
  <c r="AF693" i="16"/>
  <c r="AF1441" i="16"/>
  <c r="AF320" i="16"/>
  <c r="AF368" i="16"/>
  <c r="AF1479" i="16"/>
  <c r="AF1856" i="16"/>
  <c r="AF221" i="16"/>
  <c r="AF1588" i="16"/>
  <c r="AF2019" i="16"/>
  <c r="AF1853" i="16"/>
  <c r="AF1283" i="16"/>
  <c r="AF1900" i="16"/>
  <c r="AF1319" i="16"/>
  <c r="AF441" i="16"/>
  <c r="AF1627" i="16"/>
  <c r="AF155" i="16"/>
  <c r="AF674" i="16"/>
  <c r="AF1876" i="16"/>
  <c r="AF2184" i="16"/>
  <c r="AF506" i="16"/>
  <c r="AF324" i="16"/>
  <c r="AF2164" i="16"/>
  <c r="AF92" i="16"/>
  <c r="AF1149" i="16"/>
  <c r="AF977" i="16"/>
  <c r="AF1577" i="16"/>
  <c r="AF1530" i="16"/>
  <c r="AF359" i="16"/>
  <c r="AF1116" i="16"/>
  <c r="AF1701" i="16"/>
  <c r="AF2135" i="16"/>
  <c r="AF923" i="16"/>
  <c r="AF459" i="16"/>
  <c r="AF2182" i="16"/>
  <c r="AF375" i="16"/>
  <c r="AF922" i="16"/>
  <c r="AF1219" i="16"/>
  <c r="AF1180" i="16"/>
  <c r="AF895" i="16"/>
  <c r="AF321" i="16"/>
  <c r="AF1032" i="16"/>
  <c r="AF461" i="16"/>
  <c r="AF1179" i="16"/>
  <c r="AF27" i="16"/>
  <c r="AF1065" i="16"/>
  <c r="AF2114" i="16"/>
  <c r="AF556" i="16"/>
  <c r="AF1720" i="16"/>
  <c r="AF348" i="16"/>
  <c r="AF1066" i="16"/>
  <c r="AF1450" i="16"/>
  <c r="AF1435" i="16"/>
  <c r="AF288" i="16"/>
  <c r="AF789" i="16"/>
  <c r="AF765" i="16"/>
  <c r="AF1643" i="16"/>
  <c r="AF1967" i="16"/>
  <c r="AF77" i="16"/>
  <c r="AF357" i="16"/>
  <c r="AF17" i="16"/>
  <c r="AF1449" i="16"/>
  <c r="AF1197" i="16"/>
  <c r="AF1349" i="16"/>
  <c r="AF1751" i="16"/>
  <c r="AF1202" i="16"/>
  <c r="AF299" i="16"/>
  <c r="AF1538" i="16"/>
  <c r="AF1001" i="16"/>
  <c r="AF1199" i="16"/>
  <c r="AF1817" i="16"/>
  <c r="AF796" i="16"/>
  <c r="AF449" i="16"/>
  <c r="AF161" i="16"/>
  <c r="AF1560" i="16"/>
  <c r="AF605" i="16"/>
  <c r="AF1103" i="16"/>
  <c r="AF1357" i="16"/>
  <c r="AF551" i="16"/>
  <c r="AF1346" i="16"/>
  <c r="AF588" i="16"/>
  <c r="AF235" i="16"/>
  <c r="AF786" i="16"/>
  <c r="AF1574" i="16"/>
  <c r="AF901" i="16"/>
  <c r="AF1118" i="16"/>
  <c r="AF749" i="16"/>
  <c r="AF756" i="16"/>
  <c r="AF1075" i="16"/>
  <c r="AF863" i="16"/>
  <c r="AF257" i="16"/>
  <c r="AF1295" i="16"/>
  <c r="AF1573" i="16"/>
  <c r="AF205" i="16"/>
  <c r="AF2185" i="16"/>
  <c r="AF1194" i="16"/>
  <c r="AF1139" i="16"/>
  <c r="AF1306" i="16"/>
  <c r="AF1253" i="16"/>
  <c r="AF891" i="16"/>
  <c r="AF1315" i="16"/>
  <c r="AF1931" i="16"/>
  <c r="AF398" i="16"/>
  <c r="AF1523" i="16"/>
  <c r="AF1474" i="16"/>
  <c r="AF941" i="16"/>
  <c r="AF932" i="16"/>
  <c r="AF1160" i="16"/>
  <c r="AF1282" i="16"/>
  <c r="AF1301" i="16"/>
  <c r="AF270" i="16"/>
  <c r="AF1284" i="16"/>
  <c r="AF936" i="16"/>
  <c r="AF367" i="16"/>
  <c r="AF1271" i="16"/>
  <c r="AF1659" i="16"/>
  <c r="AF1603" i="16"/>
  <c r="AF1890" i="16"/>
  <c r="AF942" i="16"/>
  <c r="AF1064" i="16"/>
  <c r="AF1009" i="16"/>
  <c r="AF112" i="16"/>
  <c r="AF762" i="16"/>
  <c r="AF969" i="16"/>
  <c r="AF1600" i="16"/>
  <c r="AF358" i="16"/>
  <c r="AF611" i="16"/>
  <c r="AF460" i="16"/>
  <c r="AF894" i="16"/>
  <c r="AF2183" i="16"/>
  <c r="AF236" i="16"/>
  <c r="AF1393" i="16"/>
  <c r="AF1280" i="16"/>
  <c r="AF366" i="16"/>
  <c r="AF328" i="16"/>
  <c r="AF975" i="16"/>
  <c r="AF1243" i="16"/>
  <c r="AF2057" i="16"/>
  <c r="AF1440" i="16"/>
  <c r="AF272" i="16"/>
  <c r="AF94" i="16"/>
  <c r="AF2160" i="16"/>
  <c r="AF806" i="16"/>
  <c r="AF1365" i="16"/>
  <c r="AF427" i="16"/>
  <c r="AF1555" i="16"/>
  <c r="AF1982" i="16"/>
  <c r="AF1445" i="16"/>
  <c r="AF734" i="16"/>
  <c r="AF154" i="16"/>
  <c r="AF727" i="16"/>
  <c r="AF269" i="16"/>
  <c r="AF1520" i="16"/>
  <c r="AF501" i="16"/>
  <c r="AF1341" i="16"/>
  <c r="AF1852" i="16"/>
  <c r="AF277" i="16"/>
  <c r="AF280" i="16"/>
  <c r="AF1654" i="16"/>
  <c r="AF1293" i="16"/>
  <c r="AF1863" i="16"/>
  <c r="AF1366" i="16"/>
  <c r="AF496" i="16"/>
  <c r="AF1321" i="16"/>
  <c r="AF335" i="16"/>
  <c r="AF300" i="16"/>
  <c r="AF1251" i="16"/>
  <c r="AF370" i="16"/>
  <c r="AF1486" i="16"/>
  <c r="AF962" i="16"/>
  <c r="AF952" i="16"/>
  <c r="AF1687" i="16"/>
  <c r="AF1699" i="16"/>
  <c r="AF294" i="16"/>
  <c r="AF290" i="16"/>
  <c r="AF743" i="16"/>
  <c r="AF426" i="16"/>
  <c r="AF1772" i="16"/>
  <c r="AF2072" i="16"/>
  <c r="AF1290" i="16"/>
  <c r="AF189" i="16"/>
  <c r="AF306" i="16"/>
  <c r="AF828" i="16"/>
  <c r="AF872" i="16"/>
  <c r="AF1161" i="16"/>
  <c r="AF1762" i="16"/>
  <c r="AF2047" i="16"/>
  <c r="AF2097" i="16"/>
  <c r="AF1220" i="16"/>
  <c r="AF2241" i="16"/>
  <c r="AF1514" i="16"/>
  <c r="AF379" i="16"/>
  <c r="AF2269" i="16"/>
  <c r="AF1747" i="16"/>
  <c r="AF1849" i="16"/>
  <c r="AF2229" i="16"/>
  <c r="AF2152" i="16"/>
  <c r="AF1269" i="16"/>
  <c r="AF1259" i="16"/>
  <c r="AF1733" i="16"/>
  <c r="AF2024" i="16"/>
  <c r="AF1395" i="16"/>
  <c r="AF2076" i="16"/>
  <c r="AF1234" i="16"/>
  <c r="AF580" i="16"/>
  <c r="AF1855" i="16"/>
  <c r="AF2121" i="16"/>
  <c r="AF1246" i="16"/>
  <c r="AF537" i="16"/>
  <c r="AF142" i="16"/>
  <c r="AF1592" i="16"/>
  <c r="AF103" i="16"/>
  <c r="AF486" i="16"/>
  <c r="AF846" i="16"/>
  <c r="AF2002" i="16"/>
  <c r="AF1404" i="16"/>
  <c r="AF1822" i="16"/>
  <c r="AF1693" i="16"/>
  <c r="AF2013" i="16"/>
  <c r="AF1313" i="16"/>
  <c r="AF503" i="16"/>
  <c r="AF1526" i="16"/>
  <c r="AF2105" i="16"/>
  <c r="AF686" i="16"/>
  <c r="AF104" i="16"/>
  <c r="AF514" i="16"/>
  <c r="AF250" i="16"/>
  <c r="AF951" i="16"/>
  <c r="AF1814" i="16"/>
  <c r="AF152" i="16"/>
  <c r="AF639" i="16"/>
  <c r="AF1163" i="16"/>
  <c r="AF1544" i="16"/>
  <c r="AF1204" i="16"/>
  <c r="AF1041" i="16"/>
  <c r="AF464" i="16"/>
  <c r="AF1489" i="16"/>
  <c r="AF778" i="16"/>
  <c r="AF146" i="16"/>
  <c r="AF311" i="16"/>
  <c r="AF2259" i="16"/>
  <c r="AF566" i="16"/>
  <c r="AF283" i="16"/>
  <c r="AF2117" i="16"/>
  <c r="AF536" i="16"/>
  <c r="AF1517" i="16"/>
  <c r="AF150" i="16"/>
  <c r="AF2179" i="16"/>
  <c r="AF1098" i="16"/>
  <c r="AF1153" i="16"/>
  <c r="AF2021" i="16"/>
  <c r="AF2279" i="16"/>
  <c r="AF1238" i="16"/>
  <c r="AF2237" i="16"/>
  <c r="AF2033" i="16"/>
  <c r="AF1240" i="16"/>
  <c r="AF2212" i="16"/>
  <c r="AF1834" i="16"/>
  <c r="AF2166" i="16"/>
  <c r="AF2150" i="16"/>
  <c r="AF1570" i="16"/>
  <c r="AF1694" i="16"/>
  <c r="AF2012" i="16"/>
  <c r="AF1827" i="16"/>
  <c r="AF2291" i="16"/>
  <c r="AF1093" i="16"/>
  <c r="AF1146" i="16"/>
  <c r="AF1668" i="16"/>
  <c r="AF1759" i="16"/>
  <c r="AF855" i="16"/>
  <c r="AF834" i="16"/>
  <c r="AF1906" i="16"/>
  <c r="AF1905" i="16"/>
  <c r="AF403" i="16"/>
  <c r="AF2090" i="16"/>
  <c r="AF1743" i="16"/>
  <c r="AF1026" i="16"/>
  <c r="AF1056" i="16"/>
  <c r="AF1225" i="16"/>
  <c r="AF1524" i="16"/>
  <c r="AF410" i="16"/>
  <c r="AF1272" i="16"/>
  <c r="AF382" i="16"/>
  <c r="AF149" i="16"/>
  <c r="AF24" i="16"/>
  <c r="AF2324" i="16"/>
  <c r="AF411" i="16"/>
  <c r="AF676" i="16"/>
  <c r="AF637" i="16"/>
  <c r="AF509" i="16"/>
  <c r="AF608" i="16"/>
  <c r="AF2031" i="16"/>
  <c r="AF1287" i="16"/>
  <c r="AF422" i="16"/>
  <c r="AF698" i="16"/>
  <c r="AF2118" i="16"/>
  <c r="AF1289" i="16"/>
  <c r="AF1452" i="16"/>
  <c r="AF2322" i="16"/>
  <c r="AF2087" i="16"/>
  <c r="AF1466" i="16"/>
  <c r="AF511" i="16"/>
  <c r="AF2040" i="16"/>
  <c r="AF1815" i="16"/>
  <c r="AF1417" i="16"/>
  <c r="AF1648" i="16"/>
  <c r="AF443" i="16"/>
  <c r="AF1631" i="16"/>
  <c r="AF2137" i="16"/>
  <c r="AF983" i="16"/>
  <c r="AF590" i="16"/>
  <c r="AF1522" i="16"/>
  <c r="AF2297" i="16"/>
  <c r="AF1700" i="16"/>
  <c r="AF1458" i="16"/>
  <c r="AF2081" i="16"/>
  <c r="AF2280" i="16"/>
  <c r="AF1038" i="16"/>
  <c r="AF601" i="16"/>
  <c r="AF2334" i="16"/>
  <c r="AF2287" i="16"/>
  <c r="AF2141" i="16"/>
  <c r="AF1057" i="16"/>
  <c r="AF2238" i="16"/>
  <c r="AF1182" i="16"/>
  <c r="AF2096" i="16"/>
  <c r="AF291" i="16"/>
  <c r="AF2145" i="16"/>
  <c r="AF292" i="16"/>
  <c r="AF2174" i="16"/>
  <c r="AF1369" i="16"/>
  <c r="AF432" i="16"/>
  <c r="AF2335" i="16"/>
  <c r="AF1626" i="16"/>
  <c r="AF898" i="16"/>
  <c r="AF346" i="16"/>
  <c r="AF1297" i="16"/>
  <c r="AF1217" i="16"/>
  <c r="AF1579" i="16"/>
  <c r="AF2204" i="16"/>
  <c r="AF971" i="16"/>
  <c r="AF561" i="16"/>
  <c r="AF1944" i="16"/>
  <c r="AF505" i="16"/>
  <c r="AF844" i="16"/>
  <c r="AF1356" i="16"/>
  <c r="AF585" i="16"/>
  <c r="AF606" i="16"/>
  <c r="AF1839" i="16"/>
  <c r="AF275" i="16"/>
  <c r="AF303" i="16"/>
  <c r="AF1823" i="16"/>
  <c r="AF2310" i="16"/>
  <c r="AF1683" i="16"/>
  <c r="AF2128" i="16"/>
  <c r="AF1685" i="16"/>
  <c r="AF940" i="16"/>
  <c r="AF1763" i="16"/>
  <c r="AF143" i="16"/>
  <c r="AF394" i="16"/>
  <c r="AF2023" i="16"/>
  <c r="AF2020" i="16"/>
  <c r="AF108" i="16"/>
  <c r="AF504" i="16"/>
  <c r="AF1624" i="16"/>
  <c r="AF771" i="16"/>
  <c r="AF2203" i="16"/>
  <c r="AF2292" i="16"/>
  <c r="AF42" i="16"/>
  <c r="AF408" i="16"/>
  <c r="AF1997" i="16"/>
  <c r="AF490" i="16"/>
  <c r="AF1877" i="16"/>
  <c r="AF111" i="16"/>
  <c r="AF2282" i="16"/>
  <c r="AF2172" i="16"/>
  <c r="AF1509" i="16"/>
  <c r="AF1322" i="16"/>
  <c r="AF99" i="16"/>
  <c r="AF1020" i="16"/>
  <c r="AF1354" i="16"/>
  <c r="AF2312" i="16"/>
  <c r="AF192" i="16"/>
  <c r="AF2129" i="16"/>
  <c r="AF2180" i="16"/>
  <c r="AF1430" i="16"/>
  <c r="AF998" i="16"/>
  <c r="AF1744" i="16"/>
  <c r="AF877" i="16"/>
  <c r="AF1119" i="16"/>
  <c r="AF742" i="16"/>
  <c r="AF344" i="16"/>
  <c r="AF1665" i="16"/>
  <c r="AF613" i="16"/>
  <c r="AF1748" i="16"/>
  <c r="AF2319" i="16"/>
  <c r="AF489" i="16"/>
  <c r="AF1985" i="16"/>
  <c r="AF2133" i="16"/>
  <c r="AF610" i="16"/>
  <c r="AF1463" i="16"/>
  <c r="AF1728" i="16"/>
  <c r="AF2222" i="16"/>
  <c r="AF565" i="16"/>
  <c r="AF2071" i="16"/>
  <c r="AF302" i="16"/>
  <c r="AF555" i="16"/>
  <c r="AF1413" i="16"/>
  <c r="AF247" i="16"/>
  <c r="AF993" i="16"/>
  <c r="AF151" i="16"/>
  <c r="AF955" i="16"/>
  <c r="AF1069" i="16"/>
  <c r="AF212" i="16"/>
  <c r="AF822" i="16"/>
  <c r="AF1502" i="16"/>
  <c r="AF824" i="16"/>
  <c r="AF75" i="16"/>
  <c r="AF1563" i="16"/>
  <c r="AF158" i="16"/>
  <c r="AF186" i="16"/>
  <c r="AF899" i="16"/>
  <c r="AF902" i="16"/>
  <c r="AF1564" i="16"/>
  <c r="AF138" i="16"/>
  <c r="AF402" i="16"/>
  <c r="AF1028" i="16"/>
  <c r="AF1715" i="16"/>
  <c r="AF213" i="16"/>
  <c r="AF883" i="16"/>
  <c r="AF1410" i="16"/>
  <c r="AF728" i="16"/>
  <c r="AF865" i="16"/>
  <c r="AF1157" i="16"/>
  <c r="AF1770" i="16"/>
  <c r="AF700" i="16"/>
  <c r="AF240" i="16"/>
  <c r="AF2333" i="16"/>
  <c r="AF2300" i="16"/>
  <c r="AF2170" i="16"/>
  <c r="AF2110" i="16"/>
  <c r="AF2216" i="16"/>
  <c r="AF228" i="16"/>
  <c r="AF714" i="16"/>
  <c r="AF1667" i="16"/>
  <c r="AF2265" i="16"/>
  <c r="AF1472" i="16"/>
  <c r="AF1753" i="16"/>
  <c r="AF1215" i="16"/>
  <c r="AF337" i="16"/>
  <c r="AF1557" i="16"/>
  <c r="AF2321" i="16"/>
  <c r="AF2308" i="16"/>
  <c r="AF621" i="16"/>
  <c r="AF2299" i="16"/>
  <c r="AF957" i="16"/>
  <c r="AF253" i="16"/>
  <c r="AF2278" i="16"/>
  <c r="AF1660" i="16"/>
  <c r="AF1389" i="16"/>
  <c r="AF1224" i="16"/>
  <c r="AF945" i="16"/>
  <c r="AF1559" i="16"/>
  <c r="AF89" i="16"/>
  <c r="AF1011" i="16"/>
  <c r="AF1358" i="16"/>
  <c r="AF130" i="16"/>
  <c r="AF821" i="16"/>
  <c r="AF926" i="16"/>
  <c r="AF2301" i="16"/>
  <c r="AF2211" i="16"/>
  <c r="AF1112" i="16"/>
  <c r="AF1548" i="16"/>
  <c r="AF2266" i="16"/>
  <c r="AF307" i="16"/>
  <c r="AF2244" i="16"/>
  <c r="AF2138" i="16"/>
  <c r="AF2276" i="16"/>
  <c r="AF801" i="16"/>
  <c r="AF917" i="16"/>
  <c r="AF670" i="16"/>
  <c r="AF535" i="16"/>
  <c r="AF594" i="16"/>
  <c r="AF115" i="16"/>
  <c r="AF1186" i="16"/>
  <c r="AF52" i="16"/>
  <c r="AF1147" i="16"/>
  <c r="AF1919" i="16"/>
  <c r="AF1381" i="16"/>
  <c r="AF2243" i="16"/>
  <c r="AF11" i="16"/>
  <c r="AF1843" i="16"/>
  <c r="AF780" i="16"/>
  <c r="AF1385" i="16"/>
  <c r="AF1922" i="16"/>
  <c r="AF710" i="16"/>
  <c r="AF1655" i="16"/>
  <c r="AF1362" i="16"/>
  <c r="AF1875" i="16"/>
  <c r="AF1988" i="16"/>
  <c r="AF2232" i="16"/>
  <c r="AF2206" i="16"/>
  <c r="AF1558" i="16"/>
  <c r="AF114" i="16"/>
  <c r="AF2054" i="16"/>
  <c r="AF880" i="16"/>
  <c r="AF1094" i="16"/>
  <c r="AF10" i="16"/>
  <c r="AF732" i="16"/>
  <c r="AF617" i="16"/>
  <c r="AF483" i="16"/>
  <c r="AF2284" i="16"/>
  <c r="AF568" i="16"/>
  <c r="AF2195" i="16"/>
  <c r="AF1840" i="16"/>
  <c r="AF1582" i="16"/>
  <c r="AF1776" i="16"/>
  <c r="AF939" i="16"/>
  <c r="AF1239" i="16"/>
  <c r="AF581" i="16"/>
  <c r="AF1268" i="16"/>
  <c r="AF1185" i="16"/>
  <c r="AF2061" i="16"/>
  <c r="AF389" i="16"/>
  <c r="AF352" i="16"/>
  <c r="AF1332" i="16"/>
  <c r="AF616" i="16"/>
  <c r="AF737" i="16"/>
  <c r="AF2065" i="16"/>
  <c r="AF1074" i="16"/>
  <c r="AF210" i="16"/>
  <c r="AF848" i="16"/>
  <c r="AF1403" i="16"/>
  <c r="AF718" i="16"/>
  <c r="AF1697" i="16"/>
  <c r="AF968" i="16"/>
  <c r="AF128" i="16"/>
  <c r="AF1264" i="16"/>
  <c r="AF2109" i="16"/>
  <c r="AF715" i="16"/>
  <c r="AF1959" i="16"/>
  <c r="AF2094" i="16"/>
  <c r="AF1250" i="16"/>
  <c r="AF2242" i="16"/>
  <c r="AF1801" i="16"/>
  <c r="AF1755" i="16"/>
  <c r="AF886" i="16"/>
  <c r="AF1972" i="16"/>
  <c r="AF2309" i="16"/>
  <c r="AF1682" i="16"/>
  <c r="AF795" i="16"/>
  <c r="AF1533" i="16"/>
  <c r="AF1722" i="16"/>
  <c r="AF1500" i="16"/>
  <c r="AF1936" i="16"/>
  <c r="AF510" i="16"/>
  <c r="AF1288" i="16"/>
  <c r="AF423" i="16"/>
  <c r="AF784" i="16"/>
  <c r="AF2313" i="16"/>
  <c r="AF1781" i="16"/>
  <c r="AF1798" i="16"/>
  <c r="AF78" i="16"/>
  <c r="AF1014" i="16"/>
  <c r="AF1969" i="16"/>
  <c r="AF1059" i="16"/>
  <c r="AF650" i="16"/>
  <c r="AF430" i="16"/>
  <c r="AF1686" i="16"/>
  <c r="AF1594" i="16"/>
  <c r="AF2119" i="16"/>
  <c r="AF2298" i="16"/>
  <c r="AF129" i="16"/>
  <c r="AF1828" i="16"/>
  <c r="AF2026" i="16"/>
  <c r="AF1712" i="16"/>
  <c r="AF2249" i="16"/>
  <c r="AF1678" i="16"/>
  <c r="AF1917" i="16"/>
  <c r="AF469" i="16"/>
  <c r="AF69" i="16"/>
  <c r="AF2111" i="16"/>
  <c r="AF978" i="16"/>
  <c r="AF631" i="16"/>
  <c r="AF2104" i="16"/>
  <c r="AF671" i="16"/>
  <c r="AF333" i="16"/>
  <c r="AF1572" i="16"/>
  <c r="AF1169" i="16"/>
  <c r="AF1623" i="16"/>
  <c r="AF1882" i="16"/>
  <c r="AF507" i="16"/>
  <c r="AF2148" i="16"/>
  <c r="AF1980" i="16"/>
  <c r="AF372" i="16"/>
  <c r="AF809" i="16"/>
  <c r="AF1323" i="16"/>
  <c r="AF1422" i="16"/>
  <c r="AF159" i="16"/>
  <c r="AF1774" i="16"/>
  <c r="AF424" i="16"/>
  <c r="AF1459" i="16"/>
  <c r="AF1383" i="16"/>
  <c r="AF1390" i="16"/>
  <c r="AF1651" i="16"/>
  <c r="AF229" i="16"/>
  <c r="AF172" i="16"/>
  <c r="AF467" i="16"/>
  <c r="AF81" i="16"/>
  <c r="AF2306" i="16"/>
  <c r="AF378" i="16"/>
  <c r="AF1889" i="16"/>
  <c r="AF666" i="16"/>
  <c r="AF755" i="16"/>
  <c r="AF412" i="16"/>
  <c r="AF2223" i="16"/>
  <c r="AF37" i="16"/>
  <c r="AF1928" i="16"/>
  <c r="AF1880" i="16"/>
  <c r="AF1971" i="16"/>
  <c r="AF1521" i="16"/>
  <c r="AF987" i="16"/>
  <c r="AF964" i="16"/>
  <c r="AF18" i="16"/>
  <c r="AF1229" i="16"/>
  <c r="AF1375" i="16"/>
  <c r="AF1101" i="16"/>
  <c r="AF339" i="16"/>
  <c r="AF297" i="16"/>
  <c r="AF343" i="16"/>
  <c r="AF183" i="16"/>
  <c r="AF15" i="16"/>
  <c r="AF1658" i="16"/>
  <c r="AF498" i="16"/>
  <c r="AF164" i="16"/>
  <c r="AF858" i="16"/>
  <c r="AF407" i="16"/>
  <c r="AF807" i="16"/>
  <c r="AF623" i="16"/>
  <c r="AF1664" i="16"/>
  <c r="AF1942" i="16"/>
  <c r="AF1461" i="16"/>
  <c r="AF1766" i="16"/>
  <c r="AF1926" i="16"/>
  <c r="AF1792" i="16"/>
  <c r="AF248" i="16"/>
  <c r="AF1372" i="16"/>
  <c r="AF1909" i="16"/>
  <c r="AF1249" i="16"/>
  <c r="AF1867" i="16"/>
  <c r="AF508" i="16"/>
  <c r="AF353" i="16"/>
  <c r="AF948" i="16"/>
  <c r="AF2000" i="16"/>
  <c r="AF1898" i="16"/>
  <c r="AF418" i="16"/>
  <c r="AF1221" i="16"/>
  <c r="AF2014" i="16"/>
  <c r="AF499" i="16"/>
  <c r="AF640" i="16"/>
  <c r="AF1205" i="16"/>
  <c r="AF43" i="16"/>
  <c r="AF2116" i="16"/>
  <c r="AF2127" i="16"/>
  <c r="AF632" i="16"/>
  <c r="AF2327" i="16"/>
  <c r="AF444" i="16"/>
  <c r="AF105" i="16"/>
  <c r="AF1314" i="16"/>
  <c r="AF1984" i="16"/>
  <c r="AF1881" i="16"/>
  <c r="AF1696" i="16"/>
  <c r="AF1580" i="16"/>
  <c r="AF109" i="16"/>
  <c r="AF712" i="16"/>
  <c r="AF1324" i="16"/>
  <c r="AF1330" i="16"/>
  <c r="AF2092" i="16"/>
  <c r="AF1970" i="16"/>
  <c r="AF2136" i="16"/>
  <c r="AF1384" i="16"/>
  <c r="AF1462" i="16"/>
  <c r="AF1613" i="16"/>
  <c r="AF289" i="16"/>
  <c r="AF1860" i="16"/>
  <c r="AF2315" i="16"/>
  <c r="AF1196" i="16"/>
  <c r="AF818" i="16"/>
  <c r="AF1803" i="16"/>
  <c r="AF2142" i="16"/>
  <c r="AF1037" i="16"/>
  <c r="AF431" i="16"/>
  <c r="AF313" i="16"/>
  <c r="AF584" i="16"/>
  <c r="AF2202" i="16"/>
  <c r="AF1195" i="16"/>
  <c r="AF1780" i="16"/>
  <c r="AF1809" i="16"/>
  <c r="AF904" i="16"/>
  <c r="AF850" i="16"/>
  <c r="AF420" i="16"/>
  <c r="AF419" i="16"/>
  <c r="AF406" i="16"/>
  <c r="AF455" i="16"/>
  <c r="AF722" i="16"/>
  <c r="AF2038" i="16"/>
  <c r="AF1030" i="16"/>
  <c r="AF563" i="16"/>
  <c r="AF38" i="16"/>
  <c r="AF145" i="16"/>
  <c r="AF1353" i="16"/>
  <c r="AF88" i="16"/>
  <c r="AF246" i="16"/>
  <c r="AF218" i="16"/>
  <c r="AF2263" i="16"/>
  <c r="AF885" i="16"/>
  <c r="AF421" i="16"/>
  <c r="AF1087" i="16"/>
  <c r="AF245" i="16"/>
  <c r="AF1333" i="16"/>
  <c r="AF853" i="16"/>
  <c r="AF1178" i="16"/>
  <c r="AF238" i="16"/>
  <c r="AF874" i="16"/>
  <c r="AF1016" i="16"/>
  <c r="AF1785" i="16"/>
  <c r="AF395" i="16"/>
  <c r="AF2056" i="16"/>
  <c r="AF1820" i="16"/>
  <c r="AF1376" i="16"/>
  <c r="AF2220" i="16"/>
  <c r="AF592" i="16"/>
  <c r="AF376" i="16"/>
  <c r="AF1883" i="16"/>
  <c r="AF401" i="16"/>
  <c r="AF1737" i="16"/>
  <c r="AF1999" i="16"/>
  <c r="AF753" i="16"/>
  <c r="AF2200" i="16"/>
  <c r="AF908" i="16"/>
  <c r="AF1734" i="16"/>
  <c r="AF206" i="16"/>
  <c r="AF2034" i="16"/>
  <c r="AF1641" i="16"/>
  <c r="AF1713" i="16"/>
  <c r="AF792" i="16"/>
  <c r="AF864" i="16"/>
  <c r="AF1336" i="16"/>
  <c r="AF1871" i="16"/>
  <c r="AF1230" i="16"/>
  <c r="AF1758" i="16"/>
  <c r="AF777" i="16"/>
  <c r="AF1921" i="16"/>
  <c r="AF776" i="16"/>
  <c r="AF1077" i="16"/>
  <c r="AF1813" i="16"/>
  <c r="AF1717" i="16"/>
  <c r="AF157" i="16"/>
  <c r="AF399" i="16"/>
  <c r="AF40" i="16"/>
  <c r="AF879" i="16"/>
  <c r="AF2218" i="16"/>
  <c r="AF1071" i="16"/>
  <c r="AF47" i="16"/>
  <c r="AF281" i="16"/>
  <c r="AF2043" i="16"/>
  <c r="AF1993" i="16"/>
  <c r="AF2210" i="16"/>
  <c r="AF984" i="16"/>
  <c r="AF847" i="16"/>
  <c r="AF1716" i="16"/>
  <c r="AF2331" i="16"/>
  <c r="AF534" i="16"/>
  <c r="AF1756" i="16"/>
  <c r="AF1896" i="16"/>
  <c r="AF139" i="16"/>
  <c r="AF101" i="16"/>
  <c r="AF630" i="16"/>
  <c r="AF1034" i="16"/>
  <c r="AF1397" i="16"/>
  <c r="AF805" i="16"/>
  <c r="AF2113" i="16"/>
  <c r="AF914" i="16"/>
  <c r="AF1312" i="16"/>
  <c r="AF1796" i="16"/>
  <c r="AF2171" i="16"/>
  <c r="AF1808" i="16"/>
  <c r="AF203" i="16"/>
  <c r="AF64" i="16"/>
  <c r="AF2329" i="16"/>
  <c r="AF1710" i="16"/>
  <c r="AF1789" i="16"/>
  <c r="AF1423" i="16"/>
  <c r="AF986" i="16"/>
  <c r="AF167" i="16"/>
  <c r="AF2267" i="16"/>
  <c r="AF1618" i="16"/>
  <c r="AF2086" i="16"/>
  <c r="AF1100" i="16"/>
  <c r="AF690" i="16"/>
  <c r="AF1378" i="16"/>
  <c r="AF1807" i="16"/>
  <c r="AF304" i="16"/>
  <c r="AF522" i="16"/>
  <c r="AF223" i="16"/>
  <c r="AF1396" i="16"/>
  <c r="AF1210" i="16"/>
  <c r="AF188" i="16"/>
  <c r="AF653" i="16"/>
  <c r="AF520" i="16"/>
  <c r="AF564" i="16"/>
  <c r="AF39" i="16"/>
  <c r="AF882" i="16"/>
  <c r="AF938" i="16"/>
  <c r="AF1013" i="16"/>
  <c r="AF190" i="16"/>
  <c r="AF1832" i="16"/>
  <c r="AF2305" i="16"/>
  <c r="AF1335" i="16"/>
  <c r="AF363" i="16"/>
  <c r="AF552" i="16"/>
  <c r="AF2085" i="16"/>
  <c r="AF937" i="16"/>
  <c r="AF2328" i="16"/>
  <c r="AF2030" i="16"/>
  <c r="AF1166" i="16"/>
  <c r="AF220" i="16"/>
  <c r="AF1412" i="16"/>
  <c r="AF414" i="16"/>
  <c r="AF815" i="16"/>
  <c r="AF2261" i="16"/>
  <c r="AF1144" i="16"/>
  <c r="AF867" i="16"/>
  <c r="AF699" i="16"/>
  <c r="AF1718" i="16"/>
  <c r="AF1812" i="16"/>
  <c r="AF1155" i="16"/>
  <c r="AF315" i="16"/>
  <c r="AF83" i="16"/>
  <c r="AF1414" i="16"/>
  <c r="AF19" i="16"/>
  <c r="AF1508" i="16"/>
  <c r="AF2191" i="16"/>
  <c r="AF169" i="16"/>
  <c r="AF440" i="16"/>
  <c r="AF928" i="16"/>
  <c r="AF976" i="16"/>
  <c r="AF2341" i="16"/>
  <c r="AF41" i="16"/>
  <c r="AF2158" i="16"/>
  <c r="AF2227" i="16"/>
  <c r="AF2215" i="16"/>
  <c r="AF1339" i="16"/>
  <c r="AF1831" i="16"/>
  <c r="AF2290" i="16"/>
  <c r="AF1380" i="16"/>
  <c r="AF458" i="16"/>
  <c r="AF1714" i="16"/>
  <c r="AF1749" i="16"/>
  <c r="AF66" i="16"/>
  <c r="AF1213" i="16"/>
  <c r="AF1951" i="16"/>
  <c r="AF1584" i="16"/>
  <c r="AF1821" i="16"/>
  <c r="AF1706" i="16"/>
  <c r="AF165" i="16"/>
  <c r="AF1688" i="16"/>
  <c r="AF744" i="16"/>
  <c r="AF1089" i="16"/>
  <c r="AF1528" i="16"/>
  <c r="AF274" i="16"/>
  <c r="AF1438" i="16"/>
  <c r="AF593" i="16"/>
  <c r="AF1187" i="16"/>
  <c r="AF1918" i="16"/>
  <c r="AF546" i="16"/>
  <c r="AF354" i="16"/>
  <c r="AF1183" i="16"/>
  <c r="AF224" i="16"/>
  <c r="AF1904" i="16"/>
  <c r="AF2196" i="16"/>
  <c r="AF1532" i="16"/>
  <c r="AF1079" i="16"/>
  <c r="AF397" i="16"/>
  <c r="AF1023" i="16"/>
  <c r="AF2234" i="16"/>
  <c r="AF1730" i="16"/>
  <c r="AF243" i="16"/>
  <c r="AF199" i="16"/>
  <c r="AF465" i="16"/>
  <c r="AF1267" i="16"/>
  <c r="AF470" i="16"/>
  <c r="AF471" i="16"/>
  <c r="AF1457" i="16"/>
  <c r="AF900" i="16"/>
  <c r="AF992" i="16"/>
  <c r="AF107" i="16"/>
  <c r="AF961" i="16"/>
  <c r="AF334" i="16"/>
  <c r="AF58" i="16"/>
  <c r="AF124" i="16"/>
  <c r="AF1874" i="16"/>
  <c r="AF345" i="16"/>
  <c r="AF2311" i="16"/>
  <c r="AF2271" i="16"/>
  <c r="AF1630" i="16"/>
  <c r="AF2194" i="16"/>
  <c r="AF1929" i="16"/>
  <c r="AF2082" i="16"/>
  <c r="AF679" i="16"/>
  <c r="AF214" i="16"/>
  <c r="AF1695" i="16"/>
  <c r="AF1207" i="16"/>
  <c r="AF2017" i="16"/>
  <c r="AF1426" i="16"/>
  <c r="AF1795" i="16"/>
  <c r="AF381" i="16"/>
  <c r="AF1895" i="16"/>
  <c r="AF2154" i="16"/>
  <c r="AF860" i="16"/>
  <c r="AF480" i="16"/>
  <c r="AF1420" i="16"/>
  <c r="AF946" i="16"/>
  <c r="AF1407" i="16"/>
  <c r="AF1158" i="16"/>
  <c r="AF1039" i="16"/>
  <c r="AF575" i="16"/>
  <c r="AF651" i="16"/>
  <c r="AF1170" i="16"/>
  <c r="AF2199" i="16"/>
  <c r="AF2178" i="16"/>
  <c r="AF1388" i="16"/>
  <c r="AF181" i="16"/>
  <c r="AF456" i="16"/>
  <c r="AF1036" i="16"/>
  <c r="AF476" i="16"/>
  <c r="AF2003" i="16"/>
  <c r="AF1960" i="16"/>
  <c r="AF708" i="16"/>
  <c r="AF661" i="16"/>
  <c r="AF831" i="16"/>
  <c r="AF2052" i="16"/>
  <c r="AF793" i="16"/>
  <c r="AF1912" i="16"/>
  <c r="AF207" i="16"/>
  <c r="AF1721" i="16"/>
  <c r="AF2326" i="16"/>
  <c r="AF1829" i="16"/>
  <c r="AF830" i="16"/>
  <c r="AF380" i="16"/>
  <c r="AF2042" i="16"/>
  <c r="AF447" i="16"/>
  <c r="AF539" i="16"/>
  <c r="AF2246" i="16"/>
  <c r="AF485" i="16"/>
  <c r="AF827" i="16"/>
  <c r="AF201" i="16"/>
  <c r="AF517" i="16"/>
  <c r="AF1247" i="16"/>
  <c r="AF2009" i="16"/>
  <c r="AF1051" i="16"/>
  <c r="AF28" i="16"/>
  <c r="AF1561" i="16"/>
  <c r="AF1126" i="16"/>
  <c r="AF649" i="16"/>
  <c r="AF835" i="16"/>
  <c r="AF736" i="16"/>
  <c r="AF1436" i="16"/>
  <c r="AF1611" i="16"/>
  <c r="AF531" i="16"/>
  <c r="AF1371" i="16"/>
  <c r="AF513" i="16"/>
  <c r="AF2173" i="16"/>
  <c r="AF116" i="16"/>
  <c r="AF1910" i="16"/>
  <c r="AF2226" i="16"/>
  <c r="AF468" i="16"/>
  <c r="AF2201" i="16"/>
  <c r="AF521" i="16"/>
  <c r="AF1106" i="16"/>
  <c r="AF1232" i="16"/>
  <c r="AF2131" i="16"/>
  <c r="AF1945" i="16"/>
  <c r="AF44" i="16"/>
  <c r="AF1698" i="16"/>
  <c r="AF2032" i="16"/>
  <c r="AF1927" i="16"/>
  <c r="AF2268" i="16"/>
  <c r="AF2123" i="16"/>
  <c r="AF1602" i="16"/>
  <c r="AF500" i="16"/>
  <c r="AF1298" i="16"/>
  <c r="AF772" i="16"/>
  <c r="AF569" i="16"/>
  <c r="AF1859" i="16"/>
  <c r="AF774" i="16"/>
  <c r="AF577" i="16"/>
  <c r="AF1201" i="16"/>
  <c r="AF1409" i="16"/>
  <c r="AF752" i="16"/>
  <c r="AF751" i="16"/>
  <c r="AF624" i="16"/>
  <c r="AF1212" i="16"/>
  <c r="AF607" i="16"/>
  <c r="AF1021" i="16"/>
  <c r="AF1505" i="16"/>
  <c r="AF567" i="16"/>
  <c r="AF342" i="16"/>
  <c r="AF557" i="16"/>
  <c r="AF840" i="16"/>
  <c r="AF1432" i="16"/>
  <c r="AF981" i="16"/>
  <c r="AF1111" i="16"/>
  <c r="AF694" i="16"/>
  <c r="AF351" i="16"/>
  <c r="AF417" i="16"/>
  <c r="AF1193" i="16"/>
  <c r="AF647" i="16"/>
  <c r="AF1497" i="16"/>
  <c r="AF924" i="16"/>
  <c r="AF156" i="16"/>
  <c r="AF1908" i="16"/>
  <c r="AF954" i="16"/>
  <c r="AF434" i="16"/>
  <c r="AF730" i="16"/>
  <c r="AF2037" i="16"/>
  <c r="AF2120" i="16"/>
  <c r="AF1113" i="16"/>
  <c r="AF1133" i="16"/>
  <c r="AF2192" i="16"/>
  <c r="AF463" i="16"/>
  <c r="AF1923" i="16"/>
  <c r="AF482" i="16"/>
  <c r="AF812" i="16"/>
  <c r="AF1152" i="16"/>
  <c r="AF2130" i="16"/>
  <c r="AF541" i="16"/>
  <c r="AF870" i="16"/>
  <c r="AF707" i="16"/>
  <c r="AF1767" i="16"/>
  <c r="AF1040" i="16"/>
  <c r="AF1838" i="16"/>
  <c r="AF217" i="16"/>
  <c r="AF2053" i="16"/>
  <c r="AF1811" i="16"/>
  <c r="AF1554" i="16"/>
  <c r="AF415" i="16"/>
  <c r="AF1052" i="16"/>
  <c r="AF1078" i="16"/>
  <c r="AF147" i="16"/>
  <c r="AF1177" i="16"/>
  <c r="AF125" i="16"/>
  <c r="AF1491" i="16"/>
  <c r="AF719" i="16"/>
  <c r="AF1398" i="16"/>
  <c r="AF627" i="16"/>
  <c r="AF2078" i="16"/>
  <c r="AF1002" i="16"/>
  <c r="AF1454" i="16"/>
  <c r="AF177" i="16"/>
  <c r="AF1482" i="16"/>
  <c r="AF225" i="16"/>
  <c r="AF1527" i="16"/>
  <c r="AF2273" i="16"/>
  <c r="AF798" i="16"/>
  <c r="AF662" i="16"/>
  <c r="AF1865" i="16"/>
  <c r="AF1637" i="16"/>
  <c r="AF364" i="16"/>
  <c r="AF96" i="16"/>
  <c r="AF1916" i="16"/>
  <c r="AF2099" i="16"/>
  <c r="AF185" i="16"/>
  <c r="AF721" i="16"/>
  <c r="AF1510" i="16"/>
  <c r="AF2320" i="16"/>
  <c r="AF1334" i="16"/>
  <c r="AF620" i="16"/>
  <c r="AF1935" i="16"/>
  <c r="AF252" i="16"/>
  <c r="AF1689" i="16"/>
  <c r="AF1331" i="16"/>
  <c r="AF1735" i="16"/>
  <c r="AF703" i="16"/>
  <c r="AF484" i="16"/>
  <c r="AF1601" i="16"/>
  <c r="AF803" i="16"/>
  <c r="AF888" i="16"/>
  <c r="AF811" i="16"/>
  <c r="AF123" i="16"/>
  <c r="AF215" i="16"/>
  <c r="AF1513" i="16"/>
  <c r="AF117" i="16"/>
  <c r="AF1134" i="16"/>
  <c r="AF1162" i="16"/>
  <c r="AF1566" i="16"/>
  <c r="AF226" i="16"/>
  <c r="AF526" i="16"/>
  <c r="AF2011" i="16"/>
  <c r="AF929" i="16"/>
  <c r="AF1761" i="16"/>
  <c r="AF959" i="16"/>
  <c r="AF1434" i="16"/>
  <c r="AF91" i="16"/>
  <c r="AF1819" i="16"/>
  <c r="AF1154" i="16"/>
  <c r="AF1891" i="16"/>
  <c r="AF1691" i="16"/>
  <c r="AF1662" i="16"/>
  <c r="AF1248" i="16"/>
  <c r="AF25" i="16"/>
  <c r="AF1256" i="16"/>
  <c r="AF933" i="16"/>
  <c r="AF754" i="16"/>
  <c r="AF1869" i="16"/>
  <c r="AF230" i="16"/>
  <c r="AF1958" i="16"/>
  <c r="AF1255" i="16"/>
  <c r="AF1848" i="16"/>
  <c r="AF260" i="16"/>
  <c r="AF2262" i="16"/>
  <c r="AF636" i="16"/>
  <c r="AF173" i="16"/>
  <c r="AF697" i="16"/>
  <c r="AF820" i="16"/>
  <c r="AF1525" i="16"/>
  <c r="AF783" i="16"/>
  <c r="AF1940" i="16"/>
  <c r="AF781" i="16"/>
  <c r="AF1277" i="16"/>
  <c r="AF71" i="16"/>
  <c r="AF1879" i="16"/>
  <c r="AF1595" i="16"/>
  <c r="AF602" i="16"/>
  <c r="AF1072" i="16"/>
  <c r="AF1405" i="16"/>
  <c r="AF1402" i="16"/>
  <c r="AF819" i="16"/>
  <c r="AF141" i="16"/>
  <c r="AF685" i="16"/>
  <c r="AF596" i="16"/>
  <c r="AF1609" i="16"/>
  <c r="AF600" i="16"/>
  <c r="AF758" i="16"/>
  <c r="AF1019" i="16"/>
  <c r="AF1565" i="16"/>
  <c r="AF1991" i="16"/>
  <c r="AF1543" i="16"/>
  <c r="AF1547" i="16"/>
  <c r="AF1006" i="16"/>
  <c r="AF1467" i="16"/>
  <c r="AF1387" i="16"/>
  <c r="AF1902" i="16"/>
  <c r="AF377" i="16"/>
  <c r="AF1415" i="16"/>
  <c r="AF2073" i="16"/>
  <c r="AF51" i="16"/>
  <c r="AF1424" i="16"/>
  <c r="AF2132" i="16"/>
  <c r="AF1887" i="16"/>
  <c r="AF576" i="16"/>
  <c r="AF935" i="16"/>
  <c r="AF119" i="16"/>
  <c r="AF1456" i="16"/>
  <c r="AF2248" i="16"/>
  <c r="AF912" i="16"/>
  <c r="AF717" i="16"/>
  <c r="AF416" i="16"/>
  <c r="AF696" i="16"/>
  <c r="AF1586" i="16"/>
  <c r="AF126" i="16"/>
  <c r="AF74" i="16"/>
  <c r="AF1892" i="16"/>
  <c r="AF244" i="16"/>
  <c r="AF2289" i="16"/>
  <c r="AF1943" i="16"/>
  <c r="AF638" i="16"/>
  <c r="AF1675" i="16"/>
  <c r="AF1327" i="16"/>
  <c r="AF1632" i="16"/>
  <c r="AF2139" i="16"/>
  <c r="AF1060" i="16"/>
  <c r="AF990" i="16"/>
  <c r="AF1995" i="16"/>
  <c r="AF2205" i="16"/>
  <c r="AF1768" i="16"/>
  <c r="AF626" i="16"/>
  <c r="AF2069" i="16"/>
  <c r="AF687" i="16"/>
  <c r="AF1471" i="16"/>
  <c r="AF633" i="16"/>
  <c r="AF842" i="16"/>
  <c r="AF1777" i="16"/>
  <c r="AF137" i="16"/>
  <c r="AF1589" i="16"/>
  <c r="AF875" i="16"/>
  <c r="AF663" i="16"/>
  <c r="AF2045" i="16"/>
  <c r="AF1653" i="16"/>
  <c r="AF1003" i="16"/>
  <c r="AF571" i="16"/>
  <c r="AF934" i="16"/>
  <c r="AF2095" i="16"/>
  <c r="AF1948" i="16"/>
  <c r="AF1400" i="16"/>
  <c r="AF1634" i="16"/>
  <c r="AF2304" i="16"/>
  <c r="AF1549" i="16"/>
  <c r="AF2018" i="16"/>
  <c r="AF1885" i="16"/>
  <c r="AF9" i="16"/>
  <c r="AF2255" i="16"/>
  <c r="AF2067" i="16"/>
  <c r="AF327" i="16"/>
  <c r="AF909" i="16"/>
  <c r="AF2028" i="16"/>
  <c r="AF2225" i="16"/>
  <c r="AF678" i="16"/>
  <c r="AF472" i="16"/>
  <c r="AF211" i="16"/>
  <c r="AF466" i="16"/>
  <c r="AF355" i="16"/>
  <c r="AF54" i="16"/>
  <c r="AF436" i="16"/>
  <c r="AF833" i="16"/>
  <c r="AF544" i="16"/>
  <c r="AF2077" i="16"/>
  <c r="AF22" i="16"/>
  <c r="AF750" i="16"/>
  <c r="AF2125" i="16"/>
  <c r="AF2332" i="16"/>
  <c r="AF669" i="16"/>
  <c r="AF1483" i="16"/>
  <c r="AF1029" i="16"/>
  <c r="AF2214" i="16"/>
  <c r="AF1884" i="16"/>
  <c r="AF1097" i="16"/>
  <c r="AF1872" i="16"/>
  <c r="AF2176" i="16"/>
  <c r="AF2055" i="16"/>
  <c r="AF845" i="16"/>
  <c r="AF219" i="16"/>
  <c r="AF1979" i="16"/>
  <c r="AF404" i="16"/>
  <c r="AF413" i="16"/>
  <c r="AF814" i="16"/>
  <c r="AF2260" i="16"/>
  <c r="AF1671" i="16"/>
  <c r="AF1143" i="16"/>
  <c r="AF97" i="16"/>
  <c r="AF2230" i="16"/>
  <c r="AF84" i="16"/>
  <c r="AF1063" i="16"/>
  <c r="AF2143" i="16"/>
  <c r="AF433" i="16"/>
  <c r="AF314" i="16"/>
  <c r="AF437" i="16"/>
  <c r="AF331" i="16"/>
  <c r="AF194" i="16"/>
  <c r="AF1507" i="16"/>
  <c r="AF59" i="16"/>
  <c r="AF1233" i="16"/>
  <c r="AF927" i="16"/>
  <c r="AF1102" i="16"/>
  <c r="AF800" i="16"/>
  <c r="AF168" i="16"/>
  <c r="AF209" i="16"/>
  <c r="AF1499" i="16"/>
  <c r="AF264" i="16"/>
  <c r="AF654" i="16"/>
  <c r="AF261" i="16"/>
  <c r="AF1344" i="16"/>
  <c r="AF438" i="16"/>
  <c r="AF1727" i="16"/>
  <c r="AF2193" i="16"/>
  <c r="AF497" i="16"/>
  <c r="AF681" i="16"/>
  <c r="AF2303" i="16"/>
  <c r="AF683" i="16"/>
  <c r="AF966" i="16"/>
  <c r="AF2048" i="16"/>
  <c r="AF481" i="16"/>
  <c r="AF1311" i="16"/>
  <c r="AF1845" i="16"/>
  <c r="AF35" i="16"/>
  <c r="AF227" i="16"/>
  <c r="AF1546" i="16"/>
  <c r="AF2151" i="16"/>
  <c r="AF1035" i="16"/>
  <c r="AF1218" i="16"/>
  <c r="AF2035" i="16"/>
  <c r="AF1084" i="16"/>
  <c r="AF1361" i="16"/>
  <c r="AF7" i="16"/>
  <c r="AF1476" i="16"/>
  <c r="AF1681" i="16"/>
  <c r="AF1629" i="16"/>
  <c r="AF1968" i="16"/>
  <c r="AF340" i="16"/>
  <c r="AF2275" i="16"/>
  <c r="AF2264" i="16"/>
  <c r="AF2251" i="16"/>
  <c r="AF1142" i="16"/>
  <c r="AF1790" i="16"/>
  <c r="AF816" i="16"/>
  <c r="AF1042" i="16"/>
  <c r="AF1752" i="16"/>
  <c r="AF1049" i="16"/>
  <c r="AF763" i="16"/>
  <c r="AF1607" i="16"/>
  <c r="AF729" i="16"/>
  <c r="AF604" i="16"/>
  <c r="AF1983" i="16"/>
  <c r="AF170" i="16"/>
  <c r="AF1048" i="16"/>
  <c r="AF1551" i="16"/>
  <c r="AF554" i="16"/>
  <c r="AF1241" i="16"/>
  <c r="AF1515" i="16"/>
  <c r="AF1164" i="16"/>
  <c r="AF965" i="16"/>
  <c r="AF1460" i="16"/>
  <c r="AF958" i="16"/>
  <c r="AF1421" i="16"/>
  <c r="AF1092" i="16"/>
  <c r="AF1382" i="16"/>
  <c r="AF178" i="16"/>
  <c r="AF2338" i="16"/>
  <c r="AF374" i="16"/>
  <c r="AF322" i="16"/>
  <c r="AF68" i="16"/>
  <c r="AF2044" i="16"/>
  <c r="AF222" i="16"/>
  <c r="AF974" i="16"/>
  <c r="AF1858" i="16"/>
  <c r="AF1903" i="16"/>
  <c r="AF32" i="16"/>
  <c r="AF2233" i="16"/>
  <c r="AF1842" i="16"/>
  <c r="AF1639" i="16"/>
  <c r="AF857" i="16"/>
  <c r="AF148" i="16"/>
  <c r="AF574" i="16"/>
  <c r="AF673" i="16"/>
  <c r="AF2198" i="16"/>
  <c r="AF881" i="16"/>
  <c r="AF2177" i="16"/>
  <c r="AF180" i="16"/>
  <c r="AF1203" i="16"/>
  <c r="AF388" i="16"/>
  <c r="AF1469" i="16"/>
  <c r="AF102" i="16"/>
  <c r="AF100" i="16"/>
  <c r="AF1062" i="16"/>
  <c r="AF23" i="16"/>
  <c r="AF2330" i="16"/>
  <c r="AF2050" i="16"/>
  <c r="AF293" i="16"/>
  <c r="AF1950" i="16"/>
  <c r="AF1617" i="16"/>
  <c r="AF1650" i="16"/>
  <c r="AF1214" i="16"/>
  <c r="AF1782" i="16"/>
  <c r="AF1938" i="16"/>
  <c r="AF829" i="16"/>
  <c r="AF1329" i="16"/>
  <c r="AF2041" i="16"/>
  <c r="AF1764" i="16"/>
  <c r="AF538" i="16"/>
  <c r="AF558" i="16"/>
  <c r="AF2256" i="16"/>
  <c r="AF2245" i="16"/>
  <c r="AF1099" i="16"/>
  <c r="AF2228" i="16"/>
  <c r="AF1933" i="16"/>
  <c r="AF1640" i="16"/>
  <c r="AF1308" i="16"/>
  <c r="AF516" i="16"/>
  <c r="AF2175" i="16"/>
  <c r="AF1591" i="16"/>
  <c r="AF1788" i="16"/>
  <c r="AF1008" i="16"/>
  <c r="AF672" i="16"/>
  <c r="AF1741" i="16"/>
  <c r="AF859" i="16"/>
  <c r="AF435" i="16"/>
  <c r="AF735" i="16"/>
  <c r="AF1206" i="16"/>
  <c r="AF1571" i="16"/>
  <c r="AF391" i="16"/>
  <c r="AF1174" i="16"/>
  <c r="AF1370" i="16"/>
  <c r="AF739" i="16"/>
  <c r="AF2008" i="16"/>
  <c r="AF641" i="16"/>
  <c r="AF1498" i="16"/>
  <c r="AF263" i="16"/>
  <c r="AF1005" i="16"/>
  <c r="AF2146" i="16"/>
  <c r="AF87" i="16"/>
  <c r="AF1990" i="16"/>
  <c r="AF1080" i="16"/>
  <c r="AF1778" i="16"/>
  <c r="AF2236" i="16"/>
  <c r="AF1633" i="16"/>
  <c r="AF1503" i="16"/>
  <c r="AF823" i="16"/>
  <c r="AF1799" i="16"/>
  <c r="AF1360" i="16"/>
  <c r="AF731" i="16"/>
  <c r="AF684" i="16"/>
  <c r="AF1488" i="16"/>
  <c r="AF873" i="16"/>
  <c r="AF361" i="16"/>
  <c r="AF642" i="16"/>
  <c r="AF622" i="16"/>
  <c r="AF1854" i="16"/>
  <c r="AF1670" i="16"/>
  <c r="AF764" i="16"/>
  <c r="AF1604" i="16"/>
  <c r="AF2339" i="16"/>
  <c r="AF14" i="16"/>
  <c r="AF1955" i="16"/>
  <c r="AF1791" i="16"/>
  <c r="AF1794" i="16"/>
  <c r="AF540" i="16"/>
  <c r="AF2083" i="16"/>
  <c r="AF2247" i="16"/>
  <c r="AF174" i="16"/>
  <c r="AF1825" i="16"/>
  <c r="AF1816" i="16"/>
  <c r="AF1191" i="16"/>
  <c r="AF706" i="16"/>
  <c r="AF316" i="16"/>
  <c r="AF2209" i="16"/>
  <c r="AF202" i="16"/>
  <c r="AF1151" i="16"/>
  <c r="AF1585" i="16"/>
  <c r="AF836" i="16"/>
  <c r="AF1989" i="16"/>
  <c r="AF1015" i="16"/>
  <c r="AF1656" i="16"/>
  <c r="AF1529" i="16"/>
  <c r="AF2046" i="16"/>
  <c r="AF1516" i="16"/>
  <c r="AF1496" i="16"/>
  <c r="AF239" i="16"/>
  <c r="AF1211" i="16"/>
  <c r="AF2317" i="16"/>
  <c r="AF1343" i="16"/>
  <c r="AF1939" i="16"/>
  <c r="AF817" i="16"/>
  <c r="AF949" i="16"/>
  <c r="AF1443" i="16"/>
  <c r="AF1444" i="16"/>
  <c r="AF110" i="16"/>
  <c r="AF1252" i="16"/>
  <c r="AF1907" i="16"/>
  <c r="AF1265" i="16"/>
  <c r="AF1672" i="16"/>
  <c r="AF166" i="16"/>
  <c r="AF2270" i="16"/>
  <c r="AF897" i="16"/>
  <c r="AF2239" i="16"/>
  <c r="AF868" i="16"/>
  <c r="AF1830" i="16"/>
  <c r="AF1669" i="16"/>
  <c r="AF1188" i="16"/>
  <c r="AF548" i="16"/>
  <c r="AF547" i="16"/>
  <c r="AF136" i="16"/>
  <c r="AF36" i="16"/>
  <c r="AF2207" i="16"/>
  <c r="AF1878" i="16"/>
  <c r="AF1736" i="16"/>
  <c r="AF1070" i="16"/>
  <c r="AF1453" i="16"/>
  <c r="AF308" i="16"/>
  <c r="AF878" i="16"/>
  <c r="AF799" i="16"/>
  <c r="AF599" i="16"/>
  <c r="AF1977" i="16"/>
  <c r="AF409" i="16"/>
  <c r="AF1355" i="16"/>
  <c r="AF1004" i="16"/>
  <c r="AF193" i="16"/>
  <c r="AF106" i="16"/>
  <c r="AF2296" i="16"/>
  <c r="AF2162" i="16"/>
  <c r="AF1076" i="16"/>
  <c r="AF1012" i="16"/>
  <c r="AF182" i="16"/>
  <c r="AF1406" i="16"/>
  <c r="AF1216" i="16"/>
  <c r="AF2325" i="16"/>
  <c r="AF2075" i="16"/>
  <c r="AF1836" i="16"/>
  <c r="AF619" i="16"/>
  <c r="AF1726" i="16"/>
  <c r="AF988" i="16"/>
  <c r="AF251" i="16"/>
  <c r="AF2277" i="16"/>
  <c r="AF373" i="16"/>
  <c r="AF1418" i="16"/>
  <c r="AF629" i="16"/>
  <c r="AF1045" i="16"/>
  <c r="AF1010" i="16"/>
  <c r="AF887" i="16"/>
  <c r="AF810" i="16"/>
  <c r="AF208" i="16"/>
  <c r="AF1750" i="16"/>
  <c r="AF135" i="16"/>
  <c r="AF985" i="16"/>
  <c r="AF1120" i="16"/>
  <c r="AF171" i="16"/>
  <c r="AF278" i="16"/>
  <c r="AF525" i="16"/>
  <c r="AF1518" i="16"/>
  <c r="AF1765" i="16"/>
  <c r="AF931" i="16"/>
  <c r="AF55" i="16"/>
  <c r="AF21" i="16"/>
  <c r="AF492" i="16"/>
  <c r="AF48" i="16"/>
  <c r="AF2108" i="16"/>
  <c r="AF336" i="16"/>
  <c r="AF741" i="16"/>
  <c r="AF2049" i="16"/>
  <c r="AF2007" i="16"/>
  <c r="AF8" i="16"/>
  <c r="AF2084" i="16"/>
  <c r="AF133" i="16"/>
  <c r="AF20" i="16"/>
  <c r="AF1621" i="16"/>
  <c r="AF1429" i="16"/>
  <c r="AF1047" i="16"/>
  <c r="AF1307" i="16"/>
  <c r="AF2240" i="16"/>
  <c r="AF2070" i="16"/>
  <c r="AF428" i="16"/>
  <c r="AF658" i="16"/>
  <c r="AF317" i="16"/>
  <c r="AF1705" i="16"/>
  <c r="AF254" i="16"/>
  <c r="AF305" i="16"/>
  <c r="AF586" i="16"/>
  <c r="AF175" i="16"/>
  <c r="AF2302" i="16"/>
  <c r="AF2258" i="16"/>
  <c r="AF1537" i="16"/>
  <c r="AF82" i="16"/>
  <c r="AF837" i="16"/>
  <c r="AF1545" i="16"/>
  <c r="AF2307" i="16"/>
  <c r="AF2051" i="16"/>
  <c r="AF356" i="16"/>
  <c r="AF2102" i="16"/>
  <c r="AF2134" i="16"/>
  <c r="AF1957" i="16"/>
  <c r="AF869" i="16"/>
  <c r="AF906" i="16"/>
  <c r="AF1787" i="16"/>
  <c r="AF725" i="16"/>
  <c r="AF1156" i="16"/>
  <c r="AF1096" i="16"/>
  <c r="AF1562" i="16"/>
  <c r="AF740" i="16"/>
  <c r="AF1583" i="16"/>
  <c r="AF1826" i="16"/>
  <c r="AF919" i="16"/>
  <c r="AF905" i="16"/>
  <c r="AF187" i="16"/>
  <c r="AF392" i="16"/>
  <c r="AF1131" i="16"/>
  <c r="AF1844" i="16"/>
  <c r="AF1237" i="16"/>
  <c r="AF1104" i="16"/>
  <c r="AF1754" i="16"/>
  <c r="AF1050" i="16"/>
  <c r="AF65" i="16"/>
  <c r="AF1976" i="16"/>
  <c r="AF1941" i="16"/>
  <c r="AF72" i="16"/>
  <c r="AF2197" i="16"/>
  <c r="AF1091" i="16"/>
  <c r="AF794" i="16"/>
  <c r="AF760" i="16"/>
  <c r="AF1745" i="16"/>
  <c r="AF1974" i="16"/>
  <c r="AF2165" i="16"/>
  <c r="AF1636" i="16"/>
  <c r="AF2159" i="16"/>
  <c r="AF1964" i="16"/>
  <c r="AF405" i="16"/>
  <c r="AF120" i="16"/>
  <c r="AF614" i="16"/>
  <c r="AF1757" i="16"/>
  <c r="AF773" i="16"/>
  <c r="AF570" i="16"/>
  <c r="AF1786" i="16"/>
  <c r="AF56" i="16"/>
  <c r="AF46" i="16"/>
  <c r="AF1173" i="16"/>
  <c r="AF625" i="16"/>
  <c r="AF1800" i="16"/>
  <c r="AF2161" i="16"/>
  <c r="AF49" i="16"/>
  <c r="AF1022" i="16"/>
  <c r="AF249" i="16"/>
  <c r="AF1540" i="16"/>
  <c r="AF1086" i="16"/>
  <c r="AF1674" i="16"/>
  <c r="AF2147" i="16"/>
  <c r="AF1257" i="16"/>
  <c r="AF2294" i="16"/>
  <c r="AF668" i="16"/>
  <c r="AF911" i="16"/>
  <c r="AF1597" i="16"/>
  <c r="AF2156" i="16"/>
  <c r="AF1114" i="16"/>
  <c r="AF1274" i="16"/>
  <c r="AF1425" i="16"/>
  <c r="AF1894" i="16"/>
  <c r="AF85" i="16"/>
  <c r="AF1455" i="16"/>
  <c r="AF1775" i="16"/>
  <c r="AF2066" i="16"/>
  <c r="AF2274" i="16"/>
  <c r="AF425" i="16"/>
  <c r="AF2149" i="16"/>
  <c r="AF2235" i="16"/>
  <c r="AF2163" i="16"/>
  <c r="AF913" i="16"/>
  <c r="AF677" i="16"/>
  <c r="AF1176" i="16"/>
  <c r="AF1442" i="16"/>
  <c r="AF1379" i="16"/>
  <c r="AF1805" i="16"/>
  <c r="AF53" i="16"/>
  <c r="AF1553" i="16"/>
  <c r="AF689" i="16"/>
  <c r="AF682" i="16"/>
  <c r="AF1260" i="16"/>
  <c r="AF1779" i="16"/>
  <c r="AF442" i="16"/>
  <c r="AF196" i="16"/>
  <c r="AF1649" i="16"/>
  <c r="AF1612" i="16"/>
  <c r="AF1007" i="16"/>
  <c r="AF1073" i="16"/>
  <c r="AF176" i="16"/>
  <c r="AF1018" i="16"/>
  <c r="AF33" i="16"/>
  <c r="AF1132" i="16"/>
  <c r="AF429" i="16"/>
  <c r="AF701" i="16"/>
  <c r="AF813" i="16"/>
  <c r="AF2286" i="16"/>
  <c r="AF1608" i="16"/>
  <c r="AF950" i="16"/>
  <c r="AF1978" i="16"/>
  <c r="AF341" i="16"/>
  <c r="AF702" i="16"/>
  <c r="AF1061" i="16"/>
  <c r="AF242" i="16"/>
  <c r="AF1914" i="16"/>
  <c r="AF667" i="16"/>
  <c r="AF553" i="16"/>
  <c r="AF2340" i="16"/>
  <c r="AF1729" i="16"/>
  <c r="AF1468" i="16"/>
  <c r="AF519" i="16"/>
  <c r="AF1673" i="16"/>
  <c r="AF785" i="16"/>
  <c r="AF2098" i="16"/>
  <c r="AF2323" i="16"/>
  <c r="AF2036" i="16"/>
  <c r="AF1973" i="16"/>
  <c r="AF2293" i="16"/>
  <c r="AF30" i="16"/>
  <c r="AF446" i="16"/>
  <c r="AF2257" i="16"/>
  <c r="AF991" i="16"/>
  <c r="AF1278" i="16"/>
  <c r="AF1310" i="16"/>
  <c r="AF1873" i="16"/>
  <c r="AF2010" i="16"/>
  <c r="AF2213" i="16"/>
  <c r="AF972" i="16"/>
  <c r="AF1027" i="16"/>
  <c r="AF791" i="16"/>
  <c r="AF759" i="16"/>
  <c r="AF1025" i="16"/>
  <c r="AF907" i="16"/>
  <c r="AF1184" i="16"/>
  <c r="AF1150" i="16"/>
  <c r="AF1374" i="16"/>
  <c r="AF1677" i="16"/>
  <c r="AF34" i="16"/>
  <c r="AF1085" i="16"/>
  <c r="AF1692" i="16"/>
  <c r="AF615" i="16"/>
  <c r="AF1159" i="16"/>
  <c r="AF73" i="16"/>
  <c r="AF1033" i="16"/>
  <c r="AF1470" i="16"/>
  <c r="AF1501" i="16"/>
  <c r="AF13" i="16"/>
  <c r="AF1953" i="16"/>
  <c r="AF231" i="16"/>
  <c r="AF1947" i="16"/>
  <c r="AF1793" i="16"/>
  <c r="AF2288" i="16"/>
  <c r="AF1652" i="16"/>
  <c r="AF445" i="16"/>
  <c r="AF86" i="16"/>
  <c r="AF1797" i="16"/>
  <c r="AF1419" i="16"/>
  <c r="AF910" i="16"/>
  <c r="AF591" i="16"/>
  <c r="AF709" i="16"/>
  <c r="AF1512" i="16"/>
  <c r="AF782" i="16"/>
  <c r="AF1818" i="16"/>
  <c r="AF45" i="16"/>
  <c r="AF1590" i="16"/>
  <c r="AF1127" i="16"/>
  <c r="AF1408" i="16"/>
  <c r="AF603" i="16"/>
  <c r="AF491" i="16"/>
  <c r="AF2189" i="16"/>
  <c r="AF2063" i="16"/>
  <c r="AF595" i="16"/>
  <c r="AF1539" i="16"/>
  <c r="AF1703" i="16"/>
  <c r="AF1598" i="16"/>
  <c r="AF479" i="16"/>
  <c r="AF843" i="16"/>
  <c r="AF956" i="16"/>
  <c r="AF746" i="16"/>
  <c r="AF1746" i="16"/>
  <c r="AF1359" i="16"/>
  <c r="AF50" i="16"/>
  <c r="AF688" i="16"/>
  <c r="AF2337" i="16"/>
  <c r="AF757" i="16"/>
  <c r="AF1506" i="16"/>
  <c r="AF1254" i="16"/>
  <c r="AF1189" i="16"/>
  <c r="AF1913" i="16"/>
  <c r="AF973" i="16"/>
  <c r="AF841" i="16"/>
  <c r="AF2253" i="16"/>
  <c r="AF2169" i="16"/>
  <c r="AF871" i="16"/>
  <c r="AF1599" i="16"/>
  <c r="AF1165" i="16"/>
  <c r="AF2224" i="16"/>
  <c r="AF1841" i="16"/>
  <c r="AF1638" i="16"/>
  <c r="AF856" i="16"/>
  <c r="AF1628" i="16"/>
  <c r="AF1625" i="16"/>
  <c r="AF1920" i="16"/>
  <c r="AF122" i="16"/>
  <c r="AF1949" i="16"/>
  <c r="AF179" i="16"/>
  <c r="AF1223" i="16"/>
  <c r="AF2088" i="16"/>
  <c r="AF1109" i="16"/>
  <c r="AF1082" i="16"/>
  <c r="AF1647" i="16"/>
  <c r="AF680" i="16"/>
  <c r="AF838" i="16"/>
  <c r="AF1055" i="16"/>
  <c r="AF769" i="16"/>
  <c r="AF1610" i="16"/>
  <c r="AF1864" i="16"/>
  <c r="AF1275" i="16"/>
  <c r="AF1291" i="16"/>
  <c r="AF634" i="16"/>
  <c r="AF266" i="16"/>
  <c r="AF779" i="16"/>
  <c r="AF1606" i="16"/>
  <c r="AF884" i="16"/>
  <c r="AF1190" i="16"/>
  <c r="AF770" i="16"/>
  <c r="AF1481" i="16"/>
  <c r="AF494" i="16"/>
  <c r="AF295" i="16"/>
  <c r="AF1231" i="16"/>
  <c r="AF1302" i="16"/>
  <c r="AF943" i="16"/>
  <c r="AF488" i="16"/>
  <c r="AF2001" i="16"/>
  <c r="AF1276" i="16"/>
  <c r="AF162" i="16"/>
  <c r="AF279" i="16"/>
  <c r="AF118" i="16"/>
  <c r="AF999" i="16"/>
  <c r="AF1711" i="16"/>
  <c r="AF267" i="16"/>
  <c r="AF1392" i="16"/>
  <c r="AF153" i="16"/>
  <c r="AF1679" i="16"/>
  <c r="AF233" i="16"/>
  <c r="AF545" i="16"/>
  <c r="AF1261" i="16"/>
  <c r="AF655" i="16"/>
  <c r="AF1485" i="16"/>
  <c r="AF1316" i="16"/>
  <c r="AF1981" i="16"/>
  <c r="AF1292" i="16"/>
  <c r="AF1541" i="16"/>
  <c r="AF921" i="16"/>
  <c r="AF1348" i="16"/>
  <c r="AF549" i="16"/>
  <c r="AF2140" i="16"/>
  <c r="AF2101" i="16"/>
  <c r="AF589" i="16"/>
  <c r="AF1416" i="16"/>
  <c r="AF1317" i="16"/>
  <c r="AF1956" i="16"/>
  <c r="AF1484" i="16"/>
  <c r="AF1731" i="16"/>
  <c r="AF462" i="16"/>
  <c r="AF876" i="16"/>
  <c r="AF1367" i="16"/>
  <c r="AF1227" i="16"/>
  <c r="K460" i="16"/>
  <c r="AF1862" i="16"/>
  <c r="AF1676" i="16"/>
  <c r="AF1140" i="16"/>
  <c r="AF767" i="16"/>
  <c r="AF512" i="16"/>
  <c r="AF271" i="16"/>
  <c r="AF2064" i="16"/>
  <c r="AF298" i="16"/>
  <c r="AF1136" i="16"/>
  <c r="AF2004" i="16"/>
  <c r="AF1893" i="16"/>
  <c r="AF893" i="16"/>
  <c r="AF2068" i="16"/>
  <c r="AF804" i="16"/>
  <c r="AF1946" i="16"/>
  <c r="AF808" i="16"/>
  <c r="AF453" i="16"/>
  <c r="AF1644" i="16"/>
  <c r="AF61" i="16"/>
  <c r="AF273" i="16"/>
  <c r="AF62" i="16"/>
  <c r="AF309" i="16"/>
  <c r="AF1340" i="16"/>
  <c r="AF1123" i="16"/>
  <c r="AF301" i="16"/>
  <c r="AF1724" i="16"/>
  <c r="AF1504" i="16"/>
  <c r="AF1433" i="16"/>
  <c r="AF329" i="16"/>
  <c r="AF1411" i="16"/>
  <c r="AF1542" i="16"/>
  <c r="AF385" i="16"/>
  <c r="AF1368" i="16"/>
  <c r="AF1987" i="16"/>
  <c r="AF502" i="16"/>
  <c r="AF529" i="16"/>
  <c r="AF1167" i="16"/>
  <c r="AF1447" i="16"/>
  <c r="AF1487" i="16"/>
  <c r="AF2106" i="16"/>
  <c r="AF612" i="16"/>
  <c r="AF1846" i="16"/>
  <c r="AF675" i="16"/>
  <c r="AF1305" i="16"/>
  <c r="AF1861" i="16"/>
  <c r="AF60" i="16"/>
  <c r="AF1480" i="16"/>
  <c r="AF2112" i="16"/>
  <c r="AF232" i="16"/>
  <c r="AF113" i="16"/>
  <c r="AF1141" i="16"/>
  <c r="AF478" i="16"/>
  <c r="AF705" i="16"/>
  <c r="AF318" i="16"/>
  <c r="AF296" i="16"/>
  <c r="AF1925" i="16"/>
  <c r="AF587" i="16"/>
  <c r="AF160" i="16"/>
  <c r="AF349" i="16"/>
  <c r="AF1576" i="16"/>
  <c r="AF528" i="16"/>
  <c r="AF1124" i="16"/>
  <c r="AF1208" i="16"/>
  <c r="AF1068" i="16"/>
  <c r="AF284" i="16"/>
  <c r="AF532" i="16"/>
  <c r="AF287" i="16"/>
  <c r="AF997" i="16"/>
  <c r="AF713" i="16"/>
  <c r="AF1129" i="16"/>
  <c r="AF1399" i="16"/>
  <c r="AF1642" i="16"/>
  <c r="AF635" i="16"/>
  <c r="AF1285" i="16"/>
  <c r="AF258" i="16"/>
  <c r="AF1475" i="16"/>
  <c r="AF1739" i="16"/>
  <c r="AF1000" i="16"/>
  <c r="AF1708" i="16"/>
  <c r="AF1244" i="16"/>
  <c r="AF1294" i="16"/>
  <c r="AF1325" i="16"/>
  <c r="AF1115" i="16"/>
  <c r="AF1569" i="16"/>
  <c r="AF2006" i="16"/>
  <c r="AF2079" i="16"/>
  <c r="AF1784" i="16"/>
  <c r="AF1439" i="16"/>
  <c r="AF1992" i="16"/>
  <c r="AF598" i="16"/>
  <c r="AF1725" i="16"/>
  <c r="AF1148" i="16"/>
  <c r="AF475" i="16"/>
  <c r="AF996" i="16"/>
  <c r="AF862" i="16"/>
  <c r="AF1168" i="16"/>
  <c r="AF1886" i="16"/>
  <c r="AF720" i="16"/>
  <c r="AF2005" i="16"/>
  <c r="AF1105" i="16"/>
  <c r="AF1242" i="16"/>
  <c r="AF1966" i="16"/>
  <c r="AF371" i="16"/>
  <c r="AF766" i="16"/>
  <c r="AF450" i="16"/>
  <c r="AF1850" i="16"/>
  <c r="AF1962" i="16"/>
  <c r="AF944" i="16"/>
  <c r="AF1810" i="16"/>
  <c r="AF995" i="16"/>
  <c r="AF1318" i="16"/>
  <c r="AF1296" i="16"/>
  <c r="AF1342" i="16"/>
  <c r="AF2015" i="16"/>
  <c r="AF550" i="16"/>
  <c r="AF1954" i="16"/>
  <c r="AF1226" i="16"/>
  <c r="AF350" i="16"/>
  <c r="AF1137" i="16"/>
  <c r="AF310" i="16"/>
  <c r="AF1646" i="16"/>
  <c r="AF31" i="16"/>
  <c r="AF1732" i="16"/>
  <c r="AF1596" i="16"/>
  <c r="AF452" i="16"/>
  <c r="AF400" i="16"/>
  <c r="AF583" i="16"/>
  <c r="AF573" i="16"/>
  <c r="AF360" i="16"/>
  <c r="AF276" i="16"/>
  <c r="AF597" i="16"/>
  <c r="AF920" i="16"/>
  <c r="AF2100" i="16"/>
  <c r="AF1281" i="16"/>
  <c r="AF660" i="16"/>
  <c r="AF286" i="16"/>
  <c r="AF1857" i="16"/>
  <c r="AF2022" i="16"/>
  <c r="AF665" i="16"/>
  <c r="AF947" i="16"/>
  <c r="AF1083" i="16"/>
  <c r="AF527" i="16"/>
  <c r="AF890" i="16"/>
  <c r="AF747" i="16"/>
  <c r="AF1986" i="16"/>
  <c r="AF826" i="16"/>
  <c r="AF1270" i="16"/>
  <c r="AF542" i="16"/>
  <c r="AF1130" i="16"/>
  <c r="AF2059" i="16"/>
  <c r="AF1473" i="16"/>
  <c r="AF1567" i="16"/>
  <c r="AF330" i="16"/>
  <c r="AF963" i="16"/>
  <c r="AF1552" i="16"/>
  <c r="AF1680" i="16"/>
  <c r="AF1304" i="16"/>
  <c r="AF692" i="16"/>
  <c r="AF659" i="16"/>
  <c r="AF970" i="16"/>
  <c r="AF2168" i="16"/>
  <c r="AF1228" i="16"/>
  <c r="AF1494" i="16"/>
  <c r="AF79" i="16"/>
  <c r="AF849" i="16"/>
  <c r="AF1286" i="16"/>
  <c r="AF1915" i="16"/>
  <c r="AF1937" i="16"/>
  <c r="AF1723" i="16"/>
  <c r="AF200" i="16"/>
  <c r="AF386" i="16"/>
  <c r="AF652" i="16"/>
  <c r="AF1347" i="16"/>
  <c r="AF216" i="16"/>
  <c r="AF282" i="16"/>
  <c r="AF1645" i="16"/>
  <c r="AF2074" i="16"/>
  <c r="AF132" i="16"/>
  <c r="AF656" i="16"/>
  <c r="AF523" i="16"/>
  <c r="AF1352" i="16"/>
  <c r="AF745" i="16"/>
  <c r="AC1067" i="16"/>
  <c r="AC1610" i="16"/>
  <c r="AC947" i="16"/>
  <c r="AC62" i="16"/>
  <c r="AC527" i="16"/>
  <c r="AC1740" i="16"/>
  <c r="AC1897" i="16"/>
  <c r="AC665" i="16"/>
  <c r="AC2059" i="16"/>
  <c r="AC162" i="16"/>
  <c r="AC1573" i="16"/>
  <c r="AC862" i="16"/>
  <c r="AC1751" i="16"/>
  <c r="AC1520" i="16"/>
  <c r="AC1135" i="16"/>
  <c r="AC1447" i="16"/>
  <c r="AC216" i="16"/>
  <c r="AC1321" i="16"/>
  <c r="AC573" i="16"/>
  <c r="AC1292" i="16"/>
  <c r="AC118" i="16"/>
  <c r="AC1263" i="16"/>
  <c r="AC1893" i="16"/>
  <c r="AC324" i="16"/>
  <c r="AC664" i="16"/>
  <c r="AC1295" i="16"/>
  <c r="AC387" i="16"/>
  <c r="AC205" i="16"/>
  <c r="AC1348" i="16"/>
  <c r="AC1137" i="16"/>
  <c r="AC1701" i="16"/>
  <c r="AC761" i="16"/>
  <c r="AC1966" i="16"/>
  <c r="AC31" i="16"/>
  <c r="AC95" i="16"/>
  <c r="AC1647" i="16"/>
  <c r="AC1575" i="16"/>
  <c r="AC1129" i="16"/>
  <c r="AC551" i="16"/>
  <c r="AC806" i="16"/>
  <c r="AC1475" i="16"/>
  <c r="AC1197" i="16"/>
  <c r="AC893" i="16"/>
  <c r="AC1325" i="16"/>
  <c r="AC1484" i="16"/>
  <c r="AC2064" i="16"/>
  <c r="AC2115" i="16"/>
  <c r="AC1925" i="16"/>
  <c r="AC1956" i="16"/>
  <c r="AC1148" i="16"/>
  <c r="AC1276" i="16"/>
  <c r="AC1552" i="16"/>
  <c r="AC579" i="16"/>
  <c r="AC295" i="16"/>
  <c r="AC1284" i="16"/>
  <c r="AC1511" i="16"/>
  <c r="AC1738" i="16"/>
  <c r="AC2005" i="16"/>
  <c r="AC1341" i="16"/>
  <c r="AC1992" i="16"/>
  <c r="AC1199" i="16"/>
  <c r="AC1901" i="16"/>
  <c r="AC745" i="16"/>
  <c r="AC1487" i="16"/>
  <c r="AC318" i="16"/>
  <c r="AC2184" i="16"/>
  <c r="AC550" i="16"/>
  <c r="AC1075" i="16"/>
  <c r="AC1366" i="16"/>
  <c r="AC1228" i="16"/>
  <c r="AC496" i="16"/>
  <c r="AC113" i="16"/>
  <c r="AC2074" i="16"/>
  <c r="AC1253" i="16"/>
  <c r="AC1315" i="16"/>
  <c r="AC942" i="16"/>
  <c r="AC1720" i="16"/>
  <c r="AC452" i="16"/>
  <c r="AC2107" i="16"/>
  <c r="AC1605" i="16"/>
  <c r="AC276" i="16"/>
  <c r="AC1121" i="16"/>
  <c r="AC660" i="16"/>
  <c r="AC1125" i="16"/>
  <c r="AC762" i="16"/>
  <c r="AC1349" i="16"/>
  <c r="AC1519" i="16"/>
  <c r="AC1083" i="16"/>
  <c r="AC1615" i="16"/>
  <c r="AC332" i="16"/>
  <c r="AC747" i="16"/>
  <c r="AC2187" i="16"/>
  <c r="AC530" i="16"/>
  <c r="AC301" i="16"/>
  <c r="AC94" i="16"/>
  <c r="AC1567" i="16"/>
  <c r="AC494" i="16"/>
  <c r="AC477" i="16"/>
  <c r="AC999" i="16"/>
  <c r="AC1900" i="16"/>
  <c r="AC330" i="16"/>
  <c r="AC1167" i="16"/>
  <c r="AC1392" i="16"/>
  <c r="AC2188" i="16"/>
  <c r="AC153" i="16"/>
  <c r="AC1393" i="16"/>
  <c r="AC1931" i="16"/>
  <c r="AC1302" i="16"/>
  <c r="AC1242" i="16"/>
  <c r="AC1439" i="16"/>
  <c r="AC674" i="16"/>
  <c r="AC1226" i="16"/>
  <c r="AC60" i="16"/>
  <c r="AC1810" i="16"/>
  <c r="AC635" i="16"/>
  <c r="AC1306" i="16"/>
  <c r="AC1251" i="16"/>
  <c r="AC1141" i="16"/>
  <c r="AC478" i="16"/>
  <c r="AC768" i="16"/>
  <c r="AC1862" i="16"/>
  <c r="AC1208" i="16"/>
  <c r="AC1596" i="16"/>
  <c r="AC288" i="16"/>
  <c r="AC969" i="16"/>
  <c r="AC1446" i="16"/>
  <c r="AC796" i="16"/>
  <c r="AC1709" i="16"/>
  <c r="AC982" i="16"/>
  <c r="AC1180" i="16"/>
  <c r="AC1040" i="16"/>
  <c r="AC1795" i="16"/>
  <c r="AC2299" i="16"/>
  <c r="AC957" i="16"/>
  <c r="AC253" i="16"/>
  <c r="AC2053" i="16"/>
  <c r="AC85" i="16"/>
  <c r="AC2256" i="16"/>
  <c r="AC1951" i="16"/>
  <c r="AC973" i="16"/>
  <c r="AC1213" i="16"/>
  <c r="AC852" i="16"/>
  <c r="AC1525" i="16"/>
  <c r="AC1657" i="16"/>
  <c r="AC1254" i="16"/>
  <c r="AC2337" i="16"/>
  <c r="AC2041" i="16"/>
  <c r="AC1336" i="16"/>
  <c r="AC457" i="16"/>
  <c r="AC1921" i="16"/>
  <c r="AC990" i="16"/>
  <c r="AC1995" i="16"/>
  <c r="AC493" i="16"/>
  <c r="AC687" i="16"/>
  <c r="AC167" i="16"/>
  <c r="AC2264" i="16"/>
  <c r="AC1790" i="16"/>
  <c r="AC1998" i="16"/>
  <c r="AC1752" i="16"/>
  <c r="AC1398" i="16"/>
  <c r="AC1454" i="16"/>
  <c r="AC13" i="16"/>
  <c r="AC1953" i="16"/>
  <c r="AC231" i="16"/>
  <c r="AC1793" i="16"/>
  <c r="AC445" i="16"/>
  <c r="AC1797" i="16"/>
  <c r="AC591" i="16"/>
  <c r="AC1008" i="16"/>
  <c r="AC1918" i="16"/>
  <c r="AC640" i="16"/>
  <c r="AC1879" i="16"/>
  <c r="AC1322" i="16"/>
  <c r="AC778" i="16"/>
  <c r="AC613" i="16"/>
  <c r="AC303" i="16"/>
  <c r="AC1314" i="16"/>
  <c r="AC1145" i="16"/>
  <c r="AC306" i="16"/>
  <c r="AC1185" i="16"/>
  <c r="AC596" i="16"/>
  <c r="AC2202" i="16"/>
  <c r="AC2008" i="16"/>
  <c r="AC1267" i="16"/>
  <c r="AC985" i="16"/>
  <c r="AC1490" i="16"/>
  <c r="AC1369" i="16"/>
  <c r="AC2012" i="16"/>
  <c r="AC294" i="16"/>
  <c r="AC2072" i="16"/>
  <c r="AC1495" i="16"/>
  <c r="AC244" i="16"/>
  <c r="AC1811" i="16"/>
  <c r="AC986" i="16"/>
  <c r="AC126" i="16"/>
  <c r="AC2323" i="16"/>
  <c r="AC621" i="16"/>
  <c r="AC1329" i="16"/>
  <c r="AC1209" i="16"/>
  <c r="AC558" i="16"/>
  <c r="AC1232" i="16"/>
  <c r="AC1913" i="16"/>
  <c r="AC871" i="16"/>
  <c r="AC2230" i="16"/>
  <c r="AC84" i="16"/>
  <c r="AC230" i="16"/>
  <c r="AC1602" i="16"/>
  <c r="AC619" i="16"/>
  <c r="AC373" i="16"/>
  <c r="AC2325" i="16"/>
  <c r="AC1848" i="16"/>
  <c r="AC697" i="16"/>
  <c r="AC2251" i="16"/>
  <c r="AC1100" i="16"/>
  <c r="AC816" i="16"/>
  <c r="AC1378" i="16"/>
  <c r="AC316" i="16"/>
  <c r="AC2209" i="16"/>
  <c r="AC1989" i="16"/>
  <c r="AC2154" i="16"/>
  <c r="AC1420" i="16"/>
  <c r="AC1825" i="16"/>
  <c r="AC1158" i="16"/>
  <c r="AC763" i="16"/>
  <c r="AC604" i="16"/>
  <c r="AC170" i="16"/>
  <c r="AC937" i="16"/>
  <c r="AC2328" i="16"/>
  <c r="AC1593" i="16"/>
  <c r="AC2030" i="16"/>
  <c r="AC1412" i="16"/>
  <c r="AC1616" i="16"/>
  <c r="AC414" i="16"/>
  <c r="AC815" i="16"/>
  <c r="AC2261" i="16"/>
  <c r="AC2250" i="16"/>
  <c r="AC1144" i="16"/>
  <c r="AC867" i="16"/>
  <c r="AC699" i="16"/>
  <c r="AC2143" i="16"/>
  <c r="AC197" i="16"/>
  <c r="AC1638" i="16"/>
  <c r="AC53" i="16"/>
  <c r="AC2174" i="16"/>
  <c r="AC1694" i="16"/>
  <c r="AC916" i="16"/>
  <c r="AC543" i="16"/>
  <c r="AC372" i="16"/>
  <c r="AC143" i="16"/>
  <c r="AC1459" i="16"/>
  <c r="AC670" i="16"/>
  <c r="AC536" i="16"/>
  <c r="AC2138" i="16"/>
  <c r="AC391" i="16"/>
  <c r="AC1370" i="16"/>
  <c r="AC152" i="16"/>
  <c r="AC993" i="16"/>
  <c r="AC151" i="16"/>
  <c r="AC955" i="16"/>
  <c r="AC1069" i="16"/>
  <c r="AC433" i="16"/>
  <c r="AC1507" i="16"/>
  <c r="AC1246" i="16"/>
  <c r="AC983" i="16"/>
  <c r="AC1186" i="16"/>
  <c r="AC1531" i="16"/>
  <c r="AC1994" i="16"/>
  <c r="AC1147" i="16"/>
  <c r="AC1548" i="16"/>
  <c r="AC877" i="16"/>
  <c r="AC141" i="16"/>
  <c r="AC557" i="16"/>
  <c r="AC224" i="16"/>
  <c r="AC607" i="16"/>
  <c r="AC2284" i="16"/>
  <c r="AC724" i="16"/>
  <c r="AC1823" i="16"/>
  <c r="AC1648" i="16"/>
  <c r="AC1225" i="16"/>
  <c r="AC1250" i="16"/>
  <c r="AC514" i="16"/>
  <c r="AC1063" i="16"/>
  <c r="AC618" i="16"/>
  <c r="AC424" i="16"/>
  <c r="AC1059" i="16"/>
  <c r="AC1182" i="16"/>
  <c r="AC490" i="16"/>
  <c r="AC379" i="16"/>
  <c r="AC411" i="16"/>
  <c r="AC584" i="16"/>
  <c r="AC474" i="16"/>
  <c r="AC678" i="16"/>
  <c r="AC1806" i="16"/>
  <c r="AC472" i="16"/>
  <c r="AC355" i="16"/>
  <c r="AC54" i="16"/>
  <c r="AC544" i="16"/>
  <c r="AC1390" i="16"/>
  <c r="AC111" i="16"/>
  <c r="AC2318" i="16"/>
  <c r="AC1985" i="16"/>
  <c r="AC1426" i="16"/>
  <c r="AC70" i="16"/>
  <c r="AC1465" i="16"/>
  <c r="AC1895" i="16"/>
  <c r="AC1710" i="16"/>
  <c r="AC1255" i="16"/>
  <c r="AC2245" i="16"/>
  <c r="AC829" i="16"/>
  <c r="AC2123" i="16"/>
  <c r="AC1506" i="16"/>
  <c r="AC2277" i="16"/>
  <c r="AC274" i="16"/>
  <c r="AC2228" i="16"/>
  <c r="AC44" i="16"/>
  <c r="AC569" i="16"/>
  <c r="AC219" i="16"/>
  <c r="AC636" i="16"/>
  <c r="AC57" i="16"/>
  <c r="AC1660" i="16"/>
  <c r="AC1957" i="16"/>
  <c r="AC945" i="16"/>
  <c r="AC1559" i="16"/>
  <c r="AC1011" i="16"/>
  <c r="AC2217" i="16"/>
  <c r="AC972" i="16"/>
  <c r="AC1027" i="16"/>
  <c r="AC907" i="16"/>
  <c r="AC1943" i="16"/>
  <c r="AC1327" i="16"/>
  <c r="AC518" i="16"/>
  <c r="AC2010" i="16"/>
  <c r="AC1562" i="16"/>
  <c r="AC1583" i="16"/>
  <c r="AC919" i="16"/>
  <c r="AC187" i="16"/>
  <c r="AC1721" i="16"/>
  <c r="AC1829" i="16"/>
  <c r="AC380" i="16"/>
  <c r="AC447" i="16"/>
  <c r="AC448" i="16"/>
  <c r="AC915" i="16"/>
  <c r="AC2246" i="16"/>
  <c r="AC1326" i="16"/>
  <c r="AC485" i="16"/>
  <c r="AC827" i="16"/>
  <c r="AC546" i="16"/>
  <c r="AC516" i="16"/>
  <c r="AC1668" i="16"/>
  <c r="AC99" i="16"/>
  <c r="AC886" i="16"/>
  <c r="AC18" i="16"/>
  <c r="AC802" i="16"/>
  <c r="AC1172" i="16"/>
  <c r="AC927" i="16"/>
  <c r="AC1264" i="16"/>
  <c r="AC1288" i="16"/>
  <c r="AC142" i="16"/>
  <c r="AC24" i="16"/>
  <c r="AC1834" i="16"/>
  <c r="AC1686" i="16"/>
  <c r="AC1239" i="16"/>
  <c r="AC442" i="16"/>
  <c r="AC40" i="16"/>
  <c r="AC210" i="16"/>
  <c r="AC848" i="16"/>
  <c r="AC994" i="16"/>
  <c r="AC217" i="16"/>
  <c r="AC356" i="16"/>
  <c r="AC2253" i="16"/>
  <c r="AC1836" i="16"/>
  <c r="AC814" i="16"/>
  <c r="AC1189" i="16"/>
  <c r="AC1216" i="16"/>
  <c r="AC2169" i="16"/>
  <c r="AC2274" i="16"/>
  <c r="AC30" i="16"/>
  <c r="AC1310" i="16"/>
  <c r="AC1039" i="16"/>
  <c r="AC2199" i="16"/>
  <c r="AC1142" i="16"/>
  <c r="AC1042" i="16"/>
  <c r="AC1807" i="16"/>
  <c r="AC223" i="16"/>
  <c r="AC1210" i="16"/>
  <c r="AC1510" i="16"/>
  <c r="AC2320" i="16"/>
  <c r="AC1334" i="16"/>
  <c r="AC1935" i="16"/>
  <c r="AC1689" i="16"/>
  <c r="AC1331" i="16"/>
  <c r="AC1930" i="16"/>
  <c r="AC1046" i="16"/>
  <c r="AC856" i="16"/>
  <c r="AC1741" i="16"/>
  <c r="AC1277" i="16"/>
  <c r="AC1220" i="16"/>
  <c r="AC537" i="16"/>
  <c r="AC499" i="16"/>
  <c r="AC780" i="16"/>
  <c r="AC671" i="16"/>
  <c r="AC1308" i="16"/>
  <c r="AC672" i="16"/>
  <c r="AC1337" i="16"/>
  <c r="AC2002" i="16"/>
  <c r="AC426" i="16"/>
  <c r="AC1522" i="16"/>
  <c r="AC1972" i="16"/>
  <c r="AC2266" i="16"/>
  <c r="AC503" i="16"/>
  <c r="AC199" i="16"/>
  <c r="AC739" i="16"/>
  <c r="AC492" i="16"/>
  <c r="AC48" i="16"/>
  <c r="AC2051" i="16"/>
  <c r="AC1641" i="16"/>
  <c r="AC1713" i="16"/>
  <c r="AC1892" i="16"/>
  <c r="AC1872" i="16"/>
  <c r="AC2066" i="16"/>
  <c r="AC629" i="16"/>
  <c r="AC1821" i="16"/>
  <c r="AC2093" i="16"/>
  <c r="AC2235" i="16"/>
  <c r="AC2163" i="16"/>
  <c r="AC1114" i="16"/>
  <c r="AC1775" i="16"/>
  <c r="AC1106" i="16"/>
  <c r="AC1706" i="16"/>
  <c r="AC173" i="16"/>
  <c r="AC2281" i="16"/>
  <c r="AC1871" i="16"/>
  <c r="AC1758" i="16"/>
  <c r="AC776" i="16"/>
  <c r="AC16" i="16"/>
  <c r="AC2205" i="16"/>
  <c r="AC626" i="16"/>
  <c r="AC2069" i="16"/>
  <c r="AC2102" i="16"/>
  <c r="AC980" i="16"/>
  <c r="AC869" i="16"/>
  <c r="AC1391" i="16"/>
  <c r="AC125" i="16"/>
  <c r="AC719" i="16"/>
  <c r="AC627" i="16"/>
  <c r="AC1002" i="16"/>
  <c r="AC177" i="16"/>
  <c r="AC2095" i="16"/>
  <c r="AC1948" i="16"/>
  <c r="AC1400" i="16"/>
  <c r="AC1634" i="16"/>
  <c r="AC2304" i="16"/>
  <c r="AC960" i="16"/>
  <c r="AC2018" i="16"/>
  <c r="AC1885" i="16"/>
  <c r="AC2255" i="16"/>
  <c r="AC2067" i="16"/>
  <c r="AC327" i="16"/>
  <c r="AC2028" i="16"/>
  <c r="AC2225" i="16"/>
  <c r="AC1072" i="16"/>
  <c r="AC1201" i="16"/>
  <c r="AC1405" i="16"/>
  <c r="AC229" i="16"/>
  <c r="AC444" i="16"/>
  <c r="AC2232" i="16"/>
  <c r="AC855" i="16"/>
  <c r="AC37" i="16"/>
  <c r="AC602" i="16"/>
  <c r="AC1763" i="16"/>
  <c r="AC1743" i="16"/>
  <c r="AC2021" i="16"/>
  <c r="AC1323" i="16"/>
  <c r="AC1290" i="16"/>
  <c r="AC581" i="16"/>
  <c r="AC685" i="16"/>
  <c r="AC1413" i="16"/>
  <c r="AC1769" i="16"/>
  <c r="AC1432" i="16"/>
  <c r="AC1649" i="16"/>
  <c r="AC758" i="16"/>
  <c r="AC1612" i="16"/>
  <c r="AC1019" i="16"/>
  <c r="AC208" i="16"/>
  <c r="AC1867" i="16"/>
  <c r="AC109" i="16"/>
  <c r="AC1240" i="16"/>
  <c r="AC566" i="16"/>
  <c r="AC606" i="16"/>
  <c r="AC383" i="16"/>
  <c r="AC1592" i="16"/>
  <c r="AC1463" i="16"/>
  <c r="AC1717" i="16"/>
  <c r="AC290" i="16"/>
  <c r="AC382" i="16"/>
  <c r="AC1815" i="16"/>
  <c r="AC248" i="16"/>
  <c r="AC407" i="16"/>
  <c r="AC289" i="16"/>
  <c r="AC2279" i="16"/>
  <c r="AC810" i="16"/>
  <c r="AC2090" i="16"/>
  <c r="AC2040" i="16"/>
  <c r="AC1792" i="16"/>
  <c r="AC105" i="16"/>
  <c r="AC2204" i="16"/>
  <c r="AC784" i="16"/>
  <c r="AC430" i="16"/>
  <c r="AC2297" i="16"/>
  <c r="AC1882" i="16"/>
  <c r="AC565" i="16"/>
  <c r="AC56" i="16"/>
  <c r="AC46" i="16"/>
  <c r="AC645" i="16"/>
  <c r="AC625" i="16"/>
  <c r="AC1800" i="16"/>
  <c r="AC2161" i="16"/>
  <c r="AC49" i="16"/>
  <c r="AC2092" i="16"/>
  <c r="AC2145" i="16"/>
  <c r="AC2309" i="16"/>
  <c r="AC1696" i="16"/>
  <c r="AC978" i="16"/>
  <c r="AC637" i="16"/>
  <c r="AC939" i="16"/>
  <c r="AC504" i="16"/>
  <c r="AC1362" i="16"/>
  <c r="AC2141" i="16"/>
  <c r="AC344" i="16"/>
  <c r="AC850" i="16"/>
  <c r="AC1005" i="16"/>
  <c r="AC1482" i="16"/>
  <c r="AC240" i="16"/>
  <c r="AC351" i="16"/>
  <c r="AC1705" i="16"/>
  <c r="AC2113" i="16"/>
  <c r="AC1908" i="16"/>
  <c r="AC218" i="16"/>
  <c r="AC2289" i="16"/>
  <c r="AC2017" i="16"/>
  <c r="AC1938" i="16"/>
  <c r="AC538" i="16"/>
  <c r="AC1187" i="16"/>
  <c r="AC988" i="16"/>
  <c r="AC1418" i="16"/>
  <c r="AC67" i="16"/>
  <c r="AC2254" i="16"/>
  <c r="AC1782" i="16"/>
  <c r="AC1764" i="16"/>
  <c r="AC251" i="16"/>
  <c r="AC97" i="16"/>
  <c r="AC1078" i="16"/>
  <c r="AC906" i="16"/>
  <c r="AC1177" i="16"/>
  <c r="AC1156" i="16"/>
  <c r="AC202" i="16"/>
  <c r="AC1585" i="16"/>
  <c r="AC836" i="16"/>
  <c r="AC1551" i="16"/>
  <c r="AC446" i="16"/>
  <c r="AC991" i="16"/>
  <c r="AC1049" i="16"/>
  <c r="AC825" i="16"/>
  <c r="AC729" i="16"/>
  <c r="AC1048" i="16"/>
  <c r="AC2338" i="16"/>
  <c r="AC374" i="16"/>
  <c r="AC262" i="16"/>
  <c r="AC68" i="16"/>
  <c r="AC2044" i="16"/>
  <c r="AC222" i="16"/>
  <c r="AC1903" i="16"/>
  <c r="AC32" i="16"/>
  <c r="AC2233" i="16"/>
  <c r="AC1198" i="16"/>
  <c r="AC437" i="16"/>
  <c r="AC1625" i="16"/>
  <c r="AC179" i="16"/>
  <c r="AC2033" i="16"/>
  <c r="AC297" i="16"/>
  <c r="AC968" i="16"/>
  <c r="AC1430" i="16"/>
  <c r="AC354" i="16"/>
  <c r="AC1532" i="16"/>
  <c r="AC2118" i="16"/>
  <c r="AC362" i="16"/>
  <c r="AC390" i="16"/>
  <c r="AC650" i="16"/>
  <c r="AC2292" i="16"/>
  <c r="AC307" i="16"/>
  <c r="AC1526" i="16"/>
  <c r="AC1174" i="16"/>
  <c r="AC737" i="16"/>
  <c r="AC1195" i="16"/>
  <c r="AC1780" i="16"/>
  <c r="AC1619" i="16"/>
  <c r="AC904" i="16"/>
  <c r="AC1824" i="16"/>
  <c r="AC2031" i="16"/>
  <c r="AC807" i="16"/>
  <c r="AC129" i="16"/>
  <c r="AC515" i="16"/>
  <c r="AC394" i="16"/>
  <c r="AC998" i="16"/>
  <c r="AC2322" i="16"/>
  <c r="AC1623" i="16"/>
  <c r="AC2128" i="16"/>
  <c r="AC1803" i="16"/>
  <c r="AC74" i="16"/>
  <c r="AC2307" i="16"/>
  <c r="AC1423" i="16"/>
  <c r="AC1742" i="16"/>
  <c r="AC340" i="16"/>
  <c r="AC1838" i="16"/>
  <c r="AC2036" i="16"/>
  <c r="AC1869" i="16"/>
  <c r="AC2268" i="16"/>
  <c r="AC754" i="16"/>
  <c r="AC404" i="16"/>
  <c r="AC1438" i="16"/>
  <c r="AC757" i="16"/>
  <c r="AC12" i="16"/>
  <c r="AC413" i="16"/>
  <c r="AC1961" i="16"/>
  <c r="AC1089" i="16"/>
  <c r="AC1389" i="16"/>
  <c r="AC704" i="16"/>
  <c r="AC832" i="16"/>
  <c r="AC89" i="16"/>
  <c r="AC2213" i="16"/>
  <c r="AC121" i="16"/>
  <c r="AC791" i="16"/>
  <c r="AC1025" i="16"/>
  <c r="AC860" i="16"/>
  <c r="AC946" i="16"/>
  <c r="AC1816" i="16"/>
  <c r="AC1870" i="16"/>
  <c r="AC1096" i="16"/>
  <c r="AC1826" i="16"/>
  <c r="AC905" i="16"/>
  <c r="AC392" i="16"/>
  <c r="AC110" i="16"/>
  <c r="AC1907" i="16"/>
  <c r="AC1265" i="16"/>
  <c r="AC1672" i="16"/>
  <c r="AC166" i="16"/>
  <c r="AC897" i="16"/>
  <c r="AC1669" i="16"/>
  <c r="AC1409" i="16"/>
  <c r="AC397" i="16"/>
  <c r="AC735" i="16"/>
  <c r="AC2153" i="16"/>
  <c r="AC1843" i="16"/>
  <c r="AC771" i="16"/>
  <c r="AC338" i="16"/>
  <c r="AC469" i="16"/>
  <c r="AC1442" i="16"/>
  <c r="AC689" i="16"/>
  <c r="AC1926" i="16"/>
  <c r="AC1533" i="16"/>
  <c r="AC809" i="16"/>
  <c r="AC1324" i="16"/>
  <c r="AC2319" i="16"/>
  <c r="AC1354" i="16"/>
  <c r="AC189" i="16"/>
  <c r="AC1779" i="16"/>
  <c r="AC840" i="16"/>
  <c r="AC381" i="16"/>
  <c r="AC540" i="16"/>
  <c r="AC1584" i="16"/>
  <c r="AC772" i="16"/>
  <c r="AC1622" i="16"/>
  <c r="AC304" i="16"/>
  <c r="AC1974" i="16"/>
  <c r="AC1661" i="16"/>
  <c r="AC1021" i="16"/>
  <c r="AC844" i="16"/>
  <c r="AC2105" i="16"/>
  <c r="AC1386" i="16"/>
  <c r="AC1841" i="16"/>
  <c r="AC1205" i="16"/>
  <c r="AC1176" i="16"/>
  <c r="AC1839" i="16"/>
  <c r="AC1462" i="16"/>
  <c r="AC1722" i="16"/>
  <c r="AC52" i="16"/>
  <c r="AC1877" i="16"/>
  <c r="AC1269" i="16"/>
  <c r="AC2061" i="16"/>
  <c r="AC1980" i="16"/>
  <c r="AC2126" i="16"/>
  <c r="AC568" i="16"/>
  <c r="AC291" i="16"/>
  <c r="AC43" i="16"/>
  <c r="AC507" i="16"/>
  <c r="AC2222" i="16"/>
  <c r="AC811" i="16"/>
  <c r="AC1802" i="16"/>
  <c r="AC117" i="16"/>
  <c r="AC1736" i="16"/>
  <c r="AC2191" i="16"/>
  <c r="AC226" i="16"/>
  <c r="AC878" i="16"/>
  <c r="AC2111" i="16"/>
  <c r="AC378" i="16"/>
  <c r="AC1631" i="16"/>
  <c r="AC346" i="16"/>
  <c r="AC1889" i="16"/>
  <c r="AC2133" i="16"/>
  <c r="AC2136" i="16"/>
  <c r="AC1272" i="16"/>
  <c r="AC632" i="16"/>
  <c r="AC1014" i="16"/>
  <c r="AC2077" i="16"/>
  <c r="AC88" i="16"/>
  <c r="AC156" i="16"/>
  <c r="AC75" i="16"/>
  <c r="AC681" i="16"/>
  <c r="AC1611" i="16"/>
  <c r="AC2029" i="16"/>
  <c r="AC1977" i="16"/>
  <c r="AC1703" i="16"/>
  <c r="AC1374" i="16"/>
  <c r="AC2340" i="16"/>
  <c r="AC106" i="16"/>
  <c r="AC1131" i="16"/>
  <c r="AC419" i="16"/>
  <c r="AC1502" i="16"/>
  <c r="AC824" i="16"/>
  <c r="AC2003" i="16"/>
  <c r="AC1674" i="16"/>
  <c r="AC2263" i="16"/>
  <c r="AC1104" i="16"/>
  <c r="AC2236" i="16"/>
  <c r="AC131" i="16"/>
  <c r="AC2110" i="16"/>
  <c r="AC1754" i="16"/>
  <c r="AC2125" i="16"/>
  <c r="AC708" i="16"/>
  <c r="AC1431" i="16"/>
  <c r="AC421" i="16"/>
  <c r="AC334" i="16"/>
  <c r="AC730" i="16"/>
  <c r="AC875" i="16"/>
  <c r="AC701" i="16"/>
  <c r="AC65" i="16"/>
  <c r="AC847" i="16"/>
  <c r="AC1692" i="16"/>
  <c r="AC793" i="16"/>
  <c r="AC1653" i="16"/>
  <c r="AC668" i="16"/>
  <c r="AC458" i="16"/>
  <c r="AC1248" i="16"/>
  <c r="AC911" i="16"/>
  <c r="AC1714" i="16"/>
  <c r="AC25" i="16"/>
  <c r="AC1597" i="16"/>
  <c r="AC1749" i="16"/>
  <c r="AC1650" i="16"/>
  <c r="AC2156" i="16"/>
  <c r="AC120" i="16"/>
  <c r="AC2190" i="16"/>
  <c r="AC396" i="16"/>
  <c r="AC1372" i="16"/>
  <c r="AC751" i="16"/>
  <c r="AC926" i="16"/>
  <c r="AC148" i="16"/>
  <c r="AC835" i="16"/>
  <c r="AC2054" i="16"/>
  <c r="AC1093" i="16"/>
  <c r="AC212" i="16"/>
  <c r="AC20" i="16"/>
  <c r="AC1547" i="16"/>
  <c r="AC1670" i="16"/>
  <c r="AC1382" i="16"/>
  <c r="AC185" i="16"/>
  <c r="AC425" i="16"/>
  <c r="AC480" i="16"/>
  <c r="AC181" i="16"/>
  <c r="AC614" i="16"/>
  <c r="AC743" i="16"/>
  <c r="AC243" i="16"/>
  <c r="AC1451" i="16"/>
  <c r="AC577" i="16"/>
  <c r="AC1774" i="16"/>
  <c r="AC2241" i="16"/>
  <c r="AC1828" i="16"/>
  <c r="AC1558" i="16"/>
  <c r="AC2087" i="16"/>
  <c r="AC600" i="16"/>
  <c r="AC2179" i="16"/>
  <c r="AC432" i="16"/>
  <c r="AC1772" i="16"/>
  <c r="AC1664" i="16"/>
  <c r="AC509" i="16"/>
  <c r="AC104" i="16"/>
  <c r="AC1859" i="16"/>
  <c r="AC59" i="16"/>
  <c r="AC2314" i="16"/>
  <c r="AC2259" i="16"/>
  <c r="AC1699" i="16"/>
  <c r="AC2195" i="16"/>
  <c r="AC889" i="16"/>
  <c r="AC709" i="16"/>
  <c r="AC1247" i="16"/>
  <c r="AC857" i="16"/>
  <c r="AC45" i="16"/>
  <c r="AC1561" i="16"/>
  <c r="AC673" i="16"/>
  <c r="AC180" i="16"/>
  <c r="AC1905" i="16"/>
  <c r="AC2315" i="16"/>
  <c r="AC676" i="16"/>
  <c r="AC1259" i="16"/>
  <c r="AC418" i="16"/>
  <c r="AC2013" i="16"/>
  <c r="AC1249" i="16"/>
  <c r="AC1747" i="16"/>
  <c r="AC2081" i="16"/>
  <c r="AC1785" i="16"/>
  <c r="AC1036" i="16"/>
  <c r="AC242" i="16"/>
  <c r="AC554" i="16"/>
  <c r="AC134" i="16"/>
  <c r="AC2331" i="16"/>
  <c r="AC1456" i="16"/>
  <c r="AC1132" i="16"/>
  <c r="AC2038" i="16"/>
  <c r="AC2332" i="16"/>
  <c r="AC714" i="16"/>
  <c r="AC369" i="16"/>
  <c r="AC1424" i="16"/>
  <c r="AC1695" i="16"/>
  <c r="AC1080" i="16"/>
  <c r="AC1469" i="16"/>
  <c r="AC225" i="16"/>
  <c r="AC1540" i="16"/>
  <c r="AC144" i="16"/>
  <c r="AC694" i="16"/>
  <c r="AC417" i="16"/>
  <c r="AC914" i="16"/>
  <c r="AC2146" i="16"/>
  <c r="AC854" i="16"/>
  <c r="AC361" i="16"/>
  <c r="AC1589" i="16"/>
  <c r="AC679" i="16"/>
  <c r="AC683" i="16"/>
  <c r="AC586" i="16"/>
  <c r="AC2210" i="16"/>
  <c r="AC204" i="16"/>
  <c r="AC1152" i="16"/>
  <c r="AC1467" i="16"/>
  <c r="AC1339" i="16"/>
  <c r="AC984" i="16"/>
  <c r="AC899" i="16"/>
  <c r="AC1017" i="16"/>
  <c r="AC1691" i="16"/>
  <c r="AC293" i="16"/>
  <c r="AC1939" i="16"/>
  <c r="AC615" i="16"/>
  <c r="AC326" i="16"/>
  <c r="AC817" i="16"/>
  <c r="AC707" i="16"/>
  <c r="AC562" i="16"/>
  <c r="AC764" i="16"/>
  <c r="AC1673" i="16"/>
  <c r="AC1770" i="16"/>
  <c r="AC1767" i="16"/>
  <c r="AC874" i="16"/>
  <c r="AC1604" i="16"/>
  <c r="AC700" i="16"/>
  <c r="AC64" i="16"/>
  <c r="AC933" i="16"/>
  <c r="AC331" i="16"/>
  <c r="AC168" i="16"/>
  <c r="AC1492" i="16"/>
  <c r="AC2020" i="16"/>
  <c r="AC880" i="16"/>
  <c r="AC684" i="16"/>
  <c r="AC750" i="16"/>
  <c r="AC956" i="16"/>
  <c r="AC1018" i="16"/>
  <c r="AC1960" i="16"/>
  <c r="AC429" i="16"/>
  <c r="AC2084" i="16"/>
  <c r="AC870" i="16"/>
  <c r="AC1133" i="16"/>
  <c r="AC1091" i="16"/>
  <c r="AC2176" i="16"/>
  <c r="AC260" i="16"/>
  <c r="AC174" i="16"/>
  <c r="AC1636" i="16"/>
  <c r="AC1757" i="16"/>
  <c r="AC508" i="16"/>
  <c r="AC1609" i="16"/>
  <c r="AC1628" i="16"/>
  <c r="AC1395" i="16"/>
  <c r="AC1356" i="16"/>
  <c r="AC2152" i="16"/>
  <c r="AC1744" i="16"/>
  <c r="AC561" i="16"/>
  <c r="AC1765" i="16"/>
  <c r="AC1880" i="16"/>
  <c r="AC71" i="16"/>
  <c r="AC1206" i="16"/>
  <c r="AC1697" i="16"/>
  <c r="AC2238" i="16"/>
  <c r="AC353" i="16"/>
  <c r="AC1234" i="16"/>
  <c r="AC971" i="16"/>
  <c r="AC389" i="16"/>
  <c r="AC677" i="16"/>
  <c r="AC184" i="16"/>
  <c r="AC1759" i="16"/>
  <c r="AC343" i="16"/>
  <c r="AC1500" i="16"/>
  <c r="AC2117" i="16"/>
  <c r="AC2148" i="16"/>
  <c r="AC1556" i="16"/>
  <c r="AC1718" i="16"/>
  <c r="AC888" i="16"/>
  <c r="AC1513" i="16"/>
  <c r="AC1508" i="16"/>
  <c r="AC1566" i="16"/>
  <c r="AC308" i="16"/>
  <c r="AC928" i="16"/>
  <c r="AC323" i="16"/>
  <c r="AC2312" i="16"/>
  <c r="AC617" i="16"/>
  <c r="AC1381" i="16"/>
  <c r="AC2287" i="16"/>
  <c r="AC535" i="16"/>
  <c r="AC483" i="16"/>
  <c r="AC1733" i="16"/>
  <c r="AC1651" i="16"/>
  <c r="AC594" i="16"/>
  <c r="AC1146" i="16"/>
  <c r="AC799" i="16"/>
  <c r="AC976" i="16"/>
  <c r="AC1539" i="16"/>
  <c r="AC1844" i="16"/>
  <c r="AC2303" i="16"/>
  <c r="AC663" i="16"/>
  <c r="AC2317" i="16"/>
  <c r="AC1085" i="16"/>
  <c r="AC2302" i="16"/>
  <c r="AC1667" i="16"/>
  <c r="AC1343" i="16"/>
  <c r="AC463" i="16"/>
  <c r="AC39" i="16"/>
  <c r="AC1498" i="16"/>
  <c r="AC1620" i="16"/>
  <c r="AC263" i="16"/>
  <c r="AC882" i="16"/>
  <c r="AC409" i="16"/>
  <c r="AC137" i="16"/>
  <c r="AC2158" i="16"/>
  <c r="AC2248" i="16"/>
  <c r="AC938" i="16"/>
  <c r="AC609" i="16"/>
  <c r="AC961" i="16"/>
  <c r="AC2227" i="16"/>
  <c r="AC434" i="16"/>
  <c r="AC2220" i="16"/>
  <c r="AC1004" i="16"/>
  <c r="AC312" i="16"/>
  <c r="AC239" i="16"/>
  <c r="AC190" i="16"/>
  <c r="AC193" i="16"/>
  <c r="AC966" i="16"/>
  <c r="AC1211" i="16"/>
  <c r="AC1047" i="16"/>
  <c r="AC902" i="16"/>
  <c r="AC416" i="16"/>
  <c r="AC2120" i="16"/>
  <c r="AC728" i="16"/>
  <c r="AC853" i="16"/>
  <c r="AC630" i="16"/>
  <c r="AC865" i="16"/>
  <c r="AC1887" i="16"/>
  <c r="AC1178" i="16"/>
  <c r="AC1912" i="16"/>
  <c r="AC1157" i="16"/>
  <c r="AC7" i="16"/>
  <c r="AC73" i="16"/>
  <c r="AC203" i="16"/>
  <c r="AC195" i="16"/>
  <c r="AC2192" i="16"/>
  <c r="AC837" i="16"/>
  <c r="AC787" i="16"/>
  <c r="AC1016" i="16"/>
  <c r="AC2149" i="16"/>
  <c r="AC171" i="16"/>
  <c r="AC365" i="16"/>
  <c r="AC69" i="16"/>
  <c r="AC1590" i="16"/>
  <c r="AC1971" i="16"/>
  <c r="AC2172" i="16"/>
  <c r="AC1529" i="16"/>
  <c r="AC2025" i="16"/>
  <c r="AC599" i="16"/>
  <c r="AC1164" i="16"/>
  <c r="AC1257" i="16"/>
  <c r="AC1999" i="16"/>
  <c r="AC2099" i="16"/>
  <c r="AC165" i="16"/>
  <c r="AC2131" i="16"/>
  <c r="AC1407" i="16"/>
  <c r="AC1052" i="16"/>
  <c r="AC188" i="16"/>
  <c r="AC2159" i="16"/>
  <c r="AC773" i="16"/>
  <c r="AC1833" i="16"/>
  <c r="AC423" i="16"/>
  <c r="AC21" i="16"/>
  <c r="AC1544" i="16"/>
  <c r="AC752" i="16"/>
  <c r="AC1057" i="16"/>
  <c r="AC1579" i="16"/>
  <c r="AC623" i="16"/>
  <c r="AC1383" i="16"/>
  <c r="AC1461" i="16"/>
  <c r="AC1712" i="16"/>
  <c r="AC1805" i="16"/>
  <c r="AC467" i="16"/>
  <c r="AC146" i="16"/>
  <c r="AC2026" i="16"/>
  <c r="AC608" i="16"/>
  <c r="AC931" i="16"/>
  <c r="AC314" i="16"/>
  <c r="AC1024" i="16"/>
  <c r="AC172" i="16"/>
  <c r="AC1175" i="16"/>
  <c r="AC283" i="16"/>
  <c r="AC10" i="16"/>
  <c r="AC1919" i="16"/>
  <c r="AC505" i="16"/>
  <c r="AC431" i="16"/>
  <c r="AC517" i="16"/>
  <c r="AC1639" i="16"/>
  <c r="AC1818" i="16"/>
  <c r="AC28" i="16"/>
  <c r="AC1408" i="16"/>
  <c r="AC918" i="16"/>
  <c r="AC2177" i="16"/>
  <c r="AC2063" i="16"/>
  <c r="AC1436" i="16"/>
  <c r="AC15" i="16"/>
  <c r="AC1594" i="16"/>
  <c r="AC1375" i="16"/>
  <c r="AC292" i="16"/>
  <c r="AC1798" i="16"/>
  <c r="AC1944" i="16"/>
  <c r="AC98" i="16"/>
  <c r="AC818" i="16"/>
  <c r="AC1509" i="16"/>
  <c r="AC1007" i="16"/>
  <c r="AC722" i="16"/>
  <c r="AC317" i="16"/>
  <c r="AC33" i="16"/>
  <c r="AC1564" i="16"/>
  <c r="AC1488" i="16"/>
  <c r="AC1761" i="16"/>
  <c r="AC1058" i="16"/>
  <c r="AC1515" i="16"/>
  <c r="AC2286" i="16"/>
  <c r="AC831" i="16"/>
  <c r="AC1831" i="16"/>
  <c r="AC2294" i="16"/>
  <c r="AC2290" i="16"/>
  <c r="AC738" i="16"/>
  <c r="AC464" i="16"/>
  <c r="AC822" i="16"/>
  <c r="AC227" i="16"/>
  <c r="AC336" i="16"/>
  <c r="AC261" i="16"/>
  <c r="AC254" i="16"/>
  <c r="AC954" i="16"/>
  <c r="AC438" i="16"/>
  <c r="AC1030" i="16"/>
  <c r="AC1355" i="16"/>
  <c r="AC1756" i="16"/>
  <c r="AC1496" i="16"/>
  <c r="AC91" i="16"/>
  <c r="AC1013" i="16"/>
  <c r="AC87" i="16"/>
  <c r="AC1429" i="16"/>
  <c r="AC2215" i="16"/>
  <c r="AC213" i="16"/>
  <c r="AC662" i="16"/>
  <c r="AC228" i="16"/>
  <c r="AC1702" i="16"/>
  <c r="AC58" i="16"/>
  <c r="AC497" i="16"/>
  <c r="AC924" i="16"/>
  <c r="AC1333" i="16"/>
  <c r="AC1854" i="16"/>
  <c r="AC2258" i="16"/>
  <c r="AC1328" i="16"/>
  <c r="AC696" i="16"/>
  <c r="AC1537" i="16"/>
  <c r="AC519" i="16"/>
  <c r="AC1003" i="16"/>
  <c r="AC949" i="16"/>
  <c r="AC238" i="16"/>
  <c r="AC207" i="16"/>
  <c r="AC571" i="16"/>
  <c r="AC644" i="16"/>
  <c r="AC1033" i="16"/>
  <c r="AC1088" i="16"/>
  <c r="AC934" i="16"/>
  <c r="AC1443" i="16"/>
  <c r="AC1298" i="16"/>
  <c r="AC2076" i="16"/>
  <c r="AC311" i="16"/>
  <c r="AC1466" i="16"/>
  <c r="AC1682" i="16"/>
  <c r="AC1184" i="16"/>
  <c r="AC1071" i="16"/>
  <c r="AC2089" i="16"/>
  <c r="AC912" i="16"/>
  <c r="AC1087" i="16"/>
  <c r="AC1468" i="16"/>
  <c r="AC1808" i="16"/>
  <c r="AC178" i="16"/>
  <c r="AC1933" i="16"/>
  <c r="AC1688" i="16"/>
  <c r="AC1191" i="16"/>
  <c r="AC1224" i="16"/>
  <c r="AC520" i="16"/>
  <c r="AC1684" i="16"/>
  <c r="AC570" i="16"/>
  <c r="AC439" i="16"/>
  <c r="AC601" i="16"/>
  <c r="AC196" i="16"/>
  <c r="AC879" i="16"/>
  <c r="AC930" i="16"/>
  <c r="AC828" i="16"/>
  <c r="AC1572" i="16"/>
  <c r="AC2310" i="16"/>
  <c r="AC1685" i="16"/>
  <c r="AC489" i="16"/>
  <c r="AC135" i="16"/>
  <c r="AC2327" i="16"/>
  <c r="AC333" i="16"/>
  <c r="AC1266" i="16"/>
  <c r="AC2023" i="16"/>
  <c r="AC1683" i="16"/>
  <c r="AC1505" i="16"/>
  <c r="AC1183" i="16"/>
  <c r="AC1217" i="16"/>
  <c r="AC149" i="16"/>
  <c r="AC422" i="16"/>
  <c r="AC1385" i="16"/>
  <c r="AC1928" i="16"/>
  <c r="AC114" i="16"/>
  <c r="AC1077" i="16"/>
  <c r="AC2071" i="16"/>
  <c r="AC803" i="16"/>
  <c r="AC547" i="16"/>
  <c r="AC315" i="16"/>
  <c r="AC215" i="16"/>
  <c r="AC2207" i="16"/>
  <c r="AC1162" i="16"/>
  <c r="AC1453" i="16"/>
  <c r="AC1898" i="16"/>
  <c r="AC2166" i="16"/>
  <c r="AC1238" i="16"/>
  <c r="AC108" i="16"/>
  <c r="AC1196" i="16"/>
  <c r="AC159" i="16"/>
  <c r="AC408" i="16"/>
  <c r="AC1101" i="16"/>
  <c r="AC486" i="16"/>
  <c r="AC78" i="16"/>
  <c r="AC1875" i="16"/>
  <c r="AC35" i="16"/>
  <c r="AC2218" i="16"/>
  <c r="AC633" i="16"/>
  <c r="AC805" i="16"/>
  <c r="AC1241" i="16"/>
  <c r="AC138" i="16"/>
  <c r="AC1086" i="16"/>
  <c r="AC41" i="16"/>
  <c r="AC1237" i="16"/>
  <c r="AC2330" i="16"/>
  <c r="AC883" i="16"/>
  <c r="AC2305" i="16"/>
  <c r="AC1637" i="16"/>
  <c r="AC341" i="16"/>
  <c r="AC246" i="16"/>
  <c r="AC2108" i="16"/>
  <c r="AC1457" i="16"/>
  <c r="AC455" i="16"/>
  <c r="AC107" i="16"/>
  <c r="AC1914" i="16"/>
  <c r="AC2082" i="16"/>
  <c r="AC1516" i="16"/>
  <c r="AC1434" i="16"/>
  <c r="AC1376" i="16"/>
  <c r="AC1874" i="16"/>
  <c r="AC1006" i="16"/>
  <c r="AC1035" i="16"/>
  <c r="AC2216" i="16"/>
  <c r="AC38" i="16"/>
  <c r="AC843" i="16"/>
  <c r="AC1503" i="16"/>
  <c r="AC1497" i="16"/>
  <c r="AC1990" i="16"/>
  <c r="AC364" i="16"/>
  <c r="AC746" i="16"/>
  <c r="AC1910" i="16"/>
  <c r="AC1029" i="16"/>
  <c r="AC1746" i="16"/>
  <c r="AC90" i="16"/>
  <c r="AC1359" i="16"/>
  <c r="AC468" i="16"/>
  <c r="AC182" i="16"/>
  <c r="AC50" i="16"/>
  <c r="AC1884" i="16"/>
  <c r="AC1406" i="16"/>
  <c r="AC688" i="16"/>
  <c r="AC908" i="16"/>
  <c r="AC1745" i="16"/>
  <c r="AC686" i="16"/>
  <c r="AC555" i="16"/>
  <c r="AC1126" i="16"/>
  <c r="AC1936" i="16"/>
  <c r="AC1521" i="16"/>
  <c r="AC1777" i="16"/>
  <c r="AC900" i="16"/>
  <c r="AC305" i="16"/>
  <c r="AC1050" i="16"/>
  <c r="AC2271" i="16"/>
  <c r="AC2085" i="16"/>
  <c r="AC1979" i="16"/>
  <c r="AC1214" i="16"/>
  <c r="AC473" i="16"/>
  <c r="AC794" i="16"/>
  <c r="AC1964" i="16"/>
  <c r="AC1920" i="16"/>
  <c r="AC2000" i="16"/>
  <c r="AC1163" i="16"/>
  <c r="AC1403" i="16"/>
  <c r="AC1212" i="16"/>
  <c r="AC1849" i="16"/>
  <c r="AC801" i="16"/>
  <c r="AC1330" i="16"/>
  <c r="AC610" i="16"/>
  <c r="AC352" i="16"/>
  <c r="AC1229" i="16"/>
  <c r="AC624" i="16"/>
  <c r="AC2276" i="16"/>
  <c r="AC712" i="16"/>
  <c r="AC821" i="16"/>
  <c r="AC580" i="16"/>
  <c r="AC2094" i="16"/>
  <c r="AC1518" i="16"/>
  <c r="AC951" i="16"/>
  <c r="AC1379" i="16"/>
  <c r="AC755" i="16"/>
  <c r="AC1969" i="16"/>
  <c r="AC1098" i="16"/>
  <c r="AC2212" i="16"/>
  <c r="AC732" i="16"/>
  <c r="AC819" i="16"/>
  <c r="AC313" i="16"/>
  <c r="AC1842" i="16"/>
  <c r="AC574" i="16"/>
  <c r="AC1127" i="16"/>
  <c r="AC649" i="16"/>
  <c r="AC881" i="16"/>
  <c r="AC2189" i="16"/>
  <c r="AC736" i="16"/>
  <c r="AC1582" i="16"/>
  <c r="AC1975" i="16"/>
  <c r="AC42" i="16"/>
  <c r="AC2291" i="16"/>
  <c r="AC103" i="16"/>
  <c r="AC742" i="16"/>
  <c r="AC2127" i="16"/>
  <c r="AC510" i="16"/>
  <c r="AC498" i="16"/>
  <c r="AC1313" i="16"/>
  <c r="AC813" i="16"/>
  <c r="AC388" i="16"/>
  <c r="AC741" i="16"/>
  <c r="AC595" i="16"/>
  <c r="AC1273" i="16"/>
  <c r="AC2341" i="16"/>
  <c r="AC1150" i="16"/>
  <c r="AC2056" i="16"/>
  <c r="AC1923" i="16"/>
  <c r="AC2049" i="16"/>
  <c r="AC2043" i="16"/>
  <c r="AC376" i="16"/>
  <c r="AC1978" i="16"/>
  <c r="AC2130" i="16"/>
  <c r="AC2035" i="16"/>
  <c r="AC245" i="16"/>
  <c r="AC2048" i="16"/>
  <c r="AC2171" i="16"/>
  <c r="AC198" i="16"/>
  <c r="AC119" i="16"/>
  <c r="AC992" i="16"/>
  <c r="AC842" i="16"/>
  <c r="AC176" i="16"/>
  <c r="AC1428" i="16"/>
  <c r="AC102" i="16"/>
  <c r="AC2273" i="16"/>
  <c r="AC1598" i="16"/>
  <c r="AC482" i="16"/>
  <c r="AC1677" i="16"/>
  <c r="AC1028" i="16"/>
  <c r="AC479" i="16"/>
  <c r="AC1312" i="16"/>
  <c r="AC34" i="16"/>
  <c r="AC1062" i="16"/>
  <c r="AC798" i="16"/>
  <c r="AC241" i="16"/>
  <c r="AC950" i="16"/>
  <c r="AC648" i="16"/>
  <c r="AC23" i="16"/>
  <c r="AC51" i="16"/>
  <c r="AC965" i="16"/>
  <c r="AC1387" i="16"/>
  <c r="AC133" i="16"/>
  <c r="AC116" i="16"/>
  <c r="AC1483" i="16"/>
  <c r="AC1421" i="16"/>
  <c r="AC2122" i="16"/>
  <c r="AC363" i="16"/>
  <c r="AC96" i="16"/>
  <c r="AC1092" i="16"/>
  <c r="AC1941" i="16"/>
  <c r="AC1360" i="16"/>
  <c r="AC1916" i="16"/>
  <c r="AC1034" i="16"/>
  <c r="AC753" i="16"/>
  <c r="AC82" i="16"/>
  <c r="AC1215" i="16"/>
  <c r="AC428" i="16"/>
  <c r="AC1397" i="16"/>
  <c r="AC1476" i="16"/>
  <c r="AC935" i="16"/>
  <c r="AC384" i="16"/>
  <c r="AC521" i="16"/>
  <c r="AC140" i="16"/>
  <c r="AC1020" i="16"/>
  <c r="AC1728" i="16"/>
  <c r="AC858" i="16"/>
  <c r="AC1517" i="16"/>
  <c r="AC2104" i="16"/>
  <c r="AC682" i="16"/>
  <c r="AC710" i="16"/>
  <c r="AC2243" i="16"/>
  <c r="AC249" i="16"/>
  <c r="AC2046" i="16"/>
  <c r="AC929" i="16"/>
  <c r="AC1820" i="16"/>
  <c r="AC885" i="16"/>
  <c r="AC592" i="16"/>
  <c r="AC1427" i="16"/>
  <c r="AC1630" i="16"/>
  <c r="AC646" i="16"/>
  <c r="AC1528" i="16"/>
  <c r="AC1455" i="16"/>
  <c r="AC575" i="16"/>
  <c r="AC1787" i="16"/>
  <c r="AC760" i="16"/>
  <c r="AC405" i="16"/>
  <c r="AC783" i="16"/>
  <c r="AC1591" i="16"/>
  <c r="AC1762" i="16"/>
  <c r="AC1111" i="16"/>
  <c r="AC1464" i="16"/>
  <c r="AC2039" i="16"/>
  <c r="AC1997" i="16"/>
  <c r="AC698" i="16"/>
  <c r="AC325" i="16"/>
  <c r="AC250" i="16"/>
  <c r="AC1949" i="16"/>
  <c r="AC11" i="16"/>
  <c r="AC1687" i="16"/>
  <c r="AC2223" i="16"/>
  <c r="AC715" i="16"/>
  <c r="AC1112" i="16"/>
  <c r="AC1959" i="16"/>
  <c r="AC866" i="16"/>
  <c r="AC1813" i="16"/>
  <c r="AC1788" i="16"/>
  <c r="AC952" i="16"/>
  <c r="AC115" i="16"/>
  <c r="AC964" i="16"/>
  <c r="AC1153" i="16"/>
  <c r="AC1404" i="16"/>
  <c r="AC1984" i="16"/>
  <c r="AC443" i="16"/>
  <c r="AC1571" i="16"/>
  <c r="AC302" i="16"/>
  <c r="AC548" i="16"/>
  <c r="AC1155" i="16"/>
  <c r="AC123" i="16"/>
  <c r="AC26" i="16"/>
  <c r="AC1414" i="16"/>
  <c r="AC1134" i="16"/>
  <c r="AC1070" i="16"/>
  <c r="AC169" i="16"/>
  <c r="AC526" i="16"/>
  <c r="AC1855" i="16"/>
  <c r="AC1578" i="16"/>
  <c r="AC1119" i="16"/>
  <c r="AC403" i="16"/>
  <c r="AC2269" i="16"/>
  <c r="AC1458" i="16"/>
  <c r="AC2097" i="16"/>
  <c r="AC1221" i="16"/>
  <c r="AC1570" i="16"/>
  <c r="AC1344" i="16"/>
  <c r="AC124" i="16"/>
  <c r="AC1902" i="16"/>
  <c r="AC1656" i="16"/>
  <c r="AC2333" i="16"/>
  <c r="AC237" i="16"/>
  <c r="AC1866" i="16"/>
  <c r="AC377" i="16"/>
  <c r="AC2300" i="16"/>
  <c r="AC1621" i="16"/>
  <c r="AC1804" i="16"/>
  <c r="AC1363" i="16"/>
  <c r="AC1976" i="16"/>
  <c r="AC622" i="16"/>
  <c r="AC1729" i="16"/>
  <c r="AC958" i="16"/>
  <c r="AC2062" i="16"/>
  <c r="AC395" i="16"/>
  <c r="AC476" i="16"/>
  <c r="AC1073" i="16"/>
  <c r="AC47" i="16"/>
  <c r="AC1110" i="16"/>
  <c r="AC158" i="16"/>
  <c r="AC2007" i="16"/>
  <c r="AC1608" i="16"/>
  <c r="AC1044" i="16"/>
  <c r="AC1193" i="16"/>
  <c r="AC812" i="16"/>
  <c r="AC563" i="16"/>
  <c r="AC1633" i="16"/>
  <c r="AC234" i="16"/>
  <c r="AC553" i="16"/>
  <c r="AC345" i="16"/>
  <c r="AC717" i="16"/>
  <c r="AC2193" i="16"/>
  <c r="AC186" i="16"/>
  <c r="AC513" i="16"/>
  <c r="AC1353" i="16"/>
  <c r="AC101" i="16"/>
  <c r="AC1084" i="16"/>
  <c r="AC481" i="16"/>
  <c r="AC1737" i="16"/>
  <c r="AC702" i="16"/>
  <c r="AC1472" i="16"/>
  <c r="AC1113" i="16"/>
  <c r="AC1311" i="16"/>
  <c r="AC1061" i="16"/>
  <c r="AC576" i="16"/>
  <c r="AC1171" i="16"/>
  <c r="AC2200" i="16"/>
  <c r="AC2194" i="16"/>
  <c r="AC658" i="16"/>
  <c r="AC1170" i="16"/>
  <c r="AC774" i="16"/>
  <c r="AC2335" i="16"/>
  <c r="AC412" i="16"/>
  <c r="AC1203" i="16"/>
  <c r="AC2282" i="16"/>
  <c r="AC666" i="16"/>
  <c r="AC281" i="16"/>
  <c r="AC873" i="16"/>
  <c r="AC2296" i="16"/>
  <c r="AC2151" i="16"/>
  <c r="AC175" i="16"/>
  <c r="AC2240" i="16"/>
  <c r="AC2197" i="16"/>
  <c r="AC163" i="16"/>
  <c r="AC366" i="16"/>
  <c r="AC347" i="16"/>
  <c r="AC1202" i="16"/>
  <c r="AC1301" i="16"/>
  <c r="AC2015" i="16"/>
  <c r="AC1235" i="16"/>
  <c r="AC320" i="16"/>
  <c r="AC1222" i="16"/>
  <c r="AC1725" i="16"/>
  <c r="AC2001" i="16"/>
  <c r="AC259" i="16"/>
  <c r="AC221" i="16"/>
  <c r="AC266" i="16"/>
  <c r="AC1364" i="16"/>
  <c r="AC1032" i="16"/>
  <c r="AC720" i="16"/>
  <c r="AC2168" i="16"/>
  <c r="AC1367" i="16"/>
  <c r="AC1494" i="16"/>
  <c r="AC1304" i="16"/>
  <c r="AC270" i="16"/>
  <c r="AC997" i="16"/>
  <c r="AC892" i="16"/>
  <c r="AC2112" i="16"/>
  <c r="AC360" i="16"/>
  <c r="AC2182" i="16"/>
  <c r="AC287" i="16"/>
  <c r="AC788" i="16"/>
  <c r="AC280" i="16"/>
  <c r="AC1654" i="16"/>
  <c r="AC1261" i="16"/>
  <c r="AC1279" i="16"/>
  <c r="AC1485" i="16"/>
  <c r="AC1305" i="16"/>
  <c r="AC1861" i="16"/>
  <c r="AC27" i="16"/>
  <c r="AC282" i="16"/>
  <c r="AC1890" i="16"/>
  <c r="AC1219" i="16"/>
  <c r="AC549" i="16"/>
  <c r="AC460" i="16"/>
  <c r="AC1296" i="16"/>
  <c r="AC495" i="16"/>
  <c r="AC556" i="16"/>
  <c r="AC1732" i="16"/>
  <c r="AC375" i="16"/>
  <c r="AC1262" i="16"/>
  <c r="AC298" i="16"/>
  <c r="AC838" i="16"/>
  <c r="AC922" i="16"/>
  <c r="AC358" i="16"/>
  <c r="AC2100" i="16"/>
  <c r="AC2181" i="16"/>
  <c r="AC894" i="16"/>
  <c r="AC1934" i="16"/>
  <c r="AC1449" i="16"/>
  <c r="AC1190" i="16"/>
  <c r="AC1281" i="16"/>
  <c r="AC284" i="16"/>
  <c r="AC1646" i="16"/>
  <c r="AC691" i="16"/>
  <c r="AC1731" i="16"/>
  <c r="AC1606" i="16"/>
  <c r="AC1130" i="16"/>
  <c r="AC1473" i="16"/>
  <c r="AC1433" i="16"/>
  <c r="AC963" i="16"/>
  <c r="AC1569" i="16"/>
  <c r="AC1982" i="16"/>
  <c r="AC2019" i="16"/>
  <c r="AC272" i="16"/>
  <c r="AC76" i="16"/>
  <c r="AC1319" i="16"/>
  <c r="AC970" i="16"/>
  <c r="AC2164" i="16"/>
  <c r="AC1627" i="16"/>
  <c r="AC786" i="16"/>
  <c r="AC643" i="16"/>
  <c r="AC941" i="16"/>
  <c r="AC1054" i="16"/>
  <c r="AC533" i="16"/>
  <c r="AC1081" i="16"/>
  <c r="AC1368" i="16"/>
  <c r="AC1347" i="16"/>
  <c r="AC1577" i="16"/>
  <c r="AC1954" i="16"/>
  <c r="AC901" i="16"/>
  <c r="AC545" i="16"/>
  <c r="AC1846" i="16"/>
  <c r="AC1394" i="16"/>
  <c r="AC675" i="16"/>
  <c r="AC450" i="16"/>
  <c r="AC1303" i="16"/>
  <c r="AC1480" i="16"/>
  <c r="AC359" i="16"/>
  <c r="AC1194" i="16"/>
  <c r="AC524" i="16"/>
  <c r="AC656" i="16"/>
  <c r="AC523" i="16"/>
  <c r="AC1352" i="16"/>
  <c r="AC1851" i="16"/>
  <c r="AC350" i="16"/>
  <c r="AC559" i="16"/>
  <c r="AC1160" i="16"/>
  <c r="AC1535" i="16"/>
  <c r="AC1450" i="16"/>
  <c r="AC1136" i="16"/>
  <c r="AC769" i="16"/>
  <c r="AC1122" i="16"/>
  <c r="AC1967" i="16"/>
  <c r="AC77" i="16"/>
  <c r="AC1555" i="16"/>
  <c r="AC1477" i="16"/>
  <c r="AC734" i="16"/>
  <c r="AC61" i="16"/>
  <c r="AC502" i="16"/>
  <c r="AC1587" i="16"/>
  <c r="AC1416" i="16"/>
  <c r="AC1538" i="16"/>
  <c r="AC1001" i="16"/>
  <c r="AC932" i="16"/>
  <c r="AC542" i="16"/>
  <c r="AC943" i="16"/>
  <c r="AC896" i="16"/>
  <c r="AC587" i="16"/>
  <c r="AC321" i="16"/>
  <c r="AC1783" i="16"/>
  <c r="AC890" i="16"/>
  <c r="AC279" i="16"/>
  <c r="AC1357" i="16"/>
  <c r="AC1283" i="16"/>
  <c r="AC449" i="16"/>
  <c r="AC2140" i="16"/>
  <c r="AC475" i="16"/>
  <c r="AC235" i="16"/>
  <c r="AC1850" i="16"/>
  <c r="AC2167" i="16"/>
  <c r="AC652" i="16"/>
  <c r="AC285" i="16"/>
  <c r="AC790" i="16"/>
  <c r="AC1708" i="16"/>
  <c r="AC1123" i="16"/>
  <c r="AC765" i="16"/>
  <c r="AC582" i="16"/>
  <c r="AC1659" i="16"/>
  <c r="AC612" i="16"/>
  <c r="AC766" i="16"/>
  <c r="AC863" i="16"/>
  <c r="AC2058" i="16"/>
  <c r="AC1723" i="16"/>
  <c r="AC944" i="16"/>
  <c r="AC2185" i="16"/>
  <c r="AC335" i="16"/>
  <c r="AC1139" i="16"/>
  <c r="AC995" i="16"/>
  <c r="AC891" i="16"/>
  <c r="AC1236" i="16"/>
  <c r="AC310" i="16"/>
  <c r="AC2079" i="16"/>
  <c r="AC1116" i="16"/>
  <c r="AC1109" i="16"/>
  <c r="AC348" i="16"/>
  <c r="AC1066" i="16"/>
  <c r="AC1009" i="16"/>
  <c r="AC1270" i="16"/>
  <c r="AC2088" i="16"/>
  <c r="AC2124" i="16"/>
  <c r="AC611" i="16"/>
  <c r="AC1108" i="16"/>
  <c r="AC79" i="16"/>
  <c r="AC1280" i="16"/>
  <c r="AC296" i="16"/>
  <c r="AC975" i="16"/>
  <c r="AC1401" i="16"/>
  <c r="AC1345" i="16"/>
  <c r="AC2057" i="16"/>
  <c r="AC1300" i="16"/>
  <c r="AC1340" i="16"/>
  <c r="AC1244" i="16"/>
  <c r="AC1724" i="16"/>
  <c r="AC1856" i="16"/>
  <c r="AC1411" i="16"/>
  <c r="AC2186" i="16"/>
  <c r="AC1542" i="16"/>
  <c r="AC154" i="16"/>
  <c r="AC368" i="16"/>
  <c r="AC1493" i="16"/>
  <c r="AC727" i="16"/>
  <c r="AC441" i="16"/>
  <c r="AC716" i="16"/>
  <c r="AC501" i="16"/>
  <c r="AC1574" i="16"/>
  <c r="AC80" i="16"/>
  <c r="AC693" i="16"/>
  <c r="AC1103" i="16"/>
  <c r="AC1445" i="16"/>
  <c r="AC461" i="16"/>
  <c r="AC459" i="16"/>
  <c r="AC371" i="16"/>
  <c r="AC367" i="16"/>
  <c r="AC1915" i="16"/>
  <c r="AC655" i="16"/>
  <c r="AC953" i="16"/>
  <c r="AC1271" i="16"/>
  <c r="AC1377" i="16"/>
  <c r="AC1530" i="16"/>
  <c r="AC1541" i="16"/>
  <c r="AC921" i="16"/>
  <c r="AC132" i="16"/>
  <c r="AC370" i="16"/>
  <c r="AC2135" i="16"/>
  <c r="AC779" i="16"/>
  <c r="AC1138" i="16"/>
  <c r="AC1676" i="16"/>
  <c r="AC112" i="16"/>
  <c r="AC1107" i="16"/>
  <c r="AC1600" i="16"/>
  <c r="AC1399" i="16"/>
  <c r="AC1642" i="16"/>
  <c r="AC1864" i="16"/>
  <c r="AC1275" i="16"/>
  <c r="AC1291" i="16"/>
  <c r="AC265" i="16"/>
  <c r="AC236" i="16"/>
  <c r="AC1852" i="16"/>
  <c r="AC1644" i="16"/>
  <c r="AC560" i="16"/>
  <c r="AC451" i="16"/>
  <c r="AC1481" i="16"/>
  <c r="AC1231" i="16"/>
  <c r="AC572" i="16"/>
  <c r="AC1784" i="16"/>
  <c r="AC895" i="16"/>
  <c r="AC598" i="16"/>
  <c r="AC488" i="16"/>
  <c r="AC161" i="16"/>
  <c r="AC1560" i="16"/>
  <c r="AC1680" i="16"/>
  <c r="AC299" i="16"/>
  <c r="AC160" i="16"/>
  <c r="AC1987" i="16"/>
  <c r="AC1168" i="16"/>
  <c r="AC1886" i="16"/>
  <c r="AC1711" i="16"/>
  <c r="AC588" i="16"/>
  <c r="AC1258" i="16"/>
  <c r="AC726" i="16"/>
  <c r="AC1342" i="16"/>
  <c r="AC1962" i="16"/>
  <c r="AC1857" i="16"/>
  <c r="AC2106" i="16"/>
  <c r="AC1441" i="16"/>
  <c r="AC713" i="16"/>
  <c r="AC271" i="16"/>
  <c r="AC155" i="16"/>
  <c r="AC1118" i="16"/>
  <c r="AC749" i="16"/>
  <c r="AC1286" i="16"/>
  <c r="AC789" i="16"/>
  <c r="AC1227" i="16"/>
  <c r="AC454" i="16"/>
  <c r="AC532" i="16"/>
  <c r="AC1149" i="16"/>
  <c r="AC996" i="16"/>
  <c r="AC1679" i="16"/>
  <c r="AC233" i="16"/>
  <c r="AC1200" i="16"/>
  <c r="AC1285" i="16"/>
  <c r="AC1065" i="16"/>
  <c r="AC1318" i="16"/>
  <c r="AC634" i="16"/>
  <c r="AC92" i="16"/>
  <c r="AC232" i="16"/>
  <c r="AC1645" i="16"/>
  <c r="AC1124" i="16"/>
  <c r="AC1082" i="16"/>
  <c r="AC1581" i="16"/>
  <c r="AC400" i="16"/>
  <c r="AC1055" i="16"/>
  <c r="AC597" i="16"/>
  <c r="AC1478" i="16"/>
  <c r="AC804" i="16"/>
  <c r="AC1946" i="16"/>
  <c r="AC286" i="16"/>
  <c r="AC1317" i="16"/>
  <c r="AC1536" i="16"/>
  <c r="W953" i="16"/>
  <c r="W656" i="16"/>
  <c r="W1568" i="16"/>
  <c r="W560" i="16"/>
  <c r="W796" i="16"/>
  <c r="W320" i="16"/>
  <c r="W1542" i="16"/>
  <c r="W1966" i="16"/>
  <c r="Z1222" i="16"/>
  <c r="Z635" i="16"/>
  <c r="Z1285" i="16"/>
  <c r="Z767" i="16"/>
  <c r="Z1647" i="16"/>
  <c r="Z1345" i="16"/>
  <c r="Z779" i="16"/>
  <c r="Z1129" i="16"/>
  <c r="Z597" i="16"/>
  <c r="Z2100" i="16"/>
  <c r="Z529" i="16"/>
  <c r="Z804" i="16"/>
  <c r="Z1946" i="16"/>
  <c r="Z309" i="16"/>
  <c r="Z477" i="16"/>
  <c r="Z1108" i="16"/>
  <c r="Z163" i="16"/>
  <c r="Z366" i="16"/>
  <c r="Z368" i="16"/>
  <c r="Z1294" i="16"/>
  <c r="Z62" i="16"/>
  <c r="Z357" i="16"/>
  <c r="Z2183" i="16"/>
  <c r="Z2006" i="16"/>
  <c r="Z2115" i="16"/>
  <c r="Z320" i="16"/>
  <c r="Z1130" i="16"/>
  <c r="Z947" i="16"/>
  <c r="Z1479" i="16"/>
  <c r="Z1560" i="16"/>
  <c r="Z1411" i="16"/>
  <c r="Z2103" i="16"/>
  <c r="Z1439" i="16"/>
  <c r="Z999" i="16"/>
  <c r="Z1511" i="16"/>
  <c r="Z550" i="16"/>
  <c r="Z1711" i="16"/>
  <c r="Z1392" i="16"/>
  <c r="Z996" i="16"/>
  <c r="Z453" i="16"/>
  <c r="Z1962" i="16"/>
  <c r="Z1588" i="16"/>
  <c r="Z977" i="16"/>
  <c r="Z1103" i="16"/>
  <c r="Z2004" i="16"/>
  <c r="Z92" i="16"/>
  <c r="Z235" i="16"/>
  <c r="Z765" i="16"/>
  <c r="Z1954" i="16"/>
  <c r="Z371" i="16"/>
  <c r="Z1261" i="16"/>
  <c r="Z1075" i="16"/>
  <c r="Z1226" i="16"/>
  <c r="Z257" i="16"/>
  <c r="Z1723" i="16"/>
  <c r="Z200" i="16"/>
  <c r="Z1876" i="16"/>
  <c r="Z359" i="16"/>
  <c r="Z335" i="16"/>
  <c r="Z756" i="16"/>
  <c r="Z132" i="16"/>
  <c r="Z891" i="16"/>
  <c r="Z1279" i="16"/>
  <c r="Z1296" i="16"/>
  <c r="Z1317" i="16"/>
  <c r="W2064" i="16"/>
  <c r="W1581" i="16"/>
  <c r="W1160" i="16"/>
  <c r="W1864" i="16"/>
  <c r="W529" i="16"/>
  <c r="W1817" i="16"/>
  <c r="W861" i="16"/>
  <c r="W1199" i="16"/>
  <c r="Z920" i="16"/>
  <c r="Z524" i="16"/>
  <c r="Z1208" i="16"/>
  <c r="Z1068" i="16"/>
  <c r="Z452" i="16"/>
  <c r="Z2064" i="16"/>
  <c r="Z1338" i="16"/>
  <c r="Z1606" i="16"/>
  <c r="Z358" i="16"/>
  <c r="Z1122" i="16"/>
  <c r="Z1709" i="16"/>
  <c r="Z258" i="16"/>
  <c r="Z1475" i="16"/>
  <c r="Z1569" i="16"/>
  <c r="Z112" i="16"/>
  <c r="Z236" i="16"/>
  <c r="Z1270" i="16"/>
  <c r="Z1992" i="16"/>
  <c r="Z1349" i="16"/>
  <c r="Z449" i="16"/>
  <c r="Z1325" i="16"/>
  <c r="Z1615" i="16"/>
  <c r="Z1301" i="16"/>
  <c r="Z747" i="16"/>
  <c r="Z1731" i="16"/>
  <c r="Z542" i="16"/>
  <c r="Z943" i="16"/>
  <c r="Z896" i="16"/>
  <c r="Z161" i="16"/>
  <c r="Z936" i="16"/>
  <c r="Z1680" i="16"/>
  <c r="Z1487" i="16"/>
  <c r="Z861" i="16"/>
  <c r="Z318" i="16"/>
  <c r="Z1473" i="16"/>
  <c r="Z1128" i="16"/>
  <c r="Z269" i="16"/>
  <c r="Z2168" i="16"/>
  <c r="Z387" i="16"/>
  <c r="Z1679" i="16"/>
  <c r="Z1000" i="16"/>
  <c r="Z1199" i="16"/>
  <c r="Z1900" i="16"/>
  <c r="Z1441" i="16"/>
  <c r="Z1445" i="16"/>
  <c r="Z1263" i="16"/>
  <c r="Z501" i="16"/>
  <c r="Z216" i="16"/>
  <c r="Z582" i="16"/>
  <c r="Z1286" i="16"/>
  <c r="Z1292" i="16"/>
  <c r="Z1394" i="16"/>
  <c r="Z1931" i="16"/>
  <c r="Z2022" i="16"/>
  <c r="Z1271" i="16"/>
  <c r="Z923" i="16"/>
  <c r="Z1118" i="16"/>
  <c r="Z2185" i="16"/>
  <c r="Z921" i="16"/>
  <c r="Z545" i="16"/>
  <c r="Z1065" i="16"/>
  <c r="Z370" i="16"/>
  <c r="Z523" i="16"/>
  <c r="Z1352" i="16"/>
  <c r="Z2187" i="16"/>
  <c r="W1149" i="16"/>
  <c r="W962" i="16"/>
  <c r="W1535" i="16"/>
  <c r="W804" i="16"/>
  <c r="W1083" i="16"/>
  <c r="W94" i="16"/>
  <c r="W1283" i="16"/>
  <c r="W1118" i="16"/>
  <c r="Z560" i="16"/>
  <c r="Z1139" i="16"/>
  <c r="Z319" i="16"/>
  <c r="Z1596" i="16"/>
  <c r="Z748" i="16"/>
  <c r="Z1575" i="16"/>
  <c r="Z1605" i="16"/>
  <c r="Z276" i="16"/>
  <c r="Z769" i="16"/>
  <c r="Z559" i="16"/>
  <c r="Z348" i="16"/>
  <c r="Z660" i="16"/>
  <c r="Z1125" i="16"/>
  <c r="Z890" i="16"/>
  <c r="Z400" i="16"/>
  <c r="Z1739" i="16"/>
  <c r="Z1280" i="16"/>
  <c r="Z1121" i="16"/>
  <c r="Z328" i="16"/>
  <c r="Z806" i="16"/>
  <c r="Z1083" i="16"/>
  <c r="Z1202" i="16"/>
  <c r="Z808" i="16"/>
  <c r="Z2015" i="16"/>
  <c r="Z932" i="16"/>
  <c r="Z895" i="16"/>
  <c r="Z1724" i="16"/>
  <c r="Z2160" i="16"/>
  <c r="Z1365" i="16"/>
  <c r="Z1552" i="16"/>
  <c r="Z1707" i="16"/>
  <c r="Z1242" i="16"/>
  <c r="Z2019" i="16"/>
  <c r="Z674" i="16"/>
  <c r="Z488" i="16"/>
  <c r="Z1738" i="16"/>
  <c r="Z267" i="16"/>
  <c r="Z532" i="16"/>
  <c r="Z1341" i="16"/>
  <c r="Z1304" i="16"/>
  <c r="Z270" i="16"/>
  <c r="Z1440" i="16"/>
  <c r="Z1364" i="16"/>
  <c r="Z2112" i="16"/>
  <c r="Z745" i="16"/>
  <c r="Z1258" i="16"/>
  <c r="Z726" i="16"/>
  <c r="Z1603" i="16"/>
  <c r="Z1321" i="16"/>
  <c r="Z1924" i="16"/>
  <c r="Z1846" i="16"/>
  <c r="Z863" i="16"/>
  <c r="Z1368" i="16"/>
  <c r="Z1302" i="16"/>
  <c r="Z1149" i="16"/>
  <c r="Z1523" i="16"/>
  <c r="Z944" i="16"/>
  <c r="Z1576" i="16"/>
  <c r="Z1200" i="16"/>
  <c r="Z770" i="16"/>
  <c r="Z1701" i="16"/>
  <c r="Z1318" i="16"/>
  <c r="Z1236" i="16"/>
  <c r="Z310" i="16"/>
  <c r="Z1235" i="16"/>
  <c r="W1679" i="16"/>
  <c r="W1740" i="16"/>
  <c r="W1450" i="16"/>
  <c r="W1475" i="16"/>
  <c r="W1292" i="16"/>
  <c r="W1659" i="16"/>
  <c r="Z1610" i="16"/>
  <c r="Z1568" i="16"/>
  <c r="Z1732" i="16"/>
  <c r="Z375" i="16"/>
  <c r="Z1450" i="16"/>
  <c r="Z478" i="16"/>
  <c r="Z969" i="16"/>
  <c r="Z1244" i="16"/>
  <c r="Z2124" i="16"/>
  <c r="Z1090" i="16"/>
  <c r="Z1751" i="16"/>
  <c r="Z982" i="16"/>
  <c r="Z1262" i="16"/>
  <c r="Z2186" i="16"/>
  <c r="Z2107" i="16"/>
  <c r="Z1934" i="16"/>
  <c r="Z1644" i="16"/>
  <c r="Z1643" i="16"/>
  <c r="Z1190" i="16"/>
  <c r="Z790" i="16"/>
  <c r="Z347" i="16"/>
  <c r="Z1555" i="16"/>
  <c r="Z2155" i="16"/>
  <c r="Z691" i="16"/>
  <c r="Z1340" i="16"/>
  <c r="Z80" i="16"/>
  <c r="Z598" i="16"/>
  <c r="Z1148" i="16"/>
  <c r="Z1276" i="16"/>
  <c r="Z876" i="16"/>
  <c r="Z279" i="16"/>
  <c r="Z160" i="16"/>
  <c r="Z1357" i="16"/>
  <c r="Z2059" i="16"/>
  <c r="Z1504" i="16"/>
  <c r="Z1032" i="16"/>
  <c r="Z1167" i="16"/>
  <c r="Z1534" i="16"/>
  <c r="Z153" i="16"/>
  <c r="Z643" i="16"/>
  <c r="Z941" i="16"/>
  <c r="Z997" i="16"/>
  <c r="Z2106" i="16"/>
  <c r="Z1081" i="16"/>
  <c r="Z2164" i="16"/>
  <c r="Z1135" i="16"/>
  <c r="Z1123" i="16"/>
  <c r="Z1893" i="16"/>
  <c r="Z749" i="16"/>
  <c r="Z1654" i="16"/>
  <c r="Z1901" i="16"/>
  <c r="Z655" i="16"/>
  <c r="Z1708" i="16"/>
  <c r="Z1347" i="16"/>
  <c r="Z1295" i="16"/>
  <c r="Z1299" i="16"/>
  <c r="Z1530" i="16"/>
  <c r="Z1541" i="16"/>
  <c r="Z528" i="16"/>
  <c r="Z1137" i="16"/>
  <c r="Z1253" i="16"/>
  <c r="Z761" i="16"/>
  <c r="Z454" i="16"/>
  <c r="Z1435" i="16"/>
  <c r="Z1986" i="16"/>
  <c r="W674" i="16"/>
  <c r="W1235" i="16"/>
  <c r="W1575" i="16"/>
  <c r="W299" i="16"/>
  <c r="W1365" i="16"/>
  <c r="W267" i="16"/>
  <c r="Z487" i="16"/>
  <c r="Z1053" i="16"/>
  <c r="Z556" i="16"/>
  <c r="Z1281" i="16"/>
  <c r="Z1535" i="16"/>
  <c r="Z1009" i="16"/>
  <c r="Z298" i="16"/>
  <c r="Z838" i="16"/>
  <c r="Z1351" i="16"/>
  <c r="Z1642" i="16"/>
  <c r="Z1676" i="16"/>
  <c r="Z1967" i="16"/>
  <c r="Z839" i="16"/>
  <c r="Z894" i="16"/>
  <c r="Z716" i="16"/>
  <c r="Z288" i="16"/>
  <c r="Z1282" i="16"/>
  <c r="Z1446" i="16"/>
  <c r="Z61" i="16"/>
  <c r="Z796" i="16"/>
  <c r="Z1587" i="16"/>
  <c r="Z427" i="16"/>
  <c r="Z1646" i="16"/>
  <c r="Z1538" i="16"/>
  <c r="Z1001" i="16"/>
  <c r="Z1784" i="16"/>
  <c r="Z301" i="16"/>
  <c r="Z502" i="16"/>
  <c r="Z1567" i="16"/>
  <c r="Z259" i="16"/>
  <c r="Z1484" i="16"/>
  <c r="Z1542" i="16"/>
  <c r="Z1573" i="16"/>
  <c r="Z154" i="16"/>
  <c r="Z462" i="16"/>
  <c r="Z76" i="16"/>
  <c r="Z1319" i="16"/>
  <c r="Z2140" i="16"/>
  <c r="Z398" i="16"/>
  <c r="Z1494" i="16"/>
  <c r="Z2167" i="16"/>
  <c r="Z652" i="16"/>
  <c r="Z1054" i="16"/>
  <c r="Z573" i="16"/>
  <c r="Z720" i="16"/>
  <c r="Z360" i="16"/>
  <c r="Z2005" i="16"/>
  <c r="Z349" i="16"/>
  <c r="Z6" i="16"/>
  <c r="Z350" i="16"/>
  <c r="Z612" i="16"/>
  <c r="Z766" i="16"/>
  <c r="Z713" i="16"/>
  <c r="Z1485" i="16"/>
  <c r="Z1863" i="16"/>
  <c r="Z1366" i="16"/>
  <c r="Z60" i="16"/>
  <c r="Z205" i="16"/>
  <c r="Z113" i="16"/>
  <c r="Z1348" i="16"/>
  <c r="Z1306" i="16"/>
  <c r="Z1251" i="16"/>
  <c r="Z1315" i="16"/>
  <c r="Z2135" i="16"/>
  <c r="Z1740" i="16"/>
  <c r="Z1804" i="16"/>
  <c r="Z1905" i="16"/>
  <c r="Z1975" i="16"/>
  <c r="Z2116" i="16"/>
  <c r="Z1985" i="16"/>
  <c r="Z1712" i="16"/>
  <c r="Z2145" i="16"/>
  <c r="Z1631" i="16"/>
  <c r="Z2294" i="16"/>
  <c r="Z1662" i="16"/>
  <c r="Z1003" i="16"/>
  <c r="Z1397" i="16"/>
  <c r="Z933" i="16"/>
  <c r="Z958" i="16"/>
  <c r="Z1328" i="16"/>
  <c r="Z1157" i="16"/>
  <c r="Z2201" i="16"/>
  <c r="Z1883" i="16"/>
  <c r="Z481" i="16"/>
  <c r="Z2070" i="16"/>
  <c r="Z1749" i="16"/>
  <c r="Z1207" i="16"/>
  <c r="Z2052" i="16"/>
  <c r="Z1737" i="16"/>
  <c r="Z707" i="16"/>
  <c r="Z1476" i="16"/>
  <c r="Z1363" i="16"/>
  <c r="Z1695" i="16"/>
  <c r="Z1950" i="16"/>
  <c r="Z7" i="16"/>
  <c r="Z1033" i="16"/>
  <c r="Z2340" i="16"/>
  <c r="Z1667" i="16"/>
  <c r="Z2122" i="16"/>
  <c r="Z2219" i="16"/>
  <c r="Z1970" i="16"/>
  <c r="Z2269" i="16"/>
  <c r="Z2127" i="16"/>
  <c r="Z98" i="16"/>
  <c r="Z2024" i="16"/>
  <c r="Z1184" i="16"/>
  <c r="Z124" i="16"/>
  <c r="Z805" i="16"/>
  <c r="Z20" i="16"/>
  <c r="Z1073" i="16"/>
  <c r="Z47" i="16"/>
  <c r="Z403" i="16"/>
  <c r="Z159" i="16"/>
  <c r="Z2119" i="16"/>
  <c r="Z2172" i="16"/>
  <c r="Z1313" i="16"/>
  <c r="Z722" i="16"/>
  <c r="Z156" i="16"/>
  <c r="Z1656" i="16"/>
  <c r="Z39" i="16"/>
  <c r="Z227" i="16"/>
  <c r="Z261" i="16"/>
  <c r="Z1734" i="16"/>
  <c r="Z206" i="16"/>
  <c r="Z2316" i="16"/>
  <c r="Z1835" i="16"/>
  <c r="Z2034" i="16"/>
  <c r="Z1641" i="16"/>
  <c r="Z1713" i="16"/>
  <c r="Z1241" i="16"/>
  <c r="Z1761" i="16"/>
  <c r="Z1543" i="16"/>
  <c r="Z1929" i="16"/>
  <c r="Z356" i="16"/>
  <c r="Z2275" i="16"/>
  <c r="Z1052" i="16"/>
  <c r="Z1618" i="16"/>
  <c r="Z1957" i="16"/>
  <c r="Z1142" i="16"/>
  <c r="Z147" i="16"/>
  <c r="Z690" i="16"/>
  <c r="Z1787" i="16"/>
  <c r="Z1042" i="16"/>
  <c r="Z140" i="16"/>
  <c r="Z1807" i="16"/>
  <c r="Z304" i="16"/>
  <c r="Z522" i="16"/>
  <c r="Z2208" i="16"/>
  <c r="Z223" i="16"/>
  <c r="Z1396" i="16"/>
  <c r="Z1210" i="16"/>
  <c r="Z188" i="16"/>
  <c r="Z653" i="16"/>
  <c r="Z520" i="16"/>
  <c r="Z1721" i="16"/>
  <c r="Z2326" i="16"/>
  <c r="Z1899" i="16"/>
  <c r="Z1829" i="16"/>
  <c r="Z830" i="16"/>
  <c r="Z380" i="16"/>
  <c r="Z2042" i="16"/>
  <c r="Z447" i="16"/>
  <c r="Z539" i="16"/>
  <c r="Z448" i="16"/>
  <c r="Z41" i="16"/>
  <c r="Z1546" i="16"/>
  <c r="Z2091" i="16"/>
  <c r="Z2003" i="16"/>
  <c r="Z1674" i="16"/>
  <c r="Z2263" i="16"/>
  <c r="Z1104" i="16"/>
  <c r="Z2236" i="16"/>
  <c r="Z131" i="16"/>
  <c r="Z2147" i="16"/>
  <c r="Z2110" i="16"/>
  <c r="Z1754" i="16"/>
  <c r="Z2125" i="16"/>
  <c r="Z708" i="16"/>
  <c r="Z1431" i="16"/>
  <c r="Z421" i="16"/>
  <c r="Z1371" i="16"/>
  <c r="Z334" i="16"/>
  <c r="Z730" i="16"/>
  <c r="Z702" i="16"/>
  <c r="Z111" i="16"/>
  <c r="Z1119" i="16"/>
  <c r="Z42" i="16"/>
  <c r="Z1375" i="16"/>
  <c r="Z1881" i="16"/>
  <c r="Z1578" i="16"/>
  <c r="Z1832" i="16"/>
  <c r="Z1343" i="16"/>
  <c r="Z870" i="16"/>
  <c r="Z562" i="16"/>
  <c r="Z874" i="16"/>
  <c r="Z1978" i="16"/>
  <c r="Z2290" i="16"/>
  <c r="Z326" i="16"/>
  <c r="Z1382" i="16"/>
  <c r="Z1586" i="16"/>
  <c r="Z1424" i="16"/>
  <c r="Z2240" i="16"/>
  <c r="Z1753" i="16"/>
  <c r="Z2200" i="16"/>
  <c r="Z1470" i="16"/>
  <c r="Z2296" i="16"/>
  <c r="Z1029" i="16"/>
  <c r="Z1714" i="16"/>
  <c r="Z2192" i="16"/>
  <c r="Z663" i="16"/>
  <c r="Z116" i="16"/>
  <c r="Z1472" i="16"/>
  <c r="Z25" i="16"/>
  <c r="Z2085" i="16"/>
  <c r="Z2330" i="16"/>
  <c r="Z1307" i="16"/>
  <c r="Z853" i="16"/>
  <c r="Z911" i="16"/>
  <c r="Z2287" i="16"/>
  <c r="Z346" i="16"/>
  <c r="Z2249" i="16"/>
  <c r="Z504" i="16"/>
  <c r="Z2141" i="16"/>
  <c r="Z850" i="16"/>
  <c r="Z249" i="16"/>
  <c r="Z1273" i="16"/>
  <c r="Z1469" i="16"/>
  <c r="Z419" i="16"/>
  <c r="Z824" i="16"/>
  <c r="Z1658" i="16"/>
  <c r="Z1458" i="16"/>
  <c r="Z2237" i="16"/>
  <c r="Z1747" i="16"/>
  <c r="Z1521" i="16"/>
  <c r="Z388" i="16"/>
  <c r="Z471" i="16"/>
  <c r="Z681" i="16"/>
  <c r="Z119" i="16"/>
  <c r="Z842" i="16"/>
  <c r="Z1428" i="16"/>
  <c r="Z2098" i="16"/>
  <c r="Z14" i="16"/>
  <c r="Z1892" i="16"/>
  <c r="Z1795" i="16"/>
  <c r="Z1973" i="16"/>
  <c r="Z1794" i="16"/>
  <c r="Z2289" i="16"/>
  <c r="Z2341" i="16"/>
  <c r="Z2016" i="16"/>
  <c r="Z657" i="16"/>
  <c r="Z1527" i="16"/>
  <c r="Z30" i="16"/>
  <c r="Z1622" i="16"/>
  <c r="Z638" i="16"/>
  <c r="Z480" i="16"/>
  <c r="Z1760" i="16"/>
  <c r="Z174" i="16"/>
  <c r="Z1632" i="16"/>
  <c r="Z1407" i="16"/>
  <c r="Z1310" i="16"/>
  <c r="Z1191" i="16"/>
  <c r="Z1060" i="16"/>
  <c r="Z473" i="16"/>
  <c r="Z1039" i="16"/>
  <c r="Z575" i="16"/>
  <c r="Z651" i="16"/>
  <c r="Z1170" i="16"/>
  <c r="Z2199" i="16"/>
  <c r="Z2178" i="16"/>
  <c r="Z1388" i="16"/>
  <c r="Z181" i="16"/>
  <c r="Z456" i="16"/>
  <c r="Z721" i="16"/>
  <c r="Z1510" i="16"/>
  <c r="Z2320" i="16"/>
  <c r="Z1880" i="16"/>
  <c r="Z1898" i="16"/>
  <c r="Z2054" i="16"/>
  <c r="Z2027" i="16"/>
  <c r="Z1238" i="16"/>
  <c r="Z2334" i="16"/>
  <c r="Z898" i="16"/>
  <c r="Z714" i="16"/>
  <c r="Z101" i="16"/>
  <c r="Z96" i="16"/>
  <c r="Z1133" i="16"/>
  <c r="Z2194" i="16"/>
  <c r="Z2130" i="16"/>
  <c r="Z1692" i="16"/>
  <c r="Z668" i="16"/>
  <c r="Z949" i="16"/>
  <c r="Z1650" i="16"/>
  <c r="Z2045" i="16"/>
  <c r="Z363" i="16"/>
  <c r="Z797" i="16"/>
  <c r="Z1884" i="16"/>
  <c r="Z376" i="16"/>
  <c r="Z2171" i="16"/>
  <c r="Z696" i="16"/>
  <c r="Z72" i="16"/>
  <c r="Z337" i="16"/>
  <c r="Z2025" i="16"/>
  <c r="Z1335" i="16"/>
  <c r="Z1746" i="16"/>
  <c r="Z576" i="16"/>
  <c r="Z1406" i="16"/>
  <c r="Z106" i="16"/>
  <c r="Z341" i="16"/>
  <c r="Z630" i="16"/>
  <c r="Z1034" i="16"/>
  <c r="Z255" i="16"/>
  <c r="Z2013" i="16"/>
  <c r="Z2133" i="16"/>
  <c r="Z1221" i="16"/>
  <c r="Z1875" i="16"/>
  <c r="Z1716" i="16"/>
  <c r="Z242" i="16"/>
  <c r="Z281" i="16"/>
  <c r="Z464" i="16"/>
  <c r="Z1620" i="16"/>
  <c r="Z1991" i="16"/>
  <c r="Z410" i="16"/>
  <c r="Z637" i="16"/>
  <c r="Z510" i="16"/>
  <c r="Z818" i="16"/>
  <c r="Z2081" i="16"/>
  <c r="Z684" i="16"/>
  <c r="Z633" i="16"/>
  <c r="Z2062" i="16"/>
  <c r="Z599" i="16"/>
  <c r="Z1565" i="16"/>
  <c r="Z1110" i="16"/>
  <c r="Z2329" i="16"/>
  <c r="Z1963" i="16"/>
  <c r="Z1968" i="16"/>
  <c r="Z2053" i="16"/>
  <c r="Z1423" i="16"/>
  <c r="Z1742" i="16"/>
  <c r="Z1495" i="16"/>
  <c r="Z2333" i="16"/>
  <c r="Z1150" i="16"/>
  <c r="Z138" i="16"/>
  <c r="Z1058" i="16"/>
  <c r="Z167" i="16"/>
  <c r="Z2102" i="16"/>
  <c r="Z2264" i="16"/>
  <c r="Z980" i="16"/>
  <c r="Z2086" i="16"/>
  <c r="Z869" i="16"/>
  <c r="Z1790" i="16"/>
  <c r="Z1391" i="16"/>
  <c r="Z1998" i="16"/>
  <c r="Z725" i="16"/>
  <c r="Z1752" i="16"/>
  <c r="Z125" i="16"/>
  <c r="Z1491" i="16"/>
  <c r="Z719" i="16"/>
  <c r="Z1398" i="16"/>
  <c r="Z627" i="16"/>
  <c r="Z2078" i="16"/>
  <c r="Z1002" i="16"/>
  <c r="Z1454" i="16"/>
  <c r="Z177" i="16"/>
  <c r="Z2060" i="16"/>
  <c r="Z2095" i="16"/>
  <c r="Z1948" i="16"/>
  <c r="Z1400" i="16"/>
  <c r="Z1634" i="16"/>
  <c r="Z2304" i="16"/>
  <c r="Z960" i="16"/>
  <c r="Z1549" i="16"/>
  <c r="Z2018" i="16"/>
  <c r="Z1885" i="16"/>
  <c r="Z1777" i="16"/>
  <c r="Z2300" i="16"/>
  <c r="Z2043" i="16"/>
  <c r="Z882" i="16"/>
  <c r="Z409" i="16"/>
  <c r="Z137" i="16"/>
  <c r="Z2158" i="16"/>
  <c r="Z2248" i="16"/>
  <c r="Z938" i="16"/>
  <c r="Z609" i="16"/>
  <c r="Z961" i="16"/>
  <c r="Z2227" i="16"/>
  <c r="Z434" i="16"/>
  <c r="Z2220" i="16"/>
  <c r="Z1004" i="16"/>
  <c r="Z312" i="16"/>
  <c r="Z239" i="16"/>
  <c r="Z1896" i="16"/>
  <c r="Z190" i="16"/>
  <c r="Z193" i="16"/>
  <c r="Z966" i="16"/>
  <c r="Z1211" i="16"/>
  <c r="Z915" i="16"/>
  <c r="Z2246" i="16"/>
  <c r="Z1326" i="16"/>
  <c r="Z485" i="16"/>
  <c r="Z827" i="16"/>
  <c r="Z201" i="16"/>
  <c r="Z517" i="16"/>
  <c r="Z1247" i="16"/>
  <c r="Z2009" i="16"/>
  <c r="Z1051" i="16"/>
  <c r="Z28" i="16"/>
  <c r="Z489" i="16"/>
  <c r="Z1524" i="16"/>
  <c r="Z378" i="16"/>
  <c r="Z2144" i="16"/>
  <c r="Z1696" i="16"/>
  <c r="Z1582" i="16"/>
  <c r="Z2315" i="16"/>
  <c r="Z139" i="16"/>
  <c r="Z1333" i="16"/>
  <c r="Z1361" i="16"/>
  <c r="Z82" i="16"/>
  <c r="Z1088" i="16"/>
  <c r="Z2311" i="16"/>
  <c r="Z1084" i="16"/>
  <c r="Z1113" i="16"/>
  <c r="Z764" i="16"/>
  <c r="Z185" i="16"/>
  <c r="Z956" i="16"/>
  <c r="Z1076" i="16"/>
  <c r="Z753" i="16"/>
  <c r="Z1604" i="16"/>
  <c r="Z831" i="16"/>
  <c r="Z541" i="16"/>
  <c r="Z1704" i="16"/>
  <c r="Z2214" i="16"/>
  <c r="Z934" i="16"/>
  <c r="Z1976" i="16"/>
  <c r="Z2120" i="16"/>
  <c r="Z817" i="16"/>
  <c r="Z207" i="16"/>
  <c r="Z700" i="16"/>
  <c r="Z1460" i="16"/>
  <c r="Z401" i="16"/>
  <c r="Z1630" i="16"/>
  <c r="Z468" i="16"/>
  <c r="Z103" i="16"/>
  <c r="Z1798" i="16"/>
  <c r="Z1733" i="16"/>
  <c r="Z1272" i="16"/>
  <c r="Z795" i="16"/>
  <c r="Z564" i="16"/>
  <c r="Z33" i="16"/>
  <c r="Z134" i="16"/>
  <c r="Z246" i="16"/>
  <c r="Z1457" i="16"/>
  <c r="Z455" i="16"/>
  <c r="Z292" i="16"/>
  <c r="Z1249" i="16"/>
  <c r="Z2137" i="16"/>
  <c r="Z78" i="16"/>
  <c r="Z2011" i="16"/>
  <c r="Z1005" i="16"/>
  <c r="Z240" i="16"/>
  <c r="Z1131" i="16"/>
  <c r="Z225" i="16"/>
  <c r="Z144" i="16"/>
  <c r="Z903" i="16"/>
  <c r="Z2017" i="16"/>
  <c r="Z2323" i="16"/>
  <c r="Z1955" i="16"/>
  <c r="Z244" i="16"/>
  <c r="Z381" i="16"/>
  <c r="Z2293" i="16"/>
  <c r="Z1681" i="16"/>
  <c r="Z1529" i="16"/>
  <c r="Z237" i="16"/>
  <c r="Z2056" i="16"/>
  <c r="Z1086" i="16"/>
  <c r="Z2281" i="16"/>
  <c r="Z792" i="16"/>
  <c r="Z864" i="16"/>
  <c r="Z1336" i="16"/>
  <c r="Z1871" i="16"/>
  <c r="Z1230" i="16"/>
  <c r="Z1758" i="16"/>
  <c r="Z457" i="16"/>
  <c r="Z777" i="16"/>
  <c r="Z1921" i="16"/>
  <c r="Z776" i="16"/>
  <c r="Z990" i="16"/>
  <c r="Z16" i="16"/>
  <c r="Z1995" i="16"/>
  <c r="Z2205" i="16"/>
  <c r="Z1768" i="16"/>
  <c r="Z626" i="16"/>
  <c r="Z493" i="16"/>
  <c r="Z2069" i="16"/>
  <c r="Z687" i="16"/>
  <c r="Z1471" i="16"/>
  <c r="Z2338" i="16"/>
  <c r="Z374" i="16"/>
  <c r="Z262" i="16"/>
  <c r="Z322" i="16"/>
  <c r="Z68" i="16"/>
  <c r="Z2044" i="16"/>
  <c r="Z1635" i="16"/>
  <c r="Z222" i="16"/>
  <c r="Z974" i="16"/>
  <c r="Z1563" i="16"/>
  <c r="Z218" i="16"/>
  <c r="Z959" i="16"/>
  <c r="Z254" i="16"/>
  <c r="Z534" i="16"/>
  <c r="Z954" i="16"/>
  <c r="Z438" i="16"/>
  <c r="Z1911" i="16"/>
  <c r="Z1030" i="16"/>
  <c r="Z1355" i="16"/>
  <c r="Z1756" i="16"/>
  <c r="Z1496" i="16"/>
  <c r="Z91" i="16"/>
  <c r="Z1013" i="16"/>
  <c r="Z87" i="16"/>
  <c r="Z1429" i="16"/>
  <c r="Z2215" i="16"/>
  <c r="Z1117" i="16"/>
  <c r="Z213" i="16"/>
  <c r="Z662" i="16"/>
  <c r="Z228" i="16"/>
  <c r="Z1331" i="16"/>
  <c r="Z1930" i="16"/>
  <c r="Z1735" i="16"/>
  <c r="Z703" i="16"/>
  <c r="Z484" i="16"/>
  <c r="Z1046" i="16"/>
  <c r="Z1601" i="16"/>
  <c r="Z803" i="16"/>
  <c r="Z888" i="16"/>
  <c r="Z811" i="16"/>
  <c r="Z123" i="16"/>
  <c r="Z215" i="16"/>
  <c r="Z1229" i="16"/>
  <c r="Z710" i="16"/>
  <c r="Z1700" i="16"/>
  <c r="Z1971" i="16"/>
  <c r="Z2291" i="16"/>
  <c r="Z2092" i="16"/>
  <c r="Z2309" i="16"/>
  <c r="Z2035" i="16"/>
  <c r="Z1390" i="16"/>
  <c r="Z2318" i="16"/>
  <c r="Z617" i="16"/>
  <c r="Z2047" i="16"/>
  <c r="Z1776" i="16"/>
  <c r="Z2111" i="16"/>
  <c r="Z2166" i="16"/>
  <c r="Z1891" i="16"/>
  <c r="Z2132" i="16"/>
  <c r="Z1159" i="16"/>
  <c r="Z1597" i="16"/>
  <c r="Z688" i="16"/>
  <c r="Z245" i="16"/>
  <c r="Z1719" i="16"/>
  <c r="Z1178" i="16"/>
  <c r="Z1215" i="16"/>
  <c r="Z1796" i="16"/>
  <c r="Z416" i="16"/>
  <c r="Z458" i="16"/>
  <c r="Z1673" i="16"/>
  <c r="Z837" i="16"/>
  <c r="Z883" i="16"/>
  <c r="Z2271" i="16"/>
  <c r="Z1311" i="16"/>
  <c r="Z1171" i="16"/>
  <c r="Z658" i="16"/>
  <c r="Z2302" i="16"/>
  <c r="Z2258" i="16"/>
  <c r="Z1192" i="16"/>
  <c r="Z428" i="16"/>
  <c r="Z1443" i="16"/>
  <c r="Z2173" i="16"/>
  <c r="Z364" i="16"/>
  <c r="Z1887" i="16"/>
  <c r="Z552" i="16"/>
  <c r="Z418" i="16"/>
  <c r="Z880" i="16"/>
  <c r="Z939" i="16"/>
  <c r="Z1362" i="16"/>
  <c r="Z344" i="16"/>
  <c r="Z88" i="16"/>
  <c r="Z1902" i="16"/>
  <c r="Z1080" i="16"/>
  <c r="Z654" i="16"/>
  <c r="Z1502" i="16"/>
  <c r="Z2121" i="16"/>
  <c r="Z1682" i="16"/>
  <c r="Z408" i="16"/>
  <c r="Z1651" i="16"/>
  <c r="Z632" i="16"/>
  <c r="Z1344" i="16"/>
  <c r="Z317" i="16"/>
  <c r="Z554" i="16"/>
  <c r="Z22" i="16"/>
  <c r="Z992" i="16"/>
  <c r="Z176" i="16"/>
  <c r="Z1040" i="16"/>
  <c r="Z1838" i="16"/>
  <c r="Z1710" i="16"/>
  <c r="Z2307" i="16"/>
  <c r="Z70" i="16"/>
  <c r="Z1811" i="16"/>
  <c r="Z986" i="16"/>
  <c r="Z1539" i="16"/>
  <c r="Z2331" i="16"/>
  <c r="Z2029" i="16"/>
  <c r="Z1952" i="16"/>
  <c r="Z340" i="16"/>
  <c r="Z415" i="16"/>
  <c r="Z2267" i="16"/>
  <c r="Z2134" i="16"/>
  <c r="Z2251" i="16"/>
  <c r="Z1078" i="16"/>
  <c r="Z1100" i="16"/>
  <c r="Z906" i="16"/>
  <c r="Z816" i="16"/>
  <c r="Z1177" i="16"/>
  <c r="Z1378" i="16"/>
  <c r="Z1156" i="16"/>
  <c r="Z316" i="16"/>
  <c r="Z29" i="16"/>
  <c r="Z2209" i="16"/>
  <c r="Z202" i="16"/>
  <c r="Z1151" i="16"/>
  <c r="Z1585" i="16"/>
  <c r="Z1932" i="16"/>
  <c r="Z836" i="16"/>
  <c r="Z1989" i="16"/>
  <c r="Z1015" i="16"/>
  <c r="Z794" i="16"/>
  <c r="Z760" i="16"/>
  <c r="Z1745" i="16"/>
  <c r="Z1974" i="16"/>
  <c r="Z2165" i="16"/>
  <c r="Z1636" i="16"/>
  <c r="Z2159" i="16"/>
  <c r="Z1684" i="16"/>
  <c r="Z1964" i="16"/>
  <c r="Z1456" i="16"/>
  <c r="Z1663" i="16"/>
  <c r="Z873" i="16"/>
  <c r="Z102" i="16"/>
  <c r="Z2273" i="16"/>
  <c r="Z1598" i="16"/>
  <c r="Z482" i="16"/>
  <c r="Z1677" i="16"/>
  <c r="Z1028" i="16"/>
  <c r="Z1993" i="16"/>
  <c r="Z479" i="16"/>
  <c r="Z1312" i="16"/>
  <c r="Z34" i="16"/>
  <c r="Z1062" i="16"/>
  <c r="Z798" i="16"/>
  <c r="Z241" i="16"/>
  <c r="Z950" i="16"/>
  <c r="Z648" i="16"/>
  <c r="Z23" i="16"/>
  <c r="Z51" i="16"/>
  <c r="Z965" i="16"/>
  <c r="Z1858" i="16"/>
  <c r="Z1031" i="16"/>
  <c r="Z1903" i="16"/>
  <c r="Z32" i="16"/>
  <c r="Z2233" i="16"/>
  <c r="Z1198" i="16"/>
  <c r="Z1309" i="16"/>
  <c r="Z1842" i="16"/>
  <c r="Z1639" i="16"/>
  <c r="Z857" i="16"/>
  <c r="Z148" i="16"/>
  <c r="Z574" i="16"/>
  <c r="Z628" i="16"/>
  <c r="Z673" i="16"/>
  <c r="Z2198" i="16"/>
  <c r="Z881" i="16"/>
  <c r="Z2177" i="16"/>
  <c r="Z180" i="16"/>
  <c r="Z1203" i="16"/>
  <c r="Z1216" i="16"/>
  <c r="Z2325" i="16"/>
  <c r="Z2075" i="16"/>
  <c r="Z1836" i="16"/>
  <c r="Z619" i="16"/>
  <c r="Z1726" i="16"/>
  <c r="Z988" i="16"/>
  <c r="Z1490" i="16"/>
  <c r="Z1774" i="16"/>
  <c r="Z1867" i="16"/>
  <c r="Z1220" i="16"/>
  <c r="Z382" i="16"/>
  <c r="Z983" i="16"/>
  <c r="Z1624" i="16"/>
  <c r="Z1847" i="16"/>
  <c r="Z1744" i="16"/>
  <c r="Z1648" i="16"/>
  <c r="Z2023" i="16"/>
  <c r="Z580" i="16"/>
  <c r="Z2297" i="16"/>
  <c r="Z1860" i="16"/>
  <c r="Z1626" i="16"/>
  <c r="Z1448" i="16"/>
  <c r="Z2094" i="16"/>
  <c r="Z1250" i="16"/>
  <c r="Z2242" i="16"/>
  <c r="Z509" i="16"/>
  <c r="Z642" i="16"/>
  <c r="Z1387" i="16"/>
  <c r="Z133" i="16"/>
  <c r="Z404" i="16"/>
  <c r="Z413" i="16"/>
  <c r="Z814" i="16"/>
  <c r="Z1855" i="16"/>
  <c r="Z2312" i="16"/>
  <c r="Z1594" i="16"/>
  <c r="Z1259" i="16"/>
  <c r="Z1936" i="16"/>
  <c r="Z323" i="16"/>
  <c r="Z1422" i="16"/>
  <c r="Z669" i="16"/>
  <c r="Z746" i="16"/>
  <c r="Z1808" i="16"/>
  <c r="Z50" i="16"/>
  <c r="Z787" i="16"/>
  <c r="Z2050" i="16"/>
  <c r="Z1468" i="16"/>
  <c r="Z2221" i="16"/>
  <c r="Z203" i="16"/>
  <c r="Z1965" i="16"/>
  <c r="Z793" i="16"/>
  <c r="Z1941" i="16"/>
  <c r="Z731" i="16"/>
  <c r="Z178" i="16"/>
  <c r="Z1831" i="16"/>
  <c r="Z2162" i="16"/>
  <c r="Z90" i="16"/>
  <c r="Z644" i="16"/>
  <c r="Z1154" i="16"/>
  <c r="Z1729" i="16"/>
  <c r="Z1799" i="16"/>
  <c r="Z1012" i="16"/>
  <c r="Z195" i="16"/>
  <c r="Z1091" i="16"/>
  <c r="Z622" i="16"/>
  <c r="Z728" i="16"/>
  <c r="Z1999" i="16"/>
  <c r="Z1770" i="16"/>
  <c r="Z535" i="16"/>
  <c r="Z1889" i="16"/>
  <c r="Z1093" i="16"/>
  <c r="Z1297" i="16"/>
  <c r="Z1007" i="16"/>
  <c r="Z799" i="16"/>
  <c r="Z75" i="16"/>
  <c r="Z738" i="16"/>
  <c r="Z1498" i="16"/>
  <c r="Z263" i="16"/>
  <c r="Z978" i="16"/>
  <c r="Z192" i="16"/>
  <c r="Z2097" i="16"/>
  <c r="Z486" i="16"/>
  <c r="Z1146" i="16"/>
  <c r="Z2077" i="16"/>
  <c r="Z741" i="16"/>
  <c r="Z1564" i="16"/>
  <c r="Z395" i="16"/>
  <c r="Z1071" i="16"/>
  <c r="Z900" i="16"/>
  <c r="Z2339" i="16"/>
  <c r="Z74" i="16"/>
  <c r="Z1426" i="16"/>
  <c r="Z2036" i="16"/>
  <c r="Z1791" i="16"/>
  <c r="Z1465" i="16"/>
  <c r="Z1895" i="16"/>
  <c r="Z1488" i="16"/>
  <c r="Z1844" i="16"/>
  <c r="Z711" i="16"/>
  <c r="Z1977" i="16"/>
  <c r="Z540" i="16"/>
  <c r="Z1943" i="16"/>
  <c r="Z860" i="16"/>
  <c r="Z2257" i="16"/>
  <c r="Z2247" i="16"/>
  <c r="Z1327" i="16"/>
  <c r="Z946" i="16"/>
  <c r="Z1278" i="16"/>
  <c r="Z1816" i="16"/>
  <c r="Z518" i="16"/>
  <c r="Z1870" i="16"/>
  <c r="Z2010" i="16"/>
  <c r="Z1096" i="16"/>
  <c r="Z1562" i="16"/>
  <c r="Z740" i="16"/>
  <c r="Z1583" i="16"/>
  <c r="Z1826" i="16"/>
  <c r="Z919" i="16"/>
  <c r="Z905" i="16"/>
  <c r="Z187" i="16"/>
  <c r="Z392" i="16"/>
  <c r="Z1437" i="16"/>
  <c r="Z1501" i="16"/>
  <c r="Z13" i="16"/>
  <c r="Z1953" i="16"/>
  <c r="Z231" i="16"/>
  <c r="Z1947" i="16"/>
  <c r="Z1793" i="16"/>
  <c r="Z2288" i="16"/>
  <c r="Z1652" i="16"/>
  <c r="Z445" i="16"/>
  <c r="Z2303" i="16"/>
  <c r="Z1132" i="16"/>
  <c r="Z1374" i="16"/>
  <c r="Z402" i="16"/>
  <c r="Z2272" i="16"/>
  <c r="Z158" i="16"/>
  <c r="Z1415" i="16"/>
  <c r="Z2007" i="16"/>
  <c r="Z100" i="16"/>
  <c r="Z1608" i="16"/>
  <c r="Z1044" i="16"/>
  <c r="Z1193" i="16"/>
  <c r="Z812" i="16"/>
  <c r="Z563" i="16"/>
  <c r="Z1633" i="16"/>
  <c r="Z234" i="16"/>
  <c r="Z553" i="16"/>
  <c r="Z345" i="16"/>
  <c r="Z647" i="16"/>
  <c r="Z717" i="16"/>
  <c r="Z2193" i="16"/>
  <c r="Z897" i="16"/>
  <c r="Z979" i="16"/>
  <c r="Z2239" i="16"/>
  <c r="Z868" i="16"/>
  <c r="Z1830" i="16"/>
  <c r="Z1669" i="16"/>
  <c r="Z1188" i="16"/>
  <c r="Z548" i="16"/>
  <c r="Z547" i="16"/>
  <c r="Z2020" i="16"/>
  <c r="Z1781" i="16"/>
  <c r="Z1909" i="16"/>
  <c r="Z1381" i="16"/>
  <c r="Z1939" i="16"/>
  <c r="Z15" i="16"/>
  <c r="Z676" i="16"/>
  <c r="Z2048" i="16"/>
  <c r="Z2252" i="16"/>
  <c r="Z1916" i="16"/>
  <c r="Z1767" i="16"/>
  <c r="Z521" i="16"/>
  <c r="Z823" i="16"/>
  <c r="Z1910" i="16"/>
  <c r="Z1061" i="16"/>
  <c r="Z646" i="16"/>
  <c r="Z369" i="16"/>
  <c r="Z2265" i="16"/>
  <c r="Z519" i="16"/>
  <c r="Z571" i="16"/>
  <c r="Z908" i="16"/>
  <c r="Z1085" i="16"/>
  <c r="Z1421" i="16"/>
  <c r="Z1912" i="16"/>
  <c r="Z1256" i="16"/>
  <c r="Z2332" i="16"/>
  <c r="Z1410" i="16"/>
  <c r="Z615" i="16"/>
  <c r="Z1359" i="16"/>
  <c r="Z2197" i="16"/>
  <c r="Z1016" i="16"/>
  <c r="Z1637" i="16"/>
  <c r="Z1380" i="16"/>
  <c r="Z1360" i="16"/>
  <c r="Z64" i="16"/>
  <c r="Z1196" i="16"/>
  <c r="Z1944" i="16"/>
  <c r="Z967" i="16"/>
  <c r="Z666" i="16"/>
  <c r="Z813" i="16"/>
  <c r="Z2218" i="16"/>
  <c r="Z976" i="16"/>
  <c r="Z198" i="16"/>
  <c r="Z2108" i="16"/>
  <c r="Z406" i="16"/>
  <c r="Z108" i="16"/>
  <c r="Z2150" i="16"/>
  <c r="Z2243" i="16"/>
  <c r="Z498" i="16"/>
  <c r="Z1509" i="16"/>
  <c r="Z1785" i="16"/>
  <c r="Z1482" i="16"/>
  <c r="Z718" i="16"/>
  <c r="Z420" i="16"/>
  <c r="Z1540" i="16"/>
  <c r="Z694" i="16"/>
  <c r="Z1545" i="16"/>
  <c r="Z1629" i="16"/>
  <c r="Z217" i="16"/>
  <c r="Z1789" i="16"/>
  <c r="Z2051" i="16"/>
  <c r="Z994" i="16"/>
  <c r="Z1554" i="16"/>
  <c r="Z351" i="16"/>
  <c r="Z1705" i="16"/>
  <c r="Z2113" i="16"/>
  <c r="Z1908" i="16"/>
  <c r="Z253" i="16"/>
  <c r="Z2278" i="16"/>
  <c r="Z1660" i="16"/>
  <c r="Z1389" i="16"/>
  <c r="Z1224" i="16"/>
  <c r="Z704" i="16"/>
  <c r="Z945" i="16"/>
  <c r="Z832" i="16"/>
  <c r="Z1559" i="16"/>
  <c r="Z89" i="16"/>
  <c r="Z1011" i="16"/>
  <c r="Z1358" i="16"/>
  <c r="Z2217" i="16"/>
  <c r="Z2213" i="16"/>
  <c r="Z972" i="16"/>
  <c r="Z121" i="16"/>
  <c r="Z1027" i="16"/>
  <c r="Z791" i="16"/>
  <c r="Z759" i="16"/>
  <c r="Z1025" i="16"/>
  <c r="Z907" i="16"/>
  <c r="Z937" i="16"/>
  <c r="Z2328" i="16"/>
  <c r="Z1593" i="16"/>
  <c r="Z2030" i="16"/>
  <c r="Z1166" i="16"/>
  <c r="Z220" i="16"/>
  <c r="Z1412" i="16"/>
  <c r="Z1616" i="16"/>
  <c r="Z414" i="16"/>
  <c r="Z815" i="16"/>
  <c r="Z1515" i="16"/>
  <c r="Z1778" i="16"/>
  <c r="Z2038" i="16"/>
  <c r="Z1820" i="16"/>
  <c r="Z1547" i="16"/>
  <c r="Z1164" i="16"/>
  <c r="Z2089" i="16"/>
  <c r="Z2151" i="16"/>
  <c r="Z1960" i="16"/>
  <c r="Z305" i="16"/>
  <c r="Z885" i="16"/>
  <c r="Z531" i="16"/>
  <c r="Z2073" i="16"/>
  <c r="Z912" i="16"/>
  <c r="Z1245" i="16"/>
  <c r="Z429" i="16"/>
  <c r="Z1050" i="16"/>
  <c r="Z592" i="16"/>
  <c r="Z661" i="16"/>
  <c r="Z1257" i="16"/>
  <c r="Z1087" i="16"/>
  <c r="Z405" i="16"/>
  <c r="Z120" i="16"/>
  <c r="Z1661" i="16"/>
  <c r="Z614" i="16"/>
  <c r="Z1757" i="16"/>
  <c r="Z773" i="16"/>
  <c r="Z570" i="16"/>
  <c r="Z1786" i="16"/>
  <c r="Z775" i="16"/>
  <c r="Z578" i="16"/>
  <c r="Z56" i="16"/>
  <c r="Z46" i="16"/>
  <c r="Z1173" i="16"/>
  <c r="Z645" i="16"/>
  <c r="Z625" i="16"/>
  <c r="Z1800" i="16"/>
  <c r="Z2161" i="16"/>
  <c r="Z49" i="16"/>
  <c r="Z1022" i="16"/>
  <c r="Z2337" i="16"/>
  <c r="Z757" i="16"/>
  <c r="Z1506" i="16"/>
  <c r="Z1254" i="16"/>
  <c r="Z67" i="16"/>
  <c r="Z1189" i="16"/>
  <c r="Z1666" i="16"/>
  <c r="Z952" i="16"/>
  <c r="Z311" i="16"/>
  <c r="Z2118" i="16"/>
  <c r="Z1057" i="16"/>
  <c r="Z1322" i="16"/>
  <c r="Z1988" i="16"/>
  <c r="Z2039" i="16"/>
  <c r="Z2335" i="16"/>
  <c r="Z430" i="16"/>
  <c r="Z1383" i="16"/>
  <c r="Z1840" i="16"/>
  <c r="Z1330" i="16"/>
  <c r="Z1592" i="16"/>
  <c r="Z1372" i="16"/>
  <c r="Z2072" i="16"/>
  <c r="Z732" i="16"/>
  <c r="Z1942" i="16"/>
  <c r="Z1461" i="16"/>
  <c r="Z1766" i="16"/>
  <c r="Z610" i="16"/>
  <c r="Z2084" i="16"/>
  <c r="Z175" i="16"/>
  <c r="Z1427" i="16"/>
  <c r="Z251" i="16"/>
  <c r="Z2277" i="16"/>
  <c r="Z293" i="16"/>
  <c r="Z785" i="16"/>
  <c r="Z182" i="16"/>
  <c r="Z1483" i="16"/>
  <c r="Z1041" i="16"/>
  <c r="Z2136" i="16"/>
  <c r="Z925" i="16"/>
  <c r="Z1611" i="16"/>
  <c r="Z1420" i="16"/>
  <c r="Z763" i="16"/>
  <c r="Z1551" i="16"/>
  <c r="Z1935" i="16"/>
  <c r="Z377" i="16"/>
  <c r="Z417" i="16"/>
  <c r="Z854" i="16"/>
  <c r="Z679" i="16"/>
  <c r="Z586" i="16"/>
  <c r="Z875" i="16"/>
  <c r="Z2255" i="16"/>
  <c r="Z867" i="16"/>
  <c r="Z709" i="16"/>
  <c r="Z1806" i="16"/>
  <c r="Z211" i="16"/>
  <c r="Z1127" i="16"/>
  <c r="Z649" i="16"/>
  <c r="Z1868" i="16"/>
  <c r="Z2189" i="16"/>
  <c r="Z736" i="16"/>
  <c r="Z1214" i="16"/>
  <c r="Z57" i="16"/>
  <c r="Z1869" i="16"/>
  <c r="Z829" i="16"/>
  <c r="Z1821" i="16"/>
  <c r="Z1580" i="16"/>
  <c r="Z2090" i="16"/>
  <c r="Z1668" i="16"/>
  <c r="Z844" i="16"/>
  <c r="Z2298" i="16"/>
  <c r="Z1969" i="16"/>
  <c r="Z1877" i="16"/>
  <c r="Z2322" i="16"/>
  <c r="Z1145" i="16"/>
  <c r="Z1959" i="16"/>
  <c r="Z2292" i="16"/>
  <c r="Z2283" i="16"/>
  <c r="Z443" i="16"/>
  <c r="Z307" i="16"/>
  <c r="Z306" i="16"/>
  <c r="Z1077" i="16"/>
  <c r="Z1497" i="16"/>
  <c r="Z847" i="16"/>
  <c r="Z165" i="16"/>
  <c r="Z260" i="16"/>
  <c r="Z2260" i="16"/>
  <c r="Z1671" i="16"/>
  <c r="Z1143" i="16"/>
  <c r="Z97" i="16"/>
  <c r="Z2230" i="16"/>
  <c r="Z84" i="16"/>
  <c r="Z1063" i="16"/>
  <c r="Z2143" i="16"/>
  <c r="Z433" i="16"/>
  <c r="Z314" i="16"/>
  <c r="Z437" i="16"/>
  <c r="Z1373" i="16"/>
  <c r="Z331" i="16"/>
  <c r="Z194" i="16"/>
  <c r="Z1507" i="16"/>
  <c r="Z59" i="16"/>
  <c r="Z1233" i="16"/>
  <c r="Z1824" i="16"/>
  <c r="Z927" i="16"/>
  <c r="Z2280" i="16"/>
  <c r="Z2126" i="16"/>
  <c r="Z2076" i="16"/>
  <c r="Z1287" i="16"/>
  <c r="Z275" i="16"/>
  <c r="Z362" i="16"/>
  <c r="Z1579" i="16"/>
  <c r="Z771" i="16"/>
  <c r="Z568" i="16"/>
  <c r="Z1722" i="16"/>
  <c r="Z343" i="16"/>
  <c r="Z396" i="16"/>
  <c r="Z338" i="16"/>
  <c r="Z24" i="16"/>
  <c r="Z2204" i="16"/>
  <c r="Z1748" i="16"/>
  <c r="Z623" i="16"/>
  <c r="Z469" i="16"/>
  <c r="Z183" i="16"/>
  <c r="Z698" i="16"/>
  <c r="Z1112" i="16"/>
  <c r="Z1463" i="16"/>
  <c r="Z1728" i="16"/>
  <c r="Z2222" i="16"/>
  <c r="Z889" i="16"/>
  <c r="Z565" i="16"/>
  <c r="Z2071" i="16"/>
  <c r="Z302" i="16"/>
  <c r="Z555" i="16"/>
  <c r="Z1413" i="16"/>
  <c r="Z1769" i="16"/>
  <c r="Z247" i="16"/>
  <c r="Z993" i="16"/>
  <c r="Z151" i="16"/>
  <c r="Z955" i="16"/>
  <c r="Z1069" i="16"/>
  <c r="Z1537" i="16"/>
  <c r="Z2285" i="16"/>
  <c r="Z66" i="16"/>
  <c r="Z1092" i="16"/>
  <c r="Z595" i="16"/>
  <c r="Z1570" i="16"/>
  <c r="Z1557" i="16"/>
  <c r="Z750" i="16"/>
  <c r="Z991" i="16"/>
  <c r="Z825" i="16"/>
  <c r="Z1444" i="16"/>
  <c r="Z1265" i="16"/>
  <c r="Z1703" i="16"/>
  <c r="Z1914" i="16"/>
  <c r="Z1376" i="16"/>
  <c r="Z1006" i="16"/>
  <c r="Z733" i="16"/>
  <c r="Z1467" i="16"/>
  <c r="Z1797" i="16"/>
  <c r="Z909" i="16"/>
  <c r="Z1718" i="16"/>
  <c r="Z136" i="16"/>
  <c r="Z26" i="16"/>
  <c r="Z1414" i="16"/>
  <c r="Z1134" i="16"/>
  <c r="Z1070" i="16"/>
  <c r="Z169" i="16"/>
  <c r="Z526" i="16"/>
  <c r="Z1114" i="16"/>
  <c r="Z1232" i="16"/>
  <c r="Z2055" i="16"/>
  <c r="Z85" i="16"/>
  <c r="Z1698" i="16"/>
  <c r="Z290" i="16"/>
  <c r="Z339" i="16"/>
  <c r="Z2314" i="16"/>
  <c r="Z828" i="16"/>
  <c r="Z1217" i="16"/>
  <c r="Z333" i="16"/>
  <c r="Z2117" i="16"/>
  <c r="Z1928" i="16"/>
  <c r="Z2306" i="16"/>
  <c r="Z1906" i="16"/>
  <c r="Z1225" i="16"/>
  <c r="Z2279" i="16"/>
  <c r="Z561" i="16"/>
  <c r="Z507" i="16"/>
  <c r="Z150" i="16"/>
  <c r="Z1702" i="16"/>
  <c r="Z513" i="16"/>
  <c r="Z1017" i="16"/>
  <c r="Z1927" i="16"/>
  <c r="Z558" i="16"/>
  <c r="Z2256" i="16"/>
  <c r="Z2245" i="16"/>
  <c r="Z1095" i="16"/>
  <c r="Z1099" i="16"/>
  <c r="Z2228" i="16"/>
  <c r="Z1933" i="16"/>
  <c r="Z1640" i="16"/>
  <c r="Z1308" i="16"/>
  <c r="Z516" i="16"/>
  <c r="Z2175" i="16"/>
  <c r="Z1591" i="16"/>
  <c r="Z1788" i="16"/>
  <c r="Z1008" i="16"/>
  <c r="Z672" i="16"/>
  <c r="Z1741" i="16"/>
  <c r="Z859" i="16"/>
  <c r="Z435" i="16"/>
  <c r="Z735" i="16"/>
  <c r="Z1206" i="16"/>
  <c r="Z807" i="16"/>
  <c r="Z444" i="16"/>
  <c r="Z1843" i="16"/>
  <c r="Z1288" i="16"/>
  <c r="Z172" i="16"/>
  <c r="Z499" i="16"/>
  <c r="Z964" i="16"/>
  <c r="Z712" i="16"/>
  <c r="Z142" i="16"/>
  <c r="Z1997" i="16"/>
  <c r="Z780" i="16"/>
  <c r="Z423" i="16"/>
  <c r="Z467" i="16"/>
  <c r="Z640" i="16"/>
  <c r="Z2152" i="16"/>
  <c r="Z671" i="16"/>
  <c r="Z601" i="16"/>
  <c r="Z490" i="16"/>
  <c r="Z146" i="16"/>
  <c r="Z1613" i="16"/>
  <c r="Z1020" i="16"/>
  <c r="Z581" i="16"/>
  <c r="Z1268" i="16"/>
  <c r="Z1185" i="16"/>
  <c r="Z2061" i="16"/>
  <c r="Z389" i="16"/>
  <c r="Z352" i="16"/>
  <c r="Z1181" i="16"/>
  <c r="Z1332" i="16"/>
  <c r="Z616" i="16"/>
  <c r="Z737" i="16"/>
  <c r="Z2065" i="16"/>
  <c r="Z1074" i="16"/>
  <c r="Z210" i="16"/>
  <c r="Z848" i="16"/>
  <c r="Z1403" i="16"/>
  <c r="Z1845" i="16"/>
  <c r="Z865" i="16"/>
  <c r="Z2305" i="16"/>
  <c r="Z73" i="16"/>
  <c r="Z929" i="16"/>
  <c r="Z35" i="16"/>
  <c r="Z2321" i="16"/>
  <c r="Z1866" i="16"/>
  <c r="Z1825" i="16"/>
  <c r="Z1607" i="16"/>
  <c r="Z110" i="16"/>
  <c r="Z989" i="16"/>
  <c r="Z2049" i="16"/>
  <c r="Z914" i="16"/>
  <c r="Z361" i="16"/>
  <c r="Z1727" i="16"/>
  <c r="Z2210" i="16"/>
  <c r="Z843" i="16"/>
  <c r="Z2250" i="16"/>
  <c r="Z268" i="16"/>
  <c r="Z474" i="16"/>
  <c r="Z1818" i="16"/>
  <c r="Z1590" i="16"/>
  <c r="Z1126" i="16"/>
  <c r="Z54" i="16"/>
  <c r="Z491" i="16"/>
  <c r="Z835" i="16"/>
  <c r="Z544" i="16"/>
  <c r="Z1213" i="16"/>
  <c r="Z12" i="16"/>
  <c r="Z1657" i="16"/>
  <c r="Z1961" i="16"/>
  <c r="Z1255" i="16"/>
  <c r="Z755" i="16"/>
  <c r="Z1395" i="16"/>
  <c r="Z2031" i="16"/>
  <c r="Z618" i="16"/>
  <c r="Z1697" i="16"/>
  <c r="Z291" i="16"/>
  <c r="Z2021" i="16"/>
  <c r="Z2319" i="16"/>
  <c r="Z379" i="16"/>
  <c r="Z1972" i="16"/>
  <c r="Z1354" i="16"/>
  <c r="Z877" i="16"/>
  <c r="Z2266" i="16"/>
  <c r="Z189" i="16"/>
  <c r="Z511" i="16"/>
  <c r="Z1503" i="16"/>
  <c r="Z65" i="16"/>
  <c r="Z902" i="16"/>
  <c r="Z1690" i="16"/>
  <c r="Z256" i="16"/>
  <c r="Z373" i="16"/>
  <c r="Z2093" i="16"/>
  <c r="Z1418" i="16"/>
  <c r="Z629" i="16"/>
  <c r="Z1045" i="16"/>
  <c r="Z1010" i="16"/>
  <c r="Z802" i="16"/>
  <c r="Z887" i="16"/>
  <c r="Z810" i="16"/>
  <c r="Z1771" i="16"/>
  <c r="Z208" i="16"/>
  <c r="Z1750" i="16"/>
  <c r="Z135" i="16"/>
  <c r="Z985" i="16"/>
  <c r="Z1120" i="16"/>
  <c r="Z171" i="16"/>
  <c r="Z278" i="16"/>
  <c r="Z525" i="16"/>
  <c r="Z1694" i="16"/>
  <c r="Z412" i="16"/>
  <c r="Z743" i="16"/>
  <c r="Z2259" i="16"/>
  <c r="Z1289" i="16"/>
  <c r="Z1356" i="16"/>
  <c r="Z130" i="16"/>
  <c r="Z2229" i="16"/>
  <c r="Z2012" i="16"/>
  <c r="Z1038" i="16"/>
  <c r="Z1743" i="16"/>
  <c r="Z432" i="16"/>
  <c r="Z422" i="16"/>
  <c r="Z585" i="16"/>
  <c r="Z821" i="16"/>
  <c r="Z128" i="16"/>
  <c r="Z1827" i="16"/>
  <c r="Z407" i="16"/>
  <c r="Z294" i="16"/>
  <c r="Z1385" i="16"/>
  <c r="Z1823" i="16"/>
  <c r="Z926" i="16"/>
  <c r="Z1505" i="16"/>
  <c r="Z1518" i="16"/>
  <c r="Z567" i="16"/>
  <c r="Z1765" i="16"/>
  <c r="Z342" i="16"/>
  <c r="Z931" i="16"/>
  <c r="Z557" i="16"/>
  <c r="Z55" i="16"/>
  <c r="Z840" i="16"/>
  <c r="Z21" i="16"/>
  <c r="Z1432" i="16"/>
  <c r="Z492" i="16"/>
  <c r="Z981" i="16"/>
  <c r="Z48" i="16"/>
  <c r="Z1111" i="16"/>
  <c r="Z2156" i="16"/>
  <c r="Z238" i="16"/>
  <c r="Z1653" i="16"/>
  <c r="Z2282" i="16"/>
  <c r="Z476" i="16"/>
  <c r="Z1036" i="16"/>
  <c r="Z2308" i="16"/>
  <c r="Z1923" i="16"/>
  <c r="Z2139" i="16"/>
  <c r="Z729" i="16"/>
  <c r="Z1252" i="16"/>
  <c r="Z1672" i="16"/>
  <c r="Z2046" i="16"/>
  <c r="Z2082" i="16"/>
  <c r="Z695" i="16"/>
  <c r="Z1715" i="16"/>
  <c r="Z1819" i="16"/>
  <c r="Z1218" i="16"/>
  <c r="Z2067" i="16"/>
  <c r="Z2231" i="16"/>
  <c r="Z1512" i="16"/>
  <c r="Z315" i="16"/>
  <c r="Z1802" i="16"/>
  <c r="Z117" i="16"/>
  <c r="Z1736" i="16"/>
  <c r="Z2191" i="16"/>
  <c r="Z226" i="16"/>
  <c r="Z878" i="16"/>
  <c r="Z1106" i="16"/>
  <c r="Z2176" i="16"/>
  <c r="Z1894" i="16"/>
  <c r="Z44" i="16"/>
  <c r="Z1979" i="16"/>
  <c r="Z2336" i="16"/>
  <c r="Z11" i="16"/>
  <c r="Z2129" i="16"/>
  <c r="Z2033" i="16"/>
  <c r="Z1264" i="16"/>
  <c r="Z1056" i="16"/>
  <c r="Z2324" i="16"/>
  <c r="Z2026" i="16"/>
  <c r="Z1548" i="16"/>
  <c r="Z1492" i="16"/>
  <c r="Z1664" i="16"/>
  <c r="Z411" i="16"/>
  <c r="Z1882" i="16"/>
  <c r="Z1517" i="16"/>
  <c r="Z940" i="16"/>
  <c r="Z186" i="16"/>
  <c r="Z899" i="16"/>
  <c r="Z924" i="16"/>
  <c r="Z538" i="16"/>
  <c r="Z425" i="16"/>
  <c r="Z2254" i="16"/>
  <c r="Z2149" i="16"/>
  <c r="Z852" i="16"/>
  <c r="Z2235" i="16"/>
  <c r="Z2163" i="16"/>
  <c r="Z851" i="16"/>
  <c r="Z913" i="16"/>
  <c r="Z677" i="16"/>
  <c r="Z1176" i="16"/>
  <c r="Z1442" i="16"/>
  <c r="Z1379" i="16"/>
  <c r="Z1805" i="16"/>
  <c r="Z1172" i="16"/>
  <c r="Z53" i="16"/>
  <c r="Z1553" i="16"/>
  <c r="Z689" i="16"/>
  <c r="Z1024" i="16"/>
  <c r="Z543" i="16"/>
  <c r="Z1763" i="16"/>
  <c r="Z537" i="16"/>
  <c r="Z1755" i="16"/>
  <c r="Z1369" i="16"/>
  <c r="Z2180" i="16"/>
  <c r="Z1094" i="16"/>
  <c r="Z129" i="16"/>
  <c r="Z968" i="16"/>
  <c r="Z2104" i="16"/>
  <c r="Z858" i="16"/>
  <c r="Z1699" i="16"/>
  <c r="Z515" i="16"/>
  <c r="Z1430" i="16"/>
  <c r="Z1161" i="16"/>
  <c r="Z1153" i="16"/>
  <c r="Z1417" i="16"/>
  <c r="Z394" i="16"/>
  <c r="Z917" i="16"/>
  <c r="Z1459" i="16"/>
  <c r="Z1452" i="16"/>
  <c r="Z2096" i="16"/>
  <c r="Z1205" i="16"/>
  <c r="Z819" i="16"/>
  <c r="Z682" i="16"/>
  <c r="Z141" i="16"/>
  <c r="Z1260" i="16"/>
  <c r="Z685" i="16"/>
  <c r="Z1779" i="16"/>
  <c r="Z596" i="16"/>
  <c r="Z442" i="16"/>
  <c r="Z1609" i="16"/>
  <c r="Z196" i="16"/>
  <c r="Z600" i="16"/>
  <c r="Z1649" i="16"/>
  <c r="Z758" i="16"/>
  <c r="Z1612" i="16"/>
  <c r="Z1019" i="16"/>
  <c r="Z2037" i="16"/>
  <c r="Z935" i="16"/>
  <c r="Z1248" i="16"/>
  <c r="Z742" i="16"/>
  <c r="Z127" i="16"/>
  <c r="Z212" i="16"/>
  <c r="Z621" i="16"/>
  <c r="Z2154" i="16"/>
  <c r="Z1158" i="16"/>
  <c r="Z604" i="16"/>
  <c r="Z1334" i="16"/>
  <c r="Z252" i="16"/>
  <c r="Z1237" i="16"/>
  <c r="Z2170" i="16"/>
  <c r="Z1589" i="16"/>
  <c r="Z683" i="16"/>
  <c r="Z204" i="16"/>
  <c r="Z1339" i="16"/>
  <c r="Z1419" i="16"/>
  <c r="Z2028" i="16"/>
  <c r="Z1812" i="16"/>
  <c r="Z472" i="16"/>
  <c r="Z1561" i="16"/>
  <c r="Z355" i="16"/>
  <c r="Z603" i="16"/>
  <c r="Z1043" i="16"/>
  <c r="Z833" i="16"/>
  <c r="Z1550" i="16"/>
  <c r="Z754" i="16"/>
  <c r="Z1938" i="16"/>
  <c r="Z1584" i="16"/>
  <c r="Z1958" i="16"/>
  <c r="Z2041" i="16"/>
  <c r="Z1246" i="16"/>
  <c r="Z1489" i="16"/>
  <c r="Z1926" i="16"/>
  <c r="Z2301" i="16"/>
  <c r="Z1849" i="16"/>
  <c r="Z289" i="16"/>
  <c r="Z383" i="16"/>
  <c r="Z2313" i="16"/>
  <c r="Z670" i="16"/>
  <c r="Z1323" i="16"/>
  <c r="Z1919" i="16"/>
  <c r="Z536" i="16"/>
  <c r="Z1290" i="16"/>
  <c r="Z2157" i="16"/>
  <c r="Z2138" i="16"/>
  <c r="Z701" i="16"/>
  <c r="Z1047" i="16"/>
  <c r="Z1848" i="16"/>
  <c r="Z2274" i="16"/>
  <c r="Z841" i="16"/>
  <c r="Z2253" i="16"/>
  <c r="Z2169" i="16"/>
  <c r="Z871" i="16"/>
  <c r="Z1599" i="16"/>
  <c r="Z1165" i="16"/>
  <c r="Z2224" i="16"/>
  <c r="Z1841" i="16"/>
  <c r="Z1638" i="16"/>
  <c r="Z856" i="16"/>
  <c r="Z1628" i="16"/>
  <c r="Z1625" i="16"/>
  <c r="Z1920" i="16"/>
  <c r="Z930" i="16"/>
  <c r="Z122" i="16"/>
  <c r="Z1949" i="16"/>
  <c r="Z1464" i="16"/>
  <c r="Z179" i="16"/>
  <c r="Z1223" i="16"/>
  <c r="Z109" i="16"/>
  <c r="Z2276" i="16"/>
  <c r="Z1837" i="16"/>
  <c r="Z372" i="16"/>
  <c r="Z1792" i="16"/>
  <c r="Z872" i="16"/>
  <c r="Z1098" i="16"/>
  <c r="Z1815" i="16"/>
  <c r="Z143" i="16"/>
  <c r="Z801" i="16"/>
  <c r="Z886" i="16"/>
  <c r="Z809" i="16"/>
  <c r="Z248" i="16"/>
  <c r="Z439" i="16"/>
  <c r="Z1828" i="16"/>
  <c r="Z18" i="16"/>
  <c r="Z1324" i="16"/>
  <c r="Z1500" i="16"/>
  <c r="Z1234" i="16"/>
  <c r="Z834" i="16"/>
  <c r="Z606" i="16"/>
  <c r="Z325" i="16"/>
  <c r="Z1803" i="16"/>
  <c r="Z2142" i="16"/>
  <c r="Z1037" i="16"/>
  <c r="Z1556" i="16"/>
  <c r="Z431" i="16"/>
  <c r="Z313" i="16"/>
  <c r="Z584" i="16"/>
  <c r="Z365" i="16"/>
  <c r="Z191" i="16"/>
  <c r="Z2202" i="16"/>
  <c r="Z1195" i="16"/>
  <c r="Z1780" i="16"/>
  <c r="Z1619" i="16"/>
  <c r="Z1809" i="16"/>
  <c r="Z904" i="16"/>
  <c r="Z1854" i="16"/>
  <c r="Z1865" i="16"/>
  <c r="Z2099" i="16"/>
  <c r="Z1101" i="16"/>
  <c r="Z1018" i="16"/>
  <c r="Z463" i="16"/>
  <c r="Z2299" i="16"/>
  <c r="Z446" i="16"/>
  <c r="Z1873" i="16"/>
  <c r="Z1983" i="16"/>
  <c r="Z1773" i="16"/>
  <c r="Z166" i="16"/>
  <c r="Z1621" i="16"/>
  <c r="Z1516" i="16"/>
  <c r="Z667" i="16"/>
  <c r="Z1035" i="16"/>
  <c r="Z214" i="16"/>
  <c r="Z9" i="16"/>
  <c r="Z1144" i="16"/>
  <c r="Z591" i="16"/>
  <c r="Z678" i="16"/>
  <c r="Z36" i="16"/>
  <c r="Z1513" i="16"/>
  <c r="Z1878" i="16"/>
  <c r="Z1508" i="16"/>
  <c r="Z1566" i="16"/>
  <c r="Z308" i="16"/>
  <c r="Z928" i="16"/>
  <c r="Z1872" i="16"/>
  <c r="Z1425" i="16"/>
  <c r="Z1945" i="16"/>
  <c r="Z219" i="16"/>
  <c r="Z1775" i="16"/>
  <c r="Z1337" i="16"/>
  <c r="Z2174" i="16"/>
  <c r="Z846" i="16"/>
  <c r="Z2014" i="16"/>
  <c r="Z2040" i="16"/>
  <c r="Z1147" i="16"/>
  <c r="Z971" i="16"/>
  <c r="Z2310" i="16"/>
  <c r="Z69" i="16"/>
  <c r="Z2295" i="16"/>
  <c r="Z1693" i="16"/>
  <c r="Z2087" i="16"/>
  <c r="Z866" i="16"/>
  <c r="Z1685" i="16"/>
  <c r="Z505" i="16"/>
  <c r="Z984" i="16"/>
  <c r="Z497" i="16"/>
  <c r="Z1764" i="16"/>
  <c r="Z973" i="16"/>
  <c r="Z744" i="16"/>
  <c r="Z1089" i="16"/>
  <c r="Z1528" i="16"/>
  <c r="Z274" i="16"/>
  <c r="Z1438" i="16"/>
  <c r="Z593" i="16"/>
  <c r="Z1187" i="16"/>
  <c r="Z1918" i="16"/>
  <c r="Z546" i="16"/>
  <c r="Z354" i="16"/>
  <c r="Z1183" i="16"/>
  <c r="Z224" i="16"/>
  <c r="Z916" i="16"/>
  <c r="Z1904" i="16"/>
  <c r="Z2196" i="16"/>
  <c r="Z1532" i="16"/>
  <c r="Z1079" i="16"/>
  <c r="Z397" i="16"/>
  <c r="Z1023" i="16"/>
  <c r="Z115" i="16"/>
  <c r="Z1533" i="16"/>
  <c r="Z424" i="16"/>
  <c r="Z508" i="16"/>
  <c r="Z2241" i="16"/>
  <c r="Z99" i="16"/>
  <c r="Z2109" i="16"/>
  <c r="Z1572" i="16"/>
  <c r="Z1833" i="16"/>
  <c r="Z426" i="16"/>
  <c r="Z724" i="16"/>
  <c r="Z1175" i="16"/>
  <c r="Z1514" i="16"/>
  <c r="Z2212" i="16"/>
  <c r="Z1522" i="16"/>
  <c r="Z2203" i="16"/>
  <c r="Z52" i="16"/>
  <c r="Z1996" i="16"/>
  <c r="Z1026" i="16"/>
  <c r="Z1266" i="16"/>
  <c r="Z81" i="16"/>
  <c r="Z503" i="16"/>
  <c r="Z1526" i="16"/>
  <c r="Z2105" i="16"/>
  <c r="Z686" i="16"/>
  <c r="Z104" i="16"/>
  <c r="Z514" i="16"/>
  <c r="Z250" i="16"/>
  <c r="Z951" i="16"/>
  <c r="Z1814" i="16"/>
  <c r="Z152" i="16"/>
  <c r="Z639" i="16"/>
  <c r="Z1163" i="16"/>
  <c r="Z2190" i="16"/>
  <c r="Z1451" i="16"/>
  <c r="Z1544" i="16"/>
  <c r="Z1204" i="16"/>
  <c r="Z2226" i="16"/>
  <c r="Z1691" i="16"/>
  <c r="Z384" i="16"/>
  <c r="Z594" i="16"/>
  <c r="Z1655" i="16"/>
  <c r="Z822" i="16"/>
  <c r="Z957" i="16"/>
  <c r="Z2083" i="16"/>
  <c r="Z706" i="16"/>
  <c r="Z170" i="16"/>
  <c r="Z620" i="16"/>
  <c r="Z1689" i="16"/>
  <c r="Z2286" i="16"/>
  <c r="Z2146" i="16"/>
  <c r="Z1888" i="16"/>
  <c r="Z8" i="16"/>
  <c r="Z1152" i="16"/>
  <c r="Z86" i="16"/>
  <c r="Z327" i="16"/>
  <c r="Z699" i="16"/>
  <c r="Z782" i="16"/>
  <c r="Z45" i="16"/>
  <c r="Z466" i="16"/>
  <c r="Z1408" i="16"/>
  <c r="Z918" i="16"/>
  <c r="Z436" i="16"/>
  <c r="Z2063" i="16"/>
  <c r="Z1436" i="16"/>
  <c r="Z1782" i="16"/>
  <c r="Z1951" i="16"/>
  <c r="Z230" i="16"/>
  <c r="Z1329" i="16"/>
  <c r="Z1706" i="16"/>
  <c r="Z2327" i="16"/>
  <c r="Z1980" i="16"/>
  <c r="Z1839" i="16"/>
  <c r="Z2153" i="16"/>
  <c r="Z987" i="16"/>
  <c r="Z1822" i="16"/>
  <c r="Z10" i="16"/>
  <c r="Z2000" i="16"/>
  <c r="Z1834" i="16"/>
  <c r="Z1269" i="16"/>
  <c r="Z1762" i="16"/>
  <c r="Z1686" i="16"/>
  <c r="Z1466" i="16"/>
  <c r="Z2244" i="16"/>
  <c r="Z1239" i="16"/>
  <c r="Z145" i="16"/>
  <c r="Z1990" i="16"/>
  <c r="Z2066" i="16"/>
  <c r="Z1688" i="16"/>
  <c r="Z2123" i="16"/>
  <c r="Z1209" i="16"/>
  <c r="Z1602" i="16"/>
  <c r="Z500" i="16"/>
  <c r="Z1298" i="16"/>
  <c r="Z772" i="16"/>
  <c r="Z569" i="16"/>
  <c r="Z1859" i="16"/>
  <c r="Z774" i="16"/>
  <c r="Z577" i="16"/>
  <c r="Z1201" i="16"/>
  <c r="Z1409" i="16"/>
  <c r="Z752" i="16"/>
  <c r="Z751" i="16"/>
  <c r="Z624" i="16"/>
  <c r="Z1212" i="16"/>
  <c r="Z184" i="16"/>
  <c r="Z607" i="16"/>
  <c r="Z1021" i="16"/>
  <c r="Z2284" i="16"/>
  <c r="Z1678" i="16"/>
  <c r="Z297" i="16"/>
  <c r="Z1462" i="16"/>
  <c r="Z2002" i="16"/>
  <c r="Z1240" i="16"/>
  <c r="Z2232" i="16"/>
  <c r="Z1059" i="16"/>
  <c r="Z2223" i="16"/>
  <c r="Z105" i="16"/>
  <c r="Z566" i="16"/>
  <c r="Z855" i="16"/>
  <c r="Z303" i="16"/>
  <c r="Z2211" i="16"/>
  <c r="Z715" i="16"/>
  <c r="Z1169" i="16"/>
  <c r="Z37" i="16"/>
  <c r="Z1314" i="16"/>
  <c r="Z283" i="16"/>
  <c r="Z948" i="16"/>
  <c r="Z998" i="16"/>
  <c r="Z608" i="16"/>
  <c r="Z1102" i="16"/>
  <c r="Z1813" i="16"/>
  <c r="Z800" i="16"/>
  <c r="Z1717" i="16"/>
  <c r="Z2080" i="16"/>
  <c r="Z157" i="16"/>
  <c r="Z168" i="16"/>
  <c r="Z399" i="16"/>
  <c r="Z209" i="16"/>
  <c r="Z40" i="16"/>
  <c r="Z1499" i="16"/>
  <c r="Z1386" i="16"/>
  <c r="Z264" i="16"/>
  <c r="Z879" i="16"/>
  <c r="Z1617" i="16"/>
  <c r="Z1670" i="16"/>
  <c r="Z2317" i="16"/>
  <c r="Z1014" i="16"/>
  <c r="Z483" i="16"/>
  <c r="Z336" i="16"/>
  <c r="Z126" i="16"/>
  <c r="Z1675" i="16"/>
  <c r="Z1049" i="16"/>
  <c r="Z1048" i="16"/>
  <c r="Z1907" i="16"/>
  <c r="Z2270" i="16"/>
  <c r="Z107" i="16"/>
  <c r="Z1434" i="16"/>
  <c r="Z1874" i="16"/>
  <c r="Z2216" i="16"/>
  <c r="Z38" i="16"/>
  <c r="Z2261" i="16"/>
  <c r="Z910" i="16"/>
  <c r="Z2225" i="16"/>
  <c r="Z1155" i="16"/>
  <c r="Z83" i="16"/>
  <c r="Z2207" i="16"/>
  <c r="Z19" i="16"/>
  <c r="Z1162" i="16"/>
  <c r="Z1453" i="16"/>
  <c r="Z440" i="16"/>
  <c r="Z1097" i="16"/>
  <c r="Z1274" i="16"/>
  <c r="Z2131" i="16"/>
  <c r="Z845" i="16"/>
  <c r="Z1455" i="16"/>
  <c r="Z2032" i="16"/>
  <c r="Z1801" i="16"/>
  <c r="Z1384" i="16"/>
  <c r="Z229" i="16"/>
  <c r="Z2179" i="16"/>
  <c r="Z1665" i="16"/>
  <c r="Z1558" i="16"/>
  <c r="Z1922" i="16"/>
  <c r="Z1984" i="16"/>
  <c r="Z43" i="16"/>
  <c r="Z1623" i="16"/>
  <c r="Z114" i="16"/>
  <c r="Z1683" i="16"/>
  <c r="Z2128" i="16"/>
  <c r="Z2148" i="16"/>
  <c r="Z631" i="16"/>
  <c r="Z58" i="16"/>
  <c r="Z1353" i="16"/>
  <c r="Z1913" i="16"/>
  <c r="Z2268" i="16"/>
  <c r="Z2262" i="16"/>
  <c r="Z636" i="16"/>
  <c r="Z173" i="16"/>
  <c r="Z697" i="16"/>
  <c r="Z820" i="16"/>
  <c r="Z1525" i="16"/>
  <c r="Z783" i="16"/>
  <c r="Z1940" i="16"/>
  <c r="Z781" i="16"/>
  <c r="Z1277" i="16"/>
  <c r="Z71" i="16"/>
  <c r="Z1879" i="16"/>
  <c r="Z1595" i="16"/>
  <c r="Z197" i="16"/>
  <c r="Z602" i="16"/>
  <c r="Z1072" i="16"/>
  <c r="Z1405" i="16"/>
  <c r="Z393" i="16"/>
  <c r="Z1402" i="16"/>
  <c r="Z164" i="16"/>
  <c r="Z1687" i="16"/>
  <c r="Z778" i="16"/>
  <c r="Z1759" i="16"/>
  <c r="Z2238" i="16"/>
  <c r="Z149" i="16"/>
  <c r="Z590" i="16"/>
  <c r="Z613" i="16"/>
  <c r="Z1186" i="16"/>
  <c r="Z1917" i="16"/>
  <c r="Z390" i="16"/>
  <c r="Z353" i="16"/>
  <c r="Z1182" i="16"/>
  <c r="Z1531" i="16"/>
  <c r="Z2206" i="16"/>
  <c r="Z650" i="16"/>
  <c r="Z2195" i="16"/>
  <c r="Z1772" i="16"/>
  <c r="Z1994" i="16"/>
  <c r="Z784" i="16"/>
  <c r="Z1404" i="16"/>
  <c r="Z2234" i="16"/>
  <c r="Z1571" i="16"/>
  <c r="Z1730" i="16"/>
  <c r="Z391" i="16"/>
  <c r="Z723" i="16"/>
  <c r="Z1174" i="16"/>
  <c r="Z243" i="16"/>
  <c r="Z1370" i="16"/>
  <c r="Z199" i="16"/>
  <c r="Z739" i="16"/>
  <c r="Z465" i="16"/>
  <c r="Z2008" i="16"/>
  <c r="Z1267" i="16"/>
  <c r="Z641" i="16"/>
  <c r="Z470" i="16"/>
  <c r="Z277" i="16"/>
  <c r="W1654" i="16"/>
  <c r="W282" i="16"/>
  <c r="W1293" i="16"/>
  <c r="W1986" i="16"/>
  <c r="W2057" i="16"/>
  <c r="W720" i="16"/>
  <c r="W2168" i="16"/>
  <c r="Z1851" i="16"/>
  <c r="Z893" i="16"/>
  <c r="Z63" i="16"/>
  <c r="Z1219" i="16"/>
  <c r="Z1066" i="16"/>
  <c r="Z634" i="16"/>
  <c r="Z2182" i="16"/>
  <c r="Z1136" i="16"/>
  <c r="Z665" i="16"/>
  <c r="Z884" i="16"/>
  <c r="Z1124" i="16"/>
  <c r="Z611" i="16"/>
  <c r="Z77" i="16"/>
  <c r="Z265" i="16"/>
  <c r="Z299" i="16"/>
  <c r="Z1180" i="16"/>
  <c r="Z79" i="16"/>
  <c r="Z922" i="16"/>
  <c r="Z296" i="16"/>
  <c r="Z273" i="16"/>
  <c r="Z330" i="16"/>
  <c r="Z1401" i="16"/>
  <c r="Z93" i="16"/>
  <c r="Z2057" i="16"/>
  <c r="Z1300" i="16"/>
  <c r="Z1449" i="16"/>
  <c r="Z1197" i="16"/>
  <c r="Z94" i="16"/>
  <c r="Z2001" i="16"/>
  <c r="Z963" i="16"/>
  <c r="Z221" i="16"/>
  <c r="Z1228" i="16"/>
  <c r="Z385" i="16"/>
  <c r="Z862" i="16"/>
  <c r="Z1283" i="16"/>
  <c r="Z1493" i="16"/>
  <c r="Z1346" i="16"/>
  <c r="Z441" i="16"/>
  <c r="Z1982" i="16"/>
  <c r="Z786" i="16"/>
  <c r="Z1966" i="16"/>
  <c r="Z693" i="16"/>
  <c r="Z285" i="16"/>
  <c r="Z1614" i="16"/>
  <c r="Z970" i="16"/>
  <c r="Z680" i="16"/>
  <c r="Z2188" i="16"/>
  <c r="Z287" i="16"/>
  <c r="Z788" i="16"/>
  <c r="Z1116" i="16"/>
  <c r="Z892" i="16"/>
  <c r="Z1915" i="16"/>
  <c r="Z118" i="16"/>
  <c r="Z675" i="16"/>
  <c r="Z1316" i="16"/>
  <c r="Z1981" i="16"/>
  <c r="Z386" i="16"/>
  <c r="Z496" i="16"/>
  <c r="Z1810" i="16"/>
  <c r="Z2074" i="16"/>
  <c r="Z300" i="16"/>
  <c r="Z549" i="16"/>
  <c r="Z1486" i="16"/>
  <c r="Z962" i="16"/>
  <c r="Z332" i="16"/>
  <c r="Z705" i="16"/>
  <c r="W766" i="16"/>
  <c r="W1890" i="16"/>
  <c r="W922" i="16"/>
  <c r="W1103" i="16"/>
  <c r="W1644" i="16"/>
  <c r="W1783" i="16"/>
  <c r="W461" i="16"/>
  <c r="Z2114" i="16"/>
  <c r="Z31" i="16"/>
  <c r="Z1109" i="16"/>
  <c r="Z1160" i="16"/>
  <c r="Z512" i="16"/>
  <c r="Z17" i="16"/>
  <c r="Z1107" i="16"/>
  <c r="Z1600" i="16"/>
  <c r="Z1956" i="16"/>
  <c r="Z1478" i="16"/>
  <c r="Z1864" i="16"/>
  <c r="Z1082" i="16"/>
  <c r="Z1581" i="16"/>
  <c r="Z579" i="16"/>
  <c r="Z1243" i="16"/>
  <c r="Z1105" i="16"/>
  <c r="Z1852" i="16"/>
  <c r="Z1067" i="16"/>
  <c r="Z1817" i="16"/>
  <c r="Z2068" i="16"/>
  <c r="Z975" i="16"/>
  <c r="Z1115" i="16"/>
  <c r="Z286" i="16"/>
  <c r="Z1231" i="16"/>
  <c r="Z572" i="16"/>
  <c r="Z734" i="16"/>
  <c r="Z692" i="16"/>
  <c r="Z1725" i="16"/>
  <c r="Z1433" i="16"/>
  <c r="Z321" i="16"/>
  <c r="Z605" i="16"/>
  <c r="Z461" i="16"/>
  <c r="Z1350" i="16"/>
  <c r="Z459" i="16"/>
  <c r="Z901" i="16"/>
  <c r="Z789" i="16"/>
  <c r="Z329" i="16"/>
  <c r="Z588" i="16"/>
  <c r="Z1447" i="16"/>
  <c r="Z1574" i="16"/>
  <c r="Z849" i="16"/>
  <c r="Z233" i="16"/>
  <c r="Z1168" i="16"/>
  <c r="Z1140" i="16"/>
  <c r="Z162" i="16"/>
  <c r="Z271" i="16"/>
  <c r="Z1367" i="16"/>
  <c r="Z1850" i="16"/>
  <c r="Z1138" i="16"/>
  <c r="Z1645" i="16"/>
  <c r="Z367" i="16"/>
  <c r="Z1227" i="16"/>
  <c r="Z664" i="16"/>
  <c r="Z2058" i="16"/>
  <c r="Z1305" i="16"/>
  <c r="Z1861" i="16"/>
  <c r="Z1480" i="16"/>
  <c r="Z2088" i="16"/>
  <c r="Z282" i="16"/>
  <c r="Z1890" i="16"/>
  <c r="Z2181" i="16"/>
  <c r="Z656" i="16"/>
  <c r="Z284" i="16"/>
  <c r="Z2101" i="16"/>
  <c r="Z495" i="16"/>
  <c r="Z1474" i="16"/>
  <c r="W1937" i="16"/>
  <c r="W348" i="16"/>
  <c r="W1197" i="16"/>
  <c r="W61" i="16"/>
  <c r="W1784" i="16"/>
  <c r="W2005" i="16"/>
  <c r="W786" i="16"/>
  <c r="Z942" i="16"/>
  <c r="Z589" i="16"/>
  <c r="Z95" i="16"/>
  <c r="Z1064" i="16"/>
  <c r="Z460" i="16"/>
  <c r="Z266" i="16"/>
  <c r="Z583" i="16"/>
  <c r="Z1055" i="16"/>
  <c r="Z1862" i="16"/>
  <c r="Z551" i="16"/>
  <c r="Z1720" i="16"/>
  <c r="Z1275" i="16"/>
  <c r="Z1291" i="16"/>
  <c r="Z494" i="16"/>
  <c r="Z295" i="16"/>
  <c r="Z1477" i="16"/>
  <c r="Z1536" i="16"/>
  <c r="Z1399" i="16"/>
  <c r="Z272" i="16"/>
  <c r="Z1519" i="16"/>
  <c r="Z1481" i="16"/>
  <c r="Z527" i="16"/>
  <c r="Z475" i="16"/>
  <c r="Z1897" i="16"/>
  <c r="Z1320" i="16"/>
  <c r="Z1925" i="16"/>
  <c r="Z1853" i="16"/>
  <c r="Z451" i="16"/>
  <c r="Z587" i="16"/>
  <c r="Z1856" i="16"/>
  <c r="Z1783" i="16"/>
  <c r="Z155" i="16"/>
  <c r="Z530" i="16"/>
  <c r="Z1284" i="16"/>
  <c r="Z1659" i="16"/>
  <c r="Z1886" i="16"/>
  <c r="Z727" i="16"/>
  <c r="Z1520" i="16"/>
  <c r="Z1377" i="16"/>
  <c r="Z1342" i="16"/>
  <c r="Z1987" i="16"/>
  <c r="Z1857" i="16"/>
  <c r="Z659" i="16"/>
  <c r="Z533" i="16"/>
  <c r="Z1293" i="16"/>
  <c r="Z1179" i="16"/>
  <c r="Z1627" i="16"/>
  <c r="Z1577" i="16"/>
  <c r="Z232" i="16"/>
  <c r="Z280" i="16"/>
  <c r="Z506" i="16"/>
  <c r="Z324" i="16"/>
  <c r="Z1937" i="16"/>
  <c r="Z953" i="16"/>
  <c r="Z450" i="16"/>
  <c r="Z1303" i="16"/>
  <c r="Z826" i="16"/>
  <c r="Z27" i="16"/>
  <c r="Z1194" i="16"/>
  <c r="Z2184" i="16"/>
  <c r="Z995" i="16"/>
  <c r="Z1393" i="16"/>
  <c r="Z1416" i="16"/>
  <c r="Z1141" i="16"/>
  <c r="Z2079" i="16"/>
  <c r="Z768" i="16"/>
  <c r="W788" i="16"/>
  <c r="W280" i="16"/>
  <c r="W1140" i="16"/>
  <c r="W1915" i="16"/>
  <c r="W1226" i="16"/>
  <c r="W1179" i="16"/>
  <c r="W478" i="16"/>
  <c r="W1295" i="16"/>
  <c r="W386" i="16"/>
  <c r="W232" i="16"/>
  <c r="W350" i="16"/>
  <c r="W559" i="16"/>
  <c r="W132" i="16"/>
  <c r="W891" i="16"/>
  <c r="W1416" i="16"/>
  <c r="W2101" i="16"/>
  <c r="W332" i="16"/>
  <c r="W745" i="16"/>
  <c r="W942" i="16"/>
  <c r="W1116" i="16"/>
  <c r="W1109" i="16"/>
  <c r="W2181" i="16"/>
  <c r="W1066" i="16"/>
  <c r="W1009" i="16"/>
  <c r="W808" i="16"/>
  <c r="W1299" i="16"/>
  <c r="W1081" i="16"/>
  <c r="W597" i="16"/>
  <c r="W1610" i="16"/>
  <c r="W770" i="16"/>
  <c r="W258" i="16"/>
  <c r="W1125" i="16"/>
  <c r="W977" i="16"/>
  <c r="W1446" i="16"/>
  <c r="W296" i="16"/>
  <c r="W790" i="16"/>
  <c r="W347" i="16"/>
  <c r="W1555" i="16"/>
  <c r="W1243" i="16"/>
  <c r="W1231" i="16"/>
  <c r="W2106" i="16"/>
  <c r="W542" i="16"/>
  <c r="W272" i="16"/>
  <c r="W1276" i="16"/>
  <c r="W970" i="16"/>
  <c r="W1411" i="16"/>
  <c r="W2188" i="16"/>
  <c r="W2115" i="16"/>
  <c r="W1511" i="16"/>
  <c r="W1319" i="16"/>
  <c r="W1167" i="16"/>
  <c r="W155" i="16"/>
  <c r="W1573" i="16"/>
  <c r="W1962" i="16"/>
  <c r="W997" i="16"/>
  <c r="W2167" i="16"/>
  <c r="W2184" i="16"/>
  <c r="W849" i="16"/>
  <c r="W524" i="16"/>
  <c r="W612" i="16"/>
  <c r="W1227" i="16"/>
  <c r="W1931" i="16"/>
  <c r="W532" i="16"/>
  <c r="W1863" i="16"/>
  <c r="W1366" i="16"/>
  <c r="W1480" i="16"/>
  <c r="W359" i="16"/>
  <c r="W1194" i="16"/>
  <c r="W1676" i="16"/>
  <c r="W1065" i="16"/>
  <c r="W370" i="16"/>
  <c r="W1279" i="16"/>
  <c r="W1141" i="16"/>
  <c r="W400" i="16"/>
  <c r="W1474" i="16"/>
  <c r="W1377" i="16"/>
  <c r="W2088" i="16"/>
  <c r="W1053" i="16"/>
  <c r="W512" i="16"/>
  <c r="W634" i="16"/>
  <c r="W762" i="16"/>
  <c r="W1449" i="16"/>
  <c r="W358" i="16"/>
  <c r="W893" i="16"/>
  <c r="W660" i="16"/>
  <c r="W1484" i="16"/>
  <c r="W236" i="16"/>
  <c r="W573" i="16"/>
  <c r="W1244" i="16"/>
  <c r="W2059" i="16"/>
  <c r="W273" i="16"/>
  <c r="W1587" i="16"/>
  <c r="W427" i="16"/>
  <c r="W579" i="16"/>
  <c r="W295" i="16"/>
  <c r="W1897" i="16"/>
  <c r="W1320" i="16"/>
  <c r="W545" i="16"/>
  <c r="W895" i="16"/>
  <c r="W943" i="16"/>
  <c r="W1725" i="16"/>
  <c r="W2001" i="16"/>
  <c r="W259" i="16"/>
  <c r="W936" i="16"/>
  <c r="W475" i="16"/>
  <c r="W1367" i="16"/>
  <c r="W1228" i="16"/>
  <c r="W1357" i="16"/>
  <c r="W76" i="16"/>
  <c r="W1901" i="16"/>
  <c r="W441" i="16"/>
  <c r="W1708" i="16"/>
  <c r="W2103" i="16"/>
  <c r="W277" i="16"/>
  <c r="W459" i="16"/>
  <c r="W789" i="16"/>
  <c r="W1954" i="16"/>
  <c r="W1139" i="16"/>
  <c r="W319" i="16"/>
  <c r="W324" i="16"/>
  <c r="W1485" i="16"/>
  <c r="W92" i="16"/>
  <c r="W1316" i="16"/>
  <c r="W1981" i="16"/>
  <c r="W944" i="16"/>
  <c r="W1862" i="16"/>
  <c r="W335" i="16"/>
  <c r="W1124" i="16"/>
  <c r="W1082" i="16"/>
  <c r="W1318" i="16"/>
  <c r="W1296" i="16"/>
  <c r="W2107" i="16"/>
  <c r="W768" i="16"/>
  <c r="W1577" i="16"/>
  <c r="W1399" i="16"/>
  <c r="W1200" i="16"/>
  <c r="W1064" i="16"/>
  <c r="W460" i="16"/>
  <c r="W93" i="16"/>
  <c r="W1338" i="16"/>
  <c r="W1600" i="16"/>
  <c r="W2100" i="16"/>
  <c r="W1709" i="16"/>
  <c r="W982" i="16"/>
  <c r="W894" i="16"/>
  <c r="W1739" i="16"/>
  <c r="W2164" i="16"/>
  <c r="W665" i="16"/>
  <c r="W462" i="16"/>
  <c r="W488" i="16"/>
  <c r="W975" i="16"/>
  <c r="W162" i="16"/>
  <c r="W494" i="16"/>
  <c r="W477" i="16"/>
  <c r="W2006" i="16"/>
  <c r="W1105" i="16"/>
  <c r="W360" i="16"/>
  <c r="W1987" i="16"/>
  <c r="W1724" i="16"/>
  <c r="W1900" i="16"/>
  <c r="W1433" i="16"/>
  <c r="W963" i="16"/>
  <c r="W1552" i="16"/>
  <c r="W1680" i="16"/>
  <c r="W1627" i="16"/>
  <c r="W932" i="16"/>
  <c r="W154" i="16"/>
  <c r="W892" i="16"/>
  <c r="W1346" i="16"/>
  <c r="W588" i="16"/>
  <c r="W2022" i="16"/>
  <c r="W1341" i="16"/>
  <c r="W349" i="16"/>
  <c r="W270" i="16"/>
  <c r="W285" i="16"/>
  <c r="W1000" i="16"/>
  <c r="W1128" i="16"/>
  <c r="W582" i="16"/>
  <c r="W371" i="16"/>
  <c r="W367" i="16"/>
  <c r="W1075" i="16"/>
  <c r="W675" i="16"/>
  <c r="W1305" i="16"/>
  <c r="W1893" i="16"/>
  <c r="W2185" i="16"/>
  <c r="W921" i="16"/>
  <c r="W1720" i="16"/>
  <c r="W1701" i="16"/>
  <c r="W761" i="16"/>
  <c r="W523" i="16"/>
  <c r="W1352" i="16"/>
  <c r="W288" i="16"/>
  <c r="W756" i="16"/>
  <c r="W1342" i="16"/>
  <c r="W1576" i="16"/>
  <c r="W528" i="16"/>
  <c r="W767" i="16"/>
  <c r="W1647" i="16"/>
  <c r="W286" i="16"/>
  <c r="W1107" i="16"/>
  <c r="W2124" i="16"/>
  <c r="W1122" i="16"/>
  <c r="W1751" i="16"/>
  <c r="W839" i="16"/>
  <c r="W265" i="16"/>
  <c r="W1934" i="16"/>
  <c r="W996" i="16"/>
  <c r="W1956" i="16"/>
  <c r="W551" i="16"/>
  <c r="W1504" i="16"/>
  <c r="W1481" i="16"/>
  <c r="W1401" i="16"/>
  <c r="W1301" i="16"/>
  <c r="W747" i="16"/>
  <c r="W1731" i="16"/>
  <c r="W1263" i="16"/>
  <c r="W301" i="16"/>
  <c r="W598" i="16"/>
  <c r="W330" i="16"/>
  <c r="W876" i="16"/>
  <c r="W1707" i="16"/>
  <c r="W235" i="16"/>
  <c r="W533" i="16"/>
  <c r="W80" i="16"/>
  <c r="W1493" i="16"/>
  <c r="W1393" i="16"/>
  <c r="W1520" i="16"/>
  <c r="W1302" i="16"/>
  <c r="W153" i="16"/>
  <c r="W453" i="16"/>
  <c r="W652" i="16"/>
  <c r="W550" i="16"/>
  <c r="W941" i="16"/>
  <c r="W1927" i="16"/>
  <c r="W619" i="16"/>
  <c r="W973" i="16"/>
  <c r="W1189" i="16"/>
  <c r="W85" i="16"/>
  <c r="W538" i="16"/>
  <c r="W1106" i="16"/>
  <c r="W1329" i="16"/>
  <c r="W1214" i="16"/>
  <c r="W1638" i="16"/>
  <c r="W1120" i="16"/>
  <c r="W566" i="16"/>
  <c r="W1314" i="16"/>
  <c r="W697" i="16"/>
  <c r="W71" i="16"/>
  <c r="W755" i="16"/>
  <c r="W109" i="16"/>
  <c r="W771" i="16"/>
  <c r="W2204" i="16"/>
  <c r="W2262" i="16"/>
  <c r="W1859" i="16"/>
  <c r="W624" i="16"/>
  <c r="W1322" i="16"/>
  <c r="W1094" i="16"/>
  <c r="W353" i="16"/>
  <c r="W1026" i="16"/>
  <c r="W2080" i="16"/>
  <c r="W639" i="16"/>
  <c r="W1204" i="16"/>
  <c r="W408" i="16"/>
  <c r="W1521" i="16"/>
  <c r="W33" i="16"/>
  <c r="W976" i="16"/>
  <c r="W134" i="16"/>
  <c r="W198" i="16"/>
  <c r="W119" i="16"/>
  <c r="W1540" i="16"/>
  <c r="W144" i="16"/>
  <c r="W694" i="16"/>
  <c r="W925" i="16"/>
  <c r="W1933" i="16"/>
  <c r="W752" i="16"/>
  <c r="W1774" i="16"/>
  <c r="W1533" i="16"/>
  <c r="W2104" i="16"/>
  <c r="W2203" i="16"/>
  <c r="W1928" i="16"/>
  <c r="W1354" i="16"/>
  <c r="W1517" i="16"/>
  <c r="W1518" i="16"/>
  <c r="W243" i="16"/>
  <c r="W993" i="16"/>
  <c r="W323" i="16"/>
  <c r="W978" i="16"/>
  <c r="W1716" i="16"/>
  <c r="W1241" i="16"/>
  <c r="W1761" i="16"/>
  <c r="W1543" i="16"/>
  <c r="W1929" i="16"/>
  <c r="W2093" i="16"/>
  <c r="W184" i="16"/>
  <c r="W1668" i="16"/>
  <c r="W2076" i="16"/>
  <c r="W780" i="16"/>
  <c r="W971" i="16"/>
  <c r="W2295" i="16"/>
  <c r="W307" i="16"/>
  <c r="W1728" i="16"/>
  <c r="W250" i="16"/>
  <c r="W1499" i="16"/>
  <c r="W2047" i="16"/>
  <c r="W1889" i="16"/>
  <c r="W1509" i="16"/>
  <c r="W558" i="16"/>
  <c r="W802" i="16"/>
  <c r="W1246" i="16"/>
  <c r="W115" i="16"/>
  <c r="W1815" i="16"/>
  <c r="W2206" i="16"/>
  <c r="W926" i="16"/>
  <c r="W1664" i="16"/>
  <c r="W1685" i="16"/>
  <c r="W313" i="16"/>
  <c r="W1195" i="16"/>
  <c r="W2027" i="16"/>
  <c r="W880" i="16"/>
  <c r="W1146" i="16"/>
  <c r="W992" i="16"/>
  <c r="W84" i="16"/>
  <c r="W135" i="16"/>
  <c r="W2179" i="16"/>
  <c r="W2238" i="16"/>
  <c r="W396" i="16"/>
  <c r="W1994" i="16"/>
  <c r="W430" i="16"/>
  <c r="W1592" i="16"/>
  <c r="W1882" i="16"/>
  <c r="W608" i="16"/>
  <c r="W739" i="16"/>
  <c r="W879" i="16"/>
  <c r="W1655" i="16"/>
  <c r="W2172" i="16"/>
  <c r="W1036" i="16"/>
  <c r="W1515" i="16"/>
  <c r="W2038" i="16"/>
  <c r="W1820" i="16"/>
  <c r="W1547" i="16"/>
  <c r="W1164" i="16"/>
  <c r="W2089" i="16"/>
  <c r="W2151" i="16"/>
  <c r="W1960" i="16"/>
  <c r="W305" i="16"/>
  <c r="W885" i="16"/>
  <c r="W2073" i="16"/>
  <c r="W912" i="16"/>
  <c r="W1245" i="16"/>
  <c r="W1050" i="16"/>
  <c r="W592" i="16"/>
  <c r="W661" i="16"/>
  <c r="W1257" i="16"/>
  <c r="W1087" i="16"/>
  <c r="W1832" i="16"/>
  <c r="W1865" i="16"/>
  <c r="W2025" i="16"/>
  <c r="W2173" i="16"/>
  <c r="W669" i="16"/>
  <c r="W2296" i="16"/>
  <c r="W956" i="16"/>
  <c r="W1681" i="16"/>
  <c r="W1838" i="16"/>
  <c r="W1710" i="16"/>
  <c r="W2307" i="16"/>
  <c r="W70" i="16"/>
  <c r="W1811" i="16"/>
  <c r="W986" i="16"/>
  <c r="W2095" i="16"/>
  <c r="W1948" i="16"/>
  <c r="W1400" i="16"/>
  <c r="W1634" i="16"/>
  <c r="W2304" i="16"/>
  <c r="W960" i="16"/>
  <c r="W1549" i="16"/>
  <c r="W2018" i="16"/>
  <c r="W1497" i="16"/>
  <c r="W1990" i="16"/>
  <c r="W341" i="16"/>
  <c r="W416" i="16"/>
  <c r="W2120" i="16"/>
  <c r="W728" i="16"/>
  <c r="W2252" i="16"/>
  <c r="W853" i="16"/>
  <c r="W630" i="16"/>
  <c r="W44" i="16"/>
  <c r="W1872" i="16"/>
  <c r="W1775" i="16"/>
  <c r="W1958" i="16"/>
  <c r="W1216" i="16"/>
  <c r="W1274" i="16"/>
  <c r="W1821" i="16"/>
  <c r="W2337" i="16"/>
  <c r="W1602" i="16"/>
  <c r="W810" i="16"/>
  <c r="W59" i="16"/>
  <c r="W2298" i="16"/>
  <c r="W872" i="16"/>
  <c r="W1175" i="16"/>
  <c r="W283" i="16"/>
  <c r="W1298" i="16"/>
  <c r="W2276" i="16"/>
  <c r="W1186" i="16"/>
  <c r="W1169" i="16"/>
  <c r="W1209" i="16"/>
  <c r="W781" i="16"/>
  <c r="W1532" i="16"/>
  <c r="W499" i="16"/>
  <c r="W1514" i="16"/>
  <c r="W834" i="16"/>
  <c r="W1855" i="16"/>
  <c r="W1776" i="16"/>
  <c r="W2243" i="16"/>
  <c r="W1007" i="16"/>
  <c r="W633" i="16"/>
  <c r="W1564" i="16"/>
  <c r="W395" i="16"/>
  <c r="W476" i="16"/>
  <c r="W263" i="16"/>
  <c r="W1991" i="16"/>
  <c r="W814" i="16"/>
  <c r="W1063" i="16"/>
  <c r="W1904" i="16"/>
  <c r="W1867" i="16"/>
  <c r="W1837" i="16"/>
  <c r="W142" i="16"/>
  <c r="W1324" i="16"/>
  <c r="W2313" i="16"/>
  <c r="W1762" i="16"/>
  <c r="W2242" i="16"/>
  <c r="W1813" i="16"/>
  <c r="W2190" i="16"/>
  <c r="W710" i="16"/>
  <c r="W2282" i="16"/>
  <c r="W486" i="16"/>
  <c r="W1005" i="16"/>
  <c r="W2016" i="16"/>
  <c r="W657" i="16"/>
  <c r="W1527" i="16"/>
  <c r="W1095" i="16"/>
  <c r="W1442" i="16"/>
  <c r="W397" i="16"/>
  <c r="W1057" i="16"/>
  <c r="W1287" i="16"/>
  <c r="W423" i="16"/>
  <c r="W183" i="16"/>
  <c r="W1648" i="16"/>
  <c r="W1860" i="16"/>
  <c r="W2142" i="16"/>
  <c r="W557" i="16"/>
  <c r="W1649" i="16"/>
  <c r="W2020" i="16"/>
  <c r="W1238" i="16"/>
  <c r="W2097" i="16"/>
  <c r="W1014" i="16"/>
  <c r="W1308" i="16"/>
  <c r="W1949" i="16"/>
  <c r="W311" i="16"/>
  <c r="W537" i="16"/>
  <c r="W1833" i="16"/>
  <c r="W650" i="16"/>
  <c r="W1056" i="16"/>
  <c r="W1145" i="16"/>
  <c r="W1626" i="16"/>
  <c r="W1766" i="16"/>
  <c r="W1730" i="16"/>
  <c r="W1181" i="16"/>
  <c r="W2092" i="16"/>
  <c r="W1381" i="16"/>
  <c r="W795" i="16"/>
  <c r="W260" i="16"/>
  <c r="W569" i="16"/>
  <c r="W672" i="16"/>
  <c r="W290" i="16"/>
  <c r="W1264" i="16"/>
  <c r="W1182" i="16"/>
  <c r="W948" i="16"/>
  <c r="W2322" i="16"/>
  <c r="W1623" i="16"/>
  <c r="W1466" i="16"/>
  <c r="W1505" i="16"/>
  <c r="W431" i="16"/>
  <c r="W196" i="16"/>
  <c r="W904" i="16"/>
  <c r="W1700" i="16"/>
  <c r="W192" i="16"/>
  <c r="W1482" i="16"/>
  <c r="W41" i="16"/>
  <c r="W1546" i="16"/>
  <c r="W2091" i="16"/>
  <c r="W2003" i="16"/>
  <c r="W1674" i="16"/>
  <c r="W2263" i="16"/>
  <c r="W1104" i="16"/>
  <c r="W2236" i="16"/>
  <c r="W131" i="16"/>
  <c r="W2110" i="16"/>
  <c r="W1754" i="16"/>
  <c r="W2125" i="16"/>
  <c r="W708" i="16"/>
  <c r="W1431" i="16"/>
  <c r="W421" i="16"/>
  <c r="W1371" i="16"/>
  <c r="W334" i="16"/>
  <c r="W730" i="16"/>
  <c r="W875" i="16"/>
  <c r="W1218" i="16"/>
  <c r="W2340" i="16"/>
  <c r="W139" i="16"/>
  <c r="W2037" i="16"/>
  <c r="W2052" i="16"/>
  <c r="W2045" i="16"/>
  <c r="W1307" i="16"/>
  <c r="W74" i="16"/>
  <c r="W1426" i="16"/>
  <c r="W2036" i="16"/>
  <c r="W1791" i="16"/>
  <c r="W1465" i="16"/>
  <c r="W1895" i="16"/>
  <c r="W2338" i="16"/>
  <c r="W374" i="16"/>
  <c r="W322" i="16"/>
  <c r="W68" i="16"/>
  <c r="W2044" i="16"/>
  <c r="W222" i="16"/>
  <c r="W642" i="16"/>
  <c r="W1387" i="16"/>
  <c r="W133" i="16"/>
  <c r="W541" i="16"/>
  <c r="W1333" i="16"/>
  <c r="W1854" i="16"/>
  <c r="W2258" i="16"/>
  <c r="W1799" i="16"/>
  <c r="W1328" i="16"/>
  <c r="W696" i="16"/>
  <c r="W1097" i="16"/>
  <c r="W1726" i="16"/>
  <c r="W1938" i="16"/>
  <c r="W413" i="16"/>
  <c r="W1455" i="16"/>
  <c r="W1213" i="16"/>
  <c r="W1232" i="16"/>
  <c r="W1979" i="16"/>
  <c r="W754" i="16"/>
  <c r="W871" i="16"/>
  <c r="W2175" i="16"/>
  <c r="W1405" i="16"/>
  <c r="W2040" i="16"/>
  <c r="W248" i="16"/>
  <c r="W593" i="16"/>
  <c r="W1384" i="16"/>
  <c r="W743" i="16"/>
  <c r="W105" i="16"/>
  <c r="W52" i="16"/>
  <c r="W2169" i="16"/>
  <c r="W689" i="16"/>
  <c r="W2039" i="16"/>
  <c r="W964" i="16"/>
  <c r="W439" i="16"/>
  <c r="W302" i="16"/>
  <c r="W1898" i="16"/>
  <c r="W2121" i="16"/>
  <c r="W1101" i="16"/>
  <c r="W1184" i="16"/>
  <c r="W805" i="16"/>
  <c r="W929" i="16"/>
  <c r="W20" i="16"/>
  <c r="W599" i="16"/>
  <c r="W227" i="16"/>
  <c r="W336" i="16"/>
  <c r="W261" i="16"/>
  <c r="W744" i="16"/>
  <c r="W985" i="16"/>
  <c r="W1220" i="16"/>
  <c r="W1369" i="16"/>
  <c r="W1722" i="16"/>
  <c r="W1500" i="16"/>
  <c r="W1984" i="16"/>
  <c r="W2283" i="16"/>
  <c r="W150" i="16"/>
  <c r="W141" i="16"/>
  <c r="W55" i="16"/>
  <c r="W981" i="16"/>
  <c r="W2309" i="16"/>
  <c r="W292" i="16"/>
  <c r="W1272" i="16"/>
  <c r="W317" i="16"/>
  <c r="W1150" i="16"/>
  <c r="W138" i="16"/>
  <c r="W1058" i="16"/>
  <c r="W97" i="16"/>
  <c r="W1591" i="16"/>
  <c r="W525" i="16"/>
  <c r="W2033" i="16"/>
  <c r="W1356" i="16"/>
  <c r="W338" i="16"/>
  <c r="W698" i="16"/>
  <c r="W2026" i="16"/>
  <c r="W1919" i="16"/>
  <c r="W2244" i="16"/>
  <c r="W2222" i="16"/>
  <c r="W1370" i="16"/>
  <c r="W151" i="16"/>
  <c r="W111" i="16"/>
  <c r="W2119" i="16"/>
  <c r="W35" i="16"/>
  <c r="W1671" i="16"/>
  <c r="W516" i="16"/>
  <c r="W1464" i="16"/>
  <c r="W1980" i="16"/>
  <c r="W1755" i="16"/>
  <c r="W858" i="16"/>
  <c r="W1147" i="16"/>
  <c r="W1548" i="16"/>
  <c r="W2279" i="16"/>
  <c r="W940" i="16"/>
  <c r="W567" i="16"/>
  <c r="W168" i="16"/>
  <c r="W1386" i="16"/>
  <c r="W1905" i="16"/>
  <c r="W2291" i="16"/>
  <c r="W2133" i="16"/>
  <c r="W2011" i="16"/>
  <c r="W2123" i="16"/>
  <c r="W1918" i="16"/>
  <c r="W602" i="16"/>
  <c r="W952" i="16"/>
  <c r="W1969" i="16"/>
  <c r="W2232" i="16"/>
  <c r="W2212" i="16"/>
  <c r="W606" i="16"/>
  <c r="W2319" i="16"/>
  <c r="W1372" i="16"/>
  <c r="W507" i="16"/>
  <c r="W1102" i="16"/>
  <c r="W352" i="16"/>
  <c r="W465" i="16"/>
  <c r="W1881" i="16"/>
  <c r="W2116" i="16"/>
  <c r="W742" i="16"/>
  <c r="W666" i="16"/>
  <c r="W822" i="16"/>
  <c r="W1237" i="16"/>
  <c r="W2286" i="16"/>
  <c r="W417" i="16"/>
  <c r="W914" i="16"/>
  <c r="W2170" i="16"/>
  <c r="W2146" i="16"/>
  <c r="W854" i="16"/>
  <c r="W361" i="16"/>
  <c r="W1589" i="16"/>
  <c r="W1888" i="16"/>
  <c r="W679" i="16"/>
  <c r="W1727" i="16"/>
  <c r="W683" i="16"/>
  <c r="W586" i="16"/>
  <c r="W2210" i="16"/>
  <c r="W204" i="16"/>
  <c r="W1152" i="16"/>
  <c r="W1467" i="16"/>
  <c r="W1339" i="16"/>
  <c r="W2332" i="16"/>
  <c r="W714" i="16"/>
  <c r="W369" i="16"/>
  <c r="W1883" i="16"/>
  <c r="W1424" i="16"/>
  <c r="W823" i="16"/>
  <c r="W1545" i="16"/>
  <c r="W1629" i="16"/>
  <c r="W217" i="16"/>
  <c r="W1789" i="16"/>
  <c r="W2051" i="16"/>
  <c r="W994" i="16"/>
  <c r="W1554" i="16"/>
  <c r="W1444" i="16"/>
  <c r="W1252" i="16"/>
  <c r="W1773" i="16"/>
  <c r="W1907" i="16"/>
  <c r="W1265" i="16"/>
  <c r="W1672" i="16"/>
  <c r="W166" i="16"/>
  <c r="W186" i="16"/>
  <c r="W757" i="16"/>
  <c r="W1255" i="16"/>
  <c r="W2131" i="16"/>
  <c r="W1782" i="16"/>
  <c r="W1698" i="16"/>
  <c r="W1425" i="16"/>
  <c r="W1666" i="16"/>
  <c r="W57" i="16"/>
  <c r="W2235" i="16"/>
  <c r="W208" i="16"/>
  <c r="W393" i="16"/>
  <c r="W1694" i="16"/>
  <c r="W590" i="16"/>
  <c r="W1161" i="16"/>
  <c r="W81" i="16"/>
  <c r="W2224" i="16"/>
  <c r="W930" i="16"/>
  <c r="W2129" i="16"/>
  <c r="W1843" i="16"/>
  <c r="W724" i="16"/>
  <c r="W917" i="16"/>
  <c r="W179" i="16"/>
  <c r="W164" i="16"/>
  <c r="W613" i="16"/>
  <c r="W1828" i="16"/>
  <c r="W1404" i="16"/>
  <c r="W951" i="16"/>
  <c r="W1780" i="16"/>
  <c r="W967" i="16"/>
  <c r="W564" i="16"/>
  <c r="W240" i="16"/>
  <c r="W718" i="16"/>
  <c r="W1131" i="16"/>
  <c r="W420" i="16"/>
  <c r="W225" i="16"/>
  <c r="W1457" i="16"/>
  <c r="W406" i="16"/>
  <c r="W455" i="16"/>
  <c r="W2253" i="16"/>
  <c r="W546" i="16"/>
  <c r="W1741" i="16"/>
  <c r="W844" i="16"/>
  <c r="W1289" i="16"/>
  <c r="W390" i="16"/>
  <c r="W1234" i="16"/>
  <c r="W379" i="16"/>
  <c r="W536" i="16"/>
  <c r="W2138" i="16"/>
  <c r="W391" i="16"/>
  <c r="W199" i="16"/>
  <c r="W1422" i="16"/>
  <c r="W2013" i="16"/>
  <c r="W78" i="16"/>
  <c r="W156" i="16"/>
  <c r="W1529" i="16"/>
  <c r="W237" i="16"/>
  <c r="W2056" i="16"/>
  <c r="W820" i="16"/>
  <c r="W1373" i="16"/>
  <c r="W1402" i="16"/>
  <c r="W983" i="16"/>
  <c r="W130" i="16"/>
  <c r="W1531" i="16"/>
  <c r="W2023" i="16"/>
  <c r="W306" i="16"/>
  <c r="W1037" i="16"/>
  <c r="W365" i="16"/>
  <c r="W1451" i="16"/>
  <c r="W1524" i="16"/>
  <c r="W108" i="16"/>
  <c r="W939" i="16"/>
  <c r="W850" i="16"/>
  <c r="W1143" i="16"/>
  <c r="W1277" i="16"/>
  <c r="W278" i="16"/>
  <c r="W1926" i="16"/>
  <c r="W2259" i="16"/>
  <c r="W886" i="16"/>
  <c r="W1996" i="16"/>
  <c r="W1822" i="16"/>
  <c r="W2087" i="16"/>
  <c r="W610" i="16"/>
  <c r="W800" i="16"/>
  <c r="W442" i="16"/>
  <c r="W2145" i="16"/>
  <c r="W2287" i="16"/>
  <c r="W510" i="16"/>
  <c r="W1212" i="16"/>
  <c r="W2090" i="16"/>
  <c r="W2280" i="16"/>
  <c r="W1572" i="16"/>
  <c r="W1020" i="16"/>
  <c r="W2000" i="16"/>
  <c r="W1693" i="16"/>
  <c r="W2157" i="16"/>
  <c r="W1268" i="16"/>
  <c r="W157" i="16"/>
  <c r="W1163" i="16"/>
  <c r="W1390" i="16"/>
  <c r="W1259" i="16"/>
  <c r="W1249" i="16"/>
  <c r="W1875" i="16"/>
  <c r="W1777" i="16"/>
  <c r="W2300" i="16"/>
  <c r="W2043" i="16"/>
  <c r="W409" i="16"/>
  <c r="W137" i="16"/>
  <c r="W2158" i="16"/>
  <c r="W2248" i="16"/>
  <c r="W938" i="16"/>
  <c r="W609" i="16"/>
  <c r="W2227" i="16"/>
  <c r="W434" i="16"/>
  <c r="W2220" i="16"/>
  <c r="W1004" i="16"/>
  <c r="W312" i="16"/>
  <c r="W239" i="16"/>
  <c r="W1896" i="16"/>
  <c r="W190" i="16"/>
  <c r="W966" i="16"/>
  <c r="W1211" i="16"/>
  <c r="W1796" i="16"/>
  <c r="W663" i="16"/>
  <c r="W1085" i="16"/>
  <c r="W2302" i="16"/>
  <c r="W1667" i="16"/>
  <c r="W1343" i="16"/>
  <c r="W1734" i="16"/>
  <c r="W206" i="16"/>
  <c r="W2316" i="16"/>
  <c r="W1835" i="16"/>
  <c r="W1641" i="16"/>
  <c r="W1713" i="16"/>
  <c r="W794" i="16"/>
  <c r="W760" i="16"/>
  <c r="W1745" i="16"/>
  <c r="W2075" i="16"/>
  <c r="W988" i="16"/>
  <c r="W1894" i="16"/>
  <c r="W2176" i="16"/>
  <c r="W2041" i="16"/>
  <c r="W12" i="16"/>
  <c r="W2055" i="16"/>
  <c r="W1848" i="16"/>
  <c r="W1506" i="16"/>
  <c r="W1045" i="16"/>
  <c r="W1788" i="16"/>
  <c r="W1023" i="16"/>
  <c r="W807" i="16"/>
  <c r="W821" i="16"/>
  <c r="W256" i="16"/>
  <c r="W913" i="16"/>
  <c r="W122" i="16"/>
  <c r="W828" i="16"/>
  <c r="W515" i="16"/>
  <c r="W1459" i="16"/>
  <c r="W1099" i="16"/>
  <c r="W1625" i="16"/>
  <c r="W1801" i="16"/>
  <c r="W1678" i="16"/>
  <c r="W2223" i="16"/>
  <c r="W128" i="16"/>
  <c r="W1205" i="16"/>
  <c r="W1332" i="16"/>
  <c r="W210" i="16"/>
  <c r="W2166" i="16"/>
  <c r="W535" i="16"/>
  <c r="W504" i="16"/>
  <c r="W684" i="16"/>
  <c r="W1902" i="16"/>
  <c r="W1273" i="16"/>
  <c r="W1080" i="16"/>
  <c r="W1469" i="16"/>
  <c r="W1498" i="16"/>
  <c r="W842" i="16"/>
  <c r="W176" i="16"/>
  <c r="W859" i="16"/>
  <c r="W2153" i="16"/>
  <c r="W855" i="16"/>
  <c r="W1385" i="16"/>
  <c r="W69" i="16"/>
  <c r="W1686" i="16"/>
  <c r="W1239" i="16"/>
  <c r="W1260" i="16"/>
  <c r="W1609" i="16"/>
  <c r="W48" i="16"/>
  <c r="W1594" i="16"/>
  <c r="W2024" i="16"/>
  <c r="W654" i="16"/>
  <c r="W1611" i="16"/>
  <c r="W750" i="16"/>
  <c r="W1866" i="16"/>
  <c r="W1923" i="16"/>
  <c r="W772" i="16"/>
  <c r="W1595" i="16"/>
  <c r="W1206" i="16"/>
  <c r="W987" i="16"/>
  <c r="W2229" i="16"/>
  <c r="W289" i="16"/>
  <c r="W2306" i="16"/>
  <c r="W411" i="16"/>
  <c r="W509" i="16"/>
  <c r="W889" i="16"/>
  <c r="W616" i="16"/>
  <c r="W1612" i="16"/>
  <c r="W2315" i="16"/>
  <c r="W418" i="16"/>
  <c r="W1651" i="16"/>
  <c r="W388" i="16"/>
  <c r="W500" i="16"/>
  <c r="W1201" i="16"/>
  <c r="W229" i="16"/>
  <c r="W1288" i="16"/>
  <c r="W809" i="16"/>
  <c r="W294" i="16"/>
  <c r="W2021" i="16"/>
  <c r="W1959" i="16"/>
  <c r="W1683" i="16"/>
  <c r="W325" i="16"/>
  <c r="W955" i="16"/>
  <c r="W898" i="16"/>
  <c r="W103" i="16"/>
  <c r="W722" i="16"/>
  <c r="W1528" i="16"/>
  <c r="W354" i="16"/>
  <c r="W1079" i="16"/>
  <c r="W11" i="16"/>
  <c r="W1687" i="16"/>
  <c r="W143" i="16"/>
  <c r="W1417" i="16"/>
  <c r="W291" i="16"/>
  <c r="W1840" i="16"/>
  <c r="W114" i="16"/>
  <c r="W2148" i="16"/>
  <c r="W2105" i="16"/>
  <c r="W596" i="16"/>
  <c r="W492" i="16"/>
  <c r="W2111" i="16"/>
  <c r="W1696" i="16"/>
  <c r="W2127" i="16"/>
  <c r="W2081" i="16"/>
  <c r="W1563" i="16"/>
  <c r="W218" i="16"/>
  <c r="W959" i="16"/>
  <c r="W254" i="16"/>
  <c r="W534" i="16"/>
  <c r="W954" i="16"/>
  <c r="W438" i="16"/>
  <c r="W1911" i="16"/>
  <c r="W1030" i="16"/>
  <c r="W1355" i="16"/>
  <c r="W1756" i="16"/>
  <c r="W91" i="16"/>
  <c r="W1013" i="16"/>
  <c r="W87" i="16"/>
  <c r="W1429" i="16"/>
  <c r="W2215" i="16"/>
  <c r="W1117" i="16"/>
  <c r="W213" i="16"/>
  <c r="W662" i="16"/>
  <c r="W228" i="16"/>
  <c r="W1702" i="16"/>
  <c r="W831" i="16"/>
  <c r="W1965" i="16"/>
  <c r="W1831" i="16"/>
  <c r="W2050" i="16"/>
  <c r="W2294" i="16"/>
  <c r="W14" i="16"/>
  <c r="W1892" i="16"/>
  <c r="W1795" i="16"/>
  <c r="W1973" i="16"/>
  <c r="W1794" i="16"/>
  <c r="W2289" i="16"/>
  <c r="W1501" i="16"/>
  <c r="W13" i="16"/>
  <c r="W1953" i="16"/>
  <c r="W231" i="16"/>
  <c r="W1947" i="16"/>
  <c r="W2288" i="16"/>
  <c r="W1652" i="16"/>
  <c r="W847" i="16"/>
  <c r="W101" i="16"/>
  <c r="W1084" i="16"/>
  <c r="W481" i="16"/>
  <c r="W1737" i="16"/>
  <c r="W702" i="16"/>
  <c r="W1472" i="16"/>
  <c r="W1869" i="16"/>
  <c r="W2032" i="16"/>
  <c r="W845" i="16"/>
  <c r="W1706" i="16"/>
  <c r="W1254" i="16"/>
  <c r="W1584" i="16"/>
  <c r="W251" i="16"/>
  <c r="W1690" i="16"/>
  <c r="W331" i="16"/>
  <c r="W2327" i="16"/>
  <c r="W2126" i="16"/>
  <c r="W2012" i="16"/>
  <c r="W2152" i="16"/>
  <c r="W373" i="16"/>
  <c r="W887" i="16"/>
  <c r="W1553" i="16"/>
  <c r="W2014" i="16"/>
  <c r="W172" i="16"/>
  <c r="W422" i="16"/>
  <c r="W1452" i="16"/>
  <c r="W2230" i="16"/>
  <c r="W1750" i="16"/>
  <c r="W2174" i="16"/>
  <c r="W297" i="16"/>
  <c r="W2094" i="16"/>
  <c r="W399" i="16"/>
  <c r="W378" i="16"/>
  <c r="W1682" i="16"/>
  <c r="W1747" i="16"/>
  <c r="W2218" i="16"/>
  <c r="W212" i="16"/>
  <c r="W1656" i="16"/>
  <c r="W463" i="16"/>
  <c r="W39" i="16"/>
  <c r="W1073" i="16"/>
  <c r="W127" i="16"/>
  <c r="W47" i="16"/>
  <c r="W1110" i="16"/>
  <c r="W1418" i="16"/>
  <c r="W1771" i="16"/>
  <c r="W1233" i="16"/>
  <c r="W1849" i="16"/>
  <c r="W149" i="16"/>
  <c r="W303" i="16"/>
  <c r="W1613" i="16"/>
  <c r="W2266" i="16"/>
  <c r="W503" i="16"/>
  <c r="W1769" i="16"/>
  <c r="W470" i="16"/>
  <c r="W1971" i="16"/>
  <c r="W483" i="16"/>
  <c r="W1313" i="16"/>
  <c r="W1539" i="16"/>
  <c r="W2331" i="16"/>
  <c r="W2029" i="16"/>
  <c r="W1952" i="16"/>
  <c r="W377" i="16"/>
  <c r="W194" i="16"/>
  <c r="W2336" i="16"/>
  <c r="W18" i="16"/>
  <c r="W580" i="16"/>
  <c r="W732" i="16"/>
  <c r="W631" i="16"/>
  <c r="W104" i="16"/>
  <c r="W209" i="16"/>
  <c r="W1403" i="16"/>
  <c r="W1975" i="16"/>
  <c r="W1196" i="16"/>
  <c r="W1438" i="16"/>
  <c r="W224" i="16"/>
  <c r="W1021" i="16"/>
  <c r="W2301" i="16"/>
  <c r="W2002" i="16"/>
  <c r="W1430" i="16"/>
  <c r="W146" i="16"/>
  <c r="W383" i="16"/>
  <c r="W1942" i="16"/>
  <c r="W1463" i="16"/>
  <c r="W1717" i="16"/>
  <c r="W152" i="16"/>
  <c r="W1544" i="16"/>
  <c r="W1781" i="16"/>
  <c r="W410" i="16"/>
  <c r="W498" i="16"/>
  <c r="W88" i="16"/>
  <c r="W274" i="16"/>
  <c r="W1628" i="16"/>
  <c r="W435" i="16"/>
  <c r="W2118" i="16"/>
  <c r="W424" i="16"/>
  <c r="W801" i="16"/>
  <c r="W394" i="16"/>
  <c r="W1847" i="16"/>
  <c r="W670" i="16"/>
  <c r="W877" i="16"/>
  <c r="W511" i="16"/>
  <c r="W1185" i="16"/>
  <c r="W555" i="16"/>
  <c r="W1267" i="16"/>
  <c r="W15" i="16"/>
  <c r="W813" i="16"/>
  <c r="W1703" i="16"/>
  <c r="W2046" i="16"/>
  <c r="W1621" i="16"/>
  <c r="W107" i="16"/>
  <c r="W1914" i="16"/>
  <c r="W2082" i="16"/>
  <c r="W1516" i="16"/>
  <c r="W1434" i="16"/>
  <c r="W1376" i="16"/>
  <c r="W695" i="16"/>
  <c r="W667" i="16"/>
  <c r="W1874" i="16"/>
  <c r="W1006" i="16"/>
  <c r="W1715" i="16"/>
  <c r="W1035" i="16"/>
  <c r="W2216" i="16"/>
  <c r="W733" i="16"/>
  <c r="W1819" i="16"/>
  <c r="W214" i="16"/>
  <c r="W38" i="16"/>
  <c r="W843" i="16"/>
  <c r="W1154" i="16"/>
  <c r="W2330" i="16"/>
  <c r="W883" i="16"/>
  <c r="W2311" i="16"/>
  <c r="W1637" i="16"/>
  <c r="W1410" i="16"/>
  <c r="W1040" i="16"/>
  <c r="W2329" i="16"/>
  <c r="W1963" i="16"/>
  <c r="W1968" i="16"/>
  <c r="W2053" i="16"/>
  <c r="W1423" i="16"/>
  <c r="W1742" i="16"/>
  <c r="W937" i="16"/>
  <c r="W1593" i="16"/>
  <c r="W2030" i="16"/>
  <c r="W1166" i="16"/>
  <c r="W220" i="16"/>
  <c r="W1412" i="16"/>
  <c r="W1616" i="16"/>
  <c r="W414" i="16"/>
  <c r="W899" i="16"/>
  <c r="W1017" i="16"/>
  <c r="W401" i="16"/>
  <c r="W2265" i="16"/>
  <c r="W1468" i="16"/>
  <c r="W2240" i="16"/>
  <c r="W870" i="16"/>
  <c r="W1836" i="16"/>
  <c r="W1764" i="16"/>
  <c r="W425" i="16"/>
  <c r="W778" i="16"/>
  <c r="W433" i="16"/>
  <c r="W585" i="16"/>
  <c r="W2314" i="16"/>
  <c r="W1798" i="16"/>
  <c r="W281" i="16"/>
  <c r="W1565" i="16"/>
  <c r="W437" i="16"/>
  <c r="W581" i="16"/>
  <c r="W1844" i="16"/>
  <c r="W1841" i="16"/>
  <c r="W568" i="16"/>
  <c r="W561" i="16"/>
  <c r="W249" i="16"/>
  <c r="W1988" i="16"/>
  <c r="W1922" i="16"/>
  <c r="W2269" i="16"/>
  <c r="W1448" i="16"/>
  <c r="W1619" i="16"/>
  <c r="W1785" i="16"/>
  <c r="W102" i="16"/>
  <c r="W1677" i="16"/>
  <c r="W1312" i="16"/>
  <c r="W241" i="16"/>
  <c r="W51" i="16"/>
  <c r="W2130" i="16"/>
  <c r="W2171" i="16"/>
  <c r="W1721" i="16"/>
  <c r="W1974" i="16"/>
  <c r="W989" i="16"/>
  <c r="W145" i="16"/>
  <c r="W924" i="16"/>
  <c r="W1939" i="16"/>
  <c r="W326" i="16"/>
  <c r="W1746" i="16"/>
  <c r="W90" i="16"/>
  <c r="W1012" i="16"/>
  <c r="W1359" i="16"/>
  <c r="W468" i="16"/>
  <c r="W2214" i="16"/>
  <c r="W182" i="16"/>
  <c r="W50" i="16"/>
  <c r="W2201" i="16"/>
  <c r="W1884" i="16"/>
  <c r="W1406" i="16"/>
  <c r="W688" i="16"/>
  <c r="W908" i="16"/>
  <c r="W340" i="16"/>
  <c r="W2267" i="16"/>
  <c r="W2134" i="16"/>
  <c r="W2251" i="16"/>
  <c r="W1100" i="16"/>
  <c r="W906" i="16"/>
  <c r="W816" i="16"/>
  <c r="W1177" i="16"/>
  <c r="W1378" i="16"/>
  <c r="W1156" i="16"/>
  <c r="W29" i="16"/>
  <c r="W2209" i="16"/>
  <c r="W202" i="16"/>
  <c r="W1151" i="16"/>
  <c r="W1585" i="16"/>
  <c r="W1932" i="16"/>
  <c r="W836" i="16"/>
  <c r="W1015" i="16"/>
  <c r="W448" i="16"/>
  <c r="W915" i="16"/>
  <c r="W2246" i="16"/>
  <c r="W1326" i="16"/>
  <c r="W485" i="16"/>
  <c r="W827" i="16"/>
  <c r="W201" i="16"/>
  <c r="W517" i="16"/>
  <c r="W2009" i="16"/>
  <c r="W1051" i="16"/>
  <c r="W28" i="16"/>
  <c r="W1561" i="16"/>
  <c r="W1126" i="16"/>
  <c r="W649" i="16"/>
  <c r="W918" i="16"/>
  <c r="W1043" i="16"/>
  <c r="W835" i="16"/>
  <c r="W736" i="16"/>
  <c r="W1436" i="16"/>
  <c r="W1488" i="16"/>
  <c r="W2202" i="16"/>
  <c r="W873" i="16"/>
  <c r="W1978" i="16"/>
  <c r="W1829" i="16"/>
  <c r="W1421" i="16"/>
  <c r="W1912" i="16"/>
  <c r="W1845" i="16"/>
  <c r="W864" i="16"/>
  <c r="W1758" i="16"/>
  <c r="W2205" i="16"/>
  <c r="W687" i="16"/>
  <c r="W1419" i="16"/>
  <c r="W709" i="16"/>
  <c r="W2063" i="16"/>
  <c r="W1579" i="16"/>
  <c r="W632" i="16"/>
  <c r="W840" i="16"/>
  <c r="W1633" i="16"/>
  <c r="W957" i="16"/>
  <c r="W793" i="16"/>
  <c r="W1361" i="16"/>
  <c r="W949" i="16"/>
  <c r="W1088" i="16"/>
  <c r="W446" i="16"/>
  <c r="W2139" i="16"/>
  <c r="W763" i="16"/>
  <c r="W2250" i="16"/>
  <c r="W928" i="16"/>
  <c r="W230" i="16"/>
  <c r="W1913" i="16"/>
  <c r="W2256" i="16"/>
  <c r="W1462" i="16"/>
  <c r="W314" i="16"/>
  <c r="W640" i="16"/>
  <c r="W1839" i="16"/>
  <c r="W389" i="16"/>
  <c r="W637" i="16"/>
  <c r="W681" i="16"/>
  <c r="W1502" i="16"/>
  <c r="W1879" i="16"/>
  <c r="W715" i="16"/>
  <c r="W1526" i="16"/>
  <c r="W1936" i="16"/>
  <c r="W1705" i="16"/>
  <c r="W677" i="16"/>
  <c r="W1997" i="16"/>
  <c r="W1290" i="16"/>
  <c r="W1229" i="16"/>
  <c r="W2108" i="16"/>
  <c r="W1383" i="16"/>
  <c r="W2071" i="16"/>
  <c r="W2150" i="16"/>
  <c r="W1805" i="16"/>
  <c r="W432" i="16"/>
  <c r="W443" i="16"/>
  <c r="W848" i="16"/>
  <c r="W1041" i="16"/>
  <c r="W402" i="16"/>
  <c r="W2007" i="16"/>
  <c r="W1193" i="16"/>
  <c r="W717" i="16"/>
  <c r="W1460" i="16"/>
  <c r="W958" i="16"/>
  <c r="W2308" i="16"/>
  <c r="W721" i="16"/>
  <c r="W830" i="16"/>
  <c r="W2159" i="16"/>
  <c r="W58" i="16"/>
  <c r="W2285" i="16"/>
  <c r="W364" i="16"/>
  <c r="W1910" i="16"/>
  <c r="W1076" i="16"/>
  <c r="W1092" i="16"/>
  <c r="W1941" i="16"/>
  <c r="W1360" i="16"/>
  <c r="W1916" i="16"/>
  <c r="W1034" i="16"/>
  <c r="W753" i="16"/>
  <c r="W82" i="16"/>
  <c r="W1215" i="16"/>
  <c r="W428" i="16"/>
  <c r="W1397" i="16"/>
  <c r="W1476" i="16"/>
  <c r="W935" i="16"/>
  <c r="W384" i="16"/>
  <c r="W521" i="16"/>
  <c r="W540" i="16"/>
  <c r="W1943" i="16"/>
  <c r="W860" i="16"/>
  <c r="W2257" i="16"/>
  <c r="W2247" i="16"/>
  <c r="W1327" i="16"/>
  <c r="W1278" i="16"/>
  <c r="W1870" i="16"/>
  <c r="W2010" i="16"/>
  <c r="W1096" i="16"/>
  <c r="W1562" i="16"/>
  <c r="W740" i="16"/>
  <c r="W1583" i="16"/>
  <c r="W1826" i="16"/>
  <c r="W919" i="16"/>
  <c r="W905" i="16"/>
  <c r="W187" i="16"/>
  <c r="W1437" i="16"/>
  <c r="W1331" i="16"/>
  <c r="W1930" i="16"/>
  <c r="W1735" i="16"/>
  <c r="W703" i="16"/>
  <c r="W484" i="16"/>
  <c r="W888" i="16"/>
  <c r="W811" i="16"/>
  <c r="W123" i="16"/>
  <c r="W215" i="16"/>
  <c r="W1513" i="16"/>
  <c r="W117" i="16"/>
  <c r="W1134" i="16"/>
  <c r="W1162" i="16"/>
  <c r="W226" i="16"/>
  <c r="W526" i="16"/>
  <c r="W1008" i="16"/>
  <c r="W990" i="16"/>
  <c r="W2189" i="16"/>
  <c r="W1950" i="16"/>
  <c r="W644" i="16"/>
  <c r="W1675" i="16"/>
  <c r="W1873" i="16"/>
  <c r="W1983" i="16"/>
  <c r="W1802" i="16"/>
  <c r="W404" i="16"/>
  <c r="W2274" i="16"/>
  <c r="W1640" i="16"/>
  <c r="W171" i="16"/>
  <c r="W2096" i="16"/>
  <c r="W191" i="16"/>
  <c r="W1297" i="16"/>
  <c r="W738" i="16"/>
  <c r="W900" i="16"/>
  <c r="W1877" i="16"/>
  <c r="W514" i="16"/>
  <c r="W2249" i="16"/>
  <c r="W711" i="16"/>
  <c r="W2234" i="16"/>
  <c r="W676" i="16"/>
  <c r="W1165" i="16"/>
  <c r="W99" i="16"/>
  <c r="W1269" i="16"/>
  <c r="W21" i="16"/>
  <c r="W594" i="16"/>
  <c r="W1824" i="16"/>
  <c r="W601" i="16"/>
  <c r="W505" i="16"/>
  <c r="W1578" i="16"/>
  <c r="W1456" i="16"/>
  <c r="W2273" i="16"/>
  <c r="W1028" i="16"/>
  <c r="W34" i="16"/>
  <c r="W950" i="16"/>
  <c r="W2035" i="16"/>
  <c r="W126" i="16"/>
  <c r="W244" i="16"/>
  <c r="W620" i="16"/>
  <c r="W447" i="16"/>
  <c r="W175" i="16"/>
  <c r="W116" i="16"/>
  <c r="W2122" i="16"/>
  <c r="W96" i="16"/>
  <c r="W1113" i="16"/>
  <c r="W1192" i="16"/>
  <c r="W1061" i="16"/>
  <c r="W797" i="16"/>
  <c r="W576" i="16"/>
  <c r="W731" i="16"/>
  <c r="W1171" i="16"/>
  <c r="W2194" i="16"/>
  <c r="W337" i="16"/>
  <c r="W785" i="16"/>
  <c r="W658" i="16"/>
  <c r="W253" i="16"/>
  <c r="W2278" i="16"/>
  <c r="W1660" i="16"/>
  <c r="W1389" i="16"/>
  <c r="W1224" i="16"/>
  <c r="W704" i="16"/>
  <c r="W945" i="16"/>
  <c r="W832" i="16"/>
  <c r="W1559" i="16"/>
  <c r="W89" i="16"/>
  <c r="W1011" i="16"/>
  <c r="W1358" i="16"/>
  <c r="W2217" i="16"/>
  <c r="W972" i="16"/>
  <c r="W121" i="16"/>
  <c r="W1027" i="16"/>
  <c r="W791" i="16"/>
  <c r="W759" i="16"/>
  <c r="W907" i="16"/>
  <c r="W1885" i="16"/>
  <c r="W9" i="16"/>
  <c r="W2255" i="16"/>
  <c r="W2067" i="16"/>
  <c r="W327" i="16"/>
  <c r="W909" i="16"/>
  <c r="W2028" i="16"/>
  <c r="W2225" i="16"/>
  <c r="W474" i="16"/>
  <c r="W678" i="16"/>
  <c r="W1806" i="16"/>
  <c r="W472" i="16"/>
  <c r="W466" i="16"/>
  <c r="W355" i="16"/>
  <c r="W54" i="16"/>
  <c r="W1868" i="16"/>
  <c r="W436" i="16"/>
  <c r="W544" i="16"/>
  <c r="W412" i="16"/>
  <c r="W819" i="16"/>
  <c r="W1814" i="16"/>
  <c r="W23" i="16"/>
  <c r="W1636" i="16"/>
  <c r="W363" i="16"/>
  <c r="W7" i="16"/>
  <c r="W2192" i="16"/>
  <c r="W792" i="16"/>
  <c r="W457" i="16"/>
  <c r="W1768" i="16"/>
  <c r="W268" i="16"/>
  <c r="W1818" i="16"/>
  <c r="W603" i="16"/>
  <c r="W2031" i="16"/>
  <c r="W1250" i="16"/>
  <c r="W2297" i="16"/>
  <c r="W617" i="16"/>
  <c r="W1415" i="16"/>
  <c r="W2321" i="16"/>
  <c r="W902" i="16"/>
  <c r="W2219" i="16"/>
  <c r="W571" i="16"/>
  <c r="W2154" i="16"/>
  <c r="W1825" i="16"/>
  <c r="W825" i="16"/>
  <c r="W1551" i="16"/>
  <c r="W2231" i="16"/>
  <c r="W315" i="16"/>
  <c r="W2191" i="16"/>
  <c r="W2066" i="16"/>
  <c r="W1114" i="16"/>
  <c r="W1917" i="16"/>
  <c r="W1024" i="16"/>
  <c r="W2268" i="16"/>
  <c r="W1792" i="16"/>
  <c r="W737" i="16"/>
  <c r="W2141" i="16"/>
  <c r="W22" i="16"/>
  <c r="W824" i="16"/>
  <c r="W1223" i="16"/>
  <c r="W10" i="16"/>
  <c r="W1779" i="16"/>
  <c r="W2237" i="16"/>
  <c r="W1072" i="16"/>
  <c r="W407" i="16"/>
  <c r="W1803" i="16"/>
  <c r="W851" i="16"/>
  <c r="W1098" i="16"/>
  <c r="W1225" i="16"/>
  <c r="W247" i="16"/>
  <c r="W1570" i="16"/>
  <c r="W469" i="16"/>
  <c r="W1077" i="16"/>
  <c r="W2312" i="16"/>
  <c r="W2303" i="16"/>
  <c r="W2272" i="16"/>
  <c r="W100" i="16"/>
  <c r="W812" i="16"/>
  <c r="W553" i="16"/>
  <c r="W2193" i="16"/>
  <c r="W1976" i="16"/>
  <c r="W1495" i="16"/>
  <c r="W621" i="16"/>
  <c r="W1510" i="16"/>
  <c r="W2165" i="16"/>
  <c r="W1047" i="16"/>
  <c r="W1692" i="16"/>
  <c r="W1653" i="16"/>
  <c r="W1662" i="16"/>
  <c r="W1630" i="16"/>
  <c r="W1670" i="16"/>
  <c r="W1999" i="16"/>
  <c r="W1808" i="16"/>
  <c r="W1753" i="16"/>
  <c r="W1382" i="16"/>
  <c r="W1133" i="16"/>
  <c r="W552" i="16"/>
  <c r="W2099" i="16"/>
  <c r="W646" i="16"/>
  <c r="W2197" i="16"/>
  <c r="W2085" i="16"/>
  <c r="W185" i="16"/>
  <c r="W178" i="16"/>
  <c r="W1091" i="16"/>
  <c r="W356" i="16"/>
  <c r="W1052" i="16"/>
  <c r="W1618" i="16"/>
  <c r="W1957" i="16"/>
  <c r="W1142" i="16"/>
  <c r="W690" i="16"/>
  <c r="W1787" i="16"/>
  <c r="W1042" i="16"/>
  <c r="W140" i="16"/>
  <c r="W1807" i="16"/>
  <c r="W304" i="16"/>
  <c r="W522" i="16"/>
  <c r="W2208" i="16"/>
  <c r="W1396" i="16"/>
  <c r="W1210" i="16"/>
  <c r="W653" i="16"/>
  <c r="W974" i="16"/>
  <c r="W1858" i="16"/>
  <c r="W1031" i="16"/>
  <c r="W1903" i="16"/>
  <c r="W32" i="16"/>
  <c r="W2233" i="16"/>
  <c r="W1198" i="16"/>
  <c r="W1309" i="16"/>
  <c r="W1639" i="16"/>
  <c r="W857" i="16"/>
  <c r="W148" i="16"/>
  <c r="W574" i="16"/>
  <c r="W628" i="16"/>
  <c r="W673" i="16"/>
  <c r="W2198" i="16"/>
  <c r="W881" i="16"/>
  <c r="W180" i="16"/>
  <c r="W1203" i="16"/>
  <c r="W1489" i="16"/>
  <c r="W1019" i="16"/>
  <c r="W1362" i="16"/>
  <c r="W1599" i="16"/>
  <c r="W2137" i="16"/>
  <c r="W798" i="16"/>
  <c r="W2293" i="16"/>
  <c r="W1483" i="16"/>
  <c r="W1178" i="16"/>
  <c r="W203" i="16"/>
  <c r="W1336" i="16"/>
  <c r="W777" i="16"/>
  <c r="W16" i="16"/>
  <c r="W493" i="16"/>
  <c r="W86" i="16"/>
  <c r="W591" i="16"/>
  <c r="W45" i="16"/>
  <c r="W491" i="16"/>
  <c r="W197" i="16"/>
  <c r="W489" i="16"/>
  <c r="W2065" i="16"/>
  <c r="W2180" i="16"/>
  <c r="W1334" i="16"/>
  <c r="W1380" i="16"/>
  <c r="W1003" i="16"/>
  <c r="W207" i="16"/>
  <c r="W934" i="16"/>
  <c r="W1158" i="16"/>
  <c r="W1607" i="16"/>
  <c r="W1144" i="16"/>
  <c r="W1155" i="16"/>
  <c r="W1508" i="16"/>
  <c r="W67" i="16"/>
  <c r="W829" i="16"/>
  <c r="W751" i="16"/>
  <c r="W1697" i="16"/>
  <c r="W1525" i="16"/>
  <c r="W1743" i="16"/>
  <c r="W1809" i="16"/>
  <c r="W464" i="16"/>
  <c r="W1018" i="16"/>
  <c r="W333" i="16"/>
  <c r="W1323" i="16"/>
  <c r="W40" i="16"/>
  <c r="W344" i="16"/>
  <c r="W1977" i="16"/>
  <c r="W1337" i="16"/>
  <c r="W2117" i="16"/>
  <c r="W342" i="16"/>
  <c r="W346" i="16"/>
  <c r="W1920" i="16"/>
  <c r="W2128" i="16"/>
  <c r="W1111" i="16"/>
  <c r="W741" i="16"/>
  <c r="W846" i="16"/>
  <c r="W686" i="16"/>
  <c r="W255" i="16"/>
  <c r="W1663" i="16"/>
  <c r="W1993" i="16"/>
  <c r="W376" i="16"/>
  <c r="W245" i="16"/>
  <c r="W2017" i="16"/>
  <c r="W381" i="16"/>
  <c r="W1899" i="16"/>
  <c r="W497" i="16"/>
  <c r="W1691" i="16"/>
  <c r="W1719" i="16"/>
  <c r="W615" i="16"/>
  <c r="W668" i="16"/>
  <c r="W458" i="16"/>
  <c r="W1248" i="16"/>
  <c r="W2221" i="16"/>
  <c r="W911" i="16"/>
  <c r="W25" i="16"/>
  <c r="W1617" i="16"/>
  <c r="W1597" i="16"/>
  <c r="W1749" i="16"/>
  <c r="W1256" i="16"/>
  <c r="W2156" i="16"/>
  <c r="W66" i="16"/>
  <c r="W1207" i="16"/>
  <c r="W30" i="16"/>
  <c r="W1622" i="16"/>
  <c r="W638" i="16"/>
  <c r="W480" i="16"/>
  <c r="W1760" i="16"/>
  <c r="W174" i="16"/>
  <c r="W1632" i="16"/>
  <c r="W1407" i="16"/>
  <c r="W1310" i="16"/>
  <c r="W1191" i="16"/>
  <c r="W1060" i="16"/>
  <c r="W473" i="16"/>
  <c r="W1039" i="16"/>
  <c r="W575" i="16"/>
  <c r="W651" i="16"/>
  <c r="W1170" i="16"/>
  <c r="W2199" i="16"/>
  <c r="W2178" i="16"/>
  <c r="W1388" i="16"/>
  <c r="W181" i="16"/>
  <c r="W2270" i="16"/>
  <c r="W979" i="16"/>
  <c r="W2239" i="16"/>
  <c r="W868" i="16"/>
  <c r="W1830" i="16"/>
  <c r="W1188" i="16"/>
  <c r="W548" i="16"/>
  <c r="W547" i="16"/>
  <c r="W36" i="16"/>
  <c r="W26" i="16"/>
  <c r="W1878" i="16"/>
  <c r="W1736" i="16"/>
  <c r="W1453" i="16"/>
  <c r="W308" i="16"/>
  <c r="W878" i="16"/>
  <c r="W165" i="16"/>
  <c r="W1909" i="16"/>
  <c r="W75" i="16"/>
  <c r="W629" i="16"/>
  <c r="W866" i="16"/>
  <c r="W43" i="16"/>
  <c r="W784" i="16"/>
  <c r="W1834" i="16"/>
  <c r="W2323" i="16"/>
  <c r="W1427" i="16"/>
  <c r="W73" i="16"/>
  <c r="W2281" i="16"/>
  <c r="W1230" i="16"/>
  <c r="W626" i="16"/>
  <c r="W1471" i="16"/>
  <c r="W910" i="16"/>
  <c r="W782" i="16"/>
  <c r="W1408" i="16"/>
  <c r="W2277" i="16"/>
  <c r="W1772" i="16"/>
  <c r="W2228" i="16"/>
  <c r="W2254" i="16"/>
  <c r="W1490" i="16"/>
  <c r="W1972" i="16"/>
  <c r="W1374" i="16"/>
  <c r="W1363" i="16"/>
  <c r="W2042" i="16"/>
  <c r="W238" i="16"/>
  <c r="W1420" i="16"/>
  <c r="W706" i="16"/>
  <c r="W729" i="16"/>
  <c r="W815" i="16"/>
  <c r="W699" i="16"/>
  <c r="W169" i="16"/>
  <c r="W219" i="16"/>
  <c r="W1961" i="16"/>
  <c r="W623" i="16"/>
  <c r="W783" i="16"/>
  <c r="W343" i="16"/>
  <c r="W1069" i="16"/>
  <c r="W471" i="16"/>
  <c r="W903" i="16"/>
  <c r="W2284" i="16"/>
  <c r="W2292" i="16"/>
  <c r="W600" i="16"/>
  <c r="W1344" i="16"/>
  <c r="W1908" i="16"/>
  <c r="W1395" i="16"/>
  <c r="W1174" i="16"/>
  <c r="W24" i="16"/>
  <c r="W1461" i="16"/>
  <c r="W1712" i="16"/>
  <c r="W242" i="16"/>
  <c r="W382" i="16"/>
  <c r="W1744" i="16"/>
  <c r="W1765" i="16"/>
  <c r="W1658" i="16"/>
  <c r="W1132" i="16"/>
  <c r="W158" i="16"/>
  <c r="W1608" i="16"/>
  <c r="W563" i="16"/>
  <c r="W345" i="16"/>
  <c r="W1804" i="16"/>
  <c r="W1557" i="16"/>
  <c r="W2299" i="16"/>
  <c r="W2320" i="16"/>
  <c r="W1935" i="16"/>
  <c r="W539" i="16"/>
  <c r="W1353" i="16"/>
  <c r="W1335" i="16"/>
  <c r="W1704" i="16"/>
  <c r="W817" i="16"/>
  <c r="W1159" i="16"/>
  <c r="W707" i="16"/>
  <c r="W562" i="16"/>
  <c r="W1673" i="16"/>
  <c r="W1770" i="16"/>
  <c r="W1767" i="16"/>
  <c r="W874" i="16"/>
  <c r="W1604" i="16"/>
  <c r="W64" i="16"/>
  <c r="W933" i="16"/>
  <c r="W167" i="16"/>
  <c r="W2102" i="16"/>
  <c r="W2086" i="16"/>
  <c r="W869" i="16"/>
  <c r="W1790" i="16"/>
  <c r="W1391" i="16"/>
  <c r="W1998" i="16"/>
  <c r="W725" i="16"/>
  <c r="W125" i="16"/>
  <c r="W1491" i="16"/>
  <c r="W719" i="16"/>
  <c r="W1398" i="16"/>
  <c r="W627" i="16"/>
  <c r="W1002" i="16"/>
  <c r="W1454" i="16"/>
  <c r="W177" i="16"/>
  <c r="W2060" i="16"/>
  <c r="W1964" i="16"/>
  <c r="W405" i="16"/>
  <c r="W120" i="16"/>
  <c r="W1661" i="16"/>
  <c r="W614" i="16"/>
  <c r="W1757" i="16"/>
  <c r="W773" i="16"/>
  <c r="W570" i="16"/>
  <c r="W1786" i="16"/>
  <c r="W775" i="16"/>
  <c r="W578" i="16"/>
  <c r="W56" i="16"/>
  <c r="W46" i="16"/>
  <c r="W1173" i="16"/>
  <c r="W645" i="16"/>
  <c r="W625" i="16"/>
  <c r="W1800" i="16"/>
  <c r="W2161" i="16"/>
  <c r="W49" i="16"/>
  <c r="W1022" i="16"/>
  <c r="W1657" i="16"/>
  <c r="W2195" i="16"/>
  <c r="W1071" i="16"/>
  <c r="W2109" i="16"/>
  <c r="W841" i="16"/>
  <c r="W1580" i="16"/>
  <c r="W372" i="16"/>
  <c r="W482" i="16"/>
  <c r="W2048" i="16"/>
  <c r="W1689" i="16"/>
  <c r="W865" i="16"/>
  <c r="W195" i="16"/>
  <c r="W1016" i="16"/>
  <c r="W1871" i="16"/>
  <c r="W1995" i="16"/>
  <c r="W1512" i="16"/>
  <c r="W1127" i="16"/>
  <c r="W1945" i="16"/>
  <c r="W2144" i="16"/>
  <c r="W419" i="16"/>
  <c r="W968" i="16"/>
  <c r="W998" i="16"/>
  <c r="W2163" i="16"/>
  <c r="W98" i="16"/>
  <c r="W647" i="16"/>
  <c r="W2084" i="16"/>
  <c r="W519" i="16"/>
  <c r="W1033" i="16"/>
  <c r="W1470" i="16"/>
  <c r="W1049" i="16"/>
  <c r="W604" i="16"/>
  <c r="W2261" i="16"/>
  <c r="W1718" i="16"/>
  <c r="W1414" i="16"/>
  <c r="W440" i="16"/>
  <c r="W838" i="16"/>
  <c r="W826" i="16"/>
  <c r="W216" i="16"/>
  <c r="W1321" i="16"/>
  <c r="W1286" i="16"/>
  <c r="W506" i="16"/>
  <c r="W680" i="16"/>
  <c r="W1534" i="16"/>
  <c r="W450" i="16"/>
  <c r="W1303" i="16"/>
  <c r="W1530" i="16"/>
  <c r="W1645" i="16"/>
  <c r="W1137" i="16"/>
  <c r="W1253" i="16"/>
  <c r="W1262" i="16"/>
  <c r="W310" i="16"/>
  <c r="W495" i="16"/>
  <c r="W27" i="16"/>
  <c r="W487" i="16"/>
  <c r="W1222" i="16"/>
  <c r="W1208" i="16"/>
  <c r="W1068" i="16"/>
  <c r="W452" i="16"/>
  <c r="W1523" i="16"/>
  <c r="W583" i="16"/>
  <c r="W969" i="16"/>
  <c r="W1129" i="16"/>
  <c r="W1642" i="16"/>
  <c r="W1090" i="16"/>
  <c r="W1967" i="16"/>
  <c r="W77" i="16"/>
  <c r="W716" i="16"/>
  <c r="W1282" i="16"/>
  <c r="W163" i="16"/>
  <c r="W1067" i="16"/>
  <c r="W1519" i="16"/>
  <c r="W62" i="16"/>
  <c r="W1115" i="16"/>
  <c r="W1569" i="16"/>
  <c r="W1982" i="16"/>
  <c r="W79" i="16"/>
  <c r="W1270" i="16"/>
  <c r="W692" i="16"/>
  <c r="W368" i="16"/>
  <c r="W896" i="16"/>
  <c r="W587" i="16"/>
  <c r="W1856" i="16"/>
  <c r="W221" i="16"/>
  <c r="W387" i="16"/>
  <c r="W501" i="16"/>
  <c r="W454" i="16"/>
  <c r="W862" i="16"/>
  <c r="W1886" i="16"/>
  <c r="W727" i="16"/>
  <c r="W1392" i="16"/>
  <c r="W2182" i="16"/>
  <c r="W1487" i="16"/>
  <c r="W693" i="16"/>
  <c r="W1445" i="16"/>
  <c r="W1603" i="16"/>
  <c r="W749" i="16"/>
  <c r="W63" i="16"/>
  <c r="W1261" i="16"/>
  <c r="W655" i="16"/>
  <c r="W271" i="16"/>
  <c r="W398" i="16"/>
  <c r="W1723" i="16"/>
  <c r="W205" i="16"/>
  <c r="W113" i="16"/>
  <c r="W1348" i="16"/>
  <c r="W1306" i="16"/>
  <c r="W1486" i="16"/>
  <c r="W1435" i="16"/>
  <c r="W923" i="16"/>
  <c r="W2112" i="16"/>
  <c r="W1851" i="16"/>
  <c r="W1121" i="16"/>
  <c r="W589" i="16"/>
  <c r="W1732" i="16"/>
  <c r="W1596" i="16"/>
  <c r="W748" i="16"/>
  <c r="W2183" i="16"/>
  <c r="W779" i="16"/>
  <c r="W1136" i="16"/>
  <c r="W276" i="16"/>
  <c r="W884" i="16"/>
  <c r="W451" i="16"/>
  <c r="W611" i="16"/>
  <c r="W1291" i="16"/>
  <c r="W17" i="16"/>
  <c r="W1536" i="16"/>
  <c r="W1280" i="16"/>
  <c r="W1294" i="16"/>
  <c r="W329" i="16"/>
  <c r="W527" i="16"/>
  <c r="W890" i="16"/>
  <c r="W2155" i="16"/>
  <c r="W691" i="16"/>
  <c r="W1340" i="16"/>
  <c r="W734" i="16"/>
  <c r="W1853" i="16"/>
  <c r="W2160" i="16"/>
  <c r="W1479" i="16"/>
  <c r="W605" i="16"/>
  <c r="W1258" i="16"/>
  <c r="W726" i="16"/>
  <c r="W1350" i="16"/>
  <c r="W1284" i="16"/>
  <c r="W1738" i="16"/>
  <c r="W1711" i="16"/>
  <c r="W713" i="16"/>
  <c r="W1347" i="16"/>
  <c r="W1242" i="16"/>
  <c r="W1588" i="16"/>
  <c r="W1440" i="16"/>
  <c r="W1850" i="16"/>
  <c r="W6" i="16"/>
  <c r="W233" i="16"/>
  <c r="W1924" i="16"/>
  <c r="W1846" i="16"/>
  <c r="W664" i="16"/>
  <c r="W2058" i="16"/>
  <c r="W1271" i="16"/>
  <c r="W496" i="16"/>
  <c r="W1810" i="16"/>
  <c r="W2074" i="16"/>
  <c r="W300" i="16"/>
  <c r="W284" i="16"/>
  <c r="W2135" i="16"/>
  <c r="W112" i="16"/>
  <c r="W2187" i="16"/>
  <c r="W2140" i="16"/>
  <c r="W2114" i="16"/>
  <c r="W1643" i="16"/>
  <c r="W635" i="16"/>
  <c r="W1219" i="16"/>
  <c r="W375" i="16"/>
  <c r="W357" i="16"/>
  <c r="W266" i="16"/>
  <c r="W1317" i="16"/>
  <c r="W1614" i="16"/>
  <c r="W1351" i="16"/>
  <c r="W1478" i="16"/>
  <c r="W947" i="16"/>
  <c r="W1275" i="16"/>
  <c r="W1946" i="16"/>
  <c r="W1180" i="16"/>
  <c r="W160" i="16"/>
  <c r="W1606" i="16"/>
  <c r="W1992" i="16"/>
  <c r="W1190" i="16"/>
  <c r="W806" i="16"/>
  <c r="W1325" i="16"/>
  <c r="W1615" i="16"/>
  <c r="W2186" i="16"/>
  <c r="W1538" i="16"/>
  <c r="W1001" i="16"/>
  <c r="W1852" i="16"/>
  <c r="W1130" i="16"/>
  <c r="W1168" i="16"/>
  <c r="W1148" i="16"/>
  <c r="W161" i="16"/>
  <c r="W556" i="16"/>
  <c r="W1646" i="16"/>
  <c r="W1135" i="16"/>
  <c r="W279" i="16"/>
  <c r="W530" i="16"/>
  <c r="W999" i="16"/>
  <c r="W1032" i="16"/>
  <c r="W269" i="16"/>
  <c r="W118" i="16"/>
  <c r="W1447" i="16"/>
  <c r="W1494" i="16"/>
  <c r="W643" i="16"/>
  <c r="W318" i="16"/>
  <c r="W765" i="16"/>
  <c r="T1925" i="16"/>
  <c r="T1130" i="16"/>
  <c r="T2160" i="16"/>
  <c r="T1433" i="16"/>
  <c r="T347" i="16"/>
  <c r="T279" i="16"/>
  <c r="T80" i="16"/>
  <c r="T1319" i="16"/>
  <c r="T441" i="16"/>
  <c r="T1179" i="16"/>
  <c r="T2167" i="16"/>
  <c r="T901" i="16"/>
  <c r="T1614" i="16"/>
  <c r="T1292" i="16"/>
  <c r="T1445" i="16"/>
  <c r="T309" i="16"/>
  <c r="T6" i="16"/>
  <c r="T749" i="16"/>
  <c r="T756" i="16"/>
  <c r="T1846" i="16"/>
  <c r="T1937" i="16"/>
  <c r="T1243" i="16"/>
  <c r="T232" i="16"/>
  <c r="T1348" i="16"/>
  <c r="T1701" i="16"/>
  <c r="T1279" i="16"/>
  <c r="T1569" i="16"/>
  <c r="T487" i="16"/>
  <c r="T920" i="16"/>
  <c r="T1568" i="16"/>
  <c r="T1285" i="16"/>
  <c r="T1082" i="16"/>
  <c r="T748" i="16"/>
  <c r="T288" i="16"/>
  <c r="T1270" i="16"/>
  <c r="T1222" i="16"/>
  <c r="T2100" i="16"/>
  <c r="T1709" i="16"/>
  <c r="T1066" i="16"/>
  <c r="T1446" i="16"/>
  <c r="T1536" i="16"/>
  <c r="T665" i="16"/>
  <c r="T1449" i="16"/>
  <c r="T941" i="16"/>
  <c r="T62" i="16"/>
  <c r="T320" i="16"/>
  <c r="T488" i="16"/>
  <c r="T790" i="16"/>
  <c r="T1552" i="16"/>
  <c r="T532" i="16"/>
  <c r="T1520" i="16"/>
  <c r="T1987" i="16"/>
  <c r="T1511" i="16"/>
  <c r="T1392" i="16"/>
  <c r="T1574" i="16"/>
  <c r="T1962" i="16"/>
  <c r="T997" i="16"/>
  <c r="T1901" i="16"/>
  <c r="T713" i="16"/>
  <c r="T716" i="16"/>
  <c r="T1679" i="16"/>
  <c r="T233" i="16"/>
  <c r="T1654" i="16"/>
  <c r="T766" i="16"/>
  <c r="T1226" i="16"/>
  <c r="T1480" i="16"/>
  <c r="T359" i="16"/>
  <c r="T1890" i="16"/>
  <c r="T656" i="16"/>
  <c r="T523" i="16"/>
  <c r="T1299" i="16"/>
  <c r="T282" i="16"/>
  <c r="T559" i="16"/>
  <c r="T1208" i="16"/>
  <c r="T767" i="16"/>
  <c r="T1262" i="16"/>
  <c r="T298" i="16"/>
  <c r="T1600" i="16"/>
  <c r="T1121" i="16"/>
  <c r="T1122" i="16"/>
  <c r="T1967" i="16"/>
  <c r="T839" i="16"/>
  <c r="T2124" i="16"/>
  <c r="T572" i="16"/>
  <c r="T1956" i="16"/>
  <c r="T1349" i="16"/>
  <c r="T1294" i="16"/>
  <c r="T1325" i="16"/>
  <c r="T542" i="16"/>
  <c r="T272" i="16"/>
  <c r="T1504" i="16"/>
  <c r="T330" i="16"/>
  <c r="T876" i="16"/>
  <c r="T494" i="16"/>
  <c r="T1350" i="16"/>
  <c r="T862" i="16"/>
  <c r="T1900" i="16"/>
  <c r="T1393" i="16"/>
  <c r="T2168" i="16"/>
  <c r="T953" i="16"/>
  <c r="T459" i="16"/>
  <c r="T1054" i="16"/>
  <c r="T533" i="16"/>
  <c r="T2112" i="16"/>
  <c r="T745" i="16"/>
  <c r="T788" i="16"/>
  <c r="T1116" i="16"/>
  <c r="T545" i="16"/>
  <c r="T1915" i="16"/>
  <c r="T1931" i="16"/>
  <c r="T162" i="16"/>
  <c r="T2185" i="16"/>
  <c r="T556" i="16"/>
  <c r="T1236" i="16"/>
  <c r="T838" i="16"/>
  <c r="T1530" i="16"/>
  <c r="T1053" i="16"/>
  <c r="T1109" i="16"/>
  <c r="T1732" i="16"/>
  <c r="T1068" i="16"/>
  <c r="T1450" i="16"/>
  <c r="T1485" i="16"/>
  <c r="T1055" i="16"/>
  <c r="T884" i="16"/>
  <c r="T1090" i="16"/>
  <c r="T611" i="16"/>
  <c r="T477" i="16"/>
  <c r="T1280" i="16"/>
  <c r="T1067" i="16"/>
  <c r="T328" i="16"/>
  <c r="T806" i="16"/>
  <c r="T895" i="16"/>
  <c r="T368" i="16"/>
  <c r="T587" i="16"/>
  <c r="T221" i="16"/>
  <c r="T2186" i="16"/>
  <c r="T530" i="16"/>
  <c r="T1284" i="16"/>
  <c r="T1364" i="16"/>
  <c r="T727" i="16"/>
  <c r="T1783" i="16"/>
  <c r="T153" i="16"/>
  <c r="T1857" i="16"/>
  <c r="T1659" i="16"/>
  <c r="T789" i="16"/>
  <c r="T267" i="16"/>
  <c r="T2164" i="16"/>
  <c r="T1966" i="16"/>
  <c r="T280" i="16"/>
  <c r="T1140" i="16"/>
  <c r="T1227" i="16"/>
  <c r="T335" i="16"/>
  <c r="T944" i="16"/>
  <c r="T1541" i="16"/>
  <c r="T63" i="16"/>
  <c r="T370" i="16"/>
  <c r="T2135" i="16"/>
  <c r="T527" i="16"/>
  <c r="T2114" i="16"/>
  <c r="T1200" i="16"/>
  <c r="T1676" i="16"/>
  <c r="T1219" i="16"/>
  <c r="T1009" i="16"/>
  <c r="T2058" i="16"/>
  <c r="T1129" i="16"/>
  <c r="T1478" i="16"/>
  <c r="T1864" i="16"/>
  <c r="T1876" i="16"/>
  <c r="T808" i="16"/>
  <c r="T1606" i="16"/>
  <c r="T1197" i="16"/>
  <c r="T1190" i="16"/>
  <c r="T529" i="16"/>
  <c r="T258" i="16"/>
  <c r="T301" i="16"/>
  <c r="T502" i="16"/>
  <c r="T693" i="16"/>
  <c r="T329" i="16"/>
  <c r="T605" i="16"/>
  <c r="T385" i="16"/>
  <c r="T861" i="16"/>
  <c r="T664" i="16"/>
  <c r="T1493" i="16"/>
  <c r="T1711" i="16"/>
  <c r="T726" i="16"/>
  <c r="T453" i="16"/>
  <c r="T1588" i="16"/>
  <c r="T285" i="16"/>
  <c r="T550" i="16"/>
  <c r="T1081" i="16"/>
  <c r="T94" i="16"/>
  <c r="T1301" i="16"/>
  <c r="T849" i="16"/>
  <c r="T371" i="16"/>
  <c r="T367" i="16"/>
  <c r="T324" i="16"/>
  <c r="T299" i="16"/>
  <c r="T1893" i="16"/>
  <c r="T113" i="16"/>
  <c r="T943" i="16"/>
  <c r="T1318" i="16"/>
  <c r="T310" i="16"/>
  <c r="T1320" i="16"/>
  <c r="T942" i="16"/>
  <c r="T528" i="16"/>
  <c r="T1124" i="16"/>
  <c r="T1160" i="16"/>
  <c r="T512" i="16"/>
  <c r="T634" i="16"/>
  <c r="T1136" i="16"/>
  <c r="T922" i="16"/>
  <c r="T560" i="16"/>
  <c r="T2068" i="16"/>
  <c r="T804" i="16"/>
  <c r="T1291" i="16"/>
  <c r="T92" i="16"/>
  <c r="T276" i="16"/>
  <c r="T366" i="16"/>
  <c r="T1587" i="16"/>
  <c r="T982" i="16"/>
  <c r="T277" i="16"/>
  <c r="T692" i="16"/>
  <c r="T1567" i="16"/>
  <c r="T259" i="16"/>
  <c r="T1646" i="16"/>
  <c r="T2019" i="16"/>
  <c r="T999" i="16"/>
  <c r="T1886" i="16"/>
  <c r="T1856" i="16"/>
  <c r="T1447" i="16"/>
  <c r="T1439" i="16"/>
  <c r="T318" i="16"/>
  <c r="T977" i="16"/>
  <c r="T1128" i="16"/>
  <c r="T2140" i="16"/>
  <c r="T1347" i="16"/>
  <c r="T257" i="16"/>
  <c r="T1954" i="16"/>
  <c r="T1286" i="16"/>
  <c r="T506" i="16"/>
  <c r="T1075" i="16"/>
  <c r="T1863" i="16"/>
  <c r="T205" i="16"/>
  <c r="T1810" i="16"/>
  <c r="T1306" i="16"/>
  <c r="T1315" i="16"/>
  <c r="T1707" i="16"/>
  <c r="T675" i="16"/>
  <c r="T2088" i="16"/>
  <c r="T31" i="16"/>
  <c r="T95" i="16"/>
  <c r="T2181" i="16"/>
  <c r="T1519" i="16"/>
  <c r="T358" i="16"/>
  <c r="T1000" i="16"/>
  <c r="T660" i="16"/>
  <c r="T1946" i="16"/>
  <c r="T1180" i="16"/>
  <c r="T1644" i="16"/>
  <c r="T61" i="16"/>
  <c r="T273" i="16"/>
  <c r="T1751" i="16"/>
  <c r="T1401" i="16"/>
  <c r="T1479" i="16"/>
  <c r="T1992" i="16"/>
  <c r="T1473" i="16"/>
  <c r="T449" i="16"/>
  <c r="T963" i="16"/>
  <c r="T163" i="16"/>
  <c r="T427" i="16"/>
  <c r="T1357" i="16"/>
  <c r="T674" i="16"/>
  <c r="T1738" i="16"/>
  <c r="T269" i="16"/>
  <c r="T295" i="16"/>
  <c r="T1304" i="16"/>
  <c r="T1199" i="16"/>
  <c r="T2106" i="16"/>
  <c r="T1103" i="16"/>
  <c r="T1394" i="16"/>
  <c r="T1123" i="16"/>
  <c r="T216" i="16"/>
  <c r="T582" i="16"/>
  <c r="T1924" i="16"/>
  <c r="T995" i="16"/>
  <c r="T863" i="16"/>
  <c r="T200" i="16"/>
  <c r="T496" i="16"/>
  <c r="T350" i="16"/>
  <c r="T300" i="16"/>
  <c r="T1365" i="16"/>
  <c r="T478" i="16"/>
  <c r="T1487" i="16"/>
  <c r="T1862" i="16"/>
  <c r="T589" i="16"/>
  <c r="T1720" i="16"/>
  <c r="T348" i="16"/>
  <c r="T460" i="16"/>
  <c r="T1235" i="16"/>
  <c r="T1784" i="16"/>
  <c r="T1399" i="16"/>
  <c r="T770" i="16"/>
  <c r="T375" i="16"/>
  <c r="T1125" i="16"/>
  <c r="T579" i="16"/>
  <c r="T1244" i="16"/>
  <c r="T296" i="16"/>
  <c r="T451" i="16"/>
  <c r="T975" i="16"/>
  <c r="T1256" i="16"/>
  <c r="T2285" i="16"/>
  <c r="T576" i="16"/>
  <c r="T1976" i="16"/>
  <c r="T481" i="16"/>
  <c r="T646" i="16"/>
  <c r="T1729" i="16"/>
  <c r="T1029" i="16"/>
  <c r="T7" i="16"/>
  <c r="T2197" i="16"/>
  <c r="T2294" i="16"/>
  <c r="T1950" i="16"/>
  <c r="T376" i="16"/>
  <c r="T1695" i="16"/>
  <c r="T1704" i="16"/>
  <c r="T238" i="16"/>
  <c r="T2330" i="16"/>
  <c r="T116" i="16"/>
  <c r="T1746" i="16"/>
  <c r="T552" i="16"/>
  <c r="T1978" i="16"/>
  <c r="T1692" i="16"/>
  <c r="T1670" i="16"/>
  <c r="T700" i="16"/>
  <c r="T1794" i="16"/>
  <c r="T374" i="16"/>
  <c r="T262" i="16"/>
  <c r="T322" i="16"/>
  <c r="T68" i="16"/>
  <c r="T1635" i="16"/>
  <c r="T539" i="16"/>
  <c r="T448" i="16"/>
  <c r="T915" i="16"/>
  <c r="T2246" i="16"/>
  <c r="T1326" i="16"/>
  <c r="T485" i="16"/>
  <c r="T827" i="16"/>
  <c r="T2332" i="16"/>
  <c r="T1335" i="16"/>
  <c r="T1941" i="16"/>
  <c r="T182" i="16"/>
  <c r="T245" i="16"/>
  <c r="T2122" i="16"/>
  <c r="T1359" i="16"/>
  <c r="T644" i="16"/>
  <c r="T2171" i="16"/>
  <c r="T696" i="16"/>
  <c r="T1133" i="16"/>
  <c r="T1343" i="16"/>
  <c r="T1630" i="16"/>
  <c r="T831" i="16"/>
  <c r="T101" i="16"/>
  <c r="T458" i="16"/>
  <c r="T1617" i="16"/>
  <c r="T106" i="16"/>
  <c r="T1333" i="16"/>
  <c r="T1537" i="16"/>
  <c r="T207" i="16"/>
  <c r="T883" i="16"/>
  <c r="T2271" i="16"/>
  <c r="T1311" i="16"/>
  <c r="T1443" i="16"/>
  <c r="T1713" i="16"/>
  <c r="T110" i="16"/>
  <c r="T1252" i="16"/>
  <c r="T1773" i="16"/>
  <c r="T1907" i="16"/>
  <c r="T1265" i="16"/>
  <c r="T2159" i="16"/>
  <c r="T1689" i="16"/>
  <c r="T1331" i="16"/>
  <c r="T703" i="16"/>
  <c r="T484" i="16"/>
  <c r="T1965" i="16"/>
  <c r="T2120" i="16"/>
  <c r="T90" i="16"/>
  <c r="T1770" i="16"/>
  <c r="T1637" i="16"/>
  <c r="T363" i="16"/>
  <c r="T562" i="16"/>
  <c r="T1476" i="16"/>
  <c r="T341" i="16"/>
  <c r="T865" i="16"/>
  <c r="T82" i="16"/>
  <c r="T2340" i="16"/>
  <c r="T401" i="16"/>
  <c r="T1092" i="16"/>
  <c r="T1363" i="16"/>
  <c r="T1483" i="16"/>
  <c r="T1999" i="16"/>
  <c r="T1215" i="16"/>
  <c r="T1460" i="16"/>
  <c r="T1178" i="16"/>
  <c r="T2317" i="16"/>
  <c r="T2132" i="16"/>
  <c r="T2098" i="16"/>
  <c r="T1721" i="16"/>
  <c r="T760" i="16"/>
  <c r="T1745" i="16"/>
  <c r="T1974" i="16"/>
  <c r="T2165" i="16"/>
  <c r="T1636" i="16"/>
  <c r="T447" i="16"/>
  <c r="T1885" i="16"/>
  <c r="T9" i="16"/>
  <c r="T2255" i="16"/>
  <c r="T2067" i="16"/>
  <c r="T327" i="16"/>
  <c r="T909" i="16"/>
  <c r="T2028" i="16"/>
  <c r="T2225" i="16"/>
  <c r="T474" i="16"/>
  <c r="T678" i="16"/>
  <c r="T1806" i="16"/>
  <c r="T472" i="16"/>
  <c r="T211" i="16"/>
  <c r="T384" i="16"/>
  <c r="T381" i="16"/>
  <c r="T1681" i="16"/>
  <c r="T986" i="16"/>
  <c r="T1016" i="16"/>
  <c r="T1791" i="16"/>
  <c r="T935" i="16"/>
  <c r="T2017" i="16"/>
  <c r="T2288" i="16"/>
  <c r="T1838" i="16"/>
  <c r="T721" i="16"/>
  <c r="T2281" i="16"/>
  <c r="T792" i="16"/>
  <c r="T864" i="16"/>
  <c r="T1336" i="16"/>
  <c r="T1871" i="16"/>
  <c r="T1230" i="16"/>
  <c r="T1758" i="16"/>
  <c r="T457" i="16"/>
  <c r="T777" i="16"/>
  <c r="T1921" i="16"/>
  <c r="T776" i="16"/>
  <c r="T990" i="16"/>
  <c r="T16" i="16"/>
  <c r="T1995" i="16"/>
  <c r="T2205" i="16"/>
  <c r="T1768" i="16"/>
  <c r="T626" i="16"/>
  <c r="T493" i="16"/>
  <c r="T2069" i="16"/>
  <c r="T687" i="16"/>
  <c r="T1471" i="16"/>
  <c r="T1173" i="16"/>
  <c r="T645" i="16"/>
  <c r="T625" i="16"/>
  <c r="T1800" i="16"/>
  <c r="T2161" i="16"/>
  <c r="T49" i="16"/>
  <c r="T1831" i="16"/>
  <c r="T1719" i="16"/>
  <c r="T2219" i="16"/>
  <c r="T428" i="16"/>
  <c r="T958" i="16"/>
  <c r="T1076" i="16"/>
  <c r="T25" i="16"/>
  <c r="T1804" i="16"/>
  <c r="T1691" i="16"/>
  <c r="T817" i="16"/>
  <c r="T1845" i="16"/>
  <c r="T663" i="16"/>
  <c r="T1084" i="16"/>
  <c r="T2130" i="16"/>
  <c r="T364" i="16"/>
  <c r="T1192" i="16"/>
  <c r="T571" i="16"/>
  <c r="T2035" i="16"/>
  <c r="T728" i="16"/>
  <c r="T2070" i="16"/>
  <c r="T1171" i="16"/>
  <c r="T1883" i="16"/>
  <c r="T1421" i="16"/>
  <c r="T1963" i="16"/>
  <c r="T1501" i="16"/>
  <c r="T13" i="16"/>
  <c r="T1953" i="16"/>
  <c r="T231" i="16"/>
  <c r="T1947" i="16"/>
  <c r="T1793" i="16"/>
  <c r="T222" i="16"/>
  <c r="T974" i="16"/>
  <c r="T1031" i="16"/>
  <c r="T1903" i="16"/>
  <c r="T32" i="16"/>
  <c r="T2233" i="16"/>
  <c r="T1198" i="16"/>
  <c r="T1309" i="16"/>
  <c r="T1842" i="16"/>
  <c r="T1639" i="16"/>
  <c r="T857" i="16"/>
  <c r="T148" i="16"/>
  <c r="T574" i="16"/>
  <c r="T787" i="16"/>
  <c r="T1742" i="16"/>
  <c r="T74" i="16"/>
  <c r="T1444" i="16"/>
  <c r="T126" i="16"/>
  <c r="T1973" i="16"/>
  <c r="T934" i="16"/>
  <c r="T14" i="16"/>
  <c r="T337" i="16"/>
  <c r="T206" i="16"/>
  <c r="T2018" i="16"/>
  <c r="T2154" i="16"/>
  <c r="T446" i="16"/>
  <c r="T2083" i="16"/>
  <c r="T1675" i="16"/>
  <c r="T1420" i="16"/>
  <c r="T991" i="16"/>
  <c r="T1825" i="16"/>
  <c r="T2139" i="16"/>
  <c r="T1158" i="16"/>
  <c r="T1873" i="16"/>
  <c r="T706" i="16"/>
  <c r="T1049" i="16"/>
  <c r="T763" i="16"/>
  <c r="T825" i="16"/>
  <c r="T729" i="16"/>
  <c r="T604" i="16"/>
  <c r="T1983" i="16"/>
  <c r="T170" i="16"/>
  <c r="T1048" i="16"/>
  <c r="T1551" i="16"/>
  <c r="T1127" i="16"/>
  <c r="T1408" i="16"/>
  <c r="T603" i="16"/>
  <c r="T491" i="16"/>
  <c r="T2189" i="16"/>
  <c r="T2063" i="16"/>
  <c r="T1550" i="16"/>
  <c r="T2335" i="16"/>
  <c r="T1380" i="16"/>
  <c r="T707" i="16"/>
  <c r="T195" i="16"/>
  <c r="T541" i="16"/>
  <c r="T1361" i="16"/>
  <c r="T2214" i="16"/>
  <c r="T714" i="16"/>
  <c r="T793" i="16"/>
  <c r="T1248" i="16"/>
  <c r="T2099" i="16"/>
  <c r="T369" i="16"/>
  <c r="T2162" i="16"/>
  <c r="T519" i="16"/>
  <c r="T2311" i="16"/>
  <c r="T2258" i="16"/>
  <c r="T1012" i="16"/>
  <c r="T1767" i="16"/>
  <c r="T2305" i="16"/>
  <c r="T1939" i="16"/>
  <c r="T911" i="16"/>
  <c r="T2201" i="16"/>
  <c r="T2052" i="16"/>
  <c r="T1910" i="16"/>
  <c r="T468" i="16"/>
  <c r="T217" i="16"/>
  <c r="T2328" i="16"/>
  <c r="T1593" i="16"/>
  <c r="T2030" i="16"/>
  <c r="T1166" i="16"/>
  <c r="T220" i="16"/>
  <c r="T1412" i="16"/>
  <c r="T166" i="16"/>
  <c r="T2270" i="16"/>
  <c r="T897" i="16"/>
  <c r="T979" i="16"/>
  <c r="T2239" i="16"/>
  <c r="T868" i="16"/>
  <c r="T1830" i="16"/>
  <c r="T1669" i="16"/>
  <c r="T1188" i="16"/>
  <c r="T548" i="16"/>
  <c r="T547" i="16"/>
  <c r="T136" i="16"/>
  <c r="T36" i="16"/>
  <c r="T26" i="16"/>
  <c r="T1207" i="16"/>
  <c r="T2293" i="16"/>
  <c r="T1710" i="16"/>
  <c r="T1545" i="16"/>
  <c r="T1465" i="16"/>
  <c r="T66" i="16"/>
  <c r="T1892" i="16"/>
  <c r="T837" i="16"/>
  <c r="T1426" i="16"/>
  <c r="T2267" i="16"/>
  <c r="T2134" i="16"/>
  <c r="T2251" i="16"/>
  <c r="T1078" i="16"/>
  <c r="T1100" i="16"/>
  <c r="T906" i="16"/>
  <c r="T816" i="16"/>
  <c r="T1378" i="16"/>
  <c r="T1156" i="16"/>
  <c r="T316" i="16"/>
  <c r="T29" i="16"/>
  <c r="T2209" i="16"/>
  <c r="T202" i="16"/>
  <c r="T1151" i="16"/>
  <c r="T1585" i="16"/>
  <c r="T1932" i="16"/>
  <c r="T836" i="16"/>
  <c r="T1989" i="16"/>
  <c r="T1015" i="16"/>
  <c r="T1414" i="16"/>
  <c r="T19" i="16"/>
  <c r="T1508" i="16"/>
  <c r="T2191" i="16"/>
  <c r="T169" i="16"/>
  <c r="T440" i="16"/>
  <c r="T928" i="16"/>
  <c r="T2045" i="16"/>
  <c r="T702" i="16"/>
  <c r="T72" i="16"/>
  <c r="T1865" i="16"/>
  <c r="T293" i="16"/>
  <c r="T731" i="16"/>
  <c r="T1468" i="16"/>
  <c r="T1061" i="16"/>
  <c r="T1749" i="16"/>
  <c r="T669" i="16"/>
  <c r="T1034" i="16"/>
  <c r="T2050" i="16"/>
  <c r="T615" i="16"/>
  <c r="T1714" i="16"/>
  <c r="T1586" i="16"/>
  <c r="T823" i="16"/>
  <c r="T870" i="16"/>
  <c r="T949" i="16"/>
  <c r="T1154" i="16"/>
  <c r="T1410" i="16"/>
  <c r="T630" i="16"/>
  <c r="T2289" i="16"/>
  <c r="T244" i="16"/>
  <c r="T1510" i="16"/>
  <c r="T1334" i="16"/>
  <c r="T620" i="16"/>
  <c r="T1935" i="16"/>
  <c r="T989" i="16"/>
  <c r="T1652" i="16"/>
  <c r="T445" i="16"/>
  <c r="T86" i="16"/>
  <c r="T1797" i="16"/>
  <c r="T1419" i="16"/>
  <c r="T910" i="16"/>
  <c r="T268" i="16"/>
  <c r="T591" i="16"/>
  <c r="T709" i="16"/>
  <c r="T1512" i="16"/>
  <c r="T782" i="16"/>
  <c r="T1818" i="16"/>
  <c r="T45" i="16"/>
  <c r="T1590" i="16"/>
  <c r="T2321" i="16"/>
  <c r="T1672" i="16"/>
  <c r="T1789" i="16"/>
  <c r="T185" i="16"/>
  <c r="T1629" i="16"/>
  <c r="T937" i="16"/>
  <c r="T1091" i="16"/>
  <c r="T2051" i="16"/>
  <c r="T908" i="16"/>
  <c r="T2053" i="16"/>
  <c r="T253" i="16"/>
  <c r="T2278" i="16"/>
  <c r="T1389" i="16"/>
  <c r="T1224" i="16"/>
  <c r="T704" i="16"/>
  <c r="T945" i="16"/>
  <c r="T832" i="16"/>
  <c r="T1559" i="16"/>
  <c r="T89" i="16"/>
  <c r="T1011" i="16"/>
  <c r="T1358" i="16"/>
  <c r="T2217" i="16"/>
  <c r="T2213" i="16"/>
  <c r="T972" i="16"/>
  <c r="T121" i="16"/>
  <c r="T1027" i="16"/>
  <c r="T791" i="16"/>
  <c r="T759" i="16"/>
  <c r="T1025" i="16"/>
  <c r="T907" i="16"/>
  <c r="T1513" i="16"/>
  <c r="T1134" i="16"/>
  <c r="T1162" i="16"/>
  <c r="T1566" i="16"/>
  <c r="T226" i="16"/>
  <c r="T526" i="16"/>
  <c r="T291" i="16"/>
  <c r="T1307" i="16"/>
  <c r="T1472" i="16"/>
  <c r="T73" i="16"/>
  <c r="T2025" i="16"/>
  <c r="T2265" i="16"/>
  <c r="T2221" i="16"/>
  <c r="T203" i="16"/>
  <c r="T1737" i="16"/>
  <c r="T1003" i="16"/>
  <c r="T1397" i="16"/>
  <c r="T2048" i="16"/>
  <c r="T853" i="16"/>
  <c r="T1884" i="16"/>
  <c r="T1667" i="16"/>
  <c r="T326" i="16"/>
  <c r="T753" i="16"/>
  <c r="T1832" i="16"/>
  <c r="T96" i="16"/>
  <c r="T764" i="16"/>
  <c r="T1796" i="16"/>
  <c r="T2290" i="16"/>
  <c r="T1088" i="16"/>
  <c r="T2034" i="16"/>
  <c r="T1948" i="16"/>
  <c r="T1400" i="16"/>
  <c r="T1634" i="16"/>
  <c r="T2304" i="16"/>
  <c r="T960" i="16"/>
  <c r="T1549" i="16"/>
  <c r="T414" i="16"/>
  <c r="T815" i="16"/>
  <c r="T2261" i="16"/>
  <c r="T2250" i="16"/>
  <c r="T1144" i="16"/>
  <c r="T867" i="16"/>
  <c r="T2231" i="16"/>
  <c r="T699" i="16"/>
  <c r="T1718" i="16"/>
  <c r="T1812" i="16"/>
  <c r="T1155" i="16"/>
  <c r="T315" i="16"/>
  <c r="T83" i="16"/>
  <c r="T1968" i="16"/>
  <c r="T70" i="16"/>
  <c r="T688" i="16"/>
  <c r="T2323" i="16"/>
  <c r="T2338" i="16"/>
  <c r="T1470" i="16"/>
  <c r="T1811" i="16"/>
  <c r="T933" i="16"/>
  <c r="T356" i="16"/>
  <c r="T2275" i="16"/>
  <c r="T1052" i="16"/>
  <c r="T1618" i="16"/>
  <c r="T1957" i="16"/>
  <c r="T1142" i="16"/>
  <c r="T147" i="16"/>
  <c r="T690" i="16"/>
  <c r="T1042" i="16"/>
  <c r="T140" i="16"/>
  <c r="T1807" i="16"/>
  <c r="T304" i="16"/>
  <c r="T522" i="16"/>
  <c r="T2208" i="16"/>
  <c r="T1396" i="16"/>
  <c r="T1210" i="16"/>
  <c r="T188" i="16"/>
  <c r="T653" i="16"/>
  <c r="T520" i="16"/>
  <c r="T466" i="16"/>
  <c r="T355" i="16"/>
  <c r="T54" i="16"/>
  <c r="T1868" i="16"/>
  <c r="T436" i="16"/>
  <c r="T833" i="16"/>
  <c r="T544" i="16"/>
  <c r="T1056" i="16"/>
  <c r="T1653" i="16"/>
  <c r="T1157" i="16"/>
  <c r="T2085" i="16"/>
  <c r="T1684" i="16"/>
  <c r="T773" i="16"/>
  <c r="T888" i="16"/>
  <c r="T28" i="16"/>
  <c r="T658" i="16"/>
  <c r="T2308" i="16"/>
  <c r="T2102" i="16"/>
  <c r="T1760" i="16"/>
  <c r="T1278" i="16"/>
  <c r="T725" i="16"/>
  <c r="T1039" i="16"/>
  <c r="T1583" i="16"/>
  <c r="T1002" i="16"/>
  <c r="T456" i="16"/>
  <c r="T649" i="16"/>
  <c r="T1453" i="16"/>
  <c r="T289" i="16"/>
  <c r="T2324" i="16"/>
  <c r="T1928" i="16"/>
  <c r="T1984" i="16"/>
  <c r="T1492" i="16"/>
  <c r="T1225" i="16"/>
  <c r="T1114" i="16"/>
  <c r="T290" i="16"/>
  <c r="T1801" i="16"/>
  <c r="T2279" i="16"/>
  <c r="T1683" i="16"/>
  <c r="T866" i="16"/>
  <c r="T1517" i="16"/>
  <c r="T150" i="16"/>
  <c r="T631" i="16"/>
  <c r="T1505" i="16"/>
  <c r="T1518" i="16"/>
  <c r="T567" i="16"/>
  <c r="T1765" i="16"/>
  <c r="T342" i="16"/>
  <c r="T931" i="16"/>
  <c r="T557" i="16"/>
  <c r="T55" i="16"/>
  <c r="T840" i="16"/>
  <c r="T21" i="16"/>
  <c r="T1432" i="16"/>
  <c r="T492" i="16"/>
  <c r="T981" i="16"/>
  <c r="T48" i="16"/>
  <c r="T1111" i="16"/>
  <c r="T2131" i="16"/>
  <c r="T1945" i="16"/>
  <c r="T44" i="16"/>
  <c r="T1698" i="16"/>
  <c r="T2032" i="16"/>
  <c r="T2268" i="16"/>
  <c r="T2123" i="16"/>
  <c r="T1209" i="16"/>
  <c r="T1602" i="16"/>
  <c r="T500" i="16"/>
  <c r="T1298" i="16"/>
  <c r="T772" i="16"/>
  <c r="T569" i="16"/>
  <c r="T1859" i="16"/>
  <c r="T774" i="16"/>
  <c r="T577" i="16"/>
  <c r="T1201" i="16"/>
  <c r="T1409" i="16"/>
  <c r="T752" i="16"/>
  <c r="T1489" i="16"/>
  <c r="T2031" i="16"/>
  <c r="T844" i="16"/>
  <c r="T2153" i="16"/>
  <c r="T1849" i="16"/>
  <c r="T1694" i="16"/>
  <c r="T743" i="16"/>
  <c r="T2259" i="16"/>
  <c r="T1289" i="16"/>
  <c r="T1356" i="16"/>
  <c r="T130" i="16"/>
  <c r="T2229" i="16"/>
  <c r="T2012" i="16"/>
  <c r="T1038" i="16"/>
  <c r="T1743" i="16"/>
  <c r="T432" i="16"/>
  <c r="T422" i="16"/>
  <c r="T585" i="16"/>
  <c r="T821" i="16"/>
  <c r="T128" i="16"/>
  <c r="T1881" i="16"/>
  <c r="T2111" i="16"/>
  <c r="T1578" i="16"/>
  <c r="T2166" i="16"/>
  <c r="T617" i="16"/>
  <c r="T2047" i="16"/>
  <c r="T1776" i="16"/>
  <c r="T108" i="16"/>
  <c r="T292" i="16"/>
  <c r="T2150" i="16"/>
  <c r="T1249" i="16"/>
  <c r="T2133" i="16"/>
  <c r="T1093" i="16"/>
  <c r="T1844" i="16"/>
  <c r="T711" i="16"/>
  <c r="T1977" i="16"/>
  <c r="T1777" i="16"/>
  <c r="T1008" i="16"/>
  <c r="T672" i="16"/>
  <c r="T1741" i="16"/>
  <c r="T859" i="16"/>
  <c r="T435" i="16"/>
  <c r="T1206" i="16"/>
  <c r="T37" i="16"/>
  <c r="T1314" i="16"/>
  <c r="T283" i="16"/>
  <c r="T948" i="16"/>
  <c r="T998" i="16"/>
  <c r="T2172" i="16"/>
  <c r="T1313" i="16"/>
  <c r="T35" i="16"/>
  <c r="T722" i="16"/>
  <c r="T242" i="16"/>
  <c r="T75" i="16"/>
  <c r="T281" i="16"/>
  <c r="T738" i="16"/>
  <c r="T464" i="16"/>
  <c r="T822" i="16"/>
  <c r="T227" i="16"/>
  <c r="T336" i="16"/>
  <c r="T261" i="16"/>
  <c r="T254" i="16"/>
  <c r="T534" i="16"/>
  <c r="T954" i="16"/>
  <c r="T438" i="16"/>
  <c r="T1911" i="16"/>
  <c r="T1030" i="16"/>
  <c r="T1355" i="16"/>
  <c r="T1756" i="16"/>
  <c r="T1496" i="16"/>
  <c r="T91" i="16"/>
  <c r="T1013" i="16"/>
  <c r="T87" i="16"/>
  <c r="T1429" i="16"/>
  <c r="T2215" i="16"/>
  <c r="T1117" i="16"/>
  <c r="T213" i="16"/>
  <c r="T662" i="16"/>
  <c r="T228" i="16"/>
  <c r="T1702" i="16"/>
  <c r="T58" i="16"/>
  <c r="T497" i="16"/>
  <c r="T924" i="16"/>
  <c r="T1033" i="16"/>
  <c r="T946" i="16"/>
  <c r="T740" i="16"/>
  <c r="T1126" i="16"/>
  <c r="T1922" i="16"/>
  <c r="T1906" i="16"/>
  <c r="T1246" i="16"/>
  <c r="T507" i="16"/>
  <c r="T2240" i="16"/>
  <c r="T2200" i="16"/>
  <c r="T2307" i="16"/>
  <c r="T1964" i="16"/>
  <c r="T201" i="16"/>
  <c r="T775" i="16"/>
  <c r="T215" i="16"/>
  <c r="T2156" i="16"/>
  <c r="T2339" i="16"/>
  <c r="T994" i="16"/>
  <c r="T860" i="16"/>
  <c r="T2086" i="16"/>
  <c r="T1407" i="16"/>
  <c r="T1870" i="16"/>
  <c r="T1491" i="16"/>
  <c r="T905" i="16"/>
  <c r="T2060" i="16"/>
  <c r="T2198" i="16"/>
  <c r="T835" i="16"/>
  <c r="T1847" i="16"/>
  <c r="T430" i="16"/>
  <c r="T1383" i="16"/>
  <c r="T1840" i="16"/>
  <c r="T1330" i="16"/>
  <c r="T1592" i="16"/>
  <c r="T1372" i="16"/>
  <c r="T2337" i="16"/>
  <c r="T755" i="16"/>
  <c r="T2090" i="16"/>
  <c r="T877" i="16"/>
  <c r="T443" i="16"/>
  <c r="T1466" i="16"/>
  <c r="T2157" i="16"/>
  <c r="T511" i="16"/>
  <c r="T1077" i="16"/>
  <c r="T819" i="16"/>
  <c r="T682" i="16"/>
  <c r="T141" i="16"/>
  <c r="T1260" i="16"/>
  <c r="T685" i="16"/>
  <c r="T1779" i="16"/>
  <c r="T442" i="16"/>
  <c r="T1609" i="16"/>
  <c r="T196" i="16"/>
  <c r="T600" i="16"/>
  <c r="T1649" i="16"/>
  <c r="T758" i="16"/>
  <c r="T1612" i="16"/>
  <c r="T12" i="16"/>
  <c r="T1869" i="16"/>
  <c r="T230" i="16"/>
  <c r="T1958" i="16"/>
  <c r="T1255" i="16"/>
  <c r="T1848" i="16"/>
  <c r="T1690" i="16"/>
  <c r="T260" i="16"/>
  <c r="T2262" i="16"/>
  <c r="T636" i="16"/>
  <c r="T173" i="16"/>
  <c r="T697" i="16"/>
  <c r="T820" i="16"/>
  <c r="T1525" i="16"/>
  <c r="T783" i="16"/>
  <c r="T1940" i="16"/>
  <c r="T781" i="16"/>
  <c r="T71" i="16"/>
  <c r="T1879" i="16"/>
  <c r="T2174" i="16"/>
  <c r="T2129" i="16"/>
  <c r="T828" i="16"/>
  <c r="T2179" i="16"/>
  <c r="T2040" i="16"/>
  <c r="T1763" i="16"/>
  <c r="T537" i="16"/>
  <c r="T1755" i="16"/>
  <c r="T1369" i="16"/>
  <c r="T2180" i="16"/>
  <c r="T1094" i="16"/>
  <c r="T129" i="16"/>
  <c r="T968" i="16"/>
  <c r="T2104" i="16"/>
  <c r="T858" i="16"/>
  <c r="T1699" i="16"/>
  <c r="T515" i="16"/>
  <c r="T1430" i="16"/>
  <c r="T1161" i="16"/>
  <c r="T1153" i="16"/>
  <c r="T1417" i="16"/>
  <c r="T1229" i="16"/>
  <c r="T1905" i="16"/>
  <c r="T710" i="16"/>
  <c r="T1975" i="16"/>
  <c r="T1594" i="16"/>
  <c r="T1259" i="16"/>
  <c r="T103" i="16"/>
  <c r="T1196" i="16"/>
  <c r="T1798" i="16"/>
  <c r="T483" i="16"/>
  <c r="T2119" i="16"/>
  <c r="T2136" i="16"/>
  <c r="T1705" i="16"/>
  <c r="T2113" i="16"/>
  <c r="T1908" i="16"/>
  <c r="T1563" i="16"/>
  <c r="T218" i="16"/>
  <c r="T959" i="16"/>
  <c r="T135" i="16"/>
  <c r="T1120" i="16"/>
  <c r="T171" i="16"/>
  <c r="T278" i="16"/>
  <c r="T525" i="16"/>
  <c r="T650" i="16"/>
  <c r="T2195" i="16"/>
  <c r="T1772" i="16"/>
  <c r="T1994" i="16"/>
  <c r="T784" i="16"/>
  <c r="T1272" i="16"/>
  <c r="T666" i="16"/>
  <c r="T795" i="16"/>
  <c r="T813" i="16"/>
  <c r="T564" i="16"/>
  <c r="T317" i="16"/>
  <c r="T471" i="16"/>
  <c r="T554" i="16"/>
  <c r="T681" i="16"/>
  <c r="T22" i="16"/>
  <c r="T246" i="16"/>
  <c r="T2108" i="16"/>
  <c r="T1457" i="16"/>
  <c r="T406" i="16"/>
  <c r="T455" i="16"/>
  <c r="T107" i="16"/>
  <c r="T1914" i="16"/>
  <c r="T1516" i="16"/>
  <c r="T1434" i="16"/>
  <c r="T1376" i="16"/>
  <c r="T695" i="16"/>
  <c r="T667" i="16"/>
  <c r="T1874" i="16"/>
  <c r="T1006" i="16"/>
  <c r="T1715" i="16"/>
  <c r="T1035" i="16"/>
  <c r="T2216" i="16"/>
  <c r="T733" i="16"/>
  <c r="T1819" i="16"/>
  <c r="T214" i="16"/>
  <c r="T38" i="16"/>
  <c r="T843" i="16"/>
  <c r="T1503" i="16"/>
  <c r="T1990" i="16"/>
  <c r="T830" i="16"/>
  <c r="T1203" i="16"/>
  <c r="T1623" i="16"/>
  <c r="T1882" i="16"/>
  <c r="T1382" i="16"/>
  <c r="T50" i="16"/>
  <c r="T2326" i="16"/>
  <c r="T405" i="16"/>
  <c r="T1601" i="16"/>
  <c r="T46" i="16"/>
  <c r="T785" i="16"/>
  <c r="T1955" i="16"/>
  <c r="T1795" i="16"/>
  <c r="T1554" i="16"/>
  <c r="T638" i="16"/>
  <c r="T1327" i="16"/>
  <c r="T1391" i="16"/>
  <c r="T1060" i="16"/>
  <c r="T1562" i="16"/>
  <c r="T627" i="16"/>
  <c r="T1388" i="16"/>
  <c r="T1437" i="16"/>
  <c r="T1736" i="16"/>
  <c r="T180" i="16"/>
  <c r="T1822" i="16"/>
  <c r="T383" i="16"/>
  <c r="T2319" i="16"/>
  <c r="T1145" i="16"/>
  <c r="T1834" i="16"/>
  <c r="T1323" i="16"/>
  <c r="T1354" i="16"/>
  <c r="T1490" i="16"/>
  <c r="T1693" i="16"/>
  <c r="T411" i="16"/>
  <c r="T561" i="16"/>
  <c r="T1685" i="16"/>
  <c r="T940" i="16"/>
  <c r="T1803" i="16"/>
  <c r="T2142" i="16"/>
  <c r="T1037" i="16"/>
  <c r="T1556" i="16"/>
  <c r="T431" i="16"/>
  <c r="T313" i="16"/>
  <c r="T584" i="16"/>
  <c r="T365" i="16"/>
  <c r="T191" i="16"/>
  <c r="T2202" i="16"/>
  <c r="T1195" i="16"/>
  <c r="T1780" i="16"/>
  <c r="T1619" i="16"/>
  <c r="T1809" i="16"/>
  <c r="T904" i="16"/>
  <c r="T2176" i="16"/>
  <c r="T845" i="16"/>
  <c r="T219" i="16"/>
  <c r="T404" i="16"/>
  <c r="T413" i="16"/>
  <c r="T814" i="16"/>
  <c r="T2260" i="16"/>
  <c r="T1143" i="16"/>
  <c r="T97" i="16"/>
  <c r="T2230" i="16"/>
  <c r="T1063" i="16"/>
  <c r="T2143" i="16"/>
  <c r="T433" i="16"/>
  <c r="T314" i="16"/>
  <c r="T437" i="16"/>
  <c r="T1373" i="16"/>
  <c r="T331" i="16"/>
  <c r="T1926" i="16"/>
  <c r="T618" i="16"/>
  <c r="T2298" i="16"/>
  <c r="T987" i="16"/>
  <c r="T109" i="16"/>
  <c r="T2276" i="16"/>
  <c r="T1837" i="16"/>
  <c r="T372" i="16"/>
  <c r="T1792" i="16"/>
  <c r="T872" i="16"/>
  <c r="T1098" i="16"/>
  <c r="T1815" i="16"/>
  <c r="T143" i="16"/>
  <c r="T801" i="16"/>
  <c r="T886" i="16"/>
  <c r="T809" i="16"/>
  <c r="T248" i="16"/>
  <c r="T439" i="16"/>
  <c r="T1828" i="16"/>
  <c r="T18" i="16"/>
  <c r="T2334" i="16"/>
  <c r="T323" i="16"/>
  <c r="T898" i="16"/>
  <c r="T1119" i="16"/>
  <c r="T1909" i="16"/>
  <c r="T1381" i="16"/>
  <c r="T1631" i="16"/>
  <c r="T403" i="16"/>
  <c r="T1655" i="16"/>
  <c r="T1944" i="16"/>
  <c r="T1733" i="16"/>
  <c r="T967" i="16"/>
  <c r="T1241" i="16"/>
  <c r="T1761" i="16"/>
  <c r="T1929" i="16"/>
  <c r="T1703" i="16"/>
  <c r="T1621" i="16"/>
  <c r="T1172" i="16"/>
  <c r="T53" i="16"/>
  <c r="T1553" i="16"/>
  <c r="T689" i="16"/>
  <c r="T1024" i="16"/>
  <c r="T1748" i="16"/>
  <c r="T623" i="16"/>
  <c r="T469" i="16"/>
  <c r="T183" i="16"/>
  <c r="T698" i="16"/>
  <c r="T1112" i="16"/>
  <c r="T1747" i="16"/>
  <c r="T632" i="16"/>
  <c r="T1521" i="16"/>
  <c r="T1344" i="16"/>
  <c r="T388" i="16"/>
  <c r="T2218" i="16"/>
  <c r="T33" i="16"/>
  <c r="T134" i="16"/>
  <c r="T198" i="16"/>
  <c r="T119" i="16"/>
  <c r="T992" i="16"/>
  <c r="T842" i="16"/>
  <c r="T176" i="16"/>
  <c r="T1428" i="16"/>
  <c r="T102" i="16"/>
  <c r="T2273" i="16"/>
  <c r="T482" i="16"/>
  <c r="T1677" i="16"/>
  <c r="T1028" i="16"/>
  <c r="T1993" i="16"/>
  <c r="T1312" i="16"/>
  <c r="T34" i="16"/>
  <c r="T1062" i="16"/>
  <c r="T798" i="16"/>
  <c r="T241" i="16"/>
  <c r="T950" i="16"/>
  <c r="T648" i="16"/>
  <c r="T23" i="16"/>
  <c r="T51" i="16"/>
  <c r="T965" i="16"/>
  <c r="T642" i="16"/>
  <c r="T1387" i="16"/>
  <c r="T133" i="16"/>
  <c r="T1912" i="16"/>
  <c r="T803" i="16"/>
  <c r="T1051" i="16"/>
  <c r="T1557" i="16"/>
  <c r="T1641" i="16"/>
  <c r="T252" i="16"/>
  <c r="T178" i="16"/>
  <c r="T167" i="16"/>
  <c r="T480" i="16"/>
  <c r="T473" i="16"/>
  <c r="T2078" i="16"/>
  <c r="T1070" i="16"/>
  <c r="T2310" i="16"/>
  <c r="T1097" i="16"/>
  <c r="T2087" i="16"/>
  <c r="T2037" i="16"/>
  <c r="T1662" i="16"/>
  <c r="T1899" i="16"/>
  <c r="T120" i="16"/>
  <c r="T570" i="16"/>
  <c r="T811" i="16"/>
  <c r="T2316" i="16"/>
  <c r="T1835" i="16"/>
  <c r="T1895" i="16"/>
  <c r="T540" i="16"/>
  <c r="T2264" i="16"/>
  <c r="T174" i="16"/>
  <c r="T1816" i="16"/>
  <c r="T1752" i="16"/>
  <c r="T575" i="16"/>
  <c r="T1826" i="16"/>
  <c r="T1454" i="16"/>
  <c r="T628" i="16"/>
  <c r="T918" i="16"/>
  <c r="T308" i="16"/>
  <c r="T1558" i="16"/>
  <c r="T971" i="16"/>
  <c r="T2026" i="16"/>
  <c r="T2306" i="16"/>
  <c r="T43" i="16"/>
  <c r="T2295" i="16"/>
  <c r="T1664" i="16"/>
  <c r="T1106" i="16"/>
  <c r="T2336" i="16"/>
  <c r="T1762" i="16"/>
  <c r="T536" i="16"/>
  <c r="T2266" i="16"/>
  <c r="T307" i="16"/>
  <c r="T2244" i="16"/>
  <c r="T2138" i="16"/>
  <c r="T503" i="16"/>
  <c r="T1526" i="16"/>
  <c r="T2105" i="16"/>
  <c r="T104" i="16"/>
  <c r="T514" i="16"/>
  <c r="T250" i="16"/>
  <c r="T951" i="16"/>
  <c r="T1814" i="16"/>
  <c r="T152" i="16"/>
  <c r="T639" i="16"/>
  <c r="T1163" i="16"/>
  <c r="T2190" i="16"/>
  <c r="T1451" i="16"/>
  <c r="T1544" i="16"/>
  <c r="T1204" i="16"/>
  <c r="T1938" i="16"/>
  <c r="T1657" i="16"/>
  <c r="T829" i="16"/>
  <c r="T1329" i="16"/>
  <c r="T2041" i="16"/>
  <c r="T1764" i="16"/>
  <c r="T538" i="16"/>
  <c r="T2245" i="16"/>
  <c r="T1099" i="16"/>
  <c r="T2228" i="16"/>
  <c r="T1933" i="16"/>
  <c r="T1640" i="16"/>
  <c r="T1308" i="16"/>
  <c r="T516" i="16"/>
  <c r="T2175" i="16"/>
  <c r="T1591" i="16"/>
  <c r="T1774" i="16"/>
  <c r="T1867" i="16"/>
  <c r="T1220" i="16"/>
  <c r="T382" i="16"/>
  <c r="T983" i="16"/>
  <c r="T1624" i="16"/>
  <c r="T115" i="16"/>
  <c r="T424" i="16"/>
  <c r="T508" i="16"/>
  <c r="T2241" i="16"/>
  <c r="T99" i="16"/>
  <c r="T1572" i="16"/>
  <c r="T1833" i="16"/>
  <c r="T426" i="16"/>
  <c r="T724" i="16"/>
  <c r="T1175" i="16"/>
  <c r="T1514" i="16"/>
  <c r="T2212" i="16"/>
  <c r="T1522" i="16"/>
  <c r="T2203" i="16"/>
  <c r="T1390" i="16"/>
  <c r="T111" i="16"/>
  <c r="T2318" i="16"/>
  <c r="T1422" i="16"/>
  <c r="T2116" i="16"/>
  <c r="T1985" i="16"/>
  <c r="T1970" i="16"/>
  <c r="T2282" i="16"/>
  <c r="T2269" i="16"/>
  <c r="T742" i="16"/>
  <c r="T408" i="16"/>
  <c r="T2237" i="16"/>
  <c r="T1651" i="16"/>
  <c r="T2341" i="16"/>
  <c r="T2016" i="16"/>
  <c r="T657" i="16"/>
  <c r="T1527" i="16"/>
  <c r="T1456" i="16"/>
  <c r="T1663" i="16"/>
  <c r="T873" i="16"/>
  <c r="T930" i="16"/>
  <c r="T122" i="16"/>
  <c r="T1949" i="16"/>
  <c r="T1464" i="16"/>
  <c r="T179" i="16"/>
  <c r="T671" i="16"/>
  <c r="T601" i="16"/>
  <c r="T490" i="16"/>
  <c r="T146" i="16"/>
  <c r="T1613" i="16"/>
  <c r="T594" i="16"/>
  <c r="T2024" i="16"/>
  <c r="T1014" i="16"/>
  <c r="T1184" i="16"/>
  <c r="T1041" i="16"/>
  <c r="T741" i="16"/>
  <c r="T633" i="16"/>
  <c r="T1564" i="16"/>
  <c r="T2062" i="16"/>
  <c r="T395" i="16"/>
  <c r="T476" i="16"/>
  <c r="T1073" i="16"/>
  <c r="T127" i="16"/>
  <c r="T47" i="16"/>
  <c r="T1110" i="16"/>
  <c r="T402" i="16"/>
  <c r="T2272" i="16"/>
  <c r="T158" i="16"/>
  <c r="T1415" i="16"/>
  <c r="T2007" i="16"/>
  <c r="T100" i="16"/>
  <c r="T1608" i="16"/>
  <c r="T1044" i="16"/>
  <c r="T1193" i="16"/>
  <c r="T563" i="16"/>
  <c r="T1633" i="16"/>
  <c r="T234" i="16"/>
  <c r="T553" i="16"/>
  <c r="T345" i="16"/>
  <c r="T647" i="16"/>
  <c r="T717" i="16"/>
  <c r="T2193" i="16"/>
  <c r="T186" i="16"/>
  <c r="T513" i="16"/>
  <c r="T1353" i="16"/>
  <c r="T614" i="16"/>
  <c r="T416" i="16"/>
  <c r="T746" i="16"/>
  <c r="T1829" i="16"/>
  <c r="T517" i="16"/>
  <c r="T578" i="16"/>
  <c r="T1423" i="16"/>
  <c r="T2095" i="16"/>
  <c r="T30" i="16"/>
  <c r="T2257" i="16"/>
  <c r="T869" i="16"/>
  <c r="T1310" i="16"/>
  <c r="T719" i="16"/>
  <c r="T2199" i="16"/>
  <c r="T187" i="16"/>
  <c r="T2207" i="16"/>
  <c r="T881" i="16"/>
  <c r="T736" i="16"/>
  <c r="T1877" i="16"/>
  <c r="T10" i="16"/>
  <c r="T2313" i="16"/>
  <c r="T379" i="16"/>
  <c r="T1959" i="16"/>
  <c r="T1269" i="16"/>
  <c r="T1919" i="16"/>
  <c r="T754" i="16"/>
  <c r="T952" i="16"/>
  <c r="T1626" i="16"/>
  <c r="T1448" i="16"/>
  <c r="T2094" i="16"/>
  <c r="T1250" i="16"/>
  <c r="T2242" i="16"/>
  <c r="T509" i="16"/>
  <c r="T608" i="16"/>
  <c r="T1102" i="16"/>
  <c r="T1813" i="16"/>
  <c r="T800" i="16"/>
  <c r="T1717" i="16"/>
  <c r="T2080" i="16"/>
  <c r="T157" i="16"/>
  <c r="T168" i="16"/>
  <c r="T399" i="16"/>
  <c r="T209" i="16"/>
  <c r="T40" i="16"/>
  <c r="T1499" i="16"/>
  <c r="T264" i="16"/>
  <c r="T879" i="16"/>
  <c r="T2325" i="16"/>
  <c r="T2075" i="16"/>
  <c r="T1836" i="16"/>
  <c r="T619" i="16"/>
  <c r="T988" i="16"/>
  <c r="T251" i="16"/>
  <c r="T2277" i="16"/>
  <c r="T256" i="16"/>
  <c r="T373" i="16"/>
  <c r="T2093" i="16"/>
  <c r="T1418" i="16"/>
  <c r="T1045" i="16"/>
  <c r="T1010" i="16"/>
  <c r="T887" i="16"/>
  <c r="T810" i="16"/>
  <c r="T1771" i="16"/>
  <c r="T208" i="16"/>
  <c r="T1750" i="16"/>
  <c r="T339" i="16"/>
  <c r="T1384" i="16"/>
  <c r="T846" i="16"/>
  <c r="T2033" i="16"/>
  <c r="T1217" i="16"/>
  <c r="T1665" i="16"/>
  <c r="T2284" i="16"/>
  <c r="T1678" i="16"/>
  <c r="T297" i="16"/>
  <c r="T1462" i="16"/>
  <c r="T2002" i="16"/>
  <c r="T1240" i="16"/>
  <c r="T2232" i="16"/>
  <c r="T1059" i="16"/>
  <c r="T2223" i="16"/>
  <c r="T105" i="16"/>
  <c r="T566" i="16"/>
  <c r="T855" i="16"/>
  <c r="T303" i="16"/>
  <c r="T2211" i="16"/>
  <c r="T715" i="16"/>
  <c r="T1169" i="16"/>
  <c r="T1582" i="16"/>
  <c r="T15" i="16"/>
  <c r="T2315" i="16"/>
  <c r="T2054" i="16"/>
  <c r="T42" i="16"/>
  <c r="T1375" i="16"/>
  <c r="T2121" i="16"/>
  <c r="T1658" i="16"/>
  <c r="T1458" i="16"/>
  <c r="T2127" i="16"/>
  <c r="T1101" i="16"/>
  <c r="T98" i="16"/>
  <c r="T2333" i="16"/>
  <c r="T1150" i="16"/>
  <c r="T138" i="16"/>
  <c r="T2303" i="16"/>
  <c r="T1132" i="16"/>
  <c r="T1374" i="16"/>
  <c r="T1904" i="16"/>
  <c r="T2196" i="16"/>
  <c r="T1532" i="16"/>
  <c r="T1079" i="16"/>
  <c r="T397" i="16"/>
  <c r="T1023" i="16"/>
  <c r="T1827" i="16"/>
  <c r="T407" i="16"/>
  <c r="T294" i="16"/>
  <c r="T1385" i="16"/>
  <c r="T1823" i="16"/>
  <c r="T926" i="16"/>
  <c r="T818" i="16"/>
  <c r="T1146" i="16"/>
  <c r="T2081" i="16"/>
  <c r="T2077" i="16"/>
  <c r="T684" i="16"/>
  <c r="T124" i="16"/>
  <c r="T595" i="16"/>
  <c r="T805" i="16"/>
  <c r="T929" i="16"/>
  <c r="T20" i="16"/>
  <c r="T599" i="16"/>
  <c r="T1071" i="16"/>
  <c r="T1565" i="16"/>
  <c r="T900" i="16"/>
  <c r="T1018" i="16"/>
  <c r="T1820" i="16"/>
  <c r="T1547" i="16"/>
  <c r="T1164" i="16"/>
  <c r="T2089" i="16"/>
  <c r="T2151" i="16"/>
  <c r="T1960" i="16"/>
  <c r="T305" i="16"/>
  <c r="T885" i="16"/>
  <c r="T531" i="16"/>
  <c r="T1245" i="16"/>
  <c r="T429" i="16"/>
  <c r="T1050" i="16"/>
  <c r="T592" i="16"/>
  <c r="T661" i="16"/>
  <c r="T1257" i="16"/>
  <c r="T1087" i="16"/>
  <c r="T2084" i="16"/>
  <c r="T175" i="16"/>
  <c r="T1427" i="16"/>
  <c r="T1887" i="16"/>
  <c r="T1998" i="16"/>
  <c r="T181" i="16"/>
  <c r="T2117" i="16"/>
  <c r="T1548" i="16"/>
  <c r="T114" i="16"/>
  <c r="T1673" i="16"/>
  <c r="T1891" i="16"/>
  <c r="T2296" i="16"/>
  <c r="T380" i="16"/>
  <c r="T1757" i="16"/>
  <c r="T1786" i="16"/>
  <c r="T123" i="16"/>
  <c r="T2036" i="16"/>
  <c r="T1604" i="16"/>
  <c r="T1650" i="16"/>
  <c r="T1495" i="16"/>
  <c r="T1943" i="16"/>
  <c r="T980" i="16"/>
  <c r="T1632" i="16"/>
  <c r="T518" i="16"/>
  <c r="T125" i="16"/>
  <c r="T651" i="16"/>
  <c r="T919" i="16"/>
  <c r="T177" i="16"/>
  <c r="T673" i="16"/>
  <c r="T1043" i="16"/>
  <c r="T878" i="16"/>
  <c r="T2021" i="16"/>
  <c r="T2322" i="16"/>
  <c r="T670" i="16"/>
  <c r="T1972" i="16"/>
  <c r="T2292" i="16"/>
  <c r="T1214" i="16"/>
  <c r="T1782" i="16"/>
  <c r="T1337" i="16"/>
  <c r="T2072" i="16"/>
  <c r="T732" i="16"/>
  <c r="T1942" i="16"/>
  <c r="T1461" i="16"/>
  <c r="T1766" i="16"/>
  <c r="T610" i="16"/>
  <c r="T1463" i="16"/>
  <c r="T1728" i="16"/>
  <c r="T2222" i="16"/>
  <c r="T889" i="16"/>
  <c r="T565" i="16"/>
  <c r="T2071" i="16"/>
  <c r="T302" i="16"/>
  <c r="T555" i="16"/>
  <c r="T1413" i="16"/>
  <c r="T1769" i="16"/>
  <c r="T247" i="16"/>
  <c r="T993" i="16"/>
  <c r="T151" i="16"/>
  <c r="T1069" i="16"/>
  <c r="T757" i="16"/>
  <c r="T1506" i="16"/>
  <c r="T1254" i="16"/>
  <c r="T67" i="16"/>
  <c r="T1189" i="16"/>
  <c r="T1666" i="16"/>
  <c r="T1913" i="16"/>
  <c r="T973" i="16"/>
  <c r="T841" i="16"/>
  <c r="T2253" i="16"/>
  <c r="T2169" i="16"/>
  <c r="T871" i="16"/>
  <c r="T1599" i="16"/>
  <c r="T1165" i="16"/>
  <c r="T2224" i="16"/>
  <c r="T1841" i="16"/>
  <c r="T1638" i="16"/>
  <c r="T856" i="16"/>
  <c r="T1628" i="16"/>
  <c r="T1920" i="16"/>
  <c r="T1395" i="16"/>
  <c r="T1668" i="16"/>
  <c r="T1839" i="16"/>
  <c r="T2301" i="16"/>
  <c r="T1697" i="16"/>
  <c r="T1969" i="16"/>
  <c r="T2280" i="16"/>
  <c r="T2126" i="16"/>
  <c r="T2076" i="16"/>
  <c r="T275" i="16"/>
  <c r="T362" i="16"/>
  <c r="T1579" i="16"/>
  <c r="T771" i="16"/>
  <c r="T568" i="16"/>
  <c r="T1722" i="16"/>
  <c r="T343" i="16"/>
  <c r="T396" i="16"/>
  <c r="T338" i="16"/>
  <c r="T24" i="16"/>
  <c r="T2204" i="16"/>
  <c r="T1712" i="16"/>
  <c r="T2092" i="16"/>
  <c r="T2145" i="16"/>
  <c r="T2309" i="16"/>
  <c r="T1700" i="16"/>
  <c r="T2144" i="16"/>
  <c r="T1696" i="16"/>
  <c r="T978" i="16"/>
  <c r="T410" i="16"/>
  <c r="T192" i="16"/>
  <c r="T637" i="16"/>
  <c r="T2249" i="16"/>
  <c r="T939" i="16"/>
  <c r="T504" i="16"/>
  <c r="T1611" i="16"/>
  <c r="T1866" i="16"/>
  <c r="T1923" i="16"/>
  <c r="T41" i="16"/>
  <c r="T1546" i="16"/>
  <c r="T2091" i="16"/>
  <c r="T197" i="16"/>
  <c r="T602" i="16"/>
  <c r="T1072" i="16"/>
  <c r="T393" i="16"/>
  <c r="T1402" i="16"/>
  <c r="T1324" i="16"/>
  <c r="T1500" i="16"/>
  <c r="T1234" i="16"/>
  <c r="T834" i="16"/>
  <c r="T606" i="16"/>
  <c r="T498" i="16"/>
  <c r="T78" i="16"/>
  <c r="T1509" i="16"/>
  <c r="T2011" i="16"/>
  <c r="T1785" i="16"/>
  <c r="T88" i="16"/>
  <c r="T249" i="16"/>
  <c r="T1902" i="16"/>
  <c r="T1273" i="16"/>
  <c r="T1080" i="16"/>
  <c r="T225" i="16"/>
  <c r="T1540" i="16"/>
  <c r="T144" i="16"/>
  <c r="T694" i="16"/>
  <c r="T925" i="16"/>
  <c r="T417" i="16"/>
  <c r="T914" i="16"/>
  <c r="T2170" i="16"/>
  <c r="T2146" i="16"/>
  <c r="T854" i="16"/>
  <c r="T361" i="16"/>
  <c r="T1589" i="16"/>
  <c r="T1888" i="16"/>
  <c r="T679" i="16"/>
  <c r="T1727" i="16"/>
  <c r="T683" i="16"/>
  <c r="T8" i="16"/>
  <c r="T586" i="16"/>
  <c r="T2210" i="16"/>
  <c r="T204" i="16"/>
  <c r="T1152" i="16"/>
  <c r="T984" i="16"/>
  <c r="T899" i="16"/>
  <c r="T1017" i="16"/>
  <c r="T139" i="16"/>
  <c r="T2252" i="16"/>
  <c r="T1328" i="16"/>
  <c r="T1046" i="16"/>
  <c r="T1247" i="16"/>
  <c r="T56" i="16"/>
  <c r="T621" i="16"/>
  <c r="T64" i="16"/>
  <c r="T521" i="16"/>
  <c r="T1734" i="16"/>
  <c r="T1622" i="16"/>
  <c r="T1191" i="16"/>
  <c r="T1096" i="16"/>
  <c r="T1398" i="16"/>
  <c r="T2178" i="16"/>
  <c r="T392" i="16"/>
  <c r="T1878" i="16"/>
  <c r="T2177" i="16"/>
  <c r="T1436" i="16"/>
  <c r="T1648" i="16"/>
  <c r="T2023" i="16"/>
  <c r="T580" i="16"/>
  <c r="T2297" i="16"/>
  <c r="T1860" i="16"/>
  <c r="T1216" i="16"/>
  <c r="T1580" i="16"/>
  <c r="T2327" i="16"/>
  <c r="T2283" i="16"/>
  <c r="T1686" i="16"/>
  <c r="T1290" i="16"/>
  <c r="T306" i="16"/>
  <c r="T1239" i="16"/>
  <c r="T2148" i="16"/>
  <c r="T2061" i="16"/>
  <c r="T1332" i="16"/>
  <c r="T1074" i="16"/>
  <c r="T57" i="16"/>
  <c r="T1821" i="16"/>
  <c r="T744" i="16"/>
  <c r="T1438" i="16"/>
  <c r="T546" i="16"/>
  <c r="T916" i="16"/>
  <c r="T2014" i="16"/>
  <c r="T444" i="16"/>
  <c r="T499" i="16"/>
  <c r="T1997" i="16"/>
  <c r="T640" i="16"/>
  <c r="T1524" i="16"/>
  <c r="T2291" i="16"/>
  <c r="T1889" i="16"/>
  <c r="T2331" i="16"/>
  <c r="T2049" i="16"/>
  <c r="T1507" i="16"/>
  <c r="T927" i="16"/>
  <c r="T1266" i="16"/>
  <c r="T1875" i="16"/>
  <c r="T39" i="16"/>
  <c r="T1991" i="16"/>
  <c r="T2158" i="16"/>
  <c r="T961" i="16"/>
  <c r="T1004" i="16"/>
  <c r="T190" i="16"/>
  <c r="T145" i="16"/>
  <c r="T505" i="16"/>
  <c r="T723" i="16"/>
  <c r="T199" i="16"/>
  <c r="T1267" i="16"/>
  <c r="T1425" i="16"/>
  <c r="T1775" i="16"/>
  <c r="T2254" i="16"/>
  <c r="T2163" i="16"/>
  <c r="T1176" i="16"/>
  <c r="T311" i="16"/>
  <c r="T1988" i="16"/>
  <c r="T778" i="16"/>
  <c r="T590" i="16"/>
  <c r="T390" i="16"/>
  <c r="T2206" i="16"/>
  <c r="T2312" i="16"/>
  <c r="T2287" i="16"/>
  <c r="T2097" i="16"/>
  <c r="T237" i="16"/>
  <c r="T1778" i="16"/>
  <c r="T394" i="16"/>
  <c r="T2096" i="16"/>
  <c r="T344" i="16"/>
  <c r="T240" i="16"/>
  <c r="T654" i="16"/>
  <c r="T903" i="16"/>
  <c r="T1104" i="16"/>
  <c r="T1431" i="16"/>
  <c r="T730" i="16"/>
  <c r="T65" i="16"/>
  <c r="T2234" i="16"/>
  <c r="T389" i="16"/>
  <c r="T616" i="16"/>
  <c r="T210" i="16"/>
  <c r="T1951" i="16"/>
  <c r="T1706" i="16"/>
  <c r="T1089" i="16"/>
  <c r="T593" i="16"/>
  <c r="T354" i="16"/>
  <c r="T11" i="16"/>
  <c r="T1264" i="16"/>
  <c r="T1843" i="16"/>
  <c r="T964" i="16"/>
  <c r="T780" i="16"/>
  <c r="T2152" i="16"/>
  <c r="T1781" i="16"/>
  <c r="T255" i="16"/>
  <c r="T2243" i="16"/>
  <c r="T2029" i="16"/>
  <c r="T1237" i="16"/>
  <c r="T59" i="16"/>
  <c r="T52" i="16"/>
  <c r="T81" i="16"/>
  <c r="T1007" i="16"/>
  <c r="T212" i="16"/>
  <c r="T882" i="16"/>
  <c r="T2248" i="16"/>
  <c r="T2227" i="16"/>
  <c r="T312" i="16"/>
  <c r="T193" i="16"/>
  <c r="T1047" i="16"/>
  <c r="T1571" i="16"/>
  <c r="T1174" i="16"/>
  <c r="T739" i="16"/>
  <c r="T641" i="16"/>
  <c r="T1894" i="16"/>
  <c r="T2066" i="16"/>
  <c r="T2149" i="16"/>
  <c r="T851" i="16"/>
  <c r="T1442" i="16"/>
  <c r="T2118" i="16"/>
  <c r="T2039" i="16"/>
  <c r="T1759" i="16"/>
  <c r="T613" i="16"/>
  <c r="T353" i="16"/>
  <c r="T1880" i="16"/>
  <c r="T378" i="16"/>
  <c r="T418" i="16"/>
  <c r="T510" i="16"/>
  <c r="T2056" i="16"/>
  <c r="T2038" i="16"/>
  <c r="T184" i="16"/>
  <c r="T917" i="16"/>
  <c r="T1205" i="16"/>
  <c r="T850" i="16"/>
  <c r="T718" i="16"/>
  <c r="T419" i="16"/>
  <c r="T2003" i="16"/>
  <c r="T2236" i="16"/>
  <c r="T1754" i="16"/>
  <c r="T421" i="16"/>
  <c r="T875" i="16"/>
  <c r="T847" i="16"/>
  <c r="T1268" i="16"/>
  <c r="T352" i="16"/>
  <c r="T737" i="16"/>
  <c r="T848" i="16"/>
  <c r="T1584" i="16"/>
  <c r="T165" i="16"/>
  <c r="T1528" i="16"/>
  <c r="T1187" i="16"/>
  <c r="T1183" i="16"/>
  <c r="T2314" i="16"/>
  <c r="T333" i="16"/>
  <c r="T1288" i="16"/>
  <c r="T712" i="16"/>
  <c r="T423" i="16"/>
  <c r="T489" i="16"/>
  <c r="T676" i="16"/>
  <c r="T535" i="16"/>
  <c r="T1952" i="16"/>
  <c r="T2286" i="16"/>
  <c r="T1233" i="16"/>
  <c r="T1996" i="16"/>
  <c r="T1221" i="16"/>
  <c r="T1716" i="16"/>
  <c r="T1656" i="16"/>
  <c r="T1620" i="16"/>
  <c r="T409" i="16"/>
  <c r="T938" i="16"/>
  <c r="T434" i="16"/>
  <c r="T239" i="16"/>
  <c r="T966" i="16"/>
  <c r="T902" i="16"/>
  <c r="T1181" i="16"/>
  <c r="T229" i="16"/>
  <c r="T172" i="16"/>
  <c r="T467" i="16"/>
  <c r="T1971" i="16"/>
  <c r="T1539" i="16"/>
  <c r="T194" i="16"/>
  <c r="T1026" i="16"/>
  <c r="T1036" i="16"/>
  <c r="T263" i="16"/>
  <c r="T609" i="16"/>
  <c r="T1896" i="16"/>
  <c r="T391" i="16"/>
  <c r="T2008" i="16"/>
  <c r="T1455" i="16"/>
  <c r="T1805" i="16"/>
  <c r="T1687" i="16"/>
  <c r="T149" i="16"/>
  <c r="T1531" i="16"/>
  <c r="T1238" i="16"/>
  <c r="T1515" i="16"/>
  <c r="T2141" i="16"/>
  <c r="T420" i="16"/>
  <c r="T2263" i="16"/>
  <c r="T708" i="16"/>
  <c r="T701" i="16"/>
  <c r="T1730" i="16"/>
  <c r="T243" i="16"/>
  <c r="T465" i="16"/>
  <c r="T470" i="16"/>
  <c r="T85" i="16"/>
  <c r="T2274" i="16"/>
  <c r="T852" i="16"/>
  <c r="T913" i="16"/>
  <c r="T1379" i="16"/>
  <c r="T1057" i="16"/>
  <c r="T1186" i="16"/>
  <c r="T1182" i="16"/>
  <c r="T1855" i="16"/>
  <c r="T2027" i="16"/>
  <c r="T346" i="16"/>
  <c r="T486" i="16"/>
  <c r="T751" i="16"/>
  <c r="T1459" i="16"/>
  <c r="T1362" i="16"/>
  <c r="T1005" i="16"/>
  <c r="T1131" i="16"/>
  <c r="T1502" i="16"/>
  <c r="T1674" i="16"/>
  <c r="T131" i="16"/>
  <c r="T2125" i="16"/>
  <c r="T1371" i="16"/>
  <c r="T1218" i="16"/>
  <c r="T1185" i="16"/>
  <c r="T2065" i="16"/>
  <c r="T1961" i="16"/>
  <c r="T1688" i="16"/>
  <c r="T274" i="16"/>
  <c r="T224" i="16"/>
  <c r="T807" i="16"/>
  <c r="T142" i="16"/>
  <c r="T2020" i="16"/>
  <c r="T2013" i="16"/>
  <c r="T377" i="16"/>
  <c r="T1824" i="16"/>
  <c r="T1297" i="16"/>
  <c r="T463" i="16"/>
  <c r="T137" i="16"/>
  <c r="T2220" i="16"/>
  <c r="T1370" i="16"/>
  <c r="T1274" i="16"/>
  <c r="T425" i="16"/>
  <c r="T677" i="16"/>
  <c r="T1322" i="16"/>
  <c r="T1917" i="16"/>
  <c r="T880" i="16"/>
  <c r="T1529" i="16"/>
  <c r="T624" i="16"/>
  <c r="T1452" i="16"/>
  <c r="T1482" i="16"/>
  <c r="T824" i="16"/>
  <c r="T2147" i="16"/>
  <c r="T334" i="16"/>
  <c r="T1411" i="16"/>
  <c r="T659" i="16"/>
  <c r="T996" i="16"/>
  <c r="T1643" i="16"/>
  <c r="T357" i="16"/>
  <c r="T1897" i="16"/>
  <c r="T2155" i="16"/>
  <c r="T652" i="16"/>
  <c r="T2015" i="16"/>
  <c r="T2188" i="16"/>
  <c r="T284" i="16"/>
  <c r="T1107" i="16"/>
  <c r="T1303" i="16"/>
  <c r="T936" i="16"/>
  <c r="T1317" i="16"/>
  <c r="T1282" i="16"/>
  <c r="T132" i="16"/>
  <c r="T349" i="16"/>
  <c r="T501" i="16"/>
  <c r="T923" i="16"/>
  <c r="T769" i="16"/>
  <c r="T2079" i="16"/>
  <c r="T2115" i="16"/>
  <c r="T475" i="16"/>
  <c r="T1850" i="16"/>
  <c r="T1542" i="16"/>
  <c r="T1253" i="16"/>
  <c r="T1642" i="16"/>
  <c r="T1367" i="16"/>
  <c r="T360" i="16"/>
  <c r="T450" i="16"/>
  <c r="T524" i="16"/>
  <c r="T2005" i="16"/>
  <c r="T2101" i="16"/>
  <c r="T60" i="16"/>
  <c r="T762" i="16"/>
  <c r="T779" i="16"/>
  <c r="T17" i="16"/>
  <c r="T1605" i="16"/>
  <c r="T1108" i="16"/>
  <c r="T970" i="16"/>
  <c r="T79" i="16"/>
  <c r="T287" i="16"/>
  <c r="T969" i="16"/>
  <c r="T1251" i="16"/>
  <c r="T1739" i="16"/>
  <c r="T1300" i="16"/>
  <c r="T1368" i="16"/>
  <c r="T1231" i="16"/>
  <c r="T583" i="16"/>
  <c r="T319" i="16"/>
  <c r="T1271" i="16"/>
  <c r="T1293" i="16"/>
  <c r="T1538" i="16"/>
  <c r="T1366" i="16"/>
  <c r="T1263" i="16"/>
  <c r="T160" i="16"/>
  <c r="T588" i="16"/>
  <c r="T1731" i="16"/>
  <c r="T235" i="16"/>
  <c r="T266" i="16"/>
  <c r="T768" i="16"/>
  <c r="T286" i="16"/>
  <c r="T236" i="16"/>
  <c r="T1139" i="16"/>
  <c r="T400" i="16"/>
  <c r="T747" i="16"/>
  <c r="T1615" i="16"/>
  <c r="T1627" i="16"/>
  <c r="T1647" i="16"/>
  <c r="T1316" i="16"/>
  <c r="T461" i="16"/>
  <c r="T1475" i="16"/>
  <c r="T1377" i="16"/>
  <c r="T118" i="16"/>
  <c r="T2182" i="16"/>
  <c r="T1494" i="16"/>
  <c r="T612" i="16"/>
  <c r="T1295" i="16"/>
  <c r="T270" i="16"/>
  <c r="T1581" i="16"/>
  <c r="T1228" i="16"/>
  <c r="T2074" i="16"/>
  <c r="T1105" i="16"/>
  <c r="T2103" i="16"/>
  <c r="T161" i="16"/>
  <c r="T1523" i="16"/>
  <c r="T1001" i="16"/>
  <c r="T962" i="16"/>
  <c r="T1338" i="16"/>
  <c r="T1555" i="16"/>
  <c r="T1141" i="16"/>
  <c r="T932" i="16"/>
  <c r="T93" i="16"/>
  <c r="T1577" i="16"/>
  <c r="T1302" i="16"/>
  <c r="T761" i="16"/>
  <c r="T2022" i="16"/>
  <c r="T2064" i="16"/>
  <c r="T1194" i="16"/>
  <c r="T1934" i="16"/>
  <c r="T2187" i="16"/>
  <c r="T549" i="16"/>
  <c r="T786" i="16"/>
  <c r="T765" i="16"/>
  <c r="T1137" i="16"/>
  <c r="T1135" i="16"/>
  <c r="T1708" i="16"/>
  <c r="T454" i="16"/>
  <c r="T2006" i="16"/>
  <c r="T2059" i="16"/>
  <c r="T1484" i="16"/>
  <c r="T691" i="16"/>
  <c r="T1477" i="16"/>
  <c r="T598" i="16"/>
  <c r="T2183" i="16"/>
  <c r="T1474" i="16"/>
  <c r="T1258" i="16"/>
  <c r="T1986" i="16"/>
  <c r="T1167" i="16"/>
  <c r="T1345" i="16"/>
  <c r="T1575" i="16"/>
  <c r="T462" i="16"/>
  <c r="T386" i="16"/>
  <c r="T1416" i="16"/>
  <c r="T1352" i="16"/>
  <c r="T1740" i="16"/>
  <c r="T705" i="16"/>
  <c r="T720" i="16"/>
  <c r="T1573" i="16"/>
  <c r="T1435" i="16"/>
  <c r="T387" i="16"/>
  <c r="T2057" i="16"/>
  <c r="T1861" i="16"/>
  <c r="T734" i="16"/>
  <c r="T896" i="16"/>
  <c r="T2001" i="16"/>
  <c r="T321" i="16"/>
  <c r="T1242" i="16"/>
  <c r="T154" i="16"/>
  <c r="T1283" i="16"/>
  <c r="T1032" i="16"/>
  <c r="T1560" i="16"/>
  <c r="T680" i="16"/>
  <c r="T643" i="16"/>
  <c r="T1440" i="16"/>
  <c r="T573" i="16"/>
  <c r="T1441" i="16"/>
  <c r="T2004" i="16"/>
  <c r="T398" i="16"/>
  <c r="T1603" i="16"/>
  <c r="T1321" i="16"/>
  <c r="T2184" i="16"/>
  <c r="T1261" i="16"/>
  <c r="T655" i="16"/>
  <c r="T271" i="16"/>
  <c r="T1138" i="16"/>
  <c r="T1645" i="16"/>
  <c r="T1065" i="16"/>
  <c r="T1486" i="16"/>
  <c r="T495" i="16"/>
  <c r="T112" i="16"/>
  <c r="T1576" i="16"/>
  <c r="T635" i="16"/>
  <c r="T1064" i="16"/>
  <c r="T452" i="16"/>
  <c r="T2107" i="16"/>
  <c r="T155" i="16"/>
  <c r="T597" i="16"/>
  <c r="T27" i="16"/>
  <c r="T1281" i="16"/>
  <c r="T1535" i="16"/>
  <c r="T890" i="16"/>
  <c r="T1118" i="16"/>
  <c r="T551" i="16"/>
  <c r="T947" i="16"/>
  <c r="T1481" i="16"/>
  <c r="T265" i="16"/>
  <c r="Q1262" i="16"/>
  <c r="N1588" i="16"/>
  <c r="N160" i="16"/>
  <c r="Q1352" i="16"/>
  <c r="Q477" i="16"/>
  <c r="N1285" i="16"/>
  <c r="N947" i="16"/>
  <c r="N328" i="16"/>
  <c r="N762" i="16"/>
  <c r="N284" i="16"/>
  <c r="N652" i="16"/>
  <c r="N1731" i="16"/>
  <c r="Q385" i="16"/>
  <c r="N716" i="16"/>
  <c r="N1138" i="16"/>
  <c r="Q366" i="16"/>
  <c r="Q1109" i="16"/>
  <c r="Q1479" i="16"/>
  <c r="Q1751" i="16"/>
  <c r="N1487" i="16"/>
  <c r="N769" i="16"/>
  <c r="Q1474" i="16"/>
  <c r="Q1680" i="16"/>
  <c r="Q295" i="16"/>
  <c r="Q1055" i="16"/>
  <c r="Q488" i="16"/>
  <c r="Q335" i="16"/>
  <c r="N1219" i="16"/>
  <c r="N1581" i="16"/>
  <c r="N1283" i="16"/>
  <c r="N27" i="16"/>
  <c r="Q1473" i="16"/>
  <c r="N1351" i="16"/>
  <c r="N894" i="16"/>
  <c r="Q236" i="16"/>
  <c r="Q1486" i="16"/>
  <c r="N358" i="16"/>
  <c r="Q1967" i="16"/>
  <c r="Q1536" i="16"/>
  <c r="Q1603" i="16"/>
  <c r="Q1864" i="16"/>
  <c r="N1194" i="16"/>
  <c r="Q1568" i="16"/>
  <c r="Q1341" i="16"/>
  <c r="N1433" i="16"/>
  <c r="N1643" i="16"/>
  <c r="N60" i="16"/>
  <c r="N588" i="16"/>
  <c r="N532" i="16"/>
  <c r="Q589" i="16"/>
  <c r="Q1222" i="16"/>
  <c r="N2106" i="16"/>
  <c r="N2074" i="16"/>
  <c r="Q1542" i="16"/>
  <c r="Q1732" i="16"/>
  <c r="Q1857" i="16"/>
  <c r="N1342" i="16"/>
  <c r="N893" i="16"/>
  <c r="Q1067" i="16"/>
  <c r="N1115" i="16"/>
  <c r="Q232" i="16"/>
  <c r="Q2103" i="16"/>
  <c r="N1202" i="16"/>
  <c r="N2124" i="16"/>
  <c r="Q766" i="16"/>
  <c r="N1200" i="16"/>
  <c r="N1534" i="16"/>
  <c r="Q1992" i="16"/>
  <c r="Q756" i="16"/>
  <c r="N997" i="16"/>
  <c r="N1271" i="16"/>
  <c r="N1320" i="16"/>
  <c r="N560" i="16"/>
  <c r="N370" i="16"/>
  <c r="Q748" i="16"/>
  <c r="Q1519" i="16"/>
  <c r="N1082" i="16"/>
  <c r="Q999" i="16"/>
  <c r="Q2068" i="16"/>
  <c r="N269" i="16"/>
  <c r="N2188" i="16"/>
  <c r="Q1538" i="16"/>
  <c r="Q200" i="16"/>
  <c r="N612" i="16"/>
  <c r="Q318" i="16"/>
  <c r="Q2112" i="16"/>
  <c r="N1587" i="16"/>
  <c r="N332" i="16"/>
  <c r="Q1295" i="16"/>
  <c r="Q1851" i="16"/>
  <c r="Q1614" i="16"/>
  <c r="N982" i="16"/>
  <c r="Q2005" i="16"/>
  <c r="Q2155" i="16"/>
  <c r="N200" i="16"/>
  <c r="N118" i="16"/>
  <c r="Q1956" i="16"/>
  <c r="N1711" i="16"/>
  <c r="N942" i="16"/>
  <c r="N288" i="16"/>
  <c r="Q279" i="16"/>
  <c r="Q93" i="16"/>
  <c r="Q296" i="16"/>
  <c r="Q347" i="16"/>
  <c r="Q1128" i="16"/>
  <c r="Q1575" i="16"/>
  <c r="N1861" i="16"/>
  <c r="N660" i="16"/>
  <c r="N2004" i="16"/>
  <c r="N1863" i="16"/>
  <c r="Q1180" i="16"/>
  <c r="Q154" i="16"/>
  <c r="N1440" i="16"/>
  <c r="N1946" i="16"/>
  <c r="N2103" i="16"/>
  <c r="N163" i="16"/>
  <c r="Q1810" i="16"/>
  <c r="N79" i="16"/>
  <c r="N1645" i="16"/>
  <c r="N1261" i="16"/>
  <c r="N1055" i="16"/>
  <c r="Q896" i="16"/>
  <c r="N221" i="16"/>
  <c r="N923" i="16"/>
  <c r="Q1306" i="16"/>
  <c r="N970" i="16"/>
  <c r="N693" i="16"/>
  <c r="Q1934" i="16"/>
  <c r="N61" i="16"/>
  <c r="Q92" i="16"/>
  <c r="Q1962" i="16"/>
  <c r="Q1284" i="16"/>
  <c r="N896" i="16"/>
  <c r="Q556" i="16"/>
  <c r="Q1299" i="16"/>
  <c r="N1009" i="16"/>
  <c r="Q652" i="16"/>
  <c r="N768" i="16"/>
  <c r="N1707" i="16"/>
  <c r="Q788" i="16"/>
  <c r="N1321" i="16"/>
  <c r="Q310" i="16"/>
  <c r="Q1236" i="16"/>
  <c r="Q162" i="16"/>
  <c r="Q461" i="16"/>
  <c r="Q360" i="16"/>
  <c r="Q804" i="16"/>
  <c r="N838" i="16"/>
  <c r="Q368" i="16"/>
  <c r="N2167" i="16"/>
  <c r="Q1364" i="16"/>
  <c r="Q1890" i="16"/>
  <c r="N461" i="16"/>
  <c r="N1167" i="16"/>
  <c r="N941" i="16"/>
  <c r="N1739" i="16"/>
  <c r="Q588" i="16"/>
  <c r="N295" i="16"/>
  <c r="N487" i="16"/>
  <c r="N921" i="16"/>
  <c r="Q371" i="16"/>
  <c r="N1986" i="16"/>
  <c r="N1486" i="16"/>
  <c r="N1475" i="16"/>
  <c r="Q1534" i="16"/>
  <c r="Q1197" i="16"/>
  <c r="N944" i="16"/>
  <c r="Q573" i="16"/>
  <c r="Q349" i="16"/>
  <c r="N806" i="16"/>
  <c r="Q634" i="16"/>
  <c r="N1478" i="16"/>
  <c r="Q1480" i="16"/>
  <c r="Q1200" i="16"/>
  <c r="N359" i="16"/>
  <c r="N459" i="16"/>
  <c r="N1090" i="16"/>
  <c r="Q995" i="16"/>
  <c r="N1235" i="16"/>
  <c r="N1226" i="16"/>
  <c r="Q693" i="16"/>
  <c r="N1068" i="16"/>
  <c r="N1480" i="16"/>
  <c r="Q1261" i="16"/>
  <c r="N1140" i="16"/>
  <c r="N527" i="16"/>
  <c r="N891" i="16"/>
  <c r="Q1348" i="16"/>
  <c r="N1347" i="16"/>
  <c r="Q747" i="16"/>
  <c r="Q611" i="16"/>
  <c r="N462" i="16"/>
  <c r="Q1199" i="16"/>
  <c r="N375" i="16"/>
  <c r="Q2183" i="16"/>
  <c r="Q76" i="16"/>
  <c r="N161" i="16"/>
  <c r="N665" i="16"/>
  <c r="N512" i="16"/>
  <c r="Q1560" i="16"/>
  <c r="Q332" i="16"/>
  <c r="N2057" i="16"/>
  <c r="N298" i="16"/>
  <c r="Q1368" i="16"/>
  <c r="Q205" i="16"/>
  <c r="N727" i="16"/>
  <c r="N1349" i="16"/>
  <c r="Q235" i="16"/>
  <c r="N1001" i="16"/>
  <c r="N1606" i="16"/>
  <c r="N267" i="16"/>
  <c r="Q839" i="16"/>
  <c r="Q2064" i="16"/>
  <c r="N1123" i="16"/>
  <c r="Q1139" i="16"/>
  <c r="N1644" i="16"/>
  <c r="Q259" i="16"/>
  <c r="Q2022" i="16"/>
  <c r="Q943" i="16"/>
  <c r="Q1441" i="16"/>
  <c r="Q265" i="16"/>
  <c r="N1679" i="16"/>
  <c r="Q1083" i="16"/>
  <c r="Q31" i="16"/>
  <c r="N478" i="16"/>
  <c r="Q572" i="16"/>
  <c r="N93" i="16"/>
  <c r="N350" i="16"/>
  <c r="N963" i="16"/>
  <c r="Q1263" i="16"/>
  <c r="N330" i="16"/>
  <c r="N2088" i="16"/>
  <c r="Q114" i="16"/>
  <c r="Q1505" i="16"/>
  <c r="Q555" i="16"/>
  <c r="Q151" i="16"/>
  <c r="Q2116" i="16"/>
  <c r="Q1944" i="16"/>
  <c r="Q681" i="16"/>
  <c r="Q261" i="16"/>
  <c r="Q383" i="16"/>
  <c r="Q889" i="16"/>
  <c r="Q40" i="16"/>
  <c r="Q1069" i="16"/>
  <c r="Q1229" i="16"/>
  <c r="Q1631" i="16"/>
  <c r="Q2136" i="16"/>
  <c r="Q88" i="16"/>
  <c r="Q503" i="16"/>
  <c r="Q557" i="16"/>
  <c r="Q264" i="16"/>
  <c r="Q2027" i="16"/>
  <c r="Q2127" i="16"/>
  <c r="Q246" i="16"/>
  <c r="Q1626" i="16"/>
  <c r="Q1571" i="16"/>
  <c r="Q365" i="16"/>
  <c r="Q1619" i="16"/>
  <c r="Q2000" i="16"/>
  <c r="Q307" i="16"/>
  <c r="Q489" i="16"/>
  <c r="Q2243" i="16"/>
  <c r="Q2077" i="16"/>
  <c r="Q1847" i="16"/>
  <c r="Q1354" i="16"/>
  <c r="Q581" i="16"/>
  <c r="Q199" i="16"/>
  <c r="Q2092" i="16"/>
  <c r="Q1936" i="16"/>
  <c r="Q564" i="16"/>
  <c r="Q1744" i="16"/>
  <c r="Q2279" i="16"/>
  <c r="Q616" i="16"/>
  <c r="Q1375" i="16"/>
  <c r="Q486" i="16"/>
  <c r="Q471" i="16"/>
  <c r="Q263" i="16"/>
  <c r="Q1777" i="16"/>
  <c r="Q914" i="16"/>
  <c r="Q1923" i="16"/>
  <c r="Q2273" i="16"/>
  <c r="Q1589" i="16"/>
  <c r="Q434" i="16"/>
  <c r="Q87" i="16"/>
  <c r="Q2215" i="16"/>
  <c r="Q23" i="16"/>
  <c r="Q1702" i="16"/>
  <c r="Q1952" i="16"/>
  <c r="Q1434" i="16"/>
  <c r="Q1608" i="16"/>
  <c r="Q1312" i="16"/>
  <c r="Q1062" i="16"/>
  <c r="Q234" i="16"/>
  <c r="Q648" i="16"/>
  <c r="Q1467" i="16"/>
  <c r="Q899" i="16"/>
  <c r="Q902" i="16"/>
  <c r="Q1539" i="16"/>
  <c r="Q1674" i="16"/>
  <c r="Q1257" i="16"/>
  <c r="Q1529" i="16"/>
  <c r="Q1796" i="16"/>
  <c r="Q663" i="16"/>
  <c r="Q2317" i="16"/>
  <c r="Q1085" i="16"/>
  <c r="Q2302" i="16"/>
  <c r="Q1667" i="16"/>
  <c r="Q1692" i="16"/>
  <c r="Q1653" i="16"/>
  <c r="Q1380" i="16"/>
  <c r="Q1662" i="16"/>
  <c r="Q668" i="16"/>
  <c r="Q458" i="16"/>
  <c r="Q1248" i="16"/>
  <c r="Q2221" i="16"/>
  <c r="Q911" i="16"/>
  <c r="Q1714" i="16"/>
  <c r="Q25" i="16"/>
  <c r="Q1597" i="16"/>
  <c r="Q1749" i="16"/>
  <c r="Q1256" i="16"/>
  <c r="Q1650" i="16"/>
  <c r="Q2156" i="16"/>
  <c r="Q66" i="16"/>
  <c r="Q2339" i="16"/>
  <c r="Q74" i="16"/>
  <c r="Q1426" i="16"/>
  <c r="Q1465" i="16"/>
  <c r="Q1895" i="16"/>
  <c r="Q30" i="16"/>
  <c r="Q638" i="16"/>
  <c r="Q480" i="16"/>
  <c r="Q1760" i="16"/>
  <c r="Q174" i="16"/>
  <c r="Q1632" i="16"/>
  <c r="Q1191" i="16"/>
  <c r="Q1060" i="16"/>
  <c r="Q473" i="16"/>
  <c r="Q1039" i="16"/>
  <c r="Q575" i="16"/>
  <c r="Q1170" i="16"/>
  <c r="Q2199" i="16"/>
  <c r="Q2178" i="16"/>
  <c r="Q1388" i="16"/>
  <c r="Q181" i="16"/>
  <c r="Q456" i="16"/>
  <c r="Q2338" i="16"/>
  <c r="Q374" i="16"/>
  <c r="Q262" i="16"/>
  <c r="Q322" i="16"/>
  <c r="Q1635" i="16"/>
  <c r="Q222" i="16"/>
  <c r="Q974" i="16"/>
  <c r="Q1858" i="16"/>
  <c r="Q1031" i="16"/>
  <c r="Q1903" i="16"/>
  <c r="Q32" i="16"/>
  <c r="Q2233" i="16"/>
  <c r="Q1198" i="16"/>
  <c r="Q1309" i="16"/>
  <c r="Q1842" i="16"/>
  <c r="Q1639" i="16"/>
  <c r="Q148" i="16"/>
  <c r="Q574" i="16"/>
  <c r="Q628" i="16"/>
  <c r="Q673" i="16"/>
  <c r="Q881" i="16"/>
  <c r="Q2177" i="16"/>
  <c r="Q180" i="16"/>
  <c r="Q1203" i="16"/>
  <c r="Q1214" i="16"/>
  <c r="Q1782" i="16"/>
  <c r="Q1938" i="16"/>
  <c r="Q1657" i="16"/>
  <c r="Q829" i="16"/>
  <c r="Q1329" i="16"/>
  <c r="Q2041" i="16"/>
  <c r="Q1764" i="16"/>
  <c r="Q538" i="16"/>
  <c r="Q558" i="16"/>
  <c r="Q2256" i="16"/>
  <c r="Q2245" i="16"/>
  <c r="Q1095" i="16"/>
  <c r="Q1099" i="16"/>
  <c r="Q2228" i="16"/>
  <c r="Q1640" i="16"/>
  <c r="Q1308" i="16"/>
  <c r="Q1591" i="16"/>
  <c r="Q1008" i="16"/>
  <c r="Q672" i="16"/>
  <c r="Q1741" i="16"/>
  <c r="Q435" i="16"/>
  <c r="Q735" i="16"/>
  <c r="Q1206" i="16"/>
  <c r="Q1490" i="16"/>
  <c r="Q1774" i="16"/>
  <c r="Q1867" i="16"/>
  <c r="Q1220" i="16"/>
  <c r="Q382" i="16"/>
  <c r="Q983" i="16"/>
  <c r="Q1624" i="16"/>
  <c r="Q115" i="16"/>
  <c r="Q1533" i="16"/>
  <c r="Q424" i="16"/>
  <c r="Q508" i="16"/>
  <c r="Q2241" i="16"/>
  <c r="Q99" i="16"/>
  <c r="Q1572" i="16"/>
  <c r="Q1833" i="16"/>
  <c r="Q426" i="16"/>
  <c r="Q724" i="16"/>
  <c r="Q1448" i="16"/>
  <c r="Q1102" i="16"/>
  <c r="Q442" i="16"/>
  <c r="Q758" i="16"/>
  <c r="Q1259" i="16"/>
  <c r="Q2133" i="16"/>
  <c r="Q1785" i="16"/>
  <c r="Q463" i="16"/>
  <c r="Q1383" i="16"/>
  <c r="Q866" i="16"/>
  <c r="Q389" i="16"/>
  <c r="Q1163" i="16"/>
  <c r="Q1403" i="16"/>
  <c r="Q1905" i="16"/>
  <c r="Q108" i="16"/>
  <c r="Q498" i="16"/>
  <c r="Q124" i="16"/>
  <c r="Q1073" i="16"/>
  <c r="Q1803" i="16"/>
  <c r="Q1332" i="16"/>
  <c r="Q1381" i="16"/>
  <c r="Q1733" i="16"/>
  <c r="Q1005" i="16"/>
  <c r="Q1498" i="16"/>
  <c r="Q536" i="16"/>
  <c r="Q1609" i="16"/>
  <c r="Q848" i="16"/>
  <c r="Q670" i="16"/>
  <c r="Q1685" i="16"/>
  <c r="Q1696" i="16"/>
  <c r="Q939" i="16"/>
  <c r="Q119" i="16"/>
  <c r="Q2072" i="16"/>
  <c r="Q1728" i="16"/>
  <c r="Q1432" i="16"/>
  <c r="Q323" i="16"/>
  <c r="Q255" i="16"/>
  <c r="Q1651" i="16"/>
  <c r="Q799" i="16"/>
  <c r="Q225" i="16"/>
  <c r="Q10" i="16"/>
  <c r="Q141" i="16"/>
  <c r="Q152" i="16"/>
  <c r="Q1712" i="16"/>
  <c r="Q1970" i="16"/>
  <c r="Q1747" i="16"/>
  <c r="Q75" i="16"/>
  <c r="Q694" i="16"/>
  <c r="Q1515" i="16"/>
  <c r="Q158" i="16"/>
  <c r="Q1456" i="16"/>
  <c r="Q1547" i="16"/>
  <c r="Q938" i="16"/>
  <c r="Q1756" i="16"/>
  <c r="Q1006" i="16"/>
  <c r="Q553" i="16"/>
  <c r="Q661" i="16"/>
  <c r="Q186" i="16"/>
  <c r="Q1058" i="16"/>
  <c r="Q409" i="16"/>
  <c r="Q2151" i="16"/>
  <c r="Q2147" i="16"/>
  <c r="Q531" i="16"/>
  <c r="Q912" i="16"/>
  <c r="Q843" i="16"/>
  <c r="Q1047" i="16"/>
  <c r="Q924" i="16"/>
  <c r="Q218" i="16"/>
  <c r="Q1598" i="16"/>
  <c r="Q966" i="16"/>
  <c r="Q1705" i="16"/>
  <c r="Q1778" i="16"/>
  <c r="Q1965" i="16"/>
  <c r="Q1831" i="16"/>
  <c r="Q1891" i="16"/>
  <c r="Q2050" i="16"/>
  <c r="Q2294" i="16"/>
  <c r="Q1719" i="16"/>
  <c r="Q615" i="16"/>
  <c r="Q326" i="16"/>
  <c r="Q1704" i="16"/>
  <c r="Q817" i="16"/>
  <c r="Q1159" i="16"/>
  <c r="Q2070" i="16"/>
  <c r="Q707" i="16"/>
  <c r="Q562" i="16"/>
  <c r="Q1673" i="16"/>
  <c r="Q1770" i="16"/>
  <c r="Q1767" i="16"/>
  <c r="Q874" i="16"/>
  <c r="Q1604" i="16"/>
  <c r="Q700" i="16"/>
  <c r="Q64" i="16"/>
  <c r="Q1545" i="16"/>
  <c r="Q217" i="16"/>
  <c r="Q1789" i="16"/>
  <c r="Q2051" i="16"/>
  <c r="Q994" i="16"/>
  <c r="Q1554" i="16"/>
  <c r="Q167" i="16"/>
  <c r="Q2102" i="16"/>
  <c r="Q2264" i="16"/>
  <c r="Q980" i="16"/>
  <c r="Q2086" i="16"/>
  <c r="Q869" i="16"/>
  <c r="Q1790" i="16"/>
  <c r="Q1391" i="16"/>
  <c r="Q1998" i="16"/>
  <c r="Q725" i="16"/>
  <c r="Q1752" i="16"/>
  <c r="Q125" i="16"/>
  <c r="Q1491" i="16"/>
  <c r="Q719" i="16"/>
  <c r="Q1398" i="16"/>
  <c r="Q1002" i="16"/>
  <c r="Q1454" i="16"/>
  <c r="Q2060" i="16"/>
  <c r="Q1444" i="16"/>
  <c r="Q110" i="16"/>
  <c r="Q1252" i="16"/>
  <c r="Q1907" i="16"/>
  <c r="Q1265" i="16"/>
  <c r="Q1672" i="16"/>
  <c r="Q166" i="16"/>
  <c r="Q897" i="16"/>
  <c r="Q868" i="16"/>
  <c r="Q1830" i="16"/>
  <c r="Q1669" i="16"/>
  <c r="Q1188" i="16"/>
  <c r="Q548" i="16"/>
  <c r="Q547" i="16"/>
  <c r="Q136" i="16"/>
  <c r="Q36" i="16"/>
  <c r="Q26" i="16"/>
  <c r="Q2207" i="16"/>
  <c r="Q1736" i="16"/>
  <c r="Q1070" i="16"/>
  <c r="Q1453" i="16"/>
  <c r="Q308" i="16"/>
  <c r="Q878" i="16"/>
  <c r="Q1216" i="16"/>
  <c r="Q1836" i="16"/>
  <c r="Q619" i="16"/>
  <c r="Q1726" i="16"/>
  <c r="Q988" i="16"/>
  <c r="Q251" i="16"/>
  <c r="Q2277" i="16"/>
  <c r="Q256" i="16"/>
  <c r="Q373" i="16"/>
  <c r="Q2093" i="16"/>
  <c r="Q2322" i="16"/>
  <c r="Q2105" i="16"/>
  <c r="Q840" i="16"/>
  <c r="Q955" i="16"/>
  <c r="Q2291" i="16"/>
  <c r="Q510" i="16"/>
  <c r="Q1041" i="16"/>
  <c r="Q420" i="16"/>
  <c r="Q1145" i="16"/>
  <c r="Q2157" i="16"/>
  <c r="Q2071" i="16"/>
  <c r="Q492" i="16"/>
  <c r="Q1111" i="16"/>
  <c r="Q1578" i="16"/>
  <c r="Q410" i="16"/>
  <c r="Q818" i="16"/>
  <c r="Q633" i="16"/>
  <c r="Q227" i="16"/>
  <c r="Q1147" i="16"/>
  <c r="Q877" i="16"/>
  <c r="Q682" i="16"/>
  <c r="Q1413" i="16"/>
  <c r="Q1776" i="16"/>
  <c r="Q741" i="16"/>
  <c r="Q1540" i="16"/>
  <c r="Q1922" i="16"/>
  <c r="Q2266" i="16"/>
  <c r="Q1037" i="16"/>
  <c r="Q1769" i="16"/>
  <c r="Q1809" i="16"/>
  <c r="Q1906" i="16"/>
  <c r="Q940" i="16"/>
  <c r="Q313" i="16"/>
  <c r="Q2020" i="16"/>
  <c r="Q2121" i="16"/>
  <c r="Q98" i="16"/>
  <c r="Q317" i="16"/>
  <c r="Q822" i="16"/>
  <c r="Q430" i="16"/>
  <c r="Q732" i="16"/>
  <c r="Q2222" i="16"/>
  <c r="Q2145" i="16"/>
  <c r="Q418" i="16"/>
  <c r="Q1221" i="16"/>
  <c r="Q249" i="16"/>
  <c r="Q1071" i="16"/>
  <c r="Q2026" i="16"/>
  <c r="Q1290" i="16"/>
  <c r="Q2061" i="16"/>
  <c r="Q21" i="16"/>
  <c r="Q1390" i="16"/>
  <c r="Q103" i="16"/>
  <c r="Q1570" i="16"/>
  <c r="Q1428" i="16"/>
  <c r="Q2046" i="16"/>
  <c r="Q2158" i="16"/>
  <c r="Q2049" i="16"/>
  <c r="Q2082" i="16"/>
  <c r="Q1376" i="16"/>
  <c r="Q479" i="16"/>
  <c r="Q812" i="16"/>
  <c r="Q1245" i="16"/>
  <c r="Q193" i="16"/>
  <c r="Q145" i="16"/>
  <c r="Q2272" i="16"/>
  <c r="Q961" i="16"/>
  <c r="Q679" i="16"/>
  <c r="Q683" i="16"/>
  <c r="Q204" i="16"/>
  <c r="Q1990" i="16"/>
  <c r="Q1611" i="16"/>
  <c r="Q1546" i="16"/>
  <c r="Q2263" i="16"/>
  <c r="Q2193" i="16"/>
  <c r="Q237" i="16"/>
  <c r="Q2038" i="16"/>
  <c r="Q1154" i="16"/>
  <c r="Q2330" i="16"/>
  <c r="Q883" i="16"/>
  <c r="Q2311" i="16"/>
  <c r="Q2305" i="16"/>
  <c r="Q1637" i="16"/>
  <c r="Q1410" i="16"/>
  <c r="Q341" i="16"/>
  <c r="Q416" i="16"/>
  <c r="Q2120" i="16"/>
  <c r="Q728" i="16"/>
  <c r="Q2252" i="16"/>
  <c r="Q630" i="16"/>
  <c r="Q865" i="16"/>
  <c r="Q1887" i="16"/>
  <c r="Q1178" i="16"/>
  <c r="Q1157" i="16"/>
  <c r="Q7" i="16"/>
  <c r="Q73" i="16"/>
  <c r="Q1845" i="16"/>
  <c r="Q203" i="16"/>
  <c r="Q195" i="16"/>
  <c r="Q2192" i="16"/>
  <c r="Q837" i="16"/>
  <c r="Q787" i="16"/>
  <c r="Q1734" i="16"/>
  <c r="Q2316" i="16"/>
  <c r="Q1835" i="16"/>
  <c r="Q1641" i="16"/>
  <c r="Q1713" i="16"/>
  <c r="Q2281" i="16"/>
  <c r="Q792" i="16"/>
  <c r="Q864" i="16"/>
  <c r="Q1871" i="16"/>
  <c r="Q1230" i="16"/>
  <c r="Q457" i="16"/>
  <c r="Q777" i="16"/>
  <c r="Q1921" i="16"/>
  <c r="Q776" i="16"/>
  <c r="Q1995" i="16"/>
  <c r="Q1768" i="16"/>
  <c r="Q626" i="16"/>
  <c r="Q493" i="16"/>
  <c r="Q2069" i="16"/>
  <c r="Q794" i="16"/>
  <c r="Q1745" i="16"/>
  <c r="Q1974" i="16"/>
  <c r="Q2165" i="16"/>
  <c r="Q1636" i="16"/>
  <c r="Q2159" i="16"/>
  <c r="Q1684" i="16"/>
  <c r="Q1964" i="16"/>
  <c r="Q405" i="16"/>
  <c r="Q120" i="16"/>
  <c r="Q1661" i="16"/>
  <c r="Q614" i="16"/>
  <c r="Q1757" i="16"/>
  <c r="Q773" i="16"/>
  <c r="Q570" i="16"/>
  <c r="Q775" i="16"/>
  <c r="Q578" i="16"/>
  <c r="Q56" i="16"/>
  <c r="Q46" i="16"/>
  <c r="Q1173" i="16"/>
  <c r="Q645" i="16"/>
  <c r="Q1800" i="16"/>
  <c r="Q2161" i="16"/>
  <c r="Q1022" i="16"/>
  <c r="Q1114" i="16"/>
  <c r="Q1894" i="16"/>
  <c r="Q85" i="16"/>
  <c r="Q1455" i="16"/>
  <c r="Q1775" i="16"/>
  <c r="Q2066" i="16"/>
  <c r="Q2274" i="16"/>
  <c r="Q425" i="16"/>
  <c r="Q2254" i="16"/>
  <c r="Q2149" i="16"/>
  <c r="Q2310" i="16"/>
  <c r="Q686" i="16"/>
  <c r="Q739" i="16"/>
  <c r="Q1612" i="16"/>
  <c r="Q2287" i="16"/>
  <c r="Q967" i="16"/>
  <c r="Q1036" i="16"/>
  <c r="Q599" i="16"/>
  <c r="Q1330" i="16"/>
  <c r="Q150" i="16"/>
  <c r="Q243" i="16"/>
  <c r="Q1267" i="16"/>
  <c r="Q1019" i="16"/>
  <c r="Q2312" i="16"/>
  <c r="Q1682" i="16"/>
  <c r="Q666" i="16"/>
  <c r="Q554" i="16"/>
  <c r="Q971" i="16"/>
  <c r="Q567" i="16"/>
  <c r="Q209" i="16"/>
  <c r="Q1582" i="16"/>
  <c r="Q978" i="16"/>
  <c r="Q504" i="16"/>
  <c r="Q242" i="16"/>
  <c r="Q2313" i="16"/>
  <c r="Q2128" i="16"/>
  <c r="Q1260" i="16"/>
  <c r="Q639" i="16"/>
  <c r="Q470" i="16"/>
  <c r="Q1269" i="16"/>
  <c r="Q1077" i="16"/>
  <c r="Q584" i="16"/>
  <c r="Q15" i="16"/>
  <c r="Q2282" i="16"/>
  <c r="Q156" i="16"/>
  <c r="Q1648" i="16"/>
  <c r="Q1882" i="16"/>
  <c r="Q391" i="16"/>
  <c r="Q2315" i="16"/>
  <c r="Q2269" i="16"/>
  <c r="Q1362" i="16"/>
  <c r="Q595" i="16"/>
  <c r="Q842" i="16"/>
  <c r="Q1984" i="16"/>
  <c r="Q1461" i="16"/>
  <c r="Q565" i="16"/>
  <c r="Q247" i="16"/>
  <c r="Q2062" i="16"/>
  <c r="Q925" i="16"/>
  <c r="Q2341" i="16"/>
  <c r="Q1237" i="16"/>
  <c r="Q1415" i="16"/>
  <c r="Q1132" i="16"/>
  <c r="Q100" i="16"/>
  <c r="Q2110" i="16"/>
  <c r="Q2125" i="16"/>
  <c r="Q8" i="16"/>
  <c r="Q1896" i="16"/>
  <c r="Q51" i="16"/>
  <c r="Q1387" i="16"/>
  <c r="Q1488" i="16"/>
  <c r="Q41" i="16"/>
  <c r="Q137" i="16"/>
  <c r="Q1030" i="16"/>
  <c r="Q91" i="16"/>
  <c r="Q1035" i="16"/>
  <c r="Q733" i="16"/>
  <c r="Q213" i="16"/>
  <c r="Q1211" i="16"/>
  <c r="Q133" i="16"/>
  <c r="Q1761" i="16"/>
  <c r="Q482" i="16"/>
  <c r="Q1339" i="16"/>
  <c r="Q2113" i="16"/>
  <c r="Q376" i="16"/>
  <c r="Q2130" i="16"/>
  <c r="Q2035" i="16"/>
  <c r="Q245" i="16"/>
  <c r="Q2048" i="16"/>
  <c r="Q2171" i="16"/>
  <c r="Q541" i="16"/>
  <c r="Q1333" i="16"/>
  <c r="Q1854" i="16"/>
  <c r="Q2258" i="16"/>
  <c r="Q1799" i="16"/>
  <c r="Q1328" i="16"/>
  <c r="Q696" i="16"/>
  <c r="Q1537" i="16"/>
  <c r="Q519" i="16"/>
  <c r="Q2219" i="16"/>
  <c r="Q1003" i="16"/>
  <c r="Q949" i="16"/>
  <c r="Q238" i="16"/>
  <c r="Q207" i="16"/>
  <c r="Q571" i="16"/>
  <c r="Q1033" i="16"/>
  <c r="Q1088" i="16"/>
  <c r="Q934" i="16"/>
  <c r="Q1443" i="16"/>
  <c r="Q1470" i="16"/>
  <c r="Q1892" i="16"/>
  <c r="Q1795" i="16"/>
  <c r="Q1973" i="16"/>
  <c r="Q1794" i="16"/>
  <c r="Q2289" i="16"/>
  <c r="Q2154" i="16"/>
  <c r="Q446" i="16"/>
  <c r="Q2083" i="16"/>
  <c r="Q1675" i="16"/>
  <c r="Q1420" i="16"/>
  <c r="Q991" i="16"/>
  <c r="Q1825" i="16"/>
  <c r="Q1158" i="16"/>
  <c r="Q706" i="16"/>
  <c r="Q763" i="16"/>
  <c r="Q825" i="16"/>
  <c r="Q1607" i="16"/>
  <c r="Q729" i="16"/>
  <c r="Q604" i="16"/>
  <c r="Q170" i="16"/>
  <c r="Q1048" i="16"/>
  <c r="Q1551" i="16"/>
  <c r="Q1501" i="16"/>
  <c r="Q13" i="16"/>
  <c r="Q1953" i="16"/>
  <c r="Q231" i="16"/>
  <c r="Q1793" i="16"/>
  <c r="Q2288" i="16"/>
  <c r="Q445" i="16"/>
  <c r="Q86" i="16"/>
  <c r="Q1797" i="16"/>
  <c r="Q1419" i="16"/>
  <c r="Q910" i="16"/>
  <c r="Q268" i="16"/>
  <c r="Q591" i="16"/>
  <c r="Q709" i="16"/>
  <c r="Q1512" i="16"/>
  <c r="Q782" i="16"/>
  <c r="Q1818" i="16"/>
  <c r="Q45" i="16"/>
  <c r="Q1590" i="16"/>
  <c r="Q1127" i="16"/>
  <c r="Q1408" i="16"/>
  <c r="Q491" i="16"/>
  <c r="Q2189" i="16"/>
  <c r="Q2063" i="16"/>
  <c r="Q1550" i="16"/>
  <c r="Q2337" i="16"/>
  <c r="Q757" i="16"/>
  <c r="Q1506" i="16"/>
  <c r="Q1254" i="16"/>
  <c r="Q67" i="16"/>
  <c r="Q1189" i="16"/>
  <c r="Q1666" i="16"/>
  <c r="Q1913" i="16"/>
  <c r="Q973" i="16"/>
  <c r="Q841" i="16"/>
  <c r="Q2253" i="16"/>
  <c r="Q2169" i="16"/>
  <c r="Q871" i="16"/>
  <c r="Q1165" i="16"/>
  <c r="Q2224" i="16"/>
  <c r="Q1841" i="16"/>
  <c r="Q1638" i="16"/>
  <c r="Q856" i="16"/>
  <c r="Q1628" i="16"/>
  <c r="Q1920" i="16"/>
  <c r="Q930" i="16"/>
  <c r="Q122" i="16"/>
  <c r="Q1949" i="16"/>
  <c r="Q1223" i="16"/>
  <c r="Q1395" i="16"/>
  <c r="Q1668" i="16"/>
  <c r="Q1839" i="16"/>
  <c r="Q2301" i="16"/>
  <c r="Q1697" i="16"/>
  <c r="Q1969" i="16"/>
  <c r="Q2280" i="16"/>
  <c r="Q2126" i="16"/>
  <c r="Q2076" i="16"/>
  <c r="Q1287" i="16"/>
  <c r="Q275" i="16"/>
  <c r="Q362" i="16"/>
  <c r="Q1579" i="16"/>
  <c r="Q771" i="16"/>
  <c r="Q568" i="16"/>
  <c r="Q343" i="16"/>
  <c r="Q396" i="16"/>
  <c r="Q24" i="16"/>
  <c r="Q2204" i="16"/>
  <c r="Q189" i="16"/>
  <c r="Q1556" i="16"/>
  <c r="Q2202" i="16"/>
  <c r="Q879" i="16"/>
  <c r="Q1482" i="16"/>
  <c r="Q1492" i="16"/>
  <c r="Q1239" i="16"/>
  <c r="Q1370" i="16"/>
  <c r="Q981" i="16"/>
  <c r="Q904" i="16"/>
  <c r="Q1422" i="16"/>
  <c r="Q159" i="16"/>
  <c r="Q281" i="16"/>
  <c r="Q2319" i="16"/>
  <c r="Q1942" i="16"/>
  <c r="Q1765" i="16"/>
  <c r="Q1898" i="16"/>
  <c r="Q212" i="16"/>
  <c r="Q900" i="16"/>
  <c r="Q2306" i="16"/>
  <c r="Q1517" i="16"/>
  <c r="Q685" i="16"/>
  <c r="Q1195" i="16"/>
  <c r="Q289" i="16"/>
  <c r="Q1664" i="16"/>
  <c r="Q819" i="16"/>
  <c r="Q399" i="16"/>
  <c r="Q898" i="16"/>
  <c r="Q292" i="16"/>
  <c r="Q1297" i="16"/>
  <c r="Q1902" i="16"/>
  <c r="Q127" i="16"/>
  <c r="Q2023" i="16"/>
  <c r="Q507" i="16"/>
  <c r="Q104" i="16"/>
  <c r="Q1119" i="16"/>
  <c r="Q2150" i="16"/>
  <c r="Q2024" i="16"/>
  <c r="Q976" i="16"/>
  <c r="Q69" i="16"/>
  <c r="Q2148" i="16"/>
  <c r="Q1174" i="16"/>
  <c r="Q1798" i="16"/>
  <c r="Q344" i="16"/>
  <c r="Q20" i="16"/>
  <c r="Q2016" i="16"/>
  <c r="Q2248" i="16"/>
  <c r="Q1621" i="16"/>
  <c r="Q1516" i="16"/>
  <c r="Q131" i="16"/>
  <c r="Q2227" i="16"/>
  <c r="Q2220" i="16"/>
  <c r="Q1429" i="16"/>
  <c r="Q875" i="16"/>
  <c r="Q65" i="16"/>
  <c r="Q2333" i="16"/>
  <c r="Q1164" i="16"/>
  <c r="Q1028" i="16"/>
  <c r="Q1044" i="16"/>
  <c r="Q34" i="16"/>
  <c r="Q1633" i="16"/>
  <c r="Q950" i="16"/>
  <c r="Q647" i="16"/>
  <c r="Q642" i="16"/>
  <c r="Q1353" i="16"/>
  <c r="Q750" i="16"/>
  <c r="Q2091" i="16"/>
  <c r="Q1677" i="16"/>
  <c r="Q1503" i="16"/>
  <c r="Q138" i="16"/>
  <c r="Q214" i="16"/>
  <c r="Q1804" i="16"/>
  <c r="Q622" i="16"/>
  <c r="Q1729" i="16"/>
  <c r="Q958" i="16"/>
  <c r="Q364" i="16"/>
  <c r="Q746" i="16"/>
  <c r="Q1910" i="16"/>
  <c r="Q1029" i="16"/>
  <c r="Q1076" i="16"/>
  <c r="Q1746" i="16"/>
  <c r="Q90" i="16"/>
  <c r="Q1359" i="16"/>
  <c r="Q468" i="16"/>
  <c r="Q2214" i="16"/>
  <c r="Q182" i="16"/>
  <c r="Q50" i="16"/>
  <c r="Q1884" i="16"/>
  <c r="Q1406" i="16"/>
  <c r="Q688" i="16"/>
  <c r="Q908" i="16"/>
  <c r="Q1040" i="16"/>
  <c r="Q1963" i="16"/>
  <c r="Q1968" i="16"/>
  <c r="Q1423" i="16"/>
  <c r="Q1742" i="16"/>
  <c r="Q340" i="16"/>
  <c r="Q415" i="16"/>
  <c r="Q2251" i="16"/>
  <c r="Q1078" i="16"/>
  <c r="Q1100" i="16"/>
  <c r="Q906" i="16"/>
  <c r="Q816" i="16"/>
  <c r="Q1378" i="16"/>
  <c r="Q1156" i="16"/>
  <c r="Q316" i="16"/>
  <c r="Q29" i="16"/>
  <c r="Q2209" i="16"/>
  <c r="Q202" i="16"/>
  <c r="Q1585" i="16"/>
  <c r="Q1932" i="16"/>
  <c r="Q836" i="16"/>
  <c r="Q1989" i="16"/>
  <c r="Q937" i="16"/>
  <c r="Q2328" i="16"/>
  <c r="Q1593" i="16"/>
  <c r="Q2030" i="16"/>
  <c r="Q1166" i="16"/>
  <c r="Q220" i="16"/>
  <c r="Q1412" i="16"/>
  <c r="Q1616" i="16"/>
  <c r="Q414" i="16"/>
  <c r="Q815" i="16"/>
  <c r="Q2261" i="16"/>
  <c r="Q2250" i="16"/>
  <c r="Q867" i="16"/>
  <c r="Q699" i="16"/>
  <c r="Q1718" i="16"/>
  <c r="Q1812" i="16"/>
  <c r="Q1155" i="16"/>
  <c r="Q315" i="16"/>
  <c r="Q83" i="16"/>
  <c r="Q1802" i="16"/>
  <c r="Q1414" i="16"/>
  <c r="Q19" i="16"/>
  <c r="Q1508" i="16"/>
  <c r="Q2191" i="16"/>
  <c r="Q169" i="16"/>
  <c r="Q440" i="16"/>
  <c r="Q928" i="16"/>
  <c r="Q1213" i="16"/>
  <c r="Q57" i="16"/>
  <c r="Q1951" i="16"/>
  <c r="Q1584" i="16"/>
  <c r="Q1961" i="16"/>
  <c r="Q1821" i="16"/>
  <c r="Q1706" i="16"/>
  <c r="Q1688" i="16"/>
  <c r="Q744" i="16"/>
  <c r="Q1089" i="16"/>
  <c r="Q593" i="16"/>
  <c r="Q1187" i="16"/>
  <c r="Q1918" i="16"/>
  <c r="Q546" i="16"/>
  <c r="Q354" i="16"/>
  <c r="Q1183" i="16"/>
  <c r="Q224" i="16"/>
  <c r="Q916" i="16"/>
  <c r="Q1904" i="16"/>
  <c r="Q2196" i="16"/>
  <c r="Q397" i="16"/>
  <c r="Q1337" i="16"/>
  <c r="Q11" i="16"/>
  <c r="Q2314" i="16"/>
  <c r="Q1264" i="16"/>
  <c r="Q333" i="16"/>
  <c r="Q807" i="16"/>
  <c r="Q444" i="16"/>
  <c r="Q1843" i="16"/>
  <c r="Q1288" i="16"/>
  <c r="Q172" i="16"/>
  <c r="Q499" i="16"/>
  <c r="Q964" i="16"/>
  <c r="Q712" i="16"/>
  <c r="Q1997" i="16"/>
  <c r="Q1834" i="16"/>
  <c r="Q1766" i="16"/>
  <c r="Q342" i="16"/>
  <c r="Q600" i="16"/>
  <c r="Q710" i="16"/>
  <c r="Q535" i="16"/>
  <c r="Q33" i="16"/>
  <c r="Q1620" i="16"/>
  <c r="Q1860" i="16"/>
  <c r="Q1463" i="16"/>
  <c r="Q1451" i="16"/>
  <c r="Q1204" i="16"/>
  <c r="Q1249" i="16"/>
  <c r="Q2081" i="16"/>
  <c r="Q1840" i="16"/>
  <c r="Q1250" i="16"/>
  <c r="Q723" i="16"/>
  <c r="Q465" i="16"/>
  <c r="Q2318" i="16"/>
  <c r="Q1196" i="16"/>
  <c r="Q632" i="16"/>
  <c r="Q1273" i="16"/>
  <c r="Q1110" i="16"/>
  <c r="Q43" i="16"/>
  <c r="Q306" i="16"/>
  <c r="Q352" i="16"/>
  <c r="Q1074" i="16"/>
  <c r="Q1558" i="16"/>
  <c r="Q2283" i="16"/>
  <c r="Q1518" i="16"/>
  <c r="Q2065" i="16"/>
  <c r="Q2166" i="16"/>
  <c r="Q346" i="16"/>
  <c r="Q2141" i="16"/>
  <c r="Q805" i="16"/>
  <c r="Q406" i="16"/>
  <c r="Q1548" i="16"/>
  <c r="Q2242" i="16"/>
  <c r="Q514" i="16"/>
  <c r="Q617" i="16"/>
  <c r="Q880" i="16"/>
  <c r="Q1313" i="16"/>
  <c r="Q2297" i="16"/>
  <c r="Q509" i="16"/>
  <c r="Q157" i="16"/>
  <c r="Q1386" i="16"/>
  <c r="Q2309" i="16"/>
  <c r="Q1889" i="16"/>
  <c r="Q850" i="16"/>
  <c r="Q476" i="16"/>
  <c r="Q711" i="16"/>
  <c r="Q254" i="16"/>
  <c r="Q361" i="16"/>
  <c r="Q2029" i="16"/>
  <c r="Q2286" i="16"/>
  <c r="Q1104" i="16"/>
  <c r="Q1355" i="16"/>
  <c r="Q1874" i="16"/>
  <c r="Q1715" i="16"/>
  <c r="Q345" i="16"/>
  <c r="Q228" i="16"/>
  <c r="Q1844" i="16"/>
  <c r="Q2043" i="16"/>
  <c r="Q438" i="16"/>
  <c r="Q1960" i="16"/>
  <c r="Q885" i="16"/>
  <c r="Q1431" i="16"/>
  <c r="Q1050" i="16"/>
  <c r="Q730" i="16"/>
  <c r="Q701" i="16"/>
  <c r="Q1427" i="16"/>
  <c r="Q657" i="16"/>
  <c r="Q107" i="16"/>
  <c r="Q1004" i="16"/>
  <c r="Q2084" i="16"/>
  <c r="Q1908" i="16"/>
  <c r="Q1832" i="16"/>
  <c r="Q1865" i="16"/>
  <c r="Q2025" i="16"/>
  <c r="Q2173" i="16"/>
  <c r="Q669" i="16"/>
  <c r="Q116" i="16"/>
  <c r="Q1483" i="16"/>
  <c r="Q2162" i="16"/>
  <c r="Q2122" i="16"/>
  <c r="Q96" i="16"/>
  <c r="Q1092" i="16"/>
  <c r="Q1941" i="16"/>
  <c r="Q1360" i="16"/>
  <c r="Q1034" i="16"/>
  <c r="Q753" i="16"/>
  <c r="Q428" i="16"/>
  <c r="Q1397" i="16"/>
  <c r="Q1476" i="16"/>
  <c r="Q935" i="16"/>
  <c r="Q384" i="16"/>
  <c r="Q521" i="16"/>
  <c r="Q126" i="16"/>
  <c r="Q2017" i="16"/>
  <c r="Q2323" i="16"/>
  <c r="Q1955" i="16"/>
  <c r="Q244" i="16"/>
  <c r="Q381" i="16"/>
  <c r="Q2293" i="16"/>
  <c r="Q540" i="16"/>
  <c r="Q1943" i="16"/>
  <c r="Q860" i="16"/>
  <c r="Q2257" i="16"/>
  <c r="Q2247" i="16"/>
  <c r="Q1327" i="16"/>
  <c r="Q946" i="16"/>
  <c r="Q1278" i="16"/>
  <c r="Q1816" i="16"/>
  <c r="Q518" i="16"/>
  <c r="Q1870" i="16"/>
  <c r="Q2010" i="16"/>
  <c r="Q1096" i="16"/>
  <c r="Q1562" i="16"/>
  <c r="Q740" i="16"/>
  <c r="Q1583" i="16"/>
  <c r="Q1826" i="16"/>
  <c r="Q919" i="16"/>
  <c r="Q905" i="16"/>
  <c r="Q187" i="16"/>
  <c r="Q392" i="16"/>
  <c r="Q1437" i="16"/>
  <c r="Q1721" i="16"/>
  <c r="Q2326" i="16"/>
  <c r="Q1899" i="16"/>
  <c r="Q1829" i="16"/>
  <c r="Q830" i="16"/>
  <c r="Q380" i="16"/>
  <c r="Q447" i="16"/>
  <c r="Q539" i="16"/>
  <c r="Q448" i="16"/>
  <c r="Q915" i="16"/>
  <c r="Q2246" i="16"/>
  <c r="Q1326" i="16"/>
  <c r="Q827" i="16"/>
  <c r="Q201" i="16"/>
  <c r="Q517" i="16"/>
  <c r="Q1247" i="16"/>
  <c r="Q28" i="16"/>
  <c r="Q1126" i="16"/>
  <c r="Q649" i="16"/>
  <c r="Q918" i="16"/>
  <c r="Q1043" i="16"/>
  <c r="Q835" i="16"/>
  <c r="Q736" i="16"/>
  <c r="Q1436" i="16"/>
  <c r="Q1106" i="16"/>
  <c r="Q1232" i="16"/>
  <c r="Q2131" i="16"/>
  <c r="Q44" i="16"/>
  <c r="Q1698" i="16"/>
  <c r="Q2032" i="16"/>
  <c r="Q1927" i="16"/>
  <c r="Q2268" i="16"/>
  <c r="Q2123" i="16"/>
  <c r="Q1209" i="16"/>
  <c r="Q1602" i="16"/>
  <c r="Q500" i="16"/>
  <c r="Q1298" i="16"/>
  <c r="Q772" i="16"/>
  <c r="Q569" i="16"/>
  <c r="Q1859" i="16"/>
  <c r="Q774" i="16"/>
  <c r="Q577" i="16"/>
  <c r="Q1201" i="16"/>
  <c r="Q1409" i="16"/>
  <c r="Q1323" i="16"/>
  <c r="Q505" i="16"/>
  <c r="Q931" i="16"/>
  <c r="Q993" i="16"/>
  <c r="Q1781" i="16"/>
  <c r="Q192" i="16"/>
  <c r="Q240" i="16"/>
  <c r="Q1565" i="16"/>
  <c r="Q1762" i="16"/>
  <c r="Q1268" i="16"/>
  <c r="Q191" i="16"/>
  <c r="Q48" i="16"/>
  <c r="Q1971" i="16"/>
  <c r="Q2249" i="16"/>
  <c r="Q1344" i="16"/>
  <c r="Q22" i="16"/>
  <c r="Q2244" i="16"/>
  <c r="Q2080" i="16"/>
  <c r="Q2008" i="16"/>
  <c r="Q1975" i="16"/>
  <c r="Q2013" i="16"/>
  <c r="Q929" i="16"/>
  <c r="Q610" i="16"/>
  <c r="Q302" i="16"/>
  <c r="Q1649" i="16"/>
  <c r="Q2324" i="16"/>
  <c r="Q2087" i="16"/>
  <c r="Q1730" i="16"/>
  <c r="Q1700" i="16"/>
  <c r="Q742" i="16"/>
  <c r="Q1014" i="16"/>
  <c r="Q134" i="16"/>
  <c r="Q1991" i="16"/>
  <c r="Q1959" i="16"/>
  <c r="Q511" i="16"/>
  <c r="Q1779" i="16"/>
  <c r="Q1880" i="16"/>
  <c r="Q2144" i="16"/>
  <c r="Q408" i="16"/>
  <c r="Q1131" i="16"/>
  <c r="Q455" i="16"/>
  <c r="Q1056" i="16"/>
  <c r="Q1623" i="16"/>
  <c r="Q608" i="16"/>
  <c r="Q596" i="16"/>
  <c r="Q641" i="16"/>
  <c r="Q2054" i="16"/>
  <c r="Q2097" i="16"/>
  <c r="Q684" i="16"/>
  <c r="Q992" i="16"/>
  <c r="Q1866" i="16"/>
  <c r="Q1820" i="16"/>
  <c r="Q2056" i="16"/>
  <c r="Q102" i="16"/>
  <c r="Q1911" i="16"/>
  <c r="Q1993" i="16"/>
  <c r="Q1193" i="16"/>
  <c r="Q563" i="16"/>
  <c r="Q429" i="16"/>
  <c r="Q965" i="16"/>
  <c r="Q1150" i="16"/>
  <c r="Q873" i="16"/>
  <c r="Q2089" i="16"/>
  <c r="Q609" i="16"/>
  <c r="Q1888" i="16"/>
  <c r="Q312" i="16"/>
  <c r="Q2210" i="16"/>
  <c r="Q662" i="16"/>
  <c r="Q58" i="16"/>
  <c r="Q847" i="16"/>
  <c r="Q1977" i="16"/>
  <c r="Q2003" i="16"/>
  <c r="Q1152" i="16"/>
  <c r="Q984" i="16"/>
  <c r="Q1086" i="16"/>
  <c r="Q2340" i="16"/>
  <c r="Q106" i="16"/>
  <c r="Q2037" i="16"/>
  <c r="Q2052" i="16"/>
  <c r="Q2045" i="16"/>
  <c r="Q2132" i="16"/>
  <c r="Q481" i="16"/>
  <c r="Q1737" i="16"/>
  <c r="Q702" i="16"/>
  <c r="Q1472" i="16"/>
  <c r="Q1311" i="16"/>
  <c r="Q1192" i="16"/>
  <c r="Q1061" i="16"/>
  <c r="Q797" i="16"/>
  <c r="Q72" i="16"/>
  <c r="Q576" i="16"/>
  <c r="Q731" i="16"/>
  <c r="Q1171" i="16"/>
  <c r="Q2200" i="16"/>
  <c r="Q2194" i="16"/>
  <c r="Q337" i="16"/>
  <c r="Q785" i="16"/>
  <c r="Q1495" i="16"/>
  <c r="Q1557" i="16"/>
  <c r="Q2321" i="16"/>
  <c r="Q2308" i="16"/>
  <c r="Q621" i="16"/>
  <c r="Q2299" i="16"/>
  <c r="Q957" i="16"/>
  <c r="Q253" i="16"/>
  <c r="Q2278" i="16"/>
  <c r="Q1389" i="16"/>
  <c r="Q1224" i="16"/>
  <c r="Q704" i="16"/>
  <c r="Q945" i="16"/>
  <c r="Q832" i="16"/>
  <c r="Q1559" i="16"/>
  <c r="Q89" i="16"/>
  <c r="Q1011" i="16"/>
  <c r="Q1358" i="16"/>
  <c r="Q2217" i="16"/>
  <c r="Q2213" i="16"/>
  <c r="Q972" i="16"/>
  <c r="Q121" i="16"/>
  <c r="Q1027" i="16"/>
  <c r="Q791" i="16"/>
  <c r="Q759" i="16"/>
  <c r="Q1025" i="16"/>
  <c r="Q907" i="16"/>
  <c r="Q721" i="16"/>
  <c r="Q1510" i="16"/>
  <c r="Q2320" i="16"/>
  <c r="Q1334" i="16"/>
  <c r="Q620" i="16"/>
  <c r="Q1935" i="16"/>
  <c r="Q989" i="16"/>
  <c r="Q252" i="16"/>
  <c r="Q1331" i="16"/>
  <c r="Q1930" i="16"/>
  <c r="Q1735" i="16"/>
  <c r="Q703" i="16"/>
  <c r="Q484" i="16"/>
  <c r="Q1046" i="16"/>
  <c r="Q1601" i="16"/>
  <c r="Q803" i="16"/>
  <c r="Q811" i="16"/>
  <c r="Q123" i="16"/>
  <c r="Q215" i="16"/>
  <c r="Q1513" i="16"/>
  <c r="Q117" i="16"/>
  <c r="Q1134" i="16"/>
  <c r="Q1162" i="16"/>
  <c r="Q226" i="16"/>
  <c r="Q754" i="16"/>
  <c r="Q12" i="16"/>
  <c r="Q1869" i="16"/>
  <c r="Q230" i="16"/>
  <c r="Q1958" i="16"/>
  <c r="Q1255" i="16"/>
  <c r="Q1690" i="16"/>
  <c r="Q2262" i="16"/>
  <c r="Q636" i="16"/>
  <c r="Q173" i="16"/>
  <c r="Q697" i="16"/>
  <c r="Q820" i="16"/>
  <c r="Q1525" i="16"/>
  <c r="Q783" i="16"/>
  <c r="Q1940" i="16"/>
  <c r="Q781" i="16"/>
  <c r="Q71" i="16"/>
  <c r="Q1879" i="16"/>
  <c r="Q1595" i="16"/>
  <c r="Q197" i="16"/>
  <c r="Q602" i="16"/>
  <c r="Q1072" i="16"/>
  <c r="Q1405" i="16"/>
  <c r="Q393" i="16"/>
  <c r="Q290" i="16"/>
  <c r="Q1801" i="16"/>
  <c r="Q2174" i="16"/>
  <c r="Q2129" i="16"/>
  <c r="Q2179" i="16"/>
  <c r="Q1763" i="16"/>
  <c r="Q537" i="16"/>
  <c r="Q2180" i="16"/>
  <c r="Q1094" i="16"/>
  <c r="Q129" i="16"/>
  <c r="Q968" i="16"/>
  <c r="Q858" i="16"/>
  <c r="Q1699" i="16"/>
  <c r="Q515" i="16"/>
  <c r="Q1430" i="16"/>
  <c r="Q1161" i="16"/>
  <c r="Q1153" i="16"/>
  <c r="Q1372" i="16"/>
  <c r="Q378" i="16"/>
  <c r="Q1185" i="16"/>
  <c r="Q1238" i="16"/>
  <c r="Q2190" i="16"/>
  <c r="Q291" i="16"/>
  <c r="Q1526" i="16"/>
  <c r="Q1101" i="16"/>
  <c r="Q1929" i="16"/>
  <c r="Q1218" i="16"/>
  <c r="Q695" i="16"/>
  <c r="Q534" i="16"/>
  <c r="Q1703" i="16"/>
  <c r="Q1382" i="16"/>
  <c r="Q178" i="16"/>
  <c r="Q70" i="16"/>
  <c r="Q1142" i="16"/>
  <c r="Q522" i="16"/>
  <c r="Q1948" i="16"/>
  <c r="Q9" i="16"/>
  <c r="Q678" i="16"/>
  <c r="Q436" i="16"/>
  <c r="Q219" i="16"/>
  <c r="Q1418" i="16"/>
  <c r="Q84" i="16"/>
  <c r="Q1172" i="16"/>
  <c r="Q1553" i="16"/>
  <c r="Q1024" i="16"/>
  <c r="Q2118" i="16"/>
  <c r="Q1322" i="16"/>
  <c r="Q2039" i="16"/>
  <c r="Q1687" i="16"/>
  <c r="Q1759" i="16"/>
  <c r="Q149" i="16"/>
  <c r="Q1175" i="16"/>
  <c r="Q821" i="16"/>
  <c r="Q18" i="16"/>
  <c r="Q1324" i="16"/>
  <c r="Q1500" i="16"/>
  <c r="Q1234" i="16"/>
  <c r="Q834" i="16"/>
  <c r="Q606" i="16"/>
  <c r="Q1120" i="16"/>
  <c r="Q1240" i="16"/>
  <c r="Q917" i="16"/>
  <c r="Q325" i="16"/>
  <c r="Q1458" i="16"/>
  <c r="Q737" i="16"/>
  <c r="Q2237" i="16"/>
  <c r="Q2295" i="16"/>
  <c r="Q1985" i="16"/>
  <c r="Q55" i="16"/>
  <c r="Q2218" i="16"/>
  <c r="Q1527" i="16"/>
  <c r="Q417" i="16"/>
  <c r="Q1496" i="16"/>
  <c r="Q38" i="16"/>
  <c r="Q2240" i="16"/>
  <c r="Q1133" i="16"/>
  <c r="Q1091" i="16"/>
  <c r="Q1811" i="16"/>
  <c r="Q147" i="16"/>
  <c r="Q2208" i="16"/>
  <c r="Q2255" i="16"/>
  <c r="Q1806" i="16"/>
  <c r="Q833" i="16"/>
  <c r="Q1979" i="16"/>
  <c r="Q852" i="16"/>
  <c r="Q1010" i="16"/>
  <c r="Q1379" i="16"/>
  <c r="Q751" i="16"/>
  <c r="Q607" i="16"/>
  <c r="Q2327" i="16"/>
  <c r="Q2031" i="16"/>
  <c r="Q2153" i="16"/>
  <c r="Q743" i="16"/>
  <c r="Q1289" i="16"/>
  <c r="Q130" i="16"/>
  <c r="Q2012" i="16"/>
  <c r="Q1743" i="16"/>
  <c r="Q855" i="16"/>
  <c r="Q467" i="16"/>
  <c r="Q1828" i="16"/>
  <c r="Q52" i="16"/>
  <c r="Q1996" i="16"/>
  <c r="Q1026" i="16"/>
  <c r="Q1266" i="16"/>
  <c r="Q81" i="16"/>
  <c r="Q437" i="16"/>
  <c r="Q1462" i="16"/>
  <c r="Q1459" i="16"/>
  <c r="Q1521" i="16"/>
  <c r="Q1544" i="16"/>
  <c r="Q1225" i="16"/>
  <c r="Q1928" i="16"/>
  <c r="Q1909" i="16"/>
  <c r="Q631" i="16"/>
  <c r="Q2119" i="16"/>
  <c r="Q1457" i="16"/>
  <c r="Q2007" i="16"/>
  <c r="Q1013" i="16"/>
  <c r="Q1424" i="16"/>
  <c r="Q870" i="16"/>
  <c r="Q552" i="16"/>
  <c r="Q986" i="16"/>
  <c r="Q690" i="16"/>
  <c r="Q223" i="16"/>
  <c r="Q1634" i="16"/>
  <c r="Q2067" i="16"/>
  <c r="Q472" i="16"/>
  <c r="Q544" i="16"/>
  <c r="Q404" i="16"/>
  <c r="Q97" i="16"/>
  <c r="Q851" i="16"/>
  <c r="Q810" i="16"/>
  <c r="Q1373" i="16"/>
  <c r="Q194" i="16"/>
  <c r="Q59" i="16"/>
  <c r="Q1824" i="16"/>
  <c r="Q2090" i="16"/>
  <c r="Q1926" i="16"/>
  <c r="Q109" i="16"/>
  <c r="Q1792" i="16"/>
  <c r="Q1098" i="16"/>
  <c r="Q143" i="16"/>
  <c r="Q886" i="16"/>
  <c r="Q353" i="16"/>
  <c r="Q585" i="16"/>
  <c r="Q1522" i="16"/>
  <c r="Q1169" i="16"/>
  <c r="Q1314" i="16"/>
  <c r="Q283" i="16"/>
  <c r="Q948" i="16"/>
  <c r="Q998" i="16"/>
  <c r="Q250" i="16"/>
  <c r="Q809" i="16"/>
  <c r="Q2096" i="16"/>
  <c r="Q1780" i="16"/>
  <c r="Q1564" i="16"/>
  <c r="Q39" i="16"/>
  <c r="Q2094" i="16"/>
  <c r="Q483" i="16"/>
  <c r="Q951" i="16"/>
  <c r="Q1184" i="16"/>
  <c r="Q2216" i="16"/>
  <c r="Q823" i="16"/>
  <c r="Q2099" i="16"/>
  <c r="Q356" i="16"/>
  <c r="Q1787" i="16"/>
  <c r="Q1396" i="16"/>
  <c r="Q2304" i="16"/>
  <c r="Q327" i="16"/>
  <c r="Q211" i="16"/>
  <c r="Q1097" i="16"/>
  <c r="Q413" i="16"/>
  <c r="Q629" i="16"/>
  <c r="Q1063" i="16"/>
  <c r="Q1176" i="16"/>
  <c r="Q1750" i="16"/>
  <c r="Q525" i="16"/>
  <c r="Q339" i="16"/>
  <c r="Q846" i="16"/>
  <c r="Q1217" i="16"/>
  <c r="Q2284" i="16"/>
  <c r="Q297" i="16"/>
  <c r="Q2002" i="16"/>
  <c r="Q2223" i="16"/>
  <c r="Q566" i="16"/>
  <c r="Q423" i="16"/>
  <c r="Q439" i="16"/>
  <c r="Q715" i="16"/>
  <c r="Q650" i="16"/>
  <c r="Q2195" i="16"/>
  <c r="Q1772" i="16"/>
  <c r="Q1994" i="16"/>
  <c r="Q784" i="16"/>
  <c r="Q198" i="16"/>
  <c r="Q2146" i="16"/>
  <c r="Q377" i="16"/>
  <c r="Q714" i="16"/>
  <c r="Q1957" i="16"/>
  <c r="Q520" i="16"/>
  <c r="Q2095" i="16"/>
  <c r="Q474" i="16"/>
  <c r="Q1143" i="16"/>
  <c r="Q887" i="16"/>
  <c r="Q278" i="16"/>
  <c r="Q2336" i="16"/>
  <c r="Q2033" i="16"/>
  <c r="Q1678" i="16"/>
  <c r="Q105" i="16"/>
  <c r="Q394" i="16"/>
  <c r="Q176" i="16"/>
  <c r="Q676" i="16"/>
  <c r="Q168" i="16"/>
  <c r="Q800" i="16"/>
  <c r="Q1007" i="16"/>
  <c r="Q395" i="16"/>
  <c r="Q1754" i="16"/>
  <c r="Q1117" i="16"/>
  <c r="Q1695" i="16"/>
  <c r="Q1670" i="16"/>
  <c r="Q646" i="16"/>
  <c r="Q1681" i="16"/>
  <c r="Q2275" i="16"/>
  <c r="Q1042" i="16"/>
  <c r="Q960" i="16"/>
  <c r="Q1872" i="16"/>
  <c r="Q814" i="16"/>
  <c r="Q2235" i="16"/>
  <c r="Q802" i="16"/>
  <c r="Q314" i="16"/>
  <c r="Q1805" i="16"/>
  <c r="Q53" i="16"/>
  <c r="Q543" i="16"/>
  <c r="Q311" i="16"/>
  <c r="Q1057" i="16"/>
  <c r="Q1988" i="16"/>
  <c r="Q164" i="16"/>
  <c r="Q778" i="16"/>
  <c r="Q2238" i="16"/>
  <c r="Q1186" i="16"/>
  <c r="Q390" i="16"/>
  <c r="Q422" i="16"/>
  <c r="Q2212" i="16"/>
  <c r="Q1748" i="16"/>
  <c r="Q469" i="16"/>
  <c r="Q183" i="16"/>
  <c r="Q698" i="16"/>
  <c r="Q1112" i="16"/>
  <c r="Q1972" i="16"/>
  <c r="Q637" i="16"/>
  <c r="Q738" i="16"/>
  <c r="Q903" i="16"/>
  <c r="Q1543" i="16"/>
  <c r="Q717" i="16"/>
  <c r="Q401" i="16"/>
  <c r="Q1999" i="16"/>
  <c r="Q2197" i="16"/>
  <c r="Q1838" i="16"/>
  <c r="Q1052" i="16"/>
  <c r="Q140" i="16"/>
  <c r="Q188" i="16"/>
  <c r="Q1549" i="16"/>
  <c r="Q2028" i="16"/>
  <c r="Q355" i="16"/>
  <c r="Q2176" i="16"/>
  <c r="Q2260" i="16"/>
  <c r="Q2230" i="16"/>
  <c r="Q913" i="16"/>
  <c r="Q1771" i="16"/>
  <c r="Q752" i="16"/>
  <c r="Q624" i="16"/>
  <c r="Q184" i="16"/>
  <c r="Q1021" i="16"/>
  <c r="Q1580" i="16"/>
  <c r="Q1489" i="16"/>
  <c r="Q844" i="16"/>
  <c r="Q1849" i="16"/>
  <c r="Q412" i="16"/>
  <c r="Q2259" i="16"/>
  <c r="Q1356" i="16"/>
  <c r="Q1038" i="16"/>
  <c r="Q780" i="16"/>
  <c r="Q248" i="16"/>
  <c r="Q2211" i="16"/>
  <c r="Q2152" i="16"/>
  <c r="Q671" i="16"/>
  <c r="Q601" i="16"/>
  <c r="Q490" i="16"/>
  <c r="Q1613" i="16"/>
  <c r="Q411" i="16"/>
  <c r="Q640" i="16"/>
  <c r="Q1205" i="16"/>
  <c r="Q2335" i="16"/>
  <c r="Q2138" i="16"/>
  <c r="Q35" i="16"/>
  <c r="Q586" i="16"/>
  <c r="Q882" i="16"/>
  <c r="Q513" i="16"/>
  <c r="Q2332" i="16"/>
  <c r="Q2271" i="16"/>
  <c r="Q1808" i="16"/>
  <c r="Q2085" i="16"/>
  <c r="Q1710" i="16"/>
  <c r="Q1618" i="16"/>
  <c r="Q1807" i="16"/>
  <c r="Q653" i="16"/>
  <c r="Q2018" i="16"/>
  <c r="Q2225" i="16"/>
  <c r="Q54" i="16"/>
  <c r="Q2055" i="16"/>
  <c r="Q1671" i="16"/>
  <c r="Q1045" i="16"/>
  <c r="Q2143" i="16"/>
  <c r="Q1442" i="16"/>
  <c r="Q331" i="16"/>
  <c r="Q1507" i="16"/>
  <c r="Q1233" i="16"/>
  <c r="Q927" i="16"/>
  <c r="Q755" i="16"/>
  <c r="Q618" i="16"/>
  <c r="Q2276" i="16"/>
  <c r="Q372" i="16"/>
  <c r="Q872" i="16"/>
  <c r="Q1815" i="16"/>
  <c r="Q801" i="16"/>
  <c r="Q432" i="16"/>
  <c r="Q1514" i="16"/>
  <c r="Q1531" i="16"/>
  <c r="Q128" i="16"/>
  <c r="Q1827" i="16"/>
  <c r="Q407" i="16"/>
  <c r="Q294" i="16"/>
  <c r="Q1385" i="16"/>
  <c r="Q1823" i="16"/>
  <c r="Q42" i="16"/>
  <c r="Q190" i="16"/>
  <c r="Q1017" i="16"/>
  <c r="Q351" i="16"/>
  <c r="Q185" i="16"/>
  <c r="Q2307" i="16"/>
  <c r="Q304" i="16"/>
  <c r="Q1885" i="16"/>
  <c r="Q1868" i="16"/>
  <c r="Q845" i="16"/>
  <c r="Q2163" i="16"/>
  <c r="Q135" i="16"/>
  <c r="Q1384" i="16"/>
  <c r="Q1665" i="16"/>
  <c r="Q1059" i="16"/>
  <c r="Q1417" i="16"/>
  <c r="Q1452" i="16"/>
  <c r="Q348" i="16"/>
  <c r="Q2187" i="16"/>
  <c r="N720" i="16"/>
  <c r="N1346" i="16"/>
  <c r="Q969" i="16"/>
  <c r="Q280" i="16"/>
  <c r="N1446" i="16"/>
  <c r="Q1925" i="16"/>
  <c r="N1654" i="16"/>
  <c r="Q2135" i="16"/>
  <c r="N1477" i="16"/>
  <c r="N1281" i="16"/>
  <c r="N460" i="16"/>
  <c r="Q1853" i="16"/>
  <c r="N932" i="16"/>
  <c r="N1293" i="16"/>
  <c r="N257" i="16"/>
  <c r="N1445" i="16"/>
  <c r="Q749" i="16"/>
  <c r="Q2160" i="16"/>
  <c r="Q1168" i="16"/>
  <c r="Q533" i="16"/>
  <c r="Q1931" i="16"/>
  <c r="Q884" i="16"/>
  <c r="Q838" i="16"/>
  <c r="Q1283" i="16"/>
  <c r="N542" i="16"/>
  <c r="N692" i="16"/>
  <c r="N977" i="16"/>
  <c r="Q1294" i="16"/>
  <c r="Q863" i="16"/>
  <c r="N1317" i="16"/>
  <c r="N1032" i="16"/>
  <c r="Q941" i="16"/>
  <c r="Q329" i="16"/>
  <c r="Q1136" i="16"/>
  <c r="N1485" i="16"/>
  <c r="Q1862" i="16"/>
  <c r="N1676" i="16"/>
  <c r="Q1291" i="16"/>
  <c r="Q779" i="16"/>
  <c r="Q1416" i="16"/>
  <c r="N1642" i="16"/>
  <c r="Q60" i="16"/>
  <c r="N788" i="16"/>
  <c r="N1473" i="16"/>
  <c r="Q1357" i="16"/>
  <c r="N1615" i="16"/>
  <c r="Q1738" i="16"/>
  <c r="Q1494" i="16"/>
  <c r="Q1167" i="16"/>
  <c r="Q1642" i="16"/>
  <c r="N386" i="16"/>
  <c r="N1325" i="16"/>
  <c r="N398" i="16"/>
  <c r="Q2185" i="16"/>
  <c r="Q1600" i="16"/>
  <c r="N1864" i="16"/>
  <c r="Q502" i="16"/>
  <c r="Q1108" i="16"/>
  <c r="Q789" i="16"/>
  <c r="Q1068" i="16"/>
  <c r="Q1475" i="16"/>
  <c r="N579" i="16"/>
  <c r="N1399" i="16"/>
  <c r="N1541" i="16"/>
  <c r="Q451" i="16"/>
  <c r="N523" i="16"/>
  <c r="N1738" i="16"/>
  <c r="Q1242" i="16"/>
  <c r="N1555" i="16"/>
  <c r="N233" i="16"/>
  <c r="Q1511" i="16"/>
  <c r="Q1647" i="16"/>
  <c r="Q680" i="16"/>
  <c r="Q1446" i="16"/>
  <c r="Q1285" i="16"/>
  <c r="N2100" i="16"/>
  <c r="Q660" i="16"/>
  <c r="N1054" i="16"/>
  <c r="Q726" i="16"/>
  <c r="N2015" i="16"/>
  <c r="Q2059" i="16"/>
  <c r="N1116" i="16"/>
  <c r="Q2182" i="16"/>
  <c r="Q1723" i="16"/>
  <c r="Q612" i="16"/>
  <c r="Q282" i="16"/>
  <c r="N320" i="16"/>
  <c r="Q1587" i="16"/>
  <c r="N400" i="16"/>
  <c r="Q2006" i="16"/>
  <c r="N132" i="16"/>
  <c r="N1708" i="16"/>
  <c r="Q1304" i="16"/>
  <c r="Q1915" i="16"/>
  <c r="Q1401" i="16"/>
  <c r="Q808" i="16"/>
  <c r="Q1303" i="16"/>
  <c r="Q1081" i="16"/>
  <c r="N2181" i="16"/>
  <c r="N235" i="16"/>
  <c r="Q1897" i="16"/>
  <c r="N1484" i="16"/>
  <c r="Q1610" i="16"/>
  <c r="N324" i="16"/>
  <c r="Q1345" i="16"/>
  <c r="Q1065" i="16"/>
  <c r="Q286" i="16"/>
  <c r="Q861" i="16"/>
  <c r="Q258" i="16"/>
  <c r="Q1863" i="16"/>
  <c r="N279" i="16"/>
  <c r="N265" i="16"/>
  <c r="Q321" i="16"/>
  <c r="N266" i="16"/>
  <c r="Q598" i="16"/>
  <c r="N1276" i="16"/>
  <c r="Q1954" i="16"/>
  <c r="Q328" i="16"/>
  <c r="N1103" i="16"/>
  <c r="N1242" i="16"/>
  <c r="Q970" i="16"/>
  <c r="N766" i="16"/>
  <c r="N1852" i="16"/>
  <c r="N528" i="16"/>
  <c r="N1067" i="16"/>
  <c r="N453" i="16"/>
  <c r="Q635" i="16"/>
  <c r="N605" i="16"/>
  <c r="Q996" i="16"/>
  <c r="Q529" i="16"/>
  <c r="N2140" i="16"/>
  <c r="Q441" i="16"/>
  <c r="N1282" i="16"/>
  <c r="Q1707" i="16"/>
  <c r="N477" i="16"/>
  <c r="Q1659" i="16"/>
  <c r="N1350" i="16"/>
  <c r="N756" i="16"/>
  <c r="N285" i="16"/>
  <c r="Q1105" i="16"/>
  <c r="N1306" i="16"/>
  <c r="N1253" i="16"/>
  <c r="N1853" i="16"/>
  <c r="N385" i="16"/>
  <c r="N901" i="16"/>
  <c r="N2114" i="16"/>
  <c r="N1190" i="16"/>
  <c r="Q1900" i="16"/>
  <c r="N1893" i="16"/>
  <c r="N371" i="16"/>
  <c r="Q153" i="16"/>
  <c r="Q1450" i="16"/>
  <c r="N884" i="16"/>
  <c r="Q705" i="16"/>
  <c r="N1520" i="16"/>
  <c r="Q494" i="16"/>
  <c r="N749" i="16"/>
  <c r="Q1124" i="16"/>
  <c r="N1392" i="16"/>
  <c r="Q1725" i="16"/>
  <c r="N153" i="16"/>
  <c r="N936" i="16"/>
  <c r="N1338" i="16"/>
  <c r="N368" i="16"/>
  <c r="Q582" i="16"/>
  <c r="Q273" i="16"/>
  <c r="N6" i="16"/>
  <c r="Q745" i="16"/>
  <c r="N2115" i="16"/>
  <c r="N449" i="16"/>
  <c r="N1876" i="16"/>
  <c r="N920" i="16"/>
  <c r="N1577" i="16"/>
  <c r="Q893" i="16"/>
  <c r="Q27" i="16"/>
  <c r="Q597" i="16"/>
  <c r="Q734" i="16"/>
  <c r="Q95" i="16"/>
  <c r="N876" i="16"/>
  <c r="N1228" i="16"/>
  <c r="Q300" i="16"/>
  <c r="Q1449" i="16"/>
  <c r="N1967" i="16"/>
  <c r="Q962" i="16"/>
  <c r="N680" i="16"/>
  <c r="N301" i="16"/>
  <c r="N1222" i="16"/>
  <c r="N573" i="16"/>
  <c r="Q1125" i="16"/>
  <c r="N1542" i="16"/>
  <c r="Q2001" i="16"/>
  <c r="N634" i="16"/>
  <c r="N1857" i="16"/>
  <c r="N287" i="16"/>
  <c r="N962" i="16"/>
  <c r="Q1569" i="16"/>
  <c r="N1987" i="16"/>
  <c r="Q453" i="16"/>
  <c r="N232" i="16"/>
  <c r="Q375" i="16"/>
  <c r="N1263" i="16"/>
  <c r="N1251" i="16"/>
  <c r="N1981" i="16"/>
  <c r="Q1481" i="16"/>
  <c r="N154" i="16"/>
  <c r="N1856" i="16"/>
  <c r="N112" i="16"/>
  <c r="Q1366" i="16"/>
  <c r="N1368" i="16"/>
  <c r="N80" i="16"/>
  <c r="N2112" i="16"/>
  <c r="N1552" i="16"/>
  <c r="N501" i="16"/>
  <c r="N747" i="16"/>
  <c r="N1064" i="16"/>
  <c r="Q118" i="16"/>
  <c r="N496" i="16"/>
  <c r="Q1227" i="16"/>
  <c r="N748" i="16"/>
  <c r="Q1123" i="16"/>
  <c r="N318" i="16"/>
  <c r="Q1280" i="16"/>
  <c r="Q2107" i="16"/>
  <c r="N2006" i="16"/>
  <c r="Q587" i="16"/>
  <c r="N1851" i="16"/>
  <c r="N1614" i="16"/>
  <c r="Q1075" i="16"/>
  <c r="Q1135" i="16"/>
  <c r="N1897" i="16"/>
  <c r="N587" i="16"/>
  <c r="Q524" i="16"/>
  <c r="N1956" i="16"/>
  <c r="N259" i="16"/>
  <c r="N2022" i="16"/>
  <c r="N943" i="16"/>
  <c r="Q1320" i="16"/>
  <c r="Q319" i="16"/>
  <c r="Q674" i="16"/>
  <c r="N1318" i="16"/>
  <c r="Q1258" i="16"/>
  <c r="Q1316" i="16"/>
  <c r="N286" i="16"/>
  <c r="Q560" i="16"/>
  <c r="Q221" i="16"/>
  <c r="N826" i="16"/>
  <c r="N1511" i="16"/>
  <c r="N675" i="16"/>
  <c r="Q1138" i="16"/>
  <c r="Q1286" i="16"/>
  <c r="Q285" i="16"/>
  <c r="N1646" i="16"/>
  <c r="N1107" i="16"/>
  <c r="N1886" i="16"/>
  <c r="N1279" i="16"/>
  <c r="N1810" i="16"/>
  <c r="N280" i="16"/>
  <c r="Q542" i="16"/>
  <c r="N862" i="16"/>
  <c r="Q216" i="16"/>
  <c r="Q1654" i="16"/>
  <c r="N655" i="16"/>
  <c r="N996" i="16"/>
  <c r="Q1219" i="16"/>
  <c r="Q1581" i="16"/>
  <c r="Q1130" i="16"/>
  <c r="Q1520" i="16"/>
  <c r="Q1485" i="16"/>
  <c r="N1244" i="16"/>
  <c r="N366" i="16"/>
  <c r="N1924" i="16"/>
  <c r="Q1351" i="16"/>
  <c r="N1751" i="16"/>
  <c r="N1299" i="16"/>
  <c r="N2168" i="16"/>
  <c r="Q920" i="16"/>
  <c r="N1934" i="16"/>
  <c r="Q1783" i="16"/>
  <c r="Q2186" i="16"/>
  <c r="N770" i="16"/>
  <c r="N488" i="16"/>
  <c r="N892" i="16"/>
  <c r="N556" i="16"/>
  <c r="Q1986" i="16"/>
  <c r="Q1270" i="16"/>
  <c r="N1901" i="16"/>
  <c r="Q1577" i="16"/>
  <c r="Q551" i="16"/>
  <c r="Q301" i="16"/>
  <c r="N1900" i="16"/>
  <c r="Q2074" i="16"/>
  <c r="Q894" i="16"/>
  <c r="N349" i="16"/>
  <c r="Q806" i="16"/>
  <c r="N1449" i="16"/>
  <c r="N113" i="16"/>
  <c r="Q1573" i="16"/>
  <c r="N551" i="16"/>
  <c r="Q359" i="16"/>
  <c r="N1603" i="16"/>
  <c r="N1357" i="16"/>
  <c r="Q583" i="16"/>
  <c r="N1160" i="16"/>
  <c r="N1416" i="16"/>
  <c r="N1850" i="16"/>
  <c r="N2101" i="16"/>
  <c r="Q922" i="16"/>
  <c r="Q944" i="16"/>
  <c r="Q2184" i="16"/>
  <c r="Q1440" i="16"/>
  <c r="N1523" i="16"/>
  <c r="N789" i="16"/>
  <c r="Q284" i="16"/>
  <c r="Q1588" i="16"/>
  <c r="N786" i="16"/>
  <c r="Q2101" i="16"/>
  <c r="N890" i="16"/>
  <c r="Q2019" i="16"/>
  <c r="Q63" i="16"/>
  <c r="N321" i="16"/>
  <c r="N2183" i="16"/>
  <c r="N1519" i="16"/>
  <c r="Q1300" i="16"/>
  <c r="Q1319" i="16"/>
  <c r="Q665" i="16"/>
  <c r="N1315" i="16"/>
  <c r="Q269" i="16"/>
  <c r="Q2188" i="16"/>
  <c r="Q1708" i="16"/>
  <c r="N205" i="16"/>
  <c r="Q370" i="16"/>
  <c r="Q1349" i="16"/>
  <c r="Q1301" i="16"/>
  <c r="N1366" i="16"/>
  <c r="N975" i="16"/>
  <c r="Q1484" i="16"/>
  <c r="Q643" i="16"/>
  <c r="N1066" i="16"/>
  <c r="N17" i="16"/>
  <c r="Q1137" i="16"/>
  <c r="N1479" i="16"/>
  <c r="Q276" i="16"/>
  <c r="Q727" i="16"/>
  <c r="N1401" i="16"/>
  <c r="N1301" i="16"/>
  <c r="N1295" i="16"/>
  <c r="Q1292" i="16"/>
  <c r="Q1439" i="16"/>
  <c r="Q545" i="16"/>
  <c r="N839" i="16"/>
  <c r="N2064" i="16"/>
  <c r="N1292" i="16"/>
  <c r="N94" i="16"/>
  <c r="Q350" i="16"/>
  <c r="Q963" i="16"/>
  <c r="Q266" i="16"/>
  <c r="N598" i="16"/>
  <c r="Q330" i="16"/>
  <c r="Q849" i="16"/>
  <c r="Q761" i="16"/>
  <c r="N1740" i="16"/>
  <c r="N1305" i="16"/>
  <c r="N524" i="16"/>
  <c r="N721" i="16"/>
  <c r="N1829" i="16"/>
  <c r="N915" i="16"/>
  <c r="N1512" i="16"/>
  <c r="N1736" i="16"/>
  <c r="N1961" i="16"/>
  <c r="N262" i="16"/>
  <c r="N897" i="16"/>
  <c r="N1842" i="16"/>
  <c r="N1134" i="16"/>
  <c r="N1254" i="16"/>
  <c r="N974" i="16"/>
  <c r="N570" i="16"/>
  <c r="N19" i="16"/>
  <c r="N1506" i="16"/>
  <c r="N1143" i="16"/>
  <c r="N1974" i="16"/>
  <c r="N120" i="16"/>
  <c r="N782" i="16"/>
  <c r="N2191" i="16"/>
  <c r="N1899" i="16"/>
  <c r="N448" i="16"/>
  <c r="N709" i="16"/>
  <c r="N1408" i="16"/>
  <c r="N1097" i="16"/>
  <c r="N845" i="16"/>
  <c r="N1935" i="16"/>
  <c r="N1326" i="16"/>
  <c r="N1051" i="16"/>
  <c r="N2177" i="16"/>
  <c r="N1216" i="16"/>
  <c r="N2328" i="16"/>
  <c r="N447" i="16"/>
  <c r="N1198" i="16"/>
  <c r="N2207" i="16"/>
  <c r="N1022" i="16"/>
  <c r="N173" i="16"/>
  <c r="N251" i="16"/>
  <c r="N2277" i="16"/>
  <c r="N256" i="16"/>
  <c r="N373" i="16"/>
  <c r="N2093" i="16"/>
  <c r="N697" i="16"/>
  <c r="N820" i="16"/>
  <c r="N1525" i="16"/>
  <c r="N783" i="16"/>
  <c r="N1940" i="16"/>
  <c r="N781" i="16"/>
  <c r="N1277" i="16"/>
  <c r="N71" i="16"/>
  <c r="N1879" i="16"/>
  <c r="N1595" i="16"/>
  <c r="N197" i="16"/>
  <c r="N602" i="16"/>
  <c r="N1072" i="16"/>
  <c r="N1405" i="16"/>
  <c r="N393" i="16"/>
  <c r="N1402" i="16"/>
  <c r="N2040" i="16"/>
  <c r="N2180" i="16"/>
  <c r="N426" i="16"/>
  <c r="N2212" i="16"/>
  <c r="N1169" i="16"/>
  <c r="N743" i="16"/>
  <c r="N1579" i="16"/>
  <c r="N396" i="16"/>
  <c r="N1217" i="16"/>
  <c r="N339" i="16"/>
  <c r="N1988" i="16"/>
  <c r="N508" i="16"/>
  <c r="N1833" i="16"/>
  <c r="N338" i="16"/>
  <c r="N2204" i="16"/>
  <c r="N2314" i="16"/>
  <c r="N2039" i="16"/>
  <c r="N2002" i="16"/>
  <c r="N801" i="16"/>
  <c r="N1668" i="16"/>
  <c r="N333" i="16"/>
  <c r="N1356" i="16"/>
  <c r="N1699" i="16"/>
  <c r="N146" i="16"/>
  <c r="N1147" i="16"/>
  <c r="N2324" i="16"/>
  <c r="N1928" i="16"/>
  <c r="N1984" i="16"/>
  <c r="N69" i="16"/>
  <c r="N1492" i="16"/>
  <c r="N1225" i="16"/>
  <c r="N114" i="16"/>
  <c r="N2087" i="16"/>
  <c r="N1994" i="16"/>
  <c r="N489" i="16"/>
  <c r="N2020" i="16"/>
  <c r="N1524" i="16"/>
  <c r="N1781" i="16"/>
  <c r="N676" i="16"/>
  <c r="N1971" i="16"/>
  <c r="N2291" i="16"/>
  <c r="N255" i="16"/>
  <c r="N535" i="16"/>
  <c r="N2013" i="16"/>
  <c r="N1889" i="16"/>
  <c r="N2243" i="16"/>
  <c r="N2137" i="16"/>
  <c r="N498" i="16"/>
  <c r="N1266" i="16"/>
  <c r="N351" i="16"/>
  <c r="N1705" i="16"/>
  <c r="N2113" i="16"/>
  <c r="N1908" i="16"/>
  <c r="N1563" i="16"/>
  <c r="N218" i="16"/>
  <c r="N959" i="16"/>
  <c r="N294" i="16"/>
  <c r="N831" i="16"/>
  <c r="N1965" i="16"/>
  <c r="N1831" i="16"/>
  <c r="N1891" i="16"/>
  <c r="N2050" i="16"/>
  <c r="N2294" i="16"/>
  <c r="N1452" i="16"/>
  <c r="N231" i="16"/>
  <c r="N2250" i="16"/>
  <c r="N775" i="16"/>
  <c r="N881" i="16"/>
  <c r="N1213" i="16"/>
  <c r="N219" i="16"/>
  <c r="N322" i="16"/>
  <c r="N2255" i="16"/>
  <c r="N888" i="16"/>
  <c r="N918" i="16"/>
  <c r="N2169" i="16"/>
  <c r="N110" i="16"/>
  <c r="N1858" i="16"/>
  <c r="N548" i="16"/>
  <c r="N1508" i="16"/>
  <c r="N2055" i="16"/>
  <c r="N1907" i="16"/>
  <c r="N1661" i="16"/>
  <c r="N578" i="16"/>
  <c r="N2189" i="16"/>
  <c r="N2030" i="16"/>
  <c r="N2261" i="16"/>
  <c r="N1786" i="16"/>
  <c r="N625" i="16"/>
  <c r="N2337" i="16"/>
  <c r="N85" i="16"/>
  <c r="N1412" i="16"/>
  <c r="N867" i="16"/>
  <c r="N83" i="16"/>
  <c r="N835" i="16"/>
  <c r="N1106" i="16"/>
  <c r="N374" i="16"/>
  <c r="N414" i="16"/>
  <c r="N1601" i="16"/>
  <c r="N673" i="16"/>
  <c r="N1775" i="16"/>
  <c r="N2066" i="16"/>
  <c r="N2274" i="16"/>
  <c r="N425" i="16"/>
  <c r="N2254" i="16"/>
  <c r="N2149" i="16"/>
  <c r="N97" i="16"/>
  <c r="N2230" i="16"/>
  <c r="N84" i="16"/>
  <c r="N1063" i="16"/>
  <c r="N2143" i="16"/>
  <c r="N433" i="16"/>
  <c r="N314" i="16"/>
  <c r="N437" i="16"/>
  <c r="N1373" i="16"/>
  <c r="N331" i="16"/>
  <c r="N194" i="16"/>
  <c r="N1507" i="16"/>
  <c r="N59" i="16"/>
  <c r="N1233" i="16"/>
  <c r="N1824" i="16"/>
  <c r="N927" i="16"/>
  <c r="N1969" i="16"/>
  <c r="N275" i="16"/>
  <c r="N1743" i="16"/>
  <c r="N1531" i="16"/>
  <c r="N1748" i="16"/>
  <c r="N297" i="16"/>
  <c r="N1572" i="16"/>
  <c r="N1182" i="16"/>
  <c r="N1678" i="16"/>
  <c r="N11" i="16"/>
  <c r="N1849" i="16"/>
  <c r="N1289" i="16"/>
  <c r="N1038" i="16"/>
  <c r="N585" i="16"/>
  <c r="N2152" i="16"/>
  <c r="N1220" i="16"/>
  <c r="N1763" i="16"/>
  <c r="N1094" i="16"/>
  <c r="N1722" i="16"/>
  <c r="N1926" i="16"/>
  <c r="N115" i="16"/>
  <c r="N362" i="16"/>
  <c r="N780" i="16"/>
  <c r="N1613" i="16"/>
  <c r="N2335" i="16"/>
  <c r="N430" i="16"/>
  <c r="N1383" i="16"/>
  <c r="N1840" i="16"/>
  <c r="N1330" i="16"/>
  <c r="N1592" i="16"/>
  <c r="N1372" i="16"/>
  <c r="N2072" i="16"/>
  <c r="N732" i="16"/>
  <c r="N834" i="16"/>
  <c r="N1881" i="16"/>
  <c r="N2111" i="16"/>
  <c r="N1578" i="16"/>
  <c r="N2166" i="16"/>
  <c r="N617" i="16"/>
  <c r="N2047" i="16"/>
  <c r="N1776" i="16"/>
  <c r="N108" i="16"/>
  <c r="N292" i="16"/>
  <c r="N2150" i="16"/>
  <c r="N1249" i="16"/>
  <c r="N2133" i="16"/>
  <c r="N1093" i="16"/>
  <c r="N1221" i="16"/>
  <c r="N2096" i="16"/>
  <c r="N1241" i="16"/>
  <c r="N1761" i="16"/>
  <c r="N1543" i="16"/>
  <c r="N1929" i="16"/>
  <c r="N1703" i="16"/>
  <c r="N2046" i="16"/>
  <c r="N1621" i="16"/>
  <c r="N283" i="16"/>
  <c r="N2165" i="16"/>
  <c r="N2239" i="16"/>
  <c r="N136" i="16"/>
  <c r="N1566" i="16"/>
  <c r="N1232" i="16"/>
  <c r="N1455" i="16"/>
  <c r="N620" i="16"/>
  <c r="N1735" i="16"/>
  <c r="N2009" i="16"/>
  <c r="N1800" i="16"/>
  <c r="N1745" i="16"/>
  <c r="N1031" i="16"/>
  <c r="N1639" i="16"/>
  <c r="N436" i="16"/>
  <c r="N1945" i="16"/>
  <c r="N960" i="16"/>
  <c r="N868" i="16"/>
  <c r="N45" i="16"/>
  <c r="N49" i="16"/>
  <c r="N1166" i="16"/>
  <c r="N979" i="16"/>
  <c r="N547" i="16"/>
  <c r="N1070" i="16"/>
  <c r="N1782" i="16"/>
  <c r="N44" i="16"/>
  <c r="N2338" i="16"/>
  <c r="N1616" i="16"/>
  <c r="N1757" i="16"/>
  <c r="N1590" i="16"/>
  <c r="N308" i="16"/>
  <c r="N2325" i="16"/>
  <c r="N1400" i="16"/>
  <c r="N445" i="16"/>
  <c r="N517" i="16"/>
  <c r="N54" i="16"/>
  <c r="N1666" i="16"/>
  <c r="N1913" i="16"/>
  <c r="N973" i="16"/>
  <c r="N841" i="16"/>
  <c r="N2253" i="16"/>
  <c r="N1528" i="16"/>
  <c r="N1099" i="16"/>
  <c r="N2228" i="16"/>
  <c r="N1933" i="16"/>
  <c r="N1640" i="16"/>
  <c r="N1308" i="16"/>
  <c r="N516" i="16"/>
  <c r="N2175" i="16"/>
  <c r="N1591" i="16"/>
  <c r="N1788" i="16"/>
  <c r="N1008" i="16"/>
  <c r="N672" i="16"/>
  <c r="N1741" i="16"/>
  <c r="N859" i="16"/>
  <c r="N435" i="16"/>
  <c r="N735" i="16"/>
  <c r="N1206" i="16"/>
  <c r="N109" i="16"/>
  <c r="N99" i="16"/>
  <c r="N390" i="16"/>
  <c r="N640" i="16"/>
  <c r="N394" i="16"/>
  <c r="N1369" i="16"/>
  <c r="N2012" i="16"/>
  <c r="N1324" i="16"/>
  <c r="N601" i="16"/>
  <c r="N290" i="16"/>
  <c r="N1384" i="16"/>
  <c r="N1665" i="16"/>
  <c r="N2238" i="16"/>
  <c r="N1917" i="16"/>
  <c r="N439" i="16"/>
  <c r="N1417" i="16"/>
  <c r="N755" i="16"/>
  <c r="N1839" i="16"/>
  <c r="N2280" i="16"/>
  <c r="N149" i="16"/>
  <c r="N724" i="16"/>
  <c r="N1057" i="16"/>
  <c r="N412" i="16"/>
  <c r="N2232" i="16"/>
  <c r="N855" i="16"/>
  <c r="N1822" i="16"/>
  <c r="N383" i="16"/>
  <c r="N2319" i="16"/>
  <c r="N1145" i="16"/>
  <c r="N1834" i="16"/>
  <c r="N1323" i="16"/>
  <c r="N1354" i="16"/>
  <c r="N2283" i="16"/>
  <c r="N1686" i="16"/>
  <c r="N698" i="16"/>
  <c r="N1229" i="16"/>
  <c r="N1905" i="16"/>
  <c r="N710" i="16"/>
  <c r="N1975" i="16"/>
  <c r="N1594" i="16"/>
  <c r="N1259" i="16"/>
  <c r="N1936" i="16"/>
  <c r="N103" i="16"/>
  <c r="N1196" i="16"/>
  <c r="N1798" i="16"/>
  <c r="N483" i="16"/>
  <c r="N2119" i="16"/>
  <c r="N2136" i="16"/>
  <c r="N2172" i="16"/>
  <c r="N1404" i="16"/>
  <c r="N2341" i="16"/>
  <c r="N2016" i="16"/>
  <c r="N657" i="16"/>
  <c r="N1527" i="16"/>
  <c r="N1456" i="16"/>
  <c r="N1663" i="16"/>
  <c r="N873" i="16"/>
  <c r="N1385" i="16"/>
  <c r="N1265" i="16"/>
  <c r="N32" i="16"/>
  <c r="N123" i="16"/>
  <c r="N1425" i="16"/>
  <c r="N1821" i="16"/>
  <c r="N380" i="16"/>
  <c r="N1144" i="16"/>
  <c r="N1818" i="16"/>
  <c r="N2161" i="16"/>
  <c r="N1773" i="16"/>
  <c r="N2067" i="16"/>
  <c r="N1806" i="16"/>
  <c r="N829" i="16"/>
  <c r="N989" i="16"/>
  <c r="N2233" i="16"/>
  <c r="N26" i="16"/>
  <c r="N2174" i="16"/>
  <c r="N1947" i="16"/>
  <c r="N1903" i="16"/>
  <c r="N857" i="16"/>
  <c r="N1453" i="16"/>
  <c r="N757" i="16"/>
  <c r="N1329" i="16"/>
  <c r="N2326" i="16"/>
  <c r="N1652" i="16"/>
  <c r="N1669" i="16"/>
  <c r="N628" i="16"/>
  <c r="N736" i="16"/>
  <c r="N12" i="16"/>
  <c r="N1334" i="16"/>
  <c r="N405" i="16"/>
  <c r="N1812" i="16"/>
  <c r="N1868" i="16"/>
  <c r="N1706" i="16"/>
  <c r="N165" i="16"/>
  <c r="N1688" i="16"/>
  <c r="N744" i="16"/>
  <c r="N1089" i="16"/>
  <c r="N1095" i="16"/>
  <c r="N629" i="16"/>
  <c r="N1045" i="16"/>
  <c r="N1010" i="16"/>
  <c r="N802" i="16"/>
  <c r="N887" i="16"/>
  <c r="N810" i="16"/>
  <c r="N1771" i="16"/>
  <c r="N208" i="16"/>
  <c r="N1750" i="16"/>
  <c r="N135" i="16"/>
  <c r="N985" i="16"/>
  <c r="N1120" i="16"/>
  <c r="N171" i="16"/>
  <c r="N278" i="16"/>
  <c r="N525" i="16"/>
  <c r="N807" i="16"/>
  <c r="N1098" i="16"/>
  <c r="N809" i="16"/>
  <c r="N1153" i="16"/>
  <c r="N623" i="16"/>
  <c r="N1287" i="16"/>
  <c r="N2223" i="16"/>
  <c r="N2118" i="16"/>
  <c r="N1490" i="16"/>
  <c r="N2031" i="16"/>
  <c r="N1694" i="16"/>
  <c r="N872" i="16"/>
  <c r="N886" i="16"/>
  <c r="N2211" i="16"/>
  <c r="N2203" i="16"/>
  <c r="N1337" i="16"/>
  <c r="N382" i="16"/>
  <c r="N537" i="16"/>
  <c r="N129" i="16"/>
  <c r="N515" i="16"/>
  <c r="N828" i="16"/>
  <c r="N2126" i="16"/>
  <c r="N968" i="16"/>
  <c r="N1514" i="16"/>
  <c r="N1558" i="16"/>
  <c r="N971" i="16"/>
  <c r="N2026" i="16"/>
  <c r="N2306" i="16"/>
  <c r="N43" i="16"/>
  <c r="N2295" i="16"/>
  <c r="N1664" i="16"/>
  <c r="N2279" i="16"/>
  <c r="N1683" i="16"/>
  <c r="N1112" i="16"/>
  <c r="N2334" i="16"/>
  <c r="N323" i="16"/>
  <c r="N898" i="16"/>
  <c r="N1119" i="16"/>
  <c r="N1909" i="16"/>
  <c r="N1381" i="16"/>
  <c r="N1631" i="16"/>
  <c r="N403" i="16"/>
  <c r="N1655" i="16"/>
  <c r="N159" i="16"/>
  <c r="N1944" i="16"/>
  <c r="N1733" i="16"/>
  <c r="N967" i="16"/>
  <c r="N1272" i="16"/>
  <c r="N1205" i="16"/>
  <c r="N2333" i="16"/>
  <c r="N1150" i="16"/>
  <c r="N138" i="16"/>
  <c r="N1058" i="16"/>
  <c r="N2303" i="16"/>
  <c r="N1132" i="16"/>
  <c r="N1374" i="16"/>
  <c r="N784" i="16"/>
  <c r="N1804" i="16"/>
  <c r="N1363" i="16"/>
  <c r="N1460" i="16"/>
  <c r="N1976" i="16"/>
  <c r="N622" i="16"/>
  <c r="N1729" i="16"/>
  <c r="N958" i="16"/>
  <c r="N81" i="16"/>
  <c r="N1635" i="16"/>
  <c r="N484" i="16"/>
  <c r="N215" i="16"/>
  <c r="N2131" i="16"/>
  <c r="N1698" i="16"/>
  <c r="N2042" i="16"/>
  <c r="N910" i="16"/>
  <c r="N36" i="16"/>
  <c r="N226" i="16"/>
  <c r="N68" i="16"/>
  <c r="N703" i="16"/>
  <c r="N472" i="16"/>
  <c r="N67" i="16"/>
  <c r="N1721" i="16"/>
  <c r="N252" i="16"/>
  <c r="N2028" i="16"/>
  <c r="N1173" i="16"/>
  <c r="N1636" i="16"/>
  <c r="N327" i="16"/>
  <c r="N148" i="16"/>
  <c r="N833" i="16"/>
  <c r="N2075" i="16"/>
  <c r="N1189" i="16"/>
  <c r="N760" i="16"/>
  <c r="N2270" i="16"/>
  <c r="N1188" i="16"/>
  <c r="N117" i="16"/>
  <c r="N544" i="16"/>
  <c r="N1584" i="16"/>
  <c r="N830" i="16"/>
  <c r="N1797" i="16"/>
  <c r="N1155" i="16"/>
  <c r="N1043" i="16"/>
  <c r="N1114" i="16"/>
  <c r="N2032" i="16"/>
  <c r="N1927" i="16"/>
  <c r="N2268" i="16"/>
  <c r="N2123" i="16"/>
  <c r="N1209" i="16"/>
  <c r="N852" i="16"/>
  <c r="N2235" i="16"/>
  <c r="N2163" i="16"/>
  <c r="N851" i="16"/>
  <c r="N913" i="16"/>
  <c r="N677" i="16"/>
  <c r="N1176" i="16"/>
  <c r="N1442" i="16"/>
  <c r="N1379" i="16"/>
  <c r="N1805" i="16"/>
  <c r="N1172" i="16"/>
  <c r="N53" i="16"/>
  <c r="N1553" i="16"/>
  <c r="N689" i="16"/>
  <c r="N1024" i="16"/>
  <c r="N543" i="16"/>
  <c r="N1687" i="16"/>
  <c r="N964" i="16"/>
  <c r="N422" i="16"/>
  <c r="N1522" i="16"/>
  <c r="N2241" i="16"/>
  <c r="N858" i="16"/>
  <c r="N2129" i="16"/>
  <c r="N2336" i="16"/>
  <c r="N846" i="16"/>
  <c r="N2284" i="16"/>
  <c r="N499" i="16"/>
  <c r="N343" i="16"/>
  <c r="N24" i="16"/>
  <c r="N650" i="16"/>
  <c r="N1801" i="16"/>
  <c r="N2153" i="16"/>
  <c r="N444" i="16"/>
  <c r="N590" i="16"/>
  <c r="N353" i="16"/>
  <c r="N1322" i="16"/>
  <c r="N424" i="16"/>
  <c r="N771" i="16"/>
  <c r="N2195" i="16"/>
  <c r="N291" i="16"/>
  <c r="N1877" i="16"/>
  <c r="N10" i="16"/>
  <c r="N2313" i="16"/>
  <c r="N379" i="16"/>
  <c r="N1959" i="16"/>
  <c r="N1269" i="16"/>
  <c r="N1919" i="16"/>
  <c r="N877" i="16"/>
  <c r="N443" i="16"/>
  <c r="N1390" i="16"/>
  <c r="N111" i="16"/>
  <c r="N2318" i="16"/>
  <c r="N1422" i="16"/>
  <c r="N2116" i="16"/>
  <c r="N1985" i="16"/>
  <c r="N1970" i="16"/>
  <c r="N2282" i="16"/>
  <c r="N2269" i="16"/>
  <c r="N742" i="16"/>
  <c r="N408" i="16"/>
  <c r="N2237" i="16"/>
  <c r="N1651" i="16"/>
  <c r="N917" i="16"/>
  <c r="N1529" i="16"/>
  <c r="N237" i="16"/>
  <c r="N2056" i="16"/>
  <c r="N1086" i="16"/>
  <c r="N1515" i="16"/>
  <c r="N1778" i="16"/>
  <c r="N2038" i="16"/>
  <c r="N606" i="16"/>
  <c r="N1832" i="16"/>
  <c r="N1865" i="16"/>
  <c r="N2025" i="16"/>
  <c r="N2173" i="16"/>
  <c r="N669" i="16"/>
  <c r="N2296" i="16"/>
  <c r="N956" i="16"/>
  <c r="N1020" i="16"/>
  <c r="N937" i="16"/>
  <c r="N222" i="16"/>
  <c r="N827" i="16"/>
  <c r="N1561" i="16"/>
  <c r="N1657" i="16"/>
  <c r="N1255" i="16"/>
  <c r="N2288" i="16"/>
  <c r="N268" i="16"/>
  <c r="N574" i="16"/>
  <c r="N2063" i="16"/>
  <c r="N1214" i="16"/>
  <c r="N2044" i="16"/>
  <c r="N485" i="16"/>
  <c r="N28" i="16"/>
  <c r="N1958" i="16"/>
  <c r="N1444" i="16"/>
  <c r="N539" i="16"/>
  <c r="N2225" i="16"/>
  <c r="N1878" i="16"/>
  <c r="N1672" i="16"/>
  <c r="N909" i="16"/>
  <c r="N211" i="16"/>
  <c r="N440" i="16"/>
  <c r="N1951" i="16"/>
  <c r="N2041" i="16"/>
  <c r="N1252" i="16"/>
  <c r="N9" i="16"/>
  <c r="N474" i="16"/>
  <c r="N649" i="16"/>
  <c r="N1550" i="16"/>
  <c r="N1418" i="16"/>
  <c r="N220" i="16"/>
  <c r="N1419" i="16"/>
  <c r="N315" i="16"/>
  <c r="N169" i="16"/>
  <c r="N754" i="16"/>
  <c r="N1848" i="16"/>
  <c r="N1690" i="16"/>
  <c r="N260" i="16"/>
  <c r="N2262" i="16"/>
  <c r="N636" i="16"/>
  <c r="N871" i="16"/>
  <c r="N1599" i="16"/>
  <c r="N1165" i="16"/>
  <c r="N2224" i="16"/>
  <c r="N1841" i="16"/>
  <c r="N1638" i="16"/>
  <c r="N856" i="16"/>
  <c r="N1628" i="16"/>
  <c r="N1625" i="16"/>
  <c r="N1920" i="16"/>
  <c r="N930" i="16"/>
  <c r="N122" i="16"/>
  <c r="N1949" i="16"/>
  <c r="N1464" i="16"/>
  <c r="N179" i="16"/>
  <c r="N1223" i="16"/>
  <c r="N1837" i="16"/>
  <c r="N1059" i="16"/>
  <c r="N248" i="16"/>
  <c r="N2206" i="16"/>
  <c r="N1580" i="16"/>
  <c r="N172" i="16"/>
  <c r="N1997" i="16"/>
  <c r="N229" i="16"/>
  <c r="N952" i="16"/>
  <c r="N844" i="16"/>
  <c r="N1533" i="16"/>
  <c r="N2109" i="16"/>
  <c r="N1175" i="16"/>
  <c r="N821" i="16"/>
  <c r="N671" i="16"/>
  <c r="N1774" i="16"/>
  <c r="N983" i="16"/>
  <c r="N778" i="16"/>
  <c r="N1815" i="16"/>
  <c r="N303" i="16"/>
  <c r="N2090" i="16"/>
  <c r="N2298" i="16"/>
  <c r="N2259" i="16"/>
  <c r="N143" i="16"/>
  <c r="N407" i="16"/>
  <c r="N1056" i="16"/>
  <c r="N2117" i="16"/>
  <c r="N1922" i="16"/>
  <c r="N2310" i="16"/>
  <c r="N1548" i="16"/>
  <c r="N1906" i="16"/>
  <c r="N1623" i="16"/>
  <c r="N1693" i="16"/>
  <c r="N411" i="16"/>
  <c r="N561" i="16"/>
  <c r="N1582" i="16"/>
  <c r="N15" i="16"/>
  <c r="N2315" i="16"/>
  <c r="N2054" i="16"/>
  <c r="N42" i="16"/>
  <c r="N1375" i="16"/>
  <c r="N2121" i="16"/>
  <c r="N1658" i="16"/>
  <c r="N1682" i="16"/>
  <c r="N1458" i="16"/>
  <c r="N2127" i="16"/>
  <c r="N1101" i="16"/>
  <c r="N98" i="16"/>
  <c r="N1772" i="16"/>
  <c r="N1611" i="16"/>
  <c r="N750" i="16"/>
  <c r="N1866" i="16"/>
  <c r="N1923" i="16"/>
  <c r="N41" i="16"/>
  <c r="N1546" i="16"/>
  <c r="N2091" i="16"/>
  <c r="N998" i="16"/>
  <c r="N1510" i="16"/>
  <c r="N1885" i="16"/>
  <c r="N201" i="16"/>
  <c r="N1127" i="16"/>
  <c r="N230" i="16"/>
  <c r="N988" i="16"/>
  <c r="N1501" i="16"/>
  <c r="N1684" i="16"/>
  <c r="N773" i="16"/>
  <c r="N466" i="16"/>
  <c r="N1203" i="16"/>
  <c r="N1274" i="16"/>
  <c r="N1549" i="16"/>
  <c r="N2231" i="16"/>
  <c r="N1802" i="16"/>
  <c r="N1872" i="16"/>
  <c r="N1726" i="16"/>
  <c r="N1593" i="16"/>
  <c r="N815" i="16"/>
  <c r="N803" i="16"/>
  <c r="N2198" i="16"/>
  <c r="N794" i="16"/>
  <c r="N166" i="16"/>
  <c r="N1046" i="16"/>
  <c r="N1513" i="16"/>
  <c r="N878" i="16"/>
  <c r="N1869" i="16"/>
  <c r="N1602" i="16"/>
  <c r="N1634" i="16"/>
  <c r="N1930" i="16"/>
  <c r="N678" i="16"/>
  <c r="N603" i="16"/>
  <c r="N1793" i="16"/>
  <c r="N614" i="16"/>
  <c r="N56" i="16"/>
  <c r="N180" i="16"/>
  <c r="N57" i="16"/>
  <c r="N404" i="16"/>
  <c r="N413" i="16"/>
  <c r="N814" i="16"/>
  <c r="N2260" i="16"/>
  <c r="N1671" i="16"/>
  <c r="N274" i="16"/>
  <c r="N1438" i="16"/>
  <c r="N593" i="16"/>
  <c r="N1187" i="16"/>
  <c r="N1918" i="16"/>
  <c r="N546" i="16"/>
  <c r="N354" i="16"/>
  <c r="N1183" i="16"/>
  <c r="N224" i="16"/>
  <c r="N916" i="16"/>
  <c r="N1904" i="16"/>
  <c r="N2196" i="16"/>
  <c r="N1532" i="16"/>
  <c r="N1079" i="16"/>
  <c r="N397" i="16"/>
  <c r="N1023" i="16"/>
  <c r="N1489" i="16"/>
  <c r="N1843" i="16"/>
  <c r="N2104" i="16"/>
  <c r="N467" i="16"/>
  <c r="N128" i="16"/>
  <c r="N164" i="16"/>
  <c r="N1240" i="16"/>
  <c r="N566" i="16"/>
  <c r="N618" i="16"/>
  <c r="N1246" i="16"/>
  <c r="N2033" i="16"/>
  <c r="N1755" i="16"/>
  <c r="N2229" i="16"/>
  <c r="N423" i="16"/>
  <c r="N1828" i="16"/>
  <c r="N1827" i="16"/>
  <c r="N1395" i="16"/>
  <c r="N1264" i="16"/>
  <c r="N372" i="16"/>
  <c r="N712" i="16"/>
  <c r="N37" i="16"/>
  <c r="N311" i="16"/>
  <c r="N1697" i="16"/>
  <c r="N1759" i="16"/>
  <c r="N142" i="16"/>
  <c r="N1314" i="16"/>
  <c r="N289" i="16"/>
  <c r="N2021" i="16"/>
  <c r="N2322" i="16"/>
  <c r="N2000" i="16"/>
  <c r="N670" i="16"/>
  <c r="N1972" i="16"/>
  <c r="N2292" i="16"/>
  <c r="N1762" i="16"/>
  <c r="N536" i="16"/>
  <c r="N2266" i="16"/>
  <c r="N1880" i="16"/>
  <c r="N1855" i="16"/>
  <c r="N1898" i="16"/>
  <c r="N2312" i="16"/>
  <c r="N378" i="16"/>
  <c r="N2027" i="16"/>
  <c r="N1238" i="16"/>
  <c r="N2287" i="16"/>
  <c r="N418" i="16"/>
  <c r="N346" i="16"/>
  <c r="N880" i="16"/>
  <c r="N2097" i="16"/>
  <c r="N510" i="16"/>
  <c r="N486" i="16"/>
  <c r="N1234" i="16"/>
  <c r="N1539" i="16"/>
  <c r="N2331" i="16"/>
  <c r="N2029" i="16"/>
  <c r="N1952" i="16"/>
  <c r="N377" i="16"/>
  <c r="N2049" i="16"/>
  <c r="N1237" i="16"/>
  <c r="N2286" i="16"/>
  <c r="N926" i="16"/>
  <c r="N2332" i="16"/>
  <c r="N714" i="16"/>
  <c r="N369" i="16"/>
  <c r="N1883" i="16"/>
  <c r="N1424" i="16"/>
  <c r="N823" i="16"/>
  <c r="N490" i="16"/>
  <c r="N2176" i="16"/>
  <c r="N1247" i="16"/>
  <c r="N1414" i="16"/>
  <c r="N2245" i="16"/>
  <c r="N1201" i="16"/>
  <c r="N1021" i="16"/>
  <c r="N2327" i="16"/>
  <c r="N1860" i="16"/>
  <c r="N1712" i="16"/>
  <c r="N410" i="16"/>
  <c r="N2300" i="16"/>
  <c r="N376" i="16"/>
  <c r="N2130" i="16"/>
  <c r="N245" i="16"/>
  <c r="N2171" i="16"/>
  <c r="N1040" i="16"/>
  <c r="N2329" i="16"/>
  <c r="N1963" i="16"/>
  <c r="N1968" i="16"/>
  <c r="N2053" i="16"/>
  <c r="N1423" i="16"/>
  <c r="N1742" i="16"/>
  <c r="N866" i="16"/>
  <c r="N1517" i="16"/>
  <c r="N150" i="16"/>
  <c r="N631" i="16"/>
  <c r="N1505" i="16"/>
  <c r="N1518" i="16"/>
  <c r="N567" i="16"/>
  <c r="N1765" i="16"/>
  <c r="N342" i="16"/>
  <c r="N931" i="16"/>
  <c r="N557" i="16"/>
  <c r="N55" i="16"/>
  <c r="N840" i="16"/>
  <c r="N21" i="16"/>
  <c r="N1432" i="16"/>
  <c r="N492" i="16"/>
  <c r="N981" i="16"/>
  <c r="N48" i="16"/>
  <c r="N1111" i="16"/>
  <c r="N78" i="16"/>
  <c r="N1509" i="16"/>
  <c r="N2011" i="16"/>
  <c r="N1785" i="16"/>
  <c r="N88" i="16"/>
  <c r="N249" i="16"/>
  <c r="N1902" i="16"/>
  <c r="N1273" i="16"/>
  <c r="N1080" i="16"/>
  <c r="N1469" i="16"/>
  <c r="N225" i="16"/>
  <c r="N1540" i="16"/>
  <c r="N144" i="16"/>
  <c r="N694" i="16"/>
  <c r="N925" i="16"/>
  <c r="N417" i="16"/>
  <c r="N914" i="16"/>
  <c r="N2170" i="16"/>
  <c r="N2146" i="16"/>
  <c r="N854" i="16"/>
  <c r="N361" i="16"/>
  <c r="N1589" i="16"/>
  <c r="N1888" i="16"/>
  <c r="N679" i="16"/>
  <c r="N1727" i="16"/>
  <c r="N683" i="16"/>
  <c r="N8" i="16"/>
  <c r="N586" i="16"/>
  <c r="N2210" i="16"/>
  <c r="N204" i="16"/>
  <c r="N1152" i="16"/>
  <c r="N1467" i="16"/>
  <c r="N1339" i="16"/>
  <c r="N984" i="16"/>
  <c r="N899" i="16"/>
  <c r="N1017" i="16"/>
  <c r="N541" i="16"/>
  <c r="N1333" i="16"/>
  <c r="N1854" i="16"/>
  <c r="N2258" i="16"/>
  <c r="N1799" i="16"/>
  <c r="N1328" i="16"/>
  <c r="N696" i="16"/>
  <c r="N1361" i="16"/>
  <c r="N1537" i="16"/>
  <c r="N519" i="16"/>
  <c r="N2219" i="16"/>
  <c r="N1003" i="16"/>
  <c r="N949" i="16"/>
  <c r="N238" i="16"/>
  <c r="N207" i="16"/>
  <c r="N571" i="16"/>
  <c r="N644" i="16"/>
  <c r="N1033" i="16"/>
  <c r="N1088" i="16"/>
  <c r="N934" i="16"/>
  <c r="N1443" i="16"/>
  <c r="N1470" i="16"/>
  <c r="N356" i="16"/>
  <c r="N2275" i="16"/>
  <c r="N1052" i="16"/>
  <c r="N1618" i="16"/>
  <c r="N1957" i="16"/>
  <c r="N1142" i="16"/>
  <c r="N147" i="16"/>
  <c r="N690" i="16"/>
  <c r="N1787" i="16"/>
  <c r="N1042" i="16"/>
  <c r="N140" i="16"/>
  <c r="N1807" i="16"/>
  <c r="N304" i="16"/>
  <c r="N522" i="16"/>
  <c r="N2208" i="16"/>
  <c r="N223" i="16"/>
  <c r="N1396" i="16"/>
  <c r="N1210" i="16"/>
  <c r="N188" i="16"/>
  <c r="N653" i="16"/>
  <c r="N520" i="16"/>
  <c r="N86" i="16"/>
  <c r="N1973" i="16"/>
  <c r="N1268" i="16"/>
  <c r="N737" i="16"/>
  <c r="N2141" i="16"/>
  <c r="N420" i="16"/>
  <c r="N1674" i="16"/>
  <c r="N1754" i="16"/>
  <c r="N334" i="16"/>
  <c r="N341" i="16"/>
  <c r="N865" i="16"/>
  <c r="N1845" i="16"/>
  <c r="N253" i="16"/>
  <c r="N89" i="16"/>
  <c r="N791" i="16"/>
  <c r="N2018" i="16"/>
  <c r="N1979" i="16"/>
  <c r="N1162" i="16"/>
  <c r="N928" i="16"/>
  <c r="N500" i="16"/>
  <c r="N1409" i="16"/>
  <c r="N2276" i="16"/>
  <c r="N2179" i="16"/>
  <c r="N1980" i="16"/>
  <c r="N1626" i="16"/>
  <c r="N2092" i="16"/>
  <c r="N192" i="16"/>
  <c r="N2043" i="16"/>
  <c r="N2340" i="16"/>
  <c r="N139" i="16"/>
  <c r="N2052" i="16"/>
  <c r="N1500" i="16"/>
  <c r="N126" i="16"/>
  <c r="N2017" i="16"/>
  <c r="N2323" i="16"/>
  <c r="N1955" i="16"/>
  <c r="N244" i="16"/>
  <c r="N381" i="16"/>
  <c r="N2293" i="16"/>
  <c r="N1466" i="16"/>
  <c r="N2157" i="16"/>
  <c r="N511" i="16"/>
  <c r="N1077" i="16"/>
  <c r="N819" i="16"/>
  <c r="N682" i="16"/>
  <c r="N141" i="16"/>
  <c r="N1260" i="16"/>
  <c r="N685" i="16"/>
  <c r="N1779" i="16"/>
  <c r="N596" i="16"/>
  <c r="N442" i="16"/>
  <c r="N1609" i="16"/>
  <c r="N196" i="16"/>
  <c r="N600" i="16"/>
  <c r="N1649" i="16"/>
  <c r="N758" i="16"/>
  <c r="N1612" i="16"/>
  <c r="N1019" i="16"/>
  <c r="N1297" i="16"/>
  <c r="N1875" i="16"/>
  <c r="N1007" i="16"/>
  <c r="N1716" i="16"/>
  <c r="N1036" i="16"/>
  <c r="N156" i="16"/>
  <c r="N212" i="16"/>
  <c r="N1656" i="16"/>
  <c r="N463" i="16"/>
  <c r="N39" i="16"/>
  <c r="N1498" i="16"/>
  <c r="N1620" i="16"/>
  <c r="N263" i="16"/>
  <c r="N1991" i="16"/>
  <c r="N882" i="16"/>
  <c r="N409" i="16"/>
  <c r="N137" i="16"/>
  <c r="N2158" i="16"/>
  <c r="N2248" i="16"/>
  <c r="N938" i="16"/>
  <c r="N609" i="16"/>
  <c r="N961" i="16"/>
  <c r="N2227" i="16"/>
  <c r="N434" i="16"/>
  <c r="N2220" i="16"/>
  <c r="N1004" i="16"/>
  <c r="N312" i="16"/>
  <c r="N239" i="16"/>
  <c r="N1896" i="16"/>
  <c r="N190" i="16"/>
  <c r="N193" i="16"/>
  <c r="N966" i="16"/>
  <c r="N1211" i="16"/>
  <c r="N145" i="16"/>
  <c r="N1047" i="16"/>
  <c r="N902" i="16"/>
  <c r="N2285" i="16"/>
  <c r="N1335" i="16"/>
  <c r="N364" i="16"/>
  <c r="N746" i="16"/>
  <c r="N1910" i="16"/>
  <c r="N1029" i="16"/>
  <c r="N1076" i="16"/>
  <c r="N1746" i="16"/>
  <c r="N2226" i="16"/>
  <c r="N90" i="16"/>
  <c r="N1012" i="16"/>
  <c r="N1359" i="16"/>
  <c r="N468" i="16"/>
  <c r="N2214" i="16"/>
  <c r="N182" i="16"/>
  <c r="N50" i="16"/>
  <c r="N2201" i="16"/>
  <c r="N1884" i="16"/>
  <c r="N1406" i="16"/>
  <c r="N688" i="16"/>
  <c r="N908" i="16"/>
  <c r="N1895" i="16"/>
  <c r="N30" i="16"/>
  <c r="N1622" i="16"/>
  <c r="N638" i="16"/>
  <c r="N480" i="16"/>
  <c r="N1760" i="16"/>
  <c r="N174" i="16"/>
  <c r="N1632" i="16"/>
  <c r="N1407" i="16"/>
  <c r="N1310" i="16"/>
  <c r="N1191" i="16"/>
  <c r="N1060" i="16"/>
  <c r="N473" i="16"/>
  <c r="N1039" i="16"/>
  <c r="N575" i="16"/>
  <c r="N651" i="16"/>
  <c r="N1170" i="16"/>
  <c r="N2199" i="16"/>
  <c r="N2178" i="16"/>
  <c r="N1388" i="16"/>
  <c r="N181" i="16"/>
  <c r="N456" i="16"/>
  <c r="N699" i="16"/>
  <c r="N1795" i="16"/>
  <c r="N581" i="16"/>
  <c r="N1332" i="16"/>
  <c r="N848" i="16"/>
  <c r="N1482" i="16"/>
  <c r="N1502" i="16"/>
  <c r="N2236" i="16"/>
  <c r="N421" i="16"/>
  <c r="N65" i="16"/>
  <c r="N853" i="16"/>
  <c r="N7" i="16"/>
  <c r="N1586" i="16"/>
  <c r="N2278" i="16"/>
  <c r="N832" i="16"/>
  <c r="N972" i="16"/>
  <c r="N907" i="16"/>
  <c r="N591" i="16"/>
  <c r="N2095" i="16"/>
  <c r="N1298" i="16"/>
  <c r="N752" i="16"/>
  <c r="N130" i="16"/>
  <c r="N2076" i="16"/>
  <c r="N987" i="16"/>
  <c r="N1847" i="16"/>
  <c r="N1448" i="16"/>
  <c r="N2145" i="16"/>
  <c r="N637" i="16"/>
  <c r="N1996" i="16"/>
  <c r="N1796" i="16"/>
  <c r="N2317" i="16"/>
  <c r="N2302" i="16"/>
  <c r="N1026" i="16"/>
  <c r="N1495" i="16"/>
  <c r="N1557" i="16"/>
  <c r="N2321" i="16"/>
  <c r="N2308" i="16"/>
  <c r="N621" i="16"/>
  <c r="N2299" i="16"/>
  <c r="N957" i="16"/>
  <c r="N2128" i="16"/>
  <c r="N1685" i="16"/>
  <c r="N940" i="16"/>
  <c r="N325" i="16"/>
  <c r="N1803" i="16"/>
  <c r="N2142" i="16"/>
  <c r="N1037" i="16"/>
  <c r="N1556" i="16"/>
  <c r="N431" i="16"/>
  <c r="N313" i="16"/>
  <c r="N584" i="16"/>
  <c r="N365" i="16"/>
  <c r="N191" i="16"/>
  <c r="N2202" i="16"/>
  <c r="N1195" i="16"/>
  <c r="N1780" i="16"/>
  <c r="N1619" i="16"/>
  <c r="N1809" i="16"/>
  <c r="N904" i="16"/>
  <c r="N1570" i="16"/>
  <c r="N1313" i="16"/>
  <c r="N35" i="16"/>
  <c r="N722" i="16"/>
  <c r="N799" i="16"/>
  <c r="N242" i="16"/>
  <c r="N75" i="16"/>
  <c r="N281" i="16"/>
  <c r="N738" i="16"/>
  <c r="N464" i="16"/>
  <c r="N822" i="16"/>
  <c r="N227" i="16"/>
  <c r="N336" i="16"/>
  <c r="N261" i="16"/>
  <c r="N254" i="16"/>
  <c r="N534" i="16"/>
  <c r="N954" i="16"/>
  <c r="N438" i="16"/>
  <c r="N1911" i="16"/>
  <c r="N1030" i="16"/>
  <c r="N1355" i="16"/>
  <c r="N1756" i="16"/>
  <c r="N1496" i="16"/>
  <c r="N91" i="16"/>
  <c r="N1013" i="16"/>
  <c r="N87" i="16"/>
  <c r="N1429" i="16"/>
  <c r="N2215" i="16"/>
  <c r="N1117" i="16"/>
  <c r="N213" i="16"/>
  <c r="N662" i="16"/>
  <c r="N228" i="16"/>
  <c r="N1702" i="16"/>
  <c r="N58" i="16"/>
  <c r="N497" i="16"/>
  <c r="N924" i="16"/>
  <c r="N116" i="16"/>
  <c r="N1483" i="16"/>
  <c r="N2162" i="16"/>
  <c r="N1421" i="16"/>
  <c r="N2122" i="16"/>
  <c r="N363" i="16"/>
  <c r="N96" i="16"/>
  <c r="N1092" i="16"/>
  <c r="N1941" i="16"/>
  <c r="N1360" i="16"/>
  <c r="N1916" i="16"/>
  <c r="N1034" i="16"/>
  <c r="N753" i="16"/>
  <c r="N82" i="16"/>
  <c r="N1215" i="16"/>
  <c r="N428" i="16"/>
  <c r="N1397" i="16"/>
  <c r="N1476" i="16"/>
  <c r="N935" i="16"/>
  <c r="N384" i="16"/>
  <c r="N521" i="16"/>
  <c r="N1554" i="16"/>
  <c r="N167" i="16"/>
  <c r="N2102" i="16"/>
  <c r="N2264" i="16"/>
  <c r="N980" i="16"/>
  <c r="N2086" i="16"/>
  <c r="N869" i="16"/>
  <c r="N1790" i="16"/>
  <c r="N1391" i="16"/>
  <c r="N1998" i="16"/>
  <c r="N725" i="16"/>
  <c r="N1752" i="16"/>
  <c r="N125" i="16"/>
  <c r="N1491" i="16"/>
  <c r="N719" i="16"/>
  <c r="N1398" i="16"/>
  <c r="N627" i="16"/>
  <c r="N2078" i="16"/>
  <c r="N1002" i="16"/>
  <c r="N1454" i="16"/>
  <c r="N177" i="16"/>
  <c r="N2060" i="16"/>
  <c r="N1154" i="16"/>
  <c r="N1794" i="16"/>
  <c r="N2061" i="16"/>
  <c r="N1074" i="16"/>
  <c r="N344" i="16"/>
  <c r="N1131" i="16"/>
  <c r="N2003" i="16"/>
  <c r="N2147" i="16"/>
  <c r="N1371" i="16"/>
  <c r="N847" i="16"/>
  <c r="N630" i="16"/>
  <c r="N73" i="16"/>
  <c r="N787" i="16"/>
  <c r="N945" i="16"/>
  <c r="N121" i="16"/>
  <c r="N13" i="16"/>
  <c r="N1126" i="16"/>
  <c r="N2159" i="16"/>
  <c r="N1894" i="16"/>
  <c r="N772" i="16"/>
  <c r="N751" i="16"/>
  <c r="N2301" i="16"/>
  <c r="N432" i="16"/>
  <c r="N613" i="16"/>
  <c r="N1867" i="16"/>
  <c r="N1792" i="16"/>
  <c r="N1744" i="16"/>
  <c r="N469" i="16"/>
  <c r="N2309" i="16"/>
  <c r="N2249" i="16"/>
  <c r="N1488" i="16"/>
  <c r="N2330" i="16"/>
  <c r="N2311" i="16"/>
  <c r="N1637" i="16"/>
  <c r="N948" i="16"/>
  <c r="N1681" i="16"/>
  <c r="N1838" i="16"/>
  <c r="N1710" i="16"/>
  <c r="N2307" i="16"/>
  <c r="N70" i="16"/>
  <c r="N1811" i="16"/>
  <c r="N986" i="16"/>
  <c r="N307" i="16"/>
  <c r="N2244" i="16"/>
  <c r="N2138" i="16"/>
  <c r="N503" i="16"/>
  <c r="N1526" i="16"/>
  <c r="N2105" i="16"/>
  <c r="N686" i="16"/>
  <c r="N104" i="16"/>
  <c r="N514" i="16"/>
  <c r="N250" i="16"/>
  <c r="N951" i="16"/>
  <c r="N1814" i="16"/>
  <c r="N152" i="16"/>
  <c r="N639" i="16"/>
  <c r="N1163" i="16"/>
  <c r="N2190" i="16"/>
  <c r="N1451" i="16"/>
  <c r="N1544" i="16"/>
  <c r="N1204" i="16"/>
  <c r="N666" i="16"/>
  <c r="N795" i="16"/>
  <c r="N813" i="16"/>
  <c r="N564" i="16"/>
  <c r="N317" i="16"/>
  <c r="N471" i="16"/>
  <c r="N554" i="16"/>
  <c r="N681" i="16"/>
  <c r="N22" i="16"/>
  <c r="N246" i="16"/>
  <c r="N2108" i="16"/>
  <c r="N1457" i="16"/>
  <c r="N406" i="16"/>
  <c r="N455" i="16"/>
  <c r="N107" i="16"/>
  <c r="N1914" i="16"/>
  <c r="N2082" i="16"/>
  <c r="N1516" i="16"/>
  <c r="N1434" i="16"/>
  <c r="N1376" i="16"/>
  <c r="N695" i="16"/>
  <c r="N667" i="16"/>
  <c r="N1874" i="16"/>
  <c r="N1006" i="16"/>
  <c r="N1715" i="16"/>
  <c r="N1035" i="16"/>
  <c r="N2216" i="16"/>
  <c r="N733" i="16"/>
  <c r="N1819" i="16"/>
  <c r="N214" i="16"/>
  <c r="N38" i="16"/>
  <c r="N843" i="16"/>
  <c r="N1503" i="16"/>
  <c r="N1497" i="16"/>
  <c r="N1990" i="16"/>
  <c r="N1307" i="16"/>
  <c r="N101" i="16"/>
  <c r="N1084" i="16"/>
  <c r="N2132" i="16"/>
  <c r="N481" i="16"/>
  <c r="N1737" i="16"/>
  <c r="N702" i="16"/>
  <c r="N1472" i="16"/>
  <c r="N1113" i="16"/>
  <c r="N1311" i="16"/>
  <c r="N1192" i="16"/>
  <c r="N1061" i="16"/>
  <c r="N797" i="16"/>
  <c r="N72" i="16"/>
  <c r="N576" i="16"/>
  <c r="N731" i="16"/>
  <c r="N1171" i="16"/>
  <c r="N2200" i="16"/>
  <c r="N2194" i="16"/>
  <c r="N337" i="16"/>
  <c r="N785" i="16"/>
  <c r="N658" i="16"/>
  <c r="N1713" i="16"/>
  <c r="N2281" i="16"/>
  <c r="N792" i="16"/>
  <c r="N864" i="16"/>
  <c r="N1336" i="16"/>
  <c r="N1871" i="16"/>
  <c r="N1230" i="16"/>
  <c r="N1758" i="16"/>
  <c r="N457" i="16"/>
  <c r="N777" i="16"/>
  <c r="N1921" i="16"/>
  <c r="N776" i="16"/>
  <c r="N990" i="16"/>
  <c r="N16" i="16"/>
  <c r="N1995" i="16"/>
  <c r="N2205" i="16"/>
  <c r="N1768" i="16"/>
  <c r="N626" i="16"/>
  <c r="N493" i="16"/>
  <c r="N2069" i="16"/>
  <c r="N687" i="16"/>
  <c r="N1471" i="16"/>
  <c r="N1836" i="16"/>
  <c r="N2256" i="16"/>
  <c r="N577" i="16"/>
  <c r="N18" i="16"/>
  <c r="N2297" i="16"/>
  <c r="N1777" i="16"/>
  <c r="N2098" i="16"/>
  <c r="N189" i="16"/>
  <c r="N389" i="16"/>
  <c r="N2065" i="16"/>
  <c r="N850" i="16"/>
  <c r="N654" i="16"/>
  <c r="N2263" i="16"/>
  <c r="N2125" i="16"/>
  <c r="N875" i="16"/>
  <c r="N2120" i="16"/>
  <c r="N1178" i="16"/>
  <c r="N195" i="16"/>
  <c r="N1660" i="16"/>
  <c r="N1559" i="16"/>
  <c r="N2213" i="16"/>
  <c r="N1025" i="16"/>
  <c r="N2320" i="16"/>
  <c r="N1964" i="16"/>
  <c r="N1938" i="16"/>
  <c r="N2304" i="16"/>
  <c r="N1830" i="16"/>
  <c r="N1764" i="16"/>
  <c r="N569" i="16"/>
  <c r="N624" i="16"/>
  <c r="N1462" i="16"/>
  <c r="N2014" i="16"/>
  <c r="N1430" i="16"/>
  <c r="N1624" i="16"/>
  <c r="N105" i="16"/>
  <c r="N1648" i="16"/>
  <c r="N1700" i="16"/>
  <c r="N939" i="16"/>
  <c r="N1844" i="16"/>
  <c r="N1978" i="16"/>
  <c r="N2035" i="16"/>
  <c r="N2048" i="16"/>
  <c r="N1823" i="16"/>
  <c r="N2339" i="16"/>
  <c r="N74" i="16"/>
  <c r="N1426" i="16"/>
  <c r="N2036" i="16"/>
  <c r="N1791" i="16"/>
  <c r="N1465" i="16"/>
  <c r="N2094" i="16"/>
  <c r="N1250" i="16"/>
  <c r="N2242" i="16"/>
  <c r="N509" i="16"/>
  <c r="N608" i="16"/>
  <c r="N1102" i="16"/>
  <c r="N1813" i="16"/>
  <c r="N800" i="16"/>
  <c r="N1717" i="16"/>
  <c r="N2080" i="16"/>
  <c r="N157" i="16"/>
  <c r="N168" i="16"/>
  <c r="N399" i="16"/>
  <c r="N209" i="16"/>
  <c r="N40" i="16"/>
  <c r="N1499" i="16"/>
  <c r="N1386" i="16"/>
  <c r="N264" i="16"/>
  <c r="N879" i="16"/>
  <c r="N1747" i="16"/>
  <c r="N632" i="16"/>
  <c r="N1521" i="16"/>
  <c r="N1344" i="16"/>
  <c r="N388" i="16"/>
  <c r="N2218" i="16"/>
  <c r="N33" i="16"/>
  <c r="N976" i="16"/>
  <c r="N134" i="16"/>
  <c r="N198" i="16"/>
  <c r="N119" i="16"/>
  <c r="N992" i="16"/>
  <c r="N842" i="16"/>
  <c r="N176" i="16"/>
  <c r="N1428" i="16"/>
  <c r="N102" i="16"/>
  <c r="N2273" i="16"/>
  <c r="N1598" i="16"/>
  <c r="N482" i="16"/>
  <c r="N1677" i="16"/>
  <c r="N1028" i="16"/>
  <c r="N1993" i="16"/>
  <c r="N479" i="16"/>
  <c r="N1312" i="16"/>
  <c r="N34" i="16"/>
  <c r="N1062" i="16"/>
  <c r="N798" i="16"/>
  <c r="N241" i="16"/>
  <c r="N950" i="16"/>
  <c r="N648" i="16"/>
  <c r="N23" i="16"/>
  <c r="N51" i="16"/>
  <c r="N965" i="16"/>
  <c r="N642" i="16"/>
  <c r="N1387" i="16"/>
  <c r="N133" i="16"/>
  <c r="N1695" i="16"/>
  <c r="N401" i="16"/>
  <c r="N2271" i="16"/>
  <c r="N2265" i="16"/>
  <c r="N1468" i="16"/>
  <c r="N2240" i="16"/>
  <c r="N870" i="16"/>
  <c r="N1630" i="16"/>
  <c r="N1670" i="16"/>
  <c r="N1999" i="16"/>
  <c r="N1808" i="16"/>
  <c r="N1753" i="16"/>
  <c r="N1382" i="16"/>
  <c r="N1133" i="16"/>
  <c r="N552" i="16"/>
  <c r="N2099" i="16"/>
  <c r="N646" i="16"/>
  <c r="N2197" i="16"/>
  <c r="N2085" i="16"/>
  <c r="N185" i="16"/>
  <c r="N178" i="16"/>
  <c r="N1091" i="16"/>
  <c r="N2289" i="16"/>
  <c r="N2154" i="16"/>
  <c r="N446" i="16"/>
  <c r="N2083" i="16"/>
  <c r="N1675" i="16"/>
  <c r="N1420" i="16"/>
  <c r="N991" i="16"/>
  <c r="N1825" i="16"/>
  <c r="N2139" i="16"/>
  <c r="N1158" i="16"/>
  <c r="N1873" i="16"/>
  <c r="N706" i="16"/>
  <c r="N1049" i="16"/>
  <c r="N763" i="16"/>
  <c r="N825" i="16"/>
  <c r="N1607" i="16"/>
  <c r="N729" i="16"/>
  <c r="N604" i="16"/>
  <c r="N1983" i="16"/>
  <c r="N170" i="16"/>
  <c r="N1048" i="16"/>
  <c r="N1551" i="16"/>
  <c r="N1436" i="16"/>
  <c r="N883" i="16"/>
  <c r="N14" i="16"/>
  <c r="N1239" i="16"/>
  <c r="N1181" i="16"/>
  <c r="N1362" i="16"/>
  <c r="N718" i="16"/>
  <c r="N903" i="16"/>
  <c r="N2110" i="16"/>
  <c r="N730" i="16"/>
  <c r="N416" i="16"/>
  <c r="N1887" i="16"/>
  <c r="N2192" i="16"/>
  <c r="N1224" i="16"/>
  <c r="N2217" i="16"/>
  <c r="N1331" i="16"/>
  <c r="N619" i="16"/>
  <c r="N1309" i="16"/>
  <c r="N1948" i="16"/>
  <c r="N2246" i="16"/>
  <c r="N46" i="16"/>
  <c r="N538" i="16"/>
  <c r="N1859" i="16"/>
  <c r="N1212" i="16"/>
  <c r="N568" i="16"/>
  <c r="N715" i="16"/>
  <c r="N1288" i="16"/>
  <c r="N1459" i="16"/>
  <c r="N2023" i="16"/>
  <c r="N2144" i="16"/>
  <c r="N504" i="16"/>
  <c r="N711" i="16"/>
  <c r="N106" i="16"/>
  <c r="N2037" i="16"/>
  <c r="N2045" i="16"/>
  <c r="N1545" i="16"/>
  <c r="N1629" i="16"/>
  <c r="N217" i="16"/>
  <c r="N1789" i="16"/>
  <c r="N2051" i="16"/>
  <c r="N994" i="16"/>
  <c r="N1882" i="16"/>
  <c r="N507" i="16"/>
  <c r="N2148" i="16"/>
  <c r="N505" i="16"/>
  <c r="N2234" i="16"/>
  <c r="N1571" i="16"/>
  <c r="N1730" i="16"/>
  <c r="N391" i="16"/>
  <c r="N723" i="16"/>
  <c r="N1174" i="16"/>
  <c r="N243" i="16"/>
  <c r="N1370" i="16"/>
  <c r="N199" i="16"/>
  <c r="N739" i="16"/>
  <c r="N465" i="16"/>
  <c r="N2008" i="16"/>
  <c r="N1267" i="16"/>
  <c r="N641" i="16"/>
  <c r="N470" i="16"/>
  <c r="N594" i="16"/>
  <c r="N2024" i="16"/>
  <c r="N1014" i="16"/>
  <c r="N1184" i="16"/>
  <c r="N1041" i="16"/>
  <c r="N741" i="16"/>
  <c r="N633" i="16"/>
  <c r="N1564" i="16"/>
  <c r="N2062" i="16"/>
  <c r="N395" i="16"/>
  <c r="N476" i="16"/>
  <c r="N1073" i="16"/>
  <c r="N127" i="16"/>
  <c r="N47" i="16"/>
  <c r="N1110" i="16"/>
  <c r="N402" i="16"/>
  <c r="N2272" i="16"/>
  <c r="N158" i="16"/>
  <c r="N1415" i="16"/>
  <c r="N2007" i="16"/>
  <c r="N100" i="16"/>
  <c r="N1608" i="16"/>
  <c r="N1044" i="16"/>
  <c r="N1193" i="16"/>
  <c r="N812" i="16"/>
  <c r="N563" i="16"/>
  <c r="N1633" i="16"/>
  <c r="N234" i="16"/>
  <c r="N553" i="16"/>
  <c r="N345" i="16"/>
  <c r="N647" i="16"/>
  <c r="N717" i="16"/>
  <c r="N2193" i="16"/>
  <c r="N186" i="16"/>
  <c r="N513" i="16"/>
  <c r="N1353" i="16"/>
  <c r="N1343" i="16"/>
  <c r="N1692" i="16"/>
  <c r="N793" i="16"/>
  <c r="N1653" i="16"/>
  <c r="N1380" i="16"/>
  <c r="N1662" i="16"/>
  <c r="N1950" i="16"/>
  <c r="N668" i="16"/>
  <c r="N458" i="16"/>
  <c r="N1248" i="16"/>
  <c r="N2221" i="16"/>
  <c r="N911" i="16"/>
  <c r="N1714" i="16"/>
  <c r="N25" i="16"/>
  <c r="N1617" i="16"/>
  <c r="N1597" i="16"/>
  <c r="N1749" i="16"/>
  <c r="N1256" i="16"/>
  <c r="N1650" i="16"/>
  <c r="N2156" i="16"/>
  <c r="N66" i="16"/>
  <c r="N1207" i="16"/>
  <c r="N340" i="16"/>
  <c r="N415" i="16"/>
  <c r="N2267" i="16"/>
  <c r="N2134" i="16"/>
  <c r="N2251" i="16"/>
  <c r="N1078" i="16"/>
  <c r="N1100" i="16"/>
  <c r="N906" i="16"/>
  <c r="N816" i="16"/>
  <c r="N1177" i="16"/>
  <c r="N1378" i="16"/>
  <c r="N1156" i="16"/>
  <c r="N316" i="16"/>
  <c r="N29" i="16"/>
  <c r="N2209" i="16"/>
  <c r="N202" i="16"/>
  <c r="N1151" i="16"/>
  <c r="N1585" i="16"/>
  <c r="N1932" i="16"/>
  <c r="N836" i="16"/>
  <c r="N1989" i="16"/>
  <c r="N1015" i="16"/>
  <c r="N2305" i="16"/>
  <c r="N1290" i="16"/>
  <c r="N1185" i="16"/>
  <c r="N616" i="16"/>
  <c r="N1403" i="16"/>
  <c r="N240" i="16"/>
  <c r="N824" i="16"/>
  <c r="N131" i="16"/>
  <c r="N1431" i="16"/>
  <c r="N701" i="16"/>
  <c r="N2252" i="16"/>
  <c r="N1912" i="16"/>
  <c r="N203" i="16"/>
  <c r="N1016" i="16"/>
  <c r="N704" i="16"/>
  <c r="N1358" i="16"/>
  <c r="N759" i="16"/>
  <c r="N1718" i="16"/>
  <c r="N355" i="16"/>
  <c r="N1953" i="16"/>
  <c r="N1689" i="16"/>
  <c r="N811" i="16"/>
  <c r="N526" i="16"/>
  <c r="N558" i="16"/>
  <c r="N774" i="16"/>
  <c r="N184" i="16"/>
  <c r="N1161" i="16"/>
  <c r="N52" i="16"/>
  <c r="N1186" i="16"/>
  <c r="N580" i="16"/>
  <c r="N1696" i="16"/>
  <c r="N183" i="16"/>
  <c r="N1977" i="16"/>
  <c r="N663" i="16"/>
  <c r="N1085" i="16"/>
  <c r="N1667" i="16"/>
  <c r="N1734" i="16"/>
  <c r="N206" i="16"/>
  <c r="N2316" i="16"/>
  <c r="N1835" i="16"/>
  <c r="N2034" i="16"/>
  <c r="N1641" i="16"/>
  <c r="N1942" i="16"/>
  <c r="N1461" i="16"/>
  <c r="N1766" i="16"/>
  <c r="N610" i="16"/>
  <c r="N1463" i="16"/>
  <c r="N1728" i="16"/>
  <c r="N2222" i="16"/>
  <c r="N889" i="16"/>
  <c r="N565" i="16"/>
  <c r="N2071" i="16"/>
  <c r="N302" i="16"/>
  <c r="N555" i="16"/>
  <c r="N1413" i="16"/>
  <c r="N1769" i="16"/>
  <c r="N247" i="16"/>
  <c r="N993" i="16"/>
  <c r="N151" i="16"/>
  <c r="N955" i="16"/>
  <c r="N1069" i="16"/>
  <c r="N818" i="16"/>
  <c r="N1146" i="16"/>
  <c r="N2081" i="16"/>
  <c r="N2077" i="16"/>
  <c r="N684" i="16"/>
  <c r="N124" i="16"/>
  <c r="N595" i="16"/>
  <c r="N805" i="16"/>
  <c r="N929" i="16"/>
  <c r="N20" i="16"/>
  <c r="N599" i="16"/>
  <c r="N1071" i="16"/>
  <c r="N1565" i="16"/>
  <c r="N900" i="16"/>
  <c r="N1018" i="16"/>
  <c r="N1820" i="16"/>
  <c r="N1547" i="16"/>
  <c r="N1164" i="16"/>
  <c r="N2089" i="16"/>
  <c r="N2151" i="16"/>
  <c r="N1960" i="16"/>
  <c r="N305" i="16"/>
  <c r="N885" i="16"/>
  <c r="N531" i="16"/>
  <c r="N2073" i="16"/>
  <c r="N912" i="16"/>
  <c r="N1245" i="16"/>
  <c r="N429" i="16"/>
  <c r="N1050" i="16"/>
  <c r="N592" i="16"/>
  <c r="N661" i="16"/>
  <c r="N1257" i="16"/>
  <c r="N1087" i="16"/>
  <c r="N2084" i="16"/>
  <c r="N175" i="16"/>
  <c r="N1427" i="16"/>
  <c r="N2290" i="16"/>
  <c r="N1691" i="16"/>
  <c r="N293" i="16"/>
  <c r="N1719" i="16"/>
  <c r="N1939" i="16"/>
  <c r="N615" i="16"/>
  <c r="N326" i="16"/>
  <c r="N1704" i="16"/>
  <c r="N817" i="16"/>
  <c r="N1159" i="16"/>
  <c r="N2070" i="16"/>
  <c r="N707" i="16"/>
  <c r="N562" i="16"/>
  <c r="N764" i="16"/>
  <c r="N1673" i="16"/>
  <c r="N1770" i="16"/>
  <c r="N1767" i="16"/>
  <c r="N874" i="16"/>
  <c r="N1604" i="16"/>
  <c r="N700" i="16"/>
  <c r="N64" i="16"/>
  <c r="N933" i="16"/>
  <c r="N540" i="16"/>
  <c r="N1943" i="16"/>
  <c r="N860" i="16"/>
  <c r="N2257" i="16"/>
  <c r="N2247" i="16"/>
  <c r="N1327" i="16"/>
  <c r="N946" i="16"/>
  <c r="N1278" i="16"/>
  <c r="N1816" i="16"/>
  <c r="N518" i="16"/>
  <c r="N1870" i="16"/>
  <c r="N2010" i="16"/>
  <c r="N1096" i="16"/>
  <c r="N1562" i="16"/>
  <c r="N740" i="16"/>
  <c r="N1583" i="16"/>
  <c r="N1826" i="16"/>
  <c r="N919" i="16"/>
  <c r="N905" i="16"/>
  <c r="N187" i="16"/>
  <c r="N392" i="16"/>
  <c r="N1437" i="16"/>
  <c r="N645" i="16"/>
  <c r="N491" i="16"/>
  <c r="N607" i="16"/>
  <c r="N978" i="16"/>
  <c r="N1410" i="16"/>
  <c r="N1892" i="16"/>
  <c r="N306" i="16"/>
  <c r="N352" i="16"/>
  <c r="N210" i="16"/>
  <c r="N1005" i="16"/>
  <c r="N419" i="16"/>
  <c r="N1104" i="16"/>
  <c r="N708" i="16"/>
  <c r="N1218" i="16"/>
  <c r="N728" i="16"/>
  <c r="N1157" i="16"/>
  <c r="N837" i="16"/>
  <c r="N1389" i="16"/>
  <c r="N1011" i="16"/>
  <c r="N1027" i="16"/>
  <c r="N2135" i="16"/>
  <c r="Q1523" i="16"/>
  <c r="N1732" i="16"/>
  <c r="Q460" i="16"/>
  <c r="Q1731" i="16"/>
  <c r="Q61" i="16"/>
  <c r="N1569" i="16"/>
  <c r="N2019" i="16"/>
  <c r="N559" i="16"/>
  <c r="N1053" i="16"/>
  <c r="N1394" i="16"/>
  <c r="N506" i="16"/>
  <c r="Q277" i="16"/>
  <c r="N767" i="16"/>
  <c r="N969" i="16"/>
  <c r="Q901" i="16"/>
  <c r="Q2114" i="16"/>
  <c r="Q1321" i="16"/>
  <c r="N1925" i="16"/>
  <c r="Q1893" i="16"/>
  <c r="Q713" i="16"/>
  <c r="Q2079" i="16"/>
  <c r="N529" i="16"/>
  <c r="N1118" i="16"/>
  <c r="N1393" i="16"/>
  <c r="N1783" i="16"/>
  <c r="N309" i="16"/>
  <c r="N1962" i="16"/>
  <c r="N1284" i="16"/>
  <c r="N1109" i="16"/>
  <c r="N1168" i="16"/>
  <c r="Q664" i="16"/>
  <c r="Q449" i="16"/>
  <c r="Q1009" i="16"/>
  <c r="N441" i="16"/>
  <c r="Q386" i="16"/>
  <c r="N1411" i="16"/>
  <c r="Q532" i="16"/>
  <c r="Q1567" i="16"/>
  <c r="Q1504" i="16"/>
  <c r="Q1194" i="16"/>
  <c r="N664" i="16"/>
  <c r="Q1493" i="16"/>
  <c r="Q427" i="16"/>
  <c r="N656" i="16"/>
  <c r="N765" i="16"/>
  <c r="N494" i="16"/>
  <c r="N1862" i="16"/>
  <c r="N1364" i="16"/>
  <c r="Q796" i="16"/>
  <c r="N2164" i="16"/>
  <c r="N236" i="16"/>
  <c r="N1493" i="16"/>
  <c r="Q936" i="16"/>
  <c r="Q1478" i="16"/>
  <c r="N1574" i="16"/>
  <c r="Q579" i="16"/>
  <c r="Q1987" i="16"/>
  <c r="N1576" i="16"/>
  <c r="Q1122" i="16"/>
  <c r="Q1129" i="16"/>
  <c r="Q1946" i="16"/>
  <c r="N1341" i="16"/>
  <c r="Q1937" i="16"/>
  <c r="Q1121" i="16"/>
  <c r="Q160" i="16"/>
  <c r="Q1141" i="16"/>
  <c r="N589" i="16"/>
  <c r="N1600" i="16"/>
  <c r="N95" i="16"/>
  <c r="N502" i="16"/>
  <c r="N1108" i="16"/>
  <c r="Q506" i="16"/>
  <c r="N1121" i="16"/>
  <c r="Q932" i="16"/>
  <c r="N1141" i="16"/>
  <c r="N1179" i="16"/>
  <c r="N922" i="16"/>
  <c r="N451" i="16"/>
  <c r="N1129" i="16"/>
  <c r="Q1856" i="16"/>
  <c r="N1258" i="16"/>
  <c r="N1316" i="16"/>
  <c r="N572" i="16"/>
  <c r="Q1846" i="16"/>
  <c r="N1954" i="16"/>
  <c r="Q512" i="16"/>
  <c r="N790" i="16"/>
  <c r="Q501" i="16"/>
  <c r="Q1064" i="16"/>
  <c r="N357" i="16"/>
  <c r="N1199" i="16"/>
  <c r="N1915" i="16"/>
  <c r="Q17" i="16"/>
  <c r="N1982" i="16"/>
  <c r="Q1001" i="16"/>
  <c r="N1481" i="16"/>
  <c r="N999" i="16"/>
  <c r="N2068" i="16"/>
  <c r="Q982" i="16"/>
  <c r="Q1302" i="16"/>
  <c r="N1538" i="16"/>
  <c r="N1304" i="16"/>
  <c r="Q1711" i="16"/>
  <c r="Q942" i="16"/>
  <c r="N808" i="16"/>
  <c r="Q1701" i="16"/>
  <c r="N1530" i="16"/>
  <c r="N1081" i="16"/>
  <c r="Q77" i="16"/>
  <c r="N691" i="16"/>
  <c r="N1701" i="16"/>
  <c r="N1139" i="16"/>
  <c r="N1610" i="16"/>
  <c r="N1075" i="16"/>
  <c r="N1135" i="16"/>
  <c r="N2155" i="16"/>
  <c r="N1441" i="16"/>
  <c r="N296" i="16"/>
  <c r="N347" i="16"/>
  <c r="N1128" i="16"/>
  <c r="Q1367" i="16"/>
  <c r="Q1271" i="16"/>
  <c r="Q1116" i="16"/>
  <c r="N1125" i="16"/>
  <c r="Q605" i="16"/>
  <c r="Q1477" i="16"/>
  <c r="Q1281" i="16"/>
  <c r="Q2140" i="16"/>
  <c r="Q786" i="16"/>
  <c r="N1647" i="16"/>
  <c r="Q953" i="16"/>
  <c r="N1992" i="16"/>
  <c r="N63" i="16"/>
  <c r="N1262" i="16"/>
  <c r="N348" i="16"/>
  <c r="N2187" i="16"/>
  <c r="Q1253" i="16"/>
  <c r="N1000" i="16"/>
  <c r="N62" i="16"/>
  <c r="Q768" i="16"/>
  <c r="Q675" i="16"/>
  <c r="Q2167" i="16"/>
  <c r="Q692" i="16"/>
  <c r="N1286" i="16"/>
  <c r="N530" i="16"/>
  <c r="N335" i="16"/>
  <c r="N155" i="16"/>
  <c r="Q1032" i="16"/>
  <c r="N277" i="16"/>
  <c r="Q1739" i="16"/>
  <c r="Q1411" i="16"/>
  <c r="Q2058" i="16"/>
  <c r="Q1445" i="16"/>
  <c r="Q1350" i="16"/>
  <c r="Q1676" i="16"/>
  <c r="N1105" i="16"/>
  <c r="N533" i="16"/>
  <c r="N1931" i="16"/>
  <c r="N1130" i="16"/>
  <c r="N1605" i="16"/>
  <c r="N475" i="16"/>
  <c r="N92" i="16"/>
  <c r="Q487" i="16"/>
  <c r="N1236" i="16"/>
  <c r="Q1615" i="16"/>
  <c r="Q2115" i="16"/>
  <c r="N367" i="16"/>
  <c r="N360" i="16"/>
  <c r="N804" i="16"/>
  <c r="Q1574" i="16"/>
  <c r="Q271" i="16"/>
  <c r="Q770" i="16"/>
  <c r="N1208" i="16"/>
  <c r="N1291" i="16"/>
  <c r="Q1228" i="16"/>
  <c r="N300" i="16"/>
  <c r="N1270" i="16"/>
  <c r="Q287" i="16"/>
  <c r="Q1342" i="16"/>
  <c r="N271" i="16"/>
  <c r="Q1399" i="16"/>
  <c r="Q459" i="16"/>
  <c r="N273" i="16"/>
  <c r="Q523" i="16"/>
  <c r="Q1103" i="16"/>
  <c r="Q1235" i="16"/>
  <c r="Q1202" i="16"/>
  <c r="Q2124" i="16"/>
  <c r="N1573" i="16"/>
  <c r="N1296" i="16"/>
  <c r="Q299" i="16"/>
  <c r="N2185" i="16"/>
  <c r="N734" i="16"/>
  <c r="Q527" i="16"/>
  <c r="Q876" i="16"/>
  <c r="Q1160" i="16"/>
  <c r="Q1000" i="16"/>
  <c r="Q62" i="16"/>
  <c r="Q79" i="16"/>
  <c r="Q1296" i="16"/>
  <c r="N299" i="16"/>
  <c r="N1197" i="16"/>
  <c r="Q947" i="16"/>
  <c r="N895" i="16"/>
  <c r="N761" i="16"/>
  <c r="Q112" i="16"/>
  <c r="Q2057" i="16"/>
  <c r="N1180" i="16"/>
  <c r="Q161" i="16"/>
  <c r="Q320" i="16"/>
  <c r="Q1552" i="16"/>
  <c r="N726" i="16"/>
  <c r="Q975" i="16"/>
  <c r="Q454" i="16"/>
  <c r="Q496" i="16"/>
  <c r="N1535" i="16"/>
  <c r="N2182" i="16"/>
  <c r="N549" i="16"/>
  <c r="N1300" i="16"/>
  <c r="N1319" i="16"/>
  <c r="Q1606" i="16"/>
  <c r="Q267" i="16"/>
  <c r="N1560" i="16"/>
  <c r="N1435" i="16"/>
  <c r="Q450" i="16"/>
  <c r="Q94" i="16"/>
  <c r="Q1644" i="16"/>
  <c r="N1227" i="16"/>
  <c r="N1302" i="16"/>
  <c r="Q288" i="16"/>
  <c r="N1303" i="16"/>
  <c r="Q1275" i="16"/>
  <c r="Q1679" i="16"/>
  <c r="N1280" i="16"/>
  <c r="N452" i="16"/>
  <c r="N2107" i="16"/>
  <c r="Q1861" i="16"/>
  <c r="N1275" i="16"/>
  <c r="Q659" i="16"/>
  <c r="N674" i="16"/>
  <c r="Q1318" i="16"/>
  <c r="Q1740" i="16"/>
  <c r="Q1231" i="16"/>
  <c r="N1065" i="16"/>
  <c r="Q2088" i="16"/>
  <c r="N1596" i="16"/>
  <c r="N31" i="16"/>
  <c r="N1575" i="16"/>
  <c r="N1149" i="16"/>
  <c r="N659" i="16"/>
  <c r="N1148" i="16"/>
  <c r="Q1053" i="16"/>
  <c r="Q1646" i="16"/>
  <c r="N387" i="16"/>
  <c r="N2001" i="16"/>
  <c r="Q1282" i="16"/>
  <c r="Q1293" i="16"/>
  <c r="Q716" i="16"/>
  <c r="Q1140" i="16"/>
  <c r="Q1924" i="16"/>
  <c r="N713" i="16"/>
  <c r="N995" i="16"/>
  <c r="Q1487" i="16"/>
  <c r="Q163" i="16"/>
  <c r="Q769" i="16"/>
  <c r="Q1393" i="16"/>
  <c r="N1784" i="16"/>
  <c r="Q309" i="16"/>
  <c r="Q1244" i="16"/>
  <c r="Q1190" i="16"/>
  <c r="Q977" i="16"/>
  <c r="N1966" i="16"/>
  <c r="N863" i="16"/>
  <c r="Q1317" i="16"/>
  <c r="N1450" i="16"/>
  <c r="Q358" i="16"/>
  <c r="Q475" i="16"/>
  <c r="N953" i="16"/>
  <c r="N1659" i="16"/>
  <c r="N216" i="16"/>
  <c r="N2160" i="16"/>
  <c r="Q655" i="16"/>
  <c r="Q1377" i="16"/>
  <c r="Q1876" i="16"/>
  <c r="Q1901" i="16"/>
  <c r="N1474" i="16"/>
  <c r="N1680" i="16"/>
  <c r="N310" i="16"/>
  <c r="N1294" i="16"/>
  <c r="N745" i="16"/>
  <c r="N1377" i="16"/>
  <c r="Q1709" i="16"/>
  <c r="Q1643" i="16"/>
  <c r="N329" i="16"/>
  <c r="N1136" i="16"/>
  <c r="N2058" i="16"/>
  <c r="N1567" i="16"/>
  <c r="N1124" i="16"/>
  <c r="Q1392" i="16"/>
  <c r="N162" i="16"/>
  <c r="N779" i="16"/>
  <c r="N1709" i="16"/>
  <c r="N427" i="16"/>
  <c r="N705" i="16"/>
  <c r="N1536" i="16"/>
  <c r="N2186" i="16"/>
  <c r="N582" i="16"/>
  <c r="Q1541" i="16"/>
  <c r="Q1090" i="16"/>
  <c r="N1890" i="16"/>
  <c r="N1725" i="16"/>
  <c r="N1494" i="16"/>
  <c r="Q1226" i="16"/>
  <c r="Q233" i="16"/>
  <c r="N1352" i="16"/>
  <c r="N1243" i="16"/>
  <c r="N597" i="16"/>
  <c r="N1122" i="16"/>
  <c r="Q2100" i="16"/>
  <c r="N1724" i="16"/>
  <c r="N583" i="16"/>
  <c r="N1937" i="16"/>
  <c r="N270" i="16"/>
  <c r="Q1346" i="16"/>
  <c r="N1340" i="16"/>
  <c r="Q1645" i="16"/>
  <c r="Q257" i="16"/>
  <c r="Q1576" i="16"/>
  <c r="N2184" i="16"/>
  <c r="Q1966" i="16"/>
  <c r="Q790" i="16"/>
  <c r="N1367" i="16"/>
  <c r="N1231" i="16"/>
  <c r="Q298" i="16"/>
  <c r="N1817" i="16"/>
  <c r="Q891" i="16"/>
  <c r="N1348" i="16"/>
  <c r="Q1982" i="16"/>
  <c r="N611" i="16"/>
  <c r="N2059" i="16"/>
  <c r="N1720" i="16"/>
  <c r="Q1066" i="16"/>
  <c r="N76" i="16"/>
  <c r="N495" i="16"/>
  <c r="N1846" i="16"/>
  <c r="N282" i="16"/>
  <c r="Q6" i="16"/>
  <c r="Q2181" i="16"/>
  <c r="N2005" i="16"/>
  <c r="N1723" i="16"/>
  <c r="N454" i="16"/>
  <c r="N643" i="16"/>
  <c r="N1345" i="16"/>
  <c r="N1137" i="16"/>
  <c r="Q1447" i="16"/>
  <c r="N1365" i="16"/>
  <c r="N276" i="16"/>
  <c r="N1083" i="16"/>
  <c r="Q2004" i="16"/>
  <c r="Q478" i="16"/>
  <c r="N1447" i="16"/>
  <c r="Q550" i="16"/>
  <c r="N1439" i="16"/>
  <c r="N545" i="16"/>
  <c r="N77" i="16"/>
  <c r="N1627" i="16"/>
  <c r="Q2015" i="16"/>
  <c r="N550" i="16"/>
  <c r="N861" i="16"/>
  <c r="N258" i="16"/>
  <c r="Q1347" i="16"/>
  <c r="Q1981" i="16"/>
  <c r="N849" i="16"/>
  <c r="Q1315" i="16"/>
  <c r="K6" i="16"/>
  <c r="K788" i="16"/>
  <c r="K2006" i="16"/>
  <c r="K1450" i="16"/>
  <c r="K27" i="16"/>
  <c r="AI27" i="16" s="1"/>
  <c r="K1644" i="16"/>
  <c r="K1643" i="16"/>
  <c r="K551" i="16"/>
  <c r="K1139" i="16"/>
  <c r="K359" i="16"/>
  <c r="K2022" i="16"/>
  <c r="K1235" i="16"/>
  <c r="K963" i="16"/>
  <c r="K766" i="16"/>
  <c r="K1481" i="16"/>
  <c r="K612" i="16"/>
  <c r="AI612" i="16" s="1"/>
  <c r="K2168" i="16"/>
  <c r="K2112" i="16"/>
  <c r="K1107" i="16"/>
  <c r="AI1107" i="16" s="1"/>
  <c r="K270" i="16"/>
  <c r="K271" i="16"/>
  <c r="K1864" i="16"/>
  <c r="K1861" i="16"/>
  <c r="K1318" i="16"/>
  <c r="K1319" i="16"/>
  <c r="AI1319" i="16" s="1"/>
  <c r="K1321" i="16"/>
  <c r="K1368" i="16"/>
  <c r="K1053" i="16"/>
  <c r="K796" i="16"/>
  <c r="K1130" i="16"/>
  <c r="K1915" i="16"/>
  <c r="AI1915" i="16" s="1"/>
  <c r="K674" i="16"/>
  <c r="K1934" i="16"/>
  <c r="AI1934" i="16" s="1"/>
  <c r="K2181" i="16"/>
  <c r="K2088" i="16"/>
  <c r="AI2088" i="16" s="1"/>
  <c r="K1357" i="16"/>
  <c r="K1228" i="16"/>
  <c r="K459" i="16"/>
  <c r="K572" i="16"/>
  <c r="K605" i="16"/>
  <c r="K1555" i="16"/>
  <c r="AI1555" i="16" s="1"/>
  <c r="K598" i="16"/>
  <c r="K1487" i="16"/>
  <c r="K496" i="16"/>
  <c r="AI496" i="16" s="1"/>
  <c r="K2135" i="16"/>
  <c r="K655" i="16"/>
  <c r="K332" i="16"/>
  <c r="K347" i="16"/>
  <c r="K461" i="16"/>
  <c r="AI461" i="16" s="1"/>
  <c r="K301" i="16"/>
  <c r="K1401" i="16"/>
  <c r="K2004" i="16"/>
  <c r="K1341" i="16"/>
  <c r="K1541" i="16"/>
  <c r="K1116" i="16"/>
  <c r="K1810" i="16"/>
  <c r="K1306" i="16"/>
  <c r="K1338" i="16"/>
  <c r="K977" i="16"/>
  <c r="K2068" i="16"/>
  <c r="K161" i="16"/>
  <c r="K549" i="16"/>
  <c r="K1862" i="16"/>
  <c r="K450" i="16"/>
  <c r="K2164" i="16"/>
  <c r="K1576" i="16"/>
  <c r="K942" i="16"/>
  <c r="K160" i="16"/>
  <c r="K1853" i="16"/>
  <c r="K1263" i="16"/>
  <c r="K1477" i="16"/>
  <c r="K1605" i="16"/>
  <c r="K768" i="16"/>
  <c r="K1535" i="16"/>
  <c r="K2059" i="16"/>
  <c r="AI2059" i="16" s="1"/>
  <c r="K1783" i="16"/>
  <c r="AI1783" i="16" s="1"/>
  <c r="K1295" i="16"/>
  <c r="K1286" i="16"/>
  <c r="K1291" i="16"/>
  <c r="AI1291" i="16" s="1"/>
  <c r="K1149" i="16"/>
  <c r="K280" i="16"/>
  <c r="K559" i="16"/>
  <c r="K1857" i="16"/>
  <c r="K2167" i="16"/>
  <c r="AI2167" i="16" s="1"/>
  <c r="K2057" i="16"/>
  <c r="K269" i="16"/>
  <c r="K1299" i="16"/>
  <c r="K1411" i="16"/>
  <c r="K1856" i="16"/>
  <c r="K1493" i="16"/>
  <c r="K287" i="16"/>
  <c r="K691" i="16"/>
  <c r="K716" i="16"/>
  <c r="K1090" i="16"/>
  <c r="K550" i="16"/>
  <c r="K523" i="16"/>
  <c r="K962" i="16"/>
  <c r="K2184" i="16"/>
  <c r="AI2184" i="16" s="1"/>
  <c r="K1654" i="16"/>
  <c r="K1992" i="16"/>
  <c r="K1271" i="16"/>
  <c r="AI1271" i="16" s="1"/>
  <c r="K295" i="16"/>
  <c r="K76" i="16"/>
  <c r="K398" i="16"/>
  <c r="K276" i="16"/>
  <c r="K786" i="16"/>
  <c r="AI786" i="16" s="1"/>
  <c r="K524" i="16"/>
  <c r="K1449" i="16"/>
  <c r="AI1449" i="16" s="1"/>
  <c r="K1067" i="16"/>
  <c r="AI1067" i="16" s="1"/>
  <c r="K2101" i="16"/>
  <c r="K756" i="16"/>
  <c r="K1751" i="16"/>
  <c r="K1346" i="16"/>
  <c r="K947" i="16"/>
  <c r="K713" i="16"/>
  <c r="AI713" i="16" s="1"/>
  <c r="K1393" i="16"/>
  <c r="K309" i="16"/>
  <c r="K1350" i="16"/>
  <c r="K320" i="16"/>
  <c r="K1301" i="16"/>
  <c r="K1064" i="16"/>
  <c r="K1276" i="16"/>
  <c r="K1925" i="16"/>
  <c r="K1105" i="16"/>
  <c r="K1433" i="16"/>
  <c r="K884" i="16"/>
  <c r="K1520" i="16"/>
  <c r="K2186" i="16"/>
  <c r="K1294" i="16"/>
  <c r="K17" i="16"/>
  <c r="K643" i="16"/>
  <c r="K1725" i="16"/>
  <c r="K1243" i="16"/>
  <c r="K1473" i="16"/>
  <c r="K1227" i="16"/>
  <c r="K1137" i="16"/>
  <c r="K1851" i="16"/>
  <c r="K969" i="16"/>
  <c r="K745" i="16"/>
  <c r="K779" i="16"/>
  <c r="K1270" i="16"/>
  <c r="K588" i="16"/>
  <c r="K582" i="16"/>
  <c r="AI582" i="16" s="1"/>
  <c r="K273" i="16"/>
  <c r="K839" i="16"/>
  <c r="K1305" i="16"/>
  <c r="K1275" i="16"/>
  <c r="K1610" i="16"/>
  <c r="K1731" i="16"/>
  <c r="K357" i="16"/>
  <c r="K1103" i="16"/>
  <c r="K300" i="16"/>
  <c r="K1478" i="16"/>
  <c r="AI1478" i="16" s="1"/>
  <c r="K893" i="16"/>
  <c r="K597" i="16"/>
  <c r="K1075" i="16"/>
  <c r="K1231" i="16"/>
  <c r="K1108" i="16"/>
  <c r="K1202" i="16"/>
  <c r="K2124" i="16"/>
  <c r="K1340" i="16"/>
  <c r="K299" i="16"/>
  <c r="K895" i="16"/>
  <c r="K1575" i="16"/>
  <c r="K826" i="16"/>
  <c r="K1118" i="16"/>
  <c r="K1261" i="16"/>
  <c r="AI1261" i="16" s="1"/>
  <c r="K63" i="16"/>
  <c r="K761" i="16"/>
  <c r="AI761" i="16" s="1"/>
  <c r="K298" i="16"/>
  <c r="K477" i="16"/>
  <c r="K221" i="16"/>
  <c r="K155" i="16"/>
  <c r="K1739" i="16"/>
  <c r="K2058" i="16"/>
  <c r="AI2058" i="16" s="1"/>
  <c r="K1659" i="16"/>
  <c r="K216" i="16"/>
  <c r="K370" i="16"/>
  <c r="K1982" i="16"/>
  <c r="K975" i="16"/>
  <c r="K205" i="16"/>
  <c r="K790" i="16"/>
  <c r="K1168" i="16"/>
  <c r="AI1168" i="16" s="1"/>
  <c r="K1032" i="16"/>
  <c r="K920" i="16"/>
  <c r="K532" i="16"/>
  <c r="K1351" i="16"/>
  <c r="K1435" i="16"/>
  <c r="K267" i="16"/>
  <c r="K350" i="16"/>
  <c r="AI350" i="16" s="1"/>
  <c r="K328" i="16"/>
  <c r="K664" i="16"/>
  <c r="K1901" i="16"/>
  <c r="K1364" i="16"/>
  <c r="K982" i="16"/>
  <c r="K2155" i="16"/>
  <c r="K1530" i="16"/>
  <c r="K330" i="16"/>
  <c r="AI330" i="16" s="1"/>
  <c r="K675" i="16"/>
  <c r="K894" i="16"/>
  <c r="K1986" i="16"/>
  <c r="K427" i="16"/>
  <c r="K1325" i="16"/>
  <c r="K1197" i="16"/>
  <c r="K2106" i="16"/>
  <c r="K452" i="16"/>
  <c r="K1897" i="16"/>
  <c r="K286" i="16"/>
  <c r="K545" i="16"/>
  <c r="K61" i="16"/>
  <c r="K1720" i="16"/>
  <c r="K921" i="16"/>
  <c r="K349" i="16"/>
  <c r="K1850" i="16"/>
  <c r="K579" i="16"/>
  <c r="AI579" i="16" s="1"/>
  <c r="K1115" i="16"/>
  <c r="K77" i="16"/>
  <c r="K583" i="16"/>
  <c r="K1226" i="16"/>
  <c r="AI1226" i="16" s="1"/>
  <c r="K693" i="16"/>
  <c r="K1480" i="16"/>
  <c r="K257" i="16"/>
  <c r="K451" i="16"/>
  <c r="K258" i="16"/>
  <c r="K1863" i="16"/>
  <c r="K970" i="16"/>
  <c r="K1724" i="16"/>
  <c r="K2001" i="16"/>
  <c r="AI2001" i="16" s="1"/>
  <c r="K1588" i="16"/>
  <c r="K1446" i="16"/>
  <c r="K1924" i="16"/>
  <c r="K560" i="16"/>
  <c r="K1138" i="16"/>
  <c r="K1844" i="16"/>
  <c r="K1547" i="16"/>
  <c r="AI1547" i="16" s="1"/>
  <c r="K717" i="16"/>
  <c r="K2025" i="16"/>
  <c r="K2290" i="16"/>
  <c r="K823" i="16"/>
  <c r="K702" i="16"/>
  <c r="K954" i="16"/>
  <c r="K667" i="16"/>
  <c r="K234" i="16"/>
  <c r="K1218" i="16"/>
  <c r="K2258" i="16"/>
  <c r="AI2258" i="16" s="1"/>
  <c r="K1178" i="16"/>
  <c r="K2056" i="16"/>
  <c r="K254" i="16"/>
  <c r="K2236" i="16"/>
  <c r="K812" i="16"/>
  <c r="K648" i="16"/>
  <c r="K1387" i="16"/>
  <c r="K883" i="16"/>
  <c r="K341" i="16"/>
  <c r="AI341" i="16" s="1"/>
  <c r="K630" i="16"/>
  <c r="K1529" i="16"/>
  <c r="K1703" i="16"/>
  <c r="K914" i="16"/>
  <c r="K1589" i="16"/>
  <c r="K1431" i="16"/>
  <c r="AI1431" i="16" s="1"/>
  <c r="K875" i="16"/>
  <c r="K1154" i="16"/>
  <c r="K1333" i="16"/>
  <c r="K2049" i="16"/>
  <c r="K1516" i="16"/>
  <c r="K1874" i="16"/>
  <c r="K1050" i="16"/>
  <c r="K186" i="16"/>
  <c r="AI186" i="16" s="1"/>
  <c r="K663" i="16"/>
  <c r="K1410" i="16"/>
  <c r="K615" i="16"/>
  <c r="K1916" i="16"/>
  <c r="K1034" i="16"/>
  <c r="K753" i="16"/>
  <c r="K82" i="16"/>
  <c r="K1215" i="16"/>
  <c r="K428" i="16"/>
  <c r="K1397" i="16"/>
  <c r="AI1397" i="16" s="1"/>
  <c r="K1476" i="16"/>
  <c r="K935" i="16"/>
  <c r="K384" i="16"/>
  <c r="K521" i="16"/>
  <c r="K1734" i="16"/>
  <c r="K206" i="16"/>
  <c r="K2316" i="16"/>
  <c r="AI2316" i="16" s="1"/>
  <c r="K1835" i="16"/>
  <c r="K2034" i="16"/>
  <c r="K1641" i="16"/>
  <c r="K1713" i="16"/>
  <c r="AI1713" i="16" s="1"/>
  <c r="K2281" i="16"/>
  <c r="AI2281" i="16" s="1"/>
  <c r="K792" i="16"/>
  <c r="K864" i="16"/>
  <c r="AI864" i="16" s="1"/>
  <c r="K1336" i="16"/>
  <c r="K1871" i="16"/>
  <c r="K1230" i="16"/>
  <c r="K457" i="16"/>
  <c r="K777" i="16"/>
  <c r="K1921" i="16"/>
  <c r="K776" i="16"/>
  <c r="K16" i="16"/>
  <c r="K1995" i="16"/>
  <c r="K2205" i="16"/>
  <c r="K1768" i="16"/>
  <c r="K626" i="16"/>
  <c r="K493" i="16"/>
  <c r="K2069" i="16"/>
  <c r="K687" i="16"/>
  <c r="K1471" i="16"/>
  <c r="K2095" i="16"/>
  <c r="K1948" i="16"/>
  <c r="K1400" i="16"/>
  <c r="K2304" i="16"/>
  <c r="AI2304" i="16" s="1"/>
  <c r="K960" i="16"/>
  <c r="K1549" i="16"/>
  <c r="K1885" i="16"/>
  <c r="K9" i="16"/>
  <c r="K2255" i="16"/>
  <c r="K2067" i="16"/>
  <c r="K327" i="16"/>
  <c r="K909" i="16"/>
  <c r="K2028" i="16"/>
  <c r="K2225" i="16"/>
  <c r="K474" i="16"/>
  <c r="K678" i="16"/>
  <c r="K1806" i="16"/>
  <c r="AI1806" i="16" s="1"/>
  <c r="K472" i="16"/>
  <c r="K1106" i="16"/>
  <c r="K1232" i="16"/>
  <c r="AI1232" i="16" s="1"/>
  <c r="K2131" i="16"/>
  <c r="K1945" i="16"/>
  <c r="K44" i="16"/>
  <c r="K2032" i="16"/>
  <c r="K1927" i="16"/>
  <c r="K2268" i="16"/>
  <c r="K2123" i="16"/>
  <c r="AI2123" i="16" s="1"/>
  <c r="K1209" i="16"/>
  <c r="K1602" i="16"/>
  <c r="K500" i="16"/>
  <c r="K1298" i="16"/>
  <c r="K772" i="16"/>
  <c r="K569" i="16"/>
  <c r="K1859" i="16"/>
  <c r="K774" i="16"/>
  <c r="K577" i="16"/>
  <c r="K290" i="16"/>
  <c r="K1801" i="16"/>
  <c r="K2174" i="16"/>
  <c r="AI2174" i="16" s="1"/>
  <c r="K2129" i="16"/>
  <c r="K828" i="16"/>
  <c r="K2179" i="16"/>
  <c r="K2040" i="16"/>
  <c r="K537" i="16"/>
  <c r="K1755" i="16"/>
  <c r="K1369" i="16"/>
  <c r="K2180" i="16"/>
  <c r="K1094" i="16"/>
  <c r="AI1094" i="16" s="1"/>
  <c r="K129" i="16"/>
  <c r="K968" i="16"/>
  <c r="K2104" i="16"/>
  <c r="K858" i="16"/>
  <c r="K515" i="16"/>
  <c r="K1430" i="16"/>
  <c r="K1161" i="16"/>
  <c r="AI1161" i="16" s="1"/>
  <c r="K1153" i="16"/>
  <c r="K1417" i="16"/>
  <c r="K430" i="16"/>
  <c r="K1383" i="16"/>
  <c r="K1840" i="16"/>
  <c r="K1330" i="16"/>
  <c r="K1592" i="16"/>
  <c r="K1372" i="16"/>
  <c r="AI1372" i="16" s="1"/>
  <c r="K2072" i="16"/>
  <c r="K732" i="16"/>
  <c r="K1942" i="16"/>
  <c r="K1461" i="16"/>
  <c r="K1766" i="16"/>
  <c r="K610" i="16"/>
  <c r="K1463" i="16"/>
  <c r="K1728" i="16"/>
  <c r="K2222" i="16"/>
  <c r="AI2222" i="16" s="1"/>
  <c r="K489" i="16"/>
  <c r="K1524" i="16"/>
  <c r="K1781" i="16"/>
  <c r="AI1781" i="16" s="1"/>
  <c r="K676" i="16"/>
  <c r="K1971" i="16"/>
  <c r="K2291" i="16"/>
  <c r="K255" i="16"/>
  <c r="K535" i="16"/>
  <c r="K2013" i="16"/>
  <c r="AI2013" i="16" s="1"/>
  <c r="K2243" i="16"/>
  <c r="K2137" i="16"/>
  <c r="K498" i="16"/>
  <c r="K78" i="16"/>
  <c r="K2011" i="16"/>
  <c r="K28" i="16"/>
  <c r="K1561" i="16"/>
  <c r="K1126" i="16"/>
  <c r="AI1126" i="16" s="1"/>
  <c r="K918" i="16"/>
  <c r="K1043" i="16"/>
  <c r="K835" i="16"/>
  <c r="K736" i="16"/>
  <c r="K1436" i="16"/>
  <c r="K208" i="16"/>
  <c r="K1750" i="16"/>
  <c r="K135" i="16"/>
  <c r="K985" i="16"/>
  <c r="K1120" i="16"/>
  <c r="AI1120" i="16" s="1"/>
  <c r="K171" i="16"/>
  <c r="K278" i="16"/>
  <c r="K525" i="16"/>
  <c r="K407" i="16"/>
  <c r="K294" i="16"/>
  <c r="K1385" i="16"/>
  <c r="K2029" i="16"/>
  <c r="K1598" i="16"/>
  <c r="K479" i="16"/>
  <c r="K1429" i="16"/>
  <c r="K966" i="16"/>
  <c r="K2311" i="16"/>
  <c r="K96" i="16"/>
  <c r="AI96" i="16" s="1"/>
  <c r="K1307" i="16"/>
  <c r="K1472" i="16"/>
  <c r="K2303" i="16"/>
  <c r="K2263" i="16"/>
  <c r="K1888" i="16"/>
  <c r="K733" i="16"/>
  <c r="K2045" i="16"/>
  <c r="K1939" i="16"/>
  <c r="K2221" i="16"/>
  <c r="K1908" i="16"/>
  <c r="K1820" i="16"/>
  <c r="K1376" i="16"/>
  <c r="K1013" i="16"/>
  <c r="AI1013" i="16" s="1"/>
  <c r="K190" i="16"/>
  <c r="K1047" i="16"/>
  <c r="AI1047" i="16" s="1"/>
  <c r="K369" i="16"/>
  <c r="K1692" i="16"/>
  <c r="K1704" i="16"/>
  <c r="K1705" i="16"/>
  <c r="K41" i="16"/>
  <c r="K158" i="16"/>
  <c r="AI158" i="16" s="1"/>
  <c r="K1044" i="16"/>
  <c r="K241" i="16"/>
  <c r="K965" i="16"/>
  <c r="K1832" i="16"/>
  <c r="K793" i="16"/>
  <c r="K1092" i="16"/>
  <c r="K237" i="16"/>
  <c r="K1132" i="16"/>
  <c r="K679" i="16"/>
  <c r="AI679" i="16" s="1"/>
  <c r="K1819" i="16"/>
  <c r="K58" i="16"/>
  <c r="K1460" i="16"/>
  <c r="K1343" i="16"/>
  <c r="K870" i="16"/>
  <c r="K797" i="16"/>
  <c r="K72" i="16"/>
  <c r="K576" i="16"/>
  <c r="K731" i="16"/>
  <c r="K1171" i="16"/>
  <c r="K2200" i="16"/>
  <c r="K2194" i="16"/>
  <c r="AI2194" i="16" s="1"/>
  <c r="K337" i="16"/>
  <c r="K785" i="16"/>
  <c r="K2098" i="16"/>
  <c r="K14" i="16"/>
  <c r="K1795" i="16"/>
  <c r="K1973" i="16"/>
  <c r="K1794" i="16"/>
  <c r="K2289" i="16"/>
  <c r="K2154" i="16"/>
  <c r="AI2154" i="16" s="1"/>
  <c r="K446" i="16"/>
  <c r="K1675" i="16"/>
  <c r="AI1675" i="16" s="1"/>
  <c r="K1420" i="16"/>
  <c r="K2139" i="16"/>
  <c r="K1158" i="16"/>
  <c r="AI1158" i="16" s="1"/>
  <c r="K1873" i="16"/>
  <c r="K706" i="16"/>
  <c r="K1049" i="16"/>
  <c r="K763" i="16"/>
  <c r="AI763" i="16" s="1"/>
  <c r="K825" i="16"/>
  <c r="K1607" i="16"/>
  <c r="K729" i="16"/>
  <c r="K604" i="16"/>
  <c r="K1983" i="16"/>
  <c r="K170" i="16"/>
  <c r="K1048" i="16"/>
  <c r="K1551" i="16"/>
  <c r="K2338" i="16"/>
  <c r="AI2338" i="16" s="1"/>
  <c r="K374" i="16"/>
  <c r="K262" i="16"/>
  <c r="K322" i="16"/>
  <c r="K68" i="16"/>
  <c r="K2044" i="16"/>
  <c r="K222" i="16"/>
  <c r="K974" i="16"/>
  <c r="K1858" i="16"/>
  <c r="K1031" i="16"/>
  <c r="K1903" i="16"/>
  <c r="AI1903" i="16" s="1"/>
  <c r="K32" i="16"/>
  <c r="AI32" i="16" s="1"/>
  <c r="K2233" i="16"/>
  <c r="K1198" i="16"/>
  <c r="K1309" i="16"/>
  <c r="K1842" i="16"/>
  <c r="K1639" i="16"/>
  <c r="K857" i="16"/>
  <c r="K148" i="16"/>
  <c r="AI148" i="16" s="1"/>
  <c r="K754" i="16"/>
  <c r="K12" i="16"/>
  <c r="K1869" i="16"/>
  <c r="K230" i="16"/>
  <c r="K1958" i="16"/>
  <c r="K1255" i="16"/>
  <c r="K1848" i="16"/>
  <c r="K1690" i="16"/>
  <c r="K260" i="16"/>
  <c r="K2262" i="16"/>
  <c r="K636" i="16"/>
  <c r="K173" i="16"/>
  <c r="K697" i="16"/>
  <c r="K820" i="16"/>
  <c r="K1525" i="16"/>
  <c r="AI1525" i="16" s="1"/>
  <c r="K783" i="16"/>
  <c r="K1940" i="16"/>
  <c r="K781" i="16"/>
  <c r="K1277" i="16"/>
  <c r="K755" i="16"/>
  <c r="AI755" i="16" s="1"/>
  <c r="K2090" i="16"/>
  <c r="K1980" i="16"/>
  <c r="K1926" i="16"/>
  <c r="K618" i="16"/>
  <c r="K2298" i="16"/>
  <c r="K987" i="16"/>
  <c r="K109" i="16"/>
  <c r="K1837" i="16"/>
  <c r="K372" i="16"/>
  <c r="AI372" i="16" s="1"/>
  <c r="K1792" i="16"/>
  <c r="K872" i="16"/>
  <c r="K1098" i="16"/>
  <c r="K1815" i="16"/>
  <c r="K143" i="16"/>
  <c r="AI143" i="16" s="1"/>
  <c r="K801" i="16"/>
  <c r="K886" i="16"/>
  <c r="K809" i="16"/>
  <c r="K248" i="16"/>
  <c r="K439" i="16"/>
  <c r="K18" i="16"/>
  <c r="K1324" i="16"/>
  <c r="K383" i="16"/>
  <c r="AI383" i="16" s="1"/>
  <c r="K2319" i="16"/>
  <c r="K1145" i="16"/>
  <c r="K1834" i="16"/>
  <c r="K1323" i="16"/>
  <c r="K1354" i="16"/>
  <c r="K2283" i="16"/>
  <c r="K1686" i="16"/>
  <c r="K1290" i="16"/>
  <c r="AI1290" i="16" s="1"/>
  <c r="K189" i="16"/>
  <c r="K306" i="16"/>
  <c r="K1239" i="16"/>
  <c r="K581" i="16"/>
  <c r="K1268" i="16"/>
  <c r="K1185" i="16"/>
  <c r="K1881" i="16"/>
  <c r="K2111" i="16"/>
  <c r="K1578" i="16"/>
  <c r="K2166" i="16"/>
  <c r="AI2166" i="16" s="1"/>
  <c r="K617" i="16"/>
  <c r="AI617" i="16" s="1"/>
  <c r="K2047" i="16"/>
  <c r="K1776" i="16"/>
  <c r="K108" i="16"/>
  <c r="K292" i="16"/>
  <c r="AI292" i="16" s="1"/>
  <c r="K2150" i="16"/>
  <c r="K1249" i="16"/>
  <c r="K2133" i="16"/>
  <c r="AI2133" i="16" s="1"/>
  <c r="K1093" i="16"/>
  <c r="K1221" i="16"/>
  <c r="K1297" i="16"/>
  <c r="K1875" i="16"/>
  <c r="K215" i="16"/>
  <c r="K1513" i="16"/>
  <c r="K117" i="16"/>
  <c r="K1134" i="16"/>
  <c r="K1162" i="16"/>
  <c r="K226" i="16"/>
  <c r="K526" i="16"/>
  <c r="K1805" i="16"/>
  <c r="K1172" i="16"/>
  <c r="K53" i="16"/>
  <c r="K1553" i="16"/>
  <c r="K689" i="16"/>
  <c r="K1024" i="16"/>
  <c r="K543" i="16"/>
  <c r="K917" i="16"/>
  <c r="K1459" i="16"/>
  <c r="K1452" i="16"/>
  <c r="K2096" i="16"/>
  <c r="K1205" i="16"/>
  <c r="K391" i="16"/>
  <c r="K723" i="16"/>
  <c r="K1174" i="16"/>
  <c r="AI1174" i="16" s="1"/>
  <c r="K243" i="16"/>
  <c r="K1370" i="16"/>
  <c r="K199" i="16"/>
  <c r="K739" i="16"/>
  <c r="K465" i="16"/>
  <c r="K2008" i="16"/>
  <c r="K1267" i="16"/>
  <c r="K641" i="16"/>
  <c r="K470" i="16"/>
  <c r="K813" i="16"/>
  <c r="K564" i="16"/>
  <c r="K317" i="16"/>
  <c r="K471" i="16"/>
  <c r="K554" i="16"/>
  <c r="K681" i="16"/>
  <c r="K22" i="16"/>
  <c r="K246" i="16"/>
  <c r="K2108" i="16"/>
  <c r="K1457" i="16"/>
  <c r="K406" i="16"/>
  <c r="K455" i="16"/>
  <c r="K2300" i="16"/>
  <c r="K2158" i="16"/>
  <c r="K2227" i="16"/>
  <c r="AI2227" i="16" s="1"/>
  <c r="K421" i="16"/>
  <c r="K1087" i="16"/>
  <c r="K2173" i="16"/>
  <c r="K1483" i="16"/>
  <c r="K1361" i="16"/>
  <c r="K541" i="16"/>
  <c r="K1746" i="16"/>
  <c r="AI1746" i="16" s="1"/>
  <c r="K218" i="16"/>
  <c r="K482" i="16"/>
  <c r="K1193" i="16"/>
  <c r="K145" i="16"/>
  <c r="K1978" i="16"/>
  <c r="K2171" i="16"/>
  <c r="K1662" i="16"/>
  <c r="K351" i="16"/>
  <c r="K1086" i="16"/>
  <c r="K1914" i="16"/>
  <c r="K361" i="16"/>
  <c r="K708" i="16"/>
  <c r="K661" i="16"/>
  <c r="AI661" i="16" s="1"/>
  <c r="K1427" i="16"/>
  <c r="K2035" i="16"/>
  <c r="K1084" i="16"/>
  <c r="K1670" i="16"/>
  <c r="K1150" i="16"/>
  <c r="K1663" i="16"/>
  <c r="K438" i="16"/>
  <c r="AI438" i="16" s="1"/>
  <c r="K1496" i="16"/>
  <c r="K239" i="16"/>
  <c r="K1211" i="16"/>
  <c r="K831" i="16"/>
  <c r="K2162" i="16"/>
  <c r="K1537" i="16"/>
  <c r="K2113" i="16"/>
  <c r="K959" i="16"/>
  <c r="K2007" i="16"/>
  <c r="K2073" i="16"/>
  <c r="K204" i="16"/>
  <c r="K175" i="16"/>
  <c r="K1831" i="16"/>
  <c r="K101" i="16"/>
  <c r="K1076" i="16"/>
  <c r="K1753" i="16"/>
  <c r="K1382" i="16"/>
  <c r="K1133" i="16"/>
  <c r="AI1133" i="16" s="1"/>
  <c r="K552" i="16"/>
  <c r="K2099" i="16"/>
  <c r="K646" i="16"/>
  <c r="K2197" i="16"/>
  <c r="K185" i="16"/>
  <c r="K178" i="16"/>
  <c r="K1091" i="16"/>
  <c r="K1040" i="16"/>
  <c r="K2329" i="16"/>
  <c r="K1963" i="16"/>
  <c r="K1968" i="16"/>
  <c r="K2053" i="16"/>
  <c r="K1423" i="16"/>
  <c r="K1742" i="16"/>
  <c r="AI1742" i="16" s="1"/>
  <c r="K340" i="16"/>
  <c r="AI340" i="16" s="1"/>
  <c r="K415" i="16"/>
  <c r="K2267" i="16"/>
  <c r="K2134" i="16"/>
  <c r="K2251" i="16"/>
  <c r="K1078" i="16"/>
  <c r="K1100" i="16"/>
  <c r="K906" i="16"/>
  <c r="AI906" i="16" s="1"/>
  <c r="K816" i="16"/>
  <c r="K1177" i="16"/>
  <c r="K1156" i="16"/>
  <c r="K316" i="16"/>
  <c r="K29" i="16"/>
  <c r="K2209" i="16"/>
  <c r="K202" i="16"/>
  <c r="AI202" i="16" s="1"/>
  <c r="K1151" i="16"/>
  <c r="K1585" i="16"/>
  <c r="AI1585" i="16" s="1"/>
  <c r="K1932" i="16"/>
  <c r="K836" i="16"/>
  <c r="K1989" i="16"/>
  <c r="K1015" i="16"/>
  <c r="K110" i="16"/>
  <c r="K1773" i="16"/>
  <c r="K1907" i="16"/>
  <c r="K1265" i="16"/>
  <c r="K1672" i="16"/>
  <c r="K166" i="16"/>
  <c r="AI166" i="16" s="1"/>
  <c r="K897" i="16"/>
  <c r="K979" i="16"/>
  <c r="K2239" i="16"/>
  <c r="K1830" i="16"/>
  <c r="K1669" i="16"/>
  <c r="K548" i="16"/>
  <c r="K547" i="16"/>
  <c r="AI547" i="16" s="1"/>
  <c r="K136" i="16"/>
  <c r="K1097" i="16"/>
  <c r="K1872" i="16"/>
  <c r="AI1872" i="16" s="1"/>
  <c r="K2176" i="16"/>
  <c r="K2055" i="16"/>
  <c r="K845" i="16"/>
  <c r="K219" i="16"/>
  <c r="K1979" i="16"/>
  <c r="K404" i="16"/>
  <c r="K413" i="16"/>
  <c r="K814" i="16"/>
  <c r="AI814" i="16" s="1"/>
  <c r="K2260" i="16"/>
  <c r="K1671" i="16"/>
  <c r="K1143" i="16"/>
  <c r="K97" i="16"/>
  <c r="K2230" i="16"/>
  <c r="K84" i="16"/>
  <c r="AI84" i="16" s="1"/>
  <c r="K1063" i="16"/>
  <c r="K433" i="16"/>
  <c r="K314" i="16"/>
  <c r="K1490" i="16"/>
  <c r="AI1490" i="16" s="1"/>
  <c r="K1774" i="16"/>
  <c r="K1867" i="16"/>
  <c r="K1220" i="16"/>
  <c r="AI1220" i="16" s="1"/>
  <c r="K382" i="16"/>
  <c r="AI382" i="16" s="1"/>
  <c r="K983" i="16"/>
  <c r="AI983" i="16" s="1"/>
  <c r="K1624" i="16"/>
  <c r="K115" i="16"/>
  <c r="K1533" i="16"/>
  <c r="AI1533" i="16" s="1"/>
  <c r="K424" i="16"/>
  <c r="K508" i="16"/>
  <c r="K2241" i="16"/>
  <c r="K99" i="16"/>
  <c r="K2109" i="16"/>
  <c r="K1833" i="16"/>
  <c r="K426" i="16"/>
  <c r="K724" i="16"/>
  <c r="K1175" i="16"/>
  <c r="AI1175" i="16" s="1"/>
  <c r="K1514" i="16"/>
  <c r="AI1514" i="16" s="1"/>
  <c r="K1522" i="16"/>
  <c r="K2203" i="16"/>
  <c r="K52" i="16"/>
  <c r="K1558" i="16"/>
  <c r="K971" i="16"/>
  <c r="K2026" i="16"/>
  <c r="AI2026" i="16" s="1"/>
  <c r="K2306" i="16"/>
  <c r="K43" i="16"/>
  <c r="K2295" i="16"/>
  <c r="K1664" i="16"/>
  <c r="K2279" i="16"/>
  <c r="AI2279" i="16" s="1"/>
  <c r="K1683" i="16"/>
  <c r="AI1683" i="16" s="1"/>
  <c r="K866" i="16"/>
  <c r="K1517" i="16"/>
  <c r="AI1517" i="16" s="1"/>
  <c r="K150" i="16"/>
  <c r="K631" i="16"/>
  <c r="K1505" i="16"/>
  <c r="AI1505" i="16" s="1"/>
  <c r="K1518" i="16"/>
  <c r="K567" i="16"/>
  <c r="K1229" i="16"/>
  <c r="K1905" i="16"/>
  <c r="K710" i="16"/>
  <c r="K1975" i="16"/>
  <c r="K1594" i="16"/>
  <c r="K1259" i="16"/>
  <c r="K1936" i="16"/>
  <c r="K103" i="16"/>
  <c r="K1196" i="16"/>
  <c r="K1798" i="16"/>
  <c r="K483" i="16"/>
  <c r="AI483" i="16" s="1"/>
  <c r="K2119" i="16"/>
  <c r="K2136" i="16"/>
  <c r="K2172" i="16"/>
  <c r="K1313" i="16"/>
  <c r="K211" i="16"/>
  <c r="K466" i="16"/>
  <c r="K355" i="16"/>
  <c r="AI355" i="16" s="1"/>
  <c r="K54" i="16"/>
  <c r="K1868" i="16"/>
  <c r="K436" i="16"/>
  <c r="K833" i="16"/>
  <c r="K544" i="16"/>
  <c r="K1625" i="16"/>
  <c r="K1920" i="16"/>
  <c r="K930" i="16"/>
  <c r="AI930" i="16" s="1"/>
  <c r="K122" i="16"/>
  <c r="K1949" i="16"/>
  <c r="K1464" i="16"/>
  <c r="K179" i="16"/>
  <c r="K1223" i="16"/>
  <c r="K1500" i="16"/>
  <c r="AI1500" i="16" s="1"/>
  <c r="K1234" i="16"/>
  <c r="K834" i="16"/>
  <c r="K606" i="16"/>
  <c r="K1778" i="16"/>
  <c r="K2089" i="16"/>
  <c r="K531" i="16"/>
  <c r="K950" i="16"/>
  <c r="AI950" i="16" s="1"/>
  <c r="K2305" i="16"/>
  <c r="K2120" i="16"/>
  <c r="K817" i="16"/>
  <c r="K1691" i="16"/>
  <c r="K1546" i="16"/>
  <c r="K2248" i="16"/>
  <c r="AI2248" i="16" s="1"/>
  <c r="K91" i="16"/>
  <c r="K345" i="16"/>
  <c r="K65" i="16"/>
  <c r="K2130" i="16"/>
  <c r="K363" i="16"/>
  <c r="K2333" i="16"/>
  <c r="K1563" i="16"/>
  <c r="K137" i="16"/>
  <c r="K1608" i="16"/>
  <c r="K38" i="16"/>
  <c r="K924" i="16"/>
  <c r="K364" i="16"/>
  <c r="K1941" i="16"/>
  <c r="AI1941" i="16" s="1"/>
  <c r="K711" i="16"/>
  <c r="K2043" i="16"/>
  <c r="K1104" i="16"/>
  <c r="K1754" i="16"/>
  <c r="K553" i="16"/>
  <c r="K1865" i="16"/>
  <c r="K746" i="16"/>
  <c r="K1159" i="16"/>
  <c r="K138" i="16"/>
  <c r="AI138" i="16" s="1"/>
  <c r="K2091" i="16"/>
  <c r="K1030" i="16"/>
  <c r="K1715" i="16"/>
  <c r="K23" i="16"/>
  <c r="AI23" i="16" s="1"/>
  <c r="K1990" i="16"/>
  <c r="K2037" i="16"/>
  <c r="K1335" i="16"/>
  <c r="K865" i="16"/>
  <c r="K911" i="16"/>
  <c r="AI911" i="16" s="1"/>
  <c r="K1714" i="16"/>
  <c r="K25" i="16"/>
  <c r="AI25" i="16" s="1"/>
  <c r="K1617" i="16"/>
  <c r="K1597" i="16"/>
  <c r="K1749" i="16"/>
  <c r="K1256" i="16"/>
  <c r="K1650" i="16"/>
  <c r="K2156" i="16"/>
  <c r="K66" i="16"/>
  <c r="K1207" i="16"/>
  <c r="K126" i="16"/>
  <c r="K2017" i="16"/>
  <c r="K2323" i="16"/>
  <c r="K244" i="16"/>
  <c r="K381" i="16"/>
  <c r="K2293" i="16"/>
  <c r="K540" i="16"/>
  <c r="K1943" i="16"/>
  <c r="K860" i="16"/>
  <c r="K2257" i="16"/>
  <c r="AI2257" i="16" s="1"/>
  <c r="K2247" i="16"/>
  <c r="K1327" i="16"/>
  <c r="K946" i="16"/>
  <c r="K1278" i="16"/>
  <c r="K1816" i="16"/>
  <c r="K518" i="16"/>
  <c r="K1870" i="16"/>
  <c r="K2010" i="16"/>
  <c r="AI2010" i="16" s="1"/>
  <c r="K1096" i="16"/>
  <c r="AI1096" i="16" s="1"/>
  <c r="K1562" i="16"/>
  <c r="K740" i="16"/>
  <c r="K1583" i="16"/>
  <c r="K1826" i="16"/>
  <c r="K919" i="16"/>
  <c r="K905" i="16"/>
  <c r="K187" i="16"/>
  <c r="AI187" i="16" s="1"/>
  <c r="K392" i="16"/>
  <c r="K1437" i="16"/>
  <c r="K794" i="16"/>
  <c r="AI794" i="16" s="1"/>
  <c r="K760" i="16"/>
  <c r="K1745" i="16"/>
  <c r="K1974" i="16"/>
  <c r="K2165" i="16"/>
  <c r="K1636" i="16"/>
  <c r="K2159" i="16"/>
  <c r="K1684" i="16"/>
  <c r="K1964" i="16"/>
  <c r="AI1964" i="16" s="1"/>
  <c r="K405" i="16"/>
  <c r="K120" i="16"/>
  <c r="K1661" i="16"/>
  <c r="AI1661" i="16" s="1"/>
  <c r="K614" i="16"/>
  <c r="K1757" i="16"/>
  <c r="AI1757" i="16" s="1"/>
  <c r="K773" i="16"/>
  <c r="K570" i="16"/>
  <c r="K1786" i="16"/>
  <c r="K775" i="16"/>
  <c r="K578" i="16"/>
  <c r="K1214" i="16"/>
  <c r="K1782" i="16"/>
  <c r="AI1782" i="16" s="1"/>
  <c r="K1938" i="16"/>
  <c r="K1657" i="16"/>
  <c r="K829" i="16"/>
  <c r="K1329" i="16"/>
  <c r="AI1329" i="16" s="1"/>
  <c r="K2041" i="16"/>
  <c r="K538" i="16"/>
  <c r="AI538" i="16" s="1"/>
  <c r="K558" i="16"/>
  <c r="K2256" i="16"/>
  <c r="AI2256" i="16" s="1"/>
  <c r="K2245" i="16"/>
  <c r="K1095" i="16"/>
  <c r="K1099" i="16"/>
  <c r="AI1099" i="16" s="1"/>
  <c r="K2228" i="16"/>
  <c r="K1933" i="16"/>
  <c r="K1640" i="16"/>
  <c r="K1308" i="16"/>
  <c r="K516" i="16"/>
  <c r="K2175" i="16"/>
  <c r="K2336" i="16"/>
  <c r="K339" i="16"/>
  <c r="K1384" i="16"/>
  <c r="K846" i="16"/>
  <c r="K2033" i="16"/>
  <c r="AI2033" i="16" s="1"/>
  <c r="K1217" i="16"/>
  <c r="K1665" i="16"/>
  <c r="K2284" i="16"/>
  <c r="K1678" i="16"/>
  <c r="K297" i="16"/>
  <c r="K1462" i="16"/>
  <c r="K2002" i="16"/>
  <c r="K1240" i="16"/>
  <c r="K2232" i="16"/>
  <c r="K1059" i="16"/>
  <c r="K2223" i="16"/>
  <c r="AI2223" i="16" s="1"/>
  <c r="K105" i="16"/>
  <c r="K566" i="16"/>
  <c r="AI566" i="16" s="1"/>
  <c r="K855" i="16"/>
  <c r="K303" i="16"/>
  <c r="K715" i="16"/>
  <c r="K1169" i="16"/>
  <c r="K291" i="16"/>
  <c r="K1877" i="16"/>
  <c r="K10" i="16"/>
  <c r="K2313" i="16"/>
  <c r="K379" i="16"/>
  <c r="K1959" i="16"/>
  <c r="K1269" i="16"/>
  <c r="K1919" i="16"/>
  <c r="K877" i="16"/>
  <c r="K443" i="16"/>
  <c r="K1466" i="16"/>
  <c r="K2157" i="16"/>
  <c r="K511" i="16"/>
  <c r="AI511" i="16" s="1"/>
  <c r="K1077" i="16"/>
  <c r="K819" i="16"/>
  <c r="K682" i="16"/>
  <c r="K141" i="16"/>
  <c r="K323" i="16"/>
  <c r="K898" i="16"/>
  <c r="K1909" i="16"/>
  <c r="K403" i="16"/>
  <c r="K1655" i="16"/>
  <c r="K159" i="16"/>
  <c r="K1944" i="16"/>
  <c r="K1733" i="16"/>
  <c r="K967" i="16"/>
  <c r="K1272" i="16"/>
  <c r="K666" i="16"/>
  <c r="K795" i="16"/>
  <c r="K574" i="16"/>
  <c r="AI574" i="16" s="1"/>
  <c r="K628" i="16"/>
  <c r="K673" i="16"/>
  <c r="K2198" i="16"/>
  <c r="K881" i="16"/>
  <c r="K2177" i="16"/>
  <c r="K180" i="16"/>
  <c r="K1203" i="16"/>
  <c r="AI1203" i="16" s="1"/>
  <c r="K224" i="16"/>
  <c r="K916" i="16"/>
  <c r="K1904" i="16"/>
  <c r="K2196" i="16"/>
  <c r="K1532" i="16"/>
  <c r="K1079" i="16"/>
  <c r="K397" i="16"/>
  <c r="K1023" i="16"/>
  <c r="K1996" i="16"/>
  <c r="K1026" i="16"/>
  <c r="K1266" i="16"/>
  <c r="K81" i="16"/>
  <c r="K2061" i="16"/>
  <c r="K389" i="16"/>
  <c r="K352" i="16"/>
  <c r="K1181" i="16"/>
  <c r="K1332" i="16"/>
  <c r="K616" i="16"/>
  <c r="K737" i="16"/>
  <c r="K2065" i="16"/>
  <c r="K1074" i="16"/>
  <c r="K210" i="16"/>
  <c r="K848" i="16"/>
  <c r="K1403" i="16"/>
  <c r="K1621" i="16"/>
  <c r="AI1621" i="16" s="1"/>
  <c r="K1434" i="16"/>
  <c r="AI1434" i="16" s="1"/>
  <c r="K1006" i="16"/>
  <c r="K1896" i="16"/>
  <c r="K984" i="16"/>
  <c r="K2052" i="16"/>
  <c r="K1653" i="16"/>
  <c r="K1999" i="16"/>
  <c r="K1248" i="16"/>
  <c r="K2151" i="16"/>
  <c r="AI2151" i="16" s="1"/>
  <c r="K2125" i="16"/>
  <c r="K213" i="16"/>
  <c r="K497" i="16"/>
  <c r="K2317" i="16"/>
  <c r="K2285" i="16"/>
  <c r="AI2285" i="16" s="1"/>
  <c r="K696" i="16"/>
  <c r="K2331" i="16"/>
  <c r="K1515" i="16"/>
  <c r="AI1515" i="16" s="1"/>
  <c r="K2082" i="16"/>
  <c r="K1756" i="16"/>
  <c r="K312" i="16"/>
  <c r="K1467" i="16"/>
  <c r="AI1467" i="16" s="1"/>
  <c r="K376" i="16"/>
  <c r="AI376" i="16" s="1"/>
  <c r="K669" i="16"/>
  <c r="K728" i="16"/>
  <c r="K519" i="16"/>
  <c r="K2038" i="16"/>
  <c r="K1677" i="16"/>
  <c r="K34" i="16"/>
  <c r="K1117" i="16"/>
  <c r="K1497" i="16"/>
  <c r="K1965" i="16"/>
  <c r="K2252" i="16"/>
  <c r="K1912" i="16"/>
  <c r="K1977" i="16"/>
  <c r="K131" i="16"/>
  <c r="K683" i="16"/>
  <c r="AI683" i="16" s="1"/>
  <c r="K193" i="16"/>
  <c r="K847" i="16"/>
  <c r="AI847" i="16" s="1"/>
  <c r="K245" i="16"/>
  <c r="K1854" i="16"/>
  <c r="K458" i="16"/>
  <c r="K707" i="16"/>
  <c r="K562" i="16"/>
  <c r="K764" i="16"/>
  <c r="K1673" i="16"/>
  <c r="K1770" i="16"/>
  <c r="AI1770" i="16" s="1"/>
  <c r="K1767" i="16"/>
  <c r="K874" i="16"/>
  <c r="K1604" i="16"/>
  <c r="AI1604" i="16" s="1"/>
  <c r="K700" i="16"/>
  <c r="K64" i="16"/>
  <c r="AI64" i="16" s="1"/>
  <c r="K933" i="16"/>
  <c r="AI933" i="16" s="1"/>
  <c r="K1495" i="16"/>
  <c r="AI1495" i="16" s="1"/>
  <c r="K1557" i="16"/>
  <c r="K2321" i="16"/>
  <c r="K2308" i="16"/>
  <c r="K621" i="16"/>
  <c r="K2299" i="16"/>
  <c r="K957" i="16"/>
  <c r="AI957" i="16" s="1"/>
  <c r="K253" i="16"/>
  <c r="AI253" i="16" s="1"/>
  <c r="K2278" i="16"/>
  <c r="K1660" i="16"/>
  <c r="K1389" i="16"/>
  <c r="K1224" i="16"/>
  <c r="K704" i="16"/>
  <c r="K945" i="16"/>
  <c r="K832" i="16"/>
  <c r="AI832" i="16" s="1"/>
  <c r="K1559" i="16"/>
  <c r="AI1559" i="16" s="1"/>
  <c r="K89" i="16"/>
  <c r="K1011" i="16"/>
  <c r="K1358" i="16"/>
  <c r="K2217" i="16"/>
  <c r="K2213" i="16"/>
  <c r="K972" i="16"/>
  <c r="K121" i="16"/>
  <c r="AI121" i="16" s="1"/>
  <c r="K1027" i="16"/>
  <c r="K791" i="16"/>
  <c r="K759" i="16"/>
  <c r="K1025" i="16"/>
  <c r="K907" i="16"/>
  <c r="K1501" i="16"/>
  <c r="K13" i="16"/>
  <c r="AI13" i="16" s="1"/>
  <c r="K1953" i="16"/>
  <c r="AI1953" i="16" s="1"/>
  <c r="K231" i="16"/>
  <c r="AI231" i="16" s="1"/>
  <c r="K1947" i="16"/>
  <c r="K1793" i="16"/>
  <c r="K2288" i="16"/>
  <c r="K1652" i="16"/>
  <c r="K445" i="16"/>
  <c r="K86" i="16"/>
  <c r="K1797" i="16"/>
  <c r="K1419" i="16"/>
  <c r="AI1419" i="16" s="1"/>
  <c r="K910" i="16"/>
  <c r="K268" i="16"/>
  <c r="K591" i="16"/>
  <c r="AI591" i="16" s="1"/>
  <c r="K709" i="16"/>
  <c r="K1512" i="16"/>
  <c r="K782" i="16"/>
  <c r="K1818" i="16"/>
  <c r="K1216" i="16"/>
  <c r="K2325" i="16"/>
  <c r="K2075" i="16"/>
  <c r="K1836" i="16"/>
  <c r="AI1836" i="16" s="1"/>
  <c r="K619" i="16"/>
  <c r="K1726" i="16"/>
  <c r="AI1726" i="16" s="1"/>
  <c r="K988" i="16"/>
  <c r="AI988" i="16" s="1"/>
  <c r="K251" i="16"/>
  <c r="AI251" i="16" s="1"/>
  <c r="K2277" i="16"/>
  <c r="AI2277" i="16" s="1"/>
  <c r="K256" i="16"/>
  <c r="K373" i="16"/>
  <c r="K2093" i="16"/>
  <c r="K1418" i="16"/>
  <c r="K629" i="16"/>
  <c r="AI629" i="16" s="1"/>
  <c r="K1045" i="16"/>
  <c r="K1010" i="16"/>
  <c r="K802" i="16"/>
  <c r="AI802" i="16" s="1"/>
  <c r="K887" i="16"/>
  <c r="K810" i="16"/>
  <c r="K1771" i="16"/>
  <c r="K952" i="16"/>
  <c r="K311" i="16"/>
  <c r="AI311" i="16" s="1"/>
  <c r="K2118" i="16"/>
  <c r="K1057" i="16"/>
  <c r="K1322" i="16"/>
  <c r="K1988" i="16"/>
  <c r="K2039" i="16"/>
  <c r="AI2039" i="16" s="1"/>
  <c r="K164" i="16"/>
  <c r="K1687" i="16"/>
  <c r="K778" i="16"/>
  <c r="K2238" i="16"/>
  <c r="K149" i="16"/>
  <c r="AI149" i="16" s="1"/>
  <c r="K590" i="16"/>
  <c r="K613" i="16"/>
  <c r="K1186" i="16"/>
  <c r="K1917" i="16"/>
  <c r="K390" i="16"/>
  <c r="K353" i="16"/>
  <c r="AI353" i="16" s="1"/>
  <c r="K1531" i="16"/>
  <c r="AI1531" i="16" s="1"/>
  <c r="K650" i="16"/>
  <c r="K1056" i="16"/>
  <c r="K2117" i="16"/>
  <c r="K1922" i="16"/>
  <c r="AI1922" i="16" s="1"/>
  <c r="K2310" i="16"/>
  <c r="K1548" i="16"/>
  <c r="AI1548" i="16" s="1"/>
  <c r="K1906" i="16"/>
  <c r="K1623" i="16"/>
  <c r="AI1623" i="16" s="1"/>
  <c r="K1693" i="16"/>
  <c r="K411" i="16"/>
  <c r="K561" i="16"/>
  <c r="K2128" i="16"/>
  <c r="K1685" i="16"/>
  <c r="AI1685" i="16" s="1"/>
  <c r="K940" i="16"/>
  <c r="K325" i="16"/>
  <c r="AI325" i="16" s="1"/>
  <c r="K1803" i="16"/>
  <c r="K1037" i="16"/>
  <c r="AI1037" i="16" s="1"/>
  <c r="K1390" i="16"/>
  <c r="K111" i="16"/>
  <c r="K2318" i="16"/>
  <c r="K1422" i="16"/>
  <c r="K2116" i="16"/>
  <c r="AI2116" i="16" s="1"/>
  <c r="K1985" i="16"/>
  <c r="K1970" i="16"/>
  <c r="K2282" i="16"/>
  <c r="AI2282" i="16" s="1"/>
  <c r="K2269" i="16"/>
  <c r="K742" i="16"/>
  <c r="AI742" i="16" s="1"/>
  <c r="K408" i="16"/>
  <c r="K2237" i="16"/>
  <c r="K1651" i="16"/>
  <c r="AI1651" i="16" s="1"/>
  <c r="K1747" i="16"/>
  <c r="K632" i="16"/>
  <c r="AI632" i="16" s="1"/>
  <c r="K1521" i="16"/>
  <c r="K36" i="16"/>
  <c r="K26" i="16"/>
  <c r="K1878" i="16"/>
  <c r="K1736" i="16"/>
  <c r="K1070" i="16"/>
  <c r="K1453" i="16"/>
  <c r="AI1453" i="16" s="1"/>
  <c r="K308" i="16"/>
  <c r="K878" i="16"/>
  <c r="K1201" i="16"/>
  <c r="AI1201" i="16" s="1"/>
  <c r="K1409" i="16"/>
  <c r="K752" i="16"/>
  <c r="AI752" i="16" s="1"/>
  <c r="K751" i="16"/>
  <c r="AI751" i="16" s="1"/>
  <c r="K624" i="16"/>
  <c r="K1212" i="16"/>
  <c r="K184" i="16"/>
  <c r="AI184" i="16" s="1"/>
  <c r="K607" i="16"/>
  <c r="K1021" i="16"/>
  <c r="K37" i="16"/>
  <c r="K1314" i="16"/>
  <c r="K283" i="16"/>
  <c r="K948" i="16"/>
  <c r="K998" i="16"/>
  <c r="AI998" i="16" s="1"/>
  <c r="K342" i="16"/>
  <c r="K931" i="16"/>
  <c r="K557" i="16"/>
  <c r="AI557" i="16" s="1"/>
  <c r="K55" i="16"/>
  <c r="AI55" i="16" s="1"/>
  <c r="K840" i="16"/>
  <c r="AI840" i="16" s="1"/>
  <c r="K21" i="16"/>
  <c r="K1432" i="16"/>
  <c r="K492" i="16"/>
  <c r="AI492" i="16" s="1"/>
  <c r="K981" i="16"/>
  <c r="K48" i="16"/>
  <c r="AI48" i="16" s="1"/>
  <c r="K1111" i="16"/>
  <c r="K2077" i="16"/>
  <c r="K684" i="16"/>
  <c r="AI684" i="16" s="1"/>
  <c r="K124" i="16"/>
  <c r="K595" i="16"/>
  <c r="K929" i="16"/>
  <c r="K20" i="16"/>
  <c r="K599" i="16"/>
  <c r="K1071" i="16"/>
  <c r="K1565" i="16"/>
  <c r="K2286" i="16"/>
  <c r="K854" i="16"/>
  <c r="K1727" i="16"/>
  <c r="K592" i="16"/>
  <c r="K513" i="16"/>
  <c r="K1012" i="16"/>
  <c r="K2050" i="16"/>
  <c r="K481" i="16"/>
  <c r="AI481" i="16" s="1"/>
  <c r="K1360" i="16"/>
  <c r="K2265" i="16"/>
  <c r="K1192" i="16"/>
  <c r="K107" i="16"/>
  <c r="K1028" i="16"/>
  <c r="K1062" i="16"/>
  <c r="K730" i="16"/>
  <c r="AI730" i="16" s="1"/>
  <c r="K1017" i="16"/>
  <c r="K1976" i="16"/>
  <c r="K416" i="16"/>
  <c r="K668" i="16"/>
  <c r="AI668" i="16" s="1"/>
  <c r="K2016" i="16"/>
  <c r="K2046" i="16"/>
  <c r="K2170" i="16"/>
  <c r="K2110" i="16"/>
  <c r="K429" i="16"/>
  <c r="K2193" i="16"/>
  <c r="K2332" i="16"/>
  <c r="AI2332" i="16" s="1"/>
  <c r="K2048" i="16"/>
  <c r="K1380" i="16"/>
  <c r="K2070" i="16"/>
  <c r="K1952" i="16"/>
  <c r="K882" i="16"/>
  <c r="K938" i="16"/>
  <c r="K2220" i="16"/>
  <c r="K334" i="16"/>
  <c r="K899" i="16"/>
  <c r="K139" i="16"/>
  <c r="K2240" i="16"/>
  <c r="K1488" i="16"/>
  <c r="K1058" i="16"/>
  <c r="K534" i="16"/>
  <c r="K1993" i="16"/>
  <c r="AI1993" i="16" s="1"/>
  <c r="K1245" i="16"/>
  <c r="K1257" i="16"/>
  <c r="K1804" i="16"/>
  <c r="K1424" i="16"/>
  <c r="K1719" i="16"/>
  <c r="K1157" i="16"/>
  <c r="K7" i="16"/>
  <c r="K73" i="16"/>
  <c r="K1845" i="16"/>
  <c r="K203" i="16"/>
  <c r="K195" i="16"/>
  <c r="K1586" i="16"/>
  <c r="K2192" i="16"/>
  <c r="K837" i="16"/>
  <c r="K787" i="16"/>
  <c r="K1016" i="16"/>
  <c r="K1681" i="16"/>
  <c r="K1838" i="16"/>
  <c r="K1710" i="16"/>
  <c r="K2307" i="16"/>
  <c r="K70" i="16"/>
  <c r="AI70" i="16" s="1"/>
  <c r="K1811" i="16"/>
  <c r="AI1811" i="16" s="1"/>
  <c r="K986" i="16"/>
  <c r="K356" i="16"/>
  <c r="K2275" i="16"/>
  <c r="K1052" i="16"/>
  <c r="K1618" i="16"/>
  <c r="K1142" i="16"/>
  <c r="AI1142" i="16" s="1"/>
  <c r="K147" i="16"/>
  <c r="K690" i="16"/>
  <c r="AI690" i="16" s="1"/>
  <c r="K1787" i="16"/>
  <c r="K1042" i="16"/>
  <c r="K140" i="16"/>
  <c r="K1807" i="16"/>
  <c r="K304" i="16"/>
  <c r="AI304" i="16" s="1"/>
  <c r="K522" i="16"/>
  <c r="K2208" i="16"/>
  <c r="K223" i="16"/>
  <c r="K1396" i="16"/>
  <c r="K1210" i="16"/>
  <c r="K188" i="16"/>
  <c r="K653" i="16"/>
  <c r="K520" i="16"/>
  <c r="K937" i="16"/>
  <c r="K2328" i="16"/>
  <c r="K1593" i="16"/>
  <c r="K2030" i="16"/>
  <c r="K1166" i="16"/>
  <c r="K220" i="16"/>
  <c r="K1412" i="16"/>
  <c r="AI1412" i="16" s="1"/>
  <c r="K1616" i="16"/>
  <c r="K414" i="16"/>
  <c r="K815" i="16"/>
  <c r="AI815" i="16" s="1"/>
  <c r="K2261" i="16"/>
  <c r="AI2261" i="16" s="1"/>
  <c r="K2250" i="16"/>
  <c r="K1144" i="16"/>
  <c r="K867" i="16"/>
  <c r="K2231" i="16"/>
  <c r="AI2231" i="16" s="1"/>
  <c r="K699" i="16"/>
  <c r="K1718" i="16"/>
  <c r="K1812" i="16"/>
  <c r="K1155" i="16"/>
  <c r="K315" i="16"/>
  <c r="AI315" i="16" s="1"/>
  <c r="K1114" i="16"/>
  <c r="K1274" i="16"/>
  <c r="K1425" i="16"/>
  <c r="K1894" i="16"/>
  <c r="K85" i="16"/>
  <c r="K1455" i="16"/>
  <c r="K1775" i="16"/>
  <c r="AI1775" i="16" s="1"/>
  <c r="K2066" i="16"/>
  <c r="K2274" i="16"/>
  <c r="K425" i="16"/>
  <c r="K2254" i="16"/>
  <c r="K852" i="16"/>
  <c r="K2235" i="16"/>
  <c r="K2163" i="16"/>
  <c r="K851" i="16"/>
  <c r="AI851" i="16" s="1"/>
  <c r="K913" i="16"/>
  <c r="K677" i="16"/>
  <c r="K1176" i="16"/>
  <c r="K1442" i="16"/>
  <c r="K1395" i="16"/>
  <c r="K1668" i="16"/>
  <c r="AI1668" i="16" s="1"/>
  <c r="K1839" i="16"/>
  <c r="K2301" i="16"/>
  <c r="K1697" i="16"/>
  <c r="K1969" i="16"/>
  <c r="AI1969" i="16" s="1"/>
  <c r="K2280" i="16"/>
  <c r="AI2280" i="16" s="1"/>
  <c r="K2126" i="16"/>
  <c r="K2076" i="16"/>
  <c r="K1287" i="16"/>
  <c r="K275" i="16"/>
  <c r="K362" i="16"/>
  <c r="AI362" i="16" s="1"/>
  <c r="K1579" i="16"/>
  <c r="K771" i="16"/>
  <c r="AI771" i="16" s="1"/>
  <c r="K568" i="16"/>
  <c r="K1722" i="16"/>
  <c r="K343" i="16"/>
  <c r="K396" i="16"/>
  <c r="K338" i="16"/>
  <c r="K24" i="16"/>
  <c r="K2204" i="16"/>
  <c r="AI2204" i="16" s="1"/>
  <c r="K1748" i="16"/>
  <c r="K289" i="16"/>
  <c r="K2021" i="16"/>
  <c r="K2322" i="16"/>
  <c r="K2000" i="16"/>
  <c r="AI2000" i="16" s="1"/>
  <c r="K670" i="16"/>
  <c r="K1972" i="16"/>
  <c r="K2292" i="16"/>
  <c r="K1762" i="16"/>
  <c r="K536" i="16"/>
  <c r="AI536" i="16" s="1"/>
  <c r="K2266" i="16"/>
  <c r="K307" i="16"/>
  <c r="AI307" i="16" s="1"/>
  <c r="K2244" i="16"/>
  <c r="K2138" i="16"/>
  <c r="AI2138" i="16" s="1"/>
  <c r="K503" i="16"/>
  <c r="K1526" i="16"/>
  <c r="K2105" i="16"/>
  <c r="K686" i="16"/>
  <c r="K1582" i="16"/>
  <c r="K15" i="16"/>
  <c r="AI15" i="16" s="1"/>
  <c r="K2315" i="16"/>
  <c r="AI2315" i="16" s="1"/>
  <c r="K2054" i="16"/>
  <c r="K42" i="16"/>
  <c r="K2121" i="16"/>
  <c r="AI2121" i="16" s="1"/>
  <c r="K1658" i="16"/>
  <c r="K1682" i="16"/>
  <c r="AI1682" i="16" s="1"/>
  <c r="K1458" i="16"/>
  <c r="K2127" i="16"/>
  <c r="AI2127" i="16" s="1"/>
  <c r="K1101" i="16"/>
  <c r="K98" i="16"/>
  <c r="K594" i="16"/>
  <c r="K2024" i="16"/>
  <c r="AI2024" i="16" s="1"/>
  <c r="K1014" i="16"/>
  <c r="K56" i="16"/>
  <c r="K46" i="16"/>
  <c r="K1173" i="16"/>
  <c r="AI1173" i="16" s="1"/>
  <c r="K645" i="16"/>
  <c r="K625" i="16"/>
  <c r="K1800" i="16"/>
  <c r="K2161" i="16"/>
  <c r="K49" i="16"/>
  <c r="K1022" i="16"/>
  <c r="AI1022" i="16" s="1"/>
  <c r="K71" i="16"/>
  <c r="K1879" i="16"/>
  <c r="K1595" i="16"/>
  <c r="K197" i="16"/>
  <c r="AI197" i="16" s="1"/>
  <c r="K602" i="16"/>
  <c r="K1072" i="16"/>
  <c r="AI1072" i="16" s="1"/>
  <c r="K1405" i="16"/>
  <c r="AI1405" i="16" s="1"/>
  <c r="K393" i="16"/>
  <c r="K1402" i="16"/>
  <c r="K2195" i="16"/>
  <c r="K1772" i="16"/>
  <c r="AI1772" i="16" s="1"/>
  <c r="K1994" i="16"/>
  <c r="AI1994" i="16" s="1"/>
  <c r="K784" i="16"/>
  <c r="AI784" i="16" s="1"/>
  <c r="K1404" i="16"/>
  <c r="K1260" i="16"/>
  <c r="K685" i="16"/>
  <c r="K1779" i="16"/>
  <c r="K596" i="16"/>
  <c r="AI596" i="16" s="1"/>
  <c r="K442" i="16"/>
  <c r="AI442" i="16" s="1"/>
  <c r="K1609" i="16"/>
  <c r="K196" i="16"/>
  <c r="K600" i="16"/>
  <c r="K1649" i="16"/>
  <c r="K758" i="16"/>
  <c r="K1612" i="16"/>
  <c r="K1019" i="16"/>
  <c r="AI1019" i="16" s="1"/>
  <c r="K850" i="16"/>
  <c r="K1005" i="16"/>
  <c r="AI1005" i="16" s="1"/>
  <c r="K1482" i="16"/>
  <c r="K240" i="16"/>
  <c r="K718" i="16"/>
  <c r="K1131" i="16"/>
  <c r="AI1131" i="16" s="1"/>
  <c r="K420" i="16"/>
  <c r="K654" i="16"/>
  <c r="K419" i="16"/>
  <c r="K824" i="16"/>
  <c r="K903" i="16"/>
  <c r="K102" i="16"/>
  <c r="AI102" i="16" s="1"/>
  <c r="K100" i="16"/>
  <c r="K563" i="16"/>
  <c r="K214" i="16"/>
  <c r="K133" i="16"/>
  <c r="K2340" i="16"/>
  <c r="AI2340" i="16" s="1"/>
  <c r="K2296" i="16"/>
  <c r="K1799" i="16"/>
  <c r="K1808" i="16"/>
  <c r="K1468" i="16"/>
  <c r="K1866" i="16"/>
  <c r="AI1866" i="16" s="1"/>
  <c r="K417" i="16"/>
  <c r="AI417" i="16" s="1"/>
  <c r="K609" i="16"/>
  <c r="K87" i="16"/>
  <c r="AI87" i="16" s="1"/>
  <c r="K51" i="16"/>
  <c r="AI51" i="16" s="1"/>
  <c r="K1085" i="16"/>
  <c r="AI1085" i="16" s="1"/>
  <c r="K293" i="16"/>
  <c r="K1113" i="16"/>
  <c r="K750" i="16"/>
  <c r="AI750" i="16" s="1"/>
  <c r="K1237" i="16"/>
  <c r="K1415" i="16"/>
  <c r="K1312" i="16"/>
  <c r="AI1312" i="16" s="1"/>
  <c r="K2215" i="16"/>
  <c r="K1702" i="16"/>
  <c r="AI1702" i="16" s="1"/>
  <c r="K2330" i="16"/>
  <c r="AI2330" i="16" s="1"/>
  <c r="K2294" i="16"/>
  <c r="K1737" i="16"/>
  <c r="K1539" i="16"/>
  <c r="AI1539" i="16" s="1"/>
  <c r="K1527" i="16"/>
  <c r="K2003" i="16"/>
  <c r="K1960" i="16"/>
  <c r="K912" i="16"/>
  <c r="K647" i="16"/>
  <c r="K1353" i="16"/>
  <c r="AI1353" i="16" s="1"/>
  <c r="K1883" i="16"/>
  <c r="K1328" i="16"/>
  <c r="AI1328" i="16" s="1"/>
  <c r="K2341" i="16"/>
  <c r="K1777" i="16"/>
  <c r="AI1777" i="16" s="1"/>
  <c r="K1674" i="16"/>
  <c r="K961" i="16"/>
  <c r="K2216" i="16"/>
  <c r="K843" i="16"/>
  <c r="K1796" i="16"/>
  <c r="AI1796" i="16" s="1"/>
  <c r="K1729" i="16"/>
  <c r="K1421" i="16"/>
  <c r="K90" i="16"/>
  <c r="AI90" i="16" s="1"/>
  <c r="K1003" i="16"/>
  <c r="AI1003" i="16" s="1"/>
  <c r="K949" i="16"/>
  <c r="AI949" i="16" s="1"/>
  <c r="K238" i="16"/>
  <c r="AI238" i="16" s="1"/>
  <c r="K207" i="16"/>
  <c r="AI207" i="16" s="1"/>
  <c r="K571" i="16"/>
  <c r="K644" i="16"/>
  <c r="K1033" i="16"/>
  <c r="K1088" i="16"/>
  <c r="K934" i="16"/>
  <c r="AI934" i="16" s="1"/>
  <c r="K1443" i="16"/>
  <c r="K1470" i="16"/>
  <c r="AI1470" i="16" s="1"/>
  <c r="K2339" i="16"/>
  <c r="K74" i="16"/>
  <c r="K1426" i="16"/>
  <c r="AI1426" i="16" s="1"/>
  <c r="K2036" i="16"/>
  <c r="K1791" i="16"/>
  <c r="K1465" i="16"/>
  <c r="AI1465" i="16" s="1"/>
  <c r="K1895" i="16"/>
  <c r="K30" i="16"/>
  <c r="AI30" i="16" s="1"/>
  <c r="K1622" i="16"/>
  <c r="K638" i="16"/>
  <c r="K480" i="16"/>
  <c r="AI480" i="16" s="1"/>
  <c r="K1760" i="16"/>
  <c r="K174" i="16"/>
  <c r="AI174" i="16" s="1"/>
  <c r="K1632" i="16"/>
  <c r="AI1632" i="16" s="1"/>
  <c r="K1407" i="16"/>
  <c r="K1191" i="16"/>
  <c r="K1060" i="16"/>
  <c r="K473" i="16"/>
  <c r="K1039" i="16"/>
  <c r="K575" i="16"/>
  <c r="K651" i="16"/>
  <c r="K1170" i="16"/>
  <c r="AI1170" i="16" s="1"/>
  <c r="K2199" i="16"/>
  <c r="AI2199" i="16" s="1"/>
  <c r="K2178" i="16"/>
  <c r="K1388" i="16"/>
  <c r="K181" i="16"/>
  <c r="AI181" i="16" s="1"/>
  <c r="K456" i="16"/>
  <c r="K1721" i="16"/>
  <c r="K2326" i="16"/>
  <c r="K1899" i="16"/>
  <c r="K1829" i="16"/>
  <c r="K830" i="16"/>
  <c r="K380" i="16"/>
  <c r="K2042" i="16"/>
  <c r="K447" i="16"/>
  <c r="AI447" i="16" s="1"/>
  <c r="K539" i="16"/>
  <c r="K448" i="16"/>
  <c r="K915" i="16"/>
  <c r="K2246" i="16"/>
  <c r="K1326" i="16"/>
  <c r="AI1326" i="16" s="1"/>
  <c r="K485" i="16"/>
  <c r="K827" i="16"/>
  <c r="AI827" i="16" s="1"/>
  <c r="K201" i="16"/>
  <c r="K517" i="16"/>
  <c r="AI517" i="16" s="1"/>
  <c r="K1247" i="16"/>
  <c r="K2009" i="16"/>
  <c r="K1051" i="16"/>
  <c r="K2337" i="16"/>
  <c r="AI2337" i="16" s="1"/>
  <c r="K757" i="16"/>
  <c r="K1506" i="16"/>
  <c r="AI1506" i="16" s="1"/>
  <c r="K1254" i="16"/>
  <c r="AI1254" i="16" s="1"/>
  <c r="K67" i="16"/>
  <c r="K1189" i="16"/>
  <c r="K1666" i="16"/>
  <c r="K1913" i="16"/>
  <c r="AI1913" i="16" s="1"/>
  <c r="K973" i="16"/>
  <c r="K841" i="16"/>
  <c r="K2253" i="16"/>
  <c r="AI2253" i="16" s="1"/>
  <c r="K2169" i="16"/>
  <c r="K871" i="16"/>
  <c r="K1599" i="16"/>
  <c r="K1165" i="16"/>
  <c r="K2224" i="16"/>
  <c r="K1841" i="16"/>
  <c r="K1638" i="16"/>
  <c r="K856" i="16"/>
  <c r="K1628" i="16"/>
  <c r="K1337" i="16"/>
  <c r="K11" i="16"/>
  <c r="K2314" i="16"/>
  <c r="K229" i="16"/>
  <c r="K1264" i="16"/>
  <c r="K333" i="16"/>
  <c r="AI333" i="16" s="1"/>
  <c r="K807" i="16"/>
  <c r="AI807" i="16" s="1"/>
  <c r="K444" i="16"/>
  <c r="K1843" i="16"/>
  <c r="K1288" i="16"/>
  <c r="AI1288" i="16" s="1"/>
  <c r="K172" i="16"/>
  <c r="K499" i="16"/>
  <c r="AI499" i="16" s="1"/>
  <c r="K964" i="16"/>
  <c r="AI964" i="16" s="1"/>
  <c r="K712" i="16"/>
  <c r="K142" i="16"/>
  <c r="K1997" i="16"/>
  <c r="K780" i="16"/>
  <c r="K423" i="16"/>
  <c r="AI423" i="16" s="1"/>
  <c r="K467" i="16"/>
  <c r="K640" i="16"/>
  <c r="AI640" i="16" s="1"/>
  <c r="K2152" i="16"/>
  <c r="AI2152" i="16" s="1"/>
  <c r="K671" i="16"/>
  <c r="K1847" i="16"/>
  <c r="K1744" i="16"/>
  <c r="AI1744" i="16" s="1"/>
  <c r="K1648" i="16"/>
  <c r="K2023" i="16"/>
  <c r="K580" i="16"/>
  <c r="K2297" i="16"/>
  <c r="AI2297" i="16" s="1"/>
  <c r="K1860" i="16"/>
  <c r="K1626" i="16"/>
  <c r="AI1626" i="16" s="1"/>
  <c r="K1448" i="16"/>
  <c r="K2094" i="16"/>
  <c r="K1250" i="16"/>
  <c r="K2242" i="16"/>
  <c r="K509" i="16"/>
  <c r="AI509" i="16" s="1"/>
  <c r="K608" i="16"/>
  <c r="K1102" i="16"/>
  <c r="K1813" i="16"/>
  <c r="K1880" i="16"/>
  <c r="K1855" i="16"/>
  <c r="K1898" i="16"/>
  <c r="K2312" i="16"/>
  <c r="AI2312" i="16" s="1"/>
  <c r="K2027" i="16"/>
  <c r="K1238" i="16"/>
  <c r="AI1238" i="16" s="1"/>
  <c r="K2287" i="16"/>
  <c r="K418" i="16"/>
  <c r="K346" i="16"/>
  <c r="AI346" i="16" s="1"/>
  <c r="K880" i="16"/>
  <c r="K2097" i="16"/>
  <c r="AI2097" i="16" s="1"/>
  <c r="K510" i="16"/>
  <c r="K486" i="16"/>
  <c r="K818" i="16"/>
  <c r="K1146" i="16"/>
  <c r="K2081" i="16"/>
  <c r="K45" i="16"/>
  <c r="AI45" i="16" s="1"/>
  <c r="K1590" i="16"/>
  <c r="K1127" i="16"/>
  <c r="K1408" i="16"/>
  <c r="AI1408" i="16" s="1"/>
  <c r="K603" i="16"/>
  <c r="K491" i="16"/>
  <c r="K2189" i="16"/>
  <c r="AI2189" i="16" s="1"/>
  <c r="K2063" i="16"/>
  <c r="AI2063" i="16" s="1"/>
  <c r="K1550" i="16"/>
  <c r="K437" i="16"/>
  <c r="K1373" i="16"/>
  <c r="K331" i="16"/>
  <c r="K194" i="16"/>
  <c r="K1507" i="16"/>
  <c r="K59" i="16"/>
  <c r="K1233" i="16"/>
  <c r="K1824" i="16"/>
  <c r="K927" i="16"/>
  <c r="K623" i="16"/>
  <c r="K469" i="16"/>
  <c r="K183" i="16"/>
  <c r="K698" i="16"/>
  <c r="AI698" i="16" s="1"/>
  <c r="K1112" i="16"/>
  <c r="K1556" i="16"/>
  <c r="K431" i="16"/>
  <c r="K313" i="16"/>
  <c r="AI313" i="16" s="1"/>
  <c r="K584" i="16"/>
  <c r="K365" i="16"/>
  <c r="AI365" i="16" s="1"/>
  <c r="K191" i="16"/>
  <c r="K2202" i="16"/>
  <c r="K1195" i="16"/>
  <c r="AI1195" i="16" s="1"/>
  <c r="K1780" i="16"/>
  <c r="K1619" i="16"/>
  <c r="K1809" i="16"/>
  <c r="K904" i="16"/>
  <c r="AI904" i="16" s="1"/>
  <c r="K409" i="16"/>
  <c r="AI409" i="16" s="1"/>
  <c r="K2272" i="16"/>
  <c r="K1371" i="16"/>
  <c r="K106" i="16"/>
  <c r="K662" i="16"/>
  <c r="AI662" i="16" s="1"/>
  <c r="K116" i="16"/>
  <c r="AI116" i="16" s="1"/>
  <c r="K1910" i="16"/>
  <c r="AI1910" i="16" s="1"/>
  <c r="K1884" i="16"/>
  <c r="AI1884" i="16" s="1"/>
  <c r="K1629" i="16"/>
  <c r="K2264" i="16"/>
  <c r="K1752" i="16"/>
  <c r="K1454" i="16"/>
  <c r="AI1454" i="16" s="1"/>
  <c r="K989" i="16"/>
  <c r="K1046" i="16"/>
  <c r="K1951" i="16"/>
  <c r="K1089" i="16"/>
  <c r="K354" i="16"/>
  <c r="K2012" i="16"/>
  <c r="AI2012" i="16" s="1"/>
  <c r="K1827" i="16"/>
  <c r="K114" i="16"/>
  <c r="K1730" i="16"/>
  <c r="K978" i="16"/>
  <c r="K2141" i="16"/>
  <c r="K1802" i="16"/>
  <c r="AI1802" i="16" s="1"/>
  <c r="K435" i="16"/>
  <c r="K1613" i="16"/>
  <c r="AI1613" i="16" s="1"/>
  <c r="K514" i="16"/>
  <c r="K555" i="16"/>
  <c r="AI555" i="16" s="1"/>
  <c r="K40" i="16"/>
  <c r="K1451" i="16"/>
  <c r="K35" i="16"/>
  <c r="K88" i="16"/>
  <c r="K33" i="16"/>
  <c r="K1656" i="16"/>
  <c r="K395" i="16"/>
  <c r="AI395" i="16" s="1"/>
  <c r="K822" i="16"/>
  <c r="K144" i="16"/>
  <c r="K261" i="16"/>
  <c r="K1935" i="16"/>
  <c r="AI1935" i="16" s="1"/>
  <c r="K128" i="16"/>
  <c r="AI128" i="16" s="1"/>
  <c r="K859" i="16"/>
  <c r="K242" i="16"/>
  <c r="K1355" i="16"/>
  <c r="K305" i="16"/>
  <c r="K622" i="16"/>
  <c r="K701" i="16"/>
  <c r="K956" i="16"/>
  <c r="K902" i="16"/>
  <c r="K326" i="16"/>
  <c r="K2219" i="16"/>
  <c r="K1406" i="16"/>
  <c r="AI1406" i="16" s="1"/>
  <c r="K217" i="16"/>
  <c r="K980" i="16"/>
  <c r="K125" i="16"/>
  <c r="K177" i="16"/>
  <c r="K252" i="16"/>
  <c r="K1601" i="16"/>
  <c r="K1584" i="16"/>
  <c r="AI1584" i="16" s="1"/>
  <c r="K1528" i="16"/>
  <c r="K1580" i="16"/>
  <c r="K412" i="16"/>
  <c r="AI412" i="16" s="1"/>
  <c r="K1038" i="16"/>
  <c r="K1147" i="16"/>
  <c r="AI1147" i="16" s="1"/>
  <c r="K2087" i="16"/>
  <c r="K1712" i="16"/>
  <c r="K410" i="16"/>
  <c r="AI410" i="16" s="1"/>
  <c r="K344" i="16"/>
  <c r="AI344" i="16" s="1"/>
  <c r="K1414" i="16"/>
  <c r="AI1414" i="16" s="1"/>
  <c r="K735" i="16"/>
  <c r="K1020" i="16"/>
  <c r="K2080" i="16"/>
  <c r="K1814" i="16"/>
  <c r="AI1814" i="16" s="1"/>
  <c r="K247" i="16"/>
  <c r="AI247" i="16" s="1"/>
  <c r="K264" i="16"/>
  <c r="K1344" i="16"/>
  <c r="K1036" i="16"/>
  <c r="K281" i="16"/>
  <c r="K1469" i="16"/>
  <c r="K992" i="16"/>
  <c r="K263" i="16"/>
  <c r="K1428" i="16"/>
  <c r="K168" i="16"/>
  <c r="AI168" i="16" s="1"/>
  <c r="K127" i="16"/>
  <c r="K1004" i="16"/>
  <c r="K714" i="16"/>
  <c r="K8" i="16"/>
  <c r="K2132" i="16"/>
  <c r="K1029" i="16"/>
  <c r="K1611" i="16"/>
  <c r="AI1611" i="16" s="1"/>
  <c r="K1359" i="16"/>
  <c r="K688" i="16"/>
  <c r="K1789" i="16"/>
  <c r="K2086" i="16"/>
  <c r="K1491" i="16"/>
  <c r="AI1491" i="16" s="1"/>
  <c r="K2060" i="16"/>
  <c r="AI2060" i="16" s="1"/>
  <c r="K721" i="16"/>
  <c r="K1689" i="16"/>
  <c r="K803" i="16"/>
  <c r="K1961" i="16"/>
  <c r="K274" i="16"/>
  <c r="K2327" i="16"/>
  <c r="K743" i="16"/>
  <c r="K1743" i="16"/>
  <c r="AI1743" i="16" s="1"/>
  <c r="K2324" i="16"/>
  <c r="K1882" i="16"/>
  <c r="K2092" i="16"/>
  <c r="K192" i="16"/>
  <c r="AI192" i="16" s="1"/>
  <c r="K19" i="16"/>
  <c r="K1591" i="16"/>
  <c r="K1206" i="16"/>
  <c r="AI1206" i="16" s="1"/>
  <c r="K2071" i="16"/>
  <c r="AI2071" i="16" s="1"/>
  <c r="K399" i="16"/>
  <c r="AI399" i="16" s="1"/>
  <c r="K1163" i="16"/>
  <c r="AI1163" i="16" s="1"/>
  <c r="K955" i="16"/>
  <c r="AI955" i="16" s="1"/>
  <c r="K1184" i="16"/>
  <c r="AI1184" i="16" s="1"/>
  <c r="K1902" i="16"/>
  <c r="K134" i="16"/>
  <c r="AI134" i="16" s="1"/>
  <c r="K39" i="16"/>
  <c r="K1073" i="16"/>
  <c r="AI1073" i="16" s="1"/>
  <c r="K336" i="16"/>
  <c r="K1110" i="16"/>
  <c r="K1035" i="16"/>
  <c r="AI1035" i="16" s="1"/>
  <c r="K639" i="16"/>
  <c r="AI639" i="16" s="1"/>
  <c r="K1152" i="16"/>
  <c r="K958" i="16"/>
  <c r="AI958" i="16" s="1"/>
  <c r="K228" i="16"/>
  <c r="AI228" i="16" s="1"/>
  <c r="K2226" i="16"/>
  <c r="K1241" i="16"/>
  <c r="K1456" i="16"/>
  <c r="K468" i="16"/>
  <c r="AI468" i="16" s="1"/>
  <c r="K908" i="16"/>
  <c r="AI908" i="16" s="1"/>
  <c r="K2051" i="16"/>
  <c r="K869" i="16"/>
  <c r="K719" i="16"/>
  <c r="K1510" i="16"/>
  <c r="AI1510" i="16" s="1"/>
  <c r="K1331" i="16"/>
  <c r="AI1331" i="16" s="1"/>
  <c r="K888" i="16"/>
  <c r="K1821" i="16"/>
  <c r="K1489" i="16"/>
  <c r="K2259" i="16"/>
  <c r="K432" i="16"/>
  <c r="AI432" i="16" s="1"/>
  <c r="K1928" i="16"/>
  <c r="AI1928" i="16" s="1"/>
  <c r="K507" i="16"/>
  <c r="K2145" i="16"/>
  <c r="K637" i="16"/>
  <c r="K1508" i="16"/>
  <c r="K1788" i="16"/>
  <c r="K800" i="16"/>
  <c r="AI800" i="16" s="1"/>
  <c r="K250" i="16"/>
  <c r="K1413" i="16"/>
  <c r="K1499" i="16"/>
  <c r="K1544" i="16"/>
  <c r="K1785" i="16"/>
  <c r="AI1785" i="16" s="1"/>
  <c r="K2218" i="16"/>
  <c r="K212" i="16"/>
  <c r="K2062" i="16"/>
  <c r="K464" i="16"/>
  <c r="K1540" i="16"/>
  <c r="AI1540" i="16" s="1"/>
  <c r="K176" i="16"/>
  <c r="K1018" i="16"/>
  <c r="K1339" i="16"/>
  <c r="AI1339" i="16" s="1"/>
  <c r="K2201" i="16"/>
  <c r="K1545" i="16"/>
  <c r="K725" i="16"/>
  <c r="K546" i="16"/>
  <c r="AI546" i="16" s="1"/>
  <c r="K2229" i="16"/>
  <c r="K1362" i="16"/>
  <c r="K83" i="16"/>
  <c r="K146" i="16"/>
  <c r="K565" i="16"/>
  <c r="K198" i="16"/>
  <c r="K853" i="16"/>
  <c r="K1543" i="16"/>
  <c r="K1923" i="16"/>
  <c r="K1164" i="16"/>
  <c r="K2214" i="16"/>
  <c r="K994" i="16"/>
  <c r="K1790" i="16"/>
  <c r="AI1790" i="16" s="1"/>
  <c r="K1398" i="16"/>
  <c r="K2320" i="16"/>
  <c r="AI2320" i="16" s="1"/>
  <c r="K1930" i="16"/>
  <c r="AI1930" i="16" s="1"/>
  <c r="K811" i="16"/>
  <c r="AI811" i="16" s="1"/>
  <c r="K1706" i="16"/>
  <c r="K593" i="16"/>
  <c r="K2031" i="16"/>
  <c r="K1289" i="16"/>
  <c r="K422" i="16"/>
  <c r="K1984" i="16"/>
  <c r="AI1984" i="16" s="1"/>
  <c r="K2148" i="16"/>
  <c r="K2309" i="16"/>
  <c r="K2249" i="16"/>
  <c r="K2191" i="16"/>
  <c r="K1008" i="16"/>
  <c r="K889" i="16"/>
  <c r="AI889" i="16" s="1"/>
  <c r="K157" i="16"/>
  <c r="K152" i="16"/>
  <c r="K993" i="16"/>
  <c r="AI993" i="16" s="1"/>
  <c r="K879" i="16"/>
  <c r="K1716" i="16"/>
  <c r="K741" i="16"/>
  <c r="AI741" i="16" s="1"/>
  <c r="K75" i="16"/>
  <c r="AI75" i="16" s="1"/>
  <c r="K1080" i="16"/>
  <c r="K119" i="16"/>
  <c r="AI119" i="16" s="1"/>
  <c r="K1620" i="16"/>
  <c r="K47" i="16"/>
  <c r="K925" i="16"/>
  <c r="K1929" i="16"/>
  <c r="AI1929" i="16" s="1"/>
  <c r="K744" i="16"/>
  <c r="K1696" i="16"/>
  <c r="AI1696" i="16" s="1"/>
  <c r="K928" i="16"/>
  <c r="AI928" i="16" s="1"/>
  <c r="K1041" i="16"/>
  <c r="K1991" i="16"/>
  <c r="K2302" i="16"/>
  <c r="AI2302" i="16" s="1"/>
  <c r="K873" i="16"/>
  <c r="AI873" i="16" s="1"/>
  <c r="K2273" i="16"/>
  <c r="K885" i="16"/>
  <c r="AI885" i="16" s="1"/>
  <c r="K182" i="16"/>
  <c r="AI182" i="16" s="1"/>
  <c r="K1554" i="16"/>
  <c r="AI1554" i="16" s="1"/>
  <c r="K1391" i="16"/>
  <c r="AI1391" i="16" s="1"/>
  <c r="K627" i="16"/>
  <c r="AI627" i="16" s="1"/>
  <c r="K1334" i="16"/>
  <c r="K1735" i="16"/>
  <c r="K123" i="16"/>
  <c r="K165" i="16"/>
  <c r="K1187" i="16"/>
  <c r="K844" i="16"/>
  <c r="AI844" i="16" s="1"/>
  <c r="K1356" i="16"/>
  <c r="K585" i="16"/>
  <c r="AI585" i="16" s="1"/>
  <c r="K69" i="16"/>
  <c r="K505" i="16"/>
  <c r="K1700" i="16"/>
  <c r="K939" i="16"/>
  <c r="K169" i="16"/>
  <c r="K672" i="16"/>
  <c r="AI672" i="16" s="1"/>
  <c r="K601" i="16"/>
  <c r="K104" i="16"/>
  <c r="K302" i="16"/>
  <c r="K209" i="16"/>
  <c r="K2190" i="16"/>
  <c r="AI2190" i="16" s="1"/>
  <c r="K1069" i="16"/>
  <c r="K722" i="16"/>
  <c r="K249" i="16"/>
  <c r="K976" i="16"/>
  <c r="K463" i="16"/>
  <c r="AI463" i="16" s="1"/>
  <c r="K476" i="16"/>
  <c r="K227" i="16"/>
  <c r="AI227" i="16" s="1"/>
  <c r="K900" i="16"/>
  <c r="K434" i="16"/>
  <c r="AI434" i="16" s="1"/>
  <c r="K57" i="16"/>
  <c r="AI57" i="16" s="1"/>
  <c r="K1571" i="16"/>
  <c r="K1273" i="16"/>
  <c r="AI1273" i="16" s="1"/>
  <c r="K2122" i="16"/>
  <c r="K1911" i="16"/>
  <c r="K695" i="16"/>
  <c r="AI695" i="16" s="1"/>
  <c r="K586" i="16"/>
  <c r="K1363" i="16"/>
  <c r="AI1363" i="16" s="1"/>
  <c r="K50" i="16"/>
  <c r="K167" i="16"/>
  <c r="K1998" i="16"/>
  <c r="K620" i="16"/>
  <c r="K703" i="16"/>
  <c r="K1213" i="16"/>
  <c r="AI1213" i="16" s="1"/>
  <c r="K1688" i="16"/>
  <c r="K1918" i="16"/>
  <c r="AI1918" i="16" s="1"/>
  <c r="K2153" i="16"/>
  <c r="K130" i="16"/>
  <c r="K821" i="16"/>
  <c r="AI821" i="16" s="1"/>
  <c r="K1492" i="16"/>
  <c r="K2234" i="16"/>
  <c r="K2144" i="16"/>
  <c r="K504" i="16"/>
  <c r="AI504" i="16" s="1"/>
  <c r="K440" i="16"/>
  <c r="K1741" i="16"/>
  <c r="AI1741" i="16" s="1"/>
  <c r="K490" i="16"/>
  <c r="K1717" i="16"/>
  <c r="K951" i="16"/>
  <c r="AI951" i="16" s="1"/>
  <c r="K1769" i="16"/>
  <c r="K1386" i="16"/>
  <c r="AI1386" i="16" s="1"/>
  <c r="K1204" i="16"/>
  <c r="K388" i="16"/>
  <c r="K156" i="16"/>
  <c r="K1564" i="16"/>
  <c r="K738" i="16"/>
  <c r="K225" i="16"/>
  <c r="AI225" i="16" s="1"/>
  <c r="K842" i="16"/>
  <c r="K694" i="16"/>
  <c r="AI694" i="16" s="1"/>
  <c r="K1667" i="16"/>
  <c r="AI1667" i="16" s="1"/>
  <c r="K2102" i="16"/>
  <c r="K1002" i="16"/>
  <c r="AI1002" i="16" s="1"/>
  <c r="K484" i="16"/>
  <c r="K1849" i="16"/>
  <c r="AI1849" i="16" s="1"/>
  <c r="K1225" i="16"/>
  <c r="AI1225" i="16" s="1"/>
  <c r="K151" i="16"/>
  <c r="K1007" i="16"/>
  <c r="K1498" i="16"/>
  <c r="AI1498" i="16" s="1"/>
  <c r="K1479" i="16"/>
  <c r="K1179" i="16"/>
  <c r="K635" i="16"/>
  <c r="AI635" i="16" s="1"/>
  <c r="K529" i="16"/>
  <c r="K277" i="16"/>
  <c r="K385" i="16"/>
  <c r="K542" i="16"/>
  <c r="AI542" i="16" s="1"/>
  <c r="K692" i="16"/>
  <c r="K1900" i="16"/>
  <c r="K1552" i="16"/>
  <c r="K1366" i="16"/>
  <c r="K1708" i="16"/>
  <c r="AI1708" i="16" s="1"/>
  <c r="K2187" i="16"/>
  <c r="AI2187" i="16" s="1"/>
  <c r="K1199" i="16"/>
  <c r="K335" i="16"/>
  <c r="AI335" i="16" s="1"/>
  <c r="K449" i="16"/>
  <c r="K1009" i="16"/>
  <c r="K705" i="16"/>
  <c r="K475" i="16"/>
  <c r="AI475" i="16" s="1"/>
  <c r="K310" i="16"/>
  <c r="K1066" i="16"/>
  <c r="AI1066" i="16" s="1"/>
  <c r="K1538" i="16"/>
  <c r="AI1538" i="16" s="1"/>
  <c r="K94" i="16"/>
  <c r="AI94" i="16" s="1"/>
  <c r="K749" i="16"/>
  <c r="AI749" i="16" s="1"/>
  <c r="K153" i="16"/>
  <c r="K1416" i="16"/>
  <c r="AI1416" i="16" s="1"/>
  <c r="K329" i="16"/>
  <c r="K1302" i="16"/>
  <c r="K1303" i="16"/>
  <c r="K1614" i="16"/>
  <c r="K748" i="16"/>
  <c r="K1208" i="16"/>
  <c r="K1568" i="16"/>
  <c r="K1709" i="16"/>
  <c r="AI1709" i="16" s="1"/>
  <c r="K1642" i="16"/>
  <c r="K60" i="16"/>
  <c r="K1534" i="16"/>
  <c r="AI1534" i="16" s="1"/>
  <c r="K1129" i="16"/>
  <c r="AI1129" i="16" s="1"/>
  <c r="K1345" i="16"/>
  <c r="K1447" i="16"/>
  <c r="K659" i="16"/>
  <c r="K375" i="16"/>
  <c r="AI375" i="16" s="1"/>
  <c r="K1494" i="16"/>
  <c r="AI1494" i="16" s="1"/>
  <c r="K1342" i="16"/>
  <c r="AI1342" i="16" s="1"/>
  <c r="K1399" i="16"/>
  <c r="K1222" i="16"/>
  <c r="K573" i="16"/>
  <c r="AI573" i="16" s="1"/>
  <c r="K1135" i="16"/>
  <c r="K279" i="16"/>
  <c r="K93" i="16"/>
  <c r="K1281" i="16"/>
  <c r="K502" i="16"/>
  <c r="K789" i="16"/>
  <c r="AI789" i="16" s="1"/>
  <c r="K284" i="16"/>
  <c r="K767" i="16"/>
  <c r="K1141" i="16"/>
  <c r="K527" i="16"/>
  <c r="K1128" i="16"/>
  <c r="K849" i="16"/>
  <c r="K891" i="16"/>
  <c r="AI891" i="16" s="1"/>
  <c r="K1523" i="16"/>
  <c r="K1511" i="16"/>
  <c r="AI1511" i="16" s="1"/>
  <c r="K1645" i="16"/>
  <c r="K1140" i="16"/>
  <c r="K1258" i="16"/>
  <c r="AI1258" i="16" s="1"/>
  <c r="K747" i="16"/>
  <c r="K1846" i="16"/>
  <c r="K762" i="16"/>
  <c r="K92" i="16"/>
  <c r="AI92" i="16" s="1"/>
  <c r="K285" i="16"/>
  <c r="AI285" i="16" s="1"/>
  <c r="K358" i="16"/>
  <c r="AI358" i="16" s="1"/>
  <c r="K2114" i="16"/>
  <c r="K1190" i="16"/>
  <c r="K1109" i="16"/>
  <c r="K2182" i="16"/>
  <c r="K495" i="16"/>
  <c r="K118" i="16"/>
  <c r="AI118" i="16" s="1"/>
  <c r="K162" i="16"/>
  <c r="K533" i="16"/>
  <c r="K1931" i="16"/>
  <c r="K386" i="16"/>
  <c r="K1680" i="16"/>
  <c r="K1676" i="16"/>
  <c r="AI1676" i="16" s="1"/>
  <c r="K1560" i="16"/>
  <c r="K1001" i="16"/>
  <c r="AI1001" i="16" s="1"/>
  <c r="K1606" i="16"/>
  <c r="AI1606" i="16" s="1"/>
  <c r="K1966" i="16"/>
  <c r="AI1966" i="16" s="1"/>
  <c r="K1890" i="16"/>
  <c r="K367" i="16"/>
  <c r="K360" i="16"/>
  <c r="K1967" i="16"/>
  <c r="AI1967" i="16" s="1"/>
  <c r="K368" i="16"/>
  <c r="AI368" i="16" s="1"/>
  <c r="K770" i="16"/>
  <c r="K2005" i="16"/>
  <c r="AI2005" i="16" s="1"/>
  <c r="K1123" i="16"/>
  <c r="K1081" i="16"/>
  <c r="AI1081" i="16" s="1"/>
  <c r="K265" i="16"/>
  <c r="K611" i="16"/>
  <c r="K1392" i="16"/>
  <c r="AI1392" i="16" s="1"/>
  <c r="K1738" i="16"/>
  <c r="K1486" i="16"/>
  <c r="K113" i="16"/>
  <c r="K1577" i="16"/>
  <c r="AI1577" i="16" s="1"/>
  <c r="K1280" i="16"/>
  <c r="K2064" i="16"/>
  <c r="K587" i="16"/>
  <c r="AI587" i="16" s="1"/>
  <c r="K112" i="16"/>
  <c r="AI112" i="16" s="1"/>
  <c r="K1732" i="16"/>
  <c r="AI1732" i="16" s="1"/>
  <c r="K944" i="16"/>
  <c r="K95" i="16"/>
  <c r="K1627" i="16"/>
  <c r="K1320" i="16"/>
  <c r="K296" i="16"/>
  <c r="K441" i="16"/>
  <c r="K876" i="16"/>
  <c r="K506" i="16"/>
  <c r="K1121" i="16"/>
  <c r="K62" i="16"/>
  <c r="K1296" i="16"/>
  <c r="AI1296" i="16" s="1"/>
  <c r="K922" i="16"/>
  <c r="AI922" i="16" s="1"/>
  <c r="K2100" i="16"/>
  <c r="AI2100" i="16" s="1"/>
  <c r="K31" i="16"/>
  <c r="K2183" i="16"/>
  <c r="K387" i="16"/>
  <c r="K79" i="16"/>
  <c r="K528" i="16"/>
  <c r="K1285" i="16"/>
  <c r="K1596" i="16"/>
  <c r="K1367" i="16"/>
  <c r="K1981" i="16"/>
  <c r="K163" i="16"/>
  <c r="AI163" i="16" s="1"/>
  <c r="K896" i="16"/>
  <c r="K556" i="16"/>
  <c r="AI556" i="16" s="1"/>
  <c r="K1253" i="16"/>
  <c r="AI1253" i="16" s="1"/>
  <c r="K652" i="16"/>
  <c r="AI652" i="16" s="1"/>
  <c r="K1707" i="16"/>
  <c r="K1244" i="16"/>
  <c r="K366" i="16"/>
  <c r="K2160" i="16"/>
  <c r="K2188" i="16"/>
  <c r="K200" i="16"/>
  <c r="K1484" i="16"/>
  <c r="AI1484" i="16" s="1"/>
  <c r="K1282" i="16"/>
  <c r="K1219" i="16"/>
  <c r="K1876" i="16"/>
  <c r="K1474" i="16"/>
  <c r="K1283" i="16"/>
  <c r="K488" i="16"/>
  <c r="K1587" i="16"/>
  <c r="AI1587" i="16" s="1"/>
  <c r="K318" i="16"/>
  <c r="AI318" i="16" s="1"/>
  <c r="K1348" i="16"/>
  <c r="AI1348" i="16" s="1"/>
  <c r="K892" i="16"/>
  <c r="K941" i="16"/>
  <c r="K765" i="16"/>
  <c r="K494" i="16"/>
  <c r="K235" i="16"/>
  <c r="K319" i="16"/>
  <c r="K1394" i="16"/>
  <c r="K665" i="16"/>
  <c r="K1194" i="16"/>
  <c r="K2115" i="16"/>
  <c r="K1167" i="16"/>
  <c r="K1574" i="16"/>
  <c r="K1603" i="16"/>
  <c r="AI1603" i="16" s="1"/>
  <c r="K1711" i="16"/>
  <c r="K2107" i="16"/>
  <c r="AI2107" i="16" s="1"/>
  <c r="K1292" i="16"/>
  <c r="AI1292" i="16" s="1"/>
  <c r="K1679" i="16"/>
  <c r="AI1679" i="16" s="1"/>
  <c r="K1519" i="16"/>
  <c r="K2074" i="16"/>
  <c r="K806" i="16"/>
  <c r="AI806" i="16" s="1"/>
  <c r="K1475" i="16"/>
  <c r="AI1475" i="16" s="1"/>
  <c r="K589" i="16"/>
  <c r="AI589" i="16" s="1"/>
  <c r="K1600" i="16"/>
  <c r="K1083" i="16"/>
  <c r="AI1083" i="16" s="1"/>
  <c r="K478" i="16"/>
  <c r="K1441" i="16"/>
  <c r="K1817" i="16"/>
  <c r="K726" i="16"/>
  <c r="AI726" i="16" s="1"/>
  <c r="K995" i="16"/>
  <c r="K1160" i="16"/>
  <c r="K1000" i="16"/>
  <c r="K1068" i="16"/>
  <c r="K1200" i="16"/>
  <c r="K232" i="16"/>
  <c r="AI232" i="16" s="1"/>
  <c r="K266" i="16"/>
  <c r="AI266" i="16" s="1"/>
  <c r="K1262" i="16"/>
  <c r="AI1262" i="16" s="1"/>
  <c r="K1723" i="16"/>
  <c r="AI1723" i="16" s="1"/>
  <c r="K1125" i="16"/>
  <c r="AI1125" i="16" s="1"/>
  <c r="K2103" i="16"/>
  <c r="K1852" i="16"/>
  <c r="K1569" i="16"/>
  <c r="K660" i="16"/>
  <c r="K400" i="16"/>
  <c r="K1300" i="16"/>
  <c r="K462" i="16"/>
  <c r="K2140" i="16"/>
  <c r="AI2140" i="16" s="1"/>
  <c r="K80" i="16"/>
  <c r="K923" i="16"/>
  <c r="K901" i="16"/>
  <c r="K1962" i="16"/>
  <c r="K1284" i="16"/>
  <c r="AI1284" i="16" s="1"/>
  <c r="K1893" i="16"/>
  <c r="AI1893" i="16" s="1"/>
  <c r="K501" i="16"/>
  <c r="K132" i="16"/>
  <c r="K999" i="16"/>
  <c r="K1784" i="16"/>
  <c r="AI1784" i="16" s="1"/>
  <c r="K371" i="16"/>
  <c r="AI371" i="16" s="1"/>
  <c r="K1581" i="16"/>
  <c r="K838" i="16"/>
  <c r="AI838" i="16" s="1"/>
  <c r="K1485" i="16"/>
  <c r="K1236" i="16"/>
  <c r="K1349" i="16"/>
  <c r="K1304" i="16"/>
  <c r="K233" i="16"/>
  <c r="AI233" i="16" s="1"/>
  <c r="K1136" i="16"/>
  <c r="K890" i="16"/>
  <c r="K487" i="16"/>
  <c r="K727" i="16"/>
  <c r="AI727" i="16" s="1"/>
  <c r="K808" i="16"/>
  <c r="K1365" i="16"/>
  <c r="K861" i="16"/>
  <c r="K1279" i="16"/>
  <c r="K1615" i="16"/>
  <c r="K236" i="16"/>
  <c r="AI236" i="16" s="1"/>
  <c r="K936" i="16"/>
  <c r="K1536" i="16"/>
  <c r="AI1536" i="16" s="1"/>
  <c r="K1987" i="16"/>
  <c r="K324" i="16"/>
  <c r="K288" i="16"/>
  <c r="K1701" i="16"/>
  <c r="AI1701" i="16" s="1"/>
  <c r="K1956" i="16"/>
  <c r="K348" i="16"/>
  <c r="K1082" i="16"/>
  <c r="K1946" i="16"/>
  <c r="AI1946" i="16" s="1"/>
  <c r="K1352" i="16"/>
  <c r="AI1352" i="16" s="1"/>
  <c r="K2185" i="16"/>
  <c r="AI2185" i="16" s="1"/>
  <c r="K734" i="16"/>
  <c r="AI734" i="16" s="1"/>
  <c r="K259" i="16"/>
  <c r="K943" i="16"/>
  <c r="K1065" i="16"/>
  <c r="K1148" i="16"/>
  <c r="K1542" i="16"/>
  <c r="K1937" i="16"/>
  <c r="K769" i="16"/>
  <c r="K932" i="16"/>
  <c r="AI932" i="16" s="1"/>
  <c r="K680" i="16"/>
  <c r="K530" i="16"/>
  <c r="K1740" i="16"/>
  <c r="AI1740" i="16" s="1"/>
  <c r="K1646" i="16"/>
  <c r="AI1646" i="16" s="1"/>
  <c r="K454" i="16"/>
  <c r="AI454" i="16" s="1"/>
  <c r="K1440" i="16"/>
  <c r="AI1440" i="16" s="1"/>
  <c r="K1242" i="16"/>
  <c r="AI1242" i="16" s="1"/>
  <c r="K1647" i="16"/>
  <c r="AI1647" i="16" s="1"/>
  <c r="K953" i="16"/>
  <c r="K453" i="16"/>
  <c r="K321" i="16"/>
  <c r="K1347" i="16"/>
  <c r="AI1347" i="16" s="1"/>
  <c r="K1180" i="16"/>
  <c r="K154" i="16"/>
  <c r="AI154" i="16" s="1"/>
  <c r="K1293" i="16"/>
  <c r="AI1293" i="16" s="1"/>
  <c r="K512" i="16"/>
  <c r="AH1766" i="16" l="1"/>
  <c r="AH1279" i="16"/>
  <c r="AH824" i="16"/>
  <c r="AH121" i="16"/>
  <c r="AH1808" i="16"/>
  <c r="AH1422" i="16"/>
  <c r="AH1085" i="16"/>
  <c r="AH61" i="16"/>
  <c r="AH1843" i="16"/>
  <c r="AH1392" i="16"/>
  <c r="AH956" i="16"/>
  <c r="AH696" i="16"/>
  <c r="AH616" i="16"/>
  <c r="AH1456" i="16"/>
  <c r="AH931" i="16"/>
  <c r="AH811" i="16"/>
  <c r="AH619" i="16"/>
  <c r="AH2334" i="16"/>
  <c r="AH2157" i="16"/>
  <c r="AH1679" i="16"/>
  <c r="AH1080" i="16"/>
  <c r="AH377" i="16"/>
  <c r="AH1991" i="16"/>
  <c r="AH1633" i="16"/>
  <c r="AH1215" i="16"/>
  <c r="AH724" i="16"/>
  <c r="AH23" i="16"/>
  <c r="AH1289" i="16"/>
  <c r="AH1801" i="16"/>
  <c r="AH260" i="16"/>
  <c r="AH594" i="16"/>
  <c r="AH2285" i="16"/>
  <c r="AH2092" i="16"/>
  <c r="AH1501" i="16"/>
  <c r="AH695" i="16"/>
  <c r="AH296" i="16"/>
  <c r="AH2026" i="16"/>
  <c r="AH2213" i="16"/>
  <c r="AH972" i="16"/>
  <c r="AH1598" i="16"/>
  <c r="AH1909" i="16"/>
  <c r="AH2106" i="16"/>
  <c r="AH2273" i="16"/>
  <c r="AH1313" i="16"/>
  <c r="AH1750" i="16"/>
  <c r="AH1996" i="16"/>
  <c r="AH2051" i="16"/>
  <c r="AH1006" i="16"/>
  <c r="AH1567" i="16"/>
  <c r="AH1591" i="16"/>
  <c r="AH1660" i="16"/>
  <c r="AH1927" i="16"/>
  <c r="AH1262" i="16"/>
  <c r="AH1429" i="16"/>
  <c r="AH1548" i="16"/>
  <c r="AH891" i="16"/>
  <c r="AH1174" i="16"/>
  <c r="AH994" i="16"/>
  <c r="AH1161" i="16"/>
  <c r="AH508" i="16"/>
  <c r="AH816" i="16"/>
  <c r="AH300" i="16"/>
  <c r="AH733" i="16"/>
  <c r="AH629" i="16"/>
  <c r="AH117" i="16"/>
  <c r="AH291" i="16"/>
  <c r="AH458" i="16"/>
  <c r="AH625" i="16"/>
  <c r="AH113" i="16"/>
  <c r="AH224" i="16"/>
  <c r="AH335" i="16"/>
  <c r="AH502" i="16"/>
  <c r="AH2318" i="16"/>
  <c r="AH1467" i="16"/>
  <c r="AH1841" i="16"/>
  <c r="AH2055" i="16"/>
  <c r="AH2235" i="16"/>
  <c r="AH1134" i="16"/>
  <c r="AH1665" i="16"/>
  <c r="AH1945" i="16"/>
  <c r="AH2135" i="16"/>
  <c r="AH2295" i="16"/>
  <c r="AH1391" i="16"/>
  <c r="AH1723" i="16"/>
  <c r="AH1960" i="16"/>
  <c r="AH1866" i="16"/>
  <c r="AH1108" i="16"/>
  <c r="AH1228" i="16"/>
  <c r="AH1657" i="16"/>
  <c r="AH1677" i="16"/>
  <c r="AH1102" i="16"/>
  <c r="AH1284" i="16"/>
  <c r="AH1458" i="16"/>
  <c r="AH1242" i="16"/>
  <c r="AH730" i="16"/>
  <c r="AH897" i="16"/>
  <c r="AH1064" i="16"/>
  <c r="AH871" i="16"/>
  <c r="AH612" i="16"/>
  <c r="AH772" i="16"/>
  <c r="AH365" i="16"/>
  <c r="AH539" i="16"/>
  <c r="AH27" i="16"/>
  <c r="AH194" i="16"/>
  <c r="AH361" i="16"/>
  <c r="AH472" i="16"/>
  <c r="AH583" i="16"/>
  <c r="AH71" i="16"/>
  <c r="AH238" i="16"/>
  <c r="AH2005" i="16"/>
  <c r="AH2196" i="16"/>
  <c r="AH2340" i="16"/>
  <c r="AH1543" i="16"/>
  <c r="AH1880" i="16"/>
  <c r="AH2085" i="16"/>
  <c r="AH2257" i="16"/>
  <c r="AH1259" i="16"/>
  <c r="AH1716" i="16"/>
  <c r="AH1974" i="16"/>
  <c r="AH2035" i="16"/>
  <c r="AH867" i="16"/>
  <c r="AH1523" i="16"/>
  <c r="AH1566" i="16"/>
  <c r="AH1639" i="16"/>
  <c r="AH1911" i="16"/>
  <c r="AH1222" i="16"/>
  <c r="AH1413" i="16"/>
  <c r="AH1532" i="16"/>
  <c r="AH763" i="16"/>
  <c r="AH1149" i="16"/>
  <c r="AH978" i="16"/>
  <c r="AH1145" i="16"/>
  <c r="AH380" i="16"/>
  <c r="AH800" i="16"/>
  <c r="AH172" i="16"/>
  <c r="AH717" i="16"/>
  <c r="AH613" i="16"/>
  <c r="AH101" i="16"/>
  <c r="AH275" i="16"/>
  <c r="AH442" i="16"/>
  <c r="AH609" i="16"/>
  <c r="AH97" i="16"/>
  <c r="AH208" i="16"/>
  <c r="AH319" i="16"/>
  <c r="AH486" i="16"/>
  <c r="AH2302" i="16"/>
  <c r="AH1415" i="16"/>
  <c r="AH1813" i="16"/>
  <c r="AH2221" i="16"/>
  <c r="AH2006" i="16"/>
  <c r="AH1437" i="16"/>
  <c r="AH364" i="16"/>
  <c r="AH232" i="16"/>
  <c r="AH2031" i="16"/>
  <c r="AH1502" i="16"/>
  <c r="AH938" i="16"/>
  <c r="AH235" i="16"/>
  <c r="AH2057" i="16"/>
  <c r="AH1800" i="16"/>
  <c r="AH1309" i="16"/>
  <c r="AH806" i="16"/>
  <c r="AH104" i="16"/>
  <c r="AH1836" i="16"/>
  <c r="AH1296" i="16"/>
  <c r="AH810" i="16"/>
  <c r="AH107" i="16"/>
  <c r="AH1520" i="16"/>
  <c r="AH2311" i="16"/>
  <c r="AH739" i="16"/>
  <c r="AH887" i="16"/>
  <c r="AH488" i="16"/>
  <c r="AH2182" i="16"/>
  <c r="AH1904" i="16"/>
  <c r="AH1410" i="16"/>
  <c r="AH317" i="16"/>
  <c r="AH190" i="16"/>
  <c r="AH1736" i="16"/>
  <c r="AH941" i="16"/>
  <c r="AH785" i="16"/>
  <c r="AH82" i="16"/>
  <c r="AH1353" i="16"/>
  <c r="AH2123" i="16"/>
  <c r="AH1620" i="16"/>
  <c r="AH805" i="16"/>
  <c r="AH407" i="16"/>
  <c r="AH1941" i="16"/>
  <c r="AH2132" i="16"/>
  <c r="AH2292" i="16"/>
  <c r="AH1377" i="16"/>
  <c r="AH1790" i="16"/>
  <c r="AH2021" i="16"/>
  <c r="AH2209" i="16"/>
  <c r="AH933" i="16"/>
  <c r="AH1583" i="16"/>
  <c r="AH1901" i="16"/>
  <c r="AH1987" i="16"/>
  <c r="AH2160" i="16"/>
  <c r="AH1401" i="16"/>
  <c r="AH1488" i="16"/>
  <c r="AH1563" i="16"/>
  <c r="AH1863" i="16"/>
  <c r="AH1100" i="16"/>
  <c r="AH1365" i="16"/>
  <c r="AH1484" i="16"/>
  <c r="AH1658" i="16"/>
  <c r="AH1047" i="16"/>
  <c r="AH2059" i="16"/>
  <c r="AH1556" i="16"/>
  <c r="AH741" i="16"/>
  <c r="AH343" i="16"/>
  <c r="AH2217" i="16"/>
  <c r="AH1576" i="16"/>
  <c r="AH1105" i="16"/>
  <c r="AH402" i="16"/>
  <c r="AH2236" i="16"/>
  <c r="AH1929" i="16"/>
  <c r="AH1428" i="16"/>
  <c r="AH220" i="16"/>
  <c r="AH215" i="16"/>
  <c r="AH2052" i="16"/>
  <c r="AH1371" i="16"/>
  <c r="AH977" i="16"/>
  <c r="AH274" i="16"/>
  <c r="AH1869" i="16"/>
  <c r="AH1443" i="16"/>
  <c r="AH1127" i="16"/>
  <c r="AH664" i="16"/>
  <c r="AH599" i="16"/>
  <c r="AH2330" i="16"/>
  <c r="AH1818" i="16"/>
  <c r="AH1194" i="16"/>
  <c r="AH491" i="16"/>
  <c r="AH2206" i="16"/>
  <c r="AH1986" i="16"/>
  <c r="AH1483" i="16"/>
  <c r="AH952" i="16"/>
  <c r="AH249" i="16"/>
  <c r="AH1776" i="16"/>
  <c r="AH1305" i="16"/>
  <c r="AH1012" i="16"/>
  <c r="AH84" i="16"/>
  <c r="AH574" i="16"/>
  <c r="AH1828" i="16"/>
  <c r="AH2046" i="16"/>
  <c r="AH2228" i="16"/>
  <c r="AH1094" i="16"/>
  <c r="AH1646" i="16"/>
  <c r="AH1623" i="16"/>
  <c r="AH1055" i="16"/>
  <c r="AH909" i="16"/>
  <c r="AH637" i="16"/>
  <c r="AH510" i="16"/>
  <c r="AH1014" i="16"/>
  <c r="AH1871" i="16"/>
  <c r="AH60" i="16"/>
  <c r="AH569" i="16"/>
  <c r="AH1139" i="16"/>
  <c r="AH2104" i="16"/>
  <c r="AH1602" i="16"/>
  <c r="AH509" i="16"/>
  <c r="AH382" i="16"/>
  <c r="AH2232" i="16"/>
  <c r="AH1743" i="16"/>
  <c r="AH1144" i="16"/>
  <c r="AH441" i="16"/>
  <c r="AH2077" i="16"/>
  <c r="AH1748" i="16"/>
  <c r="AH1300" i="16"/>
  <c r="AH788" i="16"/>
  <c r="AH87" i="16"/>
  <c r="AH1507" i="16"/>
  <c r="AH983" i="16"/>
  <c r="AH676" i="16"/>
  <c r="AH658" i="16"/>
  <c r="AH911" i="16"/>
  <c r="AH2177" i="16"/>
  <c r="AH1565" i="16"/>
  <c r="AH759" i="16"/>
  <c r="AH360" i="16"/>
  <c r="AH2012" i="16"/>
  <c r="AH1717" i="16"/>
  <c r="AH1282" i="16"/>
  <c r="AH189" i="16"/>
  <c r="AH62" i="16"/>
  <c r="AH1694" i="16"/>
  <c r="AH1961" i="16"/>
  <c r="AH2151" i="16"/>
  <c r="AH2307" i="16"/>
  <c r="AH1431" i="16"/>
  <c r="AH1821" i="16"/>
  <c r="AH2041" i="16"/>
  <c r="AH2224" i="16"/>
  <c r="AH1075" i="16"/>
  <c r="AH1635" i="16"/>
  <c r="AH1923" i="16"/>
  <c r="AH1584" i="16"/>
  <c r="AH1188" i="16"/>
  <c r="AH125" i="16"/>
  <c r="AH1951" i="16"/>
  <c r="AH1609" i="16"/>
  <c r="AH1119" i="16"/>
  <c r="AH760" i="16"/>
  <c r="AH57" i="16"/>
  <c r="AH1670" i="16"/>
  <c r="AH1253" i="16"/>
  <c r="AH982" i="16"/>
  <c r="AH683" i="16"/>
  <c r="AH1712" i="16"/>
  <c r="AH1117" i="16"/>
  <c r="AH1030" i="16"/>
  <c r="AH372" i="16"/>
  <c r="AH552" i="16"/>
  <c r="AH2251" i="16"/>
  <c r="AH1976" i="16"/>
  <c r="AH1474" i="16"/>
  <c r="AH381" i="16"/>
  <c r="AH254" i="16"/>
  <c r="AH1862" i="16"/>
  <c r="AH1107" i="16"/>
  <c r="AH849" i="16"/>
  <c r="AH146" i="16"/>
  <c r="AH1575" i="16"/>
  <c r="AH2187" i="16"/>
  <c r="AH924" i="16"/>
  <c r="AH869" i="16"/>
  <c r="AH471" i="16"/>
  <c r="AH2202" i="16"/>
  <c r="AH1690" i="16"/>
  <c r="AH1066" i="16"/>
  <c r="AH363" i="16"/>
  <c r="AH2326" i="16"/>
  <c r="AH1495" i="16"/>
  <c r="AH1856" i="16"/>
  <c r="AH2066" i="16"/>
  <c r="AH2243" i="16"/>
  <c r="AH1175" i="16"/>
  <c r="AH2117" i="16"/>
  <c r="AH1603" i="16"/>
  <c r="AH1002" i="16"/>
  <c r="AH299" i="16"/>
  <c r="AH2142" i="16"/>
  <c r="AH1916" i="16"/>
  <c r="AH1373" i="16"/>
  <c r="AH870" i="16"/>
  <c r="AH168" i="16"/>
  <c r="AH1946" i="16"/>
  <c r="AH1399" i="16"/>
  <c r="AH874" i="16"/>
  <c r="AH171" i="16"/>
  <c r="AH1972" i="16"/>
  <c r="AH1656" i="16"/>
  <c r="AH1230" i="16"/>
  <c r="AH742" i="16"/>
  <c r="AH40" i="16"/>
  <c r="AH1221" i="16"/>
  <c r="AH1882" i="16"/>
  <c r="AH1258" i="16"/>
  <c r="AH555" i="16"/>
  <c r="AH2270" i="16"/>
  <c r="AH2071" i="16"/>
  <c r="AH1585" i="16"/>
  <c r="AH1016" i="16"/>
  <c r="AH313" i="16"/>
  <c r="AH1896" i="16"/>
  <c r="AH1470" i="16"/>
  <c r="AH1115" i="16"/>
  <c r="AH596" i="16"/>
  <c r="AH638" i="16"/>
  <c r="AH755" i="16"/>
  <c r="AH1737" i="16"/>
  <c r="AH1233" i="16"/>
  <c r="AH530" i="16"/>
  <c r="AH2262" i="16"/>
  <c r="AH1275" i="16"/>
  <c r="AH1726" i="16"/>
  <c r="AH1981" i="16"/>
  <c r="AH2172" i="16"/>
  <c r="AH2322" i="16"/>
  <c r="AH1480" i="16"/>
  <c r="AH1848" i="16"/>
  <c r="AH2061" i="16"/>
  <c r="AH2239" i="16"/>
  <c r="AH1157" i="16"/>
  <c r="AH1614" i="16"/>
  <c r="AH1893" i="16"/>
  <c r="AH1810" i="16"/>
  <c r="AH965" i="16"/>
  <c r="AH1084" i="16"/>
  <c r="AH1574" i="16"/>
  <c r="AH1621" i="16"/>
  <c r="AH2281" i="16"/>
  <c r="AH1671" i="16"/>
  <c r="AH1169" i="16"/>
  <c r="AH466" i="16"/>
  <c r="AH2300" i="16"/>
  <c r="AH1995" i="16"/>
  <c r="AH1492" i="16"/>
  <c r="AH663" i="16"/>
  <c r="AH279" i="16"/>
  <c r="AH2137" i="16"/>
  <c r="AH1473" i="16"/>
  <c r="AH1041" i="16"/>
  <c r="AH338" i="16"/>
  <c r="AH2162" i="16"/>
  <c r="AH1844" i="16"/>
  <c r="AH1364" i="16"/>
  <c r="AH852" i="16"/>
  <c r="AH151" i="16"/>
  <c r="AH1702" i="16"/>
  <c r="AH1148" i="16"/>
  <c r="AH746" i="16"/>
  <c r="AH43" i="16"/>
  <c r="AH1303" i="16"/>
  <c r="AH2247" i="16"/>
  <c r="AH1629" i="16"/>
  <c r="AH823" i="16"/>
  <c r="AH424" i="16"/>
  <c r="AH2097" i="16"/>
  <c r="AH1819" i="16"/>
  <c r="AH1346" i="16"/>
  <c r="AH253" i="16"/>
  <c r="AH126" i="16"/>
  <c r="AH1559" i="16"/>
  <c r="AH1003" i="16"/>
  <c r="AH721" i="16"/>
  <c r="AH18" i="16"/>
  <c r="AH2197" i="16"/>
  <c r="AH2341" i="16"/>
  <c r="AH1545" i="16"/>
  <c r="AH1881" i="16"/>
  <c r="AH2086" i="16"/>
  <c r="AH2258" i="16"/>
  <c r="AH1342" i="16"/>
  <c r="AH1935" i="16"/>
  <c r="AH572" i="16"/>
  <c r="AH633" i="16"/>
  <c r="AH1406" i="16"/>
  <c r="AH2168" i="16"/>
  <c r="AH1666" i="16"/>
  <c r="AH573" i="16"/>
  <c r="AH446" i="16"/>
  <c r="AH2296" i="16"/>
  <c r="AH1807" i="16"/>
  <c r="AH1208" i="16"/>
  <c r="AH505" i="16"/>
  <c r="AH2315" i="16"/>
  <c r="AH2040" i="16"/>
  <c r="AH1538" i="16"/>
  <c r="AH445" i="16"/>
  <c r="AH318" i="16"/>
  <c r="AH1966" i="16"/>
  <c r="AH1270" i="16"/>
  <c r="AH913" i="16"/>
  <c r="AH210" i="16"/>
  <c r="AH1744" i="16"/>
  <c r="AH1198" i="16"/>
  <c r="AH1027" i="16"/>
  <c r="AH228" i="16"/>
  <c r="AH535" i="16"/>
  <c r="AH2266" i="16"/>
  <c r="AH1754" i="16"/>
  <c r="AH1130" i="16"/>
  <c r="AH427" i="16"/>
  <c r="AH2122" i="16"/>
  <c r="AH1889" i="16"/>
  <c r="AH1382" i="16"/>
  <c r="AH888" i="16"/>
  <c r="AH185" i="16"/>
  <c r="AH2111" i="16"/>
  <c r="AH2277" i="16"/>
  <c r="AH1328" i="16"/>
  <c r="AH1758" i="16"/>
  <c r="AH2001" i="16"/>
  <c r="AH2191" i="16"/>
  <c r="AH2337" i="16"/>
  <c r="AH1534" i="16"/>
  <c r="AH1875" i="16"/>
  <c r="AH2081" i="16"/>
  <c r="AH2115" i="16"/>
  <c r="AH1287" i="16"/>
  <c r="AH1704" i="16"/>
  <c r="AH1682" i="16"/>
  <c r="AH1729" i="16"/>
  <c r="AH980" i="16"/>
  <c r="AH1368" i="16"/>
  <c r="AH1493" i="16"/>
  <c r="AH1612" i="16"/>
  <c r="AH998" i="16"/>
  <c r="AH1274" i="16"/>
  <c r="AH1058" i="16"/>
  <c r="AH1225" i="16"/>
  <c r="AH713" i="16"/>
  <c r="AH880" i="16"/>
  <c r="AH687" i="16"/>
  <c r="AH797" i="16"/>
  <c r="AH20" i="16"/>
  <c r="AH181" i="16"/>
  <c r="AH355" i="16"/>
  <c r="AH522" i="16"/>
  <c r="AH10" i="16"/>
  <c r="AH177" i="16"/>
  <c r="AH288" i="16"/>
  <c r="AH399" i="16"/>
  <c r="AH566" i="16"/>
  <c r="AH54" i="16"/>
  <c r="AH1676" i="16"/>
  <c r="AH1950" i="16"/>
  <c r="AH2141" i="16"/>
  <c r="AH2299" i="16"/>
  <c r="AH1403" i="16"/>
  <c r="AH2034" i="16"/>
  <c r="AH1071" i="16"/>
  <c r="AH930" i="16"/>
  <c r="AH1097" i="16"/>
  <c r="AH1264" i="16"/>
  <c r="AH752" i="16"/>
  <c r="AH862" i="16"/>
  <c r="AH640" i="16"/>
  <c r="AH565" i="16"/>
  <c r="AH53" i="16"/>
  <c r="AH227" i="16"/>
  <c r="AH394" i="16"/>
  <c r="AH561" i="16"/>
  <c r="AH49" i="16"/>
  <c r="AH160" i="16"/>
  <c r="AH271" i="16"/>
  <c r="AH438" i="16"/>
  <c r="AH2254" i="16"/>
  <c r="AH1237" i="16"/>
  <c r="AH1710" i="16"/>
  <c r="AH1970" i="16"/>
  <c r="AH2161" i="16"/>
  <c r="AH2314" i="16"/>
  <c r="AH1455" i="16"/>
  <c r="AH1835" i="16"/>
  <c r="AH2050" i="16"/>
  <c r="AH2231" i="16"/>
  <c r="AH1111" i="16"/>
  <c r="AH1593" i="16"/>
  <c r="AH1883" i="16"/>
  <c r="AH1802" i="16"/>
  <c r="AH942" i="16"/>
  <c r="AH1067" i="16"/>
  <c r="AH1560" i="16"/>
  <c r="AH1613" i="16"/>
  <c r="AH999" i="16"/>
  <c r="AH1190" i="16"/>
  <c r="AH1394" i="16"/>
  <c r="AH1178" i="16"/>
  <c r="AH632" i="16"/>
  <c r="AH833" i="16"/>
  <c r="AH1000" i="16"/>
  <c r="AH807" i="16"/>
  <c r="AH100" i="16"/>
  <c r="AH708" i="16"/>
  <c r="AH301" i="16"/>
  <c r="AH475" i="16"/>
  <c r="AH642" i="16"/>
  <c r="AH130" i="16"/>
  <c r="AH297" i="16"/>
  <c r="AH408" i="16"/>
  <c r="AH519" i="16"/>
  <c r="AH7" i="16"/>
  <c r="AH174" i="16"/>
  <c r="AH1913" i="16"/>
  <c r="AH2110" i="16"/>
  <c r="AH2276" i="16"/>
  <c r="AH1326" i="16"/>
  <c r="AH1757" i="16"/>
  <c r="AH1999" i="16"/>
  <c r="AH2190" i="16"/>
  <c r="AH2336" i="16"/>
  <c r="AH1529" i="16"/>
  <c r="AH1873" i="16"/>
  <c r="AH1971" i="16"/>
  <c r="AH2144" i="16"/>
  <c r="AH1361" i="16"/>
  <c r="AH1463" i="16"/>
  <c r="AH1537" i="16"/>
  <c r="AH1847" i="16"/>
  <c r="AH1059" i="16"/>
  <c r="AH1349" i="16"/>
  <c r="AH1468" i="16"/>
  <c r="AH1642" i="16"/>
  <c r="AH1046" i="16"/>
  <c r="AH914" i="16"/>
  <c r="AH1081" i="16"/>
  <c r="AH1248" i="16"/>
  <c r="AH736" i="16"/>
  <c r="AH846" i="16"/>
  <c r="AH540" i="16"/>
  <c r="AH549" i="16"/>
  <c r="AH37" i="16"/>
  <c r="AH211" i="16"/>
  <c r="AH1934" i="16"/>
  <c r="AH2126" i="16"/>
  <c r="AH2288" i="16"/>
  <c r="AH1366" i="16"/>
  <c r="AH1782" i="16"/>
  <c r="AH1918" i="16"/>
  <c r="AH2096" i="16"/>
  <c r="AH1220" i="16"/>
  <c r="AH1385" i="16"/>
  <c r="AH1462" i="16"/>
  <c r="AH1799" i="16"/>
  <c r="AH939" i="16"/>
  <c r="AH1301" i="16"/>
  <c r="AH1420" i="16"/>
  <c r="AH1594" i="16"/>
  <c r="AH971" i="16"/>
  <c r="AH866" i="16"/>
  <c r="AH1033" i="16"/>
  <c r="AH1200" i="16"/>
  <c r="AH688" i="16"/>
  <c r="AH798" i="16"/>
  <c r="AH156" i="16"/>
  <c r="AH501" i="16"/>
  <c r="AH675" i="16"/>
  <c r="AH163" i="16"/>
  <c r="AH330" i="16"/>
  <c r="AH497" i="16"/>
  <c r="AH608" i="16"/>
  <c r="AH96" i="16"/>
  <c r="AH207" i="16"/>
  <c r="AH374" i="16"/>
  <c r="AH2186" i="16"/>
  <c r="AH2333" i="16"/>
  <c r="AH1519" i="16"/>
  <c r="AH1868" i="16"/>
  <c r="AH2076" i="16"/>
  <c r="AH2250" i="16"/>
  <c r="AH1214" i="16"/>
  <c r="AH1701" i="16"/>
  <c r="AH1965" i="16"/>
  <c r="AH2156" i="16"/>
  <c r="AH2171" i="16"/>
  <c r="AH1430" i="16"/>
  <c r="AH1795" i="16"/>
  <c r="AH1738" i="16"/>
  <c r="AH1785" i="16"/>
  <c r="AH899" i="16"/>
  <c r="AH1457" i="16"/>
  <c r="AH1549" i="16"/>
  <c r="AH892" i="16"/>
  <c r="AH1087" i="16"/>
  <c r="AH1330" i="16"/>
  <c r="AH1114" i="16"/>
  <c r="AH132" i="16"/>
  <c r="AH769" i="16"/>
  <c r="AH936" i="16"/>
  <c r="AH743" i="16"/>
  <c r="AH853" i="16"/>
  <c r="AH468" i="16"/>
  <c r="AH237" i="16"/>
  <c r="AH411" i="16"/>
  <c r="AH578" i="16"/>
  <c r="AH66" i="16"/>
  <c r="AH233" i="16"/>
  <c r="AH344" i="16"/>
  <c r="AH455" i="16"/>
  <c r="AH622" i="16"/>
  <c r="AH110" i="16"/>
  <c r="AH1797" i="16"/>
  <c r="AH2025" i="16"/>
  <c r="AH2212" i="16"/>
  <c r="AH966" i="16"/>
  <c r="AH1595" i="16"/>
  <c r="AH1907" i="16"/>
  <c r="AH2105" i="16"/>
  <c r="AH2272" i="16"/>
  <c r="AH1312" i="16"/>
  <c r="AH1749" i="16"/>
  <c r="AH1897" i="16"/>
  <c r="AH2080" i="16"/>
  <c r="AH1156" i="16"/>
  <c r="AH1833" i="16"/>
  <c r="AH2032" i="16"/>
  <c r="AH779" i="16"/>
  <c r="AH1283" i="16"/>
  <c r="AH1359" i="16"/>
  <c r="AH1735" i="16"/>
  <c r="AH1011" i="16"/>
  <c r="AH1219" i="16"/>
  <c r="AH1356" i="16"/>
  <c r="AH1530" i="16"/>
  <c r="AH747" i="16"/>
  <c r="AH802" i="16"/>
  <c r="AH969" i="16"/>
  <c r="AH1136" i="16"/>
  <c r="AH308" i="16"/>
  <c r="AH734" i="16"/>
  <c r="AH844" i="16"/>
  <c r="AH437" i="16"/>
  <c r="AH611" i="16"/>
  <c r="AH99" i="16"/>
  <c r="AH266" i="16"/>
  <c r="AH433" i="16"/>
  <c r="AH544" i="16"/>
  <c r="AH32" i="16"/>
  <c r="AH143" i="16"/>
  <c r="AH310" i="16"/>
  <c r="AH2101" i="16"/>
  <c r="AH2269" i="16"/>
  <c r="AH1302" i="16"/>
  <c r="AH1741" i="16"/>
  <c r="AH1990" i="16"/>
  <c r="AH2181" i="16"/>
  <c r="AH2329" i="16"/>
  <c r="AH1505" i="16"/>
  <c r="AH1860" i="16"/>
  <c r="AH2070" i="16"/>
  <c r="AH2107" i="16"/>
  <c r="AH1261" i="16"/>
  <c r="AH1692" i="16"/>
  <c r="AH1672" i="16"/>
  <c r="AH1721" i="16"/>
  <c r="AH958" i="16"/>
  <c r="AH1355" i="16"/>
  <c r="AH1485" i="16"/>
  <c r="AH1604" i="16"/>
  <c r="AH987" i="16"/>
  <c r="AH1263" i="16"/>
  <c r="AH1050" i="16"/>
  <c r="AH1217" i="16"/>
  <c r="AH705" i="16"/>
  <c r="AH872" i="16"/>
  <c r="AH668" i="16"/>
  <c r="AH789" i="16"/>
  <c r="AH685" i="16"/>
  <c r="AH173" i="16"/>
  <c r="AH347" i="16"/>
  <c r="AH514" i="16"/>
  <c r="AH681" i="16"/>
  <c r="AH169" i="16"/>
  <c r="AH280" i="16"/>
  <c r="AH391" i="16"/>
  <c r="AH558" i="16"/>
  <c r="AH46" i="16"/>
  <c r="AH1655" i="16"/>
  <c r="AH1940" i="16"/>
  <c r="AH2130" i="16"/>
  <c r="AH2291" i="16"/>
  <c r="AH1376" i="16"/>
  <c r="AH1789" i="16"/>
  <c r="AH2020" i="16"/>
  <c r="AH2208" i="16"/>
  <c r="AH926" i="16"/>
  <c r="AH1582" i="16"/>
  <c r="AH1812" i="16"/>
  <c r="AH2016" i="16"/>
  <c r="AH1922" i="16"/>
  <c r="AH1251" i="16"/>
  <c r="AH1334" i="16"/>
  <c r="AH1719" i="16"/>
  <c r="AH967" i="16"/>
  <c r="AH1191" i="16"/>
  <c r="AH1340" i="16"/>
  <c r="AH1514" i="16"/>
  <c r="AH268" i="16"/>
  <c r="AH786" i="16"/>
  <c r="AH1686" i="16"/>
  <c r="AH1956" i="16"/>
  <c r="AH2146" i="16"/>
  <c r="AH2303" i="16"/>
  <c r="AH1416" i="16"/>
  <c r="AH1734" i="16"/>
  <c r="AH1968" i="16"/>
  <c r="AH1874" i="16"/>
  <c r="AH1131" i="16"/>
  <c r="AH1247" i="16"/>
  <c r="AH1668" i="16"/>
  <c r="AH524" i="16"/>
  <c r="AH1116" i="16"/>
  <c r="AH1292" i="16"/>
  <c r="AH1466" i="16"/>
  <c r="AH1250" i="16"/>
  <c r="AH738" i="16"/>
  <c r="AH905" i="16"/>
  <c r="AH1072" i="16"/>
  <c r="AH879" i="16"/>
  <c r="AH644" i="16"/>
  <c r="AH780" i="16"/>
  <c r="AH373" i="16"/>
  <c r="AH547" i="16"/>
  <c r="AH35" i="16"/>
  <c r="AH202" i="16"/>
  <c r="AH369" i="16"/>
  <c r="AH480" i="16"/>
  <c r="AH591" i="16"/>
  <c r="AH79" i="16"/>
  <c r="AH246" i="16"/>
  <c r="AH2015" i="16"/>
  <c r="AH2205" i="16"/>
  <c r="AH902" i="16"/>
  <c r="AH1569" i="16"/>
  <c r="AH1894" i="16"/>
  <c r="AH2095" i="16"/>
  <c r="AH2265" i="16"/>
  <c r="AH1288" i="16"/>
  <c r="AH1733" i="16"/>
  <c r="AH1985" i="16"/>
  <c r="AH2043" i="16"/>
  <c r="AH951" i="16"/>
  <c r="AH1544" i="16"/>
  <c r="AH1577" i="16"/>
  <c r="AH1649" i="16"/>
  <c r="AH1919" i="16"/>
  <c r="AH1245" i="16"/>
  <c r="AH1421" i="16"/>
  <c r="AH1540" i="16"/>
  <c r="AH827" i="16"/>
  <c r="AH1163" i="16"/>
  <c r="AH986" i="16"/>
  <c r="AH1153" i="16"/>
  <c r="AH444" i="16"/>
  <c r="AH808" i="16"/>
  <c r="AH236" i="16"/>
  <c r="AH725" i="16"/>
  <c r="AH621" i="16"/>
  <c r="AH109" i="16"/>
  <c r="AH283" i="16"/>
  <c r="AH450" i="16"/>
  <c r="AH617" i="16"/>
  <c r="AH105" i="16"/>
  <c r="AH216" i="16"/>
  <c r="AH327" i="16"/>
  <c r="AH494" i="16"/>
  <c r="AH2310" i="16"/>
  <c r="AH1440" i="16"/>
  <c r="AH1827" i="16"/>
  <c r="AH2045" i="16"/>
  <c r="AH2227" i="16"/>
  <c r="AH1093" i="16"/>
  <c r="AH1643" i="16"/>
  <c r="AH1933" i="16"/>
  <c r="AH2125" i="16"/>
  <c r="AH2287" i="16"/>
  <c r="AH1363" i="16"/>
  <c r="AH1709" i="16"/>
  <c r="AH1952" i="16"/>
  <c r="AH1858" i="16"/>
  <c r="AH1013" i="16"/>
  <c r="AH1204" i="16"/>
  <c r="AH1402" i="16"/>
  <c r="AH1186" i="16"/>
  <c r="AH655" i="16"/>
  <c r="AH841" i="16"/>
  <c r="AH1008" i="16"/>
  <c r="AH815" i="16"/>
  <c r="AH164" i="16"/>
  <c r="AH716" i="16"/>
  <c r="AH309" i="16"/>
  <c r="AH483" i="16"/>
  <c r="AH650" i="16"/>
  <c r="AH138" i="16"/>
  <c r="AH305" i="16"/>
  <c r="AH416" i="16"/>
  <c r="AH527" i="16"/>
  <c r="AH15" i="16"/>
  <c r="AH182" i="16"/>
  <c r="AH1928" i="16"/>
  <c r="AH2121" i="16"/>
  <c r="AH2284" i="16"/>
  <c r="AH1352" i="16"/>
  <c r="AH1774" i="16"/>
  <c r="AH2010" i="16"/>
  <c r="AH2201" i="16"/>
  <c r="AH731" i="16"/>
  <c r="AH1558" i="16"/>
  <c r="AH1888" i="16"/>
  <c r="AH1979" i="16"/>
  <c r="AH2152" i="16"/>
  <c r="AH1379" i="16"/>
  <c r="AH1475" i="16"/>
  <c r="AH1551" i="16"/>
  <c r="AH1855" i="16"/>
  <c r="AH1079" i="16"/>
  <c r="AH1357" i="16"/>
  <c r="AH1476" i="16"/>
  <c r="AH1650" i="16"/>
  <c r="AH1060" i="16"/>
  <c r="AH922" i="16"/>
  <c r="AH1089" i="16"/>
  <c r="AH1256" i="16"/>
  <c r="AH744" i="16"/>
  <c r="AH854" i="16"/>
  <c r="AH604" i="16"/>
  <c r="AH557" i="16"/>
  <c r="AH45" i="16"/>
  <c r="AH219" i="16"/>
  <c r="AH386" i="16"/>
  <c r="AH553" i="16"/>
  <c r="AH41" i="16"/>
  <c r="AH152" i="16"/>
  <c r="AH263" i="16"/>
  <c r="AH430" i="16"/>
  <c r="AH2246" i="16"/>
  <c r="AH1196" i="16"/>
  <c r="AH1693" i="16"/>
  <c r="AH1959" i="16"/>
  <c r="AH2150" i="16"/>
  <c r="AH2306" i="16"/>
  <c r="AH1427" i="16"/>
  <c r="AH1820" i="16"/>
  <c r="AH2039" i="16"/>
  <c r="AH2223" i="16"/>
  <c r="AH1069" i="16"/>
  <c r="AH1571" i="16"/>
  <c r="AH1872" i="16"/>
  <c r="AH1794" i="16"/>
  <c r="AH925" i="16"/>
  <c r="AH1044" i="16"/>
  <c r="AH1547" i="16"/>
  <c r="AH1605" i="16"/>
  <c r="AH1260" i="16"/>
  <c r="AH1718" i="16"/>
  <c r="AH1975" i="16"/>
  <c r="AH2166" i="16"/>
  <c r="AH2179" i="16"/>
  <c r="AH1451" i="16"/>
  <c r="AH1806" i="16"/>
  <c r="AH1746" i="16"/>
  <c r="AH1793" i="16"/>
  <c r="AH919" i="16"/>
  <c r="AH1471" i="16"/>
  <c r="AH1557" i="16"/>
  <c r="AH910" i="16"/>
  <c r="AH1101" i="16"/>
  <c r="AH1338" i="16"/>
  <c r="AH1122" i="16"/>
  <c r="AH196" i="16"/>
  <c r="AH777" i="16"/>
  <c r="AH944" i="16"/>
  <c r="AH751" i="16"/>
  <c r="AH861" i="16"/>
  <c r="AH532" i="16"/>
  <c r="AH245" i="16"/>
  <c r="AH419" i="16"/>
  <c r="AH586" i="16"/>
  <c r="AH74" i="16"/>
  <c r="AH241" i="16"/>
  <c r="AH352" i="16"/>
  <c r="AH463" i="16"/>
  <c r="AH630" i="16"/>
  <c r="AH118" i="16"/>
  <c r="AH1814" i="16"/>
  <c r="AH2036" i="16"/>
  <c r="AH2220" i="16"/>
  <c r="AH1031" i="16"/>
  <c r="AH1622" i="16"/>
  <c r="AH1921" i="16"/>
  <c r="AH2116" i="16"/>
  <c r="AH2280" i="16"/>
  <c r="AH1337" i="16"/>
  <c r="AH1765" i="16"/>
  <c r="AH1908" i="16"/>
  <c r="AH2088" i="16"/>
  <c r="AH1183" i="16"/>
  <c r="AH1374" i="16"/>
  <c r="AH1448" i="16"/>
  <c r="AH1791" i="16"/>
  <c r="AH916" i="16"/>
  <c r="AH1293" i="16"/>
  <c r="AH1412" i="16"/>
  <c r="AH1586" i="16"/>
  <c r="AH957" i="16"/>
  <c r="AH858" i="16"/>
  <c r="AH1025" i="16"/>
  <c r="AH1192" i="16"/>
  <c r="AH671" i="16"/>
  <c r="AH790" i="16"/>
  <c r="AH92" i="16"/>
  <c r="AH493" i="16"/>
  <c r="AH667" i="16"/>
  <c r="AH155" i="16"/>
  <c r="AH322" i="16"/>
  <c r="AH489" i="16"/>
  <c r="AH600" i="16"/>
  <c r="AH88" i="16"/>
  <c r="AH199" i="16"/>
  <c r="AH366" i="16"/>
  <c r="AH2175" i="16"/>
  <c r="AH2325" i="16"/>
  <c r="AH1494" i="16"/>
  <c r="AH1853" i="16"/>
  <c r="AH2065" i="16"/>
  <c r="AH2242" i="16"/>
  <c r="AH1173" i="16"/>
  <c r="AH1685" i="16"/>
  <c r="AH1954" i="16"/>
  <c r="AH2145" i="16"/>
  <c r="AH2163" i="16"/>
  <c r="AH1408" i="16"/>
  <c r="AH1781" i="16"/>
  <c r="AH1730" i="16"/>
  <c r="AH1805" i="16"/>
  <c r="AH2030" i="16"/>
  <c r="AH2216" i="16"/>
  <c r="AH995" i="16"/>
  <c r="AH1608" i="16"/>
  <c r="AH1822" i="16"/>
  <c r="AH2024" i="16"/>
  <c r="AH1930" i="16"/>
  <c r="AH1271" i="16"/>
  <c r="AH1345" i="16"/>
  <c r="AH1727" i="16"/>
  <c r="AH990" i="16"/>
  <c r="AH1205" i="16"/>
  <c r="AH1348" i="16"/>
  <c r="AH1522" i="16"/>
  <c r="AH679" i="16"/>
  <c r="AH794" i="16"/>
  <c r="AH961" i="16"/>
  <c r="AH1128" i="16"/>
  <c r="AH244" i="16"/>
  <c r="AH726" i="16"/>
  <c r="AH836" i="16"/>
  <c r="AH429" i="16"/>
  <c r="AH603" i="16"/>
  <c r="AH91" i="16"/>
  <c r="AH258" i="16"/>
  <c r="AH425" i="16"/>
  <c r="AH536" i="16"/>
  <c r="AH24" i="16"/>
  <c r="AH135" i="16"/>
  <c r="AH302" i="16"/>
  <c r="AH2090" i="16"/>
  <c r="AH2261" i="16"/>
  <c r="AH1273" i="16"/>
  <c r="AH1725" i="16"/>
  <c r="AH1980" i="16"/>
  <c r="AH2170" i="16"/>
  <c r="AH2321" i="16"/>
  <c r="AH1479" i="16"/>
  <c r="AH1846" i="16"/>
  <c r="AH2060" i="16"/>
  <c r="AH2099" i="16"/>
  <c r="AH1235" i="16"/>
  <c r="AH1678" i="16"/>
  <c r="AH1662" i="16"/>
  <c r="AH1713" i="16"/>
  <c r="AH940" i="16"/>
  <c r="AH1343" i="16"/>
  <c r="AH1477" i="16"/>
  <c r="AH1596" i="16"/>
  <c r="AH973" i="16"/>
  <c r="AH1252" i="16"/>
  <c r="AH1042" i="16"/>
  <c r="AH1209" i="16"/>
  <c r="AH697" i="16"/>
  <c r="AH864" i="16"/>
  <c r="AH647" i="16"/>
  <c r="AH781" i="16"/>
  <c r="AH677" i="16"/>
  <c r="AH165" i="16"/>
  <c r="AH339" i="16"/>
  <c r="AH506" i="16"/>
  <c r="AH673" i="16"/>
  <c r="AH161" i="16"/>
  <c r="AH272" i="16"/>
  <c r="AH383" i="16"/>
  <c r="AH550" i="16"/>
  <c r="AH38" i="16"/>
  <c r="AH1632" i="16"/>
  <c r="AH1926" i="16"/>
  <c r="AH2119" i="16"/>
  <c r="AH2283" i="16"/>
  <c r="AH1351" i="16"/>
  <c r="AH1772" i="16"/>
  <c r="AH2009" i="16"/>
  <c r="AH2199" i="16"/>
  <c r="AH636" i="16"/>
  <c r="AH1555" i="16"/>
  <c r="AH1798" i="16"/>
  <c r="AH2008" i="16"/>
  <c r="AH1914" i="16"/>
  <c r="AH1231" i="16"/>
  <c r="AH1320" i="16"/>
  <c r="AH1711" i="16"/>
  <c r="AH950" i="16"/>
  <c r="AH2219" i="16"/>
  <c r="AH1029" i="16"/>
  <c r="AH1619" i="16"/>
  <c r="AH1920" i="16"/>
  <c r="AH2114" i="16"/>
  <c r="AH2279" i="16"/>
  <c r="AH1336" i="16"/>
  <c r="AH1696" i="16"/>
  <c r="AH1944" i="16"/>
  <c r="AH1850" i="16"/>
  <c r="AH1068" i="16"/>
  <c r="AH1187" i="16"/>
  <c r="AH1636" i="16"/>
  <c r="AH1661" i="16"/>
  <c r="AH1077" i="16"/>
  <c r="AH1268" i="16"/>
  <c r="AH1442" i="16"/>
  <c r="AH1226" i="16"/>
  <c r="AH714" i="16"/>
  <c r="AH881" i="16"/>
  <c r="AH1048" i="16"/>
  <c r="AH855" i="16"/>
  <c r="AH484" i="16"/>
  <c r="AH756" i="16"/>
  <c r="AH349" i="16"/>
  <c r="AH523" i="16"/>
  <c r="AH11" i="16"/>
  <c r="AH178" i="16"/>
  <c r="AH345" i="16"/>
  <c r="AH456" i="16"/>
  <c r="AH567" i="16"/>
  <c r="AH55" i="16"/>
  <c r="AH222" i="16"/>
  <c r="AH1983" i="16"/>
  <c r="AH2174" i="16"/>
  <c r="AH2324" i="16"/>
  <c r="AH1489" i="16"/>
  <c r="AH1852" i="16"/>
  <c r="AH2063" i="16"/>
  <c r="AH2241" i="16"/>
  <c r="AH1172" i="16"/>
  <c r="AH1683" i="16"/>
  <c r="AH1953" i="16"/>
  <c r="AH2019" i="16"/>
  <c r="AH2192" i="16"/>
  <c r="AH1481" i="16"/>
  <c r="AH1539" i="16"/>
  <c r="AH1615" i="16"/>
  <c r="AH1895" i="16"/>
  <c r="AH1182" i="16"/>
  <c r="AH1397" i="16"/>
  <c r="AH1516" i="16"/>
  <c r="AH396" i="16"/>
  <c r="AH1124" i="16"/>
  <c r="AH962" i="16"/>
  <c r="AH1129" i="16"/>
  <c r="AH252" i="16"/>
  <c r="AH784" i="16"/>
  <c r="AH378" i="16"/>
  <c r="AH545" i="16"/>
  <c r="AH33" i="16"/>
  <c r="AH144" i="16"/>
  <c r="AH255" i="16"/>
  <c r="AH422" i="16"/>
  <c r="AH2238" i="16"/>
  <c r="AH1150" i="16"/>
  <c r="AH1675" i="16"/>
  <c r="AH1949" i="16"/>
  <c r="AH2140" i="16"/>
  <c r="AH2298" i="16"/>
  <c r="AH1400" i="16"/>
  <c r="AH1804" i="16"/>
  <c r="AH2029" i="16"/>
  <c r="AH2215" i="16"/>
  <c r="AH991" i="16"/>
  <c r="AH1553" i="16"/>
  <c r="AH1861" i="16"/>
  <c r="AH1786" i="16"/>
  <c r="AH900" i="16"/>
  <c r="AH1022" i="16"/>
  <c r="AH1535" i="16"/>
  <c r="AH1597" i="16"/>
  <c r="AH974" i="16"/>
  <c r="AH1165" i="16"/>
  <c r="AH1378" i="16"/>
  <c r="AH1162" i="16"/>
  <c r="AH516" i="16"/>
  <c r="AH817" i="16"/>
  <c r="AH984" i="16"/>
  <c r="AH791" i="16"/>
  <c r="AH901" i="16"/>
  <c r="AH692" i="16"/>
  <c r="AH285" i="16"/>
  <c r="AH459" i="16"/>
  <c r="AH626" i="16"/>
  <c r="AH114" i="16"/>
  <c r="AH281" i="16"/>
  <c r="AH392" i="16"/>
  <c r="AH503" i="16"/>
  <c r="AH670" i="16"/>
  <c r="AH158" i="16"/>
  <c r="AH1885" i="16"/>
  <c r="AH2089" i="16"/>
  <c r="AH2260" i="16"/>
  <c r="AH1272" i="16"/>
  <c r="AH1724" i="16"/>
  <c r="AH1978" i="16"/>
  <c r="AH2169" i="16"/>
  <c r="AH2320" i="16"/>
  <c r="AH1478" i="16"/>
  <c r="AH1845" i="16"/>
  <c r="AH1955" i="16"/>
  <c r="AH2128" i="16"/>
  <c r="AH1319" i="16"/>
  <c r="AH1438" i="16"/>
  <c r="AH1512" i="16"/>
  <c r="AH1831" i="16"/>
  <c r="AH1019" i="16"/>
  <c r="AH1333" i="16"/>
  <c r="AH1452" i="16"/>
  <c r="AH1626" i="16"/>
  <c r="AH1021" i="16"/>
  <c r="AH898" i="16"/>
  <c r="AH1065" i="16"/>
  <c r="AH1232" i="16"/>
  <c r="AH720" i="16"/>
  <c r="AH1360" i="16"/>
  <c r="AH1435" i="16"/>
  <c r="AH1783" i="16"/>
  <c r="AH883" i="16"/>
  <c r="AH1285" i="16"/>
  <c r="AH1404" i="16"/>
  <c r="AH1578" i="16"/>
  <c r="AH943" i="16"/>
  <c r="AH850" i="16"/>
  <c r="AH1017" i="16"/>
  <c r="AH1184" i="16"/>
  <c r="AH648" i="16"/>
  <c r="AH782" i="16"/>
  <c r="AH28" i="16"/>
  <c r="AH485" i="16"/>
  <c r="AH659" i="16"/>
  <c r="AH147" i="16"/>
  <c r="AH314" i="16"/>
  <c r="AH481" i="16"/>
  <c r="AH592" i="16"/>
  <c r="AH80" i="16"/>
  <c r="AH191" i="16"/>
  <c r="AH358" i="16"/>
  <c r="AH2165" i="16"/>
  <c r="AH2317" i="16"/>
  <c r="AH1465" i="16"/>
  <c r="AH1838" i="16"/>
  <c r="AH2054" i="16"/>
  <c r="AH2234" i="16"/>
  <c r="AH1132" i="16"/>
  <c r="AH1664" i="16"/>
  <c r="AH1943" i="16"/>
  <c r="AH2134" i="16"/>
  <c r="AH2155" i="16"/>
  <c r="AH1390" i="16"/>
  <c r="AH1768" i="16"/>
  <c r="AH1722" i="16"/>
  <c r="AH1769" i="16"/>
  <c r="AH715" i="16"/>
  <c r="AH1432" i="16"/>
  <c r="AH1533" i="16"/>
  <c r="AH771" i="16"/>
  <c r="AH1062" i="16"/>
  <c r="AH1314" i="16"/>
  <c r="AH1098" i="16"/>
  <c r="AH1265" i="16"/>
  <c r="AH753" i="16"/>
  <c r="AH920" i="16"/>
  <c r="AH727" i="16"/>
  <c r="AH837" i="16"/>
  <c r="AH340" i="16"/>
  <c r="AH221" i="16"/>
  <c r="AH395" i="16"/>
  <c r="AH562" i="16"/>
  <c r="AH50" i="16"/>
  <c r="AH217" i="16"/>
  <c r="AH328" i="16"/>
  <c r="AH439" i="16"/>
  <c r="AH606" i="16"/>
  <c r="AH94" i="16"/>
  <c r="AH1764" i="16"/>
  <c r="AH2004" i="16"/>
  <c r="AH2194" i="16"/>
  <c r="AH2339" i="16"/>
  <c r="AH1542" i="16"/>
  <c r="AH1878" i="16"/>
  <c r="AH2084" i="16"/>
  <c r="AH2256" i="16"/>
  <c r="AH1246" i="16"/>
  <c r="AH1715" i="16"/>
  <c r="AH1876" i="16"/>
  <c r="AH2064" i="16"/>
  <c r="AH1092" i="16"/>
  <c r="AH1335" i="16"/>
  <c r="AH1409" i="16"/>
  <c r="AH1767" i="16"/>
  <c r="AH656" i="16"/>
  <c r="AH1269" i="16"/>
  <c r="AH1388" i="16"/>
  <c r="AH1562" i="16"/>
  <c r="AH918" i="16"/>
  <c r="AH834" i="16"/>
  <c r="AH1001" i="16"/>
  <c r="AH1168" i="16"/>
  <c r="AH564" i="16"/>
  <c r="AH953" i="16"/>
  <c r="AH1120" i="16"/>
  <c r="AH180" i="16"/>
  <c r="AH718" i="16"/>
  <c r="AH828" i="16"/>
  <c r="AH421" i="16"/>
  <c r="AH595" i="16"/>
  <c r="AH83" i="16"/>
  <c r="AH250" i="16"/>
  <c r="AH417" i="16"/>
  <c r="AH528" i="16"/>
  <c r="AH16" i="16"/>
  <c r="AH127" i="16"/>
  <c r="AH294" i="16"/>
  <c r="AH2079" i="16"/>
  <c r="AH2253" i="16"/>
  <c r="AH1236" i="16"/>
  <c r="AH1708" i="16"/>
  <c r="AH1969" i="16"/>
  <c r="AH2159" i="16"/>
  <c r="AH2313" i="16"/>
  <c r="AH1454" i="16"/>
  <c r="AH1832" i="16"/>
  <c r="AH2049" i="16"/>
  <c r="AH2091" i="16"/>
  <c r="AH1197" i="16"/>
  <c r="AH1663" i="16"/>
  <c r="AH1651" i="16"/>
  <c r="AH1705" i="16"/>
  <c r="AH917" i="16"/>
  <c r="AH1329" i="16"/>
  <c r="AH1469" i="16"/>
  <c r="AH1588" i="16"/>
  <c r="AH959" i="16"/>
  <c r="AH1238" i="16"/>
  <c r="AH1034" i="16"/>
  <c r="AH1201" i="16"/>
  <c r="AH689" i="16"/>
  <c r="AH856" i="16"/>
  <c r="AH620" i="16"/>
  <c r="AH773" i="16"/>
  <c r="AH669" i="16"/>
  <c r="AH157" i="16"/>
  <c r="AH331" i="16"/>
  <c r="AH498" i="16"/>
  <c r="AH665" i="16"/>
  <c r="AH153" i="16"/>
  <c r="AH264" i="16"/>
  <c r="AH375" i="16"/>
  <c r="AH542" i="16"/>
  <c r="AH30" i="16"/>
  <c r="AH1606" i="16"/>
  <c r="AH1912" i="16"/>
  <c r="AH2109" i="16"/>
  <c r="AH2275" i="16"/>
  <c r="AH1323" i="16"/>
  <c r="AH1755" i="16"/>
  <c r="AH1998" i="16"/>
  <c r="AH2189" i="16"/>
  <c r="AH2335" i="16"/>
  <c r="AH1528" i="16"/>
  <c r="AH1787" i="16"/>
  <c r="AH2000" i="16"/>
  <c r="AH1906" i="16"/>
  <c r="AH1211" i="16"/>
  <c r="AH1307" i="16"/>
  <c r="AH1703" i="16"/>
  <c r="AH927" i="16"/>
  <c r="AH1166" i="16"/>
  <c r="AH1324" i="16"/>
  <c r="AH1498" i="16"/>
  <c r="AH140" i="16"/>
  <c r="AH770" i="16"/>
  <c r="AH937" i="16"/>
  <c r="AH1104" i="16"/>
  <c r="AH52" i="16"/>
  <c r="AH1086" i="16"/>
  <c r="AH1207" i="16"/>
  <c r="AH1647" i="16"/>
  <c r="AH1669" i="16"/>
  <c r="AH1091" i="16"/>
  <c r="AH1276" i="16"/>
  <c r="AH1450" i="16"/>
  <c r="AH1234" i="16"/>
  <c r="AH722" i="16"/>
  <c r="AH889" i="16"/>
  <c r="AH1056" i="16"/>
  <c r="AH863" i="16"/>
  <c r="AH548" i="16"/>
  <c r="AH764" i="16"/>
  <c r="AH357" i="16"/>
  <c r="AH531" i="16"/>
  <c r="AH19" i="16"/>
  <c r="AH186" i="16"/>
  <c r="AH353" i="16"/>
  <c r="AH464" i="16"/>
  <c r="AH575" i="16"/>
  <c r="AH63" i="16"/>
  <c r="AH230" i="16"/>
  <c r="AH1994" i="16"/>
  <c r="AH2185" i="16"/>
  <c r="AH2332" i="16"/>
  <c r="AH1518" i="16"/>
  <c r="AH1867" i="16"/>
  <c r="AH2074" i="16"/>
  <c r="AH2249" i="16"/>
  <c r="AH1212" i="16"/>
  <c r="AH1700" i="16"/>
  <c r="AH1964" i="16"/>
  <c r="AH2027" i="16"/>
  <c r="AH2200" i="16"/>
  <c r="AH1504" i="16"/>
  <c r="AH1552" i="16"/>
  <c r="AH1627" i="16"/>
  <c r="AH1903" i="16"/>
  <c r="AH1203" i="16"/>
  <c r="AH1405" i="16"/>
  <c r="AH1524" i="16"/>
  <c r="AH699" i="16"/>
  <c r="AH1135" i="16"/>
  <c r="AH970" i="16"/>
  <c r="AH1137" i="16"/>
  <c r="AH316" i="16"/>
  <c r="AH792" i="16"/>
  <c r="AH108" i="16"/>
  <c r="AH709" i="16"/>
  <c r="AH605" i="16"/>
  <c r="AH93" i="16"/>
  <c r="AH267" i="16"/>
  <c r="AH434" i="16"/>
  <c r="AH601" i="16"/>
  <c r="AH89" i="16"/>
  <c r="AH200" i="16"/>
  <c r="AH311" i="16"/>
  <c r="AH478" i="16"/>
  <c r="AH2294" i="16"/>
  <c r="AH1387" i="16"/>
  <c r="AH1796" i="16"/>
  <c r="AH2023" i="16"/>
  <c r="AH2211" i="16"/>
  <c r="AH955" i="16"/>
  <c r="AH1592" i="16"/>
  <c r="AH1905" i="16"/>
  <c r="AH2103" i="16"/>
  <c r="AH2271" i="16"/>
  <c r="AH1311" i="16"/>
  <c r="AH1684" i="16"/>
  <c r="AH1936" i="16"/>
  <c r="AH1842" i="16"/>
  <c r="AH1045" i="16"/>
  <c r="AH1167" i="16"/>
  <c r="AH1624" i="16"/>
  <c r="AH1653" i="16"/>
  <c r="AH1063" i="16"/>
  <c r="AH1254" i="16"/>
  <c r="AH1434" i="16"/>
  <c r="AH1218" i="16"/>
  <c r="AH706" i="16"/>
  <c r="AH873" i="16"/>
  <c r="AH1040" i="16"/>
  <c r="AH988" i="16"/>
  <c r="AH1179" i="16"/>
  <c r="AH1386" i="16"/>
  <c r="AH1170" i="16"/>
  <c r="AH580" i="16"/>
  <c r="AH825" i="16"/>
  <c r="AH992" i="16"/>
  <c r="AH799" i="16"/>
  <c r="AH36" i="16"/>
  <c r="AH700" i="16"/>
  <c r="AH293" i="16"/>
  <c r="AH467" i="16"/>
  <c r="AH634" i="16"/>
  <c r="AH122" i="16"/>
  <c r="AH289" i="16"/>
  <c r="AH400" i="16"/>
  <c r="AH511" i="16"/>
  <c r="AH678" i="16"/>
  <c r="AH166" i="16"/>
  <c r="AH1900" i="16"/>
  <c r="AH2100" i="16"/>
  <c r="AH2268" i="16"/>
  <c r="AH1297" i="16"/>
  <c r="AH1740" i="16"/>
  <c r="AH1989" i="16"/>
  <c r="AH2180" i="16"/>
  <c r="AH2328" i="16"/>
  <c r="AH1503" i="16"/>
  <c r="AH1859" i="16"/>
  <c r="AH1963" i="16"/>
  <c r="AH2136" i="16"/>
  <c r="AH1339" i="16"/>
  <c r="AH1449" i="16"/>
  <c r="AH1526" i="16"/>
  <c r="AH1839" i="16"/>
  <c r="AH1039" i="16"/>
  <c r="AH1341" i="16"/>
  <c r="AH1460" i="16"/>
  <c r="AH1634" i="16"/>
  <c r="AH1035" i="16"/>
  <c r="AH906" i="16"/>
  <c r="AH1073" i="16"/>
  <c r="AH1240" i="16"/>
  <c r="AH728" i="16"/>
  <c r="AH838" i="16"/>
  <c r="AH476" i="16"/>
  <c r="AH541" i="16"/>
  <c r="AH29" i="16"/>
  <c r="AH203" i="16"/>
  <c r="AH370" i="16"/>
  <c r="AH537" i="16"/>
  <c r="AH25" i="16"/>
  <c r="AH136" i="16"/>
  <c r="AH247" i="16"/>
  <c r="AH414" i="16"/>
  <c r="AH2230" i="16"/>
  <c r="AH1109" i="16"/>
  <c r="AH1654" i="16"/>
  <c r="AH1938" i="16"/>
  <c r="AH2129" i="16"/>
  <c r="AH2290" i="16"/>
  <c r="AH1375" i="16"/>
  <c r="AH1788" i="16"/>
  <c r="AH2018" i="16"/>
  <c r="AH2207" i="16"/>
  <c r="AH915" i="16"/>
  <c r="AH1531" i="16"/>
  <c r="AH1851" i="16"/>
  <c r="AH1778" i="16"/>
  <c r="AH819" i="16"/>
  <c r="AH1004" i="16"/>
  <c r="AH1521" i="16"/>
  <c r="AH1589" i="16"/>
  <c r="AH963" i="16"/>
  <c r="AH1151" i="16"/>
  <c r="AH1370" i="16"/>
  <c r="AH1154" i="16"/>
  <c r="AH452" i="16"/>
  <c r="AH809" i="16"/>
  <c r="AH976" i="16"/>
  <c r="AH1777" i="16"/>
  <c r="AH803" i="16"/>
  <c r="AH1446" i="16"/>
  <c r="AH1541" i="16"/>
  <c r="AH835" i="16"/>
  <c r="AH1076" i="16"/>
  <c r="AH1322" i="16"/>
  <c r="AH1106" i="16"/>
  <c r="AH68" i="16"/>
  <c r="AH761" i="16"/>
  <c r="AH928" i="16"/>
  <c r="AH735" i="16"/>
  <c r="AH845" i="16"/>
  <c r="AH404" i="16"/>
  <c r="AH229" i="16"/>
  <c r="AH403" i="16"/>
  <c r="AH570" i="16"/>
  <c r="AH58" i="16"/>
  <c r="AH225" i="16"/>
  <c r="AH336" i="16"/>
  <c r="AH447" i="16"/>
  <c r="AH614" i="16"/>
  <c r="AH102" i="16"/>
  <c r="AH1780" i="16"/>
  <c r="AH2014" i="16"/>
  <c r="AH2204" i="16"/>
  <c r="AH859" i="16"/>
  <c r="AH1568" i="16"/>
  <c r="AH1892" i="16"/>
  <c r="AH2094" i="16"/>
  <c r="AH2264" i="16"/>
  <c r="AH1286" i="16"/>
  <c r="AH1732" i="16"/>
  <c r="AH1886" i="16"/>
  <c r="AH2072" i="16"/>
  <c r="AH1118" i="16"/>
  <c r="AH1347" i="16"/>
  <c r="AH1423" i="16"/>
  <c r="AH1775" i="16"/>
  <c r="AH787" i="16"/>
  <c r="AH1277" i="16"/>
  <c r="AH1396" i="16"/>
  <c r="AH1570" i="16"/>
  <c r="AH932" i="16"/>
  <c r="AH842" i="16"/>
  <c r="AH1009" i="16"/>
  <c r="AH1176" i="16"/>
  <c r="AH628" i="16"/>
  <c r="AH774" i="16"/>
  <c r="AH884" i="16"/>
  <c r="AH477" i="16"/>
  <c r="AH651" i="16"/>
  <c r="AH139" i="16"/>
  <c r="AH306" i="16"/>
  <c r="AH473" i="16"/>
  <c r="AH584" i="16"/>
  <c r="AH72" i="16"/>
  <c r="AH183" i="16"/>
  <c r="AH350" i="16"/>
  <c r="AH2154" i="16"/>
  <c r="AH2309" i="16"/>
  <c r="AH1439" i="16"/>
  <c r="AH1825" i="16"/>
  <c r="AH2044" i="16"/>
  <c r="AH2226" i="16"/>
  <c r="AH1083" i="16"/>
  <c r="AH1641" i="16"/>
  <c r="AH1932" i="16"/>
  <c r="AH2124" i="16"/>
  <c r="AH2147" i="16"/>
  <c r="AH1367" i="16"/>
  <c r="AH1756" i="16"/>
  <c r="AH1714" i="16"/>
  <c r="AH1761" i="16"/>
  <c r="AH1061" i="16"/>
  <c r="AH1419" i="16"/>
  <c r="AH1525" i="16"/>
  <c r="AH707" i="16"/>
  <c r="AH1051" i="16"/>
  <c r="AH1306" i="16"/>
  <c r="AH1090" i="16"/>
  <c r="AH1257" i="16"/>
  <c r="AH745" i="16"/>
  <c r="AH912" i="16"/>
  <c r="AH719" i="16"/>
  <c r="AH829" i="16"/>
  <c r="AH1180" i="16"/>
  <c r="AH1332" i="16"/>
  <c r="AH1506" i="16"/>
  <c r="AH204" i="16"/>
  <c r="AH778" i="16"/>
  <c r="AH945" i="16"/>
  <c r="AH1112" i="16"/>
  <c r="AH116" i="16"/>
  <c r="AH710" i="16"/>
  <c r="AH820" i="16"/>
  <c r="AH413" i="16"/>
  <c r="AH587" i="16"/>
  <c r="AH75" i="16"/>
  <c r="AH242" i="16"/>
  <c r="AH409" i="16"/>
  <c r="AH520" i="16"/>
  <c r="AH8" i="16"/>
  <c r="AH119" i="16"/>
  <c r="AH286" i="16"/>
  <c r="AH2069" i="16"/>
  <c r="AH2245" i="16"/>
  <c r="AH1195" i="16"/>
  <c r="AH1691" i="16"/>
  <c r="AH1958" i="16"/>
  <c r="AH2149" i="16"/>
  <c r="AH2305" i="16"/>
  <c r="AH1425" i="16"/>
  <c r="AH1817" i="16"/>
  <c r="AH2038" i="16"/>
  <c r="AH2083" i="16"/>
  <c r="AH1164" i="16"/>
  <c r="AH1644" i="16"/>
  <c r="AH1640" i="16"/>
  <c r="AH1697" i="16"/>
  <c r="AH894" i="16"/>
  <c r="AH1318" i="16"/>
  <c r="AH1461" i="16"/>
  <c r="AH1580" i="16"/>
  <c r="AH948" i="16"/>
  <c r="AH1227" i="16"/>
  <c r="AH1026" i="16"/>
  <c r="AH1193" i="16"/>
  <c r="AH672" i="16"/>
  <c r="AH848" i="16"/>
  <c r="AH556" i="16"/>
  <c r="AH44" i="16"/>
  <c r="AH701" i="16"/>
  <c r="AH597" i="16"/>
  <c r="AH85" i="16"/>
  <c r="AH259" i="16"/>
  <c r="AH426" i="16"/>
  <c r="AH593" i="16"/>
  <c r="AH81" i="16"/>
  <c r="AH192" i="16"/>
  <c r="AH303" i="16"/>
  <c r="AH470" i="16"/>
  <c r="AH2286" i="16"/>
  <c r="AH1358" i="16"/>
  <c r="AH1779" i="16"/>
  <c r="AH2013" i="16"/>
  <c r="AH2203" i="16"/>
  <c r="AH843" i="16"/>
  <c r="AH1561" i="16"/>
  <c r="AH1891" i="16"/>
  <c r="AH2093" i="16"/>
  <c r="AH2263" i="16"/>
  <c r="AH1280" i="16"/>
  <c r="AH1667" i="16"/>
  <c r="AH1925" i="16"/>
  <c r="AH1834" i="16"/>
  <c r="AH1028" i="16"/>
  <c r="AH1147" i="16"/>
  <c r="AH1611" i="16"/>
  <c r="AH1645" i="16"/>
  <c r="AH1052" i="16"/>
  <c r="AH1243" i="16"/>
  <c r="AH1426" i="16"/>
  <c r="AH1210" i="16"/>
  <c r="AH698" i="16"/>
  <c r="AH865" i="16"/>
  <c r="AH1032" i="16"/>
  <c r="AH839" i="16"/>
  <c r="AH356" i="16"/>
  <c r="AH740" i="16"/>
  <c r="AH333" i="16"/>
  <c r="AH507" i="16"/>
  <c r="AH674" i="16"/>
  <c r="AH162" i="16"/>
  <c r="AH329" i="16"/>
  <c r="AH440" i="16"/>
  <c r="AH551" i="16"/>
  <c r="AH39" i="16"/>
  <c r="AH206" i="16"/>
  <c r="AH1962" i="16"/>
  <c r="AH2153" i="16"/>
  <c r="AH2308" i="16"/>
  <c r="AH1433" i="16"/>
  <c r="AH1824" i="16"/>
  <c r="AH2042" i="16"/>
  <c r="AH2225" i="16"/>
  <c r="AH1078" i="16"/>
  <c r="AH1638" i="16"/>
  <c r="AH1931" i="16"/>
  <c r="AH2003" i="16"/>
  <c r="AH2176" i="16"/>
  <c r="AH1441" i="16"/>
  <c r="AH1513" i="16"/>
  <c r="AH1590" i="16"/>
  <c r="AH1879" i="16"/>
  <c r="AH1142" i="16"/>
  <c r="AH1381" i="16"/>
  <c r="AH1500" i="16"/>
  <c r="AH1674" i="16"/>
  <c r="AH1099" i="16"/>
  <c r="AH946" i="16"/>
  <c r="AH1113" i="16"/>
  <c r="AH124" i="16"/>
  <c r="AH768" i="16"/>
  <c r="AH878" i="16"/>
  <c r="AH684" i="16"/>
  <c r="AH581" i="16"/>
  <c r="AH69" i="16"/>
  <c r="AH243" i="16"/>
  <c r="AH410" i="16"/>
  <c r="AH577" i="16"/>
  <c r="AH65" i="16"/>
  <c r="AH176" i="16"/>
  <c r="AH287" i="16"/>
  <c r="AH454" i="16"/>
  <c r="AH830" i="16"/>
  <c r="AH412" i="16"/>
  <c r="AH533" i="16"/>
  <c r="AH21" i="16"/>
  <c r="AH195" i="16"/>
  <c r="AH362" i="16"/>
  <c r="AH529" i="16"/>
  <c r="AH17" i="16"/>
  <c r="AH128" i="16"/>
  <c r="AH239" i="16"/>
  <c r="AH406" i="16"/>
  <c r="AH2222" i="16"/>
  <c r="AH1054" i="16"/>
  <c r="AH1631" i="16"/>
  <c r="AH1924" i="16"/>
  <c r="AH2118" i="16"/>
  <c r="AH2282" i="16"/>
  <c r="AH1344" i="16"/>
  <c r="AH1771" i="16"/>
  <c r="AH2007" i="16"/>
  <c r="AH2198" i="16"/>
  <c r="AH588" i="16"/>
  <c r="AH1511" i="16"/>
  <c r="AH1840" i="16"/>
  <c r="AH1770" i="16"/>
  <c r="AH723" i="16"/>
  <c r="AH981" i="16"/>
  <c r="AH1510" i="16"/>
  <c r="AH1581" i="16"/>
  <c r="AH949" i="16"/>
  <c r="AH1140" i="16"/>
  <c r="AH1362" i="16"/>
  <c r="AH1146" i="16"/>
  <c r="AH388" i="16"/>
  <c r="AH801" i="16"/>
  <c r="AH968" i="16"/>
  <c r="AH775" i="16"/>
  <c r="AH885" i="16"/>
  <c r="AH660" i="16"/>
  <c r="AH269" i="16"/>
  <c r="AH443" i="16"/>
  <c r="AH610" i="16"/>
  <c r="AH98" i="16"/>
  <c r="AH265" i="16"/>
  <c r="AH376" i="16"/>
  <c r="AH487" i="16"/>
  <c r="AH654" i="16"/>
  <c r="AH142" i="16"/>
  <c r="AH1857" i="16"/>
  <c r="AH2068" i="16"/>
  <c r="AH2244" i="16"/>
  <c r="AH1181" i="16"/>
  <c r="AH1688" i="16"/>
  <c r="AH1957" i="16"/>
  <c r="AH2148" i="16"/>
  <c r="AH2304" i="16"/>
  <c r="AH1417" i="16"/>
  <c r="AH1816" i="16"/>
  <c r="AH1939" i="16"/>
  <c r="AH2112" i="16"/>
  <c r="AH1278" i="16"/>
  <c r="AH1411" i="16"/>
  <c r="AH1487" i="16"/>
  <c r="AH1815" i="16"/>
  <c r="AH979" i="16"/>
  <c r="AH1317" i="16"/>
  <c r="AH1436" i="16"/>
  <c r="AH1610" i="16"/>
  <c r="AH996" i="16"/>
  <c r="AH882" i="16"/>
  <c r="AH1049" i="16"/>
  <c r="AH1216" i="16"/>
  <c r="AH704" i="16"/>
  <c r="AH814" i="16"/>
  <c r="AH284" i="16"/>
  <c r="AH517" i="16"/>
  <c r="AH12" i="16"/>
  <c r="AH179" i="16"/>
  <c r="AH346" i="16"/>
  <c r="AH513" i="16"/>
  <c r="AH624" i="16"/>
  <c r="AH112" i="16"/>
  <c r="AH223" i="16"/>
  <c r="AH390" i="16"/>
  <c r="AH766" i="16"/>
  <c r="AH876" i="16"/>
  <c r="AH469" i="16"/>
  <c r="AH643" i="16"/>
  <c r="AH131" i="16"/>
  <c r="AH298" i="16"/>
  <c r="AH465" i="16"/>
  <c r="AH576" i="16"/>
  <c r="AH64" i="16"/>
  <c r="AH175" i="16"/>
  <c r="AH342" i="16"/>
  <c r="AH2143" i="16"/>
  <c r="AH2301" i="16"/>
  <c r="AH1414" i="16"/>
  <c r="AH1811" i="16"/>
  <c r="AH2033" i="16"/>
  <c r="AH2218" i="16"/>
  <c r="AH1015" i="16"/>
  <c r="AH1617" i="16"/>
  <c r="AH1917" i="16"/>
  <c r="AH2113" i="16"/>
  <c r="AH2139" i="16"/>
  <c r="AH1350" i="16"/>
  <c r="AH1742" i="16"/>
  <c r="AH1706" i="16"/>
  <c r="AH1753" i="16"/>
  <c r="AH1043" i="16"/>
  <c r="AH1407" i="16"/>
  <c r="AH1517" i="16"/>
  <c r="AH460" i="16"/>
  <c r="AH1037" i="16"/>
  <c r="AH1298" i="16"/>
  <c r="AH1082" i="16"/>
  <c r="AH1249" i="16"/>
  <c r="AH737" i="16"/>
  <c r="AH904" i="16"/>
  <c r="AH711" i="16"/>
  <c r="AH821" i="16"/>
  <c r="AH212" i="16"/>
  <c r="AH205" i="16"/>
  <c r="AH379" i="16"/>
  <c r="AH546" i="16"/>
  <c r="AH34" i="16"/>
  <c r="AH201" i="16"/>
  <c r="AH312" i="16"/>
  <c r="AH423" i="16"/>
  <c r="AH590" i="16"/>
  <c r="AH78" i="16"/>
  <c r="AH1728" i="16"/>
  <c r="AH1982" i="16"/>
  <c r="AH2173" i="16"/>
  <c r="AH2323" i="16"/>
  <c r="AH1486" i="16"/>
  <c r="AH1849" i="16"/>
  <c r="AH2062" i="16"/>
  <c r="AH2240" i="16"/>
  <c r="AH1158" i="16"/>
  <c r="AH1680" i="16"/>
  <c r="AH1854" i="16"/>
  <c r="AH2048" i="16"/>
  <c r="AH989" i="16"/>
  <c r="AH1310" i="16"/>
  <c r="AH1384" i="16"/>
  <c r="AH1751" i="16"/>
  <c r="AH1053" i="16"/>
  <c r="AH1244" i="16"/>
  <c r="AH1372" i="16"/>
  <c r="AH1546" i="16"/>
  <c r="AH875" i="16"/>
  <c r="AH818" i="16"/>
  <c r="AH985" i="16"/>
  <c r="AH1152" i="16"/>
  <c r="AH436" i="16"/>
  <c r="AH750" i="16"/>
  <c r="AH860" i="16"/>
  <c r="AH453" i="16"/>
  <c r="AH627" i="16"/>
  <c r="AH115" i="16"/>
  <c r="AH282" i="16"/>
  <c r="AH449" i="16"/>
  <c r="AH560" i="16"/>
  <c r="AH48" i="16"/>
  <c r="AH159" i="16"/>
  <c r="AH326" i="16"/>
  <c r="AH702" i="16"/>
  <c r="AH812" i="16"/>
  <c r="AH405" i="16"/>
  <c r="AH579" i="16"/>
  <c r="AH67" i="16"/>
  <c r="AH234" i="16"/>
  <c r="AH401" i="16"/>
  <c r="AH512" i="16"/>
  <c r="AH623" i="16"/>
  <c r="AH111" i="16"/>
  <c r="AH278" i="16"/>
  <c r="AH2058" i="16"/>
  <c r="AH2237" i="16"/>
  <c r="AH1143" i="16"/>
  <c r="AH1673" i="16"/>
  <c r="AH1948" i="16"/>
  <c r="AH2138" i="16"/>
  <c r="AH2297" i="16"/>
  <c r="AH1395" i="16"/>
  <c r="AH1803" i="16"/>
  <c r="AH2028" i="16"/>
  <c r="AH2075" i="16"/>
  <c r="AH1133" i="16"/>
  <c r="AH1625" i="16"/>
  <c r="AH1630" i="16"/>
  <c r="AH1689" i="16"/>
  <c r="AH795" i="16"/>
  <c r="AH1304" i="16"/>
  <c r="AH1453" i="16"/>
  <c r="AH1572" i="16"/>
  <c r="AH934" i="16"/>
  <c r="AH1213" i="16"/>
  <c r="AH1018" i="16"/>
  <c r="AH1185" i="16"/>
  <c r="AH652" i="16"/>
  <c r="AH840" i="16"/>
  <c r="AH492" i="16"/>
  <c r="AH757" i="16"/>
  <c r="AH653" i="16"/>
  <c r="AH141" i="16"/>
  <c r="AH315" i="16"/>
  <c r="AH482" i="16"/>
  <c r="AH649" i="16"/>
  <c r="AH137" i="16"/>
  <c r="AH248" i="16"/>
  <c r="AH359" i="16"/>
  <c r="AH526" i="16"/>
  <c r="AH14" i="16"/>
  <c r="AH1550" i="16"/>
  <c r="AH1884" i="16"/>
  <c r="AH2087" i="16"/>
  <c r="AH2259" i="16"/>
  <c r="AH1267" i="16"/>
  <c r="AH1720" i="16"/>
  <c r="AH1977" i="16"/>
  <c r="AH2167" i="16"/>
  <c r="AH2319" i="16"/>
  <c r="AH1472" i="16"/>
  <c r="AH1760" i="16"/>
  <c r="AH1984" i="16"/>
  <c r="AH1890" i="16"/>
  <c r="AH1171" i="16"/>
  <c r="AH1281" i="16"/>
  <c r="AH1687" i="16"/>
  <c r="AH851" i="16"/>
  <c r="AH1141" i="16"/>
  <c r="AH1308" i="16"/>
  <c r="AH1482" i="16"/>
  <c r="AH1266" i="16"/>
  <c r="AH754" i="16"/>
  <c r="AH921" i="16"/>
  <c r="AH1088" i="16"/>
  <c r="AH895" i="16"/>
  <c r="AH686" i="16"/>
  <c r="AH796" i="16"/>
  <c r="AH389" i="16"/>
  <c r="AH563" i="16"/>
  <c r="AH51" i="16"/>
  <c r="AH218" i="16"/>
  <c r="AH385" i="16"/>
  <c r="AH496" i="16"/>
  <c r="AH607" i="16"/>
  <c r="AH95" i="16"/>
  <c r="AH262" i="16"/>
  <c r="AH847" i="16"/>
  <c r="AH420" i="16"/>
  <c r="AH748" i="16"/>
  <c r="AH341" i="16"/>
  <c r="AH515" i="16"/>
  <c r="AH682" i="16"/>
  <c r="AH170" i="16"/>
  <c r="AH337" i="16"/>
  <c r="AH448" i="16"/>
  <c r="AH559" i="16"/>
  <c r="AH47" i="16"/>
  <c r="AH214" i="16"/>
  <c r="AH1973" i="16"/>
  <c r="AH2164" i="16"/>
  <c r="AH2316" i="16"/>
  <c r="AH1459" i="16"/>
  <c r="AH1837" i="16"/>
  <c r="AH2053" i="16"/>
  <c r="AH2233" i="16"/>
  <c r="AH1123" i="16"/>
  <c r="AH1659" i="16"/>
  <c r="AH1942" i="16"/>
  <c r="AH2011" i="16"/>
  <c r="AH2184" i="16"/>
  <c r="AH1464" i="16"/>
  <c r="AH1527" i="16"/>
  <c r="AH1601" i="16"/>
  <c r="AH1887" i="16"/>
  <c r="AH1159" i="16"/>
  <c r="AH1389" i="16"/>
  <c r="AH1508" i="16"/>
  <c r="AH332" i="16"/>
  <c r="AH1110" i="16"/>
  <c r="AH954" i="16"/>
  <c r="AH1121" i="16"/>
  <c r="AH188" i="16"/>
  <c r="AH776" i="16"/>
  <c r="AH886" i="16"/>
  <c r="AH693" i="16"/>
  <c r="AH589" i="16"/>
  <c r="AH77" i="16"/>
  <c r="AH251" i="16"/>
  <c r="AH418" i="16"/>
  <c r="AH585" i="16"/>
  <c r="AH73" i="16"/>
  <c r="AH184" i="16"/>
  <c r="AH295" i="16"/>
  <c r="AH462" i="16"/>
  <c r="AH2278" i="16"/>
  <c r="AH1331" i="16"/>
  <c r="AH1763" i="16"/>
  <c r="AH2002" i="16"/>
  <c r="AH2193" i="16"/>
  <c r="AH2338" i="16"/>
  <c r="AH1536" i="16"/>
  <c r="AH1877" i="16"/>
  <c r="AH2082" i="16"/>
  <c r="AH2255" i="16"/>
  <c r="AH1239" i="16"/>
  <c r="AH1652" i="16"/>
  <c r="AH1915" i="16"/>
  <c r="AH1826" i="16"/>
  <c r="AH1005" i="16"/>
  <c r="AH1125" i="16"/>
  <c r="AH1599" i="16"/>
  <c r="AH1637" i="16"/>
  <c r="AH1038" i="16"/>
  <c r="AH1229" i="16"/>
  <c r="AH1418" i="16"/>
  <c r="AH1202" i="16"/>
  <c r="AH690" i="16"/>
  <c r="AH857" i="16"/>
  <c r="AH1024" i="16"/>
  <c r="AH831" i="16"/>
  <c r="AH292" i="16"/>
  <c r="AH732" i="16"/>
  <c r="AH325" i="16"/>
  <c r="AH499" i="16"/>
  <c r="AH666" i="16"/>
  <c r="AH154" i="16"/>
  <c r="AH321" i="16"/>
  <c r="AH432" i="16"/>
  <c r="AH543" i="16"/>
  <c r="AH31" i="16"/>
  <c r="AH198" i="16"/>
  <c r="AH783" i="16"/>
  <c r="AH893" i="16"/>
  <c r="AH680" i="16"/>
  <c r="AH277" i="16"/>
  <c r="AH451" i="16"/>
  <c r="AH618" i="16"/>
  <c r="AH106" i="16"/>
  <c r="AH273" i="16"/>
  <c r="AH384" i="16"/>
  <c r="AH495" i="16"/>
  <c r="AH662" i="16"/>
  <c r="AH150" i="16"/>
  <c r="AH1870" i="16"/>
  <c r="AH2078" i="16"/>
  <c r="AH2252" i="16"/>
  <c r="AH1223" i="16"/>
  <c r="AH1707" i="16"/>
  <c r="AH1967" i="16"/>
  <c r="AH2158" i="16"/>
  <c r="AH2312" i="16"/>
  <c r="AH1447" i="16"/>
  <c r="AH1830" i="16"/>
  <c r="AH1947" i="16"/>
  <c r="AH2120" i="16"/>
  <c r="AH1299" i="16"/>
  <c r="AH1424" i="16"/>
  <c r="AH1499" i="16"/>
  <c r="AH1823" i="16"/>
  <c r="AH997" i="16"/>
  <c r="AH1325" i="16"/>
  <c r="AH1444" i="16"/>
  <c r="AH1618" i="16"/>
  <c r="AH1007" i="16"/>
  <c r="AH890" i="16"/>
  <c r="AH1057" i="16"/>
  <c r="AH1224" i="16"/>
  <c r="AH712" i="16"/>
  <c r="AH822" i="16"/>
  <c r="AH348" i="16"/>
  <c r="AH525" i="16"/>
  <c r="AH13" i="16"/>
  <c r="AH187" i="16"/>
  <c r="AH354" i="16"/>
  <c r="AH521" i="16"/>
  <c r="AH9" i="16"/>
  <c r="AH120" i="16"/>
  <c r="AH231" i="16"/>
  <c r="AH398" i="16"/>
  <c r="AH2214" i="16"/>
  <c r="AH975" i="16"/>
  <c r="AH1600" i="16"/>
  <c r="AH1910" i="16"/>
  <c r="AH2108" i="16"/>
  <c r="AH2274" i="16"/>
  <c r="AH1315" i="16"/>
  <c r="AH1752" i="16"/>
  <c r="AH1997" i="16"/>
  <c r="AH2188" i="16"/>
  <c r="AH2195" i="16"/>
  <c r="AH1491" i="16"/>
  <c r="AH1829" i="16"/>
  <c r="AH1762" i="16"/>
  <c r="AH1809" i="16"/>
  <c r="AH964" i="16"/>
  <c r="AH1496" i="16"/>
  <c r="AH1573" i="16"/>
  <c r="AH935" i="16"/>
  <c r="AH1126" i="16"/>
  <c r="AH1354" i="16"/>
  <c r="AH1138" i="16"/>
  <c r="AH324" i="16"/>
  <c r="AH793" i="16"/>
  <c r="AH960" i="16"/>
  <c r="AH767" i="16"/>
  <c r="AH877" i="16"/>
  <c r="AH639" i="16"/>
  <c r="AH261" i="16"/>
  <c r="AH435" i="16"/>
  <c r="AH602" i="16"/>
  <c r="AH90" i="16"/>
  <c r="AH257" i="16"/>
  <c r="AH368" i="16"/>
  <c r="AH479" i="16"/>
  <c r="AH646" i="16"/>
  <c r="AH134" i="16"/>
  <c r="AH276" i="16"/>
  <c r="AH213" i="16"/>
  <c r="AH387" i="16"/>
  <c r="AH554" i="16"/>
  <c r="AH42" i="16"/>
  <c r="AH209" i="16"/>
  <c r="AH320" i="16"/>
  <c r="AH431" i="16"/>
  <c r="AH598" i="16"/>
  <c r="AH86" i="16"/>
  <c r="AH1747" i="16"/>
  <c r="AH1993" i="16"/>
  <c r="AH2183" i="16"/>
  <c r="AH2331" i="16"/>
  <c r="AH1515" i="16"/>
  <c r="AH1864" i="16"/>
  <c r="AH2073" i="16"/>
  <c r="AH2248" i="16"/>
  <c r="AH1206" i="16"/>
  <c r="AH1699" i="16"/>
  <c r="AH1865" i="16"/>
  <c r="AH2056" i="16"/>
  <c r="AH1036" i="16"/>
  <c r="AH1321" i="16"/>
  <c r="AH1398" i="16"/>
  <c r="AH1759" i="16"/>
  <c r="AH1070" i="16"/>
  <c r="AH1255" i="16"/>
  <c r="AH1380" i="16"/>
  <c r="AH1554" i="16"/>
  <c r="AH907" i="16"/>
  <c r="AH826" i="16"/>
  <c r="AH993" i="16"/>
  <c r="AH1160" i="16"/>
  <c r="AH500" i="16"/>
  <c r="AH758" i="16"/>
  <c r="AH868" i="16"/>
  <c r="AH461" i="16"/>
  <c r="AH635" i="16"/>
  <c r="AH123" i="16"/>
  <c r="AH290" i="16"/>
  <c r="AH457" i="16"/>
  <c r="AH568" i="16"/>
  <c r="AH56" i="16"/>
  <c r="AH167" i="16"/>
  <c r="AH334" i="16"/>
  <c r="AH2133" i="16"/>
  <c r="AH2293" i="16"/>
  <c r="AH1383" i="16"/>
  <c r="AH1792" i="16"/>
  <c r="AH2022" i="16"/>
  <c r="AH2210" i="16"/>
  <c r="AH947" i="16"/>
  <c r="AH1587" i="16"/>
  <c r="AH1902" i="16"/>
  <c r="AH2102" i="16"/>
  <c r="AH2131" i="16"/>
  <c r="AH1327" i="16"/>
  <c r="AH1731" i="16"/>
  <c r="AH1698" i="16"/>
  <c r="AH1745" i="16"/>
  <c r="AH1020" i="16"/>
  <c r="AH1393" i="16"/>
  <c r="AH1509" i="16"/>
  <c r="AH1628" i="16"/>
  <c r="AH1023" i="16"/>
  <c r="AH1290" i="16"/>
  <c r="AH1074" i="16"/>
  <c r="AH1241" i="16"/>
  <c r="AH729" i="16"/>
  <c r="AH896" i="16"/>
  <c r="AH703" i="16"/>
  <c r="AH813" i="16"/>
  <c r="AH148" i="16"/>
  <c r="AH197" i="16"/>
  <c r="AH371" i="16"/>
  <c r="AH538" i="16"/>
  <c r="AH26" i="16"/>
  <c r="AH193" i="16"/>
  <c r="AH304" i="16"/>
  <c r="AH415" i="16"/>
  <c r="AH582" i="16"/>
  <c r="AH70" i="16"/>
  <c r="AH765" i="16"/>
  <c r="AH661" i="16"/>
  <c r="AH149" i="16"/>
  <c r="AH323" i="16"/>
  <c r="AH490" i="16"/>
  <c r="AH657" i="16"/>
  <c r="AH145" i="16"/>
  <c r="AH256" i="16"/>
  <c r="AH367" i="16"/>
  <c r="AH534" i="16"/>
  <c r="AH22" i="16"/>
  <c r="AH1579" i="16"/>
  <c r="AH1899" i="16"/>
  <c r="AH2098" i="16"/>
  <c r="AH2267" i="16"/>
  <c r="AH1294" i="16"/>
  <c r="AH1739" i="16"/>
  <c r="AH1988" i="16"/>
  <c r="AH2178" i="16"/>
  <c r="AH2327" i="16"/>
  <c r="AH1497" i="16"/>
  <c r="AH1773" i="16"/>
  <c r="AH1992" i="16"/>
  <c r="AH1898" i="16"/>
  <c r="AH1189" i="16"/>
  <c r="AH1295" i="16"/>
  <c r="AH1695" i="16"/>
  <c r="AH908" i="16"/>
  <c r="AH1155" i="16"/>
  <c r="AH1316" i="16"/>
  <c r="AH1490" i="16"/>
  <c r="AH76" i="16"/>
  <c r="AH762" i="16"/>
  <c r="AH929" i="16"/>
  <c r="AH1096" i="16"/>
  <c r="AH903" i="16"/>
  <c r="AH694" i="16"/>
  <c r="AH804" i="16"/>
  <c r="AH397" i="16"/>
  <c r="AH571" i="16"/>
  <c r="AH59" i="16"/>
  <c r="AH226" i="16"/>
  <c r="AH393" i="16"/>
  <c r="AH504" i="16"/>
  <c r="AH615" i="16"/>
  <c r="AH103" i="16"/>
  <c r="AH270" i="16"/>
  <c r="AH2047" i="16"/>
  <c r="AH2229" i="16"/>
  <c r="AH1103" i="16"/>
  <c r="AH1648" i="16"/>
  <c r="AH1937" i="16"/>
  <c r="AH2127" i="16"/>
  <c r="AH2289" i="16"/>
  <c r="AH1369" i="16"/>
  <c r="AH1784" i="16"/>
  <c r="AH2017" i="16"/>
  <c r="AH2067" i="16"/>
  <c r="AH1095" i="16"/>
  <c r="AH1607" i="16"/>
  <c r="AH1616" i="16"/>
  <c r="AH1681" i="16"/>
  <c r="AH691" i="16"/>
  <c r="AH1291" i="16"/>
  <c r="AH1445" i="16"/>
  <c r="AH1564" i="16"/>
  <c r="AH923" i="16"/>
  <c r="AH1199" i="16"/>
  <c r="AH1010" i="16"/>
  <c r="AH1177" i="16"/>
  <c r="AH631" i="16"/>
  <c r="AH832" i="16"/>
  <c r="AH428" i="16"/>
  <c r="AH749" i="16"/>
  <c r="AH645" i="16"/>
  <c r="AH133" i="16"/>
  <c r="AH307" i="16"/>
  <c r="AH474" i="16"/>
  <c r="AH641" i="16"/>
  <c r="AH129" i="16"/>
  <c r="AH240" i="16"/>
  <c r="AH351" i="16"/>
  <c r="AH518" i="16"/>
  <c r="AH6" i="16"/>
  <c r="AI1886" i="16"/>
  <c r="AI2143" i="16"/>
  <c r="AI1759" i="16"/>
  <c r="AI798" i="16"/>
  <c r="AI2211" i="16"/>
  <c r="AI1251" i="16"/>
  <c r="AJ1251" i="16" s="1"/>
  <c r="AI861" i="16"/>
  <c r="AJ861" i="16" s="1"/>
  <c r="AI1852" i="16"/>
  <c r="AI892" i="16"/>
  <c r="AI1707" i="16"/>
  <c r="AI1596" i="16"/>
  <c r="AJ1596" i="16" s="1"/>
  <c r="AI1320" i="16"/>
  <c r="AI1179" i="16"/>
  <c r="AI2218" i="16"/>
  <c r="AJ2218" i="16" s="1"/>
  <c r="AI19" i="16"/>
  <c r="AI622" i="16"/>
  <c r="AJ622" i="16" s="1"/>
  <c r="AI1730" i="16"/>
  <c r="AI431" i="16"/>
  <c r="AI1855" i="16"/>
  <c r="AJ1855" i="16" s="1"/>
  <c r="AI534" i="16"/>
  <c r="AI429" i="16"/>
  <c r="AI1565" i="16"/>
  <c r="AI2077" i="16"/>
  <c r="AI1087" i="16"/>
  <c r="AJ1087" i="16" s="1"/>
  <c r="AI2108" i="16"/>
  <c r="AI813" i="16"/>
  <c r="AI923" i="16"/>
  <c r="AI1365" i="16"/>
  <c r="AI1479" i="16"/>
  <c r="AJ1479" i="16" s="1"/>
  <c r="AI388" i="16"/>
  <c r="AJ388" i="16" s="1"/>
  <c r="AI722" i="16"/>
  <c r="AI1187" i="16"/>
  <c r="AJ1187" i="16" s="1"/>
  <c r="AI127" i="16"/>
  <c r="AI305" i="16"/>
  <c r="AI1448" i="16"/>
  <c r="AI142" i="16"/>
  <c r="AI1421" i="16"/>
  <c r="AJ1421" i="16" s="1"/>
  <c r="AI2341" i="16"/>
  <c r="AJ2341" i="16" s="1"/>
  <c r="AI1415" i="16"/>
  <c r="AJ1415" i="16" s="1"/>
  <c r="AI1595" i="16"/>
  <c r="AI2328" i="16"/>
  <c r="AI882" i="16"/>
  <c r="AI764" i="16"/>
  <c r="AI101" i="16"/>
  <c r="AI1914" i="16"/>
  <c r="AJ1914" i="16" s="1"/>
  <c r="AI2335" i="16"/>
  <c r="AJ2335" i="16" s="1"/>
  <c r="AI2334" i="16"/>
  <c r="AJ2334" i="16" s="1"/>
  <c r="AI1374" i="16"/>
  <c r="AJ1374" i="16" s="1"/>
  <c r="AI997" i="16"/>
  <c r="AI1140" i="16"/>
  <c r="AI449" i="16"/>
  <c r="AI1204" i="16"/>
  <c r="AI1688" i="16"/>
  <c r="AI744" i="16"/>
  <c r="AI593" i="16"/>
  <c r="AI83" i="16"/>
  <c r="AJ83" i="16" s="1"/>
  <c r="AI1018" i="16"/>
  <c r="AI888" i="16"/>
  <c r="AI1528" i="16"/>
  <c r="AJ1528" i="16" s="1"/>
  <c r="AI1827" i="16"/>
  <c r="AI106" i="16"/>
  <c r="AI1112" i="16"/>
  <c r="AJ1112" i="16" s="1"/>
  <c r="AI671" i="16"/>
  <c r="AJ671" i="16" s="1"/>
  <c r="AI712" i="16"/>
  <c r="AJ712" i="16" s="1"/>
  <c r="AI856" i="16"/>
  <c r="AI2042" i="16"/>
  <c r="AI1729" i="16"/>
  <c r="AJ1729" i="16" s="1"/>
  <c r="AI214" i="16"/>
  <c r="AI654" i="16"/>
  <c r="AI522" i="16"/>
  <c r="AJ522" i="16" s="1"/>
  <c r="AI1968" i="16"/>
  <c r="AJ1968" i="16" s="1"/>
  <c r="AI1430" i="16"/>
  <c r="AI2206" i="16"/>
  <c r="AI2147" i="16"/>
  <c r="AI200" i="16"/>
  <c r="AI1121" i="16"/>
  <c r="AI113" i="16"/>
  <c r="AJ113" i="16" s="1"/>
  <c r="AI767" i="16"/>
  <c r="AJ767" i="16" s="1"/>
  <c r="AI1499" i="16"/>
  <c r="AI336" i="16"/>
  <c r="AJ336" i="16" s="1"/>
  <c r="AI1689" i="16"/>
  <c r="AI1428" i="16"/>
  <c r="AI264" i="16"/>
  <c r="AI1507" i="16"/>
  <c r="AI818" i="16"/>
  <c r="AJ818" i="16" s="1"/>
  <c r="AI1060" i="16"/>
  <c r="AJ1060" i="16" s="1"/>
  <c r="AI420" i="16"/>
  <c r="AJ420" i="16" s="1"/>
  <c r="AI1582" i="16"/>
  <c r="AJ1582" i="16" s="1"/>
  <c r="AI2021" i="16"/>
  <c r="AI852" i="16"/>
  <c r="AI2070" i="16"/>
  <c r="AI513" i="16"/>
  <c r="AI316" i="16"/>
  <c r="AI384" i="16"/>
  <c r="AJ384" i="16" s="1"/>
  <c r="AI1034" i="16"/>
  <c r="AJ1034" i="16" s="1"/>
  <c r="AI1863" i="16"/>
  <c r="AJ1863" i="16" s="1"/>
  <c r="AI977" i="16"/>
  <c r="AI996" i="16"/>
  <c r="AI2083" i="16"/>
  <c r="AI995" i="16"/>
  <c r="AI1082" i="16"/>
  <c r="AJ1082" i="16" s="1"/>
  <c r="AI1574" i="16"/>
  <c r="AJ1574" i="16" s="1"/>
  <c r="AI387" i="16"/>
  <c r="AJ387" i="16" s="1"/>
  <c r="AI506" i="16"/>
  <c r="AJ506" i="16" s="1"/>
  <c r="AI770" i="16"/>
  <c r="AI1614" i="16"/>
  <c r="AI385" i="16"/>
  <c r="AI925" i="16"/>
  <c r="AI2229" i="16"/>
  <c r="AJ2229" i="16" s="1"/>
  <c r="AI721" i="16"/>
  <c r="AI1601" i="16"/>
  <c r="AJ1601" i="16" s="1"/>
  <c r="AI194" i="16"/>
  <c r="AI603" i="16"/>
  <c r="AI2339" i="16"/>
  <c r="AI1468" i="16"/>
  <c r="AJ1468" i="16" s="1"/>
  <c r="AI100" i="16"/>
  <c r="AI1425" i="16"/>
  <c r="AI1059" i="16"/>
  <c r="AJ1059" i="16" s="1"/>
  <c r="AI1223" i="16"/>
  <c r="AJ1223" i="16" s="1"/>
  <c r="AI237" i="16"/>
  <c r="AJ237" i="16" s="1"/>
  <c r="AI1695" i="16"/>
  <c r="AI1566" i="16"/>
  <c r="AI926" i="16"/>
  <c r="AI1509" i="16"/>
  <c r="AI462" i="16"/>
  <c r="AI319" i="16"/>
  <c r="AJ319" i="16" s="1"/>
  <c r="AI487" i="16"/>
  <c r="AJ487" i="16" s="1"/>
  <c r="AI890" i="16"/>
  <c r="AJ890" i="16" s="1"/>
  <c r="AI1817" i="16"/>
  <c r="AI2183" i="16"/>
  <c r="AI464" i="16"/>
  <c r="AJ464" i="16" s="1"/>
  <c r="AI1629" i="16"/>
  <c r="AI580" i="16"/>
  <c r="AJ580" i="16" s="1"/>
  <c r="AI467" i="16"/>
  <c r="AJ467" i="16" s="1"/>
  <c r="AI2224" i="16"/>
  <c r="AJ2224" i="16" s="1"/>
  <c r="AI1051" i="16"/>
  <c r="AJ1051" i="16" s="1"/>
  <c r="AI647" i="16"/>
  <c r="AI293" i="16"/>
  <c r="AI49" i="16"/>
  <c r="AI1658" i="16"/>
  <c r="AI682" i="16"/>
  <c r="AI530" i="16"/>
  <c r="AJ530" i="16" s="1"/>
  <c r="AI529" i="16"/>
  <c r="AJ529" i="16" s="1"/>
  <c r="AI1991" i="16"/>
  <c r="AJ1991" i="16" s="1"/>
  <c r="AI853" i="16"/>
  <c r="AI8" i="16"/>
  <c r="AI1469" i="16"/>
  <c r="AI956" i="16"/>
  <c r="AI1373" i="16"/>
  <c r="AI2242" i="16"/>
  <c r="AJ2242" i="16" s="1"/>
  <c r="AI1443" i="16"/>
  <c r="AJ1443" i="16" s="1"/>
  <c r="AI961" i="16"/>
  <c r="AJ961" i="16" s="1"/>
  <c r="AI1799" i="16"/>
  <c r="AI903" i="16"/>
  <c r="AI1404" i="16"/>
  <c r="AI2150" i="16"/>
  <c r="AI2111" i="16"/>
  <c r="AJ2111" i="16" s="1"/>
  <c r="AI203" i="16"/>
  <c r="AJ203" i="16" s="1"/>
  <c r="AI1804" i="16"/>
  <c r="AJ1804" i="16" s="1"/>
  <c r="AI139" i="16"/>
  <c r="AJ139" i="16" s="1"/>
  <c r="AI2177" i="16"/>
  <c r="AI1272" i="16"/>
  <c r="AI2232" i="16"/>
  <c r="AI1217" i="16"/>
  <c r="AI421" i="16"/>
  <c r="AI2200" i="16"/>
  <c r="AJ2200" i="16" s="1"/>
  <c r="AI1343" i="16"/>
  <c r="AJ1343" i="16" s="1"/>
  <c r="AI1524" i="16"/>
  <c r="AJ1524" i="16" s="1"/>
  <c r="AI9" i="16"/>
  <c r="AI1948" i="16"/>
  <c r="AI2049" i="16"/>
  <c r="AI2301" i="16"/>
  <c r="AI1144" i="16"/>
  <c r="AJ1144" i="16" s="1"/>
  <c r="AI1166" i="16"/>
  <c r="AI2048" i="16"/>
  <c r="AJ2048" i="16" s="1"/>
  <c r="AI1192" i="16"/>
  <c r="AI1727" i="16"/>
  <c r="AI411" i="16"/>
  <c r="AI164" i="16"/>
  <c r="AI2252" i="16"/>
  <c r="AI81" i="16"/>
  <c r="AJ81" i="16" s="1"/>
  <c r="AI2196" i="16"/>
  <c r="AJ2196" i="16" s="1"/>
  <c r="AI881" i="16"/>
  <c r="AJ881" i="16" s="1"/>
  <c r="AI1640" i="16"/>
  <c r="AI1214" i="16"/>
  <c r="AI1464" i="16"/>
  <c r="AI2172" i="16"/>
  <c r="AI1932" i="16"/>
  <c r="AI526" i="16"/>
  <c r="AI1875" i="16"/>
  <c r="AJ1875" i="16" s="1"/>
  <c r="AI2283" i="16"/>
  <c r="AJ2283" i="16" s="1"/>
  <c r="AI1048" i="16"/>
  <c r="AI1704" i="16"/>
  <c r="AI1703" i="16"/>
  <c r="AI1575" i="16"/>
  <c r="AJ1575" i="16" s="1"/>
  <c r="AI756" i="16"/>
  <c r="AI1477" i="16"/>
  <c r="AI1401" i="16"/>
  <c r="AJ1401" i="16" s="1"/>
  <c r="AI356" i="16"/>
  <c r="AJ356" i="16" s="1"/>
  <c r="AI1016" i="16"/>
  <c r="AJ1016" i="16" s="1"/>
  <c r="AI2265" i="16"/>
  <c r="AI595" i="16"/>
  <c r="AI1432" i="16"/>
  <c r="AI1212" i="16"/>
  <c r="AI1693" i="16"/>
  <c r="AJ1693" i="16" s="1"/>
  <c r="AI1557" i="16"/>
  <c r="AJ1557" i="16" s="1"/>
  <c r="AI1933" i="16"/>
  <c r="AJ1933" i="16" s="1"/>
  <c r="AI578" i="16"/>
  <c r="AJ578" i="16" s="1"/>
  <c r="AI553" i="16"/>
  <c r="AI1691" i="16"/>
  <c r="AI2136" i="16"/>
  <c r="AI2239" i="16"/>
  <c r="AI1177" i="16"/>
  <c r="AI2158" i="16"/>
  <c r="AJ2158" i="16" s="1"/>
  <c r="AI226" i="16"/>
  <c r="AJ226" i="16" s="1"/>
  <c r="AI1297" i="16"/>
  <c r="AJ1297" i="16" s="1"/>
  <c r="AI18" i="16"/>
  <c r="AI1945" i="16"/>
  <c r="AI254" i="16"/>
  <c r="AI954" i="16"/>
  <c r="AI286" i="16"/>
  <c r="AI597" i="16"/>
  <c r="AI309" i="16"/>
  <c r="AJ309" i="16" s="1"/>
  <c r="AI301" i="16"/>
  <c r="AJ301" i="16" s="1"/>
  <c r="AI271" i="16"/>
  <c r="AI1287" i="16"/>
  <c r="AI223" i="16"/>
  <c r="AI1360" i="16"/>
  <c r="AI21" i="16"/>
  <c r="AI948" i="16"/>
  <c r="AJ948" i="16" s="1"/>
  <c r="AI1747" i="16"/>
  <c r="AI1988" i="16"/>
  <c r="AJ1988" i="16" s="1"/>
  <c r="AI2325" i="16"/>
  <c r="AI910" i="16"/>
  <c r="AI193" i="16"/>
  <c r="AJ193" i="16" s="1"/>
  <c r="AI669" i="16"/>
  <c r="AI696" i="16"/>
  <c r="AJ696" i="16" s="1"/>
  <c r="AI66" i="16"/>
  <c r="AJ66" i="16" s="1"/>
  <c r="AI1714" i="16"/>
  <c r="AJ1714" i="16" s="1"/>
  <c r="AI1754" i="16"/>
  <c r="AJ1754" i="16" s="1"/>
  <c r="AI1091" i="16"/>
  <c r="AI2073" i="16"/>
  <c r="AI239" i="16"/>
  <c r="AI2008" i="16"/>
  <c r="AI391" i="16"/>
  <c r="AI581" i="16"/>
  <c r="AJ581" i="16" s="1"/>
  <c r="AI2298" i="16"/>
  <c r="AJ2298" i="16" s="1"/>
  <c r="AI1940" i="16"/>
  <c r="AJ1940" i="16" s="1"/>
  <c r="AI260" i="16"/>
  <c r="AI1983" i="16"/>
  <c r="AI2072" i="16"/>
  <c r="AI2056" i="16"/>
  <c r="AI1897" i="16"/>
  <c r="AJ1897" i="16" s="1"/>
  <c r="AI328" i="16"/>
  <c r="AJ328" i="16" s="1"/>
  <c r="AI299" i="16"/>
  <c r="AJ299" i="16" s="1"/>
  <c r="AI17" i="16"/>
  <c r="AJ17" i="16" s="1"/>
  <c r="AI270" i="16"/>
  <c r="AI628" i="16"/>
  <c r="AI159" i="16"/>
  <c r="AI10" i="16"/>
  <c r="AI1786" i="16"/>
  <c r="AJ1786" i="16" s="1"/>
  <c r="AI740" i="16"/>
  <c r="AI946" i="16"/>
  <c r="AJ946" i="16" s="1"/>
  <c r="AI2156" i="16"/>
  <c r="AJ2156" i="16" s="1"/>
  <c r="AI1104" i="16"/>
  <c r="AI65" i="16"/>
  <c r="AI834" i="16"/>
  <c r="AJ834" i="16" s="1"/>
  <c r="AI508" i="16"/>
  <c r="AI1867" i="16"/>
  <c r="AI897" i="16"/>
  <c r="AJ897" i="16" s="1"/>
  <c r="AI110" i="16"/>
  <c r="AJ110" i="16" s="1"/>
  <c r="AI178" i="16"/>
  <c r="AJ178" i="16" s="1"/>
  <c r="AI2007" i="16"/>
  <c r="AI1496" i="16"/>
  <c r="AI1978" i="16"/>
  <c r="AI465" i="16"/>
  <c r="AI1205" i="16"/>
  <c r="AJ1205" i="16" s="1"/>
  <c r="AI1553" i="16"/>
  <c r="AJ1553" i="16" s="1"/>
  <c r="AI1093" i="16"/>
  <c r="AJ1093" i="16" s="1"/>
  <c r="AI1239" i="16"/>
  <c r="AJ1239" i="16" s="1"/>
  <c r="AI439" i="16"/>
  <c r="AI618" i="16"/>
  <c r="AI783" i="16"/>
  <c r="AI322" i="16"/>
  <c r="AI72" i="16"/>
  <c r="AJ72" i="16" s="1"/>
  <c r="AI2045" i="16"/>
  <c r="AJ2045" i="16" s="1"/>
  <c r="AI774" i="16"/>
  <c r="AI909" i="16"/>
  <c r="AJ909" i="16" s="1"/>
  <c r="AI2069" i="16"/>
  <c r="AI776" i="16"/>
  <c r="AI206" i="16"/>
  <c r="AI1215" i="16"/>
  <c r="AI452" i="16"/>
  <c r="AI1340" i="16"/>
  <c r="AJ1340" i="16" s="1"/>
  <c r="AI839" i="16"/>
  <c r="AJ839" i="16" s="1"/>
  <c r="AI1294" i="16"/>
  <c r="AJ1294" i="16" s="1"/>
  <c r="AI295" i="16"/>
  <c r="AI1235" i="16"/>
  <c r="AI1818" i="16"/>
  <c r="AJ1818" i="16" s="1"/>
  <c r="AI1403" i="16"/>
  <c r="AI443" i="16"/>
  <c r="AI1678" i="16"/>
  <c r="AJ1678" i="16" s="1"/>
  <c r="AI1327" i="16"/>
  <c r="AI185" i="16"/>
  <c r="AJ185" i="16" s="1"/>
  <c r="AI2096" i="16"/>
  <c r="AI306" i="16"/>
  <c r="AI785" i="16"/>
  <c r="AJ785" i="16" s="1"/>
  <c r="AI797" i="16"/>
  <c r="AI493" i="16"/>
  <c r="AI161" i="16"/>
  <c r="AJ161" i="16" s="1"/>
  <c r="AI1894" i="16"/>
  <c r="AI1616" i="16"/>
  <c r="AI520" i="16"/>
  <c r="AI1586" i="16"/>
  <c r="AI2170" i="16"/>
  <c r="AJ2170" i="16" s="1"/>
  <c r="AI1062" i="16"/>
  <c r="AI1012" i="16"/>
  <c r="AJ1012" i="16" s="1"/>
  <c r="AI37" i="16"/>
  <c r="AI1409" i="16"/>
  <c r="AJ1409" i="16" s="1"/>
  <c r="AI2318" i="16"/>
  <c r="AI782" i="16"/>
  <c r="AI86" i="16"/>
  <c r="AI352" i="16"/>
  <c r="AI403" i="16"/>
  <c r="AI291" i="16"/>
  <c r="AI2284" i="16"/>
  <c r="AJ2284" i="16" s="1"/>
  <c r="AI392" i="16"/>
  <c r="AJ392" i="16" s="1"/>
  <c r="AI2247" i="16"/>
  <c r="AJ2247" i="16" s="1"/>
  <c r="AI711" i="16"/>
  <c r="AI1076" i="16"/>
  <c r="AI199" i="16"/>
  <c r="AI2319" i="16"/>
  <c r="AI1794" i="16"/>
  <c r="AJ1794" i="16" s="1"/>
  <c r="AI569" i="16"/>
  <c r="AI921" i="16"/>
  <c r="AJ921" i="16" s="1"/>
  <c r="AI1435" i="16"/>
  <c r="AJ1435" i="16" s="1"/>
  <c r="AI155" i="16"/>
  <c r="AI1202" i="16"/>
  <c r="AI1103" i="16"/>
  <c r="AI1299" i="16"/>
  <c r="AI2068" i="16"/>
  <c r="AI359" i="16"/>
  <c r="AJ359" i="16" s="1"/>
  <c r="AI476" i="16"/>
  <c r="AJ476" i="16" s="1"/>
  <c r="AI69" i="16"/>
  <c r="AI250" i="16"/>
  <c r="AI469" i="16"/>
  <c r="AI510" i="16"/>
  <c r="AI2216" i="16"/>
  <c r="AI1808" i="16"/>
  <c r="AI718" i="16"/>
  <c r="AJ718" i="16" s="1"/>
  <c r="AI1649" i="16"/>
  <c r="AJ1649" i="16" s="1"/>
  <c r="AI1260" i="16"/>
  <c r="AJ1260" i="16" s="1"/>
  <c r="AI1442" i="16"/>
  <c r="AI599" i="16"/>
  <c r="AI2310" i="16"/>
  <c r="AJ2310" i="16" s="1"/>
  <c r="AI494" i="16"/>
  <c r="AI1738" i="16"/>
  <c r="AJ1738" i="16" s="1"/>
  <c r="AI441" i="16"/>
  <c r="AJ441" i="16" s="1"/>
  <c r="AI738" i="16"/>
  <c r="AJ738" i="16" s="1"/>
  <c r="AI2078" i="16"/>
  <c r="AJ2078" i="16" s="1"/>
  <c r="AI2122" i="16"/>
  <c r="AI177" i="16"/>
  <c r="AI35" i="16"/>
  <c r="AJ35" i="16" s="1"/>
  <c r="AI623" i="16"/>
  <c r="AI1127" i="16"/>
  <c r="AI2314" i="16"/>
  <c r="AJ2314" i="16" s="1"/>
  <c r="AI2009" i="16"/>
  <c r="AJ2009" i="16" s="1"/>
  <c r="AI1899" i="16"/>
  <c r="AJ1899" i="16" s="1"/>
  <c r="AI600" i="16"/>
  <c r="AI2161" i="16"/>
  <c r="AI2105" i="16"/>
  <c r="AJ2105" i="16" s="1"/>
  <c r="AI1762" i="16"/>
  <c r="AI1748" i="16"/>
  <c r="AI1176" i="16"/>
  <c r="AJ1176" i="16" s="1"/>
  <c r="AI1807" i="16"/>
  <c r="AI1424" i="16"/>
  <c r="AJ1424" i="16" s="1"/>
  <c r="AI2046" i="16"/>
  <c r="AI1564" i="16"/>
  <c r="AI342" i="16"/>
  <c r="AI607" i="16"/>
  <c r="AI1390" i="16"/>
  <c r="AJ1390" i="16" s="1"/>
  <c r="AI561" i="16"/>
  <c r="AJ561" i="16" s="1"/>
  <c r="AI1303" i="16"/>
  <c r="AJ1303" i="16" s="1"/>
  <c r="AI281" i="16"/>
  <c r="AJ281" i="16" s="1"/>
  <c r="AI929" i="16"/>
  <c r="AI80" i="16"/>
  <c r="AI1109" i="16"/>
  <c r="AJ1109" i="16" s="1"/>
  <c r="AI705" i="16"/>
  <c r="AI980" i="16"/>
  <c r="AI1824" i="16"/>
  <c r="AI444" i="16"/>
  <c r="AJ444" i="16" s="1"/>
  <c r="AI871" i="16"/>
  <c r="AJ871" i="16" s="1"/>
  <c r="AI1791" i="16"/>
  <c r="AI42" i="16"/>
  <c r="AI24" i="16"/>
  <c r="AI913" i="16"/>
  <c r="AI1210" i="16"/>
  <c r="AI1042" i="16"/>
  <c r="AJ1042" i="16" s="1"/>
  <c r="AI2275" i="16"/>
  <c r="AJ2275" i="16" s="1"/>
  <c r="AI899" i="16"/>
  <c r="AJ899" i="16" s="1"/>
  <c r="AI308" i="16"/>
  <c r="AI1521" i="16"/>
  <c r="AI1186" i="16"/>
  <c r="AI2093" i="16"/>
  <c r="AI876" i="16"/>
  <c r="AJ876" i="16" s="1"/>
  <c r="AI1492" i="16"/>
  <c r="AI1038" i="16"/>
  <c r="AJ1038" i="16" s="1"/>
  <c r="AI665" i="16"/>
  <c r="AJ665" i="16" s="1"/>
  <c r="AI265" i="16"/>
  <c r="AI1128" i="16"/>
  <c r="AI1552" i="16"/>
  <c r="AJ1552" i="16" s="1"/>
  <c r="AI735" i="16"/>
  <c r="AI1046" i="16"/>
  <c r="AI1600" i="16"/>
  <c r="AJ1600" i="16" s="1"/>
  <c r="AI1394" i="16"/>
  <c r="AJ1394" i="16" s="1"/>
  <c r="AI1568" i="16"/>
  <c r="AI50" i="16"/>
  <c r="AI146" i="16"/>
  <c r="AI1961" i="16"/>
  <c r="AI1580" i="16"/>
  <c r="AI114" i="16"/>
  <c r="AI989" i="16"/>
  <c r="AJ989" i="16" s="1"/>
  <c r="AI1780" i="16"/>
  <c r="AJ1780" i="16" s="1"/>
  <c r="AI1233" i="16"/>
  <c r="AJ1233" i="16" s="1"/>
  <c r="AI456" i="16"/>
  <c r="AI1039" i="16"/>
  <c r="AI609" i="16"/>
  <c r="AJ609" i="16" s="1"/>
  <c r="AI419" i="16"/>
  <c r="AI1101" i="16"/>
  <c r="AI670" i="16"/>
  <c r="AJ670" i="16" s="1"/>
  <c r="AI73" i="16"/>
  <c r="AJ73" i="16" s="1"/>
  <c r="AI334" i="16"/>
  <c r="AJ334" i="16" s="1"/>
  <c r="AI854" i="16"/>
  <c r="AI613" i="16"/>
  <c r="AI373" i="16"/>
  <c r="AI1399" i="16"/>
  <c r="AI1960" i="16"/>
  <c r="AJ1960" i="16" s="1"/>
  <c r="AI1838" i="16"/>
  <c r="AJ1838" i="16" s="1"/>
  <c r="AI2064" i="16"/>
  <c r="AJ2064" i="16" s="1"/>
  <c r="AI747" i="16"/>
  <c r="AJ747" i="16" s="1"/>
  <c r="AI40" i="16"/>
  <c r="AI1160" i="16"/>
  <c r="AI1447" i="16"/>
  <c r="AJ1447" i="16" s="1"/>
  <c r="AI1208" i="16"/>
  <c r="AI2191" i="16"/>
  <c r="AI1544" i="16"/>
  <c r="AJ1544" i="16" s="1"/>
  <c r="AI803" i="16"/>
  <c r="AJ803" i="16" s="1"/>
  <c r="AI59" i="16"/>
  <c r="AJ59" i="16" s="1"/>
  <c r="AI1813" i="16"/>
  <c r="AI1237" i="16"/>
  <c r="AI2195" i="16"/>
  <c r="AJ2195" i="16" s="1"/>
  <c r="AI2244" i="16"/>
  <c r="AI1155" i="16"/>
  <c r="AI1593" i="16"/>
  <c r="AJ1593" i="16" s="1"/>
  <c r="AI787" i="16"/>
  <c r="AJ787" i="16" s="1"/>
  <c r="AI7" i="16"/>
  <c r="AI2220" i="16"/>
  <c r="AI1976" i="16"/>
  <c r="AI1803" i="16"/>
  <c r="AI590" i="16"/>
  <c r="AI1148" i="16"/>
  <c r="AJ1148" i="16" s="1"/>
  <c r="AI936" i="16"/>
  <c r="AJ936" i="16" s="1"/>
  <c r="AI400" i="16"/>
  <c r="AJ400" i="16" s="1"/>
  <c r="AI2188" i="16"/>
  <c r="AJ2188" i="16" s="1"/>
  <c r="AI1486" i="16"/>
  <c r="AI284" i="16"/>
  <c r="AI1222" i="16"/>
  <c r="AI2234" i="16"/>
  <c r="AI879" i="16"/>
  <c r="AI1413" i="16"/>
  <c r="AJ1413" i="16" s="1"/>
  <c r="AI2226" i="16"/>
  <c r="AI326" i="16"/>
  <c r="AJ326" i="16" s="1"/>
  <c r="AI33" i="16"/>
  <c r="AI1694" i="16"/>
  <c r="AI2027" i="16"/>
  <c r="AI2014" i="16"/>
  <c r="AI1841" i="16"/>
  <c r="AI973" i="16"/>
  <c r="AJ973" i="16" s="1"/>
  <c r="AI843" i="16"/>
  <c r="AJ843" i="16" s="1"/>
  <c r="AI1113" i="16"/>
  <c r="AJ1113" i="16" s="1"/>
  <c r="AI758" i="16"/>
  <c r="AI56" i="16"/>
  <c r="AI1722" i="16"/>
  <c r="AI1058" i="16"/>
  <c r="AI2110" i="16"/>
  <c r="AI1314" i="16"/>
  <c r="AJ1314" i="16" s="1"/>
  <c r="AI2237" i="16"/>
  <c r="AJ2237" i="16" s="1"/>
  <c r="AI562" i="16"/>
  <c r="AJ562" i="16" s="1"/>
  <c r="AI131" i="16"/>
  <c r="AI34" i="16"/>
  <c r="AI1181" i="16"/>
  <c r="AI1023" i="16"/>
  <c r="AI1183" i="16"/>
  <c r="AI1877" i="16"/>
  <c r="AJ1877" i="16" s="1"/>
  <c r="AI1095" i="16"/>
  <c r="AJ1095" i="16" s="1"/>
  <c r="AI829" i="16"/>
  <c r="AJ829" i="16" s="1"/>
  <c r="AI1684" i="16"/>
  <c r="AI865" i="16"/>
  <c r="AI2043" i="16"/>
  <c r="AI1234" i="16"/>
  <c r="AI466" i="16"/>
  <c r="AJ466" i="16" s="1"/>
  <c r="AI1798" i="16"/>
  <c r="AJ1798" i="16" s="1"/>
  <c r="AI971" i="16"/>
  <c r="AJ971" i="16" s="1"/>
  <c r="AI424" i="16"/>
  <c r="AJ424" i="16" s="1"/>
  <c r="AI219" i="16"/>
  <c r="AI1444" i="16"/>
  <c r="AI2209" i="16"/>
  <c r="AI1753" i="16"/>
  <c r="AI406" i="16"/>
  <c r="AI317" i="16"/>
  <c r="AJ317" i="16" s="1"/>
  <c r="AI739" i="16"/>
  <c r="AJ739" i="16" s="1"/>
  <c r="AI1145" i="16"/>
  <c r="AJ1145" i="16" s="1"/>
  <c r="AI1926" i="16"/>
  <c r="AI1848" i="16"/>
  <c r="AI857" i="16"/>
  <c r="AI1031" i="16"/>
  <c r="AI729" i="16"/>
  <c r="AJ729" i="16" s="1"/>
  <c r="AI1823" i="16"/>
  <c r="AJ1823" i="16" s="1"/>
  <c r="AI985" i="16"/>
  <c r="AJ985" i="16" s="1"/>
  <c r="AI498" i="16"/>
  <c r="AJ498" i="16" s="1"/>
  <c r="AI1971" i="16"/>
  <c r="AI1463" i="16"/>
  <c r="AI1153" i="16"/>
  <c r="AI2179" i="16"/>
  <c r="AI1859" i="16"/>
  <c r="AJ1859" i="16" s="1"/>
  <c r="AI1734" i="16"/>
  <c r="AI1050" i="16"/>
  <c r="AJ1050" i="16" s="1"/>
  <c r="AI823" i="16"/>
  <c r="AI1724" i="16"/>
  <c r="AI349" i="16"/>
  <c r="AI2106" i="16"/>
  <c r="AI267" i="16"/>
  <c r="AI790" i="16"/>
  <c r="AI1739" i="16"/>
  <c r="AJ1739" i="16" s="1"/>
  <c r="AI2124" i="16"/>
  <c r="AJ2124" i="16" s="1"/>
  <c r="AI300" i="16"/>
  <c r="AJ300" i="16" s="1"/>
  <c r="AI273" i="16"/>
  <c r="AI1064" i="16"/>
  <c r="AI1411" i="16"/>
  <c r="AI1573" i="16"/>
  <c r="AI160" i="16"/>
  <c r="AJ160" i="16" s="1"/>
  <c r="AI605" i="16"/>
  <c r="AJ605" i="16" s="1"/>
  <c r="AI2022" i="16"/>
  <c r="AJ2022" i="16" s="1"/>
  <c r="AI2006" i="16"/>
  <c r="AJ2006" i="16" s="1"/>
  <c r="AI460" i="16"/>
  <c r="AI972" i="16"/>
  <c r="AI945" i="16"/>
  <c r="AJ945" i="16" s="1"/>
  <c r="AI2299" i="16"/>
  <c r="AI312" i="16"/>
  <c r="AJ312" i="16" s="1"/>
  <c r="AI1653" i="16"/>
  <c r="AJ1653" i="16" s="1"/>
  <c r="AI397" i="16"/>
  <c r="AJ397" i="16" s="1"/>
  <c r="AI2175" i="16"/>
  <c r="AJ2175" i="16" s="1"/>
  <c r="AI2245" i="16"/>
  <c r="AI773" i="16"/>
  <c r="AI1955" i="16"/>
  <c r="AI1256" i="16"/>
  <c r="AI1335" i="16"/>
  <c r="AI137" i="16"/>
  <c r="AJ137" i="16" s="1"/>
  <c r="AI91" i="16"/>
  <c r="AJ91" i="16" s="1"/>
  <c r="AI1625" i="16"/>
  <c r="AI211" i="16"/>
  <c r="AI1558" i="16"/>
  <c r="AI426" i="16"/>
  <c r="AJ426" i="16" s="1"/>
  <c r="AI1143" i="16"/>
  <c r="AI1078" i="16"/>
  <c r="AI2085" i="16"/>
  <c r="AJ2085" i="16" s="1"/>
  <c r="AI2113" i="16"/>
  <c r="AI2173" i="16"/>
  <c r="AJ2173" i="16" s="1"/>
  <c r="AI1452" i="16"/>
  <c r="AI117" i="16"/>
  <c r="AI1578" i="16"/>
  <c r="AI189" i="16"/>
  <c r="AI1255" i="16"/>
  <c r="AI2137" i="16"/>
  <c r="AJ2137" i="16" s="1"/>
  <c r="AI676" i="16"/>
  <c r="AI1330" i="16"/>
  <c r="AI828" i="16"/>
  <c r="AI1927" i="16"/>
  <c r="AI472" i="16"/>
  <c r="AI626" i="16"/>
  <c r="AI777" i="16"/>
  <c r="AJ777" i="16" s="1"/>
  <c r="AI521" i="16"/>
  <c r="AJ521" i="16" s="1"/>
  <c r="AI753" i="16"/>
  <c r="AJ753" i="16" s="1"/>
  <c r="AI1387" i="16"/>
  <c r="AJ1387" i="16" s="1"/>
  <c r="AI1637" i="16"/>
  <c r="AI1138" i="16"/>
  <c r="AI970" i="16"/>
  <c r="AJ970" i="16" s="1"/>
  <c r="AI583" i="16"/>
  <c r="AI1197" i="16"/>
  <c r="AJ1197" i="16" s="1"/>
  <c r="AI2155" i="16"/>
  <c r="AJ2155" i="16" s="1"/>
  <c r="AI205" i="16"/>
  <c r="AJ205" i="16" s="1"/>
  <c r="AI1520" i="16"/>
  <c r="AJ1520" i="16" s="1"/>
  <c r="AI524" i="16"/>
  <c r="AI1992" i="16"/>
  <c r="AI720" i="16"/>
  <c r="AI280" i="16"/>
  <c r="AI1535" i="16"/>
  <c r="AI942" i="16"/>
  <c r="AJ942" i="16" s="1"/>
  <c r="AI1541" i="16"/>
  <c r="AJ1541" i="16" s="1"/>
  <c r="AI332" i="16"/>
  <c r="AJ332" i="16" s="1"/>
  <c r="AI572" i="16"/>
  <c r="AI2168" i="16"/>
  <c r="AI445" i="16"/>
  <c r="AI1501" i="16"/>
  <c r="AI2213" i="16"/>
  <c r="AJ2213" i="16" s="1"/>
  <c r="AI458" i="16"/>
  <c r="AJ458" i="16" s="1"/>
  <c r="AI1079" i="16"/>
  <c r="AI180" i="16"/>
  <c r="AJ180" i="16" s="1"/>
  <c r="AI1636" i="16"/>
  <c r="AI2323" i="16"/>
  <c r="AI1749" i="16"/>
  <c r="AI2037" i="16"/>
  <c r="AI746" i="16"/>
  <c r="AJ746" i="16" s="1"/>
  <c r="AI544" i="16"/>
  <c r="AJ544" i="16" s="1"/>
  <c r="AI567" i="16"/>
  <c r="AJ567" i="16" s="1"/>
  <c r="AI52" i="16"/>
  <c r="AI1833" i="16"/>
  <c r="AI1671" i="16"/>
  <c r="AI2055" i="16"/>
  <c r="AJ2055" i="16" s="1"/>
  <c r="AI1669" i="16"/>
  <c r="AI1672" i="16"/>
  <c r="AJ1672" i="16" s="1"/>
  <c r="AI2197" i="16"/>
  <c r="AJ2197" i="16" s="1"/>
  <c r="AI886" i="16"/>
  <c r="AJ886" i="16" s="1"/>
  <c r="AI1837" i="16"/>
  <c r="AJ1837" i="16" s="1"/>
  <c r="AI2090" i="16"/>
  <c r="AI1958" i="16"/>
  <c r="AI1842" i="16"/>
  <c r="AI825" i="16"/>
  <c r="AI1888" i="16"/>
  <c r="AI966" i="16"/>
  <c r="AJ966" i="16" s="1"/>
  <c r="AI1750" i="16"/>
  <c r="AJ1750" i="16" s="1"/>
  <c r="AI1766" i="16"/>
  <c r="AJ1766" i="16" s="1"/>
  <c r="AI2180" i="16"/>
  <c r="AI2129" i="16"/>
  <c r="AI2032" i="16"/>
  <c r="AI2255" i="16"/>
  <c r="AI1768" i="16"/>
  <c r="AJ1768" i="16" s="1"/>
  <c r="AI457" i="16"/>
  <c r="AJ457" i="16" s="1"/>
  <c r="AI1589" i="16"/>
  <c r="AI2290" i="16"/>
  <c r="AI1720" i="16"/>
  <c r="AI982" i="16"/>
  <c r="AI1118" i="16"/>
  <c r="AJ1118" i="16" s="1"/>
  <c r="AI1346" i="16"/>
  <c r="AI1149" i="16"/>
  <c r="AI459" i="16"/>
  <c r="AJ459" i="16" s="1"/>
  <c r="AI1861" i="16"/>
  <c r="AJ1861" i="16" s="1"/>
  <c r="AI1139" i="16"/>
  <c r="AI1418" i="16"/>
  <c r="AI907" i="16"/>
  <c r="AI2061" i="16"/>
  <c r="AI2165" i="16"/>
  <c r="AI1865" i="16"/>
  <c r="AI364" i="16"/>
  <c r="AJ364" i="16" s="1"/>
  <c r="AI1546" i="16"/>
  <c r="AJ1546" i="16" s="1"/>
  <c r="AI531" i="16"/>
  <c r="AJ531" i="16" s="1"/>
  <c r="AI1570" i="16"/>
  <c r="AI1936" i="16"/>
  <c r="AI1664" i="16"/>
  <c r="AI1572" i="16"/>
  <c r="AI433" i="16"/>
  <c r="AI2176" i="16"/>
  <c r="AJ2176" i="16" s="1"/>
  <c r="AI836" i="16"/>
  <c r="AJ836" i="16" s="1"/>
  <c r="AI2134" i="16"/>
  <c r="AJ2134" i="16" s="1"/>
  <c r="AI1670" i="16"/>
  <c r="AI1086" i="16"/>
  <c r="AI482" i="16"/>
  <c r="AI1881" i="16"/>
  <c r="AI1822" i="16"/>
  <c r="AI1309" i="16"/>
  <c r="AJ1309" i="16" s="1"/>
  <c r="AI222" i="16"/>
  <c r="AJ222" i="16" s="1"/>
  <c r="AI1551" i="16"/>
  <c r="AJ1551" i="16" s="1"/>
  <c r="AI407" i="16"/>
  <c r="AI1561" i="16"/>
  <c r="AI1383" i="16"/>
  <c r="AJ1383" i="16" s="1"/>
  <c r="AI1298" i="16"/>
  <c r="AI1758" i="16"/>
  <c r="AJ1758" i="16" s="1"/>
  <c r="AI1641" i="16"/>
  <c r="AJ1641" i="16" s="1"/>
  <c r="AI1316" i="16"/>
  <c r="AJ1316" i="16" s="1"/>
  <c r="AI258" i="16"/>
  <c r="AJ258" i="16" s="1"/>
  <c r="AI77" i="16"/>
  <c r="AI427" i="16"/>
  <c r="AI1731" i="16"/>
  <c r="AJ1731" i="16" s="1"/>
  <c r="AI276" i="16"/>
  <c r="AI2164" i="16"/>
  <c r="AI1338" i="16"/>
  <c r="AJ1338" i="16" s="1"/>
  <c r="AI2288" i="16"/>
  <c r="AJ2288" i="16" s="1"/>
  <c r="AI1358" i="16"/>
  <c r="AJ1358" i="16" s="1"/>
  <c r="AI1767" i="16"/>
  <c r="AI1896" i="16"/>
  <c r="AI2065" i="16"/>
  <c r="AI967" i="16"/>
  <c r="AI1077" i="16"/>
  <c r="AI1959" i="16"/>
  <c r="AJ1959" i="16" s="1"/>
  <c r="AI1240" i="16"/>
  <c r="AI126" i="16"/>
  <c r="AJ126" i="16" s="1"/>
  <c r="AI2089" i="16"/>
  <c r="AI1259" i="16"/>
  <c r="AI2295" i="16"/>
  <c r="AI2267" i="16"/>
  <c r="AI2099" i="16"/>
  <c r="AI831" i="16"/>
  <c r="AJ831" i="16" s="1"/>
  <c r="AI351" i="16"/>
  <c r="AJ351" i="16" s="1"/>
  <c r="AI218" i="16"/>
  <c r="AJ218" i="16" s="1"/>
  <c r="AI108" i="16"/>
  <c r="AI1324" i="16"/>
  <c r="AI109" i="16"/>
  <c r="AI1869" i="16"/>
  <c r="AI1171" i="16"/>
  <c r="AI1908" i="16"/>
  <c r="AJ1908" i="16" s="1"/>
  <c r="AI479" i="16"/>
  <c r="AI1436" i="16"/>
  <c r="AI28" i="16"/>
  <c r="AI1942" i="16"/>
  <c r="AI430" i="16"/>
  <c r="AI1755" i="16"/>
  <c r="AI500" i="16"/>
  <c r="AI44" i="16"/>
  <c r="AJ44" i="16" s="1"/>
  <c r="AI2034" i="16"/>
  <c r="AI2236" i="16"/>
  <c r="AI667" i="16"/>
  <c r="AI717" i="16"/>
  <c r="AI451" i="16"/>
  <c r="AJ451" i="16" s="1"/>
  <c r="AI1986" i="16"/>
  <c r="AI1901" i="16"/>
  <c r="AI370" i="16"/>
  <c r="AJ370" i="16" s="1"/>
  <c r="AI1075" i="16"/>
  <c r="AJ1075" i="16" s="1"/>
  <c r="AI779" i="16"/>
  <c r="AI1725" i="16"/>
  <c r="AI1105" i="16"/>
  <c r="AI1504" i="16"/>
  <c r="AI287" i="16"/>
  <c r="AI1286" i="16"/>
  <c r="AI796" i="16"/>
  <c r="AJ796" i="16" s="1"/>
  <c r="AI1864" i="16"/>
  <c r="AJ1864" i="16" s="1"/>
  <c r="AI759" i="16"/>
  <c r="AI1011" i="16"/>
  <c r="AI1660" i="16"/>
  <c r="AI728" i="16"/>
  <c r="AI2331" i="16"/>
  <c r="AI2198" i="16"/>
  <c r="AI379" i="16"/>
  <c r="AJ379" i="16" s="1"/>
  <c r="AI303" i="16"/>
  <c r="AJ303" i="16" s="1"/>
  <c r="AI2002" i="16"/>
  <c r="AJ2002" i="16" s="1"/>
  <c r="AI846" i="16"/>
  <c r="AI1764" i="16"/>
  <c r="AI120" i="16"/>
  <c r="AI1816" i="16"/>
  <c r="AI540" i="16"/>
  <c r="AI1207" i="16"/>
  <c r="AI1778" i="16"/>
  <c r="AJ1778" i="16" s="1"/>
  <c r="AI1949" i="16"/>
  <c r="AJ1949" i="16" s="1"/>
  <c r="AI43" i="16"/>
  <c r="AI1063" i="16"/>
  <c r="AI415" i="16"/>
  <c r="AI1211" i="16"/>
  <c r="AI1662" i="16"/>
  <c r="AJ1662" i="16" s="1"/>
  <c r="AI1267" i="16"/>
  <c r="AJ1267" i="16" s="1"/>
  <c r="AI723" i="16"/>
  <c r="AJ723" i="16" s="1"/>
  <c r="AI1024" i="16"/>
  <c r="AI1268" i="16"/>
  <c r="AI1354" i="16"/>
  <c r="AI1815" i="16"/>
  <c r="AJ1815" i="16" s="1"/>
  <c r="AI781" i="16"/>
  <c r="AI2262" i="16"/>
  <c r="AJ2262" i="16" s="1"/>
  <c r="AI2233" i="16"/>
  <c r="AJ2233" i="16" s="1"/>
  <c r="AI2044" i="16"/>
  <c r="AJ2044" i="16" s="1"/>
  <c r="AI14" i="16"/>
  <c r="AJ14" i="16" s="1"/>
  <c r="AI731" i="16"/>
  <c r="AI1692" i="16"/>
  <c r="AI2221" i="16"/>
  <c r="AI1472" i="16"/>
  <c r="AI736" i="16"/>
  <c r="AJ736" i="16" s="1"/>
  <c r="AI858" i="16"/>
  <c r="AJ858" i="16" s="1"/>
  <c r="AI537" i="16"/>
  <c r="AJ537" i="16" s="1"/>
  <c r="AI2225" i="16"/>
  <c r="AJ2225" i="16" s="1"/>
  <c r="AI2018" i="16"/>
  <c r="AI1871" i="16"/>
  <c r="AI1410" i="16"/>
  <c r="AJ1410" i="16" s="1"/>
  <c r="AI1529" i="16"/>
  <c r="AI1633" i="16"/>
  <c r="AI1115" i="16"/>
  <c r="AJ1115" i="16" s="1"/>
  <c r="AI894" i="16"/>
  <c r="AJ894" i="16" s="1"/>
  <c r="AI664" i="16"/>
  <c r="AI298" i="16"/>
  <c r="AJ298" i="16" s="1"/>
  <c r="AI962" i="16"/>
  <c r="AI1295" i="16"/>
  <c r="AJ1295" i="16" s="1"/>
  <c r="AI1315" i="16"/>
  <c r="AI1862" i="16"/>
  <c r="AJ1862" i="16" s="1"/>
  <c r="AI1810" i="16"/>
  <c r="AJ1810" i="16" s="1"/>
  <c r="AI1487" i="16"/>
  <c r="AJ1487" i="16" s="1"/>
  <c r="AI766" i="16"/>
  <c r="AJ766" i="16" s="1"/>
  <c r="AI1644" i="16"/>
  <c r="AI1947" i="16"/>
  <c r="AI791" i="16"/>
  <c r="AJ791" i="16" s="1"/>
  <c r="AI2278" i="16"/>
  <c r="AI1248" i="16"/>
  <c r="AJ1248" i="16" s="1"/>
  <c r="AI616" i="16"/>
  <c r="AJ616" i="16" s="1"/>
  <c r="AI1026" i="16"/>
  <c r="AJ1026" i="16" s="1"/>
  <c r="AI916" i="16"/>
  <c r="AI2157" i="16"/>
  <c r="AI2313" i="16"/>
  <c r="AI855" i="16"/>
  <c r="AJ855" i="16" s="1"/>
  <c r="AI1462" i="16"/>
  <c r="AI775" i="16"/>
  <c r="AJ775" i="16" s="1"/>
  <c r="AI405" i="16"/>
  <c r="AJ405" i="16" s="1"/>
  <c r="AI760" i="16"/>
  <c r="AJ760" i="16" s="1"/>
  <c r="AI1583" i="16"/>
  <c r="AJ1583" i="16" s="1"/>
  <c r="AI2293" i="16"/>
  <c r="AI817" i="16"/>
  <c r="AI606" i="16"/>
  <c r="AI54" i="16"/>
  <c r="AI2241" i="16"/>
  <c r="AJ2241" i="16" s="1"/>
  <c r="AI404" i="16"/>
  <c r="AJ404" i="16" s="1"/>
  <c r="AI136" i="16"/>
  <c r="AJ136" i="16" s="1"/>
  <c r="AI979" i="16"/>
  <c r="AJ979" i="16" s="1"/>
  <c r="AI1252" i="16"/>
  <c r="AI2171" i="16"/>
  <c r="AI541" i="16"/>
  <c r="AJ541" i="16" s="1"/>
  <c r="AI2300" i="16"/>
  <c r="AI1221" i="16"/>
  <c r="AJ1221" i="16" s="1"/>
  <c r="AI2047" i="16"/>
  <c r="AJ2047" i="16" s="1"/>
  <c r="AI1323" i="16"/>
  <c r="AJ1323" i="16" s="1"/>
  <c r="AI1828" i="16"/>
  <c r="AJ1828" i="16" s="1"/>
  <c r="AI1098" i="16"/>
  <c r="AI68" i="16"/>
  <c r="AI1873" i="16"/>
  <c r="AJ1873" i="16" s="1"/>
  <c r="AI446" i="16"/>
  <c r="AI2098" i="16"/>
  <c r="AI576" i="16"/>
  <c r="AJ576" i="16" s="1"/>
  <c r="AI1819" i="16"/>
  <c r="AJ1819" i="16" s="1"/>
  <c r="AI965" i="16"/>
  <c r="AJ965" i="16" s="1"/>
  <c r="AI369" i="16"/>
  <c r="AI1939" i="16"/>
  <c r="AI2029" i="16"/>
  <c r="AI171" i="16"/>
  <c r="AI835" i="16"/>
  <c r="AI577" i="16"/>
  <c r="AJ577" i="16" s="1"/>
  <c r="AI2131" i="16"/>
  <c r="AJ2131" i="16" s="1"/>
  <c r="AI2028" i="16"/>
  <c r="AJ2028" i="16" s="1"/>
  <c r="AI1549" i="16"/>
  <c r="AI990" i="16"/>
  <c r="AI663" i="16"/>
  <c r="AJ663" i="16" s="1"/>
  <c r="AI377" i="16"/>
  <c r="AI1480" i="16"/>
  <c r="AJ1480" i="16" s="1"/>
  <c r="AI1305" i="16"/>
  <c r="AJ1305" i="16" s="1"/>
  <c r="AI1276" i="16"/>
  <c r="AJ1276" i="16" s="1"/>
  <c r="AI1393" i="16"/>
  <c r="AJ1393" i="16" s="1"/>
  <c r="AI1054" i="16"/>
  <c r="AI1857" i="16"/>
  <c r="AI1263" i="16"/>
  <c r="AI1116" i="16"/>
  <c r="AI656" i="16"/>
  <c r="AI598" i="16"/>
  <c r="AJ598" i="16" s="1"/>
  <c r="AI2181" i="16"/>
  <c r="AJ2181" i="16" s="1"/>
  <c r="AI1368" i="16"/>
  <c r="AI963" i="16"/>
  <c r="AI1911" i="16"/>
  <c r="AJ1911" i="16" s="1"/>
  <c r="AI2087" i="16"/>
  <c r="AJ2087" i="16" s="1"/>
  <c r="AI902" i="16"/>
  <c r="AJ902" i="16" s="1"/>
  <c r="AI88" i="16"/>
  <c r="AJ88" i="16" s="1"/>
  <c r="AI354" i="16"/>
  <c r="AJ354" i="16" s="1"/>
  <c r="AI901" i="16"/>
  <c r="AJ901" i="16" s="1"/>
  <c r="AI310" i="16"/>
  <c r="AJ310" i="16" s="1"/>
  <c r="AI104" i="16"/>
  <c r="AJ104" i="16" s="1"/>
  <c r="AI1620" i="16"/>
  <c r="AJ1620" i="16" s="1"/>
  <c r="AI152" i="16"/>
  <c r="AJ152" i="16" s="1"/>
  <c r="AI725" i="16"/>
  <c r="AJ725" i="16" s="1"/>
  <c r="AI2062" i="16"/>
  <c r="AJ2062" i="16" s="1"/>
  <c r="AI2259" i="16"/>
  <c r="AJ2259" i="16" s="1"/>
  <c r="AI869" i="16"/>
  <c r="AJ869" i="16" s="1"/>
  <c r="AI743" i="16"/>
  <c r="AJ743" i="16" s="1"/>
  <c r="AI2080" i="16"/>
  <c r="AJ2080" i="16" s="1"/>
  <c r="AI2141" i="16"/>
  <c r="AJ2141" i="16" s="1"/>
  <c r="AI1089" i="16"/>
  <c r="AJ1089" i="16" s="1"/>
  <c r="AI584" i="16"/>
  <c r="AJ584" i="16" s="1"/>
  <c r="AI2023" i="16"/>
  <c r="AJ2023" i="16" s="1"/>
  <c r="AI1165" i="16"/>
  <c r="AJ1165" i="16" s="1"/>
  <c r="AI1666" i="16"/>
  <c r="AJ1666" i="16" s="1"/>
  <c r="AI915" i="16"/>
  <c r="AJ915" i="16" s="1"/>
  <c r="AI1407" i="16"/>
  <c r="AJ1407" i="16" s="1"/>
  <c r="AI1895" i="16"/>
  <c r="AJ1895" i="16" s="1"/>
  <c r="AI912" i="16"/>
  <c r="AJ912" i="16" s="1"/>
  <c r="AI240" i="16"/>
  <c r="AJ240" i="16" s="1"/>
  <c r="AI2254" i="16"/>
  <c r="AJ2254" i="16" s="1"/>
  <c r="AI653" i="16"/>
  <c r="AJ653" i="16" s="1"/>
  <c r="AI1618" i="16"/>
  <c r="AJ1618" i="16" s="1"/>
  <c r="AI1710" i="16"/>
  <c r="AJ1710" i="16" s="1"/>
  <c r="AI195" i="16"/>
  <c r="AJ195" i="16" s="1"/>
  <c r="AI2240" i="16"/>
  <c r="AJ2240" i="16" s="1"/>
  <c r="AI1028" i="16"/>
  <c r="AJ1028" i="16" s="1"/>
  <c r="AI20" i="16"/>
  <c r="AJ20" i="16" s="1"/>
  <c r="AI931" i="16"/>
  <c r="AJ931" i="16" s="1"/>
  <c r="AI1021" i="16"/>
  <c r="AJ1021" i="16" s="1"/>
  <c r="AI26" i="16"/>
  <c r="AJ26" i="16" s="1"/>
  <c r="AI111" i="16"/>
  <c r="AJ111" i="16" s="1"/>
  <c r="AI2128" i="16"/>
  <c r="AJ2128" i="16" s="1"/>
  <c r="AI390" i="16"/>
  <c r="AJ390" i="16" s="1"/>
  <c r="AI778" i="16"/>
  <c r="AJ778" i="16" s="1"/>
  <c r="AI1512" i="16"/>
  <c r="AJ1512" i="16" s="1"/>
  <c r="AI704" i="16"/>
  <c r="AJ704" i="16" s="1"/>
  <c r="AI621" i="16"/>
  <c r="AJ621" i="16" s="1"/>
  <c r="AI1977" i="16"/>
  <c r="AJ1977" i="16" s="1"/>
  <c r="AI2038" i="16"/>
  <c r="AJ2038" i="16" s="1"/>
  <c r="AI1756" i="16"/>
  <c r="AJ1756" i="16" s="1"/>
  <c r="AI213" i="16"/>
  <c r="AJ213" i="16" s="1"/>
  <c r="AI2052" i="16"/>
  <c r="AJ2052" i="16" s="1"/>
  <c r="AI210" i="16"/>
  <c r="AJ210" i="16" s="1"/>
  <c r="AI389" i="16"/>
  <c r="AJ389" i="16" s="1"/>
  <c r="AI666" i="16"/>
  <c r="AJ666" i="16" s="1"/>
  <c r="AI1919" i="16"/>
  <c r="AJ1919" i="16" s="1"/>
  <c r="AI1169" i="16"/>
  <c r="AJ1169" i="16" s="1"/>
  <c r="AI1665" i="16"/>
  <c r="AJ1665" i="16" s="1"/>
  <c r="AI516" i="16"/>
  <c r="AJ516" i="16" s="1"/>
  <c r="AI1938" i="16"/>
  <c r="AJ1938" i="16" s="1"/>
  <c r="AI1563" i="16"/>
  <c r="AJ1563" i="16" s="1"/>
  <c r="AI1313" i="16"/>
  <c r="AJ1313" i="16" s="1"/>
  <c r="AI103" i="16"/>
  <c r="AJ103" i="16" s="1"/>
  <c r="AI115" i="16"/>
  <c r="AJ115" i="16" s="1"/>
  <c r="AI314" i="16"/>
  <c r="AJ314" i="16" s="1"/>
  <c r="AI1989" i="16"/>
  <c r="AJ1989" i="16" s="1"/>
  <c r="AI2251" i="16"/>
  <c r="AJ2251" i="16" s="1"/>
  <c r="AI1537" i="16"/>
  <c r="AJ1537" i="16" s="1"/>
  <c r="AI1150" i="16"/>
  <c r="AJ1150" i="16" s="1"/>
  <c r="AI1193" i="16"/>
  <c r="AJ1193" i="16" s="1"/>
  <c r="AI1370" i="16"/>
  <c r="AJ1370" i="16" s="1"/>
  <c r="AI1459" i="16"/>
  <c r="AJ1459" i="16" s="1"/>
  <c r="AI1805" i="16"/>
  <c r="AJ1805" i="16" s="1"/>
  <c r="AI1513" i="16"/>
  <c r="AJ1513" i="16" s="1"/>
  <c r="AI697" i="16"/>
  <c r="AJ697" i="16" s="1"/>
  <c r="AI974" i="16"/>
  <c r="AJ974" i="16" s="1"/>
  <c r="AI991" i="16"/>
  <c r="AJ991" i="16" s="1"/>
  <c r="AI1973" i="16"/>
  <c r="AJ1973" i="16" s="1"/>
  <c r="AI870" i="16"/>
  <c r="AJ870" i="16" s="1"/>
  <c r="AI41" i="16"/>
  <c r="AJ41" i="16" s="1"/>
  <c r="AI1376" i="16"/>
  <c r="AJ1376" i="16" s="1"/>
  <c r="AI294" i="16"/>
  <c r="AJ294" i="16" s="1"/>
  <c r="AI2243" i="16"/>
  <c r="AJ2243" i="16" s="1"/>
  <c r="AI1840" i="16"/>
  <c r="AJ1840" i="16" s="1"/>
  <c r="AI772" i="16"/>
  <c r="AJ772" i="16" s="1"/>
  <c r="AI1400" i="16"/>
  <c r="AJ1400" i="16" s="1"/>
  <c r="AI1516" i="16"/>
  <c r="AJ1516" i="16" s="1"/>
  <c r="AI648" i="16"/>
  <c r="AJ648" i="16" s="1"/>
  <c r="AI1218" i="16"/>
  <c r="AJ1218" i="16" s="1"/>
  <c r="AI1473" i="16"/>
  <c r="AJ1473" i="16" s="1"/>
  <c r="AI269" i="16"/>
  <c r="AJ269" i="16" s="1"/>
  <c r="AI6" i="16"/>
  <c r="AJ6" i="16" s="1"/>
  <c r="AI1108" i="16"/>
  <c r="AJ1108" i="16" s="1"/>
  <c r="AI716" i="16"/>
  <c r="AJ716" i="16" s="1"/>
  <c r="AI321" i="16"/>
  <c r="AJ321" i="16" s="1"/>
  <c r="AI1543" i="16"/>
  <c r="AJ1543" i="16" s="1"/>
  <c r="AI719" i="16"/>
  <c r="AJ719" i="16" s="1"/>
  <c r="AI39" i="16"/>
  <c r="AJ39" i="16" s="1"/>
  <c r="AI2132" i="16"/>
  <c r="AJ2132" i="16" s="1"/>
  <c r="AI252" i="16"/>
  <c r="AJ252" i="16" s="1"/>
  <c r="AI1717" i="16"/>
  <c r="AJ1717" i="16" s="1"/>
  <c r="AI953" i="16"/>
  <c r="AJ953" i="16" s="1"/>
  <c r="AI259" i="16"/>
  <c r="AJ259" i="16" s="1"/>
  <c r="AI1200" i="16"/>
  <c r="AJ1200" i="16" s="1"/>
  <c r="AI478" i="16"/>
  <c r="AJ478" i="16" s="1"/>
  <c r="AJ1679" i="16"/>
  <c r="AJ2100" i="16"/>
  <c r="AI484" i="16"/>
  <c r="AJ484" i="16" s="1"/>
  <c r="AI490" i="16"/>
  <c r="AJ490" i="16" s="1"/>
  <c r="AI130" i="16"/>
  <c r="AJ130" i="16" s="1"/>
  <c r="AI1998" i="16"/>
  <c r="AJ1998" i="16" s="1"/>
  <c r="AI976" i="16"/>
  <c r="AJ976" i="16" s="1"/>
  <c r="AI601" i="16"/>
  <c r="AJ601" i="16" s="1"/>
  <c r="AI1356" i="16"/>
  <c r="AJ1356" i="16" s="1"/>
  <c r="AI1041" i="16"/>
  <c r="AJ1041" i="16" s="1"/>
  <c r="AI157" i="16"/>
  <c r="AJ157" i="16" s="1"/>
  <c r="AI422" i="16"/>
  <c r="AJ422" i="16" s="1"/>
  <c r="AI1398" i="16"/>
  <c r="AJ1398" i="16" s="1"/>
  <c r="AI198" i="16"/>
  <c r="AJ198" i="16" s="1"/>
  <c r="AI1545" i="16"/>
  <c r="AJ1545" i="16" s="1"/>
  <c r="AI212" i="16"/>
  <c r="AJ212" i="16" s="1"/>
  <c r="AI1788" i="16"/>
  <c r="AJ1788" i="16" s="1"/>
  <c r="AI1489" i="16"/>
  <c r="AJ1489" i="16" s="1"/>
  <c r="AI2051" i="16"/>
  <c r="AJ2051" i="16" s="1"/>
  <c r="AI1152" i="16"/>
  <c r="AJ1152" i="16" s="1"/>
  <c r="AI1902" i="16"/>
  <c r="AJ1902" i="16" s="1"/>
  <c r="AI1591" i="16"/>
  <c r="AJ1591" i="16" s="1"/>
  <c r="AI2327" i="16"/>
  <c r="AJ2327" i="16" s="1"/>
  <c r="AI2086" i="16"/>
  <c r="AJ2086" i="16" s="1"/>
  <c r="AI714" i="16"/>
  <c r="AJ714" i="16" s="1"/>
  <c r="AI1020" i="16"/>
  <c r="AJ1020" i="16" s="1"/>
  <c r="AI125" i="16"/>
  <c r="AJ125" i="16" s="1"/>
  <c r="AI701" i="16"/>
  <c r="AJ701" i="16" s="1"/>
  <c r="AI261" i="16"/>
  <c r="AJ261" i="16" s="1"/>
  <c r="AI1451" i="16"/>
  <c r="AJ1451" i="16" s="1"/>
  <c r="AI978" i="16"/>
  <c r="AJ978" i="16" s="1"/>
  <c r="AI1951" i="16"/>
  <c r="AJ1951" i="16" s="1"/>
  <c r="AI1809" i="16"/>
  <c r="AJ1809" i="16" s="1"/>
  <c r="AI927" i="16"/>
  <c r="AJ927" i="16" s="1"/>
  <c r="AI437" i="16"/>
  <c r="AJ437" i="16" s="1"/>
  <c r="AI1590" i="16"/>
  <c r="AJ1590" i="16" s="1"/>
  <c r="AI880" i="16"/>
  <c r="AJ880" i="16" s="1"/>
  <c r="AI1898" i="16"/>
  <c r="AJ1898" i="16" s="1"/>
  <c r="AI1250" i="16"/>
  <c r="AJ1250" i="16" s="1"/>
  <c r="AI1648" i="16"/>
  <c r="AJ1648" i="16" s="1"/>
  <c r="AI780" i="16"/>
  <c r="AJ780" i="16" s="1"/>
  <c r="AI1843" i="16"/>
  <c r="AJ1843" i="16" s="1"/>
  <c r="AI11" i="16"/>
  <c r="AJ11" i="16" s="1"/>
  <c r="AI1599" i="16"/>
  <c r="AJ1599" i="16" s="1"/>
  <c r="AI1189" i="16"/>
  <c r="AJ1189" i="16" s="1"/>
  <c r="AI1247" i="16"/>
  <c r="AJ1247" i="16" s="1"/>
  <c r="AI448" i="16"/>
  <c r="AJ448" i="16" s="1"/>
  <c r="AI2326" i="16"/>
  <c r="AJ2326" i="16" s="1"/>
  <c r="AI651" i="16"/>
  <c r="AJ651" i="16" s="1"/>
  <c r="AI1674" i="16"/>
  <c r="AJ1674" i="16" s="1"/>
  <c r="AI2215" i="16"/>
  <c r="AJ2215" i="16" s="1"/>
  <c r="AI2296" i="16"/>
  <c r="AJ2296" i="16" s="1"/>
  <c r="AI824" i="16"/>
  <c r="AJ824" i="16" s="1"/>
  <c r="AI1482" i="16"/>
  <c r="AJ1482" i="16" s="1"/>
  <c r="AI196" i="16"/>
  <c r="AJ196" i="16" s="1"/>
  <c r="AI602" i="16"/>
  <c r="AJ602" i="16" s="1"/>
  <c r="AI1800" i="16"/>
  <c r="AJ1800" i="16" s="1"/>
  <c r="AI594" i="16"/>
  <c r="AJ594" i="16" s="1"/>
  <c r="AI1375" i="16"/>
  <c r="AJ1375" i="16" s="1"/>
  <c r="AI1526" i="16"/>
  <c r="AJ1526" i="16" s="1"/>
  <c r="AI2292" i="16"/>
  <c r="AJ2292" i="16" s="1"/>
  <c r="AI1579" i="16"/>
  <c r="AJ1579" i="16" s="1"/>
  <c r="AI1697" i="16"/>
  <c r="AJ1697" i="16" s="1"/>
  <c r="AI677" i="16"/>
  <c r="AJ677" i="16" s="1"/>
  <c r="AI425" i="16"/>
  <c r="AJ425" i="16" s="1"/>
  <c r="AI1274" i="16"/>
  <c r="AJ1274" i="16" s="1"/>
  <c r="AI867" i="16"/>
  <c r="AJ867" i="16" s="1"/>
  <c r="AI220" i="16"/>
  <c r="AJ220" i="16" s="1"/>
  <c r="AI188" i="16"/>
  <c r="AJ188" i="16" s="1"/>
  <c r="AI140" i="16"/>
  <c r="AJ140" i="16" s="1"/>
  <c r="AI1052" i="16"/>
  <c r="AJ1052" i="16" s="1"/>
  <c r="AI1380" i="16"/>
  <c r="AJ1380" i="16" s="1"/>
  <c r="AI2016" i="16"/>
  <c r="AJ2016" i="16" s="1"/>
  <c r="AI107" i="16"/>
  <c r="AJ107" i="16" s="1"/>
  <c r="AI592" i="16"/>
  <c r="AJ592" i="16" s="1"/>
  <c r="AI981" i="16"/>
  <c r="AJ981" i="16" s="1"/>
  <c r="AI878" i="16"/>
  <c r="AJ878" i="16" s="1"/>
  <c r="AI36" i="16"/>
  <c r="AJ36" i="16" s="1"/>
  <c r="AI2269" i="16"/>
  <c r="AJ2269" i="16" s="1"/>
  <c r="AI2117" i="16"/>
  <c r="AJ2117" i="16" s="1"/>
  <c r="AI1917" i="16"/>
  <c r="AJ1917" i="16" s="1"/>
  <c r="AI1687" i="16"/>
  <c r="AJ1687" i="16" s="1"/>
  <c r="AI952" i="16"/>
  <c r="AJ952" i="16" s="1"/>
  <c r="AI619" i="16"/>
  <c r="AJ619" i="16" s="1"/>
  <c r="AI709" i="16"/>
  <c r="AJ709" i="16" s="1"/>
  <c r="AI1652" i="16"/>
  <c r="AJ1652" i="16" s="1"/>
  <c r="AI2217" i="16"/>
  <c r="AJ2217" i="16" s="1"/>
  <c r="AI1224" i="16"/>
  <c r="AJ1224" i="16" s="1"/>
  <c r="AI2308" i="16"/>
  <c r="AJ2308" i="16" s="1"/>
  <c r="AI874" i="16"/>
  <c r="AJ874" i="16" s="1"/>
  <c r="AI1854" i="16"/>
  <c r="AJ1854" i="16" s="1"/>
  <c r="AI1912" i="16"/>
  <c r="AJ1912" i="16" s="1"/>
  <c r="AI657" i="16"/>
  <c r="AJ657" i="16" s="1"/>
  <c r="AI2082" i="16"/>
  <c r="AJ2082" i="16" s="1"/>
  <c r="AI2125" i="16"/>
  <c r="AJ2125" i="16" s="1"/>
  <c r="AI984" i="16"/>
  <c r="AJ984" i="16" s="1"/>
  <c r="AI1074" i="16"/>
  <c r="AJ1074" i="16" s="1"/>
  <c r="AI1532" i="16"/>
  <c r="AJ1532" i="16" s="1"/>
  <c r="AI1381" i="16"/>
  <c r="AJ1381" i="16" s="1"/>
  <c r="AI819" i="16"/>
  <c r="AJ819" i="16" s="1"/>
  <c r="AI1269" i="16"/>
  <c r="AJ1269" i="16" s="1"/>
  <c r="AI715" i="16"/>
  <c r="AJ715" i="16" s="1"/>
  <c r="AI1308" i="16"/>
  <c r="AJ1308" i="16" s="1"/>
  <c r="AI558" i="16"/>
  <c r="AJ558" i="16" s="1"/>
  <c r="AI614" i="16"/>
  <c r="AJ614" i="16" s="1"/>
  <c r="AI905" i="16"/>
  <c r="AJ905" i="16" s="1"/>
  <c r="AI1870" i="16"/>
  <c r="AJ1870" i="16" s="1"/>
  <c r="AI860" i="16"/>
  <c r="AJ860" i="16" s="1"/>
  <c r="AI2017" i="16"/>
  <c r="AJ2017" i="16" s="1"/>
  <c r="AI1597" i="16"/>
  <c r="AJ1597" i="16" s="1"/>
  <c r="AI1990" i="16"/>
  <c r="AJ1990" i="16" s="1"/>
  <c r="AI2333" i="16"/>
  <c r="AJ2333" i="16" s="1"/>
  <c r="AI179" i="16"/>
  <c r="AJ179" i="16" s="1"/>
  <c r="AI833" i="16"/>
  <c r="AJ833" i="16" s="1"/>
  <c r="AI1518" i="16"/>
  <c r="AJ1518" i="16" s="1"/>
  <c r="AI2203" i="16"/>
  <c r="AJ2203" i="16" s="1"/>
  <c r="AI1624" i="16"/>
  <c r="AJ1624" i="16" s="1"/>
  <c r="AI2260" i="16"/>
  <c r="AJ2260" i="16" s="1"/>
  <c r="AI1830" i="16"/>
  <c r="AJ1830" i="16" s="1"/>
  <c r="AI1265" i="16"/>
  <c r="AJ1265" i="16" s="1"/>
  <c r="AI1156" i="16"/>
  <c r="AJ1156" i="16" s="1"/>
  <c r="AI1963" i="16"/>
  <c r="AJ1963" i="16" s="1"/>
  <c r="AI646" i="16"/>
  <c r="AJ646" i="16" s="1"/>
  <c r="AI1831" i="16"/>
  <c r="AJ1831" i="16" s="1"/>
  <c r="AI2162" i="16"/>
  <c r="AJ2162" i="16" s="1"/>
  <c r="AI246" i="16"/>
  <c r="AJ246" i="16" s="1"/>
  <c r="AI470" i="16"/>
  <c r="AJ470" i="16" s="1"/>
  <c r="AI243" i="16"/>
  <c r="AJ243" i="16" s="1"/>
  <c r="AI917" i="16"/>
  <c r="AJ917" i="16" s="1"/>
  <c r="AI1379" i="16"/>
  <c r="AJ1379" i="16" s="1"/>
  <c r="AI215" i="16"/>
  <c r="AJ215" i="16" s="1"/>
  <c r="AI1686" i="16"/>
  <c r="AJ1686" i="16" s="1"/>
  <c r="AI801" i="16"/>
  <c r="AJ801" i="16" s="1"/>
  <c r="AI2276" i="16"/>
  <c r="AJ2276" i="16" s="1"/>
  <c r="AI173" i="16"/>
  <c r="AJ173" i="16" s="1"/>
  <c r="AI230" i="16"/>
  <c r="AJ230" i="16" s="1"/>
  <c r="AI1420" i="16"/>
  <c r="AJ1420" i="16" s="1"/>
  <c r="AI1795" i="16"/>
  <c r="AJ1795" i="16" s="1"/>
  <c r="AI1092" i="16"/>
  <c r="AJ1092" i="16" s="1"/>
  <c r="AI1705" i="16"/>
  <c r="AJ1705" i="16" s="1"/>
  <c r="AI1820" i="16"/>
  <c r="AJ1820" i="16" s="1"/>
  <c r="AI2263" i="16"/>
  <c r="AJ2263" i="16" s="1"/>
  <c r="AI1429" i="16"/>
  <c r="AJ1429" i="16" s="1"/>
  <c r="AI208" i="16"/>
  <c r="AJ208" i="16" s="1"/>
  <c r="AI1889" i="16"/>
  <c r="AJ1889" i="16" s="1"/>
  <c r="AI1461" i="16"/>
  <c r="AJ1461" i="16" s="1"/>
  <c r="AI515" i="16"/>
  <c r="AJ515" i="16" s="1"/>
  <c r="AI1369" i="16"/>
  <c r="AJ1369" i="16" s="1"/>
  <c r="AI1698" i="16"/>
  <c r="AJ1698" i="16" s="1"/>
  <c r="AI678" i="16"/>
  <c r="AJ678" i="16" s="1"/>
  <c r="AI2205" i="16"/>
  <c r="AJ2205" i="16" s="1"/>
  <c r="AI935" i="16"/>
  <c r="AJ935" i="16" s="1"/>
  <c r="AI1916" i="16"/>
  <c r="AJ1916" i="16" s="1"/>
  <c r="AI914" i="16"/>
  <c r="AJ914" i="16" s="1"/>
  <c r="AI812" i="16"/>
  <c r="AJ812" i="16" s="1"/>
  <c r="AI234" i="16"/>
  <c r="AJ234" i="16" s="1"/>
  <c r="AI2025" i="16"/>
  <c r="AJ2025" i="16" s="1"/>
  <c r="AI532" i="16"/>
  <c r="AJ532" i="16" s="1"/>
  <c r="AI1982" i="16"/>
  <c r="AJ1982" i="16" s="1"/>
  <c r="AI1243" i="16"/>
  <c r="AI1751" i="16"/>
  <c r="AJ1751" i="16" s="1"/>
  <c r="AJ276" i="16"/>
  <c r="AI1654" i="16"/>
  <c r="AJ1654" i="16" s="1"/>
  <c r="AJ1291" i="16"/>
  <c r="AI2004" i="16"/>
  <c r="AJ2004" i="16" s="1"/>
  <c r="AI691" i="16"/>
  <c r="AJ691" i="16" s="1"/>
  <c r="AI560" i="16"/>
  <c r="AJ560" i="16" s="1"/>
  <c r="AI1341" i="16"/>
  <c r="AJ1341" i="16" s="1"/>
  <c r="AI943" i="16"/>
  <c r="AJ943" i="16" s="1"/>
  <c r="AI1605" i="16"/>
  <c r="AJ1605" i="16" s="1"/>
  <c r="AI1244" i="16"/>
  <c r="AJ1244" i="16" s="1"/>
  <c r="AI1351" i="16"/>
  <c r="AJ1351" i="16" s="1"/>
  <c r="AI1846" i="16"/>
  <c r="AJ1846" i="16" s="1"/>
  <c r="AI884" i="16"/>
  <c r="AJ884" i="16" s="1"/>
  <c r="AI2201" i="16"/>
  <c r="AJ2201" i="16" s="1"/>
  <c r="AI1438" i="16"/>
  <c r="AJ1438" i="16" s="1"/>
  <c r="AI274" i="16"/>
  <c r="AJ274" i="16" s="1"/>
  <c r="AI1789" i="16"/>
  <c r="AJ1789" i="16" s="1"/>
  <c r="AI1004" i="16"/>
  <c r="AJ1004" i="16" s="1"/>
  <c r="AI144" i="16"/>
  <c r="AJ144" i="16" s="1"/>
  <c r="AI1619" i="16"/>
  <c r="AJ1619" i="16" s="1"/>
  <c r="AI1550" i="16"/>
  <c r="AJ1550" i="16" s="1"/>
  <c r="AI2094" i="16"/>
  <c r="AJ2094" i="16" s="1"/>
  <c r="AI1997" i="16"/>
  <c r="AJ1997" i="16" s="1"/>
  <c r="AI1337" i="16"/>
  <c r="AJ1337" i="16" s="1"/>
  <c r="AI67" i="16"/>
  <c r="AJ67" i="16" s="1"/>
  <c r="AI539" i="16"/>
  <c r="AJ539" i="16" s="1"/>
  <c r="AI1721" i="16"/>
  <c r="AJ1721" i="16" s="1"/>
  <c r="AI575" i="16"/>
  <c r="AJ575" i="16" s="1"/>
  <c r="AI1088" i="16"/>
  <c r="AJ1088" i="16" s="1"/>
  <c r="AI2003" i="16"/>
  <c r="AJ2003" i="16" s="1"/>
  <c r="AI1609" i="16"/>
  <c r="AJ1609" i="16" s="1"/>
  <c r="AI625" i="16"/>
  <c r="AJ625" i="16" s="1"/>
  <c r="AI98" i="16"/>
  <c r="AJ98" i="16" s="1"/>
  <c r="AI503" i="16"/>
  <c r="AJ503" i="16" s="1"/>
  <c r="AI1972" i="16"/>
  <c r="AJ1972" i="16" s="1"/>
  <c r="AI2274" i="16"/>
  <c r="AJ2274" i="16" s="1"/>
  <c r="AI1114" i="16"/>
  <c r="AJ1114" i="16" s="1"/>
  <c r="AI1681" i="16"/>
  <c r="AJ1681" i="16" s="1"/>
  <c r="AI1845" i="16"/>
  <c r="AJ1845" i="16" s="1"/>
  <c r="AI1257" i="16"/>
  <c r="AJ1257" i="16" s="1"/>
  <c r="AI805" i="16"/>
  <c r="AJ805" i="16" s="1"/>
  <c r="AI1056" i="16"/>
  <c r="AJ1056" i="16" s="1"/>
  <c r="AI1771" i="16"/>
  <c r="AJ1771" i="16" s="1"/>
  <c r="AI1025" i="16"/>
  <c r="AJ1025" i="16" s="1"/>
  <c r="AI1389" i="16"/>
  <c r="AJ1389" i="16" s="1"/>
  <c r="AI2321" i="16"/>
  <c r="AJ2321" i="16" s="1"/>
  <c r="AI245" i="16"/>
  <c r="AJ245" i="16" s="1"/>
  <c r="AI519" i="16"/>
  <c r="AJ519" i="16" s="1"/>
  <c r="AI1909" i="16"/>
  <c r="AJ1909" i="16" s="1"/>
  <c r="AI1974" i="16"/>
  <c r="AJ1974" i="16" s="1"/>
  <c r="AI919" i="16"/>
  <c r="AJ919" i="16" s="1"/>
  <c r="AI518" i="16"/>
  <c r="AJ518" i="16" s="1"/>
  <c r="AI1943" i="16"/>
  <c r="AJ1943" i="16" s="1"/>
  <c r="AI1617" i="16"/>
  <c r="AJ1617" i="16" s="1"/>
  <c r="AI2084" i="16"/>
  <c r="AJ2084" i="16" s="1"/>
  <c r="AI1891" i="16"/>
  <c r="AJ1891" i="16" s="1"/>
  <c r="AI363" i="16"/>
  <c r="AJ363" i="16" s="1"/>
  <c r="AI1887" i="16"/>
  <c r="AJ1887" i="16" s="1"/>
  <c r="AI436" i="16"/>
  <c r="AJ436" i="16" s="1"/>
  <c r="AI1522" i="16"/>
  <c r="AJ1522" i="16" s="1"/>
  <c r="AI2109" i="16"/>
  <c r="AJ2109" i="16" s="1"/>
  <c r="AI868" i="16"/>
  <c r="AJ868" i="16" s="1"/>
  <c r="AI1907" i="16"/>
  <c r="AJ1907" i="16" s="1"/>
  <c r="AI1378" i="16"/>
  <c r="AJ1378" i="16" s="1"/>
  <c r="AI2329" i="16"/>
  <c r="AJ2329" i="16" s="1"/>
  <c r="AI175" i="16"/>
  <c r="AJ175" i="16" s="1"/>
  <c r="AI1084" i="16"/>
  <c r="AJ1084" i="16" s="1"/>
  <c r="AI22" i="16"/>
  <c r="AJ22" i="16" s="1"/>
  <c r="AI641" i="16"/>
  <c r="AJ641" i="16" s="1"/>
  <c r="AI543" i="16"/>
  <c r="AJ543" i="16" s="1"/>
  <c r="AI1185" i="16"/>
  <c r="AJ1185" i="16" s="1"/>
  <c r="AI1277" i="16"/>
  <c r="AJ1277" i="16" s="1"/>
  <c r="AI636" i="16"/>
  <c r="AJ636" i="16" s="1"/>
  <c r="AI1198" i="16"/>
  <c r="AJ1198" i="16" s="1"/>
  <c r="AI1635" i="16"/>
  <c r="AJ1635" i="16" s="1"/>
  <c r="AI1049" i="16"/>
  <c r="AJ1049" i="16" s="1"/>
  <c r="AI1892" i="16"/>
  <c r="AJ1892" i="16" s="1"/>
  <c r="AI1460" i="16"/>
  <c r="AJ1460" i="16" s="1"/>
  <c r="AI793" i="16"/>
  <c r="AJ793" i="16" s="1"/>
  <c r="AI2303" i="16"/>
  <c r="AJ2303" i="16" s="1"/>
  <c r="AI525" i="16"/>
  <c r="AJ525" i="16" s="1"/>
  <c r="AI1699" i="16"/>
  <c r="AJ1699" i="16" s="1"/>
  <c r="AI1801" i="16"/>
  <c r="AJ1801" i="16" s="1"/>
  <c r="AI474" i="16"/>
  <c r="AJ474" i="16" s="1"/>
  <c r="AI1885" i="16"/>
  <c r="AJ1885" i="16" s="1"/>
  <c r="AI2095" i="16"/>
  <c r="AJ2095" i="16" s="1"/>
  <c r="AI1995" i="16"/>
  <c r="AJ1995" i="16" s="1"/>
  <c r="AI1230" i="16"/>
  <c r="AJ1230" i="16" s="1"/>
  <c r="AI1476" i="16"/>
  <c r="AJ1476" i="16" s="1"/>
  <c r="AI615" i="16"/>
  <c r="AJ615" i="16" s="1"/>
  <c r="AI1122" i="16"/>
  <c r="AJ1122" i="16" s="1"/>
  <c r="AI545" i="16"/>
  <c r="AJ545" i="16" s="1"/>
  <c r="AJ1986" i="16"/>
  <c r="AJ1725" i="16"/>
  <c r="AI863" i="16"/>
  <c r="AJ863" i="16" s="1"/>
  <c r="AI1167" i="16"/>
  <c r="AJ1167" i="16" s="1"/>
  <c r="AI1610" i="16"/>
  <c r="AJ1610" i="16" s="1"/>
  <c r="AI1956" i="16"/>
  <c r="AJ1956" i="16" s="1"/>
  <c r="AI941" i="16"/>
  <c r="AJ941" i="16" s="1"/>
  <c r="AI1228" i="16"/>
  <c r="AJ1228" i="16" s="1"/>
  <c r="AI1441" i="16"/>
  <c r="AJ1441" i="16" s="1"/>
  <c r="AI1270" i="16"/>
  <c r="AJ1270" i="16" s="1"/>
  <c r="AI1615" i="16"/>
  <c r="AJ1615" i="16" s="1"/>
  <c r="AI660" i="16"/>
  <c r="AJ660" i="16" s="1"/>
  <c r="AJ932" i="16"/>
  <c r="AJ1707" i="16"/>
  <c r="AJ1709" i="16"/>
  <c r="AI249" i="16"/>
  <c r="AJ249" i="16" s="1"/>
  <c r="AJ1348" i="16"/>
  <c r="AJ652" i="16"/>
  <c r="AJ1258" i="16"/>
  <c r="AI153" i="16"/>
  <c r="AJ153" i="16" s="1"/>
  <c r="AI1900" i="16"/>
  <c r="AJ1900" i="16" s="1"/>
  <c r="AI2102" i="16"/>
  <c r="AJ2102" i="16" s="1"/>
  <c r="AI440" i="16"/>
  <c r="AJ440" i="16" s="1"/>
  <c r="AI169" i="16"/>
  <c r="AJ169" i="16" s="1"/>
  <c r="AI1008" i="16"/>
  <c r="AJ1008" i="16" s="1"/>
  <c r="AI2031" i="16"/>
  <c r="AJ2031" i="16" s="1"/>
  <c r="AI994" i="16"/>
  <c r="AJ994" i="16" s="1"/>
  <c r="AI637" i="16"/>
  <c r="AJ637" i="16" s="1"/>
  <c r="AI1821" i="16"/>
  <c r="AJ1821" i="16" s="1"/>
  <c r="AI688" i="16"/>
  <c r="AJ688" i="16" s="1"/>
  <c r="AI1036" i="16"/>
  <c r="AJ1036" i="16" s="1"/>
  <c r="AI217" i="16"/>
  <c r="AJ217" i="16" s="1"/>
  <c r="AI822" i="16"/>
  <c r="AJ822" i="16" s="1"/>
  <c r="AI1556" i="16"/>
  <c r="AJ1556" i="16" s="1"/>
  <c r="AI2081" i="16"/>
  <c r="AJ2081" i="16" s="1"/>
  <c r="AI418" i="16"/>
  <c r="AJ418" i="16" s="1"/>
  <c r="AI1880" i="16"/>
  <c r="AJ1880" i="16" s="1"/>
  <c r="AI1847" i="16"/>
  <c r="AJ1847" i="16" s="1"/>
  <c r="AI1628" i="16"/>
  <c r="AJ1628" i="16" s="1"/>
  <c r="AI2169" i="16"/>
  <c r="AJ2169" i="16" s="1"/>
  <c r="AI201" i="16"/>
  <c r="AJ201" i="16" s="1"/>
  <c r="AI1760" i="16"/>
  <c r="AJ1760" i="16" s="1"/>
  <c r="AI2036" i="16"/>
  <c r="AJ2036" i="16" s="1"/>
  <c r="AI1033" i="16"/>
  <c r="AJ1033" i="16" s="1"/>
  <c r="AI1527" i="16"/>
  <c r="AJ1527" i="16" s="1"/>
  <c r="AI133" i="16"/>
  <c r="AJ133" i="16" s="1"/>
  <c r="AI850" i="16"/>
  <c r="AJ850" i="16" s="1"/>
  <c r="AI645" i="16"/>
  <c r="AJ645" i="16" s="1"/>
  <c r="AI2054" i="16"/>
  <c r="AJ2054" i="16" s="1"/>
  <c r="AI338" i="16"/>
  <c r="AJ338" i="16" s="1"/>
  <c r="AI275" i="16"/>
  <c r="AJ275" i="16" s="1"/>
  <c r="AI1839" i="16"/>
  <c r="AJ1839" i="16" s="1"/>
  <c r="AI2066" i="16"/>
  <c r="AJ2066" i="16" s="1"/>
  <c r="AI2250" i="16"/>
  <c r="AJ2250" i="16" s="1"/>
  <c r="AI2030" i="16"/>
  <c r="AJ2030" i="16" s="1"/>
  <c r="AI1396" i="16"/>
  <c r="AJ1396" i="16" s="1"/>
  <c r="AI1787" i="16"/>
  <c r="AJ1787" i="16" s="1"/>
  <c r="AI1245" i="16"/>
  <c r="AJ1245" i="16" s="1"/>
  <c r="AI416" i="16"/>
  <c r="AJ416" i="16" s="1"/>
  <c r="AI1970" i="16"/>
  <c r="AJ1970" i="16" s="1"/>
  <c r="AI2142" i="16"/>
  <c r="AJ2142" i="16" s="1"/>
  <c r="AI650" i="16"/>
  <c r="AJ650" i="16" s="1"/>
  <c r="AI810" i="16"/>
  <c r="AJ810" i="16" s="1"/>
  <c r="AI2075" i="16"/>
  <c r="AJ2075" i="16" s="1"/>
  <c r="AI268" i="16"/>
  <c r="AJ268" i="16" s="1"/>
  <c r="AI1793" i="16"/>
  <c r="AJ1793" i="16" s="1"/>
  <c r="AI1965" i="16"/>
  <c r="AJ1965" i="16" s="1"/>
  <c r="AI1006" i="16"/>
  <c r="AJ1006" i="16" s="1"/>
  <c r="AI737" i="16"/>
  <c r="AJ737" i="16" s="1"/>
  <c r="AI1266" i="16"/>
  <c r="AJ1266" i="16" s="1"/>
  <c r="AI1904" i="16"/>
  <c r="AJ1904" i="16" s="1"/>
  <c r="AI1733" i="16"/>
  <c r="AJ1733" i="16" s="1"/>
  <c r="AI1119" i="16"/>
  <c r="AJ1119" i="16" s="1"/>
  <c r="AI1745" i="16"/>
  <c r="AJ1745" i="16" s="1"/>
  <c r="AI1826" i="16"/>
  <c r="AJ1826" i="16" s="1"/>
  <c r="AI1715" i="16"/>
  <c r="AJ1715" i="16" s="1"/>
  <c r="AI924" i="16"/>
  <c r="AJ924" i="16" s="1"/>
  <c r="AI1868" i="16"/>
  <c r="AJ1868" i="16" s="1"/>
  <c r="AI1594" i="16"/>
  <c r="AJ1594" i="16" s="1"/>
  <c r="AI631" i="16"/>
  <c r="AJ631" i="16" s="1"/>
  <c r="AI99" i="16"/>
  <c r="AJ99" i="16" s="1"/>
  <c r="AI413" i="16"/>
  <c r="AJ413" i="16" s="1"/>
  <c r="AI1097" i="16"/>
  <c r="AJ1097" i="16" s="1"/>
  <c r="AI1773" i="16"/>
  <c r="AJ1773" i="16" s="1"/>
  <c r="AI1040" i="16"/>
  <c r="AJ1040" i="16" s="1"/>
  <c r="AI552" i="16"/>
  <c r="AJ552" i="16" s="1"/>
  <c r="AI204" i="16"/>
  <c r="AJ204" i="16" s="1"/>
  <c r="AI2035" i="16"/>
  <c r="AJ2035" i="16" s="1"/>
  <c r="AI681" i="16"/>
  <c r="AJ681" i="16" s="1"/>
  <c r="AI1776" i="16"/>
  <c r="AJ1776" i="16" s="1"/>
  <c r="AI987" i="16"/>
  <c r="AJ987" i="16" s="1"/>
  <c r="AI12" i="16"/>
  <c r="AJ12" i="16" s="1"/>
  <c r="AI170" i="16"/>
  <c r="AJ170" i="16" s="1"/>
  <c r="AI706" i="16"/>
  <c r="AJ706" i="16" s="1"/>
  <c r="AI58" i="16"/>
  <c r="AJ58" i="16" s="1"/>
  <c r="AI1832" i="16"/>
  <c r="AJ1832" i="16" s="1"/>
  <c r="AI1598" i="16"/>
  <c r="AJ1598" i="16" s="1"/>
  <c r="AI278" i="16"/>
  <c r="AJ278" i="16" s="1"/>
  <c r="AI2011" i="16"/>
  <c r="AJ2011" i="16" s="1"/>
  <c r="AI535" i="16"/>
  <c r="AJ535" i="16" s="1"/>
  <c r="AI489" i="16"/>
  <c r="AJ489" i="16" s="1"/>
  <c r="AI732" i="16"/>
  <c r="AJ732" i="16" s="1"/>
  <c r="AI290" i="16"/>
  <c r="AJ290" i="16" s="1"/>
  <c r="AI1602" i="16"/>
  <c r="AJ1602" i="16" s="1"/>
  <c r="AI1471" i="16"/>
  <c r="AJ1471" i="16" s="1"/>
  <c r="AI16" i="16"/>
  <c r="AJ16" i="16" s="1"/>
  <c r="AI1835" i="16"/>
  <c r="AJ1835" i="16" s="1"/>
  <c r="AI1630" i="16"/>
  <c r="AJ1630" i="16" s="1"/>
  <c r="AI257" i="16"/>
  <c r="AJ257" i="16" s="1"/>
  <c r="AJ597" i="16"/>
  <c r="AI398" i="16"/>
  <c r="AJ398" i="16" s="1"/>
  <c r="AJ962" i="16"/>
  <c r="AJ2167" i="16"/>
  <c r="AJ2088" i="16"/>
  <c r="AJ271" i="16"/>
  <c r="AI1279" i="16"/>
  <c r="AJ1279" i="16" s="1"/>
  <c r="AI2160" i="16"/>
  <c r="AJ2160" i="16" s="1"/>
  <c r="AI769" i="16"/>
  <c r="AJ769" i="16" s="1"/>
  <c r="AI1446" i="16"/>
  <c r="AJ1446" i="16" s="1"/>
  <c r="AI296" i="16"/>
  <c r="AJ296" i="16" s="1"/>
  <c r="AI765" i="16"/>
  <c r="AJ765" i="16" s="1"/>
  <c r="AI1367" i="16"/>
  <c r="AJ1367" i="16" s="1"/>
  <c r="AI1890" i="16"/>
  <c r="AJ1890" i="16" s="1"/>
  <c r="AI1009" i="16"/>
  <c r="AJ1009" i="16" s="1"/>
  <c r="AI60" i="16"/>
  <c r="AJ60" i="16" s="1"/>
  <c r="AI849" i="16"/>
  <c r="AJ849" i="16" s="1"/>
  <c r="AI1576" i="16"/>
  <c r="AJ1576" i="16" s="1"/>
  <c r="AI1433" i="16"/>
  <c r="AJ1433" i="16" s="1"/>
  <c r="AI2101" i="16"/>
  <c r="AJ2101" i="16" s="1"/>
  <c r="AI745" i="16"/>
  <c r="AJ745" i="16" s="1"/>
  <c r="AI1285" i="16"/>
  <c r="AJ1285" i="16" s="1"/>
  <c r="AI1569" i="16"/>
  <c r="AJ1569" i="16" s="1"/>
  <c r="AI659" i="16"/>
  <c r="AJ659" i="16" s="1"/>
  <c r="AI895" i="16"/>
  <c r="AJ895" i="16" s="1"/>
  <c r="AJ236" i="16"/>
  <c r="AI302" i="16"/>
  <c r="AJ302" i="16" s="1"/>
  <c r="AJ734" i="16"/>
  <c r="AJ892" i="16"/>
  <c r="AJ705" i="16"/>
  <c r="AJ1179" i="16"/>
  <c r="AI2153" i="16"/>
  <c r="AJ2153" i="16" s="1"/>
  <c r="AI1289" i="16"/>
  <c r="AJ1289" i="16" s="1"/>
  <c r="AI565" i="16"/>
  <c r="AJ565" i="16" s="1"/>
  <c r="AI1508" i="16"/>
  <c r="AJ1508" i="16" s="1"/>
  <c r="AI1349" i="16"/>
  <c r="AJ1349" i="16" s="1"/>
  <c r="AJ1440" i="16"/>
  <c r="AI808" i="16"/>
  <c r="AJ808" i="16" s="1"/>
  <c r="AJ462" i="16"/>
  <c r="AJ589" i="16"/>
  <c r="AJ1966" i="16"/>
  <c r="AJ749" i="16"/>
  <c r="AI1069" i="16"/>
  <c r="AJ1069" i="16" s="1"/>
  <c r="AI939" i="16"/>
  <c r="AJ939" i="16" s="1"/>
  <c r="AI165" i="16"/>
  <c r="AJ165" i="16" s="1"/>
  <c r="AI2214" i="16"/>
  <c r="AJ2214" i="16" s="1"/>
  <c r="AI2145" i="16"/>
  <c r="AJ2145" i="16" s="1"/>
  <c r="AI1456" i="16"/>
  <c r="AJ1456" i="16" s="1"/>
  <c r="AI1110" i="16"/>
  <c r="AJ1110" i="16" s="1"/>
  <c r="AI2092" i="16"/>
  <c r="AJ2092" i="16" s="1"/>
  <c r="AI1359" i="16"/>
  <c r="AJ1359" i="16" s="1"/>
  <c r="AI1344" i="16"/>
  <c r="AJ1344" i="16" s="1"/>
  <c r="AI1355" i="16"/>
  <c r="AJ1355" i="16" s="1"/>
  <c r="AI514" i="16"/>
  <c r="AJ514" i="16" s="1"/>
  <c r="AI1146" i="16"/>
  <c r="AJ1146" i="16" s="1"/>
  <c r="AI2287" i="16"/>
  <c r="AJ2287" i="16" s="1"/>
  <c r="AI473" i="16"/>
  <c r="AJ473" i="16" s="1"/>
  <c r="AI644" i="16"/>
  <c r="AJ644" i="16" s="1"/>
  <c r="AI1879" i="16"/>
  <c r="AJ1879" i="16" s="1"/>
  <c r="AI396" i="16"/>
  <c r="AJ396" i="16" s="1"/>
  <c r="AI2163" i="16"/>
  <c r="AJ2163" i="16" s="1"/>
  <c r="AI986" i="16"/>
  <c r="AJ986" i="16" s="1"/>
  <c r="AI2193" i="16"/>
  <c r="AJ2193" i="16" s="1"/>
  <c r="AI2286" i="16"/>
  <c r="AJ2286" i="16" s="1"/>
  <c r="AI124" i="16"/>
  <c r="AJ124" i="16" s="1"/>
  <c r="AI624" i="16"/>
  <c r="AJ624" i="16" s="1"/>
  <c r="AI1070" i="16"/>
  <c r="AJ1070" i="16" s="1"/>
  <c r="AI1985" i="16"/>
  <c r="AJ1985" i="16" s="1"/>
  <c r="AI887" i="16"/>
  <c r="AJ887" i="16" s="1"/>
  <c r="AI256" i="16"/>
  <c r="AJ256" i="16" s="1"/>
  <c r="AI89" i="16"/>
  <c r="AJ89" i="16" s="1"/>
  <c r="AI1673" i="16"/>
  <c r="AJ1673" i="16" s="1"/>
  <c r="AI1497" i="16"/>
  <c r="AJ1497" i="16" s="1"/>
  <c r="AI673" i="16"/>
  <c r="AJ673" i="16" s="1"/>
  <c r="AI1944" i="16"/>
  <c r="AJ1944" i="16" s="1"/>
  <c r="AI898" i="16"/>
  <c r="AJ898" i="16" s="1"/>
  <c r="AI1384" i="16"/>
  <c r="AJ1384" i="16" s="1"/>
  <c r="AI2228" i="16"/>
  <c r="AJ2228" i="16" s="1"/>
  <c r="AI2041" i="16"/>
  <c r="AJ2041" i="16" s="1"/>
  <c r="AI1278" i="16"/>
  <c r="AJ1278" i="16" s="1"/>
  <c r="AI1030" i="16"/>
  <c r="AJ1030" i="16" s="1"/>
  <c r="AI38" i="16"/>
  <c r="AJ38" i="16" s="1"/>
  <c r="AI2130" i="16"/>
  <c r="AJ2130" i="16" s="1"/>
  <c r="AI122" i="16"/>
  <c r="AJ122" i="16" s="1"/>
  <c r="AI2119" i="16"/>
  <c r="AJ2119" i="16" s="1"/>
  <c r="AI1975" i="16"/>
  <c r="AJ1975" i="16" s="1"/>
  <c r="AI150" i="16"/>
  <c r="AJ150" i="16" s="1"/>
  <c r="AI2306" i="16"/>
  <c r="AJ2306" i="16" s="1"/>
  <c r="AI1151" i="16"/>
  <c r="AJ1151" i="16" s="1"/>
  <c r="AI816" i="16"/>
  <c r="AJ816" i="16" s="1"/>
  <c r="AI1427" i="16"/>
  <c r="AJ1427" i="16" s="1"/>
  <c r="AI554" i="16"/>
  <c r="AJ554" i="16" s="1"/>
  <c r="AI689" i="16"/>
  <c r="AJ689" i="16" s="1"/>
  <c r="AI754" i="16"/>
  <c r="AJ754" i="16" s="1"/>
  <c r="AI1307" i="16"/>
  <c r="AJ1307" i="16" s="1"/>
  <c r="AI255" i="16"/>
  <c r="AJ255" i="16" s="1"/>
  <c r="AI394" i="16"/>
  <c r="AJ394" i="16" s="1"/>
  <c r="AI2104" i="16"/>
  <c r="AJ2104" i="16" s="1"/>
  <c r="AI1763" i="16"/>
  <c r="AJ1763" i="16" s="1"/>
  <c r="AI1209" i="16"/>
  <c r="AJ1209" i="16" s="1"/>
  <c r="AI687" i="16"/>
  <c r="AJ687" i="16" s="1"/>
  <c r="AI1336" i="16"/>
  <c r="AJ1336" i="16" s="1"/>
  <c r="AI428" i="16"/>
  <c r="AJ428" i="16" s="1"/>
  <c r="AI1333" i="16"/>
  <c r="AJ1333" i="16" s="1"/>
  <c r="AI630" i="16"/>
  <c r="AJ630" i="16" s="1"/>
  <c r="AI675" i="16"/>
  <c r="AJ675" i="16" s="1"/>
  <c r="AI893" i="16"/>
  <c r="AJ893" i="16" s="1"/>
  <c r="AJ1054" i="16"/>
  <c r="AJ1263" i="16"/>
  <c r="AJ804" i="16"/>
  <c r="AI1364" i="16"/>
  <c r="AJ1364" i="16" s="1"/>
  <c r="AI1627" i="16"/>
  <c r="AJ1627" i="16" s="1"/>
  <c r="AI132" i="16"/>
  <c r="AJ132" i="16" s="1"/>
  <c r="AI1931" i="16"/>
  <c r="AJ1931" i="16" s="1"/>
  <c r="AI1350" i="16"/>
  <c r="AJ1350" i="16" s="1"/>
  <c r="AI1053" i="16"/>
  <c r="AJ1053" i="16" s="1"/>
  <c r="AI1445" i="16"/>
  <c r="AJ1445" i="16" s="1"/>
  <c r="AI1954" i="16"/>
  <c r="AJ1954" i="16" s="1"/>
  <c r="AI1962" i="16"/>
  <c r="AJ1962" i="16" s="1"/>
  <c r="AI1141" i="16"/>
  <c r="AJ1141" i="16" s="1"/>
  <c r="AI1231" i="16"/>
  <c r="AJ1231" i="16" s="1"/>
  <c r="AI453" i="16"/>
  <c r="AJ453" i="16" s="1"/>
  <c r="AI320" i="16"/>
  <c r="AJ320" i="16" s="1"/>
  <c r="AI1924" i="16"/>
  <c r="AJ1924" i="16" s="1"/>
  <c r="AI1130" i="16"/>
  <c r="AJ1130" i="16" s="1"/>
  <c r="AI1523" i="16"/>
  <c r="AJ1523" i="16" s="1"/>
  <c r="AI1439" i="16"/>
  <c r="AJ1439" i="16" s="1"/>
  <c r="AI969" i="16"/>
  <c r="AJ969" i="16" s="1"/>
  <c r="AI1283" i="16"/>
  <c r="AJ1283" i="16" s="1"/>
  <c r="AJ1647" i="16"/>
  <c r="AI288" i="16"/>
  <c r="AJ288" i="16" s="1"/>
  <c r="AJ265" i="16"/>
  <c r="AI156" i="16"/>
  <c r="AJ156" i="16" s="1"/>
  <c r="AI1571" i="16"/>
  <c r="AJ1571" i="16" s="1"/>
  <c r="AI1080" i="16"/>
  <c r="AJ1080" i="16" s="1"/>
  <c r="AI633" i="16"/>
  <c r="AJ633" i="16" s="1"/>
  <c r="AJ1293" i="16"/>
  <c r="AJ2185" i="16"/>
  <c r="AJ1365" i="16"/>
  <c r="AJ2140" i="16"/>
  <c r="AJ1253" i="16"/>
  <c r="AI528" i="16"/>
  <c r="AJ528" i="16" s="1"/>
  <c r="AJ1208" i="16"/>
  <c r="AJ454" i="16"/>
  <c r="AJ1946" i="16"/>
  <c r="AJ1536" i="16"/>
  <c r="AI1485" i="16"/>
  <c r="AJ1485" i="16" s="1"/>
  <c r="AJ1893" i="16"/>
  <c r="AJ1723" i="16"/>
  <c r="AJ1475" i="16"/>
  <c r="AJ1603" i="16"/>
  <c r="AJ1587" i="16"/>
  <c r="AJ200" i="16"/>
  <c r="AJ556" i="16"/>
  <c r="AJ1121" i="16"/>
  <c r="AI162" i="16"/>
  <c r="AJ162" i="16" s="1"/>
  <c r="AJ358" i="16"/>
  <c r="AI1645" i="16"/>
  <c r="AJ1645" i="16" s="1"/>
  <c r="AJ573" i="16"/>
  <c r="AJ335" i="16"/>
  <c r="AJ542" i="16"/>
  <c r="AI1007" i="16"/>
  <c r="AJ1007" i="16" s="1"/>
  <c r="AI2144" i="16"/>
  <c r="AJ2144" i="16" s="1"/>
  <c r="AI586" i="16"/>
  <c r="AJ586" i="16" s="1"/>
  <c r="AI900" i="16"/>
  <c r="AJ900" i="16" s="1"/>
  <c r="AI1700" i="16"/>
  <c r="AJ1700" i="16" s="1"/>
  <c r="AI123" i="16"/>
  <c r="AJ123" i="16" s="1"/>
  <c r="AI2273" i="16"/>
  <c r="AJ2273" i="16" s="1"/>
  <c r="AI1716" i="16"/>
  <c r="AJ1716" i="16" s="1"/>
  <c r="AI2249" i="16"/>
  <c r="AJ2249" i="16" s="1"/>
  <c r="AI1706" i="16"/>
  <c r="AJ1706" i="16" s="1"/>
  <c r="AI1164" i="16"/>
  <c r="AJ1164" i="16" s="1"/>
  <c r="AJ1362" i="16"/>
  <c r="AI1362" i="16"/>
  <c r="AI176" i="16"/>
  <c r="AJ176" i="16" s="1"/>
  <c r="AI507" i="16"/>
  <c r="AJ507" i="16" s="1"/>
  <c r="AI1241" i="16"/>
  <c r="AJ1241" i="16" s="1"/>
  <c r="AI1882" i="16"/>
  <c r="AJ1882" i="16" s="1"/>
  <c r="AI2219" i="16"/>
  <c r="AJ2219" i="16" s="1"/>
  <c r="AI242" i="16"/>
  <c r="AJ242" i="16" s="1"/>
  <c r="AI1656" i="16"/>
  <c r="AJ1656" i="16" s="1"/>
  <c r="AI1752" i="16"/>
  <c r="AJ1752" i="16" s="1"/>
  <c r="AI1371" i="16"/>
  <c r="AJ1371" i="16" s="1"/>
  <c r="AI2202" i="16"/>
  <c r="AJ2202" i="16" s="1"/>
  <c r="AI491" i="16"/>
  <c r="AJ491" i="16" s="1"/>
  <c r="AI1102" i="16"/>
  <c r="AJ1102" i="16" s="1"/>
  <c r="AI1860" i="16"/>
  <c r="AJ1860" i="16" s="1"/>
  <c r="AI1264" i="16"/>
  <c r="AJ1264" i="16" s="1"/>
  <c r="AI1638" i="16"/>
  <c r="AJ1638" i="16" s="1"/>
  <c r="AI841" i="16"/>
  <c r="AJ841" i="16" s="1"/>
  <c r="AI757" i="16"/>
  <c r="AJ757" i="16" s="1"/>
  <c r="AI485" i="16"/>
  <c r="AJ485" i="16" s="1"/>
  <c r="AI380" i="16"/>
  <c r="AJ380" i="16" s="1"/>
  <c r="AI1388" i="16"/>
  <c r="AJ1388" i="16" s="1"/>
  <c r="AI638" i="16"/>
  <c r="AJ638" i="16" s="1"/>
  <c r="AI74" i="16"/>
  <c r="AJ74" i="16" s="1"/>
  <c r="AI571" i="16"/>
  <c r="AJ571" i="16" s="1"/>
  <c r="AI1883" i="16"/>
  <c r="AJ1883" i="16" s="1"/>
  <c r="AI1737" i="16"/>
  <c r="AJ1737" i="16" s="1"/>
  <c r="AI563" i="16"/>
  <c r="AJ563" i="16" s="1"/>
  <c r="AI1612" i="16"/>
  <c r="AJ1612" i="16" s="1"/>
  <c r="AI1779" i="16"/>
  <c r="AJ1779" i="16" s="1"/>
  <c r="AI1402" i="16"/>
  <c r="AJ1402" i="16" s="1"/>
  <c r="AI71" i="16"/>
  <c r="AJ71" i="16" s="1"/>
  <c r="AI46" i="16"/>
  <c r="AJ46" i="16" s="1"/>
  <c r="AI1458" i="16"/>
  <c r="AJ1458" i="16" s="1"/>
  <c r="AI2322" i="16"/>
  <c r="AJ2322" i="16" s="1"/>
  <c r="AI343" i="16"/>
  <c r="AJ343" i="16" s="1"/>
  <c r="AI2076" i="16"/>
  <c r="AJ2076" i="16" s="1"/>
  <c r="AI1395" i="16"/>
  <c r="AJ1395" i="16" s="1"/>
  <c r="AI2235" i="16"/>
  <c r="AJ2235" i="16" s="1"/>
  <c r="AI1455" i="16"/>
  <c r="AJ1455" i="16" s="1"/>
  <c r="AI1812" i="16"/>
  <c r="AJ1812" i="16" s="1"/>
  <c r="AI2208" i="16"/>
  <c r="AJ2208" i="16" s="1"/>
  <c r="AI147" i="16"/>
  <c r="AJ147" i="16" s="1"/>
  <c r="AI837" i="16"/>
  <c r="AJ837" i="16" s="1"/>
  <c r="AI1157" i="16"/>
  <c r="AJ1157" i="16" s="1"/>
  <c r="AI938" i="16"/>
  <c r="AJ938" i="16" s="1"/>
  <c r="AI1017" i="16"/>
  <c r="AJ1017" i="16" s="1"/>
  <c r="AI283" i="16"/>
  <c r="AJ283" i="16" s="1"/>
  <c r="AI1736" i="16"/>
  <c r="AJ1736" i="16" s="1"/>
  <c r="AI1906" i="16"/>
  <c r="AJ1906" i="16" s="1"/>
  <c r="AI1322" i="16"/>
  <c r="AJ1322" i="16" s="1"/>
  <c r="AI1216" i="16"/>
  <c r="AJ1216" i="16" s="1"/>
  <c r="AI1027" i="16"/>
  <c r="AJ1027" i="16" s="1"/>
  <c r="AI1117" i="16"/>
  <c r="AJ1117" i="16" s="1"/>
  <c r="AI2271" i="16"/>
  <c r="AJ2271" i="16" s="1"/>
  <c r="AI1332" i="16"/>
  <c r="AJ1332" i="16" s="1"/>
  <c r="AI1996" i="16"/>
  <c r="AJ1996" i="16" s="1"/>
  <c r="AI224" i="16"/>
  <c r="AJ224" i="16" s="1"/>
  <c r="AI323" i="16"/>
  <c r="AJ323" i="16" s="1"/>
  <c r="AI1466" i="16"/>
  <c r="AJ1466" i="16" s="1"/>
  <c r="AI297" i="16"/>
  <c r="AJ297" i="16" s="1"/>
  <c r="AI339" i="16"/>
  <c r="AJ339" i="16" s="1"/>
  <c r="AI381" i="16"/>
  <c r="AJ381" i="16" s="1"/>
  <c r="AI2091" i="16"/>
  <c r="AJ2091" i="16" s="1"/>
  <c r="AI2120" i="16"/>
  <c r="AJ2120" i="16" s="1"/>
  <c r="AI710" i="16"/>
  <c r="AJ710" i="16" s="1"/>
  <c r="AI2230" i="16"/>
  <c r="AJ2230" i="16" s="1"/>
  <c r="AI1979" i="16"/>
  <c r="AJ1979" i="16" s="1"/>
  <c r="AI1382" i="16"/>
  <c r="AJ1382" i="16" s="1"/>
  <c r="AI1361" i="16"/>
  <c r="AJ1361" i="16" s="1"/>
  <c r="AI455" i="16"/>
  <c r="AJ455" i="16" s="1"/>
  <c r="AI471" i="16"/>
  <c r="AJ471" i="16" s="1"/>
  <c r="AI1162" i="16"/>
  <c r="AJ1162" i="16" s="1"/>
  <c r="AI1834" i="16"/>
  <c r="AJ1834" i="16" s="1"/>
  <c r="AI872" i="16"/>
  <c r="AJ872" i="16" s="1"/>
  <c r="AI1690" i="16"/>
  <c r="AJ1690" i="16" s="1"/>
  <c r="AI604" i="16"/>
  <c r="AJ604" i="16" s="1"/>
  <c r="AI658" i="16"/>
  <c r="AJ658" i="16" s="1"/>
  <c r="AI241" i="16"/>
  <c r="AJ241" i="16" s="1"/>
  <c r="AI1043" i="16"/>
  <c r="AJ1043" i="16" s="1"/>
  <c r="AI78" i="16"/>
  <c r="AJ78" i="16" s="1"/>
  <c r="AI2291" i="16"/>
  <c r="AJ2291" i="16" s="1"/>
  <c r="AI1728" i="16"/>
  <c r="AJ1728" i="16" s="1"/>
  <c r="AI1417" i="16"/>
  <c r="AJ1417" i="16" s="1"/>
  <c r="AI968" i="16"/>
  <c r="AJ968" i="16" s="1"/>
  <c r="AI2040" i="16"/>
  <c r="AJ2040" i="16" s="1"/>
  <c r="AI960" i="16"/>
  <c r="AJ960" i="16" s="1"/>
  <c r="AI1154" i="16"/>
  <c r="AJ1154" i="16" s="1"/>
  <c r="AI1178" i="16"/>
  <c r="AJ1178" i="16" s="1"/>
  <c r="AI702" i="16"/>
  <c r="AJ702" i="16" s="1"/>
  <c r="AJ2001" i="16"/>
  <c r="AJ330" i="16"/>
  <c r="AJ350" i="16"/>
  <c r="AJ761" i="16"/>
  <c r="AJ1478" i="16"/>
  <c r="AJ996" i="16"/>
  <c r="AJ1067" i="16"/>
  <c r="AJ1124" i="16"/>
  <c r="AI559" i="16"/>
  <c r="AJ559" i="16" s="1"/>
  <c r="AJ1317" i="16"/>
  <c r="AJ997" i="16"/>
  <c r="AJ461" i="16"/>
  <c r="AJ1555" i="16"/>
  <c r="AJ1377" i="16"/>
  <c r="AJ1107" i="16"/>
  <c r="AI1519" i="16"/>
  <c r="AJ1519" i="16" s="1"/>
  <c r="AI282" i="16"/>
  <c r="AJ282" i="16" s="1"/>
  <c r="AI1282" i="16"/>
  <c r="AJ1282" i="16" s="1"/>
  <c r="AI1581" i="16"/>
  <c r="AJ1581" i="16" s="1"/>
  <c r="AI216" i="16"/>
  <c r="AJ216" i="16" s="1"/>
  <c r="AI221" i="16"/>
  <c r="AJ221" i="16" s="1"/>
  <c r="AI1136" i="16"/>
  <c r="AJ1136" i="16" s="1"/>
  <c r="AI1659" i="16"/>
  <c r="AJ1659" i="16" s="1"/>
  <c r="AI95" i="16"/>
  <c r="AJ95" i="16" s="1"/>
  <c r="AI549" i="16"/>
  <c r="AJ549" i="16" s="1"/>
  <c r="AI1853" i="16"/>
  <c r="AJ1853" i="16" s="1"/>
  <c r="AI1856" i="16"/>
  <c r="AJ1856" i="16" s="1"/>
  <c r="AI1474" i="16"/>
  <c r="AJ1474" i="16" s="1"/>
  <c r="AI1065" i="16"/>
  <c r="AJ1065" i="16" s="1"/>
  <c r="AI1302" i="16"/>
  <c r="AJ1302" i="16" s="1"/>
  <c r="AI360" i="16"/>
  <c r="AJ360" i="16" s="1"/>
  <c r="AI1937" i="16"/>
  <c r="AJ1937" i="16" s="1"/>
  <c r="AI79" i="16"/>
  <c r="AJ79" i="16" s="1"/>
  <c r="AI1055" i="16"/>
  <c r="AJ1055" i="16" s="1"/>
  <c r="AI2019" i="16"/>
  <c r="AJ2019" i="16" s="1"/>
  <c r="AI62" i="16"/>
  <c r="AJ62" i="16" s="1"/>
  <c r="AI76" i="16"/>
  <c r="AJ76" i="16" s="1"/>
  <c r="AI762" i="16"/>
  <c r="AJ762" i="16" s="1"/>
  <c r="AI1345" i="16"/>
  <c r="AJ1345" i="16" s="1"/>
  <c r="AI61" i="16"/>
  <c r="AJ61" i="16" s="1"/>
  <c r="AI1643" i="16"/>
  <c r="AJ1643" i="16" s="1"/>
  <c r="AI533" i="16"/>
  <c r="AJ533" i="16" s="1"/>
  <c r="AI692" i="16"/>
  <c r="AJ692" i="16" s="1"/>
  <c r="AI1588" i="16"/>
  <c r="AJ1588" i="16" s="1"/>
  <c r="AI386" i="16"/>
  <c r="AJ386" i="16" s="1"/>
  <c r="AI1000" i="16"/>
  <c r="AJ1000" i="16" s="1"/>
  <c r="AI611" i="16"/>
  <c r="AJ611" i="16" s="1"/>
  <c r="AI1325" i="16"/>
  <c r="AJ1325" i="16" s="1"/>
  <c r="AJ2187" i="16"/>
  <c r="AI512" i="16"/>
  <c r="AJ512" i="16" s="1"/>
  <c r="AI999" i="16"/>
  <c r="AJ999" i="16" s="1"/>
  <c r="AJ1292" i="16"/>
  <c r="AJ375" i="16"/>
  <c r="AI167" i="16"/>
  <c r="AJ167" i="16" s="1"/>
  <c r="AJ1646" i="16"/>
  <c r="AJ838" i="16"/>
  <c r="AJ1284" i="16"/>
  <c r="AJ1262" i="16"/>
  <c r="AJ806" i="16"/>
  <c r="AJ1567" i="16"/>
  <c r="AI488" i="16"/>
  <c r="AJ488" i="16" s="1"/>
  <c r="AI896" i="16"/>
  <c r="AJ896" i="16" s="1"/>
  <c r="AJ1732" i="16"/>
  <c r="AJ1486" i="16"/>
  <c r="AJ770" i="16"/>
  <c r="AJ1001" i="16"/>
  <c r="AJ1886" i="16"/>
  <c r="AJ285" i="16"/>
  <c r="AJ1511" i="16"/>
  <c r="AJ284" i="16"/>
  <c r="AJ1129" i="16"/>
  <c r="AJ1614" i="16"/>
  <c r="AJ385" i="16"/>
  <c r="AI151" i="16"/>
  <c r="AJ151" i="16" s="1"/>
  <c r="AI842" i="16"/>
  <c r="AJ842" i="16" s="1"/>
  <c r="AI1769" i="16"/>
  <c r="AJ1769" i="16" s="1"/>
  <c r="AI703" i="16"/>
  <c r="AJ703" i="16" s="1"/>
  <c r="AI209" i="16"/>
  <c r="AJ209" i="16" s="1"/>
  <c r="AI505" i="16"/>
  <c r="AJ505" i="16" s="1"/>
  <c r="AI1735" i="16"/>
  <c r="AJ1735" i="16" s="1"/>
  <c r="AI2309" i="16"/>
  <c r="AJ2309" i="16" s="1"/>
  <c r="AI1923" i="16"/>
  <c r="AJ1923" i="16" s="1"/>
  <c r="AI2324" i="16"/>
  <c r="AJ2324" i="16" s="1"/>
  <c r="AI1029" i="16"/>
  <c r="AJ1029" i="16" s="1"/>
  <c r="AI263" i="16"/>
  <c r="AJ263" i="16" s="1"/>
  <c r="AI1712" i="16"/>
  <c r="AJ1712" i="16" s="1"/>
  <c r="AI859" i="16"/>
  <c r="AJ859" i="16" s="1"/>
  <c r="AI435" i="16"/>
  <c r="AJ435" i="16" s="1"/>
  <c r="AI2264" i="16"/>
  <c r="AJ2264" i="16" s="1"/>
  <c r="AI2272" i="16"/>
  <c r="AJ2272" i="16" s="1"/>
  <c r="AI191" i="16"/>
  <c r="AJ191" i="16" s="1"/>
  <c r="AI183" i="16"/>
  <c r="AJ183" i="16" s="1"/>
  <c r="AI486" i="16"/>
  <c r="AJ486" i="16" s="1"/>
  <c r="AI608" i="16"/>
  <c r="AJ608" i="16" s="1"/>
  <c r="AI830" i="16"/>
  <c r="AJ830" i="16" s="1"/>
  <c r="AI2178" i="16"/>
  <c r="AJ2178" i="16" s="1"/>
  <c r="AI1191" i="16"/>
  <c r="AJ1191" i="16" s="1"/>
  <c r="AI1622" i="16"/>
  <c r="AJ1622" i="16" s="1"/>
  <c r="AI2294" i="16"/>
  <c r="AJ2294" i="16" s="1"/>
  <c r="AI685" i="16"/>
  <c r="AJ685" i="16" s="1"/>
  <c r="AI393" i="16"/>
  <c r="AJ393" i="16" s="1"/>
  <c r="AI2266" i="16"/>
  <c r="AJ2266" i="16" s="1"/>
  <c r="AI2126" i="16"/>
  <c r="AJ2126" i="16" s="1"/>
  <c r="AI1246" i="16"/>
  <c r="AJ1246" i="16" s="1"/>
  <c r="AI85" i="16"/>
  <c r="AJ85" i="16" s="1"/>
  <c r="AI1718" i="16"/>
  <c r="AJ1718" i="16" s="1"/>
  <c r="AI414" i="16"/>
  <c r="AJ414" i="16" s="1"/>
  <c r="AI937" i="16"/>
  <c r="AJ937" i="16" s="1"/>
  <c r="AI2192" i="16"/>
  <c r="AJ2192" i="16" s="1"/>
  <c r="AI2050" i="16"/>
  <c r="AJ2050" i="16" s="1"/>
  <c r="AI1071" i="16"/>
  <c r="AJ1071" i="16" s="1"/>
  <c r="AI1878" i="16"/>
  <c r="AJ1878" i="16" s="1"/>
  <c r="AI1422" i="16"/>
  <c r="AJ1422" i="16" s="1"/>
  <c r="AI940" i="16"/>
  <c r="AJ940" i="16" s="1"/>
  <c r="AI1182" i="16"/>
  <c r="AJ1182" i="16" s="1"/>
  <c r="AI2238" i="16"/>
  <c r="AJ2238" i="16" s="1"/>
  <c r="AI1057" i="16"/>
  <c r="AJ1057" i="16" s="1"/>
  <c r="AI1010" i="16"/>
  <c r="AJ1010" i="16" s="1"/>
  <c r="AI1797" i="16"/>
  <c r="AJ1797" i="16" s="1"/>
  <c r="AI2317" i="16"/>
  <c r="AJ2317" i="16" s="1"/>
  <c r="AI1999" i="16"/>
  <c r="AJ1999" i="16" s="1"/>
  <c r="AI1655" i="16"/>
  <c r="AJ1655" i="16" s="1"/>
  <c r="AI105" i="16"/>
  <c r="AJ105" i="16" s="1"/>
  <c r="AI2336" i="16"/>
  <c r="AJ2336" i="16" s="1"/>
  <c r="AI570" i="16"/>
  <c r="AJ570" i="16" s="1"/>
  <c r="AI1437" i="16"/>
  <c r="AJ1437" i="16" s="1"/>
  <c r="AI1562" i="16"/>
  <c r="AJ1562" i="16" s="1"/>
  <c r="AI244" i="16"/>
  <c r="AJ244" i="16" s="1"/>
  <c r="AI1650" i="16"/>
  <c r="AJ1650" i="16" s="1"/>
  <c r="AI1608" i="16"/>
  <c r="AJ1608" i="16" s="1"/>
  <c r="AI345" i="16"/>
  <c r="AJ345" i="16" s="1"/>
  <c r="AI2305" i="16"/>
  <c r="AJ2305" i="16" s="1"/>
  <c r="AI1920" i="16"/>
  <c r="AJ1920" i="16" s="1"/>
  <c r="AI1905" i="16"/>
  <c r="AJ1905" i="16" s="1"/>
  <c r="AI866" i="16"/>
  <c r="AJ866" i="16" s="1"/>
  <c r="AI724" i="16"/>
  <c r="AJ724" i="16" s="1"/>
  <c r="AI1774" i="16"/>
  <c r="AJ1774" i="16" s="1"/>
  <c r="AI97" i="16"/>
  <c r="AJ97" i="16" s="1"/>
  <c r="AI548" i="16"/>
  <c r="AJ548" i="16" s="1"/>
  <c r="AI2270" i="16"/>
  <c r="AJ2270" i="16" s="1"/>
  <c r="AI1100" i="16"/>
  <c r="AJ1100" i="16" s="1"/>
  <c r="AI1423" i="16"/>
  <c r="AJ1423" i="16" s="1"/>
  <c r="AI959" i="16"/>
  <c r="AJ959" i="16" s="1"/>
  <c r="AI708" i="16"/>
  <c r="AJ708" i="16" s="1"/>
  <c r="AI145" i="16"/>
  <c r="AJ145" i="16" s="1"/>
  <c r="AI1483" i="16"/>
  <c r="AJ1483" i="16" s="1"/>
  <c r="AI53" i="16"/>
  <c r="AJ53" i="16" s="1"/>
  <c r="AI1134" i="16"/>
  <c r="AJ1134" i="16" s="1"/>
  <c r="AI248" i="16"/>
  <c r="AJ248" i="16" s="1"/>
  <c r="AI1792" i="16"/>
  <c r="AJ1792" i="16" s="1"/>
  <c r="AI262" i="16"/>
  <c r="AJ262" i="16" s="1"/>
  <c r="AI2139" i="16"/>
  <c r="AJ2139" i="16" s="1"/>
  <c r="AI2289" i="16"/>
  <c r="AJ2289" i="16" s="1"/>
  <c r="AI2146" i="16"/>
  <c r="AJ2146" i="16" s="1"/>
  <c r="AI1044" i="16"/>
  <c r="AJ1044" i="16" s="1"/>
  <c r="AI190" i="16"/>
  <c r="AJ190" i="16" s="1"/>
  <c r="AI642" i="16"/>
  <c r="AJ642" i="16" s="1"/>
  <c r="AI401" i="16"/>
  <c r="AJ401" i="16" s="1"/>
  <c r="AI918" i="16"/>
  <c r="AJ918" i="16" s="1"/>
  <c r="AI1592" i="16"/>
  <c r="AJ1592" i="16" s="1"/>
  <c r="AI129" i="16"/>
  <c r="AJ129" i="16" s="1"/>
  <c r="AI2268" i="16"/>
  <c r="AJ2268" i="16" s="1"/>
  <c r="AI1106" i="16"/>
  <c r="AJ1106" i="16" s="1"/>
  <c r="AI327" i="16"/>
  <c r="AJ327" i="16" s="1"/>
  <c r="AI1921" i="16"/>
  <c r="AJ1921" i="16" s="1"/>
  <c r="AI792" i="16"/>
  <c r="AJ792" i="16" s="1"/>
  <c r="AI82" i="16"/>
  <c r="AJ82" i="16" s="1"/>
  <c r="AI875" i="16"/>
  <c r="AJ875" i="16" s="1"/>
  <c r="AI883" i="16"/>
  <c r="AJ883" i="16" s="1"/>
  <c r="AI1844" i="16"/>
  <c r="AJ1844" i="16" s="1"/>
  <c r="AJ349" i="16"/>
  <c r="AI63" i="16"/>
  <c r="AJ63" i="16" s="1"/>
  <c r="AI2186" i="16"/>
  <c r="AJ2186" i="16" s="1"/>
  <c r="AJ1064" i="16"/>
  <c r="AJ713" i="16"/>
  <c r="AJ1271" i="16"/>
  <c r="AI1090" i="16"/>
  <c r="AJ1411" i="16"/>
  <c r="AJ1573" i="16"/>
  <c r="AJ2059" i="16"/>
  <c r="AJ634" i="16"/>
  <c r="AJ1934" i="16"/>
  <c r="AJ1319" i="16"/>
  <c r="AI2112" i="16"/>
  <c r="AJ2112" i="16" s="1"/>
  <c r="AI975" i="16"/>
  <c r="AJ975" i="16" s="1"/>
  <c r="AI944" i="16"/>
  <c r="AJ944" i="16" s="1"/>
  <c r="AI2182" i="16"/>
  <c r="AJ2182" i="16" s="1"/>
  <c r="AI1281" i="16"/>
  <c r="AJ1281" i="16" s="1"/>
  <c r="AI2135" i="16"/>
  <c r="AJ2135" i="16" s="1"/>
  <c r="AI367" i="16"/>
  <c r="AJ367" i="16" s="1"/>
  <c r="AI324" i="16"/>
  <c r="AJ324" i="16" s="1"/>
  <c r="AI862" i="16"/>
  <c r="AJ862" i="16" s="1"/>
  <c r="AI1304" i="16"/>
  <c r="AJ1304" i="16" s="1"/>
  <c r="AI277" i="16"/>
  <c r="AJ277" i="16" s="1"/>
  <c r="AI920" i="16"/>
  <c r="AJ920" i="16" s="1"/>
  <c r="AI1560" i="16"/>
  <c r="AJ1560" i="16" s="1"/>
  <c r="AI768" i="16"/>
  <c r="AJ768" i="16" s="1"/>
  <c r="AI550" i="16"/>
  <c r="AJ550" i="16" s="1"/>
  <c r="AI1275" i="16"/>
  <c r="AJ1275" i="16" s="1"/>
  <c r="AI1194" i="16"/>
  <c r="AJ1194" i="16" s="1"/>
  <c r="AI1357" i="16"/>
  <c r="AJ1357" i="16" s="1"/>
  <c r="AI551" i="16"/>
  <c r="AJ551" i="16" s="1"/>
  <c r="AI1137" i="16"/>
  <c r="AJ1137" i="16" s="1"/>
  <c r="AI1366" i="16"/>
  <c r="AJ1366" i="16" s="1"/>
  <c r="AI348" i="16"/>
  <c r="AJ348" i="16" s="1"/>
  <c r="AI1876" i="16"/>
  <c r="AJ1876" i="16" s="1"/>
  <c r="AI279" i="16"/>
  <c r="AJ279" i="16" s="1"/>
  <c r="AI588" i="16"/>
  <c r="AJ588" i="16" s="1"/>
  <c r="AI272" i="16"/>
  <c r="AJ272" i="16" s="1"/>
  <c r="AI523" i="16"/>
  <c r="AJ523" i="16" s="1"/>
  <c r="AI1680" i="16"/>
  <c r="AJ1680" i="16" s="1"/>
  <c r="AI2115" i="16"/>
  <c r="AJ2115" i="16" s="1"/>
  <c r="AI1180" i="16"/>
  <c r="AJ1180" i="16" s="1"/>
  <c r="AI1481" i="16"/>
  <c r="AJ1481" i="16" s="1"/>
  <c r="AI2074" i="16"/>
  <c r="AJ2074" i="16" s="1"/>
  <c r="AI1032" i="16"/>
  <c r="AJ1032" i="16" s="1"/>
  <c r="AI1190" i="16"/>
  <c r="AJ1190" i="16" s="1"/>
  <c r="AI1199" i="16"/>
  <c r="AJ1199" i="16" s="1"/>
  <c r="AI1219" i="16"/>
  <c r="AJ1219" i="16" s="1"/>
  <c r="AI680" i="16"/>
  <c r="AJ680" i="16" s="1"/>
  <c r="AI1306" i="16"/>
  <c r="AJ1306" i="16" s="1"/>
  <c r="AI1300" i="16"/>
  <c r="AJ1300" i="16" s="1"/>
  <c r="AI502" i="16"/>
  <c r="AJ502" i="16" s="1"/>
  <c r="AJ494" i="16"/>
  <c r="AJ789" i="16"/>
  <c r="AI620" i="16"/>
  <c r="AJ620" i="16" s="1"/>
  <c r="AI1334" i="16"/>
  <c r="AJ1334" i="16" s="1"/>
  <c r="AI47" i="16"/>
  <c r="AJ47" i="16" s="1"/>
  <c r="AI2148" i="16"/>
  <c r="AJ2148" i="16" s="1"/>
  <c r="AI992" i="16"/>
  <c r="AJ992" i="16" s="1"/>
  <c r="AI331" i="16"/>
  <c r="AJ331" i="16" s="1"/>
  <c r="AI172" i="16"/>
  <c r="AJ172" i="16" s="1"/>
  <c r="AI229" i="16"/>
  <c r="AJ229" i="16" s="1"/>
  <c r="AI2246" i="16"/>
  <c r="AJ2246" i="16" s="1"/>
  <c r="AI1829" i="16"/>
  <c r="AJ1829" i="16" s="1"/>
  <c r="AI1014" i="16"/>
  <c r="AJ1014" i="16" s="1"/>
  <c r="AI686" i="16"/>
  <c r="AJ686" i="16" s="1"/>
  <c r="AI289" i="16"/>
  <c r="AJ289" i="16" s="1"/>
  <c r="AI568" i="16"/>
  <c r="AJ568" i="16" s="1"/>
  <c r="AI2149" i="16"/>
  <c r="AJ2149" i="16" s="1"/>
  <c r="AI699" i="16"/>
  <c r="AJ699" i="16" s="1"/>
  <c r="AI2307" i="16"/>
  <c r="AJ2307" i="16" s="1"/>
  <c r="AI1719" i="16"/>
  <c r="AJ1719" i="16" s="1"/>
  <c r="AI1488" i="16"/>
  <c r="AJ1488" i="16" s="1"/>
  <c r="AI1952" i="16"/>
  <c r="AJ1952" i="16" s="1"/>
  <c r="AI1111" i="16"/>
  <c r="AJ1111" i="16" s="1"/>
  <c r="AI2207" i="16"/>
  <c r="AJ2207" i="16" s="1"/>
  <c r="AI408" i="16"/>
  <c r="AJ408" i="16" s="1"/>
  <c r="AI2118" i="16"/>
  <c r="AJ2118" i="16" s="1"/>
  <c r="AI1045" i="16"/>
  <c r="AJ1045" i="16" s="1"/>
  <c r="AI700" i="16"/>
  <c r="AJ700" i="16" s="1"/>
  <c r="AI707" i="16"/>
  <c r="AJ707" i="16" s="1"/>
  <c r="AI402" i="16"/>
  <c r="AJ402" i="16" s="1"/>
  <c r="AI1677" i="16"/>
  <c r="AJ1677" i="16" s="1"/>
  <c r="AI497" i="16"/>
  <c r="AJ497" i="16" s="1"/>
  <c r="AI848" i="16"/>
  <c r="AJ848" i="16" s="1"/>
  <c r="AI795" i="16"/>
  <c r="AJ795" i="16" s="1"/>
  <c r="AI141" i="16"/>
  <c r="AJ141" i="16" s="1"/>
  <c r="AI877" i="16"/>
  <c r="AJ877" i="16" s="1"/>
  <c r="AI1657" i="16"/>
  <c r="AJ1657" i="16" s="1"/>
  <c r="AI2159" i="16"/>
  <c r="AJ2159" i="16" s="1"/>
  <c r="AI1159" i="16"/>
  <c r="AJ1159" i="16" s="1"/>
  <c r="AI1503" i="16"/>
  <c r="AJ1503" i="16" s="1"/>
  <c r="AI1196" i="16"/>
  <c r="AJ1196" i="16" s="1"/>
  <c r="AI1229" i="16"/>
  <c r="AJ1229" i="16" s="1"/>
  <c r="AI845" i="16"/>
  <c r="AJ845" i="16" s="1"/>
  <c r="AI1188" i="16"/>
  <c r="AJ1188" i="16" s="1"/>
  <c r="AI1015" i="16"/>
  <c r="AJ1015" i="16" s="1"/>
  <c r="AI29" i="16"/>
  <c r="AJ29" i="16" s="1"/>
  <c r="AI2053" i="16"/>
  <c r="AJ2053" i="16" s="1"/>
  <c r="AI1663" i="16"/>
  <c r="AJ1663" i="16" s="1"/>
  <c r="AI361" i="16"/>
  <c r="AJ361" i="16" s="1"/>
  <c r="AI2210" i="16"/>
  <c r="AJ2210" i="16" s="1"/>
  <c r="AI1457" i="16"/>
  <c r="AJ1457" i="16" s="1"/>
  <c r="AI564" i="16"/>
  <c r="AJ564" i="16" s="1"/>
  <c r="AI1172" i="16"/>
  <c r="AJ1172" i="16" s="1"/>
  <c r="AI1249" i="16"/>
  <c r="AJ1249" i="16" s="1"/>
  <c r="AI809" i="16"/>
  <c r="AJ809" i="16" s="1"/>
  <c r="AI1980" i="16"/>
  <c r="AJ1980" i="16" s="1"/>
  <c r="AI820" i="16"/>
  <c r="AJ820" i="16" s="1"/>
  <c r="AI1639" i="16"/>
  <c r="AJ1639" i="16" s="1"/>
  <c r="AI1858" i="16"/>
  <c r="AJ1858" i="16" s="1"/>
  <c r="AI374" i="16"/>
  <c r="AJ374" i="16" s="1"/>
  <c r="AI1607" i="16"/>
  <c r="AJ1607" i="16" s="1"/>
  <c r="AI337" i="16"/>
  <c r="AJ337" i="16" s="1"/>
  <c r="AI1061" i="16"/>
  <c r="AJ1061" i="16" s="1"/>
  <c r="AI1132" i="16"/>
  <c r="AJ1132" i="16" s="1"/>
  <c r="AI733" i="16"/>
  <c r="AJ733" i="16" s="1"/>
  <c r="AI2311" i="16"/>
  <c r="AJ2311" i="16" s="1"/>
  <c r="AI1385" i="16"/>
  <c r="AJ1385" i="16" s="1"/>
  <c r="AI135" i="16"/>
  <c r="AJ135" i="16" s="1"/>
  <c r="AI649" i="16"/>
  <c r="AJ649" i="16" s="1"/>
  <c r="AI610" i="16"/>
  <c r="AJ610" i="16" s="1"/>
  <c r="AI2067" i="16"/>
  <c r="AJ2067" i="16" s="1"/>
  <c r="AI1634" i="16"/>
  <c r="AJ1634" i="16" s="1"/>
  <c r="AI1874" i="16"/>
  <c r="AJ1874" i="16" s="1"/>
  <c r="AI1950" i="16"/>
  <c r="AJ1950" i="16" s="1"/>
  <c r="AJ1261" i="16"/>
  <c r="AJ1202" i="16"/>
  <c r="AJ582" i="16"/>
  <c r="AI1227" i="16"/>
  <c r="AJ1227" i="16" s="1"/>
  <c r="AI1301" i="16"/>
  <c r="AJ1301" i="16" s="1"/>
  <c r="AJ524" i="16"/>
  <c r="AJ1992" i="16"/>
  <c r="AJ720" i="16"/>
  <c r="AJ2068" i="16"/>
  <c r="AI1318" i="16"/>
  <c r="AJ1318" i="16" s="1"/>
  <c r="AJ2168" i="16"/>
  <c r="AI655" i="16"/>
  <c r="AJ655" i="16" s="1"/>
  <c r="AI1321" i="16"/>
  <c r="AJ1321" i="16" s="1"/>
  <c r="AI643" i="16"/>
  <c r="AJ643" i="16" s="1"/>
  <c r="AI357" i="16"/>
  <c r="AJ357" i="16" s="1"/>
  <c r="AI788" i="16"/>
  <c r="AJ788" i="16" s="1"/>
  <c r="AI1493" i="16"/>
  <c r="AJ1493" i="16" s="1"/>
  <c r="AI748" i="16"/>
  <c r="AJ748" i="16" s="1"/>
  <c r="AI1711" i="16"/>
  <c r="AJ1711" i="16" s="1"/>
  <c r="AI93" i="16"/>
  <c r="AJ93" i="16" s="1"/>
  <c r="AI450" i="16"/>
  <c r="AJ450" i="16" s="1"/>
  <c r="AI2057" i="16"/>
  <c r="AJ2057" i="16" s="1"/>
  <c r="AI1280" i="16"/>
  <c r="AJ1280" i="16" s="1"/>
  <c r="AI31" i="16"/>
  <c r="AJ31" i="16" s="1"/>
  <c r="AI1851" i="16"/>
  <c r="AJ1851" i="16" s="1"/>
  <c r="AI495" i="16"/>
  <c r="AJ495" i="16" s="1"/>
  <c r="AI527" i="16"/>
  <c r="AJ527" i="16" s="1"/>
  <c r="AI235" i="16"/>
  <c r="AJ235" i="16" s="1"/>
  <c r="AI2103" i="16"/>
  <c r="AJ2103" i="16" s="1"/>
  <c r="AI1987" i="16"/>
  <c r="AJ1987" i="16" s="1"/>
  <c r="AI2079" i="16"/>
  <c r="AJ2079" i="16" s="1"/>
  <c r="AI1236" i="16"/>
  <c r="AJ1236" i="16" s="1"/>
  <c r="AI1850" i="16"/>
  <c r="AJ1850" i="16" s="1"/>
  <c r="AI1530" i="16"/>
  <c r="AJ1530" i="16" s="1"/>
  <c r="AI501" i="16"/>
  <c r="AJ501" i="16" s="1"/>
  <c r="AI1981" i="16"/>
  <c r="AJ1981" i="16" s="1"/>
  <c r="AI1642" i="16"/>
  <c r="AJ1642" i="16" s="1"/>
  <c r="AI1450" i="16"/>
  <c r="AJ1450" i="16" s="1"/>
  <c r="AI366" i="16"/>
  <c r="AJ366" i="16" s="1"/>
  <c r="AI674" i="16"/>
  <c r="AJ674" i="16" s="1"/>
  <c r="AI1925" i="16"/>
  <c r="AJ1925" i="16" s="1"/>
  <c r="AI1542" i="16"/>
  <c r="AJ1542" i="16" s="1"/>
  <c r="AI1068" i="16"/>
  <c r="AJ1068" i="16" s="1"/>
  <c r="AI477" i="16"/>
  <c r="AJ477" i="16" s="1"/>
  <c r="AI2114" i="16"/>
  <c r="AJ2114" i="16" s="1"/>
  <c r="AI1135" i="16"/>
  <c r="AJ1135" i="16" s="1"/>
  <c r="AI1123" i="16"/>
  <c r="AJ1123" i="16" s="1"/>
  <c r="AI947" i="16"/>
  <c r="AJ947" i="16" s="1"/>
  <c r="AI347" i="16"/>
  <c r="AJ347" i="16" s="1"/>
  <c r="AI693" i="16"/>
  <c r="AJ693" i="16" s="1"/>
  <c r="AI826" i="16"/>
  <c r="AJ826" i="16" s="1"/>
  <c r="AI329" i="16"/>
  <c r="AJ329" i="16" s="1"/>
  <c r="AJ1784" i="16"/>
  <c r="AJ1296" i="16"/>
  <c r="AJ1254" i="16"/>
  <c r="AJ456" i="16"/>
  <c r="AJ419" i="16"/>
  <c r="AJ1595" i="16"/>
  <c r="AJ854" i="16"/>
  <c r="AJ632" i="16"/>
  <c r="AJ2331" i="16"/>
  <c r="AJ1816" i="16"/>
  <c r="AJ1024" i="16"/>
  <c r="AJ1692" i="16"/>
  <c r="AJ2018" i="16"/>
  <c r="AJ1529" i="16"/>
  <c r="AJ286" i="16"/>
  <c r="AJ1644" i="16"/>
  <c r="AJ1081" i="16"/>
  <c r="AJ1568" i="16"/>
  <c r="AJ1580" i="16"/>
  <c r="AJ154" i="16"/>
  <c r="AJ1160" i="16"/>
  <c r="AJ1484" i="16"/>
  <c r="AJ1140" i="16"/>
  <c r="AJ449" i="16"/>
  <c r="AJ504" i="16"/>
  <c r="AJ168" i="16"/>
  <c r="AJ480" i="16"/>
  <c r="AJ2325" i="16"/>
  <c r="AJ340" i="16"/>
  <c r="AJ2171" i="16"/>
  <c r="AJ68" i="16"/>
  <c r="AJ2316" i="16"/>
  <c r="AJ1116" i="16"/>
  <c r="AJ963" i="16"/>
  <c r="AJ1740" i="16"/>
  <c r="AJ118" i="16"/>
  <c r="AJ225" i="16"/>
  <c r="AJ409" i="16"/>
  <c r="AJ469" i="16"/>
  <c r="AJ1913" i="16"/>
  <c r="AJ2280" i="16"/>
  <c r="AJ557" i="16"/>
  <c r="AJ353" i="16"/>
  <c r="AJ773" i="16"/>
  <c r="AJ1335" i="16"/>
  <c r="AJ2319" i="16"/>
  <c r="AJ1255" i="16"/>
  <c r="AJ1825" i="16"/>
  <c r="AJ158" i="16"/>
  <c r="AJ472" i="16"/>
  <c r="AJ572" i="16"/>
  <c r="AJ1967" i="16"/>
  <c r="AJ134" i="16"/>
  <c r="AJ1935" i="16"/>
  <c r="AJ1373" i="16"/>
  <c r="AJ1170" i="16"/>
  <c r="AJ1762" i="16"/>
  <c r="AJ2046" i="16"/>
  <c r="AJ316" i="16"/>
  <c r="AJ2015" i="16"/>
  <c r="AJ1149" i="16"/>
  <c r="AJ612" i="16"/>
  <c r="AJ1701" i="16"/>
  <c r="AJ587" i="16"/>
  <c r="AJ635" i="16"/>
  <c r="AJ1632" i="16"/>
  <c r="AJ934" i="16"/>
  <c r="AJ1003" i="16"/>
  <c r="AJ51" i="16"/>
  <c r="AJ784" i="16"/>
  <c r="AJ2204" i="16"/>
  <c r="AJ2177" i="16"/>
  <c r="AJ1272" i="16"/>
  <c r="AJ2232" i="16"/>
  <c r="AJ1782" i="16"/>
  <c r="AJ1865" i="16"/>
  <c r="AJ1936" i="16"/>
  <c r="AJ1664" i="16"/>
  <c r="AJ421" i="16"/>
  <c r="AJ292" i="16"/>
  <c r="AJ755" i="16"/>
  <c r="AJ2049" i="16"/>
  <c r="AJ1494" i="16"/>
  <c r="AJ313" i="16"/>
  <c r="AJ80" i="16"/>
  <c r="AJ1852" i="16"/>
  <c r="AJ1128" i="16"/>
  <c r="AJ1002" i="16"/>
  <c r="AJ799" i="16"/>
  <c r="AJ431" i="16"/>
  <c r="AJ90" i="16"/>
  <c r="AJ2252" i="16"/>
  <c r="AJ1515" i="16"/>
  <c r="AJ967" i="16"/>
  <c r="AJ2033" i="16"/>
  <c r="AJ1174" i="16"/>
  <c r="AJ1704" i="16"/>
  <c r="AJ1755" i="16"/>
  <c r="AJ2236" i="16"/>
  <c r="AJ779" i="16"/>
  <c r="AJ1352" i="16"/>
  <c r="AJ1125" i="16"/>
  <c r="AJ1577" i="16"/>
  <c r="AJ1498" i="16"/>
  <c r="AJ744" i="16"/>
  <c r="AJ2191" i="16"/>
  <c r="AJ593" i="16"/>
  <c r="AJ344" i="16"/>
  <c r="AJ1539" i="16"/>
  <c r="AJ1237" i="16"/>
  <c r="AJ21" i="16"/>
  <c r="AJ1803" i="16"/>
  <c r="AJ2278" i="16"/>
  <c r="AJ1462" i="16"/>
  <c r="AJ990" i="16"/>
  <c r="AJ579" i="16"/>
  <c r="AJ1163" i="16"/>
  <c r="AJ1689" i="16"/>
  <c r="AJ264" i="16"/>
  <c r="AJ410" i="16"/>
  <c r="AJ1565" i="16"/>
  <c r="AJ253" i="16"/>
  <c r="AJ566" i="16"/>
  <c r="AJ911" i="16"/>
  <c r="AJ2026" i="16"/>
  <c r="AJ1175" i="16"/>
  <c r="AJ1978" i="16"/>
  <c r="AJ439" i="16"/>
  <c r="AJ1047" i="16"/>
  <c r="AJ96" i="16"/>
  <c r="AJ1120" i="16"/>
  <c r="AJ1215" i="16"/>
  <c r="AJ341" i="16"/>
  <c r="AJ452" i="16"/>
  <c r="AJ1168" i="16"/>
  <c r="AJ2058" i="16"/>
  <c r="AJ1222" i="16"/>
  <c r="AJ1538" i="16"/>
  <c r="AJ399" i="16"/>
  <c r="AJ721" i="16"/>
  <c r="AJ2027" i="16"/>
  <c r="AJ1311" i="16"/>
  <c r="AJ730" i="16"/>
  <c r="AJ2077" i="16"/>
  <c r="AJ219" i="16"/>
  <c r="AJ1926" i="16"/>
  <c r="AJ1226" i="16"/>
  <c r="AJ2005" i="16"/>
  <c r="AJ1817" i="16"/>
  <c r="AJ2183" i="16"/>
  <c r="AJ1066" i="16"/>
  <c r="AJ510" i="16"/>
  <c r="AJ1658" i="16"/>
  <c r="AJ599" i="16"/>
  <c r="AJ2318" i="16"/>
  <c r="AJ352" i="16"/>
  <c r="AJ1452" i="16"/>
  <c r="AJ232" i="16"/>
  <c r="AJ1392" i="16"/>
  <c r="AJ891" i="16"/>
  <c r="AJ1708" i="16"/>
  <c r="AJ1147" i="16"/>
  <c r="AJ2312" i="16"/>
  <c r="AJ2121" i="16"/>
  <c r="AJ445" i="16"/>
  <c r="AJ1501" i="16"/>
  <c r="AJ682" i="16"/>
  <c r="AJ187" i="16"/>
  <c r="AJ2257" i="16"/>
  <c r="AJ2248" i="16"/>
  <c r="AJ2032" i="16"/>
  <c r="AJ982" i="16"/>
  <c r="AJ1391" i="16"/>
  <c r="AJ119" i="16"/>
  <c r="AJ1910" i="16"/>
  <c r="AJ1465" i="16"/>
  <c r="AJ342" i="16"/>
  <c r="AJ607" i="16"/>
  <c r="AJ1418" i="16"/>
  <c r="AJ1217" i="16"/>
  <c r="AJ2165" i="16"/>
  <c r="AJ1570" i="16"/>
  <c r="AJ433" i="16"/>
  <c r="AJ1670" i="16"/>
  <c r="AJ482" i="16"/>
  <c r="AJ763" i="16"/>
  <c r="AJ407" i="16"/>
  <c r="AJ2174" i="16"/>
  <c r="AJ9" i="16"/>
  <c r="AJ1948" i="16"/>
  <c r="AJ1243" i="16"/>
  <c r="AJ233" i="16"/>
  <c r="AJ923" i="16"/>
  <c r="AJ475" i="16"/>
  <c r="AJ1564" i="16"/>
  <c r="AJ1273" i="16"/>
  <c r="AJ922" i="16"/>
  <c r="AJ1320" i="16"/>
  <c r="AJ1790" i="16"/>
  <c r="AJ174" i="16"/>
  <c r="AJ87" i="16"/>
  <c r="AJ1166" i="16"/>
  <c r="AJ492" i="16"/>
  <c r="AJ1836" i="16"/>
  <c r="AJ2211" i="16"/>
  <c r="AJ1214" i="16"/>
  <c r="AJ1932" i="16"/>
  <c r="AJ2267" i="16"/>
  <c r="AJ1869" i="16"/>
  <c r="AJ1048" i="16"/>
  <c r="AJ1675" i="16"/>
  <c r="AJ1363" i="16"/>
  <c r="AJ741" i="16"/>
  <c r="AJ1454" i="16"/>
  <c r="AJ333" i="16"/>
  <c r="AJ181" i="16"/>
  <c r="AJ1747" i="16"/>
  <c r="AJ817" i="16"/>
  <c r="AJ369" i="16"/>
  <c r="AJ171" i="16"/>
  <c r="AJ835" i="16"/>
  <c r="AJ1857" i="16"/>
  <c r="AJ1783" i="16"/>
  <c r="AJ656" i="16"/>
  <c r="AJ1368" i="16"/>
  <c r="AJ270" i="16"/>
  <c r="AJ27" i="16"/>
  <c r="AJ131" i="16"/>
  <c r="AJ1023" i="16"/>
  <c r="AJ1183" i="16"/>
  <c r="AJ2043" i="16"/>
  <c r="AJ1234" i="16"/>
  <c r="AJ2209" i="16"/>
  <c r="AJ438" i="16"/>
  <c r="AJ1153" i="16"/>
  <c r="AJ1724" i="16"/>
  <c r="AJ267" i="16"/>
  <c r="AJ790" i="16"/>
  <c r="AJ273" i="16"/>
  <c r="AJ1449" i="16"/>
  <c r="AJ460" i="16"/>
  <c r="AJ266" i="16"/>
  <c r="AJ163" i="16"/>
  <c r="AJ368" i="16"/>
  <c r="AJ92" i="16"/>
  <c r="AJ1399" i="16"/>
  <c r="AJ1492" i="16"/>
  <c r="AJ128" i="16"/>
  <c r="AJ509" i="16"/>
  <c r="AJ1808" i="16"/>
  <c r="AJ536" i="16"/>
  <c r="AJ1442" i="16"/>
  <c r="AJ1957" i="16"/>
  <c r="AJ1759" i="16"/>
  <c r="AJ2299" i="16"/>
  <c r="AJ2245" i="16"/>
  <c r="AJ1256" i="16"/>
  <c r="AJ211" i="16"/>
  <c r="AJ1078" i="16"/>
  <c r="AJ117" i="16"/>
  <c r="AJ1578" i="16"/>
  <c r="AJ676" i="16"/>
  <c r="AJ1330" i="16"/>
  <c r="AJ1138" i="16"/>
  <c r="AJ583" i="16"/>
  <c r="AJ1103" i="16"/>
  <c r="AJ280" i="16"/>
  <c r="AJ1535" i="16"/>
  <c r="AJ371" i="16"/>
  <c r="AJ1342" i="16"/>
  <c r="AJ2122" i="16"/>
  <c r="AJ853" i="16"/>
  <c r="AJ177" i="16"/>
  <c r="AJ956" i="16"/>
  <c r="AJ949" i="16"/>
  <c r="AJ1799" i="16"/>
  <c r="AJ2161" i="16"/>
  <c r="AJ1969" i="16"/>
  <c r="AJ513" i="16"/>
  <c r="AJ742" i="16"/>
  <c r="AJ2037" i="16"/>
  <c r="AJ1833" i="16"/>
  <c r="AJ101" i="16"/>
  <c r="AJ1842" i="16"/>
  <c r="AJ1589" i="16"/>
  <c r="AJ2290" i="16"/>
  <c r="AJ1720" i="16"/>
  <c r="AJ1346" i="16"/>
  <c r="AJ786" i="16"/>
  <c r="AJ1915" i="16"/>
  <c r="AJ1139" i="16"/>
  <c r="AJ929" i="16"/>
  <c r="AJ907" i="16"/>
  <c r="AJ2061" i="16"/>
  <c r="AJ1572" i="16"/>
  <c r="AJ1086" i="16"/>
  <c r="AJ1881" i="16"/>
  <c r="AJ1822" i="16"/>
  <c r="AJ1561" i="16"/>
  <c r="AJ1298" i="16"/>
  <c r="AJ77" i="16"/>
  <c r="AJ427" i="16"/>
  <c r="AJ2164" i="16"/>
  <c r="AJ1416" i="16"/>
  <c r="AJ980" i="16"/>
  <c r="AJ1824" i="16"/>
  <c r="AJ1210" i="16"/>
  <c r="AJ1521" i="16"/>
  <c r="AJ411" i="16"/>
  <c r="AJ2093" i="16"/>
  <c r="AJ1767" i="16"/>
  <c r="AJ1464" i="16"/>
  <c r="AJ2099" i="16"/>
  <c r="AJ1703" i="16"/>
  <c r="AJ1901" i="16"/>
  <c r="AJ1105" i="16"/>
  <c r="AJ287" i="16"/>
  <c r="AJ1477" i="16"/>
  <c r="AJ1083" i="16"/>
  <c r="AJ1741" i="16"/>
  <c r="AJ672" i="16"/>
  <c r="AJ844" i="16"/>
  <c r="AJ1554" i="16"/>
  <c r="AJ928" i="16"/>
  <c r="AJ889" i="16"/>
  <c r="AJ908" i="16"/>
  <c r="AJ639" i="16"/>
  <c r="AJ19" i="16"/>
  <c r="AJ735" i="16"/>
  <c r="AJ412" i="16"/>
  <c r="AJ40" i="16"/>
  <c r="AJ1730" i="16"/>
  <c r="AJ1046" i="16"/>
  <c r="AJ116" i="16"/>
  <c r="AJ45" i="16"/>
  <c r="AJ346" i="16"/>
  <c r="AJ1744" i="16"/>
  <c r="AJ517" i="16"/>
  <c r="AJ1791" i="16"/>
  <c r="AJ1777" i="16"/>
  <c r="AJ1312" i="16"/>
  <c r="AJ2340" i="16"/>
  <c r="AJ1502" i="16"/>
  <c r="AJ1005" i="16"/>
  <c r="AJ1994" i="16"/>
  <c r="AJ197" i="16"/>
  <c r="AJ42" i="16"/>
  <c r="AJ24" i="16"/>
  <c r="AJ362" i="16"/>
  <c r="AJ2301" i="16"/>
  <c r="AJ913" i="16"/>
  <c r="AJ668" i="16"/>
  <c r="AJ1192" i="16"/>
  <c r="AJ1727" i="16"/>
  <c r="AJ1765" i="16"/>
  <c r="AJ184" i="16"/>
  <c r="AJ308" i="16"/>
  <c r="AJ2282" i="16"/>
  <c r="AJ1037" i="16"/>
  <c r="AJ1186" i="16"/>
  <c r="AJ164" i="16"/>
  <c r="AJ591" i="16"/>
  <c r="AJ2151" i="16"/>
  <c r="AJ1896" i="16"/>
  <c r="AJ2065" i="16"/>
  <c r="AJ1077" i="16"/>
  <c r="AJ1240" i="16"/>
  <c r="AJ1640" i="16"/>
  <c r="AJ538" i="16"/>
  <c r="AJ1661" i="16"/>
  <c r="AJ23" i="16"/>
  <c r="AJ2089" i="16"/>
  <c r="AJ2172" i="16"/>
  <c r="AJ1259" i="16"/>
  <c r="AJ1505" i="16"/>
  <c r="AJ2295" i="16"/>
  <c r="AJ983" i="16"/>
  <c r="AJ2143" i="16"/>
  <c r="AJ814" i="16"/>
  <c r="AJ1872" i="16"/>
  <c r="AJ2227" i="16"/>
  <c r="AJ526" i="16"/>
  <c r="AJ108" i="16"/>
  <c r="AJ1324" i="16"/>
  <c r="AJ143" i="16"/>
  <c r="AJ109" i="16"/>
  <c r="AJ1171" i="16"/>
  <c r="AJ479" i="16"/>
  <c r="AJ1436" i="16"/>
  <c r="AJ28" i="16"/>
  <c r="AJ2013" i="16"/>
  <c r="AJ2020" i="16"/>
  <c r="AJ1942" i="16"/>
  <c r="AJ430" i="16"/>
  <c r="AJ500" i="16"/>
  <c r="AJ2034" i="16"/>
  <c r="AJ1761" i="16"/>
  <c r="AJ667" i="16"/>
  <c r="AJ717" i="16"/>
  <c r="AJ756" i="16"/>
  <c r="AJ1504" i="16"/>
  <c r="AJ2184" i="16"/>
  <c r="AJ1286" i="16"/>
  <c r="AJ496" i="16"/>
  <c r="AJ1242" i="16"/>
  <c r="AJ2107" i="16"/>
  <c r="AJ1918" i="16"/>
  <c r="AJ50" i="16"/>
  <c r="AJ57" i="16"/>
  <c r="AJ722" i="16"/>
  <c r="AJ182" i="16"/>
  <c r="AJ1696" i="16"/>
  <c r="AJ75" i="16"/>
  <c r="AJ146" i="16"/>
  <c r="AJ1339" i="16"/>
  <c r="AJ1785" i="16"/>
  <c r="AJ468" i="16"/>
  <c r="AJ1035" i="16"/>
  <c r="AJ1184" i="16"/>
  <c r="AJ192" i="16"/>
  <c r="AJ1961" i="16"/>
  <c r="AJ127" i="16"/>
  <c r="AJ1414" i="16"/>
  <c r="AJ305" i="16"/>
  <c r="AJ555" i="16"/>
  <c r="AJ114" i="16"/>
  <c r="AJ662" i="16"/>
  <c r="AJ2063" i="16"/>
  <c r="AJ1448" i="16"/>
  <c r="AJ142" i="16"/>
  <c r="AJ807" i="16"/>
  <c r="AJ447" i="16"/>
  <c r="AJ1039" i="16"/>
  <c r="AJ442" i="16"/>
  <c r="AJ1772" i="16"/>
  <c r="AJ1101" i="16"/>
  <c r="AJ2138" i="16"/>
  <c r="AJ851" i="16"/>
  <c r="AJ315" i="16"/>
  <c r="AJ2332" i="16"/>
  <c r="AJ2265" i="16"/>
  <c r="AJ595" i="16"/>
  <c r="AJ1432" i="16"/>
  <c r="AJ998" i="16"/>
  <c r="AJ1212" i="16"/>
  <c r="AJ1453" i="16"/>
  <c r="AJ613" i="16"/>
  <c r="AJ2039" i="16"/>
  <c r="AJ373" i="16"/>
  <c r="AJ759" i="16"/>
  <c r="AJ1011" i="16"/>
  <c r="AJ1660" i="16"/>
  <c r="AJ1770" i="16"/>
  <c r="AJ847" i="16"/>
  <c r="AJ728" i="16"/>
  <c r="AJ2198" i="16"/>
  <c r="AJ511" i="16"/>
  <c r="AJ846" i="16"/>
  <c r="AJ1764" i="16"/>
  <c r="AJ120" i="16"/>
  <c r="AJ540" i="16"/>
  <c r="AJ1207" i="16"/>
  <c r="AJ25" i="16"/>
  <c r="AJ553" i="16"/>
  <c r="AJ1695" i="16"/>
  <c r="AJ1691" i="16"/>
  <c r="AJ2136" i="16"/>
  <c r="AJ43" i="16"/>
  <c r="AJ2212" i="16"/>
  <c r="AJ382" i="16"/>
  <c r="AJ1063" i="16"/>
  <c r="AJ2239" i="16"/>
  <c r="AJ1585" i="16"/>
  <c r="AJ1177" i="16"/>
  <c r="AJ415" i="16"/>
  <c r="AJ1211" i="16"/>
  <c r="AJ1746" i="16"/>
  <c r="AJ1268" i="16"/>
  <c r="AJ1354" i="16"/>
  <c r="AJ18" i="16"/>
  <c r="AJ781" i="16"/>
  <c r="AJ2083" i="16"/>
  <c r="AJ731" i="16"/>
  <c r="AJ2221" i="16"/>
  <c r="AJ1472" i="16"/>
  <c r="AJ1945" i="16"/>
  <c r="AJ1871" i="16"/>
  <c r="AJ1397" i="16"/>
  <c r="AJ254" i="16"/>
  <c r="AJ954" i="16"/>
  <c r="AJ1633" i="16"/>
  <c r="AJ664" i="16"/>
  <c r="AJ1315" i="16"/>
  <c r="AJ318" i="16"/>
  <c r="AJ1667" i="16"/>
  <c r="AJ1204" i="16"/>
  <c r="AJ1688" i="16"/>
  <c r="AJ434" i="16"/>
  <c r="AJ885" i="16"/>
  <c r="AJ1018" i="16"/>
  <c r="AJ888" i="16"/>
  <c r="AJ955" i="16"/>
  <c r="AJ1406" i="16"/>
  <c r="AJ395" i="16"/>
  <c r="AJ1827" i="16"/>
  <c r="AJ106" i="16"/>
  <c r="AJ1195" i="16"/>
  <c r="AJ2189" i="16"/>
  <c r="AJ1813" i="16"/>
  <c r="AJ1626" i="16"/>
  <c r="AJ856" i="16"/>
  <c r="AJ2253" i="16"/>
  <c r="AJ1506" i="16"/>
  <c r="AJ827" i="16"/>
  <c r="AJ2042" i="16"/>
  <c r="AJ1426" i="16"/>
  <c r="AJ1328" i="16"/>
  <c r="AJ417" i="16"/>
  <c r="AJ214" i="16"/>
  <c r="AJ654" i="16"/>
  <c r="AJ1019" i="16"/>
  <c r="AJ596" i="16"/>
  <c r="AJ1173" i="16"/>
  <c r="AJ2127" i="16"/>
  <c r="AJ2315" i="16"/>
  <c r="AJ2244" i="16"/>
  <c r="AJ2000" i="16"/>
  <c r="AJ1287" i="16"/>
  <c r="AJ1668" i="16"/>
  <c r="AJ1775" i="16"/>
  <c r="AJ1155" i="16"/>
  <c r="AJ2261" i="16"/>
  <c r="AJ223" i="16"/>
  <c r="AJ690" i="16"/>
  <c r="AJ1993" i="16"/>
  <c r="AJ2220" i="16"/>
  <c r="AJ1976" i="16"/>
  <c r="AJ1360" i="16"/>
  <c r="AJ1623" i="16"/>
  <c r="AJ2206" i="16"/>
  <c r="AJ590" i="16"/>
  <c r="AJ910" i="16"/>
  <c r="AJ1947" i="16"/>
  <c r="AJ1495" i="16"/>
  <c r="AJ669" i="16"/>
  <c r="AJ1434" i="16"/>
  <c r="AJ916" i="16"/>
  <c r="AJ2157" i="16"/>
  <c r="AJ2313" i="16"/>
  <c r="AJ2293" i="16"/>
  <c r="AJ606" i="16"/>
  <c r="AJ54" i="16"/>
  <c r="AJ1514" i="16"/>
  <c r="AJ1220" i="16"/>
  <c r="AJ84" i="16"/>
  <c r="AJ1252" i="16"/>
  <c r="AJ1091" i="16"/>
  <c r="AJ1133" i="16"/>
  <c r="AJ2073" i="16"/>
  <c r="AJ239" i="16"/>
  <c r="AJ2300" i="16"/>
  <c r="AJ2008" i="16"/>
  <c r="AJ391" i="16"/>
  <c r="AJ1566" i="16"/>
  <c r="AJ1098" i="16"/>
  <c r="AJ260" i="16"/>
  <c r="AJ32" i="16"/>
  <c r="AJ1983" i="16"/>
  <c r="AJ446" i="16"/>
  <c r="AJ2098" i="16"/>
  <c r="AJ1939" i="16"/>
  <c r="AJ2029" i="16"/>
  <c r="AJ1509" i="16"/>
  <c r="AJ2222" i="16"/>
  <c r="AJ2072" i="16"/>
  <c r="AJ1549" i="16"/>
  <c r="AJ2056" i="16"/>
  <c r="AJ377" i="16"/>
  <c r="AJ2147" i="16"/>
  <c r="AJ727" i="16"/>
  <c r="AJ995" i="16"/>
  <c r="AJ1606" i="16"/>
  <c r="AJ94" i="16"/>
  <c r="AJ694" i="16"/>
  <c r="AJ1386" i="16"/>
  <c r="AJ1213" i="16"/>
  <c r="AJ2190" i="16"/>
  <c r="AJ1929" i="16"/>
  <c r="AJ1499" i="16"/>
  <c r="AJ1331" i="16"/>
  <c r="AJ1611" i="16"/>
  <c r="AJ1428" i="16"/>
  <c r="AJ1584" i="16"/>
  <c r="AJ1613" i="16"/>
  <c r="AJ2012" i="16"/>
  <c r="AJ698" i="16"/>
  <c r="AJ1507" i="16"/>
  <c r="AJ1238" i="16"/>
  <c r="AJ2152" i="16"/>
  <c r="AJ964" i="16"/>
  <c r="AJ1796" i="16"/>
  <c r="AJ750" i="16"/>
  <c r="AJ1866" i="16"/>
  <c r="AJ15" i="16"/>
  <c r="AJ307" i="16"/>
  <c r="AJ815" i="16"/>
  <c r="AJ2328" i="16"/>
  <c r="AJ1811" i="16"/>
  <c r="AJ534" i="16"/>
  <c r="AJ429" i="16"/>
  <c r="AJ481" i="16"/>
  <c r="AJ684" i="16"/>
  <c r="AJ840" i="16"/>
  <c r="AJ751" i="16"/>
  <c r="AJ1651" i="16"/>
  <c r="AJ2116" i="16"/>
  <c r="AJ325" i="16"/>
  <c r="AJ1531" i="16"/>
  <c r="AJ149" i="16"/>
  <c r="AJ802" i="16"/>
  <c r="AJ2277" i="16"/>
  <c r="AJ1419" i="16"/>
  <c r="AJ231" i="16"/>
  <c r="AJ1559" i="16"/>
  <c r="AJ933" i="16"/>
  <c r="AJ764" i="16"/>
  <c r="AJ683" i="16"/>
  <c r="AJ376" i="16"/>
  <c r="AJ2285" i="16"/>
  <c r="AJ1621" i="16"/>
  <c r="AJ628" i="16"/>
  <c r="AJ159" i="16"/>
  <c r="AJ10" i="16"/>
  <c r="AJ1099" i="16"/>
  <c r="AJ1329" i="16"/>
  <c r="AJ1964" i="16"/>
  <c r="AJ794" i="16"/>
  <c r="AJ740" i="16"/>
  <c r="AJ1104" i="16"/>
  <c r="AJ798" i="16"/>
  <c r="AJ65" i="16"/>
  <c r="AJ930" i="16"/>
  <c r="AJ355" i="16"/>
  <c r="AJ483" i="16"/>
  <c r="AJ1517" i="16"/>
  <c r="AJ508" i="16"/>
  <c r="AJ1867" i="16"/>
  <c r="AJ547" i="16"/>
  <c r="AJ202" i="16"/>
  <c r="AJ906" i="16"/>
  <c r="AJ1742" i="16"/>
  <c r="AJ2007" i="16"/>
  <c r="AJ1496" i="16"/>
  <c r="AJ661" i="16"/>
  <c r="AJ465" i="16"/>
  <c r="AJ617" i="16"/>
  <c r="AJ618" i="16"/>
  <c r="AJ783" i="16"/>
  <c r="AJ148" i="16"/>
  <c r="AJ1903" i="16"/>
  <c r="AJ322" i="16"/>
  <c r="AJ1158" i="16"/>
  <c r="AJ2154" i="16"/>
  <c r="AJ679" i="16"/>
  <c r="AJ926" i="16"/>
  <c r="AJ1372" i="16"/>
  <c r="AJ774" i="16"/>
  <c r="AJ2123" i="16"/>
  <c r="AJ1232" i="16"/>
  <c r="AJ2069" i="16"/>
  <c r="AJ776" i="16"/>
  <c r="AJ864" i="16"/>
  <c r="AJ206" i="16"/>
  <c r="AJ186" i="16"/>
  <c r="AJ1547" i="16"/>
  <c r="AJ295" i="16"/>
  <c r="AJ1235" i="16"/>
  <c r="AJ1347" i="16"/>
  <c r="AJ726" i="16"/>
  <c r="AJ2234" i="16"/>
  <c r="AJ695" i="16"/>
  <c r="AJ227" i="16"/>
  <c r="AJ873" i="16"/>
  <c r="AJ925" i="16"/>
  <c r="AJ879" i="16"/>
  <c r="AJ811" i="16"/>
  <c r="AJ1540" i="16"/>
  <c r="AJ1928" i="16"/>
  <c r="AJ1510" i="16"/>
  <c r="AJ2226" i="16"/>
  <c r="AJ1073" i="16"/>
  <c r="AJ247" i="16"/>
  <c r="AJ33" i="16"/>
  <c r="AJ1694" i="16"/>
  <c r="AJ194" i="16"/>
  <c r="AJ603" i="16"/>
  <c r="AJ2297" i="16"/>
  <c r="AJ640" i="16"/>
  <c r="AJ499" i="16"/>
  <c r="AJ2014" i="16"/>
  <c r="AJ1841" i="16"/>
  <c r="AJ2337" i="16"/>
  <c r="AJ1326" i="16"/>
  <c r="AJ2339" i="16"/>
  <c r="AJ207" i="16"/>
  <c r="AJ1353" i="16"/>
  <c r="AJ100" i="16"/>
  <c r="AJ1131" i="16"/>
  <c r="AJ758" i="16"/>
  <c r="AJ1022" i="16"/>
  <c r="AJ56" i="16"/>
  <c r="AJ1682" i="16"/>
  <c r="AJ2021" i="16"/>
  <c r="AJ1722" i="16"/>
  <c r="AJ852" i="16"/>
  <c r="AJ1142" i="16"/>
  <c r="AJ70" i="16"/>
  <c r="AJ1058" i="16"/>
  <c r="AJ882" i="16"/>
  <c r="AJ2110" i="16"/>
  <c r="AJ752" i="16"/>
  <c r="AJ1548" i="16"/>
  <c r="AJ251" i="16"/>
  <c r="AJ1953" i="16"/>
  <c r="AJ121" i="16"/>
  <c r="AJ832" i="16"/>
  <c r="AJ957" i="16"/>
  <c r="AJ64" i="16"/>
  <c r="AJ34" i="16"/>
  <c r="AJ1467" i="16"/>
  <c r="AJ1403" i="16"/>
  <c r="AJ1181" i="16"/>
  <c r="AJ574" i="16"/>
  <c r="AJ443" i="16"/>
  <c r="AJ1684" i="16"/>
  <c r="AJ1327" i="16"/>
  <c r="AJ865" i="16"/>
  <c r="AJ138" i="16"/>
  <c r="AJ1444" i="16"/>
  <c r="AJ1753" i="16"/>
  <c r="AJ406" i="16"/>
  <c r="AJ2096" i="16"/>
  <c r="AJ2133" i="16"/>
  <c r="AJ2166" i="16"/>
  <c r="AJ306" i="16"/>
  <c r="AJ1525" i="16"/>
  <c r="AJ1848" i="16"/>
  <c r="AJ857" i="16"/>
  <c r="AJ1031" i="16"/>
  <c r="AJ797" i="16"/>
  <c r="AJ1971" i="16"/>
  <c r="AJ1463" i="16"/>
  <c r="AJ2179" i="16"/>
  <c r="AJ2304" i="16"/>
  <c r="AJ493" i="16"/>
  <c r="AJ1734" i="16"/>
  <c r="AJ2258" i="16"/>
  <c r="AJ823" i="16"/>
  <c r="AJ2106" i="16"/>
  <c r="AJ1090" i="16"/>
  <c r="AJ112" i="16"/>
  <c r="AJ1534" i="16"/>
  <c r="AJ1225" i="16"/>
  <c r="AJ951" i="16"/>
  <c r="AJ69" i="16"/>
  <c r="AJ2302" i="16"/>
  <c r="AJ993" i="16"/>
  <c r="AJ1930" i="16"/>
  <c r="AJ546" i="16"/>
  <c r="AJ250" i="16"/>
  <c r="AJ432" i="16"/>
  <c r="AJ228" i="16"/>
  <c r="AJ2071" i="16"/>
  <c r="AJ1743" i="16"/>
  <c r="AJ2060" i="16"/>
  <c r="AJ1814" i="16"/>
  <c r="AJ1802" i="16"/>
  <c r="AJ1629" i="16"/>
  <c r="AJ365" i="16"/>
  <c r="AJ1408" i="16"/>
  <c r="AJ378" i="16"/>
  <c r="AJ2199" i="16"/>
  <c r="AJ1310" i="16"/>
  <c r="AJ1470" i="16"/>
  <c r="AJ238" i="16"/>
  <c r="AJ2216" i="16"/>
  <c r="AJ647" i="16"/>
  <c r="AJ2330" i="16"/>
  <c r="AJ293" i="16"/>
  <c r="AJ102" i="16"/>
  <c r="AJ1405" i="16"/>
  <c r="AJ49" i="16"/>
  <c r="AJ1894" i="16"/>
  <c r="AJ1616" i="16"/>
  <c r="AJ520" i="16"/>
  <c r="AJ304" i="16"/>
  <c r="AJ1586" i="16"/>
  <c r="AJ1062" i="16"/>
  <c r="AJ1685" i="16"/>
  <c r="AJ988" i="16"/>
  <c r="AJ782" i="16"/>
  <c r="AJ86" i="16"/>
  <c r="AJ972" i="16"/>
  <c r="AJ1203" i="16"/>
  <c r="AJ403" i="16"/>
  <c r="AJ291" i="16"/>
  <c r="AJ2223" i="16"/>
  <c r="AJ1096" i="16"/>
  <c r="AJ1955" i="16"/>
  <c r="AJ711" i="16"/>
  <c r="AJ1500" i="16"/>
  <c r="AJ1625" i="16"/>
  <c r="AJ1683" i="16"/>
  <c r="AJ1558" i="16"/>
  <c r="AJ1533" i="16"/>
  <c r="AJ1490" i="16"/>
  <c r="AJ1143" i="16"/>
  <c r="AJ166" i="16"/>
  <c r="AJ1076" i="16"/>
  <c r="AJ2113" i="16"/>
  <c r="AJ199" i="16"/>
  <c r="AJ189" i="16"/>
  <c r="AJ372" i="16"/>
  <c r="AJ1013" i="16"/>
  <c r="AJ1161" i="16"/>
  <c r="AJ1094" i="16"/>
  <c r="AJ828" i="16"/>
  <c r="AJ569" i="16"/>
  <c r="AJ1927" i="16"/>
  <c r="AJ626" i="16"/>
  <c r="AJ2281" i="16"/>
  <c r="AJ1431" i="16"/>
  <c r="AJ1637" i="16"/>
  <c r="AJ155" i="16"/>
  <c r="AJ1299" i="16"/>
  <c r="AJ1676" i="16"/>
  <c r="AJ1849" i="16"/>
  <c r="AJ821" i="16"/>
  <c r="AJ463" i="16"/>
  <c r="AJ585" i="16"/>
  <c r="AJ627" i="16"/>
  <c r="AJ1984" i="16"/>
  <c r="AJ2320" i="16"/>
  <c r="AJ800" i="16"/>
  <c r="AJ958" i="16"/>
  <c r="AJ1206" i="16"/>
  <c r="AJ1491" i="16"/>
  <c r="AJ1469" i="16"/>
  <c r="AJ1884" i="16"/>
  <c r="AJ904" i="16"/>
  <c r="AJ623" i="16"/>
  <c r="AJ1127" i="16"/>
  <c r="AJ2097" i="16"/>
  <c r="AJ423" i="16"/>
  <c r="AJ1288" i="16"/>
  <c r="AJ1702" i="16"/>
  <c r="AJ1085" i="16"/>
  <c r="AJ903" i="16"/>
  <c r="AJ600" i="16"/>
  <c r="AJ1404" i="16"/>
  <c r="AJ1072" i="16"/>
  <c r="AJ2024" i="16"/>
  <c r="AJ1748" i="16"/>
  <c r="AJ771" i="16"/>
  <c r="AJ1425" i="16"/>
  <c r="AJ2231" i="16"/>
  <c r="AJ1412" i="16"/>
  <c r="AJ1807" i="16"/>
  <c r="AJ2070" i="16"/>
  <c r="AJ1201" i="16"/>
  <c r="AJ1922" i="16"/>
  <c r="AJ311" i="16"/>
  <c r="AJ629" i="16"/>
  <c r="AJ1726" i="16"/>
  <c r="AJ1604" i="16"/>
  <c r="AJ1079" i="16"/>
  <c r="AJ1631" i="16"/>
  <c r="AJ2256" i="16"/>
  <c r="AJ1757" i="16"/>
  <c r="AJ1636" i="16"/>
  <c r="AJ2010" i="16"/>
  <c r="AJ2323" i="16"/>
  <c r="AJ1749" i="16"/>
  <c r="AJ1941" i="16"/>
  <c r="AJ950" i="16"/>
  <c r="AJ2279" i="16"/>
  <c r="AJ52" i="16"/>
  <c r="AJ1671" i="16"/>
  <c r="AJ1669" i="16"/>
  <c r="AJ2108" i="16"/>
  <c r="AJ813" i="16"/>
  <c r="AJ2150" i="16"/>
  <c r="AJ1290" i="16"/>
  <c r="AJ383" i="16"/>
  <c r="AJ2090" i="16"/>
  <c r="AJ1958" i="16"/>
  <c r="AJ2338" i="16"/>
  <c r="AJ825" i="16"/>
  <c r="AJ2194" i="16"/>
  <c r="AJ1126" i="16"/>
  <c r="AJ1781" i="16"/>
  <c r="AJ1430" i="16"/>
  <c r="AJ2180" i="16"/>
  <c r="AJ2129" i="16"/>
  <c r="AJ1806" i="16"/>
  <c r="AJ2255" i="16"/>
  <c r="AJ1713" i="16"/>
  <c r="AJ977" i="16"/>
  <c r="AK648" i="16" l="1"/>
  <c r="AK1840" i="16"/>
  <c r="AK927" i="16"/>
  <c r="AJ48" i="16"/>
  <c r="AK1400" i="16"/>
  <c r="AK1915" i="16"/>
  <c r="AK1888" i="16"/>
  <c r="AJ1888" i="16"/>
  <c r="AK369" i="16"/>
  <c r="AJ37" i="16"/>
  <c r="AK1537" i="16"/>
  <c r="AJ55" i="16"/>
  <c r="AK734" i="16"/>
  <c r="AJ7" i="16"/>
  <c r="AK96" i="16"/>
  <c r="AJ8" i="16"/>
  <c r="AK13" i="16"/>
  <c r="AJ13" i="16"/>
  <c r="AK1092" i="16"/>
  <c r="AJ30" i="16"/>
  <c r="AK269" i="16"/>
  <c r="AK1516" i="16"/>
  <c r="AK1806" i="16"/>
  <c r="AK1781" i="16"/>
  <c r="AK41" i="16"/>
  <c r="AK974" i="16"/>
  <c r="AK1290" i="16"/>
  <c r="AK2108" i="16"/>
  <c r="AK1968" i="16"/>
  <c r="AK314" i="16"/>
  <c r="AK544" i="16"/>
  <c r="AK1749" i="16"/>
  <c r="AK2256" i="16"/>
  <c r="AK666" i="16"/>
  <c r="AK2038" i="16"/>
  <c r="AK445" i="16"/>
  <c r="AK2128" i="16"/>
  <c r="AK20" i="16"/>
  <c r="AK1710" i="16"/>
  <c r="AK1176" i="16"/>
  <c r="AK2161" i="16"/>
  <c r="AK1702" i="16"/>
  <c r="AK1899" i="16"/>
  <c r="AK2023" i="16"/>
  <c r="AK904" i="16"/>
  <c r="AK1147" i="16"/>
  <c r="AK958" i="16"/>
  <c r="AK1984" i="16"/>
  <c r="AK2122" i="16"/>
  <c r="AK1676" i="16"/>
  <c r="AK173" i="16"/>
  <c r="AK2165" i="16"/>
  <c r="AK280" i="16"/>
  <c r="AK1387" i="16"/>
  <c r="AK1634" i="16"/>
  <c r="AK1330" i="16"/>
  <c r="AK733" i="16"/>
  <c r="AK1607" i="16"/>
  <c r="AK809" i="16"/>
  <c r="AK199" i="16"/>
  <c r="AK1076" i="16"/>
  <c r="AK845" i="16"/>
  <c r="AK1196" i="16"/>
  <c r="AK1159" i="16"/>
  <c r="AK773" i="16"/>
  <c r="AK141" i="16"/>
  <c r="AK497" i="16"/>
  <c r="AK972" i="16"/>
  <c r="AK353" i="16"/>
  <c r="AK557" i="16"/>
  <c r="AK1719" i="16"/>
  <c r="AK1894" i="16"/>
  <c r="AK1658" i="16"/>
  <c r="AK1808" i="16"/>
  <c r="AK1310" i="16"/>
  <c r="AK172" i="16"/>
  <c r="AK469" i="16"/>
  <c r="AK902" i="16"/>
  <c r="AK2071" i="16"/>
  <c r="AK1543" i="16"/>
  <c r="AK302" i="16"/>
  <c r="AK1534" i="16"/>
  <c r="AK1654" i="16"/>
  <c r="AK917" i="16"/>
  <c r="AK657" i="16"/>
  <c r="AK1579" i="16"/>
  <c r="AK1038" i="16"/>
  <c r="AK273" i="16"/>
  <c r="AK1050" i="16"/>
  <c r="AK1106" i="16"/>
  <c r="AK1971" i="16"/>
  <c r="AK1044" i="16"/>
  <c r="AK1031" i="16"/>
  <c r="AK306" i="16"/>
  <c r="AK406" i="16"/>
  <c r="AK1423" i="16"/>
  <c r="AK1774" i="16"/>
  <c r="AK1920" i="16"/>
  <c r="AK1650" i="16"/>
  <c r="AK1095" i="16"/>
  <c r="AK574" i="16"/>
  <c r="AK34" i="16"/>
  <c r="AK1797" i="16"/>
  <c r="AK940" i="16"/>
  <c r="AK1071" i="16"/>
  <c r="AK70" i="16"/>
  <c r="AK1246" i="16"/>
  <c r="AK1022" i="16"/>
  <c r="AK2294" i="16"/>
  <c r="AK830" i="16"/>
  <c r="AK2297" i="16"/>
  <c r="AK2272" i="16"/>
  <c r="AK1712" i="16"/>
  <c r="AK2226" i="16"/>
  <c r="AK2309" i="16"/>
  <c r="AK695" i="16"/>
  <c r="AK726" i="16"/>
  <c r="AK1686" i="16"/>
  <c r="AK1854" i="16"/>
  <c r="AK1547" i="16"/>
  <c r="AK864" i="16"/>
  <c r="AK2040" i="16"/>
  <c r="AK1120" i="16"/>
  <c r="AK658" i="16"/>
  <c r="AK783" i="16"/>
  <c r="AK1162" i="16"/>
  <c r="AK661" i="16"/>
  <c r="AK110" i="16"/>
  <c r="AK2026" i="16"/>
  <c r="AK65" i="16"/>
  <c r="AK740" i="16"/>
  <c r="AK566" i="16"/>
  <c r="AK1332" i="16"/>
  <c r="AK933" i="16"/>
  <c r="AK802" i="16"/>
  <c r="AK1736" i="16"/>
  <c r="AK429" i="16"/>
  <c r="AK2328" i="16"/>
  <c r="AK2322" i="16"/>
  <c r="AK1612" i="16"/>
  <c r="AK571" i="16"/>
  <c r="AK841" i="16"/>
  <c r="AK818" i="16"/>
  <c r="AK1613" i="16"/>
  <c r="AK1611" i="16"/>
  <c r="AK1499" i="16"/>
  <c r="AK2273" i="16"/>
  <c r="AK1386" i="16"/>
  <c r="AK1485" i="16"/>
  <c r="AK755" i="16"/>
  <c r="AK614" i="16"/>
  <c r="AK2204" i="16"/>
  <c r="AK281" i="16"/>
  <c r="AK299" i="16"/>
  <c r="AK428" i="16"/>
  <c r="AK1209" i="16"/>
  <c r="AK1509" i="16"/>
  <c r="AK1819" i="16"/>
  <c r="AK754" i="16"/>
  <c r="AK2047" i="16"/>
  <c r="AK541" i="16"/>
  <c r="AK816" i="16"/>
  <c r="AK2241" i="16"/>
  <c r="AK606" i="16"/>
  <c r="AK2293" i="16"/>
  <c r="AK1384" i="16"/>
  <c r="AK916" i="16"/>
  <c r="AK193" i="16"/>
  <c r="AK2325" i="16"/>
  <c r="AK1985" i="16"/>
  <c r="AK1360" i="16"/>
  <c r="AK690" i="16"/>
  <c r="AK1287" i="16"/>
  <c r="AK2195" i="16"/>
  <c r="AK1328" i="16"/>
  <c r="AK827" i="16"/>
  <c r="AK1813" i="16"/>
  <c r="AK1454" i="16"/>
  <c r="AK1344" i="16"/>
  <c r="AK888" i="16"/>
  <c r="AK741" i="16"/>
  <c r="AK1688" i="16"/>
  <c r="AK2004" i="16"/>
  <c r="AK215" i="16"/>
  <c r="AK1381" i="16"/>
  <c r="AK594" i="16"/>
  <c r="AK2051" i="16"/>
  <c r="AK664" i="16"/>
  <c r="AK1397" i="16"/>
  <c r="AK1602" i="16"/>
  <c r="AK2011" i="16"/>
  <c r="AK58" i="16"/>
  <c r="AK12" i="16"/>
  <c r="AK1776" i="16"/>
  <c r="AK1746" i="16"/>
  <c r="AK1177" i="16"/>
  <c r="AK99" i="16"/>
  <c r="AK1778" i="16"/>
  <c r="AK540" i="16"/>
  <c r="AK846" i="16"/>
  <c r="AK1904" i="16"/>
  <c r="AK847" i="16"/>
  <c r="AK2075" i="16"/>
  <c r="AK1970" i="16"/>
  <c r="AK2265" i="16"/>
  <c r="AK1787" i="16"/>
  <c r="AK275" i="16"/>
  <c r="AK1772" i="16"/>
  <c r="AK2341" i="16"/>
  <c r="AK201" i="16"/>
  <c r="AK1880" i="16"/>
  <c r="AK989" i="16"/>
  <c r="AK1036" i="16"/>
  <c r="AK1821" i="16"/>
  <c r="AK75" i="16"/>
  <c r="AK1918" i="16"/>
  <c r="AK1349" i="16"/>
  <c r="AK801" i="16"/>
  <c r="AK2177" i="16"/>
  <c r="AK1274" i="16"/>
  <c r="AK978" i="16"/>
  <c r="AK496" i="16"/>
  <c r="AK545" i="16"/>
  <c r="AK1476" i="16"/>
  <c r="AK500" i="16"/>
  <c r="AK28" i="16"/>
  <c r="AK1460" i="16"/>
  <c r="AK1869" i="16"/>
  <c r="AK108" i="16"/>
  <c r="AK218" i="16"/>
  <c r="AK1378" i="16"/>
  <c r="AK2109" i="16"/>
  <c r="AK2089" i="16"/>
  <c r="AK1943" i="16"/>
  <c r="AK2033" i="16"/>
  <c r="AK2196" i="16"/>
  <c r="AK245" i="16"/>
  <c r="AK1836" i="16"/>
  <c r="AK2282" i="16"/>
  <c r="AK1192" i="16"/>
  <c r="AK1042" i="16"/>
  <c r="AK362" i="16"/>
  <c r="AK1994" i="16"/>
  <c r="AK1777" i="16"/>
  <c r="AK517" i="16"/>
  <c r="AK1855" i="16"/>
  <c r="AK1046" i="16"/>
  <c r="AK633" i="16"/>
  <c r="AK1438" i="16"/>
  <c r="AK1080" i="16"/>
  <c r="AK2153" i="16"/>
  <c r="AK288" i="16"/>
  <c r="AK763" i="16"/>
  <c r="AK1782" i="16"/>
  <c r="AK677" i="16"/>
  <c r="AK714" i="16"/>
  <c r="AK2016" i="16"/>
  <c r="AK880" i="16"/>
  <c r="AK551" i="16"/>
  <c r="AK1605" i="16"/>
  <c r="AK1731" i="16"/>
  <c r="AK258" i="16"/>
  <c r="AK1281" i="16"/>
  <c r="AK296" i="16"/>
  <c r="AK1569" i="16"/>
  <c r="AK1139" i="16"/>
  <c r="AK1149" i="16"/>
  <c r="AK357" i="16"/>
  <c r="AK2015" i="16"/>
  <c r="AK762" i="16"/>
  <c r="AK1474" i="16"/>
  <c r="AK1136" i="16"/>
  <c r="AK572" i="16"/>
  <c r="AK524" i="16"/>
  <c r="AK2155" i="16"/>
  <c r="AK1066" i="16"/>
  <c r="AK876" i="16"/>
  <c r="AK266" i="16"/>
  <c r="AK1646" i="16"/>
  <c r="AK634" i="16"/>
  <c r="AK713" i="16"/>
  <c r="AK1530" i="16"/>
  <c r="AK1129" i="16"/>
  <c r="AK1486" i="16"/>
  <c r="AK1262" i="16"/>
  <c r="AK1450" i="16"/>
  <c r="AK1853" i="16"/>
  <c r="AK1851" i="16"/>
  <c r="AK452" i="16"/>
  <c r="AK573" i="16"/>
  <c r="AK556" i="16"/>
  <c r="AK1893" i="16"/>
  <c r="AK27" i="16"/>
  <c r="AK1263" i="16"/>
  <c r="AK1276" i="16"/>
  <c r="AK1897" i="16"/>
  <c r="AK1447" i="16"/>
  <c r="AK1577" i="16"/>
  <c r="AK1160" i="16"/>
  <c r="AK766" i="16"/>
  <c r="AK2167" i="16"/>
  <c r="AK597" i="16"/>
  <c r="AK1446" i="16"/>
  <c r="AK1931" i="16"/>
  <c r="AK1282" i="16"/>
  <c r="AK1365" i="16"/>
  <c r="AK796" i="16"/>
  <c r="AK1105" i="16"/>
  <c r="AK1986" i="16"/>
  <c r="AK375" i="16"/>
  <c r="AK1320" i="16"/>
  <c r="AK1852" i="16"/>
  <c r="AK1473" i="16"/>
  <c r="AK1034" i="16"/>
  <c r="AK2032" i="16"/>
  <c r="AK2243" i="16"/>
  <c r="AK237" i="16"/>
  <c r="AK1842" i="16"/>
  <c r="AK2111" i="16"/>
  <c r="AK1087" i="16"/>
  <c r="AK2251" i="16"/>
  <c r="AK115" i="16"/>
  <c r="AK1223" i="16"/>
  <c r="AK2323" i="16"/>
  <c r="AK516" i="16"/>
  <c r="AK180" i="16"/>
  <c r="AK1977" i="16"/>
  <c r="AK1512" i="16"/>
  <c r="AK111" i="16"/>
  <c r="AK513" i="16"/>
  <c r="AK1618" i="16"/>
  <c r="AK1969" i="16"/>
  <c r="AK1072" i="16"/>
  <c r="AK912" i="16"/>
  <c r="AK915" i="16"/>
  <c r="AK2242" i="16"/>
  <c r="AK1884" i="16"/>
  <c r="AK2080" i="16"/>
  <c r="AK869" i="16"/>
  <c r="AK152" i="16"/>
  <c r="AK2078" i="16"/>
  <c r="AK441" i="16"/>
  <c r="AK1881" i="16"/>
  <c r="AK715" i="16"/>
  <c r="AK1299" i="16"/>
  <c r="AK1431" i="16"/>
  <c r="AK2067" i="16"/>
  <c r="AK610" i="16"/>
  <c r="AK1013" i="16"/>
  <c r="AK374" i="16"/>
  <c r="AK2319" i="16"/>
  <c r="AK564" i="16"/>
  <c r="AK2085" i="16"/>
  <c r="AK1143" i="16"/>
  <c r="AK211" i="16"/>
  <c r="AK1335" i="16"/>
  <c r="AK1657" i="16"/>
  <c r="AK403" i="16"/>
  <c r="AK312" i="16"/>
  <c r="AK2310" i="16"/>
  <c r="AK1111" i="16"/>
  <c r="AK1586" i="16"/>
  <c r="AK2149" i="16"/>
  <c r="AK1014" i="16"/>
  <c r="AK293" i="16"/>
  <c r="AK2199" i="16"/>
  <c r="AK467" i="16"/>
  <c r="AK365" i="16"/>
  <c r="AK252" i="16"/>
  <c r="AK39" i="16"/>
  <c r="AK1930" i="16"/>
  <c r="AK476" i="16"/>
  <c r="AK368" i="16"/>
  <c r="AK2049" i="16"/>
  <c r="AK646" i="16"/>
  <c r="AK907" i="16"/>
  <c r="AK602" i="16"/>
  <c r="AK1788" i="16"/>
  <c r="AK63" i="16"/>
  <c r="AK82" i="16"/>
  <c r="AK2268" i="16"/>
  <c r="AK498" i="16"/>
  <c r="AK2146" i="16"/>
  <c r="AK857" i="16"/>
  <c r="AK2166" i="16"/>
  <c r="AK1483" i="16"/>
  <c r="AK1100" i="16"/>
  <c r="AK424" i="16"/>
  <c r="AK1234" i="16"/>
  <c r="AK244" i="16"/>
  <c r="AK2336" i="16"/>
  <c r="AK1183" i="16"/>
  <c r="AK131" i="16"/>
  <c r="AK1818" i="16"/>
  <c r="AK1422" i="16"/>
  <c r="AK2050" i="16"/>
  <c r="AK1142" i="16"/>
  <c r="AK2126" i="16"/>
  <c r="AK393" i="16"/>
  <c r="AK1353" i="16"/>
  <c r="AK1326" i="16"/>
  <c r="AK608" i="16"/>
  <c r="AK2264" i="16"/>
  <c r="AK247" i="16"/>
  <c r="AK1510" i="16"/>
  <c r="AK879" i="16"/>
  <c r="AK703" i="16"/>
  <c r="AK1347" i="16"/>
  <c r="AK482" i="16"/>
  <c r="AK619" i="16"/>
  <c r="AK702" i="16"/>
  <c r="AK776" i="16"/>
  <c r="AK968" i="16"/>
  <c r="AK926" i="16"/>
  <c r="AK2154" i="16"/>
  <c r="AK618" i="16"/>
  <c r="AK1553" i="16"/>
  <c r="AK1496" i="16"/>
  <c r="AK897" i="16"/>
  <c r="AK1517" i="16"/>
  <c r="AK798" i="16"/>
  <c r="AK794" i="16"/>
  <c r="AK10" i="16"/>
  <c r="AK1621" i="16"/>
  <c r="AK253" i="16"/>
  <c r="AK1322" i="16"/>
  <c r="AK751" i="16"/>
  <c r="AK938" i="16"/>
  <c r="AK815" i="16"/>
  <c r="AK307" i="16"/>
  <c r="AK420" i="16"/>
  <c r="AK74" i="16"/>
  <c r="AK1638" i="16"/>
  <c r="AK491" i="16"/>
  <c r="AK1656" i="16"/>
  <c r="AK1689" i="16"/>
  <c r="AK176" i="16"/>
  <c r="AK123" i="16"/>
  <c r="AK694" i="16"/>
  <c r="AK727" i="16"/>
  <c r="AK292" i="16"/>
  <c r="AK819" i="16"/>
  <c r="AK1800" i="16"/>
  <c r="AK212" i="16"/>
  <c r="AK675" i="16"/>
  <c r="AK2316" i="16"/>
  <c r="AK577" i="16"/>
  <c r="AK835" i="16"/>
  <c r="AK576" i="16"/>
  <c r="AK260" i="16"/>
  <c r="AK1221" i="16"/>
  <c r="AK2171" i="16"/>
  <c r="AK1151" i="16"/>
  <c r="AK1514" i="16"/>
  <c r="AK817" i="16"/>
  <c r="AK1278" i="16"/>
  <c r="AK1462" i="16"/>
  <c r="AK1026" i="16"/>
  <c r="AK1673" i="16"/>
  <c r="AK256" i="16"/>
  <c r="AK1747" i="16"/>
  <c r="AK1976" i="16"/>
  <c r="AK223" i="16"/>
  <c r="AK396" i="16"/>
  <c r="AK596" i="16"/>
  <c r="AK1729" i="16"/>
  <c r="AK1506" i="16"/>
  <c r="AK2287" i="16"/>
  <c r="AK1827" i="16"/>
  <c r="AK168" i="16"/>
  <c r="AK2145" i="16"/>
  <c r="AK744" i="16"/>
  <c r="AK504" i="16"/>
  <c r="AK532" i="16"/>
  <c r="AK421" i="16"/>
  <c r="AK1074" i="16"/>
  <c r="AK824" i="16"/>
  <c r="AK157" i="16"/>
  <c r="AK257" i="16"/>
  <c r="AK1835" i="16"/>
  <c r="AK290" i="16"/>
  <c r="AK736" i="16"/>
  <c r="AK731" i="16"/>
  <c r="AK2262" i="16"/>
  <c r="AK1297" i="16"/>
  <c r="AK1662" i="16"/>
  <c r="AK1585" i="16"/>
  <c r="AK2212" i="16"/>
  <c r="AK1691" i="16"/>
  <c r="AK1816" i="16"/>
  <c r="AK2002" i="16"/>
  <c r="AK1266" i="16"/>
  <c r="AK1770" i="16"/>
  <c r="AK373" i="16"/>
  <c r="AK632" i="16"/>
  <c r="AK416" i="16"/>
  <c r="AK1396" i="16"/>
  <c r="AK338" i="16"/>
  <c r="AK442" i="16"/>
  <c r="AK1421" i="16"/>
  <c r="AK1254" i="16"/>
  <c r="AK418" i="16"/>
  <c r="AK114" i="16"/>
  <c r="AK127" i="16"/>
  <c r="AK637" i="16"/>
  <c r="AK1696" i="16"/>
  <c r="AK440" i="16"/>
  <c r="AK1242" i="16"/>
  <c r="AK243" i="16"/>
  <c r="AK2082" i="16"/>
  <c r="AK2292" i="16"/>
  <c r="AK1020" i="16"/>
  <c r="AK1401" i="16"/>
  <c r="AK1122" i="16"/>
  <c r="AK2034" i="16"/>
  <c r="AK1801" i="16"/>
  <c r="AK1436" i="16"/>
  <c r="AK1171" i="16"/>
  <c r="AK636" i="16"/>
  <c r="AK1875" i="16"/>
  <c r="AK351" i="16"/>
  <c r="AK1932" i="16"/>
  <c r="AK1522" i="16"/>
  <c r="AK1887" i="16"/>
  <c r="AK518" i="16"/>
  <c r="AK1240" i="16"/>
  <c r="AK81" i="16"/>
  <c r="AK1767" i="16"/>
  <c r="AK2093" i="16"/>
  <c r="AK1521" i="16"/>
  <c r="AK668" i="16"/>
  <c r="AK1210" i="16"/>
  <c r="AK24" i="16"/>
  <c r="AK1609" i="16"/>
  <c r="AK90" i="16"/>
  <c r="AK67" i="16"/>
  <c r="AK346" i="16"/>
  <c r="AK1730" i="16"/>
  <c r="AK1004" i="16"/>
  <c r="AK1508" i="16"/>
  <c r="AK928" i="16"/>
  <c r="AK1741" i="16"/>
  <c r="AK512" i="16"/>
  <c r="AK2276" i="16"/>
  <c r="AK1269" i="16"/>
  <c r="AK1526" i="16"/>
  <c r="AK1152" i="16"/>
  <c r="AK1052" i="16"/>
  <c r="AK1910" i="16"/>
  <c r="AK862" i="16"/>
  <c r="AK1291" i="16"/>
  <c r="AK1231" i="16"/>
  <c r="AK1316" i="16"/>
  <c r="AK849" i="16"/>
  <c r="AK2100" i="16"/>
  <c r="AK923" i="16"/>
  <c r="AK612" i="16"/>
  <c r="AK716" i="16"/>
  <c r="AK1108" i="16"/>
  <c r="AK560" i="16"/>
  <c r="AK495" i="16"/>
  <c r="AK765" i="16"/>
  <c r="AK1615" i="16"/>
  <c r="AK332" i="16"/>
  <c r="AK947" i="16"/>
  <c r="AK1197" i="16"/>
  <c r="AK1303" i="16"/>
  <c r="AK2183" i="16"/>
  <c r="AK1962" i="16"/>
  <c r="AK530" i="16"/>
  <c r="AK161" i="16"/>
  <c r="AK1064" i="16"/>
  <c r="AK349" i="16"/>
  <c r="AK1222" i="16"/>
  <c r="AK1732" i="16"/>
  <c r="AK400" i="16"/>
  <c r="AK1107" i="16"/>
  <c r="AK1317" i="16"/>
  <c r="AK839" i="16"/>
  <c r="AK1850" i="16"/>
  <c r="AK767" i="16"/>
  <c r="AK200" i="16"/>
  <c r="AK1536" i="16"/>
  <c r="AK270" i="16"/>
  <c r="AK1783" i="16"/>
  <c r="AK17" i="16"/>
  <c r="AK579" i="16"/>
  <c r="AK1135" i="16"/>
  <c r="AK95" i="16"/>
  <c r="AK1125" i="16"/>
  <c r="AK271" i="16"/>
  <c r="AK1493" i="16"/>
  <c r="AK895" i="16"/>
  <c r="AK1009" i="16"/>
  <c r="AK1890" i="16"/>
  <c r="AK1348" i="16"/>
  <c r="AK324" i="16"/>
  <c r="AK1357" i="16"/>
  <c r="AK1725" i="16"/>
  <c r="AK451" i="16"/>
  <c r="AK93" i="16"/>
  <c r="AK922" i="16"/>
  <c r="AK80" i="16"/>
  <c r="AK1720" i="16"/>
  <c r="AK384" i="16"/>
  <c r="AK772" i="16"/>
  <c r="AK1126" i="16"/>
  <c r="AK870" i="16"/>
  <c r="AK1958" i="16"/>
  <c r="AK2150" i="16"/>
  <c r="AK1193" i="16"/>
  <c r="AK316" i="16"/>
  <c r="AK1833" i="16"/>
  <c r="AK950" i="16"/>
  <c r="AK2257" i="16"/>
  <c r="AK1665" i="16"/>
  <c r="AK1079" i="16"/>
  <c r="AK458" i="16"/>
  <c r="AK1726" i="16"/>
  <c r="AK742" i="16"/>
  <c r="AK1028" i="16"/>
  <c r="AK1807" i="16"/>
  <c r="AK771" i="16"/>
  <c r="AK1404" i="16"/>
  <c r="AK961" i="16"/>
  <c r="AK2009" i="16"/>
  <c r="AK2312" i="16"/>
  <c r="AK1089" i="16"/>
  <c r="AK1469" i="16"/>
  <c r="AK2259" i="16"/>
  <c r="AK1620" i="16"/>
  <c r="AK821" i="16"/>
  <c r="AK901" i="16"/>
  <c r="AK470" i="16"/>
  <c r="AK1532" i="16"/>
  <c r="AK1301" i="16"/>
  <c r="AK1874" i="16"/>
  <c r="AK472" i="16"/>
  <c r="AK676" i="16"/>
  <c r="AK158" i="16"/>
  <c r="AK1858" i="16"/>
  <c r="AK189" i="16"/>
  <c r="AK1457" i="16"/>
  <c r="AK2053" i="16"/>
  <c r="AK1490" i="16"/>
  <c r="AK1625" i="16"/>
  <c r="AK1256" i="16"/>
  <c r="AK2245" i="16"/>
  <c r="AK795" i="16"/>
  <c r="AK1677" i="16"/>
  <c r="AK86" i="16"/>
  <c r="AK1685" i="16"/>
  <c r="AK599" i="16"/>
  <c r="AK2307" i="16"/>
  <c r="AK1442" i="16"/>
  <c r="AK49" i="16"/>
  <c r="AK2330" i="16"/>
  <c r="AK1829" i="16"/>
  <c r="AK580" i="16"/>
  <c r="AK409" i="16"/>
  <c r="AK2087" i="16"/>
  <c r="AK228" i="16"/>
  <c r="AK2148" i="16"/>
  <c r="AK1911" i="16"/>
  <c r="AK1738" i="16"/>
  <c r="AK2205" i="16"/>
  <c r="AK2176" i="16"/>
  <c r="AK1917" i="16"/>
  <c r="AK51" i="16"/>
  <c r="AK422" i="16"/>
  <c r="AK2106" i="16"/>
  <c r="AK1734" i="16"/>
  <c r="AK1859" i="16"/>
  <c r="AK918" i="16"/>
  <c r="AK797" i="16"/>
  <c r="AK1848" i="16"/>
  <c r="AK2133" i="16"/>
  <c r="AK145" i="16"/>
  <c r="AK2209" i="16"/>
  <c r="AK724" i="16"/>
  <c r="AK2305" i="16"/>
  <c r="AK1327" i="16"/>
  <c r="AK1678" i="16"/>
  <c r="AK1023" i="16"/>
  <c r="AK562" i="16"/>
  <c r="AK251" i="16"/>
  <c r="AK2237" i="16"/>
  <c r="AK730" i="16"/>
  <c r="AK522" i="16"/>
  <c r="AK1722" i="16"/>
  <c r="AK685" i="16"/>
  <c r="AK843" i="16"/>
  <c r="AK2337" i="16"/>
  <c r="AK2027" i="16"/>
  <c r="AK1694" i="16"/>
  <c r="AK263" i="16"/>
  <c r="AK1928" i="16"/>
  <c r="AK925" i="16"/>
  <c r="AK2234" i="16"/>
  <c r="AK1243" i="16"/>
  <c r="AK2134" i="16"/>
  <c r="AK1902" i="16"/>
  <c r="AK1178" i="16"/>
  <c r="AK2069" i="16"/>
  <c r="AK1417" i="16"/>
  <c r="AK1158" i="16"/>
  <c r="AK872" i="16"/>
  <c r="AK1205" i="16"/>
  <c r="AK2007" i="16"/>
  <c r="AK547" i="16"/>
  <c r="AK710" i="16"/>
  <c r="AK1104" i="16"/>
  <c r="AK1964" i="16"/>
  <c r="AK1466" i="16"/>
  <c r="AK2271" i="16"/>
  <c r="AK1559" i="16"/>
  <c r="AK149" i="16"/>
  <c r="AK283" i="16"/>
  <c r="AK534" i="16"/>
  <c r="AK1812" i="16"/>
  <c r="AK15" i="16"/>
  <c r="AK563" i="16"/>
  <c r="AK638" i="16"/>
  <c r="AK1264" i="16"/>
  <c r="AK1507" i="16"/>
  <c r="AK242" i="16"/>
  <c r="AK1882" i="16"/>
  <c r="AK1362" i="16"/>
  <c r="AK1700" i="16"/>
  <c r="AK1007" i="16"/>
  <c r="AK1982" i="16"/>
  <c r="AK246" i="16"/>
  <c r="AK984" i="16"/>
  <c r="AK2296" i="16"/>
  <c r="AK1398" i="16"/>
  <c r="AK2147" i="16"/>
  <c r="AK1336" i="16"/>
  <c r="AK1763" i="16"/>
  <c r="AK171" i="16"/>
  <c r="AK2098" i="16"/>
  <c r="AK1940" i="16"/>
  <c r="AK1566" i="16"/>
  <c r="AK1427" i="16"/>
  <c r="AK1252" i="16"/>
  <c r="AK2306" i="16"/>
  <c r="AK2130" i="16"/>
  <c r="AK1583" i="16"/>
  <c r="AK855" i="16"/>
  <c r="AK616" i="16"/>
  <c r="AK1495" i="16"/>
  <c r="AK887" i="16"/>
  <c r="AK1070" i="16"/>
  <c r="AK2193" i="16"/>
  <c r="AK1593" i="16"/>
  <c r="AK2000" i="16"/>
  <c r="AK1019" i="16"/>
  <c r="AK644" i="16"/>
  <c r="AK2253" i="16"/>
  <c r="AK1146" i="16"/>
  <c r="AK514" i="16"/>
  <c r="AK1359" i="16"/>
  <c r="AK1544" i="16"/>
  <c r="AK885" i="16"/>
  <c r="AK1204" i="16"/>
  <c r="AK1916" i="16"/>
  <c r="AK1963" i="16"/>
  <c r="AK874" i="16"/>
  <c r="AK1003" i="16"/>
  <c r="AK976" i="16"/>
  <c r="AK1633" i="16"/>
  <c r="AK1871" i="16"/>
  <c r="AK537" i="16"/>
  <c r="AK278" i="16"/>
  <c r="AK14" i="16"/>
  <c r="AK781" i="16"/>
  <c r="AK226" i="16"/>
  <c r="AK2035" i="16"/>
  <c r="AK1773" i="16"/>
  <c r="AK43" i="16"/>
  <c r="AK1695" i="16"/>
  <c r="AK1826" i="16"/>
  <c r="AK303" i="16"/>
  <c r="AK737" i="16"/>
  <c r="AK1557" i="16"/>
  <c r="AK810" i="16"/>
  <c r="AK1453" i="16"/>
  <c r="AK2332" i="16"/>
  <c r="AK2030" i="16"/>
  <c r="AK670" i="16"/>
  <c r="AK850" i="16"/>
  <c r="AK1033" i="16"/>
  <c r="AK2169" i="16"/>
  <c r="AK2081" i="16"/>
  <c r="AK555" i="16"/>
  <c r="AK688" i="16"/>
  <c r="AK1785" i="16"/>
  <c r="AK182" i="16"/>
  <c r="AK388" i="16"/>
  <c r="AK914" i="16"/>
  <c r="AK1831" i="16"/>
  <c r="AK2217" i="16"/>
  <c r="AK784" i="16"/>
  <c r="AK1489" i="16"/>
  <c r="AK1286" i="16"/>
  <c r="AK717" i="16"/>
  <c r="AK1230" i="16"/>
  <c r="AK1755" i="16"/>
  <c r="AK525" i="16"/>
  <c r="AK1892" i="16"/>
  <c r="AK1277" i="16"/>
  <c r="AK526" i="16"/>
  <c r="AK1084" i="16"/>
  <c r="AK1907" i="16"/>
  <c r="AK2295" i="16"/>
  <c r="AK363" i="16"/>
  <c r="AK919" i="16"/>
  <c r="AK2211" i="16"/>
  <c r="AK2065" i="16"/>
  <c r="AK2321" i="16"/>
  <c r="AK1771" i="16"/>
  <c r="AK308" i="16"/>
  <c r="AK2048" i="16"/>
  <c r="AK1166" i="16"/>
  <c r="AK1972" i="16"/>
  <c r="AK1005" i="16"/>
  <c r="AK1088" i="16"/>
  <c r="AK871" i="16"/>
  <c r="AK45" i="16"/>
  <c r="AK40" i="16"/>
  <c r="AK1789" i="16"/>
  <c r="AK2218" i="16"/>
  <c r="AK1554" i="16"/>
  <c r="AK156" i="16"/>
  <c r="AK1751" i="16"/>
  <c r="AK1379" i="16"/>
  <c r="AK2125" i="16"/>
  <c r="AK1482" i="16"/>
  <c r="AK198" i="16"/>
  <c r="AK425" i="16"/>
  <c r="AK125" i="16"/>
  <c r="AK272" i="16"/>
  <c r="AK2057" i="16"/>
  <c r="AK826" i="16"/>
  <c r="AK635" i="16"/>
  <c r="AK1846" i="16"/>
  <c r="AK1367" i="16"/>
  <c r="AK233" i="16"/>
  <c r="AK1861" i="16"/>
  <c r="AK863" i="16"/>
  <c r="AK1118" i="16"/>
  <c r="AK529" i="16"/>
  <c r="AK1967" i="16"/>
  <c r="AK2115" i="16"/>
  <c r="AK1956" i="16"/>
  <c r="AK1541" i="16"/>
  <c r="AK582" i="16"/>
  <c r="AK921" i="16"/>
  <c r="AK1399" i="16"/>
  <c r="AK163" i="16"/>
  <c r="AK1581" i="16"/>
  <c r="AK2006" i="16"/>
  <c r="AK160" i="16"/>
  <c r="AK1137" i="16"/>
  <c r="AK1226" i="16"/>
  <c r="AK284" i="16"/>
  <c r="AK506" i="16"/>
  <c r="AK1284" i="16"/>
  <c r="AK1321" i="16"/>
  <c r="AK1124" i="16"/>
  <c r="AK1478" i="16"/>
  <c r="AK693" i="16"/>
  <c r="AK358" i="16"/>
  <c r="AK1587" i="16"/>
  <c r="AK1946" i="16"/>
  <c r="AK1368" i="16"/>
  <c r="AK1857" i="16"/>
  <c r="AK969" i="16"/>
  <c r="AK1480" i="16"/>
  <c r="AK1141" i="16"/>
  <c r="AK62" i="16"/>
  <c r="AK462" i="16"/>
  <c r="AK1053" i="16"/>
  <c r="AK962" i="16"/>
  <c r="AK298" i="16"/>
  <c r="AK1568" i="16"/>
  <c r="AK1081" i="16"/>
  <c r="AK1394" i="16"/>
  <c r="AK2185" i="16"/>
  <c r="AK1306" i="16"/>
  <c r="AK779" i="16"/>
  <c r="AK1924" i="16"/>
  <c r="AK1128" i="16"/>
  <c r="AK1707" i="16"/>
  <c r="AK1304" i="16"/>
  <c r="AK1863" i="16"/>
  <c r="AK1713" i="16"/>
  <c r="AK2129" i="16"/>
  <c r="AK1750" i="16"/>
  <c r="AK2194" i="16"/>
  <c r="AK697" i="16"/>
  <c r="AK1513" i="16"/>
  <c r="AK1914" i="16"/>
  <c r="AK1989" i="16"/>
  <c r="AK52" i="16"/>
  <c r="AK2248" i="16"/>
  <c r="AK2010" i="16"/>
  <c r="AK1059" i="16"/>
  <c r="AK389" i="16"/>
  <c r="AK1604" i="16"/>
  <c r="AK629" i="16"/>
  <c r="AK26" i="16"/>
  <c r="AK2046" i="16"/>
  <c r="AK653" i="16"/>
  <c r="AK1748" i="16"/>
  <c r="AK600" i="16"/>
  <c r="AK949" i="16"/>
  <c r="AK1666" i="16"/>
  <c r="AK2097" i="16"/>
  <c r="AK2141" i="16"/>
  <c r="AK8" i="16"/>
  <c r="AK800" i="16"/>
  <c r="AK1991" i="16"/>
  <c r="AK1717" i="16"/>
  <c r="AK234" i="16"/>
  <c r="AK2162" i="16"/>
  <c r="AK1912" i="16"/>
  <c r="AK1520" i="16"/>
  <c r="AK753" i="16"/>
  <c r="AK1927" i="16"/>
  <c r="AK2137" i="16"/>
  <c r="AK1132" i="16"/>
  <c r="AK1639" i="16"/>
  <c r="AK1578" i="16"/>
  <c r="AK2173" i="16"/>
  <c r="AK1078" i="16"/>
  <c r="AK1533" i="16"/>
  <c r="AK1500" i="16"/>
  <c r="AK1955" i="16"/>
  <c r="AK2175" i="16"/>
  <c r="AK1203" i="16"/>
  <c r="AK402" i="16"/>
  <c r="AK782" i="16"/>
  <c r="AK2318" i="16"/>
  <c r="AK1012" i="16"/>
  <c r="AK1957" i="16"/>
  <c r="AK2280" i="16"/>
  <c r="AK1405" i="16"/>
  <c r="AK647" i="16"/>
  <c r="AK2246" i="16"/>
  <c r="AK509" i="16"/>
  <c r="AK1629" i="16"/>
  <c r="AK1814" i="16"/>
  <c r="AK719" i="16"/>
  <c r="AK993" i="16"/>
  <c r="AK620" i="16"/>
  <c r="AK112" i="16"/>
  <c r="AK515" i="16"/>
  <c r="AK1518" i="16"/>
  <c r="AK2117" i="16"/>
  <c r="AK1465" i="16"/>
  <c r="AK601" i="16"/>
  <c r="AK1844" i="16"/>
  <c r="AK792" i="16"/>
  <c r="AK2179" i="16"/>
  <c r="AK985" i="16"/>
  <c r="AK785" i="16"/>
  <c r="AK1525" i="16"/>
  <c r="AK1134" i="16"/>
  <c r="AK708" i="16"/>
  <c r="AK1444" i="16"/>
  <c r="AK971" i="16"/>
  <c r="AK345" i="16"/>
  <c r="AK1562" i="16"/>
  <c r="AK105" i="16"/>
  <c r="AK1181" i="16"/>
  <c r="AK64" i="16"/>
  <c r="AK1010" i="16"/>
  <c r="AK1878" i="16"/>
  <c r="AK2110" i="16"/>
  <c r="AK937" i="16"/>
  <c r="AK2021" i="16"/>
  <c r="AK758" i="16"/>
  <c r="AK207" i="16"/>
  <c r="AK973" i="16"/>
  <c r="AK486" i="16"/>
  <c r="AK435" i="16"/>
  <c r="AK1029" i="16"/>
  <c r="AK1413" i="16"/>
  <c r="AK873" i="16"/>
  <c r="AK1769" i="16"/>
  <c r="AK812" i="16"/>
  <c r="AK1572" i="16"/>
  <c r="AK130" i="16"/>
  <c r="AK341" i="16"/>
  <c r="AK960" i="16"/>
  <c r="AK1372" i="16"/>
  <c r="AK2045" i="16"/>
  <c r="AK604" i="16"/>
  <c r="AK439" i="16"/>
  <c r="AK465" i="16"/>
  <c r="AK1382" i="16"/>
  <c r="AK1979" i="16"/>
  <c r="AK483" i="16"/>
  <c r="AK2091" i="16"/>
  <c r="AK1786" i="16"/>
  <c r="AK323" i="16"/>
  <c r="AK2285" i="16"/>
  <c r="AK1027" i="16"/>
  <c r="AK1531" i="16"/>
  <c r="AK840" i="16"/>
  <c r="AK1157" i="16"/>
  <c r="AK1455" i="16"/>
  <c r="AK1458" i="16"/>
  <c r="AK1866" i="16"/>
  <c r="AK1060" i="16"/>
  <c r="AK964" i="16"/>
  <c r="AK698" i="16"/>
  <c r="AK2219" i="16"/>
  <c r="AK1163" i="16"/>
  <c r="AK1164" i="16"/>
  <c r="AK2190" i="16"/>
  <c r="AK94" i="16"/>
  <c r="AK935" i="16"/>
  <c r="AK1670" i="16"/>
  <c r="AK2308" i="16"/>
  <c r="AK934" i="16"/>
  <c r="AK1356" i="16"/>
  <c r="AK377" i="16"/>
  <c r="AK990" i="16"/>
  <c r="AK2104" i="16"/>
  <c r="AK2029" i="16"/>
  <c r="AK446" i="16"/>
  <c r="AK2298" i="16"/>
  <c r="AK689" i="16"/>
  <c r="AK239" i="16"/>
  <c r="AK979" i="16"/>
  <c r="AK150" i="16"/>
  <c r="AK38" i="16"/>
  <c r="AK760" i="16"/>
  <c r="AK2313" i="16"/>
  <c r="AK1434" i="16"/>
  <c r="AK2278" i="16"/>
  <c r="AK1988" i="16"/>
  <c r="AK624" i="16"/>
  <c r="AK2220" i="16"/>
  <c r="AK2261" i="16"/>
  <c r="AK2244" i="16"/>
  <c r="AK654" i="16"/>
  <c r="AK1426" i="16"/>
  <c r="AK856" i="16"/>
  <c r="AK2189" i="16"/>
  <c r="AK395" i="16"/>
  <c r="AK803" i="16"/>
  <c r="AK1018" i="16"/>
  <c r="AK165" i="16"/>
  <c r="AK1667" i="16"/>
  <c r="AK1948" i="16"/>
  <c r="AK2260" i="16"/>
  <c r="AK709" i="16"/>
  <c r="AK1189" i="16"/>
  <c r="AK1200" i="16"/>
  <c r="AK954" i="16"/>
  <c r="AK16" i="16"/>
  <c r="AK858" i="16"/>
  <c r="AK1598" i="16"/>
  <c r="AK2083" i="16"/>
  <c r="AK987" i="16"/>
  <c r="AK1024" i="16"/>
  <c r="AK1211" i="16"/>
  <c r="AK2239" i="16"/>
  <c r="AK631" i="16"/>
  <c r="AK924" i="16"/>
  <c r="AK1745" i="16"/>
  <c r="AK379" i="16"/>
  <c r="AK1006" i="16"/>
  <c r="AK1660" i="16"/>
  <c r="AK2039" i="16"/>
  <c r="AK1212" i="16"/>
  <c r="AK334" i="16"/>
  <c r="AK2250" i="16"/>
  <c r="AK2138" i="16"/>
  <c r="AK419" i="16"/>
  <c r="AK2036" i="16"/>
  <c r="AK1628" i="16"/>
  <c r="AK2063" i="16"/>
  <c r="AK822" i="16"/>
  <c r="AK1961" i="16"/>
  <c r="AK1339" i="16"/>
  <c r="AK1187" i="16"/>
  <c r="AK2102" i="16"/>
  <c r="AK9" i="16"/>
  <c r="AK1830" i="16"/>
  <c r="AK952" i="16"/>
  <c r="AK2215" i="16"/>
  <c r="AK119" i="16"/>
  <c r="AK2184" i="16"/>
  <c r="AK667" i="16"/>
  <c r="AK1995" i="16"/>
  <c r="AK1699" i="16"/>
  <c r="AK479" i="16"/>
  <c r="AK1675" i="16"/>
  <c r="AK109" i="16"/>
  <c r="AK543" i="16"/>
  <c r="AK831" i="16"/>
  <c r="AK868" i="16"/>
  <c r="AK1505" i="16"/>
  <c r="AK1891" i="16"/>
  <c r="AK1974" i="16"/>
  <c r="AK1959" i="16"/>
  <c r="AK1896" i="16"/>
  <c r="AK1389" i="16"/>
  <c r="AK164" i="16"/>
  <c r="AK184" i="16"/>
  <c r="AK899" i="16"/>
  <c r="AK1144" i="16"/>
  <c r="AK503" i="16"/>
  <c r="AK1502" i="16"/>
  <c r="AK1791" i="16"/>
  <c r="AK1337" i="16"/>
  <c r="AK1550" i="16"/>
  <c r="AK144" i="16"/>
  <c r="AK274" i="16"/>
  <c r="AK2201" i="16"/>
  <c r="AK844" i="16"/>
  <c r="AK1002" i="16"/>
  <c r="AK2025" i="16"/>
  <c r="AK1086" i="16"/>
  <c r="AK1224" i="16"/>
  <c r="AK1960" i="16"/>
  <c r="AK1041" i="16"/>
  <c r="AK1375" i="16"/>
  <c r="AK2327" i="16"/>
  <c r="AK1130" i="16"/>
  <c r="AK691" i="16"/>
  <c r="AK477" i="16"/>
  <c r="AK1366" i="16"/>
  <c r="AK2182" i="16"/>
  <c r="AK1244" i="16"/>
  <c r="AK1279" i="16"/>
  <c r="AK459" i="16"/>
  <c r="AK786" i="16"/>
  <c r="AK221" i="16"/>
  <c r="AK1708" i="16"/>
  <c r="AK1392" i="16"/>
  <c r="AK1519" i="16"/>
  <c r="AK943" i="16"/>
  <c r="AK2068" i="16"/>
  <c r="AK1103" i="16"/>
  <c r="AK583" i="16"/>
  <c r="AK789" i="16"/>
  <c r="AK2160" i="16"/>
  <c r="AK236" i="16"/>
  <c r="AK2022" i="16"/>
  <c r="AK2059" i="16"/>
  <c r="AK300" i="16"/>
  <c r="AK1724" i="16"/>
  <c r="AK1511" i="16"/>
  <c r="AK387" i="16"/>
  <c r="AK838" i="16"/>
  <c r="AK1377" i="16"/>
  <c r="AK550" i="16"/>
  <c r="AK1340" i="16"/>
  <c r="AK2001" i="16"/>
  <c r="AK2005" i="16"/>
  <c r="AK235" i="16"/>
  <c r="AK1542" i="16"/>
  <c r="AK2181" i="16"/>
  <c r="AK1856" i="16"/>
  <c r="AK1305" i="16"/>
  <c r="AK1588" i="16"/>
  <c r="AK1140" i="16"/>
  <c r="AK1253" i="16"/>
  <c r="AK501" i="16"/>
  <c r="AK2088" i="16"/>
  <c r="AK2101" i="16"/>
  <c r="AK216" i="16"/>
  <c r="AK659" i="16"/>
  <c r="AK1280" i="16"/>
  <c r="AK1600" i="16"/>
  <c r="AK769" i="16"/>
  <c r="AK450" i="16"/>
  <c r="AK1610" i="16"/>
  <c r="AK1179" i="16"/>
  <c r="AK747" i="16"/>
  <c r="AK1219" i="16"/>
  <c r="AK861" i="16"/>
  <c r="AK2290" i="16"/>
  <c r="AK457" i="16"/>
  <c r="AK2180" i="16"/>
  <c r="AK294" i="16"/>
  <c r="AK1973" i="16"/>
  <c r="AK2090" i="16"/>
  <c r="AK1805" i="16"/>
  <c r="AK1150" i="16"/>
  <c r="AK1672" i="16"/>
  <c r="AK2279" i="16"/>
  <c r="AK1563" i="16"/>
  <c r="AK187" i="16"/>
  <c r="AK1169" i="16"/>
  <c r="AK210" i="16"/>
  <c r="AK621" i="16"/>
  <c r="AK311" i="16"/>
  <c r="AK1201" i="16"/>
  <c r="AK2070" i="16"/>
  <c r="AK1412" i="16"/>
  <c r="AK1762" i="16"/>
  <c r="AK240" i="16"/>
  <c r="AK1443" i="16"/>
  <c r="AK1165" i="16"/>
  <c r="AK1127" i="16"/>
  <c r="AK35" i="16"/>
  <c r="AK1491" i="16"/>
  <c r="AK2062" i="16"/>
  <c r="AK627" i="16"/>
  <c r="AK738" i="16"/>
  <c r="AK1758" i="16"/>
  <c r="AK1265" i="16"/>
  <c r="AK1652" i="16"/>
  <c r="AK1227" i="16"/>
  <c r="AK521" i="16"/>
  <c r="AK569" i="16"/>
  <c r="AK649" i="16"/>
  <c r="AK1061" i="16"/>
  <c r="AK1255" i="16"/>
  <c r="AK1249" i="16"/>
  <c r="AK2210" i="16"/>
  <c r="AK29" i="16"/>
  <c r="AK426" i="16"/>
  <c r="AK1503" i="16"/>
  <c r="AK2247" i="16"/>
  <c r="AK2284" i="16"/>
  <c r="AK397" i="16"/>
  <c r="AK707" i="16"/>
  <c r="AK988" i="16"/>
  <c r="AK408" i="16"/>
  <c r="AK1062" i="16"/>
  <c r="AK304" i="16"/>
  <c r="AK568" i="16"/>
  <c r="AK1260" i="16"/>
  <c r="AK2216" i="16"/>
  <c r="AK1051" i="16"/>
  <c r="AK378" i="16"/>
  <c r="AK354" i="16"/>
  <c r="AK992" i="16"/>
  <c r="AK432" i="16"/>
  <c r="AK47" i="16"/>
  <c r="AK1492" i="16"/>
  <c r="AK1283" i="16"/>
  <c r="AK407" i="16"/>
  <c r="AK1546" i="16"/>
  <c r="AK36" i="16"/>
  <c r="AK448" i="16"/>
  <c r="AK259" i="16"/>
  <c r="AK823" i="16"/>
  <c r="AK1921" i="16"/>
  <c r="AK129" i="16"/>
  <c r="AK1823" i="16"/>
  <c r="AK2289" i="16"/>
  <c r="AK1926" i="16"/>
  <c r="AK53" i="16"/>
  <c r="AK438" i="16"/>
  <c r="AK2270" i="16"/>
  <c r="AK866" i="16"/>
  <c r="AK1608" i="16"/>
  <c r="AK1437" i="16"/>
  <c r="AK1877" i="16"/>
  <c r="AK1403" i="16"/>
  <c r="AK957" i="16"/>
  <c r="AK1057" i="16"/>
  <c r="AK752" i="16"/>
  <c r="AK882" i="16"/>
  <c r="AK414" i="16"/>
  <c r="AK2266" i="16"/>
  <c r="AK1131" i="16"/>
  <c r="AK2339" i="16"/>
  <c r="AK1841" i="16"/>
  <c r="AK603" i="16"/>
  <c r="AK33" i="16"/>
  <c r="AK721" i="16"/>
  <c r="AK1540" i="16"/>
  <c r="AK1735" i="16"/>
  <c r="AK842" i="16"/>
  <c r="AK1698" i="16"/>
  <c r="AK2333" i="16"/>
  <c r="AK1235" i="16"/>
  <c r="AK1154" i="16"/>
  <c r="AK909" i="16"/>
  <c r="AK1728" i="16"/>
  <c r="AK1047" i="16"/>
  <c r="AK322" i="16"/>
  <c r="AK1834" i="16"/>
  <c r="AK471" i="16"/>
  <c r="AK178" i="16"/>
  <c r="AK2230" i="16"/>
  <c r="AK355" i="16"/>
  <c r="AK911" i="16"/>
  <c r="AK1329" i="16"/>
  <c r="AK159" i="16"/>
  <c r="AK376" i="16"/>
  <c r="AK231" i="16"/>
  <c r="AK1906" i="16"/>
  <c r="AK684" i="16"/>
  <c r="AK837" i="16"/>
  <c r="AK2235" i="16"/>
  <c r="AK46" i="16"/>
  <c r="AK750" i="16"/>
  <c r="AK1388" i="16"/>
  <c r="AK2152" i="16"/>
  <c r="AK2202" i="16"/>
  <c r="AK1584" i="16"/>
  <c r="AK336" i="16"/>
  <c r="AK1706" i="16"/>
  <c r="AK900" i="16"/>
  <c r="AK1645" i="16"/>
  <c r="AK678" i="16"/>
  <c r="AK836" i="16"/>
  <c r="AK1418" i="16"/>
  <c r="AK1247" i="16"/>
  <c r="AK484" i="16"/>
  <c r="AK2056" i="16"/>
  <c r="AK687" i="16"/>
  <c r="AK394" i="16"/>
  <c r="AK1307" i="16"/>
  <c r="AK1873" i="16"/>
  <c r="AK1098" i="16"/>
  <c r="AK391" i="16"/>
  <c r="AK2073" i="16"/>
  <c r="AK136" i="16"/>
  <c r="AK1975" i="16"/>
  <c r="AK1754" i="16"/>
  <c r="AK405" i="16"/>
  <c r="AK2157" i="16"/>
  <c r="AK1248" i="16"/>
  <c r="AK89" i="16"/>
  <c r="AK590" i="16"/>
  <c r="AK948" i="16"/>
  <c r="AK1993" i="16"/>
  <c r="AK1155" i="16"/>
  <c r="AK2315" i="16"/>
  <c r="AK214" i="16"/>
  <c r="AK480" i="16"/>
  <c r="AK333" i="16"/>
  <c r="AK59" i="16"/>
  <c r="AK1355" i="16"/>
  <c r="AK2092" i="16"/>
  <c r="AK83" i="16"/>
  <c r="AK939" i="16"/>
  <c r="AK1498" i="16"/>
  <c r="AK1369" i="16"/>
  <c r="AK1936" i="16"/>
  <c r="AK607" i="16"/>
  <c r="AK1898" i="16"/>
  <c r="AK1487" i="16"/>
  <c r="AK254" i="16"/>
  <c r="AK1471" i="16"/>
  <c r="AK2335" i="16"/>
  <c r="AK1472" i="16"/>
  <c r="AK706" i="16"/>
  <c r="AK1815" i="16"/>
  <c r="AK723" i="16"/>
  <c r="AK204" i="16"/>
  <c r="AK1097" i="16"/>
  <c r="AK1594" i="16"/>
  <c r="AK553" i="16"/>
  <c r="AK120" i="16"/>
  <c r="AK511" i="16"/>
  <c r="AK1374" i="16"/>
  <c r="AK1011" i="16"/>
  <c r="AK613" i="16"/>
  <c r="AK998" i="16"/>
  <c r="AK1245" i="16"/>
  <c r="AK315" i="16"/>
  <c r="AK2054" i="16"/>
  <c r="AK133" i="16"/>
  <c r="AK1760" i="16"/>
  <c r="AK807" i="16"/>
  <c r="AK1233" i="16"/>
  <c r="AK305" i="16"/>
  <c r="AK192" i="16"/>
  <c r="AK146" i="16"/>
  <c r="AK169" i="16"/>
  <c r="AK1479" i="16"/>
  <c r="AK1461" i="16"/>
  <c r="AK1664" i="16"/>
  <c r="AK1390" i="16"/>
  <c r="AK1632" i="16"/>
  <c r="AK1273" i="16"/>
  <c r="AK1504" i="16"/>
  <c r="AK2236" i="16"/>
  <c r="AK2095" i="16"/>
  <c r="AK430" i="16"/>
  <c r="AK2303" i="16"/>
  <c r="AK1049" i="16"/>
  <c r="AK143" i="16"/>
  <c r="AK1174" i="16"/>
  <c r="AK175" i="16"/>
  <c r="AK1872" i="16"/>
  <c r="AK1259" i="16"/>
  <c r="AK2084" i="16"/>
  <c r="AK1661" i="16"/>
  <c r="AK1077" i="16"/>
  <c r="AK2151" i="16"/>
  <c r="AK1358" i="16"/>
  <c r="AK1186" i="16"/>
  <c r="AK1765" i="16"/>
  <c r="AK1257" i="16"/>
  <c r="AK1114" i="16"/>
  <c r="AK42" i="16"/>
  <c r="AK2340" i="16"/>
  <c r="AK174" i="16"/>
  <c r="AK444" i="16"/>
  <c r="AK1824" i="16"/>
  <c r="AK622" i="16"/>
  <c r="AK19" i="16"/>
  <c r="AK565" i="16"/>
  <c r="AK672" i="16"/>
  <c r="AK1109" i="16"/>
  <c r="AK1641" i="16"/>
  <c r="AK1156" i="16"/>
  <c r="AK561" i="16"/>
  <c r="AK2326" i="16"/>
  <c r="AK1564" i="16"/>
  <c r="AK196" i="16"/>
  <c r="AK1545" i="16"/>
  <c r="AK1228" i="16"/>
  <c r="AK276" i="16"/>
  <c r="AK1364" i="16"/>
  <c r="AK475" i="16"/>
  <c r="AK1680" i="16"/>
  <c r="AK1876" i="16"/>
  <c r="AK680" i="16"/>
  <c r="AK655" i="16"/>
  <c r="AK1346" i="16"/>
  <c r="AK975" i="16"/>
  <c r="AK1302" i="16"/>
  <c r="AK1439" i="16"/>
  <c r="AK1441" i="16"/>
  <c r="AK788" i="16"/>
  <c r="AK942" i="16"/>
  <c r="AK1202" i="16"/>
  <c r="AK970" i="16"/>
  <c r="AK1523" i="16"/>
  <c r="AK494" i="16"/>
  <c r="AK348" i="16"/>
  <c r="AK1319" i="16"/>
  <c r="AK1573" i="16"/>
  <c r="AK2124" i="16"/>
  <c r="AK385" i="16"/>
  <c r="AK285" i="16"/>
  <c r="AK2188" i="16"/>
  <c r="AK487" i="16"/>
  <c r="AK1555" i="16"/>
  <c r="AK1067" i="16"/>
  <c r="AK761" i="16"/>
  <c r="AK542" i="16"/>
  <c r="AK113" i="16"/>
  <c r="AK1603" i="16"/>
  <c r="AK454" i="16"/>
  <c r="AK598" i="16"/>
  <c r="AK523" i="16"/>
  <c r="AK1251" i="16"/>
  <c r="AK692" i="16"/>
  <c r="AK2114" i="16"/>
  <c r="AK1484" i="16"/>
  <c r="AK1236" i="16"/>
  <c r="AK301" i="16"/>
  <c r="AK1925" i="16"/>
  <c r="AK1032" i="16"/>
  <c r="AK279" i="16"/>
  <c r="AK1627" i="16"/>
  <c r="AK1000" i="16"/>
  <c r="AK1293" i="16"/>
  <c r="AK1477" i="16"/>
  <c r="AK1575" i="16"/>
  <c r="AK1552" i="16"/>
  <c r="AK386" i="16"/>
  <c r="AK892" i="16"/>
  <c r="AK1218" i="16"/>
  <c r="AK1768" i="16"/>
  <c r="AK1430" i="16"/>
  <c r="AK966" i="16"/>
  <c r="AK991" i="16"/>
  <c r="AK1837" i="16"/>
  <c r="AK1459" i="16"/>
  <c r="AK1669" i="16"/>
  <c r="AK567" i="16"/>
  <c r="AK1941" i="16"/>
  <c r="AK1636" i="16"/>
  <c r="AK1919" i="16"/>
  <c r="AK2052" i="16"/>
  <c r="AK704" i="16"/>
  <c r="AK778" i="16"/>
  <c r="AK1021" i="16"/>
  <c r="AK2240" i="16"/>
  <c r="AK2231" i="16"/>
  <c r="AK2105" i="16"/>
  <c r="AK903" i="16"/>
  <c r="AK1895" i="16"/>
  <c r="AK2314" i="16"/>
  <c r="AK1373" i="16"/>
  <c r="AK1935" i="16"/>
  <c r="AK743" i="16"/>
  <c r="AK725" i="16"/>
  <c r="AK585" i="16"/>
  <c r="AK1849" i="16"/>
  <c r="AK2174" i="16"/>
  <c r="AK1624" i="16"/>
  <c r="AK1591" i="16"/>
  <c r="AK155" i="16"/>
  <c r="AK2281" i="16"/>
  <c r="AK828" i="16"/>
  <c r="AK135" i="16"/>
  <c r="AK337" i="16"/>
  <c r="AK820" i="16"/>
  <c r="AK117" i="16"/>
  <c r="AK361" i="16"/>
  <c r="AK1015" i="16"/>
  <c r="AK1558" i="16"/>
  <c r="AK91" i="16"/>
  <c r="AK1096" i="16"/>
  <c r="AK2223" i="16"/>
  <c r="AK352" i="16"/>
  <c r="AK700" i="16"/>
  <c r="AK1045" i="16"/>
  <c r="AK2207" i="16"/>
  <c r="AK2170" i="16"/>
  <c r="AK520" i="16"/>
  <c r="AK289" i="16"/>
  <c r="AK1649" i="16"/>
  <c r="AK238" i="16"/>
  <c r="AK1913" i="16"/>
  <c r="AK510" i="16"/>
  <c r="AK1802" i="16"/>
  <c r="AK2132" i="16"/>
  <c r="AK250" i="16"/>
  <c r="AK2302" i="16"/>
  <c r="AK951" i="16"/>
  <c r="AK660" i="16"/>
  <c r="AK1420" i="16"/>
  <c r="AK1870" i="16"/>
  <c r="AK592" i="16"/>
  <c r="AK1843" i="16"/>
  <c r="AK2112" i="16"/>
  <c r="AK2258" i="16"/>
  <c r="AK493" i="16"/>
  <c r="AK1153" i="16"/>
  <c r="AK401" i="16"/>
  <c r="AK2139" i="16"/>
  <c r="AK1792" i="16"/>
  <c r="AK2096" i="16"/>
  <c r="AK959" i="16"/>
  <c r="AK548" i="16"/>
  <c r="AK1905" i="16"/>
  <c r="AK2043" i="16"/>
  <c r="AK1684" i="16"/>
  <c r="AK443" i="16"/>
  <c r="AK1999" i="16"/>
  <c r="AK832" i="16"/>
  <c r="AK2238" i="16"/>
  <c r="AK1314" i="16"/>
  <c r="AK1058" i="16"/>
  <c r="AK1718" i="16"/>
  <c r="AK1582" i="16"/>
  <c r="AK100" i="16"/>
  <c r="AK1622" i="16"/>
  <c r="AK2014" i="16"/>
  <c r="AK194" i="16"/>
  <c r="AK859" i="16"/>
  <c r="AK2324" i="16"/>
  <c r="AK2229" i="16"/>
  <c r="AK505" i="16"/>
  <c r="AK151" i="16"/>
  <c r="AK1524" i="16"/>
  <c r="AK905" i="16"/>
  <c r="AK559" i="16"/>
  <c r="AK186" i="16"/>
  <c r="AK1232" i="16"/>
  <c r="AK2291" i="16"/>
  <c r="AK241" i="16"/>
  <c r="AK1903" i="16"/>
  <c r="AK1239" i="16"/>
  <c r="AK455" i="16"/>
  <c r="AK1742" i="16"/>
  <c r="AK1867" i="16"/>
  <c r="AK930" i="16"/>
  <c r="AK2156" i="16"/>
  <c r="AK1099" i="16"/>
  <c r="AK628" i="16"/>
  <c r="AK1117" i="16"/>
  <c r="AK1419" i="16"/>
  <c r="AK325" i="16"/>
  <c r="AK1565" i="16"/>
  <c r="AK1811" i="16"/>
  <c r="AK1395" i="16"/>
  <c r="AK71" i="16"/>
  <c r="AK1737" i="16"/>
  <c r="AK380" i="16"/>
  <c r="AK1860" i="16"/>
  <c r="AK1371" i="16"/>
  <c r="AK410" i="16"/>
  <c r="AK1241" i="16"/>
  <c r="AK2249" i="16"/>
  <c r="AK586" i="16"/>
  <c r="AK162" i="16"/>
  <c r="AK1383" i="16"/>
  <c r="AK2203" i="16"/>
  <c r="AK342" i="16"/>
  <c r="AK1250" i="16"/>
  <c r="AK1784" i="16"/>
  <c r="AK630" i="16"/>
  <c r="AK1549" i="16"/>
  <c r="AK2072" i="16"/>
  <c r="AK1939" i="16"/>
  <c r="AK1983" i="16"/>
  <c r="AK1828" i="16"/>
  <c r="AK2008" i="16"/>
  <c r="AK1133" i="16"/>
  <c r="AK404" i="16"/>
  <c r="AK2119" i="16"/>
  <c r="AK1030" i="16"/>
  <c r="AK775" i="16"/>
  <c r="AK898" i="16"/>
  <c r="AK696" i="16"/>
  <c r="AK791" i="16"/>
  <c r="AK2206" i="16"/>
  <c r="AK21" i="16"/>
  <c r="AK7" i="16"/>
  <c r="AK1775" i="16"/>
  <c r="AK2127" i="16"/>
  <c r="AK417" i="16"/>
  <c r="AK473" i="16"/>
  <c r="AK712" i="16"/>
  <c r="AK1112" i="16"/>
  <c r="AK1406" i="16"/>
  <c r="AK955" i="16"/>
  <c r="AK2214" i="16"/>
  <c r="AK1069" i="16"/>
  <c r="AK528" i="16"/>
  <c r="AK208" i="16"/>
  <c r="AK364" i="16"/>
  <c r="AK1804" i="16"/>
  <c r="AK1809" i="16"/>
  <c r="AK1315" i="16"/>
  <c r="AK1529" i="16"/>
  <c r="AK2018" i="16"/>
  <c r="AK732" i="16"/>
  <c r="AK2221" i="16"/>
  <c r="AK170" i="16"/>
  <c r="AK18" i="16"/>
  <c r="AK1267" i="16"/>
  <c r="AK552" i="16"/>
  <c r="AK413" i="16"/>
  <c r="AK2136" i="16"/>
  <c r="AK1715" i="16"/>
  <c r="AK578" i="16"/>
  <c r="AK1119" i="16"/>
  <c r="AK2331" i="16"/>
  <c r="AK759" i="16"/>
  <c r="AK650" i="16"/>
  <c r="AK1432" i="16"/>
  <c r="AK73" i="16"/>
  <c r="AK2066" i="16"/>
  <c r="AK1101" i="16"/>
  <c r="AK609" i="16"/>
  <c r="AK1039" i="16"/>
  <c r="AK142" i="16"/>
  <c r="AK1556" i="16"/>
  <c r="AK217" i="16"/>
  <c r="AK1184" i="16"/>
  <c r="AK994" i="16"/>
  <c r="AK722" i="16"/>
  <c r="AK1900" i="16"/>
  <c r="AK1429" i="16"/>
  <c r="AK531" i="16"/>
  <c r="AK878" i="16"/>
  <c r="AK1599" i="16"/>
  <c r="AK953" i="16"/>
  <c r="AK756" i="16"/>
  <c r="AK1703" i="16"/>
  <c r="AK1885" i="16"/>
  <c r="AK1942" i="16"/>
  <c r="AK1908" i="16"/>
  <c r="AK1048" i="16"/>
  <c r="AK1324" i="16"/>
  <c r="AK641" i="16"/>
  <c r="AK2099" i="16"/>
  <c r="AK814" i="16"/>
  <c r="AK2172" i="16"/>
  <c r="AK23" i="16"/>
  <c r="AK1214" i="16"/>
  <c r="AK1909" i="16"/>
  <c r="AK1515" i="16"/>
  <c r="AK1025" i="16"/>
  <c r="AK1056" i="16"/>
  <c r="AK492" i="16"/>
  <c r="AK1845" i="16"/>
  <c r="AK2274" i="16"/>
  <c r="AK98" i="16"/>
  <c r="AK87" i="16"/>
  <c r="AK575" i="16"/>
  <c r="AK1997" i="16"/>
  <c r="AK431" i="16"/>
  <c r="AK980" i="16"/>
  <c r="AK799" i="16"/>
  <c r="AK1790" i="16"/>
  <c r="AK249" i="16"/>
  <c r="AK1596" i="16"/>
  <c r="AK1298" i="16"/>
  <c r="AK433" i="16"/>
  <c r="AK929" i="16"/>
  <c r="AK780" i="16"/>
  <c r="AK1687" i="16"/>
  <c r="AK1674" i="16"/>
  <c r="AK1391" i="16"/>
  <c r="AK2135" i="16"/>
  <c r="AK1350" i="16"/>
  <c r="AK427" i="16"/>
  <c r="AK329" i="16"/>
  <c r="AK360" i="16"/>
  <c r="AK941" i="16"/>
  <c r="AK460" i="16"/>
  <c r="AK1341" i="16"/>
  <c r="AK320" i="16"/>
  <c r="AK1351" i="16"/>
  <c r="AK60" i="16"/>
  <c r="AK31" i="16"/>
  <c r="AK232" i="16"/>
  <c r="AK359" i="16"/>
  <c r="AK1535" i="16"/>
  <c r="AK1261" i="16"/>
  <c r="AK1138" i="16"/>
  <c r="AK92" i="16"/>
  <c r="AK1167" i="16"/>
  <c r="AK1065" i="16"/>
  <c r="AK1934" i="16"/>
  <c r="AK1411" i="16"/>
  <c r="AK1739" i="16"/>
  <c r="AK1199" i="16"/>
  <c r="AK1886" i="16"/>
  <c r="AK1567" i="16"/>
  <c r="AK936" i="16"/>
  <c r="AK461" i="16"/>
  <c r="AK996" i="16"/>
  <c r="AK1168" i="16"/>
  <c r="AK335" i="16"/>
  <c r="AK944" i="16"/>
  <c r="AK1475" i="16"/>
  <c r="AK1180" i="16"/>
  <c r="AK656" i="16"/>
  <c r="AK76" i="16"/>
  <c r="AK1659" i="16"/>
  <c r="AK449" i="16"/>
  <c r="AK533" i="16"/>
  <c r="AK319" i="16"/>
  <c r="AK1352" i="16"/>
  <c r="AK1810" i="16"/>
  <c r="AK643" i="16"/>
  <c r="AK894" i="16"/>
  <c r="AK527" i="16"/>
  <c r="AK1296" i="16"/>
  <c r="AK2103" i="16"/>
  <c r="AK453" i="16"/>
  <c r="AK2019" i="16"/>
  <c r="AK1954" i="16"/>
  <c r="AK705" i="16"/>
  <c r="AK367" i="16"/>
  <c r="AK665" i="16"/>
  <c r="AK932" i="16"/>
  <c r="AK825" i="16"/>
  <c r="AK886" i="16"/>
  <c r="AK1370" i="16"/>
  <c r="AK101" i="16"/>
  <c r="AK2055" i="16"/>
  <c r="AK103" i="16"/>
  <c r="AK746" i="16"/>
  <c r="AK1757" i="16"/>
  <c r="AK682" i="16"/>
  <c r="AK213" i="16"/>
  <c r="AK2213" i="16"/>
  <c r="AK390" i="16"/>
  <c r="AK931" i="16"/>
  <c r="AK1424" i="16"/>
  <c r="AK1425" i="16"/>
  <c r="AK2121" i="16"/>
  <c r="AK1799" i="16"/>
  <c r="AK1407" i="16"/>
  <c r="AK1288" i="16"/>
  <c r="AK623" i="16"/>
  <c r="AK956" i="16"/>
  <c r="AK1206" i="16"/>
  <c r="AK853" i="16"/>
  <c r="AK104" i="16"/>
  <c r="AK310" i="16"/>
  <c r="AK1561" i="16"/>
  <c r="AK833" i="16"/>
  <c r="AK1998" i="16"/>
  <c r="AK1950" i="16"/>
  <c r="AK777" i="16"/>
  <c r="AK1094" i="16"/>
  <c r="AK1385" i="16"/>
  <c r="AK1794" i="16"/>
  <c r="AK1980" i="16"/>
  <c r="AK1172" i="16"/>
  <c r="AK1663" i="16"/>
  <c r="AK166" i="16"/>
  <c r="AK1683" i="16"/>
  <c r="AK137" i="16"/>
  <c r="AK392" i="16"/>
  <c r="AK291" i="16"/>
  <c r="AK848" i="16"/>
  <c r="AK2299" i="16"/>
  <c r="AK2118" i="16"/>
  <c r="AK1409" i="16"/>
  <c r="AK1952" i="16"/>
  <c r="AK1616" i="16"/>
  <c r="AK536" i="16"/>
  <c r="AK718" i="16"/>
  <c r="AK1470" i="16"/>
  <c r="AK2224" i="16"/>
  <c r="AK1408" i="16"/>
  <c r="AK88" i="16"/>
  <c r="AK2060" i="16"/>
  <c r="AK464" i="16"/>
  <c r="AK1334" i="16"/>
  <c r="AK225" i="16"/>
  <c r="AK890" i="16"/>
  <c r="AK230" i="16"/>
  <c r="AK1308" i="16"/>
  <c r="AK203" i="16"/>
  <c r="AK1590" i="16"/>
  <c r="AK1090" i="16"/>
  <c r="AK883" i="16"/>
  <c r="AK2304" i="16"/>
  <c r="AK1592" i="16"/>
  <c r="AK642" i="16"/>
  <c r="AK729" i="16"/>
  <c r="AK248" i="16"/>
  <c r="AK739" i="16"/>
  <c r="AK1753" i="16"/>
  <c r="AK219" i="16"/>
  <c r="AK1798" i="16"/>
  <c r="AK138" i="16"/>
  <c r="AK570" i="16"/>
  <c r="AK2334" i="16"/>
  <c r="AK2317" i="16"/>
  <c r="AK121" i="16"/>
  <c r="AK1182" i="16"/>
  <c r="AK55" i="16"/>
  <c r="AK1311" i="16"/>
  <c r="AK85" i="16"/>
  <c r="AK1682" i="16"/>
  <c r="AK1468" i="16"/>
  <c r="AK1191" i="16"/>
  <c r="AK499" i="16"/>
  <c r="AK183" i="16"/>
  <c r="AK326" i="16"/>
  <c r="AK399" i="16"/>
  <c r="AK1923" i="16"/>
  <c r="AK209" i="16"/>
  <c r="AK896" i="16"/>
  <c r="AK1705" i="16"/>
  <c r="AK2232" i="16"/>
  <c r="AK295" i="16"/>
  <c r="AK1215" i="16"/>
  <c r="AK2123" i="16"/>
  <c r="AK78" i="16"/>
  <c r="AK679" i="16"/>
  <c r="AK148" i="16"/>
  <c r="AK617" i="16"/>
  <c r="AK1361" i="16"/>
  <c r="AK906" i="16"/>
  <c r="AK508" i="16"/>
  <c r="AK834" i="16"/>
  <c r="AK381" i="16"/>
  <c r="AK339" i="16"/>
  <c r="AK224" i="16"/>
  <c r="AK683" i="16"/>
  <c r="AK1216" i="16"/>
  <c r="AK2116" i="16"/>
  <c r="AK481" i="16"/>
  <c r="AK147" i="16"/>
  <c r="AK2076" i="16"/>
  <c r="AK1402" i="16"/>
  <c r="AK1883" i="16"/>
  <c r="AK485" i="16"/>
  <c r="AK1102" i="16"/>
  <c r="AK1752" i="16"/>
  <c r="AK264" i="16"/>
  <c r="AK1331" i="16"/>
  <c r="AK1716" i="16"/>
  <c r="AK1213" i="16"/>
  <c r="AK1606" i="16"/>
  <c r="AK2263" i="16"/>
  <c r="AK179" i="16"/>
  <c r="AK139" i="16"/>
  <c r="AK963" i="16"/>
  <c r="AK1333" i="16"/>
  <c r="AK2028" i="16"/>
  <c r="AK2222" i="16"/>
  <c r="AK68" i="16"/>
  <c r="AK1323" i="16"/>
  <c r="AK554" i="16"/>
  <c r="AK1091" i="16"/>
  <c r="AK84" i="16"/>
  <c r="AK54" i="16"/>
  <c r="AK1714" i="16"/>
  <c r="AK2041" i="16"/>
  <c r="AK1944" i="16"/>
  <c r="AK669" i="16"/>
  <c r="AK1947" i="16"/>
  <c r="AK1623" i="16"/>
  <c r="AK124" i="16"/>
  <c r="AK787" i="16"/>
  <c r="AK2163" i="16"/>
  <c r="AK1173" i="16"/>
  <c r="AK1237" i="16"/>
  <c r="AK181" i="16"/>
  <c r="AK671" i="16"/>
  <c r="AK1195" i="16"/>
  <c r="AK1528" i="16"/>
  <c r="AK1110" i="16"/>
  <c r="AK593" i="16"/>
  <c r="AK434" i="16"/>
  <c r="AK318" i="16"/>
  <c r="AK860" i="16"/>
  <c r="AK220" i="16"/>
  <c r="AK701" i="16"/>
  <c r="AK398" i="16"/>
  <c r="AK1630" i="16"/>
  <c r="AK2225" i="16"/>
  <c r="AK489" i="16"/>
  <c r="AK1692" i="16"/>
  <c r="AK2044" i="16"/>
  <c r="AK1354" i="16"/>
  <c r="AK681" i="16"/>
  <c r="AK1040" i="16"/>
  <c r="AK1063" i="16"/>
  <c r="AK1868" i="16"/>
  <c r="AK25" i="16"/>
  <c r="AK1764" i="16"/>
  <c r="AK1733" i="16"/>
  <c r="AK728" i="16"/>
  <c r="AK1793" i="16"/>
  <c r="AK1693" i="16"/>
  <c r="AK595" i="16"/>
  <c r="AK1016" i="16"/>
  <c r="AK851" i="16"/>
  <c r="AK645" i="16"/>
  <c r="AK1415" i="16"/>
  <c r="AK456" i="16"/>
  <c r="AK1847" i="16"/>
  <c r="AK1780" i="16"/>
  <c r="AK1580" i="16"/>
  <c r="AK1035" i="16"/>
  <c r="AK2031" i="16"/>
  <c r="AK57" i="16"/>
  <c r="AK153" i="16"/>
  <c r="AK2200" i="16"/>
  <c r="AK2017" i="16"/>
  <c r="AK107" i="16"/>
  <c r="AK1648" i="16"/>
  <c r="AK1075" i="16"/>
  <c r="AK1761" i="16"/>
  <c r="AK474" i="16"/>
  <c r="AK2020" i="16"/>
  <c r="AK1704" i="16"/>
  <c r="AK1635" i="16"/>
  <c r="AK2283" i="16"/>
  <c r="AK22" i="16"/>
  <c r="AK2329" i="16"/>
  <c r="AK2143" i="16"/>
  <c r="AK436" i="16"/>
  <c r="AK1617" i="16"/>
  <c r="AK538" i="16"/>
  <c r="AK967" i="16"/>
  <c r="AK519" i="16"/>
  <c r="AK2288" i="16"/>
  <c r="AK411" i="16"/>
  <c r="AK805" i="16"/>
  <c r="AK1681" i="16"/>
  <c r="AK913" i="16"/>
  <c r="AK625" i="16"/>
  <c r="AK1312" i="16"/>
  <c r="AK1721" i="16"/>
  <c r="AK1744" i="16"/>
  <c r="AK1619" i="16"/>
  <c r="AK412" i="16"/>
  <c r="AK639" i="16"/>
  <c r="AK1289" i="16"/>
  <c r="AK1571" i="16"/>
  <c r="AK1083" i="16"/>
  <c r="AK1889" i="16"/>
  <c r="AK1570" i="16"/>
  <c r="AK1380" i="16"/>
  <c r="AK313" i="16"/>
  <c r="AK2269" i="16"/>
  <c r="AK651" i="16"/>
  <c r="AK490" i="16"/>
  <c r="AK1338" i="16"/>
  <c r="AK1433" i="16"/>
  <c r="AK61" i="16"/>
  <c r="AK1642" i="16"/>
  <c r="AK611" i="16"/>
  <c r="AK1194" i="16"/>
  <c r="AK6" i="16"/>
  <c r="AK1576" i="16"/>
  <c r="AK884" i="16"/>
  <c r="AK982" i="16"/>
  <c r="AK1342" i="16"/>
  <c r="AK1981" i="16"/>
  <c r="AK1055" i="16"/>
  <c r="AK2168" i="16"/>
  <c r="AK720" i="16"/>
  <c r="AK205" i="16"/>
  <c r="AK277" i="16"/>
  <c r="AK118" i="16"/>
  <c r="AK2074" i="16"/>
  <c r="AK1740" i="16"/>
  <c r="AK605" i="16"/>
  <c r="AK1271" i="16"/>
  <c r="AK790" i="16"/>
  <c r="AK1538" i="16"/>
  <c r="AK1001" i="16"/>
  <c r="AK1574" i="16"/>
  <c r="AK1148" i="16"/>
  <c r="AK997" i="16"/>
  <c r="AK282" i="16"/>
  <c r="AK350" i="16"/>
  <c r="AK748" i="16"/>
  <c r="AK1121" i="16"/>
  <c r="AK1723" i="16"/>
  <c r="AK1987" i="16"/>
  <c r="AK1116" i="16"/>
  <c r="AK1054" i="16"/>
  <c r="AK2079" i="16"/>
  <c r="AK749" i="16"/>
  <c r="AK1966" i="16"/>
  <c r="AK1711" i="16"/>
  <c r="AK154" i="16"/>
  <c r="AK1862" i="16"/>
  <c r="AK745" i="16"/>
  <c r="AK286" i="16"/>
  <c r="AK1258" i="16"/>
  <c r="AK1285" i="16"/>
  <c r="AK2140" i="16"/>
  <c r="AK1643" i="16"/>
  <c r="AK287" i="16"/>
  <c r="AK920" i="16"/>
  <c r="AK1416" i="16"/>
  <c r="AK265" i="16"/>
  <c r="AK1292" i="16"/>
  <c r="AK1647" i="16"/>
  <c r="AK977" i="16"/>
  <c r="AK1589" i="16"/>
  <c r="AK2255" i="16"/>
  <c r="AK1766" i="16"/>
  <c r="AK1376" i="16"/>
  <c r="AK2338" i="16"/>
  <c r="AK383" i="16"/>
  <c r="AK813" i="16"/>
  <c r="AK2197" i="16"/>
  <c r="AK1671" i="16"/>
  <c r="AK1313" i="16"/>
  <c r="AK2037" i="16"/>
  <c r="AK1938" i="16"/>
  <c r="AK1631" i="16"/>
  <c r="AK1756" i="16"/>
  <c r="AK1501" i="16"/>
  <c r="AK1922" i="16"/>
  <c r="AK48" i="16"/>
  <c r="AK195" i="16"/>
  <c r="AK2254" i="16"/>
  <c r="AK2024" i="16"/>
  <c r="AK1085" i="16"/>
  <c r="AK1170" i="16"/>
  <c r="AK423" i="16"/>
  <c r="AK584" i="16"/>
  <c r="AK177" i="16"/>
  <c r="AK134" i="16"/>
  <c r="AK2320" i="16"/>
  <c r="AK463" i="16"/>
  <c r="AK891" i="16"/>
  <c r="AK1343" i="16"/>
  <c r="AK1865" i="16"/>
  <c r="AK1318" i="16"/>
  <c r="AK1637" i="16"/>
  <c r="AK626" i="16"/>
  <c r="AK1161" i="16"/>
  <c r="AK2311" i="16"/>
  <c r="AK1825" i="16"/>
  <c r="AK372" i="16"/>
  <c r="AK1452" i="16"/>
  <c r="AK2113" i="16"/>
  <c r="AK1188" i="16"/>
  <c r="AK1229" i="16"/>
  <c r="AK711" i="16"/>
  <c r="AK2159" i="16"/>
  <c r="AK877" i="16"/>
  <c r="AK1653" i="16"/>
  <c r="AK945" i="16"/>
  <c r="AK1759" i="16"/>
  <c r="AK37" i="16"/>
  <c r="AK1488" i="16"/>
  <c r="AK699" i="16"/>
  <c r="AK686" i="16"/>
  <c r="AK102" i="16"/>
  <c r="AK30" i="16"/>
  <c r="AK229" i="16"/>
  <c r="AK331" i="16"/>
  <c r="AK128" i="16"/>
  <c r="AK1743" i="16"/>
  <c r="AK546" i="16"/>
  <c r="AK69" i="16"/>
  <c r="AK1225" i="16"/>
  <c r="AK321" i="16"/>
  <c r="AK1822" i="16"/>
  <c r="AK1272" i="16"/>
  <c r="AK867" i="16"/>
  <c r="AK1951" i="16"/>
  <c r="AK2186" i="16"/>
  <c r="AK875" i="16"/>
  <c r="AK327" i="16"/>
  <c r="AK1463" i="16"/>
  <c r="AK190" i="16"/>
  <c r="AK262" i="16"/>
  <c r="AK1145" i="16"/>
  <c r="AK317" i="16"/>
  <c r="AK185" i="16"/>
  <c r="AK97" i="16"/>
  <c r="AK466" i="16"/>
  <c r="AK865" i="16"/>
  <c r="AK829" i="16"/>
  <c r="AK1655" i="16"/>
  <c r="AK1467" i="16"/>
  <c r="AK1953" i="16"/>
  <c r="AK1548" i="16"/>
  <c r="AK2077" i="16"/>
  <c r="AK2192" i="16"/>
  <c r="AK852" i="16"/>
  <c r="AK56" i="16"/>
  <c r="AK1113" i="16"/>
  <c r="AK2178" i="16"/>
  <c r="AK640" i="16"/>
  <c r="AK191" i="16"/>
  <c r="AK1601" i="16"/>
  <c r="AK1073" i="16"/>
  <c r="AK811" i="16"/>
  <c r="AK227" i="16"/>
  <c r="AK488" i="16"/>
  <c r="AK1551" i="16"/>
  <c r="AK2061" i="16"/>
  <c r="AK2058" i="16"/>
  <c r="AK206" i="16"/>
  <c r="AK774" i="16"/>
  <c r="AK1043" i="16"/>
  <c r="AK72" i="16"/>
  <c r="AK1690" i="16"/>
  <c r="AK1093" i="16"/>
  <c r="AK1978" i="16"/>
  <c r="AK202" i="16"/>
  <c r="AK1175" i="16"/>
  <c r="AK2120" i="16"/>
  <c r="AK946" i="16"/>
  <c r="AK297" i="16"/>
  <c r="AK1996" i="16"/>
  <c r="AK764" i="16"/>
  <c r="AK2277" i="16"/>
  <c r="AK1651" i="16"/>
  <c r="AK1017" i="16"/>
  <c r="AK2208" i="16"/>
  <c r="AK343" i="16"/>
  <c r="AK1779" i="16"/>
  <c r="AK1796" i="16"/>
  <c r="AK757" i="16"/>
  <c r="AK1238" i="16"/>
  <c r="AK2012" i="16"/>
  <c r="AK1428" i="16"/>
  <c r="AK507" i="16"/>
  <c r="AK1929" i="16"/>
  <c r="AK2144" i="16"/>
  <c r="AK995" i="16"/>
  <c r="AK1795" i="16"/>
  <c r="AK1597" i="16"/>
  <c r="AK188" i="16"/>
  <c r="AK1451" i="16"/>
  <c r="AK893" i="16"/>
  <c r="AK663" i="16"/>
  <c r="AK2131" i="16"/>
  <c r="AK255" i="16"/>
  <c r="AK965" i="16"/>
  <c r="AK32" i="16"/>
  <c r="AK581" i="16"/>
  <c r="AK2300" i="16"/>
  <c r="AK340" i="16"/>
  <c r="AK1220" i="16"/>
  <c r="AK122" i="16"/>
  <c r="AK66" i="16"/>
  <c r="AK2228" i="16"/>
  <c r="AK673" i="16"/>
  <c r="AK1497" i="16"/>
  <c r="AK910" i="16"/>
  <c r="AK1803" i="16"/>
  <c r="AK2286" i="16"/>
  <c r="AK986" i="16"/>
  <c r="AK1668" i="16"/>
  <c r="AK1879" i="16"/>
  <c r="AK1539" i="16"/>
  <c r="AK2042" i="16"/>
  <c r="AK1626" i="16"/>
  <c r="AK106" i="16"/>
  <c r="AK344" i="16"/>
  <c r="AK1456" i="16"/>
  <c r="AK2191" i="16"/>
  <c r="AK1363" i="16"/>
  <c r="AK808" i="16"/>
  <c r="AK1309" i="16"/>
  <c r="AK558" i="16"/>
  <c r="AK1697" i="16"/>
  <c r="AK2086" i="16"/>
  <c r="AK309" i="16"/>
  <c r="AK1410" i="16"/>
  <c r="AK1945" i="16"/>
  <c r="AK535" i="16"/>
  <c r="AK1832" i="16"/>
  <c r="AK2233" i="16"/>
  <c r="AK1268" i="16"/>
  <c r="AK2158" i="16"/>
  <c r="AK415" i="16"/>
  <c r="AK382" i="16"/>
  <c r="AK1949" i="16"/>
  <c r="AK1207" i="16"/>
  <c r="AK1933" i="16"/>
  <c r="AK2198" i="16"/>
  <c r="AK1965" i="16"/>
  <c r="AK268" i="16"/>
  <c r="AK2142" i="16"/>
  <c r="AK854" i="16"/>
  <c r="AK356" i="16"/>
  <c r="AK1839" i="16"/>
  <c r="AK1595" i="16"/>
  <c r="AK1527" i="16"/>
  <c r="AK447" i="16"/>
  <c r="AK1448" i="16"/>
  <c r="AK662" i="16"/>
  <c r="AK1414" i="16"/>
  <c r="AK468" i="16"/>
  <c r="AK1008" i="16"/>
  <c r="AK50" i="16"/>
  <c r="AK2107" i="16"/>
  <c r="AK222" i="16"/>
  <c r="AK1217" i="16"/>
  <c r="AK1838" i="16"/>
  <c r="AK437" i="16"/>
  <c r="AK1864" i="16"/>
  <c r="AK370" i="16"/>
  <c r="AK615" i="16"/>
  <c r="AK44" i="16"/>
  <c r="AK2013" i="16"/>
  <c r="AK793" i="16"/>
  <c r="AK1198" i="16"/>
  <c r="AK1185" i="16"/>
  <c r="AK2227" i="16"/>
  <c r="AK2267" i="16"/>
  <c r="AK983" i="16"/>
  <c r="AK1464" i="16"/>
  <c r="AK126" i="16"/>
  <c r="AK1640" i="16"/>
  <c r="AK881" i="16"/>
  <c r="AK2252" i="16"/>
  <c r="AK591" i="16"/>
  <c r="AK1037" i="16"/>
  <c r="AK1727" i="16"/>
  <c r="AK2275" i="16"/>
  <c r="AK2301" i="16"/>
  <c r="AK197" i="16"/>
  <c r="AK2003" i="16"/>
  <c r="AK539" i="16"/>
  <c r="AK2094" i="16"/>
  <c r="AK116" i="16"/>
  <c r="AK735" i="16"/>
  <c r="AK908" i="16"/>
  <c r="AK889" i="16"/>
  <c r="AK167" i="16"/>
  <c r="AK999" i="16"/>
  <c r="AK1820" i="16"/>
  <c r="AK1990" i="16"/>
  <c r="AK140" i="16"/>
  <c r="AK261" i="16"/>
  <c r="AK981" i="16"/>
  <c r="AK11" i="16"/>
  <c r="AK478" i="16"/>
  <c r="AK2164" i="16"/>
  <c r="AK1270" i="16"/>
  <c r="AK77" i="16"/>
  <c r="AK1494" i="16"/>
  <c r="AK587" i="16"/>
  <c r="AK1679" i="16"/>
  <c r="AK768" i="16"/>
  <c r="AK588" i="16"/>
  <c r="AK1325" i="16"/>
  <c r="AK502" i="16"/>
  <c r="AK366" i="16"/>
  <c r="AK371" i="16"/>
  <c r="AK674" i="16"/>
  <c r="AK1992" i="16"/>
  <c r="AK1435" i="16"/>
  <c r="AK2187" i="16"/>
  <c r="AK1560" i="16"/>
  <c r="AK1817" i="16"/>
  <c r="AK1082" i="16"/>
  <c r="AK347" i="16"/>
  <c r="AK1449" i="16"/>
  <c r="AK267" i="16"/>
  <c r="AK1614" i="16"/>
  <c r="AK770" i="16"/>
  <c r="AK806" i="16"/>
  <c r="AK1440" i="16"/>
  <c r="AK549" i="16"/>
  <c r="AK1294" i="16"/>
  <c r="AK330" i="16"/>
  <c r="AK1345" i="16"/>
  <c r="AK79" i="16"/>
  <c r="AK1300" i="16"/>
  <c r="AK1937" i="16"/>
  <c r="AK804" i="16"/>
  <c r="AK1393" i="16"/>
  <c r="AK328" i="16"/>
  <c r="AK1208" i="16"/>
  <c r="AK1123" i="16"/>
  <c r="AK589" i="16"/>
  <c r="AK1644" i="16"/>
  <c r="AK1295" i="16"/>
  <c r="AK1275" i="16"/>
  <c r="AK1115" i="16"/>
  <c r="AK1190" i="16"/>
  <c r="AK652" i="16"/>
  <c r="AK132" i="16"/>
  <c r="AK1481" i="16"/>
  <c r="AK1445" i="16"/>
  <c r="AK1901" i="16"/>
  <c r="AK1709" i="16"/>
  <c r="AK2064" i="16"/>
  <c r="AK1068" i="16"/>
  <c r="AK1701" i="16"/>
</calcChain>
</file>

<file path=xl/sharedStrings.xml><?xml version="1.0" encoding="utf-8"?>
<sst xmlns="http://schemas.openxmlformats.org/spreadsheetml/2006/main" count="69766" uniqueCount="11533">
  <si>
    <t>Unknown</t>
  </si>
  <si>
    <t>Area in Floodplain (sqmi)</t>
  </si>
  <si>
    <t xml:space="preserve">Number of Structures in Floodplain </t>
  </si>
  <si>
    <t>Residential Structures in Floodplain</t>
  </si>
  <si>
    <t>Roadway Stream Crossings (#)</t>
  </si>
  <si>
    <t>Roadways Segments (miles)</t>
  </si>
  <si>
    <t>Agricultural Areas (sqmi)</t>
  </si>
  <si>
    <t>Critical Facilities (#)</t>
  </si>
  <si>
    <t>FME ID</t>
  </si>
  <si>
    <t>Potential costs generally associated with FMSs, FMPs, and FMEs</t>
  </si>
  <si>
    <t>Non-recurring</t>
  </si>
  <si>
    <t>Study costs and other (non-capital costs)</t>
  </si>
  <si>
    <t xml:space="preserve">Non-engineering studies: (e.g., flood plain regulation development; flood authority or revenue raising studies; public awareness program) </t>
  </si>
  <si>
    <t>x</t>
  </si>
  <si>
    <t>Surveying; geotechnical; testing </t>
  </si>
  <si>
    <t>Total study costs</t>
  </si>
  <si>
    <t>Construction-related (capital costs)</t>
  </si>
  <si>
    <t>Design and Permitting</t>
  </si>
  <si>
    <t>Environmental; archaeological &amp; historical resources</t>
  </si>
  <si>
    <t>Temporary and/or permanent easements; land acquisition</t>
  </si>
  <si>
    <t>Mitigation; utility relocation</t>
  </si>
  <si>
    <t>Legal assistance; fiscal services &amp; costs (bond counsel); outreach</t>
  </si>
  <si>
    <t>Direct construction costs of components/facilities</t>
  </si>
  <si>
    <t>Buyouts; property elevations</t>
  </si>
  <si>
    <t>Interest during construction</t>
  </si>
  <si>
    <t>Project management (by engineer)</t>
  </si>
  <si>
    <t>Inspection; pilot testing; warranty; manuals</t>
  </si>
  <si>
    <t>(other special services or relevant costs)</t>
  </si>
  <si>
    <t>Contingency(s)</t>
  </si>
  <si>
    <t>Debt service [interest rate &amp; term (years)]</t>
  </si>
  <si>
    <t>*Operation &amp; Maintenance</t>
  </si>
  <si>
    <t>*Other (i.e., public awareness campaign)</t>
  </si>
  <si>
    <t xml:space="preserve"> </t>
  </si>
  <si>
    <t xml:space="preserve">Engineering/technical/feasibility studies: (e.g. Hydrologic &amp; hydraulic model development/modelling/mapping; identification of potential flood risk reduction solutions; BCA and alternative analyses; project design; construction engineering) </t>
  </si>
  <si>
    <r>
      <t xml:space="preserve"> </t>
    </r>
    <r>
      <rPr>
        <sz val="8"/>
        <color theme="1"/>
        <rFont val="Calibri"/>
        <family val="2"/>
        <scheme val="minor"/>
      </rPr>
      <t> </t>
    </r>
  </si>
  <si>
    <r>
      <t>Surveying; geotechnical; testing</t>
    </r>
    <r>
      <rPr>
        <sz val="8"/>
        <color theme="1"/>
        <rFont val="Calibri"/>
        <family val="2"/>
        <scheme val="minor"/>
      </rPr>
      <t> </t>
    </r>
  </si>
  <si>
    <t>*Total construction costs</t>
  </si>
  <si>
    <t xml:space="preserve"> TOTAL PROJECT COSTS</t>
  </si>
  <si>
    <t>Recurring</t>
  </si>
  <si>
    <t>TOTAL ANNUAL COSTS</t>
  </si>
  <si>
    <t>* Generally to be used as an input into the BCA</t>
  </si>
  <si>
    <r>
      <t> </t>
    </r>
    <r>
      <rPr>
        <sz val="10"/>
        <color theme="1"/>
        <rFont val="Calibri"/>
        <family val="2"/>
        <scheme val="minor"/>
      </rPr>
      <t>We need to include design and permitting</t>
    </r>
  </si>
  <si>
    <r>
      <t> </t>
    </r>
    <r>
      <rPr>
        <sz val="10"/>
        <color theme="1"/>
        <rFont val="Calibri"/>
        <family val="2"/>
        <scheme val="minor"/>
      </rPr>
      <t>This happens in feasibility, preliminary engineering and design phase.</t>
    </r>
  </si>
  <si>
    <t xml:space="preserve">From reem:
Matt,
This looks good. I would probably break down and rearrange a few of the cost items but you touched all of the key items.
I would add project management, engineering design, permitting, inspection and real estate costs.
Here is an outline of the steps involved in a flood risk reduction construction project mostly in chronological order except Item #10:
1.	Problem area identification
2.	Flood Risk Quantification
a.	Hydrologic Modeling
b.	Hydraulic Modeling
c.	Mapping
3.	Problem area prioritization
4.	Feasibility Study * Some entities do #4 and #5 together
5.	Preliminary Engineering 
a.	Survey
b.	Alternative Analysis – includes modeling
c.	Environmental, utility conflicts, identification of permitting requirements including historic, archeological, endangered species etc. 
d.	Recommended solution identification – often includes 30% Design for storm drain projects to capture utility conflicts
6.	Engineering Design
a.	Survey
b.	Design – 30%, 60%, 90% and 100% 
c.	Permitting
7.	Easement acquisition and/ or property acquisition
8.	Construction
a.	Direct Construction Cost
i.	Construction of storm drain systems, detention ponds, diversion channels/ tunnels, flood walls, drainage ditch, 
ii.	Upgrade of LWCs
iii.	Buyouts including relocation cost, demolition, abatement etc., 
iv.	Property elevation
v.	Dam modernization
b.	Contingency
c.	Construction phase services
d.	Inspection
9.	Post Construction
a.	Inspection and warranty
10.	Other Costs
a.	Public outreach throughout the process including educational materials
b.	Legal cost
c.	Real estate cost (this is significant for property acquisition/ buy-out projects).
Thanks,
Reem
</t>
  </si>
  <si>
    <t>101000001</t>
  </si>
  <si>
    <t>Lower Colorado-Lavaca</t>
  </si>
  <si>
    <t>Willow-Gazley Local Drainage Alternative 3</t>
  </si>
  <si>
    <t>Drainage System Improvements</t>
  </si>
  <si>
    <t>10000025</t>
  </si>
  <si>
    <t>Bastrop</t>
  </si>
  <si>
    <t>12090301</t>
  </si>
  <si>
    <t>Project Planning</t>
  </si>
  <si>
    <t>10002526</t>
  </si>
  <si>
    <t>No</t>
  </si>
  <si>
    <t>Yes</t>
  </si>
  <si>
    <t>Meets TWDB criteria and RFPG Goals</t>
  </si>
  <si>
    <t xml:space="preserve">Bastrop County Flood Protection Planning Study - Willow-Gazley Creeks </t>
  </si>
  <si>
    <t>101000002</t>
  </si>
  <si>
    <t>Shiloh Road Bridge West of State HWY 304</t>
  </si>
  <si>
    <t>10000027</t>
  </si>
  <si>
    <t>00000028</t>
  </si>
  <si>
    <t xml:space="preserve">Bastrop County HMP </t>
  </si>
  <si>
    <t>101000003</t>
  </si>
  <si>
    <t>101000004</t>
  </si>
  <si>
    <t>Gotier Trace Low Water Crossing</t>
  </si>
  <si>
    <t>Replace LWCs with box culverts</t>
  </si>
  <si>
    <t>101000005</t>
  </si>
  <si>
    <t>Lakeview Drive &amp; Tuck Street</t>
  </si>
  <si>
    <t>Drainage system improvements</t>
  </si>
  <si>
    <t>101000006</t>
  </si>
  <si>
    <t>Green Valley Drive in Precinct 1</t>
  </si>
  <si>
    <t>LWC upgrade, Bridge</t>
  </si>
  <si>
    <t>101000007</t>
  </si>
  <si>
    <t>Old McDade Rd in Precinct 4 near Norwood Rd</t>
  </si>
  <si>
    <t>Box culvert replacement</t>
  </si>
  <si>
    <t>101000008</t>
  </si>
  <si>
    <t>Clear Springs Lake Dam</t>
  </si>
  <si>
    <t>Design &amp; implement Clear Springs Lake Dam Improvements</t>
  </si>
  <si>
    <t>101000009</t>
  </si>
  <si>
    <t>Pecan Shores Subdivision</t>
  </si>
  <si>
    <t>Voluntary buyout of homes in 100-year FP (48 homes)</t>
  </si>
  <si>
    <t>10000021</t>
  </si>
  <si>
    <t>101000010</t>
  </si>
  <si>
    <t>Hidden Shores Subdivision</t>
  </si>
  <si>
    <t>Voluntary buyout of homes in floodway (22 homes)</t>
  </si>
  <si>
    <t>101000011</t>
  </si>
  <si>
    <t>Waters Edge Terrace Subdivision</t>
  </si>
  <si>
    <t>Voluntary buyout of homes in 100-year FP (12 homes)</t>
  </si>
  <si>
    <t>101000012</t>
  </si>
  <si>
    <t>Old Sayers Rd &amp; Little Sandy Creek</t>
  </si>
  <si>
    <t>LWC upgrade, Box culvert</t>
  </si>
  <si>
    <t>101000013</t>
  </si>
  <si>
    <t>Paffen Rd &amp; Grassy Creek Draw</t>
  </si>
  <si>
    <t>CMP Upgrade, Cast-in-place multi-box (2) culvert-bridge</t>
  </si>
  <si>
    <t>101000014</t>
  </si>
  <si>
    <t>Meduna Rd &amp; Barton Oaks Draw 1</t>
  </si>
  <si>
    <t>LWC to Culvert, Cast-in-place box culvert-bridge</t>
  </si>
  <si>
    <t>101000015</t>
  </si>
  <si>
    <t>Pine Canyon Dr &amp; Wet Weather Creek</t>
  </si>
  <si>
    <t>LWC to Culvert, Cast-in-place multi-box (2) culvert-bridge</t>
  </si>
  <si>
    <t>101000016</t>
  </si>
  <si>
    <t>Hall Rd &amp; Young's Branch</t>
  </si>
  <si>
    <t>Upgrade Box-culvert bridge</t>
  </si>
  <si>
    <t>101000017</t>
  </si>
  <si>
    <t>Friendship Rd &amp; Turner Creek A and B</t>
  </si>
  <si>
    <t>LWC to Culvert, Cast-in-place multi-box (3) culvert-bridge</t>
  </si>
  <si>
    <t>12070102,12090301</t>
  </si>
  <si>
    <t>101000018</t>
  </si>
  <si>
    <t>Patterson Rd &amp; Barton's Creek</t>
  </si>
  <si>
    <t>Wooden Bridge Upgrade, Box-culvert bridge</t>
  </si>
  <si>
    <t>12100202,12090301</t>
  </si>
  <si>
    <t>101000019</t>
  </si>
  <si>
    <t>Upper Elgin River Rd &amp; Cotton Creek</t>
  </si>
  <si>
    <t>LWC to Culvert Cast-in-place multi-box (2) culvert-bridge</t>
  </si>
  <si>
    <t>101000020</t>
  </si>
  <si>
    <t>Old Sayers Rd &amp; Big Sandy Creek</t>
  </si>
  <si>
    <t>101000021</t>
  </si>
  <si>
    <t>Caldwell Rd &amp; Wet Weather Creek</t>
  </si>
  <si>
    <t>101000022</t>
  </si>
  <si>
    <t>101000023</t>
  </si>
  <si>
    <t>101000026</t>
  </si>
  <si>
    <t>Smithville Recreation Center Expansion</t>
  </si>
  <si>
    <t>Expand center to improve shelter-in-place capability</t>
  </si>
  <si>
    <t>10000004</t>
  </si>
  <si>
    <t>101000027</t>
  </si>
  <si>
    <t>FM 812  at Little Alum Creek</t>
  </si>
  <si>
    <t xml:space="preserve">200-ft by 35-ft bridge, 2200 LF of channelization </t>
  </si>
  <si>
    <t>Walnut Creek - Bastrop County Flood Protection Planning Study</t>
  </si>
  <si>
    <t>101000028</t>
  </si>
  <si>
    <t>FM 812 at Alum Creek South</t>
  </si>
  <si>
    <t>100-ft bridge, 1700 LF of channelization</t>
  </si>
  <si>
    <t>101000102</t>
  </si>
  <si>
    <t>4,430 LF channel benching</t>
  </si>
  <si>
    <t>Bastrop County Flood Protection Planning Study - Piney Creek Watershed</t>
  </si>
  <si>
    <t>101000103</t>
  </si>
  <si>
    <t>Drainage System Improvements - JC Madison Addition</t>
  </si>
  <si>
    <t>101000104</t>
  </si>
  <si>
    <t>Citywide Drainage System Improvements</t>
  </si>
  <si>
    <t>Watershed Planning</t>
  </si>
  <si>
    <t>101000125</t>
  </si>
  <si>
    <t>Replace CMPs with larger multi-box culvert</t>
  </si>
  <si>
    <t>Bastrop County Flood Protection Planning Study - Alum Creek Watershed</t>
  </si>
  <si>
    <t>101000155</t>
  </si>
  <si>
    <t>Taylor Lane Drainage Improvements</t>
  </si>
  <si>
    <t>Upgrade to stormwater drainage system in the northeastern part of the city; capacity of existing drainage infrastructure in this area is insufficient as per current city drainage requirements</t>
  </si>
  <si>
    <t>10003201</t>
  </si>
  <si>
    <t>Five-Year Capital Improvement Plan - Capital Projects</t>
  </si>
  <si>
    <t>101000156</t>
  </si>
  <si>
    <t>Storm Water Detention at Morris Park</t>
  </si>
  <si>
    <t>101000107</t>
  </si>
  <si>
    <t>Citywide Drainage Plan</t>
  </si>
  <si>
    <t>10000007</t>
  </si>
  <si>
    <t>Blanco</t>
  </si>
  <si>
    <t>12090206</t>
  </si>
  <si>
    <t>10003338</t>
  </si>
  <si>
    <t>Blanco County HMP</t>
  </si>
  <si>
    <t>101000108</t>
  </si>
  <si>
    <t>Develop New/Updated Floodplain Maps</t>
  </si>
  <si>
    <t>10000016</t>
  </si>
  <si>
    <t>101000105</t>
  </si>
  <si>
    <t>Update and Maintain Emergency Management Plan</t>
  </si>
  <si>
    <t>12090201,12090205,12090206,12100201,12100203</t>
  </si>
  <si>
    <t>Preparedness</t>
  </si>
  <si>
    <t>00000031</t>
  </si>
  <si>
    <t>101000106</t>
  </si>
  <si>
    <t>Various Locations - Upgrade Low Water Crossings</t>
  </si>
  <si>
    <t>101000109</t>
  </si>
  <si>
    <t>CR 332 Drainage Improvements</t>
  </si>
  <si>
    <t>Implement drainage improvement program along CR 332</t>
  </si>
  <si>
    <t>Brazoria</t>
  </si>
  <si>
    <t>12090402,12090401</t>
  </si>
  <si>
    <t>10003099</t>
  </si>
  <si>
    <t>Brazoria County HMP</t>
  </si>
  <si>
    <t>101000110</t>
  </si>
  <si>
    <t>Various Culverts Along Stevenson Slough</t>
  </si>
  <si>
    <t>101000136</t>
  </si>
  <si>
    <t>Highway Drainage</t>
  </si>
  <si>
    <t>Highway 36 drainage ditches to be widened/reshaped, upgrade culverts</t>
  </si>
  <si>
    <t>12090401,12070104</t>
  </si>
  <si>
    <t>10002982</t>
  </si>
  <si>
    <t>101000029</t>
  </si>
  <si>
    <t>Magnolia St</t>
  </si>
  <si>
    <t>Magnolia Ditch Project, Construction of ditch &amp; culvert</t>
  </si>
  <si>
    <t>Brown</t>
  </si>
  <si>
    <t>12090107</t>
  </si>
  <si>
    <t>10002887</t>
  </si>
  <si>
    <t>Mills County &amp; City of Brownwood HMP</t>
  </si>
  <si>
    <t>101000112</t>
  </si>
  <si>
    <t>Willis Creek Detention construction</t>
  </si>
  <si>
    <t>12090106,12090107</t>
  </si>
  <si>
    <t>101000111</t>
  </si>
  <si>
    <t>Adopt Flood Insurance Rate Maps</t>
  </si>
  <si>
    <t>Adopt DFIRM</t>
  </si>
  <si>
    <t>10000009</t>
  </si>
  <si>
    <t>101000137</t>
  </si>
  <si>
    <t>CR257 at Pecan Bayou (Tenmile Crossing)</t>
  </si>
  <si>
    <t>Upgrade CR 257 over Pecan Bayou to higher level of service (per TxDOT HDM)</t>
  </si>
  <si>
    <t>10000002</t>
  </si>
  <si>
    <t>00000146</t>
  </si>
  <si>
    <t>Meeting w/ Rita Thompson, FPA</t>
  </si>
  <si>
    <t>101000160</t>
  </si>
  <si>
    <t>Delaware Creek Flood Study</t>
  </si>
  <si>
    <t>10000005</t>
  </si>
  <si>
    <t>City Staff</t>
  </si>
  <si>
    <t>101000031</t>
  </si>
  <si>
    <t>Burnet</t>
  </si>
  <si>
    <t>12090205,12070205</t>
  </si>
  <si>
    <t>Burnet County HMP</t>
  </si>
  <si>
    <t>101000032</t>
  </si>
  <si>
    <t>Mission Hills Street</t>
  </si>
  <si>
    <t>Build bridge at Mission Hills Street creek x-ing</t>
  </si>
  <si>
    <t>12090205</t>
  </si>
  <si>
    <t>10003109</t>
  </si>
  <si>
    <t>101000114</t>
  </si>
  <si>
    <t>00003107</t>
  </si>
  <si>
    <t>101000116</t>
  </si>
  <si>
    <t>Whitman Branch Bypass; Oak Ridge Drive Creek</t>
  </si>
  <si>
    <t xml:space="preserve">This project is installing a 50-foot wide by 5-foot deep bypass channel to the east along Oak Ridge Drive Creek to increase water capacity and minimize flooding. </t>
  </si>
  <si>
    <t>101000113</t>
  </si>
  <si>
    <t>101000138</t>
  </si>
  <si>
    <t>Dam Emergency Action Plan</t>
  </si>
  <si>
    <t>12090201,12090205,12070205</t>
  </si>
  <si>
    <t>101000159</t>
  </si>
  <si>
    <t>Wastewater Treatment Plant Flood Study</t>
  </si>
  <si>
    <t>101000161</t>
  </si>
  <si>
    <t>VFW Flood Study</t>
  </si>
  <si>
    <t>101000165</t>
  </si>
  <si>
    <t>Whitman Branch Regional Detention Pond</t>
  </si>
  <si>
    <t>Regional Detention Pond Along Whitman Branch</t>
  </si>
  <si>
    <t>Marble Falls Flood Protection Planning Study</t>
  </si>
  <si>
    <t>101000166</t>
  </si>
  <si>
    <t>Ave J Bridge Replacement</t>
  </si>
  <si>
    <t>Replace bridge that heavily floods and was damaged during 2018 flood event.</t>
  </si>
  <si>
    <t>12090201,12090205</t>
  </si>
  <si>
    <t>Marble Falls CIP</t>
  </si>
  <si>
    <t>101000167</t>
  </si>
  <si>
    <t>Broadway Street at Whitman Branch Low Water Crossing</t>
  </si>
  <si>
    <t>Low Water Crossing upgrade for one of the most commonly closed low water crossings in Marble Falls.  It is a heavily trafficked street, providing an alternative route to 281/1431 intersection</t>
  </si>
  <si>
    <t>101000168</t>
  </si>
  <si>
    <t>1431/281 Detention</t>
  </si>
  <si>
    <t xml:space="preserve">This project would be in partnership with TxDOT.  TxDOT is looking at installing a right turn lane on northbound 281 onto 1431.  This would require acquisition of the properties in the vicinity, as the businesses would no longer be able to function. </t>
  </si>
  <si>
    <t>101000169</t>
  </si>
  <si>
    <t>Backbone Branch Detention Pond</t>
  </si>
  <si>
    <t>101000170</t>
  </si>
  <si>
    <t>Marble Falls Creek Walk</t>
  </si>
  <si>
    <t>The creek walk would be on the Whitman Branch in Downtown Marble Falls.  It would include flood reduction, pedestrian access/trails, and education</t>
  </si>
  <si>
    <t>101000171</t>
  </si>
  <si>
    <t>Citywide Floodplain Remapping</t>
  </si>
  <si>
    <t>101000172</t>
  </si>
  <si>
    <t>2nd Street at Backbone Creek Low Water Crossing</t>
  </si>
  <si>
    <t>This route regularly floods and is an emergency vehicle response route as well as a truck route.</t>
  </si>
  <si>
    <t>101000173</t>
  </si>
  <si>
    <t>This crossing is regularly closed due to flooding.</t>
  </si>
  <si>
    <t>101000174</t>
  </si>
  <si>
    <t>Broadway at Backbone Creek Low Water Crossing</t>
  </si>
  <si>
    <t>This crossing frequently floods and is right by Marble Falls Elementary.</t>
  </si>
  <si>
    <t>101000118</t>
  </si>
  <si>
    <t>Sandy Oaks Subdivision</t>
  </si>
  <si>
    <t>Colorado</t>
  </si>
  <si>
    <t>12090302,12090401,12090301,12100102</t>
  </si>
  <si>
    <t>10000012</t>
  </si>
  <si>
    <t xml:space="preserve">Colorado County HMP </t>
  </si>
  <si>
    <t>101000119</t>
  </si>
  <si>
    <t>Frisch Auf Buyout</t>
  </si>
  <si>
    <t>Buyout all property in Frisch Auf Floodplain</t>
  </si>
  <si>
    <t>Fayette</t>
  </si>
  <si>
    <t>12090301,12100102</t>
  </si>
  <si>
    <t>00000019</t>
  </si>
  <si>
    <t>Fayette County HMP</t>
  </si>
  <si>
    <t>101000120</t>
  </si>
  <si>
    <t>Flood Proof Wastewater Treatment Plants</t>
  </si>
  <si>
    <t>12100202,12100102</t>
  </si>
  <si>
    <t>00003060</t>
  </si>
  <si>
    <t>101000034</t>
  </si>
  <si>
    <t>Lump Rd, Hilltop Rd, FM 2919 N</t>
  </si>
  <si>
    <t>Feasibility study of LWCs</t>
  </si>
  <si>
    <t>Fort Bend</t>
  </si>
  <si>
    <t>12090401</t>
  </si>
  <si>
    <t>10002924</t>
  </si>
  <si>
    <t>Fort Bend County HMP Update</t>
  </si>
  <si>
    <t>101000035</t>
  </si>
  <si>
    <t>Drainage Improvements to Crawford Outlet Right-of-Way</t>
  </si>
  <si>
    <t>101000037</t>
  </si>
  <si>
    <t>Gene and Church Streets</t>
  </si>
  <si>
    <t>Install Culverts</t>
  </si>
  <si>
    <t>00002935</t>
  </si>
  <si>
    <t>101000121</t>
  </si>
  <si>
    <t>Various Streets - Install Flood Early Warning Systems</t>
  </si>
  <si>
    <t>High water barricades in several locations</t>
  </si>
  <si>
    <t>00000009</t>
  </si>
  <si>
    <t>101000038</t>
  </si>
  <si>
    <t>800 Block W San Antonio</t>
  </si>
  <si>
    <t>Channels, drop structures, &amp; 2 box culverts: 7' x 4'</t>
  </si>
  <si>
    <t>Gillespie</t>
  </si>
  <si>
    <t>10002910</t>
  </si>
  <si>
    <t>City of Fredericksburg DMP</t>
  </si>
  <si>
    <t>101000039</t>
  </si>
  <si>
    <t>South End of Acorn Street</t>
  </si>
  <si>
    <t>Rollup curb at driveway edge</t>
  </si>
  <si>
    <t>101000042</t>
  </si>
  <si>
    <t>Bowie &amp; Peach Street</t>
  </si>
  <si>
    <t>101000043</t>
  </si>
  <si>
    <t>Edison &amp; Creek Street</t>
  </si>
  <si>
    <t>101000044</t>
  </si>
  <si>
    <t>112 W Park</t>
  </si>
  <si>
    <t>Extend curb to direct water to new vegetated channel with drop structure outfall to Barons Creek</t>
  </si>
  <si>
    <t>101000047</t>
  </si>
  <si>
    <t>101000048</t>
  </si>
  <si>
    <t>Trailmoor near Llano Hwy</t>
  </si>
  <si>
    <t>Add stormwater system throughout watershed</t>
  </si>
  <si>
    <t>101000050</t>
  </si>
  <si>
    <t>Drainage Channel near EMS Building</t>
  </si>
  <si>
    <t>Drop structure with utility encasement</t>
  </si>
  <si>
    <t>101000051</t>
  </si>
  <si>
    <t>Bob White Trail</t>
  </si>
  <si>
    <t>101000053</t>
  </si>
  <si>
    <t>N Edison Low Water Crossing</t>
  </si>
  <si>
    <t>Raise N Edison at Schubert; redesign intersection; install FEWS with automatic gates &amp; flashers</t>
  </si>
  <si>
    <t>101000054</t>
  </si>
  <si>
    <t>Schubert Low Water Crossing</t>
  </si>
  <si>
    <t>Lower channel by 4-5' with drop structures; install five 9'x5' culverts</t>
  </si>
  <si>
    <t>101000055</t>
  </si>
  <si>
    <t>200 Block N Orange</t>
  </si>
  <si>
    <t>Concrete apron; pedestrian/guard rail; relocate DS concrete encased utility or extend protection to cover utility</t>
  </si>
  <si>
    <t>101000056</t>
  </si>
  <si>
    <t>Crockett Street South of Travis</t>
  </si>
  <si>
    <t>Capture flow with curb/drop inlets along Travis, Crockett, Austin St</t>
  </si>
  <si>
    <t>101000057</t>
  </si>
  <si>
    <t>Cross Mountain West</t>
  </si>
  <si>
    <t>Drainage channel</t>
  </si>
  <si>
    <t>101000058</t>
  </si>
  <si>
    <t>N Milam at West Travis</t>
  </si>
  <si>
    <t>Curb inlets along Milam St</t>
  </si>
  <si>
    <t>101000122</t>
  </si>
  <si>
    <t>Carriage Hills</t>
  </si>
  <si>
    <t>Replace curb, add vegetated channel, increase capacity at Crabapple Pond, replace outlet structure</t>
  </si>
  <si>
    <t>101000123</t>
  </si>
  <si>
    <t>Post Oak Subdivision</t>
  </si>
  <si>
    <t>Improve channel from outlet to Pyka Rd; raise rd by 1/2 ft; add six 7'x3' box culverts</t>
  </si>
  <si>
    <t>101000177</t>
  </si>
  <si>
    <t>Countywide Floodplain Map Update</t>
  </si>
  <si>
    <t>Update floodplain maps with Atlas 14 data and provided detailed study</t>
  </si>
  <si>
    <t>12090201,12090204,12090206,12100201,12100203</t>
  </si>
  <si>
    <t>00000030</t>
  </si>
  <si>
    <t>101000178</t>
  </si>
  <si>
    <t>Low water crossings turned into bridges in these areas</t>
  </si>
  <si>
    <t>101000059</t>
  </si>
  <si>
    <t>Repair of Little Barton Creek Dam</t>
  </si>
  <si>
    <t>Hays</t>
  </si>
  <si>
    <t>10002701</t>
  </si>
  <si>
    <t>Hays County HMP</t>
  </si>
  <si>
    <t>101000060</t>
  </si>
  <si>
    <t>Floodplain/Floodway Audit</t>
  </si>
  <si>
    <t>10002702</t>
  </si>
  <si>
    <t>101000061</t>
  </si>
  <si>
    <t>Prepare Evacuation Plan</t>
  </si>
  <si>
    <t>12090205,12100203</t>
  </si>
  <si>
    <t>00002703</t>
  </si>
  <si>
    <t>101000126</t>
  </si>
  <si>
    <t>Flood Proofing Repetitive Loss Structures</t>
  </si>
  <si>
    <t>Flood-proofing repetitive loss structures identified by FEMA</t>
  </si>
  <si>
    <t>101000153</t>
  </si>
  <si>
    <t>City of Buda Garlic Creek Culvert</t>
  </si>
  <si>
    <t>00002799</t>
  </si>
  <si>
    <t>101000062</t>
  </si>
  <si>
    <t>MLK Blvd to Mexico Street</t>
  </si>
  <si>
    <t>Jackson</t>
  </si>
  <si>
    <t>12100101,12100102</t>
  </si>
  <si>
    <t>10002696</t>
  </si>
  <si>
    <t>Jackson County HMP</t>
  </si>
  <si>
    <t>101000063</t>
  </si>
  <si>
    <t>Stormwater Diversion Project</t>
  </si>
  <si>
    <t>101000064</t>
  </si>
  <si>
    <t>Land Purchase for New EMS/Fire/Police Building</t>
  </si>
  <si>
    <t>12100102</t>
  </si>
  <si>
    <t>10002698</t>
  </si>
  <si>
    <t>101000065</t>
  </si>
  <si>
    <t>Jackson County Hospital District</t>
  </si>
  <si>
    <t>Jackson County Hospital Flood Plan</t>
  </si>
  <si>
    <t>10000007 , 10000021</t>
  </si>
  <si>
    <t>12100101</t>
  </si>
  <si>
    <t>10000098</t>
  </si>
  <si>
    <t>101000066</t>
  </si>
  <si>
    <t>County Road 480</t>
  </si>
  <si>
    <t>12100401</t>
  </si>
  <si>
    <t>101000127</t>
  </si>
  <si>
    <t>Wastewater Treatment Plant Flooding</t>
  </si>
  <si>
    <t>Wastewater Treatment Plant Floodproofing</t>
  </si>
  <si>
    <t>101000129</t>
  </si>
  <si>
    <t>Palmetto Bend Spillway</t>
  </si>
  <si>
    <t>Emergency Stop Log Deployment System</t>
  </si>
  <si>
    <t xml:space="preserve">10000004, </t>
  </si>
  <si>
    <t>101000128</t>
  </si>
  <si>
    <t>City Hall Hardening and Safe Room</t>
  </si>
  <si>
    <t>101000188</t>
  </si>
  <si>
    <t>City-wide Drainage Master Plan (integrate with Dry Creek Study)</t>
  </si>
  <si>
    <t xml:space="preserve">Develop a City-wide Drainage Master Plan focused on local drainage issues.  This plan will merge with the regional FIF study of Dry Creek </t>
  </si>
  <si>
    <t>10000098,00000264,10000292,10000357,10001009,10002696</t>
  </si>
  <si>
    <t>101000189</t>
  </si>
  <si>
    <t>101000190</t>
  </si>
  <si>
    <t>Devers Creek Regional Detention and Channel Improvements</t>
  </si>
  <si>
    <t xml:space="preserve">Coordinate with JCCWDD to develop region detention and channel widening improvements along Devers Creek. </t>
  </si>
  <si>
    <t>10000098,00000264,10000292,10000357,10001009,10002698</t>
  </si>
  <si>
    <t>101000192</t>
  </si>
  <si>
    <t>City-wide Drainage Master Plan</t>
  </si>
  <si>
    <t xml:space="preserve">Develop a drainage master plan with a focus on identifying flood reduction projects for local drainage issues. </t>
  </si>
  <si>
    <t>101000193</t>
  </si>
  <si>
    <t xml:space="preserve">Develop a drainage master plan with a focus on local drainage issues using Atlas 14 rainfall </t>
  </si>
  <si>
    <t>10002705</t>
  </si>
  <si>
    <t>10000098,00000264,10000292,10000357,10001009,10002705</t>
  </si>
  <si>
    <t>101000179</t>
  </si>
  <si>
    <t>Various Streets - Install Flood Early Warning System</t>
  </si>
  <si>
    <t>Detection warnings at low water crossings across the county</t>
  </si>
  <si>
    <t>Kendall</t>
  </si>
  <si>
    <t>12090206,12100201,12100203</t>
  </si>
  <si>
    <t>00000017</t>
  </si>
  <si>
    <t>101000067</t>
  </si>
  <si>
    <t>Kerr</t>
  </si>
  <si>
    <t>12090204,12090206,12100201,12110106,12090203</t>
  </si>
  <si>
    <t>00000022</t>
  </si>
  <si>
    <t>Kerr County HMP</t>
  </si>
  <si>
    <t>101000068</t>
  </si>
  <si>
    <t>Lake Junction Dredging</t>
  </si>
  <si>
    <t>Dredge Lake Junction</t>
  </si>
  <si>
    <t>Kimble</t>
  </si>
  <si>
    <t>12090203</t>
  </si>
  <si>
    <t>10003499</t>
  </si>
  <si>
    <t>Concho Valley HMP</t>
  </si>
  <si>
    <t>101000069</t>
  </si>
  <si>
    <t>Llano River Erosion</t>
  </si>
  <si>
    <t>Develop/implement projects to prevent erosion</t>
  </si>
  <si>
    <t>12090202,12090204,12090203</t>
  </si>
  <si>
    <t>101000183</t>
  </si>
  <si>
    <t>South Polk Street Study</t>
  </si>
  <si>
    <t>Flooding study of South east side of the City of Giddings between South Polk Street and Madison.</t>
  </si>
  <si>
    <t>Lee</t>
  </si>
  <si>
    <t>00003143</t>
  </si>
  <si>
    <t>Staff</t>
  </si>
  <si>
    <t>101000070</t>
  </si>
  <si>
    <t>Llano River Channel Maintenance/Improvements</t>
  </si>
  <si>
    <t>Implement a new program to clear and clean creeks/drains and Llano River bed</t>
  </si>
  <si>
    <t>Llano</t>
  </si>
  <si>
    <t>12090204</t>
  </si>
  <si>
    <t>10003259</t>
  </si>
  <si>
    <t>Llano County HMP</t>
  </si>
  <si>
    <t>101000071</t>
  </si>
  <si>
    <t>Drainage Ditch Maintenance/Improvements</t>
  </si>
  <si>
    <t xml:space="preserve">Clean out and deepen the stormwater drainage ditches </t>
  </si>
  <si>
    <t>12090201</t>
  </si>
  <si>
    <t>10003567</t>
  </si>
  <si>
    <t>101000072</t>
  </si>
  <si>
    <t>Create evacuation plan</t>
  </si>
  <si>
    <t>12090201,12090204,12090205</t>
  </si>
  <si>
    <t>10000045</t>
  </si>
  <si>
    <t>101000073</t>
  </si>
  <si>
    <t>Comanche Rancherias Subdivision</t>
  </si>
  <si>
    <t>Address severe flooding created by drainage from adjacent lands to Comanche Rancherias Subdivision</t>
  </si>
  <si>
    <t>12090201,12090204</t>
  </si>
  <si>
    <t>101000130</t>
  </si>
  <si>
    <t>Relocate Fire Department Building</t>
  </si>
  <si>
    <t>Relocate Kingsland VFD building outside 100-year floodplain</t>
  </si>
  <si>
    <t>10000021, 10000025</t>
  </si>
  <si>
    <t>101000175</t>
  </si>
  <si>
    <t>102 Beach Dr Low Water Crossing</t>
  </si>
  <si>
    <t xml:space="preserve">Flood-prone problem low water crossing in need of flood study and solution, identified on sponsor outreach call. </t>
  </si>
  <si>
    <t>101000176</t>
  </si>
  <si>
    <t>124 Sunrise Drive Low Water Crossing</t>
  </si>
  <si>
    <t>101000074</t>
  </si>
  <si>
    <t>Construct Emergency Operation Center</t>
  </si>
  <si>
    <t>Construct emergency operation center</t>
  </si>
  <si>
    <t>Matagorda</t>
  </si>
  <si>
    <t>10003494</t>
  </si>
  <si>
    <t>Matagorda County HMP</t>
  </si>
  <si>
    <t>101000075</t>
  </si>
  <si>
    <t>Airport Drainage Improvements</t>
  </si>
  <si>
    <t>10000027, 10000016</t>
  </si>
  <si>
    <t>101000076</t>
  </si>
  <si>
    <t>Tres Palacios River</t>
  </si>
  <si>
    <t>Install automated flood warning systems on Tres Palacios River</t>
  </si>
  <si>
    <t>12090302,12100401,12100102</t>
  </si>
  <si>
    <t>10000097</t>
  </si>
  <si>
    <t>101000077</t>
  </si>
  <si>
    <t>Update Flood Insurance Study &amp; Flood Insurance Rate Maps</t>
  </si>
  <si>
    <t>12090402,12090302,12090401,12100401</t>
  </si>
  <si>
    <t>101000131</t>
  </si>
  <si>
    <t>Police Station Relocation and Safe Room</t>
  </si>
  <si>
    <t>Relocate police station outside flood zone B; build safe room inside</t>
  </si>
  <si>
    <t>101000180</t>
  </si>
  <si>
    <t>Menard</t>
  </si>
  <si>
    <t>12090109,12090110,12090202,12090204,12090105</t>
  </si>
  <si>
    <t>00000050</t>
  </si>
  <si>
    <t>101000181</t>
  </si>
  <si>
    <t>Harris Hollow Neighborhood Flooding</t>
  </si>
  <si>
    <t xml:space="preserve">Study area often flooded during large storm events. </t>
  </si>
  <si>
    <t>12090109</t>
  </si>
  <si>
    <t>10002764</t>
  </si>
  <si>
    <t>101000078</t>
  </si>
  <si>
    <t>Hooten Holler in Richland Springs</t>
  </si>
  <si>
    <t>San Saba</t>
  </si>
  <si>
    <t>12090109,12090106</t>
  </si>
  <si>
    <t>10000066</t>
  </si>
  <si>
    <t>San Saba County HMP</t>
  </si>
  <si>
    <t>101000080</t>
  </si>
  <si>
    <t>Community Evacuation Plan</t>
  </si>
  <si>
    <t>Travis</t>
  </si>
  <si>
    <t>10003455</t>
  </si>
  <si>
    <t>Travis County HMP</t>
  </si>
  <si>
    <t>101000082</t>
  </si>
  <si>
    <t>Citywide Drainage Study</t>
  </si>
  <si>
    <t>Conduct a drainage study and disseminate study results</t>
  </si>
  <si>
    <t>10000002, 10000005, 10000007</t>
  </si>
  <si>
    <t>10002612</t>
  </si>
  <si>
    <t>101000083</t>
  </si>
  <si>
    <t>101000084</t>
  </si>
  <si>
    <t>Bee Creek Drainage Improvements</t>
  </si>
  <si>
    <t>10003460</t>
  </si>
  <si>
    <t>101000085</t>
  </si>
  <si>
    <t>Create Emergency Evacuation Plan</t>
  </si>
  <si>
    <t>Create emergency evacuation plan</t>
  </si>
  <si>
    <t>10003528</t>
  </si>
  <si>
    <t>101000086</t>
  </si>
  <si>
    <t>Complete engineering studies and determine project designs for stormwater flood prevention</t>
  </si>
  <si>
    <t>10003192</t>
  </si>
  <si>
    <t>101000088</t>
  </si>
  <si>
    <t>Review and Update Floodplain Management Plan</t>
  </si>
  <si>
    <t>Review and update floodplain management plan; review annually</t>
  </si>
  <si>
    <t>10000014, 10000016</t>
  </si>
  <si>
    <t>10003461</t>
  </si>
  <si>
    <t>101000089</t>
  </si>
  <si>
    <t>Develop an Emergency Operations and Evacuation Plan</t>
  </si>
  <si>
    <t>101000158</t>
  </si>
  <si>
    <t>Citywide Storm Drain Infrastructure Modeling</t>
  </si>
  <si>
    <t>The goal of this project is to prepare 1D and 2D storm drain models for the entire City.</t>
  </si>
  <si>
    <t>12090205,12070205,12090301</t>
  </si>
  <si>
    <t>00002700</t>
  </si>
  <si>
    <t>101000163</t>
  </si>
  <si>
    <t>Jones Brothers Park Flooding</t>
  </si>
  <si>
    <t>Study area/ infrastructure often flooded during large storm events. Could also potentially be a buyout situation</t>
  </si>
  <si>
    <t>101000164</t>
  </si>
  <si>
    <t>East Reed Park Road Flooding</t>
  </si>
  <si>
    <t>Low water crossing upgrade for one of the most commonly closed low water crossings in Jonestown. The city has to section off road when it floods.</t>
  </si>
  <si>
    <t>101000090</t>
  </si>
  <si>
    <t>Various Streets - Upgrade Existing Roadway Crossings</t>
  </si>
  <si>
    <t>Increase dimensions of drainage culverts in flood prone areas</t>
  </si>
  <si>
    <t>Victoria</t>
  </si>
  <si>
    <t>12100204,12100402</t>
  </si>
  <si>
    <t>00002428</t>
  </si>
  <si>
    <t>Victoria County HMP</t>
  </si>
  <si>
    <t>101000091</t>
  </si>
  <si>
    <t>Harden City Buildings, Critical Infrastructure</t>
  </si>
  <si>
    <t>101000092</t>
  </si>
  <si>
    <t>Initiate study of storm water drainage system to assess impacts from flooding &amp; flash flooding</t>
  </si>
  <si>
    <t>12100204,12100402,12100403,12100101</t>
  </si>
  <si>
    <t>101000093</t>
  </si>
  <si>
    <t>Various Streets - Upgrade Existing Roadway Crossings and Bridges</t>
  </si>
  <si>
    <t>Increase dimensions of drainage culverts</t>
  </si>
  <si>
    <t>00000094</t>
  </si>
  <si>
    <t>101000095</t>
  </si>
  <si>
    <t>Identify and Buyout Repetitive Loss Properties</t>
  </si>
  <si>
    <t>Implement a voluntary acquisition program for repetitive flood properties</t>
  </si>
  <si>
    <t>101000096</t>
  </si>
  <si>
    <t>Harden County Buildings, Critical Infrastructure, and Government Buildings</t>
  </si>
  <si>
    <t>Harden county buildings, critical infrastructure, and government buildings</t>
  </si>
  <si>
    <t>101000098</t>
  </si>
  <si>
    <t>Tres Palacios, Blue Creek, East Mustang Creek</t>
  </si>
  <si>
    <t>Construct regional detention/retention ponds</t>
  </si>
  <si>
    <t>Wharton</t>
  </si>
  <si>
    <t>10003136</t>
  </si>
  <si>
    <t>Wharton County HMP</t>
  </si>
  <si>
    <t>101000099</t>
  </si>
  <si>
    <t>Use Digital Maps of All Hazards and Educate Residents</t>
  </si>
  <si>
    <t>101000100</t>
  </si>
  <si>
    <t>Pecan Street</t>
  </si>
  <si>
    <t>Install larger storm drainage</t>
  </si>
  <si>
    <t>101000101</t>
  </si>
  <si>
    <t>Town &amp; Country Drive</t>
  </si>
  <si>
    <t>101000162</t>
  </si>
  <si>
    <t>Citywide Floodplain Map Update</t>
  </si>
  <si>
    <t>Approx 70 homes are flooded along the San Bernard River during large storm events</t>
  </si>
  <si>
    <t>10002433</t>
  </si>
  <si>
    <t>101000184</t>
  </si>
  <si>
    <t>City-wide Flood Warning Systems</t>
  </si>
  <si>
    <t>Implement warning systems</t>
  </si>
  <si>
    <t>10000003</t>
  </si>
  <si>
    <t>12090402,12090302,12090401</t>
  </si>
  <si>
    <t>10003431</t>
  </si>
  <si>
    <t>10000004,00000266,00000307,10001823,10003431</t>
  </si>
  <si>
    <t>101000185</t>
  </si>
  <si>
    <t>Update/implement Drainage Master Plan</t>
  </si>
  <si>
    <t>10000028</t>
  </si>
  <si>
    <t>101000194</t>
  </si>
  <si>
    <t>Identify and Assess Flood Risk and Potential Mitigation Solutions for Low SVI Communities</t>
  </si>
  <si>
    <t>10000012, 10000014, 10000016, 10000018</t>
  </si>
  <si>
    <t>00000307</t>
  </si>
  <si>
    <t>RFPG</t>
  </si>
  <si>
    <t>N/A</t>
  </si>
  <si>
    <t>Yes=1; No=0</t>
  </si>
  <si>
    <t>LWC (#)</t>
  </si>
  <si>
    <t>Area (sqmi)</t>
  </si>
  <si>
    <t xml:space="preserve">1% Population (Highest) </t>
  </si>
  <si>
    <t>Statewide 1% Annual Chance Flood Risk Data (aggregated from 15 RFPGs)</t>
  </si>
  <si>
    <t>Raw Data1</t>
  </si>
  <si>
    <t>Raw Data2</t>
  </si>
  <si>
    <t>Raw Data3</t>
  </si>
  <si>
    <t>Norm Data3</t>
  </si>
  <si>
    <t>Raw Data4</t>
  </si>
  <si>
    <t>Norm Data4</t>
  </si>
  <si>
    <t>Raw Data5</t>
  </si>
  <si>
    <t>Norm Data5</t>
  </si>
  <si>
    <t>Raw Data6</t>
  </si>
  <si>
    <t>Norm Data6</t>
  </si>
  <si>
    <t>Raw Data7</t>
  </si>
  <si>
    <t>Norm Data7</t>
  </si>
  <si>
    <t>Raw Data8</t>
  </si>
  <si>
    <t>Raw Data9</t>
  </si>
  <si>
    <t>Norm Data9</t>
  </si>
  <si>
    <t>Raw Data10</t>
  </si>
  <si>
    <t>Norm Data10</t>
  </si>
  <si>
    <t>Score Based on Reported Factors</t>
  </si>
  <si>
    <t>Ranking Based on Reported Factors</t>
  </si>
  <si>
    <t>Score Based on Normalized Factors</t>
  </si>
  <si>
    <t>Ranking Based on Normalized Factors</t>
  </si>
  <si>
    <t>OBJECTID</t>
  </si>
  <si>
    <t>FME_ID</t>
  </si>
  <si>
    <t>FME_NAME</t>
  </si>
  <si>
    <t>DESCR</t>
  </si>
  <si>
    <t>RFPG_NUM</t>
  </si>
  <si>
    <t>RFPG_NAME</t>
  </si>
  <si>
    <t>COUNTY</t>
  </si>
  <si>
    <t>HUC8</t>
  </si>
  <si>
    <t>HUC10</t>
  </si>
  <si>
    <t>HUC12</t>
  </si>
  <si>
    <t>WS_ID</t>
  </si>
  <si>
    <t>GOAL_ID</t>
  </si>
  <si>
    <t>AREA_SQMI</t>
  </si>
  <si>
    <t>FLD_TP_RIV</t>
  </si>
  <si>
    <t>FLD_TP_CST</t>
  </si>
  <si>
    <t>FLD_TP_LOC</t>
  </si>
  <si>
    <t>FLD_TP_PLY</t>
  </si>
  <si>
    <t>FLD_TP_OTH</t>
  </si>
  <si>
    <t>SPONSOR</t>
  </si>
  <si>
    <t>ENTITY_ID</t>
  </si>
  <si>
    <t>EMER_NEED</t>
  </si>
  <si>
    <t>FME_TYPE</t>
  </si>
  <si>
    <t>FME_COST</t>
  </si>
  <si>
    <t>FUND</t>
  </si>
  <si>
    <t>FUND_SRC</t>
  </si>
  <si>
    <t>FUND_AMNT</t>
  </si>
  <si>
    <t>STRUCT_100</t>
  </si>
  <si>
    <t>RES_STRUCT100</t>
  </si>
  <si>
    <t>POP_DAY100</t>
  </si>
  <si>
    <t>POP_NIGHT100</t>
  </si>
  <si>
    <t>POP100</t>
  </si>
  <si>
    <t>CRITFAC100</t>
  </si>
  <si>
    <t>LWC</t>
  </si>
  <si>
    <t>ROAD_MILES100</t>
  </si>
  <si>
    <t>ROADCLS</t>
  </si>
  <si>
    <t>FARMACRE100</t>
  </si>
  <si>
    <t>NEW_MODEL</t>
  </si>
  <si>
    <t>MODEL_EXST</t>
  </si>
  <si>
    <t>MODEL_DESC</t>
  </si>
  <si>
    <t>HYDRO_DATE</t>
  </si>
  <si>
    <t>HYDRA_DATE</t>
  </si>
  <si>
    <t>MODEL_ID</t>
  </si>
  <si>
    <t>MAP_EXST</t>
  </si>
  <si>
    <t>MAP_DESC</t>
  </si>
  <si>
    <t>MAP_DATE</t>
  </si>
  <si>
    <t>SOURCE</t>
  </si>
  <si>
    <t>SRC_DATE</t>
  </si>
  <si>
    <t>SRC_LINK</t>
  </si>
  <si>
    <t>REGULATORY</t>
  </si>
  <si>
    <t>TERR_DATA</t>
  </si>
  <si>
    <t>TERR_DATE</t>
  </si>
  <si>
    <t>RECOMMEND</t>
  </si>
  <si>
    <t>REC_DESC</t>
  </si>
  <si>
    <t>Size</t>
  </si>
  <si>
    <t>Small</t>
  </si>
  <si>
    <t>Willie May Way in Precinct 4 at Trib_x000D_</t>
  </si>
  <si>
    <t>Big</t>
  </si>
  <si>
    <t>Storm sewer system &amp; curb inlets with two 36" RCPs</t>
  </si>
  <si>
    <t>Replace culverts: _x000D_
two 8' x 3' box culverts _x000D_
Add concrete channel</t>
  </si>
  <si>
    <t>Replace ex culverts with two 24" RCPs; regrade channel; replace driveway culverts</t>
  </si>
  <si>
    <t xml:space="preserve">Continue working with FEMA on repair of Little Barton Creek Dam_x000D_
</t>
  </si>
  <si>
    <t xml:space="preserve">Floodplain/floodway audit_x000D_
</t>
  </si>
  <si>
    <t xml:space="preserve">Evacuation plan development_x000D_
</t>
  </si>
  <si>
    <t xml:space="preserve">Replace culverts with larger box culverts &amp; parallel wings; MLK Blvd to Mexico St_x000D_
</t>
  </si>
  <si>
    <t xml:space="preserve">Develop stormwater diversion project through town_x000D_
</t>
  </si>
  <si>
    <t xml:space="preserve">Purchase land; design/construct hardened EMS/Fire/Police facility_x000D_
</t>
  </si>
  <si>
    <t xml:space="preserve">Strengthen County Road 480 with development of headwall_x000D_
</t>
  </si>
  <si>
    <t xml:space="preserve">Local Flood Warning System_x000D_
</t>
  </si>
  <si>
    <t xml:space="preserve">Increase drainage for airport property_x000D_
</t>
  </si>
  <si>
    <t xml:space="preserve">Update flood insurance study &amp; FIRMS_x000D_
</t>
  </si>
  <si>
    <t xml:space="preserve">Develop engineering sutdy of 'Hooten Holler'_x000D_
</t>
  </si>
  <si>
    <t xml:space="preserve">Complete Little Bee Creek Drainage Improvement Project_x000D_
</t>
  </si>
  <si>
    <t xml:space="preserve">Harden city buildings, critical infrastructure_x000D_
</t>
  </si>
  <si>
    <t>Use GIS mapping to overlay peoperties with known hazards; notifiy residents</t>
  </si>
  <si>
    <t>Install largre storm drainage</t>
  </si>
  <si>
    <t xml:space="preserve">Piney Creek Benching_x000D_
</t>
  </si>
  <si>
    <t xml:space="preserve">Drainage System Improvements - JC Madison Addition_x000D_
</t>
  </si>
  <si>
    <t xml:space="preserve">Citywide Drainage System Improvements_x000D_
</t>
  </si>
  <si>
    <t xml:space="preserve">City Drainage Plan_x000D_
</t>
  </si>
  <si>
    <t xml:space="preserve">Enlarge culverts along Stevenson Slough_x000D_
</t>
  </si>
  <si>
    <t xml:space="preserve">Willis Creek Detention_x000D_
</t>
  </si>
  <si>
    <t xml:space="preserve">Flood Proof Wastewater Treatment Plants_x000D_
</t>
  </si>
  <si>
    <t xml:space="preserve">Alum Creek - Tributary 8, Bowie Drive_x000D_
</t>
  </si>
  <si>
    <t>Culvert improvements to Garlic Creek RM 967, TxDOT upgraded the road but chose not to touch the culvert, Needs to be upsized. Current roadway inundation just north of creekside by Hailey's Way</t>
  </si>
  <si>
    <t xml:space="preserve">Flood-prone problem area in need of flood study, indentified on sponsor outreach call. Area also in need of a generator  </t>
  </si>
  <si>
    <t>Flood-prone problem area in need of flood study, indentified on sponsor outreach call.  Lift station here also in need of a generator</t>
  </si>
  <si>
    <t xml:space="preserve">Flood-prone problem area in need of flood study, indentified on sponsor outreach call.  </t>
  </si>
  <si>
    <t xml:space="preserve">Regional Detention Pond Along Backbone Creek_x000D_
</t>
  </si>
  <si>
    <t xml:space="preserve">Floodplain remapping of the entire city using Atlas 14 rainfall data._x000D_
</t>
  </si>
  <si>
    <t xml:space="preserve">Ave L at Whitman Creek Low Water Crossing_x000D_
</t>
  </si>
  <si>
    <t xml:space="preserve">Low Water Crossings at 4 locations_x000D_
</t>
  </si>
  <si>
    <t xml:space="preserve">Improve wastewater treatement plant to make it more flood resilient and improve treatment capacity and I&amp;I. </t>
  </si>
  <si>
    <t>Proactively sek out these communities to more fully assess and document their flood risk, consider potential solutions, and lay out a path to implement feasible and appropriate solutions.</t>
  </si>
  <si>
    <t>FEMA Cooperating Technical Partners (CTP) Program, TWDB FIF, local funds</t>
  </si>
  <si>
    <t>061000442</t>
  </si>
  <si>
    <t>Forest Estates - Live Oak Creek Watershed 
Artesian Forest 1 - Artesian Creek Watershed</t>
  </si>
  <si>
    <t>Develop a benefits cost analysis in support of this project identied in the City of Conroe Master Drainage Plan.</t>
  </si>
  <si>
    <t>San Jacinto</t>
  </si>
  <si>
    <t>Montgomery</t>
  </si>
  <si>
    <t>12040101</t>
  </si>
  <si>
    <t>1204010102,1204010104</t>
  </si>
  <si>
    <t>120401010207,120401010401</t>
  </si>
  <si>
    <t>06000011,06000020</t>
  </si>
  <si>
    <t>06000001,06000011,06000012,06000015</t>
  </si>
  <si>
    <t>06003030</t>
  </si>
  <si>
    <t>06000037,06003030</t>
  </si>
  <si>
    <t>Alligator Creek Master Drainage Plan</t>
  </si>
  <si>
    <t>Alignment with RFPG goals and TWDB guidance principles.</t>
  </si>
  <si>
    <t>061000462</t>
  </si>
  <si>
    <t>Longmire and SH-105 - Live Oak Creek Watershed</t>
  </si>
  <si>
    <t>061000443</t>
  </si>
  <si>
    <t>Artesian Forest 1 - Artesian Creek Watershed</t>
  </si>
  <si>
    <t>1204010102</t>
  </si>
  <si>
    <t>120401010207</t>
  </si>
  <si>
    <t>06000011</t>
  </si>
  <si>
    <t>061000444</t>
  </si>
  <si>
    <t>Artesian Forest East - Artesian Creek Watershed</t>
  </si>
  <si>
    <t>061000461</t>
  </si>
  <si>
    <t>Rush Creek Lake - Lake Conroe Estates Watershed</t>
  </si>
  <si>
    <t>120401010207,120401010206</t>
  </si>
  <si>
    <t>06000011,06000010</t>
  </si>
  <si>
    <t>061000445</t>
  </si>
  <si>
    <t>Lilly - Alligator Creek Watershed</t>
  </si>
  <si>
    <t>061000446</t>
  </si>
  <si>
    <t>East Fork North - Alligator Creek Watershed
"</t>
  </si>
  <si>
    <t>061000447</t>
  </si>
  <si>
    <t>East Fork South - Alligator Creek Watershed
"</t>
  </si>
  <si>
    <t>061000448</t>
  </si>
  <si>
    <t>West Branch - Alligator Creek Watershed</t>
  </si>
  <si>
    <t>061000449</t>
  </si>
  <si>
    <t>Oak Hollow - Alligator Creek Watershed</t>
  </si>
  <si>
    <t>061000450</t>
  </si>
  <si>
    <t>Cable - Alligator Creek Watershed</t>
  </si>
  <si>
    <t>061000452</t>
  </si>
  <si>
    <t>Rivershire East - Grand Lake Creek Watershed</t>
  </si>
  <si>
    <t>061000451</t>
  </si>
  <si>
    <t>South Frazier - Grand Lake Creek Watershed</t>
  </si>
  <si>
    <t>061000453</t>
  </si>
  <si>
    <t>Rivershire West  - Grand Lake Creek Watershed</t>
  </si>
  <si>
    <t>061000454</t>
  </si>
  <si>
    <t>Baretta - Grand Lake Creek Watershed</t>
  </si>
  <si>
    <t>1204010104</t>
  </si>
  <si>
    <t>120401010401</t>
  </si>
  <si>
    <t>06000020</t>
  </si>
  <si>
    <t>061000455</t>
  </si>
  <si>
    <t>Valley - Stewarts Creek Watershed</t>
  </si>
  <si>
    <t>120401010207,120401010403,120401010401,120401010402,120401010205,120401010206</t>
  </si>
  <si>
    <t>06000011,06000022,06000020,06000021,06000009,06000010</t>
  </si>
  <si>
    <t>061000456</t>
  </si>
  <si>
    <t>Hunnington - Stewarts Creek Watershed</t>
  </si>
  <si>
    <t>061000457</t>
  </si>
  <si>
    <t>Avenue M - Stewarts Creek Watershed</t>
  </si>
  <si>
    <t>061000458</t>
  </si>
  <si>
    <t>South 3rd - Stewarts Creek Watershed</t>
  </si>
  <si>
    <t>061000459</t>
  </si>
  <si>
    <t>Toby - Little Caney Creek Watershed</t>
  </si>
  <si>
    <t>120401010403,120401010401,120401010402</t>
  </si>
  <si>
    <t>06000022,06000020,06000021</t>
  </si>
  <si>
    <t>061000460</t>
  </si>
  <si>
    <t>Southern Oak -  Little Laney Creek</t>
  </si>
  <si>
    <t>061000463</t>
  </si>
  <si>
    <t xml:space="preserve">Southeast Montgomery County Master Drainage Plan_x000D_
</t>
  </si>
  <si>
    <t>Study to develop Master Drainage Plan using future and existing land use and flood/storm water drainage needs including Atlas 14 rainfall.</t>
  </si>
  <si>
    <t>12040102,12040101,12040103</t>
  </si>
  <si>
    <t>1204010104,1204010105,1204010202,1204010301,1204010304</t>
  </si>
  <si>
    <t>120401010403,120401010401,120401010402,120401010501,120401010404,120401020212,120401030110,120401030102,120401030108,120401030104,120401030103,120401030105,120401030106,120401030107,120401030109,120401030402,120401030401</t>
  </si>
  <si>
    <t>06000022,06000020,06000021,06000024,06000023,06000044,06000055,06000047,06000053,06000049,06000048,06000050,06000051,06000052,06000054,06000070,06000069</t>
  </si>
  <si>
    <t>06000001,06000010,06000015</t>
  </si>
  <si>
    <t>06000037</t>
  </si>
  <si>
    <t xml:space="preserve">Watershed Planning </t>
  </si>
  <si>
    <t>Montgomery County</t>
  </si>
  <si>
    <t>061000001</t>
  </si>
  <si>
    <t>Durant Street Storm Sewer and Pavement Improvements - Phase 1</t>
  </si>
  <si>
    <t>12040204</t>
  </si>
  <si>
    <t>1204020404</t>
  </si>
  <si>
    <t>120402040400</t>
  </si>
  <si>
    <t>06000109</t>
  </si>
  <si>
    <t>00003020</t>
  </si>
  <si>
    <t>00001801,00000003,00003020,00000006</t>
  </si>
  <si>
    <t>City of Alvin CIP</t>
  </si>
  <si>
    <t>061000024</t>
  </si>
  <si>
    <t>Williamsburg Subdivision Drainage Assessment</t>
  </si>
  <si>
    <t xml:space="preserve">Further study of a flood risk reduction project in the Williamsburg Subdivision which includes additional detail for the design of a required weir structure. </t>
  </si>
  <si>
    <t>Harris</t>
  </si>
  <si>
    <t>12040104</t>
  </si>
  <si>
    <t>1204010401</t>
  </si>
  <si>
    <t>120401040104</t>
  </si>
  <si>
    <t>06000074</t>
  </si>
  <si>
    <t>00000020</t>
  </si>
  <si>
    <t>06002853,00000310,00000020,06002794</t>
  </si>
  <si>
    <t>Williamsburg Settlement Final Study Report</t>
  </si>
  <si>
    <t>061000025</t>
  </si>
  <si>
    <t>Preliminary Drainage &amp; Infrastructure Improvements Happy Hide A Way Subdivison</t>
  </si>
  <si>
    <t>Additional analysis in the Jackson Bayou watershed, specifically along R102-00-00, is needed to determine the necessary improvements and provide a no impact solution.</t>
  </si>
  <si>
    <t>1204010407</t>
  </si>
  <si>
    <t>120401040704</t>
  </si>
  <si>
    <t>06000096</t>
  </si>
  <si>
    <t>00000310,00000020</t>
  </si>
  <si>
    <t>Happy Hideaway Report</t>
  </si>
  <si>
    <t>061000026</t>
  </si>
  <si>
    <t>Bridgewater Village &amp; Enclave at Bridgewater Drainage Analysis</t>
  </si>
  <si>
    <t>Alternative analysis and assessment of additional protection of basin needed during design to control flows for 100-yr event.</t>
  </si>
  <si>
    <t>1204010402</t>
  </si>
  <si>
    <t>120401040203</t>
  </si>
  <si>
    <t>06000077</t>
  </si>
  <si>
    <t>06002853,00000310,00000020</t>
  </si>
  <si>
    <t>Bridgewater Village Subdivision Drainage Improvements Report</t>
  </si>
  <si>
    <t>061000027</t>
  </si>
  <si>
    <t>Lake Shadows Subdivision Drainage Improvements</t>
  </si>
  <si>
    <t>Further study and development of a FMP of recommended alternative 5 which includes installing the Foley trunk line downstream of the pipelines, upsizing and installing new outfalls, and installing the Belle Cote trunk line.</t>
  </si>
  <si>
    <t>12040101,12040104</t>
  </si>
  <si>
    <t>1204010105,1204010407</t>
  </si>
  <si>
    <t>120401010502,120401040704</t>
  </si>
  <si>
    <t>06000025,06000096</t>
  </si>
  <si>
    <t>Lake Shadows Study Report</t>
  </si>
  <si>
    <t>061000028</t>
  </si>
  <si>
    <t>Gum Gully Rd, W Stroker Rd, Wigwam Ln, and Related Infrastructure Drainage Improvements</t>
  </si>
  <si>
    <t>Further study as report recommendation (2019) indicates that regional drainage improvements to the streams must be studied and implemented before Harris County can obtain a benefit from roadway drainage improvements.</t>
  </si>
  <si>
    <t>Gum Gully Rd, W Stroker Rd, Wigwam Ln, and Related Infrastructure Drainage Improvements_Final Report_March 4 2020</t>
  </si>
  <si>
    <t>061000029</t>
  </si>
  <si>
    <t>Spanish Cove Subdivision Drainage Assessment</t>
  </si>
  <si>
    <t xml:space="preserve">Additional analysis needed to confirm no negative effects. It is expected the larger channel can safely convey the increase in flows, but this must be demonstrated during the project design phase. </t>
  </si>
  <si>
    <t>Spanish Cove Report</t>
  </si>
  <si>
    <t>061000031</t>
  </si>
  <si>
    <t>Shoreacres Drainage Assessment</t>
  </si>
  <si>
    <t>Further analysis necessary to determine downstream impacts and whether any additional volume in A104-11-00 would be available during a coincident event on Taylor Bayou.</t>
  </si>
  <si>
    <t>Chambers,Harris</t>
  </si>
  <si>
    <t>1204020401</t>
  </si>
  <si>
    <t>120402040100</t>
  </si>
  <si>
    <t>06000106</t>
  </si>
  <si>
    <t>06003544</t>
  </si>
  <si>
    <t>06003544,00000310,00000020</t>
  </si>
  <si>
    <t>061000034</t>
  </si>
  <si>
    <t>Galveston Bay Watershed Plan- Analysis of PA07 100-year Conveyance Project</t>
  </si>
  <si>
    <t xml:space="preserve">Project recommended by the Galveston Bay Watershed Plan. Modeling required to determine no negative Proposed subdivision drainage improvements to the Battle Ground Estates include replacement of  driveway crossings and widening F101-08. </t>
  </si>
  <si>
    <t>12040204,12040104</t>
  </si>
  <si>
    <t>1204010407,1204020401</t>
  </si>
  <si>
    <t>120401040706,120402040100</t>
  </si>
  <si>
    <t>06000098,06000106</t>
  </si>
  <si>
    <t>00000310</t>
  </si>
  <si>
    <t>06002834,00000310,00000020</t>
  </si>
  <si>
    <t>Galveston Bay Watershed Plan</t>
  </si>
  <si>
    <t>061000035</t>
  </si>
  <si>
    <t>Galveston Bay Watershed Plan- Analysis of PA08 100-year Conveyance Project</t>
  </si>
  <si>
    <t>Project recommended by the Galveston Bay Watershed Plan. Modeling required to determine no negative impacts. Storm sewer improvements to Monument Estates, increase roadside ditch capacity, and expand bypass channel outflowing into F101-00-00.</t>
  </si>
  <si>
    <t>061000037</t>
  </si>
  <si>
    <t>City of Alvin Flood Gauges</t>
  </si>
  <si>
    <t>Study to identify areas where best to purchase additional flood gauges to be placed at bayous and key high water areas within City of Alvin.</t>
  </si>
  <si>
    <t>Brazoria,Galveston,Fort Bend</t>
  </si>
  <si>
    <t>1204020401,1204020402,1204020403,1204020404</t>
  </si>
  <si>
    <t>120402040300,120402040200,120402040400,120402040100</t>
  </si>
  <si>
    <t>06000108,06000107,06000109,06000106</t>
  </si>
  <si>
    <t>00000295,00001801,00003020</t>
  </si>
  <si>
    <t>City of Alvin 2020 HMP</t>
  </si>
  <si>
    <t>061000039</t>
  </si>
  <si>
    <t xml:space="preserve">City of Alvin Master Drainage Plan </t>
  </si>
  <si>
    <t>Comprehensive review of current drainage, studies and recommendations for future projects and studies to create a Master Drainage Plan for the City of Alvin.</t>
  </si>
  <si>
    <t>00001801,00000003,00003020</t>
  </si>
  <si>
    <t>061000040</t>
  </si>
  <si>
    <t xml:space="preserve">City of Alvin Open Space Preservation </t>
  </si>
  <si>
    <t>061000003</t>
  </si>
  <si>
    <t>City of Arcola Regional Drainage Improvements</t>
  </si>
  <si>
    <t>Further study of proposed flood risk reduction project that includes various drainage improvement alternatives.</t>
  </si>
  <si>
    <t>00002557</t>
  </si>
  <si>
    <t>00000009,06002537</t>
  </si>
  <si>
    <t>Fort Bend County HMP</t>
  </si>
  <si>
    <t>061000011</t>
  </si>
  <si>
    <t>City of Galveston Master Drainage Study</t>
  </si>
  <si>
    <t>City wide drainage and flood risk reduction planning study of Galveston to include Atlas 14 rainfall.</t>
  </si>
  <si>
    <t>Galveston</t>
  </si>
  <si>
    <t>1204020402,1204020403,1204020404,1204020405</t>
  </si>
  <si>
    <t>120402040300,120402040200,120402040400,120402040500</t>
  </si>
  <si>
    <t>06000108,06000107,06000109,06000110</t>
  </si>
  <si>
    <t xml:space="preserve">06002809_x000D_
</t>
  </si>
  <si>
    <t>06002809,00000006</t>
  </si>
  <si>
    <t>City of Galveston HMP</t>
  </si>
  <si>
    <t>061000013</t>
  </si>
  <si>
    <t>1204010404</t>
  </si>
  <si>
    <t>120401040402,120401040401</t>
  </si>
  <si>
    <t>06000084,06000083</t>
  </si>
  <si>
    <t>06002854</t>
  </si>
  <si>
    <t>06002854,00000310,00000020</t>
  </si>
  <si>
    <t>Bellaire CIP</t>
  </si>
  <si>
    <t>061000015</t>
  </si>
  <si>
    <t>Bonds/Other Financing</t>
  </si>
  <si>
    <t>City of Bellaire CIP</t>
  </si>
  <si>
    <t>061000016</t>
  </si>
  <si>
    <t>City of Bunker Hill Drainage Projects</t>
  </si>
  <si>
    <t>Further study of proposed localized and regional flood risk reduction projects within the City of Bunker Hill.</t>
  </si>
  <si>
    <t>1204010403</t>
  </si>
  <si>
    <t>120401040303</t>
  </si>
  <si>
    <t>06000080</t>
  </si>
  <si>
    <t>06002856</t>
  </si>
  <si>
    <t>City of Bunker Hill Village CIP</t>
  </si>
  <si>
    <t>061000017</t>
  </si>
  <si>
    <t>City of Bunker Hill Master Drainage and Stormwater Management Plan</t>
  </si>
  <si>
    <t>Further study of Master Drainage and Stormwater Management Plan for the City of Bunker Hill to include Atlas 14 rainfall.</t>
  </si>
  <si>
    <t>061000002</t>
  </si>
  <si>
    <t>Durant Street Storm Sewer and Pavement Improvements - Phase 2</t>
  </si>
  <si>
    <t>Further study of Durant Street Phase 2 to reduce flood risk with upgrades to storm sewer system, concrete curb, gutter, pavement, and sidewalk.</t>
  </si>
  <si>
    <t>061000005</t>
  </si>
  <si>
    <t>Missouri City Estates Drainage Improvements</t>
  </si>
  <si>
    <t>Further study of proposed flood risk reduction project that includes drainage improvements to Missouri City Estates.</t>
  </si>
  <si>
    <t>Fort Bend,Harris</t>
  </si>
  <si>
    <t>120401040401</t>
  </si>
  <si>
    <t>06000083</t>
  </si>
  <si>
    <t>00003596</t>
  </si>
  <si>
    <t>00000009,06003596,00000020</t>
  </si>
  <si>
    <t>061000038</t>
  </si>
  <si>
    <t xml:space="preserve">Brazoria County Costal River Flood Extent Analysis </t>
  </si>
  <si>
    <t>Study to determine flood extents, in Brazoria County, of recent hurricane disasters, by analyzing the post event aerial imagery through a GIS image classification process, and compare the flood extent area to other sources, such as LIDAR.</t>
  </si>
  <si>
    <t>00000003</t>
  </si>
  <si>
    <t>00000295,00001801,00000003,00004001</t>
  </si>
  <si>
    <t>Brazoria County HMAP</t>
  </si>
  <si>
    <t>061000041</t>
  </si>
  <si>
    <t xml:space="preserve">City of Manvel SH. 6 Drainage Improvements </t>
  </si>
  <si>
    <t xml:space="preserve">Further study of state Highway 6 drainage improvements, including storm sewer upgrades to meet current capacities, ditch deepening, and sub regional detention ponds. Project will also widen and reshape ditches, and upgrade culverts. </t>
  </si>
  <si>
    <t>1204020401,1204020402,1204020404</t>
  </si>
  <si>
    <t>120402040200,120402040400,120402040100</t>
  </si>
  <si>
    <t>06000107,06000109,06000106</t>
  </si>
  <si>
    <t>06002985</t>
  </si>
  <si>
    <t>00001801,00000003,06002985</t>
  </si>
  <si>
    <t>061000042</t>
  </si>
  <si>
    <t>Chambers County Dam and Levee Failure Inundation Map Update</t>
  </si>
  <si>
    <t xml:space="preserve">Further study for all participating jurisdiction to update dam and levee failure inundation maps, and update floodplain and floodway maps throughout the county. The updated maps will also be made available to the public. </t>
  </si>
  <si>
    <t>Chambers</t>
  </si>
  <si>
    <t>12040203</t>
  </si>
  <si>
    <t>1204020301,1204020302</t>
  </si>
  <si>
    <t>120402030105,120402030104,120402030106,120402030200</t>
  </si>
  <si>
    <t>06000103,06000102,06000104,06000105</t>
  </si>
  <si>
    <t>00000013</t>
  </si>
  <si>
    <t>Chambers County HMAP</t>
  </si>
  <si>
    <t>061000043</t>
  </si>
  <si>
    <t xml:space="preserve">City of Alvin Detention Pond Construction - Mustang and Dickinson Bayou </t>
  </si>
  <si>
    <t>061000067</t>
  </si>
  <si>
    <t xml:space="preserve">City of Alvin Dickinson Bayou Watershed Study </t>
  </si>
  <si>
    <t>Study of Dickinson Bayou Watershed to determine drainage improvement alternatives.</t>
  </si>
  <si>
    <t>061000044</t>
  </si>
  <si>
    <t xml:space="preserve">Chambers County Property Protection </t>
  </si>
  <si>
    <t>Study to determine flood risk reduction potential of clearing obstacles, widen and reshape ditches, and upgrade culverts to restore adequate drainage to mitigate flooding throughout all participating jurisdictions.</t>
  </si>
  <si>
    <t>061000045</t>
  </si>
  <si>
    <t>City of Manvel Flora St. Drainage Improvements</t>
  </si>
  <si>
    <t>Study of possbile Flora Street drainage improvements: widen and reshape ditches, and upgrade culverts to restore adequate drainage to mitigate flooding in Manvel neighborhoods.</t>
  </si>
  <si>
    <t>061000047</t>
  </si>
  <si>
    <t xml:space="preserve">City of Manvel Various Drainage Improvements </t>
  </si>
  <si>
    <t xml:space="preserve">Study of various drainage improvements, including storm sewer rehabilitation and ditch deepening. </t>
  </si>
  <si>
    <t>061000046</t>
  </si>
  <si>
    <t xml:space="preserve">Brazoria County Drainage Improvements </t>
  </si>
  <si>
    <t>Drainage study needed and evaluated of alternatives include: Widen and reshape drainage ditches, and upgrade culverts to restore adequate drainage to mitigate flooding.</t>
  </si>
  <si>
    <t>061000048</t>
  </si>
  <si>
    <t>Brazoria County Property Protection</t>
  </si>
  <si>
    <t xml:space="preserve">Further study required to assess alternatives to restore drainage and mitigate flooding throughout the county. </t>
  </si>
  <si>
    <t>061000078</t>
  </si>
  <si>
    <t>Dam and Levee Failure Inundation Map Update</t>
  </si>
  <si>
    <t>Study by each jurisdiction to update their dam and levee failure inundation maps to identify the probability and impact of a dam and levee failures.</t>
  </si>
  <si>
    <t>00001801,00000003,00004001</t>
  </si>
  <si>
    <t>061000049</t>
  </si>
  <si>
    <t xml:space="preserve">City of Hillcrest Village Drainage Improvements </t>
  </si>
  <si>
    <t xml:space="preserve">Further study and FMP developement required to assess alternatives to restore drainage and mitigate flooding throughout the City of Hillcrest Village. </t>
  </si>
  <si>
    <t>06003026</t>
  </si>
  <si>
    <t>061000072</t>
  </si>
  <si>
    <t>City of Hillcrest Village Engineering Survey</t>
  </si>
  <si>
    <t xml:space="preserve">Conduct an engineering assessment to establish proper drainage for 24 Homes located in the high risk flood Zone. </t>
  </si>
  <si>
    <t>06003026,00001801,00000003</t>
  </si>
  <si>
    <t>061000055</t>
  </si>
  <si>
    <t>City of Galveston Coastal Road Elevation</t>
  </si>
  <si>
    <t>Elevate coastal roads to better protect public during evacuation and to protect the roads from flood damage, where feasible.</t>
  </si>
  <si>
    <t>06002809</t>
  </si>
  <si>
    <t>061000069</t>
  </si>
  <si>
    <t>City of Galveston Shoreline Protection</t>
  </si>
  <si>
    <t>Further study and FMP development of a proposed shoreline protection for areas prone to coastal erosion.</t>
  </si>
  <si>
    <t>061000071</t>
  </si>
  <si>
    <t xml:space="preserve">City of Galveston Dune Restoration </t>
  </si>
  <si>
    <t xml:space="preserve">Study of dune system to determine needs and flood damage reduction potential of restoration. </t>
  </si>
  <si>
    <t>061000050</t>
  </si>
  <si>
    <t>West Chocolate Bayou (CR 383 Ditch)</t>
  </si>
  <si>
    <t>Further study including Atlas 14 rainfall incorporation and Benefit Cost Analysis of proposed channel modifications included in the City of Pearland master drainage plan.</t>
  </si>
  <si>
    <t>Brazoria,Fort Bend</t>
  </si>
  <si>
    <t>06002790</t>
  </si>
  <si>
    <t>Pearland - BDD4 MDP</t>
  </si>
  <si>
    <t>061000054</t>
  </si>
  <si>
    <t>Cannon Ditch Segment 2</t>
  </si>
  <si>
    <t>1204020401,1204020402</t>
  </si>
  <si>
    <t>120402040200,120402040100</t>
  </si>
  <si>
    <t>06000107,06000106</t>
  </si>
  <si>
    <t>00001801,00000003,06002790,06002985</t>
  </si>
  <si>
    <t>061000056</t>
  </si>
  <si>
    <t xml:space="preserve">Mary's Creek Lower Segment </t>
  </si>
  <si>
    <t xml:space="preserve">Study to develop project into a FMP. Project will provide a 25-year LOS; Channel modifications from SH35 to downstream of Pearland Pkwy. and 1670 ac-ft mitigation.  </t>
  </si>
  <si>
    <t>Brazoria,Galveston</t>
  </si>
  <si>
    <t>00000003,06002790,06002833,00000006,00001801</t>
  </si>
  <si>
    <t>061000057</t>
  </si>
  <si>
    <t>Hickory Slough (Upper Segment)</t>
  </si>
  <si>
    <t>00001801,00000003,06002790</t>
  </si>
  <si>
    <t>061000060</t>
  </si>
  <si>
    <t xml:space="preserve">Hickory Slough Middle Segment </t>
  </si>
  <si>
    <t>06003024,00001801,00000003,06002790</t>
  </si>
  <si>
    <t>061000065</t>
  </si>
  <si>
    <t xml:space="preserve">Hickory Slough Lower Segment </t>
  </si>
  <si>
    <t>061000061</t>
  </si>
  <si>
    <t>Mary's Creek Upper Segment</t>
  </si>
  <si>
    <t>061000063</t>
  </si>
  <si>
    <t>Mary's Creek Middle Segment</t>
  </si>
  <si>
    <t>061000064</t>
  </si>
  <si>
    <t>Mustang Bayou Middle Segment</t>
  </si>
  <si>
    <t>00000003,06002790,06002985,00000009,00001801</t>
  </si>
  <si>
    <t>061000066</t>
  </si>
  <si>
    <t xml:space="preserve">Mustang Bayou Upper Segment </t>
  </si>
  <si>
    <t>1204020401,1204020404</t>
  </si>
  <si>
    <t>120402040400,120402040100</t>
  </si>
  <si>
    <t>06000109,06000106</t>
  </si>
  <si>
    <t>06002853,00000009,06002789</t>
  </si>
  <si>
    <t>061000070</t>
  </si>
  <si>
    <t>Cowart Creek Segment 16</t>
  </si>
  <si>
    <t>061000080</t>
  </si>
  <si>
    <t>Replace the Tiki Drive bridge with improved, hardened bridge to withstand storm surge and debris.</t>
  </si>
  <si>
    <t>Further study of proposed Tiki Drive bridge modifications.</t>
  </si>
  <si>
    <t>1204020402</t>
  </si>
  <si>
    <t>120402040200</t>
  </si>
  <si>
    <t>06000107</t>
  </si>
  <si>
    <t>06003397</t>
  </si>
  <si>
    <t>06003397,00000006</t>
  </si>
  <si>
    <t>Galveston County Hazard Mitigation Plan</t>
  </si>
  <si>
    <t>061000082</t>
  </si>
  <si>
    <t>Stream and River Flood Program</t>
  </si>
  <si>
    <t>Waller</t>
  </si>
  <si>
    <t>12040102,12040104</t>
  </si>
  <si>
    <t>1204010201,1204010202,1204010401,1204010402</t>
  </si>
  <si>
    <t>120401020102,120401020103,120401020204,120401020101,120401020201,120401020202,120401020203,120401020205,120401020207,120401020206,120401040102,120401040103,120401040101,120401040203</t>
  </si>
  <si>
    <t>06000027,06000028,06000036,06000026,06000033,06000034,06000035,06000037,06000039,06000038,06000072,06000073,06000071,06000077</t>
  </si>
  <si>
    <t>06000001,06000007,06000010,06000015</t>
  </si>
  <si>
    <t>00000024</t>
  </si>
  <si>
    <t>00000295,00002853,00000287,00000024,06002795,06002794,00003390,00004001</t>
  </si>
  <si>
    <t>Waller County Hazard Mitigation Plan</t>
  </si>
  <si>
    <t>061000083</t>
  </si>
  <si>
    <t>Liberty County Drainage Projects</t>
  </si>
  <si>
    <t>Further study of proposed drainage projects throughout the county- including adding ditches, detention ponds and detention basins in identified locations throughout the county in order to improve drainage.</t>
  </si>
  <si>
    <t>Liberty</t>
  </si>
  <si>
    <t>12040103,12040203</t>
  </si>
  <si>
    <t>1204010301,1204010302,1204010304,1204020301</t>
  </si>
  <si>
    <t>120401030201,120401030108,120401030109,120401030205,120401030402,120401030203,120401030204,120401030202,120401030401,120402030104,120402030103,120402030102,120402030101</t>
  </si>
  <si>
    <t>06000056,06000053,06000054,06000060,06000070,06000058,06000059,06000057,06000069,06000102,06000101,06000100,06000099</t>
  </si>
  <si>
    <t>00000033</t>
  </si>
  <si>
    <t>Liberty County Hazard Mitigation Plan</t>
  </si>
  <si>
    <t>061000084</t>
  </si>
  <si>
    <t>City of Bayou Vista Master Drainage Plan</t>
  </si>
  <si>
    <t>06002806</t>
  </si>
  <si>
    <t>06002806,00000006</t>
  </si>
  <si>
    <t>061000085</t>
  </si>
  <si>
    <t>Cane Island Branch- Alt 2</t>
  </si>
  <si>
    <t>Further study and FMP development of proposed channel modifications to Cane Island Branch including Atlas 14 rainfall.</t>
  </si>
  <si>
    <t>Fort Bend,Harris,Waller</t>
  </si>
  <si>
    <t>1204010401,1204010402</t>
  </si>
  <si>
    <t>120401040102,120401040103,120401040104,120401040101,120401040203</t>
  </si>
  <si>
    <t>06000072,06000073,06000074,06000071,06000077</t>
  </si>
  <si>
    <t>06002795,00000009,06002794,00000020,00000310</t>
  </si>
  <si>
    <t>061000086</t>
  </si>
  <si>
    <t>Property Protection, Structural Project</t>
  </si>
  <si>
    <t>Generate base flood elevation data for flood map revisions. Use floodplain study to identify future mitigation activities to improve water ways and flood carrying capacities. Area to include approximately 4 miles of floodway in New Waverly.</t>
  </si>
  <si>
    <t>Walker</t>
  </si>
  <si>
    <t>12040103</t>
  </si>
  <si>
    <t>1204010301</t>
  </si>
  <si>
    <t>120401030101</t>
  </si>
  <si>
    <t>06000046</t>
  </si>
  <si>
    <t>06003391</t>
  </si>
  <si>
    <t>06003391,00000053</t>
  </si>
  <si>
    <t>Walker County Hazard Mitigation</t>
  </si>
  <si>
    <t>061000087</t>
  </si>
  <si>
    <t>City of La Maque - East Side Storm water detention</t>
  </si>
  <si>
    <t>Feasibility study and a drainage analysis of the new pond row acquisition and associated conveyance improvements on a part of 10 acres of land.</t>
  </si>
  <si>
    <t>06003146</t>
  </si>
  <si>
    <t>06003146,00000006</t>
  </si>
  <si>
    <t>061000088</t>
  </si>
  <si>
    <t>City of League City - Kansas Street Drainage</t>
  </si>
  <si>
    <t>Further study and FMP development of proposed street drainage modifications to Kansas Street.</t>
  </si>
  <si>
    <t>Galveston,Harris</t>
  </si>
  <si>
    <t>06003147</t>
  </si>
  <si>
    <t>06003147,00000020,00000006</t>
  </si>
  <si>
    <t>061000089</t>
  </si>
  <si>
    <t>Update City of Friendswood Storm Surge Maps to Reflect the NWS Predictions</t>
  </si>
  <si>
    <t xml:space="preserve">Study to update city storm surge maps based upon the NWS predicted storm surge and projected track for landfall.  The new maps may more accurately display water depth in areas within the city. </t>
  </si>
  <si>
    <t>06002833</t>
  </si>
  <si>
    <t>06002833,00000020,00000310,00000006</t>
  </si>
  <si>
    <t>061000059</t>
  </si>
  <si>
    <t>City of Manvel Gates Loop Subdivision Drainage Improvement</t>
  </si>
  <si>
    <t>Further study proposed Gates Loop subdivision drainage improvement.</t>
  </si>
  <si>
    <t>061000076</t>
  </si>
  <si>
    <t xml:space="preserve">Dredging Cedar Bayou </t>
  </si>
  <si>
    <t>Study of proposed Cedar Bayou dredging to determine flood risk reduction potential.</t>
  </si>
  <si>
    <t>061000116</t>
  </si>
  <si>
    <t>Remedy Data Deficiency in City of New Waverly</t>
  </si>
  <si>
    <t>Conduct a proper risk assessment of the dams residents suspect are causing upstream flooding, and determine all potential inundation areas.</t>
  </si>
  <si>
    <t>061000096</t>
  </si>
  <si>
    <t>061000097</t>
  </si>
  <si>
    <t>League City - Stormwater Drainage Improvement- Interurban &amp; Newport ditch</t>
  </si>
  <si>
    <t>Further study of proposed slope paving (concrete lining) improvements.</t>
  </si>
  <si>
    <t>00000020,00000310,00000006</t>
  </si>
  <si>
    <t>061000098</t>
  </si>
  <si>
    <t>Study of Texas City Hurricane Flood Protection Project</t>
  </si>
  <si>
    <t>Corp of Engineers study of the Texas City Hurricane Flood Protection Project to improve the current levee system to provide protection from category 5 storm.</t>
  </si>
  <si>
    <t>00000006</t>
  </si>
  <si>
    <t>061000102</t>
  </si>
  <si>
    <t>Raise Road Surfaces in City of Plum Grove</t>
  </si>
  <si>
    <t>Further evaluation of road surface elevation.</t>
  </si>
  <si>
    <t>1204010304</t>
  </si>
  <si>
    <t>120401030402</t>
  </si>
  <si>
    <t>06000070</t>
  </si>
  <si>
    <t>06002647</t>
  </si>
  <si>
    <t>00004000,06002647,00000033</t>
  </si>
  <si>
    <t>061000103</t>
  </si>
  <si>
    <t>Highland Terrace Drainage</t>
  </si>
  <si>
    <t>Further study of slope paving a portion of the drainage ditch north of FM 518, with probable wetland mitigation and lowering pavement section of Highland Terrace Drive.</t>
  </si>
  <si>
    <t>06003147,00000020,00000310,00000006</t>
  </si>
  <si>
    <t>061000104</t>
  </si>
  <si>
    <t>Sunmeadow Drainage Improvements Phase 2</t>
  </si>
  <si>
    <t>Further study of component of 1993 master Drainage Plan Phase 1. Initial phase of project completed in 2005. Upsizing storm sewer system to reduce potential flooding. Include Atlas 14 rainfalls.</t>
  </si>
  <si>
    <t>061000105</t>
  </si>
  <si>
    <t>061000107</t>
  </si>
  <si>
    <t>Storm water detention ponds &amp; Widening of drainage systems feasibility study</t>
  </si>
  <si>
    <t>Study of area to identify problem areas and recommend flood mitigation alternatives that consider detention ponds &amp; widening drainage systems.</t>
  </si>
  <si>
    <t>06003147,06003396,06003512,06003397,06002833,06003345,06003149,06003146,06003145,06002806,00000006,06002494,06002808,06002810,06003398</t>
  </si>
  <si>
    <t>061000115</t>
  </si>
  <si>
    <t>Stormwater Drainage Improvement- Nottingham ditch</t>
  </si>
  <si>
    <t>Further study of proposed slope paving (concrete lining) improvements. Still in planning, consultant hired. Design complete and pending construction funding.</t>
  </si>
  <si>
    <t>061000117</t>
  </si>
  <si>
    <t>City of Bayou Vista - Drainage Improvement Program</t>
  </si>
  <si>
    <t>Study to develop drainage improvement program to reduce standing water and runoff, and reduce minor flooding for residents located in District No. 12.</t>
  </si>
  <si>
    <t>061000119</t>
  </si>
  <si>
    <t>Shellside Drainage Improvements</t>
  </si>
  <si>
    <t>Further study of proposed drainage improvements to Shellside.</t>
  </si>
  <si>
    <t>061000120</t>
  </si>
  <si>
    <t>Evaluation of Culvert Enlargement and Bridge Elevation in Grimes County</t>
  </si>
  <si>
    <t>Study to identify flood-prone areas and mitigate the flooding problem by enlarging culverts under roads and bridges.</t>
  </si>
  <si>
    <t>Grimes</t>
  </si>
  <si>
    <t>12040102,12040101</t>
  </si>
  <si>
    <t>1204010101,1204010103,1204010202</t>
  </si>
  <si>
    <t>120401010101,120401010301,120401010302,120401010303,120401010103,120401010304,120401010305,120401010306,120401020202,120401020203,120401020207,120401020206</t>
  </si>
  <si>
    <t>06000001,06000012,06000013,06000014,06000003,06000015,06000016,06000017,06000034,06000035,06000039,06000038</t>
  </si>
  <si>
    <t>00000044</t>
  </si>
  <si>
    <t>00000044,06003415,06002950</t>
  </si>
  <si>
    <t>Grimes County Hazard Mitigation Plan</t>
  </si>
  <si>
    <t>061000121</t>
  </si>
  <si>
    <t>Widen Drainage Systems and Culverts in City of Kemah</t>
  </si>
  <si>
    <t>Further study to widen drainage systems and increase culvert size to accommodate increased water flows. Coordinate efforts with water district.</t>
  </si>
  <si>
    <t>Galveston,Chambers</t>
  </si>
  <si>
    <t>06003396</t>
  </si>
  <si>
    <t>06003396,00000013,00000006</t>
  </si>
  <si>
    <t>061000122</t>
  </si>
  <si>
    <t>Widen Drainage Systems and Culverts in City of Clear Lake Shores</t>
  </si>
  <si>
    <t>06002808</t>
  </si>
  <si>
    <t>061000123</t>
  </si>
  <si>
    <t>061000124</t>
  </si>
  <si>
    <t>Replace Existing Culverts in City of Arcola</t>
  </si>
  <si>
    <t>Evaluation of proposed culvert replacement.</t>
  </si>
  <si>
    <t>City of Arcola, Fort Bend County Hazard Mitigation Plan Update 2017</t>
  </si>
  <si>
    <t>061000131</t>
  </si>
  <si>
    <t>Implemention Study of Storm Sewer System Re-engineering in City of Kemah</t>
  </si>
  <si>
    <t>Study of storm sewer system re-engineering and follow-up construction project to mitigate flood related impacts.</t>
  </si>
  <si>
    <t>061000129</t>
  </si>
  <si>
    <t>Waller County Flood Damage Prevention Planning</t>
  </si>
  <si>
    <t>Establish watershed-based planning and studies to address flood hazards with neighborhing and constituent communities.</t>
  </si>
  <si>
    <t>06002853,06002795,06003390,06002794,06002795</t>
  </si>
  <si>
    <t>061000134</t>
  </si>
  <si>
    <t>Corp of Engineers study of the Galveston County Water Reservoir Dam and Levee system</t>
  </si>
  <si>
    <t>Review findings of potential breach to dam/levee system and develop/implement mitigation actions as applicable.</t>
  </si>
  <si>
    <t>061000135</t>
  </si>
  <si>
    <t>Recanalization Feasibility Study</t>
  </si>
  <si>
    <t>Dechannelize existing feeder creeks that flow from north to south and improve drainage for strom water runoff.</t>
  </si>
  <si>
    <t>061000136</t>
  </si>
  <si>
    <t>1204010302,1204010304</t>
  </si>
  <si>
    <t>120401030201,120401030401</t>
  </si>
  <si>
    <t>06000056,06000069</t>
  </si>
  <si>
    <t>06003396,00000006</t>
  </si>
  <si>
    <t>061000137</t>
  </si>
  <si>
    <t>06002808,00000006</t>
  </si>
  <si>
    <t>061000138</t>
  </si>
  <si>
    <t>061000139</t>
  </si>
  <si>
    <t>Study of repetitive loss and possbile drainage improvements.</t>
  </si>
  <si>
    <t>061000140</t>
  </si>
  <si>
    <t xml:space="preserve">Elevate Existing Bridge - East Fork San Jacinto River </t>
  </si>
  <si>
    <t>Evaluate, Design and construct new bridge over east fork san jacinto river on low water bridge road to reduce flooding.</t>
  </si>
  <si>
    <t>06002646</t>
  </si>
  <si>
    <t>06002646,00000033</t>
  </si>
  <si>
    <t>061000130</t>
  </si>
  <si>
    <t>Hostetter and Gourd Creek Bridges Elevation Evaluation</t>
  </si>
  <si>
    <t>Further study to elevate and install culverts on Hostetter and Gourd Creek roadways to prevent flooding and/or flood damage on roadway.</t>
  </si>
  <si>
    <t>Montgomery,San Jacinto,Walker</t>
  </si>
  <si>
    <t>12040101,12040103</t>
  </si>
  <si>
    <t>1204010102,1204010301,1204010303</t>
  </si>
  <si>
    <t>120401010202,120401010204,120401030101,120401030301,120401030302</t>
  </si>
  <si>
    <t>06000006,06000008,06000046,06000061,06000062</t>
  </si>
  <si>
    <t>00000053</t>
  </si>
  <si>
    <t>06003391,00000053,06002638</t>
  </si>
  <si>
    <t>061000118</t>
  </si>
  <si>
    <t>Stormwater Drainage Improvement- Bradshaw Rd</t>
  </si>
  <si>
    <t>Further study of proposed slope paving (concrete lining) improvements. Southwest from SH 3 to the north line of CCISD's Elem. School #25. Pending Funding.</t>
  </si>
  <si>
    <t>061000091</t>
  </si>
  <si>
    <t>061000094</t>
  </si>
  <si>
    <t>City of Sante Fe - Storm Water Detention &amp; Widening Drainage System and Cuvlerts Study</t>
  </si>
  <si>
    <t>Study to plan for storm sewer detention and drainage system modifications.</t>
  </si>
  <si>
    <t>1204020402,1204020403</t>
  </si>
  <si>
    <t>120402040300,120402040200</t>
  </si>
  <si>
    <t>06000108,06000107</t>
  </si>
  <si>
    <t>06003149</t>
  </si>
  <si>
    <t>06003149,00000006</t>
  </si>
  <si>
    <t>061000152</t>
  </si>
  <si>
    <t>Cane Island Branch- Alt 1</t>
  </si>
  <si>
    <t>Further study of 2,800 ac-ft detention upstream of Pitts road.</t>
  </si>
  <si>
    <t>06002795,00000310,06002794</t>
  </si>
  <si>
    <t>061000141</t>
  </si>
  <si>
    <t>Southwood Forest Subdivision and Forgotten Forest Subdivision Evaluation</t>
  </si>
  <si>
    <t>Study to develop a community-wide drainage system in Southwood Forest Subdivision and Forgotten Forest Subdivision.</t>
  </si>
  <si>
    <t>120401010202</t>
  </si>
  <si>
    <t>06000006</t>
  </si>
  <si>
    <t>061000142</t>
  </si>
  <si>
    <t>Shadowbend Drainage Improvements Phase 2</t>
  </si>
  <si>
    <t>Further study of component of 1993 master Drainage Plan Phase 1 to include Atlas 14 rainfall.</t>
  </si>
  <si>
    <t>061000146</t>
  </si>
  <si>
    <t>061000143</t>
  </si>
  <si>
    <t>City of Todd Mission Reduction of Floodplain Area Roads and Drainage Upgrade</t>
  </si>
  <si>
    <t>Analysis of potential upgrades to be made to floodplain-area roads and drainage to reduce flood risk.</t>
  </si>
  <si>
    <t>12040102</t>
  </si>
  <si>
    <t>1204010202</t>
  </si>
  <si>
    <t>120401020203,120401020206</t>
  </si>
  <si>
    <t>06000035,06000038</t>
  </si>
  <si>
    <t>06003415</t>
  </si>
  <si>
    <t>00000044,06003415</t>
  </si>
  <si>
    <t>061000145</t>
  </si>
  <si>
    <t>Jamica Cove Rd. Survey</t>
  </si>
  <si>
    <t xml:space="preserve">Engineering assessment needed to determine if elevating the road would reduce future flooding impacts. </t>
  </si>
  <si>
    <t>1204020403</t>
  </si>
  <si>
    <t>120402040300</t>
  </si>
  <si>
    <t>06000108</t>
  </si>
  <si>
    <t>06002810</t>
  </si>
  <si>
    <t>06002810,00000006</t>
  </si>
  <si>
    <t>061000147</t>
  </si>
  <si>
    <t>Implement Drainage Improvements in City of La Marque</t>
  </si>
  <si>
    <t>Implement drainage projects that support low maintenance and cleaning of drainage ditches.</t>
  </si>
  <si>
    <t>061000149</t>
  </si>
  <si>
    <t>Evaluatin of Increase Height of Existing Levee Wall System in City of La Marque</t>
  </si>
  <si>
    <t>Increase height of existing Levee wall system to withstand a Category 5 storm surge.</t>
  </si>
  <si>
    <t>061000148</t>
  </si>
  <si>
    <t>Liberty County Culvert Replacement Project</t>
  </si>
  <si>
    <t>Increase culvert size in identified flood hazard problem areas within Liberty County.</t>
  </si>
  <si>
    <t>061000151</t>
  </si>
  <si>
    <t>Evaluation of Mitigation Alternatives for Repetietive Flood Claims Properties in Galveston County</t>
  </si>
  <si>
    <t>Evaluate Mitigation Alternatives of Repetitive Flood Claim Properties in Galveston County.</t>
  </si>
  <si>
    <t>06003147,06003396,06003512,06003397,06002833,06003345,06003149,00000006,06002494,06003145,06003146,06002806,00000006,06002808,06002810,06003398</t>
  </si>
  <si>
    <t>061000150</t>
  </si>
  <si>
    <t>Evaluation of Reinforcement of Critical Facilities in the City of Arcola</t>
  </si>
  <si>
    <t>Reinforcement of critical facilities to withstand high winds from severe weather.</t>
  </si>
  <si>
    <t>061000153</t>
  </si>
  <si>
    <t>Downtown Cleveland Drainage Line Installation</t>
  </si>
  <si>
    <t>Further study of proposed larger drainage lines in downtown Cleveland to reduce flooding.</t>
  </si>
  <si>
    <t>Liberty,Montgomery,San Jacinto</t>
  </si>
  <si>
    <t>1204010301,1204010302,1204010304</t>
  </si>
  <si>
    <t>120401030201,120401030108,120401030109,120401030203,120401030202,120401030401</t>
  </si>
  <si>
    <t>06000056,06000053,06000054,06000058,06000057,06000069</t>
  </si>
  <si>
    <t>06002530</t>
  </si>
  <si>
    <t>00000033,00004000,06002530,06000037,00000047</t>
  </si>
  <si>
    <t>061000156</t>
  </si>
  <si>
    <t>Flood Gates Evaluation at Walker County Annex #2</t>
  </si>
  <si>
    <t>Evaluation of proposed removable facility flood gates at Walker County Annex #2</t>
  </si>
  <si>
    <t>1204010101,1204010102,1204010301,1204010303</t>
  </si>
  <si>
    <t>120401010104,120401010101,120401010102,120401010103,120401010201,120401010202,120401010203,120401010204,120401030101,120401030106,120401030303,120401030305,120401030301,120401030302</t>
  </si>
  <si>
    <t>06000004,06000001,06000002,06000003,06000005,06000006,06000007,06000008,06000046,06000051,06000063,06000065,06000061,06000062</t>
  </si>
  <si>
    <t>06002584,06003391,00000053</t>
  </si>
  <si>
    <t>061000158</t>
  </si>
  <si>
    <t>City of Bayou Vista Canal Dredging Study</t>
  </si>
  <si>
    <t>Plan for Canal Dredging to reduce sediment deposited during storm events. Study to develop and implement canal dredging program.</t>
  </si>
  <si>
    <t>061000160</t>
  </si>
  <si>
    <t>Liberty County Regional Flood Drainage Plan</t>
  </si>
  <si>
    <t>Regional drainage study to establish a county wide drainage plan including atlas 14 rainfall.</t>
  </si>
  <si>
    <t>061000161</t>
  </si>
  <si>
    <t>City of North Cleveland Engineering Study</t>
  </si>
  <si>
    <t>Study to identify drainage improvements in the City of North Cleveland.</t>
  </si>
  <si>
    <t>061000162</t>
  </si>
  <si>
    <t xml:space="preserve">Elevation of Bridge Road in City of North Cleveland </t>
  </si>
  <si>
    <t>Further study to elevate Bridge road.</t>
  </si>
  <si>
    <t>061000163</t>
  </si>
  <si>
    <t>Galveston County Drainage System Improvement Study</t>
  </si>
  <si>
    <t>061000164</t>
  </si>
  <si>
    <t>Storm Water Detention Ponds Evalution in the City of Santa Fe</t>
  </si>
  <si>
    <t>Further study to determine detention ponds/basin could be solution for addressing flood impacts.</t>
  </si>
  <si>
    <t>061000165</t>
  </si>
  <si>
    <t>Drainage System Analysis for City of Santa Fe</t>
  </si>
  <si>
    <t>061000166</t>
  </si>
  <si>
    <t>City of Stafford Run Creek Detention Pond Construction</t>
  </si>
  <si>
    <t>Further study of proposed detention ponds immediately downstream of Brand Lane and Independence Park.</t>
  </si>
  <si>
    <t>1204010404,1204010405,1204020404</t>
  </si>
  <si>
    <t>120401040401,120401040501,120402040400</t>
  </si>
  <si>
    <t>06000083,06000085,06000109</t>
  </si>
  <si>
    <t>06003596,00000009,00000310,00000020</t>
  </si>
  <si>
    <t>Fort Bend County CIP</t>
  </si>
  <si>
    <t>061000167</t>
  </si>
  <si>
    <t>City of Cleveland Drainage Improvements</t>
  </si>
  <si>
    <t>Further study of proposed city of cleveland drainage improvements.</t>
  </si>
  <si>
    <t>061000168</t>
  </si>
  <si>
    <t>San Jacinto Watershed and Tributary Barrier and Flood Mitigation - East County Project</t>
  </si>
  <si>
    <t xml:space="preserve">Planning, H&amp;H studies, design, environmental review, and barrier removal for the 98.6 miles of the San Jacinto Watershed and Tributary Barrier and Flood Mitigation-East County project area. </t>
  </si>
  <si>
    <t>Harris,Liberty,Montgomery,San Jacinto</t>
  </si>
  <si>
    <t>120401030402,120401030401</t>
  </si>
  <si>
    <t>06000070,06000069</t>
  </si>
  <si>
    <t>00002853,00000033,06000037,00000020,00000310</t>
  </si>
  <si>
    <t>San Jacinto River Master Drainage Plan Report</t>
  </si>
  <si>
    <t>061000169</t>
  </si>
  <si>
    <t>San Jacinto Watershed and Tributary Barrier and Flood Mitigation - West County Project</t>
  </si>
  <si>
    <t>H&amp;H study, design, tributary barrier removal, and environmental assessments for the 96.2 miles of the San Jacinto Watershed and Tributary Barrier and Flood Mitigation-West County project area.</t>
  </si>
  <si>
    <t>Harris,Montgomery</t>
  </si>
  <si>
    <t>120401010401,120401010402,120401010404</t>
  </si>
  <si>
    <t>06000020,06000021,06000023</t>
  </si>
  <si>
    <t>00002853,00000310,00000020,06000037</t>
  </si>
  <si>
    <t>061000173</t>
  </si>
  <si>
    <t>Update Liberty County FIRMs to Include Bench Marks</t>
  </si>
  <si>
    <t>Add bench marks to updated Flood Insurance Rate Maps.</t>
  </si>
  <si>
    <t>061000174</t>
  </si>
  <si>
    <t>Carpenters Planing Study N110-00-00 Diversion to P103-00/P103-03</t>
  </si>
  <si>
    <t>Feasibility study needed to evaluate a designed interconnection to lower Greens Bayou.</t>
  </si>
  <si>
    <t>1204010105,1204010406,1204010407</t>
  </si>
  <si>
    <t>120401010502,120401040605,120401040703,120401040705,120401040702,120401040606,120401040704</t>
  </si>
  <si>
    <t>06000025,06000091,06000095,06000097,06000094,06000092,06000096</t>
  </si>
  <si>
    <t>The Carpenters Bayou Watershed Planning Project (N100-00-00-P004 ): FINAL ENGINEERING REPORT</t>
  </si>
  <si>
    <t>061000175</t>
  </si>
  <si>
    <t>Regional Implementation of Large Diameter Deep Tunnel Systems for Storm Water Management</t>
  </si>
  <si>
    <t>Further study of regional Implementation of Large Diameter Deep Tunnel Systems for Storm Water Management.</t>
  </si>
  <si>
    <t>12040203,12040104,12040101,12040103,12040204,12040102</t>
  </si>
  <si>
    <t>1204010104,1204010105,1204010201,1204010202,1204010301,1204010302,1204010304,1204010401,1204010402,1204010403,1204010404,1204010405,1204010406,1204010407,1204020301,1204020302,1204020401</t>
  </si>
  <si>
    <t>00002853,00000310,00000020</t>
  </si>
  <si>
    <t>Z100-00-00-P026</t>
  </si>
  <si>
    <t>061000177</t>
  </si>
  <si>
    <t>Addicks Reservoir Watershed Study</t>
  </si>
  <si>
    <t>Watershed wide study using latest data, including MAAPnext models and Atlas 14 rainfall. Study to identify flooding issues within watershed, identify projects to reduce flooding, and provide cost estimates and benefit and cost metrics for each project.</t>
  </si>
  <si>
    <t>Harris,Waller</t>
  </si>
  <si>
    <t>1204010201,1204010401,1204010402,1204010403</t>
  </si>
  <si>
    <t>120401020103,120401040102,120401040202,120401040104,120401040201,120401040302,120401040101,120401040203,120401040303,120401040301</t>
  </si>
  <si>
    <t>06000028,06000072,06000076,06000074,06000075,06000079,06000071,06000077,06000080,06000078</t>
  </si>
  <si>
    <t>06002853,00000287,06002795,06002794,00000020,00000310</t>
  </si>
  <si>
    <t>061000178</t>
  </si>
  <si>
    <t>Barker Reservoir Watershed Study</t>
  </si>
  <si>
    <t>1204010201,1204010401,1204010402,1204010403,1204010404</t>
  </si>
  <si>
    <t>120401020103,120401040102,120401040103,120401040104,120401040101,120401040203,120401040303,120401040401</t>
  </si>
  <si>
    <t>06000028,06000072,06000073,06000074,06000071,06000077,06000080,06000083</t>
  </si>
  <si>
    <t>00000295,06002853,00000287,06002795,00000009,00002923,06002794,00000020,00000310</t>
  </si>
  <si>
    <t>061000179</t>
  </si>
  <si>
    <t>Buffalo Bayou Watershed Study</t>
  </si>
  <si>
    <t>1204010401,1204010402,1204010403,1204010404,1204010407</t>
  </si>
  <si>
    <t>120401040703,120401040402,120401040104,120401040305,120401040302,120401040203,120401040303,120401040304,120401040401,120401040701</t>
  </si>
  <si>
    <t>06000095,06000084,06000074,06000082,06000079,06000077,06000080,06000081,06000083,06000093</t>
  </si>
  <si>
    <t>06002853,06002454,00000287,06003593,00000009,06002856,06002453,00000020,00000310,06002495</t>
  </si>
  <si>
    <t>061000180</t>
  </si>
  <si>
    <t>Brays Bayou Watershed Study</t>
  </si>
  <si>
    <t>1204010403,1204010404,1204010405,1204010407</t>
  </si>
  <si>
    <t>120401040703,120401040402,120401040305,120401040303,120401040401,120401040502</t>
  </si>
  <si>
    <t>06000095,06000084,06000082,06000080,06000083,06000086</t>
  </si>
  <si>
    <t>06002853,06003305,00000287,06002934,00000009,06002789,06003596,06003595,00000020,06002854,06002517,00000310</t>
  </si>
  <si>
    <t>061000181</t>
  </si>
  <si>
    <t>Cypress Creek Watershed Study</t>
  </si>
  <si>
    <t>1204010201,1204010202,1204010401,1204010402,1204010403,1204010406</t>
  </si>
  <si>
    <t>120401020102,120401020103,120401020104,120401020106,120401020101,120401020105,120401020107,120401020201,120401020210,120401020212,120401020213,120401040601,120401040102,120401040201,120401040101,120401040203,120401040301,120401040602,120401040603</t>
  </si>
  <si>
    <t>06000027,06000028,06000029,06000031,06000026,06000030,06000032,06000033,06000042,06000044,06000045,06000087,06000072,06000075,06000071,06000077,06000078,06000088,06000089</t>
  </si>
  <si>
    <t>00000295,06002853,00000287,06002795,06003390,00000020,06003302,00000310</t>
  </si>
  <si>
    <t>061000182</t>
  </si>
  <si>
    <t>Hunting Bayou Watershed Study</t>
  </si>
  <si>
    <t>1204010403,1204010406,1204010407</t>
  </si>
  <si>
    <t>120401040703,120401040604,120401040606,120401040304,120401040701</t>
  </si>
  <si>
    <t>06000095,06000090,06000092,06000081,06000093</t>
  </si>
  <si>
    <t>06002853,06002456,06002452,00000020,00000310</t>
  </si>
  <si>
    <t>061000183</t>
  </si>
  <si>
    <t>Sims Bayou Watershed Study</t>
  </si>
  <si>
    <t>1204010404,1204010405,1204010407,1204020401,1204020404</t>
  </si>
  <si>
    <t>120401040703,120401040402,120401040502,120401040501,120402040400,120402040100</t>
  </si>
  <si>
    <t>06000095,06000084,06000086,06000085,06000109,06000106</t>
  </si>
  <si>
    <t>06002853,00000287,06003307,00000009,06002789,06003596,00000653,00000020,06002502,00000310</t>
  </si>
  <si>
    <t>061000184</t>
  </si>
  <si>
    <t>White Oak Bayou Watershed Study</t>
  </si>
  <si>
    <t>1204010201,1204010403,1204010406,1204010407</t>
  </si>
  <si>
    <t>120401020104,120401020106,120401040601,120401040305,120401040302,120401040604,120401040303,120401040304,120401040301,120401040701</t>
  </si>
  <si>
    <t>06000029,06000031,06000087,06000082,06000079,06000090,06000080,06000081,06000078,06000093</t>
  </si>
  <si>
    <t>06002853,00000310,00000020,06002457</t>
  </si>
  <si>
    <t>061000186</t>
  </si>
  <si>
    <t>Brays Bayou - Poor Farm Ditch</t>
  </si>
  <si>
    <t>Study to develop a BCR and elevate project to a FMP. Further study of channel improvements from partnership project to restore channel conveyanve including Atlas 14 rainfalls.</t>
  </si>
  <si>
    <t>120401040402</t>
  </si>
  <si>
    <t>06000084</t>
  </si>
  <si>
    <t>06002853,06003305,06003595,00000020,00000310</t>
  </si>
  <si>
    <t>HCFCD Bond Program Updates</t>
  </si>
  <si>
    <t>061000188</t>
  </si>
  <si>
    <t>Brays Bayou - Partnership Project with Fort Bend County on Right-of-Way Acquisition, Design, and Construction of General Drainage Improvements along Clodine Ditch</t>
  </si>
  <si>
    <t>Further study of channel improvements from partnership project to restore channel conveyanve including Atlas 14 rainfalls.</t>
  </si>
  <si>
    <t>1204010401,1204010403,1204010404</t>
  </si>
  <si>
    <t>120401040103,120401040104,120401040303,120401040401</t>
  </si>
  <si>
    <t>06000073,06000074,06000080,06000083</t>
  </si>
  <si>
    <t>06002853,00000009,00000310,00000020</t>
  </si>
  <si>
    <t>061000191</t>
  </si>
  <si>
    <t>Spring Creek - Construction of a Reservoir along Spring Creek</t>
  </si>
  <si>
    <t>Further study for design and construction of a future flood control dam and reservoir in the Spring Creek watershed.</t>
  </si>
  <si>
    <t>Harris,Waller,Montgomery,Grimes</t>
  </si>
  <si>
    <t>12040102,12040101,12040104</t>
  </si>
  <si>
    <t>1204010103,1204010104,1204010105,1204010201,1204010202,1204010406</t>
  </si>
  <si>
    <t>00000044,00000024,06000037,00000020,00000310</t>
  </si>
  <si>
    <t>061000197</t>
  </si>
  <si>
    <t>Harris County Wide - Investigation of City of Houston Properties for Conversion to Stormwater Detention Basins</t>
  </si>
  <si>
    <t>Further study for design and construction of stormwater detention basins on various City of Houston properties could reduce the risk of flooding in the area.</t>
  </si>
  <si>
    <t>061000201</t>
  </si>
  <si>
    <t>Little Cypress Creek - L109-00-00</t>
  </si>
  <si>
    <t>Further study of Flood Risk Reduction need identified through the HCFCD 'Watershed Planning Tool' to determine channel modifications needed to restore/improve channel conveyance including Atlas 14 rainfall.</t>
  </si>
  <si>
    <t>1204010201,1204010202</t>
  </si>
  <si>
    <t>120401020104,120401020105,120401020210</t>
  </si>
  <si>
    <t>06000029,06000030,06000042</t>
  </si>
  <si>
    <t>061000203</t>
  </si>
  <si>
    <t>Little Cypress Creek - L103-00-00</t>
  </si>
  <si>
    <t>1204010201</t>
  </si>
  <si>
    <t>120401020104,120401020106,120401020105</t>
  </si>
  <si>
    <t>06000029,06000031,06000030</t>
  </si>
  <si>
    <t>061000202</t>
  </si>
  <si>
    <t>Little Cypress Creek - L113-00-00</t>
  </si>
  <si>
    <t>120401020104,120401020105,120401020205</t>
  </si>
  <si>
    <t>06000029,06000030,06000037</t>
  </si>
  <si>
    <t>061000204</t>
  </si>
  <si>
    <t>Greens Bayou - P130-05-02</t>
  </si>
  <si>
    <t>1204010406</t>
  </si>
  <si>
    <t>120401040602</t>
  </si>
  <si>
    <t>06000088</t>
  </si>
  <si>
    <t>061000205</t>
  </si>
  <si>
    <t>Greens Bayou - P142-00-00</t>
  </si>
  <si>
    <t>120401040603</t>
  </si>
  <si>
    <t>06000089</t>
  </si>
  <si>
    <t>061000207</t>
  </si>
  <si>
    <t>San Jacinto River - G103-46-00</t>
  </si>
  <si>
    <t>1204010105</t>
  </si>
  <si>
    <t>120401010501</t>
  </si>
  <si>
    <t>06000024</t>
  </si>
  <si>
    <t>06002853,06000037,06003597,00000020,00000310</t>
  </si>
  <si>
    <t>061000208</t>
  </si>
  <si>
    <t>San Jacinto River - G103-33-04</t>
  </si>
  <si>
    <t>061000209</t>
  </si>
  <si>
    <t>San Jacinto River - G103-36-00</t>
  </si>
  <si>
    <t>061000187</t>
  </si>
  <si>
    <t xml:space="preserve">Brays Bayou Restore Channel Conveyance Capacity Along D115-00-00 </t>
  </si>
  <si>
    <t>06002853,06002854,00000310,00000020</t>
  </si>
  <si>
    <t>061000194</t>
  </si>
  <si>
    <t>White Oak Bayou - Turkey Gully E106-00-00</t>
  </si>
  <si>
    <t>Study to develop a Benefit Cost Analysis needed for this project to become a FMP. Further study of channel improvements from partnership project to restore channel conveyanve including Atlas 14 rainfalls.</t>
  </si>
  <si>
    <t>120401040304</t>
  </si>
  <si>
    <t>06000081</t>
  </si>
  <si>
    <t>061000196</t>
  </si>
  <si>
    <t>White Oak Bayou - General Drainage Improvements along E105-00-00</t>
  </si>
  <si>
    <t>00002853</t>
  </si>
  <si>
    <t>061000213</t>
  </si>
  <si>
    <t>City of Conroe Riverine Study and Mapping Improvements</t>
  </si>
  <si>
    <t>Study and new modeling for moderate to low quality areas and revise the flood maps using the results from the updated modeling.</t>
  </si>
  <si>
    <t>120401010207,120401010401,120401010402</t>
  </si>
  <si>
    <t>06000011,06000020,06000021</t>
  </si>
  <si>
    <t>06000037,06001452,06003030,00000287</t>
  </si>
  <si>
    <t>061000214</t>
  </si>
  <si>
    <t>April Sound Subdivision Evaluation</t>
  </si>
  <si>
    <t>Detailed analysis to be completed for the entire development using detailed storm sewer modeling.</t>
  </si>
  <si>
    <t>061000215</t>
  </si>
  <si>
    <t>City of Conroe Downtown Master Drainage Plan</t>
  </si>
  <si>
    <t xml:space="preserve">Full as-built storm sewer intventory survey and a full drainage study recommended. </t>
  </si>
  <si>
    <t>061000216</t>
  </si>
  <si>
    <t>Greens Bayou - P103-00-00</t>
  </si>
  <si>
    <t>1204010406,1204010407</t>
  </si>
  <si>
    <t>120401040703,120401040702,120401040606</t>
  </si>
  <si>
    <t>06000095,06000094,06000092</t>
  </si>
  <si>
    <t>061000217</t>
  </si>
  <si>
    <t>Barker - T101-00-00</t>
  </si>
  <si>
    <t>1204010401,1204010402,1204010403</t>
  </si>
  <si>
    <t>120401040102,120401040104,120401040203,120401040303</t>
  </si>
  <si>
    <t>06000072,06000074,06000077,06000080</t>
  </si>
  <si>
    <t>061000218</t>
  </si>
  <si>
    <t>Barker - T103-00-00</t>
  </si>
  <si>
    <t>120401040102,120401040104,120401040203</t>
  </si>
  <si>
    <t>06000072,06000074,06000077</t>
  </si>
  <si>
    <t>061000219</t>
  </si>
  <si>
    <t>Buffalo Bayou - W158-00-00</t>
  </si>
  <si>
    <t>061000220</t>
  </si>
  <si>
    <t>Buffalo Bayou - W130-00-00</t>
  </si>
  <si>
    <t>120401040305,120401040303</t>
  </si>
  <si>
    <t>06000082,06000080</t>
  </si>
  <si>
    <t>061000221</t>
  </si>
  <si>
    <t>Buffalo Bayou - W163-00-00</t>
  </si>
  <si>
    <t>061000222</t>
  </si>
  <si>
    <t>City of Arcola  Master Drainage Plan</t>
  </si>
  <si>
    <t>06002557,00000009</t>
  </si>
  <si>
    <t>Task 4A data</t>
  </si>
  <si>
    <t>061000223</t>
  </si>
  <si>
    <t>City of Baytown  Master Drainage Plan</t>
  </si>
  <si>
    <t>12040203,12040104</t>
  </si>
  <si>
    <t>1204010407,1204020301,1204020302</t>
  </si>
  <si>
    <t>120401040705,120401040706,120402030105,120402030106,120402030200</t>
  </si>
  <si>
    <t>06000097,06000098,06000103,06000104,06000105</t>
  </si>
  <si>
    <t>00003343</t>
  </si>
  <si>
    <t>00000013,00004000,06003343,00000020,00000310</t>
  </si>
  <si>
    <t>061000224</t>
  </si>
  <si>
    <t>City of Beach City  Master Drainage Plan</t>
  </si>
  <si>
    <t>1204020302</t>
  </si>
  <si>
    <t>120402030200</t>
  </si>
  <si>
    <t>06000105</t>
  </si>
  <si>
    <t>00003344</t>
  </si>
  <si>
    <t>00004000,00000013,06003344</t>
  </si>
  <si>
    <t>061000225</t>
  </si>
  <si>
    <t>City of Bellaire Master Drainage Plan</t>
  </si>
  <si>
    <t>061000226</t>
  </si>
  <si>
    <t>City of Brookside Village  Master Drainage Plan</t>
  </si>
  <si>
    <t>06003024</t>
  </si>
  <si>
    <t>06003024,00001801,00000003</t>
  </si>
  <si>
    <t>061000227</t>
  </si>
  <si>
    <t>City of Bunker Hill Village  Master Drainage Plan</t>
  </si>
  <si>
    <t>00000310,00000020,06002856</t>
  </si>
  <si>
    <t>061000228</t>
  </si>
  <si>
    <t>City of Clear Lake Shores  Master Drainage Plan</t>
  </si>
  <si>
    <t>Study to develop Master Drainage Plan using future and existing land use and flood/storm water drainage needs including Atlas 14 rainfall</t>
  </si>
  <si>
    <t>,00000020,00000006,06002808,00000310</t>
  </si>
  <si>
    <t>061000229</t>
  </si>
  <si>
    <t>City of Cleveland  Master Drainage Plan</t>
  </si>
  <si>
    <t>06002530,00000033</t>
  </si>
  <si>
    <t>061000230</t>
  </si>
  <si>
    <t>City of Coldspring  Master Drainage Plan</t>
  </si>
  <si>
    <t>1204010303</t>
  </si>
  <si>
    <t>120401030307</t>
  </si>
  <si>
    <t>06000067</t>
  </si>
  <si>
    <t>00003513</t>
  </si>
  <si>
    <t>00000047,00003513</t>
  </si>
  <si>
    <t>061000232</t>
  </si>
  <si>
    <t>City of Cut and Shoot  Master Drainage Plan</t>
  </si>
  <si>
    <t>1204010104,1204010301</t>
  </si>
  <si>
    <t>120401010403,120401030102,120401030104</t>
  </si>
  <si>
    <t>06000022,06000047,06000049</t>
  </si>
  <si>
    <t>06003018</t>
  </si>
  <si>
    <t>06000037,06003018</t>
  </si>
  <si>
    <t>061000233</t>
  </si>
  <si>
    <t>City of Dayton  Master Drainage Plan</t>
  </si>
  <si>
    <t>1204020301</t>
  </si>
  <si>
    <t>120402030104,120402030103,120402030102,120402030101</t>
  </si>
  <si>
    <t>06000102,06000101,06000100,06000099</t>
  </si>
  <si>
    <t>00002531</t>
  </si>
  <si>
    <t>061000234</t>
  </si>
  <si>
    <t>City of Deer Park  Master Drainage Plan</t>
  </si>
  <si>
    <t>120401040703,120401040706,120402040100</t>
  </si>
  <si>
    <t>06000095,06000098,06000106</t>
  </si>
  <si>
    <t>06002857</t>
  </si>
  <si>
    <t>06002857,00000310,00000020</t>
  </si>
  <si>
    <t>061000235</t>
  </si>
  <si>
    <t>City of Dickinson  Master Drainage Plan</t>
  </si>
  <si>
    <t>06003398</t>
  </si>
  <si>
    <t>00000006,06003398</t>
  </si>
  <si>
    <t>061000236</t>
  </si>
  <si>
    <t>City of El Lago  Master Drainage Plan</t>
  </si>
  <si>
    <t>06002858</t>
  </si>
  <si>
    <t>06002858,00000020</t>
  </si>
  <si>
    <t>061000237</t>
  </si>
  <si>
    <t>City of Friendswood  Master Drainage Plan</t>
  </si>
  <si>
    <t>061000238</t>
  </si>
  <si>
    <t>City of Fulshear  Master Drainage Plan</t>
  </si>
  <si>
    <t>120401040103</t>
  </si>
  <si>
    <t>06000073</t>
  </si>
  <si>
    <t>00002923</t>
  </si>
  <si>
    <t>00002923,00000009</t>
  </si>
  <si>
    <t>061000239</t>
  </si>
  <si>
    <t>City of Galena Park Master Drainage Plan</t>
  </si>
  <si>
    <t>120401040703,120401040701</t>
  </si>
  <si>
    <t>06000095,06000093</t>
  </si>
  <si>
    <t>06002452</t>
  </si>
  <si>
    <t>06002452,00000310,00000020</t>
  </si>
  <si>
    <t>061000241</t>
  </si>
  <si>
    <t>City of Hedwig Village  Master Drainage Plan</t>
  </si>
  <si>
    <t>06002453</t>
  </si>
  <si>
    <t>06002453,00000310,00000020</t>
  </si>
  <si>
    <t>061000242</t>
  </si>
  <si>
    <t>City of Hillcrest  Master Drainage Plan</t>
  </si>
  <si>
    <t>061000243</t>
  </si>
  <si>
    <t>City of Hilshire Village  Master Drainage Plan</t>
  </si>
  <si>
    <t>06002454</t>
  </si>
  <si>
    <t>061000244</t>
  </si>
  <si>
    <t>City of Hitchcock Master Drainage Plan</t>
  </si>
  <si>
    <t>06003145</t>
  </si>
  <si>
    <t>00001801,00000003,06003145,00000006</t>
  </si>
  <si>
    <t>061000246</t>
  </si>
  <si>
    <t>City of Humble  Master Drainage Plan</t>
  </si>
  <si>
    <t>1204010105,1204010202,1204010406</t>
  </si>
  <si>
    <t>120401010501,120401020213,120401040602</t>
  </si>
  <si>
    <t>06000024,06000045,06000088</t>
  </si>
  <si>
    <t>06003597</t>
  </si>
  <si>
    <t>06003597,00000310,00000020</t>
  </si>
  <si>
    <t>061000247</t>
  </si>
  <si>
    <t>City of Hunters Creek Village  Master Drainage Plan</t>
  </si>
  <si>
    <t>06002455</t>
  </si>
  <si>
    <t>06002454,00000310,00000020</t>
  </si>
  <si>
    <t>061000248</t>
  </si>
  <si>
    <t>City of Huntsville Master Drainage Plan</t>
  </si>
  <si>
    <t>1204010101,1204010102,1204010303</t>
  </si>
  <si>
    <t>120401010104,120401010102,120401010201,120401010202,120401030302</t>
  </si>
  <si>
    <t>06000004,06000002,06000005,06000006,06000062</t>
  </si>
  <si>
    <t>00002584</t>
  </si>
  <si>
    <t>06002584,00000053</t>
  </si>
  <si>
    <t>061000249</t>
  </si>
  <si>
    <t>City of Iowa Colony Master Drainage Plan</t>
  </si>
  <si>
    <t>06002993</t>
  </si>
  <si>
    <t>00001801,00000003,06002993</t>
  </si>
  <si>
    <t>061000250</t>
  </si>
  <si>
    <t>City of Jacinto City Master Drainage Plan</t>
  </si>
  <si>
    <t>120401040701</t>
  </si>
  <si>
    <t>06000093</t>
  </si>
  <si>
    <t>06002456</t>
  </si>
  <si>
    <t>06002456,00000020</t>
  </si>
  <si>
    <t>061000251</t>
  </si>
  <si>
    <t>City of Jamaica Beach Master Drainage Plan</t>
  </si>
  <si>
    <t>061000252</t>
  </si>
  <si>
    <t>061000253</t>
  </si>
  <si>
    <t>City of Katy Master Drainage Plan</t>
  </si>
  <si>
    <t>06002794</t>
  </si>
  <si>
    <t>061000254</t>
  </si>
  <si>
    <t>City of Kemah Master Drainage Plan</t>
  </si>
  <si>
    <t>061000255</t>
  </si>
  <si>
    <t>City of La Marque  Master Drainage Plan</t>
  </si>
  <si>
    <t>061000256</t>
  </si>
  <si>
    <t>City of La Porte  Master Drainage Plan</t>
  </si>
  <si>
    <t>06002834</t>
  </si>
  <si>
    <t>061000257</t>
  </si>
  <si>
    <t>City of League City Master Drainage Plan</t>
  </si>
  <si>
    <t>061000258</t>
  </si>
  <si>
    <t>City of Liverpool  Master Drainage Plan</t>
  </si>
  <si>
    <t>06003027</t>
  </si>
  <si>
    <t>00001801,00000003,06003027</t>
  </si>
  <si>
    <t>061000259</t>
  </si>
  <si>
    <t>City of Magnolia  Master Drainage Plan</t>
  </si>
  <si>
    <t>120401020204,120401020207,120401020208</t>
  </si>
  <si>
    <t>06000036,06000039,06000040</t>
  </si>
  <si>
    <t>06002534</t>
  </si>
  <si>
    <t>06000037,06002534</t>
  </si>
  <si>
    <t>061000260</t>
  </si>
  <si>
    <t>City of Manvel  Master Drainage Plan</t>
  </si>
  <si>
    <t>061000261</t>
  </si>
  <si>
    <t>City of Meadows Place  Master Drainage Plan</t>
  </si>
  <si>
    <t>06002934</t>
  </si>
  <si>
    <t>06002934,00000009</t>
  </si>
  <si>
    <t>061000262</t>
  </si>
  <si>
    <t>City of Missouri City  Master Drainage Plan</t>
  </si>
  <si>
    <t>00002789</t>
  </si>
  <si>
    <t>00000009,06002789</t>
  </si>
  <si>
    <t>061000263</t>
  </si>
  <si>
    <t>City of Mont Belvieu  Master Drainage Plan</t>
  </si>
  <si>
    <t>Chambers,Harris,Liberty</t>
  </si>
  <si>
    <t>120402030105,120402030104</t>
  </si>
  <si>
    <t>06000103,06000102</t>
  </si>
  <si>
    <t>00003573</t>
  </si>
  <si>
    <t>061000264</t>
  </si>
  <si>
    <t>City of Montgomery  Master Drainage Plan</t>
  </si>
  <si>
    <t>1204010102,1204010103</t>
  </si>
  <si>
    <t>120401010307,120401010206</t>
  </si>
  <si>
    <t>06000018,06000010</t>
  </si>
  <si>
    <t>06003268</t>
  </si>
  <si>
    <t>06000037,06003268</t>
  </si>
  <si>
    <t>061000265</t>
  </si>
  <si>
    <t>City of Morgan's Point  Master Drainage Plan</t>
  </si>
  <si>
    <t>06002493</t>
  </si>
  <si>
    <t>06002493,00000310,00000020</t>
  </si>
  <si>
    <t>061000266</t>
  </si>
  <si>
    <t>City of Nassau Bay  Master Drainage Plan</t>
  </si>
  <si>
    <t>06002494</t>
  </si>
  <si>
    <t>06002494,00000020,00000310,00000006</t>
  </si>
  <si>
    <t>061000267</t>
  </si>
  <si>
    <t>City of New Waverly  Master Drainage Plan</t>
  </si>
  <si>
    <t>061000268</t>
  </si>
  <si>
    <t>City of North Cleveland Master Drainage Plan</t>
  </si>
  <si>
    <t>061000269</t>
  </si>
  <si>
    <t>City of Oak Ridge North  Master Drainage Plan</t>
  </si>
  <si>
    <t>1204010104,1204010202</t>
  </si>
  <si>
    <t>120401010404,120401020212</t>
  </si>
  <si>
    <t>06000023,06000044</t>
  </si>
  <si>
    <t>06002535</t>
  </si>
  <si>
    <t>06000037,06002535</t>
  </si>
  <si>
    <t>061000270</t>
  </si>
  <si>
    <t>City of Panorama Village  Master Drainage Plan</t>
  </si>
  <si>
    <t>06002536</t>
  </si>
  <si>
    <t>06000037,06002536</t>
  </si>
  <si>
    <t>061000271</t>
  </si>
  <si>
    <t>City of Pasadena  Master Drainage Plan</t>
  </si>
  <si>
    <t>1204010405,1204010407,1204020401</t>
  </si>
  <si>
    <t>120401040703,120401040502,120402040100</t>
  </si>
  <si>
    <t>06000095,06000086,06000106</t>
  </si>
  <si>
    <t>06003307</t>
  </si>
  <si>
    <t>06003307,00000310,00000020</t>
  </si>
  <si>
    <t>061000272</t>
  </si>
  <si>
    <t>City of Patton Village  Master Drainage Plan</t>
  </si>
  <si>
    <t>1204010301,1204010304</t>
  </si>
  <si>
    <t>120401030109,120401030402</t>
  </si>
  <si>
    <t>06000054,06000070</t>
  </si>
  <si>
    <t>06002419</t>
  </si>
  <si>
    <t>06000037,06002419</t>
  </si>
  <si>
    <t>061000274</t>
  </si>
  <si>
    <t>City of Piney Point Village  Master Drainage Plan</t>
  </si>
  <si>
    <t>06002495</t>
  </si>
  <si>
    <t>06002495,00000310,00000020</t>
  </si>
  <si>
    <t>061000275</t>
  </si>
  <si>
    <t>City of Plantersville  Master Drainage Plan</t>
  </si>
  <si>
    <t>1204010103,1204010202</t>
  </si>
  <si>
    <t>120401010305,120401010306,120401020206</t>
  </si>
  <si>
    <t>06000016,06000017,06000038</t>
  </si>
  <si>
    <t>06002950</t>
  </si>
  <si>
    <t>00000044,06002950</t>
  </si>
  <si>
    <t>061000276</t>
  </si>
  <si>
    <t>City of Plum Grove  Master Drainage Plan</t>
  </si>
  <si>
    <t>06002647,00000033</t>
  </si>
  <si>
    <t>061000277</t>
  </si>
  <si>
    <t>City of Prairie View  Master Drainage Plan</t>
  </si>
  <si>
    <t>120401020101</t>
  </si>
  <si>
    <t>06000026</t>
  </si>
  <si>
    <t>00003390</t>
  </si>
  <si>
    <t>00000024,06003390</t>
  </si>
  <si>
    <t>061000278</t>
  </si>
  <si>
    <t>City of Roman Forest  Master Drainage Plan</t>
  </si>
  <si>
    <t>06002420</t>
  </si>
  <si>
    <t>06000037,06002420</t>
  </si>
  <si>
    <t>061000279</t>
  </si>
  <si>
    <t>City of Santa Fe  Master Drainage Plan</t>
  </si>
  <si>
    <t>061000280</t>
  </si>
  <si>
    <t>City of Seabrook  Master Drainage Plan</t>
  </si>
  <si>
    <t>Galveston,Chambers,Harris</t>
  </si>
  <si>
    <t>06003512</t>
  </si>
  <si>
    <t>06003512,00000013,00000020,00000006,00000310</t>
  </si>
  <si>
    <t>061000281</t>
  </si>
  <si>
    <t>City of Shenandoah  Master Drainage Plan</t>
  </si>
  <si>
    <t>120401010402,120401010404,120401020211,120401020212</t>
  </si>
  <si>
    <t>06000021,06000023,06000043,06000044</t>
  </si>
  <si>
    <t>06002421</t>
  </si>
  <si>
    <t>06000037,06002421</t>
  </si>
  <si>
    <t>061000282</t>
  </si>
  <si>
    <t>City of Shoreacres  Master Drainage Plan</t>
  </si>
  <si>
    <t>061000283</t>
  </si>
  <si>
    <t>City of South Houston  Master Drainage Plan</t>
  </si>
  <si>
    <t>1204010405,1204010407</t>
  </si>
  <si>
    <t>120401040703,120401040502</t>
  </si>
  <si>
    <t>06000095,06000086</t>
  </si>
  <si>
    <t>06002502</t>
  </si>
  <si>
    <t>06002502,00000310,00000020</t>
  </si>
  <si>
    <t>061000284</t>
  </si>
  <si>
    <t>City of Southside Place Master Drainage Plan</t>
  </si>
  <si>
    <t>06003305</t>
  </si>
  <si>
    <t>06003305,00000020</t>
  </si>
  <si>
    <t>061000285</t>
  </si>
  <si>
    <t>City of Splendora Master Drainage Plan</t>
  </si>
  <si>
    <t>120401030109,120401030402,120401030401</t>
  </si>
  <si>
    <t>06000054,06000070,06000069</t>
  </si>
  <si>
    <t>06003031</t>
  </si>
  <si>
    <t>06003031,06000037</t>
  </si>
  <si>
    <t>061000286</t>
  </si>
  <si>
    <t>City of Spring Valley Village Master Drainage Plan</t>
  </si>
  <si>
    <t>06003593</t>
  </si>
  <si>
    <t>06003593,00000310,00000020</t>
  </si>
  <si>
    <t>061000287</t>
  </si>
  <si>
    <t>City of Stafford Master Drainage Plan</t>
  </si>
  <si>
    <t>061000288</t>
  </si>
  <si>
    <t>City of Stagecoach Master Drainage Plan</t>
  </si>
  <si>
    <t>120401020204,120401020208</t>
  </si>
  <si>
    <t>06000036,06000040</t>
  </si>
  <si>
    <t>06002641</t>
  </si>
  <si>
    <t>06000037,06002641</t>
  </si>
  <si>
    <t>061000289</t>
  </si>
  <si>
    <t>City of Sugar Land Master Drainage Plan</t>
  </si>
  <si>
    <t>00002517</t>
  </si>
  <si>
    <t>06002517,00000009</t>
  </si>
  <si>
    <t>061000290</t>
  </si>
  <si>
    <t>City of Taylor Lake Village Master Drainage Plan</t>
  </si>
  <si>
    <t>06003594</t>
  </si>
  <si>
    <t>06003594,00000310,00000020</t>
  </si>
  <si>
    <t>061000291</t>
  </si>
  <si>
    <t>City of Texas City  Master Drainage Plan</t>
  </si>
  <si>
    <t>00003345</t>
  </si>
  <si>
    <t>00000013,06003345,00000006</t>
  </si>
  <si>
    <t>061000292</t>
  </si>
  <si>
    <t>City of Tiki Island  Master Drainage Plan</t>
  </si>
  <si>
    <t>061000293</t>
  </si>
  <si>
    <t>City of Todd Mission Master Drainage Plan</t>
  </si>
  <si>
    <t>061000294</t>
  </si>
  <si>
    <t>City of Tomball  Master Drainage Plan</t>
  </si>
  <si>
    <t>120401020106,120401020205,120401020210,120401020209</t>
  </si>
  <si>
    <t>06000031,06000037,06000042,06000041</t>
  </si>
  <si>
    <t>06003302</t>
  </si>
  <si>
    <t>06003302,00000310,00000020</t>
  </si>
  <si>
    <t>061000295</t>
  </si>
  <si>
    <t>120401020101,120401020105,120401020201</t>
  </si>
  <si>
    <t>06000026,06000030,06000033</t>
  </si>
  <si>
    <t>06002795</t>
  </si>
  <si>
    <t>00000024,06002795</t>
  </si>
  <si>
    <t>061000296</t>
  </si>
  <si>
    <t>City of Webster  Master Drainage Plan</t>
  </si>
  <si>
    <t>06003306</t>
  </si>
  <si>
    <t>06003306,00000310,00000020</t>
  </si>
  <si>
    <t>061000297</t>
  </si>
  <si>
    <t>City of West University Place  Master Drainage Plan</t>
  </si>
  <si>
    <t>06003595</t>
  </si>
  <si>
    <t>06003595,00000310,00000020</t>
  </si>
  <si>
    <t>Internal CIP Dollars</t>
  </si>
  <si>
    <t>061000298</t>
  </si>
  <si>
    <t>City of Willis  Master Drainage Plan</t>
  </si>
  <si>
    <t>1204010102,1204010104,1204010301</t>
  </si>
  <si>
    <t>120401010403,120401010401,120401010204,120401010205,120401030102,120401030101</t>
  </si>
  <si>
    <t>06000022,06000020,06000008,06000009,06000047,06000046</t>
  </si>
  <si>
    <t>06002638</t>
  </si>
  <si>
    <t>06000037,06002638</t>
  </si>
  <si>
    <t>061000299</t>
  </si>
  <si>
    <t>City of Woodbranch  Master Drainage Plan</t>
  </si>
  <si>
    <t>120401030105,120401030109</t>
  </si>
  <si>
    <t>06000050,06000054</t>
  </si>
  <si>
    <t>06002422</t>
  </si>
  <si>
    <t>06000037,06002422</t>
  </si>
  <si>
    <t>061000300</t>
  </si>
  <si>
    <t>Town of Woodloch  Master Drainage Plan</t>
  </si>
  <si>
    <t>120401010402</t>
  </si>
  <si>
    <t>06000021</t>
  </si>
  <si>
    <t>06003037</t>
  </si>
  <si>
    <t>06003037,06000037</t>
  </si>
  <si>
    <t>061000301</t>
  </si>
  <si>
    <t>Brazoria Flood Mapping Updates</t>
  </si>
  <si>
    <t>County wide study to produce flood mappping updates including Atlas 14 rainfall.</t>
  </si>
  <si>
    <t>06003024,06003026,00000003,06002790,00003020,06002985,06003027,06003145,06002993,00001801</t>
  </si>
  <si>
    <t>061000302</t>
  </si>
  <si>
    <t>Chambers Flood Mapping Updates</t>
  </si>
  <si>
    <t>061000304</t>
  </si>
  <si>
    <t>Galveston Flood Mapping Updates</t>
  </si>
  <si>
    <t>061000305</t>
  </si>
  <si>
    <t>Grimes Flood Mapping Updates</t>
  </si>
  <si>
    <t>061000307</t>
  </si>
  <si>
    <t>Montgomery Flood Mapping Updates</t>
  </si>
  <si>
    <t>1204010101,1204010102,1204010103,1204010104,1204010105,1204010202,1204010301,1204010304</t>
  </si>
  <si>
    <t>06003031,06002853,06002534,06003037,06003030,06003018,06002421,06002530,06000037,06002641,06002419,06002420,06003302,06002535,06002536,06001452,06002422,06002638</t>
  </si>
  <si>
    <t>061000308</t>
  </si>
  <si>
    <t>San Jacinto Flood Mapping Updates</t>
  </si>
  <si>
    <t>1204010301,1204010302,1204010303,1204010304</t>
  </si>
  <si>
    <t>120401030201,120401030108,120401030106,120401030107,120401030303,120401030305,120401030202,120401030301,120401030302,120401030304,120401030306,120401030401,120401030307,120401030308</t>
  </si>
  <si>
    <t>06000056,06000053,06000051,06000052,06000063,06000065,06000057,06000061,06000062,06000064,06000066,06000069,06000067,06000068</t>
  </si>
  <si>
    <t>00000047</t>
  </si>
  <si>
    <t>061000309</t>
  </si>
  <si>
    <t>Walker Flood Mapping Updates</t>
  </si>
  <si>
    <t>061000310</t>
  </si>
  <si>
    <t>Waller Flood Mapping Updates</t>
  </si>
  <si>
    <t>06003390,06002853,06002795,06002794</t>
  </si>
  <si>
    <t>061000317</t>
  </si>
  <si>
    <t>Arcadian Gardens Subdivision Drainage Improvements</t>
  </si>
  <si>
    <t>Study to develop a Cost Benefit Analysis and elevate the project to a FMP. To achieve this goal, the key features of improvments are to rehabilitate roadside swales, build new storm sewers and improve the outfall drainage conditions.</t>
  </si>
  <si>
    <t>Harris County CIP</t>
  </si>
  <si>
    <t>061000319</t>
  </si>
  <si>
    <t xml:space="preserve">Armand Bayou - Design and Construction of the B509-03-00 and B509-04-00 Stormwater Detention Basins </t>
  </si>
  <si>
    <t>Study to develop a Benefit Cost Analysis needed for this project to become a FMP.  Design and Construction of this stormwater detention basin could reduce the risk of flooding for over 400 structures in an Atlas 14 1% rainfall event.</t>
  </si>
  <si>
    <t>06002834,06003307,00000310,00000020</t>
  </si>
  <si>
    <t>061000321</t>
  </si>
  <si>
    <t>Armand Bayou Watershed- Basin Expansion and Extension and H&amp;H Study (Phases 1 + 2)</t>
  </si>
  <si>
    <t>Study to develop a Benefit Cost Analysis needed for this project to become a FMP. Channel modifications along B115-00-00 requires expansion of B500-04-00 and new detention property.</t>
  </si>
  <si>
    <t>061000323</t>
  </si>
  <si>
    <t>B106-WP01 &amp; WP02 for Armand Bayou Watershed</t>
  </si>
  <si>
    <t>Study to develop a Benefit Cost Analysis needed for this project to become a FMP.  Conveyance improvements for B106-00-00 channel, including detention/mitigation storage.</t>
  </si>
  <si>
    <t>061000324</t>
  </si>
  <si>
    <t>Barker Reservoir Flood Risk Reduction and Park Project</t>
  </si>
  <si>
    <t>Study to further the proposed project.  FIF application information unavailable.</t>
  </si>
  <si>
    <t>06000928</t>
  </si>
  <si>
    <t>061000325</t>
  </si>
  <si>
    <t>061000327</t>
  </si>
  <si>
    <t>Blalock Road Drainage Improvement Project</t>
  </si>
  <si>
    <t xml:space="preserve">Study to further the proposed project that includes increasing the capacity of the drainage system with a 9’x9’ RCB to replace dual 36-inch RCP along the east side of the road and an open ditch with driveway culverts on the west side of the road. </t>
  </si>
  <si>
    <t>120401040302,120401040303</t>
  </si>
  <si>
    <t>06000079,06000080</t>
  </si>
  <si>
    <t>CDBG-MIT</t>
  </si>
  <si>
    <t>061000328</t>
  </si>
  <si>
    <t>Brays Bayou - Keegans  Bayou (D118-00-00) Flood Risk Reduction</t>
  </si>
  <si>
    <t>Study to develop a BCR required for this project to become a FMP.  A project could reduce the risk flooding for over 2,500 structures and could reduce the frequency and duration of flooding along about 100 miles of roadway.</t>
  </si>
  <si>
    <t>00000009,00000310,00000020</t>
  </si>
  <si>
    <t>061000311</t>
  </si>
  <si>
    <t>37th Street, Galveston, Drainage Project</t>
  </si>
  <si>
    <t>Further study and FMP development of existing storm sewer system replacement and upgrades using the city’s updated drainage criteria that now require a 25-year storm drainage capacity.</t>
  </si>
  <si>
    <t>061000326</t>
  </si>
  <si>
    <t xml:space="preserve">I100-WP01 Vince Bayou Watershed Planning Project Recommendation </t>
  </si>
  <si>
    <t xml:space="preserve">Study to develop a BCR required for this project to become a FMP. Alt-6 Detention basin and channel widening near Strawberry road on left bank of Vince Bayou. </t>
  </si>
  <si>
    <t>120401040703,120402040100</t>
  </si>
  <si>
    <t>06000095,06000106</t>
  </si>
  <si>
    <t>061000329</t>
  </si>
  <si>
    <t>I100-WP06 for Vince Bayou Watershed Planning Project</t>
  </si>
  <si>
    <t>Study to develop a Benefit Cost Analysis needed for this project to become a FMP. Right-of-way acquisition, design, and construction of a stormwater detention basin and schannel widening near Strawberry Road and Young Street.</t>
  </si>
  <si>
    <t>061000330</t>
  </si>
  <si>
    <t>I100-WP10 for Vince Bayou Watershed Planning Project</t>
  </si>
  <si>
    <t>Study to develop a Benefit Cost Analysis needed for this project to become a FMP.  Right-of-way acquisition, Design, and Consruction of Two Stormwater Detention Basins near Westside Dr. and Westside. Ct.</t>
  </si>
  <si>
    <t>061000331</t>
  </si>
  <si>
    <t>I100-WP07 for Vince Bayou Watershed Planning Project</t>
  </si>
  <si>
    <t>Study to develop a BCR needed for this project to become a FMP. Pasadena (CIP) Street Lowering (Various). Right-of-way acuisition, Design, and Consruction of Stormwaters Detention Basin and construction of Culverts near Pasadena Blvd..</t>
  </si>
  <si>
    <t>061000332</t>
  </si>
  <si>
    <t>I100-WP11 for Vince Bayou Watershed Planning Project</t>
  </si>
  <si>
    <t>Study to develop a Benefit Cost Analysis needed for this project to become a FMP. Right-of-way acquisition, Design, and Consruction of Stormwater Detention Basins near Spencer Hwy. and Tulip Street.</t>
  </si>
  <si>
    <t>061000333</t>
  </si>
  <si>
    <t>Carpenters Planing Study Cloverleaf Community Flood Risk Reduction Project (Phase 1 and 2)</t>
  </si>
  <si>
    <t>Study to develop a BCR required for this project to become a FMP. Drainage system upgrade using combination of 9'x7' RCB spanning 3,000' and a 109 acre-feet detention facility providing drainage relief for this portion of the Cloverleaf Community.</t>
  </si>
  <si>
    <t>120401040702,120401040606</t>
  </si>
  <si>
    <t>06000094,06000092</t>
  </si>
  <si>
    <t>061000337</t>
  </si>
  <si>
    <t>Spring Creek Watershed Plan- Recommended Alternative for PA-02: J131-01-00 Storm Sewer improvements &amp; channel modification</t>
  </si>
  <si>
    <t>Study to develop a BCR required for this project to become a FMP. Channel modifications along J131-01 &amp; storm sewer improvements under Zion Road, reduces sheetflow by providing positive drainage outfall for ~200 ac of land.</t>
  </si>
  <si>
    <t>120401020209</t>
  </si>
  <si>
    <t>06000041</t>
  </si>
  <si>
    <t>061000338</t>
  </si>
  <si>
    <t>Willow Creek Watershed Plan- Immediate: Selective Clearing BNRR to Mouth</t>
  </si>
  <si>
    <t>Study to develop a BCR required for this project to become a FMP. Selective clearing from BNRR to mouth to increase riverine storm water conveyance, maintain tree canopy &amp; veg. diversity, minimize impact on riparian &amp; uplands habitats.</t>
  </si>
  <si>
    <t>120401020106,120401020105,120401020210</t>
  </si>
  <si>
    <t>06000031,06000030,06000042</t>
  </si>
  <si>
    <t>061000339</t>
  </si>
  <si>
    <t>Willow Creek Watershed Plan - M120 Detention/Preservation Site</t>
  </si>
  <si>
    <t>Study to develop BCA to become a FMP. Pursue purchase of  property for regional detention, floodplain preservation, &amp; habitat preservation.</t>
  </si>
  <si>
    <t>061000340</t>
  </si>
  <si>
    <t>Willow Creek Watershed Plan-  FM2920 Stormwater Detention Basin</t>
  </si>
  <si>
    <t>Study to develop a Benefit Cost Analysis needed for this project to become a FMP. Proposed 826 acre-feet detention basin located near FM 2920 crossing of Willow Creek.</t>
  </si>
  <si>
    <t>061000341</t>
  </si>
  <si>
    <t>Willow Creek Watershed Plan- Kuykendahl Basin</t>
  </si>
  <si>
    <t>Study to develop a Benefit Cost Analysis needed for this project to become a FMP. Proposed 727 acre-feet detention basin located near Kuykendahl Road crossing of Willow Creek.</t>
  </si>
  <si>
    <t>061000342</t>
  </si>
  <si>
    <t>Willow Creek Watershed Plan-  M121 Basin Stormwater Detention Basin</t>
  </si>
  <si>
    <t>Study to develop a Benefit Cost Analysis needed for this project to become a FMP. Proposed 1010 acre-feet detention basin located near M121 tributary</t>
  </si>
  <si>
    <t>061000343</t>
  </si>
  <si>
    <t>Galveston Bay Watershed Plan-  PA01 (N+6) Channel &amp; Crossing Improvements</t>
  </si>
  <si>
    <t>Develop BCA to become FMP. Channel deepening from N Broadway St to N Utah St, convert open channel segment to closed conduit w/ 8'x5' concrete boxes b/w N Utah St &amp; Main St, replace concrete pipe w/ dual 8'x5' concrete box culvert outfall to F212.</t>
  </si>
  <si>
    <t>06002834,06002493,00000310,00000020</t>
  </si>
  <si>
    <t>061000344</t>
  </si>
  <si>
    <t xml:space="preserve">White Oak Bayou - Design and Construction of Woodland Trails Stormwater Detention Basin </t>
  </si>
  <si>
    <t>Study to develop a BCA to become FMP. This stormwater detention basin compliments the federal project on White Oak Bayou which will reduce the risk of flooding for 1,800 structures in an Atlas 14 1% rainfall event.</t>
  </si>
  <si>
    <t>1204010201,1204010403,1204010406</t>
  </si>
  <si>
    <t>120401020104,120401020106,120401040601,120401040302,120401040604,120401040303,120401040304,120401040301</t>
  </si>
  <si>
    <t>06000029,06000031,06000087,06000079,06000090,06000080,06000081,06000078</t>
  </si>
  <si>
    <t>061000348</t>
  </si>
  <si>
    <t>Galveston Bay - Right-of-Way Acquisition, Design and Construction of General Drainage Improvements Along F216-00-00</t>
  </si>
  <si>
    <t>Study to develop a Benefit Cost Analysis needed for this project to become a FMP. The project could reduce the risk of flooding for more than 450 structures in an Atlas 14 1% rainfall event.</t>
  </si>
  <si>
    <t>061000349</t>
  </si>
  <si>
    <t>Galveston Bay - Right-of-Way Acquisition, Design and Construction of General Drainage Improvements Along F101-06-00</t>
  </si>
  <si>
    <t>Study to develop a Benefit Cost Analysis needed for this project to become a FMP. The project could reduce the risk of flooding for over 40 structures in an Atlas 14 1% rainfall event.</t>
  </si>
  <si>
    <t>061000350</t>
  </si>
  <si>
    <t>Galveston Bay Watershed Plan- PA04 (S+4) Crossing Improvements</t>
  </si>
  <si>
    <t>Recommended alternative directly addresses need for improved channel conveyance by increasing the size of the crossings at El Jardin Dr and Youpon Dr. to 8'x5' box culverts.</t>
  </si>
  <si>
    <t>06003512,06003307,00000310,00000020</t>
  </si>
  <si>
    <t>061000353</t>
  </si>
  <si>
    <t>TC Jester Detention Basin</t>
  </si>
  <si>
    <t>Study to develop a Benefit Cost Analysis needed for this project to become a FMP. Construction of a 25 acre stormwater detention basin.  Estimated construction cost is $10,047,910. This application is requesting $10,000,000.00 of these funds.</t>
  </si>
  <si>
    <t>1204010201,1204010202,1204010406</t>
  </si>
  <si>
    <t>120401020106,120401020107,120401020210,120401020212,120401020213,120401040601,120401040602,120401040603</t>
  </si>
  <si>
    <t>06000031,06000032,06000042,06000044,06000045,06000087,06000088,06000089</t>
  </si>
  <si>
    <t>061000389</t>
  </si>
  <si>
    <t>White Oak - SPT and E116 (E116-00-00) Improvements : PA01 thru PA-05</t>
  </si>
  <si>
    <t>Study to develop a Benefit Cost Analysis needed for these projects to become a FMP. The "E116-00-00 Flood Reduction Feasibilty Study" was completed in March 2022 and provides a decrease riverine and urban flood risk in the area.</t>
  </si>
  <si>
    <t>120401040302,120401040304</t>
  </si>
  <si>
    <t>06000079,06000081</t>
  </si>
  <si>
    <t>061000404</t>
  </si>
  <si>
    <t>Halls Bayou - Planning, Right-Of-Way, Design and Construction of Halls Bayou Flood Risk Management Project</t>
  </si>
  <si>
    <t>Develop BCA to become a FMP. Projects as part of the Halls Ahead Bond Implementation Program, could reduce the risk of flooding for more than 700 structures in an Atlas 14 1% rainfall event.</t>
  </si>
  <si>
    <t>120401040605,120401040601,120401040302,120401040604,120401040606,120401040304,120401040603,120401040701</t>
  </si>
  <si>
    <t>06000091,06000087,06000079,06000090,06000092,06000081,06000089,06000093</t>
  </si>
  <si>
    <t>Other</t>
  </si>
  <si>
    <t>061000318</t>
  </si>
  <si>
    <t xml:space="preserve">Fort Bend County Willow Fork Channel Improvements </t>
  </si>
  <si>
    <t>Further study and BCA development. Combo of 11 different channel improvements were identified along Willow Fork and its tributaries as part of the Fort Bend County Master Drainage Plan that, when combined, will provide a 100-year level of service.</t>
  </si>
  <si>
    <t>1204010401,1204010404</t>
  </si>
  <si>
    <t>120401040102,120401040103,120401040104,120401040101,120401040401</t>
  </si>
  <si>
    <t>06000072,06000073,06000074,06000071,06000083</t>
  </si>
  <si>
    <t>00002044</t>
  </si>
  <si>
    <t>00000024,00000009,00000310,00000020</t>
  </si>
  <si>
    <t>061000322</t>
  </si>
  <si>
    <t>Jackson Bayou Watershed Planning Project- Immediate: First Street Crossing Mitigation</t>
  </si>
  <si>
    <t>Develop BCA to become a FMP. Priority ranking #1, 0.5 mile upstream along Jackson Bayou identified to fulfill mitigation efforts. Culvert upsizing recommended at First Street. Improvements produced need or 32.4 acre-feet of detention.</t>
  </si>
  <si>
    <t>061000320</t>
  </si>
  <si>
    <t>Warren Lake and Dam Retrofit</t>
  </si>
  <si>
    <t>Further study of Retrofit dam to improve detention of flood &amp; storm water runoff, new 137.3 ac wetlands complex added of storage capacity &amp; conversion of fields to tallgrass prairies to add approximately 856 ac-ft of total storage during rainfall events.</t>
  </si>
  <si>
    <t>120401020103</t>
  </si>
  <si>
    <t>06000028</t>
  </si>
  <si>
    <t>Project Barker</t>
  </si>
  <si>
    <t>061000356</t>
  </si>
  <si>
    <t>Westador Stormwater Detention Basin</t>
  </si>
  <si>
    <t xml:space="preserve">Study to develop a BCR required for this project to become a FMP. The Westador Detention Basin is a proposed detention mitigation project within the Cypress Creek Watershed and located south of Cypress Creek and east and west of K141‐00‐00. </t>
  </si>
  <si>
    <t>061000357</t>
  </si>
  <si>
    <t>Cypress Creek Implementation Plan - Various Detention Sites</t>
  </si>
  <si>
    <t>Study to develop a Benefit Cost Analysis needed for this project to become a FMP. The Implementation Plan identifies that approximately 14,000 acre-feet of stormwater detention volume across 23 different sites reducing flooding risk.</t>
  </si>
  <si>
    <t>1204010201,1204010202,1204010402,1204010403,1204010406</t>
  </si>
  <si>
    <t>120401020104,120401020106,120401020105,120401020107,120401020210,120401020213,120401040601,120401040201,120401040301,120401040602</t>
  </si>
  <si>
    <t>06000029,06000031,06000030,06000032,06000042,06000045,06000087,06000075,06000078,06000088</t>
  </si>
  <si>
    <t>061000358</t>
  </si>
  <si>
    <t>Little Cypress Creek - Management, Right-of-Way Acquisition, Design and Construction of the Little Cypress Creek Frontier Program</t>
  </si>
  <si>
    <t>Study to develop a BCR required for this to become a FMP. The Little Cypress Creek Frontier program will reduce the risk of flooding and include detention, sediment control, vegetation management and other flood risk management projects.</t>
  </si>
  <si>
    <t>120401020103,120401020104,120401020106,120401020101,120401020105,120401020205,120401020210</t>
  </si>
  <si>
    <t>06000028,06000029,06000031,06000026,06000030,06000037,06000042</t>
  </si>
  <si>
    <t>061000360</t>
  </si>
  <si>
    <t>G103-38-00 (Kingwood Diversion Ditch)</t>
  </si>
  <si>
    <t>Study to develop a BCR required for this to become a FMP. Improvements to the Kingwood Diversion Ditch include channel modifications, flow diversion from Bens Branch, bridge replacements, as well as a new outfall to the West Fork San Jacinto River.</t>
  </si>
  <si>
    <t>Harris, Montgomery</t>
  </si>
  <si>
    <t>1204010104,1204010105,1204010301,1204010304</t>
  </si>
  <si>
    <t>120401010501,120401010404,120401030110,120401030402</t>
  </si>
  <si>
    <t>06000024,06000023,06000055,06000070</t>
  </si>
  <si>
    <t>061000361</t>
  </si>
  <si>
    <t>G103-80-03.1B (Taylor Gully)</t>
  </si>
  <si>
    <t>Study to develop a BCR required for this project to become a FMP. Improvements to Taylor Gully include two miles of channel conveyance improvements to the upper limits of Taylor Gully and a concrete low flow structure.</t>
  </si>
  <si>
    <t>061000362</t>
  </si>
  <si>
    <t>Goose Creek O119-00-00-P001 (Alt 2A1)</t>
  </si>
  <si>
    <t>Study to develop a Benefit Cost Analysis needed for this project to become a FMP. Construction of channel modifications and in-line stormwater detention along O119 to facilitate Harris County drainage improvements in Highland Mobile Estates.</t>
  </si>
  <si>
    <t>1204010407,1204020301</t>
  </si>
  <si>
    <t>120401040705,120402030104</t>
  </si>
  <si>
    <t>06000097,06000102</t>
  </si>
  <si>
    <t>061000363</t>
  </si>
  <si>
    <t>Goose Creek O119-00-00-P001 (Alt 2A3)</t>
  </si>
  <si>
    <t>Study to develop a Benefit Cost Analysis needed for this project to become a FMP. Secondary option for the recommended alternative with less benefits and project cost.</t>
  </si>
  <si>
    <t>061000364</t>
  </si>
  <si>
    <t>Sims Bayou C116 Storm Sewer Improvement (C116-00-00-P001) From Mykawa Road to Telephone Road</t>
  </si>
  <si>
    <t>Study to develop a BCR required for this project to become a FMP. To increase the system C116 capacity, Alternative 1 adds capacity to the C116 system trunkline through an additional parallel trunkline, from Dixie Drive to Sims Bayou.</t>
  </si>
  <si>
    <t>1204010405</t>
  </si>
  <si>
    <t>120401040502</t>
  </si>
  <si>
    <t>06000086</t>
  </si>
  <si>
    <t>061000366</t>
  </si>
  <si>
    <t>Greens Bayou - Planning, Right-of-Way Acquisition, Design and Construction of Channel Conveyance Improvements along P138-01-01</t>
  </si>
  <si>
    <t>Study to develop a Benefit Cost Analysis needed for this project to become a FMP. Potential federal funded project, the risk of flooding could be reduced for approximately 100 structures in a pre-Atlas 1% rainfall event.</t>
  </si>
  <si>
    <t>120401040604,120401040603</t>
  </si>
  <si>
    <t>06000090,06000089</t>
  </si>
  <si>
    <t>061000367</t>
  </si>
  <si>
    <t>Cedar Bayou Flood Risk Reduction Study - Property Acquisition in segment from SH 146 to Galveston Bay  along Cedar Bayou (Q100-00-00)</t>
  </si>
  <si>
    <t>Study to develop a Benefit Cost Analysis needed for this project to become a FMP. Property Acquisition in segment from SH 146 to Galveston Bay  along Cedar Bayou.</t>
  </si>
  <si>
    <t>120401040706,120402030106,120402030200</t>
  </si>
  <si>
    <t>06000098,06000104,06000105</t>
  </si>
  <si>
    <t>00000020,00000310,00000013</t>
  </si>
  <si>
    <t>061000369</t>
  </si>
  <si>
    <t>Cedar Bayou Flood Risk Reduction Study - Property Acquisition in segment from IH-10 to SH 146 along Cedar Bayou (Q100-00-00)</t>
  </si>
  <si>
    <t>Study to develop a Benefit Cost Analysis needed for this project to become a FMP. Property Acquisition in segment from IH-10 to SH 146 along Cedar Bayou.</t>
  </si>
  <si>
    <t>120401040706,120402030105,120402030106</t>
  </si>
  <si>
    <t>06000098,06000103,06000104</t>
  </si>
  <si>
    <t>061000370</t>
  </si>
  <si>
    <t>061000373</t>
  </si>
  <si>
    <t>City of Tomball Drainage Improvements</t>
  </si>
  <si>
    <t>Study to the the drainage project for the City of Tomball is comprised of building storm sewer systems and channel conveyance to enable flood waters to be removed from portions of the city bounded by Holderrieth Road, SH 249, UPRR, and FM 2920.</t>
  </si>
  <si>
    <t>061000384</t>
  </si>
  <si>
    <t>Houston Braeburn Glen Area Flood Mitigation</t>
  </si>
  <si>
    <t xml:space="preserve">Further study of a proposed project that includes upsizing of the existing stormwater system with new pipes, inlets, and manholes. Lateral improvement will be completed on Mahoning Drive and Valley View Lane. </t>
  </si>
  <si>
    <t>Houston Drainage Studies</t>
  </si>
  <si>
    <t>061000388</t>
  </si>
  <si>
    <t>Roman Forest Boulevard Bridge Elevation Project</t>
  </si>
  <si>
    <t xml:space="preserve">Further study of this project involves the study, design, elevation, and replacement of the Roman Forest Boulevard Bridge to mitigate the risks associated with storms and riverine flooding for the approximate 15,000 citizens. </t>
  </si>
  <si>
    <t>061000051</t>
  </si>
  <si>
    <t>West Fork Chocolate (Cold River Ranch Ditch)</t>
  </si>
  <si>
    <t xml:space="preserve">Further study of proposed channel modifications to Cold River Ranch Ditch included in the City of Pearland master drainage plan to include Atlas 14 rainfall. </t>
  </si>
  <si>
    <t>00001801,00000003,06002985,06002993</t>
  </si>
  <si>
    <t>061000052</t>
  </si>
  <si>
    <t>West Fork Chocolate Bayou</t>
  </si>
  <si>
    <t>00000003,06002985,00000009,06002537,06002993,00001801</t>
  </si>
  <si>
    <t>061000053</t>
  </si>
  <si>
    <t>East Chocolate Bayou (E103-00-00)</t>
  </si>
  <si>
    <t>061000170</t>
  </si>
  <si>
    <t>Spring Gully Watershed Planning Project Near-Term Planning Project: PA03</t>
  </si>
  <si>
    <t xml:space="preserve">Planning-level study needed. PA03 warrented a near-term solution. Flooded structures centralized in a short reach along the main stem O200-00-00 which the best strategy for the area was buyouts. </t>
  </si>
  <si>
    <t>120401040705,120401040706,120401040704,120402030105,120402030104,120402030106</t>
  </si>
  <si>
    <t>06000097,06000098,06000096,06000103,06000102,06000104</t>
  </si>
  <si>
    <t>06003343,00000310,00000020</t>
  </si>
  <si>
    <t>Spring Gully Watershed Plan</t>
  </si>
  <si>
    <t>061000171</t>
  </si>
  <si>
    <t>Spring Gully Watershed Planning Project- Near-term Planning Project: PA04</t>
  </si>
  <si>
    <t>Planning-level study. Lowering WSEL in O203-00-00 to around 29 feet MSL. Most benefit when O203-00-00 and Thompson Road Storm drain system upsized, but Thompson road storm drain design.</t>
  </si>
  <si>
    <t>061000172</t>
  </si>
  <si>
    <t>Spring Gully Watershed Planning Project - Near-term planning project: PA05</t>
  </si>
  <si>
    <t>Planning-level study needed. A stormwater detention basin near confluence of O207-00-00 nd O207-01-00 reuired to lower WSEl . Reduced flow rates only after relief channel in Phase III implemented.</t>
  </si>
  <si>
    <t>061000312</t>
  </si>
  <si>
    <t xml:space="preserve">Addicks Reservoir -  Right-Of-Way Acquisition, Design and Construction of a Stormwater Detention Basin on South Mayde Creek </t>
  </si>
  <si>
    <t>Develop BCA to become a FMP. This project is part of the South Mayde Creek Plan that could reduce the risk of flooding for more than 70 homes and reduce the rainfall event by more than 340 acres in a pre-Atlas 1% rainfall event.</t>
  </si>
  <si>
    <t>120401040102,120401040202,120401040104,120401040203,120401040303</t>
  </si>
  <si>
    <t>06000072,06000076,06000074,06000077,06000080</t>
  </si>
  <si>
    <t>061000313</t>
  </si>
  <si>
    <t>Addicks Reservoir - Design and Construction of Dinner Creek Stormwater Detention Basin</t>
  </si>
  <si>
    <t>Develop BCA to become a FMP. Project would provide additional stormwater detention in support of flood damage reduction and could reduce the risk of flooding for approximately 30 multi-family structures in Addicks Reservoir Watershed.</t>
  </si>
  <si>
    <t>061000315</t>
  </si>
  <si>
    <t xml:space="preserve">Addicks Reservoir - Right-Of-Way Acquisition, Design and Construction of Channel Conveyance Improvements, Bypass Channel, and Detention for South Mayde Creek </t>
  </si>
  <si>
    <t>Study to develop a BCA needed for this project to become a FMP.  This project is part of the South Mayde Creek Plan to reduce flood risk 70+ homes &amp; reduce the rainfall event by 340+ acres in pre-Atlas 1% rainfall event.</t>
  </si>
  <si>
    <t>120401040202,120401040104,120401040203,120401040303</t>
  </si>
  <si>
    <t>06000076,06000074,06000077,06000080</t>
  </si>
  <si>
    <t>061000403</t>
  </si>
  <si>
    <t>Halls Bayou - Design and Construction of a Stormwater Detention Basin in Brock Park</t>
  </si>
  <si>
    <t>Develop BCA to become a FMP. Provides additional stormwater detention in support of flood damage reduction as part of the Halls Ahead Bond Implementation Program. The project will be a partnership with the City of Houston.</t>
  </si>
  <si>
    <t>061000407</t>
  </si>
  <si>
    <t>Luce Bayou (Z100-00-00-P026) Bypass Channel</t>
  </si>
  <si>
    <t>Study to develop a Benefit Cost Analysis needed for this project to become a FMP. Construction of channel bypass to provide Luce main stem upstream and local overland flooding relief.</t>
  </si>
  <si>
    <t>12040101,12040103,12040203,12040104</t>
  </si>
  <si>
    <t>1204010105,1204010302,1204010304,1204010407,1204020301</t>
  </si>
  <si>
    <t>120401010502,120401010501,120401030205,120401030402,120401040704,120402030103,120402030102</t>
  </si>
  <si>
    <t>06000025,06000024,06000060,06000070,06000096,06000101,06000100</t>
  </si>
  <si>
    <t>061000412</t>
  </si>
  <si>
    <t>Luce Bayou (Z100-00-00-P026) Channelization</t>
  </si>
  <si>
    <t>Study to develop a Benefit Cost Analysis needed for this project to become a FMP. Construction of channel improvements along Luce main stem.</t>
  </si>
  <si>
    <t>061000413</t>
  </si>
  <si>
    <t>Luce Bayou (Z100-00-00-P026) Upstream Detention</t>
  </si>
  <si>
    <t>Study to develop a Benefit Cost Analysis needed for this project to become a FMP. Construction of regional detention upstream of Luce Bayou, including acquiring open land north of Harris County.</t>
  </si>
  <si>
    <t>061000416</t>
  </si>
  <si>
    <t>Study to develop a Benefit Cost Analysis needed for this project to become a FMP. FIF application information unavailable.</t>
  </si>
  <si>
    <t>061000417</t>
  </si>
  <si>
    <t>061000418</t>
  </si>
  <si>
    <t>061000419</t>
  </si>
  <si>
    <t>Houston Huntington Village Area Flood Mitigation</t>
  </si>
  <si>
    <t>Further study to develop this project into a FMP.  The project includes storm sewer improvements in the Huntington Village neighborhood to reduce structural flood loss.</t>
  </si>
  <si>
    <t>061000434</t>
  </si>
  <si>
    <t>061000435</t>
  </si>
  <si>
    <t>City of Southside Place - Auden Street Drainage Improvement Project</t>
  </si>
  <si>
    <t xml:space="preserve">This project provides for design and construction of a new stormwater conveyance system for the City of Southside Place, that will have the capacity to covey a City standard storm event (2-year storm). </t>
  </si>
  <si>
    <t>06003305,00000310,00000020</t>
  </si>
  <si>
    <t>061000441</t>
  </si>
  <si>
    <t>Addicks Reservoir - Design and Construction of a Bridge Replacement for Greenhouse Road at South Mayde Creek</t>
  </si>
  <si>
    <t>061000405</t>
  </si>
  <si>
    <t>Hunting Bayou Wallisville Outfall (H103-00-00) - Gellhorn Drive</t>
  </si>
  <si>
    <t>Study to develop a Benefit Cost Analysis needed for this project to become a FMP. Diversion channel expansion for Gellhorn Drive flood reductions.</t>
  </si>
  <si>
    <t>120401040606,120401040701</t>
  </si>
  <si>
    <t>06000092,06000093</t>
  </si>
  <si>
    <t>061000406</t>
  </si>
  <si>
    <t>Hunting Bayou Wallisville Outfall (H103-00-00) - Denver Harbor</t>
  </si>
  <si>
    <t>Study to develop a Benefit Cost Analysis needed for this project to become a FMP. Denver Harbor drainage system improvements.</t>
  </si>
  <si>
    <t>061000414</t>
  </si>
  <si>
    <t>061000415</t>
  </si>
  <si>
    <t>City of Manvel Rogers Rd. Drainage Improvements</t>
  </si>
  <si>
    <t xml:space="preserve">Further study Alleluia Trail Rogers Rd &amp; All Roads off Rogers drainage improvements, including storm sewer rehabilitation and ditch deepening. </t>
  </si>
  <si>
    <t>1204020401,1204020404,1204020402</t>
  </si>
  <si>
    <t>120402040100,120402040400,120402040200</t>
  </si>
  <si>
    <t>06000106,06000107,06000109</t>
  </si>
  <si>
    <t>061000420</t>
  </si>
  <si>
    <t>Clear Creek - Friendswood Detention Basin Near FM 528 in Friendswood</t>
  </si>
  <si>
    <t>Develop BCA to become a FMP. ROW acquisition, design, and construction of 39 ac stormwater detention basin holding 500 ac-ft near FM 528; Additional solutions include buyouts, improving channel conveyance, and tributary detention.</t>
  </si>
  <si>
    <t>Brazoria,Galveston,Harris</t>
  </si>
  <si>
    <t>061000421</t>
  </si>
  <si>
    <t>Clear Creek - Hughes Stormwater Detention (SWD) Basin</t>
  </si>
  <si>
    <t>Develop BCA to become a FMP. Project identified in Clear Creek Federal Project study for flood management but did not yield high enough cost benefit ratio for Federal funding. Therefore, Harris and Galveston County have decided to fund this effort.</t>
  </si>
  <si>
    <t>Brazoria,Galveston,Fort Bend,Harris</t>
  </si>
  <si>
    <t>1204010405,1204020401,1204020402,1204020404</t>
  </si>
  <si>
    <t>120401040502,120401040501,120402040200,120402040400,120402040100</t>
  </si>
  <si>
    <t>06000086,06000085,06000107,06000109,06000106</t>
  </si>
  <si>
    <t>061000422</t>
  </si>
  <si>
    <t>Danubina Drainage Improvements</t>
  </si>
  <si>
    <t xml:space="preserve">Study to further this project and develop an FMP. This CDBG-MIT application involves the installation and construction of various storm sewer and detention infrastructure. </t>
  </si>
  <si>
    <t>120402030106</t>
  </si>
  <si>
    <t>06000104</t>
  </si>
  <si>
    <t>061000423</t>
  </si>
  <si>
    <t>North Alexander Drainage Improvements</t>
  </si>
  <si>
    <t xml:space="preserve">Further study to develop this project into a FMP. This CDBG-MIT application involves the installation and construction of various storm sewer and detention infrastructure. </t>
  </si>
  <si>
    <t>061000424</t>
  </si>
  <si>
    <t>City of Friendswood - Clear Creek Inline &amp; Offline Detention - Bay Area Blvd. Phase I</t>
  </si>
  <si>
    <t xml:space="preserve">This project, which includes terraces, detention, and a trail network, will reduce water surface elevations on Clear Creek within the City of Friendswood and will make the Blackhawk Wastewater Treatment Facility more resilient. </t>
  </si>
  <si>
    <t>061000426</t>
  </si>
  <si>
    <t>Sawdust Road Bridge Elevation Project</t>
  </si>
  <si>
    <t xml:space="preserve">Further study of study, design, elevation, &amp; replacement of the Sawdust Road Bridge to mitigate the risks associated with riverine flooding for the citizens residing in the Grogan’s Point and Timberlakes - Timberridge Subdivisions. </t>
  </si>
  <si>
    <t xml:space="preserve">Harris, Montgomery </t>
  </si>
  <si>
    <t>1204010104,1204010201,1204010202</t>
  </si>
  <si>
    <t>120401010402,120401010404,120401020107,120401020210,120401020209,120401020211,120401020212,120401020213</t>
  </si>
  <si>
    <t>06000021,06000023,06000032,06000042,06000041,06000043,06000044,06000045</t>
  </si>
  <si>
    <t>061000427</t>
  </si>
  <si>
    <t>061000431</t>
  </si>
  <si>
    <t>061000432</t>
  </si>
  <si>
    <t>061000433</t>
  </si>
  <si>
    <t>Spring Shadows South</t>
  </si>
  <si>
    <t>Study to develop a Benefit Cost Analysis needed to elevate project to a FMP. FIF application information unavailable.</t>
  </si>
  <si>
    <t>061000436</t>
  </si>
  <si>
    <t>Unincorporated Areas of Bacliff and San Leon Roadside Ditches &amp; Driveway Culverts Improvements</t>
  </si>
  <si>
    <t xml:space="preserve">Further study of this unfunded CDBG-MIT project consists of various areas of roadside ditch and driveway culvert improvements in Bacliff and San Leon. </t>
  </si>
  <si>
    <t>00000013,00000006</t>
  </si>
  <si>
    <t>061000437</t>
  </si>
  <si>
    <t>Evaluation of Dredging of Channels that Exit Into Lake Houston</t>
  </si>
  <si>
    <t>Harris,Liberty,Montgomery</t>
  </si>
  <si>
    <t>1204010105,1204010302,1204010304</t>
  </si>
  <si>
    <t>120401010501,120401030205,120401030402</t>
  </si>
  <si>
    <t>06000024,06000060,06000070</t>
  </si>
  <si>
    <t>061000371</t>
  </si>
  <si>
    <t>061000372</t>
  </si>
  <si>
    <t>061000402</t>
  </si>
  <si>
    <t>Carpenters (N100-00-00) Channel Improvements</t>
  </si>
  <si>
    <t>Study to develop a Cost Benefit Analysis and elevate the project to a FMP. Carpenters Bayou (N100-00-00) channel conveyance improvements.</t>
  </si>
  <si>
    <t>120401040702</t>
  </si>
  <si>
    <t>06000094</t>
  </si>
  <si>
    <t>061000014</t>
  </si>
  <si>
    <t>061000440</t>
  </si>
  <si>
    <t xml:space="preserve">Brazoria County Camp Mohawk County Park Development </t>
  </si>
  <si>
    <t>Develop Benefit Cost Analysis in support of the purchase of approximately 160 acres of flood prone area adjacent to and surrounding Camp Mohawk County Park to be used as open space.</t>
  </si>
  <si>
    <t>06003026,06002790,00003020,06002985,00000003,00001801,06003027,06003145,06002993,06003024</t>
  </si>
  <si>
    <t>061000438</t>
  </si>
  <si>
    <t>Greens Bayou, Jackson Bayou, White Oak Bayou, Cypress Creek and San Jacinto River Areas Subdivision Drainage Mitigation Project</t>
  </si>
  <si>
    <t>This proposed solution recommends establishing positive drainage and clear flow lines, which are expected to reduce the water surface elevation in the subdivision to mitigate the structural flood risk for all 1,445 beneficiaries.</t>
  </si>
  <si>
    <t>Harris,Waller,Liberty,Montgomery</t>
  </si>
  <si>
    <t>1204010103,1204010104,1204010105,1204010201,1204010202,1204010301,1204010302,1204010304,1204010401,1204010402,1204010403,1204010405,1204010406,1204010407,1204020301,1204020302,1204020401</t>
  </si>
  <si>
    <t>061000439</t>
  </si>
  <si>
    <t>Greens Bayou, White Oak Bayou and Cypress Creek Areas Subdivision Drainage Mitigation Project</t>
  </si>
  <si>
    <t>The mitigation solution for Cypress Creek Estates is to install storm sewer systems along West Shadow Lake, East Shadow Lake, North Shadow Lake and Winding Lane, to re-grade the roadside ditches, and to remove and replace of all driveways and culverts.</t>
  </si>
  <si>
    <t>1204010105,1204010201,1204010202,1204010401,1204010402,1204010403,1204010406,1204010407</t>
  </si>
  <si>
    <t>06002853,06002795,06002457,06003390,00000020,06003302,06003597,00000310</t>
  </si>
  <si>
    <t>061000464</t>
  </si>
  <si>
    <t>Carpenters Bayou (West Acres, Shadowglen &amp; Old River Terrace Neighborhood)</t>
  </si>
  <si>
    <t xml:space="preserve">Further study to develop a BCA required to elevate project to FMP. The project is to reduce flooding in the Problem Area #5 identified by the Carpenters Bayou Watershed Planning Project Report, 2021. </t>
  </si>
  <si>
    <t>06000037,06002536,06003030,06002638</t>
  </si>
  <si>
    <t>061000465</t>
  </si>
  <si>
    <t>Catalina</t>
  </si>
  <si>
    <t>Study to develop a BCR and other data needed to elevate project to a FMP. FIF application information unavailable.</t>
  </si>
  <si>
    <t>061000468</t>
  </si>
  <si>
    <t>061000467</t>
  </si>
  <si>
    <t>061000469</t>
  </si>
  <si>
    <t>061000466</t>
  </si>
  <si>
    <t>061000365</t>
  </si>
  <si>
    <t>1204010105,1204010201,1204010403,1204010406,1204010407</t>
  </si>
  <si>
    <t>061000345</t>
  </si>
  <si>
    <t>Spring Gully Watershed Planning Project- Project Phase I</t>
  </si>
  <si>
    <t>Develop BCA to become FMP. 108 ac-ft of detention storage. Basin A w/ 95 ac-ft of storage, 10 ft depth, inlet &amp; outlet structures consist of 2 culverts &amp; weir. Basin B w/ 13 ac-ft of storage, 10.5 ft depth, inlet &amp; outlet structures of culvert &amp; weir.</t>
  </si>
  <si>
    <t>120401040705</t>
  </si>
  <si>
    <t>06000097</t>
  </si>
  <si>
    <t>061000346</t>
  </si>
  <si>
    <t>Spring Gully Watershed Planning Project- Project Phase II</t>
  </si>
  <si>
    <t xml:space="preserve">Develop BCA to become a FMP. Independent of Phase I. Phase II includes addition of Stormwater Detention Basin C, with 80 acre-feet of detention storage w/ 9.5 ft depth &amp; an inlet and outlet structure consisting of a culvert &amp; a weir. </t>
  </si>
  <si>
    <t>061000347</t>
  </si>
  <si>
    <t>Spring Gully Watershed Planning Project- Project Phase III</t>
  </si>
  <si>
    <t>Complete after phase 2. Relief channel intended to outfall into Stormwater Detention Basin C from Phase 2. Consists of trapezoidal 850-foot channel with cross culvert sized at Prairie Street. Upstream of the culvert crossing, the bottom width is 8 ft.</t>
  </si>
  <si>
    <t>061000185</t>
  </si>
  <si>
    <t>Upper Greens Bayou Watershed Study</t>
  </si>
  <si>
    <t>120401010502,120401010501,120401020106,120401020107,120401040605,120401040703,120401040601,120401040702,120401040302,120401040604,120401040606,120401040304,120401040301,120401040602,120401040603,120401040701</t>
  </si>
  <si>
    <t>06000025,06000024,06000031,06000032,06000091,06000095,06000087,06000094,06000079,06000090,06000092,06000081,06000078,06000088,06000089,06000093</t>
  </si>
  <si>
    <t>06002853,06003597,00000310,00000020</t>
  </si>
  <si>
    <t>061000376</t>
  </si>
  <si>
    <t>Cedar Bayou Flood Risk Reduction Study - Channel improvements from US 90 to FM 1942</t>
  </si>
  <si>
    <t>Study to develop a Benefit Cost Analysis needed for this project to become a FMP. Cedar Bayou channel improvements from US 90 to FM 1942.</t>
  </si>
  <si>
    <t>12040103,12040203,12040104</t>
  </si>
  <si>
    <t>1204010302,1204010407,1204020301,1204020302</t>
  </si>
  <si>
    <t>120401030205,120401040705,120401040706,120401040704,120402030105,120402030104,120402030103,120402030106,120402030102,120402030200,120402030101</t>
  </si>
  <si>
    <t>06000060,06000097,06000098,06000096,06000103,06000102,06000101,06000104,06000100,06000105,06000099</t>
  </si>
  <si>
    <t>00000033,00000310,00000020</t>
  </si>
  <si>
    <t>061000379</t>
  </si>
  <si>
    <t>Cedar Bayou Flood Risk Reduction Study - Channel improvements upstream of FM 1960</t>
  </si>
  <si>
    <t>Study to develop a Benefit Cost Analysis needed for this project to become a FMP. Cedar Bayou channel improvements upstream of FM 1960.</t>
  </si>
  <si>
    <t>Harris,Liberty</t>
  </si>
  <si>
    <t>061000394</t>
  </si>
  <si>
    <t xml:space="preserve">Halls Bayou - Right-Of-Way, Design, and Construction of Channel Conveyance Improvements on P118-08-00 </t>
  </si>
  <si>
    <t>Develop BCA to become a FMP. This project could reduce the risk of flooding for over 210 structures and could reduce the 1% rainfall event for over 170 acres as part of the Halls Ahead Bond Implementation Program.</t>
  </si>
  <si>
    <t>061000395</t>
  </si>
  <si>
    <t xml:space="preserve">Halls Bayou - Right-Of-Way, Design, and Construction of Channel Conveyance Improvements on P118-09-00 </t>
  </si>
  <si>
    <t xml:space="preserve">Develop BCA to become a FMP. Part of Halls Ahead Bond Implementation Program, could reduce flood risk for 80+ structures, size of the floodplain by 30+ acres &amp; frequency &amp; duration of flooding of up to half a mile of roadway in an Atlas 14 1% event.  </t>
  </si>
  <si>
    <t>061000396</t>
  </si>
  <si>
    <t xml:space="preserve">Halls Bayou - Right-Of-Way, Design, and Construction of Channel Conveyance Improvements on P118-21-00 </t>
  </si>
  <si>
    <t>Develop BCA to become a FMP. Part of Halls Ahead Bond Implementation Program, could reduce flood risk for 60+ structures &amp; floodplain by 40+ acres.</t>
  </si>
  <si>
    <t>061000397</t>
  </si>
  <si>
    <t>Halls Bayou - Right-Of-Way, Design, and Construction of Channel Conveyance Improvements on P118-23-00 and P118-23-02</t>
  </si>
  <si>
    <t>Study to develop a BCR required for this project to become a FMP. Would reduce flood risk for 300+ structures, size of floodplain by 200+ acres. Facilitates future drainage projects by more outfall depth.</t>
  </si>
  <si>
    <t>061000399</t>
  </si>
  <si>
    <t>Halls Bayou - Right-Of-Way, Design, and Construction of Channel Conveyance Improvements on P118-25-00 &amp; P118-25-01</t>
  </si>
  <si>
    <t>Study to develop a BCR required for this project to become a FMP. Would reduce flood risk for 600+ structures. Facilitates future drainage projects by more outfall depth.</t>
  </si>
  <si>
    <t>061000400</t>
  </si>
  <si>
    <t xml:space="preserve">Halls Bayou - Right-Of-Way, Design, and Construction of Channel Conveyance Improvements on P118-27-00 </t>
  </si>
  <si>
    <t>Develop BCA to become a FMP. Part of Halls Ahead Bond Implementation Program, could reduce flood risk for 150+ structures, size of the floodplain by 90+ acres, frequency &amp; duration of flooding along 3+ miles of roadway in an Atlas 14 1% event.</t>
  </si>
  <si>
    <t>061000032</t>
  </si>
  <si>
    <t>Willow Creek - Overflow Flooding between Burlington Northern Railroad and Hufsmith-Kohrville Rd. Analysis</t>
  </si>
  <si>
    <t>Study recommended as part of the Willow Creek Watershed Plan.  Planning level analysis to identify flooding reasons in Northern Point subdivison south of SH99.</t>
  </si>
  <si>
    <t>120401020106,120401020105,120401020205,120401020210,120401020209,120401020212</t>
  </si>
  <si>
    <t>06000031,06000030,06000037,06000042,06000041,06000044</t>
  </si>
  <si>
    <t>06002853,06003302,00000310,00000020</t>
  </si>
  <si>
    <t>Willow Creek Watershed Plan</t>
  </si>
  <si>
    <t>061000176</t>
  </si>
  <si>
    <t>Lower Greens Feasibility Study</t>
  </si>
  <si>
    <t>Feasibility study will identify the existing causes of flooding and solutions to reduce the risk of flooding in the lower stretch of Greens Bayou. Potential solutions channel conveyance improvements, detention, or bridge adjustments or replacements.</t>
  </si>
  <si>
    <t>Lower Greens Bayou Feasibility Report</t>
  </si>
  <si>
    <t>061000425</t>
  </si>
  <si>
    <t xml:space="preserve">Clear Creek - Rehabilitation of the A214-00-00 channel to Restore Channel Conveyance Capacity </t>
  </si>
  <si>
    <t>Major maintenance to restore channel conveyance capacity.</t>
  </si>
  <si>
    <t>06002833,00000310,00000020</t>
  </si>
  <si>
    <t>061000022</t>
  </si>
  <si>
    <t>Lower Clear Creek &amp; Dickinson Bayou Flood Mitigation Plan - Dickinson Bayou Alternative 2</t>
  </si>
  <si>
    <t>Further refine the DB Alt. 2 in the LCCDBFMP (2021), including alternative analysis to McFarland Detention Basin, W Cemetery Rd. Detention Basin, Hilton Detention Basin, Magnolia Bayou &amp; Borden Gully Detention Basins, and Diversion Channel at Desel Dr..</t>
  </si>
  <si>
    <t>Brazoria,Galveston,Fort Bend,Chambers,Harris</t>
  </si>
  <si>
    <t>Lower Clear Creek &amp; Dickinson Bayou Flood Mitigation Plan</t>
  </si>
  <si>
    <t>061000334</t>
  </si>
  <si>
    <t>Goose Creek Flood Risk Reduction Phase 1</t>
  </si>
  <si>
    <t>Study to develop a Benefit Cost Analysis needed for this project to become a FMP. 1.65 Miles of Goose Creek channel modifications (Downstream of IH 10) with proposed detention basin "J".</t>
  </si>
  <si>
    <t>120401040705,120401040706</t>
  </si>
  <si>
    <t>06000097,06000098</t>
  </si>
  <si>
    <t>061000335</t>
  </si>
  <si>
    <t>Goose Creek Flood Risk Reduction Phase 2</t>
  </si>
  <si>
    <t>Study to develop a Benefit Cost Analysis needed for this project to become a FMP. 1.00 Mile of Goose Creek channel modifications (Upstream of IH 10) with proposed detention basin "I".</t>
  </si>
  <si>
    <t>061000336</t>
  </si>
  <si>
    <t>Goose Creek Flood Risk Reduction Phase 3</t>
  </si>
  <si>
    <t>Study to develop a Benefit Cost Analysis needed for this project to become a FMP.  Local channel modifications and crossing structure improvements along O117 and O126.</t>
  </si>
  <si>
    <t>061000374</t>
  </si>
  <si>
    <t>Cedar Bayou Flood Risk Reduction Study - Q128 Channel Improvements from US 90 to Q100 Confluence</t>
  </si>
  <si>
    <t>Study to develop a Benefit Cost Analysis needed for this project to become a FMP. Cedar Bayou channel improvements from US 90 to Confluence with Q100.</t>
  </si>
  <si>
    <t>061000368</t>
  </si>
  <si>
    <t>Cedar Bayou Flood Risk Reduction Study - Q130 Channel improvements from Crosby Eastgate Rd. to Q100 Confluence</t>
  </si>
  <si>
    <t>Study to develop a Benefit Cost Analysis needed for this project to become a FMP. Cedar Bayou Flood Risk Reduction Study - Q130 Channel improvements from Crosby Eastgate Rd. to Q100 Confluence.</t>
  </si>
  <si>
    <t>00000033,00000020,00000310,00000013</t>
  </si>
  <si>
    <t>061000354</t>
  </si>
  <si>
    <t>Halls Bayou Drainage Project Bond C-26 &amp; C-27</t>
  </si>
  <si>
    <t>061000355</t>
  </si>
  <si>
    <t>Halls Bayou Drainage Project Bond C-01</t>
  </si>
  <si>
    <t>061000125</t>
  </si>
  <si>
    <t>Update Liberty County Floodplain Maps</t>
  </si>
  <si>
    <t>Study by participating jurisdictions to update floodway maps throughout the county, including Atlas 14 rainfalls.</t>
  </si>
  <si>
    <t>Chambers,Harris,Liberty,Montgomery,San Jacinto</t>
  </si>
  <si>
    <t>120401030108,120401030109,120401030201,120401030202,120401030203,120401030204,120401030205,120401030401,120401030402,120402030101,120402030102,120402030103,120402030104</t>
  </si>
  <si>
    <t>06000053,06000054,06000056,06000057,06000058,06000059,06000060,06000069,06000070,06000099,06000100,06000101,06000102</t>
  </si>
  <si>
    <t>Norm Score3</t>
  </si>
  <si>
    <t>Raw Score3</t>
  </si>
  <si>
    <t>Raw Score4</t>
  </si>
  <si>
    <t>Norm Score4</t>
  </si>
  <si>
    <t>Raw Score5</t>
  </si>
  <si>
    <t>Norm Score5</t>
  </si>
  <si>
    <t>Raw Score6</t>
  </si>
  <si>
    <t>Norm Score6</t>
  </si>
  <si>
    <t>Raw Score7</t>
  </si>
  <si>
    <t>Norm Score7</t>
  </si>
  <si>
    <t>Raw Score8</t>
  </si>
  <si>
    <t>Raw Score9</t>
  </si>
  <si>
    <t>Norm Score9</t>
  </si>
  <si>
    <t>Raw Score10</t>
  </si>
  <si>
    <t>Norm Score10</t>
  </si>
  <si>
    <t>Score 7: Water Supply</t>
  </si>
  <si>
    <t>Score 8: Social Vulnerability</t>
  </si>
  <si>
    <t>Score 5: Critical Facilities Damage Reduction</t>
  </si>
  <si>
    <t>Score 11: O&amp;M</t>
  </si>
  <si>
    <t>Score 12: Admin, Regulatory Obstacles</t>
  </si>
  <si>
    <t>Do not delete rows! Keep as-is!</t>
  </si>
  <si>
    <t>Criteria Name</t>
  </si>
  <si>
    <t>Potential Funding</t>
  </si>
  <si>
    <t>Number of low water crossings at flood risk (#)</t>
  </si>
  <si>
    <t>Estimated number of road closures (#)</t>
  </si>
  <si>
    <t>Raw Score1</t>
  </si>
  <si>
    <t>Raw Score2</t>
  </si>
  <si>
    <t>Estimated length of roads at flood risk (Miles)</t>
  </si>
  <si>
    <t>Check</t>
  </si>
  <si>
    <t>Check2</t>
  </si>
  <si>
    <t>Data feeds in from FME_Input; Some columns are hidden for brevity. Yellow Cells reads from RankingCriteria</t>
  </si>
  <si>
    <t>FME Name</t>
  </si>
  <si>
    <t>FME Description</t>
  </si>
  <si>
    <t>About this Workbook</t>
  </si>
  <si>
    <t>Contains the following sheets:</t>
  </si>
  <si>
    <r>
      <t>Purpose:</t>
    </r>
    <r>
      <rPr>
        <sz val="11"/>
        <color theme="1"/>
        <rFont val="Calibri"/>
        <family val="2"/>
        <scheme val="minor"/>
      </rPr>
      <t xml:space="preserve"> Project ranking tool for Flood Management Evaluations (FME) </t>
    </r>
  </si>
  <si>
    <t>FME_Input</t>
  </si>
  <si>
    <t>Criteria Type</t>
  </si>
  <si>
    <t>FMS Ranking Criteria</t>
  </si>
  <si>
    <t>FMS Ranking Percent Weight</t>
  </si>
  <si>
    <t>Flood Risk</t>
  </si>
  <si>
    <t>Flood Risk Reduction</t>
  </si>
  <si>
    <t>Score 1: Severity - Pre-Project Average Depth of Flooding (100-year)</t>
  </si>
  <si>
    <t>Score 2: Severity - Community Need (% Population)</t>
  </si>
  <si>
    <t xml:space="preserve">Score 3: Flood Risk Reduction </t>
  </si>
  <si>
    <t>Score 4: Flood Damage Reduction</t>
  </si>
  <si>
    <t>Score 6: Life and Safety</t>
  </si>
  <si>
    <t>Other Benefits</t>
  </si>
  <si>
    <t>Score 9: Nature-Based Solution</t>
  </si>
  <si>
    <t>Score 10: Multiple Benefites</t>
  </si>
  <si>
    <t>Score 13: Enviromental Benefit</t>
  </si>
  <si>
    <t>Score 14: Environmental Impact</t>
  </si>
  <si>
    <t>Score 15: Mobility</t>
  </si>
  <si>
    <r>
      <t xml:space="preserve">Weight Value
</t>
    </r>
    <r>
      <rPr>
        <i/>
        <sz val="11"/>
        <color theme="1"/>
        <rFont val="Calibri"/>
        <family val="2"/>
        <scheme val="minor"/>
      </rPr>
      <t>Adjusted values feed from "RankingCriteria: Option 1"</t>
    </r>
  </si>
  <si>
    <r>
      <t xml:space="preserve">Norm Value (Max)
</t>
    </r>
    <r>
      <rPr>
        <i/>
        <sz val="11"/>
        <color theme="1"/>
        <rFont val="Calibri"/>
        <family val="2"/>
        <scheme val="minor"/>
      </rPr>
      <t>See "RankingCriteria" for Max Scores</t>
    </r>
  </si>
  <si>
    <r>
      <t xml:space="preserve">Ranking Factor?
</t>
    </r>
    <r>
      <rPr>
        <i/>
        <sz val="11"/>
        <color theme="1"/>
        <rFont val="Calibri"/>
        <family val="2"/>
        <scheme val="minor"/>
      </rPr>
      <t>Adjusted "Yes/No" feeds in from "RankingCriteria"</t>
    </r>
  </si>
  <si>
    <r>
      <t xml:space="preserve">Ranking Criteria
</t>
    </r>
    <r>
      <rPr>
        <i/>
        <sz val="11"/>
        <color theme="1"/>
        <rFont val="Calibri"/>
        <family val="2"/>
        <scheme val="minor"/>
      </rPr>
      <t>*FIUP Criteria</t>
    </r>
    <r>
      <rPr>
        <b/>
        <sz val="11"/>
        <color theme="1"/>
        <rFont val="Calibri"/>
        <family val="2"/>
        <scheme val="minor"/>
      </rPr>
      <t xml:space="preserve">
</t>
    </r>
    <r>
      <rPr>
        <i/>
        <sz val="11"/>
        <color theme="1"/>
        <rFont val="Calibri"/>
        <family val="2"/>
        <scheme val="minor"/>
      </rPr>
      <t>Full list available in "RankingCriteria"</t>
    </r>
  </si>
  <si>
    <t>FME Ranking Tool (Option 2)</t>
  </si>
  <si>
    <t>*Estimated active farm &amp; ranch land at flood risk (acres)</t>
  </si>
  <si>
    <t xml:space="preserve"> Estimated number of road closures (#)</t>
  </si>
  <si>
    <t>*Number of low water crossings at flood risk (#)</t>
  </si>
  <si>
    <t>*Critical facilities at flood risk (#)</t>
  </si>
  <si>
    <t>*Estimated Population at flood risk</t>
  </si>
  <si>
    <t>*Habitable structures at flood risk</t>
  </si>
  <si>
    <t>*Estimated number of structures at risk</t>
  </si>
  <si>
    <t>*Emergency Need</t>
  </si>
  <si>
    <t>Number of structures with reduced 100yr (1% annual chance) Flood risk</t>
  </si>
  <si>
    <t>FME Ranking Criteria</t>
  </si>
  <si>
    <t>Emergency Need (Y/N)</t>
  </si>
  <si>
    <t>Estimated number of structures at 100yr flood risk</t>
  </si>
  <si>
    <t>Residential structures at 100-year flood risk</t>
  </si>
  <si>
    <t>Estimated Population at 100-year flood risk</t>
  </si>
  <si>
    <t>Critical facilities at 100-year flood risk (#)</t>
  </si>
  <si>
    <t>Estimated length of roads at 100-year flood risk (Miles)</t>
  </si>
  <si>
    <t>Estimated farm &amp; ranch land at 100-year flood risk (acres)</t>
  </si>
  <si>
    <t>Estimated reduction in road closure occurrences</t>
  </si>
  <si>
    <t>Percent Nature-based Solution (by cost)</t>
  </si>
  <si>
    <t>Benefit-Cost Ratio</t>
  </si>
  <si>
    <t>Water Supply Benefit (Y/N)</t>
  </si>
  <si>
    <t>Emergency Need Raw</t>
  </si>
  <si>
    <t>Emergency Need</t>
  </si>
  <si>
    <t>Res Structures Raw</t>
  </si>
  <si>
    <t>Pop Raw</t>
  </si>
  <si>
    <t>Critical Facilities Raw</t>
  </si>
  <si>
    <t>LWC Raw</t>
  </si>
  <si>
    <t>Closures Raw</t>
  </si>
  <si>
    <t>Miles Raw</t>
  </si>
  <si>
    <t>Ag Land Raw</t>
  </si>
  <si>
    <t>FME Ranking Tool</t>
  </si>
  <si>
    <t xml:space="preserve">FMP Ranking Percent Weight
</t>
  </si>
  <si>
    <t>Region Number</t>
  </si>
  <si>
    <t>Number of structures removed from 100yr (1% annual chance) Floodplain</t>
  </si>
  <si>
    <t>Residential structures removed from 100yr (1% annual chance) Floodplain</t>
  </si>
  <si>
    <t>Estimated Population removed from 100yr (1% annual chance) Floodplain</t>
  </si>
  <si>
    <t>Critical facilities removed from 100yr (1% annual chance) Floodplain (#)</t>
  </si>
  <si>
    <t>Number of low water crossings removed from 100yr (1% annual chance) Floodplain (#)</t>
  </si>
  <si>
    <t>Estimated length of roads removed from 100yr floodplain (Miles)</t>
  </si>
  <si>
    <t>Estimated farm &amp; ranch land removed from 100yr floodplain (acres)</t>
  </si>
  <si>
    <t>Cost per structure removed from 100-year floodplain</t>
  </si>
  <si>
    <t>TBD</t>
  </si>
  <si>
    <t>Structures 100 Raw</t>
  </si>
  <si>
    <t>Weighted Score Based on Normalized Reported Factors</t>
  </si>
  <si>
    <t>Ranking Based on Normalized Reported Factors</t>
  </si>
  <si>
    <t>Max Score</t>
  </si>
  <si>
    <t>011000004</t>
  </si>
  <si>
    <t>Cottle County FIS</t>
  </si>
  <si>
    <t>Perform flood insurance study for the county and develop regulatory mapping</t>
  </si>
  <si>
    <t>Canadian Upper-Red</t>
  </si>
  <si>
    <t>Cottle</t>
  </si>
  <si>
    <t>11130101, 11130103, 11130104, 11130105, 11130204</t>
  </si>
  <si>
    <t>1113010101, 1113010304, 1113010305, 1113010403, 1113010404, 1113010405, 1113010501, 1113020401, 1113020402</t>
  </si>
  <si>
    <t>01000001, 01000002</t>
  </si>
  <si>
    <t>01000197</t>
  </si>
  <si>
    <t>01000196, 01000197, 01000198, 01000204, 00000218, 00000219, 01000234, 01000235, 00000269, 00000271, 00000275, 00000294, 01001282, 01003564</t>
  </si>
  <si>
    <t>Action aligns with goals and meets TWDB guidance</t>
  </si>
  <si>
    <t>011000009</t>
  </si>
  <si>
    <t>Knox County FIS</t>
  </si>
  <si>
    <t>Knox</t>
  </si>
  <si>
    <t>11130204, 11130205, 11130206</t>
  </si>
  <si>
    <t>1113020402, 1113020403, 1113020502, 1113020601</t>
  </si>
  <si>
    <t>111302040206, 111302040301, 111302040302, 111302040303, 111302040304, 111302040305, 111302040306, 111302050204, 111302050205, 111302050206, 111302050207, 111302050208, 111302060103</t>
  </si>
  <si>
    <t>01000428, 01000431, 01000432, 01000442, 01000449, 01000450, 01000451, 01000452, 01000453, 01000454, 01000465, 01000466, 01000492</t>
  </si>
  <si>
    <t>00000217</t>
  </si>
  <si>
    <t>01000196, 00000217, 00000218, 00000220, 00000269, 00000275, 00000278, 00000294, 00000295, 00000841</t>
  </si>
  <si>
    <t>011000010</t>
  </si>
  <si>
    <t>King County FIS</t>
  </si>
  <si>
    <t>King</t>
  </si>
  <si>
    <t>11130204, 11130205</t>
  </si>
  <si>
    <t>1113020401, 1113020402, 1113020501, 1113020502</t>
  </si>
  <si>
    <t>111302040102, 111302040103, 111302040104, 111302040108, 111302040204, 111302040205, 111302040206, 111302050102, 111302050103, 111302050104, 111302050105, 111302050106, 111302050107, 111302050201, 111302050202, 111302050203, 111302050204</t>
  </si>
  <si>
    <t>01000434, 01000435, 01000436, 01000440, 01000442, 01000444, 01000445, 01000453, 01000456, 01000457, 01000458, 01000459, 01000460, 01000461, 01000462, 01000463, 01000464</t>
  </si>
  <si>
    <t>00000218</t>
  </si>
  <si>
    <t>01000196, 01000197, 01000198, 00000217, 00000218, 00000219, 00000269, 00000275, 00000278, 00000294, 00000295, 01001282</t>
  </si>
  <si>
    <t>011000011</t>
  </si>
  <si>
    <t>Dickens County FIS</t>
  </si>
  <si>
    <t>Dickens</t>
  </si>
  <si>
    <t>11130104, 11130204, 11130205</t>
  </si>
  <si>
    <t>1113010402, 1113010403, 1113020401, 1113020501</t>
  </si>
  <si>
    <t>111301040202, 111301040203, 111301040206, 111301040207, 111301040208, 111301040209, 111301040210, 111301040301, 111301040303, 111302040101, 111302040102, 111302050101, 111302050102, 111302050103, 111302050105</t>
  </si>
  <si>
    <t>01000376, 01000377, 01000384, 01000388, 01000390, 01000391, 01000402, 01000406, 01000408, 01000433, 01000434, 01000455, 01000456, 01000457, 01000459</t>
  </si>
  <si>
    <t>00000219</t>
  </si>
  <si>
    <t>01000197, 01000198, 00000199, 00000218, 00000219, 00000221, 00000269, 00000275, 00000294, 00000295, 00000555</t>
  </si>
  <si>
    <t>011000012</t>
  </si>
  <si>
    <t>Baylor County FIS</t>
  </si>
  <si>
    <t>Baylor</t>
  </si>
  <si>
    <t>11130204, 11130206, 11130207, 11130209</t>
  </si>
  <si>
    <t>1113020403, 1113020601, 1113020602, 1113020603, 1113020702, 1113020704, 1113020901</t>
  </si>
  <si>
    <t>01000451, 01000471, 01000472, 01000473, 01000475, 01000478, 01000479, 01000480, 01000481, 01000484, 01000490, 01000491, 01000492, 01000499, 01000500, 01000506, 01000513, 01000514, 01000515, 01000516, 01000543, 01000544</t>
  </si>
  <si>
    <t>00000220</t>
  </si>
  <si>
    <t>01000195, 01000196, 01000203, 00000217, 00000220, 00000223, 00000269, 00000278, 00000294, 00000295, 00002942</t>
  </si>
  <si>
    <t>011000016</t>
  </si>
  <si>
    <t>Roberts County FIS</t>
  </si>
  <si>
    <t>Roberts</t>
  </si>
  <si>
    <t>11090106, 11120302, 11130301</t>
  </si>
  <si>
    <t>1109010603, 1109010604, 1109010605, 1109010606, 1109010607, 1112030202, 1113030101</t>
  </si>
  <si>
    <t>01000230</t>
  </si>
  <si>
    <t>01000226, 01000229, 01000230, 01000231, 01000245, 01000246, 01000250, 01000251, 01000252, 00000271, 00000294, 01000342, 01003091</t>
  </si>
  <si>
    <t>011000031</t>
  </si>
  <si>
    <t>Sherman County FIS</t>
  </si>
  <si>
    <t>Sherman</t>
  </si>
  <si>
    <t>11100101, 11100103, 11100104</t>
  </si>
  <si>
    <t>1110010108, 1110010302, 1110010303, 1110010304, 1110010305, 1110010401, 1110010402, 1110010403</t>
  </si>
  <si>
    <t>01000247</t>
  </si>
  <si>
    <t>01000231, 01000232, 01000233, 01000247, 01000248, 01000252, 00000271, 00000294, 01000312, 01002742, 01002803, 01002804</t>
  </si>
  <si>
    <t>011000045</t>
  </si>
  <si>
    <t>Floyd County Drainage Master Plan</t>
  </si>
  <si>
    <t>Perform H&amp;H modeling, develop conceptual alternatives and OPCC, and rank projects; survey responses report issues with rivers, creeks, tributaries, and functioning floodplains</t>
  </si>
  <si>
    <t>Floyd</t>
  </si>
  <si>
    <t>11130103, 11130104</t>
  </si>
  <si>
    <t>1113010301, 1113010302, 1113010303, 1113010401, 1113010402</t>
  </si>
  <si>
    <t>01000337, 01000339, 01000340, 01000344, 01000346, 01000347, 01000348, 01000349, 01000353, 01000355, 01000356, 01000357, 01000358, 01000373, 01000378, 01000380, 01000381, 01000382, 01000383, 01000384, 01000405, 01000407</t>
  </si>
  <si>
    <t>01000001, 01000002, 01000005, 01000006</t>
  </si>
  <si>
    <t>00000199</t>
  </si>
  <si>
    <t>01000198, 00000199, 00000200, 00000219, 00000221, 01000236, 00000237, 00000271, 00000275, 00000294, 00000295, 00003100</t>
  </si>
  <si>
    <t>011000046</t>
  </si>
  <si>
    <t>Wilbarger County Drainage Master Plan</t>
  </si>
  <si>
    <t>Perform H&amp;H modeling, develop conceptual alternatives and OPCC, and rank projects; selected based on HMAPs</t>
  </si>
  <si>
    <t>Wilbarger</t>
  </si>
  <si>
    <t>11130101, 11130102, 11130105, 11130206, 11130207</t>
  </si>
  <si>
    <t>1113010104, 1113010106, 1113010201, 1113010202, 1113010502, 1113020601, 1113020602, 1113020702, 1113020703, 1113020704</t>
  </si>
  <si>
    <t>01000203</t>
  </si>
  <si>
    <t>01000195, 01000196, 01000203, 01000204, 00000220, 00000223, 00000269, 00000294, 01001282, 01003048, 01003325</t>
  </si>
  <si>
    <t>011000047</t>
  </si>
  <si>
    <t>Dickens County Drainage Master Plan</t>
  </si>
  <si>
    <t>011000049</t>
  </si>
  <si>
    <t>Carson County Drainage Master Plan</t>
  </si>
  <si>
    <t>Carson</t>
  </si>
  <si>
    <t>11090105, 11090106, 11120103, 11120201, 11120301</t>
  </si>
  <si>
    <t>1109010504, 1109010507, 1109010601, 1109010602, 1109010603, 1109010606, 1112010305, 1112020101, 1112030101, 1112030102, 1112030103</t>
  </si>
  <si>
    <t>01000226</t>
  </si>
  <si>
    <t>01000226, 01000227, 01000230, 01000231, 01000232, 01000241, 01000242, 01000243, 01000246, 00000271, 00000294, 01000312, 01002837, 01003056, 01003084, 01003227</t>
  </si>
  <si>
    <t>011000051</t>
  </si>
  <si>
    <t>Roberts County Drainage Master Plan</t>
  </si>
  <si>
    <t>011000052</t>
  </si>
  <si>
    <t>Hutchinson County Drainage Master Plan</t>
  </si>
  <si>
    <t>Hutchinson</t>
  </si>
  <si>
    <t>11090105, 11090106, 11100104, 11100202</t>
  </si>
  <si>
    <t>1109010506, 1109010507, 1109010601, 1109010602, 1109010603, 1109010604, 1110010401, 1110010402, 1110010403, 1110020201</t>
  </si>
  <si>
    <t>01000231</t>
  </si>
  <si>
    <t>01000226, 01000230, 01000231, 01000232, 01000247, 01000251, 01000252, 00000271, 00000294, 00000308, 01000312, 01002811, 01002812, 01002813, 01002814</t>
  </si>
  <si>
    <t>011000053</t>
  </si>
  <si>
    <t>Hartley County Drainage Master Plan</t>
  </si>
  <si>
    <t>Hartley</t>
  </si>
  <si>
    <t>11090101, 11090102, 11090103, 11090104, 11090105, 11100103, 11100104</t>
  </si>
  <si>
    <t>1109010101, 1109010102, 1109010106, 1109010107, 1109010203, 1109010204, 1109010205, 1109010206, 1109010207, 1109010304, 1109010305, 1109010404, 1109010501, 1109010502, 1109010505, 1110010303, 1110010401, 1110010402</t>
  </si>
  <si>
    <t>01000233</t>
  </si>
  <si>
    <t>01000228, 01000232, 01000233, 01000247, 01000248, 00000271, 00000294, 01002382, 01002481</t>
  </si>
  <si>
    <t>011000054</t>
  </si>
  <si>
    <t>Childress County Drainage Master Plan</t>
  </si>
  <si>
    <t>Childress</t>
  </si>
  <si>
    <t>11120105, 11130101, 11130103, 11130105</t>
  </si>
  <si>
    <t>1112010503, 1112010504, 1112010505, 1113010101, 1113010103, 1113010304, 1113010305, 1113010501</t>
  </si>
  <si>
    <t>01000234</t>
  </si>
  <si>
    <t>01000197, 01000204, 01000234, 01000235, 01000240, 00000269, 00000271, 00000294, 01001282, 01002513</t>
  </si>
  <si>
    <t>011000055</t>
  </si>
  <si>
    <t>Hall County Drainage Master Plan</t>
  </si>
  <si>
    <t>Hall</t>
  </si>
  <si>
    <t>11120103, 11120105, 11130103</t>
  </si>
  <si>
    <t>1112010304, 1112010306, 1112010501, 1112010502, 1112010503, 1113010303, 1113010304, 1113010305</t>
  </si>
  <si>
    <t>01000235</t>
  </si>
  <si>
    <t>01000197, 01000198, 01000234, 01000235, 01000236, 01000240, 01000241, 00000269, 00000271, 00000275, 00000294, 01001282, 01002383, 01002384, 01002928, 01003568</t>
  </si>
  <si>
    <t>011000056</t>
  </si>
  <si>
    <t>Swisher County Drainage Master Plan</t>
  </si>
  <si>
    <t xml:space="preserve">Perform H&amp;H modeling, develop conceptual alternatives and OPCC, and rank projects; survey responses report issues with rivers, creeks, tributaries, and functioning floodplains and playa lakes. </t>
  </si>
  <si>
    <t>Swisher</t>
  </si>
  <si>
    <t>11120103, 11120104, 11130103</t>
  </si>
  <si>
    <t>1112010302, 1112010303, 1112010402, 1112010403, 1112010404, 1112010405, 1112010406, 1113010302</t>
  </si>
  <si>
    <t>00000237</t>
  </si>
  <si>
    <t>00000199, 00000200, 01000236, 00000237, 00000238, 01000242, 01000243, 00000271, 00000275, 00000294, 00000295, 01000305, 01002586, 01002587, 01003041</t>
  </si>
  <si>
    <t>011000058</t>
  </si>
  <si>
    <t>Wheeler County Drainage Master Plan</t>
  </si>
  <si>
    <t>Wheeler</t>
  </si>
  <si>
    <t>11120202, 11120301, 11120302, 11120304, 11130301</t>
  </si>
  <si>
    <t>1112020201, 1112030102, 1112030201, 1112030202, 1112030203, 1112030401, 1113030101, 1113030102</t>
  </si>
  <si>
    <t>01000245</t>
  </si>
  <si>
    <t>01000229, 01000230, 01000240, 01000241, 01000245, 01000246, 00000271, 00000294, 01000637, 01001282, 01003342, 01003497, 01003498</t>
  </si>
  <si>
    <t>011000059</t>
  </si>
  <si>
    <t>Dallam County Drainage Master Plan</t>
  </si>
  <si>
    <t>Dallam</t>
  </si>
  <si>
    <t>11090102, 11090103, 11090104, 11100101, 11100103, 11100104</t>
  </si>
  <si>
    <t>1109010205, 1109010301, 1109010302, 1109010303, 1109010304, 1109010305, 1109010403, 1109010404, 1110010106, 1110010108, 1110010301, 1110010302, 1110010303, 1110010304, 1110010401</t>
  </si>
  <si>
    <t>01000248</t>
  </si>
  <si>
    <t>01000232, 01000233, 01000247, 01000248, 00000271, 00000294, 01002481, 01002728</t>
  </si>
  <si>
    <t>011000060</t>
  </si>
  <si>
    <t>Lipscomb County Drainage Master Plan</t>
  </si>
  <si>
    <t>Lipscomb</t>
  </si>
  <si>
    <t>11090106, 11090201, 11100201, 11100202, 11100203</t>
  </si>
  <si>
    <t>1109010607, 1109010608, 1109020101, 1110020102, 1110020103, 1110020104, 1110020106, 1110020202, 1110020203, 1110020301, 1110020302, 1110020304</t>
  </si>
  <si>
    <t>01000250</t>
  </si>
  <si>
    <t>01000229, 01000230, 01000250, 01000251, 00000271, 00000294, 01002768, 01003547, 01003548, 01003565</t>
  </si>
  <si>
    <t>011000061</t>
  </si>
  <si>
    <t>Ochiltree County Drainage Master Plan</t>
  </si>
  <si>
    <t>Ochiltree</t>
  </si>
  <si>
    <t>11090106, 11100102, 11100104, 11100201, 11100202</t>
  </si>
  <si>
    <t>1109010604, 1109010605, 1109010607, 1110010205, 1110010405, 1110020101, 1110020102, 1110020103, 1110020105, 1110020201, 1110020202, 1110020203</t>
  </si>
  <si>
    <t>01000251</t>
  </si>
  <si>
    <t>01000230, 01000231, 01000250, 01000251, 01000252, 00000271, 00000294, 01000312, 01003565, 01003570</t>
  </si>
  <si>
    <t>011000062</t>
  </si>
  <si>
    <t>Quitaque City Drainage Master Plan</t>
  </si>
  <si>
    <t>Perform H&amp;H modeling, develop conceptual alternatives and OPCC, and rank projects; selected based on the needs analysis</t>
  </si>
  <si>
    <t>Briscoe</t>
  </si>
  <si>
    <t>11130103</t>
  </si>
  <si>
    <t>1113010302, 1113010303</t>
  </si>
  <si>
    <t>111301030209, 111301030304</t>
  </si>
  <si>
    <t>01000345, 01000347</t>
  </si>
  <si>
    <t>01002682</t>
  </si>
  <si>
    <t>01000236, 00000271, 00000294, 01002682</t>
  </si>
  <si>
    <t>011000063</t>
  </si>
  <si>
    <t>Jolly City Drainage Master Plan</t>
  </si>
  <si>
    <t>Clay</t>
  </si>
  <si>
    <t>11130209</t>
  </si>
  <si>
    <t>1113020905</t>
  </si>
  <si>
    <t>111302090503, 111302090504, 111302090505</t>
  </si>
  <si>
    <t>01000538, 01000539, 01000540</t>
  </si>
  <si>
    <t>01003239</t>
  </si>
  <si>
    <t>00000194, 00000269, 00000294, 01002549, 01003239</t>
  </si>
  <si>
    <t>011000064</t>
  </si>
  <si>
    <t>Clarendon City Drainage Master Plan</t>
  </si>
  <si>
    <t>Perform H&amp;H modeling, develop conceptual alternatives and OPCC, and rank projects; selected based on the needs analysis and survey responses reporting issues with rivers, creeks, tributaries, and functioning floodplains and playa lakes.</t>
  </si>
  <si>
    <t>Donley</t>
  </si>
  <si>
    <t>11120201</t>
  </si>
  <si>
    <t>1112020102</t>
  </si>
  <si>
    <t>111202010203, 111202010204</t>
  </si>
  <si>
    <t>01000304, 01000305</t>
  </si>
  <si>
    <t>01002571</t>
  </si>
  <si>
    <t>01000241, 00000271, 00000294, 01001282, 01002571</t>
  </si>
  <si>
    <t>011000067</t>
  </si>
  <si>
    <t>Lakeview City Drainage Master Plan</t>
  </si>
  <si>
    <t xml:space="preserve">Perform H&amp;H modeling, develop conceptual alternatives and OPCC, and rank projects; selected based on the needs analysis </t>
  </si>
  <si>
    <t>11120105</t>
  </si>
  <si>
    <t>1112010502</t>
  </si>
  <si>
    <t>111201050206</t>
  </si>
  <si>
    <t>01000845</t>
  </si>
  <si>
    <t>01002383</t>
  </si>
  <si>
    <t>01000235, 00000271, 00000294, 01001282, 01002383</t>
  </si>
  <si>
    <t>011000069</t>
  </si>
  <si>
    <t>Petrolia City Drainage Master Plan</t>
  </si>
  <si>
    <t>11130206, 11130209</t>
  </si>
  <si>
    <t>1113020605, 1113020905</t>
  </si>
  <si>
    <t>111302060502, 111302060503, 111302090508</t>
  </si>
  <si>
    <t>01000467, 01000469, 01000519</t>
  </si>
  <si>
    <t>01002524</t>
  </si>
  <si>
    <t>00000194, 00000269, 00000294, 01002524</t>
  </si>
  <si>
    <t>011000071</t>
  </si>
  <si>
    <t>Canadian City Drainage Master Plan</t>
  </si>
  <si>
    <t xml:space="preserve">Perform H&amp;H modeling, develop conceptual alternatives and OPCC, and rank projects; selected based on HMAPs </t>
  </si>
  <si>
    <t>Hemphill</t>
  </si>
  <si>
    <t>11090106</t>
  </si>
  <si>
    <t>1109010608</t>
  </si>
  <si>
    <t>110901060801</t>
  </si>
  <si>
    <t>01000093</t>
  </si>
  <si>
    <t>01002529</t>
  </si>
  <si>
    <t>01000229, 00000271, 00000294, 01002529</t>
  </si>
  <si>
    <t>011000074</t>
  </si>
  <si>
    <t>Tulia City Drainage Master Plan</t>
  </si>
  <si>
    <t xml:space="preserve">Perform H&amp;H modeling, develop conceptual alternatives and OPCC, and rank projects; selected based on survey responses </t>
  </si>
  <si>
    <t>11120104</t>
  </si>
  <si>
    <t>1112010402, 1112010403</t>
  </si>
  <si>
    <t>111201040204, 111201040205, 111201040206, 111201040304</t>
  </si>
  <si>
    <t>01000261, 01000262, 01000280, 01000281</t>
  </si>
  <si>
    <t>01002586</t>
  </si>
  <si>
    <t>00000237, 00000271, 00000294, 01002586</t>
  </si>
  <si>
    <t>011000075</t>
  </si>
  <si>
    <t>Shamrock City Drainage Master Plan</t>
  </si>
  <si>
    <t xml:space="preserve">Perform H&amp;H modeling, develop conceptual alternatives and OPCC, and rank projects; selected based on the needs analysis and survey responses reporting issues with rivers, creeks, tributaries, and functioning floodplains, wetlands, and playa lakes. </t>
  </si>
  <si>
    <t>11120302, 11120304</t>
  </si>
  <si>
    <t>1112030201, 1112030401</t>
  </si>
  <si>
    <t>111203020104, 111203040105</t>
  </si>
  <si>
    <t>01000581, 01000590</t>
  </si>
  <si>
    <t>01003497</t>
  </si>
  <si>
    <t>01000245, 00000271, 00000294, 01000637, 01003497</t>
  </si>
  <si>
    <t>011000077</t>
  </si>
  <si>
    <t>Silverton City Drainage Master Plan</t>
  </si>
  <si>
    <t>Perform H&amp;H modeling, develop conceptual alternatives and OPCC, and rank projects; selected based on survey responses reporting issues with many natural features</t>
  </si>
  <si>
    <t>1113010301</t>
  </si>
  <si>
    <t>111301030101</t>
  </si>
  <si>
    <t>01000350</t>
  </si>
  <si>
    <t>01002683</t>
  </si>
  <si>
    <t>01000236, 00000271, 00000294, 01002683</t>
  </si>
  <si>
    <t>011000078</t>
  </si>
  <si>
    <t>Hereford City Drainage Master Plan</t>
  </si>
  <si>
    <t>Deaf Smith</t>
  </si>
  <si>
    <t>11120101</t>
  </si>
  <si>
    <t>1112010105</t>
  </si>
  <si>
    <t>111201010505, 111201010507</t>
  </si>
  <si>
    <t>01000839, 01000841</t>
  </si>
  <si>
    <t>01002643</t>
  </si>
  <si>
    <t>01000244, 00000271, 00000294, 01002643</t>
  </si>
  <si>
    <t>011000084</t>
  </si>
  <si>
    <t>Vega City Drainage Master Plan</t>
  </si>
  <si>
    <t>Oldham</t>
  </si>
  <si>
    <t>11090105, 11120102</t>
  </si>
  <si>
    <t>1109010501, 1112010202</t>
  </si>
  <si>
    <t>110901050101, 111201020205, 111201020206</t>
  </si>
  <si>
    <t>01000152, 01000689, 01000699</t>
  </si>
  <si>
    <t>01002846</t>
  </si>
  <si>
    <t>01000228, 00000271, 00000294, 01000330, 01002846</t>
  </si>
  <si>
    <t>011000085</t>
  </si>
  <si>
    <t>Seymour City Drainage Master Plan</t>
  </si>
  <si>
    <t>Perform H&amp;H modeling, develop conceptual alternatives and OPCC, and rank projects; selected based on survey responses reporting issues with rivers, creeks, tributaries, and functioning floodplains. Only a small portion of the city is within the region.</t>
  </si>
  <si>
    <t>11130206</t>
  </si>
  <si>
    <t>1113020601</t>
  </si>
  <si>
    <t>111302060104, 111302060106</t>
  </si>
  <si>
    <t>01000471, 01000478</t>
  </si>
  <si>
    <t>00002942</t>
  </si>
  <si>
    <t>00000220, 00000269, 00000294, 00002942</t>
  </si>
  <si>
    <t>011000086</t>
  </si>
  <si>
    <t>Darrouzett City Drainage Master Plan</t>
  </si>
  <si>
    <t xml:space="preserve">Perform H&amp;H modeling, develop conceptual alternatives and OPCC, and rank projects; selected based on survey responses reporting issues with rivers, creeks, tributaries, and functioning floodplains </t>
  </si>
  <si>
    <t>11100201</t>
  </si>
  <si>
    <t>1110020103</t>
  </si>
  <si>
    <t>111002010306</t>
  </si>
  <si>
    <t>01000026</t>
  </si>
  <si>
    <t>01003547</t>
  </si>
  <si>
    <t>01000250, 00000271, 00000294, 01003547</t>
  </si>
  <si>
    <t>011000087</t>
  </si>
  <si>
    <t>Spearman City Drainage Master Plan</t>
  </si>
  <si>
    <t xml:space="preserve">Perform H&amp;H modeling, develop conceptual alternatives and OPCC, and rank projects; selected based on the needs analysis and survey responses reporting issues with rivers, creeks, tributaries, and functioning floodplains </t>
  </si>
  <si>
    <t>Hansford</t>
  </si>
  <si>
    <t>11100104</t>
  </si>
  <si>
    <t>1110010403</t>
  </si>
  <si>
    <t>111001040311, 111001040312</t>
  </si>
  <si>
    <t>01000193, 01000200</t>
  </si>
  <si>
    <t>01003197</t>
  </si>
  <si>
    <t>01000252, 00000271, 01000312, 01003197</t>
  </si>
  <si>
    <t>011000088</t>
  </si>
  <si>
    <t>Vernon City Drainage Master Plan</t>
  </si>
  <si>
    <t>11130105</t>
  </si>
  <si>
    <t>1113010502</t>
  </si>
  <si>
    <t>111301050204, 111301050206</t>
  </si>
  <si>
    <t>01000414, 01000418</t>
  </si>
  <si>
    <t>01003325</t>
  </si>
  <si>
    <t>01000203, 00000269, 00000294, 01003325</t>
  </si>
  <si>
    <t>011000090</t>
  </si>
  <si>
    <t>Childress City Drainage Master Plan</t>
  </si>
  <si>
    <t>11120105, 11130101, 11130103</t>
  </si>
  <si>
    <t>1112010503, 1112010505, 1113010101, 1113010305</t>
  </si>
  <si>
    <t>111201050302, 111201050308, 111201050501, 111301010101, 111301030504</t>
  </si>
  <si>
    <t>01000369, 01000849, 01000868, 01000875, 01000892</t>
  </si>
  <si>
    <t>01002513</t>
  </si>
  <si>
    <t>01000234, 00000271, 00000294, 01001282, 01002513</t>
  </si>
  <si>
    <t>011000091</t>
  </si>
  <si>
    <t>Perryton City Drainage Master Plan</t>
  </si>
  <si>
    <t xml:space="preserve">Perform H&amp;H modeling, develop conceptual alternatives and OPCC, and rank projects; selected based on HMAPs and survey responses </t>
  </si>
  <si>
    <t>1110020102, 1110020103</t>
  </si>
  <si>
    <t>111002010201, 111002010301, 111002010302</t>
  </si>
  <si>
    <t>01000014, 01000015, 01000019</t>
  </si>
  <si>
    <t>01003570</t>
  </si>
  <si>
    <t>01000251, 00000271, 01003570</t>
  </si>
  <si>
    <t>011000093</t>
  </si>
  <si>
    <t>Groom City Drainage Master Plan</t>
  </si>
  <si>
    <t>11120201, 11120301</t>
  </si>
  <si>
    <t>1112020101, 1112030102</t>
  </si>
  <si>
    <t>111202010104, 111203010201</t>
  </si>
  <si>
    <t>01000294, 01000312</t>
  </si>
  <si>
    <t>01003227</t>
  </si>
  <si>
    <t>01000226, 00000271, 00000294, 01003227</t>
  </si>
  <si>
    <t>011000094</t>
  </si>
  <si>
    <t>White Deer City Drainage Master Plan</t>
  </si>
  <si>
    <t>11120301</t>
  </si>
  <si>
    <t>1112030103</t>
  </si>
  <si>
    <t>111203010301</t>
  </si>
  <si>
    <t>01000316</t>
  </si>
  <si>
    <t>01002837</t>
  </si>
  <si>
    <t>01000226, 00000271, 00000294, 01002837</t>
  </si>
  <si>
    <t>011000099</t>
  </si>
  <si>
    <t>Dalhart City Drainage Master Plan</t>
  </si>
  <si>
    <t>Hartley, Dallam</t>
  </si>
  <si>
    <t>11090103</t>
  </si>
  <si>
    <t>1109010304</t>
  </si>
  <si>
    <t>110901030405, 110901030406, 110901030408</t>
  </si>
  <si>
    <t>01000797, 01000799, 01000812</t>
  </si>
  <si>
    <t>01002481</t>
  </si>
  <si>
    <t>01000233, 01000248, 00000271, 00000294, 01002481</t>
  </si>
  <si>
    <t>011000100</t>
  </si>
  <si>
    <t>Skelleytown City Drainage Master Plan</t>
  </si>
  <si>
    <t>1109010603</t>
  </si>
  <si>
    <t>110901060302, 110901060307</t>
  </si>
  <si>
    <t>01000043, 01000083</t>
  </si>
  <si>
    <t>01003056</t>
  </si>
  <si>
    <t>01000226, 00000271, 00000294, 01003056</t>
  </si>
  <si>
    <t>011000101</t>
  </si>
  <si>
    <t>Panhandle City Drainage Master Plan</t>
  </si>
  <si>
    <t>1112030101</t>
  </si>
  <si>
    <t>111203010105, 111203010107</t>
  </si>
  <si>
    <t>01000313, 01000322</t>
  </si>
  <si>
    <t>01003084</t>
  </si>
  <si>
    <t>01000226, 00000271, 00000294, 01003084</t>
  </si>
  <si>
    <t>011000102</t>
  </si>
  <si>
    <t>City of Clarendon GIS Development</t>
  </si>
  <si>
    <t>Develop GIS inventory and condition assessment for flood infrastructure; selected based on survey response</t>
  </si>
  <si>
    <t>011000104</t>
  </si>
  <si>
    <t>City of Shamrock GIS Development</t>
  </si>
  <si>
    <t>011000105</t>
  </si>
  <si>
    <t>City of Silverton GIS Development</t>
  </si>
  <si>
    <t>011000107</t>
  </si>
  <si>
    <t>City of Fritch GIS Development</t>
  </si>
  <si>
    <t>Hutchinson, Moore</t>
  </si>
  <si>
    <t>11090105, 11090106</t>
  </si>
  <si>
    <t>1109010507, 1109010601</t>
  </si>
  <si>
    <t>110901050707, 110901050708, 110901060105</t>
  </si>
  <si>
    <t>01000069, 01000114, 01000150</t>
  </si>
  <si>
    <t>01002812</t>
  </si>
  <si>
    <t>01000231, 01000232, 00000271, 00000294, 01000312, 01002812</t>
  </si>
  <si>
    <t>011000108</t>
  </si>
  <si>
    <t>City of Seymour GIS Development</t>
  </si>
  <si>
    <t>Develop GIS inventory and condition assessment for flood infrastructure; selected based on survey response. Only a small portion of the city is within the region.</t>
  </si>
  <si>
    <t>011000109</t>
  </si>
  <si>
    <t>City of Spearman GIS Development</t>
  </si>
  <si>
    <t>011000110</t>
  </si>
  <si>
    <t>City of Perryton GIS Development</t>
  </si>
  <si>
    <t>011000111</t>
  </si>
  <si>
    <t>City of Dalhart GIS Development</t>
  </si>
  <si>
    <t>011000112</t>
  </si>
  <si>
    <t>City of Panhandle GIS Development</t>
  </si>
  <si>
    <t>011000114</t>
  </si>
  <si>
    <t xml:space="preserve">Region-Wide Dam Safety </t>
  </si>
  <si>
    <t>Coordinate region-wide investigation into current dam safety status; selected based on stakeholder feedback</t>
  </si>
  <si>
    <t>01000007, 01000008</t>
  </si>
  <si>
    <t>00000271</t>
  </si>
  <si>
    <t>010000000001, 010000000002, 010000000003, 010000000004, 010000000005, 010000000006, 010000000006</t>
  </si>
  <si>
    <t>011000181</t>
  </si>
  <si>
    <t>Clay County Drainage Master Plan</t>
  </si>
  <si>
    <t>11130102, 11130201, 11130206, 11130209</t>
  </si>
  <si>
    <t>1113010203, 1113020101, 1113020102, 1113020605, 1113020903, 1113020904, 1113020905</t>
  </si>
  <si>
    <t>00000194</t>
  </si>
  <si>
    <t>00000191, 00000194, 01000195, 00000223, 00000269, 00000294, 01001535, 01002523, 01002524, 01002547, 01002548, 01002549, 01002591, 01002651, 01003239</t>
  </si>
  <si>
    <t>Farmers-Mud BLE</t>
  </si>
  <si>
    <t>011000182</t>
  </si>
  <si>
    <t>Baylor County Drainage Master Plan</t>
  </si>
  <si>
    <t>011000002</t>
  </si>
  <si>
    <t>Clay County FIS</t>
  </si>
  <si>
    <t>FEMA modelling in Lake Arrowhead, Henrietta, Petrolia, and the Red River, Farmers-Mud BLE</t>
  </si>
  <si>
    <t>FEMA mapping in Lake Arrowhead, Henrietta, Petrolia, and the Red River</t>
  </si>
  <si>
    <t>FEMA</t>
  </si>
  <si>
    <t>011000003</t>
  </si>
  <si>
    <t>Foard County FIS</t>
  </si>
  <si>
    <t>Foard</t>
  </si>
  <si>
    <t>11130105, 11130204, 11130207</t>
  </si>
  <si>
    <t>1113010501, 1113010502, 1113020402, 1113020403, 1113020701, 1113020702</t>
  </si>
  <si>
    <t>01000196</t>
  </si>
  <si>
    <t>01000196, 01000197, 01000203, 01000204, 00000217, 00000218, 00000220, 00000269, 00000275, 00000278, 00000294, 01001282, 01002391</t>
  </si>
  <si>
    <t>FEMA modelling in Crowell</t>
  </si>
  <si>
    <t>FEMA mapping in Crowell</t>
  </si>
  <si>
    <t>011000005</t>
  </si>
  <si>
    <t>Motley County FIS</t>
  </si>
  <si>
    <t>Motley</t>
  </si>
  <si>
    <t>11130103, 11130104, 11130204</t>
  </si>
  <si>
    <t>1113010301, 1113010302, 1113010303, 1113010304, 1113010401, 1113010402, 1113010403, 1113010404, 1113020401</t>
  </si>
  <si>
    <t>01000198</t>
  </si>
  <si>
    <t>01000197, 01000198, 00000199, 00000218, 00000219, 00000221, 01000235, 01000236, 00000269, 00000271, 00000275, 00000294, 01000875, 01001282, 01002470, 01002471</t>
  </si>
  <si>
    <t>FEMA modelling in Matador and Roaring Springs</t>
  </si>
  <si>
    <t>FEMA mapping in Matador and Roaring Springs</t>
  </si>
  <si>
    <t>011000006</t>
  </si>
  <si>
    <t>Floyd County FIS</t>
  </si>
  <si>
    <t>FEMA FAFDS</t>
  </si>
  <si>
    <t>Floyd County FAFDS</t>
  </si>
  <si>
    <t>011000007</t>
  </si>
  <si>
    <t>Wilbarger County FIS</t>
  </si>
  <si>
    <t>FEMA modelling in Vernon</t>
  </si>
  <si>
    <t>FEMA mapping in Vernon</t>
  </si>
  <si>
    <t>011000008</t>
  </si>
  <si>
    <t>Hardeman County FIS</t>
  </si>
  <si>
    <t>Hardeman</t>
  </si>
  <si>
    <t>11120105, 11130101, 11130105</t>
  </si>
  <si>
    <t>1112010505, 1113010101, 1113010102, 1113010104, 1113010106, 1113010501, 1113010502</t>
  </si>
  <si>
    <t>01000204</t>
  </si>
  <si>
    <t>01000196, 01000197, 01000203, 01000204, 01000234, 00000269, 00000271, 00000294, 01001282, 01003222, 01003562</t>
  </si>
  <si>
    <t xml:space="preserve">FEMA modelling in Quanah and Chillicothe </t>
  </si>
  <si>
    <t xml:space="preserve">FEMA mapping in Quanah and Chillicothe </t>
  </si>
  <si>
    <t>011000013</t>
  </si>
  <si>
    <t>Carson County FIS</t>
  </si>
  <si>
    <t>FEMA modelling in Groom, Panhandle, and White Deer</t>
  </si>
  <si>
    <t>FEMA mapping in Groom, Panhandle, and White Deer</t>
  </si>
  <si>
    <t>011000014</t>
  </si>
  <si>
    <t>Oldham County FIS</t>
  </si>
  <si>
    <t>11080006, 11090101, 11090102, 11090105, 11120102</t>
  </si>
  <si>
    <t>1108000609, 1109010101, 1109010102, 1109010104, 1109010105, 1109010106, 1109010107, 1109010207, 1109010501, 1109010502, 1109010503, 1112010202, 1112010203</t>
  </si>
  <si>
    <t>01000228</t>
  </si>
  <si>
    <t>01000227, 01000228, 01000232, 01000233, 01000243, 01000244, 00000271, 00000294, 01000330, 01002845, 01002846</t>
  </si>
  <si>
    <t>010000000001, 010000000002, 010000000002</t>
  </si>
  <si>
    <t>FEMA mapping in Adrian</t>
  </si>
  <si>
    <t>011000015</t>
  </si>
  <si>
    <t>Hemphill County FIS</t>
  </si>
  <si>
    <t>11090106, 11090201, 11100203, 11120302, 11130301</t>
  </si>
  <si>
    <t>1109010606, 1109010607, 1109010608, 1109020101, 1110020301, 1112030202, 1113030101, 1113030102</t>
  </si>
  <si>
    <t>01000229</t>
  </si>
  <si>
    <t>01000229, 01000230, 01000245, 01000246, 01000250, 00000271, 00000294, 01000637, 01002529</t>
  </si>
  <si>
    <t>FEMA modelling in Canadian</t>
  </si>
  <si>
    <t>FEMA mapping in Canadian</t>
  </si>
  <si>
    <t>011000017</t>
  </si>
  <si>
    <t>Hutchinson County FIS</t>
  </si>
  <si>
    <t>Hutchinson County FAFDS</t>
  </si>
  <si>
    <t>011000018</t>
  </si>
  <si>
    <t>Moore County FIS</t>
  </si>
  <si>
    <t>Moore</t>
  </si>
  <si>
    <t>11090105, 11100104</t>
  </si>
  <si>
    <t>1109010502, 1109010503, 1109010505, 1109010506, 1109010507, 1110010401, 1110010402</t>
  </si>
  <si>
    <t>01000232</t>
  </si>
  <si>
    <t>01000226, 01000227, 01000228, 01000231, 01000232, 01000233, 01000247, 01000248, 01000252, 00000271, 00000294, 01000312, 01002742, 01002743, 01002744, 01002812</t>
  </si>
  <si>
    <t>FEMA modelling in Sunray and Cactus</t>
  </si>
  <si>
    <t>FEMA mapping in Sunray and Cactus</t>
  </si>
  <si>
    <t>011000019</t>
  </si>
  <si>
    <t>Hartley County FIS</t>
  </si>
  <si>
    <t>FEMA modelling in Dalhart</t>
  </si>
  <si>
    <t>FEMA mapping in Dalhart</t>
  </si>
  <si>
    <t>011000020</t>
  </si>
  <si>
    <t>Childress County FIS</t>
  </si>
  <si>
    <t>FEMA modelling in City of Childress</t>
  </si>
  <si>
    <t>011000021</t>
  </si>
  <si>
    <t>Hall County FIS</t>
  </si>
  <si>
    <t>FEMA modelling in Turkey, Lakeview, Estelline, and Memphis</t>
  </si>
  <si>
    <t>FEMA mapping in Turkey, Lakeview, Estelline, and Memphis</t>
  </si>
  <si>
    <t>011000022</t>
  </si>
  <si>
    <t>Briscoe County FIS</t>
  </si>
  <si>
    <t>11120103, 11120104, 11120105, 11130103</t>
  </si>
  <si>
    <t>1112010303, 1112010304, 1112010306, 1112010405, 1112010406, 1112010501, 1113010301, 1113010302, 1113010303</t>
  </si>
  <si>
    <t>01000236</t>
  </si>
  <si>
    <t>01000198, 00000199, 01000235, 01000236, 00000237, 01000241, 01000242, 00000271, 00000275, 00000294, 01000305, 01001282, 01002682, 01002683</t>
  </si>
  <si>
    <t>FEMA mapping in Quitaque</t>
  </si>
  <si>
    <t>011000023</t>
  </si>
  <si>
    <t>Swisher County FIS</t>
  </si>
  <si>
    <t>Swisher County FAFDS</t>
  </si>
  <si>
    <t>011000024</t>
  </si>
  <si>
    <t>Castro County FIS</t>
  </si>
  <si>
    <t>Castro</t>
  </si>
  <si>
    <t>11120101, 11120104</t>
  </si>
  <si>
    <t>1112010104, 1112010105, 1112010401, 1112010402, 1112010403, 1112010404</t>
  </si>
  <si>
    <t>111201010406, 111201010407, 111201010505, 111201040101, 111201040102, 111201040103, 111201040104, 111201040105, 111201040201, 111201040202, 111201040203, 111201040204, 111201040301, 111201040302, 111201040303, 111201040304, 111201040401, 111201040402</t>
  </si>
  <si>
    <t>01000260, 01000262, 01000263, 01000265, 01000266, 01000269, 01000271, 01000272, 01000273, 01000274, 01000275, 01000276, 01000277, 01000279, 01000281, 01000822, 01000827, 01000841</t>
  </si>
  <si>
    <t>00000238</t>
  </si>
  <si>
    <t>00000237, 00000238, 00000239, 01000243, 01000244, 00000271, 00000294, 00000295, 01002818</t>
  </si>
  <si>
    <t>Castro County FAFDS</t>
  </si>
  <si>
    <t>011000025</t>
  </si>
  <si>
    <t>Parmer County FIS</t>
  </si>
  <si>
    <t>Parmer</t>
  </si>
  <si>
    <t>1112010102, 1112010103, 1112010104, 1112010105, 1112010401</t>
  </si>
  <si>
    <t>111201010201, 111201010204, 111201010307, 111201010401, 111201010402, 111201010403, 111201010404, 111201010405, 111201010406, 111201010407, 111201010504, 111201010505, 111201040102</t>
  </si>
  <si>
    <t>01000276, 01000818, 01000821, 01000822, 01000824, 01000825, 01000826, 01000827, 01000838, 01000840, 01000841, 01000843, 01000844</t>
  </si>
  <si>
    <t>00000239</t>
  </si>
  <si>
    <t>00000238, 00000239, 01000244, 00000271, 00000294, 00000295, 01003015</t>
  </si>
  <si>
    <t>FEMA modelling in Friona</t>
  </si>
  <si>
    <t>FEMA mapping in Friona</t>
  </si>
  <si>
    <t>011000026</t>
  </si>
  <si>
    <t>Collingsworth County FIS</t>
  </si>
  <si>
    <t>Collingsworth</t>
  </si>
  <si>
    <t>11120105, 11120202, 11120304, 11130101</t>
  </si>
  <si>
    <t>1112010502, 1112010503, 1112010504, 1112020201, 1112020202, 1112020203, 1112030401, 1112030402, 1113010103</t>
  </si>
  <si>
    <t>01000240</t>
  </si>
  <si>
    <t>01000234, 01000235, 01000240, 01000241, 01000245, 01000246, 00000271, 00000294, 01000637, 01001282, 01003419, 01003420</t>
  </si>
  <si>
    <t>FEMA modelling in Wellington</t>
  </si>
  <si>
    <t>FEMA mapping in Wellington</t>
  </si>
  <si>
    <t>011000027</t>
  </si>
  <si>
    <t>Donley County FIS</t>
  </si>
  <si>
    <t>11120103, 11120105, 11120201, 11120202, 11120301, 11120304</t>
  </si>
  <si>
    <t>1112010304, 1112010306, 1112010502, 1112010503, 1112010504, 1112020101, 1112020102, 1112020201, 1112030102, 1112030401</t>
  </si>
  <si>
    <t>01000241</t>
  </si>
  <si>
    <t>01000226, 01000235, 01000236, 01000240, 01000241, 01000242, 01000245, 01000246, 00000271, 00000294, 01001282, 01002569, 01002571, 01002579</t>
  </si>
  <si>
    <t>FEMA modelling in Clarendon and Howardwick</t>
  </si>
  <si>
    <t>FEMA mapping in Clarendon and Howardwick</t>
  </si>
  <si>
    <t>011000028</t>
  </si>
  <si>
    <t>Armstrong County FIS</t>
  </si>
  <si>
    <t>Armstrong</t>
  </si>
  <si>
    <t>11120103, 11120201, 11120301</t>
  </si>
  <si>
    <t>1112010301, 1112010302, 1112010303, 1112010304, 1112010305, 1112010306, 1112020101, 1112030102</t>
  </si>
  <si>
    <t>01000242</t>
  </si>
  <si>
    <t>01000226, 01000227, 01000236, 00000237, 01000241, 01000242, 01000243, 01000246, 00000271, 00000294, 01001282, 01003436</t>
  </si>
  <si>
    <t>FEMA mapping in Claude</t>
  </si>
  <si>
    <t>011000029</t>
  </si>
  <si>
    <t>Deaf Smith County FIS</t>
  </si>
  <si>
    <t>11090101, 11120101, 11120102, 11120104</t>
  </si>
  <si>
    <t>1109010103, 1109010104, 1109010105, 1109010107, 1112010102, 1112010104, 1112010105, 1112010106, 1112010201, 1112010202, 1112010203, 1112010401, 1112010403</t>
  </si>
  <si>
    <t>01000244</t>
  </si>
  <si>
    <t>01000227, 01000228, 00000238, 00000239, 01000243, 01000244, 00000271, 00000294, 01000330, 01000572, 01002643</t>
  </si>
  <si>
    <t>FEMA modelling in Hereford</t>
  </si>
  <si>
    <t>010000000001, 010000000002</t>
  </si>
  <si>
    <t>FEMA mapping in Hereford</t>
  </si>
  <si>
    <t>011000030</t>
  </si>
  <si>
    <t>Wheeler County FIS</t>
  </si>
  <si>
    <t>FEMA modelling in Shamrock, Wheeler, and Mobeetie</t>
  </si>
  <si>
    <t>FEMA mapping in Shamrock, Wheeler, and Mobeetie</t>
  </si>
  <si>
    <t>011000032</t>
  </si>
  <si>
    <t>Dallam County FIS</t>
  </si>
  <si>
    <t>011000033</t>
  </si>
  <si>
    <t>Lipscomb County FIS</t>
  </si>
  <si>
    <t>FEMA modelling in Darrouzett and Booker</t>
  </si>
  <si>
    <t>FEMA mapping in Darrouzett and Booker</t>
  </si>
  <si>
    <t>011000034</t>
  </si>
  <si>
    <t>Ochiltree County FIS</t>
  </si>
  <si>
    <t>FEMA modelling in Booker</t>
  </si>
  <si>
    <t>FEMA mapping in Booker</t>
  </si>
  <si>
    <t>011000035</t>
  </si>
  <si>
    <t>Hansford County FIS</t>
  </si>
  <si>
    <t>11090106, 11100103, 11100104, 11100202</t>
  </si>
  <si>
    <t>1109010604, 1110010304, 1110010305, 1110010401, 1110010402, 1110010403, 1110010404, 1110010405, 1110020201</t>
  </si>
  <si>
    <t>01000252</t>
  </si>
  <si>
    <t>01000230, 01000231, 01000232, 01000247, 01000251, 01000252, 00000271, 00000294, 01000312, 01003197, 01003335</t>
  </si>
  <si>
    <t>FEMA modelling in Gruver and Spearman</t>
  </si>
  <si>
    <t>FEMA mapping in Gruver and Spearman</t>
  </si>
  <si>
    <t>011000036</t>
  </si>
  <si>
    <t>Cooke County FIS</t>
  </si>
  <si>
    <t>Update flood insurance study for the county and develop regulatory mapping</t>
  </si>
  <si>
    <t>Cooke</t>
  </si>
  <si>
    <t>11130201</t>
  </si>
  <si>
    <t>1113020105, 1113020107</t>
  </si>
  <si>
    <t>111302010508, 111302010701, 111302010702, 111302010703, 111302010704, 111302010705, 111302010707, 111302010708</t>
  </si>
  <si>
    <t>01000608, 01000609, 01000614, 01000615, 01000625, 01000626, 01000627, 01000635</t>
  </si>
  <si>
    <t>00000189</t>
  </si>
  <si>
    <t>00000189, 00000191, 00000269, 00000277, 00000294, 00001281, 00003204, 00003210</t>
  </si>
  <si>
    <t>Cooke County FIS, Farmers-Mud BLE</t>
  </si>
  <si>
    <t>011000037</t>
  </si>
  <si>
    <t xml:space="preserve">Montague County FIS </t>
  </si>
  <si>
    <t>Montague</t>
  </si>
  <si>
    <t>11130201, 11130209, 12030103</t>
  </si>
  <si>
    <t>1113020102, 1113020105, 1113020107, 1113020905, 1203010301</t>
  </si>
  <si>
    <t>01000525, 01000545, 01000607, 01000608, 01000610, 01000611, 01000612, 01000613, 01000614, 01000618, 01000619, 01000622, 01000624, 01000625, 01000628, 01000629, 01000630, 01000631, 01000632, 01000633, 01000634</t>
  </si>
  <si>
    <t>00000191</t>
  </si>
  <si>
    <t>00000189, 00000191, 00000194, 00000269, 00000277, 00000294, 00000338, 00000345, 01000581, 00001216, 00002797, 00003042, 01003043</t>
  </si>
  <si>
    <t>Montague County FIS, Farmers-Mud BLE</t>
  </si>
  <si>
    <t>Montague County FIS</t>
  </si>
  <si>
    <t>011000038</t>
  </si>
  <si>
    <t>Wichita County FIS</t>
  </si>
  <si>
    <t>Wichita</t>
  </si>
  <si>
    <t>11130102, 11130206, 11130207, 11130209</t>
  </si>
  <si>
    <t>1113010201, 1113010202, 1113010203, 1113020602, 1113020603, 1113020604, 1113020605, 1113020704, 1113020905</t>
  </si>
  <si>
    <t>01000195</t>
  </si>
  <si>
    <t>00000194, 01000195, 01000203, 00000220, 00000223, 00000269, 00000294, 01001522, 01001535, 01002977, 01003048, 01003049, 01003050, 01003331, 01003332, 01003496</t>
  </si>
  <si>
    <t>010000000005, 010000000006</t>
  </si>
  <si>
    <t>011000039</t>
  </si>
  <si>
    <t>Hale County FIS</t>
  </si>
  <si>
    <t>Hale</t>
  </si>
  <si>
    <t>11120104, 11130103</t>
  </si>
  <si>
    <t>1112010406, 1113010302</t>
  </si>
  <si>
    <t>111201040602, 111301030202</t>
  </si>
  <si>
    <t>01000287, 01000356</t>
  </si>
  <si>
    <t>00000200</t>
  </si>
  <si>
    <t>00000199, 00000200, 00000237, 00000271, 00000275, 00000294, 00000295</t>
  </si>
  <si>
    <t>011000040</t>
  </si>
  <si>
    <t>Potter County FIS</t>
  </si>
  <si>
    <t>Potter</t>
  </si>
  <si>
    <t>11090105, 11120102, 11120103, 11120301</t>
  </si>
  <si>
    <t>1109010502, 1109010503, 1109010504, 1109010507, 1112010203, 1112010301, 1112010305, 1112030101</t>
  </si>
  <si>
    <t>01000227</t>
  </si>
  <si>
    <t>01000226, 01000227, 01000228, 01000232, 01000242, 01000243, 01000244, 00000271, 00000294, 00000308, 01000312, 01000330, 01000671, 01002770, 01003101</t>
  </si>
  <si>
    <t>010000000001, 010000000002, 010000000003, 010000000004</t>
  </si>
  <si>
    <t>011000041</t>
  </si>
  <si>
    <t>Randall County FIS</t>
  </si>
  <si>
    <t>Randall</t>
  </si>
  <si>
    <t>11090105, 11120101, 11120102, 11120103, 11120104, 11120301</t>
  </si>
  <si>
    <t>1109010503, 1112010106, 1112010201, 1112010202, 1112010203, 1112010301, 1112010302, 1112010305, 1112010403, 1112030101</t>
  </si>
  <si>
    <t>01000243</t>
  </si>
  <si>
    <t>01000226, 01000227, 01000228, 00000237, 00000238, 01000242, 01000243, 01000244, 00000271, 00000294, 00000308, 01000330, 01000385, 01002770, 01003041, 01003057, 01003058, 01003426, 01003427</t>
  </si>
  <si>
    <t>011000042</t>
  </si>
  <si>
    <t>Gray County FIS</t>
  </si>
  <si>
    <t>Gray</t>
  </si>
  <si>
    <t>11090106, 11120201, 11120301, 11120302, 11120304, 11130301</t>
  </si>
  <si>
    <t>1109010603, 1109010604, 1109010606, 1112020101, 1112020102, 1112030102, 1112030103, 1112030201, 1112030202, 1112030401, 1113030101</t>
  </si>
  <si>
    <t>01000246</t>
  </si>
  <si>
    <t>01000226, 01000229, 01000230, 01000240, 01000241, 01000242, 01000245, 01000246, 00000271, 00000294, 00000308, 01000637, 01000694, 01001282, 01002426, 01002659, 01003129</t>
  </si>
  <si>
    <t>011000043</t>
  </si>
  <si>
    <t>Cooke County Drainage Master Plan</t>
  </si>
  <si>
    <t>011000044</t>
  </si>
  <si>
    <t>Montague County Drainage Master Plan</t>
  </si>
  <si>
    <t>011000048</t>
  </si>
  <si>
    <t>Archer County Drainage Master Plan</t>
  </si>
  <si>
    <t>Archer</t>
  </si>
  <si>
    <t>1113020602, 1113020603, 1113020604, 1113020901, 1113020902, 1113020903, 1113020905</t>
  </si>
  <si>
    <t>00000223</t>
  </si>
  <si>
    <t>00000185, 00000194, 01000195, 01000203, 00000220, 00000223, 00000269, 00000294, 00000295, 01001522, 01001535, 01002591, 00002650, 01002651, 01003479, 01003495, 01003496</t>
  </si>
  <si>
    <t>Archer County FIS, Archer County BLE</t>
  </si>
  <si>
    <t>Archer County FIS</t>
  </si>
  <si>
    <t>011000050</t>
  </si>
  <si>
    <t>Potter County Drainage Master Plan</t>
  </si>
  <si>
    <t>011000057</t>
  </si>
  <si>
    <t>Randall County Drainage Master Plan</t>
  </si>
  <si>
    <t>011000065</t>
  </si>
  <si>
    <t>Lake Tanglewood City Drainage Master Plan</t>
  </si>
  <si>
    <t xml:space="preserve">Perform H&amp;H modeling, develop conceptual alternatives and OPCC, and rank projects; selected based on HMAPs and the needs analysis </t>
  </si>
  <si>
    <t>11120103</t>
  </si>
  <si>
    <t>1112010301</t>
  </si>
  <si>
    <t>111201030103</t>
  </si>
  <si>
    <t>01000257</t>
  </si>
  <si>
    <t>01003427, 01000243</t>
  </si>
  <si>
    <t>01000243, 00000271, 00000294, 01003057, 01003427</t>
  </si>
  <si>
    <t>011000066</t>
  </si>
  <si>
    <t>Palisades City Drainage Master Plan</t>
  </si>
  <si>
    <t>111201030102, 111201030103</t>
  </si>
  <si>
    <t>01000212, 01000257</t>
  </si>
  <si>
    <t>01003057, 01000243</t>
  </si>
  <si>
    <t>01000243, 00000271, 00000294, 01003057, 01003058</t>
  </si>
  <si>
    <t>011000068</t>
  </si>
  <si>
    <t>Windthorst City Drainage Master Plan</t>
  </si>
  <si>
    <t>Clay, Archer</t>
  </si>
  <si>
    <t>1113020903</t>
  </si>
  <si>
    <t>111302090301, 111302090302</t>
  </si>
  <si>
    <t>01000520, 01000530</t>
  </si>
  <si>
    <t>01002591</t>
  </si>
  <si>
    <t>00000194, 00000223, 00000269, 00000294, 01002591</t>
  </si>
  <si>
    <t>011000070</t>
  </si>
  <si>
    <t>Cashion City Drainage Master Plan</t>
  </si>
  <si>
    <t>11130102, 11130206</t>
  </si>
  <si>
    <t>1113010203, 1113020605</t>
  </si>
  <si>
    <t>111301020304, 111302060501</t>
  </si>
  <si>
    <t>01000468, 01000597</t>
  </si>
  <si>
    <t>01003332</t>
  </si>
  <si>
    <t>01000195, 00000269, 00000294, 01002977, 01003332</t>
  </si>
  <si>
    <t>011000072</t>
  </si>
  <si>
    <t>Pampa City Drainage Master Plan</t>
  </si>
  <si>
    <t>11090106, 11120301</t>
  </si>
  <si>
    <t>1109010606, 1112030103</t>
  </si>
  <si>
    <t>110901060601, 110901060602, 111203010303</t>
  </si>
  <si>
    <t>01000101, 01000102, 01000327</t>
  </si>
  <si>
    <t>01002426</t>
  </si>
  <si>
    <t>01000246, 00000271, 00000294, 00000308, 01000694, 01002426</t>
  </si>
  <si>
    <t>011000073</t>
  </si>
  <si>
    <t>Pleasant Valley City Drainage Master Plan</t>
  </si>
  <si>
    <t>1113020604</t>
  </si>
  <si>
    <t>111302060406, 111302060407</t>
  </si>
  <si>
    <t>01000476, 01000483</t>
  </si>
  <si>
    <t>01003049</t>
  </si>
  <si>
    <t>01000195, 00000269, 00000294, 01001535, 01003049, 01003331</t>
  </si>
  <si>
    <t>011000076</t>
  </si>
  <si>
    <t>Holliday City Drainage Master Plan</t>
  </si>
  <si>
    <t>1113020603, 1113020604</t>
  </si>
  <si>
    <t>111302060302, 111302060303, 111302060405</t>
  </si>
  <si>
    <t>01000477, 01000484, 01000489</t>
  </si>
  <si>
    <t>01003495</t>
  </si>
  <si>
    <t>00000223, 00000269, 00000294, 01003495</t>
  </si>
  <si>
    <t>011000079</t>
  </si>
  <si>
    <t>Scotland City Drainage Master Plan</t>
  </si>
  <si>
    <t>1113020902, 1113020903</t>
  </si>
  <si>
    <t>111302090207, 111302090208, 111302090301, 111302090302, 111302090304</t>
  </si>
  <si>
    <t>01000520, 01000527, 01000529, 01000530, 01000531</t>
  </si>
  <si>
    <t>01002651</t>
  </si>
  <si>
    <t>00000194, 00000223, 00000269, 00000294, 01002651</t>
  </si>
  <si>
    <t>011000080</t>
  </si>
  <si>
    <t>Lefors City Drainage Master Plan</t>
  </si>
  <si>
    <t>111203010305</t>
  </si>
  <si>
    <t>01000332</t>
  </si>
  <si>
    <t>01002659</t>
  </si>
  <si>
    <t>01000246, 00000271, 00000294, 01002659</t>
  </si>
  <si>
    <t>011000081</t>
  </si>
  <si>
    <t>Burkburnett City Drainage Master Plan</t>
  </si>
  <si>
    <t>11130102</t>
  </si>
  <si>
    <t>1113010203</t>
  </si>
  <si>
    <t>111301020302, 111301020304, 111301020305</t>
  </si>
  <si>
    <t>01000593, 01000597, 01000602</t>
  </si>
  <si>
    <t>01002977</t>
  </si>
  <si>
    <t>01000195, 00000269, 00000294, 01002977</t>
  </si>
  <si>
    <t>011000082</t>
  </si>
  <si>
    <t>Amarillo City Drainage Master Plan</t>
  </si>
  <si>
    <t>Perform H&amp;H modeling, develop conceptual alternatives and OPCC, and rank projects. Update existing drainage mater plan.</t>
  </si>
  <si>
    <t>Potter, Randall</t>
  </si>
  <si>
    <t>11090105, 11120103, 11120301</t>
  </si>
  <si>
    <t>1109010503, 1109010504, 1112010301, 1112030101</t>
  </si>
  <si>
    <t>110901050308, 110901050309, 110901050402, 111201030101, 111201030102, 111201030106, 111201030107, 111203010101, 111203010102</t>
  </si>
  <si>
    <t>01000110, 01000121, 01000124, 01000211, 01000212, 01000215, 01000220, 01000323, 01000325</t>
  </si>
  <si>
    <t>01002770, 01000243</t>
  </si>
  <si>
    <t>01000227, 01000243, 00000271, 00000294, 00000308, 01002770</t>
  </si>
  <si>
    <t>Randall, Amarillo</t>
  </si>
  <si>
    <t>Potter County FIS, Randall County FIS, City of Amarillo DMP Rain on Grid Model</t>
  </si>
  <si>
    <t>Potter County FIS, Randall County FIS</t>
  </si>
  <si>
    <t>011000083</t>
  </si>
  <si>
    <t>Nocona City Drainage Master Plan</t>
  </si>
  <si>
    <t>1113020102, 1113020105</t>
  </si>
  <si>
    <t>111302010209, 111302010502</t>
  </si>
  <si>
    <t>01000610, 01000632</t>
  </si>
  <si>
    <t>01003043</t>
  </si>
  <si>
    <t>00000191, 00000269, 00000294, 01000581, 01003043</t>
  </si>
  <si>
    <t>011000089</t>
  </si>
  <si>
    <t>Iowa Park City Drainage Master Plan</t>
  </si>
  <si>
    <t xml:space="preserve">Perform H&amp;H modeling, develop conceptual alternatives and OPCC, and rank projects; selected based on survey responses and the needs analysis </t>
  </si>
  <si>
    <t>111302060404, 111302060406</t>
  </si>
  <si>
    <t>01000470, 01000476</t>
  </si>
  <si>
    <t>01003050</t>
  </si>
  <si>
    <t>01000195, 00000269, 00000294, 01001535, 01003050</t>
  </si>
  <si>
    <t>011000092</t>
  </si>
  <si>
    <t>Megargel City Drainage Master Plan</t>
  </si>
  <si>
    <t>1113020901</t>
  </si>
  <si>
    <t>111302090105</t>
  </si>
  <si>
    <t>01000514</t>
  </si>
  <si>
    <t>00002650</t>
  </si>
  <si>
    <t>00000223, 00000269, 00000294, 00002650</t>
  </si>
  <si>
    <t>011000095</t>
  </si>
  <si>
    <t>Timbercreek Canyon City Drainage Master Plan</t>
  </si>
  <si>
    <t>01003058, 01000243</t>
  </si>
  <si>
    <t>Randall, Timbercreek Canyon</t>
  </si>
  <si>
    <t>011000096</t>
  </si>
  <si>
    <t>Electra City Drainage Master Plan</t>
  </si>
  <si>
    <t>11130102, 11130206, 11130207</t>
  </si>
  <si>
    <t>1113010202, 1113020604, 1113020704</t>
  </si>
  <si>
    <t>111301020203, 111302060403, 111302070402</t>
  </si>
  <si>
    <t>01000488, 01000496, 01000594</t>
  </si>
  <si>
    <t>01003048</t>
  </si>
  <si>
    <t>01000195, 00000269, 00000294, 01003048</t>
  </si>
  <si>
    <t>011000097</t>
  </si>
  <si>
    <t>Lakeside City City Drainage Master Plan</t>
  </si>
  <si>
    <t>Perform H&amp;H modeling, develop conceptual alternatives and OPCC, and rank projects; selected based on HMAPs and the needs analysis</t>
  </si>
  <si>
    <t>Wichita, Archer</t>
  </si>
  <si>
    <t>1113020603</t>
  </si>
  <si>
    <t>111302060303</t>
  </si>
  <si>
    <t>01000477</t>
  </si>
  <si>
    <t>01003496</t>
  </si>
  <si>
    <t>01000195, 00000223, 00000269, 00000294, 01003496</t>
  </si>
  <si>
    <t>Archer County FIS, Wichita County FIS, Archer County BLE</t>
  </si>
  <si>
    <t>Archer County FIS, Wichita County FIS</t>
  </si>
  <si>
    <t>011000098</t>
  </si>
  <si>
    <t>Wichita Falls City Drainage Master Plan</t>
  </si>
  <si>
    <t>Perform H&amp;H modeling, develop conceptual alternatives and OPCC, and rank projects. Update existing drainage mater plan. Selected based on survey responses and needs analysis.</t>
  </si>
  <si>
    <t>1113020603, 1113020604, 1113020605, 1113020905</t>
  </si>
  <si>
    <t>111302060303, 111302060304, 111302060406, 111302060407, 111302060501, 111302090502, 111302090503</t>
  </si>
  <si>
    <t>01000468, 01000476, 01000477, 01000483, 01000487, 01000537, 01000538</t>
  </si>
  <si>
    <t>01003331</t>
  </si>
  <si>
    <t>Wichita Falls</t>
  </si>
  <si>
    <t>011000103</t>
  </si>
  <si>
    <t>City of Palisades GIS Development</t>
  </si>
  <si>
    <t>011000106</t>
  </si>
  <si>
    <t>City of Lefors GIS Development</t>
  </si>
  <si>
    <t>011000113</t>
  </si>
  <si>
    <t>Potter County GIS Development</t>
  </si>
  <si>
    <t>011000115</t>
  </si>
  <si>
    <t xml:space="preserve">Farmers Creek Watershed Authority Dam Evaluation </t>
  </si>
  <si>
    <t>Investigate survey responses of deficient or non-functioning flood protection dams</t>
  </si>
  <si>
    <t>1113020102, 1113020105, 1113020107</t>
  </si>
  <si>
    <t>111302010209, 111302010502, 111302010504, 111302010505, 111302010506, 111302010507, 111302010508, 111302010701</t>
  </si>
  <si>
    <t>01000607, 01000608, 01000610, 01000613, 01000625, 01000632, 01000633, 01000634,01000896</t>
  </si>
  <si>
    <t>00000345</t>
  </si>
  <si>
    <t>00000191, 00000269, 00000294, 00000338, 00000345</t>
  </si>
  <si>
    <t>011000116</t>
  </si>
  <si>
    <t>East Amarillo Creek Project Planning - St. Francis Ave. Tributary Channel Reach (City of Amarillo)</t>
  </si>
  <si>
    <t>Evaluate project to quantify benefits, evaluate impacts and begin design. Improvements include installing 5-barrel, 5'x3' concrete boxes, and improving the channel. Project identified from 2019 Amarillo DMP.</t>
  </si>
  <si>
    <t>11090105</t>
  </si>
  <si>
    <t>1109010504</t>
  </si>
  <si>
    <t>110901050402</t>
  </si>
  <si>
    <t>01000110,01000897</t>
  </si>
  <si>
    <t>01000003, 01000004</t>
  </si>
  <si>
    <t>01002770</t>
  </si>
  <si>
    <t>01000227, 00000271, 00000294, 00000308, 01002770</t>
  </si>
  <si>
    <t>Amarillo</t>
  </si>
  <si>
    <t>Potter County FIS, City of Amarillo DMP Rain on Grid Model</t>
  </si>
  <si>
    <t>011000117</t>
  </si>
  <si>
    <t>East Amarillo Creek Project Planning - Echo Street Tributary Channel Reach (City of Amarillo)</t>
  </si>
  <si>
    <t>Evaluate project to quantify benefits, evaluate impacts and begin design. Improvements include replacing it with a concrete box, installing additional concrete boxes, raising the road, and improving the channel. Project identified from 2019 Amarillo DMP.</t>
  </si>
  <si>
    <t>011000118</t>
  </si>
  <si>
    <t>Comanche Drainage Channel (City of Amarillo)</t>
  </si>
  <si>
    <t>Evaluate project to quantify benefits, evaluate impacts and begin design. Improvements to Comanche Drainage Channel. Project identified from 2019 Amarillo DMP.</t>
  </si>
  <si>
    <t>111201030106</t>
  </si>
  <si>
    <t>01000215,01000898</t>
  </si>
  <si>
    <t>01000243, 00000271, 00000294, 00000308, 01002770</t>
  </si>
  <si>
    <t>Randall County FIS, City of Amarillo DMP Rain on Grid Model</t>
  </si>
  <si>
    <t>011000119</t>
  </si>
  <si>
    <t>Culverts: Various Locations (City of Amarillo)</t>
  </si>
  <si>
    <t>Evaluate project to quantify benefits, evaluate impacts and begin design. Improvements to culverts. Project identified from 2019 Amarillo DMP.</t>
  </si>
  <si>
    <t>011000120</t>
  </si>
  <si>
    <t>West Amarillo Creek Project Planning - Amarillo Country Club Channel Reach (City of Amarillo)</t>
  </si>
  <si>
    <t>Evaluate project to quantify benefits, evaluate impacts and begin design. Improvement includes installing and replacing concrete boxes, improving the channel, and replacing 2 driveway structures. Project identified from 2019 Amarillo DMP.</t>
  </si>
  <si>
    <t>1109010503</t>
  </si>
  <si>
    <t>110901050308</t>
  </si>
  <si>
    <t>01000121,01000899</t>
  </si>
  <si>
    <t>011000121</t>
  </si>
  <si>
    <t>West Amarillo Creek Project Planning - Partridge/Cloud Crest Channel Reach (City of Amarillo)</t>
  </si>
  <si>
    <t>Evaluate project to quantify benefits, evaluate impacts and begin design. Improvements to West Amarillo Creek Study Area - Partridge/Cloud Crest Channel Reach. Project identified from 2019 Amarillo DMP.</t>
  </si>
  <si>
    <t>01000121,01000900</t>
  </si>
  <si>
    <t>011000122</t>
  </si>
  <si>
    <t>Quail Creek Channel from Plum Creek Storm Channel Reach (City of Amarillo)</t>
  </si>
  <si>
    <t>Evaluate project to quantify benefits, evaluate impacts and begin design. Improvements to Quail Creek Channel from Plum Creek Storm Channel Reach. Project identified from 2019 Amarillo DMP.</t>
  </si>
  <si>
    <t>011000123</t>
  </si>
  <si>
    <t>East Amarillo Creek Project Planning - Lower East Amarillo Creek Channel Reach  (City of Amarillo)</t>
  </si>
  <si>
    <t>Evaluate project to quantify benefits, evaluate impacts and begin design. Replace four arch CMP and improve channels. Project identified from 2019 Amarillo DMP.</t>
  </si>
  <si>
    <t>011000124</t>
  </si>
  <si>
    <t>East Amarillo Creek Project Planning - Hastings Ave. to River Road Channel Reach (City of Amarillo)</t>
  </si>
  <si>
    <t>Evaluate project to quantify benefits, evaluate impacts and begin design. Improvements include installing additional concrete boxes, a reinforced concrete bridge, and improving the channel. Project identified from 2019 Amarillo DMP.</t>
  </si>
  <si>
    <t>011000125</t>
  </si>
  <si>
    <t>East Amarillo Creek Project Planning - Valley Park Tributary Channel Reach (City of Amarillo)</t>
  </si>
  <si>
    <t>Evaluate project to quantify benefits, evaluate impacts and begin design. Improvements include modifying and installing concrete boxes, raising roads, and improving channels. Project identified from 2019 Amarillo DMP.</t>
  </si>
  <si>
    <t>011000126</t>
  </si>
  <si>
    <t>SE 34th/ Grand at Comanche Golf Course Channel (City of Amarillo)</t>
  </si>
  <si>
    <t>Evaluate project to quantify benefits, evaluate impacts and begin design. Improvements to SE 34th/ Grand at Comanche Golf Course Channel. Project identified from 2019 Amarillo DMP.</t>
  </si>
  <si>
    <t>011000127</t>
  </si>
  <si>
    <t>West Amarillo Creek Project Planning - Westcliff Channel Reach (City of Amarillo)</t>
  </si>
  <si>
    <t>Evaluate project to quantify benefits, evaluate impacts and begin design. Improvements include 2 additional 36" RCP at Kouba Drive and improving channel from W. 9th Ave to Kouba Dr. Project identified from 2019 Amarillo DMP.</t>
  </si>
  <si>
    <t>011000128</t>
  </si>
  <si>
    <t>West Amarillo Creek Project Planning - Wolfin Avenue Channel Reach (City of Amarillo)</t>
  </si>
  <si>
    <t>Evaluate project to quantify benefits, evaluate impacts and begin design. Improvements include additional RCPs, installing concrete boxes, improving channel, and installing RCP  with inlet and outlet structure. Project identified from 2019 Amarillo DMP.</t>
  </si>
  <si>
    <t>011000129</t>
  </si>
  <si>
    <t>West Amarillo Creek Project Planning - Tascosa/Westwood Channel Reach (City of Amarillo)</t>
  </si>
  <si>
    <t>Evaluate project to quantify benefits, evaluate impacts and begin design. Improvements to West Amarillo Creek Study Area - Tascosa/Westwood Channel Reach. Project identified from 2019 Amarillo DMP.</t>
  </si>
  <si>
    <t>011000130</t>
  </si>
  <si>
    <t>East Amarillo Creek Project Planning - Ross Rogers Tributary Channel Reach  (City of Amarillo)</t>
  </si>
  <si>
    <t>Evaluate project to quantify benefits, evaluate impacts and begin design. Improvements include replacing arch CMP with concrete boxes, raising roads, and installing an additional concrete box. Project identified from 2019 Amarillo DMP.</t>
  </si>
  <si>
    <t>011000131</t>
  </si>
  <si>
    <t>Playa No. 14 Project Planning - Diamond Horseshoe Lake (City of Amarillo)</t>
  </si>
  <si>
    <t>Evaluate project to quantify benefits, evaluate impacts and begin design. Proposed improvement include new 750 GMP pumping station with 8" suction line, and new 8" force main. Project identified from 2019 Amarillo DMP.</t>
  </si>
  <si>
    <t>111201030101</t>
  </si>
  <si>
    <t>01000211,01000912</t>
  </si>
  <si>
    <t>011000132</t>
  </si>
  <si>
    <t>Playa No. 7 Project Planning (City of Amarillo)</t>
  </si>
  <si>
    <t>Evaluate project to quantify benefits, evaluate impacts and begin design. Proposed improvements include excavating 100,000 CY, add new 3,000 GPM pumping station withsuction line, and add new force main. Project identified from 2019 Amarillo DMP.</t>
  </si>
  <si>
    <t>01000211,01000901</t>
  </si>
  <si>
    <t>011000133</t>
  </si>
  <si>
    <t>McCarty Lake Project Planning (City of Amarillo)</t>
  </si>
  <si>
    <t>Evaluate project to quantify benefits, evaluate impacts and begin design. Excavate 900,000 CY. Raise street and install equalization culverts. Add new pumping station with suction line, and add new force main. Project identified from 2019 Amarillo DMP.</t>
  </si>
  <si>
    <t>01000211,01000902</t>
  </si>
  <si>
    <t>011000134</t>
  </si>
  <si>
    <t>Willow Grove Project Planning (City of Amarillo)</t>
  </si>
  <si>
    <t>Evaluate project to quantify benefits, evaluate impacts and begin design. Excavate ~5,000 CY to El. 3564.0 to connect two playa chambers. Add new 500 GPM pumping station with 8" suction line and 6" force main. Project identified from 2019 Amarillo DMP.</t>
  </si>
  <si>
    <t>111201030102</t>
  </si>
  <si>
    <t>01000212,01000903</t>
  </si>
  <si>
    <t>011000135</t>
  </si>
  <si>
    <t>Bennett Lake Project Planning (City of Amarillo)</t>
  </si>
  <si>
    <t>Evaluate project to quantify benefits, evaluate impacts and begin design. Excavate 140,000 CY, add new 5,000 GPM pumping station with suction line, add several force mains at various sizes. Project identified from 2019 Amarillo DMP.</t>
  </si>
  <si>
    <t>01000211,01000904</t>
  </si>
  <si>
    <t>011000136</t>
  </si>
  <si>
    <t>Lawrence Lake Project Planning (City of Amarillo)</t>
  </si>
  <si>
    <t>Evaluate project to quantify benefits, evaluate impacts and begin design. Add new 3,000 GMP pumps at both pumps, replace 15" PV with 20", and replace 16" STL with 24". Project identified from 2019 Amarillo DMP.</t>
  </si>
  <si>
    <t>01000211,01000905</t>
  </si>
  <si>
    <t>011000137</t>
  </si>
  <si>
    <t>Playa No. 34 Project Planning (City of Amarillo)</t>
  </si>
  <si>
    <t>Evaluate project to quantify benefits, evaluate impacts and begin design. Improvements include adding an outfall channel. Project identified from 2019 Amarillo DMP.</t>
  </si>
  <si>
    <t>111201030107</t>
  </si>
  <si>
    <t>01000220,01000906</t>
  </si>
  <si>
    <t>011000138</t>
  </si>
  <si>
    <t>Wild Horse Lake Project Planning (City of Amarillo)</t>
  </si>
  <si>
    <t>Evaluate project to quantify benefits, evaluate impacts and begin design. Improvements include adding a 30" relief culvert and a new junction box w/ flap gate. Project identified from 2019 Amarillo DMP.</t>
  </si>
  <si>
    <t>01000110,01000907</t>
  </si>
  <si>
    <t>011000139</t>
  </si>
  <si>
    <t>West Amarillo Creek Project Planning - AISD/B I-40/MediPark (City of Amarillo)</t>
  </si>
  <si>
    <t>Evaluate project to quantify benefits, evaluate impacts and begin design. Improvements to West Amarillo Creek Study Area - AISD/B I-40/MediPark. Project identified from 2019 Amarillo DMP.</t>
  </si>
  <si>
    <t>011000140</t>
  </si>
  <si>
    <t>East Amarillo Creek Project Planning - North Bolton St. Storm Sewer (City of Amarillo)</t>
  </si>
  <si>
    <t>Evaluate project to quantify benefits, evaluate impacts and begin design. Improvements include adding 1 new 42" RCP and 2 new 48" RCP. Project identified from 2019 Amarillo DMP.</t>
  </si>
  <si>
    <t>011000141</t>
  </si>
  <si>
    <t>McCarty Lake Project Planning - Fulton/ Hampton Storm Sewer (City of Amarillo)</t>
  </si>
  <si>
    <t>Evaluate project to quantify benefits, evaluate impacts and begin design. Improvements to McCarty Lake Study Area - Fulton/ Hampton Storm Sewer. Project identified from 2019 Amarillo DMP.</t>
  </si>
  <si>
    <t>011000142</t>
  </si>
  <si>
    <t>Playa No. 4 Outfall (City of Amarillo)</t>
  </si>
  <si>
    <t>Evaluate project to quantify benefits, evaluate impacts and begin design. Improvements to Playa No. 4 Outfall. Project identified from 2019 Amarillo DMP.</t>
  </si>
  <si>
    <t>11120102, 11120103</t>
  </si>
  <si>
    <t>1112010203, 1112010301</t>
  </si>
  <si>
    <t>111201020303, 111201030101</t>
  </si>
  <si>
    <t>01000211, 01000696,01000909</t>
  </si>
  <si>
    <t>01000243, 00000271, 00000294, 01002770</t>
  </si>
  <si>
    <t>011000143</t>
  </si>
  <si>
    <t>McDonald Lake Project Planning - Wesley, Tripp/Van Winkle Storm Sewer (City of Amarillo)</t>
  </si>
  <si>
    <t>Evaluate project to quantify benefits, evaluate impacts and begin design. Improvements to McDonald Lake Study Area - Wesley, Tripp/Van Winkle Storm Sewer. Project identified from 2019 Amarillo DMP.</t>
  </si>
  <si>
    <t>01000211,01000908</t>
  </si>
  <si>
    <t>011000144</t>
  </si>
  <si>
    <t>McDonald Lake Project Planning - Walmart/ Lowes Storm Sewer (City of Amarillo)</t>
  </si>
  <si>
    <t>Evaluate project to quantify benefits, evaluate impacts and begin design. Improvements to McDonald Lake Study Area - Walmart/ Lowes Storm Sewer. Project identified from 2019 Amarillo DMP.</t>
  </si>
  <si>
    <t>011000145</t>
  </si>
  <si>
    <t>Lawrence Lake Outfall (City of Amarillo)</t>
  </si>
  <si>
    <t>Evaluate project to quantify benefits, evaluate impacts and begin design. Project improvements include 2 inlet boxes and parallel relief line that will outfall at the current cascaded outfall. Project identified from 2019 Amarillo DMP.</t>
  </si>
  <si>
    <t>011000146</t>
  </si>
  <si>
    <t>Playa No. 7 Coulter/Loop 335 Storm Sewer (City of Amarillo)</t>
  </si>
  <si>
    <t>Evaluate project to quantify benefits, evaluate impacts and begin design. Improvements to Playa No. 7 Coulter/Loop 335 Storm Sewer. System takes flow from Playa watersheds 11 and 14 and outflows to Playa 7. Project identified from 2019 Amarillo DMP.</t>
  </si>
  <si>
    <t>01000211,01000911</t>
  </si>
  <si>
    <t>011000147</t>
  </si>
  <si>
    <t>McCarty Lake Project Planning - Downstream I-27 (City of Amarillo)</t>
  </si>
  <si>
    <t>Evaluate project to quantify benefits, evaluate impacts and begin design. Proposed improvements consist of constructing a relief interceptor sized to take storm flows to McCarty Lake. Project identified from 2019 Amarillo DMP.</t>
  </si>
  <si>
    <t>011000148</t>
  </si>
  <si>
    <t>McCarty Lake Project Planning - Hillside/Hampton Storm Sewer (1B) (City of Amarillo)</t>
  </si>
  <si>
    <t>Evaluate project to quantify benefits, evaluate impacts and begin design. Proposed improvements include adding storm drain, adding parallel system, and then connecting to the existing crossing. Project identified from 2019 Amarillo DMP.</t>
  </si>
  <si>
    <t>11090105, 11120103</t>
  </si>
  <si>
    <t>1109010503, 1112010301</t>
  </si>
  <si>
    <t>110901050308, 111201030101</t>
  </si>
  <si>
    <t>01000121, 01000211,01000902</t>
  </si>
  <si>
    <t>011000149</t>
  </si>
  <si>
    <t>Willow Grove Project Planning - Rushmore/Hayden Storm Sewer (City of Amarillo)</t>
  </si>
  <si>
    <t>Evaluate project to quantify benefits, evaluate impacts and begin design. Replace four pipes with 60" or 66" pipes. Project identified from 2019 Amarillo DMP.</t>
  </si>
  <si>
    <t>011000150</t>
  </si>
  <si>
    <t>Gooch Lake Project Planning - 27th Ave/RR Storm Sewer (City of Amarillo)</t>
  </si>
  <si>
    <t>Evaluate project to quantify benefits, evaluate impacts and begin design. Improvements include adding inlets, a 24" RCP lateral, and a manhole. Project identified from 2019 Amarillo DMP.</t>
  </si>
  <si>
    <t>011000151</t>
  </si>
  <si>
    <t>Wild Horse Lake Project Planning - ONG/Lipscomb Storm Sewer (City of Amarillo)</t>
  </si>
  <si>
    <t>Evaluate project to quantify benefits, evaluate impacts and begin design. Improvements include replacing 5 pipes with larger diameters, adding two RCP, and adding a new diversion structure. Project identified from 2019 Amarillo DMP.</t>
  </si>
  <si>
    <t>1109010504, 1112010301</t>
  </si>
  <si>
    <t>110901050402, 111201030101</t>
  </si>
  <si>
    <t>01000110, 01000211,01000907</t>
  </si>
  <si>
    <t>011000152</t>
  </si>
  <si>
    <t>McDonald Lake Project Planning - Coulter Street Storm Sewer (City of Amarillo)</t>
  </si>
  <si>
    <t>Evaluate project to quantify benefits, evaluate impacts and begin design. Improvements include adding 36" RCP parallel to several pipes, adding 6 new RCP, and replacing the 72" RCP with a 84" RCP. Project identified from 2019 Amarillo DMP.</t>
  </si>
  <si>
    <t>011000153</t>
  </si>
  <si>
    <t>Lawrence Lake Project Planning - Dilday Draw Storm Sewer (City of Amarillo)</t>
  </si>
  <si>
    <t>Evaluate project to quantify benefits, evaluate impacts and begin design. Improvements include channel improvement on several RCP, replacing a 54" and 48" RCP with 60" RCP and adding 30" PCP parallel to 72" RCP.  Project identified from 2019 Amarillo DMP.</t>
  </si>
  <si>
    <t>011000154</t>
  </si>
  <si>
    <t>Lawrence Lake Project Planning - Fleetwood Drive Storm Sewer (City of Amarillo)</t>
  </si>
  <si>
    <t>Evaluate project to quantify benefits, evaluate impacts and begin design. Replace pipes with ones with larger diameters, add three new pipes, and connect two pipes in three locations. Project identified from 2019 Amarillo DMP.</t>
  </si>
  <si>
    <t>011000155</t>
  </si>
  <si>
    <t>Lawrence Lake Project Planning - Julian Blvd. Storm Sewer (City of Amarillo)</t>
  </si>
  <si>
    <t>Evaluate project to quantify benefits, evaluate impacts and begin design. Proposed improvements consist of adding a major trunkline, and a lateral and inlets. Project identified from 2019 Amarillo DMP.</t>
  </si>
  <si>
    <t>011000156</t>
  </si>
  <si>
    <t>Lawrence Lake Project Planning - Olsen/Emil Storm Sewer (City of Amarillo)</t>
  </si>
  <si>
    <t>Evaluate project to quantify benefits, evaluate impacts and begin design. Proposed improvements include new inlets and laterals, and upsizing existing laterals and trunk line through the outfall. Project identified from 2019 Amarillo DMP.</t>
  </si>
  <si>
    <t>011000157</t>
  </si>
  <si>
    <t>Lawrence Lake Project Planning - SW 26th Avenue Storm Sewer (City of Amarillo)</t>
  </si>
  <si>
    <t>Evaluate project to quantify benefits, evaluate impacts and begin design. Proposed improvements include adding multiple inlets and laterals and connecting them into an existing parallel line. Project identified from 2019 Amarillo DMP.</t>
  </si>
  <si>
    <t>011000158</t>
  </si>
  <si>
    <t>Wild Horse Lake Improvement (City of Amarillo)</t>
  </si>
  <si>
    <t>Evaluate project to quantify benefits, evaluate impacts and begin design. Improvements to Wild Horse Lake. Project identified from 2019 Amarillo DMP.</t>
  </si>
  <si>
    <t>011000159</t>
  </si>
  <si>
    <t>McCarty Lake Project Planning - Hillside/Hampton Storm Sewer (2A) (City of Amarillo)</t>
  </si>
  <si>
    <t>Evaluate project to quantify benefits, evaluate impacts and begin design. Proposed improvements include the interceptor and inlets and parallel storm drain to direct flow into the existing storm drain system. Project identified from 2019 Amarillo DMP.</t>
  </si>
  <si>
    <t>011000160</t>
  </si>
  <si>
    <t>McCarty Lake Project Planning - Hillside/Hampton Storm Sewer (2B) (City of Amarillo)</t>
  </si>
  <si>
    <t>Evaluate project to quantify benefits, evaluate impacts and begin design. Proposed improvements include inlets and capacity, including extending the storm drain to tie into the Catalpa storm drain and outfall. Project identified from 2019 Amarillo DMP.</t>
  </si>
  <si>
    <t>011000161</t>
  </si>
  <si>
    <t>Playa 4 Watershed Study (City of Amarillo)</t>
  </si>
  <si>
    <t>Perform H&amp;H modeling, develop conceptual alternatives and OPCC, and rank projects. Marked as high priority in 2019 Amarillo DMP</t>
  </si>
  <si>
    <t>011000162</t>
  </si>
  <si>
    <t>McDonald Lake Watershed Study (City of Amarillo)</t>
  </si>
  <si>
    <t>011000163</t>
  </si>
  <si>
    <t>Playa 8 Watershed Study (City of Amarillo)</t>
  </si>
  <si>
    <t>01000211, 01000696,01000910</t>
  </si>
  <si>
    <t>011000164</t>
  </si>
  <si>
    <t>Lawrence Lake Watershed Study (City of Amarillo)</t>
  </si>
  <si>
    <t>Perform H&amp;H modeling, develop conceptual alternatives and OPCC, and rank projects. Marked as very high priority in 2019 Amarillo DMP</t>
  </si>
  <si>
    <t>1109010503, 1109010504, 1112010301</t>
  </si>
  <si>
    <t>110901050308, 110901050402, 111201030101, 111201030106</t>
  </si>
  <si>
    <t>01000110, 01000121, 01000211, 01000215,01000905</t>
  </si>
  <si>
    <t>011000165</t>
  </si>
  <si>
    <t>Bennett Lake Watershed Study (City of Amarillo)</t>
  </si>
  <si>
    <t>111201030101, 111201030102</t>
  </si>
  <si>
    <t>01000211, 01000212,01000904</t>
  </si>
  <si>
    <t>011000166</t>
  </si>
  <si>
    <t>Playa 11 Watershed Study (City of Amarillo)</t>
  </si>
  <si>
    <t>011000167</t>
  </si>
  <si>
    <t>Diamond Horseshoe Lake Watershed Study (City of Amarillo)</t>
  </si>
  <si>
    <t>011000168</t>
  </si>
  <si>
    <t>McCarty Lake Watershed Study (City of Amarillo)</t>
  </si>
  <si>
    <t>01000211, 01000212,01000902</t>
  </si>
  <si>
    <t>011000169</t>
  </si>
  <si>
    <t>Willow Grove Lake Watershed Study (City of Amarillo)</t>
  </si>
  <si>
    <t>01000211, 01000212,01000903</t>
  </si>
  <si>
    <t>011000170</t>
  </si>
  <si>
    <t>Playa 35 Watershed Study (City of Amarillo)</t>
  </si>
  <si>
    <t>1112010301, 1112010305</t>
  </si>
  <si>
    <t>111201030107, 111201030501</t>
  </si>
  <si>
    <t>01000220, 01000255,01000913</t>
  </si>
  <si>
    <t>011000171</t>
  </si>
  <si>
    <t>Wild Horse Lake Watershed Study (City of Amarillo)</t>
  </si>
  <si>
    <t>110901050308, 110901050309, 110901050402, 111201030101, 111201030106</t>
  </si>
  <si>
    <t>01000110, 01000121, 01000124, 01000211, 01000215,01000907</t>
  </si>
  <si>
    <t>011000172</t>
  </si>
  <si>
    <t>Pump Station Rehab (City of Amarillo)</t>
  </si>
  <si>
    <t>Evaluate six current pump stations to identify improvements; selected based on stakeholder feedback</t>
  </si>
  <si>
    <t>011000173</t>
  </si>
  <si>
    <t>Convert Playa ASAPP Models into ICPR (City of Amarillo)</t>
  </si>
  <si>
    <t>Create Streamline Technologies ICPR Version 4 model of Amarillo Playas in order to more easily update and use models</t>
  </si>
  <si>
    <t>011000174</t>
  </si>
  <si>
    <t>Bivins Lake Dam Evaluation (City of Amarillo)</t>
  </si>
  <si>
    <t>Evaluate Bivins Lake and dam to determine potential modifications to enhance flood control function; selected based on USACE report and stakeholder feedback</t>
  </si>
  <si>
    <t>Randall, Deaf Smith</t>
  </si>
  <si>
    <t>11120102</t>
  </si>
  <si>
    <t>1112010203</t>
  </si>
  <si>
    <t>111201020302</t>
  </si>
  <si>
    <t>01000692</t>
  </si>
  <si>
    <t>01000243, 01000244, 00000271, 00000294</t>
  </si>
  <si>
    <t>Randall County FIS, Bivins Lake Dam Breach Model</t>
  </si>
  <si>
    <t>011000175</t>
  </si>
  <si>
    <t>Spring Draw Watershed Study </t>
  </si>
  <si>
    <t>Perform H&amp;H modeling, develop conceptual alternatives and OPCC, and rank projects. Marked as high priority in 2019 Amarillo DMP. Joint effort between Amarillo, Canyon, and Randall County </t>
  </si>
  <si>
    <t>111201020303</t>
  </si>
  <si>
    <t>01000696</t>
  </si>
  <si>
    <t>01002770, 01003426, 01000243</t>
  </si>
  <si>
    <t>01000227, 01000243, 00000271, 00000294, 01002770, 01003426</t>
  </si>
  <si>
    <t>011000176</t>
  </si>
  <si>
    <t>Tributary to West Amarillo Creek Watershed Study (City of Amarillo)</t>
  </si>
  <si>
    <t>01000121, 01000211,01000900</t>
  </si>
  <si>
    <t>011000177</t>
  </si>
  <si>
    <t xml:space="preserve">Canyon Drainage Master Plan _x000D_
</t>
  </si>
  <si>
    <t>Perform H&amp;H modeling, develop conceptual alternatives and OPCC, and rank projects, with a focus on downtown Canyon. Project identified from HMAP</t>
  </si>
  <si>
    <t>11120101, 11120102, 11120103</t>
  </si>
  <si>
    <t>1112010106, 1112010203, 1112010301</t>
  </si>
  <si>
    <t>111201010609, 111201020303, 111201020304, 111201030101</t>
  </si>
  <si>
    <t>01000211, 01000685, 01000696, 01000832</t>
  </si>
  <si>
    <t>01003426, 01000243</t>
  </si>
  <si>
    <t>01000243, 00000271, 00000294, 01003426</t>
  </si>
  <si>
    <t>011000178</t>
  </si>
  <si>
    <t>Improve Storm Water Drainage and Control Systems (City of Canyon)</t>
  </si>
  <si>
    <t>Initiate a centralized data collection program to identify recurring flooding locations based on citizen complaints and road maintenance logs; selected based on stakeholder feedback</t>
  </si>
  <si>
    <t>011000179</t>
  </si>
  <si>
    <t>Detailed Hydrologic and Hydraulic Study of the Wichita River </t>
  </si>
  <si>
    <t>Perform a detailed H&amp;H study of the Wichita River watershed with a focus on the area in and around Wichita Falls; selected based on stakeholder feedback</t>
  </si>
  <si>
    <t>Wichita, Foard, Cottle, Motley, Wilbarger, Knox, King, Dickens, Baylor, Archer</t>
  </si>
  <si>
    <t>11130204, 11130205, 11130206, 11130207</t>
  </si>
  <si>
    <t>1113020401, 1113020402, 1113020403, 1113020501, 1113020502, 1113020601, 1113020602, 1113020604, 1113020701, 1113020702, 1113020703, 1113020704</t>
  </si>
  <si>
    <t>01000914</t>
  </si>
  <si>
    <t>Archer County FIS, Wichita County FIS, Wichita River Floodplain Model, Red River Basin Corps Water Management System Report, Archer County BLE</t>
  </si>
  <si>
    <t>011000180</t>
  </si>
  <si>
    <t>Improve Creek Crossing (City of Palisades)</t>
  </si>
  <si>
    <t>Evaluate proposed improvements (upgrade bridge and increase channel flow) to current crossing to develop a cost, quantify benefits, evaluate impacts, and begin design. Project identified from survey response.</t>
  </si>
  <si>
    <t>01000005, 01000006</t>
  </si>
  <si>
    <t>011000183</t>
  </si>
  <si>
    <t>011000189</t>
  </si>
  <si>
    <t>Wichita County Drainage Master Plan</t>
  </si>
  <si>
    <t>Perform H&amp;H modeling, develop conceptual alternatives and OPCC, and rank projects; selected based on stakeholder feedback.</t>
  </si>
  <si>
    <t>011000190</t>
  </si>
  <si>
    <t>Randall County Culvert Evaluations</t>
  </si>
  <si>
    <t>Evaluate culverts and low water crossings for capacity and recommend alternatives for improvements. Locations specified by the county; selected based on stakeholder feedback.</t>
  </si>
  <si>
    <t>021000002</t>
  </si>
  <si>
    <t>Grayson County FIS</t>
  </si>
  <si>
    <t>Update or improve County to Zone AE</t>
  </si>
  <si>
    <t>Lower Red-Sulphur-Cypress</t>
  </si>
  <si>
    <t>Grayson</t>
  </si>
  <si>
    <t>12030103,12030106,11130210,11140101</t>
  </si>
  <si>
    <t>1203010302,1203010307,1203010303,1203010601,1203010603,1203010602,1113021004,1113021002,1113021005,1113021003,1114010105,1114010102,1114010104,1114010101</t>
  </si>
  <si>
    <t>02003001, 02003002</t>
  </si>
  <si>
    <t>Grayson County</t>
  </si>
  <si>
    <t>00000190</t>
  </si>
  <si>
    <t>Lake Texoma Base Level Engineering, City of Sherman Floodplain Mapping Updates, Bois DArc-Island Base Level Engineering</t>
  </si>
  <si>
    <t>Increases mapping coverage</t>
  </si>
  <si>
    <t>021000003</t>
  </si>
  <si>
    <t>Fannin County FIS</t>
  </si>
  <si>
    <t>Update County maps to Zone AE</t>
  </si>
  <si>
    <t>Fannin</t>
  </si>
  <si>
    <t>11140301,12030106,11140101</t>
  </si>
  <si>
    <t>1114030101,1114030102,1114030103,1203010601,1114010103,1114010108,1114010105,1114010102,1114010104,1114010101,1114010106</t>
  </si>
  <si>
    <t>Fannin County</t>
  </si>
  <si>
    <t>00000188</t>
  </si>
  <si>
    <t>Lake Texoma Base Level Engineering</t>
  </si>
  <si>
    <t>021000005</t>
  </si>
  <si>
    <t>Lamar County FIS</t>
  </si>
  <si>
    <t>Lamar</t>
  </si>
  <si>
    <t>11140106,11140301,11140302,11140101</t>
  </si>
  <si>
    <t>1114010601,1114030103,1114030104,1114030201,1114030202,1114010108,1114010105,1114010107,1114010106</t>
  </si>
  <si>
    <t>Lamar County</t>
  </si>
  <si>
    <t xml:space="preserve">02000192_x000D_
</t>
  </si>
  <si>
    <t>City of Paris Street and Drainage System Study, Lake Texoma Base Level Engineering, Pecan-Waterhole Base Level Engineering</t>
  </si>
  <si>
    <t>Increases Mapping Coverage</t>
  </si>
  <si>
    <t>021000006</t>
  </si>
  <si>
    <t>Delta County FIS</t>
  </si>
  <si>
    <t>Develop FIS for the County</t>
  </si>
  <si>
    <t>Delta</t>
  </si>
  <si>
    <t>11140301,11140302</t>
  </si>
  <si>
    <t>1114030101,1114030102,1114030103,1114030104,1114030201</t>
  </si>
  <si>
    <t>111403010106,111403010206,111403010407,111403010204,111403010404,111403010207,111403010203,111403010205,111403010208,111403010401,111403010305,111403010304,111403010306,111403010308,111403010402,111403010403,111403010406,111403020103</t>
  </si>
  <si>
    <t>02000037,02000041,02000042,02000043,02000044,02000047,02000050,02000051,02000052,02000054,02000055,02000056,02000057,02000059,02000060,02000061,02000062,02000242</t>
  </si>
  <si>
    <t>Delta County</t>
  </si>
  <si>
    <t xml:space="preserve">02000215_x000D_
</t>
  </si>
  <si>
    <t>021000007</t>
  </si>
  <si>
    <t>Hopkins County FIS</t>
  </si>
  <si>
    <t>Hopkins</t>
  </si>
  <si>
    <t>11140301,11140303,11140305,12010002,12010003,11140302</t>
  </si>
  <si>
    <t>1114030101,1114030102,1114030104,1114030301,1114030302,1114030501,1201000202,1201000301,1201000302,1114030201</t>
  </si>
  <si>
    <t>Hopkins County</t>
  </si>
  <si>
    <t>00000210</t>
  </si>
  <si>
    <t>021000008</t>
  </si>
  <si>
    <t>Red River County FIS</t>
  </si>
  <si>
    <t>Red River</t>
  </si>
  <si>
    <t>11140106,11140302,11140101</t>
  </si>
  <si>
    <t>1114010602,1114010601,1114010603,1114010604,1114030201,1114030205,1114030203,1114030202,1114010108,1114010107</t>
  </si>
  <si>
    <t>Red River County</t>
  </si>
  <si>
    <t xml:space="preserve">02000193_x000D_
</t>
  </si>
  <si>
    <t>Pecan-Waterhole Base Level Engineering, Lake Texoma Base Level Engineering</t>
  </si>
  <si>
    <t>021000009</t>
  </si>
  <si>
    <t>Franklin County FIS</t>
  </si>
  <si>
    <t>Franklin</t>
  </si>
  <si>
    <t>11140301,11140303,11140305,12010002,11140302</t>
  </si>
  <si>
    <t>1114030104,1114030301,1114030302,1114030501,1114030502,1201000202,1114030201</t>
  </si>
  <si>
    <t>111403010407,111403030201,111403030202,111403030111,111403030110,111403030204,111403030203,111403050203,111403050103,111403050201,111403050102,111403050101,111403050204,111403050202,120100020201,120100020202,111403020105,111403020106,111403020103</t>
  </si>
  <si>
    <t>02000042,02000063,02000064,02000065,02000072,02000073,02000074,02000082,02000083,02000084,02000085,02000086,02000089,02000103,02000172,02000173,02000214,02000215,02000242</t>
  </si>
  <si>
    <t>Franklin County</t>
  </si>
  <si>
    <t>00000213</t>
  </si>
  <si>
    <t>021000010</t>
  </si>
  <si>
    <t>Titus County FIS</t>
  </si>
  <si>
    <t>Titus</t>
  </si>
  <si>
    <t>11140303,11140305,11140302</t>
  </si>
  <si>
    <t>1114030302,1114030503,1114030502,1114030201,1114030203,1114030202</t>
  </si>
  <si>
    <t>Titus County</t>
  </si>
  <si>
    <t xml:space="preserve">02000214_x000D_
</t>
  </si>
  <si>
    <t>021000011</t>
  </si>
  <si>
    <t>Camp County FIS</t>
  </si>
  <si>
    <t>Camp</t>
  </si>
  <si>
    <t>11140305,11140307</t>
  </si>
  <si>
    <t>1114030503,1114030502,1114030504,1114030701</t>
  </si>
  <si>
    <t>111403050203,111403050201,111403050310,111403050302,111403050204,111403050303,111403050307,111403050401,111403050304,111403050202,111403050301,111403050308,111403070105,111403070106,111403070107</t>
  </si>
  <si>
    <t>02000082,02000084,02000087,02000088,02000089,02000090,02000093,02000096,02000102,02000103,02000104,02000105,02000139,02000140,02000141</t>
  </si>
  <si>
    <t>Camp County</t>
  </si>
  <si>
    <t xml:space="preserve">02000178_x000D_
</t>
  </si>
  <si>
    <t>021000013</t>
  </si>
  <si>
    <t>Upshur County FIS</t>
  </si>
  <si>
    <t>Upshur</t>
  </si>
  <si>
    <t>11140305,11140307,12010002</t>
  </si>
  <si>
    <t>1114030503,1114030504,1114030701,1114030702,1201000204,1201000205,1201000201,1201000202</t>
  </si>
  <si>
    <t>Upshur County</t>
  </si>
  <si>
    <t>00000119</t>
  </si>
  <si>
    <t>021000015</t>
  </si>
  <si>
    <t>Harrison County FIS</t>
  </si>
  <si>
    <t>Harrison</t>
  </si>
  <si>
    <t>11140305,11140306,11140307,12010002,11140304</t>
  </si>
  <si>
    <t>1114030504,1114030604,1114030601,1114030702,1201000206,1201000207,1201000209,1201000211,1114030404,1114030405</t>
  </si>
  <si>
    <t>Harrison County</t>
  </si>
  <si>
    <t>00000109</t>
  </si>
  <si>
    <t>021000016</t>
  </si>
  <si>
    <t>Marion County FIS</t>
  </si>
  <si>
    <t>Marion</t>
  </si>
  <si>
    <t>11140305,11140306,11140307</t>
  </si>
  <si>
    <t>1114030504,1114030603,1114030604,1114030601,1114030602,1114030702</t>
  </si>
  <si>
    <t>Marion County</t>
  </si>
  <si>
    <t>02000120</t>
  </si>
  <si>
    <t>021000017</t>
  </si>
  <si>
    <t>Cass County FIS</t>
  </si>
  <si>
    <t>Cass</t>
  </si>
  <si>
    <t>11140303,11140305,11140306,11140304,11140302</t>
  </si>
  <si>
    <t>1114030302,1114030503,1114030504,1114030603,1114030602,1114030402,1114030207,1114030204,1114030206</t>
  </si>
  <si>
    <t>Cass County</t>
  </si>
  <si>
    <t>02000249</t>
  </si>
  <si>
    <t>021000018</t>
  </si>
  <si>
    <t>Bowie County FIS</t>
  </si>
  <si>
    <t>Bowie</t>
  </si>
  <si>
    <t>11140106,11140201,11140302</t>
  </si>
  <si>
    <t>1114010605,1114010606,1114010604,1114020102,1114030205,1114030207,1114030203,1114030204,1114030206</t>
  </si>
  <si>
    <t>Bowie County, City of De Kalb</t>
  </si>
  <si>
    <t xml:space="preserve">02000216, 02003216_x000D_
</t>
  </si>
  <si>
    <t>Texarkana Flood Protection Planning Study, 	Pecan-Waterhole Base Level Engineering</t>
  </si>
  <si>
    <t>021000019</t>
  </si>
  <si>
    <t>Morris County FIS</t>
  </si>
  <si>
    <t>Morris</t>
  </si>
  <si>
    <t>11140303,11140305,11140306,11140302</t>
  </si>
  <si>
    <t>1114030302,1114030503,1114030504,1114030602,1114030203,1114030204</t>
  </si>
  <si>
    <t>111403030207,111403030208,111403050310,111403050305,111403050306,111403050309,111403050401,111403050403,111403050402,111403050304,111403060201,111403060202,111403060203,111403060206,111403020302,111403020303,111403020404,111403020402</t>
  </si>
  <si>
    <t>02000075,02000078,02000087,02000091,02000092,02000094,02000096,02000097,02000100,02000102,02000107,02000108,02000110,02000112,02000223,02000226,02000228,02000229</t>
  </si>
  <si>
    <t>Morris County</t>
  </si>
  <si>
    <t xml:space="preserve">02000211_x000D_
</t>
  </si>
  <si>
    <t>021000027</t>
  </si>
  <si>
    <t>De Kalb Stormwater Drainage</t>
  </si>
  <si>
    <t>Citywide evaluation of flooding impacts on streets and drainage structures</t>
  </si>
  <si>
    <t>11140106,11140302</t>
  </si>
  <si>
    <t>1114010605,1114030205</t>
  </si>
  <si>
    <t>111401060503,111403020501</t>
  </si>
  <si>
    <t>02000019,02000231</t>
  </si>
  <si>
    <t>City of De Kalb</t>
  </si>
  <si>
    <t xml:space="preserve">02003216_x000D_
</t>
  </si>
  <si>
    <t>Pecan-Waterhole Base Level Engineering</t>
  </si>
  <si>
    <t>Reduces Flood Risk</t>
  </si>
  <si>
    <t>021000030</t>
  </si>
  <si>
    <t>City of Hooks Infrastructure</t>
  </si>
  <si>
    <t>Widen ditches to increase the volume capacity of flash flood waters</t>
  </si>
  <si>
    <t>11140106</t>
  </si>
  <si>
    <t>1114010606</t>
  </si>
  <si>
    <t>111401060604</t>
  </si>
  <si>
    <t>02000022</t>
  </si>
  <si>
    <t>02005003, 02005004</t>
  </si>
  <si>
    <t>City of Hooks</t>
  </si>
  <si>
    <t xml:space="preserve">02003217_x000D_
</t>
  </si>
  <si>
    <t>Texarkana Flood Protection Planning Study</t>
  </si>
  <si>
    <t>021000031</t>
  </si>
  <si>
    <t>Upshur County Drainage</t>
  </si>
  <si>
    <t>Raise elevations and improve drainage for certain roads and streets within Region 2</t>
  </si>
  <si>
    <t>02006001, 02006002</t>
  </si>
  <si>
    <t>021000038</t>
  </si>
  <si>
    <t>City of Texarkana Buyout Study</t>
  </si>
  <si>
    <t>Study to prepare a strategy and develop a program for voluntary purchase of at-risk properties</t>
  </si>
  <si>
    <t>Bowie County</t>
  </si>
  <si>
    <t xml:space="preserve">02002424_x000D_
</t>
  </si>
  <si>
    <t xml:space="preserve">Texarkana Flood Protection Planning Study, Pecan-Waterhole Base Level Engineering </t>
  </si>
  <si>
    <t>021000054</t>
  </si>
  <si>
    <t>City of Ector Property Buyout</t>
  </si>
  <si>
    <t>Acquire flood-prone properties for use as park areas.</t>
  </si>
  <si>
    <t>11140101</t>
  </si>
  <si>
    <t>1114010104</t>
  </si>
  <si>
    <t>111401010402</t>
  </si>
  <si>
    <t>02000282</t>
  </si>
  <si>
    <t>02005001, 02005002</t>
  </si>
  <si>
    <t>City of Ector</t>
  </si>
  <si>
    <t xml:space="preserve">02003065_x000D_
</t>
  </si>
  <si>
    <t>021000056</t>
  </si>
  <si>
    <t>Cooke County Acquisition of Repetitive Loss and Damaged Properties</t>
  </si>
  <si>
    <t>Purchase and removal of damaged homes that are located in the floodplain and buy-out of repetitive flood loss properties in Region 2</t>
  </si>
  <si>
    <t>12030103,12030104,11130201,11130210</t>
  </si>
  <si>
    <t>1203010301,1203010302,1203010305,1203010306,1203010307,1203010303,1203010304,1203010401,1113020105,1113020107,1113021004,1113021002,1113021003</t>
  </si>
  <si>
    <t>120301030105,120301030201,111302010708,111302100201,111302100401,111302100404,111302100405,111302100202,111302100304,111302100204,111302100205,111302100305</t>
  </si>
  <si>
    <t>02000182,02000184,02000193,02000246,02000247,02000250,02000253,02000254,02000255,02000258,02000259,02000260</t>
  </si>
  <si>
    <t>Cooke County</t>
  </si>
  <si>
    <t>Bois DArc-Island Base Level Engineering</t>
  </si>
  <si>
    <t>021000057</t>
  </si>
  <si>
    <t>Grayson County Buyout of Repetitive Flood Properties</t>
  </si>
  <si>
    <t>Work with local jurisdiction in the buy-out of repetitive flood properties. This includes any structures found to be located in flood areas that are in incorporated and unincorporated areas.</t>
  </si>
  <si>
    <t>Bois DArc-Island Base Level Engineering, City of Sherman Floodplain Mapping Updates, Lake Texoma Base Level Engineering</t>
  </si>
  <si>
    <t>021000058</t>
  </si>
  <si>
    <t>Harrison County Property Acquisition</t>
  </si>
  <si>
    <t>Acquisition and management strategies of land to preserve open space within Region 2 for flood mitigation and water quality in the floodplain.</t>
  </si>
  <si>
    <t>021000059</t>
  </si>
  <si>
    <t>Marion County Barriers</t>
  </si>
  <si>
    <t>Install low water crossing barriers, similar to railroad crossing barriers.</t>
  </si>
  <si>
    <t>02002001, 02002002</t>
  </si>
  <si>
    <t xml:space="preserve">02000120_x000D_
</t>
  </si>
  <si>
    <t>021000060</t>
  </si>
  <si>
    <t>City of Texarkana Gauges</t>
  </si>
  <si>
    <t>Install depth gauges and radio-controlled guard arms at three flood-prone underpasses and warning lights and a “Do Not Enter” sign at flood-prone residential intersection.</t>
  </si>
  <si>
    <t>1114010606,1114020102,1114030207</t>
  </si>
  <si>
    <t>111402010201,111403020704,111401060604,111403020705,111403020703,111403020701</t>
  </si>
  <si>
    <t>02000001,02000002,02000022,02000206,02000208,02000239</t>
  </si>
  <si>
    <t xml:space="preserve">City of Texarkana </t>
  </si>
  <si>
    <t>02002424</t>
  </si>
  <si>
    <t>021000021</t>
  </si>
  <si>
    <t>City of Clarksville Deleware Creek</t>
  </si>
  <si>
    <t>Debris, Vegetation Removal, and Channelization</t>
  </si>
  <si>
    <t>11140302</t>
  </si>
  <si>
    <t>1114030202</t>
  </si>
  <si>
    <t>111403020206</t>
  </si>
  <si>
    <t>02000212</t>
  </si>
  <si>
    <t>City of Clarksville</t>
  </si>
  <si>
    <t xml:space="preserve">02002620_x000D_
</t>
  </si>
  <si>
    <t>021000022</t>
  </si>
  <si>
    <t>New Boston Unnamed Stream 1</t>
  </si>
  <si>
    <t>1114010605,1114030205,1114030206</t>
  </si>
  <si>
    <t>111401060505,111403020503,111403020603</t>
  </si>
  <si>
    <t>02000005,02000219,02000235</t>
  </si>
  <si>
    <t>City of New Boston</t>
  </si>
  <si>
    <t xml:space="preserve">02003219_x000D_
</t>
  </si>
  <si>
    <t>021000023</t>
  </si>
  <si>
    <t>New Boston Unnamed Stream 2</t>
  </si>
  <si>
    <t>021000024</t>
  </si>
  <si>
    <t>Nash Unnamed Stream 1</t>
  </si>
  <si>
    <t>1114030207</t>
  </si>
  <si>
    <t>111403020704,111403020705,111403020701</t>
  </si>
  <si>
    <t>02000002,02000206,02000239</t>
  </si>
  <si>
    <t xml:space="preserve">02000216_x000D_
</t>
  </si>
  <si>
    <t>021000025</t>
  </si>
  <si>
    <t>Nash Unnamed Stream 2</t>
  </si>
  <si>
    <t>021000032</t>
  </si>
  <si>
    <t>Cowhorn Creek East</t>
  </si>
  <si>
    <t>Extend current H&amp;H study limits to the upstream detention pond. Evaluate existing flooding and develop mitigation actions.</t>
  </si>
  <si>
    <t>11140201,11140302</t>
  </si>
  <si>
    <t>1114020102,1114030207</t>
  </si>
  <si>
    <t>111402010201,111403020704</t>
  </si>
  <si>
    <t>02000001,02000002</t>
  </si>
  <si>
    <t>City of Texarkana</t>
  </si>
  <si>
    <t>021000035</t>
  </si>
  <si>
    <t xml:space="preserve">Cowhorn West Creek </t>
  </si>
  <si>
    <t>Arroyo Street additional modeling to address flooding</t>
  </si>
  <si>
    <t>021000037</t>
  </si>
  <si>
    <t>Stream WC-1</t>
  </si>
  <si>
    <t>Street flooding near McKnight and Jonathan Street. Storm drain system evaluation and development of alternatives to increase community access for 40-50 houses.</t>
  </si>
  <si>
    <t>111403020704</t>
  </si>
  <si>
    <t>02000002</t>
  </si>
  <si>
    <t>021000039</t>
  </si>
  <si>
    <t>City of Atlanta High School Lane Project/Phase No. 2</t>
  </si>
  <si>
    <t>Perform channel improvements between Hwy 77 &amp; Main St</t>
  </si>
  <si>
    <t>11140304,11140302</t>
  </si>
  <si>
    <t>1114030402,1114030207</t>
  </si>
  <si>
    <t>111403040201,111403040202,111403020702</t>
  </si>
  <si>
    <t>02000196,02000197,02000205</t>
  </si>
  <si>
    <t>02006001, 02006002. 02006003, 02006004</t>
  </si>
  <si>
    <t>City of Atlanta</t>
  </si>
  <si>
    <t>02003081</t>
  </si>
  <si>
    <t>021000040</t>
  </si>
  <si>
    <t>City of Atlanta Eleanor St and Red Bluff St. Project/Phase No. 3</t>
  </si>
  <si>
    <t>Replace culvert crossings</t>
  </si>
  <si>
    <t>021000041</t>
  </si>
  <si>
    <t>City of Atlanta Park View St and Jefferson St. Project/Phase No. 4</t>
  </si>
  <si>
    <t>Install culvert crossing</t>
  </si>
  <si>
    <t>021000042</t>
  </si>
  <si>
    <t>City of Paris Big Sandy Cr Tribs 4 and 6 Improvements</t>
  </si>
  <si>
    <t>Re-grade channel downstream of Clarksville Ave. and establish concrete channel upstream of Clarksville Ave. Channel improvements in the upper portion of Tributary 4. Tributary 6 channel improvements and culvert replacement.</t>
  </si>
  <si>
    <t>11140301,11140101</t>
  </si>
  <si>
    <t>1114030104,1114010107</t>
  </si>
  <si>
    <t>111403010405,111401010702</t>
  </si>
  <si>
    <t>02000040,02000271</t>
  </si>
  <si>
    <t>02006003, 02006004</t>
  </si>
  <si>
    <t>City of Paris</t>
  </si>
  <si>
    <t>02002501</t>
  </si>
  <si>
    <t>City of Paris Street and Drainage System Study</t>
  </si>
  <si>
    <t>021000020</t>
  </si>
  <si>
    <t>Sulphur River (Main Stem) Log Jams</t>
  </si>
  <si>
    <t>Log and debris jams along Sulphur River near Highway 37</t>
  </si>
  <si>
    <t>Franklin,Hopkins,Delta</t>
  </si>
  <si>
    <t>11140301,11140303,11140302</t>
  </si>
  <si>
    <t>1114030104,1114030302,1114030201</t>
  </si>
  <si>
    <t>111403010407,111403030202,111403030204,111403020102,111403020105,111403020106,111403020104,111403020103</t>
  </si>
  <si>
    <t>02000042,02000064,02000073,02000210,02000214,02000215,02000240,02000242</t>
  </si>
  <si>
    <t>Sulphur River Basin Authority</t>
  </si>
  <si>
    <t>00000281</t>
  </si>
  <si>
    <t>021000026</t>
  </si>
  <si>
    <t>Anderson Creek WWTP Flood Study</t>
  </si>
  <si>
    <t>WWTP was impacted by flooding from Anderson Creek. Study to evaluate whether existing berm meets 100-year protection and to evaluate the needs for sump pumps and lift station.</t>
  </si>
  <si>
    <t>1114010605,1114030205,1114030204</t>
  </si>
  <si>
    <t>111401060503,111403020403,111403020501</t>
  </si>
  <si>
    <t>02000019,02000230,02000231</t>
  </si>
  <si>
    <t>021000033</t>
  </si>
  <si>
    <t>Wadley Hospital Flood Study</t>
  </si>
  <si>
    <t>Flood study to define flood risk and mitigation options.</t>
  </si>
  <si>
    <t>111402010201,111403020704,111403020705</t>
  </si>
  <si>
    <t>02000001,02000002,02000206</t>
  </si>
  <si>
    <t>021000034</t>
  </si>
  <si>
    <t>Urban Flooding at 19th and Wood Street</t>
  </si>
  <si>
    <t>Flood study to define flood risk and mitigation options. Houses flood 4-5 times per year.</t>
  </si>
  <si>
    <t>021000063</t>
  </si>
  <si>
    <t>City of Nash Floodplain Study</t>
  </si>
  <si>
    <t>Drainage study to adopt floodplain.</t>
  </si>
  <si>
    <t>City of Nash</t>
  </si>
  <si>
    <t xml:space="preserve">02003218_x000D_
</t>
  </si>
  <si>
    <t>021000064</t>
  </si>
  <si>
    <t>Pecan to Waggoner Creek Channel Improvements</t>
  </si>
  <si>
    <t>Channel improvements east of Pecan to Waggoner Creek.</t>
  </si>
  <si>
    <t>111402010201,111403020704,111401060604,111403020701</t>
  </si>
  <si>
    <t>02000001,02000002,02000022,02000239</t>
  </si>
  <si>
    <t>021000045</t>
  </si>
  <si>
    <t>Update to City of Paris Comprehensive Stormwater Plan Study</t>
  </si>
  <si>
    <t>Comprehensive Hydrologic and Hydraulic study to evaluate drainage improvements along 5th St., 7th St., Trail de Paris, E. Sycamore, 31st St., Wilburn St., and 4th St.</t>
  </si>
  <si>
    <t>1114030103,1114030104,1114010107</t>
  </si>
  <si>
    <t>111403010405,111403010307,111403010406,111401010702</t>
  </si>
  <si>
    <t>02000040,02000058,02000062,02000271</t>
  </si>
  <si>
    <t>021000065</t>
  </si>
  <si>
    <t>South Sulphur River Log Jams</t>
  </si>
  <si>
    <t>Log and debris jams along South Sulphur River near FM 71</t>
  </si>
  <si>
    <t>11140301,11140303,12010001,12010003,12030106,11140101</t>
  </si>
  <si>
    <t>1114030101,1114030102,1114030103,1114030301,1201000101,1201000301,1203010601,1114010105</t>
  </si>
  <si>
    <t>021000062</t>
  </si>
  <si>
    <t>North Sulphur River Channel Stability and Flooding Study</t>
  </si>
  <si>
    <t>Channel stability along North Sulphur River and Highway 24</t>
  </si>
  <si>
    <t>Lamar,Delta,Fannin</t>
  </si>
  <si>
    <t>11140301,11140303,11140302,11140101</t>
  </si>
  <si>
    <t>1114030101,1114030102,1114030103,1114030104,1114030301,1114030302,1114030201,1114010105,1114010107,1114010106</t>
  </si>
  <si>
    <t>021000029</t>
  </si>
  <si>
    <t>Red River Levee and Navigation System</t>
  </si>
  <si>
    <t>Study flood mitigation benefits of a levee and navigation system on the Lower Red, based on planning by USACE</t>
  </si>
  <si>
    <t>1114010605,1114010606,1114010604,1114020102,1114030205,1114030206</t>
  </si>
  <si>
    <t>City of De Kalb, Red River Valley Association</t>
  </si>
  <si>
    <t>021000066</t>
  </si>
  <si>
    <t>Pig Branch Watershed Culvert Study Update</t>
  </si>
  <si>
    <t>Study to provide the city with updated drainage information to alleviate existing and potential flood damages for various crossings.</t>
  </si>
  <si>
    <t>1114010105</t>
  </si>
  <si>
    <t>111401010504,111401010503</t>
  </si>
  <si>
    <t>02000287,02000288</t>
  </si>
  <si>
    <t>City of Bonham</t>
  </si>
  <si>
    <t>02003063</t>
  </si>
  <si>
    <t>1D BLE</t>
  </si>
  <si>
    <t>031000002</t>
  </si>
  <si>
    <t>Anderson County FEMA Mapping</t>
  </si>
  <si>
    <t>Create FEMA mapping in previously unmapped areas and update existing FEMA maps as needed.</t>
  </si>
  <si>
    <t>Trinity</t>
  </si>
  <si>
    <t xml:space="preserve">Anderson </t>
  </si>
  <si>
    <t>12030201,12030105,12020001</t>
  </si>
  <si>
    <t>1203020103,1202000105,1203020104,1203010505,1203020107,1202000103,1202000104,1202000107,1203020102</t>
  </si>
  <si>
    <t>120301050506,120302010204,120302010205, 120302010301,120302010208,120302010302, 120302010206,120302010207,120302010303, 120302010305,120302010304,120302010402, 120302010403,120302010401,120302010406, 120302010404,120302010405,120302010702, 120302010707,12</t>
  </si>
  <si>
    <t>03000194,03000330,03000343,03000344,03000345,03000346,03000347,03000348,03000349,03000350,03000351,03000352,03000353,03000354,03000355,03000356,03000357,03000358,03000359,03000371,03000372</t>
  </si>
  <si>
    <t>03000005, 03000006</t>
  </si>
  <si>
    <t>00000156</t>
  </si>
  <si>
    <t>&lt;Null&gt;</t>
  </si>
  <si>
    <t>031000003</t>
  </si>
  <si>
    <t xml:space="preserve">Chambers County FEMA Mapping </t>
  </si>
  <si>
    <t xml:space="preserve">Chambers </t>
  </si>
  <si>
    <t>12030203,12040203,12040204,12040201,12040202</t>
  </si>
  <si>
    <t>1204020203,1204020301,1204020402,1204020201,1204020302,1204020101,1203020302,1204020202,1204020204,1203020303,1204020401</t>
  </si>
  <si>
    <t>120302030202,120402030105,120302030203,120402040100,120402020300,120302030307,120402010100,120402020400,120402040200,120402020200,120302030204,120402030106,120402030200,120402020100,120302030306,120302030304,120402030104</t>
  </si>
  <si>
    <t>03000461,03000462,03000466,03000468</t>
  </si>
  <si>
    <t>Local</t>
  </si>
  <si>
    <t>031000004</t>
  </si>
  <si>
    <t xml:space="preserve">Clay County FEMA Mapping </t>
  </si>
  <si>
    <t xml:space="preserve">Clay </t>
  </si>
  <si>
    <t>12030101,11130209,11130102,11130206,11130201</t>
  </si>
  <si>
    <t>1113020905,1203010105,1113020903,1203010101,1113020605,1113010203,1113020904,1113020102,1113020101,1203010102</t>
  </si>
  <si>
    <t>03000003,03000012,03000013,03000014,03000016,03000032,03000033</t>
  </si>
  <si>
    <t>031000005</t>
  </si>
  <si>
    <t xml:space="preserve">Collin County FEMA Mapping </t>
  </si>
  <si>
    <t xml:space="preserve">Collin </t>
  </si>
  <si>
    <t>12030106,12030103,12030105,12010001</t>
  </si>
  <si>
    <t>1203010501,1201000103,1203010602,1203010309,1201000102,1203010307,1203010603,1203010604,1203010310,1203010601</t>
  </si>
  <si>
    <t>00000207</t>
  </si>
  <si>
    <t>031000006</t>
  </si>
  <si>
    <t xml:space="preserve">Cooke County FEMA Mapping </t>
  </si>
  <si>
    <t xml:space="preserve">Cooke </t>
  </si>
  <si>
    <t>12030103,12030104,11130210,11130201</t>
  </si>
  <si>
    <t>1203010305,1203010401,1203010306,1113020107,1203010303,1113021004,1113021002,1113021003,1203010304,1203010301,1203010307,1203010302,1113020105</t>
  </si>
  <si>
    <t>03000098,03000099,03000100,03000101,03000102,03000103,03000104,03000105,03000106,03000107,03000108,03000109,03000110,03000111,03000112,03000113,03000115,03000116,03000117,03000118,03000119,03000122,03000123,03000124,03000125,03000126,03000131,03000152</t>
  </si>
  <si>
    <t>031000007</t>
  </si>
  <si>
    <t>Denton County FEMA Mapping</t>
  </si>
  <si>
    <t xml:space="preserve">Denton </t>
  </si>
  <si>
    <t>12030103,12030104,12030105</t>
  </si>
  <si>
    <t>1203010501,1203010308,1203010305,1203010306,1203010402,1203010303,1203010309,1203010304,1203010307,1203010310,1203010403</t>
  </si>
  <si>
    <t>03000208</t>
  </si>
  <si>
    <t>031000008</t>
  </si>
  <si>
    <t xml:space="preserve">Ellis County FEMA Mapping </t>
  </si>
  <si>
    <t xml:space="preserve">Ellis </t>
  </si>
  <si>
    <t>12030109,12030102,12030105,12030108</t>
  </si>
  <si>
    <t>1203010901,1203010904,1203010504,1203010902,1203010801,1203010502,1203010903,1203010503,1203010206</t>
  </si>
  <si>
    <t>03000105</t>
  </si>
  <si>
    <t>031000009</t>
  </si>
  <si>
    <t xml:space="preserve">Fannin County FEMA Mapping </t>
  </si>
  <si>
    <t xml:space="preserve">Fannin </t>
  </si>
  <si>
    <t>12030106,11140101,11140301,11140102</t>
  </si>
  <si>
    <t>1114010108,1114030103,1114010101,1114030101,1114010106,1114010103,1114010102,1114010105,1114010202,1114030102,1114010104,1203010601</t>
  </si>
  <si>
    <t>03000207,03000208,03000209,03000210</t>
  </si>
  <si>
    <t>031000010</t>
  </si>
  <si>
    <t xml:space="preserve">Freestone County FEMA Mapping </t>
  </si>
  <si>
    <t xml:space="preserve">Freestone </t>
  </si>
  <si>
    <t>12030201,12070103,12030105,12030108</t>
  </si>
  <si>
    <t>1203020103,1203020106,1203020101,1203020104,1203010505,1203020107,1203010804,1203020105,1207010303</t>
  </si>
  <si>
    <t>00000143</t>
  </si>
  <si>
    <t>031000011</t>
  </si>
  <si>
    <t xml:space="preserve">Grayson County FEMA Mapping </t>
  </si>
  <si>
    <t xml:space="preserve">Grayson </t>
  </si>
  <si>
    <t>12030106,11140101,12030103,11130210</t>
  </si>
  <si>
    <t>1114010101,1203010602,1203010303,1113021004,1113021002,1113021003,1114010102,1114010105,1203010307,1203010603,1203010302,1114010104,1113021005,1203010601</t>
  </si>
  <si>
    <t>03000103,03000104,03000108,03000120,03000121,03000122,03000123,03000129,03000131,03000132,03000210,03000211,03000212,03000213,03000215,03000220,03000221</t>
  </si>
  <si>
    <t>031000012</t>
  </si>
  <si>
    <t xml:space="preserve">Grimes County FEMA Mapping </t>
  </si>
  <si>
    <t xml:space="preserve">Grimes </t>
  </si>
  <si>
    <t>12070103,12040101,12070101,12040102,12030202</t>
  </si>
  <si>
    <t>1207010307,1204010101,1203020204,1203020205,1204010202,1207010308,1207010305,1207010108,1204010103,1207010306</t>
  </si>
  <si>
    <t>03000374,03000394,03000397,03000398,03000399</t>
  </si>
  <si>
    <t>031000013</t>
  </si>
  <si>
    <t xml:space="preserve">Henderson County FEMA Mapping </t>
  </si>
  <si>
    <t xml:space="preserve">Henderson </t>
  </si>
  <si>
    <t>12030201,12030107,12030105,12020001</t>
  </si>
  <si>
    <t>1202000102,1203010504,1203010703,1203010505,1202000103,1202000104,1203020102,1202000101</t>
  </si>
  <si>
    <t>03000186,03000189,03000192,03000193,03000194,03000198,03000200,03000201,03000202,03000239,03000258,03000259,03000260,03000261,03000262,03000263,03000264,03000265,03000266,03000267,03000341,03000342,03000343,03000344,03000345</t>
  </si>
  <si>
    <t>00000164</t>
  </si>
  <si>
    <t>031000014</t>
  </si>
  <si>
    <t xml:space="preserve">Hill County FEMA Mapping </t>
  </si>
  <si>
    <t xml:space="preserve">Hill </t>
  </si>
  <si>
    <t>12030109,12070103,12030108,12060202</t>
  </si>
  <si>
    <t>1203010901,1206020206,1206020203,1203010802,1207010301,1203010803,1203010902,1203010801,1206020204,1206020207,1206020202,1206020205</t>
  </si>
  <si>
    <t>03000268,03000269,03000270,03000271,03000272,03000273,03000274,03000275,03000276,03000277,03000278,03000280,03000284,03000305,03000309,03000318,03000319</t>
  </si>
  <si>
    <t>00000161</t>
  </si>
  <si>
    <t>031000015</t>
  </si>
  <si>
    <t xml:space="preserve">Hood County FEMA Mapping </t>
  </si>
  <si>
    <t xml:space="preserve">Hood </t>
  </si>
  <si>
    <t>12060201,12030102,12060202</t>
  </si>
  <si>
    <t>1206020111,1206020201,1206020112,1206020113,1203010203</t>
  </si>
  <si>
    <t>03000065</t>
  </si>
  <si>
    <t>00000103</t>
  </si>
  <si>
    <t>031000016</t>
  </si>
  <si>
    <t xml:space="preserve">Houston County FEMA Mapping </t>
  </si>
  <si>
    <t xml:space="preserve">Houston </t>
  </si>
  <si>
    <t>12020002,12030201,12020001,12030202</t>
  </si>
  <si>
    <t>1203020207,1202000105,1202000201,1203020208,1202000204,1203020203,1203020104,1203020206,1202000202,1203020107,1202000107</t>
  </si>
  <si>
    <t>03000327,03000328,03000329,03000330,03000358,03000371,03000372,03000373,03000384,03000385,03000386,03000387,03000388,03000390,03000406,03000407,03000408,03000409,03000410,03000411,03000412,03000413,03000414,03000416,03000417,03000428</t>
  </si>
  <si>
    <t>00000128</t>
  </si>
  <si>
    <t>031000017</t>
  </si>
  <si>
    <t xml:space="preserve">Hunt County FEMA Mapping </t>
  </si>
  <si>
    <t xml:space="preserve">Hunt  </t>
  </si>
  <si>
    <t>12030106,11140301,12030107,12010003,12010001</t>
  </si>
  <si>
    <t>1201000103,1201000104,1114030101,1201000101,1201000102,1203010701,1114030102,1201000301,1203010601</t>
  </si>
  <si>
    <t>03000207,03000208,03000241</t>
  </si>
  <si>
    <t>00000212</t>
  </si>
  <si>
    <t>031000018</t>
  </si>
  <si>
    <t xml:space="preserve">Jack County FEMA Mapping </t>
  </si>
  <si>
    <t xml:space="preserve">Jack </t>
  </si>
  <si>
    <t>12060201,12030101</t>
  </si>
  <si>
    <t>1206020111,1206020102,1203010103,1203010105,1206020106,1203010101,1203010104,1203010102</t>
  </si>
  <si>
    <t>03000001,03000002,03000003,03000004,03000007,03000008,03000009,03000010,03000011,03000012,03000013,03000014,03000015,03000016,03000017,03000018,03000019,03000020,03000021,03000022,03000023,03000025,03000026,03000027,03000029,03000033,03000040</t>
  </si>
  <si>
    <t>00000253</t>
  </si>
  <si>
    <t>031000019</t>
  </si>
  <si>
    <t xml:space="preserve">Johnson County FEMA Mapping </t>
  </si>
  <si>
    <t xml:space="preserve">Johnson </t>
  </si>
  <si>
    <t>12030109,12060201,12030102,12060202</t>
  </si>
  <si>
    <t>1203010901,1206020203,1203010204,1206020202,1206020113,1203010203,1203010206,1206020205</t>
  </si>
  <si>
    <t>03000065,03000066,03000067,03000068,03000072,03000073,03000087,03000088,03000089,03000090,03000091,03000313,03000314,03000315,03000318,03000319</t>
  </si>
  <si>
    <t>00000104</t>
  </si>
  <si>
    <t>031000020</t>
  </si>
  <si>
    <t xml:space="preserve">Kaufman County FEMA Mapping </t>
  </si>
  <si>
    <t xml:space="preserve">Kaufman </t>
  </si>
  <si>
    <t>12030106,12030107,12030105,12010001</t>
  </si>
  <si>
    <t>1203010702,1201000103,1203010504,1203010605,1201000104,1203010703,1203010505,1203010701,1201000105,1203010502,1203010604</t>
  </si>
  <si>
    <t>00000108</t>
  </si>
  <si>
    <t>031000021</t>
  </si>
  <si>
    <t xml:space="preserve">Leon County FEMA Mapping </t>
  </si>
  <si>
    <t xml:space="preserve">Leon </t>
  </si>
  <si>
    <t>12030201,12070103,12030202</t>
  </si>
  <si>
    <t>1207010304,1203020204,1203020106,1203020202,1207010305,1203020203,1203020104,1203020107,1203020201,1203020105,1207010303</t>
  </si>
  <si>
    <t>03000330,03000357,03000359,03000360,03000362,03000363,03000364,03000365,03000369,03000370,03000371,03000375,03000376,03000377,03000378,03000379,03000380,03000381,03000382,03000383,03000384,03000387,03000389,03000390,03000391</t>
  </si>
  <si>
    <t>00000132</t>
  </si>
  <si>
    <t>031000022</t>
  </si>
  <si>
    <t xml:space="preserve">Liberty County FEMA Mapping </t>
  </si>
  <si>
    <t xml:space="preserve">Liberty </t>
  </si>
  <si>
    <t>12040103,12030203,12040203,12040201,12040202,12020007,12030202</t>
  </si>
  <si>
    <t>1203020301,1204020301,1204020201,1202000701,1204020101,1203020302,1204010304,1204020202,1204010301,1204010302,1203020212,1202000702,1203020303</t>
  </si>
  <si>
    <t>03000448,03000449,03000450,03000451,03000452,03000453,03000454,03000455,03000456,03000457,03000458,03000459,03000460,03000461,03000462,03000463,03000464,03000465,03000466,03000467,03000468</t>
  </si>
  <si>
    <t>031000023</t>
  </si>
  <si>
    <t xml:space="preserve">Limestone County FEMA Mapping </t>
  </si>
  <si>
    <t xml:space="preserve">Limestone </t>
  </si>
  <si>
    <t>12030201,12070103,12070101,12030108,12060202</t>
  </si>
  <si>
    <t>1207010304,1207010105,1207010301,1207010102,1203010803,1207010302,1207010103,1203020101,1206020207,1207010303</t>
  </si>
  <si>
    <t>03000284,03000285,03000286,03000287,03000331,03000332</t>
  </si>
  <si>
    <t>00000137</t>
  </si>
  <si>
    <t>031000024</t>
  </si>
  <si>
    <t xml:space="preserve">Madison County FEMA Mapping </t>
  </si>
  <si>
    <t xml:space="preserve">Madison </t>
  </si>
  <si>
    <t>12070103,12030202</t>
  </si>
  <si>
    <t>1203020204,1203020205,1203020202,1207010305,1203020203,1203020206,1207010306</t>
  </si>
  <si>
    <t>03000374,03000381,03000389,03000390,03000391,03000392,03000393,03000394,03000395,03000396,03000397,03000400,03000401,03000402,03000403,03000404,03000405,03000406,03000408</t>
  </si>
  <si>
    <t>00000055</t>
  </si>
  <si>
    <t>031000025</t>
  </si>
  <si>
    <t xml:space="preserve">Montague County FEMA Mapping </t>
  </si>
  <si>
    <t xml:space="preserve">Montague </t>
  </si>
  <si>
    <t>12030103,12030104,12030101,11130209,11130201</t>
  </si>
  <si>
    <t>1113020905,1203010305,1203010401,1203010105,1113020107,1203010104,1203010301,1113020102,1113020105</t>
  </si>
  <si>
    <t>03000021,03000032,03000033,03000034,03000039,03000040,03000041,03000042,03000043,03000115,03000116,03000117,03000119,03000150,03000151,03000152,03000165,03000166</t>
  </si>
  <si>
    <t>031000026</t>
  </si>
  <si>
    <t xml:space="preserve">Navarro County FEMA Mapping </t>
  </si>
  <si>
    <t xml:space="preserve">Navarro </t>
  </si>
  <si>
    <t>12030109,12030201,12030107,12030105,12030108</t>
  </si>
  <si>
    <t>1203010802,1203010904,1203010504,1203010803,1203010703,1203010902,1203010801,1203020101,1203010505,1203010903,1203010804</t>
  </si>
  <si>
    <t>03000163</t>
  </si>
  <si>
    <t>031000027</t>
  </si>
  <si>
    <t xml:space="preserve">Parker County FEMA Mapping </t>
  </si>
  <si>
    <t xml:space="preserve">Parker </t>
  </si>
  <si>
    <t>12060201,12030101,12030102</t>
  </si>
  <si>
    <t>1206020111,1203010201,1206020106,1203010104,1206020112,1203010202,1206020113,1203010203,1206020110,1203010106</t>
  </si>
  <si>
    <t>03000027,03000028,03000035,03000038,03000049,03000050,03000051,03000053,03000054,03000055,03000057,03000058,03000059,03000060,03000061,03000062,03000063,03000064,03000065,03000066,03000067,03000069,03000070</t>
  </si>
  <si>
    <t>00000122</t>
  </si>
  <si>
    <t>031000028</t>
  </si>
  <si>
    <t xml:space="preserve">Polk County FEMA Mapping </t>
  </si>
  <si>
    <t xml:space="preserve">Polk </t>
  </si>
  <si>
    <t>12020002,12020006,12020007,12030202</t>
  </si>
  <si>
    <t>1203020210,1203020211,1202000601,1202000204,1202000205,1202000602,1203020209,1202000203,1202000604,1203020212,1202000702</t>
  </si>
  <si>
    <t>03000423,03000424,03000425,03000426,03000433,03000434,03000435,03000436,03000437,03000439,03000440,03000441,03000442,03000443,03000445,03000446,03000447,03000448,03000449,03000450</t>
  </si>
  <si>
    <t>00000058</t>
  </si>
  <si>
    <t>General Revenue</t>
  </si>
  <si>
    <t>031000029</t>
  </si>
  <si>
    <t xml:space="preserve">Rockwall County FEMA Mapping </t>
  </si>
  <si>
    <t xml:space="preserve">Rockwall </t>
  </si>
  <si>
    <t>12030106,12030107,12010001</t>
  </si>
  <si>
    <t>1201000103,1203010605,1203010701,1203010604</t>
  </si>
  <si>
    <t>120301060409,120301060402,120301060502,120301060401,120100010301,120301070101,120301060403,120301070102,120100010302</t>
  </si>
  <si>
    <t>03000204,03000205,03000226,03000231,03000233,03000240,03000241</t>
  </si>
  <si>
    <t>00000175</t>
  </si>
  <si>
    <t>031000030</t>
  </si>
  <si>
    <t xml:space="preserve">San Jacinto County FEMA Mapping </t>
  </si>
  <si>
    <t xml:space="preserve">San Jacinto  </t>
  </si>
  <si>
    <t>12040103,12030203,12030202</t>
  </si>
  <si>
    <t>1203020301,1203020211,1203020208,1204010303,1204010304,1204010301,1204010302,1203020212</t>
  </si>
  <si>
    <t>03000432,03000438,03000440,03000441,03000442,03000443,03000444,03000450,03000452</t>
  </si>
  <si>
    <t>031000031</t>
  </si>
  <si>
    <t xml:space="preserve">Trinity County FEMA Mapping </t>
  </si>
  <si>
    <t xml:space="preserve">Trinity </t>
  </si>
  <si>
    <t>12020002,12030202</t>
  </si>
  <si>
    <t>1203020207,1203020211,1203020208,1202000204,1202000202,1203020209,1202000203</t>
  </si>
  <si>
    <t>03000411,03000413,03000415,03000416,03000417,03000418,03000419,03000420,03000421,03000423,03000424,03000431,03000432,03000433,03000439,03000440</t>
  </si>
  <si>
    <t>00000065</t>
  </si>
  <si>
    <t>031000032</t>
  </si>
  <si>
    <t xml:space="preserve">Van Zandt County FEMA Mapping </t>
  </si>
  <si>
    <t xml:space="preserve">Van Zandt </t>
  </si>
  <si>
    <t>12030107,12020001,12010001</t>
  </si>
  <si>
    <t>1203010702,1201000106,1202000102,1201000104,1203010703,1201000105,1202000103,1202000101</t>
  </si>
  <si>
    <t>03000239,03000252,03000253,03000254,03000255,03000257,03000259,03000260,03000261,03000262</t>
  </si>
  <si>
    <t>00000110</t>
  </si>
  <si>
    <t>031000033</t>
  </si>
  <si>
    <t xml:space="preserve">Walker County FEMA Mapping </t>
  </si>
  <si>
    <t xml:space="preserve">Walker  </t>
  </si>
  <si>
    <t>12040103,12040101,12030202</t>
  </si>
  <si>
    <t>1203020207,1204010101,1203020204,1203020205,1203020208,1204010303,1203020206,1204010102,1204010301</t>
  </si>
  <si>
    <t>03000397,03000398,03000399,03000401,03000402,03000403,03000404,03000407,03000408,03000416,03000421,03000422,03000427,03000428,03000429,03000430,03000431,03000432</t>
  </si>
  <si>
    <t>031000034</t>
  </si>
  <si>
    <t xml:space="preserve">Wise County FEMA Mapping </t>
  </si>
  <si>
    <t xml:space="preserve">Wise </t>
  </si>
  <si>
    <t>12030103,12030104,12030101,12030102</t>
  </si>
  <si>
    <t>1203010308,1203010305,1203010401,1203010105,1203010402,1203010104,1203010202,1203010106,1203010403</t>
  </si>
  <si>
    <t>03000209</t>
  </si>
  <si>
    <t>031000035</t>
  </si>
  <si>
    <t xml:space="preserve">Young County FEMA Mapping </t>
  </si>
  <si>
    <t xml:space="preserve">Young  </t>
  </si>
  <si>
    <t>12060201,12030101,11130209,12060101,12060104</t>
  </si>
  <si>
    <t>1206020105,1206020102,1206010107,1113020902,1206010403,1206010108,1203010101,1206020101,1206010402,1206010109</t>
  </si>
  <si>
    <t>03000006,03000007,03000008,03000009,03000010</t>
  </si>
  <si>
    <t>00000185</t>
  </si>
  <si>
    <t>031000038</t>
  </si>
  <si>
    <t>Collin County Dam Inundation Study</t>
  </si>
  <si>
    <t>Inundation studies of all high and moderate hazard dams</t>
  </si>
  <si>
    <t>03000009, 03000010, 03000029, 03000030</t>
  </si>
  <si>
    <t>031000039</t>
  </si>
  <si>
    <t>Chambers County Dam/Levee Failure Inundation Map Updates</t>
  </si>
  <si>
    <t>Update dam and levee failure inundation maps.</t>
  </si>
  <si>
    <t>00000013, 00003571, 00003344, 00003573, 03003572, 00000582, 03003591</t>
  </si>
  <si>
    <t>031000040</t>
  </si>
  <si>
    <t>Dallas County Dam Inundation Study</t>
  </si>
  <si>
    <t xml:space="preserve">Conduct studies to develop dam inundation maps and models </t>
  </si>
  <si>
    <t xml:space="preserve">Dallas </t>
  </si>
  <si>
    <t>12030106,12030103,12030109,12030104,12030102,12030105</t>
  </si>
  <si>
    <t>1203010501,1203010605,1203010207,1203010502,1203010903,1203010604,1203010310,1203010503,1203010206,1203010403</t>
  </si>
  <si>
    <t>03000225</t>
  </si>
  <si>
    <t>031000041</t>
  </si>
  <si>
    <t>Lake Ray Hubbard and Duck Creek Tributary Inundation Study</t>
  </si>
  <si>
    <t>Conduct studies to develop inundation maps for Lake Ray Hubbard and Duck Creek Tributary and how it affects the Town of Sunnyvale.</t>
  </si>
  <si>
    <t>12030106,12030105</t>
  </si>
  <si>
    <t>1203010501,1203010605,1203010604</t>
  </si>
  <si>
    <t>120301060409,120301050106,120301060504,120301060407,120301050105,120301060408,120301050104,120301060501,120301060503</t>
  </si>
  <si>
    <t>03000173,03000174,03000175,03000206,03000230,03000232,03000234,03000235</t>
  </si>
  <si>
    <t>03000005, 03000006, 03000007, 03000008</t>
  </si>
  <si>
    <t>03002565</t>
  </si>
  <si>
    <t>031000042</t>
  </si>
  <si>
    <t>Denton County Dam Inundation Study</t>
  </si>
  <si>
    <t>031000043</t>
  </si>
  <si>
    <t>Ellis County Dam Inundation Study</t>
  </si>
  <si>
    <t>03000105, 03002750, 03002434, 03002751,03003264, 03002752, 03002435, 03002762, 03002466, 03002759, 03002467, 03003266, 03002760, 03002469, 03003401</t>
  </si>
  <si>
    <t>031000044</t>
  </si>
  <si>
    <t>Madison County Dam Inundation Study</t>
  </si>
  <si>
    <t>Create dam failure inundation maps</t>
  </si>
  <si>
    <t>031000045</t>
  </si>
  <si>
    <t>Navarro County Dam Inundation Study</t>
  </si>
  <si>
    <t>Conduct inundation studies of all high and moderate hazard dams.</t>
  </si>
  <si>
    <t xml:space="preserve">Navarro  </t>
  </si>
  <si>
    <t>03000163, 03003281, 03002631</t>
  </si>
  <si>
    <t>031000046</t>
  </si>
  <si>
    <t>Parker County Dam Inundation Study</t>
  </si>
  <si>
    <t>Conduct a dam inundation study</t>
  </si>
  <si>
    <t>00000122, 03003537</t>
  </si>
  <si>
    <t>031000047</t>
  </si>
  <si>
    <t>Tarrant County Dam Inundation Study</t>
  </si>
  <si>
    <t xml:space="preserve">Identify and evaluate high hazard dams. </t>
  </si>
  <si>
    <t xml:space="preserve">Tarrant  </t>
  </si>
  <si>
    <t>1203010201,1203010204,1203010207,1203010205,1203010202,1203010203,1203010310,1203010206,1203010106,1203010403</t>
  </si>
  <si>
    <t>03002831, 03000224</t>
  </si>
  <si>
    <t>031000048</t>
  </si>
  <si>
    <t>Irving Levee District Flood Risk Assessment</t>
  </si>
  <si>
    <t>Conduct review of the area in the four levee districts that would be inundated by a levee failure. Analyze all available routes out of the Levee Districts and any new streets that would not be flooded.</t>
  </si>
  <si>
    <t>12030103,12030102,12030105</t>
  </si>
  <si>
    <t>1203010501,1203010207,1203010310</t>
  </si>
  <si>
    <t>120301031006,120301020706,120301031005,120301031004,120301031007,120301020701,120301020705,120301050101</t>
  </si>
  <si>
    <t>03000077,03000078,03000094,03000096,03000097,03000148,03000149,03000168</t>
  </si>
  <si>
    <t>03000009, 03000010, 03000031, 03000032</t>
  </si>
  <si>
    <t>03002563</t>
  </si>
  <si>
    <t>031000049</t>
  </si>
  <si>
    <t>West Fork of the Trinity River Levee Failure Hydrologic Study</t>
  </si>
  <si>
    <t>Hydrologic study to determine threat, risk, and potential impacts of flooding from levee failure along the West Fork of the Trinity River.</t>
  </si>
  <si>
    <t>12030104,12060201,12030101,11130209,12030102,11130201</t>
  </si>
  <si>
    <t>1206020111,1203010201,1206020102,1203010103,1203010401,1113020902,1203010105,1113020903,1203010402,1206020106,1203010101,1203010104,1203010205,1206020101,1203010202,1113020904,1113020102,1203010203,1203010102,1203010106,1203010403</t>
  </si>
  <si>
    <t>03003566</t>
  </si>
  <si>
    <t>031000050</t>
  </si>
  <si>
    <t>City of Lavon DMP</t>
  </si>
  <si>
    <t>Evaluate City and identify future projects.</t>
  </si>
  <si>
    <t>12030106</t>
  </si>
  <si>
    <t>1203010603,1203010604</t>
  </si>
  <si>
    <t>120301060401,120301060307</t>
  </si>
  <si>
    <t>03000225,03000226</t>
  </si>
  <si>
    <t>03000007, 03000008, 03000009, 03000010</t>
  </si>
  <si>
    <t>03003139</t>
  </si>
  <si>
    <t>031000051</t>
  </si>
  <si>
    <t>University Park DMP</t>
  </si>
  <si>
    <t>12030103,12030105</t>
  </si>
  <si>
    <t>1203010501,1203010310</t>
  </si>
  <si>
    <t>120301031007,120301050105,120301050101</t>
  </si>
  <si>
    <t>03000097,03000168,03000174</t>
  </si>
  <si>
    <t>03002850</t>
  </si>
  <si>
    <t>031000052</t>
  </si>
  <si>
    <t>City of Rowlett DMP</t>
  </si>
  <si>
    <t>1203010604</t>
  </si>
  <si>
    <t>120301060409,120301060402,120301060408,120301060403</t>
  </si>
  <si>
    <t>03000204,03000205,03000230,03000231</t>
  </si>
  <si>
    <t>03002822</t>
  </si>
  <si>
    <t>031000055</t>
  </si>
  <si>
    <t>City of Aubrey DMP</t>
  </si>
  <si>
    <t>12030103</t>
  </si>
  <si>
    <t>1203010309,1203010304,1203010307</t>
  </si>
  <si>
    <t>120301030705,120301030406,120301030703,120301030704,120301030903</t>
  </si>
  <si>
    <t>03000114,03000130,03000131,03000133,03000141</t>
  </si>
  <si>
    <t>03002448</t>
  </si>
  <si>
    <t>031000056</t>
  </si>
  <si>
    <t>City of Argyle DMP</t>
  </si>
  <si>
    <t>12030103,12030104</t>
  </si>
  <si>
    <t>1203010308,1203010403</t>
  </si>
  <si>
    <t>120301040304,120301030804</t>
  </si>
  <si>
    <t>03000137,03000162</t>
  </si>
  <si>
    <t>03002447</t>
  </si>
  <si>
    <t>031000057</t>
  </si>
  <si>
    <t>City of Maypearl DMP</t>
  </si>
  <si>
    <t>12030109</t>
  </si>
  <si>
    <t>1203010901,1203010902</t>
  </si>
  <si>
    <t>120301090201,120301090104,120301090108,120301090105</t>
  </si>
  <si>
    <t>03000305,03000306,03000316,03000317</t>
  </si>
  <si>
    <t>03002762</t>
  </si>
  <si>
    <t>031000058</t>
  </si>
  <si>
    <t>City of Dayton DMP</t>
  </si>
  <si>
    <t>12030203,12040203</t>
  </si>
  <si>
    <t>1203020301,1204020301,1203020303</t>
  </si>
  <si>
    <t>120302030301,120302030302,120402030103,120302030108,120402030101,120302030304,120402030104</t>
  </si>
  <si>
    <t>03000451,03000463,03000464,03000466</t>
  </si>
  <si>
    <t>031000059</t>
  </si>
  <si>
    <t>City of Denton DMP</t>
  </si>
  <si>
    <t>1203010308,1203010306,1203010402,1203010309,1203010304,1203010403</t>
  </si>
  <si>
    <t>120301030803,120301030604,120301030801,120301030406,120301030605,120301040304,120301030802,120301030901,120301030602,120301030902,120301040205,120301030804,120301030805</t>
  </si>
  <si>
    <t>03000114,03000125,03000127,03000128,03000134,03000135,03000136,03000137,03000138,03000139,03000140,03000157,03000162</t>
  </si>
  <si>
    <t>03003355</t>
  </si>
  <si>
    <t>031000060</t>
  </si>
  <si>
    <t>City of Madisonville DMP</t>
  </si>
  <si>
    <t>12030202</t>
  </si>
  <si>
    <t>1203020204,1203020205</t>
  </si>
  <si>
    <t>120302020506,120302020408</t>
  </si>
  <si>
    <t>03000396,03000403</t>
  </si>
  <si>
    <t>03003493</t>
  </si>
  <si>
    <t>031000061</t>
  </si>
  <si>
    <t>City of Rockwall DMP</t>
  </si>
  <si>
    <t>120301060409,120301060402,120301060502,120301060401,120100010301,120301070101</t>
  </si>
  <si>
    <t>03000204,03000226,03000231,03000233,03000240</t>
  </si>
  <si>
    <t>00003373</t>
  </si>
  <si>
    <t>031000062</t>
  </si>
  <si>
    <t>City of Everman DMP</t>
  </si>
  <si>
    <t>12030102</t>
  </si>
  <si>
    <t>1203010204</t>
  </si>
  <si>
    <t>120301020403</t>
  </si>
  <si>
    <t>03000074</t>
  </si>
  <si>
    <t>03003521</t>
  </si>
  <si>
    <t>031000063</t>
  </si>
  <si>
    <t>City of Colleyville DMP</t>
  </si>
  <si>
    <t>1203010207,1203010205</t>
  </si>
  <si>
    <t>120301020704,120301020505,120301020703</t>
  </si>
  <si>
    <t>03000075,03000076,03000085</t>
  </si>
  <si>
    <t>03002385</t>
  </si>
  <si>
    <t>031000064</t>
  </si>
  <si>
    <t>Haltom City DMP</t>
  </si>
  <si>
    <t>1203010205</t>
  </si>
  <si>
    <t>120301020504,120301020503</t>
  </si>
  <si>
    <t>03000083,03000084</t>
  </si>
  <si>
    <t>03003589</t>
  </si>
  <si>
    <t>031000065</t>
  </si>
  <si>
    <t>City of Southlake DMP</t>
  </si>
  <si>
    <t>12030104,12030102</t>
  </si>
  <si>
    <t>1203010207,1203010403</t>
  </si>
  <si>
    <t>120301040306,120301040305,120301020703</t>
  </si>
  <si>
    <t>03000075,03000163,03000164</t>
  </si>
  <si>
    <t>03003356</t>
  </si>
  <si>
    <t>Entity Budget/Funds</t>
  </si>
  <si>
    <t>031000066</t>
  </si>
  <si>
    <t>City of North Richland Hills DMP</t>
  </si>
  <si>
    <t>120301020504,120301020704,120301020505,120301020703,120301020503</t>
  </si>
  <si>
    <t>03000075,03000076,03000083,03000084,03000085</t>
  </si>
  <si>
    <t>03003363</t>
  </si>
  <si>
    <t>031000068</t>
  </si>
  <si>
    <t>City of Trinidad DMP</t>
  </si>
  <si>
    <t>12030107,12030105</t>
  </si>
  <si>
    <t>1203010703,1203010505</t>
  </si>
  <si>
    <t>120301050504,120301070310,120301070311</t>
  </si>
  <si>
    <t>03000192,03000265,03000266</t>
  </si>
  <si>
    <t>03002872</t>
  </si>
  <si>
    <t>031000069</t>
  </si>
  <si>
    <t>Cedar Hill-DeSoto-Duncanville DMP</t>
  </si>
  <si>
    <t>12030109,12030102,12030105</t>
  </si>
  <si>
    <t>1203010501,1203010502,1203010903,1203010503,1203010206</t>
  </si>
  <si>
    <t>120301020603,120301050107,120301050301,120301020606,120301050201,120301020607,120301090301,120301050305</t>
  </si>
  <si>
    <t>03000089,03000092,03000093,03000176,03000178,03000181,03000185,03000297</t>
  </si>
  <si>
    <t>03002747, 03002825, 03002560</t>
  </si>
  <si>
    <t>031000070</t>
  </si>
  <si>
    <t>City of Athens DMP</t>
  </si>
  <si>
    <t>Henderson</t>
  </si>
  <si>
    <t>12030201,12030107,12020001</t>
  </si>
  <si>
    <t>1203010703,1202000103,1203020102</t>
  </si>
  <si>
    <t>120302010202,120301070308,120200010303,120302010201,120301070312</t>
  </si>
  <si>
    <t>03000263,03000267,03000341,03000342</t>
  </si>
  <si>
    <t>00002826</t>
  </si>
  <si>
    <t>031000071</t>
  </si>
  <si>
    <t>Sansom Park DMP</t>
  </si>
  <si>
    <t xml:space="preserve">Tarrant </t>
  </si>
  <si>
    <t>1203010201,1203010205</t>
  </si>
  <si>
    <t>120301020105,120301020501,120301020104,120301020101</t>
  </si>
  <si>
    <t>03000052,03000055,03000056,03000081</t>
  </si>
  <si>
    <t>03003583</t>
  </si>
  <si>
    <t>031000072</t>
  </si>
  <si>
    <t>City of Decatur DMP</t>
  </si>
  <si>
    <t>Wise</t>
  </si>
  <si>
    <t>12030104,12030101</t>
  </si>
  <si>
    <t>1203010105,1203010402,1203010106</t>
  </si>
  <si>
    <t>120301010604,120301010601,120301040203,120301010511,120301040206</t>
  </si>
  <si>
    <t>03000036,03000046,03000047,03000155,03000158</t>
  </si>
  <si>
    <t>03002961</t>
  </si>
  <si>
    <t>031000073</t>
  </si>
  <si>
    <t>City of Waxahachie DMP (Phase 2 Continuation)</t>
  </si>
  <si>
    <t>Evaluate City and identify future projects. Continue efforts of current DMP Phase 2 efforts.</t>
  </si>
  <si>
    <t>Ellis</t>
  </si>
  <si>
    <t>12030109,12030105</t>
  </si>
  <si>
    <t>1203010901,1203010903,1203010503</t>
  </si>
  <si>
    <t>120301090302,120301090307,120301050302,120301090305,120301090303,120301090301,120301090304,120301050303,120301090105</t>
  </si>
  <si>
    <t>03000182,03000183,03000297,03000298,03000299,03000317,03000320,03000321,03000323</t>
  </si>
  <si>
    <t>03003401</t>
  </si>
  <si>
    <t>031000074</t>
  </si>
  <si>
    <t>City of Crockett DMP</t>
  </si>
  <si>
    <t>Houston</t>
  </si>
  <si>
    <t>12030201,12030202</t>
  </si>
  <si>
    <t>1203020207,1203020107</t>
  </si>
  <si>
    <t>120302010705,120302020702</t>
  </si>
  <si>
    <t>03000328,03000410</t>
  </si>
  <si>
    <t>03002706</t>
  </si>
  <si>
    <t>031000075</t>
  </si>
  <si>
    <t>Town of Dish DMP</t>
  </si>
  <si>
    <t>Denton</t>
  </si>
  <si>
    <t>12030104</t>
  </si>
  <si>
    <t>1203010402</t>
  </si>
  <si>
    <t>120301040205</t>
  </si>
  <si>
    <t>03000157</t>
  </si>
  <si>
    <t>03003376</t>
  </si>
  <si>
    <t>031000076</t>
  </si>
  <si>
    <t>City of Corinth DMP</t>
  </si>
  <si>
    <t>1203010308,1203010309</t>
  </si>
  <si>
    <t>120301030902,120301030805</t>
  </si>
  <si>
    <t>03000138,03000140</t>
  </si>
  <si>
    <t>03002487</t>
  </si>
  <si>
    <t>031000077</t>
  </si>
  <si>
    <t>City of Keller DMP</t>
  </si>
  <si>
    <t>1203010207,1203010205,1203010403</t>
  </si>
  <si>
    <t>120301020704,120301040305,120301020703,120301020503</t>
  </si>
  <si>
    <t>03000075,03000076,03000083,03000163</t>
  </si>
  <si>
    <t>03003321</t>
  </si>
  <si>
    <t>031000078</t>
  </si>
  <si>
    <t>Anderson County DMP</t>
  </si>
  <si>
    <t>Evaluate County and identify future projects.</t>
  </si>
  <si>
    <t>031000079</t>
  </si>
  <si>
    <t>Cooke County DMP</t>
  </si>
  <si>
    <t>Evaluate County to identify future projects.</t>
  </si>
  <si>
    <t>031000080</t>
  </si>
  <si>
    <t>Fannin County DMP</t>
  </si>
  <si>
    <t>031000081</t>
  </si>
  <si>
    <t>Freestone County DMP</t>
  </si>
  <si>
    <t>00000143, 03002552, 03002600, 00002464, 03002465</t>
  </si>
  <si>
    <t>031000082</t>
  </si>
  <si>
    <t>Houston County DMP</t>
  </si>
  <si>
    <t>Evaluate County and Identify future projects.</t>
  </si>
  <si>
    <t>031000083</t>
  </si>
  <si>
    <t>Jack County DMP</t>
  </si>
  <si>
    <t>031000084</t>
  </si>
  <si>
    <t>Johnson County DMP</t>
  </si>
  <si>
    <t>031000085</t>
  </si>
  <si>
    <t>Leon County DMP</t>
  </si>
  <si>
    <t>031000086</t>
  </si>
  <si>
    <t>Liberty County DMP</t>
  </si>
  <si>
    <t>031000087</t>
  </si>
  <si>
    <t>Montague County DMP</t>
  </si>
  <si>
    <t>031000088</t>
  </si>
  <si>
    <t>Parker County DMP</t>
  </si>
  <si>
    <t>031000089</t>
  </si>
  <si>
    <t>Polk County DMP</t>
  </si>
  <si>
    <t>00000058, 03003502, 03002554, 03002519, 03003430, Corrigan</t>
  </si>
  <si>
    <t>031000090</t>
  </si>
  <si>
    <t>San Jacinto DMP</t>
  </si>
  <si>
    <t xml:space="preserve">Evaluate County and Identify future projects. </t>
  </si>
  <si>
    <t xml:space="preserve">San Jacinto </t>
  </si>
  <si>
    <t>00000047, 00003513, 03003514, 03003515</t>
  </si>
  <si>
    <t>031000091</t>
  </si>
  <si>
    <t>Trinity County DMP</t>
  </si>
  <si>
    <t>031000092</t>
  </si>
  <si>
    <t>Van Zandt County DMP</t>
  </si>
  <si>
    <t>031000093</t>
  </si>
  <si>
    <t>Wise County DMP</t>
  </si>
  <si>
    <t>031000095</t>
  </si>
  <si>
    <t>Merritt Road, Sachse Road, and Willow Lake Improvements</t>
  </si>
  <si>
    <t>Hydrologic and Hydraulic Study of Stream 2E3, 2E4 and Willow Lake to determine causes of flooding along Merrit Rd and identify necessary drainage improvements.</t>
  </si>
  <si>
    <t xml:space="preserve">Collin, Dallas </t>
  </si>
  <si>
    <t>1203010602,1203010604</t>
  </si>
  <si>
    <t>120301060208,120301060402,120301060406,120301060408,120301060403,120301060405</t>
  </si>
  <si>
    <t>03000204,03000205,03000219,03000228,03000229,03000230</t>
  </si>
  <si>
    <t>03003577</t>
  </si>
  <si>
    <t>031000097</t>
  </si>
  <si>
    <t>Copper Canyon Poindexter Branch Flood Mitigation Plan</t>
  </si>
  <si>
    <t>1203010308,1203010310</t>
  </si>
  <si>
    <t>120301031002,120301030804,120301030805</t>
  </si>
  <si>
    <t>03000137,03000138,03000146</t>
  </si>
  <si>
    <t>03002486</t>
  </si>
  <si>
    <t>Taxes</t>
  </si>
  <si>
    <t>031000098</t>
  </si>
  <si>
    <t>Holiday Park North Drainage Study Update</t>
  </si>
  <si>
    <t>Area 2</t>
  </si>
  <si>
    <t>1203010605,1203010604</t>
  </si>
  <si>
    <t>120301060406,120301060407,120301060408,120301060501</t>
  </si>
  <si>
    <t>03000206,03000229,03000230,03000232</t>
  </si>
  <si>
    <t>03000005, 03000006, 03000009, 03000010</t>
  </si>
  <si>
    <t>03003265</t>
  </si>
  <si>
    <t>031000099</t>
  </si>
  <si>
    <t>Buhler, Cresthaven, Madewell &amp; Maryland Drainage Study Update</t>
  </si>
  <si>
    <t>Area 4</t>
  </si>
  <si>
    <t>120301060408,120301060501</t>
  </si>
  <si>
    <t>03000230,03000232</t>
  </si>
  <si>
    <t>031000100</t>
  </si>
  <si>
    <t>Bellaire Heights Drainage Study Update</t>
  </si>
  <si>
    <t>Area 5</t>
  </si>
  <si>
    <t>031000101</t>
  </si>
  <si>
    <t>Country Club Add., Club Hill Est., &amp; Eastern Hills Est. Drainage Study Update</t>
  </si>
  <si>
    <t>Area 6</t>
  </si>
  <si>
    <t>120301060409,120301060408,120301060501</t>
  </si>
  <si>
    <t>03000230,03000231,03000232</t>
  </si>
  <si>
    <t>City split their projects within watersheds. No need for a DMP.</t>
  </si>
  <si>
    <t>031000102</t>
  </si>
  <si>
    <t>Shorehaven-Garvon-Rosewood Terrace-Garland Heights-Freeman Heights-Range-Cooper-Barger Drainage Study Update</t>
  </si>
  <si>
    <t>Area 7</t>
  </si>
  <si>
    <t>031000103</t>
  </si>
  <si>
    <t>Brentwood Place-Two Worlds-Apollo East Park Village Drainage Study Update</t>
  </si>
  <si>
    <t>Area 8</t>
  </si>
  <si>
    <t>031000104</t>
  </si>
  <si>
    <t>Ridgewood Park-Regal Estates-Meadowcreek Square Drainage Study Update</t>
  </si>
  <si>
    <t>Area 9</t>
  </si>
  <si>
    <t>031000105</t>
  </si>
  <si>
    <t>Eastern Meadows-Southlake Estates-Greenbrook-Green Acres-Rosehill Acreage Drainage Study Update</t>
  </si>
  <si>
    <t>Area 10</t>
  </si>
  <si>
    <t>120301060409,120301060408,120301060501,120301060503</t>
  </si>
  <si>
    <t>03000230,03000231,03000232,03000234</t>
  </si>
  <si>
    <t>031000106</t>
  </si>
  <si>
    <t>La Prada 7 &amp; 8 Drainage Study Update</t>
  </si>
  <si>
    <t>Area 11</t>
  </si>
  <si>
    <t>031000107</t>
  </si>
  <si>
    <t>Gatewood Drainage Study Update</t>
  </si>
  <si>
    <t>Area 12</t>
  </si>
  <si>
    <t>031000108</t>
  </si>
  <si>
    <t>Curtis Drive Drainage Study Update</t>
  </si>
  <si>
    <t>Area 13</t>
  </si>
  <si>
    <t>031000109</t>
  </si>
  <si>
    <t>Center Creek Plaza 8 Southgate Estates Drainage Study Update</t>
  </si>
  <si>
    <t>Area 14</t>
  </si>
  <si>
    <t>031000110</t>
  </si>
  <si>
    <t>Bluffview Drainage Study Update</t>
  </si>
  <si>
    <t>Area 15</t>
  </si>
  <si>
    <t>031000111</t>
  </si>
  <si>
    <t>Camelot Drainage Study Update</t>
  </si>
  <si>
    <t>Area 16</t>
  </si>
  <si>
    <t>031000112</t>
  </si>
  <si>
    <t>Downtown Drainage Study Update</t>
  </si>
  <si>
    <t>Area 17</t>
  </si>
  <si>
    <t>031000113</t>
  </si>
  <si>
    <t>Main &amp; Wilson Streets Drainage Study Update</t>
  </si>
  <si>
    <t>Area 18</t>
  </si>
  <si>
    <t>120301060407,120301050105,120301060408,120301060501</t>
  </si>
  <si>
    <t>03000174,03000206,03000230,03000232</t>
  </si>
  <si>
    <t>031000114</t>
  </si>
  <si>
    <t>Royal Crest-Meadowview Drainage Study Update</t>
  </si>
  <si>
    <t>Area 19</t>
  </si>
  <si>
    <t>031000115</t>
  </si>
  <si>
    <t>Garvon West, Innovation &amp; Kingsley Ind. Park Drainage Study Update</t>
  </si>
  <si>
    <t>Area 20</t>
  </si>
  <si>
    <t>1203010501,1203010605</t>
  </si>
  <si>
    <t>120301050105,120301060501</t>
  </si>
  <si>
    <t>03000174,03000232</t>
  </si>
  <si>
    <t>031000116</t>
  </si>
  <si>
    <t>Northlake &amp; Castlewood Drainage Study Update</t>
  </si>
  <si>
    <t>Area 21</t>
  </si>
  <si>
    <t>120301060407,120301060408</t>
  </si>
  <si>
    <t>03000206,03000230</t>
  </si>
  <si>
    <t>031000117</t>
  </si>
  <si>
    <t>Legend Drive Drainage Study Update</t>
  </si>
  <si>
    <t>Area 22</t>
  </si>
  <si>
    <t>031000118</t>
  </si>
  <si>
    <t>Brazos Drive Drainage Study Update</t>
  </si>
  <si>
    <t>Area 23</t>
  </si>
  <si>
    <t>031000119</t>
  </si>
  <si>
    <t>Sweetbriar-Glenrose Alley Drainage Study Update</t>
  </si>
  <si>
    <t>Area 26</t>
  </si>
  <si>
    <t>031000122</t>
  </si>
  <si>
    <t>Hackberry Gully and Cotton Bayou Shelving Study</t>
  </si>
  <si>
    <t>Evaluate shelving the entire length of Hackberry Gully and Cotton Bayou from South of I-10 to Cotton Lake; thereby increasing their flow capacity.</t>
  </si>
  <si>
    <t>1204020301,1204020302,1203020303</t>
  </si>
  <si>
    <t>120402030105,120302030307,120402030106,120402030200,120302030306,120302030304</t>
  </si>
  <si>
    <t>03000466,03000468</t>
  </si>
  <si>
    <t>03000027, 03000028, 03000029, 03000030</t>
  </si>
  <si>
    <t>031000123</t>
  </si>
  <si>
    <t>Collin County Retention Structures Rehabilitation Project</t>
  </si>
  <si>
    <t>Conduct hazard/vulnerability assessment and inundation study on NRCS flood retention structures and rehabilitate structures found to be a high hazard.</t>
  </si>
  <si>
    <t>03000009, 03000010, 03000013, 03000014, 03000033, 03000034</t>
  </si>
  <si>
    <t>031000125</t>
  </si>
  <si>
    <t>Cooke County Low-Water Crossing Barriers Evaluation</t>
  </si>
  <si>
    <t>Evaluate installation of automatic flood crossing barriers at low water crossing to prevent automobiles from driving through high water.</t>
  </si>
  <si>
    <t>120301060406,120301060403,120301060405</t>
  </si>
  <si>
    <t>03000003, 03000004</t>
  </si>
  <si>
    <t>031000126</t>
  </si>
  <si>
    <t>Wheeler Creek Channelization Study</t>
  </si>
  <si>
    <t>Evaluate channelization of Wheeler Creek to reduce flooding in the west side of town.</t>
  </si>
  <si>
    <t>12030103,11130210,11130201</t>
  </si>
  <si>
    <t>1113020107,1203010303,1113021002,1203010304,1203010301,1203010302</t>
  </si>
  <si>
    <t>111302100202,120301030105,120301030301,111302100201,120301030403,120301030106,111302010708,120301030201</t>
  </si>
  <si>
    <t>03000101,03000102,03000103,03000105,03000111</t>
  </si>
  <si>
    <t>03000031, 03000032</t>
  </si>
  <si>
    <t>00003204</t>
  </si>
  <si>
    <t>031000127</t>
  </si>
  <si>
    <t>Pecan Creek Channelization Study</t>
  </si>
  <si>
    <t>Evaluate channelization project for Pecan Creek to reduce flooding.</t>
  </si>
  <si>
    <t>1203010304</t>
  </si>
  <si>
    <t>120301030402,120301030404,120301030403,120301030405</t>
  </si>
  <si>
    <t>03000110,03000111,03000112,03000113</t>
  </si>
  <si>
    <t>03003212</t>
  </si>
  <si>
    <t>031000129</t>
  </si>
  <si>
    <t>O'Neal St Low-Water Crossing Automatic Barrier Study</t>
  </si>
  <si>
    <t>Evaluate installation of an automatic barricade for low-water crossing on O’Neal St.</t>
  </si>
  <si>
    <t>1203010301</t>
  </si>
  <si>
    <t>120301030105,120301030106</t>
  </si>
  <si>
    <t>03000101,03000102</t>
  </si>
  <si>
    <t>031000130</t>
  </si>
  <si>
    <t>Elm Fork Bridge Improvements Assessment</t>
  </si>
  <si>
    <t>Assessment to alleviate flooding issues with the Elm Fork bridge on I-35.</t>
  </si>
  <si>
    <t>1203010304,1203010301</t>
  </si>
  <si>
    <t>120301030105,120301030403,120301030106</t>
  </si>
  <si>
    <t>03000101,03000102,03000111</t>
  </si>
  <si>
    <t>03000003, 03000004, 03000031, 03000032</t>
  </si>
  <si>
    <t>031000132</t>
  </si>
  <si>
    <t>University Park Storm Water Infrastructure Improvements Study</t>
  </si>
  <si>
    <t>Evaluation of storm drain system improvements including new storm sewer inlets, mains, and underground detention system to reduce flooding in Northeast portion of the City.</t>
  </si>
  <si>
    <t>031000133</t>
  </si>
  <si>
    <t xml:space="preserve">Exall and Wycliffe Dam Maintenance Protocol for Drainage Systems and Flood Control Structures </t>
  </si>
  <si>
    <t>Analyze maintenance protocol for Drainage Systems/Flood Control Structures in and around the Exall and Wycliffe Dams. Conduct study to determine roadway reconstruction, culvert/bridge construction and associated bank protection and improvements</t>
  </si>
  <si>
    <t>12030105</t>
  </si>
  <si>
    <t>1203010501</t>
  </si>
  <si>
    <t>120301050101</t>
  </si>
  <si>
    <t>03000168</t>
  </si>
  <si>
    <t>03000033, 03000034</t>
  </si>
  <si>
    <t>03003032</t>
  </si>
  <si>
    <t>031000134</t>
  </si>
  <si>
    <t xml:space="preserve">Farmers Branch Retention Pond Dredging </t>
  </si>
  <si>
    <t>Dredge the retention ponds along the creeks within the City.</t>
  </si>
  <si>
    <t>1203010310</t>
  </si>
  <si>
    <t>120301031005,120301031004,120301031007</t>
  </si>
  <si>
    <t>03000097,03000148,03000149</t>
  </si>
  <si>
    <t>03000013, 03000014, 03000031, 03000032</t>
  </si>
  <si>
    <t>03002561</t>
  </si>
  <si>
    <t>031000135</t>
  </si>
  <si>
    <t>Ten Mile Creek Channel Expansion Study</t>
  </si>
  <si>
    <t>Study to improve and increase the capacity of storm water system by expanding the Ten Mile Creek downstream channel to prevent flooding in flood prone areas to include structural stormwater management projects</t>
  </si>
  <si>
    <t>12030102,12030105</t>
  </si>
  <si>
    <t>1203010501,1203010502,1203010503,1203010206</t>
  </si>
  <si>
    <t>120301020603,120301050107,120301050301,120301020606,120301050201,120301020607,120301050306,120301050202,120301050108,120301050305,120301050203</t>
  </si>
  <si>
    <t>03000089,03000092,03000093,03000171,03000172,03000176,03000177,03000178,03000181,03000185,03000195</t>
  </si>
  <si>
    <t>03002564</t>
  </si>
  <si>
    <t>Dedicated Revenue Incl. Fees</t>
  </si>
  <si>
    <t>031000137</t>
  </si>
  <si>
    <t>Carrollton Flood Warning Barrier System Study</t>
  </si>
  <si>
    <t>Procure and install flood warning barrier system to prevent motorists from driving into flooded areas.</t>
  </si>
  <si>
    <t>Dallas, Denton</t>
  </si>
  <si>
    <t>1203010501,1203010310,1203010403</t>
  </si>
  <si>
    <t>120301040307,120301031002,120301031005,120301031004,120301031003,120301031001,120301050103</t>
  </si>
  <si>
    <t>03000145,03000146,03000147,03000148,03000149,03000167,03000170</t>
  </si>
  <si>
    <t>03003353</t>
  </si>
  <si>
    <t>031000138</t>
  </si>
  <si>
    <t>Westside Drive Drainage System and Street Reconstruct Study</t>
  </si>
  <si>
    <t>Study to reconstruct Drainage System and Street in the 4500-4700 blocks of Westside Drive</t>
  </si>
  <si>
    <t>120301031007,120301050101</t>
  </si>
  <si>
    <t>03000097,03000168</t>
  </si>
  <si>
    <t>031000139</t>
  </si>
  <si>
    <t xml:space="preserve">Garner Rd, Chiesa Rd, and Wayne Way Storm Drain System Improvements </t>
  </si>
  <si>
    <t>Evaluation of storm drain system redirection and improvements at Garner Rd, Chiesa Rd, and Wayne Way</t>
  </si>
  <si>
    <t>Dallas</t>
  </si>
  <si>
    <t>120301060409,120301060402,120301060408,120301060501,120301060403</t>
  </si>
  <si>
    <t>03000204,03000205,03000230,03000231,03000232</t>
  </si>
  <si>
    <t>031000141</t>
  </si>
  <si>
    <t>Carrollton Drainage Upgrades</t>
  </si>
  <si>
    <t xml:space="preserve">Evaluate upgrades to drainage and targeted regrading of streets and properties. Add additional drains and supporting infrastructure in older neighborhoods to increase offloading of flash flood waters. </t>
  </si>
  <si>
    <t>031000142</t>
  </si>
  <si>
    <t>Little Elm Drainage Improvements</t>
  </si>
  <si>
    <t>Evaluate drainage improvements to mitigate future flash and lake flooding problems.</t>
  </si>
  <si>
    <t>1203010309,1203010307</t>
  </si>
  <si>
    <t>120301030905,120301030705,120301030904,120301030906,120301030902,120301030703,120301030903</t>
  </si>
  <si>
    <t>03000130,03000133,03000140,03000141,03000142,03000143,03000144</t>
  </si>
  <si>
    <t>03003350</t>
  </si>
  <si>
    <t>031000143</t>
  </si>
  <si>
    <t>Shady Shores Rd Elevation Study</t>
  </si>
  <si>
    <t>Evaluate alternatives to elevate Shady Shores Rd to reduce future loss due to flooding</t>
  </si>
  <si>
    <t>120301030906,120301030902,120301030804,120301030805</t>
  </si>
  <si>
    <t>03000137,03000138,03000140,03000144</t>
  </si>
  <si>
    <t>03003359</t>
  </si>
  <si>
    <t>031000145</t>
  </si>
  <si>
    <t>CR 1400 drainage study</t>
  </si>
  <si>
    <t>Evaluate widening road and installing box drains where necessary.</t>
  </si>
  <si>
    <t>12030107</t>
  </si>
  <si>
    <t>1203010703</t>
  </si>
  <si>
    <t>120301070311,120301070312,120301070309</t>
  </si>
  <si>
    <t>03000264,03000266,03000267</t>
  </si>
  <si>
    <t>03002905</t>
  </si>
  <si>
    <t>031000146</t>
  </si>
  <si>
    <t xml:space="preserve">Malone Bridge Improvements </t>
  </si>
  <si>
    <t>Evaluate alternatives to elevate roadways in flood-prone areas through bridge improvements</t>
  </si>
  <si>
    <t>12030108</t>
  </si>
  <si>
    <t>1203010801</t>
  </si>
  <si>
    <t>120301080108,120301080106</t>
  </si>
  <si>
    <t>03000273,03000275</t>
  </si>
  <si>
    <t>03003367</t>
  </si>
  <si>
    <t>031000147</t>
  </si>
  <si>
    <t>FM 2114 Automated Flood Gate Feasibility Assessment</t>
  </si>
  <si>
    <t>Evaluate installation of an automated flood gate that prevents traffic flow on FM 2114 within the flood-prone area during flooding events.</t>
  </si>
  <si>
    <t>Hill</t>
  </si>
  <si>
    <t>12030108,12060202</t>
  </si>
  <si>
    <t>1203010801,1206020207</t>
  </si>
  <si>
    <t>120301080106,120602020701,120301080107</t>
  </si>
  <si>
    <t>03000273,03000274</t>
  </si>
  <si>
    <t>03002609</t>
  </si>
  <si>
    <t>031000148</t>
  </si>
  <si>
    <t>Houston County dike for critical facilities</t>
  </si>
  <si>
    <t>Evaluate alternatives to build earthen dike to elevate emergency vehicle access road to critical facilities to provide protection to 500-year flood level</t>
  </si>
  <si>
    <t>03000003, 03000004, 03000011, 03000012, 03000019, 03000020</t>
  </si>
  <si>
    <t>031000149</t>
  </si>
  <si>
    <t>Grapeland Critical Facilities Floodproofing Assessment</t>
  </si>
  <si>
    <t>Assess flood proofing critical facilities to the 500-year flood that are located in flood-prone areas of the city in Region 3</t>
  </si>
  <si>
    <t>12030201,12020001</t>
  </si>
  <si>
    <t>1203020107,1202000107</t>
  </si>
  <si>
    <t>120200010701,120302010702,120302010703</t>
  </si>
  <si>
    <t>03000372,03000373</t>
  </si>
  <si>
    <t>03000011, 03000012, 03000019, 03000020</t>
  </si>
  <si>
    <t>00002527</t>
  </si>
  <si>
    <t>031000150</t>
  </si>
  <si>
    <t>Jack County WWTP and Lift Station Flood-Proofing.</t>
  </si>
  <si>
    <t>Evaluate alternatives to flood-proof sewage treatment plans in flood hazard / low-lying areas. Raise electrical components of sewage lift stations above the BFE.</t>
  </si>
  <si>
    <t>Jack</t>
  </si>
  <si>
    <t>03000019, 03000020</t>
  </si>
  <si>
    <t>031000151</t>
  </si>
  <si>
    <t xml:space="preserve">County Rd 125 Automatic Warning Barricade Installation </t>
  </si>
  <si>
    <t>Evaluate alternatives to install automatic warning barricades at County Rd 125 low-water crossing</t>
  </si>
  <si>
    <t>Kaufman</t>
  </si>
  <si>
    <t>1203010702,1203010701</t>
  </si>
  <si>
    <t>120301070205,120301070202,120301070201,120301070106,120301070203,120301070109</t>
  </si>
  <si>
    <t>03000245,03000248,03000251,03000252,03000253,03000255</t>
  </si>
  <si>
    <t>031000152</t>
  </si>
  <si>
    <t>City of Liberty WWTP Levee Study</t>
  </si>
  <si>
    <t>Study to evaluate constructing levee floodwall around waste water treatment plant</t>
  </si>
  <si>
    <t>12030203</t>
  </si>
  <si>
    <t>1203020301,1203020302,1203020303</t>
  </si>
  <si>
    <t>120302030203,120302030301,120302030305,120302030302,120302030204,120302030109,120302030201,120302030303</t>
  </si>
  <si>
    <t>03000459,03000460,03000461,03000462,03000463,03000464,03000465,03000467</t>
  </si>
  <si>
    <t>03002645</t>
  </si>
  <si>
    <t>031000154</t>
  </si>
  <si>
    <t>Liberty County Culverts Upgrades</t>
  </si>
  <si>
    <t>Evaluate alternatives to reduce flooding by increasing size of culverts to 24 inches on County Rd 2361, 2362, 2363, and 2364 and CR 2358</t>
  </si>
  <si>
    <t>1203020301</t>
  </si>
  <si>
    <t>120302030109</t>
  </si>
  <si>
    <t>03000459</t>
  </si>
  <si>
    <t>03000003, 03000004, 03000029, 03000030</t>
  </si>
  <si>
    <t>031000155</t>
  </si>
  <si>
    <t xml:space="preserve">County Rd 2331 Re-Routing </t>
  </si>
  <si>
    <t>Evaluate alternatives to re-route County Rd 2331 to area not prone to flooding</t>
  </si>
  <si>
    <t>1203020301,1203020303</t>
  </si>
  <si>
    <t>120302030301,120302030109,120302030108</t>
  </si>
  <si>
    <t>03000451,03000459,03000463</t>
  </si>
  <si>
    <t>03002613</t>
  </si>
  <si>
    <t>031000158</t>
  </si>
  <si>
    <t>Seven Oaks Drainage Ditches</t>
  </si>
  <si>
    <t>Evaluate drainage ditch along city streets Camp Rd, Pickens Loop, Franklin Rd, Austin Street, and Hunt Street</t>
  </si>
  <si>
    <t>Polk</t>
  </si>
  <si>
    <t>12020006,12030202</t>
  </si>
  <si>
    <t>1203020210,1202000601</t>
  </si>
  <si>
    <t>120302021003,120200060101,120302021001</t>
  </si>
  <si>
    <t>03000425,03000434</t>
  </si>
  <si>
    <t>03003430</t>
  </si>
  <si>
    <t>031000159</t>
  </si>
  <si>
    <t>Old 35 Sover Sampson Creek Bridge Elevation</t>
  </si>
  <si>
    <t>Evaluate alternatives to elevate bridge on Old 35 Sover Sampson Creek</t>
  </si>
  <si>
    <t>1203020210,1203020212</t>
  </si>
  <si>
    <t>120302021006,120302021202</t>
  </si>
  <si>
    <t>03000437,03000445</t>
  </si>
  <si>
    <t>03002554</t>
  </si>
  <si>
    <t>031000160</t>
  </si>
  <si>
    <t>Pennington Rd Culverts</t>
  </si>
  <si>
    <t>Evaluate alternatives to install multiple culverts under Pennington Rd</t>
  </si>
  <si>
    <t>031000161</t>
  </si>
  <si>
    <t>Seven Oaks Culvert Installation</t>
  </si>
  <si>
    <t>Evaluate alternatives to install multiple new culverts under Camp Rd, Pickens Loop, and Franklin Rd</t>
  </si>
  <si>
    <t>031000163</t>
  </si>
  <si>
    <t xml:space="preserve">Rock Creek Road Improvements </t>
  </si>
  <si>
    <t>Evaluate alternatives to mitigate repetitive damages to Rocky Creek Rd sustained between 2015 - Present</t>
  </si>
  <si>
    <t>12040103,12030202</t>
  </si>
  <si>
    <t>1203020211,1204010303</t>
  </si>
  <si>
    <t>120302021105,120401030307</t>
  </si>
  <si>
    <t>03000442</t>
  </si>
  <si>
    <t>00000047, 03003515</t>
  </si>
  <si>
    <t>031000167</t>
  </si>
  <si>
    <t>Lower Hardisty Storm Drain Improvements</t>
  </si>
  <si>
    <t>Evaluate alternatives for storm drain improvements</t>
  </si>
  <si>
    <t>Tarrant</t>
  </si>
  <si>
    <t>120301020504,120301020506,120301020704,120301020505,120301020503</t>
  </si>
  <si>
    <t>03000076,03000083,03000084,03000085,03000086</t>
  </si>
  <si>
    <t>03003560</t>
  </si>
  <si>
    <t>031000168</t>
  </si>
  <si>
    <t xml:space="preserve">Big Bear Creek, Little Bear Creek, and Marshall Branch Stream Bank Erosion Study </t>
  </si>
  <si>
    <t>Study to reduce stream bank erosion impacts along Big Bear Creek, Little Bear Creek, and Marshall Branch to improve drainage within the City of Keller</t>
  </si>
  <si>
    <t>Denton, Montague, Tarrant, Wise</t>
  </si>
  <si>
    <t>12030103,12030104,12030101,12030102,11130201</t>
  </si>
  <si>
    <t>1203010308,1203010305,1203010401,1203010207,1203010105,1203010402,1203010205,1113020102,1203010310,1203010106,1113020105,1203010403</t>
  </si>
  <si>
    <t>031000169</t>
  </si>
  <si>
    <t>Calloway Branch Erosion Control Study</t>
  </si>
  <si>
    <t>Evaluate erosion control measures in Calloway Branch to eliminate erosion of stream bank.</t>
  </si>
  <si>
    <t>120301020506,120301020704,120301020505,120301020701,120301020503</t>
  </si>
  <si>
    <t>03000076,03000083,03000085,03000086,03000094</t>
  </si>
  <si>
    <t>03003588</t>
  </si>
  <si>
    <t>031000171</t>
  </si>
  <si>
    <t xml:space="preserve">Turkey Creek Trail Bridge </t>
  </si>
  <si>
    <t>Evaluate alternatives to construct Bridge at Low-Water Crossing on Turkey Creek Trail.</t>
  </si>
  <si>
    <t>12030101</t>
  </si>
  <si>
    <t>1203010104</t>
  </si>
  <si>
    <t>120301010410,120301010411</t>
  </si>
  <si>
    <t>03000030,03000031</t>
  </si>
  <si>
    <t>03002429</t>
  </si>
  <si>
    <t>031000172</t>
  </si>
  <si>
    <t xml:space="preserve">Turkey Creek Trail Rebuild </t>
  </si>
  <si>
    <t>Evaluate alternatives to rebuild Turkey Creek Trail from 9th Street to State Highway 114.</t>
  </si>
  <si>
    <t>031000176</t>
  </si>
  <si>
    <t>Regional Detention at Mayfair Park</t>
  </si>
  <si>
    <t>Valley View watershed; Estimated construction cost of $ 1,900,000; from 2017 study</t>
  </si>
  <si>
    <t>120301020704,120301020505</t>
  </si>
  <si>
    <t>03000076,03000085</t>
  </si>
  <si>
    <t>031000179</t>
  </si>
  <si>
    <t xml:space="preserve">Redbud Drive Bridge Improvement </t>
  </si>
  <si>
    <t>Walker watershed; Estimated construction cost of $1,200,000; from 2020 study</t>
  </si>
  <si>
    <t>031000180</t>
  </si>
  <si>
    <t>Northeast Mall Culvert Improvement</t>
  </si>
  <si>
    <t>Walker watershed; Estimated construction cost of $11,600,000; from 2020 study</t>
  </si>
  <si>
    <t>031000183</t>
  </si>
  <si>
    <t>Cotton Bayou PER</t>
  </si>
  <si>
    <t>Evaluate alternatives to construct diversion channel within irrigation canal ROW to drain to Old River; construction of detention basins to serve new development; linear detention through channel improvements; expand existing detention basins</t>
  </si>
  <si>
    <t>031000184</t>
  </si>
  <si>
    <t>Belt Line Rd (FM1382) at Cottonwood Creek</t>
  </si>
  <si>
    <t>Study update - Channel Improvements; Estimated construction cost of $4,502,500</t>
  </si>
  <si>
    <t>Dallas, Tarrant</t>
  </si>
  <si>
    <t>1203010207,1203010206</t>
  </si>
  <si>
    <t>120301020606,120301020607,120301020706,120301020702</t>
  </si>
  <si>
    <t>03000078,03000092,03000093,03000095</t>
  </si>
  <si>
    <t>03002761</t>
  </si>
  <si>
    <t>031000193</t>
  </si>
  <si>
    <t>Duncan Perry Rd at Johnson Creek</t>
  </si>
  <si>
    <t>Study update - Channel Improvements; Estimated construction cost of $5,374,200</t>
  </si>
  <si>
    <t>1203010204,1203010207,1203010206</t>
  </si>
  <si>
    <t>120301020606,120301020607,120301020706,120301020701,120301020702,120301020405</t>
  </si>
  <si>
    <t>03000078,03000080,03000092,03000093,03000094,03000095</t>
  </si>
  <si>
    <t>031000194</t>
  </si>
  <si>
    <t>Great Southwest Parkway at Cottonwood Creek Bridge and Roadway Raising Improvements (Stream Station 104+64)</t>
  </si>
  <si>
    <t>Study update - Channel Improvements; Estimated construction cost of $9,538,300</t>
  </si>
  <si>
    <t>120301020607,120301020706,120301020702</t>
  </si>
  <si>
    <t>03000078,03000093,03000095</t>
  </si>
  <si>
    <t>031000199</t>
  </si>
  <si>
    <t>Green Hollow Drive North and South of Thornbush Drive</t>
  </si>
  <si>
    <t>Study update - Storm Drain Improvements; Estimated construction cost of $247,000</t>
  </si>
  <si>
    <t>1203010206</t>
  </si>
  <si>
    <t>120301020606</t>
  </si>
  <si>
    <t>03000092</t>
  </si>
  <si>
    <t>031000200</t>
  </si>
  <si>
    <t>Carrier Parkway &amp; Egyptian Way</t>
  </si>
  <si>
    <t>Study update - Storm Drain Improvements; Estimated construction cost of $3,165,300</t>
  </si>
  <si>
    <t>031000201</t>
  </si>
  <si>
    <t>East Pioneer Parkway &amp; SE 14th St</t>
  </si>
  <si>
    <t>Study update - Storm Drain Improvements; Estimated construction cost of $3,742,700</t>
  </si>
  <si>
    <t>120301020606,120301020607,120301020706</t>
  </si>
  <si>
    <t>03000078,03000092,03000093</t>
  </si>
  <si>
    <t>031000202</t>
  </si>
  <si>
    <t>Great Southwest Parkway &amp; Pinewood Drive</t>
  </si>
  <si>
    <t>Study update - Storm Drain Improvements; Estimated construction cost of $3,998,200</t>
  </si>
  <si>
    <t>120301020606,120301020607,120301020702</t>
  </si>
  <si>
    <t>03000092,03000093,03000095</t>
  </si>
  <si>
    <t>031000203</t>
  </si>
  <si>
    <t>Lake Park Drive and Victoria Drive</t>
  </si>
  <si>
    <t>Study update - Storm Drain Improvements; Estimated construction cost of $1,094,100</t>
  </si>
  <si>
    <t>120301020606,120301020607</t>
  </si>
  <si>
    <t>03000092,03000093</t>
  </si>
  <si>
    <t>031000204</t>
  </si>
  <si>
    <t>Regional Detention at Bowie Elementary School</t>
  </si>
  <si>
    <t>Study update - Storm Drain Improvements; Estimated construction cost of $3,433,500</t>
  </si>
  <si>
    <t>120301020607,120301020706</t>
  </si>
  <si>
    <t>03000078,03000093</t>
  </si>
  <si>
    <t>031000209</t>
  </si>
  <si>
    <t>East Main St &amp; NE 14th St</t>
  </si>
  <si>
    <t>Study update - Storm Drain Improvements; Estimated construction cost of $5,879,400</t>
  </si>
  <si>
    <t>120301020607,120301020706,120301020705</t>
  </si>
  <si>
    <t>03000077,03000078,03000093</t>
  </si>
  <si>
    <t>031000210</t>
  </si>
  <si>
    <t>Marshall Drive from Emerald to SW 3rd</t>
  </si>
  <si>
    <t>Study update - Storm Drain Improvements; Estimated construction cost of $3,603,100</t>
  </si>
  <si>
    <t>031000211</t>
  </si>
  <si>
    <t>Varsity Drive and Christy St from Varsity to Mountain Creek Lake</t>
  </si>
  <si>
    <t>Study update - Storm Drain Improvements; Estimated construction cost of $4,768,500</t>
  </si>
  <si>
    <t>031000214</t>
  </si>
  <si>
    <t>Bowles St &amp; Hensley Drive</t>
  </si>
  <si>
    <t>Study update - Storm Drain Improvements; Estimated construction cost of $1,295,700</t>
  </si>
  <si>
    <t>031000215</t>
  </si>
  <si>
    <t>Manana Channel Improvements</t>
  </si>
  <si>
    <t>Study update - Storm Drain Improvements; Estimated construction cost of $967,600</t>
  </si>
  <si>
    <t>12030103,12030102</t>
  </si>
  <si>
    <t>1203010207,1203010310</t>
  </si>
  <si>
    <t>120301031006,120301020706,120301020705</t>
  </si>
  <si>
    <t>03000077,03000078,03000096</t>
  </si>
  <si>
    <t>031000216</t>
  </si>
  <si>
    <t>South of Bardin Rd and North of Newberry St</t>
  </si>
  <si>
    <t>Study update - Storm Drain Improvements; Estimated construction cost of $2,007,600</t>
  </si>
  <si>
    <t>031000217</t>
  </si>
  <si>
    <t>Cherokee Trace and Choctaw Trace to Clarice</t>
  </si>
  <si>
    <t>Study update - Storm Drain Improvements; Estimated construction cost of $2,715,600</t>
  </si>
  <si>
    <t>031000220</t>
  </si>
  <si>
    <t>East Marshall Drive &amp; Avenue C, East Coral &amp; SE 14th Street and in SE 14th Street &amp; Bogarte Drive</t>
  </si>
  <si>
    <t>Study update - Storm Drain Improvements; Estimated construction cost of $6,399,100</t>
  </si>
  <si>
    <t>031000221</t>
  </si>
  <si>
    <t>Lakeview Drive &amp; SE 14th Street</t>
  </si>
  <si>
    <t>Study update - Storm Drain Improvements; Estimated construction cost of $3,570,700</t>
  </si>
  <si>
    <t>031000222</t>
  </si>
  <si>
    <t>WE Roberts St &amp; SW 16th St</t>
  </si>
  <si>
    <t>Study update - Storm Drain Improvements; Estimated construction cost of $1,625,900</t>
  </si>
  <si>
    <t>031000223</t>
  </si>
  <si>
    <t>Jelmak Rd - Hardrock Rd</t>
  </si>
  <si>
    <t>Study update - Storm Drain Improvements; Estimated construction cost of $5,095,800</t>
  </si>
  <si>
    <t>1203010207</t>
  </si>
  <si>
    <t>120301020701,120301020705</t>
  </si>
  <si>
    <t>03000077,03000094</t>
  </si>
  <si>
    <t>031000225</t>
  </si>
  <si>
    <t>Parker Rd - Hardrock Rd</t>
  </si>
  <si>
    <t>Study update - Storm Drain Improvements; Estimated construction cost of $5,760,800</t>
  </si>
  <si>
    <t>120301020706,120301020701,120301020705</t>
  </si>
  <si>
    <t>03000077,03000078,03000094</t>
  </si>
  <si>
    <t>031000228</t>
  </si>
  <si>
    <t>NW 24th St &amp; NW 23rd St from West Main to Ditch Near Dalworth St and Doreen St</t>
  </si>
  <si>
    <t>Study update - Storm Drain Improvements; Estimated construction cost of $5,982,600</t>
  </si>
  <si>
    <t>031000229</t>
  </si>
  <si>
    <t>Detention Basin at St. Michael's Church Vacant Property and Relief Storm Drains in Corn Valley Rd and Neighboring Streets from Santa Anna to Kirby Creek Channel</t>
  </si>
  <si>
    <t>Study update - Storm Drain Improvements; Estimated construction cost of $18,766,400</t>
  </si>
  <si>
    <t>031000230</t>
  </si>
  <si>
    <t>River Ridge Boulevard</t>
  </si>
  <si>
    <t>Study update - Storm Drain Improvements; Estimated construction cost of $6,148,800</t>
  </si>
  <si>
    <t>120301020706,120301020701,120301020702,120301020705</t>
  </si>
  <si>
    <t>03000077,03000078,03000094,03000095</t>
  </si>
  <si>
    <t>031000236</t>
  </si>
  <si>
    <t>South Great Southwest Parkway from Sherman to Cottonwood Creek</t>
  </si>
  <si>
    <t>Study update - Storm Drain Improvements; Estimated construction cost of $6,881,500</t>
  </si>
  <si>
    <t>031000237</t>
  </si>
  <si>
    <t xml:space="preserve">Arbor Creek Pedestrian Bridge Repair and Channel Bottom Stabilization </t>
  </si>
  <si>
    <t>Evaluate stabilization 270 feet south of Johnson Creek and 290 feet east of SH 161; Estimated construction cost of $270,900</t>
  </si>
  <si>
    <t>031000239</t>
  </si>
  <si>
    <t xml:space="preserve">Turner Branch Stream Bottom Stabilization </t>
  </si>
  <si>
    <t>Evaluate the improvements needed along Turner Branch: 380 feet south of Small Hill Street to 450 feet north of East Tarrant Road; $187,200 (?)</t>
  </si>
  <si>
    <t>031000242</t>
  </si>
  <si>
    <t>Kirby Creek Channel Lining Replacements</t>
  </si>
  <si>
    <t>Evaluate the improvements needed along Kirby Creek: from 800 feet east of Great Southwest to West of Waterwood; just north of Kildeer cul-de-sac and from Waterwood East to End of Channel Lining just east of Greenvista; $1,267,200</t>
  </si>
  <si>
    <t>031000274</t>
  </si>
  <si>
    <t>Collin County flooding hazard/vulnerability assessment</t>
  </si>
  <si>
    <t>Conduct a hazard/vulnerability assessment for personal properties and structures located in the floodplain.</t>
  </si>
  <si>
    <t>03000013, 03000014</t>
  </si>
  <si>
    <t>031000275</t>
  </si>
  <si>
    <t>Houston County Lake Dam Emergency Action Plan</t>
  </si>
  <si>
    <t>Develop Emergency Action Plan for Houston County Lake Dam</t>
  </si>
  <si>
    <t>03000001, 03000002</t>
  </si>
  <si>
    <t>031000276</t>
  </si>
  <si>
    <t>Grayson County Dams Compliance Assessment</t>
  </si>
  <si>
    <t>Determine owners of all high and significant hazard dams and obtain copies of all EAPs. Obtain available dam failure impact data necessary for determining most appropriate mitigation approach that would achieve compliance with the State’s TCEQ regulations</t>
  </si>
  <si>
    <t>03000001, 0300002, 03000029, 03000030, 03000039, 03000040</t>
  </si>
  <si>
    <t>031000277</t>
  </si>
  <si>
    <t>Denton County USDA (NRCS) Dam Studies and Rehabilitation</t>
  </si>
  <si>
    <t>USDA (NRCS) Dam Studies and Rehabilitation</t>
  </si>
  <si>
    <t>031000273</t>
  </si>
  <si>
    <t>City of Plano DMP</t>
  </si>
  <si>
    <t>Evaluate alternatives for citywide drainage improvements for areas with history of flooding.</t>
  </si>
  <si>
    <t>Collin</t>
  </si>
  <si>
    <t>12030106,12030103,12030105</t>
  </si>
  <si>
    <t>1203010501,1203010309,1203010604,1203010310</t>
  </si>
  <si>
    <t>120301060404,120301060406,120301030906,120301060407,120301031003,120301050104,120301060403,120301060405,120301050103</t>
  </si>
  <si>
    <t>03000144,03000147,03000170,03000173,03000205,03000206,03000227,03000228,03000229</t>
  </si>
  <si>
    <t>03003360</t>
  </si>
  <si>
    <t>031000272</t>
  </si>
  <si>
    <t>Fairfield South Bateman Drainage Study</t>
  </si>
  <si>
    <t>12030201</t>
  </si>
  <si>
    <t>1203020106,1203020101</t>
  </si>
  <si>
    <t>120302010109,120302010107,120302010601</t>
  </si>
  <si>
    <t>03000337,03000339,03000366</t>
  </si>
  <si>
    <t>03002552</t>
  </si>
  <si>
    <t>031000270</t>
  </si>
  <si>
    <t>Sulphur Branch: Circle Lane Culvert Improvements</t>
  </si>
  <si>
    <t>Evaluate and define necessary culvert improvements.</t>
  </si>
  <si>
    <t>120301020704,120301020505,120301020701</t>
  </si>
  <si>
    <t>03000076,03000085,03000094</t>
  </si>
  <si>
    <t>03000003, 03000004, 03000009, 03000010, 03000031, 03000032</t>
  </si>
  <si>
    <t>03003582</t>
  </si>
  <si>
    <t>031000265</t>
  </si>
  <si>
    <t>Tributary SB-1: Circle Lane Culvert Improvements</t>
  </si>
  <si>
    <t>Evaluate and define necessary culvert improvements: Circle Lane, Shirley Way, Briar Drive, Schumac Lane, and Donna Lane</t>
  </si>
  <si>
    <t>031000264</t>
  </si>
  <si>
    <t>Johnson County Low Water Crossings - West Side</t>
  </si>
  <si>
    <t>Hydraulic evaluation to determine how to reduce flooding risk at multiple low water crossings.</t>
  </si>
  <si>
    <t>03000003, 03000004, 03000009, 03000010</t>
  </si>
  <si>
    <t>031000263</t>
  </si>
  <si>
    <t>Johnson County Low Water Crossings - East Side</t>
  </si>
  <si>
    <t>031000261</t>
  </si>
  <si>
    <t>Office Creek Drainage Study</t>
  </si>
  <si>
    <t>Update Drainage Study and Improvements at Five Star Park</t>
  </si>
  <si>
    <t>1203010309,1203010310</t>
  </si>
  <si>
    <t>120301030906,120301031003,120301031001</t>
  </si>
  <si>
    <t>03000144,03000145,03000147</t>
  </si>
  <si>
    <t>03000005, 03000006, 03000007, 03000008, 03000009, 03000010</t>
  </si>
  <si>
    <t>03003352</t>
  </si>
  <si>
    <t>031000260</t>
  </si>
  <si>
    <t>North Colony Blvd. at Powers Street</t>
  </si>
  <si>
    <t>Streams SC-1A Drainage Study and storm drain upgrades to deal with flooding</t>
  </si>
  <si>
    <t>120301030906,120301031003</t>
  </si>
  <si>
    <t>03000144,03000147</t>
  </si>
  <si>
    <t>031000259</t>
  </si>
  <si>
    <t>Long Branch Channel Improvements (Dewitt to Ingram)</t>
  </si>
  <si>
    <t>Channel improvements to replace a failed headwall and reduce erosive velocities. Sewer line relocation to protect against potential failure due to erosion.</t>
  </si>
  <si>
    <t>120301060408,120301060403</t>
  </si>
  <si>
    <t>03000205,03000230</t>
  </si>
  <si>
    <t>031000258</t>
  </si>
  <si>
    <t>Jackson Meadows Pond Erosion Control</t>
  </si>
  <si>
    <t>Erosion control measures around three pond headwalls to decrease flow velocity.</t>
  </si>
  <si>
    <t>031000244</t>
  </si>
  <si>
    <t>Johnson Creek Avenue J Stabilization</t>
  </si>
  <si>
    <t>Bridge abutment repair and channel bank stabilization; Estimated construction cost of $168,500</t>
  </si>
  <si>
    <t>031000247</t>
  </si>
  <si>
    <t xml:space="preserve">Dalworth Creek Stabilization </t>
  </si>
  <si>
    <t>Repair of gabions and protection of wastewater crossing downstream of I-30; Estimated construction cost of $402,000; from Dalworth Street to Roman; Estimated construction cost of $278,900</t>
  </si>
  <si>
    <t>031000248</t>
  </si>
  <si>
    <t>South Fork Cottonwood Creek</t>
  </si>
  <si>
    <t>Evaluate South Fork from Great Southwest to Carrier; Estimated construction cost of $781,200</t>
  </si>
  <si>
    <t>031000246</t>
  </si>
  <si>
    <t xml:space="preserve">Warrior Creek Stabilization </t>
  </si>
  <si>
    <t>From Great Southwest to South Fork Cottonwood Creek; Estimated construction cost of $518,500</t>
  </si>
  <si>
    <t>031000174</t>
  </si>
  <si>
    <t>North Weatherford St and Oakwood St Structure Improvements</t>
  </si>
  <si>
    <t>Structure improvements assessment - North Weatherford St in front of fire station and Oakwood St between Granada and El Camino.</t>
  </si>
  <si>
    <t>1203010105,1203010104</t>
  </si>
  <si>
    <t>120301010404,120301010410,120301010411,120301010508</t>
  </si>
  <si>
    <t>03000024,03000030,03000031,03000043</t>
  </si>
  <si>
    <t>03002960</t>
  </si>
  <si>
    <t>031000173</t>
  </si>
  <si>
    <t xml:space="preserve">West Bridgeport Creek Channelization and Drainage Project </t>
  </si>
  <si>
    <t>West Bridgeport Creek Channelization and Drainage Project Feasibility Assessment.</t>
  </si>
  <si>
    <t>1203010104,1203010106</t>
  </si>
  <si>
    <t>120301010404,120301010405,120301010410,120301010411,120301010602,120301010408,120301010409</t>
  </si>
  <si>
    <t>03000024,03000025,03000028,03000029,03000030,03000031,03000048</t>
  </si>
  <si>
    <t>031000170</t>
  </si>
  <si>
    <t>Mansfield Stream Stabilization Study</t>
  </si>
  <si>
    <t>Evaluate alternatives to protect public infrastructure and private property from damages due to streambank erosion. Alternatives could include Saddlehorn/Walnut Creek sewer interceptor aerial crossing and Brookfield Hogpen sewer interceptor</t>
  </si>
  <si>
    <t>1203010204,1203010206</t>
  </si>
  <si>
    <t>120301020603,120301020601,120301020604,120301020605,120301020405</t>
  </si>
  <si>
    <t>03000080,03000087,03000089,03000090,03000091</t>
  </si>
  <si>
    <t>03003013</t>
  </si>
  <si>
    <t>031000144</t>
  </si>
  <si>
    <t>Sanger Creek Waterways Reconstruction Study</t>
  </si>
  <si>
    <t>Evaluate alternatives to reconstruct creek waterways to correct drainage issues</t>
  </si>
  <si>
    <t>1203010306,1203010304</t>
  </si>
  <si>
    <t>120301030604,120301030602,120301030603,120301030405</t>
  </si>
  <si>
    <t>03000113,03000125,03000126,03000127</t>
  </si>
  <si>
    <t>03003348</t>
  </si>
  <si>
    <t>031000157</t>
  </si>
  <si>
    <t xml:space="preserve">Polk County Road and Drainage Improvements </t>
  </si>
  <si>
    <t>Evaluate road elevation and drainage improvements.</t>
  </si>
  <si>
    <t>031000136</t>
  </si>
  <si>
    <t>Hunterwood Stream Stabilization Project</t>
  </si>
  <si>
    <t>Installation and maintenance of gabion walls to mitigate stream bank erosion during extreme flood events</t>
  </si>
  <si>
    <t>12030103,12030104,12030102</t>
  </si>
  <si>
    <t>1203010207,1203010310,1203010403</t>
  </si>
  <si>
    <t>120301040307,120301031006,120301031004,120301020703</t>
  </si>
  <si>
    <t>03000075,03000096,03000148,03000167</t>
  </si>
  <si>
    <t>03000031, 03000032, 03000033, 03000034</t>
  </si>
  <si>
    <t>03003357</t>
  </si>
  <si>
    <t>031000164</t>
  </si>
  <si>
    <t xml:space="preserve">Chipmunk Rd Culverts Replacement </t>
  </si>
  <si>
    <t>Evaluate alternatives to replace Chipmunk Rd culverts with a bridge</t>
  </si>
  <si>
    <t>12030203,12030202</t>
  </si>
  <si>
    <t>1203020301,1203020212</t>
  </si>
  <si>
    <t>120302030101,120302021207</t>
  </si>
  <si>
    <t>03000450,03000452</t>
  </si>
  <si>
    <t>031000165</t>
  </si>
  <si>
    <t>Comanche Drive Culvert and Retention Wall Construction Feasibility Assessment</t>
  </si>
  <si>
    <t>Evaluate feasibility for building a larger culvert and retention wall for watershed over low crossing on Comanche Drive</t>
  </si>
  <si>
    <t>03002831</t>
  </si>
  <si>
    <t>031000175</t>
  </si>
  <si>
    <t xml:space="preserve">Hurstview Drive Bridge Improvement </t>
  </si>
  <si>
    <t>Lorean watershed; Estimated construction cost of $390,000; from 2013 study</t>
  </si>
  <si>
    <t>031000254</t>
  </si>
  <si>
    <t>Stuart Branch Stabilization</t>
  </si>
  <si>
    <t>Evaluate from 460 feet north of Sanctuary Drive and 350 feet northeast of Nature Court cul-de-sac to Joe Pool Lake (future with development); Estimated construction cost of $349,700</t>
  </si>
  <si>
    <t>1203010903,1203010503,1203010206</t>
  </si>
  <si>
    <t>120301020603,120301050301,120301090301</t>
  </si>
  <si>
    <t>03000089,03000181,03000297</t>
  </si>
  <si>
    <t>031000255</t>
  </si>
  <si>
    <t>Swadley Branch Stabilization</t>
  </si>
  <si>
    <t>Evaluate from 2200 feet south of Koscher Drive to Joe Pool Lake (future with development); Estimated construction cost of $286,800</t>
  </si>
  <si>
    <t>120301020603,120301020605</t>
  </si>
  <si>
    <t>03000089,03000091</t>
  </si>
  <si>
    <t>031000257</t>
  </si>
  <si>
    <t>Tarrell Creek Stabilization</t>
  </si>
  <si>
    <t>Evaluate from a Stream Point 2420 feet south of South Periwinkle Court cul-de-sac and 800 feet east of South Periwinkle Court cul-de-sac to Joe Pool Lake (future with development); Estimated construction cost of $747,200</t>
  </si>
  <si>
    <t>031000256</t>
  </si>
  <si>
    <t>Mills Branch Stabilization</t>
  </si>
  <si>
    <t>Evaluate from 880 feet south of South Periwinkle Court cul-de-sac to Joe Pool Lake (future with development); Estimated construction cost of $599,300</t>
  </si>
  <si>
    <t>031000177</t>
  </si>
  <si>
    <t>TRE &amp; SH-10 Culvert Improvements</t>
  </si>
  <si>
    <t>Valley View watershed; Estimated construction cost of $750,000; from 2017 study</t>
  </si>
  <si>
    <t>031000178</t>
  </si>
  <si>
    <t>Pipeline Road Bridge Improvement</t>
  </si>
  <si>
    <t>Walker watershed; Estimated construction cost of $1,700,000; from 2020 study</t>
  </si>
  <si>
    <t>031000253</t>
  </si>
  <si>
    <t>Prairie Creek Stabilization</t>
  </si>
  <si>
    <t>Evaluate from upstream of Great Southwest Pkwy to upstream of Robinson Road; Estimated construction cost of $606,900</t>
  </si>
  <si>
    <t>031000153</t>
  </si>
  <si>
    <t xml:space="preserve">Liberty County Re-canalization </t>
  </si>
  <si>
    <t>Evaluate alternatives to dechannelize existing feeder creeks that flow from north to south and improve drainage for storm water runoff</t>
  </si>
  <si>
    <t>03000029, 03000030</t>
  </si>
  <si>
    <t>031000262</t>
  </si>
  <si>
    <t>Bill Allen Park Erosion Study</t>
  </si>
  <si>
    <t>Evaluate erosion control measures at Blair Oaks Drive to Good Shepherd Lutheran Church.</t>
  </si>
  <si>
    <t>031000181</t>
  </si>
  <si>
    <t xml:space="preserve">Grand Parkway Culvert Crossing </t>
  </si>
  <si>
    <t>Evaluate alternatives to upsize cross-culverts to allow for developed flow</t>
  </si>
  <si>
    <t>031000001</t>
  </si>
  <si>
    <t>Archer County FEMA Mapping</t>
  </si>
  <si>
    <t xml:space="preserve">Archer  </t>
  </si>
  <si>
    <t>12060201,12030101,11130209,11130206,12060101</t>
  </si>
  <si>
    <t>1113020905,1113020902,1206010108,1113020903,1113020604,1203010101,1206020101,1113020901,1113020602,1113020603</t>
  </si>
  <si>
    <t>03000006,03000007,03000008,03000012</t>
  </si>
  <si>
    <t>031000252</t>
  </si>
  <si>
    <t>Plattner Creek Stabilization</t>
  </si>
  <si>
    <t>Evaluate from FM 1382 to City Limits of Dallas, west of SE 14th; Estimated construction cost of $252,900</t>
  </si>
  <si>
    <t>031000182</t>
  </si>
  <si>
    <t>Cherry Point Gully PER</t>
  </si>
  <si>
    <t>Evaluate alternatives to construct a diversion channel; channel improvements upstream of diversion; construction of regional detention basins as alternative to diversion channel construction</t>
  </si>
  <si>
    <t>1204020301,1203020303</t>
  </si>
  <si>
    <t>120402030105,120302030304,120402030104</t>
  </si>
  <si>
    <t>03000466</t>
  </si>
  <si>
    <t>031000185</t>
  </si>
  <si>
    <t>North Grand Prairie High School Pond Crossing</t>
  </si>
  <si>
    <t>Study update - Gopher Creek 430 feet north of Small Hill St; channel improvements; Estimated construction cost of $159,500</t>
  </si>
  <si>
    <t>031000186</t>
  </si>
  <si>
    <t xml:space="preserve">Belt Line Rd at Plattner Creek </t>
  </si>
  <si>
    <t>Study update - Channel Improvements; Estimated construction cost of $435,500</t>
  </si>
  <si>
    <t>031000207</t>
  </si>
  <si>
    <t xml:space="preserve">Thousand Oaks Court </t>
  </si>
  <si>
    <t>Study update - Storm Drain Improvements; Estimated construction cost of $742,700</t>
  </si>
  <si>
    <t>031000208</t>
  </si>
  <si>
    <t>East Marshall Drive, Santa Cruz Circle &amp; Belt Line Rd</t>
  </si>
  <si>
    <t>Study update - Storm Drain Improvements; Estimated construction cost of $1,753,800</t>
  </si>
  <si>
    <t>031000187</t>
  </si>
  <si>
    <t xml:space="preserve">Small Hill St at Gopher Creek </t>
  </si>
  <si>
    <t>Study update - Channel Improvements; Estimated construction cost of $307,700</t>
  </si>
  <si>
    <t>031000188</t>
  </si>
  <si>
    <t xml:space="preserve">Carrier Parkway at Dalworth Creek </t>
  </si>
  <si>
    <t>Study update - 190 feet southeast of Capetown; Channel Improvements; Estimated construction cost of $1,092,000</t>
  </si>
  <si>
    <t>031000191</t>
  </si>
  <si>
    <t xml:space="preserve">Grass-covered Culvert at Dalworth Creek </t>
  </si>
  <si>
    <t>Study update - 520 feet west of Carrier Parkway; Channel Improvements; Estimated construction cost of $1,048,700</t>
  </si>
  <si>
    <t>031000189</t>
  </si>
  <si>
    <t xml:space="preserve">East Tarrant Rd at Gopher Creek </t>
  </si>
  <si>
    <t>Study update - Channel Improvements; Estimated construction cost of $381,300</t>
  </si>
  <si>
    <t>031000190</t>
  </si>
  <si>
    <t xml:space="preserve">NE 5th St at Gopher Creek </t>
  </si>
  <si>
    <t>Study update - Channel Improvements; Estimated construction cost of $390,200</t>
  </si>
  <si>
    <t>031000192</t>
  </si>
  <si>
    <t xml:space="preserve">High School Drive at Gopher Creek </t>
  </si>
  <si>
    <t>Study update - Channel Improvements; Estimated construction cost of $402,400</t>
  </si>
  <si>
    <t>031000195</t>
  </si>
  <si>
    <t xml:space="preserve">West Park Square Rd at Turner Branch </t>
  </si>
  <si>
    <t>Study update - Channel Improvements; Estimated construction cost of $445,200</t>
  </si>
  <si>
    <t>031000162</t>
  </si>
  <si>
    <t>San Jacinto County Drainage and Conveyance Capacity Improvements</t>
  </si>
  <si>
    <t>Evaluate alternatives to improve drainage and conveyance capacity for Big Creek.</t>
  </si>
  <si>
    <t>03003515, 00000047</t>
  </si>
  <si>
    <t>031000197</t>
  </si>
  <si>
    <t>3rd St at Cottonwood Creek and Cottonwood Creek from SW 3rd to FM 1382</t>
  </si>
  <si>
    <t>Study update - Channel Improvements; Estimated construction cost of $12,733,000</t>
  </si>
  <si>
    <t>031000198</t>
  </si>
  <si>
    <t>FM 661 at Mountain Creek (Future with Development)</t>
  </si>
  <si>
    <t>Study update - Channel Improvements; Estimated construction cost of $7,750,000</t>
  </si>
  <si>
    <t>12030109,12030102</t>
  </si>
  <si>
    <t>1203010901,1203010206</t>
  </si>
  <si>
    <t>120301020603,120301090103,120301090101,120301020601,120301020604,120301090102,120301020605,120301020602</t>
  </si>
  <si>
    <t>03000087,03000088,03000089,03000090,03000313,03000314,03000315</t>
  </si>
  <si>
    <t>031000233</t>
  </si>
  <si>
    <t>Various Streets and Alleys from Dallas Street West of NW 20th Street to Ditch Just South of WE Roberts Street</t>
  </si>
  <si>
    <t>Study update - Storm Drain Improvements; Estimated construction cost of $10,656,800</t>
  </si>
  <si>
    <t>031000251</t>
  </si>
  <si>
    <t>Henry Branch Stream Stabilization</t>
  </si>
  <si>
    <t>Evaluate from apartments at 1000 South Belt Line to Grand Prairie Road; Estimated construction cost of $127,900</t>
  </si>
  <si>
    <t>031000249</t>
  </si>
  <si>
    <t>Willis Branch Stabilization</t>
  </si>
  <si>
    <t>Dam removal and south channel bank stabilization just west of Devon cul-de-sac; Estimated construction cost of $48,600; from Great Southwest to Sheffield; Estimated construction cost of $200,700</t>
  </si>
  <si>
    <t>120301020606,120301020605</t>
  </si>
  <si>
    <t>03000091,03000092</t>
  </si>
  <si>
    <t>031000140</t>
  </si>
  <si>
    <t>Cooks Creek Drainage Infrastructure Improvements</t>
  </si>
  <si>
    <t>Evaluation of improvements to drainage infrastructure along Cooks Creek between Bee St and Spring Valley.</t>
  </si>
  <si>
    <t>120301031005,120301031004</t>
  </si>
  <si>
    <t>03000148,03000149</t>
  </si>
  <si>
    <t>031000218</t>
  </si>
  <si>
    <t>Gilbert Rd Drainage Improvements</t>
  </si>
  <si>
    <t>Study update - Storm Drain Improvements; Estimated construction cost of $5,825,500</t>
  </si>
  <si>
    <t>031000212</t>
  </si>
  <si>
    <t>SE 10th Street and Avion Parkway from Perman South to Culvert Crossing</t>
  </si>
  <si>
    <t>Study update - Storm Drain Improvements; Estimated construction cost of $1,158,400</t>
  </si>
  <si>
    <t>031000213</t>
  </si>
  <si>
    <t>SW 3rd Street from Dorris North to Concrete Channel</t>
  </si>
  <si>
    <t>Study update - Storm Drain Improvements; Estimated construction cost of $4,024,800</t>
  </si>
  <si>
    <t>031000234</t>
  </si>
  <si>
    <t>South Great Southwest Parkway from Warrior to Kirby Creek Concrete Channel North of Mayfield</t>
  </si>
  <si>
    <t>Study update - Storm Drain Improvements; Estimated construction cost of $1,411,100</t>
  </si>
  <si>
    <t>031000235</t>
  </si>
  <si>
    <t>South Great Southwest Parkway from North of Forum Drive to Prairie Creek Channel</t>
  </si>
  <si>
    <t>Study update - Storm Drain Improvements; Estimated construction cost of $2,127,800</t>
  </si>
  <si>
    <t>031000219</t>
  </si>
  <si>
    <t>27th Street and Graham Street from Rinehart to Channel</t>
  </si>
  <si>
    <t>Study update - Storm Drain Improvements; Estimated construction cost of $1,419,800</t>
  </si>
  <si>
    <t>1203010501,1203010207</t>
  </si>
  <si>
    <t>120301050102,120301020706</t>
  </si>
  <si>
    <t>03000078,03000169</t>
  </si>
  <si>
    <t>031000224</t>
  </si>
  <si>
    <t>Shady Grove Rd, Gilbert Rd, Wright Blvd</t>
  </si>
  <si>
    <t>Study update - Storm Drain Improvements; Estimated construction cost of $2,860,900</t>
  </si>
  <si>
    <t>120301031006,120301020706,120301020701,120301020705</t>
  </si>
  <si>
    <t>03000077,03000078,03000094,03000096</t>
  </si>
  <si>
    <t>031000226</t>
  </si>
  <si>
    <t>North Carrier Parkway &amp; Main St to Dalworth Creek Channel</t>
  </si>
  <si>
    <t>Study update - Storm Drain Improvements; Estimated construction cost of $8,803,700</t>
  </si>
  <si>
    <t>031000227</t>
  </si>
  <si>
    <t xml:space="preserve">Pioneer Parkway from Brady to Plattner Creek (TXDOT) </t>
  </si>
  <si>
    <t>Study update - Storm Drain Improvements; Estimated construction cost of $9,511,900</t>
  </si>
  <si>
    <t>031000250</t>
  </si>
  <si>
    <t>Johnson Creek Stabilization</t>
  </si>
  <si>
    <t>Replacement of failed inline channel structure east of SH 161 and sediment removal; Estimated construction cost of $1,979,000; south channel bank stabilization north of Babbling Brook from Quest to Shadow Pass; Estimated construction cost of $831,700</t>
  </si>
  <si>
    <t>031000196</t>
  </si>
  <si>
    <t>Carrier Parkway at Cottonwood Creek and South Fork Cottonwood Creek - Bridges</t>
  </si>
  <si>
    <t>Study update - Channel Improvements; Estimated construction cost of $18,164,400</t>
  </si>
  <si>
    <t>031000278</t>
  </si>
  <si>
    <t>Spring Creek Retaining Walls</t>
  </si>
  <si>
    <t>Implement results from the 2021 Spring Creek Erosion and Retaining Wall Assessment project. This project identified 19 locations with recommended repairs/maintenance to erosion structures.</t>
  </si>
  <si>
    <t>120301060404,120301060406,120301060407,120301060408,120301050104,120301060501,120301050103</t>
  </si>
  <si>
    <t>03000170,03000173,03000206,03000229,03000230,03000232</t>
  </si>
  <si>
    <t>031000279</t>
  </si>
  <si>
    <t>Colonel Palm Valley Drainage Improvements</t>
  </si>
  <si>
    <t>Implement results from the Colonel Drive Drainage Study. This study identified mitigation options in Coloneal Drive and Palm Valley Drive.</t>
  </si>
  <si>
    <t>031000280</t>
  </si>
  <si>
    <t>Ashville Drive Drainage Improvements</t>
  </si>
  <si>
    <t>Implement results from the Ashville Drainage Study. This study identified recommended mitigation options that can provide 100-year protection and minimal improvements for greater frequency storm events.</t>
  </si>
  <si>
    <t>031000282</t>
  </si>
  <si>
    <t>Tobin Trail Drainage Analysis</t>
  </si>
  <si>
    <t>Implement results from the Tobin Trail Drainage Study. This study identified mitigation options to determine what solutions can be provided to eliminate or reduce flooding that occurs in Tobin Trail.</t>
  </si>
  <si>
    <t>031000281</t>
  </si>
  <si>
    <t>Freeman Heights Drainage Improvements</t>
  </si>
  <si>
    <t>Implement results from the Garland-Freeman Height Drainage Study. This study identified improvement projects for the storm sewer.</t>
  </si>
  <si>
    <t>031000120</t>
  </si>
  <si>
    <t>Mc Adams Ditch Feasibility Study</t>
  </si>
  <si>
    <t>Evaluate alternatives for improvements to Mc Adams Ditch (crosses FM 3180 South).</t>
  </si>
  <si>
    <t>120302030307,120402030106,120402030200</t>
  </si>
  <si>
    <t>031000283</t>
  </si>
  <si>
    <t>Whites Bayou/Spring Branch Flood Study</t>
  </si>
  <si>
    <t>Flood study north of I-10 through Hankamer</t>
  </si>
  <si>
    <t>12030203,12040202</t>
  </si>
  <si>
    <t>1204020201,1203020302</t>
  </si>
  <si>
    <t>120302030202,120302030204,120402020100</t>
  </si>
  <si>
    <t>03000462</t>
  </si>
  <si>
    <t>031000128</t>
  </si>
  <si>
    <t>Lindsay Waterways Improvements Study</t>
  </si>
  <si>
    <t xml:space="preserve">Identify alternatives to reshape waterways to allow quicker flow in areas that have regular flooding. Construction of Gabion retaining walls, and widening and/or deepening of the waterway. </t>
  </si>
  <si>
    <t>12030103,11130201</t>
  </si>
  <si>
    <t>1113020107,1203010304,1203010301</t>
  </si>
  <si>
    <t>120301030401,120301030403,120301030106,111302010707</t>
  </si>
  <si>
    <t>03000102,03000109,03000111</t>
  </si>
  <si>
    <t>00003210</t>
  </si>
  <si>
    <t>031000284</t>
  </si>
  <si>
    <t>Predicted Maximum Probable Inundation Map</t>
  </si>
  <si>
    <t xml:space="preserve">Use NWS gage height forecasts from the River Forecast Center to generate a potential floodplain along the main stem of the Trinity River. </t>
  </si>
  <si>
    <t>All</t>
  </si>
  <si>
    <t>03000005,03000005, 03000039, 03000040</t>
  </si>
  <si>
    <t>00000280</t>
  </si>
  <si>
    <t>031000285</t>
  </si>
  <si>
    <t>Headwaters of South Fork Trinity River Tributaries Through Hudson Oaks</t>
  </si>
  <si>
    <t xml:space="preserve">Study to determine flooding issues and potential future projects. </t>
  </si>
  <si>
    <t>Parker</t>
  </si>
  <si>
    <t>1203010202</t>
  </si>
  <si>
    <t>120301020205,120301020203,120301020206,120301020207,120301020204</t>
  </si>
  <si>
    <t>03000059,03000060,03000061,03000062,03000063</t>
  </si>
  <si>
    <t>03003491</t>
  </si>
  <si>
    <t>031000286</t>
  </si>
  <si>
    <t>Headwaters of Clear Fork Trinity River Tributaries Through Hudson Oaks</t>
  </si>
  <si>
    <t>120301020203,120301020207,120301020204</t>
  </si>
  <si>
    <t>03000059,03000060,03000063</t>
  </si>
  <si>
    <t>031000287</t>
  </si>
  <si>
    <t>Headwaters of Willow Creek Regulatory Floodplain Determination Study</t>
  </si>
  <si>
    <t>Mapping study for Headwaters of Willow Creek through Mansfield ETJ.</t>
  </si>
  <si>
    <t>120301020403,120301020604,120301020402,120301020405</t>
  </si>
  <si>
    <t>03000073,03000074,03000080,03000090</t>
  </si>
  <si>
    <t>03000001, 03000002, 03000005, 03000006,  03000025, 03000026</t>
  </si>
  <si>
    <t>031000288</t>
  </si>
  <si>
    <t>Mountain Creek and Tribs Regulatory Floodplain Determination Study</t>
  </si>
  <si>
    <t>Mapping study for Mountain Creek and Tribs through Mansfield ETJ.</t>
  </si>
  <si>
    <t>Johnson, Ellis</t>
  </si>
  <si>
    <t>120301020603,120301020601,120301020604,120301020605,120301020602</t>
  </si>
  <si>
    <t>03000087,03000088,03000089,03000090,03000091</t>
  </si>
  <si>
    <t>031000289</t>
  </si>
  <si>
    <t>Hogpen Creek and Detention Facilities H&amp;H Modeling Update</t>
  </si>
  <si>
    <t>Detailed headwaters study completed with detention. Needs a connectivity H&amp;H modeling with identified detention.</t>
  </si>
  <si>
    <t>120301020604,120301020605,120301020405</t>
  </si>
  <si>
    <t>03000080,03000090,03000091</t>
  </si>
  <si>
    <t xml:space="preserve">03000005, 03000006, 03000009, 03000010, 03000021, 03000022, </t>
  </si>
  <si>
    <t>031000290</t>
  </si>
  <si>
    <t>Rock Creek Watershed Study</t>
  </si>
  <si>
    <t>Study to improve knowledge of flood risks and facilitate the analysis of proposed developments within or adjacent to the floodplain.</t>
  </si>
  <si>
    <t>Johnson</t>
  </si>
  <si>
    <t>12030102,12060202</t>
  </si>
  <si>
    <t>1203010204,1206020202,1203010203</t>
  </si>
  <si>
    <t>120301020401,120602020202,120602020201,120301020304</t>
  </si>
  <si>
    <t>03000068,03000072</t>
  </si>
  <si>
    <t>03000005, 03000006, 03000023, 03000024,</t>
  </si>
  <si>
    <t>00003009</t>
  </si>
  <si>
    <t>031000291</t>
  </si>
  <si>
    <t>Walnut Creek Watershed Study</t>
  </si>
  <si>
    <t>120301020401,120301020604</t>
  </si>
  <si>
    <t>03000072,03000090</t>
  </si>
  <si>
    <t>031000292</t>
  </si>
  <si>
    <t>North Creek Watershed Study</t>
  </si>
  <si>
    <t>Johnson, Tarrant</t>
  </si>
  <si>
    <t>120301020401,120301020402</t>
  </si>
  <si>
    <t>03000072,03000073</t>
  </si>
  <si>
    <t>03000005, 03000006, 03000023, 03000024, 03000039, 03000040</t>
  </si>
  <si>
    <t>031000293</t>
  </si>
  <si>
    <t>Quil Miller Creek Watershed Study</t>
  </si>
  <si>
    <t>12030109,12030102,12060202</t>
  </si>
  <si>
    <t>1203010901,1203010204,1206020202,1203010206</t>
  </si>
  <si>
    <t>120301020401,120602020202,120301090101,120301020604,120301020402</t>
  </si>
  <si>
    <t>03000072,03000073,03000090,03000313</t>
  </si>
  <si>
    <t>031000294</t>
  </si>
  <si>
    <t>Hurst Creek Watershed Study</t>
  </si>
  <si>
    <t>120301020401</t>
  </si>
  <si>
    <t>03000072</t>
  </si>
  <si>
    <t>031000036</t>
  </si>
  <si>
    <t>East Fork Trinity HUC-8 - East Fork Trinity and Tributaries Flood Risk Identification</t>
  </si>
  <si>
    <t xml:space="preserve">Grayson, Fannin, Hunt, Collin, Rockwall, Dallas, Kaufman </t>
  </si>
  <si>
    <t>12030106,11140101,12030103,11140301,12030107,12030105,12010001</t>
  </si>
  <si>
    <t>1203010501,1201000103,1114010101,1203010504,1203010605,1203010602,1114030101,1201000101,1203010309,1201000102,1203010701,1114010105,1203010307,1203010603,1203010502,1203010302,1203010604,1203010601</t>
  </si>
  <si>
    <t>00000270</t>
  </si>
  <si>
    <t>031000037</t>
  </si>
  <si>
    <t>Denton HUC-8 - Hog Branch Flood Risk Identification</t>
  </si>
  <si>
    <t>031000054</t>
  </si>
  <si>
    <t>City of Cockrell Hill DMP</t>
  </si>
  <si>
    <t>120301050102</t>
  </si>
  <si>
    <t>03000169</t>
  </si>
  <si>
    <t>03002824</t>
  </si>
  <si>
    <t>031000295</t>
  </si>
  <si>
    <t>City of Wilmer DMP</t>
  </si>
  <si>
    <t xml:space="preserve">Evaluate City and identify future projects. </t>
  </si>
  <si>
    <t>1203010502</t>
  </si>
  <si>
    <t>120301050202,120301050203</t>
  </si>
  <si>
    <t>03000171,03000172</t>
  </si>
  <si>
    <t>03002566</t>
  </si>
  <si>
    <t>031000296</t>
  </si>
  <si>
    <t>Alta Mesa Branch at Persimmon Road</t>
  </si>
  <si>
    <t>Evaluate bridge improvements for Persimmon Road over Alta Mesa Branch</t>
  </si>
  <si>
    <t>120301050107,120301050108</t>
  </si>
  <si>
    <t>03000176,03000177</t>
  </si>
  <si>
    <t>03000007, 03000008, 03000009, 03000010, 03000031, 03000032</t>
  </si>
  <si>
    <t>03002819</t>
  </si>
  <si>
    <t>031000297</t>
  </si>
  <si>
    <t>Alta Mesa Branch at Simpson Stuart Road</t>
  </si>
  <si>
    <t>Evaluate culvert improvements for Simpson Stuart Road over Alta Mesa Branch</t>
  </si>
  <si>
    <t>031000298</t>
  </si>
  <si>
    <t>Alta Mesa Branch at Tracy Road</t>
  </si>
  <si>
    <t>Evaluate bridge improvements: Tracy Road over Alta Mesa Branch</t>
  </si>
  <si>
    <t>031000299</t>
  </si>
  <si>
    <t>Ricketts Branch at Camp Wisdom Road</t>
  </si>
  <si>
    <t>Evaluate bridge improvements for Camp Wisdom Road over Ricketts Branch (2 structures)</t>
  </si>
  <si>
    <t>1203010501,1203010502</t>
  </si>
  <si>
    <t>120301050107,120301050201</t>
  </si>
  <si>
    <t>03000176,03000178</t>
  </si>
  <si>
    <t>031000300</t>
  </si>
  <si>
    <t>Ricketts Branch at IH 35E Service</t>
  </si>
  <si>
    <t>Evaluate bridge improvements for IH 35E over Ricketts Branch</t>
  </si>
  <si>
    <t>031000301</t>
  </si>
  <si>
    <t>Runyon Springs Branch at Crouch Road</t>
  </si>
  <si>
    <t>Evaluate bridge improvements for Crouch Road over Runyon Springs Branch</t>
  </si>
  <si>
    <t>120301050107,120301050201,120301050202,120301050108</t>
  </si>
  <si>
    <t>03000171,03000176,03000177,03000178</t>
  </si>
  <si>
    <t>031000302</t>
  </si>
  <si>
    <t>Whites Branch at Langdon Road</t>
  </si>
  <si>
    <t>Evaluate bridge improvements for Langdon Road over Whites Branch</t>
  </si>
  <si>
    <t>120301050202,120301050108,120301050203</t>
  </si>
  <si>
    <t>03000171,03000172,03000177</t>
  </si>
  <si>
    <t>031000303</t>
  </si>
  <si>
    <t>Wilson Branch at Bonnie View Road</t>
  </si>
  <si>
    <t>Evaluate bridge improvements for Bonnie View Road over Wilson Branch</t>
  </si>
  <si>
    <t>120301050108</t>
  </si>
  <si>
    <t>03000177</t>
  </si>
  <si>
    <t>031000304</t>
  </si>
  <si>
    <t>Wilson Branch at J J Lemmon Road</t>
  </si>
  <si>
    <t>Evaluate bridge improvements for J J Lemmon Road over Wilson Branch</t>
  </si>
  <si>
    <t>031000305</t>
  </si>
  <si>
    <t>Wilson Branch at Tioga Street</t>
  </si>
  <si>
    <t>Evaluate bridge improvements for Tioga Street over Wilson Branch</t>
  </si>
  <si>
    <t>031000306</t>
  </si>
  <si>
    <t>Woody Branch at Loop 12</t>
  </si>
  <si>
    <t>Evaluate bridge improvements for Loop 12 over Woody Branch</t>
  </si>
  <si>
    <t>1203010501,1203010502,1203010206</t>
  </si>
  <si>
    <t>120301050107,120301050201,120301020607</t>
  </si>
  <si>
    <t>03000093,03000176,03000178</t>
  </si>
  <si>
    <t>031000307</t>
  </si>
  <si>
    <t>Hutchins Creek at Denton Street</t>
  </si>
  <si>
    <t>Evaluate culvert improvements for Denton Street over Hutchins Creek</t>
  </si>
  <si>
    <t>120301050108,120301050203</t>
  </si>
  <si>
    <t>03000172,03000177</t>
  </si>
  <si>
    <t>03002562</t>
  </si>
  <si>
    <t>031000308</t>
  </si>
  <si>
    <t>Hutchins Creek at J J Lemmon Street</t>
  </si>
  <si>
    <t>Evaluate bridge improvements for J J Lemmon Street over Hutchins Creek</t>
  </si>
  <si>
    <t>031000309</t>
  </si>
  <si>
    <t>Hutchins Creek at Main Street</t>
  </si>
  <si>
    <t>Evaluate bridge improvements for Main Street over Hutchins Creek</t>
  </si>
  <si>
    <t>031000310</t>
  </si>
  <si>
    <t>Rawlins Creek at Dowdy Ferry Road</t>
  </si>
  <si>
    <t>Evaluate bridge improvements for Dowdy Ferry Road over Rawlins Creek</t>
  </si>
  <si>
    <t>031000311</t>
  </si>
  <si>
    <t>Rawlins Creek at IH 45</t>
  </si>
  <si>
    <t>Evaluate bridge improvements for IH 45 over Rawlins Creek</t>
  </si>
  <si>
    <t>031000312</t>
  </si>
  <si>
    <t>Rawlins Creek at Main Street</t>
  </si>
  <si>
    <t>Evaluate bridge improvements for Main Street over Rawlins Creek</t>
  </si>
  <si>
    <t>031000318</t>
  </si>
  <si>
    <t>Halls Branch at 1st Street</t>
  </si>
  <si>
    <t>Evaluate bridge improvements for 1st Street over Halls Branch</t>
  </si>
  <si>
    <t>1203010501,1203010502,1203010503</t>
  </si>
  <si>
    <t>120301050202,120301050108,120301050305</t>
  </si>
  <si>
    <t>03000171,03000177,03000185</t>
  </si>
  <si>
    <t>031000319</t>
  </si>
  <si>
    <t>Halls Branch at 4th Street</t>
  </si>
  <si>
    <t>Evaluate bridge improvements for 4th Street over Halls Branch</t>
  </si>
  <si>
    <t>031000320</t>
  </si>
  <si>
    <t>Halls Branch at 6th Street</t>
  </si>
  <si>
    <t>Evaluate bridge improvements for 6th Street over Halls Branch</t>
  </si>
  <si>
    <t>031000321</t>
  </si>
  <si>
    <t>Halls Branch at Cedar Street</t>
  </si>
  <si>
    <t>Evaluate bridge improvements for Cedar Street over Halls Branch</t>
  </si>
  <si>
    <t>031000322</t>
  </si>
  <si>
    <t>Halls Branch at Main Street</t>
  </si>
  <si>
    <t>Evaluate bridge improvements for Main Street over Halls Branch</t>
  </si>
  <si>
    <t>031000323</t>
  </si>
  <si>
    <t>Halls Branch at Redbud Lane</t>
  </si>
  <si>
    <t>Evaluate bridge improvements for Redbud Lane over Halls Branch</t>
  </si>
  <si>
    <t>031000324</t>
  </si>
  <si>
    <t>Keller Branch at Jefferson Street</t>
  </si>
  <si>
    <t>Evaluate bridge improvements for Jefferson Street over Keller Branch</t>
  </si>
  <si>
    <t>031000325</t>
  </si>
  <si>
    <t>Keller Branch at Main Street</t>
  </si>
  <si>
    <t>Evaluate bridge improvements for Main Street over Keller Branch</t>
  </si>
  <si>
    <t>031000326</t>
  </si>
  <si>
    <t>Keller Branch at Pleasant Run Road</t>
  </si>
  <si>
    <t>Evaluate bridge improvements for Pleasant Run Road over Keller Branch</t>
  </si>
  <si>
    <t>031000327</t>
  </si>
  <si>
    <t>Mill Branch at Houston School Road</t>
  </si>
  <si>
    <t>Evaluate bridge improvements for Houston School Road over Mill Branch</t>
  </si>
  <si>
    <t>120301050107,120301050201,120301050202</t>
  </si>
  <si>
    <t>03000171,03000176,03000178</t>
  </si>
  <si>
    <t>031000328</t>
  </si>
  <si>
    <t>Mill Branch at Wintergreen Road</t>
  </si>
  <si>
    <t>Evaluate bridge improvements for Wintergreen Road over Mill Branch</t>
  </si>
  <si>
    <t>031000331</t>
  </si>
  <si>
    <t>Ten Mile Creek at Bluegrove Road</t>
  </si>
  <si>
    <t>Evaluate bridge improvements for Bluegrove Road over Ten Mile Creek</t>
  </si>
  <si>
    <t>1203010502,1203010503</t>
  </si>
  <si>
    <t>120301050201,120301050202,120301050305</t>
  </si>
  <si>
    <t>03000171,03000178,03000185</t>
  </si>
  <si>
    <t>031000332</t>
  </si>
  <si>
    <t>Ten Mile Creek at Houston School Road</t>
  </si>
  <si>
    <t>Evaluate bridge improvements for Houston School Road over Ten Mile Creek</t>
  </si>
  <si>
    <t>120301050107,120301050201,120301050202,120301050305</t>
  </si>
  <si>
    <t>03000171,03000176,03000178,03000185</t>
  </si>
  <si>
    <t>031000333</t>
  </si>
  <si>
    <t>Ten Mile Creek at IH 35E Service</t>
  </si>
  <si>
    <t>Evaluate bridge improvements for IH 35E Service over Ten Mile Creek</t>
  </si>
  <si>
    <t>031000334</t>
  </si>
  <si>
    <t>Ten Mile Creek at IH 35E Service (County Highway 1382)</t>
  </si>
  <si>
    <t>Evaluate bridge improvements for IH 35E Service (County Highway 1382) over Ten Mile Creek</t>
  </si>
  <si>
    <t>031000335</t>
  </si>
  <si>
    <t>Ten Mile Creek at Nokomis Road</t>
  </si>
  <si>
    <t>Evaluate bridge improvements for Nokomis Road over Ten Mile Creek</t>
  </si>
  <si>
    <t>031000336</t>
  </si>
  <si>
    <t>Ten Mile Creek at Old Red Oak Road</t>
  </si>
  <si>
    <t>Evaluate bridge improvements for Road over Ten Mile Creek at Old Red</t>
  </si>
  <si>
    <t>031000337</t>
  </si>
  <si>
    <t>Ten Mile Creek at SH 342</t>
  </si>
  <si>
    <t>Evaluate bridge improvements for SH 342 over Ten Mile Creek</t>
  </si>
  <si>
    <t>031000338</t>
  </si>
  <si>
    <t>Cottonwood Creek of Ten Mile Creek at Goode Road</t>
  </si>
  <si>
    <t>Evaluate bridge improvements for Goode Road over Cottonwood Creek of Ten Mile Creek</t>
  </si>
  <si>
    <t>120301050203</t>
  </si>
  <si>
    <t>03000172</t>
  </si>
  <si>
    <t>031000339</t>
  </si>
  <si>
    <t>Cottonwood Creek of Ten Mile Creek at IH 45</t>
  </si>
  <si>
    <t>Evaluate bridge improvements for IH 45 over Cottonwood Creek of Ten Mile Creek</t>
  </si>
  <si>
    <t>031000340</t>
  </si>
  <si>
    <t>Cottonwood Creek of Ten Mile Creek at IH 45 Northbound Service Road</t>
  </si>
  <si>
    <t>Evaluate bridge improvements for IH 45 Northbound Service Road over Cottonwood Creek of Ten Mile Creek</t>
  </si>
  <si>
    <t>031000341</t>
  </si>
  <si>
    <t>Cottonwood Creek of Ten Mile Creek at IH 45 Southbound Service Road</t>
  </si>
  <si>
    <t>Evaluate bridge improvements for IH 45 Southbound Service Road over Cottonwood Creek of Ten Mile Creek</t>
  </si>
  <si>
    <t>031000343</t>
  </si>
  <si>
    <t>Cottonwood Creek of Ten Mile Creek at Millers Ferry Road</t>
  </si>
  <si>
    <t>Evaluate bridge improvements for Millers Ferry Road over Cottonwood Creek of Ten Mile Creek</t>
  </si>
  <si>
    <t>031000344</t>
  </si>
  <si>
    <t>Cottonwood Creek of Ten Mile Creek at Pleasant Run Road</t>
  </si>
  <si>
    <t>Evaluate bridge improvements for Pleasant Run Road over Cottonwood Creek of Ten Mile Creek</t>
  </si>
  <si>
    <t>031000342</t>
  </si>
  <si>
    <t>Cottonwood Creek of Ten Mile Creek at Kissell (College) Road</t>
  </si>
  <si>
    <t>Evaluate bridge improvements for Kissell (College) Road over Cottonwood Creek of Ten Mile Creek</t>
  </si>
  <si>
    <t>031000348</t>
  </si>
  <si>
    <t>Ten Mile Creek at Ferris Road</t>
  </si>
  <si>
    <t>Evaluate bridge improvements for Ferris Road over Ten Mile Creek</t>
  </si>
  <si>
    <t>120301050306,120301050202,120301050305,120301050203</t>
  </si>
  <si>
    <t>03000171,03000172,03000185,03000195</t>
  </si>
  <si>
    <t>031000351</t>
  </si>
  <si>
    <t xml:space="preserve">Ten Mile Creek at Parkinson Road </t>
  </si>
  <si>
    <t>Evaluate bridge improvements for Parkinson Road over Ten Mile Creek</t>
  </si>
  <si>
    <t>031000352</t>
  </si>
  <si>
    <t>City of Hutchins DMP</t>
  </si>
  <si>
    <t>Evaluate city and identify future projects.</t>
  </si>
  <si>
    <t>031000353</t>
  </si>
  <si>
    <t>City of Seagoville DMP</t>
  </si>
  <si>
    <t>1203010605,1203010502</t>
  </si>
  <si>
    <t>120301050204,120301060505,120301060507,120301050205,120301050203</t>
  </si>
  <si>
    <t>03000172,03000179,03000180,03000236,03000238</t>
  </si>
  <si>
    <t>03003579</t>
  </si>
  <si>
    <t>031000315</t>
  </si>
  <si>
    <t>Stream 4B4 at Austin Street</t>
  </si>
  <si>
    <t>Evaluate culvert improvements for Austin Street over Stream 4B4</t>
  </si>
  <si>
    <t>031000316</t>
  </si>
  <si>
    <t>Stream 4B4 at Crestridge Drive</t>
  </si>
  <si>
    <t>Evaluate culvert improvements for Crestridge Drive over Stream 4B4</t>
  </si>
  <si>
    <t>031000317</t>
  </si>
  <si>
    <t>Stream 4B4 at Denton Street</t>
  </si>
  <si>
    <t>Evaluate culvert improvements for Denton Street over Stream 4B4</t>
  </si>
  <si>
    <t>031000313</t>
  </si>
  <si>
    <t>Stream 4A4 at Goode Road</t>
  </si>
  <si>
    <t>Evaluate bridge improvements for Goode Road over Stream 4A4</t>
  </si>
  <si>
    <t>031000314</t>
  </si>
  <si>
    <t>Stream 4A4 at IH 45</t>
  </si>
  <si>
    <t>Evaluate bridge improvements for IH 45 over Stream 4A4</t>
  </si>
  <si>
    <t>031000329</t>
  </si>
  <si>
    <t>Stream 3A1 at Ten Mile Road</t>
  </si>
  <si>
    <t>Evaluate bridge improvements for Ten Mile Road over Stream 3A1</t>
  </si>
  <si>
    <t>031000330</t>
  </si>
  <si>
    <t>Stream 3A6 at Belt Line Road</t>
  </si>
  <si>
    <t>Evaluate bridge improvements for Belt Line Road over Stream 3A6</t>
  </si>
  <si>
    <t>031000345</t>
  </si>
  <si>
    <t>Stream 4A1 at Goode Road</t>
  </si>
  <si>
    <t>Evaluate bridge improvements for Goode Road over Stream 4A1</t>
  </si>
  <si>
    <t>031000350</t>
  </si>
  <si>
    <t>Stream 4A1 at Geller Road</t>
  </si>
  <si>
    <t>Evaluate bridge improvements for Geller Road over Stream 4A1</t>
  </si>
  <si>
    <t>031000346</t>
  </si>
  <si>
    <t>Stream 4A5 at Goode Road</t>
  </si>
  <si>
    <t>Evaluate bridge improvements for Goode Road over Stream 4A5</t>
  </si>
  <si>
    <t>031000347</t>
  </si>
  <si>
    <t>Stream 4A5 at IH 45</t>
  </si>
  <si>
    <t>Evaluate bridge improvements for IH 45 over Stream 4A5</t>
  </si>
  <si>
    <t>031000349</t>
  </si>
  <si>
    <t>Stream 4A4 at Fulghum Road</t>
  </si>
  <si>
    <t>Evaluate bridge improvements for Fulghum Road over Stream 4A4</t>
  </si>
  <si>
    <t>031000354</t>
  </si>
  <si>
    <t>City of Huntsville DMP</t>
  </si>
  <si>
    <t>1204010101,1203020208,1204010303,1204010102</t>
  </si>
  <si>
    <t>120302020805,120401010202,120302020802,120302020801,120401010102,120401030302,120401010104</t>
  </si>
  <si>
    <t>03000422,03000427,03000430</t>
  </si>
  <si>
    <t>031000231</t>
  </si>
  <si>
    <t>East Grand Prairie Rd &amp; 14th Street from Austin to Ditch South of Skyline</t>
  </si>
  <si>
    <t>Study update - Storm Drain Improvements; Estimated construction cost of $8,549,300</t>
  </si>
  <si>
    <t>031000232</t>
  </si>
  <si>
    <t>Shady Grove Rd</t>
  </si>
  <si>
    <t>Study update - Storm Drain Improvements; Estimated construction cost of $6,737,200</t>
  </si>
  <si>
    <t>031000238</t>
  </si>
  <si>
    <t xml:space="preserve">Gopher Creek Stream Bottom Stabilization </t>
  </si>
  <si>
    <t>Evaluate the improvements needed along Gopher Creek: downstream of NE 5th Street; between High School Drive and NE 5th Street; downstream of Belt Line Road; $65,600 (?) + $127,300; downstream of High School Drive; $70,500</t>
  </si>
  <si>
    <t>03000027, 03000028, 03000031, 03000032</t>
  </si>
  <si>
    <t>031000240</t>
  </si>
  <si>
    <t xml:space="preserve">Arbor Creek Channel Bottom Stabilization </t>
  </si>
  <si>
    <t>Channelization, Stabilization, and Bank Armoring from SH 161 East to Johnson Creek Confluence; Estimated construction cost of $2,096,900; from Duncan Perry to SH 161; Estimated construction cost of $991,600</t>
  </si>
  <si>
    <t>031000241</t>
  </si>
  <si>
    <t>North Fork of Cottonwood Creek Stabilization</t>
  </si>
  <si>
    <t>Evaluate the improvements needed along the North Fork of Cottonwood Creek: from Great Southwest to Carrier; $214,900</t>
  </si>
  <si>
    <t>031000243</t>
  </si>
  <si>
    <t xml:space="preserve">Dry Branch Stream Bottom Stabilization </t>
  </si>
  <si>
    <t>Evaluate the improvements needed along Dry Branch: 300 feet south of Rock Island (2 locations); $91,300</t>
  </si>
  <si>
    <t>031000245</t>
  </si>
  <si>
    <t xml:space="preserve">Garden Branch Stabilization </t>
  </si>
  <si>
    <t>Channel bottom stabilization from Camp Wisdom to Great Southwest; Estimated construction cost of $176,100</t>
  </si>
  <si>
    <t>031000205</t>
  </si>
  <si>
    <t>Shady Grove Rd - Jones St Storm Drainage Improvements</t>
  </si>
  <si>
    <t>Study update - Storm Drain Improvements; Estimated construction cost of $1,679,200</t>
  </si>
  <si>
    <t>03000007, 036000008, 03000009, 03000010, 03000031, 03000032</t>
  </si>
  <si>
    <t>031000206</t>
  </si>
  <si>
    <t xml:space="preserve">Duncan Perry Rd, Heritage Court and Goodwin Branch </t>
  </si>
  <si>
    <t>Study update - Storm Drain Improvements; Estimated construction cost of $1,175,300</t>
  </si>
  <si>
    <t>031000355</t>
  </si>
  <si>
    <t>City of Weatherford DMP</t>
  </si>
  <si>
    <t>12060201,12030102</t>
  </si>
  <si>
    <t>1203010201,1206020112,1203010202</t>
  </si>
  <si>
    <t>120301020205,120602011201,120301020103,120301020203,120301020206,120301020207,120301020204</t>
  </si>
  <si>
    <t>03000054,03000059,03000060,03000061,03000062,03000063</t>
  </si>
  <si>
    <t>00003292</t>
  </si>
  <si>
    <t>031000358</t>
  </si>
  <si>
    <t>City of Irving DMP</t>
  </si>
  <si>
    <t>Evaluate city and identify future projects</t>
  </si>
  <si>
    <t xml:space="preserve">12030103, 12030102, 12030105_x000D_
</t>
  </si>
  <si>
    <t>041000059</t>
  </si>
  <si>
    <t>Hunt County Flood Hazard Mapping</t>
  </si>
  <si>
    <t>Complete a detailed study within the county extent to delineate an updated flood hazard area, which can be used for regulatory purposes.</t>
  </si>
  <si>
    <t>Sabine</t>
  </si>
  <si>
    <t>Hunt</t>
  </si>
  <si>
    <t>12010001,12010003</t>
  </si>
  <si>
    <t>1201000101,1201000102,1201000103,1201000104,1201000301</t>
  </si>
  <si>
    <t>120100010101,120100010102,120100010103,120100010104,120100010301,120100010302,120100010303,120100010401,120100010402,120100010403,120100010404,120100010405,120100010406,120100010407,120100030101,120100030102</t>
  </si>
  <si>
    <t>04000002,04000003,04000004,04000005,04000006,04000007,04000008,04000009,04000010,04000011,04000012,04000013,04000014,04000015,04000016,04000017,04000018,04000019,04000106,04000107</t>
  </si>
  <si>
    <t>04000012,04000013,04000014</t>
  </si>
  <si>
    <t>BLE</t>
  </si>
  <si>
    <t>999999</t>
  </si>
  <si>
    <t>Existing Fathom 100YR</t>
  </si>
  <si>
    <t>Aligns with RFPG Goals</t>
  </si>
  <si>
    <t>041000060</t>
  </si>
  <si>
    <t>Jasper County Flood Hazard Mapping</t>
  </si>
  <si>
    <t>Jasper</t>
  </si>
  <si>
    <t>12010005</t>
  </si>
  <si>
    <t>1201000506,1201000508,1201000509,1201000510</t>
  </si>
  <si>
    <t>120100050601,120100050602,120100050603,120100050604,120100050605,120100050607,120100050608,120100050801,120100050802,120100050803,120100050804,120100050901,120100050902,120100050905,120100051001,120100051002,120100051003</t>
  </si>
  <si>
    <t>04000171,04000172,04000173,04000174,04000175,04000177,04000178,04000184,04000185,04000186,04000187,04000188,04000189,04000190,04000191,04000192,04000193</t>
  </si>
  <si>
    <t>04000007,04000012,04000013,04000014</t>
  </si>
  <si>
    <t>00000059</t>
  </si>
  <si>
    <t>041000002</t>
  </si>
  <si>
    <t>Newton County Flood Hazard Mapping</t>
  </si>
  <si>
    <t>Newton,Sabine</t>
  </si>
  <si>
    <t>1201000511,1201000510</t>
  </si>
  <si>
    <t>120100051005,120100051004,120100051100,120100051003</t>
  </si>
  <si>
    <t>04000195,04000194,04000196,04000193</t>
  </si>
  <si>
    <t>00000061</t>
  </si>
  <si>
    <t>041000003</t>
  </si>
  <si>
    <t>Smith County Flood Hazard Mapping</t>
  </si>
  <si>
    <t>Smith,Van Zandt,Rains,Wood</t>
  </si>
  <si>
    <t>12010001,12010002</t>
  </si>
  <si>
    <t>1201000106,1201000201,1201000205,1201000203,1201000204</t>
  </si>
  <si>
    <t>120100010603,120100010608,120100010607,120100020105,120100020101,120100020106,120100020107,120100020501,120100020301,120100020302,120100020303,120100020403,120100020404,120100020405,120100020502,120100020102,120100020104</t>
  </si>
  <si>
    <t>04000029,04000034,04000033,04000039,04000035,04000040,04000041,04000056,04000048,04000049,04000050,04000053,04000054,04000055,04000057,04000036,04000038</t>
  </si>
  <si>
    <t>00000106</t>
  </si>
  <si>
    <t>041000004</t>
  </si>
  <si>
    <t>Smith County Drainage Master Plan</t>
  </si>
  <si>
    <t>Perform H&amp;H modeling to identify and define flood risk, develop conceptual alternatives to reduce flood risk, develop OPCC for conceptual alternatives, and rank projects. Conceptual alternatives should evaluate feasibility of nature based solutions.</t>
  </si>
  <si>
    <t>1201000106,1201000205,1201000203,1201000204,1201000201</t>
  </si>
  <si>
    <t>041000008</t>
  </si>
  <si>
    <t>Sabine County Flood Hazard Mapping</t>
  </si>
  <si>
    <t>12010004</t>
  </si>
  <si>
    <t>1201000409,1201000410,1201000407,1201000411,1201000408</t>
  </si>
  <si>
    <t>120100040903,120100040904,120100040905,120100041003,120100040703,120100040702,120100040901,120100040902,120100041005,120100041104,120100040807,120100040806,120100041002,120100041106,120100041105,120100041103,120100041004,120100041101,120100041102</t>
  </si>
  <si>
    <t>04000147,04000148,04000149,04000151,04000137,04000136,04000145,04000146,04000153,04000157,04000144,04000143,04000150,04000159,04000158,04000156,04000152,04000154,04000155</t>
  </si>
  <si>
    <t>00000135</t>
  </si>
  <si>
    <t>Existing Quilt BLE 100yr</t>
  </si>
  <si>
    <t>041000009</t>
  </si>
  <si>
    <t>Sabine County Drainage Master Plan</t>
  </si>
  <si>
    <t>041000010</t>
  </si>
  <si>
    <t>San Augustine County Flood Hazard Mapping</t>
  </si>
  <si>
    <t>San Augustine,Shelby</t>
  </si>
  <si>
    <t>1201000407,1201000409</t>
  </si>
  <si>
    <t>120100040701,120100040702,120100040901,120100040902</t>
  </si>
  <si>
    <t>04000135,04000136,04000145,04000146</t>
  </si>
  <si>
    <t>00000136</t>
  </si>
  <si>
    <t>041000011</t>
  </si>
  <si>
    <t>San Augustine County Drainage Master Plan</t>
  </si>
  <si>
    <t>041000012</t>
  </si>
  <si>
    <t>Shelby County Flood Hazard Mapping</t>
  </si>
  <si>
    <t>Rusk,Panola,Shelby</t>
  </si>
  <si>
    <t>12010002,12010004</t>
  </si>
  <si>
    <t>00000153</t>
  </si>
  <si>
    <t>041000013</t>
  </si>
  <si>
    <t>Rusk County Flood Hazard Mapping</t>
  </si>
  <si>
    <t>Rusk,Smith,Gregg</t>
  </si>
  <si>
    <t>12010002</t>
  </si>
  <si>
    <t>1201000205,1201000210,1201000206,1201000208</t>
  </si>
  <si>
    <t>120100020501,120100021004,120100021005,120100021006,120100020506,120100020502,120100020503,120100020601,120100020603,120100020604,120100020605,120100020606,120100020608,120100020801,120100020803,120100020901,120100020804,120100020802</t>
  </si>
  <si>
    <t>04000056,04000090,04000091,04000092,04000061,04000057,04000058,04000062,04000064,04000065,04000066,04000067,04000069,04000076,04000078,04000081,04000079,04000077</t>
  </si>
  <si>
    <t>00000166</t>
  </si>
  <si>
    <t>041000014</t>
  </si>
  <si>
    <t>Panola County Flood Hazard Mapping</t>
  </si>
  <si>
    <t>Panola</t>
  </si>
  <si>
    <t>00000171</t>
  </si>
  <si>
    <t>041000015</t>
  </si>
  <si>
    <t>Panola County Drainage Master Plan</t>
  </si>
  <si>
    <t>041000016</t>
  </si>
  <si>
    <t>Rains County Flood Hazard Mapping</t>
  </si>
  <si>
    <t>Rains,Hunt</t>
  </si>
  <si>
    <t>1201000104,1201000105,1201000106,1201000301,1201000302</t>
  </si>
  <si>
    <t>120100010406,120100010407,120100010601,120100010506,120100010507,120100010603,120100010505,120100010602,120100030101,120100030102,120100030103,120100030107,120100030104,120100030105,120100030106,120100030204</t>
  </si>
  <si>
    <t>04000018,04000019,04000027,04000025,04000026,04000029,04000024,04000028,04000106,04000107,04000108,04000112,04000109,04000110,04000111,04000116</t>
  </si>
  <si>
    <t>04000176</t>
  </si>
  <si>
    <t>041000017</t>
  </si>
  <si>
    <t>Rains County Drainage Master Plan</t>
  </si>
  <si>
    <t>1201000104,1201000105,1201000106,1201000301,201000302</t>
  </si>
  <si>
    <t>041000018</t>
  </si>
  <si>
    <t>Wood County Flood Hazard Mapping</t>
  </si>
  <si>
    <t>12010001,12010002,12010003</t>
  </si>
  <si>
    <t>1201000104,1201000106,1201000105,1201000301,1201000302</t>
  </si>
  <si>
    <t>00000177</t>
  </si>
  <si>
    <t>041000020</t>
  </si>
  <si>
    <t>Vidor Drainage Master Plan</t>
  </si>
  <si>
    <t>Perform study of existing culverts and drainage capabilities in town. Identify upgrades to drainage infrastructure capacity where needed.</t>
  </si>
  <si>
    <t>Orange</t>
  </si>
  <si>
    <t>1201000510</t>
  </si>
  <si>
    <t>120100051004,120100051003</t>
  </si>
  <si>
    <t>04000194,04000193</t>
  </si>
  <si>
    <t>00002542</t>
  </si>
  <si>
    <t>Existing Quilt NFHL EffectiveDetailed 100yr</t>
  </si>
  <si>
    <t>041000021</t>
  </si>
  <si>
    <t>City of Fate Drainage Master Plan</t>
  </si>
  <si>
    <t>Rockwall,Collin,Hunt</t>
  </si>
  <si>
    <t>12010001</t>
  </si>
  <si>
    <t>1201000103</t>
  </si>
  <si>
    <t>120100010301</t>
  </si>
  <si>
    <t>04000010</t>
  </si>
  <si>
    <t>00002648</t>
  </si>
  <si>
    <t>Existing Fathom 500YR</t>
  </si>
  <si>
    <t>041000022</t>
  </si>
  <si>
    <t>Nevada Drainage Master Plan</t>
  </si>
  <si>
    <t>00002657</t>
  </si>
  <si>
    <t>041000023</t>
  </si>
  <si>
    <t>City of Newton Drainage Master Plan</t>
  </si>
  <si>
    <t>Newton</t>
  </si>
  <si>
    <t>04002710</t>
  </si>
  <si>
    <t>041000024</t>
  </si>
  <si>
    <t>Newton Drainage Master Plan</t>
  </si>
  <si>
    <t>041000025</t>
  </si>
  <si>
    <t>Longview Drainage Master Plan</t>
  </si>
  <si>
    <t>Rusk,Gregg</t>
  </si>
  <si>
    <t>1201000205,1201000206</t>
  </si>
  <si>
    <t>120100020506,120100020601,120100020504,120100020505,120100020602</t>
  </si>
  <si>
    <t>04000061,04000062,04000059,04000060,04000063</t>
  </si>
  <si>
    <t>00003055</t>
  </si>
  <si>
    <t>041000026</t>
  </si>
  <si>
    <t>Josephine Drainage Master Plan</t>
  </si>
  <si>
    <t>Collin,Hunt</t>
  </si>
  <si>
    <t>1201000102,1201000103</t>
  </si>
  <si>
    <t>120100010202,120100010301</t>
  </si>
  <si>
    <t>04000007,04000010</t>
  </si>
  <si>
    <t>04003138</t>
  </si>
  <si>
    <t>Existing Quilt NFHL EffectiveDetailed 500yr</t>
  </si>
  <si>
    <t>041000027</t>
  </si>
  <si>
    <t>Kirbyville Drainage Master Plan</t>
  </si>
  <si>
    <t>Jasper,Newton</t>
  </si>
  <si>
    <t>1201000509,1201000506</t>
  </si>
  <si>
    <t>120100050901,120100050607,120100050608</t>
  </si>
  <si>
    <t>04000188,04000177,04000178</t>
  </si>
  <si>
    <t>04003337</t>
  </si>
  <si>
    <t>041000028</t>
  </si>
  <si>
    <t>Marshall Drainage Master Plan</t>
  </si>
  <si>
    <t>1201000207</t>
  </si>
  <si>
    <t>120100020703,120100020701,120100020702,120100020704</t>
  </si>
  <si>
    <t>04000072,04000070,04000071,04000073</t>
  </si>
  <si>
    <t>00003554</t>
  </si>
  <si>
    <t>041000029</t>
  </si>
  <si>
    <t>Scottsville Drainage Master Plan</t>
  </si>
  <si>
    <t>120100020703</t>
  </si>
  <si>
    <t>04000072</t>
  </si>
  <si>
    <t>00003555</t>
  </si>
  <si>
    <t>041000030</t>
  </si>
  <si>
    <t>City of Edgewood Stormwater Drain and Culvert Improvement Study</t>
  </si>
  <si>
    <t>Feasibility study to install and upgrade undersized stormwater drains and culverts</t>
  </si>
  <si>
    <t>Van Zandt</t>
  </si>
  <si>
    <t>1201000105</t>
  </si>
  <si>
    <t>120100010502,120100010504</t>
  </si>
  <si>
    <t>04000021,04000023</t>
  </si>
  <si>
    <t>04000007</t>
  </si>
  <si>
    <t>04002462</t>
  </si>
  <si>
    <t>041000031</t>
  </si>
  <si>
    <t>City of Edgewood Stormwater Detention Study</t>
  </si>
  <si>
    <t>Feasibility study to increase drainage capacity; add stormwater detention and / or retention basins as deemed necessary to reduce flood risk upstream of Edgewood City Dami</t>
  </si>
  <si>
    <t>041000032</t>
  </si>
  <si>
    <t>City of Greenville Critical Facilities Flood Protection Study</t>
  </si>
  <si>
    <t>Feasibility study to elevated or flood proofing of critical structures and/or the construction of barriers around critical structures</t>
  </si>
  <si>
    <t>1201000101,1201000102,1201000104</t>
  </si>
  <si>
    <t>120100010103,120100010102,120100010204,120100010401</t>
  </si>
  <si>
    <t>04000004,04000003,04000009,04000013</t>
  </si>
  <si>
    <t>04000004,04000005</t>
  </si>
  <si>
    <t>04002514</t>
  </si>
  <si>
    <t>041000033</t>
  </si>
  <si>
    <t>City of Fruitvale Drainage Infrastructure Improvement Study</t>
  </si>
  <si>
    <t>Feasibility study to evaluate access and road conditions for response vehicles. Develop and implement options to improve access and/or add redundant access routes in high risk areas.</t>
  </si>
  <si>
    <t>1201000105,1201000106</t>
  </si>
  <si>
    <t>120100010504,120100010601</t>
  </si>
  <si>
    <t>04000023,04000027</t>
  </si>
  <si>
    <t>04000001,04000014</t>
  </si>
  <si>
    <t>04002537</t>
  </si>
  <si>
    <t>041000034</t>
  </si>
  <si>
    <t>City of Canton Drainage Infrastructure Improvements Study</t>
  </si>
  <si>
    <t>Feasibility study to increase drainage capacity; install french drains or elevate building and upgrade undersized pipe under state Hwy</t>
  </si>
  <si>
    <t>120100010503,120100010604</t>
  </si>
  <si>
    <t>04000022,04000030</t>
  </si>
  <si>
    <t>04000012</t>
  </si>
  <si>
    <t>00002590</t>
  </si>
  <si>
    <t>041000035</t>
  </si>
  <si>
    <t>City of Kilgore Drainage Infrastructure Improvements Study</t>
  </si>
  <si>
    <t>Study improvements to drainage infrastructure in the downtown area by installing new inlets and storm drains</t>
  </si>
  <si>
    <t>Rusk</t>
  </si>
  <si>
    <t>1201000205,1201000204</t>
  </si>
  <si>
    <t>120100020506,120100020405,120100020502,120100020503</t>
  </si>
  <si>
    <t>04000061,04000055,04000057,04000058</t>
  </si>
  <si>
    <t>04000014</t>
  </si>
  <si>
    <t>04002775</t>
  </si>
  <si>
    <t>041000036</t>
  </si>
  <si>
    <t>City of Kilgore Library Drainage Improvement Study</t>
  </si>
  <si>
    <t>Feasibility study of underground drainage structures to capture and direct subsurface water away from the library structure</t>
  </si>
  <si>
    <t>041000037</t>
  </si>
  <si>
    <t>City of Henderson Flood Instructure Improvements Study</t>
  </si>
  <si>
    <t>Feasibility study to replace riprap lining with a concrete lining to increase maintenance efficiency and flood protection.</t>
  </si>
  <si>
    <t>1201000206,1201000208</t>
  </si>
  <si>
    <t>120100020605,120100020801</t>
  </si>
  <si>
    <t>04000066,04000076</t>
  </si>
  <si>
    <t>00002895</t>
  </si>
  <si>
    <t>041000038</t>
  </si>
  <si>
    <t>City of Henderson Storm Drain Improvement Study</t>
  </si>
  <si>
    <t>Feasibility study to install new storm drain system to address localized neighborhood drainage issues</t>
  </si>
  <si>
    <t>041000039</t>
  </si>
  <si>
    <t>City of Longview Critical Facilities Flood Protection Study</t>
  </si>
  <si>
    <t>Ensure that critical facilities owned by the jurisdiction are protected from flood.</t>
  </si>
  <si>
    <t>Gregg</t>
  </si>
  <si>
    <t>04000003</t>
  </si>
  <si>
    <t>041000040</t>
  </si>
  <si>
    <t>Lone Oak - Dam Inundation Study</t>
  </si>
  <si>
    <t xml:space="preserve">Dam inundation study, safety study, and inventory of mitigation activities to implement for the county dams. </t>
  </si>
  <si>
    <t>1201000104,1201000301</t>
  </si>
  <si>
    <t>120100010406,120100010401,120100030102</t>
  </si>
  <si>
    <t>04000018,04000013,04000107</t>
  </si>
  <si>
    <t>04003072</t>
  </si>
  <si>
    <t>041000041</t>
  </si>
  <si>
    <t>Kirbyville Drainage Improvement Study</t>
  </si>
  <si>
    <t>Study to coordinate and improve storm water drainage throughout the county; encourage new development to balance impervious surfaces with adjacent green space</t>
  </si>
  <si>
    <t>04000007,04000014</t>
  </si>
  <si>
    <t>041000042</t>
  </si>
  <si>
    <t>Feasibility Assessment and Conceptual Design of Dredging of Segments of Adams Bayou</t>
  </si>
  <si>
    <t xml:space="preserve">H&amp;H Study and Modeling for Feasibility Assessment_x000D_
of Dredging of Segments of Adams Bayou </t>
  </si>
  <si>
    <t>120100051100</t>
  </si>
  <si>
    <t>04000195</t>
  </si>
  <si>
    <t>00000512</t>
  </si>
  <si>
    <t>041000044</t>
  </si>
  <si>
    <t>Feasibility Assessment and Conceptual Design of Dredging of Segments of Little Cypress Bayou</t>
  </si>
  <si>
    <t xml:space="preserve">H&amp;H Study and Modeling for Feasibility Assessment of Dredging of Segments of LIttle Cypress Bayou </t>
  </si>
  <si>
    <t>041000046</t>
  </si>
  <si>
    <t xml:space="preserve">Feasibility Assessment and Conceptual Design of Increasing the Size of Culverts and Railroad Trestles on Major Drainage Structures </t>
  </si>
  <si>
    <t xml:space="preserve">H&amp;H Study and Modeling for Determination of Need and Feasibility Assessment for Increase in Size of Culverts and Railroad Trestles on Major Drainage Structures Throughout Orange County </t>
  </si>
  <si>
    <t>041000047</t>
  </si>
  <si>
    <t xml:space="preserve">Feasibility Assessment and Conceptual Design of Increasing Capacity of Drainage Ditches and Channels that Convey Stormwater from Neighborhoods  </t>
  </si>
  <si>
    <t xml:space="preserve">H&amp;H Study and Modeling for Determination of Need and Feasibility Assessment of the Capacity of Drainage Ditches and Channels that Convey Stormwater from Neighborhoods Located Within Orange County  </t>
  </si>
  <si>
    <t>041000048</t>
  </si>
  <si>
    <t>City of Fate Culvert Improvement Study</t>
  </si>
  <si>
    <t>Culverts improvements to meet 100-YR fully developed conditions</t>
  </si>
  <si>
    <t>041000049</t>
  </si>
  <si>
    <t>Newton County Flood and Drainage Study</t>
  </si>
  <si>
    <t>Feasibility study to reconstruct bridges and culverts in a major drainage basin flowing into the Sabine River in Newton County.</t>
  </si>
  <si>
    <t>Newton, Jasper</t>
  </si>
  <si>
    <t>1201000506,1201000505</t>
  </si>
  <si>
    <t>120100050504,120100050601,120100050602, 120100050603,120100050605,120100050606</t>
  </si>
  <si>
    <t>04000169,04000171,04000172,04000173,04000175,04000176</t>
  </si>
  <si>
    <t>041000050</t>
  </si>
  <si>
    <t>Orange County Drainage Improvements at Kinard Estates Study</t>
  </si>
  <si>
    <t>First-time sewer service, detention pond, and other drainage improvements to reduce flooding and environmental impacts.</t>
  </si>
  <si>
    <t>00000027</t>
  </si>
  <si>
    <t>041000051</t>
  </si>
  <si>
    <t>West Orange Drainage Improvements Study</t>
  </si>
  <si>
    <t xml:space="preserve">West Orange Drainage Improvements Study to quantify benefits, evaluate impacts, and begin design. </t>
  </si>
  <si>
    <t>04000196</t>
  </si>
  <si>
    <t>04002920</t>
  </si>
  <si>
    <t>041000052</t>
  </si>
  <si>
    <t>Adams Bayou Detention Ponds Study</t>
  </si>
  <si>
    <t>Flood Protection Planning Study Cow Bayou &amp; Adams Bayou Alternative</t>
  </si>
  <si>
    <t>041000053</t>
  </si>
  <si>
    <t>Cole Creek Detention Ponds Study</t>
  </si>
  <si>
    <t>120100051003,120100051004,120100051005</t>
  </si>
  <si>
    <t>041000054</t>
  </si>
  <si>
    <t>Cow Bayou Detention Ponds Study</t>
  </si>
  <si>
    <t>120100051003, 120100051004, 120100051005</t>
  </si>
  <si>
    <t>041000055</t>
  </si>
  <si>
    <t>North Airport Retention Pond</t>
  </si>
  <si>
    <t>Feasibility Study of North Airport Retention Pond</t>
  </si>
  <si>
    <t>Greenville</t>
  </si>
  <si>
    <t>1201000101</t>
  </si>
  <si>
    <t>120100010102, 120100010103</t>
  </si>
  <si>
    <t>04000004</t>
  </si>
  <si>
    <t>041000056</t>
  </si>
  <si>
    <t>Parker Creek Detention Pond</t>
  </si>
  <si>
    <t>Feasibility Study of Parker Creek Detention Pond</t>
  </si>
  <si>
    <t>041000057</t>
  </si>
  <si>
    <t>Terry Bayou Detention Ponds Study</t>
  </si>
  <si>
    <t>120100051004</t>
  </si>
  <si>
    <t>041000058</t>
  </si>
  <si>
    <t>Gregg County Flood Hazard Mapping</t>
  </si>
  <si>
    <t>1201000205,1201000205,1201000206</t>
  </si>
  <si>
    <t>120100020402,120100020403,120100020404,120100020405,120100020501,120100020502,120100020503,120100020504,120100020505,120100020506,120100020601,120100020602,120100020603,120100020606,120100020608</t>
  </si>
  <si>
    <t>04000052,04000053,04000054,04000055,04000056,04000057,04000058,04000059,04000060,04000061,04000062,04000063,04000064,04000067,04000069</t>
  </si>
  <si>
    <t>00000107</t>
  </si>
  <si>
    <t>041000043</t>
  </si>
  <si>
    <t>Feasibility Assessment and Conceptual Design of Dredging of Segments of Cow Bayou</t>
  </si>
  <si>
    <t xml:space="preserve">H&amp;H Study and Modeling for Feasibility Assessment of Dredging of Segments of Cow Bayou </t>
  </si>
  <si>
    <t>041000045</t>
  </si>
  <si>
    <t>Feasibility Assessment and Conceptual Design of Constructing a Stormwater Detention Pond Adjacent to Cow Bayou near Claiborne Park</t>
  </si>
  <si>
    <t>H&amp;H Study and Modeling for Feasibility Assessment of Construction of a Stormwater Detention Pond Adjacent to Cow Bayou near Claiborne Park</t>
  </si>
  <si>
    <t>041000005</t>
  </si>
  <si>
    <t>Harrison County Flood Hazard Mapping</t>
  </si>
  <si>
    <t>Panola,Harrison</t>
  </si>
  <si>
    <t>1201000209,1201000211,1201000207,1201000206</t>
  </si>
  <si>
    <t>120100020906,120100020904,120100021102,120100020703,120100020601,120100020602,120100020603,120100020607,120100020608,120100020701,120100020702,120100020704,120100020706,120100020903,120100020705,120100021101</t>
  </si>
  <si>
    <t>04000086,04000084,04000098,04000072,04000062,04000063,04000064,04000068,04000069,04000070,04000071,04000073,04000075,04000083,04000074,04000097</t>
  </si>
  <si>
    <t>041000006</t>
  </si>
  <si>
    <t>Van Zandt County Flood Hazard Mapping</t>
  </si>
  <si>
    <t>Van Zandt,Rains,Hunt</t>
  </si>
  <si>
    <t>1201000104,1201000105,1201000106</t>
  </si>
  <si>
    <t>120100010407,120100010503,120100010501,120100010502,120100010504,120100010601,120100010507,120100010603,120100010608,120100010605,120100010607,120100010505,120100010405,120100010604</t>
  </si>
  <si>
    <t>04000019,04000022,04000020,04000021,04000023,04000027,04000026,04000029,04000034,04000031,04000033,04000024,04000017,04000030</t>
  </si>
  <si>
    <t>041000007</t>
  </si>
  <si>
    <t>Upshur County Drainage Master Plan</t>
  </si>
  <si>
    <t>Smith,Wood,Upshur</t>
  </si>
  <si>
    <t>1201000201,1201000202,1201000204,1201000205</t>
  </si>
  <si>
    <t>120100020107,120100020205,120100020206,120100020402,120100020401,120100020403,120100020405,120100020504,120100020505</t>
  </si>
  <si>
    <t>04000041,04000046,04000047,04000052,04000051,04000053,04000055,04000059,04000060</t>
  </si>
  <si>
    <t>041000019</t>
  </si>
  <si>
    <t>Hopkins County Flood Hazard Mapping</t>
  </si>
  <si>
    <t>Wood,Hopkins,Franklin</t>
  </si>
  <si>
    <t>12010002,12010003</t>
  </si>
  <si>
    <t>1201000202,1201000301,1201000302</t>
  </si>
  <si>
    <t>120100020201,120100030101,120100030102,120100030103,120100030107,120100030104,120100030105,120100030106,120100030205,120100030201,120100030202,120100030203</t>
  </si>
  <si>
    <t>04000042,04000106,04000107,04000108,04000112,04000109,04000110,04000111,04000117,04000113,04000114,04000115</t>
  </si>
  <si>
    <t>041000063</t>
  </si>
  <si>
    <t>Diversion Channel Cow Bayou Feasibility Study</t>
  </si>
  <si>
    <t>041000062</t>
  </si>
  <si>
    <t>Lawrence Road Detention Pond Feasibility Study</t>
  </si>
  <si>
    <t>041000061</t>
  </si>
  <si>
    <t>Elevation of Feeder Road Bridge Along IH-10 at Cole Creek Feasibility Study</t>
  </si>
  <si>
    <t>041000001</t>
  </si>
  <si>
    <t>Parker Creek Corridor Study</t>
  </si>
  <si>
    <t>Study of Parker Creek Corridor</t>
  </si>
  <si>
    <t>051000001</t>
  </si>
  <si>
    <t>Anderson County Update Flood Hazard Mapping</t>
  </si>
  <si>
    <t>Neches</t>
  </si>
  <si>
    <t>Anderson</t>
  </si>
  <si>
    <t>12020001</t>
  </si>
  <si>
    <t>1202000105,1202000107,1202000103,1202000104,</t>
  </si>
  <si>
    <t>05000027,05000028,05000029,05000030,05000033,05000034,05000035,05000036,05000037,05000053,05000055,05000056,05000057,05000058,05000059,05000060,05000061,05000064,05000065,05000069,05000070</t>
  </si>
  <si>
    <t>05000015,05000016</t>
  </si>
  <si>
    <t>FIS, BLE</t>
  </si>
  <si>
    <t>Neches RFPG</t>
  </si>
  <si>
    <t>Complies with RFPG Goals</t>
  </si>
  <si>
    <t>051000002</t>
  </si>
  <si>
    <t>Angelina County Update Flood Hazard Mapping</t>
  </si>
  <si>
    <t>Angelina</t>
  </si>
  <si>
    <t>12020002,12020003,12020004,12020005</t>
  </si>
  <si>
    <t>1202000201,1202000202,1202000203,1202000205,1202000301,1202000406,1202000407,1202000501,1202000502,1202000506,1202000509,1202000510</t>
  </si>
  <si>
    <t>05000125</t>
  </si>
  <si>
    <t>051000004</t>
  </si>
  <si>
    <t>Cherokee County Update Flood Hazard Mapping</t>
  </si>
  <si>
    <t>Cherokee</t>
  </si>
  <si>
    <t>12020001,12020002,12020004</t>
  </si>
  <si>
    <t>1202000103,1202000104,1202000105,1202000106,1202000107,1202000201,1202000202,1202000401,1202000402,1202000403,1202000405,1202000406</t>
  </si>
  <si>
    <t>05000159</t>
  </si>
  <si>
    <t>051000007</t>
  </si>
  <si>
    <t>Henderson County Update Flood Hazard Mapping</t>
  </si>
  <si>
    <t>1202000102,1202000104,1202000103,1202000101,1202000104</t>
  </si>
  <si>
    <t>120200010203,120200010404,120200010205,120200010206,120200010301,120200010302,120200010304,120200010103,120200010202,120200010204,120200010305,120200010303,120200010307,120200010403,120200010405</t>
  </si>
  <si>
    <t>05000032,05000033,05000038,05000039,05000040,05000041,05000042,05000046,05000049,05000050,05000051,05000052,05000053,05000056,05000057</t>
  </si>
  <si>
    <t>051000008</t>
  </si>
  <si>
    <t>Houston County Update Flood Hazard Mapping</t>
  </si>
  <si>
    <t>12020001,12020002</t>
  </si>
  <si>
    <t>1202000105,1202000107,1202000201,1202000202,1202000204,1202000201</t>
  </si>
  <si>
    <t>120200010509,120200010705,120200010701,120200010702,120200010703,120200020101,120200020203,120200020206,120200020204,120200020402,120200020401,120200020102,120200020103,120200020104,120200020106,120200020202</t>
  </si>
  <si>
    <t>05000030,05000037,05000069,05000070,05000071,05000073,05000075,05000078,05000079,05000088,05000089,05000105,05000106,05000107,05000108,05000110</t>
  </si>
  <si>
    <t>051000065</t>
  </si>
  <si>
    <t>Anahuac, North of Canal Drainage</t>
  </si>
  <si>
    <t xml:space="preserve">Study to identify possible drainage improvements in the city limits of Anahuac.  Study will focus on the area north of the Chambers-Liberty Counties Navigation District canal generally along N. Main Street, Texas Avenue, and Work Street.
</t>
  </si>
  <si>
    <t>12040202</t>
  </si>
  <si>
    <t>1204020201</t>
  </si>
  <si>
    <t>120402020100</t>
  </si>
  <si>
    <t>05000250</t>
  </si>
  <si>
    <t>05000001,05000002</t>
  </si>
  <si>
    <t>TWDB FIF, FIF_ID 40018</t>
  </si>
  <si>
    <t>FIS, BLE, GLO</t>
  </si>
  <si>
    <t>Chambers County HMP</t>
  </si>
  <si>
    <t>051000003</t>
  </si>
  <si>
    <t>Chambers County Update Flood Hazard Mapping</t>
  </si>
  <si>
    <t>12040201,12040202,12040203,12040204</t>
  </si>
  <si>
    <t>1204020302,1204020201,1204020204,1204020205,1204020202,1204020203,1204020402,1204020101</t>
  </si>
  <si>
    <t>120402030200,120402020100,120402020400,120402020500,120402020200,120402020300,120402040200,120402010100</t>
  </si>
  <si>
    <t>05000249,05000250,05000251,05000252,05000253,05000259,05000262</t>
  </si>
  <si>
    <t>GLO Combined Rivers Basin Study</t>
  </si>
  <si>
    <t>051000064</t>
  </si>
  <si>
    <t>City of Lufkin Detention Pond Construction and Improvements</t>
  </si>
  <si>
    <t>Evaluate project to quantify benefits, evaluate impacts, and begin design for a retention pond behind Inez Timms property. Increase holding capacity of existing retention ponds throughout the city.</t>
  </si>
  <si>
    <t>12020002,12020005</t>
  </si>
  <si>
    <t>1202000203,1202000205,1202000501</t>
  </si>
  <si>
    <t>120200020301,120200020302,120200020308,120200020502,120200050104</t>
  </si>
  <si>
    <t>05000082,05000083,05000085,05000100,05000161</t>
  </si>
  <si>
    <t>05000001,05000002,05000003,05000004,05000005,05000006,05000007,05000008,05000009,05000010</t>
  </si>
  <si>
    <t>05003561</t>
  </si>
  <si>
    <t>Angelina County HMP</t>
  </si>
  <si>
    <t>051000077</t>
  </si>
  <si>
    <t>City of Rose Hill Acres Flood Mitigation Improvements</t>
  </si>
  <si>
    <t xml:space="preserve">Develop drainage study to identify flood mitigation measures in and around Rose Hill Acres ETJ. </t>
  </si>
  <si>
    <t>Hardin</t>
  </si>
  <si>
    <t>12020007</t>
  </si>
  <si>
    <t>1202000703</t>
  </si>
  <si>
    <t>120200070303</t>
  </si>
  <si>
    <t>05000246</t>
  </si>
  <si>
    <t>05000001,05000002,05000003,05000004,05000009,05000010</t>
  </si>
  <si>
    <t>05003029</t>
  </si>
  <si>
    <t>BLE, GLO</t>
  </si>
  <si>
    <t>Hardin County HMP</t>
  </si>
  <si>
    <t>051000097</t>
  </si>
  <si>
    <t>Ditch 100 A (East Caldwood) Improvements</t>
  </si>
  <si>
    <t>Evaluate project to quantify benefits, evaluate impacts, and begin design. Project consists of 2,200 ft of channel to be retrofitted with an underground culvert to allow for shaping and resizing the ditch to allow for continued maintenance.</t>
  </si>
  <si>
    <t>Jefferson</t>
  </si>
  <si>
    <t>12040201</t>
  </si>
  <si>
    <t>1204020102</t>
  </si>
  <si>
    <t>120402010200</t>
  </si>
  <si>
    <t>05000260</t>
  </si>
  <si>
    <t>05000001,05000002,05000003,05000004,05000005,05000006,05000007,05000008</t>
  </si>
  <si>
    <t>05001731</t>
  </si>
  <si>
    <t>TWDB FIF, FIF_ID 40034</t>
  </si>
  <si>
    <t>Jefferson County DD6 HMP</t>
  </si>
  <si>
    <t>051000098</t>
  </si>
  <si>
    <t>Ditch 119 Crossings at Yount and Edson</t>
  </si>
  <si>
    <t>Evaluate project to quantify benefits, evaluate impacts, and begin design. Project consists of crossing improvements that will protect about 50 homes and mitigate flood risk on a historically flood prone road.</t>
  </si>
  <si>
    <t>05000003,05000004,05000005,05000006,05000007,05000008</t>
  </si>
  <si>
    <t>051000066</t>
  </si>
  <si>
    <t>Dredging West Fork- Double Bayou</t>
  </si>
  <si>
    <t xml:space="preserve">Evaluate project to quantify benefits, evaluate impacts, and begin design. Improvements include dredging West Fork- Double Bayou from mouth to FM 562 bridge.
</t>
  </si>
  <si>
    <t>051000005</t>
  </si>
  <si>
    <t>Galveston County Update Flood Hazard Mapping</t>
  </si>
  <si>
    <t>12040202,12040204</t>
  </si>
  <si>
    <t>1204020201,1204020204,1204020205,1204020203,1204020402</t>
  </si>
  <si>
    <t>120402020100,120402020400,120402020500,120402020300,120402040200</t>
  </si>
  <si>
    <t>05000250,05000251,05000253,05000254,05000262</t>
  </si>
  <si>
    <t>051000006</t>
  </si>
  <si>
    <t>Hardin County Update Flood Hazard Mapping</t>
  </si>
  <si>
    <t>12020003,12020006,12020007</t>
  </si>
  <si>
    <t>1202000303,1202000304,1202000601,1202000602,1202000603,1202000604,1202000701,1202000701,1202000702,1202000703</t>
  </si>
  <si>
    <t>00000035</t>
  </si>
  <si>
    <t>051000096</t>
  </si>
  <si>
    <t>Houston County Earthen Dike Construction</t>
  </si>
  <si>
    <t xml:space="preserve">Evaluate project to quantify benefits, evaluate impacts, and begin design. Project consists of an earthen dike to elevate emergency vehicle access road to critical facilities to provide protection to the 500-year flood level.
</t>
  </si>
  <si>
    <t>1202000105,1202000107,1202000202,1202000204,1202000201</t>
  </si>
  <si>
    <t>05000001,05000002,05000003,05000004,05000007,05000008</t>
  </si>
  <si>
    <t>Houston County</t>
  </si>
  <si>
    <t>051000009</t>
  </si>
  <si>
    <t>Jasper County Update Flood Hazard Mapping</t>
  </si>
  <si>
    <t>12020002,12020003,12020005</t>
  </si>
  <si>
    <t>1202000205,1202000301,1202000302,1202000303,1202000304,1202000508,1202000509,1202000510</t>
  </si>
  <si>
    <t>051000010</t>
  </si>
  <si>
    <t>Jefferson County Update Flood Hazard Mapping</t>
  </si>
  <si>
    <t>12020003,12020007,12040201,12040202</t>
  </si>
  <si>
    <t>1202000304,1202000701,1202000702,1202000703,1204020205,1204020202,1204020203,1204020105,1204020101,1204020102,1204020103</t>
  </si>
  <si>
    <t>120200030407,120200030405,120200030406,120200070110,120200070105,120200070201,120200070205,120200070304,120200070303,120402020500,120402020200,120402020300,120402010500,120402010100,120402010200,120402010300</t>
  </si>
  <si>
    <t>05000001,05000003,05000004,05000232,05000234,05000239,05000242,05000244,05000246,05000252,05000253,05000258,05000259,05000260,05000261,05000262</t>
  </si>
  <si>
    <t>05000025</t>
  </si>
  <si>
    <t>051000099</t>
  </si>
  <si>
    <t>Lateral B4A and B4A Ext. Improvements</t>
  </si>
  <si>
    <t>Evaluate project to quantify benefits, evaluate impacts, and begin design. Project consists of widening those channels to increase the runoff capacity – upgrading/enlarging road crossings to reduce out of bank flooding.</t>
  </si>
  <si>
    <t>1204020103</t>
  </si>
  <si>
    <t>120402010300</t>
  </si>
  <si>
    <t>05000261</t>
  </si>
  <si>
    <t>05001585</t>
  </si>
  <si>
    <t>Jefferson County DD7</t>
  </si>
  <si>
    <t>051000136</t>
  </si>
  <si>
    <t xml:space="preserve">Evaluate project to quantify benefits, evaluate impacts, and begin design. Project consists of increasing culvert size in identified flood hazard problem areas within Liberty County.
</t>
  </si>
  <si>
    <t>12020007,12030203,12040201,12040202</t>
  </si>
  <si>
    <t>1202000701,1202000702,1203020302,1204020201,1204020202,1204020101</t>
  </si>
  <si>
    <t>120200070109,120200070102,120200070101,120200070110,120200070104,120200070105,120200070107,120200070106,120200070103,120200070108,120200070201,120302030202,120402020100,120402020200,120402010100</t>
  </si>
  <si>
    <t>05000229,05000230,05000231,05000232,05000233,05000234,05000235,05000236,05000237,05000238,05000239,05000250,05000252,05000259</t>
  </si>
  <si>
    <t>Liberty County HMP</t>
  </si>
  <si>
    <t>051000011</t>
  </si>
  <si>
    <t>Liberty County Update Flood Hazard Mapping</t>
  </si>
  <si>
    <t>051000012</t>
  </si>
  <si>
    <t>Nacogdoches County Update Flood Hazard Mapping</t>
  </si>
  <si>
    <t>Nacogdoches</t>
  </si>
  <si>
    <t>12020004,12020005</t>
  </si>
  <si>
    <t>1202000402,1202000405,1202000406,1202000407,1202000501,1202000502,1202000503,1202000504,1202000505,1202000506</t>
  </si>
  <si>
    <t>05000139</t>
  </si>
  <si>
    <t>051000068</t>
  </si>
  <si>
    <t>North Anahuac Drainage</t>
  </si>
  <si>
    <t>Evaluate project to quantify benefits, evaluate impacts, and begin design. Improvements include expanding/repairing road ditches and culverts and channelizing the drainage outfall for the area north of Lonestar Canal.</t>
  </si>
  <si>
    <t>00003571</t>
  </si>
  <si>
    <t>051000013</t>
  </si>
  <si>
    <t>Orange County Update Flood Hazard Mapping</t>
  </si>
  <si>
    <t>12010005,12020003,12040201</t>
  </si>
  <si>
    <t>1202000304,1201000510,1204020105</t>
  </si>
  <si>
    <t>120200030407,120200030404,120200030405,120200030406,120200030402,120200030403,120100051005,120100051004,120402010500</t>
  </si>
  <si>
    <t>05000001,05000002,05000003,05000004,05000005,05000025,05000258</t>
  </si>
  <si>
    <t>051000014</t>
  </si>
  <si>
    <t>Polk County Update Flood Hazard Mapping</t>
  </si>
  <si>
    <t>12020002,12020006,12020007</t>
  </si>
  <si>
    <t>1202000203,1202000204,1202000205,1202000601,1202000602,1202000604,1202000702</t>
  </si>
  <si>
    <t>05000081,05000085,05000086,05000087,05000091,05000092,05000093,05000095,05000096,05000097,05000098,05000101,05000102,05000203,05000206,05000209,05000210,05000211,05000220,05000222,05000224,05000225,05000240</t>
  </si>
  <si>
    <t>051000100</t>
  </si>
  <si>
    <t>Rodair Pump Station</t>
  </si>
  <si>
    <t>Evaluate project to quantify benefits, evaluate impacts, and begin design.</t>
  </si>
  <si>
    <t>051000015</t>
  </si>
  <si>
    <t>Rusk County Update Flood Hazard Mapping</t>
  </si>
  <si>
    <t>1202000402,1202000403,1202000404,1202000405,1202000503</t>
  </si>
  <si>
    <t>05000126,05000127,05000128,05000132,05000133,05000134,05000135,05000136,05000137,05000138,05000139,05000140,05000141,05000142,05000143,05000144,05000150,05000152,05000153,05000154,05000198</t>
  </si>
  <si>
    <t>051000016</t>
  </si>
  <si>
    <t>Sabine County Update Flood Hazard Mapping</t>
  </si>
  <si>
    <t>12020005</t>
  </si>
  <si>
    <t>1202000507,1202000508</t>
  </si>
  <si>
    <t>120200050705,120200050804,120200050805,120200050806,120200050807,120200050803,120200050808,120200050809</t>
  </si>
  <si>
    <t>05000178,05000179,05000180,05000181,05000182,05000190,05000191,05000194</t>
  </si>
  <si>
    <t>051000017</t>
  </si>
  <si>
    <t>San Augustine County Update Flood Hazard Mapping</t>
  </si>
  <si>
    <t>San Augustine</t>
  </si>
  <si>
    <t>1202000504,1202000505,1202000506,1202000507,1202000508,1202000509</t>
  </si>
  <si>
    <t>05000158,05000168,05000169,05000170,05000171,05000172,05000175,05000176,05000177,05000178,05000179,05000183,05000184,05000185,05000186,05000189,05000190,05000191,05000192,05000193,05000194,05000199,05000200,05000201</t>
  </si>
  <si>
    <t>051000018</t>
  </si>
  <si>
    <t>Shelby County Update Flood Hazard Mapping</t>
  </si>
  <si>
    <t>Shelby</t>
  </si>
  <si>
    <t>1202000503,1202000504,1202000507</t>
  </si>
  <si>
    <t>120200050303,120200050301,120200050307,120200050401,120200050402,120200050403,120200050404,120200050405,120200050701</t>
  </si>
  <si>
    <t>05000150,05000152,05000156,05000157,05000158,05000169,05000170,05000171,05000176</t>
  </si>
  <si>
    <t>051000019</t>
  </si>
  <si>
    <t>Smith County Update Flood Hazard Mapping</t>
  </si>
  <si>
    <t>Smith</t>
  </si>
  <si>
    <t>12020001,12020004</t>
  </si>
  <si>
    <t>1202000103,1202000101,1202000104,1202000401,1202000403,1202000402</t>
  </si>
  <si>
    <t>05000040,05000041,05000043,05000044,05000045,05000046,05000047,05000048,05000051,05000053,05000054,05000121,05000127,05000128,05000129,05000130,05000131,05000145,05000146,05000147</t>
  </si>
  <si>
    <t>051000069</t>
  </si>
  <si>
    <t>Southeast Drainage Ditch</t>
  </si>
  <si>
    <t>Evaluate project to quantify benefits, evaluate impacts, and begin design. Improvements include channelization and crossing upgrades from Benton Lane to FM 563.</t>
  </si>
  <si>
    <t>051000070</t>
  </si>
  <si>
    <t>Southwest Anahuac Ditch</t>
  </si>
  <si>
    <t xml:space="preserve">Evaluate project to quantify benefits, evaluate impacts, and begin design. Improvements include channelization and crossing upgrades from Main Street to Bay.
</t>
  </si>
  <si>
    <t>051000067</t>
  </si>
  <si>
    <t>Spindletop Bayou Ditch Improvement</t>
  </si>
  <si>
    <t xml:space="preserve">Evaluate project to quantify benefits, evaluate impacts, and begin design. Improvements include increasing IH10 crossings, enlarge ditches and create retention along the Spindletop Bayou in east Chambers County.
</t>
  </si>
  <si>
    <t>1204020203</t>
  </si>
  <si>
    <t>120402020300</t>
  </si>
  <si>
    <t>05000253</t>
  </si>
  <si>
    <t>051000020</t>
  </si>
  <si>
    <t>Trinity County Update Flood Hazard Mapping</t>
  </si>
  <si>
    <t>12020002</t>
  </si>
  <si>
    <t>1202000202,1202000203,1202000204</t>
  </si>
  <si>
    <t>120200020203,120200020207,120200020205,120200020206,120200020204,120200020304,120200020303,120200020305,120200020306,120200020402,120200020401,120200020403,120200020404,120200020405,120200020407,120200020202</t>
  </si>
  <si>
    <t>05000075,05000076,05000077,05000078,05000079,05000080,05000084,05000086,05000087,05000088,05000089,05000090,05000091,05000093,05000096,05000110</t>
  </si>
  <si>
    <t>051000021</t>
  </si>
  <si>
    <t>Tyler County Update Flood Hazard Mapping</t>
  </si>
  <si>
    <t>Tyler</t>
  </si>
  <si>
    <t>12020002,12020003,12020006</t>
  </si>
  <si>
    <t>1202000204,1202000205,1202000301,1202000302,1202000303,1202000601,1202000602,1202000603</t>
  </si>
  <si>
    <t>05000057</t>
  </si>
  <si>
    <t>051000101</t>
  </si>
  <si>
    <t>Upgrade to Lateral B4B</t>
  </si>
  <si>
    <t xml:space="preserve">Evaluate project to quantify benefits, evaluate impacts, and begin design. Project consists of widening those channels to increase the runoff capacity – upgrading/enlarging road crossings to reduce out of bank flooding.
</t>
  </si>
  <si>
    <t>051000022</t>
  </si>
  <si>
    <t>Van Zandt County Update Flood Hazard Mapping</t>
  </si>
  <si>
    <t>1202000102,1202000103,1202000101</t>
  </si>
  <si>
    <t>120200010201,120200010203,120200010205,120200010206,120200010301,120200010101,120200010102,120200010103,120200010105,120200010202,120200010204</t>
  </si>
  <si>
    <t>05000031,05000032,05000038,05000039,05000040,05000044,05000045,05000046,05000048,05000049,05000050</t>
  </si>
  <si>
    <t>051000153</t>
  </si>
  <si>
    <t>City of Bullard Culvert Upgrades</t>
  </si>
  <si>
    <t xml:space="preserve">Study to evaluate existing culverts for current condition and identify culverts that need to be upgraded.
</t>
  </si>
  <si>
    <t>1202000103,1202000104,1202000401</t>
  </si>
  <si>
    <t>120200010306,120200010401,120200040105</t>
  </si>
  <si>
    <t>05000043,05000054,05000131</t>
  </si>
  <si>
    <t>05002672</t>
  </si>
  <si>
    <t>Smith County HMP</t>
  </si>
  <si>
    <t>051000154</t>
  </si>
  <si>
    <t>Smith County Drainage Capacity Upgrades</t>
  </si>
  <si>
    <t xml:space="preserve">Study to evaluate existing culverts within Smith County and identify culverts that need to be upgraded.
</t>
  </si>
  <si>
    <t>1202000101,1202000103,1202000104,1202000401,1202000402,1202000403,</t>
  </si>
  <si>
    <t>TWDB FIF, FIF_ID 40141, 40169</t>
  </si>
  <si>
    <t>FIF, BLE</t>
  </si>
  <si>
    <t>051000149</t>
  </si>
  <si>
    <t>Feasibility Assessment of Widening and Deepening Segments of Tiger Creek</t>
  </si>
  <si>
    <t>H&amp;H Study to analyze most efficient alternatives for constructing improvements to segments of Tiger Creek.</t>
  </si>
  <si>
    <t>Orange, Jasper</t>
  </si>
  <si>
    <t>12020003</t>
  </si>
  <si>
    <t>1202000304</t>
  </si>
  <si>
    <t>120200030404</t>
  </si>
  <si>
    <t>05000002</t>
  </si>
  <si>
    <t>Orange County Drainage District HMP</t>
  </si>
  <si>
    <t>051000150</t>
  </si>
  <si>
    <t>Feasibility Assessment of Construction of a Stormwater Detention Pond Adjacent to Tiger Creek</t>
  </si>
  <si>
    <t>H&amp;H Study to analyze most efficient alternatives for constructing a stormwater detention pond in the vicinity of Tiger Creek.</t>
  </si>
  <si>
    <t>05000001,05000002,05000003,05000004,05000007,05000008,05000009,05000010</t>
  </si>
  <si>
    <t>051000152</t>
  </si>
  <si>
    <t>Feasibility Assessment of Widening and Deepening Segments of Anderson Gully</t>
  </si>
  <si>
    <t>H&amp;H Study to analyze most efficient alternatives for constructing improvements to segments of Anderson Gully.</t>
  </si>
  <si>
    <t>Orange, Jefferson</t>
  </si>
  <si>
    <t>120200030406</t>
  </si>
  <si>
    <t>05000004</t>
  </si>
  <si>
    <t>051000151</t>
  </si>
  <si>
    <t>Feasibility Assessment of Widening and Deepening Segments of Ten-Mile Creek</t>
  </si>
  <si>
    <t>H&amp;H Study to analyze most efficient alternatives for constructing improvements to segments of Ten-Mile Creek.</t>
  </si>
  <si>
    <t>120200030403</t>
  </si>
  <si>
    <t>051000145</t>
  </si>
  <si>
    <t>Feasibility Assessment for Increase in Size of Culverts and Railroad Trestles on Major Drainage Structures Throughout Orange County</t>
  </si>
  <si>
    <t>H&amp;H Study to analyze most efficient alternatives for dredging, widening, or otherwise improving culverts and railroad trestles within Orange County.</t>
  </si>
  <si>
    <t>120100051004,120100051005,120200030402,120200030403,120200030404,120200030405,120200030406,120200030407,120402010500</t>
  </si>
  <si>
    <t>05000005,05000006,05000007,05000008</t>
  </si>
  <si>
    <t>051000146</t>
  </si>
  <si>
    <t>Feasibility Assessment of the Capacity of Drainage Ditches and Channels that Convey Stormwater from Neighborhoods Located Within Orange County</t>
  </si>
  <si>
    <t>H&amp;H Study to analyze most efficient alternatives for improving existing drainage ditches and channels linked to neighborhoods within Orange County.</t>
  </si>
  <si>
    <t>051000057</t>
  </si>
  <si>
    <t xml:space="preserve">City of Arp Master Drainage Plan </t>
  </si>
  <si>
    <t xml:space="preserve">Perform H&amp;H modeling to identify and define flood risk, develop conceptual alternatives to reduce flood risk, develop OPCC for conceptual alternatives, and rank projects. Conceptual alternatives should evaluate feasibility of nature based solutions. </t>
  </si>
  <si>
    <t>12020004</t>
  </si>
  <si>
    <t>1202000401</t>
  </si>
  <si>
    <t>120200040106,120200040102,120200040101</t>
  </si>
  <si>
    <t>05000121,05000129,05000145</t>
  </si>
  <si>
    <t>05000003,05000004,05000005,05000006,05000007,05000008,05000015,05000016</t>
  </si>
  <si>
    <t>05003177</t>
  </si>
  <si>
    <t>051000094</t>
  </si>
  <si>
    <t>City of Coffee City Flood-prone Roadway and Infrastructure Evaluation</t>
  </si>
  <si>
    <t>Locate roadways and properties prone to flooding due to heavy rainfall</t>
  </si>
  <si>
    <t>1202000103</t>
  </si>
  <si>
    <t>120200010305,120200010307</t>
  </si>
  <si>
    <t>05000051,05000053</t>
  </si>
  <si>
    <t>05000007,05000008</t>
  </si>
  <si>
    <t>05002870</t>
  </si>
  <si>
    <t>Henderson County HMP</t>
  </si>
  <si>
    <t>051000135</t>
  </si>
  <si>
    <t>City of Daisetta Drainage Projects</t>
  </si>
  <si>
    <t>Evaluate project to quantify benefits, evaluate impacts, and begin design. Project consists of drainage improvements throughout the city to include widening culverts and ditches.</t>
  </si>
  <si>
    <t>1202000701</t>
  </si>
  <si>
    <t>120200070108</t>
  </si>
  <si>
    <t>05000229,05000236,05000238</t>
  </si>
  <si>
    <t>05002480</t>
  </si>
  <si>
    <t>051000095</t>
  </si>
  <si>
    <t>City of Moore Station Flood-prone Roadway and Infrastructure Evaluation</t>
  </si>
  <si>
    <t>120200010305</t>
  </si>
  <si>
    <t>05000051</t>
  </si>
  <si>
    <t>05002828</t>
  </si>
  <si>
    <t>051000055</t>
  </si>
  <si>
    <t>City of Nacogdoches Update Flood Control Study</t>
  </si>
  <si>
    <t>Conduct Flood Control Study and implement actions such as channelization, detention, retention, etc to stop repetitive flood losses.</t>
  </si>
  <si>
    <t>1202000407,1202000501,1202000502</t>
  </si>
  <si>
    <t>120200040704,120200050101,120200050102,120200050106,120200050201</t>
  </si>
  <si>
    <t>05000118,05000159,05000160,05000162,05000166</t>
  </si>
  <si>
    <t>05002929</t>
  </si>
  <si>
    <t>City of Nacogdoches FIS</t>
  </si>
  <si>
    <t>City of Nacogdoches</t>
  </si>
  <si>
    <t>051000058</t>
  </si>
  <si>
    <t>City of Tyler Master Drainage Plan</t>
  </si>
  <si>
    <t xml:space="preserve">Perform H&amp;H modeling to identify and define flood risk, develop conceptual alternatives to reduce flood risk, develop OPCC for conceptual alternatives, and rank projects. Conceptual alternatives should evaluate feasibility of nature based solutions. 
</t>
  </si>
  <si>
    <t>1202000103,1202000101,1202000401</t>
  </si>
  <si>
    <t>120200010301,120200010302,120200010104,120200010105,120200040104,120200040103</t>
  </si>
  <si>
    <t>05000040,05000041,05000047,05000048,05000130,05000146</t>
  </si>
  <si>
    <t>00003371</t>
  </si>
  <si>
    <t>TWDB</t>
  </si>
  <si>
    <t>051000062</t>
  </si>
  <si>
    <t>Preliminary Engineering of Gibsonville Street and Porterville Road Bridges Improvements</t>
  </si>
  <si>
    <t>Evaluate alternatives to raise bridges on Gibsonville St. and Porterville Road to increase flow of creek under.</t>
  </si>
  <si>
    <t>1202000205</t>
  </si>
  <si>
    <t>120200020501</t>
  </si>
  <si>
    <t>05000099</t>
  </si>
  <si>
    <t>05003198</t>
  </si>
  <si>
    <t>051000061</t>
  </si>
  <si>
    <t>Hall Street over White Oak Creek Bridge Improvements</t>
  </si>
  <si>
    <t>Evaluate alternatives to elevate bridge over White Oak Creek on Hall St going into the park</t>
  </si>
  <si>
    <t>1202000203</t>
  </si>
  <si>
    <t>120200020306</t>
  </si>
  <si>
    <t>05000087</t>
  </si>
  <si>
    <t>05003196</t>
  </si>
  <si>
    <t>Angelina County FIS</t>
  </si>
  <si>
    <t>051000032</t>
  </si>
  <si>
    <t>Liberty County Master Drainage Plan</t>
  </si>
  <si>
    <t>Complete a county wide drainage plan, which can be used for regulatory purposes.</t>
  </si>
  <si>
    <t>05000001,05000002,05000003,05000004,05000005,05000006,05000007,05000008,05000015,05000016</t>
  </si>
  <si>
    <t>00002236</t>
  </si>
  <si>
    <t>051000137</t>
  </si>
  <si>
    <t>Liberty County Recanalization Feasibility Study</t>
  </si>
  <si>
    <t xml:space="preserve">Evaluate project to quantify benefits, evaluate impacts, and begin design. Project consists of dechannelizing existing feeder creeks that flow from north to south and improve drainage for storm water runoff.
</t>
  </si>
  <si>
    <t>051000147</t>
  </si>
  <si>
    <t>Orange County DD Harvey Repairs</t>
  </si>
  <si>
    <t xml:space="preserve">Evaluate project to quantify benefits, evaluate impacts, and begin design. Project consists of repairing damage to drainage ditches, crossings, culverts, levees, and right-of-ways caused by Hurricane Harvey to restore pre-flood capacity.
</t>
  </si>
  <si>
    <t>FIS, GLO</t>
  </si>
  <si>
    <t>051000148</t>
  </si>
  <si>
    <t>Orange County DD SW Detention/Retention Facilities</t>
  </si>
  <si>
    <t>Evaluate project to quantify benefits, evaluate impacts, and begin design. Project consists of stormwater detention/retention facilities throughout OCDD.</t>
  </si>
  <si>
    <t>051000063</t>
  </si>
  <si>
    <t>Shawnee Creek Concrete Canal</t>
  </si>
  <si>
    <t>Evaluate project to quantify benefits, evaluate impacts, and begin design for a concrete canal for Shawnee Creek from Louisiana Street to 6th Street.</t>
  </si>
  <si>
    <t>120200020505</t>
  </si>
  <si>
    <t>05000103</t>
  </si>
  <si>
    <t>051000123</t>
  </si>
  <si>
    <t>JCDD7 Hurricane Flood Protection Levee Study</t>
  </si>
  <si>
    <t>Study to identify possible upgrades to levees to help reduce the risk of flooding and to help the District review and update levees in jurisdictional area.</t>
  </si>
  <si>
    <t>12020003,12040201</t>
  </si>
  <si>
    <t>1204020103,1204020102,1202000304</t>
  </si>
  <si>
    <t>120200030407,120200030406,120402010200,120402010300</t>
  </si>
  <si>
    <t>05000001,05000004,05000260,05000261</t>
  </si>
  <si>
    <t>TWDB FIF, FIF_ID 40099</t>
  </si>
  <si>
    <t>FIF, BLE, GLO</t>
  </si>
  <si>
    <t>051000093</t>
  </si>
  <si>
    <t>Hardin County Municipal Storm Drain Project</t>
  </si>
  <si>
    <t xml:space="preserve">Evaluate project to quantify benefits, evaluate impacts, and begin design.
</t>
  </si>
  <si>
    <t>Jefferson, Hardin</t>
  </si>
  <si>
    <t>1202000304,1202000604,1202000702,1202000703,1204020102</t>
  </si>
  <si>
    <t>120200030405,120200060407,120200070201,120200070203,120200070204,120200070205,120200070302,120200070303,120200070304,120402010200</t>
  </si>
  <si>
    <t>05000003,05000205,05000239,05000242,05000243,05000244,05000245,05000246,05000247,05000260</t>
  </si>
  <si>
    <t>051000102</t>
  </si>
  <si>
    <t>Beauxart Gardens Central Ditch Improvements</t>
  </si>
  <si>
    <t>051000060</t>
  </si>
  <si>
    <t>Willie Nerron Road and Gillan Creek Bridge Replacement</t>
  </si>
  <si>
    <t xml:space="preserve">Evaluate bridge improvements (upgrade bridge and increase channel flow) to current crossing to develop costs, quantify benefits, evaluate impacts, and begin design. </t>
  </si>
  <si>
    <t>1202000501</t>
  </si>
  <si>
    <t>120200050107</t>
  </si>
  <si>
    <t>05000165</t>
  </si>
  <si>
    <t>051000023</t>
  </si>
  <si>
    <t>Anderson County Master Drainage Plan</t>
  </si>
  <si>
    <t>051000024</t>
  </si>
  <si>
    <t>Angelina County Master Drainage Plan</t>
  </si>
  <si>
    <t>051000026</t>
  </si>
  <si>
    <t>Cherokee County Master Drainage Plan</t>
  </si>
  <si>
    <t>051000027</t>
  </si>
  <si>
    <t>Hardin County Master Drainage Plan</t>
  </si>
  <si>
    <t>051000028</t>
  </si>
  <si>
    <t>Henderson County Master Drainage Plan</t>
  </si>
  <si>
    <t>051000029</t>
  </si>
  <si>
    <t>Houston County Master Drainage Plan</t>
  </si>
  <si>
    <t>051000030</t>
  </si>
  <si>
    <t>Jasper County Master Drainage Plan</t>
  </si>
  <si>
    <t>051000033</t>
  </si>
  <si>
    <t>Nacogdoches County Master Drainage Plan</t>
  </si>
  <si>
    <t>051000034</t>
  </si>
  <si>
    <t>Orange County Master Drainage Plan</t>
  </si>
  <si>
    <t>051000035</t>
  </si>
  <si>
    <t>Polk County Master Drainage Plan</t>
  </si>
  <si>
    <t>FIF Grant; Local Funds</t>
  </si>
  <si>
    <t>051000036</t>
  </si>
  <si>
    <t>Rusk County Master Drainage Plan</t>
  </si>
  <si>
    <t>051000037</t>
  </si>
  <si>
    <t>Sabine County Master Drainage Plan</t>
  </si>
  <si>
    <t>051000038</t>
  </si>
  <si>
    <t>San Augustine County Master Drainage Plan</t>
  </si>
  <si>
    <t>051000039</t>
  </si>
  <si>
    <t>Shelby County Master Drainage Plan</t>
  </si>
  <si>
    <t>051000040</t>
  </si>
  <si>
    <t>Smith County Master Drainage Plan</t>
  </si>
  <si>
    <t>051000041</t>
  </si>
  <si>
    <t>Trinity County Master Drainage Plan</t>
  </si>
  <si>
    <t>051000042</t>
  </si>
  <si>
    <t>Tyler County Master Drainage Plan</t>
  </si>
  <si>
    <t>051000043</t>
  </si>
  <si>
    <t>Van Zandt County Master Drainage Plan</t>
  </si>
  <si>
    <t>FIF Grants; Local Funds</t>
  </si>
  <si>
    <t>051000047</t>
  </si>
  <si>
    <t>City of Rusk Master Drainage Plan</t>
  </si>
  <si>
    <t>1202000106,1202000402</t>
  </si>
  <si>
    <t>120200010601,120200010602,120200040206,120200040207</t>
  </si>
  <si>
    <t>05000066,05000067,05000125,05000126</t>
  </si>
  <si>
    <t>05002867</t>
  </si>
  <si>
    <t>051000059</t>
  </si>
  <si>
    <t>City of Whitehouse Master Drainage Plan</t>
  </si>
  <si>
    <t>120200040103,120200040105,120200040106</t>
  </si>
  <si>
    <t>05000121,05000131,05000146</t>
  </si>
  <si>
    <t>05003033</t>
  </si>
  <si>
    <t>051000051</t>
  </si>
  <si>
    <t>City of Athens Master Drainage Plan</t>
  </si>
  <si>
    <t>120200010303</t>
  </si>
  <si>
    <t>05000052</t>
  </si>
  <si>
    <t>051000044</t>
  </si>
  <si>
    <t>City of Palestine Master Drainage Plan</t>
  </si>
  <si>
    <t>1202000105</t>
  </si>
  <si>
    <t>120200010502,120200010504</t>
  </si>
  <si>
    <t>05000029,05000034</t>
  </si>
  <si>
    <t>00003346</t>
  </si>
  <si>
    <t>051000046</t>
  </si>
  <si>
    <t>City of Jacksonville Master Drainage Plan</t>
  </si>
  <si>
    <t>1202000105,1202000402</t>
  </si>
  <si>
    <t>120200010506,120200040201,120200040204</t>
  </si>
  <si>
    <t>05000062,05000122,05000123</t>
  </si>
  <si>
    <t>05003472</t>
  </si>
  <si>
    <t>051000054</t>
  </si>
  <si>
    <t>City of Nederland Master Drainage Plan</t>
  </si>
  <si>
    <t>1202000304,1204020103</t>
  </si>
  <si>
    <t>120200030407,120402010300</t>
  </si>
  <si>
    <t>05000001,05000261</t>
  </si>
  <si>
    <t>05003086</t>
  </si>
  <si>
    <t>051000052</t>
  </si>
  <si>
    <t>City of Jasper Master Drainage Plan</t>
  </si>
  <si>
    <t>1202000302,1202000303</t>
  </si>
  <si>
    <t>120200030301,120200030205</t>
  </si>
  <si>
    <t>05000011,05000015</t>
  </si>
  <si>
    <t>05003336</t>
  </si>
  <si>
    <t>051000050</t>
  </si>
  <si>
    <t>City of Silsbee Master Drainage Plan</t>
  </si>
  <si>
    <t>12020003,12020006</t>
  </si>
  <si>
    <t>1202000304,1202000604</t>
  </si>
  <si>
    <t>120200030401,120200060406,120200060407</t>
  </si>
  <si>
    <t>05000024,05000204,05000205</t>
  </si>
  <si>
    <t>05002932</t>
  </si>
  <si>
    <t>TWDB FIF, FIF_ID 40022</t>
  </si>
  <si>
    <t>TWDB FIF</t>
  </si>
  <si>
    <t>051000048</t>
  </si>
  <si>
    <t>City of Lumberton Master Drainage Plan</t>
  </si>
  <si>
    <t>12020006,12020007</t>
  </si>
  <si>
    <t>1202000604,1202000703</t>
  </si>
  <si>
    <t>120200060407,120200070303</t>
  </si>
  <si>
    <t>05000205,05000246</t>
  </si>
  <si>
    <t>05002488</t>
  </si>
  <si>
    <t>051000045</t>
  </si>
  <si>
    <t>City of Lufkin Master Drainage Plan</t>
  </si>
  <si>
    <t>HMGP, PDM, FMA, budget</t>
  </si>
  <si>
    <t>051000056</t>
  </si>
  <si>
    <t>City of Henderson Master Drainage Plan</t>
  </si>
  <si>
    <t>1202000404</t>
  </si>
  <si>
    <t>120200040401</t>
  </si>
  <si>
    <t>05000144</t>
  </si>
  <si>
    <t>051000053</t>
  </si>
  <si>
    <t>City of Beaumont Master Drainage Plan</t>
  </si>
  <si>
    <t>12020003,12020007,12040201</t>
  </si>
  <si>
    <t>1202000304,1202000702,1202000703,1204020102</t>
  </si>
  <si>
    <t>120200030405,120200030406,120200030407,120200070205,120200070303,120200070304,120402010200</t>
  </si>
  <si>
    <t>05000001,05000003,05000004,05000242,05000244,05000246,05000260</t>
  </si>
  <si>
    <t>05002769</t>
  </si>
  <si>
    <t>ICM</t>
  </si>
  <si>
    <t>FIS, GLO, 2019 MDP Study</t>
  </si>
  <si>
    <t>051000031</t>
  </si>
  <si>
    <t>Jefferson County Master Drainage Plan</t>
  </si>
  <si>
    <t>051000103</t>
  </si>
  <si>
    <t>Houston Upgrade Pumping Equipment</t>
  </si>
  <si>
    <t xml:space="preserve">H&amp;H study to size pump upgrades and improve existing level of service. </t>
  </si>
  <si>
    <t>051000104</t>
  </si>
  <si>
    <t>Grannis Upgrade Pumping Equipment</t>
  </si>
  <si>
    <t>051000105</t>
  </si>
  <si>
    <t>Foley Upgrade Pumping Equipment</t>
  </si>
  <si>
    <t>051000106</t>
  </si>
  <si>
    <t>Lakeside Upgrade Pumping Equipment</t>
  </si>
  <si>
    <t>051000107</t>
  </si>
  <si>
    <t>Rodair Upgrade Pumping Equipment</t>
  </si>
  <si>
    <t>1204020102,1204020103</t>
  </si>
  <si>
    <t>120402010200,120402010300</t>
  </si>
  <si>
    <t>05000260,05000261</t>
  </si>
  <si>
    <t>051000108</t>
  </si>
  <si>
    <t>9th Avenue - Upgrade Pumping Equipment</t>
  </si>
  <si>
    <t>051000109</t>
  </si>
  <si>
    <t>Halbouty Add two pumps (open spots in structure)</t>
  </si>
  <si>
    <t>05000001,05000002,05000005,05000006,05000007,05000008</t>
  </si>
  <si>
    <t>051000110</t>
  </si>
  <si>
    <t>Rodair Upper Build new station with associated levee</t>
  </si>
  <si>
    <t>051000111</t>
  </si>
  <si>
    <t>Main C Diversion - Build New Pump Station and Channel</t>
  </si>
  <si>
    <t>051000112</t>
  </si>
  <si>
    <t>Upper Johns Gulley Upgrade Drainage Channel</t>
  </si>
  <si>
    <t>H&amp;H study to identify alternatives for Upper Johns Gulley drainage improvements</t>
  </si>
  <si>
    <t>051000113</t>
  </si>
  <si>
    <t>Central Gardens Ditch - Upgrade Drainage Channel</t>
  </si>
  <si>
    <t>H&amp;H study to identify alternatives for Central Gardens Ditch</t>
  </si>
  <si>
    <t>051000114</t>
  </si>
  <si>
    <t>Pure Oil Ditch Improvements</t>
  </si>
  <si>
    <t>H&amp;H study to identify alternatives for Pure Oil Ditch</t>
  </si>
  <si>
    <t>120200030407</t>
  </si>
  <si>
    <t>05000001</t>
  </si>
  <si>
    <t>051000115</t>
  </si>
  <si>
    <t>Rodair Gulley Ditch Improvements</t>
  </si>
  <si>
    <t>H&amp;H study to identify alternatives for Rodair Gulley</t>
  </si>
  <si>
    <t>051000116</t>
  </si>
  <si>
    <t>Main C Diversion Channel Improvements</t>
  </si>
  <si>
    <t>H&amp;H study to identify alternatives for Main C Diversion Channel</t>
  </si>
  <si>
    <t>051000117</t>
  </si>
  <si>
    <t>Main B Channel Improvements</t>
  </si>
  <si>
    <t>H&amp;H study to identify alternatives for Main B Channel</t>
  </si>
  <si>
    <t>051000118</t>
  </si>
  <si>
    <t>Main A Channel Improvements</t>
  </si>
  <si>
    <t>H&amp;H study to identify alternatives for Main A Channel</t>
  </si>
  <si>
    <t>051000119</t>
  </si>
  <si>
    <t>Rodair Lateral 5 Detention Pond Excavation</t>
  </si>
  <si>
    <t>H&amp;H study to identify additional detention required to expand existing level of service</t>
  </si>
  <si>
    <t>051000120</t>
  </si>
  <si>
    <t>Halbouty Detention Pond Excavation</t>
  </si>
  <si>
    <t>051000121</t>
  </si>
  <si>
    <t>9th Avenue Additional Detention Excavation</t>
  </si>
  <si>
    <t>H&amp;H study to identify additional detention required to improve existing level of service</t>
  </si>
  <si>
    <t>051000122</t>
  </si>
  <si>
    <t>Tevis Diversion</t>
  </si>
  <si>
    <t xml:space="preserve">H&amp;H study to identify alternatives for a diversion to the Neches River. </t>
  </si>
  <si>
    <t>1202000304,1204020102</t>
  </si>
  <si>
    <t>120200030406,120402010200</t>
  </si>
  <si>
    <t>05000004,05000260</t>
  </si>
  <si>
    <t>Jefferson County DD6</t>
  </si>
  <si>
    <t>051000124</t>
  </si>
  <si>
    <t>Crane Bayou Channel Improvements</t>
  </si>
  <si>
    <t>H&amp;H study to identify alternatives for Crane Bayou Channel</t>
  </si>
  <si>
    <t>051000125</t>
  </si>
  <si>
    <t>Rodair Upper Additional Pump Station</t>
  </si>
  <si>
    <t>05000001,05000002,05000007,05000008</t>
  </si>
  <si>
    <t>051000126</t>
  </si>
  <si>
    <t>South Park Diversion</t>
  </si>
  <si>
    <t>051000127</t>
  </si>
  <si>
    <t>Blanchette Diversion</t>
  </si>
  <si>
    <t>051000128</t>
  </si>
  <si>
    <t>Rodair Gully System Detention</t>
  </si>
  <si>
    <t>051000129</t>
  </si>
  <si>
    <t>El Vista Upgrade Pumping Equipment</t>
  </si>
  <si>
    <t>051000130</t>
  </si>
  <si>
    <t>W. Port Arthur Road Upgrade Pumping Equipment</t>
  </si>
  <si>
    <t>051000131</t>
  </si>
  <si>
    <t>Central - Upgrade Pumping Equipment and Structure</t>
  </si>
  <si>
    <t>051000132</t>
  </si>
  <si>
    <t>Star Lake Upgrade Pumping Equipment</t>
  </si>
  <si>
    <t>051000133</t>
  </si>
  <si>
    <t>Crane Bayou Additional Pumping</t>
  </si>
  <si>
    <t>051000134</t>
  </si>
  <si>
    <t>Lakeview Additional Pumping</t>
  </si>
  <si>
    <t>051000138</t>
  </si>
  <si>
    <t>Stadium Upgrade Pumping Equipment</t>
  </si>
  <si>
    <t>051000139</t>
  </si>
  <si>
    <t>Delmar Upgrade Pumping Equipment</t>
  </si>
  <si>
    <t>051000140</t>
  </si>
  <si>
    <t>DeQueen Additional Pumping Equipment</t>
  </si>
  <si>
    <t>051000141</t>
  </si>
  <si>
    <t xml:space="preserve">Shreveport Additional Pumping Equipment </t>
  </si>
  <si>
    <t>051000144</t>
  </si>
  <si>
    <t>Mayhaw Lateral Improvements</t>
  </si>
  <si>
    <t xml:space="preserve">Rectify negative impacts to properties downstream of IH-10 caused by additional drainage crossings </t>
  </si>
  <si>
    <t>Jefferson,Chambers</t>
  </si>
  <si>
    <t>12040201,12040202</t>
  </si>
  <si>
    <t>1204020101,1204020202,1204020203</t>
  </si>
  <si>
    <t>120402010100,120402020200,120402020300</t>
  </si>
  <si>
    <t>05000252,05000253,05000259</t>
  </si>
  <si>
    <t>051000142</t>
  </si>
  <si>
    <t>Delaware Diversion</t>
  </si>
  <si>
    <t xml:space="preserve">Divert storm runoff out of Beaumont from the Hillebrandt watershed to the Neches River. </t>
  </si>
  <si>
    <t>12020007,12020003,12040201</t>
  </si>
  <si>
    <t>1202000703,1202000304,1204020102</t>
  </si>
  <si>
    <t>120200070304,120200030405,120402010200</t>
  </si>
  <si>
    <t>05000003,05000244,05000260</t>
  </si>
  <si>
    <t>051000143</t>
  </si>
  <si>
    <t>Tyrrell Park Detention</t>
  </si>
  <si>
    <t>Install a detention pond in the vicinity of Tyrrell Park Rd. within the city of Beaumont.</t>
  </si>
  <si>
    <t>051000071</t>
  </si>
  <si>
    <t>City of Lumberton Adler Ditch Drainage Improvements</t>
  </si>
  <si>
    <t>H&amp;H Study to identify alternatives for improving existing drainage of Adler Ditch</t>
  </si>
  <si>
    <t>GLO</t>
  </si>
  <si>
    <t>051000072</t>
  </si>
  <si>
    <t>City of Lumberton East Village Creek Parkway Drainage Improvements</t>
  </si>
  <si>
    <t>H&amp;H Study to identify alternatives for improving existing drainage of East Village Creek Parkway</t>
  </si>
  <si>
    <t>051000074</t>
  </si>
  <si>
    <t>City of Lumberton Drainage Chance Cut Off Concrete Lining</t>
  </si>
  <si>
    <t>H&amp;H Study to identify alternatives for improving existing drainage of Chance Cut Off</t>
  </si>
  <si>
    <t>051000073</t>
  </si>
  <si>
    <t>City of Lumberton Greens Branch Ditch Western Extension</t>
  </si>
  <si>
    <t xml:space="preserve">H&amp;H Study to identify alternatives for improving existing drainage of Greens Branch Ditch </t>
  </si>
  <si>
    <t>051000076</t>
  </si>
  <si>
    <t>City of Lumberton Elevate Taft Road and Brushy Creek Subdivision</t>
  </si>
  <si>
    <t>H&amp;H Study to identify alternatives for elevating Taft Road and Brushy Creek Subdivision</t>
  </si>
  <si>
    <t>12020006</t>
  </si>
  <si>
    <t>1202000604</t>
  </si>
  <si>
    <t>120200060407</t>
  </si>
  <si>
    <t>05000205</t>
  </si>
  <si>
    <t>051000078</t>
  </si>
  <si>
    <t>City of Nacogdoches Flood Mitigation Project</t>
  </si>
  <si>
    <t>H&amp;H study to mitigate the wide-spread flooding that occurs along LaNana and Banita Creeks in the City of Nacogdoches</t>
  </si>
  <si>
    <t>051000049</t>
  </si>
  <si>
    <t>City of Rose Hill Acres Master Drainage Plan</t>
  </si>
  <si>
    <t>Develop drainage study to identify flood mitigation measures and drainage improvements including purchase of easements in the ETJ or a possible MOU to implement improvements.</t>
  </si>
  <si>
    <t>051000079</t>
  </si>
  <si>
    <t>City of Rose Hill Acres Ditch Improvements</t>
  </si>
  <si>
    <t>H&amp;H Study to identify alternatives for ditch improvements within Rose Hill Acres</t>
  </si>
  <si>
    <t>051000080</t>
  </si>
  <si>
    <t>City of Rose Hill Acres Road and Bridge Elevation</t>
  </si>
  <si>
    <t xml:space="preserve">H&amp;H study to locate roadways prone to flooding and identify alternatives to improve drainage. </t>
  </si>
  <si>
    <t>051000081</t>
  </si>
  <si>
    <t>City of Silsbee Easy Street Drainage Improvements</t>
  </si>
  <si>
    <t>120200060406</t>
  </si>
  <si>
    <t>05000204</t>
  </si>
  <si>
    <t>051000082</t>
  </si>
  <si>
    <t>City of Vidor Schoolhouse Ditch Alternative B</t>
  </si>
  <si>
    <t>H&amp;H study to identify alternatives for Schoolhouse Ditch</t>
  </si>
  <si>
    <t>120200030405,120200030406</t>
  </si>
  <si>
    <t>05000003,05000004</t>
  </si>
  <si>
    <t>Orange County Drainage District</t>
  </si>
  <si>
    <t>051000084</t>
  </si>
  <si>
    <t>City of Vidor Drainage Improvements</t>
  </si>
  <si>
    <t>12020003,12010005</t>
  </si>
  <si>
    <t>1202000304,1201000510</t>
  </si>
  <si>
    <t>120200030405,120100051004,120100051003,120200030404,120200030406</t>
  </si>
  <si>
    <t>05000002,05000003,05000004</t>
  </si>
  <si>
    <t>051000085</t>
  </si>
  <si>
    <t>Hardin County Black Creek Detention Pond</t>
  </si>
  <si>
    <t xml:space="preserve">H&amp;H Study to develop alternatives for detention at Black Creek. </t>
  </si>
  <si>
    <t>1202000303</t>
  </si>
  <si>
    <t>120200030307</t>
  </si>
  <si>
    <t>05000023</t>
  </si>
  <si>
    <t>051000089</t>
  </si>
  <si>
    <t>Hardin County South Area Drainage System</t>
  </si>
  <si>
    <t xml:space="preserve">H&amp;H study to identify alternatives for developing a drainage system to drain / retain flood waters around the communities of Pinewood, Countrywood, Bevil Oaks, and Rose Hill </t>
  </si>
  <si>
    <t>051000090</t>
  </si>
  <si>
    <t>Hardin County SE Area Drainage System</t>
  </si>
  <si>
    <t>H&amp;H study to identify alternatives for developing a large drainage system to drain Lumberton directly into the Neches River, instead of Pine Island Bayou.</t>
  </si>
  <si>
    <t>051000083</t>
  </si>
  <si>
    <t>City of Vidor Schoolhouse Ditch Alternative C</t>
  </si>
  <si>
    <t>051000086</t>
  </si>
  <si>
    <t>Hardin County Boggy Creek Detention Pond</t>
  </si>
  <si>
    <t xml:space="preserve">H&amp;H Study to develop alternatives for detention on Boggy Creek. </t>
  </si>
  <si>
    <t>1202000604,1202000702,1202000703</t>
  </si>
  <si>
    <t>120200070205,120200070303,120200060407,120200070301,120200070304,120200060405,120200070302</t>
  </si>
  <si>
    <t>05000202,05000204,05000205,05000241,05000242,05000243,05000244,05000246</t>
  </si>
  <si>
    <t>051000087</t>
  </si>
  <si>
    <t>Hardin County Cooks Lake Road Bridge Elevation</t>
  </si>
  <si>
    <t>H&amp;H study to improve drainage along Cooks Lake Bridge.</t>
  </si>
  <si>
    <t>12020003,12020007</t>
  </si>
  <si>
    <t>1202000304,1202000703</t>
  </si>
  <si>
    <t>120200070303,120200070304,120200030402</t>
  </si>
  <si>
    <t>05000005,05000244,05000246</t>
  </si>
  <si>
    <t>051000088</t>
  </si>
  <si>
    <t>Hardin County Reservoir</t>
  </si>
  <si>
    <t>H&amp;H study of large reservoir for flood control / drought assistance.</t>
  </si>
  <si>
    <t>051000091</t>
  </si>
  <si>
    <t>Hardin County Pinewood Drainage Improvements</t>
  </si>
  <si>
    <t>H&amp;H Study to identify alternatives for improving existing drainage within Pinewood.</t>
  </si>
  <si>
    <t>051000092</t>
  </si>
  <si>
    <t>Hardin County Coon Marsh Gully Drainage Improvements</t>
  </si>
  <si>
    <t>H&amp;H Study to identify alternatives for improving existing drainage within Marsh Gully</t>
  </si>
  <si>
    <t>1202000702</t>
  </si>
  <si>
    <t>120200070205,120200070201,120200070204</t>
  </si>
  <si>
    <t>05000239,05000242,05000245</t>
  </si>
  <si>
    <t>051000075</t>
  </si>
  <si>
    <t>City of Lumberton Detention Pond at FM 421</t>
  </si>
  <si>
    <t>H&amp;H Study to develop alternatives for detention at FM 421</t>
  </si>
  <si>
    <t>05000001,05000002,05000005,05000006</t>
  </si>
  <si>
    <t>051000025</t>
  </si>
  <si>
    <t>Chambers County Master Drainage Plan</t>
  </si>
  <si>
    <t>051000156</t>
  </si>
  <si>
    <t>Colonial Outfall Ditch Culvert Improvements</t>
  </si>
  <si>
    <t>H&amp;H Study to analyze most efficient alternatives to install new culverts along FM 1442 (Bridge City) at Colonial Outfall Ditch.</t>
  </si>
  <si>
    <t>051000155</t>
  </si>
  <si>
    <t xml:space="preserve">Bridge City Drainage Outfall Improvement Project </t>
  </si>
  <si>
    <t>Improve and extend three major drainage ditches and extend a neighborhood outfall to reduce structural flooding in residences within the area.</t>
  </si>
  <si>
    <t>1201000510,1202000304,1204020105</t>
  </si>
  <si>
    <t>120100051005,120200030407,120402010500</t>
  </si>
  <si>
    <t>05000256,05000001,05000258</t>
  </si>
  <si>
    <t>Study for open space preservation within adjacent development, dedication of conservation easements or fee simple acquisition of land along Mustang Bayou.</t>
  </si>
  <si>
    <t>City of Bellaire Local Drainage System Asset Management</t>
  </si>
  <si>
    <t xml:space="preserve">Study to develop asset management plan / capital improvement plan to repair/replace local drainage infrastructure over time to ensure it is in good working order and meeting the level of service desired by the City. </t>
  </si>
  <si>
    <t>Conduct a flood mitigation outreach program using information from the river and stream flood study to increase awareness of specific riverine flooding problems and provide guidance on mitigation in affected communities.</t>
  </si>
  <si>
    <t>City of Waller Master Drainage Plan</t>
  </si>
  <si>
    <t>Galveston, Harris</t>
  </si>
  <si>
    <t xml:space="preserve">Further study of Durant Street Phase 1 to reduce flood risk with upgrades to storm sewer system, concrete curb, gutter, pavement, and sidewalk. _x000D_
</t>
  </si>
  <si>
    <t>Entity/ Budget Funds</t>
  </si>
  <si>
    <t>City of Bellaire Cypress Ditch Drainage Improvements</t>
  </si>
  <si>
    <t xml:space="preserve">Perform engineering services to develop and advance a flood risk reduction project in the Cypress Ditch area, servicing the southern part of the City of Bellaire. </t>
  </si>
  <si>
    <t>00004001,00000013,06003602</t>
  </si>
  <si>
    <t>Further assessment and design of detention ponds needed along Mustang and Dickinson Bayous to reduce flood risk in the City of Alvin.</t>
  </si>
  <si>
    <t>00000013,00000280,06003602</t>
  </si>
  <si>
    <t>06001583</t>
  </si>
  <si>
    <t>06003573,00000033,00004000,06002530,06002647,06002646,06002531,06003602</t>
  </si>
  <si>
    <t>00004000,06003573,06003343,00000013,06003602</t>
  </si>
  <si>
    <t>00000280,00000033,00000287,00004000,00004001,06003602</t>
  </si>
  <si>
    <t>00002531,00000033,06003602</t>
  </si>
  <si>
    <t>00002853,00000310,00000020,06003602</t>
  </si>
  <si>
    <t>06002853,00000310,00000020,06003602</t>
  </si>
  <si>
    <t>Conduct planning study to produce a Master Drainage Plan for the City of Bellaire, identifying and developing specific flood-related capital improvements and implementation plans necessary to acheive a desired level of service / flood protection.</t>
  </si>
  <si>
    <t>06002531,00000033,06003602</t>
  </si>
  <si>
    <t>00003573,00000013,06003602</t>
  </si>
  <si>
    <t>Study to develop refine Master Drainage Plan and Projects using future and existing land use and flood/storm water drainage needs including Atlas 14 rainfall.</t>
  </si>
  <si>
    <t>06003512,06003573,00000013,00004000,06002493,06003307,06003345,06003544,06003343,06003344,06003396,06003602</t>
  </si>
  <si>
    <t>06000279,00000310,00000287,06003602</t>
  </si>
  <si>
    <t>City of Bellaire Regional Detention Facilities Development</t>
  </si>
  <si>
    <t xml:space="preserve">Effort to identify and develop/design regional detention facilities to either provide flood risk reduction or to facilitate the construction of local or regional drainage improvement projects. </t>
  </si>
  <si>
    <t>00000033,00000310,00000020,06003602</t>
  </si>
  <si>
    <t>06003573,00000033,00004000,06002530,06002647,06002646,06002531,00004001,06003602</t>
  </si>
  <si>
    <t>00004002</t>
  </si>
  <si>
    <t>071000026</t>
  </si>
  <si>
    <t>Shackelford County Update FEMA Mapping</t>
  </si>
  <si>
    <t>Update existing FEMA mapping</t>
  </si>
  <si>
    <t>Upper Brazos</t>
  </si>
  <si>
    <t>Shackelford</t>
  </si>
  <si>
    <t>12060102, 12060103, 12060104, 12060105</t>
  </si>
  <si>
    <t>1206010208, 1206010209, 1206010303, 1206010401, 1206010402, 1206010501, 1206010502, 1206010503, 1206010504, 1206010506</t>
  </si>
  <si>
    <t>120601020802, 120601020803, 120601020805, 120601020806, 120601020901, 120601020903, 120601020904, 120601020905, 120601020906, 120601020907, 120601020908, 120601030305, 120601040103, 120601040104, 120601040105, 120601040106, 120601040107, 120601040108</t>
  </si>
  <si>
    <t>07000252, 07000254, 07000255, 07000256, 07000257, 07000258, 07000259, 07000260, 07000266, 07000267, 07000281, 07000303, 07000319, 07000321, 07000322, 07000324, 07000325, 07000326, 07000327, 07000334, 07000335, 07000336, 07000337, 07000342, 07000343, 0700</t>
  </si>
  <si>
    <t>07000011, 07000012</t>
  </si>
  <si>
    <t>07000111</t>
  </si>
  <si>
    <t>None</t>
  </si>
  <si>
    <t>070000000001</t>
  </si>
  <si>
    <t>BLE 2024</t>
  </si>
  <si>
    <t>Alignment with Region Goals</t>
  </si>
  <si>
    <t>071000071</t>
  </si>
  <si>
    <t>Shackelford County DMP</t>
  </si>
  <si>
    <t>Evaluate county to identify future projects, analyze roads/stream crossing for emergency response vehicles to high hazard areas</t>
  </si>
  <si>
    <t>071000109</t>
  </si>
  <si>
    <t>Shackelford County GIS Development</t>
  </si>
  <si>
    <t>Develop a GIS inventory of stormwater infrastructure</t>
  </si>
  <si>
    <t>071000062</t>
  </si>
  <si>
    <t>Jones County DMP</t>
  </si>
  <si>
    <t>Jones</t>
  </si>
  <si>
    <t>12050004, 12060102, 12060103</t>
  </si>
  <si>
    <t>1205000409, 1206010203, 1206010204, 1206010205, 1206010206, 1206010207, 1206010208, 1206010209, 1206010301, 1206010302, 1206010303</t>
  </si>
  <si>
    <t>120500040901, 120601020310, 120601020404, 120601020504, 120601020505, 120601020601, 120601020602, 120601020603, 120601020604, 120601020605, 120601020606, 120601020607, 120601020709, 120601020710, 120601020711, 120601020712, 120601020802, 120601020803</t>
  </si>
  <si>
    <t>07000065, 07000246, 07000247, 07000248, 07000249, 07000250, 07000252, 07000253, 07000254, 07000256, 07000258, 07000261, 07000262, 07000266, 07000267, 07000268, 07000269, 07000277, 07000278, 07000279, 07000280, 07000281, 07000287, 07000293, 07000294, 0700</t>
  </si>
  <si>
    <t>07000112</t>
  </si>
  <si>
    <t>071000027</t>
  </si>
  <si>
    <t>Stephens County Update FEMA Mapping</t>
  </si>
  <si>
    <t>Stephens</t>
  </si>
  <si>
    <t>12060104, 12060105, 12060201, 12070201</t>
  </si>
  <si>
    <t>1206010402, 1206010403, 1206010501, 1206010504, 1206010505, 1206010506, 1206020103, 1206020104, 1206020105, 1206020107, 1206020108, 1207020101</t>
  </si>
  <si>
    <t>120601040201, 120601040202, 120601040204, 120601040205, 120601040301, 120601040302, 120601040303, 120601050107, 120601050403, 120601050404, 120601050405, 120601050406, 120601050407, 120601050408, 120601050409, 120601050501, 120601050502, 120601050503, 12</t>
  </si>
  <si>
    <t>07000321, 07000322, 07000323, 07000330, 07000331, 07000332, 07000333, 07000349, 07000350, 07000351, 07000352, 07000353, 07000354, 07000355, 07000356, 07000357, 07000358, 07000359, 07000360, 07000361, 07000362, 07000364, 07000366</t>
  </si>
  <si>
    <t>00000113</t>
  </si>
  <si>
    <t>071000072</t>
  </si>
  <si>
    <t>Stephens County DMP</t>
  </si>
  <si>
    <t>120601040201, 120601040202, 120601040204, 120601040205, 120601040301, 120601040302, 120601040303, 120601050107, 120601050403, 120601050404, 120601050405, 120601050406, 120601050407, 120601050408, 120601050409, 120601050501, 120601050502, 120601050503</t>
  </si>
  <si>
    <t>071000110</t>
  </si>
  <si>
    <t>Stephens County GIS Development</t>
  </si>
  <si>
    <t>071000008</t>
  </si>
  <si>
    <t>Fisher County Initial FEMA Mapping</t>
  </si>
  <si>
    <t>Create FEMA Mapping in previously unmapped areas</t>
  </si>
  <si>
    <t>Fisher</t>
  </si>
  <si>
    <t>1205000406, 1205000407, 1205000408, 1205000409, 1206010201, 1206010202, 1206010203, 1206010204, 1206010206, 1206010301</t>
  </si>
  <si>
    <t>120500040607, 120500040704, 120500040801, 120500040802, 120500040803, 120500040805, 120500040806, 120500040807, 120500040901, 120601020102, 120601020103, 120601020104, 120601020105, 120601020106, 120601020201, 120601020202, 120601020203, 120601020204</t>
  </si>
  <si>
    <t>07000049, 07000055, 07000056, 07000058, 07000059, 07000060, 07000061, 07000064, 07000065, 07000231, 07000232, 07000235, 07000237, 07000238, 07000239, 07000240, 07000241, 07000242, 07000243, 07000244, 07000245, 07000246, 07000251, 07000284, 07000285, 0700</t>
  </si>
  <si>
    <t>07000114</t>
  </si>
  <si>
    <t>071000059</t>
  </si>
  <si>
    <t>Fisher County DMP</t>
  </si>
  <si>
    <t>120500040607, 120500040704, 120500040801, 120500040802, 120500040803, 120500040805, 120500040806, 120500040807, 120500040901, 120601020102, 120601020103, 120601020104, 120601020105, 120601020106, 120601020201, 120601020202, 120601020203, 120601020204, 12</t>
  </si>
  <si>
    <t>071000095</t>
  </si>
  <si>
    <t>Fisher County GIS Development</t>
  </si>
  <si>
    <t>071000003</t>
  </si>
  <si>
    <t>Borden County Initial FEMA Mapping</t>
  </si>
  <si>
    <t>Borden</t>
  </si>
  <si>
    <t>12050004, 12080002, 12080006</t>
  </si>
  <si>
    <t>1205000403, 1205000404, 1205000405, 1208000201, 1208000202, 1208000203, 1208000204, 1208000205, 1208000206, 1208000207, 1208000608</t>
  </si>
  <si>
    <t>120500040306, 120500040308, 120500040406, 120500040501, 120500040503, 120500040504, 120800020108, 120800020109, 120800020202, 120800020203, 120800020204, 120800020304, 120800020305, 120800020306, 120800020401, 120800020402, 120800020403, 120800020404, 12</t>
  </si>
  <si>
    <t>07000041, 07000045, 07000046, 07000066, 07000078, 07000082</t>
  </si>
  <si>
    <t>00000115</t>
  </si>
  <si>
    <t>071000087</t>
  </si>
  <si>
    <t>Borden County GIS Development</t>
  </si>
  <si>
    <t>120500040306, 120500040308, 120500040406, 120500040501, 120500040503, 120500040504, 120800020108, 120800020109, 120800020202, 120800020203, 120800020204, 120800020304, 120800020305, 120800020306, 120800020401, 120800020402, 120800020403, 120800020404</t>
  </si>
  <si>
    <t>071000025</t>
  </si>
  <si>
    <t>Scurry County Update FEMA Mapping</t>
  </si>
  <si>
    <t>Scurry</t>
  </si>
  <si>
    <t>12050004, 12060102, 12080002</t>
  </si>
  <si>
    <t>1205000405, 1205000406, 1205000407, 1206010201, 1206010202, 1208000204, 1208000205, 1208000206, 1208000207, 1208000210</t>
  </si>
  <si>
    <t>120500040504, 120500040505, 120500040506, 120500040602, 120500040605, 120500040606, 120500040607, 120500040701, 120500040702, 120500040703, 120500040704, 120601020102, 120601020201, 120601020202, 120601020203, 120601020204, 120800020407, 120800020506, 12</t>
  </si>
  <si>
    <t>07000048, 07000049, 07000051, 07000052, 07000053, 07000054, 07000058, 07000066, 07000073, 07000074, 07000076, 07000238, 07000242, 07000243, 07000244, 07000245</t>
  </si>
  <si>
    <t>00000116</t>
  </si>
  <si>
    <t>071000070</t>
  </si>
  <si>
    <t>Scurry County DMP</t>
  </si>
  <si>
    <t>120500040504, 120500040505, 120500040506, 120500040602, 120500040605, 120500040606, 120500040607, 120500040701, 120500040702, 120500040703, 120500040704, 120601020102, 120601020201, 120601020202, 120601020203, 120601020204, 120800020407, 120800020506</t>
  </si>
  <si>
    <t>071000108</t>
  </si>
  <si>
    <t>Scurry County GIS Development</t>
  </si>
  <si>
    <t>071000092</t>
  </si>
  <si>
    <t>Dawson County GIS Development</t>
  </si>
  <si>
    <t>Dawson</t>
  </si>
  <si>
    <t>12050004, 12080002, 12080004, 12080006</t>
  </si>
  <si>
    <t>1205000403, 1208000201, 1208000202, 1208000203, 1208000204, 1208000205, 1208000406, 1208000407, 1208000605, 1208000606, 1208000607, 1208000608</t>
  </si>
  <si>
    <t>120500040305, 120500040306, 120800020102, 120800020105, 120800020106, 120800020107, 120800020108, 120800020109, 120800020201, 120800020202, 120800020203, 120800020301, 120800020302, 120800020303, 120800020304, 120800020305, 120800020306, 120800020401</t>
  </si>
  <si>
    <t>07000029, 07000078</t>
  </si>
  <si>
    <t>00000117</t>
  </si>
  <si>
    <t>071000004</t>
  </si>
  <si>
    <t>Callahan County Initial FEMA Mapping</t>
  </si>
  <si>
    <t>Callahan</t>
  </si>
  <si>
    <t>12060102, 12060105, 12070201, 12090107, 12090108</t>
  </si>
  <si>
    <t>1206010207, 1206010208, 1206010501, 1206010503, 1206010504, 1207020101, 1207020104, 1209010701, 1209010702, 1209010703, 1209010801</t>
  </si>
  <si>
    <t>120601020707, 120601020709, 120601020710, 120601020801, 120601020802, 120601020803, 120601050101, 120601050102, 120601050103, 120601050104, 120601050105, 120601050106, 120601050301, 120601050302, 120601050303, 120601050401, 120601050402, 120601050406, 12</t>
  </si>
  <si>
    <t>07000265, 07000266, 07000267, 07000275, 07000277, 07000278, 07000338, 07000339, 07000340, 07000341, 07000342, 07000344, 07000345, 07000347, 07000348, 07000352, 07000363, 07000365</t>
  </si>
  <si>
    <t>00000165</t>
  </si>
  <si>
    <t>071000032</t>
  </si>
  <si>
    <t>Callahan County DMP</t>
  </si>
  <si>
    <t>120601020707, 120601020709, 120601020710, 120601020801, 120601020802, 120601020803, 120601050101, 120601050102, 120601050103, 120601050104, 120601050105, 120601050106, 120601050301, 120601050302, 120601050303, 120601050401, 120601050402, 120601050406</t>
  </si>
  <si>
    <t>071000088</t>
  </si>
  <si>
    <t>Callahan County GIS Development</t>
  </si>
  <si>
    <t>071000019</t>
  </si>
  <si>
    <t>Eastland County Update FEMA Mapping</t>
  </si>
  <si>
    <t>Eastland</t>
  </si>
  <si>
    <t>12060105, 12060201, 12070201, 12090107</t>
  </si>
  <si>
    <t>1206010504, 1206010505, 1206020108, 1207020101, 1207020102, 1207020103, 1207020104, 1209010703</t>
  </si>
  <si>
    <t>120601050401, 120601050402, 120601050403, 120601050404, 120601050405, 120601050406, 120601050407, 120601050502, 120602010801, 120602010802, 120602010803, 120602010804, 120602010805, 120602010806, 120702010101, 120702010102, 120702010103, 120702010104</t>
  </si>
  <si>
    <t>07000347, 07000348, 07000349, 07000350, 07000351, 07000352, 07000353, 07000357</t>
  </si>
  <si>
    <t>00000167</t>
  </si>
  <si>
    <t>071000094</t>
  </si>
  <si>
    <t>Eastland County GIS Development</t>
  </si>
  <si>
    <t>120601050401, 120601050402, 120601050403, 120601050404, 120601050405, 120601050406, 120601050407, 120601050502, 120602010801, 120602010802, 120602010803, 120602010804, 120602010805, 120602010806, 120702010101, 120702010102, 120702010103, 120702010104, 12</t>
  </si>
  <si>
    <t>071000075</t>
  </si>
  <si>
    <t>Taylor County DMP</t>
  </si>
  <si>
    <t>Taylor</t>
  </si>
  <si>
    <t>12060102, 12090101, 12090107, 12090108</t>
  </si>
  <si>
    <t>1206010205, 1206010206, 1206010207, 1206010208, 1209010102, 1209010103, 1209010104, 1209010701, 1209010801</t>
  </si>
  <si>
    <t>120601020501, 120601020502, 120601020503, 120601020504, 120601020505, 120601020601, 120601020604, 120601020605, 120601020701, 120601020702, 120601020703, 120601020704, 120601020705, 120601020706, 120601020707, 120601020708, 120601020709, 120601020710, 12</t>
  </si>
  <si>
    <t>07000261, 07000263, 07000264, 07000267, 07000269, 07000270, 07000271, 07000272, 07000273, 07000274, 07000275, 07000276, 07000277, 07000278, 07000279, 07000280, 07000291, 07000292, 07000293, 07000294, 07000295</t>
  </si>
  <si>
    <t>00000168</t>
  </si>
  <si>
    <t>071000113</t>
  </si>
  <si>
    <t>Taylor County GIS Development</t>
  </si>
  <si>
    <t>071000024</t>
  </si>
  <si>
    <t>Nolan County Update FEMA Mapping</t>
  </si>
  <si>
    <t>Nolan</t>
  </si>
  <si>
    <t>12060102, 12080002, 12080008, 12090101</t>
  </si>
  <si>
    <t>1206010201, 1206010202, 1206010203, 1206010205, 1206010206, 1206010207, 1208000209, 1208000801, 1208000802, 1208000803, 1209010102</t>
  </si>
  <si>
    <t>120601020101, 120601020102, 120601020103, 120601020104, 120601020201, 120601020301, 120601020302, 120601020303, 120601020304, 120601020305, 120601020306, 120601020307, 120601020308, 120601020309, 120601020310, 120601020502, 120601020601, 120601020701, 12</t>
  </si>
  <si>
    <t>07000230, 07000233, 07000234, 07000235, 07000236, 07000237, 07000238, 07000239, 07000242, 07000246, 07000272, 07000282, 07000283, 07000284, 07000285, 07000286, 07000291, 07000295</t>
  </si>
  <si>
    <t>00000170</t>
  </si>
  <si>
    <t>071000068</t>
  </si>
  <si>
    <t>Nolan County DMP</t>
  </si>
  <si>
    <t>071000106</t>
  </si>
  <si>
    <t>Nolan County GIS Development</t>
  </si>
  <si>
    <t>071000067</t>
  </si>
  <si>
    <t>Mitchell County DMP</t>
  </si>
  <si>
    <t>Mitchell</t>
  </si>
  <si>
    <t>12060102, 12080002, 12080007, 12080008</t>
  </si>
  <si>
    <t>1206010201, 1206010202, 1208000206, 1208000207, 1208000208, 1208000209, 1208000210, 1208000701, 1208000702, 1208000801, 1208000802</t>
  </si>
  <si>
    <t>120601020101, 120601020201, 120800020606, 120800020607, 120800020701, 120800020703, 120800020704, 120800020706, 120800020804, 120800020805, 120800020806, 120800020807, 120800020902, 120800020903, 120800021001, 120800021002, 120800021003, 120800021004, 12</t>
  </si>
  <si>
    <t>07000236, 07000242</t>
  </si>
  <si>
    <t>00000172</t>
  </si>
  <si>
    <t>071000105</t>
  </si>
  <si>
    <t>Mitchell County GIS Development</t>
  </si>
  <si>
    <t>071000016</t>
  </si>
  <si>
    <t>Stonewall County Initial FEMA Mapping</t>
  </si>
  <si>
    <t>Stonewall</t>
  </si>
  <si>
    <t>12050004, 12050007, 12060101, 12060103</t>
  </si>
  <si>
    <t>1205000408, 1205000409, 1205000705, 1205000706, 1205000707, 1206010101, 1206010102, 1206010301, 1206010302</t>
  </si>
  <si>
    <t>120500040801, 120500040802, 120500040803, 120500040804, 120500040805, 120500040806, 120500040807, 120500040901, 120500040902, 120500040903, 120500040904, 120500040905, 120500040906, 120500040907, 120500070506, 120500070507, 120500070508, 120500070606, 12</t>
  </si>
  <si>
    <t>07000055, 07000056, 07000057, 07000059, 07000060, 07000061, 07000062, 07000063, 07000064, 07000065, 07000067, 07000068, 07000069, 07000083, 07000119, 07000122, 07000126, 07000129, 07000130, 07000132, 07000134, 07000136, 07000140, 07000141, 07000142, 0700</t>
  </si>
  <si>
    <t>07000179</t>
  </si>
  <si>
    <t>071000073</t>
  </si>
  <si>
    <t>Stonewall County DMP</t>
  </si>
  <si>
    <t>071000111</t>
  </si>
  <si>
    <t>Stonewall County GIS Development</t>
  </si>
  <si>
    <t>071000021</t>
  </si>
  <si>
    <t>Haskell County Update FEMA Mapping</t>
  </si>
  <si>
    <t>Haskell</t>
  </si>
  <si>
    <t>12050004, 12060101, 12060102, 12060103</t>
  </si>
  <si>
    <t>1205000409, 1206010102, 1206010103, 1206010104, 1206010105, 1206010209, 1206010302, 1206010303, 1206010304</t>
  </si>
  <si>
    <t>120500040903, 120500040904, 120500040906, 120500040907, 120601010201, 120601010203, 120601010206, 120601010301, 120601010302, 120601010303, 120601010304, 120601010401, 120601010402, 120601010404, 120601010405, 120601010501, 120601010502, 120601010503, 12</t>
  </si>
  <si>
    <t>07000062, 07000063, 07000069, 07000083, 07000174, 07000177, 07000178, 07000180, 07000184, 07000185, 07000186, 07000187, 07000190, 07000198, 07000203, 07000204, 07000207, 07000210, 07000211, 07000212, 07000259, 07000260, 07000296, 07000297, 07000298, 0700</t>
  </si>
  <si>
    <t>07000180</t>
  </si>
  <si>
    <t>071000061</t>
  </si>
  <si>
    <t>Haskell County DMP</t>
  </si>
  <si>
    <t>071000098</t>
  </si>
  <si>
    <t>Haskell County GIS Development</t>
  </si>
  <si>
    <t>071000010</t>
  </si>
  <si>
    <t>Kent County Initial FEMA Mapping</t>
  </si>
  <si>
    <t>Kent</t>
  </si>
  <si>
    <t>12050003, 12050004, 12050006, 12050007</t>
  </si>
  <si>
    <t>1205000305, 1205000405, 1205000406, 1205000407, 1205000408, 1205000605, 1205000701, 1205000702, 1205000704, 1205000705, 1205000706, 1205000707</t>
  </si>
  <si>
    <t>120500030506, 120500040505, 120500040506, 120500040507, 120500040601, 120500040602, 120500040603, 120500040604, 120500040605, 120500040606, 120500040607, 120500040702, 120500040801, 120500040803, 120500060505, 120500060506, 120500070110, 120500070201, 12</t>
  </si>
  <si>
    <t>07000001, 07000048, 07000049, 07000050, 07000051, 07000054, 07000059, 07000060, 07000071, 07000072, 07000073, 07000074, 07000075, 07000076, 07000097, 07000098, 07000120, 07000121, 07000122, 07000123, 07000124, 07000125, 07000126, 07000129, 07000130, 0700</t>
  </si>
  <si>
    <t>07000181</t>
  </si>
  <si>
    <t>071000063</t>
  </si>
  <si>
    <t>Kent County DMP</t>
  </si>
  <si>
    <t>071000100</t>
  </si>
  <si>
    <t>Kent County GIS Development</t>
  </si>
  <si>
    <t>071000030</t>
  </si>
  <si>
    <t>Throckmorton County Update FEMA Mapping</t>
  </si>
  <si>
    <t>Throckmorton</t>
  </si>
  <si>
    <t>12060101, 12060102, 12060103, 12060104</t>
  </si>
  <si>
    <t>1206010105, 1206010107, 1206010108, 1206010109, 1206010209, 1206010303, 1206010304, 1206010401, 1206010402</t>
  </si>
  <si>
    <t>120601010502, 120601010503, 120601010504, 120601010505, 120601010507, 120601010701, 120601010702, 120601010703, 120601010704, 120601010705, 120601010706, 120601010802, 120601010803, 120601010804, 120601010805, 120601010806, 120601010807, 120601010808, 12</t>
  </si>
  <si>
    <t>07000176, 07000185, 07000186, 07000187, 07000188, 07000189, 07000201, 07000202, 07000208, 07000209, 07000213, 07000214, 07000215, 07000216, 07000217, 07000218, 07000219, 07000220, 07000221, 07000224, 07000225, 07000260, 07000296, 07000304, 07000305, 0700</t>
  </si>
  <si>
    <t>07000182</t>
  </si>
  <si>
    <t>071000076</t>
  </si>
  <si>
    <t>Throckmorton County DMP</t>
  </si>
  <si>
    <t>071000115</t>
  </si>
  <si>
    <t>Throckmorton County GIS Development</t>
  </si>
  <si>
    <t>071000009</t>
  </si>
  <si>
    <t>Garza County Initial FEMA Mapping</t>
  </si>
  <si>
    <t>Garza</t>
  </si>
  <si>
    <t>12050003, 12050004, 12050006, 12050007, 12080002</t>
  </si>
  <si>
    <t>1205000302, 1205000303, 1205000304, 1205000305, 1205000402, 1205000403, 1205000404, 1205000405, 1205000605, 1205000701, 1208000205</t>
  </si>
  <si>
    <t>120500030203, 120500030308, 120500030403, 120500030501, 120500030502, 120500030503, 120500030504, 120500030505, 120500030506, 120500040210, 120500040308, 120500040402, 120500040403, 120500040404, 120500040405, 120500040406, 120500040501, 120500040502, 12</t>
  </si>
  <si>
    <t>07000001, 07000006, 07000011, 07000015, 07000016, 07000017, 07000018, 07000019, 07000022, 07000038, 07000041, 07000042, 07000043, 07000044, 07000045, 07000046, 07000066, 07000071, 07000073, 07000074, 07000077, 07000082, 07000084, 07000097, 07000098, 0700</t>
  </si>
  <si>
    <t>00000183</t>
  </si>
  <si>
    <t>071000060</t>
  </si>
  <si>
    <t>Garza County DMP</t>
  </si>
  <si>
    <t>071000097</t>
  </si>
  <si>
    <t>Garza County GIS Development</t>
  </si>
  <si>
    <t>071000014</t>
  </si>
  <si>
    <t>Lynn County Initial FEMA Mapping</t>
  </si>
  <si>
    <t>Lynn</t>
  </si>
  <si>
    <t>12050003, 12050004, 12080001, 12080002</t>
  </si>
  <si>
    <t>1205000302, 1205000304, 1205000401, 1205000402, 1205000403, 1205000404, 1208000103, 1208000105, 1208000201, 1208000203, 1208000205</t>
  </si>
  <si>
    <t>120500030203, 120500030401, 120500030402, 120500030403, 120500040104, 120500040206, 120500040207, 120500040208, 120500040209, 120500040210, 120500040301, 120500040302, 120500040303, 120500040304, 120500040305, 120500040306, 120500040307, 120500040308, 12</t>
  </si>
  <si>
    <t>07000006, 07000011, 07000012, 07000014, 07000025, 07000028, 07000029, 07000030, 07000031, 07000032, 07000033, 07000037, 07000038, 07000039, 07000040, 07000043, 07000070, 07000077, 07000078, 07000081, 07000082</t>
  </si>
  <si>
    <t>00000184</t>
  </si>
  <si>
    <t>071000066</t>
  </si>
  <si>
    <t>Lynn County DMP</t>
  </si>
  <si>
    <t>071000104</t>
  </si>
  <si>
    <t>Lynn County GIS Development</t>
  </si>
  <si>
    <t>071000083</t>
  </si>
  <si>
    <t>Young County DMP</t>
  </si>
  <si>
    <t>Young</t>
  </si>
  <si>
    <t>11130209, 12030101, 12060101, 12060104, 12060201</t>
  </si>
  <si>
    <t>1113020902, 1203010101, 1206010107, 1206010108, 1206010109, 1206010402, 1206010403, 1206020101, 1206020102, 1206020105</t>
  </si>
  <si>
    <t>111302090201, 120301010101, 120301010102, 120301010103, 120301010104, 120301010105, 120601010706, 120601010707, 120601010806, 120601010807, 120601010809, 120601010810, 120601010811, 120601010901, 120601010902, 120601010903, 120601010904, 120601010905, 12</t>
  </si>
  <si>
    <t>07000172, 07000214, 07000216, 07000220, 07000221, 07000222, 07000223, 07000224, 07000225, 07000226, 07000227, 07000228, 07000229, 07000323, 07000330, 07000332, 07000333</t>
  </si>
  <si>
    <t>071000022</t>
  </si>
  <si>
    <t>Hockley County Update FEMA Mapping</t>
  </si>
  <si>
    <t>Hockley</t>
  </si>
  <si>
    <t>12050001, 12050003, 12050004, 12080001</t>
  </si>
  <si>
    <t>1205000108, 1205000109, 1205000110, 1205000111, 1205000112, 1205000113, 1205000301, 1205000302, 1205000401, 1205000402, 1208000103, 1208000104</t>
  </si>
  <si>
    <t>120500010804, 120500010805, 120500010904, 120500010905, 120500010906, 120500011003, 120500011004, 120500011005, 120500011006, 120500011101, 120500011102, 120500011107, 120500011201, 120500011202, 120500011203, 120500011301, 120500011302, 120500011303, 12</t>
  </si>
  <si>
    <t>07000003, 07000020, 07000023, 07000025, 07000026, 07000027, 07000034, 07000035, 07000036, 07000037, 07000047, 07000079, 07000080, 07000368, 07000369, 07000370, 07000373, 07000374, 07000375, 07000376, 07000377, 07000379, 07000380, 07000381, 07000382, 0700</t>
  </si>
  <si>
    <t>00000186</t>
  </si>
  <si>
    <t>071000099</t>
  </si>
  <si>
    <t>Hockley County GIS Development</t>
  </si>
  <si>
    <t>071000005</t>
  </si>
  <si>
    <t>Cochran County Initial FEMA Mapping</t>
  </si>
  <si>
    <t>Cochran</t>
  </si>
  <si>
    <t>12050001, 12050004, 12080001</t>
  </si>
  <si>
    <t>1205000106, 1205000107, 1205000108, 1205000109, 1205000401, 1208000101, 1208000102, 1208000103, 1208000104</t>
  </si>
  <si>
    <t>120500010606, 120500010607, 120500010611, 120500010702, 120500010803, 120500010804, 120500010805, 120500010901, 120500010902, 120500010903, 120500010904, 120500010905, 120500010906, 120500040101, 120800010106, 120800010107, 120800010108, 120800010109, 12</t>
  </si>
  <si>
    <t>07000034, 07000385, 07000389, 07000390, 07000391, 07000392, 07000395, 07000397, 07000400, 07000403, 07000404, 07000405, 07000406, 07000410</t>
  </si>
  <si>
    <t>00000187</t>
  </si>
  <si>
    <t>071000057</t>
  </si>
  <si>
    <t>Cochran County DMP</t>
  </si>
  <si>
    <t>Identify bridge and culvert crossings damaged by past flooding events. Create a GIS map and assessment condition report for each structure.</t>
  </si>
  <si>
    <t>071000090</t>
  </si>
  <si>
    <t>Cochran County GIS Development</t>
  </si>
  <si>
    <t>071000020</t>
  </si>
  <si>
    <t>Floyd County Update FEMA Mapping</t>
  </si>
  <si>
    <t>11130103, 11130104, 12050005, 12050006, 12050007</t>
  </si>
  <si>
    <t>1113010301, 1113010302, 1113010303, 1113010401, 1113010402, 1205000505, 1205000601, 1205000603, 1205000703</t>
  </si>
  <si>
    <t>111301030104, 111301030106, 111301030201, 111301030202, 111301030203, 111301030204, 111301030205, 111301030206, 111301030207, 111301030208, 111301030209, 111301030301, 111301030302, 111301030303, 111301040101, 111301040102, 111301040103, 111301040104, 11</t>
  </si>
  <si>
    <t>07000091, 07000095, 07000096, 07000103, 07000109, 07000110, 07000111, 07000112, 07000152, 07000442, 07000450, 07000461, 07000462</t>
  </si>
  <si>
    <t>071000096</t>
  </si>
  <si>
    <t>Floyd County GIS Development</t>
  </si>
  <si>
    <t>071000013</t>
  </si>
  <si>
    <t>Lamb County Initial FEMA Mapping</t>
  </si>
  <si>
    <t>Lamb</t>
  </si>
  <si>
    <t>12050001, 12050002, 12050005, 12050006</t>
  </si>
  <si>
    <t>1205000105, 1205000108, 1205000110, 1205000111, 1205000113, 1205000204, 1205000205, 1205000502, 1205000601, 1205000602</t>
  </si>
  <si>
    <t>120500010507, 120500010805, 120500011001, 120500011002, 120500011003, 120500011005, 120500011006, 120500011101, 120500011102, 120500011103, 120500011104, 120500011105, 120500011106, 120500011107, 120500011301, 120500011302, 120500020404, 120500020406, 12</t>
  </si>
  <si>
    <t>07000099, 07000100, 07000101, 07000102, 07000104, 07000367, 07000368, 07000369, 07000370, 07000371, 07000372, 07000373, 07000374, 07000377, 07000382, 07000387, 07000388, 07000401, 07000407, 07000408, 07000410, 07000414, 07000417, 07000418, 07000419, 0700</t>
  </si>
  <si>
    <t>07000201</t>
  </si>
  <si>
    <t>071000065</t>
  </si>
  <si>
    <t>Lamb County DMP</t>
  </si>
  <si>
    <t>071000103</t>
  </si>
  <si>
    <t>Lamb County GIS Development</t>
  </si>
  <si>
    <t>071000001</t>
  </si>
  <si>
    <t>Bailey County Initial FEMA Mapping</t>
  </si>
  <si>
    <t>Bailey</t>
  </si>
  <si>
    <t>12050001, 12050002</t>
  </si>
  <si>
    <t>1205000105, 1205000106, 1205000107, 1205000108, 1205000110, 1205000111, 1205000201, 1205000202, 1205000203, 1205000204</t>
  </si>
  <si>
    <t>120500010504, 120500010505, 120500010506, 120500010507, 120500010610, 120500010611, 120500010701, 120500010702, 120500010703, 120500010704, 120500010801, 120500010802, 120500010803, 120500010805, 120500011001, 120500011002, 120500011006, 120500011103, 12</t>
  </si>
  <si>
    <t>07000369, 07000383, 07000384, 07000387, 07000388, 07000390, 07000393, 07000394, 07000396, 07000397, 07000398, 07000399, 07000402, 07000406, 07000407, 07000408, 07000409, 07000410, 07000411, 07000412, 07000413, 07000414, 07000418, 07000425, 07000426, 0700</t>
  </si>
  <si>
    <t>07000202</t>
  </si>
  <si>
    <t>071000085</t>
  </si>
  <si>
    <t>Bailey County GIS Development</t>
  </si>
  <si>
    <t>071000029</t>
  </si>
  <si>
    <t>Terry County Update FEMA Mapping</t>
  </si>
  <si>
    <t>Terry</t>
  </si>
  <si>
    <t>12050004, 12080001, 12080002, 12080004, 12080006</t>
  </si>
  <si>
    <t>1205000401, 1208000103, 1208000104, 1208000105, 1208000201, 1208000203, 1208000404, 1208000406, 1208000407, 1208000603, 1208000604, 1208000605</t>
  </si>
  <si>
    <t>120500040103, 120500040104, 120800010305, 120800010306, 120800010307, 120800010308, 120800010309, 120800010310, 120800010404, 120800010405, 120800010406, 120800010407, 120800010408, 120800010409, 120800010501, 120800010502, 120800010503, 120800020101, 12</t>
  </si>
  <si>
    <t>07000025, 07000027</t>
  </si>
  <si>
    <t>00000205</t>
  </si>
  <si>
    <t>071000114</t>
  </si>
  <si>
    <t>Terry County GIS Development</t>
  </si>
  <si>
    <t>071000012</t>
  </si>
  <si>
    <t>Knox County Initial FEMA Mapping</t>
  </si>
  <si>
    <t>11130204, 11130205, 11130206, 12060101</t>
  </si>
  <si>
    <t>1113020402, 1113020403, 1113020502, 1113020601, 1206010102, 1206010103, 1206010104, 1206010105, 1206010106</t>
  </si>
  <si>
    <t>111302040206, 111302040301, 111302040302, 111302040303, 111302040304, 111302040305, 111302040306, 111302050204, 111302050205, 111302050206, 111302050207, 111302050208, 111302060103, 120601010202, 120601010203, 120601010204, 120601010205, 120601010206, 12</t>
  </si>
  <si>
    <t>07000174, 07000178, 07000179, 07000180, 07000181, 07000182, 07000183, 07000185, 07000187, 07000190, 07000192, 07000200, 07000203, 07000204, 07000205, 07000206, 07000211, 07000212</t>
  </si>
  <si>
    <t>071000064</t>
  </si>
  <si>
    <t>Knox County DMP</t>
  </si>
  <si>
    <t>071000102</t>
  </si>
  <si>
    <t>Knox County GIS Development</t>
  </si>
  <si>
    <t>071000116</t>
  </si>
  <si>
    <t>Lake Benjamin Dam Evaluation</t>
  </si>
  <si>
    <t>Perform full H&amp;H analysis and dam assessment of Lake Benjamin Dam. Assess needs for slope stability and spillway improvements.</t>
  </si>
  <si>
    <t>071000011</t>
  </si>
  <si>
    <t>King County Initial FEMA Mapping</t>
  </si>
  <si>
    <t>11130204, 11130205, 12050007, 12060101</t>
  </si>
  <si>
    <t>1113020401, 1113020402, 1113020501, 1113020502, 1205000707, 1206010101, 1206010102</t>
  </si>
  <si>
    <t>111302040102, 111302040103, 111302040104, 111302040108, 111302040204, 111302040205, 111302040206, 111302050102, 111302050103, 111302050104, 111302050105, 111302050106, 111302050107, 111302050201, 111302050202, 111302050203, 111302050204, 120500070702, 12</t>
  </si>
  <si>
    <t>07000136, 07000140, 07000141, 07000175, 07000193, 07000194, 07000195, 07000196, 07000197, 07000200, 07000203, 07000205, 07000206</t>
  </si>
  <si>
    <t>071000101</t>
  </si>
  <si>
    <t>King County GIS Development</t>
  </si>
  <si>
    <t>071000007</t>
  </si>
  <si>
    <t>Dickens County Initial FEMA Mapping</t>
  </si>
  <si>
    <t>11130104, 11130204, 11130205, 12050006, 12050007, 12060101</t>
  </si>
  <si>
    <t>1113010402, 1113010403, 1113020401, 1113020501, 1205000605, 1205000702, 1205000703, 1205000704, 1205000706, 1205000707, 1206010101</t>
  </si>
  <si>
    <t>111301040202, 111301040203, 111301040206, 111301040207, 111301040208, 111301040209, 111301040210, 111301040301, 111301040303, 111302040101, 111302040102, 111302050101, 111302050102, 111302050103, 111302050105, 120500060501, 120500060505, 120500070202, 12</t>
  </si>
  <si>
    <t>07000097, 07000116, 07000124, 07000127, 07000128, 07000131, 07000133, 07000134, 07000135, 07000136, 07000152, 07000154, 07000155, 07000160, 07000161, 07000162, 07000163, 07000164, 07000165, 07000166, 07000167, 07000175</t>
  </si>
  <si>
    <t>071000058</t>
  </si>
  <si>
    <t>Dickens County DMP</t>
  </si>
  <si>
    <t>071000093</t>
  </si>
  <si>
    <t>Dickens County GIS Development</t>
  </si>
  <si>
    <t>071000002</t>
  </si>
  <si>
    <t>Baylor County Initial FEMA Mapping</t>
  </si>
  <si>
    <t>11130204, 11130206, 11130207, 11130209, 12060101</t>
  </si>
  <si>
    <t>1113020403, 1113020601, 1113020602, 1113020603, 1113020702, 1113020704, 1113020901, 1206010103, 1206010104, 1206010105, 1206010106, 1206010108</t>
  </si>
  <si>
    <t>111302040306, 111302060101, 111302060102, 111302060103, 111302060104, 111302060105, 111302060106, 111302060107, 111302060108, 111302060201, 111302060202, 111302060203, 111302060302, 111302070201, 111302070202, 111302070401, 111302090101, 111302090102, 11</t>
  </si>
  <si>
    <t>07000173, 07000176, 07000183, 07000187, 07000188, 07000189, 07000190, 07000191, 07000192, 07000199, 07000212, 07000215, 07000218, 07000224</t>
  </si>
  <si>
    <t>071000031</t>
  </si>
  <si>
    <t>Baylor County DMP</t>
  </si>
  <si>
    <t>071000086</t>
  </si>
  <si>
    <t>Baylor County GIS Development</t>
  </si>
  <si>
    <t>071000006</t>
  </si>
  <si>
    <t>Crosby County Initial FEMA Mapping</t>
  </si>
  <si>
    <t>Crosby</t>
  </si>
  <si>
    <t>11130104, 12050003, 12050006, 12050007</t>
  </si>
  <si>
    <t>1113010402, 1205000302, 1205000303, 1205000305, 1205000603, 1205000604, 1205000605, 1205000701, 1205000702, 1205000703, 1205000704</t>
  </si>
  <si>
    <t>111301040202, 120500030203, 120500030305, 120500030306, 120500030307, 120500030308, 120500030501, 120500060303, 120500060304, 120500060305, 120500060307, 120500060308, 120500060401, 120500060402, 120500060403, 120500060404, 120500060405, 120500060501, 12</t>
  </si>
  <si>
    <t>07000006, 07000010, 07000013, 07000016, 07000021, 07000022, 07000087, 07000088, 07000089, 07000091, 07000097, 07000098, 07000108, 07000110, 07000111, 07000112, 07000113, 07000114, 07000115, 07000116, 07000117, 07000118, 07000147, 07000151, 07000152, 0700</t>
  </si>
  <si>
    <t>00000221</t>
  </si>
  <si>
    <t>071000091</t>
  </si>
  <si>
    <t>Crosby County GIS Development</t>
  </si>
  <si>
    <t>071000118</t>
  </si>
  <si>
    <t>John Montford Dam Evaluation</t>
  </si>
  <si>
    <t>Access the current condition of the intake tower, bridge and structure at John Montford Dam. Evaluate the seepage through the Dam.</t>
  </si>
  <si>
    <t>Lubbock</t>
  </si>
  <si>
    <t>12050001, 12050002, 12050003, 12050004, 12050006, 12050007</t>
  </si>
  <si>
    <t>1205000112, 1205000113, 1205000205, 1205000301, 1205000302, 1205000303, 1205000304, 1205000401, 1205000402, 1205000603, 1205000604, 1205000701</t>
  </si>
  <si>
    <t>120500011203, 120500011302, 120500011303, 120500011304, 120500011305, 120500020506, 120500020507, 120500020508, 120500030101, 120500030102, 120500030103, 120500030104, 120500030201, 120500030202, 120500030203, 120500030301, 120500030302, 120500030303, 12</t>
  </si>
  <si>
    <t>07000002, 07000003, 07000004, 07000005, 07000006, 07000007, 07000008, 07000009, 07000010, 07000011, 07000012, 07000014, 07000020, 07000021, 07000023, 07000024, 07000025, 07000028, 07000037, 07000091, 07000114, 07000170, 07000376, 07000377, 07000378, 0700</t>
  </si>
  <si>
    <t>07000222</t>
  </si>
  <si>
    <t>071000084</t>
  </si>
  <si>
    <t>Archer County GIS Development</t>
  </si>
  <si>
    <t>11130206, 11130209, 12030101, 12060101, 12060201</t>
  </si>
  <si>
    <t>1113020602, 1113020603, 1113020604, 1113020901, 1113020902, 1113020903, 1113020905, 1203010101, 1206010108, 1206020101</t>
  </si>
  <si>
    <t>111302060203, 111302060204, 111302060301, 111302060302, 111302060303, 111302060304, 111302060401, 111302060405, 111302090102, 111302090103, 111302090104, 111302090105, 111302090106, 111302090107, 111302090201, 111302090202, 111302090203, 111302090204, 11</t>
  </si>
  <si>
    <t>07000224, 07000225</t>
  </si>
  <si>
    <t>071000028</t>
  </si>
  <si>
    <t>Swisher County Update FEMA Mapping</t>
  </si>
  <si>
    <t>11120103, 11120104, 11130103, 12050005</t>
  </si>
  <si>
    <t>1112010302, 1112010303, 1112010402, 1112010403, 1112010404, 1112010405, 1112010406, 1113010302, 1205000504, 1205000505</t>
  </si>
  <si>
    <t>111201030201, 111201030202, 111201030203, 111201030204, 111201030206, 111201030207, 111201030302, 111201030303, 111201040203, 111201040204, 111201040205, 111201040206, 111201040302, 111201040303, 111201040304, 111201040305, 111201040306, 111201040401, 11</t>
  </si>
  <si>
    <t>07000440, 07000442, 07000446, 07000458, 07000463</t>
  </si>
  <si>
    <t>071000074</t>
  </si>
  <si>
    <t>Swisher County DMP</t>
  </si>
  <si>
    <t>Evaluate the TxDOT low water crossings county-wide</t>
  </si>
  <si>
    <t>071000112</t>
  </si>
  <si>
    <t>Swisher County GIS Development</t>
  </si>
  <si>
    <t>071000017</t>
  </si>
  <si>
    <t>Castro County Update FEMA Mapping</t>
  </si>
  <si>
    <t>11120101, 11120104, 12050002, 12050005, 12050006</t>
  </si>
  <si>
    <t>1112010104, 1112010105, 1112010401, 1112010402, 1112010403, 1112010404, 1205000204, 1205000502, 1205000503, 1205000504, 1205000602</t>
  </si>
  <si>
    <t>111201010406, 111201010407, 111201010505, 111201040101, 111201040102, 111201040103, 111201040104, 111201040105, 111201040201, 111201040202, 111201040203, 111201040204, 111201040301, 111201040302, 111201040303, 111201040304, 111201040401, 111201040402, 12</t>
  </si>
  <si>
    <t>07000101, 07000104, 07000420, 07000430, 07000441, 07000443, 07000445, 07000446, 07000448, 07000454, 07000455, 07000456, 07000457, 07000458, 07000460, 07000465, 07000466</t>
  </si>
  <si>
    <t>071000033</t>
  </si>
  <si>
    <t>Castro County DMP</t>
  </si>
  <si>
    <t>071000089</t>
  </si>
  <si>
    <t>Castro County GIS Development</t>
  </si>
  <si>
    <t>071000015</t>
  </si>
  <si>
    <t>Parmer County Initial FEMA Mapping</t>
  </si>
  <si>
    <t>11120101, 11120104, 12050002, 12050005</t>
  </si>
  <si>
    <t>1112010102, 1112010103, 1112010104, 1112010105, 1112010401, 1205000202, 1205000203, 1205000204, 1205000501, 1205000502, 1205000503</t>
  </si>
  <si>
    <t>111201010201, 111201010204, 111201010307, 111201010401, 111201010402, 111201010403, 111201010404, 111201010405, 111201010406, 111201010407, 111201010504, 111201010505, 111201040102, 120500020201, 120500020202, 120500020203, 120500020204, 120500020302, 12</t>
  </si>
  <si>
    <t>07000411, 07000412, 07000425, 07000426, 07000427, 07000428, 07000429, 07000430, 07000431, 07000433, 07000437, 07000438, 07000439, 07000444, 07000452, 07000453, 07000454, 07000459, 07000464, 07000465, 07000467, 07000468</t>
  </si>
  <si>
    <t>071000069</t>
  </si>
  <si>
    <t>Parmer County DMP</t>
  </si>
  <si>
    <t>071000107</t>
  </si>
  <si>
    <t>Parmer County GIS Development</t>
  </si>
  <si>
    <t>071000050</t>
  </si>
  <si>
    <t>City of Spur DMP</t>
  </si>
  <si>
    <t>Emulate the City of Spur storm infrastructure. Determine level of service, recommend improvements.</t>
  </si>
  <si>
    <t>12050007</t>
  </si>
  <si>
    <t>1205000704</t>
  </si>
  <si>
    <t>120500070404, 120500070405, 120500070406</t>
  </si>
  <si>
    <t>07000154, 07000166, 07000167</t>
  </si>
  <si>
    <t>07002387</t>
  </si>
  <si>
    <t>071000018</t>
  </si>
  <si>
    <t>City of Abilene Update FEMA Mapping</t>
  </si>
  <si>
    <t>Update City of Abilene models to modern software, update FEMA maps</t>
  </si>
  <si>
    <t>12060102</t>
  </si>
  <si>
    <t>1206010207, 1206010208</t>
  </si>
  <si>
    <t>120601020704, 120601020705, 120601020706, 120601020707, 120601020708, 120601020709, 120601020710, 120601020711, 120601020712, 120601020803, 120601020804</t>
  </si>
  <si>
    <t>07000250, 07000267, 07000270, 07000271, 07000274, 07000275, 07000276, 07000277, 07000278, 07000279, 07000280</t>
  </si>
  <si>
    <t>07002425</t>
  </si>
  <si>
    <t>071000036</t>
  </si>
  <si>
    <t>City of Anson DMP</t>
  </si>
  <si>
    <t>Evaluate city to identify future projects, analyze roads/stream crossing for emergency response vehicles to high hazard areas</t>
  </si>
  <si>
    <t>12060103</t>
  </si>
  <si>
    <t>1206010303</t>
  </si>
  <si>
    <t>120601030301</t>
  </si>
  <si>
    <t>07000299</t>
  </si>
  <si>
    <t>07002478</t>
  </si>
  <si>
    <t>071000047</t>
  </si>
  <si>
    <t>City of Roscoe DMP</t>
  </si>
  <si>
    <t>1206010201, 1206010203</t>
  </si>
  <si>
    <t>120601020101, 120601020302, 120601020303</t>
  </si>
  <si>
    <t>07000233, 07000235, 07000236</t>
  </si>
  <si>
    <t>07002582</t>
  </si>
  <si>
    <t>071000052</t>
  </si>
  <si>
    <t>City of Sweetwater DMP</t>
  </si>
  <si>
    <t>1206010203</t>
  </si>
  <si>
    <t>120601020302, 120601020303, 120601020304</t>
  </si>
  <si>
    <t>07000233, 07000234, 07000235</t>
  </si>
  <si>
    <t>07002583</t>
  </si>
  <si>
    <t>071000053</t>
  </si>
  <si>
    <t>City of Tahoka DMP</t>
  </si>
  <si>
    <t>Evaluate City of Tahoka for a Storm Water Master Plan, flood ordinances, and policies.</t>
  </si>
  <si>
    <t>12050004</t>
  </si>
  <si>
    <t>1205000403</t>
  </si>
  <si>
    <t>120500040304</t>
  </si>
  <si>
    <t>07000033</t>
  </si>
  <si>
    <t>07002649</t>
  </si>
  <si>
    <t>071000079</t>
  </si>
  <si>
    <t>Town of Megargel DMP</t>
  </si>
  <si>
    <t>Evaluate town to identify future projects, analyze roads/stream crossing for emergency response vehicles to high hazard areas. Evaluate the storm drain system for capacity and functionality.</t>
  </si>
  <si>
    <t>11130209, 12060101</t>
  </si>
  <si>
    <t>1113020901, 1206010108</t>
  </si>
  <si>
    <t>111302090105, 120601010806</t>
  </si>
  <si>
    <t>07000224</t>
  </si>
  <si>
    <t>071000037</t>
  </si>
  <si>
    <t>City of Clyde DMP</t>
  </si>
  <si>
    <t>12060102, 12090107</t>
  </si>
  <si>
    <t>1206010208, 1209010701</t>
  </si>
  <si>
    <t>120601020801, 120901070101</t>
  </si>
  <si>
    <t>07000265</t>
  </si>
  <si>
    <t>00002754</t>
  </si>
  <si>
    <t>071000043</t>
  </si>
  <si>
    <t>City of Munday DMP</t>
  </si>
  <si>
    <t>12060101</t>
  </si>
  <si>
    <t>1206010104</t>
  </si>
  <si>
    <t>120601010405</t>
  </si>
  <si>
    <t>07000174</t>
  </si>
  <si>
    <t>07002758</t>
  </si>
  <si>
    <t>071000117</t>
  </si>
  <si>
    <t>Canal Street Study</t>
  </si>
  <si>
    <t>H&amp;H Study to review drainage problems on Canal Street, Knox City to determine mitigation efforts to reduce flooding.</t>
  </si>
  <si>
    <t>120601010402</t>
  </si>
  <si>
    <t>07000178</t>
  </si>
  <si>
    <t>07002772</t>
  </si>
  <si>
    <t>071000046</t>
  </si>
  <si>
    <t>City of Post DMP</t>
  </si>
  <si>
    <t>12050003</t>
  </si>
  <si>
    <t>1205000305</t>
  </si>
  <si>
    <t>120500030502, 120500030503</t>
  </si>
  <si>
    <t>07000015, 07000017</t>
  </si>
  <si>
    <t>07002779</t>
  </si>
  <si>
    <t>071000077</t>
  </si>
  <si>
    <t>Town of Aspermont DMP</t>
  </si>
  <si>
    <t>Evaluate town to identify future projects, analyze roads/stream crossing for emergency response vehicles to high hazard areas</t>
  </si>
  <si>
    <t>12050004, 12050007</t>
  </si>
  <si>
    <t>1205000409, 1205000707</t>
  </si>
  <si>
    <t>120500040905, 120500070706, 120500070707</t>
  </si>
  <si>
    <t>07000068, 07000119, 07000143</t>
  </si>
  <si>
    <t>07002782</t>
  </si>
  <si>
    <t>071000080</t>
  </si>
  <si>
    <t>Town of Rochester DMP</t>
  </si>
  <si>
    <t>120601010401</t>
  </si>
  <si>
    <t>07000177</t>
  </si>
  <si>
    <t>07002899</t>
  </si>
  <si>
    <t>071000048</t>
  </si>
  <si>
    <t>City of Seymour DMP</t>
  </si>
  <si>
    <t>Evaluate city to analyze roads/stream crossing for emergency response vehicles to high hazard areas. Evaluate city storm infrastructure for deficiencies.</t>
  </si>
  <si>
    <t>11130206, 12060101</t>
  </si>
  <si>
    <t>1113020601, 1206010106</t>
  </si>
  <si>
    <t>111302060104, 111302060106, 120601010602</t>
  </si>
  <si>
    <t>07000191</t>
  </si>
  <si>
    <t>071000035</t>
  </si>
  <si>
    <t>City of Amherst DMP</t>
  </si>
  <si>
    <t>Evaluate City of Amherst for a Storm Water Master Plan.</t>
  </si>
  <si>
    <t>12050001</t>
  </si>
  <si>
    <t>1205000111</t>
  </si>
  <si>
    <t>120500011103, 120500011104</t>
  </si>
  <si>
    <t>07000367, 07000387</t>
  </si>
  <si>
    <t>07002968</t>
  </si>
  <si>
    <t>071000038</t>
  </si>
  <si>
    <t>City of Earth DMP</t>
  </si>
  <si>
    <t>Evaluate City of Earth for a Storm Water Master Plan, flood ordinances, and policies.</t>
  </si>
  <si>
    <t>12050002</t>
  </si>
  <si>
    <t>1205000204</t>
  </si>
  <si>
    <t>120500020410</t>
  </si>
  <si>
    <t>07000420</t>
  </si>
  <si>
    <t>07002969</t>
  </si>
  <si>
    <t>071000049</t>
  </si>
  <si>
    <t>City of Springlake DMP</t>
  </si>
  <si>
    <t>Evaluate City of Springlake for a Storm Water Master Plan, flood ordinances, and policies.</t>
  </si>
  <si>
    <t>12050006</t>
  </si>
  <si>
    <t>1205000602</t>
  </si>
  <si>
    <t>120500060201, 120500060202</t>
  </si>
  <si>
    <t>07000101, 07000104</t>
  </si>
  <si>
    <t>07002970</t>
  </si>
  <si>
    <t>071000051</t>
  </si>
  <si>
    <t>City of Sudan DMP</t>
  </si>
  <si>
    <t>Evaluate City of Sudan for a Storm Water Master Plan, flood ordinances, and policies.</t>
  </si>
  <si>
    <t>1205000111, 1205000204</t>
  </si>
  <si>
    <t>120500011103, 120500020411</t>
  </si>
  <si>
    <t>07000387, 07000418</t>
  </si>
  <si>
    <t>07002971</t>
  </si>
  <si>
    <t>071000055</t>
  </si>
  <si>
    <t>City of Tye DMP</t>
  </si>
  <si>
    <t>1206010205, 1206010207</t>
  </si>
  <si>
    <t>120601020503, 120601020705, 120601020706</t>
  </si>
  <si>
    <t>07000264, 07000270, 07000271</t>
  </si>
  <si>
    <t>07002978</t>
  </si>
  <si>
    <t>071000082</t>
  </si>
  <si>
    <t>Town of Woodson DMP</t>
  </si>
  <si>
    <t>12060104</t>
  </si>
  <si>
    <t>1206010402</t>
  </si>
  <si>
    <t>120601040203</t>
  </si>
  <si>
    <t>07000329</t>
  </si>
  <si>
    <t>07003278</t>
  </si>
  <si>
    <t>071000034</t>
  </si>
  <si>
    <t>City of Albany DMP</t>
  </si>
  <si>
    <t>Evaluate city storm infrastructure and floodways for adequate capacity.</t>
  </si>
  <si>
    <t>12060105</t>
  </si>
  <si>
    <t>1206010502</t>
  </si>
  <si>
    <t>120601050202, 120601050204</t>
  </si>
  <si>
    <t>07000336, 07000337</t>
  </si>
  <si>
    <t>07003394</t>
  </si>
  <si>
    <t>071000042</t>
  </si>
  <si>
    <t>City of Moran DMP</t>
  </si>
  <si>
    <t>1206010501</t>
  </si>
  <si>
    <t>120601050105, 120601050106</t>
  </si>
  <si>
    <t>07000344, 07000363</t>
  </si>
  <si>
    <t>07003395</t>
  </si>
  <si>
    <t>071000056</t>
  </si>
  <si>
    <t>City of Wilson DMP</t>
  </si>
  <si>
    <t>Evaluate City of Wilson for a Storm Water Master Plan, flood ordinances, and policies.</t>
  </si>
  <si>
    <t>1205000402, 1205000404</t>
  </si>
  <si>
    <t>120500040209, 120500040401</t>
  </si>
  <si>
    <t>07000030, 07000031</t>
  </si>
  <si>
    <t>07003481</t>
  </si>
  <si>
    <t>071000044</t>
  </si>
  <si>
    <t>City of New Home DMP</t>
  </si>
  <si>
    <t>Evaluate City of New Home for a Storm Water Master Plan, flood ordinances, and policies.</t>
  </si>
  <si>
    <t>1205000401, 1205000402</t>
  </si>
  <si>
    <t>120500040104, 120500040207</t>
  </si>
  <si>
    <t>07000025, 07000028</t>
  </si>
  <si>
    <t>07003483</t>
  </si>
  <si>
    <t>071000039</t>
  </si>
  <si>
    <t>City of Hamlin DMP</t>
  </si>
  <si>
    <t>1206010301</t>
  </si>
  <si>
    <t>120601030103</t>
  </si>
  <si>
    <t>07000312</t>
  </si>
  <si>
    <t>07003484</t>
  </si>
  <si>
    <t>071000040</t>
  </si>
  <si>
    <t>City of Littlefield DMP</t>
  </si>
  <si>
    <t>Evaluate City of Littlefield for a Storm Water Master Plan, flood ordinances, and policies.</t>
  </si>
  <si>
    <t>120500011105, 120500011106</t>
  </si>
  <si>
    <t>07000371, 07000372</t>
  </si>
  <si>
    <t>07003503</t>
  </si>
  <si>
    <t>071000041</t>
  </si>
  <si>
    <t>City of Olton DMP</t>
  </si>
  <si>
    <t>Evaluate City of Olton for a Storm Water Master Plan, flood ordinances, and policies.</t>
  </si>
  <si>
    <t>1205000601, 1205000602</t>
  </si>
  <si>
    <t>120500060101, 120500060203</t>
  </si>
  <si>
    <t>07000099, 07000100</t>
  </si>
  <si>
    <t>07003504</t>
  </si>
  <si>
    <t>071000078</t>
  </si>
  <si>
    <t>Town of Buffalo Gap DMP</t>
  </si>
  <si>
    <t>Evaluate town to identify future projects, analyze roads/stream crossing for emergency response vehicles to high hazard areas. Evaluate areas with repetitive losses. Recommend mitigation needs.</t>
  </si>
  <si>
    <t>1206010207</t>
  </si>
  <si>
    <t>120601020703</t>
  </si>
  <si>
    <t>07000273</t>
  </si>
  <si>
    <t>07003510</t>
  </si>
  <si>
    <t>071000081</t>
  </si>
  <si>
    <t>Town of Rule DMP</t>
  </si>
  <si>
    <t>07003538</t>
  </si>
  <si>
    <t>071000045</t>
  </si>
  <si>
    <t>City of Newcastle DMP</t>
  </si>
  <si>
    <t>Evaluate city to identify future projects, analyze roads/stream crossing for emergency response vehicles to high hazard areas. Determine locations for additional detention/retention basins.</t>
  </si>
  <si>
    <t>1206010109</t>
  </si>
  <si>
    <t>120601010902</t>
  </si>
  <si>
    <t>07000226</t>
  </si>
  <si>
    <t>07003541</t>
  </si>
  <si>
    <t>071000054</t>
  </si>
  <si>
    <t>City of Tuscola DMP</t>
  </si>
  <si>
    <t>12060102, 12090108</t>
  </si>
  <si>
    <t>1206010207, 1209010801</t>
  </si>
  <si>
    <t>120601020708, 120901080101</t>
  </si>
  <si>
    <t>07000276</t>
  </si>
  <si>
    <t>00003553</t>
  </si>
  <si>
    <t>071000207</t>
  </si>
  <si>
    <t>City of Abilene Operations of Lake Abilene</t>
  </si>
  <si>
    <t>Increase available flood storage in the reservoir</t>
  </si>
  <si>
    <t>07000021, 07000022, 07000041, 07000042</t>
  </si>
  <si>
    <t>MDP</t>
  </si>
  <si>
    <t>070000000005</t>
  </si>
  <si>
    <t>071000208</t>
  </si>
  <si>
    <t>City of Abilene Elm Creek Detention below Southwest Drive</t>
  </si>
  <si>
    <t>Proposed detention pond</t>
  </si>
  <si>
    <t>120601020711</t>
  </si>
  <si>
    <t>07000279</t>
  </si>
  <si>
    <t>071000210</t>
  </si>
  <si>
    <t>City of Lubbock 34th St CIP</t>
  </si>
  <si>
    <t>Balancing culverts, an elevated roadway and a drainage system parallel to the road between Upland and Milwaukee.</t>
  </si>
  <si>
    <t>1205000301</t>
  </si>
  <si>
    <t>120500030103</t>
  </si>
  <si>
    <t>07000003</t>
  </si>
  <si>
    <t>07003269</t>
  </si>
  <si>
    <t>071000119</t>
  </si>
  <si>
    <t>Archer County DCM</t>
  </si>
  <si>
    <t>Consider stormwater criteria for infrastructure and floodplain ordinances to avoid new exposure to flood hazards.</t>
  </si>
  <si>
    <t>07000083, 07000084, 07000085</t>
  </si>
  <si>
    <t>071000120</t>
  </si>
  <si>
    <t>Archer County Relocate Critical Facilities High Hazard</t>
  </si>
  <si>
    <t>Relocate critical facilities out of high hazard areas.</t>
  </si>
  <si>
    <t>07000041, 07000042</t>
  </si>
  <si>
    <t>071000121</t>
  </si>
  <si>
    <t>Bailey County DCM</t>
  </si>
  <si>
    <t>071000122</t>
  </si>
  <si>
    <t>Baylor County DCM</t>
  </si>
  <si>
    <t>071000123</t>
  </si>
  <si>
    <t>Borden County DCM</t>
  </si>
  <si>
    <t>071000124</t>
  </si>
  <si>
    <t>Callahan County Buyout Program</t>
  </si>
  <si>
    <t>Develop a land acquisition program in flood hazard areas.</t>
  </si>
  <si>
    <t>071000125</t>
  </si>
  <si>
    <t>Callahan County DCM</t>
  </si>
  <si>
    <t>071000126</t>
  </si>
  <si>
    <t>Castro County DCM</t>
  </si>
  <si>
    <t>071000127</t>
  </si>
  <si>
    <t>City of Abilene Higher Standards Program</t>
  </si>
  <si>
    <t>Adopt higher standards for new construction, increase freeboard requirements for structures in the SFHA; adopt a “no-rise” in BFE in the 100-year floodplain.  Update local flood ordinance to prohibit granting of variance in SFHA; Include “cumulativ</t>
  </si>
  <si>
    <t>07000085</t>
  </si>
  <si>
    <t>071000128</t>
  </si>
  <si>
    <t>City of Baird Buyout Program</t>
  </si>
  <si>
    <t>1206010501, 1206010503</t>
  </si>
  <si>
    <t>120601050102, 120601050302</t>
  </si>
  <si>
    <t>07000339, 07000345</t>
  </si>
  <si>
    <t>07003452</t>
  </si>
  <si>
    <t>071000129</t>
  </si>
  <si>
    <t>City of Baird Higher Standards Program</t>
  </si>
  <si>
    <t>071000130</t>
  </si>
  <si>
    <t>City of Breckenridge Buyout Program</t>
  </si>
  <si>
    <t>Acquire and demolish repetitive loss properties.</t>
  </si>
  <si>
    <t>1206010505, 1206010506</t>
  </si>
  <si>
    <t>120601050503, 120601050504, 120601050603</t>
  </si>
  <si>
    <t>07000356, 07000358, 07000361</t>
  </si>
  <si>
    <t>07002725</t>
  </si>
  <si>
    <t>071000131</t>
  </si>
  <si>
    <t>City of Breckenridge Floodplain Open Space Program</t>
  </si>
  <si>
    <t>Acquire and preserve open spaces adjacent to floodplain areas. Protect floodplains in their natural state.</t>
  </si>
  <si>
    <t>071000205</t>
  </si>
  <si>
    <t>Upper Brazos Industry Flood Losses Inventory Evaluation</t>
  </si>
  <si>
    <t>Reduce the vulnerability of agriculture, ranching, energy and forestry to flood-related losses by establishing a baseline measurement.</t>
  </si>
  <si>
    <t>12060104,12050006,12050004,12060101,12060103,12060102,12050003,12050007</t>
  </si>
  <si>
    <t>1206010401,1206010402,1206010403,1205000602,1205000603,1205000601,1205000604,1205000605,1205000401,1205000402,1205000403,1205000404,1205000405,1205000406,1205000407,1205000408,1205000409,1206010101,1206010102,1206010103,1206010104,1206010105,1206010106,</t>
  </si>
  <si>
    <t>120500011104,120601050203,120500070706,120601010707,120500070505,120500011005,120500020402,120500011006,120500011101,120601040108,120500020401,120500020408,120500020409,120601030306,120601030401,120500070607,120601010801,120601040101,120601050202,1206010</t>
  </si>
  <si>
    <t>7000001,7000002,7000003,7000004,7000005,7000006,7000007,7000008,7000009,7000010,7000011,7000012,7000013,7000014,7000015,7000016,7000017,7000018,7000019,7000020,7000021,7000022,7000023,7000024,7000025,7000026,7000027,7000028,7000029,7000030,7000031</t>
  </si>
  <si>
    <t>07000051, 07000052</t>
  </si>
  <si>
    <t>00000275</t>
  </si>
  <si>
    <t>071000204</t>
  </si>
  <si>
    <t>Upper Brazos Dam Inventory Evaluation</t>
  </si>
  <si>
    <t>Develop a baseline understanding of the risks associated with high and significant hazard and NRCS dams within the basin, including coordination with the Texas State Soil &amp; Water Conservation Board dam maintenance plan.</t>
  </si>
  <si>
    <t>07000031, 07000032</t>
  </si>
  <si>
    <t>071000176</t>
  </si>
  <si>
    <t>Lamb County DCM</t>
  </si>
  <si>
    <t>071000165</t>
  </si>
  <si>
    <t>Hale County DCM</t>
  </si>
  <si>
    <t>11120104, 11130103, 12050001, 12050002, 12050003, 12050005, 12050006</t>
  </si>
  <si>
    <t>1112010406, 1113010302, 1205000111, 1205000113, 1205000205, 1205000303, 1205000502, 1205000503, 1205000504, 1205000505, 1205000601, 1205000602, 1205000603</t>
  </si>
  <si>
    <t>111201040602, 111301030202, 120500011107, 120500011302, 120500020504, 120500020505, 120500020506, 120500020507, 120500030301, 120500030303, 120500030304, 120500050207, 120500050307, 120500050402, 120500050403, 120500050404, 120500050405, 120500050501, 12</t>
  </si>
  <si>
    <t>07000005, 07000008, 07000009, 07000085, 07000086, 07000090, 07000091, 07000092, 07000093, 07000094, 07000095, 07000096, 07000099, 07000100, 07000102, 07000103, 07000105, 07000106, 07000107, 07000373, 07000377, 07000415, 07000417, 07000424, 07000434, 0700</t>
  </si>
  <si>
    <t>071000163</t>
  </si>
  <si>
    <t>Floyd County DCM</t>
  </si>
  <si>
    <t>071000168</t>
  </si>
  <si>
    <t>Jones County DCM</t>
  </si>
  <si>
    <t>120500040901, 120601020310, 120601020404, 120601020504, 120601020505, 120601020601, 120601020602, 120601020603, 120601020604, 120601020605, 120601020606, 120601020607, 120601020709, 120601020710, 120601020711, 120601020712, 120601020802, 120601020803, 12</t>
  </si>
  <si>
    <t>071000206</t>
  </si>
  <si>
    <t>Young County DCM</t>
  </si>
  <si>
    <t>071000161</t>
  </si>
  <si>
    <t>Eastland County DCM</t>
  </si>
  <si>
    <t>071000193</t>
  </si>
  <si>
    <t>Stonewall County Stream Restoration Program</t>
  </si>
  <si>
    <t>Implement stream restoration / channelization program to ensure adequate drainage / diversion of stormwater.</t>
  </si>
  <si>
    <t>071000192</t>
  </si>
  <si>
    <t>Stonewall County DCM</t>
  </si>
  <si>
    <t>071000188</t>
  </si>
  <si>
    <t>Stephens County Buyout Program</t>
  </si>
  <si>
    <t>071000189</t>
  </si>
  <si>
    <t>Stephens County DCM</t>
  </si>
  <si>
    <t>071000191</t>
  </si>
  <si>
    <t>Stephens Flood Protection Lift Station Program</t>
  </si>
  <si>
    <t>Flood-proof sewage treatment plants in flood hazard / low-lying areas.</t>
  </si>
  <si>
    <t>071000190</t>
  </si>
  <si>
    <t>Stephens County Stream Restoration Program</t>
  </si>
  <si>
    <t>071000196</t>
  </si>
  <si>
    <t>Taylor County DCM</t>
  </si>
  <si>
    <t>071000197</t>
  </si>
  <si>
    <t>Taylor County Stream Restoration Program</t>
  </si>
  <si>
    <t>071000195</t>
  </si>
  <si>
    <t>Taylor County Dam Inspection Program</t>
  </si>
  <si>
    <t>Annual dam inspection, partner with SWCD to help fund repairs and maintenance, partner with property owners to report new damage or erosion, and patrol for illegal dumping at dams.</t>
  </si>
  <si>
    <t>071000180</t>
  </si>
  <si>
    <t>Mitchell County DCM</t>
  </si>
  <si>
    <t>071000199</t>
  </si>
  <si>
    <t>Throckmorton County DCM</t>
  </si>
  <si>
    <t>071000187</t>
  </si>
  <si>
    <t>Shackelford County DCM</t>
  </si>
  <si>
    <t>120601020802, 120601020803, 120601020805, 120601020806, 120601020901, 120601020903, 120601020904, 120601020905, 120601020906, 120601020907, 120601020908, 120601030305, 120601040103, 120601040104, 120601040105, 120601040106, 120601040107, 120601040108, 12</t>
  </si>
  <si>
    <t>071000171</t>
  </si>
  <si>
    <t>King County DCM</t>
  </si>
  <si>
    <t>071000181</t>
  </si>
  <si>
    <t>Nolan County Buyout Program</t>
  </si>
  <si>
    <t>071000182</t>
  </si>
  <si>
    <t>Nolan County DCM</t>
  </si>
  <si>
    <t>071000183</t>
  </si>
  <si>
    <t>Nolan County Floodplain Open Space Program</t>
  </si>
  <si>
    <t>071000166</t>
  </si>
  <si>
    <t>Haskell County DCM</t>
  </si>
  <si>
    <t>071000167</t>
  </si>
  <si>
    <t>Hockley County DCM</t>
  </si>
  <si>
    <t>071000186</t>
  </si>
  <si>
    <t>Scurry County Relocate Critical Facilities High Hazard</t>
  </si>
  <si>
    <t>071000185</t>
  </si>
  <si>
    <t>Scurry County DCM</t>
  </si>
  <si>
    <t>071000160</t>
  </si>
  <si>
    <t>Dickens County DCM</t>
  </si>
  <si>
    <t>071000194</t>
  </si>
  <si>
    <t>Swisher County DCM</t>
  </si>
  <si>
    <t>071000162</t>
  </si>
  <si>
    <t>Fisher County DCM</t>
  </si>
  <si>
    <t>071000150</t>
  </si>
  <si>
    <t>City of Rotan Higher Standards Program</t>
  </si>
  <si>
    <t>07002545</t>
  </si>
  <si>
    <t>071000158</t>
  </si>
  <si>
    <t>Crosby County DCM</t>
  </si>
  <si>
    <t>071000159</t>
  </si>
  <si>
    <t>Dawson County DCM</t>
  </si>
  <si>
    <t>120500040305, 120500040306, 120800020102, 120800020105, 120800020106, 120800020107, 120800020108, 120800020109, 120800020201, 120800020202, 120800020203, 120800020301, 120800020302, 120800020303, 120800020304, 120800020305, 120800020306, 120800020401, 12</t>
  </si>
  <si>
    <t>071000177</t>
  </si>
  <si>
    <t>Lubbock County DCM</t>
  </si>
  <si>
    <t>071000178</t>
  </si>
  <si>
    <t>Lubbock County Floodplain Open Space Program</t>
  </si>
  <si>
    <t>071000164</t>
  </si>
  <si>
    <t>Garza County DCM</t>
  </si>
  <si>
    <t>071000179</t>
  </si>
  <si>
    <t>Lynn County DCM</t>
  </si>
  <si>
    <t>071000169</t>
  </si>
  <si>
    <t>Kent County DCM</t>
  </si>
  <si>
    <t>071000170</t>
  </si>
  <si>
    <t>Kent Flood Protection Lift Station Program</t>
  </si>
  <si>
    <t>Raise electrical components of sewage lift stations above the Base Flood Elevation (BFE).</t>
  </si>
  <si>
    <t>071000198</t>
  </si>
  <si>
    <t>Terry County DCM</t>
  </si>
  <si>
    <t>071000184</t>
  </si>
  <si>
    <t>Parmer County DCM</t>
  </si>
  <si>
    <t>071000174</t>
  </si>
  <si>
    <t>Knox County Tax Incentive Program</t>
  </si>
  <si>
    <t>Consider providing tax incentives for development of low-hazard land parcels.</t>
  </si>
  <si>
    <t>071000172</t>
  </si>
  <si>
    <t>Knox County DCM</t>
  </si>
  <si>
    <t>071000175</t>
  </si>
  <si>
    <t>Knox Flood Protection Lift Station Program</t>
  </si>
  <si>
    <t>071000173</t>
  </si>
  <si>
    <t>Knox County Relocate Critical Facilities High Hazard</t>
  </si>
  <si>
    <t>071000157</t>
  </si>
  <si>
    <t>Cochran County DCM</t>
  </si>
  <si>
    <t>071000152</t>
  </si>
  <si>
    <t>City of Sweetwater DCM</t>
  </si>
  <si>
    <t>071000141</t>
  </si>
  <si>
    <t>City of Levelland DCM</t>
  </si>
  <si>
    <t>12050001, 12050004</t>
  </si>
  <si>
    <t>1205000112, 1205000402</t>
  </si>
  <si>
    <t>120500011201, 120500040201, 120500040202, 120500040203, 120500040204</t>
  </si>
  <si>
    <t>07000026, 07000035, 07000036, 07000079, 07000379</t>
  </si>
  <si>
    <t>07003166</t>
  </si>
  <si>
    <t>071000151</t>
  </si>
  <si>
    <t>City of Slaton School Campus Drainage Program</t>
  </si>
  <si>
    <t>Install water drainage system at campuses as backup in severe weather events</t>
  </si>
  <si>
    <t>1205000301, 1205000302, 1205000303, 1205000304</t>
  </si>
  <si>
    <t>120500030104, 120500030203, 120500030307, 120500030402</t>
  </si>
  <si>
    <t>07000006, 07000012, 07000021, 07000024</t>
  </si>
  <si>
    <t>07003550</t>
  </si>
  <si>
    <t>071000138</t>
  </si>
  <si>
    <t>City of Hamlin Floodproof Sewage Plant Program</t>
  </si>
  <si>
    <t>071000136</t>
  </si>
  <si>
    <t>City of Hamlin Buyout Program</t>
  </si>
  <si>
    <t>071000137</t>
  </si>
  <si>
    <t>City of Hamlin Floodplain Open Space Program</t>
  </si>
  <si>
    <t>071000139</t>
  </si>
  <si>
    <t>City of Hamlin Higher Standards Program</t>
  </si>
  <si>
    <t>071000155</t>
  </si>
  <si>
    <t>City of Tye Floodplain Open Space Program</t>
  </si>
  <si>
    <t>071000154</t>
  </si>
  <si>
    <t>City of Tye Buyout Program</t>
  </si>
  <si>
    <t>071000132</t>
  </si>
  <si>
    <t>City of Breckenridge New Ordinance - Detention</t>
  </si>
  <si>
    <t>Adopt on-site retention basin program in conjunction with development to address excessive stormwater / firefighting water source.</t>
  </si>
  <si>
    <t>071000140</t>
  </si>
  <si>
    <t>City of Haskell Relocate Critical Facilities High Hazard</t>
  </si>
  <si>
    <t>1206010302</t>
  </si>
  <si>
    <t>120601030206</t>
  </si>
  <si>
    <t>07000317</t>
  </si>
  <si>
    <t>07002898</t>
  </si>
  <si>
    <t>071000133</t>
  </si>
  <si>
    <t>City of Clyde Flood Protection Lift Station Program</t>
  </si>
  <si>
    <t>071000135</t>
  </si>
  <si>
    <t>City of Clyde Higher Standards Program</t>
  </si>
  <si>
    <t>071000134</t>
  </si>
  <si>
    <t>City of Clyde Floodplain Open Space Program</t>
  </si>
  <si>
    <t>071000147</t>
  </si>
  <si>
    <t>City of Roscoe Higher Standards Program</t>
  </si>
  <si>
    <t>071000146</t>
  </si>
  <si>
    <t>City of Roscoe Floodproof Sewage Plant Program</t>
  </si>
  <si>
    <t>071000145</t>
  </si>
  <si>
    <t>City of Roscoe Floodplain Open Space Program</t>
  </si>
  <si>
    <t>071000148</t>
  </si>
  <si>
    <t>City of Roscoe Relocate Critical Facilities High Hazard</t>
  </si>
  <si>
    <t>071000149</t>
  </si>
  <si>
    <t>City of Roscoe Stream Restoration Program</t>
  </si>
  <si>
    <t>071000156</t>
  </si>
  <si>
    <t>City of Wolfforth Higher Standards Program</t>
  </si>
  <si>
    <t>1205000301, 1205000302</t>
  </si>
  <si>
    <t>120500030101, 120500030102, 120500030201, 120500030202</t>
  </si>
  <si>
    <t>07000002, 07000004, 07000020, 07000023</t>
  </si>
  <si>
    <t>07003270</t>
  </si>
  <si>
    <t>071000202</t>
  </si>
  <si>
    <t>Town of Throckmorton Relocate Critical Facilities High Hazard</t>
  </si>
  <si>
    <t>1206010107</t>
  </si>
  <si>
    <t>120601010703, 120601010705</t>
  </si>
  <si>
    <t>07000208, 07000213</t>
  </si>
  <si>
    <t>07002980</t>
  </si>
  <si>
    <t>071000144</t>
  </si>
  <si>
    <t>City of Munday Flood Protection Lift Station Program</t>
  </si>
  <si>
    <t>071000153</t>
  </si>
  <si>
    <t>City of Tuscola Flood Protection Lift Station Program</t>
  </si>
  <si>
    <t>071000201</t>
  </si>
  <si>
    <t>Town of Rule Stream Restoration Program</t>
  </si>
  <si>
    <t>071000203</t>
  </si>
  <si>
    <t>Town of Woodson Stream Restoration Program</t>
  </si>
  <si>
    <t>071000142</t>
  </si>
  <si>
    <t>City of Moran Floodproof Sewage Plant Program</t>
  </si>
  <si>
    <t>071000143</t>
  </si>
  <si>
    <t>City of Moran New Ordinance - Detention</t>
  </si>
  <si>
    <t>Adopt on-site detention basin program. Detained water to be considered for fire fighting.</t>
  </si>
  <si>
    <t>071000200</t>
  </si>
  <si>
    <t>Town of Rochester Relocate Critical Facilities High Hazard</t>
  </si>
  <si>
    <t>071000212</t>
  </si>
  <si>
    <t>071300002</t>
  </si>
  <si>
    <t>City of Abilene Catclaw Creek From S. 11th Street to S. 7th Street</t>
  </si>
  <si>
    <t>Enhance storage capacity of creek channel, raise Sammons Street and regional detention improvements</t>
  </si>
  <si>
    <t>FIRM</t>
  </si>
  <si>
    <t>071300003</t>
  </si>
  <si>
    <t>City of Abilene Little Elm Creek at S. 7th Street</t>
  </si>
  <si>
    <t>Channel improvements, enlargement of culvert under South 7th and overflow detention</t>
  </si>
  <si>
    <t>120601020705</t>
  </si>
  <si>
    <t>07000271</t>
  </si>
  <si>
    <t>071300004</t>
  </si>
  <si>
    <t>City of Abilene Buttonwillow Creek Crossing</t>
  </si>
  <si>
    <t>Replacement of low water crossing</t>
  </si>
  <si>
    <t>120601020708</t>
  </si>
  <si>
    <t>07000021, 07000022</t>
  </si>
  <si>
    <t>071300005</t>
  </si>
  <si>
    <t>City of Abilene Treadway and S. 27th Street</t>
  </si>
  <si>
    <t>Construction of new storms drains and valley gutters</t>
  </si>
  <si>
    <t>071300007</t>
  </si>
  <si>
    <t>City of Abilene Buttonwillow Upstream Detention</t>
  </si>
  <si>
    <t>Regional detention pond</t>
  </si>
  <si>
    <t>071300008</t>
  </si>
  <si>
    <t>City of Abilene Improve Curry Lane Detention Pond</t>
  </si>
  <si>
    <t>Installation of drainage flumes and curb and gutter along Curry Lane, construction of bypass pipe from Catclaw Creek, deepening of existing detention pond and extension of storm drain in Curry Lane</t>
  </si>
  <si>
    <t>071300001</t>
  </si>
  <si>
    <t>City of Abilene Elm Creek Diversion</t>
  </si>
  <si>
    <t>Upstream detention / bypass on Elm Creek</t>
  </si>
  <si>
    <t>120601020705, 120601020711</t>
  </si>
  <si>
    <t>07000271, 07000279</t>
  </si>
  <si>
    <t xml:space="preserve">07000021, 07000022, 07000041, 07000042
</t>
  </si>
  <si>
    <t>071300010</t>
  </si>
  <si>
    <t>City of Lubbock 4th St &amp; Elkhart CIP</t>
  </si>
  <si>
    <t>Construct box culverts. Provide excavation to offset increased discharge.  Construct earthen dam in West Wind channel to maintain playa overflow elevation.</t>
  </si>
  <si>
    <t>071000209</t>
  </si>
  <si>
    <t>Idalou Playa Lake Improvements</t>
  </si>
  <si>
    <t>Establish native grass buffers around Playa Lakes to filter out soil and contaminants from flooding; replenish dry Playa Lakes to ensure protection of aquifers and mitigate declining water tables due to drought</t>
  </si>
  <si>
    <t>1205000303</t>
  </si>
  <si>
    <t>120500030303, 120500030304</t>
  </si>
  <si>
    <t>07000008, 07000009</t>
  </si>
  <si>
    <t>07003506</t>
  </si>
  <si>
    <t>071000215</t>
  </si>
  <si>
    <t>Mackenzie Park South - Santa Land Rd</t>
  </si>
  <si>
    <t>Mackenzie Park South - Santa Land Rd Area of Interest</t>
  </si>
  <si>
    <t>12050004, 12050003, 12050006</t>
  </si>
  <si>
    <t>1205000602,1205000402,1205000111,1205000110,1205000112,1205000113,1205000108,1205000109,1205000204,1205000205</t>
  </si>
  <si>
    <t>120500060201,120500040201,120500011005,120500011006,120500011101,120500011004,120500011102,120500011103,120500011104,120500011202,120500011203,120500011301,120500011302,120500011105,120500011106,120500011107,120500011305,120500011303,120500011304,1205000</t>
  </si>
  <si>
    <t>7000003,7000005,7000026,7000104,7000367,7000368,7000369,7000370,7000371,7000372,7000373,7000374,7000375,7000376,7000377,7000378,7000379,7000380,7000381,7000382,7000386,7000387,7000388,7000390,7000391,7000401,7000402,7000403,7000404,7000405,7000408</t>
  </si>
  <si>
    <t>071000216</t>
  </si>
  <si>
    <t>CRP Grass Flood Area</t>
  </si>
  <si>
    <t>Grass Program causes road to flood</t>
  </si>
  <si>
    <t>1205000112</t>
  </si>
  <si>
    <t>120500011201, 120500011202, 120500040201, 120500040203</t>
  </si>
  <si>
    <t>07000370, 07000386, 07000026, 07000036, 07000470</t>
  </si>
  <si>
    <t>071000213</t>
  </si>
  <si>
    <t>City of Lubbock Clovis and Quaker</t>
  </si>
  <si>
    <t>Clovis and Quaker Area of Interest</t>
  </si>
  <si>
    <t>1205000113, 1205000112</t>
  </si>
  <si>
    <t>120500011305</t>
  </si>
  <si>
    <t>07000378</t>
  </si>
  <si>
    <t>070000000003</t>
  </si>
  <si>
    <t>071000214</t>
  </si>
  <si>
    <t>City of Lubbock Higginbothum Park</t>
  </si>
  <si>
    <t>Higginbothum Park Area of Interest</t>
  </si>
  <si>
    <t xml:space="preserve"> 07000003</t>
  </si>
  <si>
    <t>071300013</t>
  </si>
  <si>
    <t>Hamlin South Lake Dam Diversion</t>
  </si>
  <si>
    <t>Divert water to prevent breaching of Hamlin South Lake Dam.</t>
  </si>
  <si>
    <t>120601030102</t>
  </si>
  <si>
    <t>07000314</t>
  </si>
  <si>
    <t>071300012</t>
  </si>
  <si>
    <t>Hamlin Dam Improvements</t>
  </si>
  <si>
    <t>Harden earthen dam at Hamlin South Lake per request of TCEQ.</t>
  </si>
  <si>
    <t>071000023</t>
  </si>
  <si>
    <t>Mitchell County Update FEMA Mapping</t>
  </si>
  <si>
    <t>081000939</t>
  </si>
  <si>
    <t>Complete EAPs for Sites 9, 29, 2, 3, 6, 7, 17, 18, and 25 to be in compliance with TCEQ standards.</t>
  </si>
  <si>
    <t>Lower Brazos</t>
  </si>
  <si>
    <t>Williamson</t>
  </si>
  <si>
    <t>12070102,12070203,12070204,12070205</t>
  </si>
  <si>
    <t>1207010201,1207020305,1207020304,1207020401,1207020501,1207020502,1207020503,1207020504,1207020505</t>
  </si>
  <si>
    <t>120702011004</t>
  </si>
  <si>
    <t>08000006,08000010,08000011,08000012</t>
  </si>
  <si>
    <t>08000014</t>
  </si>
  <si>
    <t>00000043</t>
  </si>
  <si>
    <t>08003532</t>
  </si>
  <si>
    <t>Local, FEMA HMGP, FEMA FMA, USDA NRCS Watershed Rehabilitation</t>
  </si>
  <si>
    <t>Flood Protection Plan</t>
  </si>
  <si>
    <t>Provided by sponsor and is in line with the TWDB requirements.</t>
  </si>
  <si>
    <t>081000941</t>
  </si>
  <si>
    <t>Mustang Creek Study</t>
  </si>
  <si>
    <t>Detailed H&amp;H modeling to mitigate flooding from Upper Mustang Creek on the City of Taylor.</t>
  </si>
  <si>
    <t>12070205</t>
  </si>
  <si>
    <t>1207020504</t>
  </si>
  <si>
    <t>120702050405</t>
  </si>
  <si>
    <t>08000012</t>
  </si>
  <si>
    <t>08003480</t>
  </si>
  <si>
    <t>Local, TWDB FIF, FEMA HMGP, FEMA BRIC, FEMA FMA, HUD CDBG-MIT</t>
  </si>
  <si>
    <t>Other Community Submittals</t>
  </si>
  <si>
    <t>081000075</t>
  </si>
  <si>
    <t>Sugar Land MDP - Master Drainage Plan Updates</t>
  </si>
  <si>
    <t>Review comprehensive plan goals, update detention facility ownership and assets, consider funding mechanisms, evaluate ranking criteria.</t>
  </si>
  <si>
    <t>12070104,12040205</t>
  </si>
  <si>
    <t>1207010404,1204020501,1204020502</t>
  </si>
  <si>
    <t>120701040403,120701040408,120701040402,120402050100,120402050200</t>
  </si>
  <si>
    <t>08000013,08000014</t>
  </si>
  <si>
    <t>Master Drainage Plan</t>
  </si>
  <si>
    <t>081000934</t>
  </si>
  <si>
    <t>Low Water Crossing Monitoring &amp; Mitigation</t>
  </si>
  <si>
    <t>Install automated warning devices or elevate 2 low water crossings on CR 305.</t>
  </si>
  <si>
    <t>12070203,12070204,12070205</t>
  </si>
  <si>
    <t>1207020304,1207020401,1207020503,1207020505</t>
  </si>
  <si>
    <t>120702030402,120702040106,120702050503,120702050302</t>
  </si>
  <si>
    <t>08000010,08000011,08000012</t>
  </si>
  <si>
    <t>08000007</t>
  </si>
  <si>
    <t>08002869</t>
  </si>
  <si>
    <t>Local, TWDB FIF, FEMA HMGP, FEMA BRIC, FEMA FMA</t>
  </si>
  <si>
    <t>081000936</t>
  </si>
  <si>
    <t>Lift Station Floodproofing</t>
  </si>
  <si>
    <t>Flood proof city lift stations or improve culverts to lessen flood risk.</t>
  </si>
  <si>
    <t>Local, TWDB FIF, FEMA HMGP, TWDB CWSRF, FEMA BRIC, FEMA FMA</t>
  </si>
  <si>
    <t>081000942</t>
  </si>
  <si>
    <t>Stream Crossing Upgrades</t>
  </si>
  <si>
    <t>Upgrade crossings at CR 368, 369, 445, and 424.</t>
  </si>
  <si>
    <t>120702050405,120702050408</t>
  </si>
  <si>
    <t>081000943</t>
  </si>
  <si>
    <t>Lake Creek Structural Elevation</t>
  </si>
  <si>
    <t>Elevate or floodproof structures currently in high risk areas. Use H&amp;H modeling to prioritize properties.</t>
  </si>
  <si>
    <t>Travis,Williamson</t>
  </si>
  <si>
    <t>1207020504,1207020505</t>
  </si>
  <si>
    <t>120702050402,120702050502,120702050403,120702050404</t>
  </si>
  <si>
    <t>08000009</t>
  </si>
  <si>
    <t>00003191</t>
  </si>
  <si>
    <t>081000950</t>
  </si>
  <si>
    <t>Barker Street Neighborhood Improvements</t>
  </si>
  <si>
    <t>Determine optimal drainage improvements to maximize flood protection for the area.</t>
  </si>
  <si>
    <t>120702050402,120702050401</t>
  </si>
  <si>
    <t>08002568</t>
  </si>
  <si>
    <t>081000951</t>
  </si>
  <si>
    <t>Brushy Creek Tributaries Study</t>
  </si>
  <si>
    <t>Perform a detailed study of the Brushy Creek tributaries in the City of Thrall.</t>
  </si>
  <si>
    <t>120702050408</t>
  </si>
  <si>
    <t>081000944</t>
  </si>
  <si>
    <t>Lake Creek Tributary 2</t>
  </si>
  <si>
    <t>Develop H&amp;H models for watershed and evaluate methods to provide flood protection to the area.</t>
  </si>
  <si>
    <t>120702050402</t>
  </si>
  <si>
    <t>081000044</t>
  </si>
  <si>
    <t>Sienna South Levee System Drainage</t>
  </si>
  <si>
    <t>Design of lake and channel modifications to mitigate development in the area.</t>
  </si>
  <si>
    <t>1207010404,1204020502</t>
  </si>
  <si>
    <t>120701040403,120701040409,120402050200</t>
  </si>
  <si>
    <t>00000505</t>
  </si>
  <si>
    <t>00000505,00002044,00000505,08000337</t>
  </si>
  <si>
    <t>Sienna MDP (2018)</t>
  </si>
  <si>
    <t>081000091</t>
  </si>
  <si>
    <t>Sugar Land Citywide Flood Prevention &amp; Drainage Studies</t>
  </si>
  <si>
    <t>Study to determine how to replace B-B inlets with C-2 or H2 inlets in areas of ponding and structural risk.</t>
  </si>
  <si>
    <t>081000041</t>
  </si>
  <si>
    <t>Fulshear Lakes Drainage Improvements</t>
  </si>
  <si>
    <t>Design of drainage infrastructure to mitigate flooding in Fulshear Lake development.</t>
  </si>
  <si>
    <t>12070104</t>
  </si>
  <si>
    <t>1207010403</t>
  </si>
  <si>
    <t>120701040308</t>
  </si>
  <si>
    <t>08000013</t>
  </si>
  <si>
    <t>Fulshear Lakes MDP (2020)</t>
  </si>
  <si>
    <t>081000045</t>
  </si>
  <si>
    <t>Sienna North Levee System Drainage</t>
  </si>
  <si>
    <t>Design of channel improvements to mitigate flow caused by increased development.</t>
  </si>
  <si>
    <t>120701040403,120402050200</t>
  </si>
  <si>
    <t>081000042</t>
  </si>
  <si>
    <t>Lea/Penn and Red Bird Lane Improvements</t>
  </si>
  <si>
    <t>Design of diversion channel and road construction to reduce flooding and provide access to neighborhoods.</t>
  </si>
  <si>
    <t>1207010403,1204020501</t>
  </si>
  <si>
    <t>120701040309,120402050100</t>
  </si>
  <si>
    <t>Fulshear MDP (2017)</t>
  </si>
  <si>
    <t>081000921</t>
  </si>
  <si>
    <t>City of Georgetown Increase River/Channel Flow Capacity</t>
  </si>
  <si>
    <t>Increase flow by deepening and widening the channel.</t>
  </si>
  <si>
    <t>1207020501,1207020502,1207020503,1207020504,1207020505</t>
  </si>
  <si>
    <t>120702050502,120702050302,120702050403,120702050106,120702050401,120702050404,120702050501,120702050203,120702050105,120702050303</t>
  </si>
  <si>
    <t>08002580</t>
  </si>
  <si>
    <t>081000922</t>
  </si>
  <si>
    <t>City of Georgetown River Erosion Control</t>
  </si>
  <si>
    <t>Reduce flood and erosion risk with riverbank stabilization and riverbank walls.</t>
  </si>
  <si>
    <t>081000924</t>
  </si>
  <si>
    <t>City of Georgetown Culvert Improvements</t>
  </si>
  <si>
    <t>Increase size of culverts at key locations to adequately convey storm water.</t>
  </si>
  <si>
    <t>081000048</t>
  </si>
  <si>
    <t>Covington Woods Jess Pirtle Bridge Channel Improvements</t>
  </si>
  <si>
    <t>Determination of necessary repairs to ditch A-22 channel flow line</t>
  </si>
  <si>
    <t>12040205</t>
  </si>
  <si>
    <t>1204020501,1204020502</t>
  </si>
  <si>
    <t>120402050100,120402050200</t>
  </si>
  <si>
    <t>Capital Improvement Project</t>
  </si>
  <si>
    <t>081000058</t>
  </si>
  <si>
    <t>Sugar Lakes Drainage Improvements</t>
  </si>
  <si>
    <t>Determination of necessary storm drain improvements and lake control structure modifications.</t>
  </si>
  <si>
    <t>081000226</t>
  </si>
  <si>
    <t>Bee Creek Basin Detention Pond</t>
  </si>
  <si>
    <t>Design of detention facility to contain and mitigate flooding.</t>
  </si>
  <si>
    <t>Brazos</t>
  </si>
  <si>
    <t>12070101,12070103</t>
  </si>
  <si>
    <t>1207010107,1207010307</t>
  </si>
  <si>
    <t>120701010705,120701030704,120701030702,120701030707</t>
  </si>
  <si>
    <t>08000005,08000007</t>
  </si>
  <si>
    <t>08003439</t>
  </si>
  <si>
    <t>Local, TWDB FIF, FEMA FMA</t>
  </si>
  <si>
    <t>Hazard Mitigation Plan</t>
  </si>
  <si>
    <t>081000926</t>
  </si>
  <si>
    <t>Channel Stabilization</t>
  </si>
  <si>
    <t>Stabilize channel at inner loop culverts.</t>
  </si>
  <si>
    <t>1207020505</t>
  </si>
  <si>
    <t>120702050502,120702050501</t>
  </si>
  <si>
    <t>081000953</t>
  </si>
  <si>
    <t>A21</t>
  </si>
  <si>
    <t>Addition of in-line detention along Cottonwood Creek.</t>
  </si>
  <si>
    <t>120702050404</t>
  </si>
  <si>
    <t>00000369</t>
  </si>
  <si>
    <t>081000957</t>
  </si>
  <si>
    <t>620 Quarry Solution</t>
  </si>
  <si>
    <t>Study to determine needed flood storage to address Lake Creek flooding.</t>
  </si>
  <si>
    <t>081000956</t>
  </si>
  <si>
    <t>Dam 102</t>
  </si>
  <si>
    <t>Study to design dam to provide flood storage for Lake Creek.</t>
  </si>
  <si>
    <t>081000958</t>
  </si>
  <si>
    <t>Dam 14 Rehabilitation</t>
  </si>
  <si>
    <t>Study to design erosion repairs for the downstream slope, mitigation for the longitudinal cracking on the dam crest, and auxiliary spillway improvements.</t>
  </si>
  <si>
    <t>120702050403</t>
  </si>
  <si>
    <t>FPP &amp; Dam Portfolio</t>
  </si>
  <si>
    <t>081000959</t>
  </si>
  <si>
    <t>A14</t>
  </si>
  <si>
    <t>Addition of in-line detention west of Dam 17.</t>
  </si>
  <si>
    <t>081000960</t>
  </si>
  <si>
    <t>A13</t>
  </si>
  <si>
    <t>Addition of in-line detention between Dam 15 and 16.</t>
  </si>
  <si>
    <t>081000646</t>
  </si>
  <si>
    <t>Briar Creek Improvements</t>
  </si>
  <si>
    <t>Channel and crossing improvements along Briar Creek and Red River Trib to increase capacity of hydraulic infrastructure.</t>
  </si>
  <si>
    <t>12070103</t>
  </si>
  <si>
    <t>1207010307</t>
  </si>
  <si>
    <t>120701030702</t>
  </si>
  <si>
    <t>08003438</t>
  </si>
  <si>
    <t>081000678</t>
  </si>
  <si>
    <t>Burton Creek Main Stem Improvements</t>
  </si>
  <si>
    <t>Channel and crossing improvements along Burton Creek mainstem from SH 6 to S Coulter Dr.</t>
  </si>
  <si>
    <t>120701010702,120701010703,120701030702</t>
  </si>
  <si>
    <t>081000718</t>
  </si>
  <si>
    <t>Castle Heights Subdivision Flooding</t>
  </si>
  <si>
    <t>Study to determine necessary detention, storm sewer, and other drainage improvements for Castle Heights subdivision.</t>
  </si>
  <si>
    <t>1207010306,1207010307</t>
  </si>
  <si>
    <t>120701030602,120701030702</t>
  </si>
  <si>
    <t>081000712</t>
  </si>
  <si>
    <t>Carter's Creek Crossing Improvements</t>
  </si>
  <si>
    <t>Study and design of culvert improvements along Carter's Creek.</t>
  </si>
  <si>
    <t>081000719</t>
  </si>
  <si>
    <t>Carter's Creek Trib B Improvements</t>
  </si>
  <si>
    <t>Study to design culvert improvements along Carter's Creek Trib B.</t>
  </si>
  <si>
    <t>120701010702,120701030702</t>
  </si>
  <si>
    <t>081000717</t>
  </si>
  <si>
    <t>Old Reliance Road Overtopping</t>
  </si>
  <si>
    <t>Study to determine design of culvert improvements.</t>
  </si>
  <si>
    <t>081000716</t>
  </si>
  <si>
    <t>Pecan Ridge Subdivision Flooding</t>
  </si>
  <si>
    <t>Masterplan to determine source of flooding and identify potential solutions.</t>
  </si>
  <si>
    <t>081000671</t>
  </si>
  <si>
    <t>Tract North of Carson Crossing</t>
  </si>
  <si>
    <t>Channel and crossing improvements along Trib D feeding into County Club Lake.</t>
  </si>
  <si>
    <t>081000954</t>
  </si>
  <si>
    <t>A12</t>
  </si>
  <si>
    <t>New Broade Street off-channel detention.</t>
  </si>
  <si>
    <t>120702050401</t>
  </si>
  <si>
    <t>FPP &amp; HMP</t>
  </si>
  <si>
    <t>081000976</t>
  </si>
  <si>
    <t>Sugar Creek Watershed Analysis</t>
  </si>
  <si>
    <t>Complete a drainage study for the Sugar Creek neighborhood to mitigate flooding risk.</t>
  </si>
  <si>
    <t>1204020502</t>
  </si>
  <si>
    <t>120402050200</t>
  </si>
  <si>
    <t>081000981</t>
  </si>
  <si>
    <t>Sugar Creek East Ditch</t>
  </si>
  <si>
    <t>Install box culverts in the Sugar Creek East Ditch for storm water control.</t>
  </si>
  <si>
    <t>081000982</t>
  </si>
  <si>
    <t>Lakebend Sugar Creek Outfall &amp; Drainage</t>
  </si>
  <si>
    <t>Replace outfall structure and channel improvements at Sugar Creek &amp; Parkway Blvd and upsize storm water systems.</t>
  </si>
  <si>
    <t>081000987</t>
  </si>
  <si>
    <t>Telfair Inlet Replacements</t>
  </si>
  <si>
    <t>Update storm water inlets.</t>
  </si>
  <si>
    <t>1207010404</t>
  </si>
  <si>
    <t>120701040402</t>
  </si>
  <si>
    <t>081000989</t>
  </si>
  <si>
    <t>New Territory Inlet Replacements</t>
  </si>
  <si>
    <t>081001039</t>
  </si>
  <si>
    <t>Improve Undersized Storm Sewers in Cottonwood Branch/Still Creek DB</t>
  </si>
  <si>
    <t>Update modeling to Atlas 14 to determine appropriate sizing for storm sewer in the region.</t>
  </si>
  <si>
    <t>08000006</t>
  </si>
  <si>
    <t>081001005</t>
  </si>
  <si>
    <t>Lynndale Acres Ph 2: Old Hearne and McHaney Street</t>
  </si>
  <si>
    <t>A study of the drainage area is needed to assess and propose improvements to reduce flooding in the area.  As part of this study, alternatives should be recommended.</t>
  </si>
  <si>
    <t>081001036</t>
  </si>
  <si>
    <t>Improve Undersized Storm Sewers in Burton Creek DB</t>
  </si>
  <si>
    <t>081001022</t>
  </si>
  <si>
    <t>Thompson Creek Floodplain Study from RELLIS to HW 6 to Establish Floodway</t>
  </si>
  <si>
    <t>Study of Thompson Creek to determine flood risk.</t>
  </si>
  <si>
    <t>12070101</t>
  </si>
  <si>
    <t>1207010106,1207010107</t>
  </si>
  <si>
    <t>120701010609,120701010610,120701010613,120701010701,120701010702,120701010703</t>
  </si>
  <si>
    <t>081001023</t>
  </si>
  <si>
    <t>Study Wickson Creek for Floodplain/Floodway from FM 974 to Navasota River</t>
  </si>
  <si>
    <t>Study of Wickerson Creek to determine flood risk.</t>
  </si>
  <si>
    <t>1207010306</t>
  </si>
  <si>
    <t>120701030603,120701030602</t>
  </si>
  <si>
    <t>081001032</t>
  </si>
  <si>
    <t>Brushy Creek Flood Study Extension</t>
  </si>
  <si>
    <t>Expansion of previous study to improve characterization of flood risk.</t>
  </si>
  <si>
    <t>120701030603</t>
  </si>
  <si>
    <t>081001033</t>
  </si>
  <si>
    <t>Philips Event Center Detention Pond at Hole 8 - Maintenance and Dredging</t>
  </si>
  <si>
    <t>Maintenance on detention pond to increase storage.</t>
  </si>
  <si>
    <t>08000010</t>
  </si>
  <si>
    <t>081001035</t>
  </si>
  <si>
    <t>Improve Undersized Storm Sewers in Briar Creek DB</t>
  </si>
  <si>
    <t>081001037</t>
  </si>
  <si>
    <t>Improve Undersized Storm Sewers in Carter Creek DB</t>
  </si>
  <si>
    <t>1207010107,1207010306,1207010307</t>
  </si>
  <si>
    <t>120701010702,120701030602,120701030702</t>
  </si>
  <si>
    <t>081001038</t>
  </si>
  <si>
    <t>Improve Undersized Storm Sewers in Hudson Creek DB</t>
  </si>
  <si>
    <t>120701030603,120701030702</t>
  </si>
  <si>
    <t>081001040</t>
  </si>
  <si>
    <t>Improve Undersized Storm Sewers in Turkey Creek DB</t>
  </si>
  <si>
    <t>120701010702,120701010703,120701010705,120701030702</t>
  </si>
  <si>
    <t>081001068</t>
  </si>
  <si>
    <t>FBCDD Drop Structures - Condition Assessments &amp; Upgrades</t>
  </si>
  <si>
    <t>Create inventory of structures and condition, prioritize and design upgrades to structures as needed.</t>
  </si>
  <si>
    <t>1207010404,1207010405,1207010403,1204020503,1204020501,1204020502</t>
  </si>
  <si>
    <t>120701040404,120701040405,120701040406,120701040403,120701040408,120701040409,120701040407,120701040501,120701040402,120701040401,120701040309,120701040307,120701040308,120402050100,120402050300,120402050200</t>
  </si>
  <si>
    <t>00000009,00002044</t>
  </si>
  <si>
    <t>081001145</t>
  </si>
  <si>
    <t>Dam 18 Rehabilitation</t>
  </si>
  <si>
    <t>Improvements to ensure dam provides necessary protection against flood risk.</t>
  </si>
  <si>
    <t>081001003</t>
  </si>
  <si>
    <t>Tennessee Avenue Crossing</t>
  </si>
  <si>
    <t>A study and detailed design needs to be completed to assess the flooding and design culvert improvements to reduce road overtopping.</t>
  </si>
  <si>
    <t>081000057</t>
  </si>
  <si>
    <t>Chimneystone, Austin, and Settlers Parks Improvements Phase II</t>
  </si>
  <si>
    <t>Design of new concrete channel and storm drain improvements.</t>
  </si>
  <si>
    <t>120701040403</t>
  </si>
  <si>
    <t>081000663</t>
  </si>
  <si>
    <t>Burton Creek Crossings</t>
  </si>
  <si>
    <t>Update design to account for Atlas 14 rainfall.</t>
  </si>
  <si>
    <t>081000657</t>
  </si>
  <si>
    <t>Briarcreek Court Flooding</t>
  </si>
  <si>
    <t>Study to determine source and mitigation for flooding in the subdivision.</t>
  </si>
  <si>
    <t>081000686</t>
  </si>
  <si>
    <t>Oakridge Drive and Barak Lake</t>
  </si>
  <si>
    <t>Study to determine storm sewer needed to mitigate flooding in subdivision.</t>
  </si>
  <si>
    <t>081000690</t>
  </si>
  <si>
    <t>Burton Creek Trib 5 Mitigation</t>
  </si>
  <si>
    <t>Design of erosion control and channel improvements for Trib 5 of Burton Creek.</t>
  </si>
  <si>
    <t>081000706</t>
  </si>
  <si>
    <t>Briar Oaks Drive Storm Sewer Improvements</t>
  </si>
  <si>
    <t>081000669</t>
  </si>
  <si>
    <t>Burton Creek Trib C Improvements</t>
  </si>
  <si>
    <t>2-9'x5' box culverts are needed to replace the existing culverts in order to convey the 50-year storm event per the TxDOT design requirement. Channel widening and re-grading may be necessary to mitigate any adverse impacts. Detailed design for the 100-y*</t>
  </si>
  <si>
    <t>081000978</t>
  </si>
  <si>
    <t>Colony Bend, Colony Grant, Stephens Grant Drainage Improvements</t>
  </si>
  <si>
    <t>Complete a drainage study, design, and construction of drainage improvements to reduce flooding risk in the neighborhoods.</t>
  </si>
  <si>
    <t>081000980</t>
  </si>
  <si>
    <t>Chimneystone, Austin, and Settlers Parks Improvements Phase III</t>
  </si>
  <si>
    <t>Design and construct drainage improvements to Wagon Trail and Settlers Way in Settlers Park.</t>
  </si>
  <si>
    <t>081000988</t>
  </si>
  <si>
    <t>Greatwood Inlet Replacements</t>
  </si>
  <si>
    <t>081001156</t>
  </si>
  <si>
    <t>FM 2818 Crossing &amp; Channel Improvements (FM- 2818 to Welsh) &amp; Detention Pond</t>
  </si>
  <si>
    <t>Community Sub - MDP</t>
  </si>
  <si>
    <t>081001148</t>
  </si>
  <si>
    <t>Texas Ave Crossing &amp; Channel Improvements (Hwy 6 to Texas) &amp; Detenton Pond</t>
  </si>
  <si>
    <t>081001153</t>
  </si>
  <si>
    <t>Hwy 6 Crossing &amp; DS Channel Improvements</t>
  </si>
  <si>
    <t>081000047</t>
  </si>
  <si>
    <t>Sugar Creek Drainage Improvements</t>
  </si>
  <si>
    <t>Design of storm drain updates throughout neighborhood.</t>
  </si>
  <si>
    <t>081000060</t>
  </si>
  <si>
    <t>Sugar Creek Regional Detention</t>
  </si>
  <si>
    <t>081000061</t>
  </si>
  <si>
    <t>Sugar Land Business Park Regional Detention</t>
  </si>
  <si>
    <t>081000979</t>
  </si>
  <si>
    <t>City of Sugar Land Flood Innundation Mapping</t>
  </si>
  <si>
    <t>Update of the Integrated Stormwater Management Model to include improvements to predictions in leveed areas.</t>
  </si>
  <si>
    <t>081001276</t>
  </si>
  <si>
    <t>Carters Creek</t>
  </si>
  <si>
    <t>Study to determine flood risk across the watershed.</t>
  </si>
  <si>
    <t>120701030704,120701030702</t>
  </si>
  <si>
    <t>Local, TWDB FIF, TWDB CWSRF, FEMA HMGP, FEMA BRIC, FEMA FMA, HUD CDBG-MIT</t>
  </si>
  <si>
    <t>081001067</t>
  </si>
  <si>
    <t>Peach Creek Flood Study</t>
  </si>
  <si>
    <t>120701030707</t>
  </si>
  <si>
    <t>081001066</t>
  </si>
  <si>
    <t>Hope's Creek Flood Study</t>
  </si>
  <si>
    <t>1207010107</t>
  </si>
  <si>
    <t>120701010705</t>
  </si>
  <si>
    <t>081000990</t>
  </si>
  <si>
    <t>LID 2 Watershed Analysis</t>
  </si>
  <si>
    <t>081000955</t>
  </si>
  <si>
    <t>Dam 101</t>
  </si>
  <si>
    <t>Construction of dam to provide flood storage for Lake Creek.</t>
  </si>
  <si>
    <t>081000945</t>
  </si>
  <si>
    <t>Improve Chandler Branch Tributary</t>
  </si>
  <si>
    <t>Channel improvements from Eagles Nest St to Settlement Dr.</t>
  </si>
  <si>
    <t>081000973</t>
  </si>
  <si>
    <t>Lower Oyster Creek Improvements</t>
  </si>
  <si>
    <t>Channel bank fill and improvements to create smooth transitions between diversion, flume, and creek channels during large storm improvements.</t>
  </si>
  <si>
    <t>12040205,12070104</t>
  </si>
  <si>
    <t>1204020502,1207010404</t>
  </si>
  <si>
    <t>120402050200,120701040403,120701040409</t>
  </si>
  <si>
    <t>081001009</t>
  </si>
  <si>
    <t>Thompsons Branch &amp; SH 6 Drainage Improvements</t>
  </si>
  <si>
    <t>Study to design several improvements to mitigate flooding at the crossing.</t>
  </si>
  <si>
    <t>081001015</t>
  </si>
  <si>
    <t>Turkey Creek Drainage Improvements</t>
  </si>
  <si>
    <t>Detailed design of improvements throughout the Turkey Creek watershed, especially to fix erosion problems.</t>
  </si>
  <si>
    <t>081001020</t>
  </si>
  <si>
    <t>South For of Turkey Creek Improvements</t>
  </si>
  <si>
    <t>Erosion control and crossing improvements along South Fork of Turkey Creek.</t>
  </si>
  <si>
    <t>081001021</t>
  </si>
  <si>
    <t>Burton Creek Extension of Flood Study</t>
  </si>
  <si>
    <t>081001027</t>
  </si>
  <si>
    <t>Citywide FEMA Flood Study</t>
  </si>
  <si>
    <t>City wide updates to floodplain mapping.</t>
  </si>
  <si>
    <t>081000999</t>
  </si>
  <si>
    <t>Hudson Creek Regional Detention</t>
  </si>
  <si>
    <t>Study to design regional detention upstream of Copperfield to mitigate flooding and maintenance problems.</t>
  </si>
  <si>
    <t>081001146</t>
  </si>
  <si>
    <t>Waller County Master Drainage Plan</t>
  </si>
  <si>
    <t>Study to determine food risk and potential solutions throughout the county.</t>
  </si>
  <si>
    <t>12070101,12070104</t>
  </si>
  <si>
    <t>1207010108,1207010109,1207010401,1207010402,1207010403</t>
  </si>
  <si>
    <t>120701010908,120701010803,120701010804,120701040102,120701040103,120701040104,120701040105,120701040106,120701040108,120701040210,120701040301,120701040302,120701040303,120701040304,120701040307,120701040308</t>
  </si>
  <si>
    <t>08000005,08000013,08000014</t>
  </si>
  <si>
    <t>081000881</t>
  </si>
  <si>
    <t>Sharondale Drainage Improvements</t>
  </si>
  <si>
    <t>Drainage infrastructure improvements to reduce flooding in the Sharondale area.</t>
  </si>
  <si>
    <t>McLennan</t>
  </si>
  <si>
    <t>12060202</t>
  </si>
  <si>
    <t>1206020208</t>
  </si>
  <si>
    <t>120602020803</t>
  </si>
  <si>
    <t>08000002</t>
  </si>
  <si>
    <t>08002914</t>
  </si>
  <si>
    <t>081001286</t>
  </si>
  <si>
    <t>Taylor / Elm Storm Infrastructure &amp; Outfall</t>
  </si>
  <si>
    <t xml:space="preserve">Extension of current storm infrastructure in the area to improve drainage. Potential levee along MLK Boulevard to direct flow and prohibit road overtopping. </t>
  </si>
  <si>
    <t>08000197</t>
  </si>
  <si>
    <t>MDP - Public Comment Period</t>
  </si>
  <si>
    <t>081000877</t>
  </si>
  <si>
    <t>New Road to Homan Avenue Channel Improvements</t>
  </si>
  <si>
    <t>Channel improvements to increase the conveyance capacity of the roadside ditch.</t>
  </si>
  <si>
    <t>08000002,08000003</t>
  </si>
  <si>
    <t>081000890</t>
  </si>
  <si>
    <t>Loop 340 Berm &amp; Frontage Road Improvements</t>
  </si>
  <si>
    <t>Infrastructure improvements to lessen the impact of flood events on the intersection.</t>
  </si>
  <si>
    <t>081001285</t>
  </si>
  <si>
    <t>Oakwood Channel &amp; Bridge Improvements</t>
  </si>
  <si>
    <t xml:space="preserve">Widening of Primrose Creek to increase flow capacity, as well as removal and replacement of several crossings along the channel improvements. </t>
  </si>
  <si>
    <t>081001287</t>
  </si>
  <si>
    <t>Cross Creek Road Low Water Crossing Removal</t>
  </si>
  <si>
    <t>Removal of the Cross Creek Road low water crossing and associated 18" culverts. Extension of Stone Creek Ridge Drive to maintain access to existing properties.</t>
  </si>
  <si>
    <t>12060203,12070201</t>
  </si>
  <si>
    <t>1206020301,1206020303,1207020110</t>
  </si>
  <si>
    <t>120602030104,120602030105,120602030301,120602030302,120702011002</t>
  </si>
  <si>
    <t>08000008</t>
  </si>
  <si>
    <t>081001284</t>
  </si>
  <si>
    <t>Waco Creek Diversion Tunnel</t>
  </si>
  <si>
    <t>Addition of a diversion culvert to reroute flow from Waco Creek to the Brazos River. Additional improvements to existing diversion tunnels and crossings.</t>
  </si>
  <si>
    <t>081000785</t>
  </si>
  <si>
    <t>Andrus Channel Improvements</t>
  </si>
  <si>
    <t>Channel improvements and re-configurations at several key locations</t>
  </si>
  <si>
    <t>1204020501</t>
  </si>
  <si>
    <t>120402050100</t>
  </si>
  <si>
    <t>Local, FEMA FMA, HUD CDBG-MIT</t>
  </si>
  <si>
    <t>080000000110</t>
  </si>
  <si>
    <t>091000073</t>
  </si>
  <si>
    <t>San Angelo Lester Lane Culvert Improvement Project</t>
  </si>
  <si>
    <t>Replace existing 24"x36" CMP arch pipe under Tres Rios Drive with 5'x3' concrete box culvert.</t>
  </si>
  <si>
    <t>Upper Colorado</t>
  </si>
  <si>
    <t>Tom Green</t>
  </si>
  <si>
    <t>12090102,12090105</t>
  </si>
  <si>
    <t>1209010205,1209010502</t>
  </si>
  <si>
    <t>120901050203,120901050206</t>
  </si>
  <si>
    <t>09000013,09000016,09000075,09000093,09000384,09000513</t>
  </si>
  <si>
    <t>09000005, 09000006</t>
  </si>
  <si>
    <t>09000131</t>
  </si>
  <si>
    <t>09000131,00000261,00000284,09003257</t>
  </si>
  <si>
    <t>Important for flood management activities</t>
  </si>
  <si>
    <t>091000072</t>
  </si>
  <si>
    <t>San Angelo Goodfellow Draw Low Water Crossing Improvements</t>
  </si>
  <si>
    <t>Proposed 10'x5' Box culverts beneath Era Street and Evelyn avenue and channel improvements in Goodfellow Draw to allow passage of the 25-year storm. In existing conditions, there are no culverts present (2 LWCs).</t>
  </si>
  <si>
    <t>12090105</t>
  </si>
  <si>
    <t>1209010502</t>
  </si>
  <si>
    <t>120901050206</t>
  </si>
  <si>
    <t>09000016,09000093,09000513</t>
  </si>
  <si>
    <t>091000074</t>
  </si>
  <si>
    <t>San Angelo LWC 3</t>
  </si>
  <si>
    <t>Low water crossing, street flooding. College Hills Blvd and Sunset Dr</t>
  </si>
  <si>
    <t>12090102</t>
  </si>
  <si>
    <t>1209010205</t>
  </si>
  <si>
    <t>120901050203</t>
  </si>
  <si>
    <t>09000013,09000075,09000384</t>
  </si>
  <si>
    <t>091000083</t>
  </si>
  <si>
    <t>San Angelo Sul Ross Avenue and Lindenwood Drive Culvert Improvements.</t>
  </si>
  <si>
    <t>Proposed 9'x8' box culvert running underground along Sul Ross Avenue from Loop 306 to Lindenwood Drive, then along Lindenwood Drive to downstream storage. Excessive street flow, street flooding Sul Ross St. at Sunset Dr.</t>
  </si>
  <si>
    <t>09000003, 09000004</t>
  </si>
  <si>
    <t>091000082</t>
  </si>
  <si>
    <t>San Angelo Street Flooding 3</t>
  </si>
  <si>
    <t>Street flow south of Oxford enters Red Arroyo, 3-4' deep in street</t>
  </si>
  <si>
    <t>091000076</t>
  </si>
  <si>
    <t>San Angelo Street Flooding 12</t>
  </si>
  <si>
    <t>Excessive street flow, street flooding Amarillo St at 39th, Goliad</t>
  </si>
  <si>
    <t>12090104,12090105</t>
  </si>
  <si>
    <t>1209010405,1209010502</t>
  </si>
  <si>
    <t>120901050201,120901040510</t>
  </si>
  <si>
    <t>09000015,09000016,09000088,09000093,09000498,09000508</t>
  </si>
  <si>
    <t>091000078</t>
  </si>
  <si>
    <t>San Angelo Street Flooding 14</t>
  </si>
  <si>
    <t>Heavy street flow, street flooding. Robin Hood at Amistad</t>
  </si>
  <si>
    <t>120901020509</t>
  </si>
  <si>
    <t>091000079</t>
  </si>
  <si>
    <t>San Angelo Street Flooding 15</t>
  </si>
  <si>
    <t>Low water crossing, street flooding. Foster St. South of loop 306</t>
  </si>
  <si>
    <t>09000013,09000075,09000378</t>
  </si>
  <si>
    <t>09000003, 09000004, 09000005, 09000006</t>
  </si>
  <si>
    <t>091000080</t>
  </si>
  <si>
    <t>San Angelo Street Flooding 16</t>
  </si>
  <si>
    <t>Low water crossing, street flooding. Red Bluff Rd. at Lincoln Park Rd</t>
  </si>
  <si>
    <t>120901020507</t>
  </si>
  <si>
    <t>09000013,09000075,09000382</t>
  </si>
  <si>
    <t>091000081</t>
  </si>
  <si>
    <t>San Angelo Street Flooding 17</t>
  </si>
  <si>
    <t>Unclear on issue. Christoval at Chadburne</t>
  </si>
  <si>
    <t>120901020508</t>
  </si>
  <si>
    <t>091000092</t>
  </si>
  <si>
    <t>Scurry County USACE Flood Study</t>
  </si>
  <si>
    <t>Comprehensive study of flood risk and reduction alternatives, with the assistance of the USACE.</t>
  </si>
  <si>
    <t>12080002</t>
  </si>
  <si>
    <t>1208000206</t>
  </si>
  <si>
    <t>120800020603,120800020604</t>
  </si>
  <si>
    <t>09000009,09000048,09000251,09000252</t>
  </si>
  <si>
    <t>09000001, 09000002</t>
  </si>
  <si>
    <t>00000116,00000278,09000288,09003309</t>
  </si>
  <si>
    <t>091000013</t>
  </si>
  <si>
    <t>City of Odessa FEMA Mapping</t>
  </si>
  <si>
    <t xml:space="preserve">Prepare Comprehensive Floodplain and Drainage Study for the City of Odessa. Determine BFE in currently identified A zones on FEMA maps. </t>
  </si>
  <si>
    <t>Ector,Midland</t>
  </si>
  <si>
    <t>12080005</t>
  </si>
  <si>
    <t>1208000503,1208000504</t>
  </si>
  <si>
    <t>120800050304,120800050305,120800050306,120800050402,120800050403,120800050404</t>
  </si>
  <si>
    <t>09000010,09000059,09000060,09000270,09000287,09000298,09000300,09000304,09000305</t>
  </si>
  <si>
    <t>00000151</t>
  </si>
  <si>
    <t>00000151,00000152,00000272,09000288,09001698,09002836,09002838</t>
  </si>
  <si>
    <t>091000035</t>
  </si>
  <si>
    <t>Ector County Stormwater Contaminant Study</t>
  </si>
  <si>
    <t>Conduct a study to determine pollutant levels in County areas nearby sewer system for level of contaminants before and after a flood event.</t>
  </si>
  <si>
    <t>Ector</t>
  </si>
  <si>
    <t>12080005,13070007</t>
  </si>
  <si>
    <t>1208000501,1208000502,1208000503,1208000504,1307000710,1307000713,1307000715,1307000711</t>
  </si>
  <si>
    <t>120800050106,120800050107,120800050201,120800050202,120800050203,120800050204,120800050205,120800050206,120800050301,120800050302,120800050303,120800050304,120800050305,120800050306,120800050307,120800050401,120800050402,120800050404</t>
  </si>
  <si>
    <t>09000010,09000056,09000057,09000059,09000060,09000267,09000269,09000270,09000271,09000275,09000280,09000282,09000287,09000288,09000289,09000293,09000294,09000296,09000297,09000298,09000300,09000303,09000304</t>
  </si>
  <si>
    <t>09000001</t>
  </si>
  <si>
    <t>00000102</t>
  </si>
  <si>
    <t>00000102,00000127,00000151,00000152,00000154,00000272,09000288,00000684,09001698,09002836,09003576</t>
  </si>
  <si>
    <t>091000002</t>
  </si>
  <si>
    <t>Andrews County FEMA Mapping</t>
  </si>
  <si>
    <t>Andrews</t>
  </si>
  <si>
    <t>12080005,12080003,12080004,13070007</t>
  </si>
  <si>
    <t>1208000501,1208000502,1208000307,1208000309,1208000308,1208000408,1208000407,1208000409,1208000410,1307000706,1307000711,1307000702</t>
  </si>
  <si>
    <t>09000010,09000021,09000056,09000057,09000110,09000111,09000115,09000118,09000119,09000120,09000268,09000269,09000280,09000286,09000288,09000289,09000294,09000306,09000307,09000308,09000578,09000582,09000584,09000585,09000586,09000587,09000595,09000596</t>
  </si>
  <si>
    <t>00000102,09000118,00000151,00000152,00000154,09000174,00000272,09001828,09002972</t>
  </si>
  <si>
    <t>091000004</t>
  </si>
  <si>
    <t>Borden FEMA Mapping</t>
  </si>
  <si>
    <t>12050004,12080002,12080006</t>
  </si>
  <si>
    <t>1205000404,1205000405,1205000403,1208000204,1208000202,1208000206,1208000201,1208000203,1208000205,1208000207,1208000608</t>
  </si>
  <si>
    <t>09000009,09000024,09000046,09000047,09000048,09000049,09000050,09000051,09000052,09000138,09000203,09000206,09000210,09000212,09000216,09000219,09000221,09000222,09000223,09000224,09000225,09000226,09000227,09000230,09000231,09000232,09000236,09000237</t>
  </si>
  <si>
    <t>00000115,00000116,00000117,00000172,09000173,09000174,00000183,00000184,00000272,00000275,00000278,00000295,00000445</t>
  </si>
  <si>
    <t>091000089</t>
  </si>
  <si>
    <t>Scurry County  FEMA Mapping</t>
  </si>
  <si>
    <t>Update existing FEMA Mapping</t>
  </si>
  <si>
    <t>12050004,12060102,12080002</t>
  </si>
  <si>
    <t>1205000405,1205000407,1206010201,1206010202,1208000204,1208000206,1208000205,1208000207,1208000210</t>
  </si>
  <si>
    <t>120800020407,120800020507,120800020509,120800020510,120800020601,120800020602,120800020603,120800020604,120800020605,120800020606,120800020607,120800020701,120800020702,120800020703,120800020704,120800020705,120800020706,120800021002</t>
  </si>
  <si>
    <t>09000009,09000046,09000048,09000051,09000052,09000055,09000201,09000203,09000211,09000215,09000216,09000241,09000242,09000250,09000251,09000252,09000253,09000254,09000255,09000256,09000257,09000258,09000259,09000260,09000262</t>
  </si>
  <si>
    <t>00000115,00000116,00000170,00000172,00000183,00000272,00000275,00000278,09000288,00000295,00000445,09003309</t>
  </si>
  <si>
    <t>091000063</t>
  </si>
  <si>
    <t>Nolan County  FEMA Mapping</t>
  </si>
  <si>
    <t>12060102,12080002,12080008,12090101</t>
  </si>
  <si>
    <t>1206010201,1206010202,1206010203,1206010207,1208000209,1208000801,1208000802,1208000803,1209010102</t>
  </si>
  <si>
    <t>120800020901,120800020902,120800020903,120800080305,120800080306,120800080307,120800080102,120800080103,120800080104,120800080109,120800080201,120800080202,120800080204,120800080301,120800080302,120800080303,120800080304,120901010201,120901010202</t>
  </si>
  <si>
    <t>09000009,09000011,09000012,09000054,09000062,09000063,09000064,09000067,09000244,09000247,09000248,09000314,09000315,09000316,09000324,09000327,09000328,09000329,09000332,09000333,09000334,09000335,09000338,09000339,09000340,09000345,09000353</t>
  </si>
  <si>
    <t>00000116,00000145,09000147,00000168,00000170,00000172,00000261,00000278,00000284,00000295,09000499,09000852,09002581</t>
  </si>
  <si>
    <t>091000059</t>
  </si>
  <si>
    <t>Mitchell County  FEMA Mapping</t>
  </si>
  <si>
    <t>Update Existing FEMA Mapping</t>
  </si>
  <si>
    <t>12060102,12080002,12080008,12080007</t>
  </si>
  <si>
    <t>1206010201,1206010202,1208000206,1208000207,1208000208,1208000209,1208000210,1208000801,1208000802,1208000702,1208000701</t>
  </si>
  <si>
    <t>09000009,09000011,09000023,09000048,09000052,09000053,09000054,09000055,09000062,09000063,09000129,09000130,09000201,09000202,09000207,09000208,09000213,09000214,09000245,09000246,09000247,09000248,09000249,09000250,09000254,09000256,09000257,09000258</t>
  </si>
  <si>
    <t>00000115,00000116,09000147,09000149,00000170,00000172,09000173,00000261,00000272,00000278,00000284,00000295,00000445,09003443,09003448,09003449</t>
  </si>
  <si>
    <t>091000054</t>
  </si>
  <si>
    <t>Martin County  FEMA Mapping</t>
  </si>
  <si>
    <t>Martin</t>
  </si>
  <si>
    <t>12080002,12080005,12080004,12080006</t>
  </si>
  <si>
    <t>1208000204,1208000501,1208000502,1208000506,1208000408,1208000407,1208000409,1208000410,1208000411,1208000605,1208000606,1208000607,1208000608</t>
  </si>
  <si>
    <t>09000009,09000010,09000021,09000024,09000046,09000056,09000057,09000058,09000115,09000118,09000119,09000120,09000121,09000132,09000136,09000137,09000138,09000222,09000280,09000281,09000292,09000295,09000608,09000611,09000621,09000624,09000625,09000626</t>
  </si>
  <si>
    <t>00000102,00000115,00000117,09000118,09000150,00000151,09000173,09000174,00000272,09000405,09002738,09002838,09003575</t>
  </si>
  <si>
    <t>091000052</t>
  </si>
  <si>
    <t>Lynn County  FEMA Mapping</t>
  </si>
  <si>
    <t>12050004,12080002,12080001</t>
  </si>
  <si>
    <t>1205000404,1205000401,1205000403,1208000201,1208000203,1208000205,1208000103,1208000105</t>
  </si>
  <si>
    <t>120800010310,120800010503,120800020101,120800020102,120800020103,120800020104,120800020105,120800020106,120800020108</t>
  </si>
  <si>
    <t>09000009,09000019,09000049,09000050,09000051,09000101,09000102,09000204,09000205,09000210,09000217,09000218,09000220,09000227,09000228,09000234,09000544,09000557,09000563,09000564</t>
  </si>
  <si>
    <t>00000115,00000117,00000183,00000184,00000186,00000205,00000272,00000275,00000295,00000308,00000445,09003482</t>
  </si>
  <si>
    <t>091000043</t>
  </si>
  <si>
    <t>Hockley County  FEMA Mapping</t>
  </si>
  <si>
    <t>12050004,12050001,12080001</t>
  </si>
  <si>
    <t>1205000401,1205000109,1208000104,1208000103</t>
  </si>
  <si>
    <t>120800010304,120800010305,120800010307,120800010406</t>
  </si>
  <si>
    <t>09000019,09000099,09000101,09000541,09000551,09000554,09000559</t>
  </si>
  <si>
    <t>00000184,00000186,00000187,00000205,09000206,00000275,00000295,00000308,09003169</t>
  </si>
  <si>
    <t>091000017</t>
  </si>
  <si>
    <t>Cochran County  FEMA Mapping</t>
  </si>
  <si>
    <t>1205000401,1205000109,1208000102,1208000104,1208000101,1208000103</t>
  </si>
  <si>
    <t>120800010106,120800010107,120800010108,120800010109,120800010110,120800010207,120800010208,120800010209,120800010210,120800010211,120800010301,120800010302,120800010303,120800010304,120800010401,120800010402,120800010406,120800010407</t>
  </si>
  <si>
    <t>09000019,09000099,09000101,09000536,09000537,09000538,09000539,09000540,09000542,09000545,09000547,09000548,09000551,09000555,09000556,09000559,09000560,09000565</t>
  </si>
  <si>
    <t>00000186,00000187,00000205,09000206,00000275,00000295</t>
  </si>
  <si>
    <t>091000103</t>
  </si>
  <si>
    <t>Terry County  FEMA Mapping</t>
  </si>
  <si>
    <t>Update existing FEMA Mapping &amp; create FEMA mapping in previously unmapped areas</t>
  </si>
  <si>
    <t>12050004,12080002,12080001,12080004,12080006</t>
  </si>
  <si>
    <t>1205000401,1208000201,1208000203,1208000104,1208000103,1208000105,1208000404,1208000406,1208000407,1208000605,1208000603,1208000604</t>
  </si>
  <si>
    <t>09000009,09000019,09000021,09000024,09000049,09000050,09000099,09000101,09000102,09000116,09000117,09000118,09000132,09000134,09000135,09000204,09000205,09000218,09000233,09000234,09000541,09000543,09000544,09000552,09000553,09000554,09000557,09000558</t>
  </si>
  <si>
    <t>00000117,09000118,00000184,00000186,00000187,00000205,09000206,00000272,00000275,00000295,00000308,09001828,09003111,09003112,09003317</t>
  </si>
  <si>
    <t>091000029</t>
  </si>
  <si>
    <t>Dawson County DMP</t>
  </si>
  <si>
    <t xml:space="preserve">Create Drainage Master Plan, including evaluation of potential mitigation projects. </t>
  </si>
  <si>
    <t>12050004,12080002,12080004,12080006</t>
  </si>
  <si>
    <t>1205000403,1208000204,1208000202,1208000201,1208000203,1208000205,1208000406,1208000407,1208000605,1208000606,1208000607,1208000608</t>
  </si>
  <si>
    <t>09000009,09000021,09000024,09000046,09000047,09000049,09000050,09000051,09000117,09000118,09000132,09000136,09000137,09000138,09000209,09000212,09000218,09000219,09000220,09000221,09000222,09000227,09000228,09000229,09000230,09000231,09000233,09000234</t>
  </si>
  <si>
    <t>00000115,00000117,09000118,09000173,09000174,00000184,00000205,00000272,00000275,00000295,00000308,09001828,09002888,09003125,09003482,09003575</t>
  </si>
  <si>
    <t>091000057</t>
  </si>
  <si>
    <t>Midland County  FEMA Mapping</t>
  </si>
  <si>
    <t>Midland</t>
  </si>
  <si>
    <t>12080005,12090103,12080004,13070007</t>
  </si>
  <si>
    <t>1208000501,1208000502,1208000506,1208000503,1208000504,1208000505,1209010302,1209010301,1208000410,1307000715</t>
  </si>
  <si>
    <t>09000010,09000014,09000021,09000056,09000057,09000058,09000059,09000060,09000061,09000083,09000084,09000120,09000269,09000271,09000272,09000273,09000274,09000276,09000277,09000279,09000280,09000281,09000283,09000284,09000285,09000287,09000290,09000291</t>
  </si>
  <si>
    <t>00000102,00000126,00000127,09000150,00000151,00000152,09000174,00000272,09000288,00000684,09000692,09001049,09002050,09002836,09002838</t>
  </si>
  <si>
    <t>091000062</t>
  </si>
  <si>
    <t>Nolan County  DMP</t>
  </si>
  <si>
    <t>091000053</t>
  </si>
  <si>
    <t>Martin County  DMP</t>
  </si>
  <si>
    <t>091000051</t>
  </si>
  <si>
    <t>Lynn County  DMP</t>
  </si>
  <si>
    <t>120800010310,120800010502,120800010503,120800020101,120800020102,120800020103,120800020104,120800020106,120800020108</t>
  </si>
  <si>
    <t>091000003</t>
  </si>
  <si>
    <t>Andrews County GIS Development</t>
  </si>
  <si>
    <t>Develop GIS an inventory of stormwater infrastructure</t>
  </si>
  <si>
    <t>091000090</t>
  </si>
  <si>
    <t>Scurry County  GIS Development</t>
  </si>
  <si>
    <t>120800020407,120800020507,120800020509,120800020510,120800020601,120800020602,120800020603,120800020604,120800020605,120800020606,120800020607,120800020702,120800020703,120800020704,120800020705,120800020706,120800021002</t>
  </si>
  <si>
    <t>091000028</t>
  </si>
  <si>
    <t>Dawson County  GIS Development</t>
  </si>
  <si>
    <t>091000037</t>
  </si>
  <si>
    <t>Gaines County  GIS Development</t>
  </si>
  <si>
    <t>Gaines</t>
  </si>
  <si>
    <t>12080002,12080003,12080004,12080006</t>
  </si>
  <si>
    <t>1208000203,1208000307,1208000303,1208000306,1208000304,1208000305,1208000301,1208000302,1208000309,1208000308,1208000405,1208000404,1208000406,1208000407,1208000605,1208000606</t>
  </si>
  <si>
    <t>09000009,09000021,09000024,09000050,09000106,09000107,09000110,09000111,09000114,09000116,09000117,09000118,09000132,09000136,09000233,09000568,09000570,09000571,09000575,09000576,09000578,09000579,09000582,09000583,09000584,09000585,09000586,09000587</t>
  </si>
  <si>
    <t>00000102,00000117,09000118,09000174,00000205,09000206,00000272,00000275,09001828,09002681,09002684,09003231</t>
  </si>
  <si>
    <t>091000058</t>
  </si>
  <si>
    <t>Midland County  GIS Development</t>
  </si>
  <si>
    <t>091000032</t>
  </si>
  <si>
    <t>Ector County  GIS Development</t>
  </si>
  <si>
    <t>091000096</t>
  </si>
  <si>
    <t>Taylor County  GIS Development</t>
  </si>
  <si>
    <t>12090108,12060102,12090101</t>
  </si>
  <si>
    <t>1209010801,1206010207,1209010102,1209010103,1209010104</t>
  </si>
  <si>
    <t>120901010201,120901010202,120901010203,120901010301,120901010304,120901010305,120901010306,120901010401</t>
  </si>
  <si>
    <t>09000012,09000067,09000068,09000069,09000345,09000353,09000359,09000361,09000366,09000368,09000369,09000371</t>
  </si>
  <si>
    <t>00000144</t>
  </si>
  <si>
    <t>00000144,00000145,00000168,00000170,00000278,00000284,00000295,00000307</t>
  </si>
  <si>
    <t>091000064</t>
  </si>
  <si>
    <t>Nolan County  GIS Development</t>
  </si>
  <si>
    <t>091000060</t>
  </si>
  <si>
    <t>Mitchell County  GIS Development</t>
  </si>
  <si>
    <t>091000046</t>
  </si>
  <si>
    <t>Howard County  GIS Development</t>
  </si>
  <si>
    <t>Howard</t>
  </si>
  <si>
    <t>12080002,12090104,12080004,12080007,12080006</t>
  </si>
  <si>
    <t>1208000204,1208000207,1208000208,1209010401,1208000411,1208000702,1208000701,1208000607,1208000608</t>
  </si>
  <si>
    <t>09000009,09000015,09000021,09000023,09000024,09000046,09000052,09000053,09000087,09000121,09000129,09000130,09000137,09000138,09000222,09000224,09000226,09000254,09000258,09000261,09000263,09000264,09000265,09000266,09000465,09000484,09000604,09000622</t>
  </si>
  <si>
    <t>00000115,00000117,09000149,09000150,00000172,09000173,09000174,00000261,00000272,00000278,00000284,09000288,09001680,09003385,09003386,09003421</t>
  </si>
  <si>
    <t>091000055</t>
  </si>
  <si>
    <t>Martin County  GIS Development</t>
  </si>
  <si>
    <t>091000044</t>
  </si>
  <si>
    <t>Hockley County  GIS Development</t>
  </si>
  <si>
    <t>091000104</t>
  </si>
  <si>
    <t>Terry County  GIS Development</t>
  </si>
  <si>
    <t>091000001</t>
  </si>
  <si>
    <t>Andrews County DMP</t>
  </si>
  <si>
    <t>091000015</t>
  </si>
  <si>
    <t>City of Snyder DMP</t>
  </si>
  <si>
    <t>091000009</t>
  </si>
  <si>
    <t>City of Lamesa DMP</t>
  </si>
  <si>
    <t>091000036</t>
  </si>
  <si>
    <t>Gaines County  DMP</t>
  </si>
  <si>
    <t>091000056</t>
  </si>
  <si>
    <t>Midland County  DMP</t>
  </si>
  <si>
    <t>091000031</t>
  </si>
  <si>
    <t>Ector County  DMP</t>
  </si>
  <si>
    <t>091000061</t>
  </si>
  <si>
    <t>091000045</t>
  </si>
  <si>
    <t>Howard County  DMP</t>
  </si>
  <si>
    <t>091000102</t>
  </si>
  <si>
    <t>Terry County  DMP</t>
  </si>
  <si>
    <t>091000114</t>
  </si>
  <si>
    <t>Yoakum County  DMP</t>
  </si>
  <si>
    <t>Yoakum</t>
  </si>
  <si>
    <t>12080001,12080003,12080004,12080006</t>
  </si>
  <si>
    <t>1208000104,1208000305,1208000301,1208000403,1208000402,1208000405,1208000404,1208000407,1208000602,1208000601,1208000603,1208000604</t>
  </si>
  <si>
    <t>09000019,09000021,09000024,09000099,09000107,09000114,09000116,09000118,09000134,09000135,09000548,09000559,09000560,09000565,09000566,09000567,09000571,09000590,09000602,09000603,09000606,09000612,09000613,09000617,09000619,09000627,09000630,09000636</t>
  </si>
  <si>
    <t>09000118</t>
  </si>
  <si>
    <t>09000118,00000186,00000187,00000205,09000206,00000272,00000275,09001828,09002479,09002681</t>
  </si>
  <si>
    <t>091000008</t>
  </si>
  <si>
    <t>City of Colorado City DMP</t>
  </si>
  <si>
    <t>1208000210</t>
  </si>
  <si>
    <t>120800021001,120800021002,120800021003</t>
  </si>
  <si>
    <t>09000009,09000055,09000202,09000249,09000250</t>
  </si>
  <si>
    <t>00000172,00000278,09003443</t>
  </si>
  <si>
    <t>091000109</t>
  </si>
  <si>
    <t>Town of Loraine Drainway Project Planning</t>
  </si>
  <si>
    <t>Identify scope of drainways project to remove soil caused by runoff in roadside ditches. Evaluate and study size and number of culverts to minimize drainage projects.</t>
  </si>
  <si>
    <t>1208000209</t>
  </si>
  <si>
    <t>120800020902</t>
  </si>
  <si>
    <t>09000009,09000054,09000247</t>
  </si>
  <si>
    <t>00000172,00000278,09003448</t>
  </si>
  <si>
    <t>091000006</t>
  </si>
  <si>
    <t>City of Blackwell Storm Drain and Culvert Improvements Study</t>
  </si>
  <si>
    <t>Proposed project planning for upgrading undersized stormwater drains and culverts.</t>
  </si>
  <si>
    <t>12080008</t>
  </si>
  <si>
    <t>1208000803</t>
  </si>
  <si>
    <t>120800080304,120800080306</t>
  </si>
  <si>
    <t>09000011,09000064,09000315,09000333</t>
  </si>
  <si>
    <t>09000147</t>
  </si>
  <si>
    <t>09000147,00000170,00000261,00000278,00000284,09000499,09000852,09002581</t>
  </si>
  <si>
    <t>091000108</t>
  </si>
  <si>
    <t>Town of Ballinger  DMP</t>
  </si>
  <si>
    <t>Runnels</t>
  </si>
  <si>
    <t>12090101</t>
  </si>
  <si>
    <t>1209010102,1209010104</t>
  </si>
  <si>
    <t>09000012,09000067,09000069,09000346,09000349,09000354</t>
  </si>
  <si>
    <t>00000145</t>
  </si>
  <si>
    <t>00000145,00000278,00000284,09002451</t>
  </si>
  <si>
    <t>091000007</t>
  </si>
  <si>
    <t>City of Brownfield DMP</t>
  </si>
  <si>
    <t>12080001</t>
  </si>
  <si>
    <t>1208000104,1208000105</t>
  </si>
  <si>
    <t>09000019,09000099,09000102,09000561,09000562,09000563</t>
  </si>
  <si>
    <t>00000205,00000275,00000308,09003111</t>
  </si>
  <si>
    <t>091000012</t>
  </si>
  <si>
    <t>City of Odessa DMP</t>
  </si>
  <si>
    <t>00000151,00000152,00000272,09000288,09002836</t>
  </si>
  <si>
    <t>091000075</t>
  </si>
  <si>
    <t>San Angelo Street Flooding 11</t>
  </si>
  <si>
    <t xml:space="preserve">Upgrade, improve, and expand drainage systems throughout the city. Implementation of sediment and scour control measures. </t>
  </si>
  <si>
    <t>12090101,12090102,12090103,12090104,12090105</t>
  </si>
  <si>
    <t>1209010101,1209010202,1209010203,1209010204,1209010205,1209010311,1209010308,1209010309,1209010310,1209010405,1209010404,1209010501,1209010502,1209010503,1209010504</t>
  </si>
  <si>
    <t>09000012,09000013,09000014,09000015,09000016,09000066,09000072,09000073,09000074,09000075,09000078,09000079,09000080,09000081,09000088,09000091,09000092,09000093,09000094,09000095,09000344,09000356,09000372,09000374,09000378,09000382,09000383,09000384</t>
  </si>
  <si>
    <t>00000050,00000051,09000068,00000124,09000131,00000145,00000261,00000278,00000284,09000496,09000497,09000539,09000775,09000969,09002069,09003257</t>
  </si>
  <si>
    <t>091000100</t>
  </si>
  <si>
    <t>Taylor County Repetitive Loss Properties Study</t>
  </si>
  <si>
    <t xml:space="preserve">Proposed evaluation of potential mitigation project for repetitive loss properties in Taylor County. </t>
  </si>
  <si>
    <t xml:space="preserve">09000001, 09000002, 09000003, 09000004, </t>
  </si>
  <si>
    <t>00000145,00000168,00000170,00000278,00000284,00000295,00000307</t>
  </si>
  <si>
    <t>091000101</t>
  </si>
  <si>
    <t>Taylor County USACE Comprehensive Flood Risk Study</t>
  </si>
  <si>
    <t>Undertake a comprehensive study of flood risk and reduction alternatives, with the assistance of the US Army Corps of Engineering. Implement feasible alternative for flood reduction. Revise flood damage prevention ordinance to include flood risk areas ide</t>
  </si>
  <si>
    <t>091000098</t>
  </si>
  <si>
    <t>091000033</t>
  </si>
  <si>
    <t>Ector County Buyout Program Study</t>
  </si>
  <si>
    <t xml:space="preserve">In the area of 61st Street and Benefield, Florida in north western area of county, structures have experienced repetitive losses from flooding. Proposed evaluation of potential mitigation project. </t>
  </si>
  <si>
    <t>00000102,00000152,00000154,00000272,09000288,09001698,09002836,09003576</t>
  </si>
  <si>
    <t>091000016</t>
  </si>
  <si>
    <t>City of Sterling City DMP</t>
  </si>
  <si>
    <t>Sterling</t>
  </si>
  <si>
    <t>12090104</t>
  </si>
  <si>
    <t>1209010403</t>
  </si>
  <si>
    <t>09000015,09000090,09000479</t>
  </si>
  <si>
    <t>09000149</t>
  </si>
  <si>
    <t>09000149,00000261,00000284,09002715</t>
  </si>
  <si>
    <t>091000091</t>
  </si>
  <si>
    <t>091000014</t>
  </si>
  <si>
    <t>City of O'Donnell DMP</t>
  </si>
  <si>
    <t>Lynn,Dawson</t>
  </si>
  <si>
    <t>1208000201</t>
  </si>
  <si>
    <t>120800020106</t>
  </si>
  <si>
    <t>09000009,09000049,09000228</t>
  </si>
  <si>
    <t>00000117,00000184,00000272,00000275,00000295,00000308,09003482</t>
  </si>
  <si>
    <t>091000097</t>
  </si>
  <si>
    <t xml:space="preserve">Annual dam inspection, partner with SWCD to help fund repairs and maintenance, partner with property owners to report new damage or erosion, and patrol for illegal dumping at dams. </t>
  </si>
  <si>
    <t>09000007</t>
  </si>
  <si>
    <t>091000110</t>
  </si>
  <si>
    <t>Upper Colorado Warning System Outreach and Study</t>
  </si>
  <si>
    <t>Basin-wide Study Program: Improve on Warning signs, lights, or systems.</t>
  </si>
  <si>
    <t>Taylor,Nolan,Mitchell,Howard,Martin,Andrews,Borden,Scurry,Menard,Schleicher,Crockett,Irion,Concho,Reagan,Upton,Tom Green,Coleman,Runnels,Coke,Sterling,Glasscock,Midland,Ector,Winkler,Hockley,Cochran,Garza,Lynn,Terry,Yoakum,Dawson,Gaines</t>
  </si>
  <si>
    <t>13040301,13070008,13070011,12090108,12090109,12090110,12050004,12060102,12080002,12080005,12080008,12090101,12090102,12090103,12090104,12090105,12090106,12050001,12080001,12080003,12080004,13070007,12080007,12080006</t>
  </si>
  <si>
    <t>09000009,09000010,09000011,09000012,09000013,09000014,09000015,09000016,09000019,09000021,09000023,09000024,09000046,09000047,09000048,09000049,09000050,09000051,09000052,09000053,09000054,09000055,09000056,09000057,09000058,09000059,09000060,09000061</t>
  </si>
  <si>
    <t>09000002</t>
  </si>
  <si>
    <t>00000050,00000051,00000052,09000068,00000102,00000115,00000116,00000117,09000118,00000124,00000126,00000127,09000131,00000144,00000145,09000147,09000149,09000150,00000151,00000152,00000154,00000168,00000170,00000172,09000173,09000174,00000183,00000184,000</t>
  </si>
  <si>
    <t>091000106</t>
  </si>
  <si>
    <t>Tom Green County FEMA Mapping</t>
  </si>
  <si>
    <t>091000020</t>
  </si>
  <si>
    <t>Coke County FEMA Mapping</t>
  </si>
  <si>
    <t>Coke</t>
  </si>
  <si>
    <t>12080008,12090101,12090104,12090105</t>
  </si>
  <si>
    <t>1208000801,1208000802,1208000803,1208000804,1209010101,1209010405,1209010404,1209010502</t>
  </si>
  <si>
    <t>09000011,09000012,09000015,09000016,09000062,09000063,09000064,09000065,09000066,09000088,09000091,09000093,09000309,09000310,09000311,09000312,09000313,09000314,09000315,09000316,09000317,09000319,09000320,09000321,09000322,09000323,09000324,09000325</t>
  </si>
  <si>
    <t>09000131,00000145,09000147,09000149,00000170,00000172,00000261,00000278,00000284,09000539,09002162,09002581,09002685,09003477</t>
  </si>
  <si>
    <t>091000023</t>
  </si>
  <si>
    <t>Concho County FEMA Mapping</t>
  </si>
  <si>
    <t>Concho</t>
  </si>
  <si>
    <t>12090109,12090110,12090101,12090105,12090106</t>
  </si>
  <si>
    <t>1209010904,1209011001,1209010105,1209010501,1209010502,1209010503,1209010504,1209010601</t>
  </si>
  <si>
    <t>09000012,09000016,09000070,09000092,09000093,09000094,09000095,09000347,09000348,09000500,09000503,09000507,09000509,09000516,09000517,09000518,09000519,09000520,09000521,09000522,09000523,09000524,09000525,09000526,09000527</t>
  </si>
  <si>
    <t>00000050,00000051,00000124,09000131,00000144,00000145,00000261,00000278,00000284,00000301,00000307,09002653</t>
  </si>
  <si>
    <t>091000026</t>
  </si>
  <si>
    <t>Crockett County FEMA Mapping</t>
  </si>
  <si>
    <t>Crockett</t>
  </si>
  <si>
    <t>13040301,13070008,13070011,12090102,12090103</t>
  </si>
  <si>
    <t>1304030101,1304030102,1307000801,1307000805,1307001101,1209010201,1209010309</t>
  </si>
  <si>
    <t>09000013,09000014,09000071,09000080,09000376,09000377,09000385,09000387,09000404,09000431</t>
  </si>
  <si>
    <t>00000051</t>
  </si>
  <si>
    <t>00000051,00000052,09000068,00000126,00000127,00000261,00000272,00000284,00000684</t>
  </si>
  <si>
    <t>091000030</t>
  </si>
  <si>
    <t>Dawson County FEMA Mapping</t>
  </si>
  <si>
    <t>091000034</t>
  </si>
  <si>
    <t>Ector County FEMA Mapping</t>
  </si>
  <si>
    <t>Update existing FEMA Mapping.</t>
  </si>
  <si>
    <t>091000049</t>
  </si>
  <si>
    <t>Irion County FEMA Mapping</t>
  </si>
  <si>
    <t>Irion</t>
  </si>
  <si>
    <t>12090102,12090103</t>
  </si>
  <si>
    <t>1209010201,1209010202,1209010203,1209010204,1209010307,1209010311,1209010308,1209010309,1209010310</t>
  </si>
  <si>
    <t>09000013,09000014,09000071,09000072,09000073,09000074,09000077,09000078,09000079,09000080,09000081,09000373,09000374,09000376,09000377,09000386,09000387,09000388,09000389,09000392,09000393,09000397,09000398,09000403,09000404,09000407,09000413,09000414</t>
  </si>
  <si>
    <t>00000051,00000052,09000068,00000126,09000131,00000261,00000284,00001240,09002400</t>
  </si>
  <si>
    <t>091000038</t>
  </si>
  <si>
    <t>Gaines County FEMA Mapping</t>
  </si>
  <si>
    <t>091000040</t>
  </si>
  <si>
    <t>Glasscock County FEMA Mapping</t>
  </si>
  <si>
    <t>Glasscock</t>
  </si>
  <si>
    <t>12080005,12090103,12090104,12080004,12080007,12080006</t>
  </si>
  <si>
    <t>1208000506,1208000505,1209010308,1209010305,1209010302,1209010401,1209010402,1209010403,1208000410,1208000411,1208000702,1208000608</t>
  </si>
  <si>
    <t>09000010,09000014,09000015,09000021,09000023,09000024,09000058,09000061,09000079,09000082,09000083,09000087,09000089,09000090,09000120,09000121,09000129,09000138,09000278,09000279,09000291,09000301,09000302,09000406,09000418,09000419,09000430,09000439</t>
  </si>
  <si>
    <t>00000126</t>
  </si>
  <si>
    <t>00000126,00000127,09000149,09000150,00000151,09000173,09000174,00000261,00000272,00000684,00001240</t>
  </si>
  <si>
    <t>091000047</t>
  </si>
  <si>
    <t>Howard County FEMA Mapping</t>
  </si>
  <si>
    <t>091000005</t>
  </si>
  <si>
    <t>City of Big Lake FEMA Mapping</t>
  </si>
  <si>
    <t>Reagan</t>
  </si>
  <si>
    <t>12090103</t>
  </si>
  <si>
    <t>1209010306,1209010307</t>
  </si>
  <si>
    <t>120901030602,120901030701</t>
  </si>
  <si>
    <t>09000014,09000076,09000077,09000432,09000433</t>
  </si>
  <si>
    <t>09003500</t>
  </si>
  <si>
    <t>091000067</t>
  </si>
  <si>
    <t>Reagan County FEMA Mapping</t>
  </si>
  <si>
    <t>1209010301,1209010302,1209010303,1209010304,1209010305,1209010306,1209010307,1209010308,1209010309</t>
  </si>
  <si>
    <t>09000999</t>
  </si>
  <si>
    <t>091000070</t>
  </si>
  <si>
    <t>Runnels County FEMA Mapping</t>
  </si>
  <si>
    <t>12090108,12080008,12090101,12090105,12090106</t>
  </si>
  <si>
    <t>1209010801,1208000803,1208000804,1209010101,1209010102,1209010103,1209010104,1209010105,1209010502,1209010504,1209010601</t>
  </si>
  <si>
    <t>091000099</t>
  </si>
  <si>
    <t>Taylor County FEMA Mapping</t>
  </si>
  <si>
    <t>091000112</t>
  </si>
  <si>
    <t>Upton County FEMA Mapping</t>
  </si>
  <si>
    <t>Upton</t>
  </si>
  <si>
    <t>12080005,12090103</t>
  </si>
  <si>
    <t>1208000505,1209010301,1209010302,1209010303</t>
  </si>
  <si>
    <t>120800050502,120901030101,120901030102,120901030103,120901030104,120901030201,120901030202,120901030203,120901030301,120901030302,120901030305</t>
  </si>
  <si>
    <t>09000010,09000014,09000061,0900083,09000084,09000085,09000274,09000405,09000406,09000412,</t>
  </si>
  <si>
    <t>00000127</t>
  </si>
  <si>
    <t>091000019</t>
  </si>
  <si>
    <t>Coke County DMP</t>
  </si>
  <si>
    <t>1208000801,1208000802,1208000803,1208000804,1209010101,1209010404,1209010405,1209010502</t>
  </si>
  <si>
    <t>091000021</t>
  </si>
  <si>
    <t>Coke County GIS Development</t>
  </si>
  <si>
    <t>091000022</t>
  </si>
  <si>
    <t>Concho County DMP</t>
  </si>
  <si>
    <t>12090101,12090105</t>
  </si>
  <si>
    <t>1209010105,1209010501,1209010502,1209010503,1209010504</t>
  </si>
  <si>
    <t>120901010504,120901010505,120901050107,120901050207,120901050303,120901050304,120901050305,120901050306,120901050307,120901050308,120901050401,120901050402,120901050403,120901050404,120901050405,120901050406,120901050407,</t>
  </si>
  <si>
    <t>00000124</t>
  </si>
  <si>
    <t>091000024</t>
  </si>
  <si>
    <t>Concho County GIS Development</t>
  </si>
  <si>
    <t>091000025</t>
  </si>
  <si>
    <t>Crockett County DMP</t>
  </si>
  <si>
    <t>1209010201,1209010309</t>
  </si>
  <si>
    <t>120901020101,120901020102,120901020104,120901020105,120901030901</t>
  </si>
  <si>
    <t>09000013,09000014,09000071,09000080,09000376,09000377,09000385,09000387,09000431</t>
  </si>
  <si>
    <t>00000052</t>
  </si>
  <si>
    <t>091000027</t>
  </si>
  <si>
    <t>Crockett County GIS Development</t>
  </si>
  <si>
    <t>091000066</t>
  </si>
  <si>
    <t>Reagan County DMP</t>
  </si>
  <si>
    <t>1209010301,1209010302,1209010303,1209010304,1209010305,1209010306,1209010307,1209010308,1209010309,</t>
  </si>
  <si>
    <t>091000068</t>
  </si>
  <si>
    <t>Reagan County GIS Development</t>
  </si>
  <si>
    <t>091000086</t>
  </si>
  <si>
    <t>Schleicher County DMP</t>
  </si>
  <si>
    <t>Schleicher</t>
  </si>
  <si>
    <t>1209010201,1209010202,1209010203,1209010204,1209010205,1209010503</t>
  </si>
  <si>
    <t>120901020105,120901020201,120901020301,120901020302,120901020303,120901020401,120901020402,120901020403,120901020404,120901020405,120901020406,120901020407,120901020408,120901020501,120901050302</t>
  </si>
  <si>
    <t>09000013,09000016,09000071,09000072,09000073,09000074,09000075,09000094,09000375,09000379,09000380,09000381,09000386,09000387,09000392,09000393,09000396,09000399,09000400,09000402,09000403,09000525</t>
  </si>
  <si>
    <t>091000087</t>
  </si>
  <si>
    <t>Schleicher County FEMA Mapping</t>
  </si>
  <si>
    <t>091000088</t>
  </si>
  <si>
    <t>Schleicher County GIS Development</t>
  </si>
  <si>
    <t>091000093</t>
  </si>
  <si>
    <t>Sterling County DMP</t>
  </si>
  <si>
    <t>12080007,12080008,12090103,12090104</t>
  </si>
  <si>
    <t>1208000702,1208000801,1209010308,1209010309,1209010311,1209010401,1209010402,1209010403,1209010404</t>
  </si>
  <si>
    <t>091000094</t>
  </si>
  <si>
    <t>Sterling County FEMA Mapping</t>
  </si>
  <si>
    <t>091000095</t>
  </si>
  <si>
    <t>Sterling County GIS Development</t>
  </si>
  <si>
    <t>091000018</t>
  </si>
  <si>
    <t>1208000103,1208000104</t>
  </si>
  <si>
    <t>120800010108,120800010109,120800010110,120800010208,120800010209,120800010210,120800010211,120800010301,120800010302,120800010303,120800010304,120800010401,120800010402,120800010406,120800010407</t>
  </si>
  <si>
    <t>091000039</t>
  </si>
  <si>
    <t>Glasscock County DMP</t>
  </si>
  <si>
    <t>12080004,12080005,12080006,12090103,12090104</t>
  </si>
  <si>
    <t>1208000505,1208000506,1208000608,1209010302,1209010305,1209010308,1209010401,1209010402,1209010403,1209010410,1209010411</t>
  </si>
  <si>
    <t>09000150</t>
  </si>
  <si>
    <t>091000041</t>
  </si>
  <si>
    <t>Glasscock County GIS Development</t>
  </si>
  <si>
    <t>091000042</t>
  </si>
  <si>
    <t>Hockley County  DMP</t>
  </si>
  <si>
    <t>091000048</t>
  </si>
  <si>
    <t>Irion County DMP</t>
  </si>
  <si>
    <t>1209010201,1209010202,1209010203,1209010204,1209010307,1209010308,1209010309,1209010310,1209010311,</t>
  </si>
  <si>
    <t>09000068</t>
  </si>
  <si>
    <t>091000050</t>
  </si>
  <si>
    <t>Irion County GIS Development</t>
  </si>
  <si>
    <t>091000069</t>
  </si>
  <si>
    <t>Runnels County DMP</t>
  </si>
  <si>
    <t>091000071</t>
  </si>
  <si>
    <t>Runnels County GIS Development</t>
  </si>
  <si>
    <t>091000105</t>
  </si>
  <si>
    <t>Tom Green County DMP</t>
  </si>
  <si>
    <t>091000107</t>
  </si>
  <si>
    <t>Tom Green County GIS Development</t>
  </si>
  <si>
    <t>091000111</t>
  </si>
  <si>
    <t>Upton County DMP</t>
  </si>
  <si>
    <t>09000010,09000014,09000061,0900083,09000084,09000085,09000274,09000405,09000406,09000412</t>
  </si>
  <si>
    <t>091000113</t>
  </si>
  <si>
    <t>Upton County GIS Development</t>
  </si>
  <si>
    <t>091000115</t>
  </si>
  <si>
    <t>Yoakum County FEMA Mapping</t>
  </si>
  <si>
    <t>12080001,12080004,12080006</t>
  </si>
  <si>
    <t>1208000104,1208000305,1208000404,1208000405,1208000407,1208000603,1208000604</t>
  </si>
  <si>
    <t>09000206</t>
  </si>
  <si>
    <t>091000010</t>
  </si>
  <si>
    <t>City of Loraine Kindred St Detention Project</t>
  </si>
  <si>
    <t>Identify scope of detention project on Kindred Street. Offsite detention and property buyout required in order to handle runoff from culvert project identification on Kinder Street. Implement the most cost-effective solution to reduce or eliminate floodin</t>
  </si>
  <si>
    <t>09000004</t>
  </si>
  <si>
    <t>Detention Pond,Property Acquisition,Storm Drain</t>
  </si>
  <si>
    <t>091000065</t>
  </si>
  <si>
    <t>Nolan County Buyout Program Study</t>
  </si>
  <si>
    <t xml:space="preserve">Proposed evaluation of potential buyout project for repetitive loss properties in Nolan County. </t>
  </si>
  <si>
    <t>09000001, 09000002, 09000003, 09000004</t>
  </si>
  <si>
    <t>091000011</t>
  </si>
  <si>
    <t>City of Odessa Buyout Program Study</t>
  </si>
  <si>
    <t xml:space="preserve">In Muskingum Draw floodplain between 8th Street and University Boulevard, numerous homes and small businesses (approximately 400) are subject to damage from flooding. Proposed evaluation of potential buyout project.  </t>
  </si>
  <si>
    <t>Midland,Ector</t>
  </si>
  <si>
    <t>091000077</t>
  </si>
  <si>
    <t>San Angelo Street Flooding 13</t>
  </si>
  <si>
    <t>Heavy street flow. 23rd at Armstrong</t>
  </si>
  <si>
    <t>12090102,12090104,12090105</t>
  </si>
  <si>
    <t>1209010205,1209010405,1209010502</t>
  </si>
  <si>
    <t>09000013,09000015,09000016,09000075,09000088,09000093,09000378,09000382,09000384,09000394,09000495,09000498,09000508,09000512,09000513</t>
  </si>
  <si>
    <t>091000084</t>
  </si>
  <si>
    <t>San Angelo Sulper Draw Park Drainage Improvements</t>
  </si>
  <si>
    <t>Low water crossing, street flooding. Monroe at Sulfur Draw Park. Excessive street flow, street flooding. Taylor St at Conchita St. Heavy street flow. Madison St. between Ave J to Algerita. Heavy street flow. Beauregard Ave (Campus to N Concho River)</t>
  </si>
  <si>
    <t>091000085</t>
  </si>
  <si>
    <t>San Angelo Sunset Lake Flooding Improvement</t>
  </si>
  <si>
    <t>Evaluate the increase in flood water surface. Analyize the flood pool level for Sunset Lake. Review the outlet structures, over flow points, and the excessive 70,000 cu yds of requireded dredging. Restore or improve lake levels to FEMA FIS studies.</t>
  </si>
  <si>
    <t>091000116</t>
  </si>
  <si>
    <t>Butler Farms Bridge</t>
  </si>
  <si>
    <t>Provide access to Butler Farms subdivision through construction of a bridge structure on Foster Road as well as construction of a secondary access to the subdivision</t>
  </si>
  <si>
    <t>9000004</t>
  </si>
  <si>
    <t>091000117</t>
  </si>
  <si>
    <t xml:space="preserve">Southwest Blvd Channel Widening </t>
  </si>
  <si>
    <t xml:space="preserve">Widen channel from just upstream of Loop 306 to just downstream of Southwest Blvd.  Install a 300 flood bridge with high chord of 1888msl.  Install storm drain line in Southwest Blvd.  </t>
  </si>
  <si>
    <t>091000125</t>
  </si>
  <si>
    <t xml:space="preserve">North Fork Red Arroyo Detention </t>
  </si>
  <si>
    <t>8 ac and 12 ac regional detention basins</t>
  </si>
  <si>
    <t>091000126</t>
  </si>
  <si>
    <t>Pecan and 3rd Sreet</t>
  </si>
  <si>
    <t>2.1 ac regional detention. intersection and downstream channel improvements</t>
  </si>
  <si>
    <t>1209010405</t>
  </si>
  <si>
    <t>09000015,09000088,09000498</t>
  </si>
  <si>
    <t>9000006</t>
  </si>
  <si>
    <t>091000127</t>
  </si>
  <si>
    <t>Spaulding St Storm Drain</t>
  </si>
  <si>
    <t xml:space="preserve">Raise Spaulding St. at East Angelo Draw by 5.4 feet and install (4) 9 x 8’ box culverts 
under Spaulding; raise Bell St. at East Angelo Draw by 2.4 feet and install (4) 9 x8’ 
culverts. </t>
  </si>
  <si>
    <t>091000128</t>
  </si>
  <si>
    <t xml:space="preserve">City of San Angelo 400 Block of E. 14th St. Buyout_x000D_
</t>
  </si>
  <si>
    <t xml:space="preserve">This area floods homes during heavy rainfall. Demo existing building and convert to park area._x000D_
</t>
  </si>
  <si>
    <t>09000003</t>
  </si>
  <si>
    <t>091000129</t>
  </si>
  <si>
    <t>Midland Draw Channel Improvements</t>
  </si>
  <si>
    <t>The proposed channel has a 250-foot top width for the entire length of the reach. There are three existing crossings, two to remain, one to be expanded, and one new crossing. The first crossing, at Loop 349, is to remain. The second crossing, at the futu*</t>
  </si>
  <si>
    <t>1208000501</t>
  </si>
  <si>
    <t>120800050107</t>
  </si>
  <si>
    <t>09000010,09000056,09000280</t>
  </si>
  <si>
    <t>City of Midland</t>
  </si>
  <si>
    <t>00000151,00000272</t>
  </si>
  <si>
    <t>00000028,00000258,00000307,10002526</t>
  </si>
  <si>
    <t>Upgrade flow capacity</t>
  </si>
  <si>
    <t>00000028,00000258,00000307,10001290,10003203</t>
  </si>
  <si>
    <t>00000028,00000034,00000258,00000307</t>
  </si>
  <si>
    <t>00000028,00000258,00000307</t>
  </si>
  <si>
    <t>00000028,00000032,00000258,00000307</t>
  </si>
  <si>
    <t>00000028,00000032,00000258,00000295,00000307</t>
  </si>
  <si>
    <t>00000028,00000258,00000307,10001091,10001092,10003201</t>
  </si>
  <si>
    <t>00000146,00000278,00000307,10001721,10002887</t>
  </si>
  <si>
    <t>00000049,00000258,00000307,10003109</t>
  </si>
  <si>
    <t>00000009,00000266,00000307,10001823,00002044,10002090,10002924</t>
  </si>
  <si>
    <t>00000009,00000266,00000295,00002044,00002935</t>
  </si>
  <si>
    <t>00000030,00000255,00000307,00001401,10002910</t>
  </si>
  <si>
    <t>00000026,00000258,00000291,00000307,10002701</t>
  </si>
  <si>
    <t>00000026,00000258,00000291,00000307,10002702</t>
  </si>
  <si>
    <t>00000026,00000258,00000291,00000307,00002703,00002800</t>
  </si>
  <si>
    <t>10000098,00000264,10000292,10000357,10001009</t>
  </si>
  <si>
    <t>00000015,00000021,00000022,00000030,10000039,00000255,00000261,00000268,00000290,00000291,00000297,00000307,00001401</t>
  </si>
  <si>
    <t>Partial</t>
  </si>
  <si>
    <t>10000039,00000261,00000307,10003499</t>
  </si>
  <si>
    <t>10000045,00000258,00000307,10003259</t>
  </si>
  <si>
    <t>10000045,00000049,00000258,00000307,10001776,10003476,10003567</t>
  </si>
  <si>
    <t>10000045,10000046,00000049,10000066,00000255,00000258,00000259,00000261,00000307,10000593,10000633,10000769,00001401,10001776,10001790,10001806,10003259,10003429,10003476,10003567</t>
  </si>
  <si>
    <t>10000045,00000258,00000307,10000769</t>
  </si>
  <si>
    <t>10000097,00000266,00000307,10000398,10000408,10003494</t>
  </si>
  <si>
    <t>10000097,00000266,00000307,10000408,10003494</t>
  </si>
  <si>
    <t>10000004,10000097,10000098,00000264,00000266,10000292,00000307,10000357,10000398,10000408,10000669,10000723,10001002,10001004,10001009,10001823,10003136,10003494</t>
  </si>
  <si>
    <t>00000003,10000004,00000088,10000097,10000098,00000264,00000266,00000291,10000292,00000307,10000357,10000398,10000408,00000577,10000669,10000723,10000974,10001001,10001002,10001003,10001004,10001009,10001047,00001801,10001823,10003393,10003494,10003568</t>
  </si>
  <si>
    <t>10000066,00000259,00000307,10000950,10002726</t>
  </si>
  <si>
    <t>00000034,00000258,00000307,10001845,10002016,10002315,10002612,10003455,00003457</t>
  </si>
  <si>
    <t>00000034,00000258,00000307,10002315,10002612,10003455</t>
  </si>
  <si>
    <t>00000034,00000258,00000307,10001283,00002700,10003460</t>
  </si>
  <si>
    <t>00000034,00000258,00000307,10000917,10001071,10001139,10003528</t>
  </si>
  <si>
    <t>00000034,00000258,00000307,00002700,10003192</t>
  </si>
  <si>
    <t>00000034,00000258,00000307,10001034,10003461</t>
  </si>
  <si>
    <t>00000094,00000264,00000291,00000314,00000588,00002428</t>
  </si>
  <si>
    <t>00000002,00000088,00000094,10000098,00000099,00000264,00000291,10000292,00000314,10000357,10000420,00000538,00000580,00000588,10001009,10001023,00002428</t>
  </si>
  <si>
    <t>10000004,00000266,00000307,10001019,10001823,10003136</t>
  </si>
  <si>
    <t>10000004,00000266,00000307,10001823,10003136</t>
  </si>
  <si>
    <t>00000028,00000258,00000307,10003203</t>
  </si>
  <si>
    <t>00000028,00000258,00000307,10002002,10002011</t>
  </si>
  <si>
    <t>00000031,00000258,00000307,10003338</t>
  </si>
  <si>
    <t>00000017,00000030,00000031,10000045,00000049,00000255,00000258,00000291,00000307,00001401,10003338,10003339</t>
  </si>
  <si>
    <t>00000003,00000266,00000577,00001801,10003099,10003568</t>
  </si>
  <si>
    <t>00000146,00000278,00000307,10001721,10001722,10002887</t>
  </si>
  <si>
    <t>00000146,00000278,00000307,10001721,10001722,10002887,10003090</t>
  </si>
  <si>
    <t>00000002,10000012,00000018,00000019,10000098,00000258,00000264,00000266,10000292,00000307,10000357,00000884,10001009,10001669,10001670,10001742,10001823,10003069,10003070,10003228</t>
  </si>
  <si>
    <t>00000019,00000258,00000307,10001779,10003061</t>
  </si>
  <si>
    <t>00000019,00000258,00000307,00003060</t>
  </si>
  <si>
    <t>00000003,10000004,00000009,00000018,00000266,00000295,00000307,10000325,00000577,00001801,10001823,00002044,10002090,10002433,00002516,00002921,10002924,00002935,10003568</t>
  </si>
  <si>
    <t>00000003,00000266,00000295,00000577,00001043,00001801,10002982,00002984,00003023,00003144,10003568</t>
  </si>
  <si>
    <t>00000146,00000278,00000307</t>
  </si>
  <si>
    <t>00000049,00000258,00000295,00000307,00003107</t>
  </si>
  <si>
    <t>00000026,00000258,00000291,00000307,10002702,00002799</t>
  </si>
  <si>
    <t>00000028,00000258,00000307,10003201</t>
  </si>
  <si>
    <t>00000049,00000258,00000307,00003107</t>
  </si>
  <si>
    <t>00000146,00000278,00000307,10001721,10003090</t>
  </si>
  <si>
    <t>10000004,00000009,00000266,00000307,10001017,10001823,00002044,10002433</t>
  </si>
  <si>
    <t>00000034,00000043,00000258,00000295,00000307,00000369,10001845,10002016,10002077,10002612,00003454,10003455,00003457</t>
  </si>
  <si>
    <t>00000034,00000258,00000307,10002612,10003455</t>
  </si>
  <si>
    <t>00000049,00000258,00000307,10001248,10003109,10003110,10003429</t>
  </si>
  <si>
    <t>00000049,00000258,00000307,10001248,10003109,10003429</t>
  </si>
  <si>
    <t>00000049,00000258,00000307,10003109,10003110</t>
  </si>
  <si>
    <t>10000045,00000258,00000307,10003567</t>
  </si>
  <si>
    <t>00000017,00000022,00000030,10000039,10000045,10000046,00000255,00000258,00000261,00000291,00000297,00000307,10000633,10000891,00001401,10002910</t>
  </si>
  <si>
    <t>00000017,00000022,00000030,00000031,00000255,00000258,00000291,00000297,00000307,00001401</t>
  </si>
  <si>
    <t>10000039,10000046,00000050,00000051,10000067,00000124,00000261,00000284,00000307,10000633,10000947,10002764</t>
  </si>
  <si>
    <t>00000050,00000261,00000307,10000947,10002764</t>
  </si>
  <si>
    <t>00000032,00000258,00000307,00003143</t>
  </si>
  <si>
    <t>101000195</t>
  </si>
  <si>
    <t>Spicewood Springs Road Low Water Crossing #1 Project Planning</t>
  </si>
  <si>
    <t>Project planning for bridge to replace undersized box culvert. Develop technical data required for FMP.</t>
  </si>
  <si>
    <t>00000034</t>
  </si>
  <si>
    <t>00000034,00000043,00000258,00000307,00000369,00001008,00002700</t>
  </si>
  <si>
    <t>2017 Bond Program</t>
  </si>
  <si>
    <t>101000196</t>
  </si>
  <si>
    <t>Navidad River - Stem Branch Erosion Control Structure Project Planning</t>
  </si>
  <si>
    <t>Project planning for project to replace erosion control structure. Develop technical data required for FMP.</t>
  </si>
  <si>
    <t>10000023</t>
  </si>
  <si>
    <t>101000197</t>
  </si>
  <si>
    <t>La Salle Erosion Control Structure Project Planning</t>
  </si>
  <si>
    <t>12100402</t>
  </si>
  <si>
    <t>101000198</t>
  </si>
  <si>
    <t>Goat Trail Erosion Control Structure Project Planning</t>
  </si>
  <si>
    <t>101000199</t>
  </si>
  <si>
    <t>County Road 106 Erosion Control Structure Project Planning</t>
  </si>
  <si>
    <t>00000094,10000098,00000264,00000291,10000292,10000357,00000588,10001009</t>
  </si>
  <si>
    <t>101000200</t>
  </si>
  <si>
    <t>Lake Travis/Cross Street Area Buyout Project Planning</t>
  </si>
  <si>
    <t>Project planning for acquisition of property located in floodplain of Lake Travis and Cross St Area, or other mitigation actions. Develop technical data required for FMP.</t>
  </si>
  <si>
    <t>00000034,00000258,00000307,10003455</t>
  </si>
  <si>
    <t>101000201</t>
  </si>
  <si>
    <t xml:space="preserve">Hays County Buyout Project Planning
</t>
  </si>
  <si>
    <t xml:space="preserve">Project planning for action to mitigate 38 identified properties. Develop technical data required for FMP.
</t>
  </si>
  <si>
    <t>12090205,12090206,12100203,12090301</t>
  </si>
  <si>
    <t>00000026</t>
  </si>
  <si>
    <t>101000202</t>
  </si>
  <si>
    <t>Dalton Lane Crossing Improvements Project Planning</t>
  </si>
  <si>
    <t>Project planning for project to upgrade the two low water crossings to improve public safety and reduce road closures during small, frequent storm events. Develop technical data required for FMP.</t>
  </si>
  <si>
    <t>00000034,00000258,00000307,00002700</t>
  </si>
  <si>
    <t>101000203</t>
  </si>
  <si>
    <t>Highland Hills Crossing Improvements Project Planning</t>
  </si>
  <si>
    <t>Project planning for project to upgrade the low crossing to reduce the frequency and depth of inundation and improve public safety. Develop technical data required for FMP.</t>
  </si>
  <si>
    <t>10000026</t>
  </si>
  <si>
    <t>101000204</t>
  </si>
  <si>
    <t>Shoal Creek - Nueces St Flood Risk Reduction Project Project Planning</t>
  </si>
  <si>
    <t>Project planning for project which includes the construction of approximately 15,980 linear feet of upgraded storm drain pipe and numerous new storm drain inlets throughout the area. Develop technical data required for FMP.</t>
  </si>
  <si>
    <t>City of Austin PER</t>
  </si>
  <si>
    <t>101000205</t>
  </si>
  <si>
    <t>Waller Creek - Guadalupe St Flood Risk Reduction Project Planning</t>
  </si>
  <si>
    <t>Project planning for project to upgrade 28,000 linear feet of subsurface stormwater drains east of Guadalupe Street and west of Avenue G, between 33rd and 46th streets. Develop technical data required for FMP.</t>
  </si>
  <si>
    <t>101000206</t>
  </si>
  <si>
    <t>Creek St at Barons Creek LWC Upgrade Project Planning</t>
  </si>
  <si>
    <t>Project planning to upgrade LWC. Develop technical data required for FMP.</t>
  </si>
  <si>
    <t>City of Fredericsburg DMP</t>
  </si>
  <si>
    <t>101000207</t>
  </si>
  <si>
    <t>Highway St Improvements Project Planning</t>
  </si>
  <si>
    <t>Project planning for vegetated channel system with two 10' x 4' box culverts in storm drain system to Baron Creek. Develop technical data required for FMP.</t>
  </si>
  <si>
    <t>101000208</t>
  </si>
  <si>
    <t>Glen Flora Drainage Master Plan and Levee Project</t>
  </si>
  <si>
    <t>Watershed Study and Project Planning</t>
  </si>
  <si>
    <t>12090302,12090401</t>
  </si>
  <si>
    <t>100000021, 100000025</t>
  </si>
  <si>
    <t>10000004,00000266,00000307,10001823</t>
  </si>
  <si>
    <t>Watershed Study</t>
  </si>
  <si>
    <t>Lower Colorado River FEWS FPP Study (2022) - RAS 2D</t>
  </si>
  <si>
    <t>101000209</t>
  </si>
  <si>
    <t>Jackson County Phase 2 DMP</t>
  </si>
  <si>
    <t>12100402,12100101,12100102,12100401</t>
  </si>
  <si>
    <t>00000002,10000004,00000088,00000094,10000097,10000098,00000264,00000266,00000291,10000292,00000307,10000357,10000398,10000408,00000588,10000669,10000723,10001009,10001101,10001677,10001678,10001823,10002696,10002698,10002705</t>
  </si>
  <si>
    <t>FEMA FIS</t>
  </si>
  <si>
    <t>101000210</t>
  </si>
  <si>
    <t>City of El Campo Drainage Master Plan Update</t>
  </si>
  <si>
    <t>12100102,12090302,12100401</t>
  </si>
  <si>
    <t>El Campo DMP</t>
  </si>
  <si>
    <t>101000211</t>
  </si>
  <si>
    <t>Jarvis Creek Channel Widening and Regional Detention Project</t>
  </si>
  <si>
    <t>12090302,12090402</t>
  </si>
  <si>
    <t>100000021, 100000025, 100000027</t>
  </si>
  <si>
    <t>1D Stead State - Wharton Co. DMP (2008); 2D RAS - Wharton CDBG-DR Project (CR 130)</t>
  </si>
  <si>
    <t>101000212</t>
  </si>
  <si>
    <t>Louise Internal Drainage Master Plan</t>
  </si>
  <si>
    <t>10000004,00000266,00000307,10000532,10001823</t>
  </si>
  <si>
    <t>Wharton County Drainage Master Plan</t>
  </si>
  <si>
    <t>101000213</t>
  </si>
  <si>
    <t>Wharton County Drainage Master Plan Update</t>
  </si>
  <si>
    <t>12090302,12090401,12090402,12100102,12100401</t>
  </si>
  <si>
    <t>00000003,10000004,00000009,10000012,00000018,10000097,10000098,00000264,00000266,10000292,00000307,10000357,10000532,00000577,10001009,10001017,10001018,10001019,10001498,00001801,10001823,00002044,10002376,10002433,10002924,10003136,10003431,10003568</t>
  </si>
  <si>
    <t>101000214</t>
  </si>
  <si>
    <t>West Brazoria County Drainage District #11</t>
  </si>
  <si>
    <t>12090401,12090402</t>
  </si>
  <si>
    <t>10003568</t>
  </si>
  <si>
    <t>00000003,10000004,00000009,10000097,00000266,00000295,00000307,00000577,00001043,00001801,10001823,00002044,00002981,10002982,00002984,00003023,10003099,00003144,10003568</t>
  </si>
  <si>
    <t>WBCDD 11</t>
  </si>
  <si>
    <t>111000009</t>
  </si>
  <si>
    <t xml:space="preserve">Center Point ISD Drainage Improvements Study </t>
  </si>
  <si>
    <t>Study of solutions to construct new storm drainage infrastructure to reduce the potential impacts of future flood events.</t>
  </si>
  <si>
    <t>Guadalupe</t>
  </si>
  <si>
    <t>12100201</t>
  </si>
  <si>
    <t>11000018,11000019,11000021,11000014,11000016,11000017</t>
  </si>
  <si>
    <t>11000009, 11000010</t>
  </si>
  <si>
    <t>11003542</t>
  </si>
  <si>
    <t>11000662,00000255,11002585,00000297,00000022</t>
  </si>
  <si>
    <t>Meets minimum TWDB requirements</t>
  </si>
  <si>
    <t>111000004</t>
  </si>
  <si>
    <t xml:space="preserve">Caldwell County Emergency Service District #1 Drainage and Utility Plan </t>
  </si>
  <si>
    <t>Develop a drainage and utility plan.</t>
  </si>
  <si>
    <t>Caldwell,Hays</t>
  </si>
  <si>
    <t>12100203</t>
  </si>
  <si>
    <t>11000111,11000110,11000112,11000113,11000116</t>
  </si>
  <si>
    <t>11003539</t>
  </si>
  <si>
    <t>11001856,11002100,00000392,00003202,00000307,00002800,11002049,00000026,00000016,00003189,00000291,00000258,11002686,11002680</t>
  </si>
  <si>
    <t>Caldwell County HMP</t>
  </si>
  <si>
    <t>111000005</t>
  </si>
  <si>
    <t>Caldwell County Emergency Service District #3 River Crossing Improvements Study</t>
  </si>
  <si>
    <t>Study solutions to upgrade river crossings throughout the district including but not limited to Scull Road Bridge.</t>
  </si>
  <si>
    <t>Caldwell</t>
  </si>
  <si>
    <t>11000116,11000109,11000118,11000105</t>
  </si>
  <si>
    <t>11000001, 11000002</t>
  </si>
  <si>
    <t>11003540</t>
  </si>
  <si>
    <t>11000607,11001975,00000255,00000392,00000010,11001889,00000016,11003473,00000291,00000258,11002343</t>
  </si>
  <si>
    <t>111000006</t>
  </si>
  <si>
    <t>Caldwell County Emergency Service District #3 Repetitive Loss Property Mitigation Study</t>
  </si>
  <si>
    <t>Study of identify flood-prone and repetitive loss properties through the Texas Water Development Board and identify and study solutions to reduce or eliminate flooding at identified properties.</t>
  </si>
  <si>
    <t>111000007</t>
  </si>
  <si>
    <t>Caldwell County Emergency Service District #4 Fire Station 2 Project Planning</t>
  </si>
  <si>
    <t>Planning for proposed project to build a swell and raise driveway of Fire Station 2 to prevent inundation of facility and to keep station in service during major storm events.</t>
  </si>
  <si>
    <t>11000118</t>
  </si>
  <si>
    <t>11000015, 11000016</t>
  </si>
  <si>
    <t>11003541</t>
  </si>
  <si>
    <t>00000291,00000016,00000258</t>
  </si>
  <si>
    <t>Communication with Sponsor</t>
  </si>
  <si>
    <t>111000008</t>
  </si>
  <si>
    <t>Canyon Regional WA Hays Caldwell Water Treatment Plant Floodwall Project Planning</t>
  </si>
  <si>
    <t>Project planning for Canyon Regional WA - Hays Caldwell Water Treatment Plant Floodwall Project</t>
  </si>
  <si>
    <t>12100202</t>
  </si>
  <si>
    <t>11000043</t>
  </si>
  <si>
    <t>00000392</t>
  </si>
  <si>
    <t>00000821,00000255,00000392,00000010,00000291,11002265</t>
  </si>
  <si>
    <t>FIF</t>
  </si>
  <si>
    <t>111000100</t>
  </si>
  <si>
    <t>Comal County Master WID River Road Low Water Crossing Improvement Project Planning</t>
  </si>
  <si>
    <t xml:space="preserve">Project planning for proposed project to implement low water crossing improvements at River Road. </t>
  </si>
  <si>
    <t>Comal</t>
  </si>
  <si>
    <t>11000039,11000042,11000037</t>
  </si>
  <si>
    <t>11003537</t>
  </si>
  <si>
    <t>00000255,00002670,00000014,00000291,11000556</t>
  </si>
  <si>
    <t>111000119</t>
  </si>
  <si>
    <t>Hunts ISD Storm Drainage Infrastructure Project Planning</t>
  </si>
  <si>
    <t>Project planning to construct new storm drainage infrastructure to reduce the potential impacts of future flood events.</t>
  </si>
  <si>
    <t>11000007,11000010,11000002,11000005,11000012,11000004,11000006,11000003,11000008,11000015,11000009,11000011</t>
  </si>
  <si>
    <t>11003543</t>
  </si>
  <si>
    <t>00000255,00000297,00000022</t>
  </si>
  <si>
    <t>111000120</t>
  </si>
  <si>
    <t>Ingram ISD Construct New Storm Drainage Infrastructure</t>
  </si>
  <si>
    <t>11000010,11000005,11000012,11000004,11000008,11000015,11000013,11000009,11000011</t>
  </si>
  <si>
    <t>11003544</t>
  </si>
  <si>
    <t>00000255,11002585,00000307,11003486,00000297,00000022</t>
  </si>
  <si>
    <t>111000121</t>
  </si>
  <si>
    <t>Ingram ISD Improve Existing Storm Drainage Infrastructure</t>
  </si>
  <si>
    <t>Project planning to upgrade existing storm drainage infrastructure to reduce the potential impacts of future flood events.</t>
  </si>
  <si>
    <t>111000124</t>
  </si>
  <si>
    <t>Kerr ISD Storm Drainage Infrastructure Project Planning</t>
  </si>
  <si>
    <t>Project planning for proposed project to construct new storm drainage infrastructure to reduce the potential impacts of future flood events.</t>
  </si>
  <si>
    <t>11000018,11000007,11000021,11000012,11000020,11000008,11000015,11000013,11000016,11000014</t>
  </si>
  <si>
    <t>11003545</t>
  </si>
  <si>
    <t>00000255,11002585,00000307,00000297,00000022</t>
  </si>
  <si>
    <t>111000001</t>
  </si>
  <si>
    <t>Blanco County Low Water Crossing Improvements Study</t>
  </si>
  <si>
    <t>Study of solutions to upgrade and/or raise low water crossing in the county. The low water crossings most frequently and most severely flooded will be assessed for elevation and improvement (e.g., curbed and/or pedestrian walkways) roadways.</t>
  </si>
  <si>
    <t>12100203,12100201</t>
  </si>
  <si>
    <t>11000031,11000033,11000095,11000034,11000094,11000096,11000092,11000093,11000097</t>
  </si>
  <si>
    <t>11002996,00000307,00000291,00000031,00000258</t>
  </si>
  <si>
    <t>111000002</t>
  </si>
  <si>
    <t>Blanco County Soil Conservation Plan</t>
  </si>
  <si>
    <t>Develop soil conservation plan which provides information on proper land stewardship including diagram, soil map, assessment of vegetation and wildlife fuels, schedule for applying conservation practices; plan for operation and maintenance.</t>
  </si>
  <si>
    <t>11000003, 11000004</t>
  </si>
  <si>
    <t>111000003</t>
  </si>
  <si>
    <t>Caldwell County Bridge Improvements Project Planning</t>
  </si>
  <si>
    <t>Project planning for proposed project to replace antiquated bridges built before 1950. These bridges cannot support the weight of emergency vehicles. In addition, upgraded bridge infrastructure would reduce backwater flooding at undersized crossings.</t>
  </si>
  <si>
    <t>12100202,12100203</t>
  </si>
  <si>
    <t>11000119,11000115,11000061,11000057,11000105,11000122,11000118,11000121,11000111,11000120,11000112,11000113,11000114,11000116,11000062,11000109,11000117</t>
  </si>
  <si>
    <t>00000016</t>
  </si>
  <si>
    <t>11000607,00000258,11001975,11002100,11002333,11003162,00000016,00003202,00000291,11002101,11002343,00000392,00000307,11003473,11003163,11002686,11002680,11002049,11001889,11003474</t>
  </si>
  <si>
    <t>111000012</t>
  </si>
  <si>
    <t>City of Buda Dam Study</t>
  </si>
  <si>
    <t>Study to evaluate dam failure risks, planning for structural and nonstructural measures to protect the integrity of the earthen fill dams.</t>
  </si>
  <si>
    <t>11000111,11000110</t>
  </si>
  <si>
    <t>00002799,00000307,00000026,00000291,00000258</t>
  </si>
  <si>
    <t>111000013</t>
  </si>
  <si>
    <t xml:space="preserve">City of Bulverde Drainage Improvements Study </t>
  </si>
  <si>
    <t>Study of solutions to replace existing culverts with larger ones, improve drainage channels; clear‐out existing drainage channels; survey and remove hazardous trees from drainage systems.</t>
  </si>
  <si>
    <t>12100202,12100201</t>
  </si>
  <si>
    <t>11000040,11000030,11000033</t>
  </si>
  <si>
    <t>00002669</t>
  </si>
  <si>
    <t>00002669,00000255,00000014,00002121,00000291</t>
  </si>
  <si>
    <t>Comal County HMP</t>
  </si>
  <si>
    <t>111000014</t>
  </si>
  <si>
    <t xml:space="preserve">City of Bulverde Local Flooding Study </t>
  </si>
  <si>
    <t>Study of solutions to elevate some segments of roadways in various portions of the community to address localized flooding issues.</t>
  </si>
  <si>
    <t>111000015</t>
  </si>
  <si>
    <t>City of Flatonia Drainage Project Planning</t>
  </si>
  <si>
    <t xml:space="preserve">Project planning for proposed project to make culvert and drainage ditch improvements from just south of the Union Pacific Railroad at US 90 to the north side frontage road of I-10.  </t>
  </si>
  <si>
    <t>11000058</t>
  </si>
  <si>
    <t>00000307,00000258,00000019</t>
  </si>
  <si>
    <t>111000016</t>
  </si>
  <si>
    <t>City of Flatonia WWTP Floodproofing Project Planning</t>
  </si>
  <si>
    <t>Project planning for proposed project to floodproof Waste Water Treatment Plant</t>
  </si>
  <si>
    <t>00003060,00000307,00000258,00000019</t>
  </si>
  <si>
    <t>111000017</t>
  </si>
  <si>
    <t>City of Garden Ridge Drainage Improvements Project Planning</t>
  </si>
  <si>
    <t>Project planning to complete final phase of drainage infrastructure upgrades.</t>
  </si>
  <si>
    <t>11000042,11000041</t>
  </si>
  <si>
    <t>00003235</t>
  </si>
  <si>
    <t>00000821,00000255,00000392,00000014,00001485,00003235,00000291</t>
  </si>
  <si>
    <t>111000018</t>
  </si>
  <si>
    <t>City of Gonzales Tinsley Creek Improvement Project Planning</t>
  </si>
  <si>
    <t>Project planning to upgrade aging infrastructure that was overwhelmed during Hurricane Harvey. Projects may include replacing box culvert bridges, replacing box culvert bridges with clear span bridges, and relocating utilities within the stream bed.</t>
  </si>
  <si>
    <t>Gonzales</t>
  </si>
  <si>
    <t>11000054</t>
  </si>
  <si>
    <t>11002992</t>
  </si>
  <si>
    <t>00000264,00000008,00000291,11002992</t>
  </si>
  <si>
    <t>Gonzales County HMP</t>
  </si>
  <si>
    <t>111000019</t>
  </si>
  <si>
    <t>City of Gonzales Tinsley Creek Flood Mitigation Project Planning</t>
  </si>
  <si>
    <t xml:space="preserve">Project planning for proposed improvements along Tinsley Creek include replacing a low water crossing at Johnson Street, adding culverts under Johnson Street, and replacing box culvert crossings with free span bridge crossings at several streets.
</t>
  </si>
  <si>
    <t>111000020</t>
  </si>
  <si>
    <t xml:space="preserve">City of Ingram Drainage Improvements Study </t>
  </si>
  <si>
    <t>Study of solutions to upgrade existing storm drainage infrastructure to reduce the potential impacts of future flood events.</t>
  </si>
  <si>
    <t>11000008,11000012,11000011</t>
  </si>
  <si>
    <t>11003486</t>
  </si>
  <si>
    <t>00000255,11003486,00000297,00000022</t>
  </si>
  <si>
    <t>111000022</t>
  </si>
  <si>
    <t>City of Kerrville Pinto Trail Project Planning</t>
  </si>
  <si>
    <t>Project planning for proposed project to provide flood relief to the properties adjacent to the channel at risk of flooding, including widening existing channels, constructing a grass-lined trapezoidal channel, and seeding the proposed earthen channels.</t>
  </si>
  <si>
    <t>11000014</t>
  </si>
  <si>
    <t>11002585</t>
  </si>
  <si>
    <t>11002585,00000255,00000297,00000022</t>
  </si>
  <si>
    <t>City of Kerrville Drainage Master Plan</t>
  </si>
  <si>
    <t>111000023</t>
  </si>
  <si>
    <t>City of Kerrville Park Street Low Water Crossing Project Planning</t>
  </si>
  <si>
    <t>Project planning for proposed project to improve or replace the Park Street Low Water Crossing.</t>
  </si>
  <si>
    <t>111000024</t>
  </si>
  <si>
    <t>City of Kerrville First Street Low Water Crossing Project Planning</t>
  </si>
  <si>
    <t>Project planning for proposed project to improve or replace the First Street Low Water Crossing.</t>
  </si>
  <si>
    <t>111000025</t>
  </si>
  <si>
    <t>City of Kerrville Fourth Street Low Water Crossing Project Planning</t>
  </si>
  <si>
    <t>111000026</t>
  </si>
  <si>
    <t>City of Kerrville Hill Country Drive at SH 16 Project Planning</t>
  </si>
  <si>
    <t xml:space="preserve">Project planning for proposed project to raise the roadway profile and regrade Hill Country Drive, and increase the downstream pipe capacity at Hill Country Drive. </t>
  </si>
  <si>
    <t>111000028</t>
  </si>
  <si>
    <t>City of Kerrville Harper Street between Culberson Avenue and Lewis Avenue Project Planning</t>
  </si>
  <si>
    <t>Project planning for proposed storm drain system project to relieve localized flooding and excessive ponding that occurs throughout Harper Street.</t>
  </si>
  <si>
    <t>11000013</t>
  </si>
  <si>
    <t>111000029</t>
  </si>
  <si>
    <t>City of Kerrville Circle Avenue Drainage Channel Project Planning</t>
  </si>
  <si>
    <t>Project planning for proposed channel and street improvement project to alleviate sedimentation and erosion issues at the intersection of Culberson Avenue and Circle Avenue.</t>
  </si>
  <si>
    <t>111000030</t>
  </si>
  <si>
    <t>City of Kerrville Jack Drive - Undersized Inlet Project Planning</t>
  </si>
  <si>
    <t xml:space="preserve">Project planning for proposed street and drainage improvements project to relieve road and property flooding from occurring directly downstream of Jack Drive's existing undersized inlet. </t>
  </si>
  <si>
    <t>11000012</t>
  </si>
  <si>
    <t>111000031</t>
  </si>
  <si>
    <t>City of Kerrville Harper Road to Town Creek (Fay Drive) Drainage Improvements Study</t>
  </si>
  <si>
    <t xml:space="preserve">Study of solutions to implement drainage improvements on Harper Road to Town Creek (Fay Drive). </t>
  </si>
  <si>
    <t>11000013,11000012</t>
  </si>
  <si>
    <t>111000033</t>
  </si>
  <si>
    <t>City of Kyle Prairie and Woodland Restoration Plan</t>
  </si>
  <si>
    <t>Prepare and implement a prairie or woodland restoration plan for 1 or more of Kyle’s park properties. Selection of a municipal park where all or a portion of the site may be restored to a natural grassland or woodland</t>
  </si>
  <si>
    <t>11000102,11000110,11000101,11000116,11000100</t>
  </si>
  <si>
    <t>00002800</t>
  </si>
  <si>
    <t>00000392,00000307,00002800,00000026,11002217,11000387,00000291,00000258</t>
  </si>
  <si>
    <t>111000034</t>
  </si>
  <si>
    <t>City of Kyle - N. Burleson Street Drainage Improvements Project Planning</t>
  </si>
  <si>
    <t>Project planning for proposed project to conduct street reconstruction and drainage improvements to minimize flooding in the downtown area.</t>
  </si>
  <si>
    <t>11000110</t>
  </si>
  <si>
    <t>00000291,00000026,00002800,00000258</t>
  </si>
  <si>
    <t>111000035</t>
  </si>
  <si>
    <t>City of Lockhart Drainage Improvements Study</t>
  </si>
  <si>
    <t xml:space="preserve">Study to identify Capital Improvements to Municipal Drainage System and study solutions to upgrade system to improve drainage capacity and reduce flood damages. </t>
  </si>
  <si>
    <t>11000114,11000116,11000112,11000113</t>
  </si>
  <si>
    <t>11003162</t>
  </si>
  <si>
    <t>00000392,11003162,00000016,00000291,00000258,11002343</t>
  </si>
  <si>
    <t>111000036</t>
  </si>
  <si>
    <t>City of Lockhart USACE Study</t>
  </si>
  <si>
    <t>Undertake a comprehensive study of flood risk and reduction alternatives with USACE, covering all incorporated and unincorporated areas of the city that currently have limited studies with no determined base flood elevations as well as unmapped areas.</t>
  </si>
  <si>
    <t>111000037</t>
  </si>
  <si>
    <t>City of Luling Drainage Improvements Study</t>
  </si>
  <si>
    <t>Study of solutions to upgrade undersized stormwater drains and culverts.</t>
  </si>
  <si>
    <t>Guadalupe,Caldwell</t>
  </si>
  <si>
    <t>11000119,11000120,11000118,11000121</t>
  </si>
  <si>
    <t>11003474</t>
  </si>
  <si>
    <t>00000255,00000010,11003474,00000016,00000291,00000258</t>
  </si>
  <si>
    <t>111000038</t>
  </si>
  <si>
    <t>City of Martindale Drainage Improvements Study</t>
  </si>
  <si>
    <t>11000109,11000105</t>
  </si>
  <si>
    <t>11003473</t>
  </si>
  <si>
    <t>11001975,00000392,00000016,11003473,00000291,00000258,11002343</t>
  </si>
  <si>
    <t>111000039</t>
  </si>
  <si>
    <t>City of Mountain City Repetitive Loss Structure Mitigation Study</t>
  </si>
  <si>
    <t>Study of solutions to floodproof or otherwise mitigate repetitive loss structures that have been identified by FEMA for the number of flood insurance claims.</t>
  </si>
  <si>
    <t>00002703,00000307,00000026,00001356,00000291,00000258</t>
  </si>
  <si>
    <t>111000043</t>
  </si>
  <si>
    <t>City of New Braunfels - Box Culvert Installation to Reduce Flood Risk on Blieders Creek, Comal River and Landa Park Project Planning</t>
  </si>
  <si>
    <t>Project planning for proposed drainage improvements project to reduce flooding in the Blieders Creek and German Creek watersheds by conveying flows to the Guadalupe River. The project is also intended to relieve flooding in the Landa Park area.</t>
  </si>
  <si>
    <t>11000042</t>
  </si>
  <si>
    <t>00002670</t>
  </si>
  <si>
    <t>00000255,00002670,00000014,11000583,00000291</t>
  </si>
  <si>
    <t>FNI CIP Analysis</t>
  </si>
  <si>
    <t>111000044</t>
  </si>
  <si>
    <t>City of New Braunfels Faust St / Nacogdoches Ave Improvements Project Planning</t>
  </si>
  <si>
    <t>Study to analyze drainage conveyance and flooding issues within the Faust Street and Nacogdoches Avenue area and project planning for solutions within project area.</t>
  </si>
  <si>
    <t>00000291,00002670,00000014,00000255</t>
  </si>
  <si>
    <t>111000045</t>
  </si>
  <si>
    <t>City of New Braunfels Dry Comal Creek Tributary East Watershed Project Planning</t>
  </si>
  <si>
    <t xml:space="preserve">Study to analyze drainage conveyance and flooding issues within the Dry Comal Creek Tributaries East area (Kerlick Lane/Encino Drive/Mission Drive) and project planning for solutions within project area. </t>
  </si>
  <si>
    <t>111000047</t>
  </si>
  <si>
    <t>City of New Braunfels Hunters Creek Regional Project Planning</t>
  </si>
  <si>
    <t>Study to analyze drainage conveyance and flooding issues within the Hunters Creek area including the detention facility for the Westpointe development and project planning for solutions within project area.</t>
  </si>
  <si>
    <t>111000048</t>
  </si>
  <si>
    <t>City of New Braunfels South Guadalupe Tributary Watershed Project Planning</t>
  </si>
  <si>
    <t>Study to analyze drainage conveyance and flooding issues within the South Guadalupe River tributary area (Mesquite/Eastman/Oleander/Walnut Heights) and project planning for solutions within project area.</t>
  </si>
  <si>
    <t>111000049</t>
  </si>
  <si>
    <t>City of New Braunfels Dry Comal Creek West Watershed Project Planning</t>
  </si>
  <si>
    <t>Project planning for solutions to minimize flooding issues within the Cedar Elm Street, Landa-Madeline drainage area.</t>
  </si>
  <si>
    <t>111000051</t>
  </si>
  <si>
    <t>City of Niederwald Engineering Review of City Hall</t>
  </si>
  <si>
    <t>Contract a consultation from an engineer to review the new City Hall building to ensure its resiliency (modular building that holds community documents and archives).</t>
  </si>
  <si>
    <t>11000112,11000111</t>
  </si>
  <si>
    <t>11002680</t>
  </si>
  <si>
    <t>11001856,00000392,00000026,00000016,00000291,00000258,11002680</t>
  </si>
  <si>
    <t>111000052</t>
  </si>
  <si>
    <t>City of Nixon Voluntary Buyout Program Project Planning</t>
  </si>
  <si>
    <t>Project planning to develop and implement a program to buyout NFIP repetitive loss properties.</t>
  </si>
  <si>
    <t>Gonzales,Wilson</t>
  </si>
  <si>
    <t>11000079,11000075,11000078</t>
  </si>
  <si>
    <t>11002393</t>
  </si>
  <si>
    <t>00000255,00000008,00000100,00000264,00000282,11002393,00000291</t>
  </si>
  <si>
    <t>111000054</t>
  </si>
  <si>
    <t>City of San Marcos Regional Detention Study</t>
  </si>
  <si>
    <t xml:space="preserve">Study of solutions for regional detention and water quality strategies. </t>
  </si>
  <si>
    <t>Guadalupe,Caldwell,Hays</t>
  </si>
  <si>
    <t>11000102,11000105,11000106,11000101,11000103,11000104,11000107</t>
  </si>
  <si>
    <t>11003163</t>
  </si>
  <si>
    <t>00000255,00000392,00000010,00000026,00000016,11000387,00000291,11003163,00000258,11002343</t>
  </si>
  <si>
    <t>111000055</t>
  </si>
  <si>
    <t>City of San Marcos Modeling of Purgatory Creek and Willow Springs Creek Overflow Area</t>
  </si>
  <si>
    <t>2-Dimensional Modeling of the Purgatory Creek and Willow Springs Creek Overflow Area</t>
  </si>
  <si>
    <t>11000103</t>
  </si>
  <si>
    <t>00000026,11000387,00000291,11003163,00000258</t>
  </si>
  <si>
    <t>111000056</t>
  </si>
  <si>
    <t>City of San Marcos Low Water Crossing at Jackman Project Planning</t>
  </si>
  <si>
    <t>Project planning to replace low water crossing at Jackman</t>
  </si>
  <si>
    <t>111000057</t>
  </si>
  <si>
    <t>City of San Marcos Low Water Crossing at Mitchell and Purgatory Creek Project Planning</t>
  </si>
  <si>
    <t>Project planning to replace low water crossing at Mitchell and Purgatory Creek</t>
  </si>
  <si>
    <t>111000058</t>
  </si>
  <si>
    <t>City of San Marcos LWC at River Road and Railroad Trestle/Blanco River Project Planning</t>
  </si>
  <si>
    <t>Project planning to replace low water crossing at River Road and Railroad Trestle/Blanco River</t>
  </si>
  <si>
    <t>11000101</t>
  </si>
  <si>
    <t>111000059</t>
  </si>
  <si>
    <t>City of San Marcos LWC at S LBJ and Purgatory Creek Project Planning</t>
  </si>
  <si>
    <t>Project planning to replace low water crossing at S LBJ and Purgatory Creek</t>
  </si>
  <si>
    <t>111000060</t>
  </si>
  <si>
    <t>City of San Marcos - Extension of River Ridge Parkway West Project Planning</t>
  </si>
  <si>
    <t>Project planning for proposed project identified through the San Marcos Transportation Plan, to increase the ability to divert traffic during flooding events</t>
  </si>
  <si>
    <t>00000392,00000026,11000387,00000291,11003163,00000258</t>
  </si>
  <si>
    <t>111000061</t>
  </si>
  <si>
    <t>City of Seguin Drainage Improvements Study</t>
  </si>
  <si>
    <t>Study of solutions to increase drainage capacity, add stormwater detention and/or retention basins, and implement drainage improvements as deemed necessary to reduce flood risk.</t>
  </si>
  <si>
    <t>11000049,11000043,11000047,11000045,11000044</t>
  </si>
  <si>
    <t>11002616</t>
  </si>
  <si>
    <t>00000821,11001045,00000255,00000392,00000010,00000291,11002616</t>
  </si>
  <si>
    <t>Guadalupe County HMP</t>
  </si>
  <si>
    <t>111000062</t>
  </si>
  <si>
    <t>City of Seguin Low Water Crossing Improvements Study</t>
  </si>
  <si>
    <t>Study of solutions for drainage improvements at low water crossings.</t>
  </si>
  <si>
    <t>111000063</t>
  </si>
  <si>
    <t>City of Seguin Ingress Egress Improvements Project Planning</t>
  </si>
  <si>
    <t>Project planning for proposed project to provide/construct additional means of access into single-entry neighborhoods; Update subdivision codes for a higher level of ingress and egress.</t>
  </si>
  <si>
    <t>111000064</t>
  </si>
  <si>
    <t>City of Seguin City-wide Drainage Improvements Project Planning</t>
  </si>
  <si>
    <t>Project planning to increase Regional Detention, Channel &amp; Drainage System Improvements.</t>
  </si>
  <si>
    <t>111000065</t>
  </si>
  <si>
    <t>City of Seguin Voluntary Buyout Program Project Planning</t>
  </si>
  <si>
    <t>Project planning to develop an acquisition and elevation program in flood hazard areas. Elevate or acquire and demolish repetitive loss properties. Acquire high risk vacant land and maintain as open space.</t>
  </si>
  <si>
    <t>111000066</t>
  </si>
  <si>
    <t>City of Seguin Citywide Drainage Project Planning</t>
  </si>
  <si>
    <t>Project planning for four priority drainage projects within the City of Seguin that would greatly improve the safety of their 25,520 residents. Project areas include North Guadalupe, North Heideke, Mays Creek and Walnut Branch.</t>
  </si>
  <si>
    <t>111000067</t>
  </si>
  <si>
    <t>City of Seguin Sewage Treatment Plant Floodproofing Project Planning</t>
  </si>
  <si>
    <t>Project planning for proposed project to flood-proof sewage treatment plants in flood hazard / low-lying areas.</t>
  </si>
  <si>
    <t>11000044</t>
  </si>
  <si>
    <t>11002616,00000291,00000010,00000255</t>
  </si>
  <si>
    <t>111000068</t>
  </si>
  <si>
    <t>City of Uhland Drainage Improvement Project Planning</t>
  </si>
  <si>
    <t>Project planning for proposed project to mitigate against flooding by increasing the capacity of drainage routes to contain the storm water. Proposed drainage improvements will reduce flood waters backing up into the City.</t>
  </si>
  <si>
    <t>11002686</t>
  </si>
  <si>
    <t>00000392,00000026,00000016,00000291,00000258,11002686</t>
  </si>
  <si>
    <t>111000069</t>
  </si>
  <si>
    <t>City of Victoria Drainage Improvement Study</t>
  </si>
  <si>
    <t>Study of solutions to increase dimensions of drainage culverts in areas prone to flooding and/or drainage problems in various City locations.</t>
  </si>
  <si>
    <t>12100204</t>
  </si>
  <si>
    <t>11000131,11000130,11000147,11000129</t>
  </si>
  <si>
    <t>00000314,00000094,00000588,00002428,00000264,00000291</t>
  </si>
  <si>
    <t>111000070</t>
  </si>
  <si>
    <t>City of Victoria Harden Critical Infrastructure Project Planning</t>
  </si>
  <si>
    <t>Project planning to harden city buildings, critical infrastructure, and government buildings. Hardening of non-governmental facilities that have been identified as crucial in the response and recovery to/of emergencies and disasters.</t>
  </si>
  <si>
    <t>111000071</t>
  </si>
  <si>
    <t>City of Victoria Voluntary Buyout Program Project Planning</t>
  </si>
  <si>
    <t>Project planning to implement a voluntary acquisition program for repetitive flood properties.</t>
  </si>
  <si>
    <t>111000072</t>
  </si>
  <si>
    <t>City of Victoria Flood Gate Project Planning</t>
  </si>
  <si>
    <t>Project planning for proposed project to rehabilitate, repair, or replace the City of Victoria’s existing flood gates, install additional flood gates as appropriate, and construct a storm water lift station in an area to be determined by study.</t>
  </si>
  <si>
    <t>111000073</t>
  </si>
  <si>
    <t>City of Victoria Regional Drainage Solutions Project Planning</t>
  </si>
  <si>
    <t>Project planning for proposed project for five regional drainage solutions within the City: the Gardens Apartment diversion, Shenandoah ditch improvements, Anthony Road outfall improvements, Lone Tree Road outfall improvements, and Clegg Ditch outfall.</t>
  </si>
  <si>
    <t>Storm Drainage Master Plan Update</t>
  </si>
  <si>
    <t>111000074</t>
  </si>
  <si>
    <t>City of Victoria - Storm Sewer Improvements Project Planning</t>
  </si>
  <si>
    <t>Project planning for project to replace storm sewer pipe under 18-inch diameter (29.9 miles). As a result of overland flow analysis and Storm Sewer System Level of Service Analysis, it was determined to replace all pipe less than 18-inch diameter.</t>
  </si>
  <si>
    <t>111000075</t>
  </si>
  <si>
    <t>City of Victoria Clean and Televise Storm Sewers Project Planning</t>
  </si>
  <si>
    <t>Project planning for proposed project to clean and televise storm sewers (165.7 miles). As a result of overland flow analysis and Storm Sewer System Level of Service Analysis, it was determined to clean and televise storm sewers.</t>
  </si>
  <si>
    <t>111000076</t>
  </si>
  <si>
    <t>City of Victoria Regrade Priority Ditches and Driveway Culverts Project Planning</t>
  </si>
  <si>
    <t>Project planning for proposed drainage improvements. As a result of a roadside ditch capacity evaluation, it was determined that 23 miles of ditch and 669 driveway culverts are negatively impacting conveyance capacity and need to be regraded.</t>
  </si>
  <si>
    <t>111000077</t>
  </si>
  <si>
    <t>City of Victoria Repair Channel Failures &amp; Sediment Removal Project Planning</t>
  </si>
  <si>
    <t>Project planning for proposed channel improvements. Using field visits and drone footage, it was determined to repair 33,657 sq ft of concreted lined channel, 11,829 sq ft of earthen channel, and remove 227,099 sq ft of sediment.</t>
  </si>
  <si>
    <t>111000078</t>
  </si>
  <si>
    <t>City of Victoria Stream Restoration Study</t>
  </si>
  <si>
    <t>Study to implement a stream restoration/channelization program to ensure adequate drainage/diversion of storm water, throughout various City low water crossings, streambeds, creek sheds, tributaries, and riverine areas.</t>
  </si>
  <si>
    <t>111000079</t>
  </si>
  <si>
    <t>City of Waelder Voluntary Buyout Program Project Planning</t>
  </si>
  <si>
    <t>11000059</t>
  </si>
  <si>
    <t>11002395</t>
  </si>
  <si>
    <t>00000264,00000008,00000291,11002395</t>
  </si>
  <si>
    <t>111000080</t>
  </si>
  <si>
    <t>City of Wimberley Drainage Master Plan</t>
  </si>
  <si>
    <t xml:space="preserve">Creation of drainage master plan for City of Wimberley to mitigate the flood hazard by defining priorities, policies, and strategies to address and remedy the drainage needs and challenges in Wimberley. </t>
  </si>
  <si>
    <t>11000099,11000098,11000102,11000100</t>
  </si>
  <si>
    <t>11002432</t>
  </si>
  <si>
    <t>11002432,00000026,11000387,00000291,00000258</t>
  </si>
  <si>
    <t>111000081</t>
  </si>
  <si>
    <t>City of Wimberley FM 1492 at Blanco River Low Water Crossing Project Planning</t>
  </si>
  <si>
    <t>Project planning for proposed project to replace low water crossing at FM 1492 at Blanco River</t>
  </si>
  <si>
    <t>11000099</t>
  </si>
  <si>
    <t>00000291,00000026,00000258,11002432</t>
  </si>
  <si>
    <t>111000082</t>
  </si>
  <si>
    <t>City of Wimberley Hidden Valley at Blanco River Low Water Crossing Project Planning</t>
  </si>
  <si>
    <t>Project planning for proposed project to replace low water crossing at Hidden Valley at Blanco River</t>
  </si>
  <si>
    <t>11000100</t>
  </si>
  <si>
    <t>111000083</t>
  </si>
  <si>
    <t>City of Wimberley Little Arkansas at Blanco River Low Water Crossing Project Planning</t>
  </si>
  <si>
    <t>Project planning for proposed project to replace low water crossing at Little Arkansas at Blanco River</t>
  </si>
  <si>
    <t>00000291,00000026,00000258</t>
  </si>
  <si>
    <t>111000084</t>
  </si>
  <si>
    <t>City of Wimberley Valley Drive at Pierce Creek Low Water Crossing Project Planning</t>
  </si>
  <si>
    <t>Project planning for proposed project to replace low water crossing at Valley Drive at Pierce Creek</t>
  </si>
  <si>
    <t>111000085</t>
  </si>
  <si>
    <t>City of Wimberley Flite Acres Road Low Water Crossing Project Planning</t>
  </si>
  <si>
    <t>Project planning for proposed project to replace low water crossing at Flite Acres Road</t>
  </si>
  <si>
    <t>111000086</t>
  </si>
  <si>
    <t>City of Wimberley FM 1492 at Pierce Creek Low Water Crossing Project Planning</t>
  </si>
  <si>
    <t>Project planning for proposed project to replace low water crossing at FM 1492 at Pierce Creek</t>
  </si>
  <si>
    <t>111000087</t>
  </si>
  <si>
    <t>City of Wimberley Wilson Creek at River Road Low Water Crossing Project Planning</t>
  </si>
  <si>
    <t>Project planning for proposed project to replace low water crossing at Wilson Creek at River Road</t>
  </si>
  <si>
    <t>111000088</t>
  </si>
  <si>
    <t>City of Wimberley Green Acres Dr. at Fire Station Low Water Crossing Project Planning</t>
  </si>
  <si>
    <t>Project planning for proposed project to replace low water crossing at Green Acres Dr. at Fire Station</t>
  </si>
  <si>
    <t>111000089</t>
  </si>
  <si>
    <t>City of Wimberley Leveritt’s Loop Low Water Crossing Project Planning</t>
  </si>
  <si>
    <t>Project planning for proposed project to replace low water crossing at Leveritt’s Loop</t>
  </si>
  <si>
    <t>111000090</t>
  </si>
  <si>
    <t>City of Wimberley Spoke Hollow Dr. at Spoke Pile Creek Low Water Crossing Project Planning</t>
  </si>
  <si>
    <t>Project planning for proposed project to replace low water crossing at Spoke Hollow Dr. at Spoke Pile Creek</t>
  </si>
  <si>
    <t>111000091</t>
  </si>
  <si>
    <t>City of Wimberley River Road at Western City Limit Low Water Crossing Project Planning</t>
  </si>
  <si>
    <t>Project planning for proposed project to replace low water crossing at River Road at Western City Limit</t>
  </si>
  <si>
    <t>111000092</t>
  </si>
  <si>
    <t>City of Wimberley Paradise Hills Low Water Crossing Project Planning</t>
  </si>
  <si>
    <t>Project planning for proposed project to replace low water crossing at Paradise Hills</t>
  </si>
  <si>
    <t>111000093</t>
  </si>
  <si>
    <t>City of Wimberley River Road Reconstruction Project Planning</t>
  </si>
  <si>
    <t>Project planning for proposed project to reconstruct roadway along Blanco River</t>
  </si>
  <si>
    <t>111000094</t>
  </si>
  <si>
    <t>City of Wimberley Little Ranches at Panther Creek Low Water Crossing Project Planning</t>
  </si>
  <si>
    <t>Project planning for proposed project to reconstruct low water crossing and roadway at Little Ranches at Panther Creek</t>
  </si>
  <si>
    <t>111000095</t>
  </si>
  <si>
    <t>City of Wimberley Hoots Holler Low Water Crossing Project Planning</t>
  </si>
  <si>
    <t>Project planning for proposed project to reconstruct low water crossing and roadway at Hoots Holler</t>
  </si>
  <si>
    <t>111000096</t>
  </si>
  <si>
    <t>Comal County Evacuation and Dam Safety Plan</t>
  </si>
  <si>
    <t>Develop evacuation and dam safety plan for coordination with USACE and dam re‐enforcement.</t>
  </si>
  <si>
    <t>12100202,12100203,12100201</t>
  </si>
  <si>
    <t>11000039,11000030,11000042,11000099,11000046,11000043,11000103,11000104,11000097,11000037,11000107,11000033,11000036,11000035,11000040,11000041,11000095,11000034,11000038</t>
  </si>
  <si>
    <t>00000014</t>
  </si>
  <si>
    <t>00000821,00002669,11001852,00000282,11001201,00000255,00002671,00001485,11000462,00000291,00000392,00002121,11003532,11000556,00002670,00000014,11000583,00003235,11002265,11000494</t>
  </si>
  <si>
    <t>111000097</t>
  </si>
  <si>
    <t>Comal County Low Water Crossing Improvements Project Planning</t>
  </si>
  <si>
    <t>Project planning to upgrade low water crossings with larger culverts and elevated roadways where feasible. Acquire easement and/or right of ways adjacent to River Road for first responder access</t>
  </si>
  <si>
    <t>111000098</t>
  </si>
  <si>
    <t>Comal County Voluntary Buyout Program Project Planning</t>
  </si>
  <si>
    <t>Project planning to remediate repetitive losses along the Guadalupe River by acquiring flood damaged structures and converting acquired land to open(green)space.</t>
  </si>
  <si>
    <t>11000003, 11000004, 11000009, 11000010</t>
  </si>
  <si>
    <t>111000099</t>
  </si>
  <si>
    <t>Comal County Retention Dam Project Planning</t>
  </si>
  <si>
    <t>Project planning for proposed project to design and construct 4 retention dams to assist in controlling flash flooding in municipalities and unincorporated areas of the county.</t>
  </si>
  <si>
    <t>111000101</t>
  </si>
  <si>
    <t>City of Cuero Drainage Improvements Study</t>
  </si>
  <si>
    <t xml:space="preserve">Study of solutions to improve drainage and stormwater system to reduce drainage and flooding issues. </t>
  </si>
  <si>
    <t>De Witt</t>
  </si>
  <si>
    <t>12100202,12100204</t>
  </si>
  <si>
    <t>11000071,11000124</t>
  </si>
  <si>
    <t>11002401</t>
  </si>
  <si>
    <t>00000264,00000099,11002401,11000478,00000291</t>
  </si>
  <si>
    <t>DeWitt County HMP</t>
  </si>
  <si>
    <t>111000102</t>
  </si>
  <si>
    <t>City of Cuero City Public Service Station Project Planning</t>
  </si>
  <si>
    <t xml:space="preserve">Project planning for proposed project to retrofit or floodproof City Public Service Station currently under renovation. Facility will serve as secondary location for community offices and critical utility service data and equipment </t>
  </si>
  <si>
    <t>111000104</t>
  </si>
  <si>
    <t>Green DeWitt County Drainage District Channel Improvements Project Planning</t>
  </si>
  <si>
    <t>Project planning for proposed project to install drop basket structure and reconstruct drainage channels to control flooding and erosion. Structure will assist in stabilizing banks and holding bottoms of channel on grade</t>
  </si>
  <si>
    <t>11000478</t>
  </si>
  <si>
    <t>111000103</t>
  </si>
  <si>
    <t>City of Cuero WWTP Floodproofing Project Planning</t>
  </si>
  <si>
    <t>Project planning to floodproof/retrofit older components of the Cuero Wastewater Treatment Plant subject to flooding.</t>
  </si>
  <si>
    <t>11000124</t>
  </si>
  <si>
    <t>00000264,00000099,00000291</t>
  </si>
  <si>
    <t>111000105</t>
  </si>
  <si>
    <t>DeWitt County (City of Nordheim)  Flash Flood Mitigation Project Planning</t>
  </si>
  <si>
    <t xml:space="preserve">Project planning for proposed project to construct necessary barriers or berms to reduce impact of runoff from flash floods onto neighborhoods, streams, and impacting community water wells from proposed Pilot Knob landfill. </t>
  </si>
  <si>
    <t>11000134,11000133</t>
  </si>
  <si>
    <t>00002402</t>
  </si>
  <si>
    <t>00000264,00000099,00000291,00002402</t>
  </si>
  <si>
    <t>111000106</t>
  </si>
  <si>
    <t>Gillespie County Low Water Crossing Improvements Project Planning</t>
  </si>
  <si>
    <t>Project planning to place automatic warning signs at 35 documented low water crossings in the county</t>
  </si>
  <si>
    <t>11000092,11000013,11000012,11000011</t>
  </si>
  <si>
    <t>00000030,00000307,00001401,00000255</t>
  </si>
  <si>
    <t>Gillespie County HMP</t>
  </si>
  <si>
    <t>111000107</t>
  </si>
  <si>
    <t>Gonzales County Voluntary Buyout Program Project Planning</t>
  </si>
  <si>
    <t>11000013, 11000012, 11000092, 11000011</t>
  </si>
  <si>
    <t>11002992,00000255,00000008,00000264,00000282,11002393,11002394,00000291,11002395</t>
  </si>
  <si>
    <t>111000108</t>
  </si>
  <si>
    <t>GBRA FEMA Cooperating Technical Partners (CTP) Modeling and Mapping</t>
  </si>
  <si>
    <t>GBRA has entered into a partnership with FEMA by which GBRA commissions an engineering firm to perform flood inundation modeling and mapping, and dams in series modeling.</t>
  </si>
  <si>
    <t>Bandera,Bastrop,Blanco,Caldwell,Calhoun,Comal,De Witt,Fayette,Gillespie,Goliad,Gonzales,Guadalupe,Hays,Karnes,Kendall,Kerr,Lavaca,Refugio,Travis,Victoria,Wilson</t>
  </si>
  <si>
    <t>00000291</t>
  </si>
  <si>
    <t>00000255, 00000297, 11003544, 00000031, 00000307, 00001401, 00000030, 00000291, 00000017, 00000022, 11003546, 00000258</t>
  </si>
  <si>
    <t>111000109</t>
  </si>
  <si>
    <t>Guadalupe County Drainage Improvements Study</t>
  </si>
  <si>
    <t>11000051,11000072,11000048,11000073,11000042,11000120,11000052,11000046,11000043,11000047,11000104,11000107,11000049,11000121,11000075,11000109,11000106,11000044,11000105,11000108,11000050,11000045</t>
  </si>
  <si>
    <t>00000010</t>
  </si>
  <si>
    <t>00000821,00002615,00000282,00003276,00000255,00001006,00002671,00001485,11000882,11002322,00000291,11002616,11001045,00002973,00000392,11003277,00000010,11003474,11003163,11003511,00002670,11000589,11002265</t>
  </si>
  <si>
    <t>111000110</t>
  </si>
  <si>
    <t>Guadalupe County Voluntary Buyout Program Project Planning</t>
  </si>
  <si>
    <t>Project planning to develop a land acquisition program in flood hazard areas. Acquire and demolish repetitive loss properties. Acquire high risk vacant land and maintain as open space.</t>
  </si>
  <si>
    <t>111000111</t>
  </si>
  <si>
    <t>Guadalupe County LWC Project Planning</t>
  </si>
  <si>
    <t>Project planning for proposed project to mark and place electric gates at low water crossings.</t>
  </si>
  <si>
    <t>111000112</t>
  </si>
  <si>
    <t>Hays County Dam Inundation Maps</t>
  </si>
  <si>
    <t>Conduct study and work with TCEQ to continue to develop inundation maps for all High Hazard dams.</t>
  </si>
  <si>
    <t>11000102,11000105,11000095,11000099,11000106,11000098,11000097,11000096,11000111,11000110,11000101,11000112,11000116,11000103,11000104,11000107,11000100</t>
  </si>
  <si>
    <t>11002395, 11003546, 00000264, 11003535, 11002992, 11002393, 00000016, 00000255, 00000008, 00000307, 00000002, 00000291, 00000095, 00000019, 00000010, 11002394, 00000100, 00000099, 00000258, 00000282</t>
  </si>
  <si>
    <t>111000113</t>
  </si>
  <si>
    <t>Hays County Harden Critical Infrastructure Project Planning</t>
  </si>
  <si>
    <t>Project planning to ensure new structures are structurally reinforced against natural hazards. To include, flood-proofing (if needed), freeboard, higher levels of soil compaction and proper perimeter drainage systems.</t>
  </si>
  <si>
    <t>111000114</t>
  </si>
  <si>
    <t>Hays County Drainage Project Planning (Willow Springs Creek between McCarty Lane and Hunter Road)</t>
  </si>
  <si>
    <t>Project planning for channel improvement and/or property acquisition project to reduce flood damages along Willow Springs Creek from McCarty Lane to Hunter Road.</t>
  </si>
  <si>
    <t>11000103,11000106</t>
  </si>
  <si>
    <t>111000115</t>
  </si>
  <si>
    <t>Hays County Drainage Project Planning (Willow Springs Creek between Hunter Rd and the Railroad)</t>
  </si>
  <si>
    <t>Project planning for detention project to reduce flood damages along Willow Springs Creek from Hunter Road to the railroad.</t>
  </si>
  <si>
    <t>11000106</t>
  </si>
  <si>
    <t>00000291,00000026,11003163,00000258</t>
  </si>
  <si>
    <t>111000116</t>
  </si>
  <si>
    <t>Hays County Southeastern  Property Acquisition Project Planning</t>
  </si>
  <si>
    <t xml:space="preserve">Project planning for property acquisition project to mitigate repetitive loss flooding where drainage projects were analyzed and deemed ineffective for cost/ benefit reasons in southeastern Hays County. </t>
  </si>
  <si>
    <t>00000255,00000392,00000014,00000026,11000387,00000291,11003163,00000258,11002343</t>
  </si>
  <si>
    <t>111000118</t>
  </si>
  <si>
    <t>Hays County Community Flood Mitigation Project Planning</t>
  </si>
  <si>
    <t>00000255, 11003538, 00000026, 00000014, 11002343, 00000291, 11000387, 11003163, 00000392, 11003546, 00000258</t>
  </si>
  <si>
    <t>111000122</t>
  </si>
  <si>
    <t>Kerr County Center Point Storm Drainage Infrastructure Project Planning</t>
  </si>
  <si>
    <t>11000001,11000019,11000014,11000011,11000018,11000007,11000022,11000005,11000006,11000013,11000024,11000004,11000017,11000021,11000010,11000002,11000012,11000020,11000003,11000015,11000008,11000016,11000009</t>
  </si>
  <si>
    <t>11000662,00000255,11002585,00000307,00000290,11003486,00000297,00000022</t>
  </si>
  <si>
    <t>111000123</t>
  </si>
  <si>
    <t>Kerr County Dam Integrity Study</t>
  </si>
  <si>
    <t xml:space="preserve">Create a dam integrity study and identify repairs to be made to County dams as necessary. </t>
  </si>
  <si>
    <t>111000126</t>
  </si>
  <si>
    <t>Travis County Voluntary Buyout Program Project Planning</t>
  </si>
  <si>
    <t>Project planning to identify and prioritize structures for elevation as flood mitigation. Elevate flood prone structures throughout unincorporated Travis County.</t>
  </si>
  <si>
    <t>00002700,00001060,00003202,00000307,00000862,00001133,00003189,00000034,00000291,00000258</t>
  </si>
  <si>
    <t>111000127</t>
  </si>
  <si>
    <t>Upper Guadalupe River Authority Evaluation of Water and Sediment Control Facilities</t>
  </si>
  <si>
    <t>Study to evaluate the flood benefits and cost-effectiveness of UGRA’s existing nine Kerr County facilities. Evaluation would include H&amp;H modeling and financial data to determine flood risk reduction. Results could guide decisions on future facilities.</t>
  </si>
  <si>
    <t>00000297</t>
  </si>
  <si>
    <t>111000128</t>
  </si>
  <si>
    <t>Victoria County Planning and Development Standards Study</t>
  </si>
  <si>
    <t xml:space="preserve">Conduct study for the development and implementation of county wide planning &amp; development standards, sub-division rules, infrastructure rules and building / construction codes. </t>
  </si>
  <si>
    <t>12100303,12100204,12100403</t>
  </si>
  <si>
    <t>11000131,11000152,11000136,11000126,11000138,11000145,11000127,11000141,11000149,11000142,11000130,11000128,11000147,11000150,11000129,11000148,11000146</t>
  </si>
  <si>
    <t>11000005, 11000006</t>
  </si>
  <si>
    <t>00000314,11001787,00000094,00000588,00002428,00000580,11001022,00000264,00000282,00000291</t>
  </si>
  <si>
    <t>111000129</t>
  </si>
  <si>
    <t>Victoria County Drainage Improvements Study</t>
  </si>
  <si>
    <t>Study of solutions to increase dimensions of drainage culverts in areas prone to flooding and/or drainage problems, in various county locations.</t>
  </si>
  <si>
    <t>111000130</t>
  </si>
  <si>
    <t>Victoria County FIRMs</t>
  </si>
  <si>
    <t xml:space="preserve">Engineering Studies to revise Flood Insurance Rate Maps (FIRMs) throughout the County to establish Base Flood Elevations (BFE) in areas that are currently identified as unstudied Zone As. </t>
  </si>
  <si>
    <t>111000131</t>
  </si>
  <si>
    <t>Victoria County Drainage Improvements around County EOC Project Planning</t>
  </si>
  <si>
    <t>Project planning to improve drainage around County EOC and flood-proof facilities as necessary.</t>
  </si>
  <si>
    <t>11000131</t>
  </si>
  <si>
    <t>00000094,00000588,00002428,00000264,00000291</t>
  </si>
  <si>
    <t>111000132</t>
  </si>
  <si>
    <t>Victoria County Bridge Improvements Project Planning</t>
  </si>
  <si>
    <t xml:space="preserve">Project planning to raise various County bridges above current Base Flood Elevation (BFE) levels to include such improvements as: box culverts, wingback walls, rip rap, channelization, and road base improvement. </t>
  </si>
  <si>
    <t>11000001, 11000002, 11000015, 11000016</t>
  </si>
  <si>
    <t>111000133</t>
  </si>
  <si>
    <t>Victoria County Voluntary Buyout Program Project Planning</t>
  </si>
  <si>
    <t>111000134</t>
  </si>
  <si>
    <t>Wilson County Stormwater Management Plan</t>
  </si>
  <si>
    <t>Develop flood hazard information by collecting information, high water marks, and conduct engineering studies to develop the 100 year and 500 year flood elevation levels.</t>
  </si>
  <si>
    <t>Wilson</t>
  </si>
  <si>
    <t>00000100</t>
  </si>
  <si>
    <t>00000255,00000100,00000392,00001006,00000282,00000290,11002393,00000291</t>
  </si>
  <si>
    <t>Wilson County HMP</t>
  </si>
  <si>
    <t>111000135</t>
  </si>
  <si>
    <t>Wilson County Low Water Crossing Improvements Project Planning</t>
  </si>
  <si>
    <t>Project planning to upgrade infrastructure at low water crossings to provide unimpeded access during 100 year base flood event to facilitate evacuation and response by emergency vehicles</t>
  </si>
  <si>
    <t>111000136</t>
  </si>
  <si>
    <t>Wilson County Voluntary Buyout Program Project Planning</t>
  </si>
  <si>
    <t>Project planning to establish of a voluntary aquistion and demolition program, structure relocation program, and structure elevation program to address repetitive loss, floodprone properties. Keep a database of properties.</t>
  </si>
  <si>
    <t>111000137</t>
  </si>
  <si>
    <t>Emergency power generators at critical infrastructure/key resource locations project planning</t>
  </si>
  <si>
    <t>Project planning to install emergency generators at critical facilities to provide back-up power from hazard events.</t>
  </si>
  <si>
    <t>111000010</t>
  </si>
  <si>
    <t>City of Cibolo and Seguin Road Access and Conditions Study</t>
  </si>
  <si>
    <t>Study to evaluate access and road conditions for response vehicles, develop and implement options to improve access and/or add redundant access routes in high risk areas.</t>
  </si>
  <si>
    <t>11000049,11000043,11000047,11000042,11000045,11000044</t>
  </si>
  <si>
    <t>00002615, 11002616</t>
  </si>
  <si>
    <t>00000821,11001045,00000255,00002615,00000392,00000010,00000282,00001485,00000291,11002616</t>
  </si>
  <si>
    <t>111000011</t>
  </si>
  <si>
    <t>City of Cibolo and Seguin USACE Study</t>
  </si>
  <si>
    <t>Undertake a comprehensive study of flood risk and reduction alternatives, with the assistance of the U.S. Army Corps of Engineers. Project planning to implement feasible alternatives for flood reduction.</t>
  </si>
  <si>
    <t>111000138</t>
  </si>
  <si>
    <t xml:space="preserve">Cypress Creek Regional detention            </t>
  </si>
  <si>
    <t>Project planning for regional detention project on Cypress Creek that will reduce flooding through the unincorporated town of Comfort, TX and possibly provide enhanced aquifer recharge.</t>
  </si>
  <si>
    <t>11000019,11000023,11000021</t>
  </si>
  <si>
    <t>00000017,00000255,11000923,00000291,00000297,00000022</t>
  </si>
  <si>
    <t>111000140</t>
  </si>
  <si>
    <t>City of Victoria WWTP Protection Project</t>
  </si>
  <si>
    <t>Project planning for potential erosion protection and streambank stabilization project intended to protect the levee around the City’s wastewater plant.</t>
  </si>
  <si>
    <t>11000131,11000147</t>
  </si>
  <si>
    <t>00000588,00000264,00000291,00000094</t>
  </si>
  <si>
    <t>Comment on Regional Flood Plan</t>
  </si>
  <si>
    <t>111000141</t>
  </si>
  <si>
    <t>City of San Marcos McKie Street at Willow Springs Creek Project Planning</t>
  </si>
  <si>
    <t xml:space="preserve">Alternatives analysis to determine if a feasible FMP exists at this location. Develop technical data required for FMPs. </t>
  </si>
  <si>
    <t>Sponsor request</t>
  </si>
  <si>
    <t>111000142</t>
  </si>
  <si>
    <t>City of San Marcos South LBJ Drive at Willow Springs Creek Project Planning</t>
  </si>
  <si>
    <t>111000143</t>
  </si>
  <si>
    <t>Dewitt County Drainage District 1 Cuero Levee Study</t>
  </si>
  <si>
    <t>Feasibility study of potential levee to protect City from river flooding with risk to life/safety and catastrophic damage, as has been experienced in Cuero on numerous occasions.</t>
  </si>
  <si>
    <t>111000144</t>
  </si>
  <si>
    <t>City of New Braunfels Wood Road/Landa Street Drainage Improvement</t>
  </si>
  <si>
    <t>Project planning for drainage improvement project to capture runoff east of Walnut Avenue and detains it in a 12-acre detention pond with 144 acre-feet of storage capacity.  The pond outfall structure discharges to an existing channel south of Wood Road.</t>
  </si>
  <si>
    <t>111000145</t>
  </si>
  <si>
    <t>Kendall County Guadalupe River Model Study</t>
  </si>
  <si>
    <t>Study to complete an HH model for all of the Guadalupe River within Kendall County.</t>
  </si>
  <si>
    <t>12100201,12100203</t>
  </si>
  <si>
    <t>11000029,11000027,11000031,11000019,11000023,11000025,11000021,11000022,11000033,11000026,11000028,11000032,11000095,11000030,11000092,11000093,11000024</t>
  </si>
  <si>
    <t>00000017,00000255,11000923,00000307,00000936,00000291</t>
  </si>
  <si>
    <t>111000146</t>
  </si>
  <si>
    <t>Kendall County Stream Gauges and Flood Hazard Beacons</t>
  </si>
  <si>
    <t>Study to evaluate locations for stream gauges and flood hazard beacons.</t>
  </si>
  <si>
    <t>111000147</t>
  </si>
  <si>
    <t>City of Kerrville Spring Street Project</t>
  </si>
  <si>
    <t>Develop required technical data for FMP. Project planning for storm drain and channel improvement project.</t>
  </si>
  <si>
    <t>Reclassification from FMP due to lack of required technical data</t>
  </si>
  <si>
    <t>111000148</t>
  </si>
  <si>
    <t>City of Kerrville Clay Street Drainage and Kroc Center Detention Pond Spillway Improvements</t>
  </si>
  <si>
    <t>Develop required technical data for FMP. Project planning for detention pond spillway improvement project.</t>
  </si>
  <si>
    <t>11000014,11000013</t>
  </si>
  <si>
    <t>11000001, 11000002, 11000009, 11000010</t>
  </si>
  <si>
    <t>111000149</t>
  </si>
  <si>
    <t>City of Kerrville Coronado Drive and Junction Highway Drainage Improvements</t>
  </si>
  <si>
    <t>Develop required technical data for FMP. Project planning for street and drainage improvement project.</t>
  </si>
  <si>
    <t>111000139</t>
  </si>
  <si>
    <t>Technical Study to Enhance Great Springs Project Regional Flood Mitigation</t>
  </si>
  <si>
    <t>The study will assess and quantify the flood mitigation impacts of an additional 50,000 acres of land conservation and trail development and identify possible modifications of open space and trail features to enhance flood mitigation.</t>
  </si>
  <si>
    <t>Comal,Hays</t>
  </si>
  <si>
    <t>11000102,11000041,11000099,11000106,11000104,11000046,11000038,11000039,11000040,11000101,11000042,11000103,11000037,11000107,11000100</t>
  </si>
  <si>
    <t>11000003</t>
  </si>
  <si>
    <t>00003278</t>
  </si>
  <si>
    <t>00000821,00002669,11002432,00002800,00000026,00000258,11001201,00000255,11000462,00000291,00000392,00000307,11000387,11003163,11000556,00002670,00000014,11000583,00003235</t>
  </si>
  <si>
    <t>121000001</t>
  </si>
  <si>
    <t>Study the San Antonio River, Ojo de Agua Creek  and its tributaries</t>
  </si>
  <si>
    <t>Install steam gauges and develop a study to identify solutions to flooding. Implement engineering findings to reduce and mitigate risks.</t>
  </si>
  <si>
    <t>San Antonio</t>
  </si>
  <si>
    <t>Karnes</t>
  </si>
  <si>
    <t>12100303</t>
  </si>
  <si>
    <t>1210030303,1210030304</t>
  </si>
  <si>
    <t>121003030306,121003030404</t>
  </si>
  <si>
    <t>12000016,12000023</t>
  </si>
  <si>
    <t>12000007, 12000011, 12000013, 12000014</t>
  </si>
  <si>
    <t>12002757</t>
  </si>
  <si>
    <t>00000095 , 00000255 , 00000282 , 00001006 , 12002757</t>
  </si>
  <si>
    <t>Karnes and Wilson Counties Hazard Mitigation Plan</t>
  </si>
  <si>
    <t>Halff Identification Process</t>
  </si>
  <si>
    <t>121000002</t>
  </si>
  <si>
    <t>7820 Rolling Acres Trail</t>
  </si>
  <si>
    <t>Low water crossing. Road closure gate is deployed at this crossing during large storm events.</t>
  </si>
  <si>
    <t>12100304</t>
  </si>
  <si>
    <t>1210030401</t>
  </si>
  <si>
    <t>121003040103</t>
  </si>
  <si>
    <t>12000063</t>
  </si>
  <si>
    <t>12000033</t>
  </si>
  <si>
    <t>12002436</t>
  </si>
  <si>
    <t>00000017 , 00000255 , 00000291 , 12002436</t>
  </si>
  <si>
    <t>City of Fair Oaks Ranch Master Drainage Plan</t>
  </si>
  <si>
    <t>121000003</t>
  </si>
  <si>
    <t>7900 Fair Oaks Parkway</t>
  </si>
  <si>
    <t>Analysis needed to confirm no adverse impacts on the solution that was implemented.</t>
  </si>
  <si>
    <t>Bexar</t>
  </si>
  <si>
    <t>12000011, 12000013, 12000014</t>
  </si>
  <si>
    <t>00000007 , 00000255 , 00000282 , 12002436</t>
  </si>
  <si>
    <t>121000004</t>
  </si>
  <si>
    <t>Ammann Road Low Water Crossing</t>
  </si>
  <si>
    <t>Low water crossing runs over the street due to insufficient culverts that pass under Ammann Road. Replacing the current road with an elevated concrete bridge above the flood stage.</t>
  </si>
  <si>
    <t>00000017 , 00000255 , 00000291</t>
  </si>
  <si>
    <t>121000005</t>
  </si>
  <si>
    <t>7420 Rolling Acres Trail Low Water Crossing</t>
  </si>
  <si>
    <t>Low Water crossing moves toward home on Meadow Creek Trail. Road Closure gate is deployed at this crossing during large storm events.</t>
  </si>
  <si>
    <t>121000006</t>
  </si>
  <si>
    <t>8402 Battle Intense Low Water Crossing</t>
  </si>
  <si>
    <t>Battle intense is often shut down in large rain events. Debris collects and damages this low water crossing</t>
  </si>
  <si>
    <t>121000007</t>
  </si>
  <si>
    <t>Battle Intense  LWC Flow-activated Sensors</t>
  </si>
  <si>
    <t>Add flow-activated sensors and automated drop-down arms to close off a road when the water has surpassed the road.</t>
  </si>
  <si>
    <t>Bexar,Comal</t>
  </si>
  <si>
    <t>12000005</t>
  </si>
  <si>
    <t>00000007 , 00000014 , 00000255 , 00000282 , 00000291 , 12002436</t>
  </si>
  <si>
    <t>121000008</t>
  </si>
  <si>
    <t>Rolling Acres Trail LWC Flow-activated Sensors</t>
  </si>
  <si>
    <t>121000009</t>
  </si>
  <si>
    <t>Karnes Hwy at Escondido Creek</t>
  </si>
  <si>
    <t>Raise bridge on Hwy and channel expansion on 181/5th in Kenedy</t>
  </si>
  <si>
    <t>1210030304</t>
  </si>
  <si>
    <t>121003030402</t>
  </si>
  <si>
    <t>12000021</t>
  </si>
  <si>
    <t>12000029</t>
  </si>
  <si>
    <t>00000282</t>
  </si>
  <si>
    <t>00000095 , 00000255 , 00000282 , 00000519 , 12002975</t>
  </si>
  <si>
    <t>Holistic Watershed Master Plan  
Wilson, Karnes, and Goliad Counties</t>
  </si>
  <si>
    <t>121000010</t>
  </si>
  <si>
    <t>Damage Center 1  Project1 – Detention in East Branch Poth Creek</t>
  </si>
  <si>
    <t>Storage in this area would reduce downstream flooding and remove existing structures from the FEMA floodplain</t>
  </si>
  <si>
    <t>1210030302</t>
  </si>
  <si>
    <t>121003030204</t>
  </si>
  <si>
    <t>12000027</t>
  </si>
  <si>
    <t>12000029, 12000030</t>
  </si>
  <si>
    <t>12003181</t>
  </si>
  <si>
    <t>00000100 , 00000255 , 00000282 , 12003181</t>
  </si>
  <si>
    <t>Wilson County Watershed Master Plan</t>
  </si>
  <si>
    <t>121000011</t>
  </si>
  <si>
    <t>D/O Center M(HWY 1604 East of Somerset Community)</t>
  </si>
  <si>
    <t>Oak Island Drainage Improvements. Culvert upgrades at two locations on Oak Island Dr and 1604 with channel work.</t>
  </si>
  <si>
    <t>12100302</t>
  </si>
  <si>
    <t>1210030205</t>
  </si>
  <si>
    <t>121003020508</t>
  </si>
  <si>
    <t>12000093</t>
  </si>
  <si>
    <t>12003327</t>
  </si>
  <si>
    <t>00000007 , 00000255 , 00000282 , 00000290 , 00000392 , 12003327</t>
  </si>
  <si>
    <t>Medina River Holistic Watershed Master Plan</t>
  </si>
  <si>
    <t>121000012</t>
  </si>
  <si>
    <t>Damage Center 1 (Stockdale Creek)</t>
  </si>
  <si>
    <t>Stockdale Creek Stream Restoration with a natural channel design</t>
  </si>
  <si>
    <t>1210030404</t>
  </si>
  <si>
    <t>121003040401</t>
  </si>
  <si>
    <t>12000060</t>
  </si>
  <si>
    <t>12003182</t>
  </si>
  <si>
    <t>00000100 , 00000255 , 00000282 , 12003182</t>
  </si>
  <si>
    <t>121000013</t>
  </si>
  <si>
    <t>Karnes County Damage Centers Karnes A</t>
  </si>
  <si>
    <t>Multiple structures at risk Within San Antonio River at US 181</t>
  </si>
  <si>
    <t>121003030202</t>
  </si>
  <si>
    <t>12000030</t>
  </si>
  <si>
    <t>12002974</t>
  </si>
  <si>
    <t>00000095 , 00000255 , 00000282 , 12002974</t>
  </si>
  <si>
    <t>121000014</t>
  </si>
  <si>
    <t>Karnes County Damage Centers Karnes B</t>
  </si>
  <si>
    <t>Multiple structures at risk Within Marcelinas Creek at US 181</t>
  </si>
  <si>
    <t>121000015</t>
  </si>
  <si>
    <t>A detailed drainage study of the city of Selma</t>
  </si>
  <si>
    <t>Bexar,Guadalupe,Comal</t>
  </si>
  <si>
    <t>1210030402</t>
  </si>
  <si>
    <t>121003040201,121003040202</t>
  </si>
  <si>
    <t>12000066,12000069</t>
  </si>
  <si>
    <t>00000007 , 00000010 , 00000014 , 00000255 , 00000282 , 00000291 , 00001485 , 12002512 , 00002671 , 12002967 , 12003258 , 12003327</t>
  </si>
  <si>
    <t>Selma Sponsor Outreach</t>
  </si>
  <si>
    <t>121000016</t>
  </si>
  <si>
    <t>Antonio Drive Drainage Improvements</t>
  </si>
  <si>
    <t>Bridge at Los Reyes Creek and Antonio Dr</t>
  </si>
  <si>
    <t>1210030204</t>
  </si>
  <si>
    <t>121003020404</t>
  </si>
  <si>
    <t>12000103</t>
  </si>
  <si>
    <t>12000029, 12000030, 12000033</t>
  </si>
  <si>
    <t>12003002</t>
  </si>
  <si>
    <t>00000007 , 00000255 , 00000282 , 12003002</t>
  </si>
  <si>
    <t>Projects for Flood Risk in Helotes</t>
  </si>
  <si>
    <t>121000017</t>
  </si>
  <si>
    <t>French Creek at Guilbeau Road NWWC</t>
  </si>
  <si>
    <t>A basic trapezoidal channel with side slopes of 3:1, representing an earthen channel</t>
  </si>
  <si>
    <t>121003020402</t>
  </si>
  <si>
    <t>12000078</t>
  </si>
  <si>
    <t>00000007 , 00000255 , 00000282 , 12003327</t>
  </si>
  <si>
    <t>Leon Creek Watershed Master Plan Phase 3</t>
  </si>
  <si>
    <t>121000018</t>
  </si>
  <si>
    <t>Huebner Creek Flood Control Project Segment 1</t>
  </si>
  <si>
    <t>The channel will be widened to 50” in front of Raymond Rimkus Park (6440 Evers Road) and then widened more from the park to the bridge.</t>
  </si>
  <si>
    <t>121003020405</t>
  </si>
  <si>
    <t>12000104</t>
  </si>
  <si>
    <t>12002511</t>
  </si>
  <si>
    <t>00000007 , 00000255 , 00000282 , 12002511</t>
  </si>
  <si>
    <t>Huebner Creek CAP 205/</t>
  </si>
  <si>
    <t>121000019</t>
  </si>
  <si>
    <t>DC19: Salado Creek Tributary B</t>
  </si>
  <si>
    <t>Improvement on IH 10 culvert crossing to reduce peak flood stages upstream of IH 10 channel improvements downstream of IH 10 to prevent peak flood stage increase</t>
  </si>
  <si>
    <t>12100301</t>
  </si>
  <si>
    <t>1210030101</t>
  </si>
  <si>
    <t>121003010105</t>
  </si>
  <si>
    <t>12000002</t>
  </si>
  <si>
    <t>Salado Creek Watershed Master Plan Report-Phase 1</t>
  </si>
  <si>
    <t>121000020</t>
  </si>
  <si>
    <t>LWC#41 Vance Jackson 200ft south of Scenic</t>
  </si>
  <si>
    <t>Low Water Crossing needs Bridge/Culvert Improvements with possible advanced warning signals. Associated street reconstruction to include curbs, sidewalks, and driveway approaches be incorporated into the project.</t>
  </si>
  <si>
    <t>1210030102</t>
  </si>
  <si>
    <t>121003010201</t>
  </si>
  <si>
    <t>12000008</t>
  </si>
  <si>
    <t>12000029, 12000033</t>
  </si>
  <si>
    <t>Project Summary Sheet</t>
  </si>
  <si>
    <t>121000021</t>
  </si>
  <si>
    <t>LWC 112.1 Pvt Rd. 300' North of Marbcah Rd.</t>
  </si>
  <si>
    <t>Project consists of channel improvements and an outfall to Slick Creek to alleviate street flooding. Channel improvements include installing 10x4 MBC along the channel to improve flow at this portion of Slick Creek.</t>
  </si>
  <si>
    <t>121000022</t>
  </si>
  <si>
    <t>LWC 100, Blakeley Area Drainage Improvement</t>
  </si>
  <si>
    <t>This option consists of upsizing the Blakeley crossing to (3) 6'x3' RCB and providing a 7' bottom width concrete trap channel with 3:1 side slopes upstream of the crossing.</t>
  </si>
  <si>
    <t>121000023</t>
  </si>
  <si>
    <t>LWC157 New Sulphur Springs Rd – East of Beck Rd</t>
  </si>
  <si>
    <t>The proposed project will install 4-10' x 9' MBC at the LWC and reconstruct the portion of New Sulphur Springs Rd. affected by the  culvert installation. The proposed street reconstruction will not include sidewalks or curbs.</t>
  </si>
  <si>
    <t>1210030103</t>
  </si>
  <si>
    <t>121003010302</t>
  </si>
  <si>
    <t>12000009</t>
  </si>
  <si>
    <t>00000007 , 00000255 , 00000282 , 00000392 , 12001595 , 12003327</t>
  </si>
  <si>
    <t>121000024</t>
  </si>
  <si>
    <t>LWC#156 New Sulphur Springs Rd – btwn S. Foster &amp; Gardner</t>
  </si>
  <si>
    <t>The proposed project will replace the existing culvert system with a bridge approximately 1500' in length. The proposed bridge will span two streams at this location</t>
  </si>
  <si>
    <t>121000025</t>
  </si>
  <si>
    <t>LWC #159.1 Southton Rd</t>
  </si>
  <si>
    <t>The proposed project will replace the existing culvert system with a bridge approximately 1500' in length.</t>
  </si>
  <si>
    <t>121003010204</t>
  </si>
  <si>
    <t>12000013</t>
  </si>
  <si>
    <t>121000026</t>
  </si>
  <si>
    <t>LWC #34 Sleepy Hollow @ Sunburst</t>
  </si>
  <si>
    <t>This project requires the placement culverts or a bridge to eliminate a low water crossing . Street Reconstruction includes driveway approaches, curbs, and sidewalks as required.</t>
  </si>
  <si>
    <t>121000027</t>
  </si>
  <si>
    <t>Damage Center 43-Olmos Creek Middle Reach near DeZavala</t>
  </si>
  <si>
    <t>The  depth  of flooding for the 100-year event ranges between 0.10 and 3.82 feet, therefore, buyouts  do  not appear  to  be  a  practical solution</t>
  </si>
  <si>
    <t>12000025</t>
  </si>
  <si>
    <t>00000007 , 00000255 , 00000282 , 12003000</t>
  </si>
  <si>
    <t>UPPER SAN ANTONIO RIVER MASTER PLAN</t>
  </si>
  <si>
    <t>121000028</t>
  </si>
  <si>
    <t>Damage Center 4- Apache Creek</t>
  </si>
  <si>
    <t>Majority of the flooding is caused by the undersized culverts downstream of West  Woodlawn,  providing  addition of box culverts will provide adequate capacity to the existing storm drain system</t>
  </si>
  <si>
    <t>121003010202</t>
  </si>
  <si>
    <t>12000010</t>
  </si>
  <si>
    <t>121000029</t>
  </si>
  <si>
    <t>Apache Creek &amp; Elmendorf Lake Dam</t>
  </si>
  <si>
    <t>The Elmendorf Lake Dam area is prone to flooding and will require an extensive drainage project to mitigate the floodplain. A Preliminary Engineering Report (PER) will need to be provided to assess a feasible solution</t>
  </si>
  <si>
    <t>121000030</t>
  </si>
  <si>
    <t>Cibolo Creek Tributary 19 Mapping Improvements</t>
  </si>
  <si>
    <t>Alternative Anylsis and Project recommendation</t>
  </si>
  <si>
    <t>121003040105,121003040104</t>
  </si>
  <si>
    <t>12000061,12000064</t>
  </si>
  <si>
    <t>00000014 , 00000255 , 00000291 , 00002121 , 00002669</t>
  </si>
  <si>
    <t>City of Bulverde Mapping Improvements Cibolo Creek Tributary 19 Drainage Report</t>
  </si>
  <si>
    <t>121000031</t>
  </si>
  <si>
    <t>Indian Creek Mapping Improvements</t>
  </si>
  <si>
    <t>12100201 , 12100304</t>
  </si>
  <si>
    <t>1210030401,1210020104</t>
  </si>
  <si>
    <t>121003040104,121002010404,121002010401</t>
  </si>
  <si>
    <t>12000064</t>
  </si>
  <si>
    <t>00000014 , 00000255 , 00000291 , 00002669</t>
  </si>
  <si>
    <t>City of Bulverde Mapping Improvements Indian Creek Drainage Report</t>
  </si>
  <si>
    <t>121000032</t>
  </si>
  <si>
    <t>Inventory of residences in floodplain</t>
  </si>
  <si>
    <t>Identify residential structures that are located in flood zones or high hazard areas and develop plan and implement a program for floodproofing or acquistion.</t>
  </si>
  <si>
    <t>121003030204,121003030202</t>
  </si>
  <si>
    <t>12000027,12000030</t>
  </si>
  <si>
    <t>121000033</t>
  </si>
  <si>
    <t>Update flood information and policies</t>
  </si>
  <si>
    <t>Identify and compile information on flood hazard areas and residential property in flood zones, establish and implement a volunteer acquisition / elevation program based on FEMA protocol in association with SARA studies, and review permitting process bas</t>
  </si>
  <si>
    <t>1210030302,1210030304</t>
  </si>
  <si>
    <t>121003030401,121003030402,121003030403,121003030205,121003030206</t>
  </si>
  <si>
    <t>12000020,12000021,12000022,12000034,12000037</t>
  </si>
  <si>
    <t>12000021, 12000022</t>
  </si>
  <si>
    <t>00000095</t>
  </si>
  <si>
    <t>00000095 , 00000255 , 00000282 , 00000519 , 12002756</t>
  </si>
  <si>
    <t>HDR Identification Process</t>
  </si>
  <si>
    <t>121000034</t>
  </si>
  <si>
    <t>12002975</t>
  </si>
  <si>
    <t>121000035</t>
  </si>
  <si>
    <t>Mitigate local flooding in identified problem areas</t>
  </si>
  <si>
    <t>Identify problem flooding areas and implement a program to reduce loaclized flooding</t>
  </si>
  <si>
    <t>1210030301,1210030302</t>
  </si>
  <si>
    <t>121003030204,121003030105</t>
  </si>
  <si>
    <t>12000027,12000035</t>
  </si>
  <si>
    <t>121000036</t>
  </si>
  <si>
    <t>Develop and implement a Stormwater Management Plan for Stockdale Creek</t>
  </si>
  <si>
    <t>Stockdale Creek, sa tributary of Clinton Branch which flows into Cibolo Creek, does not have sufficient capacity to contain floodwater as it flows through the center of Stockdale. The railroad on the east side of town used to act as a levee, but when it</t>
  </si>
  <si>
    <t>12000013, 12000014</t>
  </si>
  <si>
    <t>121000037</t>
  </si>
  <si>
    <t>121000038</t>
  </si>
  <si>
    <t>121000039</t>
  </si>
  <si>
    <t>121000040</t>
  </si>
  <si>
    <t>Install early warning systems</t>
  </si>
  <si>
    <t>Conduct a feasibility study that evaluates the coverage area, property ownership and availability, power requirements, telemetry requirements, technology, cost, and other local considerations. Based on study findings, install an emergency warning systems</t>
  </si>
  <si>
    <t>121000041</t>
  </si>
  <si>
    <t>Drainage Study Marcelinas Creek and its major tributary</t>
  </si>
  <si>
    <t>Marcelinas Creek has a floodplain that runs through the center of the city. Install stream gauges and identify alternatives to mitigate flooding. Implement study findings.</t>
  </si>
  <si>
    <t>121000042</t>
  </si>
  <si>
    <t>Build Detention Pond</t>
  </si>
  <si>
    <t>Phase I: Perform a study to evaluate Poth Branch Watershed - Phase II: Purchase land and construct a drainage infrustructure facility in accordance with the engineering recommendations of the study.</t>
  </si>
  <si>
    <t>121000043</t>
  </si>
  <si>
    <t>Drainage improvements to wastewater treatment plants</t>
  </si>
  <si>
    <t>A drainage improvement was completed in 2018 with 2016 disaster relief funding. Internal plumbing was buried and the size of the weir box was increased. Funding and improvements are still needed to connect 2 and 3 and cross CR401 to increase discharge ca</t>
  </si>
  <si>
    <t>121000044</t>
  </si>
  <si>
    <t>New Bridges on 6th and 8th Streets</t>
  </si>
  <si>
    <t>New construction of waterway bridges on 6th and 8th Streets crossing Stockdale Creek. Lift elevation profile of the two bridges that provide access to critical facilities and services within the city as well as access from the City to the surrounding reg</t>
  </si>
  <si>
    <t>121000045</t>
  </si>
  <si>
    <t>Detention/Retention pond on school property</t>
  </si>
  <si>
    <t>Install a Detention/Retention pond and reservoir to store excess stormwater on school property along Fordtran Street</t>
  </si>
  <si>
    <t>121000046</t>
  </si>
  <si>
    <t>7840 Silver Spur Trail</t>
  </si>
  <si>
    <t>Runoff collects from the northside of the city and passes this point before passing under Keeneland then to the Cibolo Creek Post Oak Creek low water crossing.</t>
  </si>
  <si>
    <t>121000047</t>
  </si>
  <si>
    <t>8410 Noble Lark Dr</t>
  </si>
  <si>
    <t>Regrade channel and install erosin control measures, repair the eroded foundation of the culvert headwall</t>
  </si>
  <si>
    <t>121000048</t>
  </si>
  <si>
    <t>D/O Center A (Old Pearsall road at Medio Creek )</t>
  </si>
  <si>
    <t>Old Pearsall Rd overtopping at Medio Creek Bridge and backwater conditions created from  RailRoad Bridge DS Old pearsall rd</t>
  </si>
  <si>
    <t>121003020504</t>
  </si>
  <si>
    <t>12000106</t>
  </si>
  <si>
    <t>121000049</t>
  </si>
  <si>
    <t>Damage Center 1 Project2A – Improved crossing at U.S. Highway 181</t>
  </si>
  <si>
    <t>Creek crossing improvements on HWY 181. Ponding upstream to an elevation that inundates adjacent homes.</t>
  </si>
  <si>
    <t>121000050</t>
  </si>
  <si>
    <t>Damage Center 2-Project 1 Culvert Improvements at Menchaca</t>
  </si>
  <si>
    <t>Significant overtopping at one 3' x 5' box culvert. Improving this culvert would provide emergency access to the areas of Poth west of Poth Creek</t>
  </si>
  <si>
    <t>1210030301</t>
  </si>
  <si>
    <t>121003030105</t>
  </si>
  <si>
    <t>12000035</t>
  </si>
  <si>
    <t>00000100 , 00000255 , 00000282</t>
  </si>
  <si>
    <t>121000051</t>
  </si>
  <si>
    <t>Damage Center 2- Project 2 Road connection from Mosspoint to Sunshine</t>
  </si>
  <si>
    <t>During a large storm event, access to and from residences adjacent to Mosspoint Street is compromised</t>
  </si>
  <si>
    <t>12000033, 12000034</t>
  </si>
  <si>
    <t>121000052</t>
  </si>
  <si>
    <t>Damage Center 2 (South Tributary to Stockdale Creek)</t>
  </si>
  <si>
    <t>Detention South Tributary to Stockdale Creek near the eastern city limit</t>
  </si>
  <si>
    <t>121000053</t>
  </si>
  <si>
    <t>Parrigin Road Drainage Improvements</t>
  </si>
  <si>
    <t>Parrigin Road low water crossing at Helotes Creek Tributary A floods frequently, limiting access for nearby residences</t>
  </si>
  <si>
    <t>Projects for flood risk Reduction in Helotes</t>
  </si>
  <si>
    <t>121000054</t>
  </si>
  <si>
    <t>Detailed Study of Unnamed Trib 3 to Helotes Creek</t>
  </si>
  <si>
    <t>Detailed hydrologic and hydraulic study is needed to determine appropriate drainage improvements.</t>
  </si>
  <si>
    <t>121000055</t>
  </si>
  <si>
    <t>Detailed Study of Culebra Creek Trib C</t>
  </si>
  <si>
    <t>Three low water crossings of Culebra Creek Tributary C, Beverly Hill Drive, Doheny at FM 1560, and FM 1560.  A detailed hydrologic and hydraulic study is needed to determine appropriate drainage improvements</t>
  </si>
  <si>
    <t>121003020403</t>
  </si>
  <si>
    <t>12000102</t>
  </si>
  <si>
    <t>121000056</t>
  </si>
  <si>
    <t>121000057</t>
  </si>
  <si>
    <t>French Creek RSWF</t>
  </si>
  <si>
    <t>An on-channel RSWF provides approximately 150 acre-feet of storag</t>
  </si>
  <si>
    <t>121000058</t>
  </si>
  <si>
    <t>Culebra Creek Tributary A at Tezel Road Enhanced Conveyance</t>
  </si>
  <si>
    <t>Increasing the flow area by widening the channel and increasing its side slope</t>
  </si>
  <si>
    <t>121000059</t>
  </si>
  <si>
    <t>Helotes Creek at Bandera Road Enhanced Conveyance</t>
  </si>
  <si>
    <t>Channel modifications were designed as a basic trapezoidal channel with side slopes of 3:1.</t>
  </si>
  <si>
    <t>121000060</t>
  </si>
  <si>
    <t>Helotes Creek RSWF</t>
  </si>
  <si>
    <t>An off-channel RSWF provides approximately 3330 acres-ft oof storage.</t>
  </si>
  <si>
    <t>121000061</t>
  </si>
  <si>
    <t>Hubner Creek Flood Protection Barier</t>
  </si>
  <si>
    <t>This project includes proposed Flood Protection Barrier between Ingram Road and Culebra Road</t>
  </si>
  <si>
    <t>121003020402,121003020404,121003020405</t>
  </si>
  <si>
    <t>12000078,12000103,12000104</t>
  </si>
  <si>
    <t>121000062</t>
  </si>
  <si>
    <t>Damage Center 5-Salado Creek Trib F</t>
  </si>
  <si>
    <t>Approximately 4,487 feet of channel improvements as well as constructing two inline reservoirs.</t>
  </si>
  <si>
    <t>121003010104</t>
  </si>
  <si>
    <t>12000004</t>
  </si>
  <si>
    <t>121000063</t>
  </si>
  <si>
    <t>Damage Center 3-Lorence Creek</t>
  </si>
  <si>
    <t>Approximately 10,000 feet of channel improvement. The proposed drainage improvements reduces the occurrence of structural flooding in _x000D_
several areas along the banks of the creek.</t>
  </si>
  <si>
    <t>121003010103</t>
  </si>
  <si>
    <t>121000064</t>
  </si>
  <si>
    <t>DC13/14: Walzem Creek</t>
  </si>
  <si>
    <t>A proposed combination of regional detention and channel improvement to reduce flooding on Walzem Creek.</t>
  </si>
  <si>
    <t>00000007 , 00000255 , 00000282 , 12001486 , 12002476 , 12003327</t>
  </si>
  <si>
    <t>121000065</t>
  </si>
  <si>
    <t>Damage Center 2- Martinez Creek</t>
  </si>
  <si>
    <t>The  downstream  culvert  system  creates  a  backwater  which  will  continue  to  affect _x000D_
properties near the inlet of that structure. Improved channelization  and culvert/bridge replacement and voluntary property acquisition</t>
  </si>
  <si>
    <t>121000066</t>
  </si>
  <si>
    <t>Woodlawn Lawn Lake Option 2</t>
  </si>
  <si>
    <t>Detention, Storm drain improvements, Culvert Improvments, Roadway Improvements.</t>
  </si>
  <si>
    <t>12002438</t>
  </si>
  <si>
    <t>00000007 , 00000255 , 00000282 , 12002438 , 12003327</t>
  </si>
  <si>
    <t>Upper Woodlawn Lake Drainage Study</t>
  </si>
  <si>
    <t>121000067</t>
  </si>
  <si>
    <t>Woodlawn Lawn Lake Option 1(Phase 1-3)</t>
  </si>
  <si>
    <t>121000068</t>
  </si>
  <si>
    <t>Normoyle Ditch - Alt 1</t>
  </si>
  <si>
    <t>Channel improvements are proposed from the Six Mile Creek outfall up to approximately 200 feet upstream of New Laredo Hwy. The project area was limited to the area south of Kelly AFB as the majority of habitable structures area</t>
  </si>
  <si>
    <t>121003020406</t>
  </si>
  <si>
    <t>12000105</t>
  </si>
  <si>
    <t>00000007 , 00000255 , 00000282 , 00000392 , 12003327</t>
  </si>
  <si>
    <t>San Antonio Sponsor Outreach</t>
  </si>
  <si>
    <t>121000069</t>
  </si>
  <si>
    <t>LWC 42 Dreamland south of RR Xing</t>
  </si>
  <si>
    <t>The project will consist of proposed Bridge crossing with +/- 6300 LF of total channel grading upstream and downstream and excavating to eliminate a low water crossing.  Street reconstruction includes driveway approaches, curbs, and sidewalks as required</t>
  </si>
  <si>
    <t>00000007 , 00000255 , 00000282 , 00000392 , 12002439 , 12003327</t>
  </si>
  <si>
    <t>121000070</t>
  </si>
  <si>
    <t>LWC No 113-116 and Associated Channel Improvements</t>
  </si>
  <si>
    <t>This project proposes to upgrade LWC 115 &amp; 116 and construct an underground storm system on Military to tie into the existing earthen channel. The underground system will consist of 10' curb inlets, 6'x3' box culverts,  24"-42" (RCP),outfall structures</t>
  </si>
  <si>
    <t>121000071</t>
  </si>
  <si>
    <t>LWC# 91  Weidner 500 ft N of Schertz</t>
  </si>
  <si>
    <t>Construct a bridge on Weidner Rd. to pass a 100 yr storm to replace LWC# 91, to include curbs and sidewalks.  This project will require channel excavation.  This LWC is not within a FEMA floodplain.</t>
  </si>
  <si>
    <t>121000072</t>
  </si>
  <si>
    <t>LWC #15 Copperhill Between Parkstone &amp; Happy Hollow</t>
  </si>
  <si>
    <t>Low Water Crossing #15 has approximately 128 acres of storm water that is conveyed through this crossing. This project proposes to construct an underground drainage system to assist in the conveyance of runoff crossing through this section</t>
  </si>
  <si>
    <t>121000073</t>
  </si>
  <si>
    <t>LWC #13 West Ave. @ Interpark</t>
  </si>
  <si>
    <t>Since approximately 2006, residents have complained about flooding within a low point on West Ave. Approximately 173 acres drains through this area. This project will construct an underground drainage system with an earthen channel</t>
  </si>
  <si>
    <t>121003010102</t>
  </si>
  <si>
    <t>12000001</t>
  </si>
  <si>
    <t>121000074</t>
  </si>
  <si>
    <t>New Sulphur Springs – East of Lodi Rd</t>
  </si>
  <si>
    <t>This project will install a cross arm/barricade at the LWC. Construction of a bridge or culvertinstallation</t>
  </si>
  <si>
    <t>121000075</t>
  </si>
  <si>
    <t>LWC #71 Danville and Overbrook</t>
  </si>
  <si>
    <t>This project requires the replacement of existing low water crossing on Danville with an upgraded culvert (2-10'X10' MBC) or bridge to eliminate a low water crossing with some channel modifications upstream and downstream of the crossing</t>
  </si>
  <si>
    <t>121000076</t>
  </si>
  <si>
    <t>LWC#72 Spencer Lane, east of Balcones Rd.</t>
  </si>
  <si>
    <t>During a rain storm event, storm water runoff from the East Woodlawn Ditch overtops the road. This project proposes the construction of a culvert crossing to include an associated energy dissipation system, headwall, and outfall structures.</t>
  </si>
  <si>
    <t>121000077</t>
  </si>
  <si>
    <t>Mahncke Park Outfall</t>
  </si>
  <si>
    <t>To convey the 100-yr ultimate development and relieve the current backwater conditions. This project proposes drainage improvement to watershed SA4.To reduce clogging and increase effciency.</t>
  </si>
  <si>
    <t>121000078</t>
  </si>
  <si>
    <t>Damage Center 44-San Antonio River  Near Center Road</t>
  </si>
  <si>
    <t>This  area  consists  of large agricultural lots. Buyouts appear to be the best option since the  entire damage center is  in  the floodplain. The  area  can be converted to a recreational  water  park area  or  pavilions  to  encourage  biking</t>
  </si>
  <si>
    <t>121003010203</t>
  </si>
  <si>
    <t>12000011</t>
  </si>
  <si>
    <t>121000079</t>
  </si>
  <si>
    <t>Damage Center 40-San Antonio River DS Reach near Roosevelt</t>
  </si>
  <si>
    <t>Three lots  have  100-year flood depths greater than 2 feet and were therefore not considered  for  flood-proofing. Due  to  its location between  parks,it  appears reasonable  to  be buyout the flooed properties and continue the park</t>
  </si>
  <si>
    <t>121000080</t>
  </si>
  <si>
    <t>Damage Center 39-Olmos Creek and Olmos Creek East Channel</t>
  </si>
  <si>
    <t>Antonian  High School  is  just  downstream  of  this damage center. There  are  a  total  of  eight  parcels  that  are  flooded  by  the 100-year storm event. Flood-proofing appears to be a practical approach for these properties</t>
  </si>
  <si>
    <t>121000081</t>
  </si>
  <si>
    <t>Damage Center 38-Olmos Creek Lower Reach Near Montview</t>
  </si>
  <si>
    <t>Flooding  occurs  on  the  left  overbank  and  begins just upstream of Montview. A total of 10 lots are impacted by the 100-year storm event and the depth of flooding  ranges between  0.10  and  0.15  feet.Flood depths are less than 0.5 feet; therefore</t>
  </si>
  <si>
    <t>121000082</t>
  </si>
  <si>
    <t>Damage Center 3- Zarzamora Creek</t>
  </si>
  <si>
    <t>The proposed earthen channel would begin upstream of the pedestrian bridge and end approximately 780 feet downstream of Ingram Road</t>
  </si>
  <si>
    <t>121000083</t>
  </si>
  <si>
    <t>Damage Center 6- Martinez Creek</t>
  </si>
  <si>
    <t>Voluntary Property Acquisition is the only option  that  would  be  recommended  under  current  regulatory  and  funding  scenarios</t>
  </si>
  <si>
    <t>121000084</t>
  </si>
  <si>
    <t>Damage Center 7- Zarzamora Creek</t>
  </si>
  <si>
    <t>Based  on  the  value  of  the  homes  within  this  damage  center,  VPAs  appear  to  be  a  practical  option  that  may  be  well  received</t>
  </si>
  <si>
    <t>121000085</t>
  </si>
  <si>
    <t>Damage Center 9- Alazan Creek</t>
  </si>
  <si>
    <t>severe flooding upstream  of  South Colorado  Street,  where  the  majority  of  the  buildings flood during the  10&amp;50 yr. Channel improvments</t>
  </si>
  <si>
    <t>121000086</t>
  </si>
  <si>
    <t>Damage Center 14- Airport Trib</t>
  </si>
  <si>
    <t>There are four bridges within this Damage Center, of which all overtop during the 1% AC storm event. Voluntary Acquisition of 79 residential propoerties that are compromised</t>
  </si>
  <si>
    <t>1210030101,1210030102</t>
  </si>
  <si>
    <t>121003010104,121003010201</t>
  </si>
  <si>
    <t>12000004,12000008</t>
  </si>
  <si>
    <t>121000087</t>
  </si>
  <si>
    <t>Damage Center 19- San Pedro Creek</t>
  </si>
  <si>
    <t>A lateral detention project is recommended to reduce the Camaron Street spill which will also provide some minor relief to the storm sewer surcharges at West Elmira Street, Cadwallader Street, Marshall Street, and Hill Street</t>
  </si>
  <si>
    <t>121000088</t>
  </si>
  <si>
    <t>Damage Center 20-Matinez Creek</t>
  </si>
  <si>
    <t>Lateral detention is a viable alternative for this project and could be used in conjunction with  VPA,  and  reduced  channelization,  to  meet  the  desired  outcomes  of  multi-use functionality  and  flood  reduction.</t>
  </si>
  <si>
    <t>121000089</t>
  </si>
  <si>
    <t>Damage Center 23-New Braunfels, Austin Hwy, Broadway Drain</t>
  </si>
  <si>
    <t>Reduce regional flooding and remove secure safe passage during 100 yr event. Utilizes a combined regional and local trunkline of 4'x4' and new outfall near Patterson Avenue.</t>
  </si>
  <si>
    <t>00000007 , 00000255 , 00000282 , 12002437 , 12002475 , 12003327</t>
  </si>
  <si>
    <t>121000090</t>
  </si>
  <si>
    <t>Damage Center 32-Six Mile Creek</t>
  </si>
  <si>
    <t>the proposed pond would have a direct impact on the flow in Normoyle  Ditch,  it  is  recommended  that  the  required  drainage  structures be r.eanalyzed</t>
  </si>
  <si>
    <t>121000091</t>
  </si>
  <si>
    <t>Damage Center 34-State Hospital Creek</t>
  </si>
  <si>
    <t>the channelization project will have to  be constructed  to  remove  all  structures  from  the  1%  annual  chance  storm  event floodplain</t>
  </si>
  <si>
    <t>121000092</t>
  </si>
  <si>
    <t>LWC at Ammann Rd and Post Oak Creek</t>
  </si>
  <si>
    <t>Improve the low water crossing at Ammann Road and Post Oak Creek</t>
  </si>
  <si>
    <t>Kendal County</t>
  </si>
  <si>
    <t>121000093</t>
  </si>
  <si>
    <t>LWC at Old Fredericksburg Rd and Balcones Creek</t>
  </si>
  <si>
    <t>Improve the low water crossing at Old Fredericksburg Rd and Balcones Creek</t>
  </si>
  <si>
    <t>Bexar,Kendall</t>
  </si>
  <si>
    <t>121003040102</t>
  </si>
  <si>
    <t>12000062</t>
  </si>
  <si>
    <t>00000007 , 00000017 , 00000255 , 00000282 , 00000291</t>
  </si>
  <si>
    <t>121000094</t>
  </si>
  <si>
    <t>Damage Center 31-Rockwood Creek</t>
  </si>
  <si>
    <t>Limits of the effective DFIRM model are incorrect based on the DFIRM hydrology if the hydrology is re-evaluated to take into account the limiting factor of the storm drain system, the actual flow to Rockwood Crk is less than the DFIRM flow</t>
  </si>
  <si>
    <t>121000095</t>
  </si>
  <si>
    <t>FM 1863 at Cibolo Creek LWC</t>
  </si>
  <si>
    <t>Replace low water crossings at two locations(US &amp;DS) where FM1863 crossing Cibolo Creek with bridges.</t>
  </si>
  <si>
    <t>121003040201</t>
  </si>
  <si>
    <t>12000066</t>
  </si>
  <si>
    <t>00000007 , 00000014 , 00000255 , 00000282 , 00000291 , 00002669</t>
  </si>
  <si>
    <t>Cibolo Creek Watershed Holistic Master Plan</t>
  </si>
  <si>
    <t>121000096</t>
  </si>
  <si>
    <t>Install pipe gates to close off streets</t>
  </si>
  <si>
    <t>Install automated systems at low-water crossings with high rate of vehicular access resulting in frequency of accidents and loss of life.</t>
  </si>
  <si>
    <t>121000097</t>
  </si>
  <si>
    <t>LWC# 101 Rittiman Creek @ Gibbs Sprawl</t>
  </si>
  <si>
    <t>This proposed planning study adds culverts at the railroad crossing, upgrades the earthen channel in the park from the westerly property line to Rittiman road, and installation of larger box culverts at the Gibbs Sprawl LWC which requires Gibbs Sprawl</t>
  </si>
  <si>
    <t>121003010106</t>
  </si>
  <si>
    <t>12000007</t>
  </si>
  <si>
    <t>121000098</t>
  </si>
  <si>
    <t>Maintain Drainage System</t>
  </si>
  <si>
    <t>Improve storm water drainage within residential and commercial areas by removing brush and debris,opening and widening waterways, restricting building in the flood zone, and widening bridges. Status or project was 90% complete in 2012 plan awaiting purch</t>
  </si>
  <si>
    <t>121000099</t>
  </si>
  <si>
    <t>Upper Martinez Creek Improvements</t>
  </si>
  <si>
    <t>Improvements to already channelized section of Martinez Creek (Cibolo Watershed) from Montgomery Dr to Walzem Rd and bridge improvements at Gibbs Sprawl Road</t>
  </si>
  <si>
    <t>121003040205</t>
  </si>
  <si>
    <t>12000071</t>
  </si>
  <si>
    <t>121000100</t>
  </si>
  <si>
    <t>Recommend for Wilson Roadways - Project 4 - Mariana Rd &amp; Mariana Creek</t>
  </si>
  <si>
    <t>Upgrade crossing so that it provides a safe evacuation route during large storm events.</t>
  </si>
  <si>
    <t>121003030104</t>
  </si>
  <si>
    <t>12000032</t>
  </si>
  <si>
    <t>121000101</t>
  </si>
  <si>
    <t>Recommend for Wilson Roadways - Project 5 - CR 108 &amp; Mariana Creek</t>
  </si>
  <si>
    <t>00000100 , 00000255 , 00000282 , 00000290</t>
  </si>
  <si>
    <t>121000102</t>
  </si>
  <si>
    <t>Erosion at CR 401 and Cibolo Creek</t>
  </si>
  <si>
    <t>Phase I: Engineering study of design solutions to erosion of CR 401 at Cibolo Creek.Phase II: Implementation of stabilization project to address stream incision and erosion CR 401 at Cibolo Creek.</t>
  </si>
  <si>
    <t>12000034</t>
  </si>
  <si>
    <t>121000103</t>
  </si>
  <si>
    <t>Erosion on CR 202 East and Marcelina Creek</t>
  </si>
  <si>
    <t>Phase I: Engineering study of design solutions to erosion of CR 202 at Marcelina Creek. Phase II: Implementation of stabilization project to address stream incision and erosion CR 202 at Marcelina Creek.</t>
  </si>
  <si>
    <t>121000104</t>
  </si>
  <si>
    <t>Improve bridge at CR 337</t>
  </si>
  <si>
    <t>streets and adjacent properties. An interception channel is proposed upstream of the City to capture flows and divert them west to a tributary of Lower Cibolo Creek.</t>
  </si>
  <si>
    <t>1210030303</t>
  </si>
  <si>
    <t>121003030306</t>
  </si>
  <si>
    <t>12000016</t>
  </si>
  <si>
    <t>00000095 , 00000255 , 00000282 , 00001006</t>
  </si>
  <si>
    <t>121000105</t>
  </si>
  <si>
    <t>Flat Creek Study</t>
  </si>
  <si>
    <t>Update details on both current and expected ultimate watershed build-oit conditions, Identify at-risk infrastructure and detail oppurtunities for flood reduction, and provide mitigation plans with regard to risk due to delevopment.</t>
  </si>
  <si>
    <t>Medina</t>
  </si>
  <si>
    <t>121003020501,121003020502</t>
  </si>
  <si>
    <t>12000081,12000107</t>
  </si>
  <si>
    <t>12000014</t>
  </si>
  <si>
    <t>12003377</t>
  </si>
  <si>
    <t>00000005 , 00000255 , 12003377</t>
  </si>
  <si>
    <t>Sponsor Outreach</t>
  </si>
  <si>
    <t>121000106</t>
  </si>
  <si>
    <t>Goliad Damage Center A</t>
  </si>
  <si>
    <t>Vegetated swales along Bungalow Ave and N San Patricio St</t>
  </si>
  <si>
    <t>Goliad</t>
  </si>
  <si>
    <t>1210030306</t>
  </si>
  <si>
    <t>121003030604</t>
  </si>
  <si>
    <t>12000049</t>
  </si>
  <si>
    <t>12000032, 12000012</t>
  </si>
  <si>
    <t>00000090</t>
  </si>
  <si>
    <t>00000090 , 00000264 , 00000282 , 12002986</t>
  </si>
  <si>
    <t>Holistic Watershed Master Plan Wilson, Karnes, and Goliad Counties, Flood Issues Volume</t>
  </si>
  <si>
    <t>121000107</t>
  </si>
  <si>
    <t>Goliad Damage Center B</t>
  </si>
  <si>
    <t>Construct dam north of W. Ward St</t>
  </si>
  <si>
    <t>12000026, 12000012</t>
  </si>
  <si>
    <t>00000090 , 00000264 , 00000282</t>
  </si>
  <si>
    <t>121000108</t>
  </si>
  <si>
    <t>Kempf Creek Watershed Study</t>
  </si>
  <si>
    <t>H&amp;H Study. Alternatives analysis for regional flood conveyance systems. Project identification and recommendations.</t>
  </si>
  <si>
    <t>121003020501</t>
  </si>
  <si>
    <t>12000081</t>
  </si>
  <si>
    <t>00000005 , 00000255</t>
  </si>
  <si>
    <t>121000109</t>
  </si>
  <si>
    <t>Lower Basin Predictive Flood Model</t>
  </si>
  <si>
    <t>De Witt,Wilson,Bexar,Guadalupe,Refugio,Calhoun,Goliad,Victoria,Karnes</t>
  </si>
  <si>
    <t>12100202 , 12100301 , 12100303 , 12100304 , 12110110</t>
  </si>
  <si>
    <t>12000012</t>
  </si>
  <si>
    <t>SARA Sponsor Outreach</t>
  </si>
  <si>
    <t>121000110</t>
  </si>
  <si>
    <t>Culvert improvement on Hatch St in Tivoli</t>
  </si>
  <si>
    <t>The bridge on Hatch Street in Tivoli was replaced with a culvert which drains slow and causes the water to breach the levee. Study to find alternatives to determine solutions for this drainage issue.</t>
  </si>
  <si>
    <t>Refugio</t>
  </si>
  <si>
    <t>12100404</t>
  </si>
  <si>
    <t>1210040400</t>
  </si>
  <si>
    <t>121004040000</t>
  </si>
  <si>
    <t>12000073</t>
  </si>
  <si>
    <t>Tivoli Community</t>
  </si>
  <si>
    <t>00000084 , 00000260 , 00000291 , 00000758 , 12001057 , 00001608</t>
  </si>
  <si>
    <t>Refugio County Flood Mitigation Projects Outreach Data Collection</t>
  </si>
  <si>
    <t>121000111</t>
  </si>
  <si>
    <t>Culvert Improvement on Highway 239 in Tivoli</t>
  </si>
  <si>
    <t>Culverts on Highway 239 in Tivoli are too small causing water to get in houses. Study to find alternatives to determine solutions for this drainage issue.</t>
  </si>
  <si>
    <t>121000112</t>
  </si>
  <si>
    <t>Miller Creek on the Smoky Creek Ranch Drainage Improvements</t>
  </si>
  <si>
    <t>Miller Creek on the Smoky Creek Ranch drains Tivoli and the surrounding area which is washing out property where Indian artifacts were found. Study to find alternatives to determine solutions for this drainage issue.</t>
  </si>
  <si>
    <t>00000084 , 00000260 , 00000291 , 00000714 , 00000758 , 00001608</t>
  </si>
  <si>
    <t>121000113</t>
  </si>
  <si>
    <t>New Drainage Analysis to Update/Revise Flood Maps</t>
  </si>
  <si>
    <t>This action proposes performing a new drainage analysis for the community to update/revise Flood Maps to better identify areas subject to this Hazard; last study completed in September 1977.</t>
  </si>
  <si>
    <t>121003020501,121003020503</t>
  </si>
  <si>
    <t>12000081,12000108</t>
  </si>
  <si>
    <t>12002954</t>
  </si>
  <si>
    <t>00000005 , 00000255 , 12002954</t>
  </si>
  <si>
    <t>Medina County HMAP Adopted</t>
  </si>
  <si>
    <t>121000114</t>
  </si>
  <si>
    <t>Low Water Crossing Upgrades</t>
  </si>
  <si>
    <t>Prioritize low water crossings within Karnes County and upgrade with higher level of flood protection, warnings, and signage</t>
  </si>
  <si>
    <t>Atascosa,De Witt,Wilson,Goliad,Karnes</t>
  </si>
  <si>
    <t>12100202 , 12100303 , 12100304 , 12110110</t>
  </si>
  <si>
    <t>1210020402,1210030302,1210030303,1210030304,1210030305,1210030404,1210020205,1210040601,1210040602,1211011005,1211011003,1211011101</t>
  </si>
  <si>
    <t>12000014,12000016,12000019,12000020,12000021,12000022,12000023,12000024,12000025,12000026,12000027,12000030,12000034,12000037,12000040,12000041,12000042,12000043,12000045,12000052,12000057,12000070</t>
  </si>
  <si>
    <t>12000014, 12000007</t>
  </si>
  <si>
    <t>00000095 , 00000096 , 00000099 , 00000100 , 00000255 , 00000260 , 00000264 , 00000282 , 00000290 , 00000291 , 00000519 , 00000526 , 00001006 , 12002756 , 12002757 , 12002974 , 12002975</t>
  </si>
  <si>
    <t>121000115</t>
  </si>
  <si>
    <t>Early warning flood systems</t>
  </si>
  <si>
    <t>Conduct feasibility analysis for need and location for placement and installation of an early warning system. Install early warning systems for non incorporated communities</t>
  </si>
  <si>
    <t>121000116</t>
  </si>
  <si>
    <t>Recommend for Wilson Roadways-Project 3-CR 122 &amp; Mariana Creek</t>
  </si>
  <si>
    <t>121000117</t>
  </si>
  <si>
    <t xml:space="preserve">North Lorenzo, Athens Street, Naples Street Storm Drainage Improvements 
</t>
  </si>
  <si>
    <t>Preliminary Engineering of storm drainage and inlet system.</t>
  </si>
  <si>
    <t>Castroville Drainage Master Plan</t>
  </si>
  <si>
    <t>121000118</t>
  </si>
  <si>
    <t>La Vernia Issue # 5 (Hwy 87 crossing and CR 342)</t>
  </si>
  <si>
    <t>Study to assess city acquiring drainage easements in the area upstream of the Highway 87 crossings, as well as the area between the crossings at Highway 87 and the crossing at CR 342 for the purpose of constructing a channel.</t>
  </si>
  <si>
    <t>1210030403</t>
  </si>
  <si>
    <t>121003040302</t>
  </si>
  <si>
    <t>12000056</t>
  </si>
  <si>
    <t>12003180</t>
  </si>
  <si>
    <t>00000100 , 00000255 , 00000282 , 00000392 , 12003180</t>
  </si>
  <si>
    <t>Overall Preliminary Drainage Report</t>
  </si>
  <si>
    <t>121000119</t>
  </si>
  <si>
    <t>La Vernia Issue # 2 and # 3 (City Park/ La Vernia ISD)</t>
  </si>
  <si>
    <t>Study to assess 6’-wide concrete-bottom channel/sidewalk with earthen sides (graded 5:1) be constructed through this area to better define the flow path. Gauge boards on San Antonio Road.  Aquire 25'-wide drainage easements.</t>
  </si>
  <si>
    <t>12000013, 12000032</t>
  </si>
  <si>
    <t>121000120</t>
  </si>
  <si>
    <t>Escondidio Creek WS SCS Site 1, 2, 4 Dam</t>
  </si>
  <si>
    <t>Rehabilitation of Escondido Creek 1,2, and 4 to ensure passage of the PMF.</t>
  </si>
  <si>
    <t>00000095 , 00000255 , 00000282 , 00000519</t>
  </si>
  <si>
    <t>121000121</t>
  </si>
  <si>
    <t>Wilson County LWC Study</t>
  </si>
  <si>
    <t>Study to evaluate the LWC in Wilson County and recommend alternatives both short term and long term alternatives. Some short term alternatives could include Low Water Signage, Turn Around Don’t Drown, automatic gates. 195 LWC in Wilson County.</t>
  </si>
  <si>
    <t>Atascosa,Wilson,Bexar,Guadalupe,Karnes</t>
  </si>
  <si>
    <t>1210030103,1210030301,1210030302,1210030303,1210030402,1210030403,1210030404,1210020205,1211011003</t>
  </si>
  <si>
    <t>12000006,12000012,12000027,12000028,12000029,12000030,12000031,12000032,12000033,12000034,12000035,12000036,12000038,12000039,12000040,12000041,12000052,12000053,12000054,12000056,12000057,12000059,12000060,12000065,12000070,12000072</t>
  </si>
  <si>
    <t>00000007 , 00000010 , 00000095 , 00000096 , 00000100 , 00000255 , 00000264 , 00000282 , 00000290 , 00000291 , 00000392 , 12000592 , 00001006 , 12001595 , 12002442 , 12002925 , 00002973 , 12003180 , 12003181 , 12003182</t>
  </si>
  <si>
    <t>Wilson County Sponsor Outreach</t>
  </si>
  <si>
    <t>121000122</t>
  </si>
  <si>
    <t>Wilson 10 - Acquisitions of Flooded Structures</t>
  </si>
  <si>
    <t>Acquire flooded structures to remove them out of the SFHA and restrict future structures from development on the site. Removal of damaged structures that are no longer liveable.</t>
  </si>
  <si>
    <t>12000026</t>
  </si>
  <si>
    <t>121000123</t>
  </si>
  <si>
    <t>City of Floresville Flood Study</t>
  </si>
  <si>
    <t xml:space="preserve">City wide study
</t>
  </si>
  <si>
    <t>121003030102,121003030103</t>
  </si>
  <si>
    <t>12000028,12000033</t>
  </si>
  <si>
    <t>12002925</t>
  </si>
  <si>
    <t>00000100 , 00000255 , 00000282 , 12000592 , 12002925</t>
  </si>
  <si>
    <t>121000124</t>
  </si>
  <si>
    <t xml:space="preserve">Highway 16 Bridge Upgrade
</t>
  </si>
  <si>
    <t>Closes the road down which is the main access for citizens. Study to upgrade crossing.</t>
  </si>
  <si>
    <t>Bandera</t>
  </si>
  <si>
    <t>1210030202</t>
  </si>
  <si>
    <t>121003020203,121003020204</t>
  </si>
  <si>
    <t>12000088,12000089</t>
  </si>
  <si>
    <t>00000011</t>
  </si>
  <si>
    <t>00000011 , 00000255 , 00000339</t>
  </si>
  <si>
    <t>Bandera Sponsor Outreach</t>
  </si>
  <si>
    <t>121000125</t>
  </si>
  <si>
    <t>Bandera State Highway 173 Study</t>
  </si>
  <si>
    <t>Prevents access to citizens from the city. Study to upgrade crossing.</t>
  </si>
  <si>
    <t>121003020204</t>
  </si>
  <si>
    <t>12000089</t>
  </si>
  <si>
    <t>121000126</t>
  </si>
  <si>
    <t>Bandera English Crossing Study</t>
  </si>
  <si>
    <t>This low water crossing can sometimes remain flooded for months. Study to upgrade road.</t>
  </si>
  <si>
    <t>1210030203</t>
  </si>
  <si>
    <t>121003020302</t>
  </si>
  <si>
    <t>12000097</t>
  </si>
  <si>
    <t>121000127</t>
  </si>
  <si>
    <t>Bandera FM 2107 Study</t>
  </si>
  <si>
    <t xml:space="preserve">FM 2107 is the only path for residents to access community lifelines.FM 2107 is the only path for residents to access community lifelines. Study to upgrade road. 
</t>
  </si>
  <si>
    <t>1210030201</t>
  </si>
  <si>
    <t>121003020103</t>
  </si>
  <si>
    <t>12000082</t>
  </si>
  <si>
    <t>121000128</t>
  </si>
  <si>
    <t>Bandera Patterson Street Study</t>
  </si>
  <si>
    <t>Impairs travel for citizens to reach community lifeline services. Study to upgrade road.</t>
  </si>
  <si>
    <t>121003020201</t>
  </si>
  <si>
    <t>12000087</t>
  </si>
  <si>
    <t>121000129</t>
  </si>
  <si>
    <t>Bandera Lower Mason Creek and Bandera Creek at State Highway 16</t>
  </si>
  <si>
    <t>Lower Mason Creek and Bandera Creek contribute to flooding at SH 16. Study to upgrade road.</t>
  </si>
  <si>
    <t>121000130</t>
  </si>
  <si>
    <t>Bandera WWTP Study</t>
  </si>
  <si>
    <t>Wastewater treatment plant is in 100 yr floodplain. Study to find solutions.</t>
  </si>
  <si>
    <t>121003020203</t>
  </si>
  <si>
    <t>12000088</t>
  </si>
  <si>
    <t>12000028</t>
  </si>
  <si>
    <t>00000011 , 00000255 , 00000339 , 12003414</t>
  </si>
  <si>
    <t>121000131</t>
  </si>
  <si>
    <t>Bandera 470 and Indian Creek Study</t>
  </si>
  <si>
    <t>Blocks public access to lifelines in Bandera. Study to upgrade road.</t>
  </si>
  <si>
    <t>121000132</t>
  </si>
  <si>
    <t>Bandera 470 and Medina River Study</t>
  </si>
  <si>
    <t>Blocks people of Tarpley from EMS and other lifelines in the city of Bandera. Study to upgrade road.</t>
  </si>
  <si>
    <t>121000133</t>
  </si>
  <si>
    <t>Natural capital inventory</t>
  </si>
  <si>
    <t>Development of a dataset identifying lands under conservation easement. Project includes courthouse and deed records research to identify lands that are protected or have future development restrictions.</t>
  </si>
  <si>
    <t>Atascosa,De Witt,Wilson,Medina,Bexar,Guadalupe,Bandera,Comal,Kendall,Kerr,Aransas,Refugio,Calhoun,Goliad,Victoria,Karnes</t>
  </si>
  <si>
    <t>12100201 , 12100202 , 12100301 , 12100303 , 12100304 , 12110110 , 12100302</t>
  </si>
  <si>
    <t>121000134</t>
  </si>
  <si>
    <t>Evaluation and prioritization of new gauge locations</t>
  </si>
  <si>
    <t>Study to identify stream gage locations in the San Antonio River Basin and cost effective/resilient monitoring technologies.</t>
  </si>
  <si>
    <t>121000135</t>
  </si>
  <si>
    <t>Future conditions data refinement study</t>
  </si>
  <si>
    <t xml:space="preserve">Future conditions data refinement study,study future landuse and apply to future models
</t>
  </si>
  <si>
    <t>121000136</t>
  </si>
  <si>
    <t xml:space="preserve">Port of San Antonio Floodproofing
</t>
  </si>
  <si>
    <t>Port SA, site specific, study flood mitigation for critial structures</t>
  </si>
  <si>
    <t>121000137</t>
  </si>
  <si>
    <t>River Authority WWTP Resilience</t>
  </si>
  <si>
    <t>Study of all River Authority WWTP Resilience, finding alternatives for floodproofing</t>
  </si>
  <si>
    <t>121000138</t>
  </si>
  <si>
    <t>Bandera Substation In Floodplain Study</t>
  </si>
  <si>
    <t>Electrical sub-station  is in 100 yr floodplain. Study to find solutions.</t>
  </si>
  <si>
    <t>121000139</t>
  </si>
  <si>
    <t>Garcia Creek Channel Stabilization</t>
  </si>
  <si>
    <t>Preliminary Engineering to identify stabilization methods and sizing.</t>
  </si>
  <si>
    <t>121000140</t>
  </si>
  <si>
    <t>Country Village Channel Improvements</t>
  </si>
  <si>
    <t>Preliminary Engineering including an H&amp;H study to size the channel improvements</t>
  </si>
  <si>
    <t>121000141</t>
  </si>
  <si>
    <t>Lucas Creek at Cinco De Mayo Dr Bridge and Channel (DC-MRD)</t>
  </si>
  <si>
    <t>Regional detention, channel improvements, and bridge/culvert upgrades, property acquisition</t>
  </si>
  <si>
    <t>121003020502,121003020503</t>
  </si>
  <si>
    <t>12000107,12000108</t>
  </si>
  <si>
    <t>12000031</t>
  </si>
  <si>
    <t>00000005</t>
  </si>
  <si>
    <t>00000007 , 00000255 , 00000282 , 00000392</t>
  </si>
  <si>
    <t>121000142</t>
  </si>
  <si>
    <t xml:space="preserve">Cagnon Rd at Polecat Creek (DC-MRN)
</t>
  </si>
  <si>
    <t>Replace the existing crossing with an approximately 320-foot long bridge.</t>
  </si>
  <si>
    <t>121003020503</t>
  </si>
  <si>
    <t>12000108</t>
  </si>
  <si>
    <t>121000143</t>
  </si>
  <si>
    <t>Trumbo Rd at Palo Blanco Creek (DC-MRP)</t>
  </si>
  <si>
    <t>Upgrades to Trumbo Rd and Loop 1604 crossings at Palo Blanco Creek with channel work.</t>
  </si>
  <si>
    <t>121003020509</t>
  </si>
  <si>
    <t>12000094</t>
  </si>
  <si>
    <t>00000007 , 00000255 , 00000282 , 00000290 , 00000392</t>
  </si>
  <si>
    <t>121000144</t>
  </si>
  <si>
    <t>Wet-Proof Wastewater System</t>
  </si>
  <si>
    <t>This action proposes “wet-proofing” city sewer lines to the Wastewater Treatment Plant</t>
  </si>
  <si>
    <t>121000145</t>
  </si>
  <si>
    <t>Karnes Damage Center H</t>
  </si>
  <si>
    <t>Raise bridge on Hwy 181/5th in Kenedy</t>
  </si>
  <si>
    <t>12000030, 12000012</t>
  </si>
  <si>
    <t>121000146</t>
  </si>
  <si>
    <t>Additional flood proof at wastewater treatment plant</t>
  </si>
  <si>
    <t>Study to evaluate removing the WWTP from flood and erosion risk</t>
  </si>
  <si>
    <t>121000147</t>
  </si>
  <si>
    <t>Recommend for Wilson Roadways - Project 7 - CR 119 &amp; Mariana Creek</t>
  </si>
  <si>
    <t>Study: Upgrade bridge so that it provides a safe evacuation route during large storm events.</t>
  </si>
  <si>
    <t>121000148</t>
  </si>
  <si>
    <t>Property acquisition and demolition and/or relocations</t>
  </si>
  <si>
    <t>12000022</t>
  </si>
  <si>
    <t>121000149</t>
  </si>
  <si>
    <t>Damage Center 2: Project 1 Channelization</t>
  </si>
  <si>
    <t>The channelization project would add 8 feet to the left bank of the channel, and the depth would be kept at its existing elevation.  The project would remove two structures adjacent to the stream from the floodplain.</t>
  </si>
  <si>
    <t>121003030103</t>
  </si>
  <si>
    <t>00000100 , 00000255 , 00000282 , 12002925</t>
  </si>
  <si>
    <t>121000150</t>
  </si>
  <si>
    <t>Damage Center 1: Project 1A, 1B, 1C</t>
  </si>
  <si>
    <t>Detention upstream of Lost Springs Hollow along with some channel work. Upgrade Hwy 181 crossing at Lodi Branch and channelization (contingent of Project 1A).</t>
  </si>
  <si>
    <t>121000151</t>
  </si>
  <si>
    <t>Repetitive loss properties</t>
  </si>
  <si>
    <t>Offer relocation/mitigation incentives to current flood hazard area property owners; initiate a community program to acquire repetitive loss structures identified by FEMA.</t>
  </si>
  <si>
    <t>121003040304,121003040302</t>
  </si>
  <si>
    <t>12000053,12000056</t>
  </si>
  <si>
    <t>12000024</t>
  </si>
  <si>
    <t>00000100 , 00000255 , 00000282 , 00000392 , 12001595 , 12003180</t>
  </si>
  <si>
    <t>121000152</t>
  </si>
  <si>
    <t>Nichols Creek Stabilization</t>
  </si>
  <si>
    <t>Restoration of Nichols Creek to improve stream function including conveyance of flow and sediment.</t>
  </si>
  <si>
    <t>121000153</t>
  </si>
  <si>
    <t>Master Drainage Plan for Bexar County Unincorporated Areas</t>
  </si>
  <si>
    <t>Engineering master plan to assess flood damage centers for Bexar County unincorporated areas.</t>
  </si>
  <si>
    <t>Atascosa,Wilson,Medina,Bexar,Guadalupe,Bandera,Comal,Kendall</t>
  </si>
  <si>
    <t>12100301 , 12100303 , 12100304 , 12110110 , 12100302</t>
  </si>
  <si>
    <t>1210030103,1210030101,1210030102,1210030301,1210030401,1210030402,1210030403,1211011002,1211011001,1211011003,1210030205,1210030203,1210030204</t>
  </si>
  <si>
    <t>00000007</t>
  </si>
  <si>
    <t>Bexar Sponsor Outreach</t>
  </si>
  <si>
    <t>121000154</t>
  </si>
  <si>
    <t>Master Drainage Plan for Bexar County HALT Low Water</t>
  </si>
  <si>
    <t>Engineering master plan to assess existing HALT sites for drainage improvements.</t>
  </si>
  <si>
    <t>121000155</t>
  </si>
  <si>
    <t>Culebra Creek RSWF</t>
  </si>
  <si>
    <t>Engineering study to evaluate the Culebra Creek RSWF under the revised Green &amp; Ampt hydrology.</t>
  </si>
  <si>
    <t>121003020402,121003020403,121003020404,121003020405</t>
  </si>
  <si>
    <t>12000078,12000102,12000103,12000104</t>
  </si>
  <si>
    <t>00000007 , 00000255 , 00000282 , 00000392 , 12001484 , 12003327</t>
  </si>
  <si>
    <t>121000156</t>
  </si>
  <si>
    <t>Gass Road at Culebra Creek Tributary D</t>
  </si>
  <si>
    <t>Engineering study to assess the removal of Gass Road from the 100-Yr flood plain at Culebra Creek Tributary D for 100-Yr accessibility and driver safety at the crossing.</t>
  </si>
  <si>
    <t>00000007 , 00000255 , 00000282</t>
  </si>
  <si>
    <t>121000157</t>
  </si>
  <si>
    <t>Rockwood Creek (SA-39)</t>
  </si>
  <si>
    <t>Engineering study to assess the removal of properties and residential structures from the 100-Yr flood plain along Rockwood Creek upstream of the San Antonio River and River Side Golf Course.</t>
  </si>
  <si>
    <t>121000158</t>
  </si>
  <si>
    <t>Live Oak at Salitrillo Creek (CB-9)</t>
  </si>
  <si>
    <t>Engineering study to assess removal of residential structures from the Salitrillo Creek 100-Yr flood plain upstream of Martinez Creek Dam No. 5.</t>
  </si>
  <si>
    <t>00000007 , 00000255 , 00000282 , 12002512 , 12002967</t>
  </si>
  <si>
    <t>121000159</t>
  </si>
  <si>
    <t>Bexar County LWC Engineering Study</t>
  </si>
  <si>
    <t>Engineering Study to evaluate seven LWC upgrades.</t>
  </si>
  <si>
    <t>121000160</t>
  </si>
  <si>
    <t>Study to compile information on residential property in flood zones, establish a volunteer acquisition / elevation program based on FEMA protocol in association with SARA studies, and review permitting process based on the 100-year flood event</t>
  </si>
  <si>
    <t xml:space="preserve">Karnes and Wilson Counties Hazard Mitigation Plan_x000D_
</t>
  </si>
  <si>
    <t>121000161</t>
  </si>
  <si>
    <t>Holistic Watershed based master planning consistent with Nature Based Solutions</t>
  </si>
  <si>
    <t xml:space="preserve"> This Flood Management Evaluation (FME) will fill the knowledge gap in the region on the benefits of NFMS for floodplains, flood peak attenuation, ecosystem services, groundwater recharge, and recreational value</t>
  </si>
  <si>
    <t>Wilson,Bexar</t>
  </si>
  <si>
    <t>1210030103,1210030101,1210030102,1210030301,1210030401,1210030402,1210030403,1211011002,1210030205,1210030204</t>
  </si>
  <si>
    <t>12000001,12000002,12000003,12000004,12000005,12000006,12000007,12000008,12000009,12000010,12000011,12000012,12000013,12000029,12000055,12000056,12000063,12000064,12000066,12000069,12000071,12000076,12000078,12000094,12000104,12000105</t>
  </si>
  <si>
    <t>RFPG Committee</t>
  </si>
  <si>
    <t>121000162</t>
  </si>
  <si>
    <t>29010 Tivoli Way</t>
  </si>
  <si>
    <t>Utilize existing stormwater infrastructure by regrading the roadway to slope towards existing inlets and open channels on the  north and south side of Windermere Dr on the east side of Fair Oaks Parkway. New curb installed along the west side of Fair Oak</t>
  </si>
  <si>
    <t>00000007,00000255,00000282,12002436</t>
  </si>
  <si>
    <t>121000163</t>
  </si>
  <si>
    <t>Bexar County Line LWC Engineering Study</t>
  </si>
  <si>
    <t>Engineering Study to evaluate twelve LWC upgrades at county line</t>
  </si>
  <si>
    <t>131000005</t>
  </si>
  <si>
    <t>Others (Flood Prevention/Planning Study, LOMR etc)</t>
  </si>
  <si>
    <t>Atascosa Flood Prevention Project - Pleasanton</t>
  </si>
  <si>
    <t>Nueces</t>
  </si>
  <si>
    <t>Atascosa</t>
  </si>
  <si>
    <t>12110110</t>
  </si>
  <si>
    <t>1211011002</t>
  </si>
  <si>
    <t>121101100205,121101100206</t>
  </si>
  <si>
    <t>13000418,13000419</t>
  </si>
  <si>
    <t>13000013</t>
  </si>
  <si>
    <t>13003117</t>
  </si>
  <si>
    <t>00000096,00000255,00000290,13003117</t>
  </si>
  <si>
    <t>high need area</t>
  </si>
  <si>
    <t>131000006</t>
  </si>
  <si>
    <t>Camp Wood City-wide Drainage Study</t>
  </si>
  <si>
    <t>Real</t>
  </si>
  <si>
    <t>12110101</t>
  </si>
  <si>
    <t>1211010104</t>
  </si>
  <si>
    <t>121101010401</t>
  </si>
  <si>
    <t>13000052</t>
  </si>
  <si>
    <t>13000012</t>
  </si>
  <si>
    <t>13002625</t>
  </si>
  <si>
    <t>00000015,00000268,00000290,13002625</t>
  </si>
  <si>
    <t>Stakeholder request</t>
  </si>
  <si>
    <t>high need and no existing study</t>
  </si>
  <si>
    <t>131000007</t>
  </si>
  <si>
    <t>City of Hondo Drainage Master Plan and Flood Mitigation plan</t>
  </si>
  <si>
    <t>12110107</t>
  </si>
  <si>
    <t>1211010701,1211010702</t>
  </si>
  <si>
    <t>121101070109,121101070201,121101070202,121101070203,121101070204</t>
  </si>
  <si>
    <t>13000322,13000325,13000329,13000330,13000333</t>
  </si>
  <si>
    <t>13002953</t>
  </si>
  <si>
    <t>00000005,00000255,00000290,13002953</t>
  </si>
  <si>
    <t>Provided by stakeholders</t>
  </si>
  <si>
    <t>high need, In vulnerable area</t>
  </si>
  <si>
    <t>131000008</t>
  </si>
  <si>
    <t>D'Hanis Flood Study</t>
  </si>
  <si>
    <t>D'Hanis Flood Study needed from Leakey road show on 3/21/2022</t>
  </si>
  <si>
    <t>1211010702,1211010703</t>
  </si>
  <si>
    <t>121101070203,121101070304,121101070305</t>
  </si>
  <si>
    <t>13000330,13000340,13000341</t>
  </si>
  <si>
    <t>13000010</t>
  </si>
  <si>
    <t>00000005,00000255,00000290,13000948</t>
  </si>
  <si>
    <t>high need and benefit</t>
  </si>
  <si>
    <t>131000009</t>
  </si>
  <si>
    <t>Comprehensive Plan Update</t>
  </si>
  <si>
    <t>Creation of Future Land Use Plan, Thoroughfare Plan, Site Plans for Planned Development, Parks Planning, Implementation</t>
  </si>
  <si>
    <t>13000016</t>
  </si>
  <si>
    <t>131000010</t>
  </si>
  <si>
    <t>Flood mapping updates and hydrologic and hydraulic modeling</t>
  </si>
  <si>
    <t>Scope would likely include updating the Hydrology and Hydraulic modeling for approximately 5 miles of study stream for the Hondo area. The goal would be to then use this data to apply to FEMA to update the flood mapping within the City and immediate area.</t>
  </si>
  <si>
    <t>131000011</t>
  </si>
  <si>
    <t>Drainage and Stormwater Master Plan</t>
  </si>
  <si>
    <t>Restudy of the City’s floodplain and creation of a holistic plan for the City’s drainage and stormwater system. This data would then be used as a foundation to update the City’s Subdivision Ordinance and Building Codes to mitigate future flood risks.</t>
  </si>
  <si>
    <t>131000012</t>
  </si>
  <si>
    <t>Emergency Management Plan and Flood Hazard Mitigation Plan</t>
  </si>
  <si>
    <t>Creation of a plan for disaster preparedness to decrease repetitive losses, financial hardship and loss of life.</t>
  </si>
  <si>
    <t>131000013</t>
  </si>
  <si>
    <t>Feasibility Study for Regional detention</t>
  </si>
  <si>
    <t>Create a feasibility study for Regional Detention areas to be incorporated into comprehensive drainage planning projects.</t>
  </si>
  <si>
    <t>131000014</t>
  </si>
  <si>
    <t>City of Natalia Floodplain Study</t>
  </si>
  <si>
    <t xml:space="preserve">City wide flood study to evaluate floodplain. </t>
  </si>
  <si>
    <t>12110109</t>
  </si>
  <si>
    <t>1211010901</t>
  </si>
  <si>
    <t>121101090101</t>
  </si>
  <si>
    <t>13000382</t>
  </si>
  <si>
    <t>13002955</t>
  </si>
  <si>
    <t>00000005,00000255,00000290,00000299,13002955</t>
  </si>
  <si>
    <t>high need from the stakeholder interview</t>
  </si>
  <si>
    <t>131000016</t>
  </si>
  <si>
    <t>Crystal City City-wide Drainage Study</t>
  </si>
  <si>
    <t>Zavala</t>
  </si>
  <si>
    <t>12110103,12110104</t>
  </si>
  <si>
    <t>1211010302,1211010406</t>
  </si>
  <si>
    <t>121101030207,121101040605</t>
  </si>
  <si>
    <t>13000120,13000167</t>
  </si>
  <si>
    <t>13003432</t>
  </si>
  <si>
    <t>13000092,00000268,00000290,13003432</t>
  </si>
  <si>
    <t>Requested by stakeholders</t>
  </si>
  <si>
    <t>high need in vulnerable area, stakeholder request</t>
  </si>
  <si>
    <t>131000018</t>
  </si>
  <si>
    <t>Atascosa McMullen Hazard Mitigation Plan - City of Pleasanton Action #10</t>
  </si>
  <si>
    <t>reduce flooding and poor drainage by increasing maintenance of existing storm water system.</t>
  </si>
  <si>
    <t>131000019</t>
  </si>
  <si>
    <t>Atascosa McMullen Hazard Mitigation Plan - McMullen County Action #2</t>
  </si>
  <si>
    <t xml:space="preserve">Conduct a countywide floodplain study and mapping to understand the limits of the 1% annual chance and 0.2% annual chance floodplain boundaries and their effects on the community, infrastructure and critical facilities. </t>
  </si>
  <si>
    <t>Atascosa,Duval,Webb,La Salle,McMullen,Live Oak,Frio</t>
  </si>
  <si>
    <t>12110105,12110108,12110109,12110110,12110111</t>
  </si>
  <si>
    <t>1211010510,1211010509,1211010511,1211010512,1211010804,1211010805,1211010905,1211010903,1211010904,1211011005,1211011004,1211011105</t>
  </si>
  <si>
    <t>13000011</t>
  </si>
  <si>
    <t>13000086</t>
  </si>
  <si>
    <t>13000085,13000086,13000093,00000096,00000255,00000260,00000268,00000290,13000949,13001666</t>
  </si>
  <si>
    <t>131000020</t>
  </si>
  <si>
    <t>Atascosa McMullen Hazard Mitigation Plan - McMullen County Action #3</t>
  </si>
  <si>
    <t>Study and prioritize low water crossing improvements</t>
  </si>
  <si>
    <t>13000003</t>
  </si>
  <si>
    <t>131000021</t>
  </si>
  <si>
    <t>Atascosa McMullen Hazard Mitigation Plan - McMullen County Action #5</t>
  </si>
  <si>
    <t>Provide FEMA review of floodplain management criteria by ensuring that the community correct NRP program deficiencies and enforces existing ordinances that regular planning and development.</t>
  </si>
  <si>
    <t>131000022</t>
  </si>
  <si>
    <t>Atascosa McMullen Hazard Mitigation Plan - Atascosa County Action #9</t>
  </si>
  <si>
    <t>Upgrade existing floodplain maps. Add new Atlas 14 rainfall frequency data.</t>
  </si>
  <si>
    <t>Atascosa,Wilson,Medina,Bexar,La Salle,McMullen,Live Oak,Frio,Karnes</t>
  </si>
  <si>
    <t>12110108,12110109,12110110,12100302</t>
  </si>
  <si>
    <t>1211010804,1211010805,1211010905,1211010903,1211010904,1211011005,1211011004,1211011002,1211011001,1211011003,1210030205</t>
  </si>
  <si>
    <t>00000096</t>
  </si>
  <si>
    <t>00000005,00000007,13000086,13000089,13000093,00000096,00000100,00000255,00000260,00000282,00000290,00000299,00000392,13002446,13003116,13003117,13003118,13003214,13003215</t>
  </si>
  <si>
    <t>131000023</t>
  </si>
  <si>
    <t>Atascosa McMullen Hazard Mitigation Plan - Atascosa County Action #10</t>
  </si>
  <si>
    <t>13000013, 13000021</t>
  </si>
  <si>
    <t>131000024</t>
  </si>
  <si>
    <t xml:space="preserve">Atascosa McMullen Hazard Mitigation Plan - City of Charlotte Action #3_x000D_
</t>
  </si>
  <si>
    <t>Implement a stormwater plan needing to identify and prioritize projects that will improve drainage in the areas in the city</t>
  </si>
  <si>
    <t>12110109,12110110</t>
  </si>
  <si>
    <t>1211010904,1211011004</t>
  </si>
  <si>
    <t>121101090402,121101090404,121101100401</t>
  </si>
  <si>
    <t>13000397,13000399,13000426</t>
  </si>
  <si>
    <t>13003214</t>
  </si>
  <si>
    <t>00000096,00000255,00000290,13003214</t>
  </si>
  <si>
    <t>131000026</t>
  </si>
  <si>
    <t xml:space="preserve">Atascosa McMullen Hazard Mitigation Plan - City of Christine Action #2_x000D_
</t>
  </si>
  <si>
    <t>Improve drainage in certain areas of the  city that are subject to flooding and conduct a study to identify deficiencies in current land development code for future developments.</t>
  </si>
  <si>
    <t>1211011004</t>
  </si>
  <si>
    <t>121101100403,121101100405</t>
  </si>
  <si>
    <t>13000417,13000428</t>
  </si>
  <si>
    <t>13003215</t>
  </si>
  <si>
    <t>00000096,00000255,00000290,13003215</t>
  </si>
  <si>
    <t>131000027</t>
  </si>
  <si>
    <t>Atascosa McMullen Hazard Mitigation Plan - City of Jourdanton Action #12</t>
  </si>
  <si>
    <t>Identify problem flooding areas within an area drainage study and implement a program to reduce citywide and localized flooding.</t>
  </si>
  <si>
    <t>1211011004,1211011002</t>
  </si>
  <si>
    <t>121101100206,121101100402,121101100405</t>
  </si>
  <si>
    <t>13000419,13000427,13000428</t>
  </si>
  <si>
    <t>13003116</t>
  </si>
  <si>
    <t>00000096,00000255,00000290,13003116</t>
  </si>
  <si>
    <t>131000028</t>
  </si>
  <si>
    <t>Atascosa McMullen Hazard Mitigation Plan - City of Lytle Action #11</t>
  </si>
  <si>
    <t>Develop a stormwater management plan and implement the structural and non-structural solutions to mitigate flooding.</t>
  </si>
  <si>
    <t>Atascosa,Medina,Bexar</t>
  </si>
  <si>
    <t>1211011001</t>
  </si>
  <si>
    <t>121101100101</t>
  </si>
  <si>
    <t>13000405</t>
  </si>
  <si>
    <t>13002446</t>
  </si>
  <si>
    <t>00000005,00000007,00000096,00000255,00000282,00000290,00000299,13002446</t>
  </si>
  <si>
    <t>131000029</t>
  </si>
  <si>
    <t>Atascosa McMullen Hazard Mitigation Plan - City of Lytle Action #4</t>
  </si>
  <si>
    <t>Enforcement of code and floodplain development is improving with meetings with new businesses.</t>
  </si>
  <si>
    <t>131000031</t>
  </si>
  <si>
    <t>Atascosa McMullen Hazard Mitigation Plan - City of Poteet Action #7</t>
  </si>
  <si>
    <t>Study and implement findings of study to improve local drainage at Betty Louis and school drive</t>
  </si>
  <si>
    <t>121101100203</t>
  </si>
  <si>
    <t>13000416</t>
  </si>
  <si>
    <t>13003118</t>
  </si>
  <si>
    <t>00000096,00000255,00000290,13003118</t>
  </si>
  <si>
    <t>131000032</t>
  </si>
  <si>
    <t>Gilliam Rd Drainage Improvements- FH#9</t>
  </si>
  <si>
    <t>Install series of underground storm water lines and drop structures along Loma Vista Closed street and Gilliam road near Sewer Treatment Plant tying in to the existing Channel on FM1581.</t>
  </si>
  <si>
    <t>Frio</t>
  </si>
  <si>
    <t>12110106</t>
  </si>
  <si>
    <t>1211010612</t>
  </si>
  <si>
    <t>121101061204</t>
  </si>
  <si>
    <t>13000293</t>
  </si>
  <si>
    <t>13003230</t>
  </si>
  <si>
    <t>13000093,00000255,00000290,13003230</t>
  </si>
  <si>
    <t>City of Pearsall Drainage Master Plan</t>
  </si>
  <si>
    <t>stakeholder provided, high need area</t>
  </si>
  <si>
    <t>131000033</t>
  </si>
  <si>
    <t>CR4001 and I-35 Access Road Drainage- FH#10</t>
  </si>
  <si>
    <t>Install trapezoidal concrete channel and proposed culvert crossings at the driveways along south of IH-35 access at CR4001 tying into the existing drainage channel 1700 LF south of the intersection of IH-35 access at CR4001.</t>
  </si>
  <si>
    <t>131000037</t>
  </si>
  <si>
    <t>City of Alice &amp; Jim Wells County Multi-Hazard Mitigation Plan - Construct Storm Drainage Infrastructure (City of Alice)</t>
  </si>
  <si>
    <t xml:space="preserve">This action proposes constructing new storm drainage infrastructure to reduce the potential impacts of future flood events. </t>
  </si>
  <si>
    <t>Jim Wells</t>
  </si>
  <si>
    <t>12110204</t>
  </si>
  <si>
    <t>1211020404</t>
  </si>
  <si>
    <t>121102040404,121102040405</t>
  </si>
  <si>
    <t>13000496,13000513</t>
  </si>
  <si>
    <t>13003128</t>
  </si>
  <si>
    <t>13000080,00000260,00000290,13001788,13003128</t>
  </si>
  <si>
    <t>Stakeholder interview</t>
  </si>
  <si>
    <t>131000039</t>
  </si>
  <si>
    <t>City of Alice &amp; Jim Wells County Multi-Hazard Mitigation Plan - Conduct Dam / Levee Failure Studies (City of Alice)</t>
  </si>
  <si>
    <t>The City of Alice will work with local dam / levee owners to conduct relevant studies to identify peak flow rates and expected inundations in the event of local dam failures</t>
  </si>
  <si>
    <t>13000004</t>
  </si>
  <si>
    <t>131000040</t>
  </si>
  <si>
    <t xml:space="preserve">City of Alice &amp; Jim Wells County Multi-Hazard Mitigation Plan - Construct New Levees and Improve Existing System </t>
  </si>
  <si>
    <t>This action proposes constructing new levees and improving existing ones to reduce the potential impacts of future flood events by reducing the likelihood of levee failure.</t>
  </si>
  <si>
    <t>131000041</t>
  </si>
  <si>
    <t>City of Alice &amp; Jim Wells County Multi-Hazard Mitigation Plan - Construct Storm Drainage Infrastructure (Jim Wells County)</t>
  </si>
  <si>
    <t>Brooks,Kleberg,Nueces,Duval,Jim Wells,San Patricio,Live Oak</t>
  </si>
  <si>
    <t>12110111,12110204,12110205,12110206</t>
  </si>
  <si>
    <t>1211011105,1211011106,1211011107,1211020402,1211020401,1211020403,1211020404,1211020501,1211020507,1211020504,1211020505,1211020506,1211020603</t>
  </si>
  <si>
    <t>13000080</t>
  </si>
  <si>
    <t>13000079,13000080,13000081,13000089,00000260,00000290,13000409,13000585,13000779,13000842,13001666,13001741,13001788,13003127,13003128,13003130,13003131</t>
  </si>
  <si>
    <t>131000042</t>
  </si>
  <si>
    <t>City of Alice &amp; Jim Wells County Multi-Hazard Mitigation Plan - Purchase Portable Pumps</t>
  </si>
  <si>
    <t>This action proposes purchasing portable pumps that can be deployed as needed to reduce the potential impacts of future flood events.</t>
  </si>
  <si>
    <t>131000043</t>
  </si>
  <si>
    <t>City of Alice &amp; Jim Wells County Multi-Hazard Mitigation Plan - Conduct Dam / Levee Failure Studies (Jim Wells County)</t>
  </si>
  <si>
    <t xml:space="preserve">Jim Wells County will work with local dam / levee owners to conduct relevant studies to identify peak flow rates and expected inundations in the event of local dam failures. </t>
  </si>
  <si>
    <t>131000044</t>
  </si>
  <si>
    <t>Colorado Street Drainage Improvements- FH#1</t>
  </si>
  <si>
    <t>Install series of underground storm water trunk lines and drop structures along Garcia Street and Colorado Street before outfalling in to trapezoidal channel on S. Puente Street.</t>
  </si>
  <si>
    <t>131000045</t>
  </si>
  <si>
    <t>Trinity Street &amp; N Cherry Street Drainage Improvements- FH#2</t>
  </si>
  <si>
    <t>Install series of underground storm water trunk lines and drop structures along N Cherry street tying in to the existing 2-8'x7' concrete boxes on W San Antonio Street.</t>
  </si>
  <si>
    <t>131000046</t>
  </si>
  <si>
    <t>W Comal St &amp; FM 1581 Drainage Channel- FH#3</t>
  </si>
  <si>
    <t>Install trapezoidal concrete channel and upsize existing culverts at the crossing on W Comal Street and W San Antonio street at FM1581 intersections.</t>
  </si>
  <si>
    <t>131000047</t>
  </si>
  <si>
    <t>W Pena St and N Mulberry St Drainage Improvements- FH#4</t>
  </si>
  <si>
    <t>Install series of underground storm water trunk lines and drop structures along Pena street and N Willow street tying into the existing 10'x4' concrete boxes on N Mulberry Street.</t>
  </si>
  <si>
    <t>131000048</t>
  </si>
  <si>
    <t>Pearsall RV Park on Guadalupe Street Drainage Improvements- FH#5</t>
  </si>
  <si>
    <t>Install underground storm water trunk lines and drop structures at the intersection of Powerplant Road and Guadalupe Street carrying drainage to avoid flooding before outfalling in to earthen swale on Powerplant Road.</t>
  </si>
  <si>
    <t>121101061201</t>
  </si>
  <si>
    <t>13000307</t>
  </si>
  <si>
    <t>131000049</t>
  </si>
  <si>
    <t>Westview Apartment Detention Pond Underground Drainage- FH#6</t>
  </si>
  <si>
    <t>Install series of underground storm water trunk lines and drop structures in the alley running along Colorado Street before tying in to the proposed drainage on Garcia Street.</t>
  </si>
  <si>
    <t>131000050</t>
  </si>
  <si>
    <t>S Roosevelt Street and E Haynes Avenue Drainage- FH#7</t>
  </si>
  <si>
    <t>Install series of underground storm water lines and drop structures along S Roosevelt Street and E Carter Street acquiring drainage easement of 27000 SF south west of S Roosevelt Street tying in to the existing earthen channel on S Oak Street.</t>
  </si>
  <si>
    <t>131000051</t>
  </si>
  <si>
    <t>N Roosevelt Street and Chapparal Road Drainage- FH#8</t>
  </si>
  <si>
    <t>Install series of underground storm water lines and drop structures on N Roosevelt Street acquiring drainage easement of 12500 SF north of intersection of S Roosevelt Street and Chapparal Road outfalling to existing earthen swale on Nail Road(CR2015).</t>
  </si>
  <si>
    <t>1211010902</t>
  </si>
  <si>
    <t>121101090204</t>
  </si>
  <si>
    <t>13000386</t>
  </si>
  <si>
    <t>131000052</t>
  </si>
  <si>
    <t>Jourdanton Drainage Improvements and Detention/Retention Ponds</t>
  </si>
  <si>
    <t>Multiple detention ponds, drainage channel, box culverts improvements near Main St and Terrel Ave, Jourdanton</t>
  </si>
  <si>
    <t>121101100402</t>
  </si>
  <si>
    <t>13000427</t>
  </si>
  <si>
    <t>131000053</t>
  </si>
  <si>
    <t>Las Animas Conveyance Infrastructure</t>
  </si>
  <si>
    <t>Channel improvements to system near Las Animas Creek to improve conveyance - Upsize culverts on Palacios St and S Benavides St - Improve conveyance capacity under bridges on HWY 359 and HWY 339 - Procurement of easements and rights-of-ways</t>
  </si>
  <si>
    <t>Duval</t>
  </si>
  <si>
    <t>1211020401</t>
  </si>
  <si>
    <t>121102040103,121102040102,121102040105</t>
  </si>
  <si>
    <t>13000484,13000489,13000490</t>
  </si>
  <si>
    <t>13003410,13000079</t>
  </si>
  <si>
    <t>13000079,00000260,13001666,13003410</t>
  </si>
  <si>
    <t>131000054</t>
  </si>
  <si>
    <t>Benavides Main City Network</t>
  </si>
  <si>
    <t>Improvements to the Drainage System in Central Benavides</t>
  </si>
  <si>
    <t>131000055</t>
  </si>
  <si>
    <t>Upsize Burch St Crossing</t>
  </si>
  <si>
    <t>Increase the capacity on Burch Street by adding a second 36-inch culvert under the road._x000D_
- Increase culvert capacity on Burch St and other undersized crossings_x000D_
- Channel improvements along the main earthen channel "</t>
  </si>
  <si>
    <t>12110105,12110204</t>
  </si>
  <si>
    <t>1211010510,1211020403</t>
  </si>
  <si>
    <t>121101051001,121101051002,121102040301,121102040302</t>
  </si>
  <si>
    <t>13000224,13000226,13000500,13000503</t>
  </si>
  <si>
    <t>13003411,13000079</t>
  </si>
  <si>
    <t>13000079,00000260,00000290,13001665,13001666,13003411</t>
  </si>
  <si>
    <t>131000056</t>
  </si>
  <si>
    <t xml:space="preserve">Northern San Diego Street Conveyance Improvement </t>
  </si>
  <si>
    <t>Improvements to street overland drainage system _x000D_
- Curb and gutter replacement_x000D_
- Improve conveyance by road paving and regrading  of prioritized streets "</t>
  </si>
  <si>
    <t>Duval,Jim Wells</t>
  </si>
  <si>
    <t>1211020403</t>
  </si>
  <si>
    <t>121102040304,121102040309,121102040310</t>
  </si>
  <si>
    <t>13000505,13000508,13000509</t>
  </si>
  <si>
    <t>13003127,13000079</t>
  </si>
  <si>
    <t>13000079,13000080,00000260,00000290,13001666,13001741,13003127</t>
  </si>
  <si>
    <t>131000057</t>
  </si>
  <si>
    <t>Northern San Diego Drainage Improvement Project</t>
  </si>
  <si>
    <t>Drainage improvements to subsurface drainage systems - installation of new underground drainage infrastructure along Luby street; expansion and improvements to Dix Street System</t>
  </si>
  <si>
    <t>1211020402,1211020403,1211020404</t>
  </si>
  <si>
    <t>121102040404,121102040202,121102040304,121102040309,121102040310,121102040403,121102040405</t>
  </si>
  <si>
    <t>13000496,13000498,13000505,13000508,13000509,13000512,13000513</t>
  </si>
  <si>
    <t>131000058</t>
  </si>
  <si>
    <t>Realitos Drainage Improvements</t>
  </si>
  <si>
    <t xml:space="preserve">Improvements to surface and subsurface infrastructure of Realitos Drainage System </t>
  </si>
  <si>
    <t>12110205</t>
  </si>
  <si>
    <t>1211020503</t>
  </si>
  <si>
    <t>121102050306,121102050305,121102050307</t>
  </si>
  <si>
    <t>13000522,13000550,13000551</t>
  </si>
  <si>
    <t>13000079</t>
  </si>
  <si>
    <t>13000079,00000260,13001666</t>
  </si>
  <si>
    <t>131000059</t>
  </si>
  <si>
    <t>Concepcion Drainage Improvements</t>
  </si>
  <si>
    <t>Improvements to  drainage infrastructure in Concepcion</t>
  </si>
  <si>
    <t>1211020502,1211020503,1211020504</t>
  </si>
  <si>
    <t>121102050204,121102050307,121102050401</t>
  </si>
  <si>
    <t>13000521,13000551,13000552</t>
  </si>
  <si>
    <t>131000060</t>
  </si>
  <si>
    <t>Improvements to Drainage Connectivity along Railroad</t>
  </si>
  <si>
    <t>Improvement to underground drainage system to increase capacity and improve conveyance on railroad under-crossings and on sections of Highway 44 to improve stormwater drainage from north to south</t>
  </si>
  <si>
    <t>1211020403,1211020404</t>
  </si>
  <si>
    <t>121102040404,121102040309,121102040310,121102040405</t>
  </si>
  <si>
    <t>13000496,13000508,13000509,13000513</t>
  </si>
  <si>
    <t>131000061</t>
  </si>
  <si>
    <t>Improvements to San Diego Levee Outfall System</t>
  </si>
  <si>
    <t>Improvements to outfall structures and appurtenances along San Diego Levee System</t>
  </si>
  <si>
    <t>131000062</t>
  </si>
  <si>
    <t>Southern San Diego Drainage  Improvement Project</t>
  </si>
  <si>
    <t>New underground stormwater collection system along Collins Street, including interconnections between existing and new infrastructure.</t>
  </si>
  <si>
    <t>131000063</t>
  </si>
  <si>
    <t>Lattas Creek Improvements</t>
  </si>
  <si>
    <t>Concrete line Lattas Creek to improved drainage capacity.</t>
  </si>
  <si>
    <t>121102040405</t>
  </si>
  <si>
    <t>13000513</t>
  </si>
  <si>
    <t>131000064</t>
  </si>
  <si>
    <t>Burnt Boot Creek Drainage Improvement Project</t>
  </si>
  <si>
    <t xml:space="preserve">Two-phase project to improve drainage at Burnt Boot Creek in Devine, TX. </t>
  </si>
  <si>
    <t>121101090103</t>
  </si>
  <si>
    <t>13000380</t>
  </si>
  <si>
    <t>13003378</t>
  </si>
  <si>
    <t>00000005,00000255,00000290,13003378</t>
  </si>
  <si>
    <t>abundant information, high need</t>
  </si>
  <si>
    <t>131000065</t>
  </si>
  <si>
    <t>Uvalde City-wide Drainage Study</t>
  </si>
  <si>
    <t xml:space="preserve">Uvalde City-wide Drainage study to further define existing flood risk and to recommend flood risk reduction measures. </t>
  </si>
  <si>
    <t>Uvalde</t>
  </si>
  <si>
    <t>1211010609</t>
  </si>
  <si>
    <t>121101060904,121101060903,121101060901,121101060902</t>
  </si>
  <si>
    <t>13000278,13000285,13000316,13000317</t>
  </si>
  <si>
    <t>13002952</t>
  </si>
  <si>
    <t>13000001,00000268,00000290,13002952,13003452</t>
  </si>
  <si>
    <t>HDR proposed</t>
  </si>
  <si>
    <t>high need, helps with Goal 5 (structures in floodplain)</t>
  </si>
  <si>
    <t>131000066</t>
  </si>
  <si>
    <t>Martin Branch Drainage Study</t>
  </si>
  <si>
    <t>Martin Branch Drainage Study to evaluate existing flood risk for multiple roadway crossings and potential structural flooding along Martin Branch, just north of Dilley</t>
  </si>
  <si>
    <t>12110106,12110108</t>
  </si>
  <si>
    <t>1211010611,1211010612,1211010802,1211010801</t>
  </si>
  <si>
    <t>121101061106,121101061205,121101080205,121101080102</t>
  </si>
  <si>
    <t>13000281,13000318,13000370,13000375</t>
  </si>
  <si>
    <t>13000093</t>
  </si>
  <si>
    <t>13000093,00000255,00000290,13003073,13003452</t>
  </si>
  <si>
    <t>Requested by stakeholders and proposed by HDR</t>
  </si>
  <si>
    <t>131000067</t>
  </si>
  <si>
    <t>City of Falfurrias City-Wide Flood Study</t>
  </si>
  <si>
    <t xml:space="preserve">City wide flood study to evaluate floodplain is required in the City of Falfurrias. </t>
  </si>
  <si>
    <t>Brooks</t>
  </si>
  <si>
    <t>12110205,12110206</t>
  </si>
  <si>
    <t>1211020504,1211020603</t>
  </si>
  <si>
    <t>121102050404,121102060304</t>
  </si>
  <si>
    <t>13000556,13000569</t>
  </si>
  <si>
    <t>13003038</t>
  </si>
  <si>
    <t>00000073,00000260,13003038,13003452</t>
  </si>
  <si>
    <t>131000068</t>
  </si>
  <si>
    <t>William's Drive Drainage Improvements Phase 2 - Lexington to Ennis Joslin</t>
  </si>
  <si>
    <t>Study to determine appropriate alternatives to increase capacity of existing William's Ditch from Lexington Road to Ennis Joslin Road.</t>
  </si>
  <si>
    <t>12110202</t>
  </si>
  <si>
    <t>1211020201</t>
  </si>
  <si>
    <t>121102020106</t>
  </si>
  <si>
    <t>13000609</t>
  </si>
  <si>
    <t>13002900</t>
  </si>
  <si>
    <t>13000078,00000260,00000290,13000409,13002900</t>
  </si>
  <si>
    <t>131000069</t>
  </si>
  <si>
    <t>William's Drive Drainage Improvements Phase 3 - Rodd Field to Lexington</t>
  </si>
  <si>
    <t>Study to determine appropriate alternatives to increase capacity of existing William's Ditch from Rodd Field Road to Lexington Road, as well as to acquire Right of Way (ROW) at William's Drive to implement these drainage improvements.</t>
  </si>
  <si>
    <t>13000014</t>
  </si>
  <si>
    <t>131000070</t>
  </si>
  <si>
    <t>Downtown Rockport Drainage Study</t>
  </si>
  <si>
    <t>Design and conduct an engineering study to address flooding in downtown Rockport</t>
  </si>
  <si>
    <t>Aransas</t>
  </si>
  <si>
    <t>12100405</t>
  </si>
  <si>
    <t>1210040504</t>
  </si>
  <si>
    <t>121004050400</t>
  </si>
  <si>
    <t>13000592</t>
  </si>
  <si>
    <t>13003451</t>
  </si>
  <si>
    <t>00000083,00000260,13000381,13000586,13003451</t>
  </si>
  <si>
    <t>Aransas County Texas Multi-Jurisdictional Hazard Mitigation Action Plan - 2017</t>
  </si>
  <si>
    <t xml:space="preserve">priority based on stakeholder interview </t>
  </si>
  <si>
    <t>131000071</t>
  </si>
  <si>
    <t>Easement Outfall Loop 70 &amp; Shell Ridge Rd</t>
  </si>
  <si>
    <t>Purchase Drainage easement and construct outfall ditch south of Church St.</t>
  </si>
  <si>
    <t>00000083,00000260,13000586,13003451</t>
  </si>
  <si>
    <t>131000072</t>
  </si>
  <si>
    <t>Rockport County Club Lakes</t>
  </si>
  <si>
    <t>RCC Lakes - Upgrade drainage system and increase the capacity of the lakes within the Rockport County Club</t>
  </si>
  <si>
    <t>131000073</t>
  </si>
  <si>
    <t>Poesta Creek Drainage Improvements</t>
  </si>
  <si>
    <t>Poesta creek drainage project. Complete concrete lining of drainage ditch from St. Marys to Hwy 181. A portion of the project has been completed from Adams street to South Jackson.</t>
  </si>
  <si>
    <t>Bee</t>
  </si>
  <si>
    <t>12100407</t>
  </si>
  <si>
    <t>1210040701</t>
  </si>
  <si>
    <t>121004070101</t>
  </si>
  <si>
    <t>13000032</t>
  </si>
  <si>
    <t>13002711</t>
  </si>
  <si>
    <t>13000087,00000260,13001488,13002711</t>
  </si>
  <si>
    <t>Coastal Bend Mitigation Action Plan - 2012</t>
  </si>
  <si>
    <t>131000074</t>
  </si>
  <si>
    <t>Ave A 4th Street Extension</t>
  </si>
  <si>
    <t>Secure drainage ROWs along Ave. A near 4th to South of 6th St. Design underground and/or open channel system improve drainage. This section of Avenue A has is often inundated by heavy rains due to poor drainage, cutting off access to area residences.</t>
  </si>
  <si>
    <t>San Patricio</t>
  </si>
  <si>
    <t>12110201</t>
  </si>
  <si>
    <t>1211020100</t>
  </si>
  <si>
    <t>121102010003</t>
  </si>
  <si>
    <t>13000481</t>
  </si>
  <si>
    <t>13002930</t>
  </si>
  <si>
    <t>13000081,00000260,00000290,13000409,13000585,13000586,13002930</t>
  </si>
  <si>
    <t xml:space="preserve">sponsor requested </t>
  </si>
  <si>
    <t>131000075</t>
  </si>
  <si>
    <t>Avenue B Drainage Channel Extension and Outfall Improvements</t>
  </si>
  <si>
    <t>Storm sewer replacement between Humble Ave. and Mustang Ave.as well as between Mustang Ave. and Ave. B channel. Improvements from 5th St., 6th St., 7th St., and 8th St. into the improved Ave. B channel, and downstream channel excavation.</t>
  </si>
  <si>
    <t xml:space="preserve">priority project for the sponsor </t>
  </si>
  <si>
    <t>131000076</t>
  </si>
  <si>
    <t>Ave A &amp; 8th St Drainage Improvements</t>
  </si>
  <si>
    <t>Drainage improvements along Avenue A from south of 6th Street, south to 8th Street, and west along 8th Street to the existing drainage channel.</t>
  </si>
  <si>
    <t>131000077</t>
  </si>
  <si>
    <t>Wright Avenue Drainage Improvements</t>
  </si>
  <si>
    <t>Easement Acquisition and construction of two channels between Wright Ave. and McCampbell Slough; channel widening from the north side of the existing hotel properties to the west and tie-in with McCampbell slough. Addresses Nystrom Property area flooding.</t>
  </si>
  <si>
    <t>1210040502</t>
  </si>
  <si>
    <t>121004050204</t>
  </si>
  <si>
    <t>13000596</t>
  </si>
  <si>
    <t>131000078</t>
  </si>
  <si>
    <t>Airport Rd - Recurring Flooding &amp; Project Location</t>
  </si>
  <si>
    <t>Improved drainage to reduce disruptions due to flooding in the vicinity of the Live Oak County Airport.  The area surrounding the airport is subject to flood inundation, thereby cutting off access to the airport and also on the future runway extension.</t>
  </si>
  <si>
    <t>Live Oak</t>
  </si>
  <si>
    <t>12110111</t>
  </si>
  <si>
    <t>1211011102</t>
  </si>
  <si>
    <t>121101110204</t>
  </si>
  <si>
    <t>13000472</t>
  </si>
  <si>
    <t>13000089</t>
  </si>
  <si>
    <t>13000089,00000260,00000290</t>
  </si>
  <si>
    <t xml:space="preserve">flood benefit to critical infrastructure </t>
  </si>
  <si>
    <t>131000079</t>
  </si>
  <si>
    <t>Drainage improvements at Mission River Park in Refugio</t>
  </si>
  <si>
    <t>Reduce flooding at Mission River Park in Refugio.</t>
  </si>
  <si>
    <t>12100406</t>
  </si>
  <si>
    <t>1210040603</t>
  </si>
  <si>
    <t>121004060301</t>
  </si>
  <si>
    <t>13000022</t>
  </si>
  <si>
    <t>13003123</t>
  </si>
  <si>
    <t>00000084,00000260,00000291,00000714,00000758,13003123</t>
  </si>
  <si>
    <t>131000080</t>
  </si>
  <si>
    <t>Humble Channel Drainage Improvements &amp; Ditch Extension</t>
  </si>
  <si>
    <t xml:space="preserve">Reduce flooding in the residential area of Ingleside located to the east of Emory Bellard Dr. via improvements to Humble Channel Outfall, installation of crossings at Emory Ballard Dr., acquisition of easements, and excavation of new drainage ditches. </t>
  </si>
  <si>
    <t>13000585</t>
  </si>
  <si>
    <t>131000081</t>
  </si>
  <si>
    <t>Drainage Improvements to Outfall Channel - Lateral AN</t>
  </si>
  <si>
    <t>Reduce flooding in NE part of Taft. The project will widen and deepen the Main Lateral AN; replace bridge crossings at FM 631, CR 102, CR 77, and CR 81; and armor the ditch section between FM 693 and CR 102 to improve runoff through this section of ditch.</t>
  </si>
  <si>
    <t>1210040704</t>
  </si>
  <si>
    <t>121004070403</t>
  </si>
  <si>
    <t>13000043</t>
  </si>
  <si>
    <t>13000081,00000260,00000290,13000409,13000585,13000586,13002882</t>
  </si>
  <si>
    <t>131000082</t>
  </si>
  <si>
    <t>Drainage Improvements &amp; Ditch Extension for Outfall Channel - Lateral AS</t>
  </si>
  <si>
    <t>Reduce flooding in northern residential area of Gregory. Project includes drainage easement acquisition and excavation, culvert installation at FM 3284, CR 106, and FM 136, excavation of Main Lateral AS, armoring of ditch sections prone to erosion.</t>
  </si>
  <si>
    <t>12100407,12100405</t>
  </si>
  <si>
    <t>1210040704,1210040502</t>
  </si>
  <si>
    <t>121004070403,121004050203</t>
  </si>
  <si>
    <t>13000043,13000594</t>
  </si>
  <si>
    <t>13000081,00000260,00000290,13000409,13000585,13000586,13002558</t>
  </si>
  <si>
    <t>131000083</t>
  </si>
  <si>
    <t xml:space="preserve">Fulton Drainage Master Plan </t>
  </si>
  <si>
    <t>New stormwater master plan that includes a capital improvement plan</t>
  </si>
  <si>
    <t>1210040502,1210040504</t>
  </si>
  <si>
    <t>121004050400,121004050204</t>
  </si>
  <si>
    <t>13000592,13000596</t>
  </si>
  <si>
    <t>13003450</t>
  </si>
  <si>
    <t>00000083,00000260,13000381,13000586,13003450,13003451</t>
  </si>
  <si>
    <t xml:space="preserve">high need and no existing plan </t>
  </si>
  <si>
    <t>131000084</t>
  </si>
  <si>
    <t>Euclid Stormwater Pump Station Improvements</t>
  </si>
  <si>
    <t>Pump house is at risk of notable damage due to hurricane winds and flooding during large rain events, and it's capacity is undersized for peak flood flows. Improvements needed to improve maintenance access, flood resiliency, and to facilitate more pumps.</t>
  </si>
  <si>
    <t>13000014, 13000016</t>
  </si>
  <si>
    <t>13002735</t>
  </si>
  <si>
    <t>13000081,00000260,00000290,13000409,13000576,13000585,13000586,13002735</t>
  </si>
  <si>
    <t xml:space="preserve">high priority to community </t>
  </si>
  <si>
    <t>131000085</t>
  </si>
  <si>
    <t>Modify Pump Station Outfalls</t>
  </si>
  <si>
    <t>Modify outfalls of pump station that pump into Aransas Bay at Murray, Morgan, Lamar, Corpus Christi and 1st St. Raise outfall so above sea level to reduce backwater effect on the system.</t>
  </si>
  <si>
    <t>131000086</t>
  </si>
  <si>
    <t>Oso Creek Channel Bottom Rectification and Green Infrastructure</t>
  </si>
  <si>
    <t>Planning and Design for Oso Creek and it's contributing channels to remove channel bottom irregularities, study inclusion of green infrastructure BMPS, improve conveyance and capacity, implement soil stabilization near infrastructure, remove debris.</t>
  </si>
  <si>
    <t>121102020106,121102020104,121102020105,121102020103</t>
  </si>
  <si>
    <t>13000609,13000610,13000612,13000614</t>
  </si>
  <si>
    <t>TWDB Loan</t>
  </si>
  <si>
    <t>131000087</t>
  </si>
  <si>
    <t>Brawner Outfall Improvements</t>
  </si>
  <si>
    <t>Inspect the Brawner Outfall system and assess needed repairs, design improvements, and construct necessary repairs and upgrades to accommodate future flows to prevent flooding and improve water quality.</t>
  </si>
  <si>
    <t>1211020201,1211020202</t>
  </si>
  <si>
    <t>121102020200,121102020106</t>
  </si>
  <si>
    <t>13000608,13000609</t>
  </si>
  <si>
    <t>13000014, 13000020</t>
  </si>
  <si>
    <t>high need, includes water quality measures</t>
  </si>
  <si>
    <t>131000088</t>
  </si>
  <si>
    <t>Greenwood WWTP Flood Mitigation and Emergency Generator</t>
  </si>
  <si>
    <t>Greenwood Wastewater Treatment Plant improvements include site grading, piping, floodway improvements, plant structure flood walls, new effluent pump station, and two electrical generators. Scope includes design and construction.</t>
  </si>
  <si>
    <t>121102020103</t>
  </si>
  <si>
    <t>13000614</t>
  </si>
  <si>
    <t>131000089</t>
  </si>
  <si>
    <t>Wesley Seale Dam Inspection</t>
  </si>
  <si>
    <t>This project is for the detailed inspection of the Wesley Seale Dam structure and system components.</t>
  </si>
  <si>
    <t>Jim Wells,San Patricio</t>
  </si>
  <si>
    <t>1211011106,1211011107</t>
  </si>
  <si>
    <t>121101110605,121101110701</t>
  </si>
  <si>
    <t>13000466,13000467</t>
  </si>
  <si>
    <t>13000080,13000081,00000260,00000290,13000409,13000585</t>
  </si>
  <si>
    <t>In vulnerable area</t>
  </si>
  <si>
    <t>131000090</t>
  </si>
  <si>
    <t>Corpus Christi Police Headquarters Flood Proofing</t>
  </si>
  <si>
    <t>COASTAL BEND MITIGATION ACTION PLAN - NU - 33 - The automatic generator transfer switch is located in a control room on the ground floor of the building, which is in an area vulnerable to street flooding. Project intends to elevate power transfer switch.</t>
  </si>
  <si>
    <t>13000609,13000618</t>
  </si>
  <si>
    <t>13000005</t>
  </si>
  <si>
    <t>13000078,00000260,00000290,13000409,13001739,13002900</t>
  </si>
  <si>
    <t xml:space="preserve">sponsor requested; protects emergency services </t>
  </si>
  <si>
    <t>131000091</t>
  </si>
  <si>
    <t>Upper Tule Storm Drain System</t>
  </si>
  <si>
    <t>Install storm drainage system with capacity to reduce current flooding and capacity for future development.</t>
  </si>
  <si>
    <t>00000083</t>
  </si>
  <si>
    <t>131000092</t>
  </si>
  <si>
    <t>601 Racine Street Easement &amp; Outfall Project</t>
  </si>
  <si>
    <t>Acquire drainage easements in natural wetlands and construct new outfalls.</t>
  </si>
  <si>
    <t>131000093</t>
  </si>
  <si>
    <t>Club Lake Drainage Channel</t>
  </si>
  <si>
    <t>Construct drainage channel from Club Lake to FM 1069. Most easements have been acquired; still negotiating with one property owner and condemnation likely required for another property</t>
  </si>
  <si>
    <t>13000020</t>
  </si>
  <si>
    <t>00000083,00000260</t>
  </si>
  <si>
    <t>131000094</t>
  </si>
  <si>
    <t>Holiday Beach East Drainage System Improvement</t>
  </si>
  <si>
    <t>Construct outfall east to Aransas Wildlife Refuge and construct outfall west to HWY 35 Bypass. Construct culvert under Hwy 35 Bypass. Improve drainage channel from Hwy 35 Bypass to Copano Bay.</t>
  </si>
  <si>
    <t>1210040501</t>
  </si>
  <si>
    <t>121004050103</t>
  </si>
  <si>
    <t>13000607</t>
  </si>
  <si>
    <t>00000083,00000260,13000727</t>
  </si>
  <si>
    <t>131000095</t>
  </si>
  <si>
    <t>Sparks Colony Drainage Improvements</t>
  </si>
  <si>
    <t>Construct drainage channel from Rattlesnake Point Road to Bailey Ranch. Project partially constructed, but easements still needed from two property owners.</t>
  </si>
  <si>
    <t>131000096</t>
  </si>
  <si>
    <t>Lee Road Drainage Improvements</t>
  </si>
  <si>
    <t>Secure drainage easements and construct drainage channel from Lee Road to Hwy 35-BUS.</t>
  </si>
  <si>
    <t>131000097</t>
  </si>
  <si>
    <t>Mohawk Ave Drainage Improvements</t>
  </si>
  <si>
    <t>Construct drainage channel to connect existing ponds (supported by property owner)</t>
  </si>
  <si>
    <t>131000098</t>
  </si>
  <si>
    <t>Nell Road Drainage Improvements</t>
  </si>
  <si>
    <t>Construct drainage channel from Nell Road to outfall (route undefined).</t>
  </si>
  <si>
    <t>131000099</t>
  </si>
  <si>
    <t>Mack Road Drainage Improvements</t>
  </si>
  <si>
    <t>Construct drainage channel from Hwy 35 Bypass to Port Bay. Easements needed from three property owners.</t>
  </si>
  <si>
    <t>131000100</t>
  </si>
  <si>
    <t>Bee Road Drainage Improvements</t>
  </si>
  <si>
    <t>Construct drainage channel from Hwy 35 Bypass to Port Bay. Easements needed from three property owners</t>
  </si>
  <si>
    <t>131000101</t>
  </si>
  <si>
    <t>Stormwater Master Plan #1 -  North of Parkview between Starlight and Sunset Outfall Pipe</t>
  </si>
  <si>
    <t>Positive drainage to Parkview Place to be improved by minor site regrading, grate inlet installation, and installation of RCP along Sunset Drive, as well as the alley that runs parallel to the West. Alley drainage improvement to connect to existing inlet.</t>
  </si>
  <si>
    <t>13003248</t>
  </si>
  <si>
    <t>13000081,00000260,00000290,13000409,13000585,13000586,13003248</t>
  </si>
  <si>
    <t>131000102</t>
  </si>
  <si>
    <t>Stormwater Master Plan #2 - North of Parkview between Sunset and Woodhaven Outfall Pipe</t>
  </si>
  <si>
    <t>Positive drainage to Parkview Place to be improved by minor site regrading, grate inlet installation, and installation of RCP along Woodhaven Drive. Improvement to be connected to existing storm pipe via junction box.</t>
  </si>
  <si>
    <t>13000081,00000260,00000290,13000409,13000585,13000586,13002930,13003248</t>
  </si>
  <si>
    <t>131000103</t>
  </si>
  <si>
    <t>Stormwater Master Plan #3 - North of Post Oak between Starlight and Sunset Outfall</t>
  </si>
  <si>
    <t>Positive drainage to Post Oak Drive to be improved by minor site regrading along alley between Starlight Drive and Sunset Drive.</t>
  </si>
  <si>
    <t>13000081,00000260,00000290,13000409,13000585,13003248</t>
  </si>
  <si>
    <t>131000104</t>
  </si>
  <si>
    <t>Stormwater Master Plan #4 - North of Post Oak between Sunset and Woodhaven Outfall</t>
  </si>
  <si>
    <t>Positive drainage to Post Oak Drive and Retama Drive to be improved by minor site regrading, grate inlet installation, and installation of RCP along alley between Woodhaven Drive and Sunset Drive. Improvements to connect to existing inlet.</t>
  </si>
  <si>
    <t>131000105</t>
  </si>
  <si>
    <t>Stormwater Master Plan #5 - North of Ebony between Starlight and Sunset Outfall</t>
  </si>
  <si>
    <t>Positive drainage to Ebony Street to be improved by minor site regrading, grate inlet installation, and installation of RCP along alley between Starlight Drive and Sunset Drive. Site regrade and installation of RCP will also take place on Ebony Street.</t>
  </si>
  <si>
    <t>131000106</t>
  </si>
  <si>
    <t>Stormwater Master Plan #6 - Live Oak/Ebony and Woodhaven Improvements and Outfall</t>
  </si>
  <si>
    <t>Ponding to be reduced by minor regrading, installation of new standpipes with low flow outlets, and implementation of sediment filters around existing inlets. Installation of RCB along Live Oak St. and RCP along Woodhaven Dr. and Ebony Dr. to be included.</t>
  </si>
  <si>
    <t>131000107</t>
  </si>
  <si>
    <t>Stormwater Master Plan #7 - Bayshore East Channel and Culvert Improvements</t>
  </si>
  <si>
    <t>Positive drainage from stormwater ditch to bay to be improved by site and channel regrading and installation of RCP to provide direct outfalls for low lying areas to the bay.</t>
  </si>
  <si>
    <t>121102010003,121102010005</t>
  </si>
  <si>
    <t>13000481,13000482</t>
  </si>
  <si>
    <t>13000081,00000260,00000290,13000409,13000585,13002900,13003248</t>
  </si>
  <si>
    <t>131000108</t>
  </si>
  <si>
    <t>Stormwater Master Plan #8 - Bayshore East Outfall</t>
  </si>
  <si>
    <t>13000078,13000081,00000260,00000290,13000409,13000585,13002900,13003248</t>
  </si>
  <si>
    <t>131000109</t>
  </si>
  <si>
    <t>Stormwater Master Plan #9 - Bayshore Court Outfall</t>
  </si>
  <si>
    <t>131000111</t>
  </si>
  <si>
    <t>FM1356 Channel Improvements</t>
  </si>
  <si>
    <t>Increase the capacity of the channel just north of Paulson Falls. This is one of the main entrances to the naval air station.</t>
  </si>
  <si>
    <t>Kleberg</t>
  </si>
  <si>
    <t>1211020402,1211020404</t>
  </si>
  <si>
    <t>121102040206,121102040409,121102040410</t>
  </si>
  <si>
    <t>13000483,13000497,13000515</t>
  </si>
  <si>
    <t>13000007</t>
  </si>
  <si>
    <t>13002378</t>
  </si>
  <si>
    <t>13000077,00000260,13000779,13002378</t>
  </si>
  <si>
    <t>GLO Western Region Project List</t>
  </si>
  <si>
    <t>131000112</t>
  </si>
  <si>
    <t>Paulson Falls Subdivision Detention Pond Improvements</t>
  </si>
  <si>
    <t>Paulson Falls Subdivision has detention ponds, but the berm has deteriorated.</t>
  </si>
  <si>
    <t>1211020402</t>
  </si>
  <si>
    <t>121102040206</t>
  </si>
  <si>
    <t>13000483</t>
  </si>
  <si>
    <t>131000113</t>
  </si>
  <si>
    <t>Lang Road Drainage Ditch and Outfall</t>
  </si>
  <si>
    <t>This is the location of a future project a drainage ditch is needed to alleviate flooding created by increased development. The ditch would run south from Lang Road to the bay.</t>
  </si>
  <si>
    <t>121102010002</t>
  </si>
  <si>
    <t>13000480</t>
  </si>
  <si>
    <t>13003233</t>
  </si>
  <si>
    <t>13000081,00000260,00000290,13000409,13000585,13000586,13003233</t>
  </si>
  <si>
    <t>131000114</t>
  </si>
  <si>
    <t>Madison St Low Water Crossing Replacement Project</t>
  </si>
  <si>
    <t>Madison St Low Water crossing replacement</t>
  </si>
  <si>
    <t>131000115</t>
  </si>
  <si>
    <t xml:space="preserve">County Road 6- North Carreta Creek Drainage Improvements </t>
  </si>
  <si>
    <t>Restoration project to bring this section of North Carreta creek (located between CR6 and Meadowbrook Road) back to its original elevation as built by USDA Soil Conservation Service in 1960.  Located in Bishop, TX.</t>
  </si>
  <si>
    <t>121102040408</t>
  </si>
  <si>
    <t>13000516</t>
  </si>
  <si>
    <t>13000078</t>
  </si>
  <si>
    <t>13000078,00000260,00000290,13000409,13000779,13002388</t>
  </si>
  <si>
    <t>vulnerable area</t>
  </si>
  <si>
    <t>131000116</t>
  </si>
  <si>
    <t>Tierra Grande Subdivision Drainage Improvements Feasibility Study</t>
  </si>
  <si>
    <t>Hydrological and Hydraulic Study to provide drainage solutions to reduce flooding within the subdivision due to existing hydrological flow patterns from regional, upgradient, and local runoff drainage areas flowing toward the center of the subdivision.</t>
  </si>
  <si>
    <t>12110205,12110202</t>
  </si>
  <si>
    <t>1211020506,1211020201</t>
  </si>
  <si>
    <t>121102050607,121102020102</t>
  </si>
  <si>
    <t>13000563,13000613</t>
  </si>
  <si>
    <t>13000078, Town of Tierra Grande</t>
  </si>
  <si>
    <t>13000078,00000260,00000290,13000409,13000940,13002390</t>
  </si>
  <si>
    <t>Mitigation Plan</t>
  </si>
  <si>
    <t>131000117</t>
  </si>
  <si>
    <t>Aransas National Wildlife Refuge Dagger Point Shoreline Preservation</t>
  </si>
  <si>
    <t>Texas Coastal Resiliency Master Plan - R3-3 Project would install a living shoreline using breakwaters. This project would help protect the shoreline along Dagger Pointas well as nearby critical habitat and public infrastructure.</t>
  </si>
  <si>
    <t>Coastal Bend Bays and Estuaries Program, U.S. Fish and Wildlife Service, Aransas National Wildlife Refuge, U.S. Department of the Interior</t>
  </si>
  <si>
    <t>00000083,00000260,00000264,00000291</t>
  </si>
  <si>
    <t>Texas Coastal Resiliency Master Plan</t>
  </si>
  <si>
    <t xml:space="preserve">Nature based solution </t>
  </si>
  <si>
    <t>131000118</t>
  </si>
  <si>
    <t>Nueces River Delta Shoreline Stabilization</t>
  </si>
  <si>
    <t>Texas Coastal Resiliency Master Plan - R3-15 The project would include the construction of breakwaters along approximately 3,900 linear feet of shoreline at the Nueces River Delta to dissipate wave energy that is causing estuarine wetland loss</t>
  </si>
  <si>
    <t>Nueces,San Patricio</t>
  </si>
  <si>
    <t>121102010001,121102010004</t>
  </si>
  <si>
    <t>13000479,13000624</t>
  </si>
  <si>
    <t>Coastal Bend Bays and Estuaries Program, Texas General Land Office</t>
  </si>
  <si>
    <t>13000078,13000081,00000260,00000290,13000409,13000585,13002900</t>
  </si>
  <si>
    <t xml:space="preserve">sponsor requested; shoreline protection </t>
  </si>
  <si>
    <t>131000119</t>
  </si>
  <si>
    <t>Silver Creek Bridge</t>
  </si>
  <si>
    <t>COASTAL BEND MITIGATION ACTION PLAN - BE - 03 Silver Creek Rd. Build a 26 ft. wide by 100 ft. long bridge 100. The low water crossing at Silver Creek Rd., across silver creek, floods during and after heavy rains, trapping approximately 30 residents.</t>
  </si>
  <si>
    <t>1210040702</t>
  </si>
  <si>
    <t>121004070203</t>
  </si>
  <si>
    <t>13000037</t>
  </si>
  <si>
    <t>13000021</t>
  </si>
  <si>
    <t>13000087</t>
  </si>
  <si>
    <t>13000087,00000260</t>
  </si>
  <si>
    <t>131000120</t>
  </si>
  <si>
    <t>Redfish Bay Protection and Enhancement</t>
  </si>
  <si>
    <t>Coastal Texas Protection and Restoration Feasibility Study  - SP1 Restoration of the Dagger, Ransom, and Stedman Island complex via introduction of breakwater and supporting reefballs along the backside of Redfish Bay and on the bayside of the islands.</t>
  </si>
  <si>
    <t>13000001</t>
  </si>
  <si>
    <t>Texas General Land Office</t>
  </si>
  <si>
    <t>13000078,13000081,00000260,00000290,13000409,13000576,13000585,13000586,13000981,13002735</t>
  </si>
  <si>
    <t>TX GLO</t>
  </si>
  <si>
    <t>Coastal Texas Protection and Restoration Feasibility Study</t>
  </si>
  <si>
    <t>131000121</t>
  </si>
  <si>
    <t>Pelican Cove Sea Gate Replacement</t>
  </si>
  <si>
    <t>Improve the Pelican Cove sea gates for easier installment &amp; removal. To prevent rising water into the City, existing huge metal gates are lowered into concrete frames with a 10 ton crane. Post storm surge, high water levels make gate removal difficult.</t>
  </si>
  <si>
    <t>13000019, 13000020</t>
  </si>
  <si>
    <t xml:space="preserve">sponsor requested; storm surge protection </t>
  </si>
  <si>
    <t>131000122</t>
  </si>
  <si>
    <t>Port Aransas Nature Preserve Stabilization and Restoration</t>
  </si>
  <si>
    <t>Repair of ship channel revetment breaches on northern Mustang Island; Constructing living shoreline near the ship channel; Rebuilding marsh/wetland habitat; Repair of Charlie’s Pasture bulkhead; and Permitting this site for elevation via dredged material.</t>
  </si>
  <si>
    <t>1211020202</t>
  </si>
  <si>
    <t>121102020200</t>
  </si>
  <si>
    <t>13000608</t>
  </si>
  <si>
    <t>13003368,13000409</t>
  </si>
  <si>
    <t>13000078,00000260,00000290,13000409,13000981,13002900,13003368</t>
  </si>
  <si>
    <t>131000123</t>
  </si>
  <si>
    <t>Conn Brown Harbor Bulkhead Improvements</t>
  </si>
  <si>
    <t>Install bulkheads at Conn Brown Harbor to protect new and existing buildings and infrastructure.</t>
  </si>
  <si>
    <t>Nueces,San Patricio,Aransas</t>
  </si>
  <si>
    <t>13000078,13000081,00000083,00000260,00000290,13000409,13000576,13000585,13000586,13000981,13002735</t>
  </si>
  <si>
    <t>Regular Department Budget; Future Bond, USACE Continuing Authorities, FEMA</t>
  </si>
  <si>
    <t>131000124</t>
  </si>
  <si>
    <t>City of Three Rivers City-Wide Drainage Study</t>
  </si>
  <si>
    <t xml:space="preserve">City of Three Rivers City-Wide Drainage Study. Study to specifically focus on flood risk in the Hackberry Creek and Frio River watershed. </t>
  </si>
  <si>
    <t>12110108,12110111</t>
  </si>
  <si>
    <t>1211010805,1211011101</t>
  </si>
  <si>
    <t>121101080506,121101110101</t>
  </si>
  <si>
    <t>13000349,13000444</t>
  </si>
  <si>
    <t>13000016, 13000021</t>
  </si>
  <si>
    <t>13002540</t>
  </si>
  <si>
    <t>13000089,00000260,00000290,13000851,13002540</t>
  </si>
  <si>
    <t xml:space="preserve">high need area, helps with Goal 5 (structures in floodplain) </t>
  </si>
  <si>
    <t>131000125</t>
  </si>
  <si>
    <t>County Wide Drainage Master Plan Study</t>
  </si>
  <si>
    <t>Drainage Master Planning Study - Bee County</t>
  </si>
  <si>
    <t>San Patricio,Refugio,Bee,Live Oak,Goliad,Karnes</t>
  </si>
  <si>
    <t>12100406,12100407,12110111</t>
  </si>
  <si>
    <t>1210040603,1210040601,1210040602,1210040701,1210040702,1210040704,1211011101,1211011103,1211011102,1211011106,1211011107</t>
  </si>
  <si>
    <t>13000087,13000089,00000090,00000095,00000255,00000260,00000264,00000282,00000290,13000409,13000585,00000714,00000758,13001487,13001488,13002711</t>
  </si>
  <si>
    <t>TWDB FIF Grant Information</t>
  </si>
  <si>
    <t>131000126</t>
  </si>
  <si>
    <t>Beeville City-wide Drainage Study</t>
  </si>
  <si>
    <t>121004070102,121004070101,121004070103</t>
  </si>
  <si>
    <t>13000029,13000032,13000033</t>
  </si>
  <si>
    <t>sponsor requested; vulnerable area</t>
  </si>
  <si>
    <t>131000128</t>
  </si>
  <si>
    <t>Citywide Stormwater Drainage Improvements - Gregory</t>
  </si>
  <si>
    <t xml:space="preserve">Improving TXDOT road drainage ditches &amp; railroad undercrossings conveyance; armor ditch crossing US-181 and I-35 (South of city); city ditch restoration; expand stormwater network to unserved residential areas; maintenance of curbs, gutters, and inlets  </t>
  </si>
  <si>
    <t>Nueces,Jim Wells,San Patricio,Aransas,Refugio,Bee,Live Oak</t>
  </si>
  <si>
    <t>12100407,12110111,12110201,12100405</t>
  </si>
  <si>
    <t>1210040703,1210040702,1210040704,1211011106,1211011107,1211020100,1210040502,1210040504</t>
  </si>
  <si>
    <t>13000013, 13000026</t>
  </si>
  <si>
    <t>13002558</t>
  </si>
  <si>
    <t>00000260,00000290,00000291,13000081,13000409,13000585,13000586,13000972,13002864,13002882,13003233,13003412</t>
  </si>
  <si>
    <t xml:space="preserve">High risk area; includes emergency evacuation routes </t>
  </si>
  <si>
    <t>131000130</t>
  </si>
  <si>
    <t>Portland Stream Gauges</t>
  </si>
  <si>
    <t>San Patricio County Hazard Mitigation Action Plan - City of Portland, Action #5 Identify and install stream and rain gauges at critical  sites,  upgrade  gauges  at  established  sites  where  necessary, coordinate installation requests. </t>
  </si>
  <si>
    <t>12100407,12110201</t>
  </si>
  <si>
    <t>1210040704,1211020100</t>
  </si>
  <si>
    <t>121004070403,121102010002,121102010003,121102010005,121102010004</t>
  </si>
  <si>
    <t>13000043,13000480,13000481,13000482,13000624</t>
  </si>
  <si>
    <t>13000078,13000081,00000260,00000290,13000409,13000585,13000586,13002900,13003233</t>
  </si>
  <si>
    <t>San Patricio County Hazard Mitigation Action Plan - 2018</t>
  </si>
  <si>
    <t>131000131</t>
  </si>
  <si>
    <t>Citywide Stormwater Drainage Improvements - Taft</t>
  </si>
  <si>
    <t>Expanding the current stormwater network in residential areas. Reconstructing/regrading the roads to allow water to flow in the natural drainage direction instead of ponding.</t>
  </si>
  <si>
    <t>1210040703,1210040704</t>
  </si>
  <si>
    <t>121004070403,121004070305</t>
  </si>
  <si>
    <t>13000043,13000044</t>
  </si>
  <si>
    <t>13002882</t>
  </si>
  <si>
    <t>131000132</t>
  </si>
  <si>
    <t>City of Taft Flood Study</t>
  </si>
  <si>
    <t>San Patricio County Hazard Mitigation Action Plan - City of Taft, Action #6 Complete a comprehensive flood study for FEMA flood mapping.  Adopt higher floodplain development standards, above the minimum required based on the results of the flood study. </t>
  </si>
  <si>
    <t>131000133</t>
  </si>
  <si>
    <t>Webb County Becerra Creek Headwater Flood Study</t>
  </si>
  <si>
    <t xml:space="preserve">Flood study to define existing flood risk and potential flood risk reduction projects for subdivisions located in the vicinity of Highway 59. </t>
  </si>
  <si>
    <t>Webb</t>
  </si>
  <si>
    <t>12110105</t>
  </si>
  <si>
    <t>1211010506</t>
  </si>
  <si>
    <t>121101050601</t>
  </si>
  <si>
    <t>13000180</t>
  </si>
  <si>
    <t>13000007, 13000010</t>
  </si>
  <si>
    <t>00000082</t>
  </si>
  <si>
    <t>00000082,00000276,00001609,13003452</t>
  </si>
  <si>
    <t>high need and vulnerable area, helps with Goal 5 (structures in floodplain)</t>
  </si>
  <si>
    <t>131000134</t>
  </si>
  <si>
    <t>Aransas County Flood Response Plan</t>
  </si>
  <si>
    <t>Aransas County Multi-Jurisdictional Floodplain Management Plan - Action 3.1.f: A flood response plan that will identify outreach projects that can be utilized to implement a flood information program.</t>
  </si>
  <si>
    <t>Nueces,San Patricio,Aransas,Refugio</t>
  </si>
  <si>
    <t>12100404,12100407,12100403,12100405</t>
  </si>
  <si>
    <t>1210040400,1210040704,1210040302,1210040501,1210040502,1210040503,1210040504,1210040505</t>
  </si>
  <si>
    <t>121004040000,121004070404,121004070402,121004030200,121004050400,121004050203,121004050305,121004050204,121004050304,121004050306,121004050307,121004050308,121004050303,121004050205,121004050302,121004050102,121004050103,121004050500</t>
  </si>
  <si>
    <t>13000026,13000028,13000592,13000594,13000595,13000596,13000597,13000598,13000599,13000600,13000602,13000603,13000606,13000607,13000627</t>
  </si>
  <si>
    <t>13000078,13000081,00000083,00000084,00000260,00000264,00000290,00000291,13000381,13000409,13000576,13000585,13000586,00000714,13000727,00000758,13000881,13000981,13001044,00001608,13002735,13002900,13003368,13003450,13003451</t>
  </si>
  <si>
    <t>131000135</t>
  </si>
  <si>
    <t>Purchase Land Behind Aransas Pass Levees</t>
  </si>
  <si>
    <t>Purchase land behind levees to prevent people from building in a floodplain area. This will allow the City to use this land for preventing further flooding.</t>
  </si>
  <si>
    <t>San Patricio,Aransas</t>
  </si>
  <si>
    <t>13000024</t>
  </si>
  <si>
    <t>13000078,13000081,00000083,00000260,00000290,13000409,13000576,13000585,13000586,13002735</t>
  </si>
  <si>
    <t>HMGP, Regular Department Budget, FMA, USACE, Emergency Response.</t>
  </si>
  <si>
    <t>131000136</t>
  </si>
  <si>
    <t>San Patricio County Repetitive Loss Property Reduction</t>
  </si>
  <si>
    <t>San Patricio County Hazard Mitigation Action Plan - San Patricio County, County Wide, Action #1: Identify and implement actions such as flood proofing, elevation, acquisition, relocation, and retrofitting to reduce risk for repetitive loss properties.</t>
  </si>
  <si>
    <t>13000081</t>
  </si>
  <si>
    <t>131000137</t>
  </si>
  <si>
    <t>Aransas Pass Homeowner Buyout Program</t>
  </si>
  <si>
    <t xml:space="preserve">Develop and implement a buyout program. The purpose is to buy out land owners in areas that have had repeated monetary lose due to storm flooding. </t>
  </si>
  <si>
    <t>12100405,12110202</t>
  </si>
  <si>
    <t>1210040502,1210040504,1211020202</t>
  </si>
  <si>
    <t>121004050400,121004050204,121102020200</t>
  </si>
  <si>
    <t>13000592,13000596,13000608</t>
  </si>
  <si>
    <t>13000078,13000081,00000083,00000260,00000290,13000409,13000576,13000585,13000586,13000981,13002735,13002900,13002930,13003368</t>
  </si>
  <si>
    <t>Regular Department Budget, HMGP, FMA</t>
  </si>
  <si>
    <t>131000138</t>
  </si>
  <si>
    <t>Sinton Repetitive Loss Property Reduction</t>
  </si>
  <si>
    <t>San Patricio County Hazard Mitigation Action Plan - City of Sinton, Action #13: Identify and implement feasible actions to reduce risk for repetitive loss properties. </t>
  </si>
  <si>
    <t>1210040703</t>
  </si>
  <si>
    <t>121004070302,121004070303,121004070304</t>
  </si>
  <si>
    <t>13000031,13000034,13000046</t>
  </si>
  <si>
    <t>13000015, 13000021</t>
  </si>
  <si>
    <t>13002864</t>
  </si>
  <si>
    <t>13000081,00000260,00000290,13000409,13000585,13002864</t>
  </si>
  <si>
    <t>131000139</t>
  </si>
  <si>
    <t>Drainage Improvements - FM 1069 to McCampbell Slough</t>
  </si>
  <si>
    <t>Easement Acquisition and the design and construction of 10,000 LF of drainage channels along FM 1069 and from Morgan Lane and Mooney Lane to McCampbell Slough. Addresses the flood prone Mooney-Vickery area.</t>
  </si>
  <si>
    <t>131000140</t>
  </si>
  <si>
    <t>Morgan Avenue &amp; Mooney Avenue Drainage Improvements</t>
  </si>
  <si>
    <t>2,500 LF of improved channels and below ground concrete boxes. The project would also include easement acquisition and the crossing of both SH 361 and the UP Railroad and concrete outfall. Addresses the flood prone Mooney-Morgan area.</t>
  </si>
  <si>
    <t>13000081,00000260,00000290,13000409,13000576,13000585,13000586,13002930</t>
  </si>
  <si>
    <t>131000141</t>
  </si>
  <si>
    <t>Outfall No. 10</t>
  </si>
  <si>
    <t>Hazard mitigation drainage improvements for the City of Port Aransas. Outfall 10 is 3 5'x2' RCBs and extends Southwest from the Northwest end of Howard Blvd to a nearby basin.</t>
  </si>
  <si>
    <t>13003368</t>
  </si>
  <si>
    <t>13000078,00000260,00000290,13000409,13000981,13003368</t>
  </si>
  <si>
    <t>helps maintain a hurricane evacuation route</t>
  </si>
  <si>
    <t>131000142</t>
  </si>
  <si>
    <t>Outfall No. 9</t>
  </si>
  <si>
    <t>Hazard mitigation drainage improvements for the City of Port Aransas. The outfall has a 8'x3' RCB extending West from HWY 361 to an existing basin, 441 ft. North of the HWY 361 and Access Road 1A intersection.</t>
  </si>
  <si>
    <t>131000143</t>
  </si>
  <si>
    <t>Outfall No. 5</t>
  </si>
  <si>
    <t>Hazard mitigation drainage improvements for the City of Port Aransas. The outfall is composed of two 48" RCPs and extend West from HWY 361 to a nearby basin. Outfall is 361 ft. South of Mustang Blvd and HWY 361 intersection.</t>
  </si>
  <si>
    <t>131000144</t>
  </si>
  <si>
    <t>Outfall No. 2</t>
  </si>
  <si>
    <t>Hazard mitigation drainage improvements for the City of Port Aransas. Outfall 2 is a trapezoidal channel and goes northwest from SH 361 to an existing basin. Outfall is approximately 5.7 miles SSW of Aransas along SH 361.</t>
  </si>
  <si>
    <t>131000145</t>
  </si>
  <si>
    <t>Fulton West  Drainage Improvements</t>
  </si>
  <si>
    <t>Collection System Improvements include inlets, drain pipes, manholes or junction boxes, collection swales, and connection of the system to existing major drainage outfalls.</t>
  </si>
  <si>
    <t>00000083,00000260,13000586,13003450,13003451</t>
  </si>
  <si>
    <t>131000146</t>
  </si>
  <si>
    <t>Fulton East  Drainage Improvements</t>
  </si>
  <si>
    <t>Collection system improvements include collection swales, inlets, drain pipes, manholes or junction boxes, and collection of the system to existing major drainage outfalls or the construction of new outfalls.</t>
  </si>
  <si>
    <t>131000147</t>
  </si>
  <si>
    <t>Town of Fulton Palmetto Outfall Improvements</t>
  </si>
  <si>
    <t>New storm drain pipes, inlets, and channel improvements with new outfall structure to Aransas Bay. Reduce frequency of roadway flooding and risk of property flooding in Southern Fulton, Northern Rockport, and Rockport CC/Tulle Creek area</t>
  </si>
  <si>
    <t>131000148</t>
  </si>
  <si>
    <t>Kinney St. Pump Station Inlet Modifications</t>
  </si>
  <si>
    <t>It is recommended that modifications be made to increase the size and capacity of the inlet to the Kinney Street Pump Station.</t>
  </si>
  <si>
    <t>13000609,13000622</t>
  </si>
  <si>
    <t>sponsor requested</t>
  </si>
  <si>
    <t>131000149</t>
  </si>
  <si>
    <t>Power St. Pump Station Improvements</t>
  </si>
  <si>
    <t>Improvements to the inlet of Power Street Power Station will improve upstream drainage hydraulics throughout the basin. It is proposed to widen the inlet as much as possible to reduce headloss at the Power Station Inlet.</t>
  </si>
  <si>
    <t>13000014, 13000026, 13000027</t>
  </si>
  <si>
    <t>131000150</t>
  </si>
  <si>
    <t>12th Street Drainage Improvements</t>
  </si>
  <si>
    <t>Construct drainage channel from 12th St to Bee Tree Circle and increase capacity of drainage structure under Bee Tree Circle.</t>
  </si>
  <si>
    <t>1210040501,1210040503</t>
  </si>
  <si>
    <t>121004050306,121004050103</t>
  </si>
  <si>
    <t>13000598,13000607</t>
  </si>
  <si>
    <t>131000151</t>
  </si>
  <si>
    <t>Aransas County Drainage Improvements - Henderson Street Property - Project 4</t>
  </si>
  <si>
    <t>Aransas County Texas Multi-Jurisdictional Hazard Mitigation Action Plan - Action #28: Precinct 3 - Henderson Street Property - Project 4. Reduce flood risk to buildings and infrastructure by making improvements to the County drainage system</t>
  </si>
  <si>
    <t>131000152</t>
  </si>
  <si>
    <t>San Patricio County Hazard Mitigation Action Plan - City of Mathis, Action #9</t>
  </si>
  <si>
    <t>Equip manholes with water tight covers/inflow guards; Raise sewage lift stations electrical systems above BFE; Floodproof sewage treatment plants in flood hazard areas</t>
  </si>
  <si>
    <t>1211011107,1211011106</t>
  </si>
  <si>
    <t>121101110702,121101110603,121101110701</t>
  </si>
  <si>
    <t>13000445,13000462,13000467</t>
  </si>
  <si>
    <t>13003251</t>
  </si>
  <si>
    <t>13000081,00000260,00000290,13000409,13000585,13003251</t>
  </si>
  <si>
    <t>131000153</t>
  </si>
  <si>
    <t>Cove Harbor Bulkhead Construction</t>
  </si>
  <si>
    <t>13000381</t>
  </si>
  <si>
    <t>00000083,00000260,13003451</t>
  </si>
  <si>
    <t>131000154</t>
  </si>
  <si>
    <t>Kleberg County Drainage Improvement Study</t>
  </si>
  <si>
    <t>COASTAL BEND MITIGATION ACTION PLAN - KL - 13: Improve drainage to county roads, Pcts 1 &amp; 3, heavy rains cause road flooding and standing water to ditches. The overflow of stormwater has produced some flooding to residential homes and properties.</t>
  </si>
  <si>
    <t>12110204,12110205</t>
  </si>
  <si>
    <t>1211020402,1211020501</t>
  </si>
  <si>
    <t>121102040206,121102040205,121102050106</t>
  </si>
  <si>
    <t>13000483,13000502,13000520</t>
  </si>
  <si>
    <t>13000077</t>
  </si>
  <si>
    <t>131000155</t>
  </si>
  <si>
    <t>Citywide Stormwater Drainage Improvements - Odem</t>
  </si>
  <si>
    <t>Drainage issues at railroad undercrossings caused by neighborhood development.</t>
  </si>
  <si>
    <t>121102010001</t>
  </si>
  <si>
    <t>13000479</t>
  </si>
  <si>
    <t>13003412</t>
  </si>
  <si>
    <t>13000081,00000260,00000290,13000409,13000585,13000586,13003412</t>
  </si>
  <si>
    <t>131000156</t>
  </si>
  <si>
    <t>Expanding Drainage System to Odem HS Area</t>
  </si>
  <si>
    <t>Expanding and improving drainage network to Odem HS area and constructing a detention basin</t>
  </si>
  <si>
    <t>131000157</t>
  </si>
  <si>
    <t>Improvements to Doyle Drainage Basin</t>
  </si>
  <si>
    <t>Improvement to outfall into Nueces bay;  increase conveyance capacity of ditches.</t>
  </si>
  <si>
    <t>131000158</t>
  </si>
  <si>
    <t>Channel Outfall Drainage Improvement Project</t>
  </si>
  <si>
    <t>Improving outfall structures to Chiltipin Creek</t>
  </si>
  <si>
    <t>121004070304</t>
  </si>
  <si>
    <t>13000046</t>
  </si>
  <si>
    <t>131000159</t>
  </si>
  <si>
    <t>Citywide Stormwater Drainage Improvements - Sinton</t>
  </si>
  <si>
    <t xml:space="preserve">Improving drainage on ditches along TXDOT roads and conveyance on railroad undercrossings. </t>
  </si>
  <si>
    <t>131000160</t>
  </si>
  <si>
    <t>Expanding Drainage System to Newly Developed Areas</t>
  </si>
  <si>
    <t>Expanding the citywide drainage system to include the newly developed residential areas</t>
  </si>
  <si>
    <t>13000081,00000260,00000290,13000409,13000585</t>
  </si>
  <si>
    <t>131000161</t>
  </si>
  <si>
    <t>San Patricio County Hazard Mitigation Action Plan - City of Sinton, Action #15</t>
  </si>
  <si>
    <t xml:space="preserve">Clean and repair stormwater drains. Upgrade undersized stormwater drains. </t>
  </si>
  <si>
    <t>131000162</t>
  </si>
  <si>
    <t>Aransas County Griffith Street Drainage Improvements</t>
  </si>
  <si>
    <t>131000163</t>
  </si>
  <si>
    <t>Aransas County Drainage Improvements - Southeast 35 - Project 2</t>
  </si>
  <si>
    <t>Aransas County Texas Multi-Jurisdictional Hazard Mitigation Action Plan - Action #25: Precinct 1/1A - Southeast 35 - Project 2. Reduce flood risk to buildings and infrastructure by making improvements to the County drainage system</t>
  </si>
  <si>
    <t>00000083,00000260,00000290</t>
  </si>
  <si>
    <t>131000164</t>
  </si>
  <si>
    <t>Aransas County Drainage Improvements - Southeast 35 - Project 1</t>
  </si>
  <si>
    <t>Aransas County Texas Multi-Jurisdictional Hazard Mitigation Action Plan - Action #26: Precinct 1/1A - Southeast 35 - Project 1. Reduce flood risk to buildings and infrastructure by making improvements to the County drainage system</t>
  </si>
  <si>
    <t>1210040504,1210040502</t>
  </si>
  <si>
    <t>131000165</t>
  </si>
  <si>
    <t>Aransas County Drainage Improvements - Project 3</t>
  </si>
  <si>
    <t>Aransas County Texas Multi-Jurisdictional Hazard Mitigation Action Plan - Action #62: Master Plan - Drainage Improvements - Project 3 - Market St (FM1069) at SH 35 Bypass, Hickory &amp; Steart</t>
  </si>
  <si>
    <t>131000166</t>
  </si>
  <si>
    <t>Nueces Delta Preserve Project - Land Acquisition</t>
  </si>
  <si>
    <t>This master plan envisions that the delta land identified here will likely become part of the Nueces Delta Preserve via voluntary coordination with private landowners.</t>
  </si>
  <si>
    <t>1211011107,1211020100</t>
  </si>
  <si>
    <t>121101110705,121101110707,121102010001,121102010002,121102010004</t>
  </si>
  <si>
    <t>13000447,13000448,13000479,13000480,13000624</t>
  </si>
  <si>
    <t>Coastal Bend Bays and Estuaries Program</t>
  </si>
  <si>
    <t>131000170</t>
  </si>
  <si>
    <t>Nueces Off-Channel Reservoir near Lake Corpus Christi</t>
  </si>
  <si>
    <t>The Nueces OCR at the proposed location could be operated to capture water that would otherwise spill from LCC while still maintaining freshwater inflows to the Nueces Bay and Estuary (B&amp;E) and could potentially reduce flood events downstream of LCC.</t>
  </si>
  <si>
    <t>1211011103</t>
  </si>
  <si>
    <t>121101110301,121101110302</t>
  </si>
  <si>
    <t>13000474,13000475</t>
  </si>
  <si>
    <t>13000089,00000260,00000290,13003452</t>
  </si>
  <si>
    <t>Coastal Bend Regional Water Plan - Oct 2020</t>
  </si>
  <si>
    <t>high need for combined benefits of water supply/flood mitigation</t>
  </si>
  <si>
    <t>131000171</t>
  </si>
  <si>
    <t>Sediment Removal in Lake Corpus Christi</t>
  </si>
  <si>
    <t>The accumulation of sediment in Lake Corpus Christi is a long-term concern. The 2001 Costal Bend Regional Water Plan studied a water supply option that involved the dredging of Lake Corpus Christi.</t>
  </si>
  <si>
    <t>Jim Wells,San Patricio,Live Oak</t>
  </si>
  <si>
    <t>1211011103,1211011104,1211011105,1211011106,1211011107</t>
  </si>
  <si>
    <t>121101110505,121101110304,121101110405,121101110604,121101110603,121101110605,121101110701,121101110602,121101110301,121101110302,121101110303,121101110305</t>
  </si>
  <si>
    <t>13000440,13000455,13000459,13000461,13000462,13000466,13000467,13000470,13000474,13000475,13000476,13000478</t>
  </si>
  <si>
    <t>13000080,13000081,13000089,00000260,00000290,13000409,13000585,13003249,13003250,13003452</t>
  </si>
  <si>
    <t>131000172</t>
  </si>
  <si>
    <t>Diversion from the Nueces River to Choke Canyon</t>
  </si>
  <si>
    <t>Rent large, high capacity mobile diesel pumps to pump water from Nueces River to Choke Canyon during flood events.</t>
  </si>
  <si>
    <t>12110105,12110108</t>
  </si>
  <si>
    <t>1211010512,1211010805</t>
  </si>
  <si>
    <t>121101051206,121101080505</t>
  </si>
  <si>
    <t>13000198,13000354</t>
  </si>
  <si>
    <t>Stakeholder input</t>
  </si>
  <si>
    <t>131000173</t>
  </si>
  <si>
    <t>Pipeline between Choke Canyon Reservoir and Lake Corpus Christi</t>
  </si>
  <si>
    <t>A 2001 study showed that losses in the natural streams between CCR and LCC could possibly be prevented by a transmission pipeline. The pipeline can also provide flood mitigation benefits with a two-way operation via pumping.</t>
  </si>
  <si>
    <t>12110105,12110108,12110111</t>
  </si>
  <si>
    <t>1211010512,1211010805,1211011101,1211011103,1211011104,1211011105,1211011102,1211011106</t>
  </si>
  <si>
    <t>121101051206,121101080506,121101080505,121101110505,121101110101,121101110202,121101110405,121101110603,121101110605,121101110601,121101110204,121101110206,121101110301,121101110302</t>
  </si>
  <si>
    <t>13000198,13000349,13000354,13000440,13000444,13000450,13000459,13000462,13000466,13000468,13000472,13000473,13000474,13000475</t>
  </si>
  <si>
    <t>13000080,13000089,00000260,00000290,13003096,13003452</t>
  </si>
  <si>
    <t>131000174</t>
  </si>
  <si>
    <t>Nueces Basin early flood warning system</t>
  </si>
  <si>
    <t>Develop Flood Preparedness Toolsets Using Streamgaging and Flood Inundation Mapping to develop a basin wide early flood warning system.</t>
  </si>
  <si>
    <t>Atascosa,Wilson,Kinney,Uvalde,Medina,Bexar,Bandera,Real,Edwards,Kerr,Brooks,Kenedy,Jim Hogg,Kleberg,Nueces,Duval,Jim Wells,San Patricio,Webb,Aransas,Refugio,Dimmit,La Salle,McMullen,Bee,Live Oak,Goliad,Maverick,Zavala,Frio,Karnes</t>
  </si>
  <si>
    <t>13000009</t>
  </si>
  <si>
    <t>00000290</t>
  </si>
  <si>
    <t>13000001,00000005,00000007,00000011,00000015,00000021,00000022,00000073,00000074,00000076,13000077,13000078,13000079,13000080,13000081,00000082,00000083,00000084,13000085,13000086,13000087,13000089,00000090,00000091,13000092,13000093,00000095,00000096,000</t>
  </si>
  <si>
    <t>Proposed by HDR</t>
  </si>
  <si>
    <t>major issue in Leakey on Frio, Camp Wood on Nueces, Atascosa County, helps meet Goal 3 (flood warning system)</t>
  </si>
  <si>
    <t>131000175</t>
  </si>
  <si>
    <t>Nueces Basin low water crossing study and upgrade prioritization</t>
  </si>
  <si>
    <t>Conduct an inventory of low water crossings (LWC), characterize risk, and rank low water crossings to prioritize those with high risk. Prepare a large scale public outreach campaign aimed at reducing loss of life. Address top 30% of high risk LWC.</t>
  </si>
  <si>
    <t>13000002</t>
  </si>
  <si>
    <t>major life safety issue in upper basin due to flash flooding and numerous low water crossings, needed to meet Goal 1 (Low Water Crossings)</t>
  </si>
  <si>
    <t>131000176</t>
  </si>
  <si>
    <t>Nueces Basin High Hazard Dam identification and risk assessment</t>
  </si>
  <si>
    <t>The region currently has 116 TCEQ regulated dams. Of these, 7 are 'non-functional' and 9 are 'deficient'. This study would identify all deficient high hazard dams in the region and recommend the removal or rehabilitation of the most high hazard dams.</t>
  </si>
  <si>
    <t>needed to meet Goal 2 (high hazard dams)</t>
  </si>
  <si>
    <t>131000178</t>
  </si>
  <si>
    <t>Nueces Basin Assessment of Flood Mitigation and Performance of Nature-based Solutions (NBS)</t>
  </si>
  <si>
    <t>Basin-wide analysis on the flood mitigation value of select nature-based solutions (NBS) at a variety of scales and land use types, looking for consistent, accurate, and broadly applicable methods to quantify flood mitigation benefits of NBS.</t>
  </si>
  <si>
    <t>13000019</t>
  </si>
  <si>
    <t>needed to meet Goal 7 (nature-based practices)</t>
  </si>
  <si>
    <t>131000179</t>
  </si>
  <si>
    <t>Scaling Up Nature Based Solutions (NBS) in the Nueces Flood Planning Region to support community resilience and enhance flood and hazard mitigation planning</t>
  </si>
  <si>
    <t>Multi-jurisdictional feasibility analyses will be performed in targeted areas to identify a prioritized portfolio of NBS flood mitigation projects and strategies that consider both risk reduction and ecological benefits.</t>
  </si>
  <si>
    <t>131000180</t>
  </si>
  <si>
    <t>Petronilla Drainage Improvements Feasibility Study</t>
  </si>
  <si>
    <t>1211020506</t>
  </si>
  <si>
    <t>121102050606</t>
  </si>
  <si>
    <t>13000559</t>
  </si>
  <si>
    <t>13002390</t>
  </si>
  <si>
    <t>13000078,00000260,00000290,13000409,13000940,13002390,13003452</t>
  </si>
  <si>
    <t>131000181</t>
  </si>
  <si>
    <t>COASTAL BEND MITIGATION ACTION PLAN - NU - 64</t>
  </si>
  <si>
    <t>To improve drainage throughout the City of Agua Dulce, it is necessary to properly assess the community drainage needs and establish a local prioritization plan to serve as a guide to successful flood mitigation.</t>
  </si>
  <si>
    <t>1211020505,1211020506</t>
  </si>
  <si>
    <t>121102050506,121102050602</t>
  </si>
  <si>
    <t>13000532,13000561</t>
  </si>
  <si>
    <t>13002546</t>
  </si>
  <si>
    <t>13000078,00000260,00000290,13000409,13000779,13002546,13003452</t>
  </si>
  <si>
    <t>State or Federal Grants</t>
  </si>
  <si>
    <t>131000177</t>
  </si>
  <si>
    <t>Nueces Basin Floodplain Map Updates</t>
  </si>
  <si>
    <t xml:space="preserve">Develop floodplain maps to NFHL level for HUC 12 watershed areas that have a high flood risk (risk score &gt; 3.0 per the Regional Flood Plan) but do not currently have accurate mapping.  Accurate mapping is defined as NFHL level accuracy. </t>
  </si>
  <si>
    <t>needed to meet Goal 4 (floodplain maps)</t>
  </si>
  <si>
    <t>141000002</t>
  </si>
  <si>
    <t>Develop H&amp;H Models for Cibolo Creek and arroyos through the City of Presidio, and develop an FMP for flood reduction of buildings and emergency access roadways.</t>
  </si>
  <si>
    <t>Develop H&amp;H models for Cibolo Creek and the City of Presidio arroyos to evaluate flood risk. Develop FMPs, an interior drainage analysis for east Cibolo Creek levee, and a coincident storm analysis for Cibolo Creek, the Rio Conchos, and the Rio Grande.</t>
  </si>
  <si>
    <t>Upper Rio Grande</t>
  </si>
  <si>
    <t>Presidio</t>
  </si>
  <si>
    <t>13040201</t>
  </si>
  <si>
    <t>14007003, 14014002, 14009002, 14009004</t>
  </si>
  <si>
    <t>Presidio city, Presidio County</t>
  </si>
  <si>
    <t>14003375,14000041,14003649,14003602</t>
  </si>
  <si>
    <t>General Revenue, 20%</t>
  </si>
  <si>
    <t>Hydrologic models are available from 2008 City of Presidio Drainage Study (Study ID 88), but no digital spatial data or hydraulic floodplain models/mapping are available.  Only hydraulic models are HY-8.  No proposed models are available.</t>
  </si>
  <si>
    <t>FAFDS</t>
  </si>
  <si>
    <t>Aligns with RFPG and stakeholder goals</t>
  </si>
  <si>
    <t>141000003</t>
  </si>
  <si>
    <t>Arroyo Siphon at SH20 near Tornillo</t>
  </si>
  <si>
    <t>Coordinate with TXDOT to install siphon at SH20 to prevent road from overtopping and stormwater from entering EPCWID1 canal system.</t>
  </si>
  <si>
    <t>El Paso</t>
  </si>
  <si>
    <t>13040100</t>
  </si>
  <si>
    <t>14010001, 14010002</t>
  </si>
  <si>
    <t>El Paso County, EPCWID1, TXDOT</t>
  </si>
  <si>
    <t>14000157,14000707,14003601</t>
  </si>
  <si>
    <t>Taxes, Water Use Fees, 50%</t>
  </si>
  <si>
    <t>Preliminary FEMA models can be used, but needs refinement for design purposes</t>
  </si>
  <si>
    <t>Preliminary FEMA</t>
  </si>
  <si>
    <t>141000004</t>
  </si>
  <si>
    <t>Lower Mesa Drain Improvements at El Paso</t>
  </si>
  <si>
    <t>Assess capacity of upstream reservoirs; develop detailed hydraulic model of Lower Mesa Drain to design 30+ culvert improvements; assess capacity of Mesa Drain to accept runoff without impacting downstream agricultural property.</t>
  </si>
  <si>
    <t>14007003, 14009001,  14009003</t>
  </si>
  <si>
    <t>El Paso Water, El Paso County, EPCWID1</t>
  </si>
  <si>
    <t>14003604,14003604,14000707</t>
  </si>
  <si>
    <t>Only CulvertMaster models of individual culverts were developed for the 2009 El Paso County SWMP.  A new 1D HEC-RAS model is needed. 2D Preliminary FEMA is not sufficient for this purpose.</t>
  </si>
  <si>
    <t>141000005</t>
  </si>
  <si>
    <t>Develop solution for flooding of San Elizario historic district, and localized flooding in San Elizario and adjacent communities</t>
  </si>
  <si>
    <t>Develop Stormwater Master Plan for San Elizario, including drainage swales to convey runoff into the River Drain and relieve localized ponding, as well as plantings along flowpaths for butterfly habitat.</t>
  </si>
  <si>
    <t>14009001, 14009003</t>
  </si>
  <si>
    <t>San Elizario city, El Paso County</t>
  </si>
  <si>
    <t>14002721,14000157</t>
  </si>
  <si>
    <t>General Revenue / General Funds or Bonds or Tax notes, 25%</t>
  </si>
  <si>
    <t>Preliminary FEMA models can be used, but needs refinement for risk assessment and design purposes.</t>
  </si>
  <si>
    <t>141000006</t>
  </si>
  <si>
    <t>Increase Storage Capacity of Fort Bliss Sump</t>
  </si>
  <si>
    <t>Excavate Fort Bliss Sump while avoiding newly delineated wetland to increase storage capacity of sump.  Requires continued coordination with U.S. Army due to project location on Fort Bliss.</t>
  </si>
  <si>
    <t>El Paso Water</t>
  </si>
  <si>
    <t>14003650,14003604</t>
  </si>
  <si>
    <t>Revenue bonds, Cash Revenues,  Credit, 0%</t>
  </si>
  <si>
    <t>Preliminary FEMA model or Northeast LOMR (Case  No. 18-06-0885P) can be used, but needs refinement for design purposes</t>
  </si>
  <si>
    <t>Northeast LOMR (Case  No. 18-06-0885P) mapping is incorporated into Preliminary FEMA (2019) mapping for El Paso County</t>
  </si>
  <si>
    <t>Northeast LOMR Case  No. 18-06-0885P</t>
  </si>
  <si>
    <t>141000012</t>
  </si>
  <si>
    <t>Dam Improvements at Comanche Creek Reservoir at Fort Stockton</t>
  </si>
  <si>
    <t>Inspect and evaluate rehabilitation improvements for Comanche Creek Reservoir to protect Fort Stockton from similar flooding to that which occurred on April 4, 2004.</t>
  </si>
  <si>
    <t>Pecos</t>
  </si>
  <si>
    <t>13070007</t>
  </si>
  <si>
    <t>14014001, 14009002, 14009004, 14010001, 14010002</t>
  </si>
  <si>
    <t>Fort Stockton city, Pecos County</t>
  </si>
  <si>
    <t>14003232,14000062</t>
  </si>
  <si>
    <t>FAFDS are available just within Fort Stockton city limits (most of County does not have any mapping)</t>
  </si>
  <si>
    <t>141000014</t>
  </si>
  <si>
    <t>Develop a Colonia-wide Drainage System at Fort Hancock</t>
  </si>
  <si>
    <t>Conduct surveys and drainage study to define flood areas, size 5th St crossing structures, develop H&amp;H models, and propose FMPs.  Address flooding at Hwy 20, Mustang Rd, and complete Supplemental Watershed Plans for Camp Rice Dam 1, Alamo Dam 3.</t>
  </si>
  <si>
    <t>Hudspeth</t>
  </si>
  <si>
    <t>Hudspeth County</t>
  </si>
  <si>
    <t>14003589,14000155</t>
  </si>
  <si>
    <t>General Revenue, 0%</t>
  </si>
  <si>
    <t>141000001</t>
  </si>
  <si>
    <t>Develop a plan for a Sediment and Vegetation Control Program in the Rio Grande at El Paso</t>
  </si>
  <si>
    <t>Assess Rio Grande capacity in El Paso County considering updated hydrology, sediment, and vegetation conditions. Establish maintenance program with minimum risk-based channel capacity.  Address maintenance agreements between U.S. and Mexico.</t>
  </si>
  <si>
    <t>13030102, 13040100</t>
  </si>
  <si>
    <t>14007003,  14004001</t>
  </si>
  <si>
    <t>14003649,14003604,14000157,14003587,14000155,14000707</t>
  </si>
  <si>
    <t>Final hydrologic and hydraulic models expected Aug 31 2022 from  USIBWC "RGCP Hydraulic Modeling, Sediment Accumulation, and Flow Capacity Analysis" (Wilson, FNI)</t>
  </si>
  <si>
    <t>Natural Valley Analysis (2016) mapping is incorporated into Preliminary FEMA (2019) mapping for El Paso County</t>
  </si>
  <si>
    <t>141000008</t>
  </si>
  <si>
    <t>Sediment Control at Alamito and Terneros Creek</t>
  </si>
  <si>
    <t>Design sediment control structures on Alamito Creek and Terneros Creek upstream of confluence with the Rio Grande to reduce sediment in the Rio Grande and reduce USIBWC maintenance burden.</t>
  </si>
  <si>
    <t>13040201, 13040202, 13040203, 13040204, 13070005, 13070006, 13050004</t>
  </si>
  <si>
    <t>14004002, 14011001</t>
  </si>
  <si>
    <t>Presidio County</t>
  </si>
  <si>
    <t>14003649,14000041</t>
  </si>
  <si>
    <t>141000010</t>
  </si>
  <si>
    <t>Develop city-wide drainage study and stormwater master plan for Pecos</t>
  </si>
  <si>
    <t>Develop city-wide drainage study and stormwater master plan for City of Pecos and adjacent Lindsay Census Designated Place.  Develop detailed H&amp;H models and floodplain maps.  Evaluate FMP alternatives.</t>
  </si>
  <si>
    <t>Reeves</t>
  </si>
  <si>
    <t>13070003, 13070001</t>
  </si>
  <si>
    <t>Pecos city, Lindsay CDP, Reeves County, TXDOT</t>
  </si>
  <si>
    <t>14003280,14003590,14000142,14003601</t>
  </si>
  <si>
    <t>FAFDS are available just within Pecos City limits (most of County does not have any mapping)</t>
  </si>
  <si>
    <t>141000015</t>
  </si>
  <si>
    <t>Prioritize arroyos on their likelihood of producing sediment/ debris flows</t>
  </si>
  <si>
    <t>Investigate uncontrolled arroyos that have created flood damages and high maintenance costs. Develop method to estimate relative production of sediment for uncontrolled arroyos and estimate added flood risk associated with drainage conveyance blockage.</t>
  </si>
  <si>
    <t>13030102, 13040100, 13050003</t>
  </si>
  <si>
    <t>14009001, 14009003, 14010001, 14010002</t>
  </si>
  <si>
    <t>14003604,14000157,14000707</t>
  </si>
  <si>
    <t>141000018</t>
  </si>
  <si>
    <t>Conduct flood risk assessment at El Paso locations where drainage is controlled by river stage, and there are significant flood risks on the non-river side of the levee.</t>
  </si>
  <si>
    <t>Identify the Rio Grande outfalls that are most susceptible to blockage, and most likely to allow flood damage during periods of high river stage.</t>
  </si>
  <si>
    <t>14009001, 14009003, 14004001</t>
  </si>
  <si>
    <t>El Paso Water, El Paso County</t>
  </si>
  <si>
    <t>14003604,14000157</t>
  </si>
  <si>
    <t>El Paso County Interior Drainage Models</t>
  </si>
  <si>
    <t>El Paso County Interior Drainage Mapping (Study ID: 24)  includes best available mapping that assumes El Paso levees are in place.</t>
  </si>
  <si>
    <t>El Paso County Interior Drainage Study</t>
  </si>
  <si>
    <t>141000019</t>
  </si>
  <si>
    <t>Plan for mitigation of drainage controls where ground water reduces storm water conveyance capacity in the Montoya Drain</t>
  </si>
  <si>
    <t>Perform H&amp;H modeling to develop a FMP for increasing the capacity of Montoya Drain through measures to control groundwater intrusion into the drain.</t>
  </si>
  <si>
    <t>13030102</t>
  </si>
  <si>
    <t>14007003</t>
  </si>
  <si>
    <t>El Paso Water, EPCWID1</t>
  </si>
  <si>
    <t>14003604,14000707,14003587,14003588</t>
  </si>
  <si>
    <t>A new 1D HEC-RAS model is needed. 2D Preliminary FEMA is not sufficient for this purpose.</t>
  </si>
  <si>
    <t>141000021</t>
  </si>
  <si>
    <t>Develop city-wide drainage study and stormwater master plan for the City of Kermit.</t>
  </si>
  <si>
    <t>Develop city-wide drainage study and stormwater master plan for Kermit.  Develop detailed H&amp;H models and floodplain maps.  Evaluate FMP alternatives.</t>
  </si>
  <si>
    <t>Winkler</t>
  </si>
  <si>
    <t>Kermit city, Winkler County</t>
  </si>
  <si>
    <t>14002911,00000154</t>
  </si>
  <si>
    <t>FAFDS are available just within Kermit city limits (most of County does not have any mapping)</t>
  </si>
  <si>
    <t>141000022</t>
  </si>
  <si>
    <t>Develop solutions for flooding near Sierra Blanca</t>
  </si>
  <si>
    <t>Develop drainage study and stormwater master plan for Sierra Blanca and surrounding ranches with access issues during floods.  Develop detailed H&amp;H models and floodplain maps.  Evaluate FMP alternatives.</t>
  </si>
  <si>
    <t>14000155</t>
  </si>
  <si>
    <t>141000023</t>
  </si>
  <si>
    <t>Develop city-wide drainage study and stormwater master plan for Alpine</t>
  </si>
  <si>
    <t>Develop city-wide drainage study and stormwater master plan for Alpine.  Develop detailed H&amp;H models and floodplain maps.  Evaluate FMP alternatives.</t>
  </si>
  <si>
    <t>Brewster</t>
  </si>
  <si>
    <t>13070006</t>
  </si>
  <si>
    <t>Alpine city, Brewster County</t>
  </si>
  <si>
    <t>14003208,14000040</t>
  </si>
  <si>
    <t>141000024</t>
  </si>
  <si>
    <t>Develop Supplemental Watershed Plans for flood control dams protecting Sonora</t>
  </si>
  <si>
    <t>Assess &amp; evaluate rehabilitation improvements for 7 NRCS dams identified by TCEQ as "Hydraulically Inadequate". Define upgrades of dams in Supplemental Watershed Plans for Dry Devils &amp; Lowry Dams 3, 4, 5, 7, 8, 10, &amp; 12.</t>
  </si>
  <si>
    <t>Sutton</t>
  </si>
  <si>
    <t>13040301</t>
  </si>
  <si>
    <t>Sonora city, Sutton County</t>
  </si>
  <si>
    <t>14002792,00000038</t>
  </si>
  <si>
    <t>FAFDS from 1989 are available just within Sonora city limits (most of County has 1987 FAFDS mapping)</t>
  </si>
  <si>
    <t>141000025</t>
  </si>
  <si>
    <t>Develop Supplemental Watershed Plans for flood control dams protecting Ozona</t>
  </si>
  <si>
    <t>Assess &amp; evaluate rehabilitation improvements for NRCS dam identified by TCEQ as "Hydraulically Inadequate". Define upgrades of dam in Supplemental Watershed Plans for Johnsons Draw SCS Site 7 Dam.</t>
  </si>
  <si>
    <t>Ozona CDP, Crockett County</t>
  </si>
  <si>
    <t>14003591,00000052</t>
  </si>
  <si>
    <t>FAFDS from 1973 are available just within Ozona city limits (most of County has 2004 FAFDS mapping)</t>
  </si>
  <si>
    <t>141000026</t>
  </si>
  <si>
    <t>Develop city-wide drainage study and stormwater master plan for Monahans/ Southwest Sandhill</t>
  </si>
  <si>
    <t>Develop drainage study and stormwater master plan for City of Monahans and Southwest Sandhill Census Designated Place.  Develop detailed H&amp;H models and floodplain maps.  Evaluate FMP alternatives.</t>
  </si>
  <si>
    <t>Ward, Winkler</t>
  </si>
  <si>
    <t>Monahans city, Southwest Sandhill CDP, Ward County</t>
  </si>
  <si>
    <t>14002574,14003592,14000130</t>
  </si>
  <si>
    <t>Dedicated Revenue, 10%</t>
  </si>
  <si>
    <t>FAFDS from 1988 are available just within Monahans city limits (most of County has1977 FAFDS mapping)</t>
  </si>
  <si>
    <t>141000033</t>
  </si>
  <si>
    <t>Develop city-wide drainage study and stormwater master plan for City of Socorro</t>
  </si>
  <si>
    <t>Develop city-wide drainage study and stormwater master plan for Socorro.  Develop detailed H&amp;H models and floodplain maps.  Evaluate FMP alternatives.</t>
  </si>
  <si>
    <t>14014001, 14009001, 14009003, 14010001, 14010002</t>
  </si>
  <si>
    <t>Socorro city, El Paso County</t>
  </si>
  <si>
    <t>14002848,14000157</t>
  </si>
  <si>
    <t>General Funds or Bonds or Tax notes, 55%</t>
  </si>
  <si>
    <t>Freliminary FEMA</t>
  </si>
  <si>
    <t>141000034</t>
  </si>
  <si>
    <t>Develop FMPs for additional projects in City of El Paso/El Paso Water Stormwater Master Plan</t>
  </si>
  <si>
    <t>Develop all required datasets and models for 52 projects from the City of El Paso/El Paso Water Stormwater Master Plan to be recommended as FMPs in the Regional Flood Plan.</t>
  </si>
  <si>
    <t>14003604</t>
  </si>
  <si>
    <t>141000035</t>
  </si>
  <si>
    <t>Develop FMPs for additional projects from the El Paso County Stormwater Master Plan</t>
  </si>
  <si>
    <t>Develop all required datasets and models for 21 projects from the El Paso County Stormwater Master Plan to be considered as FMPs in the Regional Flood Plan.</t>
  </si>
  <si>
    <t>El Paso County</t>
  </si>
  <si>
    <t>14000157</t>
  </si>
  <si>
    <t>General Funds or Bonds or Tax notes, 5%</t>
  </si>
  <si>
    <t>El Paso County SWMP H&amp;H models can be utilized with minimal refinements.</t>
  </si>
  <si>
    <t>151000094</t>
  </si>
  <si>
    <t>Risk Area 6 Trib 2 bypass &amp; detention at Eagle Pass High School fields</t>
  </si>
  <si>
    <t>Project includes bypassing flow from Golfcrest Drive to the detention pond with 1-6’x4’, RCB Modifying outfall structure from 2-5’x3’ RCB to 1-5’x3’ RCB, and Lowering existing baseball field by 3 ft to provide an additional 30 ac-ft of storag</t>
  </si>
  <si>
    <t>Lower Rio Grande</t>
  </si>
  <si>
    <t>Maverick</t>
  </si>
  <si>
    <t>13080001, 13080002</t>
  </si>
  <si>
    <t xml:space="preserve">130800020703, 130800020702	</t>
  </si>
  <si>
    <t>1500007, 1500008</t>
  </si>
  <si>
    <t>15000049</t>
  </si>
  <si>
    <t>15000008,15000011,15000049</t>
  </si>
  <si>
    <t>Preliminary Engineering</t>
  </si>
  <si>
    <t>Meets TWDB &amp; RFPG criteria for FMEs</t>
  </si>
  <si>
    <t>151000093</t>
  </si>
  <si>
    <t>Risk Area 5 Debona Drive</t>
  </si>
  <si>
    <t>Project includes constructing a 5' deep trapezoidal channel approximately 30 feet wide with 3:1 side slopes and a 5' concrete pilot channel, replacing Juarez Street culvert with 8'x4' box culvert, and realigning existing channel to provide additional dis</t>
  </si>
  <si>
    <t>1500005 , 1500006</t>
  </si>
  <si>
    <t>151000091</t>
  </si>
  <si>
    <t>Risk Area 3 Arrow Point Boulevard</t>
  </si>
  <si>
    <t>Project includes constructing small retaining wall at downstream of flume outfall to force flow towards Stone Way and constructing a 2' wide and 6" deep concrete flume from existing flume outfall to Stone Way.</t>
  </si>
  <si>
    <t>151000090</t>
  </si>
  <si>
    <t>Risk Area 2 Treasure Hills</t>
  </si>
  <si>
    <t>Project includes constructing a 4' deep trapezoidal concrete channel with 8' bottom width and 2:1 side slopes, from detention pond outfall to existing culverts.</t>
  </si>
  <si>
    <t>151000089</t>
  </si>
  <si>
    <t>Risk Area 15 Trib 3 Detention at Main Street</t>
  </si>
  <si>
    <t>Project includes constructing 10 acre detention pond (29 ac-ft volume) along East Channel north of Highway 277 and installing flap-gates at flume outfalls on Omar Drive and Jana Drive, to prevent more frequent stormwater from backing up into the neighbor</t>
  </si>
  <si>
    <t>151000088</t>
  </si>
  <si>
    <t>Risk Area 13 Celle De Los Santos neighborhood. Additional culvert under irrigation canal.</t>
  </si>
  <si>
    <t>Project includes upgrading existing culvert crossing irrigation canal from 2-6'x4' RCB to 4-6'x4' RCB.</t>
  </si>
  <si>
    <t>151000087</t>
  </si>
  <si>
    <t>Risk Area 12 Fox Borough Drive</t>
  </si>
  <si>
    <t>Project includes bypassing flow from inlet at Point Loma Drive and North Point Drive to the detention pond with 1 - 8’x4’ RCB and Installing additional curb inlets on N. Point Drive and Silver Oak Circle.</t>
  </si>
  <si>
    <t>151000086</t>
  </si>
  <si>
    <t>Risk Area 11 Rancho Escondido</t>
  </si>
  <si>
    <t>Project includes constructing 10'x2' U-shaped channel from Flores Drive to just south of Microtel Inn Suites, replacing existing culvert under Mazza Drive with 1-8'x4 RCB, and installing curb inlet at cul-de-sac on Nancy Drive.</t>
  </si>
  <si>
    <t>151000095</t>
  </si>
  <si>
    <t>Risk Area 8 Tributary 2 channel widening near Alexander Drive</t>
  </si>
  <si>
    <t>Project includes constructing a 3' deep trapezoidal channel with a 76' bottom width with 4:1 side slopes from Graves  Elementary School to the confluence of existing channels and constructing a 4' deep trapezoidal channel with a 11' bottom width with 4:1</t>
  </si>
  <si>
    <t>151000033</t>
  </si>
  <si>
    <t>FM 491 and Mile 3</t>
  </si>
  <si>
    <t>Local Drainage Improvements- County Road 1771</t>
  </si>
  <si>
    <t>Hidalgo</t>
  </si>
  <si>
    <t>12110207</t>
  </si>
  <si>
    <t>15000019, 15000020</t>
  </si>
  <si>
    <t>15000550</t>
  </si>
  <si>
    <t>15000003,15000010,15000041,15000099</t>
  </si>
  <si>
    <t>Flood Mitigation Alternatives Analysis/ Feasibility Study</t>
  </si>
  <si>
    <t>151000039</t>
  </si>
  <si>
    <t>Lott Rd &amp; Soderquist</t>
  </si>
  <si>
    <t>Local Drainage Improvements- North of Lott Road and East of Soderquist Rd.</t>
  </si>
  <si>
    <t>15000003,15000010,15000033,15000041,15000076</t>
  </si>
  <si>
    <t>151000040</t>
  </si>
  <si>
    <t>Mile 2 E &amp; Expy 83</t>
  </si>
  <si>
    <t>Local Drainage Improvements- North of Interstate 2 and West of Mile 2 1/2</t>
  </si>
  <si>
    <t>15000003,15000010,15000041,15000070,15000099</t>
  </si>
  <si>
    <t>151000045</t>
  </si>
  <si>
    <t>S Alamo and Rancho Blanco</t>
  </si>
  <si>
    <t>Local Drainage Improvements-Storm Drain and Detention North of Rancho Blanco and east of S. Alamo Road</t>
  </si>
  <si>
    <t>15000003,15000010,15000023,15000041,15000062</t>
  </si>
  <si>
    <t>151000046</t>
  </si>
  <si>
    <t>FM 1423 and Main Grove</t>
  </si>
  <si>
    <t>Local Drainage Improvements- Main Street, North Street</t>
  </si>
  <si>
    <t>15000003,15000010,15000033,15000041</t>
  </si>
  <si>
    <t>151000047</t>
  </si>
  <si>
    <t>FM 1423 and Nolana</t>
  </si>
  <si>
    <t>Local Drainage Improvements--Storm Drain and Detention South of Earling Road West of Val Verde Street</t>
  </si>
  <si>
    <t>151000048</t>
  </si>
  <si>
    <t>N Tower</t>
  </si>
  <si>
    <t>Local Drainage Improvements-Storm Drain North of Minnesota Road</t>
  </si>
  <si>
    <t>15000003,15000010,15000023,15000041,15000094</t>
  </si>
  <si>
    <t>151000049</t>
  </si>
  <si>
    <t>Dillon and Roosevelt</t>
  </si>
  <si>
    <t>Local Drainage Improvements-Just North of E Roosevelt Rd</t>
  </si>
  <si>
    <t>151000050</t>
  </si>
  <si>
    <t>Canton and Dillon</t>
  </si>
  <si>
    <t>Local Drainage Improvements-Along Canton Road and adjacent neighborhoods</t>
  </si>
  <si>
    <t>151000051</t>
  </si>
  <si>
    <t>FM 1925 and Mile 4</t>
  </si>
  <si>
    <t>Local Drainage Improvements-Along Bernal Court</t>
  </si>
  <si>
    <t>151000006</t>
  </si>
  <si>
    <t>City of Brownsville Action #24</t>
  </si>
  <si>
    <t>Improve drainage and replace or upgrade gutters at City Plaza buildings</t>
  </si>
  <si>
    <t>Cameron</t>
  </si>
  <si>
    <t>12110208</t>
  </si>
  <si>
    <t xml:space="preserve">121102080800, 121102080900	</t>
  </si>
  <si>
    <t>15000079</t>
  </si>
  <si>
    <t>15000110,15000010,15000041,15000079</t>
  </si>
  <si>
    <t>151000007</t>
  </si>
  <si>
    <t>Indian Lake Action #1</t>
  </si>
  <si>
    <t>Elevate and harden S Resaca Shore Drive bridge to reduce risk of damages and maintaining critical access route</t>
  </si>
  <si>
    <t xml:space="preserve">121102080900	</t>
  </si>
  <si>
    <t>15000053</t>
  </si>
  <si>
    <t>15000110,15000010,15000018,15000030,15000041,15000080</t>
  </si>
  <si>
    <t>151000008</t>
  </si>
  <si>
    <t>Indian Lake Action #12</t>
  </si>
  <si>
    <t>Upgrade/Elevate Henderson Road bridge over Resaca to remove from potential floodway, reduce the risk of damages, and maintain critical access route</t>
  </si>
  <si>
    <t>15000110,15000010,15000019,15000031,15000035,15000041,15000056</t>
  </si>
  <si>
    <t>151000009</t>
  </si>
  <si>
    <t>Indian Lake Action #17</t>
  </si>
  <si>
    <t>Upgrade shoulders and provide turnouts along Henderson Road to support evacuation route</t>
  </si>
  <si>
    <t>15000110,15000010,15000019,15000030,15000031,15000035,15000041,15000053,15000056</t>
  </si>
  <si>
    <t>151000010</t>
  </si>
  <si>
    <t>Indian Lake Action #18</t>
  </si>
  <si>
    <t>Harden critical facilities, to include the Town Hall/Police Station, to reduce or eliminate wind, hail, and flood damage and ensure continuity of emergency services</t>
  </si>
  <si>
    <t>1500009 , 1500010</t>
  </si>
  <si>
    <t>15000110,15000010,15000019,15000031,15000035,15000041,15000053</t>
  </si>
  <si>
    <t>151000012</t>
  </si>
  <si>
    <t>Laguna Vista Action #10</t>
  </si>
  <si>
    <t>Drainage Improvements: Harden and reinforce head wall along the Laguna Madre bay off Beach Boulevard</t>
  </si>
  <si>
    <t>15000055</t>
  </si>
  <si>
    <t>15000110,15000010,15000041,15000055</t>
  </si>
  <si>
    <t>151000013</t>
  </si>
  <si>
    <t>Laguna Vista Action #11</t>
  </si>
  <si>
    <t>Drainage Improvements: Upgrade 48” drainage pipe located at 1004 Beach Blvd to increase capacity and reduce risk of flood damages</t>
  </si>
  <si>
    <t>151000014</t>
  </si>
  <si>
    <t>Laguna Vista Action #12</t>
  </si>
  <si>
    <t>Drainage Improvements: Relocate and upgrade existing 36” drainage pipe located at 1026 Beach Blvd to increase capacity and reduce risk of flood damages</t>
  </si>
  <si>
    <t>151000015</t>
  </si>
  <si>
    <t>Laguna Vista Action #19</t>
  </si>
  <si>
    <t>Harden Town Hall with wind, hail, and flood mitigation measures to reduce damages and ensure continuity of services</t>
  </si>
  <si>
    <t>151000017</t>
  </si>
  <si>
    <t>Laguna Vista Action #3</t>
  </si>
  <si>
    <t>Drainage improvements Basin “D”: Install upgraded drainage system west side of State Highway 510 for 80 acre residential area. Current system is inadequate to carry storm water runoff.</t>
  </si>
  <si>
    <t>15000110,15000010,15000041,15000055,15000079</t>
  </si>
  <si>
    <t>151000018</t>
  </si>
  <si>
    <t>Laguna Vista Action #4</t>
  </si>
  <si>
    <t>Drainage improvements Basin “E”: Install upgraded drainage system off Saunders Street and State Highway 510 that drains acreage south of Fernandez Street and north of Morris Street</t>
  </si>
  <si>
    <t>151000019</t>
  </si>
  <si>
    <t>Laguna Vista Action #5</t>
  </si>
  <si>
    <t>Drainage improvements Basin “F”: Install drainage system at the most southwestern part of the Town limits, bounded by State Highway 100 and State Highway 510.</t>
  </si>
  <si>
    <t>151000020</t>
  </si>
  <si>
    <t>Laguna Vista Action #6</t>
  </si>
  <si>
    <t>Drainage improvements SH 100: Regrade the existing drainage ditch that parallels State Highway 100 to increase capacity and reduce risk of flooding</t>
  </si>
  <si>
    <t>15000110,15000010,15000016,15000035,15000041,15000055,15000079</t>
  </si>
  <si>
    <t>151000021</t>
  </si>
  <si>
    <t>Laguna Vista Action #7</t>
  </si>
  <si>
    <t>Drainage improvements: Upgrade the drainage system on the intersection of Broadway and Palo Blanco to increase capacity and reduce risk of flooding</t>
  </si>
  <si>
    <t>151000022</t>
  </si>
  <si>
    <t>Laguna Vista Action #8</t>
  </si>
  <si>
    <t>Drainage Improvements: Upgrade the drainage system on Holley Beach to increase capacity and reduce risk of flooding</t>
  </si>
  <si>
    <t>151000023</t>
  </si>
  <si>
    <t>Laguna Vista Action #9</t>
  </si>
  <si>
    <t>Drainage Improvements: Upgrade and harden drainage structure on Town-owed marina to increase capacity and reduce risk of damages</t>
  </si>
  <si>
    <t>151000024</t>
  </si>
  <si>
    <t>Los Fresno's Action #13</t>
  </si>
  <si>
    <t>Upgrade culverts and install drainage improvements at various locations to increase capacity and reduce risk of flood damages. Purchase trailer mounted water trash pump to reduce or eliminate flooding.  Drainage Improvement locations: Drainage Ditch Sout</t>
  </si>
  <si>
    <t>121102080800, 121102080900</t>
  </si>
  <si>
    <t>15000056</t>
  </si>
  <si>
    <t>151000027</t>
  </si>
  <si>
    <t>Port Isabel Action #19</t>
  </si>
  <si>
    <t>Elevate and widen coastal roads as well as evacuation routes to reduce risk of flood damages and maintain emergency access</t>
  </si>
  <si>
    <t xml:space="preserve">121102081000, 121102081000	</t>
  </si>
  <si>
    <t>15000058</t>
  </si>
  <si>
    <t>15000110,15000010,15000041,15000058</t>
  </si>
  <si>
    <t>151000028</t>
  </si>
  <si>
    <t>Port Isabel Action #22</t>
  </si>
  <si>
    <t>Build breakwater or similar shoreline protection for harbor</t>
  </si>
  <si>
    <t>1500001 , 1500002</t>
  </si>
  <si>
    <t>151000029</t>
  </si>
  <si>
    <t>Primera Action #2</t>
  </si>
  <si>
    <t>Construct a large retention/detention pond in the northwest part of town to hold water during heavy rain events</t>
  </si>
  <si>
    <t xml:space="preserve">121102080700	</t>
  </si>
  <si>
    <t>1500007, 1500008, 1500005 , 1500006</t>
  </si>
  <si>
    <t>15000059</t>
  </si>
  <si>
    <t>15000110,15000010,15000036,15000040,15000041,15000059</t>
  </si>
  <si>
    <t>151000030</t>
  </si>
  <si>
    <t>South Padre Island #6</t>
  </si>
  <si>
    <t xml:space="preserve"> Upgrade undersized culverts throughout the Island to increase capacity and reduce flood risk</t>
  </si>
  <si>
    <t>121102081000</t>
  </si>
  <si>
    <t>15000052</t>
  </si>
  <si>
    <t>15000110,15000010,15000041,15000052</t>
  </si>
  <si>
    <t>151000062</t>
  </si>
  <si>
    <t>Alton MDP - North Inspiration Road and West St. Jude Avenue Alternative 2</t>
  </si>
  <si>
    <t>Alternative 2, is designed to remove structures from the 25-year floodplain and more  frequent storms. This alternative consists of upsizing the storm drain under West St Jude Avenue. The trunk line will consist of 1,900 LF of a single 7’ X 5’ reinfo</t>
  </si>
  <si>
    <t>12110207, 12110210</t>
  </si>
  <si>
    <t xml:space="preserve">121102080200, 121102080300		</t>
  </si>
  <si>
    <t>15000095</t>
  </si>
  <si>
    <t>15000003,15000010,15000024,15000034,15000041,15000095</t>
  </si>
  <si>
    <t>151000063</t>
  </si>
  <si>
    <t>Alton MDP - West Mile 5 and South Glasscock Road Alternative 3</t>
  </si>
  <si>
    <t>Alternative 3 is simply the buyout and removal of 23 properties on the north side of Buchanan from the 10-year floodplain. Once structures are removed, the vacant land can be excavated and used as a park/regional retention pond.</t>
  </si>
  <si>
    <t>12110207, 12110213</t>
  </si>
  <si>
    <t>1500031, 1500032</t>
  </si>
  <si>
    <t>15000003,15000010,15000034,15000041,15000095</t>
  </si>
  <si>
    <t>151000071</t>
  </si>
  <si>
    <t>Precinct 4 MDP - Risk Area A  at Mile 8.5 Rd. &amp; Ware Rd.</t>
  </si>
  <si>
    <t xml:space="preserve"> Approximately 1 mile of proposed channel improvements. Proposed culverts. Proposed Detention Ponds with pond north of Mile 8.5 Rd. to collect runoff from the west and has an approximate footprint of 12 acres and storage capacity of 60 acre-ft and will o</t>
  </si>
  <si>
    <t>12110207, 12110279</t>
  </si>
  <si>
    <t>121102080400, 121102070100, 121102080200, 121102080200</t>
  </si>
  <si>
    <t>Hidalgo County Precinct 4</t>
  </si>
  <si>
    <t>15000003,15000010,15000021,15000034,15000041,15000091</t>
  </si>
  <si>
    <t>151000072</t>
  </si>
  <si>
    <t>Precinct 4 MDP - Risk Area B at Mile 6 &amp; North Ware Rd.</t>
  </si>
  <si>
    <t>Regional Detention Facilities with a  pond footprint of 25 acres along the Existing HCDD1 West Main Drain. Storm Drain and Local Drainage Improvements. Channel maintenance.</t>
  </si>
  <si>
    <t>12110207, 12110280</t>
  </si>
  <si>
    <t>15000003,15000010,15000021,15000034,15000041,15000091,15000095</t>
  </si>
  <si>
    <t>151000073</t>
  </si>
  <si>
    <t>Precinct 4 MDP - Risk Area C at FM 2812 &amp; FM 493</t>
  </si>
  <si>
    <t>Channel Improvements (Widening &amp; Regrading) to Existing J-01 Drain with approximately 1.5 miles of proposed improvements. Channel Improvements (Channel Maintenance &amp; Flowline Regrading) to Existing DA-1 Ext. Drain with approximately 0.4 miles of proposed</t>
  </si>
  <si>
    <t>12110207, 12110281</t>
  </si>
  <si>
    <t>15000003,15000010,15000013,15000020,15000041</t>
  </si>
  <si>
    <t>151000074</t>
  </si>
  <si>
    <t>Precinct 4 MDP - Risk Area D at S. McColl &amp; Canton Rd.</t>
  </si>
  <si>
    <t>Channel Improvements (Widening &amp; Regrading) to Existing McAllen Lateral &amp; North Main Drain with approximately 2.25 miles of proposed improvements from S McColl St. to State Highway 107. Crossings at W Canton Rd., W Freddy Gonzalez Dr., and W Sprague St.</t>
  </si>
  <si>
    <t>12110207, 12110282</t>
  </si>
  <si>
    <t>15000003,15000010,15000021,15000023,15000041,15000089</t>
  </si>
  <si>
    <t>151000075</t>
  </si>
  <si>
    <t>Precinct 4 MDP - Risk Area E at Hwy 107 &amp; Val Verde Rd.</t>
  </si>
  <si>
    <t>Channel Improvements with approximately 0.3 miles of proposed improvements. Proposed detention pond north of Tex-Mex Rd. and east of S 87th St. has an approximate footprint of 4.25 acres and capacity of 20 acre-ft. Grate Inlets and Proposed Storm Drain 5</t>
  </si>
  <si>
    <t>12110207, 12110283</t>
  </si>
  <si>
    <t>15000003,15000010,15000021,15000041</t>
  </si>
  <si>
    <t>151000076</t>
  </si>
  <si>
    <t>Precinct 4 MDP - Risk Area F at Texas Rd. &amp; Cesar Chavez Rd.</t>
  </si>
  <si>
    <t>Channel Improvements with approximately 0.6 miles of proposed improvements. Grate Inlets and Proposed Storm Drain with grate inlets in sag spaced along every 500’ tying into a 42’’ RCP along Cesar Chavez Road starting at just south of Texas Rd to t</t>
  </si>
  <si>
    <t>12110207, 12110284</t>
  </si>
  <si>
    <t>151000077</t>
  </si>
  <si>
    <t>Precinct 4 MDP - Risk Area G at Hoehn Rd. &amp; Mile 11 Rd.</t>
  </si>
  <si>
    <t>Channel Improvements with approximately 0.75 miles of proposed improvements.  Proposed Pond north of County Road 3424 and west of County Road 3421 has an approximate footprint of 5 acres and capacity of 35 acre-ft. Grate Inlets and Proposed Storm Drain 5</t>
  </si>
  <si>
    <t>12110207, 12110285</t>
  </si>
  <si>
    <t>15000003,15000010,15000021,15000025,15000041,15000089</t>
  </si>
  <si>
    <t>151000078</t>
  </si>
  <si>
    <t>Precinct 4 MDP - Risk Area I at Sharp Rd. &amp; E Monte Cristo Rd</t>
  </si>
  <si>
    <t>Inlets and proposed storm drain with Approximately 1,100’ of 4’x4’ RCB storm drain with curb inlets to be installed along Hendrix Dr. and Gaston Cr. with approximately 1,200’ of 6’x4’ RCB storm with grate and sag inlets along Uresti Rd. with</t>
  </si>
  <si>
    <t>12110207, 12110286</t>
  </si>
  <si>
    <t>15000003,15000010,15000013,15000041</t>
  </si>
  <si>
    <t>151000079</t>
  </si>
  <si>
    <t>Precinct 4 MDP - Risk Area J at SH107 &amp; FM 907</t>
  </si>
  <si>
    <t>Channel Improvements (Widening &amp; Regrading) to Existing HCDD1 “Y” drain with approximately 0.75 miles of proposed channel improvements beginning at Fresno Dr. and ending at E Curry Rd. Proposed Drainage Grate Inlets approximately 3,800’ of storm dr</t>
  </si>
  <si>
    <t>12110207, 12110287</t>
  </si>
  <si>
    <t>151000130</t>
  </si>
  <si>
    <t>City of Laredo Project 6</t>
  </si>
  <si>
    <t>Vidaurri Avenue Roadway Drainage Improvements to prevent future drainage in the area.  Street improvements from Scott Street to Jefferson Street.</t>
  </si>
  <si>
    <t>13080002</t>
  </si>
  <si>
    <t xml:space="preserve">130800022405 ,130800022610, 130800022611, 130800022612, 130800022801, 130800022802, 130800022804, 130800022805, 130800022809, 130800030208, 130800022806															</t>
  </si>
  <si>
    <t>15000065</t>
  </si>
  <si>
    <t>15000007,15000012,15000065</t>
  </si>
  <si>
    <t>151000043</t>
  </si>
  <si>
    <t>Clark Rd &amp; Mile 1 E Improvements</t>
  </si>
  <si>
    <t>Channel Improvements- Ditch 19,19B,19H,23; Local Drainage Improvements-Los Laureles; Local Detention-Los Laureles; Local Drainage Improvements-Clark road and Mile 1 Road; and Bypass Channel and Sump Area for Pump Station</t>
  </si>
  <si>
    <t>15000110,15000003,15000010,15000041,15000070,15000099</t>
  </si>
  <si>
    <t>151000044</t>
  </si>
  <si>
    <t>International &amp; E Mile 5 N Improvements</t>
  </si>
  <si>
    <t>Channel Improvements just upstream of Ditch 35B; Culvert Improvements; Detention North of Llano Grande Lake Just West of 3 Mile Rd; 2- 130,000 GPM Pumps; Channel Improvements Ditch 34, 34B, 34BExt; Regional Detention; Bypass channel from Ditch 34; and Cu</t>
  </si>
  <si>
    <t>15000003,15000010,15000041,15000075,15000099</t>
  </si>
  <si>
    <t>151000042</t>
  </si>
  <si>
    <t>Mile 11 N &amp; Mile 6 W Improvements</t>
  </si>
  <si>
    <t>Channel Improvements- Ditch 17B2A1A, Channel Improvements- Ditch 7T,7T1, Local Drainage Improvements- West of Ditch17B2A1A, and Ditch 17B2A1  Detention West</t>
  </si>
  <si>
    <t>151000052</t>
  </si>
  <si>
    <t>Pump Station A &amp; Sump A</t>
  </si>
  <si>
    <t>151000055</t>
  </si>
  <si>
    <t>Pump Station D</t>
  </si>
  <si>
    <t>151000056</t>
  </si>
  <si>
    <t>Pump Station E &amp; Sump</t>
  </si>
  <si>
    <t>151000057</t>
  </si>
  <si>
    <t>Pump Station F &amp; Sump</t>
  </si>
  <si>
    <t>151000058</t>
  </si>
  <si>
    <t>Pump Station G &amp; Sump</t>
  </si>
  <si>
    <t>151000034</t>
  </si>
  <si>
    <t>Pump Station H &amp; Sump</t>
  </si>
  <si>
    <t>151000035</t>
  </si>
  <si>
    <t>Pump Station I &amp; Sump</t>
  </si>
  <si>
    <t>151000036</t>
  </si>
  <si>
    <t>Pump Station J &amp; Sump</t>
  </si>
  <si>
    <t>151000037</t>
  </si>
  <si>
    <t>Pump Station K</t>
  </si>
  <si>
    <t>151000038</t>
  </si>
  <si>
    <t>Pump Station L</t>
  </si>
  <si>
    <t>151000053</t>
  </si>
  <si>
    <t>Pump Station B &amp; Sump B</t>
  </si>
  <si>
    <t>151000041</t>
  </si>
  <si>
    <t>TX 88 &amp; W Sugar Cane Dr Improvements</t>
  </si>
  <si>
    <t>Channel Improvements- Ditch 17B2A1, Ditch 17B2A1  Detention West,  Local Drainage Improvements ( North of W Sugar Cane West of Ditch17B2A1), Ditch 17B2A1  Detention East, and Local Drainage Improvements (North of W Sugar Cane East of Ditch17B2A1)</t>
  </si>
  <si>
    <t>151000059</t>
  </si>
  <si>
    <t>City of Sullivan</t>
  </si>
  <si>
    <t>Develop Flood risk maps for the city of Sullivan City and develop CIP</t>
  </si>
  <si>
    <t>15000003</t>
  </si>
  <si>
    <t>15000002,15000003,15000010,15000012,15000028,15000041,15000074</t>
  </si>
  <si>
    <t>Flood Risk Modeling/ Mapping</t>
  </si>
  <si>
    <t>151000032</t>
  </si>
  <si>
    <t>Edwards County</t>
  </si>
  <si>
    <t>Develop Flood risk maps for the county of Edwards and develop CIP</t>
  </si>
  <si>
    <t>Edwards</t>
  </si>
  <si>
    <t>15000111</t>
  </si>
  <si>
    <t>15000107,15000108,15000009,15000011</t>
  </si>
  <si>
    <t>151000031</t>
  </si>
  <si>
    <t>Dimmit County</t>
  </si>
  <si>
    <t>Develop Flood risk maps for the county of Dimmit and develop CIP</t>
  </si>
  <si>
    <t>Dimmit</t>
  </si>
  <si>
    <t>15000007,15000008,15000111,15000011,15000012,15000041</t>
  </si>
  <si>
    <t>151000001</t>
  </si>
  <si>
    <t>Brooks County</t>
  </si>
  <si>
    <t>Develop Flood risk maps for the county of Brooks</t>
  </si>
  <si>
    <t>15000109</t>
  </si>
  <si>
    <t>15000002,15000003,15000109,15000004,15000006,15000010,15000012,15000028,15000041,15000097</t>
  </si>
  <si>
    <t>151000002</t>
  </si>
  <si>
    <t>Bayview Action #6</t>
  </si>
  <si>
    <t>Upgrade three roadway bridges and one footbridge including structural improvements and stabilization to reduce damages caused by flooding and high winds</t>
  </si>
  <si>
    <t>15000081</t>
  </si>
  <si>
    <t>15000110,15000010,15000016,15000035,15000041,15000079,15000081</t>
  </si>
  <si>
    <t>151000101</t>
  </si>
  <si>
    <t>City of Escobares</t>
  </si>
  <si>
    <t>Develop Flood risk maps for the city of Escobares and develop CIP</t>
  </si>
  <si>
    <t>Starr</t>
  </si>
  <si>
    <t>15000002</t>
  </si>
  <si>
    <t>15000002,15000012,15000028,15000041,15000047,15000048</t>
  </si>
  <si>
    <t>151000128</t>
  </si>
  <si>
    <t>City of El Cenizo</t>
  </si>
  <si>
    <t>Develop Flood risk maps for the city of El Cenizo and develop CIP</t>
  </si>
  <si>
    <t>15000007</t>
  </si>
  <si>
    <t>15000007,15000012,15000041,15000086</t>
  </si>
  <si>
    <t>151000099</t>
  </si>
  <si>
    <t>City of La Grulla</t>
  </si>
  <si>
    <t>Develop Flood risk maps for the city of La Grulla and develop CIP</t>
  </si>
  <si>
    <t>15000002,15000012,15000028,15000041,15000046</t>
  </si>
  <si>
    <t>151000102</t>
  </si>
  <si>
    <t>City of Rio Grande</t>
  </si>
  <si>
    <t>Develop Flood risk maps for the city of Rio Grande City and develop CIP</t>
  </si>
  <si>
    <t>15000002,15000012,15000028,15000041,15000088</t>
  </si>
  <si>
    <t>151000127</t>
  </si>
  <si>
    <t>City of Rio Bravo</t>
  </si>
  <si>
    <t>Develop Flood risk maps for the city of Rio Bravo and develop CIP</t>
  </si>
  <si>
    <t>15000007,15000012,15000041,15000065,15000066</t>
  </si>
  <si>
    <t>151000100</t>
  </si>
  <si>
    <t>City of Roma</t>
  </si>
  <si>
    <t>Develop Flood risk maps for the city of Roma and develop CIP</t>
  </si>
  <si>
    <t>151000082</t>
  </si>
  <si>
    <t>Jim Hogg County</t>
  </si>
  <si>
    <t>Develop Flood risk maps for the county of Jim Hogg and develop CIP</t>
  </si>
  <si>
    <t>Jim Hogg</t>
  </si>
  <si>
    <t>15000006</t>
  </si>
  <si>
    <t>15000002,15000109,15000005,15000006,15000007,15000012,15000028,15000041,15000097</t>
  </si>
  <si>
    <t>151000083</t>
  </si>
  <si>
    <t>Kenedy County</t>
  </si>
  <si>
    <t>Develop Flood risk maps for the county of Kenedy and develop CIP</t>
  </si>
  <si>
    <t>Kenedy</t>
  </si>
  <si>
    <t>15000004</t>
  </si>
  <si>
    <t>15000001,15000003,15000109,15000004,15000010,15000041,15000097</t>
  </si>
  <si>
    <t>151000085</t>
  </si>
  <si>
    <t>Kinney County</t>
  </si>
  <si>
    <t>Develop Flood risk maps for the county of Kinney and develop CIP</t>
  </si>
  <si>
    <t>Kinney</t>
  </si>
  <si>
    <t>15000009</t>
  </si>
  <si>
    <t>15000107,15000108,15000008,15000009,15000011,15000085,15000103,15000104</t>
  </si>
  <si>
    <t>151000096</t>
  </si>
  <si>
    <t>Maverick County</t>
  </si>
  <si>
    <t>Develop Flood risk maps for the county of Maverick and develop CIP</t>
  </si>
  <si>
    <t>15000008</t>
  </si>
  <si>
    <t>15000007,15000008,15000009,15000111,15000011,15000012,15000041,15000049</t>
  </si>
  <si>
    <t>151000097</t>
  </si>
  <si>
    <t>Starr County</t>
  </si>
  <si>
    <t>Develop Flood risk maps for the county of Starr and develop CIP</t>
  </si>
  <si>
    <t>15000002,15000003,15000109,15000005,15000006,15000010,15000012,15000028,15000041,15000046,15000047,15000048,15000074,15000088,15000097</t>
  </si>
  <si>
    <t>151000098</t>
  </si>
  <si>
    <t>Starr County Drainage District</t>
  </si>
  <si>
    <t>Develop Flood risk maps for the Starr County Drainage District and develop CIP</t>
  </si>
  <si>
    <t>151000132</t>
  </si>
  <si>
    <t>Zapata County</t>
  </si>
  <si>
    <t>Develop Flood risk maps for the county of Zapata and develop CIP</t>
  </si>
  <si>
    <t>Zapata</t>
  </si>
  <si>
    <t>15000005</t>
  </si>
  <si>
    <t>15000002,15000005,15000006,15000007,15000012,15000028,15000041,15000100</t>
  </si>
  <si>
    <t>151000125</t>
  </si>
  <si>
    <t>Webb County Drainage District #1</t>
  </si>
  <si>
    <t>Develop Flood risk maps for the Webb County Drainage District #1 and develop CIP</t>
  </si>
  <si>
    <t>15000007,15000012,15000017,15000041,15000065</t>
  </si>
  <si>
    <t>151000131</t>
  </si>
  <si>
    <t>Webb County</t>
  </si>
  <si>
    <t>Develop Flood risk maps for the county of Webb and develop CIP</t>
  </si>
  <si>
    <t>15000005,15000006,15000007,15000008,15000111,15000011,15000012,15000017,15000041,15000065,15000066,15000086,15000097</t>
  </si>
  <si>
    <t>151000124</t>
  </si>
  <si>
    <t>Val Verde County</t>
  </si>
  <si>
    <t>Develop Flood risk maps for the county of Val Verde and develop CIP</t>
  </si>
  <si>
    <t>Val Verde</t>
  </si>
  <si>
    <t>15000108</t>
  </si>
  <si>
    <t>15000107,15000108,15000009,15000011,15000045</t>
  </si>
  <si>
    <t>151000133</t>
  </si>
  <si>
    <t>San Ygnacio MUD</t>
  </si>
  <si>
    <t>Develop Flood risk maps for San Ygnacio MUD and develop CIP</t>
  </si>
  <si>
    <t>15000005,15000012,15000041,15000100</t>
  </si>
  <si>
    <t>151000084</t>
  </si>
  <si>
    <t>Fort Clark MUD</t>
  </si>
  <si>
    <t>Develop Flood risk maps for Fort Clark MUD and develop CIP</t>
  </si>
  <si>
    <t>15000009,15000011,15000103,15000104</t>
  </si>
  <si>
    <t>151000060</t>
  </si>
  <si>
    <t>Alton MDP -  West Mile 5 Road and Louisiana Street Alternative 2</t>
  </si>
  <si>
    <t>Alternative 2 is designed to remove structures from the 10-year floodplain. Approximately 35 acre-feet of volume is proposed to be excavated. construction consists of 1,940 LF of 36-inch diameter pipe sloped at 0.2% along Louisiana, Kentucky, and Trosper</t>
  </si>
  <si>
    <t>12110207, 12110208</t>
  </si>
  <si>
    <t>15000003,15000010,15000034,15000041,15000078,15000092,15000095</t>
  </si>
  <si>
    <t>151000065</t>
  </si>
  <si>
    <t>Weslaco Stormwater Improvement Plan - Mile 10 N and Mile 5 ½ W</t>
  </si>
  <si>
    <t>Construction of an 8 acre detention pond, with approximately 4,000 LF of channel widening along the back of the neighborhoods and between the Justice Raul A. Gonzalez Elementary School and Joe Calvillo Jr Career &amp; Technology Education Complex; replacemen</t>
  </si>
  <si>
    <t>12110207, 12110230</t>
  </si>
  <si>
    <t>121102080100, 121102080300</t>
  </si>
  <si>
    <t>15000075</t>
  </si>
  <si>
    <t>151000069</t>
  </si>
  <si>
    <t>Weslaco Stormwater Improvement Plan - Westgate Drive and Sugar Cane Drive</t>
  </si>
  <si>
    <t>Construction of two detention ponds, 11 acres near Clecker-Heald Elementary School and 8 acres behind the commercial properties north of Interstate 2, approximately 4,500 LF of channel widening connecting the two ponds, addition of a new 42-inch reinforc</t>
  </si>
  <si>
    <t>12110207, 12110234</t>
  </si>
  <si>
    <t>151000068</t>
  </si>
  <si>
    <t>Weslaco Stormwater Improvement Plan - West Weslaco</t>
  </si>
  <si>
    <t>The project is located just west of Border Avenue, between US 83 and Zelma Street. Construction of three detention ponds, 18 acres east of Vaughn Road and Midway Road, 26 acres near West 6th Street and Milano Road and 60 acres at Harlon Block Sports Comp</t>
  </si>
  <si>
    <t>12110207, 12110233</t>
  </si>
  <si>
    <t>15000003,15000010,15000033,15000041,15000075,15000076,15000099</t>
  </si>
  <si>
    <t>151000067</t>
  </si>
  <si>
    <t>Weslaco Stormwater Improvement Plan - Texas Boulevard to Airport Drive, South of Business 83</t>
  </si>
  <si>
    <t>Construction of two detention ponds, 10 acres near Texas Boulevard and 18th Street and 3 acres south of Dawson Street, a berm, approximately 5,400 LF of channel widening and extension, and installation of an 8’ x 4’ RCB storm drain system near Border</t>
  </si>
  <si>
    <t>12110207, 12110232</t>
  </si>
  <si>
    <t>151000064</t>
  </si>
  <si>
    <t>Weslaco Stormwater Improvement Plan -  Pleasantview Drive and 11th Street</t>
  </si>
  <si>
    <t>Installation of 3,220 LF of new storm drain system consisting of two – 8’ x 4’ RCBs along Mile 3 ½.</t>
  </si>
  <si>
    <t>12110207, 12110228</t>
  </si>
  <si>
    <t>151000066</t>
  </si>
  <si>
    <t>Weslaco Stormwater Improvement Plan - South International Boulevard and Business 83</t>
  </si>
  <si>
    <t>Replacement of 48 – inch culverts at two roadway crossings with 6’ x 4’ RCBs.</t>
  </si>
  <si>
    <t>12110207, 12110231</t>
  </si>
  <si>
    <t>151000092</t>
  </si>
  <si>
    <t>Risk Area 4  Bibb &amp; Misty Willow storm drain</t>
  </si>
  <si>
    <t xml:space="preserve"> Project includes installing 6'x4' RCB along Misty Willow Drive from N Bibb Avenue to existing channel between N Bibb Avenue and Timber Valley and installing curb inlets on N Bibb Avenue and Misty Willow Drive.</t>
  </si>
  <si>
    <t>151000103</t>
  </si>
  <si>
    <t>Rgc Public Works, Escobares City, And Starr Public Works Roadway Improvements</t>
  </si>
  <si>
    <t>Improve Roadways, By Widening And Raising, And Create Drainage Culverts Or Bridges.  (Morenos Creek And Garceno Creek)(Kelsey Creek, Rio Grande City)</t>
  </si>
  <si>
    <t>12110207, 13090001, 12110207</t>
  </si>
  <si>
    <t>121102070100, 130900011301, 130900011302, 130900011304, 130900011202, 130900011203, 130900011204, 130900011401, 130900011402, 130800031007, 130800031011, 130900011102, 130900011103, 130900011108, 130900011110, 130900011403, 130900011501, 130900011502, 13</t>
  </si>
  <si>
    <t>Criteria Grouping</t>
  </si>
  <si>
    <t>Agriculture</t>
  </si>
  <si>
    <t>FME Grouping Weight</t>
  </si>
  <si>
    <t xml:space="preserve">FME Ranking Weight </t>
  </si>
  <si>
    <r>
      <t>Percent of structures removed from 100yr (1% annual chance) Floodplain (</t>
    </r>
    <r>
      <rPr>
        <b/>
        <sz val="11"/>
        <color rgb="FFFF0000"/>
        <rFont val="Calibri"/>
        <family val="2"/>
        <scheme val="minor"/>
      </rPr>
      <t>Calculated</t>
    </r>
    <r>
      <rPr>
        <sz val="11"/>
        <color theme="1"/>
        <rFont val="Calibri"/>
        <family val="2"/>
        <scheme val="minor"/>
      </rPr>
      <t xml:space="preserve"> by TWDB from reported data)</t>
    </r>
  </si>
  <si>
    <t>Mobility</t>
  </si>
  <si>
    <t>FMP Grouping Weight</t>
  </si>
  <si>
    <t xml:space="preserve">FMP Ranking Criteria
</t>
  </si>
  <si>
    <t>FMS Grouping Weight</t>
  </si>
  <si>
    <t>yes</t>
  </si>
  <si>
    <t>Subtotal</t>
  </si>
  <si>
    <t>Score 16: Regional (Geographic Distribution)</t>
  </si>
  <si>
    <t>Please refer to RFP Exhibit C (pages 114 - 135) for definition of Project Details Scoring:</t>
  </si>
  <si>
    <t xml:space="preserve">Exhibit C: Technical Guidelines for Regional Flood Planning  </t>
  </si>
  <si>
    <t>Severity Ranking - Pre-Project Average Depth of Flooding (100-year): Ranking of severity based on the baseline/pre-project average 100-year flood depth.</t>
  </si>
  <si>
    <t>Severity Ranking - Community Need (% Population): Ranking of severity based on a community’s need by percentage of project community affected by population.</t>
  </si>
  <si>
    <t>Flood Risk Reduction: Ranking of reduced flood risk by percentage of  structures removed from the 100-year floodplain in post- project condition.</t>
  </si>
  <si>
    <t>Flood Damage Reduction:  Ranking of flood risk reduction (property protection) by a percentage of 100-year damage reduction calculation.</t>
  </si>
  <si>
    <t>Critical Facilities Damage Reduction: indication of reduced flood risk by percentage of critical facilities removed from the 100-year floodplain in post-project condition.</t>
  </si>
  <si>
    <t>Life and Safety Ranking (Injury/Loss of life): Ranking project based on life/injury risk percentage using estimates of area hazard rating, area vulnerability rating, and historical loss of life injury data for project.</t>
  </si>
  <si>
    <t>Water Supply Ranking: Ranking project based on a project’s water supply benefits to direct or indirect water availability and/or supply.</t>
  </si>
  <si>
    <t>Social Vulnerability Ranking: A ranking based on the Center for Disease Control SVI data for Texas, by calculating an average project SVI by census tract and classifying the vulnerability level.</t>
  </si>
  <si>
    <t>Green/Nature-Based Solution Ranking: Ranking by the percentage of project cost that qualifies as green/nature based as reported by RFPG.</t>
  </si>
  <si>
    <t>Multiple Benefit Ranking: Ranking a project based on the reporting of significant, measurable, expected benefits to: recreation, transportation, social and quality of life, local economic impacts, meeting sustainability goals, and/or project resilience goals.</t>
  </si>
  <si>
    <t>Operations and Maintenance Ranking: Project ranking by expected level of O&amp;M needs and annual costs provided.</t>
  </si>
  <si>
    <t>Administrative, Regulatory, and other implementation obstacles/difficulty ranking: Ranking based on anticipated project limitations and/or requirements in terms of administrative, regulatory, and other implementation obstacles.</t>
  </si>
  <si>
    <t>Environmental Benefit Ranking: Ranking of expected level of environmental benefits to be delivered by project to water quality, cultural heritage, habitat, air quality, natural resources, agricultural resources, and soils/erosion and sedimentation.</t>
  </si>
  <si>
    <t>Environmental Impact Ranking: Ranking of expected level of adverse environmental impacts due to project affecting water quality, cultural heritage, habitat, air quality, natural resource protection, agricultural resources, and erosion and sedimentation.</t>
  </si>
  <si>
    <t>Technical Complexity Ranking: Ranking of estimated project design, modeling, and construction requirements.</t>
  </si>
  <si>
    <t>Mobility Ranking: Ranking project improvement and protection of mobility during flood events, with particular emphasis on emergency service access and major access routes.</t>
  </si>
  <si>
    <t>2024 State Flood Plan Flood Management Evaluation (FME), Flood Mitigation Project (FMP) and Flood Management Strategy (FMS) Ranking Criteria</t>
  </si>
  <si>
    <t>Texas Water Code Sec. 16.061, “(b) The state flood plan must include: … (2) a statewide, ranked list of ongoing and proposed flood control and mitigation projects and strategies necessary to protect against the loss of life and property from flooding…”</t>
  </si>
  <si>
    <t xml:space="preserve">* All flood risk and risk reduction information are for 1% annual chance storm. </t>
  </si>
  <si>
    <t>REPORTED DATA FROM FME, FMP and FMS FEATURE CLASSES</t>
  </si>
  <si>
    <t>FMP PROJECT DETAILS SCORING (COMPUTED BY RFPG, SOME DUPLICATION MAY EXIST)</t>
  </si>
  <si>
    <t>Yes=100; No=0</t>
  </si>
  <si>
    <t>Structures 100 Weighted Score</t>
  </si>
  <si>
    <t>Emergency Need Weighted Score</t>
  </si>
  <si>
    <r>
      <t xml:space="preserve">Ranking Criteria
</t>
    </r>
    <r>
      <rPr>
        <i/>
        <sz val="11"/>
        <color theme="1"/>
        <rFont val="Calibri"/>
        <family val="2"/>
        <scheme val="minor"/>
      </rPr>
      <t>Full list available in Ranking_Criteria</t>
    </r>
  </si>
  <si>
    <r>
      <t xml:space="preserve">Max Raw Values for Score Normalization 
</t>
    </r>
    <r>
      <rPr>
        <i/>
        <sz val="11"/>
        <color theme="1"/>
        <rFont val="Calibri"/>
        <family val="2"/>
        <scheme val="minor"/>
      </rPr>
      <t>See Ranking_Criteria for max scores</t>
    </r>
  </si>
  <si>
    <r>
      <t xml:space="preserve">Weight Value
</t>
    </r>
    <r>
      <rPr>
        <i/>
        <sz val="11"/>
        <color theme="1"/>
        <rFont val="Calibri"/>
        <family val="2"/>
        <scheme val="minor"/>
      </rPr>
      <t>Adjusted weights feed from FME Weights on the Ranking_Criteria</t>
    </r>
  </si>
  <si>
    <t>Addition check</t>
  </si>
  <si>
    <t>Rank check</t>
  </si>
  <si>
    <t>Pop Weighted Score</t>
  </si>
  <si>
    <t>Res Structures Weighted Score</t>
  </si>
  <si>
    <t>Critical Facilities Weighted Score</t>
  </si>
  <si>
    <t>LWC Weighted Score</t>
  </si>
  <si>
    <t>Closures Weighted Score</t>
  </si>
  <si>
    <t>Emergency Need Score (Normalized, Unweighted)</t>
  </si>
  <si>
    <t>Structures 100  Score (Normalized, Unweighted)</t>
  </si>
  <si>
    <t>Res Structures Score (Normalized, Unweighted)</t>
  </si>
  <si>
    <t>Pop Score (Normalized, Unweighted)</t>
  </si>
  <si>
    <t>Critical Facilities Score (Normalized, Unweighted)</t>
  </si>
  <si>
    <t>LWC Score (Normalized, Unweighted)</t>
  </si>
  <si>
    <t>Closures Score (Normalized, Unweighted)</t>
  </si>
  <si>
    <t>Miles Score (Normalized, Unweighted)</t>
  </si>
  <si>
    <t>Miles Weighted Score</t>
  </si>
  <si>
    <t>Ag Land Score (Normalized, Unweighted)</t>
  </si>
  <si>
    <t>Ag Land Weighted Score</t>
  </si>
  <si>
    <t>Estimated Cost ($)</t>
  </si>
  <si>
    <t>Difference</t>
  </si>
  <si>
    <t xml:space="preserve"> Estimated number of structures at 100-year risk </t>
  </si>
  <si>
    <r>
      <t xml:space="preserve">Ranking Factor?
</t>
    </r>
    <r>
      <rPr>
        <i/>
        <sz val="11"/>
        <color theme="1"/>
        <rFont val="Calibri"/>
        <family val="2"/>
        <scheme val="minor"/>
      </rPr>
      <t>Adjusted "Yes/No" feeds from Ranking_Criteria</t>
    </r>
  </si>
  <si>
    <t>FME_Ranking</t>
  </si>
  <si>
    <t>Ranking_Criteria</t>
  </si>
  <si>
    <t>This is the raw input data obtained from the GIS database which feeds into  FME_Ranking. This tab has been hidden.</t>
  </si>
  <si>
    <t xml:space="preserve">Ranking Criteria and Weights across FME, FMP, and FMS. Only the values in the "FME Ranking Percent Weight" column are adjustable and feed into the FME_Ranking sheet. See the separate FMP and FMS ranking workbooks to test different weights for their respective criteria. For more information on proposed criteria, please see the separate "Primer" document available for download on the TWDB website: https://wwwdev.twdb.texas.gov/flood/planning/sfp/index.asp </t>
  </si>
  <si>
    <t>Total (must sum to 100.0%)</t>
  </si>
  <si>
    <r>
      <rPr>
        <b/>
        <sz val="11"/>
        <color rgb="FFFF0000"/>
        <rFont val="Calibri"/>
        <family val="2"/>
        <scheme val="minor"/>
      </rPr>
      <t>Important Note:</t>
    </r>
    <r>
      <rPr>
        <sz val="11"/>
        <color rgb="FFFF0000"/>
        <rFont val="Calibri"/>
        <family val="2"/>
        <scheme val="minor"/>
      </rPr>
      <t xml:space="preserve"> The information in this workbook is represetative of the data provided by the 15 Regional Flood Planning Groups in their final regional flood plans due to the TWDB January 10, 2023. Final regional flood plans are currently under review by the TWDB.  Note that the data is currently in review, may change prior to TWDB Board approval of the regional flood plans, and is therefore considered at this point only as working data intended for testing purposes only.</t>
    </r>
  </si>
  <si>
    <t>Life, Safety and Structures</t>
  </si>
  <si>
    <t>REEM: Please hide these colums when done reviewing</t>
  </si>
  <si>
    <t>Reads raw data from FMP_InputData and computes scoring and ranking based inputs from Ranking_Criteria. Contents of this tab are locked.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</si>
</sst>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44" formatCode="_(&quot;$&quot;* #,##0.00_);_(&quot;$&quot;* \(#,##0.00\);_(&quot;$&quot;* &quot;-&quot;??_);_(@_)"/>
    <numFmt numFmtId="164" formatCode="#,##0.0"/>
    <numFmt numFmtId="165" formatCode="0.000"/>
    <numFmt numFmtId="166" formatCode="0.0000"/>
    <numFmt numFmtId="167" formatCode="0.00000"/>
    <numFmt numFmtId="168" formatCode="0.000000"/>
    <numFmt numFmtId="169" formatCode="0.0"/>
    <numFmt numFmtId="170" formatCode="yyyy\-mm\-dd\ h:mm:ss"/>
    <numFmt numFmtId="171" formatCode="0.0%"/>
    <numFmt numFmtId="172" formatCode="#,##0.000"/>
    <numFmt numFmtId="173" formatCode="&quot;$&quot;#,##0.00"/>
  </numFmts>
  <fonts count="28" x14ac:knownFonts="1">
    <font>
      <sz val="11"/>
      <color theme="1"/>
      <name val="Calibri"/>
      <family val="2"/>
      <scheme val="minor"/>
    </font>
    <font>
      <b/>
      <sz val="11"/>
      <color theme="1"/>
      <name val="Calibri"/>
      <family val="2"/>
      <scheme val="minor"/>
    </font>
    <font>
      <sz val="10"/>
      <color theme="1"/>
      <name val="Calibri"/>
      <family val="2"/>
      <scheme val="minor"/>
    </font>
    <font>
      <sz val="10"/>
      <color theme="1"/>
      <name val="Calibri"/>
      <family val="2"/>
    </font>
    <font>
      <sz val="8"/>
      <color theme="1"/>
      <name val="Calibri"/>
      <family val="2"/>
      <scheme val="minor"/>
    </font>
    <font>
      <sz val="11"/>
      <color theme="1"/>
      <name val="Calibri"/>
      <family val="2"/>
      <scheme val="minor"/>
    </font>
    <font>
      <sz val="8"/>
      <name val="Calibri"/>
      <family val="2"/>
      <scheme val="minor"/>
    </font>
    <font>
      <sz val="11"/>
      <color rgb="FF006100"/>
      <name val="Calibri"/>
      <family val="2"/>
      <scheme val="minor"/>
    </font>
    <font>
      <sz val="11"/>
      <color rgb="FF9C5700"/>
      <name val="Calibri"/>
      <family val="2"/>
      <scheme val="minor"/>
    </font>
    <font>
      <b/>
      <i/>
      <sz val="14"/>
      <color rgb="FFFF0000"/>
      <name val="Calibri"/>
      <family val="2"/>
      <scheme val="minor"/>
    </font>
    <font>
      <u/>
      <sz val="11"/>
      <color theme="10"/>
      <name val="Calibri"/>
      <family val="2"/>
      <scheme val="minor"/>
    </font>
    <font>
      <sz val="11"/>
      <color rgb="FF3F3F76"/>
      <name val="Calibri"/>
      <family val="2"/>
      <scheme val="minor"/>
    </font>
    <font>
      <b/>
      <sz val="11"/>
      <color rgb="FF006100"/>
      <name val="Calibri"/>
      <family val="2"/>
      <scheme val="minor"/>
    </font>
    <font>
      <b/>
      <sz val="10"/>
      <name val="Arial"/>
      <family val="2"/>
    </font>
    <font>
      <sz val="10"/>
      <name val="Arial"/>
      <family val="2"/>
    </font>
    <font>
      <sz val="11"/>
      <name val="Calibri"/>
      <family val="2"/>
      <scheme val="minor"/>
    </font>
    <font>
      <b/>
      <sz val="10"/>
      <name val="Calibri"/>
      <family val="2"/>
      <scheme val="minor"/>
    </font>
    <font>
      <b/>
      <sz val="11"/>
      <name val="Calibri"/>
      <family val="2"/>
      <scheme val="minor"/>
    </font>
    <font>
      <b/>
      <sz val="11"/>
      <color rgb="FFFF0000"/>
      <name val="Calibri"/>
      <family val="2"/>
      <scheme val="minor"/>
    </font>
    <font>
      <u/>
      <sz val="11"/>
      <color theme="1"/>
      <name val="Calibri"/>
      <family val="2"/>
      <scheme val="minor"/>
    </font>
    <font>
      <sz val="11"/>
      <color rgb="FFFF0000"/>
      <name val="Calibri"/>
      <family val="2"/>
      <scheme val="minor"/>
    </font>
    <font>
      <sz val="11"/>
      <color theme="4" tint="-0.249977111117893"/>
      <name val="Calibri"/>
      <family val="2"/>
      <scheme val="minor"/>
    </font>
    <font>
      <i/>
      <sz val="11"/>
      <color theme="1"/>
      <name val="Calibri"/>
      <family val="2"/>
      <scheme val="minor"/>
    </font>
    <font>
      <b/>
      <sz val="14"/>
      <color theme="1"/>
      <name val="Calibri"/>
      <family val="2"/>
      <scheme val="minor"/>
    </font>
    <font>
      <b/>
      <sz val="12"/>
      <name val="Calibri"/>
      <family val="2"/>
    </font>
    <font>
      <b/>
      <u/>
      <sz val="11"/>
      <color rgb="FF0070C0"/>
      <name val="Calibri"/>
      <family val="2"/>
      <scheme val="minor"/>
    </font>
    <font>
      <b/>
      <sz val="12"/>
      <color theme="1"/>
      <name val="Calibri"/>
      <family val="2"/>
      <scheme val="minor"/>
    </font>
    <font>
      <sz val="11"/>
      <color rgb="FF9C0006"/>
      <name val="Calibri"/>
      <family val="2"/>
      <scheme val="minor"/>
    </font>
  </fonts>
  <fills count="20">
    <fill>
      <patternFill patternType="none"/>
    </fill>
    <fill>
      <patternFill patternType="gray125"/>
    </fill>
    <fill>
      <patternFill patternType="solid">
        <fgColor rgb="FFC6EFCE"/>
      </patternFill>
    </fill>
    <fill>
      <patternFill patternType="solid">
        <fgColor rgb="FFFFEB9C"/>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C99"/>
      </patternFill>
    </fill>
    <fill>
      <patternFill patternType="solid">
        <fgColor theme="0" tint="-0.14999847407452621"/>
        <bgColor theme="0" tint="-0.14999847407452621"/>
      </patternFill>
    </fill>
    <fill>
      <patternFill patternType="solid">
        <fgColor indexed="22"/>
      </patternFill>
    </fill>
    <fill>
      <patternFill patternType="solid">
        <fgColor rgb="FFC6EFCE"/>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5" tint="0.39997558519241921"/>
        <bgColor indexed="64"/>
      </patternFill>
    </fill>
    <fill>
      <patternFill patternType="solid">
        <fgColor rgb="FFE6E6E6"/>
        <bgColor rgb="FFE6E6E6"/>
      </patternFill>
    </fill>
    <fill>
      <patternFill patternType="solid">
        <fgColor theme="7" tint="0.79998168889431442"/>
        <bgColor indexed="64"/>
      </patternFill>
    </fill>
    <fill>
      <patternFill patternType="solid">
        <fgColor rgb="FFD9ACA7"/>
        <bgColor indexed="64"/>
      </patternFill>
    </fill>
    <fill>
      <patternFill patternType="solid">
        <fgColor rgb="FFFFC7CE"/>
      </patternFill>
    </fill>
    <fill>
      <patternFill patternType="solid">
        <fgColor theme="9" tint="0.79998168889431442"/>
        <bgColor indexed="64"/>
      </patternFill>
    </fill>
    <fill>
      <patternFill patternType="solid">
        <fgColor rgb="FF9AF1FA"/>
        <bgColor indexed="64"/>
      </patternFill>
    </fill>
  </fills>
  <borders count="89">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style="thin">
        <color theme="0" tint="-0.34998626667073579"/>
      </top>
      <bottom style="thin">
        <color theme="0" tint="-0.34998626667073579"/>
      </bottom>
      <diagonal/>
    </border>
    <border>
      <left style="medium">
        <color indexed="64"/>
      </left>
      <right/>
      <top style="medium">
        <color indexed="64"/>
      </top>
      <bottom style="thin">
        <color theme="0" tint="-0.34998626667073579"/>
      </bottom>
      <diagonal/>
    </border>
    <border>
      <left/>
      <right/>
      <top style="medium">
        <color indexed="64"/>
      </top>
      <bottom style="thin">
        <color theme="0" tint="-0.34998626667073579"/>
      </bottom>
      <diagonal/>
    </border>
    <border>
      <left/>
      <right style="medium">
        <color indexed="64"/>
      </right>
      <top style="medium">
        <color indexed="64"/>
      </top>
      <bottom style="thin">
        <color theme="0" tint="-0.34998626667073579"/>
      </bottom>
      <diagonal/>
    </border>
    <border>
      <left style="medium">
        <color indexed="64"/>
      </left>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thin">
        <color theme="0" tint="-0.249977111117893"/>
      </top>
      <bottom/>
      <diagonal/>
    </border>
    <border>
      <left style="thin">
        <color rgb="FF7F7F7F"/>
      </left>
      <right style="thin">
        <color rgb="FF7F7F7F"/>
      </right>
      <top style="thin">
        <color rgb="FF7F7F7F"/>
      </top>
      <bottom style="thin">
        <color rgb="FF7F7F7F"/>
      </bottom>
      <diagonal/>
    </border>
    <border>
      <left style="medium">
        <color indexed="64"/>
      </left>
      <right/>
      <top style="thin">
        <color indexed="64"/>
      </top>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medium">
        <color indexed="64"/>
      </top>
      <bottom style="medium">
        <color indexed="64"/>
      </bottom>
      <diagonal/>
    </border>
    <border>
      <left style="medium">
        <color indexed="64"/>
      </left>
      <right style="medium">
        <color indexed="64"/>
      </right>
      <top style="medium">
        <color indexed="64"/>
      </top>
      <bottom/>
      <diagonal/>
    </border>
    <border>
      <left style="thin">
        <color auto="1"/>
      </left>
      <right/>
      <top style="medium">
        <color indexed="64"/>
      </top>
      <bottom style="thin">
        <color auto="1"/>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auto="1"/>
      </right>
      <top/>
      <bottom style="medium">
        <color indexed="64"/>
      </bottom>
      <diagonal/>
    </border>
    <border>
      <left/>
      <right style="medium">
        <color indexed="64"/>
      </right>
      <top/>
      <bottom/>
      <diagonal/>
    </border>
    <border>
      <left style="medium">
        <color indexed="64"/>
      </left>
      <right/>
      <top/>
      <bottom style="thin">
        <color theme="0" tint="-0.34998626667073579"/>
      </bottom>
      <diagonal/>
    </border>
    <border>
      <left style="thin">
        <color indexed="64"/>
      </left>
      <right style="medium">
        <color indexed="64"/>
      </right>
      <top/>
      <bottom/>
      <diagonal/>
    </border>
    <border>
      <left style="medium">
        <color indexed="64"/>
      </left>
      <right style="thin">
        <color indexed="64"/>
      </right>
      <top style="medium">
        <color indexed="64"/>
      </top>
      <bottom style="thin">
        <color theme="0" tint="-0.34998626667073579"/>
      </bottom>
      <diagonal/>
    </border>
    <border>
      <left style="thin">
        <color indexed="64"/>
      </left>
      <right style="thin">
        <color indexed="64"/>
      </right>
      <top/>
      <bottom style="thin">
        <color theme="0" tint="-0.34998626667073579"/>
      </bottom>
      <diagonal/>
    </border>
    <border>
      <left/>
      <right style="thin">
        <color indexed="64"/>
      </right>
      <top/>
      <bottom style="thin">
        <color theme="0" tint="-0.34998626667073579"/>
      </bottom>
      <diagonal/>
    </border>
    <border>
      <left style="medium">
        <color indexed="64"/>
      </left>
      <right style="thin">
        <color indexed="64"/>
      </right>
      <top/>
      <bottom style="thin">
        <color theme="0" tint="-0.34998626667073579"/>
      </bottom>
      <diagonal/>
    </border>
    <border>
      <left style="thin">
        <color rgb="FF7F7F7F"/>
      </left>
      <right style="medium">
        <color indexed="64"/>
      </right>
      <top style="thin">
        <color rgb="FF7F7F7F"/>
      </top>
      <bottom style="thin">
        <color theme="0" tint="-0.34998626667073579"/>
      </bottom>
      <diagonal/>
    </border>
    <border>
      <left style="thin">
        <color indexed="64"/>
      </left>
      <right/>
      <top/>
      <bottom style="thin">
        <color theme="0" tint="-0.34998626667073579"/>
      </bottom>
      <diagonal/>
    </border>
    <border>
      <left style="thin">
        <color rgb="FF7F7F7F"/>
      </left>
      <right/>
      <top style="thin">
        <color rgb="FF7F7F7F"/>
      </top>
      <bottom style="thin">
        <color theme="0" tint="-0.34998626667073579"/>
      </bottom>
      <diagonal/>
    </border>
    <border>
      <left style="thin">
        <color rgb="FF7F7F7F"/>
      </left>
      <right style="thin">
        <color rgb="FF7F7F7F"/>
      </right>
      <top style="thin">
        <color rgb="FF7F7F7F"/>
      </top>
      <bottom style="thin">
        <color theme="0" tint="-0.34998626667073579"/>
      </bottom>
      <diagonal/>
    </border>
    <border>
      <left style="thin">
        <color indexed="64"/>
      </left>
      <right style="thin">
        <color rgb="FF7F7F7F"/>
      </right>
      <top/>
      <bottom style="thin">
        <color theme="0" tint="-0.34998626667073579"/>
      </bottom>
      <diagonal/>
    </border>
    <border>
      <left style="thin">
        <color indexed="64"/>
      </left>
      <right/>
      <top style="medium">
        <color indexed="64"/>
      </top>
      <bottom style="thin">
        <color theme="0" tint="-0.34998626667073579"/>
      </bottom>
      <diagonal/>
    </border>
    <border>
      <left style="thin">
        <color indexed="64"/>
      </left>
      <right style="medium">
        <color indexed="64"/>
      </right>
      <top/>
      <bottom style="thin">
        <color indexed="64"/>
      </bottom>
      <diagonal/>
    </border>
    <border>
      <left style="thin">
        <color indexed="64"/>
      </left>
      <right style="medium">
        <color indexed="64"/>
      </right>
      <top/>
      <bottom style="thin">
        <color theme="0" tint="-0.34998626667073579"/>
      </bottom>
      <diagonal/>
    </border>
    <border>
      <left/>
      <right style="medium">
        <color indexed="64"/>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auto="1"/>
      </left>
      <right style="medium">
        <color indexed="64"/>
      </right>
      <top style="medium">
        <color indexed="64"/>
      </top>
      <bottom style="thin">
        <color theme="0" tint="-0.34998626667073579"/>
      </bottom>
      <diagonal/>
    </border>
    <border>
      <left style="medium">
        <color indexed="64"/>
      </left>
      <right/>
      <top/>
      <bottom style="medium">
        <color indexed="64"/>
      </bottom>
      <diagonal/>
    </border>
    <border>
      <left style="thin">
        <color theme="0" tint="-0.34998626667073579"/>
      </left>
      <right/>
      <top/>
      <bottom/>
      <diagonal/>
    </border>
    <border>
      <left/>
      <right/>
      <top/>
      <bottom style="medium">
        <color rgb="FF000000"/>
      </bottom>
      <diagonal/>
    </border>
    <border>
      <left/>
      <right style="medium">
        <color indexed="64"/>
      </right>
      <top style="thin">
        <color theme="0" tint="-0.34998626667073579"/>
      </top>
      <bottom/>
      <diagonal/>
    </border>
    <border>
      <left style="medium">
        <color indexed="64"/>
      </left>
      <right/>
      <top style="thin">
        <color theme="0" tint="-0.34998626667073579"/>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indexed="64"/>
      </top>
      <bottom/>
      <diagonal/>
    </border>
    <border>
      <left/>
      <right/>
      <top/>
      <bottom style="medium">
        <color indexed="64"/>
      </bottom>
      <diagonal/>
    </border>
    <border>
      <left/>
      <right/>
      <top/>
      <bottom style="thin">
        <color theme="0" tint="-0.34998626667073579"/>
      </bottom>
      <diagonal/>
    </border>
    <border>
      <left/>
      <right/>
      <top style="thin">
        <color theme="0" tint="-0.34998626667073579"/>
      </top>
      <bottom/>
      <diagonal/>
    </border>
    <border>
      <left style="medium">
        <color indexed="64"/>
      </left>
      <right/>
      <top style="thin">
        <color theme="0" tint="-0.34998626667073579"/>
      </top>
      <bottom style="medium">
        <color indexed="64"/>
      </bottom>
      <diagonal/>
    </border>
    <border>
      <left/>
      <right/>
      <top style="thin">
        <color theme="0" tint="-0.34998626667073579"/>
      </top>
      <bottom style="medium">
        <color indexed="64"/>
      </bottom>
      <diagonal/>
    </border>
    <border>
      <left/>
      <right style="medium">
        <color indexed="64"/>
      </right>
      <top style="thin">
        <color theme="0" tint="-0.34998626667073579"/>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rgb="FF7F7F7F"/>
      </left>
      <right style="thin">
        <color rgb="FF7F7F7F"/>
      </right>
      <top style="thin">
        <color rgb="FF7F7F7F"/>
      </top>
      <bottom/>
      <diagonal/>
    </border>
  </borders>
  <cellStyleXfs count="9">
    <xf numFmtId="0" fontId="0" fillId="0" borderId="0"/>
    <xf numFmtId="9" fontId="5" fillId="0" borderId="0" applyFon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10" fillId="0" borderId="0" applyNumberFormat="0" applyFill="0" applyBorder="0" applyAlignment="0" applyProtection="0"/>
    <xf numFmtId="0" fontId="11" fillId="7" borderId="24" applyNumberFormat="0" applyAlignment="0" applyProtection="0"/>
    <xf numFmtId="0" fontId="24" fillId="14" borderId="71">
      <alignment horizontal="left"/>
    </xf>
    <xf numFmtId="44" fontId="5" fillId="0" borderId="0" applyFont="0" applyFill="0" applyBorder="0" applyAlignment="0" applyProtection="0"/>
    <xf numFmtId="0" fontId="27" fillId="17" borderId="0" applyNumberFormat="0" applyBorder="0" applyAlignment="0" applyProtection="0"/>
  </cellStyleXfs>
  <cellXfs count="415">
    <xf numFmtId="0" fontId="0" fillId="0" borderId="0" xfId="0"/>
    <xf numFmtId="0" fontId="0" fillId="0" borderId="0" xfId="0" applyAlignment="1">
      <alignment vertical="top" wrapText="1"/>
    </xf>
    <xf numFmtId="0" fontId="0" fillId="0" borderId="2" xfId="0" applyBorder="1" applyAlignment="1">
      <alignment vertical="top" wrapText="1"/>
    </xf>
    <xf numFmtId="0" fontId="4" fillId="0" borderId="0" xfId="0" applyFont="1" applyAlignment="1">
      <alignment vertical="center"/>
    </xf>
    <xf numFmtId="0" fontId="0" fillId="0" borderId="2" xfId="0" applyBorder="1" applyAlignment="1">
      <alignment vertical="center"/>
    </xf>
    <xf numFmtId="0" fontId="0" fillId="0" borderId="1" xfId="0" applyBorder="1" applyAlignment="1">
      <alignment vertical="top" wrapText="1"/>
    </xf>
    <xf numFmtId="0" fontId="0" fillId="0" borderId="1" xfId="0" applyBorder="1" applyAlignment="1">
      <alignment vertical="center"/>
    </xf>
    <xf numFmtId="0" fontId="0" fillId="0" borderId="1" xfId="0" applyBorder="1" applyAlignment="1">
      <alignment vertical="center" wrapText="1"/>
    </xf>
    <xf numFmtId="0" fontId="1" fillId="0" borderId="0" xfId="0" applyFont="1"/>
    <xf numFmtId="0" fontId="0" fillId="4" borderId="0" xfId="0" applyFill="1"/>
    <xf numFmtId="0" fontId="9" fillId="0" borderId="0" xfId="0" applyFont="1"/>
    <xf numFmtId="0" fontId="1" fillId="0" borderId="19" xfId="0" applyFont="1" applyBorder="1" applyAlignment="1">
      <alignment horizontal="center" vertical="center" wrapText="1"/>
    </xf>
    <xf numFmtId="0" fontId="1" fillId="0" borderId="20" xfId="0" applyFont="1" applyBorder="1" applyAlignment="1">
      <alignment horizontal="center" vertical="center" wrapText="1"/>
    </xf>
    <xf numFmtId="0" fontId="10" fillId="0" borderId="21" xfId="4" applyFill="1" applyBorder="1" applyAlignment="1">
      <alignment horizontal="center" vertical="center" wrapText="1"/>
    </xf>
    <xf numFmtId="0" fontId="13" fillId="9" borderId="0" xfId="0" applyFont="1" applyFill="1" applyAlignment="1">
      <alignment horizontal="center"/>
    </xf>
    <xf numFmtId="0" fontId="14" fillId="0" borderId="0" xfId="0" applyFont="1"/>
    <xf numFmtId="0" fontId="2" fillId="8" borderId="27" xfId="0" applyFont="1" applyFill="1" applyBorder="1" applyAlignment="1">
      <alignment horizontal="left" vertical="center" wrapText="1"/>
    </xf>
    <xf numFmtId="0" fontId="2" fillId="0" borderId="27" xfId="0" applyFont="1" applyBorder="1" applyAlignment="1">
      <alignment horizontal="left" vertical="center" wrapText="1"/>
    </xf>
    <xf numFmtId="0" fontId="15" fillId="4" borderId="0" xfId="0" applyFont="1" applyFill="1" applyAlignment="1">
      <alignment vertical="center"/>
    </xf>
    <xf numFmtId="164" fontId="1" fillId="0" borderId="0" xfId="0" applyNumberFormat="1" applyFont="1"/>
    <xf numFmtId="164" fontId="1" fillId="5" borderId="19" xfId="0" applyNumberFormat="1" applyFont="1" applyFill="1" applyBorder="1"/>
    <xf numFmtId="164" fontId="1" fillId="5" borderId="20" xfId="0" applyNumberFormat="1" applyFont="1" applyFill="1" applyBorder="1"/>
    <xf numFmtId="164" fontId="1" fillId="5" borderId="21" xfId="0" applyNumberFormat="1" applyFont="1" applyFill="1" applyBorder="1"/>
    <xf numFmtId="0" fontId="0" fillId="0" borderId="1" xfId="0" applyBorder="1"/>
    <xf numFmtId="0" fontId="0" fillId="4" borderId="1" xfId="0" applyFill="1" applyBorder="1" applyAlignment="1">
      <alignment wrapText="1"/>
    </xf>
    <xf numFmtId="0" fontId="0" fillId="4" borderId="1" xfId="0" applyFill="1" applyBorder="1"/>
    <xf numFmtId="0" fontId="0" fillId="0" borderId="0" xfId="0" applyAlignment="1">
      <alignment horizontal="center" vertical="top" wrapText="1"/>
    </xf>
    <xf numFmtId="0" fontId="12" fillId="10" borderId="0" xfId="2" applyFont="1" applyFill="1" applyAlignment="1">
      <alignment horizontal="center" vertical="center" wrapText="1"/>
    </xf>
    <xf numFmtId="168" fontId="3" fillId="0" borderId="26" xfId="1" applyNumberFormat="1" applyFont="1" applyBorder="1" applyAlignment="1">
      <alignment horizontal="right" vertical="center" wrapText="1"/>
    </xf>
    <xf numFmtId="168" fontId="3" fillId="8" borderId="26" xfId="1" applyNumberFormat="1" applyFont="1" applyFill="1" applyBorder="1" applyAlignment="1">
      <alignment horizontal="right" vertical="center" wrapText="1"/>
    </xf>
    <xf numFmtId="1" fontId="3" fillId="8" borderId="33" xfId="0" applyNumberFormat="1" applyFont="1" applyFill="1" applyBorder="1" applyAlignment="1">
      <alignment horizontal="right" vertical="center" wrapText="1"/>
    </xf>
    <xf numFmtId="0" fontId="3" fillId="8" borderId="0" xfId="0" applyFont="1" applyFill="1" applyAlignment="1">
      <alignment horizontal="right" vertical="center" wrapText="1"/>
    </xf>
    <xf numFmtId="2" fontId="3" fillId="8" borderId="0" xfId="0" applyNumberFormat="1" applyFont="1" applyFill="1" applyAlignment="1">
      <alignment horizontal="right" vertical="center" wrapText="1"/>
    </xf>
    <xf numFmtId="0" fontId="3" fillId="0" borderId="10" xfId="0" applyFont="1" applyBorder="1" applyAlignment="1">
      <alignment horizontal="right" vertical="center" wrapText="1"/>
    </xf>
    <xf numFmtId="0" fontId="3" fillId="0" borderId="27" xfId="0" applyFont="1" applyBorder="1" applyAlignment="1">
      <alignment horizontal="right" vertical="center" wrapText="1"/>
    </xf>
    <xf numFmtId="0" fontId="3" fillId="0" borderId="26" xfId="0" applyFont="1" applyBorder="1" applyAlignment="1">
      <alignment horizontal="right" vertical="center" wrapText="1"/>
    </xf>
    <xf numFmtId="167" fontId="3" fillId="0" borderId="11" xfId="0" applyNumberFormat="1" applyFont="1" applyBorder="1" applyAlignment="1">
      <alignment horizontal="right" vertical="center" wrapText="1"/>
    </xf>
    <xf numFmtId="0" fontId="3" fillId="0" borderId="25" xfId="0" applyFont="1" applyBorder="1" applyAlignment="1">
      <alignment horizontal="right" vertical="center" wrapText="1"/>
    </xf>
    <xf numFmtId="165" fontId="3" fillId="0" borderId="26" xfId="0" applyNumberFormat="1" applyFont="1" applyBorder="1" applyAlignment="1">
      <alignment horizontal="right" vertical="center" wrapText="1"/>
    </xf>
    <xf numFmtId="168" fontId="3" fillId="0" borderId="30" xfId="1" applyNumberFormat="1" applyFont="1" applyBorder="1" applyAlignment="1">
      <alignment horizontal="right" vertical="center" wrapText="1"/>
    </xf>
    <xf numFmtId="2" fontId="3" fillId="0" borderId="25" xfId="0" applyNumberFormat="1" applyFont="1" applyBorder="1" applyAlignment="1">
      <alignment horizontal="right" vertical="center" wrapText="1"/>
    </xf>
    <xf numFmtId="166" fontId="3" fillId="0" borderId="26" xfId="0" applyNumberFormat="1" applyFont="1" applyBorder="1" applyAlignment="1">
      <alignment horizontal="right" vertical="center" wrapText="1"/>
    </xf>
    <xf numFmtId="167" fontId="3" fillId="0" borderId="26" xfId="0" applyNumberFormat="1" applyFont="1" applyBorder="1" applyAlignment="1">
      <alignment horizontal="right" vertical="center" wrapText="1"/>
    </xf>
    <xf numFmtId="2" fontId="3" fillId="0" borderId="26" xfId="0" applyNumberFormat="1" applyFont="1" applyBorder="1" applyAlignment="1">
      <alignment horizontal="right" vertical="center" wrapText="1"/>
    </xf>
    <xf numFmtId="166" fontId="3" fillId="0" borderId="30" xfId="0" applyNumberFormat="1" applyFont="1" applyBorder="1" applyAlignment="1">
      <alignment horizontal="right" vertical="center" wrapText="1"/>
    </xf>
    <xf numFmtId="1" fontId="3" fillId="0" borderId="30" xfId="0" applyNumberFormat="1" applyFont="1" applyBorder="1" applyAlignment="1">
      <alignment horizontal="right" vertical="center" wrapText="1"/>
    </xf>
    <xf numFmtId="0" fontId="3" fillId="8" borderId="10" xfId="0" applyFont="1" applyFill="1" applyBorder="1" applyAlignment="1">
      <alignment horizontal="right" vertical="center" wrapText="1"/>
    </xf>
    <xf numFmtId="0" fontId="3" fillId="8" borderId="27" xfId="0" applyFont="1" applyFill="1" applyBorder="1" applyAlignment="1">
      <alignment horizontal="right" vertical="center" wrapText="1"/>
    </xf>
    <xf numFmtId="0" fontId="3" fillId="8" borderId="26" xfId="0" applyFont="1" applyFill="1" applyBorder="1" applyAlignment="1">
      <alignment horizontal="right" vertical="center" wrapText="1"/>
    </xf>
    <xf numFmtId="167" fontId="3" fillId="8" borderId="11" xfId="0" applyNumberFormat="1" applyFont="1" applyFill="1" applyBorder="1" applyAlignment="1">
      <alignment horizontal="right" vertical="center" wrapText="1"/>
    </xf>
    <xf numFmtId="0" fontId="3" fillId="8" borderId="25" xfId="0" applyFont="1" applyFill="1" applyBorder="1" applyAlignment="1">
      <alignment horizontal="right" vertical="center" wrapText="1"/>
    </xf>
    <xf numFmtId="165" fontId="3" fillId="8" borderId="26" xfId="0" applyNumberFormat="1" applyFont="1" applyFill="1" applyBorder="1" applyAlignment="1">
      <alignment horizontal="right" vertical="center" wrapText="1"/>
    </xf>
    <xf numFmtId="168" fontId="3" fillId="8" borderId="30" xfId="1" applyNumberFormat="1" applyFont="1" applyFill="1" applyBorder="1" applyAlignment="1">
      <alignment horizontal="right" vertical="center" wrapText="1"/>
    </xf>
    <xf numFmtId="2" fontId="3" fillId="8" borderId="25" xfId="0" applyNumberFormat="1" applyFont="1" applyFill="1" applyBorder="1" applyAlignment="1">
      <alignment horizontal="right" vertical="center" wrapText="1"/>
    </xf>
    <xf numFmtId="2" fontId="3" fillId="8" borderId="26" xfId="0" applyNumberFormat="1" applyFont="1" applyFill="1" applyBorder="1" applyAlignment="1">
      <alignment horizontal="right" vertical="center" wrapText="1"/>
    </xf>
    <xf numFmtId="167" fontId="3" fillId="8" borderId="26" xfId="0" applyNumberFormat="1" applyFont="1" applyFill="1" applyBorder="1" applyAlignment="1">
      <alignment horizontal="right" vertical="center" wrapText="1"/>
    </xf>
    <xf numFmtId="166" fontId="3" fillId="8" borderId="26" xfId="0" applyNumberFormat="1" applyFont="1" applyFill="1" applyBorder="1" applyAlignment="1">
      <alignment horizontal="right" vertical="center" wrapText="1"/>
    </xf>
    <xf numFmtId="166" fontId="3" fillId="8" borderId="30" xfId="0" applyNumberFormat="1" applyFont="1" applyFill="1" applyBorder="1" applyAlignment="1">
      <alignment horizontal="right" vertical="center" wrapText="1"/>
    </xf>
    <xf numFmtId="1" fontId="3" fillId="8" borderId="30" xfId="0" applyNumberFormat="1" applyFont="1" applyFill="1" applyBorder="1" applyAlignment="1">
      <alignment horizontal="right" vertical="center" wrapText="1"/>
    </xf>
    <xf numFmtId="169" fontId="3" fillId="8" borderId="33" xfId="0" applyNumberFormat="1" applyFont="1" applyFill="1" applyBorder="1" applyAlignment="1">
      <alignment horizontal="right" vertical="center" wrapText="1"/>
    </xf>
    <xf numFmtId="169" fontId="3" fillId="0" borderId="30" xfId="0" applyNumberFormat="1" applyFont="1" applyBorder="1" applyAlignment="1">
      <alignment horizontal="right" vertical="center" wrapText="1"/>
    </xf>
    <xf numFmtId="169" fontId="3" fillId="8" borderId="30" xfId="0" applyNumberFormat="1" applyFont="1" applyFill="1" applyBorder="1" applyAlignment="1">
      <alignment horizontal="right" vertical="center" wrapText="1"/>
    </xf>
    <xf numFmtId="165" fontId="3" fillId="8" borderId="1" xfId="1" applyNumberFormat="1" applyFont="1" applyFill="1" applyBorder="1" applyAlignment="1">
      <alignment horizontal="right" vertical="center" wrapText="1"/>
    </xf>
    <xf numFmtId="165" fontId="3" fillId="0" borderId="1" xfId="1" applyNumberFormat="1" applyFont="1" applyBorder="1" applyAlignment="1">
      <alignment horizontal="right" vertical="center" wrapText="1"/>
    </xf>
    <xf numFmtId="169" fontId="3" fillId="0" borderId="26" xfId="1" applyNumberFormat="1" applyFont="1" applyBorder="1" applyAlignment="1">
      <alignment horizontal="right" vertical="center" wrapText="1"/>
    </xf>
    <xf numFmtId="169" fontId="3" fillId="8" borderId="26" xfId="1" applyNumberFormat="1" applyFont="1" applyFill="1" applyBorder="1" applyAlignment="1">
      <alignment horizontal="right" vertical="center" wrapText="1"/>
    </xf>
    <xf numFmtId="0" fontId="2" fillId="8" borderId="0" xfId="0" applyFont="1" applyFill="1" applyAlignment="1">
      <alignment horizontal="left" vertical="center" wrapText="1"/>
    </xf>
    <xf numFmtId="0" fontId="0" fillId="0" borderId="0" xfId="0" applyAlignment="1">
      <alignment textRotation="90"/>
    </xf>
    <xf numFmtId="0" fontId="20" fillId="4" borderId="0" xfId="0" applyFont="1" applyFill="1"/>
    <xf numFmtId="0" fontId="20" fillId="4" borderId="0" xfId="0" quotePrefix="1" applyFont="1" applyFill="1"/>
    <xf numFmtId="0" fontId="0" fillId="0" borderId="28" xfId="0" applyBorder="1"/>
    <xf numFmtId="0" fontId="0" fillId="0" borderId="29" xfId="0" applyBorder="1"/>
    <xf numFmtId="0" fontId="0" fillId="4" borderId="29" xfId="0" applyFill="1" applyBorder="1"/>
    <xf numFmtId="0" fontId="0" fillId="0" borderId="46" xfId="0" applyBorder="1" applyAlignment="1">
      <alignment horizontal="center"/>
    </xf>
    <xf numFmtId="0" fontId="0" fillId="0" borderId="10" xfId="0" applyBorder="1"/>
    <xf numFmtId="0" fontId="0" fillId="0" borderId="11" xfId="0" applyBorder="1" applyAlignment="1">
      <alignment horizontal="center"/>
    </xf>
    <xf numFmtId="0" fontId="0" fillId="0" borderId="1" xfId="0" applyBorder="1" applyAlignment="1">
      <alignment wrapText="1"/>
    </xf>
    <xf numFmtId="0" fontId="0" fillId="12" borderId="1" xfId="0" applyFill="1" applyBorder="1" applyAlignment="1">
      <alignment horizontal="center"/>
    </xf>
    <xf numFmtId="0" fontId="0" fillId="0" borderId="12" xfId="0" applyBorder="1"/>
    <xf numFmtId="0" fontId="0" fillId="4" borderId="13" xfId="0" applyFill="1" applyBorder="1"/>
    <xf numFmtId="0" fontId="0" fillId="0" borderId="20" xfId="0" applyBorder="1"/>
    <xf numFmtId="0" fontId="0" fillId="12" borderId="29" xfId="0" applyFill="1" applyBorder="1"/>
    <xf numFmtId="0" fontId="0" fillId="12" borderId="46" xfId="0" applyFill="1" applyBorder="1"/>
    <xf numFmtId="0" fontId="0" fillId="0" borderId="0" xfId="0" applyAlignment="1">
      <alignment horizontal="center"/>
    </xf>
    <xf numFmtId="0" fontId="0" fillId="12" borderId="1" xfId="0" applyFill="1" applyBorder="1"/>
    <xf numFmtId="0" fontId="0" fillId="12" borderId="11" xfId="0" applyFill="1" applyBorder="1"/>
    <xf numFmtId="0" fontId="0" fillId="12" borderId="13" xfId="0" applyFill="1" applyBorder="1" applyAlignment="1">
      <alignment horizontal="center"/>
    </xf>
    <xf numFmtId="9" fontId="0" fillId="12" borderId="13" xfId="0" applyNumberFormat="1" applyFill="1" applyBorder="1"/>
    <xf numFmtId="0" fontId="0" fillId="12" borderId="14" xfId="0" applyFill="1" applyBorder="1"/>
    <xf numFmtId="0" fontId="0" fillId="0" borderId="40" xfId="0" applyBorder="1"/>
    <xf numFmtId="0" fontId="0" fillId="0" borderId="41" xfId="0" applyBorder="1"/>
    <xf numFmtId="0" fontId="1" fillId="6" borderId="23" xfId="0" applyFont="1" applyFill="1" applyBorder="1" applyAlignment="1">
      <alignment horizontal="right" vertical="center" wrapText="1"/>
    </xf>
    <xf numFmtId="0" fontId="1" fillId="6" borderId="22" xfId="0" applyFont="1" applyFill="1" applyBorder="1" applyAlignment="1">
      <alignment horizontal="right" wrapText="1"/>
    </xf>
    <xf numFmtId="9" fontId="1" fillId="5" borderId="31" xfId="1" applyFont="1" applyFill="1" applyBorder="1"/>
    <xf numFmtId="0" fontId="3" fillId="8" borderId="39" xfId="0" applyFont="1" applyFill="1" applyBorder="1" applyAlignment="1">
      <alignment horizontal="right" vertical="center" wrapText="1"/>
    </xf>
    <xf numFmtId="0" fontId="3" fillId="8" borderId="9" xfId="0" applyFont="1" applyFill="1" applyBorder="1" applyAlignment="1">
      <alignment horizontal="right" vertical="center" wrapText="1"/>
    </xf>
    <xf numFmtId="0" fontId="3" fillId="8" borderId="15" xfId="0" applyFont="1" applyFill="1" applyBorder="1" applyAlignment="1">
      <alignment horizontal="right" vertical="center" wrapText="1"/>
    </xf>
    <xf numFmtId="169" fontId="3" fillId="8" borderId="9" xfId="1" applyNumberFormat="1" applyFont="1" applyFill="1" applyBorder="1" applyAlignment="1">
      <alignment horizontal="right" vertical="center" wrapText="1"/>
    </xf>
    <xf numFmtId="165" fontId="3" fillId="8" borderId="34" xfId="1" applyNumberFormat="1" applyFont="1" applyFill="1" applyBorder="1" applyAlignment="1">
      <alignment horizontal="right" vertical="center" wrapText="1"/>
    </xf>
    <xf numFmtId="167" fontId="3" fillId="8" borderId="51" xfId="0" applyNumberFormat="1" applyFont="1" applyFill="1" applyBorder="1" applyAlignment="1">
      <alignment horizontal="right" vertical="center" wrapText="1"/>
    </xf>
    <xf numFmtId="165" fontId="3" fillId="8" borderId="9" xfId="0" applyNumberFormat="1" applyFont="1" applyFill="1" applyBorder="1" applyAlignment="1">
      <alignment horizontal="right" vertical="center" wrapText="1"/>
    </xf>
    <xf numFmtId="168" fontId="3" fillId="8" borderId="9" xfId="1" applyNumberFormat="1" applyFont="1" applyFill="1" applyBorder="1" applyAlignment="1">
      <alignment horizontal="right" vertical="center" wrapText="1"/>
    </xf>
    <xf numFmtId="168" fontId="3" fillId="8" borderId="51" xfId="1" applyNumberFormat="1" applyFont="1" applyFill="1" applyBorder="1" applyAlignment="1">
      <alignment horizontal="right" vertical="center" wrapText="1"/>
    </xf>
    <xf numFmtId="2" fontId="3" fillId="8" borderId="15" xfId="0" applyNumberFormat="1" applyFont="1" applyFill="1" applyBorder="1" applyAlignment="1">
      <alignment horizontal="right" vertical="center" wrapText="1"/>
    </xf>
    <xf numFmtId="2" fontId="3" fillId="8" borderId="9" xfId="0" applyNumberFormat="1" applyFont="1" applyFill="1" applyBorder="1" applyAlignment="1">
      <alignment horizontal="right" vertical="center" wrapText="1"/>
    </xf>
    <xf numFmtId="167" fontId="3" fillId="8" borderId="9" xfId="0" applyNumberFormat="1" applyFont="1" applyFill="1" applyBorder="1" applyAlignment="1">
      <alignment horizontal="right" vertical="center" wrapText="1"/>
    </xf>
    <xf numFmtId="166" fontId="3" fillId="8" borderId="9" xfId="0" applyNumberFormat="1" applyFont="1" applyFill="1" applyBorder="1" applyAlignment="1">
      <alignment horizontal="right" vertical="center" wrapText="1"/>
    </xf>
    <xf numFmtId="166" fontId="3" fillId="8" borderId="51" xfId="0" applyNumberFormat="1" applyFont="1" applyFill="1" applyBorder="1" applyAlignment="1">
      <alignment horizontal="right" vertical="center" wrapText="1"/>
    </xf>
    <xf numFmtId="169" fontId="3" fillId="8" borderId="51" xfId="0" applyNumberFormat="1" applyFont="1" applyFill="1" applyBorder="1" applyAlignment="1">
      <alignment horizontal="right" vertical="center" wrapText="1"/>
    </xf>
    <xf numFmtId="1" fontId="3" fillId="8" borderId="51" xfId="0" applyNumberFormat="1" applyFont="1" applyFill="1" applyBorder="1" applyAlignment="1">
      <alignment horizontal="right" vertical="center" wrapText="1"/>
    </xf>
    <xf numFmtId="0" fontId="15" fillId="4" borderId="52" xfId="0" applyFont="1" applyFill="1" applyBorder="1" applyAlignment="1">
      <alignment vertical="center"/>
    </xf>
    <xf numFmtId="0" fontId="15" fillId="4" borderId="54" xfId="0" applyFont="1" applyFill="1" applyBorder="1" applyAlignment="1">
      <alignment vertical="center"/>
    </xf>
    <xf numFmtId="0" fontId="15" fillId="4" borderId="55" xfId="0" applyFont="1" applyFill="1" applyBorder="1" applyAlignment="1">
      <alignment vertical="center"/>
    </xf>
    <xf numFmtId="0" fontId="15" fillId="4" borderId="53" xfId="0" applyFont="1" applyFill="1" applyBorder="1" applyAlignment="1">
      <alignment vertical="center"/>
    </xf>
    <xf numFmtId="0" fontId="15" fillId="4" borderId="50" xfId="0" applyFont="1" applyFill="1" applyBorder="1" applyAlignment="1">
      <alignment vertical="center"/>
    </xf>
    <xf numFmtId="0" fontId="11" fillId="7" borderId="58" xfId="5" applyBorder="1" applyAlignment="1">
      <alignment horizontal="center" vertical="center" wrapText="1"/>
    </xf>
    <xf numFmtId="0" fontId="15" fillId="4" borderId="60" xfId="0" applyFont="1" applyFill="1" applyBorder="1" applyAlignment="1">
      <alignment vertical="center"/>
    </xf>
    <xf numFmtId="0" fontId="16" fillId="4" borderId="50" xfId="0" applyFont="1" applyFill="1" applyBorder="1" applyAlignment="1">
      <alignment horizontal="center" vertical="center" wrapText="1"/>
    </xf>
    <xf numFmtId="0" fontId="12" fillId="10" borderId="61" xfId="2" applyFont="1" applyFill="1" applyBorder="1" applyAlignment="1">
      <alignment horizontal="center" vertical="center" wrapText="1"/>
    </xf>
    <xf numFmtId="0" fontId="3" fillId="8" borderId="62" xfId="0" applyFont="1" applyFill="1" applyBorder="1" applyAlignment="1">
      <alignment horizontal="right" vertical="center" wrapText="1"/>
    </xf>
    <xf numFmtId="0" fontId="3" fillId="0" borderId="11" xfId="0" applyFont="1" applyBorder="1" applyAlignment="1">
      <alignment horizontal="right" vertical="center" wrapText="1"/>
    </xf>
    <xf numFmtId="0" fontId="3" fillId="8" borderId="11" xfId="0" applyFont="1" applyFill="1" applyBorder="1" applyAlignment="1">
      <alignment horizontal="right" vertical="center" wrapText="1"/>
    </xf>
    <xf numFmtId="0" fontId="15" fillId="4" borderId="64" xfId="0" applyFont="1" applyFill="1" applyBorder="1" applyAlignment="1">
      <alignment vertical="center"/>
    </xf>
    <xf numFmtId="0" fontId="15" fillId="4" borderId="53" xfId="2" applyFont="1" applyFill="1" applyBorder="1" applyAlignment="1">
      <alignment horizontal="center" vertical="center"/>
    </xf>
    <xf numFmtId="169" fontId="15" fillId="4" borderId="53" xfId="2" applyNumberFormat="1" applyFont="1" applyFill="1" applyBorder="1" applyAlignment="1">
      <alignment horizontal="center" vertical="center"/>
    </xf>
    <xf numFmtId="0" fontId="15" fillId="4" borderId="56" xfId="5" applyFont="1" applyFill="1" applyBorder="1" applyAlignment="1">
      <alignment horizontal="center" vertical="center" wrapText="1"/>
    </xf>
    <xf numFmtId="0" fontId="15" fillId="4" borderId="57" xfId="2" applyFont="1" applyFill="1" applyBorder="1" applyAlignment="1">
      <alignment horizontal="center" vertical="center" wrapText="1"/>
    </xf>
    <xf numFmtId="0" fontId="15" fillId="4" borderId="58" xfId="5" applyFont="1" applyFill="1" applyBorder="1" applyAlignment="1">
      <alignment horizontal="center" vertical="center" wrapText="1"/>
    </xf>
    <xf numFmtId="0" fontId="15" fillId="4" borderId="59" xfId="5" applyFont="1" applyFill="1" applyBorder="1" applyAlignment="1">
      <alignment horizontal="center" vertical="center" wrapText="1"/>
    </xf>
    <xf numFmtId="0" fontId="15" fillId="4" borderId="50" xfId="2" applyFont="1" applyFill="1" applyBorder="1" applyAlignment="1">
      <alignment horizontal="center" vertical="center" wrapText="1"/>
    </xf>
    <xf numFmtId="0" fontId="15" fillId="4" borderId="63" xfId="2" applyFont="1" applyFill="1" applyBorder="1" applyAlignment="1">
      <alignment horizontal="center" vertical="center"/>
    </xf>
    <xf numFmtId="0" fontId="15" fillId="4" borderId="65" xfId="0" applyFont="1" applyFill="1" applyBorder="1" applyAlignment="1">
      <alignment vertical="center"/>
    </xf>
    <xf numFmtId="0" fontId="15" fillId="4" borderId="66" xfId="0" applyFont="1" applyFill="1" applyBorder="1" applyAlignment="1">
      <alignment vertical="center"/>
    </xf>
    <xf numFmtId="0" fontId="15" fillId="4" borderId="67" xfId="0" applyFont="1" applyFill="1" applyBorder="1" applyAlignment="1">
      <alignment vertical="center"/>
    </xf>
    <xf numFmtId="0" fontId="15" fillId="13" borderId="1" xfId="0" applyFont="1" applyFill="1" applyBorder="1" applyAlignment="1">
      <alignment wrapText="1"/>
    </xf>
    <xf numFmtId="0" fontId="0" fillId="13" borderId="1" xfId="0" applyFill="1" applyBorder="1" applyAlignment="1">
      <alignment wrapText="1"/>
    </xf>
    <xf numFmtId="0" fontId="15" fillId="4" borderId="1" xfId="0" applyFont="1" applyFill="1" applyBorder="1"/>
    <xf numFmtId="0" fontId="0" fillId="0" borderId="15" xfId="0" applyBorder="1"/>
    <xf numFmtId="0" fontId="15" fillId="4" borderId="55" xfId="0" applyFont="1" applyFill="1" applyBorder="1" applyAlignment="1">
      <alignment horizontal="center" vertical="center" wrapText="1"/>
    </xf>
    <xf numFmtId="0" fontId="15" fillId="4" borderId="50" xfId="0" applyFont="1" applyFill="1" applyBorder="1" applyAlignment="1">
      <alignment horizontal="center" vertical="center"/>
    </xf>
    <xf numFmtId="0" fontId="15" fillId="4" borderId="63" xfId="2" applyFont="1" applyFill="1" applyBorder="1" applyAlignment="1">
      <alignment horizontal="center" vertical="center" wrapText="1"/>
    </xf>
    <xf numFmtId="0" fontId="15" fillId="4" borderId="70" xfId="0" applyFont="1" applyFill="1" applyBorder="1" applyAlignment="1">
      <alignment vertical="center"/>
    </xf>
    <xf numFmtId="0" fontId="15" fillId="4" borderId="0" xfId="0" applyFont="1" applyFill="1" applyAlignment="1">
      <alignment vertical="center" wrapText="1"/>
    </xf>
    <xf numFmtId="0" fontId="0" fillId="0" borderId="29" xfId="0" applyBorder="1" applyAlignment="1">
      <alignment vertical="top" wrapText="1"/>
    </xf>
    <xf numFmtId="0" fontId="15" fillId="13" borderId="1" xfId="0" applyFont="1" applyFill="1" applyBorder="1" applyAlignment="1">
      <alignment vertical="top" wrapText="1"/>
    </xf>
    <xf numFmtId="0" fontId="0" fillId="13" borderId="1" xfId="0" applyFill="1" applyBorder="1" applyAlignment="1">
      <alignment vertical="top" wrapText="1"/>
    </xf>
    <xf numFmtId="0" fontId="0" fillId="4" borderId="1" xfId="0" applyFill="1" applyBorder="1" applyAlignment="1">
      <alignment vertical="top" wrapText="1"/>
    </xf>
    <xf numFmtId="0" fontId="0" fillId="0" borderId="0" xfId="0" applyAlignment="1">
      <alignment vertical="center"/>
    </xf>
    <xf numFmtId="170" fontId="0" fillId="0" borderId="0" xfId="0" applyNumberFormat="1"/>
    <xf numFmtId="0" fontId="0" fillId="0" borderId="73" xfId="0" applyBorder="1"/>
    <xf numFmtId="0" fontId="0" fillId="0" borderId="0" xfId="0" applyAlignment="1">
      <alignment horizontal="center"/>
    </xf>
    <xf numFmtId="0" fontId="0" fillId="11" borderId="1" xfId="0" applyFill="1" applyBorder="1" applyAlignment="1">
      <alignment vertical="top" wrapText="1"/>
    </xf>
    <xf numFmtId="0" fontId="1" fillId="15" borderId="19" xfId="0" applyFont="1" applyFill="1" applyBorder="1" applyAlignment="1">
      <alignment horizontal="center" vertical="center" wrapText="1"/>
    </xf>
    <xf numFmtId="0" fontId="17" fillId="15" borderId="20" xfId="0" applyFont="1" applyFill="1" applyBorder="1" applyAlignment="1">
      <alignment horizontal="center" vertical="center" wrapText="1"/>
    </xf>
    <xf numFmtId="0" fontId="17" fillId="15" borderId="21" xfId="0" applyFont="1" applyFill="1" applyBorder="1" applyAlignment="1">
      <alignment horizontal="center" vertical="center" wrapText="1"/>
    </xf>
    <xf numFmtId="0" fontId="1" fillId="16" borderId="19" xfId="0" applyFont="1" applyFill="1" applyBorder="1" applyAlignment="1">
      <alignment horizontal="center" vertical="center" wrapText="1"/>
    </xf>
    <xf numFmtId="0" fontId="1" fillId="16" borderId="20" xfId="0" applyFont="1" applyFill="1" applyBorder="1" applyAlignment="1">
      <alignment horizontal="center" vertical="center" wrapText="1"/>
    </xf>
    <xf numFmtId="0" fontId="17" fillId="16" borderId="21" xfId="0" applyFont="1" applyFill="1" applyBorder="1" applyAlignment="1">
      <alignment horizontal="center" vertical="center" wrapText="1"/>
    </xf>
    <xf numFmtId="0" fontId="0" fillId="0" borderId="74" xfId="0" applyBorder="1"/>
    <xf numFmtId="0" fontId="0" fillId="0" borderId="75" xfId="0" applyBorder="1" applyAlignment="1">
      <alignment horizontal="center"/>
    </xf>
    <xf numFmtId="0" fontId="0" fillId="0" borderId="76" xfId="0" applyBorder="1" applyAlignment="1">
      <alignment horizontal="center"/>
    </xf>
    <xf numFmtId="171" fontId="5" fillId="0" borderId="29" xfId="1" applyNumberFormat="1" applyFont="1" applyFill="1" applyBorder="1" applyAlignment="1">
      <alignment horizontal="center"/>
    </xf>
    <xf numFmtId="171" fontId="5" fillId="0" borderId="1" xfId="1" applyNumberFormat="1" applyFont="1" applyFill="1" applyBorder="1" applyAlignment="1">
      <alignment horizontal="center"/>
    </xf>
    <xf numFmtId="171" fontId="0" fillId="12" borderId="1" xfId="0" applyNumberFormat="1" applyFill="1" applyBorder="1" applyAlignment="1">
      <alignment horizontal="center"/>
    </xf>
    <xf numFmtId="171" fontId="0" fillId="0" borderId="45" xfId="1" applyNumberFormat="1" applyFont="1" applyBorder="1" applyAlignment="1">
      <alignment horizontal="center" vertical="center"/>
    </xf>
    <xf numFmtId="171" fontId="0" fillId="0" borderId="35" xfId="1" applyNumberFormat="1" applyFont="1" applyBorder="1" applyAlignment="1">
      <alignment horizontal="center" vertical="center"/>
    </xf>
    <xf numFmtId="171" fontId="0" fillId="0" borderId="35" xfId="1" applyNumberFormat="1" applyFont="1" applyBorder="1" applyAlignment="1">
      <alignment horizontal="center"/>
    </xf>
    <xf numFmtId="171" fontId="5" fillId="4" borderId="35" xfId="1" applyNumberFormat="1" applyFont="1" applyFill="1" applyBorder="1" applyAlignment="1">
      <alignment horizontal="center"/>
    </xf>
    <xf numFmtId="171" fontId="5" fillId="0" borderId="13" xfId="1" applyNumberFormat="1" applyFont="1" applyFill="1" applyBorder="1" applyAlignment="1">
      <alignment horizontal="center"/>
    </xf>
    <xf numFmtId="0" fontId="1" fillId="0" borderId="20" xfId="0" applyFont="1" applyBorder="1"/>
    <xf numFmtId="0" fontId="1" fillId="0" borderId="41" xfId="0" applyFont="1" applyBorder="1"/>
    <xf numFmtId="0" fontId="0" fillId="0" borderId="40" xfId="0" applyBorder="1" applyAlignment="1">
      <alignment textRotation="90"/>
    </xf>
    <xf numFmtId="0" fontId="0" fillId="0" borderId="13" xfId="0" applyBorder="1" applyAlignment="1">
      <alignment vertical="top" wrapText="1"/>
    </xf>
    <xf numFmtId="0" fontId="17" fillId="0" borderId="0" xfId="0" applyFont="1"/>
    <xf numFmtId="0" fontId="0" fillId="0" borderId="0" xfId="0" applyAlignment="1" applyProtection="1">
      <alignment horizontal="center"/>
      <protection locked="0"/>
    </xf>
    <xf numFmtId="0" fontId="25" fillId="0" borderId="0" xfId="4" applyFont="1" applyAlignment="1" applyProtection="1">
      <alignment horizontal="left" vertical="center" indent="10"/>
    </xf>
    <xf numFmtId="0" fontId="0" fillId="0" borderId="0" xfId="0" applyAlignment="1">
      <alignment horizontal="right"/>
    </xf>
    <xf numFmtId="0" fontId="1" fillId="0" borderId="21" xfId="0" applyFont="1" applyBorder="1" applyAlignment="1">
      <alignment horizontal="center" vertical="center" wrapText="1"/>
    </xf>
    <xf numFmtId="165" fontId="0" fillId="0" borderId="0" xfId="0" applyNumberFormat="1"/>
    <xf numFmtId="165" fontId="0" fillId="0" borderId="72" xfId="0" applyNumberFormat="1" applyBorder="1"/>
    <xf numFmtId="165" fontId="0" fillId="0" borderId="49" xfId="0" applyNumberFormat="1" applyBorder="1"/>
    <xf numFmtId="0" fontId="0" fillId="0" borderId="83" xfId="0" applyBorder="1"/>
    <xf numFmtId="0" fontId="0" fillId="11" borderId="37" xfId="0" applyFill="1" applyBorder="1" applyAlignment="1">
      <alignment vertical="top" wrapText="1"/>
    </xf>
    <xf numFmtId="0" fontId="0" fillId="13" borderId="37" xfId="0" applyFill="1" applyBorder="1" applyAlignment="1">
      <alignment vertical="top"/>
    </xf>
    <xf numFmtId="0" fontId="0" fillId="13" borderId="37" xfId="0" applyFill="1" applyBorder="1" applyAlignment="1">
      <alignment wrapText="1"/>
    </xf>
    <xf numFmtId="0" fontId="0" fillId="0" borderId="37" xfId="0" applyBorder="1"/>
    <xf numFmtId="0" fontId="0" fillId="0" borderId="84" xfId="0" applyBorder="1"/>
    <xf numFmtId="0" fontId="0" fillId="0" borderId="43" xfId="0" applyBorder="1"/>
    <xf numFmtId="0" fontId="1" fillId="6" borderId="44" xfId="0" applyFont="1" applyFill="1" applyBorder="1" applyAlignment="1">
      <alignment vertical="center" textRotation="90" wrapText="1"/>
    </xf>
    <xf numFmtId="0" fontId="1" fillId="0" borderId="42" xfId="0" applyFont="1" applyBorder="1" applyAlignment="1">
      <alignment horizontal="center"/>
    </xf>
    <xf numFmtId="0" fontId="0" fillId="12" borderId="83" xfId="0" applyFill="1" applyBorder="1"/>
    <xf numFmtId="0" fontId="0" fillId="12" borderId="37" xfId="0" applyFill="1" applyBorder="1"/>
    <xf numFmtId="0" fontId="0" fillId="12" borderId="85" xfId="0" applyFill="1" applyBorder="1"/>
    <xf numFmtId="0" fontId="0" fillId="0" borderId="28" xfId="0" applyBorder="1" applyAlignment="1">
      <alignment horizontal="center"/>
    </xf>
    <xf numFmtId="9" fontId="5" fillId="0" borderId="46" xfId="1" applyFont="1" applyFill="1" applyBorder="1"/>
    <xf numFmtId="0" fontId="0" fillId="0" borderId="10" xfId="0" applyBorder="1" applyAlignment="1">
      <alignment horizontal="center"/>
    </xf>
    <xf numFmtId="9" fontId="5" fillId="0" borderId="11" xfId="1" applyFont="1" applyFill="1" applyBorder="1"/>
    <xf numFmtId="0" fontId="0" fillId="0" borderId="12" xfId="0" applyBorder="1" applyAlignment="1">
      <alignment horizontal="center"/>
    </xf>
    <xf numFmtId="9" fontId="5" fillId="0" borderId="14" xfId="1" applyFont="1" applyFill="1" applyBorder="1"/>
    <xf numFmtId="0" fontId="0" fillId="0" borderId="45" xfId="0" applyBorder="1"/>
    <xf numFmtId="0" fontId="0" fillId="0" borderId="35" xfId="0" applyBorder="1"/>
    <xf numFmtId="0" fontId="0" fillId="0" borderId="35" xfId="0" applyBorder="1" applyAlignment="1">
      <alignment wrapText="1"/>
    </xf>
    <xf numFmtId="0" fontId="0" fillId="4" borderId="35" xfId="0" applyFill="1" applyBorder="1"/>
    <xf numFmtId="0" fontId="0" fillId="4" borderId="86" xfId="0" applyFill="1" applyBorder="1"/>
    <xf numFmtId="0" fontId="0" fillId="12" borderId="28" xfId="0" applyFill="1" applyBorder="1" applyAlignment="1">
      <alignment horizontal="center"/>
    </xf>
    <xf numFmtId="0" fontId="0" fillId="12" borderId="10" xfId="0" applyFill="1" applyBorder="1" applyAlignment="1">
      <alignment horizontal="center"/>
    </xf>
    <xf numFmtId="0" fontId="0" fillId="12" borderId="12" xfId="0" applyFill="1" applyBorder="1" applyAlignment="1">
      <alignment horizontal="center"/>
    </xf>
    <xf numFmtId="9" fontId="0" fillId="12" borderId="14" xfId="0" applyNumberFormat="1" applyFill="1" applyBorder="1"/>
    <xf numFmtId="0" fontId="1" fillId="0" borderId="32" xfId="0" applyFont="1" applyBorder="1" applyAlignment="1">
      <alignment horizontal="center" vertical="center" wrapText="1"/>
    </xf>
    <xf numFmtId="0" fontId="0" fillId="4" borderId="45" xfId="0" applyFill="1" applyBorder="1"/>
    <xf numFmtId="0" fontId="0" fillId="11" borderId="35" xfId="0" applyFill="1" applyBorder="1" applyAlignment="1">
      <alignment vertical="top" wrapText="1"/>
    </xf>
    <xf numFmtId="0" fontId="15" fillId="4" borderId="35" xfId="0" applyFont="1" applyFill="1" applyBorder="1"/>
    <xf numFmtId="9" fontId="1" fillId="0" borderId="46" xfId="1" applyFont="1" applyFill="1" applyBorder="1"/>
    <xf numFmtId="9" fontId="0" fillId="11" borderId="11" xfId="0" applyNumberFormat="1" applyFill="1" applyBorder="1" applyAlignment="1">
      <alignment horizontal="center"/>
    </xf>
    <xf numFmtId="0" fontId="0" fillId="12" borderId="11" xfId="0" applyFill="1" applyBorder="1" applyAlignment="1">
      <alignment horizontal="center"/>
    </xf>
    <xf numFmtId="0" fontId="0" fillId="12" borderId="30" xfId="0" applyFill="1" applyBorder="1" applyAlignment="1">
      <alignment horizontal="center"/>
    </xf>
    <xf numFmtId="0" fontId="0" fillId="12" borderId="14" xfId="0" applyFill="1" applyBorder="1" applyAlignment="1">
      <alignment horizontal="center"/>
    </xf>
    <xf numFmtId="0" fontId="0" fillId="0" borderId="32" xfId="0" applyBorder="1"/>
    <xf numFmtId="9" fontId="5" fillId="0" borderId="45" xfId="1" applyFont="1" applyFill="1" applyBorder="1"/>
    <xf numFmtId="171" fontId="0" fillId="11" borderId="35" xfId="0" applyNumberFormat="1" applyFill="1" applyBorder="1" applyAlignment="1">
      <alignment horizontal="center"/>
    </xf>
    <xf numFmtId="171" fontId="5" fillId="13" borderId="35" xfId="1" applyNumberFormat="1" applyFont="1" applyFill="1" applyBorder="1" applyAlignment="1">
      <alignment horizontal="center" vertical="center"/>
    </xf>
    <xf numFmtId="171" fontId="5" fillId="0" borderId="35" xfId="1" applyNumberFormat="1" applyFont="1" applyFill="1" applyBorder="1"/>
    <xf numFmtId="171" fontId="5" fillId="0" borderId="26" xfId="1" applyNumberFormat="1" applyFont="1" applyFill="1" applyBorder="1"/>
    <xf numFmtId="171" fontId="21" fillId="0" borderId="36" xfId="0" applyNumberFormat="1" applyFont="1" applyBorder="1" applyAlignment="1">
      <alignment horizontal="center"/>
    </xf>
    <xf numFmtId="0" fontId="20" fillId="0" borderId="28" xfId="0" applyFont="1" applyBorder="1" applyAlignment="1">
      <alignment horizontal="center"/>
    </xf>
    <xf numFmtId="9" fontId="0" fillId="0" borderId="46" xfId="1" applyFont="1" applyBorder="1"/>
    <xf numFmtId="171" fontId="0" fillId="11" borderId="11" xfId="0" applyNumberFormat="1" applyFill="1" applyBorder="1" applyAlignment="1">
      <alignment horizontal="center"/>
    </xf>
    <xf numFmtId="171" fontId="5" fillId="13" borderId="11" xfId="1" applyNumberFormat="1" applyFont="1" applyFill="1" applyBorder="1" applyAlignment="1">
      <alignment horizontal="center" vertical="center"/>
    </xf>
    <xf numFmtId="9" fontId="0" fillId="0" borderId="11" xfId="1" applyFont="1" applyBorder="1"/>
    <xf numFmtId="9" fontId="1" fillId="4" borderId="11" xfId="1" applyFont="1" applyFill="1" applyBorder="1"/>
    <xf numFmtId="165" fontId="0" fillId="0" borderId="0" xfId="0" applyNumberFormat="1" applyBorder="1"/>
    <xf numFmtId="165" fontId="0" fillId="0" borderId="79" xfId="0" applyNumberFormat="1" applyBorder="1"/>
    <xf numFmtId="0" fontId="15" fillId="4" borderId="9" xfId="2" applyFont="1" applyFill="1" applyBorder="1" applyAlignment="1">
      <alignment horizontal="center" vertical="center" wrapText="1"/>
    </xf>
    <xf numFmtId="165" fontId="0" fillId="0" borderId="17" xfId="0" applyNumberFormat="1" applyBorder="1"/>
    <xf numFmtId="165" fontId="0" fillId="0" borderId="18" xfId="0" applyNumberFormat="1" applyBorder="1"/>
    <xf numFmtId="165" fontId="0" fillId="0" borderId="77" xfId="0" applyNumberFormat="1" applyBorder="1"/>
    <xf numFmtId="165" fontId="0" fillId="0" borderId="2" xfId="0" applyNumberFormat="1" applyBorder="1"/>
    <xf numFmtId="0" fontId="15" fillId="4" borderId="40" xfId="0" applyFont="1" applyFill="1" applyBorder="1" applyAlignment="1">
      <alignment horizontal="center" vertical="center" wrapText="1"/>
    </xf>
    <xf numFmtId="0" fontId="15" fillId="4" borderId="32" xfId="2" applyFont="1" applyFill="1" applyBorder="1" applyAlignment="1">
      <alignment horizontal="center" vertical="center" wrapText="1"/>
    </xf>
    <xf numFmtId="169" fontId="15" fillId="4" borderId="32" xfId="2" applyNumberFormat="1" applyFont="1" applyFill="1" applyBorder="1" applyAlignment="1">
      <alignment horizontal="center" vertical="center" wrapText="1"/>
    </xf>
    <xf numFmtId="169" fontId="15" fillId="4" borderId="21" xfId="2" applyNumberFormat="1" applyFont="1" applyFill="1" applyBorder="1" applyAlignment="1">
      <alignment horizontal="center" vertical="center" wrapText="1"/>
    </xf>
    <xf numFmtId="0" fontId="15" fillId="4" borderId="20" xfId="0" applyFont="1" applyFill="1" applyBorder="1" applyAlignment="1">
      <alignment horizontal="center" vertical="center" wrapText="1"/>
    </xf>
    <xf numFmtId="0" fontId="15" fillId="4" borderId="42" xfId="0" applyFont="1" applyFill="1" applyBorder="1" applyAlignment="1">
      <alignment horizontal="center" vertical="center" wrapText="1"/>
    </xf>
    <xf numFmtId="0" fontId="15" fillId="4" borderId="21" xfId="2" applyFont="1" applyFill="1" applyBorder="1" applyAlignment="1">
      <alignment horizontal="center" vertical="center" wrapText="1"/>
    </xf>
    <xf numFmtId="3" fontId="0" fillId="0" borderId="0" xfId="0" applyNumberFormat="1"/>
    <xf numFmtId="3" fontId="0" fillId="0" borderId="16" xfId="0" applyNumberFormat="1" applyBorder="1"/>
    <xf numFmtId="3" fontId="0" fillId="0" borderId="15" xfId="0" applyNumberFormat="1" applyBorder="1"/>
    <xf numFmtId="3" fontId="0" fillId="0" borderId="69" xfId="0" applyNumberFormat="1" applyBorder="1"/>
    <xf numFmtId="0" fontId="15" fillId="4" borderId="51" xfId="2" applyFont="1" applyFill="1" applyBorder="1" applyAlignment="1">
      <alignment horizontal="center" vertical="center" wrapText="1"/>
    </xf>
    <xf numFmtId="0" fontId="15" fillId="4" borderId="78" xfId="5" applyFont="1" applyFill="1" applyBorder="1" applyAlignment="1">
      <alignment horizontal="center" vertical="center" wrapText="1"/>
    </xf>
    <xf numFmtId="0" fontId="15" fillId="4" borderId="19" xfId="0" applyFont="1" applyFill="1" applyBorder="1" applyAlignment="1">
      <alignment horizontal="center" vertical="center"/>
    </xf>
    <xf numFmtId="0" fontId="15" fillId="4" borderId="88" xfId="5" applyFont="1" applyFill="1" applyBorder="1" applyAlignment="1">
      <alignment horizontal="center" vertical="center" wrapText="1"/>
    </xf>
    <xf numFmtId="3" fontId="0" fillId="0" borderId="73" xfId="0" applyNumberFormat="1" applyBorder="1"/>
    <xf numFmtId="172" fontId="0" fillId="0" borderId="0" xfId="0" applyNumberFormat="1"/>
    <xf numFmtId="172" fontId="0" fillId="0" borderId="73" xfId="0" applyNumberFormat="1" applyBorder="1"/>
    <xf numFmtId="172" fontId="0" fillId="0" borderId="15" xfId="0" applyNumberFormat="1" applyBorder="1"/>
    <xf numFmtId="173" fontId="0" fillId="0" borderId="0" xfId="7" applyNumberFormat="1" applyFont="1"/>
    <xf numFmtId="165" fontId="27" fillId="17" borderId="0" xfId="8" applyNumberFormat="1"/>
    <xf numFmtId="165" fontId="7" fillId="2" borderId="0" xfId="2" applyNumberFormat="1"/>
    <xf numFmtId="2" fontId="17" fillId="18" borderId="52" xfId="2" applyNumberFormat="1" applyFont="1" applyFill="1" applyBorder="1" applyAlignment="1">
      <alignment horizontal="center" vertical="center" wrapText="1"/>
    </xf>
    <xf numFmtId="0" fontId="15" fillId="4" borderId="68" xfId="2" applyFont="1" applyFill="1" applyBorder="1" applyAlignment="1">
      <alignment horizontal="center" vertical="center" wrapText="1"/>
    </xf>
    <xf numFmtId="0" fontId="17" fillId="4" borderId="50" xfId="0" applyFont="1" applyFill="1" applyBorder="1" applyAlignment="1">
      <alignment horizontal="center" vertical="center" wrapText="1"/>
    </xf>
    <xf numFmtId="171" fontId="5" fillId="0" borderId="29" xfId="1" applyNumberFormat="1" applyFont="1" applyFill="1" applyBorder="1" applyAlignment="1" applyProtection="1">
      <alignment horizontal="center"/>
      <protection locked="0"/>
    </xf>
    <xf numFmtId="0" fontId="0" fillId="0" borderId="83" xfId="0" applyBorder="1" applyAlignment="1" applyProtection="1">
      <alignment horizontal="center"/>
    </xf>
    <xf numFmtId="171" fontId="5" fillId="0" borderId="29" xfId="1" applyNumberFormat="1" applyFont="1" applyFill="1" applyBorder="1" applyAlignment="1" applyProtection="1">
      <alignment horizontal="center"/>
    </xf>
    <xf numFmtId="0" fontId="0" fillId="0" borderId="37" xfId="0" applyBorder="1" applyAlignment="1" applyProtection="1">
      <alignment horizontal="center"/>
    </xf>
    <xf numFmtId="171" fontId="5" fillId="0" borderId="1" xfId="1" applyNumberFormat="1" applyFont="1" applyFill="1" applyBorder="1" applyAlignment="1" applyProtection="1">
      <alignment horizontal="center"/>
    </xf>
    <xf numFmtId="171" fontId="5" fillId="4" borderId="1" xfId="1" applyNumberFormat="1" applyFont="1" applyFill="1" applyBorder="1" applyAlignment="1" applyProtection="1">
      <alignment horizontal="center"/>
    </xf>
    <xf numFmtId="0" fontId="0" fillId="0" borderId="84" xfId="0" applyBorder="1" applyAlignment="1" applyProtection="1">
      <alignment horizontal="center"/>
    </xf>
    <xf numFmtId="171" fontId="5" fillId="0" borderId="38" xfId="1" applyNumberFormat="1" applyFont="1" applyFill="1" applyBorder="1" applyAlignment="1" applyProtection="1">
      <alignment horizontal="center"/>
    </xf>
    <xf numFmtId="0" fontId="0" fillId="0" borderId="28" xfId="0" applyBorder="1" applyAlignment="1" applyProtection="1">
      <alignment horizontal="center"/>
      <protection locked="0"/>
    </xf>
    <xf numFmtId="0" fontId="0" fillId="0" borderId="10" xfId="0" applyBorder="1" applyAlignment="1" applyProtection="1">
      <alignment horizontal="center"/>
      <protection locked="0"/>
    </xf>
    <xf numFmtId="171" fontId="1" fillId="0" borderId="1" xfId="1" applyNumberFormat="1" applyFont="1" applyFill="1" applyBorder="1" applyAlignment="1" applyProtection="1">
      <alignment horizontal="center"/>
      <protection locked="0"/>
    </xf>
    <xf numFmtId="0" fontId="15" fillId="0" borderId="0" xfId="0" applyFont="1" applyAlignment="1">
      <alignment horizontal="left" vertical="top" wrapText="1"/>
    </xf>
    <xf numFmtId="0" fontId="19" fillId="0" borderId="0" xfId="0" applyFont="1" applyAlignment="1">
      <alignment horizontal="right" vertical="top" indent="1"/>
    </xf>
    <xf numFmtId="0" fontId="15" fillId="0" borderId="0" xfId="0" applyFont="1" applyAlignment="1">
      <alignment wrapText="1"/>
    </xf>
    <xf numFmtId="0" fontId="1" fillId="19" borderId="43" xfId="0" applyFont="1" applyFill="1" applyBorder="1" applyAlignment="1" applyProtection="1">
      <alignment horizontal="center" vertical="center" wrapText="1"/>
      <protection locked="0"/>
    </xf>
    <xf numFmtId="0" fontId="1" fillId="19" borderId="20" xfId="0" applyFont="1" applyFill="1" applyBorder="1" applyAlignment="1" applyProtection="1">
      <alignment horizontal="center" vertical="center" wrapText="1"/>
      <protection locked="0"/>
    </xf>
    <xf numFmtId="0" fontId="17" fillId="19" borderId="21" xfId="0" applyFont="1" applyFill="1" applyBorder="1" applyAlignment="1">
      <alignment horizontal="center" vertical="center" wrapText="1"/>
    </xf>
    <xf numFmtId="0" fontId="20" fillId="0" borderId="0" xfId="0" applyFont="1" applyAlignment="1">
      <alignment horizontal="left" wrapText="1"/>
    </xf>
    <xf numFmtId="0" fontId="1" fillId="0" borderId="40" xfId="0" applyFont="1" applyBorder="1" applyAlignment="1">
      <alignment horizontal="center" vertical="center" wrapText="1"/>
    </xf>
    <xf numFmtId="0" fontId="1" fillId="0" borderId="43" xfId="0" applyFont="1" applyBorder="1" applyAlignment="1">
      <alignment horizontal="center" vertical="center" wrapText="1"/>
    </xf>
    <xf numFmtId="171" fontId="26" fillId="15" borderId="40" xfId="0" applyNumberFormat="1" applyFont="1" applyFill="1" applyBorder="1" applyAlignment="1">
      <alignment horizontal="center"/>
    </xf>
    <xf numFmtId="171" fontId="26" fillId="15" borderId="41" xfId="0" applyNumberFormat="1" applyFont="1" applyFill="1" applyBorder="1" applyAlignment="1">
      <alignment horizontal="center"/>
    </xf>
    <xf numFmtId="171" fontId="26" fillId="15" borderId="42" xfId="0" applyNumberFormat="1" applyFont="1" applyFill="1" applyBorder="1" applyAlignment="1">
      <alignment horizontal="center"/>
    </xf>
    <xf numFmtId="171" fontId="1" fillId="15" borderId="40" xfId="0" applyNumberFormat="1" applyFont="1" applyFill="1" applyBorder="1" applyAlignment="1">
      <alignment horizontal="center"/>
    </xf>
    <xf numFmtId="171" fontId="1" fillId="15" borderId="41" xfId="0" applyNumberFormat="1" applyFont="1" applyFill="1" applyBorder="1" applyAlignment="1">
      <alignment horizontal="center"/>
    </xf>
    <xf numFmtId="171" fontId="1" fillId="15" borderId="42" xfId="0" applyNumberFormat="1" applyFont="1" applyFill="1" applyBorder="1" applyAlignment="1">
      <alignment horizontal="center"/>
    </xf>
    <xf numFmtId="0" fontId="1" fillId="0" borderId="44" xfId="0" applyFont="1" applyBorder="1" applyAlignment="1">
      <alignment horizontal="center"/>
    </xf>
    <xf numFmtId="0" fontId="1" fillId="0" borderId="48" xfId="0" applyFont="1" applyBorder="1" applyAlignment="1">
      <alignment horizontal="center"/>
    </xf>
    <xf numFmtId="171" fontId="26" fillId="19" borderId="40" xfId="0" applyNumberFormat="1" applyFont="1" applyFill="1" applyBorder="1" applyAlignment="1">
      <alignment horizontal="center"/>
    </xf>
    <xf numFmtId="171" fontId="26" fillId="19" borderId="41" xfId="0" applyNumberFormat="1" applyFont="1" applyFill="1" applyBorder="1" applyAlignment="1">
      <alignment horizontal="center"/>
    </xf>
    <xf numFmtId="171" fontId="26" fillId="19" borderId="42" xfId="0" applyNumberFormat="1" applyFont="1" applyFill="1" applyBorder="1" applyAlignment="1">
      <alignment horizontal="center"/>
    </xf>
    <xf numFmtId="171" fontId="5" fillId="13" borderId="26" xfId="1" applyNumberFormat="1" applyFont="1" applyFill="1" applyBorder="1" applyAlignment="1">
      <alignment horizontal="center" vertical="center"/>
    </xf>
    <xf numFmtId="171" fontId="5" fillId="13" borderId="9" xfId="1" applyNumberFormat="1" applyFont="1" applyFill="1" applyBorder="1" applyAlignment="1">
      <alignment horizontal="center" vertical="center"/>
    </xf>
    <xf numFmtId="171" fontId="5" fillId="13" borderId="87" xfId="1" applyNumberFormat="1" applyFont="1" applyFill="1" applyBorder="1" applyAlignment="1">
      <alignment horizontal="center" vertical="center"/>
    </xf>
    <xf numFmtId="171" fontId="17" fillId="16" borderId="32" xfId="0" applyNumberFormat="1" applyFont="1" applyFill="1" applyBorder="1" applyAlignment="1">
      <alignment horizontal="center" vertical="center" wrapText="1"/>
    </xf>
    <xf numFmtId="0" fontId="17" fillId="16" borderId="41" xfId="0" applyFont="1" applyFill="1" applyBorder="1" applyAlignment="1">
      <alignment horizontal="center" vertical="center" wrapText="1"/>
    </xf>
    <xf numFmtId="0" fontId="17" fillId="16" borderId="42" xfId="0" applyFont="1" applyFill="1" applyBorder="1" applyAlignment="1">
      <alignment horizontal="center" vertical="center" wrapText="1"/>
    </xf>
    <xf numFmtId="171" fontId="17" fillId="19" borderId="40" xfId="0" applyNumberFormat="1" applyFont="1" applyFill="1" applyBorder="1" applyAlignment="1">
      <alignment horizontal="center" vertical="center"/>
    </xf>
    <xf numFmtId="171" fontId="17" fillId="19" borderId="41" xfId="0" applyNumberFormat="1" applyFont="1" applyFill="1" applyBorder="1" applyAlignment="1">
      <alignment horizontal="center" vertical="center"/>
    </xf>
    <xf numFmtId="171" fontId="5" fillId="13" borderId="30" xfId="1" applyNumberFormat="1" applyFont="1" applyFill="1" applyBorder="1" applyAlignment="1">
      <alignment horizontal="center" vertical="center"/>
    </xf>
    <xf numFmtId="171" fontId="5" fillId="13" borderId="51" xfId="1" applyNumberFormat="1" applyFont="1" applyFill="1" applyBorder="1" applyAlignment="1">
      <alignment horizontal="center" vertical="center"/>
    </xf>
    <xf numFmtId="171" fontId="5" fillId="13" borderId="62" xfId="1" applyNumberFormat="1" applyFont="1" applyFill="1" applyBorder="1" applyAlignment="1">
      <alignment horizontal="center" vertical="center"/>
    </xf>
    <xf numFmtId="0" fontId="26" fillId="6" borderId="47" xfId="0" applyFont="1" applyFill="1" applyBorder="1" applyAlignment="1">
      <alignment horizontal="center" vertical="center" textRotation="90"/>
    </xf>
    <xf numFmtId="0" fontId="26" fillId="6" borderId="48" xfId="0" applyFont="1" applyFill="1" applyBorder="1" applyAlignment="1">
      <alignment horizontal="center" vertical="center" textRotation="90"/>
    </xf>
    <xf numFmtId="0" fontId="0" fillId="0" borderId="0" xfId="0" applyAlignment="1">
      <alignment horizontal="center" textRotation="90"/>
    </xf>
    <xf numFmtId="0" fontId="26" fillId="6" borderId="44" xfId="0" applyFont="1" applyFill="1" applyBorder="1" applyAlignment="1">
      <alignment horizontal="center" vertical="center" textRotation="90" wrapText="1"/>
    </xf>
    <xf numFmtId="0" fontId="26" fillId="6" borderId="47" xfId="0" applyFont="1" applyFill="1" applyBorder="1" applyAlignment="1">
      <alignment horizontal="center" vertical="center" textRotation="90" wrapText="1"/>
    </xf>
    <xf numFmtId="0" fontId="26" fillId="6" borderId="48" xfId="0" applyFont="1" applyFill="1" applyBorder="1" applyAlignment="1">
      <alignment horizontal="center" vertical="center" textRotation="90" wrapText="1"/>
    </xf>
    <xf numFmtId="0" fontId="0" fillId="11" borderId="26" xfId="0" applyFill="1" applyBorder="1" applyAlignment="1">
      <alignment horizontal="center" vertical="center" wrapText="1"/>
    </xf>
    <xf numFmtId="0" fontId="0" fillId="11" borderId="9" xfId="0" applyFill="1" applyBorder="1" applyAlignment="1">
      <alignment horizontal="center" vertical="center" wrapText="1"/>
    </xf>
    <xf numFmtId="0" fontId="0" fillId="11" borderId="87" xfId="0" applyFill="1" applyBorder="1" applyAlignment="1">
      <alignment horizontal="center" vertical="center" wrapText="1"/>
    </xf>
    <xf numFmtId="0" fontId="15" fillId="13" borderId="26"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87" xfId="0" applyFont="1" applyFill="1" applyBorder="1" applyAlignment="1">
      <alignment horizontal="center" vertical="center" wrapText="1"/>
    </xf>
    <xf numFmtId="0" fontId="0" fillId="13" borderId="26" xfId="0" applyFill="1" applyBorder="1" applyAlignment="1">
      <alignment horizontal="center" vertical="center" wrapText="1"/>
    </xf>
    <xf numFmtId="0" fontId="0" fillId="13" borderId="87" xfId="0" applyFill="1" applyBorder="1" applyAlignment="1">
      <alignment horizontal="center" vertical="center" wrapText="1"/>
    </xf>
    <xf numFmtId="9" fontId="0" fillId="11" borderId="30" xfId="0" applyNumberFormat="1" applyFill="1" applyBorder="1" applyAlignment="1">
      <alignment horizontal="center" vertical="center"/>
    </xf>
    <xf numFmtId="9" fontId="0" fillId="11" borderId="51" xfId="0" applyNumberFormat="1" applyFill="1" applyBorder="1" applyAlignment="1">
      <alignment horizontal="center" vertical="center"/>
    </xf>
    <xf numFmtId="9" fontId="0" fillId="11" borderId="62" xfId="0" applyNumberFormat="1" applyFill="1" applyBorder="1" applyAlignment="1">
      <alignment horizontal="center" vertical="center"/>
    </xf>
    <xf numFmtId="171" fontId="0" fillId="11" borderId="26" xfId="0" applyNumberFormat="1" applyFill="1" applyBorder="1" applyAlignment="1">
      <alignment horizontal="center" vertical="center"/>
    </xf>
    <xf numFmtId="171" fontId="0" fillId="11" borderId="9" xfId="0" applyNumberFormat="1" applyFill="1" applyBorder="1" applyAlignment="1">
      <alignment horizontal="center" vertical="center"/>
    </xf>
    <xf numFmtId="171" fontId="0" fillId="11" borderId="30" xfId="0" applyNumberFormat="1" applyFill="1" applyBorder="1" applyAlignment="1">
      <alignment horizontal="center" vertical="center"/>
    </xf>
    <xf numFmtId="171" fontId="0" fillId="11" borderId="51" xfId="0" applyNumberFormat="1" applyFill="1" applyBorder="1" applyAlignment="1">
      <alignment horizontal="center" vertical="center"/>
    </xf>
    <xf numFmtId="171" fontId="0" fillId="11" borderId="62" xfId="0" applyNumberFormat="1" applyFill="1" applyBorder="1" applyAlignment="1">
      <alignment horizontal="center" vertical="center"/>
    </xf>
    <xf numFmtId="0" fontId="0" fillId="12" borderId="30" xfId="0" applyFill="1" applyBorder="1" applyAlignment="1">
      <alignment horizontal="center"/>
    </xf>
    <xf numFmtId="0" fontId="0" fillId="12" borderId="51" xfId="0" applyFill="1" applyBorder="1" applyAlignment="1">
      <alignment horizontal="center"/>
    </xf>
    <xf numFmtId="0" fontId="0" fillId="12" borderId="62" xfId="0" applyFill="1" applyBorder="1" applyAlignment="1">
      <alignment horizontal="center"/>
    </xf>
    <xf numFmtId="0" fontId="18" fillId="0" borderId="0" xfId="0" applyFont="1" applyAlignment="1">
      <alignment horizontal="center" wrapText="1"/>
    </xf>
    <xf numFmtId="171" fontId="0" fillId="0" borderId="7" xfId="1" applyNumberFormat="1" applyFont="1" applyFill="1" applyBorder="1" applyAlignment="1">
      <alignment horizontal="center" vertical="center"/>
    </xf>
    <xf numFmtId="171" fontId="0" fillId="0" borderId="3" xfId="1" applyNumberFormat="1" applyFont="1" applyFill="1" applyBorder="1" applyAlignment="1">
      <alignment horizontal="center" vertical="center"/>
    </xf>
    <xf numFmtId="171" fontId="0" fillId="0" borderId="8" xfId="1" applyNumberFormat="1" applyFont="1" applyFill="1" applyBorder="1" applyAlignment="1">
      <alignment horizontal="center" vertical="center"/>
    </xf>
    <xf numFmtId="0" fontId="1" fillId="0" borderId="73" xfId="0" applyFont="1" applyBorder="1" applyAlignment="1">
      <alignment horizontal="center" vertical="center" wrapText="1"/>
    </xf>
    <xf numFmtId="0" fontId="1" fillId="0" borderId="79" xfId="0" applyFont="1" applyBorder="1" applyAlignment="1">
      <alignment horizontal="center" vertical="center" wrapText="1"/>
    </xf>
    <xf numFmtId="0" fontId="1" fillId="0" borderId="72" xfId="0" applyFont="1" applyBorder="1" applyAlignment="1">
      <alignment horizontal="center" vertical="center" wrapText="1"/>
    </xf>
    <xf numFmtId="0" fontId="7" fillId="4" borderId="4" xfId="2" applyFill="1" applyBorder="1" applyAlignment="1">
      <alignment horizontal="center" vertical="center"/>
    </xf>
    <xf numFmtId="0" fontId="7" fillId="4" borderId="5" xfId="2" applyFill="1" applyBorder="1" applyAlignment="1">
      <alignment horizontal="center" vertical="center"/>
    </xf>
    <xf numFmtId="0" fontId="7" fillId="4" borderId="6" xfId="2" applyFill="1" applyBorder="1" applyAlignment="1">
      <alignment horizontal="center" vertical="center"/>
    </xf>
    <xf numFmtId="164" fontId="0" fillId="0" borderId="7" xfId="0" applyNumberFormat="1" applyBorder="1" applyAlignment="1">
      <alignment horizontal="center" vertical="center"/>
    </xf>
    <xf numFmtId="164" fontId="0" fillId="0" borderId="3" xfId="0" applyNumberFormat="1" applyBorder="1" applyAlignment="1">
      <alignment horizontal="center" vertical="center"/>
    </xf>
    <xf numFmtId="164" fontId="0" fillId="0" borderId="8" xfId="0" applyNumberFormat="1" applyBorder="1" applyAlignment="1">
      <alignment horizontal="center" vertical="center"/>
    </xf>
    <xf numFmtId="4" fontId="1" fillId="0" borderId="69" xfId="0" applyNumberFormat="1" applyFont="1" applyBorder="1" applyAlignment="1">
      <alignment horizontal="center" vertical="center" wrapText="1"/>
    </xf>
    <xf numFmtId="4" fontId="1" fillId="0" borderId="77" xfId="0" applyNumberFormat="1" applyFont="1" applyBorder="1" applyAlignment="1">
      <alignment horizontal="center" vertical="center" wrapText="1"/>
    </xf>
    <xf numFmtId="4" fontId="1" fillId="0" borderId="2" xfId="0" applyNumberFormat="1" applyFont="1" applyBorder="1" applyAlignment="1">
      <alignment horizontal="center" vertical="center" wrapText="1"/>
    </xf>
    <xf numFmtId="3" fontId="0" fillId="4" borderId="7" xfId="0" applyNumberFormat="1" applyFill="1" applyBorder="1" applyAlignment="1">
      <alignment horizontal="center" vertical="center"/>
    </xf>
    <xf numFmtId="3" fontId="0" fillId="4" borderId="3" xfId="0" applyNumberFormat="1" applyFill="1" applyBorder="1" applyAlignment="1">
      <alignment horizontal="center" vertical="center"/>
    </xf>
    <xf numFmtId="3" fontId="0" fillId="4" borderId="8" xfId="0" applyNumberFormat="1" applyFill="1" applyBorder="1" applyAlignment="1">
      <alignment horizontal="center" vertical="center"/>
    </xf>
    <xf numFmtId="0" fontId="17" fillId="4" borderId="73" xfId="0" applyFont="1" applyFill="1" applyBorder="1" applyAlignment="1">
      <alignment horizontal="center" vertical="center" wrapText="1"/>
    </xf>
    <xf numFmtId="0" fontId="17" fillId="4" borderId="79" xfId="0" applyFont="1" applyFill="1" applyBorder="1" applyAlignment="1">
      <alignment horizontal="center" vertical="center" wrapText="1"/>
    </xf>
    <xf numFmtId="0" fontId="17" fillId="4" borderId="72" xfId="0" applyFont="1" applyFill="1" applyBorder="1" applyAlignment="1">
      <alignment horizontal="center" vertical="center" wrapText="1"/>
    </xf>
    <xf numFmtId="3" fontId="0" fillId="0" borderId="7" xfId="0" applyNumberFormat="1" applyBorder="1" applyAlignment="1">
      <alignment horizontal="center" vertical="center"/>
    </xf>
    <xf numFmtId="3" fontId="0" fillId="0" borderId="3" xfId="0" applyNumberFormat="1" applyBorder="1" applyAlignment="1">
      <alignment horizontal="center" vertical="center"/>
    </xf>
    <xf numFmtId="3" fontId="0" fillId="0" borderId="8" xfId="0" applyNumberFormat="1" applyBorder="1" applyAlignment="1">
      <alignment horizontal="center" vertical="center"/>
    </xf>
    <xf numFmtId="0" fontId="1" fillId="0" borderId="80" xfId="0" applyFont="1" applyBorder="1" applyAlignment="1">
      <alignment horizontal="center" vertical="center" wrapText="1"/>
    </xf>
    <xf numFmtId="0" fontId="1" fillId="0" borderId="81" xfId="0" applyFont="1" applyBorder="1" applyAlignment="1">
      <alignment horizontal="center" vertical="center" wrapText="1"/>
    </xf>
    <xf numFmtId="0" fontId="1" fillId="0" borderId="82" xfId="0" applyFont="1" applyBorder="1" applyAlignment="1">
      <alignment horizontal="center" vertical="center" wrapText="1"/>
    </xf>
    <xf numFmtId="0" fontId="17" fillId="4" borderId="80" xfId="0" applyFont="1" applyFill="1" applyBorder="1" applyAlignment="1">
      <alignment horizontal="center" vertical="center" wrapText="1"/>
    </xf>
    <xf numFmtId="0" fontId="17" fillId="4" borderId="81" xfId="0" applyFont="1" applyFill="1" applyBorder="1" applyAlignment="1">
      <alignment horizontal="center" vertical="center" wrapText="1"/>
    </xf>
    <xf numFmtId="0" fontId="17" fillId="4" borderId="82" xfId="0" applyFont="1" applyFill="1" applyBorder="1" applyAlignment="1">
      <alignment horizontal="center" vertical="center" wrapText="1"/>
    </xf>
    <xf numFmtId="0" fontId="0" fillId="4" borderId="7" xfId="0" applyFill="1" applyBorder="1" applyAlignment="1">
      <alignment horizontal="center" vertical="center"/>
    </xf>
    <xf numFmtId="0" fontId="0" fillId="4" borderId="3" xfId="0" applyFill="1" applyBorder="1" applyAlignment="1">
      <alignment horizontal="center" vertical="center"/>
    </xf>
    <xf numFmtId="0" fontId="0" fillId="4" borderId="8" xfId="0" applyFill="1" applyBorder="1" applyAlignment="1">
      <alignment horizontal="center" vertical="center"/>
    </xf>
    <xf numFmtId="0" fontId="23" fillId="0" borderId="0" xfId="0" applyFont="1" applyAlignment="1">
      <alignment horizontal="left" vertical="top"/>
    </xf>
    <xf numFmtId="2" fontId="1" fillId="0" borderId="73" xfId="0" applyNumberFormat="1" applyFont="1" applyBorder="1" applyAlignment="1">
      <alignment horizontal="center" vertical="center" wrapText="1"/>
    </xf>
    <xf numFmtId="2" fontId="1" fillId="0" borderId="79" xfId="0" applyNumberFormat="1" applyFont="1" applyBorder="1" applyAlignment="1">
      <alignment horizontal="center" vertical="center" wrapText="1"/>
    </xf>
    <xf numFmtId="2" fontId="1" fillId="0" borderId="72" xfId="0" applyNumberFormat="1" applyFont="1" applyBorder="1" applyAlignment="1">
      <alignment horizontal="center" vertical="center" wrapText="1"/>
    </xf>
    <xf numFmtId="0" fontId="7" fillId="4" borderId="4" xfId="2" applyFill="1" applyBorder="1" applyAlignment="1">
      <alignment horizontal="center"/>
    </xf>
    <xf numFmtId="0" fontId="7" fillId="4" borderId="5" xfId="2" applyFill="1" applyBorder="1" applyAlignment="1">
      <alignment horizontal="center"/>
    </xf>
    <xf numFmtId="0" fontId="7" fillId="4" borderId="6" xfId="2" applyFill="1" applyBorder="1" applyAlignment="1">
      <alignment horizontal="center"/>
    </xf>
    <xf numFmtId="0" fontId="0" fillId="4" borderId="7" xfId="0" applyFill="1" applyBorder="1" applyAlignment="1">
      <alignment horizontal="center"/>
    </xf>
    <xf numFmtId="0" fontId="0" fillId="4" borderId="3" xfId="0" applyFill="1" applyBorder="1" applyAlignment="1">
      <alignment horizontal="center"/>
    </xf>
    <xf numFmtId="0" fontId="0" fillId="0" borderId="7" xfId="0" applyBorder="1" applyAlignment="1">
      <alignment horizontal="center"/>
    </xf>
    <xf numFmtId="0" fontId="0" fillId="0" borderId="3" xfId="0" applyBorder="1" applyAlignment="1">
      <alignment horizontal="center"/>
    </xf>
    <xf numFmtId="3" fontId="0" fillId="4" borderId="7" xfId="0" applyNumberFormat="1" applyFill="1" applyBorder="1" applyAlignment="1">
      <alignment horizontal="center"/>
    </xf>
    <xf numFmtId="3" fontId="0" fillId="4" borderId="3" xfId="0" applyNumberFormat="1" applyFill="1" applyBorder="1" applyAlignment="1">
      <alignment horizontal="center"/>
    </xf>
    <xf numFmtId="3" fontId="0" fillId="4" borderId="8" xfId="0" applyNumberFormat="1" applyFill="1" applyBorder="1" applyAlignment="1">
      <alignment horizontal="center"/>
    </xf>
    <xf numFmtId="3" fontId="0" fillId="0" borderId="7" xfId="0" applyNumberFormat="1" applyBorder="1" applyAlignment="1">
      <alignment horizontal="center"/>
    </xf>
    <xf numFmtId="3" fontId="0" fillId="0" borderId="3" xfId="0" applyNumberFormat="1" applyBorder="1" applyAlignment="1">
      <alignment horizontal="center"/>
    </xf>
    <xf numFmtId="3" fontId="0" fillId="0" borderId="8" xfId="0" applyNumberFormat="1" applyBorder="1" applyAlignment="1">
      <alignment horizontal="center"/>
    </xf>
    <xf numFmtId="0" fontId="8" fillId="4" borderId="4" xfId="3" applyFill="1" applyBorder="1" applyAlignment="1">
      <alignment horizontal="center"/>
    </xf>
    <xf numFmtId="0" fontId="8" fillId="4" borderId="5" xfId="3" applyFill="1" applyBorder="1" applyAlignment="1">
      <alignment horizontal="center"/>
    </xf>
    <xf numFmtId="0" fontId="0" fillId="0" borderId="0" xfId="0" applyAlignment="1">
      <alignment horizontal="center"/>
    </xf>
    <xf numFmtId="9" fontId="0" fillId="5" borderId="7" xfId="1" applyFont="1" applyFill="1" applyBorder="1" applyAlignment="1">
      <alignment horizontal="center"/>
    </xf>
    <xf numFmtId="9" fontId="0" fillId="5" borderId="3" xfId="1" applyFont="1" applyFill="1" applyBorder="1" applyAlignment="1">
      <alignment horizontal="center"/>
    </xf>
    <xf numFmtId="9" fontId="0" fillId="5" borderId="8" xfId="1" applyFont="1" applyFill="1" applyBorder="1" applyAlignment="1">
      <alignment horizontal="center"/>
    </xf>
    <xf numFmtId="164" fontId="0" fillId="0" borderId="7" xfId="0" applyNumberFormat="1" applyBorder="1" applyAlignment="1">
      <alignment horizontal="center"/>
    </xf>
    <xf numFmtId="0" fontId="0" fillId="0" borderId="8" xfId="0" applyBorder="1" applyAlignment="1">
      <alignment horizontal="center"/>
    </xf>
    <xf numFmtId="0" fontId="1" fillId="0" borderId="0" xfId="0" applyFont="1" applyAlignment="1">
      <alignment horizontal="center"/>
    </xf>
    <xf numFmtId="0" fontId="17" fillId="4" borderId="15" xfId="0" applyFont="1" applyFill="1" applyBorder="1" applyAlignment="1">
      <alignment horizontal="center" vertical="center" wrapText="1"/>
    </xf>
    <xf numFmtId="0" fontId="17" fillId="4" borderId="0" xfId="0" applyFont="1" applyFill="1" applyAlignment="1">
      <alignment horizontal="center" vertical="center" wrapText="1"/>
    </xf>
    <xf numFmtId="0" fontId="1" fillId="0" borderId="15" xfId="0" applyFont="1" applyBorder="1" applyAlignment="1">
      <alignment horizontal="center" vertical="center" wrapText="1"/>
    </xf>
    <xf numFmtId="0" fontId="1" fillId="0" borderId="0" xfId="0" applyFont="1" applyAlignment="1">
      <alignment horizontal="center" vertical="center" wrapText="1"/>
    </xf>
    <xf numFmtId="0" fontId="17" fillId="4" borderId="49" xfId="0" applyFont="1" applyFill="1" applyBorder="1" applyAlignment="1">
      <alignment horizontal="center" vertical="center" wrapText="1"/>
    </xf>
    <xf numFmtId="0" fontId="1" fillId="0" borderId="49" xfId="0" applyFont="1" applyBorder="1" applyAlignment="1">
      <alignment horizontal="center" vertical="center" wrapText="1"/>
    </xf>
    <xf numFmtId="2" fontId="1" fillId="0" borderId="15" xfId="0" applyNumberFormat="1" applyFont="1" applyBorder="1" applyAlignment="1">
      <alignment horizontal="center" vertical="center" wrapText="1"/>
    </xf>
    <xf numFmtId="2" fontId="1" fillId="0" borderId="49" xfId="0" applyNumberFormat="1" applyFont="1" applyBorder="1" applyAlignment="1">
      <alignment horizontal="center" vertical="center" wrapText="1"/>
    </xf>
    <xf numFmtId="4" fontId="1" fillId="0" borderId="15" xfId="0" applyNumberFormat="1" applyFont="1" applyBorder="1" applyAlignment="1">
      <alignment horizontal="center" vertical="center" wrapText="1"/>
    </xf>
    <xf numFmtId="4" fontId="1" fillId="0" borderId="0" xfId="0" applyNumberFormat="1" applyFont="1" applyAlignment="1">
      <alignment horizontal="center" vertical="center" wrapText="1"/>
    </xf>
    <xf numFmtId="4" fontId="1" fillId="0" borderId="49" xfId="0" applyNumberFormat="1" applyFont="1" applyBorder="1" applyAlignment="1">
      <alignment horizontal="center" vertical="center" wrapText="1"/>
    </xf>
    <xf numFmtId="0" fontId="1" fillId="0" borderId="16" xfId="0" applyFont="1" applyBorder="1" applyAlignment="1">
      <alignment horizontal="center"/>
    </xf>
    <xf numFmtId="0" fontId="1" fillId="0" borderId="17" xfId="0" applyFont="1" applyBorder="1" applyAlignment="1">
      <alignment horizontal="center"/>
    </xf>
    <xf numFmtId="0" fontId="1" fillId="0" borderId="18" xfId="0" applyFont="1" applyBorder="1" applyAlignment="1">
      <alignment horizontal="center"/>
    </xf>
    <xf numFmtId="0" fontId="0" fillId="0" borderId="1" xfId="0" applyBorder="1" applyAlignment="1">
      <alignment vertical="center" wrapText="1"/>
    </xf>
    <xf numFmtId="0" fontId="0" fillId="0" borderId="1" xfId="0" applyBorder="1" applyAlignment="1">
      <alignment horizontal="center" vertical="center" wrapText="1"/>
    </xf>
    <xf numFmtId="165" fontId="0" fillId="0" borderId="73" xfId="0" applyNumberFormat="1" applyBorder="1" applyProtection="1">
      <protection locked="0"/>
    </xf>
    <xf numFmtId="1" fontId="0" fillId="0" borderId="49" xfId="0" applyNumberFormat="1" applyBorder="1" applyProtection="1">
      <protection locked="0"/>
    </xf>
    <xf numFmtId="165" fontId="0" fillId="0" borderId="15" xfId="0" applyNumberFormat="1" applyBorder="1" applyProtection="1">
      <protection locked="0"/>
    </xf>
    <xf numFmtId="0" fontId="18" fillId="0" borderId="15" xfId="0" applyFont="1" applyBorder="1" applyAlignment="1">
      <alignment wrapText="1"/>
    </xf>
    <xf numFmtId="0" fontId="18" fillId="0" borderId="0" xfId="0" applyFont="1" applyBorder="1" applyAlignment="1">
      <alignment wrapText="1"/>
    </xf>
    <xf numFmtId="0" fontId="18" fillId="0" borderId="69" xfId="0" applyFont="1" applyBorder="1" applyAlignment="1">
      <alignment wrapText="1"/>
    </xf>
    <xf numFmtId="0" fontId="18" fillId="0" borderId="77" xfId="0" applyFont="1" applyBorder="1" applyAlignment="1">
      <alignment wrapText="1"/>
    </xf>
    <xf numFmtId="0" fontId="0" fillId="13" borderId="35" xfId="0" applyFill="1" applyBorder="1" applyAlignment="1">
      <alignment horizontal="center" wrapText="1"/>
    </xf>
    <xf numFmtId="165" fontId="0" fillId="0" borderId="69" xfId="0" applyNumberFormat="1" applyBorder="1" applyProtection="1">
      <protection locked="0"/>
    </xf>
    <xf numFmtId="1" fontId="0" fillId="0" borderId="2" xfId="0" applyNumberFormat="1" applyBorder="1" applyProtection="1">
      <protection locked="0"/>
    </xf>
  </cellXfs>
  <cellStyles count="9">
    <cellStyle name="Bad" xfId="8" builtinId="27"/>
    <cellStyle name="Currency" xfId="7" builtinId="4"/>
    <cellStyle name="Good" xfId="2" builtinId="26"/>
    <cellStyle name="Hyperlink" xfId="4" builtinId="8"/>
    <cellStyle name="Input" xfId="5" builtinId="20"/>
    <cellStyle name="Neutral" xfId="3" builtinId="28"/>
    <cellStyle name="Normal" xfId="0" builtinId="0"/>
    <cellStyle name="Percent" xfId="1" builtinId="5"/>
    <cellStyle name="Style0" xfId="6" xr:uid="{44A005DC-EFB4-4468-A9C6-E670458F082B}"/>
  </cellStyles>
  <dxfs count="141">
    <dxf>
      <font>
        <b val="0"/>
        <i val="0"/>
        <strike val="0"/>
        <condense val="0"/>
        <extend val="0"/>
        <outline val="0"/>
        <shadow val="0"/>
        <u val="none"/>
        <vertAlign val="baseline"/>
        <sz val="10"/>
        <color theme="1"/>
        <name val="Calibri"/>
        <family val="2"/>
        <scheme val="none"/>
      </font>
      <numFmt numFmtId="1" formatCode="0"/>
      <alignment horizontal="right" vertical="center" textRotation="0" wrapText="0" indent="0" justifyLastLine="0" shrinkToFit="0" readingOrder="0"/>
      <protection locked="0" hidden="0"/>
    </dxf>
    <dxf>
      <font>
        <b val="0"/>
        <i val="0"/>
        <strike val="0"/>
        <condense val="0"/>
        <extend val="0"/>
        <outline val="0"/>
        <shadow val="0"/>
        <u val="none"/>
        <vertAlign val="baseline"/>
        <sz val="10"/>
        <color theme="1"/>
        <name val="Calibri"/>
        <family val="2"/>
        <scheme val="none"/>
      </font>
      <numFmt numFmtId="165" formatCode="0.000"/>
      <alignment horizontal="right" vertical="center" textRotation="0" wrapText="0" indent="0" justifyLastLine="0" shrinkToFit="0" readingOrder="0"/>
      <border diagonalUp="0" diagonalDown="0">
        <left style="medium">
          <color indexed="64"/>
        </left>
        <right/>
        <top/>
        <bottom/>
      </border>
      <protection locked="0" hidden="0"/>
    </dxf>
    <dxf>
      <font>
        <b val="0"/>
        <i val="0"/>
        <strike val="0"/>
        <condense val="0"/>
        <extend val="0"/>
        <outline val="0"/>
        <shadow val="0"/>
        <u val="none"/>
        <vertAlign val="baseline"/>
        <sz val="10"/>
        <color theme="1"/>
        <name val="Calibri"/>
        <family val="2"/>
        <scheme val="none"/>
      </font>
      <numFmt numFmtId="2" formatCode="0.00"/>
      <fill>
        <patternFill patternType="solid">
          <fgColor theme="0" tint="-0.14999847407452621"/>
          <bgColor theme="0" tint="-0.14999847407452621"/>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theme="0" tint="-0.14999847407452621"/>
          <bgColor theme="0" tint="-0.14999847407452621"/>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Calibri"/>
        <family val="2"/>
        <scheme val="none"/>
      </font>
      <numFmt numFmtId="166" formatCode="0.0000"/>
      <fill>
        <patternFill patternType="solid">
          <fgColor theme="0" tint="-0.14999847407452621"/>
          <bgColor theme="0" tint="-0.14999847407452621"/>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theme="0" tint="-0.14999847407452621"/>
          <bgColor theme="0" tint="-0.14999847407452621"/>
        </patternFill>
      </fill>
      <alignment horizontal="right" vertical="center" textRotation="0" wrapText="1" indent="0" justifyLastLine="0" shrinkToFit="0" readingOrder="0"/>
      <border outline="0">
        <left style="medium">
          <color indexed="64"/>
        </left>
      </border>
    </dxf>
    <dxf>
      <font>
        <b val="0"/>
        <i val="0"/>
        <strike val="0"/>
        <condense val="0"/>
        <extend val="0"/>
        <outline val="0"/>
        <shadow val="0"/>
        <u val="none"/>
        <vertAlign val="baseline"/>
        <sz val="10"/>
        <color theme="1"/>
        <name val="Calibri"/>
        <family val="2"/>
        <scheme val="none"/>
      </font>
      <numFmt numFmtId="2" formatCode="0.00"/>
      <fill>
        <patternFill patternType="solid">
          <fgColor theme="0" tint="-0.14999847407452621"/>
          <bgColor theme="0" tint="-0.14999847407452621"/>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Calibri"/>
        <family val="2"/>
        <scheme val="none"/>
      </font>
      <numFmt numFmtId="166" formatCode="0.0000"/>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family val="2"/>
        <scheme val="none"/>
      </font>
      <numFmt numFmtId="166" formatCode="0.0000"/>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2" formatCode="0.00"/>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2" formatCode="0.00"/>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medium">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167" formatCode="0.00000"/>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167" formatCode="0.00000"/>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2" formatCode="0.00"/>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2" formatCode="0.00"/>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medium">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medium">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Calibri"/>
        <family val="2"/>
        <scheme val="none"/>
      </font>
      <alignment horizontal="righ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medium">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Calibri"/>
        <family val="2"/>
        <scheme val="none"/>
      </font>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medium">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Calibri"/>
        <family val="2"/>
        <scheme val="none"/>
      </font>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medium">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168" formatCode="0.000000"/>
      <fill>
        <patternFill patternType="solid">
          <fgColor theme="0" tint="-0.14999847407452621"/>
          <bgColor theme="0" tint="-0.14999847407452621"/>
        </patternFill>
      </fill>
      <alignment horizontal="right"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168" formatCode="0.000000"/>
      <fill>
        <patternFill patternType="solid">
          <fgColor theme="0" tint="-0.14999847407452621"/>
          <bgColor theme="0" tint="-0.14999847407452621"/>
        </patternFill>
      </fill>
      <alignment horizontal="right"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165" formatCode="0.000"/>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medium">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167" formatCode="0.00000"/>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165" formatCode="0.000"/>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numFmt numFmtId="169" formatCode="0.0"/>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medium">
          <color indexed="64"/>
        </left>
        <right style="thin">
          <color indexed="64"/>
        </right>
        <top style="thin">
          <color indexed="64"/>
        </top>
        <bottom/>
      </border>
    </dxf>
    <dxf>
      <font>
        <b val="0"/>
        <i val="0"/>
        <strike val="0"/>
        <condense val="0"/>
        <extend val="0"/>
        <outline val="0"/>
        <shadow val="0"/>
        <u val="none"/>
        <vertAlign val="baseline"/>
        <sz val="10"/>
        <color theme="1"/>
        <name val="Calibri"/>
        <family val="2"/>
        <scheme val="none"/>
      </font>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medium">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0" formatCode="General"/>
      <fill>
        <patternFill patternType="solid">
          <fgColor theme="0" tint="-0.14999847407452621"/>
          <bgColor theme="0" tint="-0.14999847407452621"/>
        </patternFill>
      </fill>
      <alignment horizontal="left"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0" formatCode="General"/>
      <fill>
        <patternFill patternType="solid">
          <fgColor theme="0" tint="-0.14999847407452621"/>
          <bgColor theme="0" tint="-0.14999847407452621"/>
        </patternFill>
      </fill>
      <alignment horizontal="left"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0" formatCode="General"/>
      <fill>
        <patternFill patternType="solid">
          <fgColor theme="0" tint="-0.14999847407452621"/>
          <bgColor theme="0" tint="-0.14999847407452621"/>
        </patternFill>
      </fill>
      <alignment horizontal="left" vertical="center" textRotation="0" wrapText="1" indent="0" justifyLastLine="0" shrinkToFit="0" readingOrder="0"/>
      <border diagonalUp="0" diagonalDown="0">
        <left/>
        <right/>
        <top style="thin">
          <color indexed="64"/>
        </top>
        <bottom/>
        <vertical/>
        <horizontal/>
      </border>
    </dxf>
    <dxf>
      <border outline="0">
        <left style="thin">
          <color rgb="FF000000"/>
        </left>
        <top style="thin">
          <color rgb="FF000000"/>
        </top>
        <bottom style="thin">
          <color rgb="FF000000"/>
        </bottom>
      </border>
    </dxf>
    <dxf>
      <font>
        <b val="0"/>
        <i val="0"/>
        <strike val="0"/>
        <condense val="0"/>
        <extend val="0"/>
        <outline val="0"/>
        <shadow val="0"/>
        <u val="none"/>
        <vertAlign val="baseline"/>
        <sz val="10"/>
        <color rgb="FF000000"/>
        <name val="Calibri"/>
        <family val="2"/>
        <scheme val="none"/>
      </font>
      <fill>
        <patternFill patternType="solid">
          <fgColor rgb="FFD9D9D9"/>
          <bgColor rgb="FFD9D9D9"/>
        </patternFill>
      </fill>
      <alignment horizontal="left" vertical="center" textRotation="0" wrapText="1" indent="0" justifyLastLine="0" shrinkToFit="0" readingOrder="0"/>
    </dxf>
    <dxf>
      <font>
        <b/>
        <i val="0"/>
        <strike val="0"/>
        <condense val="0"/>
        <extend val="0"/>
        <outline val="0"/>
        <shadow val="0"/>
        <u val="none"/>
        <vertAlign val="baseline"/>
        <sz val="11"/>
        <color rgb="FF006100"/>
        <name val="Calibri"/>
        <family val="2"/>
        <scheme val="minor"/>
      </font>
      <fill>
        <patternFill patternType="solid">
          <fgColor indexed="64"/>
          <bgColor rgb="FFC6EFCE"/>
        </patternFill>
      </fill>
      <alignment horizontal="center" vertical="center" textRotation="0" wrapText="1" indent="0" justifyLastLine="0" shrinkToFit="0" readingOrder="0"/>
    </dxf>
    <dxf>
      <font>
        <color rgb="FF9C0006"/>
      </font>
      <fill>
        <patternFill>
          <bgColor rgb="FFFFC7CE"/>
        </patternFill>
      </fill>
    </dxf>
    <dxf>
      <font>
        <color rgb="FF006100"/>
      </font>
      <fill>
        <patternFill>
          <bgColor rgb="FFC6EFCE"/>
        </patternFill>
      </fill>
    </dxf>
    <dxf>
      <numFmt numFmtId="165" formatCode="0.000"/>
    </dxf>
    <dxf>
      <numFmt numFmtId="165" formatCode="0.000"/>
    </dxf>
    <dxf>
      <numFmt numFmtId="165" formatCode="0.000"/>
    </dxf>
    <dxf>
      <numFmt numFmtId="165" formatCode="0.000"/>
      <border outline="0">
        <right style="medium">
          <color indexed="64"/>
        </right>
      </border>
    </dxf>
    <dxf>
      <font>
        <b val="0"/>
        <i val="0"/>
        <strike val="0"/>
        <condense val="0"/>
        <extend val="0"/>
        <outline val="0"/>
        <shadow val="0"/>
        <u val="none"/>
        <vertAlign val="baseline"/>
        <sz val="10"/>
        <color theme="1"/>
        <name val="Calibri"/>
        <family val="2"/>
        <scheme val="none"/>
      </font>
      <numFmt numFmtId="165" formatCode="0.000"/>
      <fill>
        <patternFill patternType="solid">
          <fgColor theme="0" tint="-0.14999847407452621"/>
          <bgColor theme="0" tint="-0.14999847407452621"/>
        </patternFill>
      </fill>
      <alignment horizontal="right" vertical="center" textRotation="0" wrapText="0" indent="0" justifyLastLine="0" shrinkToFit="0" readingOrder="0"/>
    </dxf>
    <dxf>
      <font>
        <b val="0"/>
        <i val="0"/>
        <strike val="0"/>
        <condense val="0"/>
        <extend val="0"/>
        <outline val="0"/>
        <shadow val="0"/>
        <u val="none"/>
        <vertAlign val="baseline"/>
        <sz val="10"/>
        <color theme="1"/>
        <name val="Calibri"/>
        <family val="2"/>
        <scheme val="none"/>
      </font>
      <numFmt numFmtId="172" formatCode="#,##0.000"/>
      <fill>
        <patternFill patternType="solid">
          <fgColor theme="0" tint="-0.14999847407452621"/>
          <bgColor theme="0" tint="-0.14999847407452621"/>
        </patternFill>
      </fill>
      <alignment horizontal="right" vertical="center" textRotation="0" wrapText="0" indent="0" justifyLastLine="0" shrinkToFit="0" readingOrder="0"/>
    </dxf>
    <dxf>
      <numFmt numFmtId="165" formatCode="0.000"/>
    </dxf>
    <dxf>
      <font>
        <b val="0"/>
        <i val="0"/>
        <strike val="0"/>
        <condense val="0"/>
        <extend val="0"/>
        <outline val="0"/>
        <shadow val="0"/>
        <u val="none"/>
        <vertAlign val="baseline"/>
        <sz val="10"/>
        <color theme="1"/>
        <name val="Calibri"/>
        <family val="2"/>
        <scheme val="none"/>
      </font>
      <numFmt numFmtId="165" formatCode="0.000"/>
      <fill>
        <patternFill patternType="solid">
          <fgColor theme="0" tint="-0.14999847407452621"/>
          <bgColor theme="0" tint="-0.14999847407452621"/>
        </patternFill>
      </fill>
      <alignment horizontal="right"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1"/>
        <name val="Calibri"/>
        <family val="2"/>
        <scheme val="none"/>
      </font>
      <numFmt numFmtId="172" formatCode="#,##0.000"/>
      <fill>
        <patternFill patternType="solid">
          <fgColor theme="0" tint="-0.14999847407452621"/>
          <bgColor theme="0" tint="-0.14999847407452621"/>
        </patternFill>
      </fill>
      <alignment horizontal="right" vertical="center" textRotation="0" wrapText="0" indent="0" justifyLastLine="0" shrinkToFit="0" readingOrder="0"/>
      <border diagonalUp="0" diagonalDown="0">
        <left/>
        <right/>
        <top style="thin">
          <color indexed="64"/>
        </top>
        <bottom/>
      </border>
    </dxf>
    <dxf>
      <numFmt numFmtId="165" formatCode="0.000"/>
      <border diagonalUp="0" diagonalDown="0" outline="0">
        <left/>
        <right style="medium">
          <color indexed="64"/>
        </right>
        <top/>
        <bottom/>
      </border>
    </dxf>
    <dxf>
      <font>
        <b val="0"/>
        <i val="0"/>
        <strike val="0"/>
        <condense val="0"/>
        <extend val="0"/>
        <outline val="0"/>
        <shadow val="0"/>
        <u val="none"/>
        <vertAlign val="baseline"/>
        <sz val="10"/>
        <color theme="1"/>
        <name val="Calibri"/>
        <family val="2"/>
        <scheme val="none"/>
      </font>
      <numFmt numFmtId="165" formatCode="0.000"/>
      <fill>
        <patternFill patternType="solid">
          <fgColor theme="0" tint="-0.14999847407452621"/>
          <bgColor theme="0" tint="-0.14999847407452621"/>
        </patternFill>
      </fill>
      <alignment horizontal="right" vertical="center" textRotation="0" wrapText="0" indent="0" justifyLastLine="0" shrinkToFit="0" readingOrder="0"/>
    </dxf>
    <dxf>
      <font>
        <b val="0"/>
        <i val="0"/>
        <strike val="0"/>
        <condense val="0"/>
        <extend val="0"/>
        <outline val="0"/>
        <shadow val="0"/>
        <u val="none"/>
        <vertAlign val="baseline"/>
        <sz val="10"/>
        <color theme="1"/>
        <name val="Calibri"/>
        <family val="2"/>
        <scheme val="none"/>
      </font>
      <numFmt numFmtId="3" formatCode="#,##0"/>
      <fill>
        <patternFill patternType="solid">
          <fgColor theme="0" tint="-0.14999847407452621"/>
          <bgColor theme="0" tint="-0.14999847407452621"/>
        </patternFill>
      </fill>
      <alignment horizontal="right" vertical="center" textRotation="0" wrapText="0" indent="0" justifyLastLine="0" shrinkToFit="0" readingOrder="0"/>
    </dxf>
    <dxf>
      <numFmt numFmtId="165" formatCode="0.000"/>
    </dxf>
    <dxf>
      <font>
        <b val="0"/>
        <i val="0"/>
        <strike val="0"/>
        <condense val="0"/>
        <extend val="0"/>
        <outline val="0"/>
        <shadow val="0"/>
        <u val="none"/>
        <vertAlign val="baseline"/>
        <sz val="10"/>
        <color theme="1"/>
        <name val="Calibri"/>
        <family val="2"/>
        <scheme val="none"/>
      </font>
      <numFmt numFmtId="165" formatCode="0.000"/>
      <fill>
        <patternFill patternType="solid">
          <fgColor theme="0" tint="-0.14999847407452621"/>
          <bgColor theme="0" tint="-0.14999847407452621"/>
        </patternFill>
      </fill>
      <alignment horizontal="right" vertical="center" textRotation="0" wrapText="0"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0" indent="0" justifyLastLine="0" shrinkToFit="0" readingOrder="0"/>
      <border diagonalUp="0" diagonalDown="0" outline="0">
        <left style="medium">
          <color indexed="64"/>
        </left>
        <right/>
        <top style="thin">
          <color indexed="64"/>
        </top>
        <bottom/>
      </border>
    </dxf>
    <dxf>
      <numFmt numFmtId="0" formatCode="General"/>
      <border diagonalUp="0" diagonalDown="0">
        <left/>
        <right style="medium">
          <color indexed="64"/>
        </right>
        <top/>
        <bottom/>
      </border>
    </dxf>
    <dxf>
      <font>
        <b val="0"/>
        <i val="0"/>
        <strike val="0"/>
        <condense val="0"/>
        <extend val="0"/>
        <outline val="0"/>
        <shadow val="0"/>
        <u val="none"/>
        <vertAlign val="baseline"/>
        <sz val="10"/>
        <color theme="1"/>
        <name val="Calibri"/>
        <family val="2"/>
        <scheme val="none"/>
      </font>
      <numFmt numFmtId="165" formatCode="0.000"/>
      <fill>
        <patternFill patternType="solid">
          <fgColor theme="0" tint="-0.14999847407452621"/>
          <bgColor theme="0" tint="-0.14999847407452621"/>
        </patternFill>
      </fill>
      <alignment horizontal="right" vertical="center" textRotation="0" wrapText="0" indent="0" justifyLastLine="0" shrinkToFit="0" readingOrder="0"/>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0" indent="0" justifyLastLine="0" shrinkToFit="0" readingOrder="0"/>
    </dxf>
    <dxf>
      <numFmt numFmtId="165" formatCode="0.000"/>
    </dxf>
    <dxf>
      <font>
        <b val="0"/>
        <i val="0"/>
        <strike val="0"/>
        <condense val="0"/>
        <extend val="0"/>
        <outline val="0"/>
        <shadow val="0"/>
        <u val="none"/>
        <vertAlign val="baseline"/>
        <sz val="10"/>
        <color theme="1"/>
        <name val="Calibri"/>
        <family val="2"/>
        <scheme val="none"/>
      </font>
      <numFmt numFmtId="165" formatCode="0.000"/>
      <fill>
        <patternFill patternType="solid">
          <fgColor theme="0" tint="-0.14999847407452621"/>
          <bgColor theme="0" tint="-0.14999847407452621"/>
        </patternFill>
      </fill>
      <alignment horizontal="right" vertical="center" textRotation="0" wrapText="0"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3" formatCode="#,##0"/>
      <fill>
        <patternFill patternType="solid">
          <fgColor theme="0" tint="-0.14999847407452621"/>
          <bgColor theme="0" tint="-0.14999847407452621"/>
        </patternFill>
      </fill>
      <alignment horizontal="right" vertical="center" textRotation="0" wrapText="0" indent="0" justifyLastLine="0" shrinkToFit="0" readingOrder="0"/>
      <border diagonalUp="0" diagonalDown="0">
        <left style="medium">
          <color indexed="64"/>
        </left>
        <right/>
        <top style="thin">
          <color indexed="64"/>
        </top>
        <bottom/>
      </border>
    </dxf>
    <dxf>
      <numFmt numFmtId="165" formatCode="0.000"/>
      <border diagonalUp="0" diagonalDown="0">
        <left/>
        <right style="medium">
          <color indexed="64"/>
        </right>
        <top/>
        <bottom/>
        <vertical/>
        <horizontal/>
      </border>
    </dxf>
    <dxf>
      <font>
        <b val="0"/>
        <i val="0"/>
        <strike val="0"/>
        <condense val="0"/>
        <extend val="0"/>
        <outline val="0"/>
        <shadow val="0"/>
        <u val="none"/>
        <vertAlign val="baseline"/>
        <sz val="10"/>
        <color theme="1"/>
        <name val="Calibri"/>
        <family val="2"/>
        <scheme val="none"/>
      </font>
      <numFmt numFmtId="165" formatCode="0.000"/>
      <fill>
        <patternFill patternType="solid">
          <fgColor theme="0" tint="-0.14999847407452621"/>
          <bgColor theme="0" tint="-0.14999847407452621"/>
        </patternFill>
      </fill>
      <alignment horizontal="right" vertical="center" textRotation="0" wrapText="0" indent="0" justifyLastLine="0" shrinkToFit="0" readingOrder="0"/>
    </dxf>
    <dxf>
      <font>
        <b val="0"/>
        <i val="0"/>
        <strike val="0"/>
        <condense val="0"/>
        <extend val="0"/>
        <outline val="0"/>
        <shadow val="0"/>
        <u val="none"/>
        <vertAlign val="baseline"/>
        <sz val="10"/>
        <color theme="1"/>
        <name val="Calibri"/>
        <family val="2"/>
        <scheme val="none"/>
      </font>
      <numFmt numFmtId="3" formatCode="#,##0"/>
      <fill>
        <patternFill patternType="solid">
          <fgColor theme="0" tint="-0.14999847407452621"/>
          <bgColor theme="0" tint="-0.14999847407452621"/>
        </patternFill>
      </fill>
      <alignment horizontal="right" vertical="center" textRotation="0" wrapText="0" indent="0" justifyLastLine="0" shrinkToFit="0" readingOrder="0"/>
      <border diagonalUp="0" diagonalDown="0">
        <left style="medium">
          <color indexed="64"/>
        </left>
        <right/>
        <top/>
        <bottom/>
        <vertical/>
        <horizontal/>
      </border>
    </dxf>
    <dxf>
      <numFmt numFmtId="165" formatCode="0.000"/>
    </dxf>
    <dxf>
      <font>
        <b val="0"/>
        <i val="0"/>
        <strike val="0"/>
        <condense val="0"/>
        <extend val="0"/>
        <outline val="0"/>
        <shadow val="0"/>
        <u val="none"/>
        <vertAlign val="baseline"/>
        <sz val="10"/>
        <color theme="1"/>
        <name val="Calibri"/>
        <family val="2"/>
        <scheme val="none"/>
      </font>
      <numFmt numFmtId="165" formatCode="0.000"/>
      <fill>
        <patternFill patternType="solid">
          <fgColor theme="0" tint="-0.14999847407452621"/>
          <bgColor theme="0" tint="-0.14999847407452621"/>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family val="2"/>
        <scheme val="none"/>
      </font>
      <numFmt numFmtId="3" formatCode="#,##0"/>
      <fill>
        <patternFill patternType="solid">
          <fgColor theme="0" tint="-0.14999847407452621"/>
          <bgColor theme="0" tint="-0.14999847407452621"/>
        </patternFill>
      </fill>
      <alignment horizontal="right" vertical="center" textRotation="0" wrapText="0" indent="0" justifyLastLine="0" shrinkToFit="0" readingOrder="0"/>
      <border diagonalUp="0" diagonalDown="0">
        <left style="medium">
          <color indexed="64"/>
        </left>
        <right/>
        <top style="thin">
          <color indexed="64"/>
        </top>
        <bottom/>
      </border>
    </dxf>
    <dxf>
      <numFmt numFmtId="0" formatCode="General"/>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0" indent="0" justifyLastLine="0" shrinkToFit="0" readingOrder="0"/>
      <border diagonalUp="0" diagonalDown="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73" formatCode="&quot;$&quot;#,##0.00"/>
      <fill>
        <patternFill patternType="solid">
          <fgColor theme="0" tint="-0.14999847407452621"/>
          <bgColor theme="0" tint="-0.14999847407452621"/>
        </patternFill>
      </fill>
      <alignment horizontal="right"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1"/>
        <name val="Calibri"/>
        <family val="2"/>
        <scheme val="minor"/>
      </font>
      <numFmt numFmtId="0" formatCode="General"/>
      <fill>
        <patternFill patternType="solid">
          <fgColor theme="0" tint="-0.14999847407452621"/>
          <bgColor theme="0" tint="-0.14999847407452621"/>
        </patternFill>
      </fill>
      <alignment horizontal="left"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1"/>
        <name val="Calibri"/>
        <family val="2"/>
        <scheme val="minor"/>
      </font>
      <numFmt numFmtId="0" formatCode="General"/>
      <fill>
        <patternFill patternType="solid">
          <fgColor theme="0" tint="-0.14999847407452621"/>
          <bgColor theme="0" tint="-0.14999847407452621"/>
        </patternFill>
      </fill>
      <alignment horizontal="left"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1"/>
        <name val="Calibri"/>
        <family val="2"/>
        <scheme val="minor"/>
      </font>
      <numFmt numFmtId="0" formatCode="General"/>
      <fill>
        <patternFill patternType="solid">
          <fgColor theme="0" tint="-0.14999847407452621"/>
          <bgColor theme="0" tint="-0.14999847407452621"/>
        </patternFill>
      </fill>
      <alignment horizontal="left" vertical="center"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0" formatCode="General"/>
      <fill>
        <patternFill patternType="solid">
          <fgColor theme="0" tint="-0.14999847407452621"/>
          <bgColor theme="0" tint="-0.14999847407452621"/>
        </patternFill>
      </fill>
      <alignment horizontal="left" vertical="center" textRotation="0" wrapText="0" indent="0" justifyLastLine="0" shrinkToFit="0" readingOrder="0"/>
      <border diagonalUp="0" diagonalDown="0" outline="0">
        <left/>
        <right/>
        <top style="thin">
          <color indexed="64"/>
        </top>
        <bottom/>
      </border>
    </dxf>
    <dxf>
      <border outline="0">
        <left style="thin">
          <color rgb="FF000000"/>
        </left>
        <top style="thin">
          <color rgb="FF000000"/>
        </top>
        <bottom style="thin">
          <color rgb="FF000000"/>
        </bottom>
      </border>
    </dxf>
    <dxf>
      <font>
        <b/>
        <i val="0"/>
        <strike val="0"/>
        <condense val="0"/>
        <extend val="0"/>
        <outline val="0"/>
        <shadow val="0"/>
        <u val="none"/>
        <vertAlign val="baseline"/>
        <sz val="11"/>
        <color rgb="FF006100"/>
        <name val="Calibri"/>
        <family val="2"/>
        <scheme val="minor"/>
      </font>
      <fill>
        <patternFill patternType="solid">
          <fgColor indexed="64"/>
          <bgColor rgb="FFC6EFCE"/>
        </patternFill>
      </fill>
      <alignment horizontal="center" vertical="center" textRotation="0" wrapText="1" indent="0" justifyLastLine="0" shrinkToFit="0" readingOrder="0"/>
    </dxf>
    <dxf>
      <font>
        <color rgb="FFC00000"/>
      </font>
      <fill>
        <patternFill patternType="none">
          <bgColor auto="1"/>
        </patternFill>
      </fill>
    </dxf>
    <dxf>
      <font>
        <color theme="9" tint="-0.499984740745262"/>
      </font>
      <fill>
        <patternFill patternType="none">
          <bgColor auto="1"/>
        </patternFill>
      </fill>
    </dxf>
    <dxf>
      <font>
        <color theme="9" tint="-0.499984740745262"/>
      </font>
      <fill>
        <patternFill patternType="none">
          <bgColor auto="1"/>
        </patternFill>
      </fill>
    </dxf>
    <dxf>
      <font>
        <color theme="9" tint="-0.24994659260841701"/>
      </font>
    </dxf>
    <dxf>
      <font>
        <color rgb="FFFF0000"/>
      </font>
    </dxf>
    <dxf>
      <font>
        <color theme="9" tint="-0.24994659260841701"/>
      </font>
      <fill>
        <patternFill patternType="solid">
          <bgColor rgb="FF8CEAF4"/>
        </patternFill>
      </fill>
    </dxf>
    <dxf>
      <font>
        <color rgb="FFFF0000"/>
      </font>
    </dxf>
    <dxf>
      <font>
        <color theme="9" tint="-0.24994659260841701"/>
      </font>
      <fill>
        <patternFill patternType="solid">
          <bgColor theme="7" tint="0.79998168889431442"/>
        </patternFill>
      </fill>
    </dxf>
    <dxf>
      <font>
        <color rgb="FFFF0000"/>
      </font>
      <fill>
        <patternFill>
          <bgColor theme="7"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none">
          <bgColor auto="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none">
          <bgColor auto="1"/>
        </patternFill>
      </fill>
    </dxf>
    <dxf>
      <font>
        <color rgb="FF9C5700"/>
      </font>
      <fill>
        <patternFill>
          <bgColor rgb="FFFFEB9C"/>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none">
          <bgColor auto="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none">
          <bgColor auto="1"/>
        </patternFill>
      </fill>
    </dxf>
    <dxf>
      <font>
        <color rgb="FF9C5700"/>
      </font>
      <fill>
        <patternFill>
          <bgColor rgb="FFFFEB9C"/>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none">
          <bgColor auto="1"/>
        </patternFill>
      </fill>
    </dxf>
    <dxf>
      <font>
        <color rgb="FF9C5700"/>
      </font>
      <fill>
        <patternFill>
          <bgColor rgb="FFFFEB9C"/>
        </patternFill>
      </fill>
    </dxf>
    <dxf>
      <fill>
        <patternFill>
          <bgColor rgb="FFFDECDF"/>
        </patternFill>
      </fill>
      <border>
        <left style="thin">
          <color theme="2" tint="-0.24994659260841701"/>
        </left>
        <right style="thin">
          <color theme="2" tint="-0.24994659260841701"/>
        </right>
        <top style="thin">
          <color theme="2" tint="-0.24994659260841701"/>
        </top>
        <bottom style="thin">
          <color theme="2" tint="-0.24994659260841701"/>
        </bottom>
        <vertical style="thin">
          <color theme="2" tint="-0.24994659260841701"/>
        </vertical>
        <horizontal style="thin">
          <color theme="2" tint="-0.24994659260841701"/>
        </horizontal>
      </border>
    </dxf>
    <dxf>
      <font>
        <strike val="0"/>
        <color theme="0"/>
      </font>
      <fill>
        <patternFill>
          <bgColor rgb="FF2A9D8F"/>
        </patternFill>
      </fill>
      <border>
        <left style="thin">
          <color theme="2" tint="-0.24994659260841701"/>
        </left>
        <right style="thin">
          <color theme="2" tint="-0.24994659260841701"/>
        </right>
        <top style="thin">
          <color theme="2" tint="-0.24994659260841701"/>
        </top>
        <bottom style="thin">
          <color theme="2" tint="-0.24994659260841701"/>
        </bottom>
        <vertical style="thin">
          <color theme="2" tint="-0.24994659260841701"/>
        </vertical>
        <horizontal style="thin">
          <color theme="2" tint="-0.24994659260841701"/>
        </horizontal>
      </border>
    </dxf>
  </dxfs>
  <tableStyles count="1" defaultTableStyle="TableStyleMedium2" defaultPivotStyle="PivotStyleLight16">
    <tableStyle name="LowerColorado" pivot="0" count="2" xr9:uid="{102B8DB1-60FA-4DC2-9498-B0357CF68DA2}">
      <tableStyleElement type="headerRow" dxfId="140"/>
      <tableStyleElement type="firstRowStripe" dxfId="139"/>
    </tableStyle>
  </tableStyles>
  <colors>
    <mruColors>
      <color rgb="FF8CEAF4"/>
      <color rgb="FF7DE8F3"/>
      <color rgb="FF57E1EF"/>
      <color rgb="FF66FFFF"/>
      <color rgb="FF9AF1FA"/>
      <color rgb="FFFEBFBA"/>
      <color rgb="FFFD7267"/>
      <color rgb="FFFD715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3B8BE03-3FFB-4066-AEC5-78760A05ACAB}" name="FME_Input" displayName="FME_Input" ref="A5:BB2341" totalsRowShown="0">
  <autoFilter ref="A5:BB2341" xr:uid="{23B8BE03-3FFB-4066-AEC5-78760A05ACAB}"/>
  <sortState xmlns:xlrd2="http://schemas.microsoft.com/office/spreadsheetml/2017/richdata2" ref="A6:BB530">
    <sortCondition ref="B5:B530"/>
  </sortState>
  <tableColumns count="54">
    <tableColumn id="1" xr3:uid="{8DFD0D19-9D89-49A3-8B49-B1B6513093E0}" name="OBJECTID"/>
    <tableColumn id="4" xr3:uid="{5A34FEC1-76FE-4C12-8324-5A2C573A0A9B}" name="FME_ID"/>
    <tableColumn id="5" xr3:uid="{69DBEDC3-A001-4AE4-BF15-9E99445DE40B}" name="FME_NAME"/>
    <tableColumn id="6" xr3:uid="{119035DF-34A8-4C69-9E3D-5D6E98247E72}" name="DESCR"/>
    <tableColumn id="7" xr3:uid="{DEC8F061-28AC-4B9F-895B-C4B3B7622D64}" name="RFPG_NUM"/>
    <tableColumn id="8" xr3:uid="{84BBF80C-243C-41D2-B1D7-20E2956C0D67}" name="RFPG_NAME"/>
    <tableColumn id="9" xr3:uid="{0EAEA97C-BC49-40C1-9874-28FEAE7FB3F8}" name="COUNTY"/>
    <tableColumn id="10" xr3:uid="{26B296DC-A3D3-4183-AF55-77A533977D17}" name="HUC8"/>
    <tableColumn id="11" xr3:uid="{25B2FCCD-43C0-440D-B8F6-D1604F2242AD}" name="HUC10"/>
    <tableColumn id="12" xr3:uid="{4211F23C-2F02-45C4-B67E-2165D5B3841C}" name="HUC12"/>
    <tableColumn id="13" xr3:uid="{D120D29E-5755-45A5-96BE-415CDAE260B7}" name="WS_ID"/>
    <tableColumn id="14" xr3:uid="{57546C45-C2D8-4A19-8D97-A19A5DB7F7C6}" name="GOAL_ID"/>
    <tableColumn id="15" xr3:uid="{757B60E1-ACBC-498A-8046-3EA0D9504D48}" name="AREA_SQMI"/>
    <tableColumn id="16" xr3:uid="{2584A991-5F31-448B-BE31-CF2D0EE8F3A4}" name="FLD_TP_RIV"/>
    <tableColumn id="17" xr3:uid="{0C6BE347-3522-4D40-9A59-416022B5B8EA}" name="FLD_TP_CST"/>
    <tableColumn id="18" xr3:uid="{203672B1-EE0A-4303-9F7C-FFE066F07F04}" name="FLD_TP_LOC"/>
    <tableColumn id="19" xr3:uid="{305256DE-7E5B-4278-A6EC-6D9B05D8D426}" name="FLD_TP_PLY"/>
    <tableColumn id="20" xr3:uid="{3667B8A5-8BD7-4AD6-88CA-9C8DAD320F16}" name="FLD_TP_OTH"/>
    <tableColumn id="21" xr3:uid="{778EBFCF-A491-4874-AC7A-C79757D790B3}" name="SPONSOR"/>
    <tableColumn id="22" xr3:uid="{A62E9528-3911-436C-8DAE-F7EE9333A7E3}" name="ENTITY_ID"/>
    <tableColumn id="23" xr3:uid="{87AD2417-3B32-4ABB-843C-814EB2BB33C2}" name="EMER_NEED"/>
    <tableColumn id="24" xr3:uid="{2DA5DE0B-190E-4DE3-B61D-AAD1B760DD27}" name="FME_TYPE"/>
    <tableColumn id="25" xr3:uid="{F0E39972-3CB8-485A-B268-37DE408BD609}" name="FME_COST"/>
    <tableColumn id="26" xr3:uid="{EA9F28AB-D85A-4D34-9DB8-3C63ADC830A9}" name="FUND"/>
    <tableColumn id="27" xr3:uid="{552E742B-3276-49B3-976F-BE325FE3890E}" name="FUND_SRC"/>
    <tableColumn id="28" xr3:uid="{FAA9FC25-CB7F-4CAA-8848-29BEDDC48BC1}" name="FUND_AMNT"/>
    <tableColumn id="29" xr3:uid="{B6FAEF3A-B61D-4474-93CE-51C61EDC08FA}" name="STRUCT_100"/>
    <tableColumn id="30" xr3:uid="{3F281C3A-E7AC-4931-8D52-AD9934B57479}" name="RES_STRUCT100"/>
    <tableColumn id="31" xr3:uid="{5F3E4F0C-88C8-46E0-BDA2-CCB4A087D207}" name="POP_DAY100"/>
    <tableColumn id="32" xr3:uid="{EDDA67BC-3DD0-4BAB-A567-C1AC58FC71BA}" name="POP_NIGHT100"/>
    <tableColumn id="33" xr3:uid="{A76F55D5-BF85-42CD-93A2-9CFE72C66A38}" name="POP100"/>
    <tableColumn id="34" xr3:uid="{AF7FC783-8B1E-403E-B9A2-7A03C828049A}" name="CRITFAC100"/>
    <tableColumn id="35" xr3:uid="{D8B3868F-D0EE-46A5-A36C-90E4941EBCF2}" name="LWC"/>
    <tableColumn id="36" xr3:uid="{8EB02E68-3BCB-472D-BE8D-4B9812F6D1A0}" name="ROAD_MILES100"/>
    <tableColumn id="37" xr3:uid="{F16A32B1-FBF5-4C96-AA7B-C86184E920B5}" name="ROADCLS"/>
    <tableColumn id="38" xr3:uid="{C8259FAD-94B8-4A4C-918E-B1951525A0C4}" name="FARMACRE100"/>
    <tableColumn id="39" xr3:uid="{125D1F0C-7C57-4883-8E13-D4C45A2B8B3A}" name="NEW_MODEL"/>
    <tableColumn id="40" xr3:uid="{6B274723-DE8B-4435-AD76-39E76223AD5F}" name="MODEL_EXST"/>
    <tableColumn id="41" xr3:uid="{348A2817-C374-4574-9C13-9E276B45A558}" name="MODEL_DESC"/>
    <tableColumn id="42" xr3:uid="{C089DA58-7F77-4129-A15F-7B21897415C9}" name="HYDRO_DATE"/>
    <tableColumn id="43" xr3:uid="{40E8A23C-6BE3-4233-B232-BCF58CEB4F86}" name="HYDRA_DATE"/>
    <tableColumn id="44" xr3:uid="{7E26DFF7-9097-4612-AA9A-8A93E371CB08}" name="MODEL_ID"/>
    <tableColumn id="45" xr3:uid="{22FADAE4-EDAE-4EC3-903D-E5CCCCCE51AC}" name="MAP_EXST"/>
    <tableColumn id="46" xr3:uid="{C3B7EB13-E389-400C-9E56-D940E8BA58DB}" name="MAP_DESC"/>
    <tableColumn id="47" xr3:uid="{579CD8D0-3C95-4AF2-B737-13F465C4A612}" name="MAP_DATE"/>
    <tableColumn id="48" xr3:uid="{D783D5C4-F989-40F2-9400-D136B0040847}" name="SOURCE"/>
    <tableColumn id="49" xr3:uid="{4068E4CA-ABFD-4AE0-8709-52BF486F14E3}" name="SRC_DATE"/>
    <tableColumn id="50" xr3:uid="{92082CCB-ABF3-4867-BD81-9D9474E6A445}" name="SRC_LINK"/>
    <tableColumn id="51" xr3:uid="{226CA42A-8F86-403E-9E14-DE7377B671E4}" name="REGULATORY"/>
    <tableColumn id="52" xr3:uid="{2D9B16B1-EB2E-45E2-BA70-EC0394E51E19}" name="TERR_DATA"/>
    <tableColumn id="53" xr3:uid="{E2797D7E-5AA5-4195-9CEB-39317F01BABC}" name="TERR_DATE"/>
    <tableColumn id="54" xr3:uid="{13362678-CB29-42A5-B300-D53527AC1437}" name="RECOMMEND"/>
    <tableColumn id="55" xr3:uid="{10B6EBB4-30A1-43EA-B77D-8E5C3FFADC1E}" name="REC_DESC"/>
    <tableColumn id="56" xr3:uid="{6A14DEB4-A397-41FE-9EB2-C3362CB0522C}" name="Siz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D1210A5-B5DE-4C09-859D-BC28723808A9}" name="FME_Ranking1" displayName="FME_Ranking1" ref="A5:AK2341" totalsRowShown="0" headerRowDxfId="86" tableBorderDxfId="85" headerRowCellStyle="Good">
  <autoFilter ref="A5:AK2341" xr:uid="{BD1210A5-B5DE-4C09-859D-BC28723808A9}"/>
  <sortState xmlns:xlrd2="http://schemas.microsoft.com/office/spreadsheetml/2017/richdata2" ref="A6:AH2341">
    <sortCondition ref="AH5:AH2341"/>
  </sortState>
  <tableColumns count="37">
    <tableColumn id="1" xr3:uid="{F714A402-1107-43CA-8141-2D8E35B568EF}" name="FME ID" dataDxfId="84"/>
    <tableColumn id="10" xr3:uid="{1E9239DC-D790-415B-AB15-7A89E05E0866}" name="Region Number" dataDxfId="83">
      <calculatedColumnFormula>_xlfn.XLOOKUP(FME_Ranking1[[#This Row],[FME ID]],FME_Input[FME_ID],FME_Input[RFPG_NUM])</calculatedColumnFormula>
    </tableColumn>
    <tableColumn id="43" xr3:uid="{BFEC6E07-A409-4D6D-A518-1AA8AD34574E}" name="FME Name" dataDxfId="82">
      <calculatedColumnFormula>_xlfn.XLOOKUP(FME_Ranking1[[#This Row],[FME ID]],FME_Input[FME_ID],FME_Input[FME_NAME])</calculatedColumnFormula>
    </tableColumn>
    <tableColumn id="42" xr3:uid="{F539D2CA-84B6-4E06-9082-9BF7E8656E84}" name="FME Description" dataDxfId="81">
      <calculatedColumnFormula>_xlfn.XLOOKUP(FME_Ranking1[[#This Row],[FME ID]],FME_Input[FME_ID],FME_Input[DESCR])</calculatedColumnFormula>
    </tableColumn>
    <tableColumn id="9" xr3:uid="{E876CF73-7B44-416A-AAC1-C9307433904A}" name="Estimated Cost ($)" dataDxfId="80" dataCellStyle="Currency">
      <calculatedColumnFormula>_xlfn.XLOOKUP(FME_Ranking1[[#This Row],[FME ID]],FME_Input[FME_ID],FME_Input[FME_COST])</calculatedColumnFormula>
    </tableColumn>
    <tableColumn id="2" xr3:uid="{FE3478A9-1A4D-475F-8451-F1032F575F8C}" name="Emergency Need Raw" dataDxfId="79">
      <calculatedColumnFormula>_xlfn.XLOOKUP(FME_Ranking1[[#This Row],[FME ID]],FME_Input[FME_ID],FME_Input[EMER_NEED])</calculatedColumnFormula>
    </tableColumn>
    <tableColumn id="3" xr3:uid="{8FEE6A3C-C0C3-40DB-9DE7-154AF14729E7}" name="Emergency Need Score (Normalized, Unweighted)" dataDxfId="78">
      <calculatedColumnFormula>IF(FME_Ranking!F6="Yes",100,0)</calculatedColumnFormula>
    </tableColumn>
    <tableColumn id="6" xr3:uid="{656FD209-D19C-4EBB-869D-40AE6055EA74}" name="Emergency Need Weighted Score" dataDxfId="77">
      <calculatedColumnFormula>FME_Ranking1[[#This Row],[Emergency Need Score (Normalized, Unweighted)]]*$F$3</calculatedColumnFormula>
    </tableColumn>
    <tableColumn id="7" xr3:uid="{E6442E2E-E023-47DA-9C1E-E480725A4A69}" name="Structures 100 Raw" dataDxfId="76">
      <calculatedColumnFormula>_xlfn.XLOOKUP(FME_Ranking1[[#This Row],[FME ID]],FME_Input[FME_ID],FME_Input[STRUCT_100])</calculatedColumnFormula>
    </tableColumn>
    <tableColumn id="8" xr3:uid="{7D76ACD7-7B41-483C-A7C7-F876B15D903D}" name="Structures 100  Score (Normalized, Unweighted)" dataDxfId="75" dataCellStyle="Percent">
      <calculatedColumnFormula>(FME_Ranking1[[#This Row],[Structures 100 Raw]]/I$2)*100</calculatedColumnFormula>
    </tableColumn>
    <tableColumn id="5" xr3:uid="{3B07C6CA-7556-4143-B15B-B7D48ADCA08B}" name="Structures 100 Weighted Score" dataDxfId="74">
      <calculatedColumnFormula>FME_Ranking1[[#This Row],[Structures 100  Score (Normalized, Unweighted)]]*$I$3</calculatedColumnFormula>
    </tableColumn>
    <tableColumn id="11" xr3:uid="{B6698098-D41F-4D13-9F63-D6E19A015D59}" name="Res Structures Raw" dataDxfId="73">
      <calculatedColumnFormula>_xlfn.XLOOKUP(FME_Ranking1[[#This Row],[FME ID]],FME_Input[FME_ID],FME_Input[RES_STRUCT100])</calculatedColumnFormula>
    </tableColumn>
    <tableColumn id="12" xr3:uid="{49B2A455-4241-4923-921A-CB67DE3BCE4F}" name="Res Structures Score (Normalized, Unweighted)" dataDxfId="72">
      <calculatedColumnFormula>(FME_Ranking1[[#This Row],[Res Structures Raw]]/L$2)*100</calculatedColumnFormula>
    </tableColumn>
    <tableColumn id="22" xr3:uid="{3B20041B-9F5C-4CD7-8BDE-CE4AF03209F5}" name="Res Structures Weighted Score" dataDxfId="71">
      <calculatedColumnFormula>FME_Ranking1[[#This Row],[Res Structures Score (Normalized, Unweighted)]]*$L$3</calculatedColumnFormula>
    </tableColumn>
    <tableColumn id="15" xr3:uid="{7D66951F-F752-4EBF-AEC9-980CAF74C110}" name="Pop Raw" dataDxfId="70">
      <calculatedColumnFormula>_xlfn.XLOOKUP(FME_Ranking1[[#This Row],[FME ID]],FME_Input[FME_ID],FME_Input[POP100])</calculatedColumnFormula>
    </tableColumn>
    <tableColumn id="16" xr3:uid="{7662571B-3A94-4CE7-A709-42FBF917F9DC}" name="Pop Score (Normalized, Unweighted)" dataDxfId="69">
      <calculatedColumnFormula>(FME_Ranking1[[#This Row],[Pop Raw]]/$O$2)*100</calculatedColumnFormula>
    </tableColumn>
    <tableColumn id="21" xr3:uid="{840F6A3E-D61E-42E8-B3D2-AB2E6C97C470}" name="Pop Weighted Score" dataDxfId="68">
      <calculatedColumnFormula>FME_Ranking1[[#This Row],[Pop Score (Normalized, Unweighted)]]*$O$3</calculatedColumnFormula>
    </tableColumn>
    <tableColumn id="19" xr3:uid="{440E393B-16D7-447B-ADE8-7B8B037FC826}" name="Critical Facilities Raw" dataDxfId="67">
      <calculatedColumnFormula>_xlfn.XLOOKUP(FME_Ranking1[[#This Row],[FME ID]],FME_Input[FME_ID],FME_Input[CRITFAC100])</calculatedColumnFormula>
    </tableColumn>
    <tableColumn id="20" xr3:uid="{96312FBA-7B36-4350-BA98-83E86C29A425}" name="Critical Facilities Score (Normalized, Unweighted)" dataDxfId="66">
      <calculatedColumnFormula>(FME_Ranking1[[#This Row],[Critical Facilities Raw]]/$R$2)*100</calculatedColumnFormula>
    </tableColumn>
    <tableColumn id="26" xr3:uid="{A28A2B27-8B95-4DED-916A-29B44745384D}" name="Critical Facilities Weighted Score" dataDxfId="65">
      <calculatedColumnFormula>FME_Ranking1[[#This Row],[Critical Facilities Score (Normalized, Unweighted)]]*$R$3</calculatedColumnFormula>
    </tableColumn>
    <tableColumn id="23" xr3:uid="{8B9BFC04-445B-47E2-BD1D-8FA219698C75}" name="LWC Raw" dataDxfId="64">
      <calculatedColumnFormula>_xlfn.XLOOKUP(FME_Ranking1[[#This Row],[FME ID]],FME_Input[FME_ID],FME_Input[LWC])</calculatedColumnFormula>
    </tableColumn>
    <tableColumn id="24" xr3:uid="{E76A7BF9-5D77-4295-8214-CB038FAA8C56}" name="LWC Score (Normalized, Unweighted)" dataDxfId="63">
      <calculatedColumnFormula>(FME_Ranking1[[#This Row],[LWC Raw]]/$U$2)*100</calculatedColumnFormula>
    </tableColumn>
    <tableColumn id="31" xr3:uid="{108FB8FB-D1D6-4269-B164-E8D2EA491244}" name="LWC Weighted Score" dataDxfId="62">
      <calculatedColumnFormula>FME_Ranking1[[#This Row],[LWC Score (Normalized, Unweighted)]]*$U$3</calculatedColumnFormula>
    </tableColumn>
    <tableColumn id="27" xr3:uid="{52497550-7F52-4DB2-B84A-B340927F0AF1}" name="Closures Raw" dataDxfId="61">
      <calculatedColumnFormula>_xlfn.XLOOKUP(FME_Ranking1[[#This Row],[FME ID]],FME_Input[FME_ID],FME_Input[ROADCLS])</calculatedColumnFormula>
    </tableColumn>
    <tableColumn id="28" xr3:uid="{11136BAC-E3C9-4BA9-A437-231F80C0DC96}" name="Closures Score (Normalized, Unweighted)" dataDxfId="60">
      <calculatedColumnFormula>(FME_Ranking1[[#This Row],[Closures Raw]]/$X$2)*100</calculatedColumnFormula>
    </tableColumn>
    <tableColumn id="32" xr3:uid="{F42D545C-2A3A-424C-A4A8-CF053D39F766}" name="Closures Weighted Score" dataDxfId="59">
      <calculatedColumnFormula>FME_Ranking1[[#This Row],[Closures Score (Normalized, Unweighted)]]*$X$3</calculatedColumnFormula>
    </tableColumn>
    <tableColumn id="29" xr3:uid="{E2BB0AF3-9BE3-4182-B540-64EEDD83FD18}" name="Miles Raw" dataDxfId="58">
      <calculatedColumnFormula>_xlfn.XLOOKUP(FME_Ranking1[[#This Row],[FME ID]],FME_Input[FME_ID],FME_Input[ROAD_MILES100])</calculatedColumnFormula>
    </tableColumn>
    <tableColumn id="30" xr3:uid="{FD35A32F-D7F2-4C38-AE49-F9E374AB90A5}" name="Miles Score (Normalized, Unweighted)" dataDxfId="57">
      <calculatedColumnFormula>(FME_Ranking1[[#This Row],[Miles Raw]]/$AA$2)*100</calculatedColumnFormula>
    </tableColumn>
    <tableColumn id="35" xr3:uid="{1204B0C7-16CC-4111-9A16-D95A3A6676D3}" name="Miles Weighted Score" dataDxfId="56">
      <calculatedColumnFormula>FME_Ranking1[[#This Row],[Miles Score (Normalized, Unweighted)]]*$AA$3</calculatedColumnFormula>
    </tableColumn>
    <tableColumn id="33" xr3:uid="{4EA8C4F0-4222-49F0-9491-3F692B0E9372}" name="Ag Land Raw" dataDxfId="55">
      <calculatedColumnFormula>_xlfn.XLOOKUP(FME_Ranking1[[#This Row],[FME ID]],FME_Input[FME_ID],FME_Input[FARMACRE100])</calculatedColumnFormula>
    </tableColumn>
    <tableColumn id="34" xr3:uid="{01B59E4D-0FD2-4E6C-B230-860AD55F088C}" name="Ag Land Score (Normalized, Unweighted)" dataDxfId="54">
      <calculatedColumnFormula>(FME_Ranking1[[#This Row],[Ag Land Raw]]/$AD$2)*100</calculatedColumnFormula>
    </tableColumn>
    <tableColumn id="36" xr3:uid="{536C16C6-24F0-46A0-BEEC-DFDE9DEED890}" name="Ag Land Weighted Score" dataDxfId="53">
      <calculatedColumnFormula>FME_Ranking1[[#This Row],[Ag Land Score (Normalized, Unweighted)]]*$AD$3</calculatedColumnFormula>
    </tableColumn>
    <tableColumn id="13" xr3:uid="{2FAD1377-0A58-4C73-B033-A0AA8090D70B}" name="Weighted Score Based on Normalized Reported Factors" dataDxfId="1">
      <calculatedColumnFormula>(FME_Ranking1[[#This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calculatedColumnFormula>
    </tableColumn>
    <tableColumn id="14" xr3:uid="{D444DB89-92F8-40AC-8B02-6204FEBD5550}" name="Ranking Based on Normalized Reported Factors" dataDxfId="0">
      <calculatedColumnFormula>_xlfn.RANK.EQ(AG6,$AG$6:$AG$2341,0)</calculatedColumnFormula>
    </tableColumn>
    <tableColumn id="17" xr3:uid="{A6823314-4C30-4154-BE46-AED1EEBDD40B}" name="Addition check" dataDxfId="52">
      <calculatedColumnFormula>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calculatedColumnFormula>
    </tableColumn>
    <tableColumn id="37" xr3:uid="{9A738835-15B5-4C7D-B36E-7D77D66F0397}" name="Difference" dataDxfId="51">
      <calculatedColumnFormula>FME_Ranking1[[#This Row],[Addition check]]-FME_Ranking1[[#This Row],[Weighted Score Based on Normalized Reported Factors]]</calculatedColumnFormula>
    </tableColumn>
    <tableColumn id="18" xr3:uid="{02921707-8777-441A-95B6-8C148A664FA7}" name="Rank check" dataDxfId="50">
      <calculatedColumnFormula>_xlfn.RANK.EQ(AI6,$AI$6:$AI$2341,0)+COUNTIF($AI$6:AI6,AI6)-1</calculatedColumnFormula>
    </tableColumn>
  </tableColumns>
  <tableStyleInfo name="TableStyleMedium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68B5C3E-1C3B-4C5C-9E32-23D4BA5A3A10}" name="FME_Ranking2" displayName="FME_Ranking2" ref="A6:AQ531" totalsRowShown="0" headerRowDxfId="47" dataDxfId="46" tableBorderDxfId="45" headerRowCellStyle="Good">
  <autoFilter ref="A6:AQ531" xr:uid="{BD1210A5-B5DE-4C09-859D-BC28723808A9}"/>
  <sortState xmlns:xlrd2="http://schemas.microsoft.com/office/spreadsheetml/2017/richdata2" ref="A7:AQ531">
    <sortCondition ref="A6:A531"/>
  </sortState>
  <tableColumns count="43">
    <tableColumn id="1" xr3:uid="{B45DA3B7-4F36-48BE-A242-B21B5A0D488D}" name="FME ID" dataDxfId="44"/>
    <tableColumn id="43" xr3:uid="{4364D29A-91AA-469A-BA18-6618DB7AB23B}" name="FME Name" dataDxfId="43">
      <calculatedColumnFormula>_xlfn.XLOOKUP(FME_Ranking2[[#This Row],[FME ID]],FME_Input[FME_ID],FME_Input[FME_NAME])</calculatedColumnFormula>
    </tableColumn>
    <tableColumn id="42" xr3:uid="{3D5C0B07-5C98-4305-BDB1-A81D1E597F78}" name="FME Description" dataDxfId="42">
      <calculatedColumnFormula>_xlfn.XLOOKUP(FME_Ranking2[[#This Row],[FME ID]],FME_Input[FME_ID],FME_Input[DESCR])</calculatedColumnFormula>
    </tableColumn>
    <tableColumn id="2" xr3:uid="{EB394AA2-F65C-4ABC-A6E1-13390F10E0D1}" name="Raw Data1" dataDxfId="41">
      <calculatedColumnFormula>_xlfn.XLOOKUP(FME_Ranking2[[#This Row],[FME ID]],FME_Input[FME_ID],FME_Input[EMER_NEED])</calculatedColumnFormula>
    </tableColumn>
    <tableColumn id="3" xr3:uid="{8030F697-95E3-463E-801D-1643AAA8A740}" name="Raw Score1" dataDxfId="40">
      <calculatedColumnFormula>IF(FME_Ranking_Option2!$D7="Yes",100,0)</calculatedColumnFormula>
    </tableColumn>
    <tableColumn id="5" xr3:uid="{6BC3BC90-48E1-482D-AE5C-09D739592102}" name="Raw Data2" dataDxfId="39">
      <calculatedColumnFormula>_xlfn.XLOOKUP(FME_Ranking2[[#This Row],[FME ID]],FME_Input[FME_ID],FME_Input[FUND])</calculatedColumnFormula>
    </tableColumn>
    <tableColumn id="6" xr3:uid="{F972D90A-9881-4007-AFD1-1971F86AE4B4}" name="Raw Score2" dataDxfId="38">
      <calculatedColumnFormula>IF(FME_Ranking_Option2!$F7="Yes",1,0)</calculatedColumnFormula>
    </tableColumn>
    <tableColumn id="7" xr3:uid="{C1953831-6087-47F5-AEA0-59891CDB5891}" name="Raw Data3" dataDxfId="37">
      <calculatedColumnFormula>_xlfn.XLOOKUP(FME_Ranking2[[#This Row],[FME ID]],FME_Input[FME_ID],FME_Input[STRUCT_100])</calculatedColumnFormula>
    </tableColumn>
    <tableColumn id="8" xr3:uid="{48633200-D156-4595-AA9B-CD709506A6F3}" name="Raw Score3" dataDxfId="36" dataCellStyle="Percent">
      <calculatedColumnFormula>FME_Ranking2[[#This Row],[Raw Data3]]*H$4</calculatedColumnFormula>
    </tableColumn>
    <tableColumn id="9" xr3:uid="{AB655ED2-788E-40DF-A0DD-B465C04E0FE6}" name="Norm Data3" dataDxfId="35" dataCellStyle="Percent">
      <calculatedColumnFormula>((FME_Ranking_Option2!$H7)/($H$3))*100</calculatedColumnFormula>
    </tableColumn>
    <tableColumn id="10" xr3:uid="{F4FB52B6-411B-45E5-A63D-9E4305387313}" name="Norm Score3" dataDxfId="34">
      <calculatedColumnFormula>FME_Ranking2[[#This Row],[Norm Data3]]*H$4</calculatedColumnFormula>
    </tableColumn>
    <tableColumn id="11" xr3:uid="{BE89600E-798A-4ED2-ADC4-30B6DA659720}" name="Raw Data4" dataDxfId="33">
      <calculatedColumnFormula>_xlfn.XLOOKUP(FME_Ranking2[[#This Row],[FME ID]],FME_Input[FME_ID],FME_Input[RES_STRUCT100])</calculatedColumnFormula>
    </tableColumn>
    <tableColumn id="12" xr3:uid="{67D23038-0832-43E3-BE86-62B890CDC880}" name="Raw Score4" dataDxfId="32">
      <calculatedColumnFormula>FME_Ranking2[[#This Row],[Raw Data4]]*L$4</calculatedColumnFormula>
    </tableColumn>
    <tableColumn id="13" xr3:uid="{4819A444-BC1E-44F3-A4C2-B2E137A7DEF4}" name="Norm Data4" dataDxfId="31" dataCellStyle="Percent">
      <calculatedColumnFormula>((FME_Ranking_Option2!$L7)/($L$3))*100</calculatedColumnFormula>
    </tableColumn>
    <tableColumn id="14" xr3:uid="{0D416751-3A63-4595-AE3B-83342D006EC7}" name="Norm Score4" dataDxfId="30" dataCellStyle="Percent">
      <calculatedColumnFormula>FME_Ranking2[[#This Row],[Norm Data4]]*L$4</calculatedColumnFormula>
    </tableColumn>
    <tableColumn id="15" xr3:uid="{2A1AD337-E2AE-4C49-8959-F5782EEB7A59}" name="Raw Data5" dataDxfId="29">
      <calculatedColumnFormula>_xlfn.XLOOKUP(FME_Ranking2[[#This Row],[FME ID]],FME_Input[FME_ID],FME_Input[POP100])</calculatedColumnFormula>
    </tableColumn>
    <tableColumn id="16" xr3:uid="{FCA93881-62E5-45AE-A19D-79D56CFF0D3F}" name="Raw Score5" dataDxfId="28">
      <calculatedColumnFormula>FME_Ranking_Option2!$P7*P$4</calculatedColumnFormula>
    </tableColumn>
    <tableColumn id="17" xr3:uid="{C5848605-B25C-475E-B1BA-D06F76B7C450}" name="Norm Data5" dataDxfId="27">
      <calculatedColumnFormula>FME_Ranking_Option2!$P7/($P$3)</calculatedColumnFormula>
    </tableColumn>
    <tableColumn id="18" xr3:uid="{7D62F705-EB89-4A06-BE5A-3496362B5106}" name="Norm Score5" dataDxfId="26">
      <calculatedColumnFormula>FME_Ranking_Option2!$R7*P$4</calculatedColumnFormula>
    </tableColumn>
    <tableColumn id="19" xr3:uid="{7D2DD912-04AB-48C2-BA83-B88849EA62A0}" name="Raw Data6" dataDxfId="25">
      <calculatedColumnFormula>_xlfn.XLOOKUP(FME_Ranking2[[#This Row],[FME ID]],FME_Input[FME_ID],FME_Input[CRITFAC100])</calculatedColumnFormula>
    </tableColumn>
    <tableColumn id="20" xr3:uid="{4652ADDB-02D9-4A59-BE07-A3B7EB620202}" name="Raw Score6" dataDxfId="24">
      <calculatedColumnFormula>FME_Ranking_Option2!$T7*T$4</calculatedColumnFormula>
    </tableColumn>
    <tableColumn id="21" xr3:uid="{E5BCBBD1-8FC3-4E17-A005-09A60BF46696}" name="Norm Data6" dataDxfId="23">
      <calculatedColumnFormula>FME_Ranking_Option2!$T7/($T$3)</calculatedColumnFormula>
    </tableColumn>
    <tableColumn id="22" xr3:uid="{8C6B1A0A-C640-4394-B3AE-30FE13CB144C}" name="Norm Score6" dataDxfId="22">
      <calculatedColumnFormula>FME_Ranking_Option2!$V7*T$4</calculatedColumnFormula>
    </tableColumn>
    <tableColumn id="23" xr3:uid="{C1CE15D9-D07C-4C36-A4D3-84D7A5A443E9}" name="Raw Data7" dataDxfId="21">
      <calculatedColumnFormula>_xlfn.XLOOKUP(FME_Ranking2[[#This Row],[FME ID]],FME_Input[FME_ID],FME_Input[LWC])</calculatedColumnFormula>
    </tableColumn>
    <tableColumn id="24" xr3:uid="{68C55DEE-E82C-4C8A-9AC5-2ED136A7FE67}" name="Raw Score7" dataDxfId="20">
      <calculatedColumnFormula>FME_Ranking_Option2!$X7*X$4</calculatedColumnFormula>
    </tableColumn>
    <tableColumn id="25" xr3:uid="{B8F22D2C-1F24-4A92-9680-8D1BBBB40DF1}" name="Norm Data7" dataDxfId="19" dataCellStyle="Normal">
      <calculatedColumnFormula>FME_Ranking_Option2!$X7/($X$3)</calculatedColumnFormula>
    </tableColumn>
    <tableColumn id="26" xr3:uid="{0A74DF86-7297-4EB5-BEF2-EB953AA6EF3E}" name="Norm Score7" dataDxfId="18">
      <calculatedColumnFormula>FME_Ranking_Option2!$Z7*X$4</calculatedColumnFormula>
    </tableColumn>
    <tableColumn id="27" xr3:uid="{E0237053-1311-441F-8C2D-AA7AAD81E03A}" name="Raw Data8" dataDxfId="17">
      <calculatedColumnFormula>_xlfn.XLOOKUP(FME_Ranking2[[#This Row],[FME ID]],FME_Input[FME_ID],FME_Input[ROADCLS])</calculatedColumnFormula>
    </tableColumn>
    <tableColumn id="28" xr3:uid="{1D2CE7B2-E5BB-4A0C-AA42-E3DF7BA014F2}" name="Raw Score8" dataDxfId="16">
      <calculatedColumnFormula>FME_Ranking_Option2!$AB7*AB$4</calculatedColumnFormula>
    </tableColumn>
    <tableColumn id="29" xr3:uid="{6AC6E8D3-2BA7-455F-82D2-4D0F8FC18FBC}" name="Raw Data9" dataDxfId="15">
      <calculatedColumnFormula>_xlfn.XLOOKUP(FME_Ranking2[[#This Row],[FME ID]],FME_Input[FME_ID],FME_Input[ROAD_MILES100])</calculatedColumnFormula>
    </tableColumn>
    <tableColumn id="30" xr3:uid="{E2B71917-6312-4C42-8C79-613E1B29A89D}" name="Raw Score9" dataDxfId="14">
      <calculatedColumnFormula>FME_Ranking_Option2!$AD7*AD$4</calculatedColumnFormula>
    </tableColumn>
    <tableColumn id="31" xr3:uid="{8E500342-AE25-4FAF-9A16-6E66840D42DD}" name="Norm Data9" dataDxfId="13">
      <calculatedColumnFormula>FME_Ranking_Option2!$AD7/($AD$3)</calculatedColumnFormula>
    </tableColumn>
    <tableColumn id="32" xr3:uid="{2E9CDCF5-D654-442A-A5FA-FFEFBE865480}" name="Norm Score9" dataDxfId="12">
      <calculatedColumnFormula>FME_Ranking_Option2!$AF7*AD$4</calculatedColumnFormula>
    </tableColumn>
    <tableColumn id="33" xr3:uid="{0993D50C-AA0D-4723-816D-9558F8DFB0DC}" name="Raw Data10" dataDxfId="11">
      <calculatedColumnFormula>_xlfn.XLOOKUP(FME_Ranking2[[#This Row],[FME ID]],FME_Input[FME_ID],FME_Input[FARMACRE100])</calculatedColumnFormula>
    </tableColumn>
    <tableColumn id="34" xr3:uid="{15C2E13B-71E4-4E75-BE6B-42BFF3EA1561}" name="Raw Score10" dataDxfId="10">
      <calculatedColumnFormula>FME_Ranking_Option2!$AH7*AH$4</calculatedColumnFormula>
    </tableColumn>
    <tableColumn id="35" xr3:uid="{BB3DBE62-43DC-4D7D-8D7D-F4B8751F275B}" name="Norm Data10" dataDxfId="9">
      <calculatedColumnFormula>FME_Ranking_Option2!$AH7/($AH$3)</calculatedColumnFormula>
    </tableColumn>
    <tableColumn id="36" xr3:uid="{C28D561A-7E55-4EA7-8EDA-F473C577EC88}" name="Norm Score10" dataDxfId="8">
      <calculatedColumnFormula>FME_Ranking_Option2!$AJ7*AH$4</calculatedColumnFormula>
    </tableColumn>
    <tableColumn id="37" xr3:uid="{AC3DBEB5-96F8-4862-A480-D489BADD9B97}" name="Score Based on Reported Factors" dataDxfId="7">
      <calculatedColumnFormula>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calculatedColumnFormula>
    </tableColumn>
    <tableColumn id="38" xr3:uid="{CF1180AD-71BE-4418-A006-7ABABEA206B7}" name="Ranking Based on Reported Factors" dataDxfId="6">
      <calculatedColumnFormula>_xlfn.RANK.EQ(AL7,$AL$7:$AL$531)+COUNTIF(AL$7:AL7,AL7)-1</calculatedColumnFormula>
    </tableColumn>
    <tableColumn id="39" xr3:uid="{4D17016A-D324-4258-8815-4790A4EB3566}" name="Score Based on Normalized Factors" dataDxfId="5"/>
    <tableColumn id="40" xr3:uid="{E9E5F8C4-5C11-4817-B026-DCD6A3555FB2}" name="Ranking Based on Normalized Factors" dataDxfId="4">
      <calculatedColumnFormula>_xlfn.RANK.EQ(AN7,$AN$7:$AN$531)+COUNTIF(AN$7:AN7,AN7)-1</calculatedColumnFormula>
    </tableColumn>
    <tableColumn id="4" xr3:uid="{34F39AF7-0320-4099-BEBF-53FBEDAD6725}" name="Check" dataDxfId="3">
      <calculatedColumnFormula>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calculatedColumnFormula>
    </tableColumn>
    <tableColumn id="41" xr3:uid="{40CB6770-8DD6-4B98-A63E-66B846C3AE68}" name="Check2" dataDxfId="2">
      <calculatedColumnFormula>FME_Ranking2[[#This Row],[Score Based on Reported Factors]]-FME_Ranking2[[#This Row],[Check]]</calculatedColumnFormula>
    </tableColumn>
  </tableColumns>
  <tableStyleInfo name="TableStyleMedium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twdb.texas.gov/flood/planning/planningdocu/2023/doc/04_Exhibit_C_TechnicalGuidelines_April2021.pdf"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printerSettings" Target="../printerSettings/printerSettings5.bin"/><Relationship Id="rId1" Type="http://schemas.openxmlformats.org/officeDocument/2006/relationships/hyperlink" Target="../../../../../06_FloodData/2023RFP_Cycle1/03_Data_Summary/02_Draft_Plan/Statistics%20and%20Combined%20Spreadsheets/In%20Review/LWC_Stats.xlsx"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5F040-3490-4867-A223-B2FA0DDE6C68}">
  <dimension ref="A1:C11"/>
  <sheetViews>
    <sheetView zoomScale="140" zoomScaleNormal="140" workbookViewId="0">
      <selection sqref="A1:XFD1048576"/>
    </sheetView>
  </sheetViews>
  <sheetFormatPr defaultRowHeight="15" x14ac:dyDescent="0.25"/>
  <cols>
    <col min="1" max="1" width="15.85546875" style="8" customWidth="1"/>
    <col min="2" max="2" width="23.42578125" customWidth="1"/>
    <col min="3" max="3" width="104.28515625" customWidth="1"/>
  </cols>
  <sheetData>
    <row r="1" spans="1:3" x14ac:dyDescent="0.25">
      <c r="A1" s="8" t="s">
        <v>2344</v>
      </c>
    </row>
    <row r="3" spans="1:3" x14ac:dyDescent="0.25">
      <c r="A3" s="8" t="s">
        <v>2346</v>
      </c>
    </row>
    <row r="5" spans="1:3" x14ac:dyDescent="0.25">
      <c r="A5" s="8" t="s">
        <v>2345</v>
      </c>
    </row>
    <row r="6" spans="1:3" x14ac:dyDescent="0.25">
      <c r="B6" s="274" t="s">
        <v>2347</v>
      </c>
      <c r="C6" t="s">
        <v>11526</v>
      </c>
    </row>
    <row r="7" spans="1:3" ht="75" x14ac:dyDescent="0.25">
      <c r="B7" s="274" t="s">
        <v>11525</v>
      </c>
      <c r="C7" s="273" t="s">
        <v>11527</v>
      </c>
    </row>
    <row r="8" spans="1:3" ht="30" x14ac:dyDescent="0.25">
      <c r="B8" s="274" t="s">
        <v>11524</v>
      </c>
      <c r="C8" s="275" t="s">
        <v>11532</v>
      </c>
    </row>
    <row r="10" spans="1:3" x14ac:dyDescent="0.25">
      <c r="A10" s="279" t="s">
        <v>11529</v>
      </c>
      <c r="B10" s="279"/>
      <c r="C10" s="279"/>
    </row>
    <row r="11" spans="1:3" ht="35.25" customHeight="1" x14ac:dyDescent="0.25">
      <c r="A11" s="279"/>
      <c r="B11" s="279"/>
      <c r="C11" s="279"/>
    </row>
  </sheetData>
  <sheetProtection algorithmName="SHA-512" hashValue="og7E1AR7SHPsfoAQQC0nKE0+xymXzQjNehthJ3U0N9Tks36ATygQhcQbhMIZ3lLecaKYbryZNzceKyyiqltvQg==" saltValue="ufKNr/PyV5MNGV0XJ4dQkw==" spinCount="100000" sheet="1" objects="1" scenarios="1"/>
  <mergeCells count="1">
    <mergeCell ref="A10:C11"/>
  </mergeCells>
  <phoneticPr fontId="6"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64E57-7DDF-4D53-80D8-DE374FFEC65D}">
  <dimension ref="A1:BB2341"/>
  <sheetViews>
    <sheetView zoomScale="93" zoomScaleNormal="93" workbookViewId="0">
      <selection sqref="A1:XFD1048576"/>
    </sheetView>
  </sheetViews>
  <sheetFormatPr defaultColWidth="15.7109375" defaultRowHeight="15" x14ac:dyDescent="0.25"/>
  <cols>
    <col min="1" max="1" width="12.7109375" customWidth="1"/>
    <col min="2" max="2" width="10.7109375" customWidth="1"/>
    <col min="3" max="3" width="39.7109375" customWidth="1"/>
    <col min="4" max="4" width="10.7109375" customWidth="1"/>
    <col min="5" max="5" width="13.85546875" customWidth="1"/>
    <col min="6" max="6" width="15" customWidth="1"/>
    <col min="7" max="7" width="11" customWidth="1"/>
    <col min="8" max="11" width="10.7109375" customWidth="1"/>
    <col min="12" max="12" width="11.5703125" customWidth="1"/>
    <col min="13" max="13" width="14.42578125" customWidth="1"/>
    <col min="14" max="14" width="14.7109375" customWidth="1"/>
    <col min="15" max="15" width="15.28515625" customWidth="1"/>
    <col min="16" max="16" width="15.42578125" customWidth="1"/>
    <col min="17" max="17" width="15.140625" customWidth="1"/>
    <col min="18" max="18" width="15.42578125" customWidth="1"/>
    <col min="19" max="20" width="12.85546875" customWidth="1"/>
    <col min="21" max="21" width="14.5703125" customWidth="1"/>
    <col min="22" max="22" width="13.140625" customWidth="1"/>
    <col min="23" max="23" width="13.5703125" customWidth="1"/>
    <col min="24" max="24" width="10.7109375" customWidth="1"/>
    <col min="25" max="25" width="13.42578125" customWidth="1"/>
    <col min="26" max="26" width="14.85546875" customWidth="1"/>
    <col min="27" max="27" width="15" customWidth="1"/>
    <col min="28" max="28" width="18.85546875" customWidth="1"/>
    <col min="29" max="29" width="15.28515625" customWidth="1"/>
    <col min="30" max="30" width="17.42578125" customWidth="1"/>
    <col min="31" max="31" width="15.28515625" customWidth="1"/>
    <col min="32" max="32" width="14.5703125" customWidth="1"/>
    <col min="33" max="33" width="10.7109375" customWidth="1"/>
    <col min="34" max="34" width="18.7109375" customWidth="1"/>
    <col min="35" max="35" width="12.5703125" customWidth="1"/>
    <col min="36" max="36" width="17" customWidth="1"/>
    <col min="37" max="37" width="15.42578125" customWidth="1"/>
    <col min="38" max="38" width="16.140625" customWidth="1"/>
    <col min="39" max="39" width="16.28515625" customWidth="1"/>
    <col min="40" max="40" width="15.85546875" customWidth="1"/>
    <col min="41" max="41" width="15.7109375" customWidth="1"/>
    <col min="42" max="42" width="13" customWidth="1"/>
    <col min="43" max="43" width="13.5703125" customWidth="1"/>
    <col min="44" max="44" width="13.7109375" customWidth="1"/>
    <col min="45" max="45" width="13.5703125" customWidth="1"/>
    <col min="46" max="46" width="11.140625" customWidth="1"/>
    <col min="47" max="47" width="13.28515625" customWidth="1"/>
    <col min="48" max="48" width="12.7109375" customWidth="1"/>
    <col min="49" max="49" width="16.28515625" customWidth="1"/>
    <col min="50" max="50" width="14.42578125" customWidth="1"/>
    <col min="51" max="51" width="14.28515625" customWidth="1"/>
    <col min="52" max="52" width="15.5703125" customWidth="1"/>
    <col min="53" max="53" width="13.28515625" customWidth="1"/>
    <col min="54" max="54" width="10.7109375" customWidth="1"/>
  </cols>
  <sheetData>
    <row r="1" spans="1:54" x14ac:dyDescent="0.25">
      <c r="J1" s="147" t="s">
        <v>2331</v>
      </c>
      <c r="K1" s="147"/>
      <c r="L1" s="147"/>
      <c r="M1" s="147"/>
      <c r="N1" s="147"/>
    </row>
    <row r="2" spans="1:54" x14ac:dyDescent="0.25">
      <c r="J2" s="147"/>
      <c r="K2" s="147"/>
      <c r="L2" s="147"/>
      <c r="M2" s="147"/>
      <c r="N2" s="147"/>
    </row>
    <row r="3" spans="1:54" x14ac:dyDescent="0.25">
      <c r="J3" s="147"/>
      <c r="K3" s="147"/>
      <c r="L3" s="147"/>
      <c r="M3" s="147"/>
      <c r="N3" s="147"/>
    </row>
    <row r="5" spans="1:54" x14ac:dyDescent="0.25">
      <c r="A5" s="14" t="s">
        <v>622</v>
      </c>
      <c r="B5" s="14" t="s">
        <v>623</v>
      </c>
      <c r="C5" s="14" t="s">
        <v>624</v>
      </c>
      <c r="D5" s="14" t="s">
        <v>625</v>
      </c>
      <c r="E5" s="14" t="s">
        <v>626</v>
      </c>
      <c r="F5" s="14" t="s">
        <v>627</v>
      </c>
      <c r="G5" s="14" t="s">
        <v>628</v>
      </c>
      <c r="H5" s="14" t="s">
        <v>629</v>
      </c>
      <c r="I5" s="14" t="s">
        <v>630</v>
      </c>
      <c r="J5" s="14" t="s">
        <v>631</v>
      </c>
      <c r="K5" s="14" t="s">
        <v>632</v>
      </c>
      <c r="L5" s="14" t="s">
        <v>633</v>
      </c>
      <c r="M5" s="14" t="s">
        <v>634</v>
      </c>
      <c r="N5" s="14" t="s">
        <v>635</v>
      </c>
      <c r="O5" s="14" t="s">
        <v>636</v>
      </c>
      <c r="P5" s="14" t="s">
        <v>637</v>
      </c>
      <c r="Q5" s="14" t="s">
        <v>638</v>
      </c>
      <c r="R5" s="14" t="s">
        <v>639</v>
      </c>
      <c r="S5" s="14" t="s">
        <v>640</v>
      </c>
      <c r="T5" s="14" t="s">
        <v>641</v>
      </c>
      <c r="U5" s="14" t="s">
        <v>642</v>
      </c>
      <c r="V5" s="14" t="s">
        <v>643</v>
      </c>
      <c r="W5" s="14" t="s">
        <v>644</v>
      </c>
      <c r="X5" s="14" t="s">
        <v>645</v>
      </c>
      <c r="Y5" s="14" t="s">
        <v>646</v>
      </c>
      <c r="Z5" s="14" t="s">
        <v>647</v>
      </c>
      <c r="AA5" s="14" t="s">
        <v>648</v>
      </c>
      <c r="AB5" s="14" t="s">
        <v>649</v>
      </c>
      <c r="AC5" s="14" t="s">
        <v>650</v>
      </c>
      <c r="AD5" s="14" t="s">
        <v>651</v>
      </c>
      <c r="AE5" s="14" t="s">
        <v>652</v>
      </c>
      <c r="AF5" s="14" t="s">
        <v>653</v>
      </c>
      <c r="AG5" s="14" t="s">
        <v>654</v>
      </c>
      <c r="AH5" s="14" t="s">
        <v>655</v>
      </c>
      <c r="AI5" s="14" t="s">
        <v>656</v>
      </c>
      <c r="AJ5" s="14" t="s">
        <v>657</v>
      </c>
      <c r="AK5" s="14" t="s">
        <v>658</v>
      </c>
      <c r="AL5" s="14" t="s">
        <v>659</v>
      </c>
      <c r="AM5" s="14" t="s">
        <v>660</v>
      </c>
      <c r="AN5" s="14" t="s">
        <v>661</v>
      </c>
      <c r="AO5" s="14" t="s">
        <v>662</v>
      </c>
      <c r="AP5" s="14" t="s">
        <v>663</v>
      </c>
      <c r="AQ5" s="14" t="s">
        <v>664</v>
      </c>
      <c r="AR5" s="14" t="s">
        <v>665</v>
      </c>
      <c r="AS5" s="14" t="s">
        <v>666</v>
      </c>
      <c r="AT5" s="14" t="s">
        <v>667</v>
      </c>
      <c r="AU5" s="14" t="s">
        <v>668</v>
      </c>
      <c r="AV5" s="14" t="s">
        <v>669</v>
      </c>
      <c r="AW5" s="14" t="s">
        <v>670</v>
      </c>
      <c r="AX5" s="14" t="s">
        <v>671</v>
      </c>
      <c r="AY5" s="14" t="s">
        <v>672</v>
      </c>
      <c r="AZ5" s="14" t="s">
        <v>673</v>
      </c>
      <c r="BA5" s="14" t="s">
        <v>674</v>
      </c>
      <c r="BB5" s="14" t="s">
        <v>675</v>
      </c>
    </row>
    <row r="6" spans="1:54" x14ac:dyDescent="0.25">
      <c r="A6">
        <v>1</v>
      </c>
      <c r="B6" t="s">
        <v>2415</v>
      </c>
      <c r="C6" t="s">
        <v>2416</v>
      </c>
      <c r="D6" t="s">
        <v>2417</v>
      </c>
      <c r="E6">
        <v>1</v>
      </c>
      <c r="F6" t="s">
        <v>2418</v>
      </c>
      <c r="G6" t="s">
        <v>2419</v>
      </c>
      <c r="H6" t="s">
        <v>2420</v>
      </c>
      <c r="I6" t="s">
        <v>2421</v>
      </c>
      <c r="L6" t="s">
        <v>2422</v>
      </c>
      <c r="M6">
        <v>899.66888427734375</v>
      </c>
      <c r="N6" t="s">
        <v>54</v>
      </c>
      <c r="O6" t="s">
        <v>53</v>
      </c>
      <c r="P6" t="s">
        <v>53</v>
      </c>
      <c r="Q6" t="s">
        <v>54</v>
      </c>
      <c r="R6" t="s">
        <v>53</v>
      </c>
      <c r="S6" t="s">
        <v>2423</v>
      </c>
      <c r="T6" t="s">
        <v>2424</v>
      </c>
      <c r="U6" t="s">
        <v>53</v>
      </c>
      <c r="V6" t="s">
        <v>138</v>
      </c>
      <c r="W6">
        <v>926000</v>
      </c>
      <c r="X6" t="s">
        <v>53</v>
      </c>
      <c r="AA6">
        <v>7</v>
      </c>
      <c r="AB6">
        <v>1</v>
      </c>
      <c r="AC6">
        <v>0</v>
      </c>
      <c r="AD6">
        <v>3</v>
      </c>
      <c r="AE6">
        <v>3</v>
      </c>
      <c r="AF6">
        <v>0</v>
      </c>
      <c r="AG6">
        <v>5</v>
      </c>
      <c r="AH6">
        <v>33.463203430175781</v>
      </c>
      <c r="AI6">
        <v>5</v>
      </c>
      <c r="AJ6">
        <v>71380.671875</v>
      </c>
      <c r="AK6" t="s">
        <v>54</v>
      </c>
      <c r="AL6" t="s">
        <v>53</v>
      </c>
      <c r="AM6" t="s">
        <v>595</v>
      </c>
      <c r="AQ6" t="s">
        <v>53</v>
      </c>
      <c r="AR6" t="s">
        <v>595</v>
      </c>
      <c r="AT6" t="s">
        <v>595</v>
      </c>
      <c r="AW6" t="s">
        <v>53</v>
      </c>
      <c r="AZ6" t="s">
        <v>54</v>
      </c>
      <c r="BA6" t="s">
        <v>2425</v>
      </c>
      <c r="BB6" s="15" t="s">
        <v>676</v>
      </c>
    </row>
    <row r="7" spans="1:54" x14ac:dyDescent="0.25">
      <c r="A7">
        <v>2</v>
      </c>
      <c r="B7" t="s">
        <v>2426</v>
      </c>
      <c r="C7" t="s">
        <v>2427</v>
      </c>
      <c r="D7" t="s">
        <v>2417</v>
      </c>
      <c r="E7">
        <v>1</v>
      </c>
      <c r="F7" t="s">
        <v>2418</v>
      </c>
      <c r="G7" t="s">
        <v>2428</v>
      </c>
      <c r="H7" t="s">
        <v>2429</v>
      </c>
      <c r="I7" t="s">
        <v>2430</v>
      </c>
      <c r="J7" t="s">
        <v>2431</v>
      </c>
      <c r="K7" t="s">
        <v>2432</v>
      </c>
      <c r="L7" t="s">
        <v>2422</v>
      </c>
      <c r="M7">
        <v>420.97097778320313</v>
      </c>
      <c r="N7" t="s">
        <v>54</v>
      </c>
      <c r="O7" t="s">
        <v>53</v>
      </c>
      <c r="P7" t="s">
        <v>53</v>
      </c>
      <c r="Q7" t="s">
        <v>54</v>
      </c>
      <c r="R7" t="s">
        <v>53</v>
      </c>
      <c r="S7" t="s">
        <v>2433</v>
      </c>
      <c r="T7" t="s">
        <v>2434</v>
      </c>
      <c r="U7" t="s">
        <v>53</v>
      </c>
      <c r="V7" t="s">
        <v>138</v>
      </c>
      <c r="W7">
        <v>873000</v>
      </c>
      <c r="X7" t="s">
        <v>53</v>
      </c>
      <c r="AA7">
        <v>7</v>
      </c>
      <c r="AB7">
        <v>0</v>
      </c>
      <c r="AC7">
        <v>1</v>
      </c>
      <c r="AD7">
        <v>3</v>
      </c>
      <c r="AE7">
        <v>3</v>
      </c>
      <c r="AF7">
        <v>0</v>
      </c>
      <c r="AG7">
        <v>0</v>
      </c>
      <c r="AH7">
        <v>5.2066555023193359</v>
      </c>
      <c r="AI7">
        <v>0</v>
      </c>
      <c r="AJ7">
        <v>42190.99609375</v>
      </c>
      <c r="AK7" t="s">
        <v>54</v>
      </c>
      <c r="AL7" t="s">
        <v>53</v>
      </c>
      <c r="AM7" t="s">
        <v>595</v>
      </c>
      <c r="AQ7" t="s">
        <v>53</v>
      </c>
      <c r="AR7" t="s">
        <v>595</v>
      </c>
      <c r="AT7" t="s">
        <v>595</v>
      </c>
      <c r="AW7" t="s">
        <v>53</v>
      </c>
      <c r="AZ7" t="s">
        <v>54</v>
      </c>
      <c r="BA7" t="s">
        <v>2425</v>
      </c>
      <c r="BB7" s="15" t="s">
        <v>676</v>
      </c>
    </row>
    <row r="8" spans="1:54" x14ac:dyDescent="0.25">
      <c r="A8">
        <v>3</v>
      </c>
      <c r="B8" t="s">
        <v>2435</v>
      </c>
      <c r="C8" t="s">
        <v>2436</v>
      </c>
      <c r="D8" t="s">
        <v>2417</v>
      </c>
      <c r="E8">
        <v>1</v>
      </c>
      <c r="F8" t="s">
        <v>2418</v>
      </c>
      <c r="G8" t="s">
        <v>2437</v>
      </c>
      <c r="H8" t="s">
        <v>2438</v>
      </c>
      <c r="I8" t="s">
        <v>2439</v>
      </c>
      <c r="J8" t="s">
        <v>2440</v>
      </c>
      <c r="K8" t="s">
        <v>2441</v>
      </c>
      <c r="L8" t="s">
        <v>2422</v>
      </c>
      <c r="M8">
        <v>575.55322265625</v>
      </c>
      <c r="N8" t="s">
        <v>54</v>
      </c>
      <c r="O8" t="s">
        <v>53</v>
      </c>
      <c r="P8" t="s">
        <v>53</v>
      </c>
      <c r="Q8" t="s">
        <v>54</v>
      </c>
      <c r="R8" t="s">
        <v>53</v>
      </c>
      <c r="S8" t="s">
        <v>2442</v>
      </c>
      <c r="T8" t="s">
        <v>2443</v>
      </c>
      <c r="U8" t="s">
        <v>53</v>
      </c>
      <c r="V8" t="s">
        <v>138</v>
      </c>
      <c r="W8">
        <v>955000</v>
      </c>
      <c r="X8" t="s">
        <v>53</v>
      </c>
      <c r="AA8">
        <v>10</v>
      </c>
      <c r="AB8">
        <v>2</v>
      </c>
      <c r="AC8">
        <v>0</v>
      </c>
      <c r="AD8">
        <v>7</v>
      </c>
      <c r="AE8">
        <v>7</v>
      </c>
      <c r="AF8">
        <v>0</v>
      </c>
      <c r="AG8">
        <v>1</v>
      </c>
      <c r="AH8">
        <v>10.699201583862299</v>
      </c>
      <c r="AI8">
        <v>1</v>
      </c>
      <c r="AJ8">
        <v>46809.7265625</v>
      </c>
      <c r="AK8" t="s">
        <v>54</v>
      </c>
      <c r="AL8" t="s">
        <v>53</v>
      </c>
      <c r="AM8" t="s">
        <v>595</v>
      </c>
      <c r="AQ8" t="s">
        <v>53</v>
      </c>
      <c r="AR8" t="s">
        <v>595</v>
      </c>
      <c r="AT8" t="s">
        <v>595</v>
      </c>
      <c r="AW8" t="s">
        <v>53</v>
      </c>
      <c r="AZ8" t="s">
        <v>54</v>
      </c>
      <c r="BA8" t="s">
        <v>2425</v>
      </c>
      <c r="BB8" s="15" t="s">
        <v>676</v>
      </c>
    </row>
    <row r="9" spans="1:54" x14ac:dyDescent="0.25">
      <c r="A9">
        <v>4</v>
      </c>
      <c r="B9" t="s">
        <v>2444</v>
      </c>
      <c r="C9" t="s">
        <v>2445</v>
      </c>
      <c r="D9" t="s">
        <v>2417</v>
      </c>
      <c r="E9">
        <v>1</v>
      </c>
      <c r="F9" t="s">
        <v>2418</v>
      </c>
      <c r="G9" t="s">
        <v>2446</v>
      </c>
      <c r="H9" t="s">
        <v>2447</v>
      </c>
      <c r="I9" t="s">
        <v>2448</v>
      </c>
      <c r="J9" t="s">
        <v>2449</v>
      </c>
      <c r="K9" t="s">
        <v>2450</v>
      </c>
      <c r="L9" t="s">
        <v>2422</v>
      </c>
      <c r="M9">
        <v>330.93637084960938</v>
      </c>
      <c r="N9" t="s">
        <v>54</v>
      </c>
      <c r="O9" t="s">
        <v>53</v>
      </c>
      <c r="P9" t="s">
        <v>53</v>
      </c>
      <c r="Q9" t="s">
        <v>54</v>
      </c>
      <c r="R9" t="s">
        <v>53</v>
      </c>
      <c r="S9" t="s">
        <v>2451</v>
      </c>
      <c r="T9" t="s">
        <v>2452</v>
      </c>
      <c r="U9" t="s">
        <v>53</v>
      </c>
      <c r="V9" t="s">
        <v>138</v>
      </c>
      <c r="W9">
        <v>920000</v>
      </c>
      <c r="X9" t="s">
        <v>53</v>
      </c>
      <c r="AA9">
        <v>14</v>
      </c>
      <c r="AB9">
        <v>0</v>
      </c>
      <c r="AC9">
        <v>5</v>
      </c>
      <c r="AD9">
        <v>13</v>
      </c>
      <c r="AE9">
        <v>13</v>
      </c>
      <c r="AF9">
        <v>0</v>
      </c>
      <c r="AG9">
        <v>1</v>
      </c>
      <c r="AH9">
        <v>15.002859115600589</v>
      </c>
      <c r="AI9">
        <v>1</v>
      </c>
      <c r="AJ9">
        <v>23267.185546875</v>
      </c>
      <c r="AK9" t="s">
        <v>54</v>
      </c>
      <c r="AL9" t="s">
        <v>53</v>
      </c>
      <c r="AM9" t="s">
        <v>595</v>
      </c>
      <c r="AQ9" t="s">
        <v>53</v>
      </c>
      <c r="AR9" t="s">
        <v>595</v>
      </c>
      <c r="AT9" t="s">
        <v>595</v>
      </c>
      <c r="AW9" t="s">
        <v>53</v>
      </c>
      <c r="AZ9" t="s">
        <v>54</v>
      </c>
      <c r="BA9" t="s">
        <v>2425</v>
      </c>
      <c r="BB9" s="15" t="s">
        <v>676</v>
      </c>
    </row>
    <row r="10" spans="1:54" x14ac:dyDescent="0.25">
      <c r="A10">
        <v>5</v>
      </c>
      <c r="B10" t="s">
        <v>2453</v>
      </c>
      <c r="C10" t="s">
        <v>2454</v>
      </c>
      <c r="D10" t="s">
        <v>2417</v>
      </c>
      <c r="E10">
        <v>1</v>
      </c>
      <c r="F10" t="s">
        <v>2418</v>
      </c>
      <c r="G10" t="s">
        <v>2455</v>
      </c>
      <c r="H10" t="s">
        <v>2456</v>
      </c>
      <c r="I10" t="s">
        <v>2457</v>
      </c>
      <c r="K10" t="s">
        <v>2458</v>
      </c>
      <c r="L10" t="s">
        <v>2422</v>
      </c>
      <c r="M10">
        <v>506.09054565429688</v>
      </c>
      <c r="N10" t="s">
        <v>54</v>
      </c>
      <c r="O10" t="s">
        <v>53</v>
      </c>
      <c r="P10" t="s">
        <v>53</v>
      </c>
      <c r="Q10" t="s">
        <v>54</v>
      </c>
      <c r="R10" t="s">
        <v>53</v>
      </c>
      <c r="S10" t="s">
        <v>2459</v>
      </c>
      <c r="T10" t="s">
        <v>2460</v>
      </c>
      <c r="U10" t="s">
        <v>53</v>
      </c>
      <c r="V10" t="s">
        <v>138</v>
      </c>
      <c r="W10">
        <v>912000</v>
      </c>
      <c r="X10" t="s">
        <v>53</v>
      </c>
      <c r="AA10">
        <v>64</v>
      </c>
      <c r="AB10">
        <v>6</v>
      </c>
      <c r="AC10">
        <v>2</v>
      </c>
      <c r="AD10">
        <v>21</v>
      </c>
      <c r="AE10">
        <v>21</v>
      </c>
      <c r="AF10">
        <v>0</v>
      </c>
      <c r="AG10">
        <v>0</v>
      </c>
      <c r="AH10">
        <v>3.869895458221436</v>
      </c>
      <c r="AI10">
        <v>0</v>
      </c>
      <c r="AJ10">
        <v>45083.87109375</v>
      </c>
      <c r="AK10" t="s">
        <v>54</v>
      </c>
      <c r="AL10" t="s">
        <v>53</v>
      </c>
      <c r="AM10" t="s">
        <v>595</v>
      </c>
      <c r="AQ10" t="s">
        <v>53</v>
      </c>
      <c r="AR10" t="s">
        <v>595</v>
      </c>
      <c r="AT10" t="s">
        <v>595</v>
      </c>
      <c r="AW10" t="s">
        <v>53</v>
      </c>
      <c r="AZ10" t="s">
        <v>54</v>
      </c>
      <c r="BA10" t="s">
        <v>2425</v>
      </c>
      <c r="BB10" s="15" t="s">
        <v>678</v>
      </c>
    </row>
    <row r="11" spans="1:54" x14ac:dyDescent="0.25">
      <c r="A11">
        <v>6</v>
      </c>
      <c r="B11" t="s">
        <v>2461</v>
      </c>
      <c r="C11" t="s">
        <v>2462</v>
      </c>
      <c r="D11" t="s">
        <v>2417</v>
      </c>
      <c r="E11">
        <v>1</v>
      </c>
      <c r="F11" t="s">
        <v>2418</v>
      </c>
      <c r="G11" t="s">
        <v>2463</v>
      </c>
      <c r="H11" t="s">
        <v>2464</v>
      </c>
      <c r="I11" t="s">
        <v>2465</v>
      </c>
      <c r="L11" t="s">
        <v>2422</v>
      </c>
      <c r="M11">
        <v>925.4359130859375</v>
      </c>
      <c r="N11" t="s">
        <v>54</v>
      </c>
      <c r="O11" t="s">
        <v>53</v>
      </c>
      <c r="P11" t="s">
        <v>53</v>
      </c>
      <c r="Q11" t="s">
        <v>54</v>
      </c>
      <c r="R11" t="s">
        <v>53</v>
      </c>
      <c r="S11" t="s">
        <v>2466</v>
      </c>
      <c r="T11" t="s">
        <v>2467</v>
      </c>
      <c r="U11" t="s">
        <v>53</v>
      </c>
      <c r="V11" t="s">
        <v>138</v>
      </c>
      <c r="W11">
        <v>870000</v>
      </c>
      <c r="X11" t="s">
        <v>53</v>
      </c>
      <c r="AA11">
        <v>90</v>
      </c>
      <c r="AB11">
        <v>1</v>
      </c>
      <c r="AC11">
        <v>15</v>
      </c>
      <c r="AD11">
        <v>55</v>
      </c>
      <c r="AE11">
        <v>60</v>
      </c>
      <c r="AF11">
        <v>2</v>
      </c>
      <c r="AG11">
        <v>5</v>
      </c>
      <c r="AH11">
        <v>20.553482055664059</v>
      </c>
      <c r="AI11">
        <v>5</v>
      </c>
      <c r="AJ11">
        <v>91030.6015625</v>
      </c>
      <c r="AK11" t="s">
        <v>54</v>
      </c>
      <c r="AL11" t="s">
        <v>53</v>
      </c>
      <c r="AM11" t="s">
        <v>595</v>
      </c>
      <c r="AQ11" t="s">
        <v>53</v>
      </c>
      <c r="AR11" t="s">
        <v>595</v>
      </c>
      <c r="AT11" t="s">
        <v>595</v>
      </c>
      <c r="AW11" t="s">
        <v>53</v>
      </c>
      <c r="AZ11" t="s">
        <v>54</v>
      </c>
      <c r="BA11" t="s">
        <v>2425</v>
      </c>
      <c r="BB11" s="15" t="s">
        <v>676</v>
      </c>
    </row>
    <row r="12" spans="1:54" x14ac:dyDescent="0.25">
      <c r="A12">
        <v>7</v>
      </c>
      <c r="B12" t="s">
        <v>2468</v>
      </c>
      <c r="C12" t="s">
        <v>2469</v>
      </c>
      <c r="D12" t="s">
        <v>2417</v>
      </c>
      <c r="E12">
        <v>1</v>
      </c>
      <c r="F12" t="s">
        <v>2418</v>
      </c>
      <c r="G12" t="s">
        <v>2470</v>
      </c>
      <c r="H12" t="s">
        <v>2471</v>
      </c>
      <c r="I12" t="s">
        <v>2472</v>
      </c>
      <c r="L12" t="s">
        <v>2422</v>
      </c>
      <c r="M12">
        <v>926.12017822265625</v>
      </c>
      <c r="N12" t="s">
        <v>54</v>
      </c>
      <c r="O12" t="s">
        <v>53</v>
      </c>
      <c r="P12" t="s">
        <v>53</v>
      </c>
      <c r="Q12" t="s">
        <v>54</v>
      </c>
      <c r="R12" t="s">
        <v>53</v>
      </c>
      <c r="S12" t="s">
        <v>2473</v>
      </c>
      <c r="T12" t="s">
        <v>2474</v>
      </c>
      <c r="U12" t="s">
        <v>53</v>
      </c>
      <c r="V12" t="s">
        <v>138</v>
      </c>
      <c r="W12">
        <v>838000</v>
      </c>
      <c r="X12" t="s">
        <v>53</v>
      </c>
      <c r="AA12">
        <v>21</v>
      </c>
      <c r="AB12">
        <v>0</v>
      </c>
      <c r="AC12">
        <v>13</v>
      </c>
      <c r="AD12">
        <v>26</v>
      </c>
      <c r="AE12">
        <v>32</v>
      </c>
      <c r="AF12">
        <v>3</v>
      </c>
      <c r="AG12">
        <v>9</v>
      </c>
      <c r="AH12">
        <v>56.692455291748047</v>
      </c>
      <c r="AI12">
        <v>10</v>
      </c>
      <c r="AJ12">
        <v>44312.84375</v>
      </c>
      <c r="AK12" t="s">
        <v>54</v>
      </c>
      <c r="AL12" t="s">
        <v>53</v>
      </c>
      <c r="AM12" t="s">
        <v>595</v>
      </c>
      <c r="AQ12" t="s">
        <v>53</v>
      </c>
      <c r="AR12" t="s">
        <v>595</v>
      </c>
      <c r="AT12" t="s">
        <v>595</v>
      </c>
      <c r="AW12" t="s">
        <v>53</v>
      </c>
      <c r="AZ12" t="s">
        <v>54</v>
      </c>
      <c r="BA12" t="s">
        <v>2425</v>
      </c>
      <c r="BB12" s="15" t="s">
        <v>676</v>
      </c>
    </row>
    <row r="13" spans="1:54" x14ac:dyDescent="0.25">
      <c r="A13">
        <v>8</v>
      </c>
      <c r="B13" t="s">
        <v>2475</v>
      </c>
      <c r="C13" t="s">
        <v>2476</v>
      </c>
      <c r="D13" t="s">
        <v>2477</v>
      </c>
      <c r="E13">
        <v>1</v>
      </c>
      <c r="F13" t="s">
        <v>2418</v>
      </c>
      <c r="G13" t="s">
        <v>2478</v>
      </c>
      <c r="H13" t="s">
        <v>2479</v>
      </c>
      <c r="I13" t="s">
        <v>2480</v>
      </c>
      <c r="K13" t="s">
        <v>2481</v>
      </c>
      <c r="L13" t="s">
        <v>2482</v>
      </c>
      <c r="M13">
        <v>583.8780517578125</v>
      </c>
      <c r="N13" t="s">
        <v>54</v>
      </c>
      <c r="O13" t="s">
        <v>53</v>
      </c>
      <c r="P13" t="s">
        <v>53</v>
      </c>
      <c r="Q13" t="s">
        <v>54</v>
      </c>
      <c r="R13" t="s">
        <v>53</v>
      </c>
      <c r="S13" t="s">
        <v>2483</v>
      </c>
      <c r="T13" t="s">
        <v>2484</v>
      </c>
      <c r="U13" t="s">
        <v>53</v>
      </c>
      <c r="V13" t="s">
        <v>138</v>
      </c>
      <c r="W13">
        <v>500000</v>
      </c>
      <c r="X13" t="s">
        <v>53</v>
      </c>
      <c r="AA13">
        <v>35</v>
      </c>
      <c r="AB13">
        <v>3</v>
      </c>
      <c r="AC13">
        <v>4</v>
      </c>
      <c r="AD13">
        <v>22</v>
      </c>
      <c r="AE13">
        <v>22</v>
      </c>
      <c r="AF13">
        <v>0</v>
      </c>
      <c r="AG13">
        <v>10</v>
      </c>
      <c r="AH13">
        <v>76.583122253417969</v>
      </c>
      <c r="AI13">
        <v>37</v>
      </c>
      <c r="AJ13">
        <v>26594.5234375</v>
      </c>
      <c r="AK13" t="s">
        <v>54</v>
      </c>
      <c r="AL13" t="s">
        <v>53</v>
      </c>
      <c r="AM13" t="s">
        <v>595</v>
      </c>
      <c r="AQ13" t="s">
        <v>53</v>
      </c>
      <c r="AR13" t="s">
        <v>595</v>
      </c>
      <c r="AT13" t="s">
        <v>595</v>
      </c>
      <c r="AW13" t="s">
        <v>53</v>
      </c>
      <c r="AZ13" t="s">
        <v>54</v>
      </c>
      <c r="BA13" t="s">
        <v>2425</v>
      </c>
      <c r="BB13" s="15" t="s">
        <v>676</v>
      </c>
    </row>
    <row r="14" spans="1:54" x14ac:dyDescent="0.25">
      <c r="A14">
        <v>9</v>
      </c>
      <c r="B14" t="s">
        <v>2485</v>
      </c>
      <c r="C14" t="s">
        <v>2486</v>
      </c>
      <c r="D14" t="s">
        <v>2487</v>
      </c>
      <c r="E14">
        <v>1</v>
      </c>
      <c r="F14" t="s">
        <v>2418</v>
      </c>
      <c r="G14" t="s">
        <v>2488</v>
      </c>
      <c r="H14" t="s">
        <v>2489</v>
      </c>
      <c r="I14" t="s">
        <v>2490</v>
      </c>
      <c r="L14" t="s">
        <v>2482</v>
      </c>
      <c r="M14">
        <v>975.52056884765625</v>
      </c>
      <c r="N14" t="s">
        <v>54</v>
      </c>
      <c r="O14" t="s">
        <v>53</v>
      </c>
      <c r="P14" t="s">
        <v>53</v>
      </c>
      <c r="Q14" t="s">
        <v>53</v>
      </c>
      <c r="R14" t="s">
        <v>53</v>
      </c>
      <c r="S14" t="s">
        <v>2491</v>
      </c>
      <c r="T14" t="s">
        <v>2492</v>
      </c>
      <c r="U14" t="s">
        <v>53</v>
      </c>
      <c r="V14" t="s">
        <v>138</v>
      </c>
      <c r="W14">
        <v>500000</v>
      </c>
      <c r="X14" t="s">
        <v>53</v>
      </c>
      <c r="AA14">
        <v>132</v>
      </c>
      <c r="AB14">
        <v>29</v>
      </c>
      <c r="AC14">
        <v>520</v>
      </c>
      <c r="AD14">
        <v>99</v>
      </c>
      <c r="AE14">
        <v>583</v>
      </c>
      <c r="AF14">
        <v>2</v>
      </c>
      <c r="AG14">
        <v>39</v>
      </c>
      <c r="AH14">
        <v>87.621780395507813</v>
      </c>
      <c r="AI14">
        <v>45</v>
      </c>
      <c r="AJ14">
        <v>101721.125</v>
      </c>
      <c r="AK14" t="s">
        <v>54</v>
      </c>
      <c r="AL14" t="s">
        <v>53</v>
      </c>
      <c r="AM14" t="s">
        <v>595</v>
      </c>
      <c r="AQ14" t="s">
        <v>53</v>
      </c>
      <c r="AR14" t="s">
        <v>595</v>
      </c>
      <c r="AT14" t="s">
        <v>595</v>
      </c>
      <c r="AW14" t="s">
        <v>53</v>
      </c>
      <c r="AZ14" t="s">
        <v>54</v>
      </c>
      <c r="BA14" t="s">
        <v>2425</v>
      </c>
      <c r="BB14" s="15" t="s">
        <v>676</v>
      </c>
    </row>
    <row r="15" spans="1:54" x14ac:dyDescent="0.25">
      <c r="A15">
        <v>10</v>
      </c>
      <c r="B15" t="s">
        <v>2493</v>
      </c>
      <c r="C15" t="s">
        <v>2494</v>
      </c>
      <c r="D15" t="s">
        <v>2477</v>
      </c>
      <c r="E15">
        <v>1</v>
      </c>
      <c r="F15" t="s">
        <v>2418</v>
      </c>
      <c r="G15" t="s">
        <v>2446</v>
      </c>
      <c r="H15" t="s">
        <v>2447</v>
      </c>
      <c r="I15" t="s">
        <v>2448</v>
      </c>
      <c r="J15" t="s">
        <v>2449</v>
      </c>
      <c r="K15" t="s">
        <v>2450</v>
      </c>
      <c r="L15" t="s">
        <v>2482</v>
      </c>
      <c r="M15">
        <v>330.93637084960938</v>
      </c>
      <c r="N15" t="s">
        <v>54</v>
      </c>
      <c r="O15" t="s">
        <v>53</v>
      </c>
      <c r="P15" t="s">
        <v>53</v>
      </c>
      <c r="Q15" t="s">
        <v>54</v>
      </c>
      <c r="R15" t="s">
        <v>53</v>
      </c>
      <c r="S15" t="s">
        <v>2451</v>
      </c>
      <c r="T15" t="s">
        <v>2452</v>
      </c>
      <c r="U15" t="s">
        <v>53</v>
      </c>
      <c r="V15" t="s">
        <v>138</v>
      </c>
      <c r="W15">
        <v>500000</v>
      </c>
      <c r="X15" t="s">
        <v>53</v>
      </c>
      <c r="AA15">
        <v>14</v>
      </c>
      <c r="AB15">
        <v>0</v>
      </c>
      <c r="AC15">
        <v>5</v>
      </c>
      <c r="AD15">
        <v>13</v>
      </c>
      <c r="AE15">
        <v>13</v>
      </c>
      <c r="AF15">
        <v>0</v>
      </c>
      <c r="AG15">
        <v>1</v>
      </c>
      <c r="AH15">
        <v>15.002859115600589</v>
      </c>
      <c r="AI15">
        <v>1</v>
      </c>
      <c r="AJ15">
        <v>23267.185546875</v>
      </c>
      <c r="AK15" t="s">
        <v>54</v>
      </c>
      <c r="AL15" t="s">
        <v>53</v>
      </c>
      <c r="AM15" t="s">
        <v>595</v>
      </c>
      <c r="AQ15" t="s">
        <v>53</v>
      </c>
      <c r="AR15" t="s">
        <v>595</v>
      </c>
      <c r="AT15" t="s">
        <v>595</v>
      </c>
      <c r="AW15" t="s">
        <v>53</v>
      </c>
      <c r="AZ15" t="s">
        <v>54</v>
      </c>
      <c r="BA15" t="s">
        <v>2425</v>
      </c>
      <c r="BB15" s="15" t="s">
        <v>676</v>
      </c>
    </row>
    <row r="16" spans="1:54" x14ac:dyDescent="0.25">
      <c r="A16">
        <v>11</v>
      </c>
      <c r="B16" t="s">
        <v>2495</v>
      </c>
      <c r="C16" t="s">
        <v>2496</v>
      </c>
      <c r="D16" t="s">
        <v>2487</v>
      </c>
      <c r="E16">
        <v>1</v>
      </c>
      <c r="F16" t="s">
        <v>2418</v>
      </c>
      <c r="G16" t="s">
        <v>2497</v>
      </c>
      <c r="H16" t="s">
        <v>2498</v>
      </c>
      <c r="I16" t="s">
        <v>2499</v>
      </c>
      <c r="L16" t="s">
        <v>2482</v>
      </c>
      <c r="M16">
        <v>925.150146484375</v>
      </c>
      <c r="N16" t="s">
        <v>54</v>
      </c>
      <c r="O16" t="s">
        <v>53</v>
      </c>
      <c r="P16" t="s">
        <v>53</v>
      </c>
      <c r="Q16" t="s">
        <v>54</v>
      </c>
      <c r="R16" t="s">
        <v>53</v>
      </c>
      <c r="S16" t="s">
        <v>2500</v>
      </c>
      <c r="T16" t="s">
        <v>2501</v>
      </c>
      <c r="U16" t="s">
        <v>53</v>
      </c>
      <c r="V16" t="s">
        <v>138</v>
      </c>
      <c r="W16">
        <v>500000</v>
      </c>
      <c r="X16" t="s">
        <v>53</v>
      </c>
      <c r="AA16">
        <v>87</v>
      </c>
      <c r="AB16">
        <v>43</v>
      </c>
      <c r="AC16">
        <v>190</v>
      </c>
      <c r="AD16">
        <v>102</v>
      </c>
      <c r="AE16">
        <v>270</v>
      </c>
      <c r="AF16">
        <v>4</v>
      </c>
      <c r="AG16">
        <v>10</v>
      </c>
      <c r="AH16">
        <v>35.602127075195313</v>
      </c>
      <c r="AI16">
        <v>12</v>
      </c>
      <c r="AJ16">
        <v>43317.89453125</v>
      </c>
      <c r="AK16" t="s">
        <v>54</v>
      </c>
      <c r="AL16" t="s">
        <v>53</v>
      </c>
      <c r="AM16" t="s">
        <v>595</v>
      </c>
      <c r="AQ16" t="s">
        <v>53</v>
      </c>
      <c r="AR16" t="s">
        <v>595</v>
      </c>
      <c r="AT16" t="s">
        <v>595</v>
      </c>
      <c r="AW16" t="s">
        <v>53</v>
      </c>
      <c r="AZ16" t="s">
        <v>54</v>
      </c>
      <c r="BA16" t="s">
        <v>2425</v>
      </c>
      <c r="BB16" s="15" t="s">
        <v>678</v>
      </c>
    </row>
    <row r="17" spans="1:54" x14ac:dyDescent="0.25">
      <c r="A17">
        <v>12</v>
      </c>
      <c r="B17" t="s">
        <v>2502</v>
      </c>
      <c r="C17" t="s">
        <v>2503</v>
      </c>
      <c r="D17" t="s">
        <v>2487</v>
      </c>
      <c r="E17">
        <v>1</v>
      </c>
      <c r="F17" t="s">
        <v>2418</v>
      </c>
      <c r="G17" t="s">
        <v>2463</v>
      </c>
      <c r="H17" t="s">
        <v>2464</v>
      </c>
      <c r="I17" t="s">
        <v>2465</v>
      </c>
      <c r="L17" t="s">
        <v>2482</v>
      </c>
      <c r="M17">
        <v>925.4359130859375</v>
      </c>
      <c r="N17" t="s">
        <v>54</v>
      </c>
      <c r="O17" t="s">
        <v>53</v>
      </c>
      <c r="P17" t="s">
        <v>53</v>
      </c>
      <c r="Q17" t="s">
        <v>54</v>
      </c>
      <c r="R17" t="s">
        <v>53</v>
      </c>
      <c r="S17" t="s">
        <v>2466</v>
      </c>
      <c r="T17" t="s">
        <v>2467</v>
      </c>
      <c r="U17" t="s">
        <v>53</v>
      </c>
      <c r="V17" t="s">
        <v>138</v>
      </c>
      <c r="W17">
        <v>500000</v>
      </c>
      <c r="X17" t="s">
        <v>53</v>
      </c>
      <c r="AA17">
        <v>90</v>
      </c>
      <c r="AB17">
        <v>1</v>
      </c>
      <c r="AC17">
        <v>15</v>
      </c>
      <c r="AD17">
        <v>55</v>
      </c>
      <c r="AE17">
        <v>60</v>
      </c>
      <c r="AF17">
        <v>2</v>
      </c>
      <c r="AG17">
        <v>5</v>
      </c>
      <c r="AH17">
        <v>20.553482055664059</v>
      </c>
      <c r="AI17">
        <v>5</v>
      </c>
      <c r="AJ17">
        <v>91030.6015625</v>
      </c>
      <c r="AK17" t="s">
        <v>54</v>
      </c>
      <c r="AL17" t="s">
        <v>53</v>
      </c>
      <c r="AM17" t="s">
        <v>595</v>
      </c>
      <c r="AQ17" t="s">
        <v>53</v>
      </c>
      <c r="AR17" t="s">
        <v>595</v>
      </c>
      <c r="AT17" t="s">
        <v>595</v>
      </c>
      <c r="AW17" t="s">
        <v>53</v>
      </c>
      <c r="AZ17" t="s">
        <v>54</v>
      </c>
      <c r="BA17" t="s">
        <v>2425</v>
      </c>
      <c r="BB17" s="15" t="s">
        <v>678</v>
      </c>
    </row>
    <row r="18" spans="1:54" x14ac:dyDescent="0.25">
      <c r="A18">
        <v>13</v>
      </c>
      <c r="B18" t="s">
        <v>2504</v>
      </c>
      <c r="C18" t="s">
        <v>2505</v>
      </c>
      <c r="D18" t="s">
        <v>2487</v>
      </c>
      <c r="E18">
        <v>1</v>
      </c>
      <c r="F18" t="s">
        <v>2418</v>
      </c>
      <c r="G18" t="s">
        <v>2506</v>
      </c>
      <c r="H18" t="s">
        <v>2507</v>
      </c>
      <c r="I18" t="s">
        <v>2508</v>
      </c>
      <c r="L18" t="s">
        <v>2482</v>
      </c>
      <c r="M18">
        <v>896.88250732421875</v>
      </c>
      <c r="N18" t="s">
        <v>54</v>
      </c>
      <c r="O18" t="s">
        <v>53</v>
      </c>
      <c r="P18" t="s">
        <v>53</v>
      </c>
      <c r="Q18" t="s">
        <v>54</v>
      </c>
      <c r="R18" t="s">
        <v>53</v>
      </c>
      <c r="S18" t="s">
        <v>2509</v>
      </c>
      <c r="T18" t="s">
        <v>2510</v>
      </c>
      <c r="U18" t="s">
        <v>53</v>
      </c>
      <c r="V18" t="s">
        <v>138</v>
      </c>
      <c r="W18">
        <v>500000</v>
      </c>
      <c r="X18" t="s">
        <v>53</v>
      </c>
      <c r="AA18">
        <v>428</v>
      </c>
      <c r="AB18">
        <v>0</v>
      </c>
      <c r="AC18">
        <v>552</v>
      </c>
      <c r="AD18">
        <v>587</v>
      </c>
      <c r="AE18">
        <v>925</v>
      </c>
      <c r="AF18">
        <v>2</v>
      </c>
      <c r="AG18">
        <v>10</v>
      </c>
      <c r="AH18">
        <v>29.867507934570309</v>
      </c>
      <c r="AI18">
        <v>10</v>
      </c>
      <c r="AJ18">
        <v>70011.9921875</v>
      </c>
      <c r="AK18" t="s">
        <v>54</v>
      </c>
      <c r="AL18" t="s">
        <v>53</v>
      </c>
      <c r="AM18" t="s">
        <v>595</v>
      </c>
      <c r="AQ18" t="s">
        <v>53</v>
      </c>
      <c r="AR18" t="s">
        <v>595</v>
      </c>
      <c r="AT18" t="s">
        <v>595</v>
      </c>
      <c r="AW18" t="s">
        <v>53</v>
      </c>
      <c r="AZ18" t="s">
        <v>54</v>
      </c>
      <c r="BA18" t="s">
        <v>2425</v>
      </c>
      <c r="BB18" s="15" t="s">
        <v>676</v>
      </c>
    </row>
    <row r="19" spans="1:54" x14ac:dyDescent="0.25">
      <c r="A19">
        <v>14</v>
      </c>
      <c r="B19" t="s">
        <v>2511</v>
      </c>
      <c r="C19" t="s">
        <v>2512</v>
      </c>
      <c r="D19" t="s">
        <v>2487</v>
      </c>
      <c r="E19">
        <v>1</v>
      </c>
      <c r="F19" t="s">
        <v>2418</v>
      </c>
      <c r="G19" t="s">
        <v>2513</v>
      </c>
      <c r="H19" t="s">
        <v>2514</v>
      </c>
      <c r="I19" t="s">
        <v>2515</v>
      </c>
      <c r="L19" t="s">
        <v>2482</v>
      </c>
      <c r="M19">
        <v>1466.1484375</v>
      </c>
      <c r="N19" t="s">
        <v>54</v>
      </c>
      <c r="O19" t="s">
        <v>53</v>
      </c>
      <c r="P19" t="s">
        <v>53</v>
      </c>
      <c r="Q19" t="s">
        <v>54</v>
      </c>
      <c r="R19" t="s">
        <v>53</v>
      </c>
      <c r="S19" t="s">
        <v>2516</v>
      </c>
      <c r="T19" t="s">
        <v>2517</v>
      </c>
      <c r="U19" t="s">
        <v>53</v>
      </c>
      <c r="V19" t="s">
        <v>138</v>
      </c>
      <c r="W19">
        <v>500000</v>
      </c>
      <c r="X19" t="s">
        <v>53</v>
      </c>
      <c r="AA19">
        <v>111</v>
      </c>
      <c r="AB19">
        <v>65</v>
      </c>
      <c r="AC19">
        <v>209</v>
      </c>
      <c r="AD19">
        <v>159</v>
      </c>
      <c r="AE19">
        <v>281</v>
      </c>
      <c r="AF19">
        <v>5</v>
      </c>
      <c r="AG19">
        <v>61</v>
      </c>
      <c r="AH19">
        <v>83.215591430664063</v>
      </c>
      <c r="AI19">
        <v>63</v>
      </c>
      <c r="AJ19">
        <v>91162.8671875</v>
      </c>
      <c r="AK19" t="s">
        <v>54</v>
      </c>
      <c r="AL19" t="s">
        <v>53</v>
      </c>
      <c r="AM19" t="s">
        <v>595</v>
      </c>
      <c r="AQ19" t="s">
        <v>53</v>
      </c>
      <c r="AR19" t="s">
        <v>595</v>
      </c>
      <c r="AT19" t="s">
        <v>595</v>
      </c>
      <c r="AW19" t="s">
        <v>53</v>
      </c>
      <c r="AZ19" t="s">
        <v>54</v>
      </c>
      <c r="BA19" t="s">
        <v>2425</v>
      </c>
      <c r="BB19" s="15" t="s">
        <v>676</v>
      </c>
    </row>
    <row r="20" spans="1:54" x14ac:dyDescent="0.25">
      <c r="A20">
        <v>15</v>
      </c>
      <c r="B20" t="s">
        <v>2518</v>
      </c>
      <c r="C20" t="s">
        <v>2519</v>
      </c>
      <c r="D20" t="s">
        <v>2487</v>
      </c>
      <c r="E20">
        <v>1</v>
      </c>
      <c r="F20" t="s">
        <v>2418</v>
      </c>
      <c r="G20" t="s">
        <v>2520</v>
      </c>
      <c r="H20" t="s">
        <v>2521</v>
      </c>
      <c r="I20" t="s">
        <v>2522</v>
      </c>
      <c r="L20" t="s">
        <v>2482</v>
      </c>
      <c r="M20">
        <v>713.08544921875</v>
      </c>
      <c r="N20" t="s">
        <v>54</v>
      </c>
      <c r="O20" t="s">
        <v>53</v>
      </c>
      <c r="P20" t="s">
        <v>53</v>
      </c>
      <c r="Q20" t="s">
        <v>54</v>
      </c>
      <c r="R20" t="s">
        <v>53</v>
      </c>
      <c r="S20" t="s">
        <v>2523</v>
      </c>
      <c r="T20" t="s">
        <v>2524</v>
      </c>
      <c r="U20" t="s">
        <v>53</v>
      </c>
      <c r="V20" t="s">
        <v>138</v>
      </c>
      <c r="W20">
        <v>500000</v>
      </c>
      <c r="X20" t="s">
        <v>53</v>
      </c>
      <c r="AA20">
        <v>47</v>
      </c>
      <c r="AB20">
        <v>17</v>
      </c>
      <c r="AC20">
        <v>16</v>
      </c>
      <c r="AD20">
        <v>56</v>
      </c>
      <c r="AE20">
        <v>59</v>
      </c>
      <c r="AF20">
        <v>1</v>
      </c>
      <c r="AG20">
        <v>8</v>
      </c>
      <c r="AH20">
        <v>52.279953002929688</v>
      </c>
      <c r="AI20">
        <v>8</v>
      </c>
      <c r="AJ20">
        <v>65435.875</v>
      </c>
      <c r="AK20" t="s">
        <v>54</v>
      </c>
      <c r="AL20" t="s">
        <v>53</v>
      </c>
      <c r="AM20" t="s">
        <v>595</v>
      </c>
      <c r="AQ20" t="s">
        <v>53</v>
      </c>
      <c r="AR20" t="s">
        <v>595</v>
      </c>
      <c r="AT20" t="s">
        <v>595</v>
      </c>
      <c r="AW20" t="s">
        <v>53</v>
      </c>
      <c r="AZ20" t="s">
        <v>54</v>
      </c>
      <c r="BA20" t="s">
        <v>2425</v>
      </c>
      <c r="BB20" s="15" t="s">
        <v>676</v>
      </c>
    </row>
    <row r="21" spans="1:54" x14ac:dyDescent="0.25">
      <c r="A21">
        <v>16</v>
      </c>
      <c r="B21" t="s">
        <v>2525</v>
      </c>
      <c r="C21" t="s">
        <v>2526</v>
      </c>
      <c r="D21" t="s">
        <v>2487</v>
      </c>
      <c r="E21">
        <v>1</v>
      </c>
      <c r="F21" t="s">
        <v>2418</v>
      </c>
      <c r="G21" t="s">
        <v>2527</v>
      </c>
      <c r="H21" t="s">
        <v>2528</v>
      </c>
      <c r="I21" t="s">
        <v>2529</v>
      </c>
      <c r="L21" t="s">
        <v>2482</v>
      </c>
      <c r="M21">
        <v>903.35498046875</v>
      </c>
      <c r="N21" t="s">
        <v>54</v>
      </c>
      <c r="O21" t="s">
        <v>53</v>
      </c>
      <c r="P21" t="s">
        <v>53</v>
      </c>
      <c r="Q21" t="s">
        <v>54</v>
      </c>
      <c r="R21" t="s">
        <v>53</v>
      </c>
      <c r="S21" t="s">
        <v>2530</v>
      </c>
      <c r="T21" t="s">
        <v>2531</v>
      </c>
      <c r="U21" t="s">
        <v>53</v>
      </c>
      <c r="V21" t="s">
        <v>138</v>
      </c>
      <c r="W21">
        <v>500000</v>
      </c>
      <c r="X21" t="s">
        <v>53</v>
      </c>
      <c r="AA21">
        <v>66</v>
      </c>
      <c r="AB21">
        <v>11</v>
      </c>
      <c r="AC21">
        <v>33</v>
      </c>
      <c r="AD21">
        <v>37</v>
      </c>
      <c r="AE21">
        <v>63</v>
      </c>
      <c r="AF21">
        <v>5</v>
      </c>
      <c r="AG21">
        <v>22</v>
      </c>
      <c r="AH21">
        <v>73.761383056640625</v>
      </c>
      <c r="AI21">
        <v>22</v>
      </c>
      <c r="AJ21">
        <v>90608.1640625</v>
      </c>
      <c r="AK21" t="s">
        <v>54</v>
      </c>
      <c r="AL21" t="s">
        <v>53</v>
      </c>
      <c r="AM21" t="s">
        <v>595</v>
      </c>
      <c r="AQ21" t="s">
        <v>53</v>
      </c>
      <c r="AR21" t="s">
        <v>595</v>
      </c>
      <c r="AT21" t="s">
        <v>595</v>
      </c>
      <c r="AW21" t="s">
        <v>53</v>
      </c>
      <c r="AZ21" t="s">
        <v>54</v>
      </c>
      <c r="BA21" t="s">
        <v>2425</v>
      </c>
      <c r="BB21" s="15" t="s">
        <v>676</v>
      </c>
    </row>
    <row r="22" spans="1:54" x14ac:dyDescent="0.25">
      <c r="A22">
        <v>17</v>
      </c>
      <c r="B22" t="s">
        <v>2532</v>
      </c>
      <c r="C22" t="s">
        <v>2533</v>
      </c>
      <c r="D22" t="s">
        <v>2534</v>
      </c>
      <c r="E22">
        <v>1</v>
      </c>
      <c r="F22" t="s">
        <v>2418</v>
      </c>
      <c r="G22" t="s">
        <v>2535</v>
      </c>
      <c r="H22" t="s">
        <v>2536</v>
      </c>
      <c r="I22" t="s">
        <v>2537</v>
      </c>
      <c r="L22" t="s">
        <v>2482</v>
      </c>
      <c r="M22">
        <v>827.50860595703125</v>
      </c>
      <c r="N22" t="s">
        <v>54</v>
      </c>
      <c r="O22" t="s">
        <v>53</v>
      </c>
      <c r="P22" t="s">
        <v>53</v>
      </c>
      <c r="Q22" t="s">
        <v>54</v>
      </c>
      <c r="R22" t="s">
        <v>53</v>
      </c>
      <c r="S22" t="s">
        <v>2538</v>
      </c>
      <c r="T22" t="s">
        <v>2539</v>
      </c>
      <c r="U22" t="s">
        <v>53</v>
      </c>
      <c r="V22" t="s">
        <v>138</v>
      </c>
      <c r="W22">
        <v>500000</v>
      </c>
      <c r="X22" t="s">
        <v>53</v>
      </c>
      <c r="AA22">
        <v>57</v>
      </c>
      <c r="AB22">
        <v>21</v>
      </c>
      <c r="AC22">
        <v>5</v>
      </c>
      <c r="AD22">
        <v>53</v>
      </c>
      <c r="AE22">
        <v>54</v>
      </c>
      <c r="AF22">
        <v>0</v>
      </c>
      <c r="AG22">
        <v>11</v>
      </c>
      <c r="AH22">
        <v>203.70433044433591</v>
      </c>
      <c r="AI22">
        <v>15</v>
      </c>
      <c r="AJ22">
        <v>40120.859375</v>
      </c>
      <c r="AK22" t="s">
        <v>54</v>
      </c>
      <c r="AL22" t="s">
        <v>53</v>
      </c>
      <c r="AM22" t="s">
        <v>595</v>
      </c>
      <c r="AQ22" t="s">
        <v>53</v>
      </c>
      <c r="AR22" t="s">
        <v>595</v>
      </c>
      <c r="AT22" t="s">
        <v>595</v>
      </c>
      <c r="AW22" t="s">
        <v>53</v>
      </c>
      <c r="AZ22" t="s">
        <v>54</v>
      </c>
      <c r="BA22" t="s">
        <v>2425</v>
      </c>
      <c r="BB22" s="15" t="s">
        <v>676</v>
      </c>
    </row>
    <row r="23" spans="1:54" x14ac:dyDescent="0.25">
      <c r="A23">
        <v>18</v>
      </c>
      <c r="B23" t="s">
        <v>2540</v>
      </c>
      <c r="C23" t="s">
        <v>2541</v>
      </c>
      <c r="D23" t="s">
        <v>2487</v>
      </c>
      <c r="E23">
        <v>1</v>
      </c>
      <c r="F23" t="s">
        <v>2418</v>
      </c>
      <c r="G23" t="s">
        <v>2542</v>
      </c>
      <c r="H23" t="s">
        <v>2543</v>
      </c>
      <c r="I23" t="s">
        <v>2544</v>
      </c>
      <c r="L23" t="s">
        <v>2482</v>
      </c>
      <c r="M23">
        <v>916.00823974609375</v>
      </c>
      <c r="N23" t="s">
        <v>54</v>
      </c>
      <c r="O23" t="s">
        <v>53</v>
      </c>
      <c r="P23" t="s">
        <v>53</v>
      </c>
      <c r="Q23" t="s">
        <v>54</v>
      </c>
      <c r="R23" t="s">
        <v>53</v>
      </c>
      <c r="S23" t="s">
        <v>2545</v>
      </c>
      <c r="T23" t="s">
        <v>2546</v>
      </c>
      <c r="U23" t="s">
        <v>53</v>
      </c>
      <c r="V23" t="s">
        <v>138</v>
      </c>
      <c r="W23">
        <v>500000</v>
      </c>
      <c r="X23" t="s">
        <v>53</v>
      </c>
      <c r="AA23">
        <v>191</v>
      </c>
      <c r="AB23">
        <v>71</v>
      </c>
      <c r="AC23">
        <v>154</v>
      </c>
      <c r="AD23">
        <v>210</v>
      </c>
      <c r="AE23">
        <v>338</v>
      </c>
      <c r="AF23">
        <v>4</v>
      </c>
      <c r="AG23">
        <v>4</v>
      </c>
      <c r="AH23">
        <v>65.061424255371094</v>
      </c>
      <c r="AI23">
        <v>4</v>
      </c>
      <c r="AJ23">
        <v>70021.9609375</v>
      </c>
      <c r="AK23" t="s">
        <v>54</v>
      </c>
      <c r="AL23" t="s">
        <v>53</v>
      </c>
      <c r="AM23" t="s">
        <v>595</v>
      </c>
      <c r="AQ23" t="s">
        <v>53</v>
      </c>
      <c r="AR23" t="s">
        <v>595</v>
      </c>
      <c r="AT23" t="s">
        <v>595</v>
      </c>
      <c r="AW23" t="s">
        <v>53</v>
      </c>
      <c r="AZ23" t="s">
        <v>54</v>
      </c>
      <c r="BA23" t="s">
        <v>2425</v>
      </c>
      <c r="BB23" s="15" t="s">
        <v>676</v>
      </c>
    </row>
    <row r="24" spans="1:54" x14ac:dyDescent="0.25">
      <c r="A24">
        <v>19</v>
      </c>
      <c r="B24" t="s">
        <v>2547</v>
      </c>
      <c r="C24" t="s">
        <v>2548</v>
      </c>
      <c r="D24" t="s">
        <v>2487</v>
      </c>
      <c r="E24">
        <v>1</v>
      </c>
      <c r="F24" t="s">
        <v>2418</v>
      </c>
      <c r="G24" t="s">
        <v>2549</v>
      </c>
      <c r="H24" t="s">
        <v>2550</v>
      </c>
      <c r="I24" t="s">
        <v>2551</v>
      </c>
      <c r="L24" t="s">
        <v>2482</v>
      </c>
      <c r="M24">
        <v>1510.453491210938</v>
      </c>
      <c r="N24" t="s">
        <v>54</v>
      </c>
      <c r="O24" t="s">
        <v>53</v>
      </c>
      <c r="P24" t="s">
        <v>53</v>
      </c>
      <c r="Q24" t="s">
        <v>54</v>
      </c>
      <c r="R24" t="s">
        <v>53</v>
      </c>
      <c r="S24" t="s">
        <v>2552</v>
      </c>
      <c r="T24" t="s">
        <v>2553</v>
      </c>
      <c r="U24" t="s">
        <v>53</v>
      </c>
      <c r="V24" t="s">
        <v>138</v>
      </c>
      <c r="W24">
        <v>500000</v>
      </c>
      <c r="X24" t="s">
        <v>53</v>
      </c>
      <c r="AA24">
        <v>890</v>
      </c>
      <c r="AB24">
        <v>656</v>
      </c>
      <c r="AC24">
        <v>871</v>
      </c>
      <c r="AD24">
        <v>1401</v>
      </c>
      <c r="AE24">
        <v>1951</v>
      </c>
      <c r="AF24">
        <v>2</v>
      </c>
      <c r="AG24">
        <v>22</v>
      </c>
      <c r="AH24">
        <v>177.9454040527344</v>
      </c>
      <c r="AI24">
        <v>22</v>
      </c>
      <c r="AJ24">
        <v>91033.7890625</v>
      </c>
      <c r="AK24" t="s">
        <v>54</v>
      </c>
      <c r="AL24" t="s">
        <v>53</v>
      </c>
      <c r="AM24" t="s">
        <v>595</v>
      </c>
      <c r="AQ24" t="s">
        <v>53</v>
      </c>
      <c r="AR24" t="s">
        <v>595</v>
      </c>
      <c r="AT24" t="s">
        <v>595</v>
      </c>
      <c r="AW24" t="s">
        <v>53</v>
      </c>
      <c r="AZ24" t="s">
        <v>54</v>
      </c>
      <c r="BA24" t="s">
        <v>2425</v>
      </c>
      <c r="BB24" s="15" t="s">
        <v>676</v>
      </c>
    </row>
    <row r="25" spans="1:54" x14ac:dyDescent="0.25">
      <c r="A25">
        <v>20</v>
      </c>
      <c r="B25" t="s">
        <v>2554</v>
      </c>
      <c r="C25" t="s">
        <v>2555</v>
      </c>
      <c r="D25" t="s">
        <v>2487</v>
      </c>
      <c r="E25">
        <v>1</v>
      </c>
      <c r="F25" t="s">
        <v>2418</v>
      </c>
      <c r="G25" t="s">
        <v>2556</v>
      </c>
      <c r="H25" t="s">
        <v>2557</v>
      </c>
      <c r="I25" t="s">
        <v>2558</v>
      </c>
      <c r="L25" t="s">
        <v>2482</v>
      </c>
      <c r="M25">
        <v>936.31085205078125</v>
      </c>
      <c r="N25" t="s">
        <v>54</v>
      </c>
      <c r="O25" t="s">
        <v>53</v>
      </c>
      <c r="P25" t="s">
        <v>53</v>
      </c>
      <c r="Q25" t="s">
        <v>54</v>
      </c>
      <c r="R25" t="s">
        <v>53</v>
      </c>
      <c r="S25" t="s">
        <v>2559</v>
      </c>
      <c r="T25" t="s">
        <v>2560</v>
      </c>
      <c r="U25" t="s">
        <v>53</v>
      </c>
      <c r="V25" t="s">
        <v>138</v>
      </c>
      <c r="W25">
        <v>500000</v>
      </c>
      <c r="X25" t="s">
        <v>53</v>
      </c>
      <c r="AA25">
        <v>100</v>
      </c>
      <c r="AB25">
        <v>9</v>
      </c>
      <c r="AC25">
        <v>33</v>
      </c>
      <c r="AD25">
        <v>78</v>
      </c>
      <c r="AE25">
        <v>80</v>
      </c>
      <c r="AF25">
        <v>0</v>
      </c>
      <c r="AG25">
        <v>6</v>
      </c>
      <c r="AH25">
        <v>20.320476531982418</v>
      </c>
      <c r="AI25">
        <v>6</v>
      </c>
      <c r="AJ25">
        <v>66275.203125</v>
      </c>
      <c r="AK25" t="s">
        <v>54</v>
      </c>
      <c r="AL25" t="s">
        <v>53</v>
      </c>
      <c r="AM25" t="s">
        <v>595</v>
      </c>
      <c r="AQ25" t="s">
        <v>53</v>
      </c>
      <c r="AR25" t="s">
        <v>595</v>
      </c>
      <c r="AT25" t="s">
        <v>595</v>
      </c>
      <c r="AW25" t="s">
        <v>53</v>
      </c>
      <c r="AZ25" t="s">
        <v>54</v>
      </c>
      <c r="BA25" t="s">
        <v>2425</v>
      </c>
      <c r="BB25" s="15" t="s">
        <v>678</v>
      </c>
    </row>
    <row r="26" spans="1:54" x14ac:dyDescent="0.25">
      <c r="A26">
        <v>21</v>
      </c>
      <c r="B26" t="s">
        <v>2561</v>
      </c>
      <c r="C26" t="s">
        <v>2562</v>
      </c>
      <c r="D26" t="s">
        <v>2487</v>
      </c>
      <c r="E26">
        <v>1</v>
      </c>
      <c r="F26" t="s">
        <v>2418</v>
      </c>
      <c r="G26" t="s">
        <v>2563</v>
      </c>
      <c r="H26" t="s">
        <v>2564</v>
      </c>
      <c r="I26" t="s">
        <v>2565</v>
      </c>
      <c r="L26" t="s">
        <v>2482</v>
      </c>
      <c r="M26">
        <v>922.5164794921875</v>
      </c>
      <c r="N26" t="s">
        <v>54</v>
      </c>
      <c r="O26" t="s">
        <v>53</v>
      </c>
      <c r="P26" t="s">
        <v>53</v>
      </c>
      <c r="Q26" t="s">
        <v>54</v>
      </c>
      <c r="R26" t="s">
        <v>53</v>
      </c>
      <c r="S26" t="s">
        <v>2566</v>
      </c>
      <c r="T26" t="s">
        <v>2567</v>
      </c>
      <c r="U26" t="s">
        <v>53</v>
      </c>
      <c r="V26" t="s">
        <v>138</v>
      </c>
      <c r="W26">
        <v>500000</v>
      </c>
      <c r="X26" t="s">
        <v>53</v>
      </c>
      <c r="AA26">
        <v>369</v>
      </c>
      <c r="AB26">
        <v>161</v>
      </c>
      <c r="AC26">
        <v>244</v>
      </c>
      <c r="AD26">
        <v>533</v>
      </c>
      <c r="AE26">
        <v>658</v>
      </c>
      <c r="AF26">
        <v>1</v>
      </c>
      <c r="AG26">
        <v>1</v>
      </c>
      <c r="AH26">
        <v>30.917278289794918</v>
      </c>
      <c r="AI26">
        <v>1</v>
      </c>
      <c r="AJ26">
        <v>48149.85546875</v>
      </c>
      <c r="AK26" t="s">
        <v>54</v>
      </c>
      <c r="AL26" t="s">
        <v>53</v>
      </c>
      <c r="AM26" t="s">
        <v>595</v>
      </c>
      <c r="AQ26" t="s">
        <v>53</v>
      </c>
      <c r="AR26" t="s">
        <v>595</v>
      </c>
      <c r="AT26" t="s">
        <v>595</v>
      </c>
      <c r="AW26" t="s">
        <v>53</v>
      </c>
      <c r="AZ26" t="s">
        <v>54</v>
      </c>
      <c r="BA26" t="s">
        <v>2425</v>
      </c>
      <c r="BB26" s="15" t="s">
        <v>678</v>
      </c>
    </row>
    <row r="27" spans="1:54" x14ac:dyDescent="0.25">
      <c r="A27">
        <v>22</v>
      </c>
      <c r="B27" t="s">
        <v>2568</v>
      </c>
      <c r="C27" t="s">
        <v>2569</v>
      </c>
      <c r="D27" t="s">
        <v>2570</v>
      </c>
      <c r="E27">
        <v>1</v>
      </c>
      <c r="F27" t="s">
        <v>2418</v>
      </c>
      <c r="G27" t="s">
        <v>2571</v>
      </c>
      <c r="H27" t="s">
        <v>2572</v>
      </c>
      <c r="I27" t="s">
        <v>2573</v>
      </c>
      <c r="J27" t="s">
        <v>2574</v>
      </c>
      <c r="K27" t="s">
        <v>2575</v>
      </c>
      <c r="L27" t="s">
        <v>2482</v>
      </c>
      <c r="M27">
        <v>0.71689671277999878</v>
      </c>
      <c r="N27" t="s">
        <v>54</v>
      </c>
      <c r="O27" t="s">
        <v>53</v>
      </c>
      <c r="P27" t="s">
        <v>53</v>
      </c>
      <c r="Q27" t="s">
        <v>54</v>
      </c>
      <c r="R27" t="s">
        <v>53</v>
      </c>
      <c r="S27" t="s">
        <v>2576</v>
      </c>
      <c r="T27" t="s">
        <v>2577</v>
      </c>
      <c r="U27" t="s">
        <v>53</v>
      </c>
      <c r="V27" t="s">
        <v>138</v>
      </c>
      <c r="W27">
        <v>250000</v>
      </c>
      <c r="X27" t="s">
        <v>53</v>
      </c>
      <c r="AA27">
        <v>2</v>
      </c>
      <c r="AB27">
        <v>0</v>
      </c>
      <c r="AC27">
        <v>0</v>
      </c>
      <c r="AD27">
        <v>1</v>
      </c>
      <c r="AE27">
        <v>1</v>
      </c>
      <c r="AF27">
        <v>0</v>
      </c>
      <c r="AG27">
        <v>0</v>
      </c>
      <c r="AH27">
        <v>0.1123924776911736</v>
      </c>
      <c r="AI27">
        <v>0</v>
      </c>
      <c r="AJ27">
        <v>0.2907356321811676</v>
      </c>
      <c r="AK27" t="s">
        <v>54</v>
      </c>
      <c r="AL27" t="s">
        <v>53</v>
      </c>
      <c r="AM27" t="s">
        <v>595</v>
      </c>
      <c r="AQ27" t="s">
        <v>53</v>
      </c>
      <c r="AR27" t="s">
        <v>595</v>
      </c>
      <c r="AT27" t="s">
        <v>595</v>
      </c>
      <c r="AW27" t="s">
        <v>53</v>
      </c>
      <c r="AZ27" t="s">
        <v>54</v>
      </c>
      <c r="BA27" t="s">
        <v>2425</v>
      </c>
      <c r="BB27" s="15" t="s">
        <v>678</v>
      </c>
    </row>
    <row r="28" spans="1:54" x14ac:dyDescent="0.25">
      <c r="A28">
        <v>23</v>
      </c>
      <c r="B28" t="s">
        <v>2578</v>
      </c>
      <c r="C28" t="s">
        <v>2579</v>
      </c>
      <c r="D28" t="s">
        <v>2570</v>
      </c>
      <c r="E28">
        <v>1</v>
      </c>
      <c r="F28" t="s">
        <v>2418</v>
      </c>
      <c r="G28" t="s">
        <v>2580</v>
      </c>
      <c r="H28" t="s">
        <v>2581</v>
      </c>
      <c r="I28" t="s">
        <v>2582</v>
      </c>
      <c r="J28" t="s">
        <v>2583</v>
      </c>
      <c r="K28" t="s">
        <v>2584</v>
      </c>
      <c r="L28" t="s">
        <v>2482</v>
      </c>
      <c r="M28">
        <v>1.37691342830658</v>
      </c>
      <c r="N28" t="s">
        <v>54</v>
      </c>
      <c r="O28" t="s">
        <v>53</v>
      </c>
      <c r="P28" t="s">
        <v>53</v>
      </c>
      <c r="Q28" t="s">
        <v>53</v>
      </c>
      <c r="R28" t="s">
        <v>53</v>
      </c>
      <c r="S28" t="s">
        <v>2585</v>
      </c>
      <c r="T28" t="s">
        <v>2586</v>
      </c>
      <c r="U28" t="s">
        <v>53</v>
      </c>
      <c r="V28" t="s">
        <v>138</v>
      </c>
      <c r="W28">
        <v>250000</v>
      </c>
      <c r="X28" t="s">
        <v>53</v>
      </c>
      <c r="AA28">
        <v>3</v>
      </c>
      <c r="AB28">
        <v>0</v>
      </c>
      <c r="AC28">
        <v>10</v>
      </c>
      <c r="AD28">
        <v>3</v>
      </c>
      <c r="AE28">
        <v>12</v>
      </c>
      <c r="AF28">
        <v>0</v>
      </c>
      <c r="AG28">
        <v>2</v>
      </c>
      <c r="AH28">
        <v>0.53090167045593262</v>
      </c>
      <c r="AI28">
        <v>3</v>
      </c>
      <c r="AJ28">
        <v>10.21627807617188</v>
      </c>
      <c r="AK28" t="s">
        <v>54</v>
      </c>
      <c r="AL28" t="s">
        <v>53</v>
      </c>
      <c r="AM28" t="s">
        <v>595</v>
      </c>
      <c r="AQ28" t="s">
        <v>53</v>
      </c>
      <c r="AR28" t="s">
        <v>595</v>
      </c>
      <c r="AT28" t="s">
        <v>595</v>
      </c>
      <c r="AW28" t="s">
        <v>53</v>
      </c>
      <c r="AZ28" t="s">
        <v>54</v>
      </c>
      <c r="BA28" t="s">
        <v>2425</v>
      </c>
      <c r="BB28" s="15" t="s">
        <v>678</v>
      </c>
    </row>
    <row r="29" spans="1:54" x14ac:dyDescent="0.25">
      <c r="A29">
        <v>24</v>
      </c>
      <c r="B29" t="s">
        <v>2587</v>
      </c>
      <c r="C29" t="s">
        <v>2588</v>
      </c>
      <c r="D29" t="s">
        <v>2589</v>
      </c>
      <c r="E29">
        <v>1</v>
      </c>
      <c r="F29" t="s">
        <v>2418</v>
      </c>
      <c r="G29" t="s">
        <v>2590</v>
      </c>
      <c r="H29" t="s">
        <v>2591</v>
      </c>
      <c r="I29" t="s">
        <v>2592</v>
      </c>
      <c r="J29" t="s">
        <v>2593</v>
      </c>
      <c r="K29" t="s">
        <v>2594</v>
      </c>
      <c r="L29" t="s">
        <v>2482</v>
      </c>
      <c r="M29">
        <v>2.987019300460815</v>
      </c>
      <c r="N29" t="s">
        <v>54</v>
      </c>
      <c r="O29" t="s">
        <v>53</v>
      </c>
      <c r="P29" t="s">
        <v>53</v>
      </c>
      <c r="Q29" t="s">
        <v>54</v>
      </c>
      <c r="R29" t="s">
        <v>53</v>
      </c>
      <c r="S29" t="s">
        <v>2595</v>
      </c>
      <c r="T29" t="s">
        <v>2596</v>
      </c>
      <c r="U29" t="s">
        <v>53</v>
      </c>
      <c r="V29" t="s">
        <v>138</v>
      </c>
      <c r="W29">
        <v>250000</v>
      </c>
      <c r="X29" t="s">
        <v>53</v>
      </c>
      <c r="AA29">
        <v>128</v>
      </c>
      <c r="AB29">
        <v>7</v>
      </c>
      <c r="AC29">
        <v>376</v>
      </c>
      <c r="AD29">
        <v>118</v>
      </c>
      <c r="AE29">
        <v>436</v>
      </c>
      <c r="AF29">
        <v>2</v>
      </c>
      <c r="AG29">
        <v>3</v>
      </c>
      <c r="AH29">
        <v>8.8058052062988281</v>
      </c>
      <c r="AI29">
        <v>3</v>
      </c>
      <c r="AJ29">
        <v>7.4994978904724121</v>
      </c>
      <c r="AK29" t="s">
        <v>54</v>
      </c>
      <c r="AL29" t="s">
        <v>53</v>
      </c>
      <c r="AM29" t="s">
        <v>595</v>
      </c>
      <c r="AQ29" t="s">
        <v>53</v>
      </c>
      <c r="AR29" t="s">
        <v>595</v>
      </c>
      <c r="AT29" t="s">
        <v>595</v>
      </c>
      <c r="AW29" t="s">
        <v>53</v>
      </c>
      <c r="AZ29" t="s">
        <v>54</v>
      </c>
      <c r="BA29" t="s">
        <v>2425</v>
      </c>
      <c r="BB29" s="15" t="s">
        <v>678</v>
      </c>
    </row>
    <row r="30" spans="1:54" x14ac:dyDescent="0.25">
      <c r="A30">
        <v>25</v>
      </c>
      <c r="B30" t="s">
        <v>2597</v>
      </c>
      <c r="C30" t="s">
        <v>2598</v>
      </c>
      <c r="D30" t="s">
        <v>2599</v>
      </c>
      <c r="E30">
        <v>1</v>
      </c>
      <c r="F30" t="s">
        <v>2418</v>
      </c>
      <c r="G30" t="s">
        <v>2527</v>
      </c>
      <c r="H30" t="s">
        <v>2600</v>
      </c>
      <c r="I30" t="s">
        <v>2601</v>
      </c>
      <c r="J30" t="s">
        <v>2602</v>
      </c>
      <c r="K30" t="s">
        <v>2603</v>
      </c>
      <c r="L30" t="s">
        <v>2482</v>
      </c>
      <c r="M30">
        <v>0.2129720151424408</v>
      </c>
      <c r="N30" t="s">
        <v>54</v>
      </c>
      <c r="O30" t="s">
        <v>53</v>
      </c>
      <c r="P30" t="s">
        <v>53</v>
      </c>
      <c r="Q30" t="s">
        <v>53</v>
      </c>
      <c r="R30" t="s">
        <v>53</v>
      </c>
      <c r="S30" t="s">
        <v>2604</v>
      </c>
      <c r="T30" t="s">
        <v>2605</v>
      </c>
      <c r="U30" t="s">
        <v>53</v>
      </c>
      <c r="V30" t="s">
        <v>138</v>
      </c>
      <c r="W30">
        <v>250000</v>
      </c>
      <c r="X30" t="s">
        <v>53</v>
      </c>
      <c r="AA30">
        <v>10</v>
      </c>
      <c r="AB30">
        <v>3</v>
      </c>
      <c r="AC30">
        <v>4</v>
      </c>
      <c r="AD30">
        <v>5</v>
      </c>
      <c r="AE30">
        <v>7</v>
      </c>
      <c r="AF30">
        <v>0</v>
      </c>
      <c r="AG30">
        <v>0</v>
      </c>
      <c r="AH30">
        <v>0.81056851148605347</v>
      </c>
      <c r="AI30">
        <v>0</v>
      </c>
      <c r="AJ30">
        <v>2.4817047119140621</v>
      </c>
      <c r="AK30" t="s">
        <v>54</v>
      </c>
      <c r="AL30" t="s">
        <v>53</v>
      </c>
      <c r="AM30" t="s">
        <v>595</v>
      </c>
      <c r="AQ30" t="s">
        <v>53</v>
      </c>
      <c r="AR30" t="s">
        <v>595</v>
      </c>
      <c r="AT30" t="s">
        <v>595</v>
      </c>
      <c r="AW30" t="s">
        <v>53</v>
      </c>
      <c r="AZ30" t="s">
        <v>54</v>
      </c>
      <c r="BA30" t="s">
        <v>2425</v>
      </c>
      <c r="BB30" s="15" t="s">
        <v>678</v>
      </c>
    </row>
    <row r="31" spans="1:54" x14ac:dyDescent="0.25">
      <c r="A31">
        <v>26</v>
      </c>
      <c r="B31" t="s">
        <v>2606</v>
      </c>
      <c r="C31" t="s">
        <v>2607</v>
      </c>
      <c r="D31" t="s">
        <v>2599</v>
      </c>
      <c r="E31">
        <v>1</v>
      </c>
      <c r="F31" t="s">
        <v>2418</v>
      </c>
      <c r="G31" t="s">
        <v>2580</v>
      </c>
      <c r="H31" t="s">
        <v>2608</v>
      </c>
      <c r="I31" t="s">
        <v>2609</v>
      </c>
      <c r="J31" t="s">
        <v>2610</v>
      </c>
      <c r="K31" t="s">
        <v>2611</v>
      </c>
      <c r="L31" t="s">
        <v>2482</v>
      </c>
      <c r="M31">
        <v>0.78814488649368286</v>
      </c>
      <c r="N31" t="s">
        <v>54</v>
      </c>
      <c r="O31" t="s">
        <v>53</v>
      </c>
      <c r="P31" t="s">
        <v>53</v>
      </c>
      <c r="Q31" t="s">
        <v>53</v>
      </c>
      <c r="R31" t="s">
        <v>53</v>
      </c>
      <c r="S31" t="s">
        <v>2612</v>
      </c>
      <c r="T31" t="s">
        <v>2613</v>
      </c>
      <c r="U31" t="s">
        <v>53</v>
      </c>
      <c r="V31" t="s">
        <v>138</v>
      </c>
      <c r="W31">
        <v>250000</v>
      </c>
      <c r="X31" t="s">
        <v>53</v>
      </c>
      <c r="AA31">
        <v>0</v>
      </c>
      <c r="AB31">
        <v>0</v>
      </c>
      <c r="AC31">
        <v>0</v>
      </c>
      <c r="AD31">
        <v>0</v>
      </c>
      <c r="AE31">
        <v>0</v>
      </c>
      <c r="AF31">
        <v>0</v>
      </c>
      <c r="AG31">
        <v>0</v>
      </c>
      <c r="AH31">
        <v>0</v>
      </c>
      <c r="AI31">
        <v>0</v>
      </c>
      <c r="AJ31">
        <v>0.1770103722810745</v>
      </c>
      <c r="AK31" t="s">
        <v>54</v>
      </c>
      <c r="AL31" t="s">
        <v>53</v>
      </c>
      <c r="AM31" t="s">
        <v>595</v>
      </c>
      <c r="AQ31" t="s">
        <v>53</v>
      </c>
      <c r="AR31" t="s">
        <v>595</v>
      </c>
      <c r="AT31" t="s">
        <v>595</v>
      </c>
      <c r="AW31" t="s">
        <v>53</v>
      </c>
      <c r="AZ31" t="s">
        <v>54</v>
      </c>
      <c r="BA31" t="s">
        <v>2425</v>
      </c>
      <c r="BB31" s="15" t="s">
        <v>678</v>
      </c>
    </row>
    <row r="32" spans="1:54" x14ac:dyDescent="0.25">
      <c r="A32">
        <v>27</v>
      </c>
      <c r="B32" t="s">
        <v>2614</v>
      </c>
      <c r="C32" t="s">
        <v>2615</v>
      </c>
      <c r="D32" t="s">
        <v>2616</v>
      </c>
      <c r="E32">
        <v>1</v>
      </c>
      <c r="F32" t="s">
        <v>2418</v>
      </c>
      <c r="G32" t="s">
        <v>2617</v>
      </c>
      <c r="H32" t="s">
        <v>2618</v>
      </c>
      <c r="I32" t="s">
        <v>2619</v>
      </c>
      <c r="J32" t="s">
        <v>2620</v>
      </c>
      <c r="K32" t="s">
        <v>2621</v>
      </c>
      <c r="L32" t="s">
        <v>2482</v>
      </c>
      <c r="M32">
        <v>1.3688070774078369</v>
      </c>
      <c r="N32" t="s">
        <v>54</v>
      </c>
      <c r="O32" t="s">
        <v>53</v>
      </c>
      <c r="P32" t="s">
        <v>53</v>
      </c>
      <c r="Q32" t="s">
        <v>53</v>
      </c>
      <c r="R32" t="s">
        <v>53</v>
      </c>
      <c r="S32" t="s">
        <v>2622</v>
      </c>
      <c r="T32" t="s">
        <v>2623</v>
      </c>
      <c r="U32" t="s">
        <v>53</v>
      </c>
      <c r="V32" t="s">
        <v>138</v>
      </c>
      <c r="W32">
        <v>250000</v>
      </c>
      <c r="X32" t="s">
        <v>53</v>
      </c>
      <c r="AA32">
        <v>10</v>
      </c>
      <c r="AB32">
        <v>0</v>
      </c>
      <c r="AC32">
        <v>3</v>
      </c>
      <c r="AD32">
        <v>12</v>
      </c>
      <c r="AE32">
        <v>12</v>
      </c>
      <c r="AF32">
        <v>0</v>
      </c>
      <c r="AG32">
        <v>0</v>
      </c>
      <c r="AH32">
        <v>0.25539010763168329</v>
      </c>
      <c r="AI32">
        <v>0</v>
      </c>
      <c r="AJ32">
        <v>1.103107810020447</v>
      </c>
      <c r="AK32" t="s">
        <v>54</v>
      </c>
      <c r="AL32" t="s">
        <v>53</v>
      </c>
      <c r="AM32" t="s">
        <v>595</v>
      </c>
      <c r="AQ32" t="s">
        <v>53</v>
      </c>
      <c r="AR32" t="s">
        <v>595</v>
      </c>
      <c r="AT32" t="s">
        <v>595</v>
      </c>
      <c r="AW32" t="s">
        <v>53</v>
      </c>
      <c r="AZ32" t="s">
        <v>54</v>
      </c>
      <c r="BA32" t="s">
        <v>2425</v>
      </c>
      <c r="BB32" s="15" t="s">
        <v>678</v>
      </c>
    </row>
    <row r="33" spans="1:54" x14ac:dyDescent="0.25">
      <c r="A33">
        <v>28</v>
      </c>
      <c r="B33" t="s">
        <v>2624</v>
      </c>
      <c r="C33" t="s">
        <v>2625</v>
      </c>
      <c r="D33" t="s">
        <v>2626</v>
      </c>
      <c r="E33">
        <v>1</v>
      </c>
      <c r="F33" t="s">
        <v>2418</v>
      </c>
      <c r="G33" t="s">
        <v>2535</v>
      </c>
      <c r="H33" t="s">
        <v>2627</v>
      </c>
      <c r="I33" t="s">
        <v>2628</v>
      </c>
      <c r="J33" t="s">
        <v>2629</v>
      </c>
      <c r="K33" t="s">
        <v>2630</v>
      </c>
      <c r="L33" t="s">
        <v>2482</v>
      </c>
      <c r="M33">
        <v>3.5758910179138179</v>
      </c>
      <c r="N33" t="s">
        <v>54</v>
      </c>
      <c r="O33" t="s">
        <v>53</v>
      </c>
      <c r="P33" t="s">
        <v>53</v>
      </c>
      <c r="Q33" t="s">
        <v>54</v>
      </c>
      <c r="R33" t="s">
        <v>53</v>
      </c>
      <c r="S33" t="s">
        <v>2631</v>
      </c>
      <c r="T33" t="s">
        <v>2632</v>
      </c>
      <c r="U33" t="s">
        <v>53</v>
      </c>
      <c r="V33" t="s">
        <v>138</v>
      </c>
      <c r="W33">
        <v>250000</v>
      </c>
      <c r="X33" t="s">
        <v>53</v>
      </c>
      <c r="AA33">
        <v>5</v>
      </c>
      <c r="AB33">
        <v>0</v>
      </c>
      <c r="AC33">
        <v>0</v>
      </c>
      <c r="AD33">
        <v>0</v>
      </c>
      <c r="AE33">
        <v>0</v>
      </c>
      <c r="AF33">
        <v>0</v>
      </c>
      <c r="AG33">
        <v>0</v>
      </c>
      <c r="AH33">
        <v>4.5832433700561523</v>
      </c>
      <c r="AI33">
        <v>0</v>
      </c>
      <c r="AJ33">
        <v>10.72031784057617</v>
      </c>
      <c r="AK33" t="s">
        <v>54</v>
      </c>
      <c r="AL33" t="s">
        <v>53</v>
      </c>
      <c r="AM33" t="s">
        <v>595</v>
      </c>
      <c r="AQ33" t="s">
        <v>53</v>
      </c>
      <c r="AR33" t="s">
        <v>595</v>
      </c>
      <c r="AT33" t="s">
        <v>595</v>
      </c>
      <c r="AW33" t="s">
        <v>53</v>
      </c>
      <c r="AZ33" t="s">
        <v>54</v>
      </c>
      <c r="BA33" t="s">
        <v>2425</v>
      </c>
      <c r="BB33" s="15" t="s">
        <v>678</v>
      </c>
    </row>
    <row r="34" spans="1:54" x14ac:dyDescent="0.25">
      <c r="A34">
        <v>29</v>
      </c>
      <c r="B34" t="s">
        <v>2633</v>
      </c>
      <c r="C34" t="s">
        <v>2634</v>
      </c>
      <c r="D34" t="s">
        <v>2635</v>
      </c>
      <c r="E34">
        <v>1</v>
      </c>
      <c r="F34" t="s">
        <v>2418</v>
      </c>
      <c r="G34" t="s">
        <v>2542</v>
      </c>
      <c r="H34" t="s">
        <v>2636</v>
      </c>
      <c r="I34" t="s">
        <v>2637</v>
      </c>
      <c r="J34" t="s">
        <v>2638</v>
      </c>
      <c r="K34" t="s">
        <v>2639</v>
      </c>
      <c r="L34" t="s">
        <v>2482</v>
      </c>
      <c r="M34">
        <v>1.857083320617676</v>
      </c>
      <c r="N34" t="s">
        <v>54</v>
      </c>
      <c r="O34" t="s">
        <v>53</v>
      </c>
      <c r="P34" t="s">
        <v>53</v>
      </c>
      <c r="Q34" t="s">
        <v>53</v>
      </c>
      <c r="R34" t="s">
        <v>53</v>
      </c>
      <c r="S34" t="s">
        <v>2640</v>
      </c>
      <c r="T34" t="s">
        <v>2641</v>
      </c>
      <c r="U34" t="s">
        <v>53</v>
      </c>
      <c r="V34" t="s">
        <v>138</v>
      </c>
      <c r="W34">
        <v>250000</v>
      </c>
      <c r="X34" t="s">
        <v>53</v>
      </c>
      <c r="AA34">
        <v>0</v>
      </c>
      <c r="AB34">
        <v>0</v>
      </c>
      <c r="AC34">
        <v>0</v>
      </c>
      <c r="AD34">
        <v>0</v>
      </c>
      <c r="AE34">
        <v>0</v>
      </c>
      <c r="AF34">
        <v>0</v>
      </c>
      <c r="AG34">
        <v>0</v>
      </c>
      <c r="AH34">
        <v>0.68938785791397095</v>
      </c>
      <c r="AI34">
        <v>0</v>
      </c>
      <c r="AJ34">
        <v>0.13874891400337219</v>
      </c>
      <c r="AK34" t="s">
        <v>54</v>
      </c>
      <c r="AL34" t="s">
        <v>53</v>
      </c>
      <c r="AM34" t="s">
        <v>595</v>
      </c>
      <c r="AQ34" t="s">
        <v>53</v>
      </c>
      <c r="AR34" t="s">
        <v>595</v>
      </c>
      <c r="AT34" t="s">
        <v>595</v>
      </c>
      <c r="AW34" t="s">
        <v>53</v>
      </c>
      <c r="AZ34" t="s">
        <v>54</v>
      </c>
      <c r="BA34" t="s">
        <v>2425</v>
      </c>
      <c r="BB34" s="15" t="s">
        <v>678</v>
      </c>
    </row>
    <row r="35" spans="1:54" x14ac:dyDescent="0.25">
      <c r="A35">
        <v>30</v>
      </c>
      <c r="B35" t="s">
        <v>2642</v>
      </c>
      <c r="C35" t="s">
        <v>2643</v>
      </c>
      <c r="D35" t="s">
        <v>2644</v>
      </c>
      <c r="E35">
        <v>1</v>
      </c>
      <c r="F35" t="s">
        <v>2418</v>
      </c>
      <c r="G35" t="s">
        <v>2571</v>
      </c>
      <c r="H35" t="s">
        <v>2572</v>
      </c>
      <c r="I35" t="s">
        <v>2645</v>
      </c>
      <c r="J35" t="s">
        <v>2646</v>
      </c>
      <c r="K35" t="s">
        <v>2647</v>
      </c>
      <c r="L35" t="s">
        <v>2482</v>
      </c>
      <c r="M35">
        <v>1.0020478963851931</v>
      </c>
      <c r="N35" t="s">
        <v>53</v>
      </c>
      <c r="O35" t="s">
        <v>53</v>
      </c>
      <c r="P35" t="s">
        <v>53</v>
      </c>
      <c r="Q35" t="s">
        <v>54</v>
      </c>
      <c r="R35" t="s">
        <v>53</v>
      </c>
      <c r="S35" t="s">
        <v>2648</v>
      </c>
      <c r="T35" t="s">
        <v>2649</v>
      </c>
      <c r="U35" t="s">
        <v>53</v>
      </c>
      <c r="V35" t="s">
        <v>138</v>
      </c>
      <c r="W35">
        <v>250000</v>
      </c>
      <c r="X35" t="s">
        <v>53</v>
      </c>
      <c r="AA35">
        <v>0</v>
      </c>
      <c r="AB35">
        <v>0</v>
      </c>
      <c r="AC35">
        <v>0</v>
      </c>
      <c r="AD35">
        <v>0</v>
      </c>
      <c r="AE35">
        <v>0</v>
      </c>
      <c r="AF35">
        <v>0</v>
      </c>
      <c r="AG35">
        <v>0</v>
      </c>
      <c r="AH35">
        <v>0</v>
      </c>
      <c r="AI35">
        <v>0</v>
      </c>
      <c r="AJ35">
        <v>0</v>
      </c>
      <c r="AK35" t="s">
        <v>54</v>
      </c>
      <c r="AL35" t="s">
        <v>53</v>
      </c>
      <c r="AM35" t="s">
        <v>595</v>
      </c>
      <c r="AQ35" t="s">
        <v>53</v>
      </c>
      <c r="AR35" t="s">
        <v>595</v>
      </c>
      <c r="AT35" t="s">
        <v>595</v>
      </c>
      <c r="AW35" t="s">
        <v>53</v>
      </c>
      <c r="AZ35" t="s">
        <v>54</v>
      </c>
      <c r="BA35" t="s">
        <v>2425</v>
      </c>
      <c r="BB35" s="15" t="s">
        <v>678</v>
      </c>
    </row>
    <row r="36" spans="1:54" x14ac:dyDescent="0.25">
      <c r="A36">
        <v>31</v>
      </c>
      <c r="B36" t="s">
        <v>2650</v>
      </c>
      <c r="C36" t="s">
        <v>2651</v>
      </c>
      <c r="D36" t="s">
        <v>2626</v>
      </c>
      <c r="E36">
        <v>1</v>
      </c>
      <c r="F36" t="s">
        <v>2418</v>
      </c>
      <c r="G36" t="s">
        <v>2652</v>
      </c>
      <c r="H36" t="s">
        <v>2653</v>
      </c>
      <c r="I36" t="s">
        <v>2654</v>
      </c>
      <c r="J36" t="s">
        <v>2655</v>
      </c>
      <c r="K36" t="s">
        <v>2656</v>
      </c>
      <c r="L36" t="s">
        <v>2482</v>
      </c>
      <c r="M36">
        <v>5.741147518157959</v>
      </c>
      <c r="N36" t="s">
        <v>54</v>
      </c>
      <c r="O36" t="s">
        <v>53</v>
      </c>
      <c r="P36" t="s">
        <v>53</v>
      </c>
      <c r="Q36" t="s">
        <v>54</v>
      </c>
      <c r="R36" t="s">
        <v>53</v>
      </c>
      <c r="S36" t="s">
        <v>2657</v>
      </c>
      <c r="T36" t="s">
        <v>2658</v>
      </c>
      <c r="U36" t="s">
        <v>53</v>
      </c>
      <c r="V36" t="s">
        <v>138</v>
      </c>
      <c r="W36">
        <v>250000</v>
      </c>
      <c r="X36" t="s">
        <v>53</v>
      </c>
      <c r="AA36">
        <v>19</v>
      </c>
      <c r="AB36">
        <v>11</v>
      </c>
      <c r="AC36">
        <v>55</v>
      </c>
      <c r="AD36">
        <v>51</v>
      </c>
      <c r="AE36">
        <v>83</v>
      </c>
      <c r="AF36">
        <v>0</v>
      </c>
      <c r="AG36">
        <v>1</v>
      </c>
      <c r="AH36">
        <v>2.1828212738037109</v>
      </c>
      <c r="AI36">
        <v>1</v>
      </c>
      <c r="AJ36">
        <v>6.6215229034423828</v>
      </c>
      <c r="AK36" t="s">
        <v>54</v>
      </c>
      <c r="AL36" t="s">
        <v>53</v>
      </c>
      <c r="AM36" t="s">
        <v>595</v>
      </c>
      <c r="AQ36" t="s">
        <v>53</v>
      </c>
      <c r="AR36" t="s">
        <v>595</v>
      </c>
      <c r="AT36" t="s">
        <v>595</v>
      </c>
      <c r="AW36" t="s">
        <v>53</v>
      </c>
      <c r="AZ36" t="s">
        <v>54</v>
      </c>
      <c r="BA36" t="s">
        <v>2425</v>
      </c>
      <c r="BB36" s="15" t="s">
        <v>678</v>
      </c>
    </row>
    <row r="37" spans="1:54" x14ac:dyDescent="0.25">
      <c r="A37">
        <v>32</v>
      </c>
      <c r="B37" t="s">
        <v>2659</v>
      </c>
      <c r="C37" t="s">
        <v>2660</v>
      </c>
      <c r="D37" t="s">
        <v>2626</v>
      </c>
      <c r="E37">
        <v>1</v>
      </c>
      <c r="F37" t="s">
        <v>2418</v>
      </c>
      <c r="G37" t="s">
        <v>2661</v>
      </c>
      <c r="H37" t="s">
        <v>2662</v>
      </c>
      <c r="I37" t="s">
        <v>2663</v>
      </c>
      <c r="J37" t="s">
        <v>2664</v>
      </c>
      <c r="K37" t="s">
        <v>2665</v>
      </c>
      <c r="L37" t="s">
        <v>2482</v>
      </c>
      <c r="M37">
        <v>1.073212742805481</v>
      </c>
      <c r="N37" t="s">
        <v>54</v>
      </c>
      <c r="O37" t="s">
        <v>53</v>
      </c>
      <c r="P37" t="s">
        <v>53</v>
      </c>
      <c r="Q37" t="s">
        <v>53</v>
      </c>
      <c r="R37" t="s">
        <v>53</v>
      </c>
      <c r="S37" t="s">
        <v>2666</v>
      </c>
      <c r="T37" t="s">
        <v>2667</v>
      </c>
      <c r="U37" t="s">
        <v>53</v>
      </c>
      <c r="V37" t="s">
        <v>138</v>
      </c>
      <c r="W37">
        <v>250000</v>
      </c>
      <c r="X37" t="s">
        <v>53</v>
      </c>
      <c r="AA37">
        <v>0</v>
      </c>
      <c r="AB37">
        <v>0</v>
      </c>
      <c r="AC37">
        <v>0</v>
      </c>
      <c r="AD37">
        <v>0</v>
      </c>
      <c r="AE37">
        <v>0</v>
      </c>
      <c r="AF37">
        <v>0</v>
      </c>
      <c r="AG37">
        <v>0</v>
      </c>
      <c r="AH37">
        <v>0.1094095930457115</v>
      </c>
      <c r="AI37">
        <v>0</v>
      </c>
      <c r="AJ37">
        <v>0.28004387021064758</v>
      </c>
      <c r="AK37" t="s">
        <v>54</v>
      </c>
      <c r="AL37" t="s">
        <v>53</v>
      </c>
      <c r="AM37" t="s">
        <v>595</v>
      </c>
      <c r="AQ37" t="s">
        <v>53</v>
      </c>
      <c r="AR37" t="s">
        <v>595</v>
      </c>
      <c r="AT37" t="s">
        <v>595</v>
      </c>
      <c r="AW37" t="s">
        <v>53</v>
      </c>
      <c r="AZ37" t="s">
        <v>54</v>
      </c>
      <c r="BA37" t="s">
        <v>2425</v>
      </c>
      <c r="BB37" s="15" t="s">
        <v>678</v>
      </c>
    </row>
    <row r="38" spans="1:54" x14ac:dyDescent="0.25">
      <c r="A38">
        <v>33</v>
      </c>
      <c r="B38" t="s">
        <v>2668</v>
      </c>
      <c r="C38" t="s">
        <v>2669</v>
      </c>
      <c r="D38" t="s">
        <v>2670</v>
      </c>
      <c r="E38">
        <v>1</v>
      </c>
      <c r="F38" t="s">
        <v>2418</v>
      </c>
      <c r="G38" t="s">
        <v>2455</v>
      </c>
      <c r="H38" t="s">
        <v>2671</v>
      </c>
      <c r="I38" t="s">
        <v>2672</v>
      </c>
      <c r="J38" t="s">
        <v>2673</v>
      </c>
      <c r="K38" t="s">
        <v>2674</v>
      </c>
      <c r="L38" t="s">
        <v>2482</v>
      </c>
      <c r="M38">
        <v>5.3685929626226432E-2</v>
      </c>
      <c r="N38" t="s">
        <v>53</v>
      </c>
      <c r="O38" t="s">
        <v>53</v>
      </c>
      <c r="P38" t="s">
        <v>53</v>
      </c>
      <c r="Q38" t="s">
        <v>53</v>
      </c>
      <c r="R38" t="s">
        <v>53</v>
      </c>
      <c r="S38" t="s">
        <v>2675</v>
      </c>
      <c r="T38" t="s">
        <v>2676</v>
      </c>
      <c r="U38" t="s">
        <v>53</v>
      </c>
      <c r="V38" t="s">
        <v>138</v>
      </c>
      <c r="W38">
        <v>250000</v>
      </c>
      <c r="X38" t="s">
        <v>53</v>
      </c>
      <c r="AA38">
        <v>0</v>
      </c>
      <c r="AB38">
        <v>0</v>
      </c>
      <c r="AC38">
        <v>0</v>
      </c>
      <c r="AD38">
        <v>0</v>
      </c>
      <c r="AE38">
        <v>0</v>
      </c>
      <c r="AF38">
        <v>0</v>
      </c>
      <c r="AG38">
        <v>0</v>
      </c>
      <c r="AH38">
        <v>0</v>
      </c>
      <c r="AI38">
        <v>0</v>
      </c>
      <c r="AJ38">
        <v>0</v>
      </c>
      <c r="AK38" t="s">
        <v>54</v>
      </c>
      <c r="AL38" t="s">
        <v>53</v>
      </c>
      <c r="AM38" t="s">
        <v>595</v>
      </c>
      <c r="AQ38" t="s">
        <v>53</v>
      </c>
      <c r="AR38" t="s">
        <v>595</v>
      </c>
      <c r="AT38" t="s">
        <v>595</v>
      </c>
      <c r="AW38" t="s">
        <v>53</v>
      </c>
      <c r="AZ38" t="s">
        <v>54</v>
      </c>
      <c r="BA38" t="s">
        <v>2425</v>
      </c>
      <c r="BB38" s="15" t="s">
        <v>678</v>
      </c>
    </row>
    <row r="39" spans="1:54" x14ac:dyDescent="0.25">
      <c r="A39">
        <v>34</v>
      </c>
      <c r="B39" t="s">
        <v>2677</v>
      </c>
      <c r="C39" t="s">
        <v>2678</v>
      </c>
      <c r="D39" t="s">
        <v>2679</v>
      </c>
      <c r="E39">
        <v>1</v>
      </c>
      <c r="F39" t="s">
        <v>2418</v>
      </c>
      <c r="G39" t="s">
        <v>2556</v>
      </c>
      <c r="H39" t="s">
        <v>2680</v>
      </c>
      <c r="I39" t="s">
        <v>2681</v>
      </c>
      <c r="J39" t="s">
        <v>2682</v>
      </c>
      <c r="K39" t="s">
        <v>2683</v>
      </c>
      <c r="L39" t="s">
        <v>2482</v>
      </c>
      <c r="M39">
        <v>0.3742237389087677</v>
      </c>
      <c r="N39" t="s">
        <v>54</v>
      </c>
      <c r="O39" t="s">
        <v>53</v>
      </c>
      <c r="P39" t="s">
        <v>53</v>
      </c>
      <c r="Q39" t="s">
        <v>53</v>
      </c>
      <c r="R39" t="s">
        <v>53</v>
      </c>
      <c r="S39" t="s">
        <v>2684</v>
      </c>
      <c r="T39" t="s">
        <v>2685</v>
      </c>
      <c r="U39" t="s">
        <v>53</v>
      </c>
      <c r="V39" t="s">
        <v>138</v>
      </c>
      <c r="W39">
        <v>250000</v>
      </c>
      <c r="X39" t="s">
        <v>53</v>
      </c>
      <c r="AA39">
        <v>2</v>
      </c>
      <c r="AB39">
        <v>0</v>
      </c>
      <c r="AC39">
        <v>0</v>
      </c>
      <c r="AD39">
        <v>1</v>
      </c>
      <c r="AE39">
        <v>1</v>
      </c>
      <c r="AF39">
        <v>0</v>
      </c>
      <c r="AG39">
        <v>0</v>
      </c>
      <c r="AH39">
        <v>8.372323215007782E-2</v>
      </c>
      <c r="AI39">
        <v>0</v>
      </c>
      <c r="AJ39">
        <v>5.8924627304077148</v>
      </c>
      <c r="AK39" t="s">
        <v>54</v>
      </c>
      <c r="AL39" t="s">
        <v>53</v>
      </c>
      <c r="AM39" t="s">
        <v>595</v>
      </c>
      <c r="AQ39" t="s">
        <v>53</v>
      </c>
      <c r="AR39" t="s">
        <v>595</v>
      </c>
      <c r="AT39" t="s">
        <v>595</v>
      </c>
      <c r="AW39" t="s">
        <v>53</v>
      </c>
      <c r="AZ39" t="s">
        <v>54</v>
      </c>
      <c r="BA39" t="s">
        <v>2425</v>
      </c>
      <c r="BB39" s="15" t="s">
        <v>676</v>
      </c>
    </row>
    <row r="40" spans="1:54" x14ac:dyDescent="0.25">
      <c r="A40">
        <v>35</v>
      </c>
      <c r="B40" t="s">
        <v>2686</v>
      </c>
      <c r="C40" t="s">
        <v>2687</v>
      </c>
      <c r="D40" t="s">
        <v>2688</v>
      </c>
      <c r="E40">
        <v>1</v>
      </c>
      <c r="F40" t="s">
        <v>2418</v>
      </c>
      <c r="G40" t="s">
        <v>2689</v>
      </c>
      <c r="H40" t="s">
        <v>2690</v>
      </c>
      <c r="I40" t="s">
        <v>2691</v>
      </c>
      <c r="J40" t="s">
        <v>2692</v>
      </c>
      <c r="K40" t="s">
        <v>2693</v>
      </c>
      <c r="L40" t="s">
        <v>2482</v>
      </c>
      <c r="M40">
        <v>1.7672638893127439</v>
      </c>
      <c r="N40" t="s">
        <v>54</v>
      </c>
      <c r="O40" t="s">
        <v>53</v>
      </c>
      <c r="P40" t="s">
        <v>53</v>
      </c>
      <c r="Q40" t="s">
        <v>54</v>
      </c>
      <c r="R40" t="s">
        <v>53</v>
      </c>
      <c r="S40" t="s">
        <v>2694</v>
      </c>
      <c r="T40" t="s">
        <v>2695</v>
      </c>
      <c r="U40" t="s">
        <v>53</v>
      </c>
      <c r="V40" t="s">
        <v>138</v>
      </c>
      <c r="W40">
        <v>250000</v>
      </c>
      <c r="X40" t="s">
        <v>53</v>
      </c>
      <c r="AA40">
        <v>1</v>
      </c>
      <c r="AB40">
        <v>0</v>
      </c>
      <c r="AC40">
        <v>2</v>
      </c>
      <c r="AD40">
        <v>1</v>
      </c>
      <c r="AE40">
        <v>2</v>
      </c>
      <c r="AF40">
        <v>0</v>
      </c>
      <c r="AG40">
        <v>0</v>
      </c>
      <c r="AH40">
        <v>0.51730287075042725</v>
      </c>
      <c r="AI40">
        <v>0</v>
      </c>
      <c r="AJ40">
        <v>1.0040690898895259</v>
      </c>
      <c r="AK40" t="s">
        <v>54</v>
      </c>
      <c r="AL40" t="s">
        <v>53</v>
      </c>
      <c r="AM40" t="s">
        <v>595</v>
      </c>
      <c r="AQ40" t="s">
        <v>53</v>
      </c>
      <c r="AR40" t="s">
        <v>595</v>
      </c>
      <c r="AT40" t="s">
        <v>595</v>
      </c>
      <c r="AW40" t="s">
        <v>53</v>
      </c>
      <c r="AZ40" t="s">
        <v>54</v>
      </c>
      <c r="BA40" t="s">
        <v>2425</v>
      </c>
      <c r="BB40" s="15" t="s">
        <v>676</v>
      </c>
    </row>
    <row r="41" spans="1:54" x14ac:dyDescent="0.25">
      <c r="A41">
        <v>36</v>
      </c>
      <c r="B41" t="s">
        <v>2696</v>
      </c>
      <c r="C41" t="s">
        <v>2697</v>
      </c>
      <c r="D41" t="s">
        <v>2599</v>
      </c>
      <c r="E41">
        <v>1</v>
      </c>
      <c r="F41" t="s">
        <v>2418</v>
      </c>
      <c r="G41" t="s">
        <v>2488</v>
      </c>
      <c r="H41" t="s">
        <v>2698</v>
      </c>
      <c r="I41" t="s">
        <v>2699</v>
      </c>
      <c r="J41" t="s">
        <v>2700</v>
      </c>
      <c r="K41" t="s">
        <v>2701</v>
      </c>
      <c r="L41" t="s">
        <v>2482</v>
      </c>
      <c r="M41">
        <v>8.0516281127929688</v>
      </c>
      <c r="N41" t="s">
        <v>54</v>
      </c>
      <c r="O41" t="s">
        <v>53</v>
      </c>
      <c r="P41" t="s">
        <v>53</v>
      </c>
      <c r="Q41" t="s">
        <v>53</v>
      </c>
      <c r="R41" t="s">
        <v>53</v>
      </c>
      <c r="S41" t="s">
        <v>2702</v>
      </c>
      <c r="T41" t="s">
        <v>2703</v>
      </c>
      <c r="U41" t="s">
        <v>53</v>
      </c>
      <c r="V41" t="s">
        <v>138</v>
      </c>
      <c r="W41">
        <v>250000</v>
      </c>
      <c r="X41" t="s">
        <v>53</v>
      </c>
      <c r="AA41">
        <v>61</v>
      </c>
      <c r="AB41">
        <v>24</v>
      </c>
      <c r="AC41">
        <v>509</v>
      </c>
      <c r="AD41">
        <v>58</v>
      </c>
      <c r="AE41">
        <v>540</v>
      </c>
      <c r="AF41">
        <v>1</v>
      </c>
      <c r="AG41">
        <v>0</v>
      </c>
      <c r="AH41">
        <v>12.716231346130369</v>
      </c>
      <c r="AI41">
        <v>0</v>
      </c>
      <c r="AJ41">
        <v>5.2531914710998544</v>
      </c>
      <c r="AK41" t="s">
        <v>54</v>
      </c>
      <c r="AL41" t="s">
        <v>53</v>
      </c>
      <c r="AM41" t="s">
        <v>595</v>
      </c>
      <c r="AQ41" t="s">
        <v>53</v>
      </c>
      <c r="AR41" t="s">
        <v>595</v>
      </c>
      <c r="AT41" t="s">
        <v>595</v>
      </c>
      <c r="AW41" t="s">
        <v>53</v>
      </c>
      <c r="AZ41" t="s">
        <v>54</v>
      </c>
      <c r="BA41" t="s">
        <v>2425</v>
      </c>
      <c r="BB41" s="15" t="s">
        <v>676</v>
      </c>
    </row>
    <row r="42" spans="1:54" x14ac:dyDescent="0.25">
      <c r="A42">
        <v>37</v>
      </c>
      <c r="B42" t="s">
        <v>2704</v>
      </c>
      <c r="C42" t="s">
        <v>2705</v>
      </c>
      <c r="D42" t="s">
        <v>2616</v>
      </c>
      <c r="E42">
        <v>1</v>
      </c>
      <c r="F42" t="s">
        <v>2418</v>
      </c>
      <c r="G42" t="s">
        <v>2520</v>
      </c>
      <c r="H42" t="s">
        <v>2706</v>
      </c>
      <c r="I42" t="s">
        <v>2707</v>
      </c>
      <c r="J42" t="s">
        <v>2708</v>
      </c>
      <c r="K42" t="s">
        <v>2709</v>
      </c>
      <c r="L42" t="s">
        <v>2482</v>
      </c>
      <c r="M42">
        <v>7.7244706153869629</v>
      </c>
      <c r="N42" t="s">
        <v>54</v>
      </c>
      <c r="O42" t="s">
        <v>53</v>
      </c>
      <c r="P42" t="s">
        <v>53</v>
      </c>
      <c r="Q42" t="s">
        <v>53</v>
      </c>
      <c r="R42" t="s">
        <v>53</v>
      </c>
      <c r="S42" t="s">
        <v>2710</v>
      </c>
      <c r="T42" t="s">
        <v>2711</v>
      </c>
      <c r="U42" t="s">
        <v>53</v>
      </c>
      <c r="V42" t="s">
        <v>138</v>
      </c>
      <c r="W42">
        <v>250000</v>
      </c>
      <c r="X42" t="s">
        <v>53</v>
      </c>
      <c r="AA42">
        <v>8</v>
      </c>
      <c r="AB42">
        <v>4</v>
      </c>
      <c r="AC42">
        <v>12</v>
      </c>
      <c r="AD42">
        <v>17</v>
      </c>
      <c r="AE42">
        <v>18</v>
      </c>
      <c r="AF42">
        <v>1</v>
      </c>
      <c r="AG42">
        <v>0</v>
      </c>
      <c r="AH42">
        <v>2.323685884475708</v>
      </c>
      <c r="AI42">
        <v>0</v>
      </c>
      <c r="AJ42">
        <v>2.155611515045166</v>
      </c>
      <c r="AK42" t="s">
        <v>54</v>
      </c>
      <c r="AL42" t="s">
        <v>53</v>
      </c>
      <c r="AM42" t="s">
        <v>595</v>
      </c>
      <c r="AQ42" t="s">
        <v>53</v>
      </c>
      <c r="AR42" t="s">
        <v>595</v>
      </c>
      <c r="AT42" t="s">
        <v>595</v>
      </c>
      <c r="AW42" t="s">
        <v>53</v>
      </c>
      <c r="AZ42" t="s">
        <v>54</v>
      </c>
      <c r="BA42" t="s">
        <v>2425</v>
      </c>
      <c r="BB42" s="15" t="s">
        <v>678</v>
      </c>
    </row>
    <row r="43" spans="1:54" x14ac:dyDescent="0.25">
      <c r="A43">
        <v>38</v>
      </c>
      <c r="B43" t="s">
        <v>2712</v>
      </c>
      <c r="C43" t="s">
        <v>2713</v>
      </c>
      <c r="D43" t="s">
        <v>2714</v>
      </c>
      <c r="E43">
        <v>1</v>
      </c>
      <c r="F43" t="s">
        <v>2418</v>
      </c>
      <c r="G43" t="s">
        <v>2563</v>
      </c>
      <c r="H43" t="s">
        <v>2680</v>
      </c>
      <c r="I43" t="s">
        <v>2715</v>
      </c>
      <c r="J43" t="s">
        <v>2716</v>
      </c>
      <c r="K43" t="s">
        <v>2717</v>
      </c>
      <c r="L43" t="s">
        <v>2482</v>
      </c>
      <c r="M43">
        <v>4.4166293144226074</v>
      </c>
      <c r="N43" t="s">
        <v>54</v>
      </c>
      <c r="O43" t="s">
        <v>53</v>
      </c>
      <c r="P43" t="s">
        <v>53</v>
      </c>
      <c r="Q43" t="s">
        <v>54</v>
      </c>
      <c r="R43" t="s">
        <v>53</v>
      </c>
      <c r="S43" t="s">
        <v>2718</v>
      </c>
      <c r="T43" t="s">
        <v>2719</v>
      </c>
      <c r="U43" t="s">
        <v>53</v>
      </c>
      <c r="V43" t="s">
        <v>138</v>
      </c>
      <c r="W43">
        <v>250000</v>
      </c>
      <c r="X43" t="s">
        <v>53</v>
      </c>
      <c r="AA43">
        <v>304</v>
      </c>
      <c r="AB43">
        <v>145</v>
      </c>
      <c r="AC43">
        <v>193</v>
      </c>
      <c r="AD43">
        <v>479</v>
      </c>
      <c r="AE43">
        <v>558</v>
      </c>
      <c r="AF43">
        <v>0</v>
      </c>
      <c r="AG43">
        <v>0</v>
      </c>
      <c r="AH43">
        <v>6.625579833984375</v>
      </c>
      <c r="AI43">
        <v>0</v>
      </c>
      <c r="AJ43">
        <v>18.13187217712402</v>
      </c>
      <c r="AK43" t="s">
        <v>54</v>
      </c>
      <c r="AL43" t="s">
        <v>53</v>
      </c>
      <c r="AM43" t="s">
        <v>595</v>
      </c>
      <c r="AQ43" t="s">
        <v>53</v>
      </c>
      <c r="AR43" t="s">
        <v>595</v>
      </c>
      <c r="AT43" t="s">
        <v>595</v>
      </c>
      <c r="AW43" t="s">
        <v>53</v>
      </c>
      <c r="AZ43" t="s">
        <v>54</v>
      </c>
      <c r="BA43" t="s">
        <v>2425</v>
      </c>
      <c r="BB43" s="15" t="s">
        <v>676</v>
      </c>
    </row>
    <row r="44" spans="1:54" x14ac:dyDescent="0.25">
      <c r="A44">
        <v>39</v>
      </c>
      <c r="B44" t="s">
        <v>2720</v>
      </c>
      <c r="C44" t="s">
        <v>2721</v>
      </c>
      <c r="D44" t="s">
        <v>2616</v>
      </c>
      <c r="E44">
        <v>1</v>
      </c>
      <c r="F44" t="s">
        <v>2418</v>
      </c>
      <c r="G44" t="s">
        <v>2497</v>
      </c>
      <c r="H44" t="s">
        <v>2722</v>
      </c>
      <c r="I44" t="s">
        <v>2723</v>
      </c>
      <c r="J44" t="s">
        <v>2724</v>
      </c>
      <c r="K44" t="s">
        <v>2725</v>
      </c>
      <c r="L44" t="s">
        <v>2482</v>
      </c>
      <c r="M44">
        <v>0.720134437084198</v>
      </c>
      <c r="N44" t="s">
        <v>54</v>
      </c>
      <c r="O44" t="s">
        <v>53</v>
      </c>
      <c r="P44" t="s">
        <v>53</v>
      </c>
      <c r="Q44" t="s">
        <v>54</v>
      </c>
      <c r="R44" t="s">
        <v>53</v>
      </c>
      <c r="S44" t="s">
        <v>2726</v>
      </c>
      <c r="T44" t="s">
        <v>2727</v>
      </c>
      <c r="U44" t="s">
        <v>53</v>
      </c>
      <c r="V44" t="s">
        <v>138</v>
      </c>
      <c r="W44">
        <v>250000</v>
      </c>
      <c r="X44" t="s">
        <v>53</v>
      </c>
      <c r="AA44">
        <v>19</v>
      </c>
      <c r="AB44">
        <v>13</v>
      </c>
      <c r="AC44">
        <v>4</v>
      </c>
      <c r="AD44">
        <v>25</v>
      </c>
      <c r="AE44">
        <v>26</v>
      </c>
      <c r="AF44">
        <v>1</v>
      </c>
      <c r="AG44">
        <v>0</v>
      </c>
      <c r="AH44">
        <v>0.58541977405548096</v>
      </c>
      <c r="AI44">
        <v>0</v>
      </c>
      <c r="AJ44">
        <v>2.128160715103149</v>
      </c>
      <c r="AK44" t="s">
        <v>54</v>
      </c>
      <c r="AL44" t="s">
        <v>53</v>
      </c>
      <c r="AM44" t="s">
        <v>595</v>
      </c>
      <c r="AQ44" t="s">
        <v>53</v>
      </c>
      <c r="AR44" t="s">
        <v>595</v>
      </c>
      <c r="AT44" t="s">
        <v>595</v>
      </c>
      <c r="AW44" t="s">
        <v>53</v>
      </c>
      <c r="AZ44" t="s">
        <v>54</v>
      </c>
      <c r="BA44" t="s">
        <v>2425</v>
      </c>
      <c r="BB44" s="15" t="s">
        <v>678</v>
      </c>
    </row>
    <row r="45" spans="1:54" x14ac:dyDescent="0.25">
      <c r="A45">
        <v>40</v>
      </c>
      <c r="B45" t="s">
        <v>2728</v>
      </c>
      <c r="C45" t="s">
        <v>2729</v>
      </c>
      <c r="D45" t="s">
        <v>2616</v>
      </c>
      <c r="E45">
        <v>1</v>
      </c>
      <c r="F45" t="s">
        <v>2418</v>
      </c>
      <c r="G45" t="s">
        <v>2497</v>
      </c>
      <c r="H45" t="s">
        <v>2730</v>
      </c>
      <c r="I45" t="s">
        <v>2731</v>
      </c>
      <c r="J45" t="s">
        <v>2732</v>
      </c>
      <c r="K45" t="s">
        <v>2733</v>
      </c>
      <c r="L45" t="s">
        <v>2482</v>
      </c>
      <c r="M45">
        <v>1.7492266893386841</v>
      </c>
      <c r="N45" t="s">
        <v>54</v>
      </c>
      <c r="O45" t="s">
        <v>53</v>
      </c>
      <c r="P45" t="s">
        <v>53</v>
      </c>
      <c r="Q45" t="s">
        <v>54</v>
      </c>
      <c r="R45" t="s">
        <v>53</v>
      </c>
      <c r="S45" t="s">
        <v>2734</v>
      </c>
      <c r="T45" t="s">
        <v>2735</v>
      </c>
      <c r="U45" t="s">
        <v>53</v>
      </c>
      <c r="V45" t="s">
        <v>138</v>
      </c>
      <c r="W45">
        <v>250000</v>
      </c>
      <c r="X45" t="s">
        <v>53</v>
      </c>
      <c r="AA45">
        <v>0</v>
      </c>
      <c r="AB45">
        <v>0</v>
      </c>
      <c r="AC45">
        <v>0</v>
      </c>
      <c r="AD45">
        <v>0</v>
      </c>
      <c r="AE45">
        <v>0</v>
      </c>
      <c r="AF45">
        <v>0</v>
      </c>
      <c r="AG45">
        <v>0</v>
      </c>
      <c r="AH45">
        <v>0</v>
      </c>
      <c r="AI45">
        <v>0</v>
      </c>
      <c r="AJ45">
        <v>3.071333646774292</v>
      </c>
      <c r="AK45" t="s">
        <v>54</v>
      </c>
      <c r="AL45" t="s">
        <v>53</v>
      </c>
      <c r="AM45" t="s">
        <v>595</v>
      </c>
      <c r="AQ45" t="s">
        <v>53</v>
      </c>
      <c r="AR45" t="s">
        <v>595</v>
      </c>
      <c r="AT45" t="s">
        <v>595</v>
      </c>
      <c r="AW45" t="s">
        <v>53</v>
      </c>
      <c r="AZ45" t="s">
        <v>54</v>
      </c>
      <c r="BA45" t="s">
        <v>2425</v>
      </c>
      <c r="BB45" s="15" t="s">
        <v>678</v>
      </c>
    </row>
    <row r="46" spans="1:54" x14ac:dyDescent="0.25">
      <c r="A46">
        <v>41</v>
      </c>
      <c r="B46" t="s">
        <v>2736</v>
      </c>
      <c r="C46" t="s">
        <v>2737</v>
      </c>
      <c r="D46" t="s">
        <v>2599</v>
      </c>
      <c r="E46">
        <v>1</v>
      </c>
      <c r="F46" t="s">
        <v>2418</v>
      </c>
      <c r="G46" t="s">
        <v>2738</v>
      </c>
      <c r="H46" t="s">
        <v>2739</v>
      </c>
      <c r="I46" t="s">
        <v>2740</v>
      </c>
      <c r="J46" t="s">
        <v>2741</v>
      </c>
      <c r="K46" t="s">
        <v>2742</v>
      </c>
      <c r="L46" t="s">
        <v>2482</v>
      </c>
      <c r="M46">
        <v>4.7149858474731454</v>
      </c>
      <c r="N46" t="s">
        <v>54</v>
      </c>
      <c r="O46" t="s">
        <v>53</v>
      </c>
      <c r="P46" t="s">
        <v>53</v>
      </c>
      <c r="Q46" t="s">
        <v>54</v>
      </c>
      <c r="R46" t="s">
        <v>53</v>
      </c>
      <c r="S46" t="s">
        <v>2743</v>
      </c>
      <c r="T46" t="s">
        <v>2744</v>
      </c>
      <c r="U46" t="s">
        <v>53</v>
      </c>
      <c r="V46" t="s">
        <v>138</v>
      </c>
      <c r="W46">
        <v>250000</v>
      </c>
      <c r="X46" t="s">
        <v>53</v>
      </c>
      <c r="AA46">
        <v>887</v>
      </c>
      <c r="AB46">
        <v>698</v>
      </c>
      <c r="AC46">
        <v>1002</v>
      </c>
      <c r="AD46">
        <v>1448</v>
      </c>
      <c r="AE46">
        <v>2054</v>
      </c>
      <c r="AF46">
        <v>0</v>
      </c>
      <c r="AG46">
        <v>1</v>
      </c>
      <c r="AH46">
        <v>21.0089111328125</v>
      </c>
      <c r="AI46">
        <v>1</v>
      </c>
      <c r="AJ46">
        <v>3.996855735778809</v>
      </c>
      <c r="AK46" t="s">
        <v>54</v>
      </c>
      <c r="AL46" t="s">
        <v>53</v>
      </c>
      <c r="AM46" t="s">
        <v>595</v>
      </c>
      <c r="AQ46" t="s">
        <v>53</v>
      </c>
      <c r="AR46" t="s">
        <v>595</v>
      </c>
      <c r="AT46" t="s">
        <v>595</v>
      </c>
      <c r="AW46" t="s">
        <v>53</v>
      </c>
      <c r="AZ46" t="s">
        <v>54</v>
      </c>
      <c r="BA46" t="s">
        <v>2425</v>
      </c>
      <c r="BB46" s="15" t="s">
        <v>676</v>
      </c>
    </row>
    <row r="47" spans="1:54" x14ac:dyDescent="0.25">
      <c r="A47">
        <v>42</v>
      </c>
      <c r="B47" t="s">
        <v>2745</v>
      </c>
      <c r="C47" t="s">
        <v>2746</v>
      </c>
      <c r="D47" t="s">
        <v>2616</v>
      </c>
      <c r="E47">
        <v>1</v>
      </c>
      <c r="F47" t="s">
        <v>2418</v>
      </c>
      <c r="G47" t="s">
        <v>2497</v>
      </c>
      <c r="H47" t="s">
        <v>2618</v>
      </c>
      <c r="I47" t="s">
        <v>2747</v>
      </c>
      <c r="J47" t="s">
        <v>2748</v>
      </c>
      <c r="K47" t="s">
        <v>2749</v>
      </c>
      <c r="L47" t="s">
        <v>2482</v>
      </c>
      <c r="M47">
        <v>0.48210343718528748</v>
      </c>
      <c r="N47" t="s">
        <v>53</v>
      </c>
      <c r="O47" t="s">
        <v>53</v>
      </c>
      <c r="P47" t="s">
        <v>53</v>
      </c>
      <c r="Q47" t="s">
        <v>53</v>
      </c>
      <c r="R47" t="s">
        <v>53</v>
      </c>
      <c r="S47" t="s">
        <v>2750</v>
      </c>
      <c r="T47" t="s">
        <v>2751</v>
      </c>
      <c r="U47" t="s">
        <v>53</v>
      </c>
      <c r="V47" t="s">
        <v>138</v>
      </c>
      <c r="W47">
        <v>250000</v>
      </c>
      <c r="X47" t="s">
        <v>53</v>
      </c>
      <c r="AA47">
        <v>0</v>
      </c>
      <c r="AB47">
        <v>0</v>
      </c>
      <c r="AC47">
        <v>0</v>
      </c>
      <c r="AD47">
        <v>0</v>
      </c>
      <c r="AE47">
        <v>0</v>
      </c>
      <c r="AF47">
        <v>0</v>
      </c>
      <c r="AG47">
        <v>0</v>
      </c>
      <c r="AH47">
        <v>0</v>
      </c>
      <c r="AI47">
        <v>0</v>
      </c>
      <c r="AJ47">
        <v>0</v>
      </c>
      <c r="AK47" t="s">
        <v>54</v>
      </c>
      <c r="AL47" t="s">
        <v>53</v>
      </c>
      <c r="AM47" t="s">
        <v>595</v>
      </c>
      <c r="AQ47" t="s">
        <v>53</v>
      </c>
      <c r="AR47" t="s">
        <v>595</v>
      </c>
      <c r="AT47" t="s">
        <v>595</v>
      </c>
      <c r="AW47" t="s">
        <v>53</v>
      </c>
      <c r="AZ47" t="s">
        <v>54</v>
      </c>
      <c r="BA47" t="s">
        <v>2425</v>
      </c>
      <c r="BB47" s="15" t="s">
        <v>678</v>
      </c>
    </row>
    <row r="48" spans="1:54" x14ac:dyDescent="0.25">
      <c r="A48">
        <v>43</v>
      </c>
      <c r="B48" t="s">
        <v>2752</v>
      </c>
      <c r="C48" t="s">
        <v>2753</v>
      </c>
      <c r="D48" t="s">
        <v>2616</v>
      </c>
      <c r="E48">
        <v>1</v>
      </c>
      <c r="F48" t="s">
        <v>2418</v>
      </c>
      <c r="G48" t="s">
        <v>2497</v>
      </c>
      <c r="H48" t="s">
        <v>2730</v>
      </c>
      <c r="I48" t="s">
        <v>2754</v>
      </c>
      <c r="J48" t="s">
        <v>2755</v>
      </c>
      <c r="K48" t="s">
        <v>2756</v>
      </c>
      <c r="L48" t="s">
        <v>2482</v>
      </c>
      <c r="M48">
        <v>2.1553318500518799</v>
      </c>
      <c r="N48" t="s">
        <v>54</v>
      </c>
      <c r="O48" t="s">
        <v>53</v>
      </c>
      <c r="P48" t="s">
        <v>53</v>
      </c>
      <c r="Q48" t="s">
        <v>54</v>
      </c>
      <c r="R48" t="s">
        <v>53</v>
      </c>
      <c r="S48" t="s">
        <v>2757</v>
      </c>
      <c r="T48" t="s">
        <v>2758</v>
      </c>
      <c r="U48" t="s">
        <v>53</v>
      </c>
      <c r="V48" t="s">
        <v>138</v>
      </c>
      <c r="W48">
        <v>250000</v>
      </c>
      <c r="X48" t="s">
        <v>53</v>
      </c>
      <c r="AA48">
        <v>14</v>
      </c>
      <c r="AB48">
        <v>2</v>
      </c>
      <c r="AC48">
        <v>53</v>
      </c>
      <c r="AD48">
        <v>6</v>
      </c>
      <c r="AE48">
        <v>55</v>
      </c>
      <c r="AF48">
        <v>3</v>
      </c>
      <c r="AG48">
        <v>0</v>
      </c>
      <c r="AH48">
        <v>0.80989313125610352</v>
      </c>
      <c r="AI48">
        <v>0</v>
      </c>
      <c r="AJ48">
        <v>0.2150603532791138</v>
      </c>
      <c r="AK48" t="s">
        <v>54</v>
      </c>
      <c r="AL48" t="s">
        <v>53</v>
      </c>
      <c r="AM48" t="s">
        <v>595</v>
      </c>
      <c r="AQ48" t="s">
        <v>53</v>
      </c>
      <c r="AR48" t="s">
        <v>595</v>
      </c>
      <c r="AT48" t="s">
        <v>595</v>
      </c>
      <c r="AW48" t="s">
        <v>53</v>
      </c>
      <c r="AZ48" t="s">
        <v>54</v>
      </c>
      <c r="BA48" t="s">
        <v>2425</v>
      </c>
      <c r="BB48" s="15" t="s">
        <v>676</v>
      </c>
    </row>
    <row r="49" spans="1:54" x14ac:dyDescent="0.25">
      <c r="A49">
        <v>44</v>
      </c>
      <c r="B49" t="s">
        <v>2759</v>
      </c>
      <c r="C49" t="s">
        <v>2760</v>
      </c>
      <c r="D49" t="s">
        <v>2761</v>
      </c>
      <c r="E49">
        <v>1</v>
      </c>
      <c r="F49" t="s">
        <v>2418</v>
      </c>
      <c r="G49" t="s">
        <v>2590</v>
      </c>
      <c r="H49" t="s">
        <v>2591</v>
      </c>
      <c r="I49" t="s">
        <v>2592</v>
      </c>
      <c r="J49" t="s">
        <v>2593</v>
      </c>
      <c r="K49" t="s">
        <v>2594</v>
      </c>
      <c r="L49" t="s">
        <v>2422</v>
      </c>
      <c r="M49">
        <v>2.987019300460815</v>
      </c>
      <c r="N49" t="s">
        <v>54</v>
      </c>
      <c r="O49" t="s">
        <v>53</v>
      </c>
      <c r="P49" t="s">
        <v>53</v>
      </c>
      <c r="Q49" t="s">
        <v>54</v>
      </c>
      <c r="R49" t="s">
        <v>53</v>
      </c>
      <c r="S49" t="s">
        <v>2595</v>
      </c>
      <c r="T49" t="s">
        <v>2596</v>
      </c>
      <c r="U49" t="s">
        <v>53</v>
      </c>
      <c r="V49" t="s">
        <v>1973</v>
      </c>
      <c r="W49">
        <v>50000</v>
      </c>
      <c r="X49" t="s">
        <v>53</v>
      </c>
      <c r="AA49">
        <v>128</v>
      </c>
      <c r="AB49">
        <v>7</v>
      </c>
      <c r="AC49">
        <v>376</v>
      </c>
      <c r="AD49">
        <v>118</v>
      </c>
      <c r="AE49">
        <v>436</v>
      </c>
      <c r="AF49">
        <v>2</v>
      </c>
      <c r="AG49">
        <v>3</v>
      </c>
      <c r="AH49">
        <v>8.8058052062988281</v>
      </c>
      <c r="AI49">
        <v>3</v>
      </c>
      <c r="AJ49">
        <v>7.4994978904724121</v>
      </c>
      <c r="AK49" t="s">
        <v>53</v>
      </c>
      <c r="AL49" t="s">
        <v>53</v>
      </c>
      <c r="AM49" t="s">
        <v>595</v>
      </c>
      <c r="AQ49" t="s">
        <v>53</v>
      </c>
      <c r="AR49" t="s">
        <v>595</v>
      </c>
      <c r="AT49" t="s">
        <v>595</v>
      </c>
      <c r="AW49" t="s">
        <v>53</v>
      </c>
      <c r="AZ49" t="s">
        <v>54</v>
      </c>
      <c r="BA49" t="s">
        <v>2425</v>
      </c>
      <c r="BB49" s="15" t="s">
        <v>676</v>
      </c>
    </row>
    <row r="50" spans="1:54" x14ac:dyDescent="0.25">
      <c r="A50">
        <v>45</v>
      </c>
      <c r="B50" t="s">
        <v>2762</v>
      </c>
      <c r="C50" t="s">
        <v>2763</v>
      </c>
      <c r="D50" t="s">
        <v>2761</v>
      </c>
      <c r="E50">
        <v>1</v>
      </c>
      <c r="F50" t="s">
        <v>2418</v>
      </c>
      <c r="G50" t="s">
        <v>2542</v>
      </c>
      <c r="H50" t="s">
        <v>2636</v>
      </c>
      <c r="I50" t="s">
        <v>2637</v>
      </c>
      <c r="J50" t="s">
        <v>2638</v>
      </c>
      <c r="K50" t="s">
        <v>2639</v>
      </c>
      <c r="L50" t="s">
        <v>2422</v>
      </c>
      <c r="M50">
        <v>1.857083320617676</v>
      </c>
      <c r="N50" t="s">
        <v>54</v>
      </c>
      <c r="O50" t="s">
        <v>53</v>
      </c>
      <c r="P50" t="s">
        <v>53</v>
      </c>
      <c r="Q50" t="s">
        <v>53</v>
      </c>
      <c r="R50" t="s">
        <v>53</v>
      </c>
      <c r="S50" t="s">
        <v>2640</v>
      </c>
      <c r="T50" t="s">
        <v>2641</v>
      </c>
      <c r="U50" t="s">
        <v>53</v>
      </c>
      <c r="V50" t="s">
        <v>1973</v>
      </c>
      <c r="W50">
        <v>50000</v>
      </c>
      <c r="X50" t="s">
        <v>53</v>
      </c>
      <c r="AA50">
        <v>0</v>
      </c>
      <c r="AB50">
        <v>0</v>
      </c>
      <c r="AC50">
        <v>0</v>
      </c>
      <c r="AD50">
        <v>0</v>
      </c>
      <c r="AE50">
        <v>0</v>
      </c>
      <c r="AF50">
        <v>0</v>
      </c>
      <c r="AG50">
        <v>0</v>
      </c>
      <c r="AH50">
        <v>0.68938785791397095</v>
      </c>
      <c r="AI50">
        <v>0</v>
      </c>
      <c r="AJ50">
        <v>0.13874891400337219</v>
      </c>
      <c r="AK50" t="s">
        <v>53</v>
      </c>
      <c r="AL50" t="s">
        <v>53</v>
      </c>
      <c r="AM50" t="s">
        <v>595</v>
      </c>
      <c r="AQ50" t="s">
        <v>53</v>
      </c>
      <c r="AR50" t="s">
        <v>595</v>
      </c>
      <c r="AT50" t="s">
        <v>595</v>
      </c>
      <c r="AW50" t="s">
        <v>53</v>
      </c>
      <c r="AZ50" t="s">
        <v>54</v>
      </c>
      <c r="BA50" t="s">
        <v>2425</v>
      </c>
      <c r="BB50" s="15" t="s">
        <v>678</v>
      </c>
    </row>
    <row r="51" spans="1:54" x14ac:dyDescent="0.25">
      <c r="A51">
        <v>46</v>
      </c>
      <c r="B51" t="s">
        <v>2764</v>
      </c>
      <c r="C51" t="s">
        <v>2765</v>
      </c>
      <c r="D51" t="s">
        <v>2761</v>
      </c>
      <c r="E51">
        <v>1</v>
      </c>
      <c r="F51" t="s">
        <v>2418</v>
      </c>
      <c r="G51" t="s">
        <v>2571</v>
      </c>
      <c r="H51" t="s">
        <v>2572</v>
      </c>
      <c r="I51" t="s">
        <v>2645</v>
      </c>
      <c r="J51" t="s">
        <v>2646</v>
      </c>
      <c r="K51" t="s">
        <v>2647</v>
      </c>
      <c r="L51" t="s">
        <v>2422</v>
      </c>
      <c r="M51">
        <v>1.0020478963851931</v>
      </c>
      <c r="N51" t="s">
        <v>53</v>
      </c>
      <c r="O51" t="s">
        <v>53</v>
      </c>
      <c r="P51" t="s">
        <v>53</v>
      </c>
      <c r="Q51" t="s">
        <v>54</v>
      </c>
      <c r="R51" t="s">
        <v>53</v>
      </c>
      <c r="S51" t="s">
        <v>2648</v>
      </c>
      <c r="T51" t="s">
        <v>2649</v>
      </c>
      <c r="U51" t="s">
        <v>53</v>
      </c>
      <c r="V51" t="s">
        <v>1973</v>
      </c>
      <c r="W51">
        <v>50000</v>
      </c>
      <c r="X51" t="s">
        <v>53</v>
      </c>
      <c r="AA51">
        <v>0</v>
      </c>
      <c r="AB51">
        <v>0</v>
      </c>
      <c r="AC51">
        <v>0</v>
      </c>
      <c r="AD51">
        <v>0</v>
      </c>
      <c r="AE51">
        <v>0</v>
      </c>
      <c r="AF51">
        <v>0</v>
      </c>
      <c r="AG51">
        <v>0</v>
      </c>
      <c r="AH51">
        <v>0</v>
      </c>
      <c r="AI51">
        <v>0</v>
      </c>
      <c r="AJ51">
        <v>0</v>
      </c>
      <c r="AK51" t="s">
        <v>53</v>
      </c>
      <c r="AL51" t="s">
        <v>53</v>
      </c>
      <c r="AM51" t="s">
        <v>595</v>
      </c>
      <c r="AQ51" t="s">
        <v>53</v>
      </c>
      <c r="AR51" t="s">
        <v>595</v>
      </c>
      <c r="AT51" t="s">
        <v>595</v>
      </c>
      <c r="AW51" t="s">
        <v>53</v>
      </c>
      <c r="AZ51" t="s">
        <v>54</v>
      </c>
      <c r="BA51" t="s">
        <v>2425</v>
      </c>
      <c r="BB51" s="15" t="s">
        <v>678</v>
      </c>
    </row>
    <row r="52" spans="1:54" x14ac:dyDescent="0.25">
      <c r="A52">
        <v>47</v>
      </c>
      <c r="B52" t="s">
        <v>2766</v>
      </c>
      <c r="C52" t="s">
        <v>2767</v>
      </c>
      <c r="D52" t="s">
        <v>2761</v>
      </c>
      <c r="E52">
        <v>1</v>
      </c>
      <c r="F52" t="s">
        <v>2418</v>
      </c>
      <c r="G52" t="s">
        <v>2768</v>
      </c>
      <c r="H52" t="s">
        <v>2769</v>
      </c>
      <c r="I52" t="s">
        <v>2770</v>
      </c>
      <c r="J52" t="s">
        <v>2771</v>
      </c>
      <c r="K52" t="s">
        <v>2772</v>
      </c>
      <c r="L52" t="s">
        <v>2422</v>
      </c>
      <c r="M52">
        <v>1.6124687194824221</v>
      </c>
      <c r="N52" t="s">
        <v>54</v>
      </c>
      <c r="O52" t="s">
        <v>53</v>
      </c>
      <c r="P52" t="s">
        <v>53</v>
      </c>
      <c r="Q52" t="s">
        <v>54</v>
      </c>
      <c r="R52" t="s">
        <v>53</v>
      </c>
      <c r="S52" t="s">
        <v>2773</v>
      </c>
      <c r="T52" t="s">
        <v>2774</v>
      </c>
      <c r="U52" t="s">
        <v>53</v>
      </c>
      <c r="V52" t="s">
        <v>1973</v>
      </c>
      <c r="W52">
        <v>50000</v>
      </c>
      <c r="X52" t="s">
        <v>53</v>
      </c>
      <c r="AA52">
        <v>76</v>
      </c>
      <c r="AB52">
        <v>0</v>
      </c>
      <c r="AC52">
        <v>34</v>
      </c>
      <c r="AD52">
        <v>116</v>
      </c>
      <c r="AE52">
        <v>117</v>
      </c>
      <c r="AF52">
        <v>0</v>
      </c>
      <c r="AG52">
        <v>0</v>
      </c>
      <c r="AH52">
        <v>3.5939300060272221</v>
      </c>
      <c r="AI52">
        <v>0</v>
      </c>
      <c r="AJ52">
        <v>5.8515591621398926</v>
      </c>
      <c r="AK52" t="s">
        <v>53</v>
      </c>
      <c r="AL52" t="s">
        <v>53</v>
      </c>
      <c r="AM52" t="s">
        <v>595</v>
      </c>
      <c r="AQ52" t="s">
        <v>53</v>
      </c>
      <c r="AR52" t="s">
        <v>595</v>
      </c>
      <c r="AT52" t="s">
        <v>595</v>
      </c>
      <c r="AW52" t="s">
        <v>53</v>
      </c>
      <c r="AZ52" t="s">
        <v>54</v>
      </c>
      <c r="BA52" t="s">
        <v>2425</v>
      </c>
      <c r="BB52" s="15" t="s">
        <v>678</v>
      </c>
    </row>
    <row r="53" spans="1:54" x14ac:dyDescent="0.25">
      <c r="A53">
        <v>48</v>
      </c>
      <c r="B53" t="s">
        <v>2775</v>
      </c>
      <c r="C53" t="s">
        <v>2776</v>
      </c>
      <c r="D53" t="s">
        <v>2777</v>
      </c>
      <c r="E53">
        <v>1</v>
      </c>
      <c r="F53" t="s">
        <v>2418</v>
      </c>
      <c r="G53" t="s">
        <v>2455</v>
      </c>
      <c r="H53" t="s">
        <v>2671</v>
      </c>
      <c r="I53" t="s">
        <v>2672</v>
      </c>
      <c r="J53" t="s">
        <v>2673</v>
      </c>
      <c r="K53" t="s">
        <v>2674</v>
      </c>
      <c r="L53" t="s">
        <v>2422</v>
      </c>
      <c r="M53">
        <v>5.3685929626226432E-2</v>
      </c>
      <c r="N53" t="s">
        <v>53</v>
      </c>
      <c r="O53" t="s">
        <v>53</v>
      </c>
      <c r="P53" t="s">
        <v>53</v>
      </c>
      <c r="Q53" t="s">
        <v>53</v>
      </c>
      <c r="R53" t="s">
        <v>53</v>
      </c>
      <c r="S53" t="s">
        <v>2675</v>
      </c>
      <c r="T53" t="s">
        <v>2676</v>
      </c>
      <c r="U53" t="s">
        <v>53</v>
      </c>
      <c r="V53" t="s">
        <v>1973</v>
      </c>
      <c r="W53">
        <v>50000</v>
      </c>
      <c r="X53" t="s">
        <v>53</v>
      </c>
      <c r="AA53">
        <v>0</v>
      </c>
      <c r="AB53">
        <v>0</v>
      </c>
      <c r="AC53">
        <v>0</v>
      </c>
      <c r="AD53">
        <v>0</v>
      </c>
      <c r="AE53">
        <v>0</v>
      </c>
      <c r="AF53">
        <v>0</v>
      </c>
      <c r="AG53">
        <v>0</v>
      </c>
      <c r="AH53">
        <v>0</v>
      </c>
      <c r="AI53">
        <v>0</v>
      </c>
      <c r="AJ53">
        <v>0</v>
      </c>
      <c r="AK53" t="s">
        <v>53</v>
      </c>
      <c r="AL53" t="s">
        <v>53</v>
      </c>
      <c r="AM53" t="s">
        <v>595</v>
      </c>
      <c r="AQ53" t="s">
        <v>53</v>
      </c>
      <c r="AR53" t="s">
        <v>595</v>
      </c>
      <c r="AT53" t="s">
        <v>595</v>
      </c>
      <c r="AW53" t="s">
        <v>53</v>
      </c>
      <c r="AZ53" t="s">
        <v>54</v>
      </c>
      <c r="BA53" t="s">
        <v>2425</v>
      </c>
      <c r="BB53" s="15" t="s">
        <v>676</v>
      </c>
    </row>
    <row r="54" spans="1:54" x14ac:dyDescent="0.25">
      <c r="A54">
        <v>49</v>
      </c>
      <c r="B54" t="s">
        <v>2778</v>
      </c>
      <c r="C54" t="s">
        <v>2779</v>
      </c>
      <c r="D54" t="s">
        <v>2761</v>
      </c>
      <c r="E54">
        <v>1</v>
      </c>
      <c r="F54" t="s">
        <v>2418</v>
      </c>
      <c r="G54" t="s">
        <v>2689</v>
      </c>
      <c r="H54" t="s">
        <v>2690</v>
      </c>
      <c r="I54" t="s">
        <v>2691</v>
      </c>
      <c r="J54" t="s">
        <v>2692</v>
      </c>
      <c r="K54" t="s">
        <v>2693</v>
      </c>
      <c r="L54" t="s">
        <v>2422</v>
      </c>
      <c r="M54">
        <v>1.7672638893127439</v>
      </c>
      <c r="N54" t="s">
        <v>54</v>
      </c>
      <c r="O54" t="s">
        <v>53</v>
      </c>
      <c r="P54" t="s">
        <v>53</v>
      </c>
      <c r="Q54" t="s">
        <v>54</v>
      </c>
      <c r="R54" t="s">
        <v>53</v>
      </c>
      <c r="S54" t="s">
        <v>2694</v>
      </c>
      <c r="T54" t="s">
        <v>2695</v>
      </c>
      <c r="U54" t="s">
        <v>53</v>
      </c>
      <c r="V54" t="s">
        <v>1973</v>
      </c>
      <c r="W54">
        <v>50000</v>
      </c>
      <c r="X54" t="s">
        <v>53</v>
      </c>
      <c r="AA54">
        <v>1</v>
      </c>
      <c r="AB54">
        <v>0</v>
      </c>
      <c r="AC54">
        <v>2</v>
      </c>
      <c r="AD54">
        <v>1</v>
      </c>
      <c r="AE54">
        <v>2</v>
      </c>
      <c r="AF54">
        <v>0</v>
      </c>
      <c r="AG54">
        <v>0</v>
      </c>
      <c r="AH54">
        <v>0.51730287075042725</v>
      </c>
      <c r="AI54">
        <v>0</v>
      </c>
      <c r="AJ54">
        <v>1.0040690898895259</v>
      </c>
      <c r="AK54" t="s">
        <v>53</v>
      </c>
      <c r="AL54" t="s">
        <v>53</v>
      </c>
      <c r="AM54" t="s">
        <v>595</v>
      </c>
      <c r="AQ54" t="s">
        <v>53</v>
      </c>
      <c r="AR54" t="s">
        <v>595</v>
      </c>
      <c r="AT54" t="s">
        <v>595</v>
      </c>
      <c r="AW54" t="s">
        <v>53</v>
      </c>
      <c r="AZ54" t="s">
        <v>54</v>
      </c>
      <c r="BA54" t="s">
        <v>2425</v>
      </c>
      <c r="BB54" s="15" t="s">
        <v>678</v>
      </c>
    </row>
    <row r="55" spans="1:54" x14ac:dyDescent="0.25">
      <c r="A55">
        <v>50</v>
      </c>
      <c r="B55" t="s">
        <v>2780</v>
      </c>
      <c r="C55" t="s">
        <v>2781</v>
      </c>
      <c r="D55" t="s">
        <v>2761</v>
      </c>
      <c r="E55">
        <v>1</v>
      </c>
      <c r="F55" t="s">
        <v>2418</v>
      </c>
      <c r="G55" t="s">
        <v>2563</v>
      </c>
      <c r="H55" t="s">
        <v>2680</v>
      </c>
      <c r="I55" t="s">
        <v>2715</v>
      </c>
      <c r="J55" t="s">
        <v>2716</v>
      </c>
      <c r="K55" t="s">
        <v>2717</v>
      </c>
      <c r="L55" t="s">
        <v>2422</v>
      </c>
      <c r="M55">
        <v>4.4166293144226074</v>
      </c>
      <c r="N55" t="s">
        <v>54</v>
      </c>
      <c r="O55" t="s">
        <v>53</v>
      </c>
      <c r="P55" t="s">
        <v>53</v>
      </c>
      <c r="Q55" t="s">
        <v>54</v>
      </c>
      <c r="R55" t="s">
        <v>53</v>
      </c>
      <c r="S55" t="s">
        <v>2718</v>
      </c>
      <c r="T55" t="s">
        <v>2719</v>
      </c>
      <c r="U55" t="s">
        <v>53</v>
      </c>
      <c r="V55" t="s">
        <v>1973</v>
      </c>
      <c r="W55">
        <v>50000</v>
      </c>
      <c r="X55" t="s">
        <v>53</v>
      </c>
      <c r="AA55">
        <v>304</v>
      </c>
      <c r="AB55">
        <v>145</v>
      </c>
      <c r="AC55">
        <v>193</v>
      </c>
      <c r="AD55">
        <v>479</v>
      </c>
      <c r="AE55">
        <v>558</v>
      </c>
      <c r="AF55">
        <v>0</v>
      </c>
      <c r="AG55">
        <v>0</v>
      </c>
      <c r="AH55">
        <v>6.625579833984375</v>
      </c>
      <c r="AI55">
        <v>0</v>
      </c>
      <c r="AJ55">
        <v>18.13187217712402</v>
      </c>
      <c r="AK55" t="s">
        <v>53</v>
      </c>
      <c r="AL55" t="s">
        <v>53</v>
      </c>
      <c r="AM55" t="s">
        <v>595</v>
      </c>
      <c r="AQ55" t="s">
        <v>53</v>
      </c>
      <c r="AR55" t="s">
        <v>595</v>
      </c>
      <c r="AT55" t="s">
        <v>595</v>
      </c>
      <c r="AW55" t="s">
        <v>53</v>
      </c>
      <c r="AZ55" t="s">
        <v>54</v>
      </c>
      <c r="BA55" t="s">
        <v>2425</v>
      </c>
      <c r="BB55" s="15" t="s">
        <v>678</v>
      </c>
    </row>
    <row r="56" spans="1:54" x14ac:dyDescent="0.25">
      <c r="A56">
        <v>51</v>
      </c>
      <c r="B56" t="s">
        <v>2782</v>
      </c>
      <c r="C56" t="s">
        <v>2783</v>
      </c>
      <c r="D56" t="s">
        <v>2761</v>
      </c>
      <c r="E56">
        <v>1</v>
      </c>
      <c r="F56" t="s">
        <v>2418</v>
      </c>
      <c r="G56" t="s">
        <v>2738</v>
      </c>
      <c r="H56" t="s">
        <v>2739</v>
      </c>
      <c r="I56" t="s">
        <v>2740</v>
      </c>
      <c r="J56" t="s">
        <v>2741</v>
      </c>
      <c r="K56" t="s">
        <v>2742</v>
      </c>
      <c r="L56" t="s">
        <v>2422</v>
      </c>
      <c r="M56">
        <v>4.7149858474731454</v>
      </c>
      <c r="N56" t="s">
        <v>54</v>
      </c>
      <c r="O56" t="s">
        <v>53</v>
      </c>
      <c r="P56" t="s">
        <v>53</v>
      </c>
      <c r="Q56" t="s">
        <v>54</v>
      </c>
      <c r="R56" t="s">
        <v>53</v>
      </c>
      <c r="S56" t="s">
        <v>2743</v>
      </c>
      <c r="T56" t="s">
        <v>2744</v>
      </c>
      <c r="U56" t="s">
        <v>53</v>
      </c>
      <c r="V56" t="s">
        <v>1973</v>
      </c>
      <c r="W56">
        <v>50000</v>
      </c>
      <c r="X56" t="s">
        <v>53</v>
      </c>
      <c r="AA56">
        <v>887</v>
      </c>
      <c r="AB56">
        <v>698</v>
      </c>
      <c r="AC56">
        <v>1002</v>
      </c>
      <c r="AD56">
        <v>1448</v>
      </c>
      <c r="AE56">
        <v>2054</v>
      </c>
      <c r="AF56">
        <v>0</v>
      </c>
      <c r="AG56">
        <v>1</v>
      </c>
      <c r="AH56">
        <v>21.0089111328125</v>
      </c>
      <c r="AI56">
        <v>1</v>
      </c>
      <c r="AJ56">
        <v>3.996855735778809</v>
      </c>
      <c r="AK56" t="s">
        <v>53</v>
      </c>
      <c r="AL56" t="s">
        <v>53</v>
      </c>
      <c r="AM56" t="s">
        <v>595</v>
      </c>
      <c r="AQ56" t="s">
        <v>53</v>
      </c>
      <c r="AR56" t="s">
        <v>595</v>
      </c>
      <c r="AT56" t="s">
        <v>595</v>
      </c>
      <c r="AW56" t="s">
        <v>53</v>
      </c>
      <c r="AZ56" t="s">
        <v>54</v>
      </c>
      <c r="BA56" t="s">
        <v>2425</v>
      </c>
      <c r="BB56" s="15" t="s">
        <v>678</v>
      </c>
    </row>
    <row r="57" spans="1:54" x14ac:dyDescent="0.25">
      <c r="A57">
        <v>52</v>
      </c>
      <c r="B57" t="s">
        <v>2784</v>
      </c>
      <c r="C57" t="s">
        <v>2785</v>
      </c>
      <c r="D57" t="s">
        <v>2761</v>
      </c>
      <c r="E57">
        <v>1</v>
      </c>
      <c r="F57" t="s">
        <v>2418</v>
      </c>
      <c r="G57" t="s">
        <v>2497</v>
      </c>
      <c r="H57" t="s">
        <v>2730</v>
      </c>
      <c r="I57" t="s">
        <v>2754</v>
      </c>
      <c r="J57" t="s">
        <v>2755</v>
      </c>
      <c r="K57" t="s">
        <v>2756</v>
      </c>
      <c r="L57" t="s">
        <v>2422</v>
      </c>
      <c r="M57">
        <v>2.1553318500518799</v>
      </c>
      <c r="N57" t="s">
        <v>54</v>
      </c>
      <c r="O57" t="s">
        <v>53</v>
      </c>
      <c r="P57" t="s">
        <v>53</v>
      </c>
      <c r="Q57" t="s">
        <v>54</v>
      </c>
      <c r="R57" t="s">
        <v>53</v>
      </c>
      <c r="S57" t="s">
        <v>2757</v>
      </c>
      <c r="T57" t="s">
        <v>2758</v>
      </c>
      <c r="U57" t="s">
        <v>53</v>
      </c>
      <c r="V57" t="s">
        <v>1973</v>
      </c>
      <c r="W57">
        <v>50000</v>
      </c>
      <c r="X57" t="s">
        <v>53</v>
      </c>
      <c r="AA57">
        <v>14</v>
      </c>
      <c r="AB57">
        <v>2</v>
      </c>
      <c r="AC57">
        <v>53</v>
      </c>
      <c r="AD57">
        <v>6</v>
      </c>
      <c r="AE57">
        <v>55</v>
      </c>
      <c r="AF57">
        <v>3</v>
      </c>
      <c r="AG57">
        <v>0</v>
      </c>
      <c r="AH57">
        <v>0.80989313125610352</v>
      </c>
      <c r="AI57">
        <v>0</v>
      </c>
      <c r="AJ57">
        <v>0.2150603532791138</v>
      </c>
      <c r="AK57" t="s">
        <v>53</v>
      </c>
      <c r="AL57" t="s">
        <v>53</v>
      </c>
      <c r="AM57" t="s">
        <v>595</v>
      </c>
      <c r="AQ57" t="s">
        <v>53</v>
      </c>
      <c r="AR57" t="s">
        <v>595</v>
      </c>
      <c r="AT57" t="s">
        <v>595</v>
      </c>
      <c r="AW57" t="s">
        <v>53</v>
      </c>
      <c r="AZ57" t="s">
        <v>54</v>
      </c>
      <c r="BA57" t="s">
        <v>2425</v>
      </c>
      <c r="BB57" s="15" t="s">
        <v>676</v>
      </c>
    </row>
    <row r="58" spans="1:54" x14ac:dyDescent="0.25">
      <c r="A58">
        <v>53</v>
      </c>
      <c r="B58" t="s">
        <v>2786</v>
      </c>
      <c r="C58" t="s">
        <v>2787</v>
      </c>
      <c r="D58" t="s">
        <v>2788</v>
      </c>
      <c r="E58">
        <v>1</v>
      </c>
      <c r="F58" t="s">
        <v>2418</v>
      </c>
      <c r="L58" t="s">
        <v>2789</v>
      </c>
      <c r="M58">
        <v>34626.1171875</v>
      </c>
      <c r="N58" t="s">
        <v>54</v>
      </c>
      <c r="O58" t="s">
        <v>53</v>
      </c>
      <c r="P58" t="s">
        <v>53</v>
      </c>
      <c r="Q58" t="s">
        <v>54</v>
      </c>
      <c r="R58" t="s">
        <v>53</v>
      </c>
      <c r="S58" t="s">
        <v>2790</v>
      </c>
      <c r="U58" t="s">
        <v>53</v>
      </c>
      <c r="V58" t="s">
        <v>1973</v>
      </c>
      <c r="W58">
        <v>1718000</v>
      </c>
      <c r="X58" t="s">
        <v>53</v>
      </c>
      <c r="AA58">
        <v>11544</v>
      </c>
      <c r="AB58">
        <v>6885</v>
      </c>
      <c r="AC58">
        <v>26657</v>
      </c>
      <c r="AD58">
        <v>20374</v>
      </c>
      <c r="AE58">
        <v>41795</v>
      </c>
      <c r="AF58">
        <v>160</v>
      </c>
      <c r="AG58">
        <v>791</v>
      </c>
      <c r="AH58">
        <v>2299.421630859375</v>
      </c>
      <c r="AI58">
        <v>1250</v>
      </c>
      <c r="AJ58">
        <v>2425093.5</v>
      </c>
      <c r="AK58" t="s">
        <v>53</v>
      </c>
      <c r="AL58" t="s">
        <v>53</v>
      </c>
      <c r="AP58" t="s">
        <v>2791</v>
      </c>
      <c r="AQ58" t="s">
        <v>53</v>
      </c>
      <c r="AR58" t="s">
        <v>595</v>
      </c>
      <c r="AT58" t="s">
        <v>595</v>
      </c>
      <c r="AW58" t="s">
        <v>53</v>
      </c>
      <c r="AZ58" t="s">
        <v>54</v>
      </c>
      <c r="BA58" t="s">
        <v>2425</v>
      </c>
      <c r="BB58" s="15" t="s">
        <v>678</v>
      </c>
    </row>
    <row r="59" spans="1:54" x14ac:dyDescent="0.25">
      <c r="A59">
        <v>54</v>
      </c>
      <c r="B59" t="s">
        <v>2792</v>
      </c>
      <c r="C59" t="s">
        <v>2793</v>
      </c>
      <c r="D59" t="s">
        <v>2487</v>
      </c>
      <c r="E59">
        <v>1</v>
      </c>
      <c r="F59" t="s">
        <v>2418</v>
      </c>
      <c r="G59" t="s">
        <v>2580</v>
      </c>
      <c r="H59" t="s">
        <v>2794</v>
      </c>
      <c r="I59" t="s">
        <v>2795</v>
      </c>
      <c r="L59" t="s">
        <v>2482</v>
      </c>
      <c r="M59">
        <v>985.03192138671875</v>
      </c>
      <c r="N59" t="s">
        <v>54</v>
      </c>
      <c r="O59" t="s">
        <v>53</v>
      </c>
      <c r="P59" t="s">
        <v>53</v>
      </c>
      <c r="Q59" t="s">
        <v>53</v>
      </c>
      <c r="R59" t="s">
        <v>53</v>
      </c>
      <c r="S59" t="s">
        <v>2796</v>
      </c>
      <c r="T59" t="s">
        <v>2797</v>
      </c>
      <c r="U59" t="s">
        <v>53</v>
      </c>
      <c r="V59" t="s">
        <v>138</v>
      </c>
      <c r="W59">
        <v>500000</v>
      </c>
      <c r="X59" t="s">
        <v>53</v>
      </c>
      <c r="AA59">
        <v>128</v>
      </c>
      <c r="AB59">
        <v>0</v>
      </c>
      <c r="AC59">
        <v>265</v>
      </c>
      <c r="AD59">
        <v>69</v>
      </c>
      <c r="AE59">
        <v>315</v>
      </c>
      <c r="AF59">
        <v>0</v>
      </c>
      <c r="AG59">
        <v>64</v>
      </c>
      <c r="AH59">
        <v>63.884857177734382</v>
      </c>
      <c r="AI59">
        <v>122</v>
      </c>
      <c r="AJ59">
        <v>94917.5703125</v>
      </c>
      <c r="AK59" t="s">
        <v>54</v>
      </c>
      <c r="AL59" t="s">
        <v>54</v>
      </c>
      <c r="AM59" t="s">
        <v>2798</v>
      </c>
      <c r="AN59" s="148">
        <v>44378</v>
      </c>
      <c r="AO59" s="148">
        <v>44378</v>
      </c>
      <c r="AQ59" t="s">
        <v>53</v>
      </c>
      <c r="AR59" t="s">
        <v>595</v>
      </c>
      <c r="AT59" t="s">
        <v>595</v>
      </c>
      <c r="AW59" t="s">
        <v>53</v>
      </c>
      <c r="AZ59" t="s">
        <v>54</v>
      </c>
      <c r="BA59" t="s">
        <v>2425</v>
      </c>
      <c r="BB59" s="15" t="s">
        <v>676</v>
      </c>
    </row>
    <row r="60" spans="1:54" x14ac:dyDescent="0.25">
      <c r="A60">
        <v>55</v>
      </c>
      <c r="B60" t="s">
        <v>2799</v>
      </c>
      <c r="C60" t="s">
        <v>2800</v>
      </c>
      <c r="D60" t="s">
        <v>2487</v>
      </c>
      <c r="E60">
        <v>1</v>
      </c>
      <c r="F60" t="s">
        <v>2418</v>
      </c>
      <c r="G60" t="s">
        <v>2455</v>
      </c>
      <c r="H60" t="s">
        <v>2456</v>
      </c>
      <c r="I60" t="s">
        <v>2457</v>
      </c>
      <c r="K60" t="s">
        <v>2458</v>
      </c>
      <c r="L60" t="s">
        <v>2482</v>
      </c>
      <c r="M60">
        <v>506.09054565429688</v>
      </c>
      <c r="N60" t="s">
        <v>54</v>
      </c>
      <c r="O60" t="s">
        <v>53</v>
      </c>
      <c r="P60" t="s">
        <v>53</v>
      </c>
      <c r="Q60" t="s">
        <v>54</v>
      </c>
      <c r="R60" t="s">
        <v>53</v>
      </c>
      <c r="S60" t="s">
        <v>2459</v>
      </c>
      <c r="T60" t="s">
        <v>2460</v>
      </c>
      <c r="U60" t="s">
        <v>53</v>
      </c>
      <c r="V60" t="s">
        <v>138</v>
      </c>
      <c r="W60">
        <v>500000</v>
      </c>
      <c r="X60" t="s">
        <v>53</v>
      </c>
      <c r="AA60">
        <v>64</v>
      </c>
      <c r="AB60">
        <v>6</v>
      </c>
      <c r="AC60">
        <v>2</v>
      </c>
      <c r="AD60">
        <v>21</v>
      </c>
      <c r="AE60">
        <v>21</v>
      </c>
      <c r="AF60">
        <v>0</v>
      </c>
      <c r="AG60">
        <v>0</v>
      </c>
      <c r="AH60">
        <v>3.869895458221436</v>
      </c>
      <c r="AI60">
        <v>0</v>
      </c>
      <c r="AJ60">
        <v>45083.87109375</v>
      </c>
      <c r="AK60" t="s">
        <v>54</v>
      </c>
      <c r="AL60" t="s">
        <v>53</v>
      </c>
      <c r="AM60" t="s">
        <v>595</v>
      </c>
      <c r="AQ60" t="s">
        <v>53</v>
      </c>
      <c r="AR60" t="s">
        <v>595</v>
      </c>
      <c r="AT60" t="s">
        <v>595</v>
      </c>
      <c r="AW60" t="s">
        <v>53</v>
      </c>
      <c r="AZ60" t="s">
        <v>54</v>
      </c>
      <c r="BA60" t="s">
        <v>2425</v>
      </c>
      <c r="BB60" s="15" t="s">
        <v>678</v>
      </c>
    </row>
    <row r="61" spans="1:54" x14ac:dyDescent="0.25">
      <c r="A61">
        <v>56</v>
      </c>
      <c r="B61" t="s">
        <v>2801</v>
      </c>
      <c r="C61" t="s">
        <v>2802</v>
      </c>
      <c r="D61" t="s">
        <v>2417</v>
      </c>
      <c r="E61">
        <v>1</v>
      </c>
      <c r="F61" t="s">
        <v>2418</v>
      </c>
      <c r="G61" t="s">
        <v>2580</v>
      </c>
      <c r="H61" t="s">
        <v>2794</v>
      </c>
      <c r="I61" t="s">
        <v>2795</v>
      </c>
      <c r="L61" t="s">
        <v>2422</v>
      </c>
      <c r="M61">
        <v>985.03192138671875</v>
      </c>
      <c r="N61" t="s">
        <v>54</v>
      </c>
      <c r="O61" t="s">
        <v>53</v>
      </c>
      <c r="P61" t="s">
        <v>53</v>
      </c>
      <c r="Q61" t="s">
        <v>53</v>
      </c>
      <c r="R61" t="s">
        <v>53</v>
      </c>
      <c r="S61" t="s">
        <v>2796</v>
      </c>
      <c r="T61" t="s">
        <v>2797</v>
      </c>
      <c r="U61" t="s">
        <v>53</v>
      </c>
      <c r="V61" t="s">
        <v>138</v>
      </c>
      <c r="W61">
        <v>1169000</v>
      </c>
      <c r="X61" t="s">
        <v>53</v>
      </c>
      <c r="AA61">
        <v>128</v>
      </c>
      <c r="AB61">
        <v>0</v>
      </c>
      <c r="AC61">
        <v>265</v>
      </c>
      <c r="AD61">
        <v>69</v>
      </c>
      <c r="AE61">
        <v>315</v>
      </c>
      <c r="AF61">
        <v>0</v>
      </c>
      <c r="AG61">
        <v>64</v>
      </c>
      <c r="AH61">
        <v>63.884857177734382</v>
      </c>
      <c r="AI61">
        <v>122</v>
      </c>
      <c r="AJ61">
        <v>94917.5703125</v>
      </c>
      <c r="AK61" t="s">
        <v>54</v>
      </c>
      <c r="AL61" t="s">
        <v>54</v>
      </c>
      <c r="AM61" t="s">
        <v>2803</v>
      </c>
      <c r="AN61" s="148">
        <v>44378</v>
      </c>
      <c r="AO61" s="148">
        <v>44378</v>
      </c>
      <c r="AQ61" t="s">
        <v>54</v>
      </c>
      <c r="AR61" t="s">
        <v>2804</v>
      </c>
      <c r="AS61" s="148">
        <v>41002</v>
      </c>
      <c r="AT61" t="s">
        <v>2805</v>
      </c>
      <c r="AW61" t="s">
        <v>53</v>
      </c>
      <c r="AZ61" t="s">
        <v>54</v>
      </c>
      <c r="BA61" t="s">
        <v>2425</v>
      </c>
      <c r="BB61" s="15" t="s">
        <v>678</v>
      </c>
    </row>
    <row r="62" spans="1:54" x14ac:dyDescent="0.25">
      <c r="A62">
        <v>57</v>
      </c>
      <c r="B62" t="s">
        <v>2806</v>
      </c>
      <c r="C62" t="s">
        <v>2807</v>
      </c>
      <c r="D62" t="s">
        <v>2417</v>
      </c>
      <c r="E62">
        <v>1</v>
      </c>
      <c r="F62" t="s">
        <v>2418</v>
      </c>
      <c r="G62" t="s">
        <v>2808</v>
      </c>
      <c r="H62" t="s">
        <v>2809</v>
      </c>
      <c r="I62" t="s">
        <v>2810</v>
      </c>
      <c r="L62" t="s">
        <v>2422</v>
      </c>
      <c r="M62">
        <v>703.05242919921875</v>
      </c>
      <c r="N62" t="s">
        <v>54</v>
      </c>
      <c r="O62" t="s">
        <v>53</v>
      </c>
      <c r="P62" t="s">
        <v>53</v>
      </c>
      <c r="Q62" t="s">
        <v>54</v>
      </c>
      <c r="R62" t="s">
        <v>53</v>
      </c>
      <c r="S62" t="s">
        <v>2811</v>
      </c>
      <c r="T62" t="s">
        <v>2812</v>
      </c>
      <c r="U62" t="s">
        <v>53</v>
      </c>
      <c r="V62" t="s">
        <v>138</v>
      </c>
      <c r="W62">
        <v>749000</v>
      </c>
      <c r="X62" t="s">
        <v>53</v>
      </c>
      <c r="AA62">
        <v>23</v>
      </c>
      <c r="AB62">
        <v>3</v>
      </c>
      <c r="AC62">
        <v>7</v>
      </c>
      <c r="AD62">
        <v>10</v>
      </c>
      <c r="AE62">
        <v>14</v>
      </c>
      <c r="AF62">
        <v>0</v>
      </c>
      <c r="AG62">
        <v>4</v>
      </c>
      <c r="AH62">
        <v>35.839027404785163</v>
      </c>
      <c r="AI62">
        <v>5</v>
      </c>
      <c r="AJ62">
        <v>58148.12890625</v>
      </c>
      <c r="AK62" t="s">
        <v>54</v>
      </c>
      <c r="AL62" t="s">
        <v>54</v>
      </c>
      <c r="AM62" t="s">
        <v>2813</v>
      </c>
      <c r="AN62" s="148">
        <v>30187</v>
      </c>
      <c r="AO62" s="148">
        <v>30187</v>
      </c>
      <c r="AQ62" t="s">
        <v>54</v>
      </c>
      <c r="AR62" t="s">
        <v>2814</v>
      </c>
      <c r="AS62" s="148">
        <v>30187</v>
      </c>
      <c r="AT62" t="s">
        <v>2805</v>
      </c>
      <c r="AW62" t="s">
        <v>53</v>
      </c>
      <c r="AZ62" t="s">
        <v>54</v>
      </c>
      <c r="BA62" t="s">
        <v>2425</v>
      </c>
      <c r="BB62" s="15" t="s">
        <v>676</v>
      </c>
    </row>
    <row r="63" spans="1:54" x14ac:dyDescent="0.25">
      <c r="A63">
        <v>58</v>
      </c>
      <c r="B63" t="s">
        <v>2815</v>
      </c>
      <c r="C63" t="s">
        <v>2816</v>
      </c>
      <c r="D63" t="s">
        <v>2417</v>
      </c>
      <c r="E63">
        <v>1</v>
      </c>
      <c r="F63" t="s">
        <v>2418</v>
      </c>
      <c r="G63" t="s">
        <v>2817</v>
      </c>
      <c r="H63" t="s">
        <v>2818</v>
      </c>
      <c r="I63" t="s">
        <v>2819</v>
      </c>
      <c r="L63" t="s">
        <v>2422</v>
      </c>
      <c r="M63">
        <v>988.012451171875</v>
      </c>
      <c r="N63" t="s">
        <v>54</v>
      </c>
      <c r="O63" t="s">
        <v>53</v>
      </c>
      <c r="P63" t="s">
        <v>53</v>
      </c>
      <c r="Q63" t="s">
        <v>54</v>
      </c>
      <c r="R63" t="s">
        <v>53</v>
      </c>
      <c r="S63" t="s">
        <v>2820</v>
      </c>
      <c r="T63" t="s">
        <v>2821</v>
      </c>
      <c r="U63" t="s">
        <v>53</v>
      </c>
      <c r="V63" t="s">
        <v>138</v>
      </c>
      <c r="W63">
        <v>974000</v>
      </c>
      <c r="X63" t="s">
        <v>53</v>
      </c>
      <c r="AA63">
        <v>114</v>
      </c>
      <c r="AB63">
        <v>3</v>
      </c>
      <c r="AC63">
        <v>94</v>
      </c>
      <c r="AD63">
        <v>102</v>
      </c>
      <c r="AE63">
        <v>156</v>
      </c>
      <c r="AF63">
        <v>0</v>
      </c>
      <c r="AG63">
        <v>6</v>
      </c>
      <c r="AH63">
        <v>22.509126663208011</v>
      </c>
      <c r="AI63">
        <v>6</v>
      </c>
      <c r="AJ63">
        <v>80008.1484375</v>
      </c>
      <c r="AK63" t="s">
        <v>54</v>
      </c>
      <c r="AL63" t="s">
        <v>54</v>
      </c>
      <c r="AM63" t="s">
        <v>2822</v>
      </c>
      <c r="AN63" s="148">
        <v>31990</v>
      </c>
      <c r="AO63" s="148">
        <v>31990</v>
      </c>
      <c r="AQ63" t="s">
        <v>54</v>
      </c>
      <c r="AR63" t="s">
        <v>2823</v>
      </c>
      <c r="AS63" s="148">
        <v>31990</v>
      </c>
      <c r="AT63" t="s">
        <v>2805</v>
      </c>
      <c r="AW63" t="s">
        <v>53</v>
      </c>
      <c r="AZ63" t="s">
        <v>54</v>
      </c>
      <c r="BA63" t="s">
        <v>2425</v>
      </c>
      <c r="BB63" s="15" t="s">
        <v>678</v>
      </c>
    </row>
    <row r="64" spans="1:54" x14ac:dyDescent="0.25">
      <c r="A64">
        <v>59</v>
      </c>
      <c r="B64" t="s">
        <v>2824</v>
      </c>
      <c r="C64" t="s">
        <v>2825</v>
      </c>
      <c r="D64" t="s">
        <v>2417</v>
      </c>
      <c r="E64">
        <v>1</v>
      </c>
      <c r="F64" t="s">
        <v>2418</v>
      </c>
      <c r="G64" t="s">
        <v>2478</v>
      </c>
      <c r="H64" t="s">
        <v>2479</v>
      </c>
      <c r="I64" t="s">
        <v>2480</v>
      </c>
      <c r="K64" t="s">
        <v>2481</v>
      </c>
      <c r="L64" t="s">
        <v>2422</v>
      </c>
      <c r="M64">
        <v>583.8780517578125</v>
      </c>
      <c r="N64" t="s">
        <v>54</v>
      </c>
      <c r="O64" t="s">
        <v>53</v>
      </c>
      <c r="P64" t="s">
        <v>53</v>
      </c>
      <c r="Q64" t="s">
        <v>54</v>
      </c>
      <c r="R64" t="s">
        <v>53</v>
      </c>
      <c r="S64" t="s">
        <v>2483</v>
      </c>
      <c r="T64" t="s">
        <v>2484</v>
      </c>
      <c r="U64" t="s">
        <v>53</v>
      </c>
      <c r="V64" t="s">
        <v>138</v>
      </c>
      <c r="W64">
        <v>1115000</v>
      </c>
      <c r="X64" t="s">
        <v>53</v>
      </c>
      <c r="AA64">
        <v>35</v>
      </c>
      <c r="AB64">
        <v>3</v>
      </c>
      <c r="AC64">
        <v>4</v>
      </c>
      <c r="AD64">
        <v>22</v>
      </c>
      <c r="AE64">
        <v>22</v>
      </c>
      <c r="AF64">
        <v>0</v>
      </c>
      <c r="AG64">
        <v>10</v>
      </c>
      <c r="AH64">
        <v>76.583122253417969</v>
      </c>
      <c r="AI64">
        <v>37</v>
      </c>
      <c r="AJ64">
        <v>26594.5234375</v>
      </c>
      <c r="AK64" t="s">
        <v>54</v>
      </c>
      <c r="AL64" t="s">
        <v>54</v>
      </c>
      <c r="AM64" t="s">
        <v>2826</v>
      </c>
      <c r="AN64" s="148">
        <v>39387</v>
      </c>
      <c r="AO64" s="148">
        <v>39387</v>
      </c>
      <c r="AQ64" t="s">
        <v>54</v>
      </c>
      <c r="AR64" t="s">
        <v>2826</v>
      </c>
      <c r="AS64" s="148">
        <v>39387</v>
      </c>
      <c r="AT64" t="s">
        <v>2827</v>
      </c>
      <c r="AW64" t="s">
        <v>53</v>
      </c>
      <c r="AZ64" t="s">
        <v>54</v>
      </c>
      <c r="BA64" t="s">
        <v>2425</v>
      </c>
      <c r="BB64" s="15" t="s">
        <v>678</v>
      </c>
    </row>
    <row r="65" spans="1:54" x14ac:dyDescent="0.25">
      <c r="A65">
        <v>60</v>
      </c>
      <c r="B65" t="s">
        <v>2828</v>
      </c>
      <c r="C65" t="s">
        <v>2829</v>
      </c>
      <c r="D65" t="s">
        <v>2417</v>
      </c>
      <c r="E65">
        <v>1</v>
      </c>
      <c r="F65" t="s">
        <v>2418</v>
      </c>
      <c r="G65" t="s">
        <v>2488</v>
      </c>
      <c r="H65" t="s">
        <v>2489</v>
      </c>
      <c r="I65" t="s">
        <v>2490</v>
      </c>
      <c r="L65" t="s">
        <v>2422</v>
      </c>
      <c r="M65">
        <v>975.52056884765625</v>
      </c>
      <c r="N65" t="s">
        <v>54</v>
      </c>
      <c r="O65" t="s">
        <v>53</v>
      </c>
      <c r="P65" t="s">
        <v>53</v>
      </c>
      <c r="Q65" t="s">
        <v>53</v>
      </c>
      <c r="R65" t="s">
        <v>53</v>
      </c>
      <c r="S65" t="s">
        <v>2491</v>
      </c>
      <c r="T65" t="s">
        <v>2492</v>
      </c>
      <c r="U65" t="s">
        <v>53</v>
      </c>
      <c r="V65" t="s">
        <v>138</v>
      </c>
      <c r="W65">
        <v>983000</v>
      </c>
      <c r="X65" t="s">
        <v>53</v>
      </c>
      <c r="AA65">
        <v>132</v>
      </c>
      <c r="AB65">
        <v>29</v>
      </c>
      <c r="AC65">
        <v>520</v>
      </c>
      <c r="AD65">
        <v>99</v>
      </c>
      <c r="AE65">
        <v>583</v>
      </c>
      <c r="AF65">
        <v>2</v>
      </c>
      <c r="AG65">
        <v>39</v>
      </c>
      <c r="AH65">
        <v>87.621780395507813</v>
      </c>
      <c r="AI65">
        <v>45</v>
      </c>
      <c r="AJ65">
        <v>101721.125</v>
      </c>
      <c r="AK65" t="s">
        <v>54</v>
      </c>
      <c r="AL65" t="s">
        <v>54</v>
      </c>
      <c r="AM65" t="s">
        <v>2830</v>
      </c>
      <c r="AN65" s="148">
        <v>37155</v>
      </c>
      <c r="AO65" s="148">
        <v>37155</v>
      </c>
      <c r="AQ65" t="s">
        <v>54</v>
      </c>
      <c r="AR65" t="s">
        <v>2831</v>
      </c>
      <c r="AS65" s="148">
        <v>37155</v>
      </c>
      <c r="AT65" t="s">
        <v>2805</v>
      </c>
      <c r="AW65" t="s">
        <v>53</v>
      </c>
      <c r="AZ65" t="s">
        <v>54</v>
      </c>
      <c r="BA65" t="s">
        <v>2425</v>
      </c>
      <c r="BB65" s="15" t="s">
        <v>676</v>
      </c>
    </row>
    <row r="66" spans="1:54" x14ac:dyDescent="0.25">
      <c r="A66">
        <v>61</v>
      </c>
      <c r="B66" t="s">
        <v>2832</v>
      </c>
      <c r="C66" t="s">
        <v>2833</v>
      </c>
      <c r="D66" t="s">
        <v>2417</v>
      </c>
      <c r="E66">
        <v>1</v>
      </c>
      <c r="F66" t="s">
        <v>2418</v>
      </c>
      <c r="G66" t="s">
        <v>2834</v>
      </c>
      <c r="H66" t="s">
        <v>2835</v>
      </c>
      <c r="I66" t="s">
        <v>2836</v>
      </c>
      <c r="L66" t="s">
        <v>2422</v>
      </c>
      <c r="M66">
        <v>695.55181884765625</v>
      </c>
      <c r="N66" t="s">
        <v>54</v>
      </c>
      <c r="O66" t="s">
        <v>53</v>
      </c>
      <c r="P66" t="s">
        <v>53</v>
      </c>
      <c r="Q66" t="s">
        <v>54</v>
      </c>
      <c r="R66" t="s">
        <v>53</v>
      </c>
      <c r="S66" t="s">
        <v>2837</v>
      </c>
      <c r="T66" t="s">
        <v>2838</v>
      </c>
      <c r="U66" t="s">
        <v>53</v>
      </c>
      <c r="V66" t="s">
        <v>138</v>
      </c>
      <c r="W66">
        <v>678000</v>
      </c>
      <c r="X66" t="s">
        <v>53</v>
      </c>
      <c r="AA66">
        <v>43</v>
      </c>
      <c r="AB66">
        <v>3</v>
      </c>
      <c r="AC66">
        <v>64</v>
      </c>
      <c r="AD66">
        <v>133</v>
      </c>
      <c r="AE66">
        <v>157</v>
      </c>
      <c r="AF66">
        <v>0</v>
      </c>
      <c r="AG66">
        <v>6</v>
      </c>
      <c r="AH66">
        <v>54.346111297607422</v>
      </c>
      <c r="AI66">
        <v>6</v>
      </c>
      <c r="AJ66">
        <v>59006.796875</v>
      </c>
      <c r="AK66" t="s">
        <v>54</v>
      </c>
      <c r="AL66" t="s">
        <v>54</v>
      </c>
      <c r="AM66" t="s">
        <v>2839</v>
      </c>
      <c r="AN66" s="148">
        <v>30187</v>
      </c>
      <c r="AO66" s="148">
        <v>30187</v>
      </c>
      <c r="AQ66" t="s">
        <v>54</v>
      </c>
      <c r="AR66" t="s">
        <v>2840</v>
      </c>
      <c r="AS66" s="148">
        <v>30187</v>
      </c>
      <c r="AT66" t="s">
        <v>2805</v>
      </c>
      <c r="AW66" t="s">
        <v>53</v>
      </c>
      <c r="AZ66" t="s">
        <v>54</v>
      </c>
      <c r="BA66" t="s">
        <v>2425</v>
      </c>
      <c r="BB66" s="15" t="s">
        <v>678</v>
      </c>
    </row>
    <row r="67" spans="1:54" x14ac:dyDescent="0.25">
      <c r="A67">
        <v>62</v>
      </c>
      <c r="B67" t="s">
        <v>2841</v>
      </c>
      <c r="C67" t="s">
        <v>2842</v>
      </c>
      <c r="D67" t="s">
        <v>2417</v>
      </c>
      <c r="E67">
        <v>1</v>
      </c>
      <c r="F67" t="s">
        <v>2418</v>
      </c>
      <c r="G67" t="s">
        <v>2497</v>
      </c>
      <c r="H67" t="s">
        <v>2498</v>
      </c>
      <c r="I67" t="s">
        <v>2499</v>
      </c>
      <c r="L67" t="s">
        <v>2422</v>
      </c>
      <c r="M67">
        <v>925.150146484375</v>
      </c>
      <c r="N67" t="s">
        <v>54</v>
      </c>
      <c r="O67" t="s">
        <v>53</v>
      </c>
      <c r="P67" t="s">
        <v>53</v>
      </c>
      <c r="Q67" t="s">
        <v>54</v>
      </c>
      <c r="R67" t="s">
        <v>53</v>
      </c>
      <c r="S67" t="s">
        <v>2500</v>
      </c>
      <c r="T67" t="s">
        <v>2501</v>
      </c>
      <c r="U67" t="s">
        <v>53</v>
      </c>
      <c r="V67" t="s">
        <v>138</v>
      </c>
      <c r="W67">
        <v>826000</v>
      </c>
      <c r="X67" t="s">
        <v>53</v>
      </c>
      <c r="AA67">
        <v>87</v>
      </c>
      <c r="AB67">
        <v>43</v>
      </c>
      <c r="AC67">
        <v>190</v>
      </c>
      <c r="AD67">
        <v>102</v>
      </c>
      <c r="AE67">
        <v>270</v>
      </c>
      <c r="AF67">
        <v>4</v>
      </c>
      <c r="AG67">
        <v>10</v>
      </c>
      <c r="AH67">
        <v>35.602127075195313</v>
      </c>
      <c r="AI67">
        <v>12</v>
      </c>
      <c r="AJ67">
        <v>43317.89453125</v>
      </c>
      <c r="AK67" t="s">
        <v>54</v>
      </c>
      <c r="AL67" t="s">
        <v>54</v>
      </c>
      <c r="AM67" t="s">
        <v>2843</v>
      </c>
      <c r="AN67" s="148">
        <v>31217</v>
      </c>
      <c r="AO67" s="148">
        <v>31217</v>
      </c>
      <c r="AQ67" t="s">
        <v>54</v>
      </c>
      <c r="AR67" t="s">
        <v>2844</v>
      </c>
      <c r="AS67" s="148">
        <v>31217</v>
      </c>
      <c r="AT67" t="s">
        <v>2805</v>
      </c>
      <c r="AW67" t="s">
        <v>53</v>
      </c>
      <c r="AZ67" t="s">
        <v>54</v>
      </c>
      <c r="BA67" t="s">
        <v>2425</v>
      </c>
      <c r="BB67" s="15" t="s">
        <v>676</v>
      </c>
    </row>
    <row r="68" spans="1:54" x14ac:dyDescent="0.25">
      <c r="A68">
        <v>63</v>
      </c>
      <c r="B68" t="s">
        <v>2845</v>
      </c>
      <c r="C68" t="s">
        <v>2846</v>
      </c>
      <c r="D68" t="s">
        <v>2417</v>
      </c>
      <c r="E68">
        <v>1</v>
      </c>
      <c r="F68" t="s">
        <v>2418</v>
      </c>
      <c r="G68" t="s">
        <v>2661</v>
      </c>
      <c r="H68" t="s">
        <v>2847</v>
      </c>
      <c r="I68" t="s">
        <v>2848</v>
      </c>
      <c r="L68" t="s">
        <v>2422</v>
      </c>
      <c r="M68">
        <v>1502.7646484375</v>
      </c>
      <c r="N68" t="s">
        <v>54</v>
      </c>
      <c r="O68" t="s">
        <v>53</v>
      </c>
      <c r="P68" t="s">
        <v>53</v>
      </c>
      <c r="Q68" t="s">
        <v>54</v>
      </c>
      <c r="R68" t="s">
        <v>53</v>
      </c>
      <c r="S68" t="s">
        <v>2849</v>
      </c>
      <c r="T68" t="s">
        <v>2850</v>
      </c>
      <c r="U68" t="s">
        <v>53</v>
      </c>
      <c r="V68" t="s">
        <v>138</v>
      </c>
      <c r="W68">
        <v>1447000</v>
      </c>
      <c r="X68" t="s">
        <v>53</v>
      </c>
      <c r="AA68">
        <v>25</v>
      </c>
      <c r="AB68">
        <v>0</v>
      </c>
      <c r="AC68">
        <v>27</v>
      </c>
      <c r="AD68">
        <v>42</v>
      </c>
      <c r="AE68">
        <v>57</v>
      </c>
      <c r="AF68">
        <v>1</v>
      </c>
      <c r="AG68">
        <v>30</v>
      </c>
      <c r="AH68">
        <v>9.3896379470825195</v>
      </c>
      <c r="AI68">
        <v>30</v>
      </c>
      <c r="AJ68">
        <v>95133.5546875</v>
      </c>
      <c r="AK68" t="s">
        <v>54</v>
      </c>
      <c r="AL68" t="s">
        <v>53</v>
      </c>
      <c r="AM68" t="s">
        <v>595</v>
      </c>
      <c r="AP68" t="s">
        <v>2851</v>
      </c>
      <c r="AQ68" t="s">
        <v>54</v>
      </c>
      <c r="AR68" t="s">
        <v>2852</v>
      </c>
      <c r="AS68" s="148">
        <v>27600</v>
      </c>
      <c r="AT68" t="s">
        <v>2805</v>
      </c>
      <c r="AW68" t="s">
        <v>53</v>
      </c>
      <c r="AZ68" t="s">
        <v>54</v>
      </c>
      <c r="BA68" t="s">
        <v>2425</v>
      </c>
      <c r="BB68" s="15" t="s">
        <v>678</v>
      </c>
    </row>
    <row r="69" spans="1:54" x14ac:dyDescent="0.25">
      <c r="A69">
        <v>64</v>
      </c>
      <c r="B69" t="s">
        <v>2853</v>
      </c>
      <c r="C69" t="s">
        <v>2854</v>
      </c>
      <c r="D69" t="s">
        <v>2417</v>
      </c>
      <c r="E69">
        <v>1</v>
      </c>
      <c r="F69" t="s">
        <v>2418</v>
      </c>
      <c r="G69" t="s">
        <v>2617</v>
      </c>
      <c r="H69" t="s">
        <v>2855</v>
      </c>
      <c r="I69" t="s">
        <v>2856</v>
      </c>
      <c r="L69" t="s">
        <v>2422</v>
      </c>
      <c r="M69">
        <v>913.98382568359375</v>
      </c>
      <c r="N69" t="s">
        <v>54</v>
      </c>
      <c r="O69" t="s">
        <v>53</v>
      </c>
      <c r="P69" t="s">
        <v>53</v>
      </c>
      <c r="Q69" t="s">
        <v>54</v>
      </c>
      <c r="R69" t="s">
        <v>53</v>
      </c>
      <c r="S69" t="s">
        <v>2857</v>
      </c>
      <c r="T69" t="s">
        <v>2858</v>
      </c>
      <c r="U69" t="s">
        <v>53</v>
      </c>
      <c r="V69" t="s">
        <v>138</v>
      </c>
      <c r="W69">
        <v>887000</v>
      </c>
      <c r="X69" t="s">
        <v>53</v>
      </c>
      <c r="AA69">
        <v>101</v>
      </c>
      <c r="AB69">
        <v>0</v>
      </c>
      <c r="AC69">
        <v>76</v>
      </c>
      <c r="AD69">
        <v>29</v>
      </c>
      <c r="AE69">
        <v>100</v>
      </c>
      <c r="AF69">
        <v>0</v>
      </c>
      <c r="AG69">
        <v>6</v>
      </c>
      <c r="AH69">
        <v>29.622966766357418</v>
      </c>
      <c r="AI69">
        <v>6</v>
      </c>
      <c r="AJ69">
        <v>77405.3203125</v>
      </c>
      <c r="AK69" t="s">
        <v>54</v>
      </c>
      <c r="AL69" t="s">
        <v>54</v>
      </c>
      <c r="AM69" t="s">
        <v>2859</v>
      </c>
      <c r="AN69" s="148">
        <v>32295</v>
      </c>
      <c r="AO69" s="148">
        <v>32295</v>
      </c>
      <c r="AQ69" t="s">
        <v>54</v>
      </c>
      <c r="AR69" t="s">
        <v>2860</v>
      </c>
      <c r="AS69" s="148">
        <v>32295</v>
      </c>
      <c r="AT69" t="s">
        <v>2805</v>
      </c>
      <c r="AW69" t="s">
        <v>53</v>
      </c>
      <c r="AZ69" t="s">
        <v>54</v>
      </c>
      <c r="BA69" t="s">
        <v>2425</v>
      </c>
      <c r="BB69" s="15" t="s">
        <v>678</v>
      </c>
    </row>
    <row r="70" spans="1:54" x14ac:dyDescent="0.25">
      <c r="A70">
        <v>65</v>
      </c>
      <c r="B70" t="s">
        <v>2861</v>
      </c>
      <c r="C70" t="s">
        <v>2862</v>
      </c>
      <c r="D70" t="s">
        <v>2417</v>
      </c>
      <c r="E70">
        <v>1</v>
      </c>
      <c r="F70" t="s">
        <v>2418</v>
      </c>
      <c r="G70" t="s">
        <v>2506</v>
      </c>
      <c r="H70" t="s">
        <v>2507</v>
      </c>
      <c r="I70" t="s">
        <v>2508</v>
      </c>
      <c r="L70" t="s">
        <v>2422</v>
      </c>
      <c r="M70">
        <v>896.88250732421875</v>
      </c>
      <c r="N70" t="s">
        <v>54</v>
      </c>
      <c r="O70" t="s">
        <v>53</v>
      </c>
      <c r="P70" t="s">
        <v>53</v>
      </c>
      <c r="Q70" t="s">
        <v>54</v>
      </c>
      <c r="R70" t="s">
        <v>53</v>
      </c>
      <c r="S70" t="s">
        <v>2509</v>
      </c>
      <c r="T70" t="s">
        <v>2510</v>
      </c>
      <c r="U70" t="s">
        <v>53</v>
      </c>
      <c r="V70" t="s">
        <v>138</v>
      </c>
      <c r="W70">
        <v>895000</v>
      </c>
      <c r="X70" t="s">
        <v>53</v>
      </c>
      <c r="AA70">
        <v>428</v>
      </c>
      <c r="AB70">
        <v>0</v>
      </c>
      <c r="AC70">
        <v>552</v>
      </c>
      <c r="AD70">
        <v>587</v>
      </c>
      <c r="AE70">
        <v>925</v>
      </c>
      <c r="AF70">
        <v>2</v>
      </c>
      <c r="AG70">
        <v>10</v>
      </c>
      <c r="AH70">
        <v>29.867507934570309</v>
      </c>
      <c r="AI70">
        <v>10</v>
      </c>
      <c r="AJ70">
        <v>70011.9921875</v>
      </c>
      <c r="AK70" t="s">
        <v>54</v>
      </c>
      <c r="AL70" t="s">
        <v>53</v>
      </c>
      <c r="AM70" t="s">
        <v>595</v>
      </c>
      <c r="AQ70" t="s">
        <v>54</v>
      </c>
      <c r="AR70" t="s">
        <v>2826</v>
      </c>
      <c r="AS70" s="148">
        <v>28500</v>
      </c>
      <c r="AT70" t="s">
        <v>2863</v>
      </c>
      <c r="AW70" t="s">
        <v>53</v>
      </c>
      <c r="AZ70" t="s">
        <v>54</v>
      </c>
      <c r="BA70" t="s">
        <v>2425</v>
      </c>
      <c r="BB70" s="15" t="s">
        <v>678</v>
      </c>
    </row>
    <row r="71" spans="1:54" x14ac:dyDescent="0.25">
      <c r="A71">
        <v>66</v>
      </c>
      <c r="B71" t="s">
        <v>2864</v>
      </c>
      <c r="C71" t="s">
        <v>2865</v>
      </c>
      <c r="D71" t="s">
        <v>2417</v>
      </c>
      <c r="E71">
        <v>1</v>
      </c>
      <c r="F71" t="s">
        <v>2418</v>
      </c>
      <c r="G71" t="s">
        <v>2866</v>
      </c>
      <c r="H71" t="s">
        <v>2867</v>
      </c>
      <c r="I71" t="s">
        <v>2868</v>
      </c>
      <c r="L71" t="s">
        <v>2422</v>
      </c>
      <c r="M71">
        <v>911.481201171875</v>
      </c>
      <c r="N71" t="s">
        <v>54</v>
      </c>
      <c r="O71" t="s">
        <v>53</v>
      </c>
      <c r="P71" t="s">
        <v>53</v>
      </c>
      <c r="Q71" t="s">
        <v>54</v>
      </c>
      <c r="R71" t="s">
        <v>53</v>
      </c>
      <c r="S71" t="s">
        <v>2869</v>
      </c>
      <c r="T71" t="s">
        <v>2870</v>
      </c>
      <c r="U71" t="s">
        <v>53</v>
      </c>
      <c r="V71" t="s">
        <v>138</v>
      </c>
      <c r="W71">
        <v>835000</v>
      </c>
      <c r="X71" t="s">
        <v>53</v>
      </c>
      <c r="AA71">
        <v>75</v>
      </c>
      <c r="AB71">
        <v>27</v>
      </c>
      <c r="AC71">
        <v>228</v>
      </c>
      <c r="AD71">
        <v>126</v>
      </c>
      <c r="AE71">
        <v>326</v>
      </c>
      <c r="AF71">
        <v>4</v>
      </c>
      <c r="AG71">
        <v>10</v>
      </c>
      <c r="AH71">
        <v>28.651556015014648</v>
      </c>
      <c r="AI71">
        <v>13</v>
      </c>
      <c r="AJ71">
        <v>38661.18359375</v>
      </c>
      <c r="AK71" t="s">
        <v>54</v>
      </c>
      <c r="AL71" t="s">
        <v>54</v>
      </c>
      <c r="AM71" t="s">
        <v>2871</v>
      </c>
      <c r="AN71" s="148">
        <v>31415</v>
      </c>
      <c r="AO71" s="148">
        <v>31415</v>
      </c>
      <c r="AQ71" t="s">
        <v>54</v>
      </c>
      <c r="AR71" t="s">
        <v>2872</v>
      </c>
      <c r="AS71" s="148">
        <v>31415</v>
      </c>
      <c r="AT71" t="s">
        <v>2805</v>
      </c>
      <c r="AW71" t="s">
        <v>53</v>
      </c>
      <c r="AZ71" t="s">
        <v>54</v>
      </c>
      <c r="BA71" t="s">
        <v>2425</v>
      </c>
      <c r="BB71" s="15" t="s">
        <v>678</v>
      </c>
    </row>
    <row r="72" spans="1:54" x14ac:dyDescent="0.25">
      <c r="A72">
        <v>67</v>
      </c>
      <c r="B72" t="s">
        <v>2873</v>
      </c>
      <c r="C72" t="s">
        <v>2874</v>
      </c>
      <c r="D72" t="s">
        <v>2417</v>
      </c>
      <c r="E72">
        <v>1</v>
      </c>
      <c r="F72" t="s">
        <v>2418</v>
      </c>
      <c r="G72" t="s">
        <v>2513</v>
      </c>
      <c r="H72" t="s">
        <v>2514</v>
      </c>
      <c r="I72" t="s">
        <v>2515</v>
      </c>
      <c r="L72" t="s">
        <v>2422</v>
      </c>
      <c r="M72">
        <v>1466.1484375</v>
      </c>
      <c r="N72" t="s">
        <v>54</v>
      </c>
      <c r="O72" t="s">
        <v>53</v>
      </c>
      <c r="P72" t="s">
        <v>53</v>
      </c>
      <c r="Q72" t="s">
        <v>54</v>
      </c>
      <c r="R72" t="s">
        <v>53</v>
      </c>
      <c r="S72" t="s">
        <v>2516</v>
      </c>
      <c r="T72" t="s">
        <v>2517</v>
      </c>
      <c r="U72" t="s">
        <v>53</v>
      </c>
      <c r="V72" t="s">
        <v>138</v>
      </c>
      <c r="W72">
        <v>1361000</v>
      </c>
      <c r="X72" t="s">
        <v>53</v>
      </c>
      <c r="AA72">
        <v>111</v>
      </c>
      <c r="AB72">
        <v>65</v>
      </c>
      <c r="AC72">
        <v>209</v>
      </c>
      <c r="AD72">
        <v>159</v>
      </c>
      <c r="AE72">
        <v>281</v>
      </c>
      <c r="AF72">
        <v>5</v>
      </c>
      <c r="AG72">
        <v>61</v>
      </c>
      <c r="AH72">
        <v>83.215591430664063</v>
      </c>
      <c r="AI72">
        <v>63</v>
      </c>
      <c r="AJ72">
        <v>91162.8671875</v>
      </c>
      <c r="AK72" t="s">
        <v>54</v>
      </c>
      <c r="AL72" t="s">
        <v>54</v>
      </c>
      <c r="AM72" t="s">
        <v>2875</v>
      </c>
      <c r="AN72" s="148">
        <v>33275</v>
      </c>
      <c r="AO72" s="148">
        <v>33275</v>
      </c>
      <c r="AQ72" t="s">
        <v>54</v>
      </c>
      <c r="AR72" t="s">
        <v>2876</v>
      </c>
      <c r="AS72" s="148">
        <v>33275</v>
      </c>
      <c r="AT72" t="s">
        <v>2805</v>
      </c>
      <c r="AW72" t="s">
        <v>53</v>
      </c>
      <c r="AZ72" t="s">
        <v>54</v>
      </c>
      <c r="BA72" t="s">
        <v>2425</v>
      </c>
      <c r="BB72" s="15" t="s">
        <v>678</v>
      </c>
    </row>
    <row r="73" spans="1:54" x14ac:dyDescent="0.25">
      <c r="A73">
        <v>68</v>
      </c>
      <c r="B73" t="s">
        <v>2877</v>
      </c>
      <c r="C73" t="s">
        <v>2878</v>
      </c>
      <c r="D73" t="s">
        <v>2417</v>
      </c>
      <c r="E73">
        <v>1</v>
      </c>
      <c r="F73" t="s">
        <v>2418</v>
      </c>
      <c r="G73" t="s">
        <v>2520</v>
      </c>
      <c r="H73" t="s">
        <v>2521</v>
      </c>
      <c r="I73" t="s">
        <v>2522</v>
      </c>
      <c r="L73" t="s">
        <v>2422</v>
      </c>
      <c r="M73">
        <v>713.08544921875</v>
      </c>
      <c r="N73" t="s">
        <v>54</v>
      </c>
      <c r="O73" t="s">
        <v>53</v>
      </c>
      <c r="P73" t="s">
        <v>53</v>
      </c>
      <c r="Q73" t="s">
        <v>54</v>
      </c>
      <c r="R73" t="s">
        <v>53</v>
      </c>
      <c r="S73" t="s">
        <v>2523</v>
      </c>
      <c r="T73" t="s">
        <v>2524</v>
      </c>
      <c r="U73" t="s">
        <v>53</v>
      </c>
      <c r="V73" t="s">
        <v>138</v>
      </c>
      <c r="W73">
        <v>711000</v>
      </c>
      <c r="X73" t="s">
        <v>53</v>
      </c>
      <c r="AA73">
        <v>47</v>
      </c>
      <c r="AB73">
        <v>17</v>
      </c>
      <c r="AC73">
        <v>16</v>
      </c>
      <c r="AD73">
        <v>56</v>
      </c>
      <c r="AE73">
        <v>59</v>
      </c>
      <c r="AF73">
        <v>1</v>
      </c>
      <c r="AG73">
        <v>8</v>
      </c>
      <c r="AH73">
        <v>52.279953002929688</v>
      </c>
      <c r="AI73">
        <v>8</v>
      </c>
      <c r="AJ73">
        <v>65435.875</v>
      </c>
      <c r="AK73" t="s">
        <v>54</v>
      </c>
      <c r="AL73" t="s">
        <v>54</v>
      </c>
      <c r="AM73" t="s">
        <v>2879</v>
      </c>
      <c r="AN73" s="148">
        <v>31990</v>
      </c>
      <c r="AO73" s="148">
        <v>31990</v>
      </c>
      <c r="AQ73" t="s">
        <v>54</v>
      </c>
      <c r="AR73" t="s">
        <v>2879</v>
      </c>
      <c r="AS73" s="148">
        <v>31990</v>
      </c>
      <c r="AT73" t="s">
        <v>2805</v>
      </c>
      <c r="AW73" t="s">
        <v>53</v>
      </c>
      <c r="AZ73" t="s">
        <v>54</v>
      </c>
      <c r="BA73" t="s">
        <v>2425</v>
      </c>
      <c r="BB73" s="15" t="s">
        <v>678</v>
      </c>
    </row>
    <row r="74" spans="1:54" x14ac:dyDescent="0.25">
      <c r="A74">
        <v>69</v>
      </c>
      <c r="B74" t="s">
        <v>2880</v>
      </c>
      <c r="C74" t="s">
        <v>2881</v>
      </c>
      <c r="D74" t="s">
        <v>2417</v>
      </c>
      <c r="E74">
        <v>1</v>
      </c>
      <c r="F74" t="s">
        <v>2418</v>
      </c>
      <c r="G74" t="s">
        <v>2527</v>
      </c>
      <c r="H74" t="s">
        <v>2528</v>
      </c>
      <c r="I74" t="s">
        <v>2529</v>
      </c>
      <c r="L74" t="s">
        <v>2422</v>
      </c>
      <c r="M74">
        <v>903.35498046875</v>
      </c>
      <c r="N74" t="s">
        <v>54</v>
      </c>
      <c r="O74" t="s">
        <v>53</v>
      </c>
      <c r="P74" t="s">
        <v>53</v>
      </c>
      <c r="Q74" t="s">
        <v>54</v>
      </c>
      <c r="R74" t="s">
        <v>53</v>
      </c>
      <c r="S74" t="s">
        <v>2530</v>
      </c>
      <c r="T74" t="s">
        <v>2531</v>
      </c>
      <c r="U74" t="s">
        <v>53</v>
      </c>
      <c r="V74" t="s">
        <v>138</v>
      </c>
      <c r="W74">
        <v>892000</v>
      </c>
      <c r="X74" t="s">
        <v>53</v>
      </c>
      <c r="AA74">
        <v>66</v>
      </c>
      <c r="AB74">
        <v>11</v>
      </c>
      <c r="AC74">
        <v>33</v>
      </c>
      <c r="AD74">
        <v>37</v>
      </c>
      <c r="AE74">
        <v>63</v>
      </c>
      <c r="AF74">
        <v>5</v>
      </c>
      <c r="AG74">
        <v>22</v>
      </c>
      <c r="AH74">
        <v>73.761383056640625</v>
      </c>
      <c r="AI74">
        <v>22</v>
      </c>
      <c r="AJ74">
        <v>90608.1640625</v>
      </c>
      <c r="AK74" t="s">
        <v>54</v>
      </c>
      <c r="AL74" t="s">
        <v>54</v>
      </c>
      <c r="AM74" t="s">
        <v>2882</v>
      </c>
      <c r="AN74" s="148">
        <v>31093</v>
      </c>
      <c r="AO74" s="148">
        <v>31093</v>
      </c>
      <c r="AQ74" t="s">
        <v>54</v>
      </c>
      <c r="AR74" t="s">
        <v>2883</v>
      </c>
      <c r="AS74" s="148">
        <v>31093</v>
      </c>
      <c r="AT74" t="s">
        <v>2805</v>
      </c>
      <c r="AW74" t="s">
        <v>53</v>
      </c>
      <c r="AZ74" t="s">
        <v>54</v>
      </c>
      <c r="BA74" t="s">
        <v>2425</v>
      </c>
      <c r="BB74" s="15" t="s">
        <v>678</v>
      </c>
    </row>
    <row r="75" spans="1:54" x14ac:dyDescent="0.25">
      <c r="A75">
        <v>70</v>
      </c>
      <c r="B75" t="s">
        <v>2884</v>
      </c>
      <c r="C75" t="s">
        <v>2885</v>
      </c>
      <c r="D75" t="s">
        <v>2417</v>
      </c>
      <c r="E75">
        <v>1</v>
      </c>
      <c r="F75" t="s">
        <v>2418</v>
      </c>
      <c r="G75" t="s">
        <v>2571</v>
      </c>
      <c r="H75" t="s">
        <v>2886</v>
      </c>
      <c r="I75" t="s">
        <v>2887</v>
      </c>
      <c r="L75" t="s">
        <v>2422</v>
      </c>
      <c r="M75">
        <v>901.38958740234375</v>
      </c>
      <c r="N75" t="s">
        <v>54</v>
      </c>
      <c r="O75" t="s">
        <v>53</v>
      </c>
      <c r="P75" t="s">
        <v>53</v>
      </c>
      <c r="Q75" t="s">
        <v>54</v>
      </c>
      <c r="R75" t="s">
        <v>53</v>
      </c>
      <c r="S75" t="s">
        <v>2888</v>
      </c>
      <c r="T75" t="s">
        <v>2889</v>
      </c>
      <c r="U75" t="s">
        <v>53</v>
      </c>
      <c r="V75" t="s">
        <v>138</v>
      </c>
      <c r="W75">
        <v>902000</v>
      </c>
      <c r="X75" t="s">
        <v>53</v>
      </c>
      <c r="AA75">
        <v>36</v>
      </c>
      <c r="AB75">
        <v>0</v>
      </c>
      <c r="AC75">
        <v>11</v>
      </c>
      <c r="AD75">
        <v>23</v>
      </c>
      <c r="AE75">
        <v>23</v>
      </c>
      <c r="AF75">
        <v>0</v>
      </c>
      <c r="AG75">
        <v>2</v>
      </c>
      <c r="AH75">
        <v>45.101932525634773</v>
      </c>
      <c r="AI75">
        <v>2</v>
      </c>
      <c r="AJ75">
        <v>64354.15234375</v>
      </c>
      <c r="AK75" t="s">
        <v>54</v>
      </c>
      <c r="AL75" t="s">
        <v>53</v>
      </c>
      <c r="AM75" t="s">
        <v>595</v>
      </c>
      <c r="AQ75" t="s">
        <v>54</v>
      </c>
      <c r="AR75" t="s">
        <v>2890</v>
      </c>
      <c r="AS75" s="148">
        <v>28055</v>
      </c>
      <c r="AT75" t="s">
        <v>2805</v>
      </c>
      <c r="AW75" t="s">
        <v>53</v>
      </c>
      <c r="AZ75" t="s">
        <v>54</v>
      </c>
      <c r="BA75" t="s">
        <v>2425</v>
      </c>
      <c r="BB75" s="15" t="s">
        <v>678</v>
      </c>
    </row>
    <row r="76" spans="1:54" x14ac:dyDescent="0.25">
      <c r="A76">
        <v>71</v>
      </c>
      <c r="B76" t="s">
        <v>2891</v>
      </c>
      <c r="C76" t="s">
        <v>2892</v>
      </c>
      <c r="D76" t="s">
        <v>2417</v>
      </c>
      <c r="E76">
        <v>1</v>
      </c>
      <c r="F76" t="s">
        <v>2418</v>
      </c>
      <c r="G76" t="s">
        <v>2535</v>
      </c>
      <c r="H76" t="s">
        <v>2536</v>
      </c>
      <c r="I76" t="s">
        <v>2537</v>
      </c>
      <c r="L76" t="s">
        <v>2422</v>
      </c>
      <c r="M76">
        <v>827.50860595703125</v>
      </c>
      <c r="N76" t="s">
        <v>54</v>
      </c>
      <c r="O76" t="s">
        <v>53</v>
      </c>
      <c r="P76" t="s">
        <v>53</v>
      </c>
      <c r="Q76" t="s">
        <v>54</v>
      </c>
      <c r="R76" t="s">
        <v>53</v>
      </c>
      <c r="S76" t="s">
        <v>2538</v>
      </c>
      <c r="T76" t="s">
        <v>2539</v>
      </c>
      <c r="U76" t="s">
        <v>53</v>
      </c>
      <c r="V76" t="s">
        <v>138</v>
      </c>
      <c r="W76">
        <v>929000</v>
      </c>
      <c r="X76" t="s">
        <v>53</v>
      </c>
      <c r="AA76">
        <v>57</v>
      </c>
      <c r="AB76">
        <v>21</v>
      </c>
      <c r="AC76">
        <v>5</v>
      </c>
      <c r="AD76">
        <v>53</v>
      </c>
      <c r="AE76">
        <v>54</v>
      </c>
      <c r="AF76">
        <v>0</v>
      </c>
      <c r="AG76">
        <v>11</v>
      </c>
      <c r="AH76">
        <v>203.70433044433591</v>
      </c>
      <c r="AI76">
        <v>15</v>
      </c>
      <c r="AJ76">
        <v>40120.859375</v>
      </c>
      <c r="AK76" t="s">
        <v>54</v>
      </c>
      <c r="AL76" t="s">
        <v>54</v>
      </c>
      <c r="AM76" t="s">
        <v>2826</v>
      </c>
      <c r="AN76" s="148">
        <v>31959</v>
      </c>
      <c r="AO76" s="148">
        <v>31959</v>
      </c>
      <c r="AQ76" t="s">
        <v>54</v>
      </c>
      <c r="AR76" t="s">
        <v>2826</v>
      </c>
      <c r="AS76" s="148">
        <v>31959</v>
      </c>
      <c r="AT76" t="s">
        <v>2893</v>
      </c>
      <c r="AW76" t="s">
        <v>53</v>
      </c>
      <c r="AZ76" t="s">
        <v>54</v>
      </c>
      <c r="BA76" t="s">
        <v>2425</v>
      </c>
      <c r="BB76" s="15" t="s">
        <v>676</v>
      </c>
    </row>
    <row r="77" spans="1:54" x14ac:dyDescent="0.25">
      <c r="A77">
        <v>72</v>
      </c>
      <c r="B77" t="s">
        <v>2894</v>
      </c>
      <c r="C77" t="s">
        <v>2895</v>
      </c>
      <c r="D77" t="s">
        <v>2417</v>
      </c>
      <c r="E77">
        <v>1</v>
      </c>
      <c r="F77" t="s">
        <v>2418</v>
      </c>
      <c r="G77" t="s">
        <v>2896</v>
      </c>
      <c r="H77" t="s">
        <v>2897</v>
      </c>
      <c r="I77" t="s">
        <v>2898</v>
      </c>
      <c r="J77" t="s">
        <v>2899</v>
      </c>
      <c r="K77" t="s">
        <v>2900</v>
      </c>
      <c r="L77" t="s">
        <v>2422</v>
      </c>
      <c r="M77">
        <v>447.32736206054688</v>
      </c>
      <c r="N77" t="s">
        <v>54</v>
      </c>
      <c r="O77" t="s">
        <v>53</v>
      </c>
      <c r="P77" t="s">
        <v>53</v>
      </c>
      <c r="Q77" t="s">
        <v>54</v>
      </c>
      <c r="R77" t="s">
        <v>53</v>
      </c>
      <c r="S77" t="s">
        <v>2901</v>
      </c>
      <c r="T77" t="s">
        <v>2902</v>
      </c>
      <c r="U77" t="s">
        <v>53</v>
      </c>
      <c r="V77" t="s">
        <v>138</v>
      </c>
      <c r="W77">
        <v>873000</v>
      </c>
      <c r="X77" t="s">
        <v>53</v>
      </c>
      <c r="AA77">
        <v>44</v>
      </c>
      <c r="AB77">
        <v>3</v>
      </c>
      <c r="AC77">
        <v>8</v>
      </c>
      <c r="AD77">
        <v>26</v>
      </c>
      <c r="AE77">
        <v>29</v>
      </c>
      <c r="AF77">
        <v>0</v>
      </c>
      <c r="AG77">
        <v>8</v>
      </c>
      <c r="AH77">
        <v>74.270683288574219</v>
      </c>
      <c r="AI77">
        <v>53</v>
      </c>
      <c r="AJ77">
        <v>19990.001953125</v>
      </c>
      <c r="AK77" t="s">
        <v>54</v>
      </c>
      <c r="AL77" t="s">
        <v>53</v>
      </c>
      <c r="AM77" t="s">
        <v>595</v>
      </c>
      <c r="AQ77" t="s">
        <v>54</v>
      </c>
      <c r="AR77" t="s">
        <v>2826</v>
      </c>
      <c r="AS77" s="148">
        <v>28279</v>
      </c>
      <c r="AT77" t="s">
        <v>2903</v>
      </c>
      <c r="AW77" t="s">
        <v>53</v>
      </c>
      <c r="AZ77" t="s">
        <v>54</v>
      </c>
      <c r="BA77" t="s">
        <v>2425</v>
      </c>
      <c r="BB77" s="15" t="s">
        <v>678</v>
      </c>
    </row>
    <row r="78" spans="1:54" x14ac:dyDescent="0.25">
      <c r="A78">
        <v>73</v>
      </c>
      <c r="B78" t="s">
        <v>2904</v>
      </c>
      <c r="C78" t="s">
        <v>2905</v>
      </c>
      <c r="D78" t="s">
        <v>2417</v>
      </c>
      <c r="E78">
        <v>1</v>
      </c>
      <c r="F78" t="s">
        <v>2418</v>
      </c>
      <c r="G78" t="s">
        <v>2906</v>
      </c>
      <c r="H78" t="s">
        <v>2897</v>
      </c>
      <c r="I78" t="s">
        <v>2907</v>
      </c>
      <c r="J78" t="s">
        <v>2908</v>
      </c>
      <c r="K78" t="s">
        <v>2909</v>
      </c>
      <c r="L78" t="s">
        <v>2422</v>
      </c>
      <c r="M78">
        <v>331.43338012695313</v>
      </c>
      <c r="N78" t="s">
        <v>54</v>
      </c>
      <c r="O78" t="s">
        <v>53</v>
      </c>
      <c r="P78" t="s">
        <v>53</v>
      </c>
      <c r="Q78" t="s">
        <v>54</v>
      </c>
      <c r="R78" t="s">
        <v>53</v>
      </c>
      <c r="S78" t="s">
        <v>2910</v>
      </c>
      <c r="T78" t="s">
        <v>2911</v>
      </c>
      <c r="U78" t="s">
        <v>53</v>
      </c>
      <c r="V78" t="s">
        <v>138</v>
      </c>
      <c r="W78">
        <v>789000</v>
      </c>
      <c r="X78" t="s">
        <v>53</v>
      </c>
      <c r="AA78">
        <v>86</v>
      </c>
      <c r="AB78">
        <v>51</v>
      </c>
      <c r="AC78">
        <v>107</v>
      </c>
      <c r="AD78">
        <v>81</v>
      </c>
      <c r="AE78">
        <v>178</v>
      </c>
      <c r="AF78">
        <v>0</v>
      </c>
      <c r="AG78">
        <v>5</v>
      </c>
      <c r="AH78">
        <v>65.651115417480469</v>
      </c>
      <c r="AI78">
        <v>11</v>
      </c>
      <c r="AJ78">
        <v>13564.474609375</v>
      </c>
      <c r="AK78" t="s">
        <v>54</v>
      </c>
      <c r="AL78" t="s">
        <v>54</v>
      </c>
      <c r="AM78" t="s">
        <v>2912</v>
      </c>
      <c r="AN78" s="148">
        <v>31203</v>
      </c>
      <c r="AO78" s="148">
        <v>31203</v>
      </c>
      <c r="AQ78" t="s">
        <v>54</v>
      </c>
      <c r="AR78" t="s">
        <v>2913</v>
      </c>
      <c r="AS78" s="148">
        <v>31203</v>
      </c>
      <c r="AT78" t="s">
        <v>2805</v>
      </c>
      <c r="AW78" t="s">
        <v>53</v>
      </c>
      <c r="AZ78" t="s">
        <v>54</v>
      </c>
      <c r="BA78" t="s">
        <v>2425</v>
      </c>
      <c r="BB78" s="15" t="s">
        <v>676</v>
      </c>
    </row>
    <row r="79" spans="1:54" x14ac:dyDescent="0.25">
      <c r="A79">
        <v>74</v>
      </c>
      <c r="B79" t="s">
        <v>2914</v>
      </c>
      <c r="C79" t="s">
        <v>2915</v>
      </c>
      <c r="D79" t="s">
        <v>2417</v>
      </c>
      <c r="E79">
        <v>1</v>
      </c>
      <c r="F79" t="s">
        <v>2418</v>
      </c>
      <c r="G79" t="s">
        <v>2916</v>
      </c>
      <c r="H79" t="s">
        <v>2917</v>
      </c>
      <c r="I79" t="s">
        <v>2918</v>
      </c>
      <c r="L79" t="s">
        <v>2422</v>
      </c>
      <c r="M79">
        <v>919.16839599609375</v>
      </c>
      <c r="N79" t="s">
        <v>54</v>
      </c>
      <c r="O79" t="s">
        <v>53</v>
      </c>
      <c r="P79" t="s">
        <v>53</v>
      </c>
      <c r="Q79" t="s">
        <v>53</v>
      </c>
      <c r="R79" t="s">
        <v>53</v>
      </c>
      <c r="S79" t="s">
        <v>2919</v>
      </c>
      <c r="T79" t="s">
        <v>2920</v>
      </c>
      <c r="U79" t="s">
        <v>53</v>
      </c>
      <c r="V79" t="s">
        <v>138</v>
      </c>
      <c r="W79">
        <v>909000</v>
      </c>
      <c r="X79" t="s">
        <v>53</v>
      </c>
      <c r="AA79">
        <v>105</v>
      </c>
      <c r="AB79">
        <v>15</v>
      </c>
      <c r="AC79">
        <v>107</v>
      </c>
      <c r="AD79">
        <v>52</v>
      </c>
      <c r="AE79">
        <v>136</v>
      </c>
      <c r="AF79">
        <v>5</v>
      </c>
      <c r="AG79">
        <v>5</v>
      </c>
      <c r="AH79">
        <v>65.501663208007813</v>
      </c>
      <c r="AI79">
        <v>5</v>
      </c>
      <c r="AJ79">
        <v>75245.8515625</v>
      </c>
      <c r="AK79" t="s">
        <v>54</v>
      </c>
      <c r="AL79" t="s">
        <v>54</v>
      </c>
      <c r="AM79" t="s">
        <v>2921</v>
      </c>
      <c r="AN79" s="148">
        <v>32601</v>
      </c>
      <c r="AO79" s="148">
        <v>32601</v>
      </c>
      <c r="AQ79" t="s">
        <v>54</v>
      </c>
      <c r="AR79" t="s">
        <v>2922</v>
      </c>
      <c r="AS79" s="148">
        <v>32601</v>
      </c>
      <c r="AT79" t="s">
        <v>2805</v>
      </c>
      <c r="AW79" t="s">
        <v>53</v>
      </c>
      <c r="AZ79" t="s">
        <v>54</v>
      </c>
      <c r="BA79" t="s">
        <v>2425</v>
      </c>
      <c r="BB79" s="15" t="s">
        <v>678</v>
      </c>
    </row>
    <row r="80" spans="1:54" x14ac:dyDescent="0.25">
      <c r="A80">
        <v>75</v>
      </c>
      <c r="B80" t="s">
        <v>2923</v>
      </c>
      <c r="C80" t="s">
        <v>2924</v>
      </c>
      <c r="D80" t="s">
        <v>2417</v>
      </c>
      <c r="E80">
        <v>1</v>
      </c>
      <c r="F80" t="s">
        <v>2418</v>
      </c>
      <c r="G80" t="s">
        <v>2590</v>
      </c>
      <c r="H80" t="s">
        <v>2925</v>
      </c>
      <c r="I80" t="s">
        <v>2926</v>
      </c>
      <c r="L80" t="s">
        <v>2422</v>
      </c>
      <c r="M80">
        <v>932.98907470703125</v>
      </c>
      <c r="N80" t="s">
        <v>54</v>
      </c>
      <c r="O80" t="s">
        <v>53</v>
      </c>
      <c r="P80" t="s">
        <v>53</v>
      </c>
      <c r="Q80" t="s">
        <v>54</v>
      </c>
      <c r="R80" t="s">
        <v>53</v>
      </c>
      <c r="S80" t="s">
        <v>2927</v>
      </c>
      <c r="T80" t="s">
        <v>2928</v>
      </c>
      <c r="U80" t="s">
        <v>53</v>
      </c>
      <c r="V80" t="s">
        <v>138</v>
      </c>
      <c r="W80">
        <v>957000</v>
      </c>
      <c r="X80" t="s">
        <v>53</v>
      </c>
      <c r="AA80">
        <v>219</v>
      </c>
      <c r="AB80">
        <v>18</v>
      </c>
      <c r="AC80">
        <v>525</v>
      </c>
      <c r="AD80">
        <v>168</v>
      </c>
      <c r="AE80">
        <v>629</v>
      </c>
      <c r="AF80">
        <v>2</v>
      </c>
      <c r="AG80">
        <v>9</v>
      </c>
      <c r="AH80">
        <v>46.07318115234375</v>
      </c>
      <c r="AI80">
        <v>9</v>
      </c>
      <c r="AJ80">
        <v>76552.171875</v>
      </c>
      <c r="AK80" t="s">
        <v>54</v>
      </c>
      <c r="AL80" t="s">
        <v>54</v>
      </c>
      <c r="AM80" t="s">
        <v>2929</v>
      </c>
      <c r="AN80" s="148">
        <v>31643</v>
      </c>
      <c r="AO80" s="148">
        <v>31643</v>
      </c>
      <c r="AQ80" t="s">
        <v>54</v>
      </c>
      <c r="AR80" t="s">
        <v>2930</v>
      </c>
      <c r="AS80" s="148">
        <v>31643</v>
      </c>
      <c r="AT80" t="s">
        <v>2805</v>
      </c>
      <c r="AW80" t="s">
        <v>53</v>
      </c>
      <c r="AZ80" t="s">
        <v>54</v>
      </c>
      <c r="BA80" t="s">
        <v>2425</v>
      </c>
      <c r="BB80" s="15" t="s">
        <v>678</v>
      </c>
    </row>
    <row r="81" spans="1:54" x14ac:dyDescent="0.25">
      <c r="A81">
        <v>76</v>
      </c>
      <c r="B81" t="s">
        <v>2931</v>
      </c>
      <c r="C81" t="s">
        <v>2932</v>
      </c>
      <c r="D81" t="s">
        <v>2417</v>
      </c>
      <c r="E81">
        <v>1</v>
      </c>
      <c r="F81" t="s">
        <v>2418</v>
      </c>
      <c r="G81" t="s">
        <v>2933</v>
      </c>
      <c r="H81" t="s">
        <v>2934</v>
      </c>
      <c r="I81" t="s">
        <v>2935</v>
      </c>
      <c r="L81" t="s">
        <v>2422</v>
      </c>
      <c r="M81">
        <v>911.9580078125</v>
      </c>
      <c r="N81" t="s">
        <v>54</v>
      </c>
      <c r="O81" t="s">
        <v>53</v>
      </c>
      <c r="P81" t="s">
        <v>53</v>
      </c>
      <c r="Q81" t="s">
        <v>54</v>
      </c>
      <c r="R81" t="s">
        <v>53</v>
      </c>
      <c r="S81" t="s">
        <v>2936</v>
      </c>
      <c r="T81" t="s">
        <v>2937</v>
      </c>
      <c r="U81" t="s">
        <v>53</v>
      </c>
      <c r="V81" t="s">
        <v>138</v>
      </c>
      <c r="W81">
        <v>863000</v>
      </c>
      <c r="X81" t="s">
        <v>53</v>
      </c>
      <c r="AA81">
        <v>24</v>
      </c>
      <c r="AB81">
        <v>0</v>
      </c>
      <c r="AC81">
        <v>3</v>
      </c>
      <c r="AD81">
        <v>13</v>
      </c>
      <c r="AE81">
        <v>13</v>
      </c>
      <c r="AF81">
        <v>0</v>
      </c>
      <c r="AG81">
        <v>14</v>
      </c>
      <c r="AH81">
        <v>25.401704788208011</v>
      </c>
      <c r="AI81">
        <v>27</v>
      </c>
      <c r="AJ81">
        <v>56990.49609375</v>
      </c>
      <c r="AK81" t="s">
        <v>54</v>
      </c>
      <c r="AL81" t="s">
        <v>53</v>
      </c>
      <c r="AM81" t="s">
        <v>595</v>
      </c>
      <c r="AQ81" t="s">
        <v>54</v>
      </c>
      <c r="AR81" t="s">
        <v>2938</v>
      </c>
      <c r="AS81" s="148">
        <v>27985</v>
      </c>
      <c r="AT81" t="s">
        <v>2805</v>
      </c>
      <c r="AW81" t="s">
        <v>53</v>
      </c>
      <c r="AZ81" t="s">
        <v>54</v>
      </c>
      <c r="BA81" t="s">
        <v>2425</v>
      </c>
      <c r="BB81" s="15" t="s">
        <v>678</v>
      </c>
    </row>
    <row r="82" spans="1:54" x14ac:dyDescent="0.25">
      <c r="A82">
        <v>77</v>
      </c>
      <c r="B82" t="s">
        <v>2939</v>
      </c>
      <c r="C82" t="s">
        <v>2940</v>
      </c>
      <c r="D82" t="s">
        <v>2417</v>
      </c>
      <c r="E82">
        <v>1</v>
      </c>
      <c r="F82" t="s">
        <v>2418</v>
      </c>
      <c r="G82" t="s">
        <v>2652</v>
      </c>
      <c r="H82" t="s">
        <v>2941</v>
      </c>
      <c r="I82" t="s">
        <v>2942</v>
      </c>
      <c r="L82" t="s">
        <v>2422</v>
      </c>
      <c r="M82">
        <v>1497.917358398438</v>
      </c>
      <c r="N82" t="s">
        <v>54</v>
      </c>
      <c r="O82" t="s">
        <v>53</v>
      </c>
      <c r="P82" t="s">
        <v>53</v>
      </c>
      <c r="Q82" t="s">
        <v>54</v>
      </c>
      <c r="R82" t="s">
        <v>53</v>
      </c>
      <c r="S82" t="s">
        <v>2943</v>
      </c>
      <c r="T82" t="s">
        <v>2944</v>
      </c>
      <c r="U82" t="s">
        <v>53</v>
      </c>
      <c r="V82" t="s">
        <v>138</v>
      </c>
      <c r="W82">
        <v>1283000</v>
      </c>
      <c r="X82" t="s">
        <v>53</v>
      </c>
      <c r="AA82">
        <v>120</v>
      </c>
      <c r="AB82">
        <v>45</v>
      </c>
      <c r="AC82">
        <v>271</v>
      </c>
      <c r="AD82">
        <v>153</v>
      </c>
      <c r="AE82">
        <v>388</v>
      </c>
      <c r="AF82">
        <v>0</v>
      </c>
      <c r="AG82">
        <v>18</v>
      </c>
      <c r="AH82">
        <v>76.433738708496094</v>
      </c>
      <c r="AI82">
        <v>25</v>
      </c>
      <c r="AJ82">
        <v>54135.296875</v>
      </c>
      <c r="AK82" t="s">
        <v>54</v>
      </c>
      <c r="AL82" t="s">
        <v>54</v>
      </c>
      <c r="AM82" t="s">
        <v>2945</v>
      </c>
      <c r="AN82" s="148">
        <v>32295</v>
      </c>
      <c r="AO82" s="148">
        <v>32295</v>
      </c>
      <c r="AP82" t="s">
        <v>2946</v>
      </c>
      <c r="AQ82" t="s">
        <v>54</v>
      </c>
      <c r="AR82" t="s">
        <v>2947</v>
      </c>
      <c r="AS82" s="148">
        <v>32295</v>
      </c>
      <c r="AT82" t="s">
        <v>2805</v>
      </c>
      <c r="AW82" t="s">
        <v>53</v>
      </c>
      <c r="AZ82" t="s">
        <v>54</v>
      </c>
      <c r="BA82" t="s">
        <v>2425</v>
      </c>
      <c r="BB82" s="15" t="s">
        <v>676</v>
      </c>
    </row>
    <row r="83" spans="1:54" x14ac:dyDescent="0.25">
      <c r="A83">
        <v>78</v>
      </c>
      <c r="B83" t="s">
        <v>2948</v>
      </c>
      <c r="C83" t="s">
        <v>2949</v>
      </c>
      <c r="D83" t="s">
        <v>2417</v>
      </c>
      <c r="E83">
        <v>1</v>
      </c>
      <c r="F83" t="s">
        <v>2418</v>
      </c>
      <c r="G83" t="s">
        <v>2542</v>
      </c>
      <c r="H83" t="s">
        <v>2543</v>
      </c>
      <c r="I83" t="s">
        <v>2544</v>
      </c>
      <c r="L83" t="s">
        <v>2422</v>
      </c>
      <c r="M83">
        <v>916.00823974609375</v>
      </c>
      <c r="N83" t="s">
        <v>54</v>
      </c>
      <c r="O83" t="s">
        <v>53</v>
      </c>
      <c r="P83" t="s">
        <v>53</v>
      </c>
      <c r="Q83" t="s">
        <v>54</v>
      </c>
      <c r="R83" t="s">
        <v>53</v>
      </c>
      <c r="S83" t="s">
        <v>2545</v>
      </c>
      <c r="T83" t="s">
        <v>2546</v>
      </c>
      <c r="U83" t="s">
        <v>53</v>
      </c>
      <c r="V83" t="s">
        <v>138</v>
      </c>
      <c r="W83">
        <v>892000</v>
      </c>
      <c r="X83" t="s">
        <v>53</v>
      </c>
      <c r="AA83">
        <v>191</v>
      </c>
      <c r="AB83">
        <v>71</v>
      </c>
      <c r="AC83">
        <v>154</v>
      </c>
      <c r="AD83">
        <v>210</v>
      </c>
      <c r="AE83">
        <v>338</v>
      </c>
      <c r="AF83">
        <v>4</v>
      </c>
      <c r="AG83">
        <v>4</v>
      </c>
      <c r="AH83">
        <v>65.061424255371094</v>
      </c>
      <c r="AI83">
        <v>4</v>
      </c>
      <c r="AJ83">
        <v>70021.9609375</v>
      </c>
      <c r="AK83" t="s">
        <v>54</v>
      </c>
      <c r="AL83" t="s">
        <v>54</v>
      </c>
      <c r="AM83" t="s">
        <v>2950</v>
      </c>
      <c r="AN83" s="148">
        <v>39173</v>
      </c>
      <c r="AO83" s="148">
        <v>39173</v>
      </c>
      <c r="AQ83" t="s">
        <v>54</v>
      </c>
      <c r="AR83" t="s">
        <v>2951</v>
      </c>
      <c r="AS83" s="148">
        <v>39173</v>
      </c>
      <c r="AT83" t="s">
        <v>2805</v>
      </c>
      <c r="AW83" t="s">
        <v>53</v>
      </c>
      <c r="AZ83" t="s">
        <v>54</v>
      </c>
      <c r="BA83" t="s">
        <v>2425</v>
      </c>
      <c r="BB83" s="15" t="s">
        <v>676</v>
      </c>
    </row>
    <row r="84" spans="1:54" x14ac:dyDescent="0.25">
      <c r="A84">
        <v>79</v>
      </c>
      <c r="B84" t="s">
        <v>2952</v>
      </c>
      <c r="C84" t="s">
        <v>2953</v>
      </c>
      <c r="D84" t="s">
        <v>2417</v>
      </c>
      <c r="E84">
        <v>1</v>
      </c>
      <c r="F84" t="s">
        <v>2418</v>
      </c>
      <c r="G84" t="s">
        <v>2549</v>
      </c>
      <c r="H84" t="s">
        <v>2550</v>
      </c>
      <c r="I84" t="s">
        <v>2551</v>
      </c>
      <c r="L84" t="s">
        <v>2422</v>
      </c>
      <c r="M84">
        <v>1510.453491210938</v>
      </c>
      <c r="N84" t="s">
        <v>54</v>
      </c>
      <c r="O84" t="s">
        <v>53</v>
      </c>
      <c r="P84" t="s">
        <v>53</v>
      </c>
      <c r="Q84" t="s">
        <v>54</v>
      </c>
      <c r="R84" t="s">
        <v>53</v>
      </c>
      <c r="S84" t="s">
        <v>2552</v>
      </c>
      <c r="T84" t="s">
        <v>2553</v>
      </c>
      <c r="U84" t="s">
        <v>53</v>
      </c>
      <c r="V84" t="s">
        <v>138</v>
      </c>
      <c r="W84">
        <v>1297000</v>
      </c>
      <c r="X84" t="s">
        <v>53</v>
      </c>
      <c r="AA84">
        <v>890</v>
      </c>
      <c r="AB84">
        <v>656</v>
      </c>
      <c r="AC84">
        <v>871</v>
      </c>
      <c r="AD84">
        <v>1401</v>
      </c>
      <c r="AE84">
        <v>1951</v>
      </c>
      <c r="AF84">
        <v>2</v>
      </c>
      <c r="AG84">
        <v>22</v>
      </c>
      <c r="AH84">
        <v>177.9454040527344</v>
      </c>
      <c r="AI84">
        <v>22</v>
      </c>
      <c r="AJ84">
        <v>91033.7890625</v>
      </c>
      <c r="AK84" t="s">
        <v>54</v>
      </c>
      <c r="AL84" t="s">
        <v>54</v>
      </c>
      <c r="AM84" t="s">
        <v>2875</v>
      </c>
      <c r="AN84" s="148">
        <v>33275</v>
      </c>
      <c r="AO84" s="148">
        <v>33275</v>
      </c>
      <c r="AQ84" t="s">
        <v>54</v>
      </c>
      <c r="AR84" t="s">
        <v>2876</v>
      </c>
      <c r="AS84" s="148">
        <v>33275</v>
      </c>
      <c r="AT84" t="s">
        <v>2805</v>
      </c>
      <c r="AW84" t="s">
        <v>53</v>
      </c>
      <c r="AZ84" t="s">
        <v>54</v>
      </c>
      <c r="BA84" t="s">
        <v>2425</v>
      </c>
      <c r="BB84" s="15" t="s">
        <v>678</v>
      </c>
    </row>
    <row r="85" spans="1:54" x14ac:dyDescent="0.25">
      <c r="A85">
        <v>80</v>
      </c>
      <c r="B85" t="s">
        <v>2954</v>
      </c>
      <c r="C85" t="s">
        <v>2955</v>
      </c>
      <c r="D85" t="s">
        <v>2417</v>
      </c>
      <c r="E85">
        <v>1</v>
      </c>
      <c r="F85" t="s">
        <v>2418</v>
      </c>
      <c r="G85" t="s">
        <v>2556</v>
      </c>
      <c r="H85" t="s">
        <v>2557</v>
      </c>
      <c r="I85" t="s">
        <v>2558</v>
      </c>
      <c r="L85" t="s">
        <v>2422</v>
      </c>
      <c r="M85">
        <v>936.31085205078125</v>
      </c>
      <c r="N85" t="s">
        <v>54</v>
      </c>
      <c r="O85" t="s">
        <v>53</v>
      </c>
      <c r="P85" t="s">
        <v>53</v>
      </c>
      <c r="Q85" t="s">
        <v>54</v>
      </c>
      <c r="R85" t="s">
        <v>53</v>
      </c>
      <c r="S85" t="s">
        <v>2559</v>
      </c>
      <c r="T85" t="s">
        <v>2560</v>
      </c>
      <c r="U85" t="s">
        <v>53</v>
      </c>
      <c r="V85" t="s">
        <v>138</v>
      </c>
      <c r="W85">
        <v>924000</v>
      </c>
      <c r="X85" t="s">
        <v>53</v>
      </c>
      <c r="AA85">
        <v>100</v>
      </c>
      <c r="AB85">
        <v>9</v>
      </c>
      <c r="AC85">
        <v>33</v>
      </c>
      <c r="AD85">
        <v>78</v>
      </c>
      <c r="AE85">
        <v>80</v>
      </c>
      <c r="AF85">
        <v>0</v>
      </c>
      <c r="AG85">
        <v>6</v>
      </c>
      <c r="AH85">
        <v>20.320476531982418</v>
      </c>
      <c r="AI85">
        <v>6</v>
      </c>
      <c r="AJ85">
        <v>66275.203125</v>
      </c>
      <c r="AK85" t="s">
        <v>54</v>
      </c>
      <c r="AL85" t="s">
        <v>54</v>
      </c>
      <c r="AM85" t="s">
        <v>2956</v>
      </c>
      <c r="AN85" s="148">
        <v>32979</v>
      </c>
      <c r="AO85" s="148">
        <v>32979</v>
      </c>
      <c r="AQ85" t="s">
        <v>54</v>
      </c>
      <c r="AR85" t="s">
        <v>2957</v>
      </c>
      <c r="AS85" s="148">
        <v>32979</v>
      </c>
      <c r="AT85" t="s">
        <v>2805</v>
      </c>
      <c r="AW85" t="s">
        <v>53</v>
      </c>
      <c r="AZ85" t="s">
        <v>54</v>
      </c>
      <c r="BA85" t="s">
        <v>2425</v>
      </c>
      <c r="BB85" s="15" t="s">
        <v>678</v>
      </c>
    </row>
    <row r="86" spans="1:54" x14ac:dyDescent="0.25">
      <c r="A86">
        <v>81</v>
      </c>
      <c r="B86" t="s">
        <v>2958</v>
      </c>
      <c r="C86" t="s">
        <v>2959</v>
      </c>
      <c r="D86" t="s">
        <v>2417</v>
      </c>
      <c r="E86">
        <v>1</v>
      </c>
      <c r="F86" t="s">
        <v>2418</v>
      </c>
      <c r="G86" t="s">
        <v>2563</v>
      </c>
      <c r="H86" t="s">
        <v>2564</v>
      </c>
      <c r="I86" t="s">
        <v>2565</v>
      </c>
      <c r="L86" t="s">
        <v>2422</v>
      </c>
      <c r="M86">
        <v>922.5164794921875</v>
      </c>
      <c r="N86" t="s">
        <v>54</v>
      </c>
      <c r="O86" t="s">
        <v>53</v>
      </c>
      <c r="P86" t="s">
        <v>53</v>
      </c>
      <c r="Q86" t="s">
        <v>54</v>
      </c>
      <c r="R86" t="s">
        <v>53</v>
      </c>
      <c r="S86" t="s">
        <v>2566</v>
      </c>
      <c r="T86" t="s">
        <v>2567</v>
      </c>
      <c r="U86" t="s">
        <v>53</v>
      </c>
      <c r="V86" t="s">
        <v>138</v>
      </c>
      <c r="W86">
        <v>859000</v>
      </c>
      <c r="X86" t="s">
        <v>53</v>
      </c>
      <c r="AA86">
        <v>369</v>
      </c>
      <c r="AB86">
        <v>161</v>
      </c>
      <c r="AC86">
        <v>244</v>
      </c>
      <c r="AD86">
        <v>533</v>
      </c>
      <c r="AE86">
        <v>658</v>
      </c>
      <c r="AF86">
        <v>1</v>
      </c>
      <c r="AG86">
        <v>1</v>
      </c>
      <c r="AH86">
        <v>30.917278289794918</v>
      </c>
      <c r="AI86">
        <v>1</v>
      </c>
      <c r="AJ86">
        <v>48149.85546875</v>
      </c>
      <c r="AK86" t="s">
        <v>54</v>
      </c>
      <c r="AL86" t="s">
        <v>54</v>
      </c>
      <c r="AM86" t="s">
        <v>2960</v>
      </c>
      <c r="AN86" s="148">
        <v>32979</v>
      </c>
      <c r="AO86" s="148">
        <v>32979</v>
      </c>
      <c r="AQ86" t="s">
        <v>54</v>
      </c>
      <c r="AR86" t="s">
        <v>2961</v>
      </c>
      <c r="AS86" s="148">
        <v>32979</v>
      </c>
      <c r="AT86" t="s">
        <v>2805</v>
      </c>
      <c r="AW86" t="s">
        <v>53</v>
      </c>
      <c r="AZ86" t="s">
        <v>54</v>
      </c>
      <c r="BA86" t="s">
        <v>2425</v>
      </c>
      <c r="BB86" s="15" t="s">
        <v>678</v>
      </c>
    </row>
    <row r="87" spans="1:54" x14ac:dyDescent="0.25">
      <c r="A87">
        <v>82</v>
      </c>
      <c r="B87" t="s">
        <v>2962</v>
      </c>
      <c r="C87" t="s">
        <v>2963</v>
      </c>
      <c r="D87" t="s">
        <v>2417</v>
      </c>
      <c r="E87">
        <v>1</v>
      </c>
      <c r="F87" t="s">
        <v>2418</v>
      </c>
      <c r="G87" t="s">
        <v>2689</v>
      </c>
      <c r="H87" t="s">
        <v>2964</v>
      </c>
      <c r="I87" t="s">
        <v>2965</v>
      </c>
      <c r="L87" t="s">
        <v>2422</v>
      </c>
      <c r="M87">
        <v>923.93035888671875</v>
      </c>
      <c r="N87" t="s">
        <v>54</v>
      </c>
      <c r="O87" t="s">
        <v>53</v>
      </c>
      <c r="P87" t="s">
        <v>53</v>
      </c>
      <c r="Q87" t="s">
        <v>54</v>
      </c>
      <c r="R87" t="s">
        <v>53</v>
      </c>
      <c r="S87" t="s">
        <v>2966</v>
      </c>
      <c r="T87" t="s">
        <v>2967</v>
      </c>
      <c r="U87" t="s">
        <v>53</v>
      </c>
      <c r="V87" t="s">
        <v>138</v>
      </c>
      <c r="W87">
        <v>841000</v>
      </c>
      <c r="X87" t="s">
        <v>53</v>
      </c>
      <c r="AA87">
        <v>38</v>
      </c>
      <c r="AB87">
        <v>5</v>
      </c>
      <c r="AC87">
        <v>18</v>
      </c>
      <c r="AD87">
        <v>36</v>
      </c>
      <c r="AE87">
        <v>44</v>
      </c>
      <c r="AF87">
        <v>9</v>
      </c>
      <c r="AG87">
        <v>19</v>
      </c>
      <c r="AH87">
        <v>15.977798461914061</v>
      </c>
      <c r="AI87">
        <v>19</v>
      </c>
      <c r="AJ87">
        <v>44978.0625</v>
      </c>
      <c r="AK87" t="s">
        <v>54</v>
      </c>
      <c r="AL87" t="s">
        <v>54</v>
      </c>
      <c r="AM87" t="s">
        <v>2968</v>
      </c>
      <c r="AN87" s="148">
        <v>32024</v>
      </c>
      <c r="AO87" s="148">
        <v>32024</v>
      </c>
      <c r="AQ87" t="s">
        <v>54</v>
      </c>
      <c r="AR87" t="s">
        <v>2969</v>
      </c>
      <c r="AS87" s="148">
        <v>32024</v>
      </c>
      <c r="AT87" t="s">
        <v>2805</v>
      </c>
      <c r="AW87" t="s">
        <v>53</v>
      </c>
      <c r="AZ87" t="s">
        <v>54</v>
      </c>
      <c r="BA87" t="s">
        <v>2425</v>
      </c>
      <c r="BB87" s="15" t="s">
        <v>676</v>
      </c>
    </row>
    <row r="88" spans="1:54" x14ac:dyDescent="0.25">
      <c r="A88">
        <v>83</v>
      </c>
      <c r="B88" t="s">
        <v>2970</v>
      </c>
      <c r="C88" t="s">
        <v>2971</v>
      </c>
      <c r="D88" t="s">
        <v>2972</v>
      </c>
      <c r="E88">
        <v>1</v>
      </c>
      <c r="F88" t="s">
        <v>2418</v>
      </c>
      <c r="G88" t="s">
        <v>2973</v>
      </c>
      <c r="H88" t="s">
        <v>2974</v>
      </c>
      <c r="I88" t="s">
        <v>2975</v>
      </c>
      <c r="J88" t="s">
        <v>2976</v>
      </c>
      <c r="K88" t="s">
        <v>2977</v>
      </c>
      <c r="L88" t="s">
        <v>2422</v>
      </c>
      <c r="M88">
        <v>177.1009521484375</v>
      </c>
      <c r="N88" t="s">
        <v>54</v>
      </c>
      <c r="O88" t="s">
        <v>53</v>
      </c>
      <c r="P88" t="s">
        <v>53</v>
      </c>
      <c r="Q88" t="s">
        <v>53</v>
      </c>
      <c r="R88" t="s">
        <v>53</v>
      </c>
      <c r="S88" t="s">
        <v>2978</v>
      </c>
      <c r="T88" t="s">
        <v>2979</v>
      </c>
      <c r="U88" t="s">
        <v>53</v>
      </c>
      <c r="V88" t="s">
        <v>138</v>
      </c>
      <c r="W88">
        <v>917000</v>
      </c>
      <c r="X88" t="s">
        <v>53</v>
      </c>
      <c r="AA88">
        <v>54</v>
      </c>
      <c r="AB88">
        <v>25</v>
      </c>
      <c r="AC88">
        <v>15</v>
      </c>
      <c r="AD88">
        <v>81</v>
      </c>
      <c r="AE88">
        <v>81</v>
      </c>
      <c r="AF88">
        <v>0</v>
      </c>
      <c r="AG88">
        <v>13</v>
      </c>
      <c r="AH88">
        <v>8.4499425888061523</v>
      </c>
      <c r="AI88">
        <v>40</v>
      </c>
      <c r="AJ88">
        <v>20721.47265625</v>
      </c>
      <c r="AK88" t="s">
        <v>54</v>
      </c>
      <c r="AL88" t="s">
        <v>54</v>
      </c>
      <c r="AM88" t="s">
        <v>2980</v>
      </c>
      <c r="AN88" s="148">
        <v>44378</v>
      </c>
      <c r="AO88" s="148">
        <v>44378</v>
      </c>
      <c r="AQ88" t="s">
        <v>54</v>
      </c>
      <c r="AR88" t="s">
        <v>2971</v>
      </c>
      <c r="AS88" s="148">
        <v>39463</v>
      </c>
      <c r="AT88" t="s">
        <v>2971</v>
      </c>
      <c r="AW88" t="s">
        <v>53</v>
      </c>
      <c r="AZ88" t="s">
        <v>54</v>
      </c>
      <c r="BA88" t="s">
        <v>2425</v>
      </c>
      <c r="BB88" s="15" t="s">
        <v>678</v>
      </c>
    </row>
    <row r="89" spans="1:54" x14ac:dyDescent="0.25">
      <c r="A89">
        <v>84</v>
      </c>
      <c r="B89" t="s">
        <v>2981</v>
      </c>
      <c r="C89" t="s">
        <v>2982</v>
      </c>
      <c r="D89" t="s">
        <v>2972</v>
      </c>
      <c r="E89">
        <v>1</v>
      </c>
      <c r="F89" t="s">
        <v>2418</v>
      </c>
      <c r="G89" t="s">
        <v>2983</v>
      </c>
      <c r="H89" t="s">
        <v>2984</v>
      </c>
      <c r="I89" t="s">
        <v>2985</v>
      </c>
      <c r="K89" t="s">
        <v>2986</v>
      </c>
      <c r="L89" t="s">
        <v>2422</v>
      </c>
      <c r="M89">
        <v>529.4276123046875</v>
      </c>
      <c r="N89" t="s">
        <v>54</v>
      </c>
      <c r="O89" t="s">
        <v>53</v>
      </c>
      <c r="P89" t="s">
        <v>53</v>
      </c>
      <c r="Q89" t="s">
        <v>53</v>
      </c>
      <c r="R89" t="s">
        <v>53</v>
      </c>
      <c r="S89" t="s">
        <v>2987</v>
      </c>
      <c r="T89" t="s">
        <v>2988</v>
      </c>
      <c r="U89" t="s">
        <v>53</v>
      </c>
      <c r="V89" t="s">
        <v>138</v>
      </c>
      <c r="W89">
        <v>981000</v>
      </c>
      <c r="X89" t="s">
        <v>53</v>
      </c>
      <c r="AA89">
        <v>255</v>
      </c>
      <c r="AB89">
        <v>150</v>
      </c>
      <c r="AC89">
        <v>84</v>
      </c>
      <c r="AD89">
        <v>375</v>
      </c>
      <c r="AE89">
        <v>394</v>
      </c>
      <c r="AF89">
        <v>0</v>
      </c>
      <c r="AG89">
        <v>53</v>
      </c>
      <c r="AH89">
        <v>36.572376251220703</v>
      </c>
      <c r="AI89">
        <v>136</v>
      </c>
      <c r="AJ89">
        <v>49720.953125</v>
      </c>
      <c r="AK89" t="s">
        <v>54</v>
      </c>
      <c r="AL89" t="s">
        <v>54</v>
      </c>
      <c r="AM89" t="s">
        <v>2989</v>
      </c>
      <c r="AN89" s="148">
        <v>44378</v>
      </c>
      <c r="AO89" s="148">
        <v>44378</v>
      </c>
      <c r="AQ89" t="s">
        <v>54</v>
      </c>
      <c r="AR89" t="s">
        <v>2990</v>
      </c>
      <c r="AS89" s="148">
        <v>40771</v>
      </c>
      <c r="AT89" t="s">
        <v>2990</v>
      </c>
      <c r="AW89" t="s">
        <v>53</v>
      </c>
      <c r="AZ89" t="s">
        <v>54</v>
      </c>
      <c r="BA89" t="s">
        <v>2425</v>
      </c>
      <c r="BB89" s="15" t="s">
        <v>678</v>
      </c>
    </row>
    <row r="90" spans="1:54" x14ac:dyDescent="0.25">
      <c r="A90">
        <v>85</v>
      </c>
      <c r="B90" t="s">
        <v>2991</v>
      </c>
      <c r="C90" t="s">
        <v>2992</v>
      </c>
      <c r="D90" t="s">
        <v>2972</v>
      </c>
      <c r="E90">
        <v>1</v>
      </c>
      <c r="F90" t="s">
        <v>2418</v>
      </c>
      <c r="G90" t="s">
        <v>2993</v>
      </c>
      <c r="H90" t="s">
        <v>2994</v>
      </c>
      <c r="I90" t="s">
        <v>2995</v>
      </c>
      <c r="L90" t="s">
        <v>2422</v>
      </c>
      <c r="M90">
        <v>617.2584228515625</v>
      </c>
      <c r="N90" t="s">
        <v>54</v>
      </c>
      <c r="O90" t="s">
        <v>53</v>
      </c>
      <c r="P90" t="s">
        <v>53</v>
      </c>
      <c r="Q90" t="s">
        <v>54</v>
      </c>
      <c r="R90" t="s">
        <v>53</v>
      </c>
      <c r="S90" t="s">
        <v>2996</v>
      </c>
      <c r="T90" t="s">
        <v>2997</v>
      </c>
      <c r="U90" t="s">
        <v>53</v>
      </c>
      <c r="V90" t="s">
        <v>138</v>
      </c>
      <c r="W90">
        <v>643000</v>
      </c>
      <c r="X90" t="s">
        <v>53</v>
      </c>
      <c r="AA90">
        <v>3986</v>
      </c>
      <c r="AB90">
        <v>2926</v>
      </c>
      <c r="AC90">
        <v>10515</v>
      </c>
      <c r="AD90">
        <v>7494</v>
      </c>
      <c r="AE90">
        <v>15949</v>
      </c>
      <c r="AF90">
        <v>72</v>
      </c>
      <c r="AG90">
        <v>170</v>
      </c>
      <c r="AH90">
        <v>193.12413024902341</v>
      </c>
      <c r="AI90">
        <v>267</v>
      </c>
      <c r="AJ90">
        <v>49700.4140625</v>
      </c>
      <c r="AK90" t="s">
        <v>54</v>
      </c>
      <c r="AL90" t="s">
        <v>54</v>
      </c>
      <c r="AM90" t="s">
        <v>2992</v>
      </c>
      <c r="AN90" s="148">
        <v>32509</v>
      </c>
      <c r="AO90" s="148">
        <v>32509</v>
      </c>
      <c r="AP90" t="s">
        <v>2998</v>
      </c>
      <c r="AQ90" t="s">
        <v>54</v>
      </c>
      <c r="AR90" t="s">
        <v>2992</v>
      </c>
      <c r="AS90" s="148">
        <v>40212</v>
      </c>
      <c r="AT90" t="s">
        <v>2992</v>
      </c>
      <c r="AW90" t="s">
        <v>53</v>
      </c>
      <c r="AZ90" t="s">
        <v>54</v>
      </c>
      <c r="BA90" t="s">
        <v>2425</v>
      </c>
      <c r="BB90" s="15" t="s">
        <v>676</v>
      </c>
    </row>
    <row r="91" spans="1:54" x14ac:dyDescent="0.25">
      <c r="A91">
        <v>86</v>
      </c>
      <c r="B91" t="s">
        <v>2999</v>
      </c>
      <c r="C91" t="s">
        <v>3000</v>
      </c>
      <c r="D91" t="s">
        <v>2972</v>
      </c>
      <c r="E91">
        <v>1</v>
      </c>
      <c r="F91" t="s">
        <v>2418</v>
      </c>
      <c r="G91" t="s">
        <v>3001</v>
      </c>
      <c r="H91" t="s">
        <v>3002</v>
      </c>
      <c r="I91" t="s">
        <v>3003</v>
      </c>
      <c r="J91" t="s">
        <v>3004</v>
      </c>
      <c r="K91" t="s">
        <v>3005</v>
      </c>
      <c r="L91" t="s">
        <v>2422</v>
      </c>
      <c r="M91">
        <v>7.0405979156494141</v>
      </c>
      <c r="N91" t="s">
        <v>54</v>
      </c>
      <c r="O91" t="s">
        <v>53</v>
      </c>
      <c r="P91" t="s">
        <v>53</v>
      </c>
      <c r="Q91" t="s">
        <v>54</v>
      </c>
      <c r="R91" t="s">
        <v>53</v>
      </c>
      <c r="S91" t="s">
        <v>3006</v>
      </c>
      <c r="T91" t="s">
        <v>3007</v>
      </c>
      <c r="U91" t="s">
        <v>53</v>
      </c>
      <c r="V91" t="s">
        <v>138</v>
      </c>
      <c r="W91">
        <v>1076000</v>
      </c>
      <c r="X91" t="s">
        <v>53</v>
      </c>
      <c r="AA91">
        <v>0</v>
      </c>
      <c r="AB91">
        <v>0</v>
      </c>
      <c r="AC91">
        <v>0</v>
      </c>
      <c r="AD91">
        <v>0</v>
      </c>
      <c r="AE91">
        <v>0</v>
      </c>
      <c r="AF91">
        <v>0</v>
      </c>
      <c r="AG91">
        <v>0</v>
      </c>
      <c r="AH91">
        <v>2.468757152557373</v>
      </c>
      <c r="AI91">
        <v>0</v>
      </c>
      <c r="AJ91">
        <v>228.8638610839844</v>
      </c>
      <c r="AK91" t="s">
        <v>54</v>
      </c>
      <c r="AL91" t="s">
        <v>54</v>
      </c>
      <c r="AM91" t="s">
        <v>3000</v>
      </c>
      <c r="AN91" s="148">
        <v>39814</v>
      </c>
      <c r="AO91" s="148">
        <v>39814</v>
      </c>
      <c r="AQ91" t="s">
        <v>54</v>
      </c>
      <c r="AR91" t="s">
        <v>3000</v>
      </c>
      <c r="AS91" s="148">
        <v>40592</v>
      </c>
      <c r="AT91" t="s">
        <v>3000</v>
      </c>
      <c r="AW91" t="s">
        <v>53</v>
      </c>
      <c r="AZ91" t="s">
        <v>54</v>
      </c>
      <c r="BA91" t="s">
        <v>2425</v>
      </c>
      <c r="BB91" s="15" t="s">
        <v>678</v>
      </c>
    </row>
    <row r="92" spans="1:54" x14ac:dyDescent="0.25">
      <c r="A92">
        <v>87</v>
      </c>
      <c r="B92" t="s">
        <v>3008</v>
      </c>
      <c r="C92" t="s">
        <v>3009</v>
      </c>
      <c r="D92" t="s">
        <v>2972</v>
      </c>
      <c r="E92">
        <v>1</v>
      </c>
      <c r="F92" t="s">
        <v>2418</v>
      </c>
      <c r="G92" t="s">
        <v>3010</v>
      </c>
      <c r="H92" t="s">
        <v>3011</v>
      </c>
      <c r="I92" t="s">
        <v>3012</v>
      </c>
      <c r="L92" t="s">
        <v>2422</v>
      </c>
      <c r="M92">
        <v>922.830810546875</v>
      </c>
      <c r="N92" t="s">
        <v>54</v>
      </c>
      <c r="O92" t="s">
        <v>53</v>
      </c>
      <c r="P92" t="s">
        <v>53</v>
      </c>
      <c r="Q92" t="s">
        <v>54</v>
      </c>
      <c r="R92" t="s">
        <v>53</v>
      </c>
      <c r="S92" t="s">
        <v>3013</v>
      </c>
      <c r="T92" t="s">
        <v>3014</v>
      </c>
      <c r="U92" t="s">
        <v>53</v>
      </c>
      <c r="V92" t="s">
        <v>138</v>
      </c>
      <c r="W92">
        <v>929000</v>
      </c>
      <c r="X92" t="s">
        <v>53</v>
      </c>
      <c r="AA92">
        <v>1083</v>
      </c>
      <c r="AB92">
        <v>812</v>
      </c>
      <c r="AC92">
        <v>7035</v>
      </c>
      <c r="AD92">
        <v>2492</v>
      </c>
      <c r="AE92">
        <v>8889</v>
      </c>
      <c r="AF92">
        <v>13</v>
      </c>
      <c r="AG92">
        <v>14</v>
      </c>
      <c r="AH92">
        <v>78.978248596191406</v>
      </c>
      <c r="AI92">
        <v>14</v>
      </c>
      <c r="AJ92">
        <v>53184.33203125</v>
      </c>
      <c r="AK92" t="s">
        <v>54</v>
      </c>
      <c r="AL92" t="s">
        <v>54</v>
      </c>
      <c r="AM92" t="s">
        <v>3009</v>
      </c>
      <c r="AN92" s="148">
        <v>38718</v>
      </c>
      <c r="AO92" s="148">
        <v>38718</v>
      </c>
      <c r="AP92" t="s">
        <v>3015</v>
      </c>
      <c r="AQ92" t="s">
        <v>54</v>
      </c>
      <c r="AR92" t="s">
        <v>3009</v>
      </c>
      <c r="AS92" s="148">
        <v>40333</v>
      </c>
      <c r="AT92" t="s">
        <v>3009</v>
      </c>
      <c r="AW92" t="s">
        <v>53</v>
      </c>
      <c r="AZ92" t="s">
        <v>54</v>
      </c>
      <c r="BA92" t="s">
        <v>2425</v>
      </c>
      <c r="BB92" s="15" t="s">
        <v>678</v>
      </c>
    </row>
    <row r="93" spans="1:54" x14ac:dyDescent="0.25">
      <c r="A93">
        <v>88</v>
      </c>
      <c r="B93" t="s">
        <v>3016</v>
      </c>
      <c r="C93" t="s">
        <v>3017</v>
      </c>
      <c r="D93" t="s">
        <v>2972</v>
      </c>
      <c r="E93">
        <v>1</v>
      </c>
      <c r="F93" t="s">
        <v>2418</v>
      </c>
      <c r="G93" t="s">
        <v>3018</v>
      </c>
      <c r="H93" t="s">
        <v>3019</v>
      </c>
      <c r="I93" t="s">
        <v>3020</v>
      </c>
      <c r="L93" t="s">
        <v>2422</v>
      </c>
      <c r="M93">
        <v>922.2506103515625</v>
      </c>
      <c r="N93" t="s">
        <v>54</v>
      </c>
      <c r="O93" t="s">
        <v>53</v>
      </c>
      <c r="P93" t="s">
        <v>53</v>
      </c>
      <c r="Q93" t="s">
        <v>54</v>
      </c>
      <c r="R93" t="s">
        <v>53</v>
      </c>
      <c r="S93" t="s">
        <v>3021</v>
      </c>
      <c r="T93" t="s">
        <v>3022</v>
      </c>
      <c r="U93" t="s">
        <v>53</v>
      </c>
      <c r="V93" t="s">
        <v>138</v>
      </c>
      <c r="W93">
        <v>872000</v>
      </c>
      <c r="X93" t="s">
        <v>53</v>
      </c>
      <c r="AA93">
        <v>1781</v>
      </c>
      <c r="AB93">
        <v>1476</v>
      </c>
      <c r="AC93">
        <v>3176</v>
      </c>
      <c r="AD93">
        <v>4663</v>
      </c>
      <c r="AE93">
        <v>6820</v>
      </c>
      <c r="AF93">
        <v>21</v>
      </c>
      <c r="AG93">
        <v>20</v>
      </c>
      <c r="AH93">
        <v>152.68418884277341</v>
      </c>
      <c r="AI93">
        <v>20</v>
      </c>
      <c r="AJ93">
        <v>32847.9296875</v>
      </c>
      <c r="AK93" t="s">
        <v>54</v>
      </c>
      <c r="AL93" t="s">
        <v>54</v>
      </c>
      <c r="AM93" t="s">
        <v>3017</v>
      </c>
      <c r="AN93" s="148">
        <v>38718</v>
      </c>
      <c r="AO93" s="148">
        <v>38718</v>
      </c>
      <c r="AP93" t="s">
        <v>3015</v>
      </c>
      <c r="AQ93" t="s">
        <v>54</v>
      </c>
      <c r="AR93" t="s">
        <v>3017</v>
      </c>
      <c r="AS93" s="148">
        <v>40333</v>
      </c>
      <c r="AT93" t="s">
        <v>3017</v>
      </c>
      <c r="AW93" t="s">
        <v>53</v>
      </c>
      <c r="AZ93" t="s">
        <v>54</v>
      </c>
      <c r="BA93" t="s">
        <v>2425</v>
      </c>
      <c r="BB93" s="15" t="s">
        <v>678</v>
      </c>
    </row>
    <row r="94" spans="1:54" x14ac:dyDescent="0.25">
      <c r="A94">
        <v>89</v>
      </c>
      <c r="B94" t="s">
        <v>3023</v>
      </c>
      <c r="C94" t="s">
        <v>3024</v>
      </c>
      <c r="D94" t="s">
        <v>2972</v>
      </c>
      <c r="E94">
        <v>1</v>
      </c>
      <c r="F94" t="s">
        <v>2418</v>
      </c>
      <c r="G94" t="s">
        <v>3025</v>
      </c>
      <c r="H94" t="s">
        <v>3026</v>
      </c>
      <c r="I94" t="s">
        <v>3027</v>
      </c>
      <c r="L94" t="s">
        <v>2422</v>
      </c>
      <c r="M94">
        <v>930.62786865234375</v>
      </c>
      <c r="N94" t="s">
        <v>54</v>
      </c>
      <c r="O94" t="s">
        <v>53</v>
      </c>
      <c r="P94" t="s">
        <v>53</v>
      </c>
      <c r="Q94" t="s">
        <v>54</v>
      </c>
      <c r="R94" t="s">
        <v>53</v>
      </c>
      <c r="S94" t="s">
        <v>3028</v>
      </c>
      <c r="T94" t="s">
        <v>3029</v>
      </c>
      <c r="U94" t="s">
        <v>53</v>
      </c>
      <c r="V94" t="s">
        <v>138</v>
      </c>
      <c r="W94">
        <v>908000</v>
      </c>
      <c r="X94" t="s">
        <v>53</v>
      </c>
      <c r="AA94">
        <v>295</v>
      </c>
      <c r="AB94">
        <v>161</v>
      </c>
      <c r="AC94">
        <v>1104</v>
      </c>
      <c r="AD94">
        <v>497</v>
      </c>
      <c r="AE94">
        <v>1429</v>
      </c>
      <c r="AF94">
        <v>2</v>
      </c>
      <c r="AG94">
        <v>14</v>
      </c>
      <c r="AH94">
        <v>49.362819671630859</v>
      </c>
      <c r="AI94">
        <v>14</v>
      </c>
      <c r="AJ94">
        <v>63862.5546875</v>
      </c>
      <c r="AK94" t="s">
        <v>54</v>
      </c>
      <c r="AL94" t="s">
        <v>54</v>
      </c>
      <c r="AM94" t="s">
        <v>3024</v>
      </c>
      <c r="AN94" s="148">
        <v>39814</v>
      </c>
      <c r="AO94" s="148">
        <v>39814</v>
      </c>
      <c r="AQ94" t="s">
        <v>54</v>
      </c>
      <c r="AR94" t="s">
        <v>3024</v>
      </c>
      <c r="AS94" s="148">
        <v>40486</v>
      </c>
      <c r="AT94" t="s">
        <v>3024</v>
      </c>
      <c r="AW94" t="s">
        <v>53</v>
      </c>
      <c r="AZ94" t="s">
        <v>54</v>
      </c>
      <c r="BA94" t="s">
        <v>2425</v>
      </c>
      <c r="BB94" s="15" t="s">
        <v>676</v>
      </c>
    </row>
    <row r="95" spans="1:54" x14ac:dyDescent="0.25">
      <c r="A95">
        <v>90</v>
      </c>
      <c r="B95" t="s">
        <v>3030</v>
      </c>
      <c r="C95" t="s">
        <v>3031</v>
      </c>
      <c r="D95" t="s">
        <v>2487</v>
      </c>
      <c r="E95">
        <v>1</v>
      </c>
      <c r="F95" t="s">
        <v>2418</v>
      </c>
      <c r="G95" t="s">
        <v>2973</v>
      </c>
      <c r="H95" t="s">
        <v>2974</v>
      </c>
      <c r="I95" t="s">
        <v>2975</v>
      </c>
      <c r="J95" t="s">
        <v>2976</v>
      </c>
      <c r="K95" t="s">
        <v>2977</v>
      </c>
      <c r="L95" t="s">
        <v>2482</v>
      </c>
      <c r="M95">
        <v>177.1009521484375</v>
      </c>
      <c r="N95" t="s">
        <v>54</v>
      </c>
      <c r="O95" t="s">
        <v>53</v>
      </c>
      <c r="P95" t="s">
        <v>53</v>
      </c>
      <c r="Q95" t="s">
        <v>53</v>
      </c>
      <c r="R95" t="s">
        <v>53</v>
      </c>
      <c r="S95" t="s">
        <v>2978</v>
      </c>
      <c r="T95" t="s">
        <v>2979</v>
      </c>
      <c r="U95" t="s">
        <v>53</v>
      </c>
      <c r="V95" t="s">
        <v>138</v>
      </c>
      <c r="W95">
        <v>500000</v>
      </c>
      <c r="X95" t="s">
        <v>53</v>
      </c>
      <c r="AA95">
        <v>54</v>
      </c>
      <c r="AB95">
        <v>25</v>
      </c>
      <c r="AC95">
        <v>15</v>
      </c>
      <c r="AD95">
        <v>81</v>
      </c>
      <c r="AE95">
        <v>81</v>
      </c>
      <c r="AF95">
        <v>0</v>
      </c>
      <c r="AG95">
        <v>13</v>
      </c>
      <c r="AH95">
        <v>8.4499425888061523</v>
      </c>
      <c r="AI95">
        <v>40</v>
      </c>
      <c r="AJ95">
        <v>20721.47265625</v>
      </c>
      <c r="AK95" t="s">
        <v>54</v>
      </c>
      <c r="AL95" t="s">
        <v>54</v>
      </c>
      <c r="AM95" t="s">
        <v>2980</v>
      </c>
      <c r="AN95" s="148">
        <v>44378</v>
      </c>
      <c r="AO95" s="148">
        <v>44378</v>
      </c>
      <c r="AQ95" t="s">
        <v>54</v>
      </c>
      <c r="AR95" t="s">
        <v>2971</v>
      </c>
      <c r="AS95" s="148">
        <v>39463</v>
      </c>
      <c r="AT95" t="s">
        <v>2971</v>
      </c>
      <c r="AW95" t="s">
        <v>53</v>
      </c>
      <c r="AZ95" t="s">
        <v>54</v>
      </c>
      <c r="BA95" t="s">
        <v>2425</v>
      </c>
      <c r="BB95" s="15" t="s">
        <v>678</v>
      </c>
    </row>
    <row r="96" spans="1:54" x14ac:dyDescent="0.25">
      <c r="A96">
        <v>91</v>
      </c>
      <c r="B96" t="s">
        <v>3032</v>
      </c>
      <c r="C96" t="s">
        <v>3033</v>
      </c>
      <c r="D96" t="s">
        <v>2487</v>
      </c>
      <c r="E96">
        <v>1</v>
      </c>
      <c r="F96" t="s">
        <v>2418</v>
      </c>
      <c r="G96" t="s">
        <v>2983</v>
      </c>
      <c r="H96" t="s">
        <v>2984</v>
      </c>
      <c r="I96" t="s">
        <v>2985</v>
      </c>
      <c r="K96" t="s">
        <v>2986</v>
      </c>
      <c r="L96" t="s">
        <v>2482</v>
      </c>
      <c r="M96">
        <v>529.4276123046875</v>
      </c>
      <c r="N96" t="s">
        <v>54</v>
      </c>
      <c r="O96" t="s">
        <v>53</v>
      </c>
      <c r="P96" t="s">
        <v>53</v>
      </c>
      <c r="Q96" t="s">
        <v>53</v>
      </c>
      <c r="R96" t="s">
        <v>53</v>
      </c>
      <c r="S96" t="s">
        <v>2987</v>
      </c>
      <c r="T96" t="s">
        <v>2988</v>
      </c>
      <c r="U96" t="s">
        <v>53</v>
      </c>
      <c r="V96" t="s">
        <v>138</v>
      </c>
      <c r="W96">
        <v>500000</v>
      </c>
      <c r="X96" t="s">
        <v>53</v>
      </c>
      <c r="AA96">
        <v>255</v>
      </c>
      <c r="AB96">
        <v>150</v>
      </c>
      <c r="AC96">
        <v>84</v>
      </c>
      <c r="AD96">
        <v>375</v>
      </c>
      <c r="AE96">
        <v>394</v>
      </c>
      <c r="AF96">
        <v>0</v>
      </c>
      <c r="AG96">
        <v>53</v>
      </c>
      <c r="AH96">
        <v>36.572376251220703</v>
      </c>
      <c r="AI96">
        <v>136</v>
      </c>
      <c r="AJ96">
        <v>49720.953125</v>
      </c>
      <c r="AK96" t="s">
        <v>54</v>
      </c>
      <c r="AL96" t="s">
        <v>54</v>
      </c>
      <c r="AM96" t="s">
        <v>2989</v>
      </c>
      <c r="AN96" s="148">
        <v>44378</v>
      </c>
      <c r="AO96" s="148">
        <v>44378</v>
      </c>
      <c r="AQ96" t="s">
        <v>54</v>
      </c>
      <c r="AR96" t="s">
        <v>2990</v>
      </c>
      <c r="AS96" s="148">
        <v>40771</v>
      </c>
      <c r="AT96" t="s">
        <v>2990</v>
      </c>
      <c r="AW96" t="s">
        <v>53</v>
      </c>
      <c r="AZ96" t="s">
        <v>54</v>
      </c>
      <c r="BA96" t="s">
        <v>2425</v>
      </c>
      <c r="BB96" s="15" t="s">
        <v>678</v>
      </c>
    </row>
    <row r="97" spans="1:54" x14ac:dyDescent="0.25">
      <c r="A97">
        <v>92</v>
      </c>
      <c r="B97" t="s">
        <v>3034</v>
      </c>
      <c r="C97" t="s">
        <v>3035</v>
      </c>
      <c r="D97" t="s">
        <v>2477</v>
      </c>
      <c r="E97">
        <v>1</v>
      </c>
      <c r="F97" t="s">
        <v>2418</v>
      </c>
      <c r="G97" t="s">
        <v>3036</v>
      </c>
      <c r="H97" t="s">
        <v>2608</v>
      </c>
      <c r="I97" t="s">
        <v>3037</v>
      </c>
      <c r="L97" t="s">
        <v>2482</v>
      </c>
      <c r="M97">
        <v>787.8260498046875</v>
      </c>
      <c r="N97" t="s">
        <v>54</v>
      </c>
      <c r="O97" t="s">
        <v>53</v>
      </c>
      <c r="P97" t="s">
        <v>53</v>
      </c>
      <c r="Q97" t="s">
        <v>54</v>
      </c>
      <c r="R97" t="s">
        <v>53</v>
      </c>
      <c r="S97" t="s">
        <v>3038</v>
      </c>
      <c r="T97" t="s">
        <v>3039</v>
      </c>
      <c r="U97" t="s">
        <v>53</v>
      </c>
      <c r="V97" t="s">
        <v>138</v>
      </c>
      <c r="W97">
        <v>500000</v>
      </c>
      <c r="X97" t="s">
        <v>53</v>
      </c>
      <c r="AA97">
        <v>188</v>
      </c>
      <c r="AB97">
        <v>68</v>
      </c>
      <c r="AC97">
        <v>63</v>
      </c>
      <c r="AD97">
        <v>249</v>
      </c>
      <c r="AE97">
        <v>262</v>
      </c>
      <c r="AF97">
        <v>0</v>
      </c>
      <c r="AG97">
        <v>76</v>
      </c>
      <c r="AH97">
        <v>36.588230133056641</v>
      </c>
      <c r="AI97">
        <v>153</v>
      </c>
      <c r="AJ97">
        <v>77039.7890625</v>
      </c>
      <c r="AK97" t="s">
        <v>54</v>
      </c>
      <c r="AL97" t="s">
        <v>54</v>
      </c>
      <c r="AM97" t="s">
        <v>3040</v>
      </c>
      <c r="AN97" s="148">
        <v>43101</v>
      </c>
      <c r="AO97" s="148">
        <v>43101</v>
      </c>
      <c r="AP97" t="s">
        <v>2998</v>
      </c>
      <c r="AQ97" t="s">
        <v>54</v>
      </c>
      <c r="AR97" t="s">
        <v>3041</v>
      </c>
      <c r="AS97" s="148">
        <v>44239</v>
      </c>
      <c r="AT97" t="s">
        <v>3041</v>
      </c>
      <c r="AW97" t="s">
        <v>53</v>
      </c>
      <c r="AZ97" t="s">
        <v>54</v>
      </c>
      <c r="BA97" t="s">
        <v>2425</v>
      </c>
      <c r="BB97" s="15" t="s">
        <v>676</v>
      </c>
    </row>
    <row r="98" spans="1:54" x14ac:dyDescent="0.25">
      <c r="A98">
        <v>93</v>
      </c>
      <c r="B98" t="s">
        <v>3042</v>
      </c>
      <c r="C98" t="s">
        <v>3043</v>
      </c>
      <c r="D98" t="s">
        <v>2487</v>
      </c>
      <c r="E98">
        <v>1</v>
      </c>
      <c r="F98" t="s">
        <v>2418</v>
      </c>
      <c r="G98" t="s">
        <v>3010</v>
      </c>
      <c r="H98" t="s">
        <v>3011</v>
      </c>
      <c r="I98" t="s">
        <v>3012</v>
      </c>
      <c r="L98" t="s">
        <v>2482</v>
      </c>
      <c r="M98">
        <v>922.830810546875</v>
      </c>
      <c r="N98" t="s">
        <v>54</v>
      </c>
      <c r="O98" t="s">
        <v>53</v>
      </c>
      <c r="P98" t="s">
        <v>53</v>
      </c>
      <c r="Q98" t="s">
        <v>54</v>
      </c>
      <c r="R98" t="s">
        <v>53</v>
      </c>
      <c r="S98" t="s">
        <v>3013</v>
      </c>
      <c r="T98" t="s">
        <v>3014</v>
      </c>
      <c r="U98" t="s">
        <v>53</v>
      </c>
      <c r="V98" t="s">
        <v>138</v>
      </c>
      <c r="W98">
        <v>500000</v>
      </c>
      <c r="X98" t="s">
        <v>53</v>
      </c>
      <c r="AA98">
        <v>1083</v>
      </c>
      <c r="AB98">
        <v>812</v>
      </c>
      <c r="AC98">
        <v>7035</v>
      </c>
      <c r="AD98">
        <v>2492</v>
      </c>
      <c r="AE98">
        <v>8889</v>
      </c>
      <c r="AF98">
        <v>13</v>
      </c>
      <c r="AG98">
        <v>14</v>
      </c>
      <c r="AH98">
        <v>78.978248596191406</v>
      </c>
      <c r="AI98">
        <v>14</v>
      </c>
      <c r="AJ98">
        <v>53184.33203125</v>
      </c>
      <c r="AK98" t="s">
        <v>54</v>
      </c>
      <c r="AL98" t="s">
        <v>54</v>
      </c>
      <c r="AM98" t="s">
        <v>3009</v>
      </c>
      <c r="AN98" s="148">
        <v>38718</v>
      </c>
      <c r="AO98" s="148">
        <v>38718</v>
      </c>
      <c r="AP98" t="s">
        <v>3015</v>
      </c>
      <c r="AQ98" t="s">
        <v>54</v>
      </c>
      <c r="AR98" t="s">
        <v>3009</v>
      </c>
      <c r="AS98" s="148">
        <v>40333</v>
      </c>
      <c r="AT98" t="s">
        <v>3009</v>
      </c>
      <c r="AW98" t="s">
        <v>53</v>
      </c>
      <c r="AZ98" t="s">
        <v>54</v>
      </c>
      <c r="BA98" t="s">
        <v>2425</v>
      </c>
      <c r="BB98" s="15" t="s">
        <v>676</v>
      </c>
    </row>
    <row r="99" spans="1:54" x14ac:dyDescent="0.25">
      <c r="A99">
        <v>94</v>
      </c>
      <c r="B99" t="s">
        <v>3044</v>
      </c>
      <c r="C99" t="s">
        <v>3045</v>
      </c>
      <c r="D99" t="s">
        <v>2487</v>
      </c>
      <c r="E99">
        <v>1</v>
      </c>
      <c r="F99" t="s">
        <v>2418</v>
      </c>
      <c r="G99" t="s">
        <v>3018</v>
      </c>
      <c r="H99" t="s">
        <v>3019</v>
      </c>
      <c r="I99" t="s">
        <v>3020</v>
      </c>
      <c r="L99" t="s">
        <v>2482</v>
      </c>
      <c r="M99">
        <v>922.2506103515625</v>
      </c>
      <c r="N99" t="s">
        <v>54</v>
      </c>
      <c r="O99" t="s">
        <v>53</v>
      </c>
      <c r="P99" t="s">
        <v>53</v>
      </c>
      <c r="Q99" t="s">
        <v>54</v>
      </c>
      <c r="R99" t="s">
        <v>53</v>
      </c>
      <c r="S99" t="s">
        <v>3021</v>
      </c>
      <c r="T99" t="s">
        <v>3022</v>
      </c>
      <c r="U99" t="s">
        <v>53</v>
      </c>
      <c r="V99" t="s">
        <v>138</v>
      </c>
      <c r="W99">
        <v>500000</v>
      </c>
      <c r="X99" t="s">
        <v>53</v>
      </c>
      <c r="AA99">
        <v>1781</v>
      </c>
      <c r="AB99">
        <v>1476</v>
      </c>
      <c r="AC99">
        <v>3176</v>
      </c>
      <c r="AD99">
        <v>4663</v>
      </c>
      <c r="AE99">
        <v>6820</v>
      </c>
      <c r="AF99">
        <v>21</v>
      </c>
      <c r="AG99">
        <v>20</v>
      </c>
      <c r="AH99">
        <v>152.68418884277341</v>
      </c>
      <c r="AI99">
        <v>20</v>
      </c>
      <c r="AJ99">
        <v>32847.9296875</v>
      </c>
      <c r="AK99" t="s">
        <v>54</v>
      </c>
      <c r="AL99" t="s">
        <v>54</v>
      </c>
      <c r="AM99" t="s">
        <v>3017</v>
      </c>
      <c r="AN99" s="148">
        <v>38718</v>
      </c>
      <c r="AO99" s="148">
        <v>38718</v>
      </c>
      <c r="AP99" t="s">
        <v>3015</v>
      </c>
      <c r="AQ99" t="s">
        <v>54</v>
      </c>
      <c r="AR99" t="s">
        <v>3017</v>
      </c>
      <c r="AS99" s="148">
        <v>40333</v>
      </c>
      <c r="AT99" t="s">
        <v>3017</v>
      </c>
      <c r="AW99" t="s">
        <v>53</v>
      </c>
      <c r="AZ99" t="s">
        <v>54</v>
      </c>
      <c r="BA99" t="s">
        <v>2425</v>
      </c>
      <c r="BB99" s="15" t="s">
        <v>678</v>
      </c>
    </row>
    <row r="100" spans="1:54" x14ac:dyDescent="0.25">
      <c r="A100">
        <v>95</v>
      </c>
      <c r="B100" t="s">
        <v>3046</v>
      </c>
      <c r="C100" t="s">
        <v>3047</v>
      </c>
      <c r="D100" t="s">
        <v>3048</v>
      </c>
      <c r="E100">
        <v>1</v>
      </c>
      <c r="F100" t="s">
        <v>2418</v>
      </c>
      <c r="G100" t="s">
        <v>3018</v>
      </c>
      <c r="H100" t="s">
        <v>3049</v>
      </c>
      <c r="I100" t="s">
        <v>3050</v>
      </c>
      <c r="J100" t="s">
        <v>3051</v>
      </c>
      <c r="K100" t="s">
        <v>3052</v>
      </c>
      <c r="L100" t="s">
        <v>2482</v>
      </c>
      <c r="M100">
        <v>1.787612676620483</v>
      </c>
      <c r="N100" t="s">
        <v>54</v>
      </c>
      <c r="O100" t="s">
        <v>53</v>
      </c>
      <c r="P100" t="s">
        <v>53</v>
      </c>
      <c r="Q100" t="s">
        <v>54</v>
      </c>
      <c r="R100" t="s">
        <v>53</v>
      </c>
      <c r="S100" t="s">
        <v>3053</v>
      </c>
      <c r="T100" t="s">
        <v>3054</v>
      </c>
      <c r="U100" t="s">
        <v>53</v>
      </c>
      <c r="V100" t="s">
        <v>138</v>
      </c>
      <c r="W100">
        <v>250000</v>
      </c>
      <c r="X100" t="s">
        <v>53</v>
      </c>
      <c r="AA100">
        <v>121</v>
      </c>
      <c r="AB100">
        <v>101</v>
      </c>
      <c r="AC100">
        <v>62</v>
      </c>
      <c r="AD100">
        <v>296</v>
      </c>
      <c r="AE100">
        <v>297</v>
      </c>
      <c r="AF100">
        <v>19</v>
      </c>
      <c r="AG100">
        <v>0</v>
      </c>
      <c r="AH100">
        <v>0.46627020835876459</v>
      </c>
      <c r="AI100">
        <v>0</v>
      </c>
      <c r="AJ100">
        <v>7.4024147987365723</v>
      </c>
      <c r="AK100" t="s">
        <v>54</v>
      </c>
      <c r="AL100" t="s">
        <v>54</v>
      </c>
      <c r="AM100" t="s">
        <v>3017</v>
      </c>
      <c r="AN100" s="148">
        <v>38718</v>
      </c>
      <c r="AO100" s="148">
        <v>38718</v>
      </c>
      <c r="AQ100" t="s">
        <v>54</v>
      </c>
      <c r="AR100" t="s">
        <v>3017</v>
      </c>
      <c r="AS100" s="148">
        <v>40333</v>
      </c>
      <c r="AT100" t="s">
        <v>3017</v>
      </c>
      <c r="AW100" t="s">
        <v>53</v>
      </c>
      <c r="AZ100" t="s">
        <v>54</v>
      </c>
      <c r="BA100" t="s">
        <v>2425</v>
      </c>
      <c r="BB100" s="15" t="s">
        <v>676</v>
      </c>
    </row>
    <row r="101" spans="1:54" x14ac:dyDescent="0.25">
      <c r="A101">
        <v>96</v>
      </c>
      <c r="B101" t="s">
        <v>3055</v>
      </c>
      <c r="C101" t="s">
        <v>3056</v>
      </c>
      <c r="D101" t="s">
        <v>2688</v>
      </c>
      <c r="E101">
        <v>1</v>
      </c>
      <c r="F101" t="s">
        <v>2418</v>
      </c>
      <c r="G101" t="s">
        <v>3018</v>
      </c>
      <c r="H101" t="s">
        <v>3049</v>
      </c>
      <c r="I101" t="s">
        <v>3050</v>
      </c>
      <c r="J101" t="s">
        <v>3057</v>
      </c>
      <c r="K101" t="s">
        <v>3058</v>
      </c>
      <c r="L101" t="s">
        <v>2482</v>
      </c>
      <c r="M101">
        <v>0.52116644382476807</v>
      </c>
      <c r="N101" t="s">
        <v>54</v>
      </c>
      <c r="O101" t="s">
        <v>53</v>
      </c>
      <c r="P101" t="s">
        <v>53</v>
      </c>
      <c r="Q101" t="s">
        <v>54</v>
      </c>
      <c r="R101" t="s">
        <v>53</v>
      </c>
      <c r="S101" t="s">
        <v>3059</v>
      </c>
      <c r="T101" t="s">
        <v>3060</v>
      </c>
      <c r="U101" t="s">
        <v>53</v>
      </c>
      <c r="V101" t="s">
        <v>138</v>
      </c>
      <c r="W101">
        <v>250000</v>
      </c>
      <c r="X101" t="s">
        <v>53</v>
      </c>
      <c r="AA101">
        <v>45</v>
      </c>
      <c r="AB101">
        <v>31</v>
      </c>
      <c r="AC101">
        <v>9</v>
      </c>
      <c r="AD101">
        <v>73</v>
      </c>
      <c r="AE101">
        <v>73</v>
      </c>
      <c r="AF101">
        <v>1</v>
      </c>
      <c r="AG101">
        <v>1</v>
      </c>
      <c r="AH101">
        <v>1.538977742195129</v>
      </c>
      <c r="AI101">
        <v>1</v>
      </c>
      <c r="AJ101">
        <v>0.45272547006607061</v>
      </c>
      <c r="AK101" t="s">
        <v>54</v>
      </c>
      <c r="AL101" t="s">
        <v>54</v>
      </c>
      <c r="AM101" t="s">
        <v>3017</v>
      </c>
      <c r="AN101" s="148">
        <v>38718</v>
      </c>
      <c r="AO101" s="148">
        <v>38718</v>
      </c>
      <c r="AP101" t="s">
        <v>2946</v>
      </c>
      <c r="AQ101" t="s">
        <v>54</v>
      </c>
      <c r="AR101" t="s">
        <v>3017</v>
      </c>
      <c r="AS101" s="148">
        <v>40333</v>
      </c>
      <c r="AT101" t="s">
        <v>3017</v>
      </c>
      <c r="AW101" t="s">
        <v>53</v>
      </c>
      <c r="AZ101" t="s">
        <v>54</v>
      </c>
      <c r="BA101" t="s">
        <v>2425</v>
      </c>
      <c r="BB101" s="15" t="s">
        <v>676</v>
      </c>
    </row>
    <row r="102" spans="1:54" x14ac:dyDescent="0.25">
      <c r="A102">
        <v>97</v>
      </c>
      <c r="B102" t="s">
        <v>3061</v>
      </c>
      <c r="C102" t="s">
        <v>3062</v>
      </c>
      <c r="D102" t="s">
        <v>2616</v>
      </c>
      <c r="E102">
        <v>1</v>
      </c>
      <c r="F102" t="s">
        <v>2418</v>
      </c>
      <c r="G102" t="s">
        <v>3063</v>
      </c>
      <c r="H102" t="s">
        <v>2581</v>
      </c>
      <c r="I102" t="s">
        <v>3064</v>
      </c>
      <c r="J102" t="s">
        <v>3065</v>
      </c>
      <c r="K102" t="s">
        <v>3066</v>
      </c>
      <c r="L102" t="s">
        <v>2482</v>
      </c>
      <c r="M102">
        <v>2.335186243057251</v>
      </c>
      <c r="N102" t="s">
        <v>54</v>
      </c>
      <c r="O102" t="s">
        <v>53</v>
      </c>
      <c r="P102" t="s">
        <v>53</v>
      </c>
      <c r="Q102" t="s">
        <v>53</v>
      </c>
      <c r="R102" t="s">
        <v>53</v>
      </c>
      <c r="S102" t="s">
        <v>3067</v>
      </c>
      <c r="T102" t="s">
        <v>3068</v>
      </c>
      <c r="U102" t="s">
        <v>53</v>
      </c>
      <c r="V102" t="s">
        <v>138</v>
      </c>
      <c r="W102">
        <v>250000</v>
      </c>
      <c r="X102" t="s">
        <v>53</v>
      </c>
      <c r="AA102">
        <v>0</v>
      </c>
      <c r="AB102">
        <v>0</v>
      </c>
      <c r="AC102">
        <v>0</v>
      </c>
      <c r="AD102">
        <v>0</v>
      </c>
      <c r="AE102">
        <v>0</v>
      </c>
      <c r="AF102">
        <v>0</v>
      </c>
      <c r="AG102">
        <v>0</v>
      </c>
      <c r="AH102">
        <v>0</v>
      </c>
      <c r="AI102">
        <v>0</v>
      </c>
      <c r="AJ102">
        <v>0.59399408102035522</v>
      </c>
      <c r="AK102" t="s">
        <v>54</v>
      </c>
      <c r="AL102" t="s">
        <v>54</v>
      </c>
      <c r="AM102" t="s">
        <v>3040</v>
      </c>
      <c r="AN102" s="148">
        <v>43101</v>
      </c>
      <c r="AO102" s="148">
        <v>43101</v>
      </c>
      <c r="AQ102" t="s">
        <v>54</v>
      </c>
      <c r="AR102" t="s">
        <v>3041</v>
      </c>
      <c r="AS102" s="148">
        <v>44239</v>
      </c>
      <c r="AT102" t="s">
        <v>3041</v>
      </c>
      <c r="AW102" t="s">
        <v>53</v>
      </c>
      <c r="AZ102" t="s">
        <v>54</v>
      </c>
      <c r="BA102" t="s">
        <v>2425</v>
      </c>
      <c r="BB102" s="15" t="s">
        <v>676</v>
      </c>
    </row>
    <row r="103" spans="1:54" x14ac:dyDescent="0.25">
      <c r="A103">
        <v>98</v>
      </c>
      <c r="B103" t="s">
        <v>3069</v>
      </c>
      <c r="C103" t="s">
        <v>3070</v>
      </c>
      <c r="D103" t="s">
        <v>2599</v>
      </c>
      <c r="E103">
        <v>1</v>
      </c>
      <c r="F103" t="s">
        <v>2418</v>
      </c>
      <c r="G103" t="s">
        <v>2993</v>
      </c>
      <c r="H103" t="s">
        <v>3071</v>
      </c>
      <c r="I103" t="s">
        <v>3072</v>
      </c>
      <c r="J103" t="s">
        <v>3073</v>
      </c>
      <c r="K103" t="s">
        <v>3074</v>
      </c>
      <c r="L103" t="s">
        <v>2482</v>
      </c>
      <c r="M103">
        <v>1.84953248500824</v>
      </c>
      <c r="N103" t="s">
        <v>54</v>
      </c>
      <c r="O103" t="s">
        <v>53</v>
      </c>
      <c r="P103" t="s">
        <v>53</v>
      </c>
      <c r="Q103" t="s">
        <v>53</v>
      </c>
      <c r="R103" t="s">
        <v>53</v>
      </c>
      <c r="S103" t="s">
        <v>3075</v>
      </c>
      <c r="T103" t="s">
        <v>3076</v>
      </c>
      <c r="U103" t="s">
        <v>53</v>
      </c>
      <c r="V103" t="s">
        <v>138</v>
      </c>
      <c r="W103">
        <v>250000</v>
      </c>
      <c r="X103" t="s">
        <v>53</v>
      </c>
      <c r="AA103">
        <v>0</v>
      </c>
      <c r="AB103">
        <v>0</v>
      </c>
      <c r="AC103">
        <v>0</v>
      </c>
      <c r="AD103">
        <v>0</v>
      </c>
      <c r="AE103">
        <v>0</v>
      </c>
      <c r="AF103">
        <v>0</v>
      </c>
      <c r="AG103">
        <v>0</v>
      </c>
      <c r="AH103">
        <v>0.24694353342056269</v>
      </c>
      <c r="AI103">
        <v>0</v>
      </c>
      <c r="AJ103">
        <v>5.8499259948730469</v>
      </c>
      <c r="AK103" t="s">
        <v>54</v>
      </c>
      <c r="AL103" t="s">
        <v>54</v>
      </c>
      <c r="AM103" t="s">
        <v>2992</v>
      </c>
      <c r="AN103" s="148">
        <v>32509</v>
      </c>
      <c r="AO103" s="148">
        <v>32509</v>
      </c>
      <c r="AQ103" t="s">
        <v>54</v>
      </c>
      <c r="AR103" t="s">
        <v>2992</v>
      </c>
      <c r="AS103" s="148">
        <v>40212</v>
      </c>
      <c r="AT103" t="s">
        <v>2992</v>
      </c>
      <c r="AW103" t="s">
        <v>53</v>
      </c>
      <c r="AZ103" t="s">
        <v>54</v>
      </c>
      <c r="BA103" t="s">
        <v>2425</v>
      </c>
      <c r="BB103" s="15" t="s">
        <v>678</v>
      </c>
    </row>
    <row r="104" spans="1:54" x14ac:dyDescent="0.25">
      <c r="A104">
        <v>99</v>
      </c>
      <c r="B104" t="s">
        <v>3077</v>
      </c>
      <c r="C104" t="s">
        <v>3078</v>
      </c>
      <c r="D104" t="s">
        <v>2599</v>
      </c>
      <c r="E104">
        <v>1</v>
      </c>
      <c r="F104" t="s">
        <v>2418</v>
      </c>
      <c r="G104" t="s">
        <v>3025</v>
      </c>
      <c r="H104" t="s">
        <v>3079</v>
      </c>
      <c r="I104" t="s">
        <v>3080</v>
      </c>
      <c r="J104" t="s">
        <v>3081</v>
      </c>
      <c r="K104" t="s">
        <v>3082</v>
      </c>
      <c r="L104" t="s">
        <v>2482</v>
      </c>
      <c r="M104">
        <v>8.9200277328491211</v>
      </c>
      <c r="N104" t="s">
        <v>54</v>
      </c>
      <c r="O104" t="s">
        <v>53</v>
      </c>
      <c r="P104" t="s">
        <v>53</v>
      </c>
      <c r="Q104" t="s">
        <v>54</v>
      </c>
      <c r="R104" t="s">
        <v>53</v>
      </c>
      <c r="S104" t="s">
        <v>3083</v>
      </c>
      <c r="T104" t="s">
        <v>3084</v>
      </c>
      <c r="U104" t="s">
        <v>53</v>
      </c>
      <c r="V104" t="s">
        <v>138</v>
      </c>
      <c r="W104">
        <v>250000</v>
      </c>
      <c r="X104" t="s">
        <v>53</v>
      </c>
      <c r="AA104">
        <v>148</v>
      </c>
      <c r="AB104">
        <v>118</v>
      </c>
      <c r="AC104">
        <v>989</v>
      </c>
      <c r="AD104">
        <v>337</v>
      </c>
      <c r="AE104">
        <v>1214</v>
      </c>
      <c r="AF104">
        <v>0</v>
      </c>
      <c r="AG104">
        <v>1</v>
      </c>
      <c r="AH104">
        <v>5.9710125923156738</v>
      </c>
      <c r="AI104">
        <v>1</v>
      </c>
      <c r="AJ104">
        <v>12.04196357727051</v>
      </c>
      <c r="AK104" t="s">
        <v>54</v>
      </c>
      <c r="AL104" t="s">
        <v>54</v>
      </c>
      <c r="AM104" t="s">
        <v>3024</v>
      </c>
      <c r="AN104" s="148">
        <v>39814</v>
      </c>
      <c r="AO104" s="148">
        <v>39814</v>
      </c>
      <c r="AQ104" t="s">
        <v>54</v>
      </c>
      <c r="AR104" t="s">
        <v>3024</v>
      </c>
      <c r="AS104" s="148">
        <v>40486</v>
      </c>
      <c r="AT104" t="s">
        <v>3024</v>
      </c>
      <c r="AW104" t="s">
        <v>53</v>
      </c>
      <c r="AZ104" t="s">
        <v>54</v>
      </c>
      <c r="BA104" t="s">
        <v>2425</v>
      </c>
      <c r="BB104" s="15" t="s">
        <v>676</v>
      </c>
    </row>
    <row r="105" spans="1:54" x14ac:dyDescent="0.25">
      <c r="A105">
        <v>100</v>
      </c>
      <c r="B105" t="s">
        <v>3085</v>
      </c>
      <c r="C105" t="s">
        <v>3086</v>
      </c>
      <c r="D105" t="s">
        <v>2688</v>
      </c>
      <c r="E105">
        <v>1</v>
      </c>
      <c r="F105" t="s">
        <v>2418</v>
      </c>
      <c r="G105" t="s">
        <v>2993</v>
      </c>
      <c r="H105" t="s">
        <v>2671</v>
      </c>
      <c r="I105" t="s">
        <v>3087</v>
      </c>
      <c r="J105" t="s">
        <v>3088</v>
      </c>
      <c r="K105" t="s">
        <v>3089</v>
      </c>
      <c r="L105" t="s">
        <v>2482</v>
      </c>
      <c r="M105">
        <v>2.5507528781890869</v>
      </c>
      <c r="N105" t="s">
        <v>54</v>
      </c>
      <c r="O105" t="s">
        <v>53</v>
      </c>
      <c r="P105" t="s">
        <v>53</v>
      </c>
      <c r="Q105" t="s">
        <v>53</v>
      </c>
      <c r="R105" t="s">
        <v>53</v>
      </c>
      <c r="S105" t="s">
        <v>3090</v>
      </c>
      <c r="T105" t="s">
        <v>3091</v>
      </c>
      <c r="U105" t="s">
        <v>53</v>
      </c>
      <c r="V105" t="s">
        <v>138</v>
      </c>
      <c r="W105">
        <v>250000</v>
      </c>
      <c r="X105" t="s">
        <v>53</v>
      </c>
      <c r="AA105">
        <v>93</v>
      </c>
      <c r="AB105">
        <v>75</v>
      </c>
      <c r="AC105">
        <v>73</v>
      </c>
      <c r="AD105">
        <v>216</v>
      </c>
      <c r="AE105">
        <v>248</v>
      </c>
      <c r="AF105">
        <v>0</v>
      </c>
      <c r="AG105">
        <v>1</v>
      </c>
      <c r="AH105">
        <v>0.80622470378875732</v>
      </c>
      <c r="AI105">
        <v>3</v>
      </c>
      <c r="AJ105">
        <v>13.71359157562256</v>
      </c>
      <c r="AK105" t="s">
        <v>54</v>
      </c>
      <c r="AL105" t="s">
        <v>54</v>
      </c>
      <c r="AM105" t="s">
        <v>2992</v>
      </c>
      <c r="AN105" s="148">
        <v>32509</v>
      </c>
      <c r="AO105" s="148">
        <v>32509</v>
      </c>
      <c r="AP105" t="s">
        <v>2998</v>
      </c>
      <c r="AQ105" t="s">
        <v>54</v>
      </c>
      <c r="AR105" t="s">
        <v>2992</v>
      </c>
      <c r="AS105" s="148">
        <v>40212</v>
      </c>
      <c r="AT105" t="s">
        <v>2992</v>
      </c>
      <c r="AW105" t="s">
        <v>53</v>
      </c>
      <c r="AZ105" t="s">
        <v>54</v>
      </c>
      <c r="BA105" t="s">
        <v>2425</v>
      </c>
      <c r="BB105" s="15" t="s">
        <v>676</v>
      </c>
    </row>
    <row r="106" spans="1:54" x14ac:dyDescent="0.25">
      <c r="A106">
        <v>101</v>
      </c>
      <c r="B106" t="s">
        <v>3092</v>
      </c>
      <c r="C106" t="s">
        <v>3093</v>
      </c>
      <c r="D106" t="s">
        <v>3048</v>
      </c>
      <c r="E106">
        <v>1</v>
      </c>
      <c r="F106" t="s">
        <v>2418</v>
      </c>
      <c r="G106" t="s">
        <v>3036</v>
      </c>
      <c r="H106" t="s">
        <v>2671</v>
      </c>
      <c r="I106" t="s">
        <v>3094</v>
      </c>
      <c r="J106" t="s">
        <v>3095</v>
      </c>
      <c r="K106" t="s">
        <v>3096</v>
      </c>
      <c r="L106" t="s">
        <v>2482</v>
      </c>
      <c r="M106">
        <v>2.531488418579102</v>
      </c>
      <c r="N106" t="s">
        <v>54</v>
      </c>
      <c r="O106" t="s">
        <v>53</v>
      </c>
      <c r="P106" t="s">
        <v>53</v>
      </c>
      <c r="Q106" t="s">
        <v>53</v>
      </c>
      <c r="R106" t="s">
        <v>53</v>
      </c>
      <c r="S106" t="s">
        <v>3097</v>
      </c>
      <c r="T106" t="s">
        <v>3098</v>
      </c>
      <c r="U106" t="s">
        <v>53</v>
      </c>
      <c r="V106" t="s">
        <v>138</v>
      </c>
      <c r="W106">
        <v>250000</v>
      </c>
      <c r="X106" t="s">
        <v>53</v>
      </c>
      <c r="AA106">
        <v>4</v>
      </c>
      <c r="AB106">
        <v>2</v>
      </c>
      <c r="AC106">
        <v>1</v>
      </c>
      <c r="AD106">
        <v>4</v>
      </c>
      <c r="AE106">
        <v>4</v>
      </c>
      <c r="AF106">
        <v>0</v>
      </c>
      <c r="AG106">
        <v>0</v>
      </c>
      <c r="AH106">
        <v>0.93591701984405518</v>
      </c>
      <c r="AI106">
        <v>0</v>
      </c>
      <c r="AJ106">
        <v>5.2117390632629386</v>
      </c>
      <c r="AK106" t="s">
        <v>54</v>
      </c>
      <c r="AL106" t="s">
        <v>54</v>
      </c>
      <c r="AM106" t="s">
        <v>3040</v>
      </c>
      <c r="AN106" s="148">
        <v>43101</v>
      </c>
      <c r="AO106" s="148">
        <v>43101</v>
      </c>
      <c r="AP106" t="s">
        <v>2998</v>
      </c>
      <c r="AQ106" t="s">
        <v>54</v>
      </c>
      <c r="AR106" t="s">
        <v>3041</v>
      </c>
      <c r="AS106" s="148">
        <v>44239</v>
      </c>
      <c r="AT106" t="s">
        <v>3041</v>
      </c>
      <c r="AW106" t="s">
        <v>53</v>
      </c>
      <c r="AZ106" t="s">
        <v>54</v>
      </c>
      <c r="BA106" t="s">
        <v>2425</v>
      </c>
      <c r="BB106" s="15" t="s">
        <v>678</v>
      </c>
    </row>
    <row r="107" spans="1:54" x14ac:dyDescent="0.25">
      <c r="A107">
        <v>102</v>
      </c>
      <c r="B107" t="s">
        <v>3099</v>
      </c>
      <c r="C107" t="s">
        <v>3100</v>
      </c>
      <c r="D107" t="s">
        <v>2616</v>
      </c>
      <c r="E107">
        <v>1</v>
      </c>
      <c r="F107" t="s">
        <v>2418</v>
      </c>
      <c r="G107" t="s">
        <v>3063</v>
      </c>
      <c r="H107" t="s">
        <v>2581</v>
      </c>
      <c r="I107" t="s">
        <v>3101</v>
      </c>
      <c r="J107" t="s">
        <v>3102</v>
      </c>
      <c r="K107" t="s">
        <v>3103</v>
      </c>
      <c r="L107" t="s">
        <v>2482</v>
      </c>
      <c r="M107">
        <v>10.02017021179199</v>
      </c>
      <c r="N107" t="s">
        <v>54</v>
      </c>
      <c r="O107" t="s">
        <v>53</v>
      </c>
      <c r="P107" t="s">
        <v>53</v>
      </c>
      <c r="Q107" t="s">
        <v>53</v>
      </c>
      <c r="R107" t="s">
        <v>53</v>
      </c>
      <c r="S107" t="s">
        <v>3104</v>
      </c>
      <c r="T107" t="s">
        <v>3105</v>
      </c>
      <c r="U107" t="s">
        <v>53</v>
      </c>
      <c r="V107" t="s">
        <v>138</v>
      </c>
      <c r="W107">
        <v>250000</v>
      </c>
      <c r="X107" t="s">
        <v>53</v>
      </c>
      <c r="AA107">
        <v>0</v>
      </c>
      <c r="AB107">
        <v>0</v>
      </c>
      <c r="AC107">
        <v>0</v>
      </c>
      <c r="AD107">
        <v>0</v>
      </c>
      <c r="AE107">
        <v>0</v>
      </c>
      <c r="AF107">
        <v>0</v>
      </c>
      <c r="AG107">
        <v>1</v>
      </c>
      <c r="AH107">
        <v>0.46882602572441101</v>
      </c>
      <c r="AI107">
        <v>1</v>
      </c>
      <c r="AJ107">
        <v>27.250883102416989</v>
      </c>
      <c r="AK107" t="s">
        <v>54</v>
      </c>
      <c r="AL107" t="s">
        <v>54</v>
      </c>
      <c r="AM107" t="s">
        <v>3040</v>
      </c>
      <c r="AN107" s="148">
        <v>43101</v>
      </c>
      <c r="AO107" s="148">
        <v>43101</v>
      </c>
      <c r="AQ107" t="s">
        <v>54</v>
      </c>
      <c r="AR107" t="s">
        <v>3041</v>
      </c>
      <c r="AS107" s="148">
        <v>44239</v>
      </c>
      <c r="AT107" t="s">
        <v>3041</v>
      </c>
      <c r="AW107" t="s">
        <v>53</v>
      </c>
      <c r="AZ107" t="s">
        <v>54</v>
      </c>
      <c r="BA107" t="s">
        <v>2425</v>
      </c>
      <c r="BB107" s="15" t="s">
        <v>678</v>
      </c>
    </row>
    <row r="108" spans="1:54" x14ac:dyDescent="0.25">
      <c r="A108">
        <v>103</v>
      </c>
      <c r="B108" t="s">
        <v>3106</v>
      </c>
      <c r="C108" t="s">
        <v>3107</v>
      </c>
      <c r="D108" t="s">
        <v>2679</v>
      </c>
      <c r="E108">
        <v>1</v>
      </c>
      <c r="F108" t="s">
        <v>2418</v>
      </c>
      <c r="G108" t="s">
        <v>3025</v>
      </c>
      <c r="H108" t="s">
        <v>2730</v>
      </c>
      <c r="I108" t="s">
        <v>2731</v>
      </c>
      <c r="J108" t="s">
        <v>3108</v>
      </c>
      <c r="K108" t="s">
        <v>3109</v>
      </c>
      <c r="L108" t="s">
        <v>2482</v>
      </c>
      <c r="M108">
        <v>0.32999724149703979</v>
      </c>
      <c r="N108" t="s">
        <v>54</v>
      </c>
      <c r="O108" t="s">
        <v>53</v>
      </c>
      <c r="P108" t="s">
        <v>53</v>
      </c>
      <c r="Q108" t="s">
        <v>53</v>
      </c>
      <c r="R108" t="s">
        <v>53</v>
      </c>
      <c r="S108" t="s">
        <v>3110</v>
      </c>
      <c r="T108" t="s">
        <v>3111</v>
      </c>
      <c r="U108" t="s">
        <v>53</v>
      </c>
      <c r="V108" t="s">
        <v>138</v>
      </c>
      <c r="W108">
        <v>250000</v>
      </c>
      <c r="X108" t="s">
        <v>53</v>
      </c>
      <c r="AA108">
        <v>18</v>
      </c>
      <c r="AB108">
        <v>13</v>
      </c>
      <c r="AC108">
        <v>5</v>
      </c>
      <c r="AD108">
        <v>28</v>
      </c>
      <c r="AE108">
        <v>28</v>
      </c>
      <c r="AF108">
        <v>0</v>
      </c>
      <c r="AG108">
        <v>0</v>
      </c>
      <c r="AH108">
        <v>0.70289880037307739</v>
      </c>
      <c r="AI108">
        <v>0</v>
      </c>
      <c r="AJ108">
        <v>0.83949416875839233</v>
      </c>
      <c r="AK108" t="s">
        <v>54</v>
      </c>
      <c r="AL108" t="s">
        <v>54</v>
      </c>
      <c r="AM108" t="s">
        <v>3024</v>
      </c>
      <c r="AN108" s="148">
        <v>39814</v>
      </c>
      <c r="AO108" s="148">
        <v>39814</v>
      </c>
      <c r="AQ108" t="s">
        <v>54</v>
      </c>
      <c r="AR108" t="s">
        <v>3024</v>
      </c>
      <c r="AS108" s="148">
        <v>40486</v>
      </c>
      <c r="AT108" t="s">
        <v>3024</v>
      </c>
      <c r="AW108" t="s">
        <v>53</v>
      </c>
      <c r="AZ108" t="s">
        <v>54</v>
      </c>
      <c r="BA108" t="s">
        <v>2425</v>
      </c>
      <c r="BB108" s="15" t="s">
        <v>678</v>
      </c>
    </row>
    <row r="109" spans="1:54" x14ac:dyDescent="0.25">
      <c r="A109">
        <v>104</v>
      </c>
      <c r="B109" t="s">
        <v>3112</v>
      </c>
      <c r="C109" t="s">
        <v>3113</v>
      </c>
      <c r="D109" t="s">
        <v>2599</v>
      </c>
      <c r="E109">
        <v>1</v>
      </c>
      <c r="F109" t="s">
        <v>2418</v>
      </c>
      <c r="G109" t="s">
        <v>2993</v>
      </c>
      <c r="H109" t="s">
        <v>3114</v>
      </c>
      <c r="I109" t="s">
        <v>3115</v>
      </c>
      <c r="J109" t="s">
        <v>3116</v>
      </c>
      <c r="K109" t="s">
        <v>3117</v>
      </c>
      <c r="L109" t="s">
        <v>2482</v>
      </c>
      <c r="M109">
        <v>11.11091232299805</v>
      </c>
      <c r="N109" t="s">
        <v>54</v>
      </c>
      <c r="O109" t="s">
        <v>53</v>
      </c>
      <c r="P109" t="s">
        <v>53</v>
      </c>
      <c r="Q109" t="s">
        <v>53</v>
      </c>
      <c r="R109" t="s">
        <v>53</v>
      </c>
      <c r="S109" t="s">
        <v>3118</v>
      </c>
      <c r="T109" t="s">
        <v>3119</v>
      </c>
      <c r="U109" t="s">
        <v>53</v>
      </c>
      <c r="V109" t="s">
        <v>138</v>
      </c>
      <c r="W109">
        <v>250000</v>
      </c>
      <c r="X109" t="s">
        <v>53</v>
      </c>
      <c r="AA109">
        <v>47</v>
      </c>
      <c r="AB109">
        <v>37</v>
      </c>
      <c r="AC109">
        <v>35</v>
      </c>
      <c r="AD109">
        <v>96</v>
      </c>
      <c r="AE109">
        <v>105</v>
      </c>
      <c r="AF109">
        <v>0</v>
      </c>
      <c r="AG109">
        <v>7</v>
      </c>
      <c r="AH109">
        <v>6.8583822250366211</v>
      </c>
      <c r="AI109">
        <v>9</v>
      </c>
      <c r="AJ109">
        <v>183.79185485839841</v>
      </c>
      <c r="AK109" t="s">
        <v>54</v>
      </c>
      <c r="AL109" t="s">
        <v>54</v>
      </c>
      <c r="AM109" t="s">
        <v>2992</v>
      </c>
      <c r="AN109" s="148">
        <v>32509</v>
      </c>
      <c r="AO109" s="148">
        <v>32509</v>
      </c>
      <c r="AQ109" t="s">
        <v>54</v>
      </c>
      <c r="AR109" t="s">
        <v>2992</v>
      </c>
      <c r="AS109" s="148">
        <v>40212</v>
      </c>
      <c r="AT109" t="s">
        <v>2992</v>
      </c>
      <c r="AW109" t="s">
        <v>53</v>
      </c>
      <c r="AZ109" t="s">
        <v>54</v>
      </c>
      <c r="BA109" t="s">
        <v>2425</v>
      </c>
      <c r="BB109" s="15" t="s">
        <v>678</v>
      </c>
    </row>
    <row r="110" spans="1:54" x14ac:dyDescent="0.25">
      <c r="A110">
        <v>105</v>
      </c>
      <c r="B110" t="s">
        <v>3120</v>
      </c>
      <c r="C110" t="s">
        <v>3121</v>
      </c>
      <c r="D110" t="s">
        <v>3122</v>
      </c>
      <c r="E110">
        <v>1</v>
      </c>
      <c r="F110" t="s">
        <v>2418</v>
      </c>
      <c r="G110" t="s">
        <v>3123</v>
      </c>
      <c r="H110" t="s">
        <v>3124</v>
      </c>
      <c r="I110" t="s">
        <v>3125</v>
      </c>
      <c r="J110" t="s">
        <v>3126</v>
      </c>
      <c r="K110" t="s">
        <v>3127</v>
      </c>
      <c r="L110" t="s">
        <v>2482</v>
      </c>
      <c r="M110">
        <v>101.60166168212891</v>
      </c>
      <c r="N110" t="s">
        <v>54</v>
      </c>
      <c r="O110" t="s">
        <v>53</v>
      </c>
      <c r="P110" t="s">
        <v>53</v>
      </c>
      <c r="Q110" t="s">
        <v>54</v>
      </c>
      <c r="R110" t="s">
        <v>53</v>
      </c>
      <c r="S110" t="s">
        <v>3128</v>
      </c>
      <c r="T110" t="s">
        <v>3129</v>
      </c>
      <c r="U110" t="s">
        <v>53</v>
      </c>
      <c r="V110" t="s">
        <v>138</v>
      </c>
      <c r="W110">
        <v>1000000</v>
      </c>
      <c r="X110" t="s">
        <v>54</v>
      </c>
      <c r="Y110" t="s">
        <v>3130</v>
      </c>
      <c r="Z110">
        <v>250000</v>
      </c>
      <c r="AA110">
        <v>1703</v>
      </c>
      <c r="AB110">
        <v>1382</v>
      </c>
      <c r="AC110">
        <v>8883</v>
      </c>
      <c r="AD110">
        <v>4674</v>
      </c>
      <c r="AE110">
        <v>12344</v>
      </c>
      <c r="AF110">
        <v>7</v>
      </c>
      <c r="AG110">
        <v>6</v>
      </c>
      <c r="AH110">
        <v>102.8803329467773</v>
      </c>
      <c r="AI110">
        <v>6</v>
      </c>
      <c r="AJ110">
        <v>212.75544738769531</v>
      </c>
      <c r="AK110" t="s">
        <v>54</v>
      </c>
      <c r="AL110" t="s">
        <v>54</v>
      </c>
      <c r="AM110" t="s">
        <v>3131</v>
      </c>
      <c r="AN110" s="148">
        <v>38718</v>
      </c>
      <c r="AO110" s="148">
        <v>38718</v>
      </c>
      <c r="AP110" t="s">
        <v>3015</v>
      </c>
      <c r="AQ110" t="s">
        <v>54</v>
      </c>
      <c r="AR110" t="s">
        <v>3132</v>
      </c>
      <c r="AS110" s="148">
        <v>40333</v>
      </c>
      <c r="AT110" t="s">
        <v>3132</v>
      </c>
      <c r="AW110" t="s">
        <v>53</v>
      </c>
      <c r="AZ110" t="s">
        <v>54</v>
      </c>
      <c r="BA110" t="s">
        <v>2425</v>
      </c>
      <c r="BB110" s="15" t="s">
        <v>676</v>
      </c>
    </row>
    <row r="111" spans="1:54" x14ac:dyDescent="0.25">
      <c r="A111">
        <v>106</v>
      </c>
      <c r="B111" t="s">
        <v>3133</v>
      </c>
      <c r="C111" t="s">
        <v>3134</v>
      </c>
      <c r="D111" t="s">
        <v>2626</v>
      </c>
      <c r="E111">
        <v>1</v>
      </c>
      <c r="F111" t="s">
        <v>2418</v>
      </c>
      <c r="G111" t="s">
        <v>2983</v>
      </c>
      <c r="H111" t="s">
        <v>2974</v>
      </c>
      <c r="I111" t="s">
        <v>3135</v>
      </c>
      <c r="J111" t="s">
        <v>3136</v>
      </c>
      <c r="K111" t="s">
        <v>3137</v>
      </c>
      <c r="L111" t="s">
        <v>2482</v>
      </c>
      <c r="M111">
        <v>2.6828773021697998</v>
      </c>
      <c r="N111" t="s">
        <v>54</v>
      </c>
      <c r="O111" t="s">
        <v>53</v>
      </c>
      <c r="P111" t="s">
        <v>53</v>
      </c>
      <c r="Q111" t="s">
        <v>53</v>
      </c>
      <c r="R111" t="s">
        <v>53</v>
      </c>
      <c r="S111" t="s">
        <v>3138</v>
      </c>
      <c r="T111" t="s">
        <v>3139</v>
      </c>
      <c r="U111" t="s">
        <v>53</v>
      </c>
      <c r="V111" t="s">
        <v>138</v>
      </c>
      <c r="W111">
        <v>250000</v>
      </c>
      <c r="X111" t="s">
        <v>53</v>
      </c>
      <c r="AA111">
        <v>3</v>
      </c>
      <c r="AB111">
        <v>1</v>
      </c>
      <c r="AC111">
        <v>21</v>
      </c>
      <c r="AD111">
        <v>7</v>
      </c>
      <c r="AE111">
        <v>26</v>
      </c>
      <c r="AF111">
        <v>0</v>
      </c>
      <c r="AG111">
        <v>0</v>
      </c>
      <c r="AH111">
        <v>3.5906299017369751E-3</v>
      </c>
      <c r="AI111">
        <v>0</v>
      </c>
      <c r="AJ111">
        <v>0.83247047662734985</v>
      </c>
      <c r="AK111" t="s">
        <v>54</v>
      </c>
      <c r="AL111" t="s">
        <v>54</v>
      </c>
      <c r="AM111" t="s">
        <v>2989</v>
      </c>
      <c r="AN111" s="148">
        <v>44378</v>
      </c>
      <c r="AO111" s="148">
        <v>44378</v>
      </c>
      <c r="AQ111" t="s">
        <v>54</v>
      </c>
      <c r="AR111" t="s">
        <v>2990</v>
      </c>
      <c r="AS111" s="148">
        <v>40771</v>
      </c>
      <c r="AT111" t="s">
        <v>2990</v>
      </c>
      <c r="AW111" t="s">
        <v>53</v>
      </c>
      <c r="AZ111" t="s">
        <v>54</v>
      </c>
      <c r="BA111" t="s">
        <v>2425</v>
      </c>
      <c r="BB111" s="15" t="s">
        <v>678</v>
      </c>
    </row>
    <row r="112" spans="1:54" x14ac:dyDescent="0.25">
      <c r="A112">
        <v>107</v>
      </c>
      <c r="B112" t="s">
        <v>3140</v>
      </c>
      <c r="C112" t="s">
        <v>3141</v>
      </c>
      <c r="D112" t="s">
        <v>3142</v>
      </c>
      <c r="E112">
        <v>1</v>
      </c>
      <c r="F112" t="s">
        <v>2418</v>
      </c>
      <c r="G112" t="s">
        <v>2993</v>
      </c>
      <c r="H112" t="s">
        <v>2671</v>
      </c>
      <c r="I112" t="s">
        <v>3087</v>
      </c>
      <c r="J112" t="s">
        <v>3143</v>
      </c>
      <c r="K112" t="s">
        <v>3144</v>
      </c>
      <c r="L112" t="s">
        <v>2482</v>
      </c>
      <c r="M112">
        <v>4.4648857116699219</v>
      </c>
      <c r="N112" t="s">
        <v>54</v>
      </c>
      <c r="O112" t="s">
        <v>53</v>
      </c>
      <c r="P112" t="s">
        <v>53</v>
      </c>
      <c r="Q112" t="s">
        <v>53</v>
      </c>
      <c r="R112" t="s">
        <v>53</v>
      </c>
      <c r="S112" t="s">
        <v>3145</v>
      </c>
      <c r="T112" t="s">
        <v>3146</v>
      </c>
      <c r="U112" t="s">
        <v>53</v>
      </c>
      <c r="V112" t="s">
        <v>138</v>
      </c>
      <c r="W112">
        <v>250000</v>
      </c>
      <c r="X112" t="s">
        <v>54</v>
      </c>
      <c r="Y112" t="s">
        <v>2993</v>
      </c>
      <c r="Z112">
        <v>62500</v>
      </c>
      <c r="AA112">
        <v>121</v>
      </c>
      <c r="AB112">
        <v>106</v>
      </c>
      <c r="AC112">
        <v>35</v>
      </c>
      <c r="AD112">
        <v>177</v>
      </c>
      <c r="AE112">
        <v>181</v>
      </c>
      <c r="AF112">
        <v>0</v>
      </c>
      <c r="AG112">
        <v>2</v>
      </c>
      <c r="AH112">
        <v>5.1717700958251953</v>
      </c>
      <c r="AI112">
        <v>2</v>
      </c>
      <c r="AJ112">
        <v>41.713836669921882</v>
      </c>
      <c r="AK112" t="s">
        <v>54</v>
      </c>
      <c r="AL112" t="s">
        <v>54</v>
      </c>
      <c r="AM112" t="s">
        <v>2992</v>
      </c>
      <c r="AN112" s="148">
        <v>32509</v>
      </c>
      <c r="AO112" s="148">
        <v>32509</v>
      </c>
      <c r="AQ112" t="s">
        <v>54</v>
      </c>
      <c r="AR112" t="s">
        <v>2992</v>
      </c>
      <c r="AS112" s="148">
        <v>40212</v>
      </c>
      <c r="AT112" t="s">
        <v>2992</v>
      </c>
      <c r="AW112" t="s">
        <v>53</v>
      </c>
      <c r="AZ112" t="s">
        <v>54</v>
      </c>
      <c r="BA112" t="s">
        <v>2425</v>
      </c>
      <c r="BB112" s="15" t="s">
        <v>678</v>
      </c>
    </row>
    <row r="113" spans="1:54" x14ac:dyDescent="0.25">
      <c r="A113">
        <v>108</v>
      </c>
      <c r="B113" t="s">
        <v>3147</v>
      </c>
      <c r="C113" t="s">
        <v>3148</v>
      </c>
      <c r="D113" t="s">
        <v>2487</v>
      </c>
      <c r="E113">
        <v>1</v>
      </c>
      <c r="F113" t="s">
        <v>2418</v>
      </c>
      <c r="G113" t="s">
        <v>3036</v>
      </c>
      <c r="H113" t="s">
        <v>2581</v>
      </c>
      <c r="I113" t="s">
        <v>3149</v>
      </c>
      <c r="J113" t="s">
        <v>3150</v>
      </c>
      <c r="K113" t="s">
        <v>3151</v>
      </c>
      <c r="L113" t="s">
        <v>2482</v>
      </c>
      <c r="M113">
        <v>0.44443124532699579</v>
      </c>
      <c r="N113" t="s">
        <v>53</v>
      </c>
      <c r="O113" t="s">
        <v>53</v>
      </c>
      <c r="P113" t="s">
        <v>53</v>
      </c>
      <c r="Q113" t="s">
        <v>53</v>
      </c>
      <c r="R113" t="s">
        <v>53</v>
      </c>
      <c r="S113" t="s">
        <v>3152</v>
      </c>
      <c r="T113" t="s">
        <v>3153</v>
      </c>
      <c r="U113" t="s">
        <v>53</v>
      </c>
      <c r="V113" t="s">
        <v>138</v>
      </c>
      <c r="W113">
        <v>250000</v>
      </c>
      <c r="X113" t="s">
        <v>53</v>
      </c>
      <c r="AA113">
        <v>0</v>
      </c>
      <c r="AB113">
        <v>0</v>
      </c>
      <c r="AC113">
        <v>0</v>
      </c>
      <c r="AD113">
        <v>0</v>
      </c>
      <c r="AE113">
        <v>0</v>
      </c>
      <c r="AF113">
        <v>0</v>
      </c>
      <c r="AG113">
        <v>0</v>
      </c>
      <c r="AH113">
        <v>0</v>
      </c>
      <c r="AI113">
        <v>0</v>
      </c>
      <c r="AJ113">
        <v>0</v>
      </c>
      <c r="AK113" t="s">
        <v>54</v>
      </c>
      <c r="AL113" t="s">
        <v>54</v>
      </c>
      <c r="AM113" t="s">
        <v>3040</v>
      </c>
      <c r="AN113" s="148">
        <v>43101</v>
      </c>
      <c r="AO113" s="148">
        <v>43101</v>
      </c>
      <c r="AQ113" t="s">
        <v>54</v>
      </c>
      <c r="AR113" t="s">
        <v>3041</v>
      </c>
      <c r="AS113" s="148">
        <v>44239</v>
      </c>
      <c r="AT113" t="s">
        <v>3041</v>
      </c>
      <c r="AW113" t="s">
        <v>53</v>
      </c>
      <c r="AZ113" t="s">
        <v>54</v>
      </c>
      <c r="BA113" t="s">
        <v>2425</v>
      </c>
      <c r="BB113" s="15" t="s">
        <v>678</v>
      </c>
    </row>
    <row r="114" spans="1:54" x14ac:dyDescent="0.25">
      <c r="A114">
        <v>109</v>
      </c>
      <c r="B114" t="s">
        <v>3154</v>
      </c>
      <c r="C114" t="s">
        <v>3155</v>
      </c>
      <c r="D114" t="s">
        <v>2599</v>
      </c>
      <c r="E114">
        <v>1</v>
      </c>
      <c r="F114" t="s">
        <v>2418</v>
      </c>
      <c r="G114" t="s">
        <v>3018</v>
      </c>
      <c r="H114" t="s">
        <v>3049</v>
      </c>
      <c r="I114" t="s">
        <v>3050</v>
      </c>
      <c r="J114" t="s">
        <v>3057</v>
      </c>
      <c r="K114" t="s">
        <v>3058</v>
      </c>
      <c r="L114" t="s">
        <v>2482</v>
      </c>
      <c r="M114">
        <v>1.379520535469055</v>
      </c>
      <c r="N114" t="s">
        <v>54</v>
      </c>
      <c r="O114" t="s">
        <v>53</v>
      </c>
      <c r="P114" t="s">
        <v>53</v>
      </c>
      <c r="Q114" t="s">
        <v>54</v>
      </c>
      <c r="R114" t="s">
        <v>53</v>
      </c>
      <c r="S114" t="s">
        <v>3156</v>
      </c>
      <c r="T114" t="s">
        <v>3060</v>
      </c>
      <c r="U114" t="s">
        <v>53</v>
      </c>
      <c r="V114" t="s">
        <v>138</v>
      </c>
      <c r="W114">
        <v>250000</v>
      </c>
      <c r="X114" t="s">
        <v>54</v>
      </c>
      <c r="Y114" t="s">
        <v>3157</v>
      </c>
      <c r="Z114">
        <v>37500</v>
      </c>
      <c r="AA114">
        <v>19</v>
      </c>
      <c r="AB114">
        <v>16</v>
      </c>
      <c r="AC114">
        <v>3</v>
      </c>
      <c r="AD114">
        <v>36</v>
      </c>
      <c r="AE114">
        <v>36</v>
      </c>
      <c r="AF114">
        <v>1</v>
      </c>
      <c r="AG114">
        <v>0</v>
      </c>
      <c r="AH114">
        <v>0.73951780796051025</v>
      </c>
      <c r="AI114">
        <v>0</v>
      </c>
      <c r="AJ114">
        <v>0.16217586398124689</v>
      </c>
      <c r="AK114" t="s">
        <v>54</v>
      </c>
      <c r="AL114" t="s">
        <v>54</v>
      </c>
      <c r="AM114" t="s">
        <v>3017</v>
      </c>
      <c r="AN114" s="148">
        <v>38718</v>
      </c>
      <c r="AO114" s="148">
        <v>38718</v>
      </c>
      <c r="AP114" t="s">
        <v>2946</v>
      </c>
      <c r="AQ114" t="s">
        <v>54</v>
      </c>
      <c r="AR114" t="s">
        <v>3017</v>
      </c>
      <c r="AS114" s="148">
        <v>40333</v>
      </c>
      <c r="AT114" t="s">
        <v>3017</v>
      </c>
      <c r="AW114" t="s">
        <v>53</v>
      </c>
      <c r="AZ114" t="s">
        <v>54</v>
      </c>
      <c r="BA114" t="s">
        <v>2425</v>
      </c>
      <c r="BB114" s="15" t="s">
        <v>678</v>
      </c>
    </row>
    <row r="115" spans="1:54" x14ac:dyDescent="0.25">
      <c r="A115">
        <v>110</v>
      </c>
      <c r="B115" t="s">
        <v>3158</v>
      </c>
      <c r="C115" t="s">
        <v>3159</v>
      </c>
      <c r="D115" t="s">
        <v>2599</v>
      </c>
      <c r="E115">
        <v>1</v>
      </c>
      <c r="F115" t="s">
        <v>2418</v>
      </c>
      <c r="G115" t="s">
        <v>2993</v>
      </c>
      <c r="H115" t="s">
        <v>3160</v>
      </c>
      <c r="I115" t="s">
        <v>3161</v>
      </c>
      <c r="J115" t="s">
        <v>3162</v>
      </c>
      <c r="K115" t="s">
        <v>3163</v>
      </c>
      <c r="L115" t="s">
        <v>2482</v>
      </c>
      <c r="M115">
        <v>2.8796505928039551</v>
      </c>
      <c r="N115" t="s">
        <v>54</v>
      </c>
      <c r="O115" t="s">
        <v>53</v>
      </c>
      <c r="P115" t="s">
        <v>53</v>
      </c>
      <c r="Q115" t="s">
        <v>53</v>
      </c>
      <c r="R115" t="s">
        <v>53</v>
      </c>
      <c r="S115" t="s">
        <v>3164</v>
      </c>
      <c r="T115" t="s">
        <v>3165</v>
      </c>
      <c r="U115" t="s">
        <v>53</v>
      </c>
      <c r="V115" t="s">
        <v>138</v>
      </c>
      <c r="W115">
        <v>250000</v>
      </c>
      <c r="X115" t="s">
        <v>53</v>
      </c>
      <c r="AA115">
        <v>7</v>
      </c>
      <c r="AB115">
        <v>2</v>
      </c>
      <c r="AC115">
        <v>11</v>
      </c>
      <c r="AD115">
        <v>7</v>
      </c>
      <c r="AE115">
        <v>17</v>
      </c>
      <c r="AF115">
        <v>0</v>
      </c>
      <c r="AG115">
        <v>0</v>
      </c>
      <c r="AH115">
        <v>1.732789039611816</v>
      </c>
      <c r="AI115">
        <v>0</v>
      </c>
      <c r="AJ115">
        <v>13.39342021942139</v>
      </c>
      <c r="AK115" t="s">
        <v>54</v>
      </c>
      <c r="AL115" t="s">
        <v>54</v>
      </c>
      <c r="AM115" t="s">
        <v>2992</v>
      </c>
      <c r="AN115" s="148">
        <v>32509</v>
      </c>
      <c r="AO115" s="148">
        <v>32509</v>
      </c>
      <c r="AQ115" t="s">
        <v>54</v>
      </c>
      <c r="AR115" t="s">
        <v>2992</v>
      </c>
      <c r="AS115" s="148">
        <v>40212</v>
      </c>
      <c r="AT115" t="s">
        <v>2992</v>
      </c>
      <c r="AW115" t="s">
        <v>53</v>
      </c>
      <c r="AZ115" t="s">
        <v>54</v>
      </c>
      <c r="BA115" t="s">
        <v>2425</v>
      </c>
      <c r="BB115" s="15" t="s">
        <v>676</v>
      </c>
    </row>
    <row r="116" spans="1:54" x14ac:dyDescent="0.25">
      <c r="A116">
        <v>111</v>
      </c>
      <c r="B116" t="s">
        <v>3166</v>
      </c>
      <c r="C116" t="s">
        <v>3167</v>
      </c>
      <c r="D116" t="s">
        <v>3168</v>
      </c>
      <c r="E116">
        <v>1</v>
      </c>
      <c r="F116" t="s">
        <v>2418</v>
      </c>
      <c r="G116" t="s">
        <v>3169</v>
      </c>
      <c r="H116" t="s">
        <v>2671</v>
      </c>
      <c r="I116" t="s">
        <v>3170</v>
      </c>
      <c r="J116" t="s">
        <v>3171</v>
      </c>
      <c r="K116" t="s">
        <v>3172</v>
      </c>
      <c r="L116" t="s">
        <v>2482</v>
      </c>
      <c r="M116">
        <v>0.6384122371673584</v>
      </c>
      <c r="N116" t="s">
        <v>54</v>
      </c>
      <c r="O116" t="s">
        <v>53</v>
      </c>
      <c r="P116" t="s">
        <v>53</v>
      </c>
      <c r="Q116" t="s">
        <v>54</v>
      </c>
      <c r="R116" t="s">
        <v>53</v>
      </c>
      <c r="S116" t="s">
        <v>3173</v>
      </c>
      <c r="T116" t="s">
        <v>3174</v>
      </c>
      <c r="U116" t="s">
        <v>53</v>
      </c>
      <c r="V116" t="s">
        <v>138</v>
      </c>
      <c r="W116">
        <v>250000</v>
      </c>
      <c r="X116" t="s">
        <v>53</v>
      </c>
      <c r="AA116">
        <v>22</v>
      </c>
      <c r="AB116">
        <v>19</v>
      </c>
      <c r="AC116">
        <v>9</v>
      </c>
      <c r="AD116">
        <v>39</v>
      </c>
      <c r="AE116">
        <v>39</v>
      </c>
      <c r="AF116">
        <v>0</v>
      </c>
      <c r="AG116">
        <v>0</v>
      </c>
      <c r="AH116">
        <v>5.394740030169487E-3</v>
      </c>
      <c r="AI116">
        <v>0</v>
      </c>
      <c r="AJ116">
        <v>3.1278660297393799</v>
      </c>
      <c r="AK116" t="s">
        <v>54</v>
      </c>
      <c r="AL116" t="s">
        <v>54</v>
      </c>
      <c r="AM116" t="s">
        <v>3175</v>
      </c>
      <c r="AN116" s="148">
        <v>43101</v>
      </c>
      <c r="AO116" s="148">
        <v>43101</v>
      </c>
      <c r="AP116" t="s">
        <v>2998</v>
      </c>
      <c r="AQ116" t="s">
        <v>54</v>
      </c>
      <c r="AR116" t="s">
        <v>3176</v>
      </c>
      <c r="AS116" s="148">
        <v>44239</v>
      </c>
      <c r="AT116" t="s">
        <v>3176</v>
      </c>
      <c r="AW116" t="s">
        <v>53</v>
      </c>
      <c r="AZ116" t="s">
        <v>54</v>
      </c>
      <c r="BA116" t="s">
        <v>2425</v>
      </c>
      <c r="BB116" s="15" t="s">
        <v>678</v>
      </c>
    </row>
    <row r="117" spans="1:54" x14ac:dyDescent="0.25">
      <c r="A117">
        <v>112</v>
      </c>
      <c r="B117" t="s">
        <v>3177</v>
      </c>
      <c r="C117" t="s">
        <v>3178</v>
      </c>
      <c r="D117" t="s">
        <v>3179</v>
      </c>
      <c r="E117">
        <v>1</v>
      </c>
      <c r="F117" t="s">
        <v>2418</v>
      </c>
      <c r="G117" t="s">
        <v>2993</v>
      </c>
      <c r="H117" t="s">
        <v>2608</v>
      </c>
      <c r="I117" t="s">
        <v>3180</v>
      </c>
      <c r="J117" t="s">
        <v>3181</v>
      </c>
      <c r="K117" t="s">
        <v>3182</v>
      </c>
      <c r="L117" t="s">
        <v>2482</v>
      </c>
      <c r="M117">
        <v>71.564376831054688</v>
      </c>
      <c r="N117" t="s">
        <v>54</v>
      </c>
      <c r="O117" t="s">
        <v>53</v>
      </c>
      <c r="P117" t="s">
        <v>53</v>
      </c>
      <c r="Q117" t="s">
        <v>54</v>
      </c>
      <c r="R117" t="s">
        <v>53</v>
      </c>
      <c r="S117" t="s">
        <v>3183</v>
      </c>
      <c r="T117" t="s">
        <v>3091</v>
      </c>
      <c r="U117" t="s">
        <v>53</v>
      </c>
      <c r="V117" t="s">
        <v>138</v>
      </c>
      <c r="W117">
        <v>1000000</v>
      </c>
      <c r="X117" t="s">
        <v>54</v>
      </c>
      <c r="Y117" t="s">
        <v>3184</v>
      </c>
      <c r="Z117">
        <v>1000000</v>
      </c>
      <c r="AA117">
        <v>3091</v>
      </c>
      <c r="AB117">
        <v>2262</v>
      </c>
      <c r="AC117">
        <v>9885</v>
      </c>
      <c r="AD117">
        <v>5982</v>
      </c>
      <c r="AE117">
        <v>14057</v>
      </c>
      <c r="AF117">
        <v>51</v>
      </c>
      <c r="AG117">
        <v>46</v>
      </c>
      <c r="AH117">
        <v>121.3750915527344</v>
      </c>
      <c r="AI117">
        <v>53</v>
      </c>
      <c r="AJ117">
        <v>43.707172393798828</v>
      </c>
      <c r="AK117" t="s">
        <v>54</v>
      </c>
      <c r="AL117" t="s">
        <v>54</v>
      </c>
      <c r="AM117" t="s">
        <v>2992</v>
      </c>
      <c r="AN117" s="148">
        <v>32509</v>
      </c>
      <c r="AO117" s="148">
        <v>32509</v>
      </c>
      <c r="AP117" t="s">
        <v>2998</v>
      </c>
      <c r="AQ117" t="s">
        <v>54</v>
      </c>
      <c r="AR117" t="s">
        <v>2992</v>
      </c>
      <c r="AS117" s="148">
        <v>40212</v>
      </c>
      <c r="AT117" t="s">
        <v>2992</v>
      </c>
      <c r="AW117" t="s">
        <v>53</v>
      </c>
      <c r="AZ117" t="s">
        <v>54</v>
      </c>
      <c r="BA117" t="s">
        <v>2425</v>
      </c>
      <c r="BB117" s="15" t="s">
        <v>678</v>
      </c>
    </row>
    <row r="118" spans="1:54" x14ac:dyDescent="0.25">
      <c r="A118">
        <v>113</v>
      </c>
      <c r="B118" t="s">
        <v>3185</v>
      </c>
      <c r="C118" t="s">
        <v>3186</v>
      </c>
      <c r="D118" t="s">
        <v>2761</v>
      </c>
      <c r="E118">
        <v>1</v>
      </c>
      <c r="F118" t="s">
        <v>2418</v>
      </c>
      <c r="G118" t="s">
        <v>3018</v>
      </c>
      <c r="H118" t="s">
        <v>3049</v>
      </c>
      <c r="I118" t="s">
        <v>3050</v>
      </c>
      <c r="J118" t="s">
        <v>3057</v>
      </c>
      <c r="K118" t="s">
        <v>3058</v>
      </c>
      <c r="L118" t="s">
        <v>2422</v>
      </c>
      <c r="M118">
        <v>0.52116644382476807</v>
      </c>
      <c r="N118" t="s">
        <v>54</v>
      </c>
      <c r="O118" t="s">
        <v>53</v>
      </c>
      <c r="P118" t="s">
        <v>53</v>
      </c>
      <c r="Q118" t="s">
        <v>54</v>
      </c>
      <c r="R118" t="s">
        <v>53</v>
      </c>
      <c r="S118" t="s">
        <v>3059</v>
      </c>
      <c r="T118" t="s">
        <v>3060</v>
      </c>
      <c r="U118" t="s">
        <v>53</v>
      </c>
      <c r="V118" t="s">
        <v>1973</v>
      </c>
      <c r="W118">
        <v>50000</v>
      </c>
      <c r="X118" t="s">
        <v>53</v>
      </c>
      <c r="AA118">
        <v>45</v>
      </c>
      <c r="AB118">
        <v>31</v>
      </c>
      <c r="AC118">
        <v>9</v>
      </c>
      <c r="AD118">
        <v>73</v>
      </c>
      <c r="AE118">
        <v>73</v>
      </c>
      <c r="AF118">
        <v>1</v>
      </c>
      <c r="AG118">
        <v>1</v>
      </c>
      <c r="AH118">
        <v>1.538977742195129</v>
      </c>
      <c r="AI118">
        <v>1</v>
      </c>
      <c r="AJ118">
        <v>0.45272547006607061</v>
      </c>
      <c r="AK118" t="s">
        <v>53</v>
      </c>
      <c r="AL118" t="s">
        <v>54</v>
      </c>
      <c r="AM118" t="s">
        <v>3017</v>
      </c>
      <c r="AN118" s="148">
        <v>38718</v>
      </c>
      <c r="AO118" s="148">
        <v>38718</v>
      </c>
      <c r="AP118" t="s">
        <v>2946</v>
      </c>
      <c r="AQ118" t="s">
        <v>54</v>
      </c>
      <c r="AR118" t="s">
        <v>3017</v>
      </c>
      <c r="AS118" s="148">
        <v>40333</v>
      </c>
      <c r="AT118" t="s">
        <v>3017</v>
      </c>
      <c r="AW118" t="s">
        <v>53</v>
      </c>
      <c r="AZ118" t="s">
        <v>54</v>
      </c>
      <c r="BA118" t="s">
        <v>2425</v>
      </c>
      <c r="BB118" s="15" t="s">
        <v>678</v>
      </c>
    </row>
    <row r="119" spans="1:54" x14ac:dyDescent="0.25">
      <c r="A119">
        <v>114</v>
      </c>
      <c r="B119" t="s">
        <v>3187</v>
      </c>
      <c r="C119" t="s">
        <v>3188</v>
      </c>
      <c r="D119" t="s">
        <v>2761</v>
      </c>
      <c r="E119">
        <v>1</v>
      </c>
      <c r="F119" t="s">
        <v>2418</v>
      </c>
      <c r="G119" t="s">
        <v>3025</v>
      </c>
      <c r="H119" t="s">
        <v>2730</v>
      </c>
      <c r="I119" t="s">
        <v>2731</v>
      </c>
      <c r="J119" t="s">
        <v>3108</v>
      </c>
      <c r="K119" t="s">
        <v>3109</v>
      </c>
      <c r="L119" t="s">
        <v>2422</v>
      </c>
      <c r="M119">
        <v>0.32999724149703979</v>
      </c>
      <c r="N119" t="s">
        <v>54</v>
      </c>
      <c r="O119" t="s">
        <v>53</v>
      </c>
      <c r="P119" t="s">
        <v>53</v>
      </c>
      <c r="Q119" t="s">
        <v>53</v>
      </c>
      <c r="R119" t="s">
        <v>53</v>
      </c>
      <c r="S119" t="s">
        <v>3110</v>
      </c>
      <c r="T119" t="s">
        <v>3111</v>
      </c>
      <c r="U119" t="s">
        <v>53</v>
      </c>
      <c r="V119" t="s">
        <v>1973</v>
      </c>
      <c r="W119">
        <v>50000</v>
      </c>
      <c r="X119" t="s">
        <v>53</v>
      </c>
      <c r="AA119">
        <v>18</v>
      </c>
      <c r="AB119">
        <v>13</v>
      </c>
      <c r="AC119">
        <v>5</v>
      </c>
      <c r="AD119">
        <v>28</v>
      </c>
      <c r="AE119">
        <v>28</v>
      </c>
      <c r="AF119">
        <v>0</v>
      </c>
      <c r="AG119">
        <v>0</v>
      </c>
      <c r="AH119">
        <v>0.70289880037307739</v>
      </c>
      <c r="AI119">
        <v>0</v>
      </c>
      <c r="AJ119">
        <v>0.83949416875839233</v>
      </c>
      <c r="AK119" t="s">
        <v>53</v>
      </c>
      <c r="AL119" t="s">
        <v>54</v>
      </c>
      <c r="AM119" t="s">
        <v>3024</v>
      </c>
      <c r="AN119" s="148">
        <v>39814</v>
      </c>
      <c r="AO119" s="148">
        <v>39814</v>
      </c>
      <c r="AQ119" t="s">
        <v>54</v>
      </c>
      <c r="AR119" t="s">
        <v>3024</v>
      </c>
      <c r="AS119" s="148">
        <v>40486</v>
      </c>
      <c r="AT119" t="s">
        <v>3024</v>
      </c>
      <c r="AW119" t="s">
        <v>53</v>
      </c>
      <c r="AZ119" t="s">
        <v>54</v>
      </c>
      <c r="BA119" t="s">
        <v>2425</v>
      </c>
      <c r="BB119" s="15" t="s">
        <v>678</v>
      </c>
    </row>
    <row r="120" spans="1:54" x14ac:dyDescent="0.25">
      <c r="A120">
        <v>115</v>
      </c>
      <c r="B120" t="s">
        <v>3189</v>
      </c>
      <c r="C120" t="s">
        <v>3190</v>
      </c>
      <c r="D120" t="s">
        <v>2761</v>
      </c>
      <c r="E120">
        <v>1</v>
      </c>
      <c r="F120" t="s">
        <v>2418</v>
      </c>
      <c r="G120" t="s">
        <v>3010</v>
      </c>
      <c r="H120" t="s">
        <v>3011</v>
      </c>
      <c r="I120" t="s">
        <v>3012</v>
      </c>
      <c r="L120" t="s">
        <v>2422</v>
      </c>
      <c r="M120">
        <v>922.830810546875</v>
      </c>
      <c r="N120" t="s">
        <v>54</v>
      </c>
      <c r="O120" t="s">
        <v>53</v>
      </c>
      <c r="P120" t="s">
        <v>53</v>
      </c>
      <c r="Q120" t="s">
        <v>54</v>
      </c>
      <c r="R120" t="s">
        <v>53</v>
      </c>
      <c r="S120" t="s">
        <v>3013</v>
      </c>
      <c r="T120" t="s">
        <v>3014</v>
      </c>
      <c r="U120" t="s">
        <v>53</v>
      </c>
      <c r="V120" t="s">
        <v>1973</v>
      </c>
      <c r="W120">
        <v>50000</v>
      </c>
      <c r="X120" t="s">
        <v>53</v>
      </c>
      <c r="AA120">
        <v>1083</v>
      </c>
      <c r="AB120">
        <v>812</v>
      </c>
      <c r="AC120">
        <v>7035</v>
      </c>
      <c r="AD120">
        <v>2492</v>
      </c>
      <c r="AE120">
        <v>8889</v>
      </c>
      <c r="AF120">
        <v>13</v>
      </c>
      <c r="AG120">
        <v>14</v>
      </c>
      <c r="AH120">
        <v>78.978248596191406</v>
      </c>
      <c r="AI120">
        <v>14</v>
      </c>
      <c r="AJ120">
        <v>53184.33203125</v>
      </c>
      <c r="AK120" t="s">
        <v>53</v>
      </c>
      <c r="AL120" t="s">
        <v>54</v>
      </c>
      <c r="AM120" t="s">
        <v>3009</v>
      </c>
      <c r="AN120" s="148">
        <v>38718</v>
      </c>
      <c r="AO120" s="148">
        <v>38718</v>
      </c>
      <c r="AP120" t="s">
        <v>3015</v>
      </c>
      <c r="AQ120" t="s">
        <v>54</v>
      </c>
      <c r="AR120" t="s">
        <v>3009</v>
      </c>
      <c r="AS120" s="148">
        <v>40333</v>
      </c>
      <c r="AT120" t="s">
        <v>3009</v>
      </c>
      <c r="AW120" t="s">
        <v>53</v>
      </c>
      <c r="AZ120" t="s">
        <v>54</v>
      </c>
      <c r="BA120" t="s">
        <v>2425</v>
      </c>
      <c r="BB120" s="15" t="s">
        <v>678</v>
      </c>
    </row>
    <row r="121" spans="1:54" x14ac:dyDescent="0.25">
      <c r="A121">
        <v>116</v>
      </c>
      <c r="B121" t="s">
        <v>3191</v>
      </c>
      <c r="C121" t="s">
        <v>3192</v>
      </c>
      <c r="D121" t="s">
        <v>3193</v>
      </c>
      <c r="E121">
        <v>1</v>
      </c>
      <c r="F121" t="s">
        <v>2418</v>
      </c>
      <c r="G121" t="s">
        <v>2983</v>
      </c>
      <c r="H121" t="s">
        <v>2974</v>
      </c>
      <c r="I121" t="s">
        <v>3194</v>
      </c>
      <c r="J121" t="s">
        <v>3195</v>
      </c>
      <c r="K121" t="s">
        <v>3196</v>
      </c>
      <c r="L121" t="s">
        <v>2789</v>
      </c>
      <c r="M121">
        <v>120.9720840454102</v>
      </c>
      <c r="N121" t="s">
        <v>54</v>
      </c>
      <c r="O121" t="s">
        <v>53</v>
      </c>
      <c r="P121" t="s">
        <v>53</v>
      </c>
      <c r="Q121" t="s">
        <v>53</v>
      </c>
      <c r="R121" t="s">
        <v>53</v>
      </c>
      <c r="S121" t="s">
        <v>3197</v>
      </c>
      <c r="T121" t="s">
        <v>3198</v>
      </c>
      <c r="U121" t="s">
        <v>53</v>
      </c>
      <c r="V121" t="s">
        <v>1973</v>
      </c>
      <c r="W121">
        <v>517000</v>
      </c>
      <c r="X121" t="s">
        <v>53</v>
      </c>
      <c r="AA121">
        <v>197</v>
      </c>
      <c r="AB121">
        <v>128</v>
      </c>
      <c r="AC121">
        <v>50</v>
      </c>
      <c r="AD121">
        <v>303</v>
      </c>
      <c r="AE121">
        <v>303</v>
      </c>
      <c r="AF121">
        <v>0</v>
      </c>
      <c r="AG121">
        <v>14</v>
      </c>
      <c r="AH121">
        <v>8.3720064163208008</v>
      </c>
      <c r="AI121">
        <v>34</v>
      </c>
      <c r="AJ121">
        <v>9501.72265625</v>
      </c>
      <c r="AK121" t="s">
        <v>54</v>
      </c>
      <c r="AL121" t="s">
        <v>54</v>
      </c>
      <c r="AM121" t="s">
        <v>2989</v>
      </c>
      <c r="AN121" s="148">
        <v>44378</v>
      </c>
      <c r="AO121" s="148">
        <v>44378</v>
      </c>
      <c r="AQ121" t="s">
        <v>54</v>
      </c>
      <c r="AR121" t="s">
        <v>2990</v>
      </c>
      <c r="AS121" s="148">
        <v>40771</v>
      </c>
      <c r="AT121" t="s">
        <v>2990</v>
      </c>
      <c r="AW121" t="s">
        <v>53</v>
      </c>
      <c r="AZ121" t="s">
        <v>54</v>
      </c>
      <c r="BA121" t="s">
        <v>2425</v>
      </c>
      <c r="BB121" s="15" t="s">
        <v>678</v>
      </c>
    </row>
    <row r="122" spans="1:54" x14ac:dyDescent="0.25">
      <c r="A122">
        <v>117</v>
      </c>
      <c r="B122" t="s">
        <v>3199</v>
      </c>
      <c r="C122" t="s">
        <v>3200</v>
      </c>
      <c r="D122" t="s">
        <v>3201</v>
      </c>
      <c r="E122">
        <v>1</v>
      </c>
      <c r="F122" t="s">
        <v>2418</v>
      </c>
      <c r="G122" t="s">
        <v>3010</v>
      </c>
      <c r="H122" t="s">
        <v>3202</v>
      </c>
      <c r="I122" t="s">
        <v>3203</v>
      </c>
      <c r="J122" t="s">
        <v>3204</v>
      </c>
      <c r="K122" t="s">
        <v>3205</v>
      </c>
      <c r="L122" t="s">
        <v>3206</v>
      </c>
      <c r="M122">
        <v>18.976884841918949</v>
      </c>
      <c r="N122" t="s">
        <v>54</v>
      </c>
      <c r="O122" t="s">
        <v>53</v>
      </c>
      <c r="P122" t="s">
        <v>53</v>
      </c>
      <c r="Q122" t="s">
        <v>53</v>
      </c>
      <c r="R122" t="s">
        <v>53</v>
      </c>
      <c r="S122" t="s">
        <v>3207</v>
      </c>
      <c r="T122" t="s">
        <v>3208</v>
      </c>
      <c r="U122" t="s">
        <v>53</v>
      </c>
      <c r="V122" t="s">
        <v>51</v>
      </c>
      <c r="W122">
        <v>250000</v>
      </c>
      <c r="X122" t="s">
        <v>54</v>
      </c>
      <c r="Y122" t="s">
        <v>3209</v>
      </c>
      <c r="Z122">
        <v>84375</v>
      </c>
      <c r="AA122">
        <v>198</v>
      </c>
      <c r="AB122">
        <v>151</v>
      </c>
      <c r="AC122">
        <v>102</v>
      </c>
      <c r="AD122">
        <v>351</v>
      </c>
      <c r="AE122">
        <v>395</v>
      </c>
      <c r="AF122">
        <v>1</v>
      </c>
      <c r="AG122">
        <v>0</v>
      </c>
      <c r="AH122">
        <v>10.72062873840332</v>
      </c>
      <c r="AI122">
        <v>0</v>
      </c>
      <c r="AJ122">
        <v>181.9886474609375</v>
      </c>
      <c r="AK122" t="s">
        <v>54</v>
      </c>
      <c r="AL122" t="s">
        <v>54</v>
      </c>
      <c r="AM122" t="s">
        <v>3210</v>
      </c>
      <c r="AN122" s="148">
        <v>38718</v>
      </c>
      <c r="AO122" s="148">
        <v>38718</v>
      </c>
      <c r="AQ122" t="s">
        <v>54</v>
      </c>
      <c r="AR122" t="s">
        <v>3009</v>
      </c>
      <c r="AS122" s="148">
        <v>40333</v>
      </c>
      <c r="AT122" t="s">
        <v>3009</v>
      </c>
      <c r="AW122" t="s">
        <v>53</v>
      </c>
      <c r="AZ122" t="s">
        <v>54</v>
      </c>
      <c r="BA122" t="s">
        <v>2425</v>
      </c>
      <c r="BB122" s="15" t="s">
        <v>678</v>
      </c>
    </row>
    <row r="123" spans="1:54" x14ac:dyDescent="0.25">
      <c r="A123">
        <v>118</v>
      </c>
      <c r="B123" t="s">
        <v>3211</v>
      </c>
      <c r="C123" t="s">
        <v>3212</v>
      </c>
      <c r="D123" t="s">
        <v>3213</v>
      </c>
      <c r="E123">
        <v>1</v>
      </c>
      <c r="F123" t="s">
        <v>2418</v>
      </c>
      <c r="G123" t="s">
        <v>3010</v>
      </c>
      <c r="H123" t="s">
        <v>3202</v>
      </c>
      <c r="I123" t="s">
        <v>3203</v>
      </c>
      <c r="J123" t="s">
        <v>3204</v>
      </c>
      <c r="K123" t="s">
        <v>3205</v>
      </c>
      <c r="L123" t="s">
        <v>3206</v>
      </c>
      <c r="M123">
        <v>18.978616714477539</v>
      </c>
      <c r="N123" t="s">
        <v>54</v>
      </c>
      <c r="O123" t="s">
        <v>53</v>
      </c>
      <c r="P123" t="s">
        <v>53</v>
      </c>
      <c r="Q123" t="s">
        <v>53</v>
      </c>
      <c r="R123" t="s">
        <v>53</v>
      </c>
      <c r="S123" t="s">
        <v>3207</v>
      </c>
      <c r="T123" t="s">
        <v>3208</v>
      </c>
      <c r="U123" t="s">
        <v>53</v>
      </c>
      <c r="V123" t="s">
        <v>51</v>
      </c>
      <c r="W123">
        <v>250000</v>
      </c>
      <c r="X123" t="s">
        <v>54</v>
      </c>
      <c r="Y123" t="s">
        <v>3209</v>
      </c>
      <c r="Z123">
        <v>112500</v>
      </c>
      <c r="AA123">
        <v>198</v>
      </c>
      <c r="AB123">
        <v>151</v>
      </c>
      <c r="AC123">
        <v>102</v>
      </c>
      <c r="AD123">
        <v>351</v>
      </c>
      <c r="AE123">
        <v>395</v>
      </c>
      <c r="AF123">
        <v>1</v>
      </c>
      <c r="AG123">
        <v>0</v>
      </c>
      <c r="AH123">
        <v>10.72062873840332</v>
      </c>
      <c r="AI123">
        <v>0</v>
      </c>
      <c r="AJ123">
        <v>181.9886474609375</v>
      </c>
      <c r="AK123" t="s">
        <v>54</v>
      </c>
      <c r="AL123" t="s">
        <v>54</v>
      </c>
      <c r="AM123" t="s">
        <v>3210</v>
      </c>
      <c r="AN123" s="148">
        <v>38718</v>
      </c>
      <c r="AO123" s="148">
        <v>38718</v>
      </c>
      <c r="AQ123" t="s">
        <v>54</v>
      </c>
      <c r="AR123" t="s">
        <v>3009</v>
      </c>
      <c r="AS123" s="148">
        <v>40333</v>
      </c>
      <c r="AT123" t="s">
        <v>3009</v>
      </c>
      <c r="AW123" t="s">
        <v>53</v>
      </c>
      <c r="AZ123" t="s">
        <v>54</v>
      </c>
      <c r="BA123" t="s">
        <v>2425</v>
      </c>
      <c r="BB123" s="15" t="s">
        <v>678</v>
      </c>
    </row>
    <row r="124" spans="1:54" x14ac:dyDescent="0.25">
      <c r="A124">
        <v>119</v>
      </c>
      <c r="B124" t="s">
        <v>3214</v>
      </c>
      <c r="C124" t="s">
        <v>3215</v>
      </c>
      <c r="D124" t="s">
        <v>3216</v>
      </c>
      <c r="E124">
        <v>1</v>
      </c>
      <c r="F124" t="s">
        <v>2418</v>
      </c>
      <c r="G124" t="s">
        <v>3018</v>
      </c>
      <c r="H124" t="s">
        <v>3049</v>
      </c>
      <c r="I124" t="s">
        <v>3050</v>
      </c>
      <c r="J124" t="s">
        <v>3217</v>
      </c>
      <c r="K124" t="s">
        <v>3218</v>
      </c>
      <c r="L124" t="s">
        <v>3206</v>
      </c>
      <c r="M124">
        <v>10.81752872467041</v>
      </c>
      <c r="N124" t="s">
        <v>54</v>
      </c>
      <c r="O124" t="s">
        <v>53</v>
      </c>
      <c r="P124" t="s">
        <v>53</v>
      </c>
      <c r="Q124" t="s">
        <v>54</v>
      </c>
      <c r="R124" t="s">
        <v>53</v>
      </c>
      <c r="S124" t="s">
        <v>3128</v>
      </c>
      <c r="T124" t="s">
        <v>3219</v>
      </c>
      <c r="U124" t="s">
        <v>53</v>
      </c>
      <c r="V124" t="s">
        <v>51</v>
      </c>
      <c r="W124">
        <v>250000</v>
      </c>
      <c r="X124" t="s">
        <v>54</v>
      </c>
      <c r="Y124" t="s">
        <v>3130</v>
      </c>
      <c r="Z124">
        <v>109000</v>
      </c>
      <c r="AA124">
        <v>14</v>
      </c>
      <c r="AB124">
        <v>8</v>
      </c>
      <c r="AC124">
        <v>19</v>
      </c>
      <c r="AD124">
        <v>22</v>
      </c>
      <c r="AE124">
        <v>35</v>
      </c>
      <c r="AF124">
        <v>0</v>
      </c>
      <c r="AG124">
        <v>0</v>
      </c>
      <c r="AH124">
        <v>4.2094821929931641</v>
      </c>
      <c r="AI124">
        <v>0</v>
      </c>
      <c r="AJ124">
        <v>223.88591003417969</v>
      </c>
      <c r="AK124" t="s">
        <v>54</v>
      </c>
      <c r="AL124" t="s">
        <v>54</v>
      </c>
      <c r="AM124" t="s">
        <v>3220</v>
      </c>
      <c r="AN124" s="148">
        <v>38718</v>
      </c>
      <c r="AO124" s="148">
        <v>38718</v>
      </c>
      <c r="AP124" t="s">
        <v>3015</v>
      </c>
      <c r="AQ124" t="s">
        <v>54</v>
      </c>
      <c r="AR124" t="s">
        <v>3017</v>
      </c>
      <c r="AS124" s="148">
        <v>40333</v>
      </c>
      <c r="AT124" t="s">
        <v>3017</v>
      </c>
      <c r="AW124" t="s">
        <v>53</v>
      </c>
      <c r="AZ124" t="s">
        <v>54</v>
      </c>
      <c r="BA124" t="s">
        <v>2425</v>
      </c>
      <c r="BB124" s="15" t="s">
        <v>678</v>
      </c>
    </row>
    <row r="125" spans="1:54" x14ac:dyDescent="0.25">
      <c r="A125">
        <v>120</v>
      </c>
      <c r="B125" t="s">
        <v>3221</v>
      </c>
      <c r="C125" t="s">
        <v>3222</v>
      </c>
      <c r="D125" t="s">
        <v>3223</v>
      </c>
      <c r="E125">
        <v>1</v>
      </c>
      <c r="F125" t="s">
        <v>2418</v>
      </c>
      <c r="G125" t="s">
        <v>3010</v>
      </c>
      <c r="H125" t="s">
        <v>3202</v>
      </c>
      <c r="I125" t="s">
        <v>3203</v>
      </c>
      <c r="J125" t="s">
        <v>3204</v>
      </c>
      <c r="K125" t="s">
        <v>3205</v>
      </c>
      <c r="L125" t="s">
        <v>3206</v>
      </c>
      <c r="M125">
        <v>18.978616714477539</v>
      </c>
      <c r="N125" t="s">
        <v>54</v>
      </c>
      <c r="O125" t="s">
        <v>53</v>
      </c>
      <c r="P125" t="s">
        <v>53</v>
      </c>
      <c r="Q125" t="s">
        <v>53</v>
      </c>
      <c r="R125" t="s">
        <v>53</v>
      </c>
      <c r="S125" t="s">
        <v>3207</v>
      </c>
      <c r="T125" t="s">
        <v>3208</v>
      </c>
      <c r="U125" t="s">
        <v>53</v>
      </c>
      <c r="V125" t="s">
        <v>51</v>
      </c>
      <c r="W125">
        <v>250000</v>
      </c>
      <c r="X125" t="s">
        <v>54</v>
      </c>
      <c r="Y125" t="s">
        <v>3209</v>
      </c>
      <c r="Z125">
        <v>618250</v>
      </c>
      <c r="AA125">
        <v>198</v>
      </c>
      <c r="AB125">
        <v>151</v>
      </c>
      <c r="AC125">
        <v>102</v>
      </c>
      <c r="AD125">
        <v>351</v>
      </c>
      <c r="AE125">
        <v>395</v>
      </c>
      <c r="AF125">
        <v>1</v>
      </c>
      <c r="AG125">
        <v>0</v>
      </c>
      <c r="AH125">
        <v>10.72062873840332</v>
      </c>
      <c r="AI125">
        <v>0</v>
      </c>
      <c r="AJ125">
        <v>181.9886474609375</v>
      </c>
      <c r="AK125" t="s">
        <v>54</v>
      </c>
      <c r="AL125" t="s">
        <v>54</v>
      </c>
      <c r="AM125" t="s">
        <v>3210</v>
      </c>
      <c r="AN125" s="148">
        <v>38718</v>
      </c>
      <c r="AO125" s="148">
        <v>38718</v>
      </c>
      <c r="AQ125" t="s">
        <v>54</v>
      </c>
      <c r="AR125" t="s">
        <v>3009</v>
      </c>
      <c r="AS125" s="148">
        <v>40333</v>
      </c>
      <c r="AT125" t="s">
        <v>3009</v>
      </c>
      <c r="AW125" t="s">
        <v>53</v>
      </c>
      <c r="AZ125" t="s">
        <v>54</v>
      </c>
      <c r="BA125" t="s">
        <v>2425</v>
      </c>
      <c r="BB125" s="15" t="s">
        <v>678</v>
      </c>
    </row>
    <row r="126" spans="1:54" x14ac:dyDescent="0.25">
      <c r="A126">
        <v>121</v>
      </c>
      <c r="B126" t="s">
        <v>3224</v>
      </c>
      <c r="C126" t="s">
        <v>3225</v>
      </c>
      <c r="D126" t="s">
        <v>3226</v>
      </c>
      <c r="E126">
        <v>1</v>
      </c>
      <c r="F126" t="s">
        <v>2418</v>
      </c>
      <c r="G126" t="s">
        <v>3010</v>
      </c>
      <c r="H126" t="s">
        <v>3202</v>
      </c>
      <c r="I126" t="s">
        <v>3227</v>
      </c>
      <c r="J126" t="s">
        <v>3228</v>
      </c>
      <c r="K126" t="s">
        <v>3229</v>
      </c>
      <c r="L126" t="s">
        <v>3206</v>
      </c>
      <c r="M126">
        <v>10.153573989868161</v>
      </c>
      <c r="N126" t="s">
        <v>54</v>
      </c>
      <c r="O126" t="s">
        <v>53</v>
      </c>
      <c r="P126" t="s">
        <v>53</v>
      </c>
      <c r="Q126" t="s">
        <v>53</v>
      </c>
      <c r="R126" t="s">
        <v>53</v>
      </c>
      <c r="S126" t="s">
        <v>3207</v>
      </c>
      <c r="T126" t="s">
        <v>3208</v>
      </c>
      <c r="U126" t="s">
        <v>53</v>
      </c>
      <c r="V126" t="s">
        <v>51</v>
      </c>
      <c r="W126">
        <v>250000</v>
      </c>
      <c r="X126" t="s">
        <v>54</v>
      </c>
      <c r="Y126" t="s">
        <v>3209</v>
      </c>
      <c r="Z126">
        <v>141000</v>
      </c>
      <c r="AA126">
        <v>69</v>
      </c>
      <c r="AB126">
        <v>60</v>
      </c>
      <c r="AC126">
        <v>43</v>
      </c>
      <c r="AD126">
        <v>159</v>
      </c>
      <c r="AE126">
        <v>165</v>
      </c>
      <c r="AF126">
        <v>0</v>
      </c>
      <c r="AG126">
        <v>2</v>
      </c>
      <c r="AH126">
        <v>3.3075048923492432</v>
      </c>
      <c r="AI126">
        <v>2</v>
      </c>
      <c r="AJ126">
        <v>123.9034042358398</v>
      </c>
      <c r="AK126" t="s">
        <v>54</v>
      </c>
      <c r="AL126" t="s">
        <v>54</v>
      </c>
      <c r="AM126" t="s">
        <v>3210</v>
      </c>
      <c r="AN126" s="148">
        <v>38718</v>
      </c>
      <c r="AO126" s="148">
        <v>38718</v>
      </c>
      <c r="AP126" t="s">
        <v>2946</v>
      </c>
      <c r="AQ126" t="s">
        <v>54</v>
      </c>
      <c r="AR126" t="s">
        <v>3009</v>
      </c>
      <c r="AS126" s="148">
        <v>40333</v>
      </c>
      <c r="AT126" t="s">
        <v>3009</v>
      </c>
      <c r="AW126" t="s">
        <v>53</v>
      </c>
      <c r="AZ126" t="s">
        <v>54</v>
      </c>
      <c r="BA126" t="s">
        <v>2425</v>
      </c>
      <c r="BB126" s="15" t="s">
        <v>678</v>
      </c>
    </row>
    <row r="127" spans="1:54" x14ac:dyDescent="0.25">
      <c r="A127">
        <v>122</v>
      </c>
      <c r="B127" t="s">
        <v>3230</v>
      </c>
      <c r="C127" t="s">
        <v>3231</v>
      </c>
      <c r="D127" t="s">
        <v>3232</v>
      </c>
      <c r="E127">
        <v>1</v>
      </c>
      <c r="F127" t="s">
        <v>2418</v>
      </c>
      <c r="G127" t="s">
        <v>3010</v>
      </c>
      <c r="H127" t="s">
        <v>3202</v>
      </c>
      <c r="I127" t="s">
        <v>3227</v>
      </c>
      <c r="J127" t="s">
        <v>3228</v>
      </c>
      <c r="K127" t="s">
        <v>3233</v>
      </c>
      <c r="L127" t="s">
        <v>3206</v>
      </c>
      <c r="M127">
        <v>11.11227321624756</v>
      </c>
      <c r="N127" t="s">
        <v>54</v>
      </c>
      <c r="O127" t="s">
        <v>53</v>
      </c>
      <c r="P127" t="s">
        <v>53</v>
      </c>
      <c r="Q127" t="s">
        <v>53</v>
      </c>
      <c r="R127" t="s">
        <v>53</v>
      </c>
      <c r="S127" t="s">
        <v>3207</v>
      </c>
      <c r="T127" t="s">
        <v>3208</v>
      </c>
      <c r="U127" t="s">
        <v>53</v>
      </c>
      <c r="V127" t="s">
        <v>51</v>
      </c>
      <c r="W127">
        <v>250000</v>
      </c>
      <c r="X127" t="s">
        <v>54</v>
      </c>
      <c r="Y127" t="s">
        <v>3209</v>
      </c>
      <c r="Z127">
        <v>142750</v>
      </c>
      <c r="AA127">
        <v>48</v>
      </c>
      <c r="AB127">
        <v>37</v>
      </c>
      <c r="AC127">
        <v>1864</v>
      </c>
      <c r="AD127">
        <v>190</v>
      </c>
      <c r="AE127">
        <v>1974</v>
      </c>
      <c r="AF127">
        <v>1</v>
      </c>
      <c r="AG127">
        <v>2</v>
      </c>
      <c r="AH127">
        <v>4.9523806571960449</v>
      </c>
      <c r="AI127">
        <v>2</v>
      </c>
      <c r="AJ127">
        <v>187.62370300292969</v>
      </c>
      <c r="AK127" t="s">
        <v>54</v>
      </c>
      <c r="AL127" t="s">
        <v>54</v>
      </c>
      <c r="AM127" t="s">
        <v>3210</v>
      </c>
      <c r="AN127" s="148">
        <v>38718</v>
      </c>
      <c r="AO127" s="148">
        <v>38718</v>
      </c>
      <c r="AP127" t="s">
        <v>2946</v>
      </c>
      <c r="AQ127" t="s">
        <v>54</v>
      </c>
      <c r="AR127" t="s">
        <v>3009</v>
      </c>
      <c r="AS127" s="148">
        <v>40333</v>
      </c>
      <c r="AT127" t="s">
        <v>3009</v>
      </c>
      <c r="AW127" t="s">
        <v>53</v>
      </c>
      <c r="AZ127" t="s">
        <v>54</v>
      </c>
      <c r="BA127" t="s">
        <v>2425</v>
      </c>
      <c r="BB127" s="15" t="s">
        <v>678</v>
      </c>
    </row>
    <row r="128" spans="1:54" x14ac:dyDescent="0.25">
      <c r="A128">
        <v>123</v>
      </c>
      <c r="B128" t="s">
        <v>3234</v>
      </c>
      <c r="C128" t="s">
        <v>3235</v>
      </c>
      <c r="D128" t="s">
        <v>3236</v>
      </c>
      <c r="E128">
        <v>1</v>
      </c>
      <c r="F128" t="s">
        <v>2418</v>
      </c>
      <c r="G128" t="s">
        <v>3010</v>
      </c>
      <c r="H128" t="s">
        <v>3202</v>
      </c>
      <c r="I128" t="s">
        <v>3227</v>
      </c>
      <c r="J128" t="s">
        <v>3228</v>
      </c>
      <c r="K128" t="s">
        <v>3233</v>
      </c>
      <c r="L128" t="s">
        <v>3206</v>
      </c>
      <c r="M128">
        <v>11.11227321624756</v>
      </c>
      <c r="N128" t="s">
        <v>54</v>
      </c>
      <c r="O128" t="s">
        <v>53</v>
      </c>
      <c r="P128" t="s">
        <v>53</v>
      </c>
      <c r="Q128" t="s">
        <v>53</v>
      </c>
      <c r="R128" t="s">
        <v>53</v>
      </c>
      <c r="S128" t="s">
        <v>3207</v>
      </c>
      <c r="T128" t="s">
        <v>3208</v>
      </c>
      <c r="U128" t="s">
        <v>53</v>
      </c>
      <c r="V128" t="s">
        <v>51</v>
      </c>
      <c r="W128">
        <v>250000</v>
      </c>
      <c r="X128" t="s">
        <v>54</v>
      </c>
      <c r="Y128" t="s">
        <v>3209</v>
      </c>
      <c r="Z128">
        <v>87500</v>
      </c>
      <c r="AA128">
        <v>48</v>
      </c>
      <c r="AB128">
        <v>37</v>
      </c>
      <c r="AC128">
        <v>1864</v>
      </c>
      <c r="AD128">
        <v>190</v>
      </c>
      <c r="AE128">
        <v>1974</v>
      </c>
      <c r="AF128">
        <v>1</v>
      </c>
      <c r="AG128">
        <v>2</v>
      </c>
      <c r="AH128">
        <v>4.9523806571960449</v>
      </c>
      <c r="AI128">
        <v>2</v>
      </c>
      <c r="AJ128">
        <v>187.62370300292969</v>
      </c>
      <c r="AK128" t="s">
        <v>54</v>
      </c>
      <c r="AL128" t="s">
        <v>54</v>
      </c>
      <c r="AM128" t="s">
        <v>3210</v>
      </c>
      <c r="AN128" s="148">
        <v>38718</v>
      </c>
      <c r="AO128" s="148">
        <v>38718</v>
      </c>
      <c r="AP128" t="s">
        <v>2946</v>
      </c>
      <c r="AQ128" t="s">
        <v>54</v>
      </c>
      <c r="AR128" t="s">
        <v>3009</v>
      </c>
      <c r="AS128" s="148">
        <v>40333</v>
      </c>
      <c r="AT128" t="s">
        <v>3009</v>
      </c>
      <c r="AW128" t="s">
        <v>53</v>
      </c>
      <c r="AZ128" t="s">
        <v>54</v>
      </c>
      <c r="BA128" t="s">
        <v>2425</v>
      </c>
      <c r="BB128" s="15" t="s">
        <v>678</v>
      </c>
    </row>
    <row r="129" spans="1:54" x14ac:dyDescent="0.25">
      <c r="A129">
        <v>124</v>
      </c>
      <c r="B129" t="s">
        <v>3237</v>
      </c>
      <c r="C129" t="s">
        <v>3238</v>
      </c>
      <c r="D129" t="s">
        <v>3239</v>
      </c>
      <c r="E129">
        <v>1</v>
      </c>
      <c r="F129" t="s">
        <v>2418</v>
      </c>
      <c r="G129" t="s">
        <v>3010</v>
      </c>
      <c r="H129" t="s">
        <v>3202</v>
      </c>
      <c r="I129" t="s">
        <v>3203</v>
      </c>
      <c r="J129" t="s">
        <v>3204</v>
      </c>
      <c r="K129" t="s">
        <v>3205</v>
      </c>
      <c r="L129" t="s">
        <v>3206</v>
      </c>
      <c r="M129">
        <v>18.978616714477539</v>
      </c>
      <c r="N129" t="s">
        <v>54</v>
      </c>
      <c r="O129" t="s">
        <v>53</v>
      </c>
      <c r="P129" t="s">
        <v>53</v>
      </c>
      <c r="Q129" t="s">
        <v>53</v>
      </c>
      <c r="R129" t="s">
        <v>53</v>
      </c>
      <c r="S129" t="s">
        <v>3207</v>
      </c>
      <c r="T129" t="s">
        <v>3208</v>
      </c>
      <c r="U129" t="s">
        <v>53</v>
      </c>
      <c r="V129" t="s">
        <v>51</v>
      </c>
      <c r="W129">
        <v>250000</v>
      </c>
      <c r="X129" t="s">
        <v>54</v>
      </c>
      <c r="Y129" t="s">
        <v>3209</v>
      </c>
      <c r="Z129">
        <v>396000</v>
      </c>
      <c r="AA129">
        <v>198</v>
      </c>
      <c r="AB129">
        <v>151</v>
      </c>
      <c r="AC129">
        <v>102</v>
      </c>
      <c r="AD129">
        <v>351</v>
      </c>
      <c r="AE129">
        <v>395</v>
      </c>
      <c r="AF129">
        <v>1</v>
      </c>
      <c r="AG129">
        <v>0</v>
      </c>
      <c r="AH129">
        <v>10.72062873840332</v>
      </c>
      <c r="AI129">
        <v>0</v>
      </c>
      <c r="AJ129">
        <v>181.9886474609375</v>
      </c>
      <c r="AK129" t="s">
        <v>54</v>
      </c>
      <c r="AL129" t="s">
        <v>54</v>
      </c>
      <c r="AM129" t="s">
        <v>3210</v>
      </c>
      <c r="AN129" s="148">
        <v>38718</v>
      </c>
      <c r="AO129" s="148">
        <v>38718</v>
      </c>
      <c r="AQ129" t="s">
        <v>54</v>
      </c>
      <c r="AR129" t="s">
        <v>3009</v>
      </c>
      <c r="AS129" s="148">
        <v>40333</v>
      </c>
      <c r="AT129" t="s">
        <v>3009</v>
      </c>
      <c r="AW129" t="s">
        <v>53</v>
      </c>
      <c r="AZ129" t="s">
        <v>54</v>
      </c>
      <c r="BA129" t="s">
        <v>2425</v>
      </c>
      <c r="BB129" s="15" t="s">
        <v>678</v>
      </c>
    </row>
    <row r="130" spans="1:54" x14ac:dyDescent="0.25">
      <c r="A130">
        <v>125</v>
      </c>
      <c r="B130" t="s">
        <v>3240</v>
      </c>
      <c r="C130" t="s">
        <v>3241</v>
      </c>
      <c r="D130" t="s">
        <v>3242</v>
      </c>
      <c r="E130">
        <v>1</v>
      </c>
      <c r="F130" t="s">
        <v>2418</v>
      </c>
      <c r="G130" t="s">
        <v>3010</v>
      </c>
      <c r="H130" t="s">
        <v>3202</v>
      </c>
      <c r="I130" t="s">
        <v>3203</v>
      </c>
      <c r="J130" t="s">
        <v>3204</v>
      </c>
      <c r="K130" t="s">
        <v>3205</v>
      </c>
      <c r="L130" t="s">
        <v>3206</v>
      </c>
      <c r="M130">
        <v>18.978616714477539</v>
      </c>
      <c r="N130" t="s">
        <v>54</v>
      </c>
      <c r="O130" t="s">
        <v>53</v>
      </c>
      <c r="P130" t="s">
        <v>53</v>
      </c>
      <c r="Q130" t="s">
        <v>53</v>
      </c>
      <c r="R130" t="s">
        <v>53</v>
      </c>
      <c r="S130" t="s">
        <v>3207</v>
      </c>
      <c r="T130" t="s">
        <v>3208</v>
      </c>
      <c r="U130" t="s">
        <v>53</v>
      </c>
      <c r="V130" t="s">
        <v>51</v>
      </c>
      <c r="W130">
        <v>250000</v>
      </c>
      <c r="X130" t="s">
        <v>54</v>
      </c>
      <c r="Y130" t="s">
        <v>3209</v>
      </c>
      <c r="Z130">
        <v>588000</v>
      </c>
      <c r="AA130">
        <v>198</v>
      </c>
      <c r="AB130">
        <v>151</v>
      </c>
      <c r="AC130">
        <v>102</v>
      </c>
      <c r="AD130">
        <v>351</v>
      </c>
      <c r="AE130">
        <v>395</v>
      </c>
      <c r="AF130">
        <v>1</v>
      </c>
      <c r="AG130">
        <v>0</v>
      </c>
      <c r="AH130">
        <v>10.72062873840332</v>
      </c>
      <c r="AI130">
        <v>0</v>
      </c>
      <c r="AJ130">
        <v>181.9886474609375</v>
      </c>
      <c r="AK130" t="s">
        <v>54</v>
      </c>
      <c r="AL130" t="s">
        <v>54</v>
      </c>
      <c r="AM130" t="s">
        <v>3210</v>
      </c>
      <c r="AN130" s="148">
        <v>38718</v>
      </c>
      <c r="AO130" s="148">
        <v>38718</v>
      </c>
      <c r="AQ130" t="s">
        <v>54</v>
      </c>
      <c r="AR130" t="s">
        <v>3009</v>
      </c>
      <c r="AS130" s="148">
        <v>40333</v>
      </c>
      <c r="AT130" t="s">
        <v>3009</v>
      </c>
      <c r="AW130" t="s">
        <v>53</v>
      </c>
      <c r="AZ130" t="s">
        <v>54</v>
      </c>
      <c r="BA130" t="s">
        <v>2425</v>
      </c>
      <c r="BB130" s="15" t="s">
        <v>678</v>
      </c>
    </row>
    <row r="131" spans="1:54" x14ac:dyDescent="0.25">
      <c r="A131">
        <v>126</v>
      </c>
      <c r="B131" t="s">
        <v>3243</v>
      </c>
      <c r="C131" t="s">
        <v>3244</v>
      </c>
      <c r="D131" t="s">
        <v>3245</v>
      </c>
      <c r="E131">
        <v>1</v>
      </c>
      <c r="F131" t="s">
        <v>2418</v>
      </c>
      <c r="G131" t="s">
        <v>3010</v>
      </c>
      <c r="H131" t="s">
        <v>3202</v>
      </c>
      <c r="I131" t="s">
        <v>3203</v>
      </c>
      <c r="J131" t="s">
        <v>3204</v>
      </c>
      <c r="K131" t="s">
        <v>3205</v>
      </c>
      <c r="L131" t="s">
        <v>3206</v>
      </c>
      <c r="M131">
        <v>18.978616714477539</v>
      </c>
      <c r="N131" t="s">
        <v>54</v>
      </c>
      <c r="O131" t="s">
        <v>53</v>
      </c>
      <c r="P131" t="s">
        <v>53</v>
      </c>
      <c r="Q131" t="s">
        <v>53</v>
      </c>
      <c r="R131" t="s">
        <v>53</v>
      </c>
      <c r="S131" t="s">
        <v>3207</v>
      </c>
      <c r="T131" t="s">
        <v>3208</v>
      </c>
      <c r="U131" t="s">
        <v>53</v>
      </c>
      <c r="V131" t="s">
        <v>51</v>
      </c>
      <c r="W131">
        <v>250000</v>
      </c>
      <c r="X131" t="s">
        <v>54</v>
      </c>
      <c r="Y131" t="s">
        <v>3209</v>
      </c>
      <c r="Z131">
        <v>201500</v>
      </c>
      <c r="AA131">
        <v>198</v>
      </c>
      <c r="AB131">
        <v>151</v>
      </c>
      <c r="AC131">
        <v>102</v>
      </c>
      <c r="AD131">
        <v>351</v>
      </c>
      <c r="AE131">
        <v>395</v>
      </c>
      <c r="AF131">
        <v>1</v>
      </c>
      <c r="AG131">
        <v>0</v>
      </c>
      <c r="AH131">
        <v>10.72062873840332</v>
      </c>
      <c r="AI131">
        <v>0</v>
      </c>
      <c r="AJ131">
        <v>181.9886474609375</v>
      </c>
      <c r="AK131" t="s">
        <v>54</v>
      </c>
      <c r="AL131" t="s">
        <v>54</v>
      </c>
      <c r="AM131" t="s">
        <v>3210</v>
      </c>
      <c r="AN131" s="148">
        <v>38718</v>
      </c>
      <c r="AO131" s="148">
        <v>38718</v>
      </c>
      <c r="AQ131" t="s">
        <v>54</v>
      </c>
      <c r="AR131" t="s">
        <v>3009</v>
      </c>
      <c r="AS131" s="148">
        <v>40333</v>
      </c>
      <c r="AT131" t="s">
        <v>3009</v>
      </c>
      <c r="AW131" t="s">
        <v>53</v>
      </c>
      <c r="AZ131" t="s">
        <v>54</v>
      </c>
      <c r="BA131" t="s">
        <v>2425</v>
      </c>
      <c r="BB131" s="15" t="s">
        <v>678</v>
      </c>
    </row>
    <row r="132" spans="1:54" x14ac:dyDescent="0.25">
      <c r="A132">
        <v>127</v>
      </c>
      <c r="B132" t="s">
        <v>3246</v>
      </c>
      <c r="C132" t="s">
        <v>3247</v>
      </c>
      <c r="D132" t="s">
        <v>3248</v>
      </c>
      <c r="E132">
        <v>1</v>
      </c>
      <c r="F132" t="s">
        <v>2418</v>
      </c>
      <c r="G132" t="s">
        <v>3018</v>
      </c>
      <c r="H132" t="s">
        <v>3049</v>
      </c>
      <c r="I132" t="s">
        <v>3050</v>
      </c>
      <c r="J132" t="s">
        <v>3217</v>
      </c>
      <c r="K132" t="s">
        <v>3218</v>
      </c>
      <c r="L132" t="s">
        <v>3206</v>
      </c>
      <c r="M132">
        <v>10.81752872467041</v>
      </c>
      <c r="N132" t="s">
        <v>54</v>
      </c>
      <c r="O132" t="s">
        <v>53</v>
      </c>
      <c r="P132" t="s">
        <v>53</v>
      </c>
      <c r="Q132" t="s">
        <v>54</v>
      </c>
      <c r="R132" t="s">
        <v>53</v>
      </c>
      <c r="S132" t="s">
        <v>3128</v>
      </c>
      <c r="T132" t="s">
        <v>3219</v>
      </c>
      <c r="U132" t="s">
        <v>53</v>
      </c>
      <c r="V132" t="s">
        <v>51</v>
      </c>
      <c r="W132">
        <v>250000</v>
      </c>
      <c r="X132" t="s">
        <v>54</v>
      </c>
      <c r="Y132" t="s">
        <v>3130</v>
      </c>
      <c r="Z132">
        <v>165250</v>
      </c>
      <c r="AA132">
        <v>14</v>
      </c>
      <c r="AB132">
        <v>8</v>
      </c>
      <c r="AC132">
        <v>19</v>
      </c>
      <c r="AD132">
        <v>22</v>
      </c>
      <c r="AE132">
        <v>35</v>
      </c>
      <c r="AF132">
        <v>0</v>
      </c>
      <c r="AG132">
        <v>0</v>
      </c>
      <c r="AH132">
        <v>4.2094821929931641</v>
      </c>
      <c r="AI132">
        <v>0</v>
      </c>
      <c r="AJ132">
        <v>223.88591003417969</v>
      </c>
      <c r="AK132" t="s">
        <v>54</v>
      </c>
      <c r="AL132" t="s">
        <v>54</v>
      </c>
      <c r="AM132" t="s">
        <v>3220</v>
      </c>
      <c r="AN132" s="148">
        <v>38718</v>
      </c>
      <c r="AO132" s="148">
        <v>38718</v>
      </c>
      <c r="AP132" t="s">
        <v>3015</v>
      </c>
      <c r="AQ132" t="s">
        <v>54</v>
      </c>
      <c r="AR132" t="s">
        <v>3017</v>
      </c>
      <c r="AS132" s="148">
        <v>40333</v>
      </c>
      <c r="AT132" t="s">
        <v>3017</v>
      </c>
      <c r="AW132" t="s">
        <v>53</v>
      </c>
      <c r="AZ132" t="s">
        <v>54</v>
      </c>
      <c r="BA132" t="s">
        <v>2425</v>
      </c>
      <c r="BB132" s="15" t="s">
        <v>678</v>
      </c>
    </row>
    <row r="133" spans="1:54" x14ac:dyDescent="0.25">
      <c r="A133">
        <v>128</v>
      </c>
      <c r="B133" t="s">
        <v>3249</v>
      </c>
      <c r="C133" t="s">
        <v>3250</v>
      </c>
      <c r="D133" t="s">
        <v>3251</v>
      </c>
      <c r="E133">
        <v>1</v>
      </c>
      <c r="F133" t="s">
        <v>2418</v>
      </c>
      <c r="G133" t="s">
        <v>3010</v>
      </c>
      <c r="H133" t="s">
        <v>3202</v>
      </c>
      <c r="I133" t="s">
        <v>3227</v>
      </c>
      <c r="J133" t="s">
        <v>3228</v>
      </c>
      <c r="K133" t="s">
        <v>3229</v>
      </c>
      <c r="L133" t="s">
        <v>3206</v>
      </c>
      <c r="M133">
        <v>10.153573989868161</v>
      </c>
      <c r="N133" t="s">
        <v>54</v>
      </c>
      <c r="O133" t="s">
        <v>53</v>
      </c>
      <c r="P133" t="s">
        <v>53</v>
      </c>
      <c r="Q133" t="s">
        <v>53</v>
      </c>
      <c r="R133" t="s">
        <v>53</v>
      </c>
      <c r="S133" t="s">
        <v>3207</v>
      </c>
      <c r="T133" t="s">
        <v>3208</v>
      </c>
      <c r="U133" t="s">
        <v>53</v>
      </c>
      <c r="V133" t="s">
        <v>51</v>
      </c>
      <c r="W133">
        <v>250000</v>
      </c>
      <c r="X133" t="s">
        <v>54</v>
      </c>
      <c r="Y133" t="s">
        <v>3209</v>
      </c>
      <c r="Z133">
        <v>73750</v>
      </c>
      <c r="AA133">
        <v>69</v>
      </c>
      <c r="AB133">
        <v>60</v>
      </c>
      <c r="AC133">
        <v>43</v>
      </c>
      <c r="AD133">
        <v>159</v>
      </c>
      <c r="AE133">
        <v>165</v>
      </c>
      <c r="AF133">
        <v>0</v>
      </c>
      <c r="AG133">
        <v>2</v>
      </c>
      <c r="AH133">
        <v>3.3075048923492432</v>
      </c>
      <c r="AI133">
        <v>2</v>
      </c>
      <c r="AJ133">
        <v>123.9034042358398</v>
      </c>
      <c r="AK133" t="s">
        <v>54</v>
      </c>
      <c r="AL133" t="s">
        <v>54</v>
      </c>
      <c r="AM133" t="s">
        <v>3210</v>
      </c>
      <c r="AN133" s="148">
        <v>38718</v>
      </c>
      <c r="AO133" s="148">
        <v>38718</v>
      </c>
      <c r="AP133" t="s">
        <v>2946</v>
      </c>
      <c r="AQ133" t="s">
        <v>54</v>
      </c>
      <c r="AR133" t="s">
        <v>3009</v>
      </c>
      <c r="AS133" s="148">
        <v>40333</v>
      </c>
      <c r="AT133" t="s">
        <v>3009</v>
      </c>
      <c r="AW133" t="s">
        <v>53</v>
      </c>
      <c r="AZ133" t="s">
        <v>54</v>
      </c>
      <c r="BA133" t="s">
        <v>2425</v>
      </c>
      <c r="BB133" s="15" t="s">
        <v>678</v>
      </c>
    </row>
    <row r="134" spans="1:54" x14ac:dyDescent="0.25">
      <c r="A134">
        <v>129</v>
      </c>
      <c r="B134" t="s">
        <v>3252</v>
      </c>
      <c r="C134" t="s">
        <v>3253</v>
      </c>
      <c r="D134" t="s">
        <v>3254</v>
      </c>
      <c r="E134">
        <v>1</v>
      </c>
      <c r="F134" t="s">
        <v>2418</v>
      </c>
      <c r="G134" t="s">
        <v>3010</v>
      </c>
      <c r="H134" t="s">
        <v>3202</v>
      </c>
      <c r="I134" t="s">
        <v>3227</v>
      </c>
      <c r="J134" t="s">
        <v>3228</v>
      </c>
      <c r="K134" t="s">
        <v>3233</v>
      </c>
      <c r="L134" t="s">
        <v>3206</v>
      </c>
      <c r="M134">
        <v>11.11227321624756</v>
      </c>
      <c r="N134" t="s">
        <v>54</v>
      </c>
      <c r="O134" t="s">
        <v>53</v>
      </c>
      <c r="P134" t="s">
        <v>53</v>
      </c>
      <c r="Q134" t="s">
        <v>53</v>
      </c>
      <c r="R134" t="s">
        <v>53</v>
      </c>
      <c r="S134" t="s">
        <v>3207</v>
      </c>
      <c r="T134" t="s">
        <v>3208</v>
      </c>
      <c r="U134" t="s">
        <v>53</v>
      </c>
      <c r="V134" t="s">
        <v>51</v>
      </c>
      <c r="W134">
        <v>250000</v>
      </c>
      <c r="X134" t="s">
        <v>54</v>
      </c>
      <c r="Y134" t="s">
        <v>3209</v>
      </c>
      <c r="Z134">
        <v>577500</v>
      </c>
      <c r="AA134">
        <v>48</v>
      </c>
      <c r="AB134">
        <v>37</v>
      </c>
      <c r="AC134">
        <v>1864</v>
      </c>
      <c r="AD134">
        <v>190</v>
      </c>
      <c r="AE134">
        <v>1974</v>
      </c>
      <c r="AF134">
        <v>1</v>
      </c>
      <c r="AG134">
        <v>2</v>
      </c>
      <c r="AH134">
        <v>4.9523806571960449</v>
      </c>
      <c r="AI134">
        <v>2</v>
      </c>
      <c r="AJ134">
        <v>187.62370300292969</v>
      </c>
      <c r="AK134" t="s">
        <v>54</v>
      </c>
      <c r="AL134" t="s">
        <v>54</v>
      </c>
      <c r="AM134" t="s">
        <v>3210</v>
      </c>
      <c r="AN134" s="148">
        <v>38718</v>
      </c>
      <c r="AO134" s="148">
        <v>38718</v>
      </c>
      <c r="AP134" t="s">
        <v>2946</v>
      </c>
      <c r="AQ134" t="s">
        <v>54</v>
      </c>
      <c r="AR134" t="s">
        <v>3009</v>
      </c>
      <c r="AS134" s="148">
        <v>40333</v>
      </c>
      <c r="AT134" t="s">
        <v>3009</v>
      </c>
      <c r="AW134" t="s">
        <v>53</v>
      </c>
      <c r="AZ134" t="s">
        <v>54</v>
      </c>
      <c r="BA134" t="s">
        <v>2425</v>
      </c>
      <c r="BB134" s="15" t="s">
        <v>678</v>
      </c>
    </row>
    <row r="135" spans="1:54" x14ac:dyDescent="0.25">
      <c r="A135">
        <v>130</v>
      </c>
      <c r="B135" t="s">
        <v>3255</v>
      </c>
      <c r="C135" t="s">
        <v>3256</v>
      </c>
      <c r="D135" t="s">
        <v>3257</v>
      </c>
      <c r="E135">
        <v>1</v>
      </c>
      <c r="F135" t="s">
        <v>2418</v>
      </c>
      <c r="G135" t="s">
        <v>3010</v>
      </c>
      <c r="H135" t="s">
        <v>3202</v>
      </c>
      <c r="I135" t="s">
        <v>3227</v>
      </c>
      <c r="J135" t="s">
        <v>3228</v>
      </c>
      <c r="K135" t="s">
        <v>3229</v>
      </c>
      <c r="L135" t="s">
        <v>3206</v>
      </c>
      <c r="M135">
        <v>10.153573989868161</v>
      </c>
      <c r="N135" t="s">
        <v>54</v>
      </c>
      <c r="O135" t="s">
        <v>53</v>
      </c>
      <c r="P135" t="s">
        <v>53</v>
      </c>
      <c r="Q135" t="s">
        <v>53</v>
      </c>
      <c r="R135" t="s">
        <v>53</v>
      </c>
      <c r="S135" t="s">
        <v>3207</v>
      </c>
      <c r="T135" t="s">
        <v>3208</v>
      </c>
      <c r="U135" t="s">
        <v>53</v>
      </c>
      <c r="V135" t="s">
        <v>51</v>
      </c>
      <c r="W135">
        <v>250000</v>
      </c>
      <c r="X135" t="s">
        <v>54</v>
      </c>
      <c r="Y135" t="s">
        <v>3209</v>
      </c>
      <c r="Z135">
        <v>160500</v>
      </c>
      <c r="AA135">
        <v>69</v>
      </c>
      <c r="AB135">
        <v>60</v>
      </c>
      <c r="AC135">
        <v>43</v>
      </c>
      <c r="AD135">
        <v>159</v>
      </c>
      <c r="AE135">
        <v>165</v>
      </c>
      <c r="AF135">
        <v>0</v>
      </c>
      <c r="AG135">
        <v>2</v>
      </c>
      <c r="AH135">
        <v>3.3075048923492432</v>
      </c>
      <c r="AI135">
        <v>2</v>
      </c>
      <c r="AJ135">
        <v>123.9034042358398</v>
      </c>
      <c r="AK135" t="s">
        <v>54</v>
      </c>
      <c r="AL135" t="s">
        <v>54</v>
      </c>
      <c r="AM135" t="s">
        <v>3210</v>
      </c>
      <c r="AN135" s="148">
        <v>38718</v>
      </c>
      <c r="AO135" s="148">
        <v>38718</v>
      </c>
      <c r="AP135" t="s">
        <v>2946</v>
      </c>
      <c r="AQ135" t="s">
        <v>54</v>
      </c>
      <c r="AR135" t="s">
        <v>3009</v>
      </c>
      <c r="AS135" s="148">
        <v>40333</v>
      </c>
      <c r="AT135" t="s">
        <v>3009</v>
      </c>
      <c r="AW135" t="s">
        <v>53</v>
      </c>
      <c r="AZ135" t="s">
        <v>54</v>
      </c>
      <c r="BA135" t="s">
        <v>2425</v>
      </c>
      <c r="BB135" s="15" t="s">
        <v>678</v>
      </c>
    </row>
    <row r="136" spans="1:54" x14ac:dyDescent="0.25">
      <c r="A136">
        <v>131</v>
      </c>
      <c r="B136" t="s">
        <v>3258</v>
      </c>
      <c r="C136" t="s">
        <v>3259</v>
      </c>
      <c r="D136" t="s">
        <v>3260</v>
      </c>
      <c r="E136">
        <v>1</v>
      </c>
      <c r="F136" t="s">
        <v>2418</v>
      </c>
      <c r="G136" t="s">
        <v>3010</v>
      </c>
      <c r="H136" t="s">
        <v>3202</v>
      </c>
      <c r="I136" t="s">
        <v>3203</v>
      </c>
      <c r="J136" t="s">
        <v>3204</v>
      </c>
      <c r="K136" t="s">
        <v>3205</v>
      </c>
      <c r="L136" t="s">
        <v>3206</v>
      </c>
      <c r="M136">
        <v>18.978616714477539</v>
      </c>
      <c r="N136" t="s">
        <v>54</v>
      </c>
      <c r="O136" t="s">
        <v>53</v>
      </c>
      <c r="P136" t="s">
        <v>53</v>
      </c>
      <c r="Q136" t="s">
        <v>53</v>
      </c>
      <c r="R136" t="s">
        <v>53</v>
      </c>
      <c r="S136" t="s">
        <v>3207</v>
      </c>
      <c r="T136" t="s">
        <v>3208</v>
      </c>
      <c r="U136" t="s">
        <v>53</v>
      </c>
      <c r="V136" t="s">
        <v>51</v>
      </c>
      <c r="W136">
        <v>250000</v>
      </c>
      <c r="X136" t="s">
        <v>54</v>
      </c>
      <c r="Y136" t="s">
        <v>3209</v>
      </c>
      <c r="Z136">
        <v>129250</v>
      </c>
      <c r="AA136">
        <v>198</v>
      </c>
      <c r="AB136">
        <v>151</v>
      </c>
      <c r="AC136">
        <v>102</v>
      </c>
      <c r="AD136">
        <v>351</v>
      </c>
      <c r="AE136">
        <v>395</v>
      </c>
      <c r="AF136">
        <v>1</v>
      </c>
      <c r="AG136">
        <v>0</v>
      </c>
      <c r="AH136">
        <v>10.72062873840332</v>
      </c>
      <c r="AI136">
        <v>0</v>
      </c>
      <c r="AJ136">
        <v>181.9886474609375</v>
      </c>
      <c r="AK136" t="s">
        <v>54</v>
      </c>
      <c r="AL136" t="s">
        <v>54</v>
      </c>
      <c r="AM136" t="s">
        <v>3210</v>
      </c>
      <c r="AN136" s="148">
        <v>38718</v>
      </c>
      <c r="AO136" s="148">
        <v>38718</v>
      </c>
      <c r="AQ136" t="s">
        <v>54</v>
      </c>
      <c r="AR136" t="s">
        <v>3009</v>
      </c>
      <c r="AS136" s="148">
        <v>40333</v>
      </c>
      <c r="AT136" t="s">
        <v>3009</v>
      </c>
      <c r="AW136" t="s">
        <v>53</v>
      </c>
      <c r="AZ136" t="s">
        <v>54</v>
      </c>
      <c r="BA136" t="s">
        <v>2425</v>
      </c>
      <c r="BB136" s="15" t="s">
        <v>678</v>
      </c>
    </row>
    <row r="137" spans="1:54" x14ac:dyDescent="0.25">
      <c r="A137">
        <v>132</v>
      </c>
      <c r="B137" t="s">
        <v>3261</v>
      </c>
      <c r="C137" t="s">
        <v>3262</v>
      </c>
      <c r="D137" t="s">
        <v>3263</v>
      </c>
      <c r="E137">
        <v>1</v>
      </c>
      <c r="F137" t="s">
        <v>2418</v>
      </c>
      <c r="G137" t="s">
        <v>3018</v>
      </c>
      <c r="H137" t="s">
        <v>3049</v>
      </c>
      <c r="I137" t="s">
        <v>3050</v>
      </c>
      <c r="J137" t="s">
        <v>3264</v>
      </c>
      <c r="K137" t="s">
        <v>3265</v>
      </c>
      <c r="L137" t="s">
        <v>3206</v>
      </c>
      <c r="M137">
        <v>1.683413624763489</v>
      </c>
      <c r="N137" t="s">
        <v>54</v>
      </c>
      <c r="O137" t="s">
        <v>53</v>
      </c>
      <c r="P137" t="s">
        <v>53</v>
      </c>
      <c r="Q137" t="s">
        <v>53</v>
      </c>
      <c r="R137" t="s">
        <v>53</v>
      </c>
      <c r="S137" t="s">
        <v>3128</v>
      </c>
      <c r="T137" t="s">
        <v>3219</v>
      </c>
      <c r="U137" t="s">
        <v>53</v>
      </c>
      <c r="V137" t="s">
        <v>51</v>
      </c>
      <c r="W137">
        <v>250000</v>
      </c>
      <c r="X137" t="s">
        <v>54</v>
      </c>
      <c r="Y137" t="s">
        <v>3130</v>
      </c>
      <c r="Z137">
        <v>136750</v>
      </c>
      <c r="AA137">
        <v>5</v>
      </c>
      <c r="AB137">
        <v>4</v>
      </c>
      <c r="AC137">
        <v>2</v>
      </c>
      <c r="AD137">
        <v>12</v>
      </c>
      <c r="AE137">
        <v>12</v>
      </c>
      <c r="AF137">
        <v>0</v>
      </c>
      <c r="AG137">
        <v>0</v>
      </c>
      <c r="AH137">
        <v>2.097519159317017</v>
      </c>
      <c r="AI137">
        <v>0</v>
      </c>
      <c r="AJ137">
        <v>0</v>
      </c>
      <c r="AK137" t="s">
        <v>54</v>
      </c>
      <c r="AL137" t="s">
        <v>54</v>
      </c>
      <c r="AM137" t="s">
        <v>3220</v>
      </c>
      <c r="AN137" s="148">
        <v>38718</v>
      </c>
      <c r="AO137" s="148">
        <v>38718</v>
      </c>
      <c r="AP137" t="s">
        <v>2946</v>
      </c>
      <c r="AQ137" t="s">
        <v>54</v>
      </c>
      <c r="AR137" t="s">
        <v>3017</v>
      </c>
      <c r="AS137" s="148">
        <v>40333</v>
      </c>
      <c r="AT137" t="s">
        <v>3017</v>
      </c>
      <c r="AW137" t="s">
        <v>53</v>
      </c>
      <c r="AZ137" t="s">
        <v>54</v>
      </c>
      <c r="BA137" t="s">
        <v>2425</v>
      </c>
      <c r="BB137" s="15" t="s">
        <v>678</v>
      </c>
    </row>
    <row r="138" spans="1:54" x14ac:dyDescent="0.25">
      <c r="A138">
        <v>133</v>
      </c>
      <c r="B138" t="s">
        <v>3266</v>
      </c>
      <c r="C138" t="s">
        <v>3267</v>
      </c>
      <c r="D138" t="s">
        <v>3268</v>
      </c>
      <c r="E138">
        <v>1</v>
      </c>
      <c r="F138" t="s">
        <v>2418</v>
      </c>
      <c r="G138" t="s">
        <v>3018</v>
      </c>
      <c r="H138" t="s">
        <v>3049</v>
      </c>
      <c r="I138" t="s">
        <v>3050</v>
      </c>
      <c r="J138" t="s">
        <v>3264</v>
      </c>
      <c r="K138" t="s">
        <v>3269</v>
      </c>
      <c r="L138" t="s">
        <v>3206</v>
      </c>
      <c r="M138">
        <v>2.8538703918457031</v>
      </c>
      <c r="N138" t="s">
        <v>54</v>
      </c>
      <c r="O138" t="s">
        <v>53</v>
      </c>
      <c r="P138" t="s">
        <v>53</v>
      </c>
      <c r="Q138" t="s">
        <v>54</v>
      </c>
      <c r="R138" t="s">
        <v>53</v>
      </c>
      <c r="S138" t="s">
        <v>3128</v>
      </c>
      <c r="T138" t="s">
        <v>3219</v>
      </c>
      <c r="U138" t="s">
        <v>53</v>
      </c>
      <c r="V138" t="s">
        <v>51</v>
      </c>
      <c r="W138">
        <v>250000</v>
      </c>
      <c r="X138" t="s">
        <v>54</v>
      </c>
      <c r="Y138" t="s">
        <v>3130</v>
      </c>
      <c r="Z138">
        <v>247750</v>
      </c>
      <c r="AA138">
        <v>31</v>
      </c>
      <c r="AB138">
        <v>21</v>
      </c>
      <c r="AC138">
        <v>36</v>
      </c>
      <c r="AD138">
        <v>58</v>
      </c>
      <c r="AE138">
        <v>81</v>
      </c>
      <c r="AF138">
        <v>0</v>
      </c>
      <c r="AG138">
        <v>0</v>
      </c>
      <c r="AH138">
        <v>2.1458451747894292</v>
      </c>
      <c r="AI138">
        <v>0</v>
      </c>
      <c r="AJ138">
        <v>19.12336540222168</v>
      </c>
      <c r="AK138" t="s">
        <v>54</v>
      </c>
      <c r="AL138" t="s">
        <v>54</v>
      </c>
      <c r="AM138" t="s">
        <v>3220</v>
      </c>
      <c r="AN138" s="148">
        <v>38718</v>
      </c>
      <c r="AO138" s="148">
        <v>38718</v>
      </c>
      <c r="AP138" t="s">
        <v>2946</v>
      </c>
      <c r="AQ138" t="s">
        <v>54</v>
      </c>
      <c r="AR138" t="s">
        <v>3017</v>
      </c>
      <c r="AS138" s="148">
        <v>40333</v>
      </c>
      <c r="AT138" t="s">
        <v>3017</v>
      </c>
      <c r="AW138" t="s">
        <v>53</v>
      </c>
      <c r="AZ138" t="s">
        <v>54</v>
      </c>
      <c r="BA138" t="s">
        <v>2425</v>
      </c>
      <c r="BB138" s="15" t="s">
        <v>678</v>
      </c>
    </row>
    <row r="139" spans="1:54" x14ac:dyDescent="0.25">
      <c r="A139">
        <v>134</v>
      </c>
      <c r="B139" t="s">
        <v>3270</v>
      </c>
      <c r="C139" t="s">
        <v>3271</v>
      </c>
      <c r="D139" t="s">
        <v>3272</v>
      </c>
      <c r="E139">
        <v>1</v>
      </c>
      <c r="F139" t="s">
        <v>2418</v>
      </c>
      <c r="G139" t="s">
        <v>3018</v>
      </c>
      <c r="H139" t="s">
        <v>3049</v>
      </c>
      <c r="I139" t="s">
        <v>3050</v>
      </c>
      <c r="J139" t="s">
        <v>3264</v>
      </c>
      <c r="K139" t="s">
        <v>3273</v>
      </c>
      <c r="L139" t="s">
        <v>3206</v>
      </c>
      <c r="M139">
        <v>6.2938899993896484</v>
      </c>
      <c r="N139" t="s">
        <v>54</v>
      </c>
      <c r="O139" t="s">
        <v>53</v>
      </c>
      <c r="P139" t="s">
        <v>53</v>
      </c>
      <c r="Q139" t="s">
        <v>54</v>
      </c>
      <c r="R139" t="s">
        <v>53</v>
      </c>
      <c r="S139" t="s">
        <v>3128</v>
      </c>
      <c r="T139" t="s">
        <v>3219</v>
      </c>
      <c r="U139" t="s">
        <v>53</v>
      </c>
      <c r="V139" t="s">
        <v>51</v>
      </c>
      <c r="W139">
        <v>382000</v>
      </c>
      <c r="X139" t="s">
        <v>54</v>
      </c>
      <c r="Y139" t="s">
        <v>3130</v>
      </c>
      <c r="Z139">
        <v>2007335</v>
      </c>
      <c r="AA139">
        <v>200</v>
      </c>
      <c r="AB139">
        <v>172</v>
      </c>
      <c r="AC139">
        <v>189</v>
      </c>
      <c r="AD139">
        <v>680</v>
      </c>
      <c r="AE139">
        <v>750</v>
      </c>
      <c r="AF139">
        <v>0</v>
      </c>
      <c r="AG139">
        <v>0</v>
      </c>
      <c r="AH139">
        <v>12.79281425476074</v>
      </c>
      <c r="AI139">
        <v>0</v>
      </c>
      <c r="AJ139">
        <v>53.635036468505859</v>
      </c>
      <c r="AK139" t="s">
        <v>54</v>
      </c>
      <c r="AL139" t="s">
        <v>54</v>
      </c>
      <c r="AM139" t="s">
        <v>3220</v>
      </c>
      <c r="AN139" s="148">
        <v>38718</v>
      </c>
      <c r="AO139" s="148">
        <v>38718</v>
      </c>
      <c r="AP139" t="s">
        <v>2946</v>
      </c>
      <c r="AQ139" t="s">
        <v>54</v>
      </c>
      <c r="AR139" t="s">
        <v>3017</v>
      </c>
      <c r="AS139" s="148">
        <v>40333</v>
      </c>
      <c r="AT139" t="s">
        <v>3017</v>
      </c>
      <c r="AW139" t="s">
        <v>53</v>
      </c>
      <c r="AZ139" t="s">
        <v>54</v>
      </c>
      <c r="BA139" t="s">
        <v>2425</v>
      </c>
      <c r="BB139" s="15" t="s">
        <v>678</v>
      </c>
    </row>
    <row r="140" spans="1:54" x14ac:dyDescent="0.25">
      <c r="A140">
        <v>135</v>
      </c>
      <c r="B140" t="s">
        <v>3274</v>
      </c>
      <c r="C140" t="s">
        <v>3275</v>
      </c>
      <c r="D140" t="s">
        <v>3276</v>
      </c>
      <c r="E140">
        <v>1</v>
      </c>
      <c r="F140" t="s">
        <v>2418</v>
      </c>
      <c r="G140" t="s">
        <v>3018</v>
      </c>
      <c r="H140" t="s">
        <v>3049</v>
      </c>
      <c r="I140" t="s">
        <v>3050</v>
      </c>
      <c r="J140" t="s">
        <v>3277</v>
      </c>
      <c r="K140" t="s">
        <v>3278</v>
      </c>
      <c r="L140" t="s">
        <v>3206</v>
      </c>
      <c r="M140">
        <v>1.6790058612823491</v>
      </c>
      <c r="N140" t="s">
        <v>54</v>
      </c>
      <c r="O140" t="s">
        <v>53</v>
      </c>
      <c r="P140" t="s">
        <v>53</v>
      </c>
      <c r="Q140" t="s">
        <v>53</v>
      </c>
      <c r="R140" t="s">
        <v>53</v>
      </c>
      <c r="S140" t="s">
        <v>3128</v>
      </c>
      <c r="T140" t="s">
        <v>3219</v>
      </c>
      <c r="U140" t="s">
        <v>53</v>
      </c>
      <c r="V140" t="s">
        <v>51</v>
      </c>
      <c r="W140">
        <v>250000</v>
      </c>
      <c r="X140" t="s">
        <v>54</v>
      </c>
      <c r="Y140" t="s">
        <v>3130</v>
      </c>
      <c r="Z140">
        <v>233500</v>
      </c>
      <c r="AA140">
        <v>238</v>
      </c>
      <c r="AB140">
        <v>222</v>
      </c>
      <c r="AC140">
        <v>339</v>
      </c>
      <c r="AD140">
        <v>730</v>
      </c>
      <c r="AE140">
        <v>859</v>
      </c>
      <c r="AF140">
        <v>0</v>
      </c>
      <c r="AG140">
        <v>0</v>
      </c>
      <c r="AH140">
        <v>3.951773881912231</v>
      </c>
      <c r="AI140">
        <v>0</v>
      </c>
      <c r="AJ140">
        <v>0</v>
      </c>
      <c r="AK140" t="s">
        <v>54</v>
      </c>
      <c r="AL140" t="s">
        <v>54</v>
      </c>
      <c r="AM140" t="s">
        <v>3220</v>
      </c>
      <c r="AN140" s="148">
        <v>38718</v>
      </c>
      <c r="AO140" s="148">
        <v>38718</v>
      </c>
      <c r="AP140" t="s">
        <v>2946</v>
      </c>
      <c r="AQ140" t="s">
        <v>54</v>
      </c>
      <c r="AR140" t="s">
        <v>3017</v>
      </c>
      <c r="AS140" s="148">
        <v>40333</v>
      </c>
      <c r="AT140" t="s">
        <v>3017</v>
      </c>
      <c r="AW140" t="s">
        <v>53</v>
      </c>
      <c r="AZ140" t="s">
        <v>54</v>
      </c>
      <c r="BA140" t="s">
        <v>2425</v>
      </c>
      <c r="BB140" s="15" t="s">
        <v>678</v>
      </c>
    </row>
    <row r="141" spans="1:54" x14ac:dyDescent="0.25">
      <c r="A141">
        <v>136</v>
      </c>
      <c r="B141" t="s">
        <v>3279</v>
      </c>
      <c r="C141" t="s">
        <v>3280</v>
      </c>
      <c r="D141" t="s">
        <v>3281</v>
      </c>
      <c r="E141">
        <v>1</v>
      </c>
      <c r="F141" t="s">
        <v>2418</v>
      </c>
      <c r="G141" t="s">
        <v>3018</v>
      </c>
      <c r="H141" t="s">
        <v>3049</v>
      </c>
      <c r="I141" t="s">
        <v>3050</v>
      </c>
      <c r="J141" t="s">
        <v>3264</v>
      </c>
      <c r="K141" t="s">
        <v>3282</v>
      </c>
      <c r="L141" t="s">
        <v>3206</v>
      </c>
      <c r="M141">
        <v>1.333381175994873</v>
      </c>
      <c r="N141" t="s">
        <v>54</v>
      </c>
      <c r="O141" t="s">
        <v>53</v>
      </c>
      <c r="P141" t="s">
        <v>53</v>
      </c>
      <c r="Q141" t="s">
        <v>53</v>
      </c>
      <c r="R141" t="s">
        <v>53</v>
      </c>
      <c r="S141" t="s">
        <v>3128</v>
      </c>
      <c r="T141" t="s">
        <v>3219</v>
      </c>
      <c r="U141" t="s">
        <v>53</v>
      </c>
      <c r="V141" t="s">
        <v>51</v>
      </c>
      <c r="W141">
        <v>556000</v>
      </c>
      <c r="X141" t="s">
        <v>54</v>
      </c>
      <c r="Y141" t="s">
        <v>3130</v>
      </c>
      <c r="Z141">
        <v>2917681</v>
      </c>
      <c r="AA141">
        <v>49</v>
      </c>
      <c r="AB141">
        <v>21</v>
      </c>
      <c r="AC141">
        <v>438</v>
      </c>
      <c r="AD141">
        <v>133</v>
      </c>
      <c r="AE141">
        <v>525</v>
      </c>
      <c r="AF141">
        <v>0</v>
      </c>
      <c r="AG141">
        <v>0</v>
      </c>
      <c r="AH141">
        <v>2.8701775074005131</v>
      </c>
      <c r="AI141">
        <v>0</v>
      </c>
      <c r="AJ141">
        <v>0</v>
      </c>
      <c r="AK141" t="s">
        <v>54</v>
      </c>
      <c r="AL141" t="s">
        <v>54</v>
      </c>
      <c r="AM141" t="s">
        <v>3220</v>
      </c>
      <c r="AN141" s="148">
        <v>38718</v>
      </c>
      <c r="AO141" s="148">
        <v>38718</v>
      </c>
      <c r="AP141" t="s">
        <v>2946</v>
      </c>
      <c r="AQ141" t="s">
        <v>54</v>
      </c>
      <c r="AR141" t="s">
        <v>3017</v>
      </c>
      <c r="AS141" s="148">
        <v>40333</v>
      </c>
      <c r="AT141" t="s">
        <v>3017</v>
      </c>
      <c r="AW141" t="s">
        <v>53</v>
      </c>
      <c r="AZ141" t="s">
        <v>54</v>
      </c>
      <c r="BA141" t="s">
        <v>2425</v>
      </c>
      <c r="BB141" s="15" t="s">
        <v>678</v>
      </c>
    </row>
    <row r="142" spans="1:54" x14ac:dyDescent="0.25">
      <c r="A142">
        <v>137</v>
      </c>
      <c r="B142" t="s">
        <v>3283</v>
      </c>
      <c r="C142" t="s">
        <v>3284</v>
      </c>
      <c r="D142" t="s">
        <v>3285</v>
      </c>
      <c r="E142">
        <v>1</v>
      </c>
      <c r="F142" t="s">
        <v>2418</v>
      </c>
      <c r="G142" t="s">
        <v>3010</v>
      </c>
      <c r="H142" t="s">
        <v>3049</v>
      </c>
      <c r="I142" t="s">
        <v>3050</v>
      </c>
      <c r="J142" t="s">
        <v>3264</v>
      </c>
      <c r="K142" t="s">
        <v>3286</v>
      </c>
      <c r="L142" t="s">
        <v>3206</v>
      </c>
      <c r="M142">
        <v>9.1290130615234375</v>
      </c>
      <c r="N142" t="s">
        <v>54</v>
      </c>
      <c r="O142" t="s">
        <v>53</v>
      </c>
      <c r="P142" t="s">
        <v>53</v>
      </c>
      <c r="Q142" t="s">
        <v>53</v>
      </c>
      <c r="R142" t="s">
        <v>53</v>
      </c>
      <c r="S142" t="s">
        <v>3207</v>
      </c>
      <c r="T142" t="s">
        <v>3208</v>
      </c>
      <c r="U142" t="s">
        <v>53</v>
      </c>
      <c r="V142" t="s">
        <v>51</v>
      </c>
      <c r="W142">
        <v>250000</v>
      </c>
      <c r="X142" t="s">
        <v>54</v>
      </c>
      <c r="Y142" t="s">
        <v>3209</v>
      </c>
      <c r="Z142">
        <v>644000</v>
      </c>
      <c r="AA142">
        <v>133</v>
      </c>
      <c r="AB142">
        <v>111</v>
      </c>
      <c r="AC142">
        <v>626</v>
      </c>
      <c r="AD142">
        <v>323</v>
      </c>
      <c r="AE142">
        <v>864</v>
      </c>
      <c r="AF142">
        <v>1</v>
      </c>
      <c r="AG142">
        <v>0</v>
      </c>
      <c r="AH142">
        <v>19.0872917175293</v>
      </c>
      <c r="AI142">
        <v>0</v>
      </c>
      <c r="AJ142">
        <v>0</v>
      </c>
      <c r="AK142" t="s">
        <v>54</v>
      </c>
      <c r="AL142" t="s">
        <v>54</v>
      </c>
      <c r="AM142" t="s">
        <v>3210</v>
      </c>
      <c r="AN142" s="148">
        <v>38718</v>
      </c>
      <c r="AO142" s="148">
        <v>38718</v>
      </c>
      <c r="AP142" t="s">
        <v>3015</v>
      </c>
      <c r="AQ142" t="s">
        <v>54</v>
      </c>
      <c r="AR142" t="s">
        <v>3009</v>
      </c>
      <c r="AS142" s="148">
        <v>40333</v>
      </c>
      <c r="AT142" t="s">
        <v>3009</v>
      </c>
      <c r="AW142" t="s">
        <v>53</v>
      </c>
      <c r="AZ142" t="s">
        <v>54</v>
      </c>
      <c r="BA142" t="s">
        <v>2425</v>
      </c>
      <c r="BB142" s="15" t="s">
        <v>676</v>
      </c>
    </row>
    <row r="143" spans="1:54" x14ac:dyDescent="0.25">
      <c r="A143">
        <v>138</v>
      </c>
      <c r="B143" t="s">
        <v>3287</v>
      </c>
      <c r="C143" t="s">
        <v>3288</v>
      </c>
      <c r="D143" t="s">
        <v>3289</v>
      </c>
      <c r="E143">
        <v>1</v>
      </c>
      <c r="F143" t="s">
        <v>2418</v>
      </c>
      <c r="G143" t="s">
        <v>3123</v>
      </c>
      <c r="H143" t="s">
        <v>3049</v>
      </c>
      <c r="I143" t="s">
        <v>3050</v>
      </c>
      <c r="J143" t="s">
        <v>3290</v>
      </c>
      <c r="K143" t="s">
        <v>3291</v>
      </c>
      <c r="L143" t="s">
        <v>3206</v>
      </c>
      <c r="M143">
        <v>4.0505647659301758</v>
      </c>
      <c r="N143" t="s">
        <v>54</v>
      </c>
      <c r="O143" t="s">
        <v>53</v>
      </c>
      <c r="P143" t="s">
        <v>53</v>
      </c>
      <c r="Q143" t="s">
        <v>54</v>
      </c>
      <c r="R143" t="s">
        <v>53</v>
      </c>
      <c r="S143" t="s">
        <v>3128</v>
      </c>
      <c r="T143" t="s">
        <v>3129</v>
      </c>
      <c r="U143" t="s">
        <v>53</v>
      </c>
      <c r="V143" t="s">
        <v>51</v>
      </c>
      <c r="W143">
        <v>250000</v>
      </c>
      <c r="X143" t="s">
        <v>54</v>
      </c>
      <c r="Y143" t="s">
        <v>3130</v>
      </c>
      <c r="Z143">
        <v>118250</v>
      </c>
      <c r="AA143">
        <v>5</v>
      </c>
      <c r="AB143">
        <v>5</v>
      </c>
      <c r="AC143">
        <v>1</v>
      </c>
      <c r="AD143">
        <v>13</v>
      </c>
      <c r="AE143">
        <v>13</v>
      </c>
      <c r="AF143">
        <v>0</v>
      </c>
      <c r="AG143">
        <v>0</v>
      </c>
      <c r="AH143">
        <v>1.5875774621963501</v>
      </c>
      <c r="AI143">
        <v>0</v>
      </c>
      <c r="AJ143">
        <v>133.69395446777341</v>
      </c>
      <c r="AK143" t="s">
        <v>54</v>
      </c>
      <c r="AL143" t="s">
        <v>54</v>
      </c>
      <c r="AM143" t="s">
        <v>3131</v>
      </c>
      <c r="AN143" s="148">
        <v>38718</v>
      </c>
      <c r="AO143" s="148">
        <v>38718</v>
      </c>
      <c r="AQ143" t="s">
        <v>54</v>
      </c>
      <c r="AR143" t="s">
        <v>3132</v>
      </c>
      <c r="AS143" s="148">
        <v>40333</v>
      </c>
      <c r="AT143" t="s">
        <v>3132</v>
      </c>
      <c r="AW143" t="s">
        <v>53</v>
      </c>
      <c r="AZ143" t="s">
        <v>54</v>
      </c>
      <c r="BA143" t="s">
        <v>2425</v>
      </c>
      <c r="BB143" s="15" t="s">
        <v>678</v>
      </c>
    </row>
    <row r="144" spans="1:54" x14ac:dyDescent="0.25">
      <c r="A144">
        <v>139</v>
      </c>
      <c r="B144" t="s">
        <v>3292</v>
      </c>
      <c r="C144" t="s">
        <v>3293</v>
      </c>
      <c r="D144" t="s">
        <v>3294</v>
      </c>
      <c r="E144">
        <v>1</v>
      </c>
      <c r="F144" t="s">
        <v>2418</v>
      </c>
      <c r="G144" t="s">
        <v>3010</v>
      </c>
      <c r="H144" t="s">
        <v>3202</v>
      </c>
      <c r="I144" t="s">
        <v>3203</v>
      </c>
      <c r="J144" t="s">
        <v>3204</v>
      </c>
      <c r="K144" t="s">
        <v>3295</v>
      </c>
      <c r="L144" t="s">
        <v>3206</v>
      </c>
      <c r="M144">
        <v>3.738294124603271</v>
      </c>
      <c r="N144" t="s">
        <v>54</v>
      </c>
      <c r="O144" t="s">
        <v>53</v>
      </c>
      <c r="P144" t="s">
        <v>53</v>
      </c>
      <c r="Q144" t="s">
        <v>54</v>
      </c>
      <c r="R144" t="s">
        <v>53</v>
      </c>
      <c r="S144" t="s">
        <v>3207</v>
      </c>
      <c r="T144" t="s">
        <v>3208</v>
      </c>
      <c r="U144" t="s">
        <v>53</v>
      </c>
      <c r="V144" t="s">
        <v>51</v>
      </c>
      <c r="W144">
        <v>250000</v>
      </c>
      <c r="X144" t="s">
        <v>54</v>
      </c>
      <c r="Y144" t="s">
        <v>3209</v>
      </c>
      <c r="Z144">
        <v>99750</v>
      </c>
      <c r="AA144">
        <v>30</v>
      </c>
      <c r="AB144">
        <v>4</v>
      </c>
      <c r="AC144">
        <v>295</v>
      </c>
      <c r="AD144">
        <v>5</v>
      </c>
      <c r="AE144">
        <v>297</v>
      </c>
      <c r="AF144">
        <v>1</v>
      </c>
      <c r="AG144">
        <v>0</v>
      </c>
      <c r="AH144">
        <v>2.073381900787354</v>
      </c>
      <c r="AI144">
        <v>0</v>
      </c>
      <c r="AJ144">
        <v>0</v>
      </c>
      <c r="AK144" t="s">
        <v>54</v>
      </c>
      <c r="AL144" t="s">
        <v>54</v>
      </c>
      <c r="AM144" t="s">
        <v>3210</v>
      </c>
      <c r="AN144" s="148">
        <v>38718</v>
      </c>
      <c r="AO144" s="148">
        <v>38718</v>
      </c>
      <c r="AP144" t="s">
        <v>3015</v>
      </c>
      <c r="AQ144" t="s">
        <v>54</v>
      </c>
      <c r="AR144" t="s">
        <v>3009</v>
      </c>
      <c r="AS144" s="148">
        <v>40333</v>
      </c>
      <c r="AT144" t="s">
        <v>3009</v>
      </c>
      <c r="AW144" t="s">
        <v>53</v>
      </c>
      <c r="AZ144" t="s">
        <v>54</v>
      </c>
      <c r="BA144" t="s">
        <v>2425</v>
      </c>
      <c r="BB144" s="15" t="s">
        <v>678</v>
      </c>
    </row>
    <row r="145" spans="1:54" x14ac:dyDescent="0.25">
      <c r="A145">
        <v>140</v>
      </c>
      <c r="B145" t="s">
        <v>3296</v>
      </c>
      <c r="C145" t="s">
        <v>3297</v>
      </c>
      <c r="D145" t="s">
        <v>3298</v>
      </c>
      <c r="E145">
        <v>1</v>
      </c>
      <c r="F145" t="s">
        <v>2418</v>
      </c>
      <c r="G145" t="s">
        <v>3010</v>
      </c>
      <c r="H145" t="s">
        <v>3202</v>
      </c>
      <c r="I145" t="s">
        <v>3227</v>
      </c>
      <c r="J145" t="s">
        <v>3228</v>
      </c>
      <c r="K145" t="s">
        <v>3233</v>
      </c>
      <c r="L145" t="s">
        <v>3206</v>
      </c>
      <c r="M145">
        <v>11.11227321624756</v>
      </c>
      <c r="N145" t="s">
        <v>54</v>
      </c>
      <c r="O145" t="s">
        <v>53</v>
      </c>
      <c r="P145" t="s">
        <v>53</v>
      </c>
      <c r="Q145" t="s">
        <v>53</v>
      </c>
      <c r="R145" t="s">
        <v>53</v>
      </c>
      <c r="S145" t="s">
        <v>3207</v>
      </c>
      <c r="T145" t="s">
        <v>3208</v>
      </c>
      <c r="U145" t="s">
        <v>53</v>
      </c>
      <c r="V145" t="s">
        <v>51</v>
      </c>
      <c r="W145">
        <v>250000</v>
      </c>
      <c r="X145" t="s">
        <v>54</v>
      </c>
      <c r="Y145" t="s">
        <v>3209</v>
      </c>
      <c r="Z145">
        <v>383250</v>
      </c>
      <c r="AA145">
        <v>48</v>
      </c>
      <c r="AB145">
        <v>37</v>
      </c>
      <c r="AC145">
        <v>1864</v>
      </c>
      <c r="AD145">
        <v>190</v>
      </c>
      <c r="AE145">
        <v>1974</v>
      </c>
      <c r="AF145">
        <v>1</v>
      </c>
      <c r="AG145">
        <v>2</v>
      </c>
      <c r="AH145">
        <v>4.9523806571960449</v>
      </c>
      <c r="AI145">
        <v>2</v>
      </c>
      <c r="AJ145">
        <v>187.62370300292969</v>
      </c>
      <c r="AK145" t="s">
        <v>54</v>
      </c>
      <c r="AL145" t="s">
        <v>54</v>
      </c>
      <c r="AM145" t="s">
        <v>3210</v>
      </c>
      <c r="AN145" s="148">
        <v>38718</v>
      </c>
      <c r="AO145" s="148">
        <v>38718</v>
      </c>
      <c r="AP145" t="s">
        <v>2946</v>
      </c>
      <c r="AQ145" t="s">
        <v>54</v>
      </c>
      <c r="AR145" t="s">
        <v>3009</v>
      </c>
      <c r="AS145" s="148">
        <v>40333</v>
      </c>
      <c r="AT145" t="s">
        <v>3009</v>
      </c>
      <c r="AW145" t="s">
        <v>53</v>
      </c>
      <c r="AZ145" t="s">
        <v>54</v>
      </c>
      <c r="BA145" t="s">
        <v>2425</v>
      </c>
      <c r="BB145" s="15" t="s">
        <v>678</v>
      </c>
    </row>
    <row r="146" spans="1:54" x14ac:dyDescent="0.25">
      <c r="A146">
        <v>141</v>
      </c>
      <c r="B146" t="s">
        <v>3299</v>
      </c>
      <c r="C146" t="s">
        <v>3300</v>
      </c>
      <c r="D146" t="s">
        <v>3301</v>
      </c>
      <c r="E146">
        <v>1</v>
      </c>
      <c r="F146" t="s">
        <v>2418</v>
      </c>
      <c r="G146" t="s">
        <v>3010</v>
      </c>
      <c r="H146" t="s">
        <v>3202</v>
      </c>
      <c r="I146" t="s">
        <v>3203</v>
      </c>
      <c r="J146" t="s">
        <v>3204</v>
      </c>
      <c r="K146" t="s">
        <v>3205</v>
      </c>
      <c r="L146" t="s">
        <v>3206</v>
      </c>
      <c r="M146">
        <v>18.978616714477539</v>
      </c>
      <c r="N146" t="s">
        <v>54</v>
      </c>
      <c r="O146" t="s">
        <v>53</v>
      </c>
      <c r="P146" t="s">
        <v>53</v>
      </c>
      <c r="Q146" t="s">
        <v>53</v>
      </c>
      <c r="R146" t="s">
        <v>53</v>
      </c>
      <c r="S146" t="s">
        <v>3207</v>
      </c>
      <c r="T146" t="s">
        <v>3208</v>
      </c>
      <c r="U146" t="s">
        <v>53</v>
      </c>
      <c r="V146" t="s">
        <v>51</v>
      </c>
      <c r="W146">
        <v>250000</v>
      </c>
      <c r="X146" t="s">
        <v>54</v>
      </c>
      <c r="Y146" t="s">
        <v>3209</v>
      </c>
      <c r="Z146">
        <v>166250</v>
      </c>
      <c r="AA146">
        <v>198</v>
      </c>
      <c r="AB146">
        <v>151</v>
      </c>
      <c r="AC146">
        <v>102</v>
      </c>
      <c r="AD146">
        <v>351</v>
      </c>
      <c r="AE146">
        <v>395</v>
      </c>
      <c r="AF146">
        <v>1</v>
      </c>
      <c r="AG146">
        <v>0</v>
      </c>
      <c r="AH146">
        <v>10.72062873840332</v>
      </c>
      <c r="AI146">
        <v>0</v>
      </c>
      <c r="AJ146">
        <v>181.9886474609375</v>
      </c>
      <c r="AK146" t="s">
        <v>54</v>
      </c>
      <c r="AL146" t="s">
        <v>54</v>
      </c>
      <c r="AM146" t="s">
        <v>3210</v>
      </c>
      <c r="AN146" s="148">
        <v>38718</v>
      </c>
      <c r="AO146" s="148">
        <v>38718</v>
      </c>
      <c r="AQ146" t="s">
        <v>54</v>
      </c>
      <c r="AR146" t="s">
        <v>3009</v>
      </c>
      <c r="AS146" s="148">
        <v>40333</v>
      </c>
      <c r="AT146" t="s">
        <v>3009</v>
      </c>
      <c r="AW146" t="s">
        <v>53</v>
      </c>
      <c r="AZ146" t="s">
        <v>54</v>
      </c>
      <c r="BA146" t="s">
        <v>2425</v>
      </c>
      <c r="BB146" s="15" t="s">
        <v>678</v>
      </c>
    </row>
    <row r="147" spans="1:54" x14ac:dyDescent="0.25">
      <c r="A147">
        <v>142</v>
      </c>
      <c r="B147" t="s">
        <v>3302</v>
      </c>
      <c r="C147" t="s">
        <v>3303</v>
      </c>
      <c r="D147" t="s">
        <v>3304</v>
      </c>
      <c r="E147">
        <v>1</v>
      </c>
      <c r="F147" t="s">
        <v>2418</v>
      </c>
      <c r="G147" t="s">
        <v>3018</v>
      </c>
      <c r="H147" t="s">
        <v>3049</v>
      </c>
      <c r="I147" t="s">
        <v>3050</v>
      </c>
      <c r="J147" t="s">
        <v>3264</v>
      </c>
      <c r="K147" t="s">
        <v>3273</v>
      </c>
      <c r="L147" t="s">
        <v>3206</v>
      </c>
      <c r="M147">
        <v>6.2938899993896484</v>
      </c>
      <c r="N147" t="s">
        <v>54</v>
      </c>
      <c r="O147" t="s">
        <v>53</v>
      </c>
      <c r="P147" t="s">
        <v>53</v>
      </c>
      <c r="Q147" t="s">
        <v>54</v>
      </c>
      <c r="R147" t="s">
        <v>53</v>
      </c>
      <c r="S147" t="s">
        <v>3128</v>
      </c>
      <c r="T147" t="s">
        <v>3219</v>
      </c>
      <c r="U147" t="s">
        <v>53</v>
      </c>
      <c r="V147" t="s">
        <v>51</v>
      </c>
      <c r="W147">
        <v>250000</v>
      </c>
      <c r="X147" t="s">
        <v>54</v>
      </c>
      <c r="Y147" t="s">
        <v>3130</v>
      </c>
      <c r="Z147">
        <v>661000</v>
      </c>
      <c r="AA147">
        <v>200</v>
      </c>
      <c r="AB147">
        <v>172</v>
      </c>
      <c r="AC147">
        <v>189</v>
      </c>
      <c r="AD147">
        <v>680</v>
      </c>
      <c r="AE147">
        <v>750</v>
      </c>
      <c r="AF147">
        <v>0</v>
      </c>
      <c r="AG147">
        <v>0</v>
      </c>
      <c r="AH147">
        <v>12.79281425476074</v>
      </c>
      <c r="AI147">
        <v>0</v>
      </c>
      <c r="AJ147">
        <v>53.635036468505859</v>
      </c>
      <c r="AK147" t="s">
        <v>54</v>
      </c>
      <c r="AL147" t="s">
        <v>54</v>
      </c>
      <c r="AM147" t="s">
        <v>3220</v>
      </c>
      <c r="AN147" s="148">
        <v>38718</v>
      </c>
      <c r="AO147" s="148">
        <v>38718</v>
      </c>
      <c r="AP147" t="s">
        <v>2946</v>
      </c>
      <c r="AQ147" t="s">
        <v>54</v>
      </c>
      <c r="AR147" t="s">
        <v>3017</v>
      </c>
      <c r="AS147" s="148">
        <v>40333</v>
      </c>
      <c r="AT147" t="s">
        <v>3017</v>
      </c>
      <c r="AW147" t="s">
        <v>53</v>
      </c>
      <c r="AZ147" t="s">
        <v>54</v>
      </c>
      <c r="BA147" t="s">
        <v>2425</v>
      </c>
      <c r="BB147" s="15" t="s">
        <v>676</v>
      </c>
    </row>
    <row r="148" spans="1:54" x14ac:dyDescent="0.25">
      <c r="A148">
        <v>143</v>
      </c>
      <c r="B148" t="s">
        <v>3305</v>
      </c>
      <c r="C148" t="s">
        <v>3306</v>
      </c>
      <c r="D148" t="s">
        <v>3307</v>
      </c>
      <c r="E148">
        <v>1</v>
      </c>
      <c r="F148" t="s">
        <v>2418</v>
      </c>
      <c r="G148" t="s">
        <v>3018</v>
      </c>
      <c r="H148" t="s">
        <v>3308</v>
      </c>
      <c r="I148" t="s">
        <v>3309</v>
      </c>
      <c r="J148" t="s">
        <v>3310</v>
      </c>
      <c r="K148" t="s">
        <v>3311</v>
      </c>
      <c r="L148" t="s">
        <v>3206</v>
      </c>
      <c r="M148">
        <v>2.9388809204101558</v>
      </c>
      <c r="N148" t="s">
        <v>54</v>
      </c>
      <c r="O148" t="s">
        <v>53</v>
      </c>
      <c r="P148" t="s">
        <v>53</v>
      </c>
      <c r="Q148" t="s">
        <v>54</v>
      </c>
      <c r="R148" t="s">
        <v>53</v>
      </c>
      <c r="S148" t="s">
        <v>3128</v>
      </c>
      <c r="T148" t="s">
        <v>3312</v>
      </c>
      <c r="U148" t="s">
        <v>53</v>
      </c>
      <c r="V148" t="s">
        <v>51</v>
      </c>
      <c r="W148">
        <v>250000</v>
      </c>
      <c r="X148" t="s">
        <v>54</v>
      </c>
      <c r="Y148" t="s">
        <v>3130</v>
      </c>
      <c r="Z148">
        <v>525750</v>
      </c>
      <c r="AA148">
        <v>87</v>
      </c>
      <c r="AB148">
        <v>87</v>
      </c>
      <c r="AC148">
        <v>80</v>
      </c>
      <c r="AD148">
        <v>280</v>
      </c>
      <c r="AE148">
        <v>280</v>
      </c>
      <c r="AF148">
        <v>0</v>
      </c>
      <c r="AG148">
        <v>0</v>
      </c>
      <c r="AH148">
        <v>2.116379022598267</v>
      </c>
      <c r="AI148">
        <v>0</v>
      </c>
      <c r="AJ148">
        <v>51.514202117919922</v>
      </c>
      <c r="AK148" t="s">
        <v>54</v>
      </c>
      <c r="AL148" t="s">
        <v>54</v>
      </c>
      <c r="AM148" t="s">
        <v>3220</v>
      </c>
      <c r="AN148" s="148">
        <v>38718</v>
      </c>
      <c r="AO148" s="148">
        <v>38718</v>
      </c>
      <c r="AP148" t="s">
        <v>2946</v>
      </c>
      <c r="AQ148" t="s">
        <v>54</v>
      </c>
      <c r="AR148" t="s">
        <v>3017</v>
      </c>
      <c r="AS148" s="148">
        <v>40333</v>
      </c>
      <c r="AT148" t="s">
        <v>3017</v>
      </c>
      <c r="AW148" t="s">
        <v>53</v>
      </c>
      <c r="AZ148" t="s">
        <v>54</v>
      </c>
      <c r="BA148" t="s">
        <v>2425</v>
      </c>
      <c r="BB148" s="15" t="s">
        <v>678</v>
      </c>
    </row>
    <row r="149" spans="1:54" x14ac:dyDescent="0.25">
      <c r="A149">
        <v>144</v>
      </c>
      <c r="B149" t="s">
        <v>3313</v>
      </c>
      <c r="C149" t="s">
        <v>3314</v>
      </c>
      <c r="D149" t="s">
        <v>3315</v>
      </c>
      <c r="E149">
        <v>1</v>
      </c>
      <c r="F149" t="s">
        <v>2418</v>
      </c>
      <c r="G149" t="s">
        <v>3018</v>
      </c>
      <c r="H149" t="s">
        <v>3049</v>
      </c>
      <c r="I149" t="s">
        <v>3050</v>
      </c>
      <c r="J149" t="s">
        <v>3264</v>
      </c>
      <c r="K149" t="s">
        <v>3316</v>
      </c>
      <c r="L149" t="s">
        <v>3206</v>
      </c>
      <c r="M149">
        <v>1.926968455314636</v>
      </c>
      <c r="N149" t="s">
        <v>54</v>
      </c>
      <c r="O149" t="s">
        <v>53</v>
      </c>
      <c r="P149" t="s">
        <v>53</v>
      </c>
      <c r="Q149" t="s">
        <v>53</v>
      </c>
      <c r="R149" t="s">
        <v>53</v>
      </c>
      <c r="S149" t="s">
        <v>3128</v>
      </c>
      <c r="T149" t="s">
        <v>3219</v>
      </c>
      <c r="U149" t="s">
        <v>53</v>
      </c>
      <c r="V149" t="s">
        <v>51</v>
      </c>
      <c r="W149">
        <v>250000</v>
      </c>
      <c r="X149" t="s">
        <v>54</v>
      </c>
      <c r="Y149" t="s">
        <v>3130</v>
      </c>
      <c r="Z149">
        <v>142750</v>
      </c>
      <c r="AA149">
        <v>13</v>
      </c>
      <c r="AB149">
        <v>11</v>
      </c>
      <c r="AC149">
        <v>28</v>
      </c>
      <c r="AD149">
        <v>46</v>
      </c>
      <c r="AE149">
        <v>66</v>
      </c>
      <c r="AF149">
        <v>0</v>
      </c>
      <c r="AG149">
        <v>0</v>
      </c>
      <c r="AH149">
        <v>4.3597102165222168</v>
      </c>
      <c r="AI149">
        <v>0</v>
      </c>
      <c r="AJ149">
        <v>1.0178037881851201</v>
      </c>
      <c r="AK149" t="s">
        <v>54</v>
      </c>
      <c r="AL149" t="s">
        <v>54</v>
      </c>
      <c r="AM149" t="s">
        <v>3220</v>
      </c>
      <c r="AN149" s="148">
        <v>38718</v>
      </c>
      <c r="AO149" s="148">
        <v>38718</v>
      </c>
      <c r="AP149" t="s">
        <v>2946</v>
      </c>
      <c r="AQ149" t="s">
        <v>54</v>
      </c>
      <c r="AR149" t="s">
        <v>3017</v>
      </c>
      <c r="AS149" s="148">
        <v>40333</v>
      </c>
      <c r="AT149" t="s">
        <v>3017</v>
      </c>
      <c r="AW149" t="s">
        <v>53</v>
      </c>
      <c r="AZ149" t="s">
        <v>54</v>
      </c>
      <c r="BA149" t="s">
        <v>2425</v>
      </c>
      <c r="BB149" s="15" t="s">
        <v>678</v>
      </c>
    </row>
    <row r="150" spans="1:54" x14ac:dyDescent="0.25">
      <c r="A150">
        <v>145</v>
      </c>
      <c r="B150" t="s">
        <v>3317</v>
      </c>
      <c r="C150" t="s">
        <v>3318</v>
      </c>
      <c r="D150" t="s">
        <v>3319</v>
      </c>
      <c r="E150">
        <v>1</v>
      </c>
      <c r="F150" t="s">
        <v>2418</v>
      </c>
      <c r="G150" t="s">
        <v>3018</v>
      </c>
      <c r="H150" t="s">
        <v>3049</v>
      </c>
      <c r="I150" t="s">
        <v>3050</v>
      </c>
      <c r="J150" t="s">
        <v>3264</v>
      </c>
      <c r="K150" t="s">
        <v>3316</v>
      </c>
      <c r="L150" t="s">
        <v>3206</v>
      </c>
      <c r="M150">
        <v>1.926968455314636</v>
      </c>
      <c r="N150" t="s">
        <v>54</v>
      </c>
      <c r="O150" t="s">
        <v>53</v>
      </c>
      <c r="P150" t="s">
        <v>53</v>
      </c>
      <c r="Q150" t="s">
        <v>53</v>
      </c>
      <c r="R150" t="s">
        <v>53</v>
      </c>
      <c r="S150" t="s">
        <v>3128</v>
      </c>
      <c r="T150" t="s">
        <v>3219</v>
      </c>
      <c r="U150" t="s">
        <v>53</v>
      </c>
      <c r="V150" t="s">
        <v>51</v>
      </c>
      <c r="W150">
        <v>250000</v>
      </c>
      <c r="X150" t="s">
        <v>54</v>
      </c>
      <c r="Y150" t="s">
        <v>3130</v>
      </c>
      <c r="Z150">
        <v>240750</v>
      </c>
      <c r="AA150">
        <v>13</v>
      </c>
      <c r="AB150">
        <v>11</v>
      </c>
      <c r="AC150">
        <v>28</v>
      </c>
      <c r="AD150">
        <v>46</v>
      </c>
      <c r="AE150">
        <v>66</v>
      </c>
      <c r="AF150">
        <v>0</v>
      </c>
      <c r="AG150">
        <v>0</v>
      </c>
      <c r="AH150">
        <v>4.3597102165222168</v>
      </c>
      <c r="AI150">
        <v>0</v>
      </c>
      <c r="AJ150">
        <v>1.0178037881851201</v>
      </c>
      <c r="AK150" t="s">
        <v>54</v>
      </c>
      <c r="AL150" t="s">
        <v>54</v>
      </c>
      <c r="AM150" t="s">
        <v>3220</v>
      </c>
      <c r="AN150" s="148">
        <v>38718</v>
      </c>
      <c r="AO150" s="148">
        <v>38718</v>
      </c>
      <c r="AP150" t="s">
        <v>2946</v>
      </c>
      <c r="AQ150" t="s">
        <v>54</v>
      </c>
      <c r="AR150" t="s">
        <v>3017</v>
      </c>
      <c r="AS150" s="148">
        <v>40333</v>
      </c>
      <c r="AT150" t="s">
        <v>3017</v>
      </c>
      <c r="AW150" t="s">
        <v>53</v>
      </c>
      <c r="AZ150" t="s">
        <v>54</v>
      </c>
      <c r="BA150" t="s">
        <v>2425</v>
      </c>
      <c r="BB150" s="15" t="s">
        <v>678</v>
      </c>
    </row>
    <row r="151" spans="1:54" x14ac:dyDescent="0.25">
      <c r="A151">
        <v>146</v>
      </c>
      <c r="B151" t="s">
        <v>3320</v>
      </c>
      <c r="C151" t="s">
        <v>3321</v>
      </c>
      <c r="D151" t="s">
        <v>3322</v>
      </c>
      <c r="E151">
        <v>1</v>
      </c>
      <c r="F151" t="s">
        <v>2418</v>
      </c>
      <c r="G151" t="s">
        <v>3123</v>
      </c>
      <c r="H151" t="s">
        <v>3049</v>
      </c>
      <c r="I151" t="s">
        <v>3050</v>
      </c>
      <c r="J151" t="s">
        <v>3264</v>
      </c>
      <c r="K151" t="s">
        <v>3286</v>
      </c>
      <c r="L151" t="s">
        <v>3206</v>
      </c>
      <c r="M151">
        <v>9.1290130615234375</v>
      </c>
      <c r="N151" t="s">
        <v>54</v>
      </c>
      <c r="O151" t="s">
        <v>53</v>
      </c>
      <c r="P151" t="s">
        <v>53</v>
      </c>
      <c r="Q151" t="s">
        <v>53</v>
      </c>
      <c r="R151" t="s">
        <v>53</v>
      </c>
      <c r="S151" t="s">
        <v>3128</v>
      </c>
      <c r="T151" t="s">
        <v>3129</v>
      </c>
      <c r="U151" t="s">
        <v>53</v>
      </c>
      <c r="V151" t="s">
        <v>51</v>
      </c>
      <c r="W151">
        <v>250000</v>
      </c>
      <c r="X151" t="s">
        <v>54</v>
      </c>
      <c r="Y151" t="s">
        <v>3130</v>
      </c>
      <c r="Z151">
        <v>206250</v>
      </c>
      <c r="AA151">
        <v>133</v>
      </c>
      <c r="AB151">
        <v>111</v>
      </c>
      <c r="AC151">
        <v>626</v>
      </c>
      <c r="AD151">
        <v>323</v>
      </c>
      <c r="AE151">
        <v>864</v>
      </c>
      <c r="AF151">
        <v>1</v>
      </c>
      <c r="AG151">
        <v>0</v>
      </c>
      <c r="AH151">
        <v>19.0872917175293</v>
      </c>
      <c r="AI151">
        <v>0</v>
      </c>
      <c r="AJ151">
        <v>0</v>
      </c>
      <c r="AK151" t="s">
        <v>54</v>
      </c>
      <c r="AL151" t="s">
        <v>54</v>
      </c>
      <c r="AM151" t="s">
        <v>3131</v>
      </c>
      <c r="AN151" s="148">
        <v>38718</v>
      </c>
      <c r="AO151" s="148">
        <v>38718</v>
      </c>
      <c r="AP151" t="s">
        <v>3015</v>
      </c>
      <c r="AQ151" t="s">
        <v>54</v>
      </c>
      <c r="AR151" t="s">
        <v>3132</v>
      </c>
      <c r="AS151" s="148">
        <v>40333</v>
      </c>
      <c r="AT151" t="s">
        <v>3132</v>
      </c>
      <c r="AW151" t="s">
        <v>53</v>
      </c>
      <c r="AZ151" t="s">
        <v>54</v>
      </c>
      <c r="BA151" t="s">
        <v>2425</v>
      </c>
      <c r="BB151" s="15" t="s">
        <v>678</v>
      </c>
    </row>
    <row r="152" spans="1:54" x14ac:dyDescent="0.25">
      <c r="A152">
        <v>147</v>
      </c>
      <c r="B152" t="s">
        <v>3323</v>
      </c>
      <c r="C152" t="s">
        <v>3324</v>
      </c>
      <c r="D152" t="s">
        <v>3325</v>
      </c>
      <c r="E152">
        <v>1</v>
      </c>
      <c r="F152" t="s">
        <v>2418</v>
      </c>
      <c r="G152" t="s">
        <v>3018</v>
      </c>
      <c r="H152" t="s">
        <v>3049</v>
      </c>
      <c r="I152" t="s">
        <v>3050</v>
      </c>
      <c r="J152" t="s">
        <v>3264</v>
      </c>
      <c r="K152" t="s">
        <v>3326</v>
      </c>
      <c r="L152" t="s">
        <v>3206</v>
      </c>
      <c r="M152">
        <v>4.574190616607666</v>
      </c>
      <c r="N152" t="s">
        <v>54</v>
      </c>
      <c r="O152" t="s">
        <v>53</v>
      </c>
      <c r="P152" t="s">
        <v>53</v>
      </c>
      <c r="Q152" t="s">
        <v>54</v>
      </c>
      <c r="R152" t="s">
        <v>53</v>
      </c>
      <c r="S152" t="s">
        <v>3128</v>
      </c>
      <c r="T152" t="s">
        <v>3219</v>
      </c>
      <c r="U152" t="s">
        <v>53</v>
      </c>
      <c r="V152" t="s">
        <v>51</v>
      </c>
      <c r="W152">
        <v>250000</v>
      </c>
      <c r="X152" t="s">
        <v>54</v>
      </c>
      <c r="Y152" t="s">
        <v>3130</v>
      </c>
      <c r="Z152">
        <v>473000</v>
      </c>
      <c r="AA152">
        <v>6</v>
      </c>
      <c r="AB152">
        <v>5</v>
      </c>
      <c r="AC152">
        <v>3</v>
      </c>
      <c r="AD152">
        <v>16</v>
      </c>
      <c r="AE152">
        <v>16</v>
      </c>
      <c r="AF152">
        <v>0</v>
      </c>
      <c r="AG152">
        <v>0</v>
      </c>
      <c r="AH152">
        <v>4.1147832870483398</v>
      </c>
      <c r="AI152">
        <v>0</v>
      </c>
      <c r="AJ152">
        <v>57.414852142333977</v>
      </c>
      <c r="AK152" t="s">
        <v>54</v>
      </c>
      <c r="AL152" t="s">
        <v>54</v>
      </c>
      <c r="AM152" t="s">
        <v>3220</v>
      </c>
      <c r="AN152" s="148">
        <v>38718</v>
      </c>
      <c r="AO152" s="148">
        <v>38718</v>
      </c>
      <c r="AP152" t="s">
        <v>2946</v>
      </c>
      <c r="AQ152" t="s">
        <v>54</v>
      </c>
      <c r="AR152" t="s">
        <v>3017</v>
      </c>
      <c r="AS152" s="148">
        <v>40333</v>
      </c>
      <c r="AT152" t="s">
        <v>3017</v>
      </c>
      <c r="AW152" t="s">
        <v>53</v>
      </c>
      <c r="AZ152" t="s">
        <v>54</v>
      </c>
      <c r="BA152" t="s">
        <v>2425</v>
      </c>
      <c r="BB152" s="15" t="s">
        <v>676</v>
      </c>
    </row>
    <row r="153" spans="1:54" x14ac:dyDescent="0.25">
      <c r="A153">
        <v>148</v>
      </c>
      <c r="B153" t="s">
        <v>3327</v>
      </c>
      <c r="C153" t="s">
        <v>3328</v>
      </c>
      <c r="D153" t="s">
        <v>3329</v>
      </c>
      <c r="E153">
        <v>1</v>
      </c>
      <c r="F153" t="s">
        <v>2418</v>
      </c>
      <c r="G153" t="s">
        <v>3018</v>
      </c>
      <c r="H153" t="s">
        <v>3049</v>
      </c>
      <c r="I153" t="s">
        <v>3050</v>
      </c>
      <c r="J153" t="s">
        <v>3264</v>
      </c>
      <c r="K153" t="s">
        <v>3273</v>
      </c>
      <c r="L153" t="s">
        <v>3206</v>
      </c>
      <c r="M153">
        <v>6.2938899993896484</v>
      </c>
      <c r="N153" t="s">
        <v>54</v>
      </c>
      <c r="O153" t="s">
        <v>53</v>
      </c>
      <c r="P153" t="s">
        <v>53</v>
      </c>
      <c r="Q153" t="s">
        <v>54</v>
      </c>
      <c r="R153" t="s">
        <v>53</v>
      </c>
      <c r="S153" t="s">
        <v>3128</v>
      </c>
      <c r="T153" t="s">
        <v>3219</v>
      </c>
      <c r="U153" t="s">
        <v>53</v>
      </c>
      <c r="V153" t="s">
        <v>51</v>
      </c>
      <c r="W153">
        <v>383000</v>
      </c>
      <c r="X153" t="s">
        <v>54</v>
      </c>
      <c r="Y153" t="s">
        <v>3130</v>
      </c>
      <c r="Z153">
        <v>2011006</v>
      </c>
      <c r="AA153">
        <v>200</v>
      </c>
      <c r="AB153">
        <v>172</v>
      </c>
      <c r="AC153">
        <v>189</v>
      </c>
      <c r="AD153">
        <v>680</v>
      </c>
      <c r="AE153">
        <v>750</v>
      </c>
      <c r="AF153">
        <v>0</v>
      </c>
      <c r="AG153">
        <v>0</v>
      </c>
      <c r="AH153">
        <v>12.79281425476074</v>
      </c>
      <c r="AI153">
        <v>0</v>
      </c>
      <c r="AJ153">
        <v>53.635036468505859</v>
      </c>
      <c r="AK153" t="s">
        <v>54</v>
      </c>
      <c r="AL153" t="s">
        <v>54</v>
      </c>
      <c r="AM153" t="s">
        <v>3220</v>
      </c>
      <c r="AN153" s="148">
        <v>38718</v>
      </c>
      <c r="AO153" s="148">
        <v>38718</v>
      </c>
      <c r="AP153" t="s">
        <v>2946</v>
      </c>
      <c r="AQ153" t="s">
        <v>54</v>
      </c>
      <c r="AR153" t="s">
        <v>3017</v>
      </c>
      <c r="AS153" s="148">
        <v>40333</v>
      </c>
      <c r="AT153" t="s">
        <v>3017</v>
      </c>
      <c r="AW153" t="s">
        <v>53</v>
      </c>
      <c r="AZ153" t="s">
        <v>54</v>
      </c>
      <c r="BA153" t="s">
        <v>2425</v>
      </c>
      <c r="BB153" s="15" t="s">
        <v>676</v>
      </c>
    </row>
    <row r="154" spans="1:54" x14ac:dyDescent="0.25">
      <c r="A154">
        <v>149</v>
      </c>
      <c r="B154" t="s">
        <v>3330</v>
      </c>
      <c r="C154" t="s">
        <v>3331</v>
      </c>
      <c r="D154" t="s">
        <v>3332</v>
      </c>
      <c r="E154">
        <v>1</v>
      </c>
      <c r="F154" t="s">
        <v>2418</v>
      </c>
      <c r="G154" t="s">
        <v>3018</v>
      </c>
      <c r="H154" t="s">
        <v>3333</v>
      </c>
      <c r="I154" t="s">
        <v>3334</v>
      </c>
      <c r="J154" t="s">
        <v>3335</v>
      </c>
      <c r="K154" t="s">
        <v>3336</v>
      </c>
      <c r="L154" t="s">
        <v>3206</v>
      </c>
      <c r="M154">
        <v>6.2938899993896484</v>
      </c>
      <c r="N154" t="s">
        <v>54</v>
      </c>
      <c r="O154" t="s">
        <v>53</v>
      </c>
      <c r="P154" t="s">
        <v>53</v>
      </c>
      <c r="Q154" t="s">
        <v>54</v>
      </c>
      <c r="R154" t="s">
        <v>53</v>
      </c>
      <c r="S154" t="s">
        <v>3128</v>
      </c>
      <c r="T154" t="s">
        <v>3219</v>
      </c>
      <c r="U154" t="s">
        <v>53</v>
      </c>
      <c r="V154" t="s">
        <v>51</v>
      </c>
      <c r="W154">
        <v>250000</v>
      </c>
      <c r="X154" t="s">
        <v>54</v>
      </c>
      <c r="Y154" t="s">
        <v>3130</v>
      </c>
      <c r="Z154">
        <v>1019500</v>
      </c>
      <c r="AA154">
        <v>200</v>
      </c>
      <c r="AB154">
        <v>172</v>
      </c>
      <c r="AC154">
        <v>189</v>
      </c>
      <c r="AD154">
        <v>680</v>
      </c>
      <c r="AE154">
        <v>750</v>
      </c>
      <c r="AF154">
        <v>0</v>
      </c>
      <c r="AG154">
        <v>0</v>
      </c>
      <c r="AH154">
        <v>12.79281425476074</v>
      </c>
      <c r="AI154">
        <v>0</v>
      </c>
      <c r="AJ154">
        <v>53.635036468505859</v>
      </c>
      <c r="AK154" t="s">
        <v>54</v>
      </c>
      <c r="AL154" t="s">
        <v>54</v>
      </c>
      <c r="AM154" t="s">
        <v>3220</v>
      </c>
      <c r="AN154" s="148">
        <v>38718</v>
      </c>
      <c r="AO154" s="148">
        <v>38718</v>
      </c>
      <c r="AP154" t="s">
        <v>2946</v>
      </c>
      <c r="AQ154" t="s">
        <v>54</v>
      </c>
      <c r="AR154" t="s">
        <v>3017</v>
      </c>
      <c r="AS154" s="148">
        <v>40333</v>
      </c>
      <c r="AT154" t="s">
        <v>3017</v>
      </c>
      <c r="AW154" t="s">
        <v>53</v>
      </c>
      <c r="AZ154" t="s">
        <v>54</v>
      </c>
      <c r="BA154" t="s">
        <v>2425</v>
      </c>
      <c r="BB154" s="15" t="s">
        <v>678</v>
      </c>
    </row>
    <row r="155" spans="1:54" x14ac:dyDescent="0.25">
      <c r="A155">
        <v>150</v>
      </c>
      <c r="B155" t="s">
        <v>3337</v>
      </c>
      <c r="C155" t="s">
        <v>3338</v>
      </c>
      <c r="D155" t="s">
        <v>3339</v>
      </c>
      <c r="E155">
        <v>1</v>
      </c>
      <c r="F155" t="s">
        <v>2418</v>
      </c>
      <c r="G155" t="s">
        <v>3018</v>
      </c>
      <c r="H155" t="s">
        <v>3049</v>
      </c>
      <c r="I155" t="s">
        <v>3050</v>
      </c>
      <c r="J155" t="s">
        <v>3277</v>
      </c>
      <c r="K155" t="s">
        <v>3278</v>
      </c>
      <c r="L155" t="s">
        <v>3206</v>
      </c>
      <c r="M155">
        <v>1.6790058612823491</v>
      </c>
      <c r="N155" t="s">
        <v>54</v>
      </c>
      <c r="O155" t="s">
        <v>53</v>
      </c>
      <c r="P155" t="s">
        <v>53</v>
      </c>
      <c r="Q155" t="s">
        <v>53</v>
      </c>
      <c r="R155" t="s">
        <v>53</v>
      </c>
      <c r="S155" t="s">
        <v>3128</v>
      </c>
      <c r="T155" t="s">
        <v>3219</v>
      </c>
      <c r="U155" t="s">
        <v>53</v>
      </c>
      <c r="V155" t="s">
        <v>51</v>
      </c>
      <c r="W155">
        <v>250000</v>
      </c>
      <c r="X155" t="s">
        <v>54</v>
      </c>
      <c r="Y155" t="s">
        <v>3130</v>
      </c>
      <c r="Z155">
        <v>244250</v>
      </c>
      <c r="AA155">
        <v>238</v>
      </c>
      <c r="AB155">
        <v>222</v>
      </c>
      <c r="AC155">
        <v>339</v>
      </c>
      <c r="AD155">
        <v>730</v>
      </c>
      <c r="AE155">
        <v>859</v>
      </c>
      <c r="AF155">
        <v>0</v>
      </c>
      <c r="AG155">
        <v>0</v>
      </c>
      <c r="AH155">
        <v>3.951773881912231</v>
      </c>
      <c r="AI155">
        <v>0</v>
      </c>
      <c r="AJ155">
        <v>0</v>
      </c>
      <c r="AK155" t="s">
        <v>54</v>
      </c>
      <c r="AL155" t="s">
        <v>54</v>
      </c>
      <c r="AM155" t="s">
        <v>3220</v>
      </c>
      <c r="AN155" s="148">
        <v>38718</v>
      </c>
      <c r="AO155" s="148">
        <v>38718</v>
      </c>
      <c r="AP155" t="s">
        <v>2946</v>
      </c>
      <c r="AQ155" t="s">
        <v>54</v>
      </c>
      <c r="AR155" t="s">
        <v>3017</v>
      </c>
      <c r="AS155" s="148">
        <v>40333</v>
      </c>
      <c r="AT155" t="s">
        <v>3017</v>
      </c>
      <c r="AW155" t="s">
        <v>53</v>
      </c>
      <c r="AZ155" t="s">
        <v>54</v>
      </c>
      <c r="BA155" t="s">
        <v>2425</v>
      </c>
      <c r="BB155" s="15" t="s">
        <v>676</v>
      </c>
    </row>
    <row r="156" spans="1:54" x14ac:dyDescent="0.25">
      <c r="A156">
        <v>151</v>
      </c>
      <c r="B156" t="s">
        <v>3340</v>
      </c>
      <c r="C156" t="s">
        <v>3341</v>
      </c>
      <c r="D156" t="s">
        <v>3342</v>
      </c>
      <c r="E156">
        <v>1</v>
      </c>
      <c r="F156" t="s">
        <v>2418</v>
      </c>
      <c r="G156" t="s">
        <v>3010</v>
      </c>
      <c r="H156" t="s">
        <v>3049</v>
      </c>
      <c r="I156" t="s">
        <v>3050</v>
      </c>
      <c r="J156" t="s">
        <v>3217</v>
      </c>
      <c r="K156" t="s">
        <v>3218</v>
      </c>
      <c r="L156" t="s">
        <v>3206</v>
      </c>
      <c r="M156">
        <v>10.80892848968506</v>
      </c>
      <c r="N156" t="s">
        <v>54</v>
      </c>
      <c r="O156" t="s">
        <v>53</v>
      </c>
      <c r="P156" t="s">
        <v>53</v>
      </c>
      <c r="Q156" t="s">
        <v>54</v>
      </c>
      <c r="R156" t="s">
        <v>53</v>
      </c>
      <c r="S156" t="s">
        <v>3207</v>
      </c>
      <c r="T156" t="s">
        <v>3208</v>
      </c>
      <c r="U156" t="s">
        <v>53</v>
      </c>
      <c r="V156" t="s">
        <v>51</v>
      </c>
      <c r="W156">
        <v>250000</v>
      </c>
      <c r="X156" t="s">
        <v>54</v>
      </c>
      <c r="Y156" t="s">
        <v>3209</v>
      </c>
      <c r="Z156">
        <v>84750</v>
      </c>
      <c r="AA156">
        <v>14</v>
      </c>
      <c r="AB156">
        <v>8</v>
      </c>
      <c r="AC156">
        <v>19</v>
      </c>
      <c r="AD156">
        <v>22</v>
      </c>
      <c r="AE156">
        <v>35</v>
      </c>
      <c r="AF156">
        <v>0</v>
      </c>
      <c r="AG156">
        <v>0</v>
      </c>
      <c r="AH156">
        <v>4.2094821929931641</v>
      </c>
      <c r="AI156">
        <v>0</v>
      </c>
      <c r="AJ156">
        <v>223.88591003417969</v>
      </c>
      <c r="AK156" t="s">
        <v>54</v>
      </c>
      <c r="AL156" t="s">
        <v>54</v>
      </c>
      <c r="AM156" t="s">
        <v>3210</v>
      </c>
      <c r="AN156" s="148">
        <v>38718</v>
      </c>
      <c r="AO156" s="148">
        <v>38718</v>
      </c>
      <c r="AP156" t="s">
        <v>3015</v>
      </c>
      <c r="AQ156" t="s">
        <v>54</v>
      </c>
      <c r="AR156" t="s">
        <v>3009</v>
      </c>
      <c r="AS156" s="148">
        <v>40333</v>
      </c>
      <c r="AT156" t="s">
        <v>3009</v>
      </c>
      <c r="AW156" t="s">
        <v>53</v>
      </c>
      <c r="AZ156" t="s">
        <v>54</v>
      </c>
      <c r="BA156" t="s">
        <v>2425</v>
      </c>
      <c r="BB156" s="15" t="s">
        <v>678</v>
      </c>
    </row>
    <row r="157" spans="1:54" x14ac:dyDescent="0.25">
      <c r="A157">
        <v>152</v>
      </c>
      <c r="B157" t="s">
        <v>3343</v>
      </c>
      <c r="C157" t="s">
        <v>3344</v>
      </c>
      <c r="D157" t="s">
        <v>3345</v>
      </c>
      <c r="E157">
        <v>1</v>
      </c>
      <c r="F157" t="s">
        <v>2418</v>
      </c>
      <c r="G157" t="s">
        <v>3010</v>
      </c>
      <c r="H157" t="s">
        <v>3333</v>
      </c>
      <c r="I157" t="s">
        <v>3346</v>
      </c>
      <c r="J157" t="s">
        <v>3347</v>
      </c>
      <c r="K157" t="s">
        <v>3348</v>
      </c>
      <c r="L157" t="s">
        <v>3206</v>
      </c>
      <c r="M157">
        <v>3.738294124603271</v>
      </c>
      <c r="N157" t="s">
        <v>54</v>
      </c>
      <c r="O157" t="s">
        <v>53</v>
      </c>
      <c r="P157" t="s">
        <v>53</v>
      </c>
      <c r="Q157" t="s">
        <v>54</v>
      </c>
      <c r="R157" t="s">
        <v>53</v>
      </c>
      <c r="S157" t="s">
        <v>3207</v>
      </c>
      <c r="T157" t="s">
        <v>3208</v>
      </c>
      <c r="U157" t="s">
        <v>53</v>
      </c>
      <c r="V157" t="s">
        <v>51</v>
      </c>
      <c r="W157">
        <v>250000</v>
      </c>
      <c r="X157" t="s">
        <v>54</v>
      </c>
      <c r="Y157" t="s">
        <v>3209</v>
      </c>
      <c r="Z157">
        <v>755500</v>
      </c>
      <c r="AA157">
        <v>30</v>
      </c>
      <c r="AB157">
        <v>4</v>
      </c>
      <c r="AC157">
        <v>295</v>
      </c>
      <c r="AD157">
        <v>5</v>
      </c>
      <c r="AE157">
        <v>297</v>
      </c>
      <c r="AF157">
        <v>1</v>
      </c>
      <c r="AG157">
        <v>0</v>
      </c>
      <c r="AH157">
        <v>2.073381900787354</v>
      </c>
      <c r="AI157">
        <v>0</v>
      </c>
      <c r="AJ157">
        <v>0</v>
      </c>
      <c r="AK157" t="s">
        <v>54</v>
      </c>
      <c r="AL157" t="s">
        <v>54</v>
      </c>
      <c r="AM157" t="s">
        <v>3210</v>
      </c>
      <c r="AN157" s="148">
        <v>38718</v>
      </c>
      <c r="AO157" s="148">
        <v>38718</v>
      </c>
      <c r="AP157" t="s">
        <v>3015</v>
      </c>
      <c r="AQ157" t="s">
        <v>54</v>
      </c>
      <c r="AR157" t="s">
        <v>3009</v>
      </c>
      <c r="AS157" s="148">
        <v>40333</v>
      </c>
      <c r="AT157" t="s">
        <v>3009</v>
      </c>
      <c r="AW157" t="s">
        <v>53</v>
      </c>
      <c r="AZ157" t="s">
        <v>54</v>
      </c>
      <c r="BA157" t="s">
        <v>2425</v>
      </c>
      <c r="BB157" s="15" t="s">
        <v>678</v>
      </c>
    </row>
    <row r="158" spans="1:54" x14ac:dyDescent="0.25">
      <c r="A158">
        <v>153</v>
      </c>
      <c r="B158" t="s">
        <v>3349</v>
      </c>
      <c r="C158" t="s">
        <v>3350</v>
      </c>
      <c r="D158" t="s">
        <v>3351</v>
      </c>
      <c r="E158">
        <v>1</v>
      </c>
      <c r="F158" t="s">
        <v>2418</v>
      </c>
      <c r="G158" t="s">
        <v>3018</v>
      </c>
      <c r="H158" t="s">
        <v>3049</v>
      </c>
      <c r="I158" t="s">
        <v>3050</v>
      </c>
      <c r="J158" t="s">
        <v>3264</v>
      </c>
      <c r="K158" t="s">
        <v>3316</v>
      </c>
      <c r="L158" t="s">
        <v>3206</v>
      </c>
      <c r="M158">
        <v>1.926968455314636</v>
      </c>
      <c r="N158" t="s">
        <v>54</v>
      </c>
      <c r="O158" t="s">
        <v>53</v>
      </c>
      <c r="P158" t="s">
        <v>53</v>
      </c>
      <c r="Q158" t="s">
        <v>53</v>
      </c>
      <c r="R158" t="s">
        <v>53</v>
      </c>
      <c r="S158" t="s">
        <v>3128</v>
      </c>
      <c r="T158" t="s">
        <v>3219</v>
      </c>
      <c r="U158" t="s">
        <v>53</v>
      </c>
      <c r="V158" t="s">
        <v>51</v>
      </c>
      <c r="W158">
        <v>250000</v>
      </c>
      <c r="X158" t="s">
        <v>54</v>
      </c>
      <c r="Y158" t="s">
        <v>3130</v>
      </c>
      <c r="Z158">
        <v>383250</v>
      </c>
      <c r="AA158">
        <v>13</v>
      </c>
      <c r="AB158">
        <v>11</v>
      </c>
      <c r="AC158">
        <v>28</v>
      </c>
      <c r="AD158">
        <v>46</v>
      </c>
      <c r="AE158">
        <v>66</v>
      </c>
      <c r="AF158">
        <v>0</v>
      </c>
      <c r="AG158">
        <v>0</v>
      </c>
      <c r="AH158">
        <v>4.3597102165222168</v>
      </c>
      <c r="AI158">
        <v>0</v>
      </c>
      <c r="AJ158">
        <v>1.0178037881851201</v>
      </c>
      <c r="AK158" t="s">
        <v>54</v>
      </c>
      <c r="AL158" t="s">
        <v>54</v>
      </c>
      <c r="AM158" t="s">
        <v>3220</v>
      </c>
      <c r="AN158" s="148">
        <v>38718</v>
      </c>
      <c r="AO158" s="148">
        <v>38718</v>
      </c>
      <c r="AP158" t="s">
        <v>2946</v>
      </c>
      <c r="AQ158" t="s">
        <v>54</v>
      </c>
      <c r="AR158" t="s">
        <v>3017</v>
      </c>
      <c r="AS158" s="148">
        <v>40333</v>
      </c>
      <c r="AT158" t="s">
        <v>3017</v>
      </c>
      <c r="AW158" t="s">
        <v>53</v>
      </c>
      <c r="AZ158" t="s">
        <v>54</v>
      </c>
      <c r="BA158" t="s">
        <v>2425</v>
      </c>
      <c r="BB158" s="15" t="s">
        <v>678</v>
      </c>
    </row>
    <row r="159" spans="1:54" x14ac:dyDescent="0.25">
      <c r="A159">
        <v>154</v>
      </c>
      <c r="B159" t="s">
        <v>3352</v>
      </c>
      <c r="C159" t="s">
        <v>3353</v>
      </c>
      <c r="D159" t="s">
        <v>3354</v>
      </c>
      <c r="E159">
        <v>1</v>
      </c>
      <c r="F159" t="s">
        <v>2418</v>
      </c>
      <c r="G159" t="s">
        <v>3010</v>
      </c>
      <c r="H159" t="s">
        <v>3049</v>
      </c>
      <c r="I159" t="s">
        <v>3050</v>
      </c>
      <c r="J159" t="s">
        <v>3264</v>
      </c>
      <c r="K159" t="s">
        <v>3286</v>
      </c>
      <c r="L159" t="s">
        <v>3206</v>
      </c>
      <c r="M159">
        <v>9.1290130615234375</v>
      </c>
      <c r="N159" t="s">
        <v>54</v>
      </c>
      <c r="O159" t="s">
        <v>53</v>
      </c>
      <c r="P159" t="s">
        <v>53</v>
      </c>
      <c r="Q159" t="s">
        <v>53</v>
      </c>
      <c r="R159" t="s">
        <v>53</v>
      </c>
      <c r="S159" t="s">
        <v>3207</v>
      </c>
      <c r="T159" t="s">
        <v>3208</v>
      </c>
      <c r="U159" t="s">
        <v>53</v>
      </c>
      <c r="V159" t="s">
        <v>51</v>
      </c>
      <c r="W159">
        <v>250000</v>
      </c>
      <c r="X159" t="s">
        <v>54</v>
      </c>
      <c r="Y159" t="s">
        <v>3209</v>
      </c>
      <c r="Z159">
        <v>196000</v>
      </c>
      <c r="AA159">
        <v>133</v>
      </c>
      <c r="AB159">
        <v>111</v>
      </c>
      <c r="AC159">
        <v>626</v>
      </c>
      <c r="AD159">
        <v>323</v>
      </c>
      <c r="AE159">
        <v>864</v>
      </c>
      <c r="AF159">
        <v>1</v>
      </c>
      <c r="AG159">
        <v>0</v>
      </c>
      <c r="AH159">
        <v>19.0872917175293</v>
      </c>
      <c r="AI159">
        <v>0</v>
      </c>
      <c r="AJ159">
        <v>0</v>
      </c>
      <c r="AK159" t="s">
        <v>54</v>
      </c>
      <c r="AL159" t="s">
        <v>54</v>
      </c>
      <c r="AM159" t="s">
        <v>3210</v>
      </c>
      <c r="AN159" s="148">
        <v>38718</v>
      </c>
      <c r="AO159" s="148">
        <v>38718</v>
      </c>
      <c r="AP159" t="s">
        <v>3015</v>
      </c>
      <c r="AQ159" t="s">
        <v>54</v>
      </c>
      <c r="AR159" t="s">
        <v>3009</v>
      </c>
      <c r="AS159" s="148">
        <v>40333</v>
      </c>
      <c r="AT159" t="s">
        <v>3009</v>
      </c>
      <c r="AW159" t="s">
        <v>53</v>
      </c>
      <c r="AZ159" t="s">
        <v>54</v>
      </c>
      <c r="BA159" t="s">
        <v>2425</v>
      </c>
      <c r="BB159" s="15" t="s">
        <v>678</v>
      </c>
    </row>
    <row r="160" spans="1:54" x14ac:dyDescent="0.25">
      <c r="A160">
        <v>155</v>
      </c>
      <c r="B160" t="s">
        <v>3355</v>
      </c>
      <c r="C160" t="s">
        <v>3356</v>
      </c>
      <c r="D160" t="s">
        <v>3357</v>
      </c>
      <c r="E160">
        <v>1</v>
      </c>
      <c r="F160" t="s">
        <v>2418</v>
      </c>
      <c r="G160" t="s">
        <v>3018</v>
      </c>
      <c r="H160" t="s">
        <v>3049</v>
      </c>
      <c r="I160" t="s">
        <v>3050</v>
      </c>
      <c r="J160" t="s">
        <v>3264</v>
      </c>
      <c r="K160" t="s">
        <v>3286</v>
      </c>
      <c r="L160" t="s">
        <v>3206</v>
      </c>
      <c r="M160">
        <v>9.1290130615234375</v>
      </c>
      <c r="N160" t="s">
        <v>54</v>
      </c>
      <c r="O160" t="s">
        <v>53</v>
      </c>
      <c r="P160" t="s">
        <v>53</v>
      </c>
      <c r="Q160" t="s">
        <v>53</v>
      </c>
      <c r="R160" t="s">
        <v>53</v>
      </c>
      <c r="S160" t="s">
        <v>3128</v>
      </c>
      <c r="T160" t="s">
        <v>3219</v>
      </c>
      <c r="U160" t="s">
        <v>53</v>
      </c>
      <c r="V160" t="s">
        <v>51</v>
      </c>
      <c r="W160">
        <v>250000</v>
      </c>
      <c r="X160" t="s">
        <v>54</v>
      </c>
      <c r="Y160" t="s">
        <v>3130</v>
      </c>
      <c r="Z160">
        <v>589250</v>
      </c>
      <c r="AA160">
        <v>133</v>
      </c>
      <c r="AB160">
        <v>111</v>
      </c>
      <c r="AC160">
        <v>626</v>
      </c>
      <c r="AD160">
        <v>323</v>
      </c>
      <c r="AE160">
        <v>864</v>
      </c>
      <c r="AF160">
        <v>1</v>
      </c>
      <c r="AG160">
        <v>0</v>
      </c>
      <c r="AH160">
        <v>19.0872917175293</v>
      </c>
      <c r="AI160">
        <v>0</v>
      </c>
      <c r="AJ160">
        <v>0</v>
      </c>
      <c r="AK160" t="s">
        <v>54</v>
      </c>
      <c r="AL160" t="s">
        <v>54</v>
      </c>
      <c r="AM160" t="s">
        <v>3220</v>
      </c>
      <c r="AN160" s="148">
        <v>38718</v>
      </c>
      <c r="AO160" s="148">
        <v>38718</v>
      </c>
      <c r="AP160" t="s">
        <v>3015</v>
      </c>
      <c r="AQ160" t="s">
        <v>54</v>
      </c>
      <c r="AR160" t="s">
        <v>3017</v>
      </c>
      <c r="AS160" s="148">
        <v>40333</v>
      </c>
      <c r="AT160" t="s">
        <v>3017</v>
      </c>
      <c r="AW160" t="s">
        <v>53</v>
      </c>
      <c r="AZ160" t="s">
        <v>54</v>
      </c>
      <c r="BA160" t="s">
        <v>2425</v>
      </c>
      <c r="BB160" s="15" t="s">
        <v>678</v>
      </c>
    </row>
    <row r="161" spans="1:54" x14ac:dyDescent="0.25">
      <c r="A161">
        <v>156</v>
      </c>
      <c r="B161" t="s">
        <v>3358</v>
      </c>
      <c r="C161" t="s">
        <v>3359</v>
      </c>
      <c r="D161" t="s">
        <v>3360</v>
      </c>
      <c r="E161">
        <v>1</v>
      </c>
      <c r="F161" t="s">
        <v>2418</v>
      </c>
      <c r="G161" t="s">
        <v>3010</v>
      </c>
      <c r="H161" t="s">
        <v>3049</v>
      </c>
      <c r="I161" t="s">
        <v>3050</v>
      </c>
      <c r="J161" t="s">
        <v>3264</v>
      </c>
      <c r="K161" t="s">
        <v>3286</v>
      </c>
      <c r="L161" t="s">
        <v>3206</v>
      </c>
      <c r="M161">
        <v>9.1290130615234375</v>
      </c>
      <c r="N161" t="s">
        <v>54</v>
      </c>
      <c r="O161" t="s">
        <v>53</v>
      </c>
      <c r="P161" t="s">
        <v>53</v>
      </c>
      <c r="Q161" t="s">
        <v>53</v>
      </c>
      <c r="R161" t="s">
        <v>53</v>
      </c>
      <c r="S161" t="s">
        <v>3207</v>
      </c>
      <c r="T161" t="s">
        <v>3208</v>
      </c>
      <c r="U161" t="s">
        <v>53</v>
      </c>
      <c r="V161" t="s">
        <v>51</v>
      </c>
      <c r="W161">
        <v>250000</v>
      </c>
      <c r="X161" t="s">
        <v>54</v>
      </c>
      <c r="Y161" t="s">
        <v>3209</v>
      </c>
      <c r="Z161">
        <v>218250</v>
      </c>
      <c r="AA161">
        <v>133</v>
      </c>
      <c r="AB161">
        <v>111</v>
      </c>
      <c r="AC161">
        <v>626</v>
      </c>
      <c r="AD161">
        <v>323</v>
      </c>
      <c r="AE161">
        <v>864</v>
      </c>
      <c r="AF161">
        <v>1</v>
      </c>
      <c r="AG161">
        <v>0</v>
      </c>
      <c r="AH161">
        <v>19.0872917175293</v>
      </c>
      <c r="AI161">
        <v>0</v>
      </c>
      <c r="AJ161">
        <v>0</v>
      </c>
      <c r="AK161" t="s">
        <v>54</v>
      </c>
      <c r="AL161" t="s">
        <v>54</v>
      </c>
      <c r="AM161" t="s">
        <v>3210</v>
      </c>
      <c r="AN161" s="148">
        <v>38718</v>
      </c>
      <c r="AO161" s="148">
        <v>38718</v>
      </c>
      <c r="AP161" t="s">
        <v>3015</v>
      </c>
      <c r="AQ161" t="s">
        <v>54</v>
      </c>
      <c r="AR161" t="s">
        <v>3009</v>
      </c>
      <c r="AS161" s="148">
        <v>40333</v>
      </c>
      <c r="AT161" t="s">
        <v>3009</v>
      </c>
      <c r="AW161" t="s">
        <v>53</v>
      </c>
      <c r="AZ161" t="s">
        <v>54</v>
      </c>
      <c r="BA161" t="s">
        <v>2425</v>
      </c>
      <c r="BB161" s="15" t="s">
        <v>678</v>
      </c>
    </row>
    <row r="162" spans="1:54" x14ac:dyDescent="0.25">
      <c r="A162">
        <v>157</v>
      </c>
      <c r="B162" t="s">
        <v>3361</v>
      </c>
      <c r="C162" t="s">
        <v>3362</v>
      </c>
      <c r="D162" t="s">
        <v>3363</v>
      </c>
      <c r="E162">
        <v>1</v>
      </c>
      <c r="F162" t="s">
        <v>2418</v>
      </c>
      <c r="G162" t="s">
        <v>3123</v>
      </c>
      <c r="H162" t="s">
        <v>3049</v>
      </c>
      <c r="I162" t="s">
        <v>3050</v>
      </c>
      <c r="J162" t="s">
        <v>3264</v>
      </c>
      <c r="K162" t="s">
        <v>3286</v>
      </c>
      <c r="L162" t="s">
        <v>3206</v>
      </c>
      <c r="M162">
        <v>9.1290130615234375</v>
      </c>
      <c r="N162" t="s">
        <v>54</v>
      </c>
      <c r="O162" t="s">
        <v>53</v>
      </c>
      <c r="P162" t="s">
        <v>53</v>
      </c>
      <c r="Q162" t="s">
        <v>53</v>
      </c>
      <c r="R162" t="s">
        <v>53</v>
      </c>
      <c r="S162" t="s">
        <v>3128</v>
      </c>
      <c r="T162" t="s">
        <v>3129</v>
      </c>
      <c r="U162" t="s">
        <v>53</v>
      </c>
      <c r="V162" t="s">
        <v>51</v>
      </c>
      <c r="W162">
        <v>250000</v>
      </c>
      <c r="X162" t="s">
        <v>54</v>
      </c>
      <c r="Y162" t="s">
        <v>3130</v>
      </c>
      <c r="Z162">
        <v>566500</v>
      </c>
      <c r="AA162">
        <v>133</v>
      </c>
      <c r="AB162">
        <v>111</v>
      </c>
      <c r="AC162">
        <v>626</v>
      </c>
      <c r="AD162">
        <v>323</v>
      </c>
      <c r="AE162">
        <v>864</v>
      </c>
      <c r="AF162">
        <v>1</v>
      </c>
      <c r="AG162">
        <v>0</v>
      </c>
      <c r="AH162">
        <v>19.0872917175293</v>
      </c>
      <c r="AI162">
        <v>0</v>
      </c>
      <c r="AJ162">
        <v>0</v>
      </c>
      <c r="AK162" t="s">
        <v>54</v>
      </c>
      <c r="AL162" t="s">
        <v>54</v>
      </c>
      <c r="AM162" t="s">
        <v>3131</v>
      </c>
      <c r="AN162" s="148">
        <v>38718</v>
      </c>
      <c r="AO162" s="148">
        <v>38718</v>
      </c>
      <c r="AP162" t="s">
        <v>3015</v>
      </c>
      <c r="AQ162" t="s">
        <v>54</v>
      </c>
      <c r="AR162" t="s">
        <v>3132</v>
      </c>
      <c r="AS162" s="148">
        <v>40333</v>
      </c>
      <c r="AT162" t="s">
        <v>3132</v>
      </c>
      <c r="AW162" t="s">
        <v>53</v>
      </c>
      <c r="AZ162" t="s">
        <v>54</v>
      </c>
      <c r="BA162" t="s">
        <v>2425</v>
      </c>
      <c r="BB162" s="15" t="s">
        <v>678</v>
      </c>
    </row>
    <row r="163" spans="1:54" x14ac:dyDescent="0.25">
      <c r="A163">
        <v>158</v>
      </c>
      <c r="B163" t="s">
        <v>3364</v>
      </c>
      <c r="C163" t="s">
        <v>3365</v>
      </c>
      <c r="D163" t="s">
        <v>3366</v>
      </c>
      <c r="E163">
        <v>1</v>
      </c>
      <c r="F163" t="s">
        <v>2418</v>
      </c>
      <c r="G163" t="s">
        <v>3123</v>
      </c>
      <c r="H163" t="s">
        <v>3049</v>
      </c>
      <c r="I163" t="s">
        <v>3050</v>
      </c>
      <c r="J163" t="s">
        <v>3264</v>
      </c>
      <c r="K163" t="s">
        <v>3286</v>
      </c>
      <c r="L163" t="s">
        <v>3206</v>
      </c>
      <c r="M163">
        <v>9.1290130615234375</v>
      </c>
      <c r="N163" t="s">
        <v>54</v>
      </c>
      <c r="O163" t="s">
        <v>53</v>
      </c>
      <c r="P163" t="s">
        <v>53</v>
      </c>
      <c r="Q163" t="s">
        <v>53</v>
      </c>
      <c r="R163" t="s">
        <v>53</v>
      </c>
      <c r="S163" t="s">
        <v>3128</v>
      </c>
      <c r="T163" t="s">
        <v>3129</v>
      </c>
      <c r="U163" t="s">
        <v>53</v>
      </c>
      <c r="V163" t="s">
        <v>51</v>
      </c>
      <c r="W163">
        <v>250000</v>
      </c>
      <c r="X163" t="s">
        <v>54</v>
      </c>
      <c r="Y163" t="s">
        <v>3130</v>
      </c>
      <c r="Z163">
        <v>418750</v>
      </c>
      <c r="AA163">
        <v>133</v>
      </c>
      <c r="AB163">
        <v>111</v>
      </c>
      <c r="AC163">
        <v>626</v>
      </c>
      <c r="AD163">
        <v>323</v>
      </c>
      <c r="AE163">
        <v>864</v>
      </c>
      <c r="AF163">
        <v>1</v>
      </c>
      <c r="AG163">
        <v>0</v>
      </c>
      <c r="AH163">
        <v>19.0872917175293</v>
      </c>
      <c r="AI163">
        <v>0</v>
      </c>
      <c r="AJ163">
        <v>0</v>
      </c>
      <c r="AK163" t="s">
        <v>54</v>
      </c>
      <c r="AL163" t="s">
        <v>54</v>
      </c>
      <c r="AM163" t="s">
        <v>3131</v>
      </c>
      <c r="AN163" s="148">
        <v>38718</v>
      </c>
      <c r="AO163" s="148">
        <v>38718</v>
      </c>
      <c r="AP163" t="s">
        <v>3015</v>
      </c>
      <c r="AQ163" t="s">
        <v>54</v>
      </c>
      <c r="AR163" t="s">
        <v>3132</v>
      </c>
      <c r="AS163" s="148">
        <v>40333</v>
      </c>
      <c r="AT163" t="s">
        <v>3132</v>
      </c>
      <c r="AW163" t="s">
        <v>53</v>
      </c>
      <c r="AZ163" t="s">
        <v>54</v>
      </c>
      <c r="BA163" t="s">
        <v>2425</v>
      </c>
      <c r="BB163" s="15" t="s">
        <v>676</v>
      </c>
    </row>
    <row r="164" spans="1:54" x14ac:dyDescent="0.25">
      <c r="A164">
        <v>159</v>
      </c>
      <c r="B164" t="s">
        <v>3367</v>
      </c>
      <c r="C164" t="s">
        <v>3368</v>
      </c>
      <c r="D164" t="s">
        <v>3369</v>
      </c>
      <c r="E164">
        <v>1</v>
      </c>
      <c r="F164" t="s">
        <v>2418</v>
      </c>
      <c r="G164" t="s">
        <v>3010</v>
      </c>
      <c r="H164" t="s">
        <v>3202</v>
      </c>
      <c r="I164" t="s">
        <v>3203</v>
      </c>
      <c r="J164" t="s">
        <v>3204</v>
      </c>
      <c r="K164" t="s">
        <v>3295</v>
      </c>
      <c r="L164" t="s">
        <v>3206</v>
      </c>
      <c r="M164">
        <v>3.738294124603271</v>
      </c>
      <c r="N164" t="s">
        <v>54</v>
      </c>
      <c r="O164" t="s">
        <v>53</v>
      </c>
      <c r="P164" t="s">
        <v>53</v>
      </c>
      <c r="Q164" t="s">
        <v>54</v>
      </c>
      <c r="R164" t="s">
        <v>53</v>
      </c>
      <c r="S164" t="s">
        <v>3207</v>
      </c>
      <c r="T164" t="s">
        <v>3208</v>
      </c>
      <c r="U164" t="s">
        <v>53</v>
      </c>
      <c r="V164" t="s">
        <v>51</v>
      </c>
      <c r="W164">
        <v>250000</v>
      </c>
      <c r="X164" t="s">
        <v>54</v>
      </c>
      <c r="Y164" t="s">
        <v>3209</v>
      </c>
      <c r="Z164">
        <v>101500</v>
      </c>
      <c r="AA164">
        <v>30</v>
      </c>
      <c r="AB164">
        <v>4</v>
      </c>
      <c r="AC164">
        <v>295</v>
      </c>
      <c r="AD164">
        <v>5</v>
      </c>
      <c r="AE164">
        <v>297</v>
      </c>
      <c r="AF164">
        <v>1</v>
      </c>
      <c r="AG164">
        <v>0</v>
      </c>
      <c r="AH164">
        <v>2.073381900787354</v>
      </c>
      <c r="AI164">
        <v>0</v>
      </c>
      <c r="AJ164">
        <v>0</v>
      </c>
      <c r="AK164" t="s">
        <v>54</v>
      </c>
      <c r="AL164" t="s">
        <v>54</v>
      </c>
      <c r="AM164" t="s">
        <v>3210</v>
      </c>
      <c r="AN164" s="148">
        <v>38718</v>
      </c>
      <c r="AO164" s="148">
        <v>38718</v>
      </c>
      <c r="AP164" t="s">
        <v>3015</v>
      </c>
      <c r="AQ164" t="s">
        <v>54</v>
      </c>
      <c r="AR164" t="s">
        <v>3009</v>
      </c>
      <c r="AS164" s="148">
        <v>40333</v>
      </c>
      <c r="AT164" t="s">
        <v>3009</v>
      </c>
      <c r="AW164" t="s">
        <v>53</v>
      </c>
      <c r="AZ164" t="s">
        <v>54</v>
      </c>
      <c r="BA164" t="s">
        <v>2425</v>
      </c>
      <c r="BB164" s="15" t="s">
        <v>676</v>
      </c>
    </row>
    <row r="165" spans="1:54" x14ac:dyDescent="0.25">
      <c r="A165">
        <v>160</v>
      </c>
      <c r="B165" t="s">
        <v>3370</v>
      </c>
      <c r="C165" t="s">
        <v>3371</v>
      </c>
      <c r="D165" t="s">
        <v>3372</v>
      </c>
      <c r="E165">
        <v>1</v>
      </c>
      <c r="F165" t="s">
        <v>2418</v>
      </c>
      <c r="G165" t="s">
        <v>3018</v>
      </c>
      <c r="H165" t="s">
        <v>3333</v>
      </c>
      <c r="I165" t="s">
        <v>3334</v>
      </c>
      <c r="J165" t="s">
        <v>3335</v>
      </c>
      <c r="K165" t="s">
        <v>3336</v>
      </c>
      <c r="L165" t="s">
        <v>3206</v>
      </c>
      <c r="M165">
        <v>6.2938899993896484</v>
      </c>
      <c r="N165" t="s">
        <v>54</v>
      </c>
      <c r="O165" t="s">
        <v>53</v>
      </c>
      <c r="P165" t="s">
        <v>53</v>
      </c>
      <c r="Q165" t="s">
        <v>54</v>
      </c>
      <c r="R165" t="s">
        <v>53</v>
      </c>
      <c r="S165" t="s">
        <v>3128</v>
      </c>
      <c r="T165" t="s">
        <v>3219</v>
      </c>
      <c r="U165" t="s">
        <v>53</v>
      </c>
      <c r="V165" t="s">
        <v>51</v>
      </c>
      <c r="W165">
        <v>250000</v>
      </c>
      <c r="X165" t="s">
        <v>54</v>
      </c>
      <c r="Y165" t="s">
        <v>3130</v>
      </c>
      <c r="Z165">
        <v>879750</v>
      </c>
      <c r="AA165">
        <v>200</v>
      </c>
      <c r="AB165">
        <v>172</v>
      </c>
      <c r="AC165">
        <v>189</v>
      </c>
      <c r="AD165">
        <v>680</v>
      </c>
      <c r="AE165">
        <v>750</v>
      </c>
      <c r="AF165">
        <v>0</v>
      </c>
      <c r="AG165">
        <v>0</v>
      </c>
      <c r="AH165">
        <v>12.79281425476074</v>
      </c>
      <c r="AI165">
        <v>0</v>
      </c>
      <c r="AJ165">
        <v>53.635036468505859</v>
      </c>
      <c r="AK165" t="s">
        <v>54</v>
      </c>
      <c r="AL165" t="s">
        <v>54</v>
      </c>
      <c r="AM165" t="s">
        <v>3220</v>
      </c>
      <c r="AN165" s="148">
        <v>38718</v>
      </c>
      <c r="AO165" s="148">
        <v>38718</v>
      </c>
      <c r="AP165" t="s">
        <v>2946</v>
      </c>
      <c r="AQ165" t="s">
        <v>54</v>
      </c>
      <c r="AR165" t="s">
        <v>3017</v>
      </c>
      <c r="AS165" s="148">
        <v>40333</v>
      </c>
      <c r="AT165" t="s">
        <v>3017</v>
      </c>
      <c r="AW165" t="s">
        <v>53</v>
      </c>
      <c r="AZ165" t="s">
        <v>54</v>
      </c>
      <c r="BA165" t="s">
        <v>2425</v>
      </c>
      <c r="BB165" s="15" t="s">
        <v>676</v>
      </c>
    </row>
    <row r="166" spans="1:54" x14ac:dyDescent="0.25">
      <c r="A166">
        <v>161</v>
      </c>
      <c r="B166" t="s">
        <v>3373</v>
      </c>
      <c r="C166" t="s">
        <v>3374</v>
      </c>
      <c r="D166" t="s">
        <v>3375</v>
      </c>
      <c r="E166">
        <v>1</v>
      </c>
      <c r="F166" t="s">
        <v>2418</v>
      </c>
      <c r="G166" t="s">
        <v>3018</v>
      </c>
      <c r="H166" t="s">
        <v>3333</v>
      </c>
      <c r="I166" t="s">
        <v>3334</v>
      </c>
      <c r="J166" t="s">
        <v>3335</v>
      </c>
      <c r="K166" t="s">
        <v>3336</v>
      </c>
      <c r="L166" t="s">
        <v>3206</v>
      </c>
      <c r="M166">
        <v>6.2938899993896484</v>
      </c>
      <c r="N166" t="s">
        <v>54</v>
      </c>
      <c r="O166" t="s">
        <v>53</v>
      </c>
      <c r="P166" t="s">
        <v>53</v>
      </c>
      <c r="Q166" t="s">
        <v>54</v>
      </c>
      <c r="R166" t="s">
        <v>53</v>
      </c>
      <c r="S166" t="s">
        <v>3128</v>
      </c>
      <c r="T166" t="s">
        <v>3219</v>
      </c>
      <c r="U166" t="s">
        <v>53</v>
      </c>
      <c r="V166" t="s">
        <v>51</v>
      </c>
      <c r="W166">
        <v>250000</v>
      </c>
      <c r="X166" t="s">
        <v>54</v>
      </c>
      <c r="Y166" t="s">
        <v>3130</v>
      </c>
      <c r="Z166">
        <v>421750</v>
      </c>
      <c r="AA166">
        <v>200</v>
      </c>
      <c r="AB166">
        <v>172</v>
      </c>
      <c r="AC166">
        <v>189</v>
      </c>
      <c r="AD166">
        <v>680</v>
      </c>
      <c r="AE166">
        <v>750</v>
      </c>
      <c r="AF166">
        <v>0</v>
      </c>
      <c r="AG166">
        <v>0</v>
      </c>
      <c r="AH166">
        <v>12.79281425476074</v>
      </c>
      <c r="AI166">
        <v>0</v>
      </c>
      <c r="AJ166">
        <v>53.635036468505859</v>
      </c>
      <c r="AK166" t="s">
        <v>54</v>
      </c>
      <c r="AL166" t="s">
        <v>54</v>
      </c>
      <c r="AM166" t="s">
        <v>3220</v>
      </c>
      <c r="AN166" s="148">
        <v>38718</v>
      </c>
      <c r="AO166" s="148">
        <v>38718</v>
      </c>
      <c r="AP166" t="s">
        <v>2946</v>
      </c>
      <c r="AQ166" t="s">
        <v>54</v>
      </c>
      <c r="AR166" t="s">
        <v>3017</v>
      </c>
      <c r="AS166" s="148">
        <v>40333</v>
      </c>
      <c r="AT166" t="s">
        <v>3017</v>
      </c>
      <c r="AW166" t="s">
        <v>53</v>
      </c>
      <c r="AZ166" t="s">
        <v>54</v>
      </c>
      <c r="BA166" t="s">
        <v>2425</v>
      </c>
      <c r="BB166" s="15" t="s">
        <v>676</v>
      </c>
    </row>
    <row r="167" spans="1:54" x14ac:dyDescent="0.25">
      <c r="A167">
        <v>162</v>
      </c>
      <c r="B167" t="s">
        <v>3376</v>
      </c>
      <c r="C167" t="s">
        <v>3377</v>
      </c>
      <c r="D167" t="s">
        <v>3378</v>
      </c>
      <c r="E167">
        <v>1</v>
      </c>
      <c r="F167" t="s">
        <v>2418</v>
      </c>
      <c r="G167" t="s">
        <v>3018</v>
      </c>
      <c r="H167" t="s">
        <v>3308</v>
      </c>
      <c r="I167" t="s">
        <v>3309</v>
      </c>
      <c r="J167" t="s">
        <v>3310</v>
      </c>
      <c r="K167" t="s">
        <v>3311</v>
      </c>
      <c r="L167" t="s">
        <v>2422</v>
      </c>
      <c r="M167">
        <v>2.9388809204101558</v>
      </c>
      <c r="N167" t="s">
        <v>54</v>
      </c>
      <c r="O167" t="s">
        <v>53</v>
      </c>
      <c r="P167" t="s">
        <v>53</v>
      </c>
      <c r="Q167" t="s">
        <v>54</v>
      </c>
      <c r="R167" t="s">
        <v>53</v>
      </c>
      <c r="S167" t="s">
        <v>3128</v>
      </c>
      <c r="T167" t="s">
        <v>3219</v>
      </c>
      <c r="U167" t="s">
        <v>53</v>
      </c>
      <c r="V167" t="s">
        <v>138</v>
      </c>
      <c r="W167">
        <v>431000</v>
      </c>
      <c r="X167" t="s">
        <v>54</v>
      </c>
      <c r="Y167" t="s">
        <v>3130</v>
      </c>
      <c r="Z167">
        <v>107693</v>
      </c>
      <c r="AA167">
        <v>87</v>
      </c>
      <c r="AB167">
        <v>87</v>
      </c>
      <c r="AC167">
        <v>80</v>
      </c>
      <c r="AD167">
        <v>280</v>
      </c>
      <c r="AE167">
        <v>280</v>
      </c>
      <c r="AF167">
        <v>0</v>
      </c>
      <c r="AG167">
        <v>0</v>
      </c>
      <c r="AH167">
        <v>2.116379022598267</v>
      </c>
      <c r="AI167">
        <v>0</v>
      </c>
      <c r="AJ167">
        <v>51.514286041259773</v>
      </c>
      <c r="AK167" t="s">
        <v>54</v>
      </c>
      <c r="AL167" t="s">
        <v>54</v>
      </c>
      <c r="AM167" t="s">
        <v>3220</v>
      </c>
      <c r="AN167" s="148">
        <v>38718</v>
      </c>
      <c r="AO167" s="148">
        <v>38718</v>
      </c>
      <c r="AP167" t="s">
        <v>2946</v>
      </c>
      <c r="AQ167" t="s">
        <v>54</v>
      </c>
      <c r="AR167" t="s">
        <v>3017</v>
      </c>
      <c r="AS167" s="148">
        <v>40333</v>
      </c>
      <c r="AT167" t="s">
        <v>3017</v>
      </c>
      <c r="AW167" t="s">
        <v>53</v>
      </c>
      <c r="AZ167" t="s">
        <v>54</v>
      </c>
      <c r="BA167" t="s">
        <v>2425</v>
      </c>
      <c r="BB167" s="15" t="s">
        <v>678</v>
      </c>
    </row>
    <row r="168" spans="1:54" x14ac:dyDescent="0.25">
      <c r="A168">
        <v>163</v>
      </c>
      <c r="B168" t="s">
        <v>3379</v>
      </c>
      <c r="C168" t="s">
        <v>3380</v>
      </c>
      <c r="D168" t="s">
        <v>3378</v>
      </c>
      <c r="E168">
        <v>1</v>
      </c>
      <c r="F168" t="s">
        <v>2418</v>
      </c>
      <c r="G168" t="s">
        <v>3018</v>
      </c>
      <c r="H168" t="s">
        <v>3049</v>
      </c>
      <c r="I168" t="s">
        <v>3050</v>
      </c>
      <c r="J168" t="s">
        <v>3264</v>
      </c>
      <c r="K168" t="s">
        <v>3316</v>
      </c>
      <c r="L168" t="s">
        <v>2422</v>
      </c>
      <c r="M168">
        <v>1.926968455314636</v>
      </c>
      <c r="N168" t="s">
        <v>54</v>
      </c>
      <c r="O168" t="s">
        <v>53</v>
      </c>
      <c r="P168" t="s">
        <v>53</v>
      </c>
      <c r="Q168" t="s">
        <v>53</v>
      </c>
      <c r="R168" t="s">
        <v>53</v>
      </c>
      <c r="S168" t="s">
        <v>3128</v>
      </c>
      <c r="T168" t="s">
        <v>3219</v>
      </c>
      <c r="U168" t="s">
        <v>53</v>
      </c>
      <c r="V168" t="s">
        <v>138</v>
      </c>
      <c r="W168">
        <v>282000</v>
      </c>
      <c r="X168" t="s">
        <v>54</v>
      </c>
      <c r="Y168" t="s">
        <v>3130</v>
      </c>
      <c r="Z168">
        <v>70612</v>
      </c>
      <c r="AA168">
        <v>13</v>
      </c>
      <c r="AB168">
        <v>11</v>
      </c>
      <c r="AC168">
        <v>28</v>
      </c>
      <c r="AD168">
        <v>46</v>
      </c>
      <c r="AE168">
        <v>66</v>
      </c>
      <c r="AF168">
        <v>0</v>
      </c>
      <c r="AG168">
        <v>0</v>
      </c>
      <c r="AH168">
        <v>4.3597249984741211</v>
      </c>
      <c r="AI168">
        <v>0</v>
      </c>
      <c r="AJ168">
        <v>1.0178037881851201</v>
      </c>
      <c r="AK168" t="s">
        <v>54</v>
      </c>
      <c r="AL168" t="s">
        <v>54</v>
      </c>
      <c r="AM168" t="s">
        <v>3220</v>
      </c>
      <c r="AN168" s="148">
        <v>38718</v>
      </c>
      <c r="AO168" s="148">
        <v>38718</v>
      </c>
      <c r="AP168" t="s">
        <v>2946</v>
      </c>
      <c r="AQ168" t="s">
        <v>54</v>
      </c>
      <c r="AR168" t="s">
        <v>3017</v>
      </c>
      <c r="AS168" s="148">
        <v>40333</v>
      </c>
      <c r="AT168" t="s">
        <v>3017</v>
      </c>
      <c r="AW168" t="s">
        <v>53</v>
      </c>
      <c r="AZ168" t="s">
        <v>54</v>
      </c>
      <c r="BA168" t="s">
        <v>2425</v>
      </c>
      <c r="BB168" s="15" t="s">
        <v>678</v>
      </c>
    </row>
    <row r="169" spans="1:54" x14ac:dyDescent="0.25">
      <c r="A169">
        <v>164</v>
      </c>
      <c r="B169" t="s">
        <v>3381</v>
      </c>
      <c r="C169" t="s">
        <v>3382</v>
      </c>
      <c r="D169" t="s">
        <v>3378</v>
      </c>
      <c r="E169">
        <v>1</v>
      </c>
      <c r="F169" t="s">
        <v>2418</v>
      </c>
      <c r="G169" t="s">
        <v>3018</v>
      </c>
      <c r="H169" t="s">
        <v>3308</v>
      </c>
      <c r="I169" t="s">
        <v>3309</v>
      </c>
      <c r="J169" t="s">
        <v>3310</v>
      </c>
      <c r="K169" t="s">
        <v>3383</v>
      </c>
      <c r="L169" t="s">
        <v>2422</v>
      </c>
      <c r="M169">
        <v>1.9409633874893191</v>
      </c>
      <c r="N169" t="s">
        <v>54</v>
      </c>
      <c r="O169" t="s">
        <v>53</v>
      </c>
      <c r="P169" t="s">
        <v>53</v>
      </c>
      <c r="Q169" t="s">
        <v>54</v>
      </c>
      <c r="R169" t="s">
        <v>53</v>
      </c>
      <c r="S169" t="s">
        <v>3128</v>
      </c>
      <c r="T169" t="s">
        <v>3219</v>
      </c>
      <c r="U169" t="s">
        <v>53</v>
      </c>
      <c r="V169" t="s">
        <v>138</v>
      </c>
      <c r="W169">
        <v>284000</v>
      </c>
      <c r="X169" t="s">
        <v>54</v>
      </c>
      <c r="Y169" t="s">
        <v>3130</v>
      </c>
      <c r="Z169">
        <v>71125</v>
      </c>
      <c r="AA169">
        <v>7</v>
      </c>
      <c r="AB169">
        <v>5</v>
      </c>
      <c r="AC169">
        <v>20</v>
      </c>
      <c r="AD169">
        <v>20</v>
      </c>
      <c r="AE169">
        <v>35</v>
      </c>
      <c r="AF169">
        <v>0</v>
      </c>
      <c r="AG169">
        <v>0</v>
      </c>
      <c r="AH169">
        <v>1.1790826320648189</v>
      </c>
      <c r="AI169">
        <v>0</v>
      </c>
      <c r="AJ169">
        <v>53.919952392578118</v>
      </c>
      <c r="AK169" t="s">
        <v>54</v>
      </c>
      <c r="AL169" t="s">
        <v>54</v>
      </c>
      <c r="AM169" t="s">
        <v>3220</v>
      </c>
      <c r="AN169" s="148">
        <v>38718</v>
      </c>
      <c r="AO169" s="148">
        <v>38718</v>
      </c>
      <c r="AP169" t="s">
        <v>2946</v>
      </c>
      <c r="AQ169" t="s">
        <v>54</v>
      </c>
      <c r="AR169" t="s">
        <v>3017</v>
      </c>
      <c r="AS169" s="148">
        <v>40333</v>
      </c>
      <c r="AT169" t="s">
        <v>3017</v>
      </c>
      <c r="AW169" t="s">
        <v>53</v>
      </c>
      <c r="AZ169" t="s">
        <v>54</v>
      </c>
      <c r="BA169" t="s">
        <v>2425</v>
      </c>
      <c r="BB169" s="15" t="s">
        <v>676</v>
      </c>
    </row>
    <row r="170" spans="1:54" x14ac:dyDescent="0.25">
      <c r="A170">
        <v>165</v>
      </c>
      <c r="B170" t="s">
        <v>3384</v>
      </c>
      <c r="C170" t="s">
        <v>3385</v>
      </c>
      <c r="D170" t="s">
        <v>3386</v>
      </c>
      <c r="E170">
        <v>1</v>
      </c>
      <c r="F170" t="s">
        <v>2418</v>
      </c>
      <c r="G170" t="s">
        <v>3123</v>
      </c>
      <c r="H170" t="s">
        <v>3333</v>
      </c>
      <c r="I170" t="s">
        <v>3387</v>
      </c>
      <c r="J170" t="s">
        <v>3388</v>
      </c>
      <c r="K170" t="s">
        <v>3389</v>
      </c>
      <c r="L170" t="s">
        <v>2422</v>
      </c>
      <c r="M170">
        <v>9.1290130615234375</v>
      </c>
      <c r="N170" t="s">
        <v>54</v>
      </c>
      <c r="O170" t="s">
        <v>53</v>
      </c>
      <c r="P170" t="s">
        <v>53</v>
      </c>
      <c r="Q170" t="s">
        <v>53</v>
      </c>
      <c r="R170" t="s">
        <v>53</v>
      </c>
      <c r="S170" t="s">
        <v>3128</v>
      </c>
      <c r="T170" t="s">
        <v>3129</v>
      </c>
      <c r="U170" t="s">
        <v>53</v>
      </c>
      <c r="V170" t="s">
        <v>138</v>
      </c>
      <c r="W170">
        <v>1000000</v>
      </c>
      <c r="X170" t="s">
        <v>54</v>
      </c>
      <c r="Y170" t="s">
        <v>3130</v>
      </c>
      <c r="Z170">
        <v>250000</v>
      </c>
      <c r="AA170">
        <v>133</v>
      </c>
      <c r="AB170">
        <v>111</v>
      </c>
      <c r="AC170">
        <v>626</v>
      </c>
      <c r="AD170">
        <v>323</v>
      </c>
      <c r="AE170">
        <v>864</v>
      </c>
      <c r="AF170">
        <v>1</v>
      </c>
      <c r="AG170">
        <v>0</v>
      </c>
      <c r="AH170">
        <v>19.0872917175293</v>
      </c>
      <c r="AI170">
        <v>0</v>
      </c>
      <c r="AJ170">
        <v>0</v>
      </c>
      <c r="AK170" t="s">
        <v>54</v>
      </c>
      <c r="AL170" t="s">
        <v>54</v>
      </c>
      <c r="AM170" t="s">
        <v>3131</v>
      </c>
      <c r="AN170" s="148">
        <v>38718</v>
      </c>
      <c r="AO170" s="148">
        <v>38718</v>
      </c>
      <c r="AP170" t="s">
        <v>3015</v>
      </c>
      <c r="AQ170" t="s">
        <v>54</v>
      </c>
      <c r="AR170" t="s">
        <v>3132</v>
      </c>
      <c r="AS170" s="148">
        <v>40333</v>
      </c>
      <c r="AT170" t="s">
        <v>3132</v>
      </c>
      <c r="AW170" t="s">
        <v>53</v>
      </c>
      <c r="AZ170" t="s">
        <v>54</v>
      </c>
      <c r="BA170" t="s">
        <v>2425</v>
      </c>
      <c r="BB170" s="15" t="s">
        <v>676</v>
      </c>
    </row>
    <row r="171" spans="1:54" x14ac:dyDescent="0.25">
      <c r="A171">
        <v>166</v>
      </c>
      <c r="B171" t="s">
        <v>3390</v>
      </c>
      <c r="C171" t="s">
        <v>3391</v>
      </c>
      <c r="D171" t="s">
        <v>3386</v>
      </c>
      <c r="E171">
        <v>1</v>
      </c>
      <c r="F171" t="s">
        <v>2418</v>
      </c>
      <c r="G171" t="s">
        <v>3018</v>
      </c>
      <c r="H171" t="s">
        <v>3049</v>
      </c>
      <c r="I171" t="s">
        <v>3050</v>
      </c>
      <c r="J171" t="s">
        <v>3392</v>
      </c>
      <c r="K171" t="s">
        <v>3393</v>
      </c>
      <c r="L171" t="s">
        <v>2422</v>
      </c>
      <c r="M171">
        <v>1.333381175994873</v>
      </c>
      <c r="N171" t="s">
        <v>54</v>
      </c>
      <c r="O171" t="s">
        <v>53</v>
      </c>
      <c r="P171" t="s">
        <v>53</v>
      </c>
      <c r="Q171" t="s">
        <v>53</v>
      </c>
      <c r="R171" t="s">
        <v>53</v>
      </c>
      <c r="S171" t="s">
        <v>3128</v>
      </c>
      <c r="T171" t="s">
        <v>3219</v>
      </c>
      <c r="U171" t="s">
        <v>53</v>
      </c>
      <c r="V171" t="s">
        <v>138</v>
      </c>
      <c r="W171">
        <v>195000</v>
      </c>
      <c r="X171" t="s">
        <v>54</v>
      </c>
      <c r="Y171" t="s">
        <v>3130</v>
      </c>
      <c r="Z171">
        <v>48861</v>
      </c>
      <c r="AA171">
        <v>49</v>
      </c>
      <c r="AB171">
        <v>21</v>
      </c>
      <c r="AC171">
        <v>438</v>
      </c>
      <c r="AD171">
        <v>133</v>
      </c>
      <c r="AE171">
        <v>525</v>
      </c>
      <c r="AF171">
        <v>0</v>
      </c>
      <c r="AG171">
        <v>0</v>
      </c>
      <c r="AH171">
        <v>2.8701775074005131</v>
      </c>
      <c r="AI171">
        <v>0</v>
      </c>
      <c r="AJ171">
        <v>0</v>
      </c>
      <c r="AK171" t="s">
        <v>54</v>
      </c>
      <c r="AL171" t="s">
        <v>54</v>
      </c>
      <c r="AM171" t="s">
        <v>3220</v>
      </c>
      <c r="AN171" s="148">
        <v>38718</v>
      </c>
      <c r="AO171" s="148">
        <v>38718</v>
      </c>
      <c r="AP171" t="s">
        <v>2946</v>
      </c>
      <c r="AQ171" t="s">
        <v>54</v>
      </c>
      <c r="AR171" t="s">
        <v>3017</v>
      </c>
      <c r="AS171" s="148">
        <v>40333</v>
      </c>
      <c r="AT171" t="s">
        <v>3017</v>
      </c>
      <c r="AW171" t="s">
        <v>53</v>
      </c>
      <c r="AZ171" t="s">
        <v>54</v>
      </c>
      <c r="BA171" t="s">
        <v>2425</v>
      </c>
      <c r="BB171" s="15" t="s">
        <v>676</v>
      </c>
    </row>
    <row r="172" spans="1:54" x14ac:dyDescent="0.25">
      <c r="A172">
        <v>167</v>
      </c>
      <c r="B172" t="s">
        <v>3394</v>
      </c>
      <c r="C172" t="s">
        <v>3395</v>
      </c>
      <c r="D172" t="s">
        <v>3378</v>
      </c>
      <c r="E172">
        <v>1</v>
      </c>
      <c r="F172" t="s">
        <v>2418</v>
      </c>
      <c r="G172" t="s">
        <v>3018</v>
      </c>
      <c r="H172" t="s">
        <v>3049</v>
      </c>
      <c r="I172" t="s">
        <v>3050</v>
      </c>
      <c r="J172" t="s">
        <v>3264</v>
      </c>
      <c r="K172" t="s">
        <v>3326</v>
      </c>
      <c r="L172" t="s">
        <v>2422</v>
      </c>
      <c r="M172">
        <v>2.8925614356994629</v>
      </c>
      <c r="N172" t="s">
        <v>54</v>
      </c>
      <c r="O172" t="s">
        <v>53</v>
      </c>
      <c r="P172" t="s">
        <v>53</v>
      </c>
      <c r="Q172" t="s">
        <v>54</v>
      </c>
      <c r="R172" t="s">
        <v>53</v>
      </c>
      <c r="S172" t="s">
        <v>3128</v>
      </c>
      <c r="T172" t="s">
        <v>3219</v>
      </c>
      <c r="U172" t="s">
        <v>53</v>
      </c>
      <c r="V172" t="s">
        <v>138</v>
      </c>
      <c r="W172">
        <v>424000</v>
      </c>
      <c r="X172" t="s">
        <v>54</v>
      </c>
      <c r="Y172" t="s">
        <v>3130</v>
      </c>
      <c r="Z172">
        <v>105995</v>
      </c>
      <c r="AA172">
        <v>1</v>
      </c>
      <c r="AB172">
        <v>1</v>
      </c>
      <c r="AC172">
        <v>1</v>
      </c>
      <c r="AD172">
        <v>4</v>
      </c>
      <c r="AE172">
        <v>4</v>
      </c>
      <c r="AF172">
        <v>0</v>
      </c>
      <c r="AG172">
        <v>0</v>
      </c>
      <c r="AH172">
        <v>2.017269611358643</v>
      </c>
      <c r="AI172">
        <v>0</v>
      </c>
      <c r="AJ172">
        <v>57.414852142333977</v>
      </c>
      <c r="AK172" t="s">
        <v>54</v>
      </c>
      <c r="AL172" t="s">
        <v>54</v>
      </c>
      <c r="AM172" t="s">
        <v>3220</v>
      </c>
      <c r="AN172" s="148">
        <v>38718</v>
      </c>
      <c r="AO172" s="148">
        <v>38718</v>
      </c>
      <c r="AP172" t="s">
        <v>2946</v>
      </c>
      <c r="AQ172" t="s">
        <v>54</v>
      </c>
      <c r="AR172" t="s">
        <v>3017</v>
      </c>
      <c r="AS172" s="148">
        <v>40333</v>
      </c>
      <c r="AT172" t="s">
        <v>3017</v>
      </c>
      <c r="AW172" t="s">
        <v>53</v>
      </c>
      <c r="AZ172" t="s">
        <v>54</v>
      </c>
      <c r="BA172" t="s">
        <v>2425</v>
      </c>
      <c r="BB172" s="15" t="s">
        <v>676</v>
      </c>
    </row>
    <row r="173" spans="1:54" x14ac:dyDescent="0.25">
      <c r="A173">
        <v>168</v>
      </c>
      <c r="B173" t="s">
        <v>3396</v>
      </c>
      <c r="C173" t="s">
        <v>3397</v>
      </c>
      <c r="D173" t="s">
        <v>3378</v>
      </c>
      <c r="E173">
        <v>1</v>
      </c>
      <c r="F173" t="s">
        <v>2418</v>
      </c>
      <c r="G173" t="s">
        <v>3018</v>
      </c>
      <c r="H173" t="s">
        <v>3049</v>
      </c>
      <c r="I173" t="s">
        <v>3050</v>
      </c>
      <c r="J173" t="s">
        <v>3264</v>
      </c>
      <c r="K173" t="s">
        <v>3265</v>
      </c>
      <c r="L173" t="s">
        <v>2422</v>
      </c>
      <c r="M173">
        <v>1.683413624763489</v>
      </c>
      <c r="N173" t="s">
        <v>54</v>
      </c>
      <c r="O173" t="s">
        <v>53</v>
      </c>
      <c r="P173" t="s">
        <v>53</v>
      </c>
      <c r="Q173" t="s">
        <v>53</v>
      </c>
      <c r="R173" t="s">
        <v>53</v>
      </c>
      <c r="S173" t="s">
        <v>3128</v>
      </c>
      <c r="T173" t="s">
        <v>3219</v>
      </c>
      <c r="U173" t="s">
        <v>53</v>
      </c>
      <c r="V173" t="s">
        <v>138</v>
      </c>
      <c r="W173">
        <v>247000</v>
      </c>
      <c r="X173" t="s">
        <v>54</v>
      </c>
      <c r="Y173" t="s">
        <v>3130</v>
      </c>
      <c r="Z173">
        <v>61687</v>
      </c>
      <c r="AA173">
        <v>5</v>
      </c>
      <c r="AB173">
        <v>4</v>
      </c>
      <c r="AC173">
        <v>2</v>
      </c>
      <c r="AD173">
        <v>12</v>
      </c>
      <c r="AE173">
        <v>12</v>
      </c>
      <c r="AF173">
        <v>0</v>
      </c>
      <c r="AG173">
        <v>0</v>
      </c>
      <c r="AH173">
        <v>2.0975136756896968</v>
      </c>
      <c r="AI173">
        <v>0</v>
      </c>
      <c r="AJ173">
        <v>0</v>
      </c>
      <c r="AK173" t="s">
        <v>54</v>
      </c>
      <c r="AL173" t="s">
        <v>54</v>
      </c>
      <c r="AM173" t="s">
        <v>3220</v>
      </c>
      <c r="AN173" s="148">
        <v>38718</v>
      </c>
      <c r="AO173" s="148">
        <v>38718</v>
      </c>
      <c r="AP173" t="s">
        <v>2946</v>
      </c>
      <c r="AQ173" t="s">
        <v>54</v>
      </c>
      <c r="AR173" t="s">
        <v>3017</v>
      </c>
      <c r="AS173" s="148">
        <v>40333</v>
      </c>
      <c r="AT173" t="s">
        <v>3017</v>
      </c>
      <c r="AW173" t="s">
        <v>53</v>
      </c>
      <c r="AZ173" t="s">
        <v>54</v>
      </c>
      <c r="BA173" t="s">
        <v>2425</v>
      </c>
      <c r="BB173" s="15" t="s">
        <v>678</v>
      </c>
    </row>
    <row r="174" spans="1:54" x14ac:dyDescent="0.25">
      <c r="A174">
        <v>169</v>
      </c>
      <c r="B174" t="s">
        <v>3398</v>
      </c>
      <c r="C174" t="s">
        <v>3399</v>
      </c>
      <c r="D174" t="s">
        <v>3378</v>
      </c>
      <c r="E174">
        <v>1</v>
      </c>
      <c r="F174" t="s">
        <v>2418</v>
      </c>
      <c r="G174" t="s">
        <v>3018</v>
      </c>
      <c r="H174" t="s">
        <v>3049</v>
      </c>
      <c r="I174" t="s">
        <v>3050</v>
      </c>
      <c r="J174" t="s">
        <v>3392</v>
      </c>
      <c r="K174" t="s">
        <v>3400</v>
      </c>
      <c r="L174" t="s">
        <v>2422</v>
      </c>
      <c r="M174">
        <v>6.2938899993896484</v>
      </c>
      <c r="N174" t="s">
        <v>54</v>
      </c>
      <c r="O174" t="s">
        <v>53</v>
      </c>
      <c r="P174" t="s">
        <v>53</v>
      </c>
      <c r="Q174" t="s">
        <v>54</v>
      </c>
      <c r="R174" t="s">
        <v>53</v>
      </c>
      <c r="S174" t="s">
        <v>3128</v>
      </c>
      <c r="T174" t="s">
        <v>3219</v>
      </c>
      <c r="U174" t="s">
        <v>53</v>
      </c>
      <c r="V174" t="s">
        <v>138</v>
      </c>
      <c r="W174">
        <v>923000</v>
      </c>
      <c r="X174" t="s">
        <v>54</v>
      </c>
      <c r="Y174" t="s">
        <v>3130</v>
      </c>
      <c r="Z174">
        <v>230634</v>
      </c>
      <c r="AA174">
        <v>200</v>
      </c>
      <c r="AB174">
        <v>172</v>
      </c>
      <c r="AC174">
        <v>189</v>
      </c>
      <c r="AD174">
        <v>680</v>
      </c>
      <c r="AE174">
        <v>750</v>
      </c>
      <c r="AF174">
        <v>0</v>
      </c>
      <c r="AG174">
        <v>0</v>
      </c>
      <c r="AH174">
        <v>12.79281425476074</v>
      </c>
      <c r="AI174">
        <v>0</v>
      </c>
      <c r="AJ174">
        <v>53.635036468505859</v>
      </c>
      <c r="AK174" t="s">
        <v>54</v>
      </c>
      <c r="AL174" t="s">
        <v>54</v>
      </c>
      <c r="AM174" t="s">
        <v>3220</v>
      </c>
      <c r="AN174" s="148">
        <v>38718</v>
      </c>
      <c r="AO174" s="148">
        <v>38718</v>
      </c>
      <c r="AP174" t="s">
        <v>2946</v>
      </c>
      <c r="AQ174" t="s">
        <v>54</v>
      </c>
      <c r="AR174" t="s">
        <v>3017</v>
      </c>
      <c r="AS174" s="148">
        <v>40333</v>
      </c>
      <c r="AT174" t="s">
        <v>3017</v>
      </c>
      <c r="AW174" t="s">
        <v>53</v>
      </c>
      <c r="AZ174" t="s">
        <v>54</v>
      </c>
      <c r="BA174" t="s">
        <v>2425</v>
      </c>
      <c r="BB174" s="15" t="s">
        <v>676</v>
      </c>
    </row>
    <row r="175" spans="1:54" x14ac:dyDescent="0.25">
      <c r="A175">
        <v>170</v>
      </c>
      <c r="B175" t="s">
        <v>3401</v>
      </c>
      <c r="C175" t="s">
        <v>3402</v>
      </c>
      <c r="D175" t="s">
        <v>3386</v>
      </c>
      <c r="E175">
        <v>1</v>
      </c>
      <c r="F175" t="s">
        <v>2418</v>
      </c>
      <c r="G175" t="s">
        <v>3018</v>
      </c>
      <c r="H175" t="s">
        <v>3049</v>
      </c>
      <c r="I175" t="s">
        <v>3050</v>
      </c>
      <c r="J175" t="s">
        <v>3392</v>
      </c>
      <c r="K175" t="s">
        <v>3403</v>
      </c>
      <c r="L175" t="s">
        <v>2422</v>
      </c>
      <c r="M175">
        <v>1.6790058612823491</v>
      </c>
      <c r="N175" t="s">
        <v>54</v>
      </c>
      <c r="O175" t="s">
        <v>53</v>
      </c>
      <c r="P175" t="s">
        <v>53</v>
      </c>
      <c r="Q175" t="s">
        <v>53</v>
      </c>
      <c r="R175" t="s">
        <v>53</v>
      </c>
      <c r="S175" t="s">
        <v>3128</v>
      </c>
      <c r="T175" t="s">
        <v>3219</v>
      </c>
      <c r="U175" t="s">
        <v>53</v>
      </c>
      <c r="V175" t="s">
        <v>138</v>
      </c>
      <c r="W175">
        <v>246000</v>
      </c>
      <c r="X175" t="s">
        <v>54</v>
      </c>
      <c r="Y175" t="s">
        <v>3130</v>
      </c>
      <c r="Z175">
        <v>61526</v>
      </c>
      <c r="AA175">
        <v>238</v>
      </c>
      <c r="AB175">
        <v>222</v>
      </c>
      <c r="AC175">
        <v>339</v>
      </c>
      <c r="AD175">
        <v>730</v>
      </c>
      <c r="AE175">
        <v>859</v>
      </c>
      <c r="AF175">
        <v>0</v>
      </c>
      <c r="AG175">
        <v>0</v>
      </c>
      <c r="AH175">
        <v>3.951773881912231</v>
      </c>
      <c r="AI175">
        <v>0</v>
      </c>
      <c r="AJ175">
        <v>0</v>
      </c>
      <c r="AK175" t="s">
        <v>54</v>
      </c>
      <c r="AL175" t="s">
        <v>54</v>
      </c>
      <c r="AM175" t="s">
        <v>3220</v>
      </c>
      <c r="AN175" s="148">
        <v>38718</v>
      </c>
      <c r="AO175" s="148">
        <v>38718</v>
      </c>
      <c r="AP175" t="s">
        <v>2946</v>
      </c>
      <c r="AQ175" t="s">
        <v>54</v>
      </c>
      <c r="AR175" t="s">
        <v>3017</v>
      </c>
      <c r="AS175" s="148">
        <v>40333</v>
      </c>
      <c r="AT175" t="s">
        <v>3017</v>
      </c>
      <c r="AW175" t="s">
        <v>53</v>
      </c>
      <c r="AZ175" t="s">
        <v>54</v>
      </c>
      <c r="BA175" t="s">
        <v>2425</v>
      </c>
      <c r="BB175" s="15" t="s">
        <v>676</v>
      </c>
    </row>
    <row r="176" spans="1:54" x14ac:dyDescent="0.25">
      <c r="A176">
        <v>171</v>
      </c>
      <c r="B176" t="s">
        <v>3404</v>
      </c>
      <c r="C176" t="s">
        <v>3405</v>
      </c>
      <c r="D176" t="s">
        <v>3378</v>
      </c>
      <c r="E176">
        <v>1</v>
      </c>
      <c r="F176" t="s">
        <v>2418</v>
      </c>
      <c r="G176" t="s">
        <v>3010</v>
      </c>
      <c r="H176" t="s">
        <v>3049</v>
      </c>
      <c r="I176" t="s">
        <v>3406</v>
      </c>
      <c r="J176" t="s">
        <v>3407</v>
      </c>
      <c r="K176" t="s">
        <v>3408</v>
      </c>
      <c r="L176" t="s">
        <v>2422</v>
      </c>
      <c r="M176">
        <v>2.8621993064880371</v>
      </c>
      <c r="N176" t="s">
        <v>54</v>
      </c>
      <c r="O176" t="s">
        <v>53</v>
      </c>
      <c r="P176" t="s">
        <v>53</v>
      </c>
      <c r="Q176" t="s">
        <v>54</v>
      </c>
      <c r="R176" t="s">
        <v>53</v>
      </c>
      <c r="S176" t="s">
        <v>3207</v>
      </c>
      <c r="T176" t="s">
        <v>3208</v>
      </c>
      <c r="U176" t="s">
        <v>53</v>
      </c>
      <c r="V176" t="s">
        <v>138</v>
      </c>
      <c r="W176">
        <v>420000</v>
      </c>
      <c r="X176" t="s">
        <v>54</v>
      </c>
      <c r="Y176" t="s">
        <v>3209</v>
      </c>
      <c r="Z176">
        <v>104883</v>
      </c>
      <c r="AA176">
        <v>0</v>
      </c>
      <c r="AB176">
        <v>0</v>
      </c>
      <c r="AC176">
        <v>0</v>
      </c>
      <c r="AD176">
        <v>0</v>
      </c>
      <c r="AE176">
        <v>0</v>
      </c>
      <c r="AF176">
        <v>0</v>
      </c>
      <c r="AG176">
        <v>0</v>
      </c>
      <c r="AH176">
        <v>0.60875356197357178</v>
      </c>
      <c r="AI176">
        <v>0</v>
      </c>
      <c r="AJ176">
        <v>67.76434326171875</v>
      </c>
      <c r="AK176" t="s">
        <v>54</v>
      </c>
      <c r="AL176" t="s">
        <v>54</v>
      </c>
      <c r="AM176" t="s">
        <v>3210</v>
      </c>
      <c r="AN176" s="148">
        <v>38718</v>
      </c>
      <c r="AO176" s="148">
        <v>38718</v>
      </c>
      <c r="AQ176" t="s">
        <v>54</v>
      </c>
      <c r="AR176" t="s">
        <v>3009</v>
      </c>
      <c r="AS176" s="148">
        <v>40333</v>
      </c>
      <c r="AT176" t="s">
        <v>3009</v>
      </c>
      <c r="AW176" t="s">
        <v>53</v>
      </c>
      <c r="AZ176" t="s">
        <v>54</v>
      </c>
      <c r="BA176" t="s">
        <v>2425</v>
      </c>
      <c r="BB176" s="15" t="s">
        <v>678</v>
      </c>
    </row>
    <row r="177" spans="1:54" x14ac:dyDescent="0.25">
      <c r="A177">
        <v>172</v>
      </c>
      <c r="B177" t="s">
        <v>3409</v>
      </c>
      <c r="C177" t="s">
        <v>3410</v>
      </c>
      <c r="D177" t="s">
        <v>3386</v>
      </c>
      <c r="E177">
        <v>1</v>
      </c>
      <c r="F177" t="s">
        <v>2418</v>
      </c>
      <c r="G177" t="s">
        <v>3010</v>
      </c>
      <c r="H177" t="s">
        <v>3333</v>
      </c>
      <c r="I177" t="s">
        <v>3387</v>
      </c>
      <c r="J177" t="s">
        <v>3411</v>
      </c>
      <c r="K177" t="s">
        <v>3412</v>
      </c>
      <c r="L177" t="s">
        <v>2422</v>
      </c>
      <c r="M177">
        <v>3.738294124603271</v>
      </c>
      <c r="N177" t="s">
        <v>54</v>
      </c>
      <c r="O177" t="s">
        <v>53</v>
      </c>
      <c r="P177" t="s">
        <v>53</v>
      </c>
      <c r="Q177" t="s">
        <v>54</v>
      </c>
      <c r="R177" t="s">
        <v>53</v>
      </c>
      <c r="S177" t="s">
        <v>3207</v>
      </c>
      <c r="T177" t="s">
        <v>3208</v>
      </c>
      <c r="U177" t="s">
        <v>53</v>
      </c>
      <c r="V177" t="s">
        <v>138</v>
      </c>
      <c r="W177">
        <v>548000</v>
      </c>
      <c r="X177" t="s">
        <v>54</v>
      </c>
      <c r="Y177" t="s">
        <v>3209</v>
      </c>
      <c r="Z177">
        <v>136986</v>
      </c>
      <c r="AA177">
        <v>30</v>
      </c>
      <c r="AB177">
        <v>4</v>
      </c>
      <c r="AC177">
        <v>295</v>
      </c>
      <c r="AD177">
        <v>5</v>
      </c>
      <c r="AE177">
        <v>297</v>
      </c>
      <c r="AF177">
        <v>1</v>
      </c>
      <c r="AG177">
        <v>0</v>
      </c>
      <c r="AH177">
        <v>2.073381900787354</v>
      </c>
      <c r="AI177">
        <v>0</v>
      </c>
      <c r="AJ177">
        <v>0</v>
      </c>
      <c r="AK177" t="s">
        <v>54</v>
      </c>
      <c r="AL177" t="s">
        <v>54</v>
      </c>
      <c r="AM177" t="s">
        <v>3210</v>
      </c>
      <c r="AN177" s="148">
        <v>38718</v>
      </c>
      <c r="AO177" s="148">
        <v>38718</v>
      </c>
      <c r="AP177" t="s">
        <v>3015</v>
      </c>
      <c r="AQ177" t="s">
        <v>54</v>
      </c>
      <c r="AR177" t="s">
        <v>3009</v>
      </c>
      <c r="AS177" s="148">
        <v>40333</v>
      </c>
      <c r="AT177" t="s">
        <v>3009</v>
      </c>
      <c r="AW177" t="s">
        <v>53</v>
      </c>
      <c r="AZ177" t="s">
        <v>54</v>
      </c>
      <c r="BA177" t="s">
        <v>2425</v>
      </c>
      <c r="BB177" s="15" t="s">
        <v>678</v>
      </c>
    </row>
    <row r="178" spans="1:54" x14ac:dyDescent="0.25">
      <c r="A178">
        <v>173</v>
      </c>
      <c r="B178" t="s">
        <v>3413</v>
      </c>
      <c r="C178" t="s">
        <v>3414</v>
      </c>
      <c r="D178" t="s">
        <v>3415</v>
      </c>
      <c r="E178">
        <v>1</v>
      </c>
      <c r="F178" t="s">
        <v>2418</v>
      </c>
      <c r="G178" t="s">
        <v>3123</v>
      </c>
      <c r="H178" t="s">
        <v>3124</v>
      </c>
      <c r="I178" t="s">
        <v>3125</v>
      </c>
      <c r="J178" t="s">
        <v>3126</v>
      </c>
      <c r="K178" t="s">
        <v>3127</v>
      </c>
      <c r="L178" t="s">
        <v>3206</v>
      </c>
      <c r="M178">
        <v>101.60166168212891</v>
      </c>
      <c r="N178" t="s">
        <v>54</v>
      </c>
      <c r="O178" t="s">
        <v>53</v>
      </c>
      <c r="P178" t="s">
        <v>53</v>
      </c>
      <c r="Q178" t="s">
        <v>54</v>
      </c>
      <c r="R178" t="s">
        <v>53</v>
      </c>
      <c r="S178" t="s">
        <v>3128</v>
      </c>
      <c r="T178" t="s">
        <v>3129</v>
      </c>
      <c r="U178" t="s">
        <v>53</v>
      </c>
      <c r="V178" t="s">
        <v>162</v>
      </c>
      <c r="W178">
        <v>125000</v>
      </c>
      <c r="X178" t="s">
        <v>53</v>
      </c>
      <c r="AA178">
        <v>1703</v>
      </c>
      <c r="AB178">
        <v>1382</v>
      </c>
      <c r="AC178">
        <v>8883</v>
      </c>
      <c r="AD178">
        <v>4674</v>
      </c>
      <c r="AE178">
        <v>12344</v>
      </c>
      <c r="AF178">
        <v>7</v>
      </c>
      <c r="AG178">
        <v>6</v>
      </c>
      <c r="AH178">
        <v>102.8803329467773</v>
      </c>
      <c r="AI178">
        <v>6</v>
      </c>
      <c r="AJ178">
        <v>212.75544738769531</v>
      </c>
      <c r="AK178" t="s">
        <v>54</v>
      </c>
      <c r="AL178" t="s">
        <v>54</v>
      </c>
      <c r="AM178" t="s">
        <v>3131</v>
      </c>
      <c r="AN178" s="148">
        <v>38718</v>
      </c>
      <c r="AO178" s="148">
        <v>38718</v>
      </c>
      <c r="AP178" t="s">
        <v>3015</v>
      </c>
      <c r="AQ178" t="s">
        <v>54</v>
      </c>
      <c r="AR178" t="s">
        <v>3132</v>
      </c>
      <c r="AS178" s="148">
        <v>40333</v>
      </c>
      <c r="AT178" t="s">
        <v>3132</v>
      </c>
      <c r="AW178" t="s">
        <v>53</v>
      </c>
      <c r="AZ178" t="s">
        <v>54</v>
      </c>
      <c r="BA178" t="s">
        <v>2425</v>
      </c>
      <c r="BB178" s="15" t="s">
        <v>678</v>
      </c>
    </row>
    <row r="179" spans="1:54" x14ac:dyDescent="0.25">
      <c r="A179">
        <v>174</v>
      </c>
      <c r="B179" t="s">
        <v>3416</v>
      </c>
      <c r="C179" t="s">
        <v>3417</v>
      </c>
      <c r="D179" t="s">
        <v>3418</v>
      </c>
      <c r="E179">
        <v>1</v>
      </c>
      <c r="F179" t="s">
        <v>2418</v>
      </c>
      <c r="G179" t="s">
        <v>3123</v>
      </c>
      <c r="H179" t="s">
        <v>3124</v>
      </c>
      <c r="I179" t="s">
        <v>3125</v>
      </c>
      <c r="J179" t="s">
        <v>3126</v>
      </c>
      <c r="K179" t="s">
        <v>3127</v>
      </c>
      <c r="L179" t="s">
        <v>2422</v>
      </c>
      <c r="M179">
        <v>101.60166168212891</v>
      </c>
      <c r="N179" t="s">
        <v>54</v>
      </c>
      <c r="O179" t="s">
        <v>53</v>
      </c>
      <c r="P179" t="s">
        <v>53</v>
      </c>
      <c r="Q179" t="s">
        <v>54</v>
      </c>
      <c r="R179" t="s">
        <v>53</v>
      </c>
      <c r="S179" t="s">
        <v>3128</v>
      </c>
      <c r="T179" t="s">
        <v>3129</v>
      </c>
      <c r="U179" t="s">
        <v>53</v>
      </c>
      <c r="V179" t="s">
        <v>138</v>
      </c>
      <c r="W179">
        <v>500000</v>
      </c>
      <c r="X179" t="s">
        <v>54</v>
      </c>
      <c r="Y179" t="s">
        <v>3130</v>
      </c>
      <c r="Z179">
        <v>125000</v>
      </c>
      <c r="AA179">
        <v>1703</v>
      </c>
      <c r="AB179">
        <v>1382</v>
      </c>
      <c r="AC179">
        <v>8883</v>
      </c>
      <c r="AD179">
        <v>4674</v>
      </c>
      <c r="AE179">
        <v>12344</v>
      </c>
      <c r="AF179">
        <v>7</v>
      </c>
      <c r="AG179">
        <v>6</v>
      </c>
      <c r="AH179">
        <v>102.8803329467773</v>
      </c>
      <c r="AI179">
        <v>6</v>
      </c>
      <c r="AJ179">
        <v>212.75544738769531</v>
      </c>
      <c r="AK179" t="s">
        <v>54</v>
      </c>
      <c r="AL179" t="s">
        <v>54</v>
      </c>
      <c r="AM179" t="s">
        <v>3131</v>
      </c>
      <c r="AN179" s="148">
        <v>38718</v>
      </c>
      <c r="AO179" s="148">
        <v>38718</v>
      </c>
      <c r="AP179" t="s">
        <v>3015</v>
      </c>
      <c r="AQ179" t="s">
        <v>54</v>
      </c>
      <c r="AR179" t="s">
        <v>3132</v>
      </c>
      <c r="AS179" s="148">
        <v>40333</v>
      </c>
      <c r="AT179" t="s">
        <v>3132</v>
      </c>
      <c r="AW179" t="s">
        <v>53</v>
      </c>
      <c r="AZ179" t="s">
        <v>54</v>
      </c>
      <c r="BA179" t="s">
        <v>2425</v>
      </c>
      <c r="BB179" s="15" t="s">
        <v>676</v>
      </c>
    </row>
    <row r="180" spans="1:54" x14ac:dyDescent="0.25">
      <c r="A180">
        <v>175</v>
      </c>
      <c r="B180" t="s">
        <v>3419</v>
      </c>
      <c r="C180" t="s">
        <v>3420</v>
      </c>
      <c r="D180" t="s">
        <v>3421</v>
      </c>
      <c r="E180">
        <v>1</v>
      </c>
      <c r="F180" t="s">
        <v>2418</v>
      </c>
      <c r="G180" t="s">
        <v>3422</v>
      </c>
      <c r="H180" t="s">
        <v>3423</v>
      </c>
      <c r="I180" t="s">
        <v>3424</v>
      </c>
      <c r="J180" t="s">
        <v>3425</v>
      </c>
      <c r="K180" t="s">
        <v>3426</v>
      </c>
      <c r="L180" t="s">
        <v>2422</v>
      </c>
      <c r="M180">
        <v>32.77374267578125</v>
      </c>
      <c r="N180" t="s">
        <v>54</v>
      </c>
      <c r="O180" t="s">
        <v>53</v>
      </c>
      <c r="P180" t="s">
        <v>53</v>
      </c>
      <c r="Q180" t="s">
        <v>54</v>
      </c>
      <c r="R180" t="s">
        <v>53</v>
      </c>
      <c r="S180" t="s">
        <v>3128</v>
      </c>
      <c r="T180" t="s">
        <v>3427</v>
      </c>
      <c r="U180" t="s">
        <v>53</v>
      </c>
      <c r="V180" t="s">
        <v>51</v>
      </c>
      <c r="W180">
        <v>250000</v>
      </c>
      <c r="X180" t="s">
        <v>54</v>
      </c>
      <c r="Y180" t="s">
        <v>3130</v>
      </c>
      <c r="Z180">
        <v>62500</v>
      </c>
      <c r="AA180">
        <v>2</v>
      </c>
      <c r="AB180">
        <v>1</v>
      </c>
      <c r="AC180">
        <v>3</v>
      </c>
      <c r="AD180">
        <v>3</v>
      </c>
      <c r="AE180">
        <v>5</v>
      </c>
      <c r="AF180">
        <v>0</v>
      </c>
      <c r="AG180">
        <v>0</v>
      </c>
      <c r="AH180">
        <v>1.82133424282074</v>
      </c>
      <c r="AI180">
        <v>0</v>
      </c>
      <c r="AJ180">
        <v>1041.488647460938</v>
      </c>
      <c r="AK180" t="s">
        <v>54</v>
      </c>
      <c r="AL180" t="s">
        <v>54</v>
      </c>
      <c r="AM180" t="s">
        <v>3428</v>
      </c>
      <c r="AN180" s="148">
        <v>38718</v>
      </c>
      <c r="AO180" s="148">
        <v>38718</v>
      </c>
      <c r="AP180" t="s">
        <v>2946</v>
      </c>
      <c r="AQ180" t="s">
        <v>54</v>
      </c>
      <c r="AR180" t="s">
        <v>3017</v>
      </c>
      <c r="AS180" s="148">
        <v>40333</v>
      </c>
      <c r="AT180" t="s">
        <v>3017</v>
      </c>
      <c r="AW180" t="s">
        <v>53</v>
      </c>
      <c r="AZ180" t="s">
        <v>54</v>
      </c>
      <c r="BA180" t="s">
        <v>2425</v>
      </c>
      <c r="BB180" s="15" t="s">
        <v>678</v>
      </c>
    </row>
    <row r="181" spans="1:54" x14ac:dyDescent="0.25">
      <c r="A181">
        <v>176</v>
      </c>
      <c r="B181" t="s">
        <v>3429</v>
      </c>
      <c r="C181" t="s">
        <v>3430</v>
      </c>
      <c r="D181" t="s">
        <v>3431</v>
      </c>
      <c r="E181">
        <v>1</v>
      </c>
      <c r="F181" t="s">
        <v>2418</v>
      </c>
      <c r="G181" t="s">
        <v>3123</v>
      </c>
      <c r="H181" t="s">
        <v>3423</v>
      </c>
      <c r="I181" t="s">
        <v>3424</v>
      </c>
      <c r="J181" t="s">
        <v>3432</v>
      </c>
      <c r="K181" t="s">
        <v>3433</v>
      </c>
      <c r="L181" t="s">
        <v>2422</v>
      </c>
      <c r="M181">
        <v>43.944850921630859</v>
      </c>
      <c r="N181" t="s">
        <v>54</v>
      </c>
      <c r="O181" t="s">
        <v>53</v>
      </c>
      <c r="P181" t="s">
        <v>53</v>
      </c>
      <c r="Q181" t="s">
        <v>54</v>
      </c>
      <c r="R181" t="s">
        <v>53</v>
      </c>
      <c r="S181" t="s">
        <v>3434</v>
      </c>
      <c r="T181" t="s">
        <v>3435</v>
      </c>
      <c r="U181" t="s">
        <v>53</v>
      </c>
      <c r="V181" t="s">
        <v>138</v>
      </c>
      <c r="W181">
        <v>499000</v>
      </c>
      <c r="X181" t="s">
        <v>53</v>
      </c>
      <c r="AA181">
        <v>52</v>
      </c>
      <c r="AB181">
        <v>49</v>
      </c>
      <c r="AC181">
        <v>45</v>
      </c>
      <c r="AD181">
        <v>115</v>
      </c>
      <c r="AE181">
        <v>134</v>
      </c>
      <c r="AF181">
        <v>0</v>
      </c>
      <c r="AG181">
        <v>1</v>
      </c>
      <c r="AH181">
        <v>5.0678114891052246</v>
      </c>
      <c r="AI181">
        <v>1</v>
      </c>
      <c r="AJ181">
        <v>858.43280029296875</v>
      </c>
      <c r="AK181" t="s">
        <v>54</v>
      </c>
      <c r="AL181" t="s">
        <v>54</v>
      </c>
      <c r="AM181" t="s">
        <v>3131</v>
      </c>
      <c r="AN181" s="148">
        <v>38718</v>
      </c>
      <c r="AO181" s="148">
        <v>38718</v>
      </c>
      <c r="AP181" t="s">
        <v>2946</v>
      </c>
      <c r="AQ181" t="s">
        <v>54</v>
      </c>
      <c r="AR181" t="s">
        <v>3132</v>
      </c>
      <c r="AS181" s="148">
        <v>40333</v>
      </c>
      <c r="AT181" t="s">
        <v>3132</v>
      </c>
      <c r="AW181" t="s">
        <v>53</v>
      </c>
      <c r="AZ181" t="s">
        <v>54</v>
      </c>
      <c r="BA181" t="s">
        <v>2425</v>
      </c>
      <c r="BB181" s="15" t="s">
        <v>678</v>
      </c>
    </row>
    <row r="182" spans="1:54" x14ac:dyDescent="0.25">
      <c r="A182">
        <v>177</v>
      </c>
      <c r="B182" t="s">
        <v>3436</v>
      </c>
      <c r="C182" t="s">
        <v>3437</v>
      </c>
      <c r="D182" t="s">
        <v>3378</v>
      </c>
      <c r="E182">
        <v>1</v>
      </c>
      <c r="F182" t="s">
        <v>2418</v>
      </c>
      <c r="G182" t="s">
        <v>3123</v>
      </c>
      <c r="H182" t="s">
        <v>3333</v>
      </c>
      <c r="I182" t="s">
        <v>3334</v>
      </c>
      <c r="J182" t="s">
        <v>3335</v>
      </c>
      <c r="K182" t="s">
        <v>3438</v>
      </c>
      <c r="L182" t="s">
        <v>2422</v>
      </c>
      <c r="M182">
        <v>11.11227321624756</v>
      </c>
      <c r="N182" t="s">
        <v>54</v>
      </c>
      <c r="O182" t="s">
        <v>53</v>
      </c>
      <c r="P182" t="s">
        <v>53</v>
      </c>
      <c r="Q182" t="s">
        <v>53</v>
      </c>
      <c r="R182" t="s">
        <v>53</v>
      </c>
      <c r="S182" t="s">
        <v>3128</v>
      </c>
      <c r="T182" t="s">
        <v>3129</v>
      </c>
      <c r="U182" t="s">
        <v>53</v>
      </c>
      <c r="V182" t="s">
        <v>138</v>
      </c>
      <c r="W182">
        <v>1000000</v>
      </c>
      <c r="X182" t="s">
        <v>54</v>
      </c>
      <c r="Y182" t="s">
        <v>3130</v>
      </c>
      <c r="Z182">
        <v>250000</v>
      </c>
      <c r="AA182">
        <v>48</v>
      </c>
      <c r="AB182">
        <v>37</v>
      </c>
      <c r="AC182">
        <v>1864</v>
      </c>
      <c r="AD182">
        <v>190</v>
      </c>
      <c r="AE182">
        <v>1974</v>
      </c>
      <c r="AF182">
        <v>1</v>
      </c>
      <c r="AG182">
        <v>2</v>
      </c>
      <c r="AH182">
        <v>4.9523806571960449</v>
      </c>
      <c r="AI182">
        <v>2</v>
      </c>
      <c r="AJ182">
        <v>187.62370300292969</v>
      </c>
      <c r="AK182" t="s">
        <v>54</v>
      </c>
      <c r="AL182" t="s">
        <v>54</v>
      </c>
      <c r="AM182" t="s">
        <v>3131</v>
      </c>
      <c r="AN182" s="148">
        <v>38718</v>
      </c>
      <c r="AO182" s="148">
        <v>38718</v>
      </c>
      <c r="AP182" t="s">
        <v>2946</v>
      </c>
      <c r="AQ182" t="s">
        <v>54</v>
      </c>
      <c r="AR182" t="s">
        <v>3132</v>
      </c>
      <c r="AS182" s="148">
        <v>40333</v>
      </c>
      <c r="AT182" t="s">
        <v>3132</v>
      </c>
      <c r="AW182" t="s">
        <v>53</v>
      </c>
      <c r="AZ182" t="s">
        <v>54</v>
      </c>
      <c r="BA182" t="s">
        <v>2425</v>
      </c>
      <c r="BB182" s="15" t="s">
        <v>678</v>
      </c>
    </row>
    <row r="183" spans="1:54" x14ac:dyDescent="0.25">
      <c r="A183">
        <v>178</v>
      </c>
      <c r="B183" t="s">
        <v>3439</v>
      </c>
      <c r="C183" t="s">
        <v>3440</v>
      </c>
      <c r="D183" t="s">
        <v>3441</v>
      </c>
      <c r="E183">
        <v>1</v>
      </c>
      <c r="F183" t="s">
        <v>2418</v>
      </c>
      <c r="G183" t="s">
        <v>3018</v>
      </c>
      <c r="H183" t="s">
        <v>3442</v>
      </c>
      <c r="I183" t="s">
        <v>3443</v>
      </c>
      <c r="J183" t="s">
        <v>3444</v>
      </c>
      <c r="K183" t="s">
        <v>3445</v>
      </c>
      <c r="L183" t="s">
        <v>2482</v>
      </c>
      <c r="M183">
        <v>7.0512943267822266</v>
      </c>
      <c r="N183" t="s">
        <v>54</v>
      </c>
      <c r="O183" t="s">
        <v>53</v>
      </c>
      <c r="P183" t="s">
        <v>53</v>
      </c>
      <c r="Q183" t="s">
        <v>54</v>
      </c>
      <c r="R183" t="s">
        <v>53</v>
      </c>
      <c r="S183" t="s">
        <v>3446</v>
      </c>
      <c r="T183" t="s">
        <v>3447</v>
      </c>
      <c r="U183" t="s">
        <v>53</v>
      </c>
      <c r="V183" t="s">
        <v>138</v>
      </c>
      <c r="W183">
        <v>250000</v>
      </c>
      <c r="X183" t="s">
        <v>53</v>
      </c>
      <c r="AA183">
        <v>206</v>
      </c>
      <c r="AB183">
        <v>193</v>
      </c>
      <c r="AC183">
        <v>636</v>
      </c>
      <c r="AD183">
        <v>823</v>
      </c>
      <c r="AE183">
        <v>1265</v>
      </c>
      <c r="AF183">
        <v>0</v>
      </c>
      <c r="AG183">
        <v>7</v>
      </c>
      <c r="AH183">
        <v>14.990657806396481</v>
      </c>
      <c r="AI183">
        <v>7</v>
      </c>
      <c r="AJ183">
        <v>150.2604675292969</v>
      </c>
      <c r="AK183" t="s">
        <v>54</v>
      </c>
      <c r="AL183" t="s">
        <v>54</v>
      </c>
      <c r="AM183" t="s">
        <v>3017</v>
      </c>
      <c r="AN183" s="148">
        <v>38718</v>
      </c>
      <c r="AO183" s="148">
        <v>38718</v>
      </c>
      <c r="AP183" t="s">
        <v>2946</v>
      </c>
      <c r="AQ183" t="s">
        <v>54</v>
      </c>
      <c r="AR183" t="s">
        <v>3017</v>
      </c>
      <c r="AS183" s="148">
        <v>40333</v>
      </c>
      <c r="AT183" t="s">
        <v>3017</v>
      </c>
      <c r="AW183" t="s">
        <v>53</v>
      </c>
      <c r="AZ183" t="s">
        <v>54</v>
      </c>
      <c r="BA183" t="s">
        <v>2425</v>
      </c>
      <c r="BB183" s="15" t="s">
        <v>676</v>
      </c>
    </row>
    <row r="184" spans="1:54" x14ac:dyDescent="0.25">
      <c r="A184">
        <v>179</v>
      </c>
      <c r="B184" t="s">
        <v>3448</v>
      </c>
      <c r="C184" t="s">
        <v>3449</v>
      </c>
      <c r="D184" t="s">
        <v>3450</v>
      </c>
      <c r="E184">
        <v>1</v>
      </c>
      <c r="F184" t="s">
        <v>2418</v>
      </c>
      <c r="G184" t="s">
        <v>3018</v>
      </c>
      <c r="H184" t="s">
        <v>3442</v>
      </c>
      <c r="I184" t="s">
        <v>3443</v>
      </c>
      <c r="J184" t="s">
        <v>3444</v>
      </c>
      <c r="K184" t="s">
        <v>3445</v>
      </c>
      <c r="L184" t="s">
        <v>2482</v>
      </c>
      <c r="M184">
        <v>7.0512943267822266</v>
      </c>
      <c r="N184" t="s">
        <v>54</v>
      </c>
      <c r="O184" t="s">
        <v>53</v>
      </c>
      <c r="P184" t="s">
        <v>53</v>
      </c>
      <c r="Q184" t="s">
        <v>54</v>
      </c>
      <c r="R184" t="s">
        <v>53</v>
      </c>
      <c r="S184" t="s">
        <v>3446</v>
      </c>
      <c r="T184" t="s">
        <v>3447</v>
      </c>
      <c r="U184" t="s">
        <v>53</v>
      </c>
      <c r="V184" t="s">
        <v>1973</v>
      </c>
      <c r="W184">
        <v>50000</v>
      </c>
      <c r="X184" t="s">
        <v>53</v>
      </c>
      <c r="AA184">
        <v>206</v>
      </c>
      <c r="AB184">
        <v>193</v>
      </c>
      <c r="AC184">
        <v>636</v>
      </c>
      <c r="AD184">
        <v>823</v>
      </c>
      <c r="AE184">
        <v>1265</v>
      </c>
      <c r="AF184">
        <v>0</v>
      </c>
      <c r="AG184">
        <v>7</v>
      </c>
      <c r="AH184">
        <v>14.990657806396481</v>
      </c>
      <c r="AI184">
        <v>7</v>
      </c>
      <c r="AJ184">
        <v>150.2604675292969</v>
      </c>
      <c r="AK184" t="s">
        <v>54</v>
      </c>
      <c r="AL184" t="s">
        <v>54</v>
      </c>
      <c r="AM184" t="s">
        <v>3017</v>
      </c>
      <c r="AN184" s="148">
        <v>38718</v>
      </c>
      <c r="AO184" s="148">
        <v>38718</v>
      </c>
      <c r="AP184" t="s">
        <v>2946</v>
      </c>
      <c r="AQ184" t="s">
        <v>54</v>
      </c>
      <c r="AR184" t="s">
        <v>3017</v>
      </c>
      <c r="AS184" s="148">
        <v>40333</v>
      </c>
      <c r="AT184" t="s">
        <v>3017</v>
      </c>
      <c r="AW184" t="s">
        <v>53</v>
      </c>
      <c r="AZ184" t="s">
        <v>54</v>
      </c>
      <c r="BA184" t="s">
        <v>2425</v>
      </c>
      <c r="BB184" s="15" t="s">
        <v>676</v>
      </c>
    </row>
    <row r="185" spans="1:54" x14ac:dyDescent="0.25">
      <c r="A185">
        <v>180</v>
      </c>
      <c r="B185" t="s">
        <v>3451</v>
      </c>
      <c r="C185" t="s">
        <v>3452</v>
      </c>
      <c r="D185" t="s">
        <v>3453</v>
      </c>
      <c r="E185">
        <v>1</v>
      </c>
      <c r="F185" t="s">
        <v>2418</v>
      </c>
      <c r="G185" t="s">
        <v>3454</v>
      </c>
      <c r="H185" t="s">
        <v>3455</v>
      </c>
      <c r="I185" t="s">
        <v>3456</v>
      </c>
      <c r="K185" t="s">
        <v>3457</v>
      </c>
      <c r="L185" t="s">
        <v>2422</v>
      </c>
      <c r="M185">
        <v>3174.08154296875</v>
      </c>
      <c r="N185" t="s">
        <v>54</v>
      </c>
      <c r="O185" t="s">
        <v>53</v>
      </c>
      <c r="P185" t="s">
        <v>53</v>
      </c>
      <c r="Q185" t="s">
        <v>54</v>
      </c>
      <c r="R185" t="s">
        <v>53</v>
      </c>
      <c r="S185" t="s">
        <v>3183</v>
      </c>
      <c r="U185" t="s">
        <v>53</v>
      </c>
      <c r="V185" t="s">
        <v>138</v>
      </c>
      <c r="W185">
        <v>528000</v>
      </c>
      <c r="X185" t="s">
        <v>54</v>
      </c>
      <c r="Y185" t="s">
        <v>3184</v>
      </c>
      <c r="Z185">
        <v>528000</v>
      </c>
      <c r="AA185">
        <v>2818</v>
      </c>
      <c r="AB185">
        <v>1951</v>
      </c>
      <c r="AC185">
        <v>6756</v>
      </c>
      <c r="AD185">
        <v>4845</v>
      </c>
      <c r="AE185">
        <v>10390</v>
      </c>
      <c r="AF185">
        <v>28</v>
      </c>
      <c r="AG185">
        <v>123</v>
      </c>
      <c r="AH185">
        <v>182.03434753417969</v>
      </c>
      <c r="AI185">
        <v>178</v>
      </c>
      <c r="AJ185">
        <v>271232.65625</v>
      </c>
      <c r="AK185" t="s">
        <v>54</v>
      </c>
      <c r="AL185" t="s">
        <v>54</v>
      </c>
      <c r="AM185" t="s">
        <v>3458</v>
      </c>
      <c r="AN185" s="148">
        <v>43101</v>
      </c>
      <c r="AO185" s="148">
        <v>43101</v>
      </c>
      <c r="AP185" t="s">
        <v>2998</v>
      </c>
      <c r="AQ185" t="s">
        <v>54</v>
      </c>
      <c r="AR185" t="s">
        <v>3176</v>
      </c>
      <c r="AS185" s="148">
        <v>44239</v>
      </c>
      <c r="AT185" t="s">
        <v>3176</v>
      </c>
      <c r="AW185" t="s">
        <v>53</v>
      </c>
      <c r="AZ185" t="s">
        <v>54</v>
      </c>
      <c r="BA185" t="s">
        <v>2425</v>
      </c>
      <c r="BB185" s="15" t="s">
        <v>676</v>
      </c>
    </row>
    <row r="186" spans="1:54" x14ac:dyDescent="0.25">
      <c r="A186">
        <v>181</v>
      </c>
      <c r="B186" t="s">
        <v>3459</v>
      </c>
      <c r="C186" t="s">
        <v>3460</v>
      </c>
      <c r="D186" t="s">
        <v>3461</v>
      </c>
      <c r="E186">
        <v>1</v>
      </c>
      <c r="F186" t="s">
        <v>2418</v>
      </c>
      <c r="G186" t="s">
        <v>3018</v>
      </c>
      <c r="H186" t="s">
        <v>3049</v>
      </c>
      <c r="I186" t="s">
        <v>3050</v>
      </c>
      <c r="J186" t="s">
        <v>3057</v>
      </c>
      <c r="K186" t="s">
        <v>3058</v>
      </c>
      <c r="L186" t="s">
        <v>3462</v>
      </c>
      <c r="M186">
        <v>0.52116644382476807</v>
      </c>
      <c r="N186" t="s">
        <v>54</v>
      </c>
      <c r="O186" t="s">
        <v>53</v>
      </c>
      <c r="P186" t="s">
        <v>53</v>
      </c>
      <c r="Q186" t="s">
        <v>54</v>
      </c>
      <c r="R186" t="s">
        <v>53</v>
      </c>
      <c r="S186" t="s">
        <v>3059</v>
      </c>
      <c r="T186" t="s">
        <v>3060</v>
      </c>
      <c r="U186" t="s">
        <v>53</v>
      </c>
      <c r="V186" t="s">
        <v>51</v>
      </c>
      <c r="W186">
        <v>250000</v>
      </c>
      <c r="X186" t="s">
        <v>53</v>
      </c>
      <c r="AA186">
        <v>45</v>
      </c>
      <c r="AB186">
        <v>31</v>
      </c>
      <c r="AC186">
        <v>9</v>
      </c>
      <c r="AD186">
        <v>73</v>
      </c>
      <c r="AE186">
        <v>73</v>
      </c>
      <c r="AF186">
        <v>1</v>
      </c>
      <c r="AG186">
        <v>1</v>
      </c>
      <c r="AH186">
        <v>1.538977742195129</v>
      </c>
      <c r="AI186">
        <v>1</v>
      </c>
      <c r="AJ186">
        <v>0.45272547006607061</v>
      </c>
      <c r="AK186" t="s">
        <v>54</v>
      </c>
      <c r="AL186" t="s">
        <v>54</v>
      </c>
      <c r="AM186" t="s">
        <v>3017</v>
      </c>
      <c r="AN186" s="148">
        <v>38718</v>
      </c>
      <c r="AO186" s="148">
        <v>38718</v>
      </c>
      <c r="AP186" t="s">
        <v>2946</v>
      </c>
      <c r="AQ186" t="s">
        <v>54</v>
      </c>
      <c r="AR186" t="s">
        <v>3017</v>
      </c>
      <c r="AS186" s="148">
        <v>40333</v>
      </c>
      <c r="AT186" t="s">
        <v>3017</v>
      </c>
      <c r="AW186" t="s">
        <v>53</v>
      </c>
      <c r="AZ186" t="s">
        <v>54</v>
      </c>
      <c r="BA186" t="s">
        <v>2425</v>
      </c>
      <c r="BB186" s="15" t="s">
        <v>678</v>
      </c>
    </row>
    <row r="187" spans="1:54" x14ac:dyDescent="0.25">
      <c r="A187">
        <v>182</v>
      </c>
      <c r="B187" t="s">
        <v>3463</v>
      </c>
      <c r="C187" t="s">
        <v>3222</v>
      </c>
      <c r="D187" t="s">
        <v>3223</v>
      </c>
      <c r="E187">
        <v>1</v>
      </c>
      <c r="F187" t="s">
        <v>2418</v>
      </c>
      <c r="G187" t="s">
        <v>3010</v>
      </c>
      <c r="H187" t="s">
        <v>3202</v>
      </c>
      <c r="I187" t="s">
        <v>3203</v>
      </c>
      <c r="J187" t="s">
        <v>3204</v>
      </c>
      <c r="K187" t="s">
        <v>3295</v>
      </c>
      <c r="L187" t="s">
        <v>3206</v>
      </c>
      <c r="M187">
        <v>3.738294124603271</v>
      </c>
      <c r="N187" t="s">
        <v>54</v>
      </c>
      <c r="O187" t="s">
        <v>53</v>
      </c>
      <c r="P187" t="s">
        <v>53</v>
      </c>
      <c r="Q187" t="s">
        <v>54</v>
      </c>
      <c r="R187" t="s">
        <v>53</v>
      </c>
      <c r="S187" t="s">
        <v>3207</v>
      </c>
      <c r="T187" t="s">
        <v>3208</v>
      </c>
      <c r="U187" t="s">
        <v>53</v>
      </c>
      <c r="V187" t="s">
        <v>51</v>
      </c>
      <c r="W187">
        <v>250000</v>
      </c>
      <c r="X187" t="s">
        <v>54</v>
      </c>
      <c r="Y187" t="s">
        <v>3209</v>
      </c>
      <c r="Z187">
        <v>62500</v>
      </c>
      <c r="AA187">
        <v>30</v>
      </c>
      <c r="AB187">
        <v>4</v>
      </c>
      <c r="AC187">
        <v>295</v>
      </c>
      <c r="AD187">
        <v>5</v>
      </c>
      <c r="AE187">
        <v>297</v>
      </c>
      <c r="AF187">
        <v>1</v>
      </c>
      <c r="AG187">
        <v>0</v>
      </c>
      <c r="AH187">
        <v>2.073384046554565</v>
      </c>
      <c r="AI187">
        <v>0</v>
      </c>
      <c r="AJ187">
        <v>0</v>
      </c>
      <c r="AK187" t="s">
        <v>54</v>
      </c>
      <c r="AL187" t="s">
        <v>54</v>
      </c>
      <c r="AM187" t="s">
        <v>3210</v>
      </c>
      <c r="AN187" s="148">
        <v>38718</v>
      </c>
      <c r="AO187" s="148">
        <v>38718</v>
      </c>
      <c r="AP187" t="s">
        <v>3015</v>
      </c>
      <c r="AQ187" t="s">
        <v>54</v>
      </c>
      <c r="AR187" t="s">
        <v>3009</v>
      </c>
      <c r="AS187" s="148">
        <v>40333</v>
      </c>
      <c r="AT187" t="s">
        <v>3009</v>
      </c>
      <c r="AW187" t="s">
        <v>53</v>
      </c>
      <c r="AZ187" t="s">
        <v>54</v>
      </c>
      <c r="BA187" t="s">
        <v>2425</v>
      </c>
      <c r="BB187" s="15" t="s">
        <v>678</v>
      </c>
    </row>
    <row r="188" spans="1:54" x14ac:dyDescent="0.25">
      <c r="A188">
        <v>183</v>
      </c>
      <c r="B188" t="s">
        <v>3464</v>
      </c>
      <c r="C188" t="s">
        <v>3465</v>
      </c>
      <c r="D188" t="s">
        <v>3466</v>
      </c>
      <c r="E188">
        <v>1</v>
      </c>
      <c r="F188" t="s">
        <v>2418</v>
      </c>
      <c r="G188" t="s">
        <v>2993</v>
      </c>
      <c r="H188" t="s">
        <v>2994</v>
      </c>
      <c r="I188" t="s">
        <v>2995</v>
      </c>
      <c r="L188" t="s">
        <v>2482</v>
      </c>
      <c r="M188">
        <v>617.2584228515625</v>
      </c>
      <c r="N188" t="s">
        <v>54</v>
      </c>
      <c r="O188" t="s">
        <v>53</v>
      </c>
      <c r="P188" t="s">
        <v>53</v>
      </c>
      <c r="Q188" t="s">
        <v>54</v>
      </c>
      <c r="R188" t="s">
        <v>53</v>
      </c>
      <c r="S188" t="s">
        <v>2996</v>
      </c>
      <c r="T188" t="s">
        <v>2997</v>
      </c>
      <c r="U188" t="s">
        <v>53</v>
      </c>
      <c r="V188" t="s">
        <v>138</v>
      </c>
      <c r="W188">
        <v>500000</v>
      </c>
      <c r="X188" t="s">
        <v>53</v>
      </c>
      <c r="AA188">
        <v>3986</v>
      </c>
      <c r="AB188">
        <v>2926</v>
      </c>
      <c r="AC188">
        <v>10515</v>
      </c>
      <c r="AD188">
        <v>7494</v>
      </c>
      <c r="AE188">
        <v>15949</v>
      </c>
      <c r="AF188">
        <v>72</v>
      </c>
      <c r="AG188">
        <v>170</v>
      </c>
      <c r="AH188">
        <v>193.12413024902341</v>
      </c>
      <c r="AI188">
        <v>267</v>
      </c>
      <c r="AJ188">
        <v>49700.4140625</v>
      </c>
      <c r="AK188" t="s">
        <v>54</v>
      </c>
      <c r="AL188" t="s">
        <v>54</v>
      </c>
      <c r="AM188" t="s">
        <v>2992</v>
      </c>
      <c r="AN188" s="148">
        <v>32509</v>
      </c>
      <c r="AO188" s="148">
        <v>32509</v>
      </c>
      <c r="AP188" t="s">
        <v>2998</v>
      </c>
      <c r="AQ188" t="s">
        <v>54</v>
      </c>
      <c r="AR188" t="s">
        <v>2992</v>
      </c>
      <c r="AS188" s="148">
        <v>40212</v>
      </c>
      <c r="AT188" t="s">
        <v>2992</v>
      </c>
      <c r="AW188" t="s">
        <v>53</v>
      </c>
      <c r="AZ188" t="s">
        <v>54</v>
      </c>
      <c r="BA188" t="s">
        <v>2425</v>
      </c>
      <c r="BB188" s="15" t="s">
        <v>676</v>
      </c>
    </row>
    <row r="189" spans="1:54" x14ac:dyDescent="0.25">
      <c r="A189">
        <v>184</v>
      </c>
      <c r="B189" t="s">
        <v>3467</v>
      </c>
      <c r="C189" t="s">
        <v>3468</v>
      </c>
      <c r="D189" t="s">
        <v>3469</v>
      </c>
      <c r="E189">
        <v>1</v>
      </c>
      <c r="F189" t="s">
        <v>2418</v>
      </c>
      <c r="G189" t="s">
        <v>3018</v>
      </c>
      <c r="H189" t="s">
        <v>3019</v>
      </c>
      <c r="I189" t="s">
        <v>3020</v>
      </c>
      <c r="L189" t="s">
        <v>2482</v>
      </c>
      <c r="M189">
        <v>922.2506103515625</v>
      </c>
      <c r="N189" t="s">
        <v>54</v>
      </c>
      <c r="O189" t="s">
        <v>53</v>
      </c>
      <c r="P189" t="s">
        <v>53</v>
      </c>
      <c r="Q189" t="s">
        <v>54</v>
      </c>
      <c r="R189" t="s">
        <v>53</v>
      </c>
      <c r="S189" t="s">
        <v>3021</v>
      </c>
      <c r="T189" t="s">
        <v>3022</v>
      </c>
      <c r="U189" t="s">
        <v>53</v>
      </c>
      <c r="V189" t="s">
        <v>51</v>
      </c>
      <c r="W189">
        <v>120000</v>
      </c>
      <c r="X189" t="s">
        <v>53</v>
      </c>
      <c r="AA189">
        <v>1781</v>
      </c>
      <c r="AB189">
        <v>1476</v>
      </c>
      <c r="AC189">
        <v>3176</v>
      </c>
      <c r="AD189">
        <v>4663</v>
      </c>
      <c r="AE189">
        <v>6820</v>
      </c>
      <c r="AF189">
        <v>21</v>
      </c>
      <c r="AG189">
        <v>20</v>
      </c>
      <c r="AH189">
        <v>152.68418884277341</v>
      </c>
      <c r="AI189">
        <v>20</v>
      </c>
      <c r="AJ189">
        <v>32847.9296875</v>
      </c>
      <c r="AK189" t="s">
        <v>54</v>
      </c>
      <c r="AL189" t="s">
        <v>54</v>
      </c>
      <c r="AM189" t="s">
        <v>3017</v>
      </c>
      <c r="AN189" s="148">
        <v>38718</v>
      </c>
      <c r="AO189" s="148">
        <v>38718</v>
      </c>
      <c r="AP189" t="s">
        <v>3015</v>
      </c>
      <c r="AQ189" t="s">
        <v>54</v>
      </c>
      <c r="AR189" t="s">
        <v>3017</v>
      </c>
      <c r="AS189" s="148">
        <v>40333</v>
      </c>
      <c r="AT189" t="s">
        <v>3017</v>
      </c>
      <c r="AW189" t="s">
        <v>53</v>
      </c>
      <c r="AZ189" t="s">
        <v>54</v>
      </c>
      <c r="BA189" t="s">
        <v>2425</v>
      </c>
      <c r="BB189" s="15" t="s">
        <v>678</v>
      </c>
    </row>
    <row r="190" spans="1:54" x14ac:dyDescent="0.25">
      <c r="A190">
        <v>185</v>
      </c>
      <c r="B190" t="s">
        <v>3470</v>
      </c>
      <c r="C190" t="s">
        <v>3471</v>
      </c>
      <c r="D190" t="s">
        <v>3472</v>
      </c>
      <c r="E190">
        <v>2</v>
      </c>
      <c r="F190" t="s">
        <v>3473</v>
      </c>
      <c r="G190" t="s">
        <v>3474</v>
      </c>
      <c r="H190" t="s">
        <v>3475</v>
      </c>
      <c r="I190" t="s">
        <v>3476</v>
      </c>
      <c r="J190" t="s">
        <v>32</v>
      </c>
      <c r="K190" t="s">
        <v>32</v>
      </c>
      <c r="L190" t="s">
        <v>3477</v>
      </c>
      <c r="M190">
        <v>976.74066162109375</v>
      </c>
      <c r="N190" t="s">
        <v>54</v>
      </c>
      <c r="O190" t="s">
        <v>53</v>
      </c>
      <c r="P190" t="s">
        <v>53</v>
      </c>
      <c r="Q190" t="s">
        <v>53</v>
      </c>
      <c r="R190" t="s">
        <v>53</v>
      </c>
      <c r="S190" t="s">
        <v>3478</v>
      </c>
      <c r="T190" t="s">
        <v>3479</v>
      </c>
      <c r="U190" t="s">
        <v>53</v>
      </c>
      <c r="V190" t="s">
        <v>138</v>
      </c>
      <c r="W190">
        <v>2313000</v>
      </c>
      <c r="X190" t="s">
        <v>53</v>
      </c>
      <c r="AA190">
        <v>2569</v>
      </c>
      <c r="AB190">
        <v>1511</v>
      </c>
      <c r="AC190">
        <v>9464</v>
      </c>
      <c r="AD190">
        <v>4360</v>
      </c>
      <c r="AE190">
        <v>12470</v>
      </c>
      <c r="AF190">
        <v>23</v>
      </c>
      <c r="AG190">
        <v>8</v>
      </c>
      <c r="AH190">
        <v>180.74037170410159</v>
      </c>
      <c r="AJ190">
        <v>10335.2744140625</v>
      </c>
      <c r="AK190" t="s">
        <v>54</v>
      </c>
      <c r="AL190" t="s">
        <v>54</v>
      </c>
      <c r="AM190" t="s">
        <v>3480</v>
      </c>
      <c r="AQ190" t="s">
        <v>54</v>
      </c>
      <c r="AW190" t="s">
        <v>54</v>
      </c>
      <c r="AZ190" t="s">
        <v>54</v>
      </c>
      <c r="BA190" t="s">
        <v>3481</v>
      </c>
      <c r="BB190" s="15" t="s">
        <v>678</v>
      </c>
    </row>
    <row r="191" spans="1:54" x14ac:dyDescent="0.25">
      <c r="A191">
        <v>186</v>
      </c>
      <c r="B191" t="s">
        <v>3482</v>
      </c>
      <c r="C191" t="s">
        <v>3483</v>
      </c>
      <c r="D191" t="s">
        <v>3484</v>
      </c>
      <c r="E191">
        <v>2</v>
      </c>
      <c r="F191" t="s">
        <v>3473</v>
      </c>
      <c r="G191" t="s">
        <v>3485</v>
      </c>
      <c r="H191" t="s">
        <v>3486</v>
      </c>
      <c r="I191" t="s">
        <v>3487</v>
      </c>
      <c r="J191" t="s">
        <v>32</v>
      </c>
      <c r="K191" t="s">
        <v>32</v>
      </c>
      <c r="L191" t="s">
        <v>3477</v>
      </c>
      <c r="M191">
        <v>897.0103759765625</v>
      </c>
      <c r="N191" t="s">
        <v>54</v>
      </c>
      <c r="O191" t="s">
        <v>53</v>
      </c>
      <c r="P191" t="s">
        <v>53</v>
      </c>
      <c r="Q191" t="s">
        <v>53</v>
      </c>
      <c r="R191" t="s">
        <v>53</v>
      </c>
      <c r="S191" t="s">
        <v>3488</v>
      </c>
      <c r="T191" t="s">
        <v>3489</v>
      </c>
      <c r="U191" t="s">
        <v>53</v>
      </c>
      <c r="V191" t="s">
        <v>138</v>
      </c>
      <c r="W191">
        <v>2471000</v>
      </c>
      <c r="X191" t="s">
        <v>53</v>
      </c>
      <c r="AA191">
        <v>1077</v>
      </c>
      <c r="AB191">
        <v>709</v>
      </c>
      <c r="AC191">
        <v>2014</v>
      </c>
      <c r="AD191">
        <v>1328</v>
      </c>
      <c r="AE191">
        <v>3040</v>
      </c>
      <c r="AF191">
        <v>18</v>
      </c>
      <c r="AG191">
        <v>26</v>
      </c>
      <c r="AH191">
        <v>170.2735900878906</v>
      </c>
      <c r="AJ191">
        <v>37510.6953125</v>
      </c>
      <c r="AK191" t="s">
        <v>54</v>
      </c>
      <c r="AL191" t="s">
        <v>54</v>
      </c>
      <c r="AM191" t="s">
        <v>3490</v>
      </c>
      <c r="AQ191" t="s">
        <v>54</v>
      </c>
      <c r="AW191" t="s">
        <v>54</v>
      </c>
      <c r="AZ191" t="s">
        <v>54</v>
      </c>
      <c r="BA191" t="s">
        <v>3481</v>
      </c>
      <c r="BB191" s="15" t="s">
        <v>676</v>
      </c>
    </row>
    <row r="192" spans="1:54" x14ac:dyDescent="0.25">
      <c r="A192">
        <v>187</v>
      </c>
      <c r="B192" t="s">
        <v>3491</v>
      </c>
      <c r="C192" t="s">
        <v>3492</v>
      </c>
      <c r="D192" t="s">
        <v>3484</v>
      </c>
      <c r="E192">
        <v>2</v>
      </c>
      <c r="F192" t="s">
        <v>3473</v>
      </c>
      <c r="G192" t="s">
        <v>3493</v>
      </c>
      <c r="H192" t="s">
        <v>3494</v>
      </c>
      <c r="I192" t="s">
        <v>3495</v>
      </c>
      <c r="J192" t="s">
        <v>32</v>
      </c>
      <c r="K192" t="s">
        <v>32</v>
      </c>
      <c r="L192" t="s">
        <v>3477</v>
      </c>
      <c r="M192">
        <v>931.7958984375</v>
      </c>
      <c r="N192" t="s">
        <v>54</v>
      </c>
      <c r="O192" t="s">
        <v>53</v>
      </c>
      <c r="P192" t="s">
        <v>53</v>
      </c>
      <c r="Q192" t="s">
        <v>53</v>
      </c>
      <c r="R192" t="s">
        <v>53</v>
      </c>
      <c r="S192" t="s">
        <v>3496</v>
      </c>
      <c r="T192" t="s">
        <v>3497</v>
      </c>
      <c r="U192" t="s">
        <v>53</v>
      </c>
      <c r="V192" t="s">
        <v>138</v>
      </c>
      <c r="W192">
        <v>2465000</v>
      </c>
      <c r="X192" t="s">
        <v>53</v>
      </c>
      <c r="AA192">
        <v>1644</v>
      </c>
      <c r="AB192">
        <v>1013</v>
      </c>
      <c r="AC192">
        <v>3603</v>
      </c>
      <c r="AD192">
        <v>2670</v>
      </c>
      <c r="AE192">
        <v>5441</v>
      </c>
      <c r="AF192">
        <v>33</v>
      </c>
      <c r="AG192">
        <v>15</v>
      </c>
      <c r="AH192">
        <v>221.51518249511719</v>
      </c>
      <c r="AJ192">
        <v>42825.2734375</v>
      </c>
      <c r="AK192" t="s">
        <v>54</v>
      </c>
      <c r="AL192" t="s">
        <v>54</v>
      </c>
      <c r="AM192" t="s">
        <v>3498</v>
      </c>
      <c r="AQ192" t="s">
        <v>54</v>
      </c>
      <c r="AW192" t="s">
        <v>54</v>
      </c>
      <c r="AZ192" t="s">
        <v>54</v>
      </c>
      <c r="BA192" t="s">
        <v>3499</v>
      </c>
      <c r="BB192" s="15" t="s">
        <v>676</v>
      </c>
    </row>
    <row r="193" spans="1:54" x14ac:dyDescent="0.25">
      <c r="A193">
        <v>188</v>
      </c>
      <c r="B193" t="s">
        <v>3500</v>
      </c>
      <c r="C193" t="s">
        <v>3501</v>
      </c>
      <c r="D193" t="s">
        <v>3502</v>
      </c>
      <c r="E193">
        <v>2</v>
      </c>
      <c r="F193" t="s">
        <v>3473</v>
      </c>
      <c r="G193" t="s">
        <v>3503</v>
      </c>
      <c r="H193" t="s">
        <v>3504</v>
      </c>
      <c r="I193" t="s">
        <v>3505</v>
      </c>
      <c r="J193" t="s">
        <v>3506</v>
      </c>
      <c r="K193" t="s">
        <v>3507</v>
      </c>
      <c r="L193" t="s">
        <v>3477</v>
      </c>
      <c r="M193">
        <v>277.126708984375</v>
      </c>
      <c r="N193" t="s">
        <v>54</v>
      </c>
      <c r="O193" t="s">
        <v>53</v>
      </c>
      <c r="P193" t="s">
        <v>53</v>
      </c>
      <c r="Q193" t="s">
        <v>53</v>
      </c>
      <c r="R193" t="s">
        <v>53</v>
      </c>
      <c r="S193" t="s">
        <v>3508</v>
      </c>
      <c r="T193" t="s">
        <v>3509</v>
      </c>
      <c r="U193" t="s">
        <v>53</v>
      </c>
      <c r="V193" t="s">
        <v>138</v>
      </c>
      <c r="W193">
        <v>682000</v>
      </c>
      <c r="X193" t="s">
        <v>53</v>
      </c>
      <c r="AA193">
        <v>121</v>
      </c>
      <c r="AB193">
        <v>59</v>
      </c>
      <c r="AC193">
        <v>23</v>
      </c>
      <c r="AD193">
        <v>82</v>
      </c>
      <c r="AE193">
        <v>85</v>
      </c>
      <c r="AF193">
        <v>2</v>
      </c>
      <c r="AG193">
        <v>8</v>
      </c>
      <c r="AH193">
        <v>41.511665344238281</v>
      </c>
      <c r="AJ193">
        <v>14657.0947265625</v>
      </c>
      <c r="AK193" t="s">
        <v>54</v>
      </c>
      <c r="AL193" t="s">
        <v>53</v>
      </c>
      <c r="AM193" t="s">
        <v>595</v>
      </c>
      <c r="AQ193" t="s">
        <v>54</v>
      </c>
      <c r="AW193" t="s">
        <v>53</v>
      </c>
      <c r="AZ193" t="s">
        <v>54</v>
      </c>
      <c r="BA193" t="s">
        <v>3499</v>
      </c>
      <c r="BB193" s="15" t="s">
        <v>676</v>
      </c>
    </row>
    <row r="194" spans="1:54" x14ac:dyDescent="0.25">
      <c r="A194">
        <v>189</v>
      </c>
      <c r="B194" t="s">
        <v>3510</v>
      </c>
      <c r="C194" t="s">
        <v>3511</v>
      </c>
      <c r="D194" t="s">
        <v>3484</v>
      </c>
      <c r="E194">
        <v>2</v>
      </c>
      <c r="F194" t="s">
        <v>3473</v>
      </c>
      <c r="G194" t="s">
        <v>3512</v>
      </c>
      <c r="H194" t="s">
        <v>3513</v>
      </c>
      <c r="I194" t="s">
        <v>3514</v>
      </c>
      <c r="J194" t="s">
        <v>32</v>
      </c>
      <c r="K194" t="s">
        <v>32</v>
      </c>
      <c r="L194" t="s">
        <v>3477</v>
      </c>
      <c r="M194">
        <v>790.829345703125</v>
      </c>
      <c r="N194" t="s">
        <v>54</v>
      </c>
      <c r="O194" t="s">
        <v>53</v>
      </c>
      <c r="P194" t="s">
        <v>53</v>
      </c>
      <c r="Q194" t="s">
        <v>53</v>
      </c>
      <c r="R194" t="s">
        <v>53</v>
      </c>
      <c r="S194" t="s">
        <v>3515</v>
      </c>
      <c r="T194" t="s">
        <v>3516</v>
      </c>
      <c r="U194" t="s">
        <v>53</v>
      </c>
      <c r="V194" t="s">
        <v>138</v>
      </c>
      <c r="W194">
        <v>2061000</v>
      </c>
      <c r="X194" t="s">
        <v>53</v>
      </c>
      <c r="AA194">
        <v>702</v>
      </c>
      <c r="AB194">
        <v>381</v>
      </c>
      <c r="AC194">
        <v>4454</v>
      </c>
      <c r="AD194">
        <v>907</v>
      </c>
      <c r="AE194">
        <v>5081</v>
      </c>
      <c r="AF194">
        <v>5</v>
      </c>
      <c r="AG194">
        <v>3</v>
      </c>
      <c r="AH194">
        <v>148.55351257324219</v>
      </c>
      <c r="AJ194">
        <v>8634.119140625</v>
      </c>
      <c r="AK194" t="s">
        <v>54</v>
      </c>
      <c r="AL194" t="s">
        <v>53</v>
      </c>
      <c r="AM194" t="s">
        <v>595</v>
      </c>
      <c r="AQ194" t="s">
        <v>54</v>
      </c>
      <c r="AW194" t="s">
        <v>54</v>
      </c>
      <c r="AZ194" t="s">
        <v>54</v>
      </c>
      <c r="BA194" t="s">
        <v>3481</v>
      </c>
      <c r="BB194" s="15" t="s">
        <v>678</v>
      </c>
    </row>
    <row r="195" spans="1:54" x14ac:dyDescent="0.25">
      <c r="A195">
        <v>190</v>
      </c>
      <c r="B195" t="s">
        <v>3517</v>
      </c>
      <c r="C195" t="s">
        <v>3518</v>
      </c>
      <c r="D195" t="s">
        <v>3502</v>
      </c>
      <c r="E195">
        <v>2</v>
      </c>
      <c r="F195" t="s">
        <v>3473</v>
      </c>
      <c r="G195" t="s">
        <v>3519</v>
      </c>
      <c r="H195" t="s">
        <v>3520</v>
      </c>
      <c r="I195" t="s">
        <v>3521</v>
      </c>
      <c r="J195" t="s">
        <v>32</v>
      </c>
      <c r="K195" t="s">
        <v>32</v>
      </c>
      <c r="L195" t="s">
        <v>3477</v>
      </c>
      <c r="M195">
        <v>1054.995971679688</v>
      </c>
      <c r="N195" t="s">
        <v>54</v>
      </c>
      <c r="O195" t="s">
        <v>53</v>
      </c>
      <c r="P195" t="s">
        <v>53</v>
      </c>
      <c r="Q195" t="s">
        <v>53</v>
      </c>
      <c r="R195" t="s">
        <v>53</v>
      </c>
      <c r="S195" t="s">
        <v>3522</v>
      </c>
      <c r="T195" t="s">
        <v>3523</v>
      </c>
      <c r="U195" t="s">
        <v>53</v>
      </c>
      <c r="V195" t="s">
        <v>138</v>
      </c>
      <c r="W195">
        <v>2606000</v>
      </c>
      <c r="X195" t="s">
        <v>53</v>
      </c>
      <c r="AA195">
        <v>391</v>
      </c>
      <c r="AB195">
        <v>138</v>
      </c>
      <c r="AC195">
        <v>218</v>
      </c>
      <c r="AD195">
        <v>336</v>
      </c>
      <c r="AE195">
        <v>374</v>
      </c>
      <c r="AF195">
        <v>5</v>
      </c>
      <c r="AG195">
        <v>16</v>
      </c>
      <c r="AH195">
        <v>156.66029357910159</v>
      </c>
      <c r="AJ195">
        <v>24045.279296875</v>
      </c>
      <c r="AK195" t="s">
        <v>54</v>
      </c>
      <c r="AL195" t="s">
        <v>54</v>
      </c>
      <c r="AM195" t="s">
        <v>3524</v>
      </c>
      <c r="AQ195" t="s">
        <v>54</v>
      </c>
      <c r="AW195" t="s">
        <v>53</v>
      </c>
      <c r="AZ195" t="s">
        <v>54</v>
      </c>
      <c r="BA195" t="s">
        <v>3499</v>
      </c>
      <c r="BB195" s="15" t="s">
        <v>676</v>
      </c>
    </row>
    <row r="196" spans="1:54" x14ac:dyDescent="0.25">
      <c r="A196">
        <v>191</v>
      </c>
      <c r="B196" t="s">
        <v>3525</v>
      </c>
      <c r="C196" t="s">
        <v>3526</v>
      </c>
      <c r="D196" t="s">
        <v>3502</v>
      </c>
      <c r="E196">
        <v>2</v>
      </c>
      <c r="F196" t="s">
        <v>3473</v>
      </c>
      <c r="G196" t="s">
        <v>3527</v>
      </c>
      <c r="H196" t="s">
        <v>3528</v>
      </c>
      <c r="I196" t="s">
        <v>3529</v>
      </c>
      <c r="J196" t="s">
        <v>3530</v>
      </c>
      <c r="K196" t="s">
        <v>3531</v>
      </c>
      <c r="L196" t="s">
        <v>3477</v>
      </c>
      <c r="M196">
        <v>293.97018432617188</v>
      </c>
      <c r="N196" t="s">
        <v>54</v>
      </c>
      <c r="O196" t="s">
        <v>53</v>
      </c>
      <c r="P196" t="s">
        <v>53</v>
      </c>
      <c r="Q196" t="s">
        <v>53</v>
      </c>
      <c r="R196" t="s">
        <v>53</v>
      </c>
      <c r="S196" t="s">
        <v>3532</v>
      </c>
      <c r="T196" t="s">
        <v>3533</v>
      </c>
      <c r="U196" t="s">
        <v>53</v>
      </c>
      <c r="V196" t="s">
        <v>138</v>
      </c>
      <c r="W196">
        <v>666000</v>
      </c>
      <c r="X196" t="s">
        <v>53</v>
      </c>
      <c r="AA196">
        <v>455</v>
      </c>
      <c r="AB196">
        <v>341</v>
      </c>
      <c r="AC196">
        <v>2160</v>
      </c>
      <c r="AD196">
        <v>535</v>
      </c>
      <c r="AE196">
        <v>2507</v>
      </c>
      <c r="AF196">
        <v>1</v>
      </c>
      <c r="AG196">
        <v>5</v>
      </c>
      <c r="AH196">
        <v>38.617843627929688</v>
      </c>
      <c r="AJ196">
        <v>1573.289672851562</v>
      </c>
      <c r="AK196" t="s">
        <v>54</v>
      </c>
      <c r="AL196" t="s">
        <v>53</v>
      </c>
      <c r="AM196" t="s">
        <v>595</v>
      </c>
      <c r="AQ196" t="s">
        <v>54</v>
      </c>
      <c r="AW196" t="s">
        <v>53</v>
      </c>
      <c r="AZ196" t="s">
        <v>54</v>
      </c>
      <c r="BA196" t="s">
        <v>3481</v>
      </c>
      <c r="BB196" s="15" t="s">
        <v>678</v>
      </c>
    </row>
    <row r="197" spans="1:54" x14ac:dyDescent="0.25">
      <c r="A197">
        <v>192</v>
      </c>
      <c r="B197" t="s">
        <v>3534</v>
      </c>
      <c r="C197" t="s">
        <v>3535</v>
      </c>
      <c r="D197" t="s">
        <v>3484</v>
      </c>
      <c r="E197">
        <v>2</v>
      </c>
      <c r="F197" t="s">
        <v>3473</v>
      </c>
      <c r="G197" t="s">
        <v>3536</v>
      </c>
      <c r="H197" t="s">
        <v>3537</v>
      </c>
      <c r="I197" t="s">
        <v>3538</v>
      </c>
      <c r="J197" t="s">
        <v>32</v>
      </c>
      <c r="K197" t="s">
        <v>32</v>
      </c>
      <c r="L197" t="s">
        <v>3477</v>
      </c>
      <c r="M197">
        <v>425.4803466796875</v>
      </c>
      <c r="N197" t="s">
        <v>54</v>
      </c>
      <c r="O197" t="s">
        <v>53</v>
      </c>
      <c r="P197" t="s">
        <v>53</v>
      </c>
      <c r="Q197" t="s">
        <v>53</v>
      </c>
      <c r="R197" t="s">
        <v>53</v>
      </c>
      <c r="S197" t="s">
        <v>3539</v>
      </c>
      <c r="T197" t="s">
        <v>3540</v>
      </c>
      <c r="U197" t="s">
        <v>53</v>
      </c>
      <c r="V197" t="s">
        <v>138</v>
      </c>
      <c r="W197">
        <v>1219000</v>
      </c>
      <c r="X197" t="s">
        <v>53</v>
      </c>
      <c r="AA197">
        <v>596</v>
      </c>
      <c r="AB197">
        <v>315</v>
      </c>
      <c r="AC197">
        <v>2178</v>
      </c>
      <c r="AD197">
        <v>1182</v>
      </c>
      <c r="AE197">
        <v>2890</v>
      </c>
      <c r="AF197">
        <v>8</v>
      </c>
      <c r="AG197">
        <v>9</v>
      </c>
      <c r="AH197">
        <v>87.111259460449219</v>
      </c>
      <c r="AJ197">
        <v>1569.94384765625</v>
      </c>
      <c r="AK197" t="s">
        <v>54</v>
      </c>
      <c r="AL197" t="s">
        <v>53</v>
      </c>
      <c r="AM197" t="s">
        <v>595</v>
      </c>
      <c r="AQ197" t="s">
        <v>54</v>
      </c>
      <c r="AW197" t="s">
        <v>54</v>
      </c>
      <c r="AZ197" t="s">
        <v>54</v>
      </c>
      <c r="BA197" t="s">
        <v>3481</v>
      </c>
      <c r="BB197" s="15" t="s">
        <v>678</v>
      </c>
    </row>
    <row r="198" spans="1:54" x14ac:dyDescent="0.25">
      <c r="A198">
        <v>193</v>
      </c>
      <c r="B198" t="s">
        <v>3541</v>
      </c>
      <c r="C198" t="s">
        <v>3542</v>
      </c>
      <c r="D198" t="s">
        <v>3502</v>
      </c>
      <c r="E198">
        <v>2</v>
      </c>
      <c r="F198" t="s">
        <v>3473</v>
      </c>
      <c r="G198" t="s">
        <v>3543</v>
      </c>
      <c r="H198" t="s">
        <v>3544</v>
      </c>
      <c r="I198" t="s">
        <v>3545</v>
      </c>
      <c r="J198" t="s">
        <v>3546</v>
      </c>
      <c r="K198" t="s">
        <v>3547</v>
      </c>
      <c r="L198" t="s">
        <v>3477</v>
      </c>
      <c r="M198">
        <v>202.65599060058591</v>
      </c>
      <c r="N198" t="s">
        <v>54</v>
      </c>
      <c r="O198" t="s">
        <v>53</v>
      </c>
      <c r="P198" t="s">
        <v>53</v>
      </c>
      <c r="Q198" t="s">
        <v>53</v>
      </c>
      <c r="R198" t="s">
        <v>53</v>
      </c>
      <c r="S198" t="s">
        <v>3548</v>
      </c>
      <c r="T198" t="s">
        <v>3549</v>
      </c>
      <c r="U198" t="s">
        <v>53</v>
      </c>
      <c r="V198" t="s">
        <v>138</v>
      </c>
      <c r="W198">
        <v>465000</v>
      </c>
      <c r="X198" t="s">
        <v>53</v>
      </c>
      <c r="AA198">
        <v>256</v>
      </c>
      <c r="AB198">
        <v>124</v>
      </c>
      <c r="AC198">
        <v>429</v>
      </c>
      <c r="AD198">
        <v>301</v>
      </c>
      <c r="AE198">
        <v>619</v>
      </c>
      <c r="AF198">
        <v>4</v>
      </c>
      <c r="AG198">
        <v>1</v>
      </c>
      <c r="AH198">
        <v>29.887327194213871</v>
      </c>
      <c r="AJ198">
        <v>359.068359375</v>
      </c>
      <c r="AK198" t="s">
        <v>54</v>
      </c>
      <c r="AL198" t="s">
        <v>53</v>
      </c>
      <c r="AM198" t="s">
        <v>595</v>
      </c>
      <c r="AQ198" t="s">
        <v>54</v>
      </c>
      <c r="AW198" t="s">
        <v>53</v>
      </c>
      <c r="AZ198" t="s">
        <v>54</v>
      </c>
      <c r="BA198" t="s">
        <v>3499</v>
      </c>
      <c r="BB198" s="15" t="s">
        <v>678</v>
      </c>
    </row>
    <row r="199" spans="1:54" x14ac:dyDescent="0.25">
      <c r="A199">
        <v>194</v>
      </c>
      <c r="B199" t="s">
        <v>3550</v>
      </c>
      <c r="C199" t="s">
        <v>3551</v>
      </c>
      <c r="D199" t="s">
        <v>3484</v>
      </c>
      <c r="E199">
        <v>2</v>
      </c>
      <c r="F199" t="s">
        <v>3473</v>
      </c>
      <c r="G199" t="s">
        <v>3552</v>
      </c>
      <c r="H199" t="s">
        <v>3553</v>
      </c>
      <c r="I199" t="s">
        <v>3554</v>
      </c>
      <c r="J199" t="s">
        <v>32</v>
      </c>
      <c r="K199" t="s">
        <v>32</v>
      </c>
      <c r="L199" t="s">
        <v>3477</v>
      </c>
      <c r="M199">
        <v>590.46240234375</v>
      </c>
      <c r="N199" t="s">
        <v>54</v>
      </c>
      <c r="O199" t="s">
        <v>53</v>
      </c>
      <c r="P199" t="s">
        <v>53</v>
      </c>
      <c r="Q199" t="s">
        <v>53</v>
      </c>
      <c r="R199" t="s">
        <v>53</v>
      </c>
      <c r="S199" t="s">
        <v>3555</v>
      </c>
      <c r="T199" t="s">
        <v>3556</v>
      </c>
      <c r="U199" t="s">
        <v>53</v>
      </c>
      <c r="V199" t="s">
        <v>138</v>
      </c>
      <c r="W199">
        <v>1834000</v>
      </c>
      <c r="X199" t="s">
        <v>53</v>
      </c>
      <c r="AA199">
        <v>425</v>
      </c>
      <c r="AB199">
        <v>250</v>
      </c>
      <c r="AC199">
        <v>1920</v>
      </c>
      <c r="AD199">
        <v>677</v>
      </c>
      <c r="AE199">
        <v>2262</v>
      </c>
      <c r="AF199">
        <v>10</v>
      </c>
      <c r="AG199">
        <v>3</v>
      </c>
      <c r="AH199">
        <v>90.7698974609375</v>
      </c>
      <c r="AJ199">
        <v>611.69171142578125</v>
      </c>
      <c r="AK199" t="s">
        <v>54</v>
      </c>
      <c r="AL199" t="s">
        <v>53</v>
      </c>
      <c r="AM199" t="s">
        <v>595</v>
      </c>
      <c r="AQ199" t="s">
        <v>54</v>
      </c>
      <c r="AW199" t="s">
        <v>53</v>
      </c>
      <c r="AZ199" t="s">
        <v>54</v>
      </c>
      <c r="BA199" t="s">
        <v>3481</v>
      </c>
      <c r="BB199" s="15" t="s">
        <v>676</v>
      </c>
    </row>
    <row r="200" spans="1:54" x14ac:dyDescent="0.25">
      <c r="A200">
        <v>195</v>
      </c>
      <c r="B200" t="s">
        <v>3557</v>
      </c>
      <c r="C200" t="s">
        <v>3558</v>
      </c>
      <c r="D200" t="s">
        <v>3484</v>
      </c>
      <c r="E200">
        <v>2</v>
      </c>
      <c r="F200" t="s">
        <v>3473</v>
      </c>
      <c r="G200" t="s">
        <v>3559</v>
      </c>
      <c r="H200" t="s">
        <v>3560</v>
      </c>
      <c r="I200" t="s">
        <v>3561</v>
      </c>
      <c r="J200" t="s">
        <v>32</v>
      </c>
      <c r="K200" t="s">
        <v>32</v>
      </c>
      <c r="L200" t="s">
        <v>3477</v>
      </c>
      <c r="M200">
        <v>912.3978271484375</v>
      </c>
      <c r="N200" t="s">
        <v>54</v>
      </c>
      <c r="O200" t="s">
        <v>53</v>
      </c>
      <c r="P200" t="s">
        <v>53</v>
      </c>
      <c r="Q200" t="s">
        <v>53</v>
      </c>
      <c r="R200" t="s">
        <v>53</v>
      </c>
      <c r="S200" t="s">
        <v>3562</v>
      </c>
      <c r="T200" t="s">
        <v>3563</v>
      </c>
      <c r="U200" t="s">
        <v>53</v>
      </c>
      <c r="V200" t="s">
        <v>138</v>
      </c>
      <c r="W200">
        <v>2162000</v>
      </c>
      <c r="X200" t="s">
        <v>53</v>
      </c>
      <c r="AA200">
        <v>898</v>
      </c>
      <c r="AB200">
        <v>740</v>
      </c>
      <c r="AC200">
        <v>1198</v>
      </c>
      <c r="AD200">
        <v>1254</v>
      </c>
      <c r="AE200">
        <v>2056</v>
      </c>
      <c r="AF200">
        <v>6</v>
      </c>
      <c r="AG200">
        <v>5</v>
      </c>
      <c r="AH200">
        <v>96.555709838867188</v>
      </c>
      <c r="AJ200">
        <v>254.9898986816406</v>
      </c>
      <c r="AK200" t="s">
        <v>54</v>
      </c>
      <c r="AL200" t="s">
        <v>53</v>
      </c>
      <c r="AM200" t="s">
        <v>595</v>
      </c>
      <c r="AQ200" t="s">
        <v>54</v>
      </c>
      <c r="AW200" t="s">
        <v>54</v>
      </c>
      <c r="AZ200" t="s">
        <v>54</v>
      </c>
      <c r="BA200" t="s">
        <v>3481</v>
      </c>
      <c r="BB200" s="15" t="s">
        <v>676</v>
      </c>
    </row>
    <row r="201" spans="1:54" x14ac:dyDescent="0.25">
      <c r="A201">
        <v>196</v>
      </c>
      <c r="B201" t="s">
        <v>3564</v>
      </c>
      <c r="C201" t="s">
        <v>3565</v>
      </c>
      <c r="D201" t="s">
        <v>3502</v>
      </c>
      <c r="E201">
        <v>2</v>
      </c>
      <c r="F201" t="s">
        <v>3473</v>
      </c>
      <c r="G201" t="s">
        <v>3566</v>
      </c>
      <c r="H201" t="s">
        <v>3567</v>
      </c>
      <c r="I201" t="s">
        <v>3568</v>
      </c>
      <c r="J201" t="s">
        <v>32</v>
      </c>
      <c r="K201" t="s">
        <v>32</v>
      </c>
      <c r="L201" t="s">
        <v>3477</v>
      </c>
      <c r="M201">
        <v>418.81814575195313</v>
      </c>
      <c r="N201" t="s">
        <v>54</v>
      </c>
      <c r="O201" t="s">
        <v>53</v>
      </c>
      <c r="P201" t="s">
        <v>53</v>
      </c>
      <c r="Q201" t="s">
        <v>53</v>
      </c>
      <c r="R201" t="s">
        <v>53</v>
      </c>
      <c r="S201" t="s">
        <v>3569</v>
      </c>
      <c r="T201" t="s">
        <v>3570</v>
      </c>
      <c r="U201" t="s">
        <v>53</v>
      </c>
      <c r="V201" t="s">
        <v>138</v>
      </c>
      <c r="W201">
        <v>851000</v>
      </c>
      <c r="X201" t="s">
        <v>53</v>
      </c>
      <c r="AA201">
        <v>313</v>
      </c>
      <c r="AB201">
        <v>163</v>
      </c>
      <c r="AC201">
        <v>319</v>
      </c>
      <c r="AD201">
        <v>360</v>
      </c>
      <c r="AE201">
        <v>452</v>
      </c>
      <c r="AF201">
        <v>4</v>
      </c>
      <c r="AG201">
        <v>1</v>
      </c>
      <c r="AH201">
        <v>48.031021118164063</v>
      </c>
      <c r="AJ201">
        <v>137.30155944824219</v>
      </c>
      <c r="AK201" t="s">
        <v>54</v>
      </c>
      <c r="AL201" t="s">
        <v>53</v>
      </c>
      <c r="AM201" t="s">
        <v>595</v>
      </c>
      <c r="AQ201" t="s">
        <v>54</v>
      </c>
      <c r="AW201" t="s">
        <v>53</v>
      </c>
      <c r="AZ201" t="s">
        <v>54</v>
      </c>
      <c r="BA201" t="s">
        <v>3499</v>
      </c>
      <c r="BB201" s="15" t="s">
        <v>678</v>
      </c>
    </row>
    <row r="202" spans="1:54" x14ac:dyDescent="0.25">
      <c r="A202">
        <v>197</v>
      </c>
      <c r="B202" t="s">
        <v>3571</v>
      </c>
      <c r="C202" t="s">
        <v>3572</v>
      </c>
      <c r="D202" t="s">
        <v>3484</v>
      </c>
      <c r="E202">
        <v>2</v>
      </c>
      <c r="F202" t="s">
        <v>3473</v>
      </c>
      <c r="G202" t="s">
        <v>3573</v>
      </c>
      <c r="H202" t="s">
        <v>3574</v>
      </c>
      <c r="I202" t="s">
        <v>3575</v>
      </c>
      <c r="J202" t="s">
        <v>32</v>
      </c>
      <c r="K202" t="s">
        <v>32</v>
      </c>
      <c r="L202" t="s">
        <v>3477</v>
      </c>
      <c r="M202">
        <v>956.77398681640625</v>
      </c>
      <c r="N202" t="s">
        <v>54</v>
      </c>
      <c r="O202" t="s">
        <v>53</v>
      </c>
      <c r="P202" t="s">
        <v>53</v>
      </c>
      <c r="Q202" t="s">
        <v>53</v>
      </c>
      <c r="R202" t="s">
        <v>53</v>
      </c>
      <c r="S202" t="s">
        <v>3576</v>
      </c>
      <c r="T202" t="s">
        <v>3577</v>
      </c>
      <c r="U202" t="s">
        <v>53</v>
      </c>
      <c r="V202" t="s">
        <v>138</v>
      </c>
      <c r="W202">
        <v>2419000</v>
      </c>
      <c r="X202" t="s">
        <v>53</v>
      </c>
      <c r="AA202">
        <v>574</v>
      </c>
      <c r="AB202">
        <v>303</v>
      </c>
      <c r="AC202">
        <v>1595</v>
      </c>
      <c r="AD202">
        <v>918</v>
      </c>
      <c r="AE202">
        <v>2148</v>
      </c>
      <c r="AF202">
        <v>12</v>
      </c>
      <c r="AG202">
        <v>7</v>
      </c>
      <c r="AH202">
        <v>159.4900817871094</v>
      </c>
      <c r="AJ202">
        <v>858.60430908203125</v>
      </c>
      <c r="AK202" t="s">
        <v>54</v>
      </c>
      <c r="AL202" t="s">
        <v>53</v>
      </c>
      <c r="AM202" t="s">
        <v>595</v>
      </c>
      <c r="AQ202" t="s">
        <v>54</v>
      </c>
      <c r="AW202" t="s">
        <v>54</v>
      </c>
      <c r="AZ202" t="s">
        <v>54</v>
      </c>
      <c r="BA202" t="s">
        <v>3481</v>
      </c>
      <c r="BB202" s="15" t="s">
        <v>676</v>
      </c>
    </row>
    <row r="203" spans="1:54" x14ac:dyDescent="0.25">
      <c r="A203">
        <v>198</v>
      </c>
      <c r="B203" t="s">
        <v>3578</v>
      </c>
      <c r="C203" t="s">
        <v>3579</v>
      </c>
      <c r="D203" t="s">
        <v>3484</v>
      </c>
      <c r="E203">
        <v>2</v>
      </c>
      <c r="F203" t="s">
        <v>3473</v>
      </c>
      <c r="G203" t="s">
        <v>3580</v>
      </c>
      <c r="H203" t="s">
        <v>3581</v>
      </c>
      <c r="I203" t="s">
        <v>3582</v>
      </c>
      <c r="J203" t="s">
        <v>32</v>
      </c>
      <c r="K203" t="s">
        <v>32</v>
      </c>
      <c r="L203" t="s">
        <v>3477</v>
      </c>
      <c r="M203">
        <v>920.10064697265625</v>
      </c>
      <c r="N203" t="s">
        <v>54</v>
      </c>
      <c r="O203" t="s">
        <v>53</v>
      </c>
      <c r="P203" t="s">
        <v>53</v>
      </c>
      <c r="Q203" t="s">
        <v>53</v>
      </c>
      <c r="R203" t="s">
        <v>53</v>
      </c>
      <c r="S203" t="s">
        <v>3583</v>
      </c>
      <c r="T203" t="s">
        <v>3584</v>
      </c>
      <c r="U203" t="s">
        <v>53</v>
      </c>
      <c r="V203" t="s">
        <v>138</v>
      </c>
      <c r="W203">
        <v>2282000</v>
      </c>
      <c r="X203" t="s">
        <v>53</v>
      </c>
      <c r="AA203">
        <v>2657</v>
      </c>
      <c r="AB203">
        <v>1546</v>
      </c>
      <c r="AC203">
        <v>6678</v>
      </c>
      <c r="AD203">
        <v>4529</v>
      </c>
      <c r="AE203">
        <v>9746</v>
      </c>
      <c r="AF203">
        <v>19</v>
      </c>
      <c r="AG203">
        <v>7</v>
      </c>
      <c r="AH203">
        <v>313.55148315429688</v>
      </c>
      <c r="AJ203">
        <v>30919.447265625</v>
      </c>
      <c r="AK203" t="s">
        <v>54</v>
      </c>
      <c r="AL203" t="s">
        <v>54</v>
      </c>
      <c r="AM203" t="s">
        <v>3585</v>
      </c>
      <c r="AQ203" t="s">
        <v>54</v>
      </c>
      <c r="AW203" t="s">
        <v>54</v>
      </c>
      <c r="AZ203" t="s">
        <v>54</v>
      </c>
      <c r="BA203" t="s">
        <v>3481</v>
      </c>
      <c r="BB203" s="15" t="s">
        <v>678</v>
      </c>
    </row>
    <row r="204" spans="1:54" x14ac:dyDescent="0.25">
      <c r="A204">
        <v>199</v>
      </c>
      <c r="B204" t="s">
        <v>3586</v>
      </c>
      <c r="C204" t="s">
        <v>3587</v>
      </c>
      <c r="D204" t="s">
        <v>3484</v>
      </c>
      <c r="E204">
        <v>2</v>
      </c>
      <c r="F204" t="s">
        <v>3473</v>
      </c>
      <c r="G204" t="s">
        <v>3588</v>
      </c>
      <c r="H204" t="s">
        <v>3589</v>
      </c>
      <c r="I204" t="s">
        <v>3590</v>
      </c>
      <c r="J204" t="s">
        <v>3591</v>
      </c>
      <c r="K204" t="s">
        <v>3592</v>
      </c>
      <c r="L204" t="s">
        <v>3477</v>
      </c>
      <c r="M204">
        <v>256.93450927734381</v>
      </c>
      <c r="N204" t="s">
        <v>54</v>
      </c>
      <c r="O204" t="s">
        <v>53</v>
      </c>
      <c r="P204" t="s">
        <v>53</v>
      </c>
      <c r="Q204" t="s">
        <v>53</v>
      </c>
      <c r="R204" t="s">
        <v>53</v>
      </c>
      <c r="S204" t="s">
        <v>3593</v>
      </c>
      <c r="T204" t="s">
        <v>3594</v>
      </c>
      <c r="U204" t="s">
        <v>53</v>
      </c>
      <c r="V204" t="s">
        <v>138</v>
      </c>
      <c r="W204">
        <v>804000</v>
      </c>
      <c r="X204" t="s">
        <v>53</v>
      </c>
      <c r="AA204">
        <v>234</v>
      </c>
      <c r="AB204">
        <v>102</v>
      </c>
      <c r="AC204">
        <v>277</v>
      </c>
      <c r="AD204">
        <v>232</v>
      </c>
      <c r="AE204">
        <v>419</v>
      </c>
      <c r="AF204">
        <v>6</v>
      </c>
      <c r="AG204">
        <v>2</v>
      </c>
      <c r="AH204">
        <v>38.446529388427727</v>
      </c>
      <c r="AJ204">
        <v>394.99609375</v>
      </c>
      <c r="AK204" t="s">
        <v>54</v>
      </c>
      <c r="AL204" t="s">
        <v>53</v>
      </c>
      <c r="AM204" t="s">
        <v>595</v>
      </c>
      <c r="AQ204" t="s">
        <v>54</v>
      </c>
      <c r="AW204" t="s">
        <v>53</v>
      </c>
      <c r="AZ204" t="s">
        <v>54</v>
      </c>
      <c r="BA204" t="s">
        <v>3481</v>
      </c>
      <c r="BB204" s="15" t="s">
        <v>678</v>
      </c>
    </row>
    <row r="205" spans="1:54" x14ac:dyDescent="0.25">
      <c r="A205">
        <v>200</v>
      </c>
      <c r="B205" t="s">
        <v>3595</v>
      </c>
      <c r="C205" t="s">
        <v>3596</v>
      </c>
      <c r="D205" t="s">
        <v>3597</v>
      </c>
      <c r="E205">
        <v>2</v>
      </c>
      <c r="F205" t="s">
        <v>3473</v>
      </c>
      <c r="G205" t="s">
        <v>3580</v>
      </c>
      <c r="H205" t="s">
        <v>3598</v>
      </c>
      <c r="I205" t="s">
        <v>3599</v>
      </c>
      <c r="J205" t="s">
        <v>3600</v>
      </c>
      <c r="K205" t="s">
        <v>3601</v>
      </c>
      <c r="L205" t="s">
        <v>3477</v>
      </c>
      <c r="M205">
        <v>1.3652495145797729</v>
      </c>
      <c r="N205" t="s">
        <v>54</v>
      </c>
      <c r="O205" t="s">
        <v>53</v>
      </c>
      <c r="P205" t="s">
        <v>53</v>
      </c>
      <c r="Q205" t="s">
        <v>53</v>
      </c>
      <c r="R205" t="s">
        <v>53</v>
      </c>
      <c r="S205" t="s">
        <v>3602</v>
      </c>
      <c r="T205" t="s">
        <v>3603</v>
      </c>
      <c r="U205" t="s">
        <v>53</v>
      </c>
      <c r="V205" t="s">
        <v>138</v>
      </c>
      <c r="W205">
        <v>250000</v>
      </c>
      <c r="X205" t="s">
        <v>53</v>
      </c>
      <c r="AA205">
        <v>2</v>
      </c>
      <c r="AB205">
        <v>2</v>
      </c>
      <c r="AC205">
        <v>0</v>
      </c>
      <c r="AD205">
        <v>3</v>
      </c>
      <c r="AE205">
        <v>3</v>
      </c>
      <c r="AF205">
        <v>0</v>
      </c>
      <c r="AG205">
        <v>0</v>
      </c>
      <c r="AH205">
        <v>0.25686758756637568</v>
      </c>
      <c r="AJ205">
        <v>0.2307346314191818</v>
      </c>
      <c r="AK205" t="s">
        <v>54</v>
      </c>
      <c r="AL205" t="s">
        <v>54</v>
      </c>
      <c r="AM205" t="s">
        <v>3604</v>
      </c>
      <c r="AQ205" t="s">
        <v>54</v>
      </c>
      <c r="AW205" t="s">
        <v>53</v>
      </c>
      <c r="AZ205" t="s">
        <v>54</v>
      </c>
      <c r="BA205" t="s">
        <v>3605</v>
      </c>
      <c r="BB205" s="15" t="s">
        <v>678</v>
      </c>
    </row>
    <row r="206" spans="1:54" x14ac:dyDescent="0.25">
      <c r="A206">
        <v>201</v>
      </c>
      <c r="B206" t="s">
        <v>3606</v>
      </c>
      <c r="C206" t="s">
        <v>3607</v>
      </c>
      <c r="D206" t="s">
        <v>3608</v>
      </c>
      <c r="E206">
        <v>2</v>
      </c>
      <c r="F206" t="s">
        <v>3473</v>
      </c>
      <c r="G206" t="s">
        <v>3580</v>
      </c>
      <c r="H206" t="s">
        <v>3609</v>
      </c>
      <c r="I206" t="s">
        <v>3610</v>
      </c>
      <c r="J206" t="s">
        <v>3611</v>
      </c>
      <c r="K206" t="s">
        <v>3612</v>
      </c>
      <c r="L206" t="s">
        <v>3613</v>
      </c>
      <c r="M206">
        <v>2.0825493335723881</v>
      </c>
      <c r="N206" t="s">
        <v>54</v>
      </c>
      <c r="O206" t="s">
        <v>53</v>
      </c>
      <c r="P206" t="s">
        <v>53</v>
      </c>
      <c r="Q206" t="s">
        <v>53</v>
      </c>
      <c r="R206" t="s">
        <v>53</v>
      </c>
      <c r="S206" t="s">
        <v>3614</v>
      </c>
      <c r="T206" t="s">
        <v>3615</v>
      </c>
      <c r="U206" t="s">
        <v>53</v>
      </c>
      <c r="V206" t="s">
        <v>51</v>
      </c>
      <c r="W206">
        <v>250000</v>
      </c>
      <c r="X206" t="s">
        <v>53</v>
      </c>
      <c r="AA206">
        <v>174</v>
      </c>
      <c r="AB206">
        <v>134</v>
      </c>
      <c r="AC206">
        <v>379</v>
      </c>
      <c r="AD206">
        <v>285</v>
      </c>
      <c r="AE206">
        <v>579</v>
      </c>
      <c r="AF206">
        <v>0</v>
      </c>
      <c r="AG206">
        <v>0</v>
      </c>
      <c r="AH206">
        <v>3.6294524669647221</v>
      </c>
      <c r="AJ206">
        <v>0.68076592683792114</v>
      </c>
      <c r="AK206" t="s">
        <v>54</v>
      </c>
      <c r="AL206" t="s">
        <v>54</v>
      </c>
      <c r="AM206" t="s">
        <v>3616</v>
      </c>
      <c r="AQ206" t="s">
        <v>54</v>
      </c>
      <c r="AW206" t="s">
        <v>53</v>
      </c>
      <c r="AZ206" t="s">
        <v>54</v>
      </c>
      <c r="BA206" t="s">
        <v>3605</v>
      </c>
      <c r="BB206" s="15" t="s">
        <v>676</v>
      </c>
    </row>
    <row r="207" spans="1:54" x14ac:dyDescent="0.25">
      <c r="A207">
        <v>202</v>
      </c>
      <c r="B207" t="s">
        <v>3617</v>
      </c>
      <c r="C207" t="s">
        <v>3618</v>
      </c>
      <c r="D207" t="s">
        <v>3619</v>
      </c>
      <c r="E207">
        <v>2</v>
      </c>
      <c r="F207" t="s">
        <v>3473</v>
      </c>
      <c r="G207" t="s">
        <v>3552</v>
      </c>
      <c r="H207" t="s">
        <v>3553</v>
      </c>
      <c r="I207" t="s">
        <v>3554</v>
      </c>
      <c r="J207" t="s">
        <v>32</v>
      </c>
      <c r="K207" t="s">
        <v>32</v>
      </c>
      <c r="L207" t="s">
        <v>3620</v>
      </c>
      <c r="M207">
        <v>590.46240234375</v>
      </c>
      <c r="N207" t="s">
        <v>54</v>
      </c>
      <c r="O207" t="s">
        <v>53</v>
      </c>
      <c r="P207" t="s">
        <v>53</v>
      </c>
      <c r="Q207" t="s">
        <v>53</v>
      </c>
      <c r="R207" t="s">
        <v>53</v>
      </c>
      <c r="S207" t="s">
        <v>3555</v>
      </c>
      <c r="T207" t="s">
        <v>3556</v>
      </c>
      <c r="U207" t="s">
        <v>53</v>
      </c>
      <c r="V207" t="s">
        <v>51</v>
      </c>
      <c r="W207">
        <v>1000000</v>
      </c>
      <c r="X207" t="s">
        <v>53</v>
      </c>
      <c r="AA207">
        <v>425</v>
      </c>
      <c r="AB207">
        <v>250</v>
      </c>
      <c r="AC207">
        <v>1920</v>
      </c>
      <c r="AD207">
        <v>677</v>
      </c>
      <c r="AE207">
        <v>2262</v>
      </c>
      <c r="AF207">
        <v>10</v>
      </c>
      <c r="AG207">
        <v>3</v>
      </c>
      <c r="AH207">
        <v>90.7698974609375</v>
      </c>
      <c r="AJ207">
        <v>611.69171142578125</v>
      </c>
      <c r="AK207" t="s">
        <v>54</v>
      </c>
      <c r="AL207" t="s">
        <v>53</v>
      </c>
      <c r="AM207" t="s">
        <v>595</v>
      </c>
      <c r="AQ207" t="s">
        <v>54</v>
      </c>
      <c r="AW207" t="s">
        <v>53</v>
      </c>
      <c r="AZ207" t="s">
        <v>54</v>
      </c>
      <c r="BA207" t="s">
        <v>3605</v>
      </c>
      <c r="BB207" s="15" t="s">
        <v>676</v>
      </c>
    </row>
    <row r="208" spans="1:54" x14ac:dyDescent="0.25">
      <c r="A208">
        <v>203</v>
      </c>
      <c r="B208" t="s">
        <v>3621</v>
      </c>
      <c r="C208" t="s">
        <v>3622</v>
      </c>
      <c r="D208" t="s">
        <v>3623</v>
      </c>
      <c r="E208">
        <v>2</v>
      </c>
      <c r="F208" t="s">
        <v>3473</v>
      </c>
      <c r="G208" t="s">
        <v>3580</v>
      </c>
      <c r="H208" t="s">
        <v>3581</v>
      </c>
      <c r="I208" t="s">
        <v>3582</v>
      </c>
      <c r="J208" t="s">
        <v>32</v>
      </c>
      <c r="K208" t="s">
        <v>32</v>
      </c>
      <c r="L208" t="s">
        <v>3477</v>
      </c>
      <c r="M208">
        <v>920.10064697265625</v>
      </c>
      <c r="N208" t="s">
        <v>54</v>
      </c>
      <c r="O208" t="s">
        <v>53</v>
      </c>
      <c r="P208" t="s">
        <v>53</v>
      </c>
      <c r="Q208" t="s">
        <v>53</v>
      </c>
      <c r="R208" t="s">
        <v>53</v>
      </c>
      <c r="S208" t="s">
        <v>3624</v>
      </c>
      <c r="T208" t="s">
        <v>3625</v>
      </c>
      <c r="U208" t="s">
        <v>53</v>
      </c>
      <c r="V208" t="s">
        <v>1973</v>
      </c>
      <c r="W208">
        <v>250000</v>
      </c>
      <c r="X208" t="s">
        <v>53</v>
      </c>
      <c r="AA208">
        <v>2657</v>
      </c>
      <c r="AB208">
        <v>1546</v>
      </c>
      <c r="AC208">
        <v>6678</v>
      </c>
      <c r="AD208">
        <v>4529</v>
      </c>
      <c r="AE208">
        <v>9746</v>
      </c>
      <c r="AF208">
        <v>19</v>
      </c>
      <c r="AG208">
        <v>7</v>
      </c>
      <c r="AH208">
        <v>313.55148315429688</v>
      </c>
      <c r="AJ208">
        <v>30919.447265625</v>
      </c>
      <c r="AK208" t="s">
        <v>54</v>
      </c>
      <c r="AL208" t="s">
        <v>54</v>
      </c>
      <c r="AM208" t="s">
        <v>3626</v>
      </c>
      <c r="AQ208" t="s">
        <v>54</v>
      </c>
      <c r="AW208" t="s">
        <v>54</v>
      </c>
      <c r="AZ208" t="s">
        <v>54</v>
      </c>
      <c r="BA208" t="s">
        <v>3605</v>
      </c>
      <c r="BB208" s="15" t="s">
        <v>676</v>
      </c>
    </row>
    <row r="209" spans="1:54" x14ac:dyDescent="0.25">
      <c r="A209">
        <v>204</v>
      </c>
      <c r="B209" t="s">
        <v>3627</v>
      </c>
      <c r="C209" t="s">
        <v>3628</v>
      </c>
      <c r="D209" t="s">
        <v>3629</v>
      </c>
      <c r="E209">
        <v>2</v>
      </c>
      <c r="F209" t="s">
        <v>3473</v>
      </c>
      <c r="G209" t="s">
        <v>3485</v>
      </c>
      <c r="H209" t="s">
        <v>3630</v>
      </c>
      <c r="I209" t="s">
        <v>3631</v>
      </c>
      <c r="J209" t="s">
        <v>3632</v>
      </c>
      <c r="K209" t="s">
        <v>3633</v>
      </c>
      <c r="L209" t="s">
        <v>3634</v>
      </c>
      <c r="M209">
        <v>1.1682611703872681</v>
      </c>
      <c r="N209" t="s">
        <v>54</v>
      </c>
      <c r="O209" t="s">
        <v>53</v>
      </c>
      <c r="P209" t="s">
        <v>53</v>
      </c>
      <c r="Q209" t="s">
        <v>53</v>
      </c>
      <c r="R209" t="s">
        <v>53</v>
      </c>
      <c r="S209" t="s">
        <v>3635</v>
      </c>
      <c r="T209" t="s">
        <v>3636</v>
      </c>
      <c r="U209" t="s">
        <v>53</v>
      </c>
      <c r="V209" t="s">
        <v>1973</v>
      </c>
      <c r="W209">
        <v>250000</v>
      </c>
      <c r="X209" t="s">
        <v>53</v>
      </c>
      <c r="AA209">
        <v>15</v>
      </c>
      <c r="AB209">
        <v>10</v>
      </c>
      <c r="AC209">
        <v>4</v>
      </c>
      <c r="AD209">
        <v>13</v>
      </c>
      <c r="AE209">
        <v>14</v>
      </c>
      <c r="AF209">
        <v>0</v>
      </c>
      <c r="AG209">
        <v>0</v>
      </c>
      <c r="AH209">
        <v>0.80608063936233521</v>
      </c>
      <c r="AJ209">
        <v>1.8332957029342649</v>
      </c>
      <c r="AK209" t="s">
        <v>53</v>
      </c>
      <c r="AL209" t="s">
        <v>54</v>
      </c>
      <c r="AM209" t="s">
        <v>3490</v>
      </c>
      <c r="AQ209" t="s">
        <v>54</v>
      </c>
      <c r="AW209" t="s">
        <v>53</v>
      </c>
      <c r="AZ209" t="s">
        <v>54</v>
      </c>
      <c r="BA209" t="s">
        <v>3605</v>
      </c>
      <c r="BB209" s="15" t="s">
        <v>676</v>
      </c>
    </row>
    <row r="210" spans="1:54" x14ac:dyDescent="0.25">
      <c r="A210">
        <v>205</v>
      </c>
      <c r="B210" t="s">
        <v>3637</v>
      </c>
      <c r="C210" t="s">
        <v>3638</v>
      </c>
      <c r="D210" t="s">
        <v>3639</v>
      </c>
      <c r="E210">
        <v>2</v>
      </c>
      <c r="F210" t="s">
        <v>3473</v>
      </c>
      <c r="G210" t="s">
        <v>2973</v>
      </c>
      <c r="H210" t="s">
        <v>3640</v>
      </c>
      <c r="I210" t="s">
        <v>3641</v>
      </c>
      <c r="J210" t="s">
        <v>3642</v>
      </c>
      <c r="K210" t="s">
        <v>3643</v>
      </c>
      <c r="L210" t="s">
        <v>3634</v>
      </c>
      <c r="M210">
        <v>893.2447509765625</v>
      </c>
      <c r="N210" t="s">
        <v>54</v>
      </c>
      <c r="O210" t="s">
        <v>53</v>
      </c>
      <c r="P210" t="s">
        <v>53</v>
      </c>
      <c r="Q210" t="s">
        <v>53</v>
      </c>
      <c r="R210" t="s">
        <v>53</v>
      </c>
      <c r="S210" t="s">
        <v>3644</v>
      </c>
      <c r="T210" t="s">
        <v>2978</v>
      </c>
      <c r="U210" t="s">
        <v>53</v>
      </c>
      <c r="V210" t="s">
        <v>1973</v>
      </c>
      <c r="W210">
        <v>250000</v>
      </c>
      <c r="X210" t="s">
        <v>53</v>
      </c>
      <c r="AA210">
        <v>34</v>
      </c>
      <c r="AB210">
        <v>20</v>
      </c>
      <c r="AC210">
        <v>3</v>
      </c>
      <c r="AD210">
        <v>26</v>
      </c>
      <c r="AE210">
        <v>26</v>
      </c>
      <c r="AF210">
        <v>0</v>
      </c>
      <c r="AG210">
        <v>0</v>
      </c>
      <c r="AH210">
        <v>12.695725440979</v>
      </c>
      <c r="AJ210">
        <v>1958.073974609375</v>
      </c>
      <c r="AK210" t="s">
        <v>53</v>
      </c>
      <c r="AL210" t="s">
        <v>54</v>
      </c>
      <c r="AM210" t="s">
        <v>3645</v>
      </c>
      <c r="AQ210" t="s">
        <v>54</v>
      </c>
      <c r="AW210" t="s">
        <v>53</v>
      </c>
      <c r="AZ210" t="s">
        <v>54</v>
      </c>
      <c r="BA210" t="s">
        <v>3605</v>
      </c>
      <c r="BB210" s="15" t="s">
        <v>676</v>
      </c>
    </row>
    <row r="211" spans="1:54" x14ac:dyDescent="0.25">
      <c r="A211">
        <v>206</v>
      </c>
      <c r="B211" t="s">
        <v>3646</v>
      </c>
      <c r="C211" t="s">
        <v>3647</v>
      </c>
      <c r="D211" t="s">
        <v>3648</v>
      </c>
      <c r="E211">
        <v>2</v>
      </c>
      <c r="F211" t="s">
        <v>3473</v>
      </c>
      <c r="G211" t="s">
        <v>3474</v>
      </c>
      <c r="H211" t="s">
        <v>3475</v>
      </c>
      <c r="I211" t="s">
        <v>3476</v>
      </c>
      <c r="J211" t="s">
        <v>32</v>
      </c>
      <c r="K211" t="s">
        <v>32</v>
      </c>
      <c r="L211" t="s">
        <v>3634</v>
      </c>
      <c r="M211">
        <v>976.7410888671875</v>
      </c>
      <c r="N211" t="s">
        <v>54</v>
      </c>
      <c r="O211" t="s">
        <v>53</v>
      </c>
      <c r="P211" t="s">
        <v>53</v>
      </c>
      <c r="Q211" t="s">
        <v>53</v>
      </c>
      <c r="R211" t="s">
        <v>53</v>
      </c>
      <c r="S211" t="s">
        <v>3478</v>
      </c>
      <c r="T211" t="s">
        <v>3479</v>
      </c>
      <c r="U211" t="s">
        <v>53</v>
      </c>
      <c r="V211" t="s">
        <v>1973</v>
      </c>
      <c r="W211">
        <v>250000</v>
      </c>
      <c r="X211" t="s">
        <v>53</v>
      </c>
      <c r="AA211">
        <v>2569</v>
      </c>
      <c r="AB211">
        <v>1511</v>
      </c>
      <c r="AC211">
        <v>9464</v>
      </c>
      <c r="AD211">
        <v>4360</v>
      </c>
      <c r="AE211">
        <v>12470</v>
      </c>
      <c r="AF211">
        <v>23</v>
      </c>
      <c r="AG211">
        <v>8</v>
      </c>
      <c r="AH211">
        <v>180.74089050292969</v>
      </c>
      <c r="AJ211">
        <v>10335.0703125</v>
      </c>
      <c r="AK211" t="s">
        <v>53</v>
      </c>
      <c r="AL211" t="s">
        <v>54</v>
      </c>
      <c r="AM211" t="s">
        <v>3649</v>
      </c>
      <c r="AQ211" t="s">
        <v>54</v>
      </c>
      <c r="AW211" t="s">
        <v>54</v>
      </c>
      <c r="AZ211" t="s">
        <v>54</v>
      </c>
      <c r="BA211" t="s">
        <v>3605</v>
      </c>
      <c r="BB211" s="15" t="s">
        <v>676</v>
      </c>
    </row>
    <row r="212" spans="1:54" x14ac:dyDescent="0.25">
      <c r="A212">
        <v>207</v>
      </c>
      <c r="B212" t="s">
        <v>3650</v>
      </c>
      <c r="C212" t="s">
        <v>3651</v>
      </c>
      <c r="D212" t="s">
        <v>3652</v>
      </c>
      <c r="E212">
        <v>2</v>
      </c>
      <c r="F212" t="s">
        <v>3473</v>
      </c>
      <c r="G212" t="s">
        <v>3559</v>
      </c>
      <c r="H212" t="s">
        <v>3560</v>
      </c>
      <c r="I212" t="s">
        <v>3561</v>
      </c>
      <c r="J212" t="s">
        <v>32</v>
      </c>
      <c r="K212" t="s">
        <v>32</v>
      </c>
      <c r="L212" t="s">
        <v>3634</v>
      </c>
      <c r="M212">
        <v>912.398193359375</v>
      </c>
      <c r="N212" t="s">
        <v>54</v>
      </c>
      <c r="O212" t="s">
        <v>53</v>
      </c>
      <c r="P212" t="s">
        <v>53</v>
      </c>
      <c r="Q212" t="s">
        <v>53</v>
      </c>
      <c r="R212" t="s">
        <v>53</v>
      </c>
      <c r="S212" t="s">
        <v>3562</v>
      </c>
      <c r="T212" t="s">
        <v>3563</v>
      </c>
      <c r="U212" t="s">
        <v>53</v>
      </c>
      <c r="V212" t="s">
        <v>1973</v>
      </c>
      <c r="W212">
        <v>250000</v>
      </c>
      <c r="X212" t="s">
        <v>53</v>
      </c>
      <c r="AA212">
        <v>898</v>
      </c>
      <c r="AB212">
        <v>740</v>
      </c>
      <c r="AC212">
        <v>1198</v>
      </c>
      <c r="AD212">
        <v>1254</v>
      </c>
      <c r="AE212">
        <v>2056</v>
      </c>
      <c r="AF212">
        <v>6</v>
      </c>
      <c r="AG212">
        <v>5</v>
      </c>
      <c r="AH212">
        <v>96.557937622070313</v>
      </c>
      <c r="AJ212">
        <v>255.00254821777341</v>
      </c>
      <c r="AK212" t="s">
        <v>53</v>
      </c>
      <c r="AL212" t="s">
        <v>53</v>
      </c>
      <c r="AM212" t="s">
        <v>595</v>
      </c>
      <c r="AQ212" t="s">
        <v>54</v>
      </c>
      <c r="AW212" t="s">
        <v>54</v>
      </c>
      <c r="AZ212" t="s">
        <v>54</v>
      </c>
      <c r="BA212" t="s">
        <v>3605</v>
      </c>
      <c r="BB212" s="15" t="s">
        <v>678</v>
      </c>
    </row>
    <row r="213" spans="1:54" x14ac:dyDescent="0.25">
      <c r="A213">
        <v>208</v>
      </c>
      <c r="B213" t="s">
        <v>3653</v>
      </c>
      <c r="C213" t="s">
        <v>3654</v>
      </c>
      <c r="D213" t="s">
        <v>3655</v>
      </c>
      <c r="E213">
        <v>2</v>
      </c>
      <c r="F213" t="s">
        <v>3473</v>
      </c>
      <c r="G213" t="s">
        <v>3566</v>
      </c>
      <c r="H213" t="s">
        <v>3567</v>
      </c>
      <c r="I213" t="s">
        <v>3568</v>
      </c>
      <c r="J213" t="s">
        <v>32</v>
      </c>
      <c r="K213" t="s">
        <v>32</v>
      </c>
      <c r="L213" t="s">
        <v>3656</v>
      </c>
      <c r="M213">
        <v>418.81829833984381</v>
      </c>
      <c r="N213" t="s">
        <v>54</v>
      </c>
      <c r="O213" t="s">
        <v>53</v>
      </c>
      <c r="P213" t="s">
        <v>53</v>
      </c>
      <c r="Q213" t="s">
        <v>53</v>
      </c>
      <c r="R213" t="s">
        <v>53</v>
      </c>
      <c r="S213" t="s">
        <v>3569</v>
      </c>
      <c r="T213" t="s">
        <v>3657</v>
      </c>
      <c r="U213" t="s">
        <v>53</v>
      </c>
      <c r="V213" t="s">
        <v>162</v>
      </c>
      <c r="W213">
        <v>100000</v>
      </c>
      <c r="X213" t="s">
        <v>53</v>
      </c>
      <c r="AA213">
        <v>313</v>
      </c>
      <c r="AB213">
        <v>163</v>
      </c>
      <c r="AC213">
        <v>319</v>
      </c>
      <c r="AD213">
        <v>360</v>
      </c>
      <c r="AE213">
        <v>452</v>
      </c>
      <c r="AF213">
        <v>4</v>
      </c>
      <c r="AG213">
        <v>1</v>
      </c>
      <c r="AH213">
        <v>48.029872894287109</v>
      </c>
      <c r="AJ213">
        <v>137.31132507324219</v>
      </c>
      <c r="AK213" t="s">
        <v>53</v>
      </c>
      <c r="AL213" t="s">
        <v>53</v>
      </c>
      <c r="AM213" t="s">
        <v>595</v>
      </c>
      <c r="AQ213" t="s">
        <v>54</v>
      </c>
      <c r="AW213" t="s">
        <v>53</v>
      </c>
      <c r="AZ213" t="s">
        <v>54</v>
      </c>
      <c r="BA213" t="s">
        <v>3605</v>
      </c>
      <c r="BB213" s="15" t="s">
        <v>676</v>
      </c>
    </row>
    <row r="214" spans="1:54" x14ac:dyDescent="0.25">
      <c r="A214">
        <v>209</v>
      </c>
      <c r="B214" t="s">
        <v>3658</v>
      </c>
      <c r="C214" t="s">
        <v>3659</v>
      </c>
      <c r="D214" t="s">
        <v>3660</v>
      </c>
      <c r="E214">
        <v>2</v>
      </c>
      <c r="F214" t="s">
        <v>3473</v>
      </c>
      <c r="G214" t="s">
        <v>3580</v>
      </c>
      <c r="H214" t="s">
        <v>3581</v>
      </c>
      <c r="I214" t="s">
        <v>3661</v>
      </c>
      <c r="J214" t="s">
        <v>3662</v>
      </c>
      <c r="K214" t="s">
        <v>3663</v>
      </c>
      <c r="L214" t="s">
        <v>3656</v>
      </c>
      <c r="M214">
        <v>31.740840911865231</v>
      </c>
      <c r="N214" t="s">
        <v>54</v>
      </c>
      <c r="O214" t="s">
        <v>53</v>
      </c>
      <c r="P214" t="s">
        <v>53</v>
      </c>
      <c r="Q214" t="s">
        <v>53</v>
      </c>
      <c r="R214" t="s">
        <v>53</v>
      </c>
      <c r="S214" t="s">
        <v>3664</v>
      </c>
      <c r="T214" t="s">
        <v>3665</v>
      </c>
      <c r="U214" t="s">
        <v>53</v>
      </c>
      <c r="V214" t="s">
        <v>162</v>
      </c>
      <c r="W214">
        <v>100000</v>
      </c>
      <c r="X214" t="s">
        <v>53</v>
      </c>
      <c r="AA214">
        <v>836</v>
      </c>
      <c r="AB214">
        <v>574</v>
      </c>
      <c r="AC214">
        <v>4532</v>
      </c>
      <c r="AD214">
        <v>1926</v>
      </c>
      <c r="AE214">
        <v>5788</v>
      </c>
      <c r="AF214">
        <v>9</v>
      </c>
      <c r="AG214">
        <v>2</v>
      </c>
      <c r="AH214">
        <v>48.237167358398438</v>
      </c>
      <c r="AJ214">
        <v>41.492561340332031</v>
      </c>
      <c r="AK214" t="s">
        <v>53</v>
      </c>
      <c r="AL214" t="s">
        <v>53</v>
      </c>
      <c r="AM214" t="s">
        <v>595</v>
      </c>
      <c r="AQ214" t="s">
        <v>54</v>
      </c>
      <c r="AW214" t="s">
        <v>54</v>
      </c>
      <c r="AZ214" t="s">
        <v>54</v>
      </c>
      <c r="BA214" t="s">
        <v>3605</v>
      </c>
      <c r="BB214" s="15" t="s">
        <v>676</v>
      </c>
    </row>
    <row r="215" spans="1:54" x14ac:dyDescent="0.25">
      <c r="A215">
        <v>210</v>
      </c>
      <c r="B215" t="s">
        <v>3666</v>
      </c>
      <c r="C215" t="s">
        <v>3667</v>
      </c>
      <c r="D215" t="s">
        <v>3668</v>
      </c>
      <c r="E215">
        <v>2</v>
      </c>
      <c r="F215" t="s">
        <v>3473</v>
      </c>
      <c r="G215" t="s">
        <v>3519</v>
      </c>
      <c r="H215" t="s">
        <v>3669</v>
      </c>
      <c r="I215" t="s">
        <v>3670</v>
      </c>
      <c r="J215" t="s">
        <v>3671</v>
      </c>
      <c r="K215" t="s">
        <v>3672</v>
      </c>
      <c r="L215" t="s">
        <v>3613</v>
      </c>
      <c r="M215">
        <v>2.261754035949707</v>
      </c>
      <c r="N215" t="s">
        <v>54</v>
      </c>
      <c r="O215" t="s">
        <v>53</v>
      </c>
      <c r="P215" t="s">
        <v>53</v>
      </c>
      <c r="Q215" t="s">
        <v>53</v>
      </c>
      <c r="R215" t="s">
        <v>53</v>
      </c>
      <c r="S215" t="s">
        <v>3673</v>
      </c>
      <c r="T215" t="s">
        <v>3674</v>
      </c>
      <c r="U215" t="s">
        <v>53</v>
      </c>
      <c r="V215" t="s">
        <v>162</v>
      </c>
      <c r="W215">
        <v>25000</v>
      </c>
      <c r="X215" t="s">
        <v>53</v>
      </c>
      <c r="AA215">
        <v>71</v>
      </c>
      <c r="AB215">
        <v>43</v>
      </c>
      <c r="AC215">
        <v>67</v>
      </c>
      <c r="AD215">
        <v>55</v>
      </c>
      <c r="AE215">
        <v>76</v>
      </c>
      <c r="AF215">
        <v>0</v>
      </c>
      <c r="AG215">
        <v>1</v>
      </c>
      <c r="AH215">
        <v>2.2917745113372798</v>
      </c>
      <c r="AJ215">
        <v>4.8403501510620117</v>
      </c>
      <c r="AK215" t="s">
        <v>54</v>
      </c>
      <c r="AL215" t="s">
        <v>53</v>
      </c>
      <c r="AM215" t="s">
        <v>595</v>
      </c>
      <c r="AQ215" t="s">
        <v>54</v>
      </c>
      <c r="AW215" t="s">
        <v>53</v>
      </c>
      <c r="AZ215" t="s">
        <v>54</v>
      </c>
      <c r="BA215" t="s">
        <v>3605</v>
      </c>
      <c r="BB215" s="15" t="s">
        <v>676</v>
      </c>
    </row>
    <row r="216" spans="1:54" x14ac:dyDescent="0.25">
      <c r="A216">
        <v>211</v>
      </c>
      <c r="B216" t="s">
        <v>3675</v>
      </c>
      <c r="C216" t="s">
        <v>3676</v>
      </c>
      <c r="D216" t="s">
        <v>3668</v>
      </c>
      <c r="E216">
        <v>2</v>
      </c>
      <c r="F216" t="s">
        <v>3473</v>
      </c>
      <c r="G216" t="s">
        <v>3580</v>
      </c>
      <c r="H216" t="s">
        <v>3598</v>
      </c>
      <c r="I216" t="s">
        <v>3677</v>
      </c>
      <c r="J216" t="s">
        <v>3678</v>
      </c>
      <c r="K216" t="s">
        <v>3679</v>
      </c>
      <c r="L216" t="s">
        <v>3613</v>
      </c>
      <c r="M216">
        <v>3.6198961734771729</v>
      </c>
      <c r="N216" t="s">
        <v>54</v>
      </c>
      <c r="O216" t="s">
        <v>53</v>
      </c>
      <c r="P216" t="s">
        <v>53</v>
      </c>
      <c r="Q216" t="s">
        <v>53</v>
      </c>
      <c r="R216" t="s">
        <v>53</v>
      </c>
      <c r="S216" t="s">
        <v>3680</v>
      </c>
      <c r="T216" t="s">
        <v>3681</v>
      </c>
      <c r="U216" t="s">
        <v>53</v>
      </c>
      <c r="V216" t="s">
        <v>162</v>
      </c>
      <c r="W216">
        <v>250000</v>
      </c>
      <c r="X216" t="s">
        <v>53</v>
      </c>
      <c r="AA216">
        <v>22</v>
      </c>
      <c r="AB216">
        <v>8</v>
      </c>
      <c r="AC216">
        <v>5</v>
      </c>
      <c r="AD216">
        <v>20</v>
      </c>
      <c r="AE216">
        <v>22</v>
      </c>
      <c r="AF216">
        <v>0</v>
      </c>
      <c r="AG216">
        <v>0</v>
      </c>
      <c r="AH216">
        <v>2.2302877902984619</v>
      </c>
      <c r="AJ216">
        <v>4.6280093193054199</v>
      </c>
      <c r="AK216" t="s">
        <v>54</v>
      </c>
      <c r="AL216" t="s">
        <v>54</v>
      </c>
      <c r="AM216" t="s">
        <v>3604</v>
      </c>
      <c r="AQ216" t="s">
        <v>54</v>
      </c>
      <c r="AW216" t="s">
        <v>53</v>
      </c>
      <c r="AZ216" t="s">
        <v>54</v>
      </c>
      <c r="BA216" t="s">
        <v>3605</v>
      </c>
      <c r="BB216" s="15" t="s">
        <v>676</v>
      </c>
    </row>
    <row r="217" spans="1:54" x14ac:dyDescent="0.25">
      <c r="A217">
        <v>212</v>
      </c>
      <c r="B217" t="s">
        <v>3682</v>
      </c>
      <c r="C217" t="s">
        <v>3683</v>
      </c>
      <c r="D217" t="s">
        <v>3668</v>
      </c>
      <c r="E217">
        <v>2</v>
      </c>
      <c r="F217" t="s">
        <v>3473</v>
      </c>
      <c r="G217" t="s">
        <v>3580</v>
      </c>
      <c r="H217" t="s">
        <v>3598</v>
      </c>
      <c r="I217" t="s">
        <v>3677</v>
      </c>
      <c r="J217" t="s">
        <v>3678</v>
      </c>
      <c r="K217" t="s">
        <v>3679</v>
      </c>
      <c r="L217" t="s">
        <v>3613</v>
      </c>
      <c r="M217">
        <v>1.2427046298980711</v>
      </c>
      <c r="N217" t="s">
        <v>54</v>
      </c>
      <c r="O217" t="s">
        <v>53</v>
      </c>
      <c r="P217" t="s">
        <v>53</v>
      </c>
      <c r="Q217" t="s">
        <v>53</v>
      </c>
      <c r="R217" t="s">
        <v>53</v>
      </c>
      <c r="S217" t="s">
        <v>3680</v>
      </c>
      <c r="T217" t="s">
        <v>3681</v>
      </c>
      <c r="U217" t="s">
        <v>53</v>
      </c>
      <c r="V217" t="s">
        <v>162</v>
      </c>
      <c r="W217">
        <v>250000</v>
      </c>
      <c r="X217" t="s">
        <v>53</v>
      </c>
      <c r="AA217">
        <v>8</v>
      </c>
      <c r="AB217">
        <v>7</v>
      </c>
      <c r="AC217">
        <v>7</v>
      </c>
      <c r="AD217">
        <v>21</v>
      </c>
      <c r="AE217">
        <v>21</v>
      </c>
      <c r="AF217">
        <v>0</v>
      </c>
      <c r="AG217">
        <v>0</v>
      </c>
      <c r="AH217">
        <v>0.63614654541015625</v>
      </c>
      <c r="AJ217">
        <v>8.6034096777439117E-2</v>
      </c>
      <c r="AK217" t="s">
        <v>54</v>
      </c>
      <c r="AL217" t="s">
        <v>53</v>
      </c>
      <c r="AM217" t="s">
        <v>595</v>
      </c>
      <c r="AQ217" t="s">
        <v>54</v>
      </c>
      <c r="AW217" t="s">
        <v>53</v>
      </c>
      <c r="AZ217" t="s">
        <v>54</v>
      </c>
      <c r="BA217" t="s">
        <v>3605</v>
      </c>
      <c r="BB217" s="15" t="s">
        <v>678</v>
      </c>
    </row>
    <row r="218" spans="1:54" x14ac:dyDescent="0.25">
      <c r="A218">
        <v>213</v>
      </c>
      <c r="B218" t="s">
        <v>3684</v>
      </c>
      <c r="C218" t="s">
        <v>3685</v>
      </c>
      <c r="D218" t="s">
        <v>3668</v>
      </c>
      <c r="E218">
        <v>2</v>
      </c>
      <c r="F218" t="s">
        <v>3473</v>
      </c>
      <c r="G218" t="s">
        <v>3580</v>
      </c>
      <c r="H218" t="s">
        <v>3669</v>
      </c>
      <c r="I218" t="s">
        <v>3686</v>
      </c>
      <c r="J218" t="s">
        <v>3687</v>
      </c>
      <c r="K218" t="s">
        <v>3688</v>
      </c>
      <c r="L218" t="s">
        <v>3613</v>
      </c>
      <c r="M218">
        <v>1.1162925958633421</v>
      </c>
      <c r="N218" t="s">
        <v>54</v>
      </c>
      <c r="O218" t="s">
        <v>53</v>
      </c>
      <c r="P218" t="s">
        <v>53</v>
      </c>
      <c r="Q218" t="s">
        <v>53</v>
      </c>
      <c r="R218" t="s">
        <v>53</v>
      </c>
      <c r="S218" t="s">
        <v>3624</v>
      </c>
      <c r="T218" t="s">
        <v>3689</v>
      </c>
      <c r="U218" t="s">
        <v>53</v>
      </c>
      <c r="V218" t="s">
        <v>162</v>
      </c>
      <c r="W218">
        <v>250000</v>
      </c>
      <c r="X218" t="s">
        <v>53</v>
      </c>
      <c r="AA218">
        <v>1</v>
      </c>
      <c r="AB218">
        <v>1</v>
      </c>
      <c r="AC218">
        <v>0</v>
      </c>
      <c r="AD218">
        <v>0</v>
      </c>
      <c r="AE218">
        <v>0</v>
      </c>
      <c r="AF218">
        <v>0</v>
      </c>
      <c r="AG218">
        <v>0</v>
      </c>
      <c r="AH218">
        <v>3.0423251911997799E-2</v>
      </c>
      <c r="AJ218">
        <v>1.800850033760071</v>
      </c>
      <c r="AK218" t="s">
        <v>54</v>
      </c>
      <c r="AL218" t="s">
        <v>54</v>
      </c>
      <c r="AM218" t="s">
        <v>3616</v>
      </c>
      <c r="AQ218" t="s">
        <v>54</v>
      </c>
      <c r="AW218" t="s">
        <v>54</v>
      </c>
      <c r="AZ218" t="s">
        <v>54</v>
      </c>
      <c r="BA218" t="s">
        <v>3605</v>
      </c>
      <c r="BB218" s="15" t="s">
        <v>676</v>
      </c>
    </row>
    <row r="219" spans="1:54" x14ac:dyDescent="0.25">
      <c r="A219">
        <v>214</v>
      </c>
      <c r="B219" t="s">
        <v>3690</v>
      </c>
      <c r="C219" t="s">
        <v>3691</v>
      </c>
      <c r="D219" t="s">
        <v>3668</v>
      </c>
      <c r="E219">
        <v>2</v>
      </c>
      <c r="F219" t="s">
        <v>3473</v>
      </c>
      <c r="G219" t="s">
        <v>3580</v>
      </c>
      <c r="H219" t="s">
        <v>3669</v>
      </c>
      <c r="I219" t="s">
        <v>3686</v>
      </c>
      <c r="J219" t="s">
        <v>3687</v>
      </c>
      <c r="K219" t="s">
        <v>3688</v>
      </c>
      <c r="L219" t="s">
        <v>3613</v>
      </c>
      <c r="M219">
        <v>1.1162925958633421</v>
      </c>
      <c r="N219" t="s">
        <v>54</v>
      </c>
      <c r="O219" t="s">
        <v>53</v>
      </c>
      <c r="P219" t="s">
        <v>53</v>
      </c>
      <c r="Q219" t="s">
        <v>53</v>
      </c>
      <c r="R219" t="s">
        <v>53</v>
      </c>
      <c r="S219" t="s">
        <v>3624</v>
      </c>
      <c r="T219" t="s">
        <v>3689</v>
      </c>
      <c r="U219" t="s">
        <v>53</v>
      </c>
      <c r="V219" t="s">
        <v>162</v>
      </c>
      <c r="W219">
        <v>250000</v>
      </c>
      <c r="X219" t="s">
        <v>53</v>
      </c>
      <c r="AA219">
        <v>1</v>
      </c>
      <c r="AB219">
        <v>1</v>
      </c>
      <c r="AC219">
        <v>0</v>
      </c>
      <c r="AD219">
        <v>0</v>
      </c>
      <c r="AE219">
        <v>0</v>
      </c>
      <c r="AF219">
        <v>0</v>
      </c>
      <c r="AG219">
        <v>0</v>
      </c>
      <c r="AH219">
        <v>3.0423251911997799E-2</v>
      </c>
      <c r="AJ219">
        <v>1.800850033760071</v>
      </c>
      <c r="AK219" t="s">
        <v>54</v>
      </c>
      <c r="AL219" t="s">
        <v>54</v>
      </c>
      <c r="AM219" t="s">
        <v>3616</v>
      </c>
      <c r="AQ219" t="s">
        <v>54</v>
      </c>
      <c r="AW219" t="s">
        <v>54</v>
      </c>
      <c r="AZ219" t="s">
        <v>54</v>
      </c>
      <c r="BA219" t="s">
        <v>3605</v>
      </c>
      <c r="BB219" s="15" t="s">
        <v>678</v>
      </c>
    </row>
    <row r="220" spans="1:54" x14ac:dyDescent="0.25">
      <c r="A220">
        <v>215</v>
      </c>
      <c r="B220" t="s">
        <v>3692</v>
      </c>
      <c r="C220" t="s">
        <v>3693</v>
      </c>
      <c r="D220" t="s">
        <v>3694</v>
      </c>
      <c r="E220">
        <v>2</v>
      </c>
      <c r="F220" t="s">
        <v>3473</v>
      </c>
      <c r="G220" t="s">
        <v>3580</v>
      </c>
      <c r="H220" t="s">
        <v>3695</v>
      </c>
      <c r="I220" t="s">
        <v>3696</v>
      </c>
      <c r="J220" t="s">
        <v>3697</v>
      </c>
      <c r="K220" t="s">
        <v>3698</v>
      </c>
      <c r="L220" t="s">
        <v>3477</v>
      </c>
      <c r="M220">
        <v>5.4865293502807617</v>
      </c>
      <c r="N220" t="s">
        <v>54</v>
      </c>
      <c r="O220" t="s">
        <v>53</v>
      </c>
      <c r="P220" t="s">
        <v>53</v>
      </c>
      <c r="Q220" t="s">
        <v>53</v>
      </c>
      <c r="R220" t="s">
        <v>53</v>
      </c>
      <c r="S220" t="s">
        <v>3699</v>
      </c>
      <c r="T220" t="s">
        <v>3625</v>
      </c>
      <c r="U220" t="s">
        <v>53</v>
      </c>
      <c r="V220" t="s">
        <v>138</v>
      </c>
      <c r="W220">
        <v>250000</v>
      </c>
      <c r="X220" t="s">
        <v>53</v>
      </c>
      <c r="AA220">
        <v>247</v>
      </c>
      <c r="AB220">
        <v>176</v>
      </c>
      <c r="AC220">
        <v>1678</v>
      </c>
      <c r="AD220">
        <v>736</v>
      </c>
      <c r="AE220">
        <v>2180</v>
      </c>
      <c r="AF220">
        <v>0</v>
      </c>
      <c r="AG220">
        <v>0</v>
      </c>
      <c r="AH220">
        <v>8.5002822875976563</v>
      </c>
      <c r="AJ220">
        <v>1.383648633956909</v>
      </c>
      <c r="AK220" t="s">
        <v>54</v>
      </c>
      <c r="AL220" t="s">
        <v>54</v>
      </c>
      <c r="AM220" t="s">
        <v>3616</v>
      </c>
      <c r="AQ220" t="s">
        <v>54</v>
      </c>
      <c r="AW220" t="s">
        <v>54</v>
      </c>
      <c r="AZ220" t="s">
        <v>54</v>
      </c>
      <c r="BA220" t="s">
        <v>3481</v>
      </c>
      <c r="BB220" s="15" t="s">
        <v>678</v>
      </c>
    </row>
    <row r="221" spans="1:54" x14ac:dyDescent="0.25">
      <c r="A221">
        <v>216</v>
      </c>
      <c r="B221" t="s">
        <v>3700</v>
      </c>
      <c r="C221" t="s">
        <v>3701</v>
      </c>
      <c r="D221" t="s">
        <v>3702</v>
      </c>
      <c r="E221">
        <v>2</v>
      </c>
      <c r="F221" t="s">
        <v>3473</v>
      </c>
      <c r="G221" t="s">
        <v>3580</v>
      </c>
      <c r="H221" t="s">
        <v>3695</v>
      </c>
      <c r="I221" t="s">
        <v>3696</v>
      </c>
      <c r="J221" t="s">
        <v>3697</v>
      </c>
      <c r="K221" t="s">
        <v>3698</v>
      </c>
      <c r="L221" t="s">
        <v>3477</v>
      </c>
      <c r="M221">
        <v>5.4865293502807617</v>
      </c>
      <c r="N221" t="s">
        <v>54</v>
      </c>
      <c r="O221" t="s">
        <v>53</v>
      </c>
      <c r="P221" t="s">
        <v>53</v>
      </c>
      <c r="Q221" t="s">
        <v>53</v>
      </c>
      <c r="R221" t="s">
        <v>53</v>
      </c>
      <c r="S221" t="s">
        <v>3699</v>
      </c>
      <c r="T221" t="s">
        <v>3665</v>
      </c>
      <c r="U221" t="s">
        <v>53</v>
      </c>
      <c r="V221" t="s">
        <v>138</v>
      </c>
      <c r="W221">
        <v>250000</v>
      </c>
      <c r="X221" t="s">
        <v>53</v>
      </c>
      <c r="AA221">
        <v>247</v>
      </c>
      <c r="AB221">
        <v>176</v>
      </c>
      <c r="AC221">
        <v>1678</v>
      </c>
      <c r="AD221">
        <v>736</v>
      </c>
      <c r="AE221">
        <v>2180</v>
      </c>
      <c r="AF221">
        <v>0</v>
      </c>
      <c r="AG221">
        <v>0</v>
      </c>
      <c r="AH221">
        <v>8.5002822875976563</v>
      </c>
      <c r="AJ221">
        <v>1.383648633956909</v>
      </c>
      <c r="AK221" t="s">
        <v>54</v>
      </c>
      <c r="AL221" t="s">
        <v>54</v>
      </c>
      <c r="AM221" t="s">
        <v>3616</v>
      </c>
      <c r="AQ221" t="s">
        <v>54</v>
      </c>
      <c r="AW221" t="s">
        <v>54</v>
      </c>
      <c r="AZ221" t="s">
        <v>54</v>
      </c>
      <c r="BA221" t="s">
        <v>3481</v>
      </c>
      <c r="BB221" s="15" t="s">
        <v>676</v>
      </c>
    </row>
    <row r="222" spans="1:54" x14ac:dyDescent="0.25">
      <c r="A222">
        <v>217</v>
      </c>
      <c r="B222" t="s">
        <v>3703</v>
      </c>
      <c r="C222" t="s">
        <v>3704</v>
      </c>
      <c r="D222" t="s">
        <v>3705</v>
      </c>
      <c r="E222">
        <v>2</v>
      </c>
      <c r="F222" t="s">
        <v>3473</v>
      </c>
      <c r="G222" t="s">
        <v>3580</v>
      </c>
      <c r="H222" t="s">
        <v>3669</v>
      </c>
      <c r="I222" t="s">
        <v>3686</v>
      </c>
      <c r="J222" t="s">
        <v>3706</v>
      </c>
      <c r="K222" t="s">
        <v>3707</v>
      </c>
      <c r="L222" t="s">
        <v>3477</v>
      </c>
      <c r="M222">
        <v>0.81021422147750854</v>
      </c>
      <c r="N222" t="s">
        <v>54</v>
      </c>
      <c r="O222" t="s">
        <v>53</v>
      </c>
      <c r="P222" t="s">
        <v>53</v>
      </c>
      <c r="Q222" t="s">
        <v>53</v>
      </c>
      <c r="R222" t="s">
        <v>53</v>
      </c>
      <c r="S222" t="s">
        <v>3699</v>
      </c>
      <c r="T222" t="s">
        <v>3665</v>
      </c>
      <c r="U222" t="s">
        <v>53</v>
      </c>
      <c r="V222" t="s">
        <v>51</v>
      </c>
      <c r="W222">
        <v>250000</v>
      </c>
      <c r="X222" t="s">
        <v>53</v>
      </c>
      <c r="AA222">
        <v>8</v>
      </c>
      <c r="AB222">
        <v>4</v>
      </c>
      <c r="AC222">
        <v>31</v>
      </c>
      <c r="AD222">
        <v>10</v>
      </c>
      <c r="AE222">
        <v>37</v>
      </c>
      <c r="AF222">
        <v>0</v>
      </c>
      <c r="AG222">
        <v>0</v>
      </c>
      <c r="AH222">
        <v>0.52353817224502563</v>
      </c>
      <c r="AJ222">
        <v>4.3112959861755371</v>
      </c>
      <c r="AK222" t="s">
        <v>54</v>
      </c>
      <c r="AL222" t="s">
        <v>54</v>
      </c>
      <c r="AM222" t="s">
        <v>3616</v>
      </c>
      <c r="AQ222" t="s">
        <v>54</v>
      </c>
      <c r="AW222" t="s">
        <v>54</v>
      </c>
      <c r="AZ222" t="s">
        <v>54</v>
      </c>
      <c r="BA222" t="s">
        <v>3605</v>
      </c>
      <c r="BB222" s="15" t="s">
        <v>676</v>
      </c>
    </row>
    <row r="223" spans="1:54" x14ac:dyDescent="0.25">
      <c r="A223">
        <v>218</v>
      </c>
      <c r="B223" t="s">
        <v>3708</v>
      </c>
      <c r="C223" t="s">
        <v>3709</v>
      </c>
      <c r="D223" t="s">
        <v>3710</v>
      </c>
      <c r="E223">
        <v>2</v>
      </c>
      <c r="F223" t="s">
        <v>3473</v>
      </c>
      <c r="G223" t="s">
        <v>3573</v>
      </c>
      <c r="H223" t="s">
        <v>3711</v>
      </c>
      <c r="I223" t="s">
        <v>3712</v>
      </c>
      <c r="J223" t="s">
        <v>3713</v>
      </c>
      <c r="K223" t="s">
        <v>3714</v>
      </c>
      <c r="L223" t="s">
        <v>3715</v>
      </c>
      <c r="M223">
        <v>4.2563900947570801</v>
      </c>
      <c r="N223" t="s">
        <v>54</v>
      </c>
      <c r="O223" t="s">
        <v>53</v>
      </c>
      <c r="P223" t="s">
        <v>53</v>
      </c>
      <c r="Q223" t="s">
        <v>53</v>
      </c>
      <c r="R223" t="s">
        <v>53</v>
      </c>
      <c r="S223" t="s">
        <v>3716</v>
      </c>
      <c r="T223" t="s">
        <v>3717</v>
      </c>
      <c r="U223" t="s">
        <v>53</v>
      </c>
      <c r="V223" t="s">
        <v>51</v>
      </c>
      <c r="W223">
        <v>250000</v>
      </c>
      <c r="X223" t="s">
        <v>53</v>
      </c>
      <c r="AA223">
        <v>92</v>
      </c>
      <c r="AB223">
        <v>31</v>
      </c>
      <c r="AC223">
        <v>731</v>
      </c>
      <c r="AD223">
        <v>200</v>
      </c>
      <c r="AE223">
        <v>840</v>
      </c>
      <c r="AF223">
        <v>2</v>
      </c>
      <c r="AG223">
        <v>6</v>
      </c>
      <c r="AH223">
        <v>3.3698806762695308</v>
      </c>
      <c r="AJ223">
        <v>0.88116133213043213</v>
      </c>
      <c r="AK223" t="s">
        <v>54</v>
      </c>
      <c r="AL223" t="s">
        <v>53</v>
      </c>
      <c r="AM223" t="s">
        <v>595</v>
      </c>
      <c r="AQ223" t="s">
        <v>54</v>
      </c>
      <c r="AW223" t="s">
        <v>54</v>
      </c>
      <c r="AZ223" t="s">
        <v>54</v>
      </c>
      <c r="BA223" t="s">
        <v>3605</v>
      </c>
      <c r="BB223" s="15" t="s">
        <v>676</v>
      </c>
    </row>
    <row r="224" spans="1:54" x14ac:dyDescent="0.25">
      <c r="A224">
        <v>219</v>
      </c>
      <c r="B224" t="s">
        <v>3718</v>
      </c>
      <c r="C224" t="s">
        <v>3719</v>
      </c>
      <c r="D224" t="s">
        <v>3720</v>
      </c>
      <c r="E224">
        <v>2</v>
      </c>
      <c r="F224" t="s">
        <v>3473</v>
      </c>
      <c r="G224" t="s">
        <v>3573</v>
      </c>
      <c r="H224" t="s">
        <v>3711</v>
      </c>
      <c r="I224" t="s">
        <v>3712</v>
      </c>
      <c r="J224" t="s">
        <v>3713</v>
      </c>
      <c r="K224" t="s">
        <v>3714</v>
      </c>
      <c r="L224" t="s">
        <v>3715</v>
      </c>
      <c r="M224">
        <v>4.2563900947570801</v>
      </c>
      <c r="N224" t="s">
        <v>54</v>
      </c>
      <c r="O224" t="s">
        <v>53</v>
      </c>
      <c r="P224" t="s">
        <v>53</v>
      </c>
      <c r="Q224" t="s">
        <v>53</v>
      </c>
      <c r="R224" t="s">
        <v>53</v>
      </c>
      <c r="S224" t="s">
        <v>3716</v>
      </c>
      <c r="T224" t="s">
        <v>3717</v>
      </c>
      <c r="U224" t="s">
        <v>53</v>
      </c>
      <c r="V224" t="s">
        <v>51</v>
      </c>
      <c r="W224">
        <v>61000</v>
      </c>
      <c r="X224" t="s">
        <v>53</v>
      </c>
      <c r="AA224">
        <v>92</v>
      </c>
      <c r="AB224">
        <v>31</v>
      </c>
      <c r="AC224">
        <v>731</v>
      </c>
      <c r="AD224">
        <v>200</v>
      </c>
      <c r="AE224">
        <v>840</v>
      </c>
      <c r="AF224">
        <v>2</v>
      </c>
      <c r="AG224">
        <v>6</v>
      </c>
      <c r="AH224">
        <v>3.3698806762695308</v>
      </c>
      <c r="AJ224">
        <v>0.88116133213043213</v>
      </c>
      <c r="AK224" t="s">
        <v>54</v>
      </c>
      <c r="AL224" t="s">
        <v>53</v>
      </c>
      <c r="AM224" t="s">
        <v>595</v>
      </c>
      <c r="AQ224" t="s">
        <v>54</v>
      </c>
      <c r="AW224" t="s">
        <v>54</v>
      </c>
      <c r="AZ224" t="s">
        <v>54</v>
      </c>
      <c r="BA224" t="s">
        <v>3605</v>
      </c>
      <c r="BB224" s="15" t="s">
        <v>676</v>
      </c>
    </row>
    <row r="225" spans="1:54" x14ac:dyDescent="0.25">
      <c r="A225">
        <v>220</v>
      </c>
      <c r="B225" t="s">
        <v>3721</v>
      </c>
      <c r="C225" t="s">
        <v>3722</v>
      </c>
      <c r="D225" t="s">
        <v>3723</v>
      </c>
      <c r="E225">
        <v>2</v>
      </c>
      <c r="F225" t="s">
        <v>3473</v>
      </c>
      <c r="G225" t="s">
        <v>3573</v>
      </c>
      <c r="H225" t="s">
        <v>3711</v>
      </c>
      <c r="I225" t="s">
        <v>3712</v>
      </c>
      <c r="J225" t="s">
        <v>3713</v>
      </c>
      <c r="K225" t="s">
        <v>3714</v>
      </c>
      <c r="L225" t="s">
        <v>3715</v>
      </c>
      <c r="M225">
        <v>4.2563900947570801</v>
      </c>
      <c r="N225" t="s">
        <v>54</v>
      </c>
      <c r="O225" t="s">
        <v>53</v>
      </c>
      <c r="P225" t="s">
        <v>53</v>
      </c>
      <c r="Q225" t="s">
        <v>53</v>
      </c>
      <c r="R225" t="s">
        <v>53</v>
      </c>
      <c r="S225" t="s">
        <v>3716</v>
      </c>
      <c r="T225" t="s">
        <v>3717</v>
      </c>
      <c r="U225" t="s">
        <v>53</v>
      </c>
      <c r="V225" t="s">
        <v>51</v>
      </c>
      <c r="W225">
        <v>61000</v>
      </c>
      <c r="X225" t="s">
        <v>53</v>
      </c>
      <c r="AA225">
        <v>92</v>
      </c>
      <c r="AB225">
        <v>31</v>
      </c>
      <c r="AC225">
        <v>731</v>
      </c>
      <c r="AD225">
        <v>200</v>
      </c>
      <c r="AE225">
        <v>840</v>
      </c>
      <c r="AF225">
        <v>2</v>
      </c>
      <c r="AG225">
        <v>6</v>
      </c>
      <c r="AH225">
        <v>3.3698806762695308</v>
      </c>
      <c r="AJ225">
        <v>0.88116133213043213</v>
      </c>
      <c r="AK225" t="s">
        <v>54</v>
      </c>
      <c r="AL225" t="s">
        <v>53</v>
      </c>
      <c r="AM225" t="s">
        <v>595</v>
      </c>
      <c r="AQ225" t="s">
        <v>54</v>
      </c>
      <c r="AW225" t="s">
        <v>54</v>
      </c>
      <c r="AZ225" t="s">
        <v>54</v>
      </c>
      <c r="BA225" t="s">
        <v>3605</v>
      </c>
      <c r="BB225" s="15" t="s">
        <v>676</v>
      </c>
    </row>
    <row r="226" spans="1:54" x14ac:dyDescent="0.25">
      <c r="A226">
        <v>221</v>
      </c>
      <c r="B226" t="s">
        <v>3724</v>
      </c>
      <c r="C226" t="s">
        <v>3725</v>
      </c>
      <c r="D226" t="s">
        <v>3726</v>
      </c>
      <c r="E226">
        <v>2</v>
      </c>
      <c r="F226" t="s">
        <v>3473</v>
      </c>
      <c r="G226" t="s">
        <v>3493</v>
      </c>
      <c r="H226" t="s">
        <v>3727</v>
      </c>
      <c r="I226" t="s">
        <v>3728</v>
      </c>
      <c r="J226" t="s">
        <v>3729</v>
      </c>
      <c r="K226" t="s">
        <v>3730</v>
      </c>
      <c r="L226" t="s">
        <v>3731</v>
      </c>
      <c r="M226">
        <v>1.0088682174682619</v>
      </c>
      <c r="N226" t="s">
        <v>54</v>
      </c>
      <c r="O226" t="s">
        <v>53</v>
      </c>
      <c r="P226" t="s">
        <v>53</v>
      </c>
      <c r="Q226" t="s">
        <v>53</v>
      </c>
      <c r="R226" t="s">
        <v>53</v>
      </c>
      <c r="S226" t="s">
        <v>3732</v>
      </c>
      <c r="T226" t="s">
        <v>3733</v>
      </c>
      <c r="U226" t="s">
        <v>53</v>
      </c>
      <c r="V226" t="s">
        <v>51</v>
      </c>
      <c r="W226">
        <v>253000</v>
      </c>
      <c r="X226" t="s">
        <v>53</v>
      </c>
      <c r="AA226">
        <v>202</v>
      </c>
      <c r="AB226">
        <v>150</v>
      </c>
      <c r="AC226">
        <v>677</v>
      </c>
      <c r="AD226">
        <v>560</v>
      </c>
      <c r="AE226">
        <v>1007</v>
      </c>
      <c r="AF226">
        <v>1</v>
      </c>
      <c r="AG226">
        <v>0</v>
      </c>
      <c r="AH226">
        <v>2.933713436126709</v>
      </c>
      <c r="AJ226">
        <v>0</v>
      </c>
      <c r="AK226" t="s">
        <v>54</v>
      </c>
      <c r="AL226" t="s">
        <v>54</v>
      </c>
      <c r="AM226" t="s">
        <v>3734</v>
      </c>
      <c r="AQ226" t="s">
        <v>54</v>
      </c>
      <c r="AW226" t="s">
        <v>54</v>
      </c>
      <c r="AZ226" t="s">
        <v>54</v>
      </c>
      <c r="BA226" t="s">
        <v>3605</v>
      </c>
      <c r="BB226" s="15" t="s">
        <v>676</v>
      </c>
    </row>
    <row r="227" spans="1:54" x14ac:dyDescent="0.25">
      <c r="A227">
        <v>222</v>
      </c>
      <c r="B227" t="s">
        <v>3735</v>
      </c>
      <c r="C227" t="s">
        <v>3736</v>
      </c>
      <c r="D227" t="s">
        <v>3737</v>
      </c>
      <c r="E227">
        <v>2</v>
      </c>
      <c r="F227" t="s">
        <v>3473</v>
      </c>
      <c r="G227" t="s">
        <v>3738</v>
      </c>
      <c r="H227" t="s">
        <v>3739</v>
      </c>
      <c r="I227" t="s">
        <v>3740</v>
      </c>
      <c r="J227" t="s">
        <v>3741</v>
      </c>
      <c r="K227" t="s">
        <v>3742</v>
      </c>
      <c r="L227" t="s">
        <v>3613</v>
      </c>
      <c r="M227">
        <v>67.19732666015625</v>
      </c>
      <c r="N227" t="s">
        <v>54</v>
      </c>
      <c r="O227" t="s">
        <v>53</v>
      </c>
      <c r="P227" t="s">
        <v>53</v>
      </c>
      <c r="Q227" t="s">
        <v>53</v>
      </c>
      <c r="R227" t="s">
        <v>53</v>
      </c>
      <c r="S227" t="s">
        <v>3743</v>
      </c>
      <c r="T227" t="s">
        <v>3744</v>
      </c>
      <c r="U227" t="s">
        <v>53</v>
      </c>
      <c r="V227" t="s">
        <v>162</v>
      </c>
      <c r="W227">
        <v>550000</v>
      </c>
      <c r="X227" t="s">
        <v>53</v>
      </c>
      <c r="AA227">
        <v>23</v>
      </c>
      <c r="AB227">
        <v>7</v>
      </c>
      <c r="AC227">
        <v>14</v>
      </c>
      <c r="AD227">
        <v>26</v>
      </c>
      <c r="AE227">
        <v>28</v>
      </c>
      <c r="AF227">
        <v>1</v>
      </c>
      <c r="AG227">
        <v>0</v>
      </c>
      <c r="AH227">
        <v>6.4730134010314941</v>
      </c>
      <c r="AJ227">
        <v>2524.40087890625</v>
      </c>
      <c r="AK227" t="s">
        <v>53</v>
      </c>
      <c r="AL227" t="s">
        <v>53</v>
      </c>
      <c r="AM227" t="s">
        <v>595</v>
      </c>
      <c r="AQ227" t="s">
        <v>54</v>
      </c>
      <c r="AW227" t="s">
        <v>53</v>
      </c>
      <c r="AZ227" t="s">
        <v>54</v>
      </c>
      <c r="BA227" t="s">
        <v>3605</v>
      </c>
      <c r="BB227" s="15" t="s">
        <v>678</v>
      </c>
    </row>
    <row r="228" spans="1:54" x14ac:dyDescent="0.25">
      <c r="A228">
        <v>223</v>
      </c>
      <c r="B228" t="s">
        <v>3745</v>
      </c>
      <c r="C228" t="s">
        <v>3746</v>
      </c>
      <c r="D228" t="s">
        <v>3747</v>
      </c>
      <c r="E228">
        <v>2</v>
      </c>
      <c r="F228" t="s">
        <v>3473</v>
      </c>
      <c r="G228" t="s">
        <v>3580</v>
      </c>
      <c r="H228" t="s">
        <v>3598</v>
      </c>
      <c r="I228" t="s">
        <v>3748</v>
      </c>
      <c r="J228" t="s">
        <v>3749</v>
      </c>
      <c r="K228" t="s">
        <v>3750</v>
      </c>
      <c r="L228" t="s">
        <v>3731</v>
      </c>
      <c r="M228">
        <v>6.2174816131591797</v>
      </c>
      <c r="N228" t="s">
        <v>54</v>
      </c>
      <c r="O228" t="s">
        <v>53</v>
      </c>
      <c r="P228" t="s">
        <v>53</v>
      </c>
      <c r="Q228" t="s">
        <v>53</v>
      </c>
      <c r="R228" t="s">
        <v>53</v>
      </c>
      <c r="S228" t="s">
        <v>3602</v>
      </c>
      <c r="T228" t="s">
        <v>3603</v>
      </c>
      <c r="U228" t="s">
        <v>53</v>
      </c>
      <c r="V228" t="s">
        <v>51</v>
      </c>
      <c r="W228">
        <v>250000</v>
      </c>
      <c r="X228" t="s">
        <v>53</v>
      </c>
      <c r="AA228">
        <v>10</v>
      </c>
      <c r="AB228">
        <v>3</v>
      </c>
      <c r="AC228">
        <v>3</v>
      </c>
      <c r="AD228">
        <v>12</v>
      </c>
      <c r="AE228">
        <v>12</v>
      </c>
      <c r="AF228">
        <v>1</v>
      </c>
      <c r="AG228">
        <v>0</v>
      </c>
      <c r="AH228">
        <v>2.0035641193389888</v>
      </c>
      <c r="AJ228">
        <v>80.241897583007813</v>
      </c>
      <c r="AK228" t="s">
        <v>54</v>
      </c>
      <c r="AL228" t="s">
        <v>53</v>
      </c>
      <c r="AM228" t="s">
        <v>595</v>
      </c>
      <c r="AQ228" t="s">
        <v>54</v>
      </c>
      <c r="AW228" t="s">
        <v>53</v>
      </c>
      <c r="AZ228" t="s">
        <v>54</v>
      </c>
      <c r="BA228" t="s">
        <v>3605</v>
      </c>
      <c r="BB228" s="15" t="s">
        <v>676</v>
      </c>
    </row>
    <row r="229" spans="1:54" x14ac:dyDescent="0.25">
      <c r="A229">
        <v>224</v>
      </c>
      <c r="B229" t="s">
        <v>3751</v>
      </c>
      <c r="C229" t="s">
        <v>3752</v>
      </c>
      <c r="D229" t="s">
        <v>3753</v>
      </c>
      <c r="E229">
        <v>2</v>
      </c>
      <c r="F229" t="s">
        <v>3473</v>
      </c>
      <c r="G229" t="s">
        <v>3580</v>
      </c>
      <c r="H229" t="s">
        <v>3695</v>
      </c>
      <c r="I229" t="s">
        <v>3696</v>
      </c>
      <c r="J229" t="s">
        <v>3754</v>
      </c>
      <c r="K229" t="s">
        <v>3755</v>
      </c>
      <c r="L229" t="s">
        <v>3477</v>
      </c>
      <c r="M229">
        <v>4.6504077911376953</v>
      </c>
      <c r="N229" t="s">
        <v>54</v>
      </c>
      <c r="O229" t="s">
        <v>53</v>
      </c>
      <c r="P229" t="s">
        <v>53</v>
      </c>
      <c r="Q229" t="s">
        <v>53</v>
      </c>
      <c r="R229" t="s">
        <v>53</v>
      </c>
      <c r="S229" t="s">
        <v>3699</v>
      </c>
      <c r="T229" t="s">
        <v>3625</v>
      </c>
      <c r="U229" t="s">
        <v>53</v>
      </c>
      <c r="V229" t="s">
        <v>51</v>
      </c>
      <c r="W229">
        <v>250000</v>
      </c>
      <c r="X229" t="s">
        <v>53</v>
      </c>
      <c r="AA229">
        <v>226</v>
      </c>
      <c r="AB229">
        <v>137</v>
      </c>
      <c r="AC229">
        <v>1229</v>
      </c>
      <c r="AD229">
        <v>416</v>
      </c>
      <c r="AE229">
        <v>1476</v>
      </c>
      <c r="AF229">
        <v>6</v>
      </c>
      <c r="AG229">
        <v>0</v>
      </c>
      <c r="AH229">
        <v>10.344822883605961</v>
      </c>
      <c r="AJ229">
        <v>3.665265798568726</v>
      </c>
      <c r="AK229" t="s">
        <v>54</v>
      </c>
      <c r="AL229" t="s">
        <v>54</v>
      </c>
      <c r="AM229" t="s">
        <v>3616</v>
      </c>
      <c r="AQ229" t="s">
        <v>54</v>
      </c>
      <c r="AW229" t="s">
        <v>54</v>
      </c>
      <c r="AZ229" t="s">
        <v>54</v>
      </c>
      <c r="BA229" t="s">
        <v>3481</v>
      </c>
      <c r="BB229" s="15" t="s">
        <v>678</v>
      </c>
    </row>
    <row r="230" spans="1:54" x14ac:dyDescent="0.25">
      <c r="A230">
        <v>225</v>
      </c>
      <c r="B230" t="s">
        <v>3756</v>
      </c>
      <c r="C230" t="s">
        <v>3757</v>
      </c>
      <c r="D230" t="s">
        <v>3758</v>
      </c>
      <c r="E230">
        <v>2</v>
      </c>
      <c r="F230" t="s">
        <v>3473</v>
      </c>
      <c r="G230" t="s">
        <v>3580</v>
      </c>
      <c r="H230" t="s">
        <v>3695</v>
      </c>
      <c r="I230" t="s">
        <v>3696</v>
      </c>
      <c r="J230" t="s">
        <v>3754</v>
      </c>
      <c r="K230" t="s">
        <v>3755</v>
      </c>
      <c r="L230" t="s">
        <v>3477</v>
      </c>
      <c r="M230">
        <v>4.6504077911376953</v>
      </c>
      <c r="N230" t="s">
        <v>54</v>
      </c>
      <c r="O230" t="s">
        <v>53</v>
      </c>
      <c r="P230" t="s">
        <v>53</v>
      </c>
      <c r="Q230" t="s">
        <v>53</v>
      </c>
      <c r="R230" t="s">
        <v>53</v>
      </c>
      <c r="S230" t="s">
        <v>3699</v>
      </c>
      <c r="T230" t="s">
        <v>3625</v>
      </c>
      <c r="U230" t="s">
        <v>53</v>
      </c>
      <c r="V230" t="s">
        <v>51</v>
      </c>
      <c r="W230">
        <v>250000</v>
      </c>
      <c r="X230" t="s">
        <v>53</v>
      </c>
      <c r="AA230">
        <v>226</v>
      </c>
      <c r="AB230">
        <v>137</v>
      </c>
      <c r="AC230">
        <v>1229</v>
      </c>
      <c r="AD230">
        <v>416</v>
      </c>
      <c r="AE230">
        <v>1476</v>
      </c>
      <c r="AF230">
        <v>6</v>
      </c>
      <c r="AG230">
        <v>0</v>
      </c>
      <c r="AH230">
        <v>10.344822883605961</v>
      </c>
      <c r="AJ230">
        <v>3.665265798568726</v>
      </c>
      <c r="AK230" t="s">
        <v>54</v>
      </c>
      <c r="AL230" t="s">
        <v>54</v>
      </c>
      <c r="AM230" t="s">
        <v>3616</v>
      </c>
      <c r="AQ230" t="s">
        <v>54</v>
      </c>
      <c r="AW230" t="s">
        <v>54</v>
      </c>
      <c r="AZ230" t="s">
        <v>54</v>
      </c>
      <c r="BA230" t="s">
        <v>3481</v>
      </c>
      <c r="BB230" s="15" t="s">
        <v>676</v>
      </c>
    </row>
    <row r="231" spans="1:54" x14ac:dyDescent="0.25">
      <c r="A231">
        <v>226</v>
      </c>
      <c r="B231" t="s">
        <v>3759</v>
      </c>
      <c r="C231" t="s">
        <v>3760</v>
      </c>
      <c r="D231" t="s">
        <v>3761</v>
      </c>
      <c r="E231">
        <v>2</v>
      </c>
      <c r="F231" t="s">
        <v>3473</v>
      </c>
      <c r="G231" t="s">
        <v>3580</v>
      </c>
      <c r="H231" t="s">
        <v>3669</v>
      </c>
      <c r="I231" t="s">
        <v>3686</v>
      </c>
      <c r="J231" t="s">
        <v>3687</v>
      </c>
      <c r="K231" t="s">
        <v>3688</v>
      </c>
      <c r="L231" t="s">
        <v>3477</v>
      </c>
      <c r="M231">
        <v>3.2929890155792241</v>
      </c>
      <c r="N231" t="s">
        <v>54</v>
      </c>
      <c r="O231" t="s">
        <v>53</v>
      </c>
      <c r="P231" t="s">
        <v>53</v>
      </c>
      <c r="Q231" t="s">
        <v>53</v>
      </c>
      <c r="R231" t="s">
        <v>53</v>
      </c>
      <c r="S231" t="s">
        <v>3762</v>
      </c>
      <c r="T231" t="s">
        <v>3763</v>
      </c>
      <c r="U231" t="s">
        <v>53</v>
      </c>
      <c r="V231" t="s">
        <v>138</v>
      </c>
      <c r="W231">
        <v>250000</v>
      </c>
      <c r="X231" t="s">
        <v>53</v>
      </c>
      <c r="AA231">
        <v>72</v>
      </c>
      <c r="AB231">
        <v>56</v>
      </c>
      <c r="AC231">
        <v>274</v>
      </c>
      <c r="AD231">
        <v>173</v>
      </c>
      <c r="AE231">
        <v>387</v>
      </c>
      <c r="AF231">
        <v>1</v>
      </c>
      <c r="AG231">
        <v>0</v>
      </c>
      <c r="AH231">
        <v>0.91929030418395996</v>
      </c>
      <c r="AJ231">
        <v>5.1842079162597656</v>
      </c>
      <c r="AK231" t="s">
        <v>54</v>
      </c>
      <c r="AL231" t="s">
        <v>54</v>
      </c>
      <c r="AM231" t="s">
        <v>3616</v>
      </c>
      <c r="AQ231" t="s">
        <v>54</v>
      </c>
      <c r="AW231" t="s">
        <v>54</v>
      </c>
      <c r="AZ231" t="s">
        <v>54</v>
      </c>
      <c r="BA231" t="s">
        <v>3481</v>
      </c>
      <c r="BB231" s="15" t="s">
        <v>678</v>
      </c>
    </row>
    <row r="232" spans="1:54" x14ac:dyDescent="0.25">
      <c r="A232">
        <v>227</v>
      </c>
      <c r="B232" t="s">
        <v>3764</v>
      </c>
      <c r="C232" t="s">
        <v>3765</v>
      </c>
      <c r="D232" t="s">
        <v>3766</v>
      </c>
      <c r="E232">
        <v>2</v>
      </c>
      <c r="F232" t="s">
        <v>3473</v>
      </c>
      <c r="G232" t="s">
        <v>3580</v>
      </c>
      <c r="H232" t="s">
        <v>3581</v>
      </c>
      <c r="I232" t="s">
        <v>3661</v>
      </c>
      <c r="J232" t="s">
        <v>3767</v>
      </c>
      <c r="K232" t="s">
        <v>3768</v>
      </c>
      <c r="L232" t="s">
        <v>3731</v>
      </c>
      <c r="M232">
        <v>9.1200761795043945</v>
      </c>
      <c r="N232" t="s">
        <v>54</v>
      </c>
      <c r="O232" t="s">
        <v>53</v>
      </c>
      <c r="P232" t="s">
        <v>53</v>
      </c>
      <c r="Q232" t="s">
        <v>53</v>
      </c>
      <c r="R232" t="s">
        <v>53</v>
      </c>
      <c r="S232" t="s">
        <v>3762</v>
      </c>
      <c r="T232" t="s">
        <v>3763</v>
      </c>
      <c r="U232" t="s">
        <v>53</v>
      </c>
      <c r="V232" t="s">
        <v>51</v>
      </c>
      <c r="W232">
        <v>250000</v>
      </c>
      <c r="X232" t="s">
        <v>53</v>
      </c>
      <c r="AA232">
        <v>154</v>
      </c>
      <c r="AB232">
        <v>129</v>
      </c>
      <c r="AC232">
        <v>400</v>
      </c>
      <c r="AD232">
        <v>412</v>
      </c>
      <c r="AE232">
        <v>686</v>
      </c>
      <c r="AF232">
        <v>1</v>
      </c>
      <c r="AG232">
        <v>1</v>
      </c>
      <c r="AH232">
        <v>7.5360913276672363</v>
      </c>
      <c r="AJ232">
        <v>16.58161544799805</v>
      </c>
      <c r="AK232" t="s">
        <v>54</v>
      </c>
      <c r="AL232" t="s">
        <v>54</v>
      </c>
      <c r="AM232" t="s">
        <v>3616</v>
      </c>
      <c r="AQ232" t="s">
        <v>54</v>
      </c>
      <c r="AW232" t="s">
        <v>54</v>
      </c>
      <c r="AZ232" t="s">
        <v>54</v>
      </c>
      <c r="BA232" t="s">
        <v>3605</v>
      </c>
      <c r="BB232" s="15" t="s">
        <v>676</v>
      </c>
    </row>
    <row r="233" spans="1:54" x14ac:dyDescent="0.25">
      <c r="A233">
        <v>228</v>
      </c>
      <c r="B233" t="s">
        <v>3769</v>
      </c>
      <c r="C233" t="s">
        <v>3770</v>
      </c>
      <c r="D233" t="s">
        <v>3771</v>
      </c>
      <c r="E233">
        <v>2</v>
      </c>
      <c r="F233" t="s">
        <v>3473</v>
      </c>
      <c r="G233" t="s">
        <v>3493</v>
      </c>
      <c r="H233" t="s">
        <v>3727</v>
      </c>
      <c r="I233" t="s">
        <v>3772</v>
      </c>
      <c r="J233" t="s">
        <v>3773</v>
      </c>
      <c r="K233" t="s">
        <v>3774</v>
      </c>
      <c r="L233" t="s">
        <v>3715</v>
      </c>
      <c r="M233">
        <v>11.706997871398929</v>
      </c>
      <c r="N233" t="s">
        <v>54</v>
      </c>
      <c r="O233" t="s">
        <v>53</v>
      </c>
      <c r="P233" t="s">
        <v>53</v>
      </c>
      <c r="Q233" t="s">
        <v>53</v>
      </c>
      <c r="R233" t="s">
        <v>53</v>
      </c>
      <c r="S233" t="s">
        <v>3732</v>
      </c>
      <c r="T233" t="s">
        <v>3733</v>
      </c>
      <c r="U233" t="s">
        <v>53</v>
      </c>
      <c r="V233" t="s">
        <v>51</v>
      </c>
      <c r="W233">
        <v>250000</v>
      </c>
      <c r="X233" t="s">
        <v>53</v>
      </c>
      <c r="AA233">
        <v>612</v>
      </c>
      <c r="AB233">
        <v>459</v>
      </c>
      <c r="AC233">
        <v>1854</v>
      </c>
      <c r="AD233">
        <v>1379</v>
      </c>
      <c r="AE233">
        <v>2747</v>
      </c>
      <c r="AF233">
        <v>9</v>
      </c>
      <c r="AG233">
        <v>0</v>
      </c>
      <c r="AH233">
        <v>12.812558174133301</v>
      </c>
      <c r="AJ233">
        <v>164.33416748046881</v>
      </c>
      <c r="AK233" t="s">
        <v>54</v>
      </c>
      <c r="AL233" t="s">
        <v>54</v>
      </c>
      <c r="AM233" t="s">
        <v>3734</v>
      </c>
      <c r="AQ233" t="s">
        <v>54</v>
      </c>
      <c r="AW233" t="s">
        <v>54</v>
      </c>
      <c r="AZ233" t="s">
        <v>54</v>
      </c>
      <c r="BA233" t="s">
        <v>3605</v>
      </c>
      <c r="BB233" s="15" t="s">
        <v>676</v>
      </c>
    </row>
    <row r="234" spans="1:54" x14ac:dyDescent="0.25">
      <c r="A234">
        <v>229</v>
      </c>
      <c r="B234" t="s">
        <v>3775</v>
      </c>
      <c r="C234" t="s">
        <v>3776</v>
      </c>
      <c r="D234" t="s">
        <v>3777</v>
      </c>
      <c r="E234">
        <v>2</v>
      </c>
      <c r="F234" t="s">
        <v>3473</v>
      </c>
      <c r="G234" t="s">
        <v>3738</v>
      </c>
      <c r="H234" t="s">
        <v>3778</v>
      </c>
      <c r="I234" t="s">
        <v>3779</v>
      </c>
      <c r="J234" t="s">
        <v>32</v>
      </c>
      <c r="K234" t="s">
        <v>32</v>
      </c>
      <c r="L234" t="s">
        <v>3613</v>
      </c>
      <c r="M234">
        <v>196.69474792480469</v>
      </c>
      <c r="N234" t="s">
        <v>54</v>
      </c>
      <c r="O234" t="s">
        <v>53</v>
      </c>
      <c r="P234" t="s">
        <v>53</v>
      </c>
      <c r="Q234" t="s">
        <v>53</v>
      </c>
      <c r="R234" t="s">
        <v>53</v>
      </c>
      <c r="S234" t="s">
        <v>3743</v>
      </c>
      <c r="T234" t="s">
        <v>3744</v>
      </c>
      <c r="U234" t="s">
        <v>53</v>
      </c>
      <c r="V234" t="s">
        <v>162</v>
      </c>
      <c r="W234">
        <v>550000</v>
      </c>
      <c r="X234" t="s">
        <v>53</v>
      </c>
      <c r="AA234">
        <v>322</v>
      </c>
      <c r="AB234">
        <v>217</v>
      </c>
      <c r="AC234">
        <v>927</v>
      </c>
      <c r="AD234">
        <v>878</v>
      </c>
      <c r="AE234">
        <v>1490</v>
      </c>
      <c r="AF234">
        <v>3</v>
      </c>
      <c r="AG234">
        <v>0</v>
      </c>
      <c r="AH234">
        <v>49.372489929199219</v>
      </c>
      <c r="AJ234">
        <v>2977.440673828125</v>
      </c>
      <c r="AK234" t="s">
        <v>54</v>
      </c>
      <c r="AL234" t="s">
        <v>53</v>
      </c>
      <c r="AM234" t="s">
        <v>53</v>
      </c>
      <c r="AQ234" t="s">
        <v>54</v>
      </c>
      <c r="AW234" t="s">
        <v>54</v>
      </c>
      <c r="AZ234" t="s">
        <v>54</v>
      </c>
      <c r="BA234" t="s">
        <v>3605</v>
      </c>
      <c r="BB234" s="15" t="s">
        <v>678</v>
      </c>
    </row>
    <row r="235" spans="1:54" x14ac:dyDescent="0.25">
      <c r="A235">
        <v>230</v>
      </c>
      <c r="B235" t="s">
        <v>3780</v>
      </c>
      <c r="C235" t="s">
        <v>3781</v>
      </c>
      <c r="D235" t="s">
        <v>3782</v>
      </c>
      <c r="E235">
        <v>2</v>
      </c>
      <c r="F235" t="s">
        <v>3473</v>
      </c>
      <c r="G235" t="s">
        <v>3783</v>
      </c>
      <c r="H235" t="s">
        <v>3784</v>
      </c>
      <c r="I235" t="s">
        <v>3785</v>
      </c>
      <c r="J235" t="s">
        <v>32</v>
      </c>
      <c r="K235" t="s">
        <v>32</v>
      </c>
      <c r="L235" t="s">
        <v>3477</v>
      </c>
      <c r="M235">
        <v>519.592041015625</v>
      </c>
      <c r="N235" t="s">
        <v>54</v>
      </c>
      <c r="O235" t="s">
        <v>53</v>
      </c>
      <c r="P235" t="s">
        <v>53</v>
      </c>
      <c r="Q235" t="s">
        <v>53</v>
      </c>
      <c r="R235" t="s">
        <v>53</v>
      </c>
      <c r="S235" t="s">
        <v>3743</v>
      </c>
      <c r="T235" t="s">
        <v>3744</v>
      </c>
      <c r="U235" t="s">
        <v>53</v>
      </c>
      <c r="V235" t="s">
        <v>162</v>
      </c>
      <c r="W235">
        <v>950000</v>
      </c>
      <c r="X235" t="s">
        <v>53</v>
      </c>
      <c r="AA235">
        <v>915</v>
      </c>
      <c r="AB235">
        <v>625</v>
      </c>
      <c r="AC235">
        <v>2011</v>
      </c>
      <c r="AD235">
        <v>1701</v>
      </c>
      <c r="AE235">
        <v>3150</v>
      </c>
      <c r="AF235">
        <v>19</v>
      </c>
      <c r="AG235">
        <v>10</v>
      </c>
      <c r="AH235">
        <v>84.681282043457031</v>
      </c>
      <c r="AJ235">
        <v>31562.783203125</v>
      </c>
      <c r="AK235" t="s">
        <v>54</v>
      </c>
      <c r="AL235" t="s">
        <v>54</v>
      </c>
      <c r="AM235" t="s">
        <v>3734</v>
      </c>
      <c r="AQ235" t="s">
        <v>54</v>
      </c>
      <c r="AW235" t="s">
        <v>54</v>
      </c>
      <c r="AZ235" t="s">
        <v>54</v>
      </c>
      <c r="BA235" t="s">
        <v>3605</v>
      </c>
      <c r="BB235" s="15" t="s">
        <v>676</v>
      </c>
    </row>
    <row r="236" spans="1:54" x14ac:dyDescent="0.25">
      <c r="A236">
        <v>231</v>
      </c>
      <c r="B236" t="s">
        <v>3786</v>
      </c>
      <c r="C236" t="s">
        <v>3787</v>
      </c>
      <c r="D236" t="s">
        <v>3788</v>
      </c>
      <c r="E236">
        <v>2</v>
      </c>
      <c r="F236" t="s">
        <v>3473</v>
      </c>
      <c r="G236" t="s">
        <v>3580</v>
      </c>
      <c r="H236" t="s">
        <v>3581</v>
      </c>
      <c r="I236" t="s">
        <v>3789</v>
      </c>
      <c r="J236" t="s">
        <v>32</v>
      </c>
      <c r="K236" t="s">
        <v>32</v>
      </c>
      <c r="L236" t="s">
        <v>3620</v>
      </c>
      <c r="M236">
        <v>117.7864685058594</v>
      </c>
      <c r="N236" t="s">
        <v>54</v>
      </c>
      <c r="O236" t="s">
        <v>53</v>
      </c>
      <c r="P236" t="s">
        <v>53</v>
      </c>
      <c r="Q236" t="s">
        <v>53</v>
      </c>
      <c r="R236" t="s">
        <v>53</v>
      </c>
      <c r="S236" t="s">
        <v>3790</v>
      </c>
      <c r="T236" t="s">
        <v>3603</v>
      </c>
      <c r="U236" t="s">
        <v>53</v>
      </c>
      <c r="V236" t="s">
        <v>51</v>
      </c>
      <c r="W236">
        <v>4000000</v>
      </c>
      <c r="X236" t="s">
        <v>53</v>
      </c>
      <c r="AA236">
        <v>154</v>
      </c>
      <c r="AB236">
        <v>45</v>
      </c>
      <c r="AC236">
        <v>79</v>
      </c>
      <c r="AD236">
        <v>159</v>
      </c>
      <c r="AE236">
        <v>193</v>
      </c>
      <c r="AF236">
        <v>1</v>
      </c>
      <c r="AG236">
        <v>1</v>
      </c>
      <c r="AH236">
        <v>25.918624877929691</v>
      </c>
      <c r="AJ236">
        <v>15299.8984375</v>
      </c>
      <c r="AK236" t="s">
        <v>54</v>
      </c>
      <c r="AL236" t="s">
        <v>53</v>
      </c>
      <c r="AM236" t="s">
        <v>3616</v>
      </c>
      <c r="AQ236" t="s">
        <v>54</v>
      </c>
      <c r="AW236" t="s">
        <v>53</v>
      </c>
      <c r="AZ236" t="s">
        <v>54</v>
      </c>
      <c r="BA236" t="s">
        <v>3605</v>
      </c>
      <c r="BB236" s="15" t="s">
        <v>678</v>
      </c>
    </row>
    <row r="237" spans="1:54" x14ac:dyDescent="0.25">
      <c r="A237">
        <v>232</v>
      </c>
      <c r="B237" t="s">
        <v>3791</v>
      </c>
      <c r="C237" t="s">
        <v>3792</v>
      </c>
      <c r="D237" t="s">
        <v>3793</v>
      </c>
      <c r="E237">
        <v>2</v>
      </c>
      <c r="F237" t="s">
        <v>3473</v>
      </c>
      <c r="G237" t="s">
        <v>3485</v>
      </c>
      <c r="H237" t="s">
        <v>3630</v>
      </c>
      <c r="I237" t="s">
        <v>3794</v>
      </c>
      <c r="J237" t="s">
        <v>3795</v>
      </c>
      <c r="K237" t="s">
        <v>3796</v>
      </c>
      <c r="L237" t="s">
        <v>3477</v>
      </c>
      <c r="M237">
        <v>5.320000171661377</v>
      </c>
      <c r="N237" t="s">
        <v>54</v>
      </c>
      <c r="O237" t="s">
        <v>53</v>
      </c>
      <c r="P237" t="s">
        <v>53</v>
      </c>
      <c r="Q237" t="s">
        <v>53</v>
      </c>
      <c r="R237" t="s">
        <v>53</v>
      </c>
      <c r="S237" t="s">
        <v>3797</v>
      </c>
      <c r="T237" t="s">
        <v>3798</v>
      </c>
      <c r="U237" t="s">
        <v>53</v>
      </c>
      <c r="V237" t="s">
        <v>138</v>
      </c>
      <c r="W237">
        <v>250000</v>
      </c>
      <c r="X237" t="s">
        <v>53</v>
      </c>
      <c r="AA237">
        <v>128</v>
      </c>
      <c r="AB237">
        <v>72</v>
      </c>
      <c r="AC237">
        <v>2104</v>
      </c>
      <c r="AD237">
        <v>381</v>
      </c>
      <c r="AE237">
        <v>2366</v>
      </c>
      <c r="AF237">
        <v>4</v>
      </c>
      <c r="AG237">
        <v>14</v>
      </c>
      <c r="AH237">
        <v>4.8000001907348633</v>
      </c>
      <c r="AJ237">
        <v>145.86000061035159</v>
      </c>
      <c r="AK237" t="s">
        <v>54</v>
      </c>
      <c r="AL237" t="s">
        <v>54</v>
      </c>
      <c r="AM237" t="s">
        <v>3799</v>
      </c>
      <c r="AQ237" t="s">
        <v>54</v>
      </c>
      <c r="AW237" t="s">
        <v>53</v>
      </c>
      <c r="AZ237" t="s">
        <v>54</v>
      </c>
      <c r="BA237" t="s">
        <v>3605</v>
      </c>
      <c r="BB237" s="15" t="s">
        <v>676</v>
      </c>
    </row>
    <row r="238" spans="1:54" x14ac:dyDescent="0.25">
      <c r="A238">
        <v>233</v>
      </c>
      <c r="B238" t="s">
        <v>3800</v>
      </c>
      <c r="C238" t="s">
        <v>3801</v>
      </c>
      <c r="D238" t="s">
        <v>3802</v>
      </c>
      <c r="E238">
        <v>3</v>
      </c>
      <c r="F238" t="s">
        <v>3803</v>
      </c>
      <c r="G238" t="s">
        <v>3804</v>
      </c>
      <c r="H238" t="s">
        <v>3805</v>
      </c>
      <c r="I238" t="s">
        <v>3806</v>
      </c>
      <c r="J238" t="s">
        <v>3807</v>
      </c>
      <c r="K238" t="s">
        <v>3808</v>
      </c>
      <c r="L238" t="s">
        <v>3809</v>
      </c>
      <c r="M238">
        <v>1073.464111328125</v>
      </c>
      <c r="N238" t="s">
        <v>54</v>
      </c>
      <c r="O238" t="s">
        <v>53</v>
      </c>
      <c r="P238" t="s">
        <v>53</v>
      </c>
      <c r="Q238" t="s">
        <v>53</v>
      </c>
      <c r="R238" t="s">
        <v>53</v>
      </c>
      <c r="S238" t="s">
        <v>3810</v>
      </c>
      <c r="T238" t="s">
        <v>3810</v>
      </c>
      <c r="U238" t="s">
        <v>53</v>
      </c>
      <c r="V238" t="s">
        <v>138</v>
      </c>
      <c r="W238">
        <v>1500000</v>
      </c>
      <c r="X238" t="s">
        <v>53</v>
      </c>
      <c r="Y238" t="s">
        <v>3811</v>
      </c>
      <c r="Z238">
        <v>0</v>
      </c>
      <c r="AA238">
        <v>667</v>
      </c>
      <c r="AB238">
        <v>416</v>
      </c>
      <c r="AC238">
        <v>760</v>
      </c>
      <c r="AD238">
        <v>1098</v>
      </c>
      <c r="AE238">
        <v>1408</v>
      </c>
      <c r="AF238">
        <v>6</v>
      </c>
      <c r="AG238">
        <v>6</v>
      </c>
      <c r="AH238">
        <v>73.343528747558594</v>
      </c>
      <c r="AJ238">
        <v>36103.83984375</v>
      </c>
      <c r="AK238" t="s">
        <v>54</v>
      </c>
      <c r="AL238" t="s">
        <v>54</v>
      </c>
      <c r="AQ238" t="s">
        <v>54</v>
      </c>
      <c r="AW238" t="s">
        <v>54</v>
      </c>
      <c r="AZ238" t="s">
        <v>54</v>
      </c>
      <c r="BA238" t="s">
        <v>3481</v>
      </c>
      <c r="BB238" s="15" t="s">
        <v>678</v>
      </c>
    </row>
    <row r="239" spans="1:54" x14ac:dyDescent="0.25">
      <c r="A239">
        <v>234</v>
      </c>
      <c r="B239" t="s">
        <v>3812</v>
      </c>
      <c r="C239" t="s">
        <v>3813</v>
      </c>
      <c r="D239" t="s">
        <v>3802</v>
      </c>
      <c r="E239">
        <v>3</v>
      </c>
      <c r="F239" t="s">
        <v>3803</v>
      </c>
      <c r="G239" t="s">
        <v>3814</v>
      </c>
      <c r="H239" t="s">
        <v>3815</v>
      </c>
      <c r="I239" t="s">
        <v>3816</v>
      </c>
      <c r="J239" t="s">
        <v>3817</v>
      </c>
      <c r="K239" t="s">
        <v>3818</v>
      </c>
      <c r="L239" t="s">
        <v>3809</v>
      </c>
      <c r="M239">
        <v>629.7137451171875</v>
      </c>
      <c r="N239" t="s">
        <v>54</v>
      </c>
      <c r="O239" t="s">
        <v>53</v>
      </c>
      <c r="P239" t="s">
        <v>53</v>
      </c>
      <c r="Q239" t="s">
        <v>53</v>
      </c>
      <c r="R239" t="s">
        <v>53</v>
      </c>
      <c r="S239" t="s">
        <v>952</v>
      </c>
      <c r="T239" t="s">
        <v>952</v>
      </c>
      <c r="U239" t="s">
        <v>53</v>
      </c>
      <c r="V239" t="s">
        <v>138</v>
      </c>
      <c r="W239">
        <v>874000</v>
      </c>
      <c r="X239" t="s">
        <v>54</v>
      </c>
      <c r="Y239" t="s">
        <v>3819</v>
      </c>
      <c r="Z239">
        <v>87400</v>
      </c>
      <c r="AA239">
        <v>2225</v>
      </c>
      <c r="AB239">
        <v>1698</v>
      </c>
      <c r="AC239">
        <v>4972</v>
      </c>
      <c r="AD239">
        <v>2996</v>
      </c>
      <c r="AE239">
        <v>7117</v>
      </c>
      <c r="AF239">
        <v>26</v>
      </c>
      <c r="AG239">
        <v>0</v>
      </c>
      <c r="AH239">
        <v>53.151050567626953</v>
      </c>
      <c r="AJ239">
        <v>4747.4560546875</v>
      </c>
      <c r="AK239" t="s">
        <v>54</v>
      </c>
      <c r="AL239" t="s">
        <v>54</v>
      </c>
      <c r="AQ239" t="s">
        <v>54</v>
      </c>
      <c r="AW239" t="s">
        <v>54</v>
      </c>
      <c r="AZ239" t="s">
        <v>54</v>
      </c>
      <c r="BA239" t="s">
        <v>3481</v>
      </c>
      <c r="BB239" s="15" t="s">
        <v>676</v>
      </c>
    </row>
    <row r="240" spans="1:54" x14ac:dyDescent="0.25">
      <c r="A240">
        <v>235</v>
      </c>
      <c r="B240" t="s">
        <v>3820</v>
      </c>
      <c r="C240" t="s">
        <v>3821</v>
      </c>
      <c r="D240" t="s">
        <v>3802</v>
      </c>
      <c r="E240">
        <v>3</v>
      </c>
      <c r="F240" t="s">
        <v>3803</v>
      </c>
      <c r="G240" t="s">
        <v>3822</v>
      </c>
      <c r="H240" t="s">
        <v>3823</v>
      </c>
      <c r="I240" t="s">
        <v>3824</v>
      </c>
      <c r="J240" t="s">
        <v>3817</v>
      </c>
      <c r="K240" t="s">
        <v>3825</v>
      </c>
      <c r="L240" t="s">
        <v>3809</v>
      </c>
      <c r="M240">
        <v>1107.642822265625</v>
      </c>
      <c r="N240" t="s">
        <v>54</v>
      </c>
      <c r="O240" t="s">
        <v>53</v>
      </c>
      <c r="P240" t="s">
        <v>53</v>
      </c>
      <c r="Q240" t="s">
        <v>53</v>
      </c>
      <c r="R240" t="s">
        <v>53</v>
      </c>
      <c r="S240" t="s">
        <v>2796</v>
      </c>
      <c r="T240" t="s">
        <v>2796</v>
      </c>
      <c r="U240" t="s">
        <v>53</v>
      </c>
      <c r="V240" t="s">
        <v>138</v>
      </c>
      <c r="W240">
        <v>1470000</v>
      </c>
      <c r="X240" t="s">
        <v>54</v>
      </c>
      <c r="Y240" t="s">
        <v>3819</v>
      </c>
      <c r="Z240">
        <v>147000</v>
      </c>
      <c r="AA240">
        <v>28</v>
      </c>
      <c r="AB240">
        <v>27</v>
      </c>
      <c r="AC240">
        <v>3</v>
      </c>
      <c r="AD240">
        <v>16</v>
      </c>
      <c r="AE240">
        <v>16</v>
      </c>
      <c r="AF240">
        <v>0</v>
      </c>
      <c r="AG240">
        <v>0</v>
      </c>
      <c r="AH240">
        <v>17.718050003051761</v>
      </c>
      <c r="AJ240">
        <v>4620.7509765625</v>
      </c>
      <c r="AK240" t="s">
        <v>54</v>
      </c>
      <c r="AL240" t="s">
        <v>54</v>
      </c>
      <c r="AQ240" t="s">
        <v>54</v>
      </c>
      <c r="AW240" t="s">
        <v>53</v>
      </c>
      <c r="AZ240" t="s">
        <v>54</v>
      </c>
      <c r="BA240" t="s">
        <v>3481</v>
      </c>
      <c r="BB240" s="15" t="s">
        <v>676</v>
      </c>
    </row>
    <row r="241" spans="1:54" x14ac:dyDescent="0.25">
      <c r="A241">
        <v>236</v>
      </c>
      <c r="B241" t="s">
        <v>3826</v>
      </c>
      <c r="C241" t="s">
        <v>3827</v>
      </c>
      <c r="D241" t="s">
        <v>3802</v>
      </c>
      <c r="E241">
        <v>3</v>
      </c>
      <c r="F241" t="s">
        <v>3803</v>
      </c>
      <c r="G241" t="s">
        <v>3828</v>
      </c>
      <c r="H241" t="s">
        <v>3829</v>
      </c>
      <c r="I241" t="s">
        <v>3830</v>
      </c>
      <c r="J241" t="s">
        <v>3817</v>
      </c>
      <c r="K241" t="s">
        <v>3825</v>
      </c>
      <c r="L241" t="s">
        <v>3809</v>
      </c>
      <c r="M241">
        <v>883.18670654296875</v>
      </c>
      <c r="N241" t="s">
        <v>54</v>
      </c>
      <c r="O241" t="s">
        <v>53</v>
      </c>
      <c r="P241" t="s">
        <v>53</v>
      </c>
      <c r="Q241" t="s">
        <v>53</v>
      </c>
      <c r="R241" t="s">
        <v>53</v>
      </c>
      <c r="S241" t="s">
        <v>3831</v>
      </c>
      <c r="T241" t="s">
        <v>3831</v>
      </c>
      <c r="U241" t="s">
        <v>53</v>
      </c>
      <c r="V241" t="s">
        <v>138</v>
      </c>
      <c r="W241">
        <v>1041000</v>
      </c>
      <c r="X241" t="s">
        <v>54</v>
      </c>
      <c r="Y241" t="s">
        <v>3819</v>
      </c>
      <c r="Z241">
        <v>104100</v>
      </c>
      <c r="AA241">
        <v>2842</v>
      </c>
      <c r="AB241">
        <v>2401</v>
      </c>
      <c r="AC241">
        <v>11593</v>
      </c>
      <c r="AD241">
        <v>7641</v>
      </c>
      <c r="AE241">
        <v>17576</v>
      </c>
      <c r="AF241">
        <v>26</v>
      </c>
      <c r="AG241">
        <v>55</v>
      </c>
      <c r="AH241">
        <v>145.78169250488281</v>
      </c>
      <c r="AJ241">
        <v>34153.609375</v>
      </c>
      <c r="AK241" t="s">
        <v>54</v>
      </c>
      <c r="AL241" t="s">
        <v>54</v>
      </c>
      <c r="AQ241" t="s">
        <v>54</v>
      </c>
      <c r="AW241" t="s">
        <v>54</v>
      </c>
      <c r="AZ241" t="s">
        <v>54</v>
      </c>
      <c r="BA241" t="s">
        <v>3481</v>
      </c>
      <c r="BB241" s="15" t="s">
        <v>678</v>
      </c>
    </row>
    <row r="242" spans="1:54" x14ac:dyDescent="0.25">
      <c r="A242">
        <v>237</v>
      </c>
      <c r="B242" t="s">
        <v>3832</v>
      </c>
      <c r="C242" t="s">
        <v>3833</v>
      </c>
      <c r="D242" t="s">
        <v>3802</v>
      </c>
      <c r="E242">
        <v>3</v>
      </c>
      <c r="F242" t="s">
        <v>3803</v>
      </c>
      <c r="G242" t="s">
        <v>3834</v>
      </c>
      <c r="H242" t="s">
        <v>3835</v>
      </c>
      <c r="I242" t="s">
        <v>3836</v>
      </c>
      <c r="J242" t="s">
        <v>3817</v>
      </c>
      <c r="K242" t="s">
        <v>3837</v>
      </c>
      <c r="L242" t="s">
        <v>3809</v>
      </c>
      <c r="M242">
        <v>893.008056640625</v>
      </c>
      <c r="N242" t="s">
        <v>54</v>
      </c>
      <c r="O242" t="s">
        <v>53</v>
      </c>
      <c r="P242" t="s">
        <v>53</v>
      </c>
      <c r="Q242" t="s">
        <v>53</v>
      </c>
      <c r="R242" t="s">
        <v>53</v>
      </c>
      <c r="S242" t="s">
        <v>2978</v>
      </c>
      <c r="T242" t="s">
        <v>2978</v>
      </c>
      <c r="U242" t="s">
        <v>53</v>
      </c>
      <c r="V242" t="s">
        <v>138</v>
      </c>
      <c r="W242">
        <v>1133000</v>
      </c>
      <c r="X242" t="s">
        <v>54</v>
      </c>
      <c r="Y242" t="s">
        <v>3819</v>
      </c>
      <c r="Z242">
        <v>113300</v>
      </c>
      <c r="AA242">
        <v>1328</v>
      </c>
      <c r="AB242">
        <v>964</v>
      </c>
      <c r="AC242">
        <v>998</v>
      </c>
      <c r="AD242">
        <v>1528</v>
      </c>
      <c r="AE242">
        <v>2077</v>
      </c>
      <c r="AF242">
        <v>6</v>
      </c>
      <c r="AG242">
        <v>32</v>
      </c>
      <c r="AH242">
        <v>81.361366271972656</v>
      </c>
      <c r="AJ242">
        <v>40870.1796875</v>
      </c>
      <c r="AK242" t="s">
        <v>54</v>
      </c>
      <c r="AL242" t="s">
        <v>54</v>
      </c>
      <c r="AQ242" t="s">
        <v>54</v>
      </c>
      <c r="AW242" t="s">
        <v>54</v>
      </c>
      <c r="AZ242" t="s">
        <v>54</v>
      </c>
      <c r="BA242" t="s">
        <v>3481</v>
      </c>
      <c r="BB242" s="15" t="s">
        <v>678</v>
      </c>
    </row>
    <row r="243" spans="1:54" x14ac:dyDescent="0.25">
      <c r="A243">
        <v>238</v>
      </c>
      <c r="B243" t="s">
        <v>3838</v>
      </c>
      <c r="C243" t="s">
        <v>3839</v>
      </c>
      <c r="D243" t="s">
        <v>3802</v>
      </c>
      <c r="E243">
        <v>3</v>
      </c>
      <c r="F243" t="s">
        <v>3803</v>
      </c>
      <c r="G243" t="s">
        <v>3840</v>
      </c>
      <c r="H243" t="s">
        <v>3841</v>
      </c>
      <c r="I243" t="s">
        <v>3842</v>
      </c>
      <c r="J243" t="s">
        <v>3817</v>
      </c>
      <c r="K243" t="s">
        <v>3837</v>
      </c>
      <c r="L243" t="s">
        <v>3809</v>
      </c>
      <c r="M243">
        <v>948.435302734375</v>
      </c>
      <c r="N243" t="s">
        <v>54</v>
      </c>
      <c r="O243" t="s">
        <v>53</v>
      </c>
      <c r="P243" t="s">
        <v>53</v>
      </c>
      <c r="Q243" t="s">
        <v>53</v>
      </c>
      <c r="R243" t="s">
        <v>53</v>
      </c>
      <c r="S243" t="s">
        <v>3843</v>
      </c>
      <c r="T243" t="s">
        <v>3843</v>
      </c>
      <c r="U243" t="s">
        <v>53</v>
      </c>
      <c r="V243" t="s">
        <v>138</v>
      </c>
      <c r="W243">
        <v>1140000</v>
      </c>
      <c r="X243" t="s">
        <v>54</v>
      </c>
      <c r="Y243" t="s">
        <v>3819</v>
      </c>
      <c r="Z243">
        <v>114000</v>
      </c>
      <c r="AA243">
        <v>4675</v>
      </c>
      <c r="AB243">
        <v>3634</v>
      </c>
      <c r="AC243">
        <v>6148</v>
      </c>
      <c r="AD243">
        <v>15904</v>
      </c>
      <c r="AE243">
        <v>18656</v>
      </c>
      <c r="AF243">
        <v>89</v>
      </c>
      <c r="AG243">
        <v>97</v>
      </c>
      <c r="AH243">
        <v>245.06779479980469</v>
      </c>
      <c r="AJ243">
        <v>53344.359375</v>
      </c>
      <c r="AK243" t="s">
        <v>54</v>
      </c>
      <c r="AL243" t="s">
        <v>54</v>
      </c>
      <c r="AQ243" t="s">
        <v>54</v>
      </c>
      <c r="AW243" t="s">
        <v>54</v>
      </c>
      <c r="AZ243" t="s">
        <v>54</v>
      </c>
      <c r="BA243" t="s">
        <v>3481</v>
      </c>
      <c r="BB243" s="15" t="s">
        <v>678</v>
      </c>
    </row>
    <row r="244" spans="1:54" x14ac:dyDescent="0.25">
      <c r="A244">
        <v>239</v>
      </c>
      <c r="B244" t="s">
        <v>3844</v>
      </c>
      <c r="C244" t="s">
        <v>3845</v>
      </c>
      <c r="D244" t="s">
        <v>3802</v>
      </c>
      <c r="E244">
        <v>3</v>
      </c>
      <c r="F244" t="s">
        <v>3803</v>
      </c>
      <c r="G244" t="s">
        <v>3846</v>
      </c>
      <c r="H244" t="s">
        <v>3847</v>
      </c>
      <c r="I244" t="s">
        <v>3848</v>
      </c>
      <c r="J244" t="s">
        <v>3817</v>
      </c>
      <c r="K244" t="s">
        <v>3837</v>
      </c>
      <c r="L244" t="s">
        <v>3809</v>
      </c>
      <c r="M244">
        <v>947.78533935546875</v>
      </c>
      <c r="N244" t="s">
        <v>54</v>
      </c>
      <c r="O244" t="s">
        <v>53</v>
      </c>
      <c r="P244" t="s">
        <v>53</v>
      </c>
      <c r="Q244" t="s">
        <v>53</v>
      </c>
      <c r="R244" t="s">
        <v>53</v>
      </c>
      <c r="S244" t="s">
        <v>3849</v>
      </c>
      <c r="T244" t="s">
        <v>3849</v>
      </c>
      <c r="U244" t="s">
        <v>53</v>
      </c>
      <c r="V244" t="s">
        <v>138</v>
      </c>
      <c r="W244">
        <v>1182000</v>
      </c>
      <c r="X244" t="s">
        <v>54</v>
      </c>
      <c r="Y244" t="s">
        <v>3819</v>
      </c>
      <c r="Z244">
        <v>118200</v>
      </c>
      <c r="AA244">
        <v>2712</v>
      </c>
      <c r="AB244">
        <v>2240</v>
      </c>
      <c r="AC244">
        <v>4055</v>
      </c>
      <c r="AD244">
        <v>5855</v>
      </c>
      <c r="AE244">
        <v>8472</v>
      </c>
      <c r="AF244">
        <v>32</v>
      </c>
      <c r="AG244">
        <v>57</v>
      </c>
      <c r="AH244">
        <v>214.41340637207031</v>
      </c>
      <c r="AJ244">
        <v>90231.0390625</v>
      </c>
      <c r="AK244" t="s">
        <v>54</v>
      </c>
      <c r="AL244" t="s">
        <v>54</v>
      </c>
      <c r="AQ244" t="s">
        <v>54</v>
      </c>
      <c r="AW244" t="s">
        <v>54</v>
      </c>
      <c r="AZ244" t="s">
        <v>54</v>
      </c>
      <c r="BA244" t="s">
        <v>3481</v>
      </c>
      <c r="BB244" s="15" t="s">
        <v>678</v>
      </c>
    </row>
    <row r="245" spans="1:54" x14ac:dyDescent="0.25">
      <c r="A245">
        <v>240</v>
      </c>
      <c r="B245" t="s">
        <v>3850</v>
      </c>
      <c r="C245" t="s">
        <v>3851</v>
      </c>
      <c r="D245" t="s">
        <v>3802</v>
      </c>
      <c r="E245">
        <v>3</v>
      </c>
      <c r="F245" t="s">
        <v>3803</v>
      </c>
      <c r="G245" t="s">
        <v>3852</v>
      </c>
      <c r="H245" t="s">
        <v>3853</v>
      </c>
      <c r="I245" t="s">
        <v>3854</v>
      </c>
      <c r="J245" t="s">
        <v>3817</v>
      </c>
      <c r="K245" t="s">
        <v>3855</v>
      </c>
      <c r="L245" t="s">
        <v>3809</v>
      </c>
      <c r="M245">
        <v>896.7938232421875</v>
      </c>
      <c r="N245" t="s">
        <v>54</v>
      </c>
      <c r="O245" t="s">
        <v>53</v>
      </c>
      <c r="P245" t="s">
        <v>53</v>
      </c>
      <c r="Q245" t="s">
        <v>53</v>
      </c>
      <c r="R245" t="s">
        <v>53</v>
      </c>
      <c r="S245" t="s">
        <v>3489</v>
      </c>
      <c r="T245" t="s">
        <v>3489</v>
      </c>
      <c r="U245" t="s">
        <v>53</v>
      </c>
      <c r="V245" t="s">
        <v>138</v>
      </c>
      <c r="W245">
        <v>1183000</v>
      </c>
      <c r="X245" t="s">
        <v>53</v>
      </c>
      <c r="Y245" t="s">
        <v>3811</v>
      </c>
      <c r="Z245">
        <v>0</v>
      </c>
      <c r="AA245">
        <v>139</v>
      </c>
      <c r="AB245">
        <v>119</v>
      </c>
      <c r="AC245">
        <v>22</v>
      </c>
      <c r="AD245">
        <v>91</v>
      </c>
      <c r="AE245">
        <v>93</v>
      </c>
      <c r="AF245">
        <v>0</v>
      </c>
      <c r="AG245">
        <v>0</v>
      </c>
      <c r="AH245">
        <v>4.4001379013061523</v>
      </c>
      <c r="AJ245">
        <v>1782.81494140625</v>
      </c>
      <c r="AK245" t="s">
        <v>54</v>
      </c>
      <c r="AL245" t="s">
        <v>54</v>
      </c>
      <c r="AQ245" t="s">
        <v>54</v>
      </c>
      <c r="AW245" t="s">
        <v>53</v>
      </c>
      <c r="AZ245" t="s">
        <v>54</v>
      </c>
      <c r="BA245" t="s">
        <v>3481</v>
      </c>
      <c r="BB245" s="15" t="s">
        <v>678</v>
      </c>
    </row>
    <row r="246" spans="1:54" x14ac:dyDescent="0.25">
      <c r="A246">
        <v>241</v>
      </c>
      <c r="B246" t="s">
        <v>3856</v>
      </c>
      <c r="C246" t="s">
        <v>3857</v>
      </c>
      <c r="D246" t="s">
        <v>3802</v>
      </c>
      <c r="E246">
        <v>3</v>
      </c>
      <c r="F246" t="s">
        <v>3803</v>
      </c>
      <c r="G246" t="s">
        <v>3858</v>
      </c>
      <c r="H246" t="s">
        <v>3859</v>
      </c>
      <c r="I246" t="s">
        <v>3860</v>
      </c>
      <c r="J246" t="s">
        <v>3817</v>
      </c>
      <c r="K246" t="s">
        <v>3855</v>
      </c>
      <c r="L246" t="s">
        <v>3809</v>
      </c>
      <c r="M246">
        <v>888.1444091796875</v>
      </c>
      <c r="N246" t="s">
        <v>54</v>
      </c>
      <c r="O246" t="s">
        <v>53</v>
      </c>
      <c r="P246" t="s">
        <v>53</v>
      </c>
      <c r="Q246" t="s">
        <v>53</v>
      </c>
      <c r="R246" t="s">
        <v>53</v>
      </c>
      <c r="S246" t="s">
        <v>3861</v>
      </c>
      <c r="T246" t="s">
        <v>3861</v>
      </c>
      <c r="U246" t="s">
        <v>53</v>
      </c>
      <c r="V246" t="s">
        <v>138</v>
      </c>
      <c r="W246">
        <v>1201000</v>
      </c>
      <c r="X246" t="s">
        <v>54</v>
      </c>
      <c r="Y246" t="s">
        <v>3819</v>
      </c>
      <c r="Z246">
        <v>120100</v>
      </c>
      <c r="AA246">
        <v>557</v>
      </c>
      <c r="AB246">
        <v>237</v>
      </c>
      <c r="AC246">
        <v>166</v>
      </c>
      <c r="AD246">
        <v>360</v>
      </c>
      <c r="AE246">
        <v>389</v>
      </c>
      <c r="AF246">
        <v>3</v>
      </c>
      <c r="AG246">
        <v>2</v>
      </c>
      <c r="AH246">
        <v>90.633773803710938</v>
      </c>
      <c r="AJ246">
        <v>48504.25</v>
      </c>
      <c r="AK246" t="s">
        <v>54</v>
      </c>
      <c r="AL246" t="s">
        <v>54</v>
      </c>
      <c r="AQ246" t="s">
        <v>54</v>
      </c>
      <c r="AW246" t="s">
        <v>53</v>
      </c>
      <c r="AZ246" t="s">
        <v>54</v>
      </c>
      <c r="BA246" t="s">
        <v>3481</v>
      </c>
      <c r="BB246" s="15" t="s">
        <v>678</v>
      </c>
    </row>
    <row r="247" spans="1:54" x14ac:dyDescent="0.25">
      <c r="A247">
        <v>242</v>
      </c>
      <c r="B247" t="s">
        <v>3862</v>
      </c>
      <c r="C247" t="s">
        <v>3863</v>
      </c>
      <c r="D247" t="s">
        <v>3802</v>
      </c>
      <c r="E247">
        <v>3</v>
      </c>
      <c r="F247" t="s">
        <v>3803</v>
      </c>
      <c r="G247" t="s">
        <v>3864</v>
      </c>
      <c r="H247" t="s">
        <v>3865</v>
      </c>
      <c r="I247" t="s">
        <v>3866</v>
      </c>
      <c r="J247" t="s">
        <v>3817</v>
      </c>
      <c r="K247" t="s">
        <v>3867</v>
      </c>
      <c r="L247" t="s">
        <v>3809</v>
      </c>
      <c r="M247">
        <v>976.48223876953125</v>
      </c>
      <c r="N247" t="s">
        <v>54</v>
      </c>
      <c r="O247" t="s">
        <v>53</v>
      </c>
      <c r="P247" t="s">
        <v>53</v>
      </c>
      <c r="Q247" t="s">
        <v>53</v>
      </c>
      <c r="R247" t="s">
        <v>53</v>
      </c>
      <c r="S247" t="s">
        <v>3479</v>
      </c>
      <c r="T247" t="s">
        <v>3479</v>
      </c>
      <c r="U247" t="s">
        <v>53</v>
      </c>
      <c r="V247" t="s">
        <v>138</v>
      </c>
      <c r="W247">
        <v>1228000</v>
      </c>
      <c r="X247" t="s">
        <v>54</v>
      </c>
      <c r="Y247" t="s">
        <v>3819</v>
      </c>
      <c r="Z247">
        <v>122800</v>
      </c>
      <c r="AA247">
        <v>436</v>
      </c>
      <c r="AB247">
        <v>376</v>
      </c>
      <c r="AC247">
        <v>160</v>
      </c>
      <c r="AD247">
        <v>514</v>
      </c>
      <c r="AE247">
        <v>541</v>
      </c>
      <c r="AF247">
        <v>5</v>
      </c>
      <c r="AG247">
        <v>1</v>
      </c>
      <c r="AH247">
        <v>42.703140258789063</v>
      </c>
      <c r="AJ247">
        <v>21311.83984375</v>
      </c>
      <c r="AK247" t="s">
        <v>54</v>
      </c>
      <c r="AL247" t="s">
        <v>54</v>
      </c>
      <c r="AQ247" t="s">
        <v>54</v>
      </c>
      <c r="AW247" t="s">
        <v>54</v>
      </c>
      <c r="AZ247" t="s">
        <v>54</v>
      </c>
      <c r="BA247" t="s">
        <v>3481</v>
      </c>
      <c r="BB247" s="15" t="s">
        <v>678</v>
      </c>
    </row>
    <row r="248" spans="1:54" x14ac:dyDescent="0.25">
      <c r="A248">
        <v>243</v>
      </c>
      <c r="B248" t="s">
        <v>3868</v>
      </c>
      <c r="C248" t="s">
        <v>3869</v>
      </c>
      <c r="D248" t="s">
        <v>3802</v>
      </c>
      <c r="E248">
        <v>3</v>
      </c>
      <c r="F248" t="s">
        <v>3803</v>
      </c>
      <c r="G248" t="s">
        <v>3870</v>
      </c>
      <c r="H248" t="s">
        <v>3871</v>
      </c>
      <c r="I248" t="s">
        <v>3872</v>
      </c>
      <c r="J248" t="s">
        <v>3817</v>
      </c>
      <c r="K248" t="s">
        <v>3873</v>
      </c>
      <c r="L248" t="s">
        <v>3809</v>
      </c>
      <c r="M248">
        <v>798.66302490234375</v>
      </c>
      <c r="N248" t="s">
        <v>54</v>
      </c>
      <c r="O248" t="s">
        <v>53</v>
      </c>
      <c r="P248" t="s">
        <v>53</v>
      </c>
      <c r="Q248" t="s">
        <v>53</v>
      </c>
      <c r="R248" t="s">
        <v>53</v>
      </c>
      <c r="S248" t="s">
        <v>1160</v>
      </c>
      <c r="T248" t="s">
        <v>1160</v>
      </c>
      <c r="U248" t="s">
        <v>53</v>
      </c>
      <c r="V248" t="s">
        <v>138</v>
      </c>
      <c r="W248">
        <v>1334000</v>
      </c>
      <c r="X248" t="s">
        <v>54</v>
      </c>
      <c r="Y248" t="s">
        <v>3819</v>
      </c>
      <c r="Z248">
        <v>133400</v>
      </c>
      <c r="AA248">
        <v>109</v>
      </c>
      <c r="AB248">
        <v>69</v>
      </c>
      <c r="AC248">
        <v>8</v>
      </c>
      <c r="AD248">
        <v>47</v>
      </c>
      <c r="AE248">
        <v>49</v>
      </c>
      <c r="AF248">
        <v>0</v>
      </c>
      <c r="AG248">
        <v>0</v>
      </c>
      <c r="AH248">
        <v>13.037910461425779</v>
      </c>
      <c r="AJ248">
        <v>9748.66015625</v>
      </c>
      <c r="AK248" t="s">
        <v>54</v>
      </c>
      <c r="AL248" t="s">
        <v>54</v>
      </c>
      <c r="AQ248" t="s">
        <v>54</v>
      </c>
      <c r="AW248" t="s">
        <v>53</v>
      </c>
      <c r="AZ248" t="s">
        <v>54</v>
      </c>
      <c r="BA248" t="s">
        <v>3481</v>
      </c>
      <c r="BB248" s="15" t="s">
        <v>678</v>
      </c>
    </row>
    <row r="249" spans="1:54" x14ac:dyDescent="0.25">
      <c r="A249">
        <v>244</v>
      </c>
      <c r="B249" t="s">
        <v>3874</v>
      </c>
      <c r="C249" t="s">
        <v>3875</v>
      </c>
      <c r="D249" t="s">
        <v>3802</v>
      </c>
      <c r="E249">
        <v>3</v>
      </c>
      <c r="F249" t="s">
        <v>3803</v>
      </c>
      <c r="G249" t="s">
        <v>3876</v>
      </c>
      <c r="H249" t="s">
        <v>3877</v>
      </c>
      <c r="I249" t="s">
        <v>3878</v>
      </c>
      <c r="J249" t="s">
        <v>3817</v>
      </c>
      <c r="K249" t="s">
        <v>3879</v>
      </c>
      <c r="L249" t="s">
        <v>3809</v>
      </c>
      <c r="M249">
        <v>944.74517822265625</v>
      </c>
      <c r="N249" t="s">
        <v>54</v>
      </c>
      <c r="O249" t="s">
        <v>53</v>
      </c>
      <c r="P249" t="s">
        <v>53</v>
      </c>
      <c r="Q249" t="s">
        <v>53</v>
      </c>
      <c r="R249" t="s">
        <v>53</v>
      </c>
      <c r="S249" t="s">
        <v>3880</v>
      </c>
      <c r="T249" t="s">
        <v>3880</v>
      </c>
      <c r="U249" t="s">
        <v>53</v>
      </c>
      <c r="V249" t="s">
        <v>138</v>
      </c>
      <c r="W249">
        <v>1295000</v>
      </c>
      <c r="X249" t="s">
        <v>53</v>
      </c>
      <c r="Y249" t="s">
        <v>3811</v>
      </c>
      <c r="Z249">
        <v>0</v>
      </c>
      <c r="AA249">
        <v>2066</v>
      </c>
      <c r="AB249">
        <v>1602</v>
      </c>
      <c r="AC249">
        <v>2811</v>
      </c>
      <c r="AD249">
        <v>3375</v>
      </c>
      <c r="AE249">
        <v>5064</v>
      </c>
      <c r="AF249">
        <v>15</v>
      </c>
      <c r="AG249">
        <v>11</v>
      </c>
      <c r="AH249">
        <v>74.634658813476563</v>
      </c>
      <c r="AJ249">
        <v>40351.01953125</v>
      </c>
      <c r="AK249" t="s">
        <v>54</v>
      </c>
      <c r="AL249" t="s">
        <v>54</v>
      </c>
      <c r="AQ249" t="s">
        <v>54</v>
      </c>
      <c r="AW249" t="s">
        <v>54</v>
      </c>
      <c r="AZ249" t="s">
        <v>54</v>
      </c>
      <c r="BA249" t="s">
        <v>3481</v>
      </c>
      <c r="BB249" s="15" t="s">
        <v>678</v>
      </c>
    </row>
    <row r="250" spans="1:54" x14ac:dyDescent="0.25">
      <c r="A250">
        <v>245</v>
      </c>
      <c r="B250" t="s">
        <v>3881</v>
      </c>
      <c r="C250" t="s">
        <v>3882</v>
      </c>
      <c r="D250" t="s">
        <v>3802</v>
      </c>
      <c r="E250">
        <v>3</v>
      </c>
      <c r="F250" t="s">
        <v>3803</v>
      </c>
      <c r="G250" t="s">
        <v>3883</v>
      </c>
      <c r="H250" t="s">
        <v>3884</v>
      </c>
      <c r="I250" t="s">
        <v>3885</v>
      </c>
      <c r="J250" t="s">
        <v>3817</v>
      </c>
      <c r="K250" t="s">
        <v>3886</v>
      </c>
      <c r="L250" t="s">
        <v>3809</v>
      </c>
      <c r="M250">
        <v>981.712890625</v>
      </c>
      <c r="N250" t="s">
        <v>54</v>
      </c>
      <c r="O250" t="s">
        <v>53</v>
      </c>
      <c r="P250" t="s">
        <v>53</v>
      </c>
      <c r="Q250" t="s">
        <v>53</v>
      </c>
      <c r="R250" t="s">
        <v>53</v>
      </c>
      <c r="S250" t="s">
        <v>3887</v>
      </c>
      <c r="T250" t="s">
        <v>3887</v>
      </c>
      <c r="U250" t="s">
        <v>53</v>
      </c>
      <c r="V250" t="s">
        <v>138</v>
      </c>
      <c r="W250">
        <v>1272000</v>
      </c>
      <c r="X250" t="s">
        <v>54</v>
      </c>
      <c r="Y250" t="s">
        <v>3819</v>
      </c>
      <c r="Z250">
        <v>127200</v>
      </c>
      <c r="AA250">
        <v>127</v>
      </c>
      <c r="AB250">
        <v>83</v>
      </c>
      <c r="AC250">
        <v>47</v>
      </c>
      <c r="AD250">
        <v>93</v>
      </c>
      <c r="AE250">
        <v>109</v>
      </c>
      <c r="AF250">
        <v>0</v>
      </c>
      <c r="AG250">
        <v>1</v>
      </c>
      <c r="AH250">
        <v>24.096620559692379</v>
      </c>
      <c r="AJ250">
        <v>24894.73046875</v>
      </c>
      <c r="AK250" t="s">
        <v>54</v>
      </c>
      <c r="AL250" t="s">
        <v>54</v>
      </c>
      <c r="AQ250" t="s">
        <v>54</v>
      </c>
      <c r="AW250" t="s">
        <v>53</v>
      </c>
      <c r="AZ250" t="s">
        <v>54</v>
      </c>
      <c r="BA250" t="s">
        <v>3481</v>
      </c>
      <c r="BB250" s="15" t="s">
        <v>678</v>
      </c>
    </row>
    <row r="251" spans="1:54" x14ac:dyDescent="0.25">
      <c r="A251">
        <v>246</v>
      </c>
      <c r="B251" t="s">
        <v>3888</v>
      </c>
      <c r="C251" t="s">
        <v>3889</v>
      </c>
      <c r="D251" t="s">
        <v>3802</v>
      </c>
      <c r="E251">
        <v>3</v>
      </c>
      <c r="F251" t="s">
        <v>3803</v>
      </c>
      <c r="G251" t="s">
        <v>3890</v>
      </c>
      <c r="H251" t="s">
        <v>3891</v>
      </c>
      <c r="I251" t="s">
        <v>3892</v>
      </c>
      <c r="J251" t="s">
        <v>3817</v>
      </c>
      <c r="K251" t="s">
        <v>3893</v>
      </c>
      <c r="L251" t="s">
        <v>3809</v>
      </c>
      <c r="M251">
        <v>438.60983276367188</v>
      </c>
      <c r="N251" t="s">
        <v>54</v>
      </c>
      <c r="O251" t="s">
        <v>53</v>
      </c>
      <c r="P251" t="s">
        <v>53</v>
      </c>
      <c r="Q251" t="s">
        <v>53</v>
      </c>
      <c r="R251" t="s">
        <v>53</v>
      </c>
      <c r="S251" t="s">
        <v>3894</v>
      </c>
      <c r="T251" t="s">
        <v>3894</v>
      </c>
      <c r="U251" t="s">
        <v>53</v>
      </c>
      <c r="V251" t="s">
        <v>138</v>
      </c>
      <c r="W251">
        <v>539000</v>
      </c>
      <c r="X251" t="s">
        <v>54</v>
      </c>
      <c r="Y251" t="s">
        <v>3819</v>
      </c>
      <c r="Z251">
        <v>53900</v>
      </c>
      <c r="AA251">
        <v>0</v>
      </c>
      <c r="AB251">
        <v>0</v>
      </c>
      <c r="AC251">
        <v>0</v>
      </c>
      <c r="AD251">
        <v>0</v>
      </c>
      <c r="AE251">
        <v>0</v>
      </c>
      <c r="AF251">
        <v>0</v>
      </c>
      <c r="AG251">
        <v>0</v>
      </c>
      <c r="AH251">
        <v>0</v>
      </c>
      <c r="AJ251">
        <v>136.89039611816409</v>
      </c>
      <c r="AK251" t="s">
        <v>54</v>
      </c>
      <c r="AL251" t="s">
        <v>54</v>
      </c>
      <c r="AQ251" t="s">
        <v>54</v>
      </c>
      <c r="AW251" t="s">
        <v>53</v>
      </c>
      <c r="AZ251" t="s">
        <v>54</v>
      </c>
      <c r="BA251" t="s">
        <v>3481</v>
      </c>
      <c r="BB251" s="15" t="s">
        <v>678</v>
      </c>
    </row>
    <row r="252" spans="1:54" x14ac:dyDescent="0.25">
      <c r="A252">
        <v>247</v>
      </c>
      <c r="B252" t="s">
        <v>3895</v>
      </c>
      <c r="C252" t="s">
        <v>3896</v>
      </c>
      <c r="D252" t="s">
        <v>3802</v>
      </c>
      <c r="E252">
        <v>3</v>
      </c>
      <c r="F252" t="s">
        <v>3803</v>
      </c>
      <c r="G252" t="s">
        <v>3897</v>
      </c>
      <c r="H252" t="s">
        <v>3898</v>
      </c>
      <c r="I252" t="s">
        <v>3899</v>
      </c>
      <c r="J252" t="s">
        <v>3817</v>
      </c>
      <c r="K252" t="s">
        <v>3900</v>
      </c>
      <c r="L252" t="s">
        <v>3809</v>
      </c>
      <c r="M252">
        <v>1231.7548828125</v>
      </c>
      <c r="N252" t="s">
        <v>54</v>
      </c>
      <c r="O252" t="s">
        <v>53</v>
      </c>
      <c r="P252" t="s">
        <v>53</v>
      </c>
      <c r="Q252" t="s">
        <v>53</v>
      </c>
      <c r="R252" t="s">
        <v>53</v>
      </c>
      <c r="S252" t="s">
        <v>3901</v>
      </c>
      <c r="T252" t="s">
        <v>3901</v>
      </c>
      <c r="U252" t="s">
        <v>53</v>
      </c>
      <c r="V252" t="s">
        <v>138</v>
      </c>
      <c r="W252">
        <v>1809000</v>
      </c>
      <c r="X252" t="s">
        <v>54</v>
      </c>
      <c r="Y252" t="s">
        <v>3819</v>
      </c>
      <c r="Z252">
        <v>180900</v>
      </c>
      <c r="AA252">
        <v>290</v>
      </c>
      <c r="AB252">
        <v>192</v>
      </c>
      <c r="AC252">
        <v>130</v>
      </c>
      <c r="AD252">
        <v>259</v>
      </c>
      <c r="AE252">
        <v>321</v>
      </c>
      <c r="AF252">
        <v>5</v>
      </c>
      <c r="AG252">
        <v>18</v>
      </c>
      <c r="AH252">
        <v>110.1063995361328</v>
      </c>
      <c r="AJ252">
        <v>12612.349609375</v>
      </c>
      <c r="AK252" t="s">
        <v>54</v>
      </c>
      <c r="AL252" t="s">
        <v>54</v>
      </c>
      <c r="AQ252" t="s">
        <v>54</v>
      </c>
      <c r="AW252" t="s">
        <v>54</v>
      </c>
      <c r="AZ252" t="s">
        <v>54</v>
      </c>
      <c r="BA252" t="s">
        <v>3481</v>
      </c>
      <c r="BB252" s="15" t="s">
        <v>678</v>
      </c>
    </row>
    <row r="253" spans="1:54" x14ac:dyDescent="0.25">
      <c r="A253">
        <v>248</v>
      </c>
      <c r="B253" t="s">
        <v>3902</v>
      </c>
      <c r="C253" t="s">
        <v>3903</v>
      </c>
      <c r="D253" t="s">
        <v>3802</v>
      </c>
      <c r="E253">
        <v>3</v>
      </c>
      <c r="F253" t="s">
        <v>3803</v>
      </c>
      <c r="G253" t="s">
        <v>3904</v>
      </c>
      <c r="H253" t="s">
        <v>3905</v>
      </c>
      <c r="I253" t="s">
        <v>3906</v>
      </c>
      <c r="J253" t="s">
        <v>3817</v>
      </c>
      <c r="K253" t="s">
        <v>3907</v>
      </c>
      <c r="L253" t="s">
        <v>3809</v>
      </c>
      <c r="M253">
        <v>879.19091796875</v>
      </c>
      <c r="N253" t="s">
        <v>54</v>
      </c>
      <c r="O253" t="s">
        <v>53</v>
      </c>
      <c r="P253" t="s">
        <v>53</v>
      </c>
      <c r="Q253" t="s">
        <v>53</v>
      </c>
      <c r="R253" t="s">
        <v>53</v>
      </c>
      <c r="S253" t="s">
        <v>3908</v>
      </c>
      <c r="T253" t="s">
        <v>3908</v>
      </c>
      <c r="U253" t="s">
        <v>53</v>
      </c>
      <c r="V253" t="s">
        <v>138</v>
      </c>
      <c r="W253">
        <v>1064000</v>
      </c>
      <c r="X253" t="s">
        <v>54</v>
      </c>
      <c r="Y253" t="s">
        <v>3819</v>
      </c>
      <c r="Z253">
        <v>106400</v>
      </c>
      <c r="AA253">
        <v>27</v>
      </c>
      <c r="AB253">
        <v>16</v>
      </c>
      <c r="AC253">
        <v>1</v>
      </c>
      <c r="AD253">
        <v>7</v>
      </c>
      <c r="AE253">
        <v>7</v>
      </c>
      <c r="AF253">
        <v>0</v>
      </c>
      <c r="AG253">
        <v>0</v>
      </c>
      <c r="AH253">
        <v>3.9244170188903809</v>
      </c>
      <c r="AJ253">
        <v>2148.945068359375</v>
      </c>
      <c r="AK253" t="s">
        <v>54</v>
      </c>
      <c r="AL253" t="s">
        <v>54</v>
      </c>
      <c r="AQ253" t="s">
        <v>54</v>
      </c>
      <c r="AW253" t="s">
        <v>53</v>
      </c>
      <c r="AZ253" t="s">
        <v>54</v>
      </c>
      <c r="BA253" t="s">
        <v>3481</v>
      </c>
      <c r="BB253" s="15" t="s">
        <v>676</v>
      </c>
    </row>
    <row r="254" spans="1:54" x14ac:dyDescent="0.25">
      <c r="A254">
        <v>249</v>
      </c>
      <c r="B254" t="s">
        <v>3909</v>
      </c>
      <c r="C254" t="s">
        <v>3910</v>
      </c>
      <c r="D254" t="s">
        <v>3802</v>
      </c>
      <c r="E254">
        <v>3</v>
      </c>
      <c r="F254" t="s">
        <v>3803</v>
      </c>
      <c r="G254" t="s">
        <v>3911</v>
      </c>
      <c r="H254" t="s">
        <v>3912</v>
      </c>
      <c r="I254" t="s">
        <v>3913</v>
      </c>
      <c r="J254" t="s">
        <v>3817</v>
      </c>
      <c r="K254" t="s">
        <v>3914</v>
      </c>
      <c r="L254" t="s">
        <v>3809</v>
      </c>
      <c r="M254">
        <v>917.33319091796875</v>
      </c>
      <c r="N254" t="s">
        <v>54</v>
      </c>
      <c r="O254" t="s">
        <v>53</v>
      </c>
      <c r="P254" t="s">
        <v>53</v>
      </c>
      <c r="Q254" t="s">
        <v>53</v>
      </c>
      <c r="R254" t="s">
        <v>53</v>
      </c>
      <c r="S254" t="s">
        <v>3915</v>
      </c>
      <c r="T254" t="s">
        <v>3915</v>
      </c>
      <c r="U254" t="s">
        <v>53</v>
      </c>
      <c r="V254" t="s">
        <v>138</v>
      </c>
      <c r="W254">
        <v>1122000</v>
      </c>
      <c r="X254" t="s">
        <v>54</v>
      </c>
      <c r="Y254" t="s">
        <v>3819</v>
      </c>
      <c r="Z254">
        <v>112200</v>
      </c>
      <c r="AA254">
        <v>268</v>
      </c>
      <c r="AB254">
        <v>105</v>
      </c>
      <c r="AC254">
        <v>105</v>
      </c>
      <c r="AD254">
        <v>203</v>
      </c>
      <c r="AE254">
        <v>231</v>
      </c>
      <c r="AF254">
        <v>0</v>
      </c>
      <c r="AG254">
        <v>6</v>
      </c>
      <c r="AH254">
        <v>54.576850891113281</v>
      </c>
      <c r="AJ254">
        <v>33805.23828125</v>
      </c>
      <c r="AK254" t="s">
        <v>54</v>
      </c>
      <c r="AL254" t="s">
        <v>54</v>
      </c>
      <c r="AQ254" t="s">
        <v>54</v>
      </c>
      <c r="AW254" t="s">
        <v>54</v>
      </c>
      <c r="AZ254" t="s">
        <v>54</v>
      </c>
      <c r="BA254" t="s">
        <v>3481</v>
      </c>
      <c r="BB254" s="15" t="s">
        <v>678</v>
      </c>
    </row>
    <row r="255" spans="1:54" x14ac:dyDescent="0.25">
      <c r="A255">
        <v>250</v>
      </c>
      <c r="B255" t="s">
        <v>3916</v>
      </c>
      <c r="C255" t="s">
        <v>3917</v>
      </c>
      <c r="D255" t="s">
        <v>3802</v>
      </c>
      <c r="E255">
        <v>3</v>
      </c>
      <c r="F255" t="s">
        <v>3803</v>
      </c>
      <c r="G255" t="s">
        <v>3918</v>
      </c>
      <c r="H255" t="s">
        <v>3919</v>
      </c>
      <c r="I255" t="s">
        <v>3920</v>
      </c>
      <c r="J255" t="s">
        <v>3817</v>
      </c>
      <c r="K255" t="s">
        <v>3921</v>
      </c>
      <c r="L255" t="s">
        <v>3809</v>
      </c>
      <c r="M255">
        <v>730.85394287109375</v>
      </c>
      <c r="N255" t="s">
        <v>54</v>
      </c>
      <c r="O255" t="s">
        <v>53</v>
      </c>
      <c r="P255" t="s">
        <v>53</v>
      </c>
      <c r="Q255" t="s">
        <v>53</v>
      </c>
      <c r="R255" t="s">
        <v>53</v>
      </c>
      <c r="S255" t="s">
        <v>3922</v>
      </c>
      <c r="T255" t="s">
        <v>3922</v>
      </c>
      <c r="U255" t="s">
        <v>53</v>
      </c>
      <c r="V255" t="s">
        <v>138</v>
      </c>
      <c r="W255">
        <v>977000</v>
      </c>
      <c r="X255" t="s">
        <v>53</v>
      </c>
      <c r="Y255" t="s">
        <v>3811</v>
      </c>
      <c r="Z255">
        <v>0</v>
      </c>
      <c r="AA255">
        <v>1839</v>
      </c>
      <c r="AB255">
        <v>1544</v>
      </c>
      <c r="AC255">
        <v>2429</v>
      </c>
      <c r="AD255">
        <v>3590</v>
      </c>
      <c r="AE255">
        <v>4877</v>
      </c>
      <c r="AF255">
        <v>12</v>
      </c>
      <c r="AG255">
        <v>372</v>
      </c>
      <c r="AH255">
        <v>61.676521301269531</v>
      </c>
      <c r="AJ255">
        <v>13054.41015625</v>
      </c>
      <c r="AK255" t="s">
        <v>54</v>
      </c>
      <c r="AL255" t="s">
        <v>54</v>
      </c>
      <c r="AQ255" t="s">
        <v>54</v>
      </c>
      <c r="AW255" t="s">
        <v>54</v>
      </c>
      <c r="AZ255" t="s">
        <v>54</v>
      </c>
      <c r="BA255" t="s">
        <v>3481</v>
      </c>
      <c r="BB255" s="15" t="s">
        <v>678</v>
      </c>
    </row>
    <row r="256" spans="1:54" x14ac:dyDescent="0.25">
      <c r="A256">
        <v>251</v>
      </c>
      <c r="B256" t="s">
        <v>3923</v>
      </c>
      <c r="C256" t="s">
        <v>3924</v>
      </c>
      <c r="D256" t="s">
        <v>3802</v>
      </c>
      <c r="E256">
        <v>3</v>
      </c>
      <c r="F256" t="s">
        <v>3803</v>
      </c>
      <c r="G256" t="s">
        <v>3925</v>
      </c>
      <c r="H256" t="s">
        <v>3926</v>
      </c>
      <c r="I256" t="s">
        <v>3927</v>
      </c>
      <c r="J256" t="s">
        <v>3817</v>
      </c>
      <c r="K256" t="s">
        <v>3921</v>
      </c>
      <c r="L256" t="s">
        <v>3809</v>
      </c>
      <c r="M256">
        <v>804.4295654296875</v>
      </c>
      <c r="N256" t="s">
        <v>54</v>
      </c>
      <c r="O256" t="s">
        <v>53</v>
      </c>
      <c r="P256" t="s">
        <v>53</v>
      </c>
      <c r="Q256" t="s">
        <v>53</v>
      </c>
      <c r="R256" t="s">
        <v>53</v>
      </c>
      <c r="S256" t="s">
        <v>3928</v>
      </c>
      <c r="T256" t="s">
        <v>3928</v>
      </c>
      <c r="U256" t="s">
        <v>53</v>
      </c>
      <c r="V256" t="s">
        <v>138</v>
      </c>
      <c r="W256">
        <v>985000</v>
      </c>
      <c r="X256" t="s">
        <v>54</v>
      </c>
      <c r="Y256" t="s">
        <v>3819</v>
      </c>
      <c r="Z256">
        <v>98500</v>
      </c>
      <c r="AA256">
        <v>2086</v>
      </c>
      <c r="AB256">
        <v>1672</v>
      </c>
      <c r="AC256">
        <v>1447</v>
      </c>
      <c r="AD256">
        <v>3820</v>
      </c>
      <c r="AE256">
        <v>4193</v>
      </c>
      <c r="AF256">
        <v>13</v>
      </c>
      <c r="AG256">
        <v>16</v>
      </c>
      <c r="AH256">
        <v>148.13270568847659</v>
      </c>
      <c r="AJ256">
        <v>88118.046875</v>
      </c>
      <c r="AK256" t="s">
        <v>54</v>
      </c>
      <c r="AL256" t="s">
        <v>54</v>
      </c>
      <c r="AQ256" t="s">
        <v>54</v>
      </c>
      <c r="AW256" t="s">
        <v>54</v>
      </c>
      <c r="AZ256" t="s">
        <v>54</v>
      </c>
      <c r="BA256" t="s">
        <v>3481</v>
      </c>
      <c r="BB256" s="15" t="s">
        <v>676</v>
      </c>
    </row>
    <row r="257" spans="1:54" x14ac:dyDescent="0.25">
      <c r="A257">
        <v>252</v>
      </c>
      <c r="B257" t="s">
        <v>3929</v>
      </c>
      <c r="C257" t="s">
        <v>3930</v>
      </c>
      <c r="D257" t="s">
        <v>3802</v>
      </c>
      <c r="E257">
        <v>3</v>
      </c>
      <c r="F257" t="s">
        <v>3803</v>
      </c>
      <c r="G257" t="s">
        <v>3931</v>
      </c>
      <c r="H257" t="s">
        <v>3932</v>
      </c>
      <c r="I257" t="s">
        <v>3933</v>
      </c>
      <c r="J257" t="s">
        <v>3817</v>
      </c>
      <c r="K257" t="s">
        <v>3934</v>
      </c>
      <c r="L257" t="s">
        <v>3809</v>
      </c>
      <c r="M257">
        <v>1075.8515625</v>
      </c>
      <c r="N257" t="s">
        <v>54</v>
      </c>
      <c r="O257" t="s">
        <v>53</v>
      </c>
      <c r="P257" t="s">
        <v>53</v>
      </c>
      <c r="Q257" t="s">
        <v>53</v>
      </c>
      <c r="R257" t="s">
        <v>53</v>
      </c>
      <c r="S257" t="s">
        <v>3935</v>
      </c>
      <c r="T257" t="s">
        <v>3935</v>
      </c>
      <c r="U257" t="s">
        <v>53</v>
      </c>
      <c r="V257" t="s">
        <v>138</v>
      </c>
      <c r="W257">
        <v>1503000</v>
      </c>
      <c r="X257" t="s">
        <v>54</v>
      </c>
      <c r="Y257" t="s">
        <v>3819</v>
      </c>
      <c r="Z257">
        <v>150300</v>
      </c>
      <c r="AA257">
        <v>50</v>
      </c>
      <c r="AB257">
        <v>43</v>
      </c>
      <c r="AC257">
        <v>10</v>
      </c>
      <c r="AD257">
        <v>40</v>
      </c>
      <c r="AE257">
        <v>40</v>
      </c>
      <c r="AF257">
        <v>6</v>
      </c>
      <c r="AG257">
        <v>5</v>
      </c>
      <c r="AH257">
        <v>99.558799743652344</v>
      </c>
      <c r="AJ257">
        <v>2040.316040039062</v>
      </c>
      <c r="AK257" t="s">
        <v>54</v>
      </c>
      <c r="AL257" t="s">
        <v>54</v>
      </c>
      <c r="AQ257" t="s">
        <v>54</v>
      </c>
      <c r="AW257" t="s">
        <v>54</v>
      </c>
      <c r="AZ257" t="s">
        <v>54</v>
      </c>
      <c r="BA257" t="s">
        <v>3481</v>
      </c>
      <c r="BB257" s="15" t="s">
        <v>676</v>
      </c>
    </row>
    <row r="258" spans="1:54" x14ac:dyDescent="0.25">
      <c r="A258">
        <v>253</v>
      </c>
      <c r="B258" t="s">
        <v>3936</v>
      </c>
      <c r="C258" t="s">
        <v>3937</v>
      </c>
      <c r="D258" t="s">
        <v>3802</v>
      </c>
      <c r="E258">
        <v>3</v>
      </c>
      <c r="F258" t="s">
        <v>3803</v>
      </c>
      <c r="G258" t="s">
        <v>3938</v>
      </c>
      <c r="H258" t="s">
        <v>3939</v>
      </c>
      <c r="I258" t="s">
        <v>3940</v>
      </c>
      <c r="J258" t="s">
        <v>3817</v>
      </c>
      <c r="K258" t="s">
        <v>3941</v>
      </c>
      <c r="L258" t="s">
        <v>3809</v>
      </c>
      <c r="M258">
        <v>1169.4541015625</v>
      </c>
      <c r="N258" t="s">
        <v>54</v>
      </c>
      <c r="O258" t="s">
        <v>53</v>
      </c>
      <c r="P258" t="s">
        <v>53</v>
      </c>
      <c r="Q258" t="s">
        <v>53</v>
      </c>
      <c r="R258" t="s">
        <v>53</v>
      </c>
      <c r="S258" t="s">
        <v>1064</v>
      </c>
      <c r="T258" t="s">
        <v>1064</v>
      </c>
      <c r="U258" t="s">
        <v>53</v>
      </c>
      <c r="V258" t="s">
        <v>138</v>
      </c>
      <c r="W258">
        <v>1214000</v>
      </c>
      <c r="X258" t="s">
        <v>54</v>
      </c>
      <c r="Y258" t="s">
        <v>3819</v>
      </c>
      <c r="Z258">
        <v>121400</v>
      </c>
      <c r="AA258">
        <v>8682</v>
      </c>
      <c r="AB258">
        <v>8049</v>
      </c>
      <c r="AC258">
        <v>4876</v>
      </c>
      <c r="AD258">
        <v>11291</v>
      </c>
      <c r="AE258">
        <v>12221</v>
      </c>
      <c r="AF258">
        <v>87</v>
      </c>
      <c r="AG258">
        <v>6</v>
      </c>
      <c r="AH258">
        <v>256.54928588867188</v>
      </c>
      <c r="AJ258">
        <v>48897.01171875</v>
      </c>
      <c r="AK258" t="s">
        <v>54</v>
      </c>
      <c r="AL258" t="s">
        <v>54</v>
      </c>
      <c r="AQ258" t="s">
        <v>54</v>
      </c>
      <c r="AW258" t="s">
        <v>54</v>
      </c>
      <c r="AZ258" t="s">
        <v>54</v>
      </c>
      <c r="BA258" t="s">
        <v>3481</v>
      </c>
      <c r="BB258" s="15" t="s">
        <v>676</v>
      </c>
    </row>
    <row r="259" spans="1:54" x14ac:dyDescent="0.25">
      <c r="A259">
        <v>254</v>
      </c>
      <c r="B259" t="s">
        <v>3942</v>
      </c>
      <c r="C259" t="s">
        <v>3943</v>
      </c>
      <c r="D259" t="s">
        <v>3802</v>
      </c>
      <c r="E259">
        <v>3</v>
      </c>
      <c r="F259" t="s">
        <v>3803</v>
      </c>
      <c r="G259" t="s">
        <v>3944</v>
      </c>
      <c r="H259" t="s">
        <v>3945</v>
      </c>
      <c r="I259" t="s">
        <v>3946</v>
      </c>
      <c r="J259" t="s">
        <v>3817</v>
      </c>
      <c r="K259" t="s">
        <v>3947</v>
      </c>
      <c r="L259" t="s">
        <v>3809</v>
      </c>
      <c r="M259">
        <v>928.87835693359375</v>
      </c>
      <c r="N259" t="s">
        <v>54</v>
      </c>
      <c r="O259" t="s">
        <v>53</v>
      </c>
      <c r="P259" t="s">
        <v>53</v>
      </c>
      <c r="Q259" t="s">
        <v>53</v>
      </c>
      <c r="R259" t="s">
        <v>53</v>
      </c>
      <c r="S259" t="s">
        <v>3948</v>
      </c>
      <c r="T259" t="s">
        <v>3948</v>
      </c>
      <c r="U259" t="s">
        <v>53</v>
      </c>
      <c r="V259" t="s">
        <v>138</v>
      </c>
      <c r="W259">
        <v>1272000</v>
      </c>
      <c r="X259" t="s">
        <v>54</v>
      </c>
      <c r="Y259" t="s">
        <v>3819</v>
      </c>
      <c r="Z259">
        <v>127200</v>
      </c>
      <c r="AA259">
        <v>62</v>
      </c>
      <c r="AB259">
        <v>33</v>
      </c>
      <c r="AC259">
        <v>24</v>
      </c>
      <c r="AD259">
        <v>53</v>
      </c>
      <c r="AE259">
        <v>53</v>
      </c>
      <c r="AF259">
        <v>1</v>
      </c>
      <c r="AG259">
        <v>3</v>
      </c>
      <c r="AH259">
        <v>12.87607002258301</v>
      </c>
      <c r="AJ259">
        <v>10683.740234375</v>
      </c>
      <c r="AK259" t="s">
        <v>54</v>
      </c>
      <c r="AL259" t="s">
        <v>54</v>
      </c>
      <c r="AQ259" t="s">
        <v>54</v>
      </c>
      <c r="AW259" t="s">
        <v>54</v>
      </c>
      <c r="AZ259" t="s">
        <v>54</v>
      </c>
      <c r="BA259" t="s">
        <v>3481</v>
      </c>
      <c r="BB259" s="15" t="s">
        <v>678</v>
      </c>
    </row>
    <row r="260" spans="1:54" x14ac:dyDescent="0.25">
      <c r="A260">
        <v>255</v>
      </c>
      <c r="B260" t="s">
        <v>3949</v>
      </c>
      <c r="C260" t="s">
        <v>3950</v>
      </c>
      <c r="D260" t="s">
        <v>3802</v>
      </c>
      <c r="E260">
        <v>3</v>
      </c>
      <c r="F260" t="s">
        <v>3803</v>
      </c>
      <c r="G260" t="s">
        <v>3951</v>
      </c>
      <c r="H260" t="s">
        <v>3952</v>
      </c>
      <c r="I260" t="s">
        <v>3953</v>
      </c>
      <c r="J260" t="s">
        <v>3817</v>
      </c>
      <c r="K260" t="s">
        <v>3954</v>
      </c>
      <c r="L260" t="s">
        <v>3809</v>
      </c>
      <c r="M260">
        <v>469.95242309570313</v>
      </c>
      <c r="N260" t="s">
        <v>54</v>
      </c>
      <c r="O260" t="s">
        <v>53</v>
      </c>
      <c r="P260" t="s">
        <v>53</v>
      </c>
      <c r="Q260" t="s">
        <v>53</v>
      </c>
      <c r="R260" t="s">
        <v>53</v>
      </c>
      <c r="S260" t="s">
        <v>3955</v>
      </c>
      <c r="T260" t="s">
        <v>3955</v>
      </c>
      <c r="U260" t="s">
        <v>53</v>
      </c>
      <c r="V260" t="s">
        <v>138</v>
      </c>
      <c r="W260">
        <v>724000</v>
      </c>
      <c r="X260" t="s">
        <v>53</v>
      </c>
      <c r="Y260" t="s">
        <v>3811</v>
      </c>
      <c r="Z260">
        <v>0</v>
      </c>
      <c r="AA260">
        <v>409</v>
      </c>
      <c r="AB260">
        <v>345</v>
      </c>
      <c r="AC260">
        <v>138</v>
      </c>
      <c r="AD260">
        <v>278</v>
      </c>
      <c r="AE260">
        <v>327</v>
      </c>
      <c r="AF260">
        <v>7</v>
      </c>
      <c r="AG260">
        <v>1</v>
      </c>
      <c r="AH260">
        <v>58.397178649902337</v>
      </c>
      <c r="AJ260">
        <v>45093.890625</v>
      </c>
      <c r="AK260" t="s">
        <v>54</v>
      </c>
      <c r="AL260" t="s">
        <v>54</v>
      </c>
      <c r="AQ260" t="s">
        <v>54</v>
      </c>
      <c r="AW260" t="s">
        <v>54</v>
      </c>
      <c r="AZ260" t="s">
        <v>54</v>
      </c>
      <c r="BA260" t="s">
        <v>3481</v>
      </c>
      <c r="BB260" s="15" t="s">
        <v>678</v>
      </c>
    </row>
    <row r="261" spans="1:54" x14ac:dyDescent="0.25">
      <c r="A261">
        <v>256</v>
      </c>
      <c r="B261" t="s">
        <v>3956</v>
      </c>
      <c r="C261" t="s">
        <v>3957</v>
      </c>
      <c r="D261" t="s">
        <v>3802</v>
      </c>
      <c r="E261">
        <v>3</v>
      </c>
      <c r="F261" t="s">
        <v>3803</v>
      </c>
      <c r="G261" t="s">
        <v>3958</v>
      </c>
      <c r="H261" t="s">
        <v>3959</v>
      </c>
      <c r="I261" t="s">
        <v>3960</v>
      </c>
      <c r="J261" t="s">
        <v>3817</v>
      </c>
      <c r="K261" t="s">
        <v>3961</v>
      </c>
      <c r="L261" t="s">
        <v>3809</v>
      </c>
      <c r="M261">
        <v>933.20159912109375</v>
      </c>
      <c r="N261" t="s">
        <v>54</v>
      </c>
      <c r="O261" t="s">
        <v>53</v>
      </c>
      <c r="P261" t="s">
        <v>53</v>
      </c>
      <c r="Q261" t="s">
        <v>53</v>
      </c>
      <c r="R261" t="s">
        <v>53</v>
      </c>
      <c r="S261" t="s">
        <v>2987</v>
      </c>
      <c r="T261" t="s">
        <v>2987</v>
      </c>
      <c r="U261" t="s">
        <v>53</v>
      </c>
      <c r="V261" t="s">
        <v>138</v>
      </c>
      <c r="W261">
        <v>1203000</v>
      </c>
      <c r="X261" t="s">
        <v>54</v>
      </c>
      <c r="Y261" t="s">
        <v>3819</v>
      </c>
      <c r="Z261">
        <v>120300</v>
      </c>
      <c r="AA261">
        <v>37</v>
      </c>
      <c r="AB261">
        <v>12</v>
      </c>
      <c r="AC261">
        <v>5</v>
      </c>
      <c r="AD261">
        <v>19</v>
      </c>
      <c r="AE261">
        <v>19</v>
      </c>
      <c r="AF261">
        <v>0</v>
      </c>
      <c r="AG261">
        <v>3</v>
      </c>
      <c r="AH261">
        <v>56.769439697265618</v>
      </c>
      <c r="AJ261">
        <v>3015.096923828125</v>
      </c>
      <c r="AK261" t="s">
        <v>54</v>
      </c>
      <c r="AL261" t="s">
        <v>54</v>
      </c>
      <c r="AQ261" t="s">
        <v>54</v>
      </c>
      <c r="AW261" t="s">
        <v>54</v>
      </c>
      <c r="AZ261" t="s">
        <v>54</v>
      </c>
      <c r="BA261" t="s">
        <v>3481</v>
      </c>
      <c r="BB261" s="15" t="s">
        <v>676</v>
      </c>
    </row>
    <row r="262" spans="1:54" x14ac:dyDescent="0.25">
      <c r="A262">
        <v>257</v>
      </c>
      <c r="B262" t="s">
        <v>3962</v>
      </c>
      <c r="C262" t="s">
        <v>3963</v>
      </c>
      <c r="D262" t="s">
        <v>3802</v>
      </c>
      <c r="E262">
        <v>3</v>
      </c>
      <c r="F262" t="s">
        <v>3803</v>
      </c>
      <c r="G262" t="s">
        <v>3964</v>
      </c>
      <c r="H262" t="s">
        <v>3965</v>
      </c>
      <c r="I262" t="s">
        <v>3966</v>
      </c>
      <c r="J262" t="s">
        <v>3817</v>
      </c>
      <c r="K262" t="s">
        <v>3961</v>
      </c>
      <c r="L262" t="s">
        <v>3809</v>
      </c>
      <c r="M262">
        <v>1081.277709960938</v>
      </c>
      <c r="N262" t="s">
        <v>54</v>
      </c>
      <c r="O262" t="s">
        <v>53</v>
      </c>
      <c r="P262" t="s">
        <v>53</v>
      </c>
      <c r="Q262" t="s">
        <v>53</v>
      </c>
      <c r="R262" t="s">
        <v>53</v>
      </c>
      <c r="S262" t="s">
        <v>3967</v>
      </c>
      <c r="T262" t="s">
        <v>3967</v>
      </c>
      <c r="U262" t="s">
        <v>53</v>
      </c>
      <c r="V262" t="s">
        <v>138</v>
      </c>
      <c r="W262">
        <v>1482000</v>
      </c>
      <c r="X262" t="s">
        <v>54</v>
      </c>
      <c r="Y262" t="s">
        <v>3819</v>
      </c>
      <c r="Z262">
        <v>148200</v>
      </c>
      <c r="AA262">
        <v>1759</v>
      </c>
      <c r="AB262">
        <v>995</v>
      </c>
      <c r="AC262">
        <v>886</v>
      </c>
      <c r="AD262">
        <v>2363</v>
      </c>
      <c r="AE262">
        <v>2576</v>
      </c>
      <c r="AF262">
        <v>11</v>
      </c>
      <c r="AG262">
        <v>64</v>
      </c>
      <c r="AH262">
        <v>211.1390075683594</v>
      </c>
      <c r="AJ262">
        <v>106570.296875</v>
      </c>
      <c r="AK262" t="s">
        <v>54</v>
      </c>
      <c r="AL262" t="s">
        <v>54</v>
      </c>
      <c r="AQ262" t="s">
        <v>54</v>
      </c>
      <c r="AW262" t="s">
        <v>54</v>
      </c>
      <c r="AZ262" t="s">
        <v>54</v>
      </c>
      <c r="BA262" t="s">
        <v>3481</v>
      </c>
      <c r="BB262" s="15" t="s">
        <v>676</v>
      </c>
    </row>
    <row r="263" spans="1:54" x14ac:dyDescent="0.25">
      <c r="A263">
        <v>258</v>
      </c>
      <c r="B263" t="s">
        <v>3968</v>
      </c>
      <c r="C263" t="s">
        <v>3969</v>
      </c>
      <c r="D263" t="s">
        <v>3802</v>
      </c>
      <c r="E263">
        <v>3</v>
      </c>
      <c r="F263" t="s">
        <v>3803</v>
      </c>
      <c r="G263" t="s">
        <v>3970</v>
      </c>
      <c r="H263" t="s">
        <v>3971</v>
      </c>
      <c r="I263" t="s">
        <v>3972</v>
      </c>
      <c r="J263" t="s">
        <v>3817</v>
      </c>
      <c r="K263" t="s">
        <v>3973</v>
      </c>
      <c r="L263" t="s">
        <v>3809</v>
      </c>
      <c r="M263">
        <v>902.80267333984375</v>
      </c>
      <c r="N263" t="s">
        <v>54</v>
      </c>
      <c r="O263" t="s">
        <v>53</v>
      </c>
      <c r="P263" t="s">
        <v>53</v>
      </c>
      <c r="Q263" t="s">
        <v>53</v>
      </c>
      <c r="R263" t="s">
        <v>53</v>
      </c>
      <c r="S263" t="s">
        <v>3974</v>
      </c>
      <c r="T263" t="s">
        <v>3974</v>
      </c>
      <c r="U263" t="s">
        <v>53</v>
      </c>
      <c r="V263" t="s">
        <v>138</v>
      </c>
      <c r="W263">
        <v>1144000</v>
      </c>
      <c r="X263" t="s">
        <v>53</v>
      </c>
      <c r="Y263" t="s">
        <v>3811</v>
      </c>
      <c r="Z263">
        <v>0</v>
      </c>
      <c r="AA263">
        <v>1953</v>
      </c>
      <c r="AB263">
        <v>1485</v>
      </c>
      <c r="AC263">
        <v>4344</v>
      </c>
      <c r="AD263">
        <v>3576</v>
      </c>
      <c r="AE263">
        <v>6748</v>
      </c>
      <c r="AF263">
        <v>18</v>
      </c>
      <c r="AG263">
        <v>22</v>
      </c>
      <c r="AH263">
        <v>60.730381011962891</v>
      </c>
      <c r="AJ263">
        <v>25497.33984375</v>
      </c>
      <c r="AK263" t="s">
        <v>54</v>
      </c>
      <c r="AL263" t="s">
        <v>54</v>
      </c>
      <c r="AQ263" t="s">
        <v>54</v>
      </c>
      <c r="AW263" t="s">
        <v>54</v>
      </c>
      <c r="AZ263" t="s">
        <v>54</v>
      </c>
      <c r="BA263" t="s">
        <v>3481</v>
      </c>
      <c r="BB263" s="15" t="s">
        <v>678</v>
      </c>
    </row>
    <row r="264" spans="1:54" x14ac:dyDescent="0.25">
      <c r="A264">
        <v>259</v>
      </c>
      <c r="B264" t="s">
        <v>3975</v>
      </c>
      <c r="C264" t="s">
        <v>3976</v>
      </c>
      <c r="D264" t="s">
        <v>3802</v>
      </c>
      <c r="E264">
        <v>3</v>
      </c>
      <c r="F264" t="s">
        <v>3803</v>
      </c>
      <c r="G264" t="s">
        <v>3977</v>
      </c>
      <c r="H264" t="s">
        <v>3978</v>
      </c>
      <c r="I264" t="s">
        <v>3979</v>
      </c>
      <c r="J264" t="s">
        <v>3817</v>
      </c>
      <c r="K264" t="s">
        <v>3980</v>
      </c>
      <c r="L264" t="s">
        <v>3809</v>
      </c>
      <c r="M264">
        <v>1105.57470703125</v>
      </c>
      <c r="N264" t="s">
        <v>54</v>
      </c>
      <c r="O264" t="s">
        <v>53</v>
      </c>
      <c r="P264" t="s">
        <v>53</v>
      </c>
      <c r="Q264" t="s">
        <v>53</v>
      </c>
      <c r="R264" t="s">
        <v>53</v>
      </c>
      <c r="S264" t="s">
        <v>3981</v>
      </c>
      <c r="T264" t="s">
        <v>3981</v>
      </c>
      <c r="U264" t="s">
        <v>53</v>
      </c>
      <c r="V264" t="s">
        <v>138</v>
      </c>
      <c r="W264">
        <v>1560000</v>
      </c>
      <c r="X264" t="s">
        <v>54</v>
      </c>
      <c r="Y264" t="s">
        <v>3982</v>
      </c>
      <c r="Z264">
        <v>312000</v>
      </c>
      <c r="AA264">
        <v>3485</v>
      </c>
      <c r="AB264">
        <v>3119</v>
      </c>
      <c r="AC264">
        <v>2344</v>
      </c>
      <c r="AD264">
        <v>5004</v>
      </c>
      <c r="AE264">
        <v>5167</v>
      </c>
      <c r="AF264">
        <v>31</v>
      </c>
      <c r="AG264">
        <v>3</v>
      </c>
      <c r="AH264">
        <v>92.367301940917969</v>
      </c>
      <c r="AJ264">
        <v>15993.650390625</v>
      </c>
      <c r="AK264" t="s">
        <v>54</v>
      </c>
      <c r="AL264" t="s">
        <v>54</v>
      </c>
      <c r="AQ264" t="s">
        <v>54</v>
      </c>
      <c r="AW264" t="s">
        <v>54</v>
      </c>
      <c r="AZ264" t="s">
        <v>54</v>
      </c>
      <c r="BA264" t="s">
        <v>3481</v>
      </c>
      <c r="BB264" s="15" t="s">
        <v>678</v>
      </c>
    </row>
    <row r="265" spans="1:54" x14ac:dyDescent="0.25">
      <c r="A265">
        <v>260</v>
      </c>
      <c r="B265" t="s">
        <v>3983</v>
      </c>
      <c r="C265" t="s">
        <v>3984</v>
      </c>
      <c r="D265" t="s">
        <v>3802</v>
      </c>
      <c r="E265">
        <v>3</v>
      </c>
      <c r="F265" t="s">
        <v>3803</v>
      </c>
      <c r="G265" t="s">
        <v>3985</v>
      </c>
      <c r="H265" t="s">
        <v>3986</v>
      </c>
      <c r="I265" t="s">
        <v>3987</v>
      </c>
      <c r="J265" t="s">
        <v>3988</v>
      </c>
      <c r="K265" t="s">
        <v>3989</v>
      </c>
      <c r="L265" t="s">
        <v>3809</v>
      </c>
      <c r="M265">
        <v>148.03938293457031</v>
      </c>
      <c r="N265" t="s">
        <v>54</v>
      </c>
      <c r="O265" t="s">
        <v>53</v>
      </c>
      <c r="P265" t="s">
        <v>53</v>
      </c>
      <c r="Q265" t="s">
        <v>53</v>
      </c>
      <c r="R265" t="s">
        <v>53</v>
      </c>
      <c r="S265" t="s">
        <v>3990</v>
      </c>
      <c r="T265" t="s">
        <v>3990</v>
      </c>
      <c r="U265" t="s">
        <v>53</v>
      </c>
      <c r="V265" t="s">
        <v>138</v>
      </c>
      <c r="W265">
        <v>252000</v>
      </c>
      <c r="X265" t="s">
        <v>54</v>
      </c>
      <c r="Y265" t="s">
        <v>3819</v>
      </c>
      <c r="Z265">
        <v>25200</v>
      </c>
      <c r="AA265">
        <v>411</v>
      </c>
      <c r="AB265">
        <v>371</v>
      </c>
      <c r="AC265">
        <v>690</v>
      </c>
      <c r="AD265">
        <v>1183</v>
      </c>
      <c r="AE265">
        <v>1553</v>
      </c>
      <c r="AF265">
        <v>3</v>
      </c>
      <c r="AG265">
        <v>15</v>
      </c>
      <c r="AH265">
        <v>33.762531280517578</v>
      </c>
      <c r="AJ265">
        <v>4484.98876953125</v>
      </c>
      <c r="AK265" t="s">
        <v>54</v>
      </c>
      <c r="AL265" t="s">
        <v>54</v>
      </c>
      <c r="AQ265" t="s">
        <v>54</v>
      </c>
      <c r="AW265" t="s">
        <v>54</v>
      </c>
      <c r="AZ265" t="s">
        <v>54</v>
      </c>
      <c r="BA265" t="s">
        <v>3481</v>
      </c>
      <c r="BB265" s="15" t="s">
        <v>678</v>
      </c>
    </row>
    <row r="266" spans="1:54" x14ac:dyDescent="0.25">
      <c r="A266">
        <v>261</v>
      </c>
      <c r="B266" t="s">
        <v>3991</v>
      </c>
      <c r="C266" t="s">
        <v>3992</v>
      </c>
      <c r="D266" t="s">
        <v>3802</v>
      </c>
      <c r="E266">
        <v>3</v>
      </c>
      <c r="F266" t="s">
        <v>3803</v>
      </c>
      <c r="G266" t="s">
        <v>3993</v>
      </c>
      <c r="H266" t="s">
        <v>3994</v>
      </c>
      <c r="I266" t="s">
        <v>3995</v>
      </c>
      <c r="J266" t="s">
        <v>3988</v>
      </c>
      <c r="K266" t="s">
        <v>3996</v>
      </c>
      <c r="L266" t="s">
        <v>3809</v>
      </c>
      <c r="M266">
        <v>625.519775390625</v>
      </c>
      <c r="N266" t="s">
        <v>54</v>
      </c>
      <c r="O266" t="s">
        <v>53</v>
      </c>
      <c r="P266" t="s">
        <v>53</v>
      </c>
      <c r="Q266" t="s">
        <v>53</v>
      </c>
      <c r="R266" t="s">
        <v>53</v>
      </c>
      <c r="S266" t="s">
        <v>1855</v>
      </c>
      <c r="T266" t="s">
        <v>1855</v>
      </c>
      <c r="U266" t="s">
        <v>53</v>
      </c>
      <c r="V266" t="s">
        <v>138</v>
      </c>
      <c r="W266">
        <v>907000</v>
      </c>
      <c r="X266" t="s">
        <v>54</v>
      </c>
      <c r="Y266" t="s">
        <v>3819</v>
      </c>
      <c r="Z266">
        <v>90700</v>
      </c>
      <c r="AA266">
        <v>2637</v>
      </c>
      <c r="AB266">
        <v>2505</v>
      </c>
      <c r="AC266">
        <v>1768</v>
      </c>
      <c r="AD266">
        <v>2715</v>
      </c>
      <c r="AE266">
        <v>3161</v>
      </c>
      <c r="AF266">
        <v>13</v>
      </c>
      <c r="AG266">
        <v>0</v>
      </c>
      <c r="AH266">
        <v>82.528526306152344</v>
      </c>
      <c r="AJ266">
        <v>11298.66015625</v>
      </c>
      <c r="AK266" t="s">
        <v>54</v>
      </c>
      <c r="AL266" t="s">
        <v>54</v>
      </c>
      <c r="AQ266" t="s">
        <v>54</v>
      </c>
      <c r="AW266" t="s">
        <v>54</v>
      </c>
      <c r="AZ266" t="s">
        <v>54</v>
      </c>
      <c r="BA266" t="s">
        <v>3481</v>
      </c>
      <c r="BB266" s="15" t="s">
        <v>678</v>
      </c>
    </row>
    <row r="267" spans="1:54" x14ac:dyDescent="0.25">
      <c r="A267">
        <v>262</v>
      </c>
      <c r="B267" t="s">
        <v>3997</v>
      </c>
      <c r="C267" t="s">
        <v>3998</v>
      </c>
      <c r="D267" t="s">
        <v>3802</v>
      </c>
      <c r="E267">
        <v>3</v>
      </c>
      <c r="F267" t="s">
        <v>3803</v>
      </c>
      <c r="G267" t="s">
        <v>3999</v>
      </c>
      <c r="H267" t="s">
        <v>4000</v>
      </c>
      <c r="I267" t="s">
        <v>4001</v>
      </c>
      <c r="J267" t="s">
        <v>3988</v>
      </c>
      <c r="K267" t="s">
        <v>4002</v>
      </c>
      <c r="L267" t="s">
        <v>3809</v>
      </c>
      <c r="M267">
        <v>709.82733154296875</v>
      </c>
      <c r="N267" t="s">
        <v>54</v>
      </c>
      <c r="O267" t="s">
        <v>53</v>
      </c>
      <c r="P267" t="s">
        <v>53</v>
      </c>
      <c r="Q267" t="s">
        <v>53</v>
      </c>
      <c r="R267" t="s">
        <v>53</v>
      </c>
      <c r="S267" t="s">
        <v>4003</v>
      </c>
      <c r="T267" t="s">
        <v>4003</v>
      </c>
      <c r="U267" t="s">
        <v>53</v>
      </c>
      <c r="V267" t="s">
        <v>138</v>
      </c>
      <c r="W267">
        <v>989000</v>
      </c>
      <c r="X267" t="s">
        <v>54</v>
      </c>
      <c r="Y267" t="s">
        <v>3819</v>
      </c>
      <c r="Z267">
        <v>98900</v>
      </c>
      <c r="AA267">
        <v>1312</v>
      </c>
      <c r="AB267">
        <v>1128</v>
      </c>
      <c r="AC267">
        <v>1005</v>
      </c>
      <c r="AD267">
        <v>1845</v>
      </c>
      <c r="AE267">
        <v>1895</v>
      </c>
      <c r="AF267">
        <v>11</v>
      </c>
      <c r="AG267">
        <v>1</v>
      </c>
      <c r="AH267">
        <v>53.7747802734375</v>
      </c>
      <c r="AJ267">
        <v>9960.1728515625</v>
      </c>
      <c r="AK267" t="s">
        <v>54</v>
      </c>
      <c r="AL267" t="s">
        <v>54</v>
      </c>
      <c r="AQ267" t="s">
        <v>54</v>
      </c>
      <c r="AW267" t="s">
        <v>53</v>
      </c>
      <c r="AZ267" t="s">
        <v>54</v>
      </c>
      <c r="BA267" t="s">
        <v>3481</v>
      </c>
      <c r="BB267" s="15" t="s">
        <v>678</v>
      </c>
    </row>
    <row r="268" spans="1:54" x14ac:dyDescent="0.25">
      <c r="A268">
        <v>263</v>
      </c>
      <c r="B268" t="s">
        <v>4004</v>
      </c>
      <c r="C268" t="s">
        <v>4005</v>
      </c>
      <c r="D268" t="s">
        <v>3802</v>
      </c>
      <c r="E268">
        <v>3</v>
      </c>
      <c r="F268" t="s">
        <v>3803</v>
      </c>
      <c r="G268" t="s">
        <v>4006</v>
      </c>
      <c r="H268" t="s">
        <v>4007</v>
      </c>
      <c r="I268" t="s">
        <v>4008</v>
      </c>
      <c r="J268" t="s">
        <v>3988</v>
      </c>
      <c r="K268" t="s">
        <v>4009</v>
      </c>
      <c r="L268" t="s">
        <v>3809</v>
      </c>
      <c r="M268">
        <v>856.145263671875</v>
      </c>
      <c r="N268" t="s">
        <v>54</v>
      </c>
      <c r="O268" t="s">
        <v>53</v>
      </c>
      <c r="P268" t="s">
        <v>53</v>
      </c>
      <c r="Q268" t="s">
        <v>53</v>
      </c>
      <c r="R268" t="s">
        <v>53</v>
      </c>
      <c r="S268" t="s">
        <v>4010</v>
      </c>
      <c r="T268" t="s">
        <v>4010</v>
      </c>
      <c r="U268" t="s">
        <v>53</v>
      </c>
      <c r="V268" t="s">
        <v>138</v>
      </c>
      <c r="W268">
        <v>1272000</v>
      </c>
      <c r="X268" t="s">
        <v>54</v>
      </c>
      <c r="Y268" t="s">
        <v>3819</v>
      </c>
      <c r="Z268">
        <v>127200</v>
      </c>
      <c r="AA268">
        <v>118</v>
      </c>
      <c r="AB268">
        <v>50</v>
      </c>
      <c r="AC268">
        <v>97</v>
      </c>
      <c r="AD268">
        <v>82</v>
      </c>
      <c r="AE268">
        <v>151</v>
      </c>
      <c r="AF268">
        <v>1</v>
      </c>
      <c r="AG268">
        <v>2</v>
      </c>
      <c r="AH268">
        <v>37.467559814453118</v>
      </c>
      <c r="AJ268">
        <v>1378.733032226562</v>
      </c>
      <c r="AK268" t="s">
        <v>54</v>
      </c>
      <c r="AL268" t="s">
        <v>54</v>
      </c>
      <c r="AQ268" t="s">
        <v>54</v>
      </c>
      <c r="AW268" t="s">
        <v>53</v>
      </c>
      <c r="AZ268" t="s">
        <v>54</v>
      </c>
      <c r="BA268" t="s">
        <v>3481</v>
      </c>
      <c r="BB268" s="15" t="s">
        <v>678</v>
      </c>
    </row>
    <row r="269" spans="1:54" x14ac:dyDescent="0.25">
      <c r="A269">
        <v>264</v>
      </c>
      <c r="B269" t="s">
        <v>4011</v>
      </c>
      <c r="C269" t="s">
        <v>4012</v>
      </c>
      <c r="D269" t="s">
        <v>3802</v>
      </c>
      <c r="E269">
        <v>3</v>
      </c>
      <c r="F269" t="s">
        <v>3803</v>
      </c>
      <c r="G269" t="s">
        <v>4013</v>
      </c>
      <c r="H269" t="s">
        <v>4014</v>
      </c>
      <c r="I269" t="s">
        <v>4015</v>
      </c>
      <c r="J269" t="s">
        <v>3988</v>
      </c>
      <c r="K269" t="s">
        <v>4016</v>
      </c>
      <c r="L269" t="s">
        <v>3809</v>
      </c>
      <c r="M269">
        <v>797.62542724609375</v>
      </c>
      <c r="N269" t="s">
        <v>54</v>
      </c>
      <c r="O269" t="s">
        <v>53</v>
      </c>
      <c r="P269" t="s">
        <v>53</v>
      </c>
      <c r="Q269" t="s">
        <v>53</v>
      </c>
      <c r="R269" t="s">
        <v>53</v>
      </c>
      <c r="S269" t="s">
        <v>1213</v>
      </c>
      <c r="T269" t="s">
        <v>1213</v>
      </c>
      <c r="U269" t="s">
        <v>53</v>
      </c>
      <c r="V269" t="s">
        <v>138</v>
      </c>
      <c r="W269">
        <v>1276000</v>
      </c>
      <c r="X269" t="s">
        <v>54</v>
      </c>
      <c r="Y269" t="s">
        <v>3819</v>
      </c>
      <c r="Z269">
        <v>127600</v>
      </c>
      <c r="AA269">
        <v>1654</v>
      </c>
      <c r="AB269">
        <v>1480</v>
      </c>
      <c r="AC269">
        <v>2613</v>
      </c>
      <c r="AD269">
        <v>2795</v>
      </c>
      <c r="AE269">
        <v>4303</v>
      </c>
      <c r="AF269">
        <v>11</v>
      </c>
      <c r="AG269">
        <v>5</v>
      </c>
      <c r="AH269">
        <v>58.592399597167969</v>
      </c>
      <c r="AJ269">
        <v>28691.26953125</v>
      </c>
      <c r="AK269" t="s">
        <v>54</v>
      </c>
      <c r="AL269" t="s">
        <v>54</v>
      </c>
      <c r="AQ269" t="s">
        <v>54</v>
      </c>
      <c r="AW269" t="s">
        <v>54</v>
      </c>
      <c r="AZ269" t="s">
        <v>54</v>
      </c>
      <c r="BA269" t="s">
        <v>3481</v>
      </c>
      <c r="BB269" s="15" t="s">
        <v>676</v>
      </c>
    </row>
    <row r="270" spans="1:54" x14ac:dyDescent="0.25">
      <c r="A270">
        <v>265</v>
      </c>
      <c r="B270" t="s">
        <v>4017</v>
      </c>
      <c r="C270" t="s">
        <v>4018</v>
      </c>
      <c r="D270" t="s">
        <v>3802</v>
      </c>
      <c r="E270">
        <v>3</v>
      </c>
      <c r="F270" t="s">
        <v>3803</v>
      </c>
      <c r="G270" t="s">
        <v>4019</v>
      </c>
      <c r="H270" t="s">
        <v>4020</v>
      </c>
      <c r="I270" t="s">
        <v>4021</v>
      </c>
      <c r="J270" t="s">
        <v>3988</v>
      </c>
      <c r="K270" t="s">
        <v>4016</v>
      </c>
      <c r="L270" t="s">
        <v>3809</v>
      </c>
      <c r="M270">
        <v>919.53265380859375</v>
      </c>
      <c r="N270" t="s">
        <v>54</v>
      </c>
      <c r="O270" t="s">
        <v>53</v>
      </c>
      <c r="P270" t="s">
        <v>53</v>
      </c>
      <c r="Q270" t="s">
        <v>53</v>
      </c>
      <c r="R270" t="s">
        <v>53</v>
      </c>
      <c r="S270" t="s">
        <v>4022</v>
      </c>
      <c r="T270" t="s">
        <v>4022</v>
      </c>
      <c r="U270" t="s">
        <v>53</v>
      </c>
      <c r="V270" t="s">
        <v>138</v>
      </c>
      <c r="W270">
        <v>1317000</v>
      </c>
      <c r="X270" t="s">
        <v>54</v>
      </c>
      <c r="Y270" t="s">
        <v>3819</v>
      </c>
      <c r="Z270">
        <v>131700</v>
      </c>
      <c r="AA270">
        <v>601</v>
      </c>
      <c r="AB270">
        <v>476</v>
      </c>
      <c r="AC270">
        <v>933</v>
      </c>
      <c r="AD270">
        <v>1421</v>
      </c>
      <c r="AE270">
        <v>1545</v>
      </c>
      <c r="AF270">
        <v>11</v>
      </c>
      <c r="AG270">
        <v>16</v>
      </c>
      <c r="AH270">
        <v>99.848007202148438</v>
      </c>
      <c r="AJ270">
        <v>29584.509765625</v>
      </c>
      <c r="AK270" t="s">
        <v>54</v>
      </c>
      <c r="AL270" t="s">
        <v>54</v>
      </c>
      <c r="AQ270" t="s">
        <v>54</v>
      </c>
      <c r="AW270" t="s">
        <v>54</v>
      </c>
      <c r="AZ270" t="s">
        <v>54</v>
      </c>
      <c r="BA270" t="s">
        <v>3481</v>
      </c>
      <c r="BB270" s="15" t="s">
        <v>678</v>
      </c>
    </row>
    <row r="271" spans="1:54" x14ac:dyDescent="0.25">
      <c r="A271">
        <v>266</v>
      </c>
      <c r="B271" t="s">
        <v>4023</v>
      </c>
      <c r="C271" t="s">
        <v>4024</v>
      </c>
      <c r="D271" t="s">
        <v>3802</v>
      </c>
      <c r="E271">
        <v>3</v>
      </c>
      <c r="F271" t="s">
        <v>3803</v>
      </c>
      <c r="G271" t="s">
        <v>4025</v>
      </c>
      <c r="H271" t="s">
        <v>4026</v>
      </c>
      <c r="I271" t="s">
        <v>4027</v>
      </c>
      <c r="J271" t="s">
        <v>3988</v>
      </c>
      <c r="K271" t="s">
        <v>4028</v>
      </c>
      <c r="L271" t="s">
        <v>3809</v>
      </c>
      <c r="M271">
        <v>927.466064453125</v>
      </c>
      <c r="N271" t="s">
        <v>54</v>
      </c>
      <c r="O271" t="s">
        <v>53</v>
      </c>
      <c r="P271" t="s">
        <v>53</v>
      </c>
      <c r="Q271" t="s">
        <v>53</v>
      </c>
      <c r="R271" t="s">
        <v>53</v>
      </c>
      <c r="S271" t="s">
        <v>4029</v>
      </c>
      <c r="T271" t="s">
        <v>4029</v>
      </c>
      <c r="U271" t="s">
        <v>53</v>
      </c>
      <c r="V271" t="s">
        <v>138</v>
      </c>
      <c r="W271">
        <v>1407000</v>
      </c>
      <c r="X271" t="s">
        <v>54</v>
      </c>
      <c r="Y271" t="s">
        <v>3819</v>
      </c>
      <c r="Z271">
        <v>140700</v>
      </c>
      <c r="AA271">
        <v>25</v>
      </c>
      <c r="AB271">
        <v>11</v>
      </c>
      <c r="AC271">
        <v>1</v>
      </c>
      <c r="AD271">
        <v>4</v>
      </c>
      <c r="AE271">
        <v>4</v>
      </c>
      <c r="AF271">
        <v>0</v>
      </c>
      <c r="AG271">
        <v>0</v>
      </c>
      <c r="AH271">
        <v>6.805908203125</v>
      </c>
      <c r="AJ271">
        <v>5757.373046875</v>
      </c>
      <c r="AK271" t="s">
        <v>54</v>
      </c>
      <c r="AL271" t="s">
        <v>54</v>
      </c>
      <c r="AQ271" t="s">
        <v>54</v>
      </c>
      <c r="AW271" t="s">
        <v>53</v>
      </c>
      <c r="AZ271" t="s">
        <v>54</v>
      </c>
      <c r="BA271" t="s">
        <v>3481</v>
      </c>
      <c r="BB271" s="15" t="s">
        <v>678</v>
      </c>
    </row>
    <row r="272" spans="1:54" x14ac:dyDescent="0.25">
      <c r="A272">
        <v>267</v>
      </c>
      <c r="B272" t="s">
        <v>4030</v>
      </c>
      <c r="C272" t="s">
        <v>4031</v>
      </c>
      <c r="D272" t="s">
        <v>4032</v>
      </c>
      <c r="E272">
        <v>3</v>
      </c>
      <c r="F272" t="s">
        <v>3803</v>
      </c>
      <c r="G272" t="s">
        <v>3828</v>
      </c>
      <c r="H272" t="s">
        <v>3829</v>
      </c>
      <c r="I272" t="s">
        <v>3830</v>
      </c>
      <c r="J272" t="s">
        <v>3988</v>
      </c>
      <c r="K272" t="s">
        <v>4028</v>
      </c>
      <c r="L272" t="s">
        <v>4033</v>
      </c>
      <c r="M272">
        <v>883.18670654296875</v>
      </c>
      <c r="N272" t="s">
        <v>54</v>
      </c>
      <c r="O272" t="s">
        <v>53</v>
      </c>
      <c r="P272" t="s">
        <v>53</v>
      </c>
      <c r="Q272" t="s">
        <v>53</v>
      </c>
      <c r="R272" t="s">
        <v>53</v>
      </c>
      <c r="S272" t="s">
        <v>3831</v>
      </c>
      <c r="T272" t="s">
        <v>3831</v>
      </c>
      <c r="U272" t="s">
        <v>53</v>
      </c>
      <c r="V272" t="s">
        <v>138</v>
      </c>
      <c r="W272">
        <v>855000</v>
      </c>
      <c r="X272" t="s">
        <v>54</v>
      </c>
      <c r="Y272" t="s">
        <v>3819</v>
      </c>
      <c r="Z272">
        <v>85500</v>
      </c>
      <c r="AA272">
        <v>2842</v>
      </c>
      <c r="AB272">
        <v>2401</v>
      </c>
      <c r="AC272">
        <v>11593</v>
      </c>
      <c r="AD272">
        <v>7641</v>
      </c>
      <c r="AE272">
        <v>17576</v>
      </c>
      <c r="AF272">
        <v>26</v>
      </c>
      <c r="AG272">
        <v>55</v>
      </c>
      <c r="AH272">
        <v>145.78169250488281</v>
      </c>
      <c r="AJ272">
        <v>34153.609375</v>
      </c>
      <c r="AK272" t="s">
        <v>54</v>
      </c>
      <c r="AL272" t="s">
        <v>54</v>
      </c>
      <c r="AQ272" t="s">
        <v>54</v>
      </c>
      <c r="AW272" t="s">
        <v>54</v>
      </c>
      <c r="AZ272" t="s">
        <v>54</v>
      </c>
      <c r="BA272" t="s">
        <v>2425</v>
      </c>
      <c r="BB272" s="15" t="s">
        <v>678</v>
      </c>
    </row>
    <row r="273" spans="1:54" x14ac:dyDescent="0.25">
      <c r="A273">
        <v>268</v>
      </c>
      <c r="B273" t="s">
        <v>4034</v>
      </c>
      <c r="C273" t="s">
        <v>4035</v>
      </c>
      <c r="D273" t="s">
        <v>4036</v>
      </c>
      <c r="E273">
        <v>3</v>
      </c>
      <c r="F273" t="s">
        <v>3803</v>
      </c>
      <c r="G273" t="s">
        <v>3814</v>
      </c>
      <c r="H273" t="s">
        <v>3815</v>
      </c>
      <c r="I273" t="s">
        <v>3816</v>
      </c>
      <c r="J273" t="s">
        <v>3817</v>
      </c>
      <c r="K273" t="s">
        <v>3818</v>
      </c>
      <c r="L273" t="s">
        <v>4033</v>
      </c>
      <c r="M273">
        <v>629.7137451171875</v>
      </c>
      <c r="N273" t="s">
        <v>54</v>
      </c>
      <c r="O273" t="s">
        <v>53</v>
      </c>
      <c r="P273" t="s">
        <v>53</v>
      </c>
      <c r="Q273" t="s">
        <v>53</v>
      </c>
      <c r="R273" t="s">
        <v>53</v>
      </c>
      <c r="S273" t="s">
        <v>4037</v>
      </c>
      <c r="T273" t="s">
        <v>4037</v>
      </c>
      <c r="U273" t="s">
        <v>53</v>
      </c>
      <c r="V273" t="s">
        <v>138</v>
      </c>
      <c r="W273">
        <v>462000</v>
      </c>
      <c r="X273" t="s">
        <v>54</v>
      </c>
      <c r="Y273" t="s">
        <v>3819</v>
      </c>
      <c r="Z273">
        <v>46200</v>
      </c>
      <c r="AA273">
        <v>2452</v>
      </c>
      <c r="AB273">
        <v>1807</v>
      </c>
      <c r="AC273">
        <v>5065</v>
      </c>
      <c r="AD273">
        <v>3193</v>
      </c>
      <c r="AE273">
        <v>7348</v>
      </c>
      <c r="AF273">
        <v>26</v>
      </c>
      <c r="AG273">
        <v>0</v>
      </c>
      <c r="AH273">
        <v>53.151050567626953</v>
      </c>
      <c r="AJ273">
        <v>9200.4775390625</v>
      </c>
      <c r="AK273" t="s">
        <v>54</v>
      </c>
      <c r="AL273" t="s">
        <v>54</v>
      </c>
      <c r="AQ273" t="s">
        <v>54</v>
      </c>
      <c r="AW273" t="s">
        <v>54</v>
      </c>
      <c r="AZ273" t="s">
        <v>54</v>
      </c>
      <c r="BA273" t="s">
        <v>2425</v>
      </c>
      <c r="BB273" s="15" t="s">
        <v>676</v>
      </c>
    </row>
    <row r="274" spans="1:54" x14ac:dyDescent="0.25">
      <c r="A274">
        <v>269</v>
      </c>
      <c r="B274" t="s">
        <v>4038</v>
      </c>
      <c r="C274" t="s">
        <v>4039</v>
      </c>
      <c r="D274" t="s">
        <v>4040</v>
      </c>
      <c r="E274">
        <v>3</v>
      </c>
      <c r="F274" t="s">
        <v>3803</v>
      </c>
      <c r="G274" t="s">
        <v>4041</v>
      </c>
      <c r="H274" t="s">
        <v>4042</v>
      </c>
      <c r="I274" t="s">
        <v>4043</v>
      </c>
      <c r="J274" t="s">
        <v>3817</v>
      </c>
      <c r="K274" t="s">
        <v>3818</v>
      </c>
      <c r="L274" t="s">
        <v>4033</v>
      </c>
      <c r="M274">
        <v>904.92333984375</v>
      </c>
      <c r="N274" t="s">
        <v>54</v>
      </c>
      <c r="O274" t="s">
        <v>53</v>
      </c>
      <c r="P274" t="s">
        <v>53</v>
      </c>
      <c r="Q274" t="s">
        <v>53</v>
      </c>
      <c r="R274" t="s">
        <v>53</v>
      </c>
      <c r="S274" t="s">
        <v>4044</v>
      </c>
      <c r="T274" t="s">
        <v>4044</v>
      </c>
      <c r="U274" t="s">
        <v>53</v>
      </c>
      <c r="V274" t="s">
        <v>138</v>
      </c>
      <c r="W274">
        <v>587000</v>
      </c>
      <c r="X274" t="s">
        <v>54</v>
      </c>
      <c r="Y274" t="s">
        <v>3819</v>
      </c>
      <c r="Z274">
        <v>58700</v>
      </c>
      <c r="AA274">
        <v>22226</v>
      </c>
      <c r="AB274">
        <v>20522</v>
      </c>
      <c r="AC274">
        <v>105915</v>
      </c>
      <c r="AD274">
        <v>102122</v>
      </c>
      <c r="AE274">
        <v>181701</v>
      </c>
      <c r="AF274">
        <v>369</v>
      </c>
      <c r="AG274">
        <v>387</v>
      </c>
      <c r="AH274">
        <v>790.8162841796875</v>
      </c>
      <c r="AJ274">
        <v>31559.98046875</v>
      </c>
      <c r="AK274" t="s">
        <v>54</v>
      </c>
      <c r="AL274" t="s">
        <v>54</v>
      </c>
      <c r="AQ274" t="s">
        <v>54</v>
      </c>
      <c r="AW274" t="s">
        <v>54</v>
      </c>
      <c r="AZ274" t="s">
        <v>54</v>
      </c>
      <c r="BA274" t="s">
        <v>2425</v>
      </c>
      <c r="BB274" s="15" t="s">
        <v>678</v>
      </c>
    </row>
    <row r="275" spans="1:54" x14ac:dyDescent="0.25">
      <c r="A275">
        <v>270</v>
      </c>
      <c r="B275" t="s">
        <v>4045</v>
      </c>
      <c r="C275" t="s">
        <v>4046</v>
      </c>
      <c r="D275" t="s">
        <v>4047</v>
      </c>
      <c r="E275">
        <v>3</v>
      </c>
      <c r="F275" t="s">
        <v>3803</v>
      </c>
      <c r="G275" t="s">
        <v>4041</v>
      </c>
      <c r="H275" t="s">
        <v>4048</v>
      </c>
      <c r="I275" t="s">
        <v>4049</v>
      </c>
      <c r="J275" t="s">
        <v>4050</v>
      </c>
      <c r="K275" t="s">
        <v>4051</v>
      </c>
      <c r="L275" t="s">
        <v>4052</v>
      </c>
      <c r="M275">
        <v>42.319637298583977</v>
      </c>
      <c r="N275" t="s">
        <v>54</v>
      </c>
      <c r="O275" t="s">
        <v>53</v>
      </c>
      <c r="P275" t="s">
        <v>53</v>
      </c>
      <c r="Q275" t="s">
        <v>53</v>
      </c>
      <c r="R275" t="s">
        <v>53</v>
      </c>
      <c r="S275" t="s">
        <v>4053</v>
      </c>
      <c r="T275" t="s">
        <v>4053</v>
      </c>
      <c r="U275" t="s">
        <v>53</v>
      </c>
      <c r="V275" t="s">
        <v>162</v>
      </c>
      <c r="W275">
        <v>500000</v>
      </c>
      <c r="X275" t="s">
        <v>54</v>
      </c>
      <c r="Y275" t="s">
        <v>3819</v>
      </c>
      <c r="Z275">
        <v>50000</v>
      </c>
      <c r="AA275">
        <v>821</v>
      </c>
      <c r="AB275">
        <v>780</v>
      </c>
      <c r="AC275">
        <v>2479</v>
      </c>
      <c r="AD275">
        <v>6131</v>
      </c>
      <c r="AE275">
        <v>7134</v>
      </c>
      <c r="AF275">
        <v>7</v>
      </c>
      <c r="AG275">
        <v>28</v>
      </c>
      <c r="AH275">
        <v>18.625209808349609</v>
      </c>
      <c r="AJ275">
        <v>519.9229736328125</v>
      </c>
      <c r="AK275" t="s">
        <v>53</v>
      </c>
      <c r="AL275" t="s">
        <v>54</v>
      </c>
      <c r="AQ275" t="s">
        <v>54</v>
      </c>
      <c r="AW275" t="s">
        <v>54</v>
      </c>
      <c r="AZ275" t="s">
        <v>54</v>
      </c>
      <c r="BA275" t="s">
        <v>2425</v>
      </c>
      <c r="BB275" s="15" t="s">
        <v>678</v>
      </c>
    </row>
    <row r="276" spans="1:54" x14ac:dyDescent="0.25">
      <c r="A276">
        <v>271</v>
      </c>
      <c r="B276" t="s">
        <v>4054</v>
      </c>
      <c r="C276" t="s">
        <v>4055</v>
      </c>
      <c r="D276" t="s">
        <v>4032</v>
      </c>
      <c r="E276">
        <v>3</v>
      </c>
      <c r="F276" t="s">
        <v>3803</v>
      </c>
      <c r="G276" t="s">
        <v>3840</v>
      </c>
      <c r="H276" t="s">
        <v>3841</v>
      </c>
      <c r="I276" t="s">
        <v>3842</v>
      </c>
      <c r="J276" t="s">
        <v>4050</v>
      </c>
      <c r="K276" t="s">
        <v>4051</v>
      </c>
      <c r="L276" t="s">
        <v>4033</v>
      </c>
      <c r="M276">
        <v>948.435302734375</v>
      </c>
      <c r="N276" t="s">
        <v>54</v>
      </c>
      <c r="O276" t="s">
        <v>53</v>
      </c>
      <c r="P276" t="s">
        <v>53</v>
      </c>
      <c r="Q276" t="s">
        <v>53</v>
      </c>
      <c r="R276" t="s">
        <v>53</v>
      </c>
      <c r="S276" t="s">
        <v>3843</v>
      </c>
      <c r="T276" t="s">
        <v>3843</v>
      </c>
      <c r="U276" t="s">
        <v>53</v>
      </c>
      <c r="V276" t="s">
        <v>138</v>
      </c>
      <c r="W276">
        <v>613000</v>
      </c>
      <c r="X276" t="s">
        <v>54</v>
      </c>
      <c r="Y276" t="s">
        <v>3819</v>
      </c>
      <c r="Z276">
        <v>61300</v>
      </c>
      <c r="AA276">
        <v>4675</v>
      </c>
      <c r="AB276">
        <v>3634</v>
      </c>
      <c r="AC276">
        <v>6148</v>
      </c>
      <c r="AD276">
        <v>15904</v>
      </c>
      <c r="AE276">
        <v>18656</v>
      </c>
      <c r="AF276">
        <v>89</v>
      </c>
      <c r="AG276">
        <v>97</v>
      </c>
      <c r="AH276">
        <v>245.06779479980469</v>
      </c>
      <c r="AJ276">
        <v>53344.359375</v>
      </c>
      <c r="AK276" t="s">
        <v>54</v>
      </c>
      <c r="AL276" t="s">
        <v>54</v>
      </c>
      <c r="AQ276" t="s">
        <v>54</v>
      </c>
      <c r="AW276" t="s">
        <v>54</v>
      </c>
      <c r="AZ276" t="s">
        <v>54</v>
      </c>
      <c r="BA276" t="s">
        <v>2425</v>
      </c>
      <c r="BB276" s="15" t="s">
        <v>678</v>
      </c>
    </row>
    <row r="277" spans="1:54" x14ac:dyDescent="0.25">
      <c r="A277">
        <v>272</v>
      </c>
      <c r="B277" t="s">
        <v>4056</v>
      </c>
      <c r="C277" t="s">
        <v>4057</v>
      </c>
      <c r="D277" t="s">
        <v>4032</v>
      </c>
      <c r="E277">
        <v>3</v>
      </c>
      <c r="F277" t="s">
        <v>3803</v>
      </c>
      <c r="G277" t="s">
        <v>3846</v>
      </c>
      <c r="H277" t="s">
        <v>3847</v>
      </c>
      <c r="I277" t="s">
        <v>3848</v>
      </c>
      <c r="J277" t="s">
        <v>4050</v>
      </c>
      <c r="K277" t="s">
        <v>4051</v>
      </c>
      <c r="L277" t="s">
        <v>4033</v>
      </c>
      <c r="M277">
        <v>947.78533935546875</v>
      </c>
      <c r="N277" t="s">
        <v>54</v>
      </c>
      <c r="O277" t="s">
        <v>53</v>
      </c>
      <c r="P277" t="s">
        <v>53</v>
      </c>
      <c r="Q277" t="s">
        <v>53</v>
      </c>
      <c r="R277" t="s">
        <v>53</v>
      </c>
      <c r="S277" t="s">
        <v>4058</v>
      </c>
      <c r="T277" t="s">
        <v>4058</v>
      </c>
      <c r="U277" t="s">
        <v>53</v>
      </c>
      <c r="V277" t="s">
        <v>138</v>
      </c>
      <c r="W277">
        <v>758000</v>
      </c>
      <c r="X277" t="s">
        <v>54</v>
      </c>
      <c r="Y277" t="s">
        <v>3819</v>
      </c>
      <c r="Z277">
        <v>75800</v>
      </c>
      <c r="AA277">
        <v>2712</v>
      </c>
      <c r="AB277">
        <v>2240</v>
      </c>
      <c r="AC277">
        <v>4055</v>
      </c>
      <c r="AD277">
        <v>5855</v>
      </c>
      <c r="AE277">
        <v>8472</v>
      </c>
      <c r="AF277">
        <v>32</v>
      </c>
      <c r="AG277">
        <v>57</v>
      </c>
      <c r="AH277">
        <v>214.41340637207031</v>
      </c>
      <c r="AJ277">
        <v>90231.0390625</v>
      </c>
      <c r="AK277" t="s">
        <v>54</v>
      </c>
      <c r="AL277" t="s">
        <v>54</v>
      </c>
      <c r="AQ277" t="s">
        <v>54</v>
      </c>
      <c r="AW277" t="s">
        <v>54</v>
      </c>
      <c r="AZ277" t="s">
        <v>54</v>
      </c>
      <c r="BA277" t="s">
        <v>2425</v>
      </c>
      <c r="BB277" s="15" t="s">
        <v>678</v>
      </c>
    </row>
    <row r="278" spans="1:54" x14ac:dyDescent="0.25">
      <c r="A278">
        <v>273</v>
      </c>
      <c r="B278" t="s">
        <v>4059</v>
      </c>
      <c r="C278" t="s">
        <v>4060</v>
      </c>
      <c r="D278" t="s">
        <v>4061</v>
      </c>
      <c r="E278">
        <v>3</v>
      </c>
      <c r="F278" t="s">
        <v>3803</v>
      </c>
      <c r="G278" t="s">
        <v>3951</v>
      </c>
      <c r="H278" t="s">
        <v>3952</v>
      </c>
      <c r="I278" t="s">
        <v>3953</v>
      </c>
      <c r="J278" t="s">
        <v>4050</v>
      </c>
      <c r="K278" t="s">
        <v>3954</v>
      </c>
      <c r="L278" t="s">
        <v>4033</v>
      </c>
      <c r="M278">
        <v>469.95242309570313</v>
      </c>
      <c r="N278" t="s">
        <v>54</v>
      </c>
      <c r="O278" t="s">
        <v>53</v>
      </c>
      <c r="P278" t="s">
        <v>53</v>
      </c>
      <c r="Q278" t="s">
        <v>53</v>
      </c>
      <c r="R278" t="s">
        <v>53</v>
      </c>
      <c r="S278" t="s">
        <v>3955</v>
      </c>
      <c r="T278" t="s">
        <v>3955</v>
      </c>
      <c r="U278" t="s">
        <v>53</v>
      </c>
      <c r="V278" t="s">
        <v>138</v>
      </c>
      <c r="W278">
        <v>478000</v>
      </c>
      <c r="X278" t="s">
        <v>53</v>
      </c>
      <c r="Y278" t="s">
        <v>3811</v>
      </c>
      <c r="Z278">
        <v>0</v>
      </c>
      <c r="AA278">
        <v>338</v>
      </c>
      <c r="AB278">
        <v>297</v>
      </c>
      <c r="AC278">
        <v>88</v>
      </c>
      <c r="AD278">
        <v>225</v>
      </c>
      <c r="AE278">
        <v>241</v>
      </c>
      <c r="AF278">
        <v>7</v>
      </c>
      <c r="AG278">
        <v>1</v>
      </c>
      <c r="AH278">
        <v>58.397178649902337</v>
      </c>
      <c r="AJ278">
        <v>43020.87890625</v>
      </c>
      <c r="AK278" t="s">
        <v>54</v>
      </c>
      <c r="AL278" t="s">
        <v>54</v>
      </c>
      <c r="AQ278" t="s">
        <v>54</v>
      </c>
      <c r="AW278" t="s">
        <v>54</v>
      </c>
      <c r="AZ278" t="s">
        <v>54</v>
      </c>
      <c r="BA278" t="s">
        <v>2425</v>
      </c>
      <c r="BB278" s="15" t="s">
        <v>678</v>
      </c>
    </row>
    <row r="279" spans="1:54" x14ac:dyDescent="0.25">
      <c r="A279">
        <v>274</v>
      </c>
      <c r="B279" t="s">
        <v>4062</v>
      </c>
      <c r="C279" t="s">
        <v>4063</v>
      </c>
      <c r="D279" t="s">
        <v>4064</v>
      </c>
      <c r="E279">
        <v>3</v>
      </c>
      <c r="F279" t="s">
        <v>3803</v>
      </c>
      <c r="G279" t="s">
        <v>4065</v>
      </c>
      <c r="H279" t="s">
        <v>3965</v>
      </c>
      <c r="I279" t="s">
        <v>3966</v>
      </c>
      <c r="J279" t="s">
        <v>4050</v>
      </c>
      <c r="K279" t="s">
        <v>3954</v>
      </c>
      <c r="L279" t="s">
        <v>4033</v>
      </c>
      <c r="M279">
        <v>1081.277709960938</v>
      </c>
      <c r="N279" t="s">
        <v>54</v>
      </c>
      <c r="O279" t="s">
        <v>53</v>
      </c>
      <c r="P279" t="s">
        <v>53</v>
      </c>
      <c r="Q279" t="s">
        <v>53</v>
      </c>
      <c r="R279" t="s">
        <v>53</v>
      </c>
      <c r="S279" t="s">
        <v>4066</v>
      </c>
      <c r="T279" t="s">
        <v>4066</v>
      </c>
      <c r="U279" t="s">
        <v>53</v>
      </c>
      <c r="V279" t="s">
        <v>138</v>
      </c>
      <c r="W279">
        <v>744000</v>
      </c>
      <c r="X279" t="s">
        <v>54</v>
      </c>
      <c r="Y279" t="s">
        <v>3819</v>
      </c>
      <c r="Z279">
        <v>74400</v>
      </c>
      <c r="AA279">
        <v>1805</v>
      </c>
      <c r="AB279">
        <v>1017</v>
      </c>
      <c r="AC279">
        <v>890</v>
      </c>
      <c r="AD279">
        <v>2392</v>
      </c>
      <c r="AE279">
        <v>2606</v>
      </c>
      <c r="AF279">
        <v>11</v>
      </c>
      <c r="AG279">
        <v>64</v>
      </c>
      <c r="AH279">
        <v>211.1390075683594</v>
      </c>
      <c r="AJ279">
        <v>109464.703125</v>
      </c>
      <c r="AK279" t="s">
        <v>54</v>
      </c>
      <c r="AL279" t="s">
        <v>54</v>
      </c>
      <c r="AQ279" t="s">
        <v>54</v>
      </c>
      <c r="AW279" t="s">
        <v>54</v>
      </c>
      <c r="AZ279" t="s">
        <v>54</v>
      </c>
      <c r="BA279" t="s">
        <v>2425</v>
      </c>
      <c r="BB279" s="15" t="s">
        <v>676</v>
      </c>
    </row>
    <row r="280" spans="1:54" x14ac:dyDescent="0.25">
      <c r="A280">
        <v>275</v>
      </c>
      <c r="B280" t="s">
        <v>4067</v>
      </c>
      <c r="C280" t="s">
        <v>4068</v>
      </c>
      <c r="D280" t="s">
        <v>4069</v>
      </c>
      <c r="E280">
        <v>3</v>
      </c>
      <c r="F280" t="s">
        <v>3803</v>
      </c>
      <c r="G280" t="s">
        <v>3970</v>
      </c>
      <c r="H280" t="s">
        <v>3971</v>
      </c>
      <c r="I280" t="s">
        <v>3972</v>
      </c>
      <c r="J280" t="s">
        <v>4050</v>
      </c>
      <c r="K280" t="s">
        <v>3973</v>
      </c>
      <c r="L280" t="s">
        <v>4033</v>
      </c>
      <c r="M280">
        <v>902.80267333984375</v>
      </c>
      <c r="N280" t="s">
        <v>54</v>
      </c>
      <c r="O280" t="s">
        <v>53</v>
      </c>
      <c r="P280" t="s">
        <v>53</v>
      </c>
      <c r="Q280" t="s">
        <v>53</v>
      </c>
      <c r="R280" t="s">
        <v>53</v>
      </c>
      <c r="S280" t="s">
        <v>4070</v>
      </c>
      <c r="T280" t="s">
        <v>4070</v>
      </c>
      <c r="U280" t="s">
        <v>53</v>
      </c>
      <c r="V280" t="s">
        <v>138</v>
      </c>
      <c r="W280">
        <v>569000</v>
      </c>
      <c r="X280" t="s">
        <v>53</v>
      </c>
      <c r="Y280" t="s">
        <v>3811</v>
      </c>
      <c r="Z280">
        <v>0</v>
      </c>
      <c r="AA280">
        <v>1953</v>
      </c>
      <c r="AB280">
        <v>1485</v>
      </c>
      <c r="AC280">
        <v>4344</v>
      </c>
      <c r="AD280">
        <v>3576</v>
      </c>
      <c r="AE280">
        <v>6748</v>
      </c>
      <c r="AF280">
        <v>18</v>
      </c>
      <c r="AG280">
        <v>22</v>
      </c>
      <c r="AH280">
        <v>60.730381011962891</v>
      </c>
      <c r="AJ280">
        <v>25497.33984375</v>
      </c>
      <c r="AK280" t="s">
        <v>54</v>
      </c>
      <c r="AL280" t="s">
        <v>54</v>
      </c>
      <c r="AQ280" t="s">
        <v>54</v>
      </c>
      <c r="AW280" t="s">
        <v>54</v>
      </c>
      <c r="AZ280" t="s">
        <v>54</v>
      </c>
      <c r="BA280" t="s">
        <v>2425</v>
      </c>
      <c r="BB280" s="15" t="s">
        <v>678</v>
      </c>
    </row>
    <row r="281" spans="1:54" x14ac:dyDescent="0.25">
      <c r="A281">
        <v>276</v>
      </c>
      <c r="B281" t="s">
        <v>4071</v>
      </c>
      <c r="C281" t="s">
        <v>4072</v>
      </c>
      <c r="D281" t="s">
        <v>4073</v>
      </c>
      <c r="E281">
        <v>3</v>
      </c>
      <c r="F281" t="s">
        <v>3803</v>
      </c>
      <c r="G281" t="s">
        <v>4074</v>
      </c>
      <c r="H281" t="s">
        <v>4020</v>
      </c>
      <c r="I281" t="s">
        <v>4075</v>
      </c>
      <c r="J281" t="s">
        <v>4050</v>
      </c>
      <c r="K281" t="s">
        <v>3973</v>
      </c>
      <c r="L281" t="s">
        <v>4033</v>
      </c>
      <c r="M281">
        <v>900.37176513671875</v>
      </c>
      <c r="N281" t="s">
        <v>54</v>
      </c>
      <c r="O281" t="s">
        <v>53</v>
      </c>
      <c r="P281" t="s">
        <v>53</v>
      </c>
      <c r="Q281" t="s">
        <v>53</v>
      </c>
      <c r="R281" t="s">
        <v>53</v>
      </c>
      <c r="S281" t="s">
        <v>4076</v>
      </c>
      <c r="T281" t="s">
        <v>4076</v>
      </c>
      <c r="U281" t="s">
        <v>53</v>
      </c>
      <c r="V281" t="s">
        <v>138</v>
      </c>
      <c r="W281">
        <v>604000</v>
      </c>
      <c r="X281" t="s">
        <v>54</v>
      </c>
      <c r="Y281" t="s">
        <v>3819</v>
      </c>
      <c r="Z281">
        <v>60400</v>
      </c>
      <c r="AA281">
        <v>14855</v>
      </c>
      <c r="AB281">
        <v>12826</v>
      </c>
      <c r="AC281">
        <v>46035</v>
      </c>
      <c r="AD281">
        <v>42701</v>
      </c>
      <c r="AE281">
        <v>78228</v>
      </c>
      <c r="AF281">
        <v>164</v>
      </c>
      <c r="AG281">
        <v>531</v>
      </c>
      <c r="AH281">
        <v>467.78640747070313</v>
      </c>
      <c r="AJ281">
        <v>20102</v>
      </c>
      <c r="AK281" t="s">
        <v>54</v>
      </c>
      <c r="AL281" t="s">
        <v>54</v>
      </c>
      <c r="AQ281" t="s">
        <v>54</v>
      </c>
      <c r="AW281" t="s">
        <v>54</v>
      </c>
      <c r="AZ281" t="s">
        <v>54</v>
      </c>
      <c r="BA281" t="s">
        <v>2425</v>
      </c>
      <c r="BB281" s="15" t="s">
        <v>676</v>
      </c>
    </row>
    <row r="282" spans="1:54" x14ac:dyDescent="0.25">
      <c r="A282">
        <v>277</v>
      </c>
      <c r="B282" t="s">
        <v>4077</v>
      </c>
      <c r="C282" t="s">
        <v>4078</v>
      </c>
      <c r="D282" t="s">
        <v>4079</v>
      </c>
      <c r="E282">
        <v>3</v>
      </c>
      <c r="F282" t="s">
        <v>3803</v>
      </c>
      <c r="G282" t="s">
        <v>4041</v>
      </c>
      <c r="H282" t="s">
        <v>4080</v>
      </c>
      <c r="I282" t="s">
        <v>4081</v>
      </c>
      <c r="J282" t="s">
        <v>4082</v>
      </c>
      <c r="K282" t="s">
        <v>4083</v>
      </c>
      <c r="L282" t="s">
        <v>4084</v>
      </c>
      <c r="M282">
        <v>67.798614501953125</v>
      </c>
      <c r="N282" t="s">
        <v>54</v>
      </c>
      <c r="O282" t="s">
        <v>53</v>
      </c>
      <c r="P282" t="s">
        <v>53</v>
      </c>
      <c r="Q282" t="s">
        <v>53</v>
      </c>
      <c r="R282" t="s">
        <v>53</v>
      </c>
      <c r="S282" t="s">
        <v>4085</v>
      </c>
      <c r="T282" t="s">
        <v>4085</v>
      </c>
      <c r="U282" t="s">
        <v>53</v>
      </c>
      <c r="V282" t="s">
        <v>138</v>
      </c>
      <c r="W282">
        <v>250000</v>
      </c>
      <c r="X282" t="s">
        <v>54</v>
      </c>
      <c r="Y282" t="s">
        <v>3819</v>
      </c>
      <c r="Z282">
        <v>25000</v>
      </c>
      <c r="AA282">
        <v>4589</v>
      </c>
      <c r="AB282">
        <v>4495</v>
      </c>
      <c r="AC282">
        <v>20937</v>
      </c>
      <c r="AD282">
        <v>26784</v>
      </c>
      <c r="AE282">
        <v>40893</v>
      </c>
      <c r="AF282">
        <v>31</v>
      </c>
      <c r="AG282">
        <v>30</v>
      </c>
      <c r="AH282">
        <v>85.327507019042969</v>
      </c>
      <c r="AJ282">
        <v>1397.400024414062</v>
      </c>
      <c r="AK282" t="s">
        <v>54</v>
      </c>
      <c r="AL282" t="s">
        <v>54</v>
      </c>
      <c r="AQ282" t="s">
        <v>54</v>
      </c>
      <c r="AW282" t="s">
        <v>54</v>
      </c>
      <c r="AZ282" t="s">
        <v>54</v>
      </c>
      <c r="BA282" t="s">
        <v>2425</v>
      </c>
      <c r="BB282" s="15" t="s">
        <v>676</v>
      </c>
    </row>
    <row r="283" spans="1:54" x14ac:dyDescent="0.25">
      <c r="A283">
        <v>278</v>
      </c>
      <c r="B283" t="s">
        <v>4086</v>
      </c>
      <c r="C283" t="s">
        <v>4087</v>
      </c>
      <c r="D283" t="s">
        <v>4088</v>
      </c>
      <c r="E283">
        <v>3</v>
      </c>
      <c r="F283" t="s">
        <v>3803</v>
      </c>
      <c r="G283" t="s">
        <v>4074</v>
      </c>
      <c r="H283" t="s">
        <v>4089</v>
      </c>
      <c r="I283" t="s">
        <v>4090</v>
      </c>
      <c r="J283" t="s">
        <v>4082</v>
      </c>
      <c r="K283" t="s">
        <v>4083</v>
      </c>
      <c r="L283" t="s">
        <v>4084</v>
      </c>
      <c r="M283">
        <v>2103.698974609375</v>
      </c>
      <c r="N283" t="s">
        <v>54</v>
      </c>
      <c r="O283" t="s">
        <v>53</v>
      </c>
      <c r="P283" t="s">
        <v>53</v>
      </c>
      <c r="Q283" t="s">
        <v>53</v>
      </c>
      <c r="R283" t="s">
        <v>53</v>
      </c>
      <c r="S283" t="s">
        <v>4091</v>
      </c>
      <c r="T283" t="s">
        <v>4091</v>
      </c>
      <c r="U283" t="s">
        <v>53</v>
      </c>
      <c r="V283" t="s">
        <v>138</v>
      </c>
      <c r="W283">
        <v>2000000</v>
      </c>
      <c r="X283" t="s">
        <v>54</v>
      </c>
      <c r="Y283" t="s">
        <v>3819</v>
      </c>
      <c r="Z283">
        <v>200000</v>
      </c>
      <c r="AA283">
        <v>7235</v>
      </c>
      <c r="AB283">
        <v>5762</v>
      </c>
      <c r="AC283">
        <v>12504</v>
      </c>
      <c r="AD283">
        <v>12634</v>
      </c>
      <c r="AE283">
        <v>21593</v>
      </c>
      <c r="AF283">
        <v>64</v>
      </c>
      <c r="AG283">
        <v>127</v>
      </c>
      <c r="AH283">
        <v>308.15658569335938</v>
      </c>
      <c r="AJ283">
        <v>114016.703125</v>
      </c>
      <c r="AK283" t="s">
        <v>54</v>
      </c>
      <c r="AL283" t="s">
        <v>54</v>
      </c>
      <c r="AQ283" t="s">
        <v>54</v>
      </c>
      <c r="AW283" t="s">
        <v>54</v>
      </c>
      <c r="AZ283" t="s">
        <v>54</v>
      </c>
      <c r="BA283" t="s">
        <v>2425</v>
      </c>
      <c r="BB283" s="15" t="s">
        <v>676</v>
      </c>
    </row>
    <row r="284" spans="1:54" x14ac:dyDescent="0.25">
      <c r="A284">
        <v>279</v>
      </c>
      <c r="B284" t="s">
        <v>4092</v>
      </c>
      <c r="C284" t="s">
        <v>4093</v>
      </c>
      <c r="D284" t="s">
        <v>4094</v>
      </c>
      <c r="E284">
        <v>3</v>
      </c>
      <c r="F284" t="s">
        <v>3803</v>
      </c>
      <c r="G284" t="s">
        <v>3828</v>
      </c>
      <c r="H284" t="s">
        <v>4095</v>
      </c>
      <c r="I284" t="s">
        <v>4096</v>
      </c>
      <c r="J284" t="s">
        <v>4097</v>
      </c>
      <c r="K284" t="s">
        <v>4098</v>
      </c>
      <c r="L284" t="s">
        <v>4099</v>
      </c>
      <c r="M284">
        <v>3.026994943618774</v>
      </c>
      <c r="N284" t="s">
        <v>54</v>
      </c>
      <c r="O284" t="s">
        <v>53</v>
      </c>
      <c r="P284" t="s">
        <v>53</v>
      </c>
      <c r="Q284" t="s">
        <v>53</v>
      </c>
      <c r="R284" t="s">
        <v>53</v>
      </c>
      <c r="S284" t="s">
        <v>4100</v>
      </c>
      <c r="T284" t="s">
        <v>4100</v>
      </c>
      <c r="U284" t="s">
        <v>53</v>
      </c>
      <c r="V284" t="s">
        <v>138</v>
      </c>
      <c r="W284">
        <v>250000</v>
      </c>
      <c r="X284" t="s">
        <v>54</v>
      </c>
      <c r="Y284" t="s">
        <v>3819</v>
      </c>
      <c r="Z284">
        <v>25000</v>
      </c>
      <c r="AA284">
        <v>4</v>
      </c>
      <c r="AB284">
        <v>4</v>
      </c>
      <c r="AC284">
        <v>0</v>
      </c>
      <c r="AD284">
        <v>4</v>
      </c>
      <c r="AE284">
        <v>4</v>
      </c>
      <c r="AF284">
        <v>0</v>
      </c>
      <c r="AG284">
        <v>1</v>
      </c>
      <c r="AH284">
        <v>0.66100198030471802</v>
      </c>
      <c r="AJ284">
        <v>31.52216911315918</v>
      </c>
      <c r="AK284" t="s">
        <v>54</v>
      </c>
      <c r="AL284" t="s">
        <v>54</v>
      </c>
      <c r="AQ284" t="s">
        <v>54</v>
      </c>
      <c r="AW284" t="s">
        <v>54</v>
      </c>
      <c r="AZ284" t="s">
        <v>54</v>
      </c>
      <c r="BA284" t="s">
        <v>2425</v>
      </c>
      <c r="BB284" s="15" t="s">
        <v>676</v>
      </c>
    </row>
    <row r="285" spans="1:54" x14ac:dyDescent="0.25">
      <c r="A285">
        <v>280</v>
      </c>
      <c r="B285" t="s">
        <v>4101</v>
      </c>
      <c r="C285" t="s">
        <v>4102</v>
      </c>
      <c r="D285" t="s">
        <v>4094</v>
      </c>
      <c r="E285">
        <v>3</v>
      </c>
      <c r="F285" t="s">
        <v>3803</v>
      </c>
      <c r="G285" t="s">
        <v>4041</v>
      </c>
      <c r="H285" t="s">
        <v>4103</v>
      </c>
      <c r="I285" t="s">
        <v>4104</v>
      </c>
      <c r="J285" t="s">
        <v>4105</v>
      </c>
      <c r="K285" t="s">
        <v>4106</v>
      </c>
      <c r="L285" t="s">
        <v>4099</v>
      </c>
      <c r="M285">
        <v>3.68553638458252</v>
      </c>
      <c r="N285" t="s">
        <v>54</v>
      </c>
      <c r="O285" t="s">
        <v>53</v>
      </c>
      <c r="P285" t="s">
        <v>53</v>
      </c>
      <c r="Q285" t="s">
        <v>53</v>
      </c>
      <c r="R285" t="s">
        <v>53</v>
      </c>
      <c r="S285" t="s">
        <v>4107</v>
      </c>
      <c r="T285" t="s">
        <v>4107</v>
      </c>
      <c r="U285" t="s">
        <v>53</v>
      </c>
      <c r="V285" t="s">
        <v>138</v>
      </c>
      <c r="W285">
        <v>500000</v>
      </c>
      <c r="X285" t="s">
        <v>54</v>
      </c>
      <c r="Y285" t="s">
        <v>3819</v>
      </c>
      <c r="Z285">
        <v>50000</v>
      </c>
      <c r="AA285">
        <v>22</v>
      </c>
      <c r="AB285">
        <v>19</v>
      </c>
      <c r="AC285">
        <v>24</v>
      </c>
      <c r="AD285">
        <v>73</v>
      </c>
      <c r="AE285">
        <v>76</v>
      </c>
      <c r="AF285">
        <v>0</v>
      </c>
      <c r="AG285">
        <v>2</v>
      </c>
      <c r="AH285">
        <v>0.30625671148300171</v>
      </c>
      <c r="AJ285">
        <v>0.43760639429092407</v>
      </c>
      <c r="AK285" t="s">
        <v>54</v>
      </c>
      <c r="AL285" t="s">
        <v>54</v>
      </c>
      <c r="AQ285" t="s">
        <v>54</v>
      </c>
      <c r="AW285" t="s">
        <v>53</v>
      </c>
      <c r="AZ285" t="s">
        <v>54</v>
      </c>
      <c r="BA285" t="s">
        <v>2425</v>
      </c>
      <c r="BB285" s="15" t="s">
        <v>676</v>
      </c>
    </row>
    <row r="286" spans="1:54" x14ac:dyDescent="0.25">
      <c r="A286">
        <v>281</v>
      </c>
      <c r="B286" t="s">
        <v>4108</v>
      </c>
      <c r="C286" t="s">
        <v>4109</v>
      </c>
      <c r="D286" t="s">
        <v>4094</v>
      </c>
      <c r="E286">
        <v>3</v>
      </c>
      <c r="F286" t="s">
        <v>3803</v>
      </c>
      <c r="G286" t="s">
        <v>4041</v>
      </c>
      <c r="H286" t="s">
        <v>4095</v>
      </c>
      <c r="I286" t="s">
        <v>4110</v>
      </c>
      <c r="J286" t="s">
        <v>4111</v>
      </c>
      <c r="K286" t="s">
        <v>4112</v>
      </c>
      <c r="L286" t="s">
        <v>4099</v>
      </c>
      <c r="M286">
        <v>20.507320404052731</v>
      </c>
      <c r="N286" t="s">
        <v>54</v>
      </c>
      <c r="O286" t="s">
        <v>53</v>
      </c>
      <c r="P286" t="s">
        <v>53</v>
      </c>
      <c r="Q286" t="s">
        <v>53</v>
      </c>
      <c r="R286" t="s">
        <v>53</v>
      </c>
      <c r="S286" t="s">
        <v>4113</v>
      </c>
      <c r="T286" t="s">
        <v>4113</v>
      </c>
      <c r="U286" t="s">
        <v>53</v>
      </c>
      <c r="V286" t="s">
        <v>138</v>
      </c>
      <c r="W286">
        <v>500000</v>
      </c>
      <c r="X286" t="s">
        <v>54</v>
      </c>
      <c r="Y286" t="s">
        <v>3819</v>
      </c>
      <c r="Z286">
        <v>50000</v>
      </c>
      <c r="AA286">
        <v>142</v>
      </c>
      <c r="AB286">
        <v>134</v>
      </c>
      <c r="AC286">
        <v>109</v>
      </c>
      <c r="AD286">
        <v>424</v>
      </c>
      <c r="AE286">
        <v>432</v>
      </c>
      <c r="AF286">
        <v>0</v>
      </c>
      <c r="AG286">
        <v>7</v>
      </c>
      <c r="AH286">
        <v>5.2370848655700684</v>
      </c>
      <c r="AJ286">
        <v>293.26779174804688</v>
      </c>
      <c r="AK286" t="s">
        <v>54</v>
      </c>
      <c r="AL286" t="s">
        <v>54</v>
      </c>
      <c r="AQ286" t="s">
        <v>54</v>
      </c>
      <c r="AW286" t="s">
        <v>54</v>
      </c>
      <c r="AZ286" t="s">
        <v>54</v>
      </c>
      <c r="BA286" t="s">
        <v>2425</v>
      </c>
      <c r="BB286" s="15" t="s">
        <v>676</v>
      </c>
    </row>
    <row r="287" spans="1:54" x14ac:dyDescent="0.25">
      <c r="A287">
        <v>282</v>
      </c>
      <c r="B287" t="s">
        <v>4114</v>
      </c>
      <c r="C287" t="s">
        <v>4115</v>
      </c>
      <c r="D287" t="s">
        <v>4094</v>
      </c>
      <c r="E287">
        <v>3</v>
      </c>
      <c r="F287" t="s">
        <v>3803</v>
      </c>
      <c r="G287" t="s">
        <v>3840</v>
      </c>
      <c r="H287" t="s">
        <v>4116</v>
      </c>
      <c r="I287" t="s">
        <v>4117</v>
      </c>
      <c r="J287" t="s">
        <v>4118</v>
      </c>
      <c r="K287" t="s">
        <v>4119</v>
      </c>
      <c r="L287" t="s">
        <v>4099</v>
      </c>
      <c r="M287">
        <v>2.9271566867828369</v>
      </c>
      <c r="N287" t="s">
        <v>54</v>
      </c>
      <c r="O287" t="s">
        <v>53</v>
      </c>
      <c r="P287" t="s">
        <v>53</v>
      </c>
      <c r="Q287" t="s">
        <v>53</v>
      </c>
      <c r="R287" t="s">
        <v>53</v>
      </c>
      <c r="S287" t="s">
        <v>4120</v>
      </c>
      <c r="T287" t="s">
        <v>4120</v>
      </c>
      <c r="U287" t="s">
        <v>53</v>
      </c>
      <c r="V287" t="s">
        <v>138</v>
      </c>
      <c r="W287">
        <v>250000</v>
      </c>
      <c r="X287" t="s">
        <v>54</v>
      </c>
      <c r="Y287" t="s">
        <v>3819</v>
      </c>
      <c r="Z287">
        <v>25000</v>
      </c>
      <c r="AA287">
        <v>54</v>
      </c>
      <c r="AB287">
        <v>52</v>
      </c>
      <c r="AC287">
        <v>33</v>
      </c>
      <c r="AD287">
        <v>127</v>
      </c>
      <c r="AE287">
        <v>127</v>
      </c>
      <c r="AF287">
        <v>1</v>
      </c>
      <c r="AG287">
        <v>0</v>
      </c>
      <c r="AH287">
        <v>2.0801270008087158</v>
      </c>
      <c r="AJ287">
        <v>189.16239929199219</v>
      </c>
      <c r="AK287" t="s">
        <v>54</v>
      </c>
      <c r="AL287" t="s">
        <v>54</v>
      </c>
      <c r="AQ287" t="s">
        <v>54</v>
      </c>
      <c r="AW287" t="s">
        <v>54</v>
      </c>
      <c r="AZ287" t="s">
        <v>54</v>
      </c>
      <c r="BA287" t="s">
        <v>2425</v>
      </c>
      <c r="BB287" s="15" t="s">
        <v>678</v>
      </c>
    </row>
    <row r="288" spans="1:54" x14ac:dyDescent="0.25">
      <c r="A288">
        <v>283</v>
      </c>
      <c r="B288" t="s">
        <v>4121</v>
      </c>
      <c r="C288" t="s">
        <v>4122</v>
      </c>
      <c r="D288" t="s">
        <v>4094</v>
      </c>
      <c r="E288">
        <v>3</v>
      </c>
      <c r="F288" t="s">
        <v>3803</v>
      </c>
      <c r="G288" t="s">
        <v>3840</v>
      </c>
      <c r="H288" t="s">
        <v>4123</v>
      </c>
      <c r="I288" t="s">
        <v>4124</v>
      </c>
      <c r="J288" t="s">
        <v>4125</v>
      </c>
      <c r="K288" t="s">
        <v>4126</v>
      </c>
      <c r="L288" t="s">
        <v>4099</v>
      </c>
      <c r="M288">
        <v>11.52316284179688</v>
      </c>
      <c r="N288" t="s">
        <v>54</v>
      </c>
      <c r="O288" t="s">
        <v>53</v>
      </c>
      <c r="P288" t="s">
        <v>53</v>
      </c>
      <c r="Q288" t="s">
        <v>53</v>
      </c>
      <c r="R288" t="s">
        <v>53</v>
      </c>
      <c r="S288" t="s">
        <v>4127</v>
      </c>
      <c r="T288" t="s">
        <v>4127</v>
      </c>
      <c r="U288" t="s">
        <v>53</v>
      </c>
      <c r="V288" t="s">
        <v>138</v>
      </c>
      <c r="W288">
        <v>250000</v>
      </c>
      <c r="X288" t="s">
        <v>54</v>
      </c>
      <c r="Y288" t="s">
        <v>3819</v>
      </c>
      <c r="Z288">
        <v>25000</v>
      </c>
      <c r="AA288">
        <v>57</v>
      </c>
      <c r="AB288">
        <v>38</v>
      </c>
      <c r="AC288">
        <v>1236</v>
      </c>
      <c r="AD288">
        <v>98</v>
      </c>
      <c r="AE288">
        <v>1309</v>
      </c>
      <c r="AF288">
        <v>2</v>
      </c>
      <c r="AG288">
        <v>2</v>
      </c>
      <c r="AH288">
        <v>1.9657789468765261</v>
      </c>
      <c r="AJ288">
        <v>457.34228515625</v>
      </c>
      <c r="AK288" t="s">
        <v>54</v>
      </c>
      <c r="AL288" t="s">
        <v>54</v>
      </c>
      <c r="AQ288" t="s">
        <v>54</v>
      </c>
      <c r="AW288" t="s">
        <v>54</v>
      </c>
      <c r="AZ288" t="s">
        <v>54</v>
      </c>
      <c r="BA288" t="s">
        <v>2425</v>
      </c>
      <c r="BB288" s="15" t="s">
        <v>676</v>
      </c>
    </row>
    <row r="289" spans="1:54" x14ac:dyDescent="0.25">
      <c r="A289">
        <v>284</v>
      </c>
      <c r="B289" t="s">
        <v>4128</v>
      </c>
      <c r="C289" t="s">
        <v>4129</v>
      </c>
      <c r="D289" t="s">
        <v>4094</v>
      </c>
      <c r="E289">
        <v>3</v>
      </c>
      <c r="F289" t="s">
        <v>3803</v>
      </c>
      <c r="G289" t="s">
        <v>3846</v>
      </c>
      <c r="H289" t="s">
        <v>4130</v>
      </c>
      <c r="I289" t="s">
        <v>4131</v>
      </c>
      <c r="J289" t="s">
        <v>4132</v>
      </c>
      <c r="K289" t="s">
        <v>4133</v>
      </c>
      <c r="L289" t="s">
        <v>4099</v>
      </c>
      <c r="M289">
        <v>0.83323824405670166</v>
      </c>
      <c r="N289" t="s">
        <v>54</v>
      </c>
      <c r="O289" t="s">
        <v>53</v>
      </c>
      <c r="P289" t="s">
        <v>53</v>
      </c>
      <c r="Q289" t="s">
        <v>53</v>
      </c>
      <c r="R289" t="s">
        <v>53</v>
      </c>
      <c r="S289" t="s">
        <v>4134</v>
      </c>
      <c r="T289" t="s">
        <v>4134</v>
      </c>
      <c r="U289" t="s">
        <v>53</v>
      </c>
      <c r="V289" t="s">
        <v>138</v>
      </c>
      <c r="W289">
        <v>250000</v>
      </c>
      <c r="X289" t="s">
        <v>53</v>
      </c>
      <c r="Y289" t="s">
        <v>3811</v>
      </c>
      <c r="Z289">
        <v>0</v>
      </c>
      <c r="AA289">
        <v>41</v>
      </c>
      <c r="AB289">
        <v>39</v>
      </c>
      <c r="AC289">
        <v>11</v>
      </c>
      <c r="AD289">
        <v>50</v>
      </c>
      <c r="AE289">
        <v>51</v>
      </c>
      <c r="AF289">
        <v>3</v>
      </c>
      <c r="AG289">
        <v>0</v>
      </c>
      <c r="AH289">
        <v>2.217488050460815</v>
      </c>
      <c r="AJ289">
        <v>67.007652282714844</v>
      </c>
      <c r="AK289" t="s">
        <v>54</v>
      </c>
      <c r="AL289" t="s">
        <v>54</v>
      </c>
      <c r="AQ289" t="s">
        <v>54</v>
      </c>
      <c r="AW289" t="s">
        <v>54</v>
      </c>
      <c r="AZ289" t="s">
        <v>54</v>
      </c>
      <c r="BA289" t="s">
        <v>2425</v>
      </c>
      <c r="BB289" s="15" t="s">
        <v>678</v>
      </c>
    </row>
    <row r="290" spans="1:54" x14ac:dyDescent="0.25">
      <c r="A290">
        <v>285</v>
      </c>
      <c r="B290" t="s">
        <v>4135</v>
      </c>
      <c r="C290" t="s">
        <v>4136</v>
      </c>
      <c r="D290" t="s">
        <v>4094</v>
      </c>
      <c r="E290">
        <v>3</v>
      </c>
      <c r="F290" t="s">
        <v>3803</v>
      </c>
      <c r="G290" t="s">
        <v>3938</v>
      </c>
      <c r="H290" t="s">
        <v>4137</v>
      </c>
      <c r="I290" t="s">
        <v>4138</v>
      </c>
      <c r="J290" t="s">
        <v>4139</v>
      </c>
      <c r="K290" t="s">
        <v>4140</v>
      </c>
      <c r="L290" t="s">
        <v>4099</v>
      </c>
      <c r="M290">
        <v>20.951421737670898</v>
      </c>
      <c r="N290" t="s">
        <v>54</v>
      </c>
      <c r="O290" t="s">
        <v>53</v>
      </c>
      <c r="P290" t="s">
        <v>53</v>
      </c>
      <c r="Q290" t="s">
        <v>53</v>
      </c>
      <c r="R290" t="s">
        <v>53</v>
      </c>
      <c r="S290" t="s">
        <v>1558</v>
      </c>
      <c r="T290" t="s">
        <v>1558</v>
      </c>
      <c r="U290" t="s">
        <v>53</v>
      </c>
      <c r="V290" t="s">
        <v>138</v>
      </c>
      <c r="W290">
        <v>250000</v>
      </c>
      <c r="X290" t="s">
        <v>54</v>
      </c>
      <c r="Y290" t="s">
        <v>3819</v>
      </c>
      <c r="Z290">
        <v>25000</v>
      </c>
      <c r="AA290">
        <v>727</v>
      </c>
      <c r="AB290">
        <v>687</v>
      </c>
      <c r="AC290">
        <v>1213</v>
      </c>
      <c r="AD290">
        <v>1533</v>
      </c>
      <c r="AE290">
        <v>2181</v>
      </c>
      <c r="AF290">
        <v>18</v>
      </c>
      <c r="AG290">
        <v>0</v>
      </c>
      <c r="AH290">
        <v>17.866910934448239</v>
      </c>
      <c r="AJ290">
        <v>1731.984985351562</v>
      </c>
      <c r="AK290" t="s">
        <v>54</v>
      </c>
      <c r="AL290" t="s">
        <v>54</v>
      </c>
      <c r="AQ290" t="s">
        <v>54</v>
      </c>
      <c r="AW290" t="s">
        <v>54</v>
      </c>
      <c r="AZ290" t="s">
        <v>54</v>
      </c>
      <c r="BA290" t="s">
        <v>2425</v>
      </c>
      <c r="BB290" s="15" t="s">
        <v>678</v>
      </c>
    </row>
    <row r="291" spans="1:54" x14ac:dyDescent="0.25">
      <c r="A291">
        <v>286</v>
      </c>
      <c r="B291" t="s">
        <v>4141</v>
      </c>
      <c r="C291" t="s">
        <v>4142</v>
      </c>
      <c r="D291" t="s">
        <v>4094</v>
      </c>
      <c r="E291">
        <v>3</v>
      </c>
      <c r="F291" t="s">
        <v>3803</v>
      </c>
      <c r="G291" t="s">
        <v>3840</v>
      </c>
      <c r="H291" t="s">
        <v>4123</v>
      </c>
      <c r="I291" t="s">
        <v>4143</v>
      </c>
      <c r="J291" t="s">
        <v>4144</v>
      </c>
      <c r="K291" t="s">
        <v>4145</v>
      </c>
      <c r="L291" t="s">
        <v>4099</v>
      </c>
      <c r="M291">
        <v>96.9796142578125</v>
      </c>
      <c r="N291" t="s">
        <v>54</v>
      </c>
      <c r="O291" t="s">
        <v>53</v>
      </c>
      <c r="P291" t="s">
        <v>53</v>
      </c>
      <c r="Q291" t="s">
        <v>53</v>
      </c>
      <c r="R291" t="s">
        <v>53</v>
      </c>
      <c r="S291" t="s">
        <v>4146</v>
      </c>
      <c r="T291" t="s">
        <v>4146</v>
      </c>
      <c r="U291" t="s">
        <v>53</v>
      </c>
      <c r="V291" t="s">
        <v>138</v>
      </c>
      <c r="W291">
        <v>1000000</v>
      </c>
      <c r="X291" t="s">
        <v>54</v>
      </c>
      <c r="Y291" t="s">
        <v>3819</v>
      </c>
      <c r="Z291">
        <v>100000</v>
      </c>
      <c r="AA291">
        <v>935</v>
      </c>
      <c r="AB291">
        <v>740</v>
      </c>
      <c r="AC291">
        <v>722</v>
      </c>
      <c r="AD291">
        <v>1752</v>
      </c>
      <c r="AE291">
        <v>2088</v>
      </c>
      <c r="AF291">
        <v>9</v>
      </c>
      <c r="AG291">
        <v>39</v>
      </c>
      <c r="AH291">
        <v>33.96636962890625</v>
      </c>
      <c r="AJ291">
        <v>3799.85400390625</v>
      </c>
      <c r="AK291" t="s">
        <v>54</v>
      </c>
      <c r="AL291" t="s">
        <v>54</v>
      </c>
      <c r="AQ291" t="s">
        <v>54</v>
      </c>
      <c r="AW291" t="s">
        <v>54</v>
      </c>
      <c r="AZ291" t="s">
        <v>54</v>
      </c>
      <c r="BA291" t="s">
        <v>2425</v>
      </c>
      <c r="BB291" s="15" t="s">
        <v>678</v>
      </c>
    </row>
    <row r="292" spans="1:54" x14ac:dyDescent="0.25">
      <c r="A292">
        <v>287</v>
      </c>
      <c r="B292" t="s">
        <v>4147</v>
      </c>
      <c r="C292" t="s">
        <v>4148</v>
      </c>
      <c r="D292" t="s">
        <v>4094</v>
      </c>
      <c r="E292">
        <v>3</v>
      </c>
      <c r="F292" t="s">
        <v>3803</v>
      </c>
      <c r="G292" t="s">
        <v>3951</v>
      </c>
      <c r="H292" t="s">
        <v>4149</v>
      </c>
      <c r="I292" t="s">
        <v>4150</v>
      </c>
      <c r="J292" t="s">
        <v>4151</v>
      </c>
      <c r="K292" t="s">
        <v>4152</v>
      </c>
      <c r="L292" t="s">
        <v>4099</v>
      </c>
      <c r="M292">
        <v>4.8752412796020508</v>
      </c>
      <c r="N292" t="s">
        <v>54</v>
      </c>
      <c r="O292" t="s">
        <v>53</v>
      </c>
      <c r="P292" t="s">
        <v>53</v>
      </c>
      <c r="Q292" t="s">
        <v>53</v>
      </c>
      <c r="R292" t="s">
        <v>53</v>
      </c>
      <c r="S292" t="s">
        <v>4153</v>
      </c>
      <c r="T292" t="s">
        <v>4153</v>
      </c>
      <c r="U292" t="s">
        <v>53</v>
      </c>
      <c r="V292" t="s">
        <v>138</v>
      </c>
      <c r="W292">
        <v>250000</v>
      </c>
      <c r="X292" t="s">
        <v>54</v>
      </c>
      <c r="Y292" t="s">
        <v>3819</v>
      </c>
      <c r="Z292">
        <v>25000</v>
      </c>
      <c r="AA292">
        <v>14</v>
      </c>
      <c r="AB292">
        <v>13</v>
      </c>
      <c r="AC292">
        <v>12</v>
      </c>
      <c r="AD292">
        <v>21</v>
      </c>
      <c r="AE292">
        <v>24</v>
      </c>
      <c r="AF292">
        <v>3</v>
      </c>
      <c r="AG292">
        <v>0</v>
      </c>
      <c r="AH292">
        <v>1.890732049942017</v>
      </c>
      <c r="AJ292">
        <v>108.0582962036133</v>
      </c>
      <c r="AK292" t="s">
        <v>54</v>
      </c>
      <c r="AL292" t="s">
        <v>54</v>
      </c>
      <c r="AQ292" t="s">
        <v>54</v>
      </c>
      <c r="AW292" t="s">
        <v>53</v>
      </c>
      <c r="AZ292" t="s">
        <v>54</v>
      </c>
      <c r="BA292" t="s">
        <v>2425</v>
      </c>
      <c r="BB292" s="15" t="s">
        <v>678</v>
      </c>
    </row>
    <row r="293" spans="1:54" x14ac:dyDescent="0.25">
      <c r="A293">
        <v>288</v>
      </c>
      <c r="B293" t="s">
        <v>4154</v>
      </c>
      <c r="C293" t="s">
        <v>4155</v>
      </c>
      <c r="D293" t="s">
        <v>4094</v>
      </c>
      <c r="E293">
        <v>3</v>
      </c>
      <c r="F293" t="s">
        <v>3803</v>
      </c>
      <c r="G293" t="s">
        <v>3985</v>
      </c>
      <c r="H293" t="s">
        <v>3986</v>
      </c>
      <c r="I293" t="s">
        <v>3987</v>
      </c>
      <c r="J293" t="s">
        <v>4156</v>
      </c>
      <c r="K293" t="s">
        <v>4157</v>
      </c>
      <c r="L293" t="s">
        <v>4099</v>
      </c>
      <c r="M293">
        <v>29.88068962097168</v>
      </c>
      <c r="N293" t="s">
        <v>54</v>
      </c>
      <c r="O293" t="s">
        <v>53</v>
      </c>
      <c r="P293" t="s">
        <v>53</v>
      </c>
      <c r="Q293" t="s">
        <v>53</v>
      </c>
      <c r="R293" t="s">
        <v>53</v>
      </c>
      <c r="S293" t="s">
        <v>4158</v>
      </c>
      <c r="T293" t="s">
        <v>4158</v>
      </c>
      <c r="U293" t="s">
        <v>53</v>
      </c>
      <c r="V293" t="s">
        <v>138</v>
      </c>
      <c r="W293">
        <v>500000</v>
      </c>
      <c r="X293" t="s">
        <v>54</v>
      </c>
      <c r="Y293" t="s">
        <v>3819</v>
      </c>
      <c r="Z293">
        <v>50000</v>
      </c>
      <c r="AA293">
        <v>209</v>
      </c>
      <c r="AB293">
        <v>200</v>
      </c>
      <c r="AC293">
        <v>547</v>
      </c>
      <c r="AD293">
        <v>652</v>
      </c>
      <c r="AE293">
        <v>1012</v>
      </c>
      <c r="AF293">
        <v>1</v>
      </c>
      <c r="AG293">
        <v>5</v>
      </c>
      <c r="AH293">
        <v>10.471480369567869</v>
      </c>
      <c r="AJ293">
        <v>693.15478515625</v>
      </c>
      <c r="AK293" t="s">
        <v>54</v>
      </c>
      <c r="AL293" t="s">
        <v>54</v>
      </c>
      <c r="AQ293" t="s">
        <v>54</v>
      </c>
      <c r="AW293" t="s">
        <v>54</v>
      </c>
      <c r="AZ293" t="s">
        <v>54</v>
      </c>
      <c r="BA293" t="s">
        <v>2425</v>
      </c>
      <c r="BB293" s="15" t="s">
        <v>678</v>
      </c>
    </row>
    <row r="294" spans="1:54" x14ac:dyDescent="0.25">
      <c r="A294">
        <v>289</v>
      </c>
      <c r="B294" t="s">
        <v>4159</v>
      </c>
      <c r="C294" t="s">
        <v>4160</v>
      </c>
      <c r="D294" t="s">
        <v>4094</v>
      </c>
      <c r="E294">
        <v>3</v>
      </c>
      <c r="F294" t="s">
        <v>3803</v>
      </c>
      <c r="G294" t="s">
        <v>4074</v>
      </c>
      <c r="H294" t="s">
        <v>4161</v>
      </c>
      <c r="I294" t="s">
        <v>4162</v>
      </c>
      <c r="J294" t="s">
        <v>4163</v>
      </c>
      <c r="K294" t="s">
        <v>4164</v>
      </c>
      <c r="L294" t="s">
        <v>4099</v>
      </c>
      <c r="M294">
        <v>1.747960686683655</v>
      </c>
      <c r="N294" t="s">
        <v>54</v>
      </c>
      <c r="O294" t="s">
        <v>53</v>
      </c>
      <c r="P294" t="s">
        <v>53</v>
      </c>
      <c r="Q294" t="s">
        <v>53</v>
      </c>
      <c r="R294" t="s">
        <v>53</v>
      </c>
      <c r="S294" t="s">
        <v>4165</v>
      </c>
      <c r="T294" t="s">
        <v>4165</v>
      </c>
      <c r="U294" t="s">
        <v>53</v>
      </c>
      <c r="V294" t="s">
        <v>138</v>
      </c>
      <c r="W294">
        <v>250000</v>
      </c>
      <c r="X294" t="s">
        <v>54</v>
      </c>
      <c r="Y294" t="s">
        <v>3819</v>
      </c>
      <c r="Z294">
        <v>25000</v>
      </c>
      <c r="AA294">
        <v>272</v>
      </c>
      <c r="AB294">
        <v>225</v>
      </c>
      <c r="AC294">
        <v>447</v>
      </c>
      <c r="AD294">
        <v>820</v>
      </c>
      <c r="AE294">
        <v>1006</v>
      </c>
      <c r="AF294">
        <v>4</v>
      </c>
      <c r="AG294">
        <v>8</v>
      </c>
      <c r="AH294">
        <v>5.6888017654418954</v>
      </c>
      <c r="AJ294">
        <v>86.027656555175781</v>
      </c>
      <c r="AK294" t="s">
        <v>54</v>
      </c>
      <c r="AL294" t="s">
        <v>54</v>
      </c>
      <c r="AQ294" t="s">
        <v>54</v>
      </c>
      <c r="AW294" t="s">
        <v>54</v>
      </c>
      <c r="AZ294" t="s">
        <v>54</v>
      </c>
      <c r="BA294" t="s">
        <v>2425</v>
      </c>
      <c r="BB294" s="15" t="s">
        <v>678</v>
      </c>
    </row>
    <row r="295" spans="1:54" x14ac:dyDescent="0.25">
      <c r="A295">
        <v>290</v>
      </c>
      <c r="B295" t="s">
        <v>4166</v>
      </c>
      <c r="C295" t="s">
        <v>4167</v>
      </c>
      <c r="D295" t="s">
        <v>4094</v>
      </c>
      <c r="E295">
        <v>3</v>
      </c>
      <c r="F295" t="s">
        <v>3803</v>
      </c>
      <c r="G295" t="s">
        <v>4074</v>
      </c>
      <c r="H295" t="s">
        <v>4161</v>
      </c>
      <c r="I295" t="s">
        <v>4168</v>
      </c>
      <c r="J295" t="s">
        <v>4169</v>
      </c>
      <c r="K295" t="s">
        <v>4170</v>
      </c>
      <c r="L295" t="s">
        <v>4099</v>
      </c>
      <c r="M295">
        <v>13.181325912475589</v>
      </c>
      <c r="N295" t="s">
        <v>54</v>
      </c>
      <c r="O295" t="s">
        <v>53</v>
      </c>
      <c r="P295" t="s">
        <v>53</v>
      </c>
      <c r="Q295" t="s">
        <v>53</v>
      </c>
      <c r="R295" t="s">
        <v>53</v>
      </c>
      <c r="S295" t="s">
        <v>4171</v>
      </c>
      <c r="T295" t="s">
        <v>4171</v>
      </c>
      <c r="U295" t="s">
        <v>53</v>
      </c>
      <c r="V295" t="s">
        <v>138</v>
      </c>
      <c r="W295">
        <v>500000</v>
      </c>
      <c r="X295" t="s">
        <v>54</v>
      </c>
      <c r="Y295" t="s">
        <v>3982</v>
      </c>
      <c r="Z295">
        <v>450000</v>
      </c>
      <c r="AA295">
        <v>156</v>
      </c>
      <c r="AB295">
        <v>148</v>
      </c>
      <c r="AC295">
        <v>352</v>
      </c>
      <c r="AD295">
        <v>496</v>
      </c>
      <c r="AE295">
        <v>735</v>
      </c>
      <c r="AF295">
        <v>2</v>
      </c>
      <c r="AG295">
        <v>4</v>
      </c>
      <c r="AH295">
        <v>4.9970579147338867</v>
      </c>
      <c r="AJ295">
        <v>131.8320007324219</v>
      </c>
      <c r="AK295" t="s">
        <v>54</v>
      </c>
      <c r="AL295" t="s">
        <v>54</v>
      </c>
      <c r="AQ295" t="s">
        <v>54</v>
      </c>
      <c r="AW295" t="s">
        <v>54</v>
      </c>
      <c r="AZ295" t="s">
        <v>54</v>
      </c>
      <c r="BA295" t="s">
        <v>2425</v>
      </c>
      <c r="BB295" s="15" t="s">
        <v>676</v>
      </c>
    </row>
    <row r="296" spans="1:54" x14ac:dyDescent="0.25">
      <c r="A296">
        <v>291</v>
      </c>
      <c r="B296" t="s">
        <v>4172</v>
      </c>
      <c r="C296" t="s">
        <v>4173</v>
      </c>
      <c r="D296" t="s">
        <v>4094</v>
      </c>
      <c r="E296">
        <v>3</v>
      </c>
      <c r="F296" t="s">
        <v>3803</v>
      </c>
      <c r="G296" t="s">
        <v>4074</v>
      </c>
      <c r="H296" t="s">
        <v>4161</v>
      </c>
      <c r="I296" t="s">
        <v>4174</v>
      </c>
      <c r="J296" t="s">
        <v>4175</v>
      </c>
      <c r="K296" t="s">
        <v>4176</v>
      </c>
      <c r="L296" t="s">
        <v>4099</v>
      </c>
      <c r="M296">
        <v>12.37105655670166</v>
      </c>
      <c r="N296" t="s">
        <v>54</v>
      </c>
      <c r="O296" t="s">
        <v>53</v>
      </c>
      <c r="P296" t="s">
        <v>53</v>
      </c>
      <c r="Q296" t="s">
        <v>53</v>
      </c>
      <c r="R296" t="s">
        <v>53</v>
      </c>
      <c r="S296" t="s">
        <v>4177</v>
      </c>
      <c r="T296" t="s">
        <v>4177</v>
      </c>
      <c r="U296" t="s">
        <v>53</v>
      </c>
      <c r="V296" t="s">
        <v>138</v>
      </c>
      <c r="W296">
        <v>500000</v>
      </c>
      <c r="X296" t="s">
        <v>54</v>
      </c>
      <c r="Y296" t="s">
        <v>3819</v>
      </c>
      <c r="Z296">
        <v>50000</v>
      </c>
      <c r="AA296">
        <v>1049</v>
      </c>
      <c r="AB296">
        <v>854</v>
      </c>
      <c r="AC296">
        <v>3957</v>
      </c>
      <c r="AD296">
        <v>2817</v>
      </c>
      <c r="AE296">
        <v>6002</v>
      </c>
      <c r="AF296">
        <v>6</v>
      </c>
      <c r="AG296">
        <v>7</v>
      </c>
      <c r="AH296">
        <v>22.520650863647461</v>
      </c>
      <c r="AJ296">
        <v>71.509941101074219</v>
      </c>
      <c r="AK296" t="s">
        <v>54</v>
      </c>
      <c r="AL296" t="s">
        <v>54</v>
      </c>
      <c r="AQ296" t="s">
        <v>54</v>
      </c>
      <c r="AW296" t="s">
        <v>53</v>
      </c>
      <c r="AZ296" t="s">
        <v>54</v>
      </c>
      <c r="BA296" t="s">
        <v>2425</v>
      </c>
      <c r="BB296" s="15" t="s">
        <v>676</v>
      </c>
    </row>
    <row r="297" spans="1:54" x14ac:dyDescent="0.25">
      <c r="A297">
        <v>292</v>
      </c>
      <c r="B297" t="s">
        <v>4178</v>
      </c>
      <c r="C297" t="s">
        <v>4179</v>
      </c>
      <c r="D297" t="s">
        <v>4094</v>
      </c>
      <c r="E297">
        <v>3</v>
      </c>
      <c r="F297" t="s">
        <v>3803</v>
      </c>
      <c r="G297" t="s">
        <v>4074</v>
      </c>
      <c r="H297" t="s">
        <v>4180</v>
      </c>
      <c r="I297" t="s">
        <v>4181</v>
      </c>
      <c r="J297" t="s">
        <v>4182</v>
      </c>
      <c r="K297" t="s">
        <v>4183</v>
      </c>
      <c r="L297" t="s">
        <v>4099</v>
      </c>
      <c r="M297">
        <v>22.328203201293949</v>
      </c>
      <c r="N297" t="s">
        <v>54</v>
      </c>
      <c r="O297" t="s">
        <v>53</v>
      </c>
      <c r="P297" t="s">
        <v>53</v>
      </c>
      <c r="Q297" t="s">
        <v>53</v>
      </c>
      <c r="R297" t="s">
        <v>53</v>
      </c>
      <c r="S297" t="s">
        <v>4184</v>
      </c>
      <c r="T297" t="s">
        <v>4184</v>
      </c>
      <c r="U297" t="s">
        <v>53</v>
      </c>
      <c r="V297" t="s">
        <v>138</v>
      </c>
      <c r="W297">
        <v>500000</v>
      </c>
      <c r="X297" t="s">
        <v>54</v>
      </c>
      <c r="Y297" t="s">
        <v>4185</v>
      </c>
      <c r="Z297">
        <v>25000</v>
      </c>
      <c r="AA297">
        <v>88</v>
      </c>
      <c r="AB297">
        <v>82</v>
      </c>
      <c r="AC297">
        <v>152</v>
      </c>
      <c r="AD297">
        <v>268</v>
      </c>
      <c r="AE297">
        <v>359</v>
      </c>
      <c r="AF297">
        <v>1</v>
      </c>
      <c r="AG297">
        <v>10</v>
      </c>
      <c r="AH297">
        <v>3.4184279441833501</v>
      </c>
      <c r="AJ297">
        <v>121.24420166015619</v>
      </c>
      <c r="AK297" t="s">
        <v>54</v>
      </c>
      <c r="AL297" t="s">
        <v>54</v>
      </c>
      <c r="AQ297" t="s">
        <v>54</v>
      </c>
      <c r="AW297" t="s">
        <v>54</v>
      </c>
      <c r="AZ297" t="s">
        <v>54</v>
      </c>
      <c r="BA297" t="s">
        <v>2425</v>
      </c>
      <c r="BB297" s="15" t="s">
        <v>676</v>
      </c>
    </row>
    <row r="298" spans="1:54" x14ac:dyDescent="0.25">
      <c r="A298">
        <v>293</v>
      </c>
      <c r="B298" t="s">
        <v>4186</v>
      </c>
      <c r="C298" t="s">
        <v>4187</v>
      </c>
      <c r="D298" t="s">
        <v>4094</v>
      </c>
      <c r="E298">
        <v>3</v>
      </c>
      <c r="F298" t="s">
        <v>3803</v>
      </c>
      <c r="G298" t="s">
        <v>4074</v>
      </c>
      <c r="H298" t="s">
        <v>4161</v>
      </c>
      <c r="I298" t="s">
        <v>4168</v>
      </c>
      <c r="J298" t="s">
        <v>4188</v>
      </c>
      <c r="K298" t="s">
        <v>4189</v>
      </c>
      <c r="L298" t="s">
        <v>4099</v>
      </c>
      <c r="M298">
        <v>18.199769973754879</v>
      </c>
      <c r="N298" t="s">
        <v>54</v>
      </c>
      <c r="O298" t="s">
        <v>53</v>
      </c>
      <c r="P298" t="s">
        <v>53</v>
      </c>
      <c r="Q298" t="s">
        <v>53</v>
      </c>
      <c r="R298" t="s">
        <v>53</v>
      </c>
      <c r="S298" t="s">
        <v>4190</v>
      </c>
      <c r="T298" t="s">
        <v>4190</v>
      </c>
      <c r="U298" t="s">
        <v>53</v>
      </c>
      <c r="V298" t="s">
        <v>138</v>
      </c>
      <c r="W298">
        <v>500000</v>
      </c>
      <c r="X298" t="s">
        <v>54</v>
      </c>
      <c r="Y298" t="s">
        <v>3819</v>
      </c>
      <c r="Z298">
        <v>50000</v>
      </c>
      <c r="AA298">
        <v>314</v>
      </c>
      <c r="AB298">
        <v>301</v>
      </c>
      <c r="AC298">
        <v>347</v>
      </c>
      <c r="AD298">
        <v>1133</v>
      </c>
      <c r="AE298">
        <v>1194</v>
      </c>
      <c r="AF298">
        <v>2</v>
      </c>
      <c r="AG298">
        <v>10</v>
      </c>
      <c r="AH298">
        <v>9.4085597991943359</v>
      </c>
      <c r="AJ298">
        <v>44.357879638671882</v>
      </c>
      <c r="AK298" t="s">
        <v>54</v>
      </c>
      <c r="AL298" t="s">
        <v>54</v>
      </c>
      <c r="AQ298" t="s">
        <v>54</v>
      </c>
      <c r="AW298" t="s">
        <v>54</v>
      </c>
      <c r="AZ298" t="s">
        <v>54</v>
      </c>
      <c r="BA298" t="s">
        <v>2425</v>
      </c>
      <c r="BB298" s="15" t="s">
        <v>678</v>
      </c>
    </row>
    <row r="299" spans="1:54" x14ac:dyDescent="0.25">
      <c r="A299">
        <v>294</v>
      </c>
      <c r="B299" t="s">
        <v>4191</v>
      </c>
      <c r="C299" t="s">
        <v>4192</v>
      </c>
      <c r="D299" t="s">
        <v>4094</v>
      </c>
      <c r="E299">
        <v>3</v>
      </c>
      <c r="F299" t="s">
        <v>3803</v>
      </c>
      <c r="G299" t="s">
        <v>3876</v>
      </c>
      <c r="H299" t="s">
        <v>4193</v>
      </c>
      <c r="I299" t="s">
        <v>4194</v>
      </c>
      <c r="J299" t="s">
        <v>4195</v>
      </c>
      <c r="K299" t="s">
        <v>4196</v>
      </c>
      <c r="L299" t="s">
        <v>4099</v>
      </c>
      <c r="M299">
        <v>14.800642967224119</v>
      </c>
      <c r="N299" t="s">
        <v>54</v>
      </c>
      <c r="O299" t="s">
        <v>53</v>
      </c>
      <c r="P299" t="s">
        <v>53</v>
      </c>
      <c r="Q299" t="s">
        <v>53</v>
      </c>
      <c r="R299" t="s">
        <v>53</v>
      </c>
      <c r="S299" t="s">
        <v>4197</v>
      </c>
      <c r="T299" t="s">
        <v>4197</v>
      </c>
      <c r="U299" t="s">
        <v>53</v>
      </c>
      <c r="V299" t="s">
        <v>138</v>
      </c>
      <c r="W299">
        <v>250000</v>
      </c>
      <c r="X299" t="s">
        <v>54</v>
      </c>
      <c r="Y299" t="s">
        <v>3819</v>
      </c>
      <c r="Z299">
        <v>25000</v>
      </c>
      <c r="AA299">
        <v>0</v>
      </c>
      <c r="AB299">
        <v>0</v>
      </c>
      <c r="AC299">
        <v>0</v>
      </c>
      <c r="AD299">
        <v>0</v>
      </c>
      <c r="AE299">
        <v>0</v>
      </c>
      <c r="AF299">
        <v>0</v>
      </c>
      <c r="AG299">
        <v>0</v>
      </c>
      <c r="AH299">
        <v>3.31398606300354</v>
      </c>
      <c r="AJ299">
        <v>0</v>
      </c>
      <c r="AK299" t="s">
        <v>54</v>
      </c>
      <c r="AL299" t="s">
        <v>54</v>
      </c>
      <c r="AQ299" t="s">
        <v>54</v>
      </c>
      <c r="AW299" t="s">
        <v>53</v>
      </c>
      <c r="AZ299" t="s">
        <v>54</v>
      </c>
      <c r="BA299" t="s">
        <v>2425</v>
      </c>
      <c r="BB299" s="15" t="s">
        <v>676</v>
      </c>
    </row>
    <row r="300" spans="1:54" x14ac:dyDescent="0.25">
      <c r="A300">
        <v>295</v>
      </c>
      <c r="B300" t="s">
        <v>4198</v>
      </c>
      <c r="C300" t="s">
        <v>4199</v>
      </c>
      <c r="D300" t="s">
        <v>4094</v>
      </c>
      <c r="E300">
        <v>3</v>
      </c>
      <c r="F300" t="s">
        <v>3803</v>
      </c>
      <c r="G300" t="s">
        <v>4041</v>
      </c>
      <c r="H300" t="s">
        <v>4200</v>
      </c>
      <c r="I300" t="s">
        <v>4201</v>
      </c>
      <c r="J300" t="s">
        <v>4202</v>
      </c>
      <c r="K300" t="s">
        <v>4203</v>
      </c>
      <c r="L300" t="s">
        <v>4099</v>
      </c>
      <c r="M300">
        <v>68.355194091796875</v>
      </c>
      <c r="N300" t="s">
        <v>54</v>
      </c>
      <c r="O300" t="s">
        <v>53</v>
      </c>
      <c r="P300" t="s">
        <v>53</v>
      </c>
      <c r="Q300" t="s">
        <v>53</v>
      </c>
      <c r="R300" t="s">
        <v>53</v>
      </c>
      <c r="S300" t="s">
        <v>4204</v>
      </c>
      <c r="T300" t="s">
        <v>4204</v>
      </c>
      <c r="U300" t="s">
        <v>53</v>
      </c>
      <c r="V300" t="s">
        <v>138</v>
      </c>
      <c r="W300">
        <v>1000000</v>
      </c>
      <c r="X300" t="s">
        <v>54</v>
      </c>
      <c r="Y300" t="s">
        <v>3819</v>
      </c>
      <c r="Z300">
        <v>100000</v>
      </c>
      <c r="AA300">
        <v>1289</v>
      </c>
      <c r="AB300">
        <v>1241</v>
      </c>
      <c r="AC300">
        <v>5949</v>
      </c>
      <c r="AD300">
        <v>4570</v>
      </c>
      <c r="AE300">
        <v>9333</v>
      </c>
      <c r="AF300">
        <v>8</v>
      </c>
      <c r="AG300">
        <v>18</v>
      </c>
      <c r="AH300">
        <v>42.396648406982422</v>
      </c>
      <c r="AJ300">
        <v>455.44940185546881</v>
      </c>
      <c r="AK300" t="s">
        <v>54</v>
      </c>
      <c r="AL300" t="s">
        <v>54</v>
      </c>
      <c r="AQ300" t="s">
        <v>54</v>
      </c>
      <c r="AW300" t="s">
        <v>54</v>
      </c>
      <c r="AZ300" t="s">
        <v>54</v>
      </c>
      <c r="BA300" t="s">
        <v>2425</v>
      </c>
      <c r="BB300" s="15" t="s">
        <v>678</v>
      </c>
    </row>
    <row r="301" spans="1:54" x14ac:dyDescent="0.25">
      <c r="A301">
        <v>296</v>
      </c>
      <c r="B301" t="s">
        <v>4205</v>
      </c>
      <c r="C301" t="s">
        <v>4206</v>
      </c>
      <c r="D301" t="s">
        <v>4094</v>
      </c>
      <c r="E301">
        <v>3</v>
      </c>
      <c r="F301" t="s">
        <v>3803</v>
      </c>
      <c r="G301" t="s">
        <v>4207</v>
      </c>
      <c r="H301" t="s">
        <v>4208</v>
      </c>
      <c r="I301" t="s">
        <v>4209</v>
      </c>
      <c r="J301" t="s">
        <v>4210</v>
      </c>
      <c r="K301" t="s">
        <v>4211</v>
      </c>
      <c r="L301" t="s">
        <v>4099</v>
      </c>
      <c r="M301">
        <v>13.48195171356201</v>
      </c>
      <c r="N301" t="s">
        <v>54</v>
      </c>
      <c r="O301" t="s">
        <v>53</v>
      </c>
      <c r="P301" t="s">
        <v>53</v>
      </c>
      <c r="Q301" t="s">
        <v>53</v>
      </c>
      <c r="R301" t="s">
        <v>53</v>
      </c>
      <c r="S301" t="s">
        <v>4212</v>
      </c>
      <c r="T301" t="s">
        <v>4212</v>
      </c>
      <c r="U301" t="s">
        <v>53</v>
      </c>
      <c r="V301" t="s">
        <v>138</v>
      </c>
      <c r="W301">
        <v>250000</v>
      </c>
      <c r="X301" t="s">
        <v>54</v>
      </c>
      <c r="Y301" t="s">
        <v>3819</v>
      </c>
      <c r="Z301">
        <v>25000</v>
      </c>
      <c r="AA301">
        <v>125</v>
      </c>
      <c r="AB301">
        <v>84</v>
      </c>
      <c r="AC301">
        <v>797</v>
      </c>
      <c r="AD301">
        <v>253</v>
      </c>
      <c r="AE301">
        <v>964</v>
      </c>
      <c r="AF301">
        <v>4</v>
      </c>
      <c r="AG301">
        <v>6</v>
      </c>
      <c r="AH301">
        <v>7.1465492248535156</v>
      </c>
      <c r="AJ301">
        <v>138.9837951660156</v>
      </c>
      <c r="AK301" t="s">
        <v>54</v>
      </c>
      <c r="AL301" t="s">
        <v>54</v>
      </c>
      <c r="AQ301" t="s">
        <v>54</v>
      </c>
      <c r="AW301" t="s">
        <v>54</v>
      </c>
      <c r="AZ301" t="s">
        <v>54</v>
      </c>
      <c r="BA301" t="s">
        <v>2425</v>
      </c>
      <c r="BB301" s="15" t="s">
        <v>676</v>
      </c>
    </row>
    <row r="302" spans="1:54" x14ac:dyDescent="0.25">
      <c r="A302">
        <v>297</v>
      </c>
      <c r="B302" t="s">
        <v>4213</v>
      </c>
      <c r="C302" t="s">
        <v>4214</v>
      </c>
      <c r="D302" t="s">
        <v>4094</v>
      </c>
      <c r="E302">
        <v>3</v>
      </c>
      <c r="F302" t="s">
        <v>3803</v>
      </c>
      <c r="G302" t="s">
        <v>4215</v>
      </c>
      <c r="H302" t="s">
        <v>4161</v>
      </c>
      <c r="I302" t="s">
        <v>4216</v>
      </c>
      <c r="J302" t="s">
        <v>4217</v>
      </c>
      <c r="K302" t="s">
        <v>4218</v>
      </c>
      <c r="L302" t="s">
        <v>4099</v>
      </c>
      <c r="M302">
        <v>1.2044458389282231</v>
      </c>
      <c r="N302" t="s">
        <v>54</v>
      </c>
      <c r="O302" t="s">
        <v>53</v>
      </c>
      <c r="P302" t="s">
        <v>53</v>
      </c>
      <c r="Q302" t="s">
        <v>53</v>
      </c>
      <c r="R302" t="s">
        <v>53</v>
      </c>
      <c r="S302" t="s">
        <v>4219</v>
      </c>
      <c r="T302" t="s">
        <v>4219</v>
      </c>
      <c r="U302" t="s">
        <v>53</v>
      </c>
      <c r="V302" t="s">
        <v>138</v>
      </c>
      <c r="W302">
        <v>250000</v>
      </c>
      <c r="X302" t="s">
        <v>54</v>
      </c>
      <c r="Y302" t="s">
        <v>3819</v>
      </c>
      <c r="Z302">
        <v>25000</v>
      </c>
      <c r="AA302">
        <v>0</v>
      </c>
      <c r="AB302">
        <v>0</v>
      </c>
      <c r="AC302">
        <v>0</v>
      </c>
      <c r="AD302">
        <v>0</v>
      </c>
      <c r="AE302">
        <v>0</v>
      </c>
      <c r="AF302">
        <v>1</v>
      </c>
      <c r="AG302">
        <v>0</v>
      </c>
      <c r="AH302">
        <v>0</v>
      </c>
      <c r="AJ302">
        <v>0</v>
      </c>
      <c r="AK302" t="s">
        <v>54</v>
      </c>
      <c r="AL302" t="s">
        <v>54</v>
      </c>
      <c r="AQ302" t="s">
        <v>54</v>
      </c>
      <c r="AW302" t="s">
        <v>53</v>
      </c>
      <c r="AZ302" t="s">
        <v>54</v>
      </c>
      <c r="BA302" t="s">
        <v>2425</v>
      </c>
      <c r="BB302" s="15" t="s">
        <v>678</v>
      </c>
    </row>
    <row r="303" spans="1:54" x14ac:dyDescent="0.25">
      <c r="A303">
        <v>298</v>
      </c>
      <c r="B303" t="s">
        <v>4220</v>
      </c>
      <c r="C303" t="s">
        <v>4221</v>
      </c>
      <c r="D303" t="s">
        <v>4094</v>
      </c>
      <c r="E303">
        <v>3</v>
      </c>
      <c r="F303" t="s">
        <v>3803</v>
      </c>
      <c r="G303" t="s">
        <v>4222</v>
      </c>
      <c r="H303" t="s">
        <v>4223</v>
      </c>
      <c r="I303" t="s">
        <v>4224</v>
      </c>
      <c r="J303" t="s">
        <v>4225</v>
      </c>
      <c r="K303" t="s">
        <v>4226</v>
      </c>
      <c r="L303" t="s">
        <v>4099</v>
      </c>
      <c r="M303">
        <v>8.7667646408081055</v>
      </c>
      <c r="N303" t="s">
        <v>54</v>
      </c>
      <c r="O303" t="s">
        <v>53</v>
      </c>
      <c r="P303" t="s">
        <v>53</v>
      </c>
      <c r="Q303" t="s">
        <v>53</v>
      </c>
      <c r="R303" t="s">
        <v>53</v>
      </c>
      <c r="S303" t="s">
        <v>4227</v>
      </c>
      <c r="T303" t="s">
        <v>4227</v>
      </c>
      <c r="U303" t="s">
        <v>53</v>
      </c>
      <c r="V303" t="s">
        <v>138</v>
      </c>
      <c r="W303">
        <v>250000</v>
      </c>
      <c r="X303" t="s">
        <v>54</v>
      </c>
      <c r="Y303" t="s">
        <v>3982</v>
      </c>
      <c r="Z303">
        <v>25000</v>
      </c>
      <c r="AA303">
        <v>34</v>
      </c>
      <c r="AB303">
        <v>25</v>
      </c>
      <c r="AC303">
        <v>262</v>
      </c>
      <c r="AD303">
        <v>175</v>
      </c>
      <c r="AE303">
        <v>298</v>
      </c>
      <c r="AF303">
        <v>1</v>
      </c>
      <c r="AG303">
        <v>0</v>
      </c>
      <c r="AH303">
        <v>2.5955829620361328</v>
      </c>
      <c r="AJ303">
        <v>114.79599761962891</v>
      </c>
      <c r="AK303" t="s">
        <v>54</v>
      </c>
      <c r="AL303" t="s">
        <v>54</v>
      </c>
      <c r="AQ303" t="s">
        <v>54</v>
      </c>
      <c r="AW303" t="s">
        <v>53</v>
      </c>
      <c r="AZ303" t="s">
        <v>54</v>
      </c>
      <c r="BA303" t="s">
        <v>2425</v>
      </c>
      <c r="BB303" s="15" t="s">
        <v>678</v>
      </c>
    </row>
    <row r="304" spans="1:54" x14ac:dyDescent="0.25">
      <c r="A304">
        <v>299</v>
      </c>
      <c r="B304" t="s">
        <v>4228</v>
      </c>
      <c r="C304" t="s">
        <v>4229</v>
      </c>
      <c r="D304" t="s">
        <v>4230</v>
      </c>
      <c r="E304">
        <v>3</v>
      </c>
      <c r="F304" t="s">
        <v>3803</v>
      </c>
      <c r="G304" t="s">
        <v>4231</v>
      </c>
      <c r="H304" t="s">
        <v>4232</v>
      </c>
      <c r="I304" t="s">
        <v>4233</v>
      </c>
      <c r="J304" t="s">
        <v>4234</v>
      </c>
      <c r="K304" t="s">
        <v>4235</v>
      </c>
      <c r="L304" t="s">
        <v>4099</v>
      </c>
      <c r="M304">
        <v>49.153739929199219</v>
      </c>
      <c r="N304" t="s">
        <v>54</v>
      </c>
      <c r="O304" t="s">
        <v>53</v>
      </c>
      <c r="P304" t="s">
        <v>53</v>
      </c>
      <c r="Q304" t="s">
        <v>53</v>
      </c>
      <c r="R304" t="s">
        <v>53</v>
      </c>
      <c r="S304" t="s">
        <v>4236</v>
      </c>
      <c r="T304" t="s">
        <v>4236</v>
      </c>
      <c r="U304" t="s">
        <v>53</v>
      </c>
      <c r="V304" t="s">
        <v>138</v>
      </c>
      <c r="W304">
        <v>752000</v>
      </c>
      <c r="X304" t="s">
        <v>54</v>
      </c>
      <c r="Y304" t="s">
        <v>3819</v>
      </c>
      <c r="Z304">
        <v>75200</v>
      </c>
      <c r="AA304">
        <v>490</v>
      </c>
      <c r="AB304">
        <v>424</v>
      </c>
      <c r="AC304">
        <v>1627</v>
      </c>
      <c r="AD304">
        <v>1023</v>
      </c>
      <c r="AE304">
        <v>2389</v>
      </c>
      <c r="AF304">
        <v>6</v>
      </c>
      <c r="AG304">
        <v>0</v>
      </c>
      <c r="AH304">
        <v>31.529470443725589</v>
      </c>
      <c r="AJ304">
        <v>2152.152099609375</v>
      </c>
      <c r="AK304" t="s">
        <v>54</v>
      </c>
      <c r="AL304" t="s">
        <v>54</v>
      </c>
      <c r="AQ304" t="s">
        <v>54</v>
      </c>
      <c r="AW304" t="s">
        <v>54</v>
      </c>
      <c r="AZ304" t="s">
        <v>54</v>
      </c>
      <c r="BA304" t="s">
        <v>2425</v>
      </c>
      <c r="BB304" s="15" t="s">
        <v>678</v>
      </c>
    </row>
    <row r="305" spans="1:54" x14ac:dyDescent="0.25">
      <c r="A305">
        <v>300</v>
      </c>
      <c r="B305" t="s">
        <v>4237</v>
      </c>
      <c r="C305" t="s">
        <v>4238</v>
      </c>
      <c r="D305" t="s">
        <v>4094</v>
      </c>
      <c r="E305">
        <v>3</v>
      </c>
      <c r="F305" t="s">
        <v>3803</v>
      </c>
      <c r="G305" t="s">
        <v>4239</v>
      </c>
      <c r="H305" t="s">
        <v>4240</v>
      </c>
      <c r="I305" t="s">
        <v>4241</v>
      </c>
      <c r="J305" t="s">
        <v>4242</v>
      </c>
      <c r="K305" t="s">
        <v>4243</v>
      </c>
      <c r="L305" t="s">
        <v>4099</v>
      </c>
      <c r="M305">
        <v>9.2393178939819336</v>
      </c>
      <c r="N305" t="s">
        <v>54</v>
      </c>
      <c r="O305" t="s">
        <v>53</v>
      </c>
      <c r="P305" t="s">
        <v>53</v>
      </c>
      <c r="Q305" t="s">
        <v>53</v>
      </c>
      <c r="R305" t="s">
        <v>53</v>
      </c>
      <c r="S305" t="s">
        <v>4244</v>
      </c>
      <c r="T305" t="s">
        <v>4244</v>
      </c>
      <c r="U305" t="s">
        <v>53</v>
      </c>
      <c r="V305" t="s">
        <v>138</v>
      </c>
      <c r="W305">
        <v>250000</v>
      </c>
      <c r="X305" t="s">
        <v>54</v>
      </c>
      <c r="Y305" t="s">
        <v>3819</v>
      </c>
      <c r="Z305">
        <v>25000</v>
      </c>
      <c r="AA305">
        <v>136</v>
      </c>
      <c r="AB305">
        <v>106</v>
      </c>
      <c r="AC305">
        <v>116</v>
      </c>
      <c r="AD305">
        <v>177</v>
      </c>
      <c r="AE305">
        <v>241</v>
      </c>
      <c r="AF305">
        <v>4</v>
      </c>
      <c r="AG305">
        <v>0</v>
      </c>
      <c r="AH305">
        <v>6.0752139091491699</v>
      </c>
      <c r="AJ305">
        <v>148.7413024902344</v>
      </c>
      <c r="AK305" t="s">
        <v>54</v>
      </c>
      <c r="AL305" t="s">
        <v>54</v>
      </c>
      <c r="AQ305" t="s">
        <v>54</v>
      </c>
      <c r="AW305" t="s">
        <v>54</v>
      </c>
      <c r="AZ305" t="s">
        <v>54</v>
      </c>
      <c r="BA305" t="s">
        <v>2425</v>
      </c>
      <c r="BB305" s="15" t="s">
        <v>678</v>
      </c>
    </row>
    <row r="306" spans="1:54" x14ac:dyDescent="0.25">
      <c r="A306">
        <v>301</v>
      </c>
      <c r="B306" t="s">
        <v>4245</v>
      </c>
      <c r="C306" t="s">
        <v>4246</v>
      </c>
      <c r="D306" t="s">
        <v>4094</v>
      </c>
      <c r="E306">
        <v>3</v>
      </c>
      <c r="F306" t="s">
        <v>3803</v>
      </c>
      <c r="G306" t="s">
        <v>4247</v>
      </c>
      <c r="H306" t="s">
        <v>4248</v>
      </c>
      <c r="I306" t="s">
        <v>4249</v>
      </c>
      <c r="J306" t="s">
        <v>4250</v>
      </c>
      <c r="K306" t="s">
        <v>4251</v>
      </c>
      <c r="L306" t="s">
        <v>4099</v>
      </c>
      <c r="M306">
        <v>1.513017535209656</v>
      </c>
      <c r="N306" t="s">
        <v>54</v>
      </c>
      <c r="O306" t="s">
        <v>53</v>
      </c>
      <c r="P306" t="s">
        <v>53</v>
      </c>
      <c r="Q306" t="s">
        <v>53</v>
      </c>
      <c r="R306" t="s">
        <v>53</v>
      </c>
      <c r="S306" t="s">
        <v>4252</v>
      </c>
      <c r="T306" t="s">
        <v>4252</v>
      </c>
      <c r="U306" t="s">
        <v>53</v>
      </c>
      <c r="V306" t="s">
        <v>138</v>
      </c>
      <c r="W306">
        <v>250000</v>
      </c>
      <c r="X306" t="s">
        <v>54</v>
      </c>
      <c r="Y306" t="s">
        <v>3819</v>
      </c>
      <c r="Z306">
        <v>25000</v>
      </c>
      <c r="AA306">
        <v>8</v>
      </c>
      <c r="AB306">
        <v>2</v>
      </c>
      <c r="AC306">
        <v>5</v>
      </c>
      <c r="AD306">
        <v>10</v>
      </c>
      <c r="AE306">
        <v>13</v>
      </c>
      <c r="AF306">
        <v>0</v>
      </c>
      <c r="AG306">
        <v>0</v>
      </c>
      <c r="AH306">
        <v>0.13871780037879941</v>
      </c>
      <c r="AJ306">
        <v>180.85670471191409</v>
      </c>
      <c r="AK306" t="s">
        <v>54</v>
      </c>
      <c r="AL306" t="s">
        <v>54</v>
      </c>
      <c r="AQ306" t="s">
        <v>54</v>
      </c>
      <c r="AW306" t="s">
        <v>54</v>
      </c>
      <c r="AZ306" t="s">
        <v>54</v>
      </c>
      <c r="BA306" t="s">
        <v>2425</v>
      </c>
      <c r="BB306" s="15" t="s">
        <v>678</v>
      </c>
    </row>
    <row r="307" spans="1:54" x14ac:dyDescent="0.25">
      <c r="A307">
        <v>302</v>
      </c>
      <c r="B307" t="s">
        <v>4253</v>
      </c>
      <c r="C307" t="s">
        <v>4254</v>
      </c>
      <c r="D307" t="s">
        <v>4094</v>
      </c>
      <c r="E307">
        <v>3</v>
      </c>
      <c r="F307" t="s">
        <v>3803</v>
      </c>
      <c r="G307" t="s">
        <v>4247</v>
      </c>
      <c r="H307" t="s">
        <v>4116</v>
      </c>
      <c r="I307" t="s">
        <v>4255</v>
      </c>
      <c r="J307" t="s">
        <v>4256</v>
      </c>
      <c r="K307" t="s">
        <v>4257</v>
      </c>
      <c r="L307" t="s">
        <v>4099</v>
      </c>
      <c r="M307">
        <v>7.7977766990661621</v>
      </c>
      <c r="N307" t="s">
        <v>54</v>
      </c>
      <c r="O307" t="s">
        <v>53</v>
      </c>
      <c r="P307" t="s">
        <v>53</v>
      </c>
      <c r="Q307" t="s">
        <v>53</v>
      </c>
      <c r="R307" t="s">
        <v>53</v>
      </c>
      <c r="S307" t="s">
        <v>4258</v>
      </c>
      <c r="T307" t="s">
        <v>4258</v>
      </c>
      <c r="U307" t="s">
        <v>53</v>
      </c>
      <c r="V307" t="s">
        <v>138</v>
      </c>
      <c r="W307">
        <v>250000</v>
      </c>
      <c r="X307" t="s">
        <v>54</v>
      </c>
      <c r="Y307" t="s">
        <v>3819</v>
      </c>
      <c r="Z307">
        <v>25000</v>
      </c>
      <c r="AA307">
        <v>110</v>
      </c>
      <c r="AB307">
        <v>108</v>
      </c>
      <c r="AC307">
        <v>61</v>
      </c>
      <c r="AD307">
        <v>360</v>
      </c>
      <c r="AE307">
        <v>361</v>
      </c>
      <c r="AF307">
        <v>2</v>
      </c>
      <c r="AG307">
        <v>1</v>
      </c>
      <c r="AH307">
        <v>3.742250919342041</v>
      </c>
      <c r="AJ307">
        <v>47.924259185791023</v>
      </c>
      <c r="AK307" t="s">
        <v>54</v>
      </c>
      <c r="AL307" t="s">
        <v>54</v>
      </c>
      <c r="AQ307" t="s">
        <v>54</v>
      </c>
      <c r="AW307" t="s">
        <v>54</v>
      </c>
      <c r="AZ307" t="s">
        <v>54</v>
      </c>
      <c r="BA307" t="s">
        <v>2425</v>
      </c>
      <c r="BB307" s="15" t="s">
        <v>678</v>
      </c>
    </row>
    <row r="308" spans="1:54" x14ac:dyDescent="0.25">
      <c r="A308">
        <v>303</v>
      </c>
      <c r="B308" t="s">
        <v>4259</v>
      </c>
      <c r="C308" t="s">
        <v>4260</v>
      </c>
      <c r="D308" t="s">
        <v>4094</v>
      </c>
      <c r="E308">
        <v>3</v>
      </c>
      <c r="F308" t="s">
        <v>3803</v>
      </c>
      <c r="G308" t="s">
        <v>4215</v>
      </c>
      <c r="H308" t="s">
        <v>4180</v>
      </c>
      <c r="I308" t="s">
        <v>4261</v>
      </c>
      <c r="J308" t="s">
        <v>4262</v>
      </c>
      <c r="K308" t="s">
        <v>4263</v>
      </c>
      <c r="L308" t="s">
        <v>4099</v>
      </c>
      <c r="M308">
        <v>18.41146087646484</v>
      </c>
      <c r="N308" t="s">
        <v>54</v>
      </c>
      <c r="O308" t="s">
        <v>53</v>
      </c>
      <c r="P308" t="s">
        <v>53</v>
      </c>
      <c r="Q308" t="s">
        <v>53</v>
      </c>
      <c r="R308" t="s">
        <v>53</v>
      </c>
      <c r="S308" t="s">
        <v>4264</v>
      </c>
      <c r="T308" t="s">
        <v>4264</v>
      </c>
      <c r="U308" t="s">
        <v>53</v>
      </c>
      <c r="V308" t="s">
        <v>138</v>
      </c>
      <c r="W308">
        <v>500000</v>
      </c>
      <c r="X308" t="s">
        <v>54</v>
      </c>
      <c r="Y308" t="s">
        <v>3819</v>
      </c>
      <c r="Z308">
        <v>500000</v>
      </c>
      <c r="AA308">
        <v>166</v>
      </c>
      <c r="AB308">
        <v>149</v>
      </c>
      <c r="AC308">
        <v>3943</v>
      </c>
      <c r="AD308">
        <v>584</v>
      </c>
      <c r="AE308">
        <v>4380</v>
      </c>
      <c r="AF308">
        <v>4</v>
      </c>
      <c r="AG308">
        <v>10</v>
      </c>
      <c r="AH308">
        <v>3.9777789115905762</v>
      </c>
      <c r="AJ308">
        <v>199.92140197753909</v>
      </c>
      <c r="AK308" t="s">
        <v>54</v>
      </c>
      <c r="AL308" t="s">
        <v>54</v>
      </c>
      <c r="AQ308" t="s">
        <v>54</v>
      </c>
      <c r="AW308" t="s">
        <v>54</v>
      </c>
      <c r="AZ308" t="s">
        <v>54</v>
      </c>
      <c r="BA308" t="s">
        <v>2425</v>
      </c>
      <c r="BB308" s="15" t="s">
        <v>678</v>
      </c>
    </row>
    <row r="309" spans="1:54" x14ac:dyDescent="0.25">
      <c r="A309">
        <v>304</v>
      </c>
      <c r="B309" t="s">
        <v>4265</v>
      </c>
      <c r="C309" t="s">
        <v>4266</v>
      </c>
      <c r="D309" t="s">
        <v>4267</v>
      </c>
      <c r="E309">
        <v>3</v>
      </c>
      <c r="F309" t="s">
        <v>3803</v>
      </c>
      <c r="G309" t="s">
        <v>3804</v>
      </c>
      <c r="H309" t="s">
        <v>3805</v>
      </c>
      <c r="I309" t="s">
        <v>3806</v>
      </c>
      <c r="J309" t="s">
        <v>4262</v>
      </c>
      <c r="K309" t="s">
        <v>3808</v>
      </c>
      <c r="L309" t="s">
        <v>4099</v>
      </c>
      <c r="M309">
        <v>1073.464111328125</v>
      </c>
      <c r="N309" t="s">
        <v>54</v>
      </c>
      <c r="O309" t="s">
        <v>53</v>
      </c>
      <c r="P309" t="s">
        <v>53</v>
      </c>
      <c r="Q309" t="s">
        <v>53</v>
      </c>
      <c r="R309" t="s">
        <v>53</v>
      </c>
      <c r="S309" t="s">
        <v>3810</v>
      </c>
      <c r="T309" t="s">
        <v>3810</v>
      </c>
      <c r="U309" t="s">
        <v>53</v>
      </c>
      <c r="V309" t="s">
        <v>138</v>
      </c>
      <c r="W309">
        <v>500000</v>
      </c>
      <c r="X309" t="s">
        <v>53</v>
      </c>
      <c r="Y309" t="s">
        <v>3811</v>
      </c>
      <c r="Z309">
        <v>0</v>
      </c>
      <c r="AA309">
        <v>667</v>
      </c>
      <c r="AB309">
        <v>416</v>
      </c>
      <c r="AC309">
        <v>760</v>
      </c>
      <c r="AD309">
        <v>1098</v>
      </c>
      <c r="AE309">
        <v>1408</v>
      </c>
      <c r="AF309">
        <v>6</v>
      </c>
      <c r="AG309">
        <v>6</v>
      </c>
      <c r="AH309">
        <v>73.343528747558594</v>
      </c>
      <c r="AJ309">
        <v>36103.83984375</v>
      </c>
      <c r="AK309" t="s">
        <v>54</v>
      </c>
      <c r="AL309" t="s">
        <v>54</v>
      </c>
      <c r="AQ309" t="s">
        <v>54</v>
      </c>
      <c r="AW309" t="s">
        <v>54</v>
      </c>
      <c r="AZ309" t="s">
        <v>54</v>
      </c>
      <c r="BA309" t="s">
        <v>2425</v>
      </c>
      <c r="BB309" s="15" t="s">
        <v>678</v>
      </c>
    </row>
    <row r="310" spans="1:54" x14ac:dyDescent="0.25">
      <c r="A310">
        <v>305</v>
      </c>
      <c r="B310" t="s">
        <v>4268</v>
      </c>
      <c r="C310" t="s">
        <v>4269</v>
      </c>
      <c r="D310" t="s">
        <v>4270</v>
      </c>
      <c r="E310">
        <v>3</v>
      </c>
      <c r="F310" t="s">
        <v>3803</v>
      </c>
      <c r="G310" t="s">
        <v>3834</v>
      </c>
      <c r="H310" t="s">
        <v>3835</v>
      </c>
      <c r="I310" t="s">
        <v>3836</v>
      </c>
      <c r="J310" t="s">
        <v>4262</v>
      </c>
      <c r="K310" t="s">
        <v>3837</v>
      </c>
      <c r="L310" t="s">
        <v>4099</v>
      </c>
      <c r="M310">
        <v>893.008056640625</v>
      </c>
      <c r="N310" t="s">
        <v>54</v>
      </c>
      <c r="O310" t="s">
        <v>53</v>
      </c>
      <c r="P310" t="s">
        <v>53</v>
      </c>
      <c r="Q310" t="s">
        <v>53</v>
      </c>
      <c r="R310" t="s">
        <v>53</v>
      </c>
      <c r="S310" t="s">
        <v>2978</v>
      </c>
      <c r="T310" t="s">
        <v>2978</v>
      </c>
      <c r="U310" t="s">
        <v>53</v>
      </c>
      <c r="V310" t="s">
        <v>138</v>
      </c>
      <c r="W310">
        <v>500000</v>
      </c>
      <c r="X310" t="s">
        <v>54</v>
      </c>
      <c r="Y310" t="s">
        <v>3819</v>
      </c>
      <c r="Z310">
        <v>50000</v>
      </c>
      <c r="AA310">
        <v>1328</v>
      </c>
      <c r="AB310">
        <v>964</v>
      </c>
      <c r="AC310">
        <v>998</v>
      </c>
      <c r="AD310">
        <v>1528</v>
      </c>
      <c r="AE310">
        <v>2077</v>
      </c>
      <c r="AF310">
        <v>6</v>
      </c>
      <c r="AG310">
        <v>32</v>
      </c>
      <c r="AH310">
        <v>81.361366271972656</v>
      </c>
      <c r="AJ310">
        <v>40870.1796875</v>
      </c>
      <c r="AK310" t="s">
        <v>54</v>
      </c>
      <c r="AL310" t="s">
        <v>54</v>
      </c>
      <c r="AQ310" t="s">
        <v>54</v>
      </c>
      <c r="AW310" t="s">
        <v>54</v>
      </c>
      <c r="AZ310" t="s">
        <v>54</v>
      </c>
      <c r="BA310" t="s">
        <v>2425</v>
      </c>
      <c r="BB310" s="15" t="s">
        <v>678</v>
      </c>
    </row>
    <row r="311" spans="1:54" x14ac:dyDescent="0.25">
      <c r="A311">
        <v>306</v>
      </c>
      <c r="B311" t="s">
        <v>4271</v>
      </c>
      <c r="C311" t="s">
        <v>4272</v>
      </c>
      <c r="D311" t="s">
        <v>4267</v>
      </c>
      <c r="E311">
        <v>3</v>
      </c>
      <c r="F311" t="s">
        <v>3803</v>
      </c>
      <c r="G311" t="s">
        <v>3852</v>
      </c>
      <c r="H311" t="s">
        <v>3853</v>
      </c>
      <c r="I311" t="s">
        <v>3854</v>
      </c>
      <c r="J311" t="s">
        <v>4262</v>
      </c>
      <c r="K311" t="s">
        <v>3855</v>
      </c>
      <c r="L311" t="s">
        <v>4099</v>
      </c>
      <c r="M311">
        <v>896.7938232421875</v>
      </c>
      <c r="N311" t="s">
        <v>54</v>
      </c>
      <c r="O311" t="s">
        <v>53</v>
      </c>
      <c r="P311" t="s">
        <v>53</v>
      </c>
      <c r="Q311" t="s">
        <v>53</v>
      </c>
      <c r="R311" t="s">
        <v>53</v>
      </c>
      <c r="S311" t="s">
        <v>3489</v>
      </c>
      <c r="T311" t="s">
        <v>3489</v>
      </c>
      <c r="U311" t="s">
        <v>53</v>
      </c>
      <c r="V311" t="s">
        <v>138</v>
      </c>
      <c r="W311">
        <v>500000</v>
      </c>
      <c r="X311" t="s">
        <v>53</v>
      </c>
      <c r="Y311" t="s">
        <v>3811</v>
      </c>
      <c r="Z311">
        <v>0</v>
      </c>
      <c r="AA311">
        <v>139</v>
      </c>
      <c r="AB311">
        <v>119</v>
      </c>
      <c r="AC311">
        <v>22</v>
      </c>
      <c r="AD311">
        <v>91</v>
      </c>
      <c r="AE311">
        <v>93</v>
      </c>
      <c r="AF311">
        <v>0</v>
      </c>
      <c r="AG311">
        <v>0</v>
      </c>
      <c r="AH311">
        <v>4.4001379013061523</v>
      </c>
      <c r="AJ311">
        <v>1782.81494140625</v>
      </c>
      <c r="AK311" t="s">
        <v>54</v>
      </c>
      <c r="AL311" t="s">
        <v>54</v>
      </c>
      <c r="AQ311" t="s">
        <v>54</v>
      </c>
      <c r="AW311" t="s">
        <v>53</v>
      </c>
      <c r="AZ311" t="s">
        <v>54</v>
      </c>
      <c r="BA311" t="s">
        <v>2425</v>
      </c>
      <c r="BB311" s="15" t="s">
        <v>676</v>
      </c>
    </row>
    <row r="312" spans="1:54" x14ac:dyDescent="0.25">
      <c r="A312">
        <v>307</v>
      </c>
      <c r="B312" t="s">
        <v>4273</v>
      </c>
      <c r="C312" t="s">
        <v>4274</v>
      </c>
      <c r="D312" t="s">
        <v>4267</v>
      </c>
      <c r="E312">
        <v>3</v>
      </c>
      <c r="F312" t="s">
        <v>3803</v>
      </c>
      <c r="G312" t="s">
        <v>3858</v>
      </c>
      <c r="H312" t="s">
        <v>3859</v>
      </c>
      <c r="I312" t="s">
        <v>3860</v>
      </c>
      <c r="J312" t="s">
        <v>4262</v>
      </c>
      <c r="K312" t="s">
        <v>3855</v>
      </c>
      <c r="L312" t="s">
        <v>4099</v>
      </c>
      <c r="M312">
        <v>888.1444091796875</v>
      </c>
      <c r="N312" t="s">
        <v>54</v>
      </c>
      <c r="O312" t="s">
        <v>53</v>
      </c>
      <c r="P312" t="s">
        <v>53</v>
      </c>
      <c r="Q312" t="s">
        <v>53</v>
      </c>
      <c r="R312" t="s">
        <v>53</v>
      </c>
      <c r="S312" t="s">
        <v>4275</v>
      </c>
      <c r="T312" t="s">
        <v>4275</v>
      </c>
      <c r="U312" t="s">
        <v>53</v>
      </c>
      <c r="V312" t="s">
        <v>138</v>
      </c>
      <c r="W312">
        <v>500000</v>
      </c>
      <c r="X312" t="s">
        <v>54</v>
      </c>
      <c r="Y312" t="s">
        <v>3819</v>
      </c>
      <c r="Z312">
        <v>50000</v>
      </c>
      <c r="AA312">
        <v>557</v>
      </c>
      <c r="AB312">
        <v>237</v>
      </c>
      <c r="AC312">
        <v>166</v>
      </c>
      <c r="AD312">
        <v>360</v>
      </c>
      <c r="AE312">
        <v>389</v>
      </c>
      <c r="AF312">
        <v>3</v>
      </c>
      <c r="AG312">
        <v>2</v>
      </c>
      <c r="AH312">
        <v>90.633773803710938</v>
      </c>
      <c r="AJ312">
        <v>48504.25</v>
      </c>
      <c r="AK312" t="s">
        <v>54</v>
      </c>
      <c r="AL312" t="s">
        <v>54</v>
      </c>
      <c r="AQ312" t="s">
        <v>54</v>
      </c>
      <c r="AW312" t="s">
        <v>53</v>
      </c>
      <c r="AZ312" t="s">
        <v>54</v>
      </c>
      <c r="BA312" t="s">
        <v>2425</v>
      </c>
      <c r="BB312" s="15" t="s">
        <v>678</v>
      </c>
    </row>
    <row r="313" spans="1:54" x14ac:dyDescent="0.25">
      <c r="A313">
        <v>308</v>
      </c>
      <c r="B313" t="s">
        <v>4276</v>
      </c>
      <c r="C313" t="s">
        <v>4277</v>
      </c>
      <c r="D313" t="s">
        <v>4278</v>
      </c>
      <c r="E313">
        <v>3</v>
      </c>
      <c r="F313" t="s">
        <v>3803</v>
      </c>
      <c r="G313" t="s">
        <v>3897</v>
      </c>
      <c r="H313" t="s">
        <v>3898</v>
      </c>
      <c r="I313" t="s">
        <v>3899</v>
      </c>
      <c r="J313" t="s">
        <v>4262</v>
      </c>
      <c r="K313" t="s">
        <v>3900</v>
      </c>
      <c r="L313" t="s">
        <v>4099</v>
      </c>
      <c r="M313">
        <v>1231.7548828125</v>
      </c>
      <c r="N313" t="s">
        <v>54</v>
      </c>
      <c r="O313" t="s">
        <v>53</v>
      </c>
      <c r="P313" t="s">
        <v>53</v>
      </c>
      <c r="Q313" t="s">
        <v>53</v>
      </c>
      <c r="R313" t="s">
        <v>53</v>
      </c>
      <c r="S313" t="s">
        <v>3901</v>
      </c>
      <c r="T313" t="s">
        <v>3901</v>
      </c>
      <c r="U313" t="s">
        <v>53</v>
      </c>
      <c r="V313" t="s">
        <v>138</v>
      </c>
      <c r="W313">
        <v>500000</v>
      </c>
      <c r="X313" t="s">
        <v>54</v>
      </c>
      <c r="Y313" t="s">
        <v>3819</v>
      </c>
      <c r="Z313">
        <v>50000</v>
      </c>
      <c r="AA313">
        <v>454</v>
      </c>
      <c r="AB313">
        <v>250</v>
      </c>
      <c r="AC313">
        <v>138</v>
      </c>
      <c r="AD313">
        <v>353</v>
      </c>
      <c r="AE313">
        <v>391</v>
      </c>
      <c r="AF313">
        <v>5</v>
      </c>
      <c r="AG313">
        <v>18</v>
      </c>
      <c r="AH313">
        <v>110.1063995361328</v>
      </c>
      <c r="AJ313">
        <v>28799.849609375</v>
      </c>
      <c r="AK313" t="s">
        <v>54</v>
      </c>
      <c r="AL313" t="s">
        <v>54</v>
      </c>
      <c r="AQ313" t="s">
        <v>54</v>
      </c>
      <c r="AW313" t="s">
        <v>54</v>
      </c>
      <c r="AZ313" t="s">
        <v>54</v>
      </c>
      <c r="BA313" t="s">
        <v>2425</v>
      </c>
      <c r="BB313" s="15" t="s">
        <v>678</v>
      </c>
    </row>
    <row r="314" spans="1:54" x14ac:dyDescent="0.25">
      <c r="A314">
        <v>309</v>
      </c>
      <c r="B314" t="s">
        <v>4279</v>
      </c>
      <c r="C314" t="s">
        <v>4280</v>
      </c>
      <c r="D314" t="s">
        <v>4267</v>
      </c>
      <c r="E314">
        <v>3</v>
      </c>
      <c r="F314" t="s">
        <v>3803</v>
      </c>
      <c r="G314" t="s">
        <v>3911</v>
      </c>
      <c r="H314" t="s">
        <v>3912</v>
      </c>
      <c r="I314" t="s">
        <v>3913</v>
      </c>
      <c r="J314" t="s">
        <v>4262</v>
      </c>
      <c r="K314" t="s">
        <v>3914</v>
      </c>
      <c r="L314" t="s">
        <v>4099</v>
      </c>
      <c r="M314">
        <v>917.33319091796875</v>
      </c>
      <c r="N314" t="s">
        <v>54</v>
      </c>
      <c r="O314" t="s">
        <v>53</v>
      </c>
      <c r="P314" t="s">
        <v>53</v>
      </c>
      <c r="Q314" t="s">
        <v>53</v>
      </c>
      <c r="R314" t="s">
        <v>53</v>
      </c>
      <c r="S314" t="s">
        <v>3915</v>
      </c>
      <c r="T314" t="s">
        <v>3915</v>
      </c>
      <c r="U314" t="s">
        <v>53</v>
      </c>
      <c r="V314" t="s">
        <v>138</v>
      </c>
      <c r="W314">
        <v>500000</v>
      </c>
      <c r="X314" t="s">
        <v>54</v>
      </c>
      <c r="Y314" t="s">
        <v>3819</v>
      </c>
      <c r="Z314">
        <v>50000</v>
      </c>
      <c r="AA314">
        <v>268</v>
      </c>
      <c r="AB314">
        <v>105</v>
      </c>
      <c r="AC314">
        <v>105</v>
      </c>
      <c r="AD314">
        <v>203</v>
      </c>
      <c r="AE314">
        <v>231</v>
      </c>
      <c r="AF314">
        <v>0</v>
      </c>
      <c r="AG314">
        <v>6</v>
      </c>
      <c r="AH314">
        <v>54.576850891113281</v>
      </c>
      <c r="AJ314">
        <v>33805.23828125</v>
      </c>
      <c r="AK314" t="s">
        <v>54</v>
      </c>
      <c r="AL314" t="s">
        <v>54</v>
      </c>
      <c r="AQ314" t="s">
        <v>54</v>
      </c>
      <c r="AW314" t="s">
        <v>54</v>
      </c>
      <c r="AZ314" t="s">
        <v>54</v>
      </c>
      <c r="BA314" t="s">
        <v>2425</v>
      </c>
      <c r="BB314" s="15" t="s">
        <v>678</v>
      </c>
    </row>
    <row r="315" spans="1:54" x14ac:dyDescent="0.25">
      <c r="A315">
        <v>310</v>
      </c>
      <c r="B315" t="s">
        <v>4281</v>
      </c>
      <c r="C315" t="s">
        <v>4282</v>
      </c>
      <c r="D315" t="s">
        <v>4267</v>
      </c>
      <c r="E315">
        <v>3</v>
      </c>
      <c r="F315" t="s">
        <v>3803</v>
      </c>
      <c r="G315" t="s">
        <v>3918</v>
      </c>
      <c r="H315" t="s">
        <v>3919</v>
      </c>
      <c r="I315" t="s">
        <v>3920</v>
      </c>
      <c r="J315" t="s">
        <v>4262</v>
      </c>
      <c r="K315" t="s">
        <v>3921</v>
      </c>
      <c r="L315" t="s">
        <v>4099</v>
      </c>
      <c r="M315">
        <v>730.85394287109375</v>
      </c>
      <c r="N315" t="s">
        <v>54</v>
      </c>
      <c r="O315" t="s">
        <v>53</v>
      </c>
      <c r="P315" t="s">
        <v>53</v>
      </c>
      <c r="Q315" t="s">
        <v>53</v>
      </c>
      <c r="R315" t="s">
        <v>53</v>
      </c>
      <c r="S315" t="s">
        <v>3922</v>
      </c>
      <c r="T315" t="s">
        <v>3922</v>
      </c>
      <c r="U315" t="s">
        <v>53</v>
      </c>
      <c r="V315" t="s">
        <v>138</v>
      </c>
      <c r="W315">
        <v>500000</v>
      </c>
      <c r="X315" t="s">
        <v>53</v>
      </c>
      <c r="Y315" t="s">
        <v>3811</v>
      </c>
      <c r="Z315">
        <v>0</v>
      </c>
      <c r="AA315">
        <v>1851</v>
      </c>
      <c r="AB315">
        <v>1555</v>
      </c>
      <c r="AC315">
        <v>2434</v>
      </c>
      <c r="AD315">
        <v>3610</v>
      </c>
      <c r="AE315">
        <v>4897</v>
      </c>
      <c r="AF315">
        <v>12</v>
      </c>
      <c r="AG315">
        <v>372</v>
      </c>
      <c r="AH315">
        <v>61.676521301269531</v>
      </c>
      <c r="AJ315">
        <v>18202.779296875</v>
      </c>
      <c r="AK315" t="s">
        <v>54</v>
      </c>
      <c r="AL315" t="s">
        <v>54</v>
      </c>
      <c r="AQ315" t="s">
        <v>54</v>
      </c>
      <c r="AW315" t="s">
        <v>54</v>
      </c>
      <c r="AZ315" t="s">
        <v>54</v>
      </c>
      <c r="BA315" t="s">
        <v>2425</v>
      </c>
      <c r="BB315" s="15" t="s">
        <v>678</v>
      </c>
    </row>
    <row r="316" spans="1:54" x14ac:dyDescent="0.25">
      <c r="A316">
        <v>311</v>
      </c>
      <c r="B316" t="s">
        <v>4283</v>
      </c>
      <c r="C316" t="s">
        <v>4284</v>
      </c>
      <c r="D316" t="s">
        <v>4267</v>
      </c>
      <c r="E316">
        <v>3</v>
      </c>
      <c r="F316" t="s">
        <v>3803</v>
      </c>
      <c r="G316" t="s">
        <v>3931</v>
      </c>
      <c r="H316" t="s">
        <v>3932</v>
      </c>
      <c r="I316" t="s">
        <v>3933</v>
      </c>
      <c r="J316" t="s">
        <v>4262</v>
      </c>
      <c r="K316" t="s">
        <v>3934</v>
      </c>
      <c r="L316" t="s">
        <v>4099</v>
      </c>
      <c r="M316">
        <v>1075.8515625</v>
      </c>
      <c r="N316" t="s">
        <v>54</v>
      </c>
      <c r="O316" t="s">
        <v>53</v>
      </c>
      <c r="P316" t="s">
        <v>53</v>
      </c>
      <c r="Q316" t="s">
        <v>53</v>
      </c>
      <c r="R316" t="s">
        <v>53</v>
      </c>
      <c r="S316" t="s">
        <v>3935</v>
      </c>
      <c r="T316" t="s">
        <v>3935</v>
      </c>
      <c r="U316" t="s">
        <v>53</v>
      </c>
      <c r="V316" t="s">
        <v>138</v>
      </c>
      <c r="W316">
        <v>500000</v>
      </c>
      <c r="X316" t="s">
        <v>54</v>
      </c>
      <c r="Y316" t="s">
        <v>3819</v>
      </c>
      <c r="Z316">
        <v>50000</v>
      </c>
      <c r="AA316">
        <v>730</v>
      </c>
      <c r="AB316">
        <v>491</v>
      </c>
      <c r="AC316">
        <v>634</v>
      </c>
      <c r="AD316">
        <v>457</v>
      </c>
      <c r="AE316">
        <v>816</v>
      </c>
      <c r="AF316">
        <v>6</v>
      </c>
      <c r="AG316">
        <v>5</v>
      </c>
      <c r="AH316">
        <v>99.558799743652344</v>
      </c>
      <c r="AJ316">
        <v>64155.3203125</v>
      </c>
      <c r="AK316" t="s">
        <v>54</v>
      </c>
      <c r="AL316" t="s">
        <v>54</v>
      </c>
      <c r="AQ316" t="s">
        <v>54</v>
      </c>
      <c r="AW316" t="s">
        <v>54</v>
      </c>
      <c r="AZ316" t="s">
        <v>54</v>
      </c>
      <c r="BA316" t="s">
        <v>2425</v>
      </c>
      <c r="BB316" s="15" t="s">
        <v>676</v>
      </c>
    </row>
    <row r="317" spans="1:54" x14ac:dyDescent="0.25">
      <c r="A317">
        <v>312</v>
      </c>
      <c r="B317" t="s">
        <v>4285</v>
      </c>
      <c r="C317" t="s">
        <v>4286</v>
      </c>
      <c r="D317" t="s">
        <v>4267</v>
      </c>
      <c r="E317">
        <v>3</v>
      </c>
      <c r="F317" t="s">
        <v>3803</v>
      </c>
      <c r="G317" t="s">
        <v>3938</v>
      </c>
      <c r="H317" t="s">
        <v>3939</v>
      </c>
      <c r="I317" t="s">
        <v>3940</v>
      </c>
      <c r="J317" t="s">
        <v>4262</v>
      </c>
      <c r="K317" t="s">
        <v>3941</v>
      </c>
      <c r="L317" t="s">
        <v>4099</v>
      </c>
      <c r="M317">
        <v>1169.4541015625</v>
      </c>
      <c r="N317" t="s">
        <v>54</v>
      </c>
      <c r="O317" t="s">
        <v>53</v>
      </c>
      <c r="P317" t="s">
        <v>53</v>
      </c>
      <c r="Q317" t="s">
        <v>53</v>
      </c>
      <c r="R317" t="s">
        <v>53</v>
      </c>
      <c r="S317" t="s">
        <v>1064</v>
      </c>
      <c r="T317" t="s">
        <v>1064</v>
      </c>
      <c r="U317" t="s">
        <v>53</v>
      </c>
      <c r="V317" t="s">
        <v>138</v>
      </c>
      <c r="W317">
        <v>500000</v>
      </c>
      <c r="X317" t="s">
        <v>54</v>
      </c>
      <c r="Y317" t="s">
        <v>3819</v>
      </c>
      <c r="Z317">
        <v>50000</v>
      </c>
      <c r="AA317">
        <v>7897</v>
      </c>
      <c r="AB317">
        <v>7347</v>
      </c>
      <c r="AC317">
        <v>4547</v>
      </c>
      <c r="AD317">
        <v>10357</v>
      </c>
      <c r="AE317">
        <v>11279</v>
      </c>
      <c r="AF317">
        <v>87</v>
      </c>
      <c r="AG317">
        <v>6</v>
      </c>
      <c r="AH317">
        <v>256.54928588867188</v>
      </c>
      <c r="AJ317">
        <v>69006.0234375</v>
      </c>
      <c r="AK317" t="s">
        <v>54</v>
      </c>
      <c r="AL317" t="s">
        <v>54</v>
      </c>
      <c r="AQ317" t="s">
        <v>54</v>
      </c>
      <c r="AW317" t="s">
        <v>54</v>
      </c>
      <c r="AZ317" t="s">
        <v>54</v>
      </c>
      <c r="BA317" t="s">
        <v>2425</v>
      </c>
      <c r="BB317" s="15" t="s">
        <v>678</v>
      </c>
    </row>
    <row r="318" spans="1:54" x14ac:dyDescent="0.25">
      <c r="A318">
        <v>313</v>
      </c>
      <c r="B318" t="s">
        <v>4287</v>
      </c>
      <c r="C318" t="s">
        <v>4288</v>
      </c>
      <c r="D318" t="s">
        <v>4267</v>
      </c>
      <c r="E318">
        <v>3</v>
      </c>
      <c r="F318" t="s">
        <v>3803</v>
      </c>
      <c r="G318" t="s">
        <v>3958</v>
      </c>
      <c r="H318" t="s">
        <v>3959</v>
      </c>
      <c r="I318" t="s">
        <v>3960</v>
      </c>
      <c r="J318" t="s">
        <v>4262</v>
      </c>
      <c r="K318" t="s">
        <v>3961</v>
      </c>
      <c r="L318" t="s">
        <v>4099</v>
      </c>
      <c r="M318">
        <v>933.20159912109375</v>
      </c>
      <c r="N318" t="s">
        <v>54</v>
      </c>
      <c r="O318" t="s">
        <v>53</v>
      </c>
      <c r="P318" t="s">
        <v>53</v>
      </c>
      <c r="Q318" t="s">
        <v>53</v>
      </c>
      <c r="R318" t="s">
        <v>53</v>
      </c>
      <c r="S318" t="s">
        <v>2987</v>
      </c>
      <c r="T318" t="s">
        <v>2987</v>
      </c>
      <c r="U318" t="s">
        <v>53</v>
      </c>
      <c r="V318" t="s">
        <v>138</v>
      </c>
      <c r="W318">
        <v>500000</v>
      </c>
      <c r="X318" t="s">
        <v>54</v>
      </c>
      <c r="Y318" t="s">
        <v>3819</v>
      </c>
      <c r="Z318">
        <v>50000</v>
      </c>
      <c r="AA318">
        <v>38</v>
      </c>
      <c r="AB318">
        <v>11</v>
      </c>
      <c r="AC318">
        <v>3</v>
      </c>
      <c r="AD318">
        <v>13</v>
      </c>
      <c r="AE318">
        <v>13</v>
      </c>
      <c r="AF318">
        <v>0</v>
      </c>
      <c r="AG318">
        <v>3</v>
      </c>
      <c r="AH318">
        <v>56.769439697265618</v>
      </c>
      <c r="AJ318">
        <v>1770.858032226562</v>
      </c>
      <c r="AK318" t="s">
        <v>54</v>
      </c>
      <c r="AL318" t="s">
        <v>54</v>
      </c>
      <c r="AQ318" t="s">
        <v>54</v>
      </c>
      <c r="AW318" t="s">
        <v>54</v>
      </c>
      <c r="AZ318" t="s">
        <v>54</v>
      </c>
      <c r="BA318" t="s">
        <v>2425</v>
      </c>
      <c r="BB318" s="15" t="s">
        <v>678</v>
      </c>
    </row>
    <row r="319" spans="1:54" x14ac:dyDescent="0.25">
      <c r="A319">
        <v>314</v>
      </c>
      <c r="B319" t="s">
        <v>4289</v>
      </c>
      <c r="C319" t="s">
        <v>4290</v>
      </c>
      <c r="D319" t="s">
        <v>4267</v>
      </c>
      <c r="E319">
        <v>3</v>
      </c>
      <c r="F319" t="s">
        <v>3803</v>
      </c>
      <c r="G319" t="s">
        <v>3970</v>
      </c>
      <c r="H319" t="s">
        <v>3971</v>
      </c>
      <c r="I319" t="s">
        <v>3972</v>
      </c>
      <c r="J319" t="s">
        <v>4262</v>
      </c>
      <c r="K319" t="s">
        <v>3973</v>
      </c>
      <c r="L319" t="s">
        <v>4099</v>
      </c>
      <c r="M319">
        <v>902.80267333984375</v>
      </c>
      <c r="N319" t="s">
        <v>54</v>
      </c>
      <c r="O319" t="s">
        <v>53</v>
      </c>
      <c r="P319" t="s">
        <v>53</v>
      </c>
      <c r="Q319" t="s">
        <v>53</v>
      </c>
      <c r="R319" t="s">
        <v>53</v>
      </c>
      <c r="S319" t="s">
        <v>4070</v>
      </c>
      <c r="T319" t="s">
        <v>4070</v>
      </c>
      <c r="U319" t="s">
        <v>53</v>
      </c>
      <c r="V319" t="s">
        <v>138</v>
      </c>
      <c r="W319">
        <v>500000</v>
      </c>
      <c r="X319" t="s">
        <v>53</v>
      </c>
      <c r="Y319" t="s">
        <v>3811</v>
      </c>
      <c r="Z319">
        <v>0</v>
      </c>
      <c r="AA319">
        <v>1953</v>
      </c>
      <c r="AB319">
        <v>1485</v>
      </c>
      <c r="AC319">
        <v>4344</v>
      </c>
      <c r="AD319">
        <v>3576</v>
      </c>
      <c r="AE319">
        <v>6748</v>
      </c>
      <c r="AF319">
        <v>18</v>
      </c>
      <c r="AG319">
        <v>22</v>
      </c>
      <c r="AH319">
        <v>60.730381011962891</v>
      </c>
      <c r="AJ319">
        <v>25497.33984375</v>
      </c>
      <c r="AK319" t="s">
        <v>54</v>
      </c>
      <c r="AL319" t="s">
        <v>54</v>
      </c>
      <c r="AQ319" t="s">
        <v>54</v>
      </c>
      <c r="AW319" t="s">
        <v>54</v>
      </c>
      <c r="AZ319" t="s">
        <v>54</v>
      </c>
      <c r="BA319" t="s">
        <v>2425</v>
      </c>
      <c r="BB319" s="15" t="s">
        <v>676</v>
      </c>
    </row>
    <row r="320" spans="1:54" x14ac:dyDescent="0.25">
      <c r="A320">
        <v>315</v>
      </c>
      <c r="B320" t="s">
        <v>4291</v>
      </c>
      <c r="C320" t="s">
        <v>4292</v>
      </c>
      <c r="D320" t="s">
        <v>4267</v>
      </c>
      <c r="E320">
        <v>3</v>
      </c>
      <c r="F320" t="s">
        <v>3803</v>
      </c>
      <c r="G320" t="s">
        <v>3977</v>
      </c>
      <c r="H320" t="s">
        <v>3978</v>
      </c>
      <c r="I320" t="s">
        <v>3979</v>
      </c>
      <c r="J320" t="s">
        <v>4262</v>
      </c>
      <c r="K320" t="s">
        <v>3980</v>
      </c>
      <c r="L320" t="s">
        <v>4099</v>
      </c>
      <c r="M320">
        <v>1105.57470703125</v>
      </c>
      <c r="N320" t="s">
        <v>54</v>
      </c>
      <c r="O320" t="s">
        <v>53</v>
      </c>
      <c r="P320" t="s">
        <v>53</v>
      </c>
      <c r="Q320" t="s">
        <v>53</v>
      </c>
      <c r="R320" t="s">
        <v>53</v>
      </c>
      <c r="S320" t="s">
        <v>4293</v>
      </c>
      <c r="T320" t="s">
        <v>4293</v>
      </c>
      <c r="U320" t="s">
        <v>53</v>
      </c>
      <c r="V320" t="s">
        <v>138</v>
      </c>
      <c r="W320">
        <v>500000</v>
      </c>
      <c r="X320" t="s">
        <v>54</v>
      </c>
      <c r="Y320" t="s">
        <v>3982</v>
      </c>
      <c r="Z320">
        <v>50000</v>
      </c>
      <c r="AA320">
        <v>3485</v>
      </c>
      <c r="AB320">
        <v>3119</v>
      </c>
      <c r="AC320">
        <v>2344</v>
      </c>
      <c r="AD320">
        <v>5004</v>
      </c>
      <c r="AE320">
        <v>5167</v>
      </c>
      <c r="AF320">
        <v>31</v>
      </c>
      <c r="AG320">
        <v>3</v>
      </c>
      <c r="AH320">
        <v>92.367301940917969</v>
      </c>
      <c r="AJ320">
        <v>15993.650390625</v>
      </c>
      <c r="AK320" t="s">
        <v>54</v>
      </c>
      <c r="AL320" t="s">
        <v>54</v>
      </c>
      <c r="AQ320" t="s">
        <v>54</v>
      </c>
      <c r="AW320" t="s">
        <v>54</v>
      </c>
      <c r="AZ320" t="s">
        <v>54</v>
      </c>
      <c r="BA320" t="s">
        <v>2425</v>
      </c>
      <c r="BB320" s="15" t="s">
        <v>678</v>
      </c>
    </row>
    <row r="321" spans="1:54" x14ac:dyDescent="0.25">
      <c r="A321">
        <v>316</v>
      </c>
      <c r="B321" t="s">
        <v>4294</v>
      </c>
      <c r="C321" t="s">
        <v>4295</v>
      </c>
      <c r="D321" t="s">
        <v>4296</v>
      </c>
      <c r="E321">
        <v>3</v>
      </c>
      <c r="F321" t="s">
        <v>3803</v>
      </c>
      <c r="G321" t="s">
        <v>4297</v>
      </c>
      <c r="H321" t="s">
        <v>3994</v>
      </c>
      <c r="I321" t="s">
        <v>3995</v>
      </c>
      <c r="J321" t="s">
        <v>4262</v>
      </c>
      <c r="K321" t="s">
        <v>3996</v>
      </c>
      <c r="L321" t="s">
        <v>4099</v>
      </c>
      <c r="M321">
        <v>625.519775390625</v>
      </c>
      <c r="N321" t="s">
        <v>54</v>
      </c>
      <c r="O321" t="s">
        <v>53</v>
      </c>
      <c r="P321" t="s">
        <v>53</v>
      </c>
      <c r="Q321" t="s">
        <v>53</v>
      </c>
      <c r="R321" t="s">
        <v>53</v>
      </c>
      <c r="S321" t="s">
        <v>4298</v>
      </c>
      <c r="T321" t="s">
        <v>4298</v>
      </c>
      <c r="U321" t="s">
        <v>53</v>
      </c>
      <c r="V321" t="s">
        <v>138</v>
      </c>
      <c r="W321">
        <v>500000</v>
      </c>
      <c r="X321" t="s">
        <v>54</v>
      </c>
      <c r="Y321" t="s">
        <v>3819</v>
      </c>
      <c r="Z321">
        <v>50000</v>
      </c>
      <c r="AA321">
        <v>2637</v>
      </c>
      <c r="AB321">
        <v>2505</v>
      </c>
      <c r="AC321">
        <v>1768</v>
      </c>
      <c r="AD321">
        <v>2715</v>
      </c>
      <c r="AE321">
        <v>3161</v>
      </c>
      <c r="AF321">
        <v>13</v>
      </c>
      <c r="AG321">
        <v>0</v>
      </c>
      <c r="AH321">
        <v>82.528526306152344</v>
      </c>
      <c r="AJ321">
        <v>11298.66015625</v>
      </c>
      <c r="AK321" t="s">
        <v>54</v>
      </c>
      <c r="AL321" t="s">
        <v>54</v>
      </c>
      <c r="AQ321" t="s">
        <v>54</v>
      </c>
      <c r="AW321" t="s">
        <v>54</v>
      </c>
      <c r="AZ321" t="s">
        <v>54</v>
      </c>
      <c r="BA321" t="s">
        <v>2425</v>
      </c>
      <c r="BB321" s="15" t="s">
        <v>678</v>
      </c>
    </row>
    <row r="322" spans="1:54" x14ac:dyDescent="0.25">
      <c r="A322">
        <v>317</v>
      </c>
      <c r="B322" t="s">
        <v>4299</v>
      </c>
      <c r="C322" t="s">
        <v>4300</v>
      </c>
      <c r="D322" t="s">
        <v>4267</v>
      </c>
      <c r="E322">
        <v>3</v>
      </c>
      <c r="F322" t="s">
        <v>3803</v>
      </c>
      <c r="G322" t="s">
        <v>3999</v>
      </c>
      <c r="H322" t="s">
        <v>4000</v>
      </c>
      <c r="I322" t="s">
        <v>4001</v>
      </c>
      <c r="J322" t="s">
        <v>4262</v>
      </c>
      <c r="K322" t="s">
        <v>4002</v>
      </c>
      <c r="L322" t="s">
        <v>4099</v>
      </c>
      <c r="M322">
        <v>709.82733154296875</v>
      </c>
      <c r="N322" t="s">
        <v>54</v>
      </c>
      <c r="O322" t="s">
        <v>53</v>
      </c>
      <c r="P322" t="s">
        <v>53</v>
      </c>
      <c r="Q322" t="s">
        <v>53</v>
      </c>
      <c r="R322" t="s">
        <v>53</v>
      </c>
      <c r="S322" t="s">
        <v>4003</v>
      </c>
      <c r="T322" t="s">
        <v>4003</v>
      </c>
      <c r="U322" t="s">
        <v>53</v>
      </c>
      <c r="V322" t="s">
        <v>138</v>
      </c>
      <c r="W322">
        <v>500000</v>
      </c>
      <c r="X322" t="s">
        <v>54</v>
      </c>
      <c r="Y322" t="s">
        <v>3819</v>
      </c>
      <c r="Z322">
        <v>50000</v>
      </c>
      <c r="AA322">
        <v>1200</v>
      </c>
      <c r="AB322">
        <v>1035</v>
      </c>
      <c r="AC322">
        <v>952</v>
      </c>
      <c r="AD322">
        <v>1723</v>
      </c>
      <c r="AE322">
        <v>1768</v>
      </c>
      <c r="AF322">
        <v>11</v>
      </c>
      <c r="AG322">
        <v>1</v>
      </c>
      <c r="AH322">
        <v>53.7747802734375</v>
      </c>
      <c r="AJ322">
        <v>9902.6630859375</v>
      </c>
      <c r="AK322" t="s">
        <v>54</v>
      </c>
      <c r="AL322" t="s">
        <v>54</v>
      </c>
      <c r="AQ322" t="s">
        <v>54</v>
      </c>
      <c r="AW322" t="s">
        <v>53</v>
      </c>
      <c r="AZ322" t="s">
        <v>54</v>
      </c>
      <c r="BA322" t="s">
        <v>2425</v>
      </c>
      <c r="BB322" s="15" t="s">
        <v>678</v>
      </c>
    </row>
    <row r="323" spans="1:54" x14ac:dyDescent="0.25">
      <c r="A323">
        <v>318</v>
      </c>
      <c r="B323" t="s">
        <v>4301</v>
      </c>
      <c r="C323" t="s">
        <v>4302</v>
      </c>
      <c r="D323" t="s">
        <v>4267</v>
      </c>
      <c r="E323">
        <v>3</v>
      </c>
      <c r="F323" t="s">
        <v>3803</v>
      </c>
      <c r="G323" t="s">
        <v>4006</v>
      </c>
      <c r="H323" t="s">
        <v>4007</v>
      </c>
      <c r="I323" t="s">
        <v>4008</v>
      </c>
      <c r="J323" t="s">
        <v>4262</v>
      </c>
      <c r="K323" t="s">
        <v>4009</v>
      </c>
      <c r="L323" t="s">
        <v>4099</v>
      </c>
      <c r="M323">
        <v>856.145263671875</v>
      </c>
      <c r="N323" t="s">
        <v>54</v>
      </c>
      <c r="O323" t="s">
        <v>53</v>
      </c>
      <c r="P323" t="s">
        <v>53</v>
      </c>
      <c r="Q323" t="s">
        <v>53</v>
      </c>
      <c r="R323" t="s">
        <v>53</v>
      </c>
      <c r="S323" t="s">
        <v>4010</v>
      </c>
      <c r="T323" t="s">
        <v>4010</v>
      </c>
      <c r="U323" t="s">
        <v>53</v>
      </c>
      <c r="V323" t="s">
        <v>138</v>
      </c>
      <c r="W323">
        <v>500000</v>
      </c>
      <c r="X323" t="s">
        <v>54</v>
      </c>
      <c r="Y323" t="s">
        <v>3819</v>
      </c>
      <c r="Z323">
        <v>50000</v>
      </c>
      <c r="AA323">
        <v>231</v>
      </c>
      <c r="AB323">
        <v>142</v>
      </c>
      <c r="AC323">
        <v>49</v>
      </c>
      <c r="AD323">
        <v>172</v>
      </c>
      <c r="AE323">
        <v>179</v>
      </c>
      <c r="AF323">
        <v>1</v>
      </c>
      <c r="AG323">
        <v>2</v>
      </c>
      <c r="AH323">
        <v>37.467559814453118</v>
      </c>
      <c r="AJ323">
        <v>12720.1904296875</v>
      </c>
      <c r="AK323" t="s">
        <v>54</v>
      </c>
      <c r="AL323" t="s">
        <v>54</v>
      </c>
      <c r="AQ323" t="s">
        <v>54</v>
      </c>
      <c r="AW323" t="s">
        <v>53</v>
      </c>
      <c r="AZ323" t="s">
        <v>54</v>
      </c>
      <c r="BA323" t="s">
        <v>2425</v>
      </c>
      <c r="BB323" s="15" t="s">
        <v>678</v>
      </c>
    </row>
    <row r="324" spans="1:54" x14ac:dyDescent="0.25">
      <c r="A324">
        <v>319</v>
      </c>
      <c r="B324" t="s">
        <v>4303</v>
      </c>
      <c r="C324" t="s">
        <v>4304</v>
      </c>
      <c r="D324" t="s">
        <v>4267</v>
      </c>
      <c r="E324">
        <v>3</v>
      </c>
      <c r="F324" t="s">
        <v>3803</v>
      </c>
      <c r="G324" t="s">
        <v>4019</v>
      </c>
      <c r="H324" t="s">
        <v>4020</v>
      </c>
      <c r="I324" t="s">
        <v>4021</v>
      </c>
      <c r="J324" t="s">
        <v>4262</v>
      </c>
      <c r="K324" t="s">
        <v>4009</v>
      </c>
      <c r="L324" t="s">
        <v>4099</v>
      </c>
      <c r="M324">
        <v>919.53265380859375</v>
      </c>
      <c r="N324" t="s">
        <v>54</v>
      </c>
      <c r="O324" t="s">
        <v>53</v>
      </c>
      <c r="P324" t="s">
        <v>53</v>
      </c>
      <c r="Q324" t="s">
        <v>53</v>
      </c>
      <c r="R324" t="s">
        <v>53</v>
      </c>
      <c r="S324" t="s">
        <v>4022</v>
      </c>
      <c r="T324" t="s">
        <v>4022</v>
      </c>
      <c r="U324" t="s">
        <v>53</v>
      </c>
      <c r="V324" t="s">
        <v>138</v>
      </c>
      <c r="W324">
        <v>500000</v>
      </c>
      <c r="X324" t="s">
        <v>54</v>
      </c>
      <c r="Y324" t="s">
        <v>3819</v>
      </c>
      <c r="Z324">
        <v>50000</v>
      </c>
      <c r="AA324">
        <v>492</v>
      </c>
      <c r="AB324">
        <v>363</v>
      </c>
      <c r="AC324">
        <v>882</v>
      </c>
      <c r="AD324">
        <v>1191</v>
      </c>
      <c r="AE324">
        <v>1338</v>
      </c>
      <c r="AF324">
        <v>11</v>
      </c>
      <c r="AG324">
        <v>16</v>
      </c>
      <c r="AH324">
        <v>99.848007202148438</v>
      </c>
      <c r="AJ324">
        <v>30832.76953125</v>
      </c>
      <c r="AK324" t="s">
        <v>54</v>
      </c>
      <c r="AL324" t="s">
        <v>54</v>
      </c>
      <c r="AQ324" t="s">
        <v>54</v>
      </c>
      <c r="AW324" t="s">
        <v>54</v>
      </c>
      <c r="AZ324" t="s">
        <v>54</v>
      </c>
      <c r="BA324" t="s">
        <v>2425</v>
      </c>
      <c r="BB324" s="15" t="s">
        <v>678</v>
      </c>
    </row>
    <row r="325" spans="1:54" x14ac:dyDescent="0.25">
      <c r="A325">
        <v>320</v>
      </c>
      <c r="B325" t="s">
        <v>4305</v>
      </c>
      <c r="C325" t="s">
        <v>4306</v>
      </c>
      <c r="D325" t="s">
        <v>4307</v>
      </c>
      <c r="E325">
        <v>3</v>
      </c>
      <c r="F325" t="s">
        <v>3803</v>
      </c>
      <c r="G325" t="s">
        <v>4308</v>
      </c>
      <c r="H325" t="s">
        <v>4095</v>
      </c>
      <c r="I325" t="s">
        <v>4309</v>
      </c>
      <c r="J325" t="s">
        <v>4310</v>
      </c>
      <c r="K325" t="s">
        <v>4311</v>
      </c>
      <c r="L325" t="s">
        <v>4052</v>
      </c>
      <c r="M325">
        <v>41.974613189697273</v>
      </c>
      <c r="N325" t="s">
        <v>54</v>
      </c>
      <c r="O325" t="s">
        <v>53</v>
      </c>
      <c r="P325" t="s">
        <v>53</v>
      </c>
      <c r="Q325" t="s">
        <v>53</v>
      </c>
      <c r="R325" t="s">
        <v>53</v>
      </c>
      <c r="S325" t="s">
        <v>4312</v>
      </c>
      <c r="T325" t="s">
        <v>4312</v>
      </c>
      <c r="U325" t="s">
        <v>53</v>
      </c>
      <c r="V325" t="s">
        <v>138</v>
      </c>
      <c r="W325">
        <v>144000</v>
      </c>
      <c r="X325" t="s">
        <v>54</v>
      </c>
      <c r="Y325" t="s">
        <v>3819</v>
      </c>
      <c r="Z325">
        <v>50000</v>
      </c>
      <c r="AA325">
        <v>343</v>
      </c>
      <c r="AB325">
        <v>316</v>
      </c>
      <c r="AC325">
        <v>225</v>
      </c>
      <c r="AD325">
        <v>977</v>
      </c>
      <c r="AE325">
        <v>991</v>
      </c>
      <c r="AF325">
        <v>1</v>
      </c>
      <c r="AG325">
        <v>7</v>
      </c>
      <c r="AH325">
        <v>11.93311977386475</v>
      </c>
      <c r="AJ325">
        <v>1090.109985351562</v>
      </c>
      <c r="AK325" t="s">
        <v>54</v>
      </c>
      <c r="AL325" t="s">
        <v>54</v>
      </c>
      <c r="AQ325" t="s">
        <v>54</v>
      </c>
      <c r="AW325" t="s">
        <v>54</v>
      </c>
      <c r="AZ325" t="s">
        <v>54</v>
      </c>
      <c r="BA325" t="s">
        <v>2425</v>
      </c>
      <c r="BB325" s="15" t="s">
        <v>678</v>
      </c>
    </row>
    <row r="326" spans="1:54" x14ac:dyDescent="0.25">
      <c r="A326">
        <v>321</v>
      </c>
      <c r="B326" t="s">
        <v>4313</v>
      </c>
      <c r="C326" t="s">
        <v>4314</v>
      </c>
      <c r="D326" t="s">
        <v>4314</v>
      </c>
      <c r="E326">
        <v>3</v>
      </c>
      <c r="F326" t="s">
        <v>3803</v>
      </c>
      <c r="G326" t="s">
        <v>3840</v>
      </c>
      <c r="H326" t="s">
        <v>4116</v>
      </c>
      <c r="I326" t="s">
        <v>4315</v>
      </c>
      <c r="J326" t="s">
        <v>4316</v>
      </c>
      <c r="K326" t="s">
        <v>4317</v>
      </c>
      <c r="L326" t="s">
        <v>4052</v>
      </c>
      <c r="M326">
        <v>6.517979621887207</v>
      </c>
      <c r="N326" t="s">
        <v>54</v>
      </c>
      <c r="O326" t="s">
        <v>53</v>
      </c>
      <c r="P326" t="s">
        <v>53</v>
      </c>
      <c r="Q326" t="s">
        <v>53</v>
      </c>
      <c r="R326" t="s">
        <v>53</v>
      </c>
      <c r="S326" t="s">
        <v>4318</v>
      </c>
      <c r="T326" t="s">
        <v>4318</v>
      </c>
      <c r="U326" t="s">
        <v>53</v>
      </c>
      <c r="V326" t="s">
        <v>162</v>
      </c>
      <c r="W326">
        <v>150000</v>
      </c>
      <c r="X326" t="s">
        <v>54</v>
      </c>
      <c r="Y326" t="s">
        <v>4319</v>
      </c>
      <c r="Z326">
        <v>15000</v>
      </c>
      <c r="AA326">
        <v>55</v>
      </c>
      <c r="AB326">
        <v>40</v>
      </c>
      <c r="AC326">
        <v>38</v>
      </c>
      <c r="AD326">
        <v>169</v>
      </c>
      <c r="AE326">
        <v>173</v>
      </c>
      <c r="AF326">
        <v>1</v>
      </c>
      <c r="AG326">
        <v>0</v>
      </c>
      <c r="AH326">
        <v>2.2962040901184082</v>
      </c>
      <c r="AJ326">
        <v>58.537570953369141</v>
      </c>
      <c r="AK326" t="s">
        <v>53</v>
      </c>
      <c r="AL326" t="s">
        <v>54</v>
      </c>
      <c r="AQ326" t="s">
        <v>54</v>
      </c>
      <c r="AW326" t="s">
        <v>54</v>
      </c>
      <c r="AZ326" t="s">
        <v>54</v>
      </c>
      <c r="BA326" t="s">
        <v>2425</v>
      </c>
      <c r="BB326" s="15" t="s">
        <v>678</v>
      </c>
    </row>
    <row r="327" spans="1:54" x14ac:dyDescent="0.25">
      <c r="A327">
        <v>322</v>
      </c>
      <c r="B327" t="s">
        <v>4320</v>
      </c>
      <c r="C327" t="s">
        <v>4321</v>
      </c>
      <c r="D327" t="s">
        <v>4322</v>
      </c>
      <c r="E327">
        <v>3</v>
      </c>
      <c r="F327" t="s">
        <v>3803</v>
      </c>
      <c r="G327" t="s">
        <v>4041</v>
      </c>
      <c r="H327" t="s">
        <v>4095</v>
      </c>
      <c r="I327" t="s">
        <v>4323</v>
      </c>
      <c r="J327" t="s">
        <v>4324</v>
      </c>
      <c r="K327" t="s">
        <v>4325</v>
      </c>
      <c r="L327" t="s">
        <v>4326</v>
      </c>
      <c r="M327">
        <v>13.812246322631839</v>
      </c>
      <c r="N327" t="s">
        <v>54</v>
      </c>
      <c r="O327" t="s">
        <v>53</v>
      </c>
      <c r="P327" t="s">
        <v>53</v>
      </c>
      <c r="Q327" t="s">
        <v>53</v>
      </c>
      <c r="R327" t="s">
        <v>53</v>
      </c>
      <c r="S327" t="s">
        <v>4327</v>
      </c>
      <c r="T327" t="s">
        <v>4327</v>
      </c>
      <c r="U327" t="s">
        <v>53</v>
      </c>
      <c r="V327" t="s">
        <v>51</v>
      </c>
      <c r="W327">
        <v>90000</v>
      </c>
      <c r="X327" t="s">
        <v>54</v>
      </c>
      <c r="Y327" t="s">
        <v>3819</v>
      </c>
      <c r="Z327">
        <v>9000</v>
      </c>
      <c r="AA327">
        <v>117</v>
      </c>
      <c r="AB327">
        <v>112</v>
      </c>
      <c r="AC327">
        <v>120</v>
      </c>
      <c r="AD327">
        <v>459</v>
      </c>
      <c r="AE327">
        <v>471</v>
      </c>
      <c r="AF327">
        <v>1</v>
      </c>
      <c r="AG327">
        <v>4</v>
      </c>
      <c r="AH327">
        <v>3.02040696144104</v>
      </c>
      <c r="AJ327">
        <v>65.050056457519531</v>
      </c>
      <c r="AK327" t="s">
        <v>54</v>
      </c>
      <c r="AL327" t="s">
        <v>54</v>
      </c>
      <c r="AQ327" t="s">
        <v>54</v>
      </c>
      <c r="AW327" t="s">
        <v>54</v>
      </c>
      <c r="AZ327" t="s">
        <v>54</v>
      </c>
      <c r="BA327" t="s">
        <v>2425</v>
      </c>
      <c r="BB327" s="15" t="s">
        <v>676</v>
      </c>
    </row>
    <row r="328" spans="1:54" x14ac:dyDescent="0.25">
      <c r="A328">
        <v>323</v>
      </c>
      <c r="B328" t="s">
        <v>4328</v>
      </c>
      <c r="C328" t="s">
        <v>4329</v>
      </c>
      <c r="D328" t="s">
        <v>4330</v>
      </c>
      <c r="E328">
        <v>3</v>
      </c>
      <c r="F328" t="s">
        <v>3803</v>
      </c>
      <c r="G328" t="s">
        <v>4041</v>
      </c>
      <c r="H328" t="s">
        <v>4095</v>
      </c>
      <c r="I328" t="s">
        <v>4323</v>
      </c>
      <c r="J328" t="s">
        <v>4331</v>
      </c>
      <c r="K328" t="s">
        <v>4332</v>
      </c>
      <c r="L328" t="s">
        <v>4326</v>
      </c>
      <c r="M328">
        <v>4.6800632476806641</v>
      </c>
      <c r="N328" t="s">
        <v>54</v>
      </c>
      <c r="O328" t="s">
        <v>53</v>
      </c>
      <c r="P328" t="s">
        <v>53</v>
      </c>
      <c r="Q328" t="s">
        <v>53</v>
      </c>
      <c r="R328" t="s">
        <v>53</v>
      </c>
      <c r="S328" t="s">
        <v>4327</v>
      </c>
      <c r="T328" t="s">
        <v>4327</v>
      </c>
      <c r="U328" t="s">
        <v>53</v>
      </c>
      <c r="V328" t="s">
        <v>51</v>
      </c>
      <c r="W328">
        <v>132000</v>
      </c>
      <c r="X328" t="s">
        <v>54</v>
      </c>
      <c r="Y328" t="s">
        <v>3819</v>
      </c>
      <c r="Z328">
        <v>13200</v>
      </c>
      <c r="AA328">
        <v>40</v>
      </c>
      <c r="AB328">
        <v>28</v>
      </c>
      <c r="AC328">
        <v>216</v>
      </c>
      <c r="AD328">
        <v>115</v>
      </c>
      <c r="AE328">
        <v>298</v>
      </c>
      <c r="AF328">
        <v>0</v>
      </c>
      <c r="AG328">
        <v>5</v>
      </c>
      <c r="AH328">
        <v>1.8675509691238401</v>
      </c>
      <c r="AJ328">
        <v>7.3648991584777832</v>
      </c>
      <c r="AK328" t="s">
        <v>54</v>
      </c>
      <c r="AL328" t="s">
        <v>54</v>
      </c>
      <c r="AQ328" t="s">
        <v>54</v>
      </c>
      <c r="AW328" t="s">
        <v>54</v>
      </c>
      <c r="AZ328" t="s">
        <v>54</v>
      </c>
      <c r="BA328" t="s">
        <v>2425</v>
      </c>
      <c r="BB328" s="15" t="s">
        <v>678</v>
      </c>
    </row>
    <row r="329" spans="1:54" x14ac:dyDescent="0.25">
      <c r="A329">
        <v>324</v>
      </c>
      <c r="B329" t="s">
        <v>4333</v>
      </c>
      <c r="C329" t="s">
        <v>4334</v>
      </c>
      <c r="D329" t="s">
        <v>4335</v>
      </c>
      <c r="E329">
        <v>3</v>
      </c>
      <c r="F329" t="s">
        <v>3803</v>
      </c>
      <c r="G329" t="s">
        <v>4041</v>
      </c>
      <c r="H329" t="s">
        <v>4095</v>
      </c>
      <c r="I329" t="s">
        <v>4323</v>
      </c>
      <c r="J329" t="s">
        <v>4331</v>
      </c>
      <c r="K329" t="s">
        <v>4332</v>
      </c>
      <c r="L329" t="s">
        <v>4326</v>
      </c>
      <c r="M329">
        <v>4.6800632476806641</v>
      </c>
      <c r="N329" t="s">
        <v>54</v>
      </c>
      <c r="O329" t="s">
        <v>53</v>
      </c>
      <c r="P329" t="s">
        <v>53</v>
      </c>
      <c r="Q329" t="s">
        <v>53</v>
      </c>
      <c r="R329" t="s">
        <v>53</v>
      </c>
      <c r="S329" t="s">
        <v>4327</v>
      </c>
      <c r="T329" t="s">
        <v>4327</v>
      </c>
      <c r="U329" t="s">
        <v>53</v>
      </c>
      <c r="V329" t="s">
        <v>51</v>
      </c>
      <c r="W329">
        <v>50000</v>
      </c>
      <c r="X329" t="s">
        <v>54</v>
      </c>
      <c r="Y329" t="s">
        <v>3819</v>
      </c>
      <c r="Z329">
        <v>5000</v>
      </c>
      <c r="AA329">
        <v>40</v>
      </c>
      <c r="AB329">
        <v>28</v>
      </c>
      <c r="AC329">
        <v>216</v>
      </c>
      <c r="AD329">
        <v>115</v>
      </c>
      <c r="AE329">
        <v>298</v>
      </c>
      <c r="AF329">
        <v>0</v>
      </c>
      <c r="AG329">
        <v>5</v>
      </c>
      <c r="AH329">
        <v>1.8675509691238401</v>
      </c>
      <c r="AJ329">
        <v>7.3648991584777832</v>
      </c>
      <c r="AK329" t="s">
        <v>54</v>
      </c>
      <c r="AL329" t="s">
        <v>54</v>
      </c>
      <c r="AQ329" t="s">
        <v>54</v>
      </c>
      <c r="AW329" t="s">
        <v>54</v>
      </c>
      <c r="AZ329" t="s">
        <v>54</v>
      </c>
      <c r="BA329" t="s">
        <v>2425</v>
      </c>
      <c r="BB329" s="15" t="s">
        <v>676</v>
      </c>
    </row>
    <row r="330" spans="1:54" x14ac:dyDescent="0.25">
      <c r="A330">
        <v>325</v>
      </c>
      <c r="B330" t="s">
        <v>4336</v>
      </c>
      <c r="C330" t="s">
        <v>4337</v>
      </c>
      <c r="D330" t="s">
        <v>4338</v>
      </c>
      <c r="E330">
        <v>3</v>
      </c>
      <c r="F330" t="s">
        <v>3803</v>
      </c>
      <c r="G330" t="s">
        <v>4041</v>
      </c>
      <c r="H330" t="s">
        <v>4095</v>
      </c>
      <c r="I330" t="s">
        <v>4323</v>
      </c>
      <c r="J330" t="s">
        <v>4339</v>
      </c>
      <c r="K330" t="s">
        <v>4340</v>
      </c>
      <c r="L330" t="s">
        <v>4326</v>
      </c>
      <c r="M330">
        <v>5.9829974174499512</v>
      </c>
      <c r="N330" t="s">
        <v>54</v>
      </c>
      <c r="O330" t="s">
        <v>53</v>
      </c>
      <c r="P330" t="s">
        <v>53</v>
      </c>
      <c r="Q330" t="s">
        <v>53</v>
      </c>
      <c r="R330" t="s">
        <v>53</v>
      </c>
      <c r="S330" t="s">
        <v>4327</v>
      </c>
      <c r="T330" t="s">
        <v>4327</v>
      </c>
      <c r="U330" t="s">
        <v>53</v>
      </c>
      <c r="V330" t="s">
        <v>51</v>
      </c>
      <c r="W330">
        <v>127000</v>
      </c>
      <c r="X330" t="s">
        <v>54</v>
      </c>
      <c r="Y330" t="s">
        <v>3819</v>
      </c>
      <c r="Z330">
        <v>12700</v>
      </c>
      <c r="AA330">
        <v>10</v>
      </c>
      <c r="AB330">
        <v>10</v>
      </c>
      <c r="AC330">
        <v>8</v>
      </c>
      <c r="AD330">
        <v>25</v>
      </c>
      <c r="AE330">
        <v>26</v>
      </c>
      <c r="AF330">
        <v>0</v>
      </c>
      <c r="AG330">
        <v>1</v>
      </c>
      <c r="AH330">
        <v>0.36322501301765442</v>
      </c>
      <c r="AJ330">
        <v>83.124992370605469</v>
      </c>
      <c r="AK330" t="s">
        <v>54</v>
      </c>
      <c r="AL330" t="s">
        <v>54</v>
      </c>
      <c r="AQ330" t="s">
        <v>54</v>
      </c>
      <c r="AW330" t="s">
        <v>54</v>
      </c>
      <c r="AZ330" t="s">
        <v>54</v>
      </c>
      <c r="BA330" t="s">
        <v>4341</v>
      </c>
      <c r="BB330" s="15" t="s">
        <v>678</v>
      </c>
    </row>
    <row r="331" spans="1:54" x14ac:dyDescent="0.25">
      <c r="A331">
        <v>326</v>
      </c>
      <c r="B331" t="s">
        <v>4342</v>
      </c>
      <c r="C331" t="s">
        <v>4343</v>
      </c>
      <c r="D331" t="s">
        <v>4344</v>
      </c>
      <c r="E331">
        <v>3</v>
      </c>
      <c r="F331" t="s">
        <v>3803</v>
      </c>
      <c r="G331" t="s">
        <v>4041</v>
      </c>
      <c r="H331" t="s">
        <v>4095</v>
      </c>
      <c r="I331" t="s">
        <v>4323</v>
      </c>
      <c r="J331" t="s">
        <v>4331</v>
      </c>
      <c r="K331" t="s">
        <v>4332</v>
      </c>
      <c r="L331" t="s">
        <v>4326</v>
      </c>
      <c r="M331">
        <v>4.6800632476806641</v>
      </c>
      <c r="N331" t="s">
        <v>54</v>
      </c>
      <c r="O331" t="s">
        <v>53</v>
      </c>
      <c r="P331" t="s">
        <v>53</v>
      </c>
      <c r="Q331" t="s">
        <v>53</v>
      </c>
      <c r="R331" t="s">
        <v>53</v>
      </c>
      <c r="S331" t="s">
        <v>4327</v>
      </c>
      <c r="T331" t="s">
        <v>4327</v>
      </c>
      <c r="U331" t="s">
        <v>53</v>
      </c>
      <c r="V331" t="s">
        <v>51</v>
      </c>
      <c r="W331">
        <v>150000</v>
      </c>
      <c r="X331" t="s">
        <v>54</v>
      </c>
      <c r="Y331" t="s">
        <v>3819</v>
      </c>
      <c r="Z331">
        <v>15000</v>
      </c>
      <c r="AA331">
        <v>40</v>
      </c>
      <c r="AB331">
        <v>28</v>
      </c>
      <c r="AC331">
        <v>216</v>
      </c>
      <c r="AD331">
        <v>115</v>
      </c>
      <c r="AE331">
        <v>298</v>
      </c>
      <c r="AF331">
        <v>0</v>
      </c>
      <c r="AG331">
        <v>5</v>
      </c>
      <c r="AH331">
        <v>1.8675509691238401</v>
      </c>
      <c r="AJ331">
        <v>7.3648991584777832</v>
      </c>
      <c r="AK331" t="s">
        <v>54</v>
      </c>
      <c r="AL331" t="s">
        <v>54</v>
      </c>
      <c r="AQ331" t="s">
        <v>54</v>
      </c>
      <c r="AW331" t="s">
        <v>54</v>
      </c>
      <c r="AZ331" t="s">
        <v>54</v>
      </c>
      <c r="BA331" t="s">
        <v>2425</v>
      </c>
      <c r="BB331" s="15" t="s">
        <v>678</v>
      </c>
    </row>
    <row r="332" spans="1:54" x14ac:dyDescent="0.25">
      <c r="A332">
        <v>327</v>
      </c>
      <c r="B332" t="s">
        <v>4345</v>
      </c>
      <c r="C332" t="s">
        <v>4346</v>
      </c>
      <c r="D332" t="s">
        <v>4347</v>
      </c>
      <c r="E332">
        <v>3</v>
      </c>
      <c r="F332" t="s">
        <v>3803</v>
      </c>
      <c r="G332" t="s">
        <v>4041</v>
      </c>
      <c r="H332" t="s">
        <v>4095</v>
      </c>
      <c r="I332" t="s">
        <v>4323</v>
      </c>
      <c r="J332" t="s">
        <v>4324</v>
      </c>
      <c r="K332" t="s">
        <v>4325</v>
      </c>
      <c r="L332" t="s">
        <v>4326</v>
      </c>
      <c r="M332">
        <v>13.812246322631839</v>
      </c>
      <c r="N332" t="s">
        <v>54</v>
      </c>
      <c r="O332" t="s">
        <v>53</v>
      </c>
      <c r="P332" t="s">
        <v>53</v>
      </c>
      <c r="Q332" t="s">
        <v>53</v>
      </c>
      <c r="R332" t="s">
        <v>53</v>
      </c>
      <c r="S332" t="s">
        <v>4327</v>
      </c>
      <c r="T332" t="s">
        <v>4327</v>
      </c>
      <c r="U332" t="s">
        <v>53</v>
      </c>
      <c r="V332" t="s">
        <v>51</v>
      </c>
      <c r="W332">
        <v>50000</v>
      </c>
      <c r="X332" t="s">
        <v>54</v>
      </c>
      <c r="Y332" t="s">
        <v>3819</v>
      </c>
      <c r="Z332">
        <v>5000</v>
      </c>
      <c r="AA332">
        <v>117</v>
      </c>
      <c r="AB332">
        <v>112</v>
      </c>
      <c r="AC332">
        <v>120</v>
      </c>
      <c r="AD332">
        <v>459</v>
      </c>
      <c r="AE332">
        <v>471</v>
      </c>
      <c r="AF332">
        <v>1</v>
      </c>
      <c r="AG332">
        <v>4</v>
      </c>
      <c r="AH332">
        <v>3.02040696144104</v>
      </c>
      <c r="AJ332">
        <v>65.050056457519531</v>
      </c>
      <c r="AK332" t="s">
        <v>54</v>
      </c>
      <c r="AL332" t="s">
        <v>54</v>
      </c>
      <c r="AQ332" t="s">
        <v>54</v>
      </c>
      <c r="AW332" t="s">
        <v>54</v>
      </c>
      <c r="AZ332" t="s">
        <v>54</v>
      </c>
      <c r="BA332" t="s">
        <v>2425</v>
      </c>
      <c r="BB332" s="15" t="s">
        <v>678</v>
      </c>
    </row>
    <row r="333" spans="1:54" x14ac:dyDescent="0.25">
      <c r="A333">
        <v>328</v>
      </c>
      <c r="B333" t="s">
        <v>4348</v>
      </c>
      <c r="C333" t="s">
        <v>4349</v>
      </c>
      <c r="D333" t="s">
        <v>4350</v>
      </c>
      <c r="E333">
        <v>3</v>
      </c>
      <c r="F333" t="s">
        <v>3803</v>
      </c>
      <c r="G333" t="s">
        <v>4041</v>
      </c>
      <c r="H333" t="s">
        <v>4095</v>
      </c>
      <c r="I333" t="s">
        <v>4323</v>
      </c>
      <c r="J333" t="s">
        <v>4331</v>
      </c>
      <c r="K333" t="s">
        <v>4332</v>
      </c>
      <c r="L333" t="s">
        <v>4326</v>
      </c>
      <c r="M333">
        <v>6.4713726043701172</v>
      </c>
      <c r="N333" t="s">
        <v>54</v>
      </c>
      <c r="O333" t="s">
        <v>53</v>
      </c>
      <c r="P333" t="s">
        <v>53</v>
      </c>
      <c r="Q333" t="s">
        <v>53</v>
      </c>
      <c r="R333" t="s">
        <v>53</v>
      </c>
      <c r="S333" t="s">
        <v>4327</v>
      </c>
      <c r="T333" t="s">
        <v>4327</v>
      </c>
      <c r="U333" t="s">
        <v>53</v>
      </c>
      <c r="V333" t="s">
        <v>51</v>
      </c>
      <c r="W333">
        <v>134000</v>
      </c>
      <c r="X333" t="s">
        <v>54</v>
      </c>
      <c r="Y333" t="s">
        <v>3819</v>
      </c>
      <c r="Z333">
        <v>13400</v>
      </c>
      <c r="AA333">
        <v>232</v>
      </c>
      <c r="AB333">
        <v>227</v>
      </c>
      <c r="AC333">
        <v>200</v>
      </c>
      <c r="AD333">
        <v>862</v>
      </c>
      <c r="AE333">
        <v>863</v>
      </c>
      <c r="AF333">
        <v>2</v>
      </c>
      <c r="AG333">
        <v>5</v>
      </c>
      <c r="AH333">
        <v>3.980118989944458</v>
      </c>
      <c r="AJ333">
        <v>44.775051116943359</v>
      </c>
      <c r="AK333" t="s">
        <v>54</v>
      </c>
      <c r="AL333" t="s">
        <v>54</v>
      </c>
      <c r="AQ333" t="s">
        <v>54</v>
      </c>
      <c r="AW333" t="s">
        <v>54</v>
      </c>
      <c r="AZ333" t="s">
        <v>54</v>
      </c>
      <c r="BA333" t="s">
        <v>2425</v>
      </c>
      <c r="BB333" s="15" t="s">
        <v>678</v>
      </c>
    </row>
    <row r="334" spans="1:54" x14ac:dyDescent="0.25">
      <c r="A334">
        <v>329</v>
      </c>
      <c r="B334" t="s">
        <v>4351</v>
      </c>
      <c r="C334" t="s">
        <v>4352</v>
      </c>
      <c r="D334" t="s">
        <v>4353</v>
      </c>
      <c r="E334">
        <v>3</v>
      </c>
      <c r="F334" t="s">
        <v>3803</v>
      </c>
      <c r="G334" t="s">
        <v>4041</v>
      </c>
      <c r="H334" t="s">
        <v>4095</v>
      </c>
      <c r="I334" t="s">
        <v>4323</v>
      </c>
      <c r="J334" t="s">
        <v>4354</v>
      </c>
      <c r="K334" t="s">
        <v>4355</v>
      </c>
      <c r="L334" t="s">
        <v>4326</v>
      </c>
      <c r="M334">
        <v>12.73131275177002</v>
      </c>
      <c r="N334" t="s">
        <v>54</v>
      </c>
      <c r="O334" t="s">
        <v>53</v>
      </c>
      <c r="P334" t="s">
        <v>53</v>
      </c>
      <c r="Q334" t="s">
        <v>53</v>
      </c>
      <c r="R334" t="s">
        <v>53</v>
      </c>
      <c r="S334" t="s">
        <v>4327</v>
      </c>
      <c r="T334" t="s">
        <v>4327</v>
      </c>
      <c r="U334" t="s">
        <v>53</v>
      </c>
      <c r="V334" t="s">
        <v>51</v>
      </c>
      <c r="W334">
        <v>81000</v>
      </c>
      <c r="X334" t="s">
        <v>54</v>
      </c>
      <c r="Y334" t="s">
        <v>3819</v>
      </c>
      <c r="Z334">
        <v>8100</v>
      </c>
      <c r="AA334">
        <v>13</v>
      </c>
      <c r="AB334">
        <v>8</v>
      </c>
      <c r="AC334">
        <v>9</v>
      </c>
      <c r="AD334">
        <v>20</v>
      </c>
      <c r="AE334">
        <v>24</v>
      </c>
      <c r="AF334">
        <v>2</v>
      </c>
      <c r="AG334">
        <v>1</v>
      </c>
      <c r="AH334">
        <v>2.1878209114074711</v>
      </c>
      <c r="AJ334">
        <v>628.71441650390625</v>
      </c>
      <c r="AK334" t="s">
        <v>54</v>
      </c>
      <c r="AL334" t="s">
        <v>54</v>
      </c>
      <c r="AQ334" t="s">
        <v>54</v>
      </c>
      <c r="AW334" t="s">
        <v>54</v>
      </c>
      <c r="AZ334" t="s">
        <v>54</v>
      </c>
      <c r="BA334" t="s">
        <v>2425</v>
      </c>
      <c r="BB334" s="15" t="s">
        <v>678</v>
      </c>
    </row>
    <row r="335" spans="1:54" x14ac:dyDescent="0.25">
      <c r="A335">
        <v>330</v>
      </c>
      <c r="B335" t="s">
        <v>4356</v>
      </c>
      <c r="C335" t="s">
        <v>4357</v>
      </c>
      <c r="D335" t="s">
        <v>4358</v>
      </c>
      <c r="E335">
        <v>3</v>
      </c>
      <c r="F335" t="s">
        <v>3803</v>
      </c>
      <c r="G335" t="s">
        <v>4041</v>
      </c>
      <c r="H335" t="s">
        <v>4095</v>
      </c>
      <c r="I335" t="s">
        <v>4323</v>
      </c>
      <c r="J335" t="s">
        <v>4331</v>
      </c>
      <c r="K335" t="s">
        <v>4332</v>
      </c>
      <c r="L335" t="s">
        <v>4326</v>
      </c>
      <c r="M335">
        <v>6.4713726043701172</v>
      </c>
      <c r="N335" t="s">
        <v>54</v>
      </c>
      <c r="O335" t="s">
        <v>53</v>
      </c>
      <c r="P335" t="s">
        <v>53</v>
      </c>
      <c r="Q335" t="s">
        <v>53</v>
      </c>
      <c r="R335" t="s">
        <v>53</v>
      </c>
      <c r="S335" t="s">
        <v>4327</v>
      </c>
      <c r="T335" t="s">
        <v>4327</v>
      </c>
      <c r="U335" t="s">
        <v>53</v>
      </c>
      <c r="V335" t="s">
        <v>51</v>
      </c>
      <c r="W335">
        <v>50000</v>
      </c>
      <c r="X335" t="s">
        <v>54</v>
      </c>
      <c r="Y335" t="s">
        <v>3819</v>
      </c>
      <c r="Z335">
        <v>5000</v>
      </c>
      <c r="AA335">
        <v>232</v>
      </c>
      <c r="AB335">
        <v>227</v>
      </c>
      <c r="AC335">
        <v>200</v>
      </c>
      <c r="AD335">
        <v>862</v>
      </c>
      <c r="AE335">
        <v>863</v>
      </c>
      <c r="AF335">
        <v>2</v>
      </c>
      <c r="AG335">
        <v>5</v>
      </c>
      <c r="AH335">
        <v>3.980118989944458</v>
      </c>
      <c r="AJ335">
        <v>44.775051116943359</v>
      </c>
      <c r="AK335" t="s">
        <v>54</v>
      </c>
      <c r="AL335" t="s">
        <v>54</v>
      </c>
      <c r="AQ335" t="s">
        <v>54</v>
      </c>
      <c r="AW335" t="s">
        <v>54</v>
      </c>
      <c r="AZ335" t="s">
        <v>54</v>
      </c>
      <c r="BA335" t="s">
        <v>2425</v>
      </c>
      <c r="BB335" s="15" t="s">
        <v>678</v>
      </c>
    </row>
    <row r="336" spans="1:54" x14ac:dyDescent="0.25">
      <c r="A336">
        <v>331</v>
      </c>
      <c r="B336" t="s">
        <v>4359</v>
      </c>
      <c r="C336" t="s">
        <v>4360</v>
      </c>
      <c r="D336" t="s">
        <v>4361</v>
      </c>
      <c r="E336">
        <v>3</v>
      </c>
      <c r="F336" t="s">
        <v>3803</v>
      </c>
      <c r="G336" t="s">
        <v>4041</v>
      </c>
      <c r="H336" t="s">
        <v>4095</v>
      </c>
      <c r="I336" t="s">
        <v>4323</v>
      </c>
      <c r="J336" t="s">
        <v>4331</v>
      </c>
      <c r="K336" t="s">
        <v>4332</v>
      </c>
      <c r="L336" t="s">
        <v>4326</v>
      </c>
      <c r="M336">
        <v>6.4713726043701172</v>
      </c>
      <c r="N336" t="s">
        <v>54</v>
      </c>
      <c r="O336" t="s">
        <v>53</v>
      </c>
      <c r="P336" t="s">
        <v>53</v>
      </c>
      <c r="Q336" t="s">
        <v>53</v>
      </c>
      <c r="R336" t="s">
        <v>53</v>
      </c>
      <c r="S336" t="s">
        <v>4327</v>
      </c>
      <c r="T336" t="s">
        <v>4327</v>
      </c>
      <c r="U336" t="s">
        <v>53</v>
      </c>
      <c r="V336" t="s">
        <v>51</v>
      </c>
      <c r="W336">
        <v>50000</v>
      </c>
      <c r="X336" t="s">
        <v>54</v>
      </c>
      <c r="Y336" t="s">
        <v>3819</v>
      </c>
      <c r="Z336">
        <v>5000</v>
      </c>
      <c r="AA336">
        <v>232</v>
      </c>
      <c r="AB336">
        <v>227</v>
      </c>
      <c r="AC336">
        <v>200</v>
      </c>
      <c r="AD336">
        <v>862</v>
      </c>
      <c r="AE336">
        <v>863</v>
      </c>
      <c r="AF336">
        <v>2</v>
      </c>
      <c r="AG336">
        <v>5</v>
      </c>
      <c r="AH336">
        <v>3.980118989944458</v>
      </c>
      <c r="AJ336">
        <v>44.775051116943359</v>
      </c>
      <c r="AK336" t="s">
        <v>54</v>
      </c>
      <c r="AL336" t="s">
        <v>54</v>
      </c>
      <c r="AQ336" t="s">
        <v>54</v>
      </c>
      <c r="AW336" t="s">
        <v>54</v>
      </c>
      <c r="AZ336" t="s">
        <v>54</v>
      </c>
      <c r="BA336" t="s">
        <v>2425</v>
      </c>
      <c r="BB336" s="15" t="s">
        <v>678</v>
      </c>
    </row>
    <row r="337" spans="1:54" x14ac:dyDescent="0.25">
      <c r="A337">
        <v>332</v>
      </c>
      <c r="B337" t="s">
        <v>4362</v>
      </c>
      <c r="C337" t="s">
        <v>4363</v>
      </c>
      <c r="D337" t="s">
        <v>4364</v>
      </c>
      <c r="E337">
        <v>3</v>
      </c>
      <c r="F337" t="s">
        <v>3803</v>
      </c>
      <c r="G337" t="s">
        <v>4041</v>
      </c>
      <c r="H337" t="s">
        <v>4095</v>
      </c>
      <c r="I337" t="s">
        <v>4323</v>
      </c>
      <c r="J337" t="s">
        <v>4331</v>
      </c>
      <c r="K337" t="s">
        <v>4332</v>
      </c>
      <c r="L337" t="s">
        <v>4326</v>
      </c>
      <c r="M337">
        <v>4.6800632476806641</v>
      </c>
      <c r="N337" t="s">
        <v>54</v>
      </c>
      <c r="O337" t="s">
        <v>53</v>
      </c>
      <c r="P337" t="s">
        <v>53</v>
      </c>
      <c r="Q337" t="s">
        <v>53</v>
      </c>
      <c r="R337" t="s">
        <v>53</v>
      </c>
      <c r="S337" t="s">
        <v>4327</v>
      </c>
      <c r="T337" t="s">
        <v>4327</v>
      </c>
      <c r="U337" t="s">
        <v>53</v>
      </c>
      <c r="V337" t="s">
        <v>51</v>
      </c>
      <c r="W337">
        <v>50000</v>
      </c>
      <c r="X337" t="s">
        <v>54</v>
      </c>
      <c r="Y337" t="s">
        <v>3819</v>
      </c>
      <c r="Z337">
        <v>5000</v>
      </c>
      <c r="AA337">
        <v>40</v>
      </c>
      <c r="AB337">
        <v>28</v>
      </c>
      <c r="AC337">
        <v>216</v>
      </c>
      <c r="AD337">
        <v>115</v>
      </c>
      <c r="AE337">
        <v>298</v>
      </c>
      <c r="AF337">
        <v>0</v>
      </c>
      <c r="AG337">
        <v>5</v>
      </c>
      <c r="AH337">
        <v>1.8675509691238401</v>
      </c>
      <c r="AJ337">
        <v>7.3648991584777832</v>
      </c>
      <c r="AK337" t="s">
        <v>54</v>
      </c>
      <c r="AL337" t="s">
        <v>54</v>
      </c>
      <c r="AQ337" t="s">
        <v>54</v>
      </c>
      <c r="AW337" t="s">
        <v>54</v>
      </c>
      <c r="AZ337" t="s">
        <v>54</v>
      </c>
      <c r="BA337" t="s">
        <v>2425</v>
      </c>
      <c r="BB337" s="15" t="s">
        <v>678</v>
      </c>
    </row>
    <row r="338" spans="1:54" x14ac:dyDescent="0.25">
      <c r="A338">
        <v>333</v>
      </c>
      <c r="B338" t="s">
        <v>4365</v>
      </c>
      <c r="C338" t="s">
        <v>4366</v>
      </c>
      <c r="D338" t="s">
        <v>4367</v>
      </c>
      <c r="E338">
        <v>3</v>
      </c>
      <c r="F338" t="s">
        <v>3803</v>
      </c>
      <c r="G338" t="s">
        <v>4041</v>
      </c>
      <c r="H338" t="s">
        <v>4095</v>
      </c>
      <c r="I338" t="s">
        <v>4323</v>
      </c>
      <c r="J338" t="s">
        <v>4331</v>
      </c>
      <c r="K338" t="s">
        <v>4332</v>
      </c>
      <c r="L338" t="s">
        <v>4326</v>
      </c>
      <c r="M338">
        <v>6.4713726043701172</v>
      </c>
      <c r="N338" t="s">
        <v>54</v>
      </c>
      <c r="O338" t="s">
        <v>53</v>
      </c>
      <c r="P338" t="s">
        <v>53</v>
      </c>
      <c r="Q338" t="s">
        <v>53</v>
      </c>
      <c r="R338" t="s">
        <v>53</v>
      </c>
      <c r="S338" t="s">
        <v>4327</v>
      </c>
      <c r="T338" t="s">
        <v>4327</v>
      </c>
      <c r="U338" t="s">
        <v>53</v>
      </c>
      <c r="V338" t="s">
        <v>51</v>
      </c>
      <c r="W338">
        <v>50000</v>
      </c>
      <c r="X338" t="s">
        <v>54</v>
      </c>
      <c r="Y338" t="s">
        <v>3819</v>
      </c>
      <c r="Z338">
        <v>5000</v>
      </c>
      <c r="AA338">
        <v>232</v>
      </c>
      <c r="AB338">
        <v>227</v>
      </c>
      <c r="AC338">
        <v>200</v>
      </c>
      <c r="AD338">
        <v>862</v>
      </c>
      <c r="AE338">
        <v>863</v>
      </c>
      <c r="AF338">
        <v>2</v>
      </c>
      <c r="AG338">
        <v>5</v>
      </c>
      <c r="AH338">
        <v>3.980118989944458</v>
      </c>
      <c r="AJ338">
        <v>44.775051116943359</v>
      </c>
      <c r="AK338" t="s">
        <v>54</v>
      </c>
      <c r="AL338" t="s">
        <v>54</v>
      </c>
      <c r="AQ338" t="s">
        <v>54</v>
      </c>
      <c r="AW338" t="s">
        <v>54</v>
      </c>
      <c r="AZ338" t="s">
        <v>54</v>
      </c>
      <c r="BA338" t="s">
        <v>2425</v>
      </c>
      <c r="BB338" s="15" t="s">
        <v>678</v>
      </c>
    </row>
    <row r="339" spans="1:54" x14ac:dyDescent="0.25">
      <c r="A339">
        <v>334</v>
      </c>
      <c r="B339" t="s">
        <v>4368</v>
      </c>
      <c r="C339" t="s">
        <v>4369</v>
      </c>
      <c r="D339" t="s">
        <v>4370</v>
      </c>
      <c r="E339">
        <v>3</v>
      </c>
      <c r="F339" t="s">
        <v>3803</v>
      </c>
      <c r="G339" t="s">
        <v>4041</v>
      </c>
      <c r="H339" t="s">
        <v>4095</v>
      </c>
      <c r="I339" t="s">
        <v>4323</v>
      </c>
      <c r="J339" t="s">
        <v>4339</v>
      </c>
      <c r="K339" t="s">
        <v>4340</v>
      </c>
      <c r="L339" t="s">
        <v>4326</v>
      </c>
      <c r="M339">
        <v>5.9829974174499512</v>
      </c>
      <c r="N339" t="s">
        <v>54</v>
      </c>
      <c r="O339" t="s">
        <v>53</v>
      </c>
      <c r="P339" t="s">
        <v>53</v>
      </c>
      <c r="Q339" t="s">
        <v>53</v>
      </c>
      <c r="R339" t="s">
        <v>53</v>
      </c>
      <c r="S339" t="s">
        <v>4327</v>
      </c>
      <c r="T339" t="s">
        <v>4327</v>
      </c>
      <c r="U339" t="s">
        <v>53</v>
      </c>
      <c r="V339" t="s">
        <v>51</v>
      </c>
      <c r="W339">
        <v>150000</v>
      </c>
      <c r="X339" t="s">
        <v>54</v>
      </c>
      <c r="Y339" t="s">
        <v>3819</v>
      </c>
      <c r="Z339">
        <v>15000</v>
      </c>
      <c r="AA339">
        <v>10</v>
      </c>
      <c r="AB339">
        <v>10</v>
      </c>
      <c r="AC339">
        <v>8</v>
      </c>
      <c r="AD339">
        <v>25</v>
      </c>
      <c r="AE339">
        <v>26</v>
      </c>
      <c r="AF339">
        <v>0</v>
      </c>
      <c r="AG339">
        <v>2</v>
      </c>
      <c r="AH339">
        <v>0.53931897878646851</v>
      </c>
      <c r="AJ339">
        <v>84.700492858886719</v>
      </c>
      <c r="AK339" t="s">
        <v>54</v>
      </c>
      <c r="AL339" t="s">
        <v>54</v>
      </c>
      <c r="AQ339" t="s">
        <v>54</v>
      </c>
      <c r="AW339" t="s">
        <v>54</v>
      </c>
      <c r="AZ339" t="s">
        <v>54</v>
      </c>
      <c r="BA339" t="s">
        <v>2425</v>
      </c>
      <c r="BB339" s="15" t="s">
        <v>678</v>
      </c>
    </row>
    <row r="340" spans="1:54" x14ac:dyDescent="0.25">
      <c r="A340">
        <v>335</v>
      </c>
      <c r="B340" t="s">
        <v>4371</v>
      </c>
      <c r="C340" t="s">
        <v>4372</v>
      </c>
      <c r="D340" t="s">
        <v>4373</v>
      </c>
      <c r="E340">
        <v>3</v>
      </c>
      <c r="F340" t="s">
        <v>3803</v>
      </c>
      <c r="G340" t="s">
        <v>4041</v>
      </c>
      <c r="H340" t="s">
        <v>4095</v>
      </c>
      <c r="I340" t="s">
        <v>4323</v>
      </c>
      <c r="J340" t="s">
        <v>4324</v>
      </c>
      <c r="K340" t="s">
        <v>4325</v>
      </c>
      <c r="L340" t="s">
        <v>4326</v>
      </c>
      <c r="M340">
        <v>13.812246322631839</v>
      </c>
      <c r="N340" t="s">
        <v>54</v>
      </c>
      <c r="O340" t="s">
        <v>53</v>
      </c>
      <c r="P340" t="s">
        <v>53</v>
      </c>
      <c r="Q340" t="s">
        <v>53</v>
      </c>
      <c r="R340" t="s">
        <v>53</v>
      </c>
      <c r="S340" t="s">
        <v>4327</v>
      </c>
      <c r="T340" t="s">
        <v>4327</v>
      </c>
      <c r="U340" t="s">
        <v>53</v>
      </c>
      <c r="V340" t="s">
        <v>51</v>
      </c>
      <c r="W340">
        <v>50000</v>
      </c>
      <c r="X340" t="s">
        <v>54</v>
      </c>
      <c r="Y340" t="s">
        <v>3819</v>
      </c>
      <c r="Z340">
        <v>5000</v>
      </c>
      <c r="AA340">
        <v>117</v>
      </c>
      <c r="AB340">
        <v>112</v>
      </c>
      <c r="AC340">
        <v>120</v>
      </c>
      <c r="AD340">
        <v>459</v>
      </c>
      <c r="AE340">
        <v>471</v>
      </c>
      <c r="AF340">
        <v>1</v>
      </c>
      <c r="AG340">
        <v>4</v>
      </c>
      <c r="AH340">
        <v>3.02040696144104</v>
      </c>
      <c r="AJ340">
        <v>65.050056457519531</v>
      </c>
      <c r="AK340" t="s">
        <v>54</v>
      </c>
      <c r="AL340" t="s">
        <v>54</v>
      </c>
      <c r="AQ340" t="s">
        <v>54</v>
      </c>
      <c r="AW340" t="s">
        <v>54</v>
      </c>
      <c r="AZ340" t="s">
        <v>54</v>
      </c>
      <c r="BA340" t="s">
        <v>2425</v>
      </c>
      <c r="BB340" s="15" t="s">
        <v>676</v>
      </c>
    </row>
    <row r="341" spans="1:54" x14ac:dyDescent="0.25">
      <c r="A341">
        <v>336</v>
      </c>
      <c r="B341" t="s">
        <v>4374</v>
      </c>
      <c r="C341" t="s">
        <v>4375</v>
      </c>
      <c r="D341" t="s">
        <v>4376</v>
      </c>
      <c r="E341">
        <v>3</v>
      </c>
      <c r="F341" t="s">
        <v>3803</v>
      </c>
      <c r="G341" t="s">
        <v>4041</v>
      </c>
      <c r="H341" t="s">
        <v>4095</v>
      </c>
      <c r="I341" t="s">
        <v>4323</v>
      </c>
      <c r="J341" t="s">
        <v>4331</v>
      </c>
      <c r="K341" t="s">
        <v>4332</v>
      </c>
      <c r="L341" t="s">
        <v>4326</v>
      </c>
      <c r="M341">
        <v>4.6800632476806641</v>
      </c>
      <c r="N341" t="s">
        <v>54</v>
      </c>
      <c r="O341" t="s">
        <v>53</v>
      </c>
      <c r="P341" t="s">
        <v>53</v>
      </c>
      <c r="Q341" t="s">
        <v>53</v>
      </c>
      <c r="R341" t="s">
        <v>53</v>
      </c>
      <c r="S341" t="s">
        <v>4327</v>
      </c>
      <c r="T341" t="s">
        <v>4327</v>
      </c>
      <c r="U341" t="s">
        <v>53</v>
      </c>
      <c r="V341" t="s">
        <v>51</v>
      </c>
      <c r="W341">
        <v>150000</v>
      </c>
      <c r="X341" t="s">
        <v>54</v>
      </c>
      <c r="Y341" t="s">
        <v>3819</v>
      </c>
      <c r="Z341">
        <v>15000</v>
      </c>
      <c r="AA341">
        <v>40</v>
      </c>
      <c r="AB341">
        <v>28</v>
      </c>
      <c r="AC341">
        <v>216</v>
      </c>
      <c r="AD341">
        <v>115</v>
      </c>
      <c r="AE341">
        <v>298</v>
      </c>
      <c r="AF341">
        <v>0</v>
      </c>
      <c r="AG341">
        <v>5</v>
      </c>
      <c r="AH341">
        <v>1.8675509691238401</v>
      </c>
      <c r="AJ341">
        <v>7.3648991584777832</v>
      </c>
      <c r="AK341" t="s">
        <v>54</v>
      </c>
      <c r="AL341" t="s">
        <v>54</v>
      </c>
      <c r="AQ341" t="s">
        <v>54</v>
      </c>
      <c r="AW341" t="s">
        <v>54</v>
      </c>
      <c r="AZ341" t="s">
        <v>54</v>
      </c>
      <c r="BA341" t="s">
        <v>4341</v>
      </c>
      <c r="BB341" s="15" t="s">
        <v>678</v>
      </c>
    </row>
    <row r="342" spans="1:54" x14ac:dyDescent="0.25">
      <c r="A342">
        <v>337</v>
      </c>
      <c r="B342" t="s">
        <v>4377</v>
      </c>
      <c r="C342" t="s">
        <v>4378</v>
      </c>
      <c r="D342" t="s">
        <v>4379</v>
      </c>
      <c r="E342">
        <v>3</v>
      </c>
      <c r="F342" t="s">
        <v>3803</v>
      </c>
      <c r="G342" t="s">
        <v>4041</v>
      </c>
      <c r="H342" t="s">
        <v>4048</v>
      </c>
      <c r="I342" t="s">
        <v>4049</v>
      </c>
      <c r="J342" t="s">
        <v>4380</v>
      </c>
      <c r="K342" t="s">
        <v>4381</v>
      </c>
      <c r="L342" t="s">
        <v>4326</v>
      </c>
      <c r="M342">
        <v>13.476339340209959</v>
      </c>
      <c r="N342" t="s">
        <v>54</v>
      </c>
      <c r="O342" t="s">
        <v>53</v>
      </c>
      <c r="P342" t="s">
        <v>53</v>
      </c>
      <c r="Q342" t="s">
        <v>53</v>
      </c>
      <c r="R342" t="s">
        <v>53</v>
      </c>
      <c r="S342" t="s">
        <v>4327</v>
      </c>
      <c r="T342" t="s">
        <v>4327</v>
      </c>
      <c r="U342" t="s">
        <v>53</v>
      </c>
      <c r="V342" t="s">
        <v>51</v>
      </c>
      <c r="W342">
        <v>50000</v>
      </c>
      <c r="X342" t="s">
        <v>54</v>
      </c>
      <c r="Y342" t="s">
        <v>3819</v>
      </c>
      <c r="Z342">
        <v>5000</v>
      </c>
      <c r="AA342">
        <v>348</v>
      </c>
      <c r="AB342">
        <v>319</v>
      </c>
      <c r="AC342">
        <v>1672</v>
      </c>
      <c r="AD342">
        <v>3820</v>
      </c>
      <c r="AE342">
        <v>4557</v>
      </c>
      <c r="AF342">
        <v>4</v>
      </c>
      <c r="AG342">
        <v>12</v>
      </c>
      <c r="AH342">
        <v>9.1939573287963867</v>
      </c>
      <c r="AJ342">
        <v>8.2853097915649414</v>
      </c>
      <c r="AK342" t="s">
        <v>54</v>
      </c>
      <c r="AL342" t="s">
        <v>54</v>
      </c>
      <c r="AQ342" t="s">
        <v>54</v>
      </c>
      <c r="AW342" t="s">
        <v>54</v>
      </c>
      <c r="AZ342" t="s">
        <v>54</v>
      </c>
      <c r="BA342" t="s">
        <v>2425</v>
      </c>
      <c r="BB342" s="15" t="s">
        <v>678</v>
      </c>
    </row>
    <row r="343" spans="1:54" x14ac:dyDescent="0.25">
      <c r="A343">
        <v>338</v>
      </c>
      <c r="B343" t="s">
        <v>4382</v>
      </c>
      <c r="C343" t="s">
        <v>4383</v>
      </c>
      <c r="D343" t="s">
        <v>4384</v>
      </c>
      <c r="E343">
        <v>3</v>
      </c>
      <c r="F343" t="s">
        <v>3803</v>
      </c>
      <c r="G343" t="s">
        <v>4041</v>
      </c>
      <c r="H343" t="s">
        <v>4095</v>
      </c>
      <c r="I343" t="s">
        <v>4323</v>
      </c>
      <c r="J343" t="s">
        <v>4339</v>
      </c>
      <c r="K343" t="s">
        <v>4340</v>
      </c>
      <c r="L343" t="s">
        <v>4326</v>
      </c>
      <c r="M343">
        <v>5.9829974174499512</v>
      </c>
      <c r="N343" t="s">
        <v>54</v>
      </c>
      <c r="O343" t="s">
        <v>53</v>
      </c>
      <c r="P343" t="s">
        <v>53</v>
      </c>
      <c r="Q343" t="s">
        <v>53</v>
      </c>
      <c r="R343" t="s">
        <v>53</v>
      </c>
      <c r="S343" t="s">
        <v>4327</v>
      </c>
      <c r="T343" t="s">
        <v>4327</v>
      </c>
      <c r="U343" t="s">
        <v>53</v>
      </c>
      <c r="V343" t="s">
        <v>51</v>
      </c>
      <c r="W343">
        <v>50000</v>
      </c>
      <c r="X343" t="s">
        <v>54</v>
      </c>
      <c r="Y343" t="s">
        <v>3819</v>
      </c>
      <c r="Z343">
        <v>5000</v>
      </c>
      <c r="AA343">
        <v>10</v>
      </c>
      <c r="AB343">
        <v>10</v>
      </c>
      <c r="AC343">
        <v>8</v>
      </c>
      <c r="AD343">
        <v>25</v>
      </c>
      <c r="AE343">
        <v>26</v>
      </c>
      <c r="AF343">
        <v>0</v>
      </c>
      <c r="AG343">
        <v>2</v>
      </c>
      <c r="AH343">
        <v>0.53931897878646851</v>
      </c>
      <c r="AJ343">
        <v>84.700492858886719</v>
      </c>
      <c r="AK343" t="s">
        <v>54</v>
      </c>
      <c r="AL343" t="s">
        <v>54</v>
      </c>
      <c r="AQ343" t="s">
        <v>54</v>
      </c>
      <c r="AW343" t="s">
        <v>54</v>
      </c>
      <c r="AZ343" t="s">
        <v>54</v>
      </c>
      <c r="BA343" t="s">
        <v>2425</v>
      </c>
      <c r="BB343" s="15" t="s">
        <v>678</v>
      </c>
    </row>
    <row r="344" spans="1:54" x14ac:dyDescent="0.25">
      <c r="A344">
        <v>339</v>
      </c>
      <c r="B344" t="s">
        <v>4385</v>
      </c>
      <c r="C344" t="s">
        <v>4386</v>
      </c>
      <c r="D344" t="s">
        <v>4387</v>
      </c>
      <c r="E344">
        <v>3</v>
      </c>
      <c r="F344" t="s">
        <v>3803</v>
      </c>
      <c r="G344" t="s">
        <v>4041</v>
      </c>
      <c r="H344" t="s">
        <v>4048</v>
      </c>
      <c r="I344" t="s">
        <v>4388</v>
      </c>
      <c r="J344" t="s">
        <v>4389</v>
      </c>
      <c r="K344" t="s">
        <v>4390</v>
      </c>
      <c r="L344" t="s">
        <v>4326</v>
      </c>
      <c r="M344">
        <v>4.7307543754577637</v>
      </c>
      <c r="N344" t="s">
        <v>54</v>
      </c>
      <c r="O344" t="s">
        <v>53</v>
      </c>
      <c r="P344" t="s">
        <v>53</v>
      </c>
      <c r="Q344" t="s">
        <v>53</v>
      </c>
      <c r="R344" t="s">
        <v>53</v>
      </c>
      <c r="S344" t="s">
        <v>4327</v>
      </c>
      <c r="T344" t="s">
        <v>4327</v>
      </c>
      <c r="U344" t="s">
        <v>53</v>
      </c>
      <c r="V344" t="s">
        <v>51</v>
      </c>
      <c r="W344">
        <v>150000</v>
      </c>
      <c r="X344" t="s">
        <v>54</v>
      </c>
      <c r="Y344" t="s">
        <v>3819</v>
      </c>
      <c r="Z344">
        <v>15000</v>
      </c>
      <c r="AA344">
        <v>219</v>
      </c>
      <c r="AB344">
        <v>207</v>
      </c>
      <c r="AC344">
        <v>658</v>
      </c>
      <c r="AD344">
        <v>855</v>
      </c>
      <c r="AE344">
        <v>1298</v>
      </c>
      <c r="AF344">
        <v>1</v>
      </c>
      <c r="AG344">
        <v>9</v>
      </c>
      <c r="AH344">
        <v>3.682285070419312</v>
      </c>
      <c r="AJ344">
        <v>0.1136263981461525</v>
      </c>
      <c r="AK344" t="s">
        <v>54</v>
      </c>
      <c r="AL344" t="s">
        <v>54</v>
      </c>
      <c r="AQ344" t="s">
        <v>54</v>
      </c>
      <c r="AW344" t="s">
        <v>54</v>
      </c>
      <c r="AZ344" t="s">
        <v>54</v>
      </c>
      <c r="BA344" t="s">
        <v>2425</v>
      </c>
      <c r="BB344" s="15" t="s">
        <v>678</v>
      </c>
    </row>
    <row r="345" spans="1:54" x14ac:dyDescent="0.25">
      <c r="A345">
        <v>340</v>
      </c>
      <c r="B345" t="s">
        <v>4391</v>
      </c>
      <c r="C345" t="s">
        <v>4392</v>
      </c>
      <c r="D345" t="s">
        <v>4393</v>
      </c>
      <c r="E345">
        <v>3</v>
      </c>
      <c r="F345" t="s">
        <v>3803</v>
      </c>
      <c r="G345" t="s">
        <v>4041</v>
      </c>
      <c r="H345" t="s">
        <v>4095</v>
      </c>
      <c r="I345" t="s">
        <v>4110</v>
      </c>
      <c r="J345" t="s">
        <v>4394</v>
      </c>
      <c r="K345" t="s">
        <v>4395</v>
      </c>
      <c r="L345" t="s">
        <v>4326</v>
      </c>
      <c r="M345">
        <v>4.4596776962280273</v>
      </c>
      <c r="N345" t="s">
        <v>54</v>
      </c>
      <c r="O345" t="s">
        <v>53</v>
      </c>
      <c r="P345" t="s">
        <v>53</v>
      </c>
      <c r="Q345" t="s">
        <v>53</v>
      </c>
      <c r="R345" t="s">
        <v>53</v>
      </c>
      <c r="S345" t="s">
        <v>4327</v>
      </c>
      <c r="T345" t="s">
        <v>4327</v>
      </c>
      <c r="U345" t="s">
        <v>53</v>
      </c>
      <c r="V345" t="s">
        <v>51</v>
      </c>
      <c r="W345">
        <v>56000</v>
      </c>
      <c r="X345" t="s">
        <v>54</v>
      </c>
      <c r="Y345" t="s">
        <v>3819</v>
      </c>
      <c r="Z345">
        <v>5600</v>
      </c>
      <c r="AA345">
        <v>69</v>
      </c>
      <c r="AB345">
        <v>67</v>
      </c>
      <c r="AC345">
        <v>113</v>
      </c>
      <c r="AD345">
        <v>264</v>
      </c>
      <c r="AE345">
        <v>305</v>
      </c>
      <c r="AF345">
        <v>1</v>
      </c>
      <c r="AG345">
        <v>3</v>
      </c>
      <c r="AH345">
        <v>2.3375730514526372</v>
      </c>
      <c r="AJ345">
        <v>95.844673156738281</v>
      </c>
      <c r="AK345" t="s">
        <v>54</v>
      </c>
      <c r="AL345" t="s">
        <v>54</v>
      </c>
      <c r="AQ345" t="s">
        <v>54</v>
      </c>
      <c r="AW345" t="s">
        <v>54</v>
      </c>
      <c r="AZ345" t="s">
        <v>54</v>
      </c>
      <c r="BA345" t="s">
        <v>2425</v>
      </c>
      <c r="BB345" s="15" t="s">
        <v>678</v>
      </c>
    </row>
    <row r="346" spans="1:54" x14ac:dyDescent="0.25">
      <c r="A346">
        <v>341</v>
      </c>
      <c r="B346" t="s">
        <v>4396</v>
      </c>
      <c r="C346" t="s">
        <v>4397</v>
      </c>
      <c r="D346" t="s">
        <v>4398</v>
      </c>
      <c r="E346">
        <v>3</v>
      </c>
      <c r="F346" t="s">
        <v>3803</v>
      </c>
      <c r="G346" t="s">
        <v>4041</v>
      </c>
      <c r="H346" t="s">
        <v>4095</v>
      </c>
      <c r="I346" t="s">
        <v>4323</v>
      </c>
      <c r="J346" t="s">
        <v>4331</v>
      </c>
      <c r="K346" t="s">
        <v>4332</v>
      </c>
      <c r="L346" t="s">
        <v>4326</v>
      </c>
      <c r="M346">
        <v>4.6800632476806641</v>
      </c>
      <c r="N346" t="s">
        <v>54</v>
      </c>
      <c r="O346" t="s">
        <v>53</v>
      </c>
      <c r="P346" t="s">
        <v>53</v>
      </c>
      <c r="Q346" t="s">
        <v>53</v>
      </c>
      <c r="R346" t="s">
        <v>53</v>
      </c>
      <c r="S346" t="s">
        <v>4327</v>
      </c>
      <c r="T346" t="s">
        <v>4327</v>
      </c>
      <c r="U346" t="s">
        <v>53</v>
      </c>
      <c r="V346" t="s">
        <v>51</v>
      </c>
      <c r="W346">
        <v>50000</v>
      </c>
      <c r="X346" t="s">
        <v>54</v>
      </c>
      <c r="Y346" t="s">
        <v>3819</v>
      </c>
      <c r="Z346">
        <v>5000</v>
      </c>
      <c r="AA346">
        <v>40</v>
      </c>
      <c r="AB346">
        <v>28</v>
      </c>
      <c r="AC346">
        <v>216</v>
      </c>
      <c r="AD346">
        <v>115</v>
      </c>
      <c r="AE346">
        <v>298</v>
      </c>
      <c r="AF346">
        <v>0</v>
      </c>
      <c r="AG346">
        <v>5</v>
      </c>
      <c r="AH346">
        <v>1.8675509691238401</v>
      </c>
      <c r="AJ346">
        <v>7.3648991584777832</v>
      </c>
      <c r="AK346" t="s">
        <v>54</v>
      </c>
      <c r="AL346" t="s">
        <v>54</v>
      </c>
      <c r="AQ346" t="s">
        <v>54</v>
      </c>
      <c r="AW346" t="s">
        <v>54</v>
      </c>
      <c r="AZ346" t="s">
        <v>54</v>
      </c>
      <c r="BA346" t="s">
        <v>2425</v>
      </c>
      <c r="BB346" s="15" t="s">
        <v>678</v>
      </c>
    </row>
    <row r="347" spans="1:54" x14ac:dyDescent="0.25">
      <c r="A347">
        <v>342</v>
      </c>
      <c r="B347" t="s">
        <v>4399</v>
      </c>
      <c r="C347" t="s">
        <v>4400</v>
      </c>
      <c r="D347" t="s">
        <v>4401</v>
      </c>
      <c r="E347">
        <v>3</v>
      </c>
      <c r="F347" t="s">
        <v>3803</v>
      </c>
      <c r="G347" t="s">
        <v>4041</v>
      </c>
      <c r="H347" t="s">
        <v>4095</v>
      </c>
      <c r="I347" t="s">
        <v>4323</v>
      </c>
      <c r="J347" t="s">
        <v>4331</v>
      </c>
      <c r="K347" t="s">
        <v>4332</v>
      </c>
      <c r="L347" t="s">
        <v>4326</v>
      </c>
      <c r="M347">
        <v>6.4713726043701172</v>
      </c>
      <c r="N347" t="s">
        <v>54</v>
      </c>
      <c r="O347" t="s">
        <v>53</v>
      </c>
      <c r="P347" t="s">
        <v>53</v>
      </c>
      <c r="Q347" t="s">
        <v>53</v>
      </c>
      <c r="R347" t="s">
        <v>53</v>
      </c>
      <c r="S347" t="s">
        <v>4327</v>
      </c>
      <c r="T347" t="s">
        <v>4327</v>
      </c>
      <c r="U347" t="s">
        <v>53</v>
      </c>
      <c r="V347" t="s">
        <v>51</v>
      </c>
      <c r="W347">
        <v>50000</v>
      </c>
      <c r="X347" t="s">
        <v>54</v>
      </c>
      <c r="Y347" t="s">
        <v>3819</v>
      </c>
      <c r="Z347">
        <v>5000</v>
      </c>
      <c r="AA347">
        <v>232</v>
      </c>
      <c r="AB347">
        <v>227</v>
      </c>
      <c r="AC347">
        <v>200</v>
      </c>
      <c r="AD347">
        <v>862</v>
      </c>
      <c r="AE347">
        <v>863</v>
      </c>
      <c r="AF347">
        <v>2</v>
      </c>
      <c r="AG347">
        <v>5</v>
      </c>
      <c r="AH347">
        <v>3.980118989944458</v>
      </c>
      <c r="AJ347">
        <v>44.775051116943359</v>
      </c>
      <c r="AK347" t="s">
        <v>54</v>
      </c>
      <c r="AL347" t="s">
        <v>54</v>
      </c>
      <c r="AQ347" t="s">
        <v>54</v>
      </c>
      <c r="AW347" t="s">
        <v>54</v>
      </c>
      <c r="AZ347" t="s">
        <v>54</v>
      </c>
      <c r="BA347" t="s">
        <v>2425</v>
      </c>
      <c r="BB347" s="15" t="s">
        <v>678</v>
      </c>
    </row>
    <row r="348" spans="1:54" x14ac:dyDescent="0.25">
      <c r="A348">
        <v>343</v>
      </c>
      <c r="B348" t="s">
        <v>4402</v>
      </c>
      <c r="C348" t="s">
        <v>4403</v>
      </c>
      <c r="D348" t="s">
        <v>4404</v>
      </c>
      <c r="E348">
        <v>3</v>
      </c>
      <c r="F348" t="s">
        <v>3803</v>
      </c>
      <c r="G348" t="s">
        <v>4041</v>
      </c>
      <c r="H348" t="s">
        <v>4048</v>
      </c>
      <c r="I348" t="s">
        <v>4049</v>
      </c>
      <c r="J348" t="s">
        <v>4380</v>
      </c>
      <c r="K348" t="s">
        <v>4381</v>
      </c>
      <c r="L348" t="s">
        <v>4326</v>
      </c>
      <c r="M348">
        <v>8.7962760925292969</v>
      </c>
      <c r="N348" t="s">
        <v>54</v>
      </c>
      <c r="O348" t="s">
        <v>53</v>
      </c>
      <c r="P348" t="s">
        <v>53</v>
      </c>
      <c r="Q348" t="s">
        <v>53</v>
      </c>
      <c r="R348" t="s">
        <v>53</v>
      </c>
      <c r="S348" t="s">
        <v>4327</v>
      </c>
      <c r="T348" t="s">
        <v>4327</v>
      </c>
      <c r="U348" t="s">
        <v>53</v>
      </c>
      <c r="V348" t="s">
        <v>51</v>
      </c>
      <c r="W348">
        <v>50000</v>
      </c>
      <c r="X348" t="s">
        <v>54</v>
      </c>
      <c r="Y348" t="s">
        <v>3819</v>
      </c>
      <c r="Z348">
        <v>5000</v>
      </c>
      <c r="AA348">
        <v>308</v>
      </c>
      <c r="AB348">
        <v>291</v>
      </c>
      <c r="AC348">
        <v>1456</v>
      </c>
      <c r="AD348">
        <v>3705</v>
      </c>
      <c r="AE348">
        <v>4259</v>
      </c>
      <c r="AF348">
        <v>4</v>
      </c>
      <c r="AG348">
        <v>7</v>
      </c>
      <c r="AH348">
        <v>7.3264060020446777</v>
      </c>
      <c r="AJ348">
        <v>0.92041027545928955</v>
      </c>
      <c r="AK348" t="s">
        <v>54</v>
      </c>
      <c r="AL348" t="s">
        <v>54</v>
      </c>
      <c r="AQ348" t="s">
        <v>54</v>
      </c>
      <c r="AW348" t="s">
        <v>54</v>
      </c>
      <c r="AZ348" t="s">
        <v>54</v>
      </c>
      <c r="BA348" t="s">
        <v>2425</v>
      </c>
      <c r="BB348" s="15" t="s">
        <v>678</v>
      </c>
    </row>
    <row r="349" spans="1:54" x14ac:dyDescent="0.25">
      <c r="A349">
        <v>344</v>
      </c>
      <c r="B349" t="s">
        <v>4405</v>
      </c>
      <c r="C349" t="s">
        <v>4406</v>
      </c>
      <c r="D349" t="s">
        <v>4407</v>
      </c>
      <c r="E349">
        <v>3</v>
      </c>
      <c r="F349" t="s">
        <v>3803</v>
      </c>
      <c r="G349" t="s">
        <v>3814</v>
      </c>
      <c r="H349" t="s">
        <v>4137</v>
      </c>
      <c r="I349" t="s">
        <v>4408</v>
      </c>
      <c r="J349" t="s">
        <v>4409</v>
      </c>
      <c r="K349" t="s">
        <v>4410</v>
      </c>
      <c r="L349" t="s">
        <v>4411</v>
      </c>
      <c r="M349">
        <v>24.54367637634277</v>
      </c>
      <c r="N349" t="s">
        <v>54</v>
      </c>
      <c r="O349" t="s">
        <v>53</v>
      </c>
      <c r="P349" t="s">
        <v>53</v>
      </c>
      <c r="Q349" t="s">
        <v>53</v>
      </c>
      <c r="R349" t="s">
        <v>53</v>
      </c>
      <c r="S349" t="s">
        <v>952</v>
      </c>
      <c r="T349" t="s">
        <v>952</v>
      </c>
      <c r="U349" t="s">
        <v>53</v>
      </c>
      <c r="V349" t="s">
        <v>51</v>
      </c>
      <c r="W349">
        <v>1250000</v>
      </c>
      <c r="X349" t="s">
        <v>54</v>
      </c>
      <c r="Y349" t="s">
        <v>3819</v>
      </c>
      <c r="Z349">
        <v>125000</v>
      </c>
      <c r="AA349">
        <v>1037</v>
      </c>
      <c r="AB349">
        <v>897</v>
      </c>
      <c r="AC349">
        <v>4341</v>
      </c>
      <c r="AD349">
        <v>1152</v>
      </c>
      <c r="AE349">
        <v>5159</v>
      </c>
      <c r="AF349">
        <v>12</v>
      </c>
      <c r="AG349">
        <v>0</v>
      </c>
      <c r="AH349">
        <v>14.451809883117679</v>
      </c>
      <c r="AJ349">
        <v>1544.696044921875</v>
      </c>
      <c r="AK349" t="s">
        <v>54</v>
      </c>
      <c r="AL349" t="s">
        <v>54</v>
      </c>
      <c r="AQ349" t="s">
        <v>54</v>
      </c>
      <c r="AW349" t="s">
        <v>54</v>
      </c>
      <c r="AZ349" t="s">
        <v>54</v>
      </c>
      <c r="BA349" t="s">
        <v>2425</v>
      </c>
      <c r="BB349" s="15" t="s">
        <v>678</v>
      </c>
    </row>
    <row r="350" spans="1:54" x14ac:dyDescent="0.25">
      <c r="A350">
        <v>345</v>
      </c>
      <c r="B350" t="s">
        <v>4412</v>
      </c>
      <c r="C350" t="s">
        <v>4413</v>
      </c>
      <c r="D350" t="s">
        <v>4414</v>
      </c>
      <c r="E350">
        <v>3</v>
      </c>
      <c r="F350" t="s">
        <v>3803</v>
      </c>
      <c r="G350" t="s">
        <v>3828</v>
      </c>
      <c r="H350" t="s">
        <v>3829</v>
      </c>
      <c r="I350" t="s">
        <v>3830</v>
      </c>
      <c r="J350" t="s">
        <v>4409</v>
      </c>
      <c r="K350" t="s">
        <v>4410</v>
      </c>
      <c r="L350" t="s">
        <v>4415</v>
      </c>
      <c r="M350">
        <v>883.18670654296875</v>
      </c>
      <c r="N350" t="s">
        <v>54</v>
      </c>
      <c r="O350" t="s">
        <v>53</v>
      </c>
      <c r="P350" t="s">
        <v>53</v>
      </c>
      <c r="Q350" t="s">
        <v>53</v>
      </c>
      <c r="R350" t="s">
        <v>53</v>
      </c>
      <c r="S350" t="s">
        <v>3831</v>
      </c>
      <c r="T350" t="s">
        <v>3831</v>
      </c>
      <c r="U350" t="s">
        <v>53</v>
      </c>
      <c r="V350" t="s">
        <v>51</v>
      </c>
      <c r="W350">
        <v>500000</v>
      </c>
      <c r="X350" t="s">
        <v>54</v>
      </c>
      <c r="Y350" t="s">
        <v>3819</v>
      </c>
      <c r="Z350">
        <v>50000</v>
      </c>
      <c r="AA350">
        <v>2842</v>
      </c>
      <c r="AB350">
        <v>2401</v>
      </c>
      <c r="AC350">
        <v>11593</v>
      </c>
      <c r="AD350">
        <v>7641</v>
      </c>
      <c r="AE350">
        <v>17576</v>
      </c>
      <c r="AF350">
        <v>26</v>
      </c>
      <c r="AG350">
        <v>55</v>
      </c>
      <c r="AH350">
        <v>145.78169250488281</v>
      </c>
      <c r="AJ350">
        <v>34153.609375</v>
      </c>
      <c r="AK350" t="s">
        <v>54</v>
      </c>
      <c r="AL350" t="s">
        <v>54</v>
      </c>
      <c r="AQ350" t="s">
        <v>54</v>
      </c>
      <c r="AW350" t="s">
        <v>54</v>
      </c>
      <c r="AZ350" t="s">
        <v>54</v>
      </c>
      <c r="BA350" t="s">
        <v>2425</v>
      </c>
      <c r="BB350" s="15" t="s">
        <v>678</v>
      </c>
    </row>
    <row r="351" spans="1:54" x14ac:dyDescent="0.25">
      <c r="A351">
        <v>346</v>
      </c>
      <c r="B351" t="s">
        <v>4416</v>
      </c>
      <c r="C351" t="s">
        <v>4417</v>
      </c>
      <c r="D351" t="s">
        <v>4418</v>
      </c>
      <c r="E351">
        <v>3</v>
      </c>
      <c r="F351" t="s">
        <v>3803</v>
      </c>
      <c r="G351" t="s">
        <v>3834</v>
      </c>
      <c r="H351" t="s">
        <v>3835</v>
      </c>
      <c r="I351" t="s">
        <v>3836</v>
      </c>
      <c r="J351" t="s">
        <v>4419</v>
      </c>
      <c r="K351" t="s">
        <v>3837</v>
      </c>
      <c r="L351" t="s">
        <v>4420</v>
      </c>
      <c r="M351">
        <v>893.008056640625</v>
      </c>
      <c r="N351" t="s">
        <v>54</v>
      </c>
      <c r="O351" t="s">
        <v>53</v>
      </c>
      <c r="P351" t="s">
        <v>53</v>
      </c>
      <c r="Q351" t="s">
        <v>53</v>
      </c>
      <c r="R351" t="s">
        <v>53</v>
      </c>
      <c r="S351" t="s">
        <v>2978</v>
      </c>
      <c r="T351" t="s">
        <v>2978</v>
      </c>
      <c r="U351" t="s">
        <v>53</v>
      </c>
      <c r="V351" t="s">
        <v>51</v>
      </c>
      <c r="W351">
        <v>500000</v>
      </c>
      <c r="X351" t="s">
        <v>54</v>
      </c>
      <c r="Y351" t="s">
        <v>3819</v>
      </c>
      <c r="Z351">
        <v>50000</v>
      </c>
      <c r="AA351">
        <v>1328</v>
      </c>
      <c r="AB351">
        <v>964</v>
      </c>
      <c r="AC351">
        <v>998</v>
      </c>
      <c r="AD351">
        <v>1528</v>
      </c>
      <c r="AE351">
        <v>2077</v>
      </c>
      <c r="AF351">
        <v>6</v>
      </c>
      <c r="AG351">
        <v>32</v>
      </c>
      <c r="AH351">
        <v>81.361366271972656</v>
      </c>
      <c r="AJ351">
        <v>40870.1796875</v>
      </c>
      <c r="AK351" t="s">
        <v>54</v>
      </c>
      <c r="AL351" t="s">
        <v>54</v>
      </c>
      <c r="AQ351" t="s">
        <v>54</v>
      </c>
      <c r="AW351" t="s">
        <v>54</v>
      </c>
      <c r="AZ351" t="s">
        <v>54</v>
      </c>
      <c r="BA351" t="s">
        <v>2425</v>
      </c>
      <c r="BB351" s="15" t="s">
        <v>678</v>
      </c>
    </row>
    <row r="352" spans="1:54" x14ac:dyDescent="0.25">
      <c r="A352">
        <v>347</v>
      </c>
      <c r="B352" t="s">
        <v>4421</v>
      </c>
      <c r="C352" t="s">
        <v>4422</v>
      </c>
      <c r="D352" t="s">
        <v>4423</v>
      </c>
      <c r="E352">
        <v>3</v>
      </c>
      <c r="F352" t="s">
        <v>3803</v>
      </c>
      <c r="G352" t="s">
        <v>3834</v>
      </c>
      <c r="H352" t="s">
        <v>4424</v>
      </c>
      <c r="I352" t="s">
        <v>4425</v>
      </c>
      <c r="J352" t="s">
        <v>4426</v>
      </c>
      <c r="K352" t="s">
        <v>4427</v>
      </c>
      <c r="L352" t="s">
        <v>4428</v>
      </c>
      <c r="M352">
        <v>39.490348815917969</v>
      </c>
      <c r="N352" t="s">
        <v>54</v>
      </c>
      <c r="O352" t="s">
        <v>53</v>
      </c>
      <c r="P352" t="s">
        <v>53</v>
      </c>
      <c r="Q352" t="s">
        <v>53</v>
      </c>
      <c r="R352" t="s">
        <v>53</v>
      </c>
      <c r="S352" t="s">
        <v>4429</v>
      </c>
      <c r="T352" t="s">
        <v>4429</v>
      </c>
      <c r="U352" t="s">
        <v>53</v>
      </c>
      <c r="V352" t="s">
        <v>51</v>
      </c>
      <c r="W352">
        <v>125000</v>
      </c>
      <c r="X352" t="s">
        <v>54</v>
      </c>
      <c r="Y352" t="s">
        <v>3819</v>
      </c>
      <c r="Z352">
        <v>12500</v>
      </c>
      <c r="AA352">
        <v>347</v>
      </c>
      <c r="AB352">
        <v>269</v>
      </c>
      <c r="AC352">
        <v>325</v>
      </c>
      <c r="AD352">
        <v>500</v>
      </c>
      <c r="AE352">
        <v>665</v>
      </c>
      <c r="AF352">
        <v>0</v>
      </c>
      <c r="AG352">
        <v>1</v>
      </c>
      <c r="AH352">
        <v>13.16635036468506</v>
      </c>
      <c r="AJ352">
        <v>2058.0458984375</v>
      </c>
      <c r="AK352" t="s">
        <v>54</v>
      </c>
      <c r="AL352" t="s">
        <v>54</v>
      </c>
      <c r="AQ352" t="s">
        <v>54</v>
      </c>
      <c r="AW352" t="s">
        <v>54</v>
      </c>
      <c r="AZ352" t="s">
        <v>54</v>
      </c>
      <c r="BA352" t="s">
        <v>2425</v>
      </c>
      <c r="BB352" s="15" t="s">
        <v>676</v>
      </c>
    </row>
    <row r="353" spans="1:54" x14ac:dyDescent="0.25">
      <c r="A353">
        <v>348</v>
      </c>
      <c r="B353" t="s">
        <v>4430</v>
      </c>
      <c r="C353" t="s">
        <v>4431</v>
      </c>
      <c r="D353" t="s">
        <v>4432</v>
      </c>
      <c r="E353">
        <v>3</v>
      </c>
      <c r="F353" t="s">
        <v>3803</v>
      </c>
      <c r="G353" t="s">
        <v>3834</v>
      </c>
      <c r="H353" t="s">
        <v>4116</v>
      </c>
      <c r="I353" t="s">
        <v>4433</v>
      </c>
      <c r="J353" t="s">
        <v>4434</v>
      </c>
      <c r="K353" t="s">
        <v>4435</v>
      </c>
      <c r="L353" t="s">
        <v>4428</v>
      </c>
      <c r="M353">
        <v>12.54483032226562</v>
      </c>
      <c r="N353" t="s">
        <v>54</v>
      </c>
      <c r="O353" t="s">
        <v>53</v>
      </c>
      <c r="P353" t="s">
        <v>53</v>
      </c>
      <c r="Q353" t="s">
        <v>53</v>
      </c>
      <c r="R353" t="s">
        <v>53</v>
      </c>
      <c r="S353" t="s">
        <v>4436</v>
      </c>
      <c r="T353" t="s">
        <v>4436</v>
      </c>
      <c r="U353" t="s">
        <v>53</v>
      </c>
      <c r="V353" t="s">
        <v>51</v>
      </c>
      <c r="W353">
        <v>100000</v>
      </c>
      <c r="X353" t="s">
        <v>54</v>
      </c>
      <c r="Y353" t="s">
        <v>3819</v>
      </c>
      <c r="Z353">
        <v>10000</v>
      </c>
      <c r="AA353">
        <v>5</v>
      </c>
      <c r="AB353">
        <v>1</v>
      </c>
      <c r="AC353">
        <v>0</v>
      </c>
      <c r="AD353">
        <v>2</v>
      </c>
      <c r="AE353">
        <v>2</v>
      </c>
      <c r="AF353">
        <v>0</v>
      </c>
      <c r="AG353">
        <v>5</v>
      </c>
      <c r="AH353">
        <v>2.0909700393676758</v>
      </c>
      <c r="AJ353">
        <v>306.13079833984381</v>
      </c>
      <c r="AK353" t="s">
        <v>54</v>
      </c>
      <c r="AL353" t="s">
        <v>54</v>
      </c>
      <c r="AQ353" t="s">
        <v>54</v>
      </c>
      <c r="AW353" t="s">
        <v>54</v>
      </c>
      <c r="AZ353" t="s">
        <v>54</v>
      </c>
      <c r="BA353" t="s">
        <v>2425</v>
      </c>
      <c r="BB353" s="15" t="s">
        <v>676</v>
      </c>
    </row>
    <row r="354" spans="1:54" x14ac:dyDescent="0.25">
      <c r="A354">
        <v>349</v>
      </c>
      <c r="B354" t="s">
        <v>4437</v>
      </c>
      <c r="C354" t="s">
        <v>4438</v>
      </c>
      <c r="D354" t="s">
        <v>4439</v>
      </c>
      <c r="E354">
        <v>3</v>
      </c>
      <c r="F354" t="s">
        <v>3803</v>
      </c>
      <c r="G354" t="s">
        <v>3834</v>
      </c>
      <c r="H354" t="s">
        <v>4116</v>
      </c>
      <c r="I354" t="s">
        <v>4440</v>
      </c>
      <c r="J354" t="s">
        <v>4441</v>
      </c>
      <c r="K354" t="s">
        <v>4442</v>
      </c>
      <c r="L354" t="s">
        <v>4420</v>
      </c>
      <c r="M354">
        <v>10.33038902282715</v>
      </c>
      <c r="N354" t="s">
        <v>54</v>
      </c>
      <c r="O354" t="s">
        <v>53</v>
      </c>
      <c r="P354" t="s">
        <v>53</v>
      </c>
      <c r="Q354" t="s">
        <v>53</v>
      </c>
      <c r="R354" t="s">
        <v>53</v>
      </c>
      <c r="S354" t="s">
        <v>4429</v>
      </c>
      <c r="T354" t="s">
        <v>4429</v>
      </c>
      <c r="U354" t="s">
        <v>53</v>
      </c>
      <c r="V354" t="s">
        <v>51</v>
      </c>
      <c r="W354">
        <v>125000</v>
      </c>
      <c r="X354" t="s">
        <v>54</v>
      </c>
      <c r="Y354" t="s">
        <v>3819</v>
      </c>
      <c r="Z354">
        <v>12500</v>
      </c>
      <c r="AA354">
        <v>244</v>
      </c>
      <c r="AB354">
        <v>210</v>
      </c>
      <c r="AC354">
        <v>272</v>
      </c>
      <c r="AD354">
        <v>426</v>
      </c>
      <c r="AE354">
        <v>556</v>
      </c>
      <c r="AF354">
        <v>0</v>
      </c>
      <c r="AG354">
        <v>1</v>
      </c>
      <c r="AH354">
        <v>7.5911197662353516</v>
      </c>
      <c r="AJ354">
        <v>485.55850219726563</v>
      </c>
      <c r="AK354" t="s">
        <v>54</v>
      </c>
      <c r="AL354" t="s">
        <v>54</v>
      </c>
      <c r="AQ354" t="s">
        <v>54</v>
      </c>
      <c r="AW354" t="s">
        <v>54</v>
      </c>
      <c r="AZ354" t="s">
        <v>54</v>
      </c>
      <c r="BA354" t="s">
        <v>4341</v>
      </c>
      <c r="BB354" s="15" t="s">
        <v>676</v>
      </c>
    </row>
    <row r="355" spans="1:54" x14ac:dyDescent="0.25">
      <c r="A355">
        <v>350</v>
      </c>
      <c r="B355" t="s">
        <v>4443</v>
      </c>
      <c r="C355" t="s">
        <v>4444</v>
      </c>
      <c r="D355" t="s">
        <v>4445</v>
      </c>
      <c r="E355">
        <v>3</v>
      </c>
      <c r="F355" t="s">
        <v>3803</v>
      </c>
      <c r="G355" t="s">
        <v>3834</v>
      </c>
      <c r="H355" t="s">
        <v>4116</v>
      </c>
      <c r="I355" t="s">
        <v>4446</v>
      </c>
      <c r="J355" t="s">
        <v>4447</v>
      </c>
      <c r="K355" t="s">
        <v>4448</v>
      </c>
      <c r="L355" t="s">
        <v>4449</v>
      </c>
      <c r="M355">
        <v>7.2250747680664063</v>
      </c>
      <c r="N355" t="s">
        <v>54</v>
      </c>
      <c r="O355" t="s">
        <v>53</v>
      </c>
      <c r="P355" t="s">
        <v>53</v>
      </c>
      <c r="Q355" t="s">
        <v>53</v>
      </c>
      <c r="R355" t="s">
        <v>53</v>
      </c>
      <c r="S355" t="s">
        <v>4429</v>
      </c>
      <c r="T355" t="s">
        <v>4429</v>
      </c>
      <c r="U355" t="s">
        <v>53</v>
      </c>
      <c r="V355" t="s">
        <v>51</v>
      </c>
      <c r="W355">
        <v>100000</v>
      </c>
      <c r="X355" t="s">
        <v>54</v>
      </c>
      <c r="Y355" t="s">
        <v>3819</v>
      </c>
      <c r="Z355">
        <v>10000</v>
      </c>
      <c r="AA355">
        <v>105</v>
      </c>
      <c r="AB355">
        <v>47</v>
      </c>
      <c r="AC355">
        <v>278</v>
      </c>
      <c r="AD355">
        <v>110</v>
      </c>
      <c r="AE355">
        <v>348</v>
      </c>
      <c r="AF355">
        <v>1</v>
      </c>
      <c r="AG355">
        <v>0</v>
      </c>
      <c r="AH355">
        <v>4.2914290428161621</v>
      </c>
      <c r="AJ355">
        <v>1027.23095703125</v>
      </c>
      <c r="AK355" t="s">
        <v>54</v>
      </c>
      <c r="AL355" t="s">
        <v>54</v>
      </c>
      <c r="AQ355" t="s">
        <v>54</v>
      </c>
      <c r="AW355" t="s">
        <v>54</v>
      </c>
      <c r="AZ355" t="s">
        <v>54</v>
      </c>
      <c r="BA355" t="s">
        <v>2425</v>
      </c>
      <c r="BB355" s="15" t="s">
        <v>678</v>
      </c>
    </row>
    <row r="356" spans="1:54" x14ac:dyDescent="0.25">
      <c r="A356">
        <v>351</v>
      </c>
      <c r="B356" t="s">
        <v>4450</v>
      </c>
      <c r="C356" t="s">
        <v>4451</v>
      </c>
      <c r="D356" t="s">
        <v>4452</v>
      </c>
      <c r="E356">
        <v>3</v>
      </c>
      <c r="F356" t="s">
        <v>3803</v>
      </c>
      <c r="G356" t="s">
        <v>4041</v>
      </c>
      <c r="H356" t="s">
        <v>4103</v>
      </c>
      <c r="I356" t="s">
        <v>4104</v>
      </c>
      <c r="J356" t="s">
        <v>4105</v>
      </c>
      <c r="K356" t="s">
        <v>4106</v>
      </c>
      <c r="L356" t="s">
        <v>4428</v>
      </c>
      <c r="M356">
        <v>3.68553638458252</v>
      </c>
      <c r="N356" t="s">
        <v>54</v>
      </c>
      <c r="O356" t="s">
        <v>53</v>
      </c>
      <c r="P356" t="s">
        <v>53</v>
      </c>
      <c r="Q356" t="s">
        <v>53</v>
      </c>
      <c r="R356" t="s">
        <v>53</v>
      </c>
      <c r="S356" t="s">
        <v>4107</v>
      </c>
      <c r="T356" t="s">
        <v>4107</v>
      </c>
      <c r="U356" t="s">
        <v>53</v>
      </c>
      <c r="V356" t="s">
        <v>51</v>
      </c>
      <c r="W356">
        <v>660000</v>
      </c>
      <c r="X356" t="s">
        <v>54</v>
      </c>
      <c r="Y356" t="s">
        <v>3819</v>
      </c>
      <c r="Z356">
        <v>66000</v>
      </c>
      <c r="AA356">
        <v>22</v>
      </c>
      <c r="AB356">
        <v>19</v>
      </c>
      <c r="AC356">
        <v>24</v>
      </c>
      <c r="AD356">
        <v>73</v>
      </c>
      <c r="AE356">
        <v>76</v>
      </c>
      <c r="AF356">
        <v>0</v>
      </c>
      <c r="AG356">
        <v>2</v>
      </c>
      <c r="AH356">
        <v>0.30625671148300171</v>
      </c>
      <c r="AJ356">
        <v>0.43760639429092407</v>
      </c>
      <c r="AK356" t="s">
        <v>54</v>
      </c>
      <c r="AL356" t="s">
        <v>54</v>
      </c>
      <c r="AQ356" t="s">
        <v>54</v>
      </c>
      <c r="AW356" t="s">
        <v>53</v>
      </c>
      <c r="AZ356" t="s">
        <v>54</v>
      </c>
      <c r="BA356" t="s">
        <v>2425</v>
      </c>
      <c r="BB356" s="15" t="s">
        <v>678</v>
      </c>
    </row>
    <row r="357" spans="1:54" x14ac:dyDescent="0.25">
      <c r="A357">
        <v>352</v>
      </c>
      <c r="B357" t="s">
        <v>4453</v>
      </c>
      <c r="C357" t="s">
        <v>4454</v>
      </c>
      <c r="D357" t="s">
        <v>4455</v>
      </c>
      <c r="E357">
        <v>3</v>
      </c>
      <c r="F357" t="s">
        <v>3803</v>
      </c>
      <c r="G357" t="s">
        <v>4041</v>
      </c>
      <c r="H357" t="s">
        <v>4456</v>
      </c>
      <c r="I357" t="s">
        <v>4457</v>
      </c>
      <c r="J357" t="s">
        <v>4458</v>
      </c>
      <c r="K357" t="s">
        <v>4459</v>
      </c>
      <c r="L357" t="s">
        <v>4460</v>
      </c>
      <c r="M357">
        <v>2.2311456203460689</v>
      </c>
      <c r="N357" t="s">
        <v>54</v>
      </c>
      <c r="O357" t="s">
        <v>53</v>
      </c>
      <c r="P357" t="s">
        <v>53</v>
      </c>
      <c r="Q357" t="s">
        <v>53</v>
      </c>
      <c r="R357" t="s">
        <v>53</v>
      </c>
      <c r="S357" t="s">
        <v>4461</v>
      </c>
      <c r="T357" t="s">
        <v>4461</v>
      </c>
      <c r="U357" t="s">
        <v>53</v>
      </c>
      <c r="V357" t="s">
        <v>51</v>
      </c>
      <c r="W357">
        <v>175000</v>
      </c>
      <c r="X357" t="s">
        <v>54</v>
      </c>
      <c r="Y357" t="s">
        <v>3819</v>
      </c>
      <c r="Z357">
        <v>17500</v>
      </c>
      <c r="AA357">
        <v>17</v>
      </c>
      <c r="AB357">
        <v>15</v>
      </c>
      <c r="AC357">
        <v>208</v>
      </c>
      <c r="AD357">
        <v>62</v>
      </c>
      <c r="AE357">
        <v>250</v>
      </c>
      <c r="AF357">
        <v>0</v>
      </c>
      <c r="AG357">
        <v>3</v>
      </c>
      <c r="AH357">
        <v>1.533100008964539</v>
      </c>
      <c r="AJ357">
        <v>0</v>
      </c>
      <c r="AK357" t="s">
        <v>54</v>
      </c>
      <c r="AL357" t="s">
        <v>54</v>
      </c>
      <c r="AQ357" t="s">
        <v>54</v>
      </c>
      <c r="AW357" t="s">
        <v>54</v>
      </c>
      <c r="AZ357" t="s">
        <v>54</v>
      </c>
      <c r="BA357" t="s">
        <v>2425</v>
      </c>
      <c r="BB357" s="15" t="s">
        <v>678</v>
      </c>
    </row>
    <row r="358" spans="1:54" x14ac:dyDescent="0.25">
      <c r="A358">
        <v>353</v>
      </c>
      <c r="B358" t="s">
        <v>4462</v>
      </c>
      <c r="C358" t="s">
        <v>4463</v>
      </c>
      <c r="D358" t="s">
        <v>4464</v>
      </c>
      <c r="E358">
        <v>3</v>
      </c>
      <c r="F358" t="s">
        <v>3803</v>
      </c>
      <c r="G358" t="s">
        <v>4041</v>
      </c>
      <c r="H358" t="s">
        <v>4116</v>
      </c>
      <c r="I358" t="s">
        <v>4465</v>
      </c>
      <c r="J358" t="s">
        <v>4466</v>
      </c>
      <c r="K358" t="s">
        <v>4467</v>
      </c>
      <c r="L358" t="s">
        <v>4468</v>
      </c>
      <c r="M358">
        <v>12.01560020446777</v>
      </c>
      <c r="N358" t="s">
        <v>54</v>
      </c>
      <c r="O358" t="s">
        <v>53</v>
      </c>
      <c r="P358" t="s">
        <v>53</v>
      </c>
      <c r="Q358" t="s">
        <v>53</v>
      </c>
      <c r="R358" t="s">
        <v>53</v>
      </c>
      <c r="S358" t="s">
        <v>4469</v>
      </c>
      <c r="T358" t="s">
        <v>4469</v>
      </c>
      <c r="U358" t="s">
        <v>53</v>
      </c>
      <c r="V358" t="s">
        <v>51</v>
      </c>
      <c r="W358">
        <v>125000</v>
      </c>
      <c r="X358" t="s">
        <v>54</v>
      </c>
      <c r="Y358" t="s">
        <v>3819</v>
      </c>
      <c r="Z358">
        <v>12500</v>
      </c>
      <c r="AA358">
        <v>510</v>
      </c>
      <c r="AB358">
        <v>456</v>
      </c>
      <c r="AC358">
        <v>8546</v>
      </c>
      <c r="AD358">
        <v>1536</v>
      </c>
      <c r="AE358">
        <v>9710</v>
      </c>
      <c r="AF358">
        <v>2</v>
      </c>
      <c r="AG358">
        <v>13</v>
      </c>
      <c r="AH358">
        <v>23.720550537109379</v>
      </c>
      <c r="AJ358">
        <v>316.37539672851563</v>
      </c>
      <c r="AK358" t="s">
        <v>54</v>
      </c>
      <c r="AL358" t="s">
        <v>54</v>
      </c>
      <c r="AQ358" t="s">
        <v>54</v>
      </c>
      <c r="AW358" t="s">
        <v>54</v>
      </c>
      <c r="AZ358" t="s">
        <v>54</v>
      </c>
      <c r="BA358" t="s">
        <v>2425</v>
      </c>
      <c r="BB358" s="15" t="s">
        <v>678</v>
      </c>
    </row>
    <row r="359" spans="1:54" x14ac:dyDescent="0.25">
      <c r="A359">
        <v>354</v>
      </c>
      <c r="B359" t="s">
        <v>4470</v>
      </c>
      <c r="C359" t="s">
        <v>4471</v>
      </c>
      <c r="D359" t="s">
        <v>4472</v>
      </c>
      <c r="E359">
        <v>3</v>
      </c>
      <c r="F359" t="s">
        <v>3803</v>
      </c>
      <c r="G359" t="s">
        <v>4041</v>
      </c>
      <c r="H359" t="s">
        <v>4473</v>
      </c>
      <c r="I359" t="s">
        <v>4474</v>
      </c>
      <c r="J359" t="s">
        <v>4475</v>
      </c>
      <c r="K359" t="s">
        <v>4476</v>
      </c>
      <c r="L359" t="s">
        <v>4428</v>
      </c>
      <c r="M359">
        <v>76.981727600097656</v>
      </c>
      <c r="N359" t="s">
        <v>54</v>
      </c>
      <c r="O359" t="s">
        <v>53</v>
      </c>
      <c r="P359" t="s">
        <v>53</v>
      </c>
      <c r="Q359" t="s">
        <v>53</v>
      </c>
      <c r="R359" t="s">
        <v>53</v>
      </c>
      <c r="S359" t="s">
        <v>4477</v>
      </c>
      <c r="T359" t="s">
        <v>4477</v>
      </c>
      <c r="U359" t="s">
        <v>53</v>
      </c>
      <c r="V359" t="s">
        <v>51</v>
      </c>
      <c r="W359">
        <v>500000</v>
      </c>
      <c r="X359" t="s">
        <v>54</v>
      </c>
      <c r="Y359" t="s">
        <v>4478</v>
      </c>
      <c r="Z359">
        <v>100000</v>
      </c>
      <c r="AA359">
        <v>1268</v>
      </c>
      <c r="AB359">
        <v>1197</v>
      </c>
      <c r="AC359">
        <v>5587</v>
      </c>
      <c r="AD359">
        <v>4775</v>
      </c>
      <c r="AE359">
        <v>9136</v>
      </c>
      <c r="AF359">
        <v>9</v>
      </c>
      <c r="AG359">
        <v>33</v>
      </c>
      <c r="AH359">
        <v>39.532661437988281</v>
      </c>
      <c r="AJ359">
        <v>2245.93603515625</v>
      </c>
      <c r="AK359" t="s">
        <v>54</v>
      </c>
      <c r="AL359" t="s">
        <v>54</v>
      </c>
      <c r="AQ359" t="s">
        <v>54</v>
      </c>
      <c r="AW359" t="s">
        <v>54</v>
      </c>
      <c r="AZ359" t="s">
        <v>54</v>
      </c>
      <c r="BA359" t="s">
        <v>2425</v>
      </c>
      <c r="BB359" s="15" t="s">
        <v>678</v>
      </c>
    </row>
    <row r="360" spans="1:54" x14ac:dyDescent="0.25">
      <c r="A360">
        <v>355</v>
      </c>
      <c r="B360" t="s">
        <v>4479</v>
      </c>
      <c r="C360" t="s">
        <v>4480</v>
      </c>
      <c r="D360" t="s">
        <v>4481</v>
      </c>
      <c r="E360">
        <v>3</v>
      </c>
      <c r="F360" t="s">
        <v>3803</v>
      </c>
      <c r="G360" t="s">
        <v>4482</v>
      </c>
      <c r="H360" t="s">
        <v>3841</v>
      </c>
      <c r="I360" t="s">
        <v>4483</v>
      </c>
      <c r="J360" t="s">
        <v>4484</v>
      </c>
      <c r="K360" t="s">
        <v>4485</v>
      </c>
      <c r="L360" t="s">
        <v>4420</v>
      </c>
      <c r="M360">
        <v>37.255313873291023</v>
      </c>
      <c r="N360" t="s">
        <v>54</v>
      </c>
      <c r="O360" t="s">
        <v>53</v>
      </c>
      <c r="P360" t="s">
        <v>53</v>
      </c>
      <c r="Q360" t="s">
        <v>53</v>
      </c>
      <c r="R360" t="s">
        <v>53</v>
      </c>
      <c r="S360" t="s">
        <v>4486</v>
      </c>
      <c r="T360" t="s">
        <v>4486</v>
      </c>
      <c r="U360" t="s">
        <v>53</v>
      </c>
      <c r="V360" t="s">
        <v>51</v>
      </c>
      <c r="W360">
        <v>300000</v>
      </c>
      <c r="X360" t="s">
        <v>54</v>
      </c>
      <c r="Y360" t="s">
        <v>3819</v>
      </c>
      <c r="Z360">
        <v>30000</v>
      </c>
      <c r="AA360">
        <v>1068</v>
      </c>
      <c r="AB360">
        <v>930</v>
      </c>
      <c r="AC360">
        <v>11104</v>
      </c>
      <c r="AD360">
        <v>5847</v>
      </c>
      <c r="AE360">
        <v>15723</v>
      </c>
      <c r="AF360">
        <v>18</v>
      </c>
      <c r="AG360">
        <v>19</v>
      </c>
      <c r="AH360">
        <v>48.359359741210938</v>
      </c>
      <c r="AJ360">
        <v>617.09588623046875</v>
      </c>
      <c r="AK360" t="s">
        <v>54</v>
      </c>
      <c r="AL360" t="s">
        <v>54</v>
      </c>
      <c r="AQ360" t="s">
        <v>54</v>
      </c>
      <c r="AW360" t="s">
        <v>54</v>
      </c>
      <c r="AZ360" t="s">
        <v>54</v>
      </c>
      <c r="BA360" t="s">
        <v>2425</v>
      </c>
      <c r="BB360" s="15" t="s">
        <v>678</v>
      </c>
    </row>
    <row r="361" spans="1:54" x14ac:dyDescent="0.25">
      <c r="A361">
        <v>356</v>
      </c>
      <c r="B361" t="s">
        <v>4487</v>
      </c>
      <c r="C361" t="s">
        <v>4488</v>
      </c>
      <c r="D361" t="s">
        <v>4489</v>
      </c>
      <c r="E361">
        <v>3</v>
      </c>
      <c r="F361" t="s">
        <v>3803</v>
      </c>
      <c r="G361" t="s">
        <v>4041</v>
      </c>
      <c r="H361" t="s">
        <v>4103</v>
      </c>
      <c r="I361" t="s">
        <v>4104</v>
      </c>
      <c r="J361" t="s">
        <v>4490</v>
      </c>
      <c r="K361" t="s">
        <v>4491</v>
      </c>
      <c r="L361" t="s">
        <v>4428</v>
      </c>
      <c r="M361">
        <v>2.0506472587585449</v>
      </c>
      <c r="N361" t="s">
        <v>54</v>
      </c>
      <c r="O361" t="s">
        <v>53</v>
      </c>
      <c r="P361" t="s">
        <v>53</v>
      </c>
      <c r="Q361" t="s">
        <v>53</v>
      </c>
      <c r="R361" t="s">
        <v>53</v>
      </c>
      <c r="S361" t="s">
        <v>4461</v>
      </c>
      <c r="T361" t="s">
        <v>4461</v>
      </c>
      <c r="U361" t="s">
        <v>53</v>
      </c>
      <c r="V361" t="s">
        <v>51</v>
      </c>
      <c r="W361">
        <v>700000</v>
      </c>
      <c r="X361" t="s">
        <v>54</v>
      </c>
      <c r="Y361" t="s">
        <v>3819</v>
      </c>
      <c r="Z361">
        <v>70000</v>
      </c>
      <c r="AA361">
        <v>4</v>
      </c>
      <c r="AB361">
        <v>4</v>
      </c>
      <c r="AC361">
        <v>3</v>
      </c>
      <c r="AD361">
        <v>2</v>
      </c>
      <c r="AE361">
        <v>5</v>
      </c>
      <c r="AF361">
        <v>1</v>
      </c>
      <c r="AG361">
        <v>0</v>
      </c>
      <c r="AH361">
        <v>0.1942787021398544</v>
      </c>
      <c r="AJ361">
        <v>0</v>
      </c>
      <c r="AK361" t="s">
        <v>54</v>
      </c>
      <c r="AL361" t="s">
        <v>54</v>
      </c>
      <c r="AQ361" t="s">
        <v>54</v>
      </c>
      <c r="AW361" t="s">
        <v>53</v>
      </c>
      <c r="AZ361" t="s">
        <v>54</v>
      </c>
      <c r="BA361" t="s">
        <v>2425</v>
      </c>
      <c r="BB361" s="15" t="s">
        <v>676</v>
      </c>
    </row>
    <row r="362" spans="1:54" x14ac:dyDescent="0.25">
      <c r="A362">
        <v>357</v>
      </c>
      <c r="B362" t="s">
        <v>4492</v>
      </c>
      <c r="C362" t="s">
        <v>4493</v>
      </c>
      <c r="D362" t="s">
        <v>4494</v>
      </c>
      <c r="E362">
        <v>3</v>
      </c>
      <c r="F362" t="s">
        <v>3803</v>
      </c>
      <c r="G362" t="s">
        <v>4495</v>
      </c>
      <c r="H362" t="s">
        <v>4095</v>
      </c>
      <c r="I362" t="s">
        <v>4323</v>
      </c>
      <c r="J362" t="s">
        <v>4496</v>
      </c>
      <c r="K362" t="s">
        <v>4497</v>
      </c>
      <c r="L362" t="s">
        <v>4428</v>
      </c>
      <c r="M362">
        <v>10.01799297332764</v>
      </c>
      <c r="N362" t="s">
        <v>54</v>
      </c>
      <c r="O362" t="s">
        <v>53</v>
      </c>
      <c r="P362" t="s">
        <v>53</v>
      </c>
      <c r="Q362" t="s">
        <v>53</v>
      </c>
      <c r="R362" t="s">
        <v>53</v>
      </c>
      <c r="S362" t="s">
        <v>4113</v>
      </c>
      <c r="T362" t="s">
        <v>4113</v>
      </c>
      <c r="U362" t="s">
        <v>53</v>
      </c>
      <c r="V362" t="s">
        <v>51</v>
      </c>
      <c r="W362">
        <v>1100000</v>
      </c>
      <c r="X362" t="s">
        <v>54</v>
      </c>
      <c r="Y362" t="s">
        <v>3819</v>
      </c>
      <c r="Z362">
        <v>110000</v>
      </c>
      <c r="AA362">
        <v>13</v>
      </c>
      <c r="AB362">
        <v>6</v>
      </c>
      <c r="AC362">
        <v>7</v>
      </c>
      <c r="AD362">
        <v>20</v>
      </c>
      <c r="AE362">
        <v>20</v>
      </c>
      <c r="AF362">
        <v>0</v>
      </c>
      <c r="AG362">
        <v>0</v>
      </c>
      <c r="AH362">
        <v>4.0403990745544434</v>
      </c>
      <c r="AJ362">
        <v>19.60569953918457</v>
      </c>
      <c r="AK362" t="s">
        <v>54</v>
      </c>
      <c r="AL362" t="s">
        <v>54</v>
      </c>
      <c r="AQ362" t="s">
        <v>54</v>
      </c>
      <c r="AW362" t="s">
        <v>54</v>
      </c>
      <c r="AZ362" t="s">
        <v>54</v>
      </c>
      <c r="BA362" t="s">
        <v>4341</v>
      </c>
      <c r="BB362" s="15" t="s">
        <v>676</v>
      </c>
    </row>
    <row r="363" spans="1:54" x14ac:dyDescent="0.25">
      <c r="A363">
        <v>358</v>
      </c>
      <c r="B363" t="s">
        <v>4498</v>
      </c>
      <c r="C363" t="s">
        <v>4499</v>
      </c>
      <c r="D363" t="s">
        <v>4500</v>
      </c>
      <c r="E363">
        <v>3</v>
      </c>
      <c r="F363" t="s">
        <v>3803</v>
      </c>
      <c r="G363" t="s">
        <v>4482</v>
      </c>
      <c r="H363" t="s">
        <v>3841</v>
      </c>
      <c r="I363" t="s">
        <v>4483</v>
      </c>
      <c r="J363" t="s">
        <v>4484</v>
      </c>
      <c r="K363" t="s">
        <v>4485</v>
      </c>
      <c r="L363" t="s">
        <v>4428</v>
      </c>
      <c r="M363">
        <v>37.255313873291023</v>
      </c>
      <c r="N363" t="s">
        <v>54</v>
      </c>
      <c r="O363" t="s">
        <v>53</v>
      </c>
      <c r="P363" t="s">
        <v>53</v>
      </c>
      <c r="Q363" t="s">
        <v>53</v>
      </c>
      <c r="R363" t="s">
        <v>53</v>
      </c>
      <c r="S363" t="s">
        <v>4486</v>
      </c>
      <c r="T363" t="s">
        <v>4486</v>
      </c>
      <c r="U363" t="s">
        <v>53</v>
      </c>
      <c r="V363" t="s">
        <v>51</v>
      </c>
      <c r="W363">
        <v>1000000</v>
      </c>
      <c r="X363" t="s">
        <v>54</v>
      </c>
      <c r="Y363" t="s">
        <v>3819</v>
      </c>
      <c r="Z363">
        <v>100000</v>
      </c>
      <c r="AA363">
        <v>1068</v>
      </c>
      <c r="AB363">
        <v>930</v>
      </c>
      <c r="AC363">
        <v>11104</v>
      </c>
      <c r="AD363">
        <v>5847</v>
      </c>
      <c r="AE363">
        <v>15723</v>
      </c>
      <c r="AF363">
        <v>18</v>
      </c>
      <c r="AG363">
        <v>19</v>
      </c>
      <c r="AH363">
        <v>48.359359741210938</v>
      </c>
      <c r="AJ363">
        <v>617.09588623046875</v>
      </c>
      <c r="AK363" t="s">
        <v>54</v>
      </c>
      <c r="AL363" t="s">
        <v>54</v>
      </c>
      <c r="AQ363" t="s">
        <v>54</v>
      </c>
      <c r="AW363" t="s">
        <v>54</v>
      </c>
      <c r="AZ363" t="s">
        <v>54</v>
      </c>
      <c r="BA363" t="s">
        <v>2425</v>
      </c>
      <c r="BB363" s="15" t="s">
        <v>678</v>
      </c>
    </row>
    <row r="364" spans="1:54" x14ac:dyDescent="0.25">
      <c r="A364">
        <v>359</v>
      </c>
      <c r="B364" t="s">
        <v>4501</v>
      </c>
      <c r="C364" t="s">
        <v>4502</v>
      </c>
      <c r="D364" t="s">
        <v>4503</v>
      </c>
      <c r="E364">
        <v>3</v>
      </c>
      <c r="F364" t="s">
        <v>3803</v>
      </c>
      <c r="G364" t="s">
        <v>4247</v>
      </c>
      <c r="H364" t="s">
        <v>4116</v>
      </c>
      <c r="I364" t="s">
        <v>4504</v>
      </c>
      <c r="J364" t="s">
        <v>4505</v>
      </c>
      <c r="K364" t="s">
        <v>4506</v>
      </c>
      <c r="L364" t="s">
        <v>4428</v>
      </c>
      <c r="M364">
        <v>22.288009643554691</v>
      </c>
      <c r="N364" t="s">
        <v>54</v>
      </c>
      <c r="O364" t="s">
        <v>53</v>
      </c>
      <c r="P364" t="s">
        <v>53</v>
      </c>
      <c r="Q364" t="s">
        <v>53</v>
      </c>
      <c r="R364" t="s">
        <v>53</v>
      </c>
      <c r="S364" t="s">
        <v>4507</v>
      </c>
      <c r="T364" t="s">
        <v>4507</v>
      </c>
      <c r="U364" t="s">
        <v>53</v>
      </c>
      <c r="V364" t="s">
        <v>51</v>
      </c>
      <c r="W364">
        <v>1000000</v>
      </c>
      <c r="X364" t="s">
        <v>54</v>
      </c>
      <c r="Y364" t="s">
        <v>3819</v>
      </c>
      <c r="Z364">
        <v>100000</v>
      </c>
      <c r="AA364">
        <v>71</v>
      </c>
      <c r="AB364">
        <v>69</v>
      </c>
      <c r="AC364">
        <v>63</v>
      </c>
      <c r="AD364">
        <v>279</v>
      </c>
      <c r="AE364">
        <v>282</v>
      </c>
      <c r="AF364">
        <v>14</v>
      </c>
      <c r="AG364">
        <v>0</v>
      </c>
      <c r="AH364">
        <v>5.8883070945739746</v>
      </c>
      <c r="AJ364">
        <v>788.032470703125</v>
      </c>
      <c r="AK364" t="s">
        <v>54</v>
      </c>
      <c r="AL364" t="s">
        <v>54</v>
      </c>
      <c r="AQ364" t="s">
        <v>54</v>
      </c>
      <c r="AW364" t="s">
        <v>54</v>
      </c>
      <c r="AZ364" t="s">
        <v>54</v>
      </c>
      <c r="BA364" t="s">
        <v>2425</v>
      </c>
      <c r="BB364" s="15" t="s">
        <v>676</v>
      </c>
    </row>
    <row r="365" spans="1:54" x14ac:dyDescent="0.25">
      <c r="A365">
        <v>360</v>
      </c>
      <c r="B365" t="s">
        <v>4508</v>
      </c>
      <c r="C365" t="s">
        <v>4509</v>
      </c>
      <c r="D365" t="s">
        <v>4510</v>
      </c>
      <c r="E365">
        <v>3</v>
      </c>
      <c r="F365" t="s">
        <v>3803</v>
      </c>
      <c r="G365" t="s">
        <v>4247</v>
      </c>
      <c r="H365" t="s">
        <v>4116</v>
      </c>
      <c r="I365" t="s">
        <v>4255</v>
      </c>
      <c r="J365" t="s">
        <v>4511</v>
      </c>
      <c r="K365" t="s">
        <v>4512</v>
      </c>
      <c r="L365" t="s">
        <v>4449</v>
      </c>
      <c r="M365">
        <v>16.71732330322266</v>
      </c>
      <c r="N365" t="s">
        <v>54</v>
      </c>
      <c r="O365" t="s">
        <v>53</v>
      </c>
      <c r="P365" t="s">
        <v>53</v>
      </c>
      <c r="Q365" t="s">
        <v>53</v>
      </c>
      <c r="R365" t="s">
        <v>53</v>
      </c>
      <c r="S365" t="s">
        <v>4513</v>
      </c>
      <c r="T365" t="s">
        <v>4513</v>
      </c>
      <c r="U365" t="s">
        <v>53</v>
      </c>
      <c r="V365" t="s">
        <v>51</v>
      </c>
      <c r="W365">
        <v>250000</v>
      </c>
      <c r="X365" t="s">
        <v>54</v>
      </c>
      <c r="Y365" t="s">
        <v>3819</v>
      </c>
      <c r="Z365">
        <v>25000</v>
      </c>
      <c r="AA365">
        <v>206</v>
      </c>
      <c r="AB365">
        <v>170</v>
      </c>
      <c r="AC365">
        <v>182</v>
      </c>
      <c r="AD365">
        <v>480</v>
      </c>
      <c r="AE365">
        <v>583</v>
      </c>
      <c r="AF365">
        <v>5</v>
      </c>
      <c r="AG365">
        <v>4</v>
      </c>
      <c r="AH365">
        <v>12.44211959838867</v>
      </c>
      <c r="AJ365">
        <v>218.44270324707031</v>
      </c>
      <c r="AK365" t="s">
        <v>54</v>
      </c>
      <c r="AL365" t="s">
        <v>54</v>
      </c>
      <c r="AQ365" t="s">
        <v>54</v>
      </c>
      <c r="AW365" t="s">
        <v>54</v>
      </c>
      <c r="AZ365" t="s">
        <v>54</v>
      </c>
      <c r="BA365" t="s">
        <v>2425</v>
      </c>
      <c r="BB365" s="15" t="s">
        <v>678</v>
      </c>
    </row>
    <row r="366" spans="1:54" x14ac:dyDescent="0.25">
      <c r="A366">
        <v>361</v>
      </c>
      <c r="B366" t="s">
        <v>4514</v>
      </c>
      <c r="C366" t="s">
        <v>4515</v>
      </c>
      <c r="D366" t="s">
        <v>4516</v>
      </c>
      <c r="E366">
        <v>3</v>
      </c>
      <c r="F366" t="s">
        <v>3803</v>
      </c>
      <c r="G366" t="s">
        <v>4207</v>
      </c>
      <c r="H366" t="s">
        <v>4517</v>
      </c>
      <c r="I366" t="s">
        <v>4518</v>
      </c>
      <c r="J366" t="s">
        <v>4519</v>
      </c>
      <c r="K366" t="s">
        <v>4520</v>
      </c>
      <c r="L366" t="s">
        <v>4449</v>
      </c>
      <c r="M366">
        <v>2.457189559936523</v>
      </c>
      <c r="N366" t="s">
        <v>54</v>
      </c>
      <c r="O366" t="s">
        <v>53</v>
      </c>
      <c r="P366" t="s">
        <v>53</v>
      </c>
      <c r="Q366" t="s">
        <v>53</v>
      </c>
      <c r="R366" t="s">
        <v>53</v>
      </c>
      <c r="S366" t="s">
        <v>4521</v>
      </c>
      <c r="T366" t="s">
        <v>4521</v>
      </c>
      <c r="U366" t="s">
        <v>53</v>
      </c>
      <c r="V366" t="s">
        <v>51</v>
      </c>
      <c r="W366">
        <v>500000</v>
      </c>
      <c r="X366" t="s">
        <v>54</v>
      </c>
      <c r="Y366" t="s">
        <v>3819</v>
      </c>
      <c r="Z366">
        <v>50000</v>
      </c>
      <c r="AA366">
        <v>30</v>
      </c>
      <c r="AB366">
        <v>19</v>
      </c>
      <c r="AC366">
        <v>266</v>
      </c>
      <c r="AD366">
        <v>31</v>
      </c>
      <c r="AE366">
        <v>284</v>
      </c>
      <c r="AF366">
        <v>1</v>
      </c>
      <c r="AG366">
        <v>0</v>
      </c>
      <c r="AH366">
        <v>1.5717999935150151</v>
      </c>
      <c r="AJ366">
        <v>42.987171173095703</v>
      </c>
      <c r="AK366" t="s">
        <v>54</v>
      </c>
      <c r="AL366" t="s">
        <v>54</v>
      </c>
      <c r="AQ366" t="s">
        <v>54</v>
      </c>
      <c r="AW366" t="s">
        <v>54</v>
      </c>
      <c r="AZ366" t="s">
        <v>54</v>
      </c>
      <c r="BA366" t="s">
        <v>2425</v>
      </c>
      <c r="BB366" s="15" t="s">
        <v>678</v>
      </c>
    </row>
    <row r="367" spans="1:54" x14ac:dyDescent="0.25">
      <c r="A367">
        <v>362</v>
      </c>
      <c r="B367" t="s">
        <v>4522</v>
      </c>
      <c r="C367" t="s">
        <v>4523</v>
      </c>
      <c r="D367" t="s">
        <v>4524</v>
      </c>
      <c r="E367">
        <v>3</v>
      </c>
      <c r="F367" t="s">
        <v>3803</v>
      </c>
      <c r="G367" t="s">
        <v>3883</v>
      </c>
      <c r="H367" t="s">
        <v>4525</v>
      </c>
      <c r="I367" t="s">
        <v>4526</v>
      </c>
      <c r="J367" t="s">
        <v>4527</v>
      </c>
      <c r="K367" t="s">
        <v>4528</v>
      </c>
      <c r="L367" t="s">
        <v>4449</v>
      </c>
      <c r="M367">
        <v>0.39424067735672003</v>
      </c>
      <c r="N367" t="s">
        <v>54</v>
      </c>
      <c r="O367" t="s">
        <v>53</v>
      </c>
      <c r="P367" t="s">
        <v>53</v>
      </c>
      <c r="Q367" t="s">
        <v>53</v>
      </c>
      <c r="R367" t="s">
        <v>53</v>
      </c>
      <c r="S367" t="s">
        <v>4529</v>
      </c>
      <c r="T367" t="s">
        <v>4529</v>
      </c>
      <c r="U367" t="s">
        <v>53</v>
      </c>
      <c r="V367" t="s">
        <v>51</v>
      </c>
      <c r="W367">
        <v>275000</v>
      </c>
      <c r="X367" t="s">
        <v>54</v>
      </c>
      <c r="Y367" t="s">
        <v>3819</v>
      </c>
      <c r="Z367">
        <v>27500</v>
      </c>
      <c r="AA367">
        <v>0</v>
      </c>
      <c r="AB367">
        <v>0</v>
      </c>
      <c r="AC367">
        <v>0</v>
      </c>
      <c r="AD367">
        <v>0</v>
      </c>
      <c r="AE367">
        <v>0</v>
      </c>
      <c r="AF367">
        <v>0</v>
      </c>
      <c r="AG367">
        <v>0</v>
      </c>
      <c r="AH367">
        <v>0</v>
      </c>
      <c r="AJ367">
        <v>0</v>
      </c>
      <c r="AK367" t="s">
        <v>54</v>
      </c>
      <c r="AL367" t="s">
        <v>54</v>
      </c>
      <c r="AQ367" t="s">
        <v>54</v>
      </c>
      <c r="AW367" t="s">
        <v>53</v>
      </c>
      <c r="AZ367" t="s">
        <v>54</v>
      </c>
      <c r="BA367" t="s">
        <v>2425</v>
      </c>
      <c r="BB367" s="15" t="s">
        <v>678</v>
      </c>
    </row>
    <row r="368" spans="1:54" x14ac:dyDescent="0.25">
      <c r="A368">
        <v>363</v>
      </c>
      <c r="B368" t="s">
        <v>4530</v>
      </c>
      <c r="C368" t="s">
        <v>4531</v>
      </c>
      <c r="D368" t="s">
        <v>4532</v>
      </c>
      <c r="E368">
        <v>3</v>
      </c>
      <c r="F368" t="s">
        <v>3803</v>
      </c>
      <c r="G368" t="s">
        <v>4533</v>
      </c>
      <c r="H368" t="s">
        <v>4534</v>
      </c>
      <c r="I368" t="s">
        <v>4535</v>
      </c>
      <c r="J368" t="s">
        <v>4536</v>
      </c>
      <c r="K368" t="s">
        <v>4537</v>
      </c>
      <c r="L368" t="s">
        <v>4420</v>
      </c>
      <c r="M368">
        <v>8.8226022720336914</v>
      </c>
      <c r="N368" t="s">
        <v>54</v>
      </c>
      <c r="O368" t="s">
        <v>53</v>
      </c>
      <c r="P368" t="s">
        <v>53</v>
      </c>
      <c r="Q368" t="s">
        <v>53</v>
      </c>
      <c r="R368" t="s">
        <v>53</v>
      </c>
      <c r="S368" t="s">
        <v>4538</v>
      </c>
      <c r="T368" t="s">
        <v>4538</v>
      </c>
      <c r="U368" t="s">
        <v>53</v>
      </c>
      <c r="V368" t="s">
        <v>51</v>
      </c>
      <c r="W368">
        <v>30000</v>
      </c>
      <c r="X368" t="s">
        <v>54</v>
      </c>
      <c r="Y368" t="s">
        <v>3819</v>
      </c>
      <c r="Z368">
        <v>3000</v>
      </c>
      <c r="AA368">
        <v>3</v>
      </c>
      <c r="AB368">
        <v>2</v>
      </c>
      <c r="AC368">
        <v>0</v>
      </c>
      <c r="AD368">
        <v>0</v>
      </c>
      <c r="AE368">
        <v>0</v>
      </c>
      <c r="AF368">
        <v>0</v>
      </c>
      <c r="AG368">
        <v>0</v>
      </c>
      <c r="AH368">
        <v>1.0641410350799561</v>
      </c>
      <c r="AJ368">
        <v>938.84552001953125</v>
      </c>
      <c r="AK368" t="s">
        <v>54</v>
      </c>
      <c r="AL368" t="s">
        <v>54</v>
      </c>
      <c r="AQ368" t="s">
        <v>54</v>
      </c>
      <c r="AW368" t="s">
        <v>53</v>
      </c>
      <c r="AZ368" t="s">
        <v>54</v>
      </c>
      <c r="BA368" t="s">
        <v>2425</v>
      </c>
      <c r="BB368" s="15" t="s">
        <v>678</v>
      </c>
    </row>
    <row r="369" spans="1:54" x14ac:dyDescent="0.25">
      <c r="A369">
        <v>364</v>
      </c>
      <c r="B369" t="s">
        <v>4539</v>
      </c>
      <c r="C369" t="s">
        <v>4540</v>
      </c>
      <c r="D369" t="s">
        <v>4541</v>
      </c>
      <c r="E369">
        <v>3</v>
      </c>
      <c r="F369" t="s">
        <v>3803</v>
      </c>
      <c r="G369" t="s">
        <v>4239</v>
      </c>
      <c r="H369" t="s">
        <v>3898</v>
      </c>
      <c r="I369" t="s">
        <v>3899</v>
      </c>
      <c r="J369" t="s">
        <v>4536</v>
      </c>
      <c r="K369" t="s">
        <v>3900</v>
      </c>
      <c r="L369" t="s">
        <v>4542</v>
      </c>
      <c r="M369">
        <v>1231.7548828125</v>
      </c>
      <c r="N369" t="s">
        <v>54</v>
      </c>
      <c r="O369" t="s">
        <v>53</v>
      </c>
      <c r="P369" t="s">
        <v>53</v>
      </c>
      <c r="Q369" t="s">
        <v>53</v>
      </c>
      <c r="R369" t="s">
        <v>53</v>
      </c>
      <c r="S369" t="s">
        <v>3901</v>
      </c>
      <c r="T369" t="s">
        <v>3901</v>
      </c>
      <c r="U369" t="s">
        <v>53</v>
      </c>
      <c r="V369" t="s">
        <v>51</v>
      </c>
      <c r="W369">
        <v>500000</v>
      </c>
      <c r="X369" t="s">
        <v>54</v>
      </c>
      <c r="Y369" t="s">
        <v>3819</v>
      </c>
      <c r="Z369">
        <v>50000</v>
      </c>
      <c r="AA369">
        <v>21</v>
      </c>
      <c r="AB369">
        <v>8</v>
      </c>
      <c r="AC369">
        <v>9</v>
      </c>
      <c r="AD369">
        <v>36</v>
      </c>
      <c r="AE369">
        <v>36</v>
      </c>
      <c r="AF369">
        <v>5</v>
      </c>
      <c r="AG369">
        <v>18</v>
      </c>
      <c r="AH369">
        <v>110.1063995361328</v>
      </c>
      <c r="AJ369">
        <v>46988.30859375</v>
      </c>
      <c r="AK369" t="s">
        <v>54</v>
      </c>
      <c r="AL369" t="s">
        <v>54</v>
      </c>
      <c r="AQ369" t="s">
        <v>54</v>
      </c>
      <c r="AW369" t="s">
        <v>54</v>
      </c>
      <c r="AZ369" t="s">
        <v>54</v>
      </c>
      <c r="BA369" t="s">
        <v>2425</v>
      </c>
      <c r="BB369" s="15" t="s">
        <v>678</v>
      </c>
    </row>
    <row r="370" spans="1:54" x14ac:dyDescent="0.25">
      <c r="A370">
        <v>365</v>
      </c>
      <c r="B370" t="s">
        <v>4543</v>
      </c>
      <c r="C370" t="s">
        <v>4544</v>
      </c>
      <c r="D370" t="s">
        <v>4545</v>
      </c>
      <c r="E370">
        <v>3</v>
      </c>
      <c r="F370" t="s">
        <v>3803</v>
      </c>
      <c r="G370" t="s">
        <v>3897</v>
      </c>
      <c r="H370" t="s">
        <v>4546</v>
      </c>
      <c r="I370" t="s">
        <v>4547</v>
      </c>
      <c r="J370" t="s">
        <v>4548</v>
      </c>
      <c r="K370" t="s">
        <v>4549</v>
      </c>
      <c r="L370" t="s">
        <v>4550</v>
      </c>
      <c r="M370">
        <v>0.52769577503204346</v>
      </c>
      <c r="N370" t="s">
        <v>54</v>
      </c>
      <c r="O370" t="s">
        <v>53</v>
      </c>
      <c r="P370" t="s">
        <v>53</v>
      </c>
      <c r="Q370" t="s">
        <v>53</v>
      </c>
      <c r="R370" t="s">
        <v>53</v>
      </c>
      <c r="S370" t="s">
        <v>4551</v>
      </c>
      <c r="T370" t="s">
        <v>4551</v>
      </c>
      <c r="U370" t="s">
        <v>53</v>
      </c>
      <c r="V370" t="s">
        <v>51</v>
      </c>
      <c r="W370">
        <v>150000</v>
      </c>
      <c r="X370" t="s">
        <v>54</v>
      </c>
      <c r="Y370" t="s">
        <v>3819</v>
      </c>
      <c r="Z370">
        <v>15000</v>
      </c>
      <c r="AA370">
        <v>14</v>
      </c>
      <c r="AB370">
        <v>13</v>
      </c>
      <c r="AC370">
        <v>2</v>
      </c>
      <c r="AD370">
        <v>8</v>
      </c>
      <c r="AE370">
        <v>8</v>
      </c>
      <c r="AF370">
        <v>0</v>
      </c>
      <c r="AG370">
        <v>0</v>
      </c>
      <c r="AH370">
        <v>3.3357091248035431E-2</v>
      </c>
      <c r="AJ370">
        <v>3.1482338905334468</v>
      </c>
      <c r="AK370" t="s">
        <v>54</v>
      </c>
      <c r="AL370" t="s">
        <v>54</v>
      </c>
      <c r="AQ370" t="s">
        <v>54</v>
      </c>
      <c r="AW370" t="s">
        <v>53</v>
      </c>
      <c r="AZ370" t="s">
        <v>54</v>
      </c>
      <c r="BA370" t="s">
        <v>4341</v>
      </c>
      <c r="BB370" s="15" t="s">
        <v>678</v>
      </c>
    </row>
    <row r="371" spans="1:54" x14ac:dyDescent="0.25">
      <c r="A371">
        <v>366</v>
      </c>
      <c r="B371" t="s">
        <v>4552</v>
      </c>
      <c r="C371" t="s">
        <v>4553</v>
      </c>
      <c r="D371" t="s">
        <v>4554</v>
      </c>
      <c r="E371">
        <v>3</v>
      </c>
      <c r="F371" t="s">
        <v>3803</v>
      </c>
      <c r="G371" t="s">
        <v>4555</v>
      </c>
      <c r="H371" t="s">
        <v>3912</v>
      </c>
      <c r="I371" t="s">
        <v>3913</v>
      </c>
      <c r="J371" t="s">
        <v>4548</v>
      </c>
      <c r="K371" t="s">
        <v>3914</v>
      </c>
      <c r="L371" t="s">
        <v>4556</v>
      </c>
      <c r="M371">
        <v>917.33319091796875</v>
      </c>
      <c r="N371" t="s">
        <v>54</v>
      </c>
      <c r="O371" t="s">
        <v>53</v>
      </c>
      <c r="P371" t="s">
        <v>53</v>
      </c>
      <c r="Q371" t="s">
        <v>53</v>
      </c>
      <c r="R371" t="s">
        <v>53</v>
      </c>
      <c r="S371" t="s">
        <v>3915</v>
      </c>
      <c r="T371" t="s">
        <v>3915</v>
      </c>
      <c r="U371" t="s">
        <v>53</v>
      </c>
      <c r="V371" t="s">
        <v>51</v>
      </c>
      <c r="W371">
        <v>250000</v>
      </c>
      <c r="X371" t="s">
        <v>54</v>
      </c>
      <c r="Y371" t="s">
        <v>3819</v>
      </c>
      <c r="Z371">
        <v>25000</v>
      </c>
      <c r="AA371">
        <v>265</v>
      </c>
      <c r="AB371">
        <v>105</v>
      </c>
      <c r="AC371">
        <v>105</v>
      </c>
      <c r="AD371">
        <v>202</v>
      </c>
      <c r="AE371">
        <v>230</v>
      </c>
      <c r="AF371">
        <v>0</v>
      </c>
      <c r="AG371">
        <v>6</v>
      </c>
      <c r="AH371">
        <v>54.576850891113281</v>
      </c>
      <c r="AJ371">
        <v>32105.580078125</v>
      </c>
      <c r="AK371" t="s">
        <v>54</v>
      </c>
      <c r="AL371" t="s">
        <v>54</v>
      </c>
      <c r="AQ371" t="s">
        <v>54</v>
      </c>
      <c r="AW371" t="s">
        <v>54</v>
      </c>
      <c r="AZ371" t="s">
        <v>54</v>
      </c>
      <c r="BA371" t="s">
        <v>2425</v>
      </c>
      <c r="BB371" s="15" t="s">
        <v>676</v>
      </c>
    </row>
    <row r="372" spans="1:54" x14ac:dyDescent="0.25">
      <c r="A372">
        <v>367</v>
      </c>
      <c r="B372" t="s">
        <v>4557</v>
      </c>
      <c r="C372" t="s">
        <v>4558</v>
      </c>
      <c r="D372" t="s">
        <v>4559</v>
      </c>
      <c r="E372">
        <v>3</v>
      </c>
      <c r="F372" t="s">
        <v>3803</v>
      </c>
      <c r="G372" t="s">
        <v>4560</v>
      </c>
      <c r="H372" t="s">
        <v>4517</v>
      </c>
      <c r="I372" t="s">
        <v>4561</v>
      </c>
      <c r="J372" t="s">
        <v>4562</v>
      </c>
      <c r="K372" t="s">
        <v>4563</v>
      </c>
      <c r="L372" t="s">
        <v>4420</v>
      </c>
      <c r="M372">
        <v>23.08651161193848</v>
      </c>
      <c r="N372" t="s">
        <v>54</v>
      </c>
      <c r="O372" t="s">
        <v>53</v>
      </c>
      <c r="P372" t="s">
        <v>53</v>
      </c>
      <c r="Q372" t="s">
        <v>53</v>
      </c>
      <c r="R372" t="s">
        <v>53</v>
      </c>
      <c r="S372" t="s">
        <v>3928</v>
      </c>
      <c r="T372" t="s">
        <v>3928</v>
      </c>
      <c r="U372" t="s">
        <v>53</v>
      </c>
      <c r="V372" t="s">
        <v>51</v>
      </c>
      <c r="W372">
        <v>50000</v>
      </c>
      <c r="X372" t="s">
        <v>54</v>
      </c>
      <c r="Y372" t="s">
        <v>3819</v>
      </c>
      <c r="Z372">
        <v>5000</v>
      </c>
      <c r="AA372">
        <v>76</v>
      </c>
      <c r="AB372">
        <v>58</v>
      </c>
      <c r="AC372">
        <v>13</v>
      </c>
      <c r="AD372">
        <v>56</v>
      </c>
      <c r="AE372">
        <v>56</v>
      </c>
      <c r="AF372">
        <v>0</v>
      </c>
      <c r="AG372">
        <v>0</v>
      </c>
      <c r="AH372">
        <v>0.95274221897125244</v>
      </c>
      <c r="AJ372">
        <v>1408.567993164062</v>
      </c>
      <c r="AK372" t="s">
        <v>54</v>
      </c>
      <c r="AL372" t="s">
        <v>54</v>
      </c>
      <c r="AQ372" t="s">
        <v>54</v>
      </c>
      <c r="AW372" t="s">
        <v>53</v>
      </c>
      <c r="AZ372" t="s">
        <v>54</v>
      </c>
      <c r="BA372" t="s">
        <v>2425</v>
      </c>
      <c r="BB372" s="15" t="s">
        <v>676</v>
      </c>
    </row>
    <row r="373" spans="1:54" x14ac:dyDescent="0.25">
      <c r="A373">
        <v>368</v>
      </c>
      <c r="B373" t="s">
        <v>4564</v>
      </c>
      <c r="C373" t="s">
        <v>4565</v>
      </c>
      <c r="D373" t="s">
        <v>4566</v>
      </c>
      <c r="E373">
        <v>3</v>
      </c>
      <c r="F373" t="s">
        <v>3803</v>
      </c>
      <c r="G373" t="s">
        <v>1059</v>
      </c>
      <c r="H373" t="s">
        <v>4567</v>
      </c>
      <c r="I373" t="s">
        <v>4568</v>
      </c>
      <c r="J373" t="s">
        <v>4569</v>
      </c>
      <c r="K373" t="s">
        <v>4570</v>
      </c>
      <c r="L373" t="s">
        <v>4556</v>
      </c>
      <c r="M373">
        <v>42.249744415283203</v>
      </c>
      <c r="N373" t="s">
        <v>54</v>
      </c>
      <c r="O373" t="s">
        <v>53</v>
      </c>
      <c r="P373" t="s">
        <v>53</v>
      </c>
      <c r="Q373" t="s">
        <v>53</v>
      </c>
      <c r="R373" t="s">
        <v>53</v>
      </c>
      <c r="S373" t="s">
        <v>4571</v>
      </c>
      <c r="T373" t="s">
        <v>4571</v>
      </c>
      <c r="U373" t="s">
        <v>53</v>
      </c>
      <c r="V373" t="s">
        <v>51</v>
      </c>
      <c r="W373">
        <v>80000</v>
      </c>
      <c r="X373" t="s">
        <v>54</v>
      </c>
      <c r="Y373" t="s">
        <v>3819</v>
      </c>
      <c r="Z373">
        <v>8000</v>
      </c>
      <c r="AA373">
        <v>493</v>
      </c>
      <c r="AB373">
        <v>457</v>
      </c>
      <c r="AC373">
        <v>447</v>
      </c>
      <c r="AD373">
        <v>1037</v>
      </c>
      <c r="AE373">
        <v>1105</v>
      </c>
      <c r="AF373">
        <v>28</v>
      </c>
      <c r="AG373">
        <v>3</v>
      </c>
      <c r="AH373">
        <v>33.574699401855469</v>
      </c>
      <c r="AJ373">
        <v>3323.3701171875</v>
      </c>
      <c r="AK373" t="s">
        <v>54</v>
      </c>
      <c r="AL373" t="s">
        <v>54</v>
      </c>
      <c r="AQ373" t="s">
        <v>54</v>
      </c>
      <c r="AW373" t="s">
        <v>54</v>
      </c>
      <c r="AZ373" t="s">
        <v>54</v>
      </c>
      <c r="BA373" t="s">
        <v>2425</v>
      </c>
      <c r="BB373" s="15" t="s">
        <v>678</v>
      </c>
    </row>
    <row r="374" spans="1:54" x14ac:dyDescent="0.25">
      <c r="A374">
        <v>369</v>
      </c>
      <c r="B374" t="s">
        <v>4572</v>
      </c>
      <c r="C374" t="s">
        <v>4573</v>
      </c>
      <c r="D374" t="s">
        <v>4574</v>
      </c>
      <c r="E374">
        <v>3</v>
      </c>
      <c r="F374" t="s">
        <v>3803</v>
      </c>
      <c r="G374" t="s">
        <v>1059</v>
      </c>
      <c r="H374" t="s">
        <v>4567</v>
      </c>
      <c r="I374" t="s">
        <v>4575</v>
      </c>
      <c r="J374" t="s">
        <v>4576</v>
      </c>
      <c r="K374" t="s">
        <v>4577</v>
      </c>
      <c r="L374" t="s">
        <v>4578</v>
      </c>
      <c r="M374">
        <v>3.5749635696411128</v>
      </c>
      <c r="N374" t="s">
        <v>54</v>
      </c>
      <c r="O374" t="s">
        <v>53</v>
      </c>
      <c r="P374" t="s">
        <v>53</v>
      </c>
      <c r="Q374" t="s">
        <v>53</v>
      </c>
      <c r="R374" t="s">
        <v>53</v>
      </c>
      <c r="S374" t="s">
        <v>1064</v>
      </c>
      <c r="T374" t="s">
        <v>1064</v>
      </c>
      <c r="U374" t="s">
        <v>53</v>
      </c>
      <c r="V374" t="s">
        <v>51</v>
      </c>
      <c r="W374">
        <v>100000</v>
      </c>
      <c r="X374" t="s">
        <v>54</v>
      </c>
      <c r="Y374" t="s">
        <v>3819</v>
      </c>
      <c r="Z374">
        <v>10000</v>
      </c>
      <c r="AA374">
        <v>0</v>
      </c>
      <c r="AB374">
        <v>0</v>
      </c>
      <c r="AC374">
        <v>0</v>
      </c>
      <c r="AD374">
        <v>0</v>
      </c>
      <c r="AE374">
        <v>0</v>
      </c>
      <c r="AF374">
        <v>0</v>
      </c>
      <c r="AG374">
        <v>0</v>
      </c>
      <c r="AH374">
        <v>0.46990731358528143</v>
      </c>
      <c r="AJ374">
        <v>286.83929443359381</v>
      </c>
      <c r="AK374" t="s">
        <v>54</v>
      </c>
      <c r="AL374" t="s">
        <v>54</v>
      </c>
      <c r="AQ374" t="s">
        <v>54</v>
      </c>
      <c r="AW374" t="s">
        <v>54</v>
      </c>
      <c r="AZ374" t="s">
        <v>54</v>
      </c>
      <c r="BA374" t="s">
        <v>2425</v>
      </c>
      <c r="BB374" s="15" t="s">
        <v>678</v>
      </c>
    </row>
    <row r="375" spans="1:54" x14ac:dyDescent="0.25">
      <c r="A375">
        <v>370</v>
      </c>
      <c r="B375" t="s">
        <v>4579</v>
      </c>
      <c r="C375" t="s">
        <v>4580</v>
      </c>
      <c r="D375" t="s">
        <v>4581</v>
      </c>
      <c r="E375">
        <v>3</v>
      </c>
      <c r="F375" t="s">
        <v>3803</v>
      </c>
      <c r="G375" t="s">
        <v>1059</v>
      </c>
      <c r="H375" t="s">
        <v>4567</v>
      </c>
      <c r="I375" t="s">
        <v>4582</v>
      </c>
      <c r="J375" t="s">
        <v>4583</v>
      </c>
      <c r="K375" t="s">
        <v>4584</v>
      </c>
      <c r="L375" t="s">
        <v>4468</v>
      </c>
      <c r="M375">
        <v>6.4347696304321289</v>
      </c>
      <c r="N375" t="s">
        <v>54</v>
      </c>
      <c r="O375" t="s">
        <v>53</v>
      </c>
      <c r="P375" t="s">
        <v>53</v>
      </c>
      <c r="Q375" t="s">
        <v>53</v>
      </c>
      <c r="R375" t="s">
        <v>53</v>
      </c>
      <c r="S375" t="s">
        <v>4585</v>
      </c>
      <c r="T375" t="s">
        <v>4585</v>
      </c>
      <c r="U375" t="s">
        <v>53</v>
      </c>
      <c r="V375" t="s">
        <v>51</v>
      </c>
      <c r="W375">
        <v>100000</v>
      </c>
      <c r="X375" t="s">
        <v>54</v>
      </c>
      <c r="Y375" t="s">
        <v>3819</v>
      </c>
      <c r="Z375">
        <v>10000</v>
      </c>
      <c r="AA375">
        <v>15</v>
      </c>
      <c r="AB375">
        <v>9</v>
      </c>
      <c r="AC375">
        <v>2</v>
      </c>
      <c r="AD375">
        <v>3</v>
      </c>
      <c r="AE375">
        <v>4</v>
      </c>
      <c r="AF375">
        <v>0</v>
      </c>
      <c r="AG375">
        <v>0</v>
      </c>
      <c r="AH375">
        <v>3.5776751041412349</v>
      </c>
      <c r="AJ375">
        <v>176.21319580078119</v>
      </c>
      <c r="AK375" t="s">
        <v>54</v>
      </c>
      <c r="AL375" t="s">
        <v>54</v>
      </c>
      <c r="AQ375" t="s">
        <v>54</v>
      </c>
      <c r="AW375" t="s">
        <v>54</v>
      </c>
      <c r="AZ375" t="s">
        <v>54</v>
      </c>
      <c r="BA375" t="s">
        <v>2425</v>
      </c>
      <c r="BB375" s="15" t="s">
        <v>678</v>
      </c>
    </row>
    <row r="376" spans="1:54" x14ac:dyDescent="0.25">
      <c r="A376">
        <v>371</v>
      </c>
      <c r="B376" t="s">
        <v>4586</v>
      </c>
      <c r="C376" t="s">
        <v>4587</v>
      </c>
      <c r="D376" t="s">
        <v>4588</v>
      </c>
      <c r="E376">
        <v>3</v>
      </c>
      <c r="F376" t="s">
        <v>3803</v>
      </c>
      <c r="G376" t="s">
        <v>4589</v>
      </c>
      <c r="H376" t="s">
        <v>4590</v>
      </c>
      <c r="I376" t="s">
        <v>4591</v>
      </c>
      <c r="J376" t="s">
        <v>4592</v>
      </c>
      <c r="K376" t="s">
        <v>4593</v>
      </c>
      <c r="L376" t="s">
        <v>4428</v>
      </c>
      <c r="M376">
        <v>7.8887214660644531</v>
      </c>
      <c r="N376" t="s">
        <v>54</v>
      </c>
      <c r="O376" t="s">
        <v>53</v>
      </c>
      <c r="P376" t="s">
        <v>53</v>
      </c>
      <c r="Q376" t="s">
        <v>53</v>
      </c>
      <c r="R376" t="s">
        <v>53</v>
      </c>
      <c r="S376" t="s">
        <v>4594</v>
      </c>
      <c r="T376" t="s">
        <v>4594</v>
      </c>
      <c r="U376" t="s">
        <v>53</v>
      </c>
      <c r="V376" t="s">
        <v>51</v>
      </c>
      <c r="W376">
        <v>100000</v>
      </c>
      <c r="X376" t="s">
        <v>54</v>
      </c>
      <c r="Y376" t="s">
        <v>3819</v>
      </c>
      <c r="Z376">
        <v>10000</v>
      </c>
      <c r="AA376">
        <v>6</v>
      </c>
      <c r="AB376">
        <v>4</v>
      </c>
      <c r="AC376">
        <v>3</v>
      </c>
      <c r="AD376">
        <v>10</v>
      </c>
      <c r="AE376">
        <v>10</v>
      </c>
      <c r="AF376">
        <v>0</v>
      </c>
      <c r="AG376">
        <v>0</v>
      </c>
      <c r="AH376">
        <v>0.63418930768966675</v>
      </c>
      <c r="AJ376">
        <v>551.82147216796875</v>
      </c>
      <c r="AK376" t="s">
        <v>54</v>
      </c>
      <c r="AL376" t="s">
        <v>54</v>
      </c>
      <c r="AQ376" t="s">
        <v>54</v>
      </c>
      <c r="AW376" t="s">
        <v>53</v>
      </c>
      <c r="AZ376" t="s">
        <v>54</v>
      </c>
      <c r="BA376" t="s">
        <v>2425</v>
      </c>
      <c r="BB376" s="15" t="s">
        <v>676</v>
      </c>
    </row>
    <row r="377" spans="1:54" x14ac:dyDescent="0.25">
      <c r="A377">
        <v>372</v>
      </c>
      <c r="B377" t="s">
        <v>4595</v>
      </c>
      <c r="C377" t="s">
        <v>4596</v>
      </c>
      <c r="D377" t="s">
        <v>4597</v>
      </c>
      <c r="E377">
        <v>3</v>
      </c>
      <c r="F377" t="s">
        <v>3803</v>
      </c>
      <c r="G377" t="s">
        <v>4589</v>
      </c>
      <c r="H377" t="s">
        <v>4149</v>
      </c>
      <c r="I377" t="s">
        <v>4598</v>
      </c>
      <c r="J377" t="s">
        <v>4599</v>
      </c>
      <c r="K377" t="s">
        <v>4600</v>
      </c>
      <c r="L377" t="s">
        <v>4420</v>
      </c>
      <c r="M377">
        <v>4.8536796569824219</v>
      </c>
      <c r="N377" t="s">
        <v>54</v>
      </c>
      <c r="O377" t="s">
        <v>53</v>
      </c>
      <c r="P377" t="s">
        <v>53</v>
      </c>
      <c r="Q377" t="s">
        <v>53</v>
      </c>
      <c r="R377" t="s">
        <v>53</v>
      </c>
      <c r="S377" t="s">
        <v>4601</v>
      </c>
      <c r="T377" t="s">
        <v>4601</v>
      </c>
      <c r="U377" t="s">
        <v>53</v>
      </c>
      <c r="V377" t="s">
        <v>51</v>
      </c>
      <c r="W377">
        <v>100000</v>
      </c>
      <c r="X377" t="s">
        <v>54</v>
      </c>
      <c r="Y377" t="s">
        <v>3819</v>
      </c>
      <c r="Z377">
        <v>10000</v>
      </c>
      <c r="AA377">
        <v>46</v>
      </c>
      <c r="AB377">
        <v>37</v>
      </c>
      <c r="AC377">
        <v>7</v>
      </c>
      <c r="AD377">
        <v>27</v>
      </c>
      <c r="AE377">
        <v>27</v>
      </c>
      <c r="AF377">
        <v>1</v>
      </c>
      <c r="AG377">
        <v>0</v>
      </c>
      <c r="AH377">
        <v>0.26962658762931818</v>
      </c>
      <c r="AJ377">
        <v>28.67970085144043</v>
      </c>
      <c r="AK377" t="s">
        <v>54</v>
      </c>
      <c r="AL377" t="s">
        <v>54</v>
      </c>
      <c r="AQ377" t="s">
        <v>54</v>
      </c>
      <c r="AW377" t="s">
        <v>53</v>
      </c>
      <c r="AZ377" t="s">
        <v>54</v>
      </c>
      <c r="BA377" t="s">
        <v>2425</v>
      </c>
      <c r="BB377" s="15" t="s">
        <v>678</v>
      </c>
    </row>
    <row r="378" spans="1:54" x14ac:dyDescent="0.25">
      <c r="A378">
        <v>373</v>
      </c>
      <c r="B378" t="s">
        <v>4602</v>
      </c>
      <c r="C378" t="s">
        <v>4603</v>
      </c>
      <c r="D378" t="s">
        <v>4604</v>
      </c>
      <c r="E378">
        <v>3</v>
      </c>
      <c r="F378" t="s">
        <v>3803</v>
      </c>
      <c r="G378" t="s">
        <v>4589</v>
      </c>
      <c r="H378" t="s">
        <v>4149</v>
      </c>
      <c r="I378" t="s">
        <v>4598</v>
      </c>
      <c r="J378" t="s">
        <v>4599</v>
      </c>
      <c r="K378" t="s">
        <v>4600</v>
      </c>
      <c r="L378" t="s">
        <v>4449</v>
      </c>
      <c r="M378">
        <v>4.8536796569824219</v>
      </c>
      <c r="N378" t="s">
        <v>54</v>
      </c>
      <c r="O378" t="s">
        <v>53</v>
      </c>
      <c r="P378" t="s">
        <v>53</v>
      </c>
      <c r="Q378" t="s">
        <v>53</v>
      </c>
      <c r="R378" t="s">
        <v>53</v>
      </c>
      <c r="S378" t="s">
        <v>4601</v>
      </c>
      <c r="T378" t="s">
        <v>4601</v>
      </c>
      <c r="U378" t="s">
        <v>53</v>
      </c>
      <c r="V378" t="s">
        <v>51</v>
      </c>
      <c r="W378">
        <v>100000</v>
      </c>
      <c r="X378" t="s">
        <v>54</v>
      </c>
      <c r="Y378" t="s">
        <v>3819</v>
      </c>
      <c r="Z378">
        <v>10000</v>
      </c>
      <c r="AA378">
        <v>46</v>
      </c>
      <c r="AB378">
        <v>37</v>
      </c>
      <c r="AC378">
        <v>7</v>
      </c>
      <c r="AD378">
        <v>27</v>
      </c>
      <c r="AE378">
        <v>27</v>
      </c>
      <c r="AF378">
        <v>1</v>
      </c>
      <c r="AG378">
        <v>0</v>
      </c>
      <c r="AH378">
        <v>0.26962658762931818</v>
      </c>
      <c r="AJ378">
        <v>28.67970085144043</v>
      </c>
      <c r="AK378" t="s">
        <v>54</v>
      </c>
      <c r="AL378" t="s">
        <v>54</v>
      </c>
      <c r="AQ378" t="s">
        <v>54</v>
      </c>
      <c r="AW378" t="s">
        <v>53</v>
      </c>
      <c r="AZ378" t="s">
        <v>54</v>
      </c>
      <c r="BA378" t="s">
        <v>2425</v>
      </c>
      <c r="BB378" s="15" t="s">
        <v>678</v>
      </c>
    </row>
    <row r="379" spans="1:54" x14ac:dyDescent="0.25">
      <c r="A379">
        <v>374</v>
      </c>
      <c r="B379" t="s">
        <v>4605</v>
      </c>
      <c r="C379" t="s">
        <v>4606</v>
      </c>
      <c r="D379" t="s">
        <v>4607</v>
      </c>
      <c r="E379">
        <v>3</v>
      </c>
      <c r="F379" t="s">
        <v>3803</v>
      </c>
      <c r="G379" t="s">
        <v>4589</v>
      </c>
      <c r="H379" t="s">
        <v>4590</v>
      </c>
      <c r="I379" t="s">
        <v>4591</v>
      </c>
      <c r="J379" t="s">
        <v>4592</v>
      </c>
      <c r="K379" t="s">
        <v>4593</v>
      </c>
      <c r="L379" t="s">
        <v>4449</v>
      </c>
      <c r="M379">
        <v>7.8887214660644531</v>
      </c>
      <c r="N379" t="s">
        <v>54</v>
      </c>
      <c r="O379" t="s">
        <v>53</v>
      </c>
      <c r="P379" t="s">
        <v>53</v>
      </c>
      <c r="Q379" t="s">
        <v>53</v>
      </c>
      <c r="R379" t="s">
        <v>53</v>
      </c>
      <c r="S379" t="s">
        <v>4594</v>
      </c>
      <c r="T379" t="s">
        <v>4594</v>
      </c>
      <c r="U379" t="s">
        <v>53</v>
      </c>
      <c r="V379" t="s">
        <v>51</v>
      </c>
      <c r="W379">
        <v>100000</v>
      </c>
      <c r="X379" t="s">
        <v>54</v>
      </c>
      <c r="Y379" t="s">
        <v>3819</v>
      </c>
      <c r="Z379">
        <v>10000</v>
      </c>
      <c r="AA379">
        <v>6</v>
      </c>
      <c r="AB379">
        <v>4</v>
      </c>
      <c r="AC379">
        <v>3</v>
      </c>
      <c r="AD379">
        <v>10</v>
      </c>
      <c r="AE379">
        <v>10</v>
      </c>
      <c r="AF379">
        <v>0</v>
      </c>
      <c r="AG379">
        <v>0</v>
      </c>
      <c r="AH379">
        <v>0.63418930768966675</v>
      </c>
      <c r="AJ379">
        <v>551.82147216796875</v>
      </c>
      <c r="AK379" t="s">
        <v>54</v>
      </c>
      <c r="AL379" t="s">
        <v>54</v>
      </c>
      <c r="AQ379" t="s">
        <v>54</v>
      </c>
      <c r="AW379" t="s">
        <v>53</v>
      </c>
      <c r="AZ379" t="s">
        <v>54</v>
      </c>
      <c r="BA379" t="s">
        <v>2425</v>
      </c>
      <c r="BB379" s="15" t="s">
        <v>678</v>
      </c>
    </row>
    <row r="380" spans="1:54" x14ac:dyDescent="0.25">
      <c r="A380">
        <v>375</v>
      </c>
      <c r="B380" t="s">
        <v>4608</v>
      </c>
      <c r="C380" t="s">
        <v>4609</v>
      </c>
      <c r="D380" t="s">
        <v>4610</v>
      </c>
      <c r="E380">
        <v>3</v>
      </c>
      <c r="F380" t="s">
        <v>3803</v>
      </c>
      <c r="G380" t="s">
        <v>719</v>
      </c>
      <c r="H380" t="s">
        <v>4611</v>
      </c>
      <c r="I380" t="s">
        <v>4612</v>
      </c>
      <c r="J380" t="s">
        <v>4613</v>
      </c>
      <c r="K380" t="s">
        <v>4614</v>
      </c>
      <c r="L380" t="s">
        <v>4578</v>
      </c>
      <c r="M380">
        <v>3.9934108257293701</v>
      </c>
      <c r="N380" t="s">
        <v>54</v>
      </c>
      <c r="O380" t="s">
        <v>53</v>
      </c>
      <c r="P380" t="s">
        <v>53</v>
      </c>
      <c r="Q380" t="s">
        <v>53</v>
      </c>
      <c r="R380" t="s">
        <v>53</v>
      </c>
      <c r="S380" t="s">
        <v>4615</v>
      </c>
      <c r="T380" t="s">
        <v>4615</v>
      </c>
      <c r="U380" t="s">
        <v>53</v>
      </c>
      <c r="V380" t="s">
        <v>51</v>
      </c>
      <c r="W380">
        <v>100000</v>
      </c>
      <c r="X380" t="s">
        <v>54</v>
      </c>
      <c r="Y380" t="s">
        <v>3819</v>
      </c>
      <c r="Z380">
        <v>10000</v>
      </c>
      <c r="AA380">
        <v>32</v>
      </c>
      <c r="AB380">
        <v>31</v>
      </c>
      <c r="AC380">
        <v>25</v>
      </c>
      <c r="AD380">
        <v>39</v>
      </c>
      <c r="AE380">
        <v>39</v>
      </c>
      <c r="AF380">
        <v>0</v>
      </c>
      <c r="AG380">
        <v>0</v>
      </c>
      <c r="AH380">
        <v>0.55425107479095459</v>
      </c>
      <c r="AJ380">
        <v>17.127590179443359</v>
      </c>
      <c r="AK380" t="s">
        <v>54</v>
      </c>
      <c r="AL380" t="s">
        <v>54</v>
      </c>
      <c r="AQ380" t="s">
        <v>54</v>
      </c>
      <c r="AW380" t="s">
        <v>53</v>
      </c>
      <c r="AZ380" t="s">
        <v>54</v>
      </c>
      <c r="BA380" t="s">
        <v>2425</v>
      </c>
      <c r="BB380" s="15" t="s">
        <v>676</v>
      </c>
    </row>
    <row r="381" spans="1:54" x14ac:dyDescent="0.25">
      <c r="A381">
        <v>376</v>
      </c>
      <c r="B381" t="s">
        <v>4616</v>
      </c>
      <c r="C381" t="s">
        <v>4617</v>
      </c>
      <c r="D381" t="s">
        <v>4618</v>
      </c>
      <c r="E381">
        <v>3</v>
      </c>
      <c r="F381" t="s">
        <v>3803</v>
      </c>
      <c r="G381" t="s">
        <v>4619</v>
      </c>
      <c r="H381" t="s">
        <v>4161</v>
      </c>
      <c r="I381" t="s">
        <v>4168</v>
      </c>
      <c r="J381" t="s">
        <v>4620</v>
      </c>
      <c r="K381" t="s">
        <v>4621</v>
      </c>
      <c r="L381" t="s">
        <v>4428</v>
      </c>
      <c r="M381">
        <v>14.756937980651861</v>
      </c>
      <c r="N381" t="s">
        <v>54</v>
      </c>
      <c r="O381" t="s">
        <v>53</v>
      </c>
      <c r="P381" t="s">
        <v>53</v>
      </c>
      <c r="Q381" t="s">
        <v>53</v>
      </c>
      <c r="R381" t="s">
        <v>53</v>
      </c>
      <c r="S381" t="s">
        <v>4622</v>
      </c>
      <c r="T381" t="s">
        <v>4622</v>
      </c>
      <c r="U381" t="s">
        <v>53</v>
      </c>
      <c r="V381" t="s">
        <v>51</v>
      </c>
      <c r="W381">
        <v>125000</v>
      </c>
      <c r="X381" t="s">
        <v>54</v>
      </c>
      <c r="Y381" t="s">
        <v>3819</v>
      </c>
      <c r="Z381">
        <v>0</v>
      </c>
      <c r="AA381">
        <v>933</v>
      </c>
      <c r="AB381">
        <v>825</v>
      </c>
      <c r="AC381">
        <v>2873</v>
      </c>
      <c r="AD381">
        <v>2665</v>
      </c>
      <c r="AE381">
        <v>4781</v>
      </c>
      <c r="AF381">
        <v>6</v>
      </c>
      <c r="AG381">
        <v>25</v>
      </c>
      <c r="AH381">
        <v>20.731290817260739</v>
      </c>
      <c r="AJ381">
        <v>36.857028961181641</v>
      </c>
      <c r="AK381" t="s">
        <v>54</v>
      </c>
      <c r="AL381" t="s">
        <v>54</v>
      </c>
      <c r="AQ381" t="s">
        <v>54</v>
      </c>
      <c r="AW381" t="s">
        <v>54</v>
      </c>
      <c r="AZ381" t="s">
        <v>54</v>
      </c>
      <c r="BA381" t="s">
        <v>2425</v>
      </c>
      <c r="BB381" s="15" t="s">
        <v>676</v>
      </c>
    </row>
    <row r="382" spans="1:54" x14ac:dyDescent="0.25">
      <c r="A382">
        <v>377</v>
      </c>
      <c r="B382" t="s">
        <v>4623</v>
      </c>
      <c r="C382" t="s">
        <v>4624</v>
      </c>
      <c r="D382" t="s">
        <v>4625</v>
      </c>
      <c r="E382">
        <v>3</v>
      </c>
      <c r="F382" t="s">
        <v>3803</v>
      </c>
      <c r="G382" t="s">
        <v>4626</v>
      </c>
      <c r="H382" t="s">
        <v>4627</v>
      </c>
      <c r="I382" t="s">
        <v>4628</v>
      </c>
      <c r="J382" t="s">
        <v>4620</v>
      </c>
      <c r="K382" t="s">
        <v>4621</v>
      </c>
      <c r="L382" t="s">
        <v>4428</v>
      </c>
      <c r="M382">
        <v>734.67791748046875</v>
      </c>
      <c r="N382" t="s">
        <v>54</v>
      </c>
      <c r="O382" t="s">
        <v>53</v>
      </c>
      <c r="P382" t="s">
        <v>53</v>
      </c>
      <c r="Q382" t="s">
        <v>53</v>
      </c>
      <c r="R382" t="s">
        <v>53</v>
      </c>
      <c r="S382" t="s">
        <v>4264</v>
      </c>
      <c r="T382" t="s">
        <v>4264</v>
      </c>
      <c r="U382" t="s">
        <v>53</v>
      </c>
      <c r="V382" t="s">
        <v>51</v>
      </c>
      <c r="W382">
        <v>50000</v>
      </c>
      <c r="X382" t="s">
        <v>54</v>
      </c>
      <c r="Y382" t="s">
        <v>3819</v>
      </c>
      <c r="Z382">
        <v>50000</v>
      </c>
      <c r="AA382">
        <v>1369</v>
      </c>
      <c r="AB382">
        <v>1133</v>
      </c>
      <c r="AC382">
        <v>5477</v>
      </c>
      <c r="AD382">
        <v>3418</v>
      </c>
      <c r="AE382">
        <v>8089</v>
      </c>
      <c r="AF382">
        <v>18</v>
      </c>
      <c r="AG382">
        <v>50</v>
      </c>
      <c r="AH382">
        <v>91.368782043457031</v>
      </c>
      <c r="AJ382">
        <v>28753.880859375</v>
      </c>
      <c r="AK382" t="s">
        <v>54</v>
      </c>
      <c r="AL382" t="s">
        <v>54</v>
      </c>
      <c r="AQ382" t="s">
        <v>54</v>
      </c>
      <c r="AW382" t="s">
        <v>54</v>
      </c>
      <c r="AZ382" t="s">
        <v>54</v>
      </c>
      <c r="BA382" t="s">
        <v>2425</v>
      </c>
      <c r="BB382" s="15" t="s">
        <v>676</v>
      </c>
    </row>
    <row r="383" spans="1:54" x14ac:dyDescent="0.25">
      <c r="A383">
        <v>378</v>
      </c>
      <c r="B383" t="s">
        <v>4629</v>
      </c>
      <c r="C383" t="s">
        <v>4630</v>
      </c>
      <c r="D383" t="s">
        <v>4631</v>
      </c>
      <c r="E383">
        <v>3</v>
      </c>
      <c r="F383" t="s">
        <v>3803</v>
      </c>
      <c r="G383" t="s">
        <v>4619</v>
      </c>
      <c r="H383" t="s">
        <v>4161</v>
      </c>
      <c r="I383" t="s">
        <v>4168</v>
      </c>
      <c r="J383" t="s">
        <v>4632</v>
      </c>
      <c r="K383" t="s">
        <v>4633</v>
      </c>
      <c r="L383" t="s">
        <v>4428</v>
      </c>
      <c r="M383">
        <v>27.507131576538089</v>
      </c>
      <c r="N383" t="s">
        <v>54</v>
      </c>
      <c r="O383" t="s">
        <v>53</v>
      </c>
      <c r="P383" t="s">
        <v>53</v>
      </c>
      <c r="Q383" t="s">
        <v>53</v>
      </c>
      <c r="R383" t="s">
        <v>53</v>
      </c>
      <c r="S383" t="s">
        <v>4634</v>
      </c>
      <c r="T383" t="s">
        <v>4634</v>
      </c>
      <c r="U383" t="s">
        <v>53</v>
      </c>
      <c r="V383" t="s">
        <v>51</v>
      </c>
      <c r="W383">
        <v>50000</v>
      </c>
      <c r="X383" t="s">
        <v>54</v>
      </c>
      <c r="Y383" t="s">
        <v>3819</v>
      </c>
      <c r="Z383">
        <v>5000</v>
      </c>
      <c r="AA383">
        <v>584</v>
      </c>
      <c r="AB383">
        <v>531</v>
      </c>
      <c r="AC383">
        <v>1581</v>
      </c>
      <c r="AD383">
        <v>2533</v>
      </c>
      <c r="AE383">
        <v>3457</v>
      </c>
      <c r="AF383">
        <v>5</v>
      </c>
      <c r="AG383">
        <v>25</v>
      </c>
      <c r="AH383">
        <v>21.563949584960941</v>
      </c>
      <c r="AJ383">
        <v>335.15908813476563</v>
      </c>
      <c r="AK383" t="s">
        <v>54</v>
      </c>
      <c r="AL383" t="s">
        <v>54</v>
      </c>
      <c r="AQ383" t="s">
        <v>54</v>
      </c>
      <c r="AW383" t="s">
        <v>54</v>
      </c>
      <c r="AZ383" t="s">
        <v>54</v>
      </c>
      <c r="BA383" t="s">
        <v>2425</v>
      </c>
      <c r="BB383" s="15" t="s">
        <v>676</v>
      </c>
    </row>
    <row r="384" spans="1:54" x14ac:dyDescent="0.25">
      <c r="A384">
        <v>379</v>
      </c>
      <c r="B384" t="s">
        <v>4635</v>
      </c>
      <c r="C384" t="s">
        <v>4636</v>
      </c>
      <c r="D384" t="s">
        <v>4637</v>
      </c>
      <c r="E384">
        <v>3</v>
      </c>
      <c r="F384" t="s">
        <v>3803</v>
      </c>
      <c r="G384" t="s">
        <v>4222</v>
      </c>
      <c r="H384" t="s">
        <v>4638</v>
      </c>
      <c r="I384" t="s">
        <v>4639</v>
      </c>
      <c r="J384" t="s">
        <v>4640</v>
      </c>
      <c r="K384" t="s">
        <v>4641</v>
      </c>
      <c r="L384" t="s">
        <v>4420</v>
      </c>
      <c r="M384">
        <v>4.9395613670349121</v>
      </c>
      <c r="N384" t="s">
        <v>54</v>
      </c>
      <c r="O384" t="s">
        <v>53</v>
      </c>
      <c r="P384" t="s">
        <v>53</v>
      </c>
      <c r="Q384" t="s">
        <v>53</v>
      </c>
      <c r="R384" t="s">
        <v>53</v>
      </c>
      <c r="S384" t="s">
        <v>4642</v>
      </c>
      <c r="T384" t="s">
        <v>4642</v>
      </c>
      <c r="U384" t="s">
        <v>53</v>
      </c>
      <c r="V384" t="s">
        <v>51</v>
      </c>
      <c r="W384">
        <v>250000</v>
      </c>
      <c r="X384" t="s">
        <v>54</v>
      </c>
      <c r="Y384" t="s">
        <v>3819</v>
      </c>
      <c r="Z384">
        <v>25000</v>
      </c>
      <c r="AA384">
        <v>0</v>
      </c>
      <c r="AB384">
        <v>0</v>
      </c>
      <c r="AC384">
        <v>0</v>
      </c>
      <c r="AD384">
        <v>0</v>
      </c>
      <c r="AE384">
        <v>0</v>
      </c>
      <c r="AF384">
        <v>1</v>
      </c>
      <c r="AG384">
        <v>1</v>
      </c>
      <c r="AH384">
        <v>4.4881739616394043</v>
      </c>
      <c r="AJ384">
        <v>0</v>
      </c>
      <c r="AK384" t="s">
        <v>54</v>
      </c>
      <c r="AL384" t="s">
        <v>54</v>
      </c>
      <c r="AQ384" t="s">
        <v>54</v>
      </c>
      <c r="AW384" t="s">
        <v>54</v>
      </c>
      <c r="AZ384" t="s">
        <v>54</v>
      </c>
      <c r="BA384" t="s">
        <v>2425</v>
      </c>
      <c r="BB384" s="15" t="s">
        <v>676</v>
      </c>
    </row>
    <row r="385" spans="1:54" x14ac:dyDescent="0.25">
      <c r="A385">
        <v>380</v>
      </c>
      <c r="B385" t="s">
        <v>4643</v>
      </c>
      <c r="C385" t="s">
        <v>4644</v>
      </c>
      <c r="D385" t="s">
        <v>4645</v>
      </c>
      <c r="E385">
        <v>3</v>
      </c>
      <c r="F385" t="s">
        <v>3803</v>
      </c>
      <c r="G385" t="s">
        <v>4222</v>
      </c>
      <c r="H385" t="s">
        <v>4638</v>
      </c>
      <c r="I385" t="s">
        <v>4639</v>
      </c>
      <c r="J385" t="s">
        <v>4640</v>
      </c>
      <c r="K385" t="s">
        <v>4641</v>
      </c>
      <c r="L385" t="s">
        <v>4428</v>
      </c>
      <c r="M385">
        <v>4.9395613670349121</v>
      </c>
      <c r="N385" t="s">
        <v>54</v>
      </c>
      <c r="O385" t="s">
        <v>53</v>
      </c>
      <c r="P385" t="s">
        <v>53</v>
      </c>
      <c r="Q385" t="s">
        <v>53</v>
      </c>
      <c r="R385" t="s">
        <v>53</v>
      </c>
      <c r="S385" t="s">
        <v>4642</v>
      </c>
      <c r="T385" t="s">
        <v>4642</v>
      </c>
      <c r="U385" t="s">
        <v>53</v>
      </c>
      <c r="V385" t="s">
        <v>51</v>
      </c>
      <c r="W385">
        <v>63000</v>
      </c>
      <c r="X385" t="s">
        <v>54</v>
      </c>
      <c r="Y385" t="s">
        <v>3819</v>
      </c>
      <c r="Z385">
        <v>6300</v>
      </c>
      <c r="AA385">
        <v>91</v>
      </c>
      <c r="AB385">
        <v>59</v>
      </c>
      <c r="AC385">
        <v>133</v>
      </c>
      <c r="AD385">
        <v>232</v>
      </c>
      <c r="AE385">
        <v>275</v>
      </c>
      <c r="AF385">
        <v>1</v>
      </c>
      <c r="AG385">
        <v>1</v>
      </c>
      <c r="AH385">
        <v>4.4881739616394043</v>
      </c>
      <c r="AJ385">
        <v>167.77830505371091</v>
      </c>
      <c r="AK385" t="s">
        <v>54</v>
      </c>
      <c r="AL385" t="s">
        <v>54</v>
      </c>
      <c r="AQ385" t="s">
        <v>54</v>
      </c>
      <c r="AW385" t="s">
        <v>54</v>
      </c>
      <c r="AZ385" t="s">
        <v>54</v>
      </c>
      <c r="BA385" t="s">
        <v>2425</v>
      </c>
      <c r="BB385" s="15" t="s">
        <v>676</v>
      </c>
    </row>
    <row r="386" spans="1:54" x14ac:dyDescent="0.25">
      <c r="A386">
        <v>381</v>
      </c>
      <c r="B386" t="s">
        <v>4646</v>
      </c>
      <c r="C386" t="s">
        <v>4647</v>
      </c>
      <c r="D386" t="s">
        <v>4648</v>
      </c>
      <c r="E386">
        <v>3</v>
      </c>
      <c r="F386" t="s">
        <v>3803</v>
      </c>
      <c r="G386" t="s">
        <v>4619</v>
      </c>
      <c r="H386" t="s">
        <v>4161</v>
      </c>
      <c r="I386" t="s">
        <v>4168</v>
      </c>
      <c r="J386" t="s">
        <v>4649</v>
      </c>
      <c r="K386" t="s">
        <v>4650</v>
      </c>
      <c r="L386" t="s">
        <v>4468</v>
      </c>
      <c r="M386">
        <v>3.2979214191436772</v>
      </c>
      <c r="N386" t="s">
        <v>54</v>
      </c>
      <c r="O386" t="s">
        <v>53</v>
      </c>
      <c r="P386" t="s">
        <v>53</v>
      </c>
      <c r="Q386" t="s">
        <v>53</v>
      </c>
      <c r="R386" t="s">
        <v>53</v>
      </c>
      <c r="S386" t="s">
        <v>4634</v>
      </c>
      <c r="T386" t="s">
        <v>4634</v>
      </c>
      <c r="U386" t="s">
        <v>53</v>
      </c>
      <c r="V386" t="s">
        <v>51</v>
      </c>
      <c r="W386">
        <v>250000</v>
      </c>
      <c r="X386" t="s">
        <v>54</v>
      </c>
      <c r="Y386" t="s">
        <v>3819</v>
      </c>
      <c r="Z386">
        <v>25000</v>
      </c>
      <c r="AA386">
        <v>189</v>
      </c>
      <c r="AB386">
        <v>187</v>
      </c>
      <c r="AC386">
        <v>308</v>
      </c>
      <c r="AD386">
        <v>1189</v>
      </c>
      <c r="AE386">
        <v>1199</v>
      </c>
      <c r="AF386">
        <v>1</v>
      </c>
      <c r="AG386">
        <v>12</v>
      </c>
      <c r="AH386">
        <v>5.2272529602050781</v>
      </c>
      <c r="AJ386">
        <v>9.0235385894775391</v>
      </c>
      <c r="AK386" t="s">
        <v>54</v>
      </c>
      <c r="AL386" t="s">
        <v>54</v>
      </c>
      <c r="AQ386" t="s">
        <v>54</v>
      </c>
      <c r="AW386" t="s">
        <v>53</v>
      </c>
      <c r="AZ386" t="s">
        <v>54</v>
      </c>
      <c r="BA386" t="s">
        <v>2425</v>
      </c>
      <c r="BB386" s="15" t="s">
        <v>676</v>
      </c>
    </row>
    <row r="387" spans="1:54" x14ac:dyDescent="0.25">
      <c r="A387">
        <v>382</v>
      </c>
      <c r="B387" t="s">
        <v>4651</v>
      </c>
      <c r="C387" t="s">
        <v>4652</v>
      </c>
      <c r="D387" t="s">
        <v>4653</v>
      </c>
      <c r="E387">
        <v>3</v>
      </c>
      <c r="F387" t="s">
        <v>3803</v>
      </c>
      <c r="G387" t="s">
        <v>4619</v>
      </c>
      <c r="H387" t="s">
        <v>4161</v>
      </c>
      <c r="I387" t="s">
        <v>4168</v>
      </c>
      <c r="J387" t="s">
        <v>4649</v>
      </c>
      <c r="K387" t="s">
        <v>4650</v>
      </c>
      <c r="L387" t="s">
        <v>4428</v>
      </c>
      <c r="M387">
        <v>4.2656455039978027</v>
      </c>
      <c r="N387" t="s">
        <v>54</v>
      </c>
      <c r="O387" t="s">
        <v>53</v>
      </c>
      <c r="P387" t="s">
        <v>53</v>
      </c>
      <c r="Q387" t="s">
        <v>53</v>
      </c>
      <c r="R387" t="s">
        <v>53</v>
      </c>
      <c r="S387" t="s">
        <v>4634</v>
      </c>
      <c r="T387" t="s">
        <v>4634</v>
      </c>
      <c r="U387" t="s">
        <v>53</v>
      </c>
      <c r="V387" t="s">
        <v>51</v>
      </c>
      <c r="W387">
        <v>250000</v>
      </c>
      <c r="X387" t="s">
        <v>54</v>
      </c>
      <c r="Y387" t="s">
        <v>3819</v>
      </c>
      <c r="Z387">
        <v>25000</v>
      </c>
      <c r="AA387">
        <v>68</v>
      </c>
      <c r="AB387">
        <v>61</v>
      </c>
      <c r="AC387">
        <v>74</v>
      </c>
      <c r="AD387">
        <v>145</v>
      </c>
      <c r="AE387">
        <v>189</v>
      </c>
      <c r="AF387">
        <v>1</v>
      </c>
      <c r="AG387">
        <v>1</v>
      </c>
      <c r="AH387">
        <v>2.8427519798278809</v>
      </c>
      <c r="AJ387">
        <v>15.72422027587891</v>
      </c>
      <c r="AK387" t="s">
        <v>54</v>
      </c>
      <c r="AL387" t="s">
        <v>54</v>
      </c>
      <c r="AQ387" t="s">
        <v>54</v>
      </c>
      <c r="AW387" t="s">
        <v>53</v>
      </c>
      <c r="AZ387" t="s">
        <v>54</v>
      </c>
      <c r="BA387" t="s">
        <v>2425</v>
      </c>
      <c r="BB387" s="15" t="s">
        <v>676</v>
      </c>
    </row>
    <row r="388" spans="1:54" x14ac:dyDescent="0.25">
      <c r="A388">
        <v>383</v>
      </c>
      <c r="B388" t="s">
        <v>4654</v>
      </c>
      <c r="C388" t="s">
        <v>4655</v>
      </c>
      <c r="D388" t="s">
        <v>4656</v>
      </c>
      <c r="E388">
        <v>3</v>
      </c>
      <c r="F388" t="s">
        <v>3803</v>
      </c>
      <c r="G388" t="s">
        <v>4619</v>
      </c>
      <c r="H388" t="s">
        <v>4161</v>
      </c>
      <c r="I388" t="s">
        <v>4168</v>
      </c>
      <c r="J388" t="s">
        <v>4649</v>
      </c>
      <c r="K388" t="s">
        <v>4650</v>
      </c>
      <c r="L388" t="s">
        <v>4428</v>
      </c>
      <c r="M388">
        <v>5.1721229553222656</v>
      </c>
      <c r="N388" t="s">
        <v>54</v>
      </c>
      <c r="O388" t="s">
        <v>53</v>
      </c>
      <c r="P388" t="s">
        <v>53</v>
      </c>
      <c r="Q388" t="s">
        <v>53</v>
      </c>
      <c r="R388" t="s">
        <v>53</v>
      </c>
      <c r="S388" t="s">
        <v>4634</v>
      </c>
      <c r="T388" t="s">
        <v>4634</v>
      </c>
      <c r="U388" t="s">
        <v>53</v>
      </c>
      <c r="V388" t="s">
        <v>51</v>
      </c>
      <c r="W388">
        <v>582000</v>
      </c>
      <c r="X388" t="s">
        <v>54</v>
      </c>
      <c r="Y388" t="s">
        <v>3819</v>
      </c>
      <c r="Z388">
        <v>58200</v>
      </c>
      <c r="AA388">
        <v>91</v>
      </c>
      <c r="AB388">
        <v>85</v>
      </c>
      <c r="AC388">
        <v>107</v>
      </c>
      <c r="AD388">
        <v>353</v>
      </c>
      <c r="AE388">
        <v>380</v>
      </c>
      <c r="AF388">
        <v>0</v>
      </c>
      <c r="AG388">
        <v>1</v>
      </c>
      <c r="AH388">
        <v>2.370385885238647</v>
      </c>
      <c r="AJ388">
        <v>7.6597471237182617</v>
      </c>
      <c r="AK388" t="s">
        <v>54</v>
      </c>
      <c r="AL388" t="s">
        <v>54</v>
      </c>
      <c r="AQ388" t="s">
        <v>54</v>
      </c>
      <c r="AW388" t="s">
        <v>53</v>
      </c>
      <c r="AZ388" t="s">
        <v>54</v>
      </c>
      <c r="BA388" t="s">
        <v>2425</v>
      </c>
      <c r="BB388" s="15" t="s">
        <v>676</v>
      </c>
    </row>
    <row r="389" spans="1:54" x14ac:dyDescent="0.25">
      <c r="A389">
        <v>384</v>
      </c>
      <c r="B389" t="s">
        <v>4657</v>
      </c>
      <c r="C389" t="s">
        <v>4658</v>
      </c>
      <c r="D389" t="s">
        <v>4659</v>
      </c>
      <c r="E389">
        <v>3</v>
      </c>
      <c r="F389" t="s">
        <v>3803</v>
      </c>
      <c r="G389" t="s">
        <v>947</v>
      </c>
      <c r="H389" t="s">
        <v>4137</v>
      </c>
      <c r="I389" t="s">
        <v>4408</v>
      </c>
      <c r="J389" t="s">
        <v>4409</v>
      </c>
      <c r="K389" t="s">
        <v>4410</v>
      </c>
      <c r="L389" t="s">
        <v>4428</v>
      </c>
      <c r="M389">
        <v>24.54367637634277</v>
      </c>
      <c r="N389" t="s">
        <v>54</v>
      </c>
      <c r="O389" t="s">
        <v>53</v>
      </c>
      <c r="P389" t="s">
        <v>53</v>
      </c>
      <c r="Q389" t="s">
        <v>53</v>
      </c>
      <c r="R389" t="s">
        <v>53</v>
      </c>
      <c r="S389" t="s">
        <v>1668</v>
      </c>
      <c r="T389" t="s">
        <v>1668</v>
      </c>
      <c r="U389" t="s">
        <v>53</v>
      </c>
      <c r="V389" t="s">
        <v>51</v>
      </c>
      <c r="W389">
        <v>250000</v>
      </c>
      <c r="X389" t="s">
        <v>54</v>
      </c>
      <c r="Y389" t="s">
        <v>3819</v>
      </c>
      <c r="Z389">
        <v>25000</v>
      </c>
      <c r="AA389">
        <v>645</v>
      </c>
      <c r="AB389">
        <v>566</v>
      </c>
      <c r="AC389">
        <v>2633</v>
      </c>
      <c r="AD389">
        <v>609</v>
      </c>
      <c r="AE389">
        <v>3070</v>
      </c>
      <c r="AF389">
        <v>12</v>
      </c>
      <c r="AG389">
        <v>0</v>
      </c>
      <c r="AH389">
        <v>14.451809883117679</v>
      </c>
      <c r="AJ389">
        <v>749.456787109375</v>
      </c>
      <c r="AK389" t="s">
        <v>54</v>
      </c>
      <c r="AL389" t="s">
        <v>54</v>
      </c>
      <c r="AQ389" t="s">
        <v>54</v>
      </c>
      <c r="AW389" t="s">
        <v>54</v>
      </c>
      <c r="AZ389" t="s">
        <v>54</v>
      </c>
      <c r="BA389" t="s">
        <v>2425</v>
      </c>
      <c r="BB389" s="15" t="s">
        <v>676</v>
      </c>
    </row>
    <row r="390" spans="1:54" x14ac:dyDescent="0.25">
      <c r="A390">
        <v>385</v>
      </c>
      <c r="B390" t="s">
        <v>4660</v>
      </c>
      <c r="C390" t="s">
        <v>4661</v>
      </c>
      <c r="D390" t="s">
        <v>4662</v>
      </c>
      <c r="E390">
        <v>3</v>
      </c>
      <c r="F390" t="s">
        <v>3803</v>
      </c>
      <c r="G390" t="s">
        <v>4663</v>
      </c>
      <c r="H390" t="s">
        <v>4161</v>
      </c>
      <c r="I390" t="s">
        <v>4664</v>
      </c>
      <c r="J390" t="s">
        <v>4665</v>
      </c>
      <c r="K390" t="s">
        <v>4666</v>
      </c>
      <c r="L390" t="s">
        <v>4428</v>
      </c>
      <c r="M390">
        <v>12.51331233978271</v>
      </c>
      <c r="N390" t="s">
        <v>54</v>
      </c>
      <c r="O390" t="s">
        <v>53</v>
      </c>
      <c r="P390" t="s">
        <v>53</v>
      </c>
      <c r="Q390" t="s">
        <v>53</v>
      </c>
      <c r="R390" t="s">
        <v>53</v>
      </c>
      <c r="S390" t="s">
        <v>4667</v>
      </c>
      <c r="T390" t="s">
        <v>4667</v>
      </c>
      <c r="U390" t="s">
        <v>53</v>
      </c>
      <c r="V390" t="s">
        <v>51</v>
      </c>
      <c r="W390">
        <v>250000</v>
      </c>
      <c r="X390" t="s">
        <v>54</v>
      </c>
      <c r="Y390" t="s">
        <v>3819</v>
      </c>
      <c r="Z390">
        <v>25000</v>
      </c>
      <c r="AA390">
        <v>122</v>
      </c>
      <c r="AB390">
        <v>113</v>
      </c>
      <c r="AC390">
        <v>218</v>
      </c>
      <c r="AD390">
        <v>879</v>
      </c>
      <c r="AE390">
        <v>890</v>
      </c>
      <c r="AF390">
        <v>1</v>
      </c>
      <c r="AG390">
        <v>12</v>
      </c>
      <c r="AH390">
        <v>5.9768939018249512</v>
      </c>
      <c r="AJ390">
        <v>32.31842041015625</v>
      </c>
      <c r="AK390" t="s">
        <v>54</v>
      </c>
      <c r="AL390" t="s">
        <v>54</v>
      </c>
      <c r="AQ390" t="s">
        <v>54</v>
      </c>
      <c r="AW390" t="s">
        <v>53</v>
      </c>
      <c r="AZ390" t="s">
        <v>54</v>
      </c>
      <c r="BA390" t="s">
        <v>2425</v>
      </c>
      <c r="BB390" s="15" t="s">
        <v>676</v>
      </c>
    </row>
    <row r="391" spans="1:54" x14ac:dyDescent="0.25">
      <c r="A391">
        <v>386</v>
      </c>
      <c r="B391" t="s">
        <v>4668</v>
      </c>
      <c r="C391" t="s">
        <v>4669</v>
      </c>
      <c r="D391" t="s">
        <v>4670</v>
      </c>
      <c r="E391">
        <v>3</v>
      </c>
      <c r="F391" t="s">
        <v>3803</v>
      </c>
      <c r="G391" t="s">
        <v>4663</v>
      </c>
      <c r="H391" t="s">
        <v>4161</v>
      </c>
      <c r="I391" t="s">
        <v>4671</v>
      </c>
      <c r="J391" t="s">
        <v>4672</v>
      </c>
      <c r="K391" t="s">
        <v>4673</v>
      </c>
      <c r="L391" t="s">
        <v>4428</v>
      </c>
      <c r="M391">
        <v>20.948568344116211</v>
      </c>
      <c r="N391" t="s">
        <v>54</v>
      </c>
      <c r="O391" t="s">
        <v>53</v>
      </c>
      <c r="P391" t="s">
        <v>53</v>
      </c>
      <c r="Q391" t="s">
        <v>53</v>
      </c>
      <c r="R391" t="s">
        <v>53</v>
      </c>
      <c r="S391" t="s">
        <v>4667</v>
      </c>
      <c r="T391" t="s">
        <v>4667</v>
      </c>
      <c r="U391" t="s">
        <v>53</v>
      </c>
      <c r="V391" t="s">
        <v>51</v>
      </c>
      <c r="W391">
        <v>269000</v>
      </c>
      <c r="X391" t="s">
        <v>54</v>
      </c>
      <c r="Y391" t="s">
        <v>3819</v>
      </c>
      <c r="Z391">
        <v>26900</v>
      </c>
      <c r="AA391">
        <v>405</v>
      </c>
      <c r="AB391">
        <v>360</v>
      </c>
      <c r="AC391">
        <v>2595</v>
      </c>
      <c r="AD391">
        <v>2024</v>
      </c>
      <c r="AE391">
        <v>4090</v>
      </c>
      <c r="AF391">
        <v>8</v>
      </c>
      <c r="AG391">
        <v>16</v>
      </c>
      <c r="AH391">
        <v>12.705129623413089</v>
      </c>
      <c r="AJ391">
        <v>50.492229461669922</v>
      </c>
      <c r="AK391" t="s">
        <v>54</v>
      </c>
      <c r="AL391" t="s">
        <v>54</v>
      </c>
      <c r="AQ391" t="s">
        <v>54</v>
      </c>
      <c r="AW391" t="s">
        <v>54</v>
      </c>
      <c r="AZ391" t="s">
        <v>54</v>
      </c>
      <c r="BA391" t="s">
        <v>2425</v>
      </c>
      <c r="BB391" s="15" t="s">
        <v>676</v>
      </c>
    </row>
    <row r="392" spans="1:54" x14ac:dyDescent="0.25">
      <c r="A392">
        <v>387</v>
      </c>
      <c r="B392" t="s">
        <v>4674</v>
      </c>
      <c r="C392" t="s">
        <v>4675</v>
      </c>
      <c r="D392" t="s">
        <v>4676</v>
      </c>
      <c r="E392">
        <v>3</v>
      </c>
      <c r="F392" t="s">
        <v>3803</v>
      </c>
      <c r="G392" t="s">
        <v>4663</v>
      </c>
      <c r="H392" t="s">
        <v>4161</v>
      </c>
      <c r="I392" t="s">
        <v>4664</v>
      </c>
      <c r="J392" t="s">
        <v>4677</v>
      </c>
      <c r="K392" t="s">
        <v>4678</v>
      </c>
      <c r="L392" t="s">
        <v>4428</v>
      </c>
      <c r="M392">
        <v>5.5880069732666016</v>
      </c>
      <c r="N392" t="s">
        <v>54</v>
      </c>
      <c r="O392" t="s">
        <v>53</v>
      </c>
      <c r="P392" t="s">
        <v>53</v>
      </c>
      <c r="Q392" t="s">
        <v>53</v>
      </c>
      <c r="R392" t="s">
        <v>53</v>
      </c>
      <c r="S392" t="s">
        <v>4667</v>
      </c>
      <c r="T392" t="s">
        <v>4667</v>
      </c>
      <c r="U392" t="s">
        <v>53</v>
      </c>
      <c r="V392" t="s">
        <v>51</v>
      </c>
      <c r="W392">
        <v>477000</v>
      </c>
      <c r="X392" t="s">
        <v>54</v>
      </c>
      <c r="Y392" t="s">
        <v>3819</v>
      </c>
      <c r="Z392">
        <v>47700</v>
      </c>
      <c r="AA392">
        <v>61</v>
      </c>
      <c r="AB392">
        <v>60</v>
      </c>
      <c r="AC392">
        <v>89</v>
      </c>
      <c r="AD392">
        <v>344</v>
      </c>
      <c r="AE392">
        <v>350</v>
      </c>
      <c r="AF392">
        <v>1</v>
      </c>
      <c r="AG392">
        <v>5</v>
      </c>
      <c r="AH392">
        <v>2.7339930534362789</v>
      </c>
      <c r="AJ392">
        <v>16.428060531616211</v>
      </c>
      <c r="AK392" t="s">
        <v>54</v>
      </c>
      <c r="AL392" t="s">
        <v>54</v>
      </c>
      <c r="AQ392" t="s">
        <v>54</v>
      </c>
      <c r="AW392" t="s">
        <v>53</v>
      </c>
      <c r="AZ392" t="s">
        <v>54</v>
      </c>
      <c r="BA392" t="s">
        <v>2425</v>
      </c>
      <c r="BB392" s="15" t="s">
        <v>676</v>
      </c>
    </row>
    <row r="393" spans="1:54" x14ac:dyDescent="0.25">
      <c r="A393">
        <v>388</v>
      </c>
      <c r="B393" t="s">
        <v>4679</v>
      </c>
      <c r="C393" t="s">
        <v>4680</v>
      </c>
      <c r="D393" t="s">
        <v>4681</v>
      </c>
      <c r="E393">
        <v>3</v>
      </c>
      <c r="F393" t="s">
        <v>3803</v>
      </c>
      <c r="G393" t="s">
        <v>4495</v>
      </c>
      <c r="H393" t="s">
        <v>4161</v>
      </c>
      <c r="I393" t="s">
        <v>4682</v>
      </c>
      <c r="J393" t="s">
        <v>4683</v>
      </c>
      <c r="K393" t="s">
        <v>4684</v>
      </c>
      <c r="L393" t="s">
        <v>4428</v>
      </c>
      <c r="M393">
        <v>1.5792801380157471</v>
      </c>
      <c r="N393" t="s">
        <v>54</v>
      </c>
      <c r="O393" t="s">
        <v>53</v>
      </c>
      <c r="P393" t="s">
        <v>53</v>
      </c>
      <c r="Q393" t="s">
        <v>53</v>
      </c>
      <c r="R393" t="s">
        <v>53</v>
      </c>
      <c r="S393" t="s">
        <v>4667</v>
      </c>
      <c r="T393" t="s">
        <v>4667</v>
      </c>
      <c r="U393" t="s">
        <v>53</v>
      </c>
      <c r="V393" t="s">
        <v>51</v>
      </c>
      <c r="W393">
        <v>250000</v>
      </c>
      <c r="X393" t="s">
        <v>54</v>
      </c>
      <c r="Y393" t="s">
        <v>3819</v>
      </c>
      <c r="Z393">
        <v>25000</v>
      </c>
      <c r="AA393">
        <v>19</v>
      </c>
      <c r="AB393">
        <v>18</v>
      </c>
      <c r="AC393">
        <v>75</v>
      </c>
      <c r="AD393">
        <v>302</v>
      </c>
      <c r="AE393">
        <v>302</v>
      </c>
      <c r="AF393">
        <v>0</v>
      </c>
      <c r="AG393">
        <v>0</v>
      </c>
      <c r="AH393">
        <v>0.7840501070022583</v>
      </c>
      <c r="AJ393">
        <v>19.684999465942379</v>
      </c>
      <c r="AK393" t="s">
        <v>54</v>
      </c>
      <c r="AL393" t="s">
        <v>54</v>
      </c>
      <c r="AQ393" t="s">
        <v>54</v>
      </c>
      <c r="AW393" t="s">
        <v>53</v>
      </c>
      <c r="AZ393" t="s">
        <v>54</v>
      </c>
      <c r="BA393" t="s">
        <v>2425</v>
      </c>
      <c r="BB393" s="15" t="s">
        <v>676</v>
      </c>
    </row>
    <row r="394" spans="1:54" x14ac:dyDescent="0.25">
      <c r="A394">
        <v>389</v>
      </c>
      <c r="B394" t="s">
        <v>4685</v>
      </c>
      <c r="C394" t="s">
        <v>4686</v>
      </c>
      <c r="D394" t="s">
        <v>4687</v>
      </c>
      <c r="E394">
        <v>3</v>
      </c>
      <c r="F394" t="s">
        <v>3803</v>
      </c>
      <c r="G394" t="s">
        <v>4663</v>
      </c>
      <c r="H394" t="s">
        <v>4161</v>
      </c>
      <c r="I394" t="s">
        <v>4671</v>
      </c>
      <c r="J394" t="s">
        <v>4672</v>
      </c>
      <c r="K394" t="s">
        <v>4673</v>
      </c>
      <c r="L394" t="s">
        <v>4428</v>
      </c>
      <c r="M394">
        <v>20.948568344116211</v>
      </c>
      <c r="N394" t="s">
        <v>54</v>
      </c>
      <c r="O394" t="s">
        <v>53</v>
      </c>
      <c r="P394" t="s">
        <v>53</v>
      </c>
      <c r="Q394" t="s">
        <v>53</v>
      </c>
      <c r="R394" t="s">
        <v>53</v>
      </c>
      <c r="S394" t="s">
        <v>4667</v>
      </c>
      <c r="T394" t="s">
        <v>4667</v>
      </c>
      <c r="U394" t="s">
        <v>53</v>
      </c>
      <c r="V394" t="s">
        <v>51</v>
      </c>
      <c r="W394">
        <v>250000</v>
      </c>
      <c r="X394" t="s">
        <v>54</v>
      </c>
      <c r="Y394" t="s">
        <v>3819</v>
      </c>
      <c r="Z394">
        <v>25000</v>
      </c>
      <c r="AA394">
        <v>405</v>
      </c>
      <c r="AB394">
        <v>360</v>
      </c>
      <c r="AC394">
        <v>2595</v>
      </c>
      <c r="AD394">
        <v>2024</v>
      </c>
      <c r="AE394">
        <v>4090</v>
      </c>
      <c r="AF394">
        <v>8</v>
      </c>
      <c r="AG394">
        <v>16</v>
      </c>
      <c r="AH394">
        <v>12.705129623413089</v>
      </c>
      <c r="AJ394">
        <v>50.492229461669922</v>
      </c>
      <c r="AK394" t="s">
        <v>54</v>
      </c>
      <c r="AL394" t="s">
        <v>54</v>
      </c>
      <c r="AQ394" t="s">
        <v>54</v>
      </c>
      <c r="AW394" t="s">
        <v>54</v>
      </c>
      <c r="AZ394" t="s">
        <v>54</v>
      </c>
      <c r="BA394" t="s">
        <v>2425</v>
      </c>
      <c r="BB394" s="15" t="s">
        <v>676</v>
      </c>
    </row>
    <row r="395" spans="1:54" x14ac:dyDescent="0.25">
      <c r="A395">
        <v>390</v>
      </c>
      <c r="B395" t="s">
        <v>4688</v>
      </c>
      <c r="C395" t="s">
        <v>4689</v>
      </c>
      <c r="D395" t="s">
        <v>4690</v>
      </c>
      <c r="E395">
        <v>3</v>
      </c>
      <c r="F395" t="s">
        <v>3803</v>
      </c>
      <c r="G395" t="s">
        <v>4495</v>
      </c>
      <c r="H395" t="s">
        <v>4161</v>
      </c>
      <c r="I395" t="s">
        <v>4664</v>
      </c>
      <c r="J395" t="s">
        <v>4691</v>
      </c>
      <c r="K395" t="s">
        <v>4692</v>
      </c>
      <c r="L395" t="s">
        <v>4428</v>
      </c>
      <c r="M395">
        <v>5.1961770057678223</v>
      </c>
      <c r="N395" t="s">
        <v>54</v>
      </c>
      <c r="O395" t="s">
        <v>53</v>
      </c>
      <c r="P395" t="s">
        <v>53</v>
      </c>
      <c r="Q395" t="s">
        <v>53</v>
      </c>
      <c r="R395" t="s">
        <v>53</v>
      </c>
      <c r="S395" t="s">
        <v>4667</v>
      </c>
      <c r="T395" t="s">
        <v>4667</v>
      </c>
      <c r="U395" t="s">
        <v>53</v>
      </c>
      <c r="V395" t="s">
        <v>51</v>
      </c>
      <c r="W395">
        <v>250000</v>
      </c>
      <c r="X395" t="s">
        <v>54</v>
      </c>
      <c r="Y395" t="s">
        <v>3819</v>
      </c>
      <c r="Z395">
        <v>25000</v>
      </c>
      <c r="AA395">
        <v>3</v>
      </c>
      <c r="AB395">
        <v>3</v>
      </c>
      <c r="AC395">
        <v>0</v>
      </c>
      <c r="AD395">
        <v>0</v>
      </c>
      <c r="AE395">
        <v>0</v>
      </c>
      <c r="AF395">
        <v>0</v>
      </c>
      <c r="AG395">
        <v>0</v>
      </c>
      <c r="AH395">
        <v>0.538338303565979</v>
      </c>
      <c r="AJ395">
        <v>27.619979858398441</v>
      </c>
      <c r="AK395" t="s">
        <v>54</v>
      </c>
      <c r="AL395" t="s">
        <v>54</v>
      </c>
      <c r="AQ395" t="s">
        <v>54</v>
      </c>
      <c r="AW395" t="s">
        <v>53</v>
      </c>
      <c r="AZ395" t="s">
        <v>54</v>
      </c>
      <c r="BA395" t="s">
        <v>2425</v>
      </c>
      <c r="BB395" s="15" t="s">
        <v>676</v>
      </c>
    </row>
    <row r="396" spans="1:54" x14ac:dyDescent="0.25">
      <c r="A396">
        <v>391</v>
      </c>
      <c r="B396" t="s">
        <v>4693</v>
      </c>
      <c r="C396" t="s">
        <v>4694</v>
      </c>
      <c r="D396" t="s">
        <v>4695</v>
      </c>
      <c r="E396">
        <v>3</v>
      </c>
      <c r="F396" t="s">
        <v>3803</v>
      </c>
      <c r="G396" t="s">
        <v>4663</v>
      </c>
      <c r="H396" t="s">
        <v>4161</v>
      </c>
      <c r="I396" t="s">
        <v>4664</v>
      </c>
      <c r="J396" t="s">
        <v>4696</v>
      </c>
      <c r="K396" t="s">
        <v>4697</v>
      </c>
      <c r="L396" t="s">
        <v>4428</v>
      </c>
      <c r="M396">
        <v>4.5872421264648438</v>
      </c>
      <c r="N396" t="s">
        <v>54</v>
      </c>
      <c r="O396" t="s">
        <v>53</v>
      </c>
      <c r="P396" t="s">
        <v>53</v>
      </c>
      <c r="Q396" t="s">
        <v>53</v>
      </c>
      <c r="R396" t="s">
        <v>53</v>
      </c>
      <c r="S396" t="s">
        <v>4667</v>
      </c>
      <c r="T396" t="s">
        <v>4667</v>
      </c>
      <c r="U396" t="s">
        <v>53</v>
      </c>
      <c r="V396" t="s">
        <v>51</v>
      </c>
      <c r="W396">
        <v>250000</v>
      </c>
      <c r="X396" t="s">
        <v>54</v>
      </c>
      <c r="Y396" t="s">
        <v>3819</v>
      </c>
      <c r="Z396">
        <v>25000</v>
      </c>
      <c r="AA396">
        <v>19</v>
      </c>
      <c r="AB396">
        <v>17</v>
      </c>
      <c r="AC396">
        <v>26</v>
      </c>
      <c r="AD396">
        <v>106</v>
      </c>
      <c r="AE396">
        <v>107</v>
      </c>
      <c r="AF396">
        <v>0</v>
      </c>
      <c r="AG396">
        <v>5</v>
      </c>
      <c r="AH396">
        <v>2.1075549125671391</v>
      </c>
      <c r="AJ396">
        <v>7.9479131698608398</v>
      </c>
      <c r="AK396" t="s">
        <v>54</v>
      </c>
      <c r="AL396" t="s">
        <v>54</v>
      </c>
      <c r="AQ396" t="s">
        <v>54</v>
      </c>
      <c r="AW396" t="s">
        <v>53</v>
      </c>
      <c r="AZ396" t="s">
        <v>54</v>
      </c>
      <c r="BA396" t="s">
        <v>2425</v>
      </c>
      <c r="BB396" s="15" t="s">
        <v>676</v>
      </c>
    </row>
    <row r="397" spans="1:54" x14ac:dyDescent="0.25">
      <c r="A397">
        <v>392</v>
      </c>
      <c r="B397" t="s">
        <v>4698</v>
      </c>
      <c r="C397" t="s">
        <v>4699</v>
      </c>
      <c r="D397" t="s">
        <v>4700</v>
      </c>
      <c r="E397">
        <v>3</v>
      </c>
      <c r="F397" t="s">
        <v>3803</v>
      </c>
      <c r="G397" t="s">
        <v>4495</v>
      </c>
      <c r="H397" t="s">
        <v>4161</v>
      </c>
      <c r="I397" t="s">
        <v>4682</v>
      </c>
      <c r="J397" t="s">
        <v>4701</v>
      </c>
      <c r="K397" t="s">
        <v>4702</v>
      </c>
      <c r="L397" t="s">
        <v>4428</v>
      </c>
      <c r="M397">
        <v>2.6190638542175289</v>
      </c>
      <c r="N397" t="s">
        <v>54</v>
      </c>
      <c r="O397" t="s">
        <v>53</v>
      </c>
      <c r="P397" t="s">
        <v>53</v>
      </c>
      <c r="Q397" t="s">
        <v>53</v>
      </c>
      <c r="R397" t="s">
        <v>53</v>
      </c>
      <c r="S397" t="s">
        <v>4667</v>
      </c>
      <c r="T397" t="s">
        <v>4667</v>
      </c>
      <c r="U397" t="s">
        <v>53</v>
      </c>
      <c r="V397" t="s">
        <v>51</v>
      </c>
      <c r="W397">
        <v>250000</v>
      </c>
      <c r="X397" t="s">
        <v>54</v>
      </c>
      <c r="Y397" t="s">
        <v>3819</v>
      </c>
      <c r="Z397">
        <v>25000</v>
      </c>
      <c r="AA397">
        <v>4</v>
      </c>
      <c r="AB397">
        <v>4</v>
      </c>
      <c r="AC397">
        <v>5</v>
      </c>
      <c r="AD397">
        <v>23</v>
      </c>
      <c r="AE397">
        <v>23</v>
      </c>
      <c r="AF397">
        <v>0</v>
      </c>
      <c r="AG397">
        <v>1</v>
      </c>
      <c r="AH397">
        <v>0.1097175031900406</v>
      </c>
      <c r="AJ397">
        <v>3.1668329238891602</v>
      </c>
      <c r="AK397" t="s">
        <v>54</v>
      </c>
      <c r="AL397" t="s">
        <v>54</v>
      </c>
      <c r="AQ397" t="s">
        <v>54</v>
      </c>
      <c r="AW397" t="s">
        <v>53</v>
      </c>
      <c r="AZ397" t="s">
        <v>54</v>
      </c>
      <c r="BA397" t="s">
        <v>2425</v>
      </c>
      <c r="BB397" s="15" t="s">
        <v>678</v>
      </c>
    </row>
    <row r="398" spans="1:54" x14ac:dyDescent="0.25">
      <c r="A398">
        <v>393</v>
      </c>
      <c r="B398" t="s">
        <v>4703</v>
      </c>
      <c r="C398" t="s">
        <v>4704</v>
      </c>
      <c r="D398" t="s">
        <v>4705</v>
      </c>
      <c r="E398">
        <v>3</v>
      </c>
      <c r="F398" t="s">
        <v>3803</v>
      </c>
      <c r="G398" t="s">
        <v>4495</v>
      </c>
      <c r="H398" t="s">
        <v>4161</v>
      </c>
      <c r="I398" t="s">
        <v>4664</v>
      </c>
      <c r="J398" t="s">
        <v>4706</v>
      </c>
      <c r="K398" t="s">
        <v>4707</v>
      </c>
      <c r="L398" t="s">
        <v>4428</v>
      </c>
      <c r="M398">
        <v>2.3380637168884282</v>
      </c>
      <c r="N398" t="s">
        <v>54</v>
      </c>
      <c r="O398" t="s">
        <v>53</v>
      </c>
      <c r="P398" t="s">
        <v>53</v>
      </c>
      <c r="Q398" t="s">
        <v>53</v>
      </c>
      <c r="R398" t="s">
        <v>53</v>
      </c>
      <c r="S398" t="s">
        <v>4667</v>
      </c>
      <c r="T398" t="s">
        <v>4667</v>
      </c>
      <c r="U398" t="s">
        <v>53</v>
      </c>
      <c r="V398" t="s">
        <v>51</v>
      </c>
      <c r="W398">
        <v>250000</v>
      </c>
      <c r="X398" t="s">
        <v>54</v>
      </c>
      <c r="Y398" t="s">
        <v>3819</v>
      </c>
      <c r="Z398">
        <v>25000</v>
      </c>
      <c r="AA398">
        <v>42</v>
      </c>
      <c r="AB398">
        <v>36</v>
      </c>
      <c r="AC398">
        <v>103</v>
      </c>
      <c r="AD398">
        <v>429</v>
      </c>
      <c r="AE398">
        <v>433</v>
      </c>
      <c r="AF398">
        <v>0</v>
      </c>
      <c r="AG398">
        <v>2</v>
      </c>
      <c r="AH398">
        <v>1.1353470087051389</v>
      </c>
      <c r="AJ398">
        <v>7.9424481391906738</v>
      </c>
      <c r="AK398" t="s">
        <v>54</v>
      </c>
      <c r="AL398" t="s">
        <v>54</v>
      </c>
      <c r="AQ398" t="s">
        <v>54</v>
      </c>
      <c r="AW398" t="s">
        <v>53</v>
      </c>
      <c r="AZ398" t="s">
        <v>54</v>
      </c>
      <c r="BA398" t="s">
        <v>2425</v>
      </c>
      <c r="BB398" s="15" t="s">
        <v>676</v>
      </c>
    </row>
    <row r="399" spans="1:54" x14ac:dyDescent="0.25">
      <c r="A399">
        <v>394</v>
      </c>
      <c r="B399" t="s">
        <v>4708</v>
      </c>
      <c r="C399" t="s">
        <v>4709</v>
      </c>
      <c r="D399" t="s">
        <v>4710</v>
      </c>
      <c r="E399">
        <v>3</v>
      </c>
      <c r="F399" t="s">
        <v>3803</v>
      </c>
      <c r="G399" t="s">
        <v>4041</v>
      </c>
      <c r="H399" t="s">
        <v>4161</v>
      </c>
      <c r="I399" t="s">
        <v>4664</v>
      </c>
      <c r="J399" t="s">
        <v>4711</v>
      </c>
      <c r="K399" t="s">
        <v>4712</v>
      </c>
      <c r="L399" t="s">
        <v>4428</v>
      </c>
      <c r="M399">
        <v>3.8361272811889648</v>
      </c>
      <c r="N399" t="s">
        <v>54</v>
      </c>
      <c r="O399" t="s">
        <v>53</v>
      </c>
      <c r="P399" t="s">
        <v>53</v>
      </c>
      <c r="Q399" t="s">
        <v>53</v>
      </c>
      <c r="R399" t="s">
        <v>53</v>
      </c>
      <c r="S399" t="s">
        <v>4667</v>
      </c>
      <c r="T399" t="s">
        <v>4667</v>
      </c>
      <c r="U399" t="s">
        <v>53</v>
      </c>
      <c r="V399" t="s">
        <v>51</v>
      </c>
      <c r="W399">
        <v>294000</v>
      </c>
      <c r="X399" t="s">
        <v>54</v>
      </c>
      <c r="Y399" t="s">
        <v>3819</v>
      </c>
      <c r="Z399">
        <v>29400</v>
      </c>
      <c r="AA399">
        <v>18</v>
      </c>
      <c r="AB399">
        <v>7</v>
      </c>
      <c r="AC399">
        <v>1100</v>
      </c>
      <c r="AD399">
        <v>8</v>
      </c>
      <c r="AE399">
        <v>1107</v>
      </c>
      <c r="AF399">
        <v>2</v>
      </c>
      <c r="AG399">
        <v>0</v>
      </c>
      <c r="AH399">
        <v>3.3714649677276611</v>
      </c>
      <c r="AJ399">
        <v>160.7330017089844</v>
      </c>
      <c r="AK399" t="s">
        <v>54</v>
      </c>
      <c r="AL399" t="s">
        <v>54</v>
      </c>
      <c r="AQ399" t="s">
        <v>54</v>
      </c>
      <c r="AW399" t="s">
        <v>53</v>
      </c>
      <c r="AZ399" t="s">
        <v>54</v>
      </c>
      <c r="BA399" t="s">
        <v>2425</v>
      </c>
      <c r="BB399" s="15" t="s">
        <v>678</v>
      </c>
    </row>
    <row r="400" spans="1:54" x14ac:dyDescent="0.25">
      <c r="A400">
        <v>395</v>
      </c>
      <c r="B400" t="s">
        <v>4713</v>
      </c>
      <c r="C400" t="s">
        <v>4714</v>
      </c>
      <c r="D400" t="s">
        <v>4715</v>
      </c>
      <c r="E400">
        <v>3</v>
      </c>
      <c r="F400" t="s">
        <v>3803</v>
      </c>
      <c r="G400" t="s">
        <v>4041</v>
      </c>
      <c r="H400" t="s">
        <v>4161</v>
      </c>
      <c r="I400" t="s">
        <v>4664</v>
      </c>
      <c r="J400" t="s">
        <v>4706</v>
      </c>
      <c r="K400" t="s">
        <v>4707</v>
      </c>
      <c r="L400" t="s">
        <v>4428</v>
      </c>
      <c r="M400">
        <v>2.3380637168884282</v>
      </c>
      <c r="N400" t="s">
        <v>54</v>
      </c>
      <c r="O400" t="s">
        <v>53</v>
      </c>
      <c r="P400" t="s">
        <v>53</v>
      </c>
      <c r="Q400" t="s">
        <v>53</v>
      </c>
      <c r="R400" t="s">
        <v>53</v>
      </c>
      <c r="S400" t="s">
        <v>4667</v>
      </c>
      <c r="T400" t="s">
        <v>4667</v>
      </c>
      <c r="U400" t="s">
        <v>53</v>
      </c>
      <c r="V400" t="s">
        <v>51</v>
      </c>
      <c r="W400">
        <v>250000</v>
      </c>
      <c r="X400" t="s">
        <v>54</v>
      </c>
      <c r="Y400" t="s">
        <v>3819</v>
      </c>
      <c r="Z400">
        <v>25000</v>
      </c>
      <c r="AA400">
        <v>42</v>
      </c>
      <c r="AB400">
        <v>36</v>
      </c>
      <c r="AC400">
        <v>103</v>
      </c>
      <c r="AD400">
        <v>429</v>
      </c>
      <c r="AE400">
        <v>433</v>
      </c>
      <c r="AF400">
        <v>0</v>
      </c>
      <c r="AG400">
        <v>2</v>
      </c>
      <c r="AH400">
        <v>1.1353470087051389</v>
      </c>
      <c r="AJ400">
        <v>7.9424481391906738</v>
      </c>
      <c r="AK400" t="s">
        <v>54</v>
      </c>
      <c r="AL400" t="s">
        <v>54</v>
      </c>
      <c r="AQ400" t="s">
        <v>54</v>
      </c>
      <c r="AW400" t="s">
        <v>53</v>
      </c>
      <c r="AZ400" t="s">
        <v>54</v>
      </c>
      <c r="BA400" t="s">
        <v>2425</v>
      </c>
      <c r="BB400" s="15" t="s">
        <v>676</v>
      </c>
    </row>
    <row r="401" spans="1:54" x14ac:dyDescent="0.25">
      <c r="A401">
        <v>396</v>
      </c>
      <c r="B401" t="s">
        <v>4716</v>
      </c>
      <c r="C401" t="s">
        <v>4717</v>
      </c>
      <c r="D401" t="s">
        <v>4718</v>
      </c>
      <c r="E401">
        <v>3</v>
      </c>
      <c r="F401" t="s">
        <v>3803</v>
      </c>
      <c r="G401" t="s">
        <v>4041</v>
      </c>
      <c r="H401" t="s">
        <v>4161</v>
      </c>
      <c r="I401" t="s">
        <v>4664</v>
      </c>
      <c r="J401" t="s">
        <v>4691</v>
      </c>
      <c r="K401" t="s">
        <v>4692</v>
      </c>
      <c r="L401" t="s">
        <v>4428</v>
      </c>
      <c r="M401">
        <v>7.8152413368225098</v>
      </c>
      <c r="N401" t="s">
        <v>54</v>
      </c>
      <c r="O401" t="s">
        <v>53</v>
      </c>
      <c r="P401" t="s">
        <v>53</v>
      </c>
      <c r="Q401" t="s">
        <v>53</v>
      </c>
      <c r="R401" t="s">
        <v>53</v>
      </c>
      <c r="S401" t="s">
        <v>4667</v>
      </c>
      <c r="T401" t="s">
        <v>4667</v>
      </c>
      <c r="U401" t="s">
        <v>53</v>
      </c>
      <c r="V401" t="s">
        <v>51</v>
      </c>
      <c r="W401">
        <v>250000</v>
      </c>
      <c r="X401" t="s">
        <v>54</v>
      </c>
      <c r="Y401" t="s">
        <v>3819</v>
      </c>
      <c r="Z401">
        <v>25000</v>
      </c>
      <c r="AA401">
        <v>7</v>
      </c>
      <c r="AB401">
        <v>7</v>
      </c>
      <c r="AC401">
        <v>5</v>
      </c>
      <c r="AD401">
        <v>23</v>
      </c>
      <c r="AE401">
        <v>23</v>
      </c>
      <c r="AF401">
        <v>0</v>
      </c>
      <c r="AG401">
        <v>1</v>
      </c>
      <c r="AH401">
        <v>0.6480557918548584</v>
      </c>
      <c r="AJ401">
        <v>30.786809921264648</v>
      </c>
      <c r="AK401" t="s">
        <v>54</v>
      </c>
      <c r="AL401" t="s">
        <v>54</v>
      </c>
      <c r="AQ401" t="s">
        <v>54</v>
      </c>
      <c r="AW401" t="s">
        <v>53</v>
      </c>
      <c r="AZ401" t="s">
        <v>54</v>
      </c>
      <c r="BA401" t="s">
        <v>2425</v>
      </c>
      <c r="BB401" s="15" t="s">
        <v>676</v>
      </c>
    </row>
    <row r="402" spans="1:54" x14ac:dyDescent="0.25">
      <c r="A402">
        <v>397</v>
      </c>
      <c r="B402" t="s">
        <v>4719</v>
      </c>
      <c r="C402" t="s">
        <v>4720</v>
      </c>
      <c r="D402" t="s">
        <v>4721</v>
      </c>
      <c r="E402">
        <v>3</v>
      </c>
      <c r="F402" t="s">
        <v>3803</v>
      </c>
      <c r="G402" t="s">
        <v>4041</v>
      </c>
      <c r="H402" t="s">
        <v>4161</v>
      </c>
      <c r="I402" t="s">
        <v>4664</v>
      </c>
      <c r="J402" t="s">
        <v>4706</v>
      </c>
      <c r="K402" t="s">
        <v>4707</v>
      </c>
      <c r="L402" t="s">
        <v>4428</v>
      </c>
      <c r="M402">
        <v>2.766491174697876</v>
      </c>
      <c r="N402" t="s">
        <v>54</v>
      </c>
      <c r="O402" t="s">
        <v>53</v>
      </c>
      <c r="P402" t="s">
        <v>53</v>
      </c>
      <c r="Q402" t="s">
        <v>53</v>
      </c>
      <c r="R402" t="s">
        <v>53</v>
      </c>
      <c r="S402" t="s">
        <v>4667</v>
      </c>
      <c r="T402" t="s">
        <v>4667</v>
      </c>
      <c r="U402" t="s">
        <v>53</v>
      </c>
      <c r="V402" t="s">
        <v>51</v>
      </c>
      <c r="W402">
        <v>250000</v>
      </c>
      <c r="X402" t="s">
        <v>54</v>
      </c>
      <c r="Y402" t="s">
        <v>3819</v>
      </c>
      <c r="Z402">
        <v>25000</v>
      </c>
      <c r="AA402">
        <v>5</v>
      </c>
      <c r="AB402">
        <v>5</v>
      </c>
      <c r="AC402">
        <v>0</v>
      </c>
      <c r="AD402">
        <v>0</v>
      </c>
      <c r="AE402">
        <v>0</v>
      </c>
      <c r="AF402">
        <v>0</v>
      </c>
      <c r="AG402">
        <v>0</v>
      </c>
      <c r="AH402">
        <v>0.99285262823104858</v>
      </c>
      <c r="AJ402">
        <v>9.6170654296875</v>
      </c>
      <c r="AK402" t="s">
        <v>54</v>
      </c>
      <c r="AL402" t="s">
        <v>54</v>
      </c>
      <c r="AQ402" t="s">
        <v>54</v>
      </c>
      <c r="AW402" t="s">
        <v>53</v>
      </c>
      <c r="AZ402" t="s">
        <v>54</v>
      </c>
      <c r="BA402" t="s">
        <v>2425</v>
      </c>
      <c r="BB402" s="15" t="s">
        <v>676</v>
      </c>
    </row>
    <row r="403" spans="1:54" x14ac:dyDescent="0.25">
      <c r="A403">
        <v>398</v>
      </c>
      <c r="B403" t="s">
        <v>4722</v>
      </c>
      <c r="C403" t="s">
        <v>4723</v>
      </c>
      <c r="D403" t="s">
        <v>4724</v>
      </c>
      <c r="E403">
        <v>3</v>
      </c>
      <c r="F403" t="s">
        <v>3803</v>
      </c>
      <c r="G403" t="s">
        <v>4041</v>
      </c>
      <c r="H403" t="s">
        <v>4725</v>
      </c>
      <c r="I403" t="s">
        <v>4726</v>
      </c>
      <c r="J403" t="s">
        <v>4727</v>
      </c>
      <c r="K403" t="s">
        <v>4728</v>
      </c>
      <c r="L403" t="s">
        <v>4428</v>
      </c>
      <c r="M403">
        <v>3.205730676651001</v>
      </c>
      <c r="N403" t="s">
        <v>54</v>
      </c>
      <c r="O403" t="s">
        <v>53</v>
      </c>
      <c r="P403" t="s">
        <v>53</v>
      </c>
      <c r="Q403" t="s">
        <v>53</v>
      </c>
      <c r="R403" t="s">
        <v>53</v>
      </c>
      <c r="S403" t="s">
        <v>4667</v>
      </c>
      <c r="T403" t="s">
        <v>4667</v>
      </c>
      <c r="U403" t="s">
        <v>53</v>
      </c>
      <c r="V403" t="s">
        <v>51</v>
      </c>
      <c r="W403">
        <v>250000</v>
      </c>
      <c r="X403" t="s">
        <v>54</v>
      </c>
      <c r="Y403" t="s">
        <v>3819</v>
      </c>
      <c r="Z403">
        <v>25000</v>
      </c>
      <c r="AA403">
        <v>75</v>
      </c>
      <c r="AB403">
        <v>73</v>
      </c>
      <c r="AC403">
        <v>502</v>
      </c>
      <c r="AD403">
        <v>652</v>
      </c>
      <c r="AE403">
        <v>1003</v>
      </c>
      <c r="AF403">
        <v>2</v>
      </c>
      <c r="AG403">
        <v>4</v>
      </c>
      <c r="AH403">
        <v>1.245695948600769</v>
      </c>
      <c r="AJ403">
        <v>1.2364480495452881</v>
      </c>
      <c r="AK403" t="s">
        <v>54</v>
      </c>
      <c r="AL403" t="s">
        <v>54</v>
      </c>
      <c r="AQ403" t="s">
        <v>54</v>
      </c>
      <c r="AW403" t="s">
        <v>53</v>
      </c>
      <c r="AZ403" t="s">
        <v>54</v>
      </c>
      <c r="BA403" t="s">
        <v>2425</v>
      </c>
      <c r="BB403" s="15" t="s">
        <v>676</v>
      </c>
    </row>
    <row r="404" spans="1:54" x14ac:dyDescent="0.25">
      <c r="A404">
        <v>399</v>
      </c>
      <c r="B404" t="s">
        <v>4729</v>
      </c>
      <c r="C404" t="s">
        <v>4730</v>
      </c>
      <c r="D404" t="s">
        <v>4731</v>
      </c>
      <c r="E404">
        <v>3</v>
      </c>
      <c r="F404" t="s">
        <v>3803</v>
      </c>
      <c r="G404" t="s">
        <v>4041</v>
      </c>
      <c r="H404" t="s">
        <v>4161</v>
      </c>
      <c r="I404" t="s">
        <v>4682</v>
      </c>
      <c r="J404" t="s">
        <v>4683</v>
      </c>
      <c r="K404" t="s">
        <v>4684</v>
      </c>
      <c r="L404" t="s">
        <v>4428</v>
      </c>
      <c r="M404">
        <v>4.8059873580932617</v>
      </c>
      <c r="N404" t="s">
        <v>54</v>
      </c>
      <c r="O404" t="s">
        <v>53</v>
      </c>
      <c r="P404" t="s">
        <v>53</v>
      </c>
      <c r="Q404" t="s">
        <v>53</v>
      </c>
      <c r="R404" t="s">
        <v>53</v>
      </c>
      <c r="S404" t="s">
        <v>4667</v>
      </c>
      <c r="T404" t="s">
        <v>4667</v>
      </c>
      <c r="U404" t="s">
        <v>53</v>
      </c>
      <c r="V404" t="s">
        <v>51</v>
      </c>
      <c r="W404">
        <v>250000</v>
      </c>
      <c r="X404" t="s">
        <v>54</v>
      </c>
      <c r="Y404" t="s">
        <v>3819</v>
      </c>
      <c r="Z404">
        <v>25000</v>
      </c>
      <c r="AA404">
        <v>22</v>
      </c>
      <c r="AB404">
        <v>21</v>
      </c>
      <c r="AC404">
        <v>78</v>
      </c>
      <c r="AD404">
        <v>314</v>
      </c>
      <c r="AE404">
        <v>314</v>
      </c>
      <c r="AF404">
        <v>0</v>
      </c>
      <c r="AG404">
        <v>0</v>
      </c>
      <c r="AH404">
        <v>1.317970991134644</v>
      </c>
      <c r="AJ404">
        <v>26.933830261230469</v>
      </c>
      <c r="AK404" t="s">
        <v>54</v>
      </c>
      <c r="AL404" t="s">
        <v>54</v>
      </c>
      <c r="AQ404" t="s">
        <v>54</v>
      </c>
      <c r="AW404" t="s">
        <v>53</v>
      </c>
      <c r="AZ404" t="s">
        <v>54</v>
      </c>
      <c r="BA404" t="s">
        <v>2425</v>
      </c>
      <c r="BB404" s="15" t="s">
        <v>676</v>
      </c>
    </row>
    <row r="405" spans="1:54" x14ac:dyDescent="0.25">
      <c r="A405">
        <v>400</v>
      </c>
      <c r="B405" t="s">
        <v>4732</v>
      </c>
      <c r="C405" t="s">
        <v>4733</v>
      </c>
      <c r="D405" t="s">
        <v>4734</v>
      </c>
      <c r="E405">
        <v>3</v>
      </c>
      <c r="F405" t="s">
        <v>3803</v>
      </c>
      <c r="G405" t="s">
        <v>4041</v>
      </c>
      <c r="H405" t="s">
        <v>4161</v>
      </c>
      <c r="I405" t="s">
        <v>4664</v>
      </c>
      <c r="J405" t="s">
        <v>4706</v>
      </c>
      <c r="K405" t="s">
        <v>4707</v>
      </c>
      <c r="L405" t="s">
        <v>4428</v>
      </c>
      <c r="M405">
        <v>2.3380637168884282</v>
      </c>
      <c r="N405" t="s">
        <v>54</v>
      </c>
      <c r="O405" t="s">
        <v>53</v>
      </c>
      <c r="P405" t="s">
        <v>53</v>
      </c>
      <c r="Q405" t="s">
        <v>53</v>
      </c>
      <c r="R405" t="s">
        <v>53</v>
      </c>
      <c r="S405" t="s">
        <v>4667</v>
      </c>
      <c r="T405" t="s">
        <v>4667</v>
      </c>
      <c r="U405" t="s">
        <v>53</v>
      </c>
      <c r="V405" t="s">
        <v>51</v>
      </c>
      <c r="W405">
        <v>250000</v>
      </c>
      <c r="X405" t="s">
        <v>54</v>
      </c>
      <c r="Y405" t="s">
        <v>3819</v>
      </c>
      <c r="Z405">
        <v>25000</v>
      </c>
      <c r="AA405">
        <v>42</v>
      </c>
      <c r="AB405">
        <v>36</v>
      </c>
      <c r="AC405">
        <v>103</v>
      </c>
      <c r="AD405">
        <v>429</v>
      </c>
      <c r="AE405">
        <v>433</v>
      </c>
      <c r="AF405">
        <v>0</v>
      </c>
      <c r="AG405">
        <v>2</v>
      </c>
      <c r="AH405">
        <v>1.1353470087051389</v>
      </c>
      <c r="AJ405">
        <v>7.9424481391906738</v>
      </c>
      <c r="AK405" t="s">
        <v>54</v>
      </c>
      <c r="AL405" t="s">
        <v>54</v>
      </c>
      <c r="AQ405" t="s">
        <v>54</v>
      </c>
      <c r="AW405" t="s">
        <v>53</v>
      </c>
      <c r="AZ405" t="s">
        <v>54</v>
      </c>
      <c r="BA405" t="s">
        <v>2425</v>
      </c>
      <c r="BB405" s="15" t="s">
        <v>676</v>
      </c>
    </row>
    <row r="406" spans="1:54" x14ac:dyDescent="0.25">
      <c r="A406">
        <v>401</v>
      </c>
      <c r="B406" t="s">
        <v>4735</v>
      </c>
      <c r="C406" t="s">
        <v>4736</v>
      </c>
      <c r="D406" t="s">
        <v>4737</v>
      </c>
      <c r="E406">
        <v>3</v>
      </c>
      <c r="F406" t="s">
        <v>3803</v>
      </c>
      <c r="G406" t="s">
        <v>4041</v>
      </c>
      <c r="H406" t="s">
        <v>4161</v>
      </c>
      <c r="I406" t="s">
        <v>4664</v>
      </c>
      <c r="J406" t="s">
        <v>4691</v>
      </c>
      <c r="K406" t="s">
        <v>4692</v>
      </c>
      <c r="L406" t="s">
        <v>4428</v>
      </c>
      <c r="M406">
        <v>5.1961770057678223</v>
      </c>
      <c r="N406" t="s">
        <v>54</v>
      </c>
      <c r="O406" t="s">
        <v>53</v>
      </c>
      <c r="P406" t="s">
        <v>53</v>
      </c>
      <c r="Q406" t="s">
        <v>53</v>
      </c>
      <c r="R406" t="s">
        <v>53</v>
      </c>
      <c r="S406" t="s">
        <v>4667</v>
      </c>
      <c r="T406" t="s">
        <v>4667</v>
      </c>
      <c r="U406" t="s">
        <v>53</v>
      </c>
      <c r="V406" t="s">
        <v>51</v>
      </c>
      <c r="W406">
        <v>320000</v>
      </c>
      <c r="X406" t="s">
        <v>54</v>
      </c>
      <c r="Y406" t="s">
        <v>3819</v>
      </c>
      <c r="Z406">
        <v>32000</v>
      </c>
      <c r="AA406">
        <v>3</v>
      </c>
      <c r="AB406">
        <v>3</v>
      </c>
      <c r="AC406">
        <v>0</v>
      </c>
      <c r="AD406">
        <v>0</v>
      </c>
      <c r="AE406">
        <v>0</v>
      </c>
      <c r="AF406">
        <v>0</v>
      </c>
      <c r="AG406">
        <v>0</v>
      </c>
      <c r="AH406">
        <v>0.538338303565979</v>
      </c>
      <c r="AJ406">
        <v>27.619979858398441</v>
      </c>
      <c r="AK406" t="s">
        <v>54</v>
      </c>
      <c r="AL406" t="s">
        <v>54</v>
      </c>
      <c r="AQ406" t="s">
        <v>54</v>
      </c>
      <c r="AW406" t="s">
        <v>53</v>
      </c>
      <c r="AZ406" t="s">
        <v>54</v>
      </c>
      <c r="BA406" t="s">
        <v>2425</v>
      </c>
      <c r="BB406" s="15" t="s">
        <v>676</v>
      </c>
    </row>
    <row r="407" spans="1:54" x14ac:dyDescent="0.25">
      <c r="A407">
        <v>402</v>
      </c>
      <c r="B407" t="s">
        <v>4738</v>
      </c>
      <c r="C407" t="s">
        <v>4739</v>
      </c>
      <c r="D407" t="s">
        <v>4740</v>
      </c>
      <c r="E407">
        <v>3</v>
      </c>
      <c r="F407" t="s">
        <v>3803</v>
      </c>
      <c r="G407" t="s">
        <v>4041</v>
      </c>
      <c r="H407" t="s">
        <v>4161</v>
      </c>
      <c r="I407" t="s">
        <v>4664</v>
      </c>
      <c r="J407" t="s">
        <v>4691</v>
      </c>
      <c r="K407" t="s">
        <v>4692</v>
      </c>
      <c r="L407" t="s">
        <v>4428</v>
      </c>
      <c r="M407">
        <v>5.1961770057678223</v>
      </c>
      <c r="N407" t="s">
        <v>54</v>
      </c>
      <c r="O407" t="s">
        <v>53</v>
      </c>
      <c r="P407" t="s">
        <v>53</v>
      </c>
      <c r="Q407" t="s">
        <v>53</v>
      </c>
      <c r="R407" t="s">
        <v>53</v>
      </c>
      <c r="S407" t="s">
        <v>4667</v>
      </c>
      <c r="T407" t="s">
        <v>4667</v>
      </c>
      <c r="U407" t="s">
        <v>53</v>
      </c>
      <c r="V407" t="s">
        <v>51</v>
      </c>
      <c r="W407">
        <v>250000</v>
      </c>
      <c r="X407" t="s">
        <v>54</v>
      </c>
      <c r="Y407" t="s">
        <v>3819</v>
      </c>
      <c r="Z407">
        <v>25000</v>
      </c>
      <c r="AA407">
        <v>3</v>
      </c>
      <c r="AB407">
        <v>3</v>
      </c>
      <c r="AC407">
        <v>0</v>
      </c>
      <c r="AD407">
        <v>0</v>
      </c>
      <c r="AE407">
        <v>0</v>
      </c>
      <c r="AF407">
        <v>0</v>
      </c>
      <c r="AG407">
        <v>0</v>
      </c>
      <c r="AH407">
        <v>0.538338303565979</v>
      </c>
      <c r="AJ407">
        <v>27.619979858398441</v>
      </c>
      <c r="AK407" t="s">
        <v>54</v>
      </c>
      <c r="AL407" t="s">
        <v>54</v>
      </c>
      <c r="AQ407" t="s">
        <v>54</v>
      </c>
      <c r="AW407" t="s">
        <v>53</v>
      </c>
      <c r="AZ407" t="s">
        <v>54</v>
      </c>
      <c r="BA407" t="s">
        <v>2425</v>
      </c>
      <c r="BB407" s="15" t="s">
        <v>678</v>
      </c>
    </row>
    <row r="408" spans="1:54" x14ac:dyDescent="0.25">
      <c r="A408">
        <v>403</v>
      </c>
      <c r="B408" t="s">
        <v>4741</v>
      </c>
      <c r="C408" t="s">
        <v>4742</v>
      </c>
      <c r="D408" t="s">
        <v>4743</v>
      </c>
      <c r="E408">
        <v>3</v>
      </c>
      <c r="F408" t="s">
        <v>3803</v>
      </c>
      <c r="G408" t="s">
        <v>4041</v>
      </c>
      <c r="H408" t="s">
        <v>4161</v>
      </c>
      <c r="I408" t="s">
        <v>4664</v>
      </c>
      <c r="J408" t="s">
        <v>4677</v>
      </c>
      <c r="K408" t="s">
        <v>4678</v>
      </c>
      <c r="L408" t="s">
        <v>4428</v>
      </c>
      <c r="M408">
        <v>5.5880069732666016</v>
      </c>
      <c r="N408" t="s">
        <v>54</v>
      </c>
      <c r="O408" t="s">
        <v>53</v>
      </c>
      <c r="P408" t="s">
        <v>53</v>
      </c>
      <c r="Q408" t="s">
        <v>53</v>
      </c>
      <c r="R408" t="s">
        <v>53</v>
      </c>
      <c r="S408" t="s">
        <v>4667</v>
      </c>
      <c r="T408" t="s">
        <v>4667</v>
      </c>
      <c r="U408" t="s">
        <v>53</v>
      </c>
      <c r="V408" t="s">
        <v>51</v>
      </c>
      <c r="W408">
        <v>250000</v>
      </c>
      <c r="X408" t="s">
        <v>54</v>
      </c>
      <c r="Y408" t="s">
        <v>3819</v>
      </c>
      <c r="Z408">
        <v>25000</v>
      </c>
      <c r="AA408">
        <v>61</v>
      </c>
      <c r="AB408">
        <v>60</v>
      </c>
      <c r="AC408">
        <v>89</v>
      </c>
      <c r="AD408">
        <v>344</v>
      </c>
      <c r="AE408">
        <v>350</v>
      </c>
      <c r="AF408">
        <v>1</v>
      </c>
      <c r="AG408">
        <v>5</v>
      </c>
      <c r="AH408">
        <v>2.7339930534362789</v>
      </c>
      <c r="AJ408">
        <v>16.428060531616211</v>
      </c>
      <c r="AK408" t="s">
        <v>54</v>
      </c>
      <c r="AL408" t="s">
        <v>54</v>
      </c>
      <c r="AQ408" t="s">
        <v>54</v>
      </c>
      <c r="AW408" t="s">
        <v>53</v>
      </c>
      <c r="AZ408" t="s">
        <v>54</v>
      </c>
      <c r="BA408" t="s">
        <v>2425</v>
      </c>
      <c r="BB408" s="15" t="s">
        <v>678</v>
      </c>
    </row>
    <row r="409" spans="1:54" x14ac:dyDescent="0.25">
      <c r="A409">
        <v>404</v>
      </c>
      <c r="B409" t="s">
        <v>4744</v>
      </c>
      <c r="C409" t="s">
        <v>4745</v>
      </c>
      <c r="D409" t="s">
        <v>4746</v>
      </c>
      <c r="E409">
        <v>3</v>
      </c>
      <c r="F409" t="s">
        <v>3803</v>
      </c>
      <c r="G409" t="s">
        <v>4041</v>
      </c>
      <c r="H409" t="s">
        <v>4161</v>
      </c>
      <c r="I409" t="s">
        <v>4747</v>
      </c>
      <c r="J409" t="s">
        <v>4748</v>
      </c>
      <c r="K409" t="s">
        <v>4749</v>
      </c>
      <c r="L409" t="s">
        <v>4428</v>
      </c>
      <c r="M409">
        <v>3.141670703887939</v>
      </c>
      <c r="N409" t="s">
        <v>54</v>
      </c>
      <c r="O409" t="s">
        <v>53</v>
      </c>
      <c r="P409" t="s">
        <v>53</v>
      </c>
      <c r="Q409" t="s">
        <v>53</v>
      </c>
      <c r="R409" t="s">
        <v>53</v>
      </c>
      <c r="S409" t="s">
        <v>4667</v>
      </c>
      <c r="T409" t="s">
        <v>4667</v>
      </c>
      <c r="U409" t="s">
        <v>53</v>
      </c>
      <c r="V409" t="s">
        <v>51</v>
      </c>
      <c r="W409">
        <v>255000</v>
      </c>
      <c r="X409" t="s">
        <v>54</v>
      </c>
      <c r="Y409" t="s">
        <v>3819</v>
      </c>
      <c r="Z409">
        <v>25500</v>
      </c>
      <c r="AA409">
        <v>140</v>
      </c>
      <c r="AB409">
        <v>133</v>
      </c>
      <c r="AC409">
        <v>934</v>
      </c>
      <c r="AD409">
        <v>1097</v>
      </c>
      <c r="AE409">
        <v>1761</v>
      </c>
      <c r="AF409">
        <v>1</v>
      </c>
      <c r="AG409">
        <v>0</v>
      </c>
      <c r="AH409">
        <v>4.8453688621520996</v>
      </c>
      <c r="AJ409">
        <v>168.96440124511719</v>
      </c>
      <c r="AK409" t="s">
        <v>54</v>
      </c>
      <c r="AL409" t="s">
        <v>54</v>
      </c>
      <c r="AQ409" t="s">
        <v>54</v>
      </c>
      <c r="AW409" t="s">
        <v>53</v>
      </c>
      <c r="AZ409" t="s">
        <v>54</v>
      </c>
      <c r="BA409" t="s">
        <v>2425</v>
      </c>
      <c r="BB409" s="15" t="s">
        <v>676</v>
      </c>
    </row>
    <row r="410" spans="1:54" x14ac:dyDescent="0.25">
      <c r="A410">
        <v>405</v>
      </c>
      <c r="B410" t="s">
        <v>4750</v>
      </c>
      <c r="C410" t="s">
        <v>4751</v>
      </c>
      <c r="D410" t="s">
        <v>4752</v>
      </c>
      <c r="E410">
        <v>3</v>
      </c>
      <c r="F410" t="s">
        <v>3803</v>
      </c>
      <c r="G410" t="s">
        <v>4041</v>
      </c>
      <c r="H410" t="s">
        <v>4161</v>
      </c>
      <c r="I410" t="s">
        <v>4747</v>
      </c>
      <c r="J410" t="s">
        <v>4753</v>
      </c>
      <c r="K410" t="s">
        <v>4754</v>
      </c>
      <c r="L410" t="s">
        <v>4428</v>
      </c>
      <c r="M410">
        <v>5.2292623519897461</v>
      </c>
      <c r="N410" t="s">
        <v>54</v>
      </c>
      <c r="O410" t="s">
        <v>53</v>
      </c>
      <c r="P410" t="s">
        <v>53</v>
      </c>
      <c r="Q410" t="s">
        <v>53</v>
      </c>
      <c r="R410" t="s">
        <v>53</v>
      </c>
      <c r="S410" t="s">
        <v>4667</v>
      </c>
      <c r="T410" t="s">
        <v>4667</v>
      </c>
      <c r="U410" t="s">
        <v>53</v>
      </c>
      <c r="V410" t="s">
        <v>51</v>
      </c>
      <c r="W410">
        <v>288000</v>
      </c>
      <c r="X410" t="s">
        <v>54</v>
      </c>
      <c r="Y410" t="s">
        <v>3819</v>
      </c>
      <c r="Z410">
        <v>28800</v>
      </c>
      <c r="AA410">
        <v>165</v>
      </c>
      <c r="AB410">
        <v>156</v>
      </c>
      <c r="AC410">
        <v>1946</v>
      </c>
      <c r="AD410">
        <v>1109</v>
      </c>
      <c r="AE410">
        <v>2782</v>
      </c>
      <c r="AF410">
        <v>1</v>
      </c>
      <c r="AG410">
        <v>0</v>
      </c>
      <c r="AH410">
        <v>5.6545901298522949</v>
      </c>
      <c r="AJ410">
        <v>265.25750732421881</v>
      </c>
      <c r="AK410" t="s">
        <v>54</v>
      </c>
      <c r="AL410" t="s">
        <v>54</v>
      </c>
      <c r="AQ410" t="s">
        <v>54</v>
      </c>
      <c r="AW410" t="s">
        <v>53</v>
      </c>
      <c r="AZ410" t="s">
        <v>54</v>
      </c>
      <c r="BA410" t="s">
        <v>2425</v>
      </c>
      <c r="BB410" s="15" t="s">
        <v>676</v>
      </c>
    </row>
    <row r="411" spans="1:54" x14ac:dyDescent="0.25">
      <c r="A411">
        <v>406</v>
      </c>
      <c r="B411" t="s">
        <v>4755</v>
      </c>
      <c r="C411" t="s">
        <v>4756</v>
      </c>
      <c r="D411" t="s">
        <v>4757</v>
      </c>
      <c r="E411">
        <v>3</v>
      </c>
      <c r="F411" t="s">
        <v>3803</v>
      </c>
      <c r="G411" t="s">
        <v>4041</v>
      </c>
      <c r="H411" t="s">
        <v>4161</v>
      </c>
      <c r="I411" t="s">
        <v>4664</v>
      </c>
      <c r="J411" t="s">
        <v>4677</v>
      </c>
      <c r="K411" t="s">
        <v>4678</v>
      </c>
      <c r="L411" t="s">
        <v>4428</v>
      </c>
      <c r="M411">
        <v>2.1903412342071529</v>
      </c>
      <c r="N411" t="s">
        <v>54</v>
      </c>
      <c r="O411" t="s">
        <v>53</v>
      </c>
      <c r="P411" t="s">
        <v>53</v>
      </c>
      <c r="Q411" t="s">
        <v>53</v>
      </c>
      <c r="R411" t="s">
        <v>53</v>
      </c>
      <c r="S411" t="s">
        <v>4667</v>
      </c>
      <c r="T411" t="s">
        <v>4667</v>
      </c>
      <c r="U411" t="s">
        <v>53</v>
      </c>
      <c r="V411" t="s">
        <v>51</v>
      </c>
      <c r="W411">
        <v>299000</v>
      </c>
      <c r="X411" t="s">
        <v>54</v>
      </c>
      <c r="Y411" t="s">
        <v>3819</v>
      </c>
      <c r="Z411">
        <v>29900</v>
      </c>
      <c r="AA411">
        <v>30</v>
      </c>
      <c r="AB411">
        <v>29</v>
      </c>
      <c r="AC411">
        <v>26</v>
      </c>
      <c r="AD411">
        <v>112</v>
      </c>
      <c r="AE411">
        <v>112</v>
      </c>
      <c r="AF411">
        <v>0</v>
      </c>
      <c r="AG411">
        <v>3</v>
      </c>
      <c r="AH411">
        <v>0.95970332622528076</v>
      </c>
      <c r="AJ411">
        <v>10.39986991882324</v>
      </c>
      <c r="AK411" t="s">
        <v>54</v>
      </c>
      <c r="AL411" t="s">
        <v>54</v>
      </c>
      <c r="AQ411" t="s">
        <v>54</v>
      </c>
      <c r="AW411" t="s">
        <v>53</v>
      </c>
      <c r="AZ411" t="s">
        <v>54</v>
      </c>
      <c r="BA411" t="s">
        <v>2425</v>
      </c>
      <c r="BB411" s="15" t="s">
        <v>676</v>
      </c>
    </row>
    <row r="412" spans="1:54" x14ac:dyDescent="0.25">
      <c r="A412">
        <v>407</v>
      </c>
      <c r="B412" t="s">
        <v>4758</v>
      </c>
      <c r="C412" t="s">
        <v>4759</v>
      </c>
      <c r="D412" t="s">
        <v>4760</v>
      </c>
      <c r="E412">
        <v>3</v>
      </c>
      <c r="F412" t="s">
        <v>3803</v>
      </c>
      <c r="G412" t="s">
        <v>4041</v>
      </c>
      <c r="H412" t="s">
        <v>4161</v>
      </c>
      <c r="I412" t="s">
        <v>4664</v>
      </c>
      <c r="J412" t="s">
        <v>4691</v>
      </c>
      <c r="K412" t="s">
        <v>4692</v>
      </c>
      <c r="L412" t="s">
        <v>4428</v>
      </c>
      <c r="M412">
        <v>11.651227951049799</v>
      </c>
      <c r="N412" t="s">
        <v>54</v>
      </c>
      <c r="O412" t="s">
        <v>53</v>
      </c>
      <c r="P412" t="s">
        <v>53</v>
      </c>
      <c r="Q412" t="s">
        <v>53</v>
      </c>
      <c r="R412" t="s">
        <v>53</v>
      </c>
      <c r="S412" t="s">
        <v>4667</v>
      </c>
      <c r="T412" t="s">
        <v>4667</v>
      </c>
      <c r="U412" t="s">
        <v>53</v>
      </c>
      <c r="V412" t="s">
        <v>51</v>
      </c>
      <c r="W412">
        <v>938000</v>
      </c>
      <c r="X412" t="s">
        <v>54</v>
      </c>
      <c r="Y412" t="s">
        <v>3819</v>
      </c>
      <c r="Z412">
        <v>93800</v>
      </c>
      <c r="AA412">
        <v>10</v>
      </c>
      <c r="AB412">
        <v>8</v>
      </c>
      <c r="AC412">
        <v>8</v>
      </c>
      <c r="AD412">
        <v>25</v>
      </c>
      <c r="AE412">
        <v>27</v>
      </c>
      <c r="AF412">
        <v>0</v>
      </c>
      <c r="AG412">
        <v>2</v>
      </c>
      <c r="AH412">
        <v>1.211545944213867</v>
      </c>
      <c r="AJ412">
        <v>61.319889068603523</v>
      </c>
      <c r="AK412" t="s">
        <v>54</v>
      </c>
      <c r="AL412" t="s">
        <v>54</v>
      </c>
      <c r="AQ412" t="s">
        <v>54</v>
      </c>
      <c r="AW412" t="s">
        <v>53</v>
      </c>
      <c r="AZ412" t="s">
        <v>54</v>
      </c>
      <c r="BA412" t="s">
        <v>2425</v>
      </c>
      <c r="BB412" s="15" t="s">
        <v>676</v>
      </c>
    </row>
    <row r="413" spans="1:54" x14ac:dyDescent="0.25">
      <c r="A413">
        <v>408</v>
      </c>
      <c r="B413" t="s">
        <v>4761</v>
      </c>
      <c r="C413" t="s">
        <v>4762</v>
      </c>
      <c r="D413" t="s">
        <v>4763</v>
      </c>
      <c r="E413">
        <v>3</v>
      </c>
      <c r="F413" t="s">
        <v>3803</v>
      </c>
      <c r="G413" t="s">
        <v>4041</v>
      </c>
      <c r="H413" t="s">
        <v>4161</v>
      </c>
      <c r="I413" t="s">
        <v>4747</v>
      </c>
      <c r="J413" t="s">
        <v>4764</v>
      </c>
      <c r="K413" t="s">
        <v>4765</v>
      </c>
      <c r="L413" t="s">
        <v>4428</v>
      </c>
      <c r="M413">
        <v>7.9236183166503906</v>
      </c>
      <c r="N413" t="s">
        <v>54</v>
      </c>
      <c r="O413" t="s">
        <v>53</v>
      </c>
      <c r="P413" t="s">
        <v>53</v>
      </c>
      <c r="Q413" t="s">
        <v>53</v>
      </c>
      <c r="R413" t="s">
        <v>53</v>
      </c>
      <c r="S413" t="s">
        <v>4667</v>
      </c>
      <c r="T413" t="s">
        <v>4667</v>
      </c>
      <c r="U413" t="s">
        <v>53</v>
      </c>
      <c r="V413" t="s">
        <v>51</v>
      </c>
      <c r="W413">
        <v>307000</v>
      </c>
      <c r="X413" t="s">
        <v>54</v>
      </c>
      <c r="Y413" t="s">
        <v>3819</v>
      </c>
      <c r="Z413">
        <v>30700</v>
      </c>
      <c r="AA413">
        <v>32</v>
      </c>
      <c r="AB413">
        <v>19</v>
      </c>
      <c r="AC413">
        <v>189</v>
      </c>
      <c r="AD413">
        <v>532</v>
      </c>
      <c r="AE413">
        <v>599</v>
      </c>
      <c r="AF413">
        <v>0</v>
      </c>
      <c r="AG413">
        <v>4</v>
      </c>
      <c r="AH413">
        <v>6.2835578918457031</v>
      </c>
      <c r="AJ413">
        <v>197.25230407714841</v>
      </c>
      <c r="AK413" t="s">
        <v>54</v>
      </c>
      <c r="AL413" t="s">
        <v>54</v>
      </c>
      <c r="AQ413" t="s">
        <v>54</v>
      </c>
      <c r="AW413" t="s">
        <v>54</v>
      </c>
      <c r="AZ413" t="s">
        <v>54</v>
      </c>
      <c r="BA413" t="s">
        <v>2425</v>
      </c>
      <c r="BB413" s="15" t="s">
        <v>676</v>
      </c>
    </row>
    <row r="414" spans="1:54" x14ac:dyDescent="0.25">
      <c r="A414">
        <v>409</v>
      </c>
      <c r="B414" t="s">
        <v>4766</v>
      </c>
      <c r="C414" t="s">
        <v>4767</v>
      </c>
      <c r="D414" t="s">
        <v>4768</v>
      </c>
      <c r="E414">
        <v>3</v>
      </c>
      <c r="F414" t="s">
        <v>3803</v>
      </c>
      <c r="G414" t="s">
        <v>4041</v>
      </c>
      <c r="H414" t="s">
        <v>4161</v>
      </c>
      <c r="I414" t="s">
        <v>4664</v>
      </c>
      <c r="J414" t="s">
        <v>4677</v>
      </c>
      <c r="K414" t="s">
        <v>4678</v>
      </c>
      <c r="L414" t="s">
        <v>4428</v>
      </c>
      <c r="M414">
        <v>5.5880069732666016</v>
      </c>
      <c r="N414" t="s">
        <v>54</v>
      </c>
      <c r="O414" t="s">
        <v>53</v>
      </c>
      <c r="P414" t="s">
        <v>53</v>
      </c>
      <c r="Q414" t="s">
        <v>53</v>
      </c>
      <c r="R414" t="s">
        <v>53</v>
      </c>
      <c r="S414" t="s">
        <v>4667</v>
      </c>
      <c r="T414" t="s">
        <v>4667</v>
      </c>
      <c r="U414" t="s">
        <v>53</v>
      </c>
      <c r="V414" t="s">
        <v>51</v>
      </c>
      <c r="W414">
        <v>250000</v>
      </c>
      <c r="X414" t="s">
        <v>54</v>
      </c>
      <c r="Y414" t="s">
        <v>3819</v>
      </c>
      <c r="Z414">
        <v>25000</v>
      </c>
      <c r="AA414">
        <v>61</v>
      </c>
      <c r="AB414">
        <v>60</v>
      </c>
      <c r="AC414">
        <v>89</v>
      </c>
      <c r="AD414">
        <v>344</v>
      </c>
      <c r="AE414">
        <v>350</v>
      </c>
      <c r="AF414">
        <v>1</v>
      </c>
      <c r="AG414">
        <v>5</v>
      </c>
      <c r="AH414">
        <v>2.7339930534362789</v>
      </c>
      <c r="AJ414">
        <v>16.428060531616211</v>
      </c>
      <c r="AK414" t="s">
        <v>54</v>
      </c>
      <c r="AL414" t="s">
        <v>54</v>
      </c>
      <c r="AQ414" t="s">
        <v>54</v>
      </c>
      <c r="AW414" t="s">
        <v>53</v>
      </c>
      <c r="AZ414" t="s">
        <v>54</v>
      </c>
      <c r="BA414" t="s">
        <v>2425</v>
      </c>
      <c r="BB414" s="15" t="s">
        <v>676</v>
      </c>
    </row>
    <row r="415" spans="1:54" x14ac:dyDescent="0.25">
      <c r="A415">
        <v>410</v>
      </c>
      <c r="B415" t="s">
        <v>4769</v>
      </c>
      <c r="C415" t="s">
        <v>4770</v>
      </c>
      <c r="D415" t="s">
        <v>4771</v>
      </c>
      <c r="E415">
        <v>3</v>
      </c>
      <c r="F415" t="s">
        <v>3803</v>
      </c>
      <c r="G415" t="s">
        <v>4041</v>
      </c>
      <c r="H415" t="s">
        <v>4161</v>
      </c>
      <c r="I415" t="s">
        <v>4671</v>
      </c>
      <c r="J415" t="s">
        <v>4672</v>
      </c>
      <c r="K415" t="s">
        <v>4673</v>
      </c>
      <c r="L415" t="s">
        <v>4428</v>
      </c>
      <c r="M415">
        <v>21.138055801391602</v>
      </c>
      <c r="N415" t="s">
        <v>54</v>
      </c>
      <c r="O415" t="s">
        <v>53</v>
      </c>
      <c r="P415" t="s">
        <v>53</v>
      </c>
      <c r="Q415" t="s">
        <v>53</v>
      </c>
      <c r="R415" t="s">
        <v>53</v>
      </c>
      <c r="S415" t="s">
        <v>4667</v>
      </c>
      <c r="T415" t="s">
        <v>4667</v>
      </c>
      <c r="U415" t="s">
        <v>53</v>
      </c>
      <c r="V415" t="s">
        <v>51</v>
      </c>
      <c r="W415">
        <v>250000</v>
      </c>
      <c r="X415" t="s">
        <v>54</v>
      </c>
      <c r="Y415" t="s">
        <v>3819</v>
      </c>
      <c r="Z415">
        <v>25000</v>
      </c>
      <c r="AA415">
        <v>405</v>
      </c>
      <c r="AB415">
        <v>360</v>
      </c>
      <c r="AC415">
        <v>2595</v>
      </c>
      <c r="AD415">
        <v>2024</v>
      </c>
      <c r="AE415">
        <v>4090</v>
      </c>
      <c r="AF415">
        <v>8</v>
      </c>
      <c r="AG415">
        <v>16</v>
      </c>
      <c r="AH415">
        <v>12.718770027160639</v>
      </c>
      <c r="AJ415">
        <v>56.065700531005859</v>
      </c>
      <c r="AK415" t="s">
        <v>54</v>
      </c>
      <c r="AL415" t="s">
        <v>54</v>
      </c>
      <c r="AQ415" t="s">
        <v>54</v>
      </c>
      <c r="AW415" t="s">
        <v>54</v>
      </c>
      <c r="AZ415" t="s">
        <v>54</v>
      </c>
      <c r="BA415" t="s">
        <v>2425</v>
      </c>
      <c r="BB415" s="15" t="s">
        <v>676</v>
      </c>
    </row>
    <row r="416" spans="1:54" x14ac:dyDescent="0.25">
      <c r="A416">
        <v>411</v>
      </c>
      <c r="B416" t="s">
        <v>4772</v>
      </c>
      <c r="C416" t="s">
        <v>4773</v>
      </c>
      <c r="D416" t="s">
        <v>4774</v>
      </c>
      <c r="E416">
        <v>3</v>
      </c>
      <c r="F416" t="s">
        <v>3803</v>
      </c>
      <c r="G416" t="s">
        <v>4041</v>
      </c>
      <c r="H416" t="s">
        <v>4161</v>
      </c>
      <c r="I416" t="s">
        <v>4664</v>
      </c>
      <c r="J416" t="s">
        <v>4711</v>
      </c>
      <c r="K416" t="s">
        <v>4712</v>
      </c>
      <c r="L416" t="s">
        <v>4428</v>
      </c>
      <c r="M416">
        <v>3.8361272811889648</v>
      </c>
      <c r="N416" t="s">
        <v>54</v>
      </c>
      <c r="O416" t="s">
        <v>53</v>
      </c>
      <c r="P416" t="s">
        <v>53</v>
      </c>
      <c r="Q416" t="s">
        <v>53</v>
      </c>
      <c r="R416" t="s">
        <v>53</v>
      </c>
      <c r="S416" t="s">
        <v>4667</v>
      </c>
      <c r="T416" t="s">
        <v>4667</v>
      </c>
      <c r="U416" t="s">
        <v>53</v>
      </c>
      <c r="V416" t="s">
        <v>51</v>
      </c>
      <c r="W416">
        <v>250000</v>
      </c>
      <c r="X416" t="s">
        <v>54</v>
      </c>
      <c r="Y416" t="s">
        <v>3819</v>
      </c>
      <c r="Z416">
        <v>25000</v>
      </c>
      <c r="AA416">
        <v>18</v>
      </c>
      <c r="AB416">
        <v>7</v>
      </c>
      <c r="AC416">
        <v>1100</v>
      </c>
      <c r="AD416">
        <v>8</v>
      </c>
      <c r="AE416">
        <v>1107</v>
      </c>
      <c r="AF416">
        <v>2</v>
      </c>
      <c r="AG416">
        <v>0</v>
      </c>
      <c r="AH416">
        <v>3.3714649677276611</v>
      </c>
      <c r="AJ416">
        <v>160.7330017089844</v>
      </c>
      <c r="AK416" t="s">
        <v>54</v>
      </c>
      <c r="AL416" t="s">
        <v>54</v>
      </c>
      <c r="AQ416" t="s">
        <v>54</v>
      </c>
      <c r="AW416" t="s">
        <v>53</v>
      </c>
      <c r="AZ416" t="s">
        <v>54</v>
      </c>
      <c r="BA416" t="s">
        <v>2425</v>
      </c>
      <c r="BB416" s="15" t="s">
        <v>676</v>
      </c>
    </row>
    <row r="417" spans="1:54" x14ac:dyDescent="0.25">
      <c r="A417">
        <v>412</v>
      </c>
      <c r="B417" t="s">
        <v>4775</v>
      </c>
      <c r="C417" t="s">
        <v>4776</v>
      </c>
      <c r="D417" t="s">
        <v>4777</v>
      </c>
      <c r="E417">
        <v>3</v>
      </c>
      <c r="F417" t="s">
        <v>3803</v>
      </c>
      <c r="G417" t="s">
        <v>4041</v>
      </c>
      <c r="H417" t="s">
        <v>4161</v>
      </c>
      <c r="I417" t="s">
        <v>4682</v>
      </c>
      <c r="J417" t="s">
        <v>4701</v>
      </c>
      <c r="K417" t="s">
        <v>4702</v>
      </c>
      <c r="L417" t="s">
        <v>4428</v>
      </c>
      <c r="M417">
        <v>2.8357384204864502</v>
      </c>
      <c r="N417" t="s">
        <v>54</v>
      </c>
      <c r="O417" t="s">
        <v>53</v>
      </c>
      <c r="P417" t="s">
        <v>53</v>
      </c>
      <c r="Q417" t="s">
        <v>53</v>
      </c>
      <c r="R417" t="s">
        <v>53</v>
      </c>
      <c r="S417" t="s">
        <v>4667</v>
      </c>
      <c r="T417" t="s">
        <v>4667</v>
      </c>
      <c r="U417" t="s">
        <v>53</v>
      </c>
      <c r="V417" t="s">
        <v>51</v>
      </c>
      <c r="W417">
        <v>250000</v>
      </c>
      <c r="X417" t="s">
        <v>54</v>
      </c>
      <c r="Y417" t="s">
        <v>3819</v>
      </c>
      <c r="Z417">
        <v>25000</v>
      </c>
      <c r="AA417">
        <v>1</v>
      </c>
      <c r="AB417">
        <v>0</v>
      </c>
      <c r="AC417">
        <v>0</v>
      </c>
      <c r="AD417">
        <v>0</v>
      </c>
      <c r="AE417">
        <v>0</v>
      </c>
      <c r="AF417">
        <v>0</v>
      </c>
      <c r="AG417">
        <v>1</v>
      </c>
      <c r="AH417">
        <v>0.18863590061664581</v>
      </c>
      <c r="AJ417">
        <v>7.3821249008178711</v>
      </c>
      <c r="AK417" t="s">
        <v>54</v>
      </c>
      <c r="AL417" t="s">
        <v>54</v>
      </c>
      <c r="AQ417" t="s">
        <v>54</v>
      </c>
      <c r="AW417" t="s">
        <v>53</v>
      </c>
      <c r="AZ417" t="s">
        <v>54</v>
      </c>
      <c r="BA417" t="s">
        <v>2425</v>
      </c>
      <c r="BB417" s="15" t="s">
        <v>676</v>
      </c>
    </row>
    <row r="418" spans="1:54" x14ac:dyDescent="0.25">
      <c r="A418">
        <v>413</v>
      </c>
      <c r="B418" t="s">
        <v>4778</v>
      </c>
      <c r="C418" t="s">
        <v>4779</v>
      </c>
      <c r="D418" t="s">
        <v>4780</v>
      </c>
      <c r="E418">
        <v>3</v>
      </c>
      <c r="F418" t="s">
        <v>3803</v>
      </c>
      <c r="G418" t="s">
        <v>3828</v>
      </c>
      <c r="H418" t="s">
        <v>3829</v>
      </c>
      <c r="I418" t="s">
        <v>3830</v>
      </c>
      <c r="J418" t="s">
        <v>4701</v>
      </c>
      <c r="K418" t="s">
        <v>4702</v>
      </c>
      <c r="L418" t="s">
        <v>4781</v>
      </c>
      <c r="M418">
        <v>883.18670654296875</v>
      </c>
      <c r="N418" t="s">
        <v>54</v>
      </c>
      <c r="O418" t="s">
        <v>53</v>
      </c>
      <c r="P418" t="s">
        <v>53</v>
      </c>
      <c r="Q418" t="s">
        <v>53</v>
      </c>
      <c r="R418" t="s">
        <v>53</v>
      </c>
      <c r="S418" t="s">
        <v>3831</v>
      </c>
      <c r="T418" t="s">
        <v>3831</v>
      </c>
      <c r="U418" t="s">
        <v>53</v>
      </c>
      <c r="V418" t="s">
        <v>162</v>
      </c>
      <c r="W418">
        <v>500000</v>
      </c>
      <c r="X418" t="s">
        <v>54</v>
      </c>
      <c r="Y418" t="s">
        <v>3819</v>
      </c>
      <c r="Z418">
        <v>50000</v>
      </c>
      <c r="AA418">
        <v>2842</v>
      </c>
      <c r="AB418">
        <v>2401</v>
      </c>
      <c r="AC418">
        <v>11593</v>
      </c>
      <c r="AD418">
        <v>7641</v>
      </c>
      <c r="AE418">
        <v>17576</v>
      </c>
      <c r="AF418">
        <v>26</v>
      </c>
      <c r="AG418">
        <v>55</v>
      </c>
      <c r="AH418">
        <v>145.78169250488281</v>
      </c>
      <c r="AJ418">
        <v>34153.609375</v>
      </c>
      <c r="AK418" t="s">
        <v>53</v>
      </c>
      <c r="AL418" t="s">
        <v>54</v>
      </c>
      <c r="AQ418" t="s">
        <v>54</v>
      </c>
      <c r="AW418" t="s">
        <v>54</v>
      </c>
      <c r="AZ418" t="s">
        <v>54</v>
      </c>
      <c r="BA418" t="s">
        <v>2425</v>
      </c>
      <c r="BB418" s="15" t="s">
        <v>676</v>
      </c>
    </row>
    <row r="419" spans="1:54" x14ac:dyDescent="0.25">
      <c r="A419">
        <v>414</v>
      </c>
      <c r="B419" t="s">
        <v>4782</v>
      </c>
      <c r="C419" t="s">
        <v>4783</v>
      </c>
      <c r="D419" t="s">
        <v>4784</v>
      </c>
      <c r="E419">
        <v>3</v>
      </c>
      <c r="F419" t="s">
        <v>3803</v>
      </c>
      <c r="G419" t="s">
        <v>3897</v>
      </c>
      <c r="H419" t="s">
        <v>3898</v>
      </c>
      <c r="I419" t="s">
        <v>3899</v>
      </c>
      <c r="J419" t="s">
        <v>4701</v>
      </c>
      <c r="K419" t="s">
        <v>3900</v>
      </c>
      <c r="L419" t="s">
        <v>4785</v>
      </c>
      <c r="M419">
        <v>1231.7548828125</v>
      </c>
      <c r="N419" t="s">
        <v>54</v>
      </c>
      <c r="O419" t="s">
        <v>53</v>
      </c>
      <c r="P419" t="s">
        <v>53</v>
      </c>
      <c r="Q419" t="s">
        <v>53</v>
      </c>
      <c r="R419" t="s">
        <v>53</v>
      </c>
      <c r="S419" t="s">
        <v>3901</v>
      </c>
      <c r="T419" t="s">
        <v>3901</v>
      </c>
      <c r="U419" t="s">
        <v>53</v>
      </c>
      <c r="V419" t="s">
        <v>162</v>
      </c>
      <c r="W419">
        <v>1000000</v>
      </c>
      <c r="X419" t="s">
        <v>54</v>
      </c>
      <c r="Y419" t="s">
        <v>3819</v>
      </c>
      <c r="Z419">
        <v>100000</v>
      </c>
      <c r="AA419">
        <v>737</v>
      </c>
      <c r="AB419">
        <v>440</v>
      </c>
      <c r="AC419">
        <v>268</v>
      </c>
      <c r="AD419">
        <v>611</v>
      </c>
      <c r="AE419">
        <v>711</v>
      </c>
      <c r="AF419">
        <v>5</v>
      </c>
      <c r="AG419">
        <v>18</v>
      </c>
      <c r="AH419">
        <v>110.1063995361328</v>
      </c>
      <c r="AJ419">
        <v>79761.34375</v>
      </c>
      <c r="AK419" t="s">
        <v>53</v>
      </c>
      <c r="AL419" t="s">
        <v>54</v>
      </c>
      <c r="AQ419" t="s">
        <v>54</v>
      </c>
      <c r="AW419" t="s">
        <v>54</v>
      </c>
      <c r="AZ419" t="s">
        <v>54</v>
      </c>
      <c r="BA419" t="s">
        <v>2425</v>
      </c>
      <c r="BB419" s="15" t="s">
        <v>676</v>
      </c>
    </row>
    <row r="420" spans="1:54" x14ac:dyDescent="0.25">
      <c r="A420">
        <v>415</v>
      </c>
      <c r="B420" t="s">
        <v>4786</v>
      </c>
      <c r="C420" t="s">
        <v>4787</v>
      </c>
      <c r="D420" t="s">
        <v>4788</v>
      </c>
      <c r="E420">
        <v>3</v>
      </c>
      <c r="F420" t="s">
        <v>3803</v>
      </c>
      <c r="G420" t="s">
        <v>3864</v>
      </c>
      <c r="H420" t="s">
        <v>3865</v>
      </c>
      <c r="I420" t="s">
        <v>3866</v>
      </c>
      <c r="J420" t="s">
        <v>4701</v>
      </c>
      <c r="K420" t="s">
        <v>3867</v>
      </c>
      <c r="L420" t="s">
        <v>4789</v>
      </c>
      <c r="M420">
        <v>976.48223876953125</v>
      </c>
      <c r="N420" t="s">
        <v>54</v>
      </c>
      <c r="O420" t="s">
        <v>53</v>
      </c>
      <c r="P420" t="s">
        <v>53</v>
      </c>
      <c r="Q420" t="s">
        <v>53</v>
      </c>
      <c r="R420" t="s">
        <v>53</v>
      </c>
      <c r="S420" t="s">
        <v>3479</v>
      </c>
      <c r="T420" t="s">
        <v>3479</v>
      </c>
      <c r="U420" t="s">
        <v>53</v>
      </c>
      <c r="V420" t="s">
        <v>162</v>
      </c>
      <c r="W420">
        <v>1000000</v>
      </c>
      <c r="X420" t="s">
        <v>54</v>
      </c>
      <c r="Y420" t="s">
        <v>3819</v>
      </c>
      <c r="Z420">
        <v>100000</v>
      </c>
      <c r="AA420">
        <v>436</v>
      </c>
      <c r="AB420">
        <v>376</v>
      </c>
      <c r="AC420">
        <v>160</v>
      </c>
      <c r="AD420">
        <v>514</v>
      </c>
      <c r="AE420">
        <v>541</v>
      </c>
      <c r="AF420">
        <v>5</v>
      </c>
      <c r="AG420">
        <v>1</v>
      </c>
      <c r="AH420">
        <v>42.703140258789063</v>
      </c>
      <c r="AJ420">
        <v>21311.83984375</v>
      </c>
      <c r="AK420" t="s">
        <v>53</v>
      </c>
      <c r="AL420" t="s">
        <v>54</v>
      </c>
      <c r="AQ420" t="s">
        <v>54</v>
      </c>
      <c r="AW420" t="s">
        <v>54</v>
      </c>
      <c r="AZ420" t="s">
        <v>54</v>
      </c>
      <c r="BA420" t="s">
        <v>2425</v>
      </c>
      <c r="BB420" s="15" t="s">
        <v>676</v>
      </c>
    </row>
    <row r="421" spans="1:54" x14ac:dyDescent="0.25">
      <c r="A421">
        <v>416</v>
      </c>
      <c r="B421" t="s">
        <v>4790</v>
      </c>
      <c r="C421" t="s">
        <v>4791</v>
      </c>
      <c r="D421" t="s">
        <v>4792</v>
      </c>
      <c r="E421">
        <v>3</v>
      </c>
      <c r="F421" t="s">
        <v>3803</v>
      </c>
      <c r="G421" t="s">
        <v>3840</v>
      </c>
      <c r="H421" t="s">
        <v>3841</v>
      </c>
      <c r="I421" t="s">
        <v>3842</v>
      </c>
      <c r="J421" t="s">
        <v>4701</v>
      </c>
      <c r="K421" t="s">
        <v>3867</v>
      </c>
      <c r="L421" t="s">
        <v>4033</v>
      </c>
      <c r="M421">
        <v>948.435302734375</v>
      </c>
      <c r="N421" t="s">
        <v>54</v>
      </c>
      <c r="O421" t="s">
        <v>53</v>
      </c>
      <c r="P421" t="s">
        <v>53</v>
      </c>
      <c r="Q421" t="s">
        <v>53</v>
      </c>
      <c r="R421" t="s">
        <v>53</v>
      </c>
      <c r="S421" t="s">
        <v>3843</v>
      </c>
      <c r="T421" t="s">
        <v>3843</v>
      </c>
      <c r="U421" t="s">
        <v>53</v>
      </c>
      <c r="V421" t="s">
        <v>1973</v>
      </c>
      <c r="W421">
        <v>2000000</v>
      </c>
      <c r="X421" t="s">
        <v>54</v>
      </c>
      <c r="Y421" t="s">
        <v>3819</v>
      </c>
      <c r="Z421">
        <v>200000</v>
      </c>
      <c r="AA421">
        <v>4675</v>
      </c>
      <c r="AB421">
        <v>3634</v>
      </c>
      <c r="AC421">
        <v>6148</v>
      </c>
      <c r="AD421">
        <v>15904</v>
      </c>
      <c r="AE421">
        <v>18656</v>
      </c>
      <c r="AF421">
        <v>89</v>
      </c>
      <c r="AG421">
        <v>97</v>
      </c>
      <c r="AH421">
        <v>245.06779479980469</v>
      </c>
      <c r="AJ421">
        <v>53344.359375</v>
      </c>
      <c r="AK421" t="s">
        <v>53</v>
      </c>
      <c r="AL421" t="s">
        <v>54</v>
      </c>
      <c r="AQ421" t="s">
        <v>54</v>
      </c>
      <c r="AW421" t="s">
        <v>54</v>
      </c>
      <c r="AZ421" t="s">
        <v>54</v>
      </c>
      <c r="BA421" t="s">
        <v>2425</v>
      </c>
      <c r="BB421" s="15" t="s">
        <v>676</v>
      </c>
    </row>
    <row r="422" spans="1:54" x14ac:dyDescent="0.25">
      <c r="A422">
        <v>417</v>
      </c>
      <c r="B422" t="s">
        <v>4793</v>
      </c>
      <c r="C422" t="s">
        <v>4794</v>
      </c>
      <c r="D422" t="s">
        <v>4795</v>
      </c>
      <c r="E422">
        <v>3</v>
      </c>
      <c r="F422" t="s">
        <v>3803</v>
      </c>
      <c r="G422" t="s">
        <v>4796</v>
      </c>
      <c r="H422" t="s">
        <v>4797</v>
      </c>
      <c r="I422" t="s">
        <v>4798</v>
      </c>
      <c r="J422" t="s">
        <v>4799</v>
      </c>
      <c r="K422" t="s">
        <v>4800</v>
      </c>
      <c r="L422" t="s">
        <v>4428</v>
      </c>
      <c r="M422">
        <v>71.839645385742188</v>
      </c>
      <c r="N422" t="s">
        <v>54</v>
      </c>
      <c r="O422" t="s">
        <v>53</v>
      </c>
      <c r="P422" t="s">
        <v>53</v>
      </c>
      <c r="Q422" t="s">
        <v>53</v>
      </c>
      <c r="R422" t="s">
        <v>53</v>
      </c>
      <c r="S422" t="s">
        <v>4801</v>
      </c>
      <c r="T422" t="s">
        <v>4801</v>
      </c>
      <c r="U422" t="s">
        <v>53</v>
      </c>
      <c r="V422" t="s">
        <v>138</v>
      </c>
      <c r="W422">
        <v>250000</v>
      </c>
      <c r="X422" t="s">
        <v>54</v>
      </c>
      <c r="Y422" t="s">
        <v>3819</v>
      </c>
      <c r="Z422">
        <v>25000</v>
      </c>
      <c r="AA422">
        <v>381</v>
      </c>
      <c r="AB422">
        <v>326</v>
      </c>
      <c r="AC422">
        <v>4128</v>
      </c>
      <c r="AD422">
        <v>1812</v>
      </c>
      <c r="AE422">
        <v>5528</v>
      </c>
      <c r="AF422">
        <v>9</v>
      </c>
      <c r="AG422">
        <v>24</v>
      </c>
      <c r="AH422">
        <v>18.438430786132809</v>
      </c>
      <c r="AJ422">
        <v>695.4033203125</v>
      </c>
      <c r="AK422" t="s">
        <v>54</v>
      </c>
      <c r="AL422" t="s">
        <v>54</v>
      </c>
      <c r="AQ422" t="s">
        <v>54</v>
      </c>
      <c r="AW422" t="s">
        <v>54</v>
      </c>
      <c r="AZ422" t="s">
        <v>54</v>
      </c>
      <c r="BA422" t="s">
        <v>2425</v>
      </c>
      <c r="BB422" s="15" t="s">
        <v>676</v>
      </c>
    </row>
    <row r="423" spans="1:54" x14ac:dyDescent="0.25">
      <c r="A423">
        <v>418</v>
      </c>
      <c r="B423" t="s">
        <v>4802</v>
      </c>
      <c r="C423" t="s">
        <v>4803</v>
      </c>
      <c r="D423" t="s">
        <v>4803</v>
      </c>
      <c r="E423">
        <v>3</v>
      </c>
      <c r="F423" t="s">
        <v>3803</v>
      </c>
      <c r="G423" t="s">
        <v>3858</v>
      </c>
      <c r="H423" t="s">
        <v>4804</v>
      </c>
      <c r="I423" t="s">
        <v>4805</v>
      </c>
      <c r="J423" t="s">
        <v>4806</v>
      </c>
      <c r="K423" t="s">
        <v>4807</v>
      </c>
      <c r="L423" t="s">
        <v>3809</v>
      </c>
      <c r="M423">
        <v>8.8454761505126953</v>
      </c>
      <c r="N423" t="s">
        <v>54</v>
      </c>
      <c r="O423" t="s">
        <v>53</v>
      </c>
      <c r="P423" t="s">
        <v>53</v>
      </c>
      <c r="Q423" t="s">
        <v>53</v>
      </c>
      <c r="R423" t="s">
        <v>53</v>
      </c>
      <c r="S423" t="s">
        <v>4808</v>
      </c>
      <c r="T423" t="s">
        <v>4808</v>
      </c>
      <c r="U423" t="s">
        <v>53</v>
      </c>
      <c r="V423" t="s">
        <v>51</v>
      </c>
      <c r="W423">
        <v>200000</v>
      </c>
      <c r="X423" t="s">
        <v>54</v>
      </c>
      <c r="Y423" t="s">
        <v>3819</v>
      </c>
      <c r="Z423">
        <v>20000</v>
      </c>
      <c r="AA423">
        <v>41</v>
      </c>
      <c r="AB423">
        <v>36</v>
      </c>
      <c r="AC423">
        <v>28</v>
      </c>
      <c r="AD423">
        <v>59</v>
      </c>
      <c r="AE423">
        <v>64</v>
      </c>
      <c r="AF423">
        <v>1</v>
      </c>
      <c r="AG423">
        <v>0</v>
      </c>
      <c r="AH423">
        <v>2.4177310466766362</v>
      </c>
      <c r="AJ423">
        <v>411.4989013671875</v>
      </c>
      <c r="AK423" t="s">
        <v>54</v>
      </c>
      <c r="AL423" t="s">
        <v>54</v>
      </c>
      <c r="AQ423" t="s">
        <v>54</v>
      </c>
      <c r="AW423" t="s">
        <v>53</v>
      </c>
      <c r="AZ423" t="s">
        <v>54</v>
      </c>
      <c r="BA423" t="s">
        <v>2425</v>
      </c>
      <c r="BB423" s="15" t="s">
        <v>676</v>
      </c>
    </row>
    <row r="424" spans="1:54" x14ac:dyDescent="0.25">
      <c r="A424">
        <v>419</v>
      </c>
      <c r="B424" t="s">
        <v>4809</v>
      </c>
      <c r="C424" t="s">
        <v>4810</v>
      </c>
      <c r="D424" t="s">
        <v>4811</v>
      </c>
      <c r="E424">
        <v>3</v>
      </c>
      <c r="F424" t="s">
        <v>3803</v>
      </c>
      <c r="G424" t="s">
        <v>4215</v>
      </c>
      <c r="H424" t="s">
        <v>4161</v>
      </c>
      <c r="I424" t="s">
        <v>4168</v>
      </c>
      <c r="J424" t="s">
        <v>4812</v>
      </c>
      <c r="K424" t="s">
        <v>4813</v>
      </c>
      <c r="L424" t="s">
        <v>4814</v>
      </c>
      <c r="M424">
        <v>4.5061202049255371</v>
      </c>
      <c r="N424" t="s">
        <v>54</v>
      </c>
      <c r="O424" t="s">
        <v>53</v>
      </c>
      <c r="P424" t="s">
        <v>53</v>
      </c>
      <c r="Q424" t="s">
        <v>53</v>
      </c>
      <c r="R424" t="s">
        <v>53</v>
      </c>
      <c r="S424" t="s">
        <v>4815</v>
      </c>
      <c r="T424" t="s">
        <v>4815</v>
      </c>
      <c r="U424" t="s">
        <v>53</v>
      </c>
      <c r="V424" t="s">
        <v>51</v>
      </c>
      <c r="W424">
        <v>150000</v>
      </c>
      <c r="X424" t="s">
        <v>54</v>
      </c>
      <c r="Y424" t="s">
        <v>3819</v>
      </c>
      <c r="Z424">
        <v>15000</v>
      </c>
      <c r="AA424">
        <v>148</v>
      </c>
      <c r="AB424">
        <v>120</v>
      </c>
      <c r="AC424">
        <v>825</v>
      </c>
      <c r="AD424">
        <v>482</v>
      </c>
      <c r="AE424">
        <v>1152</v>
      </c>
      <c r="AF424">
        <v>0</v>
      </c>
      <c r="AG424">
        <v>1</v>
      </c>
      <c r="AH424">
        <v>3.47548508644104</v>
      </c>
      <c r="AJ424">
        <v>3.4830150604248051</v>
      </c>
      <c r="AK424" t="s">
        <v>54</v>
      </c>
      <c r="AL424" t="s">
        <v>54</v>
      </c>
      <c r="AQ424" t="s">
        <v>54</v>
      </c>
      <c r="AW424" t="s">
        <v>53</v>
      </c>
      <c r="AZ424" t="s">
        <v>54</v>
      </c>
      <c r="BA424" t="s">
        <v>2425</v>
      </c>
      <c r="BB424" s="15" t="s">
        <v>676</v>
      </c>
    </row>
    <row r="425" spans="1:54" x14ac:dyDescent="0.25">
      <c r="A425">
        <v>420</v>
      </c>
      <c r="B425" t="s">
        <v>4816</v>
      </c>
      <c r="C425" t="s">
        <v>4817</v>
      </c>
      <c r="D425" t="s">
        <v>4818</v>
      </c>
      <c r="E425">
        <v>3</v>
      </c>
      <c r="F425" t="s">
        <v>3803</v>
      </c>
      <c r="G425" t="s">
        <v>4215</v>
      </c>
      <c r="H425" t="s">
        <v>4161</v>
      </c>
      <c r="I425" t="s">
        <v>4168</v>
      </c>
      <c r="J425" t="s">
        <v>4812</v>
      </c>
      <c r="K425" t="s">
        <v>4813</v>
      </c>
      <c r="L425" t="s">
        <v>4814</v>
      </c>
      <c r="M425">
        <v>4.5061202049255371</v>
      </c>
      <c r="N425" t="s">
        <v>54</v>
      </c>
      <c r="O425" t="s">
        <v>53</v>
      </c>
      <c r="P425" t="s">
        <v>53</v>
      </c>
      <c r="Q425" t="s">
        <v>53</v>
      </c>
      <c r="R425" t="s">
        <v>53</v>
      </c>
      <c r="S425" t="s">
        <v>4815</v>
      </c>
      <c r="T425" t="s">
        <v>4815</v>
      </c>
      <c r="U425" t="s">
        <v>53</v>
      </c>
      <c r="V425" t="s">
        <v>51</v>
      </c>
      <c r="W425">
        <v>150000</v>
      </c>
      <c r="X425" t="s">
        <v>54</v>
      </c>
      <c r="Y425" t="s">
        <v>3819</v>
      </c>
      <c r="Z425">
        <v>15000</v>
      </c>
      <c r="AA425">
        <v>148</v>
      </c>
      <c r="AB425">
        <v>120</v>
      </c>
      <c r="AC425">
        <v>825</v>
      </c>
      <c r="AD425">
        <v>482</v>
      </c>
      <c r="AE425">
        <v>1152</v>
      </c>
      <c r="AF425">
        <v>0</v>
      </c>
      <c r="AG425">
        <v>1</v>
      </c>
      <c r="AH425">
        <v>3.47548508644104</v>
      </c>
      <c r="AJ425">
        <v>3.4830150604248051</v>
      </c>
      <c r="AK425" t="s">
        <v>54</v>
      </c>
      <c r="AL425" t="s">
        <v>54</v>
      </c>
      <c r="AQ425" t="s">
        <v>54</v>
      </c>
      <c r="AW425" t="s">
        <v>53</v>
      </c>
      <c r="AZ425" t="s">
        <v>54</v>
      </c>
      <c r="BA425" t="s">
        <v>2425</v>
      </c>
      <c r="BB425" s="15" t="s">
        <v>676</v>
      </c>
    </row>
    <row r="426" spans="1:54" x14ac:dyDescent="0.25">
      <c r="A426">
        <v>421</v>
      </c>
      <c r="B426" t="s">
        <v>4819</v>
      </c>
      <c r="C426" t="s">
        <v>4820</v>
      </c>
      <c r="D426" t="s">
        <v>4821</v>
      </c>
      <c r="E426">
        <v>3</v>
      </c>
      <c r="F426" t="s">
        <v>3803</v>
      </c>
      <c r="G426" t="s">
        <v>3918</v>
      </c>
      <c r="H426" t="s">
        <v>3919</v>
      </c>
      <c r="I426" t="s">
        <v>3920</v>
      </c>
      <c r="J426" t="s">
        <v>4812</v>
      </c>
      <c r="K426" t="s">
        <v>3921</v>
      </c>
      <c r="L426" t="s">
        <v>4822</v>
      </c>
      <c r="M426">
        <v>730.85394287109375</v>
      </c>
      <c r="N426" t="s">
        <v>54</v>
      </c>
      <c r="O426" t="s">
        <v>53</v>
      </c>
      <c r="P426" t="s">
        <v>53</v>
      </c>
      <c r="Q426" t="s">
        <v>53</v>
      </c>
      <c r="R426" t="s">
        <v>53</v>
      </c>
      <c r="S426" t="s">
        <v>3922</v>
      </c>
      <c r="T426" t="s">
        <v>3922</v>
      </c>
      <c r="U426" t="s">
        <v>53</v>
      </c>
      <c r="V426" t="s">
        <v>51</v>
      </c>
      <c r="W426">
        <v>250000</v>
      </c>
      <c r="X426" t="s">
        <v>53</v>
      </c>
      <c r="Y426" t="s">
        <v>3811</v>
      </c>
      <c r="Z426">
        <v>0</v>
      </c>
      <c r="AA426">
        <v>1851</v>
      </c>
      <c r="AB426">
        <v>1555</v>
      </c>
      <c r="AC426">
        <v>2434</v>
      </c>
      <c r="AD426">
        <v>3610</v>
      </c>
      <c r="AE426">
        <v>4897</v>
      </c>
      <c r="AF426">
        <v>12</v>
      </c>
      <c r="AG426">
        <v>372</v>
      </c>
      <c r="AH426">
        <v>61.676521301269531</v>
      </c>
      <c r="AJ426">
        <v>18202.779296875</v>
      </c>
      <c r="AK426" t="s">
        <v>54</v>
      </c>
      <c r="AL426" t="s">
        <v>54</v>
      </c>
      <c r="AQ426" t="s">
        <v>54</v>
      </c>
      <c r="AW426" t="s">
        <v>54</v>
      </c>
      <c r="AZ426" t="s">
        <v>54</v>
      </c>
      <c r="BA426" t="s">
        <v>2425</v>
      </c>
      <c r="BB426" s="15" t="s">
        <v>676</v>
      </c>
    </row>
    <row r="427" spans="1:54" x14ac:dyDescent="0.25">
      <c r="A427">
        <v>422</v>
      </c>
      <c r="B427" t="s">
        <v>4823</v>
      </c>
      <c r="C427" t="s">
        <v>4824</v>
      </c>
      <c r="D427" t="s">
        <v>4821</v>
      </c>
      <c r="E427">
        <v>3</v>
      </c>
      <c r="F427" t="s">
        <v>3803</v>
      </c>
      <c r="G427" t="s">
        <v>3918</v>
      </c>
      <c r="H427" t="s">
        <v>3919</v>
      </c>
      <c r="I427" t="s">
        <v>3920</v>
      </c>
      <c r="J427" t="s">
        <v>4812</v>
      </c>
      <c r="K427" t="s">
        <v>3921</v>
      </c>
      <c r="L427" t="s">
        <v>4822</v>
      </c>
      <c r="M427">
        <v>730.85394287109375</v>
      </c>
      <c r="N427" t="s">
        <v>54</v>
      </c>
      <c r="O427" t="s">
        <v>53</v>
      </c>
      <c r="P427" t="s">
        <v>53</v>
      </c>
      <c r="Q427" t="s">
        <v>53</v>
      </c>
      <c r="R427" t="s">
        <v>53</v>
      </c>
      <c r="S427" t="s">
        <v>3922</v>
      </c>
      <c r="T427" t="s">
        <v>3922</v>
      </c>
      <c r="U427" t="s">
        <v>53</v>
      </c>
      <c r="V427" t="s">
        <v>51</v>
      </c>
      <c r="W427">
        <v>250000</v>
      </c>
      <c r="X427" t="s">
        <v>53</v>
      </c>
      <c r="Y427" t="s">
        <v>3811</v>
      </c>
      <c r="Z427">
        <v>0</v>
      </c>
      <c r="AA427">
        <v>1851</v>
      </c>
      <c r="AB427">
        <v>1555</v>
      </c>
      <c r="AC427">
        <v>2434</v>
      </c>
      <c r="AD427">
        <v>3610</v>
      </c>
      <c r="AE427">
        <v>4897</v>
      </c>
      <c r="AF427">
        <v>12</v>
      </c>
      <c r="AG427">
        <v>372</v>
      </c>
      <c r="AH427">
        <v>61.676521301269531</v>
      </c>
      <c r="AJ427">
        <v>18202.779296875</v>
      </c>
      <c r="AK427" t="s">
        <v>54</v>
      </c>
      <c r="AL427" t="s">
        <v>54</v>
      </c>
      <c r="AQ427" t="s">
        <v>54</v>
      </c>
      <c r="AW427" t="s">
        <v>54</v>
      </c>
      <c r="AZ427" t="s">
        <v>54</v>
      </c>
      <c r="BA427" t="s">
        <v>2425</v>
      </c>
      <c r="BB427" s="15" t="s">
        <v>676</v>
      </c>
    </row>
    <row r="428" spans="1:54" x14ac:dyDescent="0.25">
      <c r="A428">
        <v>423</v>
      </c>
      <c r="B428" t="s">
        <v>4825</v>
      </c>
      <c r="C428" t="s">
        <v>4826</v>
      </c>
      <c r="D428" t="s">
        <v>4827</v>
      </c>
      <c r="E428">
        <v>3</v>
      </c>
      <c r="F428" t="s">
        <v>3803</v>
      </c>
      <c r="G428" t="s">
        <v>3840</v>
      </c>
      <c r="H428" t="s">
        <v>4116</v>
      </c>
      <c r="I428" t="s">
        <v>4828</v>
      </c>
      <c r="J428" t="s">
        <v>4829</v>
      </c>
      <c r="K428" t="s">
        <v>4830</v>
      </c>
      <c r="L428" t="s">
        <v>4831</v>
      </c>
      <c r="M428">
        <v>2.4753861427307129</v>
      </c>
      <c r="N428" t="s">
        <v>54</v>
      </c>
      <c r="O428" t="s">
        <v>53</v>
      </c>
      <c r="P428" t="s">
        <v>53</v>
      </c>
      <c r="Q428" t="s">
        <v>53</v>
      </c>
      <c r="R428" t="s">
        <v>53</v>
      </c>
      <c r="S428" t="s">
        <v>4832</v>
      </c>
      <c r="T428" t="s">
        <v>4832</v>
      </c>
      <c r="U428" t="s">
        <v>53</v>
      </c>
      <c r="V428" t="s">
        <v>51</v>
      </c>
      <c r="W428">
        <v>100000</v>
      </c>
      <c r="X428" t="s">
        <v>54</v>
      </c>
      <c r="Y428" t="s">
        <v>3819</v>
      </c>
      <c r="Z428">
        <v>10000</v>
      </c>
      <c r="AA428">
        <v>1</v>
      </c>
      <c r="AB428">
        <v>0</v>
      </c>
      <c r="AC428">
        <v>4</v>
      </c>
      <c r="AD428">
        <v>0</v>
      </c>
      <c r="AE428">
        <v>4</v>
      </c>
      <c r="AF428">
        <v>0</v>
      </c>
      <c r="AG428">
        <v>0</v>
      </c>
      <c r="AH428">
        <v>0.46820390224456793</v>
      </c>
      <c r="AJ428">
        <v>23.481979370117191</v>
      </c>
      <c r="AK428" t="s">
        <v>54</v>
      </c>
      <c r="AL428" t="s">
        <v>54</v>
      </c>
      <c r="AQ428" t="s">
        <v>54</v>
      </c>
      <c r="AW428" t="s">
        <v>54</v>
      </c>
      <c r="AZ428" t="s">
        <v>54</v>
      </c>
      <c r="BA428" t="s">
        <v>2425</v>
      </c>
      <c r="BB428" s="15" t="s">
        <v>676</v>
      </c>
    </row>
    <row r="429" spans="1:54" x14ac:dyDescent="0.25">
      <c r="A429">
        <v>424</v>
      </c>
      <c r="B429" t="s">
        <v>4833</v>
      </c>
      <c r="C429" t="s">
        <v>4834</v>
      </c>
      <c r="D429" t="s">
        <v>4835</v>
      </c>
      <c r="E429">
        <v>3</v>
      </c>
      <c r="F429" t="s">
        <v>3803</v>
      </c>
      <c r="G429" t="s">
        <v>3840</v>
      </c>
      <c r="H429" t="s">
        <v>4116</v>
      </c>
      <c r="I429" t="s">
        <v>4828</v>
      </c>
      <c r="J429" t="s">
        <v>4836</v>
      </c>
      <c r="K429" t="s">
        <v>4837</v>
      </c>
      <c r="L429" t="s">
        <v>4831</v>
      </c>
      <c r="M429">
        <v>2.9504163265228271</v>
      </c>
      <c r="N429" t="s">
        <v>54</v>
      </c>
      <c r="O429" t="s">
        <v>53</v>
      </c>
      <c r="P429" t="s">
        <v>53</v>
      </c>
      <c r="Q429" t="s">
        <v>53</v>
      </c>
      <c r="R429" t="s">
        <v>53</v>
      </c>
      <c r="S429" t="s">
        <v>4832</v>
      </c>
      <c r="T429" t="s">
        <v>4832</v>
      </c>
      <c r="U429" t="s">
        <v>53</v>
      </c>
      <c r="V429" t="s">
        <v>51</v>
      </c>
      <c r="W429">
        <v>100000</v>
      </c>
      <c r="X429" t="s">
        <v>54</v>
      </c>
      <c r="Y429" t="s">
        <v>3819</v>
      </c>
      <c r="Z429">
        <v>10000</v>
      </c>
      <c r="AA429">
        <v>7</v>
      </c>
      <c r="AB429">
        <v>7</v>
      </c>
      <c r="AC429">
        <v>7</v>
      </c>
      <c r="AD429">
        <v>26</v>
      </c>
      <c r="AE429">
        <v>26</v>
      </c>
      <c r="AF429">
        <v>1</v>
      </c>
      <c r="AG429">
        <v>0</v>
      </c>
      <c r="AH429">
        <v>0.45168700814247131</v>
      </c>
      <c r="AJ429">
        <v>10.24493980407715</v>
      </c>
      <c r="AK429" t="s">
        <v>54</v>
      </c>
      <c r="AL429" t="s">
        <v>54</v>
      </c>
      <c r="AQ429" t="s">
        <v>54</v>
      </c>
      <c r="AW429" t="s">
        <v>54</v>
      </c>
      <c r="AZ429" t="s">
        <v>54</v>
      </c>
      <c r="BA429" t="s">
        <v>2425</v>
      </c>
      <c r="BB429" s="15" t="s">
        <v>676</v>
      </c>
    </row>
    <row r="430" spans="1:54" x14ac:dyDescent="0.25">
      <c r="A430">
        <v>425</v>
      </c>
      <c r="B430" t="s">
        <v>4838</v>
      </c>
      <c r="C430" t="s">
        <v>4839</v>
      </c>
      <c r="D430" t="s">
        <v>4840</v>
      </c>
      <c r="E430">
        <v>3</v>
      </c>
      <c r="F430" t="s">
        <v>3803</v>
      </c>
      <c r="G430" t="s">
        <v>4308</v>
      </c>
      <c r="H430" t="s">
        <v>4095</v>
      </c>
      <c r="I430" t="s">
        <v>4110</v>
      </c>
      <c r="J430" t="s">
        <v>4841</v>
      </c>
      <c r="K430" t="s">
        <v>4842</v>
      </c>
      <c r="L430" t="s">
        <v>4428</v>
      </c>
      <c r="M430">
        <v>6.0543417930603027</v>
      </c>
      <c r="N430" t="s">
        <v>54</v>
      </c>
      <c r="O430" t="s">
        <v>53</v>
      </c>
      <c r="P430" t="s">
        <v>53</v>
      </c>
      <c r="Q430" t="s">
        <v>53</v>
      </c>
      <c r="R430" t="s">
        <v>53</v>
      </c>
      <c r="S430" t="s">
        <v>4312</v>
      </c>
      <c r="T430" t="s">
        <v>4312</v>
      </c>
      <c r="U430" t="s">
        <v>53</v>
      </c>
      <c r="V430" t="s">
        <v>51</v>
      </c>
      <c r="W430">
        <v>100000</v>
      </c>
      <c r="X430" t="s">
        <v>54</v>
      </c>
      <c r="Y430" t="s">
        <v>3819</v>
      </c>
      <c r="Z430">
        <v>10000</v>
      </c>
      <c r="AA430">
        <v>59</v>
      </c>
      <c r="AB430">
        <v>51</v>
      </c>
      <c r="AC430">
        <v>40</v>
      </c>
      <c r="AD430">
        <v>170</v>
      </c>
      <c r="AE430">
        <v>171</v>
      </c>
      <c r="AF430">
        <v>0</v>
      </c>
      <c r="AG430">
        <v>5</v>
      </c>
      <c r="AH430">
        <v>1.687608957290649</v>
      </c>
      <c r="AJ430">
        <v>211.235595703125</v>
      </c>
      <c r="AK430" t="s">
        <v>54</v>
      </c>
      <c r="AL430" t="s">
        <v>54</v>
      </c>
      <c r="AQ430" t="s">
        <v>54</v>
      </c>
      <c r="AW430" t="s">
        <v>54</v>
      </c>
      <c r="AZ430" t="s">
        <v>54</v>
      </c>
      <c r="BA430" t="s">
        <v>2425</v>
      </c>
      <c r="BB430" s="15" t="s">
        <v>676</v>
      </c>
    </row>
    <row r="431" spans="1:54" x14ac:dyDescent="0.25">
      <c r="A431">
        <v>426</v>
      </c>
      <c r="B431" t="s">
        <v>4843</v>
      </c>
      <c r="C431" t="s">
        <v>4844</v>
      </c>
      <c r="D431" t="s">
        <v>4845</v>
      </c>
      <c r="E431">
        <v>3</v>
      </c>
      <c r="F431" t="s">
        <v>3803</v>
      </c>
      <c r="G431" t="s">
        <v>4308</v>
      </c>
      <c r="H431" t="s">
        <v>4095</v>
      </c>
      <c r="I431" t="s">
        <v>4110</v>
      </c>
      <c r="J431" t="s">
        <v>4841</v>
      </c>
      <c r="K431" t="s">
        <v>4842</v>
      </c>
      <c r="L431" t="s">
        <v>4428</v>
      </c>
      <c r="M431">
        <v>6.0543417930603027</v>
      </c>
      <c r="N431" t="s">
        <v>54</v>
      </c>
      <c r="O431" t="s">
        <v>53</v>
      </c>
      <c r="P431" t="s">
        <v>53</v>
      </c>
      <c r="Q431" t="s">
        <v>53</v>
      </c>
      <c r="R431" t="s">
        <v>53</v>
      </c>
      <c r="S431" t="s">
        <v>4312</v>
      </c>
      <c r="T431" t="s">
        <v>4312</v>
      </c>
      <c r="U431" t="s">
        <v>53</v>
      </c>
      <c r="V431" t="s">
        <v>51</v>
      </c>
      <c r="W431">
        <v>100000</v>
      </c>
      <c r="X431" t="s">
        <v>54</v>
      </c>
      <c r="Y431" t="s">
        <v>3819</v>
      </c>
      <c r="Z431">
        <v>10000</v>
      </c>
      <c r="AA431">
        <v>59</v>
      </c>
      <c r="AB431">
        <v>51</v>
      </c>
      <c r="AC431">
        <v>40</v>
      </c>
      <c r="AD431">
        <v>170</v>
      </c>
      <c r="AE431">
        <v>171</v>
      </c>
      <c r="AF431">
        <v>0</v>
      </c>
      <c r="AG431">
        <v>5</v>
      </c>
      <c r="AH431">
        <v>1.687608957290649</v>
      </c>
      <c r="AJ431">
        <v>211.235595703125</v>
      </c>
      <c r="AK431" t="s">
        <v>54</v>
      </c>
      <c r="AL431" t="s">
        <v>54</v>
      </c>
      <c r="AQ431" t="s">
        <v>54</v>
      </c>
      <c r="AW431" t="s">
        <v>54</v>
      </c>
      <c r="AZ431" t="s">
        <v>54</v>
      </c>
      <c r="BA431" t="s">
        <v>2425</v>
      </c>
      <c r="BB431" s="15" t="s">
        <v>678</v>
      </c>
    </row>
    <row r="432" spans="1:54" x14ac:dyDescent="0.25">
      <c r="A432">
        <v>427</v>
      </c>
      <c r="B432" t="s">
        <v>4846</v>
      </c>
      <c r="C432" t="s">
        <v>4847</v>
      </c>
      <c r="D432" t="s">
        <v>4848</v>
      </c>
      <c r="E432">
        <v>3</v>
      </c>
      <c r="F432" t="s">
        <v>3803</v>
      </c>
      <c r="G432" t="s">
        <v>4041</v>
      </c>
      <c r="H432" t="s">
        <v>4161</v>
      </c>
      <c r="I432" t="s">
        <v>4671</v>
      </c>
      <c r="J432" t="s">
        <v>4672</v>
      </c>
      <c r="K432" t="s">
        <v>4673</v>
      </c>
      <c r="L432" t="s">
        <v>4428</v>
      </c>
      <c r="M432">
        <v>20.948568344116211</v>
      </c>
      <c r="N432" t="s">
        <v>54</v>
      </c>
      <c r="O432" t="s">
        <v>53</v>
      </c>
      <c r="P432" t="s">
        <v>53</v>
      </c>
      <c r="Q432" t="s">
        <v>53</v>
      </c>
      <c r="R432" t="s">
        <v>53</v>
      </c>
      <c r="S432" t="s">
        <v>4667</v>
      </c>
      <c r="T432" t="s">
        <v>4667</v>
      </c>
      <c r="U432" t="s">
        <v>53</v>
      </c>
      <c r="V432" t="s">
        <v>51</v>
      </c>
      <c r="W432">
        <v>250000</v>
      </c>
      <c r="X432" t="s">
        <v>54</v>
      </c>
      <c r="Y432" t="s">
        <v>3819</v>
      </c>
      <c r="Z432">
        <v>25000</v>
      </c>
      <c r="AA432">
        <v>405</v>
      </c>
      <c r="AB432">
        <v>360</v>
      </c>
      <c r="AC432">
        <v>2595</v>
      </c>
      <c r="AD432">
        <v>2024</v>
      </c>
      <c r="AE432">
        <v>4090</v>
      </c>
      <c r="AF432">
        <v>8</v>
      </c>
      <c r="AG432">
        <v>16</v>
      </c>
      <c r="AH432">
        <v>12.705129623413089</v>
      </c>
      <c r="AJ432">
        <v>50.492229461669922</v>
      </c>
      <c r="AK432" t="s">
        <v>54</v>
      </c>
      <c r="AL432" t="s">
        <v>54</v>
      </c>
      <c r="AQ432" t="s">
        <v>54</v>
      </c>
      <c r="AW432" t="s">
        <v>54</v>
      </c>
      <c r="AZ432" t="s">
        <v>54</v>
      </c>
      <c r="BA432" t="s">
        <v>2425</v>
      </c>
      <c r="BB432" s="15" t="s">
        <v>676</v>
      </c>
    </row>
    <row r="433" spans="1:54" x14ac:dyDescent="0.25">
      <c r="A433">
        <v>428</v>
      </c>
      <c r="B433" t="s">
        <v>4849</v>
      </c>
      <c r="C433" t="s">
        <v>4850</v>
      </c>
      <c r="D433" t="s">
        <v>4851</v>
      </c>
      <c r="E433">
        <v>3</v>
      </c>
      <c r="F433" t="s">
        <v>3803</v>
      </c>
      <c r="G433" t="s">
        <v>4041</v>
      </c>
      <c r="H433" t="s">
        <v>4161</v>
      </c>
      <c r="I433" t="s">
        <v>4664</v>
      </c>
      <c r="J433" t="s">
        <v>4677</v>
      </c>
      <c r="K433" t="s">
        <v>4678</v>
      </c>
      <c r="L433" t="s">
        <v>4428</v>
      </c>
      <c r="M433">
        <v>2.1903412342071529</v>
      </c>
      <c r="N433" t="s">
        <v>54</v>
      </c>
      <c r="O433" t="s">
        <v>53</v>
      </c>
      <c r="P433" t="s">
        <v>53</v>
      </c>
      <c r="Q433" t="s">
        <v>53</v>
      </c>
      <c r="R433" t="s">
        <v>53</v>
      </c>
      <c r="S433" t="s">
        <v>4667</v>
      </c>
      <c r="T433" t="s">
        <v>4667</v>
      </c>
      <c r="U433" t="s">
        <v>53</v>
      </c>
      <c r="V433" t="s">
        <v>51</v>
      </c>
      <c r="W433">
        <v>250000</v>
      </c>
      <c r="X433" t="s">
        <v>54</v>
      </c>
      <c r="Y433" t="s">
        <v>3819</v>
      </c>
      <c r="Z433">
        <v>25000</v>
      </c>
      <c r="AA433">
        <v>30</v>
      </c>
      <c r="AB433">
        <v>29</v>
      </c>
      <c r="AC433">
        <v>26</v>
      </c>
      <c r="AD433">
        <v>112</v>
      </c>
      <c r="AE433">
        <v>112</v>
      </c>
      <c r="AF433">
        <v>0</v>
      </c>
      <c r="AG433">
        <v>3</v>
      </c>
      <c r="AH433">
        <v>0.95970332622528076</v>
      </c>
      <c r="AJ433">
        <v>10.39986991882324</v>
      </c>
      <c r="AK433" t="s">
        <v>54</v>
      </c>
      <c r="AL433" t="s">
        <v>54</v>
      </c>
      <c r="AQ433" t="s">
        <v>54</v>
      </c>
      <c r="AW433" t="s">
        <v>53</v>
      </c>
      <c r="AZ433" t="s">
        <v>54</v>
      </c>
      <c r="BA433" t="s">
        <v>2425</v>
      </c>
      <c r="BB433" s="15" t="s">
        <v>676</v>
      </c>
    </row>
    <row r="434" spans="1:54" x14ac:dyDescent="0.25">
      <c r="A434">
        <v>429</v>
      </c>
      <c r="B434" t="s">
        <v>4852</v>
      </c>
      <c r="C434" t="s">
        <v>4853</v>
      </c>
      <c r="D434" t="s">
        <v>4854</v>
      </c>
      <c r="E434">
        <v>3</v>
      </c>
      <c r="F434" t="s">
        <v>3803</v>
      </c>
      <c r="G434" t="s">
        <v>4041</v>
      </c>
      <c r="H434" t="s">
        <v>4161</v>
      </c>
      <c r="I434" t="s">
        <v>4664</v>
      </c>
      <c r="J434" t="s">
        <v>4696</v>
      </c>
      <c r="K434" t="s">
        <v>4697</v>
      </c>
      <c r="L434" t="s">
        <v>4428</v>
      </c>
      <c r="M434">
        <v>4.5872421264648438</v>
      </c>
      <c r="N434" t="s">
        <v>54</v>
      </c>
      <c r="O434" t="s">
        <v>53</v>
      </c>
      <c r="P434" t="s">
        <v>53</v>
      </c>
      <c r="Q434" t="s">
        <v>53</v>
      </c>
      <c r="R434" t="s">
        <v>53</v>
      </c>
      <c r="S434" t="s">
        <v>4667</v>
      </c>
      <c r="T434" t="s">
        <v>4667</v>
      </c>
      <c r="U434" t="s">
        <v>53</v>
      </c>
      <c r="V434" t="s">
        <v>51</v>
      </c>
      <c r="W434">
        <v>250000</v>
      </c>
      <c r="X434" t="s">
        <v>54</v>
      </c>
      <c r="Y434" t="s">
        <v>3819</v>
      </c>
      <c r="Z434">
        <v>25000</v>
      </c>
      <c r="AA434">
        <v>19</v>
      </c>
      <c r="AB434">
        <v>17</v>
      </c>
      <c r="AC434">
        <v>26</v>
      </c>
      <c r="AD434">
        <v>106</v>
      </c>
      <c r="AE434">
        <v>107</v>
      </c>
      <c r="AF434">
        <v>0</v>
      </c>
      <c r="AG434">
        <v>5</v>
      </c>
      <c r="AH434">
        <v>2.1075549125671391</v>
      </c>
      <c r="AJ434">
        <v>7.9479131698608398</v>
      </c>
      <c r="AK434" t="s">
        <v>54</v>
      </c>
      <c r="AL434" t="s">
        <v>54</v>
      </c>
      <c r="AQ434" t="s">
        <v>54</v>
      </c>
      <c r="AW434" t="s">
        <v>53</v>
      </c>
      <c r="AZ434" t="s">
        <v>54</v>
      </c>
      <c r="BA434" t="s">
        <v>2425</v>
      </c>
      <c r="BB434" s="15" t="s">
        <v>676</v>
      </c>
    </row>
    <row r="435" spans="1:54" x14ac:dyDescent="0.25">
      <c r="A435">
        <v>430</v>
      </c>
      <c r="B435" t="s">
        <v>4855</v>
      </c>
      <c r="C435" t="s">
        <v>4856</v>
      </c>
      <c r="D435" t="s">
        <v>4857</v>
      </c>
      <c r="E435">
        <v>3</v>
      </c>
      <c r="F435" t="s">
        <v>3803</v>
      </c>
      <c r="G435" t="s">
        <v>4041</v>
      </c>
      <c r="H435" t="s">
        <v>4161</v>
      </c>
      <c r="I435" t="s">
        <v>4664</v>
      </c>
      <c r="J435" t="s">
        <v>4665</v>
      </c>
      <c r="K435" t="s">
        <v>4666</v>
      </c>
      <c r="L435" t="s">
        <v>4428</v>
      </c>
      <c r="M435">
        <v>10.175249099731451</v>
      </c>
      <c r="N435" t="s">
        <v>54</v>
      </c>
      <c r="O435" t="s">
        <v>53</v>
      </c>
      <c r="P435" t="s">
        <v>53</v>
      </c>
      <c r="Q435" t="s">
        <v>53</v>
      </c>
      <c r="R435" t="s">
        <v>53</v>
      </c>
      <c r="S435" t="s">
        <v>4667</v>
      </c>
      <c r="T435" t="s">
        <v>4667</v>
      </c>
      <c r="U435" t="s">
        <v>53</v>
      </c>
      <c r="V435" t="s">
        <v>51</v>
      </c>
      <c r="W435">
        <v>250000</v>
      </c>
      <c r="X435" t="s">
        <v>54</v>
      </c>
      <c r="Y435" t="s">
        <v>3819</v>
      </c>
      <c r="Z435">
        <v>25000</v>
      </c>
      <c r="AA435">
        <v>80</v>
      </c>
      <c r="AB435">
        <v>77</v>
      </c>
      <c r="AC435">
        <v>115</v>
      </c>
      <c r="AD435">
        <v>450</v>
      </c>
      <c r="AE435">
        <v>457</v>
      </c>
      <c r="AF435">
        <v>1</v>
      </c>
      <c r="AG435">
        <v>10</v>
      </c>
      <c r="AH435">
        <v>4.8415470123291016</v>
      </c>
      <c r="AJ435">
        <v>24.375980377197269</v>
      </c>
      <c r="AK435" t="s">
        <v>54</v>
      </c>
      <c r="AL435" t="s">
        <v>54</v>
      </c>
      <c r="AQ435" t="s">
        <v>54</v>
      </c>
      <c r="AW435" t="s">
        <v>53</v>
      </c>
      <c r="AZ435" t="s">
        <v>54</v>
      </c>
      <c r="BA435" t="s">
        <v>2425</v>
      </c>
      <c r="BB435" s="15" t="s">
        <v>678</v>
      </c>
    </row>
    <row r="436" spans="1:54" x14ac:dyDescent="0.25">
      <c r="A436">
        <v>431</v>
      </c>
      <c r="B436" t="s">
        <v>4858</v>
      </c>
      <c r="C436" t="s">
        <v>4859</v>
      </c>
      <c r="D436" t="s">
        <v>4860</v>
      </c>
      <c r="E436">
        <v>3</v>
      </c>
      <c r="F436" t="s">
        <v>3803</v>
      </c>
      <c r="G436" t="s">
        <v>4019</v>
      </c>
      <c r="H436" t="s">
        <v>4638</v>
      </c>
      <c r="I436" t="s">
        <v>4861</v>
      </c>
      <c r="J436" t="s">
        <v>4862</v>
      </c>
      <c r="K436" t="s">
        <v>4863</v>
      </c>
      <c r="L436" t="s">
        <v>4428</v>
      </c>
      <c r="M436">
        <v>5.836219310760498</v>
      </c>
      <c r="N436" t="s">
        <v>54</v>
      </c>
      <c r="O436" t="s">
        <v>53</v>
      </c>
      <c r="P436" t="s">
        <v>53</v>
      </c>
      <c r="Q436" t="s">
        <v>53</v>
      </c>
      <c r="R436" t="s">
        <v>53</v>
      </c>
      <c r="S436" t="s">
        <v>4864</v>
      </c>
      <c r="T436" t="s">
        <v>4864</v>
      </c>
      <c r="U436" t="s">
        <v>53</v>
      </c>
      <c r="V436" t="s">
        <v>51</v>
      </c>
      <c r="W436">
        <v>200000</v>
      </c>
      <c r="X436" t="s">
        <v>54</v>
      </c>
      <c r="Y436" t="s">
        <v>3819</v>
      </c>
      <c r="Z436">
        <v>20000</v>
      </c>
      <c r="AA436">
        <v>30</v>
      </c>
      <c r="AB436">
        <v>23</v>
      </c>
      <c r="AC436">
        <v>17</v>
      </c>
      <c r="AD436">
        <v>28</v>
      </c>
      <c r="AE436">
        <v>35</v>
      </c>
      <c r="AF436">
        <v>2</v>
      </c>
      <c r="AG436">
        <v>0</v>
      </c>
      <c r="AH436">
        <v>1.808284997940063</v>
      </c>
      <c r="AJ436">
        <v>303.35958862304688</v>
      </c>
      <c r="AK436" t="s">
        <v>54</v>
      </c>
      <c r="AL436" t="s">
        <v>54</v>
      </c>
      <c r="AQ436" t="s">
        <v>54</v>
      </c>
      <c r="AW436" t="s">
        <v>53</v>
      </c>
      <c r="AZ436" t="s">
        <v>54</v>
      </c>
      <c r="BA436" t="s">
        <v>2425</v>
      </c>
      <c r="BB436" s="15" t="s">
        <v>676</v>
      </c>
    </row>
    <row r="437" spans="1:54" x14ac:dyDescent="0.25">
      <c r="A437">
        <v>432</v>
      </c>
      <c r="B437" t="s">
        <v>4865</v>
      </c>
      <c r="C437" t="s">
        <v>4866</v>
      </c>
      <c r="D437" t="s">
        <v>4867</v>
      </c>
      <c r="E437">
        <v>3</v>
      </c>
      <c r="F437" t="s">
        <v>3803</v>
      </c>
      <c r="G437" t="s">
        <v>4019</v>
      </c>
      <c r="H437" t="s">
        <v>4638</v>
      </c>
      <c r="I437" t="s">
        <v>4868</v>
      </c>
      <c r="J437" t="s">
        <v>4869</v>
      </c>
      <c r="K437" t="s">
        <v>4870</v>
      </c>
      <c r="L437" t="s">
        <v>4428</v>
      </c>
      <c r="M437">
        <v>27.780607223510739</v>
      </c>
      <c r="N437" t="s">
        <v>54</v>
      </c>
      <c r="O437" t="s">
        <v>53</v>
      </c>
      <c r="P437" t="s">
        <v>53</v>
      </c>
      <c r="Q437" t="s">
        <v>53</v>
      </c>
      <c r="R437" t="s">
        <v>53</v>
      </c>
      <c r="S437" t="s">
        <v>4642</v>
      </c>
      <c r="T437" t="s">
        <v>4642</v>
      </c>
      <c r="U437" t="s">
        <v>53</v>
      </c>
      <c r="V437" t="s">
        <v>51</v>
      </c>
      <c r="W437">
        <v>150000</v>
      </c>
      <c r="X437" t="s">
        <v>54</v>
      </c>
      <c r="Y437" t="s">
        <v>3819</v>
      </c>
      <c r="Z437">
        <v>15000</v>
      </c>
      <c r="AA437">
        <v>121</v>
      </c>
      <c r="AB437">
        <v>79</v>
      </c>
      <c r="AC437">
        <v>147</v>
      </c>
      <c r="AD437">
        <v>257</v>
      </c>
      <c r="AE437">
        <v>308</v>
      </c>
      <c r="AF437">
        <v>1</v>
      </c>
      <c r="AG437">
        <v>2</v>
      </c>
      <c r="AH437">
        <v>6.7483749389648438</v>
      </c>
      <c r="AJ437">
        <v>2778.06396484375</v>
      </c>
      <c r="AK437" t="s">
        <v>54</v>
      </c>
      <c r="AL437" t="s">
        <v>54</v>
      </c>
      <c r="AQ437" t="s">
        <v>54</v>
      </c>
      <c r="AW437" t="s">
        <v>54</v>
      </c>
      <c r="AZ437" t="s">
        <v>54</v>
      </c>
      <c r="BA437" t="s">
        <v>2425</v>
      </c>
      <c r="BB437" s="15" t="s">
        <v>676</v>
      </c>
    </row>
    <row r="438" spans="1:54" x14ac:dyDescent="0.25">
      <c r="A438">
        <v>433</v>
      </c>
      <c r="B438" t="s">
        <v>4871</v>
      </c>
      <c r="C438" t="s">
        <v>4872</v>
      </c>
      <c r="D438" t="s">
        <v>4873</v>
      </c>
      <c r="E438">
        <v>3</v>
      </c>
      <c r="F438" t="s">
        <v>3803</v>
      </c>
      <c r="G438" t="s">
        <v>4074</v>
      </c>
      <c r="H438" t="s">
        <v>4161</v>
      </c>
      <c r="I438" t="s">
        <v>4874</v>
      </c>
      <c r="J438" t="s">
        <v>4875</v>
      </c>
      <c r="K438" t="s">
        <v>4876</v>
      </c>
      <c r="L438" t="s">
        <v>4428</v>
      </c>
      <c r="M438">
        <v>36.494213104248047</v>
      </c>
      <c r="N438" t="s">
        <v>54</v>
      </c>
      <c r="O438" t="s">
        <v>53</v>
      </c>
      <c r="P438" t="s">
        <v>53</v>
      </c>
      <c r="Q438" t="s">
        <v>53</v>
      </c>
      <c r="R438" t="s">
        <v>53</v>
      </c>
      <c r="S438" t="s">
        <v>4877</v>
      </c>
      <c r="T438" t="s">
        <v>4877</v>
      </c>
      <c r="U438" t="s">
        <v>53</v>
      </c>
      <c r="V438" t="s">
        <v>51</v>
      </c>
      <c r="W438">
        <v>182000</v>
      </c>
      <c r="X438" t="s">
        <v>54</v>
      </c>
      <c r="Y438" t="s">
        <v>3819</v>
      </c>
      <c r="Z438">
        <v>18200</v>
      </c>
      <c r="AA438">
        <v>422</v>
      </c>
      <c r="AB438">
        <v>385</v>
      </c>
      <c r="AC438">
        <v>1320</v>
      </c>
      <c r="AD438">
        <v>1562</v>
      </c>
      <c r="AE438">
        <v>2492</v>
      </c>
      <c r="AF438">
        <v>4</v>
      </c>
      <c r="AG438">
        <v>12</v>
      </c>
      <c r="AH438">
        <v>30.21121978759766</v>
      </c>
      <c r="AJ438">
        <v>778.51727294921875</v>
      </c>
      <c r="AK438" t="s">
        <v>54</v>
      </c>
      <c r="AL438" t="s">
        <v>54</v>
      </c>
      <c r="AQ438" t="s">
        <v>54</v>
      </c>
      <c r="AW438" t="s">
        <v>54</v>
      </c>
      <c r="AZ438" t="s">
        <v>54</v>
      </c>
      <c r="BA438" t="s">
        <v>2425</v>
      </c>
      <c r="BB438" s="15" t="s">
        <v>678</v>
      </c>
    </row>
    <row r="439" spans="1:54" x14ac:dyDescent="0.25">
      <c r="A439">
        <v>434</v>
      </c>
      <c r="B439" t="s">
        <v>4878</v>
      </c>
      <c r="C439" t="s">
        <v>4879</v>
      </c>
      <c r="D439" t="s">
        <v>4880</v>
      </c>
      <c r="E439">
        <v>3</v>
      </c>
      <c r="F439" t="s">
        <v>3803</v>
      </c>
      <c r="G439" t="s">
        <v>3840</v>
      </c>
      <c r="H439" t="s">
        <v>4116</v>
      </c>
      <c r="I439" t="s">
        <v>4881</v>
      </c>
      <c r="J439" t="s">
        <v>4882</v>
      </c>
      <c r="K439" t="s">
        <v>4883</v>
      </c>
      <c r="L439" t="s">
        <v>4428</v>
      </c>
      <c r="M439">
        <v>11.72351551055908</v>
      </c>
      <c r="N439" t="s">
        <v>54</v>
      </c>
      <c r="O439" t="s">
        <v>53</v>
      </c>
      <c r="P439" t="s">
        <v>53</v>
      </c>
      <c r="Q439" t="s">
        <v>53</v>
      </c>
      <c r="R439" t="s">
        <v>53</v>
      </c>
      <c r="S439" t="s">
        <v>4884</v>
      </c>
      <c r="T439" t="s">
        <v>4884</v>
      </c>
      <c r="U439" t="s">
        <v>53</v>
      </c>
      <c r="V439" t="s">
        <v>51</v>
      </c>
      <c r="W439">
        <v>600000</v>
      </c>
      <c r="X439" t="s">
        <v>54</v>
      </c>
      <c r="Y439" t="s">
        <v>3819</v>
      </c>
      <c r="Z439">
        <v>60000</v>
      </c>
      <c r="AA439">
        <v>41</v>
      </c>
      <c r="AB439">
        <v>37</v>
      </c>
      <c r="AC439">
        <v>53</v>
      </c>
      <c r="AD439">
        <v>127</v>
      </c>
      <c r="AE439">
        <v>153</v>
      </c>
      <c r="AF439">
        <v>0</v>
      </c>
      <c r="AG439">
        <v>0</v>
      </c>
      <c r="AH439">
        <v>4.0081877708435059</v>
      </c>
      <c r="AJ439">
        <v>921.33477783203125</v>
      </c>
      <c r="AK439" t="s">
        <v>54</v>
      </c>
      <c r="AL439" t="s">
        <v>54</v>
      </c>
      <c r="AQ439" t="s">
        <v>54</v>
      </c>
      <c r="AW439" t="s">
        <v>54</v>
      </c>
      <c r="AZ439" t="s">
        <v>54</v>
      </c>
      <c r="BA439" t="s">
        <v>2425</v>
      </c>
      <c r="BB439" s="15" t="s">
        <v>676</v>
      </c>
    </row>
    <row r="440" spans="1:54" x14ac:dyDescent="0.25">
      <c r="A440">
        <v>435</v>
      </c>
      <c r="B440" t="s">
        <v>4885</v>
      </c>
      <c r="C440" t="s">
        <v>4886</v>
      </c>
      <c r="D440" t="s">
        <v>4887</v>
      </c>
      <c r="E440">
        <v>3</v>
      </c>
      <c r="F440" t="s">
        <v>3803</v>
      </c>
      <c r="G440" t="s">
        <v>3977</v>
      </c>
      <c r="H440" t="s">
        <v>3978</v>
      </c>
      <c r="I440" t="s">
        <v>3979</v>
      </c>
      <c r="J440" t="s">
        <v>4882</v>
      </c>
      <c r="K440" t="s">
        <v>3980</v>
      </c>
      <c r="L440" t="s">
        <v>4578</v>
      </c>
      <c r="M440">
        <v>1105.57470703125</v>
      </c>
      <c r="N440" t="s">
        <v>54</v>
      </c>
      <c r="O440" t="s">
        <v>53</v>
      </c>
      <c r="P440" t="s">
        <v>53</v>
      </c>
      <c r="Q440" t="s">
        <v>53</v>
      </c>
      <c r="R440" t="s">
        <v>53</v>
      </c>
      <c r="S440" t="s">
        <v>3981</v>
      </c>
      <c r="T440" t="s">
        <v>3981</v>
      </c>
      <c r="U440" t="s">
        <v>53</v>
      </c>
      <c r="V440" t="s">
        <v>51</v>
      </c>
      <c r="W440">
        <v>500000</v>
      </c>
      <c r="X440" t="s">
        <v>54</v>
      </c>
      <c r="Y440" t="s">
        <v>3982</v>
      </c>
      <c r="Z440">
        <v>100000</v>
      </c>
      <c r="AA440">
        <v>3485</v>
      </c>
      <c r="AB440">
        <v>3119</v>
      </c>
      <c r="AC440">
        <v>2344</v>
      </c>
      <c r="AD440">
        <v>5004</v>
      </c>
      <c r="AE440">
        <v>5167</v>
      </c>
      <c r="AF440">
        <v>31</v>
      </c>
      <c r="AG440">
        <v>3</v>
      </c>
      <c r="AH440">
        <v>92.367301940917969</v>
      </c>
      <c r="AJ440">
        <v>15993.650390625</v>
      </c>
      <c r="AK440" t="s">
        <v>54</v>
      </c>
      <c r="AL440" t="s">
        <v>54</v>
      </c>
      <c r="AQ440" t="s">
        <v>54</v>
      </c>
      <c r="AW440" t="s">
        <v>54</v>
      </c>
      <c r="AZ440" t="s">
        <v>54</v>
      </c>
      <c r="BA440" t="s">
        <v>2425</v>
      </c>
      <c r="BB440" s="15" t="s">
        <v>678</v>
      </c>
    </row>
    <row r="441" spans="1:54" x14ac:dyDescent="0.25">
      <c r="A441">
        <v>436</v>
      </c>
      <c r="B441" t="s">
        <v>4888</v>
      </c>
      <c r="C441" t="s">
        <v>4889</v>
      </c>
      <c r="D441" t="s">
        <v>4890</v>
      </c>
      <c r="E441">
        <v>3</v>
      </c>
      <c r="F441" t="s">
        <v>3803</v>
      </c>
      <c r="G441" t="s">
        <v>4041</v>
      </c>
      <c r="H441" t="s">
        <v>4891</v>
      </c>
      <c r="I441" t="s">
        <v>4892</v>
      </c>
      <c r="J441" t="s">
        <v>4893</v>
      </c>
      <c r="K441" t="s">
        <v>4894</v>
      </c>
      <c r="L441" t="s">
        <v>4895</v>
      </c>
      <c r="M441">
        <v>9.5117454528808594</v>
      </c>
      <c r="N441" t="s">
        <v>54</v>
      </c>
      <c r="O441" t="s">
        <v>53</v>
      </c>
      <c r="P441" t="s">
        <v>53</v>
      </c>
      <c r="Q441" t="s">
        <v>53</v>
      </c>
      <c r="R441" t="s">
        <v>53</v>
      </c>
      <c r="S441" t="s">
        <v>4896</v>
      </c>
      <c r="T441" t="s">
        <v>4896</v>
      </c>
      <c r="U441" t="s">
        <v>53</v>
      </c>
      <c r="V441" t="s">
        <v>51</v>
      </c>
      <c r="W441">
        <v>100000</v>
      </c>
      <c r="X441" t="s">
        <v>54</v>
      </c>
      <c r="Y441" t="s">
        <v>3819</v>
      </c>
      <c r="Z441">
        <v>10000</v>
      </c>
      <c r="AA441">
        <v>20</v>
      </c>
      <c r="AB441">
        <v>19</v>
      </c>
      <c r="AC441">
        <v>21</v>
      </c>
      <c r="AD441">
        <v>64</v>
      </c>
      <c r="AE441">
        <v>67</v>
      </c>
      <c r="AF441">
        <v>0</v>
      </c>
      <c r="AG441">
        <v>0</v>
      </c>
      <c r="AH441">
        <v>1.233116984367371</v>
      </c>
      <c r="AJ441">
        <v>26.16399002075195</v>
      </c>
      <c r="AK441" t="s">
        <v>54</v>
      </c>
      <c r="AL441" t="s">
        <v>54</v>
      </c>
      <c r="AQ441" t="s">
        <v>54</v>
      </c>
      <c r="AW441" t="s">
        <v>54</v>
      </c>
      <c r="AZ441" t="s">
        <v>54</v>
      </c>
      <c r="BA441" t="s">
        <v>2425</v>
      </c>
      <c r="BB441" s="15" t="s">
        <v>678</v>
      </c>
    </row>
    <row r="442" spans="1:54" x14ac:dyDescent="0.25">
      <c r="A442">
        <v>437</v>
      </c>
      <c r="B442" t="s">
        <v>4897</v>
      </c>
      <c r="C442" t="s">
        <v>4898</v>
      </c>
      <c r="D442" t="s">
        <v>4899</v>
      </c>
      <c r="E442">
        <v>3</v>
      </c>
      <c r="F442" t="s">
        <v>3803</v>
      </c>
      <c r="G442" t="s">
        <v>4297</v>
      </c>
      <c r="H442" t="s">
        <v>4900</v>
      </c>
      <c r="I442" t="s">
        <v>4901</v>
      </c>
      <c r="J442" t="s">
        <v>4902</v>
      </c>
      <c r="K442" t="s">
        <v>4903</v>
      </c>
      <c r="L442" t="s">
        <v>4578</v>
      </c>
      <c r="M442">
        <v>3.7182884216308589</v>
      </c>
      <c r="N442" t="s">
        <v>54</v>
      </c>
      <c r="O442" t="s">
        <v>53</v>
      </c>
      <c r="P442" t="s">
        <v>53</v>
      </c>
      <c r="Q442" t="s">
        <v>53</v>
      </c>
      <c r="R442" t="s">
        <v>53</v>
      </c>
      <c r="S442" t="s">
        <v>4615</v>
      </c>
      <c r="T442" t="s">
        <v>4615</v>
      </c>
      <c r="U442" t="s">
        <v>53</v>
      </c>
      <c r="V442" t="s">
        <v>51</v>
      </c>
      <c r="W442">
        <v>500000</v>
      </c>
      <c r="X442" t="s">
        <v>54</v>
      </c>
      <c r="Y442" t="s">
        <v>3819</v>
      </c>
      <c r="Z442">
        <v>50000</v>
      </c>
      <c r="AA442">
        <v>8</v>
      </c>
      <c r="AB442">
        <v>8</v>
      </c>
      <c r="AC442">
        <v>3</v>
      </c>
      <c r="AD442">
        <v>7</v>
      </c>
      <c r="AE442">
        <v>7</v>
      </c>
      <c r="AF442">
        <v>0</v>
      </c>
      <c r="AG442">
        <v>0</v>
      </c>
      <c r="AH442">
        <v>0.35280910134315491</v>
      </c>
      <c r="AJ442">
        <v>150.4855041503906</v>
      </c>
      <c r="AK442" t="s">
        <v>54</v>
      </c>
      <c r="AL442" t="s">
        <v>54</v>
      </c>
      <c r="AQ442" t="s">
        <v>54</v>
      </c>
      <c r="AW442" t="s">
        <v>54</v>
      </c>
      <c r="AZ442" t="s">
        <v>54</v>
      </c>
      <c r="BA442" t="s">
        <v>2425</v>
      </c>
      <c r="BB442" s="15" t="s">
        <v>676</v>
      </c>
    </row>
    <row r="443" spans="1:54" x14ac:dyDescent="0.25">
      <c r="A443">
        <v>438</v>
      </c>
      <c r="B443" t="s">
        <v>4904</v>
      </c>
      <c r="C443" t="s">
        <v>4905</v>
      </c>
      <c r="D443" t="s">
        <v>4906</v>
      </c>
      <c r="E443">
        <v>3</v>
      </c>
      <c r="F443" t="s">
        <v>3803</v>
      </c>
      <c r="G443" t="s">
        <v>4074</v>
      </c>
      <c r="H443" t="s">
        <v>4161</v>
      </c>
      <c r="I443" t="s">
        <v>4216</v>
      </c>
      <c r="J443" t="s">
        <v>4217</v>
      </c>
      <c r="K443" t="s">
        <v>4218</v>
      </c>
      <c r="L443" t="s">
        <v>4420</v>
      </c>
      <c r="M443">
        <v>9.8523807525634766</v>
      </c>
      <c r="N443" t="s">
        <v>54</v>
      </c>
      <c r="O443" t="s">
        <v>53</v>
      </c>
      <c r="P443" t="s">
        <v>53</v>
      </c>
      <c r="Q443" t="s">
        <v>53</v>
      </c>
      <c r="R443" t="s">
        <v>53</v>
      </c>
      <c r="S443" t="s">
        <v>4907</v>
      </c>
      <c r="T443" t="s">
        <v>4907</v>
      </c>
      <c r="U443" t="s">
        <v>53</v>
      </c>
      <c r="V443" t="s">
        <v>51</v>
      </c>
      <c r="W443">
        <v>60000</v>
      </c>
      <c r="X443" t="s">
        <v>54</v>
      </c>
      <c r="Y443" t="s">
        <v>3819</v>
      </c>
      <c r="Z443">
        <v>6000</v>
      </c>
      <c r="AA443">
        <v>294</v>
      </c>
      <c r="AB443">
        <v>221</v>
      </c>
      <c r="AC443">
        <v>83</v>
      </c>
      <c r="AD443">
        <v>412</v>
      </c>
      <c r="AE443">
        <v>416</v>
      </c>
      <c r="AF443">
        <v>0</v>
      </c>
      <c r="AG443">
        <v>0</v>
      </c>
      <c r="AH443">
        <v>4.3137078285217294</v>
      </c>
      <c r="AJ443">
        <v>63.094429016113281</v>
      </c>
      <c r="AK443" t="s">
        <v>54</v>
      </c>
      <c r="AL443" t="s">
        <v>54</v>
      </c>
      <c r="AQ443" t="s">
        <v>54</v>
      </c>
      <c r="AW443" t="s">
        <v>54</v>
      </c>
      <c r="AZ443" t="s">
        <v>54</v>
      </c>
      <c r="BA443" t="s">
        <v>2425</v>
      </c>
      <c r="BB443" s="15" t="s">
        <v>676</v>
      </c>
    </row>
    <row r="444" spans="1:54" x14ac:dyDescent="0.25">
      <c r="A444">
        <v>439</v>
      </c>
      <c r="B444" t="s">
        <v>4908</v>
      </c>
      <c r="C444" t="s">
        <v>4909</v>
      </c>
      <c r="D444" t="s">
        <v>4910</v>
      </c>
      <c r="E444">
        <v>3</v>
      </c>
      <c r="F444" t="s">
        <v>3803</v>
      </c>
      <c r="G444" t="s">
        <v>4215</v>
      </c>
      <c r="H444" t="s">
        <v>4161</v>
      </c>
      <c r="I444" t="s">
        <v>4168</v>
      </c>
      <c r="J444" t="s">
        <v>4649</v>
      </c>
      <c r="K444" t="s">
        <v>4650</v>
      </c>
      <c r="L444" t="s">
        <v>4449</v>
      </c>
      <c r="M444">
        <v>4.2656455039978027</v>
      </c>
      <c r="N444" t="s">
        <v>54</v>
      </c>
      <c r="O444" t="s">
        <v>53</v>
      </c>
      <c r="P444" t="s">
        <v>53</v>
      </c>
      <c r="Q444" t="s">
        <v>53</v>
      </c>
      <c r="R444" t="s">
        <v>53</v>
      </c>
      <c r="S444" t="s">
        <v>4634</v>
      </c>
      <c r="T444" t="s">
        <v>4634</v>
      </c>
      <c r="U444" t="s">
        <v>53</v>
      </c>
      <c r="V444" t="s">
        <v>51</v>
      </c>
      <c r="W444">
        <v>250000</v>
      </c>
      <c r="X444" t="s">
        <v>54</v>
      </c>
      <c r="Y444" t="s">
        <v>3819</v>
      </c>
      <c r="Z444">
        <v>25000</v>
      </c>
      <c r="AA444">
        <v>68</v>
      </c>
      <c r="AB444">
        <v>61</v>
      </c>
      <c r="AC444">
        <v>74</v>
      </c>
      <c r="AD444">
        <v>145</v>
      </c>
      <c r="AE444">
        <v>189</v>
      </c>
      <c r="AF444">
        <v>1</v>
      </c>
      <c r="AG444">
        <v>1</v>
      </c>
      <c r="AH444">
        <v>2.8427519798278809</v>
      </c>
      <c r="AJ444">
        <v>15.72422027587891</v>
      </c>
      <c r="AK444" t="s">
        <v>54</v>
      </c>
      <c r="AL444" t="s">
        <v>54</v>
      </c>
      <c r="AQ444" t="s">
        <v>54</v>
      </c>
      <c r="AW444" t="s">
        <v>53</v>
      </c>
      <c r="AZ444" t="s">
        <v>54</v>
      </c>
      <c r="BA444" t="s">
        <v>2425</v>
      </c>
      <c r="BB444" s="15" t="s">
        <v>678</v>
      </c>
    </row>
    <row r="445" spans="1:54" x14ac:dyDescent="0.25">
      <c r="A445">
        <v>440</v>
      </c>
      <c r="B445" t="s">
        <v>4911</v>
      </c>
      <c r="C445" t="s">
        <v>4912</v>
      </c>
      <c r="D445" t="s">
        <v>4913</v>
      </c>
      <c r="E445">
        <v>3</v>
      </c>
      <c r="F445" t="s">
        <v>3803</v>
      </c>
      <c r="G445" t="s">
        <v>4041</v>
      </c>
      <c r="H445" t="s">
        <v>4200</v>
      </c>
      <c r="I445" t="s">
        <v>4914</v>
      </c>
      <c r="J445" t="s">
        <v>4915</v>
      </c>
      <c r="K445" t="s">
        <v>4916</v>
      </c>
      <c r="L445" t="s">
        <v>4428</v>
      </c>
      <c r="M445">
        <v>6.2105484008789063</v>
      </c>
      <c r="N445" t="s">
        <v>54</v>
      </c>
      <c r="O445" t="s">
        <v>53</v>
      </c>
      <c r="P445" t="s">
        <v>53</v>
      </c>
      <c r="Q445" t="s">
        <v>53</v>
      </c>
      <c r="R445" t="s">
        <v>53</v>
      </c>
      <c r="S445" t="s">
        <v>4667</v>
      </c>
      <c r="T445" t="s">
        <v>4667</v>
      </c>
      <c r="U445" t="s">
        <v>53</v>
      </c>
      <c r="V445" t="s">
        <v>51</v>
      </c>
      <c r="W445">
        <v>250000</v>
      </c>
      <c r="X445" t="s">
        <v>54</v>
      </c>
      <c r="Y445" t="s">
        <v>3819</v>
      </c>
      <c r="Z445">
        <v>25000</v>
      </c>
      <c r="AA445">
        <v>9</v>
      </c>
      <c r="AB445">
        <v>7</v>
      </c>
      <c r="AC445">
        <v>8</v>
      </c>
      <c r="AD445">
        <v>25</v>
      </c>
      <c r="AE445">
        <v>27</v>
      </c>
      <c r="AF445">
        <v>0</v>
      </c>
      <c r="AG445">
        <v>0</v>
      </c>
      <c r="AH445">
        <v>0.56593281030654907</v>
      </c>
      <c r="AJ445">
        <v>20.519559860229489</v>
      </c>
      <c r="AK445" t="s">
        <v>54</v>
      </c>
      <c r="AL445" t="s">
        <v>54</v>
      </c>
      <c r="AQ445" t="s">
        <v>54</v>
      </c>
      <c r="AW445" t="s">
        <v>54</v>
      </c>
      <c r="AZ445" t="s">
        <v>54</v>
      </c>
      <c r="BA445" t="s">
        <v>2425</v>
      </c>
      <c r="BB445" s="15" t="s">
        <v>678</v>
      </c>
    </row>
    <row r="446" spans="1:54" x14ac:dyDescent="0.25">
      <c r="A446">
        <v>441</v>
      </c>
      <c r="B446" t="s">
        <v>4917</v>
      </c>
      <c r="C446" t="s">
        <v>4918</v>
      </c>
      <c r="D446" t="s">
        <v>4919</v>
      </c>
      <c r="E446">
        <v>3</v>
      </c>
      <c r="F446" t="s">
        <v>3803</v>
      </c>
      <c r="G446" t="s">
        <v>4041</v>
      </c>
      <c r="H446" t="s">
        <v>4161</v>
      </c>
      <c r="I446" t="s">
        <v>4682</v>
      </c>
      <c r="J446" t="s">
        <v>4920</v>
      </c>
      <c r="K446" t="s">
        <v>4921</v>
      </c>
      <c r="L446" t="s">
        <v>4428</v>
      </c>
      <c r="M446">
        <v>3.599643230438232</v>
      </c>
      <c r="N446" t="s">
        <v>54</v>
      </c>
      <c r="O446" t="s">
        <v>53</v>
      </c>
      <c r="P446" t="s">
        <v>53</v>
      </c>
      <c r="Q446" t="s">
        <v>53</v>
      </c>
      <c r="R446" t="s">
        <v>53</v>
      </c>
      <c r="S446" t="s">
        <v>4667</v>
      </c>
      <c r="T446" t="s">
        <v>4667</v>
      </c>
      <c r="U446" t="s">
        <v>53</v>
      </c>
      <c r="V446" t="s">
        <v>51</v>
      </c>
      <c r="W446">
        <v>250000</v>
      </c>
      <c r="X446" t="s">
        <v>54</v>
      </c>
      <c r="Y446" t="s">
        <v>3819</v>
      </c>
      <c r="Z446">
        <v>25000</v>
      </c>
      <c r="AA446">
        <v>3</v>
      </c>
      <c r="AB446">
        <v>2</v>
      </c>
      <c r="AC446">
        <v>1</v>
      </c>
      <c r="AD446">
        <v>4</v>
      </c>
      <c r="AE446">
        <v>4</v>
      </c>
      <c r="AF446">
        <v>0</v>
      </c>
      <c r="AG446">
        <v>0</v>
      </c>
      <c r="AH446">
        <v>2.8876729309558868E-2</v>
      </c>
      <c r="AJ446">
        <v>123.614501953125</v>
      </c>
      <c r="AK446" t="s">
        <v>54</v>
      </c>
      <c r="AL446" t="s">
        <v>54</v>
      </c>
      <c r="AQ446" t="s">
        <v>54</v>
      </c>
      <c r="AW446" t="s">
        <v>53</v>
      </c>
      <c r="AZ446" t="s">
        <v>54</v>
      </c>
      <c r="BA446" t="s">
        <v>2425</v>
      </c>
      <c r="BB446" s="15" t="s">
        <v>678</v>
      </c>
    </row>
    <row r="447" spans="1:54" x14ac:dyDescent="0.25">
      <c r="A447">
        <v>442</v>
      </c>
      <c r="B447" t="s">
        <v>4922</v>
      </c>
      <c r="C447" t="s">
        <v>4923</v>
      </c>
      <c r="D447" t="s">
        <v>4924</v>
      </c>
      <c r="E447">
        <v>3</v>
      </c>
      <c r="F447" t="s">
        <v>3803</v>
      </c>
      <c r="G447" t="s">
        <v>4041</v>
      </c>
      <c r="H447" t="s">
        <v>4161</v>
      </c>
      <c r="I447" t="s">
        <v>4682</v>
      </c>
      <c r="J447" t="s">
        <v>4920</v>
      </c>
      <c r="K447" t="s">
        <v>4921</v>
      </c>
      <c r="L447" t="s">
        <v>4428</v>
      </c>
      <c r="M447">
        <v>3.599643230438232</v>
      </c>
      <c r="N447" t="s">
        <v>54</v>
      </c>
      <c r="O447" t="s">
        <v>53</v>
      </c>
      <c r="P447" t="s">
        <v>53</v>
      </c>
      <c r="Q447" t="s">
        <v>53</v>
      </c>
      <c r="R447" t="s">
        <v>53</v>
      </c>
      <c r="S447" t="s">
        <v>4667</v>
      </c>
      <c r="T447" t="s">
        <v>4667</v>
      </c>
      <c r="U447" t="s">
        <v>53</v>
      </c>
      <c r="V447" t="s">
        <v>51</v>
      </c>
      <c r="W447">
        <v>250000</v>
      </c>
      <c r="X447" t="s">
        <v>54</v>
      </c>
      <c r="Y447" t="s">
        <v>3819</v>
      </c>
      <c r="Z447">
        <v>25000</v>
      </c>
      <c r="AA447">
        <v>3</v>
      </c>
      <c r="AB447">
        <v>2</v>
      </c>
      <c r="AC447">
        <v>1</v>
      </c>
      <c r="AD447">
        <v>4</v>
      </c>
      <c r="AE447">
        <v>4</v>
      </c>
      <c r="AF447">
        <v>0</v>
      </c>
      <c r="AG447">
        <v>0</v>
      </c>
      <c r="AH447">
        <v>2.8876729309558868E-2</v>
      </c>
      <c r="AJ447">
        <v>123.614501953125</v>
      </c>
      <c r="AK447" t="s">
        <v>54</v>
      </c>
      <c r="AL447" t="s">
        <v>54</v>
      </c>
      <c r="AQ447" t="s">
        <v>54</v>
      </c>
      <c r="AW447" t="s">
        <v>53</v>
      </c>
      <c r="AZ447" t="s">
        <v>54</v>
      </c>
      <c r="BA447" t="s">
        <v>2425</v>
      </c>
      <c r="BB447" s="15" t="s">
        <v>678</v>
      </c>
    </row>
    <row r="448" spans="1:54" x14ac:dyDescent="0.25">
      <c r="A448">
        <v>443</v>
      </c>
      <c r="B448" t="s">
        <v>4925</v>
      </c>
      <c r="C448" t="s">
        <v>4926</v>
      </c>
      <c r="D448" t="s">
        <v>4927</v>
      </c>
      <c r="E448">
        <v>3</v>
      </c>
      <c r="F448" t="s">
        <v>3803</v>
      </c>
      <c r="G448" t="s">
        <v>4041</v>
      </c>
      <c r="H448" t="s">
        <v>4161</v>
      </c>
      <c r="I448" t="s">
        <v>4682</v>
      </c>
      <c r="J448" t="s">
        <v>4920</v>
      </c>
      <c r="K448" t="s">
        <v>4921</v>
      </c>
      <c r="L448" t="s">
        <v>4428</v>
      </c>
      <c r="M448">
        <v>3.599643230438232</v>
      </c>
      <c r="N448" t="s">
        <v>54</v>
      </c>
      <c r="O448" t="s">
        <v>53</v>
      </c>
      <c r="P448" t="s">
        <v>53</v>
      </c>
      <c r="Q448" t="s">
        <v>53</v>
      </c>
      <c r="R448" t="s">
        <v>53</v>
      </c>
      <c r="S448" t="s">
        <v>4667</v>
      </c>
      <c r="T448" t="s">
        <v>4667</v>
      </c>
      <c r="U448" t="s">
        <v>53</v>
      </c>
      <c r="V448" t="s">
        <v>51</v>
      </c>
      <c r="W448">
        <v>250000</v>
      </c>
      <c r="X448" t="s">
        <v>54</v>
      </c>
      <c r="Y448" t="s">
        <v>3819</v>
      </c>
      <c r="Z448">
        <v>25000</v>
      </c>
      <c r="AA448">
        <v>3</v>
      </c>
      <c r="AB448">
        <v>2</v>
      </c>
      <c r="AC448">
        <v>1</v>
      </c>
      <c r="AD448">
        <v>4</v>
      </c>
      <c r="AE448">
        <v>4</v>
      </c>
      <c r="AF448">
        <v>0</v>
      </c>
      <c r="AG448">
        <v>0</v>
      </c>
      <c r="AH448">
        <v>2.8876729309558868E-2</v>
      </c>
      <c r="AJ448">
        <v>123.614501953125</v>
      </c>
      <c r="AK448" t="s">
        <v>54</v>
      </c>
      <c r="AL448" t="s">
        <v>54</v>
      </c>
      <c r="AQ448" t="s">
        <v>54</v>
      </c>
      <c r="AW448" t="s">
        <v>53</v>
      </c>
      <c r="AZ448" t="s">
        <v>54</v>
      </c>
      <c r="BA448" t="s">
        <v>2425</v>
      </c>
      <c r="BB448" s="15" t="s">
        <v>678</v>
      </c>
    </row>
    <row r="449" spans="1:54" x14ac:dyDescent="0.25">
      <c r="A449">
        <v>444</v>
      </c>
      <c r="B449" t="s">
        <v>4928</v>
      </c>
      <c r="C449" t="s">
        <v>4929</v>
      </c>
      <c r="D449" t="s">
        <v>4930</v>
      </c>
      <c r="E449">
        <v>3</v>
      </c>
      <c r="F449" t="s">
        <v>3803</v>
      </c>
      <c r="G449" t="s">
        <v>4215</v>
      </c>
      <c r="H449" t="s">
        <v>4161</v>
      </c>
      <c r="I449" t="s">
        <v>4168</v>
      </c>
      <c r="J449" t="s">
        <v>4632</v>
      </c>
      <c r="K449" t="s">
        <v>4633</v>
      </c>
      <c r="L449" t="s">
        <v>4814</v>
      </c>
      <c r="M449">
        <v>27.507131576538089</v>
      </c>
      <c r="N449" t="s">
        <v>54</v>
      </c>
      <c r="O449" t="s">
        <v>53</v>
      </c>
      <c r="P449" t="s">
        <v>53</v>
      </c>
      <c r="Q449" t="s">
        <v>53</v>
      </c>
      <c r="R449" t="s">
        <v>53</v>
      </c>
      <c r="S449" t="s">
        <v>4634</v>
      </c>
      <c r="T449" t="s">
        <v>4634</v>
      </c>
      <c r="U449" t="s">
        <v>53</v>
      </c>
      <c r="V449" t="s">
        <v>51</v>
      </c>
      <c r="W449">
        <v>250000</v>
      </c>
      <c r="X449" t="s">
        <v>54</v>
      </c>
      <c r="Y449" t="s">
        <v>3819</v>
      </c>
      <c r="Z449">
        <v>25000</v>
      </c>
      <c r="AA449">
        <v>584</v>
      </c>
      <c r="AB449">
        <v>531</v>
      </c>
      <c r="AC449">
        <v>1581</v>
      </c>
      <c r="AD449">
        <v>2533</v>
      </c>
      <c r="AE449">
        <v>3457</v>
      </c>
      <c r="AF449">
        <v>5</v>
      </c>
      <c r="AG449">
        <v>25</v>
      </c>
      <c r="AH449">
        <v>21.563949584960941</v>
      </c>
      <c r="AJ449">
        <v>335.15908813476563</v>
      </c>
      <c r="AK449" t="s">
        <v>54</v>
      </c>
      <c r="AL449" t="s">
        <v>54</v>
      </c>
      <c r="AQ449" t="s">
        <v>54</v>
      </c>
      <c r="AW449" t="s">
        <v>54</v>
      </c>
      <c r="AZ449" t="s">
        <v>54</v>
      </c>
      <c r="BA449" t="s">
        <v>2425</v>
      </c>
      <c r="BB449" s="15" t="s">
        <v>678</v>
      </c>
    </row>
    <row r="450" spans="1:54" x14ac:dyDescent="0.25">
      <c r="A450">
        <v>445</v>
      </c>
      <c r="B450" t="s">
        <v>4931</v>
      </c>
      <c r="C450" t="s">
        <v>4932</v>
      </c>
      <c r="D450" t="s">
        <v>4933</v>
      </c>
      <c r="E450">
        <v>3</v>
      </c>
      <c r="F450" t="s">
        <v>3803</v>
      </c>
      <c r="G450" t="s">
        <v>4215</v>
      </c>
      <c r="H450" t="s">
        <v>4161</v>
      </c>
      <c r="I450" t="s">
        <v>4168</v>
      </c>
      <c r="J450" t="s">
        <v>4632</v>
      </c>
      <c r="K450" t="s">
        <v>4633</v>
      </c>
      <c r="L450" t="s">
        <v>4428</v>
      </c>
      <c r="M450">
        <v>27.507131576538089</v>
      </c>
      <c r="N450" t="s">
        <v>54</v>
      </c>
      <c r="O450" t="s">
        <v>53</v>
      </c>
      <c r="P450" t="s">
        <v>53</v>
      </c>
      <c r="Q450" t="s">
        <v>53</v>
      </c>
      <c r="R450" t="s">
        <v>53</v>
      </c>
      <c r="S450" t="s">
        <v>4634</v>
      </c>
      <c r="T450" t="s">
        <v>4634</v>
      </c>
      <c r="U450" t="s">
        <v>53</v>
      </c>
      <c r="V450" t="s">
        <v>51</v>
      </c>
      <c r="W450">
        <v>250000</v>
      </c>
      <c r="X450" t="s">
        <v>54</v>
      </c>
      <c r="Y450" t="s">
        <v>3819</v>
      </c>
      <c r="Z450">
        <v>25000</v>
      </c>
      <c r="AA450">
        <v>584</v>
      </c>
      <c r="AB450">
        <v>531</v>
      </c>
      <c r="AC450">
        <v>1581</v>
      </c>
      <c r="AD450">
        <v>2533</v>
      </c>
      <c r="AE450">
        <v>3457</v>
      </c>
      <c r="AF450">
        <v>5</v>
      </c>
      <c r="AG450">
        <v>25</v>
      </c>
      <c r="AH450">
        <v>21.563949584960941</v>
      </c>
      <c r="AJ450">
        <v>335.15908813476563</v>
      </c>
      <c r="AK450" t="s">
        <v>54</v>
      </c>
      <c r="AL450" t="s">
        <v>54</v>
      </c>
      <c r="AQ450" t="s">
        <v>54</v>
      </c>
      <c r="AW450" t="s">
        <v>54</v>
      </c>
      <c r="AZ450" t="s">
        <v>54</v>
      </c>
      <c r="BA450" t="s">
        <v>2425</v>
      </c>
      <c r="BB450" s="15" t="s">
        <v>676</v>
      </c>
    </row>
    <row r="451" spans="1:54" x14ac:dyDescent="0.25">
      <c r="A451">
        <v>446</v>
      </c>
      <c r="B451" t="s">
        <v>4934</v>
      </c>
      <c r="C451" t="s">
        <v>4935</v>
      </c>
      <c r="D451" t="s">
        <v>4936</v>
      </c>
      <c r="E451">
        <v>3</v>
      </c>
      <c r="F451" t="s">
        <v>3803</v>
      </c>
      <c r="G451" t="s">
        <v>4041</v>
      </c>
      <c r="H451" t="s">
        <v>4161</v>
      </c>
      <c r="I451" t="s">
        <v>4664</v>
      </c>
      <c r="J451" t="s">
        <v>4696</v>
      </c>
      <c r="K451" t="s">
        <v>4697</v>
      </c>
      <c r="L451" t="s">
        <v>4428</v>
      </c>
      <c r="M451">
        <v>5.7588710784912109</v>
      </c>
      <c r="N451" t="s">
        <v>54</v>
      </c>
      <c r="O451" t="s">
        <v>53</v>
      </c>
      <c r="P451" t="s">
        <v>53</v>
      </c>
      <c r="Q451" t="s">
        <v>53</v>
      </c>
      <c r="R451" t="s">
        <v>53</v>
      </c>
      <c r="S451" t="s">
        <v>4667</v>
      </c>
      <c r="T451" t="s">
        <v>4667</v>
      </c>
      <c r="U451" t="s">
        <v>53</v>
      </c>
      <c r="V451" t="s">
        <v>51</v>
      </c>
      <c r="W451">
        <v>250000</v>
      </c>
      <c r="X451" t="s">
        <v>54</v>
      </c>
      <c r="Y451" t="s">
        <v>3819</v>
      </c>
      <c r="Z451">
        <v>25000</v>
      </c>
      <c r="AA451">
        <v>25</v>
      </c>
      <c r="AB451">
        <v>22</v>
      </c>
      <c r="AC451">
        <v>304</v>
      </c>
      <c r="AD451">
        <v>156</v>
      </c>
      <c r="AE451">
        <v>421</v>
      </c>
      <c r="AF451">
        <v>1</v>
      </c>
      <c r="AG451">
        <v>0</v>
      </c>
      <c r="AH451">
        <v>3.8919739723205571</v>
      </c>
      <c r="AJ451">
        <v>7.8348288536071777</v>
      </c>
      <c r="AK451" t="s">
        <v>54</v>
      </c>
      <c r="AL451" t="s">
        <v>54</v>
      </c>
      <c r="AQ451" t="s">
        <v>54</v>
      </c>
      <c r="AW451" t="s">
        <v>53</v>
      </c>
      <c r="AZ451" t="s">
        <v>54</v>
      </c>
      <c r="BA451" t="s">
        <v>2425</v>
      </c>
      <c r="BB451" s="15" t="s">
        <v>676</v>
      </c>
    </row>
    <row r="452" spans="1:54" x14ac:dyDescent="0.25">
      <c r="A452">
        <v>447</v>
      </c>
      <c r="B452" t="s">
        <v>4937</v>
      </c>
      <c r="C452" t="s">
        <v>4938</v>
      </c>
      <c r="D452" t="s">
        <v>4939</v>
      </c>
      <c r="E452">
        <v>3</v>
      </c>
      <c r="F452" t="s">
        <v>3803</v>
      </c>
      <c r="G452" t="s">
        <v>3938</v>
      </c>
      <c r="H452" t="s">
        <v>3939</v>
      </c>
      <c r="I452" t="s">
        <v>3940</v>
      </c>
      <c r="J452" t="s">
        <v>4696</v>
      </c>
      <c r="K452" t="s">
        <v>3941</v>
      </c>
      <c r="L452" t="s">
        <v>4940</v>
      </c>
      <c r="M452">
        <v>1169.4541015625</v>
      </c>
      <c r="N452" t="s">
        <v>54</v>
      </c>
      <c r="O452" t="s">
        <v>53</v>
      </c>
      <c r="P452" t="s">
        <v>53</v>
      </c>
      <c r="Q452" t="s">
        <v>53</v>
      </c>
      <c r="R452" t="s">
        <v>53</v>
      </c>
      <c r="S452" t="s">
        <v>1064</v>
      </c>
      <c r="T452" t="s">
        <v>1064</v>
      </c>
      <c r="U452" t="s">
        <v>53</v>
      </c>
      <c r="V452" t="s">
        <v>51</v>
      </c>
      <c r="W452">
        <v>500000</v>
      </c>
      <c r="X452" t="s">
        <v>54</v>
      </c>
      <c r="Y452" t="s">
        <v>3819</v>
      </c>
      <c r="Z452">
        <v>50000</v>
      </c>
      <c r="AA452">
        <v>8682</v>
      </c>
      <c r="AB452">
        <v>8049</v>
      </c>
      <c r="AC452">
        <v>4876</v>
      </c>
      <c r="AD452">
        <v>11291</v>
      </c>
      <c r="AE452">
        <v>12221</v>
      </c>
      <c r="AF452">
        <v>87</v>
      </c>
      <c r="AG452">
        <v>6</v>
      </c>
      <c r="AH452">
        <v>256.54928588867188</v>
      </c>
      <c r="AJ452">
        <v>71161.5234375</v>
      </c>
      <c r="AK452" t="s">
        <v>54</v>
      </c>
      <c r="AL452" t="s">
        <v>54</v>
      </c>
      <c r="AQ452" t="s">
        <v>54</v>
      </c>
      <c r="AW452" t="s">
        <v>54</v>
      </c>
      <c r="AZ452" t="s">
        <v>54</v>
      </c>
      <c r="BA452" t="s">
        <v>2425</v>
      </c>
      <c r="BB452" s="15" t="s">
        <v>676</v>
      </c>
    </row>
    <row r="453" spans="1:54" x14ac:dyDescent="0.25">
      <c r="A453">
        <v>448</v>
      </c>
      <c r="B453" t="s">
        <v>4941</v>
      </c>
      <c r="C453" t="s">
        <v>4942</v>
      </c>
      <c r="D453" t="s">
        <v>4943</v>
      </c>
      <c r="E453">
        <v>3</v>
      </c>
      <c r="F453" t="s">
        <v>3803</v>
      </c>
      <c r="G453" t="s">
        <v>3840</v>
      </c>
      <c r="H453" t="s">
        <v>4116</v>
      </c>
      <c r="I453" t="s">
        <v>4828</v>
      </c>
      <c r="J453" t="s">
        <v>4829</v>
      </c>
      <c r="K453" t="s">
        <v>4830</v>
      </c>
      <c r="L453" t="s">
        <v>4428</v>
      </c>
      <c r="M453">
        <v>5.2873435020446777</v>
      </c>
      <c r="N453" t="s">
        <v>54</v>
      </c>
      <c r="O453" t="s">
        <v>53</v>
      </c>
      <c r="P453" t="s">
        <v>53</v>
      </c>
      <c r="Q453" t="s">
        <v>53</v>
      </c>
      <c r="R453" t="s">
        <v>53</v>
      </c>
      <c r="S453" t="s">
        <v>4832</v>
      </c>
      <c r="T453" t="s">
        <v>4832</v>
      </c>
      <c r="U453" t="s">
        <v>53</v>
      </c>
      <c r="V453" t="s">
        <v>51</v>
      </c>
      <c r="W453">
        <v>100000</v>
      </c>
      <c r="X453" t="s">
        <v>54</v>
      </c>
      <c r="Y453" t="s">
        <v>3819</v>
      </c>
      <c r="Z453">
        <v>10000</v>
      </c>
      <c r="AA453">
        <v>3</v>
      </c>
      <c r="AB453">
        <v>1</v>
      </c>
      <c r="AC453">
        <v>7</v>
      </c>
      <c r="AD453">
        <v>6</v>
      </c>
      <c r="AE453">
        <v>12</v>
      </c>
      <c r="AF453">
        <v>1</v>
      </c>
      <c r="AG453">
        <v>0</v>
      </c>
      <c r="AH453">
        <v>1.078611016273499</v>
      </c>
      <c r="AJ453">
        <v>167.4028015136719</v>
      </c>
      <c r="AK453" t="s">
        <v>54</v>
      </c>
      <c r="AL453" t="s">
        <v>54</v>
      </c>
      <c r="AQ453" t="s">
        <v>54</v>
      </c>
      <c r="AW453" t="s">
        <v>54</v>
      </c>
      <c r="AZ453" t="s">
        <v>54</v>
      </c>
      <c r="BA453" t="s">
        <v>2425</v>
      </c>
      <c r="BB453" s="15" t="s">
        <v>676</v>
      </c>
    </row>
    <row r="454" spans="1:54" x14ac:dyDescent="0.25">
      <c r="A454">
        <v>449</v>
      </c>
      <c r="B454" t="s">
        <v>4944</v>
      </c>
      <c r="C454" t="s">
        <v>4945</v>
      </c>
      <c r="D454" t="s">
        <v>4946</v>
      </c>
      <c r="E454">
        <v>3</v>
      </c>
      <c r="F454" t="s">
        <v>3803</v>
      </c>
      <c r="G454" t="s">
        <v>3814</v>
      </c>
      <c r="H454" t="s">
        <v>4137</v>
      </c>
      <c r="I454" t="s">
        <v>4408</v>
      </c>
      <c r="J454" t="s">
        <v>4409</v>
      </c>
      <c r="K454" t="s">
        <v>4410</v>
      </c>
      <c r="L454" t="s">
        <v>4814</v>
      </c>
      <c r="M454">
        <v>8.6022481918334961</v>
      </c>
      <c r="N454" t="s">
        <v>54</v>
      </c>
      <c r="O454" t="s">
        <v>53</v>
      </c>
      <c r="P454" t="s">
        <v>53</v>
      </c>
      <c r="Q454" t="s">
        <v>53</v>
      </c>
      <c r="R454" t="s">
        <v>53</v>
      </c>
      <c r="S454" t="s">
        <v>1668</v>
      </c>
      <c r="T454" t="s">
        <v>1668</v>
      </c>
      <c r="U454" t="s">
        <v>53</v>
      </c>
      <c r="V454" t="s">
        <v>51</v>
      </c>
      <c r="W454">
        <v>100000</v>
      </c>
      <c r="X454" t="s">
        <v>54</v>
      </c>
      <c r="Y454" t="s">
        <v>3819</v>
      </c>
      <c r="Z454">
        <v>10000</v>
      </c>
      <c r="AA454">
        <v>209</v>
      </c>
      <c r="AB454">
        <v>191</v>
      </c>
      <c r="AC454">
        <v>133</v>
      </c>
      <c r="AD454">
        <v>318</v>
      </c>
      <c r="AE454">
        <v>358</v>
      </c>
      <c r="AF454">
        <v>0</v>
      </c>
      <c r="AG454">
        <v>0</v>
      </c>
      <c r="AH454">
        <v>4.0001220703125</v>
      </c>
      <c r="AJ454">
        <v>741.74908447265625</v>
      </c>
      <c r="AK454" t="s">
        <v>54</v>
      </c>
      <c r="AL454" t="s">
        <v>54</v>
      </c>
      <c r="AQ454" t="s">
        <v>54</v>
      </c>
      <c r="AW454" t="s">
        <v>54</v>
      </c>
      <c r="AZ454" t="s">
        <v>54</v>
      </c>
      <c r="BA454" t="s">
        <v>2425</v>
      </c>
      <c r="BB454" s="15" t="s">
        <v>676</v>
      </c>
    </row>
    <row r="455" spans="1:54" x14ac:dyDescent="0.25">
      <c r="A455">
        <v>450</v>
      </c>
      <c r="B455" t="s">
        <v>4947</v>
      </c>
      <c r="C455" t="s">
        <v>4948</v>
      </c>
      <c r="D455" t="s">
        <v>3802</v>
      </c>
      <c r="E455">
        <v>3</v>
      </c>
      <c r="F455" t="s">
        <v>3803</v>
      </c>
      <c r="G455" t="s">
        <v>4949</v>
      </c>
      <c r="H455" t="s">
        <v>4950</v>
      </c>
      <c r="I455" t="s">
        <v>4951</v>
      </c>
      <c r="J455" t="s">
        <v>4409</v>
      </c>
      <c r="K455" t="s">
        <v>4952</v>
      </c>
      <c r="L455" t="s">
        <v>3809</v>
      </c>
      <c r="M455">
        <v>922.671875</v>
      </c>
      <c r="N455" t="s">
        <v>54</v>
      </c>
      <c r="O455" t="s">
        <v>53</v>
      </c>
      <c r="P455" t="s">
        <v>53</v>
      </c>
      <c r="Q455" t="s">
        <v>53</v>
      </c>
      <c r="R455" t="s">
        <v>53</v>
      </c>
      <c r="S455" t="s">
        <v>3038</v>
      </c>
      <c r="T455" t="s">
        <v>3038</v>
      </c>
      <c r="U455" t="s">
        <v>53</v>
      </c>
      <c r="V455" t="s">
        <v>138</v>
      </c>
      <c r="W455">
        <v>1254000</v>
      </c>
      <c r="X455" t="s">
        <v>54</v>
      </c>
      <c r="Y455" t="s">
        <v>3819</v>
      </c>
      <c r="Z455">
        <v>125400</v>
      </c>
      <c r="AA455">
        <v>1</v>
      </c>
      <c r="AB455">
        <v>0</v>
      </c>
      <c r="AC455">
        <v>2</v>
      </c>
      <c r="AD455">
        <v>5</v>
      </c>
      <c r="AE455">
        <v>5</v>
      </c>
      <c r="AF455">
        <v>0</v>
      </c>
      <c r="AG455">
        <v>0</v>
      </c>
      <c r="AH455">
        <v>7.8994359970092773</v>
      </c>
      <c r="AJ455">
        <v>4393.65185546875</v>
      </c>
      <c r="AK455" t="s">
        <v>54</v>
      </c>
      <c r="AL455" t="s">
        <v>54</v>
      </c>
      <c r="AQ455" t="s">
        <v>54</v>
      </c>
      <c r="AW455" t="s">
        <v>53</v>
      </c>
      <c r="AZ455" t="s">
        <v>54</v>
      </c>
      <c r="BA455" t="s">
        <v>3481</v>
      </c>
      <c r="BB455" s="15" t="s">
        <v>678</v>
      </c>
    </row>
    <row r="456" spans="1:54" x14ac:dyDescent="0.25">
      <c r="A456">
        <v>451</v>
      </c>
      <c r="B456" t="s">
        <v>4953</v>
      </c>
      <c r="C456" t="s">
        <v>4954</v>
      </c>
      <c r="D456" t="s">
        <v>4955</v>
      </c>
      <c r="E456">
        <v>3</v>
      </c>
      <c r="F456" t="s">
        <v>3803</v>
      </c>
      <c r="G456" t="s">
        <v>4041</v>
      </c>
      <c r="H456" t="s">
        <v>4161</v>
      </c>
      <c r="I456" t="s">
        <v>4682</v>
      </c>
      <c r="J456" t="s">
        <v>4701</v>
      </c>
      <c r="K456" t="s">
        <v>4702</v>
      </c>
      <c r="L456" t="s">
        <v>4428</v>
      </c>
      <c r="M456">
        <v>2.6190638542175289</v>
      </c>
      <c r="N456" t="s">
        <v>54</v>
      </c>
      <c r="O456" t="s">
        <v>53</v>
      </c>
      <c r="P456" t="s">
        <v>53</v>
      </c>
      <c r="Q456" t="s">
        <v>53</v>
      </c>
      <c r="R456" t="s">
        <v>53</v>
      </c>
      <c r="S456" t="s">
        <v>4667</v>
      </c>
      <c r="T456" t="s">
        <v>4667</v>
      </c>
      <c r="U456" t="s">
        <v>53</v>
      </c>
      <c r="V456" t="s">
        <v>51</v>
      </c>
      <c r="W456">
        <v>250000</v>
      </c>
      <c r="X456" t="s">
        <v>54</v>
      </c>
      <c r="Y456" t="s">
        <v>3819</v>
      </c>
      <c r="Z456">
        <v>25000</v>
      </c>
      <c r="AA456">
        <v>4</v>
      </c>
      <c r="AB456">
        <v>4</v>
      </c>
      <c r="AC456">
        <v>5</v>
      </c>
      <c r="AD456">
        <v>23</v>
      </c>
      <c r="AE456">
        <v>23</v>
      </c>
      <c r="AF456">
        <v>0</v>
      </c>
      <c r="AG456">
        <v>1</v>
      </c>
      <c r="AH456">
        <v>0.1097175031900406</v>
      </c>
      <c r="AJ456">
        <v>3.1668329238891602</v>
      </c>
      <c r="AK456" t="s">
        <v>54</v>
      </c>
      <c r="AL456" t="s">
        <v>54</v>
      </c>
      <c r="AQ456" t="s">
        <v>54</v>
      </c>
      <c r="AW456" t="s">
        <v>53</v>
      </c>
      <c r="AZ456" t="s">
        <v>54</v>
      </c>
      <c r="BA456" t="s">
        <v>2425</v>
      </c>
      <c r="BB456" s="15" t="s">
        <v>678</v>
      </c>
    </row>
    <row r="457" spans="1:54" x14ac:dyDescent="0.25">
      <c r="A457">
        <v>452</v>
      </c>
      <c r="B457" t="s">
        <v>4956</v>
      </c>
      <c r="C457" t="s">
        <v>4957</v>
      </c>
      <c r="D457" t="s">
        <v>4958</v>
      </c>
      <c r="E457">
        <v>3</v>
      </c>
      <c r="F457" t="s">
        <v>3803</v>
      </c>
      <c r="G457" t="s">
        <v>3814</v>
      </c>
      <c r="H457" t="s">
        <v>4137</v>
      </c>
      <c r="I457" t="s">
        <v>4959</v>
      </c>
      <c r="J457" t="s">
        <v>4960</v>
      </c>
      <c r="K457" t="s">
        <v>4961</v>
      </c>
      <c r="L457" t="s">
        <v>4428</v>
      </c>
      <c r="M457">
        <v>5.6408991813659668</v>
      </c>
      <c r="N457" t="s">
        <v>54</v>
      </c>
      <c r="O457" t="s">
        <v>53</v>
      </c>
      <c r="P457" t="s">
        <v>53</v>
      </c>
      <c r="Q457" t="s">
        <v>53</v>
      </c>
      <c r="R457" t="s">
        <v>53</v>
      </c>
      <c r="S457" t="s">
        <v>1668</v>
      </c>
      <c r="T457" t="s">
        <v>1668</v>
      </c>
      <c r="U457" t="s">
        <v>53</v>
      </c>
      <c r="V457" t="s">
        <v>51</v>
      </c>
      <c r="W457">
        <v>100000</v>
      </c>
      <c r="X457" t="s">
        <v>54</v>
      </c>
      <c r="Y457" t="s">
        <v>3819</v>
      </c>
      <c r="Z457">
        <v>10000</v>
      </c>
      <c r="AA457">
        <v>252</v>
      </c>
      <c r="AB457">
        <v>227</v>
      </c>
      <c r="AC457">
        <v>205</v>
      </c>
      <c r="AD457">
        <v>517</v>
      </c>
      <c r="AE457">
        <v>557</v>
      </c>
      <c r="AF457">
        <v>0</v>
      </c>
      <c r="AG457">
        <v>0</v>
      </c>
      <c r="AH457">
        <v>4.0062360763549796</v>
      </c>
      <c r="AJ457">
        <v>755.3494873046875</v>
      </c>
      <c r="AK457" t="s">
        <v>54</v>
      </c>
      <c r="AL457" t="s">
        <v>54</v>
      </c>
      <c r="AQ457" t="s">
        <v>54</v>
      </c>
      <c r="AW457" t="s">
        <v>54</v>
      </c>
      <c r="AZ457" t="s">
        <v>54</v>
      </c>
      <c r="BA457" t="s">
        <v>2425</v>
      </c>
      <c r="BB457" s="15" t="s">
        <v>678</v>
      </c>
    </row>
    <row r="458" spans="1:54" x14ac:dyDescent="0.25">
      <c r="A458">
        <v>453</v>
      </c>
      <c r="B458" t="s">
        <v>4962</v>
      </c>
      <c r="C458" t="s">
        <v>4963</v>
      </c>
      <c r="D458" t="s">
        <v>4964</v>
      </c>
      <c r="E458">
        <v>3</v>
      </c>
      <c r="F458" t="s">
        <v>3803</v>
      </c>
      <c r="G458" t="s">
        <v>4041</v>
      </c>
      <c r="H458" t="s">
        <v>4161</v>
      </c>
      <c r="I458" t="s">
        <v>4664</v>
      </c>
      <c r="J458" t="s">
        <v>4711</v>
      </c>
      <c r="K458" t="s">
        <v>4712</v>
      </c>
      <c r="L458" t="s">
        <v>4428</v>
      </c>
      <c r="M458">
        <v>3.8361272811889648</v>
      </c>
      <c r="N458" t="s">
        <v>54</v>
      </c>
      <c r="O458" t="s">
        <v>53</v>
      </c>
      <c r="P458" t="s">
        <v>53</v>
      </c>
      <c r="Q458" t="s">
        <v>53</v>
      </c>
      <c r="R458" t="s">
        <v>53</v>
      </c>
      <c r="S458" t="s">
        <v>4667</v>
      </c>
      <c r="T458" t="s">
        <v>4667</v>
      </c>
      <c r="U458" t="s">
        <v>53</v>
      </c>
      <c r="V458" t="s">
        <v>51</v>
      </c>
      <c r="W458">
        <v>250000</v>
      </c>
      <c r="X458" t="s">
        <v>54</v>
      </c>
      <c r="Y458" t="s">
        <v>3819</v>
      </c>
      <c r="Z458">
        <v>25000</v>
      </c>
      <c r="AA458">
        <v>18</v>
      </c>
      <c r="AB458">
        <v>7</v>
      </c>
      <c r="AC458">
        <v>1100</v>
      </c>
      <c r="AD458">
        <v>8</v>
      </c>
      <c r="AE458">
        <v>1107</v>
      </c>
      <c r="AF458">
        <v>2</v>
      </c>
      <c r="AG458">
        <v>0</v>
      </c>
      <c r="AH458">
        <v>3.3714649677276611</v>
      </c>
      <c r="AJ458">
        <v>160.7330017089844</v>
      </c>
      <c r="AK458" t="s">
        <v>54</v>
      </c>
      <c r="AL458" t="s">
        <v>54</v>
      </c>
      <c r="AQ458" t="s">
        <v>54</v>
      </c>
      <c r="AW458" t="s">
        <v>53</v>
      </c>
      <c r="AZ458" t="s">
        <v>54</v>
      </c>
      <c r="BA458" t="s">
        <v>2425</v>
      </c>
      <c r="BB458" s="15" t="s">
        <v>678</v>
      </c>
    </row>
    <row r="459" spans="1:54" x14ac:dyDescent="0.25">
      <c r="A459">
        <v>454</v>
      </c>
      <c r="B459" t="s">
        <v>4965</v>
      </c>
      <c r="C459" t="s">
        <v>4966</v>
      </c>
      <c r="D459" t="s">
        <v>4967</v>
      </c>
      <c r="E459">
        <v>3</v>
      </c>
      <c r="F459" t="s">
        <v>3803</v>
      </c>
      <c r="G459" t="s">
        <v>4041</v>
      </c>
      <c r="H459" t="s">
        <v>4161</v>
      </c>
      <c r="I459" t="s">
        <v>4682</v>
      </c>
      <c r="J459" t="s">
        <v>4701</v>
      </c>
      <c r="K459" t="s">
        <v>4702</v>
      </c>
      <c r="L459" t="s">
        <v>4428</v>
      </c>
      <c r="M459">
        <v>2.6190638542175289</v>
      </c>
      <c r="N459" t="s">
        <v>54</v>
      </c>
      <c r="O459" t="s">
        <v>53</v>
      </c>
      <c r="P459" t="s">
        <v>53</v>
      </c>
      <c r="Q459" t="s">
        <v>53</v>
      </c>
      <c r="R459" t="s">
        <v>53</v>
      </c>
      <c r="S459" t="s">
        <v>4667</v>
      </c>
      <c r="T459" t="s">
        <v>4667</v>
      </c>
      <c r="U459" t="s">
        <v>53</v>
      </c>
      <c r="V459" t="s">
        <v>51</v>
      </c>
      <c r="W459">
        <v>250000</v>
      </c>
      <c r="X459" t="s">
        <v>54</v>
      </c>
      <c r="Y459" t="s">
        <v>3819</v>
      </c>
      <c r="Z459">
        <v>25000</v>
      </c>
      <c r="AA459">
        <v>4</v>
      </c>
      <c r="AB459">
        <v>4</v>
      </c>
      <c r="AC459">
        <v>5</v>
      </c>
      <c r="AD459">
        <v>23</v>
      </c>
      <c r="AE459">
        <v>23</v>
      </c>
      <c r="AF459">
        <v>0</v>
      </c>
      <c r="AG459">
        <v>1</v>
      </c>
      <c r="AH459">
        <v>0.1097175031900406</v>
      </c>
      <c r="AJ459">
        <v>3.1668329238891602</v>
      </c>
      <c r="AK459" t="s">
        <v>54</v>
      </c>
      <c r="AL459" t="s">
        <v>54</v>
      </c>
      <c r="AQ459" t="s">
        <v>54</v>
      </c>
      <c r="AW459" t="s">
        <v>53</v>
      </c>
      <c r="AZ459" t="s">
        <v>54</v>
      </c>
      <c r="BA459" t="s">
        <v>2425</v>
      </c>
      <c r="BB459" s="15" t="s">
        <v>678</v>
      </c>
    </row>
    <row r="460" spans="1:54" x14ac:dyDescent="0.25">
      <c r="A460">
        <v>455</v>
      </c>
      <c r="B460" t="s">
        <v>4968</v>
      </c>
      <c r="C460" t="s">
        <v>4969</v>
      </c>
      <c r="D460" t="s">
        <v>4970</v>
      </c>
      <c r="E460">
        <v>3</v>
      </c>
      <c r="F460" t="s">
        <v>3803</v>
      </c>
      <c r="G460" t="s">
        <v>4041</v>
      </c>
      <c r="H460" t="s">
        <v>4725</v>
      </c>
      <c r="I460" t="s">
        <v>4726</v>
      </c>
      <c r="J460" t="s">
        <v>4727</v>
      </c>
      <c r="K460" t="s">
        <v>4728</v>
      </c>
      <c r="L460" t="s">
        <v>4428</v>
      </c>
      <c r="M460">
        <v>3.205730676651001</v>
      </c>
      <c r="N460" t="s">
        <v>54</v>
      </c>
      <c r="O460" t="s">
        <v>53</v>
      </c>
      <c r="P460" t="s">
        <v>53</v>
      </c>
      <c r="Q460" t="s">
        <v>53</v>
      </c>
      <c r="R460" t="s">
        <v>53</v>
      </c>
      <c r="S460" t="s">
        <v>4667</v>
      </c>
      <c r="T460" t="s">
        <v>4667</v>
      </c>
      <c r="U460" t="s">
        <v>53</v>
      </c>
      <c r="V460" t="s">
        <v>51</v>
      </c>
      <c r="W460">
        <v>250000</v>
      </c>
      <c r="X460" t="s">
        <v>54</v>
      </c>
      <c r="Y460" t="s">
        <v>3819</v>
      </c>
      <c r="Z460">
        <v>25000</v>
      </c>
      <c r="AA460">
        <v>75</v>
      </c>
      <c r="AB460">
        <v>73</v>
      </c>
      <c r="AC460">
        <v>502</v>
      </c>
      <c r="AD460">
        <v>652</v>
      </c>
      <c r="AE460">
        <v>1003</v>
      </c>
      <c r="AF460">
        <v>2</v>
      </c>
      <c r="AG460">
        <v>4</v>
      </c>
      <c r="AH460">
        <v>1.245695948600769</v>
      </c>
      <c r="AJ460">
        <v>1.2364480495452881</v>
      </c>
      <c r="AK460" t="s">
        <v>54</v>
      </c>
      <c r="AL460" t="s">
        <v>54</v>
      </c>
      <c r="AQ460" t="s">
        <v>54</v>
      </c>
      <c r="AW460" t="s">
        <v>53</v>
      </c>
      <c r="AZ460" t="s">
        <v>54</v>
      </c>
      <c r="BA460" t="s">
        <v>2425</v>
      </c>
      <c r="BB460" s="15" t="s">
        <v>678</v>
      </c>
    </row>
    <row r="461" spans="1:54" x14ac:dyDescent="0.25">
      <c r="A461">
        <v>456</v>
      </c>
      <c r="B461" t="s">
        <v>4971</v>
      </c>
      <c r="C461" t="s">
        <v>4972</v>
      </c>
      <c r="D461" t="s">
        <v>4973</v>
      </c>
      <c r="E461">
        <v>3</v>
      </c>
      <c r="F461" t="s">
        <v>3803</v>
      </c>
      <c r="G461" t="s">
        <v>4041</v>
      </c>
      <c r="H461" t="s">
        <v>4161</v>
      </c>
      <c r="I461" t="s">
        <v>4682</v>
      </c>
      <c r="J461" t="s">
        <v>4701</v>
      </c>
      <c r="K461" t="s">
        <v>4702</v>
      </c>
      <c r="L461" t="s">
        <v>4428</v>
      </c>
      <c r="M461">
        <v>2.6190638542175289</v>
      </c>
      <c r="N461" t="s">
        <v>54</v>
      </c>
      <c r="O461" t="s">
        <v>53</v>
      </c>
      <c r="P461" t="s">
        <v>53</v>
      </c>
      <c r="Q461" t="s">
        <v>53</v>
      </c>
      <c r="R461" t="s">
        <v>53</v>
      </c>
      <c r="S461" t="s">
        <v>4667</v>
      </c>
      <c r="T461" t="s">
        <v>4667</v>
      </c>
      <c r="U461" t="s">
        <v>53</v>
      </c>
      <c r="V461" t="s">
        <v>51</v>
      </c>
      <c r="W461">
        <v>250000</v>
      </c>
      <c r="X461" t="s">
        <v>54</v>
      </c>
      <c r="Y461" t="s">
        <v>3819</v>
      </c>
      <c r="Z461">
        <v>25000</v>
      </c>
      <c r="AA461">
        <v>4</v>
      </c>
      <c r="AB461">
        <v>4</v>
      </c>
      <c r="AC461">
        <v>5</v>
      </c>
      <c r="AD461">
        <v>23</v>
      </c>
      <c r="AE461">
        <v>23</v>
      </c>
      <c r="AF461">
        <v>0</v>
      </c>
      <c r="AG461">
        <v>1</v>
      </c>
      <c r="AH461">
        <v>0.1097175031900406</v>
      </c>
      <c r="AJ461">
        <v>3.1668329238891602</v>
      </c>
      <c r="AK461" t="s">
        <v>54</v>
      </c>
      <c r="AL461" t="s">
        <v>54</v>
      </c>
      <c r="AQ461" t="s">
        <v>54</v>
      </c>
      <c r="AW461" t="s">
        <v>53</v>
      </c>
      <c r="AZ461" t="s">
        <v>54</v>
      </c>
      <c r="BA461" t="s">
        <v>2425</v>
      </c>
      <c r="BB461" s="15" t="s">
        <v>678</v>
      </c>
    </row>
    <row r="462" spans="1:54" x14ac:dyDescent="0.25">
      <c r="A462">
        <v>457</v>
      </c>
      <c r="B462" t="s">
        <v>4974</v>
      </c>
      <c r="C462" t="s">
        <v>4975</v>
      </c>
      <c r="D462" t="s">
        <v>4976</v>
      </c>
      <c r="E462">
        <v>3</v>
      </c>
      <c r="F462" t="s">
        <v>3803</v>
      </c>
      <c r="G462" t="s">
        <v>4041</v>
      </c>
      <c r="H462" t="s">
        <v>4161</v>
      </c>
      <c r="I462" t="s">
        <v>4664</v>
      </c>
      <c r="J462" t="s">
        <v>4711</v>
      </c>
      <c r="K462" t="s">
        <v>4712</v>
      </c>
      <c r="L462" t="s">
        <v>4428</v>
      </c>
      <c r="M462">
        <v>3.8361272811889648</v>
      </c>
      <c r="N462" t="s">
        <v>54</v>
      </c>
      <c r="O462" t="s">
        <v>53</v>
      </c>
      <c r="P462" t="s">
        <v>53</v>
      </c>
      <c r="Q462" t="s">
        <v>53</v>
      </c>
      <c r="R462" t="s">
        <v>53</v>
      </c>
      <c r="S462" t="s">
        <v>4667</v>
      </c>
      <c r="T462" t="s">
        <v>4667</v>
      </c>
      <c r="U462" t="s">
        <v>53</v>
      </c>
      <c r="V462" t="s">
        <v>51</v>
      </c>
      <c r="W462">
        <v>250000</v>
      </c>
      <c r="X462" t="s">
        <v>54</v>
      </c>
      <c r="Y462" t="s">
        <v>3819</v>
      </c>
      <c r="Z462">
        <v>25000</v>
      </c>
      <c r="AA462">
        <v>18</v>
      </c>
      <c r="AB462">
        <v>7</v>
      </c>
      <c r="AC462">
        <v>1100</v>
      </c>
      <c r="AD462">
        <v>8</v>
      </c>
      <c r="AE462">
        <v>1107</v>
      </c>
      <c r="AF462">
        <v>2</v>
      </c>
      <c r="AG462">
        <v>0</v>
      </c>
      <c r="AH462">
        <v>3.3714649677276611</v>
      </c>
      <c r="AJ462">
        <v>160.7330017089844</v>
      </c>
      <c r="AK462" t="s">
        <v>54</v>
      </c>
      <c r="AL462" t="s">
        <v>54</v>
      </c>
      <c r="AQ462" t="s">
        <v>54</v>
      </c>
      <c r="AW462" t="s">
        <v>53</v>
      </c>
      <c r="AZ462" t="s">
        <v>54</v>
      </c>
      <c r="BA462" t="s">
        <v>2425</v>
      </c>
      <c r="BB462" s="15" t="s">
        <v>678</v>
      </c>
    </row>
    <row r="463" spans="1:54" x14ac:dyDescent="0.25">
      <c r="A463">
        <v>458</v>
      </c>
      <c r="B463" t="s">
        <v>4977</v>
      </c>
      <c r="C463" t="s">
        <v>4978</v>
      </c>
      <c r="D463" t="s">
        <v>4979</v>
      </c>
      <c r="E463">
        <v>3</v>
      </c>
      <c r="F463" t="s">
        <v>3803</v>
      </c>
      <c r="G463" t="s">
        <v>4041</v>
      </c>
      <c r="H463" t="s">
        <v>4161</v>
      </c>
      <c r="I463" t="s">
        <v>4664</v>
      </c>
      <c r="J463" t="s">
        <v>4677</v>
      </c>
      <c r="K463" t="s">
        <v>4678</v>
      </c>
      <c r="L463" t="s">
        <v>4428</v>
      </c>
      <c r="M463">
        <v>2.1903412342071529</v>
      </c>
      <c r="N463" t="s">
        <v>54</v>
      </c>
      <c r="O463" t="s">
        <v>53</v>
      </c>
      <c r="P463" t="s">
        <v>53</v>
      </c>
      <c r="Q463" t="s">
        <v>53</v>
      </c>
      <c r="R463" t="s">
        <v>53</v>
      </c>
      <c r="S463" t="s">
        <v>4667</v>
      </c>
      <c r="T463" t="s">
        <v>4667</v>
      </c>
      <c r="U463" t="s">
        <v>53</v>
      </c>
      <c r="V463" t="s">
        <v>51</v>
      </c>
      <c r="W463">
        <v>250000</v>
      </c>
      <c r="X463" t="s">
        <v>54</v>
      </c>
      <c r="Y463" t="s">
        <v>3819</v>
      </c>
      <c r="Z463">
        <v>25000</v>
      </c>
      <c r="AA463">
        <v>30</v>
      </c>
      <c r="AB463">
        <v>29</v>
      </c>
      <c r="AC463">
        <v>26</v>
      </c>
      <c r="AD463">
        <v>112</v>
      </c>
      <c r="AE463">
        <v>112</v>
      </c>
      <c r="AF463">
        <v>0</v>
      </c>
      <c r="AG463">
        <v>3</v>
      </c>
      <c r="AH463">
        <v>0.95970332622528076</v>
      </c>
      <c r="AJ463">
        <v>10.39986991882324</v>
      </c>
      <c r="AK463" t="s">
        <v>54</v>
      </c>
      <c r="AL463" t="s">
        <v>54</v>
      </c>
      <c r="AQ463" t="s">
        <v>54</v>
      </c>
      <c r="AW463" t="s">
        <v>53</v>
      </c>
      <c r="AZ463" t="s">
        <v>54</v>
      </c>
      <c r="BA463" t="s">
        <v>2425</v>
      </c>
      <c r="BB463" s="15" t="s">
        <v>676</v>
      </c>
    </row>
    <row r="464" spans="1:54" x14ac:dyDescent="0.25">
      <c r="A464">
        <v>459</v>
      </c>
      <c r="B464" t="s">
        <v>4980</v>
      </c>
      <c r="C464" t="s">
        <v>4981</v>
      </c>
      <c r="D464" t="s">
        <v>4982</v>
      </c>
      <c r="E464">
        <v>3</v>
      </c>
      <c r="F464" t="s">
        <v>3803</v>
      </c>
      <c r="G464" t="s">
        <v>4041</v>
      </c>
      <c r="H464" t="s">
        <v>4161</v>
      </c>
      <c r="I464" t="s">
        <v>4664</v>
      </c>
      <c r="J464" t="s">
        <v>4677</v>
      </c>
      <c r="K464" t="s">
        <v>4678</v>
      </c>
      <c r="L464" t="s">
        <v>4428</v>
      </c>
      <c r="M464">
        <v>2.1903412342071529</v>
      </c>
      <c r="N464" t="s">
        <v>54</v>
      </c>
      <c r="O464" t="s">
        <v>53</v>
      </c>
      <c r="P464" t="s">
        <v>53</v>
      </c>
      <c r="Q464" t="s">
        <v>53</v>
      </c>
      <c r="R464" t="s">
        <v>53</v>
      </c>
      <c r="S464" t="s">
        <v>4667</v>
      </c>
      <c r="T464" t="s">
        <v>4667</v>
      </c>
      <c r="U464" t="s">
        <v>53</v>
      </c>
      <c r="V464" t="s">
        <v>51</v>
      </c>
      <c r="W464">
        <v>250000</v>
      </c>
      <c r="X464" t="s">
        <v>54</v>
      </c>
      <c r="Y464" t="s">
        <v>3819</v>
      </c>
      <c r="Z464">
        <v>25000</v>
      </c>
      <c r="AA464">
        <v>30</v>
      </c>
      <c r="AB464">
        <v>29</v>
      </c>
      <c r="AC464">
        <v>26</v>
      </c>
      <c r="AD464">
        <v>112</v>
      </c>
      <c r="AE464">
        <v>112</v>
      </c>
      <c r="AF464">
        <v>0</v>
      </c>
      <c r="AG464">
        <v>3</v>
      </c>
      <c r="AH464">
        <v>0.95970332622528076</v>
      </c>
      <c r="AJ464">
        <v>10.39986991882324</v>
      </c>
      <c r="AK464" t="s">
        <v>54</v>
      </c>
      <c r="AL464" t="s">
        <v>54</v>
      </c>
      <c r="AQ464" t="s">
        <v>54</v>
      </c>
      <c r="AW464" t="s">
        <v>53</v>
      </c>
      <c r="AZ464" t="s">
        <v>54</v>
      </c>
      <c r="BA464" t="s">
        <v>2425</v>
      </c>
      <c r="BB464" s="15" t="s">
        <v>676</v>
      </c>
    </row>
    <row r="465" spans="1:54" x14ac:dyDescent="0.25">
      <c r="A465">
        <v>460</v>
      </c>
      <c r="B465" t="s">
        <v>4983</v>
      </c>
      <c r="C465" t="s">
        <v>4984</v>
      </c>
      <c r="D465" t="s">
        <v>4985</v>
      </c>
      <c r="E465">
        <v>3</v>
      </c>
      <c r="F465" t="s">
        <v>3803</v>
      </c>
      <c r="G465" t="s">
        <v>4041</v>
      </c>
      <c r="H465" t="s">
        <v>4161</v>
      </c>
      <c r="I465" t="s">
        <v>4664</v>
      </c>
      <c r="J465" t="s">
        <v>4711</v>
      </c>
      <c r="K465" t="s">
        <v>4712</v>
      </c>
      <c r="L465" t="s">
        <v>4428</v>
      </c>
      <c r="M465">
        <v>3.8361272811889648</v>
      </c>
      <c r="N465" t="s">
        <v>54</v>
      </c>
      <c r="O465" t="s">
        <v>53</v>
      </c>
      <c r="P465" t="s">
        <v>53</v>
      </c>
      <c r="Q465" t="s">
        <v>53</v>
      </c>
      <c r="R465" t="s">
        <v>53</v>
      </c>
      <c r="S465" t="s">
        <v>4667</v>
      </c>
      <c r="T465" t="s">
        <v>4667</v>
      </c>
      <c r="U465" t="s">
        <v>53</v>
      </c>
      <c r="V465" t="s">
        <v>51</v>
      </c>
      <c r="W465">
        <v>250000</v>
      </c>
      <c r="X465" t="s">
        <v>54</v>
      </c>
      <c r="Y465" t="s">
        <v>3819</v>
      </c>
      <c r="Z465">
        <v>25000</v>
      </c>
      <c r="AA465">
        <v>18</v>
      </c>
      <c r="AB465">
        <v>7</v>
      </c>
      <c r="AC465">
        <v>1100</v>
      </c>
      <c r="AD465">
        <v>8</v>
      </c>
      <c r="AE465">
        <v>1107</v>
      </c>
      <c r="AF465">
        <v>2</v>
      </c>
      <c r="AG465">
        <v>0</v>
      </c>
      <c r="AH465">
        <v>3.3714649677276611</v>
      </c>
      <c r="AJ465">
        <v>160.7330017089844</v>
      </c>
      <c r="AK465" t="s">
        <v>54</v>
      </c>
      <c r="AL465" t="s">
        <v>54</v>
      </c>
      <c r="AQ465" t="s">
        <v>54</v>
      </c>
      <c r="AW465" t="s">
        <v>53</v>
      </c>
      <c r="AZ465" t="s">
        <v>54</v>
      </c>
      <c r="BA465" t="s">
        <v>2425</v>
      </c>
      <c r="BB465" s="15" t="s">
        <v>676</v>
      </c>
    </row>
    <row r="466" spans="1:54" x14ac:dyDescent="0.25">
      <c r="A466">
        <v>461</v>
      </c>
      <c r="B466" t="s">
        <v>4986</v>
      </c>
      <c r="C466" t="s">
        <v>4987</v>
      </c>
      <c r="D466" t="s">
        <v>4988</v>
      </c>
      <c r="E466">
        <v>3</v>
      </c>
      <c r="F466" t="s">
        <v>3803</v>
      </c>
      <c r="G466" t="s">
        <v>4041</v>
      </c>
      <c r="H466" t="s">
        <v>4161</v>
      </c>
      <c r="I466" t="s">
        <v>4664</v>
      </c>
      <c r="J466" t="s">
        <v>4711</v>
      </c>
      <c r="K466" t="s">
        <v>4712</v>
      </c>
      <c r="L466" t="s">
        <v>4428</v>
      </c>
      <c r="M466">
        <v>3.8361272811889648</v>
      </c>
      <c r="N466" t="s">
        <v>54</v>
      </c>
      <c r="O466" t="s">
        <v>53</v>
      </c>
      <c r="P466" t="s">
        <v>53</v>
      </c>
      <c r="Q466" t="s">
        <v>53</v>
      </c>
      <c r="R466" t="s">
        <v>53</v>
      </c>
      <c r="S466" t="s">
        <v>4667</v>
      </c>
      <c r="T466" t="s">
        <v>4667</v>
      </c>
      <c r="U466" t="s">
        <v>53</v>
      </c>
      <c r="V466" t="s">
        <v>51</v>
      </c>
      <c r="W466">
        <v>250000</v>
      </c>
      <c r="X466" t="s">
        <v>54</v>
      </c>
      <c r="Y466" t="s">
        <v>3819</v>
      </c>
      <c r="Z466">
        <v>25000</v>
      </c>
      <c r="AA466">
        <v>18</v>
      </c>
      <c r="AB466">
        <v>7</v>
      </c>
      <c r="AC466">
        <v>1100</v>
      </c>
      <c r="AD466">
        <v>8</v>
      </c>
      <c r="AE466">
        <v>1107</v>
      </c>
      <c r="AF466">
        <v>2</v>
      </c>
      <c r="AG466">
        <v>0</v>
      </c>
      <c r="AH466">
        <v>3.3714649677276611</v>
      </c>
      <c r="AJ466">
        <v>160.7330017089844</v>
      </c>
      <c r="AK466" t="s">
        <v>54</v>
      </c>
      <c r="AL466" t="s">
        <v>54</v>
      </c>
      <c r="AQ466" t="s">
        <v>54</v>
      </c>
      <c r="AW466" t="s">
        <v>53</v>
      </c>
      <c r="AZ466" t="s">
        <v>54</v>
      </c>
      <c r="BA466" t="s">
        <v>2425</v>
      </c>
      <c r="BB466" s="15" t="s">
        <v>678</v>
      </c>
    </row>
    <row r="467" spans="1:54" x14ac:dyDescent="0.25">
      <c r="A467">
        <v>462</v>
      </c>
      <c r="B467" t="s">
        <v>4989</v>
      </c>
      <c r="C467" t="s">
        <v>4990</v>
      </c>
      <c r="D467" t="s">
        <v>4991</v>
      </c>
      <c r="E467">
        <v>3</v>
      </c>
      <c r="F467" t="s">
        <v>3803</v>
      </c>
      <c r="G467" t="s">
        <v>4041</v>
      </c>
      <c r="H467" t="s">
        <v>4161</v>
      </c>
      <c r="I467" t="s">
        <v>4664</v>
      </c>
      <c r="J467" t="s">
        <v>4711</v>
      </c>
      <c r="K467" t="s">
        <v>4712</v>
      </c>
      <c r="L467" t="s">
        <v>4428</v>
      </c>
      <c r="M467">
        <v>3.8361272811889648</v>
      </c>
      <c r="N467" t="s">
        <v>54</v>
      </c>
      <c r="O467" t="s">
        <v>53</v>
      </c>
      <c r="P467" t="s">
        <v>53</v>
      </c>
      <c r="Q467" t="s">
        <v>53</v>
      </c>
      <c r="R467" t="s">
        <v>53</v>
      </c>
      <c r="S467" t="s">
        <v>4667</v>
      </c>
      <c r="T467" t="s">
        <v>4667</v>
      </c>
      <c r="U467" t="s">
        <v>53</v>
      </c>
      <c r="V467" t="s">
        <v>51</v>
      </c>
      <c r="W467">
        <v>250000</v>
      </c>
      <c r="X467" t="s">
        <v>54</v>
      </c>
      <c r="Y467" t="s">
        <v>3819</v>
      </c>
      <c r="Z467">
        <v>25000</v>
      </c>
      <c r="AA467">
        <v>18</v>
      </c>
      <c r="AB467">
        <v>7</v>
      </c>
      <c r="AC467">
        <v>1100</v>
      </c>
      <c r="AD467">
        <v>8</v>
      </c>
      <c r="AE467">
        <v>1107</v>
      </c>
      <c r="AF467">
        <v>2</v>
      </c>
      <c r="AG467">
        <v>0</v>
      </c>
      <c r="AH467">
        <v>3.3714649677276611</v>
      </c>
      <c r="AJ467">
        <v>160.7330017089844</v>
      </c>
      <c r="AK467" t="s">
        <v>54</v>
      </c>
      <c r="AL467" t="s">
        <v>54</v>
      </c>
      <c r="AQ467" t="s">
        <v>54</v>
      </c>
      <c r="AW467" t="s">
        <v>53</v>
      </c>
      <c r="AZ467" t="s">
        <v>54</v>
      </c>
      <c r="BA467" t="s">
        <v>2425</v>
      </c>
      <c r="BB467" s="15" t="s">
        <v>678</v>
      </c>
    </row>
    <row r="468" spans="1:54" x14ac:dyDescent="0.25">
      <c r="A468">
        <v>463</v>
      </c>
      <c r="B468" t="s">
        <v>4992</v>
      </c>
      <c r="C468" t="s">
        <v>4993</v>
      </c>
      <c r="D468" t="s">
        <v>4994</v>
      </c>
      <c r="E468">
        <v>3</v>
      </c>
      <c r="F468" t="s">
        <v>3803</v>
      </c>
      <c r="G468" t="s">
        <v>4041</v>
      </c>
      <c r="H468" t="s">
        <v>4161</v>
      </c>
      <c r="I468" t="s">
        <v>4664</v>
      </c>
      <c r="J468" t="s">
        <v>4711</v>
      </c>
      <c r="K468" t="s">
        <v>4712</v>
      </c>
      <c r="L468" t="s">
        <v>4428</v>
      </c>
      <c r="M468">
        <v>3.8361272811889648</v>
      </c>
      <c r="N468" t="s">
        <v>54</v>
      </c>
      <c r="O468" t="s">
        <v>53</v>
      </c>
      <c r="P468" t="s">
        <v>53</v>
      </c>
      <c r="Q468" t="s">
        <v>53</v>
      </c>
      <c r="R468" t="s">
        <v>53</v>
      </c>
      <c r="S468" t="s">
        <v>4667</v>
      </c>
      <c r="T468" t="s">
        <v>4667</v>
      </c>
      <c r="U468" t="s">
        <v>53</v>
      </c>
      <c r="V468" t="s">
        <v>51</v>
      </c>
      <c r="W468">
        <v>250000</v>
      </c>
      <c r="X468" t="s">
        <v>54</v>
      </c>
      <c r="Y468" t="s">
        <v>3819</v>
      </c>
      <c r="Z468">
        <v>25000</v>
      </c>
      <c r="AA468">
        <v>18</v>
      </c>
      <c r="AB468">
        <v>7</v>
      </c>
      <c r="AC468">
        <v>1100</v>
      </c>
      <c r="AD468">
        <v>8</v>
      </c>
      <c r="AE468">
        <v>1107</v>
      </c>
      <c r="AF468">
        <v>2</v>
      </c>
      <c r="AG468">
        <v>0</v>
      </c>
      <c r="AH468">
        <v>3.3714649677276611</v>
      </c>
      <c r="AJ468">
        <v>160.7330017089844</v>
      </c>
      <c r="AK468" t="s">
        <v>54</v>
      </c>
      <c r="AL468" t="s">
        <v>54</v>
      </c>
      <c r="AQ468" t="s">
        <v>54</v>
      </c>
      <c r="AW468" t="s">
        <v>53</v>
      </c>
      <c r="AZ468" t="s">
        <v>54</v>
      </c>
      <c r="BA468" t="s">
        <v>2425</v>
      </c>
      <c r="BB468" s="15" t="s">
        <v>678</v>
      </c>
    </row>
    <row r="469" spans="1:54" x14ac:dyDescent="0.25">
      <c r="A469">
        <v>464</v>
      </c>
      <c r="B469" t="s">
        <v>4995</v>
      </c>
      <c r="C469" t="s">
        <v>4996</v>
      </c>
      <c r="D469" t="s">
        <v>4997</v>
      </c>
      <c r="E469">
        <v>3</v>
      </c>
      <c r="F469" t="s">
        <v>3803</v>
      </c>
      <c r="G469" t="s">
        <v>4297</v>
      </c>
      <c r="H469" t="s">
        <v>3994</v>
      </c>
      <c r="I469" t="s">
        <v>3995</v>
      </c>
      <c r="J469" t="s">
        <v>4711</v>
      </c>
      <c r="K469" t="s">
        <v>3996</v>
      </c>
      <c r="L469" t="s">
        <v>4940</v>
      </c>
      <c r="M469">
        <v>625.519775390625</v>
      </c>
      <c r="N469" t="s">
        <v>54</v>
      </c>
      <c r="O469" t="s">
        <v>53</v>
      </c>
      <c r="P469" t="s">
        <v>53</v>
      </c>
      <c r="Q469" t="s">
        <v>53</v>
      </c>
      <c r="R469" t="s">
        <v>53</v>
      </c>
      <c r="S469" t="s">
        <v>4998</v>
      </c>
      <c r="T469" t="s">
        <v>4998</v>
      </c>
      <c r="U469" t="s">
        <v>53</v>
      </c>
      <c r="V469" t="s">
        <v>51</v>
      </c>
      <c r="W469">
        <v>250000</v>
      </c>
      <c r="X469" t="s">
        <v>54</v>
      </c>
      <c r="Y469" t="s">
        <v>3819</v>
      </c>
      <c r="Z469">
        <v>25000</v>
      </c>
      <c r="AA469">
        <v>2637</v>
      </c>
      <c r="AB469">
        <v>2505</v>
      </c>
      <c r="AC469">
        <v>1768</v>
      </c>
      <c r="AD469">
        <v>2715</v>
      </c>
      <c r="AE469">
        <v>3161</v>
      </c>
      <c r="AF469">
        <v>13</v>
      </c>
      <c r="AG469">
        <v>0</v>
      </c>
      <c r="AH469">
        <v>82.528526306152344</v>
      </c>
      <c r="AJ469">
        <v>11298.66015625</v>
      </c>
      <c r="AK469" t="s">
        <v>54</v>
      </c>
      <c r="AL469" t="s">
        <v>54</v>
      </c>
      <c r="AQ469" t="s">
        <v>54</v>
      </c>
      <c r="AW469" t="s">
        <v>54</v>
      </c>
      <c r="AZ469" t="s">
        <v>54</v>
      </c>
      <c r="BA469" t="s">
        <v>2425</v>
      </c>
      <c r="BB469" s="15" t="s">
        <v>678</v>
      </c>
    </row>
    <row r="470" spans="1:54" x14ac:dyDescent="0.25">
      <c r="A470">
        <v>465</v>
      </c>
      <c r="B470" t="s">
        <v>4999</v>
      </c>
      <c r="C470" t="s">
        <v>5000</v>
      </c>
      <c r="D470" t="s">
        <v>5001</v>
      </c>
      <c r="E470">
        <v>3</v>
      </c>
      <c r="F470" t="s">
        <v>3803</v>
      </c>
      <c r="G470" t="s">
        <v>4041</v>
      </c>
      <c r="H470" t="s">
        <v>4161</v>
      </c>
      <c r="I470" t="s">
        <v>4664</v>
      </c>
      <c r="J470" t="s">
        <v>4665</v>
      </c>
      <c r="K470" t="s">
        <v>4666</v>
      </c>
      <c r="L470" t="s">
        <v>4428</v>
      </c>
      <c r="M470">
        <v>12.51331233978271</v>
      </c>
      <c r="N470" t="s">
        <v>54</v>
      </c>
      <c r="O470" t="s">
        <v>53</v>
      </c>
      <c r="P470" t="s">
        <v>53</v>
      </c>
      <c r="Q470" t="s">
        <v>53</v>
      </c>
      <c r="R470" t="s">
        <v>53</v>
      </c>
      <c r="S470" t="s">
        <v>4667</v>
      </c>
      <c r="T470" t="s">
        <v>4667</v>
      </c>
      <c r="U470" t="s">
        <v>53</v>
      </c>
      <c r="V470" t="s">
        <v>51</v>
      </c>
      <c r="W470">
        <v>637000</v>
      </c>
      <c r="X470" t="s">
        <v>54</v>
      </c>
      <c r="Y470" t="s">
        <v>3819</v>
      </c>
      <c r="Z470">
        <v>63700</v>
      </c>
      <c r="AA470">
        <v>122</v>
      </c>
      <c r="AB470">
        <v>113</v>
      </c>
      <c r="AC470">
        <v>218</v>
      </c>
      <c r="AD470">
        <v>879</v>
      </c>
      <c r="AE470">
        <v>890</v>
      </c>
      <c r="AF470">
        <v>1</v>
      </c>
      <c r="AG470">
        <v>12</v>
      </c>
      <c r="AH470">
        <v>5.9768939018249512</v>
      </c>
      <c r="AJ470">
        <v>32.31842041015625</v>
      </c>
      <c r="AK470" t="s">
        <v>54</v>
      </c>
      <c r="AL470" t="s">
        <v>54</v>
      </c>
      <c r="AQ470" t="s">
        <v>54</v>
      </c>
      <c r="AW470" t="s">
        <v>53</v>
      </c>
      <c r="AZ470" t="s">
        <v>54</v>
      </c>
      <c r="BA470" t="s">
        <v>2425</v>
      </c>
      <c r="BB470" s="15" t="s">
        <v>676</v>
      </c>
    </row>
    <row r="471" spans="1:54" x14ac:dyDescent="0.25">
      <c r="A471">
        <v>466</v>
      </c>
      <c r="B471" t="s">
        <v>5002</v>
      </c>
      <c r="C471" t="s">
        <v>5003</v>
      </c>
      <c r="D471" t="s">
        <v>5004</v>
      </c>
      <c r="E471">
        <v>3</v>
      </c>
      <c r="F471" t="s">
        <v>3803</v>
      </c>
      <c r="G471" t="s">
        <v>4041</v>
      </c>
      <c r="H471" t="s">
        <v>5005</v>
      </c>
      <c r="I471" t="s">
        <v>5006</v>
      </c>
      <c r="J471" t="s">
        <v>5007</v>
      </c>
      <c r="K471" t="s">
        <v>5008</v>
      </c>
      <c r="L471" t="s">
        <v>4428</v>
      </c>
      <c r="M471">
        <v>49.593151092529297</v>
      </c>
      <c r="N471" t="s">
        <v>54</v>
      </c>
      <c r="O471" t="s">
        <v>53</v>
      </c>
      <c r="P471" t="s">
        <v>53</v>
      </c>
      <c r="Q471" t="s">
        <v>53</v>
      </c>
      <c r="R471" t="s">
        <v>53</v>
      </c>
      <c r="S471" t="s">
        <v>4667</v>
      </c>
      <c r="T471" t="s">
        <v>4667</v>
      </c>
      <c r="U471" t="s">
        <v>53</v>
      </c>
      <c r="V471" t="s">
        <v>51</v>
      </c>
      <c r="W471">
        <v>388000</v>
      </c>
      <c r="X471" t="s">
        <v>54</v>
      </c>
      <c r="Y471" t="s">
        <v>3819</v>
      </c>
      <c r="Z471">
        <v>38800</v>
      </c>
      <c r="AA471">
        <v>224</v>
      </c>
      <c r="AB471">
        <v>185</v>
      </c>
      <c r="AC471">
        <v>158</v>
      </c>
      <c r="AD471">
        <v>427</v>
      </c>
      <c r="AE471">
        <v>451</v>
      </c>
      <c r="AF471">
        <v>1</v>
      </c>
      <c r="AG471">
        <v>48</v>
      </c>
      <c r="AH471">
        <v>7.1560649871826172</v>
      </c>
      <c r="AJ471">
        <v>3239.75</v>
      </c>
      <c r="AK471" t="s">
        <v>54</v>
      </c>
      <c r="AL471" t="s">
        <v>54</v>
      </c>
      <c r="AQ471" t="s">
        <v>54</v>
      </c>
      <c r="AW471" t="s">
        <v>54</v>
      </c>
      <c r="AZ471" t="s">
        <v>54</v>
      </c>
      <c r="BA471" t="s">
        <v>2425</v>
      </c>
      <c r="BB471" s="15" t="s">
        <v>676</v>
      </c>
    </row>
    <row r="472" spans="1:54" x14ac:dyDescent="0.25">
      <c r="A472">
        <v>467</v>
      </c>
      <c r="B472" t="s">
        <v>5009</v>
      </c>
      <c r="C472" t="s">
        <v>5010</v>
      </c>
      <c r="D472" t="s">
        <v>5011</v>
      </c>
      <c r="E472">
        <v>3</v>
      </c>
      <c r="F472" t="s">
        <v>3803</v>
      </c>
      <c r="G472" t="s">
        <v>4041</v>
      </c>
      <c r="H472" t="s">
        <v>4161</v>
      </c>
      <c r="I472" t="s">
        <v>4664</v>
      </c>
      <c r="J472" t="s">
        <v>4677</v>
      </c>
      <c r="K472" t="s">
        <v>4678</v>
      </c>
      <c r="L472" t="s">
        <v>4428</v>
      </c>
      <c r="M472">
        <v>5.5880069732666016</v>
      </c>
      <c r="N472" t="s">
        <v>54</v>
      </c>
      <c r="O472" t="s">
        <v>53</v>
      </c>
      <c r="P472" t="s">
        <v>53</v>
      </c>
      <c r="Q472" t="s">
        <v>53</v>
      </c>
      <c r="R472" t="s">
        <v>53</v>
      </c>
      <c r="S472" t="s">
        <v>4667</v>
      </c>
      <c r="T472" t="s">
        <v>4667</v>
      </c>
      <c r="U472" t="s">
        <v>53</v>
      </c>
      <c r="V472" t="s">
        <v>51</v>
      </c>
      <c r="W472">
        <v>533000</v>
      </c>
      <c r="X472" t="s">
        <v>54</v>
      </c>
      <c r="Y472" t="s">
        <v>3819</v>
      </c>
      <c r="Z472">
        <v>53300</v>
      </c>
      <c r="AA472">
        <v>61</v>
      </c>
      <c r="AB472">
        <v>60</v>
      </c>
      <c r="AC472">
        <v>89</v>
      </c>
      <c r="AD472">
        <v>344</v>
      </c>
      <c r="AE472">
        <v>350</v>
      </c>
      <c r="AF472">
        <v>1</v>
      </c>
      <c r="AG472">
        <v>5</v>
      </c>
      <c r="AH472">
        <v>2.7339930534362789</v>
      </c>
      <c r="AJ472">
        <v>16.428060531616211</v>
      </c>
      <c r="AK472" t="s">
        <v>54</v>
      </c>
      <c r="AL472" t="s">
        <v>54</v>
      </c>
      <c r="AQ472" t="s">
        <v>54</v>
      </c>
      <c r="AW472" t="s">
        <v>53</v>
      </c>
      <c r="AZ472" t="s">
        <v>54</v>
      </c>
      <c r="BA472" t="s">
        <v>2425</v>
      </c>
      <c r="BB472" s="15" t="s">
        <v>676</v>
      </c>
    </row>
    <row r="473" spans="1:54" x14ac:dyDescent="0.25">
      <c r="A473">
        <v>468</v>
      </c>
      <c r="B473" t="s">
        <v>5012</v>
      </c>
      <c r="C473" t="s">
        <v>5013</v>
      </c>
      <c r="D473" t="s">
        <v>5014</v>
      </c>
      <c r="E473">
        <v>3</v>
      </c>
      <c r="F473" t="s">
        <v>3803</v>
      </c>
      <c r="G473" t="s">
        <v>4041</v>
      </c>
      <c r="H473" t="s">
        <v>4161</v>
      </c>
      <c r="I473" t="s">
        <v>4664</v>
      </c>
      <c r="J473" t="s">
        <v>4706</v>
      </c>
      <c r="K473" t="s">
        <v>4707</v>
      </c>
      <c r="L473" t="s">
        <v>4428</v>
      </c>
      <c r="M473">
        <v>2.3380637168884282</v>
      </c>
      <c r="N473" t="s">
        <v>54</v>
      </c>
      <c r="O473" t="s">
        <v>53</v>
      </c>
      <c r="P473" t="s">
        <v>53</v>
      </c>
      <c r="Q473" t="s">
        <v>53</v>
      </c>
      <c r="R473" t="s">
        <v>53</v>
      </c>
      <c r="S473" t="s">
        <v>4667</v>
      </c>
      <c r="T473" t="s">
        <v>4667</v>
      </c>
      <c r="U473" t="s">
        <v>53</v>
      </c>
      <c r="V473" t="s">
        <v>51</v>
      </c>
      <c r="W473">
        <v>250000</v>
      </c>
      <c r="X473" t="s">
        <v>54</v>
      </c>
      <c r="Y473" t="s">
        <v>3819</v>
      </c>
      <c r="Z473">
        <v>25000</v>
      </c>
      <c r="AA473">
        <v>42</v>
      </c>
      <c r="AB473">
        <v>36</v>
      </c>
      <c r="AC473">
        <v>103</v>
      </c>
      <c r="AD473">
        <v>429</v>
      </c>
      <c r="AE473">
        <v>433</v>
      </c>
      <c r="AF473">
        <v>0</v>
      </c>
      <c r="AG473">
        <v>2</v>
      </c>
      <c r="AH473">
        <v>1.1353470087051389</v>
      </c>
      <c r="AJ473">
        <v>7.9424481391906738</v>
      </c>
      <c r="AK473" t="s">
        <v>54</v>
      </c>
      <c r="AL473" t="s">
        <v>54</v>
      </c>
      <c r="AQ473" t="s">
        <v>54</v>
      </c>
      <c r="AW473" t="s">
        <v>53</v>
      </c>
      <c r="AZ473" t="s">
        <v>54</v>
      </c>
      <c r="BA473" t="s">
        <v>2425</v>
      </c>
      <c r="BB473" s="15" t="s">
        <v>676</v>
      </c>
    </row>
    <row r="474" spans="1:54" x14ac:dyDescent="0.25">
      <c r="A474">
        <v>469</v>
      </c>
      <c r="B474" t="s">
        <v>5015</v>
      </c>
      <c r="C474" t="s">
        <v>5016</v>
      </c>
      <c r="D474" t="s">
        <v>5017</v>
      </c>
      <c r="E474">
        <v>3</v>
      </c>
      <c r="F474" t="s">
        <v>3803</v>
      </c>
      <c r="G474" t="s">
        <v>4041</v>
      </c>
      <c r="H474" t="s">
        <v>4161</v>
      </c>
      <c r="I474" t="s">
        <v>4682</v>
      </c>
      <c r="J474" t="s">
        <v>5018</v>
      </c>
      <c r="K474" t="s">
        <v>5019</v>
      </c>
      <c r="L474" t="s">
        <v>4428</v>
      </c>
      <c r="M474">
        <v>7.2937140464782706</v>
      </c>
      <c r="N474" t="s">
        <v>54</v>
      </c>
      <c r="O474" t="s">
        <v>53</v>
      </c>
      <c r="P474" t="s">
        <v>53</v>
      </c>
      <c r="Q474" t="s">
        <v>53</v>
      </c>
      <c r="R474" t="s">
        <v>53</v>
      </c>
      <c r="S474" t="s">
        <v>4667</v>
      </c>
      <c r="T474" t="s">
        <v>4667</v>
      </c>
      <c r="U474" t="s">
        <v>53</v>
      </c>
      <c r="V474" t="s">
        <v>51</v>
      </c>
      <c r="W474">
        <v>250000</v>
      </c>
      <c r="X474" t="s">
        <v>54</v>
      </c>
      <c r="Y474" t="s">
        <v>3819</v>
      </c>
      <c r="Z474">
        <v>25000</v>
      </c>
      <c r="AA474">
        <v>42</v>
      </c>
      <c r="AB474">
        <v>39</v>
      </c>
      <c r="AC474">
        <v>242</v>
      </c>
      <c r="AD474">
        <v>135</v>
      </c>
      <c r="AE474">
        <v>332</v>
      </c>
      <c r="AF474">
        <v>2</v>
      </c>
      <c r="AG474">
        <v>2</v>
      </c>
      <c r="AH474">
        <v>2.2571630477905269</v>
      </c>
      <c r="AJ474">
        <v>48.450889587402337</v>
      </c>
      <c r="AK474" t="s">
        <v>54</v>
      </c>
      <c r="AL474" t="s">
        <v>54</v>
      </c>
      <c r="AQ474" t="s">
        <v>54</v>
      </c>
      <c r="AW474" t="s">
        <v>53</v>
      </c>
      <c r="AZ474" t="s">
        <v>54</v>
      </c>
      <c r="BA474" t="s">
        <v>2425</v>
      </c>
      <c r="BB474" s="15" t="s">
        <v>678</v>
      </c>
    </row>
    <row r="475" spans="1:54" x14ac:dyDescent="0.25">
      <c r="A475">
        <v>470</v>
      </c>
      <c r="B475" t="s">
        <v>5020</v>
      </c>
      <c r="C475" t="s">
        <v>5021</v>
      </c>
      <c r="D475" t="s">
        <v>5022</v>
      </c>
      <c r="E475">
        <v>3</v>
      </c>
      <c r="F475" t="s">
        <v>3803</v>
      </c>
      <c r="G475" t="s">
        <v>4041</v>
      </c>
      <c r="H475" t="s">
        <v>4116</v>
      </c>
      <c r="I475" t="s">
        <v>4465</v>
      </c>
      <c r="J475" t="s">
        <v>5023</v>
      </c>
      <c r="K475" t="s">
        <v>5024</v>
      </c>
      <c r="L475" t="s">
        <v>4428</v>
      </c>
      <c r="M475">
        <v>6.2537698745727539</v>
      </c>
      <c r="N475" t="s">
        <v>54</v>
      </c>
      <c r="O475" t="s">
        <v>53</v>
      </c>
      <c r="P475" t="s">
        <v>53</v>
      </c>
      <c r="Q475" t="s">
        <v>53</v>
      </c>
      <c r="R475" t="s">
        <v>53</v>
      </c>
      <c r="S475" t="s">
        <v>4469</v>
      </c>
      <c r="T475" t="s">
        <v>4469</v>
      </c>
      <c r="U475" t="s">
        <v>53</v>
      </c>
      <c r="V475" t="s">
        <v>51</v>
      </c>
      <c r="W475">
        <v>2000000</v>
      </c>
      <c r="X475" t="s">
        <v>54</v>
      </c>
      <c r="Y475" t="s">
        <v>3819</v>
      </c>
      <c r="Z475">
        <v>200000</v>
      </c>
      <c r="AA475">
        <v>216</v>
      </c>
      <c r="AB475">
        <v>121</v>
      </c>
      <c r="AC475">
        <v>12522</v>
      </c>
      <c r="AD475">
        <v>1205</v>
      </c>
      <c r="AE475">
        <v>13436</v>
      </c>
      <c r="AF475">
        <v>6</v>
      </c>
      <c r="AG475">
        <v>5</v>
      </c>
      <c r="AH475">
        <v>21.513839721679691</v>
      </c>
      <c r="AJ475">
        <v>129.3739929199219</v>
      </c>
      <c r="AK475" t="s">
        <v>54</v>
      </c>
      <c r="AL475" t="s">
        <v>54</v>
      </c>
      <c r="AQ475" t="s">
        <v>54</v>
      </c>
      <c r="AW475" t="s">
        <v>53</v>
      </c>
      <c r="AZ475" t="s">
        <v>54</v>
      </c>
      <c r="BA475" t="s">
        <v>2425</v>
      </c>
      <c r="BB475" s="15" t="s">
        <v>678</v>
      </c>
    </row>
    <row r="476" spans="1:54" x14ac:dyDescent="0.25">
      <c r="A476">
        <v>471</v>
      </c>
      <c r="B476" t="s">
        <v>5025</v>
      </c>
      <c r="C476" t="s">
        <v>5026</v>
      </c>
      <c r="D476" t="s">
        <v>5027</v>
      </c>
      <c r="E476">
        <v>3</v>
      </c>
      <c r="F476" t="s">
        <v>3803</v>
      </c>
      <c r="G476" t="s">
        <v>4041</v>
      </c>
      <c r="H476" t="s">
        <v>4725</v>
      </c>
      <c r="I476" t="s">
        <v>4726</v>
      </c>
      <c r="J476" t="s">
        <v>4727</v>
      </c>
      <c r="K476" t="s">
        <v>4728</v>
      </c>
      <c r="L476" t="s">
        <v>4428</v>
      </c>
      <c r="M476">
        <v>3.205730676651001</v>
      </c>
      <c r="N476" t="s">
        <v>54</v>
      </c>
      <c r="O476" t="s">
        <v>53</v>
      </c>
      <c r="P476" t="s">
        <v>53</v>
      </c>
      <c r="Q476" t="s">
        <v>53</v>
      </c>
      <c r="R476" t="s">
        <v>53</v>
      </c>
      <c r="S476" t="s">
        <v>4667</v>
      </c>
      <c r="T476" t="s">
        <v>4667</v>
      </c>
      <c r="U476" t="s">
        <v>53</v>
      </c>
      <c r="V476" t="s">
        <v>51</v>
      </c>
      <c r="W476">
        <v>291000</v>
      </c>
      <c r="X476" t="s">
        <v>54</v>
      </c>
      <c r="Y476" t="s">
        <v>3819</v>
      </c>
      <c r="Z476">
        <v>29100</v>
      </c>
      <c r="AA476">
        <v>75</v>
      </c>
      <c r="AB476">
        <v>73</v>
      </c>
      <c r="AC476">
        <v>502</v>
      </c>
      <c r="AD476">
        <v>652</v>
      </c>
      <c r="AE476">
        <v>1003</v>
      </c>
      <c r="AF476">
        <v>2</v>
      </c>
      <c r="AG476">
        <v>4</v>
      </c>
      <c r="AH476">
        <v>1.245695948600769</v>
      </c>
      <c r="AJ476">
        <v>1.2364480495452881</v>
      </c>
      <c r="AK476" t="s">
        <v>54</v>
      </c>
      <c r="AL476" t="s">
        <v>54</v>
      </c>
      <c r="AQ476" t="s">
        <v>54</v>
      </c>
      <c r="AW476" t="s">
        <v>53</v>
      </c>
      <c r="AZ476" t="s">
        <v>54</v>
      </c>
      <c r="BA476" t="s">
        <v>2425</v>
      </c>
      <c r="BB476" s="15" t="s">
        <v>678</v>
      </c>
    </row>
    <row r="477" spans="1:54" x14ac:dyDescent="0.25">
      <c r="A477">
        <v>472</v>
      </c>
      <c r="B477" t="s">
        <v>5028</v>
      </c>
      <c r="C477" t="s">
        <v>5029</v>
      </c>
      <c r="D477" t="s">
        <v>5030</v>
      </c>
      <c r="E477">
        <v>3</v>
      </c>
      <c r="F477" t="s">
        <v>3803</v>
      </c>
      <c r="G477" t="s">
        <v>4041</v>
      </c>
      <c r="H477" t="s">
        <v>4161</v>
      </c>
      <c r="I477" t="s">
        <v>4664</v>
      </c>
      <c r="J477" t="s">
        <v>4706</v>
      </c>
      <c r="K477" t="s">
        <v>4707</v>
      </c>
      <c r="L477" t="s">
        <v>4428</v>
      </c>
      <c r="M477">
        <v>2.3380637168884282</v>
      </c>
      <c r="N477" t="s">
        <v>54</v>
      </c>
      <c r="O477" t="s">
        <v>53</v>
      </c>
      <c r="P477" t="s">
        <v>53</v>
      </c>
      <c r="Q477" t="s">
        <v>53</v>
      </c>
      <c r="R477" t="s">
        <v>53</v>
      </c>
      <c r="S477" t="s">
        <v>4667</v>
      </c>
      <c r="T477" t="s">
        <v>4667</v>
      </c>
      <c r="U477" t="s">
        <v>53</v>
      </c>
      <c r="V477" t="s">
        <v>51</v>
      </c>
      <c r="W477">
        <v>250000</v>
      </c>
      <c r="X477" t="s">
        <v>54</v>
      </c>
      <c r="Y477" t="s">
        <v>3819</v>
      </c>
      <c r="Z477">
        <v>25000</v>
      </c>
      <c r="AA477">
        <v>42</v>
      </c>
      <c r="AB477">
        <v>36</v>
      </c>
      <c r="AC477">
        <v>103</v>
      </c>
      <c r="AD477">
        <v>429</v>
      </c>
      <c r="AE477">
        <v>433</v>
      </c>
      <c r="AF477">
        <v>0</v>
      </c>
      <c r="AG477">
        <v>2</v>
      </c>
      <c r="AH477">
        <v>1.1353470087051389</v>
      </c>
      <c r="AJ477">
        <v>7.9424481391906738</v>
      </c>
      <c r="AK477" t="s">
        <v>54</v>
      </c>
      <c r="AL477" t="s">
        <v>54</v>
      </c>
      <c r="AQ477" t="s">
        <v>54</v>
      </c>
      <c r="AW477" t="s">
        <v>53</v>
      </c>
      <c r="AZ477" t="s">
        <v>54</v>
      </c>
      <c r="BA477" t="s">
        <v>2425</v>
      </c>
      <c r="BB477" s="15" t="s">
        <v>676</v>
      </c>
    </row>
    <row r="478" spans="1:54" x14ac:dyDescent="0.25">
      <c r="A478">
        <v>473</v>
      </c>
      <c r="B478" t="s">
        <v>5031</v>
      </c>
      <c r="C478" t="s">
        <v>5032</v>
      </c>
      <c r="D478" t="s">
        <v>5033</v>
      </c>
      <c r="E478">
        <v>3</v>
      </c>
      <c r="F478" t="s">
        <v>3803</v>
      </c>
      <c r="G478" t="s">
        <v>4041</v>
      </c>
      <c r="H478" t="s">
        <v>4161</v>
      </c>
      <c r="I478" t="s">
        <v>4682</v>
      </c>
      <c r="J478" t="s">
        <v>4701</v>
      </c>
      <c r="K478" t="s">
        <v>4702</v>
      </c>
      <c r="L478" t="s">
        <v>4428</v>
      </c>
      <c r="M478">
        <v>2.6190638542175289</v>
      </c>
      <c r="N478" t="s">
        <v>54</v>
      </c>
      <c r="O478" t="s">
        <v>53</v>
      </c>
      <c r="P478" t="s">
        <v>53</v>
      </c>
      <c r="Q478" t="s">
        <v>53</v>
      </c>
      <c r="R478" t="s">
        <v>53</v>
      </c>
      <c r="S478" t="s">
        <v>4667</v>
      </c>
      <c r="T478" t="s">
        <v>4667</v>
      </c>
      <c r="U478" t="s">
        <v>53</v>
      </c>
      <c r="V478" t="s">
        <v>51</v>
      </c>
      <c r="W478">
        <v>250000</v>
      </c>
      <c r="X478" t="s">
        <v>54</v>
      </c>
      <c r="Y478" t="s">
        <v>3819</v>
      </c>
      <c r="Z478">
        <v>25000</v>
      </c>
      <c r="AA478">
        <v>4</v>
      </c>
      <c r="AB478">
        <v>4</v>
      </c>
      <c r="AC478">
        <v>5</v>
      </c>
      <c r="AD478">
        <v>23</v>
      </c>
      <c r="AE478">
        <v>23</v>
      </c>
      <c r="AF478">
        <v>0</v>
      </c>
      <c r="AG478">
        <v>1</v>
      </c>
      <c r="AH478">
        <v>0.1097175031900406</v>
      </c>
      <c r="AJ478">
        <v>3.1668329238891602</v>
      </c>
      <c r="AK478" t="s">
        <v>54</v>
      </c>
      <c r="AL478" t="s">
        <v>54</v>
      </c>
      <c r="AQ478" t="s">
        <v>54</v>
      </c>
      <c r="AW478" t="s">
        <v>53</v>
      </c>
      <c r="AZ478" t="s">
        <v>54</v>
      </c>
      <c r="BA478" t="s">
        <v>2425</v>
      </c>
      <c r="BB478" s="15" t="s">
        <v>676</v>
      </c>
    </row>
    <row r="479" spans="1:54" x14ac:dyDescent="0.25">
      <c r="A479">
        <v>474</v>
      </c>
      <c r="B479" t="s">
        <v>5034</v>
      </c>
      <c r="C479" t="s">
        <v>5035</v>
      </c>
      <c r="D479" t="s">
        <v>5036</v>
      </c>
      <c r="E479">
        <v>3</v>
      </c>
      <c r="F479" t="s">
        <v>3803</v>
      </c>
      <c r="G479" t="s">
        <v>4041</v>
      </c>
      <c r="H479" t="s">
        <v>4161</v>
      </c>
      <c r="I479" t="s">
        <v>4682</v>
      </c>
      <c r="J479" t="s">
        <v>4701</v>
      </c>
      <c r="K479" t="s">
        <v>4702</v>
      </c>
      <c r="L479" t="s">
        <v>4428</v>
      </c>
      <c r="M479">
        <v>2.8357384204864502</v>
      </c>
      <c r="N479" t="s">
        <v>54</v>
      </c>
      <c r="O479" t="s">
        <v>53</v>
      </c>
      <c r="P479" t="s">
        <v>53</v>
      </c>
      <c r="Q479" t="s">
        <v>53</v>
      </c>
      <c r="R479" t="s">
        <v>53</v>
      </c>
      <c r="S479" t="s">
        <v>4667</v>
      </c>
      <c r="T479" t="s">
        <v>4667</v>
      </c>
      <c r="U479" t="s">
        <v>53</v>
      </c>
      <c r="V479" t="s">
        <v>51</v>
      </c>
      <c r="W479">
        <v>250000</v>
      </c>
      <c r="X479" t="s">
        <v>54</v>
      </c>
      <c r="Y479" t="s">
        <v>3819</v>
      </c>
      <c r="Z479">
        <v>25000</v>
      </c>
      <c r="AA479">
        <v>1</v>
      </c>
      <c r="AB479">
        <v>0</v>
      </c>
      <c r="AC479">
        <v>0</v>
      </c>
      <c r="AD479">
        <v>0</v>
      </c>
      <c r="AE479">
        <v>0</v>
      </c>
      <c r="AF479">
        <v>0</v>
      </c>
      <c r="AG479">
        <v>1</v>
      </c>
      <c r="AH479">
        <v>0.18863590061664581</v>
      </c>
      <c r="AJ479">
        <v>7.3821249008178711</v>
      </c>
      <c r="AK479" t="s">
        <v>54</v>
      </c>
      <c r="AL479" t="s">
        <v>54</v>
      </c>
      <c r="AQ479" t="s">
        <v>54</v>
      </c>
      <c r="AW479" t="s">
        <v>53</v>
      </c>
      <c r="AZ479" t="s">
        <v>54</v>
      </c>
      <c r="BA479" t="s">
        <v>2425</v>
      </c>
      <c r="BB479" s="15" t="s">
        <v>678</v>
      </c>
    </row>
    <row r="480" spans="1:54" x14ac:dyDescent="0.25">
      <c r="A480">
        <v>475</v>
      </c>
      <c r="B480" t="s">
        <v>5037</v>
      </c>
      <c r="C480" t="s">
        <v>5038</v>
      </c>
      <c r="D480" t="s">
        <v>5039</v>
      </c>
      <c r="E480">
        <v>3</v>
      </c>
      <c r="F480" t="s">
        <v>3803</v>
      </c>
      <c r="G480" t="s">
        <v>4041</v>
      </c>
      <c r="H480" t="s">
        <v>4161</v>
      </c>
      <c r="I480" t="s">
        <v>4664</v>
      </c>
      <c r="J480" t="s">
        <v>4696</v>
      </c>
      <c r="K480" t="s">
        <v>4697</v>
      </c>
      <c r="L480" t="s">
        <v>4428</v>
      </c>
      <c r="M480">
        <v>5.7588710784912109</v>
      </c>
      <c r="N480" t="s">
        <v>54</v>
      </c>
      <c r="O480" t="s">
        <v>53</v>
      </c>
      <c r="P480" t="s">
        <v>53</v>
      </c>
      <c r="Q480" t="s">
        <v>53</v>
      </c>
      <c r="R480" t="s">
        <v>53</v>
      </c>
      <c r="S480" t="s">
        <v>4667</v>
      </c>
      <c r="T480" t="s">
        <v>4667</v>
      </c>
      <c r="U480" t="s">
        <v>53</v>
      </c>
      <c r="V480" t="s">
        <v>51</v>
      </c>
      <c r="W480">
        <v>344000</v>
      </c>
      <c r="X480" t="s">
        <v>54</v>
      </c>
      <c r="Y480" t="s">
        <v>3819</v>
      </c>
      <c r="Z480">
        <v>34400</v>
      </c>
      <c r="AA480">
        <v>25</v>
      </c>
      <c r="AB480">
        <v>22</v>
      </c>
      <c r="AC480">
        <v>304</v>
      </c>
      <c r="AD480">
        <v>156</v>
      </c>
      <c r="AE480">
        <v>421</v>
      </c>
      <c r="AF480">
        <v>1</v>
      </c>
      <c r="AG480">
        <v>0</v>
      </c>
      <c r="AH480">
        <v>3.8919739723205571</v>
      </c>
      <c r="AJ480">
        <v>7.8348288536071777</v>
      </c>
      <c r="AK480" t="s">
        <v>54</v>
      </c>
      <c r="AL480" t="s">
        <v>54</v>
      </c>
      <c r="AQ480" t="s">
        <v>54</v>
      </c>
      <c r="AW480" t="s">
        <v>53</v>
      </c>
      <c r="AZ480" t="s">
        <v>54</v>
      </c>
      <c r="BA480" t="s">
        <v>2425</v>
      </c>
      <c r="BB480" s="15" t="s">
        <v>678</v>
      </c>
    </row>
    <row r="481" spans="1:54" x14ac:dyDescent="0.25">
      <c r="A481">
        <v>476</v>
      </c>
      <c r="B481" t="s">
        <v>5040</v>
      </c>
      <c r="C481" t="s">
        <v>5041</v>
      </c>
      <c r="D481" t="s">
        <v>5042</v>
      </c>
      <c r="E481">
        <v>3</v>
      </c>
      <c r="F481" t="s">
        <v>3803</v>
      </c>
      <c r="G481" t="s">
        <v>4041</v>
      </c>
      <c r="H481" t="s">
        <v>4473</v>
      </c>
      <c r="I481" t="s">
        <v>5043</v>
      </c>
      <c r="J481" t="s">
        <v>5044</v>
      </c>
      <c r="K481" t="s">
        <v>5045</v>
      </c>
      <c r="L481" t="s">
        <v>4428</v>
      </c>
      <c r="M481">
        <v>1.606785774230957</v>
      </c>
      <c r="N481" t="s">
        <v>54</v>
      </c>
      <c r="O481" t="s">
        <v>53</v>
      </c>
      <c r="P481" t="s">
        <v>53</v>
      </c>
      <c r="Q481" t="s">
        <v>53</v>
      </c>
      <c r="R481" t="s">
        <v>53</v>
      </c>
      <c r="S481" t="s">
        <v>4667</v>
      </c>
      <c r="T481" t="s">
        <v>4667</v>
      </c>
      <c r="U481" t="s">
        <v>53</v>
      </c>
      <c r="V481" t="s">
        <v>51</v>
      </c>
      <c r="W481">
        <v>250000</v>
      </c>
      <c r="X481" t="s">
        <v>54</v>
      </c>
      <c r="Y481" t="s">
        <v>3819</v>
      </c>
      <c r="Z481">
        <v>25000</v>
      </c>
      <c r="AA481">
        <v>37</v>
      </c>
      <c r="AB481">
        <v>2</v>
      </c>
      <c r="AC481">
        <v>102</v>
      </c>
      <c r="AD481">
        <v>0</v>
      </c>
      <c r="AE481">
        <v>102</v>
      </c>
      <c r="AF481">
        <v>4</v>
      </c>
      <c r="AG481">
        <v>0</v>
      </c>
      <c r="AH481">
        <v>0.61554759740829468</v>
      </c>
      <c r="AJ481">
        <v>144.28999328613281</v>
      </c>
      <c r="AK481" t="s">
        <v>54</v>
      </c>
      <c r="AL481" t="s">
        <v>54</v>
      </c>
      <c r="AQ481" t="s">
        <v>54</v>
      </c>
      <c r="AW481" t="s">
        <v>53</v>
      </c>
      <c r="AZ481" t="s">
        <v>54</v>
      </c>
      <c r="BA481" t="s">
        <v>2425</v>
      </c>
      <c r="BB481" s="15" t="s">
        <v>676</v>
      </c>
    </row>
    <row r="482" spans="1:54" x14ac:dyDescent="0.25">
      <c r="A482">
        <v>477</v>
      </c>
      <c r="B482" t="s">
        <v>5046</v>
      </c>
      <c r="C482" t="s">
        <v>5047</v>
      </c>
      <c r="D482" t="s">
        <v>5048</v>
      </c>
      <c r="E482">
        <v>3</v>
      </c>
      <c r="F482" t="s">
        <v>3803</v>
      </c>
      <c r="G482" t="s">
        <v>4041</v>
      </c>
      <c r="H482" t="s">
        <v>4725</v>
      </c>
      <c r="I482" t="s">
        <v>4726</v>
      </c>
      <c r="J482" t="s">
        <v>5049</v>
      </c>
      <c r="K482" t="s">
        <v>5050</v>
      </c>
      <c r="L482" t="s">
        <v>4428</v>
      </c>
      <c r="M482">
        <v>6.3474016189575204</v>
      </c>
      <c r="N482" t="s">
        <v>54</v>
      </c>
      <c r="O482" t="s">
        <v>53</v>
      </c>
      <c r="P482" t="s">
        <v>53</v>
      </c>
      <c r="Q482" t="s">
        <v>53</v>
      </c>
      <c r="R482" t="s">
        <v>53</v>
      </c>
      <c r="S482" t="s">
        <v>4667</v>
      </c>
      <c r="T482" t="s">
        <v>4667</v>
      </c>
      <c r="U482" t="s">
        <v>53</v>
      </c>
      <c r="V482" t="s">
        <v>51</v>
      </c>
      <c r="W482">
        <v>250000</v>
      </c>
      <c r="X482" t="s">
        <v>54</v>
      </c>
      <c r="Y482" t="s">
        <v>3819</v>
      </c>
      <c r="Z482">
        <v>25000</v>
      </c>
      <c r="AA482">
        <v>215</v>
      </c>
      <c r="AB482">
        <v>206</v>
      </c>
      <c r="AC482">
        <v>1436</v>
      </c>
      <c r="AD482">
        <v>1749</v>
      </c>
      <c r="AE482">
        <v>2764</v>
      </c>
      <c r="AF482">
        <v>3</v>
      </c>
      <c r="AG482">
        <v>4</v>
      </c>
      <c r="AH482">
        <v>6.0910649299621582</v>
      </c>
      <c r="AJ482">
        <v>170.2008972167969</v>
      </c>
      <c r="AK482" t="s">
        <v>54</v>
      </c>
      <c r="AL482" t="s">
        <v>54</v>
      </c>
      <c r="AQ482" t="s">
        <v>54</v>
      </c>
      <c r="AW482" t="s">
        <v>53</v>
      </c>
      <c r="AZ482" t="s">
        <v>54</v>
      </c>
      <c r="BA482" t="s">
        <v>2425</v>
      </c>
      <c r="BB482" s="15" t="s">
        <v>678</v>
      </c>
    </row>
    <row r="483" spans="1:54" x14ac:dyDescent="0.25">
      <c r="A483">
        <v>478</v>
      </c>
      <c r="B483" t="s">
        <v>5051</v>
      </c>
      <c r="C483" t="s">
        <v>5052</v>
      </c>
      <c r="D483" t="s">
        <v>5053</v>
      </c>
      <c r="E483">
        <v>3</v>
      </c>
      <c r="F483" t="s">
        <v>3803</v>
      </c>
      <c r="G483" t="s">
        <v>4041</v>
      </c>
      <c r="H483" t="s">
        <v>4161</v>
      </c>
      <c r="I483" t="s">
        <v>4664</v>
      </c>
      <c r="J483" t="s">
        <v>4677</v>
      </c>
      <c r="K483" t="s">
        <v>4678</v>
      </c>
      <c r="L483" t="s">
        <v>4428</v>
      </c>
      <c r="M483">
        <v>2.1903412342071529</v>
      </c>
      <c r="N483" t="s">
        <v>54</v>
      </c>
      <c r="O483" t="s">
        <v>53</v>
      </c>
      <c r="P483" t="s">
        <v>53</v>
      </c>
      <c r="Q483" t="s">
        <v>53</v>
      </c>
      <c r="R483" t="s">
        <v>53</v>
      </c>
      <c r="S483" t="s">
        <v>4667</v>
      </c>
      <c r="T483" t="s">
        <v>4667</v>
      </c>
      <c r="U483" t="s">
        <v>53</v>
      </c>
      <c r="V483" t="s">
        <v>51</v>
      </c>
      <c r="W483">
        <v>440000</v>
      </c>
      <c r="X483" t="s">
        <v>54</v>
      </c>
      <c r="Y483" t="s">
        <v>3819</v>
      </c>
      <c r="Z483">
        <v>44000</v>
      </c>
      <c r="AA483">
        <v>30</v>
      </c>
      <c r="AB483">
        <v>29</v>
      </c>
      <c r="AC483">
        <v>26</v>
      </c>
      <c r="AD483">
        <v>112</v>
      </c>
      <c r="AE483">
        <v>112</v>
      </c>
      <c r="AF483">
        <v>0</v>
      </c>
      <c r="AG483">
        <v>3</v>
      </c>
      <c r="AH483">
        <v>0.95970332622528076</v>
      </c>
      <c r="AJ483">
        <v>10.39986991882324</v>
      </c>
      <c r="AK483" t="s">
        <v>54</v>
      </c>
      <c r="AL483" t="s">
        <v>54</v>
      </c>
      <c r="AQ483" t="s">
        <v>54</v>
      </c>
      <c r="AW483" t="s">
        <v>53</v>
      </c>
      <c r="AZ483" t="s">
        <v>54</v>
      </c>
      <c r="BA483" t="s">
        <v>2425</v>
      </c>
      <c r="BB483" s="15" t="s">
        <v>676</v>
      </c>
    </row>
    <row r="484" spans="1:54" x14ac:dyDescent="0.25">
      <c r="A484">
        <v>479</v>
      </c>
      <c r="B484" t="s">
        <v>5054</v>
      </c>
      <c r="C484" t="s">
        <v>5055</v>
      </c>
      <c r="D484" t="s">
        <v>5056</v>
      </c>
      <c r="E484">
        <v>3</v>
      </c>
      <c r="F484" t="s">
        <v>3803</v>
      </c>
      <c r="G484" t="s">
        <v>4041</v>
      </c>
      <c r="H484" t="s">
        <v>4161</v>
      </c>
      <c r="I484" t="s">
        <v>4682</v>
      </c>
      <c r="J484" t="s">
        <v>4701</v>
      </c>
      <c r="K484" t="s">
        <v>4702</v>
      </c>
      <c r="L484" t="s">
        <v>4428</v>
      </c>
      <c r="M484">
        <v>2.6190638542175289</v>
      </c>
      <c r="N484" t="s">
        <v>54</v>
      </c>
      <c r="O484" t="s">
        <v>53</v>
      </c>
      <c r="P484" t="s">
        <v>53</v>
      </c>
      <c r="Q484" t="s">
        <v>53</v>
      </c>
      <c r="R484" t="s">
        <v>53</v>
      </c>
      <c r="S484" t="s">
        <v>4667</v>
      </c>
      <c r="T484" t="s">
        <v>4667</v>
      </c>
      <c r="U484" t="s">
        <v>53</v>
      </c>
      <c r="V484" t="s">
        <v>51</v>
      </c>
      <c r="W484">
        <v>476000</v>
      </c>
      <c r="X484" t="s">
        <v>54</v>
      </c>
      <c r="Y484" t="s">
        <v>3819</v>
      </c>
      <c r="Z484">
        <v>47600</v>
      </c>
      <c r="AA484">
        <v>4</v>
      </c>
      <c r="AB484">
        <v>4</v>
      </c>
      <c r="AC484">
        <v>5</v>
      </c>
      <c r="AD484">
        <v>23</v>
      </c>
      <c r="AE484">
        <v>23</v>
      </c>
      <c r="AF484">
        <v>0</v>
      </c>
      <c r="AG484">
        <v>1</v>
      </c>
      <c r="AH484">
        <v>0.1097175031900406</v>
      </c>
      <c r="AJ484">
        <v>3.1668329238891602</v>
      </c>
      <c r="AK484" t="s">
        <v>54</v>
      </c>
      <c r="AL484" t="s">
        <v>54</v>
      </c>
      <c r="AQ484" t="s">
        <v>54</v>
      </c>
      <c r="AW484" t="s">
        <v>53</v>
      </c>
      <c r="AZ484" t="s">
        <v>54</v>
      </c>
      <c r="BA484" t="s">
        <v>2425</v>
      </c>
      <c r="BB484" s="15" t="s">
        <v>676</v>
      </c>
    </row>
    <row r="485" spans="1:54" x14ac:dyDescent="0.25">
      <c r="A485">
        <v>480</v>
      </c>
      <c r="B485" t="s">
        <v>5057</v>
      </c>
      <c r="C485" t="s">
        <v>5058</v>
      </c>
      <c r="D485" t="s">
        <v>5059</v>
      </c>
      <c r="E485">
        <v>3</v>
      </c>
      <c r="F485" t="s">
        <v>3803</v>
      </c>
      <c r="G485" t="s">
        <v>4041</v>
      </c>
      <c r="H485" t="s">
        <v>4161</v>
      </c>
      <c r="I485" t="s">
        <v>4671</v>
      </c>
      <c r="J485" t="s">
        <v>4672</v>
      </c>
      <c r="K485" t="s">
        <v>4673</v>
      </c>
      <c r="L485" t="s">
        <v>4428</v>
      </c>
      <c r="M485">
        <v>20.948568344116211</v>
      </c>
      <c r="N485" t="s">
        <v>54</v>
      </c>
      <c r="O485" t="s">
        <v>53</v>
      </c>
      <c r="P485" t="s">
        <v>53</v>
      </c>
      <c r="Q485" t="s">
        <v>53</v>
      </c>
      <c r="R485" t="s">
        <v>53</v>
      </c>
      <c r="S485" t="s">
        <v>4667</v>
      </c>
      <c r="T485" t="s">
        <v>4667</v>
      </c>
      <c r="U485" t="s">
        <v>53</v>
      </c>
      <c r="V485" t="s">
        <v>51</v>
      </c>
      <c r="W485">
        <v>250000</v>
      </c>
      <c r="X485" t="s">
        <v>54</v>
      </c>
      <c r="Y485" t="s">
        <v>3819</v>
      </c>
      <c r="Z485">
        <v>25000</v>
      </c>
      <c r="AA485">
        <v>405</v>
      </c>
      <c r="AB485">
        <v>360</v>
      </c>
      <c r="AC485">
        <v>2595</v>
      </c>
      <c r="AD485">
        <v>2024</v>
      </c>
      <c r="AE485">
        <v>4090</v>
      </c>
      <c r="AF485">
        <v>8</v>
      </c>
      <c r="AG485">
        <v>16</v>
      </c>
      <c r="AH485">
        <v>12.705129623413089</v>
      </c>
      <c r="AJ485">
        <v>50.492229461669922</v>
      </c>
      <c r="AK485" t="s">
        <v>54</v>
      </c>
      <c r="AL485" t="s">
        <v>54</v>
      </c>
      <c r="AQ485" t="s">
        <v>54</v>
      </c>
      <c r="AW485" t="s">
        <v>54</v>
      </c>
      <c r="AZ485" t="s">
        <v>54</v>
      </c>
      <c r="BA485" t="s">
        <v>2425</v>
      </c>
      <c r="BB485" s="15" t="s">
        <v>676</v>
      </c>
    </row>
    <row r="486" spans="1:54" x14ac:dyDescent="0.25">
      <c r="A486">
        <v>481</v>
      </c>
      <c r="B486" t="s">
        <v>5060</v>
      </c>
      <c r="C486" t="s">
        <v>5061</v>
      </c>
      <c r="D486" t="s">
        <v>5062</v>
      </c>
      <c r="E486">
        <v>3</v>
      </c>
      <c r="F486" t="s">
        <v>3803</v>
      </c>
      <c r="G486" t="s">
        <v>4041</v>
      </c>
      <c r="H486" t="s">
        <v>4161</v>
      </c>
      <c r="I486" t="s">
        <v>4664</v>
      </c>
      <c r="J486" t="s">
        <v>4677</v>
      </c>
      <c r="K486" t="s">
        <v>4678</v>
      </c>
      <c r="L486" t="s">
        <v>4428</v>
      </c>
      <c r="M486">
        <v>5.5880069732666016</v>
      </c>
      <c r="N486" t="s">
        <v>54</v>
      </c>
      <c r="O486" t="s">
        <v>53</v>
      </c>
      <c r="P486" t="s">
        <v>53</v>
      </c>
      <c r="Q486" t="s">
        <v>53</v>
      </c>
      <c r="R486" t="s">
        <v>53</v>
      </c>
      <c r="S486" t="s">
        <v>4667</v>
      </c>
      <c r="T486" t="s">
        <v>4667</v>
      </c>
      <c r="U486" t="s">
        <v>53</v>
      </c>
      <c r="V486" t="s">
        <v>51</v>
      </c>
      <c r="W486">
        <v>908000</v>
      </c>
      <c r="X486" t="s">
        <v>54</v>
      </c>
      <c r="Y486" t="s">
        <v>3819</v>
      </c>
      <c r="Z486">
        <v>90800</v>
      </c>
      <c r="AA486">
        <v>61</v>
      </c>
      <c r="AB486">
        <v>60</v>
      </c>
      <c r="AC486">
        <v>89</v>
      </c>
      <c r="AD486">
        <v>344</v>
      </c>
      <c r="AE486">
        <v>350</v>
      </c>
      <c r="AF486">
        <v>1</v>
      </c>
      <c r="AG486">
        <v>5</v>
      </c>
      <c r="AH486">
        <v>2.7339930534362789</v>
      </c>
      <c r="AJ486">
        <v>16.428060531616211</v>
      </c>
      <c r="AK486" t="s">
        <v>54</v>
      </c>
      <c r="AL486" t="s">
        <v>54</v>
      </c>
      <c r="AQ486" t="s">
        <v>54</v>
      </c>
      <c r="AW486" t="s">
        <v>53</v>
      </c>
      <c r="AZ486" t="s">
        <v>54</v>
      </c>
      <c r="BA486" t="s">
        <v>2425</v>
      </c>
      <c r="BB486" s="15" t="s">
        <v>676</v>
      </c>
    </row>
    <row r="487" spans="1:54" x14ac:dyDescent="0.25">
      <c r="A487">
        <v>482</v>
      </c>
      <c r="B487" t="s">
        <v>5063</v>
      </c>
      <c r="C487" t="s">
        <v>5064</v>
      </c>
      <c r="D487" t="s">
        <v>5065</v>
      </c>
      <c r="E487">
        <v>3</v>
      </c>
      <c r="F487" t="s">
        <v>3803</v>
      </c>
      <c r="G487" t="s">
        <v>4495</v>
      </c>
      <c r="H487" t="s">
        <v>4048</v>
      </c>
      <c r="I487" t="s">
        <v>4049</v>
      </c>
      <c r="J487" t="s">
        <v>5066</v>
      </c>
      <c r="K487" t="s">
        <v>5067</v>
      </c>
      <c r="L487" t="s">
        <v>4084</v>
      </c>
      <c r="M487">
        <v>36.419979095458977</v>
      </c>
      <c r="N487" t="s">
        <v>54</v>
      </c>
      <c r="O487" t="s">
        <v>53</v>
      </c>
      <c r="P487" t="s">
        <v>53</v>
      </c>
      <c r="Q487" t="s">
        <v>53</v>
      </c>
      <c r="R487" t="s">
        <v>53</v>
      </c>
      <c r="S487" t="s">
        <v>4327</v>
      </c>
      <c r="T487" t="s">
        <v>4327</v>
      </c>
      <c r="U487" t="s">
        <v>53</v>
      </c>
      <c r="V487" t="s">
        <v>51</v>
      </c>
      <c r="W487">
        <v>250000</v>
      </c>
      <c r="X487" t="s">
        <v>54</v>
      </c>
      <c r="Y487" t="s">
        <v>3819</v>
      </c>
      <c r="Z487">
        <v>25000</v>
      </c>
      <c r="AA487">
        <v>274</v>
      </c>
      <c r="AB487">
        <v>255</v>
      </c>
      <c r="AC487">
        <v>1490</v>
      </c>
      <c r="AD487">
        <v>1456</v>
      </c>
      <c r="AE487">
        <v>2604</v>
      </c>
      <c r="AF487">
        <v>8</v>
      </c>
      <c r="AG487">
        <v>19</v>
      </c>
      <c r="AH487">
        <v>13.17282009124756</v>
      </c>
      <c r="AJ487">
        <v>83.024650573730469</v>
      </c>
      <c r="AK487" t="s">
        <v>54</v>
      </c>
      <c r="AL487" t="s">
        <v>54</v>
      </c>
      <c r="AQ487" t="s">
        <v>54</v>
      </c>
      <c r="AW487" t="s">
        <v>54</v>
      </c>
      <c r="AZ487" t="s">
        <v>54</v>
      </c>
      <c r="BA487" t="s">
        <v>2425</v>
      </c>
      <c r="BB487" s="15" t="s">
        <v>678</v>
      </c>
    </row>
    <row r="488" spans="1:54" x14ac:dyDescent="0.25">
      <c r="A488">
        <v>483</v>
      </c>
      <c r="B488" t="s">
        <v>5068</v>
      </c>
      <c r="C488" t="s">
        <v>5069</v>
      </c>
      <c r="D488" t="s">
        <v>5070</v>
      </c>
      <c r="E488">
        <v>3</v>
      </c>
      <c r="F488" t="s">
        <v>3803</v>
      </c>
      <c r="G488" t="s">
        <v>4495</v>
      </c>
      <c r="H488" t="s">
        <v>4095</v>
      </c>
      <c r="I488" t="s">
        <v>4323</v>
      </c>
      <c r="J488" t="s">
        <v>4339</v>
      </c>
      <c r="K488" t="s">
        <v>4340</v>
      </c>
      <c r="L488" t="s">
        <v>4468</v>
      </c>
      <c r="M488">
        <v>5.9829974174499512</v>
      </c>
      <c r="N488" t="s">
        <v>54</v>
      </c>
      <c r="O488" t="s">
        <v>53</v>
      </c>
      <c r="P488" t="s">
        <v>53</v>
      </c>
      <c r="Q488" t="s">
        <v>53</v>
      </c>
      <c r="R488" t="s">
        <v>53</v>
      </c>
      <c r="S488" t="s">
        <v>4327</v>
      </c>
      <c r="T488" t="s">
        <v>4327</v>
      </c>
      <c r="U488" t="s">
        <v>53</v>
      </c>
      <c r="V488" t="s">
        <v>51</v>
      </c>
      <c r="W488">
        <v>150000</v>
      </c>
      <c r="X488" t="s">
        <v>54</v>
      </c>
      <c r="Y488" t="s">
        <v>3819</v>
      </c>
      <c r="Z488">
        <v>15000</v>
      </c>
      <c r="AA488">
        <v>10</v>
      </c>
      <c r="AB488">
        <v>10</v>
      </c>
      <c r="AC488">
        <v>8</v>
      </c>
      <c r="AD488">
        <v>25</v>
      </c>
      <c r="AE488">
        <v>26</v>
      </c>
      <c r="AF488">
        <v>0</v>
      </c>
      <c r="AG488">
        <v>2</v>
      </c>
      <c r="AH488">
        <v>0.53931897878646851</v>
      </c>
      <c r="AJ488">
        <v>84.700492858886719</v>
      </c>
      <c r="AK488" t="s">
        <v>54</v>
      </c>
      <c r="AL488" t="s">
        <v>54</v>
      </c>
      <c r="AQ488" t="s">
        <v>54</v>
      </c>
      <c r="AW488" t="s">
        <v>54</v>
      </c>
      <c r="AZ488" t="s">
        <v>54</v>
      </c>
      <c r="BA488" t="s">
        <v>2425</v>
      </c>
      <c r="BB488" s="15" t="s">
        <v>676</v>
      </c>
    </row>
    <row r="489" spans="1:54" x14ac:dyDescent="0.25">
      <c r="A489">
        <v>484</v>
      </c>
      <c r="B489" t="s">
        <v>5071</v>
      </c>
      <c r="C489" t="s">
        <v>5072</v>
      </c>
      <c r="D489" t="s">
        <v>5073</v>
      </c>
      <c r="E489">
        <v>3</v>
      </c>
      <c r="F489" t="s">
        <v>3803</v>
      </c>
      <c r="G489" t="s">
        <v>4495</v>
      </c>
      <c r="H489" t="s">
        <v>4095</v>
      </c>
      <c r="I489" t="s">
        <v>4323</v>
      </c>
      <c r="J489" t="s">
        <v>4331</v>
      </c>
      <c r="K489" t="s">
        <v>4332</v>
      </c>
      <c r="L489" t="s">
        <v>4468</v>
      </c>
      <c r="M489">
        <v>6.4713726043701172</v>
      </c>
      <c r="N489" t="s">
        <v>54</v>
      </c>
      <c r="O489" t="s">
        <v>53</v>
      </c>
      <c r="P489" t="s">
        <v>53</v>
      </c>
      <c r="Q489" t="s">
        <v>53</v>
      </c>
      <c r="R489" t="s">
        <v>53</v>
      </c>
      <c r="S489" t="s">
        <v>4327</v>
      </c>
      <c r="T489" t="s">
        <v>4327</v>
      </c>
      <c r="U489" t="s">
        <v>53</v>
      </c>
      <c r="V489" t="s">
        <v>51</v>
      </c>
      <c r="W489">
        <v>150000</v>
      </c>
      <c r="X489" t="s">
        <v>54</v>
      </c>
      <c r="Y489" t="s">
        <v>3819</v>
      </c>
      <c r="Z489">
        <v>15000</v>
      </c>
      <c r="AA489">
        <v>232</v>
      </c>
      <c r="AB489">
        <v>227</v>
      </c>
      <c r="AC489">
        <v>200</v>
      </c>
      <c r="AD489">
        <v>862</v>
      </c>
      <c r="AE489">
        <v>863</v>
      </c>
      <c r="AF489">
        <v>2</v>
      </c>
      <c r="AG489">
        <v>5</v>
      </c>
      <c r="AH489">
        <v>3.980118989944458</v>
      </c>
      <c r="AJ489">
        <v>44.775051116943359</v>
      </c>
      <c r="AK489" t="s">
        <v>54</v>
      </c>
      <c r="AL489" t="s">
        <v>54</v>
      </c>
      <c r="AQ489" t="s">
        <v>54</v>
      </c>
      <c r="AW489" t="s">
        <v>54</v>
      </c>
      <c r="AZ489" t="s">
        <v>54</v>
      </c>
      <c r="BA489" t="s">
        <v>2425</v>
      </c>
      <c r="BB489" s="15" t="s">
        <v>676</v>
      </c>
    </row>
    <row r="490" spans="1:54" x14ac:dyDescent="0.25">
      <c r="A490">
        <v>485</v>
      </c>
      <c r="B490" t="s">
        <v>5074</v>
      </c>
      <c r="C490" t="s">
        <v>5075</v>
      </c>
      <c r="D490" t="s">
        <v>5076</v>
      </c>
      <c r="E490">
        <v>3</v>
      </c>
      <c r="F490" t="s">
        <v>3803</v>
      </c>
      <c r="G490" t="s">
        <v>4495</v>
      </c>
      <c r="H490" t="s">
        <v>4095</v>
      </c>
      <c r="I490" t="s">
        <v>4323</v>
      </c>
      <c r="J490" t="s">
        <v>4331</v>
      </c>
      <c r="K490" t="s">
        <v>4332</v>
      </c>
      <c r="L490" t="s">
        <v>4468</v>
      </c>
      <c r="M490">
        <v>6.4713726043701172</v>
      </c>
      <c r="N490" t="s">
        <v>54</v>
      </c>
      <c r="O490" t="s">
        <v>53</v>
      </c>
      <c r="P490" t="s">
        <v>53</v>
      </c>
      <c r="Q490" t="s">
        <v>53</v>
      </c>
      <c r="R490" t="s">
        <v>53</v>
      </c>
      <c r="S490" t="s">
        <v>4327</v>
      </c>
      <c r="T490" t="s">
        <v>4327</v>
      </c>
      <c r="U490" t="s">
        <v>53</v>
      </c>
      <c r="V490" t="s">
        <v>51</v>
      </c>
      <c r="W490">
        <v>150000</v>
      </c>
      <c r="X490" t="s">
        <v>54</v>
      </c>
      <c r="Y490" t="s">
        <v>3819</v>
      </c>
      <c r="Z490">
        <v>15000</v>
      </c>
      <c r="AA490">
        <v>232</v>
      </c>
      <c r="AB490">
        <v>227</v>
      </c>
      <c r="AC490">
        <v>200</v>
      </c>
      <c r="AD490">
        <v>862</v>
      </c>
      <c r="AE490">
        <v>863</v>
      </c>
      <c r="AF490">
        <v>2</v>
      </c>
      <c r="AG490">
        <v>5</v>
      </c>
      <c r="AH490">
        <v>3.980118989944458</v>
      </c>
      <c r="AJ490">
        <v>44.775051116943359</v>
      </c>
      <c r="AK490" t="s">
        <v>54</v>
      </c>
      <c r="AL490" t="s">
        <v>54</v>
      </c>
      <c r="AQ490" t="s">
        <v>54</v>
      </c>
      <c r="AW490" t="s">
        <v>54</v>
      </c>
      <c r="AZ490" t="s">
        <v>54</v>
      </c>
      <c r="BA490" t="s">
        <v>2425</v>
      </c>
      <c r="BB490" s="15" t="s">
        <v>676</v>
      </c>
    </row>
    <row r="491" spans="1:54" x14ac:dyDescent="0.25">
      <c r="A491">
        <v>486</v>
      </c>
      <c r="B491" t="s">
        <v>5077</v>
      </c>
      <c r="C491" t="s">
        <v>5078</v>
      </c>
      <c r="D491" t="s">
        <v>5079</v>
      </c>
      <c r="E491">
        <v>3</v>
      </c>
      <c r="F491" t="s">
        <v>3803</v>
      </c>
      <c r="G491" t="s">
        <v>4495</v>
      </c>
      <c r="H491" t="s">
        <v>4095</v>
      </c>
      <c r="I491" t="s">
        <v>4323</v>
      </c>
      <c r="J491" t="s">
        <v>4331</v>
      </c>
      <c r="K491" t="s">
        <v>4332</v>
      </c>
      <c r="L491" t="s">
        <v>4468</v>
      </c>
      <c r="M491">
        <v>4.6800632476806641</v>
      </c>
      <c r="N491" t="s">
        <v>54</v>
      </c>
      <c r="O491" t="s">
        <v>53</v>
      </c>
      <c r="P491" t="s">
        <v>53</v>
      </c>
      <c r="Q491" t="s">
        <v>53</v>
      </c>
      <c r="R491" t="s">
        <v>53</v>
      </c>
      <c r="S491" t="s">
        <v>4327</v>
      </c>
      <c r="T491" t="s">
        <v>4327</v>
      </c>
      <c r="U491" t="s">
        <v>53</v>
      </c>
      <c r="V491" t="s">
        <v>51</v>
      </c>
      <c r="W491">
        <v>150000</v>
      </c>
      <c r="X491" t="s">
        <v>54</v>
      </c>
      <c r="Y491" t="s">
        <v>3819</v>
      </c>
      <c r="Z491">
        <v>15000</v>
      </c>
      <c r="AA491">
        <v>40</v>
      </c>
      <c r="AB491">
        <v>28</v>
      </c>
      <c r="AC491">
        <v>216</v>
      </c>
      <c r="AD491">
        <v>115</v>
      </c>
      <c r="AE491">
        <v>298</v>
      </c>
      <c r="AF491">
        <v>0</v>
      </c>
      <c r="AG491">
        <v>5</v>
      </c>
      <c r="AH491">
        <v>1.8675509691238401</v>
      </c>
      <c r="AJ491">
        <v>7.3648991584777832</v>
      </c>
      <c r="AK491" t="s">
        <v>54</v>
      </c>
      <c r="AL491" t="s">
        <v>54</v>
      </c>
      <c r="AQ491" t="s">
        <v>54</v>
      </c>
      <c r="AW491" t="s">
        <v>54</v>
      </c>
      <c r="AZ491" t="s">
        <v>54</v>
      </c>
      <c r="BA491" t="s">
        <v>2425</v>
      </c>
      <c r="BB491" s="15" t="s">
        <v>676</v>
      </c>
    </row>
    <row r="492" spans="1:54" x14ac:dyDescent="0.25">
      <c r="A492">
        <v>487</v>
      </c>
      <c r="B492" t="s">
        <v>5080</v>
      </c>
      <c r="C492" t="s">
        <v>5081</v>
      </c>
      <c r="D492" t="s">
        <v>5082</v>
      </c>
      <c r="E492">
        <v>3</v>
      </c>
      <c r="F492" t="s">
        <v>3803</v>
      </c>
      <c r="G492" t="s">
        <v>3814</v>
      </c>
      <c r="H492" t="s">
        <v>4137</v>
      </c>
      <c r="I492" t="s">
        <v>4408</v>
      </c>
      <c r="J492" t="s">
        <v>5083</v>
      </c>
      <c r="L492" t="s">
        <v>4940</v>
      </c>
      <c r="M492">
        <v>3.3833250999450679</v>
      </c>
      <c r="N492" t="s">
        <v>54</v>
      </c>
      <c r="O492" t="s">
        <v>53</v>
      </c>
      <c r="P492" t="s">
        <v>53</v>
      </c>
      <c r="Q492" t="s">
        <v>53</v>
      </c>
      <c r="R492" t="s">
        <v>53</v>
      </c>
      <c r="S492" t="s">
        <v>952</v>
      </c>
      <c r="T492" t="s">
        <v>952</v>
      </c>
      <c r="U492" t="s">
        <v>53</v>
      </c>
      <c r="V492" t="s">
        <v>51</v>
      </c>
      <c r="W492">
        <v>500000</v>
      </c>
      <c r="X492" t="s">
        <v>54</v>
      </c>
      <c r="Y492" t="s">
        <v>3819</v>
      </c>
      <c r="Z492">
        <v>50000</v>
      </c>
      <c r="AA492">
        <v>106</v>
      </c>
      <c r="AB492">
        <v>95</v>
      </c>
      <c r="AC492">
        <v>63</v>
      </c>
      <c r="AD492">
        <v>241</v>
      </c>
      <c r="AE492">
        <v>241</v>
      </c>
      <c r="AF492">
        <v>0</v>
      </c>
      <c r="AG492">
        <v>0</v>
      </c>
      <c r="AH492">
        <v>1.5426449775695801</v>
      </c>
      <c r="AJ492">
        <v>551.2998046875</v>
      </c>
      <c r="AK492" t="s">
        <v>54</v>
      </c>
      <c r="AL492" t="s">
        <v>54</v>
      </c>
      <c r="AQ492" t="s">
        <v>54</v>
      </c>
      <c r="AW492" t="s">
        <v>54</v>
      </c>
      <c r="AZ492" t="s">
        <v>54</v>
      </c>
      <c r="BA492" t="s">
        <v>2425</v>
      </c>
      <c r="BB492" s="15" t="s">
        <v>678</v>
      </c>
    </row>
    <row r="493" spans="1:54" x14ac:dyDescent="0.25">
      <c r="A493">
        <v>488</v>
      </c>
      <c r="B493" t="s">
        <v>5084</v>
      </c>
      <c r="C493" t="s">
        <v>5085</v>
      </c>
      <c r="D493" t="s">
        <v>5086</v>
      </c>
      <c r="E493">
        <v>3</v>
      </c>
      <c r="F493" t="s">
        <v>3803</v>
      </c>
      <c r="G493" t="s">
        <v>947</v>
      </c>
      <c r="H493" t="s">
        <v>5087</v>
      </c>
      <c r="I493" t="s">
        <v>5088</v>
      </c>
      <c r="J493" t="s">
        <v>5089</v>
      </c>
      <c r="K493" t="s">
        <v>5090</v>
      </c>
      <c r="L493" t="s">
        <v>4099</v>
      </c>
      <c r="M493">
        <v>14.777956008911129</v>
      </c>
      <c r="N493" t="s">
        <v>54</v>
      </c>
      <c r="O493" t="s">
        <v>53</v>
      </c>
      <c r="P493" t="s">
        <v>53</v>
      </c>
      <c r="Q493" t="s">
        <v>53</v>
      </c>
      <c r="R493" t="s">
        <v>53</v>
      </c>
      <c r="S493" t="s">
        <v>952</v>
      </c>
      <c r="T493" t="s">
        <v>952</v>
      </c>
      <c r="U493" t="s">
        <v>53</v>
      </c>
      <c r="V493" t="s">
        <v>138</v>
      </c>
      <c r="W493">
        <v>458000</v>
      </c>
      <c r="X493" t="s">
        <v>54</v>
      </c>
      <c r="Y493" t="s">
        <v>3819</v>
      </c>
      <c r="Z493">
        <v>45800</v>
      </c>
      <c r="AA493">
        <v>205</v>
      </c>
      <c r="AB493">
        <v>102</v>
      </c>
      <c r="AC493">
        <v>75</v>
      </c>
      <c r="AD493">
        <v>252</v>
      </c>
      <c r="AE493">
        <v>259</v>
      </c>
      <c r="AF493">
        <v>1</v>
      </c>
      <c r="AG493">
        <v>0</v>
      </c>
      <c r="AH493">
        <v>5.2963089942932129</v>
      </c>
      <c r="AJ493">
        <v>3806.31005859375</v>
      </c>
      <c r="AK493" t="s">
        <v>54</v>
      </c>
      <c r="AL493" t="s">
        <v>54</v>
      </c>
      <c r="AQ493" t="s">
        <v>54</v>
      </c>
      <c r="AW493" t="s">
        <v>54</v>
      </c>
      <c r="AZ493" t="s">
        <v>54</v>
      </c>
      <c r="BA493" t="s">
        <v>2425</v>
      </c>
      <c r="BB493" s="15" t="s">
        <v>676</v>
      </c>
    </row>
    <row r="494" spans="1:54" x14ac:dyDescent="0.25">
      <c r="A494">
        <v>489</v>
      </c>
      <c r="B494" t="s">
        <v>5091</v>
      </c>
      <c r="C494" t="s">
        <v>5092</v>
      </c>
      <c r="D494" t="s">
        <v>5093</v>
      </c>
      <c r="E494">
        <v>3</v>
      </c>
      <c r="F494" t="s">
        <v>3803</v>
      </c>
      <c r="G494" t="s">
        <v>3834</v>
      </c>
      <c r="H494" t="s">
        <v>5094</v>
      </c>
      <c r="I494" t="s">
        <v>5095</v>
      </c>
      <c r="J494" t="s">
        <v>5096</v>
      </c>
      <c r="K494" t="s">
        <v>5097</v>
      </c>
      <c r="L494" t="s">
        <v>4428</v>
      </c>
      <c r="M494">
        <v>15.14408016204834</v>
      </c>
      <c r="N494" t="s">
        <v>54</v>
      </c>
      <c r="O494" t="s">
        <v>53</v>
      </c>
      <c r="P494" t="s">
        <v>53</v>
      </c>
      <c r="Q494" t="s">
        <v>53</v>
      </c>
      <c r="R494" t="s">
        <v>53</v>
      </c>
      <c r="S494" t="s">
        <v>5098</v>
      </c>
      <c r="T494" t="s">
        <v>5098</v>
      </c>
      <c r="U494" t="s">
        <v>53</v>
      </c>
      <c r="V494" t="s">
        <v>51</v>
      </c>
      <c r="W494">
        <v>100000</v>
      </c>
      <c r="X494" t="s">
        <v>54</v>
      </c>
      <c r="Y494" t="s">
        <v>4185</v>
      </c>
      <c r="Z494">
        <v>20000</v>
      </c>
      <c r="AA494">
        <v>46</v>
      </c>
      <c r="AB494">
        <v>27</v>
      </c>
      <c r="AC494">
        <v>23</v>
      </c>
      <c r="AD494">
        <v>58</v>
      </c>
      <c r="AE494">
        <v>61</v>
      </c>
      <c r="AF494">
        <v>0</v>
      </c>
      <c r="AG494">
        <v>0</v>
      </c>
      <c r="AH494">
        <v>2.2864758968353271</v>
      </c>
      <c r="AJ494">
        <v>1251.365966796875</v>
      </c>
      <c r="AK494" t="s">
        <v>54</v>
      </c>
      <c r="AL494" t="s">
        <v>54</v>
      </c>
      <c r="AQ494" t="s">
        <v>54</v>
      </c>
      <c r="AW494" t="s">
        <v>54</v>
      </c>
      <c r="AZ494" t="s">
        <v>54</v>
      </c>
      <c r="BA494" t="s">
        <v>2425</v>
      </c>
      <c r="BB494" s="15" t="s">
        <v>678</v>
      </c>
    </row>
    <row r="495" spans="1:54" x14ac:dyDescent="0.25">
      <c r="A495">
        <v>490</v>
      </c>
      <c r="B495" t="s">
        <v>5099</v>
      </c>
      <c r="C495" t="s">
        <v>5100</v>
      </c>
      <c r="D495" t="s">
        <v>5101</v>
      </c>
      <c r="E495">
        <v>3</v>
      </c>
      <c r="F495" t="s">
        <v>3803</v>
      </c>
      <c r="G495" t="s">
        <v>5102</v>
      </c>
      <c r="H495" t="s">
        <v>5102</v>
      </c>
      <c r="I495" t="s">
        <v>5102</v>
      </c>
      <c r="J495" t="s">
        <v>5102</v>
      </c>
      <c r="K495" t="s">
        <v>5102</v>
      </c>
      <c r="L495" t="s">
        <v>5103</v>
      </c>
      <c r="M495">
        <v>17848.505859375</v>
      </c>
      <c r="N495" t="s">
        <v>54</v>
      </c>
      <c r="O495" t="s">
        <v>53</v>
      </c>
      <c r="P495" t="s">
        <v>53</v>
      </c>
      <c r="Q495" t="s">
        <v>53</v>
      </c>
      <c r="R495" t="s">
        <v>53</v>
      </c>
      <c r="S495" t="s">
        <v>5104</v>
      </c>
      <c r="T495" t="s">
        <v>5104</v>
      </c>
      <c r="U495" t="s">
        <v>53</v>
      </c>
      <c r="V495" t="s">
        <v>138</v>
      </c>
      <c r="W495">
        <v>2000000</v>
      </c>
      <c r="X495" t="s">
        <v>54</v>
      </c>
      <c r="Y495" t="s">
        <v>3982</v>
      </c>
      <c r="Z495">
        <v>400000</v>
      </c>
      <c r="AA495">
        <v>186744</v>
      </c>
      <c r="AB495">
        <v>141182</v>
      </c>
      <c r="AE495">
        <v>882992</v>
      </c>
      <c r="AF495">
        <v>981</v>
      </c>
      <c r="AG495">
        <v>1737</v>
      </c>
      <c r="AH495">
        <v>7605.60009765625</v>
      </c>
      <c r="AJ495">
        <v>3629.89990234375</v>
      </c>
      <c r="AK495" t="s">
        <v>54</v>
      </c>
      <c r="AL495" t="s">
        <v>54</v>
      </c>
      <c r="AQ495" t="s">
        <v>54</v>
      </c>
      <c r="AW495" t="s">
        <v>54</v>
      </c>
      <c r="AZ495" t="s">
        <v>54</v>
      </c>
      <c r="BA495" t="s">
        <v>2425</v>
      </c>
      <c r="BB495" s="15" t="s">
        <v>678</v>
      </c>
    </row>
    <row r="496" spans="1:54" x14ac:dyDescent="0.25">
      <c r="A496">
        <v>491</v>
      </c>
      <c r="B496" t="s">
        <v>5105</v>
      </c>
      <c r="C496" t="s">
        <v>5106</v>
      </c>
      <c r="D496" t="s">
        <v>5107</v>
      </c>
      <c r="E496">
        <v>3</v>
      </c>
      <c r="F496" t="s">
        <v>3803</v>
      </c>
      <c r="G496" t="s">
        <v>5108</v>
      </c>
      <c r="H496" t="s">
        <v>4161</v>
      </c>
      <c r="I496" t="s">
        <v>5109</v>
      </c>
      <c r="J496" t="s">
        <v>5110</v>
      </c>
      <c r="K496" t="s">
        <v>5111</v>
      </c>
      <c r="L496" t="s">
        <v>4099</v>
      </c>
      <c r="M496">
        <v>6.46466064453125</v>
      </c>
      <c r="N496" t="s">
        <v>54</v>
      </c>
      <c r="O496" t="s">
        <v>53</v>
      </c>
      <c r="P496" t="s">
        <v>53</v>
      </c>
      <c r="Q496" t="s">
        <v>53</v>
      </c>
      <c r="R496" t="s">
        <v>53</v>
      </c>
      <c r="S496" t="s">
        <v>5112</v>
      </c>
      <c r="T496" t="s">
        <v>5112</v>
      </c>
      <c r="U496" t="s">
        <v>53</v>
      </c>
      <c r="V496" t="s">
        <v>138</v>
      </c>
      <c r="W496">
        <v>164000</v>
      </c>
      <c r="X496" t="s">
        <v>54</v>
      </c>
      <c r="Y496" t="s">
        <v>3819</v>
      </c>
      <c r="Z496">
        <v>16400</v>
      </c>
      <c r="AA496">
        <v>33</v>
      </c>
      <c r="AB496">
        <v>20</v>
      </c>
      <c r="AC496">
        <v>26</v>
      </c>
      <c r="AD496">
        <v>35</v>
      </c>
      <c r="AE496">
        <v>51</v>
      </c>
      <c r="AF496">
        <v>1</v>
      </c>
      <c r="AG496">
        <v>0</v>
      </c>
      <c r="AH496">
        <v>0.62120872735977173</v>
      </c>
      <c r="AJ496">
        <v>714.980224609375</v>
      </c>
      <c r="AK496" t="s">
        <v>54</v>
      </c>
      <c r="AL496" t="s">
        <v>54</v>
      </c>
      <c r="AQ496" t="s">
        <v>54</v>
      </c>
      <c r="AW496" t="s">
        <v>53</v>
      </c>
      <c r="AZ496" t="s">
        <v>54</v>
      </c>
      <c r="BA496" t="s">
        <v>2425</v>
      </c>
      <c r="BB496" s="15" t="s">
        <v>676</v>
      </c>
    </row>
    <row r="497" spans="1:54" x14ac:dyDescent="0.25">
      <c r="A497">
        <v>492</v>
      </c>
      <c r="B497" t="s">
        <v>5113</v>
      </c>
      <c r="C497" t="s">
        <v>5114</v>
      </c>
      <c r="D497" t="s">
        <v>5107</v>
      </c>
      <c r="E497">
        <v>3</v>
      </c>
      <c r="F497" t="s">
        <v>3803</v>
      </c>
      <c r="G497" t="s">
        <v>5108</v>
      </c>
      <c r="H497" t="s">
        <v>4161</v>
      </c>
      <c r="I497" t="s">
        <v>5109</v>
      </c>
      <c r="J497" t="s">
        <v>5115</v>
      </c>
      <c r="K497" t="s">
        <v>5116</v>
      </c>
      <c r="L497" t="s">
        <v>4099</v>
      </c>
      <c r="M497">
        <v>4.9496316909790039</v>
      </c>
      <c r="N497" t="s">
        <v>54</v>
      </c>
      <c r="O497" t="s">
        <v>53</v>
      </c>
      <c r="P497" t="s">
        <v>53</v>
      </c>
      <c r="Q497" t="s">
        <v>53</v>
      </c>
      <c r="R497" t="s">
        <v>53</v>
      </c>
      <c r="S497" t="s">
        <v>5112</v>
      </c>
      <c r="T497" t="s">
        <v>5112</v>
      </c>
      <c r="U497" t="s">
        <v>53</v>
      </c>
      <c r="V497" t="s">
        <v>138</v>
      </c>
      <c r="W497">
        <v>106000</v>
      </c>
      <c r="X497" t="s">
        <v>54</v>
      </c>
      <c r="Y497" t="s">
        <v>3819</v>
      </c>
      <c r="Z497">
        <v>0</v>
      </c>
      <c r="AA497">
        <v>32</v>
      </c>
      <c r="AB497">
        <v>26</v>
      </c>
      <c r="AC497">
        <v>666</v>
      </c>
      <c r="AD497">
        <v>33</v>
      </c>
      <c r="AE497">
        <v>689</v>
      </c>
      <c r="AF497">
        <v>2</v>
      </c>
      <c r="AG497">
        <v>1</v>
      </c>
      <c r="AH497">
        <v>2.8187301158905029</v>
      </c>
      <c r="AJ497">
        <v>179.35150146484381</v>
      </c>
      <c r="AK497" t="s">
        <v>54</v>
      </c>
      <c r="AL497" t="s">
        <v>54</v>
      </c>
      <c r="AQ497" t="s">
        <v>54</v>
      </c>
      <c r="AW497" t="s">
        <v>54</v>
      </c>
      <c r="AZ497" t="s">
        <v>54</v>
      </c>
      <c r="BA497" t="s">
        <v>2425</v>
      </c>
      <c r="BB497" s="15" t="s">
        <v>676</v>
      </c>
    </row>
    <row r="498" spans="1:54" x14ac:dyDescent="0.25">
      <c r="A498">
        <v>493</v>
      </c>
      <c r="B498" t="s">
        <v>5117</v>
      </c>
      <c r="C498" t="s">
        <v>5118</v>
      </c>
      <c r="D498" t="s">
        <v>5119</v>
      </c>
      <c r="E498">
        <v>3</v>
      </c>
      <c r="F498" t="s">
        <v>3803</v>
      </c>
      <c r="G498" t="s">
        <v>4619</v>
      </c>
      <c r="H498" t="s">
        <v>4161</v>
      </c>
      <c r="I498" t="s">
        <v>4874</v>
      </c>
      <c r="J498" t="s">
        <v>5120</v>
      </c>
      <c r="K498" t="s">
        <v>5121</v>
      </c>
      <c r="L498" t="s">
        <v>5122</v>
      </c>
      <c r="M498">
        <v>6.002408504486084</v>
      </c>
      <c r="N498" t="s">
        <v>54</v>
      </c>
      <c r="O498" t="s">
        <v>53</v>
      </c>
      <c r="P498" t="s">
        <v>53</v>
      </c>
      <c r="Q498" t="s">
        <v>53</v>
      </c>
      <c r="R498" t="s">
        <v>53</v>
      </c>
      <c r="S498" t="s">
        <v>4877</v>
      </c>
      <c r="T498" t="s">
        <v>4877</v>
      </c>
      <c r="U498" t="s">
        <v>53</v>
      </c>
      <c r="V498" t="s">
        <v>138</v>
      </c>
      <c r="W498">
        <v>137000</v>
      </c>
      <c r="X498" t="s">
        <v>54</v>
      </c>
      <c r="Y498" t="s">
        <v>3819</v>
      </c>
      <c r="Z498">
        <v>13700</v>
      </c>
      <c r="AA498">
        <v>43</v>
      </c>
      <c r="AB498">
        <v>36</v>
      </c>
      <c r="AC498">
        <v>32</v>
      </c>
      <c r="AD498">
        <v>92</v>
      </c>
      <c r="AE498">
        <v>105</v>
      </c>
      <c r="AF498">
        <v>0</v>
      </c>
      <c r="AG498">
        <v>1</v>
      </c>
      <c r="AH498">
        <v>0.53135198354721069</v>
      </c>
      <c r="AJ498">
        <v>188.24809265136719</v>
      </c>
      <c r="AK498" t="s">
        <v>54</v>
      </c>
      <c r="AL498" t="s">
        <v>54</v>
      </c>
      <c r="AQ498" t="s">
        <v>54</v>
      </c>
      <c r="AW498" t="s">
        <v>53</v>
      </c>
      <c r="AZ498" t="s">
        <v>54</v>
      </c>
      <c r="BA498" t="s">
        <v>2425</v>
      </c>
      <c r="BB498" s="15" t="s">
        <v>678</v>
      </c>
    </row>
    <row r="499" spans="1:54" x14ac:dyDescent="0.25">
      <c r="A499">
        <v>494</v>
      </c>
      <c r="B499" t="s">
        <v>5123</v>
      </c>
      <c r="C499" t="s">
        <v>5124</v>
      </c>
      <c r="D499" t="s">
        <v>5125</v>
      </c>
      <c r="E499">
        <v>3</v>
      </c>
      <c r="F499" t="s">
        <v>3803</v>
      </c>
      <c r="G499" t="s">
        <v>5126</v>
      </c>
      <c r="H499" t="s">
        <v>4161</v>
      </c>
      <c r="I499" t="s">
        <v>4682</v>
      </c>
      <c r="J499" t="s">
        <v>5127</v>
      </c>
      <c r="K499" t="s">
        <v>5128</v>
      </c>
      <c r="L499" t="s">
        <v>5122</v>
      </c>
      <c r="M499">
        <v>18.26263427734375</v>
      </c>
      <c r="N499" t="s">
        <v>54</v>
      </c>
      <c r="O499" t="s">
        <v>53</v>
      </c>
      <c r="P499" t="s">
        <v>53</v>
      </c>
      <c r="Q499" t="s">
        <v>53</v>
      </c>
      <c r="R499" t="s">
        <v>53</v>
      </c>
      <c r="S499" t="s">
        <v>4877</v>
      </c>
      <c r="T499" t="s">
        <v>4877</v>
      </c>
      <c r="U499" t="s">
        <v>53</v>
      </c>
      <c r="V499" t="s">
        <v>138</v>
      </c>
      <c r="W499">
        <v>396000</v>
      </c>
      <c r="X499" t="s">
        <v>54</v>
      </c>
      <c r="Y499" t="s">
        <v>3819</v>
      </c>
      <c r="Z499">
        <v>39600</v>
      </c>
      <c r="AA499">
        <v>61</v>
      </c>
      <c r="AB499">
        <v>45</v>
      </c>
      <c r="AC499">
        <v>50</v>
      </c>
      <c r="AD499">
        <v>103</v>
      </c>
      <c r="AE499">
        <v>118</v>
      </c>
      <c r="AF499">
        <v>0</v>
      </c>
      <c r="AG499">
        <v>14</v>
      </c>
      <c r="AH499">
        <v>4.2645502090454102</v>
      </c>
      <c r="AJ499">
        <v>1346.765991210938</v>
      </c>
      <c r="AK499" t="s">
        <v>54</v>
      </c>
      <c r="AL499" t="s">
        <v>54</v>
      </c>
      <c r="AQ499" t="s">
        <v>54</v>
      </c>
      <c r="AW499" t="s">
        <v>54</v>
      </c>
      <c r="AZ499" t="s">
        <v>54</v>
      </c>
      <c r="BA499" t="s">
        <v>2425</v>
      </c>
      <c r="BB499" s="15" t="s">
        <v>676</v>
      </c>
    </row>
    <row r="500" spans="1:54" x14ac:dyDescent="0.25">
      <c r="A500">
        <v>495</v>
      </c>
      <c r="B500" t="s">
        <v>5129</v>
      </c>
      <c r="C500" t="s">
        <v>5130</v>
      </c>
      <c r="D500" t="s">
        <v>5131</v>
      </c>
      <c r="E500">
        <v>3</v>
      </c>
      <c r="F500" t="s">
        <v>3803</v>
      </c>
      <c r="G500" t="s">
        <v>4619</v>
      </c>
      <c r="H500" t="s">
        <v>4161</v>
      </c>
      <c r="I500" t="s">
        <v>4874</v>
      </c>
      <c r="J500" t="s">
        <v>5132</v>
      </c>
      <c r="K500" t="s">
        <v>5133</v>
      </c>
      <c r="L500" t="s">
        <v>5134</v>
      </c>
      <c r="M500">
        <v>5.6065230369567871</v>
      </c>
      <c r="N500" t="s">
        <v>54</v>
      </c>
      <c r="O500" t="s">
        <v>53</v>
      </c>
      <c r="P500" t="s">
        <v>53</v>
      </c>
      <c r="Q500" t="s">
        <v>53</v>
      </c>
      <c r="R500" t="s">
        <v>53</v>
      </c>
      <c r="S500" t="s">
        <v>4877</v>
      </c>
      <c r="T500" t="s">
        <v>4877</v>
      </c>
      <c r="U500" t="s">
        <v>53</v>
      </c>
      <c r="V500" t="s">
        <v>138</v>
      </c>
      <c r="W500">
        <v>115000</v>
      </c>
      <c r="X500" t="s">
        <v>54</v>
      </c>
      <c r="Y500" t="s">
        <v>3819</v>
      </c>
      <c r="Z500">
        <v>11500</v>
      </c>
      <c r="AA500">
        <v>43</v>
      </c>
      <c r="AB500">
        <v>41</v>
      </c>
      <c r="AC500">
        <v>59</v>
      </c>
      <c r="AD500">
        <v>121</v>
      </c>
      <c r="AE500">
        <v>143</v>
      </c>
      <c r="AF500">
        <v>1</v>
      </c>
      <c r="AG500">
        <v>1</v>
      </c>
      <c r="AH500">
        <v>1.454651951789856</v>
      </c>
      <c r="AJ500">
        <v>34.117050170898438</v>
      </c>
      <c r="AK500" t="s">
        <v>54</v>
      </c>
      <c r="AL500" t="s">
        <v>54</v>
      </c>
      <c r="AQ500" t="s">
        <v>54</v>
      </c>
      <c r="AW500" t="s">
        <v>54</v>
      </c>
      <c r="AZ500" t="s">
        <v>54</v>
      </c>
      <c r="BA500" t="s">
        <v>2425</v>
      </c>
      <c r="BB500" s="15" t="s">
        <v>678</v>
      </c>
    </row>
    <row r="501" spans="1:54" x14ac:dyDescent="0.25">
      <c r="A501">
        <v>496</v>
      </c>
      <c r="B501" t="s">
        <v>5135</v>
      </c>
      <c r="C501" t="s">
        <v>5136</v>
      </c>
      <c r="D501" t="s">
        <v>5137</v>
      </c>
      <c r="E501">
        <v>3</v>
      </c>
      <c r="F501" t="s">
        <v>3803</v>
      </c>
      <c r="G501" t="s">
        <v>5138</v>
      </c>
      <c r="H501" t="s">
        <v>5139</v>
      </c>
      <c r="I501" t="s">
        <v>5140</v>
      </c>
      <c r="J501" t="s">
        <v>5141</v>
      </c>
      <c r="K501" t="s">
        <v>5142</v>
      </c>
      <c r="L501" t="s">
        <v>5143</v>
      </c>
      <c r="M501">
        <v>11.211441993713381</v>
      </c>
      <c r="N501" t="s">
        <v>54</v>
      </c>
      <c r="O501" t="s">
        <v>53</v>
      </c>
      <c r="P501" t="s">
        <v>53</v>
      </c>
      <c r="Q501" t="s">
        <v>53</v>
      </c>
      <c r="R501" t="s">
        <v>53</v>
      </c>
      <c r="S501" t="s">
        <v>5144</v>
      </c>
      <c r="T501" t="s">
        <v>5144</v>
      </c>
      <c r="U501" t="s">
        <v>53</v>
      </c>
      <c r="V501" t="s">
        <v>138</v>
      </c>
      <c r="W501">
        <v>100000</v>
      </c>
      <c r="X501" t="s">
        <v>54</v>
      </c>
      <c r="Y501" t="s">
        <v>3819</v>
      </c>
      <c r="Z501">
        <v>10000</v>
      </c>
      <c r="AA501">
        <v>88</v>
      </c>
      <c r="AB501">
        <v>73</v>
      </c>
      <c r="AC501">
        <v>110</v>
      </c>
      <c r="AD501">
        <v>169</v>
      </c>
      <c r="AE501">
        <v>226</v>
      </c>
      <c r="AF501">
        <v>0</v>
      </c>
      <c r="AG501">
        <v>14</v>
      </c>
      <c r="AH501">
        <v>3.1670610904693599</v>
      </c>
      <c r="AJ501">
        <v>636.59259033203125</v>
      </c>
      <c r="AK501" t="s">
        <v>54</v>
      </c>
      <c r="AL501" t="s">
        <v>54</v>
      </c>
      <c r="AQ501" t="s">
        <v>54</v>
      </c>
      <c r="AW501" t="s">
        <v>53</v>
      </c>
      <c r="AZ501" t="s">
        <v>54</v>
      </c>
      <c r="BA501" t="s">
        <v>2425</v>
      </c>
      <c r="BB501" s="15" t="s">
        <v>676</v>
      </c>
    </row>
    <row r="502" spans="1:54" x14ac:dyDescent="0.25">
      <c r="A502">
        <v>497</v>
      </c>
      <c r="B502" t="s">
        <v>5145</v>
      </c>
      <c r="C502" t="s">
        <v>5146</v>
      </c>
      <c r="D502" t="s">
        <v>5137</v>
      </c>
      <c r="E502">
        <v>3</v>
      </c>
      <c r="F502" t="s">
        <v>3803</v>
      </c>
      <c r="G502" t="s">
        <v>5138</v>
      </c>
      <c r="H502" t="s">
        <v>4161</v>
      </c>
      <c r="I502" t="s">
        <v>4874</v>
      </c>
      <c r="J502" t="s">
        <v>5147</v>
      </c>
      <c r="K502" t="s">
        <v>5148</v>
      </c>
      <c r="L502" t="s">
        <v>5143</v>
      </c>
      <c r="M502">
        <v>3.426461935043335</v>
      </c>
      <c r="N502" t="s">
        <v>54</v>
      </c>
      <c r="O502" t="s">
        <v>53</v>
      </c>
      <c r="P502" t="s">
        <v>53</v>
      </c>
      <c r="Q502" t="s">
        <v>53</v>
      </c>
      <c r="R502" t="s">
        <v>53</v>
      </c>
      <c r="S502" t="s">
        <v>5144</v>
      </c>
      <c r="T502" t="s">
        <v>5144</v>
      </c>
      <c r="U502" t="s">
        <v>53</v>
      </c>
      <c r="V502" t="s">
        <v>138</v>
      </c>
      <c r="W502">
        <v>150000</v>
      </c>
      <c r="X502" t="s">
        <v>54</v>
      </c>
      <c r="Y502" t="s">
        <v>3819</v>
      </c>
      <c r="Z502">
        <v>15000</v>
      </c>
      <c r="AA502">
        <v>34</v>
      </c>
      <c r="AB502">
        <v>33</v>
      </c>
      <c r="AC502">
        <v>22</v>
      </c>
      <c r="AD502">
        <v>55</v>
      </c>
      <c r="AE502">
        <v>56</v>
      </c>
      <c r="AF502">
        <v>0</v>
      </c>
      <c r="AG502">
        <v>5</v>
      </c>
      <c r="AH502">
        <v>0.71595758199691772</v>
      </c>
      <c r="AJ502">
        <v>95.4752197265625</v>
      </c>
      <c r="AK502" t="s">
        <v>54</v>
      </c>
      <c r="AL502" t="s">
        <v>54</v>
      </c>
      <c r="AQ502" t="s">
        <v>54</v>
      </c>
      <c r="AW502" t="s">
        <v>54</v>
      </c>
      <c r="AZ502" t="s">
        <v>54</v>
      </c>
      <c r="BA502" t="s">
        <v>2425</v>
      </c>
      <c r="BB502" s="15" t="s">
        <v>676</v>
      </c>
    </row>
    <row r="503" spans="1:54" x14ac:dyDescent="0.25">
      <c r="A503">
        <v>498</v>
      </c>
      <c r="B503" t="s">
        <v>5149</v>
      </c>
      <c r="C503" t="s">
        <v>5150</v>
      </c>
      <c r="D503" t="s">
        <v>5137</v>
      </c>
      <c r="E503">
        <v>3</v>
      </c>
      <c r="F503" t="s">
        <v>3803</v>
      </c>
      <c r="G503" t="s">
        <v>5151</v>
      </c>
      <c r="H503" t="s">
        <v>4161</v>
      </c>
      <c r="I503" t="s">
        <v>4162</v>
      </c>
      <c r="J503" t="s">
        <v>5152</v>
      </c>
      <c r="K503" t="s">
        <v>5153</v>
      </c>
      <c r="L503" t="s">
        <v>5154</v>
      </c>
      <c r="M503">
        <v>2.9966228008270259</v>
      </c>
      <c r="N503" t="s">
        <v>54</v>
      </c>
      <c r="O503" t="s">
        <v>53</v>
      </c>
      <c r="P503" t="s">
        <v>53</v>
      </c>
      <c r="Q503" t="s">
        <v>53</v>
      </c>
      <c r="R503" t="s">
        <v>53</v>
      </c>
      <c r="S503" t="s">
        <v>5144</v>
      </c>
      <c r="T503" t="s">
        <v>5144</v>
      </c>
      <c r="U503" t="s">
        <v>53</v>
      </c>
      <c r="V503" t="s">
        <v>138</v>
      </c>
      <c r="W503">
        <v>50000</v>
      </c>
      <c r="X503" t="s">
        <v>54</v>
      </c>
      <c r="Y503" t="s">
        <v>3819</v>
      </c>
      <c r="Z503">
        <v>5000</v>
      </c>
      <c r="AA503">
        <v>3</v>
      </c>
      <c r="AB503">
        <v>0</v>
      </c>
      <c r="AC503">
        <v>91</v>
      </c>
      <c r="AD503">
        <v>0</v>
      </c>
      <c r="AE503">
        <v>91</v>
      </c>
      <c r="AF503">
        <v>0</v>
      </c>
      <c r="AG503">
        <v>2</v>
      </c>
      <c r="AH503">
        <v>1.172554016113281</v>
      </c>
      <c r="AJ503">
        <v>19.999700546264648</v>
      </c>
      <c r="AK503" t="s">
        <v>54</v>
      </c>
      <c r="AL503" t="s">
        <v>54</v>
      </c>
      <c r="AQ503" t="s">
        <v>54</v>
      </c>
      <c r="AW503" t="s">
        <v>54</v>
      </c>
      <c r="AZ503" t="s">
        <v>54</v>
      </c>
      <c r="BA503" t="s">
        <v>2425</v>
      </c>
      <c r="BB503" s="15" t="s">
        <v>678</v>
      </c>
    </row>
    <row r="504" spans="1:54" x14ac:dyDescent="0.25">
      <c r="A504">
        <v>499</v>
      </c>
      <c r="B504" t="s">
        <v>5155</v>
      </c>
      <c r="C504" t="s">
        <v>5156</v>
      </c>
      <c r="D504" t="s">
        <v>5137</v>
      </c>
      <c r="E504">
        <v>3</v>
      </c>
      <c r="F504" t="s">
        <v>3803</v>
      </c>
      <c r="G504" t="s">
        <v>5138</v>
      </c>
      <c r="H504" t="s">
        <v>5157</v>
      </c>
      <c r="I504" t="s">
        <v>5158</v>
      </c>
      <c r="J504" t="s">
        <v>5159</v>
      </c>
      <c r="K504" t="s">
        <v>5160</v>
      </c>
      <c r="L504" t="s">
        <v>5143</v>
      </c>
      <c r="M504">
        <v>22.972457885742191</v>
      </c>
      <c r="N504" t="s">
        <v>54</v>
      </c>
      <c r="O504" t="s">
        <v>53</v>
      </c>
      <c r="P504" t="s">
        <v>53</v>
      </c>
      <c r="Q504" t="s">
        <v>53</v>
      </c>
      <c r="R504" t="s">
        <v>53</v>
      </c>
      <c r="S504" t="s">
        <v>5144</v>
      </c>
      <c r="T504" t="s">
        <v>5144</v>
      </c>
      <c r="U504" t="s">
        <v>53</v>
      </c>
      <c r="V504" t="s">
        <v>138</v>
      </c>
      <c r="W504">
        <v>265000</v>
      </c>
      <c r="X504" t="s">
        <v>54</v>
      </c>
      <c r="Y504" t="s">
        <v>3819</v>
      </c>
      <c r="Z504">
        <v>26500</v>
      </c>
      <c r="AA504">
        <v>234</v>
      </c>
      <c r="AB504">
        <v>215</v>
      </c>
      <c r="AC504">
        <v>292</v>
      </c>
      <c r="AD504">
        <v>456</v>
      </c>
      <c r="AE504">
        <v>596</v>
      </c>
      <c r="AF504">
        <v>2</v>
      </c>
      <c r="AG504">
        <v>19</v>
      </c>
      <c r="AH504">
        <v>6.3262691497802734</v>
      </c>
      <c r="AJ504">
        <v>1015.492980957031</v>
      </c>
      <c r="AK504" t="s">
        <v>54</v>
      </c>
      <c r="AL504" t="s">
        <v>54</v>
      </c>
      <c r="AQ504" t="s">
        <v>54</v>
      </c>
      <c r="AW504" t="s">
        <v>54</v>
      </c>
      <c r="AZ504" t="s">
        <v>54</v>
      </c>
      <c r="BA504" t="s">
        <v>2425</v>
      </c>
      <c r="BB504" s="15" t="s">
        <v>676</v>
      </c>
    </row>
    <row r="505" spans="1:54" x14ac:dyDescent="0.25">
      <c r="A505">
        <v>500</v>
      </c>
      <c r="B505" t="s">
        <v>5161</v>
      </c>
      <c r="C505" t="s">
        <v>5162</v>
      </c>
      <c r="D505" t="s">
        <v>5137</v>
      </c>
      <c r="E505">
        <v>3</v>
      </c>
      <c r="F505" t="s">
        <v>3803</v>
      </c>
      <c r="G505" t="s">
        <v>5138</v>
      </c>
      <c r="H505" t="s">
        <v>4161</v>
      </c>
      <c r="I505" t="s">
        <v>4162</v>
      </c>
      <c r="J505" t="s">
        <v>5163</v>
      </c>
      <c r="K505" t="s">
        <v>5164</v>
      </c>
      <c r="L505" t="s">
        <v>5143</v>
      </c>
      <c r="M505">
        <v>1.0554835796356199</v>
      </c>
      <c r="N505" t="s">
        <v>54</v>
      </c>
      <c r="O505" t="s">
        <v>53</v>
      </c>
      <c r="P505" t="s">
        <v>53</v>
      </c>
      <c r="Q505" t="s">
        <v>53</v>
      </c>
      <c r="R505" t="s">
        <v>53</v>
      </c>
      <c r="S505" t="s">
        <v>5144</v>
      </c>
      <c r="T505" t="s">
        <v>5144</v>
      </c>
      <c r="U505" t="s">
        <v>53</v>
      </c>
      <c r="V505" t="s">
        <v>138</v>
      </c>
      <c r="W505">
        <v>50000</v>
      </c>
      <c r="X505" t="s">
        <v>54</v>
      </c>
      <c r="Y505" t="s">
        <v>3819</v>
      </c>
      <c r="Z505">
        <v>5000</v>
      </c>
      <c r="AA505">
        <v>14</v>
      </c>
      <c r="AB505">
        <v>14</v>
      </c>
      <c r="AC505">
        <v>17</v>
      </c>
      <c r="AD505">
        <v>57</v>
      </c>
      <c r="AE505">
        <v>57</v>
      </c>
      <c r="AF505">
        <v>0</v>
      </c>
      <c r="AG505">
        <v>0</v>
      </c>
      <c r="AH505">
        <v>0.28080299496650701</v>
      </c>
      <c r="AJ505">
        <v>5.622654914855957</v>
      </c>
      <c r="AK505" t="s">
        <v>54</v>
      </c>
      <c r="AL505" t="s">
        <v>54</v>
      </c>
      <c r="AQ505" t="s">
        <v>54</v>
      </c>
      <c r="AW505" t="s">
        <v>54</v>
      </c>
      <c r="AZ505" t="s">
        <v>54</v>
      </c>
      <c r="BA505" t="s">
        <v>2425</v>
      </c>
      <c r="BB505" s="15" t="s">
        <v>676</v>
      </c>
    </row>
    <row r="506" spans="1:54" x14ac:dyDescent="0.25">
      <c r="A506">
        <v>501</v>
      </c>
      <c r="B506" t="s">
        <v>5165</v>
      </c>
      <c r="C506" t="s">
        <v>5166</v>
      </c>
      <c r="D506" t="s">
        <v>3802</v>
      </c>
      <c r="E506">
        <v>3</v>
      </c>
      <c r="F506" t="s">
        <v>3803</v>
      </c>
      <c r="G506" t="s">
        <v>5167</v>
      </c>
      <c r="H506" t="s">
        <v>5168</v>
      </c>
      <c r="I506" t="s">
        <v>5169</v>
      </c>
      <c r="J506" t="s">
        <v>5163</v>
      </c>
      <c r="K506" t="s">
        <v>5164</v>
      </c>
      <c r="L506" t="s">
        <v>5122</v>
      </c>
      <c r="M506">
        <v>1298.720825195312</v>
      </c>
      <c r="N506" t="s">
        <v>54</v>
      </c>
      <c r="O506" t="s">
        <v>53</v>
      </c>
      <c r="P506" t="s">
        <v>53</v>
      </c>
      <c r="Q506" t="s">
        <v>53</v>
      </c>
      <c r="R506" t="s">
        <v>53</v>
      </c>
      <c r="S506" t="s">
        <v>5170</v>
      </c>
      <c r="T506" t="s">
        <v>5170</v>
      </c>
      <c r="U506" t="s">
        <v>53</v>
      </c>
      <c r="V506" t="s">
        <v>138</v>
      </c>
      <c r="W506">
        <v>4582000</v>
      </c>
      <c r="X506" t="s">
        <v>54</v>
      </c>
      <c r="Y506" t="s">
        <v>3819</v>
      </c>
      <c r="Z506">
        <v>458200</v>
      </c>
      <c r="AA506">
        <v>5222</v>
      </c>
      <c r="AB506">
        <v>4603</v>
      </c>
      <c r="AC506">
        <v>10542</v>
      </c>
      <c r="AD506">
        <v>18685</v>
      </c>
      <c r="AE506">
        <v>24778</v>
      </c>
      <c r="AF506">
        <v>49</v>
      </c>
      <c r="AG506">
        <v>151</v>
      </c>
      <c r="AH506">
        <v>273.16970825195313</v>
      </c>
      <c r="AJ506">
        <v>60443.33984375</v>
      </c>
      <c r="AK506" t="s">
        <v>54</v>
      </c>
      <c r="AL506" t="s">
        <v>54</v>
      </c>
      <c r="AQ506" t="s">
        <v>54</v>
      </c>
      <c r="AW506" t="s">
        <v>54</v>
      </c>
      <c r="AZ506" t="s">
        <v>54</v>
      </c>
      <c r="BA506" t="s">
        <v>3481</v>
      </c>
      <c r="BB506" s="15" t="s">
        <v>678</v>
      </c>
    </row>
    <row r="507" spans="1:54" x14ac:dyDescent="0.25">
      <c r="A507">
        <v>502</v>
      </c>
      <c r="B507" t="s">
        <v>5171</v>
      </c>
      <c r="C507" t="s">
        <v>5172</v>
      </c>
      <c r="D507" t="s">
        <v>3802</v>
      </c>
      <c r="E507">
        <v>3</v>
      </c>
      <c r="F507" t="s">
        <v>3803</v>
      </c>
      <c r="G507" t="s">
        <v>3840</v>
      </c>
      <c r="H507" t="s">
        <v>4627</v>
      </c>
      <c r="I507" t="s">
        <v>4628</v>
      </c>
      <c r="J507" t="s">
        <v>5163</v>
      </c>
      <c r="K507" t="s">
        <v>5164</v>
      </c>
      <c r="L507" t="s">
        <v>5122</v>
      </c>
      <c r="M507">
        <v>717.02850341796875</v>
      </c>
      <c r="N507" t="s">
        <v>54</v>
      </c>
      <c r="O507" t="s">
        <v>53</v>
      </c>
      <c r="P507" t="s">
        <v>53</v>
      </c>
      <c r="Q507" t="s">
        <v>53</v>
      </c>
      <c r="R507" t="s">
        <v>53</v>
      </c>
      <c r="S507" t="s">
        <v>5170</v>
      </c>
      <c r="T507" t="s">
        <v>5170</v>
      </c>
      <c r="U507" t="s">
        <v>53</v>
      </c>
      <c r="V507" t="s">
        <v>138</v>
      </c>
      <c r="W507">
        <v>1115000</v>
      </c>
      <c r="X507" t="s">
        <v>54</v>
      </c>
      <c r="Y507" t="s">
        <v>3819</v>
      </c>
      <c r="Z507">
        <v>11500</v>
      </c>
      <c r="AA507">
        <v>1002</v>
      </c>
      <c r="AB507">
        <v>752</v>
      </c>
      <c r="AC507">
        <v>1776</v>
      </c>
      <c r="AD507">
        <v>2983</v>
      </c>
      <c r="AE507">
        <v>4043</v>
      </c>
      <c r="AF507">
        <v>19</v>
      </c>
      <c r="AG507">
        <v>30</v>
      </c>
      <c r="AH507">
        <v>107.249397277832</v>
      </c>
      <c r="AJ507">
        <v>30212.2109375</v>
      </c>
      <c r="AK507" t="s">
        <v>54</v>
      </c>
      <c r="AL507" t="s">
        <v>54</v>
      </c>
      <c r="AQ507" t="s">
        <v>54</v>
      </c>
      <c r="AW507" t="s">
        <v>54</v>
      </c>
      <c r="AZ507" t="s">
        <v>54</v>
      </c>
      <c r="BA507" t="s">
        <v>3481</v>
      </c>
      <c r="BB507" s="15" t="s">
        <v>678</v>
      </c>
    </row>
    <row r="508" spans="1:54" x14ac:dyDescent="0.25">
      <c r="A508">
        <v>503</v>
      </c>
      <c r="B508" t="s">
        <v>5173</v>
      </c>
      <c r="C508" t="s">
        <v>5174</v>
      </c>
      <c r="D508" t="s">
        <v>4094</v>
      </c>
      <c r="E508">
        <v>3</v>
      </c>
      <c r="F508" t="s">
        <v>3803</v>
      </c>
      <c r="G508" t="s">
        <v>4495</v>
      </c>
      <c r="H508" t="s">
        <v>4456</v>
      </c>
      <c r="I508" t="s">
        <v>4457</v>
      </c>
      <c r="J508" t="s">
        <v>5175</v>
      </c>
      <c r="K508" t="s">
        <v>5176</v>
      </c>
      <c r="L508" t="s">
        <v>4099</v>
      </c>
      <c r="M508">
        <v>0.58065718412399292</v>
      </c>
      <c r="N508" t="s">
        <v>54</v>
      </c>
      <c r="O508" t="s">
        <v>53</v>
      </c>
      <c r="P508" t="s">
        <v>53</v>
      </c>
      <c r="Q508" t="s">
        <v>53</v>
      </c>
      <c r="R508" t="s">
        <v>53</v>
      </c>
      <c r="S508" t="s">
        <v>5177</v>
      </c>
      <c r="T508" t="s">
        <v>5177</v>
      </c>
      <c r="U508" t="s">
        <v>53</v>
      </c>
      <c r="V508" t="s">
        <v>138</v>
      </c>
      <c r="W508">
        <v>250000</v>
      </c>
      <c r="X508" t="s">
        <v>54</v>
      </c>
      <c r="Y508" t="s">
        <v>3819</v>
      </c>
      <c r="Z508">
        <v>25000</v>
      </c>
      <c r="AA508">
        <v>3</v>
      </c>
      <c r="AB508">
        <v>3</v>
      </c>
      <c r="AC508">
        <v>3</v>
      </c>
      <c r="AD508">
        <v>12</v>
      </c>
      <c r="AE508">
        <v>12</v>
      </c>
      <c r="AF508">
        <v>0</v>
      </c>
      <c r="AG508">
        <v>0</v>
      </c>
      <c r="AH508">
        <v>0</v>
      </c>
      <c r="AJ508">
        <v>0</v>
      </c>
      <c r="AK508" t="s">
        <v>54</v>
      </c>
      <c r="AL508" t="s">
        <v>54</v>
      </c>
      <c r="AQ508" t="s">
        <v>54</v>
      </c>
      <c r="AW508" t="s">
        <v>53</v>
      </c>
      <c r="AZ508" t="s">
        <v>54</v>
      </c>
      <c r="BA508" t="s">
        <v>2425</v>
      </c>
      <c r="BB508" s="15" t="s">
        <v>676</v>
      </c>
    </row>
    <row r="509" spans="1:54" x14ac:dyDescent="0.25">
      <c r="A509">
        <v>504</v>
      </c>
      <c r="B509" t="s">
        <v>5178</v>
      </c>
      <c r="C509" t="s">
        <v>5179</v>
      </c>
      <c r="D509" t="s">
        <v>5180</v>
      </c>
      <c r="E509">
        <v>3</v>
      </c>
      <c r="F509" t="s">
        <v>3803</v>
      </c>
      <c r="G509" t="s">
        <v>4495</v>
      </c>
      <c r="H509" t="s">
        <v>4456</v>
      </c>
      <c r="I509" t="s">
        <v>5181</v>
      </c>
      <c r="J509" t="s">
        <v>5182</v>
      </c>
      <c r="K509" t="s">
        <v>5183</v>
      </c>
      <c r="L509" t="s">
        <v>4099</v>
      </c>
      <c r="M509">
        <v>8.1007270812988281</v>
      </c>
      <c r="N509" t="s">
        <v>54</v>
      </c>
      <c r="O509" t="s">
        <v>53</v>
      </c>
      <c r="P509" t="s">
        <v>53</v>
      </c>
      <c r="Q509" t="s">
        <v>53</v>
      </c>
      <c r="R509" t="s">
        <v>53</v>
      </c>
      <c r="S509" t="s">
        <v>5184</v>
      </c>
      <c r="T509" t="s">
        <v>5184</v>
      </c>
      <c r="U509" t="s">
        <v>53</v>
      </c>
      <c r="V509" t="s">
        <v>138</v>
      </c>
      <c r="W509">
        <v>250000</v>
      </c>
      <c r="X509" t="s">
        <v>54</v>
      </c>
      <c r="Y509" t="s">
        <v>3819</v>
      </c>
      <c r="Z509">
        <v>25000</v>
      </c>
      <c r="AA509">
        <v>71</v>
      </c>
      <c r="AB509">
        <v>69</v>
      </c>
      <c r="AC509">
        <v>443</v>
      </c>
      <c r="AD509">
        <v>168</v>
      </c>
      <c r="AE509">
        <v>573</v>
      </c>
      <c r="AF509">
        <v>0</v>
      </c>
      <c r="AG509">
        <v>9</v>
      </c>
      <c r="AH509">
        <v>4.0030980110168457</v>
      </c>
      <c r="AJ509">
        <v>195.08369445800781</v>
      </c>
      <c r="AK509" t="s">
        <v>54</v>
      </c>
      <c r="AL509" t="s">
        <v>54</v>
      </c>
      <c r="AQ509" t="s">
        <v>54</v>
      </c>
      <c r="AW509" t="s">
        <v>53</v>
      </c>
      <c r="AZ509" t="s">
        <v>54</v>
      </c>
      <c r="BA509" t="s">
        <v>2425</v>
      </c>
      <c r="BB509" s="15" t="s">
        <v>678</v>
      </c>
    </row>
    <row r="510" spans="1:54" x14ac:dyDescent="0.25">
      <c r="A510">
        <v>505</v>
      </c>
      <c r="B510" t="s">
        <v>5185</v>
      </c>
      <c r="C510" t="s">
        <v>5186</v>
      </c>
      <c r="D510" t="s">
        <v>5187</v>
      </c>
      <c r="E510">
        <v>3</v>
      </c>
      <c r="F510" t="s">
        <v>3803</v>
      </c>
      <c r="G510" t="s">
        <v>4495</v>
      </c>
      <c r="H510" t="s">
        <v>4456</v>
      </c>
      <c r="I510" t="s">
        <v>4457</v>
      </c>
      <c r="J510" t="s">
        <v>5188</v>
      </c>
      <c r="K510" t="s">
        <v>5189</v>
      </c>
      <c r="L510" t="s">
        <v>5190</v>
      </c>
      <c r="M510">
        <v>7.0642695426940918</v>
      </c>
      <c r="N510" t="s">
        <v>54</v>
      </c>
      <c r="O510" t="s">
        <v>53</v>
      </c>
      <c r="P510" t="s">
        <v>53</v>
      </c>
      <c r="Q510" t="s">
        <v>53</v>
      </c>
      <c r="R510" t="s">
        <v>53</v>
      </c>
      <c r="S510" t="s">
        <v>5191</v>
      </c>
      <c r="T510" t="s">
        <v>5191</v>
      </c>
      <c r="U510" t="s">
        <v>53</v>
      </c>
      <c r="V510" t="s">
        <v>51</v>
      </c>
      <c r="W510">
        <v>250000</v>
      </c>
      <c r="X510" t="s">
        <v>54</v>
      </c>
      <c r="Y510" t="s">
        <v>3819</v>
      </c>
      <c r="Z510">
        <v>62500</v>
      </c>
      <c r="AA510">
        <v>179</v>
      </c>
      <c r="AB510">
        <v>147</v>
      </c>
      <c r="AC510">
        <v>310</v>
      </c>
      <c r="AD510">
        <v>347</v>
      </c>
      <c r="AE510">
        <v>561</v>
      </c>
      <c r="AF510">
        <v>3</v>
      </c>
      <c r="AG510">
        <v>2</v>
      </c>
      <c r="AH510">
        <v>9.5175743103027344</v>
      </c>
      <c r="AJ510">
        <v>160.74769592285159</v>
      </c>
      <c r="AK510" t="s">
        <v>54</v>
      </c>
      <c r="AL510" t="s">
        <v>54</v>
      </c>
      <c r="AQ510" t="s">
        <v>54</v>
      </c>
      <c r="AW510" t="s">
        <v>53</v>
      </c>
      <c r="AZ510" t="s">
        <v>54</v>
      </c>
      <c r="BA510" t="s">
        <v>2425</v>
      </c>
      <c r="BB510" s="15" t="s">
        <v>678</v>
      </c>
    </row>
    <row r="511" spans="1:54" x14ac:dyDescent="0.25">
      <c r="A511">
        <v>506</v>
      </c>
      <c r="B511" t="s">
        <v>5192</v>
      </c>
      <c r="C511" t="s">
        <v>5193</v>
      </c>
      <c r="D511" t="s">
        <v>5194</v>
      </c>
      <c r="E511">
        <v>3</v>
      </c>
      <c r="F511" t="s">
        <v>3803</v>
      </c>
      <c r="G511" t="s">
        <v>4495</v>
      </c>
      <c r="H511" t="s">
        <v>4456</v>
      </c>
      <c r="I511" t="s">
        <v>4457</v>
      </c>
      <c r="J511" t="s">
        <v>5188</v>
      </c>
      <c r="K511" t="s">
        <v>5189</v>
      </c>
      <c r="L511" t="s">
        <v>5190</v>
      </c>
      <c r="M511">
        <v>7.0642695426940918</v>
      </c>
      <c r="N511" t="s">
        <v>54</v>
      </c>
      <c r="O511" t="s">
        <v>53</v>
      </c>
      <c r="P511" t="s">
        <v>53</v>
      </c>
      <c r="Q511" t="s">
        <v>53</v>
      </c>
      <c r="R511" t="s">
        <v>53</v>
      </c>
      <c r="S511" t="s">
        <v>5191</v>
      </c>
      <c r="T511" t="s">
        <v>5191</v>
      </c>
      <c r="U511" t="s">
        <v>53</v>
      </c>
      <c r="V511" t="s">
        <v>51</v>
      </c>
      <c r="W511">
        <v>250000</v>
      </c>
      <c r="X511" t="s">
        <v>54</v>
      </c>
      <c r="Y511" t="s">
        <v>3819</v>
      </c>
      <c r="Z511">
        <v>62500</v>
      </c>
      <c r="AA511">
        <v>179</v>
      </c>
      <c r="AB511">
        <v>147</v>
      </c>
      <c r="AC511">
        <v>310</v>
      </c>
      <c r="AD511">
        <v>347</v>
      </c>
      <c r="AE511">
        <v>561</v>
      </c>
      <c r="AF511">
        <v>3</v>
      </c>
      <c r="AG511">
        <v>2</v>
      </c>
      <c r="AH511">
        <v>9.5175743103027344</v>
      </c>
      <c r="AJ511">
        <v>160.74769592285159</v>
      </c>
      <c r="AK511" t="s">
        <v>54</v>
      </c>
      <c r="AL511" t="s">
        <v>54</v>
      </c>
      <c r="AQ511" t="s">
        <v>54</v>
      </c>
      <c r="AW511" t="s">
        <v>53</v>
      </c>
      <c r="AZ511" t="s">
        <v>54</v>
      </c>
      <c r="BA511" t="s">
        <v>2425</v>
      </c>
      <c r="BB511" s="15" t="s">
        <v>678</v>
      </c>
    </row>
    <row r="512" spans="1:54" x14ac:dyDescent="0.25">
      <c r="A512">
        <v>507</v>
      </c>
      <c r="B512" t="s">
        <v>5195</v>
      </c>
      <c r="C512" t="s">
        <v>5196</v>
      </c>
      <c r="D512" t="s">
        <v>5197</v>
      </c>
      <c r="E512">
        <v>3</v>
      </c>
      <c r="F512" t="s">
        <v>3803</v>
      </c>
      <c r="G512" t="s">
        <v>4495</v>
      </c>
      <c r="H512" t="s">
        <v>4456</v>
      </c>
      <c r="I512" t="s">
        <v>4457</v>
      </c>
      <c r="J512" t="s">
        <v>5188</v>
      </c>
      <c r="K512" t="s">
        <v>5189</v>
      </c>
      <c r="L512" t="s">
        <v>5190</v>
      </c>
      <c r="M512">
        <v>7.0642695426940918</v>
      </c>
      <c r="N512" t="s">
        <v>54</v>
      </c>
      <c r="O512" t="s">
        <v>53</v>
      </c>
      <c r="P512" t="s">
        <v>53</v>
      </c>
      <c r="Q512" t="s">
        <v>53</v>
      </c>
      <c r="R512" t="s">
        <v>53</v>
      </c>
      <c r="S512" t="s">
        <v>5191</v>
      </c>
      <c r="T512" t="s">
        <v>5191</v>
      </c>
      <c r="U512" t="s">
        <v>53</v>
      </c>
      <c r="V512" t="s">
        <v>51</v>
      </c>
      <c r="W512">
        <v>250000</v>
      </c>
      <c r="X512" t="s">
        <v>54</v>
      </c>
      <c r="Y512" t="s">
        <v>3819</v>
      </c>
      <c r="Z512">
        <v>62500</v>
      </c>
      <c r="AA512">
        <v>179</v>
      </c>
      <c r="AB512">
        <v>147</v>
      </c>
      <c r="AC512">
        <v>310</v>
      </c>
      <c r="AD512">
        <v>347</v>
      </c>
      <c r="AE512">
        <v>561</v>
      </c>
      <c r="AF512">
        <v>3</v>
      </c>
      <c r="AG512">
        <v>2</v>
      </c>
      <c r="AH512">
        <v>9.5175743103027344</v>
      </c>
      <c r="AJ512">
        <v>160.74769592285159</v>
      </c>
      <c r="AK512" t="s">
        <v>54</v>
      </c>
      <c r="AL512" t="s">
        <v>54</v>
      </c>
      <c r="AQ512" t="s">
        <v>54</v>
      </c>
      <c r="AW512" t="s">
        <v>53</v>
      </c>
      <c r="AZ512" t="s">
        <v>54</v>
      </c>
      <c r="BA512" t="s">
        <v>2425</v>
      </c>
      <c r="BB512" s="15" t="s">
        <v>676</v>
      </c>
    </row>
    <row r="513" spans="1:54" x14ac:dyDescent="0.25">
      <c r="A513">
        <v>508</v>
      </c>
      <c r="B513" t="s">
        <v>5198</v>
      </c>
      <c r="C513" t="s">
        <v>5199</v>
      </c>
      <c r="D513" t="s">
        <v>5200</v>
      </c>
      <c r="E513">
        <v>3</v>
      </c>
      <c r="F513" t="s">
        <v>3803</v>
      </c>
      <c r="G513" t="s">
        <v>4495</v>
      </c>
      <c r="H513" t="s">
        <v>4456</v>
      </c>
      <c r="I513" t="s">
        <v>5201</v>
      </c>
      <c r="J513" t="s">
        <v>5202</v>
      </c>
      <c r="K513" t="s">
        <v>5203</v>
      </c>
      <c r="L513" t="s">
        <v>5190</v>
      </c>
      <c r="M513">
        <v>4.2957668304443359</v>
      </c>
      <c r="N513" t="s">
        <v>54</v>
      </c>
      <c r="O513" t="s">
        <v>53</v>
      </c>
      <c r="P513" t="s">
        <v>53</v>
      </c>
      <c r="Q513" t="s">
        <v>53</v>
      </c>
      <c r="R513" t="s">
        <v>53</v>
      </c>
      <c r="S513" t="s">
        <v>5191</v>
      </c>
      <c r="T513" t="s">
        <v>5191</v>
      </c>
      <c r="U513" t="s">
        <v>53</v>
      </c>
      <c r="V513" t="s">
        <v>51</v>
      </c>
      <c r="W513">
        <v>250000</v>
      </c>
      <c r="X513" t="s">
        <v>54</v>
      </c>
      <c r="Y513" t="s">
        <v>3819</v>
      </c>
      <c r="Z513">
        <v>62500</v>
      </c>
      <c r="AA513">
        <v>5</v>
      </c>
      <c r="AB513">
        <v>5</v>
      </c>
      <c r="AC513">
        <v>5</v>
      </c>
      <c r="AD513">
        <v>19</v>
      </c>
      <c r="AE513">
        <v>19</v>
      </c>
      <c r="AF513">
        <v>0</v>
      </c>
      <c r="AG513">
        <v>0</v>
      </c>
      <c r="AH513">
        <v>0.54393601417541504</v>
      </c>
      <c r="AJ513">
        <v>2.2548758983612061</v>
      </c>
      <c r="AK513" t="s">
        <v>54</v>
      </c>
      <c r="AL513" t="s">
        <v>54</v>
      </c>
      <c r="AQ513" t="s">
        <v>54</v>
      </c>
      <c r="AW513" t="s">
        <v>53</v>
      </c>
      <c r="AZ513" t="s">
        <v>54</v>
      </c>
      <c r="BA513" t="s">
        <v>2425</v>
      </c>
      <c r="BB513" s="15" t="s">
        <v>676</v>
      </c>
    </row>
    <row r="514" spans="1:54" x14ac:dyDescent="0.25">
      <c r="A514">
        <v>509</v>
      </c>
      <c r="B514" t="s">
        <v>5204</v>
      </c>
      <c r="C514" t="s">
        <v>5205</v>
      </c>
      <c r="D514" t="s">
        <v>5206</v>
      </c>
      <c r="E514">
        <v>3</v>
      </c>
      <c r="F514" t="s">
        <v>3803</v>
      </c>
      <c r="G514" t="s">
        <v>4495</v>
      </c>
      <c r="H514" t="s">
        <v>4456</v>
      </c>
      <c r="I514" t="s">
        <v>5201</v>
      </c>
      <c r="J514" t="s">
        <v>5202</v>
      </c>
      <c r="K514" t="s">
        <v>5203</v>
      </c>
      <c r="L514" t="s">
        <v>5190</v>
      </c>
      <c r="M514">
        <v>4.2957668304443359</v>
      </c>
      <c r="N514" t="s">
        <v>54</v>
      </c>
      <c r="O514" t="s">
        <v>53</v>
      </c>
      <c r="P514" t="s">
        <v>53</v>
      </c>
      <c r="Q514" t="s">
        <v>53</v>
      </c>
      <c r="R514" t="s">
        <v>53</v>
      </c>
      <c r="S514" t="s">
        <v>5191</v>
      </c>
      <c r="T514" t="s">
        <v>5191</v>
      </c>
      <c r="U514" t="s">
        <v>53</v>
      </c>
      <c r="V514" t="s">
        <v>51</v>
      </c>
      <c r="W514">
        <v>250000</v>
      </c>
      <c r="X514" t="s">
        <v>54</v>
      </c>
      <c r="Y514" t="s">
        <v>3819</v>
      </c>
      <c r="Z514">
        <v>62500</v>
      </c>
      <c r="AA514">
        <v>5</v>
      </c>
      <c r="AB514">
        <v>5</v>
      </c>
      <c r="AC514">
        <v>5</v>
      </c>
      <c r="AD514">
        <v>19</v>
      </c>
      <c r="AE514">
        <v>19</v>
      </c>
      <c r="AF514">
        <v>0</v>
      </c>
      <c r="AG514">
        <v>0</v>
      </c>
      <c r="AH514">
        <v>0.54393601417541504</v>
      </c>
      <c r="AJ514">
        <v>2.2548758983612061</v>
      </c>
      <c r="AK514" t="s">
        <v>54</v>
      </c>
      <c r="AL514" t="s">
        <v>54</v>
      </c>
      <c r="AQ514" t="s">
        <v>54</v>
      </c>
      <c r="AW514" t="s">
        <v>53</v>
      </c>
      <c r="AZ514" t="s">
        <v>54</v>
      </c>
      <c r="BA514" t="s">
        <v>2425</v>
      </c>
      <c r="BB514" s="15" t="s">
        <v>678</v>
      </c>
    </row>
    <row r="515" spans="1:54" x14ac:dyDescent="0.25">
      <c r="A515">
        <v>510</v>
      </c>
      <c r="B515" t="s">
        <v>5207</v>
      </c>
      <c r="C515" t="s">
        <v>5208</v>
      </c>
      <c r="D515" t="s">
        <v>5209</v>
      </c>
      <c r="E515">
        <v>3</v>
      </c>
      <c r="F515" t="s">
        <v>3803</v>
      </c>
      <c r="G515" t="s">
        <v>4495</v>
      </c>
      <c r="H515" t="s">
        <v>4456</v>
      </c>
      <c r="I515" t="s">
        <v>5201</v>
      </c>
      <c r="J515" t="s">
        <v>5210</v>
      </c>
      <c r="K515" t="s">
        <v>5211</v>
      </c>
      <c r="L515" t="s">
        <v>5190</v>
      </c>
      <c r="M515">
        <v>3.8551535606384282</v>
      </c>
      <c r="N515" t="s">
        <v>54</v>
      </c>
      <c r="O515" t="s">
        <v>53</v>
      </c>
      <c r="P515" t="s">
        <v>53</v>
      </c>
      <c r="Q515" t="s">
        <v>53</v>
      </c>
      <c r="R515" t="s">
        <v>53</v>
      </c>
      <c r="S515" t="s">
        <v>5191</v>
      </c>
      <c r="T515" t="s">
        <v>5191</v>
      </c>
      <c r="U515" t="s">
        <v>53</v>
      </c>
      <c r="V515" t="s">
        <v>51</v>
      </c>
      <c r="W515">
        <v>250000</v>
      </c>
      <c r="X515" t="s">
        <v>54</v>
      </c>
      <c r="Y515" t="s">
        <v>3819</v>
      </c>
      <c r="Z515">
        <v>62500</v>
      </c>
      <c r="AA515">
        <v>9</v>
      </c>
      <c r="AB515">
        <v>1</v>
      </c>
      <c r="AC515">
        <v>129</v>
      </c>
      <c r="AD515">
        <v>0</v>
      </c>
      <c r="AE515">
        <v>129</v>
      </c>
      <c r="AF515">
        <v>0</v>
      </c>
      <c r="AG515">
        <v>1</v>
      </c>
      <c r="AH515">
        <v>1.9841270446777339</v>
      </c>
      <c r="AJ515">
        <v>23.395139694213871</v>
      </c>
      <c r="AK515" t="s">
        <v>54</v>
      </c>
      <c r="AL515" t="s">
        <v>54</v>
      </c>
      <c r="AQ515" t="s">
        <v>54</v>
      </c>
      <c r="AW515" t="s">
        <v>53</v>
      </c>
      <c r="AZ515" t="s">
        <v>54</v>
      </c>
      <c r="BA515" t="s">
        <v>2425</v>
      </c>
      <c r="BB515" s="15" t="s">
        <v>676</v>
      </c>
    </row>
    <row r="516" spans="1:54" x14ac:dyDescent="0.25">
      <c r="A516">
        <v>511</v>
      </c>
      <c r="B516" t="s">
        <v>5212</v>
      </c>
      <c r="C516" t="s">
        <v>5213</v>
      </c>
      <c r="D516" t="s">
        <v>5214</v>
      </c>
      <c r="E516">
        <v>3</v>
      </c>
      <c r="F516" t="s">
        <v>3803</v>
      </c>
      <c r="G516" t="s">
        <v>4495</v>
      </c>
      <c r="H516" t="s">
        <v>4456</v>
      </c>
      <c r="I516" t="s">
        <v>5201</v>
      </c>
      <c r="J516" t="s">
        <v>5215</v>
      </c>
      <c r="K516" t="s">
        <v>5216</v>
      </c>
      <c r="L516" t="s">
        <v>5190</v>
      </c>
      <c r="M516">
        <v>2.5532011985778809</v>
      </c>
      <c r="N516" t="s">
        <v>54</v>
      </c>
      <c r="O516" t="s">
        <v>53</v>
      </c>
      <c r="P516" t="s">
        <v>53</v>
      </c>
      <c r="Q516" t="s">
        <v>53</v>
      </c>
      <c r="R516" t="s">
        <v>53</v>
      </c>
      <c r="S516" t="s">
        <v>5191</v>
      </c>
      <c r="T516" t="s">
        <v>5191</v>
      </c>
      <c r="U516" t="s">
        <v>53</v>
      </c>
      <c r="V516" t="s">
        <v>51</v>
      </c>
      <c r="W516">
        <v>250000</v>
      </c>
      <c r="X516" t="s">
        <v>54</v>
      </c>
      <c r="Y516" t="s">
        <v>3819</v>
      </c>
      <c r="Z516">
        <v>62500</v>
      </c>
      <c r="AA516">
        <v>0</v>
      </c>
      <c r="AB516">
        <v>0</v>
      </c>
      <c r="AC516">
        <v>0</v>
      </c>
      <c r="AD516">
        <v>0</v>
      </c>
      <c r="AE516">
        <v>0</v>
      </c>
      <c r="AF516">
        <v>0</v>
      </c>
      <c r="AG516">
        <v>0</v>
      </c>
      <c r="AH516">
        <v>0.27180489897727972</v>
      </c>
      <c r="AJ516">
        <v>19.327829360961911</v>
      </c>
      <c r="AK516" t="s">
        <v>54</v>
      </c>
      <c r="AL516" t="s">
        <v>54</v>
      </c>
      <c r="AQ516" t="s">
        <v>54</v>
      </c>
      <c r="AW516" t="s">
        <v>53</v>
      </c>
      <c r="AZ516" t="s">
        <v>54</v>
      </c>
      <c r="BA516" t="s">
        <v>2425</v>
      </c>
      <c r="BB516" s="15" t="s">
        <v>676</v>
      </c>
    </row>
    <row r="517" spans="1:54" x14ac:dyDescent="0.25">
      <c r="A517">
        <v>512</v>
      </c>
      <c r="B517" t="s">
        <v>5217</v>
      </c>
      <c r="C517" t="s">
        <v>5218</v>
      </c>
      <c r="D517" t="s">
        <v>5219</v>
      </c>
      <c r="E517">
        <v>3</v>
      </c>
      <c r="F517" t="s">
        <v>3803</v>
      </c>
      <c r="G517" t="s">
        <v>4495</v>
      </c>
      <c r="H517" t="s">
        <v>4456</v>
      </c>
      <c r="I517" t="s">
        <v>4457</v>
      </c>
      <c r="J517" t="s">
        <v>5220</v>
      </c>
      <c r="K517" t="s">
        <v>5221</v>
      </c>
      <c r="L517" t="s">
        <v>5190</v>
      </c>
      <c r="M517">
        <v>3.7484514713287349</v>
      </c>
      <c r="N517" t="s">
        <v>54</v>
      </c>
      <c r="O517" t="s">
        <v>53</v>
      </c>
      <c r="P517" t="s">
        <v>53</v>
      </c>
      <c r="Q517" t="s">
        <v>53</v>
      </c>
      <c r="R517" t="s">
        <v>53</v>
      </c>
      <c r="S517" t="s">
        <v>5191</v>
      </c>
      <c r="T517" t="s">
        <v>5191</v>
      </c>
      <c r="U517" t="s">
        <v>53</v>
      </c>
      <c r="V517" t="s">
        <v>51</v>
      </c>
      <c r="W517">
        <v>250000</v>
      </c>
      <c r="X517" t="s">
        <v>54</v>
      </c>
      <c r="Y517" t="s">
        <v>3819</v>
      </c>
      <c r="Z517">
        <v>62500</v>
      </c>
      <c r="AA517">
        <v>27</v>
      </c>
      <c r="AB517">
        <v>25</v>
      </c>
      <c r="AC517">
        <v>9</v>
      </c>
      <c r="AD517">
        <v>24</v>
      </c>
      <c r="AE517">
        <v>25</v>
      </c>
      <c r="AF517">
        <v>0</v>
      </c>
      <c r="AG517">
        <v>1</v>
      </c>
      <c r="AH517">
        <v>5.4428310394287109</v>
      </c>
      <c r="AJ517">
        <v>64.390632629394531</v>
      </c>
      <c r="AK517" t="s">
        <v>54</v>
      </c>
      <c r="AL517" t="s">
        <v>54</v>
      </c>
      <c r="AQ517" t="s">
        <v>54</v>
      </c>
      <c r="AW517" t="s">
        <v>53</v>
      </c>
      <c r="AZ517" t="s">
        <v>54</v>
      </c>
      <c r="BA517" t="s">
        <v>2425</v>
      </c>
      <c r="BB517" s="15" t="s">
        <v>678</v>
      </c>
    </row>
    <row r="518" spans="1:54" x14ac:dyDescent="0.25">
      <c r="A518">
        <v>513</v>
      </c>
      <c r="B518" t="s">
        <v>5222</v>
      </c>
      <c r="C518" t="s">
        <v>5223</v>
      </c>
      <c r="D518" t="s">
        <v>5224</v>
      </c>
      <c r="E518">
        <v>3</v>
      </c>
      <c r="F518" t="s">
        <v>3803</v>
      </c>
      <c r="G518" t="s">
        <v>4495</v>
      </c>
      <c r="H518" t="s">
        <v>4456</v>
      </c>
      <c r="I518" t="s">
        <v>4457</v>
      </c>
      <c r="J518" t="s">
        <v>5220</v>
      </c>
      <c r="K518" t="s">
        <v>5221</v>
      </c>
      <c r="L518" t="s">
        <v>5190</v>
      </c>
      <c r="M518">
        <v>3.7484514713287349</v>
      </c>
      <c r="N518" t="s">
        <v>54</v>
      </c>
      <c r="O518" t="s">
        <v>53</v>
      </c>
      <c r="P518" t="s">
        <v>53</v>
      </c>
      <c r="Q518" t="s">
        <v>53</v>
      </c>
      <c r="R518" t="s">
        <v>53</v>
      </c>
      <c r="S518" t="s">
        <v>5191</v>
      </c>
      <c r="T518" t="s">
        <v>5191</v>
      </c>
      <c r="U518" t="s">
        <v>53</v>
      </c>
      <c r="V518" t="s">
        <v>51</v>
      </c>
      <c r="W518">
        <v>250000</v>
      </c>
      <c r="X518" t="s">
        <v>54</v>
      </c>
      <c r="Y518" t="s">
        <v>3819</v>
      </c>
      <c r="Z518">
        <v>62500</v>
      </c>
      <c r="AA518">
        <v>27</v>
      </c>
      <c r="AB518">
        <v>25</v>
      </c>
      <c r="AC518">
        <v>9</v>
      </c>
      <c r="AD518">
        <v>24</v>
      </c>
      <c r="AE518">
        <v>25</v>
      </c>
      <c r="AF518">
        <v>0</v>
      </c>
      <c r="AG518">
        <v>1</v>
      </c>
      <c r="AH518">
        <v>5.4428310394287109</v>
      </c>
      <c r="AJ518">
        <v>64.390632629394531</v>
      </c>
      <c r="AK518" t="s">
        <v>54</v>
      </c>
      <c r="AL518" t="s">
        <v>54</v>
      </c>
      <c r="AQ518" t="s">
        <v>54</v>
      </c>
      <c r="AW518" t="s">
        <v>53</v>
      </c>
      <c r="AZ518" t="s">
        <v>54</v>
      </c>
      <c r="BA518" t="s">
        <v>2425</v>
      </c>
      <c r="BB518" s="15" t="s">
        <v>678</v>
      </c>
    </row>
    <row r="519" spans="1:54" x14ac:dyDescent="0.25">
      <c r="A519">
        <v>514</v>
      </c>
      <c r="B519" t="s">
        <v>5225</v>
      </c>
      <c r="C519" t="s">
        <v>5226</v>
      </c>
      <c r="D519" t="s">
        <v>5227</v>
      </c>
      <c r="E519">
        <v>3</v>
      </c>
      <c r="F519" t="s">
        <v>3803</v>
      </c>
      <c r="G519" t="s">
        <v>4495</v>
      </c>
      <c r="H519" t="s">
        <v>4456</v>
      </c>
      <c r="I519" t="s">
        <v>4457</v>
      </c>
      <c r="J519" t="s">
        <v>5220</v>
      </c>
      <c r="K519" t="s">
        <v>5221</v>
      </c>
      <c r="L519" t="s">
        <v>5190</v>
      </c>
      <c r="M519">
        <v>3.7484514713287349</v>
      </c>
      <c r="N519" t="s">
        <v>54</v>
      </c>
      <c r="O519" t="s">
        <v>53</v>
      </c>
      <c r="P519" t="s">
        <v>53</v>
      </c>
      <c r="Q519" t="s">
        <v>53</v>
      </c>
      <c r="R519" t="s">
        <v>53</v>
      </c>
      <c r="S519" t="s">
        <v>5191</v>
      </c>
      <c r="T519" t="s">
        <v>5191</v>
      </c>
      <c r="U519" t="s">
        <v>53</v>
      </c>
      <c r="V519" t="s">
        <v>51</v>
      </c>
      <c r="W519">
        <v>250000</v>
      </c>
      <c r="X519" t="s">
        <v>54</v>
      </c>
      <c r="Y519" t="s">
        <v>3819</v>
      </c>
      <c r="Z519">
        <v>62500</v>
      </c>
      <c r="AA519">
        <v>27</v>
      </c>
      <c r="AB519">
        <v>25</v>
      </c>
      <c r="AC519">
        <v>9</v>
      </c>
      <c r="AD519">
        <v>24</v>
      </c>
      <c r="AE519">
        <v>25</v>
      </c>
      <c r="AF519">
        <v>0</v>
      </c>
      <c r="AG519">
        <v>1</v>
      </c>
      <c r="AH519">
        <v>5.4428310394287109</v>
      </c>
      <c r="AJ519">
        <v>64.390632629394531</v>
      </c>
      <c r="AK519" t="s">
        <v>54</v>
      </c>
      <c r="AL519" t="s">
        <v>54</v>
      </c>
      <c r="AQ519" t="s">
        <v>54</v>
      </c>
      <c r="AW519" t="s">
        <v>53</v>
      </c>
      <c r="AZ519" t="s">
        <v>54</v>
      </c>
      <c r="BA519" t="s">
        <v>2425</v>
      </c>
      <c r="BB519" s="15" t="s">
        <v>678</v>
      </c>
    </row>
    <row r="520" spans="1:54" x14ac:dyDescent="0.25">
      <c r="A520">
        <v>515</v>
      </c>
      <c r="B520" t="s">
        <v>5228</v>
      </c>
      <c r="C520" t="s">
        <v>5229</v>
      </c>
      <c r="D520" t="s">
        <v>5230</v>
      </c>
      <c r="E520">
        <v>3</v>
      </c>
      <c r="F520" t="s">
        <v>3803</v>
      </c>
      <c r="G520" t="s">
        <v>4495</v>
      </c>
      <c r="H520" t="s">
        <v>4473</v>
      </c>
      <c r="I520" t="s">
        <v>5231</v>
      </c>
      <c r="J520" t="s">
        <v>5232</v>
      </c>
      <c r="K520" t="s">
        <v>5233</v>
      </c>
      <c r="L520" t="s">
        <v>5190</v>
      </c>
      <c r="M520">
        <v>10.55893039703369</v>
      </c>
      <c r="N520" t="s">
        <v>54</v>
      </c>
      <c r="O520" t="s">
        <v>53</v>
      </c>
      <c r="P520" t="s">
        <v>53</v>
      </c>
      <c r="Q520" t="s">
        <v>53</v>
      </c>
      <c r="R520" t="s">
        <v>53</v>
      </c>
      <c r="S520" t="s">
        <v>5191</v>
      </c>
      <c r="T520" t="s">
        <v>5191</v>
      </c>
      <c r="U520" t="s">
        <v>53</v>
      </c>
      <c r="V520" t="s">
        <v>51</v>
      </c>
      <c r="W520">
        <v>250000</v>
      </c>
      <c r="X520" t="s">
        <v>54</v>
      </c>
      <c r="Y520" t="s">
        <v>3819</v>
      </c>
      <c r="Z520">
        <v>62500</v>
      </c>
      <c r="AA520">
        <v>106</v>
      </c>
      <c r="AB520">
        <v>106</v>
      </c>
      <c r="AC520">
        <v>99</v>
      </c>
      <c r="AD520">
        <v>403</v>
      </c>
      <c r="AE520">
        <v>405</v>
      </c>
      <c r="AF520">
        <v>1</v>
      </c>
      <c r="AG520">
        <v>1</v>
      </c>
      <c r="AH520">
        <v>6.0327692031860352</v>
      </c>
      <c r="AJ520">
        <v>2.6107079982757568</v>
      </c>
      <c r="AK520" t="s">
        <v>54</v>
      </c>
      <c r="AL520" t="s">
        <v>54</v>
      </c>
      <c r="AQ520" t="s">
        <v>54</v>
      </c>
      <c r="AW520" t="s">
        <v>53</v>
      </c>
      <c r="AZ520" t="s">
        <v>54</v>
      </c>
      <c r="BA520" t="s">
        <v>2425</v>
      </c>
      <c r="BB520" s="15" t="s">
        <v>678</v>
      </c>
    </row>
    <row r="521" spans="1:54" x14ac:dyDescent="0.25">
      <c r="A521">
        <v>516</v>
      </c>
      <c r="B521" t="s">
        <v>5234</v>
      </c>
      <c r="C521" t="s">
        <v>5235</v>
      </c>
      <c r="D521" t="s">
        <v>5236</v>
      </c>
      <c r="E521">
        <v>3</v>
      </c>
      <c r="F521" t="s">
        <v>3803</v>
      </c>
      <c r="G521" t="s">
        <v>4495</v>
      </c>
      <c r="H521" t="s">
        <v>4456</v>
      </c>
      <c r="I521" t="s">
        <v>5201</v>
      </c>
      <c r="J521" t="s">
        <v>5237</v>
      </c>
      <c r="K521" t="s">
        <v>5238</v>
      </c>
      <c r="L521" t="s">
        <v>5190</v>
      </c>
      <c r="M521">
        <v>2.2981870174407959</v>
      </c>
      <c r="N521" t="s">
        <v>54</v>
      </c>
      <c r="O521" t="s">
        <v>53</v>
      </c>
      <c r="P521" t="s">
        <v>53</v>
      </c>
      <c r="Q521" t="s">
        <v>53</v>
      </c>
      <c r="R521" t="s">
        <v>53</v>
      </c>
      <c r="S521" t="s">
        <v>5239</v>
      </c>
      <c r="T521" t="s">
        <v>5239</v>
      </c>
      <c r="U521" t="s">
        <v>53</v>
      </c>
      <c r="V521" t="s">
        <v>51</v>
      </c>
      <c r="W521">
        <v>250000</v>
      </c>
      <c r="X521" t="s">
        <v>54</v>
      </c>
      <c r="Y521" t="s">
        <v>3819</v>
      </c>
      <c r="Z521">
        <v>25000</v>
      </c>
      <c r="AA521">
        <v>7</v>
      </c>
      <c r="AB521">
        <v>1</v>
      </c>
      <c r="AC521">
        <v>36</v>
      </c>
      <c r="AD521">
        <v>7</v>
      </c>
      <c r="AE521">
        <v>38</v>
      </c>
      <c r="AF521">
        <v>0</v>
      </c>
      <c r="AG521">
        <v>2</v>
      </c>
      <c r="AH521">
        <v>0.86780738830566406</v>
      </c>
      <c r="AJ521">
        <v>29.77371978759766</v>
      </c>
      <c r="AK521" t="s">
        <v>54</v>
      </c>
      <c r="AL521" t="s">
        <v>54</v>
      </c>
      <c r="AQ521" t="s">
        <v>54</v>
      </c>
      <c r="AW521" t="s">
        <v>53</v>
      </c>
      <c r="AZ521" t="s">
        <v>54</v>
      </c>
      <c r="BA521" t="s">
        <v>2425</v>
      </c>
      <c r="BB521" s="15" t="s">
        <v>676</v>
      </c>
    </row>
    <row r="522" spans="1:54" x14ac:dyDescent="0.25">
      <c r="A522">
        <v>517</v>
      </c>
      <c r="B522" t="s">
        <v>5240</v>
      </c>
      <c r="C522" t="s">
        <v>5241</v>
      </c>
      <c r="D522" t="s">
        <v>5242</v>
      </c>
      <c r="E522">
        <v>3</v>
      </c>
      <c r="F522" t="s">
        <v>3803</v>
      </c>
      <c r="G522" t="s">
        <v>4495</v>
      </c>
      <c r="H522" t="s">
        <v>4456</v>
      </c>
      <c r="I522" t="s">
        <v>5201</v>
      </c>
      <c r="J522" t="s">
        <v>5237</v>
      </c>
      <c r="K522" t="s">
        <v>5238</v>
      </c>
      <c r="L522" t="s">
        <v>5190</v>
      </c>
      <c r="M522">
        <v>2.2981870174407959</v>
      </c>
      <c r="N522" t="s">
        <v>54</v>
      </c>
      <c r="O522" t="s">
        <v>53</v>
      </c>
      <c r="P522" t="s">
        <v>53</v>
      </c>
      <c r="Q522" t="s">
        <v>53</v>
      </c>
      <c r="R522" t="s">
        <v>53</v>
      </c>
      <c r="S522" t="s">
        <v>5239</v>
      </c>
      <c r="T522" t="s">
        <v>5239</v>
      </c>
      <c r="U522" t="s">
        <v>53</v>
      </c>
      <c r="V522" t="s">
        <v>51</v>
      </c>
      <c r="W522">
        <v>250000</v>
      </c>
      <c r="X522" t="s">
        <v>54</v>
      </c>
      <c r="Y522" t="s">
        <v>3819</v>
      </c>
      <c r="Z522">
        <v>25000</v>
      </c>
      <c r="AA522">
        <v>7</v>
      </c>
      <c r="AB522">
        <v>1</v>
      </c>
      <c r="AC522">
        <v>36</v>
      </c>
      <c r="AD522">
        <v>7</v>
      </c>
      <c r="AE522">
        <v>38</v>
      </c>
      <c r="AF522">
        <v>0</v>
      </c>
      <c r="AG522">
        <v>2</v>
      </c>
      <c r="AH522">
        <v>0.86780738830566406</v>
      </c>
      <c r="AJ522">
        <v>29.77371978759766</v>
      </c>
      <c r="AK522" t="s">
        <v>54</v>
      </c>
      <c r="AL522" t="s">
        <v>54</v>
      </c>
      <c r="AQ522" t="s">
        <v>54</v>
      </c>
      <c r="AW522" t="s">
        <v>53</v>
      </c>
      <c r="AZ522" t="s">
        <v>54</v>
      </c>
      <c r="BA522" t="s">
        <v>2425</v>
      </c>
      <c r="BB522" s="15" t="s">
        <v>676</v>
      </c>
    </row>
    <row r="523" spans="1:54" x14ac:dyDescent="0.25">
      <c r="A523">
        <v>518</v>
      </c>
      <c r="B523" t="s">
        <v>5243</v>
      </c>
      <c r="C523" t="s">
        <v>5244</v>
      </c>
      <c r="D523" t="s">
        <v>5245</v>
      </c>
      <c r="E523">
        <v>3</v>
      </c>
      <c r="F523" t="s">
        <v>3803</v>
      </c>
      <c r="G523" t="s">
        <v>4495</v>
      </c>
      <c r="H523" t="s">
        <v>4456</v>
      </c>
      <c r="I523" t="s">
        <v>5201</v>
      </c>
      <c r="J523" t="s">
        <v>5237</v>
      </c>
      <c r="K523" t="s">
        <v>5238</v>
      </c>
      <c r="L523" t="s">
        <v>5190</v>
      </c>
      <c r="M523">
        <v>2.2981870174407959</v>
      </c>
      <c r="N523" t="s">
        <v>54</v>
      </c>
      <c r="O523" t="s">
        <v>53</v>
      </c>
      <c r="P523" t="s">
        <v>53</v>
      </c>
      <c r="Q523" t="s">
        <v>53</v>
      </c>
      <c r="R523" t="s">
        <v>53</v>
      </c>
      <c r="S523" t="s">
        <v>5239</v>
      </c>
      <c r="T523" t="s">
        <v>5239</v>
      </c>
      <c r="U523" t="s">
        <v>53</v>
      </c>
      <c r="V523" t="s">
        <v>51</v>
      </c>
      <c r="W523">
        <v>250000</v>
      </c>
      <c r="X523" t="s">
        <v>54</v>
      </c>
      <c r="Y523" t="s">
        <v>3819</v>
      </c>
      <c r="Z523">
        <v>25000</v>
      </c>
      <c r="AA523">
        <v>7</v>
      </c>
      <c r="AB523">
        <v>1</v>
      </c>
      <c r="AC523">
        <v>36</v>
      </c>
      <c r="AD523">
        <v>7</v>
      </c>
      <c r="AE523">
        <v>38</v>
      </c>
      <c r="AF523">
        <v>0</v>
      </c>
      <c r="AG523">
        <v>2</v>
      </c>
      <c r="AH523">
        <v>0.86780738830566406</v>
      </c>
      <c r="AJ523">
        <v>29.77371978759766</v>
      </c>
      <c r="AK523" t="s">
        <v>54</v>
      </c>
      <c r="AL523" t="s">
        <v>54</v>
      </c>
      <c r="AQ523" t="s">
        <v>54</v>
      </c>
      <c r="AW523" t="s">
        <v>53</v>
      </c>
      <c r="AZ523" t="s">
        <v>54</v>
      </c>
      <c r="BA523" t="s">
        <v>2425</v>
      </c>
      <c r="BB523" s="15" t="s">
        <v>678</v>
      </c>
    </row>
    <row r="524" spans="1:54" x14ac:dyDescent="0.25">
      <c r="A524">
        <v>519</v>
      </c>
      <c r="B524" t="s">
        <v>5246</v>
      </c>
      <c r="C524" t="s">
        <v>5247</v>
      </c>
      <c r="D524" t="s">
        <v>5248</v>
      </c>
      <c r="E524">
        <v>3</v>
      </c>
      <c r="F524" t="s">
        <v>3803</v>
      </c>
      <c r="G524" t="s">
        <v>4495</v>
      </c>
      <c r="H524" t="s">
        <v>4456</v>
      </c>
      <c r="I524" t="s">
        <v>5201</v>
      </c>
      <c r="J524" t="s">
        <v>5237</v>
      </c>
      <c r="K524" t="s">
        <v>5238</v>
      </c>
      <c r="L524" t="s">
        <v>5190</v>
      </c>
      <c r="M524">
        <v>3.5496129989624019</v>
      </c>
      <c r="N524" t="s">
        <v>54</v>
      </c>
      <c r="O524" t="s">
        <v>53</v>
      </c>
      <c r="P524" t="s">
        <v>53</v>
      </c>
      <c r="Q524" t="s">
        <v>53</v>
      </c>
      <c r="R524" t="s">
        <v>53</v>
      </c>
      <c r="S524" t="s">
        <v>5239</v>
      </c>
      <c r="T524" t="s">
        <v>5239</v>
      </c>
      <c r="U524" t="s">
        <v>53</v>
      </c>
      <c r="V524" t="s">
        <v>51</v>
      </c>
      <c r="W524">
        <v>250000</v>
      </c>
      <c r="X524" t="s">
        <v>54</v>
      </c>
      <c r="Y524" t="s">
        <v>3819</v>
      </c>
      <c r="Z524">
        <v>25000</v>
      </c>
      <c r="AA524">
        <v>29</v>
      </c>
      <c r="AB524">
        <v>27</v>
      </c>
      <c r="AC524">
        <v>16</v>
      </c>
      <c r="AD524">
        <v>60</v>
      </c>
      <c r="AE524">
        <v>61</v>
      </c>
      <c r="AF524">
        <v>1</v>
      </c>
      <c r="AG524">
        <v>5</v>
      </c>
      <c r="AH524">
        <v>1.145879983901978</v>
      </c>
      <c r="AJ524">
        <v>81.642311096191406</v>
      </c>
      <c r="AK524" t="s">
        <v>54</v>
      </c>
      <c r="AL524" t="s">
        <v>54</v>
      </c>
      <c r="AQ524" t="s">
        <v>54</v>
      </c>
      <c r="AW524" t="s">
        <v>53</v>
      </c>
      <c r="AZ524" t="s">
        <v>54</v>
      </c>
      <c r="BA524" t="s">
        <v>2425</v>
      </c>
      <c r="BB524" s="15" t="s">
        <v>678</v>
      </c>
    </row>
    <row r="525" spans="1:54" x14ac:dyDescent="0.25">
      <c r="A525">
        <v>520</v>
      </c>
      <c r="B525" t="s">
        <v>5249</v>
      </c>
      <c r="C525" t="s">
        <v>5250</v>
      </c>
      <c r="D525" t="s">
        <v>5251</v>
      </c>
      <c r="E525">
        <v>3</v>
      </c>
      <c r="F525" t="s">
        <v>3803</v>
      </c>
      <c r="G525" t="s">
        <v>4495</v>
      </c>
      <c r="H525" t="s">
        <v>4456</v>
      </c>
      <c r="I525" t="s">
        <v>5201</v>
      </c>
      <c r="J525" t="s">
        <v>5237</v>
      </c>
      <c r="K525" t="s">
        <v>5238</v>
      </c>
      <c r="L525" t="s">
        <v>5190</v>
      </c>
      <c r="M525">
        <v>3.5496129989624019</v>
      </c>
      <c r="N525" t="s">
        <v>54</v>
      </c>
      <c r="O525" t="s">
        <v>53</v>
      </c>
      <c r="P525" t="s">
        <v>53</v>
      </c>
      <c r="Q525" t="s">
        <v>53</v>
      </c>
      <c r="R525" t="s">
        <v>53</v>
      </c>
      <c r="S525" t="s">
        <v>5239</v>
      </c>
      <c r="T525" t="s">
        <v>5239</v>
      </c>
      <c r="U525" t="s">
        <v>53</v>
      </c>
      <c r="V525" t="s">
        <v>51</v>
      </c>
      <c r="W525">
        <v>250000</v>
      </c>
      <c r="X525" t="s">
        <v>54</v>
      </c>
      <c r="Y525" t="s">
        <v>3819</v>
      </c>
      <c r="Z525">
        <v>25000</v>
      </c>
      <c r="AA525">
        <v>29</v>
      </c>
      <c r="AB525">
        <v>27</v>
      </c>
      <c r="AC525">
        <v>16</v>
      </c>
      <c r="AD525">
        <v>60</v>
      </c>
      <c r="AE525">
        <v>61</v>
      </c>
      <c r="AF525">
        <v>1</v>
      </c>
      <c r="AG525">
        <v>5</v>
      </c>
      <c r="AH525">
        <v>1.145879983901978</v>
      </c>
      <c r="AJ525">
        <v>81.642311096191406</v>
      </c>
      <c r="AK525" t="s">
        <v>54</v>
      </c>
      <c r="AL525" t="s">
        <v>54</v>
      </c>
      <c r="AQ525" t="s">
        <v>54</v>
      </c>
      <c r="AW525" t="s">
        <v>53</v>
      </c>
      <c r="AZ525" t="s">
        <v>54</v>
      </c>
      <c r="BA525" t="s">
        <v>2425</v>
      </c>
      <c r="BB525" s="15" t="s">
        <v>678</v>
      </c>
    </row>
    <row r="526" spans="1:54" x14ac:dyDescent="0.25">
      <c r="A526">
        <v>521</v>
      </c>
      <c r="B526" t="s">
        <v>5252</v>
      </c>
      <c r="C526" t="s">
        <v>5253</v>
      </c>
      <c r="D526" t="s">
        <v>5254</v>
      </c>
      <c r="E526">
        <v>3</v>
      </c>
      <c r="F526" t="s">
        <v>3803</v>
      </c>
      <c r="G526" t="s">
        <v>4495</v>
      </c>
      <c r="H526" t="s">
        <v>4456</v>
      </c>
      <c r="I526" t="s">
        <v>5201</v>
      </c>
      <c r="J526" t="s">
        <v>5237</v>
      </c>
      <c r="K526" t="s">
        <v>5238</v>
      </c>
      <c r="L526" t="s">
        <v>5190</v>
      </c>
      <c r="M526">
        <v>3.5496129989624019</v>
      </c>
      <c r="N526" t="s">
        <v>54</v>
      </c>
      <c r="O526" t="s">
        <v>53</v>
      </c>
      <c r="P526" t="s">
        <v>53</v>
      </c>
      <c r="Q526" t="s">
        <v>53</v>
      </c>
      <c r="R526" t="s">
        <v>53</v>
      </c>
      <c r="S526" t="s">
        <v>5239</v>
      </c>
      <c r="T526" t="s">
        <v>5239</v>
      </c>
      <c r="U526" t="s">
        <v>53</v>
      </c>
      <c r="V526" t="s">
        <v>51</v>
      </c>
      <c r="W526">
        <v>250000</v>
      </c>
      <c r="X526" t="s">
        <v>54</v>
      </c>
      <c r="Y526" t="s">
        <v>3819</v>
      </c>
      <c r="Z526">
        <v>25000</v>
      </c>
      <c r="AA526">
        <v>29</v>
      </c>
      <c r="AB526">
        <v>27</v>
      </c>
      <c r="AC526">
        <v>16</v>
      </c>
      <c r="AD526">
        <v>60</v>
      </c>
      <c r="AE526">
        <v>61</v>
      </c>
      <c r="AF526">
        <v>1</v>
      </c>
      <c r="AG526">
        <v>5</v>
      </c>
      <c r="AH526">
        <v>1.145879983901978</v>
      </c>
      <c r="AJ526">
        <v>81.642311096191406</v>
      </c>
      <c r="AK526" t="s">
        <v>54</v>
      </c>
      <c r="AL526" t="s">
        <v>54</v>
      </c>
      <c r="AQ526" t="s">
        <v>54</v>
      </c>
      <c r="AW526" t="s">
        <v>53</v>
      </c>
      <c r="AZ526" t="s">
        <v>54</v>
      </c>
      <c r="BA526" t="s">
        <v>2425</v>
      </c>
      <c r="BB526" s="15" t="s">
        <v>676</v>
      </c>
    </row>
    <row r="527" spans="1:54" x14ac:dyDescent="0.25">
      <c r="A527">
        <v>522</v>
      </c>
      <c r="B527" t="s">
        <v>5255</v>
      </c>
      <c r="C527" t="s">
        <v>5256</v>
      </c>
      <c r="D527" t="s">
        <v>5257</v>
      </c>
      <c r="E527">
        <v>3</v>
      </c>
      <c r="F527" t="s">
        <v>3803</v>
      </c>
      <c r="G527" t="s">
        <v>4495</v>
      </c>
      <c r="H527" t="s">
        <v>4456</v>
      </c>
      <c r="I527" t="s">
        <v>5258</v>
      </c>
      <c r="J527" t="s">
        <v>5259</v>
      </c>
      <c r="K527" t="s">
        <v>5260</v>
      </c>
      <c r="L527" t="s">
        <v>5190</v>
      </c>
      <c r="M527">
        <v>3.0271584987640381</v>
      </c>
      <c r="N527" t="s">
        <v>54</v>
      </c>
      <c r="O527" t="s">
        <v>53</v>
      </c>
      <c r="P527" t="s">
        <v>53</v>
      </c>
      <c r="Q527" t="s">
        <v>53</v>
      </c>
      <c r="R527" t="s">
        <v>53</v>
      </c>
      <c r="S527" t="s">
        <v>4477</v>
      </c>
      <c r="T527" t="s">
        <v>4477</v>
      </c>
      <c r="U527" t="s">
        <v>53</v>
      </c>
      <c r="V527" t="s">
        <v>51</v>
      </c>
      <c r="W527">
        <v>250000</v>
      </c>
      <c r="X527" t="s">
        <v>54</v>
      </c>
      <c r="Y527" t="s">
        <v>4478</v>
      </c>
      <c r="Z527">
        <v>50000</v>
      </c>
      <c r="AA527">
        <v>67</v>
      </c>
      <c r="AB527">
        <v>57</v>
      </c>
      <c r="AC527">
        <v>184</v>
      </c>
      <c r="AD527">
        <v>206</v>
      </c>
      <c r="AE527">
        <v>333</v>
      </c>
      <c r="AF527">
        <v>1</v>
      </c>
      <c r="AG527">
        <v>8</v>
      </c>
      <c r="AH527">
        <v>2.031960010528564</v>
      </c>
      <c r="AJ527">
        <v>32.621261596679688</v>
      </c>
      <c r="AK527" t="s">
        <v>54</v>
      </c>
      <c r="AL527" t="s">
        <v>54</v>
      </c>
      <c r="AQ527" t="s">
        <v>54</v>
      </c>
      <c r="AW527" t="s">
        <v>53</v>
      </c>
      <c r="AZ527" t="s">
        <v>54</v>
      </c>
      <c r="BA527" t="s">
        <v>2425</v>
      </c>
      <c r="BB527" s="15" t="s">
        <v>676</v>
      </c>
    </row>
    <row r="528" spans="1:54" x14ac:dyDescent="0.25">
      <c r="A528">
        <v>523</v>
      </c>
      <c r="B528" t="s">
        <v>5261</v>
      </c>
      <c r="C528" t="s">
        <v>5262</v>
      </c>
      <c r="D528" t="s">
        <v>5263</v>
      </c>
      <c r="E528">
        <v>3</v>
      </c>
      <c r="F528" t="s">
        <v>3803</v>
      </c>
      <c r="G528" t="s">
        <v>4495</v>
      </c>
      <c r="H528" t="s">
        <v>4456</v>
      </c>
      <c r="I528" t="s">
        <v>5258</v>
      </c>
      <c r="J528" t="s">
        <v>5259</v>
      </c>
      <c r="K528" t="s">
        <v>5260</v>
      </c>
      <c r="L528" t="s">
        <v>5190</v>
      </c>
      <c r="M528">
        <v>3.0271584987640381</v>
      </c>
      <c r="N528" t="s">
        <v>54</v>
      </c>
      <c r="O528" t="s">
        <v>53</v>
      </c>
      <c r="P528" t="s">
        <v>53</v>
      </c>
      <c r="Q528" t="s">
        <v>53</v>
      </c>
      <c r="R528" t="s">
        <v>53</v>
      </c>
      <c r="S528" t="s">
        <v>4477</v>
      </c>
      <c r="T528" t="s">
        <v>4477</v>
      </c>
      <c r="U528" t="s">
        <v>53</v>
      </c>
      <c r="V528" t="s">
        <v>51</v>
      </c>
      <c r="W528">
        <v>250000</v>
      </c>
      <c r="X528" t="s">
        <v>54</v>
      </c>
      <c r="Y528" t="s">
        <v>4478</v>
      </c>
      <c r="Z528">
        <v>50000</v>
      </c>
      <c r="AA528">
        <v>67</v>
      </c>
      <c r="AB528">
        <v>57</v>
      </c>
      <c r="AC528">
        <v>184</v>
      </c>
      <c r="AD528">
        <v>206</v>
      </c>
      <c r="AE528">
        <v>333</v>
      </c>
      <c r="AF528">
        <v>1</v>
      </c>
      <c r="AG528">
        <v>8</v>
      </c>
      <c r="AH528">
        <v>2.031960010528564</v>
      </c>
      <c r="AJ528">
        <v>32.621261596679688</v>
      </c>
      <c r="AK528" t="s">
        <v>54</v>
      </c>
      <c r="AL528" t="s">
        <v>54</v>
      </c>
      <c r="AQ528" t="s">
        <v>54</v>
      </c>
      <c r="AW528" t="s">
        <v>53</v>
      </c>
      <c r="AZ528" t="s">
        <v>54</v>
      </c>
      <c r="BA528" t="s">
        <v>2425</v>
      </c>
      <c r="BB528" s="15" t="s">
        <v>676</v>
      </c>
    </row>
    <row r="529" spans="1:54" x14ac:dyDescent="0.25">
      <c r="A529">
        <v>524</v>
      </c>
      <c r="B529" t="s">
        <v>5264</v>
      </c>
      <c r="C529" t="s">
        <v>5265</v>
      </c>
      <c r="D529" t="s">
        <v>5266</v>
      </c>
      <c r="E529">
        <v>3</v>
      </c>
      <c r="F529" t="s">
        <v>3803</v>
      </c>
      <c r="G529" t="s">
        <v>4495</v>
      </c>
      <c r="H529" t="s">
        <v>4456</v>
      </c>
      <c r="I529" t="s">
        <v>5258</v>
      </c>
      <c r="J529" t="s">
        <v>5259</v>
      </c>
      <c r="K529" t="s">
        <v>5260</v>
      </c>
      <c r="L529" t="s">
        <v>5190</v>
      </c>
      <c r="M529">
        <v>3.0271584987640381</v>
      </c>
      <c r="N529" t="s">
        <v>54</v>
      </c>
      <c r="O529" t="s">
        <v>53</v>
      </c>
      <c r="P529" t="s">
        <v>53</v>
      </c>
      <c r="Q529" t="s">
        <v>53</v>
      </c>
      <c r="R529" t="s">
        <v>53</v>
      </c>
      <c r="S529" t="s">
        <v>4477</v>
      </c>
      <c r="T529" t="s">
        <v>4477</v>
      </c>
      <c r="U529" t="s">
        <v>53</v>
      </c>
      <c r="V529" t="s">
        <v>51</v>
      </c>
      <c r="W529">
        <v>250000</v>
      </c>
      <c r="X529" t="s">
        <v>54</v>
      </c>
      <c r="Y529" t="s">
        <v>4478</v>
      </c>
      <c r="Z529">
        <v>50000</v>
      </c>
      <c r="AA529">
        <v>67</v>
      </c>
      <c r="AB529">
        <v>57</v>
      </c>
      <c r="AC529">
        <v>184</v>
      </c>
      <c r="AD529">
        <v>206</v>
      </c>
      <c r="AE529">
        <v>333</v>
      </c>
      <c r="AF529">
        <v>1</v>
      </c>
      <c r="AG529">
        <v>8</v>
      </c>
      <c r="AH529">
        <v>2.031960010528564</v>
      </c>
      <c r="AJ529">
        <v>32.621261596679688</v>
      </c>
      <c r="AK529" t="s">
        <v>54</v>
      </c>
      <c r="AL529" t="s">
        <v>54</v>
      </c>
      <c r="AQ529" t="s">
        <v>54</v>
      </c>
      <c r="AW529" t="s">
        <v>53</v>
      </c>
      <c r="AZ529" t="s">
        <v>54</v>
      </c>
      <c r="BA529" t="s">
        <v>2425</v>
      </c>
      <c r="BB529" s="15" t="s">
        <v>676</v>
      </c>
    </row>
    <row r="530" spans="1:54" x14ac:dyDescent="0.25">
      <c r="A530">
        <v>525</v>
      </c>
      <c r="B530" t="s">
        <v>5267</v>
      </c>
      <c r="C530" t="s">
        <v>5268</v>
      </c>
      <c r="D530" t="s">
        <v>5269</v>
      </c>
      <c r="E530">
        <v>3</v>
      </c>
      <c r="F530" t="s">
        <v>3803</v>
      </c>
      <c r="G530" t="s">
        <v>4495</v>
      </c>
      <c r="H530" t="s">
        <v>4456</v>
      </c>
      <c r="I530" t="s">
        <v>5258</v>
      </c>
      <c r="J530" t="s">
        <v>5259</v>
      </c>
      <c r="K530" t="s">
        <v>5260</v>
      </c>
      <c r="L530" t="s">
        <v>5190</v>
      </c>
      <c r="M530">
        <v>3.0271584987640381</v>
      </c>
      <c r="N530" t="s">
        <v>54</v>
      </c>
      <c r="O530" t="s">
        <v>53</v>
      </c>
      <c r="P530" t="s">
        <v>53</v>
      </c>
      <c r="Q530" t="s">
        <v>53</v>
      </c>
      <c r="R530" t="s">
        <v>53</v>
      </c>
      <c r="S530" t="s">
        <v>4477</v>
      </c>
      <c r="T530" t="s">
        <v>4477</v>
      </c>
      <c r="U530" t="s">
        <v>53</v>
      </c>
      <c r="V530" t="s">
        <v>51</v>
      </c>
      <c r="W530">
        <v>250000</v>
      </c>
      <c r="X530" t="s">
        <v>54</v>
      </c>
      <c r="Y530" t="s">
        <v>4478</v>
      </c>
      <c r="Z530">
        <v>50000</v>
      </c>
      <c r="AA530">
        <v>67</v>
      </c>
      <c r="AB530">
        <v>57</v>
      </c>
      <c r="AC530">
        <v>184</v>
      </c>
      <c r="AD530">
        <v>206</v>
      </c>
      <c r="AE530">
        <v>333</v>
      </c>
      <c r="AF530">
        <v>1</v>
      </c>
      <c r="AG530">
        <v>8</v>
      </c>
      <c r="AH530">
        <v>2.031960010528564</v>
      </c>
      <c r="AJ530">
        <v>32.621261596679688</v>
      </c>
      <c r="AK530" t="s">
        <v>54</v>
      </c>
      <c r="AL530" t="s">
        <v>54</v>
      </c>
      <c r="AQ530" t="s">
        <v>54</v>
      </c>
      <c r="AW530" t="s">
        <v>53</v>
      </c>
      <c r="AZ530" t="s">
        <v>54</v>
      </c>
      <c r="BA530" t="s">
        <v>2425</v>
      </c>
      <c r="BB530" s="15" t="s">
        <v>678</v>
      </c>
    </row>
    <row r="531" spans="1:54" x14ac:dyDescent="0.25">
      <c r="A531">
        <v>526</v>
      </c>
      <c r="B531" t="s">
        <v>5270</v>
      </c>
      <c r="C531" t="s">
        <v>5271</v>
      </c>
      <c r="D531" t="s">
        <v>5272</v>
      </c>
      <c r="E531">
        <v>3</v>
      </c>
      <c r="F531" t="s">
        <v>3803</v>
      </c>
      <c r="G531" t="s">
        <v>4495</v>
      </c>
      <c r="H531" t="s">
        <v>4456</v>
      </c>
      <c r="I531" t="s">
        <v>5258</v>
      </c>
      <c r="J531" t="s">
        <v>5259</v>
      </c>
      <c r="K531" t="s">
        <v>5260</v>
      </c>
      <c r="L531" t="s">
        <v>5190</v>
      </c>
      <c r="M531">
        <v>3.0271584987640381</v>
      </c>
      <c r="N531" t="s">
        <v>54</v>
      </c>
      <c r="O531" t="s">
        <v>53</v>
      </c>
      <c r="P531" t="s">
        <v>53</v>
      </c>
      <c r="Q531" t="s">
        <v>53</v>
      </c>
      <c r="R531" t="s">
        <v>53</v>
      </c>
      <c r="S531" t="s">
        <v>4477</v>
      </c>
      <c r="T531" t="s">
        <v>4477</v>
      </c>
      <c r="U531" t="s">
        <v>53</v>
      </c>
      <c r="V531" t="s">
        <v>51</v>
      </c>
      <c r="W531">
        <v>250000</v>
      </c>
      <c r="X531" t="s">
        <v>54</v>
      </c>
      <c r="Y531" t="s">
        <v>4478</v>
      </c>
      <c r="Z531">
        <v>50000</v>
      </c>
      <c r="AA531">
        <v>67</v>
      </c>
      <c r="AB531">
        <v>57</v>
      </c>
      <c r="AC531">
        <v>184</v>
      </c>
      <c r="AD531">
        <v>206</v>
      </c>
      <c r="AE531">
        <v>333</v>
      </c>
      <c r="AF531">
        <v>1</v>
      </c>
      <c r="AG531">
        <v>8</v>
      </c>
      <c r="AH531">
        <v>2.031960010528564</v>
      </c>
      <c r="AJ531">
        <v>32.621261596679688</v>
      </c>
      <c r="AK531" t="s">
        <v>54</v>
      </c>
      <c r="AL531" t="s">
        <v>54</v>
      </c>
      <c r="AQ531" t="s">
        <v>54</v>
      </c>
      <c r="AW531" t="s">
        <v>53</v>
      </c>
      <c r="AZ531" t="s">
        <v>54</v>
      </c>
      <c r="BA531" t="s">
        <v>2425</v>
      </c>
    </row>
    <row r="532" spans="1:54" x14ac:dyDescent="0.25">
      <c r="A532">
        <v>527</v>
      </c>
      <c r="B532" t="s">
        <v>5273</v>
      </c>
      <c r="C532" t="s">
        <v>5274</v>
      </c>
      <c r="D532" t="s">
        <v>5275</v>
      </c>
      <c r="E532">
        <v>3</v>
      </c>
      <c r="F532" t="s">
        <v>3803</v>
      </c>
      <c r="G532" t="s">
        <v>4495</v>
      </c>
      <c r="H532" t="s">
        <v>4456</v>
      </c>
      <c r="I532" t="s">
        <v>5258</v>
      </c>
      <c r="J532" t="s">
        <v>5259</v>
      </c>
      <c r="K532" t="s">
        <v>5260</v>
      </c>
      <c r="L532" t="s">
        <v>5190</v>
      </c>
      <c r="M532">
        <v>3.0271584987640381</v>
      </c>
      <c r="N532" t="s">
        <v>54</v>
      </c>
      <c r="O532" t="s">
        <v>53</v>
      </c>
      <c r="P532" t="s">
        <v>53</v>
      </c>
      <c r="Q532" t="s">
        <v>53</v>
      </c>
      <c r="R532" t="s">
        <v>53</v>
      </c>
      <c r="S532" t="s">
        <v>4477</v>
      </c>
      <c r="T532" t="s">
        <v>4477</v>
      </c>
      <c r="U532" t="s">
        <v>53</v>
      </c>
      <c r="V532" t="s">
        <v>51</v>
      </c>
      <c r="W532">
        <v>250000</v>
      </c>
      <c r="X532" t="s">
        <v>54</v>
      </c>
      <c r="Y532" t="s">
        <v>4478</v>
      </c>
      <c r="Z532">
        <v>50000</v>
      </c>
      <c r="AA532">
        <v>67</v>
      </c>
      <c r="AB532">
        <v>57</v>
      </c>
      <c r="AC532">
        <v>184</v>
      </c>
      <c r="AD532">
        <v>206</v>
      </c>
      <c r="AE532">
        <v>333</v>
      </c>
      <c r="AF532">
        <v>1</v>
      </c>
      <c r="AG532">
        <v>8</v>
      </c>
      <c r="AH532">
        <v>2.031960010528564</v>
      </c>
      <c r="AJ532">
        <v>32.621261596679688</v>
      </c>
      <c r="AK532" t="s">
        <v>54</v>
      </c>
      <c r="AL532" t="s">
        <v>54</v>
      </c>
      <c r="AQ532" t="s">
        <v>54</v>
      </c>
      <c r="AW532" t="s">
        <v>53</v>
      </c>
      <c r="AZ532" t="s">
        <v>54</v>
      </c>
      <c r="BA532" t="s">
        <v>2425</v>
      </c>
    </row>
    <row r="533" spans="1:54" x14ac:dyDescent="0.25">
      <c r="A533">
        <v>528</v>
      </c>
      <c r="B533" t="s">
        <v>5276</v>
      </c>
      <c r="C533" t="s">
        <v>5277</v>
      </c>
      <c r="D533" t="s">
        <v>5278</v>
      </c>
      <c r="E533">
        <v>3</v>
      </c>
      <c r="F533" t="s">
        <v>3803</v>
      </c>
      <c r="G533" t="s">
        <v>4495</v>
      </c>
      <c r="H533" t="s">
        <v>4456</v>
      </c>
      <c r="I533" t="s">
        <v>5201</v>
      </c>
      <c r="J533" t="s">
        <v>5215</v>
      </c>
      <c r="K533" t="s">
        <v>5216</v>
      </c>
      <c r="L533" t="s">
        <v>5190</v>
      </c>
      <c r="M533">
        <v>3.1586639881134029</v>
      </c>
      <c r="N533" t="s">
        <v>54</v>
      </c>
      <c r="O533" t="s">
        <v>53</v>
      </c>
      <c r="P533" t="s">
        <v>53</v>
      </c>
      <c r="Q533" t="s">
        <v>53</v>
      </c>
      <c r="R533" t="s">
        <v>53</v>
      </c>
      <c r="S533" t="s">
        <v>4477</v>
      </c>
      <c r="T533" t="s">
        <v>4477</v>
      </c>
      <c r="U533" t="s">
        <v>53</v>
      </c>
      <c r="V533" t="s">
        <v>51</v>
      </c>
      <c r="W533">
        <v>250000</v>
      </c>
      <c r="X533" t="s">
        <v>54</v>
      </c>
      <c r="Y533" t="s">
        <v>4478</v>
      </c>
      <c r="Z533">
        <v>50000</v>
      </c>
      <c r="AA533">
        <v>25</v>
      </c>
      <c r="AB533">
        <v>17</v>
      </c>
      <c r="AC533">
        <v>2105</v>
      </c>
      <c r="AD533">
        <v>44</v>
      </c>
      <c r="AE533">
        <v>2137</v>
      </c>
      <c r="AF533">
        <v>1</v>
      </c>
      <c r="AG533">
        <v>1</v>
      </c>
      <c r="AH533">
        <v>0.759468674659729</v>
      </c>
      <c r="AJ533">
        <v>47.789150238037109</v>
      </c>
      <c r="AK533" t="s">
        <v>54</v>
      </c>
      <c r="AL533" t="s">
        <v>54</v>
      </c>
      <c r="AQ533" t="s">
        <v>54</v>
      </c>
      <c r="AW533" t="s">
        <v>53</v>
      </c>
      <c r="AZ533" t="s">
        <v>54</v>
      </c>
      <c r="BA533" t="s">
        <v>2425</v>
      </c>
    </row>
    <row r="534" spans="1:54" x14ac:dyDescent="0.25">
      <c r="A534">
        <v>529</v>
      </c>
      <c r="B534" t="s">
        <v>5279</v>
      </c>
      <c r="C534" t="s">
        <v>5280</v>
      </c>
      <c r="D534" t="s">
        <v>5281</v>
      </c>
      <c r="E534">
        <v>3</v>
      </c>
      <c r="F534" t="s">
        <v>3803</v>
      </c>
      <c r="G534" t="s">
        <v>4495</v>
      </c>
      <c r="H534" t="s">
        <v>4456</v>
      </c>
      <c r="I534" t="s">
        <v>5201</v>
      </c>
      <c r="J534" t="s">
        <v>5215</v>
      </c>
      <c r="K534" t="s">
        <v>5216</v>
      </c>
      <c r="L534" t="s">
        <v>5190</v>
      </c>
      <c r="M534">
        <v>3.1586639881134029</v>
      </c>
      <c r="N534" t="s">
        <v>54</v>
      </c>
      <c r="O534" t="s">
        <v>53</v>
      </c>
      <c r="P534" t="s">
        <v>53</v>
      </c>
      <c r="Q534" t="s">
        <v>53</v>
      </c>
      <c r="R534" t="s">
        <v>53</v>
      </c>
      <c r="S534" t="s">
        <v>4477</v>
      </c>
      <c r="T534" t="s">
        <v>4477</v>
      </c>
      <c r="U534" t="s">
        <v>53</v>
      </c>
      <c r="V534" t="s">
        <v>51</v>
      </c>
      <c r="W534">
        <v>250000</v>
      </c>
      <c r="X534" t="s">
        <v>54</v>
      </c>
      <c r="Y534" t="s">
        <v>4478</v>
      </c>
      <c r="Z534">
        <v>50000</v>
      </c>
      <c r="AA534">
        <v>25</v>
      </c>
      <c r="AB534">
        <v>17</v>
      </c>
      <c r="AC534">
        <v>2105</v>
      </c>
      <c r="AD534">
        <v>44</v>
      </c>
      <c r="AE534">
        <v>2137</v>
      </c>
      <c r="AF534">
        <v>1</v>
      </c>
      <c r="AG534">
        <v>1</v>
      </c>
      <c r="AH534">
        <v>0.759468674659729</v>
      </c>
      <c r="AJ534">
        <v>47.789150238037109</v>
      </c>
      <c r="AK534" t="s">
        <v>54</v>
      </c>
      <c r="AL534" t="s">
        <v>54</v>
      </c>
      <c r="AQ534" t="s">
        <v>54</v>
      </c>
      <c r="AW534" t="s">
        <v>53</v>
      </c>
      <c r="AZ534" t="s">
        <v>54</v>
      </c>
      <c r="BA534" t="s">
        <v>2425</v>
      </c>
    </row>
    <row r="535" spans="1:54" x14ac:dyDescent="0.25">
      <c r="A535">
        <v>530</v>
      </c>
      <c r="B535" t="s">
        <v>5282</v>
      </c>
      <c r="C535" t="s">
        <v>5283</v>
      </c>
      <c r="D535" t="s">
        <v>5284</v>
      </c>
      <c r="E535">
        <v>3</v>
      </c>
      <c r="F535" t="s">
        <v>3803</v>
      </c>
      <c r="G535" t="s">
        <v>4495</v>
      </c>
      <c r="H535" t="s">
        <v>4456</v>
      </c>
      <c r="I535" t="s">
        <v>5201</v>
      </c>
      <c r="J535" t="s">
        <v>5215</v>
      </c>
      <c r="K535" t="s">
        <v>5216</v>
      </c>
      <c r="L535" t="s">
        <v>5190</v>
      </c>
      <c r="M535">
        <v>3.1586639881134029</v>
      </c>
      <c r="N535" t="s">
        <v>54</v>
      </c>
      <c r="O535" t="s">
        <v>53</v>
      </c>
      <c r="P535" t="s">
        <v>53</v>
      </c>
      <c r="Q535" t="s">
        <v>53</v>
      </c>
      <c r="R535" t="s">
        <v>53</v>
      </c>
      <c r="S535" t="s">
        <v>4477</v>
      </c>
      <c r="T535" t="s">
        <v>4477</v>
      </c>
      <c r="U535" t="s">
        <v>53</v>
      </c>
      <c r="V535" t="s">
        <v>51</v>
      </c>
      <c r="W535">
        <v>250000</v>
      </c>
      <c r="X535" t="s">
        <v>54</v>
      </c>
      <c r="Y535" t="s">
        <v>4478</v>
      </c>
      <c r="Z535">
        <v>50000</v>
      </c>
      <c r="AA535">
        <v>25</v>
      </c>
      <c r="AB535">
        <v>17</v>
      </c>
      <c r="AC535">
        <v>2105</v>
      </c>
      <c r="AD535">
        <v>44</v>
      </c>
      <c r="AE535">
        <v>2137</v>
      </c>
      <c r="AF535">
        <v>1</v>
      </c>
      <c r="AG535">
        <v>1</v>
      </c>
      <c r="AH535">
        <v>0.759468674659729</v>
      </c>
      <c r="AJ535">
        <v>47.789150238037109</v>
      </c>
      <c r="AK535" t="s">
        <v>54</v>
      </c>
      <c r="AL535" t="s">
        <v>54</v>
      </c>
      <c r="AQ535" t="s">
        <v>54</v>
      </c>
      <c r="AW535" t="s">
        <v>53</v>
      </c>
      <c r="AZ535" t="s">
        <v>54</v>
      </c>
      <c r="BA535" t="s">
        <v>2425</v>
      </c>
    </row>
    <row r="536" spans="1:54" x14ac:dyDescent="0.25">
      <c r="A536">
        <v>531</v>
      </c>
      <c r="B536" t="s">
        <v>5285</v>
      </c>
      <c r="C536" t="s">
        <v>5286</v>
      </c>
      <c r="D536" t="s">
        <v>5287</v>
      </c>
      <c r="E536">
        <v>3</v>
      </c>
      <c r="F536" t="s">
        <v>3803</v>
      </c>
      <c r="G536" t="s">
        <v>4495</v>
      </c>
      <c r="H536" t="s">
        <v>4456</v>
      </c>
      <c r="I536" t="s">
        <v>5201</v>
      </c>
      <c r="J536" t="s">
        <v>5288</v>
      </c>
      <c r="K536" t="s">
        <v>5289</v>
      </c>
      <c r="L536" t="s">
        <v>5190</v>
      </c>
      <c r="M536">
        <v>3.401054859161377</v>
      </c>
      <c r="N536" t="s">
        <v>54</v>
      </c>
      <c r="O536" t="s">
        <v>53</v>
      </c>
      <c r="P536" t="s">
        <v>53</v>
      </c>
      <c r="Q536" t="s">
        <v>53</v>
      </c>
      <c r="R536" t="s">
        <v>53</v>
      </c>
      <c r="S536" t="s">
        <v>4477</v>
      </c>
      <c r="T536" t="s">
        <v>4477</v>
      </c>
      <c r="U536" t="s">
        <v>53</v>
      </c>
      <c r="V536" t="s">
        <v>51</v>
      </c>
      <c r="W536">
        <v>250000</v>
      </c>
      <c r="X536" t="s">
        <v>54</v>
      </c>
      <c r="Y536" t="s">
        <v>4478</v>
      </c>
      <c r="Z536">
        <v>50000</v>
      </c>
      <c r="AA536">
        <v>54</v>
      </c>
      <c r="AB536">
        <v>50</v>
      </c>
      <c r="AC536">
        <v>511</v>
      </c>
      <c r="AD536">
        <v>91</v>
      </c>
      <c r="AE536">
        <v>580</v>
      </c>
      <c r="AF536">
        <v>0</v>
      </c>
      <c r="AG536">
        <v>1</v>
      </c>
      <c r="AH536">
        <v>2.141130924224854</v>
      </c>
      <c r="AJ536">
        <v>10.680290222167971</v>
      </c>
      <c r="AK536" t="s">
        <v>54</v>
      </c>
      <c r="AL536" t="s">
        <v>54</v>
      </c>
      <c r="AQ536" t="s">
        <v>54</v>
      </c>
      <c r="AW536" t="s">
        <v>53</v>
      </c>
      <c r="AZ536" t="s">
        <v>54</v>
      </c>
      <c r="BA536" t="s">
        <v>2425</v>
      </c>
    </row>
    <row r="537" spans="1:54" x14ac:dyDescent="0.25">
      <c r="A537">
        <v>532</v>
      </c>
      <c r="B537" t="s">
        <v>5290</v>
      </c>
      <c r="C537" t="s">
        <v>5291</v>
      </c>
      <c r="D537" t="s">
        <v>5292</v>
      </c>
      <c r="E537">
        <v>3</v>
      </c>
      <c r="F537" t="s">
        <v>3803</v>
      </c>
      <c r="G537" t="s">
        <v>4495</v>
      </c>
      <c r="H537" t="s">
        <v>4456</v>
      </c>
      <c r="I537" t="s">
        <v>5201</v>
      </c>
      <c r="J537" t="s">
        <v>5288</v>
      </c>
      <c r="K537" t="s">
        <v>5289</v>
      </c>
      <c r="L537" t="s">
        <v>5190</v>
      </c>
      <c r="M537">
        <v>3.401054859161377</v>
      </c>
      <c r="N537" t="s">
        <v>54</v>
      </c>
      <c r="O537" t="s">
        <v>53</v>
      </c>
      <c r="P537" t="s">
        <v>53</v>
      </c>
      <c r="Q537" t="s">
        <v>53</v>
      </c>
      <c r="R537" t="s">
        <v>53</v>
      </c>
      <c r="S537" t="s">
        <v>4477</v>
      </c>
      <c r="T537" t="s">
        <v>4477</v>
      </c>
      <c r="U537" t="s">
        <v>53</v>
      </c>
      <c r="V537" t="s">
        <v>51</v>
      </c>
      <c r="W537">
        <v>250000</v>
      </c>
      <c r="X537" t="s">
        <v>54</v>
      </c>
      <c r="Y537" t="s">
        <v>4478</v>
      </c>
      <c r="Z537">
        <v>50000</v>
      </c>
      <c r="AA537">
        <v>54</v>
      </c>
      <c r="AB537">
        <v>50</v>
      </c>
      <c r="AC537">
        <v>511</v>
      </c>
      <c r="AD537">
        <v>91</v>
      </c>
      <c r="AE537">
        <v>580</v>
      </c>
      <c r="AF537">
        <v>0</v>
      </c>
      <c r="AG537">
        <v>1</v>
      </c>
      <c r="AH537">
        <v>2.141130924224854</v>
      </c>
      <c r="AJ537">
        <v>10.680290222167971</v>
      </c>
      <c r="AK537" t="s">
        <v>54</v>
      </c>
      <c r="AL537" t="s">
        <v>54</v>
      </c>
      <c r="AQ537" t="s">
        <v>54</v>
      </c>
      <c r="AW537" t="s">
        <v>53</v>
      </c>
      <c r="AZ537" t="s">
        <v>54</v>
      </c>
      <c r="BA537" t="s">
        <v>2425</v>
      </c>
    </row>
    <row r="538" spans="1:54" x14ac:dyDescent="0.25">
      <c r="A538">
        <v>533</v>
      </c>
      <c r="B538" t="s">
        <v>5293</v>
      </c>
      <c r="C538" t="s">
        <v>5294</v>
      </c>
      <c r="D538" t="s">
        <v>5295</v>
      </c>
      <c r="E538">
        <v>3</v>
      </c>
      <c r="F538" t="s">
        <v>3803</v>
      </c>
      <c r="G538" t="s">
        <v>4495</v>
      </c>
      <c r="H538" t="s">
        <v>4456</v>
      </c>
      <c r="I538" t="s">
        <v>5296</v>
      </c>
      <c r="J538" t="s">
        <v>5297</v>
      </c>
      <c r="K538" t="s">
        <v>5298</v>
      </c>
      <c r="L538" t="s">
        <v>5190</v>
      </c>
      <c r="M538">
        <v>2.6953823566436772</v>
      </c>
      <c r="N538" t="s">
        <v>54</v>
      </c>
      <c r="O538" t="s">
        <v>53</v>
      </c>
      <c r="P538" t="s">
        <v>53</v>
      </c>
      <c r="Q538" t="s">
        <v>53</v>
      </c>
      <c r="R538" t="s">
        <v>53</v>
      </c>
      <c r="S538" t="s">
        <v>4477</v>
      </c>
      <c r="T538" t="s">
        <v>4477</v>
      </c>
      <c r="U538" t="s">
        <v>53</v>
      </c>
      <c r="V538" t="s">
        <v>51</v>
      </c>
      <c r="W538">
        <v>250000</v>
      </c>
      <c r="X538" t="s">
        <v>54</v>
      </c>
      <c r="Y538" t="s">
        <v>4478</v>
      </c>
      <c r="Z538">
        <v>50000</v>
      </c>
      <c r="AA538">
        <v>12</v>
      </c>
      <c r="AB538">
        <v>11</v>
      </c>
      <c r="AC538">
        <v>7</v>
      </c>
      <c r="AD538">
        <v>25</v>
      </c>
      <c r="AE538">
        <v>26</v>
      </c>
      <c r="AF538">
        <v>0</v>
      </c>
      <c r="AG538">
        <v>2</v>
      </c>
      <c r="AH538">
        <v>0.62198507785797119</v>
      </c>
      <c r="AJ538">
        <v>69.591743469238281</v>
      </c>
      <c r="AK538" t="s">
        <v>54</v>
      </c>
      <c r="AL538" t="s">
        <v>54</v>
      </c>
      <c r="AQ538" t="s">
        <v>54</v>
      </c>
      <c r="AW538" t="s">
        <v>53</v>
      </c>
      <c r="AZ538" t="s">
        <v>54</v>
      </c>
      <c r="BA538" t="s">
        <v>2425</v>
      </c>
    </row>
    <row r="539" spans="1:54" x14ac:dyDescent="0.25">
      <c r="A539">
        <v>534</v>
      </c>
      <c r="B539" t="s">
        <v>5299</v>
      </c>
      <c r="C539" t="s">
        <v>5300</v>
      </c>
      <c r="D539" t="s">
        <v>5301</v>
      </c>
      <c r="E539">
        <v>3</v>
      </c>
      <c r="F539" t="s">
        <v>3803</v>
      </c>
      <c r="G539" t="s">
        <v>4495</v>
      </c>
      <c r="H539" t="s">
        <v>4456</v>
      </c>
      <c r="I539" t="s">
        <v>5258</v>
      </c>
      <c r="J539" t="s">
        <v>5302</v>
      </c>
      <c r="K539" t="s">
        <v>5303</v>
      </c>
      <c r="L539" t="s">
        <v>5190</v>
      </c>
      <c r="M539">
        <v>8.1910762786865234</v>
      </c>
      <c r="N539" t="s">
        <v>54</v>
      </c>
      <c r="O539" t="s">
        <v>53</v>
      </c>
      <c r="P539" t="s">
        <v>53</v>
      </c>
      <c r="Q539" t="s">
        <v>53</v>
      </c>
      <c r="R539" t="s">
        <v>53</v>
      </c>
      <c r="S539" t="s">
        <v>4477</v>
      </c>
      <c r="T539" t="s">
        <v>4477</v>
      </c>
      <c r="U539" t="s">
        <v>53</v>
      </c>
      <c r="V539" t="s">
        <v>51</v>
      </c>
      <c r="W539">
        <v>250000</v>
      </c>
      <c r="X539" t="s">
        <v>54</v>
      </c>
      <c r="Y539" t="s">
        <v>4478</v>
      </c>
      <c r="Z539">
        <v>50000</v>
      </c>
      <c r="AA539">
        <v>193</v>
      </c>
      <c r="AB539">
        <v>173</v>
      </c>
      <c r="AC539">
        <v>624</v>
      </c>
      <c r="AD539">
        <v>713</v>
      </c>
      <c r="AE539">
        <v>1166</v>
      </c>
      <c r="AF539">
        <v>2</v>
      </c>
      <c r="AG539">
        <v>5</v>
      </c>
      <c r="AH539">
        <v>7.356712818145752</v>
      </c>
      <c r="AJ539">
        <v>81.915672302246094</v>
      </c>
      <c r="AK539" t="s">
        <v>54</v>
      </c>
      <c r="AL539" t="s">
        <v>54</v>
      </c>
      <c r="AQ539" t="s">
        <v>54</v>
      </c>
      <c r="AW539" t="s">
        <v>54</v>
      </c>
      <c r="AZ539" t="s">
        <v>54</v>
      </c>
      <c r="BA539" t="s">
        <v>2425</v>
      </c>
    </row>
    <row r="540" spans="1:54" x14ac:dyDescent="0.25">
      <c r="A540">
        <v>535</v>
      </c>
      <c r="B540" t="s">
        <v>5304</v>
      </c>
      <c r="C540" t="s">
        <v>5305</v>
      </c>
      <c r="D540" t="s">
        <v>5306</v>
      </c>
      <c r="E540">
        <v>3</v>
      </c>
      <c r="F540" t="s">
        <v>3803</v>
      </c>
      <c r="G540" t="s">
        <v>4495</v>
      </c>
      <c r="H540" t="s">
        <v>4456</v>
      </c>
      <c r="I540" t="s">
        <v>5258</v>
      </c>
      <c r="J540" t="s">
        <v>5302</v>
      </c>
      <c r="K540" t="s">
        <v>5303</v>
      </c>
      <c r="L540" t="s">
        <v>5190</v>
      </c>
      <c r="M540">
        <v>8.1910762786865234</v>
      </c>
      <c r="N540" t="s">
        <v>54</v>
      </c>
      <c r="O540" t="s">
        <v>53</v>
      </c>
      <c r="P540" t="s">
        <v>53</v>
      </c>
      <c r="Q540" t="s">
        <v>53</v>
      </c>
      <c r="R540" t="s">
        <v>53</v>
      </c>
      <c r="S540" t="s">
        <v>4477</v>
      </c>
      <c r="T540" t="s">
        <v>4477</v>
      </c>
      <c r="U540" t="s">
        <v>53</v>
      </c>
      <c r="V540" t="s">
        <v>51</v>
      </c>
      <c r="W540">
        <v>250000</v>
      </c>
      <c r="X540" t="s">
        <v>54</v>
      </c>
      <c r="Y540" t="s">
        <v>4478</v>
      </c>
      <c r="Z540">
        <v>50000</v>
      </c>
      <c r="AA540">
        <v>193</v>
      </c>
      <c r="AB540">
        <v>173</v>
      </c>
      <c r="AC540">
        <v>624</v>
      </c>
      <c r="AD540">
        <v>713</v>
      </c>
      <c r="AE540">
        <v>1166</v>
      </c>
      <c r="AF540">
        <v>2</v>
      </c>
      <c r="AG540">
        <v>5</v>
      </c>
      <c r="AH540">
        <v>7.356712818145752</v>
      </c>
      <c r="AJ540">
        <v>81.915672302246094</v>
      </c>
      <c r="AK540" t="s">
        <v>54</v>
      </c>
      <c r="AL540" t="s">
        <v>54</v>
      </c>
      <c r="AQ540" t="s">
        <v>54</v>
      </c>
      <c r="AW540" t="s">
        <v>54</v>
      </c>
      <c r="AZ540" t="s">
        <v>54</v>
      </c>
      <c r="BA540" t="s">
        <v>2425</v>
      </c>
    </row>
    <row r="541" spans="1:54" x14ac:dyDescent="0.25">
      <c r="A541">
        <v>536</v>
      </c>
      <c r="B541" t="s">
        <v>5307</v>
      </c>
      <c r="C541" t="s">
        <v>5308</v>
      </c>
      <c r="D541" t="s">
        <v>5309</v>
      </c>
      <c r="E541">
        <v>3</v>
      </c>
      <c r="F541" t="s">
        <v>3803</v>
      </c>
      <c r="G541" t="s">
        <v>4495</v>
      </c>
      <c r="H541" t="s">
        <v>4456</v>
      </c>
      <c r="I541" t="s">
        <v>5258</v>
      </c>
      <c r="J541" t="s">
        <v>5302</v>
      </c>
      <c r="K541" t="s">
        <v>5303</v>
      </c>
      <c r="L541" t="s">
        <v>5190</v>
      </c>
      <c r="M541">
        <v>8.1910762786865234</v>
      </c>
      <c r="N541" t="s">
        <v>54</v>
      </c>
      <c r="O541" t="s">
        <v>53</v>
      </c>
      <c r="P541" t="s">
        <v>53</v>
      </c>
      <c r="Q541" t="s">
        <v>53</v>
      </c>
      <c r="R541" t="s">
        <v>53</v>
      </c>
      <c r="S541" t="s">
        <v>4477</v>
      </c>
      <c r="T541" t="s">
        <v>4477</v>
      </c>
      <c r="U541" t="s">
        <v>53</v>
      </c>
      <c r="V541" t="s">
        <v>51</v>
      </c>
      <c r="W541">
        <v>250000</v>
      </c>
      <c r="X541" t="s">
        <v>54</v>
      </c>
      <c r="Y541" t="s">
        <v>4478</v>
      </c>
      <c r="Z541">
        <v>50000</v>
      </c>
      <c r="AA541">
        <v>193</v>
      </c>
      <c r="AB541">
        <v>173</v>
      </c>
      <c r="AC541">
        <v>624</v>
      </c>
      <c r="AD541">
        <v>713</v>
      </c>
      <c r="AE541">
        <v>1166</v>
      </c>
      <c r="AF541">
        <v>2</v>
      </c>
      <c r="AG541">
        <v>5</v>
      </c>
      <c r="AH541">
        <v>7.356712818145752</v>
      </c>
      <c r="AJ541">
        <v>81.915672302246094</v>
      </c>
      <c r="AK541" t="s">
        <v>54</v>
      </c>
      <c r="AL541" t="s">
        <v>54</v>
      </c>
      <c r="AQ541" t="s">
        <v>54</v>
      </c>
      <c r="AW541" t="s">
        <v>54</v>
      </c>
      <c r="AZ541" t="s">
        <v>54</v>
      </c>
      <c r="BA541" t="s">
        <v>2425</v>
      </c>
    </row>
    <row r="542" spans="1:54" x14ac:dyDescent="0.25">
      <c r="A542">
        <v>537</v>
      </c>
      <c r="B542" t="s">
        <v>5310</v>
      </c>
      <c r="C542" t="s">
        <v>5311</v>
      </c>
      <c r="D542" t="s">
        <v>5312</v>
      </c>
      <c r="E542">
        <v>3</v>
      </c>
      <c r="F542" t="s">
        <v>3803</v>
      </c>
      <c r="G542" t="s">
        <v>4495</v>
      </c>
      <c r="H542" t="s">
        <v>4456</v>
      </c>
      <c r="I542" t="s">
        <v>5258</v>
      </c>
      <c r="J542" t="s">
        <v>5259</v>
      </c>
      <c r="K542" t="s">
        <v>5260</v>
      </c>
      <c r="L542" t="s">
        <v>5190</v>
      </c>
      <c r="M542">
        <v>3.0271584987640381</v>
      </c>
      <c r="N542" t="s">
        <v>54</v>
      </c>
      <c r="O542" t="s">
        <v>53</v>
      </c>
      <c r="P542" t="s">
        <v>53</v>
      </c>
      <c r="Q542" t="s">
        <v>53</v>
      </c>
      <c r="R542" t="s">
        <v>53</v>
      </c>
      <c r="S542" t="s">
        <v>4477</v>
      </c>
      <c r="T542" t="s">
        <v>4477</v>
      </c>
      <c r="U542" t="s">
        <v>53</v>
      </c>
      <c r="V542" t="s">
        <v>51</v>
      </c>
      <c r="W542">
        <v>250000</v>
      </c>
      <c r="X542" t="s">
        <v>54</v>
      </c>
      <c r="Y542" t="s">
        <v>4478</v>
      </c>
      <c r="Z542">
        <v>50000</v>
      </c>
      <c r="AA542">
        <v>67</v>
      </c>
      <c r="AB542">
        <v>57</v>
      </c>
      <c r="AC542">
        <v>184</v>
      </c>
      <c r="AD542">
        <v>206</v>
      </c>
      <c r="AE542">
        <v>333</v>
      </c>
      <c r="AF542">
        <v>1</v>
      </c>
      <c r="AG542">
        <v>8</v>
      </c>
      <c r="AH542">
        <v>2.031960010528564</v>
      </c>
      <c r="AJ542">
        <v>32.621261596679688</v>
      </c>
      <c r="AK542" t="s">
        <v>54</v>
      </c>
      <c r="AL542" t="s">
        <v>54</v>
      </c>
      <c r="AQ542" t="s">
        <v>54</v>
      </c>
      <c r="AW542" t="s">
        <v>53</v>
      </c>
      <c r="AZ542" t="s">
        <v>54</v>
      </c>
      <c r="BA542" t="s">
        <v>2425</v>
      </c>
    </row>
    <row r="543" spans="1:54" x14ac:dyDescent="0.25">
      <c r="A543">
        <v>538</v>
      </c>
      <c r="B543" t="s">
        <v>5313</v>
      </c>
      <c r="C543" t="s">
        <v>5314</v>
      </c>
      <c r="D543" t="s">
        <v>5315</v>
      </c>
      <c r="E543">
        <v>3</v>
      </c>
      <c r="F543" t="s">
        <v>3803</v>
      </c>
      <c r="G543" t="s">
        <v>4495</v>
      </c>
      <c r="H543" t="s">
        <v>4456</v>
      </c>
      <c r="I543" t="s">
        <v>5258</v>
      </c>
      <c r="J543" t="s">
        <v>5259</v>
      </c>
      <c r="K543" t="s">
        <v>5260</v>
      </c>
      <c r="L543" t="s">
        <v>5190</v>
      </c>
      <c r="M543">
        <v>3.0271584987640381</v>
      </c>
      <c r="N543" t="s">
        <v>54</v>
      </c>
      <c r="O543" t="s">
        <v>53</v>
      </c>
      <c r="P543" t="s">
        <v>53</v>
      </c>
      <c r="Q543" t="s">
        <v>53</v>
      </c>
      <c r="R543" t="s">
        <v>53</v>
      </c>
      <c r="S543" t="s">
        <v>4477</v>
      </c>
      <c r="T543" t="s">
        <v>4477</v>
      </c>
      <c r="U543" t="s">
        <v>53</v>
      </c>
      <c r="V543" t="s">
        <v>51</v>
      </c>
      <c r="W543">
        <v>250000</v>
      </c>
      <c r="X543" t="s">
        <v>54</v>
      </c>
      <c r="Y543" t="s">
        <v>4478</v>
      </c>
      <c r="Z543">
        <v>50000</v>
      </c>
      <c r="AA543">
        <v>67</v>
      </c>
      <c r="AB543">
        <v>57</v>
      </c>
      <c r="AC543">
        <v>184</v>
      </c>
      <c r="AD543">
        <v>206</v>
      </c>
      <c r="AE543">
        <v>333</v>
      </c>
      <c r="AF543">
        <v>1</v>
      </c>
      <c r="AG543">
        <v>8</v>
      </c>
      <c r="AH543">
        <v>2.031960010528564</v>
      </c>
      <c r="AJ543">
        <v>32.621261596679688</v>
      </c>
      <c r="AK543" t="s">
        <v>54</v>
      </c>
      <c r="AL543" t="s">
        <v>54</v>
      </c>
      <c r="AQ543" t="s">
        <v>54</v>
      </c>
      <c r="AW543" t="s">
        <v>53</v>
      </c>
      <c r="AZ543" t="s">
        <v>54</v>
      </c>
      <c r="BA543" t="s">
        <v>2425</v>
      </c>
    </row>
    <row r="544" spans="1:54" x14ac:dyDescent="0.25">
      <c r="A544">
        <v>539</v>
      </c>
      <c r="B544" t="s">
        <v>5316</v>
      </c>
      <c r="C544" t="s">
        <v>5317</v>
      </c>
      <c r="D544" t="s">
        <v>5318</v>
      </c>
      <c r="E544">
        <v>3</v>
      </c>
      <c r="F544" t="s">
        <v>3803</v>
      </c>
      <c r="G544" t="s">
        <v>4495</v>
      </c>
      <c r="H544" t="s">
        <v>4456</v>
      </c>
      <c r="I544" t="s">
        <v>5258</v>
      </c>
      <c r="J544" t="s">
        <v>5259</v>
      </c>
      <c r="K544" t="s">
        <v>5260</v>
      </c>
      <c r="L544" t="s">
        <v>5190</v>
      </c>
      <c r="M544">
        <v>3.0271584987640381</v>
      </c>
      <c r="N544" t="s">
        <v>54</v>
      </c>
      <c r="O544" t="s">
        <v>53</v>
      </c>
      <c r="P544" t="s">
        <v>53</v>
      </c>
      <c r="Q544" t="s">
        <v>53</v>
      </c>
      <c r="R544" t="s">
        <v>53</v>
      </c>
      <c r="S544" t="s">
        <v>4477</v>
      </c>
      <c r="T544" t="s">
        <v>4477</v>
      </c>
      <c r="U544" t="s">
        <v>53</v>
      </c>
      <c r="V544" t="s">
        <v>51</v>
      </c>
      <c r="W544">
        <v>250000</v>
      </c>
      <c r="X544" t="s">
        <v>54</v>
      </c>
      <c r="Y544" t="s">
        <v>4478</v>
      </c>
      <c r="Z544">
        <v>50000</v>
      </c>
      <c r="AA544">
        <v>67</v>
      </c>
      <c r="AB544">
        <v>57</v>
      </c>
      <c r="AC544">
        <v>184</v>
      </c>
      <c r="AD544">
        <v>206</v>
      </c>
      <c r="AE544">
        <v>333</v>
      </c>
      <c r="AF544">
        <v>1</v>
      </c>
      <c r="AG544">
        <v>8</v>
      </c>
      <c r="AH544">
        <v>2.031960010528564</v>
      </c>
      <c r="AJ544">
        <v>32.621261596679688</v>
      </c>
      <c r="AK544" t="s">
        <v>54</v>
      </c>
      <c r="AL544" t="s">
        <v>54</v>
      </c>
      <c r="AQ544" t="s">
        <v>54</v>
      </c>
      <c r="AW544" t="s">
        <v>53</v>
      </c>
      <c r="AZ544" t="s">
        <v>54</v>
      </c>
      <c r="BA544" t="s">
        <v>2425</v>
      </c>
    </row>
    <row r="545" spans="1:53" x14ac:dyDescent="0.25">
      <c r="A545">
        <v>540</v>
      </c>
      <c r="B545" t="s">
        <v>5319</v>
      </c>
      <c r="C545" t="s">
        <v>5320</v>
      </c>
      <c r="D545" t="s">
        <v>5321</v>
      </c>
      <c r="E545">
        <v>3</v>
      </c>
      <c r="F545" t="s">
        <v>3803</v>
      </c>
      <c r="G545" t="s">
        <v>4495</v>
      </c>
      <c r="H545" t="s">
        <v>4456</v>
      </c>
      <c r="I545" t="s">
        <v>5181</v>
      </c>
      <c r="J545" t="s">
        <v>5322</v>
      </c>
      <c r="K545" t="s">
        <v>5323</v>
      </c>
      <c r="L545" t="s">
        <v>5190</v>
      </c>
      <c r="M545">
        <v>2.9588818550109859</v>
      </c>
      <c r="N545" t="s">
        <v>54</v>
      </c>
      <c r="O545" t="s">
        <v>53</v>
      </c>
      <c r="P545" t="s">
        <v>53</v>
      </c>
      <c r="Q545" t="s">
        <v>53</v>
      </c>
      <c r="R545" t="s">
        <v>53</v>
      </c>
      <c r="S545" t="s">
        <v>5184</v>
      </c>
      <c r="T545" t="s">
        <v>5184</v>
      </c>
      <c r="U545" t="s">
        <v>53</v>
      </c>
      <c r="V545" t="s">
        <v>51</v>
      </c>
      <c r="W545">
        <v>250000</v>
      </c>
      <c r="X545" t="s">
        <v>54</v>
      </c>
      <c r="Y545" t="s">
        <v>3819</v>
      </c>
      <c r="Z545">
        <v>25000</v>
      </c>
      <c r="AA545">
        <v>2</v>
      </c>
      <c r="AB545">
        <v>0</v>
      </c>
      <c r="AC545">
        <v>405</v>
      </c>
      <c r="AD545">
        <v>0</v>
      </c>
      <c r="AE545">
        <v>405</v>
      </c>
      <c r="AF545">
        <v>0</v>
      </c>
      <c r="AG545">
        <v>7</v>
      </c>
      <c r="AH545">
        <v>1.0117700099945071</v>
      </c>
      <c r="AJ545">
        <v>56.787689208984382</v>
      </c>
      <c r="AK545" t="s">
        <v>54</v>
      </c>
      <c r="AL545" t="s">
        <v>54</v>
      </c>
      <c r="AQ545" t="s">
        <v>54</v>
      </c>
      <c r="AW545" t="s">
        <v>53</v>
      </c>
      <c r="AZ545" t="s">
        <v>54</v>
      </c>
      <c r="BA545" t="s">
        <v>2425</v>
      </c>
    </row>
    <row r="546" spans="1:53" x14ac:dyDescent="0.25">
      <c r="A546">
        <v>541</v>
      </c>
      <c r="B546" t="s">
        <v>5324</v>
      </c>
      <c r="C546" t="s">
        <v>5325</v>
      </c>
      <c r="D546" t="s">
        <v>5326</v>
      </c>
      <c r="E546">
        <v>3</v>
      </c>
      <c r="F546" t="s">
        <v>3803</v>
      </c>
      <c r="G546" t="s">
        <v>4495</v>
      </c>
      <c r="H546" t="s">
        <v>4456</v>
      </c>
      <c r="I546" t="s">
        <v>5181</v>
      </c>
      <c r="J546" t="s">
        <v>5322</v>
      </c>
      <c r="K546" t="s">
        <v>5323</v>
      </c>
      <c r="L546" t="s">
        <v>5190</v>
      </c>
      <c r="M546">
        <v>2.9588818550109859</v>
      </c>
      <c r="N546" t="s">
        <v>54</v>
      </c>
      <c r="O546" t="s">
        <v>53</v>
      </c>
      <c r="P546" t="s">
        <v>53</v>
      </c>
      <c r="Q546" t="s">
        <v>53</v>
      </c>
      <c r="R546" t="s">
        <v>53</v>
      </c>
      <c r="S546" t="s">
        <v>5184</v>
      </c>
      <c r="T546" t="s">
        <v>5184</v>
      </c>
      <c r="U546" t="s">
        <v>53</v>
      </c>
      <c r="V546" t="s">
        <v>51</v>
      </c>
      <c r="W546">
        <v>250000</v>
      </c>
      <c r="X546" t="s">
        <v>54</v>
      </c>
      <c r="Y546" t="s">
        <v>3819</v>
      </c>
      <c r="Z546">
        <v>25000</v>
      </c>
      <c r="AA546">
        <v>2</v>
      </c>
      <c r="AB546">
        <v>0</v>
      </c>
      <c r="AC546">
        <v>405</v>
      </c>
      <c r="AD546">
        <v>0</v>
      </c>
      <c r="AE546">
        <v>405</v>
      </c>
      <c r="AF546">
        <v>0</v>
      </c>
      <c r="AG546">
        <v>7</v>
      </c>
      <c r="AH546">
        <v>1.0117700099945071</v>
      </c>
      <c r="AJ546">
        <v>56.787689208984382</v>
      </c>
      <c r="AK546" t="s">
        <v>54</v>
      </c>
      <c r="AL546" t="s">
        <v>54</v>
      </c>
      <c r="AQ546" t="s">
        <v>54</v>
      </c>
      <c r="AW546" t="s">
        <v>53</v>
      </c>
      <c r="AZ546" t="s">
        <v>54</v>
      </c>
      <c r="BA546" t="s">
        <v>2425</v>
      </c>
    </row>
    <row r="547" spans="1:53" x14ac:dyDescent="0.25">
      <c r="A547">
        <v>542</v>
      </c>
      <c r="B547" t="s">
        <v>5327</v>
      </c>
      <c r="C547" t="s">
        <v>5328</v>
      </c>
      <c r="D547" t="s">
        <v>5329</v>
      </c>
      <c r="E547">
        <v>3</v>
      </c>
      <c r="F547" t="s">
        <v>3803</v>
      </c>
      <c r="G547" t="s">
        <v>4495</v>
      </c>
      <c r="H547" t="s">
        <v>4456</v>
      </c>
      <c r="I547" t="s">
        <v>5181</v>
      </c>
      <c r="J547" t="s">
        <v>5322</v>
      </c>
      <c r="K547" t="s">
        <v>5323</v>
      </c>
      <c r="L547" t="s">
        <v>5190</v>
      </c>
      <c r="M547">
        <v>2.9588818550109859</v>
      </c>
      <c r="N547" t="s">
        <v>54</v>
      </c>
      <c r="O547" t="s">
        <v>53</v>
      </c>
      <c r="P547" t="s">
        <v>53</v>
      </c>
      <c r="Q547" t="s">
        <v>53</v>
      </c>
      <c r="R547" t="s">
        <v>53</v>
      </c>
      <c r="S547" t="s">
        <v>5184</v>
      </c>
      <c r="T547" t="s">
        <v>5184</v>
      </c>
      <c r="U547" t="s">
        <v>53</v>
      </c>
      <c r="V547" t="s">
        <v>51</v>
      </c>
      <c r="W547">
        <v>250000</v>
      </c>
      <c r="X547" t="s">
        <v>54</v>
      </c>
      <c r="Y547" t="s">
        <v>3819</v>
      </c>
      <c r="Z547">
        <v>25000</v>
      </c>
      <c r="AA547">
        <v>2</v>
      </c>
      <c r="AB547">
        <v>0</v>
      </c>
      <c r="AC547">
        <v>405</v>
      </c>
      <c r="AD547">
        <v>0</v>
      </c>
      <c r="AE547">
        <v>405</v>
      </c>
      <c r="AF547">
        <v>0</v>
      </c>
      <c r="AG547">
        <v>7</v>
      </c>
      <c r="AH547">
        <v>1.0117700099945071</v>
      </c>
      <c r="AJ547">
        <v>56.787689208984382</v>
      </c>
      <c r="AK547" t="s">
        <v>54</v>
      </c>
      <c r="AL547" t="s">
        <v>54</v>
      </c>
      <c r="AQ547" t="s">
        <v>54</v>
      </c>
      <c r="AW547" t="s">
        <v>53</v>
      </c>
      <c r="AZ547" t="s">
        <v>54</v>
      </c>
      <c r="BA547" t="s">
        <v>2425</v>
      </c>
    </row>
    <row r="548" spans="1:53" x14ac:dyDescent="0.25">
      <c r="A548">
        <v>543</v>
      </c>
      <c r="B548" t="s">
        <v>5330</v>
      </c>
      <c r="C548" t="s">
        <v>5331</v>
      </c>
      <c r="D548" t="s">
        <v>5332</v>
      </c>
      <c r="E548">
        <v>3</v>
      </c>
      <c r="F548" t="s">
        <v>3803</v>
      </c>
      <c r="G548" t="s">
        <v>4495</v>
      </c>
      <c r="H548" t="s">
        <v>4456</v>
      </c>
      <c r="I548" t="s">
        <v>5181</v>
      </c>
      <c r="J548" t="s">
        <v>5322</v>
      </c>
      <c r="K548" t="s">
        <v>5323</v>
      </c>
      <c r="L548" t="s">
        <v>5190</v>
      </c>
      <c r="M548">
        <v>2.9588818550109859</v>
      </c>
      <c r="N548" t="s">
        <v>54</v>
      </c>
      <c r="O548" t="s">
        <v>53</v>
      </c>
      <c r="P548" t="s">
        <v>53</v>
      </c>
      <c r="Q548" t="s">
        <v>53</v>
      </c>
      <c r="R548" t="s">
        <v>53</v>
      </c>
      <c r="S548" t="s">
        <v>5184</v>
      </c>
      <c r="T548" t="s">
        <v>5184</v>
      </c>
      <c r="U548" t="s">
        <v>53</v>
      </c>
      <c r="V548" t="s">
        <v>51</v>
      </c>
      <c r="W548">
        <v>250000</v>
      </c>
      <c r="X548" t="s">
        <v>54</v>
      </c>
      <c r="Y548" t="s">
        <v>3819</v>
      </c>
      <c r="Z548">
        <v>25000</v>
      </c>
      <c r="AA548">
        <v>2</v>
      </c>
      <c r="AB548">
        <v>0</v>
      </c>
      <c r="AC548">
        <v>405</v>
      </c>
      <c r="AD548">
        <v>0</v>
      </c>
      <c r="AE548">
        <v>405</v>
      </c>
      <c r="AF548">
        <v>0</v>
      </c>
      <c r="AG548">
        <v>7</v>
      </c>
      <c r="AH548">
        <v>1.0117700099945071</v>
      </c>
      <c r="AJ548">
        <v>56.787689208984382</v>
      </c>
      <c r="AK548" t="s">
        <v>54</v>
      </c>
      <c r="AL548" t="s">
        <v>54</v>
      </c>
      <c r="AQ548" t="s">
        <v>54</v>
      </c>
      <c r="AW548" t="s">
        <v>53</v>
      </c>
      <c r="AZ548" t="s">
        <v>54</v>
      </c>
      <c r="BA548" t="s">
        <v>2425</v>
      </c>
    </row>
    <row r="549" spans="1:53" x14ac:dyDescent="0.25">
      <c r="A549">
        <v>544</v>
      </c>
      <c r="B549" t="s">
        <v>5333</v>
      </c>
      <c r="C549" t="s">
        <v>5334</v>
      </c>
      <c r="D549" t="s">
        <v>5335</v>
      </c>
      <c r="E549">
        <v>3</v>
      </c>
      <c r="F549" t="s">
        <v>3803</v>
      </c>
      <c r="G549" t="s">
        <v>4495</v>
      </c>
      <c r="H549" t="s">
        <v>4456</v>
      </c>
      <c r="I549" t="s">
        <v>5181</v>
      </c>
      <c r="J549" t="s">
        <v>5322</v>
      </c>
      <c r="K549" t="s">
        <v>5323</v>
      </c>
      <c r="L549" t="s">
        <v>5190</v>
      </c>
      <c r="M549">
        <v>2.9588818550109859</v>
      </c>
      <c r="N549" t="s">
        <v>54</v>
      </c>
      <c r="O549" t="s">
        <v>53</v>
      </c>
      <c r="P549" t="s">
        <v>53</v>
      </c>
      <c r="Q549" t="s">
        <v>53</v>
      </c>
      <c r="R549" t="s">
        <v>53</v>
      </c>
      <c r="S549" t="s">
        <v>5184</v>
      </c>
      <c r="T549" t="s">
        <v>5184</v>
      </c>
      <c r="U549" t="s">
        <v>53</v>
      </c>
      <c r="V549" t="s">
        <v>51</v>
      </c>
      <c r="W549">
        <v>250000</v>
      </c>
      <c r="X549" t="s">
        <v>54</v>
      </c>
      <c r="Y549" t="s">
        <v>3819</v>
      </c>
      <c r="Z549">
        <v>25000</v>
      </c>
      <c r="AA549">
        <v>2</v>
      </c>
      <c r="AB549">
        <v>0</v>
      </c>
      <c r="AC549">
        <v>405</v>
      </c>
      <c r="AD549">
        <v>0</v>
      </c>
      <c r="AE549">
        <v>405</v>
      </c>
      <c r="AF549">
        <v>0</v>
      </c>
      <c r="AG549">
        <v>7</v>
      </c>
      <c r="AH549">
        <v>1.0117700099945071</v>
      </c>
      <c r="AJ549">
        <v>56.787689208984382</v>
      </c>
      <c r="AK549" t="s">
        <v>54</v>
      </c>
      <c r="AL549" t="s">
        <v>54</v>
      </c>
      <c r="AQ549" t="s">
        <v>54</v>
      </c>
      <c r="AW549" t="s">
        <v>53</v>
      </c>
      <c r="AZ549" t="s">
        <v>54</v>
      </c>
      <c r="BA549" t="s">
        <v>2425</v>
      </c>
    </row>
    <row r="550" spans="1:53" x14ac:dyDescent="0.25">
      <c r="A550">
        <v>545</v>
      </c>
      <c r="B550" t="s">
        <v>5336</v>
      </c>
      <c r="C550" t="s">
        <v>5337</v>
      </c>
      <c r="D550" t="s">
        <v>5338</v>
      </c>
      <c r="E550">
        <v>3</v>
      </c>
      <c r="F550" t="s">
        <v>3803</v>
      </c>
      <c r="G550" t="s">
        <v>4495</v>
      </c>
      <c r="H550" t="s">
        <v>4456</v>
      </c>
      <c r="I550" t="s">
        <v>5181</v>
      </c>
      <c r="J550" t="s">
        <v>5322</v>
      </c>
      <c r="K550" t="s">
        <v>5323</v>
      </c>
      <c r="L550" t="s">
        <v>5190</v>
      </c>
      <c r="M550">
        <v>2.9588818550109859</v>
      </c>
      <c r="N550" t="s">
        <v>54</v>
      </c>
      <c r="O550" t="s">
        <v>53</v>
      </c>
      <c r="P550" t="s">
        <v>53</v>
      </c>
      <c r="Q550" t="s">
        <v>53</v>
      </c>
      <c r="R550" t="s">
        <v>53</v>
      </c>
      <c r="S550" t="s">
        <v>5184</v>
      </c>
      <c r="T550" t="s">
        <v>5184</v>
      </c>
      <c r="U550" t="s">
        <v>53</v>
      </c>
      <c r="V550" t="s">
        <v>51</v>
      </c>
      <c r="W550">
        <v>250000</v>
      </c>
      <c r="X550" t="s">
        <v>54</v>
      </c>
      <c r="Y550" t="s">
        <v>3819</v>
      </c>
      <c r="Z550">
        <v>25000</v>
      </c>
      <c r="AA550">
        <v>2</v>
      </c>
      <c r="AB550">
        <v>0</v>
      </c>
      <c r="AC550">
        <v>405</v>
      </c>
      <c r="AD550">
        <v>0</v>
      </c>
      <c r="AE550">
        <v>405</v>
      </c>
      <c r="AF550">
        <v>0</v>
      </c>
      <c r="AG550">
        <v>7</v>
      </c>
      <c r="AH550">
        <v>1.0117700099945071</v>
      </c>
      <c r="AJ550">
        <v>56.787689208984382</v>
      </c>
      <c r="AK550" t="s">
        <v>54</v>
      </c>
      <c r="AL550" t="s">
        <v>54</v>
      </c>
      <c r="AQ550" t="s">
        <v>54</v>
      </c>
      <c r="AW550" t="s">
        <v>53</v>
      </c>
      <c r="AZ550" t="s">
        <v>54</v>
      </c>
      <c r="BA550" t="s">
        <v>2425</v>
      </c>
    </row>
    <row r="551" spans="1:53" x14ac:dyDescent="0.25">
      <c r="A551">
        <v>546</v>
      </c>
      <c r="B551" t="s">
        <v>5339</v>
      </c>
      <c r="C551" t="s">
        <v>5340</v>
      </c>
      <c r="D551" t="s">
        <v>5341</v>
      </c>
      <c r="E551">
        <v>3</v>
      </c>
      <c r="F551" t="s">
        <v>3803</v>
      </c>
      <c r="G551" t="s">
        <v>4495</v>
      </c>
      <c r="H551" t="s">
        <v>4456</v>
      </c>
      <c r="I551" t="s">
        <v>5201</v>
      </c>
      <c r="J551" t="s">
        <v>5215</v>
      </c>
      <c r="K551" t="s">
        <v>5216</v>
      </c>
      <c r="L551" t="s">
        <v>5190</v>
      </c>
      <c r="M551">
        <v>5.5281944274902344</v>
      </c>
      <c r="N551" t="s">
        <v>54</v>
      </c>
      <c r="O551" t="s">
        <v>53</v>
      </c>
      <c r="P551" t="s">
        <v>53</v>
      </c>
      <c r="Q551" t="s">
        <v>53</v>
      </c>
      <c r="R551" t="s">
        <v>53</v>
      </c>
      <c r="S551" t="s">
        <v>5184</v>
      </c>
      <c r="T551" t="s">
        <v>5184</v>
      </c>
      <c r="U551" t="s">
        <v>53</v>
      </c>
      <c r="V551" t="s">
        <v>51</v>
      </c>
      <c r="W551">
        <v>250000</v>
      </c>
      <c r="X551" t="s">
        <v>54</v>
      </c>
      <c r="Y551" t="s">
        <v>3819</v>
      </c>
      <c r="Z551">
        <v>25000</v>
      </c>
      <c r="AA551">
        <v>47</v>
      </c>
      <c r="AB551">
        <v>47</v>
      </c>
      <c r="AC551">
        <v>21</v>
      </c>
      <c r="AD551">
        <v>106</v>
      </c>
      <c r="AE551">
        <v>106</v>
      </c>
      <c r="AF551">
        <v>0</v>
      </c>
      <c r="AG551">
        <v>2</v>
      </c>
      <c r="AH551">
        <v>1.8646450042724609</v>
      </c>
      <c r="AJ551">
        <v>74.191802978515625</v>
      </c>
      <c r="AK551" t="s">
        <v>54</v>
      </c>
      <c r="AL551" t="s">
        <v>54</v>
      </c>
      <c r="AQ551" t="s">
        <v>54</v>
      </c>
      <c r="AW551" t="s">
        <v>53</v>
      </c>
      <c r="AZ551" t="s">
        <v>54</v>
      </c>
      <c r="BA551" t="s">
        <v>2425</v>
      </c>
    </row>
    <row r="552" spans="1:53" x14ac:dyDescent="0.25">
      <c r="A552">
        <v>547</v>
      </c>
      <c r="B552" t="s">
        <v>5342</v>
      </c>
      <c r="C552" t="s">
        <v>5343</v>
      </c>
      <c r="D552" t="s">
        <v>5344</v>
      </c>
      <c r="E552">
        <v>3</v>
      </c>
      <c r="F552" t="s">
        <v>3803</v>
      </c>
      <c r="G552" t="s">
        <v>4495</v>
      </c>
      <c r="H552" t="s">
        <v>4456</v>
      </c>
      <c r="I552" t="s">
        <v>5296</v>
      </c>
      <c r="J552" t="s">
        <v>5345</v>
      </c>
      <c r="K552" t="s">
        <v>5346</v>
      </c>
      <c r="L552" t="s">
        <v>5190</v>
      </c>
      <c r="M552">
        <v>16.951040267944339</v>
      </c>
      <c r="N552" t="s">
        <v>54</v>
      </c>
      <c r="O552" t="s">
        <v>53</v>
      </c>
      <c r="P552" t="s">
        <v>53</v>
      </c>
      <c r="Q552" t="s">
        <v>53</v>
      </c>
      <c r="R552" t="s">
        <v>53</v>
      </c>
      <c r="S552" t="s">
        <v>5184</v>
      </c>
      <c r="T552" t="s">
        <v>5184</v>
      </c>
      <c r="U552" t="s">
        <v>53</v>
      </c>
      <c r="V552" t="s">
        <v>51</v>
      </c>
      <c r="W552">
        <v>250000</v>
      </c>
      <c r="X552" t="s">
        <v>54</v>
      </c>
      <c r="Y552" t="s">
        <v>3819</v>
      </c>
      <c r="Z552">
        <v>25000</v>
      </c>
      <c r="AA552">
        <v>28</v>
      </c>
      <c r="AB552">
        <v>22</v>
      </c>
      <c r="AC552">
        <v>26</v>
      </c>
      <c r="AD552">
        <v>20</v>
      </c>
      <c r="AE552">
        <v>41</v>
      </c>
      <c r="AF552">
        <v>1</v>
      </c>
      <c r="AG552">
        <v>0</v>
      </c>
      <c r="AH552">
        <v>4.0715541839599609</v>
      </c>
      <c r="AJ552">
        <v>1892.139038085938</v>
      </c>
      <c r="AK552" t="s">
        <v>54</v>
      </c>
      <c r="AL552" t="s">
        <v>54</v>
      </c>
      <c r="AQ552" t="s">
        <v>54</v>
      </c>
      <c r="AW552" t="s">
        <v>54</v>
      </c>
      <c r="AZ552" t="s">
        <v>54</v>
      </c>
      <c r="BA552" t="s">
        <v>2425</v>
      </c>
    </row>
    <row r="553" spans="1:53" x14ac:dyDescent="0.25">
      <c r="A553">
        <v>548</v>
      </c>
      <c r="B553" t="s">
        <v>5347</v>
      </c>
      <c r="C553" t="s">
        <v>5348</v>
      </c>
      <c r="D553" t="s">
        <v>5349</v>
      </c>
      <c r="E553">
        <v>3</v>
      </c>
      <c r="F553" t="s">
        <v>3803</v>
      </c>
      <c r="G553" t="s">
        <v>4495</v>
      </c>
      <c r="H553" t="s">
        <v>4456</v>
      </c>
      <c r="I553" t="s">
        <v>5296</v>
      </c>
      <c r="J553" t="s">
        <v>5345</v>
      </c>
      <c r="K553" t="s">
        <v>5346</v>
      </c>
      <c r="L553" t="s">
        <v>5190</v>
      </c>
      <c r="M553">
        <v>16.951040267944339</v>
      </c>
      <c r="N553" t="s">
        <v>54</v>
      </c>
      <c r="O553" t="s">
        <v>53</v>
      </c>
      <c r="P553" t="s">
        <v>53</v>
      </c>
      <c r="Q553" t="s">
        <v>53</v>
      </c>
      <c r="R553" t="s">
        <v>53</v>
      </c>
      <c r="S553" t="s">
        <v>4044</v>
      </c>
      <c r="T553" t="s">
        <v>4044</v>
      </c>
      <c r="U553" t="s">
        <v>53</v>
      </c>
      <c r="V553" t="s">
        <v>51</v>
      </c>
      <c r="W553">
        <v>1032000</v>
      </c>
      <c r="X553" t="s">
        <v>54</v>
      </c>
      <c r="Y553" t="s">
        <v>3819</v>
      </c>
      <c r="Z553">
        <v>103200</v>
      </c>
      <c r="AA553">
        <v>28</v>
      </c>
      <c r="AB553">
        <v>22</v>
      </c>
      <c r="AC553">
        <v>26</v>
      </c>
      <c r="AD553">
        <v>20</v>
      </c>
      <c r="AE553">
        <v>41</v>
      </c>
      <c r="AF553">
        <v>1</v>
      </c>
      <c r="AG553">
        <v>0</v>
      </c>
      <c r="AH553">
        <v>4.0715541839599609</v>
      </c>
      <c r="AJ553">
        <v>1892.139038085938</v>
      </c>
      <c r="AK553" t="s">
        <v>54</v>
      </c>
      <c r="AL553" t="s">
        <v>54</v>
      </c>
      <c r="AQ553" t="s">
        <v>54</v>
      </c>
      <c r="AW553" t="s">
        <v>54</v>
      </c>
      <c r="AZ553" t="s">
        <v>54</v>
      </c>
      <c r="BA553" t="s">
        <v>2425</v>
      </c>
    </row>
    <row r="554" spans="1:53" x14ac:dyDescent="0.25">
      <c r="A554">
        <v>549</v>
      </c>
      <c r="B554" t="s">
        <v>5350</v>
      </c>
      <c r="C554" t="s">
        <v>5351</v>
      </c>
      <c r="D554" t="s">
        <v>5352</v>
      </c>
      <c r="E554">
        <v>3</v>
      </c>
      <c r="F554" t="s">
        <v>3803</v>
      </c>
      <c r="G554" t="s">
        <v>4495</v>
      </c>
      <c r="H554" t="s">
        <v>4456</v>
      </c>
      <c r="I554" t="s">
        <v>5201</v>
      </c>
      <c r="J554" t="s">
        <v>5215</v>
      </c>
      <c r="K554" t="s">
        <v>5216</v>
      </c>
      <c r="L554" t="s">
        <v>4099</v>
      </c>
      <c r="M554">
        <v>9.3591318130493164</v>
      </c>
      <c r="N554" t="s">
        <v>54</v>
      </c>
      <c r="O554" t="s">
        <v>53</v>
      </c>
      <c r="P554" t="s">
        <v>53</v>
      </c>
      <c r="Q554" t="s">
        <v>53</v>
      </c>
      <c r="R554" t="s">
        <v>53</v>
      </c>
      <c r="S554" t="s">
        <v>5239</v>
      </c>
      <c r="T554" t="s">
        <v>5239</v>
      </c>
      <c r="U554" t="s">
        <v>53</v>
      </c>
      <c r="V554" t="s">
        <v>51</v>
      </c>
      <c r="W554">
        <v>250000</v>
      </c>
      <c r="X554" t="s">
        <v>54</v>
      </c>
      <c r="Y554" t="s">
        <v>3819</v>
      </c>
      <c r="Z554">
        <v>25000</v>
      </c>
      <c r="AA554">
        <v>45</v>
      </c>
      <c r="AB554">
        <v>32</v>
      </c>
      <c r="AC554">
        <v>322</v>
      </c>
      <c r="AD554">
        <v>67</v>
      </c>
      <c r="AE554">
        <v>369</v>
      </c>
      <c r="AF554">
        <v>1</v>
      </c>
      <c r="AG554">
        <v>8</v>
      </c>
      <c r="AH554">
        <v>2.2264149188995361</v>
      </c>
      <c r="AJ554">
        <v>140.3887939453125</v>
      </c>
      <c r="AK554" t="s">
        <v>54</v>
      </c>
      <c r="AL554" t="s">
        <v>54</v>
      </c>
      <c r="AQ554" t="s">
        <v>54</v>
      </c>
      <c r="AW554" t="s">
        <v>53</v>
      </c>
      <c r="AZ554" t="s">
        <v>54</v>
      </c>
      <c r="BA554" t="s">
        <v>2425</v>
      </c>
    </row>
    <row r="555" spans="1:53" x14ac:dyDescent="0.25">
      <c r="A555">
        <v>550</v>
      </c>
      <c r="B555" t="s">
        <v>5353</v>
      </c>
      <c r="C555" t="s">
        <v>5354</v>
      </c>
      <c r="D555" t="s">
        <v>5352</v>
      </c>
      <c r="E555">
        <v>3</v>
      </c>
      <c r="F555" t="s">
        <v>3803</v>
      </c>
      <c r="G555" t="s">
        <v>4495</v>
      </c>
      <c r="H555" t="s">
        <v>4048</v>
      </c>
      <c r="I555" t="s">
        <v>5355</v>
      </c>
      <c r="J555" t="s">
        <v>5356</v>
      </c>
      <c r="K555" t="s">
        <v>5357</v>
      </c>
      <c r="L555" t="s">
        <v>4099</v>
      </c>
      <c r="M555">
        <v>18.937490463256839</v>
      </c>
      <c r="N555" t="s">
        <v>54</v>
      </c>
      <c r="O555" t="s">
        <v>53</v>
      </c>
      <c r="P555" t="s">
        <v>53</v>
      </c>
      <c r="Q555" t="s">
        <v>53</v>
      </c>
      <c r="R555" t="s">
        <v>53</v>
      </c>
      <c r="S555" t="s">
        <v>5358</v>
      </c>
      <c r="T555" t="s">
        <v>5358</v>
      </c>
      <c r="U555" t="s">
        <v>53</v>
      </c>
      <c r="V555" t="s">
        <v>51</v>
      </c>
      <c r="W555">
        <v>250000</v>
      </c>
      <c r="X555" t="s">
        <v>54</v>
      </c>
      <c r="Y555" t="s">
        <v>3819</v>
      </c>
      <c r="Z555">
        <v>25000</v>
      </c>
      <c r="AA555">
        <v>180</v>
      </c>
      <c r="AB555">
        <v>170</v>
      </c>
      <c r="AC555">
        <v>266</v>
      </c>
      <c r="AD555">
        <v>500</v>
      </c>
      <c r="AE555">
        <v>627</v>
      </c>
      <c r="AF555">
        <v>2</v>
      </c>
      <c r="AG555">
        <v>7</v>
      </c>
      <c r="AH555">
        <v>10.38786029815674</v>
      </c>
      <c r="AJ555">
        <v>1728.285034179688</v>
      </c>
      <c r="AK555" t="s">
        <v>54</v>
      </c>
      <c r="AL555" t="s">
        <v>54</v>
      </c>
      <c r="AQ555" t="s">
        <v>54</v>
      </c>
      <c r="AW555" t="s">
        <v>53</v>
      </c>
      <c r="AZ555" t="s">
        <v>54</v>
      </c>
      <c r="BA555" t="s">
        <v>2425</v>
      </c>
    </row>
    <row r="556" spans="1:53" x14ac:dyDescent="0.25">
      <c r="A556">
        <v>551</v>
      </c>
      <c r="B556" t="s">
        <v>5359</v>
      </c>
      <c r="C556" t="s">
        <v>5360</v>
      </c>
      <c r="D556" t="s">
        <v>5361</v>
      </c>
      <c r="E556">
        <v>3</v>
      </c>
      <c r="F556" t="s">
        <v>3803</v>
      </c>
      <c r="G556" t="s">
        <v>4495</v>
      </c>
      <c r="H556" t="s">
        <v>4456</v>
      </c>
      <c r="I556" t="s">
        <v>5201</v>
      </c>
      <c r="J556" t="s">
        <v>5237</v>
      </c>
      <c r="K556" t="s">
        <v>5238</v>
      </c>
      <c r="L556" t="s">
        <v>5190</v>
      </c>
      <c r="M556">
        <v>3.5496129989624019</v>
      </c>
      <c r="N556" t="s">
        <v>54</v>
      </c>
      <c r="O556" t="s">
        <v>53</v>
      </c>
      <c r="P556" t="s">
        <v>53</v>
      </c>
      <c r="Q556" t="s">
        <v>53</v>
      </c>
      <c r="R556" t="s">
        <v>53</v>
      </c>
      <c r="S556" t="s">
        <v>5239</v>
      </c>
      <c r="T556" t="s">
        <v>5239</v>
      </c>
      <c r="U556" t="s">
        <v>53</v>
      </c>
      <c r="V556" t="s">
        <v>51</v>
      </c>
      <c r="W556">
        <v>250000</v>
      </c>
      <c r="X556" t="s">
        <v>54</v>
      </c>
      <c r="Y556" t="s">
        <v>3819</v>
      </c>
      <c r="Z556">
        <v>25000</v>
      </c>
      <c r="AA556">
        <v>29</v>
      </c>
      <c r="AB556">
        <v>27</v>
      </c>
      <c r="AC556">
        <v>16</v>
      </c>
      <c r="AD556">
        <v>60</v>
      </c>
      <c r="AE556">
        <v>61</v>
      </c>
      <c r="AF556">
        <v>1</v>
      </c>
      <c r="AG556">
        <v>5</v>
      </c>
      <c r="AH556">
        <v>1.145879983901978</v>
      </c>
      <c r="AJ556">
        <v>81.642311096191406</v>
      </c>
      <c r="AK556" t="s">
        <v>54</v>
      </c>
      <c r="AL556" t="s">
        <v>54</v>
      </c>
      <c r="AQ556" t="s">
        <v>54</v>
      </c>
      <c r="AW556" t="s">
        <v>53</v>
      </c>
      <c r="AZ556" t="s">
        <v>54</v>
      </c>
      <c r="BA556" t="s">
        <v>2425</v>
      </c>
    </row>
    <row r="557" spans="1:53" x14ac:dyDescent="0.25">
      <c r="A557">
        <v>552</v>
      </c>
      <c r="B557" t="s">
        <v>5362</v>
      </c>
      <c r="C557" t="s">
        <v>5363</v>
      </c>
      <c r="D557" t="s">
        <v>5364</v>
      </c>
      <c r="E557">
        <v>3</v>
      </c>
      <c r="F557" t="s">
        <v>3803</v>
      </c>
      <c r="G557" t="s">
        <v>4495</v>
      </c>
      <c r="H557" t="s">
        <v>4456</v>
      </c>
      <c r="I557" t="s">
        <v>5201</v>
      </c>
      <c r="J557" t="s">
        <v>5237</v>
      </c>
      <c r="K557" t="s">
        <v>5238</v>
      </c>
      <c r="L557" t="s">
        <v>5190</v>
      </c>
      <c r="M557">
        <v>3.5496129989624019</v>
      </c>
      <c r="N557" t="s">
        <v>54</v>
      </c>
      <c r="O557" t="s">
        <v>53</v>
      </c>
      <c r="P557" t="s">
        <v>53</v>
      </c>
      <c r="Q557" t="s">
        <v>53</v>
      </c>
      <c r="R557" t="s">
        <v>53</v>
      </c>
      <c r="S557" t="s">
        <v>5239</v>
      </c>
      <c r="T557" t="s">
        <v>5239</v>
      </c>
      <c r="U557" t="s">
        <v>53</v>
      </c>
      <c r="V557" t="s">
        <v>51</v>
      </c>
      <c r="W557">
        <v>250000</v>
      </c>
      <c r="X557" t="s">
        <v>54</v>
      </c>
      <c r="Y557" t="s">
        <v>3819</v>
      </c>
      <c r="Z557">
        <v>25000</v>
      </c>
      <c r="AA557">
        <v>29</v>
      </c>
      <c r="AB557">
        <v>27</v>
      </c>
      <c r="AC557">
        <v>16</v>
      </c>
      <c r="AD557">
        <v>60</v>
      </c>
      <c r="AE557">
        <v>61</v>
      </c>
      <c r="AF557">
        <v>1</v>
      </c>
      <c r="AG557">
        <v>5</v>
      </c>
      <c r="AH557">
        <v>1.145879983901978</v>
      </c>
      <c r="AJ557">
        <v>81.642311096191406</v>
      </c>
      <c r="AK557" t="s">
        <v>54</v>
      </c>
      <c r="AL557" t="s">
        <v>54</v>
      </c>
      <c r="AQ557" t="s">
        <v>54</v>
      </c>
      <c r="AW557" t="s">
        <v>53</v>
      </c>
      <c r="AZ557" t="s">
        <v>54</v>
      </c>
      <c r="BA557" t="s">
        <v>2425</v>
      </c>
    </row>
    <row r="558" spans="1:53" x14ac:dyDescent="0.25">
      <c r="A558">
        <v>553</v>
      </c>
      <c r="B558" t="s">
        <v>5365</v>
      </c>
      <c r="C558" t="s">
        <v>5366</v>
      </c>
      <c r="D558" t="s">
        <v>5367</v>
      </c>
      <c r="E558">
        <v>3</v>
      </c>
      <c r="F558" t="s">
        <v>3803</v>
      </c>
      <c r="G558" t="s">
        <v>4495</v>
      </c>
      <c r="H558" t="s">
        <v>4456</v>
      </c>
      <c r="I558" t="s">
        <v>5201</v>
      </c>
      <c r="J558" t="s">
        <v>5237</v>
      </c>
      <c r="K558" t="s">
        <v>5238</v>
      </c>
      <c r="L558" t="s">
        <v>5190</v>
      </c>
      <c r="M558">
        <v>3.5496129989624019</v>
      </c>
      <c r="N558" t="s">
        <v>54</v>
      </c>
      <c r="O558" t="s">
        <v>53</v>
      </c>
      <c r="P558" t="s">
        <v>53</v>
      </c>
      <c r="Q558" t="s">
        <v>53</v>
      </c>
      <c r="R558" t="s">
        <v>53</v>
      </c>
      <c r="S558" t="s">
        <v>5239</v>
      </c>
      <c r="T558" t="s">
        <v>5239</v>
      </c>
      <c r="U558" t="s">
        <v>53</v>
      </c>
      <c r="V558" t="s">
        <v>51</v>
      </c>
      <c r="W558">
        <v>250000</v>
      </c>
      <c r="X558" t="s">
        <v>54</v>
      </c>
      <c r="Y558" t="s">
        <v>3819</v>
      </c>
      <c r="Z558">
        <v>25000</v>
      </c>
      <c r="AA558">
        <v>29</v>
      </c>
      <c r="AB558">
        <v>27</v>
      </c>
      <c r="AC558">
        <v>16</v>
      </c>
      <c r="AD558">
        <v>60</v>
      </c>
      <c r="AE558">
        <v>61</v>
      </c>
      <c r="AF558">
        <v>1</v>
      </c>
      <c r="AG558">
        <v>5</v>
      </c>
      <c r="AH558">
        <v>1.145879983901978</v>
      </c>
      <c r="AJ558">
        <v>81.642311096191406</v>
      </c>
      <c r="AK558" t="s">
        <v>54</v>
      </c>
      <c r="AL558" t="s">
        <v>54</v>
      </c>
      <c r="AQ558" t="s">
        <v>54</v>
      </c>
      <c r="AW558" t="s">
        <v>53</v>
      </c>
      <c r="AZ558" t="s">
        <v>54</v>
      </c>
      <c r="BA558" t="s">
        <v>2425</v>
      </c>
    </row>
    <row r="559" spans="1:53" x14ac:dyDescent="0.25">
      <c r="A559">
        <v>554</v>
      </c>
      <c r="B559" t="s">
        <v>5368</v>
      </c>
      <c r="C559" t="s">
        <v>5369</v>
      </c>
      <c r="D559" t="s">
        <v>5370</v>
      </c>
      <c r="E559">
        <v>3</v>
      </c>
      <c r="F559" t="s">
        <v>3803</v>
      </c>
      <c r="G559" t="s">
        <v>4495</v>
      </c>
      <c r="H559" t="s">
        <v>4456</v>
      </c>
      <c r="I559" t="s">
        <v>5181</v>
      </c>
      <c r="J559" t="s">
        <v>5322</v>
      </c>
      <c r="K559" t="s">
        <v>5323</v>
      </c>
      <c r="L559" t="s">
        <v>5190</v>
      </c>
      <c r="M559">
        <v>2.9588818550109859</v>
      </c>
      <c r="N559" t="s">
        <v>54</v>
      </c>
      <c r="O559" t="s">
        <v>53</v>
      </c>
      <c r="P559" t="s">
        <v>53</v>
      </c>
      <c r="Q559" t="s">
        <v>53</v>
      </c>
      <c r="R559" t="s">
        <v>53</v>
      </c>
      <c r="S559" t="s">
        <v>5239</v>
      </c>
      <c r="T559" t="s">
        <v>5239</v>
      </c>
      <c r="U559" t="s">
        <v>53</v>
      </c>
      <c r="V559" t="s">
        <v>51</v>
      </c>
      <c r="W559">
        <v>250000</v>
      </c>
      <c r="X559" t="s">
        <v>54</v>
      </c>
      <c r="Y559" t="s">
        <v>3819</v>
      </c>
      <c r="Z559">
        <v>25000</v>
      </c>
      <c r="AA559">
        <v>2</v>
      </c>
      <c r="AB559">
        <v>0</v>
      </c>
      <c r="AC559">
        <v>405</v>
      </c>
      <c r="AD559">
        <v>0</v>
      </c>
      <c r="AE559">
        <v>405</v>
      </c>
      <c r="AF559">
        <v>0</v>
      </c>
      <c r="AG559">
        <v>7</v>
      </c>
      <c r="AH559">
        <v>1.0117700099945071</v>
      </c>
      <c r="AJ559">
        <v>56.787689208984382</v>
      </c>
      <c r="AK559" t="s">
        <v>54</v>
      </c>
      <c r="AL559" t="s">
        <v>54</v>
      </c>
      <c r="AQ559" t="s">
        <v>54</v>
      </c>
      <c r="AW559" t="s">
        <v>53</v>
      </c>
      <c r="AZ559" t="s">
        <v>54</v>
      </c>
      <c r="BA559" t="s">
        <v>2425</v>
      </c>
    </row>
    <row r="560" spans="1:53" x14ac:dyDescent="0.25">
      <c r="A560">
        <v>555</v>
      </c>
      <c r="B560" t="s">
        <v>5371</v>
      </c>
      <c r="C560" t="s">
        <v>5372</v>
      </c>
      <c r="D560" t="s">
        <v>5373</v>
      </c>
      <c r="E560">
        <v>3</v>
      </c>
      <c r="F560" t="s">
        <v>3803</v>
      </c>
      <c r="G560" t="s">
        <v>4495</v>
      </c>
      <c r="H560" t="s">
        <v>4456</v>
      </c>
      <c r="I560" t="s">
        <v>5181</v>
      </c>
      <c r="J560" t="s">
        <v>5322</v>
      </c>
      <c r="K560" t="s">
        <v>5323</v>
      </c>
      <c r="L560" t="s">
        <v>5190</v>
      </c>
      <c r="M560">
        <v>2.9588818550109859</v>
      </c>
      <c r="N560" t="s">
        <v>54</v>
      </c>
      <c r="O560" t="s">
        <v>53</v>
      </c>
      <c r="P560" t="s">
        <v>53</v>
      </c>
      <c r="Q560" t="s">
        <v>53</v>
      </c>
      <c r="R560" t="s">
        <v>53</v>
      </c>
      <c r="S560" t="s">
        <v>5239</v>
      </c>
      <c r="T560" t="s">
        <v>5239</v>
      </c>
      <c r="U560" t="s">
        <v>53</v>
      </c>
      <c r="V560" t="s">
        <v>51</v>
      </c>
      <c r="W560">
        <v>250000</v>
      </c>
      <c r="X560" t="s">
        <v>54</v>
      </c>
      <c r="Y560" t="s">
        <v>3819</v>
      </c>
      <c r="Z560">
        <v>25000</v>
      </c>
      <c r="AA560">
        <v>2</v>
      </c>
      <c r="AB560">
        <v>0</v>
      </c>
      <c r="AC560">
        <v>405</v>
      </c>
      <c r="AD560">
        <v>0</v>
      </c>
      <c r="AE560">
        <v>405</v>
      </c>
      <c r="AF560">
        <v>0</v>
      </c>
      <c r="AG560">
        <v>7</v>
      </c>
      <c r="AH560">
        <v>1.0117700099945071</v>
      </c>
      <c r="AJ560">
        <v>56.787689208984382</v>
      </c>
      <c r="AK560" t="s">
        <v>54</v>
      </c>
      <c r="AL560" t="s">
        <v>54</v>
      </c>
      <c r="AQ560" t="s">
        <v>54</v>
      </c>
      <c r="AW560" t="s">
        <v>53</v>
      </c>
      <c r="AZ560" t="s">
        <v>54</v>
      </c>
      <c r="BA560" t="s">
        <v>2425</v>
      </c>
    </row>
    <row r="561" spans="1:53" x14ac:dyDescent="0.25">
      <c r="A561">
        <v>556</v>
      </c>
      <c r="B561" t="s">
        <v>5374</v>
      </c>
      <c r="C561" t="s">
        <v>5375</v>
      </c>
      <c r="D561" t="s">
        <v>5376</v>
      </c>
      <c r="E561">
        <v>3</v>
      </c>
      <c r="F561" t="s">
        <v>3803</v>
      </c>
      <c r="G561" t="s">
        <v>4495</v>
      </c>
      <c r="H561" t="s">
        <v>4456</v>
      </c>
      <c r="I561" t="s">
        <v>5296</v>
      </c>
      <c r="J561" t="s">
        <v>5297</v>
      </c>
      <c r="K561" t="s">
        <v>5298</v>
      </c>
      <c r="L561" t="s">
        <v>5190</v>
      </c>
      <c r="M561">
        <v>2.6953823566436772</v>
      </c>
      <c r="N561" t="s">
        <v>54</v>
      </c>
      <c r="O561" t="s">
        <v>53</v>
      </c>
      <c r="P561" t="s">
        <v>53</v>
      </c>
      <c r="Q561" t="s">
        <v>53</v>
      </c>
      <c r="R561" t="s">
        <v>53</v>
      </c>
      <c r="S561" t="s">
        <v>4477</v>
      </c>
      <c r="T561" t="s">
        <v>4477</v>
      </c>
      <c r="U561" t="s">
        <v>53</v>
      </c>
      <c r="V561" t="s">
        <v>51</v>
      </c>
      <c r="W561">
        <v>250000</v>
      </c>
      <c r="X561" t="s">
        <v>54</v>
      </c>
      <c r="Y561" t="s">
        <v>4478</v>
      </c>
      <c r="Z561">
        <v>50000</v>
      </c>
      <c r="AA561">
        <v>12</v>
      </c>
      <c r="AB561">
        <v>11</v>
      </c>
      <c r="AC561">
        <v>7</v>
      </c>
      <c r="AD561">
        <v>25</v>
      </c>
      <c r="AE561">
        <v>26</v>
      </c>
      <c r="AF561">
        <v>0</v>
      </c>
      <c r="AG561">
        <v>2</v>
      </c>
      <c r="AH561">
        <v>0.62198507785797119</v>
      </c>
      <c r="AJ561">
        <v>69.591743469238281</v>
      </c>
      <c r="AK561" t="s">
        <v>54</v>
      </c>
      <c r="AL561" t="s">
        <v>54</v>
      </c>
      <c r="AQ561" t="s">
        <v>54</v>
      </c>
      <c r="AW561" t="s">
        <v>53</v>
      </c>
      <c r="AZ561" t="s">
        <v>54</v>
      </c>
      <c r="BA561" t="s">
        <v>2425</v>
      </c>
    </row>
    <row r="562" spans="1:53" x14ac:dyDescent="0.25">
      <c r="A562">
        <v>557</v>
      </c>
      <c r="B562" t="s">
        <v>5377</v>
      </c>
      <c r="C562" t="s">
        <v>5378</v>
      </c>
      <c r="D562" t="s">
        <v>5379</v>
      </c>
      <c r="E562">
        <v>3</v>
      </c>
      <c r="F562" t="s">
        <v>3803</v>
      </c>
      <c r="G562" t="s">
        <v>4495</v>
      </c>
      <c r="H562" t="s">
        <v>4456</v>
      </c>
      <c r="I562" t="s">
        <v>5201</v>
      </c>
      <c r="J562" t="s">
        <v>5215</v>
      </c>
      <c r="K562" t="s">
        <v>5216</v>
      </c>
      <c r="L562" t="s">
        <v>5190</v>
      </c>
      <c r="M562">
        <v>3.1586639881134029</v>
      </c>
      <c r="N562" t="s">
        <v>54</v>
      </c>
      <c r="O562" t="s">
        <v>53</v>
      </c>
      <c r="P562" t="s">
        <v>53</v>
      </c>
      <c r="Q562" t="s">
        <v>53</v>
      </c>
      <c r="R562" t="s">
        <v>53</v>
      </c>
      <c r="S562" t="s">
        <v>4477</v>
      </c>
      <c r="T562" t="s">
        <v>4477</v>
      </c>
      <c r="U562" t="s">
        <v>53</v>
      </c>
      <c r="V562" t="s">
        <v>51</v>
      </c>
      <c r="W562">
        <v>250000</v>
      </c>
      <c r="X562" t="s">
        <v>54</v>
      </c>
      <c r="Y562" t="s">
        <v>4478</v>
      </c>
      <c r="Z562">
        <v>50000</v>
      </c>
      <c r="AA562">
        <v>25</v>
      </c>
      <c r="AB562">
        <v>17</v>
      </c>
      <c r="AC562">
        <v>2105</v>
      </c>
      <c r="AD562">
        <v>44</v>
      </c>
      <c r="AE562">
        <v>2137</v>
      </c>
      <c r="AF562">
        <v>1</v>
      </c>
      <c r="AG562">
        <v>1</v>
      </c>
      <c r="AH562">
        <v>0.759468674659729</v>
      </c>
      <c r="AJ562">
        <v>47.789150238037109</v>
      </c>
      <c r="AK562" t="s">
        <v>54</v>
      </c>
      <c r="AL562" t="s">
        <v>54</v>
      </c>
      <c r="AQ562" t="s">
        <v>54</v>
      </c>
      <c r="AW562" t="s">
        <v>53</v>
      </c>
      <c r="AZ562" t="s">
        <v>54</v>
      </c>
      <c r="BA562" t="s">
        <v>2425</v>
      </c>
    </row>
    <row r="563" spans="1:53" x14ac:dyDescent="0.25">
      <c r="A563">
        <v>558</v>
      </c>
      <c r="B563" t="s">
        <v>5380</v>
      </c>
      <c r="C563" t="s">
        <v>5381</v>
      </c>
      <c r="D563" t="s">
        <v>5382</v>
      </c>
      <c r="E563">
        <v>3</v>
      </c>
      <c r="F563" t="s">
        <v>3803</v>
      </c>
      <c r="G563" t="s">
        <v>4495</v>
      </c>
      <c r="H563" t="s">
        <v>4456</v>
      </c>
      <c r="I563" t="s">
        <v>5181</v>
      </c>
      <c r="J563" t="s">
        <v>5182</v>
      </c>
      <c r="K563" t="s">
        <v>5183</v>
      </c>
      <c r="L563" t="s">
        <v>5190</v>
      </c>
      <c r="M563">
        <v>3.5081617832183838</v>
      </c>
      <c r="N563" t="s">
        <v>54</v>
      </c>
      <c r="O563" t="s">
        <v>53</v>
      </c>
      <c r="P563" t="s">
        <v>53</v>
      </c>
      <c r="Q563" t="s">
        <v>53</v>
      </c>
      <c r="R563" t="s">
        <v>53</v>
      </c>
      <c r="S563" t="s">
        <v>5184</v>
      </c>
      <c r="T563" t="s">
        <v>5184</v>
      </c>
      <c r="U563" t="s">
        <v>53</v>
      </c>
      <c r="V563" t="s">
        <v>51</v>
      </c>
      <c r="W563">
        <v>250000</v>
      </c>
      <c r="X563" t="s">
        <v>54</v>
      </c>
      <c r="Y563" t="s">
        <v>3819</v>
      </c>
      <c r="Z563">
        <v>25000</v>
      </c>
      <c r="AA563">
        <v>29</v>
      </c>
      <c r="AB563">
        <v>29</v>
      </c>
      <c r="AC563">
        <v>27</v>
      </c>
      <c r="AD563">
        <v>87</v>
      </c>
      <c r="AE563">
        <v>90</v>
      </c>
      <c r="AF563">
        <v>0</v>
      </c>
      <c r="AG563">
        <v>2</v>
      </c>
      <c r="AH563">
        <v>0.56508767604827881</v>
      </c>
      <c r="AJ563">
        <v>137.5653991699219</v>
      </c>
      <c r="AK563" t="s">
        <v>54</v>
      </c>
      <c r="AL563" t="s">
        <v>54</v>
      </c>
      <c r="AQ563" t="s">
        <v>54</v>
      </c>
      <c r="AW563" t="s">
        <v>53</v>
      </c>
      <c r="AZ563" t="s">
        <v>54</v>
      </c>
      <c r="BA563" t="s">
        <v>2425</v>
      </c>
    </row>
    <row r="564" spans="1:53" x14ac:dyDescent="0.25">
      <c r="A564">
        <v>559</v>
      </c>
      <c r="B564" t="s">
        <v>5383</v>
      </c>
      <c r="C564" t="s">
        <v>5384</v>
      </c>
      <c r="D564" t="s">
        <v>5385</v>
      </c>
      <c r="E564">
        <v>3</v>
      </c>
      <c r="F564" t="s">
        <v>3803</v>
      </c>
      <c r="G564" t="s">
        <v>4495</v>
      </c>
      <c r="H564" t="s">
        <v>4456</v>
      </c>
      <c r="I564" t="s">
        <v>5181</v>
      </c>
      <c r="J564" t="s">
        <v>5182</v>
      </c>
      <c r="K564" t="s">
        <v>5183</v>
      </c>
      <c r="L564" t="s">
        <v>5190</v>
      </c>
      <c r="M564">
        <v>3.5081617832183838</v>
      </c>
      <c r="N564" t="s">
        <v>54</v>
      </c>
      <c r="O564" t="s">
        <v>53</v>
      </c>
      <c r="P564" t="s">
        <v>53</v>
      </c>
      <c r="Q564" t="s">
        <v>53</v>
      </c>
      <c r="R564" t="s">
        <v>53</v>
      </c>
      <c r="S564" t="s">
        <v>4044</v>
      </c>
      <c r="T564" t="s">
        <v>4044</v>
      </c>
      <c r="U564" t="s">
        <v>53</v>
      </c>
      <c r="V564" t="s">
        <v>51</v>
      </c>
      <c r="W564">
        <v>250000</v>
      </c>
      <c r="X564" t="s">
        <v>54</v>
      </c>
      <c r="Y564" t="s">
        <v>3819</v>
      </c>
      <c r="Z564">
        <v>25000</v>
      </c>
      <c r="AA564">
        <v>29</v>
      </c>
      <c r="AB564">
        <v>29</v>
      </c>
      <c r="AC564">
        <v>27</v>
      </c>
      <c r="AD564">
        <v>87</v>
      </c>
      <c r="AE564">
        <v>90</v>
      </c>
      <c r="AF564">
        <v>0</v>
      </c>
      <c r="AG564">
        <v>2</v>
      </c>
      <c r="AH564">
        <v>0.56508767604827881</v>
      </c>
      <c r="AJ564">
        <v>137.5653991699219</v>
      </c>
      <c r="AK564" t="s">
        <v>54</v>
      </c>
      <c r="AL564" t="s">
        <v>54</v>
      </c>
      <c r="AQ564" t="s">
        <v>54</v>
      </c>
      <c r="AW564" t="s">
        <v>53</v>
      </c>
      <c r="AZ564" t="s">
        <v>54</v>
      </c>
      <c r="BA564" t="s">
        <v>2425</v>
      </c>
    </row>
    <row r="565" spans="1:53" x14ac:dyDescent="0.25">
      <c r="A565">
        <v>560</v>
      </c>
      <c r="B565" t="s">
        <v>5386</v>
      </c>
      <c r="C565" t="s">
        <v>5387</v>
      </c>
      <c r="D565" t="s">
        <v>5388</v>
      </c>
      <c r="E565">
        <v>3</v>
      </c>
      <c r="F565" t="s">
        <v>3803</v>
      </c>
      <c r="G565" t="s">
        <v>4495</v>
      </c>
      <c r="H565" t="s">
        <v>4456</v>
      </c>
      <c r="I565" t="s">
        <v>5201</v>
      </c>
      <c r="J565" t="s">
        <v>5215</v>
      </c>
      <c r="K565" t="s">
        <v>5216</v>
      </c>
      <c r="L565" t="s">
        <v>5190</v>
      </c>
      <c r="M565">
        <v>5.5281944274902344</v>
      </c>
      <c r="N565" t="s">
        <v>54</v>
      </c>
      <c r="O565" t="s">
        <v>53</v>
      </c>
      <c r="P565" t="s">
        <v>53</v>
      </c>
      <c r="Q565" t="s">
        <v>53</v>
      </c>
      <c r="R565" t="s">
        <v>53</v>
      </c>
      <c r="S565" t="s">
        <v>5184</v>
      </c>
      <c r="T565" t="s">
        <v>5184</v>
      </c>
      <c r="U565" t="s">
        <v>53</v>
      </c>
      <c r="V565" t="s">
        <v>51</v>
      </c>
      <c r="W565">
        <v>250000</v>
      </c>
      <c r="X565" t="s">
        <v>54</v>
      </c>
      <c r="Y565" t="s">
        <v>3819</v>
      </c>
      <c r="Z565">
        <v>25000</v>
      </c>
      <c r="AA565">
        <v>47</v>
      </c>
      <c r="AB565">
        <v>47</v>
      </c>
      <c r="AC565">
        <v>21</v>
      </c>
      <c r="AD565">
        <v>106</v>
      </c>
      <c r="AE565">
        <v>106</v>
      </c>
      <c r="AF565">
        <v>0</v>
      </c>
      <c r="AG565">
        <v>2</v>
      </c>
      <c r="AH565">
        <v>1.8646450042724609</v>
      </c>
      <c r="AJ565">
        <v>74.191802978515625</v>
      </c>
      <c r="AK565" t="s">
        <v>54</v>
      </c>
      <c r="AL565" t="s">
        <v>54</v>
      </c>
      <c r="AQ565" t="s">
        <v>54</v>
      </c>
      <c r="AW565" t="s">
        <v>53</v>
      </c>
      <c r="AZ565" t="s">
        <v>54</v>
      </c>
      <c r="BA565" t="s">
        <v>2425</v>
      </c>
    </row>
    <row r="566" spans="1:53" x14ac:dyDescent="0.25">
      <c r="A566">
        <v>561</v>
      </c>
      <c r="B566" t="s">
        <v>5389</v>
      </c>
      <c r="C566" t="s">
        <v>5390</v>
      </c>
      <c r="D566" t="s">
        <v>5391</v>
      </c>
      <c r="E566">
        <v>3</v>
      </c>
      <c r="F566" t="s">
        <v>3803</v>
      </c>
      <c r="G566" t="s">
        <v>4495</v>
      </c>
      <c r="H566" t="s">
        <v>4456</v>
      </c>
      <c r="I566" t="s">
        <v>5201</v>
      </c>
      <c r="J566" t="s">
        <v>5215</v>
      </c>
      <c r="K566" t="s">
        <v>5216</v>
      </c>
      <c r="L566" t="s">
        <v>5190</v>
      </c>
      <c r="M566">
        <v>5.5281944274902344</v>
      </c>
      <c r="N566" t="s">
        <v>54</v>
      </c>
      <c r="O566" t="s">
        <v>53</v>
      </c>
      <c r="P566" t="s">
        <v>53</v>
      </c>
      <c r="Q566" t="s">
        <v>53</v>
      </c>
      <c r="R566" t="s">
        <v>53</v>
      </c>
      <c r="S566" t="s">
        <v>5184</v>
      </c>
      <c r="T566" t="s">
        <v>5184</v>
      </c>
      <c r="U566" t="s">
        <v>53</v>
      </c>
      <c r="V566" t="s">
        <v>51</v>
      </c>
      <c r="W566">
        <v>250000</v>
      </c>
      <c r="X566" t="s">
        <v>54</v>
      </c>
      <c r="Y566" t="s">
        <v>3819</v>
      </c>
      <c r="Z566">
        <v>25000</v>
      </c>
      <c r="AA566">
        <v>47</v>
      </c>
      <c r="AB566">
        <v>47</v>
      </c>
      <c r="AC566">
        <v>21</v>
      </c>
      <c r="AD566">
        <v>106</v>
      </c>
      <c r="AE566">
        <v>106</v>
      </c>
      <c r="AF566">
        <v>0</v>
      </c>
      <c r="AG566">
        <v>2</v>
      </c>
      <c r="AH566">
        <v>1.8646450042724609</v>
      </c>
      <c r="AJ566">
        <v>74.191802978515625</v>
      </c>
      <c r="AK566" t="s">
        <v>54</v>
      </c>
      <c r="AL566" t="s">
        <v>54</v>
      </c>
      <c r="AQ566" t="s">
        <v>54</v>
      </c>
      <c r="AW566" t="s">
        <v>53</v>
      </c>
      <c r="AZ566" t="s">
        <v>54</v>
      </c>
      <c r="BA566" t="s">
        <v>2425</v>
      </c>
    </row>
    <row r="567" spans="1:53" x14ac:dyDescent="0.25">
      <c r="A567">
        <v>562</v>
      </c>
      <c r="B567" t="s">
        <v>5392</v>
      </c>
      <c r="C567" t="s">
        <v>5393</v>
      </c>
      <c r="D567" t="s">
        <v>5394</v>
      </c>
      <c r="E567">
        <v>3</v>
      </c>
      <c r="F567" t="s">
        <v>3803</v>
      </c>
      <c r="G567" t="s">
        <v>4495</v>
      </c>
      <c r="H567" t="s">
        <v>4456</v>
      </c>
      <c r="I567" t="s">
        <v>5181</v>
      </c>
      <c r="J567" t="s">
        <v>5322</v>
      </c>
      <c r="K567" t="s">
        <v>5323</v>
      </c>
      <c r="L567" t="s">
        <v>5190</v>
      </c>
      <c r="M567">
        <v>2.9588818550109859</v>
      </c>
      <c r="N567" t="s">
        <v>54</v>
      </c>
      <c r="O567" t="s">
        <v>53</v>
      </c>
      <c r="P567" t="s">
        <v>53</v>
      </c>
      <c r="Q567" t="s">
        <v>53</v>
      </c>
      <c r="R567" t="s">
        <v>53</v>
      </c>
      <c r="S567" t="s">
        <v>4044</v>
      </c>
      <c r="T567" t="s">
        <v>4044</v>
      </c>
      <c r="U567" t="s">
        <v>53</v>
      </c>
      <c r="V567" t="s">
        <v>51</v>
      </c>
      <c r="W567">
        <v>250000</v>
      </c>
      <c r="X567" t="s">
        <v>54</v>
      </c>
      <c r="Y567" t="s">
        <v>3819</v>
      </c>
      <c r="Z567">
        <v>25000</v>
      </c>
      <c r="AA567">
        <v>2</v>
      </c>
      <c r="AB567">
        <v>0</v>
      </c>
      <c r="AC567">
        <v>405</v>
      </c>
      <c r="AD567">
        <v>0</v>
      </c>
      <c r="AE567">
        <v>405</v>
      </c>
      <c r="AF567">
        <v>0</v>
      </c>
      <c r="AG567">
        <v>7</v>
      </c>
      <c r="AH567">
        <v>1.0117700099945071</v>
      </c>
      <c r="AJ567">
        <v>56.787689208984382</v>
      </c>
      <c r="AK567" t="s">
        <v>54</v>
      </c>
      <c r="AL567" t="s">
        <v>54</v>
      </c>
      <c r="AQ567" t="s">
        <v>54</v>
      </c>
      <c r="AW567" t="s">
        <v>53</v>
      </c>
      <c r="AZ567" t="s">
        <v>54</v>
      </c>
      <c r="BA567" t="s">
        <v>2425</v>
      </c>
    </row>
    <row r="568" spans="1:53" x14ac:dyDescent="0.25">
      <c r="A568">
        <v>563</v>
      </c>
      <c r="B568" t="s">
        <v>5395</v>
      </c>
      <c r="C568" t="s">
        <v>5396</v>
      </c>
      <c r="D568" t="s">
        <v>5352</v>
      </c>
      <c r="E568">
        <v>3</v>
      </c>
      <c r="F568" t="s">
        <v>3803</v>
      </c>
      <c r="G568" t="s">
        <v>1081</v>
      </c>
      <c r="H568" t="s">
        <v>4014</v>
      </c>
      <c r="I568" t="s">
        <v>5397</v>
      </c>
      <c r="J568" t="s">
        <v>5398</v>
      </c>
      <c r="K568" t="s">
        <v>5399</v>
      </c>
      <c r="L568" t="s">
        <v>4099</v>
      </c>
      <c r="M568">
        <v>13.56475830078125</v>
      </c>
      <c r="N568" t="s">
        <v>54</v>
      </c>
      <c r="O568" t="s">
        <v>53</v>
      </c>
      <c r="P568" t="s">
        <v>53</v>
      </c>
      <c r="Q568" t="s">
        <v>53</v>
      </c>
      <c r="R568" t="s">
        <v>53</v>
      </c>
      <c r="S568" t="s">
        <v>1616</v>
      </c>
      <c r="T568" t="s">
        <v>1616</v>
      </c>
      <c r="U568" t="s">
        <v>53</v>
      </c>
      <c r="V568" t="s">
        <v>138</v>
      </c>
      <c r="W568">
        <v>500000</v>
      </c>
      <c r="X568" t="s">
        <v>54</v>
      </c>
      <c r="Y568" t="s">
        <v>3982</v>
      </c>
      <c r="Z568">
        <v>50000</v>
      </c>
      <c r="AA568">
        <v>238</v>
      </c>
      <c r="AB568">
        <v>211</v>
      </c>
      <c r="AC568">
        <v>2179</v>
      </c>
      <c r="AD568">
        <v>1335</v>
      </c>
      <c r="AE568">
        <v>2819</v>
      </c>
      <c r="AF568">
        <v>3</v>
      </c>
      <c r="AG568">
        <v>2</v>
      </c>
      <c r="AH568">
        <v>6.2058939933776864</v>
      </c>
      <c r="AJ568">
        <v>107.4017028808594</v>
      </c>
      <c r="AK568" t="s">
        <v>54</v>
      </c>
      <c r="AL568" t="s">
        <v>54</v>
      </c>
      <c r="AQ568" t="s">
        <v>54</v>
      </c>
      <c r="AW568" t="s">
        <v>54</v>
      </c>
      <c r="AZ568" t="s">
        <v>54</v>
      </c>
      <c r="BA568" t="s">
        <v>2425</v>
      </c>
    </row>
    <row r="569" spans="1:53" x14ac:dyDescent="0.25">
      <c r="A569">
        <v>564</v>
      </c>
      <c r="B569" t="s">
        <v>5400</v>
      </c>
      <c r="C569" t="s">
        <v>5401</v>
      </c>
      <c r="D569" t="s">
        <v>5402</v>
      </c>
      <c r="E569">
        <v>3</v>
      </c>
      <c r="F569" t="s">
        <v>3803</v>
      </c>
      <c r="G569" t="s">
        <v>4041</v>
      </c>
      <c r="H569" t="s">
        <v>4161</v>
      </c>
      <c r="I569" t="s">
        <v>4664</v>
      </c>
      <c r="J569" t="s">
        <v>4691</v>
      </c>
      <c r="K569" t="s">
        <v>4692</v>
      </c>
      <c r="L569" t="s">
        <v>4084</v>
      </c>
      <c r="M569">
        <v>5.1961770057678223</v>
      </c>
      <c r="N569" t="s">
        <v>54</v>
      </c>
      <c r="O569" t="s">
        <v>53</v>
      </c>
      <c r="P569" t="s">
        <v>53</v>
      </c>
      <c r="Q569" t="s">
        <v>53</v>
      </c>
      <c r="R569" t="s">
        <v>53</v>
      </c>
      <c r="S569" t="s">
        <v>4667</v>
      </c>
      <c r="T569" t="s">
        <v>4667</v>
      </c>
      <c r="U569" t="s">
        <v>53</v>
      </c>
      <c r="V569" t="s">
        <v>51</v>
      </c>
      <c r="W569">
        <v>427000</v>
      </c>
      <c r="X569" t="s">
        <v>54</v>
      </c>
      <c r="Y569" t="s">
        <v>3819</v>
      </c>
      <c r="Z569">
        <v>42700</v>
      </c>
      <c r="AA569">
        <v>3</v>
      </c>
      <c r="AB569">
        <v>3</v>
      </c>
      <c r="AC569">
        <v>0</v>
      </c>
      <c r="AD569">
        <v>0</v>
      </c>
      <c r="AE569">
        <v>0</v>
      </c>
      <c r="AF569">
        <v>0</v>
      </c>
      <c r="AG569">
        <v>0</v>
      </c>
      <c r="AH569">
        <v>0.538338303565979</v>
      </c>
      <c r="AJ569">
        <v>27.619979858398441</v>
      </c>
      <c r="AK569" t="s">
        <v>54</v>
      </c>
      <c r="AL569" t="s">
        <v>54</v>
      </c>
      <c r="AQ569" t="s">
        <v>54</v>
      </c>
      <c r="AW569" t="s">
        <v>53</v>
      </c>
      <c r="AZ569" t="s">
        <v>54</v>
      </c>
      <c r="BA569" t="s">
        <v>2425</v>
      </c>
    </row>
    <row r="570" spans="1:53" x14ac:dyDescent="0.25">
      <c r="A570">
        <v>565</v>
      </c>
      <c r="B570" t="s">
        <v>5403</v>
      </c>
      <c r="C570" t="s">
        <v>5404</v>
      </c>
      <c r="D570" t="s">
        <v>5405</v>
      </c>
      <c r="E570">
        <v>3</v>
      </c>
      <c r="F570" t="s">
        <v>3803</v>
      </c>
      <c r="G570" t="s">
        <v>4041</v>
      </c>
      <c r="H570" t="s">
        <v>4161</v>
      </c>
      <c r="I570" t="s">
        <v>4747</v>
      </c>
      <c r="J570" t="s">
        <v>4753</v>
      </c>
      <c r="K570" t="s">
        <v>4754</v>
      </c>
      <c r="L570" t="s">
        <v>4084</v>
      </c>
      <c r="M570">
        <v>5.2292623519897461</v>
      </c>
      <c r="N570" t="s">
        <v>54</v>
      </c>
      <c r="O570" t="s">
        <v>53</v>
      </c>
      <c r="P570" t="s">
        <v>53</v>
      </c>
      <c r="Q570" t="s">
        <v>53</v>
      </c>
      <c r="R570" t="s">
        <v>53</v>
      </c>
      <c r="S570" t="s">
        <v>4667</v>
      </c>
      <c r="T570" t="s">
        <v>4667</v>
      </c>
      <c r="U570" t="s">
        <v>53</v>
      </c>
      <c r="V570" t="s">
        <v>51</v>
      </c>
      <c r="W570">
        <v>337000</v>
      </c>
      <c r="X570" t="s">
        <v>54</v>
      </c>
      <c r="Y570" t="s">
        <v>3819</v>
      </c>
      <c r="Z570">
        <v>33700</v>
      </c>
      <c r="AA570">
        <v>165</v>
      </c>
      <c r="AB570">
        <v>156</v>
      </c>
      <c r="AC570">
        <v>1946</v>
      </c>
      <c r="AD570">
        <v>1109</v>
      </c>
      <c r="AE570">
        <v>2782</v>
      </c>
      <c r="AF570">
        <v>1</v>
      </c>
      <c r="AG570">
        <v>0</v>
      </c>
      <c r="AH570">
        <v>5.6545901298522949</v>
      </c>
      <c r="AJ570">
        <v>265.25750732421881</v>
      </c>
      <c r="AK570" t="s">
        <v>54</v>
      </c>
      <c r="AL570" t="s">
        <v>54</v>
      </c>
      <c r="AQ570" t="s">
        <v>54</v>
      </c>
      <c r="AW570" t="s">
        <v>53</v>
      </c>
      <c r="AZ570" t="s">
        <v>54</v>
      </c>
      <c r="BA570" t="s">
        <v>2425</v>
      </c>
    </row>
    <row r="571" spans="1:53" x14ac:dyDescent="0.25">
      <c r="A571">
        <v>566</v>
      </c>
      <c r="B571" t="s">
        <v>5406</v>
      </c>
      <c r="C571" t="s">
        <v>5407</v>
      </c>
      <c r="D571" t="s">
        <v>5408</v>
      </c>
      <c r="E571">
        <v>3</v>
      </c>
      <c r="F571" t="s">
        <v>3803</v>
      </c>
      <c r="G571" t="s">
        <v>4041</v>
      </c>
      <c r="H571" t="s">
        <v>4161</v>
      </c>
      <c r="I571" t="s">
        <v>4664</v>
      </c>
      <c r="J571" t="s">
        <v>4711</v>
      </c>
      <c r="K571" t="s">
        <v>4712</v>
      </c>
      <c r="L571" t="s">
        <v>5409</v>
      </c>
      <c r="M571">
        <v>3.8361272811889648</v>
      </c>
      <c r="N571" t="s">
        <v>54</v>
      </c>
      <c r="O571" t="s">
        <v>53</v>
      </c>
      <c r="P571" t="s">
        <v>53</v>
      </c>
      <c r="Q571" t="s">
        <v>53</v>
      </c>
      <c r="R571" t="s">
        <v>53</v>
      </c>
      <c r="S571" t="s">
        <v>4667</v>
      </c>
      <c r="T571" t="s">
        <v>4667</v>
      </c>
      <c r="U571" t="s">
        <v>53</v>
      </c>
      <c r="V571" t="s">
        <v>51</v>
      </c>
      <c r="W571">
        <v>250000</v>
      </c>
      <c r="X571" t="s">
        <v>54</v>
      </c>
      <c r="Y571" t="s">
        <v>3819</v>
      </c>
      <c r="Z571">
        <v>25000</v>
      </c>
      <c r="AA571">
        <v>18</v>
      </c>
      <c r="AB571">
        <v>7</v>
      </c>
      <c r="AC571">
        <v>1100</v>
      </c>
      <c r="AD571">
        <v>8</v>
      </c>
      <c r="AE571">
        <v>1107</v>
      </c>
      <c r="AF571">
        <v>2</v>
      </c>
      <c r="AG571">
        <v>0</v>
      </c>
      <c r="AH571">
        <v>3.3714649677276611</v>
      </c>
      <c r="AJ571">
        <v>160.7330017089844</v>
      </c>
      <c r="AK571" t="s">
        <v>54</v>
      </c>
      <c r="AL571" t="s">
        <v>54</v>
      </c>
      <c r="AQ571" t="s">
        <v>54</v>
      </c>
      <c r="AW571" t="s">
        <v>53</v>
      </c>
      <c r="AZ571" t="s">
        <v>54</v>
      </c>
      <c r="BA571" t="s">
        <v>2425</v>
      </c>
    </row>
    <row r="572" spans="1:53" x14ac:dyDescent="0.25">
      <c r="A572">
        <v>567</v>
      </c>
      <c r="B572" t="s">
        <v>5410</v>
      </c>
      <c r="C572" t="s">
        <v>5411</v>
      </c>
      <c r="D572" t="s">
        <v>5412</v>
      </c>
      <c r="E572">
        <v>3</v>
      </c>
      <c r="F572" t="s">
        <v>3803</v>
      </c>
      <c r="G572" t="s">
        <v>4041</v>
      </c>
      <c r="H572" t="s">
        <v>4161</v>
      </c>
      <c r="I572" t="s">
        <v>4671</v>
      </c>
      <c r="J572" t="s">
        <v>4672</v>
      </c>
      <c r="K572" t="s">
        <v>4673</v>
      </c>
      <c r="L572" t="s">
        <v>5409</v>
      </c>
      <c r="M572">
        <v>20.948568344116211</v>
      </c>
      <c r="N572" t="s">
        <v>54</v>
      </c>
      <c r="O572" t="s">
        <v>53</v>
      </c>
      <c r="P572" t="s">
        <v>53</v>
      </c>
      <c r="Q572" t="s">
        <v>53</v>
      </c>
      <c r="R572" t="s">
        <v>53</v>
      </c>
      <c r="S572" t="s">
        <v>4667</v>
      </c>
      <c r="T572" t="s">
        <v>4667</v>
      </c>
      <c r="U572" t="s">
        <v>53</v>
      </c>
      <c r="V572" t="s">
        <v>51</v>
      </c>
      <c r="W572">
        <v>250000</v>
      </c>
      <c r="X572" t="s">
        <v>54</v>
      </c>
      <c r="Y572" t="s">
        <v>3819</v>
      </c>
      <c r="Z572">
        <v>25000</v>
      </c>
      <c r="AA572">
        <v>405</v>
      </c>
      <c r="AB572">
        <v>360</v>
      </c>
      <c r="AC572">
        <v>2595</v>
      </c>
      <c r="AD572">
        <v>2024</v>
      </c>
      <c r="AE572">
        <v>4090</v>
      </c>
      <c r="AF572">
        <v>8</v>
      </c>
      <c r="AG572">
        <v>16</v>
      </c>
      <c r="AH572">
        <v>12.705129623413089</v>
      </c>
      <c r="AJ572">
        <v>50.492229461669922</v>
      </c>
      <c r="AK572" t="s">
        <v>54</v>
      </c>
      <c r="AL572" t="s">
        <v>54</v>
      </c>
      <c r="AQ572" t="s">
        <v>54</v>
      </c>
      <c r="AW572" t="s">
        <v>54</v>
      </c>
      <c r="AZ572" t="s">
        <v>54</v>
      </c>
      <c r="BA572" t="s">
        <v>2425</v>
      </c>
    </row>
    <row r="573" spans="1:53" x14ac:dyDescent="0.25">
      <c r="A573">
        <v>568</v>
      </c>
      <c r="B573" t="s">
        <v>5413</v>
      </c>
      <c r="C573" t="s">
        <v>5414</v>
      </c>
      <c r="D573" t="s">
        <v>5415</v>
      </c>
      <c r="E573">
        <v>3</v>
      </c>
      <c r="F573" t="s">
        <v>3803</v>
      </c>
      <c r="G573" t="s">
        <v>4041</v>
      </c>
      <c r="H573" t="s">
        <v>4161</v>
      </c>
      <c r="I573" t="s">
        <v>4664</v>
      </c>
      <c r="J573" t="s">
        <v>4677</v>
      </c>
      <c r="K573" t="s">
        <v>4678</v>
      </c>
      <c r="L573" t="s">
        <v>5409</v>
      </c>
      <c r="M573">
        <v>5.5880069732666016</v>
      </c>
      <c r="N573" t="s">
        <v>54</v>
      </c>
      <c r="O573" t="s">
        <v>53</v>
      </c>
      <c r="P573" t="s">
        <v>53</v>
      </c>
      <c r="Q573" t="s">
        <v>53</v>
      </c>
      <c r="R573" t="s">
        <v>53</v>
      </c>
      <c r="S573" t="s">
        <v>4667</v>
      </c>
      <c r="T573" t="s">
        <v>4667</v>
      </c>
      <c r="U573" t="s">
        <v>53</v>
      </c>
      <c r="V573" t="s">
        <v>51</v>
      </c>
      <c r="W573">
        <v>250000</v>
      </c>
      <c r="X573" t="s">
        <v>54</v>
      </c>
      <c r="Y573" t="s">
        <v>3819</v>
      </c>
      <c r="Z573">
        <v>25000</v>
      </c>
      <c r="AA573">
        <v>61</v>
      </c>
      <c r="AB573">
        <v>60</v>
      </c>
      <c r="AC573">
        <v>89</v>
      </c>
      <c r="AD573">
        <v>344</v>
      </c>
      <c r="AE573">
        <v>350</v>
      </c>
      <c r="AF573">
        <v>1</v>
      </c>
      <c r="AG573">
        <v>5</v>
      </c>
      <c r="AH573">
        <v>2.7339930534362789</v>
      </c>
      <c r="AJ573">
        <v>16.428060531616211</v>
      </c>
      <c r="AK573" t="s">
        <v>54</v>
      </c>
      <c r="AL573" t="s">
        <v>54</v>
      </c>
      <c r="AQ573" t="s">
        <v>54</v>
      </c>
      <c r="AW573" t="s">
        <v>53</v>
      </c>
      <c r="AZ573" t="s">
        <v>54</v>
      </c>
      <c r="BA573" t="s">
        <v>2425</v>
      </c>
    </row>
    <row r="574" spans="1:53" x14ac:dyDescent="0.25">
      <c r="A574">
        <v>569</v>
      </c>
      <c r="B574" t="s">
        <v>5416</v>
      </c>
      <c r="C574" t="s">
        <v>5417</v>
      </c>
      <c r="D574" t="s">
        <v>5418</v>
      </c>
      <c r="E574">
        <v>3</v>
      </c>
      <c r="F574" t="s">
        <v>3803</v>
      </c>
      <c r="G574" t="s">
        <v>4041</v>
      </c>
      <c r="H574" t="s">
        <v>4725</v>
      </c>
      <c r="I574" t="s">
        <v>4726</v>
      </c>
      <c r="J574" t="s">
        <v>4727</v>
      </c>
      <c r="K574" t="s">
        <v>4728</v>
      </c>
      <c r="L574" t="s">
        <v>5409</v>
      </c>
      <c r="M574">
        <v>3.205730676651001</v>
      </c>
      <c r="N574" t="s">
        <v>54</v>
      </c>
      <c r="O574" t="s">
        <v>53</v>
      </c>
      <c r="P574" t="s">
        <v>53</v>
      </c>
      <c r="Q574" t="s">
        <v>53</v>
      </c>
      <c r="R574" t="s">
        <v>53</v>
      </c>
      <c r="S574" t="s">
        <v>4667</v>
      </c>
      <c r="T574" t="s">
        <v>4667</v>
      </c>
      <c r="U574" t="s">
        <v>53</v>
      </c>
      <c r="V574" t="s">
        <v>51</v>
      </c>
      <c r="W574">
        <v>250000</v>
      </c>
      <c r="X574" t="s">
        <v>54</v>
      </c>
      <c r="Y574" t="s">
        <v>3819</v>
      </c>
      <c r="Z574">
        <v>25000</v>
      </c>
      <c r="AA574">
        <v>75</v>
      </c>
      <c r="AB574">
        <v>73</v>
      </c>
      <c r="AC574">
        <v>502</v>
      </c>
      <c r="AD574">
        <v>652</v>
      </c>
      <c r="AE574">
        <v>1003</v>
      </c>
      <c r="AF574">
        <v>2</v>
      </c>
      <c r="AG574">
        <v>4</v>
      </c>
      <c r="AH574">
        <v>1.245695948600769</v>
      </c>
      <c r="AJ574">
        <v>1.2364480495452881</v>
      </c>
      <c r="AK574" t="s">
        <v>54</v>
      </c>
      <c r="AL574" t="s">
        <v>54</v>
      </c>
      <c r="AQ574" t="s">
        <v>54</v>
      </c>
      <c r="AW574" t="s">
        <v>53</v>
      </c>
      <c r="AZ574" t="s">
        <v>54</v>
      </c>
      <c r="BA574" t="s">
        <v>2425</v>
      </c>
    </row>
    <row r="575" spans="1:53" x14ac:dyDescent="0.25">
      <c r="A575">
        <v>570</v>
      </c>
      <c r="B575" t="s">
        <v>5419</v>
      </c>
      <c r="C575" t="s">
        <v>5420</v>
      </c>
      <c r="D575" t="s">
        <v>5421</v>
      </c>
      <c r="E575">
        <v>3</v>
      </c>
      <c r="F575" t="s">
        <v>3803</v>
      </c>
      <c r="G575" t="s">
        <v>4041</v>
      </c>
      <c r="H575" t="s">
        <v>4161</v>
      </c>
      <c r="I575" t="s">
        <v>4682</v>
      </c>
      <c r="J575" t="s">
        <v>5018</v>
      </c>
      <c r="K575" t="s">
        <v>5019</v>
      </c>
      <c r="L575" t="s">
        <v>5409</v>
      </c>
      <c r="M575">
        <v>7.2937140464782706</v>
      </c>
      <c r="N575" t="s">
        <v>54</v>
      </c>
      <c r="O575" t="s">
        <v>53</v>
      </c>
      <c r="P575" t="s">
        <v>53</v>
      </c>
      <c r="Q575" t="s">
        <v>53</v>
      </c>
      <c r="R575" t="s">
        <v>53</v>
      </c>
      <c r="S575" t="s">
        <v>4667</v>
      </c>
      <c r="T575" t="s">
        <v>4667</v>
      </c>
      <c r="U575" t="s">
        <v>53</v>
      </c>
      <c r="V575" t="s">
        <v>51</v>
      </c>
      <c r="W575">
        <v>250000</v>
      </c>
      <c r="X575" t="s">
        <v>54</v>
      </c>
      <c r="Y575" t="s">
        <v>3819</v>
      </c>
      <c r="Z575">
        <v>25000</v>
      </c>
      <c r="AA575">
        <v>42</v>
      </c>
      <c r="AB575">
        <v>39</v>
      </c>
      <c r="AC575">
        <v>242</v>
      </c>
      <c r="AD575">
        <v>135</v>
      </c>
      <c r="AE575">
        <v>332</v>
      </c>
      <c r="AF575">
        <v>2</v>
      </c>
      <c r="AG575">
        <v>2</v>
      </c>
      <c r="AH575">
        <v>2.2571630477905269</v>
      </c>
      <c r="AJ575">
        <v>48.450889587402337</v>
      </c>
      <c r="AK575" t="s">
        <v>54</v>
      </c>
      <c r="AL575" t="s">
        <v>54</v>
      </c>
      <c r="AQ575" t="s">
        <v>54</v>
      </c>
      <c r="AW575" t="s">
        <v>53</v>
      </c>
      <c r="AZ575" t="s">
        <v>54</v>
      </c>
      <c r="BA575" t="s">
        <v>2425</v>
      </c>
    </row>
    <row r="576" spans="1:53" x14ac:dyDescent="0.25">
      <c r="A576">
        <v>571</v>
      </c>
      <c r="B576" t="s">
        <v>5422</v>
      </c>
      <c r="C576" t="s">
        <v>5423</v>
      </c>
      <c r="D576" t="s">
        <v>5424</v>
      </c>
      <c r="E576">
        <v>3</v>
      </c>
      <c r="F576" t="s">
        <v>3803</v>
      </c>
      <c r="G576" t="s">
        <v>4041</v>
      </c>
      <c r="H576" t="s">
        <v>4161</v>
      </c>
      <c r="I576" t="s">
        <v>4747</v>
      </c>
      <c r="J576" t="s">
        <v>4748</v>
      </c>
      <c r="K576" t="s">
        <v>4749</v>
      </c>
      <c r="L576" t="s">
        <v>5425</v>
      </c>
      <c r="M576">
        <v>3.141670703887939</v>
      </c>
      <c r="N576" t="s">
        <v>54</v>
      </c>
      <c r="O576" t="s">
        <v>53</v>
      </c>
      <c r="P576" t="s">
        <v>53</v>
      </c>
      <c r="Q576" t="s">
        <v>53</v>
      </c>
      <c r="R576" t="s">
        <v>53</v>
      </c>
      <c r="S576" t="s">
        <v>4667</v>
      </c>
      <c r="T576" t="s">
        <v>4667</v>
      </c>
      <c r="U576" t="s">
        <v>53</v>
      </c>
      <c r="V576" t="s">
        <v>51</v>
      </c>
      <c r="W576">
        <v>250000</v>
      </c>
      <c r="X576" t="s">
        <v>54</v>
      </c>
      <c r="Y576" t="s">
        <v>3819</v>
      </c>
      <c r="Z576">
        <v>25000</v>
      </c>
      <c r="AA576">
        <v>140</v>
      </c>
      <c r="AB576">
        <v>133</v>
      </c>
      <c r="AC576">
        <v>934</v>
      </c>
      <c r="AD576">
        <v>1097</v>
      </c>
      <c r="AE576">
        <v>1761</v>
      </c>
      <c r="AF576">
        <v>1</v>
      </c>
      <c r="AG576">
        <v>0</v>
      </c>
      <c r="AH576">
        <v>4.8453688621520996</v>
      </c>
      <c r="AJ576">
        <v>168.96440124511719</v>
      </c>
      <c r="AK576" t="s">
        <v>54</v>
      </c>
      <c r="AL576" t="s">
        <v>54</v>
      </c>
      <c r="AQ576" t="s">
        <v>54</v>
      </c>
      <c r="AW576" t="s">
        <v>53</v>
      </c>
      <c r="AZ576" t="s">
        <v>54</v>
      </c>
      <c r="BA576" t="s">
        <v>2425</v>
      </c>
    </row>
    <row r="577" spans="1:53" x14ac:dyDescent="0.25">
      <c r="A577">
        <v>572</v>
      </c>
      <c r="B577" t="s">
        <v>5426</v>
      </c>
      <c r="C577" t="s">
        <v>5427</v>
      </c>
      <c r="D577" t="s">
        <v>5428</v>
      </c>
      <c r="E577">
        <v>3</v>
      </c>
      <c r="F577" t="s">
        <v>3803</v>
      </c>
      <c r="G577" t="s">
        <v>4041</v>
      </c>
      <c r="H577" t="s">
        <v>4161</v>
      </c>
      <c r="I577" t="s">
        <v>4671</v>
      </c>
      <c r="J577" t="s">
        <v>4672</v>
      </c>
      <c r="K577" t="s">
        <v>4673</v>
      </c>
      <c r="L577" t="s">
        <v>5425</v>
      </c>
      <c r="M577">
        <v>20.948568344116211</v>
      </c>
      <c r="N577" t="s">
        <v>54</v>
      </c>
      <c r="O577" t="s">
        <v>53</v>
      </c>
      <c r="P577" t="s">
        <v>53</v>
      </c>
      <c r="Q577" t="s">
        <v>53</v>
      </c>
      <c r="R577" t="s">
        <v>53</v>
      </c>
      <c r="S577" t="s">
        <v>4667</v>
      </c>
      <c r="T577" t="s">
        <v>4667</v>
      </c>
      <c r="U577" t="s">
        <v>53</v>
      </c>
      <c r="V577" t="s">
        <v>51</v>
      </c>
      <c r="W577">
        <v>250000</v>
      </c>
      <c r="X577" t="s">
        <v>54</v>
      </c>
      <c r="Y577" t="s">
        <v>3819</v>
      </c>
      <c r="Z577">
        <v>25000</v>
      </c>
      <c r="AA577">
        <v>405</v>
      </c>
      <c r="AB577">
        <v>360</v>
      </c>
      <c r="AC577">
        <v>2595</v>
      </c>
      <c r="AD577">
        <v>2024</v>
      </c>
      <c r="AE577">
        <v>4090</v>
      </c>
      <c r="AF577">
        <v>8</v>
      </c>
      <c r="AG577">
        <v>16</v>
      </c>
      <c r="AH577">
        <v>12.705129623413089</v>
      </c>
      <c r="AJ577">
        <v>50.492229461669922</v>
      </c>
      <c r="AK577" t="s">
        <v>54</v>
      </c>
      <c r="AL577" t="s">
        <v>54</v>
      </c>
      <c r="AQ577" t="s">
        <v>54</v>
      </c>
      <c r="AW577" t="s">
        <v>54</v>
      </c>
      <c r="AZ577" t="s">
        <v>54</v>
      </c>
      <c r="BA577" t="s">
        <v>2425</v>
      </c>
    </row>
    <row r="578" spans="1:53" x14ac:dyDescent="0.25">
      <c r="A578">
        <v>573</v>
      </c>
      <c r="B578" t="s">
        <v>5429</v>
      </c>
      <c r="C578" t="s">
        <v>5430</v>
      </c>
      <c r="D578" t="s">
        <v>5352</v>
      </c>
      <c r="E578">
        <v>3</v>
      </c>
      <c r="F578" t="s">
        <v>3803</v>
      </c>
      <c r="G578" t="s">
        <v>5108</v>
      </c>
      <c r="H578" t="s">
        <v>5431</v>
      </c>
      <c r="I578" t="s">
        <v>5432</v>
      </c>
      <c r="J578" t="s">
        <v>5433</v>
      </c>
      <c r="K578" t="s">
        <v>5434</v>
      </c>
      <c r="L578" t="s">
        <v>4099</v>
      </c>
      <c r="M578">
        <v>26.150350570678711</v>
      </c>
      <c r="N578" t="s">
        <v>54</v>
      </c>
      <c r="O578" t="s">
        <v>53</v>
      </c>
      <c r="P578" t="s">
        <v>53</v>
      </c>
      <c r="Q578" t="s">
        <v>53</v>
      </c>
      <c r="R578" t="s">
        <v>53</v>
      </c>
      <c r="S578" t="s">
        <v>5435</v>
      </c>
      <c r="T578" t="s">
        <v>5435</v>
      </c>
      <c r="U578" t="s">
        <v>53</v>
      </c>
      <c r="V578" t="s">
        <v>138</v>
      </c>
      <c r="W578">
        <v>500000</v>
      </c>
      <c r="X578" t="s">
        <v>54</v>
      </c>
      <c r="Y578" t="s">
        <v>3819</v>
      </c>
      <c r="Z578">
        <v>50000</v>
      </c>
      <c r="AA578">
        <v>520</v>
      </c>
      <c r="AB578">
        <v>468</v>
      </c>
      <c r="AC578">
        <v>1442</v>
      </c>
      <c r="AD578">
        <v>1159</v>
      </c>
      <c r="AE578">
        <v>2170</v>
      </c>
      <c r="AF578">
        <v>5</v>
      </c>
      <c r="AG578">
        <v>6</v>
      </c>
      <c r="AH578">
        <v>17.589120864868161</v>
      </c>
      <c r="AJ578">
        <v>759.00537109375</v>
      </c>
      <c r="AK578" t="s">
        <v>54</v>
      </c>
      <c r="AL578" t="s">
        <v>54</v>
      </c>
      <c r="AQ578" t="s">
        <v>54</v>
      </c>
      <c r="AW578" t="s">
        <v>54</v>
      </c>
      <c r="AZ578" t="s">
        <v>54</v>
      </c>
      <c r="BA578" t="s">
        <v>2425</v>
      </c>
    </row>
    <row r="579" spans="1:53" x14ac:dyDescent="0.25">
      <c r="A579">
        <v>574</v>
      </c>
      <c r="B579" t="s">
        <v>5436</v>
      </c>
      <c r="C579" t="s">
        <v>5437</v>
      </c>
      <c r="D579" t="s">
        <v>5438</v>
      </c>
      <c r="E579">
        <v>3</v>
      </c>
      <c r="F579" t="s">
        <v>3803</v>
      </c>
      <c r="G579" t="s">
        <v>4495</v>
      </c>
      <c r="H579" t="s">
        <v>5439</v>
      </c>
      <c r="I579" t="s">
        <v>4081</v>
      </c>
      <c r="J579" t="s">
        <v>4082</v>
      </c>
      <c r="K579" t="s">
        <v>4083</v>
      </c>
      <c r="L579" t="s">
        <v>4099</v>
      </c>
      <c r="M579">
        <v>67.816558837890625</v>
      </c>
      <c r="N579" t="s">
        <v>54</v>
      </c>
      <c r="O579" t="s">
        <v>53</v>
      </c>
      <c r="P579" t="s">
        <v>53</v>
      </c>
      <c r="Q579" t="s">
        <v>53</v>
      </c>
      <c r="R579" t="s">
        <v>53</v>
      </c>
      <c r="S579" t="s">
        <v>4085</v>
      </c>
      <c r="T579" t="s">
        <v>4085</v>
      </c>
      <c r="U579" t="s">
        <v>53</v>
      </c>
      <c r="V579" t="s">
        <v>138</v>
      </c>
      <c r="W579">
        <v>1000000</v>
      </c>
      <c r="X579" t="s">
        <v>54</v>
      </c>
      <c r="Y579" t="s">
        <v>3819</v>
      </c>
      <c r="Z579">
        <v>100000</v>
      </c>
      <c r="AA579">
        <v>4589</v>
      </c>
      <c r="AB579">
        <v>4495</v>
      </c>
      <c r="AC579">
        <v>20937</v>
      </c>
      <c r="AD579">
        <v>26784</v>
      </c>
      <c r="AE579">
        <v>40893</v>
      </c>
      <c r="AF579">
        <v>31</v>
      </c>
      <c r="AG579">
        <v>30</v>
      </c>
      <c r="AH579">
        <v>85.327507019042969</v>
      </c>
      <c r="AJ579">
        <v>1397.400024414062</v>
      </c>
      <c r="AK579" t="s">
        <v>54</v>
      </c>
      <c r="AL579" t="s">
        <v>54</v>
      </c>
      <c r="AQ579" t="s">
        <v>54</v>
      </c>
      <c r="AW579" t="s">
        <v>54</v>
      </c>
      <c r="AZ579" t="s">
        <v>54</v>
      </c>
      <c r="BA579" t="s">
        <v>2425</v>
      </c>
    </row>
    <row r="580" spans="1:53" x14ac:dyDescent="0.25">
      <c r="A580">
        <v>575</v>
      </c>
      <c r="B580" t="s">
        <v>5440</v>
      </c>
      <c r="C580" t="s">
        <v>5441</v>
      </c>
      <c r="D580" t="s">
        <v>5442</v>
      </c>
      <c r="E580">
        <v>4</v>
      </c>
      <c r="F580" t="s">
        <v>5443</v>
      </c>
      <c r="G580" t="s">
        <v>5444</v>
      </c>
      <c r="H580" t="s">
        <v>5445</v>
      </c>
      <c r="I580" t="s">
        <v>5446</v>
      </c>
      <c r="J580" t="s">
        <v>5447</v>
      </c>
      <c r="K580" t="s">
        <v>5448</v>
      </c>
      <c r="L580" t="s">
        <v>5449</v>
      </c>
      <c r="M580">
        <v>879.44439697265625</v>
      </c>
      <c r="N580" t="s">
        <v>54</v>
      </c>
      <c r="O580" t="s">
        <v>53</v>
      </c>
      <c r="P580" t="s">
        <v>53</v>
      </c>
      <c r="Q580" t="s">
        <v>53</v>
      </c>
      <c r="R580" t="s">
        <v>53</v>
      </c>
      <c r="S580" t="s">
        <v>3908</v>
      </c>
      <c r="T580" t="s">
        <v>3908</v>
      </c>
      <c r="U580" t="s">
        <v>54</v>
      </c>
      <c r="V580" t="s">
        <v>138</v>
      </c>
      <c r="W580">
        <v>4000000</v>
      </c>
      <c r="X580" t="s">
        <v>54</v>
      </c>
      <c r="AA580">
        <v>2297</v>
      </c>
      <c r="AB580">
        <v>1325</v>
      </c>
      <c r="AC580">
        <v>5968</v>
      </c>
      <c r="AD580">
        <v>2985</v>
      </c>
      <c r="AE580">
        <v>5968</v>
      </c>
      <c r="AF580">
        <v>45</v>
      </c>
      <c r="AG580">
        <v>10</v>
      </c>
      <c r="AH580">
        <v>137.46000671386719</v>
      </c>
      <c r="AI580">
        <v>10</v>
      </c>
      <c r="AJ580">
        <v>5.630000114440918</v>
      </c>
      <c r="AK580" t="s">
        <v>54</v>
      </c>
      <c r="AL580" t="s">
        <v>54</v>
      </c>
      <c r="AM580" t="s">
        <v>5450</v>
      </c>
      <c r="AP580" t="s">
        <v>5451</v>
      </c>
      <c r="AQ580" t="s">
        <v>54</v>
      </c>
      <c r="AT580" t="s">
        <v>5452</v>
      </c>
      <c r="AW580" t="s">
        <v>53</v>
      </c>
      <c r="AZ580" t="s">
        <v>54</v>
      </c>
      <c r="BA580" t="s">
        <v>5453</v>
      </c>
    </row>
    <row r="581" spans="1:53" x14ac:dyDescent="0.25">
      <c r="A581">
        <v>576</v>
      </c>
      <c r="B581" t="s">
        <v>5454</v>
      </c>
      <c r="C581" t="s">
        <v>5455</v>
      </c>
      <c r="D581" t="s">
        <v>5442</v>
      </c>
      <c r="E581">
        <v>4</v>
      </c>
      <c r="F581" t="s">
        <v>5443</v>
      </c>
      <c r="G581" t="s">
        <v>5456</v>
      </c>
      <c r="H581" t="s">
        <v>5457</v>
      </c>
      <c r="I581" t="s">
        <v>5458</v>
      </c>
      <c r="J581" t="s">
        <v>5459</v>
      </c>
      <c r="K581" t="s">
        <v>5460</v>
      </c>
      <c r="L581" t="s">
        <v>5461</v>
      </c>
      <c r="M581">
        <v>965.89752197265625</v>
      </c>
      <c r="N581" t="s">
        <v>54</v>
      </c>
      <c r="O581" t="s">
        <v>53</v>
      </c>
      <c r="P581" t="s">
        <v>53</v>
      </c>
      <c r="Q581" t="s">
        <v>53</v>
      </c>
      <c r="R581" t="s">
        <v>53</v>
      </c>
      <c r="S581" t="s">
        <v>5462</v>
      </c>
      <c r="T581" t="s">
        <v>5462</v>
      </c>
      <c r="U581" t="s">
        <v>54</v>
      </c>
      <c r="V581" t="s">
        <v>138</v>
      </c>
      <c r="W581">
        <v>700000</v>
      </c>
      <c r="X581" t="s">
        <v>54</v>
      </c>
      <c r="AA581">
        <v>945</v>
      </c>
      <c r="AB581">
        <v>915</v>
      </c>
      <c r="AC581">
        <v>1679</v>
      </c>
      <c r="AD581">
        <v>1739</v>
      </c>
      <c r="AE581">
        <v>1739</v>
      </c>
      <c r="AF581">
        <v>15</v>
      </c>
      <c r="AG581">
        <v>5</v>
      </c>
      <c r="AH581">
        <v>66.959999084472656</v>
      </c>
      <c r="AI581">
        <v>5</v>
      </c>
      <c r="AJ581">
        <v>1.669999957084656</v>
      </c>
      <c r="AK581" t="s">
        <v>54</v>
      </c>
      <c r="AL581" t="s">
        <v>54</v>
      </c>
      <c r="AM581" t="s">
        <v>5450</v>
      </c>
      <c r="AP581" t="s">
        <v>5451</v>
      </c>
      <c r="AQ581" t="s">
        <v>54</v>
      </c>
      <c r="AT581" t="s">
        <v>5452</v>
      </c>
      <c r="AW581" t="s">
        <v>53</v>
      </c>
      <c r="AZ581" t="s">
        <v>54</v>
      </c>
      <c r="BA581" t="s">
        <v>5453</v>
      </c>
    </row>
    <row r="582" spans="1:53" x14ac:dyDescent="0.25">
      <c r="A582">
        <v>577</v>
      </c>
      <c r="B582" t="s">
        <v>5463</v>
      </c>
      <c r="C582" t="s">
        <v>5464</v>
      </c>
      <c r="D582" t="s">
        <v>5442</v>
      </c>
      <c r="E582">
        <v>4</v>
      </c>
      <c r="F582" t="s">
        <v>5443</v>
      </c>
      <c r="G582" t="s">
        <v>5465</v>
      </c>
      <c r="H582" t="s">
        <v>5457</v>
      </c>
      <c r="I582" t="s">
        <v>5466</v>
      </c>
      <c r="J582" t="s">
        <v>5467</v>
      </c>
      <c r="K582" t="s">
        <v>5468</v>
      </c>
      <c r="L582" t="s">
        <v>5449</v>
      </c>
      <c r="M582">
        <v>936.0982666015625</v>
      </c>
      <c r="N582" t="s">
        <v>54</v>
      </c>
      <c r="O582" t="s">
        <v>54</v>
      </c>
      <c r="P582" t="s">
        <v>53</v>
      </c>
      <c r="Q582" t="s">
        <v>53</v>
      </c>
      <c r="R582" t="s">
        <v>53</v>
      </c>
      <c r="S582" t="s">
        <v>5469</v>
      </c>
      <c r="T582" t="s">
        <v>5469</v>
      </c>
      <c r="U582" t="s">
        <v>54</v>
      </c>
      <c r="V582" t="s">
        <v>138</v>
      </c>
      <c r="W582">
        <v>2340000</v>
      </c>
      <c r="X582" t="s">
        <v>54</v>
      </c>
      <c r="AA582">
        <v>3237</v>
      </c>
      <c r="AB582">
        <v>1990</v>
      </c>
      <c r="AC582">
        <v>1928</v>
      </c>
      <c r="AD582">
        <v>2585</v>
      </c>
      <c r="AE582">
        <v>3373</v>
      </c>
      <c r="AF582">
        <v>324</v>
      </c>
      <c r="AG582">
        <v>10</v>
      </c>
      <c r="AH582">
        <v>152.48277282714841</v>
      </c>
      <c r="AI582">
        <v>10</v>
      </c>
      <c r="AJ582">
        <v>8621.1201171875</v>
      </c>
      <c r="AK582" t="s">
        <v>54</v>
      </c>
      <c r="AL582" t="s">
        <v>54</v>
      </c>
      <c r="AM582" t="s">
        <v>5450</v>
      </c>
      <c r="AP582" t="s">
        <v>5451</v>
      </c>
      <c r="AQ582" t="s">
        <v>53</v>
      </c>
      <c r="AT582" t="s">
        <v>5452</v>
      </c>
      <c r="AW582" t="s">
        <v>53</v>
      </c>
      <c r="AZ582" t="s">
        <v>54</v>
      </c>
      <c r="BA582" t="s">
        <v>5453</v>
      </c>
    </row>
    <row r="583" spans="1:53" x14ac:dyDescent="0.25">
      <c r="A583">
        <v>578</v>
      </c>
      <c r="B583" t="s">
        <v>5470</v>
      </c>
      <c r="C583" t="s">
        <v>5471</v>
      </c>
      <c r="D583" t="s">
        <v>5442</v>
      </c>
      <c r="E583">
        <v>4</v>
      </c>
      <c r="F583" t="s">
        <v>5443</v>
      </c>
      <c r="G583" t="s">
        <v>5472</v>
      </c>
      <c r="H583" t="s">
        <v>5473</v>
      </c>
      <c r="I583" t="s">
        <v>5474</v>
      </c>
      <c r="J583" t="s">
        <v>5475</v>
      </c>
      <c r="K583" t="s">
        <v>5476</v>
      </c>
      <c r="L583" t="s">
        <v>5449</v>
      </c>
      <c r="M583">
        <v>946.08612060546875</v>
      </c>
      <c r="N583" t="s">
        <v>54</v>
      </c>
      <c r="O583" t="s">
        <v>53</v>
      </c>
      <c r="P583" t="s">
        <v>53</v>
      </c>
      <c r="Q583" t="s">
        <v>53</v>
      </c>
      <c r="R583" t="s">
        <v>53</v>
      </c>
      <c r="S583" t="s">
        <v>5477</v>
      </c>
      <c r="T583" t="s">
        <v>5477</v>
      </c>
      <c r="U583" t="s">
        <v>54</v>
      </c>
      <c r="V583" t="s">
        <v>138</v>
      </c>
      <c r="W583">
        <v>4275000</v>
      </c>
      <c r="X583" t="s">
        <v>54</v>
      </c>
      <c r="AA583">
        <v>1303</v>
      </c>
      <c r="AB583">
        <v>767</v>
      </c>
      <c r="AC583">
        <v>1990</v>
      </c>
      <c r="AD583">
        <v>1213</v>
      </c>
      <c r="AE583">
        <v>2893</v>
      </c>
      <c r="AF583">
        <v>7</v>
      </c>
      <c r="AG583">
        <v>0</v>
      </c>
      <c r="AH583">
        <v>61.195247650146477</v>
      </c>
      <c r="AI583">
        <v>0</v>
      </c>
      <c r="AJ583">
        <v>10558.55078125</v>
      </c>
      <c r="AK583" t="s">
        <v>54</v>
      </c>
      <c r="AL583" t="s">
        <v>54</v>
      </c>
      <c r="AM583" t="s">
        <v>5450</v>
      </c>
      <c r="AP583" t="s">
        <v>5451</v>
      </c>
      <c r="AQ583" t="s">
        <v>54</v>
      </c>
      <c r="AT583" t="s">
        <v>5452</v>
      </c>
      <c r="AW583" t="s">
        <v>53</v>
      </c>
      <c r="AZ583" t="s">
        <v>54</v>
      </c>
      <c r="BA583" t="s">
        <v>5453</v>
      </c>
    </row>
    <row r="584" spans="1:53" x14ac:dyDescent="0.25">
      <c r="A584">
        <v>579</v>
      </c>
      <c r="B584" t="s">
        <v>5478</v>
      </c>
      <c r="C584" t="s">
        <v>5479</v>
      </c>
      <c r="D584" t="s">
        <v>5480</v>
      </c>
      <c r="E584">
        <v>4</v>
      </c>
      <c r="F584" t="s">
        <v>5443</v>
      </c>
      <c r="G584" t="s">
        <v>5472</v>
      </c>
      <c r="H584" t="s">
        <v>5473</v>
      </c>
      <c r="I584" t="s">
        <v>5481</v>
      </c>
      <c r="J584" t="s">
        <v>5475</v>
      </c>
      <c r="K584" t="s">
        <v>5476</v>
      </c>
      <c r="L584" t="s">
        <v>5449</v>
      </c>
      <c r="M584">
        <v>946.08612060546875</v>
      </c>
      <c r="N584" t="s">
        <v>54</v>
      </c>
      <c r="O584" t="s">
        <v>53</v>
      </c>
      <c r="P584" t="s">
        <v>53</v>
      </c>
      <c r="Q584" t="s">
        <v>53</v>
      </c>
      <c r="R584" t="s">
        <v>53</v>
      </c>
      <c r="S584" t="s">
        <v>5477</v>
      </c>
      <c r="T584" t="s">
        <v>5477</v>
      </c>
      <c r="U584" t="s">
        <v>54</v>
      </c>
      <c r="V584" t="s">
        <v>138</v>
      </c>
      <c r="W584">
        <v>1900000</v>
      </c>
      <c r="X584" t="s">
        <v>54</v>
      </c>
      <c r="AA584">
        <v>1303</v>
      </c>
      <c r="AB584">
        <v>767</v>
      </c>
      <c r="AC584">
        <v>1990</v>
      </c>
      <c r="AD584">
        <v>1213</v>
      </c>
      <c r="AE584">
        <v>2893</v>
      </c>
      <c r="AF584">
        <v>7</v>
      </c>
      <c r="AG584">
        <v>0</v>
      </c>
      <c r="AH584">
        <v>61.195247650146477</v>
      </c>
      <c r="AI584">
        <v>0</v>
      </c>
      <c r="AJ584">
        <v>10558.55078125</v>
      </c>
      <c r="AK584" t="s">
        <v>54</v>
      </c>
      <c r="AL584" t="s">
        <v>54</v>
      </c>
      <c r="AM584" t="s">
        <v>5450</v>
      </c>
      <c r="AP584" t="s">
        <v>5451</v>
      </c>
      <c r="AQ584" t="s">
        <v>54</v>
      </c>
      <c r="AT584" t="s">
        <v>5452</v>
      </c>
      <c r="AW584" t="s">
        <v>53</v>
      </c>
      <c r="AZ584" t="s">
        <v>54</v>
      </c>
      <c r="BA584" t="s">
        <v>5453</v>
      </c>
    </row>
    <row r="585" spans="1:53" x14ac:dyDescent="0.25">
      <c r="A585">
        <v>580</v>
      </c>
      <c r="B585" t="s">
        <v>5482</v>
      </c>
      <c r="C585" t="s">
        <v>5483</v>
      </c>
      <c r="D585" t="s">
        <v>5442</v>
      </c>
      <c r="E585">
        <v>4</v>
      </c>
      <c r="F585" t="s">
        <v>5443</v>
      </c>
      <c r="G585" t="s">
        <v>5443</v>
      </c>
      <c r="H585" t="s">
        <v>5484</v>
      </c>
      <c r="I585" t="s">
        <v>5485</v>
      </c>
      <c r="J585" t="s">
        <v>5486</v>
      </c>
      <c r="K585" t="s">
        <v>5487</v>
      </c>
      <c r="L585" t="s">
        <v>5449</v>
      </c>
      <c r="M585">
        <v>573.9932861328125</v>
      </c>
      <c r="N585" t="s">
        <v>54</v>
      </c>
      <c r="O585" t="s">
        <v>53</v>
      </c>
      <c r="P585" t="s">
        <v>53</v>
      </c>
      <c r="Q585" t="s">
        <v>53</v>
      </c>
      <c r="R585" t="s">
        <v>53</v>
      </c>
      <c r="S585" t="s">
        <v>5488</v>
      </c>
      <c r="T585" t="s">
        <v>5488</v>
      </c>
      <c r="U585" t="s">
        <v>54</v>
      </c>
      <c r="V585" t="s">
        <v>138</v>
      </c>
      <c r="W585">
        <v>1100000</v>
      </c>
      <c r="X585" t="s">
        <v>54</v>
      </c>
      <c r="AA585">
        <v>1611</v>
      </c>
      <c r="AB585">
        <v>1245</v>
      </c>
      <c r="AC585">
        <v>338</v>
      </c>
      <c r="AD585">
        <v>762</v>
      </c>
      <c r="AE585">
        <v>764</v>
      </c>
      <c r="AF585">
        <v>0</v>
      </c>
      <c r="AG585">
        <v>6</v>
      </c>
      <c r="AH585">
        <v>32.798725128173828</v>
      </c>
      <c r="AI585">
        <v>6</v>
      </c>
      <c r="AJ585">
        <v>2311.069580078125</v>
      </c>
      <c r="AK585" t="s">
        <v>54</v>
      </c>
      <c r="AL585" t="s">
        <v>54</v>
      </c>
      <c r="AM585" t="s">
        <v>5450</v>
      </c>
      <c r="AP585" t="s">
        <v>5451</v>
      </c>
      <c r="AQ585" t="s">
        <v>53</v>
      </c>
      <c r="AT585" t="s">
        <v>5489</v>
      </c>
      <c r="AW585" t="s">
        <v>53</v>
      </c>
      <c r="AZ585" t="s">
        <v>54</v>
      </c>
      <c r="BA585" t="s">
        <v>5453</v>
      </c>
    </row>
    <row r="586" spans="1:53" x14ac:dyDescent="0.25">
      <c r="A586">
        <v>581</v>
      </c>
      <c r="B586" t="s">
        <v>5490</v>
      </c>
      <c r="C586" t="s">
        <v>5491</v>
      </c>
      <c r="D586" t="s">
        <v>5480</v>
      </c>
      <c r="E586">
        <v>4</v>
      </c>
      <c r="F586" t="s">
        <v>5443</v>
      </c>
      <c r="G586" t="s">
        <v>5443</v>
      </c>
      <c r="H586" t="s">
        <v>5484</v>
      </c>
      <c r="I586" t="s">
        <v>5485</v>
      </c>
      <c r="J586" t="s">
        <v>5486</v>
      </c>
      <c r="K586" t="s">
        <v>5487</v>
      </c>
      <c r="L586" t="s">
        <v>5449</v>
      </c>
      <c r="M586">
        <v>573.9932861328125</v>
      </c>
      <c r="N586" t="s">
        <v>54</v>
      </c>
      <c r="O586" t="s">
        <v>53</v>
      </c>
      <c r="P586" t="s">
        <v>53</v>
      </c>
      <c r="Q586" t="s">
        <v>53</v>
      </c>
      <c r="R586" t="s">
        <v>53</v>
      </c>
      <c r="S586" t="s">
        <v>5488</v>
      </c>
      <c r="T586" t="s">
        <v>5488</v>
      </c>
      <c r="U586" t="s">
        <v>54</v>
      </c>
      <c r="V586" t="s">
        <v>138</v>
      </c>
      <c r="W586">
        <v>460000</v>
      </c>
      <c r="X586" t="s">
        <v>54</v>
      </c>
      <c r="AA586">
        <v>1611</v>
      </c>
      <c r="AB586">
        <v>1245</v>
      </c>
      <c r="AC586">
        <v>338</v>
      </c>
      <c r="AD586">
        <v>762</v>
      </c>
      <c r="AE586">
        <v>764</v>
      </c>
      <c r="AF586">
        <v>0</v>
      </c>
      <c r="AG586">
        <v>6</v>
      </c>
      <c r="AH586">
        <v>32.798725128173828</v>
      </c>
      <c r="AI586">
        <v>6</v>
      </c>
      <c r="AJ586">
        <v>2311.069580078125</v>
      </c>
      <c r="AK586" t="s">
        <v>54</v>
      </c>
      <c r="AL586" t="s">
        <v>54</v>
      </c>
      <c r="AM586" t="s">
        <v>5450</v>
      </c>
      <c r="AP586" t="s">
        <v>5451</v>
      </c>
      <c r="AQ586" t="s">
        <v>53</v>
      </c>
      <c r="AT586" t="s">
        <v>5489</v>
      </c>
      <c r="AW586" t="s">
        <v>53</v>
      </c>
      <c r="AZ586" t="s">
        <v>54</v>
      </c>
      <c r="BA586" t="s">
        <v>5453</v>
      </c>
    </row>
    <row r="587" spans="1:53" x14ac:dyDescent="0.25">
      <c r="A587">
        <v>582</v>
      </c>
      <c r="B587" t="s">
        <v>5492</v>
      </c>
      <c r="C587" t="s">
        <v>5493</v>
      </c>
      <c r="D587" t="s">
        <v>5442</v>
      </c>
      <c r="E587">
        <v>4</v>
      </c>
      <c r="F587" t="s">
        <v>5443</v>
      </c>
      <c r="G587" t="s">
        <v>5494</v>
      </c>
      <c r="H587" t="s">
        <v>5484</v>
      </c>
      <c r="I587" t="s">
        <v>5495</v>
      </c>
      <c r="J587" t="s">
        <v>5496</v>
      </c>
      <c r="K587" t="s">
        <v>5497</v>
      </c>
      <c r="L587" t="s">
        <v>5449</v>
      </c>
      <c r="M587">
        <v>590.06939697265625</v>
      </c>
      <c r="N587" t="s">
        <v>54</v>
      </c>
      <c r="O587" t="s">
        <v>53</v>
      </c>
      <c r="P587" t="s">
        <v>53</v>
      </c>
      <c r="Q587" t="s">
        <v>53</v>
      </c>
      <c r="R587" t="s">
        <v>53</v>
      </c>
      <c r="S587" t="s">
        <v>5498</v>
      </c>
      <c r="T587" t="s">
        <v>5498</v>
      </c>
      <c r="U587" t="s">
        <v>54</v>
      </c>
      <c r="V587" t="s">
        <v>138</v>
      </c>
      <c r="W587">
        <v>100000</v>
      </c>
      <c r="X587" t="s">
        <v>54</v>
      </c>
      <c r="AA587">
        <v>1</v>
      </c>
      <c r="AB587">
        <v>0</v>
      </c>
      <c r="AC587">
        <v>0</v>
      </c>
      <c r="AD587">
        <v>0</v>
      </c>
      <c r="AE587">
        <v>0</v>
      </c>
      <c r="AF587">
        <v>0</v>
      </c>
      <c r="AG587">
        <v>0</v>
      </c>
      <c r="AH587">
        <v>1.7511260509490969</v>
      </c>
      <c r="AI587">
        <v>0</v>
      </c>
      <c r="AJ587">
        <v>345.5302734375</v>
      </c>
      <c r="AK587" t="s">
        <v>54</v>
      </c>
      <c r="AL587" t="s">
        <v>54</v>
      </c>
      <c r="AM587" t="s">
        <v>5450</v>
      </c>
      <c r="AP587" t="s">
        <v>5451</v>
      </c>
      <c r="AQ587" t="s">
        <v>53</v>
      </c>
      <c r="AT587" t="s">
        <v>5489</v>
      </c>
      <c r="AW587" t="s">
        <v>53</v>
      </c>
      <c r="AZ587" t="s">
        <v>54</v>
      </c>
      <c r="BA587" t="s">
        <v>5453</v>
      </c>
    </row>
    <row r="588" spans="1:53" x14ac:dyDescent="0.25">
      <c r="A588">
        <v>583</v>
      </c>
      <c r="B588" t="s">
        <v>5499</v>
      </c>
      <c r="C588" t="s">
        <v>5500</v>
      </c>
      <c r="D588" t="s">
        <v>5480</v>
      </c>
      <c r="E588">
        <v>4</v>
      </c>
      <c r="F588" t="s">
        <v>5443</v>
      </c>
      <c r="G588" t="s">
        <v>5494</v>
      </c>
      <c r="H588" t="s">
        <v>5484</v>
      </c>
      <c r="I588" t="s">
        <v>5495</v>
      </c>
      <c r="J588" t="s">
        <v>5496</v>
      </c>
      <c r="K588" t="s">
        <v>5497</v>
      </c>
      <c r="L588" t="s">
        <v>5449</v>
      </c>
      <c r="M588">
        <v>590.06939697265625</v>
      </c>
      <c r="N588" t="s">
        <v>54</v>
      </c>
      <c r="O588" t="s">
        <v>53</v>
      </c>
      <c r="P588" t="s">
        <v>53</v>
      </c>
      <c r="Q588" t="s">
        <v>53</v>
      </c>
      <c r="R588" t="s">
        <v>53</v>
      </c>
      <c r="S588" t="s">
        <v>5498</v>
      </c>
      <c r="T588" t="s">
        <v>5498</v>
      </c>
      <c r="U588" t="s">
        <v>54</v>
      </c>
      <c r="V588" t="s">
        <v>138</v>
      </c>
      <c r="W588">
        <v>50000</v>
      </c>
      <c r="X588" t="s">
        <v>54</v>
      </c>
      <c r="AA588">
        <v>1</v>
      </c>
      <c r="AB588">
        <v>0</v>
      </c>
      <c r="AC588">
        <v>0</v>
      </c>
      <c r="AD588">
        <v>0</v>
      </c>
      <c r="AE588">
        <v>0</v>
      </c>
      <c r="AF588">
        <v>0</v>
      </c>
      <c r="AG588">
        <v>0</v>
      </c>
      <c r="AH588">
        <v>1.7511260509490969</v>
      </c>
      <c r="AI588">
        <v>0</v>
      </c>
      <c r="AJ588">
        <v>345.5302734375</v>
      </c>
      <c r="AK588" t="s">
        <v>54</v>
      </c>
      <c r="AL588" t="s">
        <v>54</v>
      </c>
      <c r="AM588" t="s">
        <v>5450</v>
      </c>
      <c r="AP588" t="s">
        <v>5451</v>
      </c>
      <c r="AQ588" t="s">
        <v>53</v>
      </c>
      <c r="AT588" t="s">
        <v>5489</v>
      </c>
      <c r="AW588" t="s">
        <v>53</v>
      </c>
      <c r="AZ588" t="s">
        <v>54</v>
      </c>
      <c r="BA588" t="s">
        <v>5453</v>
      </c>
    </row>
    <row r="589" spans="1:53" x14ac:dyDescent="0.25">
      <c r="A589">
        <v>584</v>
      </c>
      <c r="B589" t="s">
        <v>5501</v>
      </c>
      <c r="C589" t="s">
        <v>5502</v>
      </c>
      <c r="D589" t="s">
        <v>5442</v>
      </c>
      <c r="E589">
        <v>4</v>
      </c>
      <c r="F589" t="s">
        <v>5443</v>
      </c>
      <c r="G589" t="s">
        <v>5503</v>
      </c>
      <c r="H589" t="s">
        <v>5504</v>
      </c>
      <c r="I589" t="s">
        <v>5495</v>
      </c>
      <c r="J589" t="s">
        <v>5496</v>
      </c>
      <c r="K589" t="s">
        <v>5497</v>
      </c>
      <c r="L589" t="s">
        <v>5449</v>
      </c>
      <c r="M589">
        <v>831.00640869140625</v>
      </c>
      <c r="N589" t="s">
        <v>54</v>
      </c>
      <c r="O589" t="s">
        <v>53</v>
      </c>
      <c r="P589" t="s">
        <v>53</v>
      </c>
      <c r="Q589" t="s">
        <v>53</v>
      </c>
      <c r="R589" t="s">
        <v>53</v>
      </c>
      <c r="S589" t="s">
        <v>5505</v>
      </c>
      <c r="T589" t="s">
        <v>5505</v>
      </c>
      <c r="U589" t="s">
        <v>54</v>
      </c>
      <c r="V589" t="s">
        <v>138</v>
      </c>
      <c r="W589">
        <v>375500</v>
      </c>
      <c r="X589" t="s">
        <v>54</v>
      </c>
      <c r="AA589">
        <v>800</v>
      </c>
      <c r="AB589">
        <v>0</v>
      </c>
      <c r="AC589">
        <v>153</v>
      </c>
      <c r="AD589">
        <v>225</v>
      </c>
      <c r="AE589">
        <v>317</v>
      </c>
      <c r="AF589">
        <v>0</v>
      </c>
      <c r="AG589">
        <v>3</v>
      </c>
      <c r="AH589">
        <v>49.374275207519531</v>
      </c>
      <c r="AI589">
        <v>3</v>
      </c>
      <c r="AJ589">
        <v>9764.271484375</v>
      </c>
      <c r="AK589" t="s">
        <v>54</v>
      </c>
      <c r="AL589" t="s">
        <v>54</v>
      </c>
      <c r="AM589" t="s">
        <v>5450</v>
      </c>
      <c r="AP589" t="s">
        <v>5451</v>
      </c>
      <c r="AQ589" t="s">
        <v>53</v>
      </c>
      <c r="AT589" t="s">
        <v>5452</v>
      </c>
      <c r="AW589" t="s">
        <v>53</v>
      </c>
      <c r="AZ589" t="s">
        <v>54</v>
      </c>
      <c r="BA589" t="s">
        <v>5453</v>
      </c>
    </row>
    <row r="590" spans="1:53" x14ac:dyDescent="0.25">
      <c r="A590">
        <v>585</v>
      </c>
      <c r="B590" t="s">
        <v>5506</v>
      </c>
      <c r="C590" t="s">
        <v>5507</v>
      </c>
      <c r="D590" t="s">
        <v>5442</v>
      </c>
      <c r="E590">
        <v>4</v>
      </c>
      <c r="F590" t="s">
        <v>5443</v>
      </c>
      <c r="G590" t="s">
        <v>5508</v>
      </c>
      <c r="H590" t="s">
        <v>5509</v>
      </c>
      <c r="I590" t="s">
        <v>5510</v>
      </c>
      <c r="J590" t="s">
        <v>5511</v>
      </c>
      <c r="K590" t="s">
        <v>5512</v>
      </c>
      <c r="L590" t="s">
        <v>5449</v>
      </c>
      <c r="M590">
        <v>935.45098876953125</v>
      </c>
      <c r="N590" t="s">
        <v>54</v>
      </c>
      <c r="O590" t="s">
        <v>53</v>
      </c>
      <c r="P590" t="s">
        <v>53</v>
      </c>
      <c r="Q590" t="s">
        <v>53</v>
      </c>
      <c r="R590" t="s">
        <v>53</v>
      </c>
      <c r="S590" t="s">
        <v>5513</v>
      </c>
      <c r="T590" t="s">
        <v>5513</v>
      </c>
      <c r="U590" t="s">
        <v>54</v>
      </c>
      <c r="V590" t="s">
        <v>138</v>
      </c>
      <c r="W590">
        <v>1850000</v>
      </c>
      <c r="X590" t="s">
        <v>54</v>
      </c>
      <c r="AA590">
        <v>899</v>
      </c>
      <c r="AB590">
        <v>543</v>
      </c>
      <c r="AC590">
        <v>1016</v>
      </c>
      <c r="AD590">
        <v>1374</v>
      </c>
      <c r="AE590">
        <v>1789</v>
      </c>
      <c r="AF590">
        <v>2</v>
      </c>
      <c r="AG590">
        <v>5</v>
      </c>
      <c r="AH590">
        <v>54.854419708251953</v>
      </c>
      <c r="AI590">
        <v>5</v>
      </c>
      <c r="AJ590">
        <v>13283.3291015625</v>
      </c>
      <c r="AK590" t="s">
        <v>54</v>
      </c>
      <c r="AL590" t="s">
        <v>54</v>
      </c>
      <c r="AM590" t="s">
        <v>5450</v>
      </c>
      <c r="AP590" t="s">
        <v>5451</v>
      </c>
      <c r="AQ590" t="s">
        <v>54</v>
      </c>
      <c r="AT590" t="s">
        <v>5452</v>
      </c>
      <c r="AW590" t="s">
        <v>53</v>
      </c>
      <c r="AZ590" t="s">
        <v>54</v>
      </c>
      <c r="BA590" t="s">
        <v>5453</v>
      </c>
    </row>
    <row r="591" spans="1:53" x14ac:dyDescent="0.25">
      <c r="A591">
        <v>586</v>
      </c>
      <c r="B591" t="s">
        <v>5514</v>
      </c>
      <c r="C591" t="s">
        <v>5515</v>
      </c>
      <c r="D591" t="s">
        <v>5442</v>
      </c>
      <c r="E591">
        <v>4</v>
      </c>
      <c r="F591" t="s">
        <v>5443</v>
      </c>
      <c r="G591" t="s">
        <v>5516</v>
      </c>
      <c r="H591" t="s">
        <v>5509</v>
      </c>
      <c r="I591" t="s">
        <v>5510</v>
      </c>
      <c r="J591" t="s">
        <v>5511</v>
      </c>
      <c r="K591" t="s">
        <v>5512</v>
      </c>
      <c r="L591" t="s">
        <v>5449</v>
      </c>
      <c r="M591">
        <v>817.61334228515625</v>
      </c>
      <c r="N591" t="s">
        <v>54</v>
      </c>
      <c r="O591" t="s">
        <v>53</v>
      </c>
      <c r="P591" t="s">
        <v>53</v>
      </c>
      <c r="Q591" t="s">
        <v>53</v>
      </c>
      <c r="R591" t="s">
        <v>53</v>
      </c>
      <c r="S591" t="s">
        <v>5517</v>
      </c>
      <c r="T591" t="s">
        <v>5517</v>
      </c>
      <c r="U591" t="s">
        <v>54</v>
      </c>
      <c r="V591" t="s">
        <v>138</v>
      </c>
      <c r="W591">
        <v>3700000</v>
      </c>
      <c r="X591" t="s">
        <v>54</v>
      </c>
      <c r="AA591">
        <v>750</v>
      </c>
      <c r="AB591">
        <v>317</v>
      </c>
      <c r="AC591">
        <v>1416</v>
      </c>
      <c r="AD591">
        <v>680</v>
      </c>
      <c r="AE591">
        <v>1870</v>
      </c>
      <c r="AF591">
        <v>2</v>
      </c>
      <c r="AG591">
        <v>10</v>
      </c>
      <c r="AH591">
        <v>118.78033447265619</v>
      </c>
      <c r="AI591">
        <v>10</v>
      </c>
      <c r="AJ591">
        <v>24459.42578125</v>
      </c>
      <c r="AK591" t="s">
        <v>54</v>
      </c>
      <c r="AL591" t="s">
        <v>54</v>
      </c>
      <c r="AM591" t="s">
        <v>5450</v>
      </c>
      <c r="AP591" t="s">
        <v>5451</v>
      </c>
      <c r="AQ591" t="s">
        <v>53</v>
      </c>
      <c r="AT591" t="s">
        <v>5452</v>
      </c>
      <c r="AW591" t="s">
        <v>53</v>
      </c>
      <c r="AZ591" t="s">
        <v>54</v>
      </c>
      <c r="BA591" t="s">
        <v>5453</v>
      </c>
    </row>
    <row r="592" spans="1:53" x14ac:dyDescent="0.25">
      <c r="A592">
        <v>587</v>
      </c>
      <c r="B592" t="s">
        <v>5518</v>
      </c>
      <c r="C592" t="s">
        <v>5519</v>
      </c>
      <c r="D592" t="s">
        <v>5480</v>
      </c>
      <c r="E592">
        <v>4</v>
      </c>
      <c r="F592" t="s">
        <v>5443</v>
      </c>
      <c r="G592" t="s">
        <v>5516</v>
      </c>
      <c r="H592" t="s">
        <v>5509</v>
      </c>
      <c r="I592" t="s">
        <v>5510</v>
      </c>
      <c r="J592" t="s">
        <v>5511</v>
      </c>
      <c r="K592" t="s">
        <v>5512</v>
      </c>
      <c r="L592" t="s">
        <v>5449</v>
      </c>
      <c r="M592">
        <v>817.61334228515625</v>
      </c>
      <c r="N592" t="s">
        <v>54</v>
      </c>
      <c r="O592" t="s">
        <v>53</v>
      </c>
      <c r="P592" t="s">
        <v>53</v>
      </c>
      <c r="Q592" t="s">
        <v>53</v>
      </c>
      <c r="R592" t="s">
        <v>53</v>
      </c>
      <c r="S592" t="s">
        <v>5517</v>
      </c>
      <c r="T592" t="s">
        <v>5517</v>
      </c>
      <c r="U592" t="s">
        <v>54</v>
      </c>
      <c r="V592" t="s">
        <v>138</v>
      </c>
      <c r="W592">
        <v>1700000</v>
      </c>
      <c r="X592" t="s">
        <v>54</v>
      </c>
      <c r="AA592">
        <v>750</v>
      </c>
      <c r="AB592">
        <v>317</v>
      </c>
      <c r="AC592">
        <v>1416</v>
      </c>
      <c r="AD592">
        <v>680</v>
      </c>
      <c r="AE592">
        <v>1870</v>
      </c>
      <c r="AF592">
        <v>2</v>
      </c>
      <c r="AG592">
        <v>10</v>
      </c>
      <c r="AH592">
        <v>118.78033447265619</v>
      </c>
      <c r="AI592">
        <v>10</v>
      </c>
      <c r="AJ592">
        <v>24459.42578125</v>
      </c>
      <c r="AK592" t="s">
        <v>54</v>
      </c>
      <c r="AL592" t="s">
        <v>54</v>
      </c>
      <c r="AM592" t="s">
        <v>5450</v>
      </c>
      <c r="AP592" t="s">
        <v>5451</v>
      </c>
      <c r="AQ592" t="s">
        <v>53</v>
      </c>
      <c r="AT592" t="s">
        <v>5452</v>
      </c>
      <c r="AW592" t="s">
        <v>53</v>
      </c>
      <c r="AZ592" t="s">
        <v>54</v>
      </c>
      <c r="BA592" t="s">
        <v>5453</v>
      </c>
    </row>
    <row r="593" spans="1:53" x14ac:dyDescent="0.25">
      <c r="A593">
        <v>588</v>
      </c>
      <c r="B593" t="s">
        <v>5520</v>
      </c>
      <c r="C593" t="s">
        <v>5521</v>
      </c>
      <c r="D593" t="s">
        <v>5442</v>
      </c>
      <c r="E593">
        <v>4</v>
      </c>
      <c r="F593" t="s">
        <v>5443</v>
      </c>
      <c r="G593" t="s">
        <v>5522</v>
      </c>
      <c r="H593" t="s">
        <v>5445</v>
      </c>
      <c r="I593" t="s">
        <v>5523</v>
      </c>
      <c r="J593" t="s">
        <v>5524</v>
      </c>
      <c r="K593" t="s">
        <v>5525</v>
      </c>
      <c r="L593" t="s">
        <v>5449</v>
      </c>
      <c r="M593">
        <v>257.30972290039063</v>
      </c>
      <c r="N593" t="s">
        <v>54</v>
      </c>
      <c r="O593" t="s">
        <v>53</v>
      </c>
      <c r="P593" t="s">
        <v>53</v>
      </c>
      <c r="Q593" t="s">
        <v>53</v>
      </c>
      <c r="R593" t="s">
        <v>53</v>
      </c>
      <c r="S593" t="s">
        <v>5526</v>
      </c>
      <c r="T593" t="s">
        <v>5526</v>
      </c>
      <c r="U593" t="s">
        <v>54</v>
      </c>
      <c r="V593" t="s">
        <v>138</v>
      </c>
      <c r="W593">
        <v>2100000</v>
      </c>
      <c r="X593" t="s">
        <v>54</v>
      </c>
      <c r="AA593">
        <v>277</v>
      </c>
      <c r="AB593">
        <v>211</v>
      </c>
      <c r="AC593">
        <v>166</v>
      </c>
      <c r="AD593">
        <v>258</v>
      </c>
      <c r="AE593">
        <v>352</v>
      </c>
      <c r="AF593">
        <v>0</v>
      </c>
      <c r="AG593">
        <v>4</v>
      </c>
      <c r="AH593">
        <v>35.197212219238281</v>
      </c>
      <c r="AI593">
        <v>4</v>
      </c>
      <c r="AJ593">
        <v>13841.5205078125</v>
      </c>
      <c r="AK593" t="s">
        <v>54</v>
      </c>
      <c r="AL593" t="s">
        <v>54</v>
      </c>
      <c r="AM593" t="s">
        <v>5450</v>
      </c>
      <c r="AP593" t="s">
        <v>5451</v>
      </c>
      <c r="AQ593" t="s">
        <v>54</v>
      </c>
      <c r="AT593" t="s">
        <v>5452</v>
      </c>
      <c r="AW593" t="s">
        <v>53</v>
      </c>
      <c r="AZ593" t="s">
        <v>54</v>
      </c>
      <c r="BA593" t="s">
        <v>5453</v>
      </c>
    </row>
    <row r="594" spans="1:53" x14ac:dyDescent="0.25">
      <c r="A594">
        <v>589</v>
      </c>
      <c r="B594" t="s">
        <v>5527</v>
      </c>
      <c r="C594" t="s">
        <v>5528</v>
      </c>
      <c r="D594" t="s">
        <v>5480</v>
      </c>
      <c r="E594">
        <v>4</v>
      </c>
      <c r="F594" t="s">
        <v>5443</v>
      </c>
      <c r="G594" t="s">
        <v>5522</v>
      </c>
      <c r="H594" t="s">
        <v>5445</v>
      </c>
      <c r="I594" t="s">
        <v>5529</v>
      </c>
      <c r="J594" t="s">
        <v>5524</v>
      </c>
      <c r="K594" t="s">
        <v>5525</v>
      </c>
      <c r="L594" t="s">
        <v>5449</v>
      </c>
      <c r="M594">
        <v>257.30972290039063</v>
      </c>
      <c r="N594" t="s">
        <v>54</v>
      </c>
      <c r="O594" t="s">
        <v>53</v>
      </c>
      <c r="P594" t="s">
        <v>53</v>
      </c>
      <c r="Q594" t="s">
        <v>53</v>
      </c>
      <c r="R594" t="s">
        <v>53</v>
      </c>
      <c r="S594" t="s">
        <v>5526</v>
      </c>
      <c r="T594" t="s">
        <v>5526</v>
      </c>
      <c r="U594" t="s">
        <v>54</v>
      </c>
      <c r="V594" t="s">
        <v>138</v>
      </c>
      <c r="W594">
        <v>600000</v>
      </c>
      <c r="X594" t="s">
        <v>54</v>
      </c>
      <c r="AA594">
        <v>277</v>
      </c>
      <c r="AB594">
        <v>211</v>
      </c>
      <c r="AC594">
        <v>166</v>
      </c>
      <c r="AD594">
        <v>258</v>
      </c>
      <c r="AE594">
        <v>352</v>
      </c>
      <c r="AF594">
        <v>0</v>
      </c>
      <c r="AG594">
        <v>4</v>
      </c>
      <c r="AH594">
        <v>35.197212219238281</v>
      </c>
      <c r="AI594">
        <v>4</v>
      </c>
      <c r="AJ594">
        <v>13841.5205078125</v>
      </c>
      <c r="AK594" t="s">
        <v>54</v>
      </c>
      <c r="AL594" t="s">
        <v>54</v>
      </c>
      <c r="AM594" t="s">
        <v>5450</v>
      </c>
      <c r="AP594" t="s">
        <v>5451</v>
      </c>
      <c r="AQ594" t="s">
        <v>54</v>
      </c>
      <c r="AT594" t="s">
        <v>5452</v>
      </c>
      <c r="AW594" t="s">
        <v>53</v>
      </c>
      <c r="AZ594" t="s">
        <v>54</v>
      </c>
      <c r="BA594" t="s">
        <v>5453</v>
      </c>
    </row>
    <row r="595" spans="1:53" x14ac:dyDescent="0.25">
      <c r="A595">
        <v>590</v>
      </c>
      <c r="B595" t="s">
        <v>5530</v>
      </c>
      <c r="C595" t="s">
        <v>5531</v>
      </c>
      <c r="D595" t="s">
        <v>5442</v>
      </c>
      <c r="E595">
        <v>4</v>
      </c>
      <c r="F595" t="s">
        <v>5443</v>
      </c>
      <c r="G595" t="s">
        <v>5472</v>
      </c>
      <c r="H595" t="s">
        <v>5532</v>
      </c>
      <c r="I595" t="s">
        <v>5533</v>
      </c>
      <c r="J595" t="s">
        <v>5524</v>
      </c>
      <c r="K595" t="s">
        <v>5525</v>
      </c>
      <c r="L595" t="s">
        <v>5449</v>
      </c>
      <c r="M595">
        <v>692.980712890625</v>
      </c>
      <c r="N595" t="s">
        <v>54</v>
      </c>
      <c r="O595" t="s">
        <v>53</v>
      </c>
      <c r="P595" t="s">
        <v>53</v>
      </c>
      <c r="Q595" t="s">
        <v>53</v>
      </c>
      <c r="R595" t="s">
        <v>53</v>
      </c>
      <c r="S595" t="s">
        <v>5534</v>
      </c>
      <c r="T595" t="s">
        <v>5534</v>
      </c>
      <c r="U595" t="s">
        <v>54</v>
      </c>
      <c r="V595" t="s">
        <v>138</v>
      </c>
      <c r="W595">
        <v>3200000</v>
      </c>
      <c r="X595" t="s">
        <v>54</v>
      </c>
      <c r="AA595">
        <v>1546</v>
      </c>
      <c r="AB595">
        <v>813</v>
      </c>
      <c r="AC595">
        <v>1773</v>
      </c>
      <c r="AD595">
        <v>1106</v>
      </c>
      <c r="AE595">
        <v>2449</v>
      </c>
      <c r="AF595">
        <v>7</v>
      </c>
      <c r="AG595">
        <v>1</v>
      </c>
      <c r="AH595">
        <v>105.10630035400391</v>
      </c>
      <c r="AI595">
        <v>1</v>
      </c>
      <c r="AJ595">
        <v>18534.2421875</v>
      </c>
      <c r="AK595" t="s">
        <v>54</v>
      </c>
      <c r="AL595" t="s">
        <v>54</v>
      </c>
      <c r="AM595" t="s">
        <v>5450</v>
      </c>
      <c r="AP595" t="s">
        <v>5451</v>
      </c>
      <c r="AQ595" t="s">
        <v>54</v>
      </c>
      <c r="AT595" t="s">
        <v>5452</v>
      </c>
      <c r="AW595" t="s">
        <v>53</v>
      </c>
      <c r="AZ595" t="s">
        <v>54</v>
      </c>
      <c r="BA595" t="s">
        <v>5453</v>
      </c>
    </row>
    <row r="596" spans="1:53" x14ac:dyDescent="0.25">
      <c r="A596">
        <v>591</v>
      </c>
      <c r="B596" t="s">
        <v>5535</v>
      </c>
      <c r="C596" t="s">
        <v>5536</v>
      </c>
      <c r="D596" t="s">
        <v>5537</v>
      </c>
      <c r="E596">
        <v>4</v>
      </c>
      <c r="F596" t="s">
        <v>5443</v>
      </c>
      <c r="G596" t="s">
        <v>5538</v>
      </c>
      <c r="H596" t="s">
        <v>5457</v>
      </c>
      <c r="I596" t="s">
        <v>5539</v>
      </c>
      <c r="J596" t="s">
        <v>5540</v>
      </c>
      <c r="K596" t="s">
        <v>5541</v>
      </c>
      <c r="L596" t="s">
        <v>5449</v>
      </c>
      <c r="M596">
        <v>12.07192802429199</v>
      </c>
      <c r="N596" t="s">
        <v>54</v>
      </c>
      <c r="O596" t="s">
        <v>53</v>
      </c>
      <c r="P596" t="s">
        <v>53</v>
      </c>
      <c r="Q596" t="s">
        <v>53</v>
      </c>
      <c r="R596" t="s">
        <v>53</v>
      </c>
      <c r="S596" t="s">
        <v>5542</v>
      </c>
      <c r="T596" t="s">
        <v>5542</v>
      </c>
      <c r="U596" t="s">
        <v>54</v>
      </c>
      <c r="V596" t="s">
        <v>138</v>
      </c>
      <c r="W596">
        <v>1200000</v>
      </c>
      <c r="X596" t="s">
        <v>54</v>
      </c>
      <c r="AA596">
        <v>1154</v>
      </c>
      <c r="AB596">
        <v>1031</v>
      </c>
      <c r="AC596">
        <v>1291</v>
      </c>
      <c r="AD596">
        <v>2001</v>
      </c>
      <c r="AE596">
        <v>2657</v>
      </c>
      <c r="AF596">
        <v>0</v>
      </c>
      <c r="AG596">
        <v>0</v>
      </c>
      <c r="AH596">
        <v>25.67121505737305</v>
      </c>
      <c r="AI596">
        <v>0</v>
      </c>
      <c r="AJ596">
        <v>58.084396362304688</v>
      </c>
      <c r="AK596" t="s">
        <v>54</v>
      </c>
      <c r="AL596" t="s">
        <v>54</v>
      </c>
      <c r="AM596" t="s">
        <v>5450</v>
      </c>
      <c r="AP596" t="s">
        <v>5451</v>
      </c>
      <c r="AQ596" t="s">
        <v>54</v>
      </c>
      <c r="AT596" t="s">
        <v>5543</v>
      </c>
      <c r="AW596" t="s">
        <v>54</v>
      </c>
      <c r="AZ596" t="s">
        <v>54</v>
      </c>
      <c r="BA596" t="s">
        <v>5453</v>
      </c>
    </row>
    <row r="597" spans="1:53" x14ac:dyDescent="0.25">
      <c r="A597">
        <v>592</v>
      </c>
      <c r="B597" t="s">
        <v>5544</v>
      </c>
      <c r="C597" t="s">
        <v>5545</v>
      </c>
      <c r="D597" t="s">
        <v>5537</v>
      </c>
      <c r="E597">
        <v>4</v>
      </c>
      <c r="F597" t="s">
        <v>5443</v>
      </c>
      <c r="G597" t="s">
        <v>5546</v>
      </c>
      <c r="H597" t="s">
        <v>5547</v>
      </c>
      <c r="I597" t="s">
        <v>5548</v>
      </c>
      <c r="J597" t="s">
        <v>5549</v>
      </c>
      <c r="K597" t="s">
        <v>5550</v>
      </c>
      <c r="L597" t="s">
        <v>5449</v>
      </c>
      <c r="M597">
        <v>11.979866027832029</v>
      </c>
      <c r="N597" t="s">
        <v>54</v>
      </c>
      <c r="O597" t="s">
        <v>53</v>
      </c>
      <c r="P597" t="s">
        <v>53</v>
      </c>
      <c r="Q597" t="s">
        <v>53</v>
      </c>
      <c r="R597" t="s">
        <v>53</v>
      </c>
      <c r="S597" t="s">
        <v>5551</v>
      </c>
      <c r="T597" t="s">
        <v>5551</v>
      </c>
      <c r="U597" t="s">
        <v>53</v>
      </c>
      <c r="V597" t="s">
        <v>138</v>
      </c>
      <c r="W597">
        <v>450000</v>
      </c>
      <c r="X597" t="s">
        <v>54</v>
      </c>
      <c r="AA597">
        <v>21</v>
      </c>
      <c r="AB597">
        <v>21</v>
      </c>
      <c r="AC597">
        <v>32</v>
      </c>
      <c r="AD597">
        <v>128</v>
      </c>
      <c r="AE597">
        <v>128</v>
      </c>
      <c r="AF597">
        <v>0</v>
      </c>
      <c r="AG597">
        <v>1</v>
      </c>
      <c r="AH597">
        <v>3.0208101272583008</v>
      </c>
      <c r="AI597">
        <v>1</v>
      </c>
      <c r="AJ597">
        <v>164.16365051269531</v>
      </c>
      <c r="AK597" t="s">
        <v>54</v>
      </c>
      <c r="AL597" t="s">
        <v>54</v>
      </c>
      <c r="AM597" t="s">
        <v>5450</v>
      </c>
      <c r="AP597" t="s">
        <v>5451</v>
      </c>
      <c r="AQ597" t="s">
        <v>54</v>
      </c>
      <c r="AT597" t="s">
        <v>5552</v>
      </c>
      <c r="AW597" t="s">
        <v>53</v>
      </c>
      <c r="AZ597" t="s">
        <v>54</v>
      </c>
      <c r="BA597" t="s">
        <v>5453</v>
      </c>
    </row>
    <row r="598" spans="1:53" x14ac:dyDescent="0.25">
      <c r="A598">
        <v>593</v>
      </c>
      <c r="B598" t="s">
        <v>5553</v>
      </c>
      <c r="C598" t="s">
        <v>5554</v>
      </c>
      <c r="D598" t="s">
        <v>5537</v>
      </c>
      <c r="E598">
        <v>4</v>
      </c>
      <c r="F598" t="s">
        <v>5443</v>
      </c>
      <c r="G598" t="s">
        <v>5546</v>
      </c>
      <c r="H598" t="s">
        <v>5547</v>
      </c>
      <c r="I598" t="s">
        <v>5548</v>
      </c>
      <c r="J598" t="s">
        <v>5549</v>
      </c>
      <c r="K598" t="s">
        <v>5550</v>
      </c>
      <c r="L598" t="s">
        <v>5449</v>
      </c>
      <c r="M598">
        <v>2.3912279605865479</v>
      </c>
      <c r="N598" t="s">
        <v>54</v>
      </c>
      <c r="O598" t="s">
        <v>53</v>
      </c>
      <c r="P598" t="s">
        <v>53</v>
      </c>
      <c r="Q598" t="s">
        <v>53</v>
      </c>
      <c r="R598" t="s">
        <v>53</v>
      </c>
      <c r="S598" t="s">
        <v>5555</v>
      </c>
      <c r="T598" t="s">
        <v>5555</v>
      </c>
      <c r="U598" t="s">
        <v>53</v>
      </c>
      <c r="V598" t="s">
        <v>138</v>
      </c>
      <c r="W598">
        <v>100000</v>
      </c>
      <c r="X598" t="s">
        <v>54</v>
      </c>
      <c r="AA598">
        <v>1</v>
      </c>
      <c r="AB598">
        <v>1</v>
      </c>
      <c r="AC598">
        <v>1</v>
      </c>
      <c r="AD598">
        <v>3</v>
      </c>
      <c r="AE598">
        <v>3</v>
      </c>
      <c r="AF598">
        <v>0</v>
      </c>
      <c r="AG598">
        <v>0</v>
      </c>
      <c r="AH598">
        <v>0</v>
      </c>
      <c r="AI598">
        <v>0</v>
      </c>
      <c r="AJ598">
        <v>11.43733978271484</v>
      </c>
      <c r="AK598" t="s">
        <v>54</v>
      </c>
      <c r="AL598" t="s">
        <v>54</v>
      </c>
      <c r="AM598" t="s">
        <v>5450</v>
      </c>
      <c r="AP598" t="s">
        <v>5451</v>
      </c>
      <c r="AQ598" t="s">
        <v>54</v>
      </c>
      <c r="AT598" t="s">
        <v>5543</v>
      </c>
      <c r="AW598" t="s">
        <v>54</v>
      </c>
      <c r="AZ598" t="s">
        <v>54</v>
      </c>
      <c r="BA598" t="s">
        <v>5453</v>
      </c>
    </row>
    <row r="599" spans="1:53" x14ac:dyDescent="0.25">
      <c r="A599">
        <v>594</v>
      </c>
      <c r="B599" t="s">
        <v>5556</v>
      </c>
      <c r="C599" t="s">
        <v>5557</v>
      </c>
      <c r="D599" t="s">
        <v>5480</v>
      </c>
      <c r="E599">
        <v>4</v>
      </c>
      <c r="F599" t="s">
        <v>5443</v>
      </c>
      <c r="G599" t="s">
        <v>5558</v>
      </c>
      <c r="H599" t="s">
        <v>5457</v>
      </c>
      <c r="I599" t="s">
        <v>5466</v>
      </c>
      <c r="J599" t="s">
        <v>5467</v>
      </c>
      <c r="K599" t="s">
        <v>5468</v>
      </c>
      <c r="L599" t="s">
        <v>5449</v>
      </c>
      <c r="M599">
        <v>5.4319982528686523</v>
      </c>
      <c r="N599" t="s">
        <v>54</v>
      </c>
      <c r="O599" t="s">
        <v>53</v>
      </c>
      <c r="P599" t="s">
        <v>53</v>
      </c>
      <c r="Q599" t="s">
        <v>53</v>
      </c>
      <c r="R599" t="s">
        <v>53</v>
      </c>
      <c r="S599" t="s">
        <v>5559</v>
      </c>
      <c r="T599" t="s">
        <v>5559</v>
      </c>
      <c r="U599" t="s">
        <v>53</v>
      </c>
      <c r="V599" t="s">
        <v>138</v>
      </c>
      <c r="W599">
        <v>100000</v>
      </c>
      <c r="X599" t="s">
        <v>54</v>
      </c>
      <c r="AA599">
        <v>96</v>
      </c>
      <c r="AB599">
        <v>48</v>
      </c>
      <c r="AC599">
        <v>164</v>
      </c>
      <c r="AD599">
        <v>136</v>
      </c>
      <c r="AE599">
        <v>181</v>
      </c>
      <c r="AF599">
        <v>17</v>
      </c>
      <c r="AG599">
        <v>2</v>
      </c>
      <c r="AH599">
        <v>2.6785495281219478</v>
      </c>
      <c r="AI599">
        <v>2</v>
      </c>
      <c r="AJ599">
        <v>33.131988525390618</v>
      </c>
      <c r="AK599" t="s">
        <v>54</v>
      </c>
      <c r="AL599" t="s">
        <v>54</v>
      </c>
      <c r="AM599" t="s">
        <v>5450</v>
      </c>
      <c r="AP599" t="s">
        <v>5451</v>
      </c>
      <c r="AQ599" t="s">
        <v>54</v>
      </c>
      <c r="AT599" t="s">
        <v>5543</v>
      </c>
      <c r="AW599" t="s">
        <v>54</v>
      </c>
      <c r="AZ599" t="s">
        <v>54</v>
      </c>
      <c r="BA599" t="s">
        <v>5453</v>
      </c>
    </row>
    <row r="600" spans="1:53" x14ac:dyDescent="0.25">
      <c r="A600">
        <v>595</v>
      </c>
      <c r="B600" t="s">
        <v>5560</v>
      </c>
      <c r="C600" t="s">
        <v>5561</v>
      </c>
      <c r="D600" t="s">
        <v>5537</v>
      </c>
      <c r="E600">
        <v>4</v>
      </c>
      <c r="F600" t="s">
        <v>5443</v>
      </c>
      <c r="G600" t="s">
        <v>5558</v>
      </c>
      <c r="H600" t="s">
        <v>5457</v>
      </c>
      <c r="I600" t="s">
        <v>5466</v>
      </c>
      <c r="J600" t="s">
        <v>5467</v>
      </c>
      <c r="K600" t="s">
        <v>5468</v>
      </c>
      <c r="L600" t="s">
        <v>5449</v>
      </c>
      <c r="M600">
        <v>5.4319982528686523</v>
      </c>
      <c r="N600" t="s">
        <v>54</v>
      </c>
      <c r="O600" t="s">
        <v>53</v>
      </c>
      <c r="P600" t="s">
        <v>53</v>
      </c>
      <c r="Q600" t="s">
        <v>53</v>
      </c>
      <c r="R600" t="s">
        <v>53</v>
      </c>
      <c r="S600" t="s">
        <v>5559</v>
      </c>
      <c r="T600" t="s">
        <v>5559</v>
      </c>
      <c r="U600" t="s">
        <v>53</v>
      </c>
      <c r="V600" t="s">
        <v>138</v>
      </c>
      <c r="W600">
        <v>400000</v>
      </c>
      <c r="X600" t="s">
        <v>54</v>
      </c>
      <c r="AA600">
        <v>96</v>
      </c>
      <c r="AB600">
        <v>48</v>
      </c>
      <c r="AC600">
        <v>164</v>
      </c>
      <c r="AD600">
        <v>136</v>
      </c>
      <c r="AE600">
        <v>181</v>
      </c>
      <c r="AF600">
        <v>17</v>
      </c>
      <c r="AG600">
        <v>2</v>
      </c>
      <c r="AH600">
        <v>2.6785495281219478</v>
      </c>
      <c r="AI600">
        <v>2</v>
      </c>
      <c r="AJ600">
        <v>33.131988525390618</v>
      </c>
      <c r="AK600" t="s">
        <v>54</v>
      </c>
      <c r="AL600" t="s">
        <v>54</v>
      </c>
      <c r="AM600" t="s">
        <v>5450</v>
      </c>
      <c r="AP600" t="s">
        <v>5451</v>
      </c>
      <c r="AQ600" t="s">
        <v>54</v>
      </c>
      <c r="AT600" t="s">
        <v>5452</v>
      </c>
      <c r="AW600" t="s">
        <v>53</v>
      </c>
      <c r="AZ600" t="s">
        <v>54</v>
      </c>
      <c r="BA600" t="s">
        <v>5453</v>
      </c>
    </row>
    <row r="601" spans="1:53" x14ac:dyDescent="0.25">
      <c r="A601">
        <v>596</v>
      </c>
      <c r="B601" t="s">
        <v>5562</v>
      </c>
      <c r="C601" t="s">
        <v>5563</v>
      </c>
      <c r="D601" t="s">
        <v>5537</v>
      </c>
      <c r="E601">
        <v>4</v>
      </c>
      <c r="F601" t="s">
        <v>5443</v>
      </c>
      <c r="G601" t="s">
        <v>5564</v>
      </c>
      <c r="H601" t="s">
        <v>5509</v>
      </c>
      <c r="I601" t="s">
        <v>5565</v>
      </c>
      <c r="J601" t="s">
        <v>5566</v>
      </c>
      <c r="K601" t="s">
        <v>5567</v>
      </c>
      <c r="L601" t="s">
        <v>5449</v>
      </c>
      <c r="M601">
        <v>55.714336395263672</v>
      </c>
      <c r="N601" t="s">
        <v>54</v>
      </c>
      <c r="O601" t="s">
        <v>53</v>
      </c>
      <c r="P601" t="s">
        <v>53</v>
      </c>
      <c r="Q601" t="s">
        <v>53</v>
      </c>
      <c r="R601" t="s">
        <v>53</v>
      </c>
      <c r="S601" t="s">
        <v>5568</v>
      </c>
      <c r="T601" t="s">
        <v>5568</v>
      </c>
      <c r="U601" t="s">
        <v>54</v>
      </c>
      <c r="V601" t="s">
        <v>138</v>
      </c>
      <c r="W601">
        <v>1100000</v>
      </c>
      <c r="X601" t="s">
        <v>54</v>
      </c>
      <c r="AA601">
        <v>1379</v>
      </c>
      <c r="AB601">
        <v>1024</v>
      </c>
      <c r="AC601">
        <v>10126</v>
      </c>
      <c r="AD601">
        <v>3757</v>
      </c>
      <c r="AE601">
        <v>12707</v>
      </c>
      <c r="AF601">
        <v>9</v>
      </c>
      <c r="AG601">
        <v>0</v>
      </c>
      <c r="AH601">
        <v>41.051982879638672</v>
      </c>
      <c r="AI601">
        <v>0</v>
      </c>
      <c r="AJ601">
        <v>294.66531372070313</v>
      </c>
      <c r="AK601" t="s">
        <v>54</v>
      </c>
      <c r="AL601" t="s">
        <v>54</v>
      </c>
      <c r="AM601" t="s">
        <v>5450</v>
      </c>
      <c r="AP601" t="s">
        <v>5451</v>
      </c>
      <c r="AQ601" t="s">
        <v>54</v>
      </c>
      <c r="AT601" t="s">
        <v>5452</v>
      </c>
      <c r="AW601" t="s">
        <v>53</v>
      </c>
      <c r="AZ601" t="s">
        <v>54</v>
      </c>
      <c r="BA601" t="s">
        <v>5453</v>
      </c>
    </row>
    <row r="602" spans="1:53" x14ac:dyDescent="0.25">
      <c r="A602">
        <v>597</v>
      </c>
      <c r="B602" t="s">
        <v>5569</v>
      </c>
      <c r="C602" t="s">
        <v>5570</v>
      </c>
      <c r="D602" t="s">
        <v>5537</v>
      </c>
      <c r="E602">
        <v>4</v>
      </c>
      <c r="F602" t="s">
        <v>5443</v>
      </c>
      <c r="G602" t="s">
        <v>5571</v>
      </c>
      <c r="H602" t="s">
        <v>5547</v>
      </c>
      <c r="I602" t="s">
        <v>5572</v>
      </c>
      <c r="J602" t="s">
        <v>5573</v>
      </c>
      <c r="K602" t="s">
        <v>5574</v>
      </c>
      <c r="L602" t="s">
        <v>5449</v>
      </c>
      <c r="M602">
        <v>1.8711061477661131</v>
      </c>
      <c r="N602" t="s">
        <v>54</v>
      </c>
      <c r="O602" t="s">
        <v>53</v>
      </c>
      <c r="P602" t="s">
        <v>53</v>
      </c>
      <c r="Q602" t="s">
        <v>53</v>
      </c>
      <c r="R602" t="s">
        <v>53</v>
      </c>
      <c r="S602" t="s">
        <v>5575</v>
      </c>
      <c r="T602" t="s">
        <v>5575</v>
      </c>
      <c r="U602" t="s">
        <v>53</v>
      </c>
      <c r="V602" t="s">
        <v>138</v>
      </c>
      <c r="W602">
        <v>100000</v>
      </c>
      <c r="X602" t="s">
        <v>54</v>
      </c>
      <c r="AA602">
        <v>94</v>
      </c>
      <c r="AB602">
        <v>79</v>
      </c>
      <c r="AC602">
        <v>50</v>
      </c>
      <c r="AD602">
        <v>126</v>
      </c>
      <c r="AE602">
        <v>147</v>
      </c>
      <c r="AF602">
        <v>0</v>
      </c>
      <c r="AG602">
        <v>1</v>
      </c>
      <c r="AH602">
        <v>1.409714341163635</v>
      </c>
      <c r="AI602">
        <v>1</v>
      </c>
      <c r="AJ602">
        <v>110.02700042724609</v>
      </c>
      <c r="AK602" t="s">
        <v>54</v>
      </c>
      <c r="AL602" t="s">
        <v>54</v>
      </c>
      <c r="AM602" t="s">
        <v>5450</v>
      </c>
      <c r="AP602" t="s">
        <v>5451</v>
      </c>
      <c r="AQ602" t="s">
        <v>54</v>
      </c>
      <c r="AT602" t="s">
        <v>5576</v>
      </c>
      <c r="AW602" t="s">
        <v>54</v>
      </c>
      <c r="AZ602" t="s">
        <v>54</v>
      </c>
      <c r="BA602" t="s">
        <v>5453</v>
      </c>
    </row>
    <row r="603" spans="1:53" x14ac:dyDescent="0.25">
      <c r="A603">
        <v>598</v>
      </c>
      <c r="B603" t="s">
        <v>5577</v>
      </c>
      <c r="C603" t="s">
        <v>5578</v>
      </c>
      <c r="D603" t="s">
        <v>5537</v>
      </c>
      <c r="E603">
        <v>4</v>
      </c>
      <c r="F603" t="s">
        <v>5443</v>
      </c>
      <c r="G603" t="s">
        <v>5579</v>
      </c>
      <c r="H603" t="s">
        <v>5457</v>
      </c>
      <c r="I603" t="s">
        <v>5580</v>
      </c>
      <c r="J603" t="s">
        <v>5581</v>
      </c>
      <c r="K603" t="s">
        <v>5582</v>
      </c>
      <c r="L603" t="s">
        <v>5449</v>
      </c>
      <c r="M603">
        <v>2.415523767471313</v>
      </c>
      <c r="N603" t="s">
        <v>54</v>
      </c>
      <c r="O603" t="s">
        <v>53</v>
      </c>
      <c r="P603" t="s">
        <v>53</v>
      </c>
      <c r="Q603" t="s">
        <v>53</v>
      </c>
      <c r="R603" t="s">
        <v>53</v>
      </c>
      <c r="S603" t="s">
        <v>5583</v>
      </c>
      <c r="T603" t="s">
        <v>5583</v>
      </c>
      <c r="U603" t="s">
        <v>54</v>
      </c>
      <c r="V603" t="s">
        <v>138</v>
      </c>
      <c r="W603">
        <v>600000</v>
      </c>
      <c r="X603" t="s">
        <v>54</v>
      </c>
      <c r="AA603">
        <v>135</v>
      </c>
      <c r="AB603">
        <v>44</v>
      </c>
      <c r="AC603">
        <v>407</v>
      </c>
      <c r="AD603">
        <v>436</v>
      </c>
      <c r="AE603">
        <v>517</v>
      </c>
      <c r="AF603">
        <v>3</v>
      </c>
      <c r="AG603">
        <v>3</v>
      </c>
      <c r="AH603">
        <v>2.8958513736724849</v>
      </c>
      <c r="AI603">
        <v>3</v>
      </c>
      <c r="AJ603">
        <v>12.37187480926514</v>
      </c>
      <c r="AK603" t="s">
        <v>54</v>
      </c>
      <c r="AL603" t="s">
        <v>54</v>
      </c>
      <c r="AM603" t="s">
        <v>5450</v>
      </c>
      <c r="AP603" t="s">
        <v>5451</v>
      </c>
      <c r="AQ603" t="s">
        <v>54</v>
      </c>
      <c r="AT603" t="s">
        <v>5552</v>
      </c>
      <c r="AW603" t="s">
        <v>53</v>
      </c>
      <c r="AZ603" t="s">
        <v>54</v>
      </c>
      <c r="BA603" t="s">
        <v>5453</v>
      </c>
    </row>
    <row r="604" spans="1:53" x14ac:dyDescent="0.25">
      <c r="A604">
        <v>599</v>
      </c>
      <c r="B604" t="s">
        <v>5584</v>
      </c>
      <c r="C604" t="s">
        <v>5585</v>
      </c>
      <c r="D604" t="s">
        <v>5537</v>
      </c>
      <c r="E604">
        <v>4</v>
      </c>
      <c r="F604" t="s">
        <v>5443</v>
      </c>
      <c r="G604" t="s">
        <v>3559</v>
      </c>
      <c r="H604" t="s">
        <v>5509</v>
      </c>
      <c r="I604" t="s">
        <v>5586</v>
      </c>
      <c r="J604" t="s">
        <v>5587</v>
      </c>
      <c r="K604" t="s">
        <v>5588</v>
      </c>
      <c r="L604" t="s">
        <v>5449</v>
      </c>
      <c r="M604">
        <v>29.546367645263668</v>
      </c>
      <c r="N604" t="s">
        <v>54</v>
      </c>
      <c r="O604" t="s">
        <v>53</v>
      </c>
      <c r="P604" t="s">
        <v>53</v>
      </c>
      <c r="Q604" t="s">
        <v>53</v>
      </c>
      <c r="R604" t="s">
        <v>53</v>
      </c>
      <c r="S604" t="s">
        <v>5589</v>
      </c>
      <c r="T604" t="s">
        <v>5589</v>
      </c>
      <c r="U604" t="s">
        <v>53</v>
      </c>
      <c r="V604" t="s">
        <v>138</v>
      </c>
      <c r="W604">
        <v>500000</v>
      </c>
      <c r="X604" t="s">
        <v>54</v>
      </c>
      <c r="AA604">
        <v>561</v>
      </c>
      <c r="AB604">
        <v>374</v>
      </c>
      <c r="AC604">
        <v>4312</v>
      </c>
      <c r="AD604">
        <v>1078</v>
      </c>
      <c r="AE604">
        <v>4969</v>
      </c>
      <c r="AF604">
        <v>0</v>
      </c>
      <c r="AG604">
        <v>0</v>
      </c>
      <c r="AH604">
        <v>17.809392929077148</v>
      </c>
      <c r="AI604">
        <v>0</v>
      </c>
      <c r="AJ604">
        <v>221.511962890625</v>
      </c>
      <c r="AK604" t="s">
        <v>54</v>
      </c>
      <c r="AL604" t="s">
        <v>54</v>
      </c>
      <c r="AM604" t="s">
        <v>5450</v>
      </c>
      <c r="AP604" t="s">
        <v>5451</v>
      </c>
      <c r="AQ604" t="s">
        <v>54</v>
      </c>
      <c r="AT604" t="s">
        <v>5452</v>
      </c>
      <c r="AW604" t="s">
        <v>53</v>
      </c>
      <c r="AZ604" t="s">
        <v>54</v>
      </c>
      <c r="BA604" t="s">
        <v>5453</v>
      </c>
    </row>
    <row r="605" spans="1:53" x14ac:dyDescent="0.25">
      <c r="A605">
        <v>600</v>
      </c>
      <c r="B605" t="s">
        <v>5590</v>
      </c>
      <c r="C605" t="s">
        <v>5591</v>
      </c>
      <c r="D605" t="s">
        <v>5537</v>
      </c>
      <c r="E605">
        <v>4</v>
      </c>
      <c r="F605" t="s">
        <v>5443</v>
      </c>
      <c r="G605" t="s">
        <v>3559</v>
      </c>
      <c r="H605" t="s">
        <v>5509</v>
      </c>
      <c r="I605" t="s">
        <v>5586</v>
      </c>
      <c r="J605" t="s">
        <v>5592</v>
      </c>
      <c r="K605" t="s">
        <v>5593</v>
      </c>
      <c r="L605" t="s">
        <v>5449</v>
      </c>
      <c r="M605">
        <v>1.3121374845504761</v>
      </c>
      <c r="N605" t="s">
        <v>54</v>
      </c>
      <c r="O605" t="s">
        <v>53</v>
      </c>
      <c r="P605" t="s">
        <v>53</v>
      </c>
      <c r="Q605" t="s">
        <v>53</v>
      </c>
      <c r="R605" t="s">
        <v>53</v>
      </c>
      <c r="S605" t="s">
        <v>5594</v>
      </c>
      <c r="T605" t="s">
        <v>5594</v>
      </c>
      <c r="U605" t="s">
        <v>53</v>
      </c>
      <c r="V605" t="s">
        <v>138</v>
      </c>
      <c r="W605">
        <v>300000</v>
      </c>
      <c r="X605" t="s">
        <v>54</v>
      </c>
      <c r="AA605">
        <v>22</v>
      </c>
      <c r="AB605">
        <v>20</v>
      </c>
      <c r="AC605">
        <v>16</v>
      </c>
      <c r="AD605">
        <v>48</v>
      </c>
      <c r="AE605">
        <v>48</v>
      </c>
      <c r="AF605">
        <v>0</v>
      </c>
      <c r="AG605">
        <v>0</v>
      </c>
      <c r="AH605">
        <v>3.0066639184951779E-2</v>
      </c>
      <c r="AI605">
        <v>0</v>
      </c>
      <c r="AJ605">
        <v>72.136672973632813</v>
      </c>
      <c r="AK605" t="s">
        <v>54</v>
      </c>
      <c r="AL605" t="s">
        <v>54</v>
      </c>
      <c r="AM605" t="s">
        <v>5450</v>
      </c>
      <c r="AP605" t="s">
        <v>5451</v>
      </c>
      <c r="AQ605" t="s">
        <v>54</v>
      </c>
      <c r="AT605" t="s">
        <v>5452</v>
      </c>
      <c r="AW605" t="s">
        <v>53</v>
      </c>
      <c r="AZ605" t="s">
        <v>54</v>
      </c>
      <c r="BA605" t="s">
        <v>5453</v>
      </c>
    </row>
    <row r="606" spans="1:53" x14ac:dyDescent="0.25">
      <c r="A606">
        <v>601</v>
      </c>
      <c r="B606" t="s">
        <v>5595</v>
      </c>
      <c r="C606" t="s">
        <v>5596</v>
      </c>
      <c r="D606" t="s">
        <v>5597</v>
      </c>
      <c r="E606">
        <v>4</v>
      </c>
      <c r="F606" t="s">
        <v>5443</v>
      </c>
      <c r="G606" t="s">
        <v>5598</v>
      </c>
      <c r="H606" t="s">
        <v>5547</v>
      </c>
      <c r="I606" t="s">
        <v>5599</v>
      </c>
      <c r="J606" t="s">
        <v>5600</v>
      </c>
      <c r="K606" t="s">
        <v>5601</v>
      </c>
      <c r="L606" t="s">
        <v>5602</v>
      </c>
      <c r="M606">
        <v>1.4051921367645259</v>
      </c>
      <c r="N606" t="s">
        <v>54</v>
      </c>
      <c r="O606" t="s">
        <v>53</v>
      </c>
      <c r="P606" t="s">
        <v>53</v>
      </c>
      <c r="Q606" t="s">
        <v>53</v>
      </c>
      <c r="R606" t="s">
        <v>53</v>
      </c>
      <c r="S606" t="s">
        <v>5603</v>
      </c>
      <c r="T606" t="s">
        <v>5603</v>
      </c>
      <c r="U606" t="s">
        <v>53</v>
      </c>
      <c r="V606" t="s">
        <v>51</v>
      </c>
      <c r="W606">
        <v>100000</v>
      </c>
      <c r="X606" t="s">
        <v>54</v>
      </c>
      <c r="AA606">
        <v>27</v>
      </c>
      <c r="AB606">
        <v>11</v>
      </c>
      <c r="AC606">
        <v>17</v>
      </c>
      <c r="AD606">
        <v>22</v>
      </c>
      <c r="AE606">
        <v>32</v>
      </c>
      <c r="AF606">
        <v>0</v>
      </c>
      <c r="AG606">
        <v>0</v>
      </c>
      <c r="AH606">
        <v>0.89066332578659058</v>
      </c>
      <c r="AI606">
        <v>0</v>
      </c>
      <c r="AJ606">
        <v>28.89719200134277</v>
      </c>
      <c r="AK606" t="s">
        <v>53</v>
      </c>
      <c r="AL606" t="s">
        <v>54</v>
      </c>
      <c r="AM606" t="s">
        <v>5450</v>
      </c>
      <c r="AP606" t="s">
        <v>5451</v>
      </c>
      <c r="AQ606" t="s">
        <v>54</v>
      </c>
      <c r="AT606" t="s">
        <v>5452</v>
      </c>
      <c r="AW606" t="s">
        <v>53</v>
      </c>
      <c r="AZ606" t="s">
        <v>54</v>
      </c>
      <c r="BA606" t="s">
        <v>5453</v>
      </c>
    </row>
    <row r="607" spans="1:53" x14ac:dyDescent="0.25">
      <c r="A607">
        <v>602</v>
      </c>
      <c r="B607" t="s">
        <v>5604</v>
      </c>
      <c r="C607" t="s">
        <v>5605</v>
      </c>
      <c r="D607" t="s">
        <v>5606</v>
      </c>
      <c r="E607">
        <v>4</v>
      </c>
      <c r="F607" t="s">
        <v>5443</v>
      </c>
      <c r="G607" t="s">
        <v>5598</v>
      </c>
      <c r="H607" t="s">
        <v>5547</v>
      </c>
      <c r="I607" t="s">
        <v>5599</v>
      </c>
      <c r="J607" t="s">
        <v>5600</v>
      </c>
      <c r="K607" t="s">
        <v>5601</v>
      </c>
      <c r="L607" t="s">
        <v>5602</v>
      </c>
      <c r="M607">
        <v>1.4051921367645259</v>
      </c>
      <c r="N607" t="s">
        <v>54</v>
      </c>
      <c r="O607" t="s">
        <v>53</v>
      </c>
      <c r="P607" t="s">
        <v>53</v>
      </c>
      <c r="Q607" t="s">
        <v>53</v>
      </c>
      <c r="R607" t="s">
        <v>53</v>
      </c>
      <c r="S607" t="s">
        <v>5603</v>
      </c>
      <c r="T607" t="s">
        <v>5603</v>
      </c>
      <c r="U607" t="s">
        <v>53</v>
      </c>
      <c r="V607" t="s">
        <v>51</v>
      </c>
      <c r="W607">
        <v>100000</v>
      </c>
      <c r="X607" t="s">
        <v>54</v>
      </c>
      <c r="AA607">
        <v>27</v>
      </c>
      <c r="AB607">
        <v>11</v>
      </c>
      <c r="AC607">
        <v>17</v>
      </c>
      <c r="AD607">
        <v>22</v>
      </c>
      <c r="AE607">
        <v>32</v>
      </c>
      <c r="AF607">
        <v>0</v>
      </c>
      <c r="AG607">
        <v>0</v>
      </c>
      <c r="AH607">
        <v>0.89066332578659058</v>
      </c>
      <c r="AI607">
        <v>0</v>
      </c>
      <c r="AJ607">
        <v>28.89719200134277</v>
      </c>
      <c r="AK607" t="s">
        <v>53</v>
      </c>
      <c r="AL607" t="s">
        <v>54</v>
      </c>
      <c r="AM607" t="s">
        <v>5450</v>
      </c>
      <c r="AP607" t="s">
        <v>5451</v>
      </c>
      <c r="AQ607" t="s">
        <v>54</v>
      </c>
      <c r="AT607" t="s">
        <v>5452</v>
      </c>
      <c r="AW607" t="s">
        <v>53</v>
      </c>
      <c r="AZ607" t="s">
        <v>54</v>
      </c>
      <c r="BA607" t="s">
        <v>5453</v>
      </c>
    </row>
    <row r="608" spans="1:53" x14ac:dyDescent="0.25">
      <c r="A608">
        <v>603</v>
      </c>
      <c r="B608" t="s">
        <v>5607</v>
      </c>
      <c r="C608" t="s">
        <v>5608</v>
      </c>
      <c r="D608" t="s">
        <v>5609</v>
      </c>
      <c r="E608">
        <v>4</v>
      </c>
      <c r="F608" t="s">
        <v>5443</v>
      </c>
      <c r="G608" t="s">
        <v>5444</v>
      </c>
      <c r="H608" t="s">
        <v>5547</v>
      </c>
      <c r="I608" t="s">
        <v>5610</v>
      </c>
      <c r="J608" t="s">
        <v>5611</v>
      </c>
      <c r="K608" t="s">
        <v>5612</v>
      </c>
      <c r="L608" t="s">
        <v>5613</v>
      </c>
      <c r="M608">
        <v>33.000045776367188</v>
      </c>
      <c r="N608" t="s">
        <v>54</v>
      </c>
      <c r="O608" t="s">
        <v>53</v>
      </c>
      <c r="P608" t="s">
        <v>53</v>
      </c>
      <c r="Q608" t="s">
        <v>53</v>
      </c>
      <c r="R608" t="s">
        <v>53</v>
      </c>
      <c r="S608" t="s">
        <v>5614</v>
      </c>
      <c r="T608" t="s">
        <v>5614</v>
      </c>
      <c r="U608" t="s">
        <v>53</v>
      </c>
      <c r="V608" t="s">
        <v>51</v>
      </c>
      <c r="W608">
        <v>300000</v>
      </c>
      <c r="X608" t="s">
        <v>54</v>
      </c>
      <c r="AA608">
        <v>429</v>
      </c>
      <c r="AB608">
        <v>254</v>
      </c>
      <c r="AC608">
        <v>5509</v>
      </c>
      <c r="AD608">
        <v>1102</v>
      </c>
      <c r="AE608">
        <v>6227</v>
      </c>
      <c r="AF608">
        <v>28</v>
      </c>
      <c r="AG608">
        <v>0</v>
      </c>
      <c r="AH608">
        <v>26.421834945678711</v>
      </c>
      <c r="AI608">
        <v>0</v>
      </c>
      <c r="AJ608">
        <v>1338.850463867188</v>
      </c>
      <c r="AK608" t="s">
        <v>53</v>
      </c>
      <c r="AL608" t="s">
        <v>54</v>
      </c>
      <c r="AM608" t="s">
        <v>5450</v>
      </c>
      <c r="AP608" t="s">
        <v>5451</v>
      </c>
      <c r="AQ608" t="s">
        <v>54</v>
      </c>
      <c r="AT608" t="s">
        <v>5452</v>
      </c>
      <c r="AW608" t="s">
        <v>53</v>
      </c>
      <c r="AZ608" t="s">
        <v>54</v>
      </c>
      <c r="BA608" t="s">
        <v>5453</v>
      </c>
    </row>
    <row r="609" spans="1:53" x14ac:dyDescent="0.25">
      <c r="A609">
        <v>604</v>
      </c>
      <c r="B609" t="s">
        <v>5615</v>
      </c>
      <c r="C609" t="s">
        <v>5616</v>
      </c>
      <c r="D609" t="s">
        <v>5617</v>
      </c>
      <c r="E609">
        <v>4</v>
      </c>
      <c r="F609" t="s">
        <v>5443</v>
      </c>
      <c r="G609" t="s">
        <v>5598</v>
      </c>
      <c r="H609" t="s">
        <v>5547</v>
      </c>
      <c r="I609" t="s">
        <v>5618</v>
      </c>
      <c r="J609" t="s">
        <v>5619</v>
      </c>
      <c r="K609" t="s">
        <v>5620</v>
      </c>
      <c r="L609" t="s">
        <v>5621</v>
      </c>
      <c r="M609">
        <v>1.900088429450989</v>
      </c>
      <c r="N609" t="s">
        <v>54</v>
      </c>
      <c r="O609" t="s">
        <v>53</v>
      </c>
      <c r="P609" t="s">
        <v>53</v>
      </c>
      <c r="Q609" t="s">
        <v>53</v>
      </c>
      <c r="R609" t="s">
        <v>53</v>
      </c>
      <c r="S609" t="s">
        <v>5622</v>
      </c>
      <c r="T609" t="s">
        <v>5622</v>
      </c>
      <c r="U609" t="s">
        <v>53</v>
      </c>
      <c r="V609" t="s">
        <v>51</v>
      </c>
      <c r="W609">
        <v>200000</v>
      </c>
      <c r="X609" t="s">
        <v>54</v>
      </c>
      <c r="AA609">
        <v>4</v>
      </c>
      <c r="AB609">
        <v>1</v>
      </c>
      <c r="AC609">
        <v>4</v>
      </c>
      <c r="AD609">
        <v>12</v>
      </c>
      <c r="AE609">
        <v>12</v>
      </c>
      <c r="AF609">
        <v>0</v>
      </c>
      <c r="AG609">
        <v>0</v>
      </c>
      <c r="AH609">
        <v>1.7285463809967041</v>
      </c>
      <c r="AI609">
        <v>0</v>
      </c>
      <c r="AJ609">
        <v>126.89296722412109</v>
      </c>
      <c r="AK609" t="s">
        <v>53</v>
      </c>
      <c r="AL609" t="s">
        <v>54</v>
      </c>
      <c r="AM609" t="s">
        <v>5450</v>
      </c>
      <c r="AP609" t="s">
        <v>5451</v>
      </c>
      <c r="AQ609" t="s">
        <v>54</v>
      </c>
      <c r="AT609" t="s">
        <v>5452</v>
      </c>
      <c r="AW609" t="s">
        <v>53</v>
      </c>
      <c r="AZ609" t="s">
        <v>54</v>
      </c>
      <c r="BA609" t="s">
        <v>5453</v>
      </c>
    </row>
    <row r="610" spans="1:53" x14ac:dyDescent="0.25">
      <c r="A610">
        <v>605</v>
      </c>
      <c r="B610" t="s">
        <v>5623</v>
      </c>
      <c r="C610" t="s">
        <v>5624</v>
      </c>
      <c r="D610" t="s">
        <v>5625</v>
      </c>
      <c r="E610">
        <v>4</v>
      </c>
      <c r="F610" t="s">
        <v>5443</v>
      </c>
      <c r="G610" t="s">
        <v>5598</v>
      </c>
      <c r="H610" t="s">
        <v>5547</v>
      </c>
      <c r="I610" t="s">
        <v>5618</v>
      </c>
      <c r="J610" t="s">
        <v>5626</v>
      </c>
      <c r="K610" t="s">
        <v>5627</v>
      </c>
      <c r="L610" t="s">
        <v>5628</v>
      </c>
      <c r="M610">
        <v>6.4877657890319824</v>
      </c>
      <c r="N610" t="s">
        <v>54</v>
      </c>
      <c r="O610" t="s">
        <v>53</v>
      </c>
      <c r="P610" t="s">
        <v>53</v>
      </c>
      <c r="Q610" t="s">
        <v>53</v>
      </c>
      <c r="R610" t="s">
        <v>53</v>
      </c>
      <c r="S610" t="s">
        <v>5629</v>
      </c>
      <c r="T610" t="s">
        <v>5629</v>
      </c>
      <c r="U610" t="s">
        <v>53</v>
      </c>
      <c r="V610" t="s">
        <v>51</v>
      </c>
      <c r="W610">
        <v>300000</v>
      </c>
      <c r="X610" t="s">
        <v>54</v>
      </c>
      <c r="AA610">
        <v>231</v>
      </c>
      <c r="AB610">
        <v>45</v>
      </c>
      <c r="AC610">
        <v>1002</v>
      </c>
      <c r="AD610">
        <v>69</v>
      </c>
      <c r="AE610">
        <v>1054</v>
      </c>
      <c r="AF610">
        <v>12</v>
      </c>
      <c r="AG610">
        <v>2</v>
      </c>
      <c r="AH610">
        <v>4.0424723625183114</v>
      </c>
      <c r="AI610">
        <v>2</v>
      </c>
      <c r="AJ610">
        <v>146.59025573730469</v>
      </c>
      <c r="AK610" t="s">
        <v>53</v>
      </c>
      <c r="AL610" t="s">
        <v>54</v>
      </c>
      <c r="AM610" t="s">
        <v>5450</v>
      </c>
      <c r="AP610" t="s">
        <v>5451</v>
      </c>
      <c r="AQ610" t="s">
        <v>54</v>
      </c>
      <c r="AT610" t="s">
        <v>5452</v>
      </c>
      <c r="AW610" t="s">
        <v>53</v>
      </c>
      <c r="AZ610" t="s">
        <v>54</v>
      </c>
      <c r="BA610" t="s">
        <v>5453</v>
      </c>
    </row>
    <row r="611" spans="1:53" x14ac:dyDescent="0.25">
      <c r="A611">
        <v>606</v>
      </c>
      <c r="B611" t="s">
        <v>5630</v>
      </c>
      <c r="C611" t="s">
        <v>5631</v>
      </c>
      <c r="D611" t="s">
        <v>5632</v>
      </c>
      <c r="E611">
        <v>4</v>
      </c>
      <c r="F611" t="s">
        <v>5443</v>
      </c>
      <c r="G611" t="s">
        <v>5633</v>
      </c>
      <c r="H611" t="s">
        <v>5509</v>
      </c>
      <c r="I611" t="s">
        <v>5634</v>
      </c>
      <c r="J611" t="s">
        <v>5635</v>
      </c>
      <c r="K611" t="s">
        <v>5636</v>
      </c>
      <c r="L611" t="s">
        <v>5637</v>
      </c>
      <c r="M611">
        <v>18.57613372802734</v>
      </c>
      <c r="N611" t="s">
        <v>54</v>
      </c>
      <c r="O611" t="s">
        <v>53</v>
      </c>
      <c r="P611" t="s">
        <v>53</v>
      </c>
      <c r="Q611" t="s">
        <v>53</v>
      </c>
      <c r="R611" t="s">
        <v>53</v>
      </c>
      <c r="S611" t="s">
        <v>5638</v>
      </c>
      <c r="T611" t="s">
        <v>5638</v>
      </c>
      <c r="U611" t="s">
        <v>53</v>
      </c>
      <c r="V611" t="s">
        <v>51</v>
      </c>
      <c r="W611">
        <v>300000</v>
      </c>
      <c r="X611" t="s">
        <v>54</v>
      </c>
      <c r="AA611">
        <v>296</v>
      </c>
      <c r="AB611">
        <v>224</v>
      </c>
      <c r="AC611">
        <v>870</v>
      </c>
      <c r="AD611">
        <v>599</v>
      </c>
      <c r="AE611">
        <v>1284</v>
      </c>
      <c r="AF611">
        <v>3</v>
      </c>
      <c r="AG611">
        <v>3</v>
      </c>
      <c r="AH611">
        <v>15.24395275115967</v>
      </c>
      <c r="AI611">
        <v>3</v>
      </c>
      <c r="AJ611">
        <v>95.777946472167969</v>
      </c>
      <c r="AK611" t="s">
        <v>53</v>
      </c>
      <c r="AL611" t="s">
        <v>54</v>
      </c>
      <c r="AM611" t="s">
        <v>5450</v>
      </c>
      <c r="AP611" t="s">
        <v>5451</v>
      </c>
      <c r="AQ611" t="s">
        <v>54</v>
      </c>
      <c r="AT611" t="s">
        <v>5452</v>
      </c>
      <c r="AW611" t="s">
        <v>53</v>
      </c>
      <c r="AZ611" t="s">
        <v>54</v>
      </c>
      <c r="BA611" t="s">
        <v>5453</v>
      </c>
    </row>
    <row r="612" spans="1:53" x14ac:dyDescent="0.25">
      <c r="A612">
        <v>607</v>
      </c>
      <c r="B612" t="s">
        <v>5639</v>
      </c>
      <c r="C612" t="s">
        <v>5640</v>
      </c>
      <c r="D612" t="s">
        <v>5641</v>
      </c>
      <c r="E612">
        <v>4</v>
      </c>
      <c r="F612" t="s">
        <v>5443</v>
      </c>
      <c r="G612" t="s">
        <v>5633</v>
      </c>
      <c r="H612" t="s">
        <v>5509</v>
      </c>
      <c r="I612" t="s">
        <v>5634</v>
      </c>
      <c r="J612" t="s">
        <v>5635</v>
      </c>
      <c r="K612" t="s">
        <v>5636</v>
      </c>
      <c r="L612" t="s">
        <v>5637</v>
      </c>
      <c r="M612">
        <v>18.57613372802734</v>
      </c>
      <c r="N612" t="s">
        <v>54</v>
      </c>
      <c r="O612" t="s">
        <v>53</v>
      </c>
      <c r="P612" t="s">
        <v>53</v>
      </c>
      <c r="Q612" t="s">
        <v>53</v>
      </c>
      <c r="R612" t="s">
        <v>53</v>
      </c>
      <c r="S612" t="s">
        <v>5638</v>
      </c>
      <c r="T612" t="s">
        <v>5638</v>
      </c>
      <c r="U612" t="s">
        <v>54</v>
      </c>
      <c r="V612" t="s">
        <v>51</v>
      </c>
      <c r="W612">
        <v>400000</v>
      </c>
      <c r="X612" t="s">
        <v>54</v>
      </c>
      <c r="AA612">
        <v>296</v>
      </c>
      <c r="AB612">
        <v>224</v>
      </c>
      <c r="AC612">
        <v>870</v>
      </c>
      <c r="AD612">
        <v>599</v>
      </c>
      <c r="AE612">
        <v>1284</v>
      </c>
      <c r="AF612">
        <v>3</v>
      </c>
      <c r="AG612">
        <v>3</v>
      </c>
      <c r="AH612">
        <v>15.24395275115967</v>
      </c>
      <c r="AI612">
        <v>3</v>
      </c>
      <c r="AJ612">
        <v>95.777946472167969</v>
      </c>
      <c r="AK612" t="s">
        <v>53</v>
      </c>
      <c r="AL612" t="s">
        <v>54</v>
      </c>
      <c r="AM612" t="s">
        <v>5450</v>
      </c>
      <c r="AP612" t="s">
        <v>5451</v>
      </c>
      <c r="AQ612" t="s">
        <v>54</v>
      </c>
      <c r="AT612" t="s">
        <v>5452</v>
      </c>
      <c r="AW612" t="s">
        <v>53</v>
      </c>
      <c r="AZ612" t="s">
        <v>54</v>
      </c>
      <c r="BA612" t="s">
        <v>5453</v>
      </c>
    </row>
    <row r="613" spans="1:53" x14ac:dyDescent="0.25">
      <c r="A613">
        <v>608</v>
      </c>
      <c r="B613" t="s">
        <v>5642</v>
      </c>
      <c r="C613" t="s">
        <v>5643</v>
      </c>
      <c r="D613" t="s">
        <v>5644</v>
      </c>
      <c r="E613">
        <v>4</v>
      </c>
      <c r="F613" t="s">
        <v>5443</v>
      </c>
      <c r="G613" t="s">
        <v>5633</v>
      </c>
      <c r="H613" t="s">
        <v>5509</v>
      </c>
      <c r="I613" t="s">
        <v>5645</v>
      </c>
      <c r="J613" t="s">
        <v>5646</v>
      </c>
      <c r="K613" t="s">
        <v>5647</v>
      </c>
      <c r="L613" t="s">
        <v>5602</v>
      </c>
      <c r="M613">
        <v>11.992349624633791</v>
      </c>
      <c r="N613" t="s">
        <v>54</v>
      </c>
      <c r="O613" t="s">
        <v>53</v>
      </c>
      <c r="P613" t="s">
        <v>53</v>
      </c>
      <c r="Q613" t="s">
        <v>53</v>
      </c>
      <c r="R613" t="s">
        <v>53</v>
      </c>
      <c r="S613" t="s">
        <v>5648</v>
      </c>
      <c r="T613" t="s">
        <v>5648</v>
      </c>
      <c r="U613" t="s">
        <v>54</v>
      </c>
      <c r="V613" t="s">
        <v>51</v>
      </c>
      <c r="W613">
        <v>200000</v>
      </c>
      <c r="X613" t="s">
        <v>54</v>
      </c>
      <c r="AA613">
        <v>27</v>
      </c>
      <c r="AB613">
        <v>24</v>
      </c>
      <c r="AC613">
        <v>422</v>
      </c>
      <c r="AD613">
        <v>304</v>
      </c>
      <c r="AE613">
        <v>629</v>
      </c>
      <c r="AF613">
        <v>0</v>
      </c>
      <c r="AG613">
        <v>0</v>
      </c>
      <c r="AH613">
        <v>0.30945983529090881</v>
      </c>
      <c r="AI613">
        <v>0</v>
      </c>
      <c r="AJ613">
        <v>15.02338314056396</v>
      </c>
      <c r="AK613" t="s">
        <v>53</v>
      </c>
      <c r="AL613" t="s">
        <v>54</v>
      </c>
      <c r="AM613" t="s">
        <v>5450</v>
      </c>
      <c r="AP613" t="s">
        <v>5451</v>
      </c>
      <c r="AQ613" t="s">
        <v>54</v>
      </c>
      <c r="AT613" t="s">
        <v>5452</v>
      </c>
      <c r="AW613" t="s">
        <v>53</v>
      </c>
      <c r="AZ613" t="s">
        <v>54</v>
      </c>
      <c r="BA613" t="s">
        <v>5453</v>
      </c>
    </row>
    <row r="614" spans="1:53" x14ac:dyDescent="0.25">
      <c r="A614">
        <v>609</v>
      </c>
      <c r="B614" t="s">
        <v>5649</v>
      </c>
      <c r="C614" t="s">
        <v>5650</v>
      </c>
      <c r="D614" t="s">
        <v>5651</v>
      </c>
      <c r="E614">
        <v>4</v>
      </c>
      <c r="F614" t="s">
        <v>5443</v>
      </c>
      <c r="G614" t="s">
        <v>5633</v>
      </c>
      <c r="H614" t="s">
        <v>5509</v>
      </c>
      <c r="I614" t="s">
        <v>5645</v>
      </c>
      <c r="J614" t="s">
        <v>5646</v>
      </c>
      <c r="K614" t="s">
        <v>5647</v>
      </c>
      <c r="L614" t="s">
        <v>5602</v>
      </c>
      <c r="M614">
        <v>11.992349624633791</v>
      </c>
      <c r="N614" t="s">
        <v>54</v>
      </c>
      <c r="O614" t="s">
        <v>53</v>
      </c>
      <c r="P614" t="s">
        <v>53</v>
      </c>
      <c r="Q614" t="s">
        <v>53</v>
      </c>
      <c r="R614" t="s">
        <v>53</v>
      </c>
      <c r="S614" t="s">
        <v>5648</v>
      </c>
      <c r="T614" t="s">
        <v>5648</v>
      </c>
      <c r="U614" t="s">
        <v>54</v>
      </c>
      <c r="V614" t="s">
        <v>51</v>
      </c>
      <c r="W614">
        <v>100000</v>
      </c>
      <c r="X614" t="s">
        <v>54</v>
      </c>
      <c r="AA614">
        <v>27</v>
      </c>
      <c r="AB614">
        <v>24</v>
      </c>
      <c r="AC614">
        <v>422</v>
      </c>
      <c r="AD614">
        <v>304</v>
      </c>
      <c r="AE614">
        <v>629</v>
      </c>
      <c r="AF614">
        <v>0</v>
      </c>
      <c r="AG614">
        <v>0</v>
      </c>
      <c r="AH614">
        <v>0.30945983529090881</v>
      </c>
      <c r="AI614">
        <v>0</v>
      </c>
      <c r="AJ614">
        <v>15.02338314056396</v>
      </c>
      <c r="AK614" t="s">
        <v>53</v>
      </c>
      <c r="AL614" t="s">
        <v>54</v>
      </c>
      <c r="AM614" t="s">
        <v>5450</v>
      </c>
      <c r="AP614" t="s">
        <v>5451</v>
      </c>
      <c r="AQ614" t="s">
        <v>54</v>
      </c>
      <c r="AT614" t="s">
        <v>5452</v>
      </c>
      <c r="AW614" t="s">
        <v>53</v>
      </c>
      <c r="AZ614" t="s">
        <v>54</v>
      </c>
      <c r="BA614" t="s">
        <v>5453</v>
      </c>
    </row>
    <row r="615" spans="1:53" x14ac:dyDescent="0.25">
      <c r="A615">
        <v>610</v>
      </c>
      <c r="B615" t="s">
        <v>5652</v>
      </c>
      <c r="C615" t="s">
        <v>5653</v>
      </c>
      <c r="D615" t="s">
        <v>5654</v>
      </c>
      <c r="E615">
        <v>4</v>
      </c>
      <c r="F615" t="s">
        <v>5443</v>
      </c>
      <c r="G615" t="s">
        <v>5655</v>
      </c>
      <c r="H615" t="s">
        <v>5509</v>
      </c>
      <c r="I615" t="s">
        <v>5565</v>
      </c>
      <c r="J615" t="s">
        <v>5566</v>
      </c>
      <c r="K615" t="s">
        <v>5567</v>
      </c>
      <c r="L615" t="s">
        <v>5656</v>
      </c>
      <c r="M615">
        <v>55.714336395263672</v>
      </c>
      <c r="N615" t="s">
        <v>54</v>
      </c>
      <c r="O615" t="s">
        <v>53</v>
      </c>
      <c r="P615" t="s">
        <v>53</v>
      </c>
      <c r="Q615" t="s">
        <v>53</v>
      </c>
      <c r="R615" t="s">
        <v>53</v>
      </c>
      <c r="S615" t="s">
        <v>5568</v>
      </c>
      <c r="T615" t="s">
        <v>5568</v>
      </c>
      <c r="U615" t="s">
        <v>54</v>
      </c>
      <c r="V615" t="s">
        <v>51</v>
      </c>
      <c r="W615">
        <v>85000</v>
      </c>
      <c r="X615" t="s">
        <v>54</v>
      </c>
      <c r="AA615">
        <v>1379</v>
      </c>
      <c r="AB615">
        <v>1024</v>
      </c>
      <c r="AC615">
        <v>10126</v>
      </c>
      <c r="AD615">
        <v>3757</v>
      </c>
      <c r="AE615">
        <v>12707</v>
      </c>
      <c r="AF615">
        <v>9</v>
      </c>
      <c r="AG615">
        <v>0</v>
      </c>
      <c r="AH615">
        <v>41.051982879638672</v>
      </c>
      <c r="AI615">
        <v>0</v>
      </c>
      <c r="AJ615">
        <v>294.66531372070313</v>
      </c>
      <c r="AK615" t="s">
        <v>53</v>
      </c>
      <c r="AL615" t="s">
        <v>54</v>
      </c>
      <c r="AM615" t="s">
        <v>5450</v>
      </c>
      <c r="AP615" t="s">
        <v>5451</v>
      </c>
      <c r="AQ615" t="s">
        <v>54</v>
      </c>
      <c r="AT615" t="s">
        <v>5452</v>
      </c>
      <c r="AW615" t="s">
        <v>53</v>
      </c>
      <c r="AZ615" t="s">
        <v>54</v>
      </c>
      <c r="BA615" t="s">
        <v>5453</v>
      </c>
    </row>
    <row r="616" spans="1:53" x14ac:dyDescent="0.25">
      <c r="A616">
        <v>611</v>
      </c>
      <c r="B616" t="s">
        <v>5657</v>
      </c>
      <c r="C616" t="s">
        <v>5658</v>
      </c>
      <c r="D616" t="s">
        <v>5659</v>
      </c>
      <c r="E616">
        <v>4</v>
      </c>
      <c r="F616" t="s">
        <v>5443</v>
      </c>
      <c r="G616" t="s">
        <v>5444</v>
      </c>
      <c r="H616" t="s">
        <v>5445</v>
      </c>
      <c r="I616" t="s">
        <v>5660</v>
      </c>
      <c r="J616" t="s">
        <v>5661</v>
      </c>
      <c r="K616" t="s">
        <v>5662</v>
      </c>
      <c r="L616" t="s">
        <v>5637</v>
      </c>
      <c r="M616">
        <v>1.1068732738494871</v>
      </c>
      <c r="N616" t="s">
        <v>54</v>
      </c>
      <c r="O616" t="s">
        <v>53</v>
      </c>
      <c r="P616" t="s">
        <v>53</v>
      </c>
      <c r="Q616" t="s">
        <v>53</v>
      </c>
      <c r="R616" t="s">
        <v>53</v>
      </c>
      <c r="S616" t="s">
        <v>5663</v>
      </c>
      <c r="T616" t="s">
        <v>5663</v>
      </c>
      <c r="U616" t="s">
        <v>54</v>
      </c>
      <c r="V616" t="s">
        <v>1973</v>
      </c>
      <c r="W616">
        <v>500000</v>
      </c>
      <c r="X616" t="s">
        <v>54</v>
      </c>
      <c r="AA616">
        <v>3</v>
      </c>
      <c r="AB616">
        <v>2</v>
      </c>
      <c r="AC616">
        <v>1</v>
      </c>
      <c r="AD616">
        <v>2</v>
      </c>
      <c r="AE616">
        <v>2</v>
      </c>
      <c r="AF616">
        <v>0</v>
      </c>
      <c r="AG616">
        <v>0</v>
      </c>
      <c r="AH616">
        <v>1.8961000023409719E-4</v>
      </c>
      <c r="AI616">
        <v>0</v>
      </c>
      <c r="AJ616">
        <v>30.463380813598629</v>
      </c>
      <c r="AK616" t="s">
        <v>53</v>
      </c>
      <c r="AL616" t="s">
        <v>54</v>
      </c>
      <c r="AM616" t="s">
        <v>5450</v>
      </c>
      <c r="AP616" t="s">
        <v>5451</v>
      </c>
      <c r="AQ616" t="s">
        <v>54</v>
      </c>
      <c r="AT616" t="s">
        <v>5452</v>
      </c>
      <c r="AW616" t="s">
        <v>53</v>
      </c>
      <c r="AZ616" t="s">
        <v>54</v>
      </c>
      <c r="BA616" t="s">
        <v>5453</v>
      </c>
    </row>
    <row r="617" spans="1:53" x14ac:dyDescent="0.25">
      <c r="A617">
        <v>612</v>
      </c>
      <c r="B617" t="s">
        <v>5664</v>
      </c>
      <c r="C617" t="s">
        <v>5665</v>
      </c>
      <c r="D617" t="s">
        <v>5666</v>
      </c>
      <c r="E617">
        <v>4</v>
      </c>
      <c r="F617" t="s">
        <v>5443</v>
      </c>
      <c r="G617" t="s">
        <v>5456</v>
      </c>
      <c r="H617" t="s">
        <v>5457</v>
      </c>
      <c r="I617" t="s">
        <v>5580</v>
      </c>
      <c r="J617" t="s">
        <v>5581</v>
      </c>
      <c r="K617" t="s">
        <v>5582</v>
      </c>
      <c r="L617" t="s">
        <v>5667</v>
      </c>
      <c r="M617">
        <v>2.415523767471313</v>
      </c>
      <c r="N617" t="s">
        <v>54</v>
      </c>
      <c r="O617" t="s">
        <v>53</v>
      </c>
      <c r="P617" t="s">
        <v>53</v>
      </c>
      <c r="Q617" t="s">
        <v>53</v>
      </c>
      <c r="R617" t="s">
        <v>53</v>
      </c>
      <c r="S617" t="s">
        <v>5583</v>
      </c>
      <c r="T617" t="s">
        <v>5583</v>
      </c>
      <c r="U617" t="s">
        <v>54</v>
      </c>
      <c r="V617" t="s">
        <v>51</v>
      </c>
      <c r="W617">
        <v>100000</v>
      </c>
      <c r="X617" t="s">
        <v>54</v>
      </c>
      <c r="AA617">
        <v>135</v>
      </c>
      <c r="AB617">
        <v>44</v>
      </c>
      <c r="AC617">
        <v>407</v>
      </c>
      <c r="AD617">
        <v>436</v>
      </c>
      <c r="AE617">
        <v>517</v>
      </c>
      <c r="AF617">
        <v>3</v>
      </c>
      <c r="AG617">
        <v>3</v>
      </c>
      <c r="AH617">
        <v>2.8958513736724849</v>
      </c>
      <c r="AI617">
        <v>3</v>
      </c>
      <c r="AJ617">
        <v>12.37187480926514</v>
      </c>
      <c r="AK617" t="s">
        <v>53</v>
      </c>
      <c r="AL617" t="s">
        <v>54</v>
      </c>
      <c r="AM617" t="s">
        <v>5450</v>
      </c>
      <c r="AP617" t="s">
        <v>5451</v>
      </c>
      <c r="AQ617" t="s">
        <v>54</v>
      </c>
      <c r="AT617" t="s">
        <v>5552</v>
      </c>
      <c r="AW617" t="s">
        <v>53</v>
      </c>
      <c r="AZ617" t="s">
        <v>54</v>
      </c>
      <c r="BA617" t="s">
        <v>5453</v>
      </c>
    </row>
    <row r="618" spans="1:53" x14ac:dyDescent="0.25">
      <c r="A618">
        <v>613</v>
      </c>
      <c r="B618" t="s">
        <v>5668</v>
      </c>
      <c r="C618" t="s">
        <v>5669</v>
      </c>
      <c r="D618" t="s">
        <v>5670</v>
      </c>
      <c r="E618">
        <v>4</v>
      </c>
      <c r="F618" t="s">
        <v>5443</v>
      </c>
      <c r="G618" t="s">
        <v>5538</v>
      </c>
      <c r="H618" t="s">
        <v>5457</v>
      </c>
      <c r="I618" t="s">
        <v>5539</v>
      </c>
      <c r="J618" t="s">
        <v>5671</v>
      </c>
      <c r="K618" t="s">
        <v>5672</v>
      </c>
      <c r="L618" t="s">
        <v>5461</v>
      </c>
      <c r="M618">
        <v>146.20915222167969</v>
      </c>
      <c r="N618" t="s">
        <v>54</v>
      </c>
      <c r="O618" t="s">
        <v>54</v>
      </c>
      <c r="P618" t="s">
        <v>53</v>
      </c>
      <c r="Q618" t="s">
        <v>53</v>
      </c>
      <c r="R618" t="s">
        <v>53</v>
      </c>
      <c r="S618" t="s">
        <v>5673</v>
      </c>
      <c r="T618" t="s">
        <v>5673</v>
      </c>
      <c r="U618" t="s">
        <v>54</v>
      </c>
      <c r="V618" t="s">
        <v>51</v>
      </c>
      <c r="W618">
        <v>2000000</v>
      </c>
      <c r="X618" t="s">
        <v>54</v>
      </c>
      <c r="AA618">
        <v>10571</v>
      </c>
      <c r="AB618">
        <v>8463</v>
      </c>
      <c r="AC618">
        <v>18428</v>
      </c>
      <c r="AD618">
        <v>17186</v>
      </c>
      <c r="AE618">
        <v>29689</v>
      </c>
      <c r="AF618">
        <v>306</v>
      </c>
      <c r="AG618">
        <v>15</v>
      </c>
      <c r="AH618">
        <v>239.6927795410156</v>
      </c>
      <c r="AI618">
        <v>15</v>
      </c>
      <c r="AJ618">
        <v>9260.3798828125</v>
      </c>
      <c r="AK618" t="s">
        <v>54</v>
      </c>
      <c r="AL618" t="s">
        <v>54</v>
      </c>
      <c r="AM618" t="s">
        <v>5450</v>
      </c>
      <c r="AP618" t="s">
        <v>5451</v>
      </c>
      <c r="AQ618" t="s">
        <v>54</v>
      </c>
      <c r="AT618" t="s">
        <v>5576</v>
      </c>
      <c r="AW618" t="s">
        <v>54</v>
      </c>
      <c r="AZ618" t="s">
        <v>54</v>
      </c>
      <c r="BA618" t="s">
        <v>5453</v>
      </c>
    </row>
    <row r="619" spans="1:53" x14ac:dyDescent="0.25">
      <c r="A619">
        <v>614</v>
      </c>
      <c r="B619" t="s">
        <v>5674</v>
      </c>
      <c r="C619" t="s">
        <v>5675</v>
      </c>
      <c r="D619" t="s">
        <v>5676</v>
      </c>
      <c r="E619">
        <v>4</v>
      </c>
      <c r="F619" t="s">
        <v>5443</v>
      </c>
      <c r="G619" t="s">
        <v>5538</v>
      </c>
      <c r="H619" t="s">
        <v>5457</v>
      </c>
      <c r="I619" t="s">
        <v>5539</v>
      </c>
      <c r="J619" t="s">
        <v>5671</v>
      </c>
      <c r="K619" t="s">
        <v>5672</v>
      </c>
      <c r="L619" t="s">
        <v>5461</v>
      </c>
      <c r="M619">
        <v>146.20915222167969</v>
      </c>
      <c r="N619" t="s">
        <v>54</v>
      </c>
      <c r="O619" t="s">
        <v>54</v>
      </c>
      <c r="P619" t="s">
        <v>53</v>
      </c>
      <c r="Q619" t="s">
        <v>53</v>
      </c>
      <c r="R619" t="s">
        <v>53</v>
      </c>
      <c r="S619" t="s">
        <v>5673</v>
      </c>
      <c r="T619" t="s">
        <v>5673</v>
      </c>
      <c r="U619" t="s">
        <v>54</v>
      </c>
      <c r="V619" t="s">
        <v>51</v>
      </c>
      <c r="W619">
        <v>1000000</v>
      </c>
      <c r="X619" t="s">
        <v>54</v>
      </c>
      <c r="AA619">
        <v>10571</v>
      </c>
      <c r="AB619">
        <v>8463</v>
      </c>
      <c r="AC619">
        <v>18428</v>
      </c>
      <c r="AD619">
        <v>17186</v>
      </c>
      <c r="AE619">
        <v>29689</v>
      </c>
      <c r="AF619">
        <v>306</v>
      </c>
      <c r="AG619">
        <v>15</v>
      </c>
      <c r="AH619">
        <v>239.6927795410156</v>
      </c>
      <c r="AI619">
        <v>15</v>
      </c>
      <c r="AJ619">
        <v>9260.3798828125</v>
      </c>
      <c r="AK619" t="s">
        <v>54</v>
      </c>
      <c r="AL619" t="s">
        <v>54</v>
      </c>
      <c r="AM619" t="s">
        <v>5450</v>
      </c>
      <c r="AP619" t="s">
        <v>5451</v>
      </c>
      <c r="AQ619" t="s">
        <v>54</v>
      </c>
      <c r="AT619" t="s">
        <v>5576</v>
      </c>
      <c r="AW619" t="s">
        <v>54</v>
      </c>
      <c r="AZ619" t="s">
        <v>54</v>
      </c>
      <c r="BA619" t="s">
        <v>5453</v>
      </c>
    </row>
    <row r="620" spans="1:53" x14ac:dyDescent="0.25">
      <c r="A620">
        <v>615</v>
      </c>
      <c r="B620" t="s">
        <v>5677</v>
      </c>
      <c r="C620" t="s">
        <v>5678</v>
      </c>
      <c r="D620" t="s">
        <v>5679</v>
      </c>
      <c r="E620">
        <v>4</v>
      </c>
      <c r="F620" t="s">
        <v>5443</v>
      </c>
      <c r="G620" t="s">
        <v>5538</v>
      </c>
      <c r="H620" t="s">
        <v>5457</v>
      </c>
      <c r="I620" t="s">
        <v>5466</v>
      </c>
      <c r="J620" t="s">
        <v>5467</v>
      </c>
      <c r="K620" t="s">
        <v>5468</v>
      </c>
      <c r="L620" t="s">
        <v>5461</v>
      </c>
      <c r="M620">
        <v>371.03521728515619</v>
      </c>
      <c r="N620" t="s">
        <v>54</v>
      </c>
      <c r="O620" t="s">
        <v>54</v>
      </c>
      <c r="P620" t="s">
        <v>53</v>
      </c>
      <c r="Q620" t="s">
        <v>53</v>
      </c>
      <c r="R620" t="s">
        <v>53</v>
      </c>
      <c r="S620" t="s">
        <v>5673</v>
      </c>
      <c r="T620" t="s">
        <v>5673</v>
      </c>
      <c r="U620" t="s">
        <v>54</v>
      </c>
      <c r="V620" t="s">
        <v>51</v>
      </c>
      <c r="W620">
        <v>500000</v>
      </c>
      <c r="X620" t="s">
        <v>54</v>
      </c>
      <c r="AA620">
        <v>16974</v>
      </c>
      <c r="AB620">
        <v>14040</v>
      </c>
      <c r="AC620">
        <v>26400</v>
      </c>
      <c r="AD620">
        <v>26881</v>
      </c>
      <c r="AE620">
        <v>44427</v>
      </c>
      <c r="AF620">
        <v>276</v>
      </c>
      <c r="AG620">
        <v>22</v>
      </c>
      <c r="AH620">
        <v>364.498779296875</v>
      </c>
      <c r="AI620">
        <v>22</v>
      </c>
      <c r="AJ620">
        <v>17171.203125</v>
      </c>
      <c r="AK620" t="s">
        <v>54</v>
      </c>
      <c r="AL620" t="s">
        <v>54</v>
      </c>
      <c r="AM620" t="s">
        <v>5450</v>
      </c>
      <c r="AP620" t="s">
        <v>5451</v>
      </c>
      <c r="AQ620" t="s">
        <v>54</v>
      </c>
      <c r="AT620" t="s">
        <v>5576</v>
      </c>
      <c r="AW620" t="s">
        <v>54</v>
      </c>
      <c r="AZ620" t="s">
        <v>54</v>
      </c>
      <c r="BA620" t="s">
        <v>5453</v>
      </c>
    </row>
    <row r="621" spans="1:53" x14ac:dyDescent="0.25">
      <c r="A621">
        <v>616</v>
      </c>
      <c r="B621" t="s">
        <v>5680</v>
      </c>
      <c r="C621" t="s">
        <v>5681</v>
      </c>
      <c r="D621" t="s">
        <v>5682</v>
      </c>
      <c r="E621">
        <v>4</v>
      </c>
      <c r="F621" t="s">
        <v>5443</v>
      </c>
      <c r="G621" t="s">
        <v>5538</v>
      </c>
      <c r="H621" t="s">
        <v>5457</v>
      </c>
      <c r="I621" t="s">
        <v>5466</v>
      </c>
      <c r="J621" t="s">
        <v>5467</v>
      </c>
      <c r="K621" t="s">
        <v>5468</v>
      </c>
      <c r="L621" t="s">
        <v>5461</v>
      </c>
      <c r="M621">
        <v>371.03521728515619</v>
      </c>
      <c r="N621" t="s">
        <v>54</v>
      </c>
      <c r="O621" t="s">
        <v>54</v>
      </c>
      <c r="P621" t="s">
        <v>53</v>
      </c>
      <c r="Q621" t="s">
        <v>53</v>
      </c>
      <c r="R621" t="s">
        <v>53</v>
      </c>
      <c r="S621" t="s">
        <v>5673</v>
      </c>
      <c r="T621" t="s">
        <v>5673</v>
      </c>
      <c r="U621" t="s">
        <v>54</v>
      </c>
      <c r="V621" t="s">
        <v>51</v>
      </c>
      <c r="W621">
        <v>1000000</v>
      </c>
      <c r="X621" t="s">
        <v>54</v>
      </c>
      <c r="AA621">
        <v>16974</v>
      </c>
      <c r="AB621">
        <v>14040</v>
      </c>
      <c r="AC621">
        <v>26400</v>
      </c>
      <c r="AD621">
        <v>26881</v>
      </c>
      <c r="AE621">
        <v>44427</v>
      </c>
      <c r="AF621">
        <v>276</v>
      </c>
      <c r="AG621">
        <v>22</v>
      </c>
      <c r="AH621">
        <v>364.498779296875</v>
      </c>
      <c r="AI621">
        <v>22</v>
      </c>
      <c r="AJ621">
        <v>17171.203125</v>
      </c>
      <c r="AK621" t="s">
        <v>54</v>
      </c>
      <c r="AL621" t="s">
        <v>54</v>
      </c>
      <c r="AM621" t="s">
        <v>5450</v>
      </c>
      <c r="AP621" t="s">
        <v>5451</v>
      </c>
      <c r="AQ621" t="s">
        <v>54</v>
      </c>
      <c r="AT621" t="s">
        <v>5576</v>
      </c>
      <c r="AW621" t="s">
        <v>54</v>
      </c>
      <c r="AZ621" t="s">
        <v>54</v>
      </c>
      <c r="BA621" t="s">
        <v>5453</v>
      </c>
    </row>
    <row r="622" spans="1:53" x14ac:dyDescent="0.25">
      <c r="A622">
        <v>617</v>
      </c>
      <c r="B622" t="s">
        <v>5683</v>
      </c>
      <c r="C622" t="s">
        <v>5684</v>
      </c>
      <c r="D622" t="s">
        <v>5685</v>
      </c>
      <c r="E622">
        <v>4</v>
      </c>
      <c r="F622" t="s">
        <v>5443</v>
      </c>
      <c r="G622" t="s">
        <v>5546</v>
      </c>
      <c r="H622" t="s">
        <v>5547</v>
      </c>
      <c r="I622" t="s">
        <v>5548</v>
      </c>
      <c r="J622" t="s">
        <v>5549</v>
      </c>
      <c r="K622" t="s">
        <v>5550</v>
      </c>
      <c r="L622" t="s">
        <v>5461</v>
      </c>
      <c r="M622">
        <v>55.937992095947273</v>
      </c>
      <c r="N622" t="s">
        <v>54</v>
      </c>
      <c r="O622" t="s">
        <v>53</v>
      </c>
      <c r="P622" t="s">
        <v>53</v>
      </c>
      <c r="Q622" t="s">
        <v>53</v>
      </c>
      <c r="R622" t="s">
        <v>53</v>
      </c>
      <c r="S622" t="s">
        <v>5551</v>
      </c>
      <c r="T622" t="s">
        <v>5551</v>
      </c>
      <c r="U622" t="s">
        <v>53</v>
      </c>
      <c r="V622" t="s">
        <v>51</v>
      </c>
      <c r="W622">
        <v>100000</v>
      </c>
      <c r="X622" t="s">
        <v>54</v>
      </c>
      <c r="AA622">
        <v>295</v>
      </c>
      <c r="AB622">
        <v>220</v>
      </c>
      <c r="AC622">
        <v>303</v>
      </c>
      <c r="AD622">
        <v>694</v>
      </c>
      <c r="AE622">
        <v>828</v>
      </c>
      <c r="AF622">
        <v>0</v>
      </c>
      <c r="AG622">
        <v>12</v>
      </c>
      <c r="AH622">
        <v>18.467290878295898</v>
      </c>
      <c r="AI622">
        <v>12</v>
      </c>
      <c r="AJ622">
        <v>4103.857421875</v>
      </c>
      <c r="AK622" t="s">
        <v>54</v>
      </c>
      <c r="AL622" t="s">
        <v>54</v>
      </c>
      <c r="AM622" t="s">
        <v>5450</v>
      </c>
      <c r="AP622" t="s">
        <v>5451</v>
      </c>
      <c r="AQ622" t="s">
        <v>54</v>
      </c>
      <c r="AT622" t="s">
        <v>5576</v>
      </c>
      <c r="AW622" t="s">
        <v>54</v>
      </c>
      <c r="AZ622" t="s">
        <v>54</v>
      </c>
      <c r="BA622" t="s">
        <v>5453</v>
      </c>
    </row>
    <row r="623" spans="1:53" x14ac:dyDescent="0.25">
      <c r="A623">
        <v>618</v>
      </c>
      <c r="B623" t="s">
        <v>5686</v>
      </c>
      <c r="C623" t="s">
        <v>5687</v>
      </c>
      <c r="D623" t="s">
        <v>5688</v>
      </c>
      <c r="E623">
        <v>4</v>
      </c>
      <c r="F623" t="s">
        <v>5443</v>
      </c>
      <c r="G623" t="s">
        <v>5689</v>
      </c>
      <c r="H623" t="s">
        <v>5457</v>
      </c>
      <c r="I623" t="s">
        <v>5690</v>
      </c>
      <c r="J623" t="s">
        <v>5691</v>
      </c>
      <c r="K623" t="s">
        <v>5692</v>
      </c>
      <c r="L623" t="s">
        <v>5461</v>
      </c>
      <c r="M623">
        <v>159.11885070800781</v>
      </c>
      <c r="N623" t="s">
        <v>54</v>
      </c>
      <c r="O623" t="s">
        <v>53</v>
      </c>
      <c r="P623" t="s">
        <v>53</v>
      </c>
      <c r="Q623" t="s">
        <v>53</v>
      </c>
      <c r="R623" t="s">
        <v>53</v>
      </c>
      <c r="S623" t="s">
        <v>5469</v>
      </c>
      <c r="T623" t="s">
        <v>5469</v>
      </c>
      <c r="U623" t="s">
        <v>54</v>
      </c>
      <c r="V623" t="s">
        <v>51</v>
      </c>
      <c r="W623">
        <v>600000</v>
      </c>
      <c r="X623" t="s">
        <v>54</v>
      </c>
      <c r="AA623">
        <v>260</v>
      </c>
      <c r="AB623">
        <v>132</v>
      </c>
      <c r="AC623">
        <v>207</v>
      </c>
      <c r="AD623">
        <v>249</v>
      </c>
      <c r="AE623">
        <v>294</v>
      </c>
      <c r="AF623">
        <v>17</v>
      </c>
      <c r="AG623">
        <v>5</v>
      </c>
      <c r="AH623">
        <v>18.732088088989261</v>
      </c>
      <c r="AI623">
        <v>5</v>
      </c>
      <c r="AJ623">
        <v>891.6334228515625</v>
      </c>
      <c r="AK623" t="s">
        <v>53</v>
      </c>
      <c r="AL623" t="s">
        <v>54</v>
      </c>
      <c r="AM623" t="s">
        <v>5450</v>
      </c>
      <c r="AP623" t="s">
        <v>5451</v>
      </c>
      <c r="AQ623" t="s">
        <v>54</v>
      </c>
      <c r="AT623" t="s">
        <v>5543</v>
      </c>
      <c r="AW623" t="s">
        <v>54</v>
      </c>
      <c r="AZ623" t="s">
        <v>54</v>
      </c>
      <c r="BA623" t="s">
        <v>5453</v>
      </c>
    </row>
    <row r="624" spans="1:53" x14ac:dyDescent="0.25">
      <c r="A624">
        <v>619</v>
      </c>
      <c r="B624" t="s">
        <v>5693</v>
      </c>
      <c r="C624" t="s">
        <v>5694</v>
      </c>
      <c r="D624" t="s">
        <v>5695</v>
      </c>
      <c r="E624">
        <v>4</v>
      </c>
      <c r="F624" t="s">
        <v>5443</v>
      </c>
      <c r="G624" t="s">
        <v>5538</v>
      </c>
      <c r="H624" t="s">
        <v>5457</v>
      </c>
      <c r="I624" t="s">
        <v>5539</v>
      </c>
      <c r="J624" t="s">
        <v>5467</v>
      </c>
      <c r="K624" t="s">
        <v>5468</v>
      </c>
      <c r="L624" t="s">
        <v>5461</v>
      </c>
      <c r="M624">
        <v>371.03521728515619</v>
      </c>
      <c r="N624" t="s">
        <v>54</v>
      </c>
      <c r="O624" t="s">
        <v>54</v>
      </c>
      <c r="P624" t="s">
        <v>53</v>
      </c>
      <c r="Q624" t="s">
        <v>53</v>
      </c>
      <c r="R624" t="s">
        <v>53</v>
      </c>
      <c r="S624" t="s">
        <v>5696</v>
      </c>
      <c r="T624" t="s">
        <v>5696</v>
      </c>
      <c r="U624" t="s">
        <v>54</v>
      </c>
      <c r="V624" t="s">
        <v>51</v>
      </c>
      <c r="W624">
        <v>250000</v>
      </c>
      <c r="X624" t="s">
        <v>54</v>
      </c>
      <c r="AA624">
        <v>16974</v>
      </c>
      <c r="AB624">
        <v>14040</v>
      </c>
      <c r="AC624">
        <v>26400</v>
      </c>
      <c r="AD624">
        <v>26881</v>
      </c>
      <c r="AE624">
        <v>44427</v>
      </c>
      <c r="AF624">
        <v>276</v>
      </c>
      <c r="AG624">
        <v>22</v>
      </c>
      <c r="AH624">
        <v>364</v>
      </c>
      <c r="AI624">
        <v>22</v>
      </c>
      <c r="AJ624">
        <v>17171.203125</v>
      </c>
      <c r="AK624" t="s">
        <v>53</v>
      </c>
      <c r="AL624" t="s">
        <v>54</v>
      </c>
      <c r="AM624" t="s">
        <v>5450</v>
      </c>
      <c r="AP624" t="s">
        <v>5451</v>
      </c>
      <c r="AQ624" t="s">
        <v>54</v>
      </c>
      <c r="AT624" t="s">
        <v>5576</v>
      </c>
      <c r="AW624" t="s">
        <v>54</v>
      </c>
      <c r="AZ624" t="s">
        <v>54</v>
      </c>
      <c r="BA624" t="s">
        <v>5453</v>
      </c>
    </row>
    <row r="625" spans="1:53" x14ac:dyDescent="0.25">
      <c r="A625">
        <v>620</v>
      </c>
      <c r="B625" t="s">
        <v>5697</v>
      </c>
      <c r="C625" t="s">
        <v>5698</v>
      </c>
      <c r="D625" t="s">
        <v>5699</v>
      </c>
      <c r="E625">
        <v>4</v>
      </c>
      <c r="F625" t="s">
        <v>5443</v>
      </c>
      <c r="G625" t="s">
        <v>5538</v>
      </c>
      <c r="H625" t="s">
        <v>5457</v>
      </c>
      <c r="I625" t="s">
        <v>5539</v>
      </c>
      <c r="J625" t="s">
        <v>5671</v>
      </c>
      <c r="K625" t="s">
        <v>5700</v>
      </c>
      <c r="L625" t="s">
        <v>5449</v>
      </c>
      <c r="M625">
        <v>2.5865767002105708</v>
      </c>
      <c r="N625" t="s">
        <v>54</v>
      </c>
      <c r="O625" t="s">
        <v>54</v>
      </c>
      <c r="P625" t="s">
        <v>53</v>
      </c>
      <c r="Q625" t="s">
        <v>53</v>
      </c>
      <c r="R625" t="s">
        <v>53</v>
      </c>
      <c r="S625" t="s">
        <v>5701</v>
      </c>
      <c r="T625" t="s">
        <v>5701</v>
      </c>
      <c r="U625" t="s">
        <v>54</v>
      </c>
      <c r="V625" t="s">
        <v>51</v>
      </c>
      <c r="W625">
        <v>350000</v>
      </c>
      <c r="X625" t="s">
        <v>54</v>
      </c>
      <c r="AA625">
        <v>1143</v>
      </c>
      <c r="AB625">
        <v>1007</v>
      </c>
      <c r="AC625">
        <v>1612</v>
      </c>
      <c r="AD625">
        <v>2020</v>
      </c>
      <c r="AE625">
        <v>2990</v>
      </c>
      <c r="AF625">
        <v>0</v>
      </c>
      <c r="AG625">
        <v>0</v>
      </c>
      <c r="AH625">
        <v>20.229312896728519</v>
      </c>
      <c r="AI625">
        <v>0</v>
      </c>
      <c r="AJ625">
        <v>30.463947296142582</v>
      </c>
      <c r="AK625" t="s">
        <v>54</v>
      </c>
      <c r="AL625" t="s">
        <v>54</v>
      </c>
      <c r="AM625" t="s">
        <v>5450</v>
      </c>
      <c r="AP625" t="s">
        <v>5451</v>
      </c>
      <c r="AQ625" t="s">
        <v>54</v>
      </c>
      <c r="AT625" t="s">
        <v>5552</v>
      </c>
      <c r="AW625" t="s">
        <v>53</v>
      </c>
      <c r="AZ625" t="s">
        <v>54</v>
      </c>
      <c r="BA625" t="s">
        <v>5453</v>
      </c>
    </row>
    <row r="626" spans="1:53" x14ac:dyDescent="0.25">
      <c r="A626">
        <v>621</v>
      </c>
      <c r="B626" t="s">
        <v>5702</v>
      </c>
      <c r="C626" t="s">
        <v>5703</v>
      </c>
      <c r="D626" t="s">
        <v>5704</v>
      </c>
      <c r="E626">
        <v>4</v>
      </c>
      <c r="F626" t="s">
        <v>5443</v>
      </c>
      <c r="G626" t="s">
        <v>5538</v>
      </c>
      <c r="H626" t="s">
        <v>5457</v>
      </c>
      <c r="I626" t="s">
        <v>5539</v>
      </c>
      <c r="J626" t="s">
        <v>5671</v>
      </c>
      <c r="K626" t="s">
        <v>5672</v>
      </c>
      <c r="L626" t="s">
        <v>5461</v>
      </c>
      <c r="M626">
        <v>146.20915222167969</v>
      </c>
      <c r="N626" t="s">
        <v>54</v>
      </c>
      <c r="O626" t="s">
        <v>54</v>
      </c>
      <c r="P626" t="s">
        <v>53</v>
      </c>
      <c r="Q626" t="s">
        <v>53</v>
      </c>
      <c r="R626" t="s">
        <v>53</v>
      </c>
      <c r="S626" t="s">
        <v>5673</v>
      </c>
      <c r="T626" t="s">
        <v>5673</v>
      </c>
      <c r="U626" t="s">
        <v>54</v>
      </c>
      <c r="V626" t="s">
        <v>51</v>
      </c>
      <c r="W626">
        <v>600000</v>
      </c>
      <c r="X626" t="s">
        <v>54</v>
      </c>
      <c r="AA626">
        <v>10571</v>
      </c>
      <c r="AB626">
        <v>8463</v>
      </c>
      <c r="AC626">
        <v>18428</v>
      </c>
      <c r="AD626">
        <v>17186</v>
      </c>
      <c r="AE626">
        <v>29689</v>
      </c>
      <c r="AF626">
        <v>306</v>
      </c>
      <c r="AG626">
        <v>15</v>
      </c>
      <c r="AH626">
        <v>239.6927795410156</v>
      </c>
      <c r="AI626">
        <v>15</v>
      </c>
      <c r="AJ626">
        <v>9260.3798828125</v>
      </c>
      <c r="AK626" t="s">
        <v>54</v>
      </c>
      <c r="AL626" t="s">
        <v>54</v>
      </c>
      <c r="AM626" t="s">
        <v>5450</v>
      </c>
      <c r="AP626" t="s">
        <v>5451</v>
      </c>
      <c r="AQ626" t="s">
        <v>54</v>
      </c>
      <c r="AT626" t="s">
        <v>5576</v>
      </c>
      <c r="AW626" t="s">
        <v>54</v>
      </c>
      <c r="AZ626" t="s">
        <v>54</v>
      </c>
      <c r="BA626" t="s">
        <v>5453</v>
      </c>
    </row>
    <row r="627" spans="1:53" x14ac:dyDescent="0.25">
      <c r="A627">
        <v>622</v>
      </c>
      <c r="B627" t="s">
        <v>5705</v>
      </c>
      <c r="C627" t="s">
        <v>5706</v>
      </c>
      <c r="D627" t="s">
        <v>5704</v>
      </c>
      <c r="E627">
        <v>4</v>
      </c>
      <c r="F627" t="s">
        <v>5443</v>
      </c>
      <c r="G627" t="s">
        <v>5538</v>
      </c>
      <c r="H627" t="s">
        <v>5457</v>
      </c>
      <c r="I627" t="s">
        <v>5539</v>
      </c>
      <c r="J627" t="s">
        <v>5707</v>
      </c>
      <c r="K627" t="s">
        <v>5672</v>
      </c>
      <c r="L627" t="s">
        <v>5461</v>
      </c>
      <c r="M627">
        <v>118.9424743652344</v>
      </c>
      <c r="N627" t="s">
        <v>54</v>
      </c>
      <c r="O627" t="s">
        <v>54</v>
      </c>
      <c r="P627" t="s">
        <v>53</v>
      </c>
      <c r="Q627" t="s">
        <v>53</v>
      </c>
      <c r="R627" t="s">
        <v>53</v>
      </c>
      <c r="S627" t="s">
        <v>5673</v>
      </c>
      <c r="T627" t="s">
        <v>5673</v>
      </c>
      <c r="U627" t="s">
        <v>54</v>
      </c>
      <c r="V627" t="s">
        <v>51</v>
      </c>
      <c r="W627">
        <v>600000</v>
      </c>
      <c r="X627" t="s">
        <v>54</v>
      </c>
      <c r="AA627">
        <v>7655</v>
      </c>
      <c r="AB627">
        <v>6390</v>
      </c>
      <c r="AC627">
        <v>8775</v>
      </c>
      <c r="AD627">
        <v>10805</v>
      </c>
      <c r="AE627">
        <v>16257</v>
      </c>
      <c r="AF627">
        <v>7</v>
      </c>
      <c r="AG627">
        <v>7</v>
      </c>
      <c r="AH627">
        <v>155.51432800292969</v>
      </c>
      <c r="AI627">
        <v>7</v>
      </c>
      <c r="AJ627">
        <v>9437.30078125</v>
      </c>
      <c r="AK627" t="s">
        <v>54</v>
      </c>
      <c r="AL627" t="s">
        <v>54</v>
      </c>
      <c r="AM627" t="s">
        <v>5450</v>
      </c>
      <c r="AP627" t="s">
        <v>5451</v>
      </c>
      <c r="AQ627" t="s">
        <v>54</v>
      </c>
      <c r="AT627" t="s">
        <v>5452</v>
      </c>
      <c r="AW627" t="s">
        <v>53</v>
      </c>
      <c r="AZ627" t="s">
        <v>54</v>
      </c>
      <c r="BA627" t="s">
        <v>5453</v>
      </c>
    </row>
    <row r="628" spans="1:53" x14ac:dyDescent="0.25">
      <c r="A628">
        <v>623</v>
      </c>
      <c r="B628" t="s">
        <v>5708</v>
      </c>
      <c r="C628" t="s">
        <v>5709</v>
      </c>
      <c r="D628" t="s">
        <v>5704</v>
      </c>
      <c r="E628">
        <v>4</v>
      </c>
      <c r="F628" t="s">
        <v>5443</v>
      </c>
      <c r="G628" t="s">
        <v>5538</v>
      </c>
      <c r="H628" t="s">
        <v>5457</v>
      </c>
      <c r="I628" t="s">
        <v>5539</v>
      </c>
      <c r="J628" t="s">
        <v>5710</v>
      </c>
      <c r="K628" t="s">
        <v>5672</v>
      </c>
      <c r="L628" t="s">
        <v>5461</v>
      </c>
      <c r="M628">
        <v>118.9424743652344</v>
      </c>
      <c r="N628" t="s">
        <v>54</v>
      </c>
      <c r="O628" t="s">
        <v>54</v>
      </c>
      <c r="P628" t="s">
        <v>53</v>
      </c>
      <c r="Q628" t="s">
        <v>53</v>
      </c>
      <c r="R628" t="s">
        <v>53</v>
      </c>
      <c r="S628" t="s">
        <v>5673</v>
      </c>
      <c r="T628" t="s">
        <v>5673</v>
      </c>
      <c r="U628" t="s">
        <v>54</v>
      </c>
      <c r="V628" t="s">
        <v>51</v>
      </c>
      <c r="W628">
        <v>600000</v>
      </c>
      <c r="X628" t="s">
        <v>54</v>
      </c>
      <c r="AA628">
        <v>7655</v>
      </c>
      <c r="AB628">
        <v>6390</v>
      </c>
      <c r="AC628">
        <v>8775</v>
      </c>
      <c r="AD628">
        <v>10805</v>
      </c>
      <c r="AE628">
        <v>16257</v>
      </c>
      <c r="AF628">
        <v>7</v>
      </c>
      <c r="AG628">
        <v>7</v>
      </c>
      <c r="AH628">
        <v>155.51432800292969</v>
      </c>
      <c r="AI628">
        <v>7</v>
      </c>
      <c r="AJ628">
        <v>9437.30078125</v>
      </c>
      <c r="AK628" t="s">
        <v>54</v>
      </c>
      <c r="AL628" t="s">
        <v>54</v>
      </c>
      <c r="AM628" t="s">
        <v>5450</v>
      </c>
      <c r="AP628" t="s">
        <v>5451</v>
      </c>
      <c r="AQ628" t="s">
        <v>54</v>
      </c>
      <c r="AT628" t="s">
        <v>5452</v>
      </c>
      <c r="AW628" t="s">
        <v>53</v>
      </c>
      <c r="AZ628" t="s">
        <v>54</v>
      </c>
      <c r="BA628" t="s">
        <v>5453</v>
      </c>
    </row>
    <row r="629" spans="1:53" x14ac:dyDescent="0.25">
      <c r="A629">
        <v>624</v>
      </c>
      <c r="B629" t="s">
        <v>5711</v>
      </c>
      <c r="C629" t="s">
        <v>5712</v>
      </c>
      <c r="D629" t="s">
        <v>5713</v>
      </c>
      <c r="E629">
        <v>4</v>
      </c>
      <c r="F629" t="s">
        <v>5443</v>
      </c>
      <c r="G629" t="s">
        <v>5714</v>
      </c>
      <c r="H629" t="s">
        <v>5547</v>
      </c>
      <c r="I629" t="s">
        <v>5715</v>
      </c>
      <c r="J629" t="s">
        <v>5716</v>
      </c>
      <c r="K629" t="s">
        <v>5717</v>
      </c>
      <c r="L629" t="s">
        <v>5602</v>
      </c>
      <c r="M629">
        <v>79.806144714355469</v>
      </c>
      <c r="N629" t="s">
        <v>54</v>
      </c>
      <c r="O629" t="s">
        <v>53</v>
      </c>
      <c r="P629" t="s">
        <v>53</v>
      </c>
      <c r="Q629" t="s">
        <v>53</v>
      </c>
      <c r="R629" t="s">
        <v>53</v>
      </c>
      <c r="S629" t="s">
        <v>5614</v>
      </c>
      <c r="T629" t="s">
        <v>5614</v>
      </c>
      <c r="U629" t="s">
        <v>54</v>
      </c>
      <c r="V629" t="s">
        <v>51</v>
      </c>
      <c r="W629">
        <v>640000</v>
      </c>
      <c r="X629" t="s">
        <v>54</v>
      </c>
      <c r="AA629">
        <v>489</v>
      </c>
      <c r="AB629">
        <v>310</v>
      </c>
      <c r="AC629">
        <v>1702</v>
      </c>
      <c r="AD629">
        <v>1168</v>
      </c>
      <c r="AE629">
        <v>2472</v>
      </c>
      <c r="AF629">
        <v>3</v>
      </c>
      <c r="AG629">
        <v>0</v>
      </c>
      <c r="AH629">
        <v>28.946884155273441</v>
      </c>
      <c r="AI629">
        <v>0</v>
      </c>
      <c r="AJ629">
        <v>5956.8193359375</v>
      </c>
      <c r="AK629" t="s">
        <v>54</v>
      </c>
      <c r="AL629" t="s">
        <v>54</v>
      </c>
      <c r="AM629" t="s">
        <v>5450</v>
      </c>
      <c r="AP629" t="s">
        <v>5451</v>
      </c>
      <c r="AQ629" t="s">
        <v>54</v>
      </c>
      <c r="AT629" t="s">
        <v>5452</v>
      </c>
      <c r="AW629" t="s">
        <v>53</v>
      </c>
      <c r="AZ629" t="s">
        <v>54</v>
      </c>
      <c r="BA629" t="s">
        <v>5453</v>
      </c>
    </row>
    <row r="630" spans="1:53" x14ac:dyDescent="0.25">
      <c r="A630">
        <v>625</v>
      </c>
      <c r="B630" t="s">
        <v>5718</v>
      </c>
      <c r="C630" t="s">
        <v>5719</v>
      </c>
      <c r="D630" t="s">
        <v>5720</v>
      </c>
      <c r="E630">
        <v>4</v>
      </c>
      <c r="F630" t="s">
        <v>5443</v>
      </c>
      <c r="G630" t="s">
        <v>3559</v>
      </c>
      <c r="H630" t="s">
        <v>5509</v>
      </c>
      <c r="I630" t="s">
        <v>5586</v>
      </c>
      <c r="J630" t="s">
        <v>5592</v>
      </c>
      <c r="K630" t="s">
        <v>5593</v>
      </c>
      <c r="L630" t="s">
        <v>5602</v>
      </c>
      <c r="M630">
        <v>46.946063995361328</v>
      </c>
      <c r="N630" t="s">
        <v>54</v>
      </c>
      <c r="O630" t="s">
        <v>53</v>
      </c>
      <c r="P630" t="s">
        <v>53</v>
      </c>
      <c r="Q630" t="s">
        <v>53</v>
      </c>
      <c r="R630" t="s">
        <v>53</v>
      </c>
      <c r="S630" t="s">
        <v>5589</v>
      </c>
      <c r="T630" t="s">
        <v>5589</v>
      </c>
      <c r="U630" t="s">
        <v>54</v>
      </c>
      <c r="V630" t="s">
        <v>51</v>
      </c>
      <c r="W630">
        <v>380000</v>
      </c>
      <c r="X630" t="s">
        <v>54</v>
      </c>
      <c r="AA630">
        <v>598</v>
      </c>
      <c r="AB630">
        <v>397</v>
      </c>
      <c r="AC630">
        <v>4563</v>
      </c>
      <c r="AD630">
        <v>1123</v>
      </c>
      <c r="AE630">
        <v>5258</v>
      </c>
      <c r="AF630">
        <v>1</v>
      </c>
      <c r="AG630">
        <v>0</v>
      </c>
      <c r="AH630">
        <v>23.022161483764648</v>
      </c>
      <c r="AI630">
        <v>0</v>
      </c>
      <c r="AJ630">
        <v>897.06304931640625</v>
      </c>
      <c r="AK630" t="s">
        <v>54</v>
      </c>
      <c r="AL630" t="s">
        <v>54</v>
      </c>
      <c r="AM630" t="s">
        <v>5450</v>
      </c>
      <c r="AP630" t="s">
        <v>5451</v>
      </c>
      <c r="AQ630" t="s">
        <v>54</v>
      </c>
      <c r="AT630" t="s">
        <v>5452</v>
      </c>
      <c r="AW630" t="s">
        <v>53</v>
      </c>
      <c r="AZ630" t="s">
        <v>54</v>
      </c>
      <c r="BA630" t="s">
        <v>5453</v>
      </c>
    </row>
    <row r="631" spans="1:53" x14ac:dyDescent="0.25">
      <c r="A631">
        <v>626</v>
      </c>
      <c r="B631" t="s">
        <v>5721</v>
      </c>
      <c r="C631" t="s">
        <v>5722</v>
      </c>
      <c r="D631" t="s">
        <v>5704</v>
      </c>
      <c r="E631">
        <v>4</v>
      </c>
      <c r="F631" t="s">
        <v>5443</v>
      </c>
      <c r="G631" t="s">
        <v>5538</v>
      </c>
      <c r="H631" t="s">
        <v>5457</v>
      </c>
      <c r="I631" t="s">
        <v>5539</v>
      </c>
      <c r="J631" t="s">
        <v>5723</v>
      </c>
      <c r="K631" t="s">
        <v>5672</v>
      </c>
      <c r="L631" t="s">
        <v>5461</v>
      </c>
      <c r="M631">
        <v>39.802154541015618</v>
      </c>
      <c r="N631" t="s">
        <v>54</v>
      </c>
      <c r="O631" t="s">
        <v>53</v>
      </c>
      <c r="P631" t="s">
        <v>53</v>
      </c>
      <c r="Q631" t="s">
        <v>53</v>
      </c>
      <c r="R631" t="s">
        <v>53</v>
      </c>
      <c r="S631" t="s">
        <v>5673</v>
      </c>
      <c r="T631" t="s">
        <v>5673</v>
      </c>
      <c r="U631" t="s">
        <v>54</v>
      </c>
      <c r="V631" t="s">
        <v>51</v>
      </c>
      <c r="W631">
        <v>600000</v>
      </c>
      <c r="X631" t="s">
        <v>54</v>
      </c>
      <c r="AA631">
        <v>2444</v>
      </c>
      <c r="AB631">
        <v>2143</v>
      </c>
      <c r="AC631">
        <v>2736</v>
      </c>
      <c r="AD631">
        <v>3541</v>
      </c>
      <c r="AE631">
        <v>5198</v>
      </c>
      <c r="AF631">
        <v>0</v>
      </c>
      <c r="AG631">
        <v>1</v>
      </c>
      <c r="AH631">
        <v>55.28515625</v>
      </c>
      <c r="AI631">
        <v>1</v>
      </c>
      <c r="AJ631">
        <v>3308.279541015625</v>
      </c>
      <c r="AK631" t="s">
        <v>54</v>
      </c>
      <c r="AL631" t="s">
        <v>54</v>
      </c>
      <c r="AM631" t="s">
        <v>5450</v>
      </c>
      <c r="AP631" t="s">
        <v>5451</v>
      </c>
      <c r="AQ631" t="s">
        <v>54</v>
      </c>
      <c r="AT631" t="s">
        <v>5552</v>
      </c>
      <c r="AW631" t="s">
        <v>53</v>
      </c>
      <c r="AZ631" t="s">
        <v>54</v>
      </c>
      <c r="BA631" t="s">
        <v>5453</v>
      </c>
    </row>
    <row r="632" spans="1:53" x14ac:dyDescent="0.25">
      <c r="A632">
        <v>627</v>
      </c>
      <c r="B632" t="s">
        <v>5724</v>
      </c>
      <c r="C632" t="s">
        <v>5725</v>
      </c>
      <c r="D632" t="s">
        <v>5442</v>
      </c>
      <c r="E632">
        <v>4</v>
      </c>
      <c r="F632" t="s">
        <v>5443</v>
      </c>
      <c r="G632" t="s">
        <v>5655</v>
      </c>
      <c r="H632" t="s">
        <v>5509</v>
      </c>
      <c r="I632" t="s">
        <v>5726</v>
      </c>
      <c r="J632" t="s">
        <v>5727</v>
      </c>
      <c r="K632" t="s">
        <v>5728</v>
      </c>
      <c r="L632" t="s">
        <v>5449</v>
      </c>
      <c r="M632">
        <v>273.68392944335938</v>
      </c>
      <c r="N632" t="s">
        <v>54</v>
      </c>
      <c r="O632" t="s">
        <v>53</v>
      </c>
      <c r="P632" t="s">
        <v>53</v>
      </c>
      <c r="Q632" t="s">
        <v>53</v>
      </c>
      <c r="R632" t="s">
        <v>53</v>
      </c>
      <c r="S632" t="s">
        <v>5729</v>
      </c>
      <c r="T632" t="s">
        <v>5729</v>
      </c>
      <c r="U632" t="s">
        <v>53</v>
      </c>
      <c r="V632" t="s">
        <v>138</v>
      </c>
      <c r="W632">
        <v>2200000</v>
      </c>
      <c r="X632" t="s">
        <v>54</v>
      </c>
      <c r="AA632">
        <v>2182</v>
      </c>
      <c r="AB632">
        <v>1544</v>
      </c>
      <c r="AC632">
        <v>11464</v>
      </c>
      <c r="AD632">
        <v>4605</v>
      </c>
      <c r="AE632">
        <v>11464</v>
      </c>
      <c r="AF632">
        <v>26</v>
      </c>
      <c r="AG632">
        <v>1</v>
      </c>
      <c r="AH632">
        <v>85.94000244140625</v>
      </c>
      <c r="AI632">
        <v>1</v>
      </c>
      <c r="AJ632">
        <v>0.75</v>
      </c>
      <c r="AK632" t="s">
        <v>54</v>
      </c>
      <c r="AL632" t="s">
        <v>54</v>
      </c>
      <c r="AM632" t="s">
        <v>5450</v>
      </c>
      <c r="AP632" t="s">
        <v>5451</v>
      </c>
      <c r="AQ632" t="s">
        <v>54</v>
      </c>
      <c r="AT632" t="s">
        <v>5452</v>
      </c>
      <c r="AW632" t="s">
        <v>53</v>
      </c>
      <c r="AZ632" t="s">
        <v>54</v>
      </c>
      <c r="BA632" t="s">
        <v>5453</v>
      </c>
    </row>
    <row r="633" spans="1:53" x14ac:dyDescent="0.25">
      <c r="A633">
        <v>628</v>
      </c>
      <c r="B633" t="s">
        <v>5730</v>
      </c>
      <c r="C633" t="s">
        <v>5731</v>
      </c>
      <c r="D633" t="s">
        <v>5732</v>
      </c>
      <c r="E633">
        <v>4</v>
      </c>
      <c r="F633" t="s">
        <v>5443</v>
      </c>
      <c r="G633" t="s">
        <v>5538</v>
      </c>
      <c r="H633" t="s">
        <v>5457</v>
      </c>
      <c r="I633" t="s">
        <v>5539</v>
      </c>
      <c r="J633" t="s">
        <v>5710</v>
      </c>
      <c r="K633" t="s">
        <v>5672</v>
      </c>
      <c r="L633" t="s">
        <v>5461</v>
      </c>
      <c r="M633">
        <v>118.9424743652344</v>
      </c>
      <c r="N633" t="s">
        <v>54</v>
      </c>
      <c r="O633" t="s">
        <v>54</v>
      </c>
      <c r="P633" t="s">
        <v>53</v>
      </c>
      <c r="Q633" t="s">
        <v>53</v>
      </c>
      <c r="R633" t="s">
        <v>53</v>
      </c>
      <c r="S633" t="s">
        <v>5673</v>
      </c>
      <c r="T633" t="s">
        <v>5673</v>
      </c>
      <c r="U633" t="s">
        <v>54</v>
      </c>
      <c r="V633" t="s">
        <v>51</v>
      </c>
      <c r="W633">
        <v>600000</v>
      </c>
      <c r="X633" t="s">
        <v>54</v>
      </c>
      <c r="AA633">
        <v>7655</v>
      </c>
      <c r="AB633">
        <v>6390</v>
      </c>
      <c r="AC633">
        <v>8775</v>
      </c>
      <c r="AD633">
        <v>10805</v>
      </c>
      <c r="AE633">
        <v>16257</v>
      </c>
      <c r="AF633">
        <v>7</v>
      </c>
      <c r="AG633">
        <v>7</v>
      </c>
      <c r="AH633">
        <v>155.51432800292969</v>
      </c>
      <c r="AI633">
        <v>7</v>
      </c>
      <c r="AJ633">
        <v>9437.30078125</v>
      </c>
      <c r="AK633" t="s">
        <v>54</v>
      </c>
      <c r="AL633" t="s">
        <v>54</v>
      </c>
      <c r="AM633" t="s">
        <v>5450</v>
      </c>
      <c r="AP633" t="s">
        <v>5451</v>
      </c>
      <c r="AQ633" t="s">
        <v>54</v>
      </c>
      <c r="AT633" t="s">
        <v>5452</v>
      </c>
      <c r="AW633" t="s">
        <v>53</v>
      </c>
      <c r="AZ633" t="s">
        <v>54</v>
      </c>
      <c r="BA633" t="s">
        <v>5453</v>
      </c>
    </row>
    <row r="634" spans="1:53" x14ac:dyDescent="0.25">
      <c r="A634">
        <v>629</v>
      </c>
      <c r="B634" t="s">
        <v>5733</v>
      </c>
      <c r="C634" t="s">
        <v>5734</v>
      </c>
      <c r="D634" t="s">
        <v>5735</v>
      </c>
      <c r="E634">
        <v>4</v>
      </c>
      <c r="F634" t="s">
        <v>5443</v>
      </c>
      <c r="G634" t="s">
        <v>5538</v>
      </c>
      <c r="H634" t="s">
        <v>5457</v>
      </c>
      <c r="I634" t="s">
        <v>5539</v>
      </c>
      <c r="J634" t="s">
        <v>5710</v>
      </c>
      <c r="K634" t="s">
        <v>5672</v>
      </c>
      <c r="L634" t="s">
        <v>5461</v>
      </c>
      <c r="M634">
        <v>118.9424743652344</v>
      </c>
      <c r="N634" t="s">
        <v>54</v>
      </c>
      <c r="O634" t="s">
        <v>54</v>
      </c>
      <c r="P634" t="s">
        <v>53</v>
      </c>
      <c r="Q634" t="s">
        <v>53</v>
      </c>
      <c r="R634" t="s">
        <v>53</v>
      </c>
      <c r="S634" t="s">
        <v>5673</v>
      </c>
      <c r="T634" t="s">
        <v>5673</v>
      </c>
      <c r="U634" t="s">
        <v>54</v>
      </c>
      <c r="V634" t="s">
        <v>51</v>
      </c>
      <c r="W634">
        <v>600000</v>
      </c>
      <c r="X634" t="s">
        <v>54</v>
      </c>
      <c r="AA634">
        <v>7655</v>
      </c>
      <c r="AB634">
        <v>6390</v>
      </c>
      <c r="AC634">
        <v>8775</v>
      </c>
      <c r="AD634">
        <v>10805</v>
      </c>
      <c r="AE634">
        <v>16257</v>
      </c>
      <c r="AF634">
        <v>7</v>
      </c>
      <c r="AG634">
        <v>7</v>
      </c>
      <c r="AH634">
        <v>155.51432800292969</v>
      </c>
      <c r="AI634">
        <v>7</v>
      </c>
      <c r="AJ634">
        <v>9437.30078125</v>
      </c>
      <c r="AK634" t="s">
        <v>54</v>
      </c>
      <c r="AL634" t="s">
        <v>54</v>
      </c>
      <c r="AM634" t="s">
        <v>5450</v>
      </c>
      <c r="AP634" t="s">
        <v>5451</v>
      </c>
      <c r="AQ634" t="s">
        <v>54</v>
      </c>
      <c r="AT634" t="s">
        <v>5452</v>
      </c>
      <c r="AW634" t="s">
        <v>53</v>
      </c>
      <c r="AZ634" t="s">
        <v>54</v>
      </c>
      <c r="BA634" t="s">
        <v>5453</v>
      </c>
    </row>
    <row r="635" spans="1:53" x14ac:dyDescent="0.25">
      <c r="A635">
        <v>630</v>
      </c>
      <c r="B635" t="s">
        <v>5736</v>
      </c>
      <c r="C635" t="s">
        <v>5737</v>
      </c>
      <c r="D635" t="s">
        <v>5442</v>
      </c>
      <c r="E635">
        <v>4</v>
      </c>
      <c r="F635" t="s">
        <v>5443</v>
      </c>
      <c r="G635" t="s">
        <v>5738</v>
      </c>
      <c r="H635" t="s">
        <v>5509</v>
      </c>
      <c r="I635" t="s">
        <v>5739</v>
      </c>
      <c r="J635" t="s">
        <v>5740</v>
      </c>
      <c r="K635" t="s">
        <v>5741</v>
      </c>
      <c r="L635" t="s">
        <v>5449</v>
      </c>
      <c r="M635">
        <v>912.3978271484375</v>
      </c>
      <c r="N635" t="s">
        <v>54</v>
      </c>
      <c r="O635" t="s">
        <v>53</v>
      </c>
      <c r="P635" t="s">
        <v>53</v>
      </c>
      <c r="Q635" t="s">
        <v>53</v>
      </c>
      <c r="R635" t="s">
        <v>53</v>
      </c>
      <c r="S635" t="s">
        <v>3563</v>
      </c>
      <c r="T635" t="s">
        <v>3563</v>
      </c>
      <c r="U635" t="s">
        <v>54</v>
      </c>
      <c r="V635" t="s">
        <v>138</v>
      </c>
      <c r="W635">
        <v>1850000</v>
      </c>
      <c r="X635" t="s">
        <v>54</v>
      </c>
      <c r="AA635">
        <v>1086</v>
      </c>
      <c r="AB635">
        <v>782</v>
      </c>
      <c r="AC635">
        <v>5221</v>
      </c>
      <c r="AD635">
        <v>1950</v>
      </c>
      <c r="AE635">
        <v>6481</v>
      </c>
      <c r="AF635">
        <v>3</v>
      </c>
      <c r="AG635">
        <v>2</v>
      </c>
      <c r="AH635">
        <v>81.927352905273438</v>
      </c>
      <c r="AI635">
        <v>2</v>
      </c>
      <c r="AJ635">
        <v>9144.01171875</v>
      </c>
      <c r="AK635" t="s">
        <v>54</v>
      </c>
      <c r="AL635" t="s">
        <v>54</v>
      </c>
      <c r="AM635" t="s">
        <v>5450</v>
      </c>
      <c r="AP635" t="s">
        <v>5451</v>
      </c>
      <c r="AQ635" t="s">
        <v>53</v>
      </c>
      <c r="AT635" t="s">
        <v>5452</v>
      </c>
      <c r="AW635" t="s">
        <v>53</v>
      </c>
      <c r="AZ635" t="s">
        <v>54</v>
      </c>
      <c r="BA635" t="s">
        <v>5453</v>
      </c>
    </row>
    <row r="636" spans="1:53" x14ac:dyDescent="0.25">
      <c r="A636">
        <v>631</v>
      </c>
      <c r="B636" t="s">
        <v>5742</v>
      </c>
      <c r="C636" t="s">
        <v>5743</v>
      </c>
      <c r="D636" t="s">
        <v>5442</v>
      </c>
      <c r="E636">
        <v>4</v>
      </c>
      <c r="F636" t="s">
        <v>5443</v>
      </c>
      <c r="G636" t="s">
        <v>5744</v>
      </c>
      <c r="H636" t="s">
        <v>5547</v>
      </c>
      <c r="I636" t="s">
        <v>5745</v>
      </c>
      <c r="J636" t="s">
        <v>5746</v>
      </c>
      <c r="K636" t="s">
        <v>5747</v>
      </c>
      <c r="L636" t="s">
        <v>5449</v>
      </c>
      <c r="M636">
        <v>856.371826171875</v>
      </c>
      <c r="N636" t="s">
        <v>54</v>
      </c>
      <c r="O636" t="s">
        <v>53</v>
      </c>
      <c r="P636" t="s">
        <v>53</v>
      </c>
      <c r="Q636" t="s">
        <v>53</v>
      </c>
      <c r="R636" t="s">
        <v>53</v>
      </c>
      <c r="S636" t="s">
        <v>4010</v>
      </c>
      <c r="T636" t="s">
        <v>4010</v>
      </c>
      <c r="U636" t="s">
        <v>54</v>
      </c>
      <c r="V636" t="s">
        <v>138</v>
      </c>
      <c r="W636">
        <v>2230000</v>
      </c>
      <c r="X636" t="s">
        <v>54</v>
      </c>
      <c r="AA636">
        <v>1080</v>
      </c>
      <c r="AB636">
        <v>452</v>
      </c>
      <c r="AC636">
        <v>1471</v>
      </c>
      <c r="AD636">
        <v>713</v>
      </c>
      <c r="AE636">
        <v>1954</v>
      </c>
      <c r="AF636">
        <v>13</v>
      </c>
      <c r="AG636">
        <v>9</v>
      </c>
      <c r="AH636">
        <v>78.974205017089844</v>
      </c>
      <c r="AI636">
        <v>9</v>
      </c>
      <c r="AJ636">
        <v>26372.447265625</v>
      </c>
      <c r="AK636" t="s">
        <v>54</v>
      </c>
      <c r="AL636" t="s">
        <v>54</v>
      </c>
      <c r="AM636" t="s">
        <v>5450</v>
      </c>
      <c r="AP636" t="s">
        <v>5451</v>
      </c>
      <c r="AQ636" t="s">
        <v>54</v>
      </c>
      <c r="AT636" t="s">
        <v>5452</v>
      </c>
      <c r="AW636" t="s">
        <v>53</v>
      </c>
      <c r="AZ636" t="s">
        <v>54</v>
      </c>
      <c r="BA636" t="s">
        <v>5453</v>
      </c>
    </row>
    <row r="637" spans="1:53" x14ac:dyDescent="0.25">
      <c r="A637">
        <v>632</v>
      </c>
      <c r="B637" t="s">
        <v>5748</v>
      </c>
      <c r="C637" t="s">
        <v>5749</v>
      </c>
      <c r="D637" t="s">
        <v>5480</v>
      </c>
      <c r="E637">
        <v>4</v>
      </c>
      <c r="F637" t="s">
        <v>5443</v>
      </c>
      <c r="G637" t="s">
        <v>5750</v>
      </c>
      <c r="H637" t="s">
        <v>5509</v>
      </c>
      <c r="I637" t="s">
        <v>5751</v>
      </c>
      <c r="J637" t="s">
        <v>5752</v>
      </c>
      <c r="K637" t="s">
        <v>5753</v>
      </c>
      <c r="L637" t="s">
        <v>5449</v>
      </c>
      <c r="M637">
        <v>590.46240234375</v>
      </c>
      <c r="N637" t="s">
        <v>54</v>
      </c>
      <c r="O637" t="s">
        <v>53</v>
      </c>
      <c r="P637" t="s">
        <v>53</v>
      </c>
      <c r="Q637" t="s">
        <v>53</v>
      </c>
      <c r="R637" t="s">
        <v>53</v>
      </c>
      <c r="S637" t="s">
        <v>3556</v>
      </c>
      <c r="T637" t="s">
        <v>3556</v>
      </c>
      <c r="U637" t="s">
        <v>54</v>
      </c>
      <c r="V637" t="s">
        <v>138</v>
      </c>
      <c r="W637">
        <v>200000</v>
      </c>
      <c r="X637" t="s">
        <v>54</v>
      </c>
      <c r="AA637">
        <v>328</v>
      </c>
      <c r="AB637">
        <v>222</v>
      </c>
      <c r="AC637">
        <v>108</v>
      </c>
      <c r="AD637">
        <v>281</v>
      </c>
      <c r="AE637">
        <v>299</v>
      </c>
      <c r="AF637">
        <v>0</v>
      </c>
      <c r="AG637">
        <v>4</v>
      </c>
      <c r="AH637">
        <v>28.283998489379879</v>
      </c>
      <c r="AI637">
        <v>4</v>
      </c>
      <c r="AJ637">
        <v>4148.17041015625</v>
      </c>
      <c r="AK637" t="s">
        <v>54</v>
      </c>
      <c r="AL637" t="s">
        <v>54</v>
      </c>
      <c r="AM637" t="s">
        <v>5450</v>
      </c>
      <c r="AP637" t="s">
        <v>5451</v>
      </c>
      <c r="AQ637" t="s">
        <v>54</v>
      </c>
      <c r="AT637" t="s">
        <v>5452</v>
      </c>
      <c r="AW637" t="s">
        <v>53</v>
      </c>
      <c r="AZ637" t="s">
        <v>54</v>
      </c>
      <c r="BA637" t="s">
        <v>5453</v>
      </c>
    </row>
    <row r="638" spans="1:53" x14ac:dyDescent="0.25">
      <c r="A638">
        <v>633</v>
      </c>
      <c r="B638" t="s">
        <v>5754</v>
      </c>
      <c r="C638" t="s">
        <v>5755</v>
      </c>
      <c r="D638" t="s">
        <v>5442</v>
      </c>
      <c r="E638">
        <v>4</v>
      </c>
      <c r="F638" t="s">
        <v>5443</v>
      </c>
      <c r="G638" t="s">
        <v>5756</v>
      </c>
      <c r="H638" t="s">
        <v>5757</v>
      </c>
      <c r="I638" t="s">
        <v>5758</v>
      </c>
      <c r="J638" t="s">
        <v>5759</v>
      </c>
      <c r="K638" t="s">
        <v>5760</v>
      </c>
      <c r="L638" t="s">
        <v>5449</v>
      </c>
      <c r="M638">
        <v>790.829345703125</v>
      </c>
      <c r="N638" t="s">
        <v>54</v>
      </c>
      <c r="O638" t="s">
        <v>53</v>
      </c>
      <c r="P638" t="s">
        <v>53</v>
      </c>
      <c r="Q638" t="s">
        <v>53</v>
      </c>
      <c r="R638" t="s">
        <v>53</v>
      </c>
      <c r="S638" t="s">
        <v>3516</v>
      </c>
      <c r="T638" t="s">
        <v>3516</v>
      </c>
      <c r="U638" t="s">
        <v>54</v>
      </c>
      <c r="V638" t="s">
        <v>138</v>
      </c>
      <c r="W638">
        <v>1550000</v>
      </c>
      <c r="X638" t="s">
        <v>54</v>
      </c>
      <c r="AA638">
        <v>156</v>
      </c>
      <c r="AB638">
        <v>87</v>
      </c>
      <c r="AC638">
        <v>35</v>
      </c>
      <c r="AD638">
        <v>92</v>
      </c>
      <c r="AE638">
        <v>104</v>
      </c>
      <c r="AF638">
        <v>0</v>
      </c>
      <c r="AG638">
        <v>5</v>
      </c>
      <c r="AH638">
        <v>48.436382293701172</v>
      </c>
      <c r="AI638">
        <v>5</v>
      </c>
      <c r="AJ638">
        <v>13195.1875</v>
      </c>
      <c r="AK638" t="s">
        <v>54</v>
      </c>
      <c r="AL638" t="s">
        <v>54</v>
      </c>
      <c r="AM638" t="s">
        <v>5450</v>
      </c>
      <c r="AP638" t="s">
        <v>5451</v>
      </c>
      <c r="AQ638" t="s">
        <v>54</v>
      </c>
      <c r="AT638" t="s">
        <v>5452</v>
      </c>
      <c r="AW638" t="s">
        <v>53</v>
      </c>
      <c r="AZ638" t="s">
        <v>54</v>
      </c>
      <c r="BA638" t="s">
        <v>5453</v>
      </c>
    </row>
    <row r="639" spans="1:53" x14ac:dyDescent="0.25">
      <c r="A639">
        <v>634</v>
      </c>
      <c r="B639" t="s">
        <v>5761</v>
      </c>
      <c r="C639" t="s">
        <v>5762</v>
      </c>
      <c r="D639" t="s">
        <v>5762</v>
      </c>
      <c r="E639">
        <v>4</v>
      </c>
      <c r="F639" t="s">
        <v>5443</v>
      </c>
      <c r="G639" t="s">
        <v>5538</v>
      </c>
      <c r="H639" t="s">
        <v>5457</v>
      </c>
      <c r="I639" t="s">
        <v>5539</v>
      </c>
      <c r="J639" t="s">
        <v>5710</v>
      </c>
      <c r="K639" t="s">
        <v>5672</v>
      </c>
      <c r="L639" t="s">
        <v>5461</v>
      </c>
      <c r="M639">
        <v>118.9424743652344</v>
      </c>
      <c r="N639" t="s">
        <v>54</v>
      </c>
      <c r="O639" t="s">
        <v>54</v>
      </c>
      <c r="P639" t="s">
        <v>53</v>
      </c>
      <c r="Q639" t="s">
        <v>53</v>
      </c>
      <c r="R639" t="s">
        <v>53</v>
      </c>
      <c r="S639" t="s">
        <v>5673</v>
      </c>
      <c r="T639" t="s">
        <v>5673</v>
      </c>
      <c r="U639" t="s">
        <v>54</v>
      </c>
      <c r="V639" t="s">
        <v>51</v>
      </c>
      <c r="W639">
        <v>5209500</v>
      </c>
      <c r="X639" t="s">
        <v>54</v>
      </c>
      <c r="AA639">
        <v>7655</v>
      </c>
      <c r="AB639">
        <v>6390</v>
      </c>
      <c r="AC639">
        <v>8775</v>
      </c>
      <c r="AD639">
        <v>10805</v>
      </c>
      <c r="AE639">
        <v>16257</v>
      </c>
      <c r="AF639">
        <v>7</v>
      </c>
      <c r="AG639">
        <v>7</v>
      </c>
      <c r="AH639">
        <v>155.51432800292969</v>
      </c>
      <c r="AI639">
        <v>7</v>
      </c>
      <c r="AJ639">
        <v>9437.30078125</v>
      </c>
      <c r="AK639" t="s">
        <v>54</v>
      </c>
      <c r="AL639" t="s">
        <v>54</v>
      </c>
      <c r="AM639" t="s">
        <v>5450</v>
      </c>
      <c r="AP639" t="s">
        <v>5451</v>
      </c>
      <c r="AQ639" t="s">
        <v>54</v>
      </c>
      <c r="AT639" t="s">
        <v>5452</v>
      </c>
      <c r="AW639" t="s">
        <v>53</v>
      </c>
      <c r="AZ639" t="s">
        <v>54</v>
      </c>
      <c r="BA639" t="s">
        <v>5453</v>
      </c>
    </row>
    <row r="640" spans="1:53" x14ac:dyDescent="0.25">
      <c r="A640">
        <v>635</v>
      </c>
      <c r="B640" t="s">
        <v>5763</v>
      </c>
      <c r="C640" t="s">
        <v>5764</v>
      </c>
      <c r="D640" t="s">
        <v>5764</v>
      </c>
      <c r="E640">
        <v>4</v>
      </c>
      <c r="F640" t="s">
        <v>5443</v>
      </c>
      <c r="G640" t="s">
        <v>5538</v>
      </c>
      <c r="H640" t="s">
        <v>5457</v>
      </c>
      <c r="I640" t="s">
        <v>5539</v>
      </c>
      <c r="J640" t="s">
        <v>5710</v>
      </c>
      <c r="K640" t="s">
        <v>5672</v>
      </c>
      <c r="L640" t="s">
        <v>5461</v>
      </c>
      <c r="M640">
        <v>118.9424743652344</v>
      </c>
      <c r="N640" t="s">
        <v>54</v>
      </c>
      <c r="O640" t="s">
        <v>54</v>
      </c>
      <c r="P640" t="s">
        <v>53</v>
      </c>
      <c r="Q640" t="s">
        <v>53</v>
      </c>
      <c r="R640" t="s">
        <v>53</v>
      </c>
      <c r="S640" t="s">
        <v>5673</v>
      </c>
      <c r="T640" t="s">
        <v>5673</v>
      </c>
      <c r="U640" t="s">
        <v>54</v>
      </c>
      <c r="V640" t="s">
        <v>51</v>
      </c>
      <c r="W640">
        <v>400000</v>
      </c>
      <c r="X640" t="s">
        <v>54</v>
      </c>
      <c r="AA640">
        <v>7655</v>
      </c>
      <c r="AB640">
        <v>6390</v>
      </c>
      <c r="AC640">
        <v>8775</v>
      </c>
      <c r="AD640">
        <v>10805</v>
      </c>
      <c r="AE640">
        <v>16257</v>
      </c>
      <c r="AF640">
        <v>7</v>
      </c>
      <c r="AG640">
        <v>7</v>
      </c>
      <c r="AH640">
        <v>155.51432800292969</v>
      </c>
      <c r="AI640">
        <v>7</v>
      </c>
      <c r="AJ640">
        <v>9437.30078125</v>
      </c>
      <c r="AK640" t="s">
        <v>54</v>
      </c>
      <c r="AL640" t="s">
        <v>54</v>
      </c>
      <c r="AM640" t="s">
        <v>5450</v>
      </c>
      <c r="AP640" t="s">
        <v>5451</v>
      </c>
      <c r="AQ640" t="s">
        <v>54</v>
      </c>
      <c r="AT640" t="s">
        <v>5452</v>
      </c>
      <c r="AW640" t="s">
        <v>53</v>
      </c>
      <c r="AZ640" t="s">
        <v>54</v>
      </c>
      <c r="BA640" t="s">
        <v>5453</v>
      </c>
    </row>
    <row r="641" spans="1:53" x14ac:dyDescent="0.25">
      <c r="A641">
        <v>636</v>
      </c>
      <c r="B641" t="s">
        <v>5765</v>
      </c>
      <c r="C641" t="s">
        <v>5766</v>
      </c>
      <c r="D641" t="s">
        <v>5766</v>
      </c>
      <c r="E641">
        <v>4</v>
      </c>
      <c r="F641" t="s">
        <v>5443</v>
      </c>
      <c r="G641" t="s">
        <v>5538</v>
      </c>
      <c r="H641" t="s">
        <v>5457</v>
      </c>
      <c r="I641" t="s">
        <v>5539</v>
      </c>
      <c r="J641" t="s">
        <v>5707</v>
      </c>
      <c r="K641" t="s">
        <v>5672</v>
      </c>
      <c r="L641" t="s">
        <v>5461</v>
      </c>
      <c r="M641">
        <v>118.9424743652344</v>
      </c>
      <c r="N641" t="s">
        <v>54</v>
      </c>
      <c r="O641" t="s">
        <v>54</v>
      </c>
      <c r="P641" t="s">
        <v>53</v>
      </c>
      <c r="Q641" t="s">
        <v>53</v>
      </c>
      <c r="R641" t="s">
        <v>53</v>
      </c>
      <c r="S641" t="s">
        <v>5673</v>
      </c>
      <c r="T641" t="s">
        <v>5673</v>
      </c>
      <c r="U641" t="s">
        <v>54</v>
      </c>
      <c r="V641" t="s">
        <v>51</v>
      </c>
      <c r="W641">
        <v>500000</v>
      </c>
      <c r="X641" t="s">
        <v>54</v>
      </c>
      <c r="AA641">
        <v>7655</v>
      </c>
      <c r="AB641">
        <v>6390</v>
      </c>
      <c r="AC641">
        <v>8775</v>
      </c>
      <c r="AD641">
        <v>10805</v>
      </c>
      <c r="AE641">
        <v>16257</v>
      </c>
      <c r="AF641">
        <v>7</v>
      </c>
      <c r="AG641">
        <v>7</v>
      </c>
      <c r="AH641">
        <v>155.51432800292969</v>
      </c>
      <c r="AI641">
        <v>7</v>
      </c>
      <c r="AJ641">
        <v>9437.30078125</v>
      </c>
      <c r="AK641" t="s">
        <v>54</v>
      </c>
      <c r="AL641" t="s">
        <v>54</v>
      </c>
      <c r="AM641" t="s">
        <v>5450</v>
      </c>
      <c r="AP641" t="s">
        <v>5451</v>
      </c>
      <c r="AQ641" t="s">
        <v>54</v>
      </c>
      <c r="AT641" t="s">
        <v>5452</v>
      </c>
      <c r="AW641" t="s">
        <v>53</v>
      </c>
      <c r="AZ641" t="s">
        <v>54</v>
      </c>
      <c r="BA641" t="s">
        <v>5453</v>
      </c>
    </row>
    <row r="642" spans="1:53" x14ac:dyDescent="0.25">
      <c r="A642">
        <v>637</v>
      </c>
      <c r="B642" t="s">
        <v>5767</v>
      </c>
      <c r="C642" t="s">
        <v>5768</v>
      </c>
      <c r="D642" t="s">
        <v>5769</v>
      </c>
      <c r="E642">
        <v>4</v>
      </c>
      <c r="F642" t="s">
        <v>5443</v>
      </c>
      <c r="G642" t="s">
        <v>3559</v>
      </c>
      <c r="H642" t="s">
        <v>5509</v>
      </c>
      <c r="I642" t="s">
        <v>5586</v>
      </c>
      <c r="J642" t="s">
        <v>5592</v>
      </c>
      <c r="K642" t="s">
        <v>5593</v>
      </c>
      <c r="L642" t="s">
        <v>5602</v>
      </c>
      <c r="M642">
        <v>46.946063995361328</v>
      </c>
      <c r="N642" t="s">
        <v>54</v>
      </c>
      <c r="O642" t="s">
        <v>53</v>
      </c>
      <c r="P642" t="s">
        <v>53</v>
      </c>
      <c r="Q642" t="s">
        <v>53</v>
      </c>
      <c r="R642" t="s">
        <v>53</v>
      </c>
      <c r="S642" t="s">
        <v>5589</v>
      </c>
      <c r="T642" t="s">
        <v>5589</v>
      </c>
      <c r="U642" t="s">
        <v>54</v>
      </c>
      <c r="V642" t="s">
        <v>51</v>
      </c>
      <c r="W642">
        <v>380000</v>
      </c>
      <c r="X642" t="s">
        <v>54</v>
      </c>
      <c r="AA642">
        <v>598</v>
      </c>
      <c r="AB642">
        <v>397</v>
      </c>
      <c r="AC642">
        <v>4563</v>
      </c>
      <c r="AD642">
        <v>1123</v>
      </c>
      <c r="AE642">
        <v>5258</v>
      </c>
      <c r="AF642">
        <v>1</v>
      </c>
      <c r="AG642">
        <v>0</v>
      </c>
      <c r="AH642">
        <v>23.022161483764648</v>
      </c>
      <c r="AI642">
        <v>0</v>
      </c>
      <c r="AJ642">
        <v>897.06304931640625</v>
      </c>
      <c r="AK642" t="s">
        <v>54</v>
      </c>
      <c r="AL642" t="s">
        <v>54</v>
      </c>
      <c r="AM642" t="s">
        <v>5450</v>
      </c>
      <c r="AP642" t="s">
        <v>5451</v>
      </c>
      <c r="AQ642" t="s">
        <v>54</v>
      </c>
      <c r="AT642" t="s">
        <v>5452</v>
      </c>
      <c r="AW642" t="s">
        <v>53</v>
      </c>
      <c r="AZ642" t="s">
        <v>54</v>
      </c>
      <c r="BA642" t="s">
        <v>5453</v>
      </c>
    </row>
    <row r="643" spans="1:53" x14ac:dyDescent="0.25">
      <c r="A643">
        <v>638</v>
      </c>
      <c r="B643" t="s">
        <v>5770</v>
      </c>
      <c r="C643" t="s">
        <v>5771</v>
      </c>
      <c r="D643" t="s">
        <v>5442</v>
      </c>
      <c r="E643">
        <v>5</v>
      </c>
      <c r="F643" t="s">
        <v>5772</v>
      </c>
      <c r="G643" t="s">
        <v>5773</v>
      </c>
      <c r="H643" t="s">
        <v>5774</v>
      </c>
      <c r="I643" t="s">
        <v>5775</v>
      </c>
      <c r="K643" t="s">
        <v>5776</v>
      </c>
      <c r="L643" t="s">
        <v>5777</v>
      </c>
      <c r="M643">
        <v>495.35064697265619</v>
      </c>
      <c r="N643" t="s">
        <v>54</v>
      </c>
      <c r="O643" t="s">
        <v>53</v>
      </c>
      <c r="P643" t="s">
        <v>54</v>
      </c>
      <c r="Q643" t="s">
        <v>53</v>
      </c>
      <c r="R643" t="s">
        <v>53</v>
      </c>
      <c r="S643" t="s">
        <v>3810</v>
      </c>
      <c r="T643" t="s">
        <v>3810</v>
      </c>
      <c r="U643" t="s">
        <v>54</v>
      </c>
      <c r="V643" t="s">
        <v>138</v>
      </c>
      <c r="W643">
        <v>2236919</v>
      </c>
      <c r="X643" t="s">
        <v>54</v>
      </c>
      <c r="AA643">
        <v>69</v>
      </c>
      <c r="AB643">
        <v>28</v>
      </c>
      <c r="AC643">
        <v>22</v>
      </c>
      <c r="AD643">
        <v>61</v>
      </c>
      <c r="AE643">
        <v>73</v>
      </c>
      <c r="AF643">
        <v>0</v>
      </c>
      <c r="AG643">
        <v>2</v>
      </c>
      <c r="AH643">
        <v>22.200126647949219</v>
      </c>
      <c r="AI643">
        <v>2</v>
      </c>
      <c r="AJ643">
        <v>348.31265258789063</v>
      </c>
      <c r="AK643" t="s">
        <v>54</v>
      </c>
      <c r="AL643" t="s">
        <v>54</v>
      </c>
      <c r="AM643" t="s">
        <v>5450</v>
      </c>
      <c r="AQ643" t="s">
        <v>54</v>
      </c>
      <c r="AR643" t="s">
        <v>5778</v>
      </c>
      <c r="AT643" t="s">
        <v>5779</v>
      </c>
      <c r="AW643" t="s">
        <v>53</v>
      </c>
      <c r="AX643" t="s">
        <v>5450</v>
      </c>
      <c r="AZ643" t="s">
        <v>54</v>
      </c>
      <c r="BA643" t="s">
        <v>5780</v>
      </c>
    </row>
    <row r="644" spans="1:53" x14ac:dyDescent="0.25">
      <c r="A644">
        <v>639</v>
      </c>
      <c r="B644" t="s">
        <v>5781</v>
      </c>
      <c r="C644" t="s">
        <v>5782</v>
      </c>
      <c r="D644" t="s">
        <v>5442</v>
      </c>
      <c r="E644">
        <v>5</v>
      </c>
      <c r="F644" t="s">
        <v>5772</v>
      </c>
      <c r="G644" t="s">
        <v>5783</v>
      </c>
      <c r="H644" t="s">
        <v>5784</v>
      </c>
      <c r="I644" t="s">
        <v>5785</v>
      </c>
      <c r="L644" t="s">
        <v>5777</v>
      </c>
      <c r="M644">
        <v>860.9822998046875</v>
      </c>
      <c r="N644" t="s">
        <v>54</v>
      </c>
      <c r="O644" t="s">
        <v>53</v>
      </c>
      <c r="P644" t="s">
        <v>54</v>
      </c>
      <c r="Q644" t="s">
        <v>53</v>
      </c>
      <c r="R644" t="s">
        <v>54</v>
      </c>
      <c r="S644" t="s">
        <v>5786</v>
      </c>
      <c r="T644" t="s">
        <v>5786</v>
      </c>
      <c r="U644" t="s">
        <v>54</v>
      </c>
      <c r="V644" t="s">
        <v>138</v>
      </c>
      <c r="W644">
        <v>3900000</v>
      </c>
      <c r="X644" t="s">
        <v>54</v>
      </c>
      <c r="AA644">
        <v>1201</v>
      </c>
      <c r="AB644">
        <v>750</v>
      </c>
      <c r="AC644">
        <v>6718</v>
      </c>
      <c r="AD644">
        <v>2570</v>
      </c>
      <c r="AE644">
        <v>8420</v>
      </c>
      <c r="AF644">
        <v>11</v>
      </c>
      <c r="AG644">
        <v>19</v>
      </c>
      <c r="AH644">
        <v>66.366546630859375</v>
      </c>
      <c r="AI644">
        <v>19</v>
      </c>
      <c r="AJ644">
        <v>165.36151123046881</v>
      </c>
      <c r="AK644" t="s">
        <v>54</v>
      </c>
      <c r="AL644" t="s">
        <v>54</v>
      </c>
      <c r="AM644" t="s">
        <v>5450</v>
      </c>
      <c r="AQ644" t="s">
        <v>54</v>
      </c>
      <c r="AR644" t="s">
        <v>5778</v>
      </c>
      <c r="AS644" s="148">
        <v>40179</v>
      </c>
      <c r="AT644" t="s">
        <v>5779</v>
      </c>
      <c r="AW644" t="s">
        <v>53</v>
      </c>
      <c r="AX644" t="s">
        <v>5450</v>
      </c>
      <c r="AZ644" t="s">
        <v>54</v>
      </c>
      <c r="BA644" t="s">
        <v>5780</v>
      </c>
    </row>
    <row r="645" spans="1:53" x14ac:dyDescent="0.25">
      <c r="A645">
        <v>640</v>
      </c>
      <c r="B645" t="s">
        <v>5787</v>
      </c>
      <c r="C645" t="s">
        <v>5788</v>
      </c>
      <c r="D645" t="s">
        <v>5442</v>
      </c>
      <c r="E645">
        <v>5</v>
      </c>
      <c r="F645" t="s">
        <v>5772</v>
      </c>
      <c r="G645" t="s">
        <v>5789</v>
      </c>
      <c r="H645" t="s">
        <v>5790</v>
      </c>
      <c r="I645" t="s">
        <v>5791</v>
      </c>
      <c r="L645" t="s">
        <v>5777</v>
      </c>
      <c r="M645">
        <v>1057.7744140625</v>
      </c>
      <c r="N645" t="s">
        <v>54</v>
      </c>
      <c r="O645" t="s">
        <v>53</v>
      </c>
      <c r="P645" t="s">
        <v>54</v>
      </c>
      <c r="Q645" t="s">
        <v>53</v>
      </c>
      <c r="R645" t="s">
        <v>53</v>
      </c>
      <c r="S645" t="s">
        <v>5792</v>
      </c>
      <c r="T645" t="s">
        <v>5792</v>
      </c>
      <c r="U645" t="s">
        <v>54</v>
      </c>
      <c r="V645" t="s">
        <v>138</v>
      </c>
      <c r="W645">
        <v>4800000</v>
      </c>
      <c r="X645" t="s">
        <v>54</v>
      </c>
      <c r="AA645">
        <v>672</v>
      </c>
      <c r="AB645">
        <v>302</v>
      </c>
      <c r="AC645">
        <v>987</v>
      </c>
      <c r="AD645">
        <v>639</v>
      </c>
      <c r="AE645">
        <v>1382</v>
      </c>
      <c r="AF645">
        <v>1</v>
      </c>
      <c r="AG645">
        <v>10</v>
      </c>
      <c r="AH645">
        <v>49.285110473632813</v>
      </c>
      <c r="AI645">
        <v>10</v>
      </c>
      <c r="AJ645">
        <v>919.81884765625</v>
      </c>
      <c r="AK645" t="s">
        <v>54</v>
      </c>
      <c r="AL645" t="s">
        <v>54</v>
      </c>
      <c r="AM645" t="s">
        <v>5450</v>
      </c>
      <c r="AQ645" t="s">
        <v>54</v>
      </c>
      <c r="AR645" t="s">
        <v>5778</v>
      </c>
      <c r="AT645" t="s">
        <v>5779</v>
      </c>
      <c r="AW645" t="s">
        <v>53</v>
      </c>
      <c r="AX645" t="s">
        <v>5450</v>
      </c>
      <c r="AZ645" t="s">
        <v>54</v>
      </c>
      <c r="BA645" t="s">
        <v>5780</v>
      </c>
    </row>
    <row r="646" spans="1:53" x14ac:dyDescent="0.25">
      <c r="A646">
        <v>641</v>
      </c>
      <c r="B646" t="s">
        <v>5793</v>
      </c>
      <c r="C646" t="s">
        <v>5794</v>
      </c>
      <c r="D646" t="s">
        <v>5442</v>
      </c>
      <c r="E646">
        <v>5</v>
      </c>
      <c r="F646" t="s">
        <v>5772</v>
      </c>
      <c r="G646" t="s">
        <v>4207</v>
      </c>
      <c r="H646" t="s">
        <v>5774</v>
      </c>
      <c r="I646" t="s">
        <v>5795</v>
      </c>
      <c r="J646" t="s">
        <v>5796</v>
      </c>
      <c r="K646" t="s">
        <v>5797</v>
      </c>
      <c r="L646" t="s">
        <v>5777</v>
      </c>
      <c r="M646">
        <v>373.90789794921881</v>
      </c>
      <c r="N646" t="s">
        <v>54</v>
      </c>
      <c r="O646" t="s">
        <v>53</v>
      </c>
      <c r="P646" t="s">
        <v>54</v>
      </c>
      <c r="Q646" t="s">
        <v>53</v>
      </c>
      <c r="R646" t="s">
        <v>54</v>
      </c>
      <c r="S646" t="s">
        <v>3880</v>
      </c>
      <c r="T646" t="s">
        <v>3880</v>
      </c>
      <c r="U646" t="s">
        <v>54</v>
      </c>
      <c r="V646" t="s">
        <v>138</v>
      </c>
      <c r="W646">
        <v>1681614</v>
      </c>
      <c r="X646" t="s">
        <v>54</v>
      </c>
      <c r="AA646">
        <v>240</v>
      </c>
      <c r="AB646">
        <v>108</v>
      </c>
      <c r="AC646">
        <v>162</v>
      </c>
      <c r="AD646">
        <v>156</v>
      </c>
      <c r="AE646">
        <v>267</v>
      </c>
      <c r="AF646">
        <v>0</v>
      </c>
      <c r="AG646">
        <v>1</v>
      </c>
      <c r="AH646">
        <v>20.05305099487305</v>
      </c>
      <c r="AI646">
        <v>1</v>
      </c>
      <c r="AJ646">
        <v>347.5087890625</v>
      </c>
      <c r="AK646" t="s">
        <v>54</v>
      </c>
      <c r="AL646" t="s">
        <v>54</v>
      </c>
      <c r="AM646" t="s">
        <v>5450</v>
      </c>
      <c r="AQ646" t="s">
        <v>54</v>
      </c>
      <c r="AR646" t="s">
        <v>5778</v>
      </c>
      <c r="AT646" t="s">
        <v>5779</v>
      </c>
      <c r="AW646" t="s">
        <v>53</v>
      </c>
      <c r="AX646" t="s">
        <v>5450</v>
      </c>
      <c r="AZ646" t="s">
        <v>54</v>
      </c>
      <c r="BA646" t="s">
        <v>5780</v>
      </c>
    </row>
    <row r="647" spans="1:53" x14ac:dyDescent="0.25">
      <c r="A647">
        <v>642</v>
      </c>
      <c r="B647" t="s">
        <v>5798</v>
      </c>
      <c r="C647" t="s">
        <v>5799</v>
      </c>
      <c r="D647" t="s">
        <v>5442</v>
      </c>
      <c r="E647">
        <v>5</v>
      </c>
      <c r="F647" t="s">
        <v>5772</v>
      </c>
      <c r="G647" t="s">
        <v>4239</v>
      </c>
      <c r="H647" t="s">
        <v>5800</v>
      </c>
      <c r="I647" t="s">
        <v>5801</v>
      </c>
      <c r="J647" t="s">
        <v>5802</v>
      </c>
      <c r="K647" t="s">
        <v>5803</v>
      </c>
      <c r="L647" t="s">
        <v>5777</v>
      </c>
      <c r="M647">
        <v>418.21084594726563</v>
      </c>
      <c r="N647" t="s">
        <v>54</v>
      </c>
      <c r="O647" t="s">
        <v>53</v>
      </c>
      <c r="P647" t="s">
        <v>54</v>
      </c>
      <c r="Q647" t="s">
        <v>53</v>
      </c>
      <c r="R647" t="s">
        <v>54</v>
      </c>
      <c r="S647" t="s">
        <v>3901</v>
      </c>
      <c r="T647" t="s">
        <v>3901</v>
      </c>
      <c r="U647" t="s">
        <v>54</v>
      </c>
      <c r="V647" t="s">
        <v>138</v>
      </c>
      <c r="W647">
        <v>1697174</v>
      </c>
      <c r="X647" t="s">
        <v>54</v>
      </c>
      <c r="AA647">
        <v>17</v>
      </c>
      <c r="AB647">
        <v>3</v>
      </c>
      <c r="AC647">
        <v>5</v>
      </c>
      <c r="AD647">
        <v>16</v>
      </c>
      <c r="AE647">
        <v>16</v>
      </c>
      <c r="AF647">
        <v>0</v>
      </c>
      <c r="AG647">
        <v>7</v>
      </c>
      <c r="AH647">
        <v>19.704742431640621</v>
      </c>
      <c r="AI647">
        <v>7</v>
      </c>
      <c r="AJ647">
        <v>116.8699188232422</v>
      </c>
      <c r="AK647" t="s">
        <v>54</v>
      </c>
      <c r="AL647" t="s">
        <v>54</v>
      </c>
      <c r="AM647" t="s">
        <v>5450</v>
      </c>
      <c r="AQ647" t="s">
        <v>54</v>
      </c>
      <c r="AR647" t="s">
        <v>5778</v>
      </c>
      <c r="AT647" t="s">
        <v>5779</v>
      </c>
      <c r="AW647" t="s">
        <v>53</v>
      </c>
      <c r="AX647" t="s">
        <v>5450</v>
      </c>
      <c r="AZ647" t="s">
        <v>54</v>
      </c>
      <c r="BA647" t="s">
        <v>5780</v>
      </c>
    </row>
    <row r="648" spans="1:53" x14ac:dyDescent="0.25">
      <c r="A648">
        <v>643</v>
      </c>
      <c r="B648" t="s">
        <v>5804</v>
      </c>
      <c r="C648" t="s">
        <v>5805</v>
      </c>
      <c r="D648" t="s">
        <v>5806</v>
      </c>
      <c r="E648">
        <v>5</v>
      </c>
      <c r="F648" t="s">
        <v>5772</v>
      </c>
      <c r="G648" t="s">
        <v>947</v>
      </c>
      <c r="H648" t="s">
        <v>5807</v>
      </c>
      <c r="I648" t="s">
        <v>5808</v>
      </c>
      <c r="J648" t="s">
        <v>5809</v>
      </c>
      <c r="K648" t="s">
        <v>5810</v>
      </c>
      <c r="L648" t="s">
        <v>5811</v>
      </c>
      <c r="M648">
        <v>138.5335388183594</v>
      </c>
      <c r="N648" t="s">
        <v>54</v>
      </c>
      <c r="O648" t="s">
        <v>54</v>
      </c>
      <c r="P648" t="s">
        <v>53</v>
      </c>
      <c r="Q648" t="s">
        <v>53</v>
      </c>
      <c r="R648" t="s">
        <v>54</v>
      </c>
      <c r="S648" t="s">
        <v>952</v>
      </c>
      <c r="T648" t="s">
        <v>952</v>
      </c>
      <c r="U648" t="s">
        <v>54</v>
      </c>
      <c r="V648" t="s">
        <v>51</v>
      </c>
      <c r="W648">
        <v>100000</v>
      </c>
      <c r="X648" t="s">
        <v>54</v>
      </c>
      <c r="AA648">
        <v>949</v>
      </c>
      <c r="AB648">
        <v>379</v>
      </c>
      <c r="AC648">
        <v>471</v>
      </c>
      <c r="AD648">
        <v>925</v>
      </c>
      <c r="AE648">
        <v>1134</v>
      </c>
      <c r="AF648">
        <v>0</v>
      </c>
      <c r="AG648">
        <v>0</v>
      </c>
      <c r="AH648">
        <v>58.6669921875</v>
      </c>
      <c r="AI648">
        <v>0</v>
      </c>
      <c r="AJ648">
        <v>10885.9072265625</v>
      </c>
      <c r="AK648" t="s">
        <v>54</v>
      </c>
      <c r="AL648" t="s">
        <v>54</v>
      </c>
      <c r="AM648" t="s">
        <v>5812</v>
      </c>
      <c r="AN648" s="148">
        <v>45292</v>
      </c>
      <c r="AO648" s="148">
        <v>45292</v>
      </c>
      <c r="AQ648" t="s">
        <v>54</v>
      </c>
      <c r="AR648" t="s">
        <v>5813</v>
      </c>
      <c r="AS648" s="148">
        <v>45292</v>
      </c>
      <c r="AT648" t="s">
        <v>5814</v>
      </c>
      <c r="AW648" t="s">
        <v>53</v>
      </c>
      <c r="AX648" t="s">
        <v>5450</v>
      </c>
      <c r="AZ648" t="s">
        <v>54</v>
      </c>
      <c r="BA648" t="s">
        <v>5780</v>
      </c>
    </row>
    <row r="649" spans="1:53" x14ac:dyDescent="0.25">
      <c r="A649">
        <v>644</v>
      </c>
      <c r="B649" t="s">
        <v>5815</v>
      </c>
      <c r="C649" t="s">
        <v>5816</v>
      </c>
      <c r="D649" t="s">
        <v>5442</v>
      </c>
      <c r="E649">
        <v>5</v>
      </c>
      <c r="F649" t="s">
        <v>5772</v>
      </c>
      <c r="G649" t="s">
        <v>947</v>
      </c>
      <c r="H649" t="s">
        <v>5817</v>
      </c>
      <c r="I649" t="s">
        <v>5818</v>
      </c>
      <c r="J649" t="s">
        <v>5819</v>
      </c>
      <c r="K649" t="s">
        <v>5820</v>
      </c>
      <c r="L649" t="s">
        <v>5777</v>
      </c>
      <c r="M649">
        <v>434.46487426757813</v>
      </c>
      <c r="N649" t="s">
        <v>54</v>
      </c>
      <c r="O649" t="s">
        <v>54</v>
      </c>
      <c r="P649" t="s">
        <v>53</v>
      </c>
      <c r="Q649" t="s">
        <v>53</v>
      </c>
      <c r="R649" t="s">
        <v>54</v>
      </c>
      <c r="S649" t="s">
        <v>952</v>
      </c>
      <c r="T649" t="s">
        <v>952</v>
      </c>
      <c r="U649" t="s">
        <v>54</v>
      </c>
      <c r="V649" t="s">
        <v>138</v>
      </c>
      <c r="W649">
        <v>652546</v>
      </c>
      <c r="X649" t="s">
        <v>54</v>
      </c>
      <c r="AA649">
        <v>1175</v>
      </c>
      <c r="AB649">
        <v>459</v>
      </c>
      <c r="AC649">
        <v>617</v>
      </c>
      <c r="AD649">
        <v>1128</v>
      </c>
      <c r="AE649">
        <v>1431</v>
      </c>
      <c r="AF649">
        <v>0</v>
      </c>
      <c r="AG649">
        <v>0</v>
      </c>
      <c r="AH649">
        <v>161.6165466308594</v>
      </c>
      <c r="AI649">
        <v>0</v>
      </c>
      <c r="AJ649">
        <v>36932.59375</v>
      </c>
      <c r="AK649" t="s">
        <v>54</v>
      </c>
      <c r="AL649" t="s">
        <v>54</v>
      </c>
      <c r="AM649" t="s">
        <v>5821</v>
      </c>
      <c r="AN649" s="148">
        <v>45292</v>
      </c>
      <c r="AO649" s="148">
        <v>45292</v>
      </c>
      <c r="AQ649" t="s">
        <v>54</v>
      </c>
      <c r="AR649" t="s">
        <v>5813</v>
      </c>
      <c r="AS649" s="148">
        <v>45292</v>
      </c>
      <c r="AT649" t="s">
        <v>5779</v>
      </c>
      <c r="AW649" t="s">
        <v>53</v>
      </c>
      <c r="AZ649" t="s">
        <v>54</v>
      </c>
      <c r="BA649" t="s">
        <v>5780</v>
      </c>
    </row>
    <row r="650" spans="1:53" x14ac:dyDescent="0.25">
      <c r="A650">
        <v>645</v>
      </c>
      <c r="B650" t="s">
        <v>5822</v>
      </c>
      <c r="C650" t="s">
        <v>5823</v>
      </c>
      <c r="D650" t="s">
        <v>5824</v>
      </c>
      <c r="E650">
        <v>5</v>
      </c>
      <c r="F650" t="s">
        <v>5772</v>
      </c>
      <c r="G650" t="s">
        <v>5783</v>
      </c>
      <c r="H650" t="s">
        <v>5825</v>
      </c>
      <c r="I650" t="s">
        <v>5826</v>
      </c>
      <c r="J650" t="s">
        <v>5827</v>
      </c>
      <c r="K650" t="s">
        <v>5828</v>
      </c>
      <c r="L650" t="s">
        <v>5829</v>
      </c>
      <c r="M650">
        <v>219.83070373535159</v>
      </c>
      <c r="N650" t="s">
        <v>54</v>
      </c>
      <c r="O650" t="s">
        <v>53</v>
      </c>
      <c r="P650" t="s">
        <v>54</v>
      </c>
      <c r="Q650" t="s">
        <v>53</v>
      </c>
      <c r="R650" t="s">
        <v>54</v>
      </c>
      <c r="S650" t="s">
        <v>5830</v>
      </c>
      <c r="T650" t="s">
        <v>5830</v>
      </c>
      <c r="U650" t="s">
        <v>54</v>
      </c>
      <c r="V650" t="s">
        <v>51</v>
      </c>
      <c r="W650">
        <v>82500</v>
      </c>
      <c r="X650" t="s">
        <v>54</v>
      </c>
      <c r="AA650">
        <v>969</v>
      </c>
      <c r="AB650">
        <v>619</v>
      </c>
      <c r="AC650">
        <v>6103</v>
      </c>
      <c r="AD650">
        <v>2340</v>
      </c>
      <c r="AE650">
        <v>7640</v>
      </c>
      <c r="AF650">
        <v>5</v>
      </c>
      <c r="AG650">
        <v>16</v>
      </c>
      <c r="AH650">
        <v>34.021171569824219</v>
      </c>
      <c r="AI650">
        <v>16</v>
      </c>
      <c r="AJ650">
        <v>37.252525329589837</v>
      </c>
      <c r="AK650" t="s">
        <v>54</v>
      </c>
      <c r="AL650" t="s">
        <v>53</v>
      </c>
      <c r="AQ650" t="s">
        <v>54</v>
      </c>
      <c r="AR650" t="s">
        <v>5450</v>
      </c>
      <c r="AT650" t="s">
        <v>5831</v>
      </c>
      <c r="AW650" t="s">
        <v>53</v>
      </c>
      <c r="AX650" t="s">
        <v>5450</v>
      </c>
      <c r="AZ650" t="s">
        <v>54</v>
      </c>
      <c r="BA650" t="s">
        <v>5780</v>
      </c>
    </row>
    <row r="651" spans="1:53" x14ac:dyDescent="0.25">
      <c r="A651">
        <v>646</v>
      </c>
      <c r="B651" t="s">
        <v>5832</v>
      </c>
      <c r="C651" t="s">
        <v>5833</v>
      </c>
      <c r="D651" t="s">
        <v>5834</v>
      </c>
      <c r="E651">
        <v>5</v>
      </c>
      <c r="F651" t="s">
        <v>5772</v>
      </c>
      <c r="G651" t="s">
        <v>5835</v>
      </c>
      <c r="H651" t="s">
        <v>5836</v>
      </c>
      <c r="I651" t="s">
        <v>5837</v>
      </c>
      <c r="J651" t="s">
        <v>5838</v>
      </c>
      <c r="K651" t="s">
        <v>5839</v>
      </c>
      <c r="L651" t="s">
        <v>5840</v>
      </c>
      <c r="M651">
        <v>0.40210822224616999</v>
      </c>
      <c r="N651" t="s">
        <v>54</v>
      </c>
      <c r="O651" t="s">
        <v>53</v>
      </c>
      <c r="P651" t="s">
        <v>53</v>
      </c>
      <c r="Q651" t="s">
        <v>53</v>
      </c>
      <c r="R651" t="s">
        <v>53</v>
      </c>
      <c r="S651" t="s">
        <v>5841</v>
      </c>
      <c r="T651" t="s">
        <v>5841</v>
      </c>
      <c r="U651" t="s">
        <v>54</v>
      </c>
      <c r="V651" t="s">
        <v>51</v>
      </c>
      <c r="W651">
        <v>500000</v>
      </c>
      <c r="X651" t="s">
        <v>54</v>
      </c>
      <c r="AA651">
        <v>129</v>
      </c>
      <c r="AB651">
        <v>123</v>
      </c>
      <c r="AC651">
        <v>81</v>
      </c>
      <c r="AD651">
        <v>234</v>
      </c>
      <c r="AE651">
        <v>237</v>
      </c>
      <c r="AF651">
        <v>0</v>
      </c>
      <c r="AG651">
        <v>0</v>
      </c>
      <c r="AH651">
        <v>2.3294997215271001</v>
      </c>
      <c r="AI651">
        <v>0</v>
      </c>
      <c r="AJ651">
        <v>0.1211110427975655</v>
      </c>
      <c r="AK651" t="s">
        <v>54</v>
      </c>
      <c r="AL651" t="s">
        <v>54</v>
      </c>
      <c r="AM651" t="s">
        <v>5821</v>
      </c>
      <c r="AN651" s="148">
        <v>45292</v>
      </c>
      <c r="AO651" s="148">
        <v>45292</v>
      </c>
      <c r="AQ651" t="s">
        <v>54</v>
      </c>
      <c r="AR651" t="s">
        <v>5842</v>
      </c>
      <c r="AS651" s="148">
        <v>45292</v>
      </c>
      <c r="AT651" t="s">
        <v>5843</v>
      </c>
      <c r="AW651" t="s">
        <v>53</v>
      </c>
      <c r="AX651" t="s">
        <v>5450</v>
      </c>
      <c r="AZ651" t="s">
        <v>54</v>
      </c>
      <c r="BA651" t="s">
        <v>5780</v>
      </c>
    </row>
    <row r="652" spans="1:53" x14ac:dyDescent="0.25">
      <c r="A652">
        <v>647</v>
      </c>
      <c r="B652" t="s">
        <v>5844</v>
      </c>
      <c r="C652" t="s">
        <v>5845</v>
      </c>
      <c r="D652" t="s">
        <v>5846</v>
      </c>
      <c r="E652">
        <v>5</v>
      </c>
      <c r="F652" t="s">
        <v>5772</v>
      </c>
      <c r="G652" t="s">
        <v>5847</v>
      </c>
      <c r="H652" t="s">
        <v>5848</v>
      </c>
      <c r="I652" t="s">
        <v>5849</v>
      </c>
      <c r="J652" t="s">
        <v>5850</v>
      </c>
      <c r="K652" t="s">
        <v>5851</v>
      </c>
      <c r="L652" t="s">
        <v>5852</v>
      </c>
      <c r="M652">
        <v>146.3665771484375</v>
      </c>
      <c r="N652" t="s">
        <v>54</v>
      </c>
      <c r="O652" t="s">
        <v>54</v>
      </c>
      <c r="P652" t="s">
        <v>53</v>
      </c>
      <c r="Q652" t="s">
        <v>53</v>
      </c>
      <c r="R652" t="s">
        <v>54</v>
      </c>
      <c r="S652" t="s">
        <v>5853</v>
      </c>
      <c r="T652" t="s">
        <v>5853</v>
      </c>
      <c r="U652" t="s">
        <v>54</v>
      </c>
      <c r="V652" t="s">
        <v>51</v>
      </c>
      <c r="W652">
        <v>75000</v>
      </c>
      <c r="X652" t="s">
        <v>54</v>
      </c>
      <c r="AA652">
        <v>2893</v>
      </c>
      <c r="AB652">
        <v>2271</v>
      </c>
      <c r="AC652">
        <v>8660</v>
      </c>
      <c r="AD652">
        <v>7462</v>
      </c>
      <c r="AE652">
        <v>13665</v>
      </c>
      <c r="AF652">
        <v>22</v>
      </c>
      <c r="AG652">
        <v>5</v>
      </c>
      <c r="AH652">
        <v>70.394691467285156</v>
      </c>
      <c r="AI652">
        <v>5</v>
      </c>
      <c r="AJ652">
        <v>4386.23291015625</v>
      </c>
      <c r="AK652" t="s">
        <v>54</v>
      </c>
      <c r="AL652" t="s">
        <v>54</v>
      </c>
      <c r="AM652" t="s">
        <v>5854</v>
      </c>
      <c r="AN652" s="148">
        <v>45264</v>
      </c>
      <c r="AO652" s="148">
        <v>45264</v>
      </c>
      <c r="AQ652" t="s">
        <v>54</v>
      </c>
      <c r="AR652" t="s">
        <v>5813</v>
      </c>
      <c r="AS652" s="148">
        <v>45292</v>
      </c>
      <c r="AT652" t="s">
        <v>5855</v>
      </c>
      <c r="AW652" t="s">
        <v>53</v>
      </c>
      <c r="AZ652" t="s">
        <v>54</v>
      </c>
      <c r="BA652" t="s">
        <v>5780</v>
      </c>
    </row>
    <row r="653" spans="1:53" x14ac:dyDescent="0.25">
      <c r="A653">
        <v>648</v>
      </c>
      <c r="B653" t="s">
        <v>5856</v>
      </c>
      <c r="C653" t="s">
        <v>5857</v>
      </c>
      <c r="D653" t="s">
        <v>5858</v>
      </c>
      <c r="E653">
        <v>5</v>
      </c>
      <c r="F653" t="s">
        <v>5772</v>
      </c>
      <c r="G653" t="s">
        <v>5847</v>
      </c>
      <c r="H653" t="s">
        <v>5848</v>
      </c>
      <c r="I653" t="s">
        <v>5849</v>
      </c>
      <c r="J653" t="s">
        <v>5850</v>
      </c>
      <c r="K653" t="s">
        <v>5851</v>
      </c>
      <c r="L653" t="s">
        <v>5859</v>
      </c>
      <c r="M653">
        <v>146.3665771484375</v>
      </c>
      <c r="N653" t="s">
        <v>54</v>
      </c>
      <c r="O653" t="s">
        <v>54</v>
      </c>
      <c r="P653" t="s">
        <v>53</v>
      </c>
      <c r="Q653" t="s">
        <v>53</v>
      </c>
      <c r="R653" t="s">
        <v>54</v>
      </c>
      <c r="S653" t="s">
        <v>5853</v>
      </c>
      <c r="T653" t="s">
        <v>5853</v>
      </c>
      <c r="U653" t="s">
        <v>54</v>
      </c>
      <c r="V653" t="s">
        <v>51</v>
      </c>
      <c r="W653">
        <v>50000</v>
      </c>
      <c r="X653" t="s">
        <v>54</v>
      </c>
      <c r="AA653">
        <v>2893</v>
      </c>
      <c r="AB653">
        <v>2271</v>
      </c>
      <c r="AC653">
        <v>8660</v>
      </c>
      <c r="AD653">
        <v>7462</v>
      </c>
      <c r="AE653">
        <v>13665</v>
      </c>
      <c r="AF653">
        <v>22</v>
      </c>
      <c r="AG653">
        <v>5</v>
      </c>
      <c r="AH653">
        <v>70.394691467285156</v>
      </c>
      <c r="AI653">
        <v>5</v>
      </c>
      <c r="AJ653">
        <v>4386.23291015625</v>
      </c>
      <c r="AK653" t="s">
        <v>54</v>
      </c>
      <c r="AL653" t="s">
        <v>54</v>
      </c>
      <c r="AM653" t="s">
        <v>5854</v>
      </c>
      <c r="AN653" s="148">
        <v>45264</v>
      </c>
      <c r="AO653" s="148">
        <v>45264</v>
      </c>
      <c r="AQ653" t="s">
        <v>54</v>
      </c>
      <c r="AR653" t="s">
        <v>5813</v>
      </c>
      <c r="AS653" s="148">
        <v>45292</v>
      </c>
      <c r="AT653" t="s">
        <v>5855</v>
      </c>
      <c r="AW653" t="s">
        <v>53</v>
      </c>
      <c r="AZ653" t="s">
        <v>54</v>
      </c>
      <c r="BA653" t="s">
        <v>5780</v>
      </c>
    </row>
    <row r="654" spans="1:53" x14ac:dyDescent="0.25">
      <c r="A654">
        <v>649</v>
      </c>
      <c r="B654" t="s">
        <v>5860</v>
      </c>
      <c r="C654" t="s">
        <v>5861</v>
      </c>
      <c r="D654" t="s">
        <v>5862</v>
      </c>
      <c r="E654">
        <v>5</v>
      </c>
      <c r="F654" t="s">
        <v>5772</v>
      </c>
      <c r="G654" t="s">
        <v>947</v>
      </c>
      <c r="H654" t="s">
        <v>5807</v>
      </c>
      <c r="I654" t="s">
        <v>5808</v>
      </c>
      <c r="J654" t="s">
        <v>5809</v>
      </c>
      <c r="K654" t="s">
        <v>5810</v>
      </c>
      <c r="L654" t="s">
        <v>5811</v>
      </c>
      <c r="M654">
        <v>138.5335388183594</v>
      </c>
      <c r="N654" t="s">
        <v>54</v>
      </c>
      <c r="O654" t="s">
        <v>54</v>
      </c>
      <c r="P654" t="s">
        <v>53</v>
      </c>
      <c r="Q654" t="s">
        <v>53</v>
      </c>
      <c r="R654" t="s">
        <v>54</v>
      </c>
      <c r="S654" t="s">
        <v>952</v>
      </c>
      <c r="T654" t="s">
        <v>952</v>
      </c>
      <c r="U654" t="s">
        <v>54</v>
      </c>
      <c r="V654" t="s">
        <v>51</v>
      </c>
      <c r="W654">
        <v>1400000</v>
      </c>
      <c r="X654" t="s">
        <v>54</v>
      </c>
      <c r="AA654">
        <v>949</v>
      </c>
      <c r="AB654">
        <v>379</v>
      </c>
      <c r="AC654">
        <v>471</v>
      </c>
      <c r="AD654">
        <v>925</v>
      </c>
      <c r="AE654">
        <v>1134</v>
      </c>
      <c r="AF654">
        <v>0</v>
      </c>
      <c r="AG654">
        <v>0</v>
      </c>
      <c r="AH654">
        <v>58.6669921875</v>
      </c>
      <c r="AI654">
        <v>0</v>
      </c>
      <c r="AJ654">
        <v>10885.9072265625</v>
      </c>
      <c r="AK654" t="s">
        <v>54</v>
      </c>
      <c r="AL654" t="s">
        <v>54</v>
      </c>
      <c r="AM654" t="s">
        <v>5812</v>
      </c>
      <c r="AN654" s="148">
        <v>45292</v>
      </c>
      <c r="AO654" s="148">
        <v>45292</v>
      </c>
      <c r="AQ654" t="s">
        <v>54</v>
      </c>
      <c r="AR654" t="s">
        <v>5813</v>
      </c>
      <c r="AS654" s="148">
        <v>45292</v>
      </c>
      <c r="AT654" t="s">
        <v>5814</v>
      </c>
      <c r="AW654" t="s">
        <v>53</v>
      </c>
      <c r="AZ654" t="s">
        <v>54</v>
      </c>
      <c r="BA654" t="s">
        <v>5780</v>
      </c>
    </row>
    <row r="655" spans="1:53" x14ac:dyDescent="0.25">
      <c r="A655">
        <v>650</v>
      </c>
      <c r="B655" t="s">
        <v>5863</v>
      </c>
      <c r="C655" t="s">
        <v>5864</v>
      </c>
      <c r="D655" t="s">
        <v>5442</v>
      </c>
      <c r="E655">
        <v>5</v>
      </c>
      <c r="F655" t="s">
        <v>5772</v>
      </c>
      <c r="G655" t="s">
        <v>891</v>
      </c>
      <c r="H655" t="s">
        <v>5865</v>
      </c>
      <c r="I655" t="s">
        <v>5866</v>
      </c>
      <c r="J655" t="s">
        <v>5867</v>
      </c>
      <c r="K655" t="s">
        <v>5868</v>
      </c>
      <c r="L655" t="s">
        <v>5777</v>
      </c>
      <c r="M655">
        <v>56.938182830810547</v>
      </c>
      <c r="N655" t="s">
        <v>54</v>
      </c>
      <c r="O655" t="s">
        <v>54</v>
      </c>
      <c r="P655" t="s">
        <v>53</v>
      </c>
      <c r="Q655" t="s">
        <v>53</v>
      </c>
      <c r="R655" t="s">
        <v>54</v>
      </c>
      <c r="S655" t="s">
        <v>1122</v>
      </c>
      <c r="T655" t="s">
        <v>1122</v>
      </c>
      <c r="U655" t="s">
        <v>54</v>
      </c>
      <c r="V655" t="s">
        <v>138</v>
      </c>
      <c r="W655">
        <v>68502</v>
      </c>
      <c r="X655" t="s">
        <v>54</v>
      </c>
      <c r="AA655">
        <v>4937</v>
      </c>
      <c r="AB655">
        <v>4476</v>
      </c>
      <c r="AC655">
        <v>665</v>
      </c>
      <c r="AD655">
        <v>1820</v>
      </c>
      <c r="AE655">
        <v>2373</v>
      </c>
      <c r="AF655">
        <v>8</v>
      </c>
      <c r="AG655">
        <v>0</v>
      </c>
      <c r="AH655">
        <v>142.5940246582031</v>
      </c>
      <c r="AI655">
        <v>0</v>
      </c>
      <c r="AJ655">
        <v>330.2083740234375</v>
      </c>
      <c r="AK655" t="s">
        <v>54</v>
      </c>
      <c r="AL655" t="s">
        <v>54</v>
      </c>
      <c r="AM655" t="s">
        <v>5821</v>
      </c>
      <c r="AN655" s="148">
        <v>45292</v>
      </c>
      <c r="AO655" s="148">
        <v>45292</v>
      </c>
      <c r="AQ655" t="s">
        <v>54</v>
      </c>
      <c r="AR655" t="s">
        <v>5813</v>
      </c>
      <c r="AS655" s="148">
        <v>45292</v>
      </c>
      <c r="AT655" t="s">
        <v>5779</v>
      </c>
      <c r="AW655" t="s">
        <v>53</v>
      </c>
      <c r="AZ655" t="s">
        <v>54</v>
      </c>
      <c r="BA655" t="s">
        <v>5780</v>
      </c>
    </row>
    <row r="656" spans="1:53" x14ac:dyDescent="0.25">
      <c r="A656">
        <v>651</v>
      </c>
      <c r="B656" t="s">
        <v>5869</v>
      </c>
      <c r="C656" t="s">
        <v>5870</v>
      </c>
      <c r="D656" t="s">
        <v>5442</v>
      </c>
      <c r="E656">
        <v>5</v>
      </c>
      <c r="F656" t="s">
        <v>5772</v>
      </c>
      <c r="G656" t="s">
        <v>5835</v>
      </c>
      <c r="H656" t="s">
        <v>5871</v>
      </c>
      <c r="I656" t="s">
        <v>5872</v>
      </c>
      <c r="L656" t="s">
        <v>5777</v>
      </c>
      <c r="M656">
        <v>887.59930419921875</v>
      </c>
      <c r="N656" t="s">
        <v>54</v>
      </c>
      <c r="O656" t="s">
        <v>53</v>
      </c>
      <c r="P656" t="s">
        <v>53</v>
      </c>
      <c r="Q656" t="s">
        <v>53</v>
      </c>
      <c r="R656" t="s">
        <v>54</v>
      </c>
      <c r="S656" t="s">
        <v>5873</v>
      </c>
      <c r="T656" t="s">
        <v>5873</v>
      </c>
      <c r="U656" t="s">
        <v>54</v>
      </c>
      <c r="V656" t="s">
        <v>138</v>
      </c>
      <c r="W656">
        <v>1800000</v>
      </c>
      <c r="X656" t="s">
        <v>54</v>
      </c>
      <c r="AA656">
        <v>3678</v>
      </c>
      <c r="AB656">
        <v>2638</v>
      </c>
      <c r="AC656">
        <v>5704</v>
      </c>
      <c r="AD656">
        <v>7212</v>
      </c>
      <c r="AE656">
        <v>10528</v>
      </c>
      <c r="AF656">
        <v>25</v>
      </c>
      <c r="AG656">
        <v>13</v>
      </c>
      <c r="AH656">
        <v>135.7959899902344</v>
      </c>
      <c r="AI656">
        <v>13</v>
      </c>
      <c r="AJ656">
        <v>743.241455078125</v>
      </c>
      <c r="AK656" t="s">
        <v>54</v>
      </c>
      <c r="AL656" t="s">
        <v>54</v>
      </c>
      <c r="AM656" t="s">
        <v>5821</v>
      </c>
      <c r="AN656" s="148">
        <v>45292</v>
      </c>
      <c r="AO656" s="148">
        <v>45292</v>
      </c>
      <c r="AQ656" t="s">
        <v>54</v>
      </c>
      <c r="AR656" t="s">
        <v>5813</v>
      </c>
      <c r="AS656" s="148">
        <v>45292</v>
      </c>
      <c r="AT656" t="s">
        <v>5779</v>
      </c>
      <c r="AW656" t="s">
        <v>53</v>
      </c>
      <c r="AX656" t="s">
        <v>5450</v>
      </c>
      <c r="AZ656" t="s">
        <v>54</v>
      </c>
      <c r="BA656" t="s">
        <v>5780</v>
      </c>
    </row>
    <row r="657" spans="1:53" x14ac:dyDescent="0.25">
      <c r="A657">
        <v>652</v>
      </c>
      <c r="B657" t="s">
        <v>5874</v>
      </c>
      <c r="C657" t="s">
        <v>5875</v>
      </c>
      <c r="D657" t="s">
        <v>5876</v>
      </c>
      <c r="E657">
        <v>5</v>
      </c>
      <c r="F657" t="s">
        <v>5772</v>
      </c>
      <c r="G657" t="s">
        <v>4239</v>
      </c>
      <c r="H657" t="s">
        <v>5800</v>
      </c>
      <c r="I657" t="s">
        <v>5877</v>
      </c>
      <c r="J657" t="s">
        <v>5802</v>
      </c>
      <c r="K657" t="s">
        <v>5803</v>
      </c>
      <c r="L657" t="s">
        <v>5878</v>
      </c>
      <c r="M657">
        <v>418.21084594726563</v>
      </c>
      <c r="N657" t="s">
        <v>54</v>
      </c>
      <c r="O657" t="s">
        <v>53</v>
      </c>
      <c r="P657" t="s">
        <v>54</v>
      </c>
      <c r="Q657" t="s">
        <v>53</v>
      </c>
      <c r="R657" t="s">
        <v>54</v>
      </c>
      <c r="S657" t="s">
        <v>3901</v>
      </c>
      <c r="T657" t="s">
        <v>3901</v>
      </c>
      <c r="U657" t="s">
        <v>53</v>
      </c>
      <c r="V657" t="s">
        <v>51</v>
      </c>
      <c r="W657">
        <v>16972</v>
      </c>
      <c r="X657" t="s">
        <v>54</v>
      </c>
      <c r="AA657">
        <v>17</v>
      </c>
      <c r="AB657">
        <v>3</v>
      </c>
      <c r="AC657">
        <v>5</v>
      </c>
      <c r="AD657">
        <v>16</v>
      </c>
      <c r="AE657">
        <v>16</v>
      </c>
      <c r="AF657">
        <v>0</v>
      </c>
      <c r="AG657">
        <v>7</v>
      </c>
      <c r="AH657">
        <v>19.704742431640621</v>
      </c>
      <c r="AI657">
        <v>7</v>
      </c>
      <c r="AJ657">
        <v>116.8699188232422</v>
      </c>
      <c r="AK657" t="s">
        <v>54</v>
      </c>
      <c r="AL657" t="s">
        <v>53</v>
      </c>
      <c r="AQ657" t="s">
        <v>54</v>
      </c>
      <c r="AR657" t="s">
        <v>5450</v>
      </c>
      <c r="AT657" t="s">
        <v>5879</v>
      </c>
      <c r="AW657" t="s">
        <v>53</v>
      </c>
      <c r="AX657" t="s">
        <v>5450</v>
      </c>
      <c r="AZ657" t="s">
        <v>54</v>
      </c>
      <c r="BA657" t="s">
        <v>5780</v>
      </c>
    </row>
    <row r="658" spans="1:53" x14ac:dyDescent="0.25">
      <c r="A658">
        <v>653</v>
      </c>
      <c r="B658" t="s">
        <v>5880</v>
      </c>
      <c r="C658" t="s">
        <v>5881</v>
      </c>
      <c r="D658" t="s">
        <v>5442</v>
      </c>
      <c r="E658">
        <v>5</v>
      </c>
      <c r="F658" t="s">
        <v>5772</v>
      </c>
      <c r="G658" t="s">
        <v>5456</v>
      </c>
      <c r="H658" t="s">
        <v>5882</v>
      </c>
      <c r="I658" t="s">
        <v>5883</v>
      </c>
      <c r="L658" t="s">
        <v>5777</v>
      </c>
      <c r="M658">
        <v>615.486083984375</v>
      </c>
      <c r="N658" t="s">
        <v>54</v>
      </c>
      <c r="O658" t="s">
        <v>53</v>
      </c>
      <c r="P658" t="s">
        <v>54</v>
      </c>
      <c r="Q658" t="s">
        <v>53</v>
      </c>
      <c r="R658" t="s">
        <v>54</v>
      </c>
      <c r="S658" t="s">
        <v>5462</v>
      </c>
      <c r="T658" t="s">
        <v>5462</v>
      </c>
      <c r="U658" t="s">
        <v>54</v>
      </c>
      <c r="V658" t="s">
        <v>138</v>
      </c>
      <c r="W658">
        <v>1210721</v>
      </c>
      <c r="X658" t="s">
        <v>54</v>
      </c>
      <c r="AA658">
        <v>756</v>
      </c>
      <c r="AB658">
        <v>367</v>
      </c>
      <c r="AC658">
        <v>1388</v>
      </c>
      <c r="AD658">
        <v>1083</v>
      </c>
      <c r="AE658">
        <v>1655</v>
      </c>
      <c r="AF658">
        <v>7</v>
      </c>
      <c r="AG658">
        <v>3</v>
      </c>
      <c r="AH658">
        <v>45.697433471679688</v>
      </c>
      <c r="AI658">
        <v>3</v>
      </c>
      <c r="AJ658">
        <v>103.863899230957</v>
      </c>
      <c r="AK658" t="s">
        <v>54</v>
      </c>
      <c r="AL658" t="s">
        <v>54</v>
      </c>
      <c r="AM658" t="s">
        <v>5821</v>
      </c>
      <c r="AN658" s="148">
        <v>45292</v>
      </c>
      <c r="AO658" s="148">
        <v>45292</v>
      </c>
      <c r="AQ658" t="s">
        <v>54</v>
      </c>
      <c r="AR658" t="s">
        <v>5813</v>
      </c>
      <c r="AS658" s="148">
        <v>45292</v>
      </c>
      <c r="AT658" t="s">
        <v>5779</v>
      </c>
      <c r="AW658" t="s">
        <v>53</v>
      </c>
      <c r="AX658" t="s">
        <v>5450</v>
      </c>
      <c r="AZ658" t="s">
        <v>54</v>
      </c>
      <c r="BA658" t="s">
        <v>5780</v>
      </c>
    </row>
    <row r="659" spans="1:53" x14ac:dyDescent="0.25">
      <c r="A659">
        <v>654</v>
      </c>
      <c r="B659" t="s">
        <v>5884</v>
      </c>
      <c r="C659" t="s">
        <v>5885</v>
      </c>
      <c r="D659" t="s">
        <v>5442</v>
      </c>
      <c r="E659">
        <v>5</v>
      </c>
      <c r="F659" t="s">
        <v>5772</v>
      </c>
      <c r="G659" t="s">
        <v>5847</v>
      </c>
      <c r="H659" t="s">
        <v>5886</v>
      </c>
      <c r="I659" t="s">
        <v>5887</v>
      </c>
      <c r="J659" t="s">
        <v>5888</v>
      </c>
      <c r="K659" t="s">
        <v>5889</v>
      </c>
      <c r="L659" t="s">
        <v>5777</v>
      </c>
      <c r="M659">
        <v>954.14312744140625</v>
      </c>
      <c r="N659" t="s">
        <v>54</v>
      </c>
      <c r="O659" t="s">
        <v>54</v>
      </c>
      <c r="P659" t="s">
        <v>53</v>
      </c>
      <c r="Q659" t="s">
        <v>53</v>
      </c>
      <c r="R659" t="s">
        <v>54</v>
      </c>
      <c r="S659" t="s">
        <v>5890</v>
      </c>
      <c r="T659" t="s">
        <v>5890</v>
      </c>
      <c r="U659" t="s">
        <v>54</v>
      </c>
      <c r="V659" t="s">
        <v>138</v>
      </c>
      <c r="W659">
        <v>1900000</v>
      </c>
      <c r="X659" t="s">
        <v>54</v>
      </c>
      <c r="AA659">
        <v>12869</v>
      </c>
      <c r="AB659">
        <v>9726</v>
      </c>
      <c r="AC659">
        <v>23054</v>
      </c>
      <c r="AD659">
        <v>26027</v>
      </c>
      <c r="AE659">
        <v>40765</v>
      </c>
      <c r="AF659">
        <v>316</v>
      </c>
      <c r="AG659">
        <v>22</v>
      </c>
      <c r="AH659">
        <v>473.79605102539063</v>
      </c>
      <c r="AI659">
        <v>22</v>
      </c>
      <c r="AJ659">
        <v>33019.37890625</v>
      </c>
      <c r="AK659" t="s">
        <v>54</v>
      </c>
      <c r="AL659" t="s">
        <v>54</v>
      </c>
      <c r="AM659" t="s">
        <v>5821</v>
      </c>
      <c r="AN659" s="148">
        <v>45292</v>
      </c>
      <c r="AO659" s="148">
        <v>45292</v>
      </c>
      <c r="AQ659" t="s">
        <v>54</v>
      </c>
      <c r="AR659" t="s">
        <v>5813</v>
      </c>
      <c r="AS659" s="148">
        <v>45292</v>
      </c>
      <c r="AT659" t="s">
        <v>5779</v>
      </c>
      <c r="AW659" t="s">
        <v>53</v>
      </c>
      <c r="AZ659" t="s">
        <v>54</v>
      </c>
      <c r="BA659" t="s">
        <v>5780</v>
      </c>
    </row>
    <row r="660" spans="1:53" x14ac:dyDescent="0.25">
      <c r="A660">
        <v>655</v>
      </c>
      <c r="B660" t="s">
        <v>5891</v>
      </c>
      <c r="C660" t="s">
        <v>5892</v>
      </c>
      <c r="D660" t="s">
        <v>5893</v>
      </c>
      <c r="E660">
        <v>5</v>
      </c>
      <c r="F660" t="s">
        <v>5772</v>
      </c>
      <c r="G660" t="s">
        <v>5847</v>
      </c>
      <c r="H660" t="s">
        <v>5848</v>
      </c>
      <c r="I660" t="s">
        <v>5894</v>
      </c>
      <c r="J660" t="s">
        <v>5895</v>
      </c>
      <c r="K660" t="s">
        <v>5896</v>
      </c>
      <c r="L660" t="s">
        <v>5852</v>
      </c>
      <c r="M660">
        <v>323.62557983398438</v>
      </c>
      <c r="N660" t="s">
        <v>54</v>
      </c>
      <c r="O660" t="s">
        <v>54</v>
      </c>
      <c r="P660" t="s">
        <v>53</v>
      </c>
      <c r="Q660" t="s">
        <v>53</v>
      </c>
      <c r="R660" t="s">
        <v>54</v>
      </c>
      <c r="S660" t="s">
        <v>5897</v>
      </c>
      <c r="T660" t="s">
        <v>5897</v>
      </c>
      <c r="U660" t="s">
        <v>54</v>
      </c>
      <c r="V660" t="s">
        <v>51</v>
      </c>
      <c r="W660">
        <v>225000</v>
      </c>
      <c r="X660" t="s">
        <v>54</v>
      </c>
      <c r="AA660">
        <v>5013</v>
      </c>
      <c r="AB660">
        <v>3786</v>
      </c>
      <c r="AC660">
        <v>9447</v>
      </c>
      <c r="AD660">
        <v>12745</v>
      </c>
      <c r="AE660">
        <v>18000</v>
      </c>
      <c r="AF660">
        <v>83</v>
      </c>
      <c r="AG660">
        <v>3</v>
      </c>
      <c r="AH660">
        <v>160.40507507324219</v>
      </c>
      <c r="AI660">
        <v>3</v>
      </c>
      <c r="AJ660">
        <v>9044.30078125</v>
      </c>
      <c r="AK660" t="s">
        <v>54</v>
      </c>
      <c r="AL660" t="s">
        <v>54</v>
      </c>
      <c r="AM660" t="s">
        <v>5821</v>
      </c>
      <c r="AN660" s="148">
        <v>45292</v>
      </c>
      <c r="AO660" s="148">
        <v>45292</v>
      </c>
      <c r="AQ660" t="s">
        <v>54</v>
      </c>
      <c r="AR660" t="s">
        <v>5842</v>
      </c>
      <c r="AS660" s="148">
        <v>45292</v>
      </c>
      <c r="AT660" t="s">
        <v>5898</v>
      </c>
      <c r="AW660" t="s">
        <v>53</v>
      </c>
      <c r="AZ660" t="s">
        <v>54</v>
      </c>
      <c r="BA660" t="s">
        <v>5780</v>
      </c>
    </row>
    <row r="661" spans="1:53" x14ac:dyDescent="0.25">
      <c r="A661">
        <v>656</v>
      </c>
      <c r="B661" t="s">
        <v>5899</v>
      </c>
      <c r="C661" t="s">
        <v>1264</v>
      </c>
      <c r="D661" t="s">
        <v>5900</v>
      </c>
      <c r="E661">
        <v>5</v>
      </c>
      <c r="F661" t="s">
        <v>5772</v>
      </c>
      <c r="G661" t="s">
        <v>1059</v>
      </c>
      <c r="H661" t="s">
        <v>5901</v>
      </c>
      <c r="I661" t="s">
        <v>5902</v>
      </c>
      <c r="J661" t="s">
        <v>5903</v>
      </c>
      <c r="K661" t="s">
        <v>5904</v>
      </c>
      <c r="L661" t="s">
        <v>5852</v>
      </c>
      <c r="M661">
        <v>235.4879455566406</v>
      </c>
      <c r="N661" t="s">
        <v>54</v>
      </c>
      <c r="O661" t="s">
        <v>53</v>
      </c>
      <c r="P661" t="s">
        <v>53</v>
      </c>
      <c r="Q661" t="s">
        <v>53</v>
      </c>
      <c r="R661" t="s">
        <v>54</v>
      </c>
      <c r="S661" t="s">
        <v>1064</v>
      </c>
      <c r="T661" t="s">
        <v>1064</v>
      </c>
      <c r="U661" t="s">
        <v>54</v>
      </c>
      <c r="V661" t="s">
        <v>51</v>
      </c>
      <c r="W661">
        <v>100657</v>
      </c>
      <c r="X661" t="s">
        <v>54</v>
      </c>
      <c r="AA661">
        <v>116</v>
      </c>
      <c r="AB661">
        <v>57</v>
      </c>
      <c r="AC661">
        <v>51</v>
      </c>
      <c r="AD661">
        <v>140</v>
      </c>
      <c r="AE661">
        <v>143</v>
      </c>
      <c r="AF661">
        <v>1</v>
      </c>
      <c r="AG661">
        <v>0</v>
      </c>
      <c r="AH661">
        <v>7.1143298149108887</v>
      </c>
      <c r="AI661">
        <v>0</v>
      </c>
      <c r="AJ661">
        <v>1525.707397460938</v>
      </c>
      <c r="AK661" t="s">
        <v>54</v>
      </c>
      <c r="AL661" t="s">
        <v>54</v>
      </c>
      <c r="AM661" t="s">
        <v>5821</v>
      </c>
      <c r="AN661" s="148">
        <v>45292</v>
      </c>
      <c r="AO661" s="148">
        <v>45292</v>
      </c>
      <c r="AQ661" t="s">
        <v>54</v>
      </c>
      <c r="AR661" t="s">
        <v>5813</v>
      </c>
      <c r="AS661" s="148">
        <v>45292</v>
      </c>
      <c r="AT661" t="s">
        <v>5905</v>
      </c>
      <c r="AW661" t="s">
        <v>53</v>
      </c>
      <c r="AX661" t="s">
        <v>5450</v>
      </c>
      <c r="AZ661" t="s">
        <v>54</v>
      </c>
      <c r="BA661" t="s">
        <v>5780</v>
      </c>
    </row>
    <row r="662" spans="1:53" x14ac:dyDescent="0.25">
      <c r="A662">
        <v>657</v>
      </c>
      <c r="B662" t="s">
        <v>5906</v>
      </c>
      <c r="C662" t="s">
        <v>5907</v>
      </c>
      <c r="D662" t="s">
        <v>5442</v>
      </c>
      <c r="E662">
        <v>5</v>
      </c>
      <c r="F662" t="s">
        <v>5772</v>
      </c>
      <c r="G662" t="s">
        <v>1059</v>
      </c>
      <c r="H662" t="s">
        <v>5901</v>
      </c>
      <c r="I662" t="s">
        <v>5902</v>
      </c>
      <c r="J662" t="s">
        <v>5903</v>
      </c>
      <c r="K662" t="s">
        <v>5904</v>
      </c>
      <c r="L662" t="s">
        <v>5777</v>
      </c>
      <c r="M662">
        <v>235.4879455566406</v>
      </c>
      <c r="N662" t="s">
        <v>54</v>
      </c>
      <c r="O662" t="s">
        <v>53</v>
      </c>
      <c r="P662" t="s">
        <v>53</v>
      </c>
      <c r="Q662" t="s">
        <v>53</v>
      </c>
      <c r="R662" t="s">
        <v>54</v>
      </c>
      <c r="S662" t="s">
        <v>1064</v>
      </c>
      <c r="T662" t="s">
        <v>1064</v>
      </c>
      <c r="U662" t="s">
        <v>54</v>
      </c>
      <c r="V662" t="s">
        <v>138</v>
      </c>
      <c r="W662">
        <v>402626</v>
      </c>
      <c r="X662" t="s">
        <v>54</v>
      </c>
      <c r="AA662">
        <v>116</v>
      </c>
      <c r="AB662">
        <v>57</v>
      </c>
      <c r="AC662">
        <v>51</v>
      </c>
      <c r="AD662">
        <v>140</v>
      </c>
      <c r="AE662">
        <v>143</v>
      </c>
      <c r="AF662">
        <v>1</v>
      </c>
      <c r="AG662">
        <v>0</v>
      </c>
      <c r="AH662">
        <v>7.1143298149108887</v>
      </c>
      <c r="AI662">
        <v>0</v>
      </c>
      <c r="AJ662">
        <v>1525.707397460938</v>
      </c>
      <c r="AK662" t="s">
        <v>54</v>
      </c>
      <c r="AL662" t="s">
        <v>54</v>
      </c>
      <c r="AM662" t="s">
        <v>5821</v>
      </c>
      <c r="AN662" s="148">
        <v>45292</v>
      </c>
      <c r="AO662" s="148">
        <v>45292</v>
      </c>
      <c r="AQ662" t="s">
        <v>54</v>
      </c>
      <c r="AR662" t="s">
        <v>5813</v>
      </c>
      <c r="AS662" s="148">
        <v>45292</v>
      </c>
      <c r="AT662" t="s">
        <v>5779</v>
      </c>
      <c r="AW662" t="s">
        <v>53</v>
      </c>
      <c r="AX662" t="s">
        <v>5450</v>
      </c>
      <c r="AZ662" t="s">
        <v>54</v>
      </c>
      <c r="BA662" t="s">
        <v>5780</v>
      </c>
    </row>
    <row r="663" spans="1:53" x14ac:dyDescent="0.25">
      <c r="A663">
        <v>658</v>
      </c>
      <c r="B663" t="s">
        <v>5908</v>
      </c>
      <c r="C663" t="s">
        <v>5909</v>
      </c>
      <c r="D663" t="s">
        <v>5442</v>
      </c>
      <c r="E663">
        <v>5</v>
      </c>
      <c r="F663" t="s">
        <v>5772</v>
      </c>
      <c r="G663" t="s">
        <v>5910</v>
      </c>
      <c r="H663" t="s">
        <v>5911</v>
      </c>
      <c r="I663" t="s">
        <v>5912</v>
      </c>
      <c r="L663" t="s">
        <v>5777</v>
      </c>
      <c r="M663">
        <v>977.21307373046875</v>
      </c>
      <c r="N663" t="s">
        <v>54</v>
      </c>
      <c r="O663" t="s">
        <v>53</v>
      </c>
      <c r="P663" t="s">
        <v>54</v>
      </c>
      <c r="Q663" t="s">
        <v>53</v>
      </c>
      <c r="R663" t="s">
        <v>53</v>
      </c>
      <c r="S663" t="s">
        <v>5913</v>
      </c>
      <c r="T663" t="s">
        <v>5913</v>
      </c>
      <c r="U663" t="s">
        <v>54</v>
      </c>
      <c r="V663" t="s">
        <v>138</v>
      </c>
      <c r="W663">
        <v>4400000</v>
      </c>
      <c r="X663" t="s">
        <v>54</v>
      </c>
      <c r="AA663">
        <v>585</v>
      </c>
      <c r="AB663">
        <v>238</v>
      </c>
      <c r="AC663">
        <v>4007</v>
      </c>
      <c r="AD663">
        <v>2150</v>
      </c>
      <c r="AE663">
        <v>5475</v>
      </c>
      <c r="AF663">
        <v>1</v>
      </c>
      <c r="AG663">
        <v>20</v>
      </c>
      <c r="AH663">
        <v>38.316616058349609</v>
      </c>
      <c r="AI663">
        <v>20</v>
      </c>
      <c r="AJ663">
        <v>239.8162536621094</v>
      </c>
      <c r="AK663" t="s">
        <v>54</v>
      </c>
      <c r="AL663" t="s">
        <v>54</v>
      </c>
      <c r="AM663" t="s">
        <v>5450</v>
      </c>
      <c r="AQ663" t="s">
        <v>54</v>
      </c>
      <c r="AR663" t="s">
        <v>5778</v>
      </c>
      <c r="AT663" t="s">
        <v>5779</v>
      </c>
      <c r="AW663" t="s">
        <v>53</v>
      </c>
      <c r="AX663" t="s">
        <v>5450</v>
      </c>
      <c r="AZ663" t="s">
        <v>54</v>
      </c>
      <c r="BA663" t="s">
        <v>5780</v>
      </c>
    </row>
    <row r="664" spans="1:53" x14ac:dyDescent="0.25">
      <c r="A664">
        <v>659</v>
      </c>
      <c r="B664" t="s">
        <v>5914</v>
      </c>
      <c r="C664" t="s">
        <v>5915</v>
      </c>
      <c r="D664" t="s">
        <v>5916</v>
      </c>
      <c r="E664">
        <v>5</v>
      </c>
      <c r="F664" t="s">
        <v>5772</v>
      </c>
      <c r="G664" t="s">
        <v>947</v>
      </c>
      <c r="H664" t="s">
        <v>5807</v>
      </c>
      <c r="I664" t="s">
        <v>5808</v>
      </c>
      <c r="J664" t="s">
        <v>5809</v>
      </c>
      <c r="K664" t="s">
        <v>5810</v>
      </c>
      <c r="L664" t="s">
        <v>5811</v>
      </c>
      <c r="M664">
        <v>138.5335388183594</v>
      </c>
      <c r="N664" t="s">
        <v>54</v>
      </c>
      <c r="O664" t="s">
        <v>54</v>
      </c>
      <c r="P664" t="s">
        <v>53</v>
      </c>
      <c r="Q664" t="s">
        <v>53</v>
      </c>
      <c r="R664" t="s">
        <v>54</v>
      </c>
      <c r="S664" t="s">
        <v>5917</v>
      </c>
      <c r="T664" t="s">
        <v>5917</v>
      </c>
      <c r="U664" t="s">
        <v>54</v>
      </c>
      <c r="V664" t="s">
        <v>51</v>
      </c>
      <c r="W664">
        <v>800000</v>
      </c>
      <c r="X664" t="s">
        <v>54</v>
      </c>
      <c r="AA664">
        <v>949</v>
      </c>
      <c r="AB664">
        <v>379</v>
      </c>
      <c r="AC664">
        <v>471</v>
      </c>
      <c r="AD664">
        <v>925</v>
      </c>
      <c r="AE664">
        <v>1134</v>
      </c>
      <c r="AF664">
        <v>0</v>
      </c>
      <c r="AG664">
        <v>0</v>
      </c>
      <c r="AH664">
        <v>58.6669921875</v>
      </c>
      <c r="AI664">
        <v>0</v>
      </c>
      <c r="AJ664">
        <v>10885.9072265625</v>
      </c>
      <c r="AK664" t="s">
        <v>54</v>
      </c>
      <c r="AL664" t="s">
        <v>54</v>
      </c>
      <c r="AM664" t="s">
        <v>5812</v>
      </c>
      <c r="AN664" s="148">
        <v>45292</v>
      </c>
      <c r="AO664" s="148">
        <v>45292</v>
      </c>
      <c r="AQ664" t="s">
        <v>54</v>
      </c>
      <c r="AR664" t="s">
        <v>5813</v>
      </c>
      <c r="AS664" s="148">
        <v>45292</v>
      </c>
      <c r="AT664" t="s">
        <v>5814</v>
      </c>
      <c r="AW664" t="s">
        <v>53</v>
      </c>
      <c r="AZ664" t="s">
        <v>54</v>
      </c>
      <c r="BA664" t="s">
        <v>5780</v>
      </c>
    </row>
    <row r="665" spans="1:53" x14ac:dyDescent="0.25">
      <c r="A665">
        <v>660</v>
      </c>
      <c r="B665" t="s">
        <v>5918</v>
      </c>
      <c r="C665" t="s">
        <v>5919</v>
      </c>
      <c r="D665" t="s">
        <v>5442</v>
      </c>
      <c r="E665">
        <v>5</v>
      </c>
      <c r="F665" t="s">
        <v>5772</v>
      </c>
      <c r="G665" t="s">
        <v>5538</v>
      </c>
      <c r="H665" t="s">
        <v>5920</v>
      </c>
      <c r="I665" t="s">
        <v>5921</v>
      </c>
      <c r="J665" t="s">
        <v>5922</v>
      </c>
      <c r="K665" t="s">
        <v>5923</v>
      </c>
      <c r="L665" t="s">
        <v>5777</v>
      </c>
      <c r="M665">
        <v>155.72442626953119</v>
      </c>
      <c r="N665" t="s">
        <v>54</v>
      </c>
      <c r="O665" t="s">
        <v>54</v>
      </c>
      <c r="P665" t="s">
        <v>53</v>
      </c>
      <c r="Q665" t="s">
        <v>53</v>
      </c>
      <c r="R665" t="s">
        <v>54</v>
      </c>
      <c r="S665" t="s">
        <v>5696</v>
      </c>
      <c r="T665" t="s">
        <v>5696</v>
      </c>
      <c r="U665" t="s">
        <v>54</v>
      </c>
      <c r="V665" t="s">
        <v>138</v>
      </c>
      <c r="W665">
        <v>760000</v>
      </c>
      <c r="X665" t="s">
        <v>54</v>
      </c>
      <c r="AA665">
        <v>5007</v>
      </c>
      <c r="AB665">
        <v>4273</v>
      </c>
      <c r="AC665">
        <v>5971</v>
      </c>
      <c r="AD665">
        <v>8737</v>
      </c>
      <c r="AE665">
        <v>11929</v>
      </c>
      <c r="AF665">
        <v>36</v>
      </c>
      <c r="AG665">
        <v>20</v>
      </c>
      <c r="AH665">
        <v>136.1341247558594</v>
      </c>
      <c r="AI665">
        <v>20</v>
      </c>
      <c r="AJ665">
        <v>346.0234375</v>
      </c>
      <c r="AK665" t="s">
        <v>54</v>
      </c>
      <c r="AL665" t="s">
        <v>54</v>
      </c>
      <c r="AM665" t="s">
        <v>5821</v>
      </c>
      <c r="AN665" s="148">
        <v>45292</v>
      </c>
      <c r="AO665" s="148">
        <v>45292</v>
      </c>
      <c r="AQ665" t="s">
        <v>54</v>
      </c>
      <c r="AR665" t="s">
        <v>5813</v>
      </c>
      <c r="AS665" s="148">
        <v>45292</v>
      </c>
      <c r="AT665" t="s">
        <v>5779</v>
      </c>
      <c r="AW665" t="s">
        <v>53</v>
      </c>
      <c r="AX665" t="s">
        <v>5450</v>
      </c>
      <c r="AZ665" t="s">
        <v>54</v>
      </c>
      <c r="BA665" t="s">
        <v>5780</v>
      </c>
    </row>
    <row r="666" spans="1:53" x14ac:dyDescent="0.25">
      <c r="A666">
        <v>661</v>
      </c>
      <c r="B666" t="s">
        <v>5924</v>
      </c>
      <c r="C666" t="s">
        <v>5925</v>
      </c>
      <c r="D666" t="s">
        <v>5442</v>
      </c>
      <c r="E666">
        <v>5</v>
      </c>
      <c r="F666" t="s">
        <v>5772</v>
      </c>
      <c r="G666" t="s">
        <v>4589</v>
      </c>
      <c r="H666" t="s">
        <v>5926</v>
      </c>
      <c r="I666" t="s">
        <v>5927</v>
      </c>
      <c r="K666" t="s">
        <v>5928</v>
      </c>
      <c r="L666" t="s">
        <v>5777</v>
      </c>
      <c r="M666">
        <v>535.169921875</v>
      </c>
      <c r="N666" t="s">
        <v>54</v>
      </c>
      <c r="O666" t="s">
        <v>53</v>
      </c>
      <c r="P666" t="s">
        <v>53</v>
      </c>
      <c r="Q666" t="s">
        <v>53</v>
      </c>
      <c r="R666" t="s">
        <v>54</v>
      </c>
      <c r="S666" t="s">
        <v>3981</v>
      </c>
      <c r="T666" t="s">
        <v>3981</v>
      </c>
      <c r="U666" t="s">
        <v>54</v>
      </c>
      <c r="V666" t="s">
        <v>138</v>
      </c>
      <c r="W666">
        <v>375054</v>
      </c>
      <c r="X666" t="s">
        <v>54</v>
      </c>
      <c r="AA666">
        <v>84</v>
      </c>
      <c r="AB666">
        <v>45</v>
      </c>
      <c r="AC666">
        <v>321</v>
      </c>
      <c r="AD666">
        <v>124</v>
      </c>
      <c r="AE666">
        <v>368</v>
      </c>
      <c r="AF666">
        <v>0</v>
      </c>
      <c r="AG666">
        <v>8</v>
      </c>
      <c r="AH666">
        <v>16.79930305480957</v>
      </c>
      <c r="AI666">
        <v>8</v>
      </c>
      <c r="AJ666">
        <v>62.190280914306641</v>
      </c>
      <c r="AK666" t="s">
        <v>54</v>
      </c>
      <c r="AL666" t="s">
        <v>54</v>
      </c>
      <c r="AM666" t="s">
        <v>5821</v>
      </c>
      <c r="AO666" s="148">
        <v>45292</v>
      </c>
      <c r="AQ666" t="s">
        <v>54</v>
      </c>
      <c r="AR666" t="s">
        <v>5842</v>
      </c>
      <c r="AS666" s="148">
        <v>45292</v>
      </c>
      <c r="AT666" t="s">
        <v>5779</v>
      </c>
      <c r="AW666" t="s">
        <v>53</v>
      </c>
      <c r="AX666" t="s">
        <v>5450</v>
      </c>
      <c r="AZ666" t="s">
        <v>54</v>
      </c>
      <c r="BA666" t="s">
        <v>5780</v>
      </c>
    </row>
    <row r="667" spans="1:53" x14ac:dyDescent="0.25">
      <c r="A667">
        <v>662</v>
      </c>
      <c r="B667" t="s">
        <v>5929</v>
      </c>
      <c r="C667" t="s">
        <v>5930</v>
      </c>
      <c r="D667" t="s">
        <v>5931</v>
      </c>
      <c r="E667">
        <v>5</v>
      </c>
      <c r="F667" t="s">
        <v>5772</v>
      </c>
      <c r="G667" t="s">
        <v>5847</v>
      </c>
      <c r="H667" t="s">
        <v>5848</v>
      </c>
      <c r="I667" t="s">
        <v>5894</v>
      </c>
      <c r="J667" t="s">
        <v>5895</v>
      </c>
      <c r="K667" t="s">
        <v>5896</v>
      </c>
      <c r="L667" t="s">
        <v>5852</v>
      </c>
      <c r="M667">
        <v>323.62557983398438</v>
      </c>
      <c r="N667" t="s">
        <v>54</v>
      </c>
      <c r="O667" t="s">
        <v>54</v>
      </c>
      <c r="P667" t="s">
        <v>53</v>
      </c>
      <c r="Q667" t="s">
        <v>53</v>
      </c>
      <c r="R667" t="s">
        <v>54</v>
      </c>
      <c r="S667" t="s">
        <v>5897</v>
      </c>
      <c r="T667" t="s">
        <v>5897</v>
      </c>
      <c r="U667" t="s">
        <v>54</v>
      </c>
      <c r="V667" t="s">
        <v>51</v>
      </c>
      <c r="W667">
        <v>2000000</v>
      </c>
      <c r="X667" t="s">
        <v>54</v>
      </c>
      <c r="AA667">
        <v>5013</v>
      </c>
      <c r="AB667">
        <v>3786</v>
      </c>
      <c r="AC667">
        <v>9447</v>
      </c>
      <c r="AD667">
        <v>12745</v>
      </c>
      <c r="AE667">
        <v>18000</v>
      </c>
      <c r="AF667">
        <v>83</v>
      </c>
      <c r="AG667">
        <v>3</v>
      </c>
      <c r="AH667">
        <v>160.40507507324219</v>
      </c>
      <c r="AI667">
        <v>3</v>
      </c>
      <c r="AJ667">
        <v>9044.30078125</v>
      </c>
      <c r="AK667" t="s">
        <v>54</v>
      </c>
      <c r="AL667" t="s">
        <v>54</v>
      </c>
      <c r="AM667" t="s">
        <v>5821</v>
      </c>
      <c r="AN667" s="148">
        <v>45292</v>
      </c>
      <c r="AO667" s="148">
        <v>45292</v>
      </c>
      <c r="AQ667" t="s">
        <v>54</v>
      </c>
      <c r="AR667" t="s">
        <v>5842</v>
      </c>
      <c r="AS667" s="148">
        <v>45292</v>
      </c>
      <c r="AT667" t="s">
        <v>5898</v>
      </c>
      <c r="AW667" t="s">
        <v>53</v>
      </c>
      <c r="AZ667" t="s">
        <v>54</v>
      </c>
      <c r="BA667" t="s">
        <v>5780</v>
      </c>
    </row>
    <row r="668" spans="1:53" x14ac:dyDescent="0.25">
      <c r="A668">
        <v>663</v>
      </c>
      <c r="B668" t="s">
        <v>5932</v>
      </c>
      <c r="C668" t="s">
        <v>5933</v>
      </c>
      <c r="D668" t="s">
        <v>5442</v>
      </c>
      <c r="E668">
        <v>5</v>
      </c>
      <c r="F668" t="s">
        <v>5772</v>
      </c>
      <c r="G668" t="s">
        <v>5633</v>
      </c>
      <c r="H668" t="s">
        <v>5911</v>
      </c>
      <c r="I668" t="s">
        <v>5934</v>
      </c>
      <c r="K668" t="s">
        <v>5935</v>
      </c>
      <c r="L668" t="s">
        <v>5777</v>
      </c>
      <c r="M668">
        <v>524.86724853515625</v>
      </c>
      <c r="N668" t="s">
        <v>54</v>
      </c>
      <c r="O668" t="s">
        <v>53</v>
      </c>
      <c r="P668" t="s">
        <v>54</v>
      </c>
      <c r="Q668" t="s">
        <v>53</v>
      </c>
      <c r="R668" t="s">
        <v>53</v>
      </c>
      <c r="S668" t="s">
        <v>5513</v>
      </c>
      <c r="T668" t="s">
        <v>5513</v>
      </c>
      <c r="U668" t="s">
        <v>54</v>
      </c>
      <c r="V668" t="s">
        <v>138</v>
      </c>
      <c r="W668">
        <v>1318550</v>
      </c>
      <c r="X668" t="s">
        <v>54</v>
      </c>
      <c r="AA668">
        <v>91</v>
      </c>
      <c r="AB668">
        <v>45</v>
      </c>
      <c r="AC668">
        <v>104</v>
      </c>
      <c r="AD668">
        <v>149</v>
      </c>
      <c r="AE668">
        <v>191</v>
      </c>
      <c r="AF668">
        <v>1</v>
      </c>
      <c r="AG668">
        <v>0</v>
      </c>
      <c r="AH668">
        <v>21.115413665771481</v>
      </c>
      <c r="AI668">
        <v>0</v>
      </c>
      <c r="AJ668">
        <v>206.473876953125</v>
      </c>
      <c r="AK668" t="s">
        <v>54</v>
      </c>
      <c r="AL668" t="s">
        <v>54</v>
      </c>
      <c r="AM668" t="s">
        <v>5450</v>
      </c>
      <c r="AQ668" t="s">
        <v>54</v>
      </c>
      <c r="AR668" t="s">
        <v>5778</v>
      </c>
      <c r="AT668" t="s">
        <v>5779</v>
      </c>
      <c r="AW668" t="s">
        <v>53</v>
      </c>
      <c r="AX668" t="s">
        <v>5450</v>
      </c>
      <c r="AZ668" t="s">
        <v>54</v>
      </c>
      <c r="BA668" t="s">
        <v>5780</v>
      </c>
    </row>
    <row r="669" spans="1:53" x14ac:dyDescent="0.25">
      <c r="A669">
        <v>664</v>
      </c>
      <c r="B669" t="s">
        <v>5936</v>
      </c>
      <c r="C669" t="s">
        <v>5937</v>
      </c>
      <c r="D669" t="s">
        <v>5442</v>
      </c>
      <c r="E669">
        <v>5</v>
      </c>
      <c r="F669" t="s">
        <v>5772</v>
      </c>
      <c r="G669" t="s">
        <v>5443</v>
      </c>
      <c r="H669" t="s">
        <v>5938</v>
      </c>
      <c r="I669" t="s">
        <v>5939</v>
      </c>
      <c r="J669" t="s">
        <v>5940</v>
      </c>
      <c r="K669" t="s">
        <v>5941</v>
      </c>
      <c r="L669" t="s">
        <v>5777</v>
      </c>
      <c r="M669">
        <v>95.268829345703125</v>
      </c>
      <c r="N669" t="s">
        <v>54</v>
      </c>
      <c r="O669" t="s">
        <v>53</v>
      </c>
      <c r="P669" t="s">
        <v>54</v>
      </c>
      <c r="Q669" t="s">
        <v>53</v>
      </c>
      <c r="R669" t="s">
        <v>54</v>
      </c>
      <c r="S669" t="s">
        <v>5488</v>
      </c>
      <c r="T669" t="s">
        <v>5488</v>
      </c>
      <c r="U669" t="s">
        <v>54</v>
      </c>
      <c r="V669" t="s">
        <v>138</v>
      </c>
      <c r="W669">
        <v>182571</v>
      </c>
      <c r="X669" t="s">
        <v>54</v>
      </c>
      <c r="AA669">
        <v>11</v>
      </c>
      <c r="AB669">
        <v>2</v>
      </c>
      <c r="AC669">
        <v>10</v>
      </c>
      <c r="AD669">
        <v>16</v>
      </c>
      <c r="AE669">
        <v>16</v>
      </c>
      <c r="AF669">
        <v>0</v>
      </c>
      <c r="AG669">
        <v>1</v>
      </c>
      <c r="AH669">
        <v>2.669447660446167</v>
      </c>
      <c r="AI669">
        <v>1</v>
      </c>
      <c r="AJ669">
        <v>4.9565868377685547</v>
      </c>
      <c r="AK669" t="s">
        <v>54</v>
      </c>
      <c r="AL669" t="s">
        <v>54</v>
      </c>
      <c r="AM669" t="s">
        <v>5821</v>
      </c>
      <c r="AN669" s="148">
        <v>45292</v>
      </c>
      <c r="AO669" s="148">
        <v>45292</v>
      </c>
      <c r="AQ669" t="s">
        <v>54</v>
      </c>
      <c r="AR669" t="s">
        <v>5813</v>
      </c>
      <c r="AS669" s="148">
        <v>45292</v>
      </c>
      <c r="AT669" t="s">
        <v>5779</v>
      </c>
      <c r="AW669" t="s">
        <v>53</v>
      </c>
      <c r="AX669" t="s">
        <v>5450</v>
      </c>
      <c r="AZ669" t="s">
        <v>54</v>
      </c>
      <c r="BA669" t="s">
        <v>5780</v>
      </c>
    </row>
    <row r="670" spans="1:53" x14ac:dyDescent="0.25">
      <c r="A670">
        <v>665</v>
      </c>
      <c r="B670" t="s">
        <v>5942</v>
      </c>
      <c r="C670" t="s">
        <v>5943</v>
      </c>
      <c r="D670" t="s">
        <v>5442</v>
      </c>
      <c r="E670">
        <v>5</v>
      </c>
      <c r="F670" t="s">
        <v>5772</v>
      </c>
      <c r="G670" t="s">
        <v>5944</v>
      </c>
      <c r="H670" t="s">
        <v>5938</v>
      </c>
      <c r="I670" t="s">
        <v>5945</v>
      </c>
      <c r="K670" t="s">
        <v>5946</v>
      </c>
      <c r="L670" t="s">
        <v>5777</v>
      </c>
      <c r="M670">
        <v>533.49688720703125</v>
      </c>
      <c r="N670" t="s">
        <v>54</v>
      </c>
      <c r="O670" t="s">
        <v>53</v>
      </c>
      <c r="P670" t="s">
        <v>54</v>
      </c>
      <c r="Q670" t="s">
        <v>53</v>
      </c>
      <c r="R670" t="s">
        <v>53</v>
      </c>
      <c r="S670" t="s">
        <v>5498</v>
      </c>
      <c r="T670" t="s">
        <v>5498</v>
      </c>
      <c r="U670" t="s">
        <v>54</v>
      </c>
      <c r="V670" t="s">
        <v>138</v>
      </c>
      <c r="W670">
        <v>904125</v>
      </c>
      <c r="X670" t="s">
        <v>54</v>
      </c>
      <c r="AA670">
        <v>64</v>
      </c>
      <c r="AB670">
        <v>28</v>
      </c>
      <c r="AC670">
        <v>110</v>
      </c>
      <c r="AD670">
        <v>105</v>
      </c>
      <c r="AE670">
        <v>146</v>
      </c>
      <c r="AF670">
        <v>0</v>
      </c>
      <c r="AG670">
        <v>2</v>
      </c>
      <c r="AH670">
        <v>13.215072631835939</v>
      </c>
      <c r="AI670">
        <v>2</v>
      </c>
      <c r="AJ670">
        <v>41.607803344726563</v>
      </c>
      <c r="AK670" t="s">
        <v>54</v>
      </c>
      <c r="AL670" t="s">
        <v>54</v>
      </c>
      <c r="AM670" t="s">
        <v>5821</v>
      </c>
      <c r="AN670" s="148">
        <v>45292</v>
      </c>
      <c r="AO670" s="148">
        <v>45292</v>
      </c>
      <c r="AQ670" t="s">
        <v>54</v>
      </c>
      <c r="AR670" t="s">
        <v>5842</v>
      </c>
      <c r="AS670" s="148">
        <v>45292</v>
      </c>
      <c r="AT670" t="s">
        <v>5779</v>
      </c>
      <c r="AW670" t="s">
        <v>53</v>
      </c>
      <c r="AX670" t="s">
        <v>5450</v>
      </c>
      <c r="AZ670" t="s">
        <v>54</v>
      </c>
      <c r="BA670" t="s">
        <v>5780</v>
      </c>
    </row>
    <row r="671" spans="1:53" x14ac:dyDescent="0.25">
      <c r="A671">
        <v>666</v>
      </c>
      <c r="B671" t="s">
        <v>5947</v>
      </c>
      <c r="C671" t="s">
        <v>5948</v>
      </c>
      <c r="D671" t="s">
        <v>5442</v>
      </c>
      <c r="E671">
        <v>5</v>
      </c>
      <c r="F671" t="s">
        <v>5772</v>
      </c>
      <c r="G671" t="s">
        <v>5949</v>
      </c>
      <c r="H671" t="s">
        <v>5938</v>
      </c>
      <c r="I671" t="s">
        <v>5950</v>
      </c>
      <c r="J671" t="s">
        <v>5951</v>
      </c>
      <c r="K671" t="s">
        <v>5952</v>
      </c>
      <c r="L671" t="s">
        <v>5777</v>
      </c>
      <c r="M671">
        <v>159.87260437011719</v>
      </c>
      <c r="N671" t="s">
        <v>54</v>
      </c>
      <c r="O671" t="s">
        <v>53</v>
      </c>
      <c r="P671" t="s">
        <v>54</v>
      </c>
      <c r="Q671" t="s">
        <v>53</v>
      </c>
      <c r="R671" t="s">
        <v>53</v>
      </c>
      <c r="S671" t="s">
        <v>5505</v>
      </c>
      <c r="T671" t="s">
        <v>5505</v>
      </c>
      <c r="U671" t="s">
        <v>54</v>
      </c>
      <c r="V671" t="s">
        <v>138</v>
      </c>
      <c r="W671">
        <v>711827</v>
      </c>
      <c r="X671" t="s">
        <v>54</v>
      </c>
      <c r="AA671">
        <v>15</v>
      </c>
      <c r="AB671">
        <v>0</v>
      </c>
      <c r="AC671">
        <v>3</v>
      </c>
      <c r="AD671">
        <v>7</v>
      </c>
      <c r="AE671">
        <v>8</v>
      </c>
      <c r="AF671">
        <v>0</v>
      </c>
      <c r="AG671">
        <v>4</v>
      </c>
      <c r="AH671">
        <v>4.6325712203979492</v>
      </c>
      <c r="AI671">
        <v>4</v>
      </c>
      <c r="AJ671">
        <v>56.068603515625</v>
      </c>
      <c r="AK671" t="s">
        <v>54</v>
      </c>
      <c r="AL671" t="s">
        <v>54</v>
      </c>
      <c r="AM671" t="s">
        <v>5450</v>
      </c>
      <c r="AQ671" t="s">
        <v>54</v>
      </c>
      <c r="AR671" t="s">
        <v>5450</v>
      </c>
      <c r="AT671" t="s">
        <v>5779</v>
      </c>
      <c r="AW671" t="s">
        <v>53</v>
      </c>
      <c r="AX671" t="s">
        <v>5450</v>
      </c>
      <c r="AZ671" t="s">
        <v>54</v>
      </c>
      <c r="BA671" t="s">
        <v>5780</v>
      </c>
    </row>
    <row r="672" spans="1:53" x14ac:dyDescent="0.25">
      <c r="A672">
        <v>667</v>
      </c>
      <c r="B672" t="s">
        <v>5953</v>
      </c>
      <c r="C672" t="s">
        <v>5954</v>
      </c>
      <c r="D672" t="s">
        <v>5442</v>
      </c>
      <c r="E672">
        <v>5</v>
      </c>
      <c r="F672" t="s">
        <v>5772</v>
      </c>
      <c r="G672" t="s">
        <v>5955</v>
      </c>
      <c r="H672" t="s">
        <v>5956</v>
      </c>
      <c r="I672" t="s">
        <v>5957</v>
      </c>
      <c r="K672" t="s">
        <v>5958</v>
      </c>
      <c r="L672" t="s">
        <v>5777</v>
      </c>
      <c r="M672">
        <v>509.56976318359381</v>
      </c>
      <c r="N672" t="s">
        <v>54</v>
      </c>
      <c r="O672" t="s">
        <v>53</v>
      </c>
      <c r="P672" t="s">
        <v>54</v>
      </c>
      <c r="Q672" t="s">
        <v>53</v>
      </c>
      <c r="R672" t="s">
        <v>54</v>
      </c>
      <c r="S672" t="s">
        <v>5477</v>
      </c>
      <c r="T672" t="s">
        <v>5477</v>
      </c>
      <c r="U672" t="s">
        <v>54</v>
      </c>
      <c r="V672" t="s">
        <v>138</v>
      </c>
      <c r="W672">
        <v>1225342</v>
      </c>
      <c r="X672" t="s">
        <v>54</v>
      </c>
      <c r="AA672">
        <v>2347</v>
      </c>
      <c r="AB672">
        <v>1064</v>
      </c>
      <c r="AC672">
        <v>6216</v>
      </c>
      <c r="AD672">
        <v>3308</v>
      </c>
      <c r="AE672">
        <v>8524</v>
      </c>
      <c r="AF672">
        <v>72</v>
      </c>
      <c r="AG672">
        <v>42</v>
      </c>
      <c r="AH672">
        <v>50.013843536376953</v>
      </c>
      <c r="AI672">
        <v>42</v>
      </c>
      <c r="AJ672">
        <v>216.3883361816406</v>
      </c>
      <c r="AK672" t="s">
        <v>54</v>
      </c>
      <c r="AL672" t="s">
        <v>54</v>
      </c>
      <c r="AM672" t="s">
        <v>5450</v>
      </c>
      <c r="AQ672" t="s">
        <v>54</v>
      </c>
      <c r="AR672" t="s">
        <v>5778</v>
      </c>
      <c r="AT672" t="s">
        <v>5779</v>
      </c>
      <c r="AW672" t="s">
        <v>53</v>
      </c>
      <c r="AX672" t="s">
        <v>5450</v>
      </c>
      <c r="AZ672" t="s">
        <v>54</v>
      </c>
      <c r="BA672" t="s">
        <v>5780</v>
      </c>
    </row>
    <row r="673" spans="1:53" x14ac:dyDescent="0.25">
      <c r="A673">
        <v>668</v>
      </c>
      <c r="B673" t="s">
        <v>5959</v>
      </c>
      <c r="C673" t="s">
        <v>5960</v>
      </c>
      <c r="D673" t="s">
        <v>5961</v>
      </c>
      <c r="E673">
        <v>5</v>
      </c>
      <c r="F673" t="s">
        <v>5772</v>
      </c>
      <c r="G673" t="s">
        <v>947</v>
      </c>
      <c r="H673" t="s">
        <v>5807</v>
      </c>
      <c r="I673" t="s">
        <v>5808</v>
      </c>
      <c r="J673" t="s">
        <v>5809</v>
      </c>
      <c r="K673" t="s">
        <v>5810</v>
      </c>
      <c r="L673" t="s">
        <v>5811</v>
      </c>
      <c r="M673">
        <v>138.5335388183594</v>
      </c>
      <c r="N673" t="s">
        <v>54</v>
      </c>
      <c r="O673" t="s">
        <v>54</v>
      </c>
      <c r="P673" t="s">
        <v>53</v>
      </c>
      <c r="Q673" t="s">
        <v>53</v>
      </c>
      <c r="R673" t="s">
        <v>54</v>
      </c>
      <c r="S673" t="s">
        <v>5917</v>
      </c>
      <c r="T673" t="s">
        <v>5917</v>
      </c>
      <c r="U673" t="s">
        <v>54</v>
      </c>
      <c r="V673" t="s">
        <v>51</v>
      </c>
      <c r="W673">
        <v>125000</v>
      </c>
      <c r="X673" t="s">
        <v>54</v>
      </c>
      <c r="AA673">
        <v>949</v>
      </c>
      <c r="AB673">
        <v>379</v>
      </c>
      <c r="AC673">
        <v>471</v>
      </c>
      <c r="AD673">
        <v>925</v>
      </c>
      <c r="AE673">
        <v>1134</v>
      </c>
      <c r="AF673">
        <v>0</v>
      </c>
      <c r="AG673">
        <v>0</v>
      </c>
      <c r="AH673">
        <v>58.6669921875</v>
      </c>
      <c r="AI673">
        <v>0</v>
      </c>
      <c r="AJ673">
        <v>10885.9072265625</v>
      </c>
      <c r="AK673" t="s">
        <v>54</v>
      </c>
      <c r="AL673" t="s">
        <v>54</v>
      </c>
      <c r="AM673" t="s">
        <v>5812</v>
      </c>
      <c r="AN673" s="148">
        <v>45292</v>
      </c>
      <c r="AO673" s="148">
        <v>45292</v>
      </c>
      <c r="AQ673" t="s">
        <v>54</v>
      </c>
      <c r="AR673" t="s">
        <v>5778</v>
      </c>
      <c r="AT673" t="s">
        <v>5814</v>
      </c>
      <c r="AW673" t="s">
        <v>53</v>
      </c>
      <c r="AZ673" t="s">
        <v>54</v>
      </c>
      <c r="BA673" t="s">
        <v>5780</v>
      </c>
    </row>
    <row r="674" spans="1:53" x14ac:dyDescent="0.25">
      <c r="A674">
        <v>669</v>
      </c>
      <c r="B674" t="s">
        <v>5962</v>
      </c>
      <c r="C674" t="s">
        <v>5963</v>
      </c>
      <c r="D674" t="s">
        <v>5964</v>
      </c>
      <c r="E674">
        <v>5</v>
      </c>
      <c r="F674" t="s">
        <v>5772</v>
      </c>
      <c r="G674" t="s">
        <v>947</v>
      </c>
      <c r="H674" t="s">
        <v>5807</v>
      </c>
      <c r="I674" t="s">
        <v>5808</v>
      </c>
      <c r="J674" t="s">
        <v>5809</v>
      </c>
      <c r="K674" t="s">
        <v>5810</v>
      </c>
      <c r="L674" t="s">
        <v>5811</v>
      </c>
      <c r="M674">
        <v>138.5335388183594</v>
      </c>
      <c r="N674" t="s">
        <v>54</v>
      </c>
      <c r="O674" t="s">
        <v>54</v>
      </c>
      <c r="P674" t="s">
        <v>53</v>
      </c>
      <c r="Q674" t="s">
        <v>53</v>
      </c>
      <c r="R674" t="s">
        <v>54</v>
      </c>
      <c r="S674" t="s">
        <v>5917</v>
      </c>
      <c r="T674" t="s">
        <v>5917</v>
      </c>
      <c r="U674" t="s">
        <v>54</v>
      </c>
      <c r="V674" t="s">
        <v>51</v>
      </c>
      <c r="W674">
        <v>125000</v>
      </c>
      <c r="X674" t="s">
        <v>54</v>
      </c>
      <c r="AA674">
        <v>949</v>
      </c>
      <c r="AB674">
        <v>379</v>
      </c>
      <c r="AC674">
        <v>471</v>
      </c>
      <c r="AD674">
        <v>925</v>
      </c>
      <c r="AE674">
        <v>1134</v>
      </c>
      <c r="AF674">
        <v>0</v>
      </c>
      <c r="AG674">
        <v>0</v>
      </c>
      <c r="AH674">
        <v>58.6669921875</v>
      </c>
      <c r="AI674">
        <v>0</v>
      </c>
      <c r="AJ674">
        <v>10885.9072265625</v>
      </c>
      <c r="AK674" t="s">
        <v>54</v>
      </c>
      <c r="AL674" t="s">
        <v>54</v>
      </c>
      <c r="AM674" t="s">
        <v>5812</v>
      </c>
      <c r="AN674" s="148">
        <v>45292</v>
      </c>
      <c r="AO674" s="148">
        <v>45292</v>
      </c>
      <c r="AQ674" t="s">
        <v>54</v>
      </c>
      <c r="AR674" t="s">
        <v>5813</v>
      </c>
      <c r="AS674" s="148">
        <v>45292</v>
      </c>
      <c r="AT674" t="s">
        <v>5814</v>
      </c>
      <c r="AW674" t="s">
        <v>53</v>
      </c>
      <c r="AZ674" t="s">
        <v>54</v>
      </c>
      <c r="BA674" t="s">
        <v>5780</v>
      </c>
    </row>
    <row r="675" spans="1:53" x14ac:dyDescent="0.25">
      <c r="A675">
        <v>670</v>
      </c>
      <c r="B675" t="s">
        <v>5965</v>
      </c>
      <c r="C675" t="s">
        <v>5966</v>
      </c>
      <c r="D675" t="s">
        <v>5967</v>
      </c>
      <c r="E675">
        <v>5</v>
      </c>
      <c r="F675" t="s">
        <v>5772</v>
      </c>
      <c r="G675" t="s">
        <v>947</v>
      </c>
      <c r="H675" t="s">
        <v>5807</v>
      </c>
      <c r="I675" t="s">
        <v>5968</v>
      </c>
      <c r="J675" t="s">
        <v>5969</v>
      </c>
      <c r="K675" t="s">
        <v>5970</v>
      </c>
      <c r="L675" t="s">
        <v>5811</v>
      </c>
      <c r="M675">
        <v>301.5489501953125</v>
      </c>
      <c r="N675" t="s">
        <v>54</v>
      </c>
      <c r="O675" t="s">
        <v>54</v>
      </c>
      <c r="P675" t="s">
        <v>53</v>
      </c>
      <c r="Q675" t="s">
        <v>53</v>
      </c>
      <c r="R675" t="s">
        <v>54</v>
      </c>
      <c r="S675" t="s">
        <v>952</v>
      </c>
      <c r="T675" t="s">
        <v>952</v>
      </c>
      <c r="U675" t="s">
        <v>54</v>
      </c>
      <c r="V675" t="s">
        <v>51</v>
      </c>
      <c r="W675">
        <v>1500000</v>
      </c>
      <c r="X675" t="s">
        <v>54</v>
      </c>
      <c r="AA675">
        <v>345</v>
      </c>
      <c r="AB675">
        <v>237</v>
      </c>
      <c r="AC675">
        <v>47</v>
      </c>
      <c r="AD675">
        <v>147</v>
      </c>
      <c r="AE675">
        <v>162</v>
      </c>
      <c r="AF675">
        <v>0</v>
      </c>
      <c r="AG675">
        <v>0</v>
      </c>
      <c r="AH675">
        <v>78.878807067871094</v>
      </c>
      <c r="AI675">
        <v>0</v>
      </c>
      <c r="AJ675">
        <v>22570.212890625</v>
      </c>
      <c r="AK675" t="s">
        <v>54</v>
      </c>
      <c r="AL675" t="s">
        <v>54</v>
      </c>
      <c r="AM675" t="s">
        <v>5812</v>
      </c>
      <c r="AN675" s="148">
        <v>45292</v>
      </c>
      <c r="AO675" s="148">
        <v>45292</v>
      </c>
      <c r="AQ675" t="s">
        <v>54</v>
      </c>
      <c r="AR675" t="s">
        <v>5813</v>
      </c>
      <c r="AS675" s="148">
        <v>45292</v>
      </c>
      <c r="AT675" t="s">
        <v>5814</v>
      </c>
      <c r="AW675" t="s">
        <v>53</v>
      </c>
      <c r="AZ675" t="s">
        <v>54</v>
      </c>
      <c r="BA675" t="s">
        <v>5780</v>
      </c>
    </row>
    <row r="676" spans="1:53" x14ac:dyDescent="0.25">
      <c r="A676">
        <v>671</v>
      </c>
      <c r="B676" t="s">
        <v>5971</v>
      </c>
      <c r="C676" t="s">
        <v>5972</v>
      </c>
      <c r="D676" t="s">
        <v>5442</v>
      </c>
      <c r="E676">
        <v>5</v>
      </c>
      <c r="F676" t="s">
        <v>5772</v>
      </c>
      <c r="G676" t="s">
        <v>3803</v>
      </c>
      <c r="H676" t="s">
        <v>5973</v>
      </c>
      <c r="I676" t="s">
        <v>5974</v>
      </c>
      <c r="J676" t="s">
        <v>5975</v>
      </c>
      <c r="K676" t="s">
        <v>5976</v>
      </c>
      <c r="L676" t="s">
        <v>5777</v>
      </c>
      <c r="M676">
        <v>341.74038696289063</v>
      </c>
      <c r="N676" t="s">
        <v>54</v>
      </c>
      <c r="O676" t="s">
        <v>53</v>
      </c>
      <c r="P676" t="s">
        <v>54</v>
      </c>
      <c r="Q676" t="s">
        <v>53</v>
      </c>
      <c r="R676" t="s">
        <v>53</v>
      </c>
      <c r="S676" t="s">
        <v>4003</v>
      </c>
      <c r="T676" t="s">
        <v>4003</v>
      </c>
      <c r="U676" t="s">
        <v>54</v>
      </c>
      <c r="V676" t="s">
        <v>138</v>
      </c>
      <c r="W676">
        <v>1540238</v>
      </c>
      <c r="X676" t="s">
        <v>54</v>
      </c>
      <c r="AA676">
        <v>32</v>
      </c>
      <c r="AB676">
        <v>15</v>
      </c>
      <c r="AC676">
        <v>7</v>
      </c>
      <c r="AD676">
        <v>15</v>
      </c>
      <c r="AE676">
        <v>15</v>
      </c>
      <c r="AF676">
        <v>0</v>
      </c>
      <c r="AG676">
        <v>1</v>
      </c>
      <c r="AH676">
        <v>22.494344711303711</v>
      </c>
      <c r="AI676">
        <v>1</v>
      </c>
      <c r="AJ676">
        <v>68.388084411621094</v>
      </c>
      <c r="AK676" t="s">
        <v>54</v>
      </c>
      <c r="AL676" t="s">
        <v>54</v>
      </c>
      <c r="AM676" t="s">
        <v>5450</v>
      </c>
      <c r="AQ676" t="s">
        <v>54</v>
      </c>
      <c r="AR676" t="s">
        <v>5450</v>
      </c>
      <c r="AT676" t="s">
        <v>5779</v>
      </c>
      <c r="AW676" t="s">
        <v>53</v>
      </c>
      <c r="AX676" t="s">
        <v>5450</v>
      </c>
      <c r="AZ676" t="s">
        <v>54</v>
      </c>
      <c r="BA676" t="s">
        <v>5780</v>
      </c>
    </row>
    <row r="677" spans="1:53" x14ac:dyDescent="0.25">
      <c r="A677">
        <v>672</v>
      </c>
      <c r="B677" t="s">
        <v>5977</v>
      </c>
      <c r="C677" t="s">
        <v>5978</v>
      </c>
      <c r="D677" t="s">
        <v>5442</v>
      </c>
      <c r="E677">
        <v>5</v>
      </c>
      <c r="F677" t="s">
        <v>5772</v>
      </c>
      <c r="G677" t="s">
        <v>5979</v>
      </c>
      <c r="H677" t="s">
        <v>5980</v>
      </c>
      <c r="I677" t="s">
        <v>5981</v>
      </c>
      <c r="L677" t="s">
        <v>5777</v>
      </c>
      <c r="M677">
        <v>931.7218017578125</v>
      </c>
      <c r="N677" t="s">
        <v>54</v>
      </c>
      <c r="O677" t="s">
        <v>53</v>
      </c>
      <c r="P677" t="s">
        <v>53</v>
      </c>
      <c r="Q677" t="s">
        <v>53</v>
      </c>
      <c r="R677" t="s">
        <v>54</v>
      </c>
      <c r="S677" t="s">
        <v>5982</v>
      </c>
      <c r="T677" t="s">
        <v>5982</v>
      </c>
      <c r="U677" t="s">
        <v>54</v>
      </c>
      <c r="V677" t="s">
        <v>138</v>
      </c>
      <c r="W677">
        <v>1800000</v>
      </c>
      <c r="X677" t="s">
        <v>54</v>
      </c>
      <c r="AA677">
        <v>545</v>
      </c>
      <c r="AB677">
        <v>377</v>
      </c>
      <c r="AC677">
        <v>163</v>
      </c>
      <c r="AD677">
        <v>278</v>
      </c>
      <c r="AE677">
        <v>329</v>
      </c>
      <c r="AF677">
        <v>0</v>
      </c>
      <c r="AG677">
        <v>8</v>
      </c>
      <c r="AH677">
        <v>41.875286102294922</v>
      </c>
      <c r="AI677">
        <v>8</v>
      </c>
      <c r="AJ677">
        <v>81.637687683105469</v>
      </c>
      <c r="AK677" t="s">
        <v>54</v>
      </c>
      <c r="AL677" t="s">
        <v>54</v>
      </c>
      <c r="AM677" t="s">
        <v>5821</v>
      </c>
      <c r="AN677" s="148">
        <v>45292</v>
      </c>
      <c r="AO677" s="148">
        <v>45292</v>
      </c>
      <c r="AQ677" t="s">
        <v>54</v>
      </c>
      <c r="AR677" t="s">
        <v>5842</v>
      </c>
      <c r="AS677" s="148">
        <v>45292</v>
      </c>
      <c r="AT677" t="s">
        <v>5779</v>
      </c>
      <c r="AW677" t="s">
        <v>53</v>
      </c>
      <c r="AX677" t="s">
        <v>5450</v>
      </c>
      <c r="AZ677" t="s">
        <v>54</v>
      </c>
      <c r="BA677" t="s">
        <v>5780</v>
      </c>
    </row>
    <row r="678" spans="1:53" x14ac:dyDescent="0.25">
      <c r="A678">
        <v>673</v>
      </c>
      <c r="B678" t="s">
        <v>5983</v>
      </c>
      <c r="C678" t="s">
        <v>5984</v>
      </c>
      <c r="D678" t="s">
        <v>5985</v>
      </c>
      <c r="E678">
        <v>5</v>
      </c>
      <c r="F678" t="s">
        <v>5772</v>
      </c>
      <c r="G678" t="s">
        <v>5847</v>
      </c>
      <c r="H678" t="s">
        <v>5848</v>
      </c>
      <c r="I678" t="s">
        <v>5894</v>
      </c>
      <c r="J678" t="s">
        <v>5895</v>
      </c>
      <c r="K678" t="s">
        <v>5896</v>
      </c>
      <c r="L678" t="s">
        <v>5852</v>
      </c>
      <c r="M678">
        <v>323.62557983398438</v>
      </c>
      <c r="N678" t="s">
        <v>54</v>
      </c>
      <c r="O678" t="s">
        <v>54</v>
      </c>
      <c r="P678" t="s">
        <v>53</v>
      </c>
      <c r="Q678" t="s">
        <v>53</v>
      </c>
      <c r="R678" t="s">
        <v>54</v>
      </c>
      <c r="S678" t="s">
        <v>5897</v>
      </c>
      <c r="T678" t="s">
        <v>5897</v>
      </c>
      <c r="U678" t="s">
        <v>54</v>
      </c>
      <c r="V678" t="s">
        <v>51</v>
      </c>
      <c r="W678">
        <v>50000</v>
      </c>
      <c r="X678" t="s">
        <v>54</v>
      </c>
      <c r="AA678">
        <v>5013</v>
      </c>
      <c r="AB678">
        <v>3786</v>
      </c>
      <c r="AC678">
        <v>9447</v>
      </c>
      <c r="AD678">
        <v>12745</v>
      </c>
      <c r="AE678">
        <v>18000</v>
      </c>
      <c r="AF678">
        <v>83</v>
      </c>
      <c r="AG678">
        <v>3</v>
      </c>
      <c r="AH678">
        <v>160.40507507324219</v>
      </c>
      <c r="AI678">
        <v>3</v>
      </c>
      <c r="AJ678">
        <v>9044.30078125</v>
      </c>
      <c r="AK678" t="s">
        <v>54</v>
      </c>
      <c r="AL678" t="s">
        <v>54</v>
      </c>
      <c r="AM678" t="s">
        <v>5821</v>
      </c>
      <c r="AN678" s="148">
        <v>45292</v>
      </c>
      <c r="AO678" s="148">
        <v>45292</v>
      </c>
      <c r="AQ678" t="s">
        <v>54</v>
      </c>
      <c r="AR678" t="s">
        <v>5842</v>
      </c>
      <c r="AS678" s="148">
        <v>45292</v>
      </c>
      <c r="AT678" t="s">
        <v>5898</v>
      </c>
      <c r="AW678" t="s">
        <v>53</v>
      </c>
      <c r="AZ678" t="s">
        <v>54</v>
      </c>
      <c r="BA678" t="s">
        <v>5780</v>
      </c>
    </row>
    <row r="679" spans="1:53" x14ac:dyDescent="0.25">
      <c r="A679">
        <v>674</v>
      </c>
      <c r="B679" t="s">
        <v>5986</v>
      </c>
      <c r="C679" t="s">
        <v>5987</v>
      </c>
      <c r="D679" t="s">
        <v>5442</v>
      </c>
      <c r="E679">
        <v>5</v>
      </c>
      <c r="F679" t="s">
        <v>5772</v>
      </c>
      <c r="G679" t="s">
        <v>5598</v>
      </c>
      <c r="H679" t="s">
        <v>5774</v>
      </c>
      <c r="I679" t="s">
        <v>5988</v>
      </c>
      <c r="J679" t="s">
        <v>5989</v>
      </c>
      <c r="K679" t="s">
        <v>5990</v>
      </c>
      <c r="L679" t="s">
        <v>5777</v>
      </c>
      <c r="M679">
        <v>244.0077819824219</v>
      </c>
      <c r="N679" t="s">
        <v>54</v>
      </c>
      <c r="O679" t="s">
        <v>53</v>
      </c>
      <c r="P679" t="s">
        <v>54</v>
      </c>
      <c r="Q679" t="s">
        <v>53</v>
      </c>
      <c r="R679" t="s">
        <v>54</v>
      </c>
      <c r="S679" t="s">
        <v>4010</v>
      </c>
      <c r="T679" t="s">
        <v>4010</v>
      </c>
      <c r="U679" t="s">
        <v>54</v>
      </c>
      <c r="V679" t="s">
        <v>138</v>
      </c>
      <c r="W679">
        <v>1111237</v>
      </c>
      <c r="X679" t="s">
        <v>54</v>
      </c>
      <c r="AA679">
        <v>217</v>
      </c>
      <c r="AB679">
        <v>144</v>
      </c>
      <c r="AC679">
        <v>85</v>
      </c>
      <c r="AD679">
        <v>202</v>
      </c>
      <c r="AE679">
        <v>233</v>
      </c>
      <c r="AF679">
        <v>0</v>
      </c>
      <c r="AG679">
        <v>0</v>
      </c>
      <c r="AH679">
        <v>13.46530914306641</v>
      </c>
      <c r="AI679">
        <v>0</v>
      </c>
      <c r="AJ679">
        <v>231.7996826171875</v>
      </c>
      <c r="AK679" t="s">
        <v>54</v>
      </c>
      <c r="AL679" t="s">
        <v>54</v>
      </c>
      <c r="AM679" t="s">
        <v>5450</v>
      </c>
      <c r="AQ679" t="s">
        <v>54</v>
      </c>
      <c r="AR679" t="s">
        <v>5778</v>
      </c>
      <c r="AT679" t="s">
        <v>5779</v>
      </c>
      <c r="AW679" t="s">
        <v>53</v>
      </c>
      <c r="AX679" t="s">
        <v>5450</v>
      </c>
      <c r="AZ679" t="s">
        <v>54</v>
      </c>
      <c r="BA679" t="s">
        <v>5780</v>
      </c>
    </row>
    <row r="680" spans="1:53" x14ac:dyDescent="0.25">
      <c r="A680">
        <v>675</v>
      </c>
      <c r="B680" t="s">
        <v>5991</v>
      </c>
      <c r="C680" t="s">
        <v>5992</v>
      </c>
      <c r="D680" t="s">
        <v>5993</v>
      </c>
      <c r="E680">
        <v>5</v>
      </c>
      <c r="F680" t="s">
        <v>5772</v>
      </c>
      <c r="G680" t="s">
        <v>5955</v>
      </c>
      <c r="H680" t="s">
        <v>5774</v>
      </c>
      <c r="I680" t="s">
        <v>5994</v>
      </c>
      <c r="J680" t="s">
        <v>5995</v>
      </c>
      <c r="K680" t="s">
        <v>5996</v>
      </c>
      <c r="L680" t="s">
        <v>5878</v>
      </c>
      <c r="M680">
        <v>3.342654705047607</v>
      </c>
      <c r="N680" t="s">
        <v>54</v>
      </c>
      <c r="O680" t="s">
        <v>53</v>
      </c>
      <c r="P680" t="s">
        <v>54</v>
      </c>
      <c r="Q680" t="s">
        <v>53</v>
      </c>
      <c r="R680" t="s">
        <v>53</v>
      </c>
      <c r="S680" t="s">
        <v>5997</v>
      </c>
      <c r="T680" t="s">
        <v>5997</v>
      </c>
      <c r="U680" t="s">
        <v>53</v>
      </c>
      <c r="V680" t="s">
        <v>51</v>
      </c>
      <c r="W680">
        <v>50000</v>
      </c>
      <c r="X680" t="s">
        <v>54</v>
      </c>
      <c r="AA680">
        <v>0</v>
      </c>
      <c r="AB680">
        <v>0</v>
      </c>
      <c r="AC680">
        <v>0</v>
      </c>
      <c r="AD680">
        <v>0</v>
      </c>
      <c r="AE680">
        <v>0</v>
      </c>
      <c r="AF680">
        <v>0</v>
      </c>
      <c r="AG680">
        <v>0</v>
      </c>
      <c r="AH680">
        <v>0</v>
      </c>
      <c r="AI680">
        <v>0</v>
      </c>
      <c r="AJ680">
        <v>0</v>
      </c>
      <c r="AK680" t="s">
        <v>54</v>
      </c>
      <c r="AL680" t="s">
        <v>53</v>
      </c>
      <c r="AQ680" t="s">
        <v>54</v>
      </c>
      <c r="AR680" t="s">
        <v>5778</v>
      </c>
      <c r="AT680" t="s">
        <v>5998</v>
      </c>
      <c r="AW680" t="s">
        <v>53</v>
      </c>
      <c r="AX680" t="s">
        <v>5450</v>
      </c>
      <c r="AZ680" t="s">
        <v>54</v>
      </c>
      <c r="BA680" t="s">
        <v>5780</v>
      </c>
    </row>
    <row r="681" spans="1:53" x14ac:dyDescent="0.25">
      <c r="A681">
        <v>676</v>
      </c>
      <c r="B681" t="s">
        <v>5999</v>
      </c>
      <c r="C681" t="s">
        <v>6000</v>
      </c>
      <c r="D681" t="s">
        <v>6001</v>
      </c>
      <c r="E681">
        <v>5</v>
      </c>
      <c r="F681" t="s">
        <v>5772</v>
      </c>
      <c r="G681" t="s">
        <v>5955</v>
      </c>
      <c r="H681" t="s">
        <v>5956</v>
      </c>
      <c r="I681" t="s">
        <v>6002</v>
      </c>
      <c r="K681" t="s">
        <v>5958</v>
      </c>
      <c r="L681" t="s">
        <v>5852</v>
      </c>
      <c r="M681">
        <v>509.56976318359381</v>
      </c>
      <c r="N681" t="s">
        <v>54</v>
      </c>
      <c r="O681" t="s">
        <v>53</v>
      </c>
      <c r="P681" t="s">
        <v>54</v>
      </c>
      <c r="Q681" t="s">
        <v>53</v>
      </c>
      <c r="R681" t="s">
        <v>54</v>
      </c>
      <c r="S681" t="s">
        <v>5477</v>
      </c>
      <c r="T681" t="s">
        <v>5477</v>
      </c>
      <c r="U681" t="s">
        <v>54</v>
      </c>
      <c r="V681" t="s">
        <v>51</v>
      </c>
      <c r="W681">
        <v>225000</v>
      </c>
      <c r="X681" t="s">
        <v>54</v>
      </c>
      <c r="AA681">
        <v>2347</v>
      </c>
      <c r="AB681">
        <v>1064</v>
      </c>
      <c r="AC681">
        <v>6216</v>
      </c>
      <c r="AD681">
        <v>3308</v>
      </c>
      <c r="AE681">
        <v>8524</v>
      </c>
      <c r="AF681">
        <v>72</v>
      </c>
      <c r="AG681">
        <v>42</v>
      </c>
      <c r="AH681">
        <v>50.013843536376953</v>
      </c>
      <c r="AI681">
        <v>42</v>
      </c>
      <c r="AJ681">
        <v>216.3883361816406</v>
      </c>
      <c r="AK681" t="s">
        <v>54</v>
      </c>
      <c r="AL681" t="s">
        <v>54</v>
      </c>
      <c r="AM681" t="s">
        <v>6003</v>
      </c>
      <c r="AN681" s="148">
        <v>45292</v>
      </c>
      <c r="AO681" s="148">
        <v>45292</v>
      </c>
      <c r="AQ681" t="s">
        <v>54</v>
      </c>
      <c r="AR681" t="s">
        <v>6004</v>
      </c>
      <c r="AS681" s="148">
        <v>45292</v>
      </c>
      <c r="AT681" t="s">
        <v>5998</v>
      </c>
      <c r="AW681" t="s">
        <v>53</v>
      </c>
      <c r="AX681" t="s">
        <v>5450</v>
      </c>
      <c r="AZ681" t="s">
        <v>54</v>
      </c>
      <c r="BA681" t="s">
        <v>5780</v>
      </c>
    </row>
    <row r="682" spans="1:53" x14ac:dyDescent="0.25">
      <c r="A682">
        <v>677</v>
      </c>
      <c r="B682" t="s">
        <v>6005</v>
      </c>
      <c r="C682" t="s">
        <v>6006</v>
      </c>
      <c r="D682" t="s">
        <v>6007</v>
      </c>
      <c r="E682">
        <v>5</v>
      </c>
      <c r="F682" t="s">
        <v>5772</v>
      </c>
      <c r="G682" t="s">
        <v>6008</v>
      </c>
      <c r="H682" t="s">
        <v>6009</v>
      </c>
      <c r="I682" t="s">
        <v>6010</v>
      </c>
      <c r="J682" t="s">
        <v>6011</v>
      </c>
      <c r="K682" t="s">
        <v>6012</v>
      </c>
      <c r="L682" t="s">
        <v>5878</v>
      </c>
      <c r="M682">
        <v>27.784761428833011</v>
      </c>
      <c r="N682" t="s">
        <v>54</v>
      </c>
      <c r="O682" t="s">
        <v>53</v>
      </c>
      <c r="P682" t="s">
        <v>53</v>
      </c>
      <c r="Q682" t="s">
        <v>53</v>
      </c>
      <c r="R682" t="s">
        <v>54</v>
      </c>
      <c r="S682" t="s">
        <v>5673</v>
      </c>
      <c r="T682" t="s">
        <v>5673</v>
      </c>
      <c r="U682" t="s">
        <v>54</v>
      </c>
      <c r="V682" t="s">
        <v>51</v>
      </c>
      <c r="W682">
        <v>150000</v>
      </c>
      <c r="X682" t="s">
        <v>54</v>
      </c>
      <c r="AA682">
        <v>848</v>
      </c>
      <c r="AB682">
        <v>762</v>
      </c>
      <c r="AC682">
        <v>389</v>
      </c>
      <c r="AD682">
        <v>1268</v>
      </c>
      <c r="AE682">
        <v>1290</v>
      </c>
      <c r="AF682">
        <v>0</v>
      </c>
      <c r="AG682">
        <v>5</v>
      </c>
      <c r="AH682">
        <v>17.357673645019531</v>
      </c>
      <c r="AI682">
        <v>5</v>
      </c>
      <c r="AJ682">
        <v>15.306471824646</v>
      </c>
      <c r="AK682" t="s">
        <v>54</v>
      </c>
      <c r="AL682" t="s">
        <v>54</v>
      </c>
      <c r="AM682" t="s">
        <v>5821</v>
      </c>
      <c r="AN682" s="148">
        <v>45292</v>
      </c>
      <c r="AO682" s="148">
        <v>45292</v>
      </c>
      <c r="AQ682" t="s">
        <v>54</v>
      </c>
      <c r="AR682" t="s">
        <v>5842</v>
      </c>
      <c r="AS682" s="148">
        <v>45292</v>
      </c>
      <c r="AT682" t="s">
        <v>6013</v>
      </c>
      <c r="AW682" t="s">
        <v>53</v>
      </c>
      <c r="AX682" t="s">
        <v>5450</v>
      </c>
      <c r="AZ682" t="s">
        <v>54</v>
      </c>
      <c r="BA682" t="s">
        <v>5780</v>
      </c>
    </row>
    <row r="683" spans="1:53" x14ac:dyDescent="0.25">
      <c r="A683">
        <v>678</v>
      </c>
      <c r="B683" t="s">
        <v>6014</v>
      </c>
      <c r="C683" t="s">
        <v>6015</v>
      </c>
      <c r="D683" t="s">
        <v>6016</v>
      </c>
      <c r="E683">
        <v>5</v>
      </c>
      <c r="F683" t="s">
        <v>5772</v>
      </c>
      <c r="G683" t="s">
        <v>6008</v>
      </c>
      <c r="H683" t="s">
        <v>6009</v>
      </c>
      <c r="I683" t="s">
        <v>6010</v>
      </c>
      <c r="J683" t="s">
        <v>6011</v>
      </c>
      <c r="K683" t="s">
        <v>6012</v>
      </c>
      <c r="L683" t="s">
        <v>6017</v>
      </c>
      <c r="M683">
        <v>27.784761428833011</v>
      </c>
      <c r="N683" t="s">
        <v>54</v>
      </c>
      <c r="O683" t="s">
        <v>53</v>
      </c>
      <c r="P683" t="s">
        <v>53</v>
      </c>
      <c r="Q683" t="s">
        <v>53</v>
      </c>
      <c r="R683" t="s">
        <v>54</v>
      </c>
      <c r="S683" t="s">
        <v>5673</v>
      </c>
      <c r="T683" t="s">
        <v>5673</v>
      </c>
      <c r="U683" t="s">
        <v>54</v>
      </c>
      <c r="V683" t="s">
        <v>51</v>
      </c>
      <c r="W683">
        <v>100000</v>
      </c>
      <c r="X683" t="s">
        <v>54</v>
      </c>
      <c r="AA683">
        <v>848</v>
      </c>
      <c r="AB683">
        <v>762</v>
      </c>
      <c r="AC683">
        <v>389</v>
      </c>
      <c r="AD683">
        <v>1268</v>
      </c>
      <c r="AE683">
        <v>1290</v>
      </c>
      <c r="AF683">
        <v>0</v>
      </c>
      <c r="AG683">
        <v>5</v>
      </c>
      <c r="AH683">
        <v>17.357673645019531</v>
      </c>
      <c r="AI683">
        <v>5</v>
      </c>
      <c r="AJ683">
        <v>15.306471824646</v>
      </c>
      <c r="AK683" t="s">
        <v>54</v>
      </c>
      <c r="AL683" t="s">
        <v>54</v>
      </c>
      <c r="AM683" t="s">
        <v>5821</v>
      </c>
      <c r="AN683" s="148">
        <v>45292</v>
      </c>
      <c r="AO683" s="148">
        <v>45292</v>
      </c>
      <c r="AQ683" t="s">
        <v>54</v>
      </c>
      <c r="AR683" t="s">
        <v>5842</v>
      </c>
      <c r="AS683" s="148">
        <v>45292</v>
      </c>
      <c r="AT683" t="s">
        <v>6013</v>
      </c>
      <c r="AW683" t="s">
        <v>53</v>
      </c>
      <c r="AX683" t="s">
        <v>5450</v>
      </c>
      <c r="AZ683" t="s">
        <v>54</v>
      </c>
      <c r="BA683" t="s">
        <v>5780</v>
      </c>
    </row>
    <row r="684" spans="1:53" x14ac:dyDescent="0.25">
      <c r="A684">
        <v>679</v>
      </c>
      <c r="B684" t="s">
        <v>6018</v>
      </c>
      <c r="C684" t="s">
        <v>6019</v>
      </c>
      <c r="D684" t="s">
        <v>6020</v>
      </c>
      <c r="E684">
        <v>5</v>
      </c>
      <c r="F684" t="s">
        <v>5772</v>
      </c>
      <c r="G684" t="s">
        <v>6021</v>
      </c>
      <c r="H684" t="s">
        <v>6009</v>
      </c>
      <c r="I684" t="s">
        <v>6010</v>
      </c>
      <c r="J684" t="s">
        <v>6022</v>
      </c>
      <c r="K684" t="s">
        <v>6023</v>
      </c>
      <c r="L684" t="s">
        <v>5852</v>
      </c>
      <c r="M684">
        <v>41.611412048339837</v>
      </c>
      <c r="N684" t="s">
        <v>54</v>
      </c>
      <c r="O684" t="s">
        <v>54</v>
      </c>
      <c r="P684" t="s">
        <v>53</v>
      </c>
      <c r="Q684" t="s">
        <v>53</v>
      </c>
      <c r="R684" t="s">
        <v>54</v>
      </c>
      <c r="S684" t="s">
        <v>5673</v>
      </c>
      <c r="T684" t="s">
        <v>5673</v>
      </c>
      <c r="U684" t="s">
        <v>54</v>
      </c>
      <c r="V684" t="s">
        <v>51</v>
      </c>
      <c r="W684">
        <v>325000</v>
      </c>
      <c r="X684" t="s">
        <v>54</v>
      </c>
      <c r="AA684">
        <v>1366</v>
      </c>
      <c r="AB684">
        <v>890</v>
      </c>
      <c r="AC684">
        <v>2028</v>
      </c>
      <c r="AD684">
        <v>2262</v>
      </c>
      <c r="AE684">
        <v>3566</v>
      </c>
      <c r="AF684">
        <v>194</v>
      </c>
      <c r="AG684">
        <v>9</v>
      </c>
      <c r="AH684">
        <v>35.056068420410163</v>
      </c>
      <c r="AI684">
        <v>9</v>
      </c>
      <c r="AJ684">
        <v>140.05671691894531</v>
      </c>
      <c r="AK684" t="s">
        <v>54</v>
      </c>
      <c r="AL684" t="s">
        <v>54</v>
      </c>
      <c r="AM684" t="s">
        <v>5821</v>
      </c>
      <c r="AN684" s="148">
        <v>45292</v>
      </c>
      <c r="AO684" s="148">
        <v>45292</v>
      </c>
      <c r="AQ684" t="s">
        <v>54</v>
      </c>
      <c r="AR684" t="s">
        <v>5842</v>
      </c>
      <c r="AS684" s="148">
        <v>45292</v>
      </c>
      <c r="AT684" t="s">
        <v>6013</v>
      </c>
      <c r="AW684" t="s">
        <v>53</v>
      </c>
      <c r="AX684" t="s">
        <v>5450</v>
      </c>
      <c r="AZ684" t="s">
        <v>54</v>
      </c>
      <c r="BA684" t="s">
        <v>5780</v>
      </c>
    </row>
    <row r="685" spans="1:53" x14ac:dyDescent="0.25">
      <c r="A685">
        <v>680</v>
      </c>
      <c r="B685" t="s">
        <v>6024</v>
      </c>
      <c r="C685" t="s">
        <v>6025</v>
      </c>
      <c r="D685" t="s">
        <v>6026</v>
      </c>
      <c r="E685">
        <v>5</v>
      </c>
      <c r="F685" t="s">
        <v>5772</v>
      </c>
      <c r="G685" t="s">
        <v>6008</v>
      </c>
      <c r="H685" t="s">
        <v>6009</v>
      </c>
      <c r="I685" t="s">
        <v>6010</v>
      </c>
      <c r="J685" t="s">
        <v>6027</v>
      </c>
      <c r="K685" t="s">
        <v>5890</v>
      </c>
      <c r="L685" t="s">
        <v>5878</v>
      </c>
      <c r="M685">
        <v>45.939395904541023</v>
      </c>
      <c r="N685" t="s">
        <v>54</v>
      </c>
      <c r="O685" t="s">
        <v>53</v>
      </c>
      <c r="P685" t="s">
        <v>53</v>
      </c>
      <c r="Q685" t="s">
        <v>53</v>
      </c>
      <c r="R685" t="s">
        <v>53</v>
      </c>
      <c r="S685" t="s">
        <v>5673</v>
      </c>
      <c r="T685" t="s">
        <v>5673</v>
      </c>
      <c r="U685" t="s">
        <v>54</v>
      </c>
      <c r="V685" t="s">
        <v>51</v>
      </c>
      <c r="W685">
        <v>175000</v>
      </c>
      <c r="X685" t="s">
        <v>54</v>
      </c>
      <c r="AA685">
        <v>415</v>
      </c>
      <c r="AB685">
        <v>350</v>
      </c>
      <c r="AC685">
        <v>263</v>
      </c>
      <c r="AD685">
        <v>748</v>
      </c>
      <c r="AE685">
        <v>768</v>
      </c>
      <c r="AF685">
        <v>0</v>
      </c>
      <c r="AG685">
        <v>2</v>
      </c>
      <c r="AH685">
        <v>12.57383346557617</v>
      </c>
      <c r="AI685">
        <v>2</v>
      </c>
      <c r="AJ685">
        <v>43.892425537109382</v>
      </c>
      <c r="AK685" t="s">
        <v>54</v>
      </c>
      <c r="AL685" t="s">
        <v>54</v>
      </c>
      <c r="AM685" t="s">
        <v>5821</v>
      </c>
      <c r="AN685" s="148">
        <v>45292</v>
      </c>
      <c r="AO685" s="148">
        <v>45292</v>
      </c>
      <c r="AQ685" t="s">
        <v>54</v>
      </c>
      <c r="AR685" t="s">
        <v>5842</v>
      </c>
      <c r="AS685" s="148">
        <v>45292</v>
      </c>
      <c r="AT685" t="s">
        <v>6013</v>
      </c>
      <c r="AW685" t="s">
        <v>53</v>
      </c>
      <c r="AX685" t="s">
        <v>5450</v>
      </c>
      <c r="AZ685" t="s">
        <v>54</v>
      </c>
      <c r="BA685" t="s">
        <v>5780</v>
      </c>
    </row>
    <row r="686" spans="1:53" x14ac:dyDescent="0.25">
      <c r="A686">
        <v>681</v>
      </c>
      <c r="B686" t="s">
        <v>6028</v>
      </c>
      <c r="C686" t="s">
        <v>6029</v>
      </c>
      <c r="D686" t="s">
        <v>6030</v>
      </c>
      <c r="E686">
        <v>5</v>
      </c>
      <c r="F686" t="s">
        <v>5772</v>
      </c>
      <c r="G686" t="s">
        <v>5538</v>
      </c>
      <c r="H686" t="s">
        <v>5920</v>
      </c>
      <c r="I686" t="s">
        <v>5921</v>
      </c>
      <c r="J686" t="s">
        <v>6031</v>
      </c>
      <c r="K686" t="s">
        <v>5923</v>
      </c>
      <c r="L686" t="s">
        <v>6032</v>
      </c>
      <c r="M686">
        <v>155.72517395019531</v>
      </c>
      <c r="N686" t="s">
        <v>54</v>
      </c>
      <c r="O686" t="s">
        <v>54</v>
      </c>
      <c r="P686" t="s">
        <v>53</v>
      </c>
      <c r="Q686" t="s">
        <v>53</v>
      </c>
      <c r="R686" t="s">
        <v>54</v>
      </c>
      <c r="S686" t="s">
        <v>5673</v>
      </c>
      <c r="T686" t="s">
        <v>5673</v>
      </c>
      <c r="U686" t="s">
        <v>54</v>
      </c>
      <c r="V686" t="s">
        <v>51</v>
      </c>
      <c r="W686">
        <v>150000</v>
      </c>
      <c r="X686" t="s">
        <v>54</v>
      </c>
      <c r="AA686">
        <v>5007</v>
      </c>
      <c r="AB686">
        <v>4273</v>
      </c>
      <c r="AC686">
        <v>5971</v>
      </c>
      <c r="AD686">
        <v>8737</v>
      </c>
      <c r="AE686">
        <v>11929</v>
      </c>
      <c r="AF686">
        <v>36</v>
      </c>
      <c r="AG686">
        <v>20</v>
      </c>
      <c r="AH686">
        <v>136.13397216796881</v>
      </c>
      <c r="AI686">
        <v>20</v>
      </c>
      <c r="AJ686">
        <v>346.02401733398438</v>
      </c>
      <c r="AK686" t="s">
        <v>54</v>
      </c>
      <c r="AL686" t="s">
        <v>54</v>
      </c>
      <c r="AM686" t="s">
        <v>5821</v>
      </c>
      <c r="AN686" s="148">
        <v>45292</v>
      </c>
      <c r="AO686" s="148">
        <v>45292</v>
      </c>
      <c r="AQ686" t="s">
        <v>54</v>
      </c>
      <c r="AR686" t="s">
        <v>5813</v>
      </c>
      <c r="AS686" s="148">
        <v>45292</v>
      </c>
      <c r="AT686" t="s">
        <v>6013</v>
      </c>
      <c r="AW686" t="s">
        <v>53</v>
      </c>
      <c r="AX686" t="s">
        <v>5450</v>
      </c>
      <c r="AZ686" t="s">
        <v>54</v>
      </c>
      <c r="BA686" t="s">
        <v>5780</v>
      </c>
    </row>
    <row r="687" spans="1:53" x14ac:dyDescent="0.25">
      <c r="A687">
        <v>682</v>
      </c>
      <c r="B687" t="s">
        <v>6033</v>
      </c>
      <c r="C687" t="s">
        <v>6034</v>
      </c>
      <c r="D687" t="s">
        <v>6035</v>
      </c>
      <c r="E687">
        <v>5</v>
      </c>
      <c r="F687" t="s">
        <v>5772</v>
      </c>
      <c r="G687" t="s">
        <v>5538</v>
      </c>
      <c r="H687" t="s">
        <v>5920</v>
      </c>
      <c r="I687" t="s">
        <v>5921</v>
      </c>
      <c r="J687" t="s">
        <v>6031</v>
      </c>
      <c r="K687" t="s">
        <v>5923</v>
      </c>
      <c r="L687" t="s">
        <v>5859</v>
      </c>
      <c r="M687">
        <v>155.72517395019531</v>
      </c>
      <c r="N687" t="s">
        <v>54</v>
      </c>
      <c r="O687" t="s">
        <v>54</v>
      </c>
      <c r="P687" t="s">
        <v>53</v>
      </c>
      <c r="Q687" t="s">
        <v>53</v>
      </c>
      <c r="R687" t="s">
        <v>54</v>
      </c>
      <c r="S687" t="s">
        <v>5673</v>
      </c>
      <c r="T687" t="s">
        <v>5673</v>
      </c>
      <c r="U687" t="s">
        <v>54</v>
      </c>
      <c r="V687" t="s">
        <v>51</v>
      </c>
      <c r="W687">
        <v>100000</v>
      </c>
      <c r="X687" t="s">
        <v>54</v>
      </c>
      <c r="AA687">
        <v>5007</v>
      </c>
      <c r="AB687">
        <v>4273</v>
      </c>
      <c r="AC687">
        <v>5971</v>
      </c>
      <c r="AD687">
        <v>8737</v>
      </c>
      <c r="AE687">
        <v>11929</v>
      </c>
      <c r="AF687">
        <v>36</v>
      </c>
      <c r="AG687">
        <v>20</v>
      </c>
      <c r="AH687">
        <v>136.13397216796881</v>
      </c>
      <c r="AI687">
        <v>20</v>
      </c>
      <c r="AJ687">
        <v>346.02401733398438</v>
      </c>
      <c r="AK687" t="s">
        <v>54</v>
      </c>
      <c r="AL687" t="s">
        <v>54</v>
      </c>
      <c r="AM687" t="s">
        <v>5821</v>
      </c>
      <c r="AN687" s="148">
        <v>45292</v>
      </c>
      <c r="AO687" s="148">
        <v>45292</v>
      </c>
      <c r="AQ687" t="s">
        <v>54</v>
      </c>
      <c r="AR687" t="s">
        <v>5813</v>
      </c>
      <c r="AS687" s="148">
        <v>45292</v>
      </c>
      <c r="AT687" t="s">
        <v>6013</v>
      </c>
      <c r="AW687" t="s">
        <v>53</v>
      </c>
      <c r="AX687" t="s">
        <v>5450</v>
      </c>
      <c r="AZ687" t="s">
        <v>54</v>
      </c>
      <c r="BA687" t="s">
        <v>5780</v>
      </c>
    </row>
    <row r="688" spans="1:53" x14ac:dyDescent="0.25">
      <c r="A688">
        <v>683</v>
      </c>
      <c r="B688" t="s">
        <v>6036</v>
      </c>
      <c r="C688" t="s">
        <v>6037</v>
      </c>
      <c r="D688" t="s">
        <v>6038</v>
      </c>
      <c r="E688">
        <v>5</v>
      </c>
      <c r="F688" t="s">
        <v>5772</v>
      </c>
      <c r="G688" t="s">
        <v>5955</v>
      </c>
      <c r="H688" t="s">
        <v>6039</v>
      </c>
      <c r="I688" t="s">
        <v>6040</v>
      </c>
      <c r="J688" t="s">
        <v>6041</v>
      </c>
      <c r="K688" t="s">
        <v>6042</v>
      </c>
      <c r="L688" t="s">
        <v>6043</v>
      </c>
      <c r="M688">
        <v>2.626341581344604</v>
      </c>
      <c r="N688" t="s">
        <v>54</v>
      </c>
      <c r="O688" t="s">
        <v>53</v>
      </c>
      <c r="P688" t="s">
        <v>54</v>
      </c>
      <c r="Q688" t="s">
        <v>53</v>
      </c>
      <c r="R688" t="s">
        <v>53</v>
      </c>
      <c r="S688" t="s">
        <v>6044</v>
      </c>
      <c r="T688" t="s">
        <v>6044</v>
      </c>
      <c r="U688" t="s">
        <v>53</v>
      </c>
      <c r="V688" t="s">
        <v>138</v>
      </c>
      <c r="W688">
        <v>1300000</v>
      </c>
      <c r="X688" t="s">
        <v>54</v>
      </c>
      <c r="AA688">
        <v>0</v>
      </c>
      <c r="AB688">
        <v>0</v>
      </c>
      <c r="AC688">
        <v>0</v>
      </c>
      <c r="AD688">
        <v>0</v>
      </c>
      <c r="AE688">
        <v>0</v>
      </c>
      <c r="AF688">
        <v>0</v>
      </c>
      <c r="AG688">
        <v>0</v>
      </c>
      <c r="AH688">
        <v>0</v>
      </c>
      <c r="AI688">
        <v>0</v>
      </c>
      <c r="AJ688">
        <v>0.2223948389291763</v>
      </c>
      <c r="AK688" t="s">
        <v>54</v>
      </c>
      <c r="AL688" t="s">
        <v>53</v>
      </c>
      <c r="AQ688" t="s">
        <v>54</v>
      </c>
      <c r="AR688" t="s">
        <v>5450</v>
      </c>
      <c r="AT688" t="s">
        <v>5779</v>
      </c>
      <c r="AW688" t="s">
        <v>53</v>
      </c>
      <c r="AX688" t="s">
        <v>5450</v>
      </c>
      <c r="AZ688" t="s">
        <v>54</v>
      </c>
      <c r="BA688" t="s">
        <v>5780</v>
      </c>
    </row>
    <row r="689" spans="1:53" x14ac:dyDescent="0.25">
      <c r="A689">
        <v>684</v>
      </c>
      <c r="B689" t="s">
        <v>6045</v>
      </c>
      <c r="C689" t="s">
        <v>6046</v>
      </c>
      <c r="D689" t="s">
        <v>6047</v>
      </c>
      <c r="E689">
        <v>5</v>
      </c>
      <c r="F689" t="s">
        <v>5772</v>
      </c>
      <c r="G689" t="s">
        <v>4207</v>
      </c>
      <c r="H689" t="s">
        <v>5774</v>
      </c>
      <c r="I689" t="s">
        <v>6048</v>
      </c>
      <c r="J689" t="s">
        <v>6049</v>
      </c>
      <c r="K689" t="s">
        <v>6050</v>
      </c>
      <c r="L689" t="s">
        <v>6051</v>
      </c>
      <c r="M689">
        <v>6.6292815208435059</v>
      </c>
      <c r="N689" t="s">
        <v>54</v>
      </c>
      <c r="O689" t="s">
        <v>53</v>
      </c>
      <c r="P689" t="s">
        <v>54</v>
      </c>
      <c r="Q689" t="s">
        <v>53</v>
      </c>
      <c r="R689" t="s">
        <v>54</v>
      </c>
      <c r="S689" t="s">
        <v>6052</v>
      </c>
      <c r="T689" t="s">
        <v>6052</v>
      </c>
      <c r="U689" t="s">
        <v>53</v>
      </c>
      <c r="V689" t="s">
        <v>51</v>
      </c>
      <c r="W689">
        <v>25000</v>
      </c>
      <c r="X689" t="s">
        <v>54</v>
      </c>
      <c r="AA689">
        <v>4</v>
      </c>
      <c r="AB689">
        <v>0</v>
      </c>
      <c r="AC689">
        <v>6</v>
      </c>
      <c r="AD689">
        <v>2</v>
      </c>
      <c r="AE689">
        <v>6</v>
      </c>
      <c r="AF689">
        <v>0</v>
      </c>
      <c r="AG689">
        <v>0</v>
      </c>
      <c r="AH689">
        <v>1.068112254142761</v>
      </c>
      <c r="AI689">
        <v>0</v>
      </c>
      <c r="AJ689">
        <v>2.7699470520019531</v>
      </c>
      <c r="AK689" t="s">
        <v>53</v>
      </c>
      <c r="AL689" t="s">
        <v>53</v>
      </c>
      <c r="AQ689" t="s">
        <v>54</v>
      </c>
      <c r="AR689" t="s">
        <v>5778</v>
      </c>
      <c r="AT689" t="s">
        <v>6053</v>
      </c>
      <c r="AW689" t="s">
        <v>53</v>
      </c>
      <c r="AX689" t="s">
        <v>5450</v>
      </c>
      <c r="AZ689" t="s">
        <v>54</v>
      </c>
      <c r="BA689" t="s">
        <v>5780</v>
      </c>
    </row>
    <row r="690" spans="1:53" x14ac:dyDescent="0.25">
      <c r="A690">
        <v>685</v>
      </c>
      <c r="B690" t="s">
        <v>6054</v>
      </c>
      <c r="C690" t="s">
        <v>6055</v>
      </c>
      <c r="D690" t="s">
        <v>6056</v>
      </c>
      <c r="E690">
        <v>5</v>
      </c>
      <c r="F690" t="s">
        <v>5772</v>
      </c>
      <c r="G690" t="s">
        <v>1059</v>
      </c>
      <c r="H690" t="s">
        <v>5836</v>
      </c>
      <c r="I690" t="s">
        <v>6057</v>
      </c>
      <c r="J690" t="s">
        <v>6058</v>
      </c>
      <c r="K690" t="s">
        <v>6059</v>
      </c>
      <c r="L690" t="s">
        <v>5878</v>
      </c>
      <c r="M690">
        <v>1.475543856620789</v>
      </c>
      <c r="N690" t="s">
        <v>54</v>
      </c>
      <c r="O690" t="s">
        <v>53</v>
      </c>
      <c r="P690" t="s">
        <v>53</v>
      </c>
      <c r="Q690" t="s">
        <v>53</v>
      </c>
      <c r="R690" t="s">
        <v>54</v>
      </c>
      <c r="S690" t="s">
        <v>6060</v>
      </c>
      <c r="T690" t="s">
        <v>6060</v>
      </c>
      <c r="U690" t="s">
        <v>54</v>
      </c>
      <c r="V690" t="s">
        <v>51</v>
      </c>
      <c r="W690">
        <v>150000</v>
      </c>
      <c r="X690" t="s">
        <v>54</v>
      </c>
      <c r="AA690">
        <v>0</v>
      </c>
      <c r="AB690">
        <v>0</v>
      </c>
      <c r="AC690">
        <v>0</v>
      </c>
      <c r="AD690">
        <v>0</v>
      </c>
      <c r="AE690">
        <v>0</v>
      </c>
      <c r="AF690">
        <v>0</v>
      </c>
      <c r="AG690">
        <v>0</v>
      </c>
      <c r="AH690">
        <v>0</v>
      </c>
      <c r="AI690">
        <v>0</v>
      </c>
      <c r="AJ690">
        <v>0.42639347910881042</v>
      </c>
      <c r="AK690" t="s">
        <v>54</v>
      </c>
      <c r="AL690" t="s">
        <v>54</v>
      </c>
      <c r="AM690" t="s">
        <v>5854</v>
      </c>
      <c r="AN690" s="148">
        <v>45264</v>
      </c>
      <c r="AO690" s="148">
        <v>45264</v>
      </c>
      <c r="AQ690" t="s">
        <v>54</v>
      </c>
      <c r="AR690" t="s">
        <v>5813</v>
      </c>
      <c r="AS690" s="148">
        <v>45292</v>
      </c>
      <c r="AT690" t="s">
        <v>5905</v>
      </c>
      <c r="AW690" t="s">
        <v>53</v>
      </c>
      <c r="AX690" t="s">
        <v>5450</v>
      </c>
      <c r="AZ690" t="s">
        <v>54</v>
      </c>
      <c r="BA690" t="s">
        <v>5780</v>
      </c>
    </row>
    <row r="691" spans="1:53" x14ac:dyDescent="0.25">
      <c r="A691">
        <v>686</v>
      </c>
      <c r="B691" t="s">
        <v>6061</v>
      </c>
      <c r="C691" t="s">
        <v>6062</v>
      </c>
      <c r="D691" t="s">
        <v>6047</v>
      </c>
      <c r="E691">
        <v>5</v>
      </c>
      <c r="F691" t="s">
        <v>5772</v>
      </c>
      <c r="G691" t="s">
        <v>4207</v>
      </c>
      <c r="H691" t="s">
        <v>5774</v>
      </c>
      <c r="I691" t="s">
        <v>6048</v>
      </c>
      <c r="J691" t="s">
        <v>6063</v>
      </c>
      <c r="K691" t="s">
        <v>6064</v>
      </c>
      <c r="L691" t="s">
        <v>6051</v>
      </c>
      <c r="M691">
        <v>1.256753087043762</v>
      </c>
      <c r="N691" t="s">
        <v>54</v>
      </c>
      <c r="O691" t="s">
        <v>53</v>
      </c>
      <c r="P691" t="s">
        <v>54</v>
      </c>
      <c r="Q691" t="s">
        <v>53</v>
      </c>
      <c r="R691" t="s">
        <v>53</v>
      </c>
      <c r="S691" t="s">
        <v>6065</v>
      </c>
      <c r="T691" t="s">
        <v>6065</v>
      </c>
      <c r="U691" t="s">
        <v>53</v>
      </c>
      <c r="V691" t="s">
        <v>51</v>
      </c>
      <c r="W691">
        <v>25000</v>
      </c>
      <c r="X691" t="s">
        <v>54</v>
      </c>
      <c r="AA691">
        <v>2</v>
      </c>
      <c r="AB691">
        <v>1</v>
      </c>
      <c r="AC691">
        <v>2</v>
      </c>
      <c r="AD691">
        <v>5</v>
      </c>
      <c r="AE691">
        <v>5</v>
      </c>
      <c r="AF691">
        <v>0</v>
      </c>
      <c r="AG691">
        <v>0</v>
      </c>
      <c r="AH691">
        <v>0.2185332179069519</v>
      </c>
      <c r="AI691">
        <v>0</v>
      </c>
      <c r="AJ691">
        <v>8.4056183695793152E-2</v>
      </c>
      <c r="AK691" t="s">
        <v>53</v>
      </c>
      <c r="AL691" t="s">
        <v>53</v>
      </c>
      <c r="AQ691" t="s">
        <v>54</v>
      </c>
      <c r="AR691" t="s">
        <v>5778</v>
      </c>
      <c r="AT691" t="s">
        <v>6053</v>
      </c>
      <c r="AW691" t="s">
        <v>53</v>
      </c>
      <c r="AX691" t="s">
        <v>5450</v>
      </c>
      <c r="AZ691" t="s">
        <v>54</v>
      </c>
      <c r="BA691" t="s">
        <v>5780</v>
      </c>
    </row>
    <row r="692" spans="1:53" x14ac:dyDescent="0.25">
      <c r="A692">
        <v>687</v>
      </c>
      <c r="B692" t="s">
        <v>6066</v>
      </c>
      <c r="C692" t="s">
        <v>6067</v>
      </c>
      <c r="D692" t="s">
        <v>6068</v>
      </c>
      <c r="E692">
        <v>5</v>
      </c>
      <c r="F692" t="s">
        <v>5772</v>
      </c>
      <c r="G692" t="s">
        <v>5910</v>
      </c>
      <c r="H692" t="s">
        <v>5911</v>
      </c>
      <c r="I692" t="s">
        <v>6069</v>
      </c>
      <c r="J692" t="s">
        <v>6070</v>
      </c>
      <c r="K692" t="s">
        <v>6071</v>
      </c>
      <c r="L692" t="s">
        <v>6043</v>
      </c>
      <c r="M692">
        <v>27.54345703125</v>
      </c>
      <c r="N692" t="s">
        <v>54</v>
      </c>
      <c r="O692" t="s">
        <v>53</v>
      </c>
      <c r="P692" t="s">
        <v>54</v>
      </c>
      <c r="Q692" t="s">
        <v>53</v>
      </c>
      <c r="R692" t="s">
        <v>53</v>
      </c>
      <c r="S692" t="s">
        <v>6072</v>
      </c>
      <c r="T692" t="s">
        <v>6072</v>
      </c>
      <c r="U692" t="s">
        <v>54</v>
      </c>
      <c r="V692" t="s">
        <v>138</v>
      </c>
      <c r="W692">
        <v>1080000</v>
      </c>
      <c r="X692" t="s">
        <v>54</v>
      </c>
      <c r="AA692">
        <v>446</v>
      </c>
      <c r="AB692">
        <v>185</v>
      </c>
      <c r="AC692">
        <v>3965</v>
      </c>
      <c r="AD692">
        <v>2012</v>
      </c>
      <c r="AE692">
        <v>5331</v>
      </c>
      <c r="AF692">
        <v>1</v>
      </c>
      <c r="AG692">
        <v>0</v>
      </c>
      <c r="AH692">
        <v>13.783140182495121</v>
      </c>
      <c r="AI692">
        <v>0</v>
      </c>
      <c r="AJ692">
        <v>4.4304699897766113</v>
      </c>
      <c r="AK692" t="s">
        <v>54</v>
      </c>
      <c r="AL692" t="s">
        <v>54</v>
      </c>
      <c r="AM692" t="s">
        <v>6073</v>
      </c>
      <c r="AN692" s="148">
        <v>40179</v>
      </c>
      <c r="AQ692" t="s">
        <v>54</v>
      </c>
      <c r="AR692" t="s">
        <v>5778</v>
      </c>
      <c r="AT692" t="s">
        <v>6074</v>
      </c>
      <c r="AW692" t="s">
        <v>53</v>
      </c>
      <c r="AX692" t="s">
        <v>5450</v>
      </c>
      <c r="AZ692" t="s">
        <v>54</v>
      </c>
      <c r="BA692" t="s">
        <v>5780</v>
      </c>
    </row>
    <row r="693" spans="1:53" x14ac:dyDescent="0.25">
      <c r="A693">
        <v>688</v>
      </c>
      <c r="B693" t="s">
        <v>6075</v>
      </c>
      <c r="C693" t="s">
        <v>6076</v>
      </c>
      <c r="D693" t="s">
        <v>6077</v>
      </c>
      <c r="E693">
        <v>5</v>
      </c>
      <c r="F693" t="s">
        <v>5772</v>
      </c>
      <c r="G693" t="s">
        <v>5955</v>
      </c>
      <c r="H693" t="s">
        <v>5956</v>
      </c>
      <c r="I693" t="s">
        <v>6078</v>
      </c>
      <c r="J693" t="s">
        <v>6079</v>
      </c>
      <c r="K693" t="s">
        <v>6080</v>
      </c>
      <c r="L693" t="s">
        <v>6043</v>
      </c>
      <c r="M693">
        <v>56.200439453125</v>
      </c>
      <c r="N693" t="s">
        <v>54</v>
      </c>
      <c r="O693" t="s">
        <v>53</v>
      </c>
      <c r="P693" t="s">
        <v>54</v>
      </c>
      <c r="Q693" t="s">
        <v>53</v>
      </c>
      <c r="R693" t="s">
        <v>53</v>
      </c>
      <c r="S693" t="s">
        <v>6081</v>
      </c>
      <c r="T693" t="s">
        <v>6081</v>
      </c>
      <c r="U693" t="s">
        <v>54</v>
      </c>
      <c r="V693" t="s">
        <v>138</v>
      </c>
      <c r="W693">
        <v>2200000</v>
      </c>
      <c r="X693" t="s">
        <v>54</v>
      </c>
      <c r="AA693">
        <v>1042</v>
      </c>
      <c r="AB693">
        <v>755</v>
      </c>
      <c r="AC693">
        <v>5666</v>
      </c>
      <c r="AD693">
        <v>2658</v>
      </c>
      <c r="AE693">
        <v>7482</v>
      </c>
      <c r="AF693">
        <v>72</v>
      </c>
      <c r="AG693">
        <v>31</v>
      </c>
      <c r="AH693">
        <v>23.134172439575199</v>
      </c>
      <c r="AI693">
        <v>31</v>
      </c>
      <c r="AJ693">
        <v>3.937710046768188</v>
      </c>
      <c r="AK693" t="s">
        <v>54</v>
      </c>
      <c r="AL693" t="s">
        <v>54</v>
      </c>
      <c r="AM693" t="s">
        <v>6082</v>
      </c>
      <c r="AN693" s="148">
        <v>39448</v>
      </c>
      <c r="AQ693" t="s">
        <v>54</v>
      </c>
      <c r="AR693" t="s">
        <v>5778</v>
      </c>
      <c r="AT693" t="s">
        <v>5779</v>
      </c>
      <c r="AW693" t="s">
        <v>53</v>
      </c>
      <c r="AX693" t="s">
        <v>5450</v>
      </c>
      <c r="AZ693" t="s">
        <v>54</v>
      </c>
      <c r="BA693" t="s">
        <v>5780</v>
      </c>
    </row>
    <row r="694" spans="1:53" x14ac:dyDescent="0.25">
      <c r="A694">
        <v>689</v>
      </c>
      <c r="B694" t="s">
        <v>6083</v>
      </c>
      <c r="C694" t="s">
        <v>6084</v>
      </c>
      <c r="D694" t="s">
        <v>6085</v>
      </c>
      <c r="E694">
        <v>5</v>
      </c>
      <c r="F694" t="s">
        <v>5772</v>
      </c>
      <c r="G694" t="s">
        <v>5783</v>
      </c>
      <c r="H694" t="s">
        <v>5973</v>
      </c>
      <c r="I694" t="s">
        <v>6086</v>
      </c>
      <c r="J694" t="s">
        <v>6087</v>
      </c>
      <c r="K694" t="s">
        <v>6088</v>
      </c>
      <c r="L694" t="s">
        <v>6051</v>
      </c>
      <c r="M694">
        <v>48.114784240722663</v>
      </c>
      <c r="N694" t="s">
        <v>54</v>
      </c>
      <c r="O694" t="s">
        <v>53</v>
      </c>
      <c r="P694" t="s">
        <v>54</v>
      </c>
      <c r="Q694" t="s">
        <v>53</v>
      </c>
      <c r="R694" t="s">
        <v>53</v>
      </c>
      <c r="S694" t="s">
        <v>6089</v>
      </c>
      <c r="T694" t="s">
        <v>6089</v>
      </c>
      <c r="U694" t="s">
        <v>53</v>
      </c>
      <c r="V694" t="s">
        <v>51</v>
      </c>
      <c r="W694">
        <v>650000</v>
      </c>
      <c r="X694" t="s">
        <v>54</v>
      </c>
      <c r="AA694">
        <v>6</v>
      </c>
      <c r="AB694">
        <v>4</v>
      </c>
      <c r="AC694">
        <v>0</v>
      </c>
      <c r="AD694">
        <v>0</v>
      </c>
      <c r="AE694">
        <v>0</v>
      </c>
      <c r="AF694">
        <v>0</v>
      </c>
      <c r="AG694">
        <v>0</v>
      </c>
      <c r="AH694">
        <v>2.6304819583892818</v>
      </c>
      <c r="AI694">
        <v>0</v>
      </c>
      <c r="AJ694">
        <v>3.6042098999023442</v>
      </c>
      <c r="AK694" t="s">
        <v>54</v>
      </c>
      <c r="AL694" t="s">
        <v>53</v>
      </c>
      <c r="AQ694" t="s">
        <v>54</v>
      </c>
      <c r="AR694" t="s">
        <v>5450</v>
      </c>
      <c r="AT694" t="s">
        <v>5831</v>
      </c>
      <c r="AW694" t="s">
        <v>53</v>
      </c>
      <c r="AX694" t="s">
        <v>5450</v>
      </c>
      <c r="AZ694" t="s">
        <v>54</v>
      </c>
      <c r="BA694" t="s">
        <v>5780</v>
      </c>
    </row>
    <row r="695" spans="1:53" x14ac:dyDescent="0.25">
      <c r="A695">
        <v>690</v>
      </c>
      <c r="B695" t="s">
        <v>6090</v>
      </c>
      <c r="C695" t="s">
        <v>6091</v>
      </c>
      <c r="D695" t="s">
        <v>6092</v>
      </c>
      <c r="E695">
        <v>5</v>
      </c>
      <c r="F695" t="s">
        <v>5772</v>
      </c>
      <c r="G695" t="s">
        <v>5783</v>
      </c>
      <c r="H695" t="s">
        <v>5973</v>
      </c>
      <c r="I695" t="s">
        <v>6093</v>
      </c>
      <c r="J695" t="s">
        <v>6094</v>
      </c>
      <c r="K695" t="s">
        <v>6095</v>
      </c>
      <c r="L695" t="s">
        <v>6051</v>
      </c>
      <c r="M695">
        <v>41.131649017333977</v>
      </c>
      <c r="N695" t="s">
        <v>54</v>
      </c>
      <c r="O695" t="s">
        <v>53</v>
      </c>
      <c r="P695" t="s">
        <v>54</v>
      </c>
      <c r="Q695" t="s">
        <v>53</v>
      </c>
      <c r="R695" t="s">
        <v>53</v>
      </c>
      <c r="S695" t="s">
        <v>6096</v>
      </c>
      <c r="T695" t="s">
        <v>6096</v>
      </c>
      <c r="U695" t="s">
        <v>54</v>
      </c>
      <c r="V695" t="s">
        <v>51</v>
      </c>
      <c r="W695">
        <v>103000</v>
      </c>
      <c r="X695" t="s">
        <v>54</v>
      </c>
      <c r="AA695">
        <v>155</v>
      </c>
      <c r="AB695">
        <v>71</v>
      </c>
      <c r="AC695">
        <v>593</v>
      </c>
      <c r="AD695">
        <v>153</v>
      </c>
      <c r="AE695">
        <v>703</v>
      </c>
      <c r="AF695">
        <v>6</v>
      </c>
      <c r="AG695">
        <v>0</v>
      </c>
      <c r="AH695">
        <v>7.2089962959289551</v>
      </c>
      <c r="AI695">
        <v>0</v>
      </c>
      <c r="AJ695">
        <v>15.35366916656494</v>
      </c>
      <c r="AK695" t="s">
        <v>54</v>
      </c>
      <c r="AL695" t="s">
        <v>54</v>
      </c>
      <c r="AM695" t="s">
        <v>6097</v>
      </c>
      <c r="AN695" s="148">
        <v>40450</v>
      </c>
      <c r="AQ695" t="s">
        <v>54</v>
      </c>
      <c r="AR695" t="s">
        <v>5450</v>
      </c>
      <c r="AT695" t="s">
        <v>5831</v>
      </c>
      <c r="AW695" t="s">
        <v>53</v>
      </c>
      <c r="AX695" t="s">
        <v>5450</v>
      </c>
      <c r="AZ695" t="s">
        <v>54</v>
      </c>
      <c r="BA695" t="s">
        <v>5780</v>
      </c>
    </row>
    <row r="696" spans="1:53" x14ac:dyDescent="0.25">
      <c r="A696">
        <v>691</v>
      </c>
      <c r="B696" t="s">
        <v>6098</v>
      </c>
      <c r="C696" t="s">
        <v>6099</v>
      </c>
      <c r="D696" t="s">
        <v>6100</v>
      </c>
      <c r="E696">
        <v>5</v>
      </c>
      <c r="F696" t="s">
        <v>5772</v>
      </c>
      <c r="G696" t="s">
        <v>1059</v>
      </c>
      <c r="H696" t="s">
        <v>5901</v>
      </c>
      <c r="I696" t="s">
        <v>5902</v>
      </c>
      <c r="J696" t="s">
        <v>5903</v>
      </c>
      <c r="K696" t="s">
        <v>5904</v>
      </c>
      <c r="L696" t="s">
        <v>6101</v>
      </c>
      <c r="M696">
        <v>235.4879455566406</v>
      </c>
      <c r="N696" t="s">
        <v>54</v>
      </c>
      <c r="O696" t="s">
        <v>53</v>
      </c>
      <c r="P696" t="s">
        <v>53</v>
      </c>
      <c r="Q696" t="s">
        <v>53</v>
      </c>
      <c r="R696" t="s">
        <v>54</v>
      </c>
      <c r="S696" t="s">
        <v>6102</v>
      </c>
      <c r="T696" t="s">
        <v>6102</v>
      </c>
      <c r="U696" t="s">
        <v>54</v>
      </c>
      <c r="V696" t="s">
        <v>138</v>
      </c>
      <c r="W696">
        <v>201313</v>
      </c>
      <c r="X696" t="s">
        <v>54</v>
      </c>
      <c r="AA696">
        <v>116</v>
      </c>
      <c r="AB696">
        <v>57</v>
      </c>
      <c r="AC696">
        <v>51</v>
      </c>
      <c r="AD696">
        <v>140</v>
      </c>
      <c r="AE696">
        <v>143</v>
      </c>
      <c r="AF696">
        <v>1</v>
      </c>
      <c r="AG696">
        <v>0</v>
      </c>
      <c r="AH696">
        <v>7.1143298149108887</v>
      </c>
      <c r="AI696">
        <v>0</v>
      </c>
      <c r="AJ696">
        <v>1525.707397460938</v>
      </c>
      <c r="AK696" t="s">
        <v>54</v>
      </c>
      <c r="AL696" t="s">
        <v>54</v>
      </c>
      <c r="AM696" t="s">
        <v>5821</v>
      </c>
      <c r="AN696" s="148">
        <v>45292</v>
      </c>
      <c r="AO696" s="148">
        <v>45292</v>
      </c>
      <c r="AQ696" t="s">
        <v>54</v>
      </c>
      <c r="AR696" t="s">
        <v>5813</v>
      </c>
      <c r="AS696" s="148">
        <v>45292</v>
      </c>
      <c r="AT696" t="s">
        <v>5779</v>
      </c>
      <c r="AW696" t="s">
        <v>53</v>
      </c>
      <c r="AX696" t="s">
        <v>5450</v>
      </c>
      <c r="AZ696" t="s">
        <v>54</v>
      </c>
      <c r="BA696" t="s">
        <v>5780</v>
      </c>
    </row>
    <row r="697" spans="1:53" x14ac:dyDescent="0.25">
      <c r="A697">
        <v>692</v>
      </c>
      <c r="B697" t="s">
        <v>6103</v>
      </c>
      <c r="C697" t="s">
        <v>6104</v>
      </c>
      <c r="D697" t="s">
        <v>6105</v>
      </c>
      <c r="E697">
        <v>5</v>
      </c>
      <c r="F697" t="s">
        <v>5772</v>
      </c>
      <c r="G697" t="s">
        <v>1059</v>
      </c>
      <c r="H697" t="s">
        <v>5901</v>
      </c>
      <c r="I697" t="s">
        <v>5902</v>
      </c>
      <c r="J697" t="s">
        <v>5903</v>
      </c>
      <c r="K697" t="s">
        <v>5904</v>
      </c>
      <c r="L697" t="s">
        <v>5852</v>
      </c>
      <c r="M697">
        <v>235.4879455566406</v>
      </c>
      <c r="N697" t="s">
        <v>54</v>
      </c>
      <c r="O697" t="s">
        <v>53</v>
      </c>
      <c r="P697" t="s">
        <v>53</v>
      </c>
      <c r="Q697" t="s">
        <v>53</v>
      </c>
      <c r="R697" t="s">
        <v>54</v>
      </c>
      <c r="S697" t="s">
        <v>1064</v>
      </c>
      <c r="T697" t="s">
        <v>1064</v>
      </c>
      <c r="U697" t="s">
        <v>54</v>
      </c>
      <c r="V697" t="s">
        <v>51</v>
      </c>
      <c r="W697">
        <v>26171</v>
      </c>
      <c r="X697" t="s">
        <v>54</v>
      </c>
      <c r="AA697">
        <v>116</v>
      </c>
      <c r="AB697">
        <v>57</v>
      </c>
      <c r="AC697">
        <v>51</v>
      </c>
      <c r="AD697">
        <v>140</v>
      </c>
      <c r="AE697">
        <v>143</v>
      </c>
      <c r="AF697">
        <v>1</v>
      </c>
      <c r="AG697">
        <v>0</v>
      </c>
      <c r="AH697">
        <v>7.1143298149108887</v>
      </c>
      <c r="AI697">
        <v>0</v>
      </c>
      <c r="AJ697">
        <v>1525.707397460938</v>
      </c>
      <c r="AK697" t="s">
        <v>54</v>
      </c>
      <c r="AL697" t="s">
        <v>54</v>
      </c>
      <c r="AM697" t="s">
        <v>5821</v>
      </c>
      <c r="AN697" s="148">
        <v>45292</v>
      </c>
      <c r="AO697" s="148">
        <v>45292</v>
      </c>
      <c r="AQ697" t="s">
        <v>54</v>
      </c>
      <c r="AR697" t="s">
        <v>5813</v>
      </c>
      <c r="AS697" s="148">
        <v>43101</v>
      </c>
      <c r="AT697" t="s">
        <v>5905</v>
      </c>
      <c r="AW697" t="s">
        <v>53</v>
      </c>
      <c r="AX697" t="s">
        <v>5450</v>
      </c>
      <c r="AZ697" t="s">
        <v>54</v>
      </c>
      <c r="BA697" t="s">
        <v>5780</v>
      </c>
    </row>
    <row r="698" spans="1:53" x14ac:dyDescent="0.25">
      <c r="A698">
        <v>693</v>
      </c>
      <c r="B698" t="s">
        <v>6106</v>
      </c>
      <c r="C698" t="s">
        <v>6107</v>
      </c>
      <c r="D698" t="s">
        <v>6108</v>
      </c>
      <c r="E698">
        <v>5</v>
      </c>
      <c r="F698" t="s">
        <v>5772</v>
      </c>
      <c r="G698" t="s">
        <v>5538</v>
      </c>
      <c r="H698" t="s">
        <v>5920</v>
      </c>
      <c r="I698" t="s">
        <v>5921</v>
      </c>
      <c r="J698" t="s">
        <v>5922</v>
      </c>
      <c r="K698" t="s">
        <v>5923</v>
      </c>
      <c r="L698" t="s">
        <v>5852</v>
      </c>
      <c r="M698">
        <v>155.72517395019531</v>
      </c>
      <c r="N698" t="s">
        <v>54</v>
      </c>
      <c r="O698" t="s">
        <v>54</v>
      </c>
      <c r="P698" t="s">
        <v>53</v>
      </c>
      <c r="Q698" t="s">
        <v>53</v>
      </c>
      <c r="R698" t="s">
        <v>54</v>
      </c>
      <c r="S698" t="s">
        <v>5673</v>
      </c>
      <c r="T698" t="s">
        <v>5673</v>
      </c>
      <c r="U698" t="s">
        <v>54</v>
      </c>
      <c r="V698" t="s">
        <v>51</v>
      </c>
      <c r="W698">
        <v>130000</v>
      </c>
      <c r="X698" t="s">
        <v>54</v>
      </c>
      <c r="AA698">
        <v>5007</v>
      </c>
      <c r="AB698">
        <v>4273</v>
      </c>
      <c r="AC698">
        <v>5971</v>
      </c>
      <c r="AD698">
        <v>8737</v>
      </c>
      <c r="AE698">
        <v>11929</v>
      </c>
      <c r="AF698">
        <v>36</v>
      </c>
      <c r="AG698">
        <v>20</v>
      </c>
      <c r="AH698">
        <v>136.13397216796881</v>
      </c>
      <c r="AI698">
        <v>20</v>
      </c>
      <c r="AJ698">
        <v>346.02401733398438</v>
      </c>
      <c r="AK698" t="s">
        <v>54</v>
      </c>
      <c r="AL698" t="s">
        <v>54</v>
      </c>
      <c r="AM698" t="s">
        <v>5821</v>
      </c>
      <c r="AN698" s="148">
        <v>45292</v>
      </c>
      <c r="AO698" s="148">
        <v>45292</v>
      </c>
      <c r="AQ698" t="s">
        <v>54</v>
      </c>
      <c r="AR698" t="s">
        <v>6109</v>
      </c>
      <c r="AS698" s="148">
        <v>45292</v>
      </c>
      <c r="AT698" t="s">
        <v>6013</v>
      </c>
      <c r="AW698" t="s">
        <v>53</v>
      </c>
      <c r="AX698" t="s">
        <v>5450</v>
      </c>
      <c r="AZ698" t="s">
        <v>54</v>
      </c>
      <c r="BA698" t="s">
        <v>5780</v>
      </c>
    </row>
    <row r="699" spans="1:53" x14ac:dyDescent="0.25">
      <c r="A699">
        <v>694</v>
      </c>
      <c r="B699" t="s">
        <v>6110</v>
      </c>
      <c r="C699" t="s">
        <v>6111</v>
      </c>
      <c r="D699" t="s">
        <v>6112</v>
      </c>
      <c r="E699">
        <v>5</v>
      </c>
      <c r="F699" t="s">
        <v>5772</v>
      </c>
      <c r="G699" t="s">
        <v>5538</v>
      </c>
      <c r="H699" t="s">
        <v>5920</v>
      </c>
      <c r="I699" t="s">
        <v>5921</v>
      </c>
      <c r="J699" t="s">
        <v>5922</v>
      </c>
      <c r="K699" t="s">
        <v>5923</v>
      </c>
      <c r="L699" t="s">
        <v>5829</v>
      </c>
      <c r="M699">
        <v>155.72517395019531</v>
      </c>
      <c r="N699" t="s">
        <v>54</v>
      </c>
      <c r="O699" t="s">
        <v>54</v>
      </c>
      <c r="P699" t="s">
        <v>53</v>
      </c>
      <c r="Q699" t="s">
        <v>53</v>
      </c>
      <c r="R699" t="s">
        <v>54</v>
      </c>
      <c r="S699" t="s">
        <v>5673</v>
      </c>
      <c r="T699" t="s">
        <v>5673</v>
      </c>
      <c r="U699" t="s">
        <v>54</v>
      </c>
      <c r="V699" t="s">
        <v>51</v>
      </c>
      <c r="W699">
        <v>130000</v>
      </c>
      <c r="X699" t="s">
        <v>54</v>
      </c>
      <c r="AA699">
        <v>5007</v>
      </c>
      <c r="AB699">
        <v>4273</v>
      </c>
      <c r="AC699">
        <v>5971</v>
      </c>
      <c r="AD699">
        <v>8737</v>
      </c>
      <c r="AE699">
        <v>11929</v>
      </c>
      <c r="AF699">
        <v>36</v>
      </c>
      <c r="AG699">
        <v>20</v>
      </c>
      <c r="AH699">
        <v>136.13397216796881</v>
      </c>
      <c r="AI699">
        <v>20</v>
      </c>
      <c r="AJ699">
        <v>346.02401733398438</v>
      </c>
      <c r="AK699" t="s">
        <v>54</v>
      </c>
      <c r="AL699" t="s">
        <v>54</v>
      </c>
      <c r="AM699" t="s">
        <v>5821</v>
      </c>
      <c r="AN699" s="148">
        <v>45292</v>
      </c>
      <c r="AO699" s="148">
        <v>45292</v>
      </c>
      <c r="AQ699" t="s">
        <v>54</v>
      </c>
      <c r="AR699" t="s">
        <v>6109</v>
      </c>
      <c r="AS699" s="148">
        <v>45292</v>
      </c>
      <c r="AT699" t="s">
        <v>6013</v>
      </c>
      <c r="AW699" t="s">
        <v>53</v>
      </c>
      <c r="AX699" t="s">
        <v>5450</v>
      </c>
      <c r="AZ699" t="s">
        <v>54</v>
      </c>
      <c r="BA699" t="s">
        <v>5780</v>
      </c>
    </row>
    <row r="700" spans="1:53" x14ac:dyDescent="0.25">
      <c r="A700">
        <v>695</v>
      </c>
      <c r="B700" t="s">
        <v>6113</v>
      </c>
      <c r="C700" t="s">
        <v>6114</v>
      </c>
      <c r="D700" t="s">
        <v>6115</v>
      </c>
      <c r="E700">
        <v>5</v>
      </c>
      <c r="F700" t="s">
        <v>5772</v>
      </c>
      <c r="G700" t="s">
        <v>5783</v>
      </c>
      <c r="H700" t="s">
        <v>5973</v>
      </c>
      <c r="I700" t="s">
        <v>6086</v>
      </c>
      <c r="J700" t="s">
        <v>6116</v>
      </c>
      <c r="K700" t="s">
        <v>6117</v>
      </c>
      <c r="L700" t="s">
        <v>5811</v>
      </c>
      <c r="M700">
        <v>40.298595428466797</v>
      </c>
      <c r="N700" t="s">
        <v>54</v>
      </c>
      <c r="O700" t="s">
        <v>53</v>
      </c>
      <c r="P700" t="s">
        <v>54</v>
      </c>
      <c r="Q700" t="s">
        <v>53</v>
      </c>
      <c r="R700" t="s">
        <v>53</v>
      </c>
      <c r="S700" t="s">
        <v>6089</v>
      </c>
      <c r="T700" t="s">
        <v>6089</v>
      </c>
      <c r="U700" t="s">
        <v>54</v>
      </c>
      <c r="V700" t="s">
        <v>51</v>
      </c>
      <c r="W700">
        <v>390000</v>
      </c>
      <c r="X700" t="s">
        <v>54</v>
      </c>
      <c r="AA700">
        <v>17</v>
      </c>
      <c r="AB700">
        <v>14</v>
      </c>
      <c r="AC700">
        <v>6</v>
      </c>
      <c r="AD700">
        <v>22</v>
      </c>
      <c r="AE700">
        <v>22</v>
      </c>
      <c r="AF700">
        <v>0</v>
      </c>
      <c r="AG700">
        <v>2</v>
      </c>
      <c r="AH700">
        <v>1.593810558319092</v>
      </c>
      <c r="AI700">
        <v>2</v>
      </c>
      <c r="AJ700">
        <v>5.2041945457458496</v>
      </c>
      <c r="AK700" t="s">
        <v>54</v>
      </c>
      <c r="AL700" t="s">
        <v>53</v>
      </c>
      <c r="AQ700" t="s">
        <v>54</v>
      </c>
      <c r="AR700" t="s">
        <v>5450</v>
      </c>
      <c r="AT700" t="s">
        <v>5831</v>
      </c>
      <c r="AW700" t="s">
        <v>53</v>
      </c>
      <c r="AX700" t="s">
        <v>5450</v>
      </c>
      <c r="AZ700" t="s">
        <v>54</v>
      </c>
      <c r="BA700" t="s">
        <v>5780</v>
      </c>
    </row>
    <row r="701" spans="1:53" x14ac:dyDescent="0.25">
      <c r="A701">
        <v>696</v>
      </c>
      <c r="B701" t="s">
        <v>6118</v>
      </c>
      <c r="C701" t="s">
        <v>6119</v>
      </c>
      <c r="D701" t="s">
        <v>6120</v>
      </c>
      <c r="E701">
        <v>5</v>
      </c>
      <c r="F701" t="s">
        <v>5772</v>
      </c>
      <c r="G701" t="s">
        <v>5847</v>
      </c>
      <c r="H701" t="s">
        <v>6121</v>
      </c>
      <c r="I701" t="s">
        <v>6122</v>
      </c>
      <c r="J701" t="s">
        <v>6123</v>
      </c>
      <c r="K701" t="s">
        <v>6124</v>
      </c>
      <c r="L701" t="s">
        <v>5829</v>
      </c>
      <c r="M701">
        <v>111.9383163452148</v>
      </c>
      <c r="N701" t="s">
        <v>54</v>
      </c>
      <c r="O701" t="s">
        <v>54</v>
      </c>
      <c r="P701" t="s">
        <v>53</v>
      </c>
      <c r="Q701" t="s">
        <v>53</v>
      </c>
      <c r="R701" t="s">
        <v>54</v>
      </c>
      <c r="S701" t="s">
        <v>5897</v>
      </c>
      <c r="T701" t="s">
        <v>5897</v>
      </c>
      <c r="U701" t="s">
        <v>54</v>
      </c>
      <c r="V701" t="s">
        <v>51</v>
      </c>
      <c r="W701">
        <v>777000</v>
      </c>
      <c r="X701" t="s">
        <v>54</v>
      </c>
      <c r="AA701">
        <v>4705</v>
      </c>
      <c r="AB701">
        <v>3668</v>
      </c>
      <c r="AC701">
        <v>9049</v>
      </c>
      <c r="AD701">
        <v>12671</v>
      </c>
      <c r="AE701">
        <v>17575</v>
      </c>
      <c r="AF701">
        <v>82</v>
      </c>
      <c r="AG701">
        <v>3</v>
      </c>
      <c r="AH701">
        <v>94.586105346679688</v>
      </c>
      <c r="AI701">
        <v>3</v>
      </c>
      <c r="AJ701">
        <v>875.97601318359375</v>
      </c>
      <c r="AK701" t="s">
        <v>54</v>
      </c>
      <c r="AL701" t="s">
        <v>54</v>
      </c>
      <c r="AM701" t="s">
        <v>6125</v>
      </c>
      <c r="AN701" s="148">
        <v>45292</v>
      </c>
      <c r="AO701" s="148">
        <v>45292</v>
      </c>
      <c r="AQ701" t="s">
        <v>54</v>
      </c>
      <c r="AR701" t="s">
        <v>6126</v>
      </c>
      <c r="AS701" s="148">
        <v>45292</v>
      </c>
      <c r="AT701" t="s">
        <v>5898</v>
      </c>
      <c r="AW701" t="s">
        <v>53</v>
      </c>
      <c r="AZ701" t="s">
        <v>54</v>
      </c>
      <c r="BA701" t="s">
        <v>5780</v>
      </c>
    </row>
    <row r="702" spans="1:53" x14ac:dyDescent="0.25">
      <c r="A702">
        <v>697</v>
      </c>
      <c r="B702" t="s">
        <v>6127</v>
      </c>
      <c r="C702" t="s">
        <v>6128</v>
      </c>
      <c r="D702" t="s">
        <v>6129</v>
      </c>
      <c r="E702">
        <v>5</v>
      </c>
      <c r="F702" t="s">
        <v>5772</v>
      </c>
      <c r="G702" t="s">
        <v>6130</v>
      </c>
      <c r="H702" t="s">
        <v>5871</v>
      </c>
      <c r="I702" t="s">
        <v>6131</v>
      </c>
      <c r="J702" t="s">
        <v>6132</v>
      </c>
      <c r="K702" t="s">
        <v>6133</v>
      </c>
      <c r="L702" t="s">
        <v>5859</v>
      </c>
      <c r="M702">
        <v>127.7127151489258</v>
      </c>
      <c r="N702" t="s">
        <v>54</v>
      </c>
      <c r="O702" t="s">
        <v>53</v>
      </c>
      <c r="P702" t="s">
        <v>53</v>
      </c>
      <c r="Q702" t="s">
        <v>53</v>
      </c>
      <c r="R702" t="s">
        <v>54</v>
      </c>
      <c r="S702" t="s">
        <v>5873</v>
      </c>
      <c r="T702" t="s">
        <v>5873</v>
      </c>
      <c r="U702" t="s">
        <v>54</v>
      </c>
      <c r="V702" t="s">
        <v>51</v>
      </c>
      <c r="W702">
        <v>2000000</v>
      </c>
      <c r="X702" t="s">
        <v>54</v>
      </c>
      <c r="AA702">
        <v>3487</v>
      </c>
      <c r="AB702">
        <v>2863</v>
      </c>
      <c r="AC702">
        <v>5945</v>
      </c>
      <c r="AD702">
        <v>7462</v>
      </c>
      <c r="AE702">
        <v>10916</v>
      </c>
      <c r="AF702">
        <v>8</v>
      </c>
      <c r="AG702">
        <v>5</v>
      </c>
      <c r="AH702">
        <v>75.097114562988281</v>
      </c>
      <c r="AI702">
        <v>5</v>
      </c>
      <c r="AJ702">
        <v>395.453125</v>
      </c>
      <c r="AK702" t="s">
        <v>54</v>
      </c>
      <c r="AL702" t="s">
        <v>54</v>
      </c>
      <c r="AM702" t="s">
        <v>5854</v>
      </c>
      <c r="AN702" s="148">
        <v>45264</v>
      </c>
      <c r="AO702" s="148">
        <v>45264</v>
      </c>
      <c r="AQ702" t="s">
        <v>54</v>
      </c>
      <c r="AR702" t="s">
        <v>5813</v>
      </c>
      <c r="AS702" s="148">
        <v>45292</v>
      </c>
      <c r="AT702" t="s">
        <v>5843</v>
      </c>
      <c r="AW702" t="s">
        <v>53</v>
      </c>
      <c r="AX702" t="s">
        <v>5450</v>
      </c>
      <c r="AZ702" t="s">
        <v>54</v>
      </c>
      <c r="BA702" t="s">
        <v>5780</v>
      </c>
    </row>
    <row r="703" spans="1:53" x14ac:dyDescent="0.25">
      <c r="A703">
        <v>698</v>
      </c>
      <c r="B703" t="s">
        <v>6134</v>
      </c>
      <c r="C703" t="s">
        <v>6135</v>
      </c>
      <c r="D703" t="s">
        <v>5985</v>
      </c>
      <c r="E703">
        <v>5</v>
      </c>
      <c r="F703" t="s">
        <v>5772</v>
      </c>
      <c r="G703" t="s">
        <v>5847</v>
      </c>
      <c r="H703" t="s">
        <v>5848</v>
      </c>
      <c r="I703" t="s">
        <v>5894</v>
      </c>
      <c r="J703" t="s">
        <v>5895</v>
      </c>
      <c r="K703" t="s">
        <v>5896</v>
      </c>
      <c r="L703" t="s">
        <v>5852</v>
      </c>
      <c r="M703">
        <v>1.3874858617782591</v>
      </c>
      <c r="N703" t="s">
        <v>54</v>
      </c>
      <c r="O703" t="s">
        <v>53</v>
      </c>
      <c r="P703" t="s">
        <v>53</v>
      </c>
      <c r="Q703" t="s">
        <v>53</v>
      </c>
      <c r="R703" t="s">
        <v>54</v>
      </c>
      <c r="S703" t="s">
        <v>5897</v>
      </c>
      <c r="T703" t="s">
        <v>5897</v>
      </c>
      <c r="U703" t="s">
        <v>54</v>
      </c>
      <c r="V703" t="s">
        <v>51</v>
      </c>
      <c r="W703">
        <v>50000</v>
      </c>
      <c r="X703" t="s">
        <v>54</v>
      </c>
      <c r="AA703">
        <v>226</v>
      </c>
      <c r="AB703">
        <v>9</v>
      </c>
      <c r="AC703">
        <v>277</v>
      </c>
      <c r="AD703">
        <v>269</v>
      </c>
      <c r="AE703">
        <v>480</v>
      </c>
      <c r="AF703">
        <v>0</v>
      </c>
      <c r="AG703">
        <v>0</v>
      </c>
      <c r="AH703">
        <v>1.7408525943756099</v>
      </c>
      <c r="AI703">
        <v>0</v>
      </c>
      <c r="AJ703">
        <v>9.6552705764770508</v>
      </c>
      <c r="AK703" t="s">
        <v>54</v>
      </c>
      <c r="AL703" t="s">
        <v>54</v>
      </c>
      <c r="AM703" t="s">
        <v>5821</v>
      </c>
      <c r="AN703" s="148">
        <v>45292</v>
      </c>
      <c r="AO703" s="148">
        <v>45292</v>
      </c>
      <c r="AQ703" t="s">
        <v>54</v>
      </c>
      <c r="AR703" t="s">
        <v>5842</v>
      </c>
      <c r="AS703" s="148">
        <v>45292</v>
      </c>
      <c r="AT703" t="s">
        <v>5898</v>
      </c>
      <c r="AW703" t="s">
        <v>53</v>
      </c>
      <c r="AZ703" t="s">
        <v>54</v>
      </c>
      <c r="BA703" t="s">
        <v>5780</v>
      </c>
    </row>
    <row r="704" spans="1:53" x14ac:dyDescent="0.25">
      <c r="A704">
        <v>699</v>
      </c>
      <c r="B704" t="s">
        <v>6136</v>
      </c>
      <c r="C704" t="s">
        <v>6137</v>
      </c>
      <c r="D704" t="s">
        <v>6138</v>
      </c>
      <c r="E704">
        <v>5</v>
      </c>
      <c r="F704" t="s">
        <v>5772</v>
      </c>
      <c r="G704" t="s">
        <v>5783</v>
      </c>
      <c r="H704" t="s">
        <v>5938</v>
      </c>
      <c r="I704" t="s">
        <v>6139</v>
      </c>
      <c r="J704" t="s">
        <v>6140</v>
      </c>
      <c r="K704" t="s">
        <v>6141</v>
      </c>
      <c r="L704" t="s">
        <v>6051</v>
      </c>
      <c r="M704">
        <v>2.1092429161071782</v>
      </c>
      <c r="N704" t="s">
        <v>54</v>
      </c>
      <c r="O704" t="s">
        <v>53</v>
      </c>
      <c r="P704" t="s">
        <v>53</v>
      </c>
      <c r="Q704" t="s">
        <v>53</v>
      </c>
      <c r="R704" t="s">
        <v>53</v>
      </c>
      <c r="S704" t="s">
        <v>5786</v>
      </c>
      <c r="T704" t="s">
        <v>5786</v>
      </c>
      <c r="U704" t="s">
        <v>53</v>
      </c>
      <c r="V704" t="s">
        <v>51</v>
      </c>
      <c r="W704">
        <v>325000</v>
      </c>
      <c r="X704" t="s">
        <v>54</v>
      </c>
      <c r="AA704">
        <v>0</v>
      </c>
      <c r="AB704">
        <v>0</v>
      </c>
      <c r="AC704">
        <v>0</v>
      </c>
      <c r="AD704">
        <v>0</v>
      </c>
      <c r="AE704">
        <v>0</v>
      </c>
      <c r="AF704">
        <v>0</v>
      </c>
      <c r="AG704">
        <v>0</v>
      </c>
      <c r="AH704">
        <v>0.1521369069814682</v>
      </c>
      <c r="AI704">
        <v>0</v>
      </c>
      <c r="AJ704">
        <v>1.859432086348534E-2</v>
      </c>
      <c r="AK704" t="s">
        <v>54</v>
      </c>
      <c r="AL704" t="s">
        <v>53</v>
      </c>
      <c r="AQ704" t="s">
        <v>53</v>
      </c>
      <c r="AT704" t="s">
        <v>5831</v>
      </c>
      <c r="AW704" t="s">
        <v>53</v>
      </c>
      <c r="AX704" t="s">
        <v>5450</v>
      </c>
      <c r="AZ704" t="s">
        <v>54</v>
      </c>
      <c r="BA704" t="s">
        <v>5780</v>
      </c>
    </row>
    <row r="705" spans="1:53" x14ac:dyDescent="0.25">
      <c r="A705">
        <v>700</v>
      </c>
      <c r="B705" t="s">
        <v>6142</v>
      </c>
      <c r="C705" t="s">
        <v>6143</v>
      </c>
      <c r="D705" t="s">
        <v>6038</v>
      </c>
      <c r="E705">
        <v>5</v>
      </c>
      <c r="F705" t="s">
        <v>5772</v>
      </c>
      <c r="G705" t="s">
        <v>5773</v>
      </c>
      <c r="H705" t="s">
        <v>5774</v>
      </c>
      <c r="I705" t="s">
        <v>5775</v>
      </c>
      <c r="K705" t="s">
        <v>5776</v>
      </c>
      <c r="L705" t="s">
        <v>6101</v>
      </c>
      <c r="M705">
        <v>495.35064697265619</v>
      </c>
      <c r="N705" t="s">
        <v>54</v>
      </c>
      <c r="O705" t="s">
        <v>53</v>
      </c>
      <c r="P705" t="s">
        <v>54</v>
      </c>
      <c r="Q705" t="s">
        <v>53</v>
      </c>
      <c r="R705" t="s">
        <v>53</v>
      </c>
      <c r="S705" t="s">
        <v>3810</v>
      </c>
      <c r="T705" t="s">
        <v>3810</v>
      </c>
      <c r="U705" t="s">
        <v>54</v>
      </c>
      <c r="V705" t="s">
        <v>138</v>
      </c>
      <c r="W705">
        <v>737953</v>
      </c>
      <c r="X705" t="s">
        <v>54</v>
      </c>
      <c r="AA705">
        <v>69</v>
      </c>
      <c r="AB705">
        <v>28</v>
      </c>
      <c r="AC705">
        <v>22</v>
      </c>
      <c r="AD705">
        <v>61</v>
      </c>
      <c r="AE705">
        <v>73</v>
      </c>
      <c r="AF705">
        <v>0</v>
      </c>
      <c r="AG705">
        <v>2</v>
      </c>
      <c r="AH705">
        <v>22.200126647949219</v>
      </c>
      <c r="AI705">
        <v>2</v>
      </c>
      <c r="AJ705">
        <v>348.31265258789063</v>
      </c>
      <c r="AK705" t="s">
        <v>54</v>
      </c>
      <c r="AL705" t="s">
        <v>54</v>
      </c>
      <c r="AM705" t="s">
        <v>5450</v>
      </c>
      <c r="AQ705" t="s">
        <v>54</v>
      </c>
      <c r="AR705" t="s">
        <v>5778</v>
      </c>
      <c r="AT705" t="s">
        <v>5779</v>
      </c>
      <c r="AW705" t="s">
        <v>53</v>
      </c>
      <c r="AX705" t="s">
        <v>5450</v>
      </c>
      <c r="AZ705" t="s">
        <v>54</v>
      </c>
      <c r="BA705" t="s">
        <v>5780</v>
      </c>
    </row>
    <row r="706" spans="1:53" x14ac:dyDescent="0.25">
      <c r="A706">
        <v>701</v>
      </c>
      <c r="B706" t="s">
        <v>6144</v>
      </c>
      <c r="C706" t="s">
        <v>6145</v>
      </c>
      <c r="D706" t="s">
        <v>6038</v>
      </c>
      <c r="E706">
        <v>5</v>
      </c>
      <c r="F706" t="s">
        <v>5772</v>
      </c>
      <c r="G706" t="s">
        <v>5783</v>
      </c>
      <c r="H706" t="s">
        <v>5784</v>
      </c>
      <c r="I706" t="s">
        <v>5785</v>
      </c>
      <c r="L706" t="s">
        <v>6101</v>
      </c>
      <c r="M706">
        <v>860.9822998046875</v>
      </c>
      <c r="N706" t="s">
        <v>54</v>
      </c>
      <c r="O706" t="s">
        <v>53</v>
      </c>
      <c r="P706" t="s">
        <v>54</v>
      </c>
      <c r="Q706" t="s">
        <v>53</v>
      </c>
      <c r="R706" t="s">
        <v>54</v>
      </c>
      <c r="S706" t="s">
        <v>5786</v>
      </c>
      <c r="T706" t="s">
        <v>5786</v>
      </c>
      <c r="U706" t="s">
        <v>54</v>
      </c>
      <c r="V706" t="s">
        <v>138</v>
      </c>
      <c r="W706">
        <v>1700000</v>
      </c>
      <c r="X706" t="s">
        <v>54</v>
      </c>
      <c r="AA706">
        <v>1201</v>
      </c>
      <c r="AB706">
        <v>750</v>
      </c>
      <c r="AC706">
        <v>6718</v>
      </c>
      <c r="AD706">
        <v>2570</v>
      </c>
      <c r="AE706">
        <v>8420</v>
      </c>
      <c r="AF706">
        <v>11</v>
      </c>
      <c r="AG706">
        <v>19</v>
      </c>
      <c r="AH706">
        <v>66.366546630859375</v>
      </c>
      <c r="AI706">
        <v>19</v>
      </c>
      <c r="AJ706">
        <v>165.36151123046881</v>
      </c>
      <c r="AK706" t="s">
        <v>54</v>
      </c>
      <c r="AL706" t="s">
        <v>54</v>
      </c>
      <c r="AM706" t="s">
        <v>5450</v>
      </c>
      <c r="AQ706" t="s">
        <v>54</v>
      </c>
      <c r="AR706" t="s">
        <v>5778</v>
      </c>
      <c r="AT706" t="s">
        <v>5779</v>
      </c>
      <c r="AW706" t="s">
        <v>53</v>
      </c>
      <c r="AX706" t="s">
        <v>5450</v>
      </c>
      <c r="AZ706" t="s">
        <v>54</v>
      </c>
      <c r="BA706" t="s">
        <v>5780</v>
      </c>
    </row>
    <row r="707" spans="1:53" x14ac:dyDescent="0.25">
      <c r="A707">
        <v>702</v>
      </c>
      <c r="B707" t="s">
        <v>6146</v>
      </c>
      <c r="C707" t="s">
        <v>6147</v>
      </c>
      <c r="D707" t="s">
        <v>6038</v>
      </c>
      <c r="E707">
        <v>5</v>
      </c>
      <c r="F707" t="s">
        <v>5772</v>
      </c>
      <c r="G707" t="s">
        <v>5789</v>
      </c>
      <c r="H707" t="s">
        <v>5790</v>
      </c>
      <c r="I707" t="s">
        <v>5791</v>
      </c>
      <c r="L707" t="s">
        <v>6101</v>
      </c>
      <c r="M707">
        <v>1057.7744140625</v>
      </c>
      <c r="N707" t="s">
        <v>54</v>
      </c>
      <c r="O707" t="s">
        <v>53</v>
      </c>
      <c r="P707" t="s">
        <v>54</v>
      </c>
      <c r="Q707" t="s">
        <v>53</v>
      </c>
      <c r="R707" t="s">
        <v>53</v>
      </c>
      <c r="S707" t="s">
        <v>5792</v>
      </c>
      <c r="T707" t="s">
        <v>5792</v>
      </c>
      <c r="U707" t="s">
        <v>54</v>
      </c>
      <c r="V707" t="s">
        <v>138</v>
      </c>
      <c r="W707">
        <v>1600000</v>
      </c>
      <c r="X707" t="s">
        <v>54</v>
      </c>
      <c r="AA707">
        <v>672</v>
      </c>
      <c r="AB707">
        <v>302</v>
      </c>
      <c r="AC707">
        <v>987</v>
      </c>
      <c r="AD707">
        <v>639</v>
      </c>
      <c r="AE707">
        <v>1382</v>
      </c>
      <c r="AF707">
        <v>1</v>
      </c>
      <c r="AG707">
        <v>10</v>
      </c>
      <c r="AH707">
        <v>49.285110473632813</v>
      </c>
      <c r="AI707">
        <v>10</v>
      </c>
      <c r="AJ707">
        <v>919.81884765625</v>
      </c>
      <c r="AK707" t="s">
        <v>54</v>
      </c>
      <c r="AL707" t="s">
        <v>54</v>
      </c>
      <c r="AM707" t="s">
        <v>5450</v>
      </c>
      <c r="AQ707" t="s">
        <v>54</v>
      </c>
      <c r="AR707" t="s">
        <v>5778</v>
      </c>
      <c r="AT707" t="s">
        <v>5779</v>
      </c>
      <c r="AW707" t="s">
        <v>53</v>
      </c>
      <c r="AX707" t="s">
        <v>5450</v>
      </c>
      <c r="AZ707" t="s">
        <v>54</v>
      </c>
      <c r="BA707" t="s">
        <v>5780</v>
      </c>
    </row>
    <row r="708" spans="1:53" x14ac:dyDescent="0.25">
      <c r="A708">
        <v>703</v>
      </c>
      <c r="B708" t="s">
        <v>6148</v>
      </c>
      <c r="C708" t="s">
        <v>6149</v>
      </c>
      <c r="D708" t="s">
        <v>6038</v>
      </c>
      <c r="E708">
        <v>5</v>
      </c>
      <c r="F708" t="s">
        <v>5772</v>
      </c>
      <c r="G708" t="s">
        <v>5835</v>
      </c>
      <c r="H708" t="s">
        <v>5871</v>
      </c>
      <c r="I708" t="s">
        <v>5872</v>
      </c>
      <c r="L708" t="s">
        <v>6101</v>
      </c>
      <c r="M708">
        <v>887.59930419921875</v>
      </c>
      <c r="N708" t="s">
        <v>54</v>
      </c>
      <c r="O708" t="s">
        <v>53</v>
      </c>
      <c r="P708" t="s">
        <v>53</v>
      </c>
      <c r="Q708" t="s">
        <v>53</v>
      </c>
      <c r="R708" t="s">
        <v>54</v>
      </c>
      <c r="S708" t="s">
        <v>5873</v>
      </c>
      <c r="T708" t="s">
        <v>5873</v>
      </c>
      <c r="U708" t="s">
        <v>54</v>
      </c>
      <c r="V708" t="s">
        <v>138</v>
      </c>
      <c r="W708">
        <v>1000000</v>
      </c>
      <c r="X708" t="s">
        <v>54</v>
      </c>
      <c r="AA708">
        <v>3678</v>
      </c>
      <c r="AB708">
        <v>2638</v>
      </c>
      <c r="AC708">
        <v>5704</v>
      </c>
      <c r="AD708">
        <v>7212</v>
      </c>
      <c r="AE708">
        <v>10528</v>
      </c>
      <c r="AF708">
        <v>25</v>
      </c>
      <c r="AG708">
        <v>13</v>
      </c>
      <c r="AH708">
        <v>135.7959899902344</v>
      </c>
      <c r="AI708">
        <v>13</v>
      </c>
      <c r="AJ708">
        <v>743.241455078125</v>
      </c>
      <c r="AK708" t="s">
        <v>54</v>
      </c>
      <c r="AL708" t="s">
        <v>54</v>
      </c>
      <c r="AM708" t="s">
        <v>5821</v>
      </c>
      <c r="AN708" s="148">
        <v>45292</v>
      </c>
      <c r="AO708" s="148">
        <v>45292</v>
      </c>
      <c r="AQ708" t="s">
        <v>54</v>
      </c>
      <c r="AR708" t="s">
        <v>5813</v>
      </c>
      <c r="AS708" s="148">
        <v>45292</v>
      </c>
      <c r="AT708" t="s">
        <v>5779</v>
      </c>
      <c r="AW708" t="s">
        <v>53</v>
      </c>
      <c r="AX708" t="s">
        <v>5450</v>
      </c>
      <c r="AZ708" t="s">
        <v>54</v>
      </c>
      <c r="BA708" t="s">
        <v>5780</v>
      </c>
    </row>
    <row r="709" spans="1:53" x14ac:dyDescent="0.25">
      <c r="A709">
        <v>704</v>
      </c>
      <c r="B709" t="s">
        <v>6150</v>
      </c>
      <c r="C709" t="s">
        <v>6151</v>
      </c>
      <c r="D709" t="s">
        <v>6038</v>
      </c>
      <c r="E709">
        <v>5</v>
      </c>
      <c r="F709" t="s">
        <v>5772</v>
      </c>
      <c r="G709" t="s">
        <v>4207</v>
      </c>
      <c r="H709" t="s">
        <v>5774</v>
      </c>
      <c r="I709" t="s">
        <v>5795</v>
      </c>
      <c r="J709" t="s">
        <v>5796</v>
      </c>
      <c r="K709" t="s">
        <v>5797</v>
      </c>
      <c r="L709" t="s">
        <v>6101</v>
      </c>
      <c r="M709">
        <v>373.90789794921881</v>
      </c>
      <c r="N709" t="s">
        <v>54</v>
      </c>
      <c r="O709" t="s">
        <v>53</v>
      </c>
      <c r="P709" t="s">
        <v>54</v>
      </c>
      <c r="Q709" t="s">
        <v>53</v>
      </c>
      <c r="R709" t="s">
        <v>54</v>
      </c>
      <c r="S709" t="s">
        <v>3880</v>
      </c>
      <c r="T709" t="s">
        <v>3880</v>
      </c>
      <c r="U709" t="s">
        <v>54</v>
      </c>
      <c r="V709" t="s">
        <v>138</v>
      </c>
      <c r="W709">
        <v>1900000</v>
      </c>
      <c r="X709" t="s">
        <v>54</v>
      </c>
      <c r="AA709">
        <v>240</v>
      </c>
      <c r="AB709">
        <v>108</v>
      </c>
      <c r="AC709">
        <v>162</v>
      </c>
      <c r="AD709">
        <v>156</v>
      </c>
      <c r="AE709">
        <v>267</v>
      </c>
      <c r="AF709">
        <v>0</v>
      </c>
      <c r="AG709">
        <v>1</v>
      </c>
      <c r="AH709">
        <v>20.05305099487305</v>
      </c>
      <c r="AI709">
        <v>1</v>
      </c>
      <c r="AJ709">
        <v>347.5087890625</v>
      </c>
      <c r="AK709" t="s">
        <v>54</v>
      </c>
      <c r="AL709" t="s">
        <v>54</v>
      </c>
      <c r="AM709" t="s">
        <v>5450</v>
      </c>
      <c r="AQ709" t="s">
        <v>54</v>
      </c>
      <c r="AR709" t="s">
        <v>5778</v>
      </c>
      <c r="AT709" t="s">
        <v>5779</v>
      </c>
      <c r="AW709" t="s">
        <v>53</v>
      </c>
      <c r="AX709" t="s">
        <v>5450</v>
      </c>
      <c r="AZ709" t="s">
        <v>54</v>
      </c>
      <c r="BA709" t="s">
        <v>5780</v>
      </c>
    </row>
    <row r="710" spans="1:53" x14ac:dyDescent="0.25">
      <c r="A710">
        <v>705</v>
      </c>
      <c r="B710" t="s">
        <v>6152</v>
      </c>
      <c r="C710" t="s">
        <v>6153</v>
      </c>
      <c r="D710" t="s">
        <v>6038</v>
      </c>
      <c r="E710">
        <v>5</v>
      </c>
      <c r="F710" t="s">
        <v>5772</v>
      </c>
      <c r="G710" t="s">
        <v>4239</v>
      </c>
      <c r="H710" t="s">
        <v>5800</v>
      </c>
      <c r="I710" t="s">
        <v>5801</v>
      </c>
      <c r="J710" t="s">
        <v>5802</v>
      </c>
      <c r="K710" t="s">
        <v>5803</v>
      </c>
      <c r="L710" t="s">
        <v>6101</v>
      </c>
      <c r="M710">
        <v>418.21084594726563</v>
      </c>
      <c r="N710" t="s">
        <v>54</v>
      </c>
      <c r="O710" t="s">
        <v>53</v>
      </c>
      <c r="P710" t="s">
        <v>54</v>
      </c>
      <c r="Q710" t="s">
        <v>53</v>
      </c>
      <c r="R710" t="s">
        <v>54</v>
      </c>
      <c r="S710" t="s">
        <v>3901</v>
      </c>
      <c r="T710" t="s">
        <v>3901</v>
      </c>
      <c r="U710" t="s">
        <v>54</v>
      </c>
      <c r="V710" t="s">
        <v>138</v>
      </c>
      <c r="W710">
        <v>610983</v>
      </c>
      <c r="X710" t="s">
        <v>54</v>
      </c>
      <c r="AA710">
        <v>17</v>
      </c>
      <c r="AB710">
        <v>3</v>
      </c>
      <c r="AC710">
        <v>5</v>
      </c>
      <c r="AD710">
        <v>16</v>
      </c>
      <c r="AE710">
        <v>16</v>
      </c>
      <c r="AF710">
        <v>0</v>
      </c>
      <c r="AG710">
        <v>7</v>
      </c>
      <c r="AH710">
        <v>19.704742431640621</v>
      </c>
      <c r="AI710">
        <v>7</v>
      </c>
      <c r="AJ710">
        <v>116.8699188232422</v>
      </c>
      <c r="AK710" t="s">
        <v>54</v>
      </c>
      <c r="AL710" t="s">
        <v>54</v>
      </c>
      <c r="AM710" t="s">
        <v>5450</v>
      </c>
      <c r="AQ710" t="s">
        <v>54</v>
      </c>
      <c r="AR710" t="s">
        <v>5778</v>
      </c>
      <c r="AT710" t="s">
        <v>5779</v>
      </c>
      <c r="AW710" t="s">
        <v>53</v>
      </c>
      <c r="AX710" t="s">
        <v>5450</v>
      </c>
      <c r="AZ710" t="s">
        <v>54</v>
      </c>
      <c r="BA710" t="s">
        <v>5780</v>
      </c>
    </row>
    <row r="711" spans="1:53" x14ac:dyDescent="0.25">
      <c r="A711">
        <v>706</v>
      </c>
      <c r="B711" t="s">
        <v>6154</v>
      </c>
      <c r="C711" t="s">
        <v>6155</v>
      </c>
      <c r="D711" t="s">
        <v>6038</v>
      </c>
      <c r="E711">
        <v>5</v>
      </c>
      <c r="F711" t="s">
        <v>5772</v>
      </c>
      <c r="G711" t="s">
        <v>5456</v>
      </c>
      <c r="H711" t="s">
        <v>5882</v>
      </c>
      <c r="I711" t="s">
        <v>5883</v>
      </c>
      <c r="L711" t="s">
        <v>6101</v>
      </c>
      <c r="M711">
        <v>615.486083984375</v>
      </c>
      <c r="N711" t="s">
        <v>54</v>
      </c>
      <c r="O711" t="s">
        <v>53</v>
      </c>
      <c r="P711" t="s">
        <v>54</v>
      </c>
      <c r="Q711" t="s">
        <v>53</v>
      </c>
      <c r="R711" t="s">
        <v>54</v>
      </c>
      <c r="S711" t="s">
        <v>5462</v>
      </c>
      <c r="T711" t="s">
        <v>5462</v>
      </c>
      <c r="U711" t="s">
        <v>54</v>
      </c>
      <c r="V711" t="s">
        <v>138</v>
      </c>
      <c r="W711">
        <v>1200000</v>
      </c>
      <c r="X711" t="s">
        <v>54</v>
      </c>
      <c r="AA711">
        <v>756</v>
      </c>
      <c r="AB711">
        <v>367</v>
      </c>
      <c r="AC711">
        <v>1388</v>
      </c>
      <c r="AD711">
        <v>1083</v>
      </c>
      <c r="AE711">
        <v>1655</v>
      </c>
      <c r="AF711">
        <v>7</v>
      </c>
      <c r="AG711">
        <v>3</v>
      </c>
      <c r="AH711">
        <v>45.697433471679688</v>
      </c>
      <c r="AI711">
        <v>3</v>
      </c>
      <c r="AJ711">
        <v>103.863899230957</v>
      </c>
      <c r="AK711" t="s">
        <v>54</v>
      </c>
      <c r="AL711" t="s">
        <v>54</v>
      </c>
      <c r="AM711" t="s">
        <v>5821</v>
      </c>
      <c r="AN711" s="148">
        <v>45292</v>
      </c>
      <c r="AO711" s="148">
        <v>45292</v>
      </c>
      <c r="AQ711" t="s">
        <v>54</v>
      </c>
      <c r="AR711" t="s">
        <v>5813</v>
      </c>
      <c r="AS711" s="148">
        <v>45292</v>
      </c>
      <c r="AT711" t="s">
        <v>5779</v>
      </c>
      <c r="AW711" t="s">
        <v>53</v>
      </c>
      <c r="AX711" t="s">
        <v>5450</v>
      </c>
      <c r="AZ711" t="s">
        <v>54</v>
      </c>
      <c r="BA711" t="s">
        <v>5780</v>
      </c>
    </row>
    <row r="712" spans="1:53" x14ac:dyDescent="0.25">
      <c r="A712">
        <v>707</v>
      </c>
      <c r="B712" t="s">
        <v>6156</v>
      </c>
      <c r="C712" t="s">
        <v>6157</v>
      </c>
      <c r="D712" t="s">
        <v>6038</v>
      </c>
      <c r="E712">
        <v>5</v>
      </c>
      <c r="F712" t="s">
        <v>5772</v>
      </c>
      <c r="G712" t="s">
        <v>5910</v>
      </c>
      <c r="H712" t="s">
        <v>5911</v>
      </c>
      <c r="I712" t="s">
        <v>5912</v>
      </c>
      <c r="L712" t="s">
        <v>6101</v>
      </c>
      <c r="M712">
        <v>977.21307373046875</v>
      </c>
      <c r="N712" t="s">
        <v>54</v>
      </c>
      <c r="O712" t="s">
        <v>53</v>
      </c>
      <c r="P712" t="s">
        <v>54</v>
      </c>
      <c r="Q712" t="s">
        <v>53</v>
      </c>
      <c r="R712" t="s">
        <v>53</v>
      </c>
      <c r="S712" t="s">
        <v>5913</v>
      </c>
      <c r="T712" t="s">
        <v>5913</v>
      </c>
      <c r="U712" t="s">
        <v>54</v>
      </c>
      <c r="V712" t="s">
        <v>138</v>
      </c>
      <c r="W712">
        <v>1900000</v>
      </c>
      <c r="X712" t="s">
        <v>54</v>
      </c>
      <c r="AA712">
        <v>585</v>
      </c>
      <c r="AB712">
        <v>238</v>
      </c>
      <c r="AC712">
        <v>4007</v>
      </c>
      <c r="AD712">
        <v>2150</v>
      </c>
      <c r="AE712">
        <v>5475</v>
      </c>
      <c r="AF712">
        <v>1</v>
      </c>
      <c r="AG712">
        <v>20</v>
      </c>
      <c r="AH712">
        <v>38.316616058349609</v>
      </c>
      <c r="AI712">
        <v>20</v>
      </c>
      <c r="AJ712">
        <v>239.8162536621094</v>
      </c>
      <c r="AK712" t="s">
        <v>54</v>
      </c>
      <c r="AL712" t="s">
        <v>54</v>
      </c>
      <c r="AM712" t="s">
        <v>5450</v>
      </c>
      <c r="AQ712" t="s">
        <v>54</v>
      </c>
      <c r="AR712" t="s">
        <v>5778</v>
      </c>
      <c r="AT712" t="s">
        <v>5779</v>
      </c>
      <c r="AW712" t="s">
        <v>53</v>
      </c>
      <c r="AX712" t="s">
        <v>5450</v>
      </c>
      <c r="AZ712" t="s">
        <v>54</v>
      </c>
      <c r="BA712" t="s">
        <v>5780</v>
      </c>
    </row>
    <row r="713" spans="1:53" x14ac:dyDescent="0.25">
      <c r="A713">
        <v>708</v>
      </c>
      <c r="B713" t="s">
        <v>6158</v>
      </c>
      <c r="C713" t="s">
        <v>6159</v>
      </c>
      <c r="D713" t="s">
        <v>6038</v>
      </c>
      <c r="E713">
        <v>5</v>
      </c>
      <c r="F713" t="s">
        <v>5772</v>
      </c>
      <c r="G713" t="s">
        <v>5538</v>
      </c>
      <c r="H713" t="s">
        <v>5920</v>
      </c>
      <c r="I713" t="s">
        <v>5921</v>
      </c>
      <c r="J713" t="s">
        <v>5922</v>
      </c>
      <c r="K713" t="s">
        <v>5923</v>
      </c>
      <c r="L713" t="s">
        <v>6101</v>
      </c>
      <c r="M713">
        <v>155.72442626953119</v>
      </c>
      <c r="N713" t="s">
        <v>54</v>
      </c>
      <c r="O713" t="s">
        <v>54</v>
      </c>
      <c r="P713" t="s">
        <v>53</v>
      </c>
      <c r="Q713" t="s">
        <v>53</v>
      </c>
      <c r="R713" t="s">
        <v>54</v>
      </c>
      <c r="S713" t="s">
        <v>5696</v>
      </c>
      <c r="T713" t="s">
        <v>5696</v>
      </c>
      <c r="U713" t="s">
        <v>54</v>
      </c>
      <c r="V713" t="s">
        <v>138</v>
      </c>
      <c r="W713">
        <v>450000</v>
      </c>
      <c r="X713" t="s">
        <v>54</v>
      </c>
      <c r="AA713">
        <v>5007</v>
      </c>
      <c r="AB713">
        <v>4273</v>
      </c>
      <c r="AC713">
        <v>5971</v>
      </c>
      <c r="AD713">
        <v>8737</v>
      </c>
      <c r="AE713">
        <v>11929</v>
      </c>
      <c r="AF713">
        <v>36</v>
      </c>
      <c r="AG713">
        <v>20</v>
      </c>
      <c r="AH713">
        <v>136.1341247558594</v>
      </c>
      <c r="AI713">
        <v>20</v>
      </c>
      <c r="AJ713">
        <v>346.0234375</v>
      </c>
      <c r="AK713" t="s">
        <v>54</v>
      </c>
      <c r="AL713" t="s">
        <v>54</v>
      </c>
      <c r="AM713" t="s">
        <v>5821</v>
      </c>
      <c r="AN713" s="148">
        <v>45292</v>
      </c>
      <c r="AO713" s="148">
        <v>45292</v>
      </c>
      <c r="AQ713" t="s">
        <v>54</v>
      </c>
      <c r="AR713" t="s">
        <v>5813</v>
      </c>
      <c r="AS713" s="148">
        <v>45292</v>
      </c>
      <c r="AT713" t="s">
        <v>5779</v>
      </c>
      <c r="AW713" t="s">
        <v>53</v>
      </c>
      <c r="AX713" t="s">
        <v>5450</v>
      </c>
      <c r="AZ713" t="s">
        <v>54</v>
      </c>
      <c r="BA713" t="s">
        <v>5780</v>
      </c>
    </row>
    <row r="714" spans="1:53" x14ac:dyDescent="0.25">
      <c r="A714">
        <v>709</v>
      </c>
      <c r="B714" t="s">
        <v>6160</v>
      </c>
      <c r="C714" t="s">
        <v>6161</v>
      </c>
      <c r="D714" t="s">
        <v>6038</v>
      </c>
      <c r="E714">
        <v>5</v>
      </c>
      <c r="F714" t="s">
        <v>5772</v>
      </c>
      <c r="G714" t="s">
        <v>4589</v>
      </c>
      <c r="H714" t="s">
        <v>5926</v>
      </c>
      <c r="I714" t="s">
        <v>5927</v>
      </c>
      <c r="K714" t="s">
        <v>5928</v>
      </c>
      <c r="L714" t="s">
        <v>6101</v>
      </c>
      <c r="M714">
        <v>535.169921875</v>
      </c>
      <c r="N714" t="s">
        <v>54</v>
      </c>
      <c r="O714" t="s">
        <v>53</v>
      </c>
      <c r="P714" t="s">
        <v>53</v>
      </c>
      <c r="Q714" t="s">
        <v>53</v>
      </c>
      <c r="R714" t="s">
        <v>54</v>
      </c>
      <c r="S714" t="s">
        <v>3981</v>
      </c>
      <c r="T714" t="s">
        <v>3981</v>
      </c>
      <c r="U714" t="s">
        <v>54</v>
      </c>
      <c r="V714" t="s">
        <v>138</v>
      </c>
      <c r="W714">
        <v>150021</v>
      </c>
      <c r="X714" t="s">
        <v>54</v>
      </c>
      <c r="Y714" t="s">
        <v>6162</v>
      </c>
      <c r="Z714">
        <v>1680000</v>
      </c>
      <c r="AA714">
        <v>84</v>
      </c>
      <c r="AB714">
        <v>45</v>
      </c>
      <c r="AC714">
        <v>321</v>
      </c>
      <c r="AD714">
        <v>124</v>
      </c>
      <c r="AE714">
        <v>368</v>
      </c>
      <c r="AF714">
        <v>0</v>
      </c>
      <c r="AG714">
        <v>8</v>
      </c>
      <c r="AH714">
        <v>16.79930305480957</v>
      </c>
      <c r="AI714">
        <v>8</v>
      </c>
      <c r="AJ714">
        <v>62.190280914306641</v>
      </c>
      <c r="AK714" t="s">
        <v>54</v>
      </c>
      <c r="AL714" t="s">
        <v>54</v>
      </c>
      <c r="AM714" t="s">
        <v>5821</v>
      </c>
      <c r="AN714" s="148">
        <v>45292</v>
      </c>
      <c r="AO714" s="148">
        <v>45292</v>
      </c>
      <c r="AQ714" t="s">
        <v>54</v>
      </c>
      <c r="AR714" t="s">
        <v>5842</v>
      </c>
      <c r="AS714" s="148">
        <v>45292</v>
      </c>
      <c r="AT714" t="s">
        <v>5779</v>
      </c>
      <c r="AW714" t="s">
        <v>53</v>
      </c>
      <c r="AX714" t="s">
        <v>5450</v>
      </c>
      <c r="AZ714" t="s">
        <v>54</v>
      </c>
      <c r="BA714" t="s">
        <v>5780</v>
      </c>
    </row>
    <row r="715" spans="1:53" x14ac:dyDescent="0.25">
      <c r="A715">
        <v>710</v>
      </c>
      <c r="B715" t="s">
        <v>6163</v>
      </c>
      <c r="C715" t="s">
        <v>6164</v>
      </c>
      <c r="D715" t="s">
        <v>6038</v>
      </c>
      <c r="E715">
        <v>5</v>
      </c>
      <c r="F715" t="s">
        <v>5772</v>
      </c>
      <c r="G715" t="s">
        <v>5633</v>
      </c>
      <c r="H715" t="s">
        <v>5911</v>
      </c>
      <c r="I715" t="s">
        <v>5934</v>
      </c>
      <c r="K715" t="s">
        <v>5935</v>
      </c>
      <c r="L715" t="s">
        <v>6101</v>
      </c>
      <c r="M715">
        <v>524.86724853515625</v>
      </c>
      <c r="N715" t="s">
        <v>54</v>
      </c>
      <c r="O715" t="s">
        <v>53</v>
      </c>
      <c r="P715" t="s">
        <v>54</v>
      </c>
      <c r="Q715" t="s">
        <v>53</v>
      </c>
      <c r="R715" t="s">
        <v>53</v>
      </c>
      <c r="S715" t="s">
        <v>5513</v>
      </c>
      <c r="T715" t="s">
        <v>5513</v>
      </c>
      <c r="U715" t="s">
        <v>54</v>
      </c>
      <c r="V715" t="s">
        <v>138</v>
      </c>
      <c r="W715">
        <v>1400000</v>
      </c>
      <c r="X715" t="s">
        <v>54</v>
      </c>
      <c r="AA715">
        <v>91</v>
      </c>
      <c r="AB715">
        <v>45</v>
      </c>
      <c r="AC715">
        <v>104</v>
      </c>
      <c r="AD715">
        <v>149</v>
      </c>
      <c r="AE715">
        <v>191</v>
      </c>
      <c r="AF715">
        <v>1</v>
      </c>
      <c r="AG715">
        <v>0</v>
      </c>
      <c r="AH715">
        <v>21.115413665771481</v>
      </c>
      <c r="AI715">
        <v>0</v>
      </c>
      <c r="AJ715">
        <v>206.473876953125</v>
      </c>
      <c r="AK715" t="s">
        <v>54</v>
      </c>
      <c r="AL715" t="s">
        <v>54</v>
      </c>
      <c r="AM715" t="s">
        <v>5450</v>
      </c>
      <c r="AQ715" t="s">
        <v>54</v>
      </c>
      <c r="AR715" t="s">
        <v>5778</v>
      </c>
      <c r="AT715" t="s">
        <v>5779</v>
      </c>
      <c r="AW715" t="s">
        <v>53</v>
      </c>
      <c r="AX715" t="s">
        <v>5450</v>
      </c>
      <c r="AZ715" t="s">
        <v>54</v>
      </c>
      <c r="BA715" t="s">
        <v>5780</v>
      </c>
    </row>
    <row r="716" spans="1:53" x14ac:dyDescent="0.25">
      <c r="A716">
        <v>711</v>
      </c>
      <c r="B716" t="s">
        <v>6165</v>
      </c>
      <c r="C716" t="s">
        <v>6166</v>
      </c>
      <c r="D716" t="s">
        <v>6038</v>
      </c>
      <c r="E716">
        <v>5</v>
      </c>
      <c r="F716" t="s">
        <v>5772</v>
      </c>
      <c r="G716" t="s">
        <v>5443</v>
      </c>
      <c r="H716" t="s">
        <v>5938</v>
      </c>
      <c r="I716" t="s">
        <v>5939</v>
      </c>
      <c r="J716" t="s">
        <v>5940</v>
      </c>
      <c r="K716" t="s">
        <v>5941</v>
      </c>
      <c r="L716" t="s">
        <v>6101</v>
      </c>
      <c r="M716">
        <v>95.268829345703125</v>
      </c>
      <c r="N716" t="s">
        <v>54</v>
      </c>
      <c r="O716" t="s">
        <v>53</v>
      </c>
      <c r="P716" t="s">
        <v>54</v>
      </c>
      <c r="Q716" t="s">
        <v>53</v>
      </c>
      <c r="R716" t="s">
        <v>54</v>
      </c>
      <c r="S716" t="s">
        <v>5488</v>
      </c>
      <c r="T716" t="s">
        <v>5488</v>
      </c>
      <c r="U716" t="s">
        <v>54</v>
      </c>
      <c r="V716" t="s">
        <v>138</v>
      </c>
      <c r="W716">
        <v>76348</v>
      </c>
      <c r="X716" t="s">
        <v>54</v>
      </c>
      <c r="AA716">
        <v>11</v>
      </c>
      <c r="AB716">
        <v>2</v>
      </c>
      <c r="AC716">
        <v>10</v>
      </c>
      <c r="AD716">
        <v>16</v>
      </c>
      <c r="AE716">
        <v>16</v>
      </c>
      <c r="AF716">
        <v>0</v>
      </c>
      <c r="AG716">
        <v>1</v>
      </c>
      <c r="AH716">
        <v>2.669447660446167</v>
      </c>
      <c r="AI716">
        <v>1</v>
      </c>
      <c r="AJ716">
        <v>4.9565868377685547</v>
      </c>
      <c r="AK716" t="s">
        <v>54</v>
      </c>
      <c r="AL716" t="s">
        <v>54</v>
      </c>
      <c r="AM716" t="s">
        <v>5821</v>
      </c>
      <c r="AN716" s="148">
        <v>45292</v>
      </c>
      <c r="AO716" s="148">
        <v>45292</v>
      </c>
      <c r="AQ716" t="s">
        <v>54</v>
      </c>
      <c r="AR716" t="s">
        <v>5813</v>
      </c>
      <c r="AS716" s="148">
        <v>45292</v>
      </c>
      <c r="AT716" t="s">
        <v>5779</v>
      </c>
      <c r="AW716" t="s">
        <v>53</v>
      </c>
      <c r="AX716" t="s">
        <v>5450</v>
      </c>
      <c r="AZ716" t="s">
        <v>54</v>
      </c>
      <c r="BA716" t="s">
        <v>5780</v>
      </c>
    </row>
    <row r="717" spans="1:53" x14ac:dyDescent="0.25">
      <c r="A717">
        <v>712</v>
      </c>
      <c r="B717" t="s">
        <v>6167</v>
      </c>
      <c r="C717" t="s">
        <v>6168</v>
      </c>
      <c r="D717" t="s">
        <v>6038</v>
      </c>
      <c r="E717">
        <v>5</v>
      </c>
      <c r="F717" t="s">
        <v>5772</v>
      </c>
      <c r="G717" t="s">
        <v>5944</v>
      </c>
      <c r="H717" t="s">
        <v>5938</v>
      </c>
      <c r="I717" t="s">
        <v>5945</v>
      </c>
      <c r="K717" t="s">
        <v>5946</v>
      </c>
      <c r="L717" t="s">
        <v>6101</v>
      </c>
      <c r="M717">
        <v>533.49688720703125</v>
      </c>
      <c r="N717" t="s">
        <v>54</v>
      </c>
      <c r="O717" t="s">
        <v>53</v>
      </c>
      <c r="P717" t="s">
        <v>54</v>
      </c>
      <c r="Q717" t="s">
        <v>53</v>
      </c>
      <c r="R717" t="s">
        <v>53</v>
      </c>
      <c r="S717" t="s">
        <v>5498</v>
      </c>
      <c r="T717" t="s">
        <v>5498</v>
      </c>
      <c r="U717" t="s">
        <v>54</v>
      </c>
      <c r="V717" t="s">
        <v>138</v>
      </c>
      <c r="W717">
        <v>379732</v>
      </c>
      <c r="X717" t="s">
        <v>54</v>
      </c>
      <c r="AA717">
        <v>64</v>
      </c>
      <c r="AB717">
        <v>28</v>
      </c>
      <c r="AC717">
        <v>110</v>
      </c>
      <c r="AD717">
        <v>105</v>
      </c>
      <c r="AE717">
        <v>146</v>
      </c>
      <c r="AF717">
        <v>0</v>
      </c>
      <c r="AG717">
        <v>2</v>
      </c>
      <c r="AH717">
        <v>13.215072631835939</v>
      </c>
      <c r="AI717">
        <v>2</v>
      </c>
      <c r="AJ717">
        <v>41.607803344726563</v>
      </c>
      <c r="AK717" t="s">
        <v>54</v>
      </c>
      <c r="AL717" t="s">
        <v>54</v>
      </c>
      <c r="AM717" t="s">
        <v>5821</v>
      </c>
      <c r="AN717" s="148">
        <v>45292</v>
      </c>
      <c r="AO717" s="148">
        <v>45292</v>
      </c>
      <c r="AQ717" t="s">
        <v>54</v>
      </c>
      <c r="AR717" t="s">
        <v>5842</v>
      </c>
      <c r="AS717" s="148">
        <v>45292</v>
      </c>
      <c r="AT717" t="s">
        <v>5779</v>
      </c>
      <c r="AW717" t="s">
        <v>53</v>
      </c>
      <c r="AX717" t="s">
        <v>5450</v>
      </c>
      <c r="AZ717" t="s">
        <v>54</v>
      </c>
      <c r="BA717" t="s">
        <v>5780</v>
      </c>
    </row>
    <row r="718" spans="1:53" x14ac:dyDescent="0.25">
      <c r="A718">
        <v>713</v>
      </c>
      <c r="B718" t="s">
        <v>6169</v>
      </c>
      <c r="C718" t="s">
        <v>6170</v>
      </c>
      <c r="D718" t="s">
        <v>6038</v>
      </c>
      <c r="E718">
        <v>5</v>
      </c>
      <c r="F718" t="s">
        <v>5772</v>
      </c>
      <c r="G718" t="s">
        <v>5949</v>
      </c>
      <c r="H718" t="s">
        <v>5938</v>
      </c>
      <c r="I718" t="s">
        <v>5950</v>
      </c>
      <c r="J718" t="s">
        <v>5951</v>
      </c>
      <c r="K718" t="s">
        <v>5952</v>
      </c>
      <c r="L718" t="s">
        <v>6101</v>
      </c>
      <c r="M718">
        <v>159.87260437011719</v>
      </c>
      <c r="N718" t="s">
        <v>54</v>
      </c>
      <c r="O718" t="s">
        <v>53</v>
      </c>
      <c r="P718" t="s">
        <v>54</v>
      </c>
      <c r="Q718" t="s">
        <v>53</v>
      </c>
      <c r="R718" t="s">
        <v>53</v>
      </c>
      <c r="S718" t="s">
        <v>5505</v>
      </c>
      <c r="T718" t="s">
        <v>5505</v>
      </c>
      <c r="U718" t="s">
        <v>54</v>
      </c>
      <c r="V718" t="s">
        <v>138</v>
      </c>
      <c r="W718">
        <v>1250000</v>
      </c>
      <c r="X718" t="s">
        <v>54</v>
      </c>
      <c r="AA718">
        <v>15</v>
      </c>
      <c r="AB718">
        <v>0</v>
      </c>
      <c r="AC718">
        <v>3</v>
      </c>
      <c r="AD718">
        <v>7</v>
      </c>
      <c r="AE718">
        <v>8</v>
      </c>
      <c r="AF718">
        <v>0</v>
      </c>
      <c r="AG718">
        <v>4</v>
      </c>
      <c r="AH718">
        <v>4.6325712203979492</v>
      </c>
      <c r="AI718">
        <v>4</v>
      </c>
      <c r="AJ718">
        <v>56.068603515625</v>
      </c>
      <c r="AK718" t="s">
        <v>54</v>
      </c>
      <c r="AL718" t="s">
        <v>54</v>
      </c>
      <c r="AM718" t="s">
        <v>5450</v>
      </c>
      <c r="AQ718" t="s">
        <v>54</v>
      </c>
      <c r="AR718" t="s">
        <v>5450</v>
      </c>
      <c r="AT718" t="s">
        <v>5779</v>
      </c>
      <c r="AW718" t="s">
        <v>53</v>
      </c>
      <c r="AX718" t="s">
        <v>5450</v>
      </c>
      <c r="AZ718" t="s">
        <v>54</v>
      </c>
      <c r="BA718" t="s">
        <v>5780</v>
      </c>
    </row>
    <row r="719" spans="1:53" x14ac:dyDescent="0.25">
      <c r="A719">
        <v>714</v>
      </c>
      <c r="B719" t="s">
        <v>6171</v>
      </c>
      <c r="C719" t="s">
        <v>6172</v>
      </c>
      <c r="D719" t="s">
        <v>6038</v>
      </c>
      <c r="E719">
        <v>5</v>
      </c>
      <c r="F719" t="s">
        <v>5772</v>
      </c>
      <c r="G719" t="s">
        <v>5955</v>
      </c>
      <c r="H719" t="s">
        <v>5956</v>
      </c>
      <c r="I719" t="s">
        <v>5957</v>
      </c>
      <c r="K719" t="s">
        <v>5958</v>
      </c>
      <c r="L719" t="s">
        <v>6101</v>
      </c>
      <c r="M719">
        <v>509.56976318359381</v>
      </c>
      <c r="N719" t="s">
        <v>54</v>
      </c>
      <c r="O719" t="s">
        <v>53</v>
      </c>
      <c r="P719" t="s">
        <v>54</v>
      </c>
      <c r="Q719" t="s">
        <v>53</v>
      </c>
      <c r="R719" t="s">
        <v>54</v>
      </c>
      <c r="S719" t="s">
        <v>5477</v>
      </c>
      <c r="T719" t="s">
        <v>5477</v>
      </c>
      <c r="U719" t="s">
        <v>54</v>
      </c>
      <c r="V719" t="s">
        <v>138</v>
      </c>
      <c r="W719">
        <v>538612</v>
      </c>
      <c r="X719" t="s">
        <v>54</v>
      </c>
      <c r="AA719">
        <v>2347</v>
      </c>
      <c r="AB719">
        <v>1064</v>
      </c>
      <c r="AC719">
        <v>6216</v>
      </c>
      <c r="AD719">
        <v>3308</v>
      </c>
      <c r="AE719">
        <v>8524</v>
      </c>
      <c r="AF719">
        <v>72</v>
      </c>
      <c r="AG719">
        <v>42</v>
      </c>
      <c r="AH719">
        <v>50.013843536376953</v>
      </c>
      <c r="AI719">
        <v>42</v>
      </c>
      <c r="AJ719">
        <v>216.3883361816406</v>
      </c>
      <c r="AK719" t="s">
        <v>54</v>
      </c>
      <c r="AL719" t="s">
        <v>54</v>
      </c>
      <c r="AM719" t="s">
        <v>5450</v>
      </c>
      <c r="AQ719" t="s">
        <v>54</v>
      </c>
      <c r="AR719" t="s">
        <v>5778</v>
      </c>
      <c r="AT719" t="s">
        <v>5779</v>
      </c>
      <c r="AW719" t="s">
        <v>53</v>
      </c>
      <c r="AX719" t="s">
        <v>5450</v>
      </c>
      <c r="AZ719" t="s">
        <v>54</v>
      </c>
      <c r="BA719" t="s">
        <v>5780</v>
      </c>
    </row>
    <row r="720" spans="1:53" x14ac:dyDescent="0.25">
      <c r="A720">
        <v>715</v>
      </c>
      <c r="B720" t="s">
        <v>6173</v>
      </c>
      <c r="C720" t="s">
        <v>6174</v>
      </c>
      <c r="D720" t="s">
        <v>6038</v>
      </c>
      <c r="E720">
        <v>5</v>
      </c>
      <c r="F720" t="s">
        <v>5772</v>
      </c>
      <c r="G720" t="s">
        <v>3803</v>
      </c>
      <c r="H720" t="s">
        <v>5973</v>
      </c>
      <c r="I720" t="s">
        <v>5974</v>
      </c>
      <c r="J720" t="s">
        <v>5975</v>
      </c>
      <c r="K720" t="s">
        <v>5976</v>
      </c>
      <c r="L720" t="s">
        <v>6101</v>
      </c>
      <c r="M720">
        <v>341.74038696289063</v>
      </c>
      <c r="N720" t="s">
        <v>54</v>
      </c>
      <c r="O720" t="s">
        <v>53</v>
      </c>
      <c r="P720" t="s">
        <v>54</v>
      </c>
      <c r="Q720" t="s">
        <v>53</v>
      </c>
      <c r="R720" t="s">
        <v>53</v>
      </c>
      <c r="S720" t="s">
        <v>4003</v>
      </c>
      <c r="T720" t="s">
        <v>4003</v>
      </c>
      <c r="U720" t="s">
        <v>54</v>
      </c>
      <c r="V720" t="s">
        <v>138</v>
      </c>
      <c r="W720">
        <v>481324</v>
      </c>
      <c r="X720" t="s">
        <v>54</v>
      </c>
      <c r="AA720">
        <v>32</v>
      </c>
      <c r="AB720">
        <v>15</v>
      </c>
      <c r="AC720">
        <v>7</v>
      </c>
      <c r="AD720">
        <v>15</v>
      </c>
      <c r="AE720">
        <v>15</v>
      </c>
      <c r="AF720">
        <v>0</v>
      </c>
      <c r="AG720">
        <v>1</v>
      </c>
      <c r="AH720">
        <v>22.494344711303711</v>
      </c>
      <c r="AI720">
        <v>1</v>
      </c>
      <c r="AJ720">
        <v>68.388084411621094</v>
      </c>
      <c r="AK720" t="s">
        <v>54</v>
      </c>
      <c r="AL720" t="s">
        <v>54</v>
      </c>
      <c r="AM720" t="s">
        <v>5450</v>
      </c>
      <c r="AQ720" t="s">
        <v>54</v>
      </c>
      <c r="AR720" t="s">
        <v>5450</v>
      </c>
      <c r="AT720" t="s">
        <v>5779</v>
      </c>
      <c r="AW720" t="s">
        <v>53</v>
      </c>
      <c r="AX720" t="s">
        <v>5450</v>
      </c>
      <c r="AZ720" t="s">
        <v>54</v>
      </c>
      <c r="BA720" t="s">
        <v>5780</v>
      </c>
    </row>
    <row r="721" spans="1:53" x14ac:dyDescent="0.25">
      <c r="A721">
        <v>716</v>
      </c>
      <c r="B721" t="s">
        <v>6175</v>
      </c>
      <c r="C721" t="s">
        <v>6176</v>
      </c>
      <c r="D721" t="s">
        <v>6038</v>
      </c>
      <c r="E721">
        <v>5</v>
      </c>
      <c r="F721" t="s">
        <v>5772</v>
      </c>
      <c r="G721" t="s">
        <v>5979</v>
      </c>
      <c r="H721" t="s">
        <v>5980</v>
      </c>
      <c r="I721" t="s">
        <v>5981</v>
      </c>
      <c r="L721" t="s">
        <v>6101</v>
      </c>
      <c r="M721">
        <v>931.7218017578125</v>
      </c>
      <c r="N721" t="s">
        <v>54</v>
      </c>
      <c r="O721" t="s">
        <v>53</v>
      </c>
      <c r="P721" t="s">
        <v>53</v>
      </c>
      <c r="Q721" t="s">
        <v>53</v>
      </c>
      <c r="R721" t="s">
        <v>54</v>
      </c>
      <c r="S721" t="s">
        <v>5982</v>
      </c>
      <c r="T721" t="s">
        <v>5982</v>
      </c>
      <c r="U721" t="s">
        <v>54</v>
      </c>
      <c r="V721" t="s">
        <v>138</v>
      </c>
      <c r="W721">
        <v>700000</v>
      </c>
      <c r="X721" t="s">
        <v>54</v>
      </c>
      <c r="AA721">
        <v>545</v>
      </c>
      <c r="AB721">
        <v>377</v>
      </c>
      <c r="AC721">
        <v>163</v>
      </c>
      <c r="AD721">
        <v>278</v>
      </c>
      <c r="AE721">
        <v>329</v>
      </c>
      <c r="AF721">
        <v>0</v>
      </c>
      <c r="AG721">
        <v>8</v>
      </c>
      <c r="AH721">
        <v>41.875286102294922</v>
      </c>
      <c r="AI721">
        <v>8</v>
      </c>
      <c r="AJ721">
        <v>81.637687683105469</v>
      </c>
      <c r="AK721" t="s">
        <v>54</v>
      </c>
      <c r="AL721" t="s">
        <v>54</v>
      </c>
      <c r="AM721" t="s">
        <v>5821</v>
      </c>
      <c r="AN721" s="148">
        <v>45292</v>
      </c>
      <c r="AO721" s="148">
        <v>45292</v>
      </c>
      <c r="AQ721" t="s">
        <v>54</v>
      </c>
      <c r="AR721" t="s">
        <v>5842</v>
      </c>
      <c r="AS721" s="148">
        <v>45292</v>
      </c>
      <c r="AT721" t="s">
        <v>5779</v>
      </c>
      <c r="AW721" t="s">
        <v>53</v>
      </c>
      <c r="AX721" t="s">
        <v>5450</v>
      </c>
      <c r="AZ721" t="s">
        <v>54</v>
      </c>
      <c r="BA721" t="s">
        <v>5780</v>
      </c>
    </row>
    <row r="722" spans="1:53" x14ac:dyDescent="0.25">
      <c r="A722">
        <v>717</v>
      </c>
      <c r="B722" t="s">
        <v>6177</v>
      </c>
      <c r="C722" t="s">
        <v>6178</v>
      </c>
      <c r="D722" t="s">
        <v>6038</v>
      </c>
      <c r="E722">
        <v>5</v>
      </c>
      <c r="F722" t="s">
        <v>5772</v>
      </c>
      <c r="G722" t="s">
        <v>5598</v>
      </c>
      <c r="H722" t="s">
        <v>5774</v>
      </c>
      <c r="I722" t="s">
        <v>5988</v>
      </c>
      <c r="J722" t="s">
        <v>5989</v>
      </c>
      <c r="K722" t="s">
        <v>5990</v>
      </c>
      <c r="L722" t="s">
        <v>6101</v>
      </c>
      <c r="M722">
        <v>244.0077819824219</v>
      </c>
      <c r="N722" t="s">
        <v>54</v>
      </c>
      <c r="O722" t="s">
        <v>53</v>
      </c>
      <c r="P722" t="s">
        <v>54</v>
      </c>
      <c r="Q722" t="s">
        <v>53</v>
      </c>
      <c r="R722" t="s">
        <v>54</v>
      </c>
      <c r="S722" t="s">
        <v>4010</v>
      </c>
      <c r="T722" t="s">
        <v>4010</v>
      </c>
      <c r="U722" t="s">
        <v>54</v>
      </c>
      <c r="V722" t="s">
        <v>138</v>
      </c>
      <c r="W722">
        <v>484386</v>
      </c>
      <c r="X722" t="s">
        <v>54</v>
      </c>
      <c r="Y722" t="s">
        <v>6179</v>
      </c>
      <c r="Z722">
        <v>4625000</v>
      </c>
      <c r="AA722">
        <v>217</v>
      </c>
      <c r="AB722">
        <v>144</v>
      </c>
      <c r="AC722">
        <v>85</v>
      </c>
      <c r="AD722">
        <v>202</v>
      </c>
      <c r="AE722">
        <v>233</v>
      </c>
      <c r="AF722">
        <v>0</v>
      </c>
      <c r="AG722">
        <v>0</v>
      </c>
      <c r="AH722">
        <v>13.46530914306641</v>
      </c>
      <c r="AI722">
        <v>0</v>
      </c>
      <c r="AJ722">
        <v>231.7996826171875</v>
      </c>
      <c r="AK722" t="s">
        <v>54</v>
      </c>
      <c r="AL722" t="s">
        <v>54</v>
      </c>
      <c r="AM722" t="s">
        <v>5450</v>
      </c>
      <c r="AQ722" t="s">
        <v>54</v>
      </c>
      <c r="AR722" t="s">
        <v>5778</v>
      </c>
      <c r="AT722" t="s">
        <v>5779</v>
      </c>
      <c r="AW722" t="s">
        <v>53</v>
      </c>
      <c r="AX722" t="s">
        <v>5450</v>
      </c>
      <c r="AZ722" t="s">
        <v>54</v>
      </c>
      <c r="BA722" t="s">
        <v>5780</v>
      </c>
    </row>
    <row r="723" spans="1:53" x14ac:dyDescent="0.25">
      <c r="A723">
        <v>718</v>
      </c>
      <c r="B723" t="s">
        <v>6180</v>
      </c>
      <c r="C723" t="s">
        <v>6181</v>
      </c>
      <c r="D723" t="s">
        <v>6038</v>
      </c>
      <c r="E723">
        <v>5</v>
      </c>
      <c r="F723" t="s">
        <v>5772</v>
      </c>
      <c r="G723" t="s">
        <v>5789</v>
      </c>
      <c r="H723" t="s">
        <v>5956</v>
      </c>
      <c r="I723" t="s">
        <v>6182</v>
      </c>
      <c r="J723" t="s">
        <v>6183</v>
      </c>
      <c r="K723" t="s">
        <v>6184</v>
      </c>
      <c r="L723" t="s">
        <v>6043</v>
      </c>
      <c r="M723">
        <v>6.8273959159851074</v>
      </c>
      <c r="N723" t="s">
        <v>54</v>
      </c>
      <c r="O723" t="s">
        <v>53</v>
      </c>
      <c r="P723" t="s">
        <v>54</v>
      </c>
      <c r="Q723" t="s">
        <v>53</v>
      </c>
      <c r="R723" t="s">
        <v>53</v>
      </c>
      <c r="S723" t="s">
        <v>6185</v>
      </c>
      <c r="T723" t="s">
        <v>6185</v>
      </c>
      <c r="U723" t="s">
        <v>53</v>
      </c>
      <c r="V723" t="s">
        <v>138</v>
      </c>
      <c r="W723">
        <v>280000</v>
      </c>
      <c r="X723" t="s">
        <v>54</v>
      </c>
      <c r="AA723">
        <v>41</v>
      </c>
      <c r="AB723">
        <v>9</v>
      </c>
      <c r="AC723">
        <v>455</v>
      </c>
      <c r="AD723">
        <v>10</v>
      </c>
      <c r="AE723">
        <v>462</v>
      </c>
      <c r="AF723">
        <v>0</v>
      </c>
      <c r="AG723">
        <v>0</v>
      </c>
      <c r="AH723">
        <v>1.51203465461731</v>
      </c>
      <c r="AI723">
        <v>0</v>
      </c>
      <c r="AJ723">
        <v>1.508719325065613</v>
      </c>
      <c r="AK723" t="s">
        <v>54</v>
      </c>
      <c r="AL723" t="s">
        <v>53</v>
      </c>
      <c r="AQ723" t="s">
        <v>54</v>
      </c>
      <c r="AR723" t="s">
        <v>5450</v>
      </c>
      <c r="AT723" t="s">
        <v>5779</v>
      </c>
      <c r="AW723" t="s">
        <v>53</v>
      </c>
      <c r="AX723" t="s">
        <v>5450</v>
      </c>
      <c r="AZ723" t="s">
        <v>54</v>
      </c>
      <c r="BA723" t="s">
        <v>5780</v>
      </c>
    </row>
    <row r="724" spans="1:53" x14ac:dyDescent="0.25">
      <c r="A724">
        <v>719</v>
      </c>
      <c r="B724" t="s">
        <v>6186</v>
      </c>
      <c r="C724" t="s">
        <v>6187</v>
      </c>
      <c r="D724" t="s">
        <v>6038</v>
      </c>
      <c r="E724">
        <v>5</v>
      </c>
      <c r="F724" t="s">
        <v>5772</v>
      </c>
      <c r="G724" t="s">
        <v>5955</v>
      </c>
      <c r="H724" t="s">
        <v>6039</v>
      </c>
      <c r="I724" t="s">
        <v>6040</v>
      </c>
      <c r="J724" t="s">
        <v>6188</v>
      </c>
      <c r="K724" t="s">
        <v>6189</v>
      </c>
      <c r="L724" t="s">
        <v>6043</v>
      </c>
      <c r="M724">
        <v>4.7677040100097656</v>
      </c>
      <c r="N724" t="s">
        <v>54</v>
      </c>
      <c r="O724" t="s">
        <v>53</v>
      </c>
      <c r="P724" t="s">
        <v>54</v>
      </c>
      <c r="Q724" t="s">
        <v>53</v>
      </c>
      <c r="R724" t="s">
        <v>53</v>
      </c>
      <c r="S724" t="s">
        <v>6190</v>
      </c>
      <c r="T724" t="s">
        <v>6190</v>
      </c>
      <c r="U724" t="s">
        <v>54</v>
      </c>
      <c r="V724" t="s">
        <v>138</v>
      </c>
      <c r="W724">
        <v>150000</v>
      </c>
      <c r="X724" t="s">
        <v>54</v>
      </c>
      <c r="AA724">
        <v>36</v>
      </c>
      <c r="AB724">
        <v>18</v>
      </c>
      <c r="AC724">
        <v>67</v>
      </c>
      <c r="AD724">
        <v>41</v>
      </c>
      <c r="AE724">
        <v>97</v>
      </c>
      <c r="AF724">
        <v>0</v>
      </c>
      <c r="AG724">
        <v>1</v>
      </c>
      <c r="AH724">
        <v>0.73146384954452515</v>
      </c>
      <c r="AI724">
        <v>1</v>
      </c>
      <c r="AJ724">
        <v>1.548403382301331</v>
      </c>
      <c r="AK724" t="s">
        <v>54</v>
      </c>
      <c r="AL724" t="s">
        <v>53</v>
      </c>
      <c r="AQ724" t="s">
        <v>54</v>
      </c>
      <c r="AR724" t="s">
        <v>5450</v>
      </c>
      <c r="AT724" t="s">
        <v>5779</v>
      </c>
      <c r="AW724" t="s">
        <v>53</v>
      </c>
      <c r="AX724" t="s">
        <v>5450</v>
      </c>
      <c r="AZ724" t="s">
        <v>54</v>
      </c>
      <c r="BA724" t="s">
        <v>5780</v>
      </c>
    </row>
    <row r="725" spans="1:53" x14ac:dyDescent="0.25">
      <c r="A725">
        <v>720</v>
      </c>
      <c r="B725" t="s">
        <v>6191</v>
      </c>
      <c r="C725" t="s">
        <v>6192</v>
      </c>
      <c r="D725" t="s">
        <v>6038</v>
      </c>
      <c r="E725">
        <v>5</v>
      </c>
      <c r="F725" t="s">
        <v>5772</v>
      </c>
      <c r="G725" t="s">
        <v>4207</v>
      </c>
      <c r="H725" t="s">
        <v>5774</v>
      </c>
      <c r="I725" t="s">
        <v>6048</v>
      </c>
      <c r="J725" t="s">
        <v>6193</v>
      </c>
      <c r="K725" t="s">
        <v>6194</v>
      </c>
      <c r="L725" t="s">
        <v>6043</v>
      </c>
      <c r="M725">
        <v>0.66818428039550781</v>
      </c>
      <c r="N725" t="s">
        <v>54</v>
      </c>
      <c r="O725" t="s">
        <v>53</v>
      </c>
      <c r="P725" t="s">
        <v>54</v>
      </c>
      <c r="Q725" t="s">
        <v>53</v>
      </c>
      <c r="R725" t="s">
        <v>53</v>
      </c>
      <c r="S725" t="s">
        <v>4212</v>
      </c>
      <c r="T725" t="s">
        <v>4212</v>
      </c>
      <c r="U725" t="s">
        <v>53</v>
      </c>
      <c r="V725" t="s">
        <v>138</v>
      </c>
      <c r="W725">
        <v>31056</v>
      </c>
      <c r="X725" t="s">
        <v>54</v>
      </c>
      <c r="AA725">
        <v>0</v>
      </c>
      <c r="AB725">
        <v>0</v>
      </c>
      <c r="AC725">
        <v>0</v>
      </c>
      <c r="AD725">
        <v>0</v>
      </c>
      <c r="AE725">
        <v>0</v>
      </c>
      <c r="AF725">
        <v>0</v>
      </c>
      <c r="AG725">
        <v>0</v>
      </c>
      <c r="AH725">
        <v>2.8695700690150261E-2</v>
      </c>
      <c r="AI725">
        <v>0</v>
      </c>
      <c r="AJ725">
        <v>0</v>
      </c>
      <c r="AK725" t="s">
        <v>54</v>
      </c>
      <c r="AL725" t="s">
        <v>53</v>
      </c>
      <c r="AQ725" t="s">
        <v>54</v>
      </c>
      <c r="AR725" t="s">
        <v>5778</v>
      </c>
      <c r="AT725" t="s">
        <v>5779</v>
      </c>
      <c r="AW725" t="s">
        <v>53</v>
      </c>
      <c r="AX725" t="s">
        <v>5450</v>
      </c>
      <c r="AZ725" t="s">
        <v>54</v>
      </c>
      <c r="BA725" t="s">
        <v>5780</v>
      </c>
    </row>
    <row r="726" spans="1:53" x14ac:dyDescent="0.25">
      <c r="A726">
        <v>721</v>
      </c>
      <c r="B726" t="s">
        <v>6195</v>
      </c>
      <c r="C726" t="s">
        <v>6196</v>
      </c>
      <c r="D726" t="s">
        <v>6038</v>
      </c>
      <c r="E726">
        <v>5</v>
      </c>
      <c r="F726" t="s">
        <v>5772</v>
      </c>
      <c r="G726" t="s">
        <v>5773</v>
      </c>
      <c r="H726" t="s">
        <v>5774</v>
      </c>
      <c r="I726" t="s">
        <v>6197</v>
      </c>
      <c r="J726" t="s">
        <v>6198</v>
      </c>
      <c r="K726" t="s">
        <v>6199</v>
      </c>
      <c r="L726" t="s">
        <v>6043</v>
      </c>
      <c r="M726">
        <v>6.7677946090698242</v>
      </c>
      <c r="N726" t="s">
        <v>54</v>
      </c>
      <c r="O726" t="s">
        <v>53</v>
      </c>
      <c r="P726" t="s">
        <v>54</v>
      </c>
      <c r="Q726" t="s">
        <v>53</v>
      </c>
      <c r="R726" t="s">
        <v>53</v>
      </c>
      <c r="S726" t="s">
        <v>6200</v>
      </c>
      <c r="T726" t="s">
        <v>6200</v>
      </c>
      <c r="U726" t="s">
        <v>54</v>
      </c>
      <c r="V726" t="s">
        <v>138</v>
      </c>
      <c r="W726">
        <v>700000</v>
      </c>
      <c r="X726" t="s">
        <v>54</v>
      </c>
      <c r="AA726">
        <v>14</v>
      </c>
      <c r="AB726">
        <v>10</v>
      </c>
      <c r="AC726">
        <v>19</v>
      </c>
      <c r="AD726">
        <v>31</v>
      </c>
      <c r="AE726">
        <v>42</v>
      </c>
      <c r="AF726">
        <v>0</v>
      </c>
      <c r="AG726">
        <v>2</v>
      </c>
      <c r="AH726">
        <v>1.9619976282119751</v>
      </c>
      <c r="AI726">
        <v>2</v>
      </c>
      <c r="AJ726">
        <v>1.7737411260604861</v>
      </c>
      <c r="AK726" t="s">
        <v>54</v>
      </c>
      <c r="AL726" t="s">
        <v>53</v>
      </c>
      <c r="AQ726" t="s">
        <v>54</v>
      </c>
      <c r="AR726" t="s">
        <v>5778</v>
      </c>
      <c r="AT726" t="s">
        <v>5779</v>
      </c>
      <c r="AW726" t="s">
        <v>53</v>
      </c>
      <c r="AX726" t="s">
        <v>5450</v>
      </c>
      <c r="AZ726" t="s">
        <v>54</v>
      </c>
      <c r="BA726" t="s">
        <v>5780</v>
      </c>
    </row>
    <row r="727" spans="1:53" x14ac:dyDescent="0.25">
      <c r="A727">
        <v>722</v>
      </c>
      <c r="B727" t="s">
        <v>6201</v>
      </c>
      <c r="C727" t="s">
        <v>6202</v>
      </c>
      <c r="D727" t="s">
        <v>6038</v>
      </c>
      <c r="E727">
        <v>5</v>
      </c>
      <c r="F727" t="s">
        <v>5772</v>
      </c>
      <c r="G727" t="s">
        <v>5789</v>
      </c>
      <c r="H727" t="s">
        <v>5956</v>
      </c>
      <c r="I727" t="s">
        <v>6203</v>
      </c>
      <c r="J727" t="s">
        <v>6204</v>
      </c>
      <c r="K727" t="s">
        <v>6205</v>
      </c>
      <c r="L727" t="s">
        <v>6043</v>
      </c>
      <c r="M727">
        <v>16.533187866210941</v>
      </c>
      <c r="N727" t="s">
        <v>54</v>
      </c>
      <c r="O727" t="s">
        <v>53</v>
      </c>
      <c r="P727" t="s">
        <v>54</v>
      </c>
      <c r="Q727" t="s">
        <v>53</v>
      </c>
      <c r="R727" t="s">
        <v>53</v>
      </c>
      <c r="S727" t="s">
        <v>6206</v>
      </c>
      <c r="T727" t="s">
        <v>6206</v>
      </c>
      <c r="U727" t="s">
        <v>54</v>
      </c>
      <c r="V727" t="s">
        <v>138</v>
      </c>
      <c r="W727">
        <v>560000</v>
      </c>
      <c r="X727" t="s">
        <v>54</v>
      </c>
      <c r="AA727">
        <v>367</v>
      </c>
      <c r="AB727">
        <v>152</v>
      </c>
      <c r="AC727">
        <v>430</v>
      </c>
      <c r="AD727">
        <v>405</v>
      </c>
      <c r="AE727">
        <v>663</v>
      </c>
      <c r="AF727">
        <v>0</v>
      </c>
      <c r="AG727">
        <v>7</v>
      </c>
      <c r="AH727">
        <v>3.8827764987945561</v>
      </c>
      <c r="AI727">
        <v>7</v>
      </c>
      <c r="AJ727">
        <v>4.9887614250183114</v>
      </c>
      <c r="AK727" t="s">
        <v>54</v>
      </c>
      <c r="AL727" t="s">
        <v>53</v>
      </c>
      <c r="AQ727" t="s">
        <v>54</v>
      </c>
      <c r="AR727" t="s">
        <v>5450</v>
      </c>
      <c r="AT727" t="s">
        <v>5779</v>
      </c>
      <c r="AW727" t="s">
        <v>53</v>
      </c>
      <c r="AX727" t="s">
        <v>5450</v>
      </c>
      <c r="AZ727" t="s">
        <v>54</v>
      </c>
      <c r="BA727" t="s">
        <v>5780</v>
      </c>
    </row>
    <row r="728" spans="1:53" x14ac:dyDescent="0.25">
      <c r="A728">
        <v>723</v>
      </c>
      <c r="B728" t="s">
        <v>6207</v>
      </c>
      <c r="C728" t="s">
        <v>6208</v>
      </c>
      <c r="D728" t="s">
        <v>6038</v>
      </c>
      <c r="E728">
        <v>5</v>
      </c>
      <c r="F728" t="s">
        <v>5772</v>
      </c>
      <c r="G728" t="s">
        <v>5847</v>
      </c>
      <c r="H728" t="s">
        <v>6121</v>
      </c>
      <c r="I728" t="s">
        <v>6209</v>
      </c>
      <c r="J728" t="s">
        <v>6210</v>
      </c>
      <c r="K728" t="s">
        <v>6211</v>
      </c>
      <c r="L728" t="s">
        <v>6043</v>
      </c>
      <c r="M728">
        <v>5.8537063598632813</v>
      </c>
      <c r="N728" t="s">
        <v>54</v>
      </c>
      <c r="O728" t="s">
        <v>54</v>
      </c>
      <c r="P728" t="s">
        <v>53</v>
      </c>
      <c r="Q728" t="s">
        <v>53</v>
      </c>
      <c r="R728" t="s">
        <v>54</v>
      </c>
      <c r="S728" t="s">
        <v>6212</v>
      </c>
      <c r="T728" t="s">
        <v>6212</v>
      </c>
      <c r="U728" t="s">
        <v>54</v>
      </c>
      <c r="V728" t="s">
        <v>138</v>
      </c>
      <c r="W728">
        <v>240000</v>
      </c>
      <c r="X728" t="s">
        <v>54</v>
      </c>
      <c r="AA728">
        <v>381</v>
      </c>
      <c r="AB728">
        <v>163</v>
      </c>
      <c r="AC728">
        <v>477</v>
      </c>
      <c r="AD728">
        <v>804</v>
      </c>
      <c r="AE728">
        <v>1050</v>
      </c>
      <c r="AF728">
        <v>3</v>
      </c>
      <c r="AG728">
        <v>0</v>
      </c>
      <c r="AH728">
        <v>3.170716285705566</v>
      </c>
      <c r="AI728">
        <v>0</v>
      </c>
      <c r="AJ728">
        <v>0.89767789840698242</v>
      </c>
      <c r="AK728" t="s">
        <v>54</v>
      </c>
      <c r="AL728" t="s">
        <v>53</v>
      </c>
      <c r="AQ728" t="s">
        <v>54</v>
      </c>
      <c r="AR728" t="s">
        <v>5842</v>
      </c>
      <c r="AS728" s="148">
        <v>45292</v>
      </c>
      <c r="AT728" t="s">
        <v>5779</v>
      </c>
      <c r="AW728" t="s">
        <v>53</v>
      </c>
      <c r="AX728" t="s">
        <v>5450</v>
      </c>
      <c r="AZ728" t="s">
        <v>54</v>
      </c>
      <c r="BA728" t="s">
        <v>5780</v>
      </c>
    </row>
    <row r="729" spans="1:53" x14ac:dyDescent="0.25">
      <c r="A729">
        <v>724</v>
      </c>
      <c r="B729" t="s">
        <v>6213</v>
      </c>
      <c r="C729" t="s">
        <v>6214</v>
      </c>
      <c r="D729" t="s">
        <v>6038</v>
      </c>
      <c r="E729">
        <v>5</v>
      </c>
      <c r="F729" t="s">
        <v>5772</v>
      </c>
      <c r="G729" t="s">
        <v>5456</v>
      </c>
      <c r="H729" t="s">
        <v>6009</v>
      </c>
      <c r="I729" t="s">
        <v>6215</v>
      </c>
      <c r="J729" t="s">
        <v>6216</v>
      </c>
      <c r="K729" t="s">
        <v>6217</v>
      </c>
      <c r="L729" t="s">
        <v>6043</v>
      </c>
      <c r="M729">
        <v>10.544741630554199</v>
      </c>
      <c r="N729" t="s">
        <v>54</v>
      </c>
      <c r="O729" t="s">
        <v>53</v>
      </c>
      <c r="P729" t="s">
        <v>53</v>
      </c>
      <c r="Q729" t="s">
        <v>53</v>
      </c>
      <c r="R729" t="s">
        <v>54</v>
      </c>
      <c r="S729" t="s">
        <v>6218</v>
      </c>
      <c r="T729" t="s">
        <v>6218</v>
      </c>
      <c r="U729" t="s">
        <v>54</v>
      </c>
      <c r="V729" t="s">
        <v>138</v>
      </c>
      <c r="W729">
        <v>440000</v>
      </c>
      <c r="X729" t="s">
        <v>54</v>
      </c>
      <c r="AA729">
        <v>171</v>
      </c>
      <c r="AB729">
        <v>66</v>
      </c>
      <c r="AC729">
        <v>1093</v>
      </c>
      <c r="AD729">
        <v>621</v>
      </c>
      <c r="AE729">
        <v>1141</v>
      </c>
      <c r="AF729">
        <v>7</v>
      </c>
      <c r="AG729">
        <v>2</v>
      </c>
      <c r="AH729">
        <v>5.5198202133178711</v>
      </c>
      <c r="AI729">
        <v>2</v>
      </c>
      <c r="AJ729">
        <v>1.9578878879547119</v>
      </c>
      <c r="AK729" t="s">
        <v>54</v>
      </c>
      <c r="AL729" t="s">
        <v>53</v>
      </c>
      <c r="AQ729" t="s">
        <v>54</v>
      </c>
      <c r="AR729" t="s">
        <v>5450</v>
      </c>
      <c r="AT729" t="s">
        <v>5779</v>
      </c>
      <c r="AW729" t="s">
        <v>53</v>
      </c>
      <c r="AX729" t="s">
        <v>5450</v>
      </c>
      <c r="AZ729" t="s">
        <v>54</v>
      </c>
      <c r="BA729" t="s">
        <v>5780</v>
      </c>
    </row>
    <row r="730" spans="1:53" x14ac:dyDescent="0.25">
      <c r="A730">
        <v>725</v>
      </c>
      <c r="B730" t="s">
        <v>6219</v>
      </c>
      <c r="C730" t="s">
        <v>6220</v>
      </c>
      <c r="D730" t="s">
        <v>6038</v>
      </c>
      <c r="E730">
        <v>5</v>
      </c>
      <c r="F730" t="s">
        <v>5772</v>
      </c>
      <c r="G730" t="s">
        <v>5835</v>
      </c>
      <c r="H730" t="s">
        <v>6221</v>
      </c>
      <c r="I730" t="s">
        <v>6222</v>
      </c>
      <c r="J730" t="s">
        <v>6223</v>
      </c>
      <c r="K730" t="s">
        <v>6224</v>
      </c>
      <c r="L730" t="s">
        <v>6043</v>
      </c>
      <c r="M730">
        <v>7.7915358543395996</v>
      </c>
      <c r="N730" t="s">
        <v>54</v>
      </c>
      <c r="O730" t="s">
        <v>53</v>
      </c>
      <c r="P730" t="s">
        <v>53</v>
      </c>
      <c r="Q730" t="s">
        <v>53</v>
      </c>
      <c r="R730" t="s">
        <v>54</v>
      </c>
      <c r="S730" t="s">
        <v>6225</v>
      </c>
      <c r="T730" t="s">
        <v>6225</v>
      </c>
      <c r="U730" t="s">
        <v>54</v>
      </c>
      <c r="V730" t="s">
        <v>138</v>
      </c>
      <c r="W730">
        <v>320000</v>
      </c>
      <c r="X730" t="s">
        <v>54</v>
      </c>
      <c r="AA730">
        <v>88</v>
      </c>
      <c r="AB730">
        <v>68</v>
      </c>
      <c r="AC730">
        <v>616</v>
      </c>
      <c r="AD730">
        <v>240</v>
      </c>
      <c r="AE730">
        <v>778</v>
      </c>
      <c r="AF730">
        <v>2</v>
      </c>
      <c r="AG730">
        <v>3</v>
      </c>
      <c r="AH730">
        <v>2.2304811477661128</v>
      </c>
      <c r="AI730">
        <v>3</v>
      </c>
      <c r="AJ730">
        <v>1.210620522499084</v>
      </c>
      <c r="AK730" t="s">
        <v>54</v>
      </c>
      <c r="AL730" t="s">
        <v>54</v>
      </c>
      <c r="AM730" t="s">
        <v>6226</v>
      </c>
      <c r="AN730" s="148">
        <v>45168</v>
      </c>
      <c r="AO730" s="148">
        <v>45168</v>
      </c>
      <c r="AQ730" t="s">
        <v>54</v>
      </c>
      <c r="AR730" t="s">
        <v>6227</v>
      </c>
      <c r="AS730" s="148">
        <v>45168</v>
      </c>
      <c r="AT730" t="s">
        <v>5779</v>
      </c>
      <c r="AW730" t="s">
        <v>53</v>
      </c>
      <c r="AX730" t="s">
        <v>5450</v>
      </c>
      <c r="AZ730" t="s">
        <v>54</v>
      </c>
      <c r="BA730" t="s">
        <v>5780</v>
      </c>
    </row>
    <row r="731" spans="1:53" x14ac:dyDescent="0.25">
      <c r="A731">
        <v>726</v>
      </c>
      <c r="B731" t="s">
        <v>6228</v>
      </c>
      <c r="C731" t="s">
        <v>6229</v>
      </c>
      <c r="D731" t="s">
        <v>6038</v>
      </c>
      <c r="E731">
        <v>5</v>
      </c>
      <c r="F731" t="s">
        <v>5772</v>
      </c>
      <c r="G731" t="s">
        <v>5835</v>
      </c>
      <c r="H731" t="s">
        <v>6230</v>
      </c>
      <c r="I731" t="s">
        <v>6231</v>
      </c>
      <c r="J731" t="s">
        <v>6232</v>
      </c>
      <c r="K731" t="s">
        <v>6233</v>
      </c>
      <c r="L731" t="s">
        <v>6043</v>
      </c>
      <c r="M731">
        <v>10.583488464355471</v>
      </c>
      <c r="N731" t="s">
        <v>54</v>
      </c>
      <c r="O731" t="s">
        <v>53</v>
      </c>
      <c r="P731" t="s">
        <v>53</v>
      </c>
      <c r="Q731" t="s">
        <v>53</v>
      </c>
      <c r="R731" t="s">
        <v>54</v>
      </c>
      <c r="S731" t="s">
        <v>6234</v>
      </c>
      <c r="T731" t="s">
        <v>6234</v>
      </c>
      <c r="U731" t="s">
        <v>54</v>
      </c>
      <c r="V731" t="s">
        <v>138</v>
      </c>
      <c r="W731">
        <v>380000</v>
      </c>
      <c r="X731" t="s">
        <v>54</v>
      </c>
      <c r="AA731">
        <v>230</v>
      </c>
      <c r="AB731">
        <v>207</v>
      </c>
      <c r="AC731">
        <v>223</v>
      </c>
      <c r="AD731">
        <v>622</v>
      </c>
      <c r="AE731">
        <v>631</v>
      </c>
      <c r="AF731">
        <v>0</v>
      </c>
      <c r="AG731">
        <v>1</v>
      </c>
      <c r="AH731">
        <v>3.9168882369995122</v>
      </c>
      <c r="AI731">
        <v>1</v>
      </c>
      <c r="AJ731">
        <v>5.8457131385803223</v>
      </c>
      <c r="AK731" t="s">
        <v>54</v>
      </c>
      <c r="AL731" t="s">
        <v>54</v>
      </c>
      <c r="AM731" t="s">
        <v>5854</v>
      </c>
      <c r="AN731" s="148">
        <v>45264</v>
      </c>
      <c r="AO731" s="148">
        <v>45264</v>
      </c>
      <c r="AQ731" t="s">
        <v>54</v>
      </c>
      <c r="AR731" t="s">
        <v>6227</v>
      </c>
      <c r="AS731" s="148">
        <v>45264</v>
      </c>
      <c r="AT731" t="s">
        <v>5779</v>
      </c>
      <c r="AW731" t="s">
        <v>53</v>
      </c>
      <c r="AX731" t="s">
        <v>5450</v>
      </c>
      <c r="AZ731" t="s">
        <v>54</v>
      </c>
      <c r="BA731" t="s">
        <v>5780</v>
      </c>
    </row>
    <row r="732" spans="1:53" x14ac:dyDescent="0.25">
      <c r="A732">
        <v>727</v>
      </c>
      <c r="B732" t="s">
        <v>6235</v>
      </c>
      <c r="C732" t="s">
        <v>6236</v>
      </c>
      <c r="D732" t="s">
        <v>6038</v>
      </c>
      <c r="E732">
        <v>5</v>
      </c>
      <c r="F732" t="s">
        <v>5772</v>
      </c>
      <c r="G732" t="s">
        <v>5783</v>
      </c>
      <c r="H732" t="s">
        <v>5825</v>
      </c>
      <c r="I732" t="s">
        <v>5826</v>
      </c>
      <c r="J732" t="s">
        <v>5827</v>
      </c>
      <c r="K732" t="s">
        <v>5828</v>
      </c>
      <c r="L732" t="s">
        <v>6043</v>
      </c>
      <c r="M732">
        <v>35.010337829589837</v>
      </c>
      <c r="N732" t="s">
        <v>54</v>
      </c>
      <c r="O732" t="s">
        <v>53</v>
      </c>
      <c r="P732" t="s">
        <v>54</v>
      </c>
      <c r="Q732" t="s">
        <v>53</v>
      </c>
      <c r="R732" t="s">
        <v>54</v>
      </c>
      <c r="S732" t="s">
        <v>5830</v>
      </c>
      <c r="T732" t="s">
        <v>5830</v>
      </c>
      <c r="U732" t="s">
        <v>54</v>
      </c>
      <c r="V732" t="s">
        <v>138</v>
      </c>
      <c r="W732">
        <v>1000000</v>
      </c>
      <c r="X732" t="s">
        <v>54</v>
      </c>
      <c r="Y732" t="s">
        <v>6237</v>
      </c>
      <c r="Z732">
        <v>6220000</v>
      </c>
      <c r="AA732">
        <v>868</v>
      </c>
      <c r="AB732">
        <v>552</v>
      </c>
      <c r="AC732">
        <v>6004</v>
      </c>
      <c r="AD732">
        <v>2229</v>
      </c>
      <c r="AE732">
        <v>7464</v>
      </c>
      <c r="AF732">
        <v>5</v>
      </c>
      <c r="AG732">
        <v>12</v>
      </c>
      <c r="AH732">
        <v>23.343198776245121</v>
      </c>
      <c r="AI732">
        <v>12</v>
      </c>
      <c r="AJ732">
        <v>3.234074592590332</v>
      </c>
      <c r="AK732" t="s">
        <v>54</v>
      </c>
      <c r="AL732" t="s">
        <v>53</v>
      </c>
      <c r="AQ732" t="s">
        <v>54</v>
      </c>
      <c r="AR732" t="s">
        <v>5778</v>
      </c>
      <c r="AS732" s="148">
        <v>40179</v>
      </c>
      <c r="AT732" t="s">
        <v>5779</v>
      </c>
      <c r="AW732" t="s">
        <v>53</v>
      </c>
      <c r="AX732" t="s">
        <v>5450</v>
      </c>
      <c r="AZ732" t="s">
        <v>54</v>
      </c>
      <c r="BA732" t="s">
        <v>5780</v>
      </c>
    </row>
    <row r="733" spans="1:53" x14ac:dyDescent="0.25">
      <c r="A733">
        <v>728</v>
      </c>
      <c r="B733" t="s">
        <v>6238</v>
      </c>
      <c r="C733" t="s">
        <v>6239</v>
      </c>
      <c r="D733" t="s">
        <v>6038</v>
      </c>
      <c r="E733">
        <v>5</v>
      </c>
      <c r="F733" t="s">
        <v>5772</v>
      </c>
      <c r="G733" t="s">
        <v>5633</v>
      </c>
      <c r="H733" t="s">
        <v>6039</v>
      </c>
      <c r="I733" t="s">
        <v>6240</v>
      </c>
      <c r="J733" t="s">
        <v>6241</v>
      </c>
      <c r="K733" t="s">
        <v>6242</v>
      </c>
      <c r="L733" t="s">
        <v>6043</v>
      </c>
      <c r="M733">
        <v>10.470511436462401</v>
      </c>
      <c r="N733" t="s">
        <v>54</v>
      </c>
      <c r="O733" t="s">
        <v>53</v>
      </c>
      <c r="P733" t="s">
        <v>54</v>
      </c>
      <c r="Q733" t="s">
        <v>53</v>
      </c>
      <c r="R733" t="s">
        <v>53</v>
      </c>
      <c r="S733" t="s">
        <v>5648</v>
      </c>
      <c r="T733" t="s">
        <v>5648</v>
      </c>
      <c r="U733" t="s">
        <v>53</v>
      </c>
      <c r="V733" t="s">
        <v>138</v>
      </c>
      <c r="W733">
        <v>480000</v>
      </c>
      <c r="X733" t="s">
        <v>54</v>
      </c>
      <c r="AA733">
        <v>37</v>
      </c>
      <c r="AB733">
        <v>17</v>
      </c>
      <c r="AC733">
        <v>59</v>
      </c>
      <c r="AD733">
        <v>73</v>
      </c>
      <c r="AE733">
        <v>97</v>
      </c>
      <c r="AF733">
        <v>0</v>
      </c>
      <c r="AG733">
        <v>0</v>
      </c>
      <c r="AH733">
        <v>2.2799005508422852</v>
      </c>
      <c r="AI733">
        <v>0</v>
      </c>
      <c r="AJ733">
        <v>5.1774449348449707</v>
      </c>
      <c r="AK733" t="s">
        <v>54</v>
      </c>
      <c r="AL733" t="s">
        <v>53</v>
      </c>
      <c r="AQ733" t="s">
        <v>54</v>
      </c>
      <c r="AR733" t="s">
        <v>5778</v>
      </c>
      <c r="AT733" t="s">
        <v>5779</v>
      </c>
      <c r="AW733" t="s">
        <v>53</v>
      </c>
      <c r="AX733" t="s">
        <v>5450</v>
      </c>
      <c r="AZ733" t="s">
        <v>54</v>
      </c>
      <c r="BA733" t="s">
        <v>5780</v>
      </c>
    </row>
    <row r="734" spans="1:53" x14ac:dyDescent="0.25">
      <c r="A734">
        <v>729</v>
      </c>
      <c r="B734" t="s">
        <v>6243</v>
      </c>
      <c r="C734" t="s">
        <v>6244</v>
      </c>
      <c r="D734" t="s">
        <v>6038</v>
      </c>
      <c r="E734">
        <v>5</v>
      </c>
      <c r="F734" t="s">
        <v>5772</v>
      </c>
      <c r="G734" t="s">
        <v>5847</v>
      </c>
      <c r="H734" t="s">
        <v>6245</v>
      </c>
      <c r="I734" t="s">
        <v>6246</v>
      </c>
      <c r="J734" t="s">
        <v>6247</v>
      </c>
      <c r="K734" t="s">
        <v>6248</v>
      </c>
      <c r="L734" t="s">
        <v>6043</v>
      </c>
      <c r="M734">
        <v>85.101234436035156</v>
      </c>
      <c r="N734" t="s">
        <v>54</v>
      </c>
      <c r="O734" t="s">
        <v>54</v>
      </c>
      <c r="P734" t="s">
        <v>53</v>
      </c>
      <c r="Q734" t="s">
        <v>53</v>
      </c>
      <c r="R734" t="s">
        <v>54</v>
      </c>
      <c r="S734" t="s">
        <v>6249</v>
      </c>
      <c r="T734" t="s">
        <v>6249</v>
      </c>
      <c r="U734" t="s">
        <v>54</v>
      </c>
      <c r="V734" t="s">
        <v>138</v>
      </c>
      <c r="W734">
        <v>600000</v>
      </c>
      <c r="X734" t="s">
        <v>54</v>
      </c>
      <c r="AA734">
        <v>2546</v>
      </c>
      <c r="AB734">
        <v>2102</v>
      </c>
      <c r="AC734">
        <v>7759</v>
      </c>
      <c r="AD734">
        <v>7403</v>
      </c>
      <c r="AE734">
        <v>12713</v>
      </c>
      <c r="AF734">
        <v>16</v>
      </c>
      <c r="AG734">
        <v>4</v>
      </c>
      <c r="AH734">
        <v>55.206886291503913</v>
      </c>
      <c r="AI734">
        <v>4</v>
      </c>
      <c r="AJ734">
        <v>120.3588943481445</v>
      </c>
      <c r="AK734" t="s">
        <v>54</v>
      </c>
      <c r="AL734" t="s">
        <v>54</v>
      </c>
      <c r="AM734" t="s">
        <v>6250</v>
      </c>
      <c r="AN734" s="148">
        <v>43466</v>
      </c>
      <c r="AO734" s="148">
        <v>43466</v>
      </c>
      <c r="AQ734" t="s">
        <v>54</v>
      </c>
      <c r="AR734" t="s">
        <v>6251</v>
      </c>
      <c r="AS734" s="148">
        <v>45292</v>
      </c>
      <c r="AT734" t="s">
        <v>5779</v>
      </c>
      <c r="AW734" t="s">
        <v>53</v>
      </c>
      <c r="AZ734" t="s">
        <v>54</v>
      </c>
      <c r="BA734" t="s">
        <v>5780</v>
      </c>
    </row>
    <row r="735" spans="1:53" x14ac:dyDescent="0.25">
      <c r="A735">
        <v>730</v>
      </c>
      <c r="B735" t="s">
        <v>6252</v>
      </c>
      <c r="C735" t="s">
        <v>6253</v>
      </c>
      <c r="D735" t="s">
        <v>6038</v>
      </c>
      <c r="E735">
        <v>5</v>
      </c>
      <c r="F735" t="s">
        <v>5772</v>
      </c>
      <c r="G735" t="s">
        <v>5847</v>
      </c>
      <c r="H735" t="s">
        <v>5886</v>
      </c>
      <c r="I735" t="s">
        <v>5887</v>
      </c>
      <c r="J735" t="s">
        <v>5888</v>
      </c>
      <c r="K735" t="s">
        <v>5889</v>
      </c>
      <c r="L735" t="s">
        <v>6101</v>
      </c>
      <c r="M735">
        <v>954.14312744140625</v>
      </c>
      <c r="N735" t="s">
        <v>54</v>
      </c>
      <c r="O735" t="s">
        <v>54</v>
      </c>
      <c r="P735" t="s">
        <v>53</v>
      </c>
      <c r="Q735" t="s">
        <v>53</v>
      </c>
      <c r="R735" t="s">
        <v>54</v>
      </c>
      <c r="S735" t="s">
        <v>5890</v>
      </c>
      <c r="T735" t="s">
        <v>5890</v>
      </c>
      <c r="U735" t="s">
        <v>54</v>
      </c>
      <c r="V735" t="s">
        <v>138</v>
      </c>
      <c r="W735">
        <v>1100000</v>
      </c>
      <c r="X735" t="s">
        <v>54</v>
      </c>
      <c r="AA735">
        <v>12869</v>
      </c>
      <c r="AB735">
        <v>9726</v>
      </c>
      <c r="AC735">
        <v>23054</v>
      </c>
      <c r="AD735">
        <v>26027</v>
      </c>
      <c r="AE735">
        <v>40765</v>
      </c>
      <c r="AF735">
        <v>316</v>
      </c>
      <c r="AG735">
        <v>22</v>
      </c>
      <c r="AH735">
        <v>473.79605102539063</v>
      </c>
      <c r="AI735">
        <v>22</v>
      </c>
      <c r="AJ735">
        <v>33019.37890625</v>
      </c>
      <c r="AK735" t="s">
        <v>54</v>
      </c>
      <c r="AL735" t="s">
        <v>54</v>
      </c>
      <c r="AM735" t="s">
        <v>5821</v>
      </c>
      <c r="AN735" s="148">
        <v>45292</v>
      </c>
      <c r="AO735" s="148">
        <v>45292</v>
      </c>
      <c r="AQ735" t="s">
        <v>54</v>
      </c>
      <c r="AR735" t="s">
        <v>5813</v>
      </c>
      <c r="AS735" s="148">
        <v>45292</v>
      </c>
      <c r="AT735" t="s">
        <v>5779</v>
      </c>
      <c r="AW735" t="s">
        <v>53</v>
      </c>
      <c r="AZ735" t="s">
        <v>54</v>
      </c>
      <c r="BA735" t="s">
        <v>5780</v>
      </c>
    </row>
    <row r="736" spans="1:53" x14ac:dyDescent="0.25">
      <c r="A736">
        <v>731</v>
      </c>
      <c r="B736" t="s">
        <v>6254</v>
      </c>
      <c r="C736" t="s">
        <v>6255</v>
      </c>
      <c r="D736" t="s">
        <v>6256</v>
      </c>
      <c r="E736">
        <v>5</v>
      </c>
      <c r="F736" t="s">
        <v>5772</v>
      </c>
      <c r="G736" t="s">
        <v>5847</v>
      </c>
      <c r="H736" t="s">
        <v>5848</v>
      </c>
      <c r="I736" t="s">
        <v>5894</v>
      </c>
      <c r="J736" t="s">
        <v>5895</v>
      </c>
      <c r="K736" t="s">
        <v>5896</v>
      </c>
      <c r="L736" t="s">
        <v>5852</v>
      </c>
      <c r="M736">
        <v>5.933782085776329E-2</v>
      </c>
      <c r="N736" t="s">
        <v>54</v>
      </c>
      <c r="O736" t="s">
        <v>53</v>
      </c>
      <c r="P736" t="s">
        <v>53</v>
      </c>
      <c r="Q736" t="s">
        <v>53</v>
      </c>
      <c r="R736" t="s">
        <v>53</v>
      </c>
      <c r="S736" t="s">
        <v>5897</v>
      </c>
      <c r="T736" t="s">
        <v>5897</v>
      </c>
      <c r="U736" t="s">
        <v>54</v>
      </c>
      <c r="V736" t="s">
        <v>51</v>
      </c>
      <c r="W736">
        <v>250000</v>
      </c>
      <c r="X736" t="s">
        <v>54</v>
      </c>
      <c r="Y736" t="s">
        <v>3811</v>
      </c>
      <c r="AA736">
        <v>0</v>
      </c>
      <c r="AB736">
        <v>0</v>
      </c>
      <c r="AC736">
        <v>0</v>
      </c>
      <c r="AD736">
        <v>0</v>
      </c>
      <c r="AE736">
        <v>0</v>
      </c>
      <c r="AF736">
        <v>0</v>
      </c>
      <c r="AG736">
        <v>0</v>
      </c>
      <c r="AH736">
        <v>0</v>
      </c>
      <c r="AI736">
        <v>0</v>
      </c>
      <c r="AJ736">
        <v>0</v>
      </c>
      <c r="AK736" t="s">
        <v>54</v>
      </c>
      <c r="AL736" t="s">
        <v>53</v>
      </c>
      <c r="AQ736" t="s">
        <v>54</v>
      </c>
      <c r="AR736" t="s">
        <v>5842</v>
      </c>
      <c r="AS736" s="148">
        <v>45292</v>
      </c>
      <c r="AT736" t="s">
        <v>5898</v>
      </c>
      <c r="AW736" t="s">
        <v>53</v>
      </c>
      <c r="AZ736" t="s">
        <v>54</v>
      </c>
      <c r="BA736" t="s">
        <v>5780</v>
      </c>
    </row>
    <row r="737" spans="1:53" x14ac:dyDescent="0.25">
      <c r="A737">
        <v>732</v>
      </c>
      <c r="B737" t="s">
        <v>6257</v>
      </c>
      <c r="C737" t="s">
        <v>6258</v>
      </c>
      <c r="D737" t="s">
        <v>6256</v>
      </c>
      <c r="E737">
        <v>5</v>
      </c>
      <c r="F737" t="s">
        <v>5772</v>
      </c>
      <c r="G737" t="s">
        <v>5847</v>
      </c>
      <c r="H737" t="s">
        <v>5848</v>
      </c>
      <c r="I737" t="s">
        <v>5894</v>
      </c>
      <c r="J737" t="s">
        <v>5895</v>
      </c>
      <c r="K737" t="s">
        <v>5896</v>
      </c>
      <c r="L737" t="s">
        <v>5852</v>
      </c>
      <c r="M737">
        <v>6.0788471251726151E-2</v>
      </c>
      <c r="N737" t="s">
        <v>54</v>
      </c>
      <c r="O737" t="s">
        <v>53</v>
      </c>
      <c r="P737" t="s">
        <v>53</v>
      </c>
      <c r="Q737" t="s">
        <v>53</v>
      </c>
      <c r="R737" t="s">
        <v>53</v>
      </c>
      <c r="S737" t="s">
        <v>5897</v>
      </c>
      <c r="T737" t="s">
        <v>5897</v>
      </c>
      <c r="U737" t="s">
        <v>54</v>
      </c>
      <c r="V737" t="s">
        <v>51</v>
      </c>
      <c r="W737">
        <v>100000</v>
      </c>
      <c r="X737" t="s">
        <v>54</v>
      </c>
      <c r="Y737" t="s">
        <v>3811</v>
      </c>
      <c r="AA737">
        <v>1</v>
      </c>
      <c r="AB737">
        <v>0</v>
      </c>
      <c r="AC737">
        <v>95</v>
      </c>
      <c r="AD737">
        <v>95</v>
      </c>
      <c r="AE737">
        <v>95</v>
      </c>
      <c r="AF737">
        <v>0</v>
      </c>
      <c r="AG737">
        <v>0</v>
      </c>
      <c r="AH737">
        <v>4.7617871314287193E-2</v>
      </c>
      <c r="AI737">
        <v>0</v>
      </c>
      <c r="AJ737">
        <v>0.2223948389291763</v>
      </c>
      <c r="AK737" t="s">
        <v>54</v>
      </c>
      <c r="AL737" t="s">
        <v>53</v>
      </c>
      <c r="AQ737" t="s">
        <v>54</v>
      </c>
      <c r="AR737" t="s">
        <v>5842</v>
      </c>
      <c r="AS737" s="148">
        <v>45292</v>
      </c>
      <c r="AT737" t="s">
        <v>5898</v>
      </c>
      <c r="AW737" t="s">
        <v>53</v>
      </c>
      <c r="AZ737" t="s">
        <v>54</v>
      </c>
      <c r="BA737" t="s">
        <v>5780</v>
      </c>
    </row>
    <row r="738" spans="1:53" x14ac:dyDescent="0.25">
      <c r="A738">
        <v>733</v>
      </c>
      <c r="B738" t="s">
        <v>6259</v>
      </c>
      <c r="C738" t="s">
        <v>6260</v>
      </c>
      <c r="D738" t="s">
        <v>6256</v>
      </c>
      <c r="E738">
        <v>5</v>
      </c>
      <c r="F738" t="s">
        <v>5772</v>
      </c>
      <c r="G738" t="s">
        <v>5847</v>
      </c>
      <c r="H738" t="s">
        <v>5848</v>
      </c>
      <c r="I738" t="s">
        <v>5894</v>
      </c>
      <c r="J738" t="s">
        <v>5895</v>
      </c>
      <c r="K738" t="s">
        <v>5896</v>
      </c>
      <c r="L738" t="s">
        <v>5852</v>
      </c>
      <c r="M738">
        <v>1.0729631185531621</v>
      </c>
      <c r="N738" t="s">
        <v>54</v>
      </c>
      <c r="O738" t="s">
        <v>53</v>
      </c>
      <c r="P738" t="s">
        <v>53</v>
      </c>
      <c r="Q738" t="s">
        <v>53</v>
      </c>
      <c r="R738" t="s">
        <v>53</v>
      </c>
      <c r="S738" t="s">
        <v>5897</v>
      </c>
      <c r="T738" t="s">
        <v>5897</v>
      </c>
      <c r="U738" t="s">
        <v>54</v>
      </c>
      <c r="V738" t="s">
        <v>51</v>
      </c>
      <c r="W738">
        <v>100000</v>
      </c>
      <c r="X738" t="s">
        <v>54</v>
      </c>
      <c r="Y738" t="s">
        <v>3811</v>
      </c>
      <c r="AA738">
        <v>0</v>
      </c>
      <c r="AB738">
        <v>0</v>
      </c>
      <c r="AC738">
        <v>0</v>
      </c>
      <c r="AD738">
        <v>0</v>
      </c>
      <c r="AE738">
        <v>0</v>
      </c>
      <c r="AF738">
        <v>0</v>
      </c>
      <c r="AG738">
        <v>0</v>
      </c>
      <c r="AH738">
        <v>0</v>
      </c>
      <c r="AI738">
        <v>0</v>
      </c>
      <c r="AJ738">
        <v>0</v>
      </c>
      <c r="AK738" t="s">
        <v>54</v>
      </c>
      <c r="AL738" t="s">
        <v>53</v>
      </c>
      <c r="AQ738" t="s">
        <v>54</v>
      </c>
      <c r="AR738" t="s">
        <v>5842</v>
      </c>
      <c r="AS738" s="148">
        <v>45292</v>
      </c>
      <c r="AT738" t="s">
        <v>5898</v>
      </c>
      <c r="AW738" t="s">
        <v>53</v>
      </c>
      <c r="AZ738" t="s">
        <v>54</v>
      </c>
      <c r="BA738" t="s">
        <v>5780</v>
      </c>
    </row>
    <row r="739" spans="1:53" x14ac:dyDescent="0.25">
      <c r="A739">
        <v>734</v>
      </c>
      <c r="B739" t="s">
        <v>6261</v>
      </c>
      <c r="C739" t="s">
        <v>6262</v>
      </c>
      <c r="D739" t="s">
        <v>6256</v>
      </c>
      <c r="E739">
        <v>5</v>
      </c>
      <c r="F739" t="s">
        <v>5772</v>
      </c>
      <c r="G739" t="s">
        <v>5847</v>
      </c>
      <c r="H739" t="s">
        <v>5848</v>
      </c>
      <c r="I739" t="s">
        <v>5894</v>
      </c>
      <c r="J739" t="s">
        <v>5895</v>
      </c>
      <c r="K739" t="s">
        <v>5896</v>
      </c>
      <c r="L739" t="s">
        <v>5852</v>
      </c>
      <c r="M739">
        <v>4.8639507293701172</v>
      </c>
      <c r="N739" t="s">
        <v>54</v>
      </c>
      <c r="O739" t="s">
        <v>53</v>
      </c>
      <c r="P739" t="s">
        <v>53</v>
      </c>
      <c r="Q739" t="s">
        <v>53</v>
      </c>
      <c r="R739" t="s">
        <v>53</v>
      </c>
      <c r="S739" t="s">
        <v>5897</v>
      </c>
      <c r="T739" t="s">
        <v>5897</v>
      </c>
      <c r="U739" t="s">
        <v>54</v>
      </c>
      <c r="V739" t="s">
        <v>51</v>
      </c>
      <c r="W739">
        <v>100000</v>
      </c>
      <c r="X739" t="s">
        <v>54</v>
      </c>
      <c r="Y739" t="s">
        <v>3811</v>
      </c>
      <c r="AA739">
        <v>207</v>
      </c>
      <c r="AB739">
        <v>200</v>
      </c>
      <c r="AC739">
        <v>126</v>
      </c>
      <c r="AD739">
        <v>387</v>
      </c>
      <c r="AE739">
        <v>397</v>
      </c>
      <c r="AF739">
        <v>0</v>
      </c>
      <c r="AG739">
        <v>0</v>
      </c>
      <c r="AH739">
        <v>2.9959831237792969</v>
      </c>
      <c r="AI739">
        <v>0</v>
      </c>
      <c r="AJ739">
        <v>3.2005231380462651</v>
      </c>
      <c r="AK739" t="s">
        <v>54</v>
      </c>
      <c r="AL739" t="s">
        <v>53</v>
      </c>
      <c r="AQ739" t="s">
        <v>54</v>
      </c>
      <c r="AR739" t="s">
        <v>5842</v>
      </c>
      <c r="AS739" s="148">
        <v>45292</v>
      </c>
      <c r="AT739" t="s">
        <v>5898</v>
      </c>
      <c r="AW739" t="s">
        <v>53</v>
      </c>
      <c r="AZ739" t="s">
        <v>54</v>
      </c>
      <c r="BA739" t="s">
        <v>5780</v>
      </c>
    </row>
    <row r="740" spans="1:53" x14ac:dyDescent="0.25">
      <c r="A740">
        <v>735</v>
      </c>
      <c r="B740" t="s">
        <v>6263</v>
      </c>
      <c r="C740" t="s">
        <v>6264</v>
      </c>
      <c r="D740" t="s">
        <v>6256</v>
      </c>
      <c r="E740">
        <v>5</v>
      </c>
      <c r="F740" t="s">
        <v>5772</v>
      </c>
      <c r="G740" t="s">
        <v>5847</v>
      </c>
      <c r="H740" t="s">
        <v>5848</v>
      </c>
      <c r="I740" t="s">
        <v>6265</v>
      </c>
      <c r="J740" t="s">
        <v>6266</v>
      </c>
      <c r="K740" t="s">
        <v>6267</v>
      </c>
      <c r="L740" t="s">
        <v>5852</v>
      </c>
      <c r="M740">
        <v>11.839224815368651</v>
      </c>
      <c r="N740" t="s">
        <v>54</v>
      </c>
      <c r="O740" t="s">
        <v>54</v>
      </c>
      <c r="P740" t="s">
        <v>53</v>
      </c>
      <c r="Q740" t="s">
        <v>53</v>
      </c>
      <c r="R740" t="s">
        <v>54</v>
      </c>
      <c r="S740" t="s">
        <v>5897</v>
      </c>
      <c r="T740" t="s">
        <v>5897</v>
      </c>
      <c r="U740" t="s">
        <v>54</v>
      </c>
      <c r="V740" t="s">
        <v>51</v>
      </c>
      <c r="W740">
        <v>100000</v>
      </c>
      <c r="X740" t="s">
        <v>54</v>
      </c>
      <c r="Y740" t="s">
        <v>3811</v>
      </c>
      <c r="AA740">
        <v>511</v>
      </c>
      <c r="AB740">
        <v>250</v>
      </c>
      <c r="AC740">
        <v>714</v>
      </c>
      <c r="AD740">
        <v>981</v>
      </c>
      <c r="AE740">
        <v>1418</v>
      </c>
      <c r="AF740">
        <v>0</v>
      </c>
      <c r="AG740">
        <v>0</v>
      </c>
      <c r="AH740">
        <v>9.8849945068359375</v>
      </c>
      <c r="AI740">
        <v>0</v>
      </c>
      <c r="AJ740">
        <v>63.746726989746087</v>
      </c>
      <c r="AK740" t="s">
        <v>54</v>
      </c>
      <c r="AL740" t="s">
        <v>53</v>
      </c>
      <c r="AQ740" t="s">
        <v>54</v>
      </c>
      <c r="AR740" t="s">
        <v>5842</v>
      </c>
      <c r="AS740" s="148">
        <v>45292</v>
      </c>
      <c r="AT740" t="s">
        <v>5898</v>
      </c>
      <c r="AW740" t="s">
        <v>53</v>
      </c>
      <c r="AZ740" t="s">
        <v>54</v>
      </c>
      <c r="BA740" t="s">
        <v>5780</v>
      </c>
    </row>
    <row r="741" spans="1:53" x14ac:dyDescent="0.25">
      <c r="A741">
        <v>736</v>
      </c>
      <c r="B741" t="s">
        <v>6268</v>
      </c>
      <c r="C741" t="s">
        <v>6269</v>
      </c>
      <c r="D741" t="s">
        <v>6256</v>
      </c>
      <c r="E741">
        <v>5</v>
      </c>
      <c r="F741" t="s">
        <v>5772</v>
      </c>
      <c r="G741" t="s">
        <v>5847</v>
      </c>
      <c r="H741" t="s">
        <v>5848</v>
      </c>
      <c r="I741" t="s">
        <v>5894</v>
      </c>
      <c r="J741" t="s">
        <v>5895</v>
      </c>
      <c r="K741" t="s">
        <v>5896</v>
      </c>
      <c r="L741" t="s">
        <v>5852</v>
      </c>
      <c r="M741">
        <v>5.6498723030090332</v>
      </c>
      <c r="N741" t="s">
        <v>54</v>
      </c>
      <c r="O741" t="s">
        <v>53</v>
      </c>
      <c r="P741" t="s">
        <v>53</v>
      </c>
      <c r="Q741" t="s">
        <v>53</v>
      </c>
      <c r="R741" t="s">
        <v>54</v>
      </c>
      <c r="S741" t="s">
        <v>5897</v>
      </c>
      <c r="T741" t="s">
        <v>5897</v>
      </c>
      <c r="U741" t="s">
        <v>54</v>
      </c>
      <c r="V741" t="s">
        <v>51</v>
      </c>
      <c r="W741">
        <v>100000</v>
      </c>
      <c r="X741" t="s">
        <v>54</v>
      </c>
      <c r="Y741" t="s">
        <v>3811</v>
      </c>
      <c r="AA741">
        <v>36</v>
      </c>
      <c r="AB741">
        <v>19</v>
      </c>
      <c r="AC741">
        <v>528</v>
      </c>
      <c r="AD741">
        <v>0</v>
      </c>
      <c r="AE741">
        <v>528</v>
      </c>
      <c r="AF741">
        <v>0</v>
      </c>
      <c r="AG741">
        <v>0</v>
      </c>
      <c r="AH741">
        <v>1.764595627784729</v>
      </c>
      <c r="AI741">
        <v>0</v>
      </c>
      <c r="AJ741">
        <v>1.333173871040344</v>
      </c>
      <c r="AK741" t="s">
        <v>54</v>
      </c>
      <c r="AL741" t="s">
        <v>53</v>
      </c>
      <c r="AQ741" t="s">
        <v>54</v>
      </c>
      <c r="AR741" t="s">
        <v>5842</v>
      </c>
      <c r="AS741" s="148">
        <v>45292</v>
      </c>
      <c r="AT741" t="s">
        <v>5898</v>
      </c>
      <c r="AW741" t="s">
        <v>53</v>
      </c>
      <c r="AX741" t="s">
        <v>5450</v>
      </c>
      <c r="AZ741" t="s">
        <v>54</v>
      </c>
      <c r="BA741" t="s">
        <v>5780</v>
      </c>
    </row>
    <row r="742" spans="1:53" x14ac:dyDescent="0.25">
      <c r="A742">
        <v>737</v>
      </c>
      <c r="B742" t="s">
        <v>6270</v>
      </c>
      <c r="C742" t="s">
        <v>6271</v>
      </c>
      <c r="D742" t="s">
        <v>6256</v>
      </c>
      <c r="E742">
        <v>5</v>
      </c>
      <c r="F742" t="s">
        <v>5772</v>
      </c>
      <c r="G742" t="s">
        <v>5847</v>
      </c>
      <c r="H742" t="s">
        <v>5848</v>
      </c>
      <c r="I742" t="s">
        <v>5894</v>
      </c>
      <c r="J742" t="s">
        <v>5895</v>
      </c>
      <c r="K742" t="s">
        <v>5896</v>
      </c>
      <c r="L742" t="s">
        <v>6272</v>
      </c>
      <c r="M742">
        <v>12.494138717651371</v>
      </c>
      <c r="N742" t="s">
        <v>54</v>
      </c>
      <c r="O742" t="s">
        <v>53</v>
      </c>
      <c r="P742" t="s">
        <v>53</v>
      </c>
      <c r="Q742" t="s">
        <v>53</v>
      </c>
      <c r="R742" t="s">
        <v>54</v>
      </c>
      <c r="S742" t="s">
        <v>5897</v>
      </c>
      <c r="T742" t="s">
        <v>5897</v>
      </c>
      <c r="U742" t="s">
        <v>54</v>
      </c>
      <c r="V742" t="s">
        <v>51</v>
      </c>
      <c r="W742">
        <v>100000</v>
      </c>
      <c r="X742" t="s">
        <v>54</v>
      </c>
      <c r="Y742" t="s">
        <v>3811</v>
      </c>
      <c r="AA742">
        <v>251</v>
      </c>
      <c r="AB742">
        <v>99</v>
      </c>
      <c r="AC742">
        <v>1008</v>
      </c>
      <c r="AD742">
        <v>891</v>
      </c>
      <c r="AE742">
        <v>1628</v>
      </c>
      <c r="AF742">
        <v>33</v>
      </c>
      <c r="AG742">
        <v>0</v>
      </c>
      <c r="AH742">
        <v>6.693272590637207</v>
      </c>
      <c r="AI742">
        <v>0</v>
      </c>
      <c r="AJ742">
        <v>163.9208679199219</v>
      </c>
      <c r="AK742" t="s">
        <v>54</v>
      </c>
      <c r="AL742" t="s">
        <v>53</v>
      </c>
      <c r="AQ742" t="s">
        <v>54</v>
      </c>
      <c r="AR742" t="s">
        <v>5842</v>
      </c>
      <c r="AS742" s="148">
        <v>45292</v>
      </c>
      <c r="AT742" t="s">
        <v>5898</v>
      </c>
      <c r="AW742" t="s">
        <v>53</v>
      </c>
      <c r="AZ742" t="s">
        <v>54</v>
      </c>
      <c r="BA742" t="s">
        <v>5780</v>
      </c>
    </row>
    <row r="743" spans="1:53" x14ac:dyDescent="0.25">
      <c r="A743">
        <v>738</v>
      </c>
      <c r="B743" t="s">
        <v>6273</v>
      </c>
      <c r="C743" t="s">
        <v>6274</v>
      </c>
      <c r="D743" t="s">
        <v>6256</v>
      </c>
      <c r="E743">
        <v>5</v>
      </c>
      <c r="F743" t="s">
        <v>5772</v>
      </c>
      <c r="G743" t="s">
        <v>5847</v>
      </c>
      <c r="H743" t="s">
        <v>5848</v>
      </c>
      <c r="I743" t="s">
        <v>6265</v>
      </c>
      <c r="J743" t="s">
        <v>6266</v>
      </c>
      <c r="K743" t="s">
        <v>6267</v>
      </c>
      <c r="L743" t="s">
        <v>5852</v>
      </c>
      <c r="M743">
        <v>11.84079551696777</v>
      </c>
      <c r="N743" t="s">
        <v>54</v>
      </c>
      <c r="O743" t="s">
        <v>54</v>
      </c>
      <c r="P743" t="s">
        <v>53</v>
      </c>
      <c r="Q743" t="s">
        <v>53</v>
      </c>
      <c r="R743" t="s">
        <v>54</v>
      </c>
      <c r="S743" t="s">
        <v>5897</v>
      </c>
      <c r="T743" t="s">
        <v>5897</v>
      </c>
      <c r="U743" t="s">
        <v>54</v>
      </c>
      <c r="V743" t="s">
        <v>51</v>
      </c>
      <c r="W743">
        <v>100000</v>
      </c>
      <c r="X743" t="s">
        <v>54</v>
      </c>
      <c r="Y743" t="s">
        <v>3811</v>
      </c>
      <c r="AA743">
        <v>511</v>
      </c>
      <c r="AB743">
        <v>250</v>
      </c>
      <c r="AC743">
        <v>714</v>
      </c>
      <c r="AD743">
        <v>981</v>
      </c>
      <c r="AE743">
        <v>1418</v>
      </c>
      <c r="AF743">
        <v>0</v>
      </c>
      <c r="AG743">
        <v>0</v>
      </c>
      <c r="AH743">
        <v>9.8907136917114258</v>
      </c>
      <c r="AI743">
        <v>0</v>
      </c>
      <c r="AJ743">
        <v>63.746726989746087</v>
      </c>
      <c r="AK743" t="s">
        <v>54</v>
      </c>
      <c r="AL743" t="s">
        <v>53</v>
      </c>
      <c r="AQ743" t="s">
        <v>54</v>
      </c>
      <c r="AR743" t="s">
        <v>5842</v>
      </c>
      <c r="AS743" s="148">
        <v>45292</v>
      </c>
      <c r="AT743" t="s">
        <v>5898</v>
      </c>
      <c r="AW743" t="s">
        <v>53</v>
      </c>
      <c r="AZ743" t="s">
        <v>54</v>
      </c>
      <c r="BA743" t="s">
        <v>5780</v>
      </c>
    </row>
    <row r="744" spans="1:53" x14ac:dyDescent="0.25">
      <c r="A744">
        <v>739</v>
      </c>
      <c r="B744" t="s">
        <v>6275</v>
      </c>
      <c r="C744" t="s">
        <v>6276</v>
      </c>
      <c r="D744" t="s">
        <v>6256</v>
      </c>
      <c r="E744">
        <v>5</v>
      </c>
      <c r="F744" t="s">
        <v>5772</v>
      </c>
      <c r="G744" t="s">
        <v>5847</v>
      </c>
      <c r="H744" t="s">
        <v>5848</v>
      </c>
      <c r="I744" t="s">
        <v>5894</v>
      </c>
      <c r="J744" t="s">
        <v>5895</v>
      </c>
      <c r="K744" t="s">
        <v>5896</v>
      </c>
      <c r="L744" t="s">
        <v>6272</v>
      </c>
      <c r="M744">
        <v>12.511356353759769</v>
      </c>
      <c r="N744" t="s">
        <v>54</v>
      </c>
      <c r="O744" t="s">
        <v>53</v>
      </c>
      <c r="P744" t="s">
        <v>53</v>
      </c>
      <c r="Q744" t="s">
        <v>53</v>
      </c>
      <c r="R744" t="s">
        <v>54</v>
      </c>
      <c r="S744" t="s">
        <v>5897</v>
      </c>
      <c r="T744" t="s">
        <v>5897</v>
      </c>
      <c r="U744" t="s">
        <v>54</v>
      </c>
      <c r="V744" t="s">
        <v>51</v>
      </c>
      <c r="W744">
        <v>100000</v>
      </c>
      <c r="X744" t="s">
        <v>54</v>
      </c>
      <c r="AA744">
        <v>251</v>
      </c>
      <c r="AB744">
        <v>99</v>
      </c>
      <c r="AC744">
        <v>1008</v>
      </c>
      <c r="AD744">
        <v>891</v>
      </c>
      <c r="AE744">
        <v>1628</v>
      </c>
      <c r="AF744">
        <v>33</v>
      </c>
      <c r="AG744">
        <v>0</v>
      </c>
      <c r="AH744">
        <v>6.693272590637207</v>
      </c>
      <c r="AI744">
        <v>0</v>
      </c>
      <c r="AJ744">
        <v>163.9208679199219</v>
      </c>
      <c r="AK744" t="s">
        <v>54</v>
      </c>
      <c r="AL744" t="s">
        <v>54</v>
      </c>
      <c r="AM744" t="s">
        <v>5821</v>
      </c>
      <c r="AN744" s="148">
        <v>45292</v>
      </c>
      <c r="AO744" s="148">
        <v>45292</v>
      </c>
      <c r="AQ744" t="s">
        <v>54</v>
      </c>
      <c r="AR744" t="s">
        <v>5842</v>
      </c>
      <c r="AS744" s="148">
        <v>45292</v>
      </c>
      <c r="AT744" t="s">
        <v>5898</v>
      </c>
      <c r="AW744" t="s">
        <v>53</v>
      </c>
      <c r="AZ744" t="s">
        <v>54</v>
      </c>
      <c r="BA744" t="s">
        <v>5780</v>
      </c>
    </row>
    <row r="745" spans="1:53" x14ac:dyDescent="0.25">
      <c r="A745">
        <v>740</v>
      </c>
      <c r="B745" t="s">
        <v>6277</v>
      </c>
      <c r="C745" t="s">
        <v>6278</v>
      </c>
      <c r="D745" t="s">
        <v>6279</v>
      </c>
      <c r="E745">
        <v>5</v>
      </c>
      <c r="F745" t="s">
        <v>5772</v>
      </c>
      <c r="G745" t="s">
        <v>5847</v>
      </c>
      <c r="H745" t="s">
        <v>5848</v>
      </c>
      <c r="I745" t="s">
        <v>6265</v>
      </c>
      <c r="J745" t="s">
        <v>6266</v>
      </c>
      <c r="K745" t="s">
        <v>6267</v>
      </c>
      <c r="L745" t="s">
        <v>5852</v>
      </c>
      <c r="M745">
        <v>8.4488410949707031</v>
      </c>
      <c r="N745" t="s">
        <v>54</v>
      </c>
      <c r="O745" t="s">
        <v>53</v>
      </c>
      <c r="P745" t="s">
        <v>53</v>
      </c>
      <c r="Q745" t="s">
        <v>53</v>
      </c>
      <c r="R745" t="s">
        <v>54</v>
      </c>
      <c r="S745" t="s">
        <v>5897</v>
      </c>
      <c r="T745" t="s">
        <v>5897</v>
      </c>
      <c r="U745" t="s">
        <v>54</v>
      </c>
      <c r="V745" t="s">
        <v>51</v>
      </c>
      <c r="W745">
        <v>100000</v>
      </c>
      <c r="X745" t="s">
        <v>54</v>
      </c>
      <c r="AA745">
        <v>0</v>
      </c>
      <c r="AB745">
        <v>0</v>
      </c>
      <c r="AC745">
        <v>0</v>
      </c>
      <c r="AD745">
        <v>0</v>
      </c>
      <c r="AE745">
        <v>0</v>
      </c>
      <c r="AF745">
        <v>0</v>
      </c>
      <c r="AG745">
        <v>0</v>
      </c>
      <c r="AH745">
        <v>1.1369032859802251</v>
      </c>
      <c r="AI745">
        <v>0</v>
      </c>
      <c r="AJ745">
        <v>477.0875244140625</v>
      </c>
      <c r="AK745" t="s">
        <v>54</v>
      </c>
      <c r="AL745" t="s">
        <v>54</v>
      </c>
      <c r="AM745" t="s">
        <v>5821</v>
      </c>
      <c r="AN745" s="148">
        <v>45292</v>
      </c>
      <c r="AO745" s="148">
        <v>45292</v>
      </c>
      <c r="AQ745" t="s">
        <v>54</v>
      </c>
      <c r="AR745" t="s">
        <v>5842</v>
      </c>
      <c r="AS745" s="148">
        <v>45292</v>
      </c>
      <c r="AT745" t="s">
        <v>5898</v>
      </c>
      <c r="AW745" t="s">
        <v>53</v>
      </c>
      <c r="AZ745" t="s">
        <v>54</v>
      </c>
      <c r="BA745" t="s">
        <v>5780</v>
      </c>
    </row>
    <row r="746" spans="1:53" x14ac:dyDescent="0.25">
      <c r="A746">
        <v>741</v>
      </c>
      <c r="B746" t="s">
        <v>6280</v>
      </c>
      <c r="C746" t="s">
        <v>6281</v>
      </c>
      <c r="D746" t="s">
        <v>6282</v>
      </c>
      <c r="E746">
        <v>5</v>
      </c>
      <c r="F746" t="s">
        <v>5772</v>
      </c>
      <c r="G746" t="s">
        <v>5847</v>
      </c>
      <c r="H746" t="s">
        <v>5848</v>
      </c>
      <c r="I746" t="s">
        <v>5894</v>
      </c>
      <c r="J746" t="s">
        <v>5895</v>
      </c>
      <c r="K746" t="s">
        <v>5896</v>
      </c>
      <c r="L746" t="s">
        <v>5852</v>
      </c>
      <c r="M746">
        <v>0.74343401193618774</v>
      </c>
      <c r="N746" t="s">
        <v>54</v>
      </c>
      <c r="O746" t="s">
        <v>53</v>
      </c>
      <c r="P746" t="s">
        <v>53</v>
      </c>
      <c r="Q746" t="s">
        <v>53</v>
      </c>
      <c r="R746" t="s">
        <v>54</v>
      </c>
      <c r="S746" t="s">
        <v>5897</v>
      </c>
      <c r="T746" t="s">
        <v>5897</v>
      </c>
      <c r="U746" t="s">
        <v>54</v>
      </c>
      <c r="V746" t="s">
        <v>51</v>
      </c>
      <c r="W746">
        <v>100000</v>
      </c>
      <c r="X746" t="s">
        <v>54</v>
      </c>
      <c r="AA746">
        <v>80</v>
      </c>
      <c r="AB746">
        <v>76</v>
      </c>
      <c r="AC746">
        <v>39</v>
      </c>
      <c r="AD746">
        <v>150</v>
      </c>
      <c r="AE746">
        <v>151</v>
      </c>
      <c r="AF746">
        <v>0</v>
      </c>
      <c r="AG746">
        <v>0</v>
      </c>
      <c r="AH746">
        <v>0.82020533084869385</v>
      </c>
      <c r="AI746">
        <v>0</v>
      </c>
      <c r="AJ746">
        <v>5.1550060510635383E-2</v>
      </c>
      <c r="AK746" t="s">
        <v>54</v>
      </c>
      <c r="AL746" t="s">
        <v>54</v>
      </c>
      <c r="AM746" t="s">
        <v>5821</v>
      </c>
      <c r="AN746" s="148">
        <v>45292</v>
      </c>
      <c r="AO746" s="148">
        <v>45292</v>
      </c>
      <c r="AQ746" t="s">
        <v>54</v>
      </c>
      <c r="AR746" t="s">
        <v>5842</v>
      </c>
      <c r="AS746" s="148">
        <v>45292</v>
      </c>
      <c r="AT746" t="s">
        <v>5898</v>
      </c>
      <c r="AW746" t="s">
        <v>53</v>
      </c>
      <c r="AZ746" t="s">
        <v>54</v>
      </c>
      <c r="BA746" t="s">
        <v>5780</v>
      </c>
    </row>
    <row r="747" spans="1:53" x14ac:dyDescent="0.25">
      <c r="A747">
        <v>742</v>
      </c>
      <c r="B747" t="s">
        <v>6283</v>
      </c>
      <c r="C747" t="s">
        <v>6284</v>
      </c>
      <c r="D747" t="s">
        <v>6285</v>
      </c>
      <c r="E747">
        <v>5</v>
      </c>
      <c r="F747" t="s">
        <v>5772</v>
      </c>
      <c r="G747" t="s">
        <v>5847</v>
      </c>
      <c r="H747" t="s">
        <v>6009</v>
      </c>
      <c r="I747" t="s">
        <v>6010</v>
      </c>
      <c r="J747" t="s">
        <v>6286</v>
      </c>
      <c r="K747" t="s">
        <v>6287</v>
      </c>
      <c r="L747" t="s">
        <v>5852</v>
      </c>
      <c r="M747">
        <v>1.6184636354446409</v>
      </c>
      <c r="N747" t="s">
        <v>54</v>
      </c>
      <c r="O747" t="s">
        <v>54</v>
      </c>
      <c r="P747" t="s">
        <v>53</v>
      </c>
      <c r="Q747" t="s">
        <v>53</v>
      </c>
      <c r="R747" t="s">
        <v>54</v>
      </c>
      <c r="S747" t="s">
        <v>5897</v>
      </c>
      <c r="T747" t="s">
        <v>5897</v>
      </c>
      <c r="U747" t="s">
        <v>54</v>
      </c>
      <c r="V747" t="s">
        <v>51</v>
      </c>
      <c r="W747">
        <v>100000</v>
      </c>
      <c r="X747" t="s">
        <v>54</v>
      </c>
      <c r="AA747">
        <v>6</v>
      </c>
      <c r="AB747">
        <v>0</v>
      </c>
      <c r="AC747">
        <v>33</v>
      </c>
      <c r="AD747">
        <v>0</v>
      </c>
      <c r="AE747">
        <v>33</v>
      </c>
      <c r="AF747">
        <v>6</v>
      </c>
      <c r="AG747">
        <v>0</v>
      </c>
      <c r="AH747">
        <v>0</v>
      </c>
      <c r="AI747">
        <v>0</v>
      </c>
      <c r="AJ747">
        <v>2.6983542442321782</v>
      </c>
      <c r="AK747" t="s">
        <v>54</v>
      </c>
      <c r="AL747" t="s">
        <v>54</v>
      </c>
      <c r="AM747" t="s">
        <v>5821</v>
      </c>
      <c r="AN747" s="148">
        <v>45292</v>
      </c>
      <c r="AO747" s="148">
        <v>45292</v>
      </c>
      <c r="AQ747" t="s">
        <v>54</v>
      </c>
      <c r="AR747" t="s">
        <v>5842</v>
      </c>
      <c r="AS747" s="148">
        <v>45292</v>
      </c>
      <c r="AT747" t="s">
        <v>5898</v>
      </c>
      <c r="AW747" t="s">
        <v>53</v>
      </c>
      <c r="AX747" t="s">
        <v>5450</v>
      </c>
      <c r="AZ747" t="s">
        <v>54</v>
      </c>
      <c r="BA747" t="s">
        <v>5780</v>
      </c>
    </row>
    <row r="748" spans="1:53" x14ac:dyDescent="0.25">
      <c r="A748">
        <v>743</v>
      </c>
      <c r="B748" t="s">
        <v>6288</v>
      </c>
      <c r="C748" t="s">
        <v>6289</v>
      </c>
      <c r="D748" t="s">
        <v>6290</v>
      </c>
      <c r="E748">
        <v>5</v>
      </c>
      <c r="F748" t="s">
        <v>5772</v>
      </c>
      <c r="G748" t="s">
        <v>5847</v>
      </c>
      <c r="H748" t="s">
        <v>5848</v>
      </c>
      <c r="I748" t="s">
        <v>6265</v>
      </c>
      <c r="J748" t="s">
        <v>6266</v>
      </c>
      <c r="K748" t="s">
        <v>6267</v>
      </c>
      <c r="L748" t="s">
        <v>5878</v>
      </c>
      <c r="M748">
        <v>11.84079551696777</v>
      </c>
      <c r="N748" t="s">
        <v>54</v>
      </c>
      <c r="O748" t="s">
        <v>54</v>
      </c>
      <c r="P748" t="s">
        <v>53</v>
      </c>
      <c r="Q748" t="s">
        <v>53</v>
      </c>
      <c r="R748" t="s">
        <v>54</v>
      </c>
      <c r="S748" t="s">
        <v>5897</v>
      </c>
      <c r="T748" t="s">
        <v>5897</v>
      </c>
      <c r="U748" t="s">
        <v>54</v>
      </c>
      <c r="V748" t="s">
        <v>51</v>
      </c>
      <c r="W748">
        <v>100000</v>
      </c>
      <c r="X748" t="s">
        <v>54</v>
      </c>
      <c r="AA748">
        <v>511</v>
      </c>
      <c r="AB748">
        <v>250</v>
      </c>
      <c r="AC748">
        <v>714</v>
      </c>
      <c r="AD748">
        <v>981</v>
      </c>
      <c r="AE748">
        <v>1418</v>
      </c>
      <c r="AF748">
        <v>0</v>
      </c>
      <c r="AG748">
        <v>0</v>
      </c>
      <c r="AH748">
        <v>9.8907136917114258</v>
      </c>
      <c r="AI748">
        <v>0</v>
      </c>
      <c r="AJ748">
        <v>63.746726989746087</v>
      </c>
      <c r="AK748" t="s">
        <v>54</v>
      </c>
      <c r="AL748" t="s">
        <v>54</v>
      </c>
      <c r="AM748" t="s">
        <v>5821</v>
      </c>
      <c r="AN748" s="148">
        <v>45292</v>
      </c>
      <c r="AO748" s="148">
        <v>45292</v>
      </c>
      <c r="AQ748" t="s">
        <v>54</v>
      </c>
      <c r="AR748" t="s">
        <v>5842</v>
      </c>
      <c r="AS748" s="148">
        <v>45292</v>
      </c>
      <c r="AT748" t="s">
        <v>5898</v>
      </c>
      <c r="AW748" t="s">
        <v>53</v>
      </c>
      <c r="AZ748" t="s">
        <v>54</v>
      </c>
      <c r="BA748" t="s">
        <v>5780</v>
      </c>
    </row>
    <row r="749" spans="1:53" x14ac:dyDescent="0.25">
      <c r="A749">
        <v>744</v>
      </c>
      <c r="B749" t="s">
        <v>6291</v>
      </c>
      <c r="C749" t="s">
        <v>6292</v>
      </c>
      <c r="D749" t="s">
        <v>6293</v>
      </c>
      <c r="E749">
        <v>5</v>
      </c>
      <c r="F749" t="s">
        <v>5772</v>
      </c>
      <c r="G749" t="s">
        <v>5847</v>
      </c>
      <c r="H749" t="s">
        <v>5848</v>
      </c>
      <c r="I749" t="s">
        <v>5894</v>
      </c>
      <c r="J749" t="s">
        <v>5895</v>
      </c>
      <c r="K749" t="s">
        <v>5896</v>
      </c>
      <c r="L749" t="s">
        <v>5852</v>
      </c>
      <c r="M749">
        <v>12.511356353759769</v>
      </c>
      <c r="N749" t="s">
        <v>54</v>
      </c>
      <c r="O749" t="s">
        <v>53</v>
      </c>
      <c r="P749" t="s">
        <v>53</v>
      </c>
      <c r="Q749" t="s">
        <v>53</v>
      </c>
      <c r="R749" t="s">
        <v>54</v>
      </c>
      <c r="S749" t="s">
        <v>5897</v>
      </c>
      <c r="T749" t="s">
        <v>5897</v>
      </c>
      <c r="U749" t="s">
        <v>54</v>
      </c>
      <c r="V749" t="s">
        <v>51</v>
      </c>
      <c r="W749">
        <v>100000</v>
      </c>
      <c r="X749" t="s">
        <v>54</v>
      </c>
      <c r="AA749">
        <v>251</v>
      </c>
      <c r="AB749">
        <v>99</v>
      </c>
      <c r="AC749">
        <v>1008</v>
      </c>
      <c r="AD749">
        <v>891</v>
      </c>
      <c r="AE749">
        <v>1628</v>
      </c>
      <c r="AF749">
        <v>33</v>
      </c>
      <c r="AG749">
        <v>0</v>
      </c>
      <c r="AH749">
        <v>6.693272590637207</v>
      </c>
      <c r="AI749">
        <v>0</v>
      </c>
      <c r="AJ749">
        <v>163.9208679199219</v>
      </c>
      <c r="AK749" t="s">
        <v>54</v>
      </c>
      <c r="AL749" t="s">
        <v>54</v>
      </c>
      <c r="AM749" t="s">
        <v>5821</v>
      </c>
      <c r="AN749" s="148">
        <v>45292</v>
      </c>
      <c r="AO749" s="148">
        <v>45292</v>
      </c>
      <c r="AQ749" t="s">
        <v>54</v>
      </c>
      <c r="AR749" t="s">
        <v>5842</v>
      </c>
      <c r="AS749" s="148">
        <v>45292</v>
      </c>
      <c r="AT749" t="s">
        <v>5898</v>
      </c>
      <c r="AW749" t="s">
        <v>53</v>
      </c>
      <c r="AZ749" t="s">
        <v>54</v>
      </c>
      <c r="BA749" t="s">
        <v>5780</v>
      </c>
    </row>
    <row r="750" spans="1:53" x14ac:dyDescent="0.25">
      <c r="A750">
        <v>745</v>
      </c>
      <c r="B750" t="s">
        <v>6294</v>
      </c>
      <c r="C750" t="s">
        <v>6295</v>
      </c>
      <c r="D750" t="s">
        <v>6296</v>
      </c>
      <c r="E750">
        <v>5</v>
      </c>
      <c r="F750" t="s">
        <v>5772</v>
      </c>
      <c r="G750" t="s">
        <v>5847</v>
      </c>
      <c r="H750" t="s">
        <v>5848</v>
      </c>
      <c r="I750" t="s">
        <v>5894</v>
      </c>
      <c r="J750" t="s">
        <v>5895</v>
      </c>
      <c r="K750" t="s">
        <v>5896</v>
      </c>
      <c r="L750" t="s">
        <v>5852</v>
      </c>
      <c r="M750">
        <v>6.4075675010681152</v>
      </c>
      <c r="N750" t="s">
        <v>54</v>
      </c>
      <c r="O750" t="s">
        <v>53</v>
      </c>
      <c r="P750" t="s">
        <v>53</v>
      </c>
      <c r="Q750" t="s">
        <v>53</v>
      </c>
      <c r="R750" t="s">
        <v>54</v>
      </c>
      <c r="S750" t="s">
        <v>5897</v>
      </c>
      <c r="T750" t="s">
        <v>5897</v>
      </c>
      <c r="U750" t="s">
        <v>54</v>
      </c>
      <c r="V750" t="s">
        <v>51</v>
      </c>
      <c r="W750">
        <v>100000</v>
      </c>
      <c r="X750" t="s">
        <v>54</v>
      </c>
      <c r="AA750">
        <v>876</v>
      </c>
      <c r="AB750">
        <v>741</v>
      </c>
      <c r="AC750">
        <v>2817</v>
      </c>
      <c r="AD750">
        <v>4603</v>
      </c>
      <c r="AE750">
        <v>5960</v>
      </c>
      <c r="AF750">
        <v>17</v>
      </c>
      <c r="AG750">
        <v>0</v>
      </c>
      <c r="AH750">
        <v>18.967891693115231</v>
      </c>
      <c r="AI750">
        <v>0</v>
      </c>
      <c r="AJ750">
        <v>8.2443151473999023</v>
      </c>
      <c r="AK750" t="s">
        <v>54</v>
      </c>
      <c r="AL750" t="s">
        <v>54</v>
      </c>
      <c r="AM750" t="s">
        <v>5821</v>
      </c>
      <c r="AN750" s="148">
        <v>45292</v>
      </c>
      <c r="AO750" s="148">
        <v>45292</v>
      </c>
      <c r="AQ750" t="s">
        <v>54</v>
      </c>
      <c r="AR750" t="s">
        <v>5842</v>
      </c>
      <c r="AS750" s="148">
        <v>45292</v>
      </c>
      <c r="AT750" t="s">
        <v>5898</v>
      </c>
      <c r="AW750" t="s">
        <v>53</v>
      </c>
      <c r="AZ750" t="s">
        <v>54</v>
      </c>
      <c r="BA750" t="s">
        <v>5780</v>
      </c>
    </row>
    <row r="751" spans="1:53" x14ac:dyDescent="0.25">
      <c r="A751">
        <v>746</v>
      </c>
      <c r="B751" t="s">
        <v>6297</v>
      </c>
      <c r="C751" t="s">
        <v>6298</v>
      </c>
      <c r="D751" t="s">
        <v>6299</v>
      </c>
      <c r="E751">
        <v>5</v>
      </c>
      <c r="F751" t="s">
        <v>5772</v>
      </c>
      <c r="G751" t="s">
        <v>5847</v>
      </c>
      <c r="H751" t="s">
        <v>6121</v>
      </c>
      <c r="I751" t="s">
        <v>6209</v>
      </c>
      <c r="J751" t="s">
        <v>6210</v>
      </c>
      <c r="K751" t="s">
        <v>6211</v>
      </c>
      <c r="L751" t="s">
        <v>5852</v>
      </c>
      <c r="M751">
        <v>6.1493015289306641</v>
      </c>
      <c r="N751" t="s">
        <v>54</v>
      </c>
      <c r="O751" t="s">
        <v>53</v>
      </c>
      <c r="P751" t="s">
        <v>53</v>
      </c>
      <c r="Q751" t="s">
        <v>53</v>
      </c>
      <c r="R751" t="s">
        <v>54</v>
      </c>
      <c r="S751" t="s">
        <v>5897</v>
      </c>
      <c r="T751" t="s">
        <v>5897</v>
      </c>
      <c r="U751" t="s">
        <v>54</v>
      </c>
      <c r="V751" t="s">
        <v>51</v>
      </c>
      <c r="W751">
        <v>100000</v>
      </c>
      <c r="X751" t="s">
        <v>54</v>
      </c>
      <c r="AA751">
        <v>147</v>
      </c>
      <c r="AB751">
        <v>111</v>
      </c>
      <c r="AC751">
        <v>822</v>
      </c>
      <c r="AD751">
        <v>555</v>
      </c>
      <c r="AE751">
        <v>1173</v>
      </c>
      <c r="AF751">
        <v>2</v>
      </c>
      <c r="AG751">
        <v>0</v>
      </c>
      <c r="AH751">
        <v>3.2148480415344238</v>
      </c>
      <c r="AI751">
        <v>0</v>
      </c>
      <c r="AJ751">
        <v>3.5390110015869141</v>
      </c>
      <c r="AK751" t="s">
        <v>54</v>
      </c>
      <c r="AL751" t="s">
        <v>54</v>
      </c>
      <c r="AM751" t="s">
        <v>5821</v>
      </c>
      <c r="AN751" s="148">
        <v>45292</v>
      </c>
      <c r="AO751" s="148">
        <v>45292</v>
      </c>
      <c r="AQ751" t="s">
        <v>54</v>
      </c>
      <c r="AR751" t="s">
        <v>5842</v>
      </c>
      <c r="AS751" s="148">
        <v>45292</v>
      </c>
      <c r="AT751" t="s">
        <v>5898</v>
      </c>
      <c r="AW751" t="s">
        <v>53</v>
      </c>
      <c r="AX751" t="s">
        <v>5450</v>
      </c>
      <c r="AZ751" t="s">
        <v>54</v>
      </c>
      <c r="BA751" t="s">
        <v>5780</v>
      </c>
    </row>
    <row r="752" spans="1:53" x14ac:dyDescent="0.25">
      <c r="A752">
        <v>747</v>
      </c>
      <c r="B752" t="s">
        <v>6300</v>
      </c>
      <c r="C752" t="s">
        <v>6301</v>
      </c>
      <c r="D752" t="s">
        <v>6302</v>
      </c>
      <c r="E752">
        <v>5</v>
      </c>
      <c r="F752" t="s">
        <v>5772</v>
      </c>
      <c r="G752" t="s">
        <v>5847</v>
      </c>
      <c r="H752" t="s">
        <v>5848</v>
      </c>
      <c r="I752" t="s">
        <v>6265</v>
      </c>
      <c r="J752" t="s">
        <v>6266</v>
      </c>
      <c r="K752" t="s">
        <v>6267</v>
      </c>
      <c r="L752" t="s">
        <v>6017</v>
      </c>
      <c r="M752">
        <v>2.015745878219604</v>
      </c>
      <c r="N752" t="s">
        <v>54</v>
      </c>
      <c r="O752" t="s">
        <v>53</v>
      </c>
      <c r="P752" t="s">
        <v>53</v>
      </c>
      <c r="Q752" t="s">
        <v>53</v>
      </c>
      <c r="R752" t="s">
        <v>54</v>
      </c>
      <c r="S752" t="s">
        <v>5897</v>
      </c>
      <c r="T752" t="s">
        <v>5897</v>
      </c>
      <c r="U752" t="s">
        <v>54</v>
      </c>
      <c r="V752" t="s">
        <v>51</v>
      </c>
      <c r="W752">
        <v>100000</v>
      </c>
      <c r="X752" t="s">
        <v>54</v>
      </c>
      <c r="AA752">
        <v>29</v>
      </c>
      <c r="AB752">
        <v>3</v>
      </c>
      <c r="AC752">
        <v>132</v>
      </c>
      <c r="AD752">
        <v>10</v>
      </c>
      <c r="AE752">
        <v>138</v>
      </c>
      <c r="AF752">
        <v>0</v>
      </c>
      <c r="AG752">
        <v>0</v>
      </c>
      <c r="AH752">
        <v>1.2208811044692991</v>
      </c>
      <c r="AI752">
        <v>0</v>
      </c>
      <c r="AJ752">
        <v>6.1195540428161621</v>
      </c>
      <c r="AK752" t="s">
        <v>54</v>
      </c>
      <c r="AL752" t="s">
        <v>53</v>
      </c>
      <c r="AQ752" t="s">
        <v>54</v>
      </c>
      <c r="AR752" t="s">
        <v>5842</v>
      </c>
      <c r="AS752" s="148">
        <v>45292</v>
      </c>
      <c r="AT752" t="s">
        <v>5898</v>
      </c>
      <c r="AW752" t="s">
        <v>53</v>
      </c>
      <c r="AX752" t="s">
        <v>5450</v>
      </c>
      <c r="AZ752" t="s">
        <v>54</v>
      </c>
      <c r="BA752" t="s">
        <v>5780</v>
      </c>
    </row>
    <row r="753" spans="1:53" x14ac:dyDescent="0.25">
      <c r="A753">
        <v>748</v>
      </c>
      <c r="B753" t="s">
        <v>6303</v>
      </c>
      <c r="C753" t="s">
        <v>6304</v>
      </c>
      <c r="D753" t="s">
        <v>6302</v>
      </c>
      <c r="E753">
        <v>5</v>
      </c>
      <c r="F753" t="s">
        <v>5772</v>
      </c>
      <c r="G753" t="s">
        <v>5847</v>
      </c>
      <c r="H753" t="s">
        <v>5848</v>
      </c>
      <c r="I753" t="s">
        <v>5894</v>
      </c>
      <c r="J753" t="s">
        <v>5895</v>
      </c>
      <c r="K753" t="s">
        <v>5896</v>
      </c>
      <c r="L753" t="s">
        <v>5829</v>
      </c>
      <c r="M753">
        <v>12.494138717651371</v>
      </c>
      <c r="N753" t="s">
        <v>54</v>
      </c>
      <c r="O753" t="s">
        <v>53</v>
      </c>
      <c r="P753" t="s">
        <v>53</v>
      </c>
      <c r="Q753" t="s">
        <v>53</v>
      </c>
      <c r="R753" t="s">
        <v>54</v>
      </c>
      <c r="S753" t="s">
        <v>5897</v>
      </c>
      <c r="T753" t="s">
        <v>5897</v>
      </c>
      <c r="U753" t="s">
        <v>54</v>
      </c>
      <c r="V753" t="s">
        <v>51</v>
      </c>
      <c r="W753">
        <v>100000</v>
      </c>
      <c r="X753" t="s">
        <v>54</v>
      </c>
      <c r="AA753">
        <v>251</v>
      </c>
      <c r="AB753">
        <v>99</v>
      </c>
      <c r="AC753">
        <v>1008</v>
      </c>
      <c r="AD753">
        <v>891</v>
      </c>
      <c r="AE753">
        <v>1628</v>
      </c>
      <c r="AF753">
        <v>33</v>
      </c>
      <c r="AG753">
        <v>0</v>
      </c>
      <c r="AH753">
        <v>6.693272590637207</v>
      </c>
      <c r="AI753">
        <v>0</v>
      </c>
      <c r="AJ753">
        <v>163.9208679199219</v>
      </c>
      <c r="AK753" t="s">
        <v>54</v>
      </c>
      <c r="AL753" t="s">
        <v>53</v>
      </c>
      <c r="AQ753" t="s">
        <v>54</v>
      </c>
      <c r="AR753" t="s">
        <v>5842</v>
      </c>
      <c r="AS753" s="148">
        <v>45292</v>
      </c>
      <c r="AT753" t="s">
        <v>5898</v>
      </c>
      <c r="AW753" t="s">
        <v>53</v>
      </c>
      <c r="AZ753" t="s">
        <v>54</v>
      </c>
      <c r="BA753" t="s">
        <v>5780</v>
      </c>
    </row>
    <row r="754" spans="1:53" x14ac:dyDescent="0.25">
      <c r="A754">
        <v>749</v>
      </c>
      <c r="B754" t="s">
        <v>6305</v>
      </c>
      <c r="C754" t="s">
        <v>6306</v>
      </c>
      <c r="D754" t="s">
        <v>6307</v>
      </c>
      <c r="E754">
        <v>5</v>
      </c>
      <c r="F754" t="s">
        <v>5772</v>
      </c>
      <c r="G754" t="s">
        <v>5847</v>
      </c>
      <c r="H754" t="s">
        <v>5848</v>
      </c>
      <c r="I754" t="s">
        <v>5894</v>
      </c>
      <c r="J754" t="s">
        <v>5895</v>
      </c>
      <c r="K754" t="s">
        <v>5896</v>
      </c>
      <c r="L754" t="s">
        <v>6017</v>
      </c>
      <c r="M754">
        <v>5.6498723030090332</v>
      </c>
      <c r="N754" t="s">
        <v>54</v>
      </c>
      <c r="O754" t="s">
        <v>53</v>
      </c>
      <c r="P754" t="s">
        <v>53</v>
      </c>
      <c r="Q754" t="s">
        <v>53</v>
      </c>
      <c r="R754" t="s">
        <v>54</v>
      </c>
      <c r="S754" t="s">
        <v>5897</v>
      </c>
      <c r="T754" t="s">
        <v>5897</v>
      </c>
      <c r="U754" t="s">
        <v>54</v>
      </c>
      <c r="V754" t="s">
        <v>51</v>
      </c>
      <c r="W754">
        <v>100000</v>
      </c>
      <c r="X754" t="s">
        <v>54</v>
      </c>
      <c r="AA754">
        <v>36</v>
      </c>
      <c r="AB754">
        <v>19</v>
      </c>
      <c r="AC754">
        <v>528</v>
      </c>
      <c r="AD754">
        <v>0</v>
      </c>
      <c r="AE754">
        <v>528</v>
      </c>
      <c r="AF754">
        <v>0</v>
      </c>
      <c r="AG754">
        <v>0</v>
      </c>
      <c r="AH754">
        <v>1.764595627784729</v>
      </c>
      <c r="AI754">
        <v>0</v>
      </c>
      <c r="AJ754">
        <v>1.333173871040344</v>
      </c>
      <c r="AK754" t="s">
        <v>54</v>
      </c>
      <c r="AL754" t="s">
        <v>53</v>
      </c>
      <c r="AQ754" t="s">
        <v>54</v>
      </c>
      <c r="AR754" t="s">
        <v>5842</v>
      </c>
      <c r="AS754" s="148">
        <v>45292</v>
      </c>
      <c r="AT754" t="s">
        <v>5898</v>
      </c>
      <c r="AW754" t="s">
        <v>53</v>
      </c>
      <c r="AX754" t="s">
        <v>5450</v>
      </c>
      <c r="AZ754" t="s">
        <v>54</v>
      </c>
      <c r="BA754" t="s">
        <v>5780</v>
      </c>
    </row>
    <row r="755" spans="1:53" x14ac:dyDescent="0.25">
      <c r="A755">
        <v>750</v>
      </c>
      <c r="B755" t="s">
        <v>6308</v>
      </c>
      <c r="C755" t="s">
        <v>6309</v>
      </c>
      <c r="D755" t="s">
        <v>6310</v>
      </c>
      <c r="E755">
        <v>5</v>
      </c>
      <c r="F755" t="s">
        <v>5772</v>
      </c>
      <c r="G755" t="s">
        <v>5847</v>
      </c>
      <c r="H755" t="s">
        <v>6121</v>
      </c>
      <c r="I755" t="s">
        <v>6311</v>
      </c>
      <c r="J755" t="s">
        <v>6312</v>
      </c>
      <c r="K755" t="s">
        <v>6313</v>
      </c>
      <c r="L755" t="s">
        <v>5852</v>
      </c>
      <c r="M755">
        <v>2.8431472778320308</v>
      </c>
      <c r="N755" t="s">
        <v>54</v>
      </c>
      <c r="O755" t="s">
        <v>53</v>
      </c>
      <c r="P755" t="s">
        <v>53</v>
      </c>
      <c r="Q755" t="s">
        <v>53</v>
      </c>
      <c r="R755" t="s">
        <v>54</v>
      </c>
      <c r="S755" t="s">
        <v>5853</v>
      </c>
      <c r="T755" t="s">
        <v>5853</v>
      </c>
      <c r="U755" t="s">
        <v>54</v>
      </c>
      <c r="V755" t="s">
        <v>51</v>
      </c>
      <c r="W755">
        <v>100000</v>
      </c>
      <c r="X755" t="s">
        <v>54</v>
      </c>
      <c r="AA755">
        <v>300</v>
      </c>
      <c r="AB755">
        <v>256</v>
      </c>
      <c r="AC755">
        <v>1152</v>
      </c>
      <c r="AD755">
        <v>878</v>
      </c>
      <c r="AE755">
        <v>1721</v>
      </c>
      <c r="AF755">
        <v>1</v>
      </c>
      <c r="AG755">
        <v>0</v>
      </c>
      <c r="AH755">
        <v>8.7262430191040039</v>
      </c>
      <c r="AI755">
        <v>0</v>
      </c>
      <c r="AJ755">
        <v>0</v>
      </c>
      <c r="AK755" t="s">
        <v>54</v>
      </c>
      <c r="AL755" t="s">
        <v>54</v>
      </c>
      <c r="AM755" t="s">
        <v>5821</v>
      </c>
      <c r="AN755" s="148">
        <v>45292</v>
      </c>
      <c r="AO755" s="148">
        <v>45292</v>
      </c>
      <c r="AQ755" t="s">
        <v>54</v>
      </c>
      <c r="AR755" t="s">
        <v>5842</v>
      </c>
      <c r="AS755" s="148">
        <v>45292</v>
      </c>
      <c r="AT755" t="s">
        <v>6314</v>
      </c>
      <c r="AW755" t="s">
        <v>53</v>
      </c>
      <c r="AX755" t="s">
        <v>5450</v>
      </c>
      <c r="AZ755" t="s">
        <v>54</v>
      </c>
      <c r="BA755" t="s">
        <v>5780</v>
      </c>
    </row>
    <row r="756" spans="1:53" x14ac:dyDescent="0.25">
      <c r="A756">
        <v>751</v>
      </c>
      <c r="B756" t="s">
        <v>6315</v>
      </c>
      <c r="C756" t="s">
        <v>6316</v>
      </c>
      <c r="D756" t="s">
        <v>6317</v>
      </c>
      <c r="E756">
        <v>5</v>
      </c>
      <c r="F756" t="s">
        <v>5772</v>
      </c>
      <c r="G756" t="s">
        <v>5847</v>
      </c>
      <c r="H756" t="s">
        <v>6121</v>
      </c>
      <c r="I756" t="s">
        <v>6209</v>
      </c>
      <c r="J756" t="s">
        <v>6210</v>
      </c>
      <c r="K756" t="s">
        <v>6211</v>
      </c>
      <c r="L756" t="s">
        <v>5852</v>
      </c>
      <c r="M756">
        <v>6.5480656623840332</v>
      </c>
      <c r="N756" t="s">
        <v>54</v>
      </c>
      <c r="O756" t="s">
        <v>53</v>
      </c>
      <c r="P756" t="s">
        <v>53</v>
      </c>
      <c r="Q756" t="s">
        <v>53</v>
      </c>
      <c r="R756" t="s">
        <v>54</v>
      </c>
      <c r="S756" t="s">
        <v>5897</v>
      </c>
      <c r="T756" t="s">
        <v>5897</v>
      </c>
      <c r="U756" t="s">
        <v>54</v>
      </c>
      <c r="V756" t="s">
        <v>51</v>
      </c>
      <c r="W756">
        <v>100000</v>
      </c>
      <c r="X756" t="s">
        <v>54</v>
      </c>
      <c r="AA756">
        <v>359</v>
      </c>
      <c r="AB756">
        <v>320</v>
      </c>
      <c r="AC756">
        <v>422</v>
      </c>
      <c r="AD756">
        <v>775</v>
      </c>
      <c r="AE756">
        <v>918</v>
      </c>
      <c r="AF756">
        <v>3</v>
      </c>
      <c r="AG756">
        <v>0</v>
      </c>
      <c r="AH756">
        <v>4.7156586647033691</v>
      </c>
      <c r="AI756">
        <v>0</v>
      </c>
      <c r="AJ756">
        <v>0.38262677192687988</v>
      </c>
      <c r="AK756" t="s">
        <v>54</v>
      </c>
      <c r="AL756" t="s">
        <v>54</v>
      </c>
      <c r="AM756" t="s">
        <v>5821</v>
      </c>
      <c r="AN756" s="148">
        <v>45292</v>
      </c>
      <c r="AO756" s="148">
        <v>45292</v>
      </c>
      <c r="AQ756" t="s">
        <v>54</v>
      </c>
      <c r="AR756" t="s">
        <v>5842</v>
      </c>
      <c r="AS756" s="148">
        <v>45292</v>
      </c>
      <c r="AT756" t="s">
        <v>5898</v>
      </c>
      <c r="AW756" t="s">
        <v>53</v>
      </c>
      <c r="AX756" t="s">
        <v>5450</v>
      </c>
      <c r="AZ756" t="s">
        <v>54</v>
      </c>
      <c r="BA756" t="s">
        <v>5780</v>
      </c>
    </row>
    <row r="757" spans="1:53" x14ac:dyDescent="0.25">
      <c r="A757">
        <v>752</v>
      </c>
      <c r="B757" t="s">
        <v>6318</v>
      </c>
      <c r="C757" t="s">
        <v>6319</v>
      </c>
      <c r="D757" t="s">
        <v>6256</v>
      </c>
      <c r="E757">
        <v>5</v>
      </c>
      <c r="F757" t="s">
        <v>5772</v>
      </c>
      <c r="G757" t="s">
        <v>5847</v>
      </c>
      <c r="H757" t="s">
        <v>5848</v>
      </c>
      <c r="I757" t="s">
        <v>6265</v>
      </c>
      <c r="J757" t="s">
        <v>6266</v>
      </c>
      <c r="K757" t="s">
        <v>6267</v>
      </c>
      <c r="L757" t="s">
        <v>6320</v>
      </c>
      <c r="M757">
        <v>11.84079551696777</v>
      </c>
      <c r="N757" t="s">
        <v>54</v>
      </c>
      <c r="O757" t="s">
        <v>54</v>
      </c>
      <c r="P757" t="s">
        <v>53</v>
      </c>
      <c r="Q757" t="s">
        <v>53</v>
      </c>
      <c r="R757" t="s">
        <v>54</v>
      </c>
      <c r="S757" t="s">
        <v>5897</v>
      </c>
      <c r="T757" t="s">
        <v>5897</v>
      </c>
      <c r="U757" t="s">
        <v>54</v>
      </c>
      <c r="V757" t="s">
        <v>51</v>
      </c>
      <c r="W757">
        <v>100000</v>
      </c>
      <c r="X757" t="s">
        <v>54</v>
      </c>
      <c r="AA757">
        <v>511</v>
      </c>
      <c r="AB757">
        <v>250</v>
      </c>
      <c r="AC757">
        <v>714</v>
      </c>
      <c r="AD757">
        <v>981</v>
      </c>
      <c r="AE757">
        <v>1418</v>
      </c>
      <c r="AF757">
        <v>0</v>
      </c>
      <c r="AG757">
        <v>0</v>
      </c>
      <c r="AH757">
        <v>9.8907136917114258</v>
      </c>
      <c r="AI757">
        <v>0</v>
      </c>
      <c r="AJ757">
        <v>63.746726989746087</v>
      </c>
      <c r="AK757" t="s">
        <v>54</v>
      </c>
      <c r="AL757" t="s">
        <v>54</v>
      </c>
      <c r="AM757" t="s">
        <v>5821</v>
      </c>
      <c r="AN757" s="148">
        <v>45292</v>
      </c>
      <c r="AO757" s="148">
        <v>45292</v>
      </c>
      <c r="AQ757" t="s">
        <v>54</v>
      </c>
      <c r="AR757" t="s">
        <v>5842</v>
      </c>
      <c r="AS757" s="148">
        <v>45292</v>
      </c>
      <c r="AT757" t="s">
        <v>5898</v>
      </c>
      <c r="AW757" t="s">
        <v>53</v>
      </c>
      <c r="AZ757" t="s">
        <v>54</v>
      </c>
      <c r="BA757" t="s">
        <v>5780</v>
      </c>
    </row>
    <row r="758" spans="1:53" x14ac:dyDescent="0.25">
      <c r="A758">
        <v>753</v>
      </c>
      <c r="B758" t="s">
        <v>6321</v>
      </c>
      <c r="C758" t="s">
        <v>6322</v>
      </c>
      <c r="D758" t="s">
        <v>6310</v>
      </c>
      <c r="E758">
        <v>5</v>
      </c>
      <c r="F758" t="s">
        <v>5772</v>
      </c>
      <c r="G758" t="s">
        <v>5847</v>
      </c>
      <c r="H758" t="s">
        <v>6121</v>
      </c>
      <c r="I758" t="s">
        <v>6311</v>
      </c>
      <c r="J758" t="s">
        <v>6312</v>
      </c>
      <c r="K758" t="s">
        <v>6313</v>
      </c>
      <c r="L758" t="s">
        <v>5878</v>
      </c>
      <c r="M758">
        <v>5.7197203636169434</v>
      </c>
      <c r="N758" t="s">
        <v>54</v>
      </c>
      <c r="O758" t="s">
        <v>53</v>
      </c>
      <c r="P758" t="s">
        <v>53</v>
      </c>
      <c r="Q758" t="s">
        <v>53</v>
      </c>
      <c r="R758" t="s">
        <v>54</v>
      </c>
      <c r="S758" t="s">
        <v>5853</v>
      </c>
      <c r="T758" t="s">
        <v>5853</v>
      </c>
      <c r="U758" t="s">
        <v>54</v>
      </c>
      <c r="V758" t="s">
        <v>51</v>
      </c>
      <c r="W758">
        <v>100000</v>
      </c>
      <c r="X758" t="s">
        <v>54</v>
      </c>
      <c r="AA758">
        <v>16</v>
      </c>
      <c r="AB758">
        <v>11</v>
      </c>
      <c r="AC758">
        <v>259</v>
      </c>
      <c r="AD758">
        <v>19</v>
      </c>
      <c r="AE758">
        <v>271</v>
      </c>
      <c r="AF758">
        <v>0</v>
      </c>
      <c r="AG758">
        <v>0</v>
      </c>
      <c r="AH758">
        <v>0.58664149045944214</v>
      </c>
      <c r="AI758">
        <v>0</v>
      </c>
      <c r="AJ758">
        <v>0.1599830687046051</v>
      </c>
      <c r="AK758" t="s">
        <v>54</v>
      </c>
      <c r="AL758" t="s">
        <v>54</v>
      </c>
      <c r="AM758" t="s">
        <v>5821</v>
      </c>
      <c r="AN758" s="148">
        <v>45292</v>
      </c>
      <c r="AO758" s="148">
        <v>45292</v>
      </c>
      <c r="AQ758" t="s">
        <v>54</v>
      </c>
      <c r="AR758" t="s">
        <v>5842</v>
      </c>
      <c r="AS758" s="148">
        <v>45292</v>
      </c>
      <c r="AT758" t="s">
        <v>6314</v>
      </c>
      <c r="AW758" t="s">
        <v>53</v>
      </c>
      <c r="AX758" t="s">
        <v>5450</v>
      </c>
      <c r="AZ758" t="s">
        <v>54</v>
      </c>
      <c r="BA758" t="s">
        <v>5780</v>
      </c>
    </row>
    <row r="759" spans="1:53" x14ac:dyDescent="0.25">
      <c r="A759">
        <v>754</v>
      </c>
      <c r="B759" t="s">
        <v>6323</v>
      </c>
      <c r="C759" t="s">
        <v>6324</v>
      </c>
      <c r="D759" t="s">
        <v>6310</v>
      </c>
      <c r="E759">
        <v>5</v>
      </c>
      <c r="F759" t="s">
        <v>5772</v>
      </c>
      <c r="G759" t="s">
        <v>5847</v>
      </c>
      <c r="H759" t="s">
        <v>6121</v>
      </c>
      <c r="I759" t="s">
        <v>6311</v>
      </c>
      <c r="J759" t="s">
        <v>6312</v>
      </c>
      <c r="K759" t="s">
        <v>6313</v>
      </c>
      <c r="L759" t="s">
        <v>5878</v>
      </c>
      <c r="M759">
        <v>8.3689451217651367</v>
      </c>
      <c r="N759" t="s">
        <v>54</v>
      </c>
      <c r="O759" t="s">
        <v>53</v>
      </c>
      <c r="P759" t="s">
        <v>53</v>
      </c>
      <c r="Q759" t="s">
        <v>53</v>
      </c>
      <c r="R759" t="s">
        <v>54</v>
      </c>
      <c r="S759" t="s">
        <v>5853</v>
      </c>
      <c r="T759" t="s">
        <v>5853</v>
      </c>
      <c r="U759" t="s">
        <v>54</v>
      </c>
      <c r="V759" t="s">
        <v>51</v>
      </c>
      <c r="W759">
        <v>100000</v>
      </c>
      <c r="X759" t="s">
        <v>54</v>
      </c>
      <c r="AA759">
        <v>88</v>
      </c>
      <c r="AB759">
        <v>38</v>
      </c>
      <c r="AC759">
        <v>558</v>
      </c>
      <c r="AD759">
        <v>52</v>
      </c>
      <c r="AE759">
        <v>582</v>
      </c>
      <c r="AF759">
        <v>0</v>
      </c>
      <c r="AG759">
        <v>0</v>
      </c>
      <c r="AH759">
        <v>2.4608979225158691</v>
      </c>
      <c r="AI759">
        <v>0</v>
      </c>
      <c r="AJ759">
        <v>4.3098649978637704</v>
      </c>
      <c r="AK759" t="s">
        <v>54</v>
      </c>
      <c r="AL759" t="s">
        <v>54</v>
      </c>
      <c r="AM759" t="s">
        <v>5821</v>
      </c>
      <c r="AN759" s="148">
        <v>45292</v>
      </c>
      <c r="AO759" s="148">
        <v>45292</v>
      </c>
      <c r="AQ759" t="s">
        <v>54</v>
      </c>
      <c r="AR759" t="s">
        <v>5842</v>
      </c>
      <c r="AS759" s="148">
        <v>45292</v>
      </c>
      <c r="AT759" t="s">
        <v>6314</v>
      </c>
      <c r="AW759" t="s">
        <v>53</v>
      </c>
      <c r="AX759" t="s">
        <v>5450</v>
      </c>
      <c r="AZ759" t="s">
        <v>54</v>
      </c>
      <c r="BA759" t="s">
        <v>5780</v>
      </c>
    </row>
    <row r="760" spans="1:53" x14ac:dyDescent="0.25">
      <c r="A760">
        <v>755</v>
      </c>
      <c r="B760" t="s">
        <v>6325</v>
      </c>
      <c r="C760" t="s">
        <v>6326</v>
      </c>
      <c r="D760" t="s">
        <v>6302</v>
      </c>
      <c r="E760">
        <v>5</v>
      </c>
      <c r="F760" t="s">
        <v>5772</v>
      </c>
      <c r="G760" t="s">
        <v>5847</v>
      </c>
      <c r="H760" t="s">
        <v>5848</v>
      </c>
      <c r="I760" t="s">
        <v>6265</v>
      </c>
      <c r="J760" t="s">
        <v>6266</v>
      </c>
      <c r="K760" t="s">
        <v>6267</v>
      </c>
      <c r="L760" t="s">
        <v>6017</v>
      </c>
      <c r="M760">
        <v>11.80690956115723</v>
      </c>
      <c r="N760" t="s">
        <v>54</v>
      </c>
      <c r="O760" t="s">
        <v>54</v>
      </c>
      <c r="P760" t="s">
        <v>53</v>
      </c>
      <c r="Q760" t="s">
        <v>53</v>
      </c>
      <c r="R760" t="s">
        <v>54</v>
      </c>
      <c r="S760" t="s">
        <v>5897</v>
      </c>
      <c r="T760" t="s">
        <v>5897</v>
      </c>
      <c r="U760" t="s">
        <v>54</v>
      </c>
      <c r="V760" t="s">
        <v>51</v>
      </c>
      <c r="W760">
        <v>100000</v>
      </c>
      <c r="X760" t="s">
        <v>54</v>
      </c>
      <c r="AA760">
        <v>511</v>
      </c>
      <c r="AB760">
        <v>250</v>
      </c>
      <c r="AC760">
        <v>714</v>
      </c>
      <c r="AD760">
        <v>981</v>
      </c>
      <c r="AE760">
        <v>1418</v>
      </c>
      <c r="AF760">
        <v>0</v>
      </c>
      <c r="AG760">
        <v>0</v>
      </c>
      <c r="AH760">
        <v>9.8907136917114258</v>
      </c>
      <c r="AI760">
        <v>0</v>
      </c>
      <c r="AJ760">
        <v>63.813907623291023</v>
      </c>
      <c r="AK760" t="s">
        <v>54</v>
      </c>
      <c r="AL760" t="s">
        <v>54</v>
      </c>
      <c r="AM760" t="s">
        <v>5821</v>
      </c>
      <c r="AN760" s="148">
        <v>45292</v>
      </c>
      <c r="AO760" s="148">
        <v>45292</v>
      </c>
      <c r="AQ760" t="s">
        <v>54</v>
      </c>
      <c r="AR760" t="s">
        <v>5842</v>
      </c>
      <c r="AS760" s="148">
        <v>45292</v>
      </c>
      <c r="AT760" t="s">
        <v>5898</v>
      </c>
      <c r="AW760" t="s">
        <v>53</v>
      </c>
      <c r="AZ760" t="s">
        <v>54</v>
      </c>
      <c r="BA760" t="s">
        <v>5780</v>
      </c>
    </row>
    <row r="761" spans="1:53" x14ac:dyDescent="0.25">
      <c r="A761">
        <v>756</v>
      </c>
      <c r="B761" t="s">
        <v>6327</v>
      </c>
      <c r="C761" t="s">
        <v>6328</v>
      </c>
      <c r="D761" t="s">
        <v>6256</v>
      </c>
      <c r="E761">
        <v>5</v>
      </c>
      <c r="F761" t="s">
        <v>5772</v>
      </c>
      <c r="G761" t="s">
        <v>5847</v>
      </c>
      <c r="H761" t="s">
        <v>5848</v>
      </c>
      <c r="I761" t="s">
        <v>5894</v>
      </c>
      <c r="J761" t="s">
        <v>5895</v>
      </c>
      <c r="K761" t="s">
        <v>5896</v>
      </c>
      <c r="L761" t="s">
        <v>6320</v>
      </c>
      <c r="M761">
        <v>1.514002323150635</v>
      </c>
      <c r="N761" t="s">
        <v>54</v>
      </c>
      <c r="O761" t="s">
        <v>53</v>
      </c>
      <c r="P761" t="s">
        <v>53</v>
      </c>
      <c r="Q761" t="s">
        <v>53</v>
      </c>
      <c r="R761" t="s">
        <v>53</v>
      </c>
      <c r="S761" t="s">
        <v>5897</v>
      </c>
      <c r="T761" t="s">
        <v>5897</v>
      </c>
      <c r="U761" t="s">
        <v>54</v>
      </c>
      <c r="V761" t="s">
        <v>51</v>
      </c>
      <c r="W761">
        <v>100000</v>
      </c>
      <c r="X761" t="s">
        <v>54</v>
      </c>
      <c r="AA761">
        <v>507</v>
      </c>
      <c r="AB761">
        <v>415</v>
      </c>
      <c r="AC761">
        <v>750</v>
      </c>
      <c r="AD761">
        <v>659</v>
      </c>
      <c r="AE761">
        <v>1216</v>
      </c>
      <c r="AF761">
        <v>0</v>
      </c>
      <c r="AG761">
        <v>0</v>
      </c>
      <c r="AH761">
        <v>10.02297878265381</v>
      </c>
      <c r="AI761">
        <v>0</v>
      </c>
      <c r="AJ761">
        <v>1.6033210754394529</v>
      </c>
      <c r="AK761" t="s">
        <v>54</v>
      </c>
      <c r="AL761" t="s">
        <v>53</v>
      </c>
      <c r="AQ761" t="s">
        <v>54</v>
      </c>
      <c r="AR761" t="s">
        <v>5842</v>
      </c>
      <c r="AS761" s="148">
        <v>45292</v>
      </c>
      <c r="AT761" t="s">
        <v>5898</v>
      </c>
      <c r="AW761" t="s">
        <v>53</v>
      </c>
      <c r="AZ761" t="s">
        <v>54</v>
      </c>
      <c r="BA761" t="s">
        <v>5780</v>
      </c>
    </row>
    <row r="762" spans="1:53" x14ac:dyDescent="0.25">
      <c r="A762">
        <v>757</v>
      </c>
      <c r="B762" t="s">
        <v>6329</v>
      </c>
      <c r="C762" t="s">
        <v>6330</v>
      </c>
      <c r="D762" t="s">
        <v>6256</v>
      </c>
      <c r="E762">
        <v>5</v>
      </c>
      <c r="F762" t="s">
        <v>5772</v>
      </c>
      <c r="G762" t="s">
        <v>5847</v>
      </c>
      <c r="H762" t="s">
        <v>5848</v>
      </c>
      <c r="I762" t="s">
        <v>5894</v>
      </c>
      <c r="J762" t="s">
        <v>5895</v>
      </c>
      <c r="K762" t="s">
        <v>5896</v>
      </c>
      <c r="L762" t="s">
        <v>6320</v>
      </c>
      <c r="M762">
        <v>0.63863080739974976</v>
      </c>
      <c r="N762" t="s">
        <v>54</v>
      </c>
      <c r="O762" t="s">
        <v>53</v>
      </c>
      <c r="P762" t="s">
        <v>53</v>
      </c>
      <c r="Q762" t="s">
        <v>53</v>
      </c>
      <c r="R762" t="s">
        <v>53</v>
      </c>
      <c r="S762" t="s">
        <v>5897</v>
      </c>
      <c r="T762" t="s">
        <v>5897</v>
      </c>
      <c r="U762" t="s">
        <v>54</v>
      </c>
      <c r="V762" t="s">
        <v>51</v>
      </c>
      <c r="W762">
        <v>100000</v>
      </c>
      <c r="X762" t="s">
        <v>54</v>
      </c>
      <c r="AA762">
        <v>3</v>
      </c>
      <c r="AB762">
        <v>0</v>
      </c>
      <c r="AC762">
        <v>4</v>
      </c>
      <c r="AD762">
        <v>0</v>
      </c>
      <c r="AE762">
        <v>4</v>
      </c>
      <c r="AF762">
        <v>0</v>
      </c>
      <c r="AG762">
        <v>0</v>
      </c>
      <c r="AH762">
        <v>0</v>
      </c>
      <c r="AI762">
        <v>0</v>
      </c>
      <c r="AJ762">
        <v>0</v>
      </c>
      <c r="AK762" t="s">
        <v>54</v>
      </c>
      <c r="AL762" t="s">
        <v>53</v>
      </c>
      <c r="AQ762" t="s">
        <v>54</v>
      </c>
      <c r="AR762" t="s">
        <v>5842</v>
      </c>
      <c r="AS762" s="148">
        <v>45292</v>
      </c>
      <c r="AT762" t="s">
        <v>5898</v>
      </c>
      <c r="AW762" t="s">
        <v>53</v>
      </c>
      <c r="AZ762" t="s">
        <v>54</v>
      </c>
      <c r="BA762" t="s">
        <v>5780</v>
      </c>
    </row>
    <row r="763" spans="1:53" x14ac:dyDescent="0.25">
      <c r="A763">
        <v>758</v>
      </c>
      <c r="B763" t="s">
        <v>6331</v>
      </c>
      <c r="C763" t="s">
        <v>6332</v>
      </c>
      <c r="D763" t="s">
        <v>6256</v>
      </c>
      <c r="E763">
        <v>5</v>
      </c>
      <c r="F763" t="s">
        <v>5772</v>
      </c>
      <c r="G763" t="s">
        <v>5847</v>
      </c>
      <c r="H763" t="s">
        <v>5848</v>
      </c>
      <c r="I763" t="s">
        <v>5894</v>
      </c>
      <c r="J763" t="s">
        <v>5895</v>
      </c>
      <c r="K763" t="s">
        <v>5896</v>
      </c>
      <c r="L763" t="s">
        <v>6320</v>
      </c>
      <c r="M763">
        <v>2.902957677841187</v>
      </c>
      <c r="N763" t="s">
        <v>54</v>
      </c>
      <c r="O763" t="s">
        <v>53</v>
      </c>
      <c r="P763" t="s">
        <v>53</v>
      </c>
      <c r="Q763" t="s">
        <v>53</v>
      </c>
      <c r="R763" t="s">
        <v>53</v>
      </c>
      <c r="S763" t="s">
        <v>5897</v>
      </c>
      <c r="T763" t="s">
        <v>5897</v>
      </c>
      <c r="U763" t="s">
        <v>54</v>
      </c>
      <c r="V763" t="s">
        <v>51</v>
      </c>
      <c r="W763">
        <v>100000</v>
      </c>
      <c r="X763" t="s">
        <v>54</v>
      </c>
      <c r="AA763">
        <v>0</v>
      </c>
      <c r="AB763">
        <v>0</v>
      </c>
      <c r="AC763">
        <v>0</v>
      </c>
      <c r="AD763">
        <v>0</v>
      </c>
      <c r="AE763">
        <v>0</v>
      </c>
      <c r="AF763">
        <v>0</v>
      </c>
      <c r="AG763">
        <v>0</v>
      </c>
      <c r="AH763">
        <v>0</v>
      </c>
      <c r="AI763">
        <v>0</v>
      </c>
      <c r="AJ763">
        <v>0</v>
      </c>
      <c r="AK763" t="s">
        <v>54</v>
      </c>
      <c r="AL763" t="s">
        <v>53</v>
      </c>
      <c r="AQ763" t="s">
        <v>54</v>
      </c>
      <c r="AR763" t="s">
        <v>5842</v>
      </c>
      <c r="AS763" s="148">
        <v>45292</v>
      </c>
      <c r="AT763" t="s">
        <v>5898</v>
      </c>
      <c r="AW763" t="s">
        <v>53</v>
      </c>
      <c r="AZ763" t="s">
        <v>54</v>
      </c>
      <c r="BA763" t="s">
        <v>5780</v>
      </c>
    </row>
    <row r="764" spans="1:53" x14ac:dyDescent="0.25">
      <c r="A764">
        <v>759</v>
      </c>
      <c r="B764" t="s">
        <v>6333</v>
      </c>
      <c r="C764" t="s">
        <v>6334</v>
      </c>
      <c r="D764" t="s">
        <v>6256</v>
      </c>
      <c r="E764">
        <v>5</v>
      </c>
      <c r="F764" t="s">
        <v>5772</v>
      </c>
      <c r="G764" t="s">
        <v>5847</v>
      </c>
      <c r="H764" t="s">
        <v>5848</v>
      </c>
      <c r="I764" t="s">
        <v>5894</v>
      </c>
      <c r="J764" t="s">
        <v>5895</v>
      </c>
      <c r="K764" t="s">
        <v>5896</v>
      </c>
      <c r="L764" t="s">
        <v>6320</v>
      </c>
      <c r="M764">
        <v>1.110442638397217</v>
      </c>
      <c r="N764" t="s">
        <v>54</v>
      </c>
      <c r="O764" t="s">
        <v>53</v>
      </c>
      <c r="P764" t="s">
        <v>53</v>
      </c>
      <c r="Q764" t="s">
        <v>53</v>
      </c>
      <c r="R764" t="s">
        <v>54</v>
      </c>
      <c r="S764" t="s">
        <v>5897</v>
      </c>
      <c r="T764" t="s">
        <v>5897</v>
      </c>
      <c r="U764" t="s">
        <v>54</v>
      </c>
      <c r="V764" t="s">
        <v>51</v>
      </c>
      <c r="W764">
        <v>100000</v>
      </c>
      <c r="X764" t="s">
        <v>54</v>
      </c>
      <c r="AA764">
        <v>1</v>
      </c>
      <c r="AB764">
        <v>1</v>
      </c>
      <c r="AC764">
        <v>0</v>
      </c>
      <c r="AD764">
        <v>0</v>
      </c>
      <c r="AE764">
        <v>0</v>
      </c>
      <c r="AF764">
        <v>0</v>
      </c>
      <c r="AG764">
        <v>0</v>
      </c>
      <c r="AH764">
        <v>0</v>
      </c>
      <c r="AI764">
        <v>0</v>
      </c>
      <c r="AJ764">
        <v>0.30742177367210388</v>
      </c>
      <c r="AK764" t="s">
        <v>54</v>
      </c>
      <c r="AL764" t="s">
        <v>53</v>
      </c>
      <c r="AQ764" t="s">
        <v>54</v>
      </c>
      <c r="AR764" t="s">
        <v>5842</v>
      </c>
      <c r="AS764" s="148">
        <v>45292</v>
      </c>
      <c r="AT764" t="s">
        <v>5898</v>
      </c>
      <c r="AW764" t="s">
        <v>53</v>
      </c>
      <c r="AX764" t="s">
        <v>5450</v>
      </c>
      <c r="AZ764" t="s">
        <v>54</v>
      </c>
      <c r="BA764" t="s">
        <v>5780</v>
      </c>
    </row>
    <row r="765" spans="1:53" x14ac:dyDescent="0.25">
      <c r="A765">
        <v>760</v>
      </c>
      <c r="B765" t="s">
        <v>6335</v>
      </c>
      <c r="C765" t="s">
        <v>6336</v>
      </c>
      <c r="D765" t="s">
        <v>6256</v>
      </c>
      <c r="E765">
        <v>5</v>
      </c>
      <c r="F765" t="s">
        <v>5772</v>
      </c>
      <c r="G765" t="s">
        <v>5847</v>
      </c>
      <c r="H765" t="s">
        <v>6121</v>
      </c>
      <c r="I765" t="s">
        <v>6209</v>
      </c>
      <c r="J765" t="s">
        <v>6210</v>
      </c>
      <c r="K765" t="s">
        <v>6211</v>
      </c>
      <c r="L765" t="s">
        <v>6272</v>
      </c>
      <c r="M765">
        <v>6.5483617782592773</v>
      </c>
      <c r="N765" t="s">
        <v>54</v>
      </c>
      <c r="O765" t="s">
        <v>53</v>
      </c>
      <c r="P765" t="s">
        <v>53</v>
      </c>
      <c r="Q765" t="s">
        <v>53</v>
      </c>
      <c r="R765" t="s">
        <v>54</v>
      </c>
      <c r="S765" t="s">
        <v>5897</v>
      </c>
      <c r="T765" t="s">
        <v>5897</v>
      </c>
      <c r="U765" t="s">
        <v>54</v>
      </c>
      <c r="V765" t="s">
        <v>51</v>
      </c>
      <c r="W765">
        <v>100000</v>
      </c>
      <c r="X765" t="s">
        <v>54</v>
      </c>
      <c r="AA765">
        <v>359</v>
      </c>
      <c r="AB765">
        <v>320</v>
      </c>
      <c r="AC765">
        <v>422</v>
      </c>
      <c r="AD765">
        <v>775</v>
      </c>
      <c r="AE765">
        <v>918</v>
      </c>
      <c r="AF765">
        <v>3</v>
      </c>
      <c r="AG765">
        <v>0</v>
      </c>
      <c r="AH765">
        <v>4.7156586647033691</v>
      </c>
      <c r="AI765">
        <v>0</v>
      </c>
      <c r="AJ765">
        <v>0.38262677192687988</v>
      </c>
      <c r="AK765" t="s">
        <v>54</v>
      </c>
      <c r="AL765" t="s">
        <v>53</v>
      </c>
      <c r="AQ765" t="s">
        <v>54</v>
      </c>
      <c r="AR765" t="s">
        <v>5842</v>
      </c>
      <c r="AS765" s="148">
        <v>45292</v>
      </c>
      <c r="AT765" t="s">
        <v>5898</v>
      </c>
      <c r="AW765" t="s">
        <v>53</v>
      </c>
      <c r="AX765" t="s">
        <v>5450</v>
      </c>
      <c r="AZ765" t="s">
        <v>54</v>
      </c>
      <c r="BA765" t="s">
        <v>5780</v>
      </c>
    </row>
    <row r="766" spans="1:53" x14ac:dyDescent="0.25">
      <c r="A766">
        <v>761</v>
      </c>
      <c r="B766" t="s">
        <v>6337</v>
      </c>
      <c r="C766" t="s">
        <v>6338</v>
      </c>
      <c r="D766" t="s">
        <v>6256</v>
      </c>
      <c r="E766">
        <v>5</v>
      </c>
      <c r="F766" t="s">
        <v>5772</v>
      </c>
      <c r="G766" t="s">
        <v>5847</v>
      </c>
      <c r="H766" t="s">
        <v>5848</v>
      </c>
      <c r="I766" t="s">
        <v>5894</v>
      </c>
      <c r="J766" t="s">
        <v>5895</v>
      </c>
      <c r="K766" t="s">
        <v>5896</v>
      </c>
      <c r="L766" t="s">
        <v>6320</v>
      </c>
      <c r="M766">
        <v>1.788719534873962</v>
      </c>
      <c r="N766" t="s">
        <v>54</v>
      </c>
      <c r="O766" t="s">
        <v>54</v>
      </c>
      <c r="P766" t="s">
        <v>53</v>
      </c>
      <c r="Q766" t="s">
        <v>53</v>
      </c>
      <c r="R766" t="s">
        <v>54</v>
      </c>
      <c r="S766" t="s">
        <v>5897</v>
      </c>
      <c r="T766" t="s">
        <v>5897</v>
      </c>
      <c r="U766" t="s">
        <v>54</v>
      </c>
      <c r="V766" t="s">
        <v>51</v>
      </c>
      <c r="W766">
        <v>100000</v>
      </c>
      <c r="X766" t="s">
        <v>54</v>
      </c>
      <c r="AA766">
        <v>216</v>
      </c>
      <c r="AB766">
        <v>215</v>
      </c>
      <c r="AC766">
        <v>155</v>
      </c>
      <c r="AD766">
        <v>479</v>
      </c>
      <c r="AE766">
        <v>479</v>
      </c>
      <c r="AF766">
        <v>0</v>
      </c>
      <c r="AG766">
        <v>0</v>
      </c>
      <c r="AH766">
        <v>2.03456711769104</v>
      </c>
      <c r="AI766">
        <v>0</v>
      </c>
      <c r="AJ766">
        <v>0</v>
      </c>
      <c r="AK766" t="s">
        <v>54</v>
      </c>
      <c r="AL766" t="s">
        <v>53</v>
      </c>
      <c r="AQ766" t="s">
        <v>54</v>
      </c>
      <c r="AR766" t="s">
        <v>5842</v>
      </c>
      <c r="AS766" s="148">
        <v>45292</v>
      </c>
      <c r="AT766" t="s">
        <v>5898</v>
      </c>
      <c r="AW766" t="s">
        <v>53</v>
      </c>
      <c r="AX766" t="s">
        <v>5450</v>
      </c>
      <c r="AZ766" t="s">
        <v>54</v>
      </c>
      <c r="BA766" t="s">
        <v>5780</v>
      </c>
    </row>
    <row r="767" spans="1:53" x14ac:dyDescent="0.25">
      <c r="A767">
        <v>762</v>
      </c>
      <c r="B767" t="s">
        <v>6339</v>
      </c>
      <c r="C767" t="s">
        <v>6340</v>
      </c>
      <c r="D767" t="s">
        <v>6256</v>
      </c>
      <c r="E767">
        <v>5</v>
      </c>
      <c r="F767" t="s">
        <v>5772</v>
      </c>
      <c r="G767" t="s">
        <v>5847</v>
      </c>
      <c r="H767" t="s">
        <v>5848</v>
      </c>
      <c r="I767" t="s">
        <v>5894</v>
      </c>
      <c r="J767" t="s">
        <v>5895</v>
      </c>
      <c r="K767" t="s">
        <v>5896</v>
      </c>
      <c r="L767" t="s">
        <v>6320</v>
      </c>
      <c r="M767">
        <v>1.805444993078709E-2</v>
      </c>
      <c r="N767" t="s">
        <v>54</v>
      </c>
      <c r="O767" t="s">
        <v>54</v>
      </c>
      <c r="P767" t="s">
        <v>53</v>
      </c>
      <c r="Q767" t="s">
        <v>53</v>
      </c>
      <c r="R767" t="s">
        <v>53</v>
      </c>
      <c r="S767" t="s">
        <v>5897</v>
      </c>
      <c r="T767" t="s">
        <v>5897</v>
      </c>
      <c r="U767" t="s">
        <v>54</v>
      </c>
      <c r="V767" t="s">
        <v>51</v>
      </c>
      <c r="W767">
        <v>100000</v>
      </c>
      <c r="X767" t="s">
        <v>54</v>
      </c>
      <c r="AA767">
        <v>6</v>
      </c>
      <c r="AB767">
        <v>6</v>
      </c>
      <c r="AC767">
        <v>7</v>
      </c>
      <c r="AD767">
        <v>27</v>
      </c>
      <c r="AE767">
        <v>27</v>
      </c>
      <c r="AF767">
        <v>0</v>
      </c>
      <c r="AG767">
        <v>0</v>
      </c>
      <c r="AH767">
        <v>0.11524564027786249</v>
      </c>
      <c r="AI767">
        <v>0</v>
      </c>
      <c r="AJ767">
        <v>0</v>
      </c>
      <c r="AK767" t="s">
        <v>54</v>
      </c>
      <c r="AL767" t="s">
        <v>53</v>
      </c>
      <c r="AQ767" t="s">
        <v>54</v>
      </c>
      <c r="AR767" t="s">
        <v>5842</v>
      </c>
      <c r="AS767" s="148">
        <v>45292</v>
      </c>
      <c r="AT767" t="s">
        <v>5898</v>
      </c>
      <c r="AW767" t="s">
        <v>53</v>
      </c>
      <c r="AX767" t="s">
        <v>5450</v>
      </c>
      <c r="AZ767" t="s">
        <v>54</v>
      </c>
      <c r="BA767" t="s">
        <v>5780</v>
      </c>
    </row>
    <row r="768" spans="1:53" x14ac:dyDescent="0.25">
      <c r="A768">
        <v>763</v>
      </c>
      <c r="B768" t="s">
        <v>6341</v>
      </c>
      <c r="C768" t="s">
        <v>6342</v>
      </c>
      <c r="D768" t="s">
        <v>6256</v>
      </c>
      <c r="E768">
        <v>5</v>
      </c>
      <c r="F768" t="s">
        <v>5772</v>
      </c>
      <c r="G768" t="s">
        <v>5847</v>
      </c>
      <c r="H768" t="s">
        <v>5848</v>
      </c>
      <c r="I768" t="s">
        <v>5894</v>
      </c>
      <c r="J768" t="s">
        <v>5895</v>
      </c>
      <c r="K768" t="s">
        <v>5896</v>
      </c>
      <c r="L768" t="s">
        <v>6320</v>
      </c>
      <c r="M768">
        <v>0.6651492714881897</v>
      </c>
      <c r="N768" t="s">
        <v>54</v>
      </c>
      <c r="O768" t="s">
        <v>54</v>
      </c>
      <c r="P768" t="s">
        <v>53</v>
      </c>
      <c r="Q768" t="s">
        <v>53</v>
      </c>
      <c r="R768" t="s">
        <v>53</v>
      </c>
      <c r="S768" t="s">
        <v>5897</v>
      </c>
      <c r="T768" t="s">
        <v>5897</v>
      </c>
      <c r="U768" t="s">
        <v>54</v>
      </c>
      <c r="V768" t="s">
        <v>51</v>
      </c>
      <c r="W768">
        <v>100000</v>
      </c>
      <c r="X768" t="s">
        <v>54</v>
      </c>
      <c r="AA768">
        <v>676</v>
      </c>
      <c r="AB768">
        <v>646</v>
      </c>
      <c r="AC768">
        <v>482</v>
      </c>
      <c r="AD768">
        <v>1618</v>
      </c>
      <c r="AE768">
        <v>1618</v>
      </c>
      <c r="AF768">
        <v>0</v>
      </c>
      <c r="AG768">
        <v>0</v>
      </c>
      <c r="AH768">
        <v>6.4248523712158203</v>
      </c>
      <c r="AI768">
        <v>0</v>
      </c>
      <c r="AJ768">
        <v>0.21761010587215421</v>
      </c>
      <c r="AK768" t="s">
        <v>54</v>
      </c>
      <c r="AL768" t="s">
        <v>53</v>
      </c>
      <c r="AQ768" t="s">
        <v>54</v>
      </c>
      <c r="AR768" t="s">
        <v>5842</v>
      </c>
      <c r="AS768" s="148">
        <v>45292</v>
      </c>
      <c r="AT768" t="s">
        <v>5898</v>
      </c>
      <c r="AW768" t="s">
        <v>53</v>
      </c>
      <c r="AX768" t="s">
        <v>5450</v>
      </c>
      <c r="AZ768" t="s">
        <v>54</v>
      </c>
      <c r="BA768" t="s">
        <v>5780</v>
      </c>
    </row>
    <row r="769" spans="1:53" x14ac:dyDescent="0.25">
      <c r="A769">
        <v>764</v>
      </c>
      <c r="B769" t="s">
        <v>6343</v>
      </c>
      <c r="C769" t="s">
        <v>6344</v>
      </c>
      <c r="D769" t="s">
        <v>6256</v>
      </c>
      <c r="E769">
        <v>5</v>
      </c>
      <c r="F769" t="s">
        <v>5772</v>
      </c>
      <c r="G769" t="s">
        <v>5847</v>
      </c>
      <c r="H769" t="s">
        <v>5848</v>
      </c>
      <c r="I769" t="s">
        <v>5894</v>
      </c>
      <c r="J769" t="s">
        <v>5895</v>
      </c>
      <c r="K769" t="s">
        <v>5896</v>
      </c>
      <c r="L769" t="s">
        <v>6320</v>
      </c>
      <c r="M769">
        <v>0.71537101268768311</v>
      </c>
      <c r="N769" t="s">
        <v>54</v>
      </c>
      <c r="O769" t="s">
        <v>53</v>
      </c>
      <c r="P769" t="s">
        <v>53</v>
      </c>
      <c r="Q769" t="s">
        <v>53</v>
      </c>
      <c r="R769" t="s">
        <v>53</v>
      </c>
      <c r="S769" t="s">
        <v>5897</v>
      </c>
      <c r="T769" t="s">
        <v>5897</v>
      </c>
      <c r="U769" t="s">
        <v>54</v>
      </c>
      <c r="V769" t="s">
        <v>51</v>
      </c>
      <c r="W769">
        <v>100000</v>
      </c>
      <c r="X769" t="s">
        <v>54</v>
      </c>
      <c r="AA769">
        <v>0</v>
      </c>
      <c r="AB769">
        <v>0</v>
      </c>
      <c r="AC769">
        <v>0</v>
      </c>
      <c r="AD769">
        <v>0</v>
      </c>
      <c r="AE769">
        <v>0</v>
      </c>
      <c r="AF769">
        <v>0</v>
      </c>
      <c r="AG769">
        <v>0</v>
      </c>
      <c r="AH769">
        <v>0.26569974422454828</v>
      </c>
      <c r="AI769">
        <v>0</v>
      </c>
      <c r="AJ769">
        <v>1.2347600422799591E-2</v>
      </c>
      <c r="AK769" t="s">
        <v>54</v>
      </c>
      <c r="AL769" t="s">
        <v>53</v>
      </c>
      <c r="AQ769" t="s">
        <v>54</v>
      </c>
      <c r="AR769" t="s">
        <v>5842</v>
      </c>
      <c r="AS769" s="148">
        <v>45292</v>
      </c>
      <c r="AT769" t="s">
        <v>5898</v>
      </c>
      <c r="AW769" t="s">
        <v>53</v>
      </c>
      <c r="AX769" t="s">
        <v>5450</v>
      </c>
      <c r="AZ769" t="s">
        <v>54</v>
      </c>
      <c r="BA769" t="s">
        <v>5780</v>
      </c>
    </row>
    <row r="770" spans="1:53" x14ac:dyDescent="0.25">
      <c r="A770">
        <v>765</v>
      </c>
      <c r="B770" t="s">
        <v>6345</v>
      </c>
      <c r="C770" t="s">
        <v>6346</v>
      </c>
      <c r="D770" t="s">
        <v>6256</v>
      </c>
      <c r="E770">
        <v>5</v>
      </c>
      <c r="F770" t="s">
        <v>5772</v>
      </c>
      <c r="G770" t="s">
        <v>5847</v>
      </c>
      <c r="H770" t="s">
        <v>5848</v>
      </c>
      <c r="I770" t="s">
        <v>5894</v>
      </c>
      <c r="J770" t="s">
        <v>5895</v>
      </c>
      <c r="K770" t="s">
        <v>5896</v>
      </c>
      <c r="L770" t="s">
        <v>6320</v>
      </c>
      <c r="M770">
        <v>0.19056026637554169</v>
      </c>
      <c r="N770" t="s">
        <v>54</v>
      </c>
      <c r="O770" t="s">
        <v>53</v>
      </c>
      <c r="P770" t="s">
        <v>53</v>
      </c>
      <c r="Q770" t="s">
        <v>53</v>
      </c>
      <c r="R770" t="s">
        <v>53</v>
      </c>
      <c r="S770" t="s">
        <v>5897</v>
      </c>
      <c r="T770" t="s">
        <v>5897</v>
      </c>
      <c r="U770" t="s">
        <v>54</v>
      </c>
      <c r="V770" t="s">
        <v>51</v>
      </c>
      <c r="W770">
        <v>100000</v>
      </c>
      <c r="X770" t="s">
        <v>54</v>
      </c>
      <c r="AA770">
        <v>0</v>
      </c>
      <c r="AB770">
        <v>0</v>
      </c>
      <c r="AC770">
        <v>0</v>
      </c>
      <c r="AD770">
        <v>0</v>
      </c>
      <c r="AE770">
        <v>0</v>
      </c>
      <c r="AF770">
        <v>0</v>
      </c>
      <c r="AG770">
        <v>0</v>
      </c>
      <c r="AH770">
        <v>0</v>
      </c>
      <c r="AI770">
        <v>0</v>
      </c>
      <c r="AJ770">
        <v>0</v>
      </c>
      <c r="AK770" t="s">
        <v>54</v>
      </c>
      <c r="AL770" t="s">
        <v>53</v>
      </c>
      <c r="AQ770" t="s">
        <v>54</v>
      </c>
      <c r="AR770" t="s">
        <v>5842</v>
      </c>
      <c r="AS770" s="148">
        <v>45292</v>
      </c>
      <c r="AT770" t="s">
        <v>5898</v>
      </c>
      <c r="AW770" t="s">
        <v>53</v>
      </c>
      <c r="AZ770" t="s">
        <v>54</v>
      </c>
      <c r="BA770" t="s">
        <v>5780</v>
      </c>
    </row>
    <row r="771" spans="1:53" x14ac:dyDescent="0.25">
      <c r="A771">
        <v>766</v>
      </c>
      <c r="B771" t="s">
        <v>6347</v>
      </c>
      <c r="C771" t="s">
        <v>6348</v>
      </c>
      <c r="D771" t="s">
        <v>6349</v>
      </c>
      <c r="E771">
        <v>5</v>
      </c>
      <c r="F771" t="s">
        <v>5772</v>
      </c>
      <c r="G771" t="s">
        <v>6350</v>
      </c>
      <c r="H771" t="s">
        <v>6351</v>
      </c>
      <c r="I771" t="s">
        <v>6352</v>
      </c>
      <c r="J771" t="s">
        <v>6353</v>
      </c>
      <c r="K771" t="s">
        <v>6354</v>
      </c>
      <c r="L771" t="s">
        <v>5878</v>
      </c>
      <c r="M771">
        <v>46.607589721679688</v>
      </c>
      <c r="N771" t="s">
        <v>54</v>
      </c>
      <c r="O771" t="s">
        <v>53</v>
      </c>
      <c r="P771" t="s">
        <v>53</v>
      </c>
      <c r="Q771" t="s">
        <v>53</v>
      </c>
      <c r="R771" t="s">
        <v>54</v>
      </c>
      <c r="S771" t="s">
        <v>5853</v>
      </c>
      <c r="T771" t="s">
        <v>5853</v>
      </c>
      <c r="U771" t="s">
        <v>54</v>
      </c>
      <c r="V771" t="s">
        <v>51</v>
      </c>
      <c r="W771">
        <v>2200000</v>
      </c>
      <c r="X771" t="s">
        <v>54</v>
      </c>
      <c r="AA771">
        <v>401</v>
      </c>
      <c r="AB771">
        <v>267</v>
      </c>
      <c r="AC771">
        <v>165</v>
      </c>
      <c r="AD771">
        <v>534</v>
      </c>
      <c r="AE771">
        <v>551</v>
      </c>
      <c r="AF771">
        <v>0</v>
      </c>
      <c r="AG771">
        <v>3</v>
      </c>
      <c r="AH771">
        <v>28.049638748168949</v>
      </c>
      <c r="AI771">
        <v>3</v>
      </c>
      <c r="AJ771">
        <v>2479.473876953125</v>
      </c>
      <c r="AK771" t="s">
        <v>54</v>
      </c>
      <c r="AL771" t="s">
        <v>54</v>
      </c>
      <c r="AM771" t="s">
        <v>5821</v>
      </c>
      <c r="AN771" s="148">
        <v>45292</v>
      </c>
      <c r="AO771" s="148">
        <v>45292</v>
      </c>
      <c r="AQ771" t="s">
        <v>54</v>
      </c>
      <c r="AR771" t="s">
        <v>5813</v>
      </c>
      <c r="AS771" s="148">
        <v>45292</v>
      </c>
      <c r="AT771" t="s">
        <v>5898</v>
      </c>
      <c r="AW771" t="s">
        <v>53</v>
      </c>
      <c r="AZ771" t="s">
        <v>54</v>
      </c>
      <c r="BA771" t="s">
        <v>5780</v>
      </c>
    </row>
    <row r="772" spans="1:53" x14ac:dyDescent="0.25">
      <c r="A772">
        <v>767</v>
      </c>
      <c r="B772" t="s">
        <v>6355</v>
      </c>
      <c r="C772" t="s">
        <v>6356</v>
      </c>
      <c r="D772" t="s">
        <v>6357</v>
      </c>
      <c r="E772">
        <v>5</v>
      </c>
      <c r="F772" t="s">
        <v>5772</v>
      </c>
      <c r="G772" t="s">
        <v>5847</v>
      </c>
      <c r="H772" t="s">
        <v>6358</v>
      </c>
      <c r="I772" t="s">
        <v>6359</v>
      </c>
      <c r="J772" t="s">
        <v>6360</v>
      </c>
      <c r="K772" t="s">
        <v>6361</v>
      </c>
      <c r="L772" t="s">
        <v>5852</v>
      </c>
      <c r="M772">
        <v>6.5775737762451172</v>
      </c>
      <c r="N772" t="s">
        <v>54</v>
      </c>
      <c r="O772" t="s">
        <v>53</v>
      </c>
      <c r="P772" t="s">
        <v>53</v>
      </c>
      <c r="Q772" t="s">
        <v>53</v>
      </c>
      <c r="R772" t="s">
        <v>54</v>
      </c>
      <c r="S772" t="s">
        <v>5853</v>
      </c>
      <c r="T772" t="s">
        <v>5853</v>
      </c>
      <c r="U772" t="s">
        <v>54</v>
      </c>
      <c r="V772" t="s">
        <v>51</v>
      </c>
      <c r="W772">
        <v>500000</v>
      </c>
      <c r="X772" t="s">
        <v>54</v>
      </c>
      <c r="AA772">
        <v>583</v>
      </c>
      <c r="AB772">
        <v>476</v>
      </c>
      <c r="AC772">
        <v>2441</v>
      </c>
      <c r="AD772">
        <v>2372</v>
      </c>
      <c r="AE772">
        <v>3971</v>
      </c>
      <c r="AF772">
        <v>1</v>
      </c>
      <c r="AG772">
        <v>0</v>
      </c>
      <c r="AH772">
        <v>11.64713668823242</v>
      </c>
      <c r="AI772">
        <v>0</v>
      </c>
      <c r="AJ772">
        <v>0.23840318620204931</v>
      </c>
      <c r="AK772" t="s">
        <v>54</v>
      </c>
      <c r="AL772" t="s">
        <v>54</v>
      </c>
      <c r="AM772" t="s">
        <v>5821</v>
      </c>
      <c r="AN772" s="148">
        <v>45292</v>
      </c>
      <c r="AO772" s="148">
        <v>45292</v>
      </c>
      <c r="AQ772" t="s">
        <v>54</v>
      </c>
      <c r="AR772" t="s">
        <v>5813</v>
      </c>
      <c r="AS772" s="148">
        <v>45292</v>
      </c>
      <c r="AT772" t="s">
        <v>6314</v>
      </c>
      <c r="AW772" t="s">
        <v>53</v>
      </c>
      <c r="AX772" t="s">
        <v>5450</v>
      </c>
      <c r="AZ772" t="s">
        <v>54</v>
      </c>
      <c r="BA772" t="s">
        <v>5780</v>
      </c>
    </row>
    <row r="773" spans="1:53" x14ac:dyDescent="0.25">
      <c r="A773">
        <v>768</v>
      </c>
      <c r="B773" t="s">
        <v>6362</v>
      </c>
      <c r="C773" t="s">
        <v>6363</v>
      </c>
      <c r="D773" t="s">
        <v>6364</v>
      </c>
      <c r="E773">
        <v>5</v>
      </c>
      <c r="F773" t="s">
        <v>5772</v>
      </c>
      <c r="G773" t="s">
        <v>5847</v>
      </c>
      <c r="H773" t="s">
        <v>5848</v>
      </c>
      <c r="I773" t="s">
        <v>5849</v>
      </c>
      <c r="J773" t="s">
        <v>5850</v>
      </c>
      <c r="K773" t="s">
        <v>5851</v>
      </c>
      <c r="L773" t="s">
        <v>5878</v>
      </c>
      <c r="M773">
        <v>4.8905148506164551</v>
      </c>
      <c r="N773" t="s">
        <v>54</v>
      </c>
      <c r="O773" t="s">
        <v>53</v>
      </c>
      <c r="P773" t="s">
        <v>53</v>
      </c>
      <c r="Q773" t="s">
        <v>53</v>
      </c>
      <c r="R773" t="s">
        <v>54</v>
      </c>
      <c r="S773" t="s">
        <v>5853</v>
      </c>
      <c r="T773" t="s">
        <v>5853</v>
      </c>
      <c r="U773" t="s">
        <v>54</v>
      </c>
      <c r="V773" t="s">
        <v>51</v>
      </c>
      <c r="W773">
        <v>500000</v>
      </c>
      <c r="X773" t="s">
        <v>54</v>
      </c>
      <c r="AA773">
        <v>1</v>
      </c>
      <c r="AB773">
        <v>1</v>
      </c>
      <c r="AC773">
        <v>0</v>
      </c>
      <c r="AD773">
        <v>0</v>
      </c>
      <c r="AE773">
        <v>0</v>
      </c>
      <c r="AF773">
        <v>0</v>
      </c>
      <c r="AG773">
        <v>0</v>
      </c>
      <c r="AH773">
        <v>1.92546558380127</v>
      </c>
      <c r="AI773">
        <v>0</v>
      </c>
      <c r="AJ773">
        <v>258.322265625</v>
      </c>
      <c r="AK773" t="s">
        <v>54</v>
      </c>
      <c r="AL773" t="s">
        <v>54</v>
      </c>
      <c r="AM773" t="s">
        <v>5854</v>
      </c>
      <c r="AQ773" t="s">
        <v>54</v>
      </c>
      <c r="AR773" t="s">
        <v>5813</v>
      </c>
      <c r="AS773" s="148">
        <v>45292</v>
      </c>
      <c r="AT773" t="s">
        <v>6314</v>
      </c>
      <c r="AW773" t="s">
        <v>53</v>
      </c>
      <c r="AZ773" t="s">
        <v>54</v>
      </c>
      <c r="BA773" t="s">
        <v>5780</v>
      </c>
    </row>
    <row r="774" spans="1:53" x14ac:dyDescent="0.25">
      <c r="A774">
        <v>769</v>
      </c>
      <c r="B774" t="s">
        <v>6365</v>
      </c>
      <c r="C774" t="s">
        <v>6366</v>
      </c>
      <c r="D774" t="s">
        <v>6367</v>
      </c>
      <c r="E774">
        <v>5</v>
      </c>
      <c r="F774" t="s">
        <v>5772</v>
      </c>
      <c r="G774" t="s">
        <v>5835</v>
      </c>
      <c r="H774" t="s">
        <v>6230</v>
      </c>
      <c r="I774" t="s">
        <v>6231</v>
      </c>
      <c r="J774" t="s">
        <v>6232</v>
      </c>
      <c r="K774" t="s">
        <v>6233</v>
      </c>
      <c r="L774" t="s">
        <v>6320</v>
      </c>
      <c r="M774">
        <v>3.2461931705474849</v>
      </c>
      <c r="N774" t="s">
        <v>54</v>
      </c>
      <c r="O774" t="s">
        <v>53</v>
      </c>
      <c r="P774" t="s">
        <v>53</v>
      </c>
      <c r="Q774" t="s">
        <v>53</v>
      </c>
      <c r="R774" t="s">
        <v>54</v>
      </c>
      <c r="S774" t="s">
        <v>6234</v>
      </c>
      <c r="T774" t="s">
        <v>6234</v>
      </c>
      <c r="U774" t="s">
        <v>54</v>
      </c>
      <c r="V774" t="s">
        <v>51</v>
      </c>
      <c r="W774">
        <v>100000</v>
      </c>
      <c r="X774" t="s">
        <v>54</v>
      </c>
      <c r="AA774">
        <v>2</v>
      </c>
      <c r="AB774">
        <v>2</v>
      </c>
      <c r="AC774">
        <v>9</v>
      </c>
      <c r="AD774">
        <v>27</v>
      </c>
      <c r="AE774">
        <v>27</v>
      </c>
      <c r="AF774">
        <v>0</v>
      </c>
      <c r="AG774">
        <v>0</v>
      </c>
      <c r="AH774">
        <v>0</v>
      </c>
      <c r="AI774">
        <v>0</v>
      </c>
      <c r="AJ774">
        <v>17.750997543334961</v>
      </c>
      <c r="AK774" t="s">
        <v>54</v>
      </c>
      <c r="AL774" t="s">
        <v>54</v>
      </c>
      <c r="AM774" t="s">
        <v>5821</v>
      </c>
      <c r="AN774" s="148">
        <v>45292</v>
      </c>
      <c r="AO774" s="148">
        <v>45292</v>
      </c>
      <c r="AQ774" t="s">
        <v>54</v>
      </c>
      <c r="AR774" t="s">
        <v>6368</v>
      </c>
      <c r="AS774" s="148">
        <v>45292</v>
      </c>
      <c r="AT774" t="s">
        <v>5843</v>
      </c>
      <c r="AW774" t="s">
        <v>53</v>
      </c>
      <c r="AX774" t="s">
        <v>5450</v>
      </c>
      <c r="AZ774" t="s">
        <v>54</v>
      </c>
      <c r="BA774" t="s">
        <v>5780</v>
      </c>
    </row>
    <row r="775" spans="1:53" x14ac:dyDescent="0.25">
      <c r="A775">
        <v>770</v>
      </c>
      <c r="B775" t="s">
        <v>6369</v>
      </c>
      <c r="C775" t="s">
        <v>6370</v>
      </c>
      <c r="D775" t="s">
        <v>6371</v>
      </c>
      <c r="E775">
        <v>5</v>
      </c>
      <c r="F775" t="s">
        <v>5772</v>
      </c>
      <c r="G775" t="s">
        <v>5835</v>
      </c>
      <c r="H775" t="s">
        <v>6230</v>
      </c>
      <c r="I775" t="s">
        <v>6231</v>
      </c>
      <c r="J775" t="s">
        <v>6232</v>
      </c>
      <c r="K775" t="s">
        <v>6233</v>
      </c>
      <c r="L775" t="s">
        <v>6051</v>
      </c>
      <c r="M775">
        <v>2.0981378555297852</v>
      </c>
      <c r="N775" t="s">
        <v>54</v>
      </c>
      <c r="O775" t="s">
        <v>53</v>
      </c>
      <c r="P775" t="s">
        <v>53</v>
      </c>
      <c r="Q775" t="s">
        <v>53</v>
      </c>
      <c r="R775" t="s">
        <v>54</v>
      </c>
      <c r="S775" t="s">
        <v>6234</v>
      </c>
      <c r="T775" t="s">
        <v>6234</v>
      </c>
      <c r="U775" t="s">
        <v>54</v>
      </c>
      <c r="V775" t="s">
        <v>51</v>
      </c>
      <c r="W775">
        <v>125000</v>
      </c>
      <c r="X775" t="s">
        <v>54</v>
      </c>
      <c r="AA775">
        <v>27</v>
      </c>
      <c r="AB775">
        <v>17</v>
      </c>
      <c r="AC775">
        <v>24</v>
      </c>
      <c r="AD775">
        <v>82</v>
      </c>
      <c r="AE775">
        <v>82</v>
      </c>
      <c r="AF775">
        <v>0</v>
      </c>
      <c r="AG775">
        <v>1</v>
      </c>
      <c r="AH775">
        <v>0.61809378862380981</v>
      </c>
      <c r="AI775">
        <v>1</v>
      </c>
      <c r="AJ775">
        <v>1.21292507648468</v>
      </c>
      <c r="AK775" t="s">
        <v>54</v>
      </c>
      <c r="AL775" t="s">
        <v>53</v>
      </c>
      <c r="AQ775" t="s">
        <v>53</v>
      </c>
      <c r="AT775" t="s">
        <v>5843</v>
      </c>
      <c r="AW775" t="s">
        <v>53</v>
      </c>
      <c r="AX775" t="s">
        <v>5450</v>
      </c>
      <c r="AZ775" t="s">
        <v>54</v>
      </c>
      <c r="BA775" t="s">
        <v>5780</v>
      </c>
    </row>
    <row r="776" spans="1:53" x14ac:dyDescent="0.25">
      <c r="A776">
        <v>771</v>
      </c>
      <c r="B776" t="s">
        <v>6372</v>
      </c>
      <c r="C776" t="s">
        <v>6373</v>
      </c>
      <c r="D776" t="s">
        <v>6374</v>
      </c>
      <c r="E776">
        <v>5</v>
      </c>
      <c r="F776" t="s">
        <v>5772</v>
      </c>
      <c r="G776" t="s">
        <v>5835</v>
      </c>
      <c r="H776" t="s">
        <v>6230</v>
      </c>
      <c r="I776" t="s">
        <v>6231</v>
      </c>
      <c r="J776" t="s">
        <v>6232</v>
      </c>
      <c r="K776" t="s">
        <v>6233</v>
      </c>
      <c r="L776" t="s">
        <v>6320</v>
      </c>
      <c r="M776">
        <v>1.6090825796127319</v>
      </c>
      <c r="N776" t="s">
        <v>54</v>
      </c>
      <c r="O776" t="s">
        <v>53</v>
      </c>
      <c r="P776" t="s">
        <v>53</v>
      </c>
      <c r="Q776" t="s">
        <v>53</v>
      </c>
      <c r="R776" t="s">
        <v>54</v>
      </c>
      <c r="S776" t="s">
        <v>6234</v>
      </c>
      <c r="T776" t="s">
        <v>6234</v>
      </c>
      <c r="U776" t="s">
        <v>54</v>
      </c>
      <c r="V776" t="s">
        <v>51</v>
      </c>
      <c r="W776">
        <v>50000</v>
      </c>
      <c r="X776" t="s">
        <v>54</v>
      </c>
      <c r="AA776">
        <v>10</v>
      </c>
      <c r="AB776">
        <v>10</v>
      </c>
      <c r="AC776">
        <v>22</v>
      </c>
      <c r="AD776">
        <v>71</v>
      </c>
      <c r="AE776">
        <v>71</v>
      </c>
      <c r="AF776">
        <v>0</v>
      </c>
      <c r="AG776">
        <v>0</v>
      </c>
      <c r="AH776">
        <v>0.27109244465827942</v>
      </c>
      <c r="AI776">
        <v>0</v>
      </c>
      <c r="AJ776">
        <v>0.5100894570350647</v>
      </c>
      <c r="AK776" t="s">
        <v>54</v>
      </c>
      <c r="AL776" t="s">
        <v>53</v>
      </c>
      <c r="AQ776" t="s">
        <v>53</v>
      </c>
      <c r="AT776" t="s">
        <v>5843</v>
      </c>
      <c r="AW776" t="s">
        <v>53</v>
      </c>
      <c r="AX776" t="s">
        <v>5450</v>
      </c>
      <c r="AZ776" t="s">
        <v>54</v>
      </c>
      <c r="BA776" t="s">
        <v>5780</v>
      </c>
    </row>
    <row r="777" spans="1:53" x14ac:dyDescent="0.25">
      <c r="A777">
        <v>772</v>
      </c>
      <c r="B777" t="s">
        <v>6375</v>
      </c>
      <c r="C777" t="s">
        <v>6376</v>
      </c>
      <c r="D777" t="s">
        <v>6377</v>
      </c>
      <c r="E777">
        <v>5</v>
      </c>
      <c r="F777" t="s">
        <v>5772</v>
      </c>
      <c r="G777" t="s">
        <v>5835</v>
      </c>
      <c r="H777" t="s">
        <v>6230</v>
      </c>
      <c r="I777" t="s">
        <v>6231</v>
      </c>
      <c r="J777" t="s">
        <v>6232</v>
      </c>
      <c r="K777" t="s">
        <v>6233</v>
      </c>
      <c r="L777" t="s">
        <v>6320</v>
      </c>
      <c r="M777">
        <v>10.6383113861084</v>
      </c>
      <c r="N777" t="s">
        <v>54</v>
      </c>
      <c r="O777" t="s">
        <v>53</v>
      </c>
      <c r="P777" t="s">
        <v>53</v>
      </c>
      <c r="Q777" t="s">
        <v>53</v>
      </c>
      <c r="R777" t="s">
        <v>54</v>
      </c>
      <c r="S777" t="s">
        <v>6234</v>
      </c>
      <c r="T777" t="s">
        <v>6234</v>
      </c>
      <c r="U777" t="s">
        <v>54</v>
      </c>
      <c r="V777" t="s">
        <v>51</v>
      </c>
      <c r="W777">
        <v>100000</v>
      </c>
      <c r="X777" t="s">
        <v>54</v>
      </c>
      <c r="AA777">
        <v>230</v>
      </c>
      <c r="AB777">
        <v>207</v>
      </c>
      <c r="AC777">
        <v>223</v>
      </c>
      <c r="AD777">
        <v>622</v>
      </c>
      <c r="AE777">
        <v>631</v>
      </c>
      <c r="AF777">
        <v>0</v>
      </c>
      <c r="AG777">
        <v>1</v>
      </c>
      <c r="AH777">
        <v>4.0301494598388672</v>
      </c>
      <c r="AI777">
        <v>1</v>
      </c>
      <c r="AJ777">
        <v>5.9648013114929199</v>
      </c>
      <c r="AK777" t="s">
        <v>54</v>
      </c>
      <c r="AL777" t="s">
        <v>54</v>
      </c>
      <c r="AM777" t="s">
        <v>5821</v>
      </c>
      <c r="AN777" s="148">
        <v>45292</v>
      </c>
      <c r="AO777" s="148">
        <v>45292</v>
      </c>
      <c r="AQ777" t="s">
        <v>54</v>
      </c>
      <c r="AR777" t="s">
        <v>6368</v>
      </c>
      <c r="AS777" s="148">
        <v>45292</v>
      </c>
      <c r="AT777" t="s">
        <v>5843</v>
      </c>
      <c r="AW777" t="s">
        <v>53</v>
      </c>
      <c r="AX777" t="s">
        <v>5450</v>
      </c>
      <c r="AZ777" t="s">
        <v>54</v>
      </c>
      <c r="BA777" t="s">
        <v>5780</v>
      </c>
    </row>
    <row r="778" spans="1:53" x14ac:dyDescent="0.25">
      <c r="A778">
        <v>773</v>
      </c>
      <c r="B778" t="s">
        <v>6378</v>
      </c>
      <c r="C778" t="s">
        <v>6379</v>
      </c>
      <c r="D778" t="s">
        <v>6380</v>
      </c>
      <c r="E778">
        <v>5</v>
      </c>
      <c r="F778" t="s">
        <v>5772</v>
      </c>
      <c r="G778" t="s">
        <v>5835</v>
      </c>
      <c r="H778" t="s">
        <v>6381</v>
      </c>
      <c r="I778" t="s">
        <v>6382</v>
      </c>
      <c r="J778" t="s">
        <v>6383</v>
      </c>
      <c r="K778" t="s">
        <v>6384</v>
      </c>
      <c r="L778" t="s">
        <v>6051</v>
      </c>
      <c r="M778">
        <v>0.48475649952888489</v>
      </c>
      <c r="N778" t="s">
        <v>54</v>
      </c>
      <c r="O778" t="s">
        <v>53</v>
      </c>
      <c r="P778" t="s">
        <v>53</v>
      </c>
      <c r="Q778" t="s">
        <v>53</v>
      </c>
      <c r="R778" t="s">
        <v>53</v>
      </c>
      <c r="S778" t="s">
        <v>6234</v>
      </c>
      <c r="T778" t="s">
        <v>6234</v>
      </c>
      <c r="U778" t="s">
        <v>54</v>
      </c>
      <c r="V778" t="s">
        <v>51</v>
      </c>
      <c r="W778">
        <v>75000</v>
      </c>
      <c r="X778" t="s">
        <v>54</v>
      </c>
      <c r="AA778">
        <v>130</v>
      </c>
      <c r="AB778">
        <v>129</v>
      </c>
      <c r="AC778">
        <v>114</v>
      </c>
      <c r="AD778">
        <v>357</v>
      </c>
      <c r="AE778">
        <v>360</v>
      </c>
      <c r="AF778">
        <v>0</v>
      </c>
      <c r="AG778">
        <v>0</v>
      </c>
      <c r="AH778">
        <v>1.958768844604492</v>
      </c>
      <c r="AI778">
        <v>0</v>
      </c>
      <c r="AJ778">
        <v>2.408648014068604</v>
      </c>
      <c r="AK778" t="s">
        <v>54</v>
      </c>
      <c r="AL778" t="s">
        <v>53</v>
      </c>
      <c r="AQ778" t="s">
        <v>53</v>
      </c>
      <c r="AT778" t="s">
        <v>5843</v>
      </c>
      <c r="AW778" t="s">
        <v>53</v>
      </c>
      <c r="AX778" t="s">
        <v>5450</v>
      </c>
      <c r="AZ778" t="s">
        <v>54</v>
      </c>
      <c r="BA778" t="s">
        <v>5780</v>
      </c>
    </row>
    <row r="779" spans="1:53" x14ac:dyDescent="0.25">
      <c r="A779">
        <v>774</v>
      </c>
      <c r="B779" t="s">
        <v>6385</v>
      </c>
      <c r="C779" t="s">
        <v>6386</v>
      </c>
      <c r="D779" t="s">
        <v>6387</v>
      </c>
      <c r="E779">
        <v>5</v>
      </c>
      <c r="F779" t="s">
        <v>5772</v>
      </c>
      <c r="G779" t="s">
        <v>5910</v>
      </c>
      <c r="H779" t="s">
        <v>5911</v>
      </c>
      <c r="I779" t="s">
        <v>6069</v>
      </c>
      <c r="J779" t="s">
        <v>6070</v>
      </c>
      <c r="K779" t="s">
        <v>6071</v>
      </c>
      <c r="L779" t="s">
        <v>5840</v>
      </c>
      <c r="M779">
        <v>27.689777374267582</v>
      </c>
      <c r="N779" t="s">
        <v>54</v>
      </c>
      <c r="O779" t="s">
        <v>53</v>
      </c>
      <c r="P779" t="s">
        <v>54</v>
      </c>
      <c r="Q779" t="s">
        <v>53</v>
      </c>
      <c r="R779" t="s">
        <v>53</v>
      </c>
      <c r="S779" t="s">
        <v>6072</v>
      </c>
      <c r="T779" t="s">
        <v>6072</v>
      </c>
      <c r="U779" t="s">
        <v>54</v>
      </c>
      <c r="V779" t="s">
        <v>51</v>
      </c>
      <c r="W779">
        <v>100000</v>
      </c>
      <c r="X779" t="s">
        <v>54</v>
      </c>
      <c r="AA779">
        <v>446</v>
      </c>
      <c r="AB779">
        <v>185</v>
      </c>
      <c r="AC779">
        <v>3965</v>
      </c>
      <c r="AD779">
        <v>2012</v>
      </c>
      <c r="AE779">
        <v>5331</v>
      </c>
      <c r="AF779">
        <v>1</v>
      </c>
      <c r="AG779">
        <v>0</v>
      </c>
      <c r="AH779">
        <v>13.783140182495121</v>
      </c>
      <c r="AI779">
        <v>0</v>
      </c>
      <c r="AJ779">
        <v>4.4304699897766113</v>
      </c>
      <c r="AK779" t="s">
        <v>54</v>
      </c>
      <c r="AL779" t="s">
        <v>53</v>
      </c>
      <c r="AQ779" t="s">
        <v>54</v>
      </c>
      <c r="AR779" t="s">
        <v>5778</v>
      </c>
      <c r="AT779" t="s">
        <v>6074</v>
      </c>
      <c r="AW779" t="s">
        <v>53</v>
      </c>
      <c r="AX779" t="s">
        <v>5450</v>
      </c>
      <c r="AZ779" t="s">
        <v>54</v>
      </c>
      <c r="BA779" t="s">
        <v>5780</v>
      </c>
    </row>
    <row r="780" spans="1:53" x14ac:dyDescent="0.25">
      <c r="A780">
        <v>775</v>
      </c>
      <c r="B780" t="s">
        <v>6388</v>
      </c>
      <c r="C780" t="s">
        <v>6389</v>
      </c>
      <c r="D780" t="s">
        <v>6390</v>
      </c>
      <c r="E780">
        <v>5</v>
      </c>
      <c r="F780" t="s">
        <v>5772</v>
      </c>
      <c r="G780" t="s">
        <v>5835</v>
      </c>
      <c r="H780" t="s">
        <v>5836</v>
      </c>
      <c r="I780" t="s">
        <v>5837</v>
      </c>
      <c r="J780" t="s">
        <v>5838</v>
      </c>
      <c r="K780" t="s">
        <v>5839</v>
      </c>
      <c r="L780" t="s">
        <v>6043</v>
      </c>
      <c r="M780">
        <v>0.4090583324432373</v>
      </c>
      <c r="N780" t="s">
        <v>54</v>
      </c>
      <c r="O780" t="s">
        <v>53</v>
      </c>
      <c r="P780" t="s">
        <v>53</v>
      </c>
      <c r="Q780" t="s">
        <v>53</v>
      </c>
      <c r="R780" t="s">
        <v>53</v>
      </c>
      <c r="S780" t="s">
        <v>5841</v>
      </c>
      <c r="T780" t="s">
        <v>5841</v>
      </c>
      <c r="U780" t="s">
        <v>54</v>
      </c>
      <c r="V780" t="s">
        <v>138</v>
      </c>
      <c r="W780">
        <v>200000</v>
      </c>
      <c r="X780" t="s">
        <v>54</v>
      </c>
      <c r="AA780">
        <v>129</v>
      </c>
      <c r="AB780">
        <v>123</v>
      </c>
      <c r="AC780">
        <v>81</v>
      </c>
      <c r="AD780">
        <v>234</v>
      </c>
      <c r="AE780">
        <v>237</v>
      </c>
      <c r="AF780">
        <v>0</v>
      </c>
      <c r="AG780">
        <v>0</v>
      </c>
      <c r="AH780">
        <v>2.3294997215271001</v>
      </c>
      <c r="AI780">
        <v>0</v>
      </c>
      <c r="AJ780">
        <v>0.1211110427975655</v>
      </c>
      <c r="AK780" t="s">
        <v>54</v>
      </c>
      <c r="AL780" t="s">
        <v>53</v>
      </c>
      <c r="AQ780" t="s">
        <v>54</v>
      </c>
      <c r="AR780" t="s">
        <v>5842</v>
      </c>
      <c r="AS780" s="148">
        <v>45292</v>
      </c>
      <c r="AT780" t="s">
        <v>5779</v>
      </c>
      <c r="AW780" t="s">
        <v>53</v>
      </c>
      <c r="AX780" t="s">
        <v>5450</v>
      </c>
      <c r="AZ780" t="s">
        <v>54</v>
      </c>
      <c r="BA780" t="s">
        <v>5780</v>
      </c>
    </row>
    <row r="781" spans="1:53" x14ac:dyDescent="0.25">
      <c r="A781">
        <v>776</v>
      </c>
      <c r="B781" t="s">
        <v>6391</v>
      </c>
      <c r="C781" t="s">
        <v>6392</v>
      </c>
      <c r="D781" t="s">
        <v>6393</v>
      </c>
      <c r="E781">
        <v>5</v>
      </c>
      <c r="F781" t="s">
        <v>5772</v>
      </c>
      <c r="G781" t="s">
        <v>5835</v>
      </c>
      <c r="H781" t="s">
        <v>5836</v>
      </c>
      <c r="I781" t="s">
        <v>5837</v>
      </c>
      <c r="J781" t="s">
        <v>5838</v>
      </c>
      <c r="K781" t="s">
        <v>5839</v>
      </c>
      <c r="L781" t="s">
        <v>5811</v>
      </c>
      <c r="M781">
        <v>0.40774500370025629</v>
      </c>
      <c r="N781" t="s">
        <v>54</v>
      </c>
      <c r="O781" t="s">
        <v>53</v>
      </c>
      <c r="P781" t="s">
        <v>53</v>
      </c>
      <c r="Q781" t="s">
        <v>53</v>
      </c>
      <c r="R781" t="s">
        <v>53</v>
      </c>
      <c r="S781" t="s">
        <v>5841</v>
      </c>
      <c r="T781" t="s">
        <v>5841</v>
      </c>
      <c r="U781" t="s">
        <v>54</v>
      </c>
      <c r="V781" t="s">
        <v>51</v>
      </c>
      <c r="W781">
        <v>50000</v>
      </c>
      <c r="X781" t="s">
        <v>54</v>
      </c>
      <c r="AA781">
        <v>129</v>
      </c>
      <c r="AB781">
        <v>123</v>
      </c>
      <c r="AC781">
        <v>81</v>
      </c>
      <c r="AD781">
        <v>234</v>
      </c>
      <c r="AE781">
        <v>237</v>
      </c>
      <c r="AF781">
        <v>0</v>
      </c>
      <c r="AG781">
        <v>0</v>
      </c>
      <c r="AH781">
        <v>2.3294997215271001</v>
      </c>
      <c r="AI781">
        <v>0</v>
      </c>
      <c r="AJ781">
        <v>0.1211110427975655</v>
      </c>
      <c r="AK781" t="s">
        <v>54</v>
      </c>
      <c r="AL781" t="s">
        <v>53</v>
      </c>
      <c r="AQ781" t="s">
        <v>54</v>
      </c>
      <c r="AR781" t="s">
        <v>5842</v>
      </c>
      <c r="AS781" s="148">
        <v>45292</v>
      </c>
      <c r="AT781" t="s">
        <v>5843</v>
      </c>
      <c r="AW781" t="s">
        <v>53</v>
      </c>
      <c r="AX781" t="s">
        <v>5450</v>
      </c>
      <c r="AZ781" t="s">
        <v>54</v>
      </c>
      <c r="BA781" t="s">
        <v>5780</v>
      </c>
    </row>
    <row r="782" spans="1:53" x14ac:dyDescent="0.25">
      <c r="A782">
        <v>777</v>
      </c>
      <c r="B782" t="s">
        <v>6394</v>
      </c>
      <c r="C782" t="s">
        <v>6395</v>
      </c>
      <c r="D782" t="s">
        <v>6396</v>
      </c>
      <c r="E782">
        <v>5</v>
      </c>
      <c r="F782" t="s">
        <v>5772</v>
      </c>
      <c r="G782" t="s">
        <v>5835</v>
      </c>
      <c r="H782" t="s">
        <v>5836</v>
      </c>
      <c r="I782" t="s">
        <v>5837</v>
      </c>
      <c r="J782" t="s">
        <v>5838</v>
      </c>
      <c r="K782" t="s">
        <v>5839</v>
      </c>
      <c r="L782" t="s">
        <v>6051</v>
      </c>
      <c r="M782">
        <v>0.40815871953964228</v>
      </c>
      <c r="N782" t="s">
        <v>54</v>
      </c>
      <c r="O782" t="s">
        <v>53</v>
      </c>
      <c r="P782" t="s">
        <v>53</v>
      </c>
      <c r="Q782" t="s">
        <v>53</v>
      </c>
      <c r="R782" t="s">
        <v>53</v>
      </c>
      <c r="S782" t="s">
        <v>5841</v>
      </c>
      <c r="T782" t="s">
        <v>5841</v>
      </c>
      <c r="U782" t="s">
        <v>54</v>
      </c>
      <c r="V782" t="s">
        <v>51</v>
      </c>
      <c r="W782">
        <v>50000</v>
      </c>
      <c r="X782" t="s">
        <v>54</v>
      </c>
      <c r="AA782">
        <v>129</v>
      </c>
      <c r="AB782">
        <v>123</v>
      </c>
      <c r="AC782">
        <v>81</v>
      </c>
      <c r="AD782">
        <v>234</v>
      </c>
      <c r="AE782">
        <v>237</v>
      </c>
      <c r="AF782">
        <v>0</v>
      </c>
      <c r="AG782">
        <v>0</v>
      </c>
      <c r="AH782">
        <v>2.3294997215271001</v>
      </c>
      <c r="AI782">
        <v>0</v>
      </c>
      <c r="AJ782">
        <v>0.1211110427975655</v>
      </c>
      <c r="AK782" t="s">
        <v>54</v>
      </c>
      <c r="AL782" t="s">
        <v>53</v>
      </c>
      <c r="AQ782" t="s">
        <v>54</v>
      </c>
      <c r="AR782" t="s">
        <v>5842</v>
      </c>
      <c r="AS782" s="148">
        <v>45292</v>
      </c>
      <c r="AT782" t="s">
        <v>5843</v>
      </c>
      <c r="AW782" t="s">
        <v>53</v>
      </c>
      <c r="AX782" t="s">
        <v>5450</v>
      </c>
      <c r="AZ782" t="s">
        <v>54</v>
      </c>
      <c r="BA782" t="s">
        <v>5780</v>
      </c>
    </row>
    <row r="783" spans="1:53" x14ac:dyDescent="0.25">
      <c r="A783">
        <v>778</v>
      </c>
      <c r="B783" t="s">
        <v>6397</v>
      </c>
      <c r="C783" t="s">
        <v>6398</v>
      </c>
      <c r="D783" t="s">
        <v>6396</v>
      </c>
      <c r="E783">
        <v>5</v>
      </c>
      <c r="F783" t="s">
        <v>5772</v>
      </c>
      <c r="G783" t="s">
        <v>5835</v>
      </c>
      <c r="H783" t="s">
        <v>6381</v>
      </c>
      <c r="I783" t="s">
        <v>6382</v>
      </c>
      <c r="J783" t="s">
        <v>6399</v>
      </c>
      <c r="K783" t="s">
        <v>6400</v>
      </c>
      <c r="L783" t="s">
        <v>6051</v>
      </c>
      <c r="M783">
        <v>4.4074783325195313</v>
      </c>
      <c r="N783" t="s">
        <v>54</v>
      </c>
      <c r="O783" t="s">
        <v>53</v>
      </c>
      <c r="P783" t="s">
        <v>53</v>
      </c>
      <c r="Q783" t="s">
        <v>53</v>
      </c>
      <c r="R783" t="s">
        <v>53</v>
      </c>
      <c r="S783" t="s">
        <v>6225</v>
      </c>
      <c r="T783" t="s">
        <v>6225</v>
      </c>
      <c r="U783" t="s">
        <v>54</v>
      </c>
      <c r="V783" t="s">
        <v>51</v>
      </c>
      <c r="W783">
        <v>50000</v>
      </c>
      <c r="X783" t="s">
        <v>54</v>
      </c>
      <c r="AA783">
        <v>135</v>
      </c>
      <c r="AB783">
        <v>96</v>
      </c>
      <c r="AC783">
        <v>113</v>
      </c>
      <c r="AD783">
        <v>228</v>
      </c>
      <c r="AE783">
        <v>266</v>
      </c>
      <c r="AF783">
        <v>0</v>
      </c>
      <c r="AG783">
        <v>4</v>
      </c>
      <c r="AH783">
        <v>2.8014540672302251</v>
      </c>
      <c r="AI783">
        <v>4</v>
      </c>
      <c r="AJ783">
        <v>3.7084438800811772</v>
      </c>
      <c r="AK783" t="s">
        <v>54</v>
      </c>
      <c r="AL783" t="s">
        <v>54</v>
      </c>
      <c r="AM783" t="s">
        <v>6226</v>
      </c>
      <c r="AN783" s="148">
        <v>45168</v>
      </c>
      <c r="AO783" s="148">
        <v>45168</v>
      </c>
      <c r="AQ783" t="s">
        <v>54</v>
      </c>
      <c r="AR783" t="s">
        <v>6227</v>
      </c>
      <c r="AS783" s="148">
        <v>45168</v>
      </c>
      <c r="AT783" t="s">
        <v>5843</v>
      </c>
      <c r="AW783" t="s">
        <v>53</v>
      </c>
      <c r="AX783" t="s">
        <v>5450</v>
      </c>
      <c r="AZ783" t="s">
        <v>54</v>
      </c>
      <c r="BA783" t="s">
        <v>5780</v>
      </c>
    </row>
    <row r="784" spans="1:53" x14ac:dyDescent="0.25">
      <c r="A784">
        <v>779</v>
      </c>
      <c r="B784" t="s">
        <v>6401</v>
      </c>
      <c r="C784" t="s">
        <v>6402</v>
      </c>
      <c r="D784" t="s">
        <v>6403</v>
      </c>
      <c r="E784">
        <v>5</v>
      </c>
      <c r="F784" t="s">
        <v>5772</v>
      </c>
      <c r="G784" t="s">
        <v>5538</v>
      </c>
      <c r="H784" t="s">
        <v>6009</v>
      </c>
      <c r="I784" t="s">
        <v>6010</v>
      </c>
      <c r="J784" t="s">
        <v>6404</v>
      </c>
      <c r="K784" t="s">
        <v>6405</v>
      </c>
      <c r="L784" t="s">
        <v>6320</v>
      </c>
      <c r="M784">
        <v>2.8489689826965332</v>
      </c>
      <c r="N784" t="s">
        <v>54</v>
      </c>
      <c r="O784" t="s">
        <v>53</v>
      </c>
      <c r="P784" t="s">
        <v>53</v>
      </c>
      <c r="Q784" t="s">
        <v>53</v>
      </c>
      <c r="R784" t="s">
        <v>54</v>
      </c>
      <c r="S784" t="s">
        <v>5696</v>
      </c>
      <c r="T784" t="s">
        <v>5696</v>
      </c>
      <c r="U784" t="s">
        <v>54</v>
      </c>
      <c r="V784" t="s">
        <v>51</v>
      </c>
      <c r="W784">
        <v>100000</v>
      </c>
      <c r="X784" t="s">
        <v>54</v>
      </c>
      <c r="AA784">
        <v>150</v>
      </c>
      <c r="AB784">
        <v>111</v>
      </c>
      <c r="AC784">
        <v>183</v>
      </c>
      <c r="AD784">
        <v>411</v>
      </c>
      <c r="AE784">
        <v>471</v>
      </c>
      <c r="AF784">
        <v>0</v>
      </c>
      <c r="AG784">
        <v>3</v>
      </c>
      <c r="AH784">
        <v>2.1116423606872559</v>
      </c>
      <c r="AI784">
        <v>3</v>
      </c>
      <c r="AJ784">
        <v>5.5413350462913513E-2</v>
      </c>
      <c r="AK784" t="s">
        <v>54</v>
      </c>
      <c r="AL784" t="s">
        <v>54</v>
      </c>
      <c r="AM784" t="s">
        <v>5821</v>
      </c>
      <c r="AN784" s="148">
        <v>45292</v>
      </c>
      <c r="AO784" s="148">
        <v>45292</v>
      </c>
      <c r="AQ784" t="s">
        <v>54</v>
      </c>
      <c r="AR784" t="s">
        <v>5842</v>
      </c>
      <c r="AS784" s="148">
        <v>45292</v>
      </c>
      <c r="AT784" t="s">
        <v>6406</v>
      </c>
      <c r="AW784" t="s">
        <v>53</v>
      </c>
      <c r="AX784" t="s">
        <v>5450</v>
      </c>
      <c r="AZ784" t="s">
        <v>54</v>
      </c>
      <c r="BA784" t="s">
        <v>5780</v>
      </c>
    </row>
    <row r="785" spans="1:53" x14ac:dyDescent="0.25">
      <c r="A785">
        <v>780</v>
      </c>
      <c r="B785" t="s">
        <v>6407</v>
      </c>
      <c r="C785" t="s">
        <v>6408</v>
      </c>
      <c r="D785" t="s">
        <v>6038</v>
      </c>
      <c r="E785">
        <v>5</v>
      </c>
      <c r="F785" t="s">
        <v>5772</v>
      </c>
      <c r="G785" t="s">
        <v>5538</v>
      </c>
      <c r="H785" t="s">
        <v>6409</v>
      </c>
      <c r="I785" t="s">
        <v>6410</v>
      </c>
      <c r="J785" t="s">
        <v>6411</v>
      </c>
      <c r="K785" t="s">
        <v>6412</v>
      </c>
      <c r="L785" t="s">
        <v>5829</v>
      </c>
      <c r="M785">
        <v>10.304924011230471</v>
      </c>
      <c r="N785" t="s">
        <v>54</v>
      </c>
      <c r="O785" t="s">
        <v>53</v>
      </c>
      <c r="P785" t="s">
        <v>53</v>
      </c>
      <c r="Q785" t="s">
        <v>53</v>
      </c>
      <c r="R785" t="s">
        <v>54</v>
      </c>
      <c r="S785" t="s">
        <v>5696</v>
      </c>
      <c r="T785" t="s">
        <v>5696</v>
      </c>
      <c r="U785" t="s">
        <v>54</v>
      </c>
      <c r="V785" t="s">
        <v>51</v>
      </c>
      <c r="W785">
        <v>100000</v>
      </c>
      <c r="X785" t="s">
        <v>54</v>
      </c>
      <c r="AA785">
        <v>541</v>
      </c>
      <c r="AB785">
        <v>416</v>
      </c>
      <c r="AC785">
        <v>695</v>
      </c>
      <c r="AD785">
        <v>1143</v>
      </c>
      <c r="AE785">
        <v>1462</v>
      </c>
      <c r="AF785">
        <v>1</v>
      </c>
      <c r="AG785">
        <v>5</v>
      </c>
      <c r="AH785">
        <v>13.10560512542725</v>
      </c>
      <c r="AI785">
        <v>5</v>
      </c>
      <c r="AJ785">
        <v>1.0961142778396611</v>
      </c>
      <c r="AK785" t="s">
        <v>54</v>
      </c>
      <c r="AL785" t="s">
        <v>53</v>
      </c>
      <c r="AQ785" t="s">
        <v>54</v>
      </c>
      <c r="AR785" t="s">
        <v>5842</v>
      </c>
      <c r="AS785" s="148">
        <v>45292</v>
      </c>
      <c r="AT785" t="s">
        <v>6406</v>
      </c>
      <c r="AW785" t="s">
        <v>53</v>
      </c>
      <c r="AX785" t="s">
        <v>5450</v>
      </c>
      <c r="AZ785" t="s">
        <v>54</v>
      </c>
      <c r="BA785" t="s">
        <v>5780</v>
      </c>
    </row>
    <row r="786" spans="1:53" x14ac:dyDescent="0.25">
      <c r="A786">
        <v>781</v>
      </c>
      <c r="B786" t="s">
        <v>6413</v>
      </c>
      <c r="C786" t="s">
        <v>6414</v>
      </c>
      <c r="D786" t="s">
        <v>6415</v>
      </c>
      <c r="E786">
        <v>5</v>
      </c>
      <c r="F786" t="s">
        <v>5772</v>
      </c>
      <c r="G786" t="s">
        <v>5835</v>
      </c>
      <c r="H786" t="s">
        <v>6009</v>
      </c>
      <c r="I786" t="s">
        <v>6416</v>
      </c>
      <c r="J786" t="s">
        <v>6417</v>
      </c>
      <c r="K786" t="s">
        <v>6418</v>
      </c>
      <c r="L786" t="s">
        <v>6017</v>
      </c>
      <c r="M786">
        <v>49.77392578125</v>
      </c>
      <c r="N786" t="s">
        <v>54</v>
      </c>
      <c r="O786" t="s">
        <v>53</v>
      </c>
      <c r="P786" t="s">
        <v>53</v>
      </c>
      <c r="Q786" t="s">
        <v>53</v>
      </c>
      <c r="R786" t="s">
        <v>53</v>
      </c>
      <c r="S786" t="s">
        <v>5873</v>
      </c>
      <c r="T786" t="s">
        <v>5873</v>
      </c>
      <c r="U786" t="s">
        <v>54</v>
      </c>
      <c r="V786" t="s">
        <v>51</v>
      </c>
      <c r="W786">
        <v>150000</v>
      </c>
      <c r="X786" t="s">
        <v>54</v>
      </c>
      <c r="AA786">
        <v>23</v>
      </c>
      <c r="AB786">
        <v>3</v>
      </c>
      <c r="AC786">
        <v>10</v>
      </c>
      <c r="AD786">
        <v>11</v>
      </c>
      <c r="AE786">
        <v>17</v>
      </c>
      <c r="AF786">
        <v>0</v>
      </c>
      <c r="AG786">
        <v>0</v>
      </c>
      <c r="AH786">
        <v>7.6511960029602051</v>
      </c>
      <c r="AI786">
        <v>0</v>
      </c>
      <c r="AJ786">
        <v>14.945268630981451</v>
      </c>
      <c r="AK786" t="s">
        <v>54</v>
      </c>
      <c r="AL786" t="s">
        <v>53</v>
      </c>
      <c r="AQ786" t="s">
        <v>54</v>
      </c>
      <c r="AR786" t="s">
        <v>5842</v>
      </c>
      <c r="AS786" s="148">
        <v>45292</v>
      </c>
      <c r="AT786" t="s">
        <v>5843</v>
      </c>
      <c r="AW786" t="s">
        <v>53</v>
      </c>
      <c r="AX786" t="s">
        <v>5450</v>
      </c>
      <c r="AZ786" t="s">
        <v>54</v>
      </c>
      <c r="BA786" t="s">
        <v>5780</v>
      </c>
    </row>
    <row r="787" spans="1:53" x14ac:dyDescent="0.25">
      <c r="A787">
        <v>782</v>
      </c>
      <c r="B787" t="s">
        <v>6419</v>
      </c>
      <c r="C787" t="s">
        <v>6420</v>
      </c>
      <c r="D787" t="s">
        <v>6421</v>
      </c>
      <c r="E787">
        <v>5</v>
      </c>
      <c r="F787" t="s">
        <v>5772</v>
      </c>
      <c r="G787" t="s">
        <v>5835</v>
      </c>
      <c r="H787" t="s">
        <v>5871</v>
      </c>
      <c r="I787" t="s">
        <v>5872</v>
      </c>
      <c r="L787" t="s">
        <v>5829</v>
      </c>
      <c r="M787">
        <v>886.2706298828125</v>
      </c>
      <c r="N787" t="s">
        <v>54</v>
      </c>
      <c r="O787" t="s">
        <v>53</v>
      </c>
      <c r="P787" t="s">
        <v>53</v>
      </c>
      <c r="Q787" t="s">
        <v>53</v>
      </c>
      <c r="R787" t="s">
        <v>54</v>
      </c>
      <c r="S787" t="s">
        <v>5873</v>
      </c>
      <c r="T787" t="s">
        <v>5873</v>
      </c>
      <c r="U787" t="s">
        <v>54</v>
      </c>
      <c r="V787" t="s">
        <v>51</v>
      </c>
      <c r="W787">
        <v>1000000</v>
      </c>
      <c r="X787" t="s">
        <v>54</v>
      </c>
      <c r="AA787">
        <v>3676</v>
      </c>
      <c r="AB787">
        <v>2636</v>
      </c>
      <c r="AC787">
        <v>5703</v>
      </c>
      <c r="AD787">
        <v>7210</v>
      </c>
      <c r="AE787">
        <v>10526</v>
      </c>
      <c r="AF787">
        <v>25</v>
      </c>
      <c r="AG787">
        <v>13</v>
      </c>
      <c r="AH787">
        <v>135.74409484863281</v>
      </c>
      <c r="AI787">
        <v>13</v>
      </c>
      <c r="AJ787">
        <v>743.46661376953125</v>
      </c>
      <c r="AK787" t="s">
        <v>54</v>
      </c>
      <c r="AL787" t="s">
        <v>54</v>
      </c>
      <c r="AM787" t="s">
        <v>5821</v>
      </c>
      <c r="AN787" s="148">
        <v>45292</v>
      </c>
      <c r="AO787" s="148">
        <v>45292</v>
      </c>
      <c r="AQ787" t="s">
        <v>54</v>
      </c>
      <c r="AR787" t="s">
        <v>5842</v>
      </c>
      <c r="AS787" s="148">
        <v>45292</v>
      </c>
      <c r="AT787" t="s">
        <v>5843</v>
      </c>
      <c r="AW787" t="s">
        <v>53</v>
      </c>
      <c r="AX787" t="s">
        <v>5450</v>
      </c>
      <c r="AZ787" t="s">
        <v>54</v>
      </c>
      <c r="BA787" t="s">
        <v>5780</v>
      </c>
    </row>
    <row r="788" spans="1:53" x14ac:dyDescent="0.25">
      <c r="A788">
        <v>783</v>
      </c>
      <c r="B788" t="s">
        <v>6422</v>
      </c>
      <c r="C788" t="s">
        <v>6423</v>
      </c>
      <c r="D788" t="s">
        <v>6424</v>
      </c>
      <c r="E788">
        <v>5</v>
      </c>
      <c r="F788" t="s">
        <v>5772</v>
      </c>
      <c r="G788" t="s">
        <v>5835</v>
      </c>
      <c r="H788" t="s">
        <v>5871</v>
      </c>
      <c r="I788" t="s">
        <v>5872</v>
      </c>
      <c r="L788" t="s">
        <v>5829</v>
      </c>
      <c r="M788">
        <v>887.5185546875</v>
      </c>
      <c r="N788" t="s">
        <v>54</v>
      </c>
      <c r="O788" t="s">
        <v>53</v>
      </c>
      <c r="P788" t="s">
        <v>53</v>
      </c>
      <c r="Q788" t="s">
        <v>53</v>
      </c>
      <c r="R788" t="s">
        <v>54</v>
      </c>
      <c r="S788" t="s">
        <v>5873</v>
      </c>
      <c r="T788" t="s">
        <v>5873</v>
      </c>
      <c r="U788" t="s">
        <v>54</v>
      </c>
      <c r="V788" t="s">
        <v>51</v>
      </c>
      <c r="W788">
        <v>1250000</v>
      </c>
      <c r="X788" t="s">
        <v>54</v>
      </c>
      <c r="AA788">
        <v>3678</v>
      </c>
      <c r="AB788">
        <v>2638</v>
      </c>
      <c r="AC788">
        <v>5704</v>
      </c>
      <c r="AD788">
        <v>7212</v>
      </c>
      <c r="AE788">
        <v>10528</v>
      </c>
      <c r="AF788">
        <v>25</v>
      </c>
      <c r="AG788">
        <v>13</v>
      </c>
      <c r="AH788">
        <v>135.78819274902341</v>
      </c>
      <c r="AI788">
        <v>13</v>
      </c>
      <c r="AJ788">
        <v>743.46661376953125</v>
      </c>
      <c r="AK788" t="s">
        <v>54</v>
      </c>
      <c r="AL788" t="s">
        <v>54</v>
      </c>
      <c r="AM788" t="s">
        <v>5821</v>
      </c>
      <c r="AN788" s="148">
        <v>45292</v>
      </c>
      <c r="AO788" s="148">
        <v>45292</v>
      </c>
      <c r="AQ788" t="s">
        <v>54</v>
      </c>
      <c r="AR788" t="s">
        <v>5842</v>
      </c>
      <c r="AS788" s="148">
        <v>45292</v>
      </c>
      <c r="AT788" t="s">
        <v>5843</v>
      </c>
      <c r="AW788" t="s">
        <v>53</v>
      </c>
      <c r="AX788" t="s">
        <v>5450</v>
      </c>
      <c r="AZ788" t="s">
        <v>54</v>
      </c>
      <c r="BA788" t="s">
        <v>5780</v>
      </c>
    </row>
    <row r="789" spans="1:53" x14ac:dyDescent="0.25">
      <c r="A789">
        <v>784</v>
      </c>
      <c r="B789" t="s">
        <v>6425</v>
      </c>
      <c r="C789" t="s">
        <v>6426</v>
      </c>
      <c r="D789" t="s">
        <v>6403</v>
      </c>
      <c r="E789">
        <v>5</v>
      </c>
      <c r="F789" t="s">
        <v>5772</v>
      </c>
      <c r="G789" t="s">
        <v>5538</v>
      </c>
      <c r="H789" t="s">
        <v>6009</v>
      </c>
      <c r="I789" t="s">
        <v>6010</v>
      </c>
      <c r="J789" t="s">
        <v>6404</v>
      </c>
      <c r="K789" t="s">
        <v>6405</v>
      </c>
      <c r="L789" t="s">
        <v>6320</v>
      </c>
      <c r="M789">
        <v>2.8489689826965332</v>
      </c>
      <c r="N789" t="s">
        <v>54</v>
      </c>
      <c r="O789" t="s">
        <v>53</v>
      </c>
      <c r="P789" t="s">
        <v>53</v>
      </c>
      <c r="Q789" t="s">
        <v>53</v>
      </c>
      <c r="R789" t="s">
        <v>54</v>
      </c>
      <c r="S789" t="s">
        <v>5696</v>
      </c>
      <c r="T789" t="s">
        <v>5696</v>
      </c>
      <c r="U789" t="s">
        <v>54</v>
      </c>
      <c r="V789" t="s">
        <v>51</v>
      </c>
      <c r="W789">
        <v>100000</v>
      </c>
      <c r="X789" t="s">
        <v>54</v>
      </c>
      <c r="AA789">
        <v>150</v>
      </c>
      <c r="AB789">
        <v>111</v>
      </c>
      <c r="AC789">
        <v>183</v>
      </c>
      <c r="AD789">
        <v>411</v>
      </c>
      <c r="AE789">
        <v>471</v>
      </c>
      <c r="AF789">
        <v>0</v>
      </c>
      <c r="AG789">
        <v>3</v>
      </c>
      <c r="AH789">
        <v>2.1116423606872559</v>
      </c>
      <c r="AI789">
        <v>3</v>
      </c>
      <c r="AJ789">
        <v>5.5413350462913513E-2</v>
      </c>
      <c r="AK789" t="s">
        <v>54</v>
      </c>
      <c r="AL789" t="s">
        <v>54</v>
      </c>
      <c r="AM789" t="s">
        <v>5821</v>
      </c>
      <c r="AN789" s="148">
        <v>45292</v>
      </c>
      <c r="AO789" s="148">
        <v>45292</v>
      </c>
      <c r="AQ789" t="s">
        <v>54</v>
      </c>
      <c r="AR789" t="s">
        <v>5842</v>
      </c>
      <c r="AS789" s="148">
        <v>45292</v>
      </c>
      <c r="AT789" t="s">
        <v>6406</v>
      </c>
      <c r="AW789" t="s">
        <v>53</v>
      </c>
      <c r="AX789" t="s">
        <v>5450</v>
      </c>
      <c r="AZ789" t="s">
        <v>54</v>
      </c>
      <c r="BA789" t="s">
        <v>5780</v>
      </c>
    </row>
    <row r="790" spans="1:53" x14ac:dyDescent="0.25">
      <c r="A790">
        <v>785</v>
      </c>
      <c r="B790" t="s">
        <v>6427</v>
      </c>
      <c r="C790" t="s">
        <v>6428</v>
      </c>
      <c r="D790" t="s">
        <v>6429</v>
      </c>
      <c r="E790">
        <v>5</v>
      </c>
      <c r="F790" t="s">
        <v>5772</v>
      </c>
      <c r="G790" t="s">
        <v>5835</v>
      </c>
      <c r="H790" t="s">
        <v>6230</v>
      </c>
      <c r="I790" t="s">
        <v>6430</v>
      </c>
      <c r="J790" t="s">
        <v>6431</v>
      </c>
      <c r="K790" t="s">
        <v>6432</v>
      </c>
      <c r="L790" t="s">
        <v>5829</v>
      </c>
      <c r="M790">
        <v>42.750495910644531</v>
      </c>
      <c r="N790" t="s">
        <v>54</v>
      </c>
      <c r="O790" t="s">
        <v>53</v>
      </c>
      <c r="P790" t="s">
        <v>53</v>
      </c>
      <c r="Q790" t="s">
        <v>53</v>
      </c>
      <c r="R790" t="s">
        <v>54</v>
      </c>
      <c r="S790" t="s">
        <v>5873</v>
      </c>
      <c r="T790" t="s">
        <v>5873</v>
      </c>
      <c r="U790" t="s">
        <v>54</v>
      </c>
      <c r="V790" t="s">
        <v>51</v>
      </c>
      <c r="W790">
        <v>150000</v>
      </c>
      <c r="X790" t="s">
        <v>54</v>
      </c>
      <c r="AA790">
        <v>648</v>
      </c>
      <c r="AB790">
        <v>497</v>
      </c>
      <c r="AC790">
        <v>609</v>
      </c>
      <c r="AD790">
        <v>1000</v>
      </c>
      <c r="AE790">
        <v>1277</v>
      </c>
      <c r="AF790">
        <v>1</v>
      </c>
      <c r="AG790">
        <v>0</v>
      </c>
      <c r="AH790">
        <v>13.646213531494141</v>
      </c>
      <c r="AI790">
        <v>0</v>
      </c>
      <c r="AJ790">
        <v>43.22467041015625</v>
      </c>
      <c r="AK790" t="s">
        <v>54</v>
      </c>
      <c r="AL790" t="s">
        <v>53</v>
      </c>
      <c r="AQ790" t="s">
        <v>54</v>
      </c>
      <c r="AR790" t="s">
        <v>5842</v>
      </c>
      <c r="AS790" s="148">
        <v>45292</v>
      </c>
      <c r="AT790" t="s">
        <v>5843</v>
      </c>
      <c r="AW790" t="s">
        <v>53</v>
      </c>
      <c r="AX790" t="s">
        <v>5450</v>
      </c>
      <c r="AZ790" t="s">
        <v>54</v>
      </c>
      <c r="BA790" t="s">
        <v>5780</v>
      </c>
    </row>
    <row r="791" spans="1:53" x14ac:dyDescent="0.25">
      <c r="A791">
        <v>786</v>
      </c>
      <c r="B791" t="s">
        <v>6433</v>
      </c>
      <c r="C791" t="s">
        <v>6434</v>
      </c>
      <c r="D791" t="s">
        <v>6435</v>
      </c>
      <c r="E791">
        <v>5</v>
      </c>
      <c r="F791" t="s">
        <v>5772</v>
      </c>
      <c r="G791" t="s">
        <v>5835</v>
      </c>
      <c r="H791" t="s">
        <v>6436</v>
      </c>
      <c r="I791" t="s">
        <v>6437</v>
      </c>
      <c r="J791" t="s">
        <v>6438</v>
      </c>
      <c r="K791" t="s">
        <v>6439</v>
      </c>
      <c r="L791" t="s">
        <v>6051</v>
      </c>
      <c r="M791">
        <v>9.516392707824707</v>
      </c>
      <c r="N791" t="s">
        <v>54</v>
      </c>
      <c r="O791" t="s">
        <v>53</v>
      </c>
      <c r="P791" t="s">
        <v>53</v>
      </c>
      <c r="Q791" t="s">
        <v>53</v>
      </c>
      <c r="R791" t="s">
        <v>53</v>
      </c>
      <c r="S791" t="s">
        <v>5873</v>
      </c>
      <c r="T791" t="s">
        <v>5873</v>
      </c>
      <c r="U791" t="s">
        <v>54</v>
      </c>
      <c r="V791" t="s">
        <v>51</v>
      </c>
      <c r="W791">
        <v>20000</v>
      </c>
      <c r="X791" t="s">
        <v>54</v>
      </c>
      <c r="AA791">
        <v>41</v>
      </c>
      <c r="AB791">
        <v>23</v>
      </c>
      <c r="AC791">
        <v>119</v>
      </c>
      <c r="AD791">
        <v>101</v>
      </c>
      <c r="AE791">
        <v>188</v>
      </c>
      <c r="AF791">
        <v>0</v>
      </c>
      <c r="AG791">
        <v>0</v>
      </c>
      <c r="AH791">
        <v>2.6654155254364009</v>
      </c>
      <c r="AI791">
        <v>0</v>
      </c>
      <c r="AJ791">
        <v>8.1037559509277344</v>
      </c>
      <c r="AK791" t="s">
        <v>54</v>
      </c>
      <c r="AL791" t="s">
        <v>53</v>
      </c>
      <c r="AQ791" t="s">
        <v>54</v>
      </c>
      <c r="AR791" t="s">
        <v>5842</v>
      </c>
      <c r="AS791" s="148">
        <v>45292</v>
      </c>
      <c r="AT791" t="s">
        <v>5843</v>
      </c>
      <c r="AW791" t="s">
        <v>53</v>
      </c>
      <c r="AX791" t="s">
        <v>5450</v>
      </c>
      <c r="AZ791" t="s">
        <v>54</v>
      </c>
      <c r="BA791" t="s">
        <v>5780</v>
      </c>
    </row>
    <row r="792" spans="1:53" x14ac:dyDescent="0.25">
      <c r="A792">
        <v>787</v>
      </c>
      <c r="B792" t="s">
        <v>6440</v>
      </c>
      <c r="C792" t="s">
        <v>6441</v>
      </c>
      <c r="D792" t="s">
        <v>6442</v>
      </c>
      <c r="E792">
        <v>5</v>
      </c>
      <c r="F792" t="s">
        <v>5772</v>
      </c>
      <c r="G792" t="s">
        <v>5835</v>
      </c>
      <c r="H792" t="s">
        <v>6230</v>
      </c>
      <c r="I792" t="s">
        <v>6430</v>
      </c>
      <c r="J792" t="s">
        <v>6431</v>
      </c>
      <c r="K792" t="s">
        <v>6432</v>
      </c>
      <c r="L792" t="s">
        <v>5829</v>
      </c>
      <c r="M792">
        <v>42.723995208740227</v>
      </c>
      <c r="N792" t="s">
        <v>54</v>
      </c>
      <c r="O792" t="s">
        <v>53</v>
      </c>
      <c r="P792" t="s">
        <v>53</v>
      </c>
      <c r="Q792" t="s">
        <v>53</v>
      </c>
      <c r="R792" t="s">
        <v>54</v>
      </c>
      <c r="S792" t="s">
        <v>5873</v>
      </c>
      <c r="T792" t="s">
        <v>5873</v>
      </c>
      <c r="U792" t="s">
        <v>54</v>
      </c>
      <c r="V792" t="s">
        <v>51</v>
      </c>
      <c r="W792">
        <v>500000</v>
      </c>
      <c r="X792" t="s">
        <v>54</v>
      </c>
      <c r="AA792">
        <v>648</v>
      </c>
      <c r="AB792">
        <v>497</v>
      </c>
      <c r="AC792">
        <v>609</v>
      </c>
      <c r="AD792">
        <v>1000</v>
      </c>
      <c r="AE792">
        <v>1277</v>
      </c>
      <c r="AF792">
        <v>1</v>
      </c>
      <c r="AG792">
        <v>0</v>
      </c>
      <c r="AH792">
        <v>13.67707538604736</v>
      </c>
      <c r="AI792">
        <v>0</v>
      </c>
      <c r="AJ792">
        <v>43.22467041015625</v>
      </c>
      <c r="AK792" t="s">
        <v>54</v>
      </c>
      <c r="AL792" t="s">
        <v>53</v>
      </c>
      <c r="AQ792" t="s">
        <v>54</v>
      </c>
      <c r="AR792" t="s">
        <v>5842</v>
      </c>
      <c r="AS792" s="148">
        <v>45292</v>
      </c>
      <c r="AT792" t="s">
        <v>5843</v>
      </c>
      <c r="AW792" t="s">
        <v>53</v>
      </c>
      <c r="AX792" t="s">
        <v>5450</v>
      </c>
      <c r="AZ792" t="s">
        <v>54</v>
      </c>
      <c r="BA792" t="s">
        <v>5780</v>
      </c>
    </row>
    <row r="793" spans="1:53" x14ac:dyDescent="0.25">
      <c r="A793">
        <v>788</v>
      </c>
      <c r="B793" t="s">
        <v>6443</v>
      </c>
      <c r="C793" t="s">
        <v>6444</v>
      </c>
      <c r="D793" t="s">
        <v>6445</v>
      </c>
      <c r="E793">
        <v>5</v>
      </c>
      <c r="F793" t="s">
        <v>5772</v>
      </c>
      <c r="G793" t="s">
        <v>5835</v>
      </c>
      <c r="H793" t="s">
        <v>6230</v>
      </c>
      <c r="I793" t="s">
        <v>6430</v>
      </c>
      <c r="J793" t="s">
        <v>6431</v>
      </c>
      <c r="K793" t="s">
        <v>6432</v>
      </c>
      <c r="L793" t="s">
        <v>5852</v>
      </c>
      <c r="M793">
        <v>42.747955322265618</v>
      </c>
      <c r="N793" t="s">
        <v>54</v>
      </c>
      <c r="O793" t="s">
        <v>53</v>
      </c>
      <c r="P793" t="s">
        <v>53</v>
      </c>
      <c r="Q793" t="s">
        <v>53</v>
      </c>
      <c r="R793" t="s">
        <v>54</v>
      </c>
      <c r="S793" t="s">
        <v>5873</v>
      </c>
      <c r="T793" t="s">
        <v>5873</v>
      </c>
      <c r="U793" t="s">
        <v>54</v>
      </c>
      <c r="V793" t="s">
        <v>51</v>
      </c>
      <c r="W793">
        <v>350000</v>
      </c>
      <c r="X793" t="s">
        <v>54</v>
      </c>
      <c r="AA793">
        <v>648</v>
      </c>
      <c r="AB793">
        <v>497</v>
      </c>
      <c r="AC793">
        <v>609</v>
      </c>
      <c r="AD793">
        <v>1000</v>
      </c>
      <c r="AE793">
        <v>1277</v>
      </c>
      <c r="AF793">
        <v>1</v>
      </c>
      <c r="AG793">
        <v>0</v>
      </c>
      <c r="AH793">
        <v>13.67707538604736</v>
      </c>
      <c r="AI793">
        <v>0</v>
      </c>
      <c r="AJ793">
        <v>43.22467041015625</v>
      </c>
      <c r="AK793" t="s">
        <v>54</v>
      </c>
      <c r="AL793" t="s">
        <v>53</v>
      </c>
      <c r="AQ793" t="s">
        <v>54</v>
      </c>
      <c r="AR793" t="s">
        <v>5842</v>
      </c>
      <c r="AS793" s="148">
        <v>45292</v>
      </c>
      <c r="AT793" t="s">
        <v>5843</v>
      </c>
      <c r="AW793" t="s">
        <v>53</v>
      </c>
      <c r="AX793" t="s">
        <v>5450</v>
      </c>
      <c r="AZ793" t="s">
        <v>54</v>
      </c>
      <c r="BA793" t="s">
        <v>5780</v>
      </c>
    </row>
    <row r="794" spans="1:53" x14ac:dyDescent="0.25">
      <c r="A794">
        <v>789</v>
      </c>
      <c r="B794" t="s">
        <v>6446</v>
      </c>
      <c r="C794" t="s">
        <v>6447</v>
      </c>
      <c r="D794" t="s">
        <v>6448</v>
      </c>
      <c r="E794">
        <v>5</v>
      </c>
      <c r="F794" t="s">
        <v>5772</v>
      </c>
      <c r="G794" t="s">
        <v>5835</v>
      </c>
      <c r="H794" t="s">
        <v>5836</v>
      </c>
      <c r="I794" t="s">
        <v>6449</v>
      </c>
      <c r="J794" t="s">
        <v>6450</v>
      </c>
      <c r="K794" t="s">
        <v>6451</v>
      </c>
      <c r="L794" t="s">
        <v>5852</v>
      </c>
      <c r="M794">
        <v>2.1038517951965332</v>
      </c>
      <c r="N794" t="s">
        <v>54</v>
      </c>
      <c r="O794" t="s">
        <v>53</v>
      </c>
      <c r="P794" t="s">
        <v>53</v>
      </c>
      <c r="Q794" t="s">
        <v>53</v>
      </c>
      <c r="R794" t="s">
        <v>53</v>
      </c>
      <c r="S794" t="s">
        <v>5873</v>
      </c>
      <c r="T794" t="s">
        <v>5873</v>
      </c>
      <c r="U794" t="s">
        <v>54</v>
      </c>
      <c r="V794" t="s">
        <v>51</v>
      </c>
      <c r="W794">
        <v>300000</v>
      </c>
      <c r="X794" t="s">
        <v>54</v>
      </c>
      <c r="AA794">
        <v>285</v>
      </c>
      <c r="AB794">
        <v>226</v>
      </c>
      <c r="AC794">
        <v>334</v>
      </c>
      <c r="AD794">
        <v>792</v>
      </c>
      <c r="AE794">
        <v>878</v>
      </c>
      <c r="AF794">
        <v>1</v>
      </c>
      <c r="AG794">
        <v>2</v>
      </c>
      <c r="AH794">
        <v>5.8364043235778809</v>
      </c>
      <c r="AI794">
        <v>2</v>
      </c>
      <c r="AJ794">
        <v>9.9596338272094727</v>
      </c>
      <c r="AK794" t="s">
        <v>54</v>
      </c>
      <c r="AL794" t="s">
        <v>54</v>
      </c>
      <c r="AM794" t="s">
        <v>5821</v>
      </c>
      <c r="AN794" s="148">
        <v>45292</v>
      </c>
      <c r="AO794" s="148">
        <v>45292</v>
      </c>
      <c r="AQ794" t="s">
        <v>54</v>
      </c>
      <c r="AR794" t="s">
        <v>5842</v>
      </c>
      <c r="AS794" s="148">
        <v>45292</v>
      </c>
      <c r="AT794" t="s">
        <v>5843</v>
      </c>
      <c r="AW794" t="s">
        <v>53</v>
      </c>
      <c r="AX794" t="s">
        <v>5450</v>
      </c>
      <c r="AZ794" t="s">
        <v>54</v>
      </c>
      <c r="BA794" t="s">
        <v>5780</v>
      </c>
    </row>
    <row r="795" spans="1:53" x14ac:dyDescent="0.25">
      <c r="A795">
        <v>790</v>
      </c>
      <c r="B795" t="s">
        <v>6452</v>
      </c>
      <c r="C795" t="s">
        <v>6453</v>
      </c>
      <c r="D795" t="s">
        <v>6454</v>
      </c>
      <c r="E795">
        <v>5</v>
      </c>
      <c r="F795" t="s">
        <v>5772</v>
      </c>
      <c r="G795" t="s">
        <v>5835</v>
      </c>
      <c r="H795" t="s">
        <v>5836</v>
      </c>
      <c r="I795" t="s">
        <v>5837</v>
      </c>
      <c r="J795" t="s">
        <v>5838</v>
      </c>
      <c r="K795" t="s">
        <v>5839</v>
      </c>
      <c r="L795" t="s">
        <v>6455</v>
      </c>
      <c r="M795">
        <v>10.817939758300779</v>
      </c>
      <c r="N795" t="s">
        <v>54</v>
      </c>
      <c r="O795" t="s">
        <v>53</v>
      </c>
      <c r="P795" t="s">
        <v>53</v>
      </c>
      <c r="Q795" t="s">
        <v>53</v>
      </c>
      <c r="R795" t="s">
        <v>54</v>
      </c>
      <c r="S795" t="s">
        <v>6234</v>
      </c>
      <c r="T795" t="s">
        <v>6234</v>
      </c>
      <c r="U795" t="s">
        <v>54</v>
      </c>
      <c r="V795" t="s">
        <v>51</v>
      </c>
      <c r="W795">
        <v>50000</v>
      </c>
      <c r="X795" t="s">
        <v>54</v>
      </c>
      <c r="AA795">
        <v>539</v>
      </c>
      <c r="AB795">
        <v>439</v>
      </c>
      <c r="AC795">
        <v>568</v>
      </c>
      <c r="AD795">
        <v>847</v>
      </c>
      <c r="AE795">
        <v>1123</v>
      </c>
      <c r="AF795">
        <v>1</v>
      </c>
      <c r="AG795">
        <v>0</v>
      </c>
      <c r="AH795">
        <v>10.48324775695801</v>
      </c>
      <c r="AI795">
        <v>0</v>
      </c>
      <c r="AJ795">
        <v>10.380910873413089</v>
      </c>
      <c r="AK795" t="s">
        <v>54</v>
      </c>
      <c r="AL795" t="s">
        <v>53</v>
      </c>
      <c r="AQ795" t="s">
        <v>53</v>
      </c>
      <c r="AT795" t="s">
        <v>5843</v>
      </c>
      <c r="AW795" t="s">
        <v>53</v>
      </c>
      <c r="AX795" t="s">
        <v>5450</v>
      </c>
      <c r="AZ795" t="s">
        <v>54</v>
      </c>
      <c r="BA795" t="s">
        <v>5780</v>
      </c>
    </row>
    <row r="796" spans="1:53" x14ac:dyDescent="0.25">
      <c r="A796">
        <v>791</v>
      </c>
      <c r="B796" t="s">
        <v>6456</v>
      </c>
      <c r="C796" t="s">
        <v>6457</v>
      </c>
      <c r="D796" t="s">
        <v>6038</v>
      </c>
      <c r="E796">
        <v>5</v>
      </c>
      <c r="F796" t="s">
        <v>5772</v>
      </c>
      <c r="G796" t="s">
        <v>947</v>
      </c>
      <c r="H796" t="s">
        <v>5817</v>
      </c>
      <c r="I796" t="s">
        <v>5818</v>
      </c>
      <c r="J796" t="s">
        <v>5819</v>
      </c>
      <c r="K796" t="s">
        <v>5820</v>
      </c>
      <c r="L796" t="s">
        <v>6101</v>
      </c>
      <c r="M796">
        <v>434.46487426757813</v>
      </c>
      <c r="N796" t="s">
        <v>54</v>
      </c>
      <c r="O796" t="s">
        <v>54</v>
      </c>
      <c r="P796" t="s">
        <v>53</v>
      </c>
      <c r="Q796" t="s">
        <v>53</v>
      </c>
      <c r="R796" t="s">
        <v>54</v>
      </c>
      <c r="S796" t="s">
        <v>952</v>
      </c>
      <c r="T796" t="s">
        <v>952</v>
      </c>
      <c r="U796" t="s">
        <v>54</v>
      </c>
      <c r="V796" t="s">
        <v>138</v>
      </c>
      <c r="W796">
        <v>1600000</v>
      </c>
      <c r="X796" t="s">
        <v>54</v>
      </c>
      <c r="AA796">
        <v>1175</v>
      </c>
      <c r="AB796">
        <v>459</v>
      </c>
      <c r="AC796">
        <v>617</v>
      </c>
      <c r="AD796">
        <v>1128</v>
      </c>
      <c r="AE796">
        <v>1431</v>
      </c>
      <c r="AF796">
        <v>0</v>
      </c>
      <c r="AG796">
        <v>0</v>
      </c>
      <c r="AH796">
        <v>161.6165466308594</v>
      </c>
      <c r="AI796">
        <v>0</v>
      </c>
      <c r="AJ796">
        <v>36932.59375</v>
      </c>
      <c r="AK796" t="s">
        <v>54</v>
      </c>
      <c r="AL796" t="s">
        <v>54</v>
      </c>
      <c r="AM796" t="s">
        <v>5821</v>
      </c>
      <c r="AN796" s="148">
        <v>45292</v>
      </c>
      <c r="AO796" s="148">
        <v>45292</v>
      </c>
      <c r="AQ796" t="s">
        <v>54</v>
      </c>
      <c r="AR796" t="s">
        <v>5813</v>
      </c>
      <c r="AS796" s="148">
        <v>45292</v>
      </c>
      <c r="AT796" t="s">
        <v>5779</v>
      </c>
      <c r="AW796" t="s">
        <v>53</v>
      </c>
      <c r="AZ796" t="s">
        <v>54</v>
      </c>
      <c r="BA796" t="s">
        <v>5780</v>
      </c>
    </row>
    <row r="797" spans="1:53" x14ac:dyDescent="0.25">
      <c r="A797">
        <v>792</v>
      </c>
      <c r="B797" t="s">
        <v>6458</v>
      </c>
      <c r="C797" t="s">
        <v>6459</v>
      </c>
      <c r="D797" t="s">
        <v>6460</v>
      </c>
      <c r="E797">
        <v>5</v>
      </c>
      <c r="F797" t="s">
        <v>5772</v>
      </c>
      <c r="G797" t="s">
        <v>5538</v>
      </c>
      <c r="H797" t="s">
        <v>6009</v>
      </c>
      <c r="I797" t="s">
        <v>6010</v>
      </c>
      <c r="J797" t="s">
        <v>6286</v>
      </c>
      <c r="K797" t="s">
        <v>6287</v>
      </c>
      <c r="L797" t="s">
        <v>6051</v>
      </c>
      <c r="M797">
        <v>0.54189801216125488</v>
      </c>
      <c r="N797" t="s">
        <v>54</v>
      </c>
      <c r="O797" t="s">
        <v>54</v>
      </c>
      <c r="P797" t="s">
        <v>53</v>
      </c>
      <c r="Q797" t="s">
        <v>53</v>
      </c>
      <c r="R797" t="s">
        <v>53</v>
      </c>
      <c r="S797" t="s">
        <v>5673</v>
      </c>
      <c r="T797" t="s">
        <v>5673</v>
      </c>
      <c r="U797" t="s">
        <v>54</v>
      </c>
      <c r="V797" t="s">
        <v>51</v>
      </c>
      <c r="W797">
        <v>200000</v>
      </c>
      <c r="X797" t="s">
        <v>54</v>
      </c>
      <c r="AA797">
        <v>188</v>
      </c>
      <c r="AB797">
        <v>180</v>
      </c>
      <c r="AC797">
        <v>905</v>
      </c>
      <c r="AD797">
        <v>458</v>
      </c>
      <c r="AE797">
        <v>1217</v>
      </c>
      <c r="AF797">
        <v>0</v>
      </c>
      <c r="AG797">
        <v>1</v>
      </c>
      <c r="AH797">
        <v>4.9048876762390137</v>
      </c>
      <c r="AI797">
        <v>1</v>
      </c>
      <c r="AJ797">
        <v>0.97369468212127686</v>
      </c>
      <c r="AK797" t="s">
        <v>54</v>
      </c>
      <c r="AL797" t="s">
        <v>54</v>
      </c>
      <c r="AM797" t="s">
        <v>5821</v>
      </c>
      <c r="AN797" s="148">
        <v>45292</v>
      </c>
      <c r="AO797" s="148">
        <v>45292</v>
      </c>
      <c r="AQ797" t="s">
        <v>54</v>
      </c>
      <c r="AR797" t="s">
        <v>6109</v>
      </c>
      <c r="AS797" s="148">
        <v>45292</v>
      </c>
      <c r="AT797" t="s">
        <v>6013</v>
      </c>
      <c r="AW797" t="s">
        <v>53</v>
      </c>
      <c r="AX797" t="s">
        <v>5450</v>
      </c>
      <c r="AZ797" t="s">
        <v>54</v>
      </c>
      <c r="BA797" t="s">
        <v>5780</v>
      </c>
    </row>
    <row r="798" spans="1:53" x14ac:dyDescent="0.25">
      <c r="A798">
        <v>793</v>
      </c>
      <c r="B798" t="s">
        <v>6461</v>
      </c>
      <c r="C798" t="s">
        <v>6462</v>
      </c>
      <c r="D798" t="s">
        <v>6463</v>
      </c>
      <c r="E798">
        <v>5</v>
      </c>
      <c r="F798" t="s">
        <v>5772</v>
      </c>
      <c r="G798" t="s">
        <v>5538</v>
      </c>
      <c r="H798" t="s">
        <v>5920</v>
      </c>
      <c r="I798" t="s">
        <v>6464</v>
      </c>
      <c r="J798" t="s">
        <v>6465</v>
      </c>
      <c r="K798" t="s">
        <v>6466</v>
      </c>
      <c r="L798" t="s">
        <v>5859</v>
      </c>
      <c r="M798">
        <v>4.2639236450195313</v>
      </c>
      <c r="N798" t="s">
        <v>54</v>
      </c>
      <c r="O798" t="s">
        <v>54</v>
      </c>
      <c r="P798" t="s">
        <v>53</v>
      </c>
      <c r="Q798" t="s">
        <v>53</v>
      </c>
      <c r="R798" t="s">
        <v>54</v>
      </c>
      <c r="S798" t="s">
        <v>5673</v>
      </c>
      <c r="T798" t="s">
        <v>5673</v>
      </c>
      <c r="U798" t="s">
        <v>54</v>
      </c>
      <c r="V798" t="s">
        <v>51</v>
      </c>
      <c r="W798">
        <v>200000</v>
      </c>
      <c r="X798" t="s">
        <v>54</v>
      </c>
      <c r="AA798">
        <v>1889</v>
      </c>
      <c r="AB798">
        <v>1635</v>
      </c>
      <c r="AC798">
        <v>3332</v>
      </c>
      <c r="AD798">
        <v>3394</v>
      </c>
      <c r="AE798">
        <v>5591</v>
      </c>
      <c r="AF798">
        <v>6</v>
      </c>
      <c r="AG798">
        <v>1</v>
      </c>
      <c r="AH798">
        <v>36.404167175292969</v>
      </c>
      <c r="AI798">
        <v>1</v>
      </c>
      <c r="AJ798">
        <v>5.9279861450195313</v>
      </c>
      <c r="AK798" t="s">
        <v>54</v>
      </c>
      <c r="AL798" t="s">
        <v>54</v>
      </c>
      <c r="AM798" t="s">
        <v>5821</v>
      </c>
      <c r="AN798" s="148">
        <v>45292</v>
      </c>
      <c r="AO798" s="148">
        <v>45292</v>
      </c>
      <c r="AQ798" t="s">
        <v>54</v>
      </c>
      <c r="AR798" t="s">
        <v>6109</v>
      </c>
      <c r="AS798" s="148">
        <v>45292</v>
      </c>
      <c r="AT798" t="s">
        <v>6013</v>
      </c>
      <c r="AW798" t="s">
        <v>53</v>
      </c>
      <c r="AX798" t="s">
        <v>5450</v>
      </c>
      <c r="AZ798" t="s">
        <v>54</v>
      </c>
      <c r="BA798" t="s">
        <v>5780</v>
      </c>
    </row>
    <row r="799" spans="1:53" x14ac:dyDescent="0.25">
      <c r="A799">
        <v>794</v>
      </c>
      <c r="B799" t="s">
        <v>716</v>
      </c>
      <c r="C799" t="s">
        <v>717</v>
      </c>
      <c r="D799" t="s">
        <v>718</v>
      </c>
      <c r="E799">
        <v>6</v>
      </c>
      <c r="F799" t="s">
        <v>719</v>
      </c>
      <c r="G799" t="s">
        <v>720</v>
      </c>
      <c r="H799" t="s">
        <v>721</v>
      </c>
      <c r="I799" t="s">
        <v>722</v>
      </c>
      <c r="J799" t="s">
        <v>723</v>
      </c>
      <c r="K799" t="s">
        <v>724</v>
      </c>
      <c r="L799" t="s">
        <v>725</v>
      </c>
      <c r="M799">
        <v>2.484596967697144</v>
      </c>
      <c r="N799" t="s">
        <v>53</v>
      </c>
      <c r="O799" t="s">
        <v>53</v>
      </c>
      <c r="P799" t="s">
        <v>54</v>
      </c>
      <c r="Q799" t="s">
        <v>53</v>
      </c>
      <c r="R799" t="s">
        <v>53</v>
      </c>
      <c r="S799" t="s">
        <v>726</v>
      </c>
      <c r="T799" t="s">
        <v>727</v>
      </c>
      <c r="U799" t="s">
        <v>53</v>
      </c>
      <c r="V799" t="s">
        <v>51</v>
      </c>
      <c r="W799">
        <v>30000</v>
      </c>
      <c r="X799" t="s">
        <v>54</v>
      </c>
      <c r="AA799">
        <v>99</v>
      </c>
      <c r="AB799">
        <v>83</v>
      </c>
      <c r="AC799">
        <v>343</v>
      </c>
      <c r="AD799">
        <v>274</v>
      </c>
      <c r="AE799">
        <v>531</v>
      </c>
      <c r="AF799">
        <v>0</v>
      </c>
      <c r="AG799">
        <v>0</v>
      </c>
      <c r="AH799">
        <v>2.2649357318878169</v>
      </c>
      <c r="AI799">
        <v>0</v>
      </c>
      <c r="AJ799">
        <v>0.69726139307022095</v>
      </c>
      <c r="AK799" t="s">
        <v>53</v>
      </c>
      <c r="AL799" t="s">
        <v>54</v>
      </c>
      <c r="AP799" t="s">
        <v>5451</v>
      </c>
      <c r="AQ799" t="s">
        <v>54</v>
      </c>
      <c r="AT799" t="s">
        <v>728</v>
      </c>
      <c r="AW799" t="s">
        <v>53</v>
      </c>
      <c r="AZ799" t="s">
        <v>54</v>
      </c>
      <c r="BA799" t="s">
        <v>729</v>
      </c>
    </row>
    <row r="800" spans="1:53" x14ac:dyDescent="0.25">
      <c r="A800">
        <v>795</v>
      </c>
      <c r="B800" t="s">
        <v>730</v>
      </c>
      <c r="C800" t="s">
        <v>731</v>
      </c>
      <c r="D800" t="s">
        <v>718</v>
      </c>
      <c r="E800">
        <v>6</v>
      </c>
      <c r="F800" t="s">
        <v>719</v>
      </c>
      <c r="G800" t="s">
        <v>720</v>
      </c>
      <c r="H800" t="s">
        <v>721</v>
      </c>
      <c r="I800" t="s">
        <v>722</v>
      </c>
      <c r="J800" t="s">
        <v>723</v>
      </c>
      <c r="K800" t="s">
        <v>724</v>
      </c>
      <c r="L800" t="s">
        <v>725</v>
      </c>
      <c r="M800">
        <v>2.4786379337310791</v>
      </c>
      <c r="N800" t="s">
        <v>54</v>
      </c>
      <c r="O800" t="s">
        <v>53</v>
      </c>
      <c r="P800" t="s">
        <v>54</v>
      </c>
      <c r="Q800" t="s">
        <v>53</v>
      </c>
      <c r="R800" t="s">
        <v>53</v>
      </c>
      <c r="S800" t="s">
        <v>726</v>
      </c>
      <c r="T800" t="s">
        <v>727</v>
      </c>
      <c r="U800" t="s">
        <v>53</v>
      </c>
      <c r="V800" t="s">
        <v>51</v>
      </c>
      <c r="W800">
        <v>30000</v>
      </c>
      <c r="X800" t="s">
        <v>54</v>
      </c>
      <c r="AA800">
        <v>99</v>
      </c>
      <c r="AB800">
        <v>83</v>
      </c>
      <c r="AC800">
        <v>343</v>
      </c>
      <c r="AD800">
        <v>274</v>
      </c>
      <c r="AE800">
        <v>531</v>
      </c>
      <c r="AF800">
        <v>0</v>
      </c>
      <c r="AG800">
        <v>0</v>
      </c>
      <c r="AH800">
        <v>2.2649352550506592</v>
      </c>
      <c r="AI800">
        <v>0</v>
      </c>
      <c r="AJ800">
        <v>0.69726139307022095</v>
      </c>
      <c r="AK800" t="s">
        <v>53</v>
      </c>
      <c r="AL800" t="s">
        <v>54</v>
      </c>
      <c r="AP800" t="s">
        <v>5451</v>
      </c>
      <c r="AQ800" t="s">
        <v>54</v>
      </c>
      <c r="AT800" t="s">
        <v>728</v>
      </c>
      <c r="AW800" t="s">
        <v>53</v>
      </c>
      <c r="AZ800" t="s">
        <v>54</v>
      </c>
      <c r="BA800" t="s">
        <v>729</v>
      </c>
    </row>
    <row r="801" spans="1:53" x14ac:dyDescent="0.25">
      <c r="A801">
        <v>796</v>
      </c>
      <c r="B801" t="s">
        <v>732</v>
      </c>
      <c r="C801" t="s">
        <v>733</v>
      </c>
      <c r="D801" t="s">
        <v>718</v>
      </c>
      <c r="E801">
        <v>6</v>
      </c>
      <c r="F801" t="s">
        <v>719</v>
      </c>
      <c r="G801" t="s">
        <v>720</v>
      </c>
      <c r="H801" t="s">
        <v>721</v>
      </c>
      <c r="I801" t="s">
        <v>734</v>
      </c>
      <c r="J801" t="s">
        <v>735</v>
      </c>
      <c r="K801" t="s">
        <v>736</v>
      </c>
      <c r="L801" t="s">
        <v>725</v>
      </c>
      <c r="M801">
        <v>1.40192723274231</v>
      </c>
      <c r="N801" t="s">
        <v>53</v>
      </c>
      <c r="O801" t="s">
        <v>53</v>
      </c>
      <c r="P801" t="s">
        <v>53</v>
      </c>
      <c r="Q801" t="s">
        <v>53</v>
      </c>
      <c r="R801" t="s">
        <v>54</v>
      </c>
      <c r="S801" t="s">
        <v>726</v>
      </c>
      <c r="T801" t="s">
        <v>727</v>
      </c>
      <c r="U801" t="s">
        <v>53</v>
      </c>
      <c r="V801" t="s">
        <v>51</v>
      </c>
      <c r="W801">
        <v>30000</v>
      </c>
      <c r="X801" t="s">
        <v>54</v>
      </c>
      <c r="AA801">
        <v>40</v>
      </c>
      <c r="AB801">
        <v>36</v>
      </c>
      <c r="AC801">
        <v>17</v>
      </c>
      <c r="AD801">
        <v>68</v>
      </c>
      <c r="AE801">
        <v>69</v>
      </c>
      <c r="AF801">
        <v>1</v>
      </c>
      <c r="AG801">
        <v>0</v>
      </c>
      <c r="AH801">
        <v>0.89068692922592163</v>
      </c>
      <c r="AI801">
        <v>0</v>
      </c>
      <c r="AJ801">
        <v>6.5784134864807129</v>
      </c>
      <c r="AK801" t="s">
        <v>53</v>
      </c>
      <c r="AL801" t="s">
        <v>54</v>
      </c>
      <c r="AP801" t="s">
        <v>5451</v>
      </c>
      <c r="AQ801" t="s">
        <v>54</v>
      </c>
      <c r="AT801" t="s">
        <v>728</v>
      </c>
      <c r="AW801" t="s">
        <v>53</v>
      </c>
      <c r="AZ801" t="s">
        <v>54</v>
      </c>
      <c r="BA801" t="s">
        <v>729</v>
      </c>
    </row>
    <row r="802" spans="1:53" x14ac:dyDescent="0.25">
      <c r="A802">
        <v>797</v>
      </c>
      <c r="B802" t="s">
        <v>737</v>
      </c>
      <c r="C802" t="s">
        <v>738</v>
      </c>
      <c r="D802" t="s">
        <v>718</v>
      </c>
      <c r="E802">
        <v>6</v>
      </c>
      <c r="F802" t="s">
        <v>719</v>
      </c>
      <c r="G802" t="s">
        <v>720</v>
      </c>
      <c r="H802" t="s">
        <v>721</v>
      </c>
      <c r="I802" t="s">
        <v>734</v>
      </c>
      <c r="J802" t="s">
        <v>735</v>
      </c>
      <c r="K802" t="s">
        <v>736</v>
      </c>
      <c r="L802" t="s">
        <v>725</v>
      </c>
      <c r="M802">
        <v>1.40192723274231</v>
      </c>
      <c r="N802" t="s">
        <v>53</v>
      </c>
      <c r="O802" t="s">
        <v>53</v>
      </c>
      <c r="P802" t="s">
        <v>54</v>
      </c>
      <c r="Q802" t="s">
        <v>53</v>
      </c>
      <c r="R802" t="s">
        <v>53</v>
      </c>
      <c r="S802" t="s">
        <v>726</v>
      </c>
      <c r="T802" t="s">
        <v>727</v>
      </c>
      <c r="U802" t="s">
        <v>53</v>
      </c>
      <c r="V802" t="s">
        <v>51</v>
      </c>
      <c r="W802">
        <v>30000</v>
      </c>
      <c r="X802" t="s">
        <v>54</v>
      </c>
      <c r="AA802">
        <v>40</v>
      </c>
      <c r="AB802">
        <v>36</v>
      </c>
      <c r="AC802">
        <v>17</v>
      </c>
      <c r="AD802">
        <v>68</v>
      </c>
      <c r="AE802">
        <v>69</v>
      </c>
      <c r="AF802">
        <v>1</v>
      </c>
      <c r="AG802">
        <v>0</v>
      </c>
      <c r="AH802">
        <v>0.89068692922592163</v>
      </c>
      <c r="AI802">
        <v>0</v>
      </c>
      <c r="AJ802">
        <v>6.5784134864807129</v>
      </c>
      <c r="AK802" t="s">
        <v>53</v>
      </c>
      <c r="AL802" t="s">
        <v>54</v>
      </c>
      <c r="AP802" t="s">
        <v>5451</v>
      </c>
      <c r="AQ802" t="s">
        <v>54</v>
      </c>
      <c r="AT802" t="s">
        <v>728</v>
      </c>
      <c r="AW802" t="s">
        <v>53</v>
      </c>
      <c r="AZ802" t="s">
        <v>54</v>
      </c>
      <c r="BA802" t="s">
        <v>729</v>
      </c>
    </row>
    <row r="803" spans="1:53" x14ac:dyDescent="0.25">
      <c r="A803">
        <v>798</v>
      </c>
      <c r="B803" t="s">
        <v>739</v>
      </c>
      <c r="C803" t="s">
        <v>740</v>
      </c>
      <c r="D803" t="s">
        <v>718</v>
      </c>
      <c r="E803">
        <v>6</v>
      </c>
      <c r="F803" t="s">
        <v>719</v>
      </c>
      <c r="G803" t="s">
        <v>720</v>
      </c>
      <c r="H803" t="s">
        <v>721</v>
      </c>
      <c r="I803" t="s">
        <v>734</v>
      </c>
      <c r="J803" t="s">
        <v>741</v>
      </c>
      <c r="K803" t="s">
        <v>742</v>
      </c>
      <c r="L803" t="s">
        <v>725</v>
      </c>
      <c r="M803">
        <v>2.3801815509796138</v>
      </c>
      <c r="N803" t="s">
        <v>54</v>
      </c>
      <c r="O803" t="s">
        <v>53</v>
      </c>
      <c r="P803" t="s">
        <v>54</v>
      </c>
      <c r="Q803" t="s">
        <v>53</v>
      </c>
      <c r="R803" t="s">
        <v>53</v>
      </c>
      <c r="S803" t="s">
        <v>726</v>
      </c>
      <c r="T803" t="s">
        <v>727</v>
      </c>
      <c r="U803" t="s">
        <v>53</v>
      </c>
      <c r="V803" t="s">
        <v>51</v>
      </c>
      <c r="W803">
        <v>30000</v>
      </c>
      <c r="X803" t="s">
        <v>54</v>
      </c>
      <c r="AA803">
        <v>80</v>
      </c>
      <c r="AB803">
        <v>73</v>
      </c>
      <c r="AC803">
        <v>33</v>
      </c>
      <c r="AD803">
        <v>130</v>
      </c>
      <c r="AE803">
        <v>130</v>
      </c>
      <c r="AF803">
        <v>0</v>
      </c>
      <c r="AG803">
        <v>1</v>
      </c>
      <c r="AH803">
        <v>0.37900954484939581</v>
      </c>
      <c r="AI803">
        <v>1</v>
      </c>
      <c r="AJ803">
        <v>1.171100378036499</v>
      </c>
      <c r="AK803" t="s">
        <v>53</v>
      </c>
      <c r="AL803" t="s">
        <v>54</v>
      </c>
      <c r="AP803" t="s">
        <v>5451</v>
      </c>
      <c r="AQ803" t="s">
        <v>54</v>
      </c>
      <c r="AT803" t="s">
        <v>728</v>
      </c>
      <c r="AW803" t="s">
        <v>53</v>
      </c>
      <c r="AZ803" t="s">
        <v>54</v>
      </c>
      <c r="BA803" t="s">
        <v>729</v>
      </c>
    </row>
    <row r="804" spans="1:53" x14ac:dyDescent="0.25">
      <c r="A804">
        <v>799</v>
      </c>
      <c r="B804" t="s">
        <v>743</v>
      </c>
      <c r="C804" t="s">
        <v>744</v>
      </c>
      <c r="D804" t="s">
        <v>718</v>
      </c>
      <c r="E804">
        <v>6</v>
      </c>
      <c r="F804" t="s">
        <v>719</v>
      </c>
      <c r="G804" t="s">
        <v>720</v>
      </c>
      <c r="H804" t="s">
        <v>721</v>
      </c>
      <c r="I804" t="s">
        <v>722</v>
      </c>
      <c r="J804" t="s">
        <v>723</v>
      </c>
      <c r="K804" t="s">
        <v>724</v>
      </c>
      <c r="L804" t="s">
        <v>725</v>
      </c>
      <c r="M804">
        <v>6.008915901184082</v>
      </c>
      <c r="N804" t="s">
        <v>53</v>
      </c>
      <c r="O804" t="s">
        <v>53</v>
      </c>
      <c r="P804" t="s">
        <v>54</v>
      </c>
      <c r="Q804" t="s">
        <v>53</v>
      </c>
      <c r="R804" t="s">
        <v>53</v>
      </c>
      <c r="S804" t="s">
        <v>726</v>
      </c>
      <c r="T804" t="s">
        <v>727</v>
      </c>
      <c r="U804" t="s">
        <v>53</v>
      </c>
      <c r="V804" t="s">
        <v>51</v>
      </c>
      <c r="W804">
        <v>30000</v>
      </c>
      <c r="X804" t="s">
        <v>54</v>
      </c>
      <c r="AA804">
        <v>516</v>
      </c>
      <c r="AB804">
        <v>426</v>
      </c>
      <c r="AC804">
        <v>2300</v>
      </c>
      <c r="AD804">
        <v>1289</v>
      </c>
      <c r="AE804">
        <v>3099</v>
      </c>
      <c r="AF804">
        <v>2</v>
      </c>
      <c r="AG804">
        <v>9</v>
      </c>
      <c r="AH804">
        <v>9.8994226455688477</v>
      </c>
      <c r="AI804">
        <v>9</v>
      </c>
      <c r="AJ804">
        <v>2.4494938850402832</v>
      </c>
      <c r="AK804" t="s">
        <v>53</v>
      </c>
      <c r="AL804" t="s">
        <v>54</v>
      </c>
      <c r="AP804" t="s">
        <v>5451</v>
      </c>
      <c r="AQ804" t="s">
        <v>54</v>
      </c>
      <c r="AT804" t="s">
        <v>728</v>
      </c>
      <c r="AW804" t="s">
        <v>53</v>
      </c>
      <c r="AZ804" t="s">
        <v>54</v>
      </c>
      <c r="BA804" t="s">
        <v>729</v>
      </c>
    </row>
    <row r="805" spans="1:53" x14ac:dyDescent="0.25">
      <c r="A805">
        <v>800</v>
      </c>
      <c r="B805" t="s">
        <v>745</v>
      </c>
      <c r="C805" t="s">
        <v>746</v>
      </c>
      <c r="D805" t="s">
        <v>718</v>
      </c>
      <c r="E805">
        <v>6</v>
      </c>
      <c r="F805" t="s">
        <v>719</v>
      </c>
      <c r="G805" t="s">
        <v>720</v>
      </c>
      <c r="H805" t="s">
        <v>721</v>
      </c>
      <c r="I805" t="s">
        <v>722</v>
      </c>
      <c r="J805" t="s">
        <v>723</v>
      </c>
      <c r="K805" t="s">
        <v>724</v>
      </c>
      <c r="L805" t="s">
        <v>725</v>
      </c>
      <c r="M805">
        <v>6.008915901184082</v>
      </c>
      <c r="N805" t="s">
        <v>53</v>
      </c>
      <c r="O805" t="s">
        <v>53</v>
      </c>
      <c r="P805" t="s">
        <v>54</v>
      </c>
      <c r="Q805" t="s">
        <v>53</v>
      </c>
      <c r="R805" t="s">
        <v>53</v>
      </c>
      <c r="S805" t="s">
        <v>726</v>
      </c>
      <c r="T805" t="s">
        <v>727</v>
      </c>
      <c r="U805" t="s">
        <v>53</v>
      </c>
      <c r="V805" t="s">
        <v>51</v>
      </c>
      <c r="W805">
        <v>30000</v>
      </c>
      <c r="X805" t="s">
        <v>54</v>
      </c>
      <c r="AA805">
        <v>516</v>
      </c>
      <c r="AB805">
        <v>426</v>
      </c>
      <c r="AC805">
        <v>2300</v>
      </c>
      <c r="AD805">
        <v>1289</v>
      </c>
      <c r="AE805">
        <v>3099</v>
      </c>
      <c r="AF805">
        <v>2</v>
      </c>
      <c r="AG805">
        <v>9</v>
      </c>
      <c r="AH805">
        <v>9.8994226455688477</v>
      </c>
      <c r="AI805">
        <v>9</v>
      </c>
      <c r="AJ805">
        <v>2.4494938850402832</v>
      </c>
      <c r="AK805" t="s">
        <v>53</v>
      </c>
      <c r="AL805" t="s">
        <v>54</v>
      </c>
      <c r="AP805" t="s">
        <v>5451</v>
      </c>
      <c r="AQ805" t="s">
        <v>54</v>
      </c>
      <c r="AT805" t="s">
        <v>728</v>
      </c>
      <c r="AW805" t="s">
        <v>53</v>
      </c>
      <c r="AZ805" t="s">
        <v>54</v>
      </c>
      <c r="BA805" t="s">
        <v>729</v>
      </c>
    </row>
    <row r="806" spans="1:53" x14ac:dyDescent="0.25">
      <c r="A806">
        <v>801</v>
      </c>
      <c r="B806" t="s">
        <v>747</v>
      </c>
      <c r="C806" t="s">
        <v>748</v>
      </c>
      <c r="D806" t="s">
        <v>718</v>
      </c>
      <c r="E806">
        <v>6</v>
      </c>
      <c r="F806" t="s">
        <v>719</v>
      </c>
      <c r="G806" t="s">
        <v>720</v>
      </c>
      <c r="H806" t="s">
        <v>721</v>
      </c>
      <c r="I806" t="s">
        <v>722</v>
      </c>
      <c r="J806" t="s">
        <v>723</v>
      </c>
      <c r="K806" t="s">
        <v>724</v>
      </c>
      <c r="L806" t="s">
        <v>725</v>
      </c>
      <c r="M806">
        <v>6.008915901184082</v>
      </c>
      <c r="N806" t="s">
        <v>53</v>
      </c>
      <c r="O806" t="s">
        <v>53</v>
      </c>
      <c r="P806" t="s">
        <v>54</v>
      </c>
      <c r="Q806" t="s">
        <v>53</v>
      </c>
      <c r="R806" t="s">
        <v>53</v>
      </c>
      <c r="S806" t="s">
        <v>726</v>
      </c>
      <c r="T806" t="s">
        <v>727</v>
      </c>
      <c r="U806" t="s">
        <v>53</v>
      </c>
      <c r="V806" t="s">
        <v>51</v>
      </c>
      <c r="W806">
        <v>30000</v>
      </c>
      <c r="X806" t="s">
        <v>54</v>
      </c>
      <c r="AA806">
        <v>516</v>
      </c>
      <c r="AB806">
        <v>426</v>
      </c>
      <c r="AC806">
        <v>2300</v>
      </c>
      <c r="AD806">
        <v>1289</v>
      </c>
      <c r="AE806">
        <v>3099</v>
      </c>
      <c r="AF806">
        <v>2</v>
      </c>
      <c r="AG806">
        <v>9</v>
      </c>
      <c r="AH806">
        <v>9.8994226455688477</v>
      </c>
      <c r="AI806">
        <v>9</v>
      </c>
      <c r="AJ806">
        <v>2.4494938850402832</v>
      </c>
      <c r="AK806" t="s">
        <v>53</v>
      </c>
      <c r="AL806" t="s">
        <v>54</v>
      </c>
      <c r="AP806" t="s">
        <v>5451</v>
      </c>
      <c r="AQ806" t="s">
        <v>54</v>
      </c>
      <c r="AT806" t="s">
        <v>728</v>
      </c>
      <c r="AW806" t="s">
        <v>53</v>
      </c>
      <c r="AZ806" t="s">
        <v>54</v>
      </c>
      <c r="BA806" t="s">
        <v>729</v>
      </c>
    </row>
    <row r="807" spans="1:53" x14ac:dyDescent="0.25">
      <c r="A807">
        <v>802</v>
      </c>
      <c r="B807" t="s">
        <v>749</v>
      </c>
      <c r="C807" t="s">
        <v>750</v>
      </c>
      <c r="D807" t="s">
        <v>718</v>
      </c>
      <c r="E807">
        <v>6</v>
      </c>
      <c r="F807" t="s">
        <v>719</v>
      </c>
      <c r="G807" t="s">
        <v>720</v>
      </c>
      <c r="H807" t="s">
        <v>721</v>
      </c>
      <c r="I807" t="s">
        <v>722</v>
      </c>
      <c r="J807" t="s">
        <v>723</v>
      </c>
      <c r="K807" t="s">
        <v>724</v>
      </c>
      <c r="L807" t="s">
        <v>725</v>
      </c>
      <c r="M807">
        <v>6.008915901184082</v>
      </c>
      <c r="N807" t="s">
        <v>54</v>
      </c>
      <c r="O807" t="s">
        <v>53</v>
      </c>
      <c r="P807" t="s">
        <v>54</v>
      </c>
      <c r="Q807" t="s">
        <v>53</v>
      </c>
      <c r="R807" t="s">
        <v>53</v>
      </c>
      <c r="S807" t="s">
        <v>726</v>
      </c>
      <c r="T807" t="s">
        <v>727</v>
      </c>
      <c r="U807" t="s">
        <v>53</v>
      </c>
      <c r="V807" t="s">
        <v>51</v>
      </c>
      <c r="W807">
        <v>30000</v>
      </c>
      <c r="X807" t="s">
        <v>54</v>
      </c>
      <c r="AA807">
        <v>516</v>
      </c>
      <c r="AB807">
        <v>426</v>
      </c>
      <c r="AC807">
        <v>2300</v>
      </c>
      <c r="AD807">
        <v>1289</v>
      </c>
      <c r="AE807">
        <v>3099</v>
      </c>
      <c r="AF807">
        <v>2</v>
      </c>
      <c r="AG807">
        <v>9</v>
      </c>
      <c r="AH807">
        <v>9.8994226455688477</v>
      </c>
      <c r="AI807">
        <v>9</v>
      </c>
      <c r="AJ807">
        <v>2.4494938850402832</v>
      </c>
      <c r="AK807" t="s">
        <v>53</v>
      </c>
      <c r="AL807" t="s">
        <v>54</v>
      </c>
      <c r="AP807" t="s">
        <v>5451</v>
      </c>
      <c r="AQ807" t="s">
        <v>54</v>
      </c>
      <c r="AT807" t="s">
        <v>728</v>
      </c>
      <c r="AW807" t="s">
        <v>53</v>
      </c>
      <c r="AZ807" t="s">
        <v>54</v>
      </c>
      <c r="BA807" t="s">
        <v>729</v>
      </c>
    </row>
    <row r="808" spans="1:53" x14ac:dyDescent="0.25">
      <c r="A808">
        <v>803</v>
      </c>
      <c r="B808" t="s">
        <v>751</v>
      </c>
      <c r="C808" t="s">
        <v>752</v>
      </c>
      <c r="D808" t="s">
        <v>718</v>
      </c>
      <c r="E808">
        <v>6</v>
      </c>
      <c r="F808" t="s">
        <v>719</v>
      </c>
      <c r="G808" t="s">
        <v>720</v>
      </c>
      <c r="H808" t="s">
        <v>721</v>
      </c>
      <c r="I808" t="s">
        <v>722</v>
      </c>
      <c r="J808" t="s">
        <v>723</v>
      </c>
      <c r="K808" t="s">
        <v>724</v>
      </c>
      <c r="L808" t="s">
        <v>725</v>
      </c>
      <c r="M808">
        <v>6.008915901184082</v>
      </c>
      <c r="N808" t="s">
        <v>54</v>
      </c>
      <c r="O808" t="s">
        <v>53</v>
      </c>
      <c r="P808" t="s">
        <v>54</v>
      </c>
      <c r="Q808" t="s">
        <v>53</v>
      </c>
      <c r="R808" t="s">
        <v>53</v>
      </c>
      <c r="S808" t="s">
        <v>726</v>
      </c>
      <c r="T808" t="s">
        <v>727</v>
      </c>
      <c r="U808" t="s">
        <v>53</v>
      </c>
      <c r="V808" t="s">
        <v>51</v>
      </c>
      <c r="W808">
        <v>30000</v>
      </c>
      <c r="X808" t="s">
        <v>54</v>
      </c>
      <c r="AA808">
        <v>516</v>
      </c>
      <c r="AB808">
        <v>426</v>
      </c>
      <c r="AC808">
        <v>2300</v>
      </c>
      <c r="AD808">
        <v>1289</v>
      </c>
      <c r="AE808">
        <v>3099</v>
      </c>
      <c r="AF808">
        <v>2</v>
      </c>
      <c r="AG808">
        <v>9</v>
      </c>
      <c r="AH808">
        <v>9.8994226455688477</v>
      </c>
      <c r="AI808">
        <v>9</v>
      </c>
      <c r="AJ808">
        <v>2.4494938850402832</v>
      </c>
      <c r="AK808" t="s">
        <v>53</v>
      </c>
      <c r="AL808" t="s">
        <v>54</v>
      </c>
      <c r="AP808" t="s">
        <v>5451</v>
      </c>
      <c r="AQ808" t="s">
        <v>54</v>
      </c>
      <c r="AT808" t="s">
        <v>728</v>
      </c>
      <c r="AW808" t="s">
        <v>53</v>
      </c>
      <c r="AZ808" t="s">
        <v>54</v>
      </c>
      <c r="BA808" t="s">
        <v>729</v>
      </c>
    </row>
    <row r="809" spans="1:53" x14ac:dyDescent="0.25">
      <c r="A809">
        <v>804</v>
      </c>
      <c r="B809" t="s">
        <v>753</v>
      </c>
      <c r="C809" t="s">
        <v>754</v>
      </c>
      <c r="D809" t="s">
        <v>718</v>
      </c>
      <c r="E809">
        <v>6</v>
      </c>
      <c r="F809" t="s">
        <v>719</v>
      </c>
      <c r="G809" t="s">
        <v>720</v>
      </c>
      <c r="H809" t="s">
        <v>721</v>
      </c>
      <c r="I809" t="s">
        <v>722</v>
      </c>
      <c r="J809" t="s">
        <v>723</v>
      </c>
      <c r="K809" t="s">
        <v>724</v>
      </c>
      <c r="L809" t="s">
        <v>725</v>
      </c>
      <c r="M809">
        <v>6.008915901184082</v>
      </c>
      <c r="N809" t="s">
        <v>54</v>
      </c>
      <c r="O809" t="s">
        <v>53</v>
      </c>
      <c r="P809" t="s">
        <v>54</v>
      </c>
      <c r="Q809" t="s">
        <v>53</v>
      </c>
      <c r="R809" t="s">
        <v>53</v>
      </c>
      <c r="S809" t="s">
        <v>726</v>
      </c>
      <c r="T809" t="s">
        <v>727</v>
      </c>
      <c r="U809" t="s">
        <v>53</v>
      </c>
      <c r="V809" t="s">
        <v>51</v>
      </c>
      <c r="W809">
        <v>30000</v>
      </c>
      <c r="X809" t="s">
        <v>54</v>
      </c>
      <c r="AA809">
        <v>516</v>
      </c>
      <c r="AB809">
        <v>426</v>
      </c>
      <c r="AC809">
        <v>2300</v>
      </c>
      <c r="AD809">
        <v>1289</v>
      </c>
      <c r="AE809">
        <v>3099</v>
      </c>
      <c r="AF809">
        <v>2</v>
      </c>
      <c r="AG809">
        <v>9</v>
      </c>
      <c r="AH809">
        <v>9.8994226455688477</v>
      </c>
      <c r="AI809">
        <v>9</v>
      </c>
      <c r="AJ809">
        <v>2.4494938850402832</v>
      </c>
      <c r="AK809" t="s">
        <v>53</v>
      </c>
      <c r="AL809" t="s">
        <v>54</v>
      </c>
      <c r="AP809" t="s">
        <v>5451</v>
      </c>
      <c r="AQ809" t="s">
        <v>54</v>
      </c>
      <c r="AT809" t="s">
        <v>728</v>
      </c>
      <c r="AW809" t="s">
        <v>53</v>
      </c>
      <c r="AZ809" t="s">
        <v>54</v>
      </c>
      <c r="BA809" t="s">
        <v>729</v>
      </c>
    </row>
    <row r="810" spans="1:53" x14ac:dyDescent="0.25">
      <c r="A810">
        <v>805</v>
      </c>
      <c r="B810" t="s">
        <v>755</v>
      </c>
      <c r="C810" t="s">
        <v>756</v>
      </c>
      <c r="D810" t="s">
        <v>718</v>
      </c>
      <c r="E810">
        <v>6</v>
      </c>
      <c r="F810" t="s">
        <v>719</v>
      </c>
      <c r="G810" t="s">
        <v>720</v>
      </c>
      <c r="H810" t="s">
        <v>721</v>
      </c>
      <c r="I810" t="s">
        <v>722</v>
      </c>
      <c r="J810" t="s">
        <v>723</v>
      </c>
      <c r="K810" t="s">
        <v>724</v>
      </c>
      <c r="L810" t="s">
        <v>725</v>
      </c>
      <c r="M810">
        <v>3.5054595470428471</v>
      </c>
      <c r="N810" t="s">
        <v>54</v>
      </c>
      <c r="O810" t="s">
        <v>53</v>
      </c>
      <c r="P810" t="s">
        <v>54</v>
      </c>
      <c r="Q810" t="s">
        <v>53</v>
      </c>
      <c r="R810" t="s">
        <v>53</v>
      </c>
      <c r="S810" t="s">
        <v>726</v>
      </c>
      <c r="T810" t="s">
        <v>727</v>
      </c>
      <c r="U810" t="s">
        <v>53</v>
      </c>
      <c r="V810" t="s">
        <v>51</v>
      </c>
      <c r="W810">
        <v>30000</v>
      </c>
      <c r="X810" t="s">
        <v>54</v>
      </c>
      <c r="AA810">
        <v>365</v>
      </c>
      <c r="AB810">
        <v>257</v>
      </c>
      <c r="AC810">
        <v>978</v>
      </c>
      <c r="AD810">
        <v>1381</v>
      </c>
      <c r="AE810">
        <v>1873</v>
      </c>
      <c r="AF810">
        <v>6</v>
      </c>
      <c r="AG810">
        <v>0</v>
      </c>
      <c r="AH810">
        <v>6.663978099822998</v>
      </c>
      <c r="AI810">
        <v>0</v>
      </c>
      <c r="AJ810">
        <v>2.980953693389893</v>
      </c>
      <c r="AK810" t="s">
        <v>53</v>
      </c>
      <c r="AL810" t="s">
        <v>54</v>
      </c>
      <c r="AP810" t="s">
        <v>5451</v>
      </c>
      <c r="AQ810" t="s">
        <v>54</v>
      </c>
      <c r="AT810" t="s">
        <v>728</v>
      </c>
      <c r="AW810" t="s">
        <v>53</v>
      </c>
      <c r="AZ810" t="s">
        <v>54</v>
      </c>
      <c r="BA810" t="s">
        <v>729</v>
      </c>
    </row>
    <row r="811" spans="1:53" x14ac:dyDescent="0.25">
      <c r="A811">
        <v>806</v>
      </c>
      <c r="B811" t="s">
        <v>757</v>
      </c>
      <c r="C811" t="s">
        <v>758</v>
      </c>
      <c r="D811" t="s">
        <v>718</v>
      </c>
      <c r="E811">
        <v>6</v>
      </c>
      <c r="F811" t="s">
        <v>719</v>
      </c>
      <c r="G811" t="s">
        <v>720</v>
      </c>
      <c r="H811" t="s">
        <v>721</v>
      </c>
      <c r="I811" t="s">
        <v>722</v>
      </c>
      <c r="J811" t="s">
        <v>723</v>
      </c>
      <c r="K811" t="s">
        <v>724</v>
      </c>
      <c r="L811" t="s">
        <v>725</v>
      </c>
      <c r="M811">
        <v>3.5054595470428471</v>
      </c>
      <c r="N811" t="s">
        <v>54</v>
      </c>
      <c r="O811" t="s">
        <v>53</v>
      </c>
      <c r="P811" t="s">
        <v>54</v>
      </c>
      <c r="Q811" t="s">
        <v>53</v>
      </c>
      <c r="R811" t="s">
        <v>53</v>
      </c>
      <c r="S811" t="s">
        <v>726</v>
      </c>
      <c r="T811" t="s">
        <v>727</v>
      </c>
      <c r="U811" t="s">
        <v>53</v>
      </c>
      <c r="V811" t="s">
        <v>51</v>
      </c>
      <c r="W811">
        <v>30000</v>
      </c>
      <c r="X811" t="s">
        <v>54</v>
      </c>
      <c r="AA811">
        <v>365</v>
      </c>
      <c r="AB811">
        <v>257</v>
      </c>
      <c r="AC811">
        <v>978</v>
      </c>
      <c r="AD811">
        <v>1381</v>
      </c>
      <c r="AE811">
        <v>1873</v>
      </c>
      <c r="AF811">
        <v>6</v>
      </c>
      <c r="AG811">
        <v>0</v>
      </c>
      <c r="AH811">
        <v>6.663978099822998</v>
      </c>
      <c r="AI811">
        <v>0</v>
      </c>
      <c r="AJ811">
        <v>2.980953693389893</v>
      </c>
      <c r="AK811" t="s">
        <v>53</v>
      </c>
      <c r="AL811" t="s">
        <v>54</v>
      </c>
      <c r="AP811" t="s">
        <v>5451</v>
      </c>
      <c r="AQ811" t="s">
        <v>54</v>
      </c>
      <c r="AT811" t="s">
        <v>728</v>
      </c>
      <c r="AW811" t="s">
        <v>53</v>
      </c>
      <c r="AZ811" t="s">
        <v>54</v>
      </c>
      <c r="BA811" t="s">
        <v>729</v>
      </c>
    </row>
    <row r="812" spans="1:53" x14ac:dyDescent="0.25">
      <c r="A812">
        <v>807</v>
      </c>
      <c r="B812" t="s">
        <v>759</v>
      </c>
      <c r="C812" t="s">
        <v>760</v>
      </c>
      <c r="D812" t="s">
        <v>718</v>
      </c>
      <c r="E812">
        <v>6</v>
      </c>
      <c r="F812" t="s">
        <v>719</v>
      </c>
      <c r="G812" t="s">
        <v>720</v>
      </c>
      <c r="H812" t="s">
        <v>721</v>
      </c>
      <c r="I812" t="s">
        <v>722</v>
      </c>
      <c r="J812" t="s">
        <v>723</v>
      </c>
      <c r="K812" t="s">
        <v>724</v>
      </c>
      <c r="L812" t="s">
        <v>725</v>
      </c>
      <c r="M812">
        <v>9.5143756866455078</v>
      </c>
      <c r="N812" t="s">
        <v>54</v>
      </c>
      <c r="O812" t="s">
        <v>53</v>
      </c>
      <c r="P812" t="s">
        <v>54</v>
      </c>
      <c r="Q812" t="s">
        <v>53</v>
      </c>
      <c r="R812" t="s">
        <v>53</v>
      </c>
      <c r="S812" t="s">
        <v>726</v>
      </c>
      <c r="T812" t="s">
        <v>727</v>
      </c>
      <c r="U812" t="s">
        <v>53</v>
      </c>
      <c r="V812" t="s">
        <v>51</v>
      </c>
      <c r="W812">
        <v>30000</v>
      </c>
      <c r="X812" t="s">
        <v>54</v>
      </c>
      <c r="AA812">
        <v>879</v>
      </c>
      <c r="AB812">
        <v>682</v>
      </c>
      <c r="AC812">
        <v>2968</v>
      </c>
      <c r="AD812">
        <v>2664</v>
      </c>
      <c r="AE812">
        <v>4662</v>
      </c>
      <c r="AF812">
        <v>6</v>
      </c>
      <c r="AG812">
        <v>9</v>
      </c>
      <c r="AH812">
        <v>16.563400268554691</v>
      </c>
      <c r="AI812">
        <v>9</v>
      </c>
      <c r="AJ812">
        <v>5.4304475784301758</v>
      </c>
      <c r="AK812" t="s">
        <v>53</v>
      </c>
      <c r="AL812" t="s">
        <v>54</v>
      </c>
      <c r="AP812" t="s">
        <v>5451</v>
      </c>
      <c r="AQ812" t="s">
        <v>54</v>
      </c>
      <c r="AT812" t="s">
        <v>728</v>
      </c>
      <c r="AW812" t="s">
        <v>53</v>
      </c>
      <c r="AZ812" t="s">
        <v>54</v>
      </c>
      <c r="BA812" t="s">
        <v>729</v>
      </c>
    </row>
    <row r="813" spans="1:53" x14ac:dyDescent="0.25">
      <c r="A813">
        <v>808</v>
      </c>
      <c r="B813" t="s">
        <v>761</v>
      </c>
      <c r="C813" t="s">
        <v>762</v>
      </c>
      <c r="D813" t="s">
        <v>718</v>
      </c>
      <c r="E813">
        <v>6</v>
      </c>
      <c r="F813" t="s">
        <v>719</v>
      </c>
      <c r="G813" t="s">
        <v>720</v>
      </c>
      <c r="H813" t="s">
        <v>721</v>
      </c>
      <c r="I813" t="s">
        <v>763</v>
      </c>
      <c r="J813" t="s">
        <v>764</v>
      </c>
      <c r="K813" t="s">
        <v>765</v>
      </c>
      <c r="L813" t="s">
        <v>725</v>
      </c>
      <c r="M813">
        <v>3.5922327041625981</v>
      </c>
      <c r="N813" t="s">
        <v>54</v>
      </c>
      <c r="O813" t="s">
        <v>53</v>
      </c>
      <c r="P813" t="s">
        <v>54</v>
      </c>
      <c r="Q813" t="s">
        <v>53</v>
      </c>
      <c r="R813" t="s">
        <v>53</v>
      </c>
      <c r="S813" t="s">
        <v>726</v>
      </c>
      <c r="T813" t="s">
        <v>727</v>
      </c>
      <c r="U813" t="s">
        <v>53</v>
      </c>
      <c r="V813" t="s">
        <v>51</v>
      </c>
      <c r="W813">
        <v>30000</v>
      </c>
      <c r="X813" t="s">
        <v>54</v>
      </c>
      <c r="AA813">
        <v>102</v>
      </c>
      <c r="AB813">
        <v>63</v>
      </c>
      <c r="AC813">
        <v>170</v>
      </c>
      <c r="AD813">
        <v>171</v>
      </c>
      <c r="AE813">
        <v>283</v>
      </c>
      <c r="AF813">
        <v>0</v>
      </c>
      <c r="AG813">
        <v>1</v>
      </c>
      <c r="AH813">
        <v>5.9455585479736328</v>
      </c>
      <c r="AI813">
        <v>1</v>
      </c>
      <c r="AJ813">
        <v>3.9540398120880131</v>
      </c>
      <c r="AK813" t="s">
        <v>53</v>
      </c>
      <c r="AL813" t="s">
        <v>54</v>
      </c>
      <c r="AP813" t="s">
        <v>5451</v>
      </c>
      <c r="AQ813" t="s">
        <v>54</v>
      </c>
      <c r="AT813" t="s">
        <v>728</v>
      </c>
      <c r="AW813" t="s">
        <v>53</v>
      </c>
      <c r="AZ813" t="s">
        <v>54</v>
      </c>
      <c r="BA813" t="s">
        <v>729</v>
      </c>
    </row>
    <row r="814" spans="1:53" x14ac:dyDescent="0.25">
      <c r="A814">
        <v>809</v>
      </c>
      <c r="B814" t="s">
        <v>766</v>
      </c>
      <c r="C814" t="s">
        <v>767</v>
      </c>
      <c r="D814" t="s">
        <v>718</v>
      </c>
      <c r="E814">
        <v>6</v>
      </c>
      <c r="F814" t="s">
        <v>719</v>
      </c>
      <c r="G814" t="s">
        <v>720</v>
      </c>
      <c r="H814" t="s">
        <v>721</v>
      </c>
      <c r="I814" t="s">
        <v>722</v>
      </c>
      <c r="J814" t="s">
        <v>768</v>
      </c>
      <c r="K814" t="s">
        <v>769</v>
      </c>
      <c r="L814" t="s">
        <v>725</v>
      </c>
      <c r="M814">
        <v>19.659162521362301</v>
      </c>
      <c r="N814" t="s">
        <v>54</v>
      </c>
      <c r="O814" t="s">
        <v>53</v>
      </c>
      <c r="P814" t="s">
        <v>54</v>
      </c>
      <c r="Q814" t="s">
        <v>53</v>
      </c>
      <c r="R814" t="s">
        <v>53</v>
      </c>
      <c r="S814" t="s">
        <v>726</v>
      </c>
      <c r="T814" t="s">
        <v>727</v>
      </c>
      <c r="U814" t="s">
        <v>53</v>
      </c>
      <c r="V814" t="s">
        <v>51</v>
      </c>
      <c r="W814">
        <v>30000</v>
      </c>
      <c r="X814" t="s">
        <v>54</v>
      </c>
      <c r="AA814">
        <v>374</v>
      </c>
      <c r="AB814">
        <v>277</v>
      </c>
      <c r="AC814">
        <v>1606</v>
      </c>
      <c r="AD814">
        <v>1199</v>
      </c>
      <c r="AE814">
        <v>2384</v>
      </c>
      <c r="AF814">
        <v>7</v>
      </c>
      <c r="AG814">
        <v>7</v>
      </c>
      <c r="AH814">
        <v>10.31031703948975</v>
      </c>
      <c r="AI814">
        <v>7</v>
      </c>
      <c r="AJ814">
        <v>6.7241411209106454</v>
      </c>
      <c r="AK814" t="s">
        <v>53</v>
      </c>
      <c r="AL814" t="s">
        <v>54</v>
      </c>
      <c r="AP814" t="s">
        <v>5451</v>
      </c>
      <c r="AQ814" t="s">
        <v>54</v>
      </c>
      <c r="AT814" t="s">
        <v>728</v>
      </c>
      <c r="AW814" t="s">
        <v>53</v>
      </c>
      <c r="AZ814" t="s">
        <v>54</v>
      </c>
      <c r="BA814" t="s">
        <v>729</v>
      </c>
    </row>
    <row r="815" spans="1:53" x14ac:dyDescent="0.25">
      <c r="A815">
        <v>810</v>
      </c>
      <c r="B815" t="s">
        <v>770</v>
      </c>
      <c r="C815" t="s">
        <v>771</v>
      </c>
      <c r="D815" t="s">
        <v>718</v>
      </c>
      <c r="E815">
        <v>6</v>
      </c>
      <c r="F815" t="s">
        <v>719</v>
      </c>
      <c r="G815" t="s">
        <v>720</v>
      </c>
      <c r="H815" t="s">
        <v>721</v>
      </c>
      <c r="I815" t="s">
        <v>722</v>
      </c>
      <c r="J815" t="s">
        <v>768</v>
      </c>
      <c r="K815" t="s">
        <v>769</v>
      </c>
      <c r="L815" t="s">
        <v>725</v>
      </c>
      <c r="M815">
        <v>19.659162521362301</v>
      </c>
      <c r="N815" t="s">
        <v>54</v>
      </c>
      <c r="O815" t="s">
        <v>53</v>
      </c>
      <c r="P815" t="s">
        <v>54</v>
      </c>
      <c r="Q815" t="s">
        <v>53</v>
      </c>
      <c r="R815" t="s">
        <v>53</v>
      </c>
      <c r="S815" t="s">
        <v>726</v>
      </c>
      <c r="T815" t="s">
        <v>727</v>
      </c>
      <c r="U815" t="s">
        <v>53</v>
      </c>
      <c r="V815" t="s">
        <v>51</v>
      </c>
      <c r="W815">
        <v>30000</v>
      </c>
      <c r="X815" t="s">
        <v>54</v>
      </c>
      <c r="AA815">
        <v>374</v>
      </c>
      <c r="AB815">
        <v>277</v>
      </c>
      <c r="AC815">
        <v>1606</v>
      </c>
      <c r="AD815">
        <v>1199</v>
      </c>
      <c r="AE815">
        <v>2384</v>
      </c>
      <c r="AF815">
        <v>7</v>
      </c>
      <c r="AG815">
        <v>7</v>
      </c>
      <c r="AH815">
        <v>10.31031703948975</v>
      </c>
      <c r="AI815">
        <v>7</v>
      </c>
      <c r="AJ815">
        <v>6.7241411209106454</v>
      </c>
      <c r="AK815" t="s">
        <v>53</v>
      </c>
      <c r="AL815" t="s">
        <v>54</v>
      </c>
      <c r="AP815" t="s">
        <v>5451</v>
      </c>
      <c r="AQ815" t="s">
        <v>54</v>
      </c>
      <c r="AT815" t="s">
        <v>728</v>
      </c>
      <c r="AW815" t="s">
        <v>53</v>
      </c>
      <c r="AZ815" t="s">
        <v>54</v>
      </c>
      <c r="BA815" t="s">
        <v>729</v>
      </c>
    </row>
    <row r="816" spans="1:53" x14ac:dyDescent="0.25">
      <c r="A816">
        <v>811</v>
      </c>
      <c r="B816" t="s">
        <v>772</v>
      </c>
      <c r="C816" t="s">
        <v>773</v>
      </c>
      <c r="D816" t="s">
        <v>718</v>
      </c>
      <c r="E816">
        <v>6</v>
      </c>
      <c r="F816" t="s">
        <v>719</v>
      </c>
      <c r="G816" t="s">
        <v>720</v>
      </c>
      <c r="H816" t="s">
        <v>721</v>
      </c>
      <c r="I816" t="s">
        <v>722</v>
      </c>
      <c r="J816" t="s">
        <v>768</v>
      </c>
      <c r="K816" t="s">
        <v>769</v>
      </c>
      <c r="L816" t="s">
        <v>725</v>
      </c>
      <c r="M816">
        <v>19.659162521362301</v>
      </c>
      <c r="N816" t="s">
        <v>54</v>
      </c>
      <c r="O816" t="s">
        <v>53</v>
      </c>
      <c r="P816" t="s">
        <v>54</v>
      </c>
      <c r="Q816" t="s">
        <v>53</v>
      </c>
      <c r="R816" t="s">
        <v>53</v>
      </c>
      <c r="S816" t="s">
        <v>726</v>
      </c>
      <c r="T816" t="s">
        <v>727</v>
      </c>
      <c r="U816" t="s">
        <v>53</v>
      </c>
      <c r="V816" t="s">
        <v>51</v>
      </c>
      <c r="W816">
        <v>30000</v>
      </c>
      <c r="X816" t="s">
        <v>54</v>
      </c>
      <c r="AA816">
        <v>374</v>
      </c>
      <c r="AB816">
        <v>277</v>
      </c>
      <c r="AC816">
        <v>1606</v>
      </c>
      <c r="AD816">
        <v>1199</v>
      </c>
      <c r="AE816">
        <v>2384</v>
      </c>
      <c r="AF816">
        <v>7</v>
      </c>
      <c r="AG816">
        <v>7</v>
      </c>
      <c r="AH816">
        <v>10.31031703948975</v>
      </c>
      <c r="AI816">
        <v>7</v>
      </c>
      <c r="AJ816">
        <v>6.7241411209106454</v>
      </c>
      <c r="AK816" t="s">
        <v>53</v>
      </c>
      <c r="AL816" t="s">
        <v>54</v>
      </c>
      <c r="AP816" t="s">
        <v>5451</v>
      </c>
      <c r="AQ816" t="s">
        <v>54</v>
      </c>
      <c r="AT816" t="s">
        <v>728</v>
      </c>
      <c r="AW816" t="s">
        <v>53</v>
      </c>
      <c r="AZ816" t="s">
        <v>54</v>
      </c>
      <c r="BA816" t="s">
        <v>729</v>
      </c>
    </row>
    <row r="817" spans="1:53" x14ac:dyDescent="0.25">
      <c r="A817">
        <v>812</v>
      </c>
      <c r="B817" t="s">
        <v>774</v>
      </c>
      <c r="C817" t="s">
        <v>775</v>
      </c>
      <c r="D817" t="s">
        <v>718</v>
      </c>
      <c r="E817">
        <v>6</v>
      </c>
      <c r="F817" t="s">
        <v>719</v>
      </c>
      <c r="G817" t="s">
        <v>720</v>
      </c>
      <c r="H817" t="s">
        <v>721</v>
      </c>
      <c r="I817" t="s">
        <v>722</v>
      </c>
      <c r="J817" t="s">
        <v>768</v>
      </c>
      <c r="K817" t="s">
        <v>769</v>
      </c>
      <c r="L817" t="s">
        <v>725</v>
      </c>
      <c r="M817">
        <v>19.659162521362301</v>
      </c>
      <c r="N817" t="s">
        <v>54</v>
      </c>
      <c r="O817" t="s">
        <v>53</v>
      </c>
      <c r="P817" t="s">
        <v>54</v>
      </c>
      <c r="Q817" t="s">
        <v>53</v>
      </c>
      <c r="R817" t="s">
        <v>53</v>
      </c>
      <c r="S817" t="s">
        <v>726</v>
      </c>
      <c r="T817" t="s">
        <v>727</v>
      </c>
      <c r="U817" t="s">
        <v>53</v>
      </c>
      <c r="V817" t="s">
        <v>51</v>
      </c>
      <c r="W817">
        <v>30000</v>
      </c>
      <c r="X817" t="s">
        <v>54</v>
      </c>
      <c r="AA817">
        <v>374</v>
      </c>
      <c r="AB817">
        <v>277</v>
      </c>
      <c r="AC817">
        <v>1606</v>
      </c>
      <c r="AD817">
        <v>1199</v>
      </c>
      <c r="AE817">
        <v>2384</v>
      </c>
      <c r="AF817">
        <v>7</v>
      </c>
      <c r="AG817">
        <v>7</v>
      </c>
      <c r="AH817">
        <v>10.31031703948975</v>
      </c>
      <c r="AI817">
        <v>7</v>
      </c>
      <c r="AJ817">
        <v>6.7241411209106454</v>
      </c>
      <c r="AK817" t="s">
        <v>53</v>
      </c>
      <c r="AL817" t="s">
        <v>54</v>
      </c>
      <c r="AP817" t="s">
        <v>5451</v>
      </c>
      <c r="AQ817" t="s">
        <v>54</v>
      </c>
      <c r="AT817" t="s">
        <v>728</v>
      </c>
      <c r="AW817" t="s">
        <v>53</v>
      </c>
      <c r="AZ817" t="s">
        <v>54</v>
      </c>
      <c r="BA817" t="s">
        <v>729</v>
      </c>
    </row>
    <row r="818" spans="1:53" x14ac:dyDescent="0.25">
      <c r="A818">
        <v>813</v>
      </c>
      <c r="B818" t="s">
        <v>776</v>
      </c>
      <c r="C818" t="s">
        <v>777</v>
      </c>
      <c r="D818" t="s">
        <v>718</v>
      </c>
      <c r="E818">
        <v>6</v>
      </c>
      <c r="F818" t="s">
        <v>719</v>
      </c>
      <c r="G818" t="s">
        <v>720</v>
      </c>
      <c r="H818" t="s">
        <v>721</v>
      </c>
      <c r="I818" t="s">
        <v>763</v>
      </c>
      <c r="J818" t="s">
        <v>778</v>
      </c>
      <c r="K818" t="s">
        <v>779</v>
      </c>
      <c r="L818" t="s">
        <v>725</v>
      </c>
      <c r="M818">
        <v>8.6132659912109375</v>
      </c>
      <c r="N818" t="s">
        <v>54</v>
      </c>
      <c r="O818" t="s">
        <v>53</v>
      </c>
      <c r="P818" t="s">
        <v>54</v>
      </c>
      <c r="Q818" t="s">
        <v>53</v>
      </c>
      <c r="R818" t="s">
        <v>53</v>
      </c>
      <c r="S818" t="s">
        <v>726</v>
      </c>
      <c r="T818" t="s">
        <v>727</v>
      </c>
      <c r="U818" t="s">
        <v>53</v>
      </c>
      <c r="V818" t="s">
        <v>51</v>
      </c>
      <c r="W818">
        <v>30000</v>
      </c>
      <c r="X818" t="s">
        <v>54</v>
      </c>
      <c r="AA818">
        <v>271</v>
      </c>
      <c r="AB818">
        <v>204</v>
      </c>
      <c r="AC818">
        <v>161</v>
      </c>
      <c r="AD818">
        <v>571</v>
      </c>
      <c r="AE818">
        <v>571</v>
      </c>
      <c r="AF818">
        <v>0</v>
      </c>
      <c r="AG818">
        <v>0</v>
      </c>
      <c r="AH818">
        <v>6.5345454216003418</v>
      </c>
      <c r="AI818">
        <v>0</v>
      </c>
      <c r="AJ818">
        <v>3.8967239856719971</v>
      </c>
      <c r="AK818" t="s">
        <v>53</v>
      </c>
      <c r="AL818" t="s">
        <v>54</v>
      </c>
      <c r="AP818" t="s">
        <v>5451</v>
      </c>
      <c r="AQ818" t="s">
        <v>54</v>
      </c>
      <c r="AT818" t="s">
        <v>728</v>
      </c>
      <c r="AW818" t="s">
        <v>53</v>
      </c>
      <c r="AZ818" t="s">
        <v>54</v>
      </c>
      <c r="BA818" t="s">
        <v>729</v>
      </c>
    </row>
    <row r="819" spans="1:53" x14ac:dyDescent="0.25">
      <c r="A819">
        <v>814</v>
      </c>
      <c r="B819" t="s">
        <v>780</v>
      </c>
      <c r="C819" t="s">
        <v>781</v>
      </c>
      <c r="D819" t="s">
        <v>718</v>
      </c>
      <c r="E819">
        <v>6</v>
      </c>
      <c r="F819" t="s">
        <v>719</v>
      </c>
      <c r="G819" t="s">
        <v>720</v>
      </c>
      <c r="H819" t="s">
        <v>721</v>
      </c>
      <c r="I819" t="s">
        <v>763</v>
      </c>
      <c r="J819" t="s">
        <v>778</v>
      </c>
      <c r="K819" t="s">
        <v>779</v>
      </c>
      <c r="L819" t="s">
        <v>725</v>
      </c>
      <c r="M819">
        <v>8.6132659912109375</v>
      </c>
      <c r="N819" t="s">
        <v>54</v>
      </c>
      <c r="O819" t="s">
        <v>53</v>
      </c>
      <c r="P819" t="s">
        <v>54</v>
      </c>
      <c r="Q819" t="s">
        <v>53</v>
      </c>
      <c r="R819" t="s">
        <v>53</v>
      </c>
      <c r="S819" t="s">
        <v>726</v>
      </c>
      <c r="T819" t="s">
        <v>727</v>
      </c>
      <c r="U819" t="s">
        <v>53</v>
      </c>
      <c r="V819" t="s">
        <v>51</v>
      </c>
      <c r="W819">
        <v>30000</v>
      </c>
      <c r="X819" t="s">
        <v>54</v>
      </c>
      <c r="AA819">
        <v>271</v>
      </c>
      <c r="AB819">
        <v>204</v>
      </c>
      <c r="AC819">
        <v>161</v>
      </c>
      <c r="AD819">
        <v>571</v>
      </c>
      <c r="AE819">
        <v>571</v>
      </c>
      <c r="AF819">
        <v>0</v>
      </c>
      <c r="AG819">
        <v>0</v>
      </c>
      <c r="AH819">
        <v>6.5345454216003418</v>
      </c>
      <c r="AI819">
        <v>0</v>
      </c>
      <c r="AJ819">
        <v>3.8967239856719971</v>
      </c>
      <c r="AK819" t="s">
        <v>53</v>
      </c>
      <c r="AL819" t="s">
        <v>54</v>
      </c>
      <c r="AP819" t="s">
        <v>5451</v>
      </c>
      <c r="AQ819" t="s">
        <v>54</v>
      </c>
      <c r="AT819" t="s">
        <v>728</v>
      </c>
      <c r="AW819" t="s">
        <v>53</v>
      </c>
      <c r="AZ819" t="s">
        <v>54</v>
      </c>
      <c r="BA819" t="s">
        <v>729</v>
      </c>
    </row>
    <row r="820" spans="1:53" x14ac:dyDescent="0.25">
      <c r="A820">
        <v>815</v>
      </c>
      <c r="B820" t="s">
        <v>782</v>
      </c>
      <c r="C820" t="s">
        <v>783</v>
      </c>
      <c r="D820" t="s">
        <v>784</v>
      </c>
      <c r="E820">
        <v>6</v>
      </c>
      <c r="F820" t="s">
        <v>719</v>
      </c>
      <c r="G820" t="s">
        <v>720</v>
      </c>
      <c r="H820" t="s">
        <v>785</v>
      </c>
      <c r="I820" t="s">
        <v>786</v>
      </c>
      <c r="J820" t="s">
        <v>787</v>
      </c>
      <c r="K820" t="s">
        <v>788</v>
      </c>
      <c r="L820" t="s">
        <v>789</v>
      </c>
      <c r="M820">
        <v>312.72238159179688</v>
      </c>
      <c r="N820" t="s">
        <v>54</v>
      </c>
      <c r="O820" t="s">
        <v>53</v>
      </c>
      <c r="P820" t="s">
        <v>54</v>
      </c>
      <c r="Q820" t="s">
        <v>53</v>
      </c>
      <c r="R820" t="s">
        <v>53</v>
      </c>
      <c r="S820" t="s">
        <v>790</v>
      </c>
      <c r="T820" t="s">
        <v>790</v>
      </c>
      <c r="U820" t="s">
        <v>53</v>
      </c>
      <c r="V820" t="s">
        <v>791</v>
      </c>
      <c r="W820">
        <v>1170000</v>
      </c>
      <c r="X820" t="s">
        <v>54</v>
      </c>
      <c r="AA820">
        <v>10021</v>
      </c>
      <c r="AB820">
        <v>7836</v>
      </c>
      <c r="AC820">
        <v>10446</v>
      </c>
      <c r="AD820">
        <v>16375</v>
      </c>
      <c r="AE820">
        <v>22126</v>
      </c>
      <c r="AF820">
        <v>39</v>
      </c>
      <c r="AG820">
        <v>17</v>
      </c>
      <c r="AH820">
        <v>212.78666687011719</v>
      </c>
      <c r="AI820">
        <v>17</v>
      </c>
      <c r="AJ820">
        <v>296.6737060546875</v>
      </c>
      <c r="AK820" t="s">
        <v>54</v>
      </c>
      <c r="AL820" t="s">
        <v>53</v>
      </c>
      <c r="AP820" t="s">
        <v>5451</v>
      </c>
      <c r="AQ820" t="s">
        <v>54</v>
      </c>
      <c r="AT820" t="s">
        <v>792</v>
      </c>
      <c r="AW820" t="s">
        <v>53</v>
      </c>
      <c r="AZ820" t="s">
        <v>54</v>
      </c>
      <c r="BA820" t="s">
        <v>729</v>
      </c>
    </row>
    <row r="821" spans="1:53" x14ac:dyDescent="0.25">
      <c r="A821">
        <v>816</v>
      </c>
      <c r="B821" t="s">
        <v>802</v>
      </c>
      <c r="C821" t="s">
        <v>803</v>
      </c>
      <c r="D821" t="s">
        <v>804</v>
      </c>
      <c r="E821">
        <v>6</v>
      </c>
      <c r="F821" t="s">
        <v>719</v>
      </c>
      <c r="G821" t="s">
        <v>805</v>
      </c>
      <c r="H821" t="s">
        <v>806</v>
      </c>
      <c r="I821" t="s">
        <v>807</v>
      </c>
      <c r="J821" t="s">
        <v>808</v>
      </c>
      <c r="K821" t="s">
        <v>809</v>
      </c>
      <c r="L821" t="s">
        <v>725</v>
      </c>
      <c r="M821">
        <v>12.76341533660889</v>
      </c>
      <c r="N821" t="s">
        <v>54</v>
      </c>
      <c r="O821" t="s">
        <v>53</v>
      </c>
      <c r="P821" t="s">
        <v>54</v>
      </c>
      <c r="Q821" t="s">
        <v>53</v>
      </c>
      <c r="R821" t="s">
        <v>53</v>
      </c>
      <c r="S821" t="s">
        <v>810</v>
      </c>
      <c r="T821" t="s">
        <v>811</v>
      </c>
      <c r="U821" t="s">
        <v>53</v>
      </c>
      <c r="V821" t="s">
        <v>51</v>
      </c>
      <c r="W821">
        <v>1260000</v>
      </c>
      <c r="X821" t="s">
        <v>54</v>
      </c>
      <c r="AA821">
        <v>2</v>
      </c>
      <c r="AB821">
        <v>2</v>
      </c>
      <c r="AC821">
        <v>2</v>
      </c>
      <c r="AD821">
        <v>8</v>
      </c>
      <c r="AE821">
        <v>8</v>
      </c>
      <c r="AF821">
        <v>0</v>
      </c>
      <c r="AG821">
        <v>0</v>
      </c>
      <c r="AH821">
        <v>0.61346447467803955</v>
      </c>
      <c r="AI821">
        <v>0</v>
      </c>
      <c r="AJ821">
        <v>6.5943312644958496</v>
      </c>
      <c r="AK821" t="s">
        <v>53</v>
      </c>
      <c r="AL821" t="s">
        <v>53</v>
      </c>
      <c r="AP821" t="s">
        <v>5451</v>
      </c>
      <c r="AQ821" t="s">
        <v>53</v>
      </c>
      <c r="AT821" t="s">
        <v>812</v>
      </c>
      <c r="AW821" t="s">
        <v>53</v>
      </c>
      <c r="AZ821" t="s">
        <v>54</v>
      </c>
      <c r="BA821" t="s">
        <v>729</v>
      </c>
    </row>
    <row r="822" spans="1:53" x14ac:dyDescent="0.25">
      <c r="A822">
        <v>817</v>
      </c>
      <c r="B822" t="s">
        <v>813</v>
      </c>
      <c r="C822" t="s">
        <v>814</v>
      </c>
      <c r="D822" t="s">
        <v>815</v>
      </c>
      <c r="E822">
        <v>6</v>
      </c>
      <c r="F822" t="s">
        <v>719</v>
      </c>
      <c r="G822" t="s">
        <v>805</v>
      </c>
      <c r="H822" t="s">
        <v>806</v>
      </c>
      <c r="I822" t="s">
        <v>816</v>
      </c>
      <c r="J822" t="s">
        <v>817</v>
      </c>
      <c r="K822" t="s">
        <v>818</v>
      </c>
      <c r="L822" t="s">
        <v>725</v>
      </c>
      <c r="M822">
        <v>0.26143059134483337</v>
      </c>
      <c r="N822" t="s">
        <v>54</v>
      </c>
      <c r="O822" t="s">
        <v>53</v>
      </c>
      <c r="P822" t="s">
        <v>54</v>
      </c>
      <c r="Q822" t="s">
        <v>53</v>
      </c>
      <c r="R822" t="s">
        <v>53</v>
      </c>
      <c r="S822" t="s">
        <v>810</v>
      </c>
      <c r="T822" t="s">
        <v>819</v>
      </c>
      <c r="U822" t="s">
        <v>53</v>
      </c>
      <c r="V822" t="s">
        <v>51</v>
      </c>
      <c r="W822">
        <v>110000</v>
      </c>
      <c r="X822" t="s">
        <v>54</v>
      </c>
      <c r="AK822" t="s">
        <v>53</v>
      </c>
      <c r="AL822" t="s">
        <v>54</v>
      </c>
      <c r="AP822" t="s">
        <v>5451</v>
      </c>
      <c r="AQ822" t="s">
        <v>54</v>
      </c>
      <c r="AT822" t="s">
        <v>820</v>
      </c>
      <c r="AW822" t="s">
        <v>53</v>
      </c>
      <c r="AZ822" t="s">
        <v>54</v>
      </c>
      <c r="BA822" t="s">
        <v>729</v>
      </c>
    </row>
    <row r="823" spans="1:53" x14ac:dyDescent="0.25">
      <c r="A823">
        <v>818</v>
      </c>
      <c r="B823" t="s">
        <v>821</v>
      </c>
      <c r="C823" t="s">
        <v>822</v>
      </c>
      <c r="D823" t="s">
        <v>823</v>
      </c>
      <c r="E823">
        <v>6</v>
      </c>
      <c r="F823" t="s">
        <v>719</v>
      </c>
      <c r="G823" t="s">
        <v>805</v>
      </c>
      <c r="H823" t="s">
        <v>806</v>
      </c>
      <c r="I823" t="s">
        <v>824</v>
      </c>
      <c r="J823" t="s">
        <v>825</v>
      </c>
      <c r="K823" t="s">
        <v>826</v>
      </c>
      <c r="L823" t="s">
        <v>725</v>
      </c>
      <c r="M823">
        <v>0.17029120028018949</v>
      </c>
      <c r="N823" t="s">
        <v>54</v>
      </c>
      <c r="O823" t="s">
        <v>53</v>
      </c>
      <c r="P823" t="s">
        <v>54</v>
      </c>
      <c r="Q823" t="s">
        <v>53</v>
      </c>
      <c r="R823" t="s">
        <v>53</v>
      </c>
      <c r="S823" t="s">
        <v>810</v>
      </c>
      <c r="T823" t="s">
        <v>827</v>
      </c>
      <c r="U823" t="s">
        <v>53</v>
      </c>
      <c r="V823" t="s">
        <v>51</v>
      </c>
      <c r="W823">
        <v>750000</v>
      </c>
      <c r="X823" t="s">
        <v>54</v>
      </c>
      <c r="AA823">
        <v>0</v>
      </c>
      <c r="AB823">
        <v>0</v>
      </c>
      <c r="AC823">
        <v>0</v>
      </c>
      <c r="AD823">
        <v>0</v>
      </c>
      <c r="AE823">
        <v>0</v>
      </c>
      <c r="AF823">
        <v>0</v>
      </c>
      <c r="AH823">
        <v>5.5250599980354309E-3</v>
      </c>
      <c r="AK823" t="s">
        <v>53</v>
      </c>
      <c r="AL823" t="s">
        <v>54</v>
      </c>
      <c r="AP823" t="s">
        <v>5451</v>
      </c>
      <c r="AQ823" t="s">
        <v>53</v>
      </c>
      <c r="AT823" t="s">
        <v>828</v>
      </c>
      <c r="AW823" t="s">
        <v>53</v>
      </c>
      <c r="AZ823" t="s">
        <v>54</v>
      </c>
      <c r="BA823" t="s">
        <v>729</v>
      </c>
    </row>
    <row r="824" spans="1:53" x14ac:dyDescent="0.25">
      <c r="A824">
        <v>819</v>
      </c>
      <c r="B824" t="s">
        <v>829</v>
      </c>
      <c r="C824" t="s">
        <v>830</v>
      </c>
      <c r="D824" t="s">
        <v>831</v>
      </c>
      <c r="E824">
        <v>6</v>
      </c>
      <c r="F824" t="s">
        <v>719</v>
      </c>
      <c r="G824" t="s">
        <v>805</v>
      </c>
      <c r="H824" t="s">
        <v>832</v>
      </c>
      <c r="I824" t="s">
        <v>833</v>
      </c>
      <c r="J824" t="s">
        <v>834</v>
      </c>
      <c r="K824" t="s">
        <v>835</v>
      </c>
      <c r="L824" t="s">
        <v>725</v>
      </c>
      <c r="M824">
        <v>1.444032669067383</v>
      </c>
      <c r="N824" t="s">
        <v>53</v>
      </c>
      <c r="O824" t="s">
        <v>53</v>
      </c>
      <c r="P824" t="s">
        <v>54</v>
      </c>
      <c r="Q824" t="s">
        <v>53</v>
      </c>
      <c r="R824" t="s">
        <v>53</v>
      </c>
      <c r="S824" t="s">
        <v>810</v>
      </c>
      <c r="T824" t="s">
        <v>819</v>
      </c>
      <c r="U824" t="s">
        <v>53</v>
      </c>
      <c r="V824" t="s">
        <v>51</v>
      </c>
      <c r="W824">
        <v>280000</v>
      </c>
      <c r="X824" t="s">
        <v>54</v>
      </c>
      <c r="AA824">
        <v>41</v>
      </c>
      <c r="AB824">
        <v>38</v>
      </c>
      <c r="AC824">
        <v>38</v>
      </c>
      <c r="AD824">
        <v>149</v>
      </c>
      <c r="AE824">
        <v>149</v>
      </c>
      <c r="AF824">
        <v>0</v>
      </c>
      <c r="AG824">
        <v>0</v>
      </c>
      <c r="AI824">
        <v>0</v>
      </c>
      <c r="AJ824">
        <v>0.4700922966003418</v>
      </c>
      <c r="AK824" t="s">
        <v>53</v>
      </c>
      <c r="AL824" t="s">
        <v>54</v>
      </c>
      <c r="AP824" t="s">
        <v>5451</v>
      </c>
      <c r="AQ824" t="s">
        <v>53</v>
      </c>
      <c r="AT824" t="s">
        <v>836</v>
      </c>
      <c r="AW824" t="s">
        <v>53</v>
      </c>
      <c r="AZ824" t="s">
        <v>54</v>
      </c>
      <c r="BA824" t="s">
        <v>729</v>
      </c>
    </row>
    <row r="825" spans="1:53" x14ac:dyDescent="0.25">
      <c r="A825">
        <v>820</v>
      </c>
      <c r="B825" t="s">
        <v>837</v>
      </c>
      <c r="C825" t="s">
        <v>838</v>
      </c>
      <c r="D825" t="s">
        <v>839</v>
      </c>
      <c r="E825">
        <v>6</v>
      </c>
      <c r="F825" t="s">
        <v>719</v>
      </c>
      <c r="G825" t="s">
        <v>805</v>
      </c>
      <c r="H825" t="s">
        <v>806</v>
      </c>
      <c r="I825" t="s">
        <v>816</v>
      </c>
      <c r="J825" t="s">
        <v>817</v>
      </c>
      <c r="K825" t="s">
        <v>818</v>
      </c>
      <c r="L825" t="s">
        <v>725</v>
      </c>
      <c r="M825">
        <v>0.50336927175521851</v>
      </c>
      <c r="N825" t="s">
        <v>54</v>
      </c>
      <c r="O825" t="s">
        <v>53</v>
      </c>
      <c r="P825" t="s">
        <v>54</v>
      </c>
      <c r="Q825" t="s">
        <v>53</v>
      </c>
      <c r="R825" t="s">
        <v>53</v>
      </c>
      <c r="S825" t="s">
        <v>810</v>
      </c>
      <c r="T825" t="s">
        <v>819</v>
      </c>
      <c r="U825" t="s">
        <v>53</v>
      </c>
      <c r="V825" t="s">
        <v>51</v>
      </c>
      <c r="W825">
        <v>130000</v>
      </c>
      <c r="X825" t="s">
        <v>54</v>
      </c>
      <c r="AA825">
        <v>3</v>
      </c>
      <c r="AB825">
        <v>0</v>
      </c>
      <c r="AC825">
        <v>4</v>
      </c>
      <c r="AD825">
        <v>2</v>
      </c>
      <c r="AE825">
        <v>6</v>
      </c>
      <c r="AF825">
        <v>0</v>
      </c>
      <c r="AH825">
        <v>5.500473827123642E-2</v>
      </c>
      <c r="AK825" t="s">
        <v>53</v>
      </c>
      <c r="AL825" t="s">
        <v>54</v>
      </c>
      <c r="AP825" t="s">
        <v>5451</v>
      </c>
      <c r="AQ825" t="s">
        <v>54</v>
      </c>
      <c r="AT825" t="s">
        <v>840</v>
      </c>
      <c r="AW825" t="s">
        <v>53</v>
      </c>
      <c r="AZ825" t="s">
        <v>54</v>
      </c>
      <c r="BA825" t="s">
        <v>729</v>
      </c>
    </row>
    <row r="826" spans="1:53" x14ac:dyDescent="0.25">
      <c r="A826">
        <v>821</v>
      </c>
      <c r="B826" t="s">
        <v>841</v>
      </c>
      <c r="C826" t="s">
        <v>842</v>
      </c>
      <c r="D826" t="s">
        <v>843</v>
      </c>
      <c r="E826">
        <v>6</v>
      </c>
      <c r="F826" t="s">
        <v>719</v>
      </c>
      <c r="G826" t="s">
        <v>805</v>
      </c>
      <c r="H826" t="s">
        <v>832</v>
      </c>
      <c r="I826" t="s">
        <v>833</v>
      </c>
      <c r="J826" t="s">
        <v>834</v>
      </c>
      <c r="K826" t="s">
        <v>835</v>
      </c>
      <c r="L826" t="s">
        <v>725</v>
      </c>
      <c r="M826">
        <v>0.79375374317169189</v>
      </c>
      <c r="N826" t="s">
        <v>54</v>
      </c>
      <c r="O826" t="s">
        <v>53</v>
      </c>
      <c r="P826" t="s">
        <v>54</v>
      </c>
      <c r="Q826" t="s">
        <v>53</v>
      </c>
      <c r="R826" t="s">
        <v>53</v>
      </c>
      <c r="S826" t="s">
        <v>810</v>
      </c>
      <c r="T826" t="s">
        <v>819</v>
      </c>
      <c r="U826" t="s">
        <v>53</v>
      </c>
      <c r="V826" t="s">
        <v>51</v>
      </c>
      <c r="W826">
        <v>150000</v>
      </c>
      <c r="X826" t="s">
        <v>54</v>
      </c>
      <c r="AK826" t="s">
        <v>53</v>
      </c>
      <c r="AL826" t="s">
        <v>54</v>
      </c>
      <c r="AP826" t="s">
        <v>5451</v>
      </c>
      <c r="AQ826" t="s">
        <v>54</v>
      </c>
      <c r="AT826" t="s">
        <v>844</v>
      </c>
      <c r="AW826" t="s">
        <v>53</v>
      </c>
      <c r="AZ826" t="s">
        <v>54</v>
      </c>
      <c r="BA826" t="s">
        <v>729</v>
      </c>
    </row>
    <row r="827" spans="1:53" x14ac:dyDescent="0.25">
      <c r="A827">
        <v>822</v>
      </c>
      <c r="B827" t="s">
        <v>845</v>
      </c>
      <c r="C827" t="s">
        <v>846</v>
      </c>
      <c r="D827" t="s">
        <v>847</v>
      </c>
      <c r="E827">
        <v>6</v>
      </c>
      <c r="F827" t="s">
        <v>719</v>
      </c>
      <c r="G827" t="s">
        <v>848</v>
      </c>
      <c r="H827" t="s">
        <v>795</v>
      </c>
      <c r="I827" t="s">
        <v>849</v>
      </c>
      <c r="J827" t="s">
        <v>850</v>
      </c>
      <c r="K827" t="s">
        <v>851</v>
      </c>
      <c r="L827" t="s">
        <v>725</v>
      </c>
      <c r="M827">
        <v>0.95835769176483154</v>
      </c>
      <c r="N827" t="s">
        <v>54</v>
      </c>
      <c r="O827" t="s">
        <v>53</v>
      </c>
      <c r="P827" t="s">
        <v>54</v>
      </c>
      <c r="Q827" t="s">
        <v>53</v>
      </c>
      <c r="R827" t="s">
        <v>53</v>
      </c>
      <c r="S827" t="s">
        <v>852</v>
      </c>
      <c r="T827" t="s">
        <v>853</v>
      </c>
      <c r="U827" t="s">
        <v>53</v>
      </c>
      <c r="V827" t="s">
        <v>51</v>
      </c>
      <c r="W827">
        <v>100000</v>
      </c>
      <c r="X827" t="s">
        <v>54</v>
      </c>
      <c r="AA827">
        <v>801</v>
      </c>
      <c r="AB827">
        <v>787</v>
      </c>
      <c r="AC827">
        <v>874</v>
      </c>
      <c r="AD827">
        <v>2148</v>
      </c>
      <c r="AE827">
        <v>2456</v>
      </c>
      <c r="AF827">
        <v>3</v>
      </c>
      <c r="AG827">
        <v>1</v>
      </c>
      <c r="AH827">
        <v>17.1647834777832</v>
      </c>
      <c r="AI827">
        <v>1</v>
      </c>
      <c r="AJ827">
        <v>0.221631184220314</v>
      </c>
      <c r="AK827" t="s">
        <v>53</v>
      </c>
      <c r="AL827" t="s">
        <v>54</v>
      </c>
      <c r="AP827" t="s">
        <v>5451</v>
      </c>
      <c r="AQ827" t="s">
        <v>53</v>
      </c>
      <c r="AT827" t="s">
        <v>846</v>
      </c>
      <c r="AW827" t="s">
        <v>53</v>
      </c>
      <c r="AZ827" t="s">
        <v>54</v>
      </c>
      <c r="BA827" t="s">
        <v>729</v>
      </c>
    </row>
    <row r="828" spans="1:53" x14ac:dyDescent="0.25">
      <c r="A828">
        <v>823</v>
      </c>
      <c r="B828" t="s">
        <v>867</v>
      </c>
      <c r="C828" t="s">
        <v>868</v>
      </c>
      <c r="D828" t="s">
        <v>869</v>
      </c>
      <c r="E828">
        <v>6</v>
      </c>
      <c r="F828" t="s">
        <v>719</v>
      </c>
      <c r="G828" t="s">
        <v>870</v>
      </c>
      <c r="H828" t="s">
        <v>795</v>
      </c>
      <c r="I828" t="s">
        <v>871</v>
      </c>
      <c r="J828" t="s">
        <v>872</v>
      </c>
      <c r="K828" t="s">
        <v>873</v>
      </c>
      <c r="L828" t="s">
        <v>725</v>
      </c>
      <c r="M828">
        <v>25.088289260864261</v>
      </c>
      <c r="N828" t="s">
        <v>53</v>
      </c>
      <c r="O828" t="s">
        <v>53</v>
      </c>
      <c r="P828" t="s">
        <v>54</v>
      </c>
      <c r="Q828" t="s">
        <v>53</v>
      </c>
      <c r="R828" t="s">
        <v>53</v>
      </c>
      <c r="S828" t="s">
        <v>799</v>
      </c>
      <c r="T828" t="s">
        <v>874</v>
      </c>
      <c r="U828" t="s">
        <v>53</v>
      </c>
      <c r="V828" t="s">
        <v>51</v>
      </c>
      <c r="W828">
        <v>50000</v>
      </c>
      <c r="X828" t="s">
        <v>54</v>
      </c>
      <c r="Y828" t="s">
        <v>1973</v>
      </c>
      <c r="Z828">
        <v>25000</v>
      </c>
      <c r="AA828">
        <v>3445</v>
      </c>
      <c r="AB828">
        <v>2605</v>
      </c>
      <c r="AC828">
        <v>15192</v>
      </c>
      <c r="AD828">
        <v>8721</v>
      </c>
      <c r="AE828">
        <v>21569</v>
      </c>
      <c r="AF828">
        <v>18</v>
      </c>
      <c r="AG828">
        <v>0</v>
      </c>
      <c r="AH828">
        <v>56.80682373046875</v>
      </c>
      <c r="AI828">
        <v>0</v>
      </c>
      <c r="AJ828">
        <v>262.29559326171881</v>
      </c>
      <c r="AK828" t="s">
        <v>53</v>
      </c>
      <c r="AL828" t="s">
        <v>53</v>
      </c>
      <c r="AP828" t="s">
        <v>5451</v>
      </c>
      <c r="AQ828" t="s">
        <v>53</v>
      </c>
      <c r="AT828" t="s">
        <v>875</v>
      </c>
      <c r="AW828" t="s">
        <v>53</v>
      </c>
      <c r="AZ828" t="s">
        <v>54</v>
      </c>
      <c r="BA828" t="s">
        <v>729</v>
      </c>
    </row>
    <row r="829" spans="1:53" x14ac:dyDescent="0.25">
      <c r="A829">
        <v>824</v>
      </c>
      <c r="B829" t="s">
        <v>880</v>
      </c>
      <c r="C829" t="s">
        <v>881</v>
      </c>
      <c r="D829" t="s">
        <v>6467</v>
      </c>
      <c r="E829">
        <v>6</v>
      </c>
      <c r="F829" t="s">
        <v>719</v>
      </c>
      <c r="G829" t="s">
        <v>870</v>
      </c>
      <c r="H829" t="s">
        <v>795</v>
      </c>
      <c r="I829" t="s">
        <v>871</v>
      </c>
      <c r="J829" t="s">
        <v>872</v>
      </c>
      <c r="K829" t="s">
        <v>873</v>
      </c>
      <c r="L829" t="s">
        <v>789</v>
      </c>
      <c r="M829">
        <v>25.088289260864261</v>
      </c>
      <c r="N829" t="s">
        <v>54</v>
      </c>
      <c r="O829" t="s">
        <v>53</v>
      </c>
      <c r="P829" t="s">
        <v>54</v>
      </c>
      <c r="Q829" t="s">
        <v>53</v>
      </c>
      <c r="R829" t="s">
        <v>53</v>
      </c>
      <c r="S829" t="s">
        <v>799</v>
      </c>
      <c r="T829" t="s">
        <v>879</v>
      </c>
      <c r="U829" t="s">
        <v>53</v>
      </c>
      <c r="V829" t="s">
        <v>791</v>
      </c>
      <c r="W829">
        <v>500000</v>
      </c>
      <c r="X829" t="s">
        <v>54</v>
      </c>
      <c r="Y829" t="s">
        <v>1973</v>
      </c>
      <c r="Z829">
        <v>0</v>
      </c>
      <c r="AA829">
        <v>3445</v>
      </c>
      <c r="AB829">
        <v>2605</v>
      </c>
      <c r="AC829">
        <v>15192</v>
      </c>
      <c r="AD829">
        <v>8721</v>
      </c>
      <c r="AE829">
        <v>21569</v>
      </c>
      <c r="AF829">
        <v>18</v>
      </c>
      <c r="AG829">
        <v>0</v>
      </c>
      <c r="AH829">
        <v>56.80682373046875</v>
      </c>
      <c r="AI829">
        <v>0</v>
      </c>
      <c r="AJ829">
        <v>262.29559326171881</v>
      </c>
      <c r="AK829" t="s">
        <v>53</v>
      </c>
      <c r="AL829" t="s">
        <v>53</v>
      </c>
      <c r="AP829" t="s">
        <v>5451</v>
      </c>
      <c r="AQ829" t="s">
        <v>53</v>
      </c>
      <c r="AT829" t="s">
        <v>875</v>
      </c>
      <c r="AW829" t="s">
        <v>53</v>
      </c>
      <c r="AZ829" t="s">
        <v>54</v>
      </c>
      <c r="BA829" t="s">
        <v>729</v>
      </c>
    </row>
    <row r="830" spans="1:53" x14ac:dyDescent="0.25">
      <c r="A830">
        <v>825</v>
      </c>
      <c r="B830" t="s">
        <v>888</v>
      </c>
      <c r="C830" t="s">
        <v>889</v>
      </c>
      <c r="D830" t="s">
        <v>890</v>
      </c>
      <c r="E830">
        <v>6</v>
      </c>
      <c r="F830" t="s">
        <v>719</v>
      </c>
      <c r="G830" t="s">
        <v>891</v>
      </c>
      <c r="H830" t="s">
        <v>795</v>
      </c>
      <c r="I830" t="s">
        <v>892</v>
      </c>
      <c r="J830" t="s">
        <v>893</v>
      </c>
      <c r="K830" t="s">
        <v>894</v>
      </c>
      <c r="L830" t="s">
        <v>789</v>
      </c>
      <c r="M830">
        <v>211.07994079589841</v>
      </c>
      <c r="N830" t="s">
        <v>53</v>
      </c>
      <c r="O830" t="s">
        <v>54</v>
      </c>
      <c r="P830" t="s">
        <v>54</v>
      </c>
      <c r="Q830" t="s">
        <v>53</v>
      </c>
      <c r="R830" t="s">
        <v>53</v>
      </c>
      <c r="S830" t="s">
        <v>895</v>
      </c>
      <c r="T830" t="s">
        <v>896</v>
      </c>
      <c r="U830" t="s">
        <v>53</v>
      </c>
      <c r="V830" t="s">
        <v>791</v>
      </c>
      <c r="W830">
        <v>1000000</v>
      </c>
      <c r="X830" t="s">
        <v>54</v>
      </c>
      <c r="AA830">
        <v>21858</v>
      </c>
      <c r="AB830">
        <v>19143</v>
      </c>
      <c r="AC830">
        <v>64300</v>
      </c>
      <c r="AD830">
        <v>45844</v>
      </c>
      <c r="AE830">
        <v>93583</v>
      </c>
      <c r="AF830">
        <v>509</v>
      </c>
      <c r="AG830">
        <v>0</v>
      </c>
      <c r="AH830">
        <v>408.62750244140619</v>
      </c>
      <c r="AI830">
        <v>0</v>
      </c>
      <c r="AJ830">
        <v>260.88226318359381</v>
      </c>
      <c r="AK830" t="s">
        <v>53</v>
      </c>
      <c r="AL830" t="s">
        <v>54</v>
      </c>
      <c r="AP830" t="s">
        <v>5451</v>
      </c>
      <c r="AQ830" t="s">
        <v>54</v>
      </c>
      <c r="AT830" t="s">
        <v>897</v>
      </c>
      <c r="AW830" t="s">
        <v>53</v>
      </c>
      <c r="AZ830" t="s">
        <v>54</v>
      </c>
      <c r="BA830" t="s">
        <v>729</v>
      </c>
    </row>
    <row r="831" spans="1:53" x14ac:dyDescent="0.25">
      <c r="A831">
        <v>826</v>
      </c>
      <c r="B831" t="s">
        <v>898</v>
      </c>
      <c r="C831" t="s">
        <v>6468</v>
      </c>
      <c r="D831" t="s">
        <v>6469</v>
      </c>
      <c r="E831">
        <v>6</v>
      </c>
      <c r="F831" t="s">
        <v>719</v>
      </c>
      <c r="G831" t="s">
        <v>805</v>
      </c>
      <c r="H831" t="s">
        <v>806</v>
      </c>
      <c r="I831" t="s">
        <v>899</v>
      </c>
      <c r="J831" t="s">
        <v>900</v>
      </c>
      <c r="K831" t="s">
        <v>901</v>
      </c>
      <c r="L831" t="s">
        <v>725</v>
      </c>
      <c r="M831">
        <v>3.5849535465240479</v>
      </c>
      <c r="N831" t="s">
        <v>53</v>
      </c>
      <c r="O831" t="s">
        <v>53</v>
      </c>
      <c r="P831" t="s">
        <v>54</v>
      </c>
      <c r="Q831" t="s">
        <v>53</v>
      </c>
      <c r="R831" t="s">
        <v>53</v>
      </c>
      <c r="S831" t="s">
        <v>902</v>
      </c>
      <c r="T831" t="s">
        <v>903</v>
      </c>
      <c r="U831" t="s">
        <v>53</v>
      </c>
      <c r="V831" t="s">
        <v>51</v>
      </c>
      <c r="W831">
        <v>300000</v>
      </c>
      <c r="X831" t="s">
        <v>54</v>
      </c>
      <c r="Y831" t="s">
        <v>906</v>
      </c>
      <c r="Z831">
        <v>75000</v>
      </c>
      <c r="AA831">
        <v>5879</v>
      </c>
      <c r="AB831">
        <v>5539</v>
      </c>
      <c r="AC831">
        <v>25741</v>
      </c>
      <c r="AD831">
        <v>16463</v>
      </c>
      <c r="AE831">
        <v>37604</v>
      </c>
      <c r="AF831">
        <v>71</v>
      </c>
      <c r="AG831">
        <v>0</v>
      </c>
      <c r="AH831">
        <v>70.914344787597656</v>
      </c>
      <c r="AI831">
        <v>0</v>
      </c>
      <c r="AJ831">
        <v>0.15173642337322241</v>
      </c>
      <c r="AK831" t="s">
        <v>53</v>
      </c>
      <c r="AL831" t="s">
        <v>54</v>
      </c>
      <c r="AP831" t="s">
        <v>5451</v>
      </c>
      <c r="AQ831" t="s">
        <v>54</v>
      </c>
      <c r="AT831" t="s">
        <v>904</v>
      </c>
      <c r="AW831" t="s">
        <v>53</v>
      </c>
      <c r="AZ831" t="s">
        <v>54</v>
      </c>
      <c r="BA831" t="s">
        <v>729</v>
      </c>
    </row>
    <row r="832" spans="1:53" x14ac:dyDescent="0.25">
      <c r="A832">
        <v>827</v>
      </c>
      <c r="B832" t="s">
        <v>908</v>
      </c>
      <c r="C832" t="s">
        <v>909</v>
      </c>
      <c r="D832" t="s">
        <v>910</v>
      </c>
      <c r="E832">
        <v>6</v>
      </c>
      <c r="F832" t="s">
        <v>719</v>
      </c>
      <c r="G832" t="s">
        <v>805</v>
      </c>
      <c r="H832" t="s">
        <v>806</v>
      </c>
      <c r="I832" t="s">
        <v>911</v>
      </c>
      <c r="J832" t="s">
        <v>912</v>
      </c>
      <c r="K832" t="s">
        <v>913</v>
      </c>
      <c r="L832" t="s">
        <v>725</v>
      </c>
      <c r="M832">
        <v>1.436710476875305</v>
      </c>
      <c r="N832" t="s">
        <v>53</v>
      </c>
      <c r="O832" t="s">
        <v>53</v>
      </c>
      <c r="P832" t="s">
        <v>54</v>
      </c>
      <c r="Q832" t="s">
        <v>53</v>
      </c>
      <c r="R832" t="s">
        <v>53</v>
      </c>
      <c r="S832" t="s">
        <v>914</v>
      </c>
      <c r="T832" t="s">
        <v>903</v>
      </c>
      <c r="U832" t="s">
        <v>53</v>
      </c>
      <c r="V832" t="s">
        <v>51</v>
      </c>
      <c r="W832">
        <v>100000</v>
      </c>
      <c r="X832" t="s">
        <v>54</v>
      </c>
      <c r="AA832">
        <v>0</v>
      </c>
      <c r="AB832">
        <v>0</v>
      </c>
      <c r="AC832">
        <v>0</v>
      </c>
      <c r="AD832">
        <v>0</v>
      </c>
      <c r="AE832">
        <v>0</v>
      </c>
      <c r="AF832">
        <v>0</v>
      </c>
      <c r="AK832" t="s">
        <v>54</v>
      </c>
      <c r="AL832" t="s">
        <v>53</v>
      </c>
      <c r="AP832" t="s">
        <v>5451</v>
      </c>
      <c r="AQ832" t="s">
        <v>54</v>
      </c>
      <c r="AT832" t="s">
        <v>915</v>
      </c>
      <c r="AW832" t="s">
        <v>53</v>
      </c>
      <c r="AZ832" t="s">
        <v>54</v>
      </c>
      <c r="BA832" t="s">
        <v>729</v>
      </c>
    </row>
    <row r="833" spans="1:53" x14ac:dyDescent="0.25">
      <c r="A833">
        <v>828</v>
      </c>
      <c r="B833" t="s">
        <v>916</v>
      </c>
      <c r="C833" t="s">
        <v>917</v>
      </c>
      <c r="D833" t="s">
        <v>918</v>
      </c>
      <c r="E833">
        <v>6</v>
      </c>
      <c r="F833" t="s">
        <v>719</v>
      </c>
      <c r="G833" t="s">
        <v>805</v>
      </c>
      <c r="H833" t="s">
        <v>806</v>
      </c>
      <c r="I833" t="s">
        <v>911</v>
      </c>
      <c r="J833" t="s">
        <v>912</v>
      </c>
      <c r="K833" t="s">
        <v>913</v>
      </c>
      <c r="L833" t="s">
        <v>789</v>
      </c>
      <c r="M833">
        <v>1.436710476875305</v>
      </c>
      <c r="N833" t="s">
        <v>53</v>
      </c>
      <c r="O833" t="s">
        <v>53</v>
      </c>
      <c r="P833" t="s">
        <v>54</v>
      </c>
      <c r="Q833" t="s">
        <v>53</v>
      </c>
      <c r="R833" t="s">
        <v>53</v>
      </c>
      <c r="S833" t="s">
        <v>914</v>
      </c>
      <c r="T833" t="s">
        <v>903</v>
      </c>
      <c r="U833" t="s">
        <v>53</v>
      </c>
      <c r="V833" t="s">
        <v>791</v>
      </c>
      <c r="W833">
        <v>170000</v>
      </c>
      <c r="X833" t="s">
        <v>54</v>
      </c>
      <c r="AA833">
        <v>0</v>
      </c>
      <c r="AB833">
        <v>0</v>
      </c>
      <c r="AC833">
        <v>0</v>
      </c>
      <c r="AD833">
        <v>0</v>
      </c>
      <c r="AE833">
        <v>0</v>
      </c>
      <c r="AF833">
        <v>0</v>
      </c>
      <c r="AK833" t="s">
        <v>54</v>
      </c>
      <c r="AL833" t="s">
        <v>53</v>
      </c>
      <c r="AP833" t="s">
        <v>5451</v>
      </c>
      <c r="AQ833" t="s">
        <v>54</v>
      </c>
      <c r="AT833" t="s">
        <v>0</v>
      </c>
      <c r="AW833" t="s">
        <v>53</v>
      </c>
      <c r="AZ833" t="s">
        <v>54</v>
      </c>
      <c r="BA833" t="s">
        <v>729</v>
      </c>
    </row>
    <row r="834" spans="1:53" x14ac:dyDescent="0.25">
      <c r="A834">
        <v>829</v>
      </c>
      <c r="B834" t="s">
        <v>922</v>
      </c>
      <c r="C834" t="s">
        <v>923</v>
      </c>
      <c r="D834" t="s">
        <v>924</v>
      </c>
      <c r="E834">
        <v>6</v>
      </c>
      <c r="F834" t="s">
        <v>719</v>
      </c>
      <c r="G834" t="s">
        <v>925</v>
      </c>
      <c r="H834" t="s">
        <v>806</v>
      </c>
      <c r="I834" t="s">
        <v>899</v>
      </c>
      <c r="J834" t="s">
        <v>926</v>
      </c>
      <c r="K834" t="s">
        <v>927</v>
      </c>
      <c r="L834" t="s">
        <v>725</v>
      </c>
      <c r="M834">
        <v>0.1146043464541435</v>
      </c>
      <c r="N834" t="s">
        <v>53</v>
      </c>
      <c r="O834" t="s">
        <v>53</v>
      </c>
      <c r="P834" t="s">
        <v>54</v>
      </c>
      <c r="Q834" t="s">
        <v>53</v>
      </c>
      <c r="R834" t="s">
        <v>53</v>
      </c>
      <c r="S834" t="s">
        <v>928</v>
      </c>
      <c r="T834" t="s">
        <v>929</v>
      </c>
      <c r="U834" t="s">
        <v>53</v>
      </c>
      <c r="V834" t="s">
        <v>51</v>
      </c>
      <c r="W834">
        <v>100000</v>
      </c>
      <c r="X834" t="s">
        <v>54</v>
      </c>
      <c r="AK834" t="s">
        <v>53</v>
      </c>
      <c r="AL834" t="s">
        <v>54</v>
      </c>
      <c r="AP834" t="s">
        <v>5451</v>
      </c>
      <c r="AQ834" t="s">
        <v>54</v>
      </c>
      <c r="AT834" t="s">
        <v>887</v>
      </c>
      <c r="AW834" t="s">
        <v>53</v>
      </c>
      <c r="AZ834" t="s">
        <v>54</v>
      </c>
      <c r="BA834" t="s">
        <v>729</v>
      </c>
    </row>
    <row r="835" spans="1:53" x14ac:dyDescent="0.25">
      <c r="A835">
        <v>830</v>
      </c>
      <c r="B835" t="s">
        <v>930</v>
      </c>
      <c r="C835" t="s">
        <v>931</v>
      </c>
      <c r="D835" t="s">
        <v>932</v>
      </c>
      <c r="E835">
        <v>6</v>
      </c>
      <c r="F835" t="s">
        <v>719</v>
      </c>
      <c r="G835" t="s">
        <v>169</v>
      </c>
      <c r="H835" t="s">
        <v>795</v>
      </c>
      <c r="I835" t="s">
        <v>871</v>
      </c>
      <c r="J835" t="s">
        <v>872</v>
      </c>
      <c r="K835" t="s">
        <v>873</v>
      </c>
      <c r="L835" t="s">
        <v>789</v>
      </c>
      <c r="M835">
        <v>1481.869750976562</v>
      </c>
      <c r="N835" t="s">
        <v>54</v>
      </c>
      <c r="O835" t="s">
        <v>53</v>
      </c>
      <c r="P835" t="s">
        <v>53</v>
      </c>
      <c r="Q835" t="s">
        <v>53</v>
      </c>
      <c r="R835" t="s">
        <v>53</v>
      </c>
      <c r="S835" t="s">
        <v>933</v>
      </c>
      <c r="T835" t="s">
        <v>934</v>
      </c>
      <c r="U835" t="s">
        <v>53</v>
      </c>
      <c r="V835" t="s">
        <v>791</v>
      </c>
      <c r="W835">
        <v>50000</v>
      </c>
      <c r="X835" t="s">
        <v>54</v>
      </c>
      <c r="AA835">
        <v>18848</v>
      </c>
      <c r="AB835">
        <v>14344</v>
      </c>
      <c r="AC835">
        <v>38626</v>
      </c>
      <c r="AD835">
        <v>35449</v>
      </c>
      <c r="AE835">
        <v>65547</v>
      </c>
      <c r="AF835">
        <v>248</v>
      </c>
      <c r="AG835">
        <v>0</v>
      </c>
      <c r="AH835">
        <v>328.06332397460938</v>
      </c>
      <c r="AI835">
        <v>0</v>
      </c>
      <c r="AJ835">
        <v>8584.16015625</v>
      </c>
      <c r="AK835" t="s">
        <v>53</v>
      </c>
      <c r="AL835" t="s">
        <v>53</v>
      </c>
      <c r="AP835" t="s">
        <v>5451</v>
      </c>
      <c r="AQ835" t="s">
        <v>54</v>
      </c>
      <c r="AT835" t="s">
        <v>935</v>
      </c>
      <c r="AW835" t="s">
        <v>53</v>
      </c>
      <c r="AZ835" t="s">
        <v>54</v>
      </c>
      <c r="BA835" t="s">
        <v>729</v>
      </c>
    </row>
    <row r="836" spans="1:53" x14ac:dyDescent="0.25">
      <c r="A836">
        <v>831</v>
      </c>
      <c r="B836" t="s">
        <v>962</v>
      </c>
      <c r="C836" t="s">
        <v>963</v>
      </c>
      <c r="D836" t="s">
        <v>964</v>
      </c>
      <c r="E836">
        <v>6</v>
      </c>
      <c r="F836" t="s">
        <v>719</v>
      </c>
      <c r="G836" t="s">
        <v>169</v>
      </c>
      <c r="H836" t="s">
        <v>795</v>
      </c>
      <c r="I836" t="s">
        <v>939</v>
      </c>
      <c r="J836" t="s">
        <v>940</v>
      </c>
      <c r="K836" t="s">
        <v>941</v>
      </c>
      <c r="L836" t="s">
        <v>725</v>
      </c>
      <c r="M836">
        <v>27.40939903259277</v>
      </c>
      <c r="N836" t="s">
        <v>53</v>
      </c>
      <c r="O836" t="s">
        <v>53</v>
      </c>
      <c r="P836" t="s">
        <v>54</v>
      </c>
      <c r="Q836" t="s">
        <v>53</v>
      </c>
      <c r="R836" t="s">
        <v>53</v>
      </c>
      <c r="S836" t="s">
        <v>942</v>
      </c>
      <c r="T836" t="s">
        <v>727</v>
      </c>
      <c r="U836" t="s">
        <v>53</v>
      </c>
      <c r="V836" t="s">
        <v>51</v>
      </c>
      <c r="W836">
        <v>100000</v>
      </c>
      <c r="X836" t="s">
        <v>54</v>
      </c>
      <c r="AA836">
        <v>1250</v>
      </c>
      <c r="AB836">
        <v>966</v>
      </c>
      <c r="AC836">
        <v>6741</v>
      </c>
      <c r="AD836">
        <v>1895</v>
      </c>
      <c r="AE836">
        <v>8190</v>
      </c>
      <c r="AF836">
        <v>8</v>
      </c>
      <c r="AG836">
        <v>0</v>
      </c>
      <c r="AH836">
        <v>43.312946319580078</v>
      </c>
      <c r="AI836">
        <v>0</v>
      </c>
      <c r="AJ836">
        <v>178.80146789550781</v>
      </c>
      <c r="AK836" t="s">
        <v>53</v>
      </c>
      <c r="AL836" t="s">
        <v>53</v>
      </c>
      <c r="AP836" t="s">
        <v>5451</v>
      </c>
      <c r="AQ836" t="s">
        <v>53</v>
      </c>
      <c r="AT836" t="s">
        <v>935</v>
      </c>
      <c r="AW836" t="s">
        <v>53</v>
      </c>
      <c r="AZ836" t="s">
        <v>54</v>
      </c>
      <c r="BA836" t="s">
        <v>729</v>
      </c>
    </row>
    <row r="837" spans="1:53" x14ac:dyDescent="0.25">
      <c r="A837">
        <v>832</v>
      </c>
      <c r="B837" t="s">
        <v>965</v>
      </c>
      <c r="C837" t="s">
        <v>966</v>
      </c>
      <c r="D837" t="s">
        <v>967</v>
      </c>
      <c r="E837">
        <v>6</v>
      </c>
      <c r="F837" t="s">
        <v>719</v>
      </c>
      <c r="G837" t="s">
        <v>169</v>
      </c>
      <c r="H837" t="s">
        <v>795</v>
      </c>
      <c r="I837" t="s">
        <v>939</v>
      </c>
      <c r="J837" t="s">
        <v>940</v>
      </c>
      <c r="K837" t="s">
        <v>941</v>
      </c>
      <c r="L837" t="s">
        <v>725</v>
      </c>
      <c r="M837">
        <v>27.40939903259277</v>
      </c>
      <c r="N837" t="s">
        <v>53</v>
      </c>
      <c r="O837" t="s">
        <v>53</v>
      </c>
      <c r="P837" t="s">
        <v>54</v>
      </c>
      <c r="Q837" t="s">
        <v>53</v>
      </c>
      <c r="R837" t="s">
        <v>53</v>
      </c>
      <c r="S837" t="s">
        <v>942</v>
      </c>
      <c r="T837" t="s">
        <v>727</v>
      </c>
      <c r="U837" t="s">
        <v>53</v>
      </c>
      <c r="V837" t="s">
        <v>51</v>
      </c>
      <c r="W837">
        <v>460000</v>
      </c>
      <c r="X837" t="s">
        <v>54</v>
      </c>
      <c r="AA837">
        <v>1250</v>
      </c>
      <c r="AB837">
        <v>966</v>
      </c>
      <c r="AC837">
        <v>6741</v>
      </c>
      <c r="AD837">
        <v>1895</v>
      </c>
      <c r="AE837">
        <v>8190</v>
      </c>
      <c r="AF837">
        <v>8</v>
      </c>
      <c r="AG837">
        <v>0</v>
      </c>
      <c r="AH837">
        <v>43.312946319580078</v>
      </c>
      <c r="AI837">
        <v>0</v>
      </c>
      <c r="AJ837">
        <v>178.80146789550781</v>
      </c>
      <c r="AK837" t="s">
        <v>53</v>
      </c>
      <c r="AL837" t="s">
        <v>53</v>
      </c>
      <c r="AP837" t="s">
        <v>5451</v>
      </c>
      <c r="AQ837" t="s">
        <v>53</v>
      </c>
      <c r="AT837" t="s">
        <v>935</v>
      </c>
      <c r="AW837" t="s">
        <v>53</v>
      </c>
      <c r="AZ837" t="s">
        <v>54</v>
      </c>
      <c r="BA837" t="s">
        <v>729</v>
      </c>
    </row>
    <row r="838" spans="1:53" x14ac:dyDescent="0.25">
      <c r="A838">
        <v>833</v>
      </c>
      <c r="B838" t="s">
        <v>968</v>
      </c>
      <c r="C838" t="s">
        <v>969</v>
      </c>
      <c r="D838" t="s">
        <v>970</v>
      </c>
      <c r="E838">
        <v>6</v>
      </c>
      <c r="F838" t="s">
        <v>719</v>
      </c>
      <c r="G838" t="s">
        <v>169</v>
      </c>
      <c r="H838" t="s">
        <v>795</v>
      </c>
      <c r="I838" t="s">
        <v>871</v>
      </c>
      <c r="J838" t="s">
        <v>872</v>
      </c>
      <c r="K838" t="s">
        <v>873</v>
      </c>
      <c r="L838" t="s">
        <v>725</v>
      </c>
      <c r="M838">
        <v>1481.869750976562</v>
      </c>
      <c r="N838" t="s">
        <v>53</v>
      </c>
      <c r="O838" t="s">
        <v>53</v>
      </c>
      <c r="P838" t="s">
        <v>54</v>
      </c>
      <c r="Q838" t="s">
        <v>53</v>
      </c>
      <c r="R838" t="s">
        <v>53</v>
      </c>
      <c r="S838" t="s">
        <v>933</v>
      </c>
      <c r="T838" t="s">
        <v>727</v>
      </c>
      <c r="U838" t="s">
        <v>53</v>
      </c>
      <c r="V838" t="s">
        <v>51</v>
      </c>
      <c r="W838">
        <v>350000</v>
      </c>
      <c r="X838" t="s">
        <v>54</v>
      </c>
      <c r="AA838">
        <v>18848</v>
      </c>
      <c r="AB838">
        <v>14344</v>
      </c>
      <c r="AC838">
        <v>38626</v>
      </c>
      <c r="AD838">
        <v>35449</v>
      </c>
      <c r="AE838">
        <v>65547</v>
      </c>
      <c r="AF838">
        <v>248</v>
      </c>
      <c r="AG838">
        <v>0</v>
      </c>
      <c r="AH838">
        <v>328.06332397460938</v>
      </c>
      <c r="AI838">
        <v>0</v>
      </c>
      <c r="AJ838">
        <v>8584.16015625</v>
      </c>
      <c r="AK838" t="s">
        <v>53</v>
      </c>
      <c r="AL838" t="s">
        <v>53</v>
      </c>
      <c r="AP838" t="s">
        <v>5451</v>
      </c>
      <c r="AQ838" t="s">
        <v>53</v>
      </c>
      <c r="AT838" t="s">
        <v>935</v>
      </c>
      <c r="AW838" t="s">
        <v>53</v>
      </c>
      <c r="AZ838" t="s">
        <v>54</v>
      </c>
      <c r="BA838" t="s">
        <v>729</v>
      </c>
    </row>
    <row r="839" spans="1:53" x14ac:dyDescent="0.25">
      <c r="A839">
        <v>834</v>
      </c>
      <c r="B839" t="s">
        <v>971</v>
      </c>
      <c r="C839" t="s">
        <v>972</v>
      </c>
      <c r="D839" t="s">
        <v>973</v>
      </c>
      <c r="E839">
        <v>6</v>
      </c>
      <c r="F839" t="s">
        <v>719</v>
      </c>
      <c r="G839" t="s">
        <v>169</v>
      </c>
      <c r="H839" t="s">
        <v>795</v>
      </c>
      <c r="I839" t="s">
        <v>871</v>
      </c>
      <c r="J839" t="s">
        <v>872</v>
      </c>
      <c r="K839" t="s">
        <v>873</v>
      </c>
      <c r="L839" t="s">
        <v>725</v>
      </c>
      <c r="M839">
        <v>1481.869750976562</v>
      </c>
      <c r="N839" t="s">
        <v>53</v>
      </c>
      <c r="O839" t="s">
        <v>53</v>
      </c>
      <c r="P839" t="s">
        <v>54</v>
      </c>
      <c r="Q839" t="s">
        <v>53</v>
      </c>
      <c r="R839" t="s">
        <v>53</v>
      </c>
      <c r="S839" t="s">
        <v>933</v>
      </c>
      <c r="T839" t="s">
        <v>727</v>
      </c>
      <c r="U839" t="s">
        <v>53</v>
      </c>
      <c r="V839" t="s">
        <v>51</v>
      </c>
      <c r="W839">
        <v>500000</v>
      </c>
      <c r="X839" t="s">
        <v>54</v>
      </c>
      <c r="AA839">
        <v>18848</v>
      </c>
      <c r="AB839">
        <v>14344</v>
      </c>
      <c r="AC839">
        <v>38626</v>
      </c>
      <c r="AD839">
        <v>35449</v>
      </c>
      <c r="AE839">
        <v>65547</v>
      </c>
      <c r="AF839">
        <v>248</v>
      </c>
      <c r="AG839">
        <v>0</v>
      </c>
      <c r="AH839">
        <v>328.06332397460938</v>
      </c>
      <c r="AI839">
        <v>0</v>
      </c>
      <c r="AJ839">
        <v>8584.16015625</v>
      </c>
      <c r="AK839" t="s">
        <v>53</v>
      </c>
      <c r="AL839" t="s">
        <v>53</v>
      </c>
      <c r="AP839" t="s">
        <v>5451</v>
      </c>
      <c r="AQ839" t="s">
        <v>54</v>
      </c>
      <c r="AT839" t="s">
        <v>935</v>
      </c>
      <c r="AW839" t="s">
        <v>53</v>
      </c>
      <c r="AZ839" t="s">
        <v>54</v>
      </c>
      <c r="BA839" t="s">
        <v>729</v>
      </c>
    </row>
    <row r="840" spans="1:53" x14ac:dyDescent="0.25">
      <c r="A840">
        <v>835</v>
      </c>
      <c r="B840" t="s">
        <v>974</v>
      </c>
      <c r="C840" t="s">
        <v>975</v>
      </c>
      <c r="D840" t="s">
        <v>976</v>
      </c>
      <c r="E840">
        <v>6</v>
      </c>
      <c r="F840" t="s">
        <v>719</v>
      </c>
      <c r="G840" t="s">
        <v>169</v>
      </c>
      <c r="H840" t="s">
        <v>795</v>
      </c>
      <c r="I840" t="s">
        <v>871</v>
      </c>
      <c r="J840" t="s">
        <v>872</v>
      </c>
      <c r="K840" t="s">
        <v>873</v>
      </c>
      <c r="L840" t="s">
        <v>789</v>
      </c>
      <c r="M840">
        <v>1481.869750976562</v>
      </c>
      <c r="N840" t="s">
        <v>53</v>
      </c>
      <c r="O840" t="s">
        <v>53</v>
      </c>
      <c r="P840" t="s">
        <v>54</v>
      </c>
      <c r="Q840" t="s">
        <v>53</v>
      </c>
      <c r="R840" t="s">
        <v>53</v>
      </c>
      <c r="S840" t="s">
        <v>933</v>
      </c>
      <c r="T840" t="s">
        <v>977</v>
      </c>
      <c r="U840" t="s">
        <v>53</v>
      </c>
      <c r="V840" t="s">
        <v>791</v>
      </c>
      <c r="W840">
        <v>2200000</v>
      </c>
      <c r="X840" t="s">
        <v>54</v>
      </c>
      <c r="AA840">
        <v>18848</v>
      </c>
      <c r="AB840">
        <v>14344</v>
      </c>
      <c r="AC840">
        <v>38626</v>
      </c>
      <c r="AD840">
        <v>35449</v>
      </c>
      <c r="AE840">
        <v>65547</v>
      </c>
      <c r="AF840">
        <v>248</v>
      </c>
      <c r="AG840">
        <v>0</v>
      </c>
      <c r="AH840">
        <v>328.06332397460938</v>
      </c>
      <c r="AI840">
        <v>0</v>
      </c>
      <c r="AJ840">
        <v>8584.16015625</v>
      </c>
      <c r="AK840" t="s">
        <v>53</v>
      </c>
      <c r="AL840" t="s">
        <v>53</v>
      </c>
      <c r="AP840" t="s">
        <v>5451</v>
      </c>
      <c r="AQ840" t="s">
        <v>54</v>
      </c>
      <c r="AT840" t="s">
        <v>935</v>
      </c>
      <c r="AW840" t="s">
        <v>53</v>
      </c>
      <c r="AZ840" t="s">
        <v>54</v>
      </c>
      <c r="BA840" t="s">
        <v>729</v>
      </c>
    </row>
    <row r="841" spans="1:53" x14ac:dyDescent="0.25">
      <c r="A841">
        <v>836</v>
      </c>
      <c r="B841" t="s">
        <v>978</v>
      </c>
      <c r="C841" t="s">
        <v>979</v>
      </c>
      <c r="D841" t="s">
        <v>980</v>
      </c>
      <c r="E841">
        <v>6</v>
      </c>
      <c r="F841" t="s">
        <v>719</v>
      </c>
      <c r="G841" t="s">
        <v>169</v>
      </c>
      <c r="H841" t="s">
        <v>795</v>
      </c>
      <c r="I841" t="s">
        <v>796</v>
      </c>
      <c r="J841" t="s">
        <v>797</v>
      </c>
      <c r="K841" t="s">
        <v>798</v>
      </c>
      <c r="L841" t="s">
        <v>725</v>
      </c>
      <c r="M841">
        <v>0.43819710612297058</v>
      </c>
      <c r="N841" t="s">
        <v>53</v>
      </c>
      <c r="O841" t="s">
        <v>53</v>
      </c>
      <c r="P841" t="s">
        <v>54</v>
      </c>
      <c r="Q841" t="s">
        <v>53</v>
      </c>
      <c r="R841" t="s">
        <v>53</v>
      </c>
      <c r="S841" t="s">
        <v>981</v>
      </c>
      <c r="T841" t="s">
        <v>727</v>
      </c>
      <c r="U841" t="s">
        <v>53</v>
      </c>
      <c r="V841" t="s">
        <v>51</v>
      </c>
      <c r="W841">
        <v>130000</v>
      </c>
      <c r="X841" t="s">
        <v>54</v>
      </c>
      <c r="AA841">
        <v>128</v>
      </c>
      <c r="AB841">
        <v>121</v>
      </c>
      <c r="AC841">
        <v>78</v>
      </c>
      <c r="AD841">
        <v>333</v>
      </c>
      <c r="AE841">
        <v>333</v>
      </c>
      <c r="AF841">
        <v>1</v>
      </c>
      <c r="AG841">
        <v>0</v>
      </c>
      <c r="AH841">
        <v>2.0717709064483638</v>
      </c>
      <c r="AI841">
        <v>0</v>
      </c>
      <c r="AJ841">
        <v>0.13477444648742681</v>
      </c>
      <c r="AK841" t="s">
        <v>53</v>
      </c>
      <c r="AL841" t="s">
        <v>53</v>
      </c>
      <c r="AP841" t="s">
        <v>5451</v>
      </c>
      <c r="AQ841" t="s">
        <v>53</v>
      </c>
      <c r="AT841" t="s">
        <v>935</v>
      </c>
      <c r="AW841" t="s">
        <v>53</v>
      </c>
      <c r="AZ841" t="s">
        <v>54</v>
      </c>
      <c r="BA841" t="s">
        <v>729</v>
      </c>
    </row>
    <row r="842" spans="1:53" x14ac:dyDescent="0.25">
      <c r="A842">
        <v>837</v>
      </c>
      <c r="B842" t="s">
        <v>982</v>
      </c>
      <c r="C842" t="s">
        <v>983</v>
      </c>
      <c r="D842" t="s">
        <v>984</v>
      </c>
      <c r="E842">
        <v>6</v>
      </c>
      <c r="F842" t="s">
        <v>719</v>
      </c>
      <c r="G842" t="s">
        <v>169</v>
      </c>
      <c r="H842" t="s">
        <v>795</v>
      </c>
      <c r="I842" t="s">
        <v>796</v>
      </c>
      <c r="J842" t="s">
        <v>797</v>
      </c>
      <c r="K842" t="s">
        <v>798</v>
      </c>
      <c r="L842" t="s">
        <v>725</v>
      </c>
      <c r="M842">
        <v>0.43819710612297058</v>
      </c>
      <c r="N842" t="s">
        <v>53</v>
      </c>
      <c r="O842" t="s">
        <v>53</v>
      </c>
      <c r="P842" t="s">
        <v>54</v>
      </c>
      <c r="Q842" t="s">
        <v>53</v>
      </c>
      <c r="R842" t="s">
        <v>53</v>
      </c>
      <c r="S842" t="s">
        <v>981</v>
      </c>
      <c r="T842" t="s">
        <v>985</v>
      </c>
      <c r="U842" t="s">
        <v>53</v>
      </c>
      <c r="V842" t="s">
        <v>51</v>
      </c>
      <c r="W842">
        <v>300000</v>
      </c>
      <c r="X842" t="s">
        <v>54</v>
      </c>
      <c r="AA842">
        <v>128</v>
      </c>
      <c r="AB842">
        <v>121</v>
      </c>
      <c r="AC842">
        <v>78</v>
      </c>
      <c r="AD842">
        <v>333</v>
      </c>
      <c r="AE842">
        <v>333</v>
      </c>
      <c r="AF842">
        <v>1</v>
      </c>
      <c r="AG842">
        <v>0</v>
      </c>
      <c r="AH842">
        <v>2.0717709064483638</v>
      </c>
      <c r="AI842">
        <v>0</v>
      </c>
      <c r="AJ842">
        <v>0.13477444648742681</v>
      </c>
      <c r="AK842" t="s">
        <v>53</v>
      </c>
      <c r="AL842" t="s">
        <v>53</v>
      </c>
      <c r="AP842" t="s">
        <v>5451</v>
      </c>
      <c r="AQ842" t="s">
        <v>54</v>
      </c>
      <c r="AT842" t="s">
        <v>935</v>
      </c>
      <c r="AW842" t="s">
        <v>53</v>
      </c>
      <c r="AZ842" t="s">
        <v>54</v>
      </c>
      <c r="BA842" t="s">
        <v>729</v>
      </c>
    </row>
    <row r="843" spans="1:53" x14ac:dyDescent="0.25">
      <c r="A843">
        <v>838</v>
      </c>
      <c r="B843" t="s">
        <v>986</v>
      </c>
      <c r="C843" t="s">
        <v>987</v>
      </c>
      <c r="D843" t="s">
        <v>988</v>
      </c>
      <c r="E843">
        <v>6</v>
      </c>
      <c r="F843" t="s">
        <v>719</v>
      </c>
      <c r="G843" t="s">
        <v>891</v>
      </c>
      <c r="H843" t="s">
        <v>795</v>
      </c>
      <c r="I843" t="s">
        <v>892</v>
      </c>
      <c r="J843" t="s">
        <v>893</v>
      </c>
      <c r="K843" t="s">
        <v>894</v>
      </c>
      <c r="L843" t="s">
        <v>725</v>
      </c>
      <c r="M843">
        <v>211.07994079589841</v>
      </c>
      <c r="N843" t="s">
        <v>53</v>
      </c>
      <c r="O843" t="s">
        <v>54</v>
      </c>
      <c r="P843" t="s">
        <v>53</v>
      </c>
      <c r="Q843" t="s">
        <v>53</v>
      </c>
      <c r="R843" t="s">
        <v>53</v>
      </c>
      <c r="S843" t="s">
        <v>989</v>
      </c>
      <c r="T843" t="s">
        <v>896</v>
      </c>
      <c r="U843" t="s">
        <v>53</v>
      </c>
      <c r="V843" t="s">
        <v>51</v>
      </c>
      <c r="W843">
        <v>1000000</v>
      </c>
      <c r="X843" t="s">
        <v>54</v>
      </c>
      <c r="AA843">
        <v>21858</v>
      </c>
      <c r="AB843">
        <v>19143</v>
      </c>
      <c r="AC843">
        <v>64300</v>
      </c>
      <c r="AD843">
        <v>45844</v>
      </c>
      <c r="AE843">
        <v>93583</v>
      </c>
      <c r="AF843">
        <v>509</v>
      </c>
      <c r="AG843">
        <v>0</v>
      </c>
      <c r="AH843">
        <v>408.62750244140619</v>
      </c>
      <c r="AI843">
        <v>0</v>
      </c>
      <c r="AJ843">
        <v>260.88226318359381</v>
      </c>
      <c r="AK843" t="s">
        <v>53</v>
      </c>
      <c r="AL843" t="s">
        <v>54</v>
      </c>
      <c r="AP843" t="s">
        <v>5451</v>
      </c>
      <c r="AQ843" t="s">
        <v>54</v>
      </c>
      <c r="AT843" t="s">
        <v>897</v>
      </c>
      <c r="AW843" t="s">
        <v>53</v>
      </c>
      <c r="AZ843" t="s">
        <v>54</v>
      </c>
      <c r="BA843" t="s">
        <v>729</v>
      </c>
    </row>
    <row r="844" spans="1:53" x14ac:dyDescent="0.25">
      <c r="A844">
        <v>839</v>
      </c>
      <c r="B844" t="s">
        <v>990</v>
      </c>
      <c r="C844" t="s">
        <v>991</v>
      </c>
      <c r="D844" t="s">
        <v>992</v>
      </c>
      <c r="E844">
        <v>6</v>
      </c>
      <c r="F844" t="s">
        <v>719</v>
      </c>
      <c r="G844" t="s">
        <v>891</v>
      </c>
      <c r="H844" t="s">
        <v>795</v>
      </c>
      <c r="I844" t="s">
        <v>892</v>
      </c>
      <c r="J844" t="s">
        <v>893</v>
      </c>
      <c r="K844" t="s">
        <v>894</v>
      </c>
      <c r="L844" t="s">
        <v>725</v>
      </c>
      <c r="M844">
        <v>211.07994079589841</v>
      </c>
      <c r="N844" t="s">
        <v>53</v>
      </c>
      <c r="O844" t="s">
        <v>54</v>
      </c>
      <c r="P844" t="s">
        <v>53</v>
      </c>
      <c r="Q844" t="s">
        <v>53</v>
      </c>
      <c r="R844" t="s">
        <v>53</v>
      </c>
      <c r="S844" t="s">
        <v>989</v>
      </c>
      <c r="T844" t="s">
        <v>896</v>
      </c>
      <c r="U844" t="s">
        <v>53</v>
      </c>
      <c r="V844" t="s">
        <v>51</v>
      </c>
      <c r="W844">
        <v>50000</v>
      </c>
      <c r="X844" t="s">
        <v>54</v>
      </c>
      <c r="AA844">
        <v>21858</v>
      </c>
      <c r="AB844">
        <v>19143</v>
      </c>
      <c r="AC844">
        <v>64300</v>
      </c>
      <c r="AD844">
        <v>45844</v>
      </c>
      <c r="AE844">
        <v>93583</v>
      </c>
      <c r="AF844">
        <v>509</v>
      </c>
      <c r="AG844">
        <v>0</v>
      </c>
      <c r="AH844">
        <v>408.62750244140619</v>
      </c>
      <c r="AI844">
        <v>0</v>
      </c>
      <c r="AJ844">
        <v>260.88226318359381</v>
      </c>
      <c r="AK844" t="s">
        <v>53</v>
      </c>
      <c r="AL844" t="s">
        <v>54</v>
      </c>
      <c r="AP844" t="s">
        <v>5451</v>
      </c>
      <c r="AQ844" t="s">
        <v>54</v>
      </c>
      <c r="AT844" t="s">
        <v>897</v>
      </c>
      <c r="AW844" t="s">
        <v>53</v>
      </c>
      <c r="AZ844" t="s">
        <v>54</v>
      </c>
      <c r="BA844" t="s">
        <v>729</v>
      </c>
    </row>
    <row r="845" spans="1:53" x14ac:dyDescent="0.25">
      <c r="A845">
        <v>840</v>
      </c>
      <c r="B845" t="s">
        <v>993</v>
      </c>
      <c r="C845" t="s">
        <v>994</v>
      </c>
      <c r="D845" t="s">
        <v>995</v>
      </c>
      <c r="E845">
        <v>6</v>
      </c>
      <c r="F845" t="s">
        <v>719</v>
      </c>
      <c r="G845" t="s">
        <v>891</v>
      </c>
      <c r="H845" t="s">
        <v>795</v>
      </c>
      <c r="I845" t="s">
        <v>892</v>
      </c>
      <c r="J845" t="s">
        <v>893</v>
      </c>
      <c r="K845" t="s">
        <v>894</v>
      </c>
      <c r="L845" t="s">
        <v>725</v>
      </c>
      <c r="M845">
        <v>211.07994079589841</v>
      </c>
      <c r="N845" t="s">
        <v>53</v>
      </c>
      <c r="O845" t="s">
        <v>54</v>
      </c>
      <c r="P845" t="s">
        <v>54</v>
      </c>
      <c r="Q845" t="s">
        <v>53</v>
      </c>
      <c r="R845" t="s">
        <v>53</v>
      </c>
      <c r="S845" t="s">
        <v>989</v>
      </c>
      <c r="T845" t="s">
        <v>896</v>
      </c>
      <c r="U845" t="s">
        <v>53</v>
      </c>
      <c r="V845" t="s">
        <v>51</v>
      </c>
      <c r="W845">
        <v>1000000</v>
      </c>
      <c r="X845" t="s">
        <v>54</v>
      </c>
      <c r="AA845">
        <v>21858</v>
      </c>
      <c r="AB845">
        <v>19143</v>
      </c>
      <c r="AC845">
        <v>64300</v>
      </c>
      <c r="AD845">
        <v>45844</v>
      </c>
      <c r="AE845">
        <v>93583</v>
      </c>
      <c r="AF845">
        <v>509</v>
      </c>
      <c r="AG845">
        <v>0</v>
      </c>
      <c r="AH845">
        <v>408.62750244140619</v>
      </c>
      <c r="AI845">
        <v>0</v>
      </c>
      <c r="AJ845">
        <v>260.88226318359381</v>
      </c>
      <c r="AK845" t="s">
        <v>53</v>
      </c>
      <c r="AL845" t="s">
        <v>54</v>
      </c>
      <c r="AP845" t="s">
        <v>5451</v>
      </c>
      <c r="AQ845" t="s">
        <v>54</v>
      </c>
      <c r="AT845" t="s">
        <v>897</v>
      </c>
      <c r="AW845" t="s">
        <v>53</v>
      </c>
      <c r="AZ845" t="s">
        <v>54</v>
      </c>
      <c r="BA845" t="s">
        <v>729</v>
      </c>
    </row>
    <row r="846" spans="1:53" x14ac:dyDescent="0.25">
      <c r="A846">
        <v>841</v>
      </c>
      <c r="B846" t="s">
        <v>1008</v>
      </c>
      <c r="C846" t="s">
        <v>1009</v>
      </c>
      <c r="D846" t="s">
        <v>1010</v>
      </c>
      <c r="E846">
        <v>6</v>
      </c>
      <c r="F846" t="s">
        <v>719</v>
      </c>
      <c r="G846" t="s">
        <v>1011</v>
      </c>
      <c r="H846" t="s">
        <v>795</v>
      </c>
      <c r="I846" t="s">
        <v>849</v>
      </c>
      <c r="J846" t="s">
        <v>850</v>
      </c>
      <c r="K846" t="s">
        <v>851</v>
      </c>
      <c r="L846" t="s">
        <v>725</v>
      </c>
      <c r="M846">
        <v>1.1477141380310061</v>
      </c>
      <c r="N846" t="s">
        <v>54</v>
      </c>
      <c r="O846" t="s">
        <v>53</v>
      </c>
      <c r="P846" t="s">
        <v>53</v>
      </c>
      <c r="Q846" t="s">
        <v>53</v>
      </c>
      <c r="R846" t="s">
        <v>53</v>
      </c>
      <c r="S846" t="s">
        <v>1000</v>
      </c>
      <c r="T846" t="s">
        <v>1012</v>
      </c>
      <c r="U846" t="s">
        <v>53</v>
      </c>
      <c r="V846" t="s">
        <v>51</v>
      </c>
      <c r="W846">
        <v>2436000</v>
      </c>
      <c r="X846" t="s">
        <v>54</v>
      </c>
      <c r="Y846" t="s">
        <v>1973</v>
      </c>
      <c r="AA846">
        <v>75</v>
      </c>
      <c r="AB846">
        <v>60</v>
      </c>
      <c r="AC846">
        <v>435</v>
      </c>
      <c r="AD846">
        <v>183</v>
      </c>
      <c r="AE846">
        <v>554</v>
      </c>
      <c r="AF846">
        <v>1</v>
      </c>
      <c r="AG846">
        <v>1</v>
      </c>
      <c r="AH846">
        <v>2.6327180862426758</v>
      </c>
      <c r="AI846">
        <v>1</v>
      </c>
      <c r="AJ846">
        <v>0.44329917430877691</v>
      </c>
      <c r="AK846" t="s">
        <v>53</v>
      </c>
      <c r="AL846" t="s">
        <v>54</v>
      </c>
      <c r="AP846" t="s">
        <v>5451</v>
      </c>
      <c r="AQ846" t="s">
        <v>54</v>
      </c>
      <c r="AT846" t="s">
        <v>1001</v>
      </c>
      <c r="AW846" t="s">
        <v>53</v>
      </c>
      <c r="AZ846" t="s">
        <v>54</v>
      </c>
      <c r="BA846" t="s">
        <v>729</v>
      </c>
    </row>
    <row r="847" spans="1:53" x14ac:dyDescent="0.25">
      <c r="A847">
        <v>842</v>
      </c>
      <c r="B847" t="s">
        <v>1013</v>
      </c>
      <c r="C847" t="s">
        <v>1014</v>
      </c>
      <c r="D847" t="s">
        <v>998</v>
      </c>
      <c r="E847">
        <v>6</v>
      </c>
      <c r="F847" t="s">
        <v>719</v>
      </c>
      <c r="G847" t="s">
        <v>169</v>
      </c>
      <c r="H847" t="s">
        <v>795</v>
      </c>
      <c r="I847" t="s">
        <v>849</v>
      </c>
      <c r="J847" t="s">
        <v>850</v>
      </c>
      <c r="K847" t="s">
        <v>851</v>
      </c>
      <c r="L847" t="s">
        <v>725</v>
      </c>
      <c r="M847">
        <v>4.7450447082519531</v>
      </c>
      <c r="N847" t="s">
        <v>54</v>
      </c>
      <c r="O847" t="s">
        <v>53</v>
      </c>
      <c r="P847" t="s">
        <v>53</v>
      </c>
      <c r="Q847" t="s">
        <v>53</v>
      </c>
      <c r="R847" t="s">
        <v>53</v>
      </c>
      <c r="S847" t="s">
        <v>1000</v>
      </c>
      <c r="T847" t="s">
        <v>1015</v>
      </c>
      <c r="U847" t="s">
        <v>53</v>
      </c>
      <c r="V847" t="s">
        <v>51</v>
      </c>
      <c r="W847">
        <v>1136000</v>
      </c>
      <c r="X847" t="s">
        <v>54</v>
      </c>
      <c r="Y847" t="s">
        <v>1973</v>
      </c>
      <c r="AA847">
        <v>413</v>
      </c>
      <c r="AB847">
        <v>91</v>
      </c>
      <c r="AC847">
        <v>915</v>
      </c>
      <c r="AD847">
        <v>412</v>
      </c>
      <c r="AE847">
        <v>1269</v>
      </c>
      <c r="AF847">
        <v>4</v>
      </c>
      <c r="AG847">
        <v>0</v>
      </c>
      <c r="AH847">
        <v>1.56134021282196</v>
      </c>
      <c r="AI847">
        <v>0</v>
      </c>
      <c r="AJ847">
        <v>6.4840354919433594</v>
      </c>
      <c r="AK847" t="s">
        <v>53</v>
      </c>
      <c r="AL847" t="s">
        <v>54</v>
      </c>
      <c r="AP847" t="s">
        <v>5451</v>
      </c>
      <c r="AQ847" t="s">
        <v>54</v>
      </c>
      <c r="AT847" t="s">
        <v>1001</v>
      </c>
      <c r="AW847" t="s">
        <v>53</v>
      </c>
      <c r="AZ847" t="s">
        <v>54</v>
      </c>
      <c r="BA847" t="s">
        <v>729</v>
      </c>
    </row>
    <row r="848" spans="1:53" x14ac:dyDescent="0.25">
      <c r="A848">
        <v>843</v>
      </c>
      <c r="B848" t="s">
        <v>1016</v>
      </c>
      <c r="C848" t="s">
        <v>1017</v>
      </c>
      <c r="D848" t="s">
        <v>998</v>
      </c>
      <c r="E848">
        <v>6</v>
      </c>
      <c r="F848" t="s">
        <v>719</v>
      </c>
      <c r="G848" t="s">
        <v>169</v>
      </c>
      <c r="H848" t="s">
        <v>795</v>
      </c>
      <c r="I848" t="s">
        <v>849</v>
      </c>
      <c r="J848" t="s">
        <v>850</v>
      </c>
      <c r="K848" t="s">
        <v>851</v>
      </c>
      <c r="L848" t="s">
        <v>725</v>
      </c>
      <c r="M848">
        <v>1.8332475423812871</v>
      </c>
      <c r="N848" t="s">
        <v>54</v>
      </c>
      <c r="O848" t="s">
        <v>53</v>
      </c>
      <c r="P848" t="s">
        <v>53</v>
      </c>
      <c r="Q848" t="s">
        <v>53</v>
      </c>
      <c r="R848" t="s">
        <v>53</v>
      </c>
      <c r="S848" t="s">
        <v>1000</v>
      </c>
      <c r="T848" t="s">
        <v>1018</v>
      </c>
      <c r="U848" t="s">
        <v>53</v>
      </c>
      <c r="V848" t="s">
        <v>51</v>
      </c>
      <c r="W848">
        <v>864000</v>
      </c>
      <c r="X848" t="s">
        <v>54</v>
      </c>
      <c r="Y848" t="s">
        <v>1973</v>
      </c>
      <c r="AA848">
        <v>353</v>
      </c>
      <c r="AB848">
        <v>215</v>
      </c>
      <c r="AC848">
        <v>1275</v>
      </c>
      <c r="AD848">
        <v>443</v>
      </c>
      <c r="AE848">
        <v>1596</v>
      </c>
      <c r="AF848">
        <v>0</v>
      </c>
      <c r="AG848">
        <v>0</v>
      </c>
      <c r="AH848">
        <v>4.0867671966552734</v>
      </c>
      <c r="AI848">
        <v>0</v>
      </c>
      <c r="AJ848">
        <v>8.2090559005737305</v>
      </c>
      <c r="AK848" t="s">
        <v>53</v>
      </c>
      <c r="AL848" t="s">
        <v>54</v>
      </c>
      <c r="AP848" t="s">
        <v>5451</v>
      </c>
      <c r="AQ848" t="s">
        <v>54</v>
      </c>
      <c r="AT848" t="s">
        <v>1001</v>
      </c>
      <c r="AW848" t="s">
        <v>53</v>
      </c>
      <c r="AZ848" t="s">
        <v>54</v>
      </c>
      <c r="BA848" t="s">
        <v>729</v>
      </c>
    </row>
    <row r="849" spans="1:53" x14ac:dyDescent="0.25">
      <c r="A849">
        <v>844</v>
      </c>
      <c r="B849" t="s">
        <v>1019</v>
      </c>
      <c r="C849" t="s">
        <v>1020</v>
      </c>
      <c r="D849" t="s">
        <v>998</v>
      </c>
      <c r="E849">
        <v>6</v>
      </c>
      <c r="F849" t="s">
        <v>719</v>
      </c>
      <c r="G849" t="s">
        <v>169</v>
      </c>
      <c r="H849" t="s">
        <v>795</v>
      </c>
      <c r="I849" t="s">
        <v>849</v>
      </c>
      <c r="J849" t="s">
        <v>850</v>
      </c>
      <c r="K849" t="s">
        <v>851</v>
      </c>
      <c r="L849" t="s">
        <v>725</v>
      </c>
      <c r="M849">
        <v>1.011808514595032</v>
      </c>
      <c r="N849" t="s">
        <v>54</v>
      </c>
      <c r="O849" t="s">
        <v>53</v>
      </c>
      <c r="P849" t="s">
        <v>53</v>
      </c>
      <c r="Q849" t="s">
        <v>53</v>
      </c>
      <c r="R849" t="s">
        <v>53</v>
      </c>
      <c r="S849" t="s">
        <v>1000</v>
      </c>
      <c r="T849" t="s">
        <v>1015</v>
      </c>
      <c r="U849" t="s">
        <v>53</v>
      </c>
      <c r="V849" t="s">
        <v>51</v>
      </c>
      <c r="W849">
        <v>1048000</v>
      </c>
      <c r="X849" t="s">
        <v>54</v>
      </c>
      <c r="Y849" t="s">
        <v>1973</v>
      </c>
      <c r="AA849">
        <v>424</v>
      </c>
      <c r="AB849">
        <v>377</v>
      </c>
      <c r="AC849">
        <v>832</v>
      </c>
      <c r="AD849">
        <v>1097</v>
      </c>
      <c r="AE849">
        <v>1648</v>
      </c>
      <c r="AF849">
        <v>0</v>
      </c>
      <c r="AG849">
        <v>0</v>
      </c>
      <c r="AH849">
        <v>6.2576041221618652</v>
      </c>
      <c r="AI849">
        <v>0</v>
      </c>
      <c r="AJ849">
        <v>4.7694473266601563</v>
      </c>
      <c r="AK849" t="s">
        <v>53</v>
      </c>
      <c r="AL849" t="s">
        <v>54</v>
      </c>
      <c r="AP849" t="s">
        <v>5451</v>
      </c>
      <c r="AQ849" t="s">
        <v>54</v>
      </c>
      <c r="AT849" t="s">
        <v>1001</v>
      </c>
      <c r="AW849" t="s">
        <v>53</v>
      </c>
      <c r="AZ849" t="s">
        <v>54</v>
      </c>
      <c r="BA849" t="s">
        <v>729</v>
      </c>
    </row>
    <row r="850" spans="1:53" x14ac:dyDescent="0.25">
      <c r="A850">
        <v>845</v>
      </c>
      <c r="B850" t="s">
        <v>1021</v>
      </c>
      <c r="C850" t="s">
        <v>1022</v>
      </c>
      <c r="D850" t="s">
        <v>998</v>
      </c>
      <c r="E850">
        <v>6</v>
      </c>
      <c r="F850" t="s">
        <v>719</v>
      </c>
      <c r="G850" t="s">
        <v>169</v>
      </c>
      <c r="H850" t="s">
        <v>795</v>
      </c>
      <c r="I850" t="s">
        <v>849</v>
      </c>
      <c r="J850" t="s">
        <v>850</v>
      </c>
      <c r="K850" t="s">
        <v>851</v>
      </c>
      <c r="L850" t="s">
        <v>725</v>
      </c>
      <c r="M850">
        <v>5.2011523246765137</v>
      </c>
      <c r="N850" t="s">
        <v>54</v>
      </c>
      <c r="O850" t="s">
        <v>53</v>
      </c>
      <c r="P850" t="s">
        <v>53</v>
      </c>
      <c r="Q850" t="s">
        <v>53</v>
      </c>
      <c r="R850" t="s">
        <v>53</v>
      </c>
      <c r="S850" t="s">
        <v>1000</v>
      </c>
      <c r="T850" t="s">
        <v>1015</v>
      </c>
      <c r="U850" t="s">
        <v>53</v>
      </c>
      <c r="V850" t="s">
        <v>51</v>
      </c>
      <c r="W850">
        <v>460000</v>
      </c>
      <c r="X850" t="s">
        <v>54</v>
      </c>
      <c r="Y850" t="s">
        <v>1973</v>
      </c>
      <c r="AK850" t="s">
        <v>53</v>
      </c>
      <c r="AL850" t="s">
        <v>54</v>
      </c>
      <c r="AP850" t="s">
        <v>5451</v>
      </c>
      <c r="AQ850" t="s">
        <v>54</v>
      </c>
      <c r="AT850" t="s">
        <v>1001</v>
      </c>
      <c r="AW850" t="s">
        <v>53</v>
      </c>
      <c r="AZ850" t="s">
        <v>54</v>
      </c>
      <c r="BA850" t="s">
        <v>729</v>
      </c>
    </row>
    <row r="851" spans="1:53" x14ac:dyDescent="0.25">
      <c r="A851">
        <v>846</v>
      </c>
      <c r="B851" t="s">
        <v>1023</v>
      </c>
      <c r="C851" t="s">
        <v>1024</v>
      </c>
      <c r="D851" t="s">
        <v>998</v>
      </c>
      <c r="E851">
        <v>6</v>
      </c>
      <c r="F851" t="s">
        <v>719</v>
      </c>
      <c r="G851" t="s">
        <v>169</v>
      </c>
      <c r="H851" t="s">
        <v>795</v>
      </c>
      <c r="I851" t="s">
        <v>849</v>
      </c>
      <c r="J851" t="s">
        <v>850</v>
      </c>
      <c r="K851" t="s">
        <v>851</v>
      </c>
      <c r="L851" t="s">
        <v>725</v>
      </c>
      <c r="M851">
        <v>4.2274537086486816</v>
      </c>
      <c r="N851" t="s">
        <v>54</v>
      </c>
      <c r="O851" t="s">
        <v>53</v>
      </c>
      <c r="P851" t="s">
        <v>53</v>
      </c>
      <c r="Q851" t="s">
        <v>53</v>
      </c>
      <c r="R851" t="s">
        <v>53</v>
      </c>
      <c r="S851" t="s">
        <v>1000</v>
      </c>
      <c r="T851" t="s">
        <v>1015</v>
      </c>
      <c r="U851" t="s">
        <v>53</v>
      </c>
      <c r="V851" t="s">
        <v>51</v>
      </c>
      <c r="W851">
        <v>628000</v>
      </c>
      <c r="X851" t="s">
        <v>54</v>
      </c>
      <c r="Y851" t="s">
        <v>1973</v>
      </c>
      <c r="AA851">
        <v>994</v>
      </c>
      <c r="AB851">
        <v>745</v>
      </c>
      <c r="AC851">
        <v>1148</v>
      </c>
      <c r="AD851">
        <v>2344</v>
      </c>
      <c r="AE851">
        <v>2861</v>
      </c>
      <c r="AF851">
        <v>5</v>
      </c>
      <c r="AG851">
        <v>0</v>
      </c>
      <c r="AH851">
        <v>19.282693862915039</v>
      </c>
      <c r="AI851">
        <v>0</v>
      </c>
      <c r="AJ851">
        <v>9.7307405471801758</v>
      </c>
      <c r="AK851" t="s">
        <v>53</v>
      </c>
      <c r="AL851" t="s">
        <v>54</v>
      </c>
      <c r="AP851" t="s">
        <v>5451</v>
      </c>
      <c r="AQ851" t="s">
        <v>54</v>
      </c>
      <c r="AT851" t="s">
        <v>1001</v>
      </c>
      <c r="AW851" t="s">
        <v>53</v>
      </c>
      <c r="AZ851" t="s">
        <v>54</v>
      </c>
      <c r="BA851" t="s">
        <v>729</v>
      </c>
    </row>
    <row r="852" spans="1:53" x14ac:dyDescent="0.25">
      <c r="A852">
        <v>847</v>
      </c>
      <c r="B852" t="s">
        <v>1034</v>
      </c>
      <c r="C852" t="s">
        <v>1035</v>
      </c>
      <c r="D852" t="s">
        <v>998</v>
      </c>
      <c r="E852">
        <v>6</v>
      </c>
      <c r="F852" t="s">
        <v>719</v>
      </c>
      <c r="G852" t="s">
        <v>169</v>
      </c>
      <c r="H852" t="s">
        <v>795</v>
      </c>
      <c r="I852" t="s">
        <v>849</v>
      </c>
      <c r="J852" t="s">
        <v>850</v>
      </c>
      <c r="K852" t="s">
        <v>851</v>
      </c>
      <c r="L852" t="s">
        <v>725</v>
      </c>
      <c r="M852">
        <v>2.1803231239318852</v>
      </c>
      <c r="N852" t="s">
        <v>54</v>
      </c>
      <c r="O852" t="s">
        <v>53</v>
      </c>
      <c r="P852" t="s">
        <v>53</v>
      </c>
      <c r="Q852" t="s">
        <v>53</v>
      </c>
      <c r="R852" t="s">
        <v>53</v>
      </c>
      <c r="S852" t="s">
        <v>1000</v>
      </c>
      <c r="T852" t="s">
        <v>1015</v>
      </c>
      <c r="U852" t="s">
        <v>53</v>
      </c>
      <c r="V852" t="s">
        <v>51</v>
      </c>
      <c r="W852">
        <v>40000</v>
      </c>
      <c r="X852" t="s">
        <v>54</v>
      </c>
      <c r="Y852" t="s">
        <v>1973</v>
      </c>
      <c r="AA852">
        <v>150</v>
      </c>
      <c r="AB852">
        <v>123</v>
      </c>
      <c r="AC852">
        <v>104</v>
      </c>
      <c r="AD852">
        <v>278</v>
      </c>
      <c r="AE852">
        <v>313</v>
      </c>
      <c r="AF852">
        <v>0</v>
      </c>
      <c r="AG852">
        <v>0</v>
      </c>
      <c r="AH852">
        <v>1.100077271461487</v>
      </c>
      <c r="AI852">
        <v>0</v>
      </c>
      <c r="AJ852">
        <v>7.8175020217895508</v>
      </c>
      <c r="AK852" t="s">
        <v>53</v>
      </c>
      <c r="AL852" t="s">
        <v>54</v>
      </c>
      <c r="AP852" t="s">
        <v>5451</v>
      </c>
      <c r="AQ852" t="s">
        <v>54</v>
      </c>
      <c r="AT852" t="s">
        <v>1001</v>
      </c>
      <c r="AW852" t="s">
        <v>53</v>
      </c>
      <c r="AZ852" t="s">
        <v>54</v>
      </c>
      <c r="BA852" t="s">
        <v>729</v>
      </c>
    </row>
    <row r="853" spans="1:53" x14ac:dyDescent="0.25">
      <c r="A853">
        <v>848</v>
      </c>
      <c r="B853" t="s">
        <v>1036</v>
      </c>
      <c r="C853" t="s">
        <v>1037</v>
      </c>
      <c r="D853" t="s">
        <v>1038</v>
      </c>
      <c r="E853">
        <v>6</v>
      </c>
      <c r="F853" t="s">
        <v>719</v>
      </c>
      <c r="G853" t="s">
        <v>891</v>
      </c>
      <c r="H853" t="s">
        <v>795</v>
      </c>
      <c r="I853" t="s">
        <v>1039</v>
      </c>
      <c r="J853" t="s">
        <v>1040</v>
      </c>
      <c r="K853" t="s">
        <v>1041</v>
      </c>
      <c r="L853" t="s">
        <v>725</v>
      </c>
      <c r="M853">
        <v>1.586499691009521</v>
      </c>
      <c r="N853" t="s">
        <v>53</v>
      </c>
      <c r="O853" t="s">
        <v>53</v>
      </c>
      <c r="P853" t="s">
        <v>54</v>
      </c>
      <c r="Q853" t="s">
        <v>53</v>
      </c>
      <c r="R853" t="s">
        <v>53</v>
      </c>
      <c r="S853" t="s">
        <v>1042</v>
      </c>
      <c r="T853" t="s">
        <v>1043</v>
      </c>
      <c r="U853" t="s">
        <v>53</v>
      </c>
      <c r="V853" t="s">
        <v>51</v>
      </c>
      <c r="W853">
        <v>220000</v>
      </c>
      <c r="X853" t="s">
        <v>54</v>
      </c>
      <c r="AA853">
        <v>1006</v>
      </c>
      <c r="AB853">
        <v>978</v>
      </c>
      <c r="AC853">
        <v>349</v>
      </c>
      <c r="AD853">
        <v>1681</v>
      </c>
      <c r="AE853">
        <v>1721</v>
      </c>
      <c r="AF853">
        <v>6</v>
      </c>
      <c r="AG853">
        <v>0</v>
      </c>
      <c r="AH853">
        <v>9.637364387512207</v>
      </c>
      <c r="AI853">
        <v>0</v>
      </c>
      <c r="AJ853">
        <v>3.9110162258148189</v>
      </c>
      <c r="AK853" t="s">
        <v>53</v>
      </c>
      <c r="AL853" t="s">
        <v>53</v>
      </c>
      <c r="AP853" t="s">
        <v>5451</v>
      </c>
      <c r="AQ853" t="s">
        <v>54</v>
      </c>
      <c r="AT853" t="s">
        <v>1044</v>
      </c>
      <c r="AW853" t="s">
        <v>53</v>
      </c>
      <c r="AZ853" t="s">
        <v>54</v>
      </c>
      <c r="BA853" t="s">
        <v>729</v>
      </c>
    </row>
    <row r="854" spans="1:53" x14ac:dyDescent="0.25">
      <c r="A854">
        <v>849</v>
      </c>
      <c r="B854" t="s">
        <v>1045</v>
      </c>
      <c r="C854" t="s">
        <v>1046</v>
      </c>
      <c r="D854" t="s">
        <v>6470</v>
      </c>
      <c r="E854">
        <v>6</v>
      </c>
      <c r="F854" t="s">
        <v>719</v>
      </c>
      <c r="G854" t="s">
        <v>1047</v>
      </c>
      <c r="H854" t="s">
        <v>1048</v>
      </c>
      <c r="I854" t="s">
        <v>1049</v>
      </c>
      <c r="J854" t="s">
        <v>1050</v>
      </c>
      <c r="K854" t="s">
        <v>1051</v>
      </c>
      <c r="L854" t="s">
        <v>1052</v>
      </c>
      <c r="M854">
        <v>515.94830322265625</v>
      </c>
      <c r="N854" t="s">
        <v>54</v>
      </c>
      <c r="O854" t="s">
        <v>53</v>
      </c>
      <c r="P854" t="s">
        <v>54</v>
      </c>
      <c r="Q854" t="s">
        <v>53</v>
      </c>
      <c r="R854" t="s">
        <v>53</v>
      </c>
      <c r="S854" t="s">
        <v>1053</v>
      </c>
      <c r="T854" t="s">
        <v>1054</v>
      </c>
      <c r="U854" t="s">
        <v>53</v>
      </c>
      <c r="V854" t="s">
        <v>162</v>
      </c>
      <c r="W854">
        <v>20000</v>
      </c>
      <c r="X854" t="s">
        <v>54</v>
      </c>
      <c r="Y854" t="s">
        <v>3982</v>
      </c>
      <c r="Z854">
        <v>10000</v>
      </c>
      <c r="AA854">
        <v>1067</v>
      </c>
      <c r="AB854">
        <v>708</v>
      </c>
      <c r="AC854">
        <v>1171</v>
      </c>
      <c r="AD854">
        <v>1859</v>
      </c>
      <c r="AE854">
        <v>2410</v>
      </c>
      <c r="AF854">
        <v>6</v>
      </c>
      <c r="AG854">
        <v>19</v>
      </c>
      <c r="AH854">
        <v>40.913829803466797</v>
      </c>
      <c r="AI854">
        <v>19</v>
      </c>
      <c r="AJ854">
        <v>1357.317260742188</v>
      </c>
      <c r="AK854" t="s">
        <v>53</v>
      </c>
      <c r="AL854" t="s">
        <v>53</v>
      </c>
      <c r="AP854" t="s">
        <v>5451</v>
      </c>
      <c r="AQ854" t="s">
        <v>54</v>
      </c>
      <c r="AT854" t="s">
        <v>1055</v>
      </c>
      <c r="AW854" t="s">
        <v>53</v>
      </c>
      <c r="AZ854" t="s">
        <v>54</v>
      </c>
      <c r="BA854" t="s">
        <v>729</v>
      </c>
    </row>
    <row r="855" spans="1:53" x14ac:dyDescent="0.25">
      <c r="A855">
        <v>850</v>
      </c>
      <c r="B855" t="s">
        <v>1066</v>
      </c>
      <c r="C855" t="s">
        <v>1067</v>
      </c>
      <c r="D855" t="s">
        <v>784</v>
      </c>
      <c r="E855">
        <v>6</v>
      </c>
      <c r="F855" t="s">
        <v>719</v>
      </c>
      <c r="G855" t="s">
        <v>891</v>
      </c>
      <c r="H855" t="s">
        <v>795</v>
      </c>
      <c r="I855" t="s">
        <v>1039</v>
      </c>
      <c r="J855" t="s">
        <v>1040</v>
      </c>
      <c r="K855" t="s">
        <v>1041</v>
      </c>
      <c r="L855" t="s">
        <v>789</v>
      </c>
      <c r="M855">
        <v>0.44737619161605829</v>
      </c>
      <c r="N855" t="s">
        <v>53</v>
      </c>
      <c r="O855" t="s">
        <v>53</v>
      </c>
      <c r="P855" t="s">
        <v>54</v>
      </c>
      <c r="Q855" t="s">
        <v>53</v>
      </c>
      <c r="R855" t="s">
        <v>53</v>
      </c>
      <c r="S855" t="s">
        <v>1068</v>
      </c>
      <c r="T855" t="s">
        <v>1069</v>
      </c>
      <c r="U855" t="s">
        <v>54</v>
      </c>
      <c r="V855" t="s">
        <v>791</v>
      </c>
      <c r="W855">
        <v>130000</v>
      </c>
      <c r="X855" t="s">
        <v>54</v>
      </c>
      <c r="AA855">
        <v>1122</v>
      </c>
      <c r="AB855">
        <v>1095</v>
      </c>
      <c r="AC855">
        <v>232</v>
      </c>
      <c r="AD855">
        <v>1476</v>
      </c>
      <c r="AE855">
        <v>1502</v>
      </c>
      <c r="AF855">
        <v>3</v>
      </c>
      <c r="AH855">
        <v>7.7089004516601563</v>
      </c>
      <c r="AK855" t="s">
        <v>54</v>
      </c>
      <c r="AL855" t="s">
        <v>53</v>
      </c>
      <c r="AP855" t="s">
        <v>5451</v>
      </c>
      <c r="AQ855" t="s">
        <v>54</v>
      </c>
      <c r="AT855" t="s">
        <v>1044</v>
      </c>
      <c r="AW855" t="s">
        <v>53</v>
      </c>
      <c r="AZ855" t="s">
        <v>54</v>
      </c>
      <c r="BA855" t="s">
        <v>729</v>
      </c>
    </row>
    <row r="856" spans="1:53" x14ac:dyDescent="0.25">
      <c r="A856">
        <v>851</v>
      </c>
      <c r="B856" t="s">
        <v>1070</v>
      </c>
      <c r="C856" t="s">
        <v>1071</v>
      </c>
      <c r="D856" t="s">
        <v>1072</v>
      </c>
      <c r="E856">
        <v>6</v>
      </c>
      <c r="F856" t="s">
        <v>719</v>
      </c>
      <c r="G856" t="s">
        <v>1073</v>
      </c>
      <c r="H856" t="s">
        <v>806</v>
      </c>
      <c r="I856" t="s">
        <v>1074</v>
      </c>
      <c r="J856" t="s">
        <v>1075</v>
      </c>
      <c r="K856" t="s">
        <v>1076</v>
      </c>
      <c r="L856" t="s">
        <v>725</v>
      </c>
      <c r="M856">
        <v>14.521249771118161</v>
      </c>
      <c r="N856" t="s">
        <v>53</v>
      </c>
      <c r="O856" t="s">
        <v>53</v>
      </c>
      <c r="P856" t="s">
        <v>54</v>
      </c>
      <c r="Q856" t="s">
        <v>53</v>
      </c>
      <c r="R856" t="s">
        <v>53</v>
      </c>
      <c r="S856" t="s">
        <v>1053</v>
      </c>
      <c r="T856" t="s">
        <v>1077</v>
      </c>
      <c r="U856" t="s">
        <v>53</v>
      </c>
      <c r="V856" t="s">
        <v>51</v>
      </c>
      <c r="W856">
        <v>3270000</v>
      </c>
      <c r="X856" t="s">
        <v>54</v>
      </c>
      <c r="Y856" t="s">
        <v>3982</v>
      </c>
      <c r="Z856">
        <v>327000</v>
      </c>
      <c r="AA856">
        <v>546</v>
      </c>
      <c r="AB856">
        <v>444</v>
      </c>
      <c r="AC856">
        <v>1185</v>
      </c>
      <c r="AD856">
        <v>1445</v>
      </c>
      <c r="AE856">
        <v>2216</v>
      </c>
      <c r="AF856">
        <v>8</v>
      </c>
      <c r="AG856">
        <v>4</v>
      </c>
      <c r="AH856">
        <v>10.02671051025391</v>
      </c>
      <c r="AI856">
        <v>4</v>
      </c>
      <c r="AJ856">
        <v>21.652620315551761</v>
      </c>
      <c r="AK856" t="s">
        <v>53</v>
      </c>
      <c r="AL856" t="s">
        <v>54</v>
      </c>
      <c r="AP856" t="s">
        <v>5451</v>
      </c>
      <c r="AQ856" t="s">
        <v>54</v>
      </c>
      <c r="AT856" t="s">
        <v>1055</v>
      </c>
      <c r="AW856" t="s">
        <v>53</v>
      </c>
      <c r="AZ856" t="s">
        <v>54</v>
      </c>
      <c r="BA856" t="s">
        <v>729</v>
      </c>
    </row>
    <row r="857" spans="1:53" x14ac:dyDescent="0.25">
      <c r="A857">
        <v>852</v>
      </c>
      <c r="B857" t="s">
        <v>1078</v>
      </c>
      <c r="C857" t="s">
        <v>1079</v>
      </c>
      <c r="D857" t="s">
        <v>1080</v>
      </c>
      <c r="E857">
        <v>6</v>
      </c>
      <c r="F857" t="s">
        <v>719</v>
      </c>
      <c r="G857" t="s">
        <v>1081</v>
      </c>
      <c r="H857" t="s">
        <v>1082</v>
      </c>
      <c r="I857" t="s">
        <v>1083</v>
      </c>
      <c r="J857" t="s">
        <v>1084</v>
      </c>
      <c r="K857" t="s">
        <v>1085</v>
      </c>
      <c r="L857" t="s">
        <v>725</v>
      </c>
      <c r="M857">
        <v>2.213119268417358</v>
      </c>
      <c r="N857" t="s">
        <v>53</v>
      </c>
      <c r="O857" t="s">
        <v>53</v>
      </c>
      <c r="P857" t="s">
        <v>54</v>
      </c>
      <c r="Q857" t="s">
        <v>53</v>
      </c>
      <c r="R857" t="s">
        <v>53</v>
      </c>
      <c r="S857" t="s">
        <v>1086</v>
      </c>
      <c r="T857" t="s">
        <v>1087</v>
      </c>
      <c r="U857" t="s">
        <v>53</v>
      </c>
      <c r="V857" t="s">
        <v>791</v>
      </c>
      <c r="W857">
        <v>2500000</v>
      </c>
      <c r="X857" t="s">
        <v>54</v>
      </c>
      <c r="AA857">
        <v>23</v>
      </c>
      <c r="AB857">
        <v>18</v>
      </c>
      <c r="AC857">
        <v>4</v>
      </c>
      <c r="AD857">
        <v>19</v>
      </c>
      <c r="AE857">
        <v>19</v>
      </c>
      <c r="AF857">
        <v>0</v>
      </c>
      <c r="AG857">
        <v>0</v>
      </c>
      <c r="AH857">
        <v>0.47710961103439331</v>
      </c>
      <c r="AI857">
        <v>0</v>
      </c>
      <c r="AJ857">
        <v>0.88808619976043701</v>
      </c>
      <c r="AK857" t="s">
        <v>53</v>
      </c>
      <c r="AL857" t="s">
        <v>53</v>
      </c>
      <c r="AP857" t="s">
        <v>5451</v>
      </c>
      <c r="AQ857" t="s">
        <v>54</v>
      </c>
      <c r="AT857" t="s">
        <v>1088</v>
      </c>
      <c r="AW857" t="s">
        <v>53</v>
      </c>
      <c r="AZ857" t="s">
        <v>54</v>
      </c>
      <c r="BA857" t="s">
        <v>729</v>
      </c>
    </row>
    <row r="858" spans="1:53" x14ac:dyDescent="0.25">
      <c r="A858">
        <v>853</v>
      </c>
      <c r="B858" t="s">
        <v>1089</v>
      </c>
      <c r="C858" t="s">
        <v>1090</v>
      </c>
      <c r="D858" t="s">
        <v>1091</v>
      </c>
      <c r="E858">
        <v>6</v>
      </c>
      <c r="F858" t="s">
        <v>719</v>
      </c>
      <c r="G858" t="s">
        <v>891</v>
      </c>
      <c r="H858" t="s">
        <v>795</v>
      </c>
      <c r="I858" t="s">
        <v>1039</v>
      </c>
      <c r="J858" t="s">
        <v>1040</v>
      </c>
      <c r="K858" t="s">
        <v>1041</v>
      </c>
      <c r="L858" t="s">
        <v>725</v>
      </c>
      <c r="M858">
        <v>14.23282623291016</v>
      </c>
      <c r="N858" t="s">
        <v>53</v>
      </c>
      <c r="O858" t="s">
        <v>53</v>
      </c>
      <c r="P858" t="s">
        <v>54</v>
      </c>
      <c r="Q858" t="s">
        <v>53</v>
      </c>
      <c r="R858" t="s">
        <v>53</v>
      </c>
      <c r="S858" t="s">
        <v>1092</v>
      </c>
      <c r="T858" t="s">
        <v>1093</v>
      </c>
      <c r="U858" t="s">
        <v>53</v>
      </c>
      <c r="V858" t="s">
        <v>51</v>
      </c>
      <c r="W858">
        <v>360000</v>
      </c>
      <c r="X858" t="s">
        <v>54</v>
      </c>
      <c r="AA858">
        <v>829</v>
      </c>
      <c r="AB858">
        <v>767</v>
      </c>
      <c r="AC858">
        <v>514</v>
      </c>
      <c r="AD858">
        <v>1455</v>
      </c>
      <c r="AE858">
        <v>1612</v>
      </c>
      <c r="AF858">
        <v>8</v>
      </c>
      <c r="AG858">
        <v>1</v>
      </c>
      <c r="AH858">
        <v>31.114070892333981</v>
      </c>
      <c r="AI858">
        <v>1</v>
      </c>
      <c r="AJ858">
        <v>37.849395751953118</v>
      </c>
      <c r="AK858" t="s">
        <v>53</v>
      </c>
      <c r="AL858" t="s">
        <v>53</v>
      </c>
      <c r="AP858" t="s">
        <v>5451</v>
      </c>
      <c r="AQ858" t="s">
        <v>54</v>
      </c>
      <c r="AT858" t="s">
        <v>1044</v>
      </c>
      <c r="AW858" t="s">
        <v>53</v>
      </c>
      <c r="AZ858" t="s">
        <v>54</v>
      </c>
      <c r="BA858" t="s">
        <v>729</v>
      </c>
    </row>
    <row r="859" spans="1:53" x14ac:dyDescent="0.25">
      <c r="A859">
        <v>854</v>
      </c>
      <c r="B859" t="s">
        <v>1094</v>
      </c>
      <c r="C859" t="s">
        <v>1095</v>
      </c>
      <c r="D859" t="s">
        <v>1096</v>
      </c>
      <c r="E859">
        <v>6</v>
      </c>
      <c r="F859" t="s">
        <v>719</v>
      </c>
      <c r="G859" t="s">
        <v>1097</v>
      </c>
      <c r="H859" t="s">
        <v>795</v>
      </c>
      <c r="I859" t="s">
        <v>1004</v>
      </c>
      <c r="J859" t="s">
        <v>1005</v>
      </c>
      <c r="K859" t="s">
        <v>1006</v>
      </c>
      <c r="L859" t="s">
        <v>725</v>
      </c>
      <c r="M859">
        <v>52.888210296630859</v>
      </c>
      <c r="N859" t="s">
        <v>53</v>
      </c>
      <c r="O859" t="s">
        <v>53</v>
      </c>
      <c r="P859" t="s">
        <v>54</v>
      </c>
      <c r="Q859" t="s">
        <v>53</v>
      </c>
      <c r="R859" t="s">
        <v>53</v>
      </c>
      <c r="S859" t="s">
        <v>1098</v>
      </c>
      <c r="T859" t="s">
        <v>1099</v>
      </c>
      <c r="U859" t="s">
        <v>53</v>
      </c>
      <c r="V859" t="s">
        <v>51</v>
      </c>
      <c r="W859">
        <v>580000</v>
      </c>
      <c r="X859" t="s">
        <v>54</v>
      </c>
      <c r="AA859">
        <v>5251</v>
      </c>
      <c r="AB859">
        <v>4835</v>
      </c>
      <c r="AC859">
        <v>11187</v>
      </c>
      <c r="AD859">
        <v>13675</v>
      </c>
      <c r="AE859">
        <v>20978</v>
      </c>
      <c r="AF859">
        <v>25</v>
      </c>
      <c r="AG859">
        <v>2</v>
      </c>
      <c r="AH859">
        <v>104.5637283325195</v>
      </c>
      <c r="AI859">
        <v>2</v>
      </c>
      <c r="AJ859">
        <v>1308.191162109375</v>
      </c>
      <c r="AK859" t="s">
        <v>53</v>
      </c>
      <c r="AL859" t="s">
        <v>53</v>
      </c>
      <c r="AP859" t="s">
        <v>5451</v>
      </c>
      <c r="AQ859" t="s">
        <v>54</v>
      </c>
      <c r="AT859" t="s">
        <v>1044</v>
      </c>
      <c r="AW859" t="s">
        <v>53</v>
      </c>
      <c r="AZ859" t="s">
        <v>54</v>
      </c>
      <c r="BA859" t="s">
        <v>729</v>
      </c>
    </row>
    <row r="860" spans="1:53" x14ac:dyDescent="0.25">
      <c r="A860">
        <v>855</v>
      </c>
      <c r="B860" t="s">
        <v>1100</v>
      </c>
      <c r="C860" t="s">
        <v>1101</v>
      </c>
      <c r="D860" t="s">
        <v>1102</v>
      </c>
      <c r="E860">
        <v>6</v>
      </c>
      <c r="F860" t="s">
        <v>719</v>
      </c>
      <c r="G860" t="s">
        <v>1097</v>
      </c>
      <c r="H860" t="s">
        <v>795</v>
      </c>
      <c r="I860" t="s">
        <v>1004</v>
      </c>
      <c r="J860" t="s">
        <v>1005</v>
      </c>
      <c r="K860" t="s">
        <v>1006</v>
      </c>
      <c r="L860" t="s">
        <v>789</v>
      </c>
      <c r="M860">
        <v>20.829156875610352</v>
      </c>
      <c r="N860" t="s">
        <v>53</v>
      </c>
      <c r="O860" t="s">
        <v>54</v>
      </c>
      <c r="P860" t="s">
        <v>53</v>
      </c>
      <c r="Q860" t="s">
        <v>53</v>
      </c>
      <c r="R860" t="s">
        <v>53</v>
      </c>
      <c r="S860" t="s">
        <v>1103</v>
      </c>
      <c r="T860" t="s">
        <v>1104</v>
      </c>
      <c r="U860" t="s">
        <v>53</v>
      </c>
      <c r="V860" t="s">
        <v>791</v>
      </c>
      <c r="W860">
        <v>140000</v>
      </c>
      <c r="X860" t="s">
        <v>54</v>
      </c>
      <c r="AA860">
        <v>1680</v>
      </c>
      <c r="AB860">
        <v>1601</v>
      </c>
      <c r="AC860">
        <v>2108</v>
      </c>
      <c r="AD860">
        <v>4640</v>
      </c>
      <c r="AE860">
        <v>5467</v>
      </c>
      <c r="AF860">
        <v>2</v>
      </c>
      <c r="AG860">
        <v>5</v>
      </c>
      <c r="AH860">
        <v>37.720420837402337</v>
      </c>
      <c r="AI860">
        <v>5</v>
      </c>
      <c r="AJ860">
        <v>18.37308311462402</v>
      </c>
      <c r="AK860" t="s">
        <v>53</v>
      </c>
      <c r="AL860" t="s">
        <v>53</v>
      </c>
      <c r="AP860" t="s">
        <v>5451</v>
      </c>
      <c r="AQ860" t="s">
        <v>54</v>
      </c>
      <c r="AT860" t="s">
        <v>1044</v>
      </c>
      <c r="AW860" t="s">
        <v>53</v>
      </c>
      <c r="AZ860" t="s">
        <v>54</v>
      </c>
      <c r="BA860" t="s">
        <v>729</v>
      </c>
    </row>
    <row r="861" spans="1:53" x14ac:dyDescent="0.25">
      <c r="A861">
        <v>856</v>
      </c>
      <c r="B861" t="s">
        <v>1105</v>
      </c>
      <c r="C861" t="s">
        <v>1106</v>
      </c>
      <c r="D861" t="s">
        <v>1107</v>
      </c>
      <c r="E861">
        <v>6</v>
      </c>
      <c r="F861" t="s">
        <v>719</v>
      </c>
      <c r="G861" t="s">
        <v>169</v>
      </c>
      <c r="H861" t="s">
        <v>795</v>
      </c>
      <c r="I861" t="s">
        <v>796</v>
      </c>
      <c r="J861" t="s">
        <v>797</v>
      </c>
      <c r="K861" t="s">
        <v>798</v>
      </c>
      <c r="L861" t="s">
        <v>725</v>
      </c>
      <c r="M861">
        <v>4.5647498220205307E-2</v>
      </c>
      <c r="N861" t="s">
        <v>53</v>
      </c>
      <c r="O861" t="s">
        <v>53</v>
      </c>
      <c r="P861" t="s">
        <v>54</v>
      </c>
      <c r="Q861" t="s">
        <v>53</v>
      </c>
      <c r="R861" t="s">
        <v>53</v>
      </c>
      <c r="S861" t="s">
        <v>942</v>
      </c>
      <c r="T861" t="s">
        <v>943</v>
      </c>
      <c r="U861" t="s">
        <v>53</v>
      </c>
      <c r="V861" t="s">
        <v>51</v>
      </c>
      <c r="W861">
        <v>100000</v>
      </c>
      <c r="X861" t="s">
        <v>54</v>
      </c>
      <c r="AK861" t="s">
        <v>53</v>
      </c>
      <c r="AL861" t="s">
        <v>53</v>
      </c>
      <c r="AP861" t="s">
        <v>5451</v>
      </c>
      <c r="AQ861" t="s">
        <v>54</v>
      </c>
      <c r="AT861" t="s">
        <v>935</v>
      </c>
      <c r="AW861" t="s">
        <v>53</v>
      </c>
      <c r="AZ861" t="s">
        <v>54</v>
      </c>
      <c r="BA861" t="s">
        <v>729</v>
      </c>
    </row>
    <row r="862" spans="1:53" x14ac:dyDescent="0.25">
      <c r="A862">
        <v>857</v>
      </c>
      <c r="B862" t="s">
        <v>1111</v>
      </c>
      <c r="C862" t="s">
        <v>1112</v>
      </c>
      <c r="D862" t="s">
        <v>1113</v>
      </c>
      <c r="E862">
        <v>6</v>
      </c>
      <c r="F862" t="s">
        <v>719</v>
      </c>
      <c r="G862" t="s">
        <v>1081</v>
      </c>
      <c r="H862" t="s">
        <v>1082</v>
      </c>
      <c r="I862" t="s">
        <v>1083</v>
      </c>
      <c r="J862" t="s">
        <v>1084</v>
      </c>
      <c r="K862" t="s">
        <v>1085</v>
      </c>
      <c r="L862" t="s">
        <v>789</v>
      </c>
      <c r="M862">
        <v>2.213119268417358</v>
      </c>
      <c r="N862" t="s">
        <v>53</v>
      </c>
      <c r="O862" t="s">
        <v>53</v>
      </c>
      <c r="P862" t="s">
        <v>54</v>
      </c>
      <c r="Q862" t="s">
        <v>53</v>
      </c>
      <c r="R862" t="s">
        <v>53</v>
      </c>
      <c r="S862" t="s">
        <v>1086</v>
      </c>
      <c r="T862" t="s">
        <v>1087</v>
      </c>
      <c r="U862" t="s">
        <v>53</v>
      </c>
      <c r="V862" t="s">
        <v>791</v>
      </c>
      <c r="W862">
        <v>100000</v>
      </c>
      <c r="X862" t="s">
        <v>54</v>
      </c>
      <c r="AA862">
        <v>23</v>
      </c>
      <c r="AB862">
        <v>18</v>
      </c>
      <c r="AC862">
        <v>4</v>
      </c>
      <c r="AD862">
        <v>19</v>
      </c>
      <c r="AE862">
        <v>19</v>
      </c>
      <c r="AF862">
        <v>0</v>
      </c>
      <c r="AG862">
        <v>0</v>
      </c>
      <c r="AH862">
        <v>0.47710961103439331</v>
      </c>
      <c r="AI862">
        <v>0</v>
      </c>
      <c r="AJ862">
        <v>0.88808619976043701</v>
      </c>
      <c r="AK862" t="s">
        <v>53</v>
      </c>
      <c r="AL862" t="s">
        <v>53</v>
      </c>
      <c r="AP862" t="s">
        <v>5451</v>
      </c>
      <c r="AQ862" t="s">
        <v>54</v>
      </c>
      <c r="AT862" t="s">
        <v>1088</v>
      </c>
      <c r="AW862" t="s">
        <v>53</v>
      </c>
      <c r="AZ862" t="s">
        <v>54</v>
      </c>
      <c r="BA862" t="s">
        <v>729</v>
      </c>
    </row>
    <row r="863" spans="1:53" x14ac:dyDescent="0.25">
      <c r="A863">
        <v>858</v>
      </c>
      <c r="B863" t="s">
        <v>1115</v>
      </c>
      <c r="C863" t="s">
        <v>1116</v>
      </c>
      <c r="D863" t="s">
        <v>1117</v>
      </c>
      <c r="E863">
        <v>6</v>
      </c>
      <c r="F863" t="s">
        <v>719</v>
      </c>
      <c r="G863" t="s">
        <v>1097</v>
      </c>
      <c r="H863" t="s">
        <v>795</v>
      </c>
      <c r="I863" t="s">
        <v>1004</v>
      </c>
      <c r="J863" t="s">
        <v>1005</v>
      </c>
      <c r="K863" t="s">
        <v>1006</v>
      </c>
      <c r="L863" t="s">
        <v>725</v>
      </c>
      <c r="M863">
        <v>52.888210296630859</v>
      </c>
      <c r="N863" t="s">
        <v>53</v>
      </c>
      <c r="O863" t="s">
        <v>53</v>
      </c>
      <c r="P863" t="s">
        <v>54</v>
      </c>
      <c r="Q863" t="s">
        <v>53</v>
      </c>
      <c r="R863" t="s">
        <v>53</v>
      </c>
      <c r="S863" t="s">
        <v>1098</v>
      </c>
      <c r="T863" t="s">
        <v>1118</v>
      </c>
      <c r="U863" t="s">
        <v>53</v>
      </c>
      <c r="V863" t="s">
        <v>51</v>
      </c>
      <c r="W863">
        <v>50000</v>
      </c>
      <c r="X863" t="s">
        <v>54</v>
      </c>
      <c r="AA863">
        <v>5251</v>
      </c>
      <c r="AB863">
        <v>4835</v>
      </c>
      <c r="AC863">
        <v>11187</v>
      </c>
      <c r="AD863">
        <v>13675</v>
      </c>
      <c r="AE863">
        <v>20978</v>
      </c>
      <c r="AF863">
        <v>25</v>
      </c>
      <c r="AG863">
        <v>2</v>
      </c>
      <c r="AH863">
        <v>104.5637283325195</v>
      </c>
      <c r="AI863">
        <v>2</v>
      </c>
      <c r="AJ863">
        <v>1308.191162109375</v>
      </c>
      <c r="AK863" t="s">
        <v>53</v>
      </c>
      <c r="AL863" t="s">
        <v>53</v>
      </c>
      <c r="AP863" t="s">
        <v>5451</v>
      </c>
      <c r="AQ863" t="s">
        <v>54</v>
      </c>
      <c r="AT863" t="s">
        <v>1044</v>
      </c>
      <c r="AW863" t="s">
        <v>53</v>
      </c>
      <c r="AZ863" t="s">
        <v>54</v>
      </c>
      <c r="BA863" t="s">
        <v>729</v>
      </c>
    </row>
    <row r="864" spans="1:53" x14ac:dyDescent="0.25">
      <c r="A864">
        <v>859</v>
      </c>
      <c r="B864" t="s">
        <v>1119</v>
      </c>
      <c r="C864" t="s">
        <v>1120</v>
      </c>
      <c r="D864" t="s">
        <v>1121</v>
      </c>
      <c r="E864">
        <v>6</v>
      </c>
      <c r="F864" t="s">
        <v>719</v>
      </c>
      <c r="G864" t="s">
        <v>891</v>
      </c>
      <c r="H864" t="s">
        <v>795</v>
      </c>
      <c r="I864" t="s">
        <v>871</v>
      </c>
      <c r="J864" t="s">
        <v>872</v>
      </c>
      <c r="K864" t="s">
        <v>873</v>
      </c>
      <c r="L864" t="s">
        <v>725</v>
      </c>
      <c r="M864">
        <v>664.94830322265625</v>
      </c>
      <c r="N864" t="s">
        <v>53</v>
      </c>
      <c r="O864" t="s">
        <v>54</v>
      </c>
      <c r="P864" t="s">
        <v>54</v>
      </c>
      <c r="Q864" t="s">
        <v>53</v>
      </c>
      <c r="R864" t="s">
        <v>53</v>
      </c>
      <c r="S864" t="s">
        <v>1122</v>
      </c>
      <c r="T864" t="s">
        <v>1122</v>
      </c>
      <c r="U864" t="s">
        <v>53</v>
      </c>
      <c r="V864" t="s">
        <v>51</v>
      </c>
      <c r="W864">
        <v>1590000</v>
      </c>
      <c r="X864" t="s">
        <v>54</v>
      </c>
      <c r="AA864">
        <v>48570</v>
      </c>
      <c r="AB864">
        <v>42185</v>
      </c>
      <c r="AC864">
        <v>100002</v>
      </c>
      <c r="AD864">
        <v>102755</v>
      </c>
      <c r="AE864">
        <v>171395</v>
      </c>
      <c r="AF864">
        <v>681</v>
      </c>
      <c r="AG864">
        <v>30</v>
      </c>
      <c r="AH864">
        <v>910.35089111328125</v>
      </c>
      <c r="AI864">
        <v>30</v>
      </c>
      <c r="AJ864">
        <v>3412.02490234375</v>
      </c>
      <c r="AK864" t="s">
        <v>53</v>
      </c>
      <c r="AL864" t="s">
        <v>54</v>
      </c>
      <c r="AP864" t="s">
        <v>5451</v>
      </c>
      <c r="AQ864" t="s">
        <v>54</v>
      </c>
      <c r="AT864" t="s">
        <v>1044</v>
      </c>
      <c r="AW864" t="s">
        <v>53</v>
      </c>
      <c r="AZ864" t="s">
        <v>54</v>
      </c>
      <c r="BA864" t="s">
        <v>729</v>
      </c>
    </row>
    <row r="865" spans="1:53" x14ac:dyDescent="0.25">
      <c r="A865">
        <v>860</v>
      </c>
      <c r="B865" t="s">
        <v>1123</v>
      </c>
      <c r="C865" t="s">
        <v>1124</v>
      </c>
      <c r="D865" t="s">
        <v>1125</v>
      </c>
      <c r="E865">
        <v>6</v>
      </c>
      <c r="F865" t="s">
        <v>719</v>
      </c>
      <c r="G865" t="s">
        <v>1059</v>
      </c>
      <c r="H865" t="s">
        <v>1082</v>
      </c>
      <c r="I865" t="s">
        <v>1126</v>
      </c>
      <c r="J865" t="s">
        <v>1127</v>
      </c>
      <c r="K865" t="s">
        <v>1128</v>
      </c>
      <c r="L865" t="s">
        <v>725</v>
      </c>
      <c r="M865">
        <v>3.613092422485352</v>
      </c>
      <c r="N865" t="s">
        <v>53</v>
      </c>
      <c r="O865" t="s">
        <v>53</v>
      </c>
      <c r="P865" t="s">
        <v>54</v>
      </c>
      <c r="Q865" t="s">
        <v>53</v>
      </c>
      <c r="R865" t="s">
        <v>53</v>
      </c>
      <c r="S865" t="s">
        <v>1129</v>
      </c>
      <c r="T865" t="s">
        <v>1130</v>
      </c>
      <c r="U865" t="s">
        <v>53</v>
      </c>
      <c r="V865" t="s">
        <v>51</v>
      </c>
      <c r="W865">
        <v>35000</v>
      </c>
      <c r="X865" t="s">
        <v>54</v>
      </c>
      <c r="AA865">
        <v>363</v>
      </c>
      <c r="AB865">
        <v>267</v>
      </c>
      <c r="AC865">
        <v>283</v>
      </c>
      <c r="AD865">
        <v>485</v>
      </c>
      <c r="AE865">
        <v>589</v>
      </c>
      <c r="AF865">
        <v>1</v>
      </c>
      <c r="AG865">
        <v>0</v>
      </c>
      <c r="AH865">
        <v>8.9817647933959961</v>
      </c>
      <c r="AI865">
        <v>0</v>
      </c>
      <c r="AJ865">
        <v>9.2176370620727539</v>
      </c>
      <c r="AK865" t="s">
        <v>53</v>
      </c>
      <c r="AL865" t="s">
        <v>53</v>
      </c>
      <c r="AP865" t="s">
        <v>5451</v>
      </c>
      <c r="AQ865" t="s">
        <v>54</v>
      </c>
      <c r="AT865" t="s">
        <v>1065</v>
      </c>
      <c r="AW865" t="s">
        <v>53</v>
      </c>
      <c r="AZ865" t="s">
        <v>54</v>
      </c>
      <c r="BA865" t="s">
        <v>729</v>
      </c>
    </row>
    <row r="866" spans="1:53" x14ac:dyDescent="0.25">
      <c r="A866">
        <v>861</v>
      </c>
      <c r="B866" t="s">
        <v>1131</v>
      </c>
      <c r="C866" t="s">
        <v>1132</v>
      </c>
      <c r="D866" t="s">
        <v>1133</v>
      </c>
      <c r="E866">
        <v>6</v>
      </c>
      <c r="F866" t="s">
        <v>719</v>
      </c>
      <c r="G866" t="s">
        <v>1097</v>
      </c>
      <c r="H866" t="s">
        <v>795</v>
      </c>
      <c r="I866" t="s">
        <v>1004</v>
      </c>
      <c r="J866" t="s">
        <v>1005</v>
      </c>
      <c r="K866" t="s">
        <v>1006</v>
      </c>
      <c r="L866" t="s">
        <v>725</v>
      </c>
      <c r="M866">
        <v>52.888210296630859</v>
      </c>
      <c r="N866" t="s">
        <v>53</v>
      </c>
      <c r="O866" t="s">
        <v>53</v>
      </c>
      <c r="P866" t="s">
        <v>54</v>
      </c>
      <c r="Q866" t="s">
        <v>53</v>
      </c>
      <c r="R866" t="s">
        <v>53</v>
      </c>
      <c r="S866" t="s">
        <v>1098</v>
      </c>
      <c r="T866" t="s">
        <v>1134</v>
      </c>
      <c r="U866" t="s">
        <v>53</v>
      </c>
      <c r="V866" t="s">
        <v>51</v>
      </c>
      <c r="W866">
        <v>190000</v>
      </c>
      <c r="X866" t="s">
        <v>54</v>
      </c>
      <c r="AA866">
        <v>5251</v>
      </c>
      <c r="AB866">
        <v>4835</v>
      </c>
      <c r="AC866">
        <v>11187</v>
      </c>
      <c r="AD866">
        <v>13675</v>
      </c>
      <c r="AE866">
        <v>20978</v>
      </c>
      <c r="AF866">
        <v>25</v>
      </c>
      <c r="AG866">
        <v>2</v>
      </c>
      <c r="AH866">
        <v>104.5637283325195</v>
      </c>
      <c r="AI866">
        <v>2</v>
      </c>
      <c r="AJ866">
        <v>1308.191162109375</v>
      </c>
      <c r="AK866" t="s">
        <v>53</v>
      </c>
      <c r="AL866" t="s">
        <v>53</v>
      </c>
      <c r="AP866" t="s">
        <v>5451</v>
      </c>
      <c r="AQ866" t="s">
        <v>54</v>
      </c>
      <c r="AT866" t="s">
        <v>1044</v>
      </c>
      <c r="AW866" t="s">
        <v>53</v>
      </c>
      <c r="AZ866" t="s">
        <v>54</v>
      </c>
      <c r="BA866" t="s">
        <v>729</v>
      </c>
    </row>
    <row r="867" spans="1:53" x14ac:dyDescent="0.25">
      <c r="A867">
        <v>862</v>
      </c>
      <c r="B867" t="s">
        <v>1135</v>
      </c>
      <c r="C867" t="s">
        <v>1136</v>
      </c>
      <c r="D867" t="s">
        <v>1137</v>
      </c>
      <c r="E867">
        <v>6</v>
      </c>
      <c r="F867" t="s">
        <v>719</v>
      </c>
      <c r="G867" t="s">
        <v>1059</v>
      </c>
      <c r="H867" t="s">
        <v>1082</v>
      </c>
      <c r="I867" t="s">
        <v>1126</v>
      </c>
      <c r="J867" t="s">
        <v>1127</v>
      </c>
      <c r="K867" t="s">
        <v>1128</v>
      </c>
      <c r="L867" t="s">
        <v>725</v>
      </c>
      <c r="M867">
        <v>3.613092422485352</v>
      </c>
      <c r="N867" t="s">
        <v>53</v>
      </c>
      <c r="O867" t="s">
        <v>53</v>
      </c>
      <c r="P867" t="s">
        <v>54</v>
      </c>
      <c r="Q867" t="s">
        <v>53</v>
      </c>
      <c r="R867" t="s">
        <v>53</v>
      </c>
      <c r="S867" t="s">
        <v>1103</v>
      </c>
      <c r="T867" t="s">
        <v>1130</v>
      </c>
      <c r="U867" t="s">
        <v>53</v>
      </c>
      <c r="V867" t="s">
        <v>51</v>
      </c>
      <c r="W867">
        <v>160000</v>
      </c>
      <c r="X867" t="s">
        <v>54</v>
      </c>
      <c r="AA867">
        <v>363</v>
      </c>
      <c r="AB867">
        <v>267</v>
      </c>
      <c r="AC867">
        <v>283</v>
      </c>
      <c r="AD867">
        <v>485</v>
      </c>
      <c r="AE867">
        <v>589</v>
      </c>
      <c r="AF867">
        <v>1</v>
      </c>
      <c r="AG867">
        <v>0</v>
      </c>
      <c r="AH867">
        <v>8.9817647933959961</v>
      </c>
      <c r="AI867">
        <v>0</v>
      </c>
      <c r="AJ867">
        <v>9.2176370620727539</v>
      </c>
      <c r="AK867" t="s">
        <v>53</v>
      </c>
      <c r="AL867" t="s">
        <v>53</v>
      </c>
      <c r="AP867" t="s">
        <v>5451</v>
      </c>
      <c r="AQ867" t="s">
        <v>54</v>
      </c>
      <c r="AT867" t="s">
        <v>1044</v>
      </c>
      <c r="AW867" t="s">
        <v>53</v>
      </c>
      <c r="AZ867" t="s">
        <v>54</v>
      </c>
      <c r="BA867" t="s">
        <v>729</v>
      </c>
    </row>
    <row r="868" spans="1:53" x14ac:dyDescent="0.25">
      <c r="A868">
        <v>863</v>
      </c>
      <c r="B868" t="s">
        <v>1139</v>
      </c>
      <c r="C868" t="s">
        <v>1140</v>
      </c>
      <c r="D868" t="s">
        <v>1141</v>
      </c>
      <c r="E868">
        <v>6</v>
      </c>
      <c r="F868" t="s">
        <v>719</v>
      </c>
      <c r="G868" t="s">
        <v>891</v>
      </c>
      <c r="H868" t="s">
        <v>795</v>
      </c>
      <c r="I868" t="s">
        <v>871</v>
      </c>
      <c r="J868" t="s">
        <v>872</v>
      </c>
      <c r="K868" t="s">
        <v>873</v>
      </c>
      <c r="L868" t="s">
        <v>725</v>
      </c>
      <c r="M868">
        <v>664.94830322265625</v>
      </c>
      <c r="N868" t="s">
        <v>53</v>
      </c>
      <c r="O868" t="s">
        <v>53</v>
      </c>
      <c r="P868" t="s">
        <v>54</v>
      </c>
      <c r="Q868" t="s">
        <v>53</v>
      </c>
      <c r="R868" t="s">
        <v>53</v>
      </c>
      <c r="S868" t="s">
        <v>1122</v>
      </c>
      <c r="T868" t="s">
        <v>1142</v>
      </c>
      <c r="U868" t="s">
        <v>53</v>
      </c>
      <c r="V868" t="s">
        <v>51</v>
      </c>
      <c r="W868">
        <v>11000000</v>
      </c>
      <c r="X868" t="s">
        <v>54</v>
      </c>
      <c r="AA868">
        <v>48570</v>
      </c>
      <c r="AB868">
        <v>42185</v>
      </c>
      <c r="AC868">
        <v>100002</v>
      </c>
      <c r="AD868">
        <v>102755</v>
      </c>
      <c r="AE868">
        <v>171395</v>
      </c>
      <c r="AF868">
        <v>681</v>
      </c>
      <c r="AG868">
        <v>30</v>
      </c>
      <c r="AH868">
        <v>910.35089111328125</v>
      </c>
      <c r="AI868">
        <v>30</v>
      </c>
      <c r="AJ868">
        <v>3412.02490234375</v>
      </c>
      <c r="AK868" t="s">
        <v>53</v>
      </c>
      <c r="AL868" t="s">
        <v>53</v>
      </c>
      <c r="AP868" t="s">
        <v>5451</v>
      </c>
      <c r="AQ868" t="s">
        <v>54</v>
      </c>
      <c r="AT868" t="s">
        <v>1044</v>
      </c>
      <c r="AW868" t="s">
        <v>53</v>
      </c>
      <c r="AZ868" t="s">
        <v>54</v>
      </c>
      <c r="BA868" t="s">
        <v>729</v>
      </c>
    </row>
    <row r="869" spans="1:53" x14ac:dyDescent="0.25">
      <c r="A869">
        <v>864</v>
      </c>
      <c r="B869" t="s">
        <v>1143</v>
      </c>
      <c r="C869" t="s">
        <v>1144</v>
      </c>
      <c r="D869" t="s">
        <v>1145</v>
      </c>
      <c r="E869">
        <v>6</v>
      </c>
      <c r="F869" t="s">
        <v>719</v>
      </c>
      <c r="G869" t="s">
        <v>1097</v>
      </c>
      <c r="H869" t="s">
        <v>795</v>
      </c>
      <c r="I869" t="s">
        <v>1004</v>
      </c>
      <c r="J869" t="s">
        <v>1005</v>
      </c>
      <c r="K869" t="s">
        <v>1006</v>
      </c>
      <c r="L869" t="s">
        <v>725</v>
      </c>
      <c r="M869">
        <v>52.888210296630859</v>
      </c>
      <c r="N869" t="s">
        <v>53</v>
      </c>
      <c r="O869" t="s">
        <v>53</v>
      </c>
      <c r="P869" t="s">
        <v>54</v>
      </c>
      <c r="Q869" t="s">
        <v>53</v>
      </c>
      <c r="R869" t="s">
        <v>53</v>
      </c>
      <c r="S869" t="s">
        <v>1098</v>
      </c>
      <c r="T869" t="s">
        <v>1134</v>
      </c>
      <c r="U869" t="s">
        <v>53</v>
      </c>
      <c r="V869" t="s">
        <v>51</v>
      </c>
      <c r="W869">
        <v>50000</v>
      </c>
      <c r="X869" t="s">
        <v>54</v>
      </c>
      <c r="AA869">
        <v>5251</v>
      </c>
      <c r="AB869">
        <v>4835</v>
      </c>
      <c r="AC869">
        <v>11187</v>
      </c>
      <c r="AD869">
        <v>13675</v>
      </c>
      <c r="AE869">
        <v>20978</v>
      </c>
      <c r="AF869">
        <v>25</v>
      </c>
      <c r="AG869">
        <v>2</v>
      </c>
      <c r="AH869">
        <v>104.5637283325195</v>
      </c>
      <c r="AI869">
        <v>2</v>
      </c>
      <c r="AJ869">
        <v>1308.191162109375</v>
      </c>
      <c r="AK869" t="s">
        <v>53</v>
      </c>
      <c r="AL869" t="s">
        <v>53</v>
      </c>
      <c r="AP869" t="s">
        <v>5451</v>
      </c>
      <c r="AQ869" t="s">
        <v>54</v>
      </c>
      <c r="AT869" t="s">
        <v>1044</v>
      </c>
      <c r="AW869" t="s">
        <v>53</v>
      </c>
      <c r="AZ869" t="s">
        <v>54</v>
      </c>
      <c r="BA869" t="s">
        <v>729</v>
      </c>
    </row>
    <row r="870" spans="1:53" x14ac:dyDescent="0.25">
      <c r="A870">
        <v>865</v>
      </c>
      <c r="B870" t="s">
        <v>1146</v>
      </c>
      <c r="C870" t="s">
        <v>1147</v>
      </c>
      <c r="D870" t="s">
        <v>1148</v>
      </c>
      <c r="E870">
        <v>6</v>
      </c>
      <c r="F870" t="s">
        <v>719</v>
      </c>
      <c r="G870" t="s">
        <v>891</v>
      </c>
      <c r="H870" t="s">
        <v>795</v>
      </c>
      <c r="I870" t="s">
        <v>1039</v>
      </c>
      <c r="J870" t="s">
        <v>1040</v>
      </c>
      <c r="K870" t="s">
        <v>1041</v>
      </c>
      <c r="L870" t="s">
        <v>725</v>
      </c>
      <c r="M870">
        <v>0.45142865180969238</v>
      </c>
      <c r="N870" t="s">
        <v>53</v>
      </c>
      <c r="O870" t="s">
        <v>53</v>
      </c>
      <c r="P870" t="s">
        <v>54</v>
      </c>
      <c r="Q870" t="s">
        <v>53</v>
      </c>
      <c r="R870" t="s">
        <v>53</v>
      </c>
      <c r="S870" t="s">
        <v>1068</v>
      </c>
      <c r="T870" t="s">
        <v>1069</v>
      </c>
      <c r="U870" t="s">
        <v>53</v>
      </c>
      <c r="V870" t="s">
        <v>51</v>
      </c>
      <c r="W870">
        <v>100000</v>
      </c>
      <c r="X870" t="s">
        <v>54</v>
      </c>
      <c r="AA870">
        <v>1123</v>
      </c>
      <c r="AB870">
        <v>1095</v>
      </c>
      <c r="AC870">
        <v>238</v>
      </c>
      <c r="AD870">
        <v>1477</v>
      </c>
      <c r="AE870">
        <v>1508</v>
      </c>
      <c r="AF870">
        <v>3</v>
      </c>
      <c r="AH870">
        <v>7.4649877548217773</v>
      </c>
      <c r="AK870" t="s">
        <v>53</v>
      </c>
      <c r="AL870" t="s">
        <v>53</v>
      </c>
      <c r="AP870" t="s">
        <v>5451</v>
      </c>
      <c r="AQ870" t="s">
        <v>54</v>
      </c>
      <c r="AT870" t="s">
        <v>1044</v>
      </c>
      <c r="AW870" t="s">
        <v>53</v>
      </c>
      <c r="AZ870" t="s">
        <v>54</v>
      </c>
      <c r="BA870" t="s">
        <v>729</v>
      </c>
    </row>
    <row r="871" spans="1:53" x14ac:dyDescent="0.25">
      <c r="A871">
        <v>866</v>
      </c>
      <c r="B871" t="s">
        <v>1149</v>
      </c>
      <c r="C871" t="s">
        <v>1150</v>
      </c>
      <c r="D871" t="s">
        <v>1151</v>
      </c>
      <c r="E871">
        <v>6</v>
      </c>
      <c r="F871" t="s">
        <v>719</v>
      </c>
      <c r="G871" t="s">
        <v>1097</v>
      </c>
      <c r="H871" t="s">
        <v>795</v>
      </c>
      <c r="I871" t="s">
        <v>1004</v>
      </c>
      <c r="J871" t="s">
        <v>1005</v>
      </c>
      <c r="K871" t="s">
        <v>1006</v>
      </c>
      <c r="L871" t="s">
        <v>725</v>
      </c>
      <c r="M871">
        <v>52.888210296630859</v>
      </c>
      <c r="N871" t="s">
        <v>53</v>
      </c>
      <c r="O871" t="s">
        <v>53</v>
      </c>
      <c r="P871" t="s">
        <v>54</v>
      </c>
      <c r="Q871" t="s">
        <v>53</v>
      </c>
      <c r="R871" t="s">
        <v>53</v>
      </c>
      <c r="S871" t="s">
        <v>1098</v>
      </c>
      <c r="T871" t="s">
        <v>1118</v>
      </c>
      <c r="U871" t="s">
        <v>53</v>
      </c>
      <c r="V871" t="s">
        <v>51</v>
      </c>
      <c r="W871">
        <v>580000</v>
      </c>
      <c r="X871" t="s">
        <v>54</v>
      </c>
      <c r="AA871">
        <v>5251</v>
      </c>
      <c r="AB871">
        <v>4835</v>
      </c>
      <c r="AC871">
        <v>11187</v>
      </c>
      <c r="AD871">
        <v>13675</v>
      </c>
      <c r="AE871">
        <v>20978</v>
      </c>
      <c r="AF871">
        <v>25</v>
      </c>
      <c r="AG871">
        <v>2</v>
      </c>
      <c r="AH871">
        <v>104.5637283325195</v>
      </c>
      <c r="AI871">
        <v>2</v>
      </c>
      <c r="AJ871">
        <v>1308.191162109375</v>
      </c>
      <c r="AK871" t="s">
        <v>53</v>
      </c>
      <c r="AL871" t="s">
        <v>53</v>
      </c>
      <c r="AP871" t="s">
        <v>5451</v>
      </c>
      <c r="AQ871" t="s">
        <v>54</v>
      </c>
      <c r="AT871" t="s">
        <v>1044</v>
      </c>
      <c r="AW871" t="s">
        <v>53</v>
      </c>
      <c r="AZ871" t="s">
        <v>54</v>
      </c>
      <c r="BA871" t="s">
        <v>729</v>
      </c>
    </row>
    <row r="872" spans="1:53" x14ac:dyDescent="0.25">
      <c r="A872">
        <v>867</v>
      </c>
      <c r="B872" t="s">
        <v>1152</v>
      </c>
      <c r="C872" t="s">
        <v>1153</v>
      </c>
      <c r="D872" t="s">
        <v>1154</v>
      </c>
      <c r="E872">
        <v>6</v>
      </c>
      <c r="F872" t="s">
        <v>719</v>
      </c>
      <c r="G872" t="s">
        <v>1155</v>
      </c>
      <c r="H872" t="s">
        <v>1156</v>
      </c>
      <c r="I872" t="s">
        <v>1157</v>
      </c>
      <c r="J872" t="s">
        <v>1158</v>
      </c>
      <c r="K872" t="s">
        <v>1159</v>
      </c>
      <c r="L872" t="s">
        <v>725</v>
      </c>
      <c r="M872">
        <v>798.8736572265625</v>
      </c>
      <c r="N872" t="s">
        <v>53</v>
      </c>
      <c r="O872" t="s">
        <v>53</v>
      </c>
      <c r="P872" t="s">
        <v>54</v>
      </c>
      <c r="Q872" t="s">
        <v>53</v>
      </c>
      <c r="R872" t="s">
        <v>53</v>
      </c>
      <c r="S872" t="s">
        <v>1160</v>
      </c>
      <c r="T872" t="s">
        <v>1161</v>
      </c>
      <c r="U872" t="s">
        <v>53</v>
      </c>
      <c r="V872" t="s">
        <v>51</v>
      </c>
      <c r="W872">
        <v>750000</v>
      </c>
      <c r="X872" t="s">
        <v>54</v>
      </c>
      <c r="AA872">
        <v>145</v>
      </c>
      <c r="AB872">
        <v>76</v>
      </c>
      <c r="AC872">
        <v>50</v>
      </c>
      <c r="AD872">
        <v>95</v>
      </c>
      <c r="AE872">
        <v>120</v>
      </c>
      <c r="AF872">
        <v>0</v>
      </c>
      <c r="AG872">
        <v>1</v>
      </c>
      <c r="AH872">
        <v>10.806294441223139</v>
      </c>
      <c r="AI872">
        <v>1</v>
      </c>
      <c r="AJ872">
        <v>151.27351379394531</v>
      </c>
      <c r="AK872" t="s">
        <v>53</v>
      </c>
      <c r="AL872" t="s">
        <v>53</v>
      </c>
      <c r="AP872" t="s">
        <v>5451</v>
      </c>
      <c r="AQ872" t="s">
        <v>54</v>
      </c>
      <c r="AT872" t="s">
        <v>1162</v>
      </c>
      <c r="AW872" t="s">
        <v>53</v>
      </c>
      <c r="AZ872" t="s">
        <v>54</v>
      </c>
      <c r="BA872" t="s">
        <v>729</v>
      </c>
    </row>
    <row r="873" spans="1:53" x14ac:dyDescent="0.25">
      <c r="A873">
        <v>868</v>
      </c>
      <c r="B873" t="s">
        <v>1163</v>
      </c>
      <c r="C873" t="s">
        <v>1164</v>
      </c>
      <c r="D873" t="s">
        <v>1165</v>
      </c>
      <c r="E873">
        <v>6</v>
      </c>
      <c r="F873" t="s">
        <v>719</v>
      </c>
      <c r="G873" t="s">
        <v>1166</v>
      </c>
      <c r="H873" t="s">
        <v>795</v>
      </c>
      <c r="I873" t="s">
        <v>1004</v>
      </c>
      <c r="J873" t="s">
        <v>1005</v>
      </c>
      <c r="K873" t="s">
        <v>1006</v>
      </c>
      <c r="L873" t="s">
        <v>725</v>
      </c>
      <c r="M873">
        <v>1.907837986946106</v>
      </c>
      <c r="N873" t="s">
        <v>53</v>
      </c>
      <c r="O873" t="s">
        <v>53</v>
      </c>
      <c r="P873" t="s">
        <v>54</v>
      </c>
      <c r="Q873" t="s">
        <v>53</v>
      </c>
      <c r="R873" t="s">
        <v>53</v>
      </c>
      <c r="S873" t="s">
        <v>1167</v>
      </c>
      <c r="T873" t="s">
        <v>1168</v>
      </c>
      <c r="U873" t="s">
        <v>53</v>
      </c>
      <c r="V873" t="s">
        <v>51</v>
      </c>
      <c r="W873">
        <v>100000</v>
      </c>
      <c r="X873" t="s">
        <v>54</v>
      </c>
      <c r="AA873">
        <v>562</v>
      </c>
      <c r="AB873">
        <v>425</v>
      </c>
      <c r="AC873">
        <v>2792</v>
      </c>
      <c r="AD873">
        <v>1150</v>
      </c>
      <c r="AE873">
        <v>3492</v>
      </c>
      <c r="AF873">
        <v>7</v>
      </c>
      <c r="AH873">
        <v>12.005941390991209</v>
      </c>
      <c r="AJ873">
        <v>0.72296905517578125</v>
      </c>
      <c r="AK873" t="s">
        <v>53</v>
      </c>
      <c r="AL873" t="s">
        <v>53</v>
      </c>
      <c r="AP873" t="s">
        <v>5451</v>
      </c>
      <c r="AQ873" t="s">
        <v>54</v>
      </c>
      <c r="AT873" t="s">
        <v>1044</v>
      </c>
      <c r="AW873" t="s">
        <v>53</v>
      </c>
      <c r="AZ873" t="s">
        <v>54</v>
      </c>
      <c r="BA873" t="s">
        <v>729</v>
      </c>
    </row>
    <row r="874" spans="1:53" x14ac:dyDescent="0.25">
      <c r="A874">
        <v>869</v>
      </c>
      <c r="B874" t="s">
        <v>1173</v>
      </c>
      <c r="C874" t="s">
        <v>1174</v>
      </c>
      <c r="D874" t="s">
        <v>1175</v>
      </c>
      <c r="E874">
        <v>6</v>
      </c>
      <c r="F874" t="s">
        <v>719</v>
      </c>
      <c r="G874" t="s">
        <v>276</v>
      </c>
      <c r="H874" t="s">
        <v>795</v>
      </c>
      <c r="I874" t="s">
        <v>796</v>
      </c>
      <c r="J874" t="s">
        <v>797</v>
      </c>
      <c r="K874" t="s">
        <v>798</v>
      </c>
      <c r="L874" t="s">
        <v>725</v>
      </c>
      <c r="M874">
        <v>2.598058938980103</v>
      </c>
      <c r="N874" t="s">
        <v>53</v>
      </c>
      <c r="O874" t="s">
        <v>53</v>
      </c>
      <c r="P874" t="s">
        <v>54</v>
      </c>
      <c r="Q874" t="s">
        <v>53</v>
      </c>
      <c r="R874" t="s">
        <v>53</v>
      </c>
      <c r="S874" t="s">
        <v>885</v>
      </c>
      <c r="T874" t="s">
        <v>886</v>
      </c>
      <c r="U874" t="s">
        <v>53</v>
      </c>
      <c r="V874" t="s">
        <v>51</v>
      </c>
      <c r="W874">
        <v>200000</v>
      </c>
      <c r="X874" t="s">
        <v>54</v>
      </c>
      <c r="AA874">
        <v>41</v>
      </c>
      <c r="AB874">
        <v>37</v>
      </c>
      <c r="AC874">
        <v>3</v>
      </c>
      <c r="AD874">
        <v>39</v>
      </c>
      <c r="AE874">
        <v>39</v>
      </c>
      <c r="AF874">
        <v>0</v>
      </c>
      <c r="AG874">
        <v>0</v>
      </c>
      <c r="AH874">
        <v>0.21681888401508331</v>
      </c>
      <c r="AI874">
        <v>0</v>
      </c>
      <c r="AJ874">
        <v>1.2274031639099121</v>
      </c>
      <c r="AK874" t="s">
        <v>53</v>
      </c>
      <c r="AL874" t="s">
        <v>53</v>
      </c>
      <c r="AP874" t="s">
        <v>5451</v>
      </c>
      <c r="AQ874" t="s">
        <v>54</v>
      </c>
      <c r="AT874" t="s">
        <v>1176</v>
      </c>
      <c r="AW874" t="s">
        <v>53</v>
      </c>
      <c r="AZ874" t="s">
        <v>54</v>
      </c>
      <c r="BA874" t="s">
        <v>729</v>
      </c>
    </row>
    <row r="875" spans="1:53" x14ac:dyDescent="0.25">
      <c r="A875">
        <v>870</v>
      </c>
      <c r="B875" t="s">
        <v>1177</v>
      </c>
      <c r="C875" t="s">
        <v>1178</v>
      </c>
      <c r="D875" t="s">
        <v>1179</v>
      </c>
      <c r="E875">
        <v>6</v>
      </c>
      <c r="F875" t="s">
        <v>719</v>
      </c>
      <c r="G875" t="s">
        <v>1166</v>
      </c>
      <c r="H875" t="s">
        <v>795</v>
      </c>
      <c r="I875" t="s">
        <v>1004</v>
      </c>
      <c r="J875" t="s">
        <v>1005</v>
      </c>
      <c r="K875" t="s">
        <v>1006</v>
      </c>
      <c r="L875" t="s">
        <v>789</v>
      </c>
      <c r="M875">
        <v>1.907837986946106</v>
      </c>
      <c r="N875" t="s">
        <v>53</v>
      </c>
      <c r="O875" t="s">
        <v>53</v>
      </c>
      <c r="P875" t="s">
        <v>54</v>
      </c>
      <c r="Q875" t="s">
        <v>53</v>
      </c>
      <c r="R875" t="s">
        <v>53</v>
      </c>
      <c r="S875" t="s">
        <v>1167</v>
      </c>
      <c r="T875" t="s">
        <v>1168</v>
      </c>
      <c r="U875" t="s">
        <v>53</v>
      </c>
      <c r="V875" t="s">
        <v>791</v>
      </c>
      <c r="W875">
        <v>190000</v>
      </c>
      <c r="X875" t="s">
        <v>54</v>
      </c>
      <c r="AA875">
        <v>562</v>
      </c>
      <c r="AB875">
        <v>425</v>
      </c>
      <c r="AC875">
        <v>2792</v>
      </c>
      <c r="AD875">
        <v>1150</v>
      </c>
      <c r="AE875">
        <v>3492</v>
      </c>
      <c r="AF875">
        <v>7</v>
      </c>
      <c r="AH875">
        <v>12.005941390991209</v>
      </c>
      <c r="AJ875">
        <v>0.72296905517578125</v>
      </c>
      <c r="AK875" t="s">
        <v>53</v>
      </c>
      <c r="AL875" t="s">
        <v>53</v>
      </c>
      <c r="AP875" t="s">
        <v>5451</v>
      </c>
      <c r="AQ875" t="s">
        <v>54</v>
      </c>
      <c r="AT875" t="s">
        <v>1044</v>
      </c>
      <c r="AW875" t="s">
        <v>53</v>
      </c>
      <c r="AZ875" t="s">
        <v>54</v>
      </c>
      <c r="BA875" t="s">
        <v>729</v>
      </c>
    </row>
    <row r="876" spans="1:53" x14ac:dyDescent="0.25">
      <c r="A876">
        <v>871</v>
      </c>
      <c r="B876" t="s">
        <v>1180</v>
      </c>
      <c r="C876" t="s">
        <v>1181</v>
      </c>
      <c r="D876" t="s">
        <v>1182</v>
      </c>
      <c r="E876">
        <v>6</v>
      </c>
      <c r="F876" t="s">
        <v>719</v>
      </c>
      <c r="G876" t="s">
        <v>1047</v>
      </c>
      <c r="H876" t="s">
        <v>1048</v>
      </c>
      <c r="I876" t="s">
        <v>1049</v>
      </c>
      <c r="J876" t="s">
        <v>1050</v>
      </c>
      <c r="K876" t="s">
        <v>1051</v>
      </c>
      <c r="L876" t="s">
        <v>789</v>
      </c>
      <c r="M876">
        <v>515.94830322265625</v>
      </c>
      <c r="N876" t="s">
        <v>53</v>
      </c>
      <c r="O876" t="s">
        <v>53</v>
      </c>
      <c r="P876" t="s">
        <v>54</v>
      </c>
      <c r="Q876" t="s">
        <v>53</v>
      </c>
      <c r="R876" t="s">
        <v>53</v>
      </c>
      <c r="S876" t="s">
        <v>1053</v>
      </c>
      <c r="T876" t="s">
        <v>1183</v>
      </c>
      <c r="U876" t="s">
        <v>53</v>
      </c>
      <c r="V876" t="s">
        <v>791</v>
      </c>
      <c r="W876">
        <v>1160000</v>
      </c>
      <c r="X876" t="s">
        <v>54</v>
      </c>
      <c r="Y876" t="s">
        <v>3982</v>
      </c>
      <c r="Z876">
        <v>290000</v>
      </c>
      <c r="AA876">
        <v>1067</v>
      </c>
      <c r="AB876">
        <v>708</v>
      </c>
      <c r="AC876">
        <v>1171</v>
      </c>
      <c r="AD876">
        <v>1859</v>
      </c>
      <c r="AE876">
        <v>2410</v>
      </c>
      <c r="AF876">
        <v>6</v>
      </c>
      <c r="AG876">
        <v>19</v>
      </c>
      <c r="AH876">
        <v>40.913829803466797</v>
      </c>
      <c r="AI876">
        <v>19</v>
      </c>
      <c r="AJ876">
        <v>1357.317260742188</v>
      </c>
      <c r="AK876" t="s">
        <v>53</v>
      </c>
      <c r="AL876" t="s">
        <v>53</v>
      </c>
      <c r="AP876" t="s">
        <v>5451</v>
      </c>
      <c r="AQ876" t="s">
        <v>54</v>
      </c>
      <c r="AT876" t="s">
        <v>1055</v>
      </c>
      <c r="AW876" t="s">
        <v>53</v>
      </c>
      <c r="AZ876" t="s">
        <v>54</v>
      </c>
      <c r="BA876" t="s">
        <v>729</v>
      </c>
    </row>
    <row r="877" spans="1:53" x14ac:dyDescent="0.25">
      <c r="A877">
        <v>872</v>
      </c>
      <c r="B877" t="s">
        <v>1184</v>
      </c>
      <c r="C877" t="s">
        <v>1185</v>
      </c>
      <c r="D877" t="s">
        <v>1186</v>
      </c>
      <c r="E877">
        <v>6</v>
      </c>
      <c r="F877" t="s">
        <v>719</v>
      </c>
      <c r="G877" t="s">
        <v>891</v>
      </c>
      <c r="H877" t="s">
        <v>795</v>
      </c>
      <c r="I877" t="s">
        <v>871</v>
      </c>
      <c r="J877" t="s">
        <v>872</v>
      </c>
      <c r="K877" t="s">
        <v>873</v>
      </c>
      <c r="L877" t="s">
        <v>725</v>
      </c>
      <c r="M877">
        <v>664.94830322265625</v>
      </c>
      <c r="N877" t="s">
        <v>53</v>
      </c>
      <c r="O877" t="s">
        <v>53</v>
      </c>
      <c r="P877" t="s">
        <v>54</v>
      </c>
      <c r="Q877" t="s">
        <v>53</v>
      </c>
      <c r="R877" t="s">
        <v>53</v>
      </c>
      <c r="S877" t="s">
        <v>1122</v>
      </c>
      <c r="T877" t="s">
        <v>1122</v>
      </c>
      <c r="U877" t="s">
        <v>53</v>
      </c>
      <c r="V877" t="s">
        <v>51</v>
      </c>
      <c r="W877">
        <v>1590000</v>
      </c>
      <c r="X877" t="s">
        <v>54</v>
      </c>
      <c r="AA877">
        <v>48570</v>
      </c>
      <c r="AB877">
        <v>42185</v>
      </c>
      <c r="AC877">
        <v>100002</v>
      </c>
      <c r="AD877">
        <v>102755</v>
      </c>
      <c r="AE877">
        <v>171395</v>
      </c>
      <c r="AF877">
        <v>681</v>
      </c>
      <c r="AG877">
        <v>30</v>
      </c>
      <c r="AH877">
        <v>910.35089111328125</v>
      </c>
      <c r="AI877">
        <v>30</v>
      </c>
      <c r="AJ877">
        <v>3412.02490234375</v>
      </c>
      <c r="AK877" t="s">
        <v>53</v>
      </c>
      <c r="AL877" t="s">
        <v>53</v>
      </c>
      <c r="AP877" t="s">
        <v>5451</v>
      </c>
      <c r="AQ877" t="s">
        <v>54</v>
      </c>
      <c r="AT877" t="s">
        <v>1044</v>
      </c>
      <c r="AW877" t="s">
        <v>53</v>
      </c>
      <c r="AZ877" t="s">
        <v>54</v>
      </c>
      <c r="BA877" t="s">
        <v>729</v>
      </c>
    </row>
    <row r="878" spans="1:53" x14ac:dyDescent="0.25">
      <c r="A878">
        <v>873</v>
      </c>
      <c r="B878" t="s">
        <v>1190</v>
      </c>
      <c r="C878" t="s">
        <v>1185</v>
      </c>
      <c r="D878" t="s">
        <v>1186</v>
      </c>
      <c r="E878">
        <v>6</v>
      </c>
      <c r="F878" t="s">
        <v>719</v>
      </c>
      <c r="G878" t="s">
        <v>1059</v>
      </c>
      <c r="H878" t="s">
        <v>1082</v>
      </c>
      <c r="I878" t="s">
        <v>1191</v>
      </c>
      <c r="J878" t="s">
        <v>1192</v>
      </c>
      <c r="K878" t="s">
        <v>1193</v>
      </c>
      <c r="L878" t="s">
        <v>725</v>
      </c>
      <c r="M878">
        <v>1.908585786819458</v>
      </c>
      <c r="N878" t="s">
        <v>53</v>
      </c>
      <c r="O878" t="s">
        <v>53</v>
      </c>
      <c r="P878" t="s">
        <v>54</v>
      </c>
      <c r="Q878" t="s">
        <v>53</v>
      </c>
      <c r="R878" t="s">
        <v>53</v>
      </c>
      <c r="S878" t="s">
        <v>1122</v>
      </c>
      <c r="T878" t="s">
        <v>1194</v>
      </c>
      <c r="U878" t="s">
        <v>53</v>
      </c>
      <c r="V878" t="s">
        <v>51</v>
      </c>
      <c r="W878">
        <v>190000</v>
      </c>
      <c r="X878" t="s">
        <v>54</v>
      </c>
      <c r="AA878">
        <v>52</v>
      </c>
      <c r="AB878">
        <v>37</v>
      </c>
      <c r="AC878">
        <v>14</v>
      </c>
      <c r="AD878">
        <v>42</v>
      </c>
      <c r="AE878">
        <v>44</v>
      </c>
      <c r="AF878">
        <v>0</v>
      </c>
      <c r="AH878">
        <v>3.3015956878662109</v>
      </c>
      <c r="AJ878">
        <v>6.1741275787353516</v>
      </c>
      <c r="AK878" t="s">
        <v>53</v>
      </c>
      <c r="AL878" t="s">
        <v>53</v>
      </c>
      <c r="AP878" t="s">
        <v>5451</v>
      </c>
      <c r="AQ878" t="s">
        <v>54</v>
      </c>
      <c r="AT878" t="s">
        <v>1044</v>
      </c>
      <c r="AW878" t="s">
        <v>53</v>
      </c>
      <c r="AZ878" t="s">
        <v>54</v>
      </c>
      <c r="BA878" t="s">
        <v>729</v>
      </c>
    </row>
    <row r="879" spans="1:53" x14ac:dyDescent="0.25">
      <c r="A879">
        <v>874</v>
      </c>
      <c r="B879" t="s">
        <v>1195</v>
      </c>
      <c r="C879" t="s">
        <v>1185</v>
      </c>
      <c r="D879" t="s">
        <v>1186</v>
      </c>
      <c r="E879">
        <v>6</v>
      </c>
      <c r="F879" t="s">
        <v>719</v>
      </c>
      <c r="G879" t="s">
        <v>1097</v>
      </c>
      <c r="H879" t="s">
        <v>795</v>
      </c>
      <c r="I879" t="s">
        <v>849</v>
      </c>
      <c r="J879" t="s">
        <v>850</v>
      </c>
      <c r="K879" t="s">
        <v>851</v>
      </c>
      <c r="L879" t="s">
        <v>725</v>
      </c>
      <c r="M879">
        <v>0.71043217182159424</v>
      </c>
      <c r="N879" t="s">
        <v>53</v>
      </c>
      <c r="O879" t="s">
        <v>53</v>
      </c>
      <c r="P879" t="s">
        <v>54</v>
      </c>
      <c r="Q879" t="s">
        <v>53</v>
      </c>
      <c r="R879" t="s">
        <v>53</v>
      </c>
      <c r="S879" t="s">
        <v>1171</v>
      </c>
      <c r="T879" t="s">
        <v>1196</v>
      </c>
      <c r="U879" t="s">
        <v>53</v>
      </c>
      <c r="V879" t="s">
        <v>51</v>
      </c>
      <c r="W879">
        <v>140000</v>
      </c>
      <c r="X879" t="s">
        <v>54</v>
      </c>
      <c r="AA879">
        <v>633</v>
      </c>
      <c r="AB879">
        <v>529</v>
      </c>
      <c r="AC879">
        <v>2597</v>
      </c>
      <c r="AD879">
        <v>1131</v>
      </c>
      <c r="AE879">
        <v>3407</v>
      </c>
      <c r="AF879">
        <v>4</v>
      </c>
      <c r="AG879">
        <v>0</v>
      </c>
      <c r="AH879">
        <v>8.820770263671875</v>
      </c>
      <c r="AI879">
        <v>0</v>
      </c>
      <c r="AK879" t="s">
        <v>53</v>
      </c>
      <c r="AL879" t="s">
        <v>53</v>
      </c>
      <c r="AP879" t="s">
        <v>5451</v>
      </c>
      <c r="AQ879" t="s">
        <v>54</v>
      </c>
      <c r="AT879" t="s">
        <v>1044</v>
      </c>
      <c r="AW879" t="s">
        <v>53</v>
      </c>
      <c r="AZ879" t="s">
        <v>54</v>
      </c>
      <c r="BA879" t="s">
        <v>729</v>
      </c>
    </row>
    <row r="880" spans="1:53" x14ac:dyDescent="0.25">
      <c r="A880">
        <v>875</v>
      </c>
      <c r="B880" t="s">
        <v>1197</v>
      </c>
      <c r="C880" t="s">
        <v>1185</v>
      </c>
      <c r="D880" t="s">
        <v>1186</v>
      </c>
      <c r="E880">
        <v>6</v>
      </c>
      <c r="F880" t="s">
        <v>719</v>
      </c>
      <c r="G880" t="s">
        <v>891</v>
      </c>
      <c r="H880" t="s">
        <v>795</v>
      </c>
      <c r="I880" t="s">
        <v>1039</v>
      </c>
      <c r="J880" t="s">
        <v>1040</v>
      </c>
      <c r="K880" t="s">
        <v>1041</v>
      </c>
      <c r="L880" t="s">
        <v>725</v>
      </c>
      <c r="M880">
        <v>14.23282623291016</v>
      </c>
      <c r="N880" t="s">
        <v>53</v>
      </c>
      <c r="O880" t="s">
        <v>53</v>
      </c>
      <c r="P880" t="s">
        <v>54</v>
      </c>
      <c r="Q880" t="s">
        <v>53</v>
      </c>
      <c r="R880" t="s">
        <v>53</v>
      </c>
      <c r="S880" t="s">
        <v>1092</v>
      </c>
      <c r="T880" t="s">
        <v>1093</v>
      </c>
      <c r="U880" t="s">
        <v>53</v>
      </c>
      <c r="V880" t="s">
        <v>51</v>
      </c>
      <c r="W880">
        <v>360000</v>
      </c>
      <c r="X880" t="s">
        <v>54</v>
      </c>
      <c r="AA880">
        <v>829</v>
      </c>
      <c r="AB880">
        <v>767</v>
      </c>
      <c r="AC880">
        <v>514</v>
      </c>
      <c r="AD880">
        <v>1455</v>
      </c>
      <c r="AE880">
        <v>1612</v>
      </c>
      <c r="AF880">
        <v>8</v>
      </c>
      <c r="AG880">
        <v>1</v>
      </c>
      <c r="AH880">
        <v>31.114070892333981</v>
      </c>
      <c r="AI880">
        <v>1</v>
      </c>
      <c r="AJ880">
        <v>37.849395751953118</v>
      </c>
      <c r="AK880" t="s">
        <v>53</v>
      </c>
      <c r="AL880" t="s">
        <v>53</v>
      </c>
      <c r="AP880" t="s">
        <v>5451</v>
      </c>
      <c r="AQ880" t="s">
        <v>54</v>
      </c>
      <c r="AT880" t="s">
        <v>1044</v>
      </c>
      <c r="AW880" t="s">
        <v>53</v>
      </c>
      <c r="AZ880" t="s">
        <v>54</v>
      </c>
      <c r="BA880" t="s">
        <v>729</v>
      </c>
    </row>
    <row r="881" spans="1:53" x14ac:dyDescent="0.25">
      <c r="A881">
        <v>876</v>
      </c>
      <c r="B881" t="s">
        <v>1198</v>
      </c>
      <c r="C881" t="s">
        <v>883</v>
      </c>
      <c r="D881" t="s">
        <v>1199</v>
      </c>
      <c r="E881">
        <v>6</v>
      </c>
      <c r="F881" t="s">
        <v>719</v>
      </c>
      <c r="G881" t="s">
        <v>276</v>
      </c>
      <c r="H881" t="s">
        <v>795</v>
      </c>
      <c r="I881" t="s">
        <v>796</v>
      </c>
      <c r="J881" t="s">
        <v>797</v>
      </c>
      <c r="K881" t="s">
        <v>798</v>
      </c>
      <c r="L881" t="s">
        <v>725</v>
      </c>
      <c r="M881">
        <v>2.598058938980103</v>
      </c>
      <c r="N881" t="s">
        <v>53</v>
      </c>
      <c r="O881" t="s">
        <v>53</v>
      </c>
      <c r="P881" t="s">
        <v>54</v>
      </c>
      <c r="Q881" t="s">
        <v>53</v>
      </c>
      <c r="R881" t="s">
        <v>53</v>
      </c>
      <c r="S881" t="s">
        <v>885</v>
      </c>
      <c r="T881" t="s">
        <v>886</v>
      </c>
      <c r="U881" t="s">
        <v>53</v>
      </c>
      <c r="V881" t="s">
        <v>51</v>
      </c>
      <c r="W881">
        <v>520000</v>
      </c>
      <c r="X881" t="s">
        <v>54</v>
      </c>
      <c r="AA881">
        <v>41</v>
      </c>
      <c r="AB881">
        <v>37</v>
      </c>
      <c r="AC881">
        <v>3</v>
      </c>
      <c r="AD881">
        <v>39</v>
      </c>
      <c r="AE881">
        <v>39</v>
      </c>
      <c r="AF881">
        <v>0</v>
      </c>
      <c r="AG881">
        <v>0</v>
      </c>
      <c r="AH881">
        <v>0.21681888401508331</v>
      </c>
      <c r="AI881">
        <v>0</v>
      </c>
      <c r="AJ881">
        <v>1.2274031639099121</v>
      </c>
      <c r="AK881" t="s">
        <v>53</v>
      </c>
      <c r="AL881" t="s">
        <v>53</v>
      </c>
      <c r="AP881" t="s">
        <v>5451</v>
      </c>
      <c r="AQ881" t="s">
        <v>54</v>
      </c>
      <c r="AT881" t="s">
        <v>1176</v>
      </c>
      <c r="AW881" t="s">
        <v>53</v>
      </c>
      <c r="AZ881" t="s">
        <v>54</v>
      </c>
      <c r="BA881" t="s">
        <v>729</v>
      </c>
    </row>
    <row r="882" spans="1:53" x14ac:dyDescent="0.25">
      <c r="A882">
        <v>877</v>
      </c>
      <c r="B882" t="s">
        <v>1200</v>
      </c>
      <c r="C882" t="s">
        <v>1201</v>
      </c>
      <c r="D882" t="s">
        <v>1202</v>
      </c>
      <c r="E882">
        <v>6</v>
      </c>
      <c r="F882" t="s">
        <v>719</v>
      </c>
      <c r="G882" t="s">
        <v>1059</v>
      </c>
      <c r="H882" t="s">
        <v>1082</v>
      </c>
      <c r="I882" t="s">
        <v>1191</v>
      </c>
      <c r="J882" t="s">
        <v>1192</v>
      </c>
      <c r="K882" t="s">
        <v>1193</v>
      </c>
      <c r="L882" t="s">
        <v>725</v>
      </c>
      <c r="M882">
        <v>1.908585786819458</v>
      </c>
      <c r="N882" t="s">
        <v>54</v>
      </c>
      <c r="O882" t="s">
        <v>53</v>
      </c>
      <c r="P882" t="s">
        <v>53</v>
      </c>
      <c r="Q882" t="s">
        <v>53</v>
      </c>
      <c r="R882" t="s">
        <v>53</v>
      </c>
      <c r="S882" t="s">
        <v>1203</v>
      </c>
      <c r="T882" t="s">
        <v>1204</v>
      </c>
      <c r="U882" t="s">
        <v>53</v>
      </c>
      <c r="V882" t="s">
        <v>51</v>
      </c>
      <c r="W882">
        <v>1000000</v>
      </c>
      <c r="X882" t="s">
        <v>54</v>
      </c>
      <c r="AA882">
        <v>52</v>
      </c>
      <c r="AB882">
        <v>37</v>
      </c>
      <c r="AC882">
        <v>14</v>
      </c>
      <c r="AD882">
        <v>42</v>
      </c>
      <c r="AE882">
        <v>44</v>
      </c>
      <c r="AF882">
        <v>0</v>
      </c>
      <c r="AH882">
        <v>3.3015956878662109</v>
      </c>
      <c r="AJ882">
        <v>6.1741275787353516</v>
      </c>
      <c r="AK882" t="s">
        <v>53</v>
      </c>
      <c r="AL882" t="s">
        <v>53</v>
      </c>
      <c r="AP882" t="s">
        <v>5451</v>
      </c>
      <c r="AQ882" t="s">
        <v>54</v>
      </c>
      <c r="AT882" t="s">
        <v>1065</v>
      </c>
      <c r="AW882" t="s">
        <v>53</v>
      </c>
      <c r="AZ882" t="s">
        <v>54</v>
      </c>
      <c r="BA882" t="s">
        <v>729</v>
      </c>
    </row>
    <row r="883" spans="1:53" x14ac:dyDescent="0.25">
      <c r="A883">
        <v>878</v>
      </c>
      <c r="B883" t="s">
        <v>1205</v>
      </c>
      <c r="C883" t="s">
        <v>1206</v>
      </c>
      <c r="D883" t="s">
        <v>1207</v>
      </c>
      <c r="E883">
        <v>6</v>
      </c>
      <c r="F883" t="s">
        <v>719</v>
      </c>
      <c r="G883" t="s">
        <v>1208</v>
      </c>
      <c r="H883" t="s">
        <v>1209</v>
      </c>
      <c r="I883" t="s">
        <v>1210</v>
      </c>
      <c r="J883" t="s">
        <v>1211</v>
      </c>
      <c r="K883" t="s">
        <v>1212</v>
      </c>
      <c r="L883" t="s">
        <v>725</v>
      </c>
      <c r="M883">
        <v>76.334732055664063</v>
      </c>
      <c r="N883" t="s">
        <v>53</v>
      </c>
      <c r="O883" t="s">
        <v>53</v>
      </c>
      <c r="P883" t="s">
        <v>54</v>
      </c>
      <c r="Q883" t="s">
        <v>53</v>
      </c>
      <c r="R883" t="s">
        <v>53</v>
      </c>
      <c r="S883" t="s">
        <v>1213</v>
      </c>
      <c r="T883" t="s">
        <v>1214</v>
      </c>
      <c r="U883" t="s">
        <v>53</v>
      </c>
      <c r="V883" t="s">
        <v>51</v>
      </c>
      <c r="W883">
        <v>130000</v>
      </c>
      <c r="X883" t="s">
        <v>54</v>
      </c>
      <c r="AA883">
        <v>1169</v>
      </c>
      <c r="AB883">
        <v>1023</v>
      </c>
      <c r="AC883">
        <v>424</v>
      </c>
      <c r="AD883">
        <v>1883</v>
      </c>
      <c r="AE883">
        <v>1900</v>
      </c>
      <c r="AF883">
        <v>0</v>
      </c>
      <c r="AG883">
        <v>2</v>
      </c>
      <c r="AH883">
        <v>10.22247982025146</v>
      </c>
      <c r="AI883">
        <v>2</v>
      </c>
      <c r="AJ883">
        <v>25.45767974853516</v>
      </c>
      <c r="AK883" t="s">
        <v>53</v>
      </c>
      <c r="AL883" t="s">
        <v>53</v>
      </c>
      <c r="AP883" t="s">
        <v>5451</v>
      </c>
      <c r="AQ883" t="s">
        <v>54</v>
      </c>
      <c r="AT883" t="s">
        <v>1088</v>
      </c>
      <c r="AW883" t="s">
        <v>53</v>
      </c>
      <c r="AZ883" t="s">
        <v>54</v>
      </c>
      <c r="BA883" t="s">
        <v>729</v>
      </c>
    </row>
    <row r="884" spans="1:53" x14ac:dyDescent="0.25">
      <c r="A884">
        <v>879</v>
      </c>
      <c r="B884" t="s">
        <v>1215</v>
      </c>
      <c r="C884" t="s">
        <v>1216</v>
      </c>
      <c r="D884" t="s">
        <v>1217</v>
      </c>
      <c r="E884">
        <v>6</v>
      </c>
      <c r="F884" t="s">
        <v>719</v>
      </c>
      <c r="G884" t="s">
        <v>1097</v>
      </c>
      <c r="H884" t="s">
        <v>795</v>
      </c>
      <c r="I884" t="s">
        <v>1004</v>
      </c>
      <c r="J884" t="s">
        <v>1005</v>
      </c>
      <c r="K884" t="s">
        <v>1006</v>
      </c>
      <c r="L884" t="s">
        <v>725</v>
      </c>
      <c r="M884">
        <v>52.888210296630859</v>
      </c>
      <c r="N884" t="s">
        <v>53</v>
      </c>
      <c r="O884" t="s">
        <v>53</v>
      </c>
      <c r="P884" t="s">
        <v>54</v>
      </c>
      <c r="Q884" t="s">
        <v>53</v>
      </c>
      <c r="R884" t="s">
        <v>53</v>
      </c>
      <c r="S884" t="s">
        <v>1098</v>
      </c>
      <c r="T884" t="s">
        <v>1118</v>
      </c>
      <c r="U884" t="s">
        <v>53</v>
      </c>
      <c r="V884" t="s">
        <v>51</v>
      </c>
      <c r="W884">
        <v>50000</v>
      </c>
      <c r="X884" t="s">
        <v>54</v>
      </c>
      <c r="AA884">
        <v>5251</v>
      </c>
      <c r="AB884">
        <v>4835</v>
      </c>
      <c r="AC884">
        <v>11187</v>
      </c>
      <c r="AD884">
        <v>13675</v>
      </c>
      <c r="AE884">
        <v>20978</v>
      </c>
      <c r="AF884">
        <v>25</v>
      </c>
      <c r="AG884">
        <v>2</v>
      </c>
      <c r="AH884">
        <v>104.5637283325195</v>
      </c>
      <c r="AI884">
        <v>2</v>
      </c>
      <c r="AJ884">
        <v>1308.191162109375</v>
      </c>
      <c r="AK884" t="s">
        <v>53</v>
      </c>
      <c r="AL884" t="s">
        <v>53</v>
      </c>
      <c r="AP884" t="s">
        <v>5451</v>
      </c>
      <c r="AQ884" t="s">
        <v>54</v>
      </c>
      <c r="AT884" t="s">
        <v>1044</v>
      </c>
      <c r="AW884" t="s">
        <v>53</v>
      </c>
      <c r="AZ884" t="s">
        <v>54</v>
      </c>
      <c r="BA884" t="s">
        <v>729</v>
      </c>
    </row>
    <row r="885" spans="1:53" x14ac:dyDescent="0.25">
      <c r="A885">
        <v>880</v>
      </c>
      <c r="B885" t="s">
        <v>1219</v>
      </c>
      <c r="C885" t="s">
        <v>1220</v>
      </c>
      <c r="D885" t="s">
        <v>1221</v>
      </c>
      <c r="E885">
        <v>6</v>
      </c>
      <c r="F885" t="s">
        <v>719</v>
      </c>
      <c r="G885" t="s">
        <v>891</v>
      </c>
      <c r="H885" t="s">
        <v>795</v>
      </c>
      <c r="I885" t="s">
        <v>1222</v>
      </c>
      <c r="J885" t="s">
        <v>1223</v>
      </c>
      <c r="K885" t="s">
        <v>1224</v>
      </c>
      <c r="L885" t="s">
        <v>725</v>
      </c>
      <c r="M885">
        <v>17.035295486450199</v>
      </c>
      <c r="N885" t="s">
        <v>53</v>
      </c>
      <c r="O885" t="s">
        <v>53</v>
      </c>
      <c r="P885" t="s">
        <v>54</v>
      </c>
      <c r="Q885" t="s">
        <v>53</v>
      </c>
      <c r="R885" t="s">
        <v>53</v>
      </c>
      <c r="S885" t="s">
        <v>1225</v>
      </c>
      <c r="T885" t="s">
        <v>1226</v>
      </c>
      <c r="U885" t="s">
        <v>53</v>
      </c>
      <c r="V885" t="s">
        <v>51</v>
      </c>
      <c r="W885">
        <v>300000</v>
      </c>
      <c r="X885" t="s">
        <v>54</v>
      </c>
      <c r="AA885">
        <v>400</v>
      </c>
      <c r="AB885">
        <v>306</v>
      </c>
      <c r="AC885">
        <v>227</v>
      </c>
      <c r="AD885">
        <v>748</v>
      </c>
      <c r="AE885">
        <v>798</v>
      </c>
      <c r="AF885">
        <v>1</v>
      </c>
      <c r="AG885">
        <v>9</v>
      </c>
      <c r="AH885">
        <v>4.122429370880127</v>
      </c>
      <c r="AI885">
        <v>9</v>
      </c>
      <c r="AJ885">
        <v>12.12156867980957</v>
      </c>
      <c r="AK885" t="s">
        <v>53</v>
      </c>
      <c r="AL885" t="s">
        <v>53</v>
      </c>
      <c r="AP885" t="s">
        <v>5451</v>
      </c>
      <c r="AQ885" t="s">
        <v>54</v>
      </c>
      <c r="AT885" t="s">
        <v>1044</v>
      </c>
      <c r="AW885" t="s">
        <v>53</v>
      </c>
      <c r="AZ885" t="s">
        <v>54</v>
      </c>
      <c r="BA885" t="s">
        <v>729</v>
      </c>
    </row>
    <row r="886" spans="1:53" x14ac:dyDescent="0.25">
      <c r="A886">
        <v>881</v>
      </c>
      <c r="B886" t="s">
        <v>1227</v>
      </c>
      <c r="C886" t="s">
        <v>1228</v>
      </c>
      <c r="D886" t="s">
        <v>1229</v>
      </c>
      <c r="E886">
        <v>6</v>
      </c>
      <c r="F886" t="s">
        <v>719</v>
      </c>
      <c r="G886" t="s">
        <v>1073</v>
      </c>
      <c r="H886" t="s">
        <v>806</v>
      </c>
      <c r="I886" t="s">
        <v>1074</v>
      </c>
      <c r="J886" t="s">
        <v>1075</v>
      </c>
      <c r="K886" t="s">
        <v>1076</v>
      </c>
      <c r="L886" t="s">
        <v>725</v>
      </c>
      <c r="M886">
        <v>14.521249771118161</v>
      </c>
      <c r="N886" t="s">
        <v>53</v>
      </c>
      <c r="O886" t="s">
        <v>53</v>
      </c>
      <c r="P886" t="s">
        <v>54</v>
      </c>
      <c r="Q886" t="s">
        <v>53</v>
      </c>
      <c r="R886" t="s">
        <v>53</v>
      </c>
      <c r="S886" t="s">
        <v>1053</v>
      </c>
      <c r="T886" t="s">
        <v>1230</v>
      </c>
      <c r="U886" t="s">
        <v>53</v>
      </c>
      <c r="V886" t="s">
        <v>51</v>
      </c>
      <c r="W886">
        <v>180000</v>
      </c>
      <c r="X886" t="s">
        <v>54</v>
      </c>
      <c r="Y886" t="s">
        <v>3982</v>
      </c>
      <c r="Z886">
        <v>45000</v>
      </c>
      <c r="AA886">
        <v>546</v>
      </c>
      <c r="AB886">
        <v>444</v>
      </c>
      <c r="AC886">
        <v>1185</v>
      </c>
      <c r="AD886">
        <v>1445</v>
      </c>
      <c r="AE886">
        <v>2216</v>
      </c>
      <c r="AF886">
        <v>8</v>
      </c>
      <c r="AG886">
        <v>4</v>
      </c>
      <c r="AH886">
        <v>10.02671051025391</v>
      </c>
      <c r="AI886">
        <v>4</v>
      </c>
      <c r="AJ886">
        <v>21.652620315551761</v>
      </c>
      <c r="AK886" t="s">
        <v>53</v>
      </c>
      <c r="AL886" t="s">
        <v>54</v>
      </c>
      <c r="AP886" t="s">
        <v>5451</v>
      </c>
      <c r="AQ886" t="s">
        <v>54</v>
      </c>
      <c r="AT886" t="s">
        <v>1055</v>
      </c>
      <c r="AW886" t="s">
        <v>53</v>
      </c>
      <c r="AZ886" t="s">
        <v>54</v>
      </c>
      <c r="BA886" t="s">
        <v>729</v>
      </c>
    </row>
    <row r="887" spans="1:53" x14ac:dyDescent="0.25">
      <c r="A887">
        <v>882</v>
      </c>
      <c r="B887" t="s">
        <v>1231</v>
      </c>
      <c r="C887" t="s">
        <v>1232</v>
      </c>
      <c r="D887" t="s">
        <v>1233</v>
      </c>
      <c r="E887">
        <v>6</v>
      </c>
      <c r="F887" t="s">
        <v>719</v>
      </c>
      <c r="G887" t="s">
        <v>1081</v>
      </c>
      <c r="H887" t="s">
        <v>721</v>
      </c>
      <c r="I887" t="s">
        <v>734</v>
      </c>
      <c r="J887" t="s">
        <v>1234</v>
      </c>
      <c r="K887" t="s">
        <v>1235</v>
      </c>
      <c r="L887" t="s">
        <v>725</v>
      </c>
      <c r="M887">
        <v>0.28587204217910772</v>
      </c>
      <c r="N887" t="s">
        <v>53</v>
      </c>
      <c r="O887" t="s">
        <v>53</v>
      </c>
      <c r="P887" t="s">
        <v>54</v>
      </c>
      <c r="Q887" t="s">
        <v>53</v>
      </c>
      <c r="R887" t="s">
        <v>53</v>
      </c>
      <c r="S887" t="s">
        <v>1213</v>
      </c>
      <c r="T887" t="s">
        <v>1213</v>
      </c>
      <c r="U887" t="s">
        <v>53</v>
      </c>
      <c r="V887" t="s">
        <v>51</v>
      </c>
      <c r="W887">
        <v>110000</v>
      </c>
      <c r="X887" t="s">
        <v>54</v>
      </c>
      <c r="AA887">
        <v>13</v>
      </c>
      <c r="AB887">
        <v>13</v>
      </c>
      <c r="AC887">
        <v>1</v>
      </c>
      <c r="AD887">
        <v>5</v>
      </c>
      <c r="AE887">
        <v>5</v>
      </c>
      <c r="AF887">
        <v>0</v>
      </c>
      <c r="AK887" t="s">
        <v>53</v>
      </c>
      <c r="AL887" t="s">
        <v>53</v>
      </c>
      <c r="AP887" t="s">
        <v>5451</v>
      </c>
      <c r="AQ887" t="s">
        <v>54</v>
      </c>
      <c r="AT887" t="s">
        <v>1088</v>
      </c>
      <c r="AW887" t="s">
        <v>53</v>
      </c>
      <c r="AZ887" t="s">
        <v>54</v>
      </c>
      <c r="BA887" t="s">
        <v>729</v>
      </c>
    </row>
    <row r="888" spans="1:53" x14ac:dyDescent="0.25">
      <c r="A888">
        <v>883</v>
      </c>
      <c r="B888" t="s">
        <v>1240</v>
      </c>
      <c r="C888" t="s">
        <v>1241</v>
      </c>
      <c r="D888" t="s">
        <v>1242</v>
      </c>
      <c r="E888">
        <v>6</v>
      </c>
      <c r="F888" t="s">
        <v>719</v>
      </c>
      <c r="G888" t="s">
        <v>1155</v>
      </c>
      <c r="H888" t="s">
        <v>1243</v>
      </c>
      <c r="I888" t="s">
        <v>1244</v>
      </c>
      <c r="J888" t="s">
        <v>1245</v>
      </c>
      <c r="K888" t="s">
        <v>1246</v>
      </c>
      <c r="L888" t="s">
        <v>725</v>
      </c>
      <c r="M888">
        <v>2.004334688186646</v>
      </c>
      <c r="N888" t="s">
        <v>53</v>
      </c>
      <c r="O888" t="s">
        <v>53</v>
      </c>
      <c r="P888" t="s">
        <v>54</v>
      </c>
      <c r="Q888" t="s">
        <v>53</v>
      </c>
      <c r="R888" t="s">
        <v>53</v>
      </c>
      <c r="S888" t="s">
        <v>1247</v>
      </c>
      <c r="T888" t="s">
        <v>1248</v>
      </c>
      <c r="U888" t="s">
        <v>53</v>
      </c>
      <c r="V888" t="s">
        <v>51</v>
      </c>
      <c r="W888">
        <v>220000</v>
      </c>
      <c r="X888" t="s">
        <v>54</v>
      </c>
      <c r="AA888">
        <v>17</v>
      </c>
      <c r="AB888">
        <v>11</v>
      </c>
      <c r="AC888">
        <v>7</v>
      </c>
      <c r="AD888">
        <v>16</v>
      </c>
      <c r="AE888">
        <v>19</v>
      </c>
      <c r="AF888">
        <v>0</v>
      </c>
      <c r="AJ888">
        <v>1.1160120964050291</v>
      </c>
      <c r="AK888" t="s">
        <v>53</v>
      </c>
      <c r="AL888" t="s">
        <v>53</v>
      </c>
      <c r="AP888" t="s">
        <v>5451</v>
      </c>
      <c r="AQ888" t="s">
        <v>54</v>
      </c>
      <c r="AT888" t="s">
        <v>1162</v>
      </c>
      <c r="AW888" t="s">
        <v>53</v>
      </c>
      <c r="AZ888" t="s">
        <v>54</v>
      </c>
      <c r="BA888" t="s">
        <v>729</v>
      </c>
    </row>
    <row r="889" spans="1:53" x14ac:dyDescent="0.25">
      <c r="A889">
        <v>884</v>
      </c>
      <c r="B889" t="s">
        <v>1249</v>
      </c>
      <c r="C889" t="s">
        <v>1250</v>
      </c>
      <c r="D889" t="s">
        <v>1251</v>
      </c>
      <c r="E889">
        <v>6</v>
      </c>
      <c r="F889" t="s">
        <v>719</v>
      </c>
      <c r="G889" t="s">
        <v>891</v>
      </c>
      <c r="H889" t="s">
        <v>795</v>
      </c>
      <c r="I889" t="s">
        <v>1252</v>
      </c>
      <c r="J889" t="s">
        <v>1253</v>
      </c>
      <c r="K889" t="s">
        <v>1254</v>
      </c>
      <c r="L889" t="s">
        <v>725</v>
      </c>
      <c r="M889">
        <v>0.71484750509262085</v>
      </c>
      <c r="N889" t="s">
        <v>53</v>
      </c>
      <c r="O889" t="s">
        <v>53</v>
      </c>
      <c r="P889" t="s">
        <v>54</v>
      </c>
      <c r="Q889" t="s">
        <v>53</v>
      </c>
      <c r="R889" t="s">
        <v>53</v>
      </c>
      <c r="S889" t="s">
        <v>1255</v>
      </c>
      <c r="T889" t="s">
        <v>1256</v>
      </c>
      <c r="U889" t="s">
        <v>53</v>
      </c>
      <c r="V889" t="s">
        <v>51</v>
      </c>
      <c r="W889">
        <v>140000</v>
      </c>
      <c r="X889" t="s">
        <v>54</v>
      </c>
      <c r="AA889">
        <v>1276</v>
      </c>
      <c r="AB889">
        <v>1238</v>
      </c>
      <c r="AC889">
        <v>139</v>
      </c>
      <c r="AD889">
        <v>275</v>
      </c>
      <c r="AE889">
        <v>395</v>
      </c>
      <c r="AF889">
        <v>4</v>
      </c>
      <c r="AH889">
        <v>13.807454109191889</v>
      </c>
      <c r="AJ889">
        <v>2.8237185478210449</v>
      </c>
      <c r="AK889" t="s">
        <v>53</v>
      </c>
      <c r="AL889" t="s">
        <v>53</v>
      </c>
      <c r="AP889" t="s">
        <v>5451</v>
      </c>
      <c r="AQ889" t="s">
        <v>54</v>
      </c>
      <c r="AT889" t="s">
        <v>1044</v>
      </c>
      <c r="AW889" t="s">
        <v>53</v>
      </c>
      <c r="AZ889" t="s">
        <v>54</v>
      </c>
      <c r="BA889" t="s">
        <v>729</v>
      </c>
    </row>
    <row r="890" spans="1:53" x14ac:dyDescent="0.25">
      <c r="A890">
        <v>885</v>
      </c>
      <c r="B890" t="s">
        <v>1257</v>
      </c>
      <c r="C890" t="s">
        <v>1258</v>
      </c>
      <c r="D890" t="s">
        <v>1259</v>
      </c>
      <c r="E890">
        <v>6</v>
      </c>
      <c r="F890" t="s">
        <v>719</v>
      </c>
      <c r="G890" t="s">
        <v>891</v>
      </c>
      <c r="H890" t="s">
        <v>795</v>
      </c>
      <c r="I890" t="s">
        <v>1039</v>
      </c>
      <c r="J890" t="s">
        <v>1040</v>
      </c>
      <c r="K890" t="s">
        <v>1041</v>
      </c>
      <c r="L890" t="s">
        <v>725</v>
      </c>
      <c r="M890">
        <v>14.23282623291016</v>
      </c>
      <c r="N890" t="s">
        <v>53</v>
      </c>
      <c r="O890" t="s">
        <v>53</v>
      </c>
      <c r="P890" t="s">
        <v>54</v>
      </c>
      <c r="Q890" t="s">
        <v>53</v>
      </c>
      <c r="R890" t="s">
        <v>53</v>
      </c>
      <c r="S890" t="s">
        <v>1092</v>
      </c>
      <c r="T890" t="s">
        <v>1093</v>
      </c>
      <c r="U890" t="s">
        <v>53</v>
      </c>
      <c r="V890" t="s">
        <v>51</v>
      </c>
      <c r="W890">
        <v>360000</v>
      </c>
      <c r="X890" t="s">
        <v>54</v>
      </c>
      <c r="AA890">
        <v>829</v>
      </c>
      <c r="AB890">
        <v>767</v>
      </c>
      <c r="AC890">
        <v>514</v>
      </c>
      <c r="AD890">
        <v>1455</v>
      </c>
      <c r="AE890">
        <v>1612</v>
      </c>
      <c r="AF890">
        <v>8</v>
      </c>
      <c r="AG890">
        <v>1</v>
      </c>
      <c r="AH890">
        <v>31.114070892333981</v>
      </c>
      <c r="AI890">
        <v>1</v>
      </c>
      <c r="AJ890">
        <v>37.849395751953118</v>
      </c>
      <c r="AK890" t="s">
        <v>53</v>
      </c>
      <c r="AL890" t="s">
        <v>53</v>
      </c>
      <c r="AP890" t="s">
        <v>5451</v>
      </c>
      <c r="AQ890" t="s">
        <v>54</v>
      </c>
      <c r="AT890" t="s">
        <v>1044</v>
      </c>
      <c r="AW890" t="s">
        <v>53</v>
      </c>
      <c r="AZ890" t="s">
        <v>54</v>
      </c>
      <c r="BA890" t="s">
        <v>729</v>
      </c>
    </row>
    <row r="891" spans="1:53" x14ac:dyDescent="0.25">
      <c r="A891">
        <v>886</v>
      </c>
      <c r="B891" t="s">
        <v>1260</v>
      </c>
      <c r="C891" t="s">
        <v>1261</v>
      </c>
      <c r="D891" t="s">
        <v>1262</v>
      </c>
      <c r="E891">
        <v>6</v>
      </c>
      <c r="F891" t="s">
        <v>719</v>
      </c>
      <c r="G891" t="s">
        <v>891</v>
      </c>
      <c r="H891" t="s">
        <v>795</v>
      </c>
      <c r="I891" t="s">
        <v>1039</v>
      </c>
      <c r="J891" t="s">
        <v>1040</v>
      </c>
      <c r="K891" t="s">
        <v>1041</v>
      </c>
      <c r="L891" t="s">
        <v>725</v>
      </c>
      <c r="M891">
        <v>14.23282623291016</v>
      </c>
      <c r="N891" t="s">
        <v>53</v>
      </c>
      <c r="O891" t="s">
        <v>53</v>
      </c>
      <c r="P891" t="s">
        <v>54</v>
      </c>
      <c r="Q891" t="s">
        <v>53</v>
      </c>
      <c r="R891" t="s">
        <v>53</v>
      </c>
      <c r="S891" t="s">
        <v>1092</v>
      </c>
      <c r="T891" t="s">
        <v>1093</v>
      </c>
      <c r="U891" t="s">
        <v>53</v>
      </c>
      <c r="V891" t="s">
        <v>51</v>
      </c>
      <c r="W891">
        <v>810000</v>
      </c>
      <c r="X891" t="s">
        <v>54</v>
      </c>
      <c r="AA891">
        <v>829</v>
      </c>
      <c r="AB891">
        <v>767</v>
      </c>
      <c r="AC891">
        <v>514</v>
      </c>
      <c r="AD891">
        <v>1455</v>
      </c>
      <c r="AE891">
        <v>1612</v>
      </c>
      <c r="AF891">
        <v>8</v>
      </c>
      <c r="AG891">
        <v>1</v>
      </c>
      <c r="AH891">
        <v>31.114070892333981</v>
      </c>
      <c r="AI891">
        <v>1</v>
      </c>
      <c r="AJ891">
        <v>37.849395751953118</v>
      </c>
      <c r="AK891" t="s">
        <v>53</v>
      </c>
      <c r="AL891" t="s">
        <v>53</v>
      </c>
      <c r="AP891" t="s">
        <v>5451</v>
      </c>
      <c r="AQ891" t="s">
        <v>54</v>
      </c>
      <c r="AT891" t="s">
        <v>1044</v>
      </c>
      <c r="AW891" t="s">
        <v>53</v>
      </c>
      <c r="AZ891" t="s">
        <v>54</v>
      </c>
      <c r="BA891" t="s">
        <v>729</v>
      </c>
    </row>
    <row r="892" spans="1:53" x14ac:dyDescent="0.25">
      <c r="A892">
        <v>887</v>
      </c>
      <c r="B892" t="s">
        <v>1266</v>
      </c>
      <c r="C892" t="s">
        <v>1267</v>
      </c>
      <c r="D892" t="s">
        <v>1268</v>
      </c>
      <c r="E892">
        <v>6</v>
      </c>
      <c r="F892" t="s">
        <v>719</v>
      </c>
      <c r="G892" t="s">
        <v>891</v>
      </c>
      <c r="H892" t="s">
        <v>795</v>
      </c>
      <c r="I892" t="s">
        <v>871</v>
      </c>
      <c r="J892" t="s">
        <v>872</v>
      </c>
      <c r="K892" t="s">
        <v>873</v>
      </c>
      <c r="L892" t="s">
        <v>725</v>
      </c>
      <c r="M892">
        <v>664.94830322265625</v>
      </c>
      <c r="N892" t="s">
        <v>53</v>
      </c>
      <c r="O892" t="s">
        <v>53</v>
      </c>
      <c r="P892" t="s">
        <v>54</v>
      </c>
      <c r="Q892" t="s">
        <v>53</v>
      </c>
      <c r="R892" t="s">
        <v>53</v>
      </c>
      <c r="S892" t="s">
        <v>1122</v>
      </c>
      <c r="T892" t="s">
        <v>1269</v>
      </c>
      <c r="U892" t="s">
        <v>53</v>
      </c>
      <c r="V892" t="s">
        <v>51</v>
      </c>
      <c r="W892">
        <v>11000000</v>
      </c>
      <c r="X892" t="s">
        <v>54</v>
      </c>
      <c r="AA892">
        <v>48570</v>
      </c>
      <c r="AB892">
        <v>42185</v>
      </c>
      <c r="AC892">
        <v>100002</v>
      </c>
      <c r="AD892">
        <v>102755</v>
      </c>
      <c r="AE892">
        <v>171395</v>
      </c>
      <c r="AF892">
        <v>681</v>
      </c>
      <c r="AG892">
        <v>30</v>
      </c>
      <c r="AH892">
        <v>910.35089111328125</v>
      </c>
      <c r="AI892">
        <v>30</v>
      </c>
      <c r="AJ892">
        <v>3412.02490234375</v>
      </c>
      <c r="AK892" t="s">
        <v>53</v>
      </c>
      <c r="AL892" t="s">
        <v>53</v>
      </c>
      <c r="AP892" t="s">
        <v>5451</v>
      </c>
      <c r="AQ892" t="s">
        <v>54</v>
      </c>
      <c r="AT892" t="s">
        <v>1044</v>
      </c>
      <c r="AW892" t="s">
        <v>53</v>
      </c>
      <c r="AZ892" t="s">
        <v>54</v>
      </c>
      <c r="BA892" t="s">
        <v>729</v>
      </c>
    </row>
    <row r="893" spans="1:53" x14ac:dyDescent="0.25">
      <c r="A893">
        <v>888</v>
      </c>
      <c r="B893" t="s">
        <v>1270</v>
      </c>
      <c r="C893" t="s">
        <v>1271</v>
      </c>
      <c r="D893" t="s">
        <v>1272</v>
      </c>
      <c r="E893">
        <v>6</v>
      </c>
      <c r="F893" t="s">
        <v>719</v>
      </c>
      <c r="G893" t="s">
        <v>276</v>
      </c>
      <c r="H893" t="s">
        <v>795</v>
      </c>
      <c r="I893" t="s">
        <v>796</v>
      </c>
      <c r="J893" t="s">
        <v>797</v>
      </c>
      <c r="K893" t="s">
        <v>798</v>
      </c>
      <c r="L893" t="s">
        <v>725</v>
      </c>
      <c r="M893">
        <v>2.598058938980103</v>
      </c>
      <c r="N893" t="s">
        <v>53</v>
      </c>
      <c r="O893" t="s">
        <v>53</v>
      </c>
      <c r="P893" t="s">
        <v>54</v>
      </c>
      <c r="Q893" t="s">
        <v>53</v>
      </c>
      <c r="R893" t="s">
        <v>53</v>
      </c>
      <c r="S893" t="s">
        <v>885</v>
      </c>
      <c r="T893" t="s">
        <v>886</v>
      </c>
      <c r="U893" t="s">
        <v>53</v>
      </c>
      <c r="V893" t="s">
        <v>51</v>
      </c>
      <c r="W893">
        <v>200000</v>
      </c>
      <c r="X893" t="s">
        <v>54</v>
      </c>
      <c r="AA893">
        <v>41</v>
      </c>
      <c r="AB893">
        <v>37</v>
      </c>
      <c r="AC893">
        <v>3</v>
      </c>
      <c r="AD893">
        <v>39</v>
      </c>
      <c r="AE893">
        <v>39</v>
      </c>
      <c r="AF893">
        <v>0</v>
      </c>
      <c r="AG893">
        <v>0</v>
      </c>
      <c r="AH893">
        <v>0.21681888401508331</v>
      </c>
      <c r="AI893">
        <v>0</v>
      </c>
      <c r="AJ893">
        <v>1.2274031639099121</v>
      </c>
      <c r="AK893" t="s">
        <v>53</v>
      </c>
      <c r="AL893" t="s">
        <v>53</v>
      </c>
      <c r="AP893" t="s">
        <v>5451</v>
      </c>
      <c r="AQ893" t="s">
        <v>54</v>
      </c>
      <c r="AT893" t="s">
        <v>1176</v>
      </c>
      <c r="AW893" t="s">
        <v>53</v>
      </c>
      <c r="AZ893" t="s">
        <v>54</v>
      </c>
      <c r="BA893" t="s">
        <v>729</v>
      </c>
    </row>
    <row r="894" spans="1:53" x14ac:dyDescent="0.25">
      <c r="A894">
        <v>889</v>
      </c>
      <c r="B894" t="s">
        <v>1273</v>
      </c>
      <c r="C894" t="s">
        <v>1274</v>
      </c>
      <c r="D894" t="s">
        <v>1275</v>
      </c>
      <c r="E894">
        <v>6</v>
      </c>
      <c r="F894" t="s">
        <v>719</v>
      </c>
      <c r="G894" t="s">
        <v>1276</v>
      </c>
      <c r="H894" t="s">
        <v>1082</v>
      </c>
      <c r="I894" t="s">
        <v>1277</v>
      </c>
      <c r="J894" t="s">
        <v>1278</v>
      </c>
      <c r="K894" t="s">
        <v>1279</v>
      </c>
      <c r="L894" t="s">
        <v>725</v>
      </c>
      <c r="M894">
        <v>18.736551284790039</v>
      </c>
      <c r="N894" t="s">
        <v>53</v>
      </c>
      <c r="O894" t="s">
        <v>53</v>
      </c>
      <c r="P894" t="s">
        <v>54</v>
      </c>
      <c r="Q894" t="s">
        <v>53</v>
      </c>
      <c r="R894" t="s">
        <v>53</v>
      </c>
      <c r="S894" t="s">
        <v>1280</v>
      </c>
      <c r="T894" t="s">
        <v>1281</v>
      </c>
      <c r="U894" t="s">
        <v>53</v>
      </c>
      <c r="V894" t="s">
        <v>51</v>
      </c>
      <c r="W894">
        <v>50000</v>
      </c>
      <c r="X894" t="s">
        <v>54</v>
      </c>
      <c r="AA894">
        <v>261</v>
      </c>
      <c r="AB894">
        <v>133</v>
      </c>
      <c r="AC894">
        <v>1037</v>
      </c>
      <c r="AD894">
        <v>435</v>
      </c>
      <c r="AE894">
        <v>1267</v>
      </c>
      <c r="AF894">
        <v>0</v>
      </c>
      <c r="AG894">
        <v>1</v>
      </c>
      <c r="AH894">
        <v>27.32913970947266</v>
      </c>
      <c r="AI894">
        <v>1</v>
      </c>
      <c r="AJ894">
        <v>28.87845611572266</v>
      </c>
      <c r="AK894" t="s">
        <v>53</v>
      </c>
      <c r="AL894" t="s">
        <v>53</v>
      </c>
      <c r="AP894" t="s">
        <v>5451</v>
      </c>
      <c r="AQ894" t="s">
        <v>54</v>
      </c>
      <c r="AT894" t="s">
        <v>1065</v>
      </c>
      <c r="AW894" t="s">
        <v>53</v>
      </c>
      <c r="AZ894" t="s">
        <v>54</v>
      </c>
      <c r="BA894" t="s">
        <v>729</v>
      </c>
    </row>
    <row r="895" spans="1:53" x14ac:dyDescent="0.25">
      <c r="A895">
        <v>890</v>
      </c>
      <c r="B895" t="s">
        <v>1282</v>
      </c>
      <c r="C895" t="s">
        <v>1283</v>
      </c>
      <c r="D895" t="s">
        <v>1284</v>
      </c>
      <c r="E895">
        <v>6</v>
      </c>
      <c r="F895" t="s">
        <v>719</v>
      </c>
      <c r="G895" t="s">
        <v>1081</v>
      </c>
      <c r="H895" t="s">
        <v>1209</v>
      </c>
      <c r="I895" t="s">
        <v>1285</v>
      </c>
      <c r="J895" t="s">
        <v>1286</v>
      </c>
      <c r="K895" t="s">
        <v>1287</v>
      </c>
      <c r="L895" t="s">
        <v>725</v>
      </c>
      <c r="M895">
        <v>797.83648681640625</v>
      </c>
      <c r="N895" t="s">
        <v>53</v>
      </c>
      <c r="O895" t="s">
        <v>53</v>
      </c>
      <c r="P895" t="s">
        <v>54</v>
      </c>
      <c r="Q895" t="s">
        <v>53</v>
      </c>
      <c r="R895" t="s">
        <v>53</v>
      </c>
      <c r="S895" t="s">
        <v>1213</v>
      </c>
      <c r="T895" t="s">
        <v>1288</v>
      </c>
      <c r="U895" t="s">
        <v>53</v>
      </c>
      <c r="V895" t="s">
        <v>51</v>
      </c>
      <c r="W895">
        <v>20000</v>
      </c>
      <c r="X895" t="s">
        <v>54</v>
      </c>
      <c r="AA895">
        <v>505</v>
      </c>
      <c r="AB895">
        <v>437</v>
      </c>
      <c r="AC895">
        <v>266</v>
      </c>
      <c r="AD895">
        <v>545</v>
      </c>
      <c r="AE895">
        <v>657</v>
      </c>
      <c r="AF895">
        <v>1</v>
      </c>
      <c r="AG895">
        <v>2</v>
      </c>
      <c r="AH895">
        <v>25.42570877075195</v>
      </c>
      <c r="AI895">
        <v>2</v>
      </c>
      <c r="AJ895">
        <v>180.46466064453119</v>
      </c>
      <c r="AK895" t="s">
        <v>53</v>
      </c>
      <c r="AL895" t="s">
        <v>53</v>
      </c>
      <c r="AP895" t="s">
        <v>5451</v>
      </c>
      <c r="AQ895" t="s">
        <v>54</v>
      </c>
      <c r="AT895" t="s">
        <v>1088</v>
      </c>
      <c r="AW895" t="s">
        <v>53</v>
      </c>
      <c r="AZ895" t="s">
        <v>54</v>
      </c>
      <c r="BA895" t="s">
        <v>729</v>
      </c>
    </row>
    <row r="896" spans="1:53" x14ac:dyDescent="0.25">
      <c r="A896">
        <v>891</v>
      </c>
      <c r="B896" t="s">
        <v>1289</v>
      </c>
      <c r="C896" t="s">
        <v>1290</v>
      </c>
      <c r="D896" t="s">
        <v>1291</v>
      </c>
      <c r="E896">
        <v>6</v>
      </c>
      <c r="F896" t="s">
        <v>719</v>
      </c>
      <c r="G896" t="s">
        <v>891</v>
      </c>
      <c r="H896" t="s">
        <v>795</v>
      </c>
      <c r="I896" t="s">
        <v>1039</v>
      </c>
      <c r="J896" t="s">
        <v>1040</v>
      </c>
      <c r="K896" t="s">
        <v>1041</v>
      </c>
      <c r="L896" t="s">
        <v>725</v>
      </c>
      <c r="M896">
        <v>0.44737619161605829</v>
      </c>
      <c r="N896" t="s">
        <v>53</v>
      </c>
      <c r="O896" t="s">
        <v>53</v>
      </c>
      <c r="P896" t="s">
        <v>54</v>
      </c>
      <c r="Q896" t="s">
        <v>53</v>
      </c>
      <c r="R896" t="s">
        <v>53</v>
      </c>
      <c r="S896" t="s">
        <v>1068</v>
      </c>
      <c r="T896" t="s">
        <v>1069</v>
      </c>
      <c r="U896" t="s">
        <v>53</v>
      </c>
      <c r="V896" t="s">
        <v>51</v>
      </c>
      <c r="W896">
        <v>130000</v>
      </c>
      <c r="X896" t="s">
        <v>54</v>
      </c>
      <c r="AA896">
        <v>1122</v>
      </c>
      <c r="AB896">
        <v>1095</v>
      </c>
      <c r="AC896">
        <v>232</v>
      </c>
      <c r="AD896">
        <v>1476</v>
      </c>
      <c r="AE896">
        <v>1502</v>
      </c>
      <c r="AF896">
        <v>3</v>
      </c>
      <c r="AH896">
        <v>7.7089004516601563</v>
      </c>
      <c r="AK896" t="s">
        <v>53</v>
      </c>
      <c r="AL896" t="s">
        <v>53</v>
      </c>
      <c r="AP896" t="s">
        <v>5451</v>
      </c>
      <c r="AQ896" t="s">
        <v>54</v>
      </c>
      <c r="AT896" t="s">
        <v>1044</v>
      </c>
      <c r="AW896" t="s">
        <v>53</v>
      </c>
      <c r="AZ896" t="s">
        <v>54</v>
      </c>
      <c r="BA896" t="s">
        <v>729</v>
      </c>
    </row>
    <row r="897" spans="1:53" x14ac:dyDescent="0.25">
      <c r="A897">
        <v>892</v>
      </c>
      <c r="B897" t="s">
        <v>1295</v>
      </c>
      <c r="C897" t="s">
        <v>1296</v>
      </c>
      <c r="D897" t="s">
        <v>1297</v>
      </c>
      <c r="E897">
        <v>6</v>
      </c>
      <c r="F897" t="s">
        <v>719</v>
      </c>
      <c r="G897" t="s">
        <v>1276</v>
      </c>
      <c r="H897" t="s">
        <v>1082</v>
      </c>
      <c r="I897" t="s">
        <v>1277</v>
      </c>
      <c r="J897" t="s">
        <v>1278</v>
      </c>
      <c r="K897" t="s">
        <v>1279</v>
      </c>
      <c r="L897" t="s">
        <v>725</v>
      </c>
      <c r="M897">
        <v>18.736551284790039</v>
      </c>
      <c r="N897" t="s">
        <v>53</v>
      </c>
      <c r="O897" t="s">
        <v>53</v>
      </c>
      <c r="P897" t="s">
        <v>54</v>
      </c>
      <c r="Q897" t="s">
        <v>53</v>
      </c>
      <c r="R897" t="s">
        <v>53</v>
      </c>
      <c r="S897" t="s">
        <v>1203</v>
      </c>
      <c r="T897" t="s">
        <v>1281</v>
      </c>
      <c r="U897" t="s">
        <v>53</v>
      </c>
      <c r="V897" t="s">
        <v>51</v>
      </c>
      <c r="W897">
        <v>400000</v>
      </c>
      <c r="X897" t="s">
        <v>54</v>
      </c>
      <c r="AA897">
        <v>261</v>
      </c>
      <c r="AB897">
        <v>133</v>
      </c>
      <c r="AC897">
        <v>1037</v>
      </c>
      <c r="AD897">
        <v>435</v>
      </c>
      <c r="AE897">
        <v>1267</v>
      </c>
      <c r="AF897">
        <v>0</v>
      </c>
      <c r="AG897">
        <v>1</v>
      </c>
      <c r="AH897">
        <v>27.32913970947266</v>
      </c>
      <c r="AI897">
        <v>1</v>
      </c>
      <c r="AJ897">
        <v>28.87845611572266</v>
      </c>
      <c r="AK897" t="s">
        <v>53</v>
      </c>
      <c r="AL897" t="s">
        <v>53</v>
      </c>
      <c r="AP897" t="s">
        <v>5451</v>
      </c>
      <c r="AQ897" t="s">
        <v>54</v>
      </c>
      <c r="AT897" t="s">
        <v>1065</v>
      </c>
      <c r="AW897" t="s">
        <v>53</v>
      </c>
      <c r="AZ897" t="s">
        <v>54</v>
      </c>
      <c r="BA897" t="s">
        <v>729</v>
      </c>
    </row>
    <row r="898" spans="1:53" x14ac:dyDescent="0.25">
      <c r="A898">
        <v>893</v>
      </c>
      <c r="B898" t="s">
        <v>1298</v>
      </c>
      <c r="C898" t="s">
        <v>1299</v>
      </c>
      <c r="D898" t="s">
        <v>1300</v>
      </c>
      <c r="E898">
        <v>6</v>
      </c>
      <c r="F898" t="s">
        <v>719</v>
      </c>
      <c r="G898" t="s">
        <v>1276</v>
      </c>
      <c r="H898" t="s">
        <v>1082</v>
      </c>
      <c r="I898" t="s">
        <v>1277</v>
      </c>
      <c r="J898" t="s">
        <v>1278</v>
      </c>
      <c r="K898" t="s">
        <v>1279</v>
      </c>
      <c r="L898" t="s">
        <v>725</v>
      </c>
      <c r="M898">
        <v>18.736551284790039</v>
      </c>
      <c r="N898" t="s">
        <v>53</v>
      </c>
      <c r="O898" t="s">
        <v>53</v>
      </c>
      <c r="P898" t="s">
        <v>54</v>
      </c>
      <c r="Q898" t="s">
        <v>53</v>
      </c>
      <c r="R898" t="s">
        <v>53</v>
      </c>
      <c r="S898" t="s">
        <v>1203</v>
      </c>
      <c r="T898" t="s">
        <v>1281</v>
      </c>
      <c r="U898" t="s">
        <v>53</v>
      </c>
      <c r="V898" t="s">
        <v>51</v>
      </c>
      <c r="W898">
        <v>120000</v>
      </c>
      <c r="X898" t="s">
        <v>54</v>
      </c>
      <c r="AA898">
        <v>261</v>
      </c>
      <c r="AB898">
        <v>133</v>
      </c>
      <c r="AC898">
        <v>1037</v>
      </c>
      <c r="AD898">
        <v>435</v>
      </c>
      <c r="AE898">
        <v>1267</v>
      </c>
      <c r="AF898">
        <v>0</v>
      </c>
      <c r="AG898">
        <v>1</v>
      </c>
      <c r="AH898">
        <v>27.32913970947266</v>
      </c>
      <c r="AI898">
        <v>1</v>
      </c>
      <c r="AJ898">
        <v>28.87845611572266</v>
      </c>
      <c r="AK898" t="s">
        <v>53</v>
      </c>
      <c r="AL898" t="s">
        <v>53</v>
      </c>
      <c r="AP898" t="s">
        <v>5451</v>
      </c>
      <c r="AQ898" t="s">
        <v>54</v>
      </c>
      <c r="AT898" t="s">
        <v>1065</v>
      </c>
      <c r="AW898" t="s">
        <v>53</v>
      </c>
      <c r="AZ898" t="s">
        <v>54</v>
      </c>
      <c r="BA898" t="s">
        <v>729</v>
      </c>
    </row>
    <row r="899" spans="1:53" x14ac:dyDescent="0.25">
      <c r="A899">
        <v>894</v>
      </c>
      <c r="B899" t="s">
        <v>1301</v>
      </c>
      <c r="C899" t="s">
        <v>1302</v>
      </c>
      <c r="D899" t="s">
        <v>1165</v>
      </c>
      <c r="E899">
        <v>6</v>
      </c>
      <c r="F899" t="s">
        <v>719</v>
      </c>
      <c r="G899" t="s">
        <v>891</v>
      </c>
      <c r="H899" t="s">
        <v>795</v>
      </c>
      <c r="I899" t="s">
        <v>871</v>
      </c>
      <c r="J899" t="s">
        <v>872</v>
      </c>
      <c r="K899" t="s">
        <v>873</v>
      </c>
      <c r="L899" t="s">
        <v>725</v>
      </c>
      <c r="M899">
        <v>664.94830322265625</v>
      </c>
      <c r="N899" t="s">
        <v>53</v>
      </c>
      <c r="O899" t="s">
        <v>53</v>
      </c>
      <c r="P899" t="s">
        <v>54</v>
      </c>
      <c r="Q899" t="s">
        <v>53</v>
      </c>
      <c r="R899" t="s">
        <v>53</v>
      </c>
      <c r="S899" t="s">
        <v>1122</v>
      </c>
      <c r="T899" t="s">
        <v>1122</v>
      </c>
      <c r="U899" t="s">
        <v>53</v>
      </c>
      <c r="V899" t="s">
        <v>51</v>
      </c>
      <c r="W899">
        <v>1590000</v>
      </c>
      <c r="X899" t="s">
        <v>54</v>
      </c>
      <c r="AA899">
        <v>48570</v>
      </c>
      <c r="AB899">
        <v>42185</v>
      </c>
      <c r="AC899">
        <v>100002</v>
      </c>
      <c r="AD899">
        <v>102755</v>
      </c>
      <c r="AE899">
        <v>171395</v>
      </c>
      <c r="AF899">
        <v>681</v>
      </c>
      <c r="AG899">
        <v>30</v>
      </c>
      <c r="AH899">
        <v>910.35089111328125</v>
      </c>
      <c r="AI899">
        <v>30</v>
      </c>
      <c r="AJ899">
        <v>3412.02490234375</v>
      </c>
      <c r="AK899" t="s">
        <v>53</v>
      </c>
      <c r="AL899" t="s">
        <v>53</v>
      </c>
      <c r="AP899" t="s">
        <v>5451</v>
      </c>
      <c r="AQ899" t="s">
        <v>54</v>
      </c>
      <c r="AT899" t="s">
        <v>1044</v>
      </c>
      <c r="AW899" t="s">
        <v>53</v>
      </c>
      <c r="AZ899" t="s">
        <v>54</v>
      </c>
      <c r="BA899" t="s">
        <v>729</v>
      </c>
    </row>
    <row r="900" spans="1:53" x14ac:dyDescent="0.25">
      <c r="A900">
        <v>895</v>
      </c>
      <c r="B900" t="s">
        <v>1303</v>
      </c>
      <c r="C900" t="s">
        <v>1304</v>
      </c>
      <c r="D900" t="s">
        <v>1305</v>
      </c>
      <c r="E900">
        <v>6</v>
      </c>
      <c r="F900" t="s">
        <v>719</v>
      </c>
      <c r="G900" t="s">
        <v>891</v>
      </c>
      <c r="H900" t="s">
        <v>795</v>
      </c>
      <c r="I900" t="s">
        <v>1222</v>
      </c>
      <c r="J900" t="s">
        <v>1223</v>
      </c>
      <c r="K900" t="s">
        <v>1224</v>
      </c>
      <c r="L900" t="s">
        <v>725</v>
      </c>
      <c r="M900">
        <v>17.035295486450199</v>
      </c>
      <c r="N900" t="s">
        <v>53</v>
      </c>
      <c r="O900" t="s">
        <v>53</v>
      </c>
      <c r="P900" t="s">
        <v>54</v>
      </c>
      <c r="Q900" t="s">
        <v>53</v>
      </c>
      <c r="R900" t="s">
        <v>53</v>
      </c>
      <c r="S900" t="s">
        <v>1225</v>
      </c>
      <c r="T900" t="s">
        <v>1226</v>
      </c>
      <c r="U900" t="s">
        <v>53</v>
      </c>
      <c r="V900" t="s">
        <v>51</v>
      </c>
      <c r="W900">
        <v>380000</v>
      </c>
      <c r="X900" t="s">
        <v>54</v>
      </c>
      <c r="AA900">
        <v>400</v>
      </c>
      <c r="AB900">
        <v>306</v>
      </c>
      <c r="AC900">
        <v>227</v>
      </c>
      <c r="AD900">
        <v>748</v>
      </c>
      <c r="AE900">
        <v>798</v>
      </c>
      <c r="AF900">
        <v>1</v>
      </c>
      <c r="AG900">
        <v>9</v>
      </c>
      <c r="AH900">
        <v>4.122429370880127</v>
      </c>
      <c r="AI900">
        <v>9</v>
      </c>
      <c r="AJ900">
        <v>12.12156867980957</v>
      </c>
      <c r="AK900" t="s">
        <v>53</v>
      </c>
      <c r="AL900" t="s">
        <v>53</v>
      </c>
      <c r="AP900" t="s">
        <v>5451</v>
      </c>
      <c r="AQ900" t="s">
        <v>54</v>
      </c>
      <c r="AT900" t="s">
        <v>1044</v>
      </c>
      <c r="AW900" t="s">
        <v>53</v>
      </c>
      <c r="AZ900" t="s">
        <v>54</v>
      </c>
      <c r="BA900" t="s">
        <v>729</v>
      </c>
    </row>
    <row r="901" spans="1:53" x14ac:dyDescent="0.25">
      <c r="A901">
        <v>896</v>
      </c>
      <c r="B901" t="s">
        <v>1306</v>
      </c>
      <c r="C901" t="s">
        <v>1307</v>
      </c>
      <c r="D901" t="s">
        <v>1165</v>
      </c>
      <c r="E901">
        <v>6</v>
      </c>
      <c r="F901" t="s">
        <v>719</v>
      </c>
      <c r="G901" t="s">
        <v>891</v>
      </c>
      <c r="H901" t="s">
        <v>795</v>
      </c>
      <c r="I901" t="s">
        <v>1222</v>
      </c>
      <c r="J901" t="s">
        <v>1223</v>
      </c>
      <c r="K901" t="s">
        <v>1224</v>
      </c>
      <c r="L901" t="s">
        <v>725</v>
      </c>
      <c r="M901">
        <v>17.035295486450199</v>
      </c>
      <c r="N901" t="s">
        <v>53</v>
      </c>
      <c r="O901" t="s">
        <v>53</v>
      </c>
      <c r="P901" t="s">
        <v>54</v>
      </c>
      <c r="Q901" t="s">
        <v>53</v>
      </c>
      <c r="R901" t="s">
        <v>53</v>
      </c>
      <c r="S901" t="s">
        <v>1225</v>
      </c>
      <c r="T901" t="s">
        <v>1226</v>
      </c>
      <c r="U901" t="s">
        <v>53</v>
      </c>
      <c r="V901" t="s">
        <v>51</v>
      </c>
      <c r="W901">
        <v>300000</v>
      </c>
      <c r="X901" t="s">
        <v>54</v>
      </c>
      <c r="AA901">
        <v>400</v>
      </c>
      <c r="AB901">
        <v>306</v>
      </c>
      <c r="AC901">
        <v>227</v>
      </c>
      <c r="AD901">
        <v>748</v>
      </c>
      <c r="AE901">
        <v>798</v>
      </c>
      <c r="AF901">
        <v>1</v>
      </c>
      <c r="AG901">
        <v>9</v>
      </c>
      <c r="AH901">
        <v>4.122429370880127</v>
      </c>
      <c r="AI901">
        <v>9</v>
      </c>
      <c r="AJ901">
        <v>12.12156867980957</v>
      </c>
      <c r="AK901" t="s">
        <v>53</v>
      </c>
      <c r="AL901" t="s">
        <v>53</v>
      </c>
      <c r="AP901" t="s">
        <v>5451</v>
      </c>
      <c r="AQ901" t="s">
        <v>54</v>
      </c>
      <c r="AT901" t="s">
        <v>1044</v>
      </c>
      <c r="AW901" t="s">
        <v>53</v>
      </c>
      <c r="AZ901" t="s">
        <v>54</v>
      </c>
      <c r="BA901" t="s">
        <v>729</v>
      </c>
    </row>
    <row r="902" spans="1:53" x14ac:dyDescent="0.25">
      <c r="A902">
        <v>897</v>
      </c>
      <c r="B902" t="s">
        <v>1308</v>
      </c>
      <c r="C902" t="s">
        <v>1309</v>
      </c>
      <c r="D902" t="s">
        <v>1310</v>
      </c>
      <c r="E902">
        <v>6</v>
      </c>
      <c r="F902" t="s">
        <v>719</v>
      </c>
      <c r="G902" t="s">
        <v>925</v>
      </c>
      <c r="H902" t="s">
        <v>857</v>
      </c>
      <c r="I902" t="s">
        <v>1311</v>
      </c>
      <c r="J902" t="s">
        <v>1312</v>
      </c>
      <c r="K902" t="s">
        <v>1313</v>
      </c>
      <c r="L902" t="s">
        <v>725</v>
      </c>
      <c r="M902">
        <v>7.0201573371887207</v>
      </c>
      <c r="N902" t="s">
        <v>54</v>
      </c>
      <c r="O902" t="s">
        <v>53</v>
      </c>
      <c r="P902" t="s">
        <v>54</v>
      </c>
      <c r="Q902" t="s">
        <v>53</v>
      </c>
      <c r="R902" t="s">
        <v>53</v>
      </c>
      <c r="S902" t="s">
        <v>928</v>
      </c>
      <c r="T902" t="s">
        <v>1314</v>
      </c>
      <c r="U902" t="s">
        <v>53</v>
      </c>
      <c r="V902" t="s">
        <v>51</v>
      </c>
      <c r="W902">
        <v>300000</v>
      </c>
      <c r="X902" t="s">
        <v>54</v>
      </c>
      <c r="AK902" t="s">
        <v>53</v>
      </c>
      <c r="AL902" t="s">
        <v>53</v>
      </c>
      <c r="AP902" t="s">
        <v>5451</v>
      </c>
      <c r="AQ902" t="s">
        <v>54</v>
      </c>
      <c r="AT902" t="s">
        <v>1315</v>
      </c>
      <c r="AW902" t="s">
        <v>53</v>
      </c>
      <c r="AZ902" t="s">
        <v>54</v>
      </c>
      <c r="BA902" t="s">
        <v>729</v>
      </c>
    </row>
    <row r="903" spans="1:53" x14ac:dyDescent="0.25">
      <c r="A903">
        <v>898</v>
      </c>
      <c r="B903" t="s">
        <v>1316</v>
      </c>
      <c r="C903" t="s">
        <v>1317</v>
      </c>
      <c r="D903" t="s">
        <v>1318</v>
      </c>
      <c r="E903">
        <v>6</v>
      </c>
      <c r="F903" t="s">
        <v>719</v>
      </c>
      <c r="G903" t="s">
        <v>1276</v>
      </c>
      <c r="H903" t="s">
        <v>1082</v>
      </c>
      <c r="I903" t="s">
        <v>1277</v>
      </c>
      <c r="J903" t="s">
        <v>1278</v>
      </c>
      <c r="K903" t="s">
        <v>1279</v>
      </c>
      <c r="L903" t="s">
        <v>725</v>
      </c>
      <c r="M903">
        <v>18.736551284790039</v>
      </c>
      <c r="N903" t="s">
        <v>54</v>
      </c>
      <c r="O903" t="s">
        <v>53</v>
      </c>
      <c r="P903" t="s">
        <v>53</v>
      </c>
      <c r="Q903" t="s">
        <v>53</v>
      </c>
      <c r="R903" t="s">
        <v>53</v>
      </c>
      <c r="S903" t="s">
        <v>1280</v>
      </c>
      <c r="T903" t="s">
        <v>1281</v>
      </c>
      <c r="U903" t="s">
        <v>53</v>
      </c>
      <c r="V903" t="s">
        <v>51</v>
      </c>
      <c r="W903">
        <v>410000</v>
      </c>
      <c r="X903" t="s">
        <v>54</v>
      </c>
      <c r="AA903">
        <v>261</v>
      </c>
      <c r="AB903">
        <v>133</v>
      </c>
      <c r="AC903">
        <v>1037</v>
      </c>
      <c r="AD903">
        <v>435</v>
      </c>
      <c r="AE903">
        <v>1267</v>
      </c>
      <c r="AF903">
        <v>0</v>
      </c>
      <c r="AG903">
        <v>1</v>
      </c>
      <c r="AH903">
        <v>27.32913970947266</v>
      </c>
      <c r="AI903">
        <v>1</v>
      </c>
      <c r="AJ903">
        <v>28.87845611572266</v>
      </c>
      <c r="AK903" t="s">
        <v>53</v>
      </c>
      <c r="AL903" t="s">
        <v>53</v>
      </c>
      <c r="AP903" t="s">
        <v>5451</v>
      </c>
      <c r="AQ903" t="s">
        <v>54</v>
      </c>
      <c r="AT903" t="s">
        <v>1065</v>
      </c>
      <c r="AW903" t="s">
        <v>53</v>
      </c>
      <c r="AZ903" t="s">
        <v>54</v>
      </c>
      <c r="BA903" t="s">
        <v>729</v>
      </c>
    </row>
    <row r="904" spans="1:53" x14ac:dyDescent="0.25">
      <c r="A904">
        <v>899</v>
      </c>
      <c r="B904" t="s">
        <v>1319</v>
      </c>
      <c r="C904" t="s">
        <v>1320</v>
      </c>
      <c r="D904" t="s">
        <v>1321</v>
      </c>
      <c r="E904">
        <v>6</v>
      </c>
      <c r="F904" t="s">
        <v>719</v>
      </c>
      <c r="G904" t="s">
        <v>1322</v>
      </c>
      <c r="H904" t="s">
        <v>1082</v>
      </c>
      <c r="I904" t="s">
        <v>1126</v>
      </c>
      <c r="J904" t="s">
        <v>1323</v>
      </c>
      <c r="K904" t="s">
        <v>1324</v>
      </c>
      <c r="L904" t="s">
        <v>789</v>
      </c>
      <c r="M904">
        <v>94.888870239257813</v>
      </c>
      <c r="N904" t="s">
        <v>54</v>
      </c>
      <c r="O904" t="s">
        <v>53</v>
      </c>
      <c r="P904" t="s">
        <v>54</v>
      </c>
      <c r="Q904" t="s">
        <v>53</v>
      </c>
      <c r="R904" t="s">
        <v>53</v>
      </c>
      <c r="S904" t="s">
        <v>790</v>
      </c>
      <c r="T904" t="s">
        <v>1325</v>
      </c>
      <c r="U904" t="s">
        <v>53</v>
      </c>
      <c r="V904" t="s">
        <v>791</v>
      </c>
      <c r="W904">
        <v>1160000</v>
      </c>
      <c r="X904" t="s">
        <v>54</v>
      </c>
      <c r="AA904">
        <v>3499</v>
      </c>
      <c r="AB904">
        <v>2371</v>
      </c>
      <c r="AC904">
        <v>2245</v>
      </c>
      <c r="AD904">
        <v>3787</v>
      </c>
      <c r="AE904">
        <v>4867</v>
      </c>
      <c r="AF904">
        <v>3</v>
      </c>
      <c r="AG904">
        <v>1</v>
      </c>
      <c r="AH904">
        <v>101.79066467285161</v>
      </c>
      <c r="AI904">
        <v>1</v>
      </c>
      <c r="AJ904">
        <v>70.631149291992188</v>
      </c>
      <c r="AK904" t="s">
        <v>53</v>
      </c>
      <c r="AL904" t="s">
        <v>54</v>
      </c>
      <c r="AP904" t="s">
        <v>5451</v>
      </c>
      <c r="AQ904" t="s">
        <v>54</v>
      </c>
      <c r="AT904" t="s">
        <v>1326</v>
      </c>
      <c r="AW904" t="s">
        <v>53</v>
      </c>
      <c r="AZ904" t="s">
        <v>54</v>
      </c>
      <c r="BA904" t="s">
        <v>729</v>
      </c>
    </row>
    <row r="905" spans="1:53" x14ac:dyDescent="0.25">
      <c r="A905">
        <v>900</v>
      </c>
      <c r="B905" t="s">
        <v>1327</v>
      </c>
      <c r="C905" t="s">
        <v>1328</v>
      </c>
      <c r="D905" t="s">
        <v>1329</v>
      </c>
      <c r="E905">
        <v>6</v>
      </c>
      <c r="F905" t="s">
        <v>719</v>
      </c>
      <c r="G905" t="s">
        <v>1330</v>
      </c>
      <c r="H905" t="s">
        <v>721</v>
      </c>
      <c r="I905" t="s">
        <v>763</v>
      </c>
      <c r="J905" t="s">
        <v>1331</v>
      </c>
      <c r="K905" t="s">
        <v>1332</v>
      </c>
      <c r="L905" t="s">
        <v>789</v>
      </c>
      <c r="M905">
        <v>122.12355041503911</v>
      </c>
      <c r="N905" t="s">
        <v>54</v>
      </c>
      <c r="O905" t="s">
        <v>53</v>
      </c>
      <c r="P905" t="s">
        <v>54</v>
      </c>
      <c r="Q905" t="s">
        <v>53</v>
      </c>
      <c r="R905" t="s">
        <v>53</v>
      </c>
      <c r="S905" t="s">
        <v>790</v>
      </c>
      <c r="T905" t="s">
        <v>1333</v>
      </c>
      <c r="U905" t="s">
        <v>53</v>
      </c>
      <c r="V905" t="s">
        <v>791</v>
      </c>
      <c r="W905">
        <v>1110000</v>
      </c>
      <c r="X905" t="s">
        <v>54</v>
      </c>
      <c r="AA905">
        <v>3634</v>
      </c>
      <c r="AB905">
        <v>2863</v>
      </c>
      <c r="AC905">
        <v>6426</v>
      </c>
      <c r="AD905">
        <v>9197</v>
      </c>
      <c r="AE905">
        <v>12814</v>
      </c>
      <c r="AF905">
        <v>34</v>
      </c>
      <c r="AG905">
        <v>8</v>
      </c>
      <c r="AH905">
        <v>89.206169128417969</v>
      </c>
      <c r="AI905">
        <v>8</v>
      </c>
      <c r="AJ905">
        <v>278.88983154296881</v>
      </c>
      <c r="AK905" t="s">
        <v>53</v>
      </c>
      <c r="AL905" t="s">
        <v>54</v>
      </c>
      <c r="AP905" t="s">
        <v>5451</v>
      </c>
      <c r="AQ905" t="s">
        <v>54</v>
      </c>
      <c r="AT905" t="s">
        <v>1326</v>
      </c>
      <c r="AW905" t="s">
        <v>53</v>
      </c>
      <c r="AZ905" t="s">
        <v>54</v>
      </c>
      <c r="BA905" t="s">
        <v>729</v>
      </c>
    </row>
    <row r="906" spans="1:53" x14ac:dyDescent="0.25">
      <c r="A906">
        <v>901</v>
      </c>
      <c r="B906" t="s">
        <v>1337</v>
      </c>
      <c r="C906" t="s">
        <v>1338</v>
      </c>
      <c r="D906" t="s">
        <v>1339</v>
      </c>
      <c r="E906">
        <v>6</v>
      </c>
      <c r="F906" t="s">
        <v>719</v>
      </c>
      <c r="G906" t="s">
        <v>805</v>
      </c>
      <c r="H906" t="s">
        <v>832</v>
      </c>
      <c r="I906" t="s">
        <v>1340</v>
      </c>
      <c r="J906" t="s">
        <v>1341</v>
      </c>
      <c r="K906" t="s">
        <v>1342</v>
      </c>
      <c r="L906" t="s">
        <v>725</v>
      </c>
      <c r="M906">
        <v>31.025701522827148</v>
      </c>
      <c r="N906" t="s">
        <v>54</v>
      </c>
      <c r="O906" t="s">
        <v>53</v>
      </c>
      <c r="P906" t="s">
        <v>53</v>
      </c>
      <c r="Q906" t="s">
        <v>53</v>
      </c>
      <c r="R906" t="s">
        <v>53</v>
      </c>
      <c r="S906" t="s">
        <v>861</v>
      </c>
      <c r="T906" t="s">
        <v>827</v>
      </c>
      <c r="U906" t="s">
        <v>53</v>
      </c>
      <c r="V906" t="s">
        <v>51</v>
      </c>
      <c r="W906">
        <v>1200000</v>
      </c>
      <c r="X906" t="s">
        <v>54</v>
      </c>
      <c r="AA906">
        <v>812</v>
      </c>
      <c r="AB906">
        <v>489</v>
      </c>
      <c r="AC906">
        <v>2731</v>
      </c>
      <c r="AD906">
        <v>2613</v>
      </c>
      <c r="AE906">
        <v>4689</v>
      </c>
      <c r="AF906">
        <v>24</v>
      </c>
      <c r="AG906">
        <v>2</v>
      </c>
      <c r="AH906">
        <v>18.82630729675293</v>
      </c>
      <c r="AI906">
        <v>2</v>
      </c>
      <c r="AJ906">
        <v>96.262977600097656</v>
      </c>
      <c r="AK906" t="s">
        <v>53</v>
      </c>
      <c r="AL906" t="s">
        <v>53</v>
      </c>
      <c r="AP906" t="s">
        <v>5451</v>
      </c>
      <c r="AQ906" t="s">
        <v>54</v>
      </c>
      <c r="AT906" t="s">
        <v>1343</v>
      </c>
      <c r="AW906" t="s">
        <v>53</v>
      </c>
      <c r="AZ906" t="s">
        <v>54</v>
      </c>
      <c r="BA906" t="s">
        <v>729</v>
      </c>
    </row>
    <row r="907" spans="1:53" x14ac:dyDescent="0.25">
      <c r="A907">
        <v>902</v>
      </c>
      <c r="B907" t="s">
        <v>1351</v>
      </c>
      <c r="C907" t="s">
        <v>1352</v>
      </c>
      <c r="D907" t="s">
        <v>1353</v>
      </c>
      <c r="E907">
        <v>6</v>
      </c>
      <c r="F907" t="s">
        <v>719</v>
      </c>
      <c r="G907" t="s">
        <v>1354</v>
      </c>
      <c r="H907" t="s">
        <v>1048</v>
      </c>
      <c r="I907" t="s">
        <v>1355</v>
      </c>
      <c r="J907" t="s">
        <v>1356</v>
      </c>
      <c r="K907" t="s">
        <v>1357</v>
      </c>
      <c r="L907" t="s">
        <v>789</v>
      </c>
      <c r="M907">
        <v>137.9631042480469</v>
      </c>
      <c r="N907" t="s">
        <v>54</v>
      </c>
      <c r="O907" t="s">
        <v>53</v>
      </c>
      <c r="P907" t="s">
        <v>53</v>
      </c>
      <c r="Q907" t="s">
        <v>53</v>
      </c>
      <c r="R907" t="s">
        <v>53</v>
      </c>
      <c r="S907" t="s">
        <v>861</v>
      </c>
      <c r="T907" t="s">
        <v>1358</v>
      </c>
      <c r="U907" t="s">
        <v>54</v>
      </c>
      <c r="V907" t="s">
        <v>791</v>
      </c>
      <c r="W907">
        <v>670000</v>
      </c>
      <c r="X907" t="s">
        <v>54</v>
      </c>
      <c r="AA907">
        <v>3746</v>
      </c>
      <c r="AB907">
        <v>3076</v>
      </c>
      <c r="AC907">
        <v>5518</v>
      </c>
      <c r="AD907">
        <v>8182</v>
      </c>
      <c r="AE907">
        <v>11473</v>
      </c>
      <c r="AF907">
        <v>53</v>
      </c>
      <c r="AG907">
        <v>0</v>
      </c>
      <c r="AH907">
        <v>114.0920333862305</v>
      </c>
      <c r="AI907">
        <v>0</v>
      </c>
      <c r="AJ907">
        <v>1607.176391601562</v>
      </c>
      <c r="AK907" t="s">
        <v>53</v>
      </c>
      <c r="AL907" t="s">
        <v>54</v>
      </c>
      <c r="AP907" t="s">
        <v>5451</v>
      </c>
      <c r="AQ907" t="s">
        <v>54</v>
      </c>
      <c r="AT907" t="s">
        <v>0</v>
      </c>
      <c r="AW907" t="s">
        <v>53</v>
      </c>
      <c r="AZ907" t="s">
        <v>54</v>
      </c>
      <c r="BA907" t="s">
        <v>729</v>
      </c>
    </row>
    <row r="908" spans="1:53" x14ac:dyDescent="0.25">
      <c r="A908">
        <v>903</v>
      </c>
      <c r="B908" t="s">
        <v>1359</v>
      </c>
      <c r="C908" t="s">
        <v>1360</v>
      </c>
      <c r="D908" t="s">
        <v>1353</v>
      </c>
      <c r="E908">
        <v>6</v>
      </c>
      <c r="F908" t="s">
        <v>719</v>
      </c>
      <c r="G908" t="s">
        <v>1073</v>
      </c>
      <c r="H908" t="s">
        <v>1048</v>
      </c>
      <c r="I908" t="s">
        <v>1361</v>
      </c>
      <c r="J908" t="s">
        <v>1362</v>
      </c>
      <c r="K908" t="s">
        <v>1363</v>
      </c>
      <c r="L908" t="s">
        <v>789</v>
      </c>
      <c r="M908">
        <v>128.15838623046881</v>
      </c>
      <c r="N908" t="s">
        <v>54</v>
      </c>
      <c r="O908" t="s">
        <v>53</v>
      </c>
      <c r="P908" t="s">
        <v>53</v>
      </c>
      <c r="Q908" t="s">
        <v>53</v>
      </c>
      <c r="R908" t="s">
        <v>53</v>
      </c>
      <c r="S908" t="s">
        <v>861</v>
      </c>
      <c r="T908" t="s">
        <v>1364</v>
      </c>
      <c r="U908" t="s">
        <v>54</v>
      </c>
      <c r="V908" t="s">
        <v>791</v>
      </c>
      <c r="W908">
        <v>620000</v>
      </c>
      <c r="X908" t="s">
        <v>54</v>
      </c>
      <c r="AA908">
        <v>1052</v>
      </c>
      <c r="AB908">
        <v>833</v>
      </c>
      <c r="AC908">
        <v>2423</v>
      </c>
      <c r="AD908">
        <v>2598</v>
      </c>
      <c r="AE908">
        <v>4313</v>
      </c>
      <c r="AF908">
        <v>11</v>
      </c>
      <c r="AG908">
        <v>5</v>
      </c>
      <c r="AH908">
        <v>34.053718566894531</v>
      </c>
      <c r="AI908">
        <v>5</v>
      </c>
      <c r="AJ908">
        <v>753.00469970703125</v>
      </c>
      <c r="AK908" t="s">
        <v>53</v>
      </c>
      <c r="AL908" t="s">
        <v>54</v>
      </c>
      <c r="AP908" t="s">
        <v>5451</v>
      </c>
      <c r="AQ908" t="s">
        <v>54</v>
      </c>
      <c r="AT908" t="s">
        <v>0</v>
      </c>
      <c r="AW908" t="s">
        <v>53</v>
      </c>
      <c r="AZ908" t="s">
        <v>54</v>
      </c>
      <c r="BA908" t="s">
        <v>729</v>
      </c>
    </row>
    <row r="909" spans="1:53" x14ac:dyDescent="0.25">
      <c r="A909">
        <v>904</v>
      </c>
      <c r="B909" t="s">
        <v>1365</v>
      </c>
      <c r="C909" t="s">
        <v>1366</v>
      </c>
      <c r="D909" t="s">
        <v>1353</v>
      </c>
      <c r="E909">
        <v>6</v>
      </c>
      <c r="F909" t="s">
        <v>719</v>
      </c>
      <c r="G909" t="s">
        <v>925</v>
      </c>
      <c r="H909" t="s">
        <v>806</v>
      </c>
      <c r="I909" t="s">
        <v>1367</v>
      </c>
      <c r="J909" t="s">
        <v>1368</v>
      </c>
      <c r="K909" t="s">
        <v>1369</v>
      </c>
      <c r="L909" t="s">
        <v>789</v>
      </c>
      <c r="M909">
        <v>101.5083465576172</v>
      </c>
      <c r="N909" t="s">
        <v>54</v>
      </c>
      <c r="O909" t="s">
        <v>53</v>
      </c>
      <c r="P909" t="s">
        <v>53</v>
      </c>
      <c r="Q909" t="s">
        <v>53</v>
      </c>
      <c r="R909" t="s">
        <v>53</v>
      </c>
      <c r="S909" t="s">
        <v>861</v>
      </c>
      <c r="T909" t="s">
        <v>1370</v>
      </c>
      <c r="U909" t="s">
        <v>54</v>
      </c>
      <c r="V909" t="s">
        <v>791</v>
      </c>
      <c r="W909">
        <v>500000</v>
      </c>
      <c r="X909" t="s">
        <v>54</v>
      </c>
      <c r="AA909">
        <v>1999</v>
      </c>
      <c r="AB909">
        <v>1533</v>
      </c>
      <c r="AC909">
        <v>36738</v>
      </c>
      <c r="AD909">
        <v>19846</v>
      </c>
      <c r="AE909">
        <v>44477</v>
      </c>
      <c r="AF909">
        <v>34</v>
      </c>
      <c r="AG909">
        <v>0</v>
      </c>
      <c r="AH909">
        <v>38.711746215820313</v>
      </c>
      <c r="AI909">
        <v>0</v>
      </c>
      <c r="AJ909">
        <v>17.899942398071289</v>
      </c>
      <c r="AK909" t="s">
        <v>53</v>
      </c>
      <c r="AL909" t="s">
        <v>54</v>
      </c>
      <c r="AP909" t="s">
        <v>5451</v>
      </c>
      <c r="AQ909" t="s">
        <v>54</v>
      </c>
      <c r="AT909" t="s">
        <v>0</v>
      </c>
      <c r="AW909" t="s">
        <v>53</v>
      </c>
      <c r="AZ909" t="s">
        <v>54</v>
      </c>
      <c r="BA909" t="s">
        <v>729</v>
      </c>
    </row>
    <row r="910" spans="1:53" x14ac:dyDescent="0.25">
      <c r="A910">
        <v>905</v>
      </c>
      <c r="B910" t="s">
        <v>1371</v>
      </c>
      <c r="C910" t="s">
        <v>1372</v>
      </c>
      <c r="D910" t="s">
        <v>1353</v>
      </c>
      <c r="E910">
        <v>6</v>
      </c>
      <c r="F910" t="s">
        <v>719</v>
      </c>
      <c r="G910" t="s">
        <v>925</v>
      </c>
      <c r="H910" t="s">
        <v>806</v>
      </c>
      <c r="I910" t="s">
        <v>1373</v>
      </c>
      <c r="J910" t="s">
        <v>1374</v>
      </c>
      <c r="K910" t="s">
        <v>1375</v>
      </c>
      <c r="L910" t="s">
        <v>789</v>
      </c>
      <c r="M910">
        <v>128.20668029785159</v>
      </c>
      <c r="N910" t="s">
        <v>54</v>
      </c>
      <c r="O910" t="s">
        <v>53</v>
      </c>
      <c r="P910" t="s">
        <v>53</v>
      </c>
      <c r="Q910" t="s">
        <v>53</v>
      </c>
      <c r="R910" t="s">
        <v>53</v>
      </c>
      <c r="S910" t="s">
        <v>861</v>
      </c>
      <c r="T910" t="s">
        <v>1376</v>
      </c>
      <c r="U910" t="s">
        <v>54</v>
      </c>
      <c r="V910" t="s">
        <v>791</v>
      </c>
      <c r="W910">
        <v>620000</v>
      </c>
      <c r="X910" t="s">
        <v>54</v>
      </c>
      <c r="AA910">
        <v>40950</v>
      </c>
      <c r="AB910">
        <v>37646</v>
      </c>
      <c r="AC910">
        <v>207310</v>
      </c>
      <c r="AD910">
        <v>216138</v>
      </c>
      <c r="AE910">
        <v>361848</v>
      </c>
      <c r="AF910">
        <v>594</v>
      </c>
      <c r="AG910">
        <v>2</v>
      </c>
      <c r="AH910">
        <v>537.13714599609375</v>
      </c>
      <c r="AI910">
        <v>2</v>
      </c>
      <c r="AJ910">
        <v>45.186000823974609</v>
      </c>
      <c r="AK910" t="s">
        <v>53</v>
      </c>
      <c r="AL910" t="s">
        <v>54</v>
      </c>
      <c r="AP910" t="s">
        <v>5451</v>
      </c>
      <c r="AQ910" t="s">
        <v>54</v>
      </c>
      <c r="AT910" t="s">
        <v>0</v>
      </c>
      <c r="AW910" t="s">
        <v>53</v>
      </c>
      <c r="AZ910" t="s">
        <v>54</v>
      </c>
      <c r="BA910" t="s">
        <v>729</v>
      </c>
    </row>
    <row r="911" spans="1:53" x14ac:dyDescent="0.25">
      <c r="A911">
        <v>906</v>
      </c>
      <c r="B911" t="s">
        <v>1377</v>
      </c>
      <c r="C911" t="s">
        <v>1378</v>
      </c>
      <c r="D911" t="s">
        <v>1353</v>
      </c>
      <c r="E911">
        <v>6</v>
      </c>
      <c r="F911" t="s">
        <v>719</v>
      </c>
      <c r="G911" t="s">
        <v>1354</v>
      </c>
      <c r="H911" t="s">
        <v>1048</v>
      </c>
      <c r="I911" t="s">
        <v>1379</v>
      </c>
      <c r="J911" t="s">
        <v>1380</v>
      </c>
      <c r="K911" t="s">
        <v>1381</v>
      </c>
      <c r="L911" t="s">
        <v>789</v>
      </c>
      <c r="M911">
        <v>266.21206665039063</v>
      </c>
      <c r="N911" t="s">
        <v>54</v>
      </c>
      <c r="O911" t="s">
        <v>53</v>
      </c>
      <c r="P911" t="s">
        <v>53</v>
      </c>
      <c r="Q911" t="s">
        <v>53</v>
      </c>
      <c r="R911" t="s">
        <v>53</v>
      </c>
      <c r="S911" t="s">
        <v>861</v>
      </c>
      <c r="T911" t="s">
        <v>1382</v>
      </c>
      <c r="U911" t="s">
        <v>54</v>
      </c>
      <c r="V911" t="s">
        <v>791</v>
      </c>
      <c r="W911">
        <v>1230000</v>
      </c>
      <c r="X911" t="s">
        <v>54</v>
      </c>
      <c r="AA911">
        <v>4162</v>
      </c>
      <c r="AB911">
        <v>3210</v>
      </c>
      <c r="AC911">
        <v>12344</v>
      </c>
      <c r="AD911">
        <v>13880</v>
      </c>
      <c r="AE911">
        <v>22497</v>
      </c>
      <c r="AF911">
        <v>89</v>
      </c>
      <c r="AG911">
        <v>18</v>
      </c>
      <c r="AH911">
        <v>109.47789001464839</v>
      </c>
      <c r="AI911">
        <v>18</v>
      </c>
      <c r="AJ911">
        <v>1659.59765625</v>
      </c>
      <c r="AK911" t="s">
        <v>53</v>
      </c>
      <c r="AL911" t="s">
        <v>54</v>
      </c>
      <c r="AP911" t="s">
        <v>5451</v>
      </c>
      <c r="AQ911" t="s">
        <v>54</v>
      </c>
      <c r="AT911" t="s">
        <v>0</v>
      </c>
      <c r="AW911" t="s">
        <v>53</v>
      </c>
      <c r="AZ911" t="s">
        <v>54</v>
      </c>
      <c r="BA911" t="s">
        <v>729</v>
      </c>
    </row>
    <row r="912" spans="1:53" x14ac:dyDescent="0.25">
      <c r="A912">
        <v>907</v>
      </c>
      <c r="B912" t="s">
        <v>1383</v>
      </c>
      <c r="C912" t="s">
        <v>1384</v>
      </c>
      <c r="D912" t="s">
        <v>1353</v>
      </c>
      <c r="E912">
        <v>6</v>
      </c>
      <c r="F912" t="s">
        <v>719</v>
      </c>
      <c r="G912" t="s">
        <v>805</v>
      </c>
      <c r="H912" t="s">
        <v>806</v>
      </c>
      <c r="I912" t="s">
        <v>1385</v>
      </c>
      <c r="J912" t="s">
        <v>1386</v>
      </c>
      <c r="K912" t="s">
        <v>1387</v>
      </c>
      <c r="L912" t="s">
        <v>789</v>
      </c>
      <c r="M912">
        <v>30.87228965759277</v>
      </c>
      <c r="N912" t="s">
        <v>54</v>
      </c>
      <c r="O912" t="s">
        <v>53</v>
      </c>
      <c r="P912" t="s">
        <v>53</v>
      </c>
      <c r="Q912" t="s">
        <v>53</v>
      </c>
      <c r="R912" t="s">
        <v>53</v>
      </c>
      <c r="S912" t="s">
        <v>861</v>
      </c>
      <c r="T912" t="s">
        <v>1388</v>
      </c>
      <c r="U912" t="s">
        <v>54</v>
      </c>
      <c r="V912" t="s">
        <v>791</v>
      </c>
      <c r="W912">
        <v>500000</v>
      </c>
      <c r="X912" t="s">
        <v>54</v>
      </c>
      <c r="AA912">
        <v>6244</v>
      </c>
      <c r="AB912">
        <v>5220</v>
      </c>
      <c r="AC912">
        <v>24003</v>
      </c>
      <c r="AD912">
        <v>14423</v>
      </c>
      <c r="AE912">
        <v>34523</v>
      </c>
      <c r="AF912">
        <v>98</v>
      </c>
      <c r="AG912">
        <v>6</v>
      </c>
      <c r="AH912">
        <v>101.51442718505859</v>
      </c>
      <c r="AI912">
        <v>6</v>
      </c>
      <c r="AJ912">
        <v>21.130636215209961</v>
      </c>
      <c r="AK912" t="s">
        <v>53</v>
      </c>
      <c r="AL912" t="s">
        <v>54</v>
      </c>
      <c r="AP912" t="s">
        <v>5451</v>
      </c>
      <c r="AQ912" t="s">
        <v>54</v>
      </c>
      <c r="AT912" t="s">
        <v>0</v>
      </c>
      <c r="AW912" t="s">
        <v>53</v>
      </c>
      <c r="AZ912" t="s">
        <v>54</v>
      </c>
      <c r="BA912" t="s">
        <v>729</v>
      </c>
    </row>
    <row r="913" spans="1:53" x14ac:dyDescent="0.25">
      <c r="A913">
        <v>908</v>
      </c>
      <c r="B913" t="s">
        <v>1389</v>
      </c>
      <c r="C913" t="s">
        <v>1390</v>
      </c>
      <c r="D913" t="s">
        <v>1353</v>
      </c>
      <c r="E913">
        <v>6</v>
      </c>
      <c r="F913" t="s">
        <v>719</v>
      </c>
      <c r="G913" t="s">
        <v>925</v>
      </c>
      <c r="H913" t="s">
        <v>857</v>
      </c>
      <c r="I913" t="s">
        <v>1391</v>
      </c>
      <c r="J913" t="s">
        <v>1392</v>
      </c>
      <c r="K913" t="s">
        <v>1393</v>
      </c>
      <c r="L913" t="s">
        <v>789</v>
      </c>
      <c r="M913">
        <v>93.214973449707031</v>
      </c>
      <c r="N913" t="s">
        <v>54</v>
      </c>
      <c r="O913" t="s">
        <v>53</v>
      </c>
      <c r="P913" t="s">
        <v>53</v>
      </c>
      <c r="Q913" t="s">
        <v>53</v>
      </c>
      <c r="R913" t="s">
        <v>53</v>
      </c>
      <c r="S913" t="s">
        <v>861</v>
      </c>
      <c r="T913" t="s">
        <v>1394</v>
      </c>
      <c r="U913" t="s">
        <v>54</v>
      </c>
      <c r="V913" t="s">
        <v>791</v>
      </c>
      <c r="W913">
        <v>470000</v>
      </c>
      <c r="X913" t="s">
        <v>54</v>
      </c>
      <c r="AA913">
        <v>5858</v>
      </c>
      <c r="AB913">
        <v>4884</v>
      </c>
      <c r="AC913">
        <v>19427</v>
      </c>
      <c r="AD913">
        <v>22217</v>
      </c>
      <c r="AE913">
        <v>34907</v>
      </c>
      <c r="AF913">
        <v>74</v>
      </c>
      <c r="AG913">
        <v>10</v>
      </c>
      <c r="AH913">
        <v>102.9738006591797</v>
      </c>
      <c r="AI913">
        <v>10</v>
      </c>
      <c r="AJ913">
        <v>50.513633728027337</v>
      </c>
      <c r="AK913" t="s">
        <v>53</v>
      </c>
      <c r="AL913" t="s">
        <v>54</v>
      </c>
      <c r="AP913" t="s">
        <v>5451</v>
      </c>
      <c r="AQ913" t="s">
        <v>54</v>
      </c>
      <c r="AT913" t="s">
        <v>0</v>
      </c>
      <c r="AW913" t="s">
        <v>53</v>
      </c>
      <c r="AZ913" t="s">
        <v>54</v>
      </c>
      <c r="BA913" t="s">
        <v>729</v>
      </c>
    </row>
    <row r="914" spans="1:53" x14ac:dyDescent="0.25">
      <c r="A914">
        <v>909</v>
      </c>
      <c r="B914" t="s">
        <v>1395</v>
      </c>
      <c r="C914" t="s">
        <v>1396</v>
      </c>
      <c r="D914" t="s">
        <v>1353</v>
      </c>
      <c r="E914">
        <v>6</v>
      </c>
      <c r="F914" t="s">
        <v>719</v>
      </c>
      <c r="G914" t="s">
        <v>805</v>
      </c>
      <c r="H914" t="s">
        <v>1048</v>
      </c>
      <c r="I914" t="s">
        <v>1397</v>
      </c>
      <c r="J914" t="s">
        <v>1398</v>
      </c>
      <c r="K914" t="s">
        <v>1399</v>
      </c>
      <c r="L914" t="s">
        <v>725</v>
      </c>
      <c r="M914">
        <v>110.702278137207</v>
      </c>
      <c r="N914" t="s">
        <v>54</v>
      </c>
      <c r="O914" t="s">
        <v>53</v>
      </c>
      <c r="P914" t="s">
        <v>53</v>
      </c>
      <c r="Q914" t="s">
        <v>53</v>
      </c>
      <c r="R914" t="s">
        <v>53</v>
      </c>
      <c r="S914" t="s">
        <v>861</v>
      </c>
      <c r="T914" t="s">
        <v>1400</v>
      </c>
      <c r="U914" t="s">
        <v>54</v>
      </c>
      <c r="V914" t="s">
        <v>791</v>
      </c>
      <c r="W914">
        <v>800000</v>
      </c>
      <c r="X914" t="s">
        <v>54</v>
      </c>
      <c r="AA914">
        <v>17103</v>
      </c>
      <c r="AB914">
        <v>14706</v>
      </c>
      <c r="AC914">
        <v>85064</v>
      </c>
      <c r="AD914">
        <v>64740</v>
      </c>
      <c r="AE914">
        <v>127789</v>
      </c>
      <c r="AF914">
        <v>149</v>
      </c>
      <c r="AG914">
        <v>4</v>
      </c>
      <c r="AH914">
        <v>280.86917114257813</v>
      </c>
      <c r="AI914">
        <v>4</v>
      </c>
      <c r="AJ914">
        <v>28.36691856384277</v>
      </c>
      <c r="AK914" t="s">
        <v>53</v>
      </c>
      <c r="AL914" t="s">
        <v>54</v>
      </c>
      <c r="AP914" t="s">
        <v>5451</v>
      </c>
      <c r="AQ914" t="s">
        <v>54</v>
      </c>
      <c r="AT914" t="s">
        <v>0</v>
      </c>
      <c r="AW914" t="s">
        <v>53</v>
      </c>
      <c r="AZ914" t="s">
        <v>54</v>
      </c>
      <c r="BA914" t="s">
        <v>729</v>
      </c>
    </row>
    <row r="915" spans="1:53" x14ac:dyDescent="0.25">
      <c r="A915">
        <v>910</v>
      </c>
      <c r="B915" t="s">
        <v>1401</v>
      </c>
      <c r="C915" t="s">
        <v>1402</v>
      </c>
      <c r="D915" t="s">
        <v>1403</v>
      </c>
      <c r="E915">
        <v>6</v>
      </c>
      <c r="F915" t="s">
        <v>719</v>
      </c>
      <c r="G915" t="s">
        <v>805</v>
      </c>
      <c r="H915" t="s">
        <v>806</v>
      </c>
      <c r="I915" t="s">
        <v>899</v>
      </c>
      <c r="J915" t="s">
        <v>1404</v>
      </c>
      <c r="K915" t="s">
        <v>1405</v>
      </c>
      <c r="L915" t="s">
        <v>725</v>
      </c>
      <c r="M915">
        <v>3.3411228656768799</v>
      </c>
      <c r="N915" t="s">
        <v>54</v>
      </c>
      <c r="O915" t="s">
        <v>53</v>
      </c>
      <c r="P915" t="s">
        <v>53</v>
      </c>
      <c r="Q915" t="s">
        <v>53</v>
      </c>
      <c r="R915" t="s">
        <v>53</v>
      </c>
      <c r="S915" t="s">
        <v>861</v>
      </c>
      <c r="T915" t="s">
        <v>1406</v>
      </c>
      <c r="U915" t="s">
        <v>53</v>
      </c>
      <c r="V915" t="s">
        <v>51</v>
      </c>
      <c r="W915">
        <v>690000</v>
      </c>
      <c r="X915" t="s">
        <v>54</v>
      </c>
      <c r="AA915">
        <v>3295</v>
      </c>
      <c r="AB915">
        <v>3096</v>
      </c>
      <c r="AC915">
        <v>14252</v>
      </c>
      <c r="AD915">
        <v>15768</v>
      </c>
      <c r="AE915">
        <v>25842</v>
      </c>
      <c r="AF915">
        <v>34</v>
      </c>
      <c r="AG915">
        <v>0</v>
      </c>
      <c r="AH915">
        <v>37.208820343017578</v>
      </c>
      <c r="AI915">
        <v>0</v>
      </c>
      <c r="AJ915">
        <v>0.39104369282722468</v>
      </c>
      <c r="AK915" t="s">
        <v>53</v>
      </c>
      <c r="AL915" t="s">
        <v>54</v>
      </c>
      <c r="AP915" t="s">
        <v>5451</v>
      </c>
      <c r="AQ915" t="s">
        <v>54</v>
      </c>
      <c r="AT915" t="s">
        <v>1407</v>
      </c>
      <c r="AW915" t="s">
        <v>53</v>
      </c>
      <c r="AZ915" t="s">
        <v>54</v>
      </c>
      <c r="BA915" t="s">
        <v>729</v>
      </c>
    </row>
    <row r="916" spans="1:53" x14ac:dyDescent="0.25">
      <c r="A916">
        <v>911</v>
      </c>
      <c r="B916" t="s">
        <v>1408</v>
      </c>
      <c r="C916" t="s">
        <v>1409</v>
      </c>
      <c r="D916" t="s">
        <v>1410</v>
      </c>
      <c r="E916">
        <v>6</v>
      </c>
      <c r="F916" t="s">
        <v>719</v>
      </c>
      <c r="G916" t="s">
        <v>925</v>
      </c>
      <c r="H916" t="s">
        <v>806</v>
      </c>
      <c r="I916" t="s">
        <v>1411</v>
      </c>
      <c r="J916" t="s">
        <v>1412</v>
      </c>
      <c r="K916" t="s">
        <v>1413</v>
      </c>
      <c r="L916" t="s">
        <v>725</v>
      </c>
      <c r="M916">
        <v>34.139022827148438</v>
      </c>
      <c r="N916" t="s">
        <v>54</v>
      </c>
      <c r="O916" t="s">
        <v>53</v>
      </c>
      <c r="P916" t="s">
        <v>53</v>
      </c>
      <c r="Q916" t="s">
        <v>53</v>
      </c>
      <c r="R916" t="s">
        <v>53</v>
      </c>
      <c r="S916" t="s">
        <v>861</v>
      </c>
      <c r="T916" t="s">
        <v>1414</v>
      </c>
      <c r="U916" t="s">
        <v>53</v>
      </c>
      <c r="V916" t="s">
        <v>51</v>
      </c>
      <c r="W916">
        <v>1020000</v>
      </c>
      <c r="X916" t="s">
        <v>54</v>
      </c>
      <c r="AA916">
        <v>328</v>
      </c>
      <c r="AB916">
        <v>254</v>
      </c>
      <c r="AC916">
        <v>740</v>
      </c>
      <c r="AD916">
        <v>1350</v>
      </c>
      <c r="AE916">
        <v>1703</v>
      </c>
      <c r="AF916">
        <v>1</v>
      </c>
      <c r="AG916">
        <v>0</v>
      </c>
      <c r="AH916">
        <v>19.764970779418949</v>
      </c>
      <c r="AI916">
        <v>0</v>
      </c>
      <c r="AJ916">
        <v>217.6001892089844</v>
      </c>
      <c r="AK916" t="s">
        <v>53</v>
      </c>
      <c r="AL916" t="s">
        <v>54</v>
      </c>
      <c r="AP916" t="s">
        <v>5451</v>
      </c>
      <c r="AQ916" t="s">
        <v>54</v>
      </c>
      <c r="AT916" t="s">
        <v>1407</v>
      </c>
      <c r="AW916" t="s">
        <v>53</v>
      </c>
      <c r="AZ916" t="s">
        <v>54</v>
      </c>
      <c r="BA916" t="s">
        <v>729</v>
      </c>
    </row>
    <row r="917" spans="1:53" x14ac:dyDescent="0.25">
      <c r="A917">
        <v>912</v>
      </c>
      <c r="B917" t="s">
        <v>1415</v>
      </c>
      <c r="C917" t="s">
        <v>1416</v>
      </c>
      <c r="D917" t="s">
        <v>1417</v>
      </c>
      <c r="E917">
        <v>6</v>
      </c>
      <c r="F917" t="s">
        <v>719</v>
      </c>
      <c r="G917" t="s">
        <v>1418</v>
      </c>
      <c r="H917" t="s">
        <v>1419</v>
      </c>
      <c r="I917" t="s">
        <v>1420</v>
      </c>
      <c r="J917" t="s">
        <v>1412</v>
      </c>
      <c r="K917" t="s">
        <v>1413</v>
      </c>
      <c r="L917" t="s">
        <v>725</v>
      </c>
      <c r="M917">
        <v>384.39297485351563</v>
      </c>
      <c r="N917" t="s">
        <v>54</v>
      </c>
      <c r="O917" t="s">
        <v>53</v>
      </c>
      <c r="P917" t="s">
        <v>53</v>
      </c>
      <c r="Q917" t="s">
        <v>53</v>
      </c>
      <c r="R917" t="s">
        <v>53</v>
      </c>
      <c r="S917" t="s">
        <v>861</v>
      </c>
      <c r="T917" t="s">
        <v>1421</v>
      </c>
      <c r="U917" t="s">
        <v>53</v>
      </c>
      <c r="V917" t="s">
        <v>51</v>
      </c>
      <c r="W917">
        <v>870000</v>
      </c>
      <c r="X917" t="s">
        <v>54</v>
      </c>
      <c r="AA917">
        <v>4191</v>
      </c>
      <c r="AB917">
        <v>3436</v>
      </c>
      <c r="AC917">
        <v>17055</v>
      </c>
      <c r="AD917">
        <v>9170</v>
      </c>
      <c r="AE917">
        <v>23627</v>
      </c>
      <c r="AF917">
        <v>44</v>
      </c>
      <c r="AG917">
        <v>27</v>
      </c>
      <c r="AH917">
        <v>106.1284255981445</v>
      </c>
      <c r="AI917">
        <v>27</v>
      </c>
      <c r="AJ917">
        <v>231.65153503417969</v>
      </c>
      <c r="AK917" t="s">
        <v>53</v>
      </c>
      <c r="AL917" t="s">
        <v>54</v>
      </c>
      <c r="AP917" t="s">
        <v>5451</v>
      </c>
      <c r="AQ917" t="s">
        <v>54</v>
      </c>
      <c r="AT917" t="s">
        <v>1407</v>
      </c>
      <c r="AW917" t="s">
        <v>53</v>
      </c>
      <c r="AZ917" t="s">
        <v>54</v>
      </c>
      <c r="BA917" t="s">
        <v>729</v>
      </c>
    </row>
    <row r="918" spans="1:53" x14ac:dyDescent="0.25">
      <c r="A918">
        <v>913</v>
      </c>
      <c r="B918" t="s">
        <v>1425</v>
      </c>
      <c r="C918" t="s">
        <v>1426</v>
      </c>
      <c r="D918" t="s">
        <v>1427</v>
      </c>
      <c r="E918">
        <v>6</v>
      </c>
      <c r="F918" t="s">
        <v>719</v>
      </c>
      <c r="G918" t="s">
        <v>805</v>
      </c>
      <c r="H918" t="s">
        <v>1243</v>
      </c>
      <c r="I918" t="s">
        <v>1428</v>
      </c>
      <c r="J918" t="s">
        <v>1429</v>
      </c>
      <c r="K918" t="s">
        <v>1430</v>
      </c>
      <c r="L918" t="s">
        <v>725</v>
      </c>
      <c r="M918">
        <v>5.5768203735351563</v>
      </c>
      <c r="N918" t="s">
        <v>54</v>
      </c>
      <c r="O918" t="s">
        <v>53</v>
      </c>
      <c r="P918" t="s">
        <v>53</v>
      </c>
      <c r="Q918" t="s">
        <v>53</v>
      </c>
      <c r="R918" t="s">
        <v>53</v>
      </c>
      <c r="S918" t="s">
        <v>861</v>
      </c>
      <c r="T918" t="s">
        <v>819</v>
      </c>
      <c r="U918" t="s">
        <v>53</v>
      </c>
      <c r="V918" t="s">
        <v>51</v>
      </c>
      <c r="W918">
        <v>100000</v>
      </c>
      <c r="X918" t="s">
        <v>54</v>
      </c>
      <c r="AA918">
        <v>178</v>
      </c>
      <c r="AB918">
        <v>104</v>
      </c>
      <c r="AC918">
        <v>197</v>
      </c>
      <c r="AD918">
        <v>419</v>
      </c>
      <c r="AE918">
        <v>520</v>
      </c>
      <c r="AF918">
        <v>0</v>
      </c>
      <c r="AG918">
        <v>0</v>
      </c>
      <c r="AH918">
        <v>1.738477230072021</v>
      </c>
      <c r="AI918">
        <v>0</v>
      </c>
      <c r="AJ918">
        <v>12.908957481384279</v>
      </c>
      <c r="AK918" t="s">
        <v>53</v>
      </c>
      <c r="AL918" t="s">
        <v>54</v>
      </c>
      <c r="AP918" t="s">
        <v>5451</v>
      </c>
      <c r="AQ918" t="s">
        <v>54</v>
      </c>
      <c r="AT918" t="s">
        <v>0</v>
      </c>
      <c r="AW918" t="s">
        <v>53</v>
      </c>
      <c r="AZ918" t="s">
        <v>54</v>
      </c>
      <c r="BA918" t="s">
        <v>729</v>
      </c>
    </row>
    <row r="919" spans="1:53" x14ac:dyDescent="0.25">
      <c r="A919">
        <v>914</v>
      </c>
      <c r="B919" t="s">
        <v>1431</v>
      </c>
      <c r="C919" t="s">
        <v>1432</v>
      </c>
      <c r="D919" t="s">
        <v>1427</v>
      </c>
      <c r="E919">
        <v>6</v>
      </c>
      <c r="F919" t="s">
        <v>719</v>
      </c>
      <c r="G919" t="s">
        <v>805</v>
      </c>
      <c r="H919" t="s">
        <v>1243</v>
      </c>
      <c r="I919" t="s">
        <v>1433</v>
      </c>
      <c r="J919" t="s">
        <v>1434</v>
      </c>
      <c r="K919" t="s">
        <v>1435</v>
      </c>
      <c r="L919" t="s">
        <v>725</v>
      </c>
      <c r="M919">
        <v>5.2360281944274902</v>
      </c>
      <c r="N919" t="s">
        <v>54</v>
      </c>
      <c r="O919" t="s">
        <v>53</v>
      </c>
      <c r="P919" t="s">
        <v>53</v>
      </c>
      <c r="Q919" t="s">
        <v>53</v>
      </c>
      <c r="R919" t="s">
        <v>53</v>
      </c>
      <c r="S919" t="s">
        <v>861</v>
      </c>
      <c r="T919" t="s">
        <v>827</v>
      </c>
      <c r="U919" t="s">
        <v>53</v>
      </c>
      <c r="V919" t="s">
        <v>51</v>
      </c>
      <c r="W919">
        <v>100000</v>
      </c>
      <c r="X919" t="s">
        <v>54</v>
      </c>
      <c r="AA919">
        <v>116</v>
      </c>
      <c r="AB919">
        <v>92</v>
      </c>
      <c r="AC919">
        <v>93</v>
      </c>
      <c r="AD919">
        <v>241</v>
      </c>
      <c r="AE919">
        <v>265</v>
      </c>
      <c r="AF919">
        <v>8</v>
      </c>
      <c r="AG919">
        <v>0</v>
      </c>
      <c r="AH919">
        <v>2.7205624580383301</v>
      </c>
      <c r="AI919">
        <v>0</v>
      </c>
      <c r="AJ919">
        <v>4.3515009880065918</v>
      </c>
      <c r="AK919" t="s">
        <v>53</v>
      </c>
      <c r="AL919" t="s">
        <v>54</v>
      </c>
      <c r="AP919" t="s">
        <v>5451</v>
      </c>
      <c r="AQ919" t="s">
        <v>54</v>
      </c>
      <c r="AT919" t="s">
        <v>0</v>
      </c>
      <c r="AW919" t="s">
        <v>53</v>
      </c>
      <c r="AZ919" t="s">
        <v>54</v>
      </c>
      <c r="BA919" t="s">
        <v>729</v>
      </c>
    </row>
    <row r="920" spans="1:53" x14ac:dyDescent="0.25">
      <c r="A920">
        <v>915</v>
      </c>
      <c r="B920" t="s">
        <v>1436</v>
      </c>
      <c r="C920" t="s">
        <v>1437</v>
      </c>
      <c r="D920" t="s">
        <v>1427</v>
      </c>
      <c r="E920">
        <v>6</v>
      </c>
      <c r="F920" t="s">
        <v>719</v>
      </c>
      <c r="G920" t="s">
        <v>805</v>
      </c>
      <c r="H920" t="s">
        <v>1243</v>
      </c>
      <c r="I920" t="s">
        <v>1428</v>
      </c>
      <c r="J920" t="s">
        <v>1438</v>
      </c>
      <c r="K920" t="s">
        <v>1439</v>
      </c>
      <c r="L920" t="s">
        <v>725</v>
      </c>
      <c r="M920">
        <v>14.956412315368651</v>
      </c>
      <c r="N920" t="s">
        <v>54</v>
      </c>
      <c r="O920" t="s">
        <v>53</v>
      </c>
      <c r="P920" t="s">
        <v>53</v>
      </c>
      <c r="Q920" t="s">
        <v>53</v>
      </c>
      <c r="R920" t="s">
        <v>53</v>
      </c>
      <c r="S920" t="s">
        <v>861</v>
      </c>
      <c r="T920" t="s">
        <v>819</v>
      </c>
      <c r="U920" t="s">
        <v>53</v>
      </c>
      <c r="V920" t="s">
        <v>51</v>
      </c>
      <c r="W920">
        <v>300000</v>
      </c>
      <c r="X920" t="s">
        <v>54</v>
      </c>
      <c r="AA920">
        <v>182</v>
      </c>
      <c r="AB920">
        <v>162</v>
      </c>
      <c r="AC920">
        <v>109</v>
      </c>
      <c r="AD920">
        <v>471</v>
      </c>
      <c r="AE920">
        <v>472</v>
      </c>
      <c r="AF920">
        <v>0</v>
      </c>
      <c r="AG920">
        <v>3</v>
      </c>
      <c r="AH920">
        <v>3.9015812873840332</v>
      </c>
      <c r="AI920">
        <v>3</v>
      </c>
      <c r="AJ920">
        <v>7.9764571189880371</v>
      </c>
      <c r="AK920" t="s">
        <v>53</v>
      </c>
      <c r="AL920" t="s">
        <v>54</v>
      </c>
      <c r="AP920" t="s">
        <v>5451</v>
      </c>
      <c r="AQ920" t="s">
        <v>54</v>
      </c>
      <c r="AT920" t="s">
        <v>0</v>
      </c>
      <c r="AW920" t="s">
        <v>53</v>
      </c>
      <c r="AZ920" t="s">
        <v>54</v>
      </c>
      <c r="BA920" t="s">
        <v>729</v>
      </c>
    </row>
    <row r="921" spans="1:53" x14ac:dyDescent="0.25">
      <c r="A921">
        <v>916</v>
      </c>
      <c r="B921" t="s">
        <v>1440</v>
      </c>
      <c r="C921" t="s">
        <v>1441</v>
      </c>
      <c r="D921" t="s">
        <v>1427</v>
      </c>
      <c r="E921">
        <v>6</v>
      </c>
      <c r="F921" t="s">
        <v>719</v>
      </c>
      <c r="G921" t="s">
        <v>805</v>
      </c>
      <c r="H921" t="s">
        <v>806</v>
      </c>
      <c r="I921" t="s">
        <v>1442</v>
      </c>
      <c r="J921" t="s">
        <v>1443</v>
      </c>
      <c r="K921" t="s">
        <v>1444</v>
      </c>
      <c r="L921" t="s">
        <v>789</v>
      </c>
      <c r="M921">
        <v>0.1349795460700989</v>
      </c>
      <c r="N921" t="s">
        <v>54</v>
      </c>
      <c r="O921" t="s">
        <v>53</v>
      </c>
      <c r="P921" t="s">
        <v>53</v>
      </c>
      <c r="Q921" t="s">
        <v>53</v>
      </c>
      <c r="R921" t="s">
        <v>53</v>
      </c>
      <c r="S921" t="s">
        <v>861</v>
      </c>
      <c r="T921" t="s">
        <v>827</v>
      </c>
      <c r="U921" t="s">
        <v>53</v>
      </c>
      <c r="V921" t="s">
        <v>51</v>
      </c>
      <c r="W921">
        <v>100000</v>
      </c>
      <c r="X921" t="s">
        <v>54</v>
      </c>
      <c r="AA921">
        <v>94</v>
      </c>
      <c r="AB921">
        <v>84</v>
      </c>
      <c r="AC921">
        <v>26</v>
      </c>
      <c r="AD921">
        <v>125</v>
      </c>
      <c r="AE921">
        <v>130</v>
      </c>
      <c r="AF921">
        <v>0</v>
      </c>
      <c r="AH921">
        <v>1.3894331455230711</v>
      </c>
      <c r="AK921" t="s">
        <v>53</v>
      </c>
      <c r="AL921" t="s">
        <v>54</v>
      </c>
      <c r="AP921" t="s">
        <v>5451</v>
      </c>
      <c r="AQ921" t="s">
        <v>54</v>
      </c>
      <c r="AT921" t="s">
        <v>0</v>
      </c>
      <c r="AW921" t="s">
        <v>53</v>
      </c>
      <c r="AZ921" t="s">
        <v>54</v>
      </c>
      <c r="BA921" t="s">
        <v>729</v>
      </c>
    </row>
    <row r="922" spans="1:53" x14ac:dyDescent="0.25">
      <c r="A922">
        <v>917</v>
      </c>
      <c r="B922" t="s">
        <v>1445</v>
      </c>
      <c r="C922" t="s">
        <v>1446</v>
      </c>
      <c r="D922" t="s">
        <v>1427</v>
      </c>
      <c r="E922">
        <v>6</v>
      </c>
      <c r="F922" t="s">
        <v>719</v>
      </c>
      <c r="G922" t="s">
        <v>805</v>
      </c>
      <c r="H922" t="s">
        <v>806</v>
      </c>
      <c r="I922" t="s">
        <v>1442</v>
      </c>
      <c r="J922" t="s">
        <v>1447</v>
      </c>
      <c r="K922" t="s">
        <v>1448</v>
      </c>
      <c r="L922" t="s">
        <v>789</v>
      </c>
      <c r="M922">
        <v>1.634576082229614</v>
      </c>
      <c r="N922" t="s">
        <v>54</v>
      </c>
      <c r="O922" t="s">
        <v>53</v>
      </c>
      <c r="P922" t="s">
        <v>53</v>
      </c>
      <c r="Q922" t="s">
        <v>53</v>
      </c>
      <c r="R922" t="s">
        <v>53</v>
      </c>
      <c r="S922" t="s">
        <v>861</v>
      </c>
      <c r="T922" t="s">
        <v>827</v>
      </c>
      <c r="U922" t="s">
        <v>53</v>
      </c>
      <c r="V922" t="s">
        <v>51</v>
      </c>
      <c r="W922">
        <v>100000</v>
      </c>
      <c r="X922" t="s">
        <v>54</v>
      </c>
      <c r="AA922">
        <v>997</v>
      </c>
      <c r="AB922">
        <v>601</v>
      </c>
      <c r="AC922">
        <v>3381</v>
      </c>
      <c r="AD922">
        <v>2332</v>
      </c>
      <c r="AE922">
        <v>5085</v>
      </c>
      <c r="AF922">
        <v>7</v>
      </c>
      <c r="AG922">
        <v>0</v>
      </c>
      <c r="AH922">
        <v>23.488595962524411</v>
      </c>
      <c r="AI922">
        <v>0</v>
      </c>
      <c r="AJ922">
        <v>1.4895532131195071</v>
      </c>
      <c r="AK922" t="s">
        <v>53</v>
      </c>
      <c r="AL922" t="s">
        <v>54</v>
      </c>
      <c r="AP922" t="s">
        <v>5451</v>
      </c>
      <c r="AQ922" t="s">
        <v>54</v>
      </c>
      <c r="AT922" t="s">
        <v>0</v>
      </c>
      <c r="AW922" t="s">
        <v>53</v>
      </c>
      <c r="AZ922" t="s">
        <v>54</v>
      </c>
      <c r="BA922" t="s">
        <v>729</v>
      </c>
    </row>
    <row r="923" spans="1:53" x14ac:dyDescent="0.25">
      <c r="A923">
        <v>918</v>
      </c>
      <c r="B923" t="s">
        <v>1449</v>
      </c>
      <c r="C923" t="s">
        <v>1450</v>
      </c>
      <c r="D923" t="s">
        <v>1427</v>
      </c>
      <c r="E923">
        <v>6</v>
      </c>
      <c r="F923" t="s">
        <v>719</v>
      </c>
      <c r="G923" t="s">
        <v>1330</v>
      </c>
      <c r="H923" t="s">
        <v>721</v>
      </c>
      <c r="I923" t="s">
        <v>1451</v>
      </c>
      <c r="J923" t="s">
        <v>1452</v>
      </c>
      <c r="K923" t="s">
        <v>1453</v>
      </c>
      <c r="L923" t="s">
        <v>725</v>
      </c>
      <c r="M923">
        <v>58.506496429443359</v>
      </c>
      <c r="N923" t="s">
        <v>54</v>
      </c>
      <c r="O923" t="s">
        <v>53</v>
      </c>
      <c r="P923" t="s">
        <v>53</v>
      </c>
      <c r="Q923" t="s">
        <v>53</v>
      </c>
      <c r="R923" t="s">
        <v>53</v>
      </c>
      <c r="S923" t="s">
        <v>861</v>
      </c>
      <c r="T923" t="s">
        <v>1454</v>
      </c>
      <c r="U923" t="s">
        <v>53</v>
      </c>
      <c r="V923" t="s">
        <v>51</v>
      </c>
      <c r="W923">
        <v>1000000</v>
      </c>
      <c r="X923" t="s">
        <v>54</v>
      </c>
      <c r="AA923">
        <v>3840</v>
      </c>
      <c r="AB923">
        <v>3193</v>
      </c>
      <c r="AC923">
        <v>14761</v>
      </c>
      <c r="AD923">
        <v>10830</v>
      </c>
      <c r="AE923">
        <v>22355</v>
      </c>
      <c r="AF923">
        <v>61</v>
      </c>
      <c r="AG923">
        <v>1</v>
      </c>
      <c r="AH923">
        <v>81.045738220214844</v>
      </c>
      <c r="AI923">
        <v>1</v>
      </c>
      <c r="AJ923">
        <v>113.9549865722656</v>
      </c>
      <c r="AK923" t="s">
        <v>53</v>
      </c>
      <c r="AL923" t="s">
        <v>54</v>
      </c>
      <c r="AP923" t="s">
        <v>5451</v>
      </c>
      <c r="AQ923" t="s">
        <v>54</v>
      </c>
      <c r="AT923" t="s">
        <v>0</v>
      </c>
      <c r="AW923" t="s">
        <v>53</v>
      </c>
      <c r="AZ923" t="s">
        <v>54</v>
      </c>
      <c r="BA923" t="s">
        <v>729</v>
      </c>
    </row>
    <row r="924" spans="1:53" x14ac:dyDescent="0.25">
      <c r="A924">
        <v>919</v>
      </c>
      <c r="B924" t="s">
        <v>1455</v>
      </c>
      <c r="C924" t="s">
        <v>1456</v>
      </c>
      <c r="D924" t="s">
        <v>1427</v>
      </c>
      <c r="E924">
        <v>6</v>
      </c>
      <c r="F924" t="s">
        <v>719</v>
      </c>
      <c r="G924" t="s">
        <v>805</v>
      </c>
      <c r="H924" t="s">
        <v>721</v>
      </c>
      <c r="I924" t="s">
        <v>1451</v>
      </c>
      <c r="J924" t="s">
        <v>1452</v>
      </c>
      <c r="K924" t="s">
        <v>1453</v>
      </c>
      <c r="L924" t="s">
        <v>725</v>
      </c>
      <c r="M924">
        <v>1.127667188644409</v>
      </c>
      <c r="N924" t="s">
        <v>54</v>
      </c>
      <c r="O924" t="s">
        <v>53</v>
      </c>
      <c r="P924" t="s">
        <v>53</v>
      </c>
      <c r="Q924" t="s">
        <v>53</v>
      </c>
      <c r="R924" t="s">
        <v>53</v>
      </c>
      <c r="S924" t="s">
        <v>861</v>
      </c>
      <c r="T924" t="s">
        <v>827</v>
      </c>
      <c r="U924" t="s">
        <v>53</v>
      </c>
      <c r="V924" t="s">
        <v>51</v>
      </c>
      <c r="W924">
        <v>100000</v>
      </c>
      <c r="X924" t="s">
        <v>54</v>
      </c>
      <c r="AA924">
        <v>248</v>
      </c>
      <c r="AB924">
        <v>221</v>
      </c>
      <c r="AC924">
        <v>1137</v>
      </c>
      <c r="AD924">
        <v>618</v>
      </c>
      <c r="AE924">
        <v>1580</v>
      </c>
      <c r="AF924">
        <v>1</v>
      </c>
      <c r="AG924">
        <v>0</v>
      </c>
      <c r="AH924">
        <v>3.7374289035797119</v>
      </c>
      <c r="AI924">
        <v>0</v>
      </c>
      <c r="AK924" t="s">
        <v>53</v>
      </c>
      <c r="AL924" t="s">
        <v>54</v>
      </c>
      <c r="AP924" t="s">
        <v>5451</v>
      </c>
      <c r="AQ924" t="s">
        <v>54</v>
      </c>
      <c r="AT924" t="s">
        <v>0</v>
      </c>
      <c r="AW924" t="s">
        <v>53</v>
      </c>
      <c r="AZ924" t="s">
        <v>54</v>
      </c>
      <c r="BA924" t="s">
        <v>729</v>
      </c>
    </row>
    <row r="925" spans="1:53" x14ac:dyDescent="0.25">
      <c r="A925">
        <v>920</v>
      </c>
      <c r="B925" t="s">
        <v>1457</v>
      </c>
      <c r="C925" t="s">
        <v>1458</v>
      </c>
      <c r="D925" t="s">
        <v>1427</v>
      </c>
      <c r="E925">
        <v>6</v>
      </c>
      <c r="F925" t="s">
        <v>719</v>
      </c>
      <c r="G925" t="s">
        <v>1330</v>
      </c>
      <c r="H925" t="s">
        <v>721</v>
      </c>
      <c r="I925" t="s">
        <v>1451</v>
      </c>
      <c r="J925" t="s">
        <v>1452</v>
      </c>
      <c r="K925" t="s">
        <v>1453</v>
      </c>
      <c r="L925" t="s">
        <v>725</v>
      </c>
      <c r="M925">
        <v>58.506496429443359</v>
      </c>
      <c r="N925" t="s">
        <v>54</v>
      </c>
      <c r="O925" t="s">
        <v>53</v>
      </c>
      <c r="P925" t="s">
        <v>53</v>
      </c>
      <c r="Q925" t="s">
        <v>53</v>
      </c>
      <c r="R925" t="s">
        <v>53</v>
      </c>
      <c r="S925" t="s">
        <v>861</v>
      </c>
      <c r="T925" t="s">
        <v>1454</v>
      </c>
      <c r="U925" t="s">
        <v>53</v>
      </c>
      <c r="V925" t="s">
        <v>51</v>
      </c>
      <c r="W925">
        <v>1000000</v>
      </c>
      <c r="X925" t="s">
        <v>54</v>
      </c>
      <c r="AA925">
        <v>3840</v>
      </c>
      <c r="AB925">
        <v>3193</v>
      </c>
      <c r="AC925">
        <v>14761</v>
      </c>
      <c r="AD925">
        <v>10830</v>
      </c>
      <c r="AE925">
        <v>22355</v>
      </c>
      <c r="AF925">
        <v>61</v>
      </c>
      <c r="AG925">
        <v>1</v>
      </c>
      <c r="AH925">
        <v>81.045738220214844</v>
      </c>
      <c r="AI925">
        <v>1</v>
      </c>
      <c r="AJ925">
        <v>113.9549865722656</v>
      </c>
      <c r="AK925" t="s">
        <v>53</v>
      </c>
      <c r="AL925" t="s">
        <v>54</v>
      </c>
      <c r="AP925" t="s">
        <v>5451</v>
      </c>
      <c r="AQ925" t="s">
        <v>54</v>
      </c>
      <c r="AT925" t="s">
        <v>0</v>
      </c>
      <c r="AW925" t="s">
        <v>53</v>
      </c>
      <c r="AZ925" t="s">
        <v>54</v>
      </c>
      <c r="BA925" t="s">
        <v>729</v>
      </c>
    </row>
    <row r="926" spans="1:53" x14ac:dyDescent="0.25">
      <c r="A926">
        <v>921</v>
      </c>
      <c r="B926" t="s">
        <v>1459</v>
      </c>
      <c r="C926" t="s">
        <v>1460</v>
      </c>
      <c r="D926" t="s">
        <v>1410</v>
      </c>
      <c r="E926">
        <v>6</v>
      </c>
      <c r="F926" t="s">
        <v>719</v>
      </c>
      <c r="G926" t="s">
        <v>805</v>
      </c>
      <c r="H926" t="s">
        <v>806</v>
      </c>
      <c r="I926" t="s">
        <v>899</v>
      </c>
      <c r="J926" t="s">
        <v>926</v>
      </c>
      <c r="K926" t="s">
        <v>927</v>
      </c>
      <c r="L926" t="s">
        <v>725</v>
      </c>
      <c r="M926">
        <v>6.3172755241394043</v>
      </c>
      <c r="N926" t="s">
        <v>54</v>
      </c>
      <c r="O926" t="s">
        <v>53</v>
      </c>
      <c r="P926" t="s">
        <v>53</v>
      </c>
      <c r="Q926" t="s">
        <v>53</v>
      </c>
      <c r="R926" t="s">
        <v>53</v>
      </c>
      <c r="S926" t="s">
        <v>861</v>
      </c>
      <c r="T926" t="s">
        <v>1461</v>
      </c>
      <c r="U926" t="s">
        <v>53</v>
      </c>
      <c r="V926" t="s">
        <v>51</v>
      </c>
      <c r="W926">
        <v>1020000</v>
      </c>
      <c r="X926" t="s">
        <v>54</v>
      </c>
      <c r="AA926">
        <v>5579</v>
      </c>
      <c r="AB926">
        <v>5255</v>
      </c>
      <c r="AC926">
        <v>18469</v>
      </c>
      <c r="AD926">
        <v>22841</v>
      </c>
      <c r="AE926">
        <v>34583</v>
      </c>
      <c r="AF926">
        <v>75</v>
      </c>
      <c r="AG926">
        <v>0</v>
      </c>
      <c r="AH926">
        <v>59.06512451171875</v>
      </c>
      <c r="AI926">
        <v>0</v>
      </c>
      <c r="AJ926">
        <v>0.97406774759292603</v>
      </c>
      <c r="AK926" t="s">
        <v>53</v>
      </c>
      <c r="AL926" t="s">
        <v>54</v>
      </c>
      <c r="AP926" t="s">
        <v>5451</v>
      </c>
      <c r="AQ926" t="s">
        <v>54</v>
      </c>
      <c r="AT926" t="s">
        <v>1407</v>
      </c>
      <c r="AW926" t="s">
        <v>53</v>
      </c>
      <c r="AZ926" t="s">
        <v>54</v>
      </c>
      <c r="BA926" t="s">
        <v>729</v>
      </c>
    </row>
    <row r="927" spans="1:53" x14ac:dyDescent="0.25">
      <c r="A927">
        <v>922</v>
      </c>
      <c r="B927" t="s">
        <v>1462</v>
      </c>
      <c r="C927" t="s">
        <v>1463</v>
      </c>
      <c r="D927" t="s">
        <v>1464</v>
      </c>
      <c r="E927">
        <v>6</v>
      </c>
      <c r="F927" t="s">
        <v>719</v>
      </c>
      <c r="G927" t="s">
        <v>805</v>
      </c>
      <c r="H927" t="s">
        <v>806</v>
      </c>
      <c r="I927" t="s">
        <v>911</v>
      </c>
      <c r="J927" t="s">
        <v>1465</v>
      </c>
      <c r="K927" t="s">
        <v>1466</v>
      </c>
      <c r="L927" t="s">
        <v>725</v>
      </c>
      <c r="M927">
        <v>6.7842803001403809</v>
      </c>
      <c r="N927" t="s">
        <v>54</v>
      </c>
      <c r="O927" t="s">
        <v>53</v>
      </c>
      <c r="P927" t="s">
        <v>53</v>
      </c>
      <c r="Q927" t="s">
        <v>53</v>
      </c>
      <c r="R927" t="s">
        <v>53</v>
      </c>
      <c r="S927" t="s">
        <v>861</v>
      </c>
      <c r="T927" t="s">
        <v>827</v>
      </c>
      <c r="U927" t="s">
        <v>53</v>
      </c>
      <c r="V927" t="s">
        <v>51</v>
      </c>
      <c r="W927">
        <v>1330000</v>
      </c>
      <c r="X927" t="s">
        <v>54</v>
      </c>
      <c r="AA927">
        <v>2540</v>
      </c>
      <c r="AB927">
        <v>2287</v>
      </c>
      <c r="AC927">
        <v>8056</v>
      </c>
      <c r="AD927">
        <v>6776</v>
      </c>
      <c r="AE927">
        <v>12780</v>
      </c>
      <c r="AF927">
        <v>6</v>
      </c>
      <c r="AG927">
        <v>0</v>
      </c>
      <c r="AH927">
        <v>26.56326866149902</v>
      </c>
      <c r="AI927">
        <v>0</v>
      </c>
      <c r="AJ927">
        <v>2.170749187469482</v>
      </c>
      <c r="AK927" t="s">
        <v>53</v>
      </c>
      <c r="AL927" t="s">
        <v>54</v>
      </c>
      <c r="AP927" t="s">
        <v>5451</v>
      </c>
      <c r="AQ927" t="s">
        <v>54</v>
      </c>
      <c r="AT927" t="s">
        <v>1407</v>
      </c>
      <c r="AW927" t="s">
        <v>53</v>
      </c>
      <c r="AZ927" t="s">
        <v>54</v>
      </c>
      <c r="BA927" t="s">
        <v>729</v>
      </c>
    </row>
    <row r="928" spans="1:53" x14ac:dyDescent="0.25">
      <c r="A928">
        <v>923</v>
      </c>
      <c r="B928" t="s">
        <v>1467</v>
      </c>
      <c r="C928" t="s">
        <v>1468</v>
      </c>
      <c r="D928" t="s">
        <v>1410</v>
      </c>
      <c r="E928">
        <v>6</v>
      </c>
      <c r="F928" t="s">
        <v>719</v>
      </c>
      <c r="G928" t="s">
        <v>805</v>
      </c>
      <c r="H928" t="s">
        <v>806</v>
      </c>
      <c r="I928" t="s">
        <v>911</v>
      </c>
      <c r="J928" t="s">
        <v>1465</v>
      </c>
      <c r="K928" t="s">
        <v>1466</v>
      </c>
      <c r="L928" t="s">
        <v>725</v>
      </c>
      <c r="M928">
        <v>0.9163479208946228</v>
      </c>
      <c r="N928" t="s">
        <v>54</v>
      </c>
      <c r="O928" t="s">
        <v>53</v>
      </c>
      <c r="P928" t="s">
        <v>53</v>
      </c>
      <c r="Q928" t="s">
        <v>53</v>
      </c>
      <c r="R928" t="s">
        <v>53</v>
      </c>
      <c r="S928" t="s">
        <v>1469</v>
      </c>
      <c r="T928" t="s">
        <v>827</v>
      </c>
      <c r="U928" t="s">
        <v>53</v>
      </c>
      <c r="V928" t="s">
        <v>51</v>
      </c>
      <c r="W928">
        <v>120000</v>
      </c>
      <c r="X928" t="s">
        <v>54</v>
      </c>
      <c r="AA928">
        <v>160</v>
      </c>
      <c r="AB928">
        <v>151</v>
      </c>
      <c r="AC928">
        <v>114</v>
      </c>
      <c r="AD928">
        <v>411</v>
      </c>
      <c r="AE928">
        <v>431</v>
      </c>
      <c r="AF928">
        <v>0</v>
      </c>
      <c r="AG928">
        <v>0</v>
      </c>
      <c r="AH928">
        <v>3.4355027675628662</v>
      </c>
      <c r="AI928">
        <v>0</v>
      </c>
      <c r="AJ928">
        <v>0.67417436838150024</v>
      </c>
      <c r="AK928" t="s">
        <v>53</v>
      </c>
      <c r="AL928" t="s">
        <v>54</v>
      </c>
      <c r="AP928" t="s">
        <v>5451</v>
      </c>
      <c r="AQ928" t="s">
        <v>54</v>
      </c>
      <c r="AT928" t="s">
        <v>1407</v>
      </c>
      <c r="AW928" t="s">
        <v>53</v>
      </c>
      <c r="AZ928" t="s">
        <v>54</v>
      </c>
      <c r="BA928" t="s">
        <v>729</v>
      </c>
    </row>
    <row r="929" spans="1:53" x14ac:dyDescent="0.25">
      <c r="A929">
        <v>924</v>
      </c>
      <c r="B929" t="s">
        <v>1470</v>
      </c>
      <c r="C929" t="s">
        <v>1471</v>
      </c>
      <c r="D929" t="s">
        <v>1472</v>
      </c>
      <c r="E929">
        <v>6</v>
      </c>
      <c r="F929" t="s">
        <v>719</v>
      </c>
      <c r="G929" t="s">
        <v>720</v>
      </c>
      <c r="H929" t="s">
        <v>721</v>
      </c>
      <c r="I929" t="s">
        <v>722</v>
      </c>
      <c r="J929" t="s">
        <v>1473</v>
      </c>
      <c r="K929" t="s">
        <v>1474</v>
      </c>
      <c r="L929" t="s">
        <v>789</v>
      </c>
      <c r="M929">
        <v>100.0721893310547</v>
      </c>
      <c r="N929" t="s">
        <v>54</v>
      </c>
      <c r="O929" t="s">
        <v>53</v>
      </c>
      <c r="P929" t="s">
        <v>53</v>
      </c>
      <c r="Q929" t="s">
        <v>53</v>
      </c>
      <c r="R929" t="s">
        <v>53</v>
      </c>
      <c r="S929" t="s">
        <v>726</v>
      </c>
      <c r="T929" t="s">
        <v>1475</v>
      </c>
      <c r="U929" t="s">
        <v>53</v>
      </c>
      <c r="V929" t="s">
        <v>791</v>
      </c>
      <c r="W929">
        <v>500000</v>
      </c>
      <c r="X929" t="s">
        <v>54</v>
      </c>
      <c r="AA929">
        <v>3465</v>
      </c>
      <c r="AB929">
        <v>2633</v>
      </c>
      <c r="AC929">
        <v>8753</v>
      </c>
      <c r="AD929">
        <v>9104</v>
      </c>
      <c r="AE929">
        <v>14964</v>
      </c>
      <c r="AF929">
        <v>46</v>
      </c>
      <c r="AG929">
        <v>18</v>
      </c>
      <c r="AH929">
        <v>83.782958984375</v>
      </c>
      <c r="AI929">
        <v>18</v>
      </c>
      <c r="AJ929">
        <v>98.028602600097656</v>
      </c>
      <c r="AK929" t="s">
        <v>53</v>
      </c>
      <c r="AL929" t="s">
        <v>54</v>
      </c>
      <c r="AP929" t="s">
        <v>5451</v>
      </c>
      <c r="AQ929" t="s">
        <v>54</v>
      </c>
      <c r="AT929" t="s">
        <v>728</v>
      </c>
      <c r="AW929" t="s">
        <v>53</v>
      </c>
      <c r="AZ929" t="s">
        <v>54</v>
      </c>
      <c r="BA929" t="s">
        <v>729</v>
      </c>
    </row>
    <row r="930" spans="1:53" x14ac:dyDescent="0.25">
      <c r="A930">
        <v>925</v>
      </c>
      <c r="B930" t="s">
        <v>1476</v>
      </c>
      <c r="C930" t="s">
        <v>1477</v>
      </c>
      <c r="D930" t="s">
        <v>1478</v>
      </c>
      <c r="E930">
        <v>6</v>
      </c>
      <c r="F930" t="s">
        <v>719</v>
      </c>
      <c r="G930" t="s">
        <v>720</v>
      </c>
      <c r="H930" t="s">
        <v>721</v>
      </c>
      <c r="I930" t="s">
        <v>722</v>
      </c>
      <c r="J930" t="s">
        <v>1473</v>
      </c>
      <c r="K930" t="s">
        <v>1474</v>
      </c>
      <c r="L930" t="s">
        <v>725</v>
      </c>
      <c r="M930">
        <v>100.0721893310547</v>
      </c>
      <c r="N930" t="s">
        <v>53</v>
      </c>
      <c r="O930" t="s">
        <v>53</v>
      </c>
      <c r="P930" t="s">
        <v>54</v>
      </c>
      <c r="Q930" t="s">
        <v>53</v>
      </c>
      <c r="R930" t="s">
        <v>53</v>
      </c>
      <c r="S930" t="s">
        <v>726</v>
      </c>
      <c r="T930" t="s">
        <v>1475</v>
      </c>
      <c r="U930" t="s">
        <v>53</v>
      </c>
      <c r="V930" t="s">
        <v>51</v>
      </c>
      <c r="W930">
        <v>1700000</v>
      </c>
      <c r="X930" t="s">
        <v>54</v>
      </c>
      <c r="AA930">
        <v>3465</v>
      </c>
      <c r="AB930">
        <v>2633</v>
      </c>
      <c r="AC930">
        <v>8753</v>
      </c>
      <c r="AD930">
        <v>9104</v>
      </c>
      <c r="AE930">
        <v>14964</v>
      </c>
      <c r="AF930">
        <v>46</v>
      </c>
      <c r="AG930">
        <v>18</v>
      </c>
      <c r="AH930">
        <v>83.782958984375</v>
      </c>
      <c r="AI930">
        <v>18</v>
      </c>
      <c r="AJ930">
        <v>98.028602600097656</v>
      </c>
      <c r="AK930" t="s">
        <v>53</v>
      </c>
      <c r="AL930" t="s">
        <v>54</v>
      </c>
      <c r="AP930" t="s">
        <v>5451</v>
      </c>
      <c r="AQ930" t="s">
        <v>54</v>
      </c>
      <c r="AT930" t="s">
        <v>728</v>
      </c>
      <c r="AW930" t="s">
        <v>53</v>
      </c>
      <c r="AZ930" t="s">
        <v>54</v>
      </c>
      <c r="BA930" t="s">
        <v>729</v>
      </c>
    </row>
    <row r="931" spans="1:53" x14ac:dyDescent="0.25">
      <c r="A931">
        <v>926</v>
      </c>
      <c r="B931" t="s">
        <v>1479</v>
      </c>
      <c r="C931" t="s">
        <v>1480</v>
      </c>
      <c r="D931" t="s">
        <v>1481</v>
      </c>
      <c r="E931">
        <v>6</v>
      </c>
      <c r="F931" t="s">
        <v>719</v>
      </c>
      <c r="G931" t="s">
        <v>720</v>
      </c>
      <c r="H931" t="s">
        <v>721</v>
      </c>
      <c r="I931" t="s">
        <v>722</v>
      </c>
      <c r="J931" t="s">
        <v>1473</v>
      </c>
      <c r="K931" t="s">
        <v>1474</v>
      </c>
      <c r="L931" t="s">
        <v>725</v>
      </c>
      <c r="M931">
        <v>100.0721893310547</v>
      </c>
      <c r="N931" t="s">
        <v>53</v>
      </c>
      <c r="O931" t="s">
        <v>53</v>
      </c>
      <c r="P931" t="s">
        <v>54</v>
      </c>
      <c r="Q931" t="s">
        <v>53</v>
      </c>
      <c r="R931" t="s">
        <v>53</v>
      </c>
      <c r="S931" t="s">
        <v>726</v>
      </c>
      <c r="T931" t="s">
        <v>1475</v>
      </c>
      <c r="U931" t="s">
        <v>53</v>
      </c>
      <c r="V931" t="s">
        <v>51</v>
      </c>
      <c r="W931">
        <v>750000</v>
      </c>
      <c r="X931" t="s">
        <v>54</v>
      </c>
      <c r="AA931">
        <v>3465</v>
      </c>
      <c r="AB931">
        <v>2633</v>
      </c>
      <c r="AC931">
        <v>8753</v>
      </c>
      <c r="AD931">
        <v>9104</v>
      </c>
      <c r="AE931">
        <v>14964</v>
      </c>
      <c r="AF931">
        <v>46</v>
      </c>
      <c r="AG931">
        <v>18</v>
      </c>
      <c r="AH931">
        <v>83.782958984375</v>
      </c>
      <c r="AI931">
        <v>18</v>
      </c>
      <c r="AJ931">
        <v>98.028602600097656</v>
      </c>
      <c r="AK931" t="s">
        <v>53</v>
      </c>
      <c r="AL931" t="s">
        <v>54</v>
      </c>
      <c r="AP931" t="s">
        <v>5451</v>
      </c>
      <c r="AQ931" t="s">
        <v>54</v>
      </c>
      <c r="AT931" t="s">
        <v>728</v>
      </c>
      <c r="AW931" t="s">
        <v>53</v>
      </c>
      <c r="AZ931" t="s">
        <v>54</v>
      </c>
      <c r="BA931" t="s">
        <v>729</v>
      </c>
    </row>
    <row r="932" spans="1:53" x14ac:dyDescent="0.25">
      <c r="A932">
        <v>927</v>
      </c>
      <c r="B932" t="s">
        <v>1482</v>
      </c>
      <c r="C932" t="s">
        <v>1483</v>
      </c>
      <c r="D932" t="s">
        <v>1427</v>
      </c>
      <c r="E932">
        <v>6</v>
      </c>
      <c r="F932" t="s">
        <v>719</v>
      </c>
      <c r="G932" t="s">
        <v>805</v>
      </c>
      <c r="H932" t="s">
        <v>806</v>
      </c>
      <c r="I932" t="s">
        <v>1484</v>
      </c>
      <c r="J932" t="s">
        <v>1485</v>
      </c>
      <c r="K932" t="s">
        <v>1486</v>
      </c>
      <c r="L932" t="s">
        <v>789</v>
      </c>
      <c r="M932">
        <v>5.5453734397888184</v>
      </c>
      <c r="N932" t="s">
        <v>54</v>
      </c>
      <c r="O932" t="s">
        <v>53</v>
      </c>
      <c r="P932" t="s">
        <v>53</v>
      </c>
      <c r="Q932" t="s">
        <v>53</v>
      </c>
      <c r="R932" t="s">
        <v>53</v>
      </c>
      <c r="S932" t="s">
        <v>861</v>
      </c>
      <c r="T932" t="s">
        <v>827</v>
      </c>
      <c r="U932" t="s">
        <v>53</v>
      </c>
      <c r="V932" t="s">
        <v>51</v>
      </c>
      <c r="W932">
        <v>100000</v>
      </c>
      <c r="X932" t="s">
        <v>54</v>
      </c>
      <c r="AA932">
        <v>391</v>
      </c>
      <c r="AB932">
        <v>197</v>
      </c>
      <c r="AC932">
        <v>1343</v>
      </c>
      <c r="AD932">
        <v>608</v>
      </c>
      <c r="AE932">
        <v>1750</v>
      </c>
      <c r="AF932">
        <v>5</v>
      </c>
      <c r="AG932">
        <v>0</v>
      </c>
      <c r="AH932">
        <v>6.689638614654541</v>
      </c>
      <c r="AI932">
        <v>0</v>
      </c>
      <c r="AJ932">
        <v>15.068278312683111</v>
      </c>
      <c r="AK932" t="s">
        <v>53</v>
      </c>
      <c r="AL932" t="s">
        <v>54</v>
      </c>
      <c r="AP932" t="s">
        <v>5451</v>
      </c>
      <c r="AQ932" t="s">
        <v>54</v>
      </c>
      <c r="AT932" t="s">
        <v>0</v>
      </c>
      <c r="AW932" t="s">
        <v>53</v>
      </c>
      <c r="AZ932" t="s">
        <v>54</v>
      </c>
      <c r="BA932" t="s">
        <v>729</v>
      </c>
    </row>
    <row r="933" spans="1:53" x14ac:dyDescent="0.25">
      <c r="A933">
        <v>928</v>
      </c>
      <c r="B933" t="s">
        <v>1487</v>
      </c>
      <c r="C933" t="s">
        <v>1488</v>
      </c>
      <c r="D933" t="s">
        <v>1427</v>
      </c>
      <c r="E933">
        <v>6</v>
      </c>
      <c r="F933" t="s">
        <v>719</v>
      </c>
      <c r="G933" t="s">
        <v>805</v>
      </c>
      <c r="H933" t="s">
        <v>806</v>
      </c>
      <c r="I933" t="s">
        <v>1489</v>
      </c>
      <c r="J933" t="s">
        <v>1490</v>
      </c>
      <c r="K933" t="s">
        <v>1491</v>
      </c>
      <c r="L933" t="s">
        <v>725</v>
      </c>
      <c r="M933">
        <v>17.283229827880859</v>
      </c>
      <c r="N933" t="s">
        <v>54</v>
      </c>
      <c r="O933" t="s">
        <v>53</v>
      </c>
      <c r="P933" t="s">
        <v>53</v>
      </c>
      <c r="Q933" t="s">
        <v>53</v>
      </c>
      <c r="R933" t="s">
        <v>53</v>
      </c>
      <c r="S933" t="s">
        <v>861</v>
      </c>
      <c r="T933" t="s">
        <v>811</v>
      </c>
      <c r="U933" t="s">
        <v>53</v>
      </c>
      <c r="V933" t="s">
        <v>51</v>
      </c>
      <c r="W933">
        <v>300000</v>
      </c>
      <c r="X933" t="s">
        <v>54</v>
      </c>
      <c r="AA933">
        <v>41</v>
      </c>
      <c r="AB933">
        <v>34</v>
      </c>
      <c r="AC933">
        <v>412</v>
      </c>
      <c r="AD933">
        <v>145</v>
      </c>
      <c r="AE933">
        <v>521</v>
      </c>
      <c r="AF933">
        <v>0</v>
      </c>
      <c r="AG933">
        <v>0</v>
      </c>
      <c r="AH933">
        <v>2.582297563552856</v>
      </c>
      <c r="AI933">
        <v>0</v>
      </c>
      <c r="AJ933">
        <v>8.6169300079345703</v>
      </c>
      <c r="AK933" t="s">
        <v>53</v>
      </c>
      <c r="AL933" t="s">
        <v>54</v>
      </c>
      <c r="AP933" t="s">
        <v>5451</v>
      </c>
      <c r="AQ933" t="s">
        <v>54</v>
      </c>
      <c r="AT933" t="s">
        <v>0</v>
      </c>
      <c r="AW933" t="s">
        <v>53</v>
      </c>
      <c r="AZ933" t="s">
        <v>54</v>
      </c>
      <c r="BA933" t="s">
        <v>729</v>
      </c>
    </row>
    <row r="934" spans="1:53" x14ac:dyDescent="0.25">
      <c r="A934">
        <v>929</v>
      </c>
      <c r="B934" t="s">
        <v>1492</v>
      </c>
      <c r="C934" t="s">
        <v>1493</v>
      </c>
      <c r="D934" t="s">
        <v>1427</v>
      </c>
      <c r="E934">
        <v>6</v>
      </c>
      <c r="F934" t="s">
        <v>719</v>
      </c>
      <c r="G934" t="s">
        <v>805</v>
      </c>
      <c r="H934" t="s">
        <v>806</v>
      </c>
      <c r="I934" t="s">
        <v>1074</v>
      </c>
      <c r="J934" t="s">
        <v>1494</v>
      </c>
      <c r="K934" t="s">
        <v>1495</v>
      </c>
      <c r="L934" t="s">
        <v>725</v>
      </c>
      <c r="M934">
        <v>4.0680170059204102</v>
      </c>
      <c r="N934" t="s">
        <v>54</v>
      </c>
      <c r="O934" t="s">
        <v>53</v>
      </c>
      <c r="P934" t="s">
        <v>53</v>
      </c>
      <c r="Q934" t="s">
        <v>53</v>
      </c>
      <c r="R934" t="s">
        <v>53</v>
      </c>
      <c r="S934" t="s">
        <v>861</v>
      </c>
      <c r="T934" t="s">
        <v>811</v>
      </c>
      <c r="U934" t="s">
        <v>53</v>
      </c>
      <c r="V934" t="s">
        <v>51</v>
      </c>
      <c r="W934">
        <v>100000</v>
      </c>
      <c r="X934" t="s">
        <v>54</v>
      </c>
      <c r="AA934">
        <v>0</v>
      </c>
      <c r="AB934">
        <v>0</v>
      </c>
      <c r="AC934">
        <v>0</v>
      </c>
      <c r="AD934">
        <v>0</v>
      </c>
      <c r="AE934">
        <v>0</v>
      </c>
      <c r="AF934">
        <v>0</v>
      </c>
      <c r="AG934">
        <v>0</v>
      </c>
      <c r="AH934">
        <v>0.62903547286987305</v>
      </c>
      <c r="AI934">
        <v>0</v>
      </c>
      <c r="AJ934">
        <v>1.0302524566650391</v>
      </c>
      <c r="AK934" t="s">
        <v>53</v>
      </c>
      <c r="AL934" t="s">
        <v>54</v>
      </c>
      <c r="AP934" t="s">
        <v>5451</v>
      </c>
      <c r="AQ934" t="s">
        <v>54</v>
      </c>
      <c r="AT934" t="s">
        <v>0</v>
      </c>
      <c r="AW934" t="s">
        <v>53</v>
      </c>
      <c r="AZ934" t="s">
        <v>54</v>
      </c>
      <c r="BA934" t="s">
        <v>729</v>
      </c>
    </row>
    <row r="935" spans="1:53" x14ac:dyDescent="0.25">
      <c r="A935">
        <v>930</v>
      </c>
      <c r="B935" t="s">
        <v>1496</v>
      </c>
      <c r="C935" t="s">
        <v>1497</v>
      </c>
      <c r="D935" t="s">
        <v>1427</v>
      </c>
      <c r="E935">
        <v>6</v>
      </c>
      <c r="F935" t="s">
        <v>719</v>
      </c>
      <c r="G935" t="s">
        <v>805</v>
      </c>
      <c r="H935" t="s">
        <v>806</v>
      </c>
      <c r="I935" t="s">
        <v>911</v>
      </c>
      <c r="J935" t="s">
        <v>912</v>
      </c>
      <c r="K935" t="s">
        <v>913</v>
      </c>
      <c r="L935" t="s">
        <v>725</v>
      </c>
      <c r="M935">
        <v>2.8157451152801509</v>
      </c>
      <c r="N935" t="s">
        <v>54</v>
      </c>
      <c r="O935" t="s">
        <v>53</v>
      </c>
      <c r="P935" t="s">
        <v>53</v>
      </c>
      <c r="Q935" t="s">
        <v>53</v>
      </c>
      <c r="R935" t="s">
        <v>53</v>
      </c>
      <c r="S935" t="s">
        <v>861</v>
      </c>
      <c r="T935" t="s">
        <v>827</v>
      </c>
      <c r="U935" t="s">
        <v>53</v>
      </c>
      <c r="V935" t="s">
        <v>51</v>
      </c>
      <c r="W935">
        <v>100000</v>
      </c>
      <c r="X935" t="s">
        <v>54</v>
      </c>
      <c r="AA935">
        <v>72</v>
      </c>
      <c r="AB935">
        <v>63</v>
      </c>
      <c r="AC935">
        <v>143</v>
      </c>
      <c r="AD935">
        <v>225</v>
      </c>
      <c r="AE935">
        <v>311</v>
      </c>
      <c r="AF935">
        <v>0</v>
      </c>
      <c r="AG935">
        <v>0</v>
      </c>
      <c r="AH935">
        <v>0.98375749588012695</v>
      </c>
      <c r="AI935">
        <v>0</v>
      </c>
      <c r="AJ935">
        <v>0.72411692142486572</v>
      </c>
      <c r="AK935" t="s">
        <v>53</v>
      </c>
      <c r="AL935" t="s">
        <v>54</v>
      </c>
      <c r="AP935" t="s">
        <v>5451</v>
      </c>
      <c r="AQ935" t="s">
        <v>54</v>
      </c>
      <c r="AT935" t="s">
        <v>0</v>
      </c>
      <c r="AW935" t="s">
        <v>53</v>
      </c>
      <c r="AZ935" t="s">
        <v>54</v>
      </c>
      <c r="BA935" t="s">
        <v>729</v>
      </c>
    </row>
    <row r="936" spans="1:53" x14ac:dyDescent="0.25">
      <c r="A936">
        <v>931</v>
      </c>
      <c r="B936" t="s">
        <v>1498</v>
      </c>
      <c r="C936" t="s">
        <v>1499</v>
      </c>
      <c r="D936" t="s">
        <v>1427</v>
      </c>
      <c r="E936">
        <v>6</v>
      </c>
      <c r="F936" t="s">
        <v>719</v>
      </c>
      <c r="G936" t="s">
        <v>805</v>
      </c>
      <c r="H936" t="s">
        <v>806</v>
      </c>
      <c r="I936" t="s">
        <v>911</v>
      </c>
      <c r="J936" t="s">
        <v>1500</v>
      </c>
      <c r="K936" t="s">
        <v>1501</v>
      </c>
      <c r="L936" t="s">
        <v>725</v>
      </c>
      <c r="M936">
        <v>2.7909407615661621</v>
      </c>
      <c r="N936" t="s">
        <v>54</v>
      </c>
      <c r="O936" t="s">
        <v>53</v>
      </c>
      <c r="P936" t="s">
        <v>53</v>
      </c>
      <c r="Q936" t="s">
        <v>53</v>
      </c>
      <c r="R936" t="s">
        <v>53</v>
      </c>
      <c r="S936" t="s">
        <v>861</v>
      </c>
      <c r="T936" t="s">
        <v>827</v>
      </c>
      <c r="U936" t="s">
        <v>53</v>
      </c>
      <c r="V936" t="s">
        <v>51</v>
      </c>
      <c r="W936">
        <v>100000</v>
      </c>
      <c r="X936" t="s">
        <v>54</v>
      </c>
      <c r="AA936">
        <v>27</v>
      </c>
      <c r="AB936">
        <v>15</v>
      </c>
      <c r="AC936">
        <v>3954</v>
      </c>
      <c r="AD936">
        <v>604</v>
      </c>
      <c r="AE936">
        <v>4290</v>
      </c>
      <c r="AF936">
        <v>0</v>
      </c>
      <c r="AG936">
        <v>0</v>
      </c>
      <c r="AH936">
        <v>0.6652148962020874</v>
      </c>
      <c r="AI936">
        <v>0</v>
      </c>
      <c r="AJ936">
        <v>0.24012269079685211</v>
      </c>
      <c r="AK936" t="s">
        <v>53</v>
      </c>
      <c r="AL936" t="s">
        <v>54</v>
      </c>
      <c r="AP936" t="s">
        <v>5451</v>
      </c>
      <c r="AQ936" t="s">
        <v>54</v>
      </c>
      <c r="AT936" t="s">
        <v>0</v>
      </c>
      <c r="AW936" t="s">
        <v>53</v>
      </c>
      <c r="AZ936" t="s">
        <v>54</v>
      </c>
      <c r="BA936" t="s">
        <v>729</v>
      </c>
    </row>
    <row r="937" spans="1:53" x14ac:dyDescent="0.25">
      <c r="A937">
        <v>932</v>
      </c>
      <c r="B937" t="s">
        <v>1502</v>
      </c>
      <c r="C937" t="s">
        <v>1503</v>
      </c>
      <c r="D937" t="s">
        <v>1427</v>
      </c>
      <c r="E937">
        <v>6</v>
      </c>
      <c r="F937" t="s">
        <v>719</v>
      </c>
      <c r="G937" t="s">
        <v>805</v>
      </c>
      <c r="H937" t="s">
        <v>806</v>
      </c>
      <c r="I937" t="s">
        <v>911</v>
      </c>
      <c r="J937" t="s">
        <v>912</v>
      </c>
      <c r="K937" t="s">
        <v>913</v>
      </c>
      <c r="L937" t="s">
        <v>725</v>
      </c>
      <c r="M937">
        <v>1.389540433883667</v>
      </c>
      <c r="N937" t="s">
        <v>54</v>
      </c>
      <c r="O937" t="s">
        <v>53</v>
      </c>
      <c r="P937" t="s">
        <v>53</v>
      </c>
      <c r="Q937" t="s">
        <v>53</v>
      </c>
      <c r="R937" t="s">
        <v>53</v>
      </c>
      <c r="S937" t="s">
        <v>861</v>
      </c>
      <c r="T937" t="s">
        <v>827</v>
      </c>
      <c r="U937" t="s">
        <v>53</v>
      </c>
      <c r="V937" t="s">
        <v>51</v>
      </c>
      <c r="W937">
        <v>100000</v>
      </c>
      <c r="X937" t="s">
        <v>54</v>
      </c>
      <c r="AA937">
        <v>70</v>
      </c>
      <c r="AB937">
        <v>68</v>
      </c>
      <c r="AC937">
        <v>63</v>
      </c>
      <c r="AD937">
        <v>226</v>
      </c>
      <c r="AE937">
        <v>226</v>
      </c>
      <c r="AF937">
        <v>0</v>
      </c>
      <c r="AH937">
        <v>0.85699093341827393</v>
      </c>
      <c r="AJ937">
        <v>0.44320216774940491</v>
      </c>
      <c r="AK937" t="s">
        <v>53</v>
      </c>
      <c r="AL937" t="s">
        <v>54</v>
      </c>
      <c r="AP937" t="s">
        <v>5451</v>
      </c>
      <c r="AQ937" t="s">
        <v>54</v>
      </c>
      <c r="AT937" t="s">
        <v>0</v>
      </c>
      <c r="AW937" t="s">
        <v>53</v>
      </c>
      <c r="AZ937" t="s">
        <v>54</v>
      </c>
      <c r="BA937" t="s">
        <v>729</v>
      </c>
    </row>
    <row r="938" spans="1:53" x14ac:dyDescent="0.25">
      <c r="A938">
        <v>933</v>
      </c>
      <c r="B938" t="s">
        <v>1504</v>
      </c>
      <c r="C938" t="s">
        <v>1505</v>
      </c>
      <c r="D938" t="s">
        <v>784</v>
      </c>
      <c r="E938">
        <v>6</v>
      </c>
      <c r="F938" t="s">
        <v>719</v>
      </c>
      <c r="G938" t="s">
        <v>276</v>
      </c>
      <c r="H938" t="s">
        <v>795</v>
      </c>
      <c r="I938" t="s">
        <v>796</v>
      </c>
      <c r="J938" t="s">
        <v>797</v>
      </c>
      <c r="K938" t="s">
        <v>798</v>
      </c>
      <c r="L938" t="s">
        <v>725</v>
      </c>
      <c r="M938">
        <v>2.598058938980103</v>
      </c>
      <c r="N938" t="s">
        <v>54</v>
      </c>
      <c r="O938" t="s">
        <v>53</v>
      </c>
      <c r="P938" t="s">
        <v>53</v>
      </c>
      <c r="Q938" t="s">
        <v>53</v>
      </c>
      <c r="R938" t="s">
        <v>53</v>
      </c>
      <c r="S938" t="s">
        <v>885</v>
      </c>
      <c r="T938" t="s">
        <v>1506</v>
      </c>
      <c r="U938" t="s">
        <v>53</v>
      </c>
      <c r="V938" t="s">
        <v>791</v>
      </c>
      <c r="W938">
        <v>200000</v>
      </c>
      <c r="X938" t="s">
        <v>54</v>
      </c>
      <c r="AA938">
        <v>41</v>
      </c>
      <c r="AB938">
        <v>37</v>
      </c>
      <c r="AC938">
        <v>3</v>
      </c>
      <c r="AD938">
        <v>39</v>
      </c>
      <c r="AE938">
        <v>39</v>
      </c>
      <c r="AF938">
        <v>0</v>
      </c>
      <c r="AG938">
        <v>0</v>
      </c>
      <c r="AH938">
        <v>0.21681888401508331</v>
      </c>
      <c r="AI938">
        <v>0</v>
      </c>
      <c r="AJ938">
        <v>1.2274031639099121</v>
      </c>
      <c r="AK938" t="s">
        <v>54</v>
      </c>
      <c r="AL938" t="s">
        <v>53</v>
      </c>
      <c r="AP938" t="s">
        <v>5451</v>
      </c>
      <c r="AQ938" t="s">
        <v>54</v>
      </c>
      <c r="AT938" t="s">
        <v>1507</v>
      </c>
      <c r="AW938" t="s">
        <v>54</v>
      </c>
      <c r="AZ938" t="s">
        <v>54</v>
      </c>
      <c r="BA938" t="s">
        <v>729</v>
      </c>
    </row>
    <row r="939" spans="1:53" x14ac:dyDescent="0.25">
      <c r="A939">
        <v>934</v>
      </c>
      <c r="B939" t="s">
        <v>1508</v>
      </c>
      <c r="C939" t="s">
        <v>1509</v>
      </c>
      <c r="D939" t="s">
        <v>784</v>
      </c>
      <c r="E939">
        <v>6</v>
      </c>
      <c r="F939" t="s">
        <v>719</v>
      </c>
      <c r="G939" t="s">
        <v>848</v>
      </c>
      <c r="H939" t="s">
        <v>1510</v>
      </c>
      <c r="I939" t="s">
        <v>1511</v>
      </c>
      <c r="J939" t="s">
        <v>1512</v>
      </c>
      <c r="K939" t="s">
        <v>1513</v>
      </c>
      <c r="L939" t="s">
        <v>725</v>
      </c>
      <c r="M939">
        <v>38.049964904785163</v>
      </c>
      <c r="N939" t="s">
        <v>53</v>
      </c>
      <c r="O939" t="s">
        <v>53</v>
      </c>
      <c r="P939" t="s">
        <v>54</v>
      </c>
      <c r="Q939" t="s">
        <v>53</v>
      </c>
      <c r="R939" t="s">
        <v>53</v>
      </c>
      <c r="S939" t="s">
        <v>1514</v>
      </c>
      <c r="T939" t="s">
        <v>1515</v>
      </c>
      <c r="U939" t="s">
        <v>54</v>
      </c>
      <c r="V939" t="s">
        <v>791</v>
      </c>
      <c r="W939">
        <v>520000</v>
      </c>
      <c r="X939" t="s">
        <v>54</v>
      </c>
      <c r="AA939">
        <v>1185</v>
      </c>
      <c r="AB939">
        <v>975</v>
      </c>
      <c r="AC939">
        <v>5397</v>
      </c>
      <c r="AD939">
        <v>3585</v>
      </c>
      <c r="AE939">
        <v>8063</v>
      </c>
      <c r="AF939">
        <v>36</v>
      </c>
      <c r="AG939">
        <v>1</v>
      </c>
      <c r="AH939">
        <v>50.190940856933587</v>
      </c>
      <c r="AI939">
        <v>1</v>
      </c>
      <c r="AJ939">
        <v>78.8323974609375</v>
      </c>
      <c r="AK939" t="s">
        <v>54</v>
      </c>
      <c r="AL939" t="s">
        <v>53</v>
      </c>
      <c r="AP939" t="s">
        <v>5451</v>
      </c>
      <c r="AQ939" t="s">
        <v>54</v>
      </c>
      <c r="AT939" t="s">
        <v>1507</v>
      </c>
      <c r="AW939" t="s">
        <v>53</v>
      </c>
      <c r="AZ939" t="s">
        <v>54</v>
      </c>
      <c r="BA939" t="s">
        <v>729</v>
      </c>
    </row>
    <row r="940" spans="1:53" x14ac:dyDescent="0.25">
      <c r="A940">
        <v>935</v>
      </c>
      <c r="B940" t="s">
        <v>1516</v>
      </c>
      <c r="C940" t="s">
        <v>1517</v>
      </c>
      <c r="D940" t="s">
        <v>784</v>
      </c>
      <c r="E940">
        <v>6</v>
      </c>
      <c r="F940" t="s">
        <v>719</v>
      </c>
      <c r="G940" t="s">
        <v>947</v>
      </c>
      <c r="H940" t="s">
        <v>948</v>
      </c>
      <c r="I940" t="s">
        <v>1518</v>
      </c>
      <c r="J940" t="s">
        <v>1519</v>
      </c>
      <c r="K940" t="s">
        <v>1520</v>
      </c>
      <c r="L940" t="s">
        <v>725</v>
      </c>
      <c r="M940">
        <v>4.4626827239990234</v>
      </c>
      <c r="N940" t="s">
        <v>53</v>
      </c>
      <c r="O940" t="s">
        <v>53</v>
      </c>
      <c r="P940" t="s">
        <v>54</v>
      </c>
      <c r="Q940" t="s">
        <v>53</v>
      </c>
      <c r="R940" t="s">
        <v>53</v>
      </c>
      <c r="S940" t="s">
        <v>1521</v>
      </c>
      <c r="T940" t="s">
        <v>1522</v>
      </c>
      <c r="U940" t="s">
        <v>54</v>
      </c>
      <c r="V940" t="s">
        <v>791</v>
      </c>
      <c r="W940">
        <v>240000</v>
      </c>
      <c r="X940" t="s">
        <v>54</v>
      </c>
      <c r="AA940">
        <v>3</v>
      </c>
      <c r="AB940">
        <v>2</v>
      </c>
      <c r="AC940">
        <v>2</v>
      </c>
      <c r="AD940">
        <v>6</v>
      </c>
      <c r="AE940">
        <v>6</v>
      </c>
      <c r="AF940">
        <v>0</v>
      </c>
      <c r="AH940">
        <v>0.19233196973800659</v>
      </c>
      <c r="AJ940">
        <v>4.7168741226196289</v>
      </c>
      <c r="AK940" t="s">
        <v>54</v>
      </c>
      <c r="AL940" t="s">
        <v>53</v>
      </c>
      <c r="AP940" t="s">
        <v>5451</v>
      </c>
      <c r="AQ940" t="s">
        <v>54</v>
      </c>
      <c r="AT940" t="s">
        <v>1507</v>
      </c>
      <c r="AW940" t="s">
        <v>53</v>
      </c>
      <c r="AZ940" t="s">
        <v>54</v>
      </c>
      <c r="BA940" t="s">
        <v>729</v>
      </c>
    </row>
    <row r="941" spans="1:53" x14ac:dyDescent="0.25">
      <c r="A941">
        <v>936</v>
      </c>
      <c r="B941" t="s">
        <v>1525</v>
      </c>
      <c r="C941" t="s">
        <v>1526</v>
      </c>
      <c r="D941" t="s">
        <v>784</v>
      </c>
      <c r="E941">
        <v>6</v>
      </c>
      <c r="F941" t="s">
        <v>719</v>
      </c>
      <c r="G941" t="s">
        <v>169</v>
      </c>
      <c r="H941" t="s">
        <v>795</v>
      </c>
      <c r="I941" t="s">
        <v>849</v>
      </c>
      <c r="J941" t="s">
        <v>850</v>
      </c>
      <c r="K941" t="s">
        <v>851</v>
      </c>
      <c r="L941" t="s">
        <v>725</v>
      </c>
      <c r="M941">
        <v>2.058597087860107</v>
      </c>
      <c r="N941" t="s">
        <v>53</v>
      </c>
      <c r="O941" t="s">
        <v>53</v>
      </c>
      <c r="P941" t="s">
        <v>54</v>
      </c>
      <c r="Q941" t="s">
        <v>53</v>
      </c>
      <c r="R941" t="s">
        <v>53</v>
      </c>
      <c r="S941" t="s">
        <v>1527</v>
      </c>
      <c r="T941" t="s">
        <v>1528</v>
      </c>
      <c r="U941" t="s">
        <v>54</v>
      </c>
      <c r="V941" t="s">
        <v>791</v>
      </c>
      <c r="W941">
        <v>190000</v>
      </c>
      <c r="X941" t="s">
        <v>54</v>
      </c>
      <c r="AA941">
        <v>809</v>
      </c>
      <c r="AB941">
        <v>743</v>
      </c>
      <c r="AC941">
        <v>504</v>
      </c>
      <c r="AD941">
        <v>1467</v>
      </c>
      <c r="AE941">
        <v>1607</v>
      </c>
      <c r="AF941">
        <v>0</v>
      </c>
      <c r="AG941">
        <v>0</v>
      </c>
      <c r="AH941">
        <v>12.39437866210938</v>
      </c>
      <c r="AI941">
        <v>0</v>
      </c>
      <c r="AJ941">
        <v>3.0689480304718022</v>
      </c>
      <c r="AK941" t="s">
        <v>54</v>
      </c>
      <c r="AL941" t="s">
        <v>53</v>
      </c>
      <c r="AP941" t="s">
        <v>5451</v>
      </c>
      <c r="AQ941" t="s">
        <v>54</v>
      </c>
      <c r="AT941" t="s">
        <v>1507</v>
      </c>
      <c r="AW941" t="s">
        <v>53</v>
      </c>
      <c r="AZ941" t="s">
        <v>54</v>
      </c>
      <c r="BA941" t="s">
        <v>729</v>
      </c>
    </row>
    <row r="942" spans="1:53" x14ac:dyDescent="0.25">
      <c r="A942">
        <v>937</v>
      </c>
      <c r="B942" t="s">
        <v>1529</v>
      </c>
      <c r="C942" t="s">
        <v>1530</v>
      </c>
      <c r="D942" t="s">
        <v>784</v>
      </c>
      <c r="E942">
        <v>6</v>
      </c>
      <c r="F942" t="s">
        <v>719</v>
      </c>
      <c r="G942" t="s">
        <v>805</v>
      </c>
      <c r="H942" t="s">
        <v>806</v>
      </c>
      <c r="I942" t="s">
        <v>911</v>
      </c>
      <c r="J942" t="s">
        <v>912</v>
      </c>
      <c r="K942" t="s">
        <v>913</v>
      </c>
      <c r="L942" t="s">
        <v>725</v>
      </c>
      <c r="M942">
        <v>1.436710476875305</v>
      </c>
      <c r="N942" t="s">
        <v>54</v>
      </c>
      <c r="O942" t="s">
        <v>53</v>
      </c>
      <c r="P942" t="s">
        <v>53</v>
      </c>
      <c r="Q942" t="s">
        <v>53</v>
      </c>
      <c r="R942" t="s">
        <v>53</v>
      </c>
      <c r="S942" t="s">
        <v>914</v>
      </c>
      <c r="T942" t="s">
        <v>1531</v>
      </c>
      <c r="U942" t="s">
        <v>53</v>
      </c>
      <c r="V942" t="s">
        <v>791</v>
      </c>
      <c r="W942">
        <v>170000</v>
      </c>
      <c r="X942" t="s">
        <v>54</v>
      </c>
      <c r="AA942">
        <v>0</v>
      </c>
      <c r="AB942">
        <v>0</v>
      </c>
      <c r="AC942">
        <v>0</v>
      </c>
      <c r="AD942">
        <v>0</v>
      </c>
      <c r="AE942">
        <v>0</v>
      </c>
      <c r="AF942">
        <v>0</v>
      </c>
      <c r="AK942" t="s">
        <v>54</v>
      </c>
      <c r="AL942" t="s">
        <v>53</v>
      </c>
      <c r="AP942" t="s">
        <v>5451</v>
      </c>
      <c r="AQ942" t="s">
        <v>54</v>
      </c>
      <c r="AT942" t="s">
        <v>1507</v>
      </c>
      <c r="AW942" t="s">
        <v>54</v>
      </c>
      <c r="AZ942" t="s">
        <v>54</v>
      </c>
      <c r="BA942" t="s">
        <v>729</v>
      </c>
    </row>
    <row r="943" spans="1:53" x14ac:dyDescent="0.25">
      <c r="A943">
        <v>938</v>
      </c>
      <c r="B943" t="s">
        <v>1532</v>
      </c>
      <c r="C943" t="s">
        <v>1533</v>
      </c>
      <c r="D943" t="s">
        <v>1534</v>
      </c>
      <c r="E943">
        <v>6</v>
      </c>
      <c r="F943" t="s">
        <v>719</v>
      </c>
      <c r="G943" t="s">
        <v>1097</v>
      </c>
      <c r="H943" t="s">
        <v>795</v>
      </c>
      <c r="I943" t="s">
        <v>849</v>
      </c>
      <c r="J943" t="s">
        <v>850</v>
      </c>
      <c r="K943" t="s">
        <v>851</v>
      </c>
      <c r="L943" t="s">
        <v>725</v>
      </c>
      <c r="M943">
        <v>0.71043217182159424</v>
      </c>
      <c r="N943" t="s">
        <v>53</v>
      </c>
      <c r="O943" t="s">
        <v>53</v>
      </c>
      <c r="P943" t="s">
        <v>54</v>
      </c>
      <c r="Q943" t="s">
        <v>53</v>
      </c>
      <c r="R943" t="s">
        <v>53</v>
      </c>
      <c r="S943" t="s">
        <v>1171</v>
      </c>
      <c r="T943" t="s">
        <v>1535</v>
      </c>
      <c r="U943" t="s">
        <v>54</v>
      </c>
      <c r="V943" t="s">
        <v>791</v>
      </c>
      <c r="W943">
        <v>140000</v>
      </c>
      <c r="X943" t="s">
        <v>54</v>
      </c>
      <c r="AA943">
        <v>633</v>
      </c>
      <c r="AB943">
        <v>529</v>
      </c>
      <c r="AC943">
        <v>2597</v>
      </c>
      <c r="AD943">
        <v>1131</v>
      </c>
      <c r="AE943">
        <v>3407</v>
      </c>
      <c r="AF943">
        <v>4</v>
      </c>
      <c r="AG943">
        <v>0</v>
      </c>
      <c r="AH943">
        <v>8.820770263671875</v>
      </c>
      <c r="AI943">
        <v>0</v>
      </c>
      <c r="AK943" t="s">
        <v>54</v>
      </c>
      <c r="AL943" t="s">
        <v>53</v>
      </c>
      <c r="AP943" t="s">
        <v>5451</v>
      </c>
      <c r="AQ943" t="s">
        <v>54</v>
      </c>
      <c r="AT943" t="s">
        <v>1507</v>
      </c>
      <c r="AW943" t="s">
        <v>53</v>
      </c>
      <c r="AZ943" t="s">
        <v>54</v>
      </c>
      <c r="BA943" t="s">
        <v>729</v>
      </c>
    </row>
    <row r="944" spans="1:53" x14ac:dyDescent="0.25">
      <c r="A944">
        <v>939</v>
      </c>
      <c r="B944" t="s">
        <v>1536</v>
      </c>
      <c r="C944" t="s">
        <v>1537</v>
      </c>
      <c r="D944" t="s">
        <v>784</v>
      </c>
      <c r="E944">
        <v>6</v>
      </c>
      <c r="F944" t="s">
        <v>719</v>
      </c>
      <c r="G944" t="s">
        <v>1276</v>
      </c>
      <c r="H944" t="s">
        <v>1082</v>
      </c>
      <c r="I944" t="s">
        <v>1277</v>
      </c>
      <c r="J944" t="s">
        <v>1278</v>
      </c>
      <c r="K944" t="s">
        <v>1279</v>
      </c>
      <c r="L944" t="s">
        <v>725</v>
      </c>
      <c r="M944">
        <v>18.736551284790039</v>
      </c>
      <c r="N944" t="s">
        <v>54</v>
      </c>
      <c r="O944" t="s">
        <v>53</v>
      </c>
      <c r="P944" t="s">
        <v>53</v>
      </c>
      <c r="Q944" t="s">
        <v>53</v>
      </c>
      <c r="R944" t="s">
        <v>53</v>
      </c>
      <c r="S944" t="s">
        <v>1280</v>
      </c>
      <c r="T944" t="s">
        <v>1538</v>
      </c>
      <c r="U944" t="s">
        <v>53</v>
      </c>
      <c r="V944" t="s">
        <v>791</v>
      </c>
      <c r="W944">
        <v>400000</v>
      </c>
      <c r="X944" t="s">
        <v>54</v>
      </c>
      <c r="AA944">
        <v>261</v>
      </c>
      <c r="AB944">
        <v>133</v>
      </c>
      <c r="AC944">
        <v>1037</v>
      </c>
      <c r="AD944">
        <v>435</v>
      </c>
      <c r="AE944">
        <v>1267</v>
      </c>
      <c r="AF944">
        <v>0</v>
      </c>
      <c r="AG944">
        <v>1</v>
      </c>
      <c r="AH944">
        <v>27.32913970947266</v>
      </c>
      <c r="AI944">
        <v>1</v>
      </c>
      <c r="AJ944">
        <v>28.87845611572266</v>
      </c>
      <c r="AK944" t="s">
        <v>54</v>
      </c>
      <c r="AL944" t="s">
        <v>53</v>
      </c>
      <c r="AP944" t="s">
        <v>5451</v>
      </c>
      <c r="AQ944" t="s">
        <v>54</v>
      </c>
      <c r="AT944" t="s">
        <v>1507</v>
      </c>
      <c r="AW944" t="s">
        <v>53</v>
      </c>
      <c r="AZ944" t="s">
        <v>54</v>
      </c>
      <c r="BA944" t="s">
        <v>729</v>
      </c>
    </row>
    <row r="945" spans="1:53" x14ac:dyDescent="0.25">
      <c r="A945">
        <v>940</v>
      </c>
      <c r="B945" t="s">
        <v>1539</v>
      </c>
      <c r="C945" t="s">
        <v>1540</v>
      </c>
      <c r="D945" t="s">
        <v>784</v>
      </c>
      <c r="E945">
        <v>6</v>
      </c>
      <c r="F945" t="s">
        <v>719</v>
      </c>
      <c r="G945" t="s">
        <v>719</v>
      </c>
      <c r="H945" t="s">
        <v>1082</v>
      </c>
      <c r="I945" t="s">
        <v>1541</v>
      </c>
      <c r="J945" t="s">
        <v>1542</v>
      </c>
      <c r="K945" t="s">
        <v>1543</v>
      </c>
      <c r="L945" t="s">
        <v>725</v>
      </c>
      <c r="M945">
        <v>1.8528903722763059</v>
      </c>
      <c r="N945" t="s">
        <v>53</v>
      </c>
      <c r="O945" t="s">
        <v>53</v>
      </c>
      <c r="P945" t="s">
        <v>54</v>
      </c>
      <c r="Q945" t="s">
        <v>53</v>
      </c>
      <c r="R945" t="s">
        <v>53</v>
      </c>
      <c r="S945" t="s">
        <v>1544</v>
      </c>
      <c r="T945" t="s">
        <v>1545</v>
      </c>
      <c r="U945" t="s">
        <v>53</v>
      </c>
      <c r="V945" t="s">
        <v>791</v>
      </c>
      <c r="W945">
        <v>180000</v>
      </c>
      <c r="X945" t="s">
        <v>54</v>
      </c>
      <c r="AK945" t="s">
        <v>54</v>
      </c>
      <c r="AL945" t="s">
        <v>53</v>
      </c>
      <c r="AP945" t="s">
        <v>5451</v>
      </c>
      <c r="AQ945" t="s">
        <v>54</v>
      </c>
      <c r="AT945" t="s">
        <v>1507</v>
      </c>
      <c r="AW945" t="s">
        <v>53</v>
      </c>
      <c r="AZ945" t="s">
        <v>54</v>
      </c>
      <c r="BA945" t="s">
        <v>729</v>
      </c>
    </row>
    <row r="946" spans="1:53" x14ac:dyDescent="0.25">
      <c r="A946">
        <v>941</v>
      </c>
      <c r="B946" t="s">
        <v>1546</v>
      </c>
      <c r="C946" t="s">
        <v>1547</v>
      </c>
      <c r="D946" t="s">
        <v>784</v>
      </c>
      <c r="E946">
        <v>6</v>
      </c>
      <c r="F946" t="s">
        <v>719</v>
      </c>
      <c r="G946" t="s">
        <v>720</v>
      </c>
      <c r="H946" t="s">
        <v>1209</v>
      </c>
      <c r="I946" t="s">
        <v>1548</v>
      </c>
      <c r="J946" t="s">
        <v>1549</v>
      </c>
      <c r="K946" t="s">
        <v>1550</v>
      </c>
      <c r="L946" t="s">
        <v>725</v>
      </c>
      <c r="M946">
        <v>2.699701070785522</v>
      </c>
      <c r="N946" t="s">
        <v>54</v>
      </c>
      <c r="O946" t="s">
        <v>53</v>
      </c>
      <c r="P946" t="s">
        <v>53</v>
      </c>
      <c r="Q946" t="s">
        <v>53</v>
      </c>
      <c r="R946" t="s">
        <v>53</v>
      </c>
      <c r="S946" t="s">
        <v>1551</v>
      </c>
      <c r="T946" t="s">
        <v>1552</v>
      </c>
      <c r="U946" t="s">
        <v>53</v>
      </c>
      <c r="V946" t="s">
        <v>791</v>
      </c>
      <c r="W946">
        <v>210000</v>
      </c>
      <c r="X946" t="s">
        <v>54</v>
      </c>
      <c r="AA946">
        <v>90</v>
      </c>
      <c r="AB946">
        <v>52</v>
      </c>
      <c r="AC946">
        <v>166</v>
      </c>
      <c r="AD946">
        <v>124</v>
      </c>
      <c r="AE946">
        <v>258</v>
      </c>
      <c r="AF946">
        <v>0</v>
      </c>
      <c r="AG946">
        <v>0</v>
      </c>
      <c r="AH946">
        <v>1.70509397983551</v>
      </c>
      <c r="AI946">
        <v>0</v>
      </c>
      <c r="AJ946">
        <v>2.870004415512085</v>
      </c>
      <c r="AK946" t="s">
        <v>54</v>
      </c>
      <c r="AL946" t="s">
        <v>53</v>
      </c>
      <c r="AP946" t="s">
        <v>5451</v>
      </c>
      <c r="AQ946" t="s">
        <v>54</v>
      </c>
      <c r="AT946" t="s">
        <v>1507</v>
      </c>
      <c r="AW946" t="s">
        <v>53</v>
      </c>
      <c r="AZ946" t="s">
        <v>54</v>
      </c>
      <c r="BA946" t="s">
        <v>729</v>
      </c>
    </row>
    <row r="947" spans="1:53" x14ac:dyDescent="0.25">
      <c r="A947">
        <v>942</v>
      </c>
      <c r="B947" t="s">
        <v>1559</v>
      </c>
      <c r="C947" t="s">
        <v>1560</v>
      </c>
      <c r="D947" t="s">
        <v>784</v>
      </c>
      <c r="E947">
        <v>6</v>
      </c>
      <c r="F947" t="s">
        <v>719</v>
      </c>
      <c r="G947" t="s">
        <v>805</v>
      </c>
      <c r="H947" t="s">
        <v>857</v>
      </c>
      <c r="I947" t="s">
        <v>858</v>
      </c>
      <c r="J947" t="s">
        <v>1561</v>
      </c>
      <c r="K947" t="s">
        <v>1562</v>
      </c>
      <c r="L947" t="s">
        <v>725</v>
      </c>
      <c r="M947">
        <v>10.529746055603029</v>
      </c>
      <c r="N947" t="s">
        <v>53</v>
      </c>
      <c r="O947" t="s">
        <v>53</v>
      </c>
      <c r="P947" t="s">
        <v>54</v>
      </c>
      <c r="Q947" t="s">
        <v>53</v>
      </c>
      <c r="R947" t="s">
        <v>53</v>
      </c>
      <c r="S947" t="s">
        <v>1563</v>
      </c>
      <c r="T947" t="s">
        <v>1564</v>
      </c>
      <c r="U947" t="s">
        <v>54</v>
      </c>
      <c r="V947" t="s">
        <v>791</v>
      </c>
      <c r="W947">
        <v>320000</v>
      </c>
      <c r="X947" t="s">
        <v>54</v>
      </c>
      <c r="AA947">
        <v>469</v>
      </c>
      <c r="AB947">
        <v>241</v>
      </c>
      <c r="AC947">
        <v>7734</v>
      </c>
      <c r="AD947">
        <v>883</v>
      </c>
      <c r="AE947">
        <v>8356</v>
      </c>
      <c r="AF947">
        <v>6</v>
      </c>
      <c r="AG947">
        <v>1</v>
      </c>
      <c r="AH947">
        <v>9.11767578125</v>
      </c>
      <c r="AI947">
        <v>1</v>
      </c>
      <c r="AJ947">
        <v>4.1067566871643066</v>
      </c>
      <c r="AK947" t="s">
        <v>54</v>
      </c>
      <c r="AL947" t="s">
        <v>53</v>
      </c>
      <c r="AP947" t="s">
        <v>5451</v>
      </c>
      <c r="AQ947" t="s">
        <v>54</v>
      </c>
      <c r="AT947" t="s">
        <v>1507</v>
      </c>
      <c r="AW947" t="s">
        <v>53</v>
      </c>
      <c r="AZ947" t="s">
        <v>54</v>
      </c>
      <c r="BA947" t="s">
        <v>729</v>
      </c>
    </row>
    <row r="948" spans="1:53" x14ac:dyDescent="0.25">
      <c r="A948">
        <v>943</v>
      </c>
      <c r="B948" t="s">
        <v>1565</v>
      </c>
      <c r="C948" t="s">
        <v>1566</v>
      </c>
      <c r="D948" t="s">
        <v>784</v>
      </c>
      <c r="E948">
        <v>6</v>
      </c>
      <c r="F948" t="s">
        <v>719</v>
      </c>
      <c r="G948" t="s">
        <v>891</v>
      </c>
      <c r="H948" t="s">
        <v>795</v>
      </c>
      <c r="I948" t="s">
        <v>1039</v>
      </c>
      <c r="J948" t="s">
        <v>1040</v>
      </c>
      <c r="K948" t="s">
        <v>1041</v>
      </c>
      <c r="L948" t="s">
        <v>725</v>
      </c>
      <c r="M948">
        <v>10.29513454437256</v>
      </c>
      <c r="N948" t="s">
        <v>53</v>
      </c>
      <c r="O948" t="s">
        <v>53</v>
      </c>
      <c r="P948" t="s">
        <v>54</v>
      </c>
      <c r="Q948" t="s">
        <v>53</v>
      </c>
      <c r="R948" t="s">
        <v>53</v>
      </c>
      <c r="S948" t="s">
        <v>1567</v>
      </c>
      <c r="T948" t="s">
        <v>1568</v>
      </c>
      <c r="U948" t="s">
        <v>54</v>
      </c>
      <c r="V948" t="s">
        <v>791</v>
      </c>
      <c r="W948">
        <v>320000</v>
      </c>
      <c r="X948" t="s">
        <v>54</v>
      </c>
      <c r="AA948">
        <v>5624</v>
      </c>
      <c r="AB948">
        <v>4851</v>
      </c>
      <c r="AC948">
        <v>10940</v>
      </c>
      <c r="AD948">
        <v>15510</v>
      </c>
      <c r="AE948">
        <v>22231</v>
      </c>
      <c r="AF948">
        <v>78</v>
      </c>
      <c r="AG948">
        <v>10</v>
      </c>
      <c r="AH948">
        <v>78.892745971679688</v>
      </c>
      <c r="AI948">
        <v>10</v>
      </c>
      <c r="AJ948">
        <v>37.734699249267578</v>
      </c>
      <c r="AK948" t="s">
        <v>54</v>
      </c>
      <c r="AL948" t="s">
        <v>53</v>
      </c>
      <c r="AP948" t="s">
        <v>5451</v>
      </c>
      <c r="AQ948" t="s">
        <v>54</v>
      </c>
      <c r="AT948" t="s">
        <v>1507</v>
      </c>
      <c r="AW948" t="s">
        <v>53</v>
      </c>
      <c r="AZ948" t="s">
        <v>54</v>
      </c>
      <c r="BA948" t="s">
        <v>729</v>
      </c>
    </row>
    <row r="949" spans="1:53" x14ac:dyDescent="0.25">
      <c r="A949">
        <v>944</v>
      </c>
      <c r="B949" t="s">
        <v>1569</v>
      </c>
      <c r="C949" t="s">
        <v>1570</v>
      </c>
      <c r="D949" t="s">
        <v>784</v>
      </c>
      <c r="E949">
        <v>6</v>
      </c>
      <c r="F949" t="s">
        <v>719</v>
      </c>
      <c r="G949" t="s">
        <v>805</v>
      </c>
      <c r="H949" t="s">
        <v>795</v>
      </c>
      <c r="I949" t="s">
        <v>849</v>
      </c>
      <c r="J949" t="s">
        <v>850</v>
      </c>
      <c r="K949" t="s">
        <v>851</v>
      </c>
      <c r="L949" t="s">
        <v>725</v>
      </c>
      <c r="M949">
        <v>0.70625823736190796</v>
      </c>
      <c r="N949" t="s">
        <v>54</v>
      </c>
      <c r="O949" t="s">
        <v>54</v>
      </c>
      <c r="P949" t="s">
        <v>53</v>
      </c>
      <c r="Q949" t="s">
        <v>53</v>
      </c>
      <c r="R949" t="s">
        <v>53</v>
      </c>
      <c r="S949" t="s">
        <v>1571</v>
      </c>
      <c r="T949" t="s">
        <v>1572</v>
      </c>
      <c r="U949" t="s">
        <v>53</v>
      </c>
      <c r="V949" t="s">
        <v>791</v>
      </c>
      <c r="W949">
        <v>140000</v>
      </c>
      <c r="X949" t="s">
        <v>54</v>
      </c>
      <c r="AA949">
        <v>743</v>
      </c>
      <c r="AB949">
        <v>698</v>
      </c>
      <c r="AC949">
        <v>1293</v>
      </c>
      <c r="AD949">
        <v>2384</v>
      </c>
      <c r="AE949">
        <v>3033</v>
      </c>
      <c r="AF949">
        <v>9</v>
      </c>
      <c r="AH949">
        <v>9.3533601760864258</v>
      </c>
      <c r="AJ949">
        <v>0.44328251481056208</v>
      </c>
      <c r="AK949" t="s">
        <v>54</v>
      </c>
      <c r="AL949" t="s">
        <v>53</v>
      </c>
      <c r="AP949" t="s">
        <v>5451</v>
      </c>
      <c r="AQ949" t="s">
        <v>54</v>
      </c>
      <c r="AT949" t="s">
        <v>1507</v>
      </c>
      <c r="AW949" t="s">
        <v>54</v>
      </c>
      <c r="AZ949" t="s">
        <v>54</v>
      </c>
      <c r="BA949" t="s">
        <v>729</v>
      </c>
    </row>
    <row r="950" spans="1:53" x14ac:dyDescent="0.25">
      <c r="A950">
        <v>945</v>
      </c>
      <c r="B950" t="s">
        <v>1575</v>
      </c>
      <c r="C950" t="s">
        <v>1576</v>
      </c>
      <c r="D950" t="s">
        <v>784</v>
      </c>
      <c r="E950">
        <v>6</v>
      </c>
      <c r="F950" t="s">
        <v>719</v>
      </c>
      <c r="G950" t="s">
        <v>276</v>
      </c>
      <c r="H950" t="s">
        <v>806</v>
      </c>
      <c r="I950" t="s">
        <v>807</v>
      </c>
      <c r="J950" t="s">
        <v>1577</v>
      </c>
      <c r="K950" t="s">
        <v>1578</v>
      </c>
      <c r="L950" t="s">
        <v>725</v>
      </c>
      <c r="M950">
        <v>12.05843925476074</v>
      </c>
      <c r="N950" t="s">
        <v>53</v>
      </c>
      <c r="O950" t="s">
        <v>53</v>
      </c>
      <c r="P950" t="s">
        <v>54</v>
      </c>
      <c r="Q950" t="s">
        <v>53</v>
      </c>
      <c r="R950" t="s">
        <v>53</v>
      </c>
      <c r="S950" t="s">
        <v>1579</v>
      </c>
      <c r="T950" t="s">
        <v>1580</v>
      </c>
      <c r="U950" t="s">
        <v>54</v>
      </c>
      <c r="V950" t="s">
        <v>791</v>
      </c>
      <c r="W950">
        <v>340000</v>
      </c>
      <c r="X950" t="s">
        <v>54</v>
      </c>
      <c r="AK950" t="s">
        <v>54</v>
      </c>
      <c r="AL950" t="s">
        <v>53</v>
      </c>
      <c r="AP950" t="s">
        <v>5451</v>
      </c>
      <c r="AQ950" t="s">
        <v>54</v>
      </c>
      <c r="AT950" t="s">
        <v>1507</v>
      </c>
      <c r="AW950" t="s">
        <v>53</v>
      </c>
      <c r="AZ950" t="s">
        <v>54</v>
      </c>
      <c r="BA950" t="s">
        <v>729</v>
      </c>
    </row>
    <row r="951" spans="1:53" x14ac:dyDescent="0.25">
      <c r="A951">
        <v>946</v>
      </c>
      <c r="B951" t="s">
        <v>1581</v>
      </c>
      <c r="C951" t="s">
        <v>1582</v>
      </c>
      <c r="D951" t="s">
        <v>784</v>
      </c>
      <c r="E951">
        <v>6</v>
      </c>
      <c r="F951" t="s">
        <v>719</v>
      </c>
      <c r="G951" t="s">
        <v>805</v>
      </c>
      <c r="H951" t="s">
        <v>806</v>
      </c>
      <c r="I951" t="s">
        <v>816</v>
      </c>
      <c r="J951" t="s">
        <v>1583</v>
      </c>
      <c r="K951" t="s">
        <v>1584</v>
      </c>
      <c r="L951" t="s">
        <v>725</v>
      </c>
      <c r="M951">
        <v>4.9013371467590332</v>
      </c>
      <c r="N951" t="s">
        <v>53</v>
      </c>
      <c r="O951" t="s">
        <v>53</v>
      </c>
      <c r="P951" t="s">
        <v>54</v>
      </c>
      <c r="Q951" t="s">
        <v>53</v>
      </c>
      <c r="R951" t="s">
        <v>53</v>
      </c>
      <c r="S951" t="s">
        <v>1585</v>
      </c>
      <c r="T951" t="s">
        <v>1586</v>
      </c>
      <c r="U951" t="s">
        <v>54</v>
      </c>
      <c r="V951" t="s">
        <v>791</v>
      </c>
      <c r="W951">
        <v>250000</v>
      </c>
      <c r="X951" t="s">
        <v>54</v>
      </c>
      <c r="AA951">
        <v>205</v>
      </c>
      <c r="AB951">
        <v>156</v>
      </c>
      <c r="AC951">
        <v>381</v>
      </c>
      <c r="AD951">
        <v>465</v>
      </c>
      <c r="AE951">
        <v>712</v>
      </c>
      <c r="AF951">
        <v>9</v>
      </c>
      <c r="AG951">
        <v>0</v>
      </c>
      <c r="AH951">
        <v>2.63109278678894</v>
      </c>
      <c r="AI951">
        <v>0</v>
      </c>
      <c r="AJ951">
        <v>3.4449305534362789</v>
      </c>
      <c r="AK951" t="s">
        <v>54</v>
      </c>
      <c r="AL951" t="s">
        <v>53</v>
      </c>
      <c r="AP951" t="s">
        <v>5451</v>
      </c>
      <c r="AQ951" t="s">
        <v>54</v>
      </c>
      <c r="AT951" t="s">
        <v>1507</v>
      </c>
      <c r="AW951" t="s">
        <v>53</v>
      </c>
      <c r="AZ951" t="s">
        <v>54</v>
      </c>
      <c r="BA951" t="s">
        <v>729</v>
      </c>
    </row>
    <row r="952" spans="1:53" x14ac:dyDescent="0.25">
      <c r="A952">
        <v>947</v>
      </c>
      <c r="B952" t="s">
        <v>1587</v>
      </c>
      <c r="C952" t="s">
        <v>1588</v>
      </c>
      <c r="D952" t="s">
        <v>784</v>
      </c>
      <c r="E952">
        <v>6</v>
      </c>
      <c r="F952" t="s">
        <v>719</v>
      </c>
      <c r="G952" t="s">
        <v>805</v>
      </c>
      <c r="H952" t="s">
        <v>806</v>
      </c>
      <c r="I952" t="s">
        <v>911</v>
      </c>
      <c r="J952" t="s">
        <v>912</v>
      </c>
      <c r="K952" t="s">
        <v>913</v>
      </c>
      <c r="L952" t="s">
        <v>725</v>
      </c>
      <c r="M952">
        <v>0.94308346509933472</v>
      </c>
      <c r="N952" t="s">
        <v>53</v>
      </c>
      <c r="O952" t="s">
        <v>53</v>
      </c>
      <c r="P952" t="s">
        <v>54</v>
      </c>
      <c r="Q952" t="s">
        <v>53</v>
      </c>
      <c r="R952" t="s">
        <v>53</v>
      </c>
      <c r="S952" t="s">
        <v>1589</v>
      </c>
      <c r="T952" t="s">
        <v>1590</v>
      </c>
      <c r="U952" t="s">
        <v>54</v>
      </c>
      <c r="V952" t="s">
        <v>791</v>
      </c>
      <c r="W952">
        <v>150000</v>
      </c>
      <c r="X952" t="s">
        <v>54</v>
      </c>
      <c r="AA952">
        <v>0</v>
      </c>
      <c r="AB952">
        <v>0</v>
      </c>
      <c r="AC952">
        <v>0</v>
      </c>
      <c r="AD952">
        <v>0</v>
      </c>
      <c r="AE952">
        <v>0</v>
      </c>
      <c r="AF952">
        <v>0</v>
      </c>
      <c r="AK952" t="s">
        <v>54</v>
      </c>
      <c r="AL952" t="s">
        <v>53</v>
      </c>
      <c r="AP952" t="s">
        <v>5451</v>
      </c>
      <c r="AQ952" t="s">
        <v>54</v>
      </c>
      <c r="AT952" t="s">
        <v>1507</v>
      </c>
      <c r="AW952" t="s">
        <v>53</v>
      </c>
      <c r="AZ952" t="s">
        <v>54</v>
      </c>
      <c r="BA952" t="s">
        <v>729</v>
      </c>
    </row>
    <row r="953" spans="1:53" x14ac:dyDescent="0.25">
      <c r="A953">
        <v>948</v>
      </c>
      <c r="B953" t="s">
        <v>1591</v>
      </c>
      <c r="C953" t="s">
        <v>1592</v>
      </c>
      <c r="D953" t="s">
        <v>784</v>
      </c>
      <c r="E953">
        <v>6</v>
      </c>
      <c r="F953" t="s">
        <v>719</v>
      </c>
      <c r="G953" t="s">
        <v>169</v>
      </c>
      <c r="H953" t="s">
        <v>795</v>
      </c>
      <c r="I953" t="s">
        <v>796</v>
      </c>
      <c r="J953" t="s">
        <v>797</v>
      </c>
      <c r="K953" t="s">
        <v>798</v>
      </c>
      <c r="L953" t="s">
        <v>725</v>
      </c>
      <c r="M953">
        <v>0.43819710612297058</v>
      </c>
      <c r="N953" t="s">
        <v>53</v>
      </c>
      <c r="O953" t="s">
        <v>53</v>
      </c>
      <c r="P953" t="s">
        <v>54</v>
      </c>
      <c r="Q953" t="s">
        <v>53</v>
      </c>
      <c r="R953" t="s">
        <v>53</v>
      </c>
      <c r="S953" t="s">
        <v>981</v>
      </c>
      <c r="T953" t="s">
        <v>985</v>
      </c>
      <c r="U953" t="s">
        <v>54</v>
      </c>
      <c r="V953" t="s">
        <v>791</v>
      </c>
      <c r="W953">
        <v>130000</v>
      </c>
      <c r="X953" t="s">
        <v>54</v>
      </c>
      <c r="AA953">
        <v>128</v>
      </c>
      <c r="AB953">
        <v>121</v>
      </c>
      <c r="AC953">
        <v>78</v>
      </c>
      <c r="AD953">
        <v>333</v>
      </c>
      <c r="AE953">
        <v>333</v>
      </c>
      <c r="AF953">
        <v>1</v>
      </c>
      <c r="AG953">
        <v>0</v>
      </c>
      <c r="AH953">
        <v>2.0717709064483638</v>
      </c>
      <c r="AI953">
        <v>0</v>
      </c>
      <c r="AJ953">
        <v>0.13477444648742681</v>
      </c>
      <c r="AK953" t="s">
        <v>54</v>
      </c>
      <c r="AL953" t="s">
        <v>53</v>
      </c>
      <c r="AP953" t="s">
        <v>5451</v>
      </c>
      <c r="AQ953" t="s">
        <v>54</v>
      </c>
      <c r="AT953" t="s">
        <v>1507</v>
      </c>
      <c r="AW953" t="s">
        <v>53</v>
      </c>
      <c r="AZ953" t="s">
        <v>54</v>
      </c>
      <c r="BA953" t="s">
        <v>729</v>
      </c>
    </row>
    <row r="954" spans="1:53" x14ac:dyDescent="0.25">
      <c r="A954">
        <v>949</v>
      </c>
      <c r="B954" t="s">
        <v>1593</v>
      </c>
      <c r="C954" t="s">
        <v>1594</v>
      </c>
      <c r="D954" t="s">
        <v>784</v>
      </c>
      <c r="E954">
        <v>6</v>
      </c>
      <c r="F954" t="s">
        <v>719</v>
      </c>
      <c r="G954" t="s">
        <v>805</v>
      </c>
      <c r="H954" t="s">
        <v>806</v>
      </c>
      <c r="I954" t="s">
        <v>911</v>
      </c>
      <c r="J954" t="s">
        <v>912</v>
      </c>
      <c r="K954" t="s">
        <v>913</v>
      </c>
      <c r="L954" t="s">
        <v>725</v>
      </c>
      <c r="M954">
        <v>0.2664848268032074</v>
      </c>
      <c r="N954" t="s">
        <v>53</v>
      </c>
      <c r="O954" t="s">
        <v>53</v>
      </c>
      <c r="P954" t="s">
        <v>54</v>
      </c>
      <c r="Q954" t="s">
        <v>53</v>
      </c>
      <c r="R954" t="s">
        <v>53</v>
      </c>
      <c r="S954" t="s">
        <v>1595</v>
      </c>
      <c r="T954" t="s">
        <v>1590</v>
      </c>
      <c r="U954" t="s">
        <v>54</v>
      </c>
      <c r="V954" t="s">
        <v>791</v>
      </c>
      <c r="W954">
        <v>110000</v>
      </c>
      <c r="X954" t="s">
        <v>54</v>
      </c>
      <c r="AA954">
        <v>1</v>
      </c>
      <c r="AB954">
        <v>1</v>
      </c>
      <c r="AC954">
        <v>1</v>
      </c>
      <c r="AD954">
        <v>3</v>
      </c>
      <c r="AE954">
        <v>3</v>
      </c>
      <c r="AF954">
        <v>0</v>
      </c>
      <c r="AG954">
        <v>0</v>
      </c>
      <c r="AH954">
        <v>6.7805200815200806E-3</v>
      </c>
      <c r="AI954">
        <v>0</v>
      </c>
      <c r="AK954" t="s">
        <v>54</v>
      </c>
      <c r="AL954" t="s">
        <v>53</v>
      </c>
      <c r="AP954" t="s">
        <v>5451</v>
      </c>
      <c r="AQ954" t="s">
        <v>54</v>
      </c>
      <c r="AT954" t="s">
        <v>1507</v>
      </c>
      <c r="AW954" t="s">
        <v>53</v>
      </c>
      <c r="AZ954" t="s">
        <v>54</v>
      </c>
      <c r="BA954" t="s">
        <v>729</v>
      </c>
    </row>
    <row r="955" spans="1:53" x14ac:dyDescent="0.25">
      <c r="A955">
        <v>950</v>
      </c>
      <c r="B955" t="s">
        <v>1596</v>
      </c>
      <c r="C955" t="s">
        <v>1597</v>
      </c>
      <c r="D955" t="s">
        <v>784</v>
      </c>
      <c r="E955">
        <v>6</v>
      </c>
      <c r="F955" t="s">
        <v>719</v>
      </c>
      <c r="G955" t="s">
        <v>1011</v>
      </c>
      <c r="H955" t="s">
        <v>795</v>
      </c>
      <c r="I955" t="s">
        <v>1222</v>
      </c>
      <c r="J955" t="s">
        <v>1223</v>
      </c>
      <c r="K955" t="s">
        <v>1224</v>
      </c>
      <c r="L955" t="s">
        <v>725</v>
      </c>
      <c r="M955">
        <v>91.212043762207031</v>
      </c>
      <c r="N955" t="s">
        <v>53</v>
      </c>
      <c r="O955" t="s">
        <v>53</v>
      </c>
      <c r="P955" t="s">
        <v>54</v>
      </c>
      <c r="Q955" t="s">
        <v>53</v>
      </c>
      <c r="R955" t="s">
        <v>53</v>
      </c>
      <c r="S955" t="s">
        <v>1598</v>
      </c>
      <c r="T955" t="s">
        <v>1599</v>
      </c>
      <c r="U955" t="s">
        <v>54</v>
      </c>
      <c r="V955" t="s">
        <v>791</v>
      </c>
      <c r="W955">
        <v>720000</v>
      </c>
      <c r="X955" t="s">
        <v>54</v>
      </c>
      <c r="AA955">
        <v>2655</v>
      </c>
      <c r="AB955">
        <v>2270</v>
      </c>
      <c r="AC955">
        <v>2423</v>
      </c>
      <c r="AD955">
        <v>5294</v>
      </c>
      <c r="AE955">
        <v>6415</v>
      </c>
      <c r="AF955">
        <v>12</v>
      </c>
      <c r="AG955">
        <v>0</v>
      </c>
      <c r="AH955">
        <v>72.513603210449219</v>
      </c>
      <c r="AI955">
        <v>0</v>
      </c>
      <c r="AJ955">
        <v>884.1700439453125</v>
      </c>
      <c r="AK955" t="s">
        <v>54</v>
      </c>
      <c r="AL955" t="s">
        <v>53</v>
      </c>
      <c r="AP955" t="s">
        <v>5451</v>
      </c>
      <c r="AQ955" t="s">
        <v>54</v>
      </c>
      <c r="AT955" t="s">
        <v>1507</v>
      </c>
      <c r="AW955" t="s">
        <v>53</v>
      </c>
      <c r="AZ955" t="s">
        <v>54</v>
      </c>
      <c r="BA955" t="s">
        <v>729</v>
      </c>
    </row>
    <row r="956" spans="1:53" x14ac:dyDescent="0.25">
      <c r="A956">
        <v>951</v>
      </c>
      <c r="B956" t="s">
        <v>1600</v>
      </c>
      <c r="C956" t="s">
        <v>1601</v>
      </c>
      <c r="D956" t="s">
        <v>784</v>
      </c>
      <c r="E956">
        <v>6</v>
      </c>
      <c r="F956" t="s">
        <v>719</v>
      </c>
      <c r="G956" t="s">
        <v>805</v>
      </c>
      <c r="H956" t="s">
        <v>1419</v>
      </c>
      <c r="I956" t="s">
        <v>1602</v>
      </c>
      <c r="J956" t="s">
        <v>1603</v>
      </c>
      <c r="K956" t="s">
        <v>1604</v>
      </c>
      <c r="L956" t="s">
        <v>725</v>
      </c>
      <c r="M956">
        <v>9.7884254455566406</v>
      </c>
      <c r="N956" t="s">
        <v>53</v>
      </c>
      <c r="O956" t="s">
        <v>53</v>
      </c>
      <c r="P956" t="s">
        <v>54</v>
      </c>
      <c r="Q956" t="s">
        <v>53</v>
      </c>
      <c r="R956" t="s">
        <v>53</v>
      </c>
      <c r="S956" t="s">
        <v>1605</v>
      </c>
      <c r="T956" t="s">
        <v>1606</v>
      </c>
      <c r="U956" t="s">
        <v>54</v>
      </c>
      <c r="V956" t="s">
        <v>791</v>
      </c>
      <c r="W956">
        <v>320000</v>
      </c>
      <c r="X956" t="s">
        <v>54</v>
      </c>
      <c r="AA956">
        <v>652</v>
      </c>
      <c r="AB956">
        <v>489</v>
      </c>
      <c r="AC956">
        <v>3460</v>
      </c>
      <c r="AD956">
        <v>1523</v>
      </c>
      <c r="AE956">
        <v>4566</v>
      </c>
      <c r="AF956">
        <v>5</v>
      </c>
      <c r="AG956">
        <v>1</v>
      </c>
      <c r="AH956">
        <v>16.950300216674801</v>
      </c>
      <c r="AI956">
        <v>1</v>
      </c>
      <c r="AJ956">
        <v>25.1372184753418</v>
      </c>
      <c r="AK956" t="s">
        <v>54</v>
      </c>
      <c r="AL956" t="s">
        <v>53</v>
      </c>
      <c r="AP956" t="s">
        <v>5451</v>
      </c>
      <c r="AQ956" t="s">
        <v>54</v>
      </c>
      <c r="AT956" t="s">
        <v>1507</v>
      </c>
      <c r="AW956" t="s">
        <v>53</v>
      </c>
      <c r="AZ956" t="s">
        <v>54</v>
      </c>
      <c r="BA956" t="s">
        <v>729</v>
      </c>
    </row>
    <row r="957" spans="1:53" x14ac:dyDescent="0.25">
      <c r="A957">
        <v>952</v>
      </c>
      <c r="B957" t="s">
        <v>1607</v>
      </c>
      <c r="C957" t="s">
        <v>1608</v>
      </c>
      <c r="D957" t="s">
        <v>784</v>
      </c>
      <c r="E957">
        <v>6</v>
      </c>
      <c r="F957" t="s">
        <v>719</v>
      </c>
      <c r="G957" t="s">
        <v>805</v>
      </c>
      <c r="H957" t="s">
        <v>806</v>
      </c>
      <c r="I957" t="s">
        <v>911</v>
      </c>
      <c r="J957" t="s">
        <v>912</v>
      </c>
      <c r="K957" t="s">
        <v>913</v>
      </c>
      <c r="L957" t="s">
        <v>725</v>
      </c>
      <c r="M957">
        <v>1.950555682182312</v>
      </c>
      <c r="N957" t="s">
        <v>53</v>
      </c>
      <c r="O957" t="s">
        <v>53</v>
      </c>
      <c r="P957" t="s">
        <v>54</v>
      </c>
      <c r="Q957" t="s">
        <v>53</v>
      </c>
      <c r="R957" t="s">
        <v>53</v>
      </c>
      <c r="S957" t="s">
        <v>1609</v>
      </c>
      <c r="T957" t="s">
        <v>1610</v>
      </c>
      <c r="U957" t="s">
        <v>54</v>
      </c>
      <c r="V957" t="s">
        <v>791</v>
      </c>
      <c r="W957">
        <v>190000</v>
      </c>
      <c r="X957" t="s">
        <v>54</v>
      </c>
      <c r="AA957">
        <v>108</v>
      </c>
      <c r="AB957">
        <v>103</v>
      </c>
      <c r="AC957">
        <v>118</v>
      </c>
      <c r="AD957">
        <v>345</v>
      </c>
      <c r="AE957">
        <v>369</v>
      </c>
      <c r="AF957">
        <v>1</v>
      </c>
      <c r="AG957">
        <v>0</v>
      </c>
      <c r="AH957">
        <v>1.162753224372864</v>
      </c>
      <c r="AI957">
        <v>0</v>
      </c>
      <c r="AK957" t="s">
        <v>54</v>
      </c>
      <c r="AL957" t="s">
        <v>53</v>
      </c>
      <c r="AP957" t="s">
        <v>5451</v>
      </c>
      <c r="AQ957" t="s">
        <v>54</v>
      </c>
      <c r="AT957" t="s">
        <v>1507</v>
      </c>
      <c r="AW957" t="s">
        <v>53</v>
      </c>
      <c r="AZ957" t="s">
        <v>54</v>
      </c>
      <c r="BA957" t="s">
        <v>729</v>
      </c>
    </row>
    <row r="958" spans="1:53" x14ac:dyDescent="0.25">
      <c r="A958">
        <v>953</v>
      </c>
      <c r="B958" t="s">
        <v>1618</v>
      </c>
      <c r="C958" t="s">
        <v>1619</v>
      </c>
      <c r="D958" t="s">
        <v>784</v>
      </c>
      <c r="E958">
        <v>6</v>
      </c>
      <c r="F958" t="s">
        <v>719</v>
      </c>
      <c r="G958" t="s">
        <v>169</v>
      </c>
      <c r="H958" t="s">
        <v>795</v>
      </c>
      <c r="I958" t="s">
        <v>796</v>
      </c>
      <c r="J958" t="s">
        <v>797</v>
      </c>
      <c r="K958" t="s">
        <v>798</v>
      </c>
      <c r="L958" t="s">
        <v>725</v>
      </c>
      <c r="M958">
        <v>9.4195041656494141</v>
      </c>
      <c r="N958" t="s">
        <v>53</v>
      </c>
      <c r="O958" t="s">
        <v>53</v>
      </c>
      <c r="P958" t="s">
        <v>54</v>
      </c>
      <c r="Q958" t="s">
        <v>53</v>
      </c>
      <c r="R958" t="s">
        <v>53</v>
      </c>
      <c r="S958" t="s">
        <v>1620</v>
      </c>
      <c r="T958" t="s">
        <v>1621</v>
      </c>
      <c r="U958" t="s">
        <v>54</v>
      </c>
      <c r="V958" t="s">
        <v>791</v>
      </c>
      <c r="W958">
        <v>310000</v>
      </c>
      <c r="X958" t="s">
        <v>54</v>
      </c>
      <c r="AA958">
        <v>1162</v>
      </c>
      <c r="AB958">
        <v>1030</v>
      </c>
      <c r="AC958">
        <v>414</v>
      </c>
      <c r="AD958">
        <v>1271</v>
      </c>
      <c r="AE958">
        <v>1448</v>
      </c>
      <c r="AF958">
        <v>1</v>
      </c>
      <c r="AG958">
        <v>0</v>
      </c>
      <c r="AH958">
        <v>28.462604522705082</v>
      </c>
      <c r="AI958">
        <v>0</v>
      </c>
      <c r="AJ958">
        <v>338.52609252929688</v>
      </c>
      <c r="AK958" t="s">
        <v>54</v>
      </c>
      <c r="AL958" t="s">
        <v>53</v>
      </c>
      <c r="AP958" t="s">
        <v>5451</v>
      </c>
      <c r="AQ958" t="s">
        <v>54</v>
      </c>
      <c r="AT958" t="s">
        <v>1507</v>
      </c>
      <c r="AW958" t="s">
        <v>53</v>
      </c>
      <c r="AZ958" t="s">
        <v>54</v>
      </c>
      <c r="BA958" t="s">
        <v>729</v>
      </c>
    </row>
    <row r="959" spans="1:53" x14ac:dyDescent="0.25">
      <c r="A959">
        <v>954</v>
      </c>
      <c r="B959" t="s">
        <v>1622</v>
      </c>
      <c r="C959" t="s">
        <v>1623</v>
      </c>
      <c r="D959" t="s">
        <v>784</v>
      </c>
      <c r="E959">
        <v>6</v>
      </c>
      <c r="F959" t="s">
        <v>719</v>
      </c>
      <c r="G959" t="s">
        <v>805</v>
      </c>
      <c r="H959" t="s">
        <v>806</v>
      </c>
      <c r="I959" t="s">
        <v>816</v>
      </c>
      <c r="J959" t="s">
        <v>1624</v>
      </c>
      <c r="K959" t="s">
        <v>1625</v>
      </c>
      <c r="L959" t="s">
        <v>725</v>
      </c>
      <c r="M959">
        <v>1.8480029106140139</v>
      </c>
      <c r="N959" t="s">
        <v>54</v>
      </c>
      <c r="O959" t="s">
        <v>54</v>
      </c>
      <c r="P959" t="s">
        <v>53</v>
      </c>
      <c r="Q959" t="s">
        <v>53</v>
      </c>
      <c r="R959" t="s">
        <v>53</v>
      </c>
      <c r="S959" t="s">
        <v>1626</v>
      </c>
      <c r="T959" t="s">
        <v>1627</v>
      </c>
      <c r="U959" t="s">
        <v>53</v>
      </c>
      <c r="V959" t="s">
        <v>791</v>
      </c>
      <c r="W959">
        <v>180000</v>
      </c>
      <c r="X959" t="s">
        <v>54</v>
      </c>
      <c r="AA959">
        <v>10</v>
      </c>
      <c r="AB959">
        <v>5</v>
      </c>
      <c r="AC959">
        <v>19</v>
      </c>
      <c r="AD959">
        <v>28</v>
      </c>
      <c r="AE959">
        <v>41</v>
      </c>
      <c r="AF959">
        <v>0</v>
      </c>
      <c r="AG959">
        <v>0</v>
      </c>
      <c r="AH959">
        <v>0.13381420075893399</v>
      </c>
      <c r="AI959">
        <v>0</v>
      </c>
      <c r="AK959" t="s">
        <v>54</v>
      </c>
      <c r="AL959" t="s">
        <v>53</v>
      </c>
      <c r="AP959" t="s">
        <v>5451</v>
      </c>
      <c r="AQ959" t="s">
        <v>54</v>
      </c>
      <c r="AT959" t="s">
        <v>1507</v>
      </c>
      <c r="AW959" t="s">
        <v>54</v>
      </c>
      <c r="AZ959" t="s">
        <v>54</v>
      </c>
      <c r="BA959" t="s">
        <v>729</v>
      </c>
    </row>
    <row r="960" spans="1:53" x14ac:dyDescent="0.25">
      <c r="A960">
        <v>955</v>
      </c>
      <c r="B960" t="s">
        <v>1628</v>
      </c>
      <c r="C960" t="s">
        <v>1629</v>
      </c>
      <c r="D960" t="s">
        <v>784</v>
      </c>
      <c r="E960">
        <v>6</v>
      </c>
      <c r="F960" t="s">
        <v>719</v>
      </c>
      <c r="G960" t="s">
        <v>891</v>
      </c>
      <c r="H960" t="s">
        <v>795</v>
      </c>
      <c r="I960" t="s">
        <v>1252</v>
      </c>
      <c r="J960" t="s">
        <v>1253</v>
      </c>
      <c r="K960" t="s">
        <v>1254</v>
      </c>
      <c r="L960" t="s">
        <v>725</v>
      </c>
      <c r="M960">
        <v>0.71484750509262085</v>
      </c>
      <c r="N960" t="s">
        <v>54</v>
      </c>
      <c r="O960" t="s">
        <v>54</v>
      </c>
      <c r="P960" t="s">
        <v>53</v>
      </c>
      <c r="Q960" t="s">
        <v>53</v>
      </c>
      <c r="R960" t="s">
        <v>53</v>
      </c>
      <c r="S960" t="s">
        <v>1255</v>
      </c>
      <c r="T960" t="s">
        <v>1256</v>
      </c>
      <c r="U960" t="s">
        <v>53</v>
      </c>
      <c r="V960" t="s">
        <v>791</v>
      </c>
      <c r="W960">
        <v>140000</v>
      </c>
      <c r="X960" t="s">
        <v>54</v>
      </c>
      <c r="AA960">
        <v>1276</v>
      </c>
      <c r="AB960">
        <v>1238</v>
      </c>
      <c r="AC960">
        <v>139</v>
      </c>
      <c r="AD960">
        <v>275</v>
      </c>
      <c r="AE960">
        <v>395</v>
      </c>
      <c r="AF960">
        <v>4</v>
      </c>
      <c r="AH960">
        <v>13.807454109191889</v>
      </c>
      <c r="AJ960">
        <v>2.8237185478210449</v>
      </c>
      <c r="AK960" t="s">
        <v>54</v>
      </c>
      <c r="AL960" t="s">
        <v>53</v>
      </c>
      <c r="AP960" t="s">
        <v>5451</v>
      </c>
      <c r="AQ960" t="s">
        <v>54</v>
      </c>
      <c r="AT960" t="s">
        <v>1507</v>
      </c>
      <c r="AW960" t="s">
        <v>54</v>
      </c>
      <c r="AZ960" t="s">
        <v>54</v>
      </c>
      <c r="BA960" t="s">
        <v>729</v>
      </c>
    </row>
    <row r="961" spans="1:53" x14ac:dyDescent="0.25">
      <c r="A961">
        <v>956</v>
      </c>
      <c r="B961" t="s">
        <v>1631</v>
      </c>
      <c r="C961" t="s">
        <v>1632</v>
      </c>
      <c r="D961" t="s">
        <v>784</v>
      </c>
      <c r="E961">
        <v>6</v>
      </c>
      <c r="F961" t="s">
        <v>719</v>
      </c>
      <c r="G961" t="s">
        <v>1073</v>
      </c>
      <c r="H961" t="s">
        <v>806</v>
      </c>
      <c r="I961" t="s">
        <v>1074</v>
      </c>
      <c r="J961" t="s">
        <v>1075</v>
      </c>
      <c r="K961" t="s">
        <v>1076</v>
      </c>
      <c r="L961" t="s">
        <v>725</v>
      </c>
      <c r="M961">
        <v>14.521249771118161</v>
      </c>
      <c r="N961" t="s">
        <v>53</v>
      </c>
      <c r="O961" t="s">
        <v>53</v>
      </c>
      <c r="P961" t="s">
        <v>54</v>
      </c>
      <c r="Q961" t="s">
        <v>53</v>
      </c>
      <c r="R961" t="s">
        <v>53</v>
      </c>
      <c r="S961" t="s">
        <v>1633</v>
      </c>
      <c r="T961" t="s">
        <v>1077</v>
      </c>
      <c r="U961" t="s">
        <v>54</v>
      </c>
      <c r="V961" t="s">
        <v>791</v>
      </c>
      <c r="W961">
        <v>360000</v>
      </c>
      <c r="X961" t="s">
        <v>54</v>
      </c>
      <c r="AA961">
        <v>546</v>
      </c>
      <c r="AB961">
        <v>444</v>
      </c>
      <c r="AC961">
        <v>1185</v>
      </c>
      <c r="AD961">
        <v>1445</v>
      </c>
      <c r="AE961">
        <v>2216</v>
      </c>
      <c r="AF961">
        <v>8</v>
      </c>
      <c r="AG961">
        <v>4</v>
      </c>
      <c r="AH961">
        <v>10.02671051025391</v>
      </c>
      <c r="AI961">
        <v>4</v>
      </c>
      <c r="AJ961">
        <v>21.652620315551761</v>
      </c>
      <c r="AK961" t="s">
        <v>54</v>
      </c>
      <c r="AL961" t="s">
        <v>53</v>
      </c>
      <c r="AP961" t="s">
        <v>5451</v>
      </c>
      <c r="AQ961" t="s">
        <v>54</v>
      </c>
      <c r="AT961" t="s">
        <v>1507</v>
      </c>
      <c r="AW961" t="s">
        <v>53</v>
      </c>
      <c r="AZ961" t="s">
        <v>54</v>
      </c>
      <c r="BA961" t="s">
        <v>729</v>
      </c>
    </row>
    <row r="962" spans="1:53" x14ac:dyDescent="0.25">
      <c r="A962">
        <v>957</v>
      </c>
      <c r="B962" t="s">
        <v>1634</v>
      </c>
      <c r="C962" t="s">
        <v>1635</v>
      </c>
      <c r="D962" t="s">
        <v>784</v>
      </c>
      <c r="E962">
        <v>6</v>
      </c>
      <c r="F962" t="s">
        <v>719</v>
      </c>
      <c r="G962" t="s">
        <v>1166</v>
      </c>
      <c r="H962" t="s">
        <v>795</v>
      </c>
      <c r="I962" t="s">
        <v>1004</v>
      </c>
      <c r="J962" t="s">
        <v>1005</v>
      </c>
      <c r="K962" t="s">
        <v>1006</v>
      </c>
      <c r="L962" t="s">
        <v>725</v>
      </c>
      <c r="M962">
        <v>1.907837986946106</v>
      </c>
      <c r="N962" t="s">
        <v>53</v>
      </c>
      <c r="O962" t="s">
        <v>53</v>
      </c>
      <c r="P962" t="s">
        <v>54</v>
      </c>
      <c r="Q962" t="s">
        <v>53</v>
      </c>
      <c r="R962" t="s">
        <v>53</v>
      </c>
      <c r="S962" t="s">
        <v>1167</v>
      </c>
      <c r="T962" t="s">
        <v>1168</v>
      </c>
      <c r="U962" t="s">
        <v>54</v>
      </c>
      <c r="V962" t="s">
        <v>791</v>
      </c>
      <c r="W962">
        <v>190000</v>
      </c>
      <c r="X962" t="s">
        <v>54</v>
      </c>
      <c r="AA962">
        <v>562</v>
      </c>
      <c r="AB962">
        <v>425</v>
      </c>
      <c r="AC962">
        <v>2792</v>
      </c>
      <c r="AD962">
        <v>1150</v>
      </c>
      <c r="AE962">
        <v>3492</v>
      </c>
      <c r="AF962">
        <v>7</v>
      </c>
      <c r="AH962">
        <v>12.005941390991209</v>
      </c>
      <c r="AJ962">
        <v>0.72296905517578125</v>
      </c>
      <c r="AK962" t="s">
        <v>54</v>
      </c>
      <c r="AL962" t="s">
        <v>53</v>
      </c>
      <c r="AP962" t="s">
        <v>5451</v>
      </c>
      <c r="AQ962" t="s">
        <v>54</v>
      </c>
      <c r="AT962" t="s">
        <v>1507</v>
      </c>
      <c r="AW962" t="s">
        <v>53</v>
      </c>
      <c r="AZ962" t="s">
        <v>54</v>
      </c>
      <c r="BA962" t="s">
        <v>729</v>
      </c>
    </row>
    <row r="963" spans="1:53" x14ac:dyDescent="0.25">
      <c r="A963">
        <v>958</v>
      </c>
      <c r="B963" t="s">
        <v>1636</v>
      </c>
      <c r="C963" t="s">
        <v>1637</v>
      </c>
      <c r="D963" t="s">
        <v>784</v>
      </c>
      <c r="E963">
        <v>6</v>
      </c>
      <c r="F963" t="s">
        <v>719</v>
      </c>
      <c r="G963" t="s">
        <v>891</v>
      </c>
      <c r="H963" t="s">
        <v>795</v>
      </c>
      <c r="I963" t="s">
        <v>1039</v>
      </c>
      <c r="J963" t="s">
        <v>1040</v>
      </c>
      <c r="K963" t="s">
        <v>1041</v>
      </c>
      <c r="L963" t="s">
        <v>725</v>
      </c>
      <c r="M963">
        <v>14.23282623291016</v>
      </c>
      <c r="N963" t="s">
        <v>53</v>
      </c>
      <c r="O963" t="s">
        <v>53</v>
      </c>
      <c r="P963" t="s">
        <v>54</v>
      </c>
      <c r="Q963" t="s">
        <v>53</v>
      </c>
      <c r="R963" t="s">
        <v>53</v>
      </c>
      <c r="S963" t="s">
        <v>1092</v>
      </c>
      <c r="T963" t="s">
        <v>1093</v>
      </c>
      <c r="U963" t="s">
        <v>54</v>
      </c>
      <c r="V963" t="s">
        <v>791</v>
      </c>
      <c r="W963">
        <v>360000</v>
      </c>
      <c r="X963" t="s">
        <v>54</v>
      </c>
      <c r="AA963">
        <v>829</v>
      </c>
      <c r="AB963">
        <v>767</v>
      </c>
      <c r="AC963">
        <v>514</v>
      </c>
      <c r="AD963">
        <v>1455</v>
      </c>
      <c r="AE963">
        <v>1612</v>
      </c>
      <c r="AF963">
        <v>8</v>
      </c>
      <c r="AG963">
        <v>1</v>
      </c>
      <c r="AH963">
        <v>31.114070892333981</v>
      </c>
      <c r="AI963">
        <v>1</v>
      </c>
      <c r="AJ963">
        <v>37.849395751953118</v>
      </c>
      <c r="AK963" t="s">
        <v>54</v>
      </c>
      <c r="AL963" t="s">
        <v>53</v>
      </c>
      <c r="AP963" t="s">
        <v>5451</v>
      </c>
      <c r="AQ963" t="s">
        <v>54</v>
      </c>
      <c r="AT963" t="s">
        <v>1507</v>
      </c>
      <c r="AW963" t="s">
        <v>53</v>
      </c>
      <c r="AZ963" t="s">
        <v>54</v>
      </c>
      <c r="BA963" t="s">
        <v>729</v>
      </c>
    </row>
    <row r="964" spans="1:53" x14ac:dyDescent="0.25">
      <c r="A964">
        <v>959</v>
      </c>
      <c r="B964" t="s">
        <v>1638</v>
      </c>
      <c r="C964" t="s">
        <v>1639</v>
      </c>
      <c r="D964" t="s">
        <v>784</v>
      </c>
      <c r="E964">
        <v>6</v>
      </c>
      <c r="F964" t="s">
        <v>719</v>
      </c>
      <c r="G964" t="s">
        <v>805</v>
      </c>
      <c r="H964" t="s">
        <v>857</v>
      </c>
      <c r="I964" t="s">
        <v>858</v>
      </c>
      <c r="J964" t="s">
        <v>859</v>
      </c>
      <c r="K964" t="s">
        <v>860</v>
      </c>
      <c r="L964" t="s">
        <v>725</v>
      </c>
      <c r="M964">
        <v>19.833013534545898</v>
      </c>
      <c r="N964" t="s">
        <v>53</v>
      </c>
      <c r="O964" t="s">
        <v>53</v>
      </c>
      <c r="P964" t="s">
        <v>54</v>
      </c>
      <c r="Q964" t="s">
        <v>53</v>
      </c>
      <c r="R964" t="s">
        <v>53</v>
      </c>
      <c r="S964" t="s">
        <v>1640</v>
      </c>
      <c r="T964" t="s">
        <v>862</v>
      </c>
      <c r="U964" t="s">
        <v>54</v>
      </c>
      <c r="V964" t="s">
        <v>791</v>
      </c>
      <c r="W964">
        <v>410000</v>
      </c>
      <c r="X964" t="s">
        <v>54</v>
      </c>
      <c r="AA964">
        <v>2533</v>
      </c>
      <c r="AB964">
        <v>2250</v>
      </c>
      <c r="AC964">
        <v>5765</v>
      </c>
      <c r="AD964">
        <v>6122</v>
      </c>
      <c r="AE964">
        <v>10336</v>
      </c>
      <c r="AF964">
        <v>32</v>
      </c>
      <c r="AG964">
        <v>0</v>
      </c>
      <c r="AH964">
        <v>54.135520935058587</v>
      </c>
      <c r="AI964">
        <v>0</v>
      </c>
      <c r="AJ964">
        <v>15.26534366607666</v>
      </c>
      <c r="AK964" t="s">
        <v>54</v>
      </c>
      <c r="AL964" t="s">
        <v>53</v>
      </c>
      <c r="AP964" t="s">
        <v>5451</v>
      </c>
      <c r="AQ964" t="s">
        <v>54</v>
      </c>
      <c r="AT964" t="s">
        <v>1507</v>
      </c>
      <c r="AW964" t="s">
        <v>53</v>
      </c>
      <c r="AZ964" t="s">
        <v>54</v>
      </c>
      <c r="BA964" t="s">
        <v>729</v>
      </c>
    </row>
    <row r="965" spans="1:53" x14ac:dyDescent="0.25">
      <c r="A965">
        <v>960</v>
      </c>
      <c r="B965" t="s">
        <v>1641</v>
      </c>
      <c r="C965" t="s">
        <v>1642</v>
      </c>
      <c r="D965" t="s">
        <v>784</v>
      </c>
      <c r="E965">
        <v>6</v>
      </c>
      <c r="F965" t="s">
        <v>719</v>
      </c>
      <c r="G965" t="s">
        <v>1097</v>
      </c>
      <c r="H965" t="s">
        <v>795</v>
      </c>
      <c r="I965" t="s">
        <v>1004</v>
      </c>
      <c r="J965" t="s">
        <v>1005</v>
      </c>
      <c r="K965" t="s">
        <v>1006</v>
      </c>
      <c r="L965" t="s">
        <v>725</v>
      </c>
      <c r="M965">
        <v>52.888210296630859</v>
      </c>
      <c r="N965" t="s">
        <v>53</v>
      </c>
      <c r="O965" t="s">
        <v>53</v>
      </c>
      <c r="P965" t="s">
        <v>54</v>
      </c>
      <c r="Q965" t="s">
        <v>53</v>
      </c>
      <c r="R965" t="s">
        <v>53</v>
      </c>
      <c r="S965" t="s">
        <v>1098</v>
      </c>
      <c r="T965" t="s">
        <v>1134</v>
      </c>
      <c r="U965" t="s">
        <v>54</v>
      </c>
      <c r="V965" t="s">
        <v>791</v>
      </c>
      <c r="W965">
        <v>580000</v>
      </c>
      <c r="X965" t="s">
        <v>54</v>
      </c>
      <c r="AA965">
        <v>5251</v>
      </c>
      <c r="AB965">
        <v>4835</v>
      </c>
      <c r="AC965">
        <v>11187</v>
      </c>
      <c r="AD965">
        <v>13675</v>
      </c>
      <c r="AE965">
        <v>20978</v>
      </c>
      <c r="AF965">
        <v>25</v>
      </c>
      <c r="AG965">
        <v>2</v>
      </c>
      <c r="AH965">
        <v>104.5637283325195</v>
      </c>
      <c r="AI965">
        <v>2</v>
      </c>
      <c r="AJ965">
        <v>1308.191162109375</v>
      </c>
      <c r="AK965" t="s">
        <v>54</v>
      </c>
      <c r="AL965" t="s">
        <v>53</v>
      </c>
      <c r="AP965" t="s">
        <v>5451</v>
      </c>
      <c r="AQ965" t="s">
        <v>54</v>
      </c>
      <c r="AT965" t="s">
        <v>1507</v>
      </c>
      <c r="AW965" t="s">
        <v>53</v>
      </c>
      <c r="AZ965" t="s">
        <v>54</v>
      </c>
      <c r="BA965" t="s">
        <v>729</v>
      </c>
    </row>
    <row r="966" spans="1:53" x14ac:dyDescent="0.25">
      <c r="A966">
        <v>961</v>
      </c>
      <c r="B966" t="s">
        <v>1643</v>
      </c>
      <c r="C966" t="s">
        <v>1644</v>
      </c>
      <c r="D966" t="s">
        <v>784</v>
      </c>
      <c r="E966">
        <v>6</v>
      </c>
      <c r="F966" t="s">
        <v>719</v>
      </c>
      <c r="G966" t="s">
        <v>169</v>
      </c>
      <c r="H966" t="s">
        <v>795</v>
      </c>
      <c r="I966" t="s">
        <v>796</v>
      </c>
      <c r="J966" t="s">
        <v>797</v>
      </c>
      <c r="K966" t="s">
        <v>798</v>
      </c>
      <c r="L966" t="s">
        <v>725</v>
      </c>
      <c r="M966">
        <v>1.090862989425659</v>
      </c>
      <c r="N966" t="s">
        <v>53</v>
      </c>
      <c r="O966" t="s">
        <v>53</v>
      </c>
      <c r="P966" t="s">
        <v>54</v>
      </c>
      <c r="Q966" t="s">
        <v>53</v>
      </c>
      <c r="R966" t="s">
        <v>53</v>
      </c>
      <c r="S966" t="s">
        <v>1645</v>
      </c>
      <c r="T966" t="s">
        <v>1646</v>
      </c>
      <c r="U966" t="s">
        <v>54</v>
      </c>
      <c r="V966" t="s">
        <v>791</v>
      </c>
      <c r="W966">
        <v>160000</v>
      </c>
      <c r="X966" t="s">
        <v>54</v>
      </c>
      <c r="AA966">
        <v>130</v>
      </c>
      <c r="AB966">
        <v>110</v>
      </c>
      <c r="AC966">
        <v>19</v>
      </c>
      <c r="AD966">
        <v>103</v>
      </c>
      <c r="AE966">
        <v>104</v>
      </c>
      <c r="AF966">
        <v>0</v>
      </c>
      <c r="AG966">
        <v>0</v>
      </c>
      <c r="AH966">
        <v>3.3209011554718022</v>
      </c>
      <c r="AI966">
        <v>0</v>
      </c>
      <c r="AJ966">
        <v>5.29180908203125</v>
      </c>
      <c r="AK966" t="s">
        <v>54</v>
      </c>
      <c r="AL966" t="s">
        <v>53</v>
      </c>
      <c r="AP966" t="s">
        <v>5451</v>
      </c>
      <c r="AQ966" t="s">
        <v>54</v>
      </c>
      <c r="AT966" t="s">
        <v>1507</v>
      </c>
      <c r="AW966" t="s">
        <v>53</v>
      </c>
      <c r="AZ966" t="s">
        <v>54</v>
      </c>
      <c r="BA966" t="s">
        <v>729</v>
      </c>
    </row>
    <row r="967" spans="1:53" x14ac:dyDescent="0.25">
      <c r="A967">
        <v>962</v>
      </c>
      <c r="B967" t="s">
        <v>1647</v>
      </c>
      <c r="C967" t="s">
        <v>1648</v>
      </c>
      <c r="D967" t="s">
        <v>784</v>
      </c>
      <c r="E967">
        <v>6</v>
      </c>
      <c r="F967" t="s">
        <v>719</v>
      </c>
      <c r="G967" t="s">
        <v>720</v>
      </c>
      <c r="H967" t="s">
        <v>1243</v>
      </c>
      <c r="I967" t="s">
        <v>1244</v>
      </c>
      <c r="J967" t="s">
        <v>1649</v>
      </c>
      <c r="K967" t="s">
        <v>1650</v>
      </c>
      <c r="L967" t="s">
        <v>725</v>
      </c>
      <c r="M967">
        <v>2.8702001571655269</v>
      </c>
      <c r="N967" t="s">
        <v>54</v>
      </c>
      <c r="O967" t="s">
        <v>53</v>
      </c>
      <c r="P967" t="s">
        <v>53</v>
      </c>
      <c r="Q967" t="s">
        <v>53</v>
      </c>
      <c r="R967" t="s">
        <v>53</v>
      </c>
      <c r="S967" t="s">
        <v>1651</v>
      </c>
      <c r="T967" t="s">
        <v>1652</v>
      </c>
      <c r="U967" t="s">
        <v>53</v>
      </c>
      <c r="V967" t="s">
        <v>791</v>
      </c>
      <c r="W967">
        <v>210000</v>
      </c>
      <c r="X967" t="s">
        <v>54</v>
      </c>
      <c r="AA967">
        <v>23</v>
      </c>
      <c r="AB967">
        <v>19</v>
      </c>
      <c r="AC967">
        <v>17</v>
      </c>
      <c r="AD967">
        <v>60</v>
      </c>
      <c r="AE967">
        <v>60</v>
      </c>
      <c r="AF967">
        <v>0</v>
      </c>
      <c r="AG967">
        <v>0</v>
      </c>
      <c r="AH967">
        <v>0.56698477268218994</v>
      </c>
      <c r="AI967">
        <v>0</v>
      </c>
      <c r="AJ967">
        <v>0.42519298195838928</v>
      </c>
      <c r="AK967" t="s">
        <v>54</v>
      </c>
      <c r="AL967" t="s">
        <v>53</v>
      </c>
      <c r="AP967" t="s">
        <v>5451</v>
      </c>
      <c r="AQ967" t="s">
        <v>54</v>
      </c>
      <c r="AT967" t="s">
        <v>1507</v>
      </c>
      <c r="AW967" t="s">
        <v>54</v>
      </c>
      <c r="AZ967" t="s">
        <v>54</v>
      </c>
      <c r="BA967" t="s">
        <v>729</v>
      </c>
    </row>
    <row r="968" spans="1:53" x14ac:dyDescent="0.25">
      <c r="A968">
        <v>963</v>
      </c>
      <c r="B968" t="s">
        <v>1653</v>
      </c>
      <c r="C968" t="s">
        <v>1654</v>
      </c>
      <c r="D968" t="s">
        <v>784</v>
      </c>
      <c r="E968">
        <v>6</v>
      </c>
      <c r="F968" t="s">
        <v>719</v>
      </c>
      <c r="G968" t="s">
        <v>169</v>
      </c>
      <c r="H968" t="s">
        <v>795</v>
      </c>
      <c r="I968" t="s">
        <v>939</v>
      </c>
      <c r="J968" t="s">
        <v>940</v>
      </c>
      <c r="K968" t="s">
        <v>941</v>
      </c>
      <c r="L968" t="s">
        <v>725</v>
      </c>
      <c r="M968">
        <v>27.40939903259277</v>
      </c>
      <c r="N968" t="s">
        <v>53</v>
      </c>
      <c r="O968" t="s">
        <v>53</v>
      </c>
      <c r="P968" t="s">
        <v>54</v>
      </c>
      <c r="Q968" t="s">
        <v>53</v>
      </c>
      <c r="R968" t="s">
        <v>53</v>
      </c>
      <c r="S968" t="s">
        <v>942</v>
      </c>
      <c r="T968" t="s">
        <v>943</v>
      </c>
      <c r="U968" t="s">
        <v>54</v>
      </c>
      <c r="V968" t="s">
        <v>791</v>
      </c>
      <c r="W968">
        <v>460000</v>
      </c>
      <c r="X968" t="s">
        <v>54</v>
      </c>
      <c r="AA968">
        <v>1250</v>
      </c>
      <c r="AB968">
        <v>966</v>
      </c>
      <c r="AC968">
        <v>6741</v>
      </c>
      <c r="AD968">
        <v>1895</v>
      </c>
      <c r="AE968">
        <v>8190</v>
      </c>
      <c r="AF968">
        <v>8</v>
      </c>
      <c r="AG968">
        <v>0</v>
      </c>
      <c r="AH968">
        <v>43.312946319580078</v>
      </c>
      <c r="AI968">
        <v>0</v>
      </c>
      <c r="AJ968">
        <v>178.80146789550781</v>
      </c>
      <c r="AK968" t="s">
        <v>54</v>
      </c>
      <c r="AL968" t="s">
        <v>53</v>
      </c>
      <c r="AP968" t="s">
        <v>5451</v>
      </c>
      <c r="AQ968" t="s">
        <v>54</v>
      </c>
      <c r="AT968" t="s">
        <v>1507</v>
      </c>
      <c r="AW968" t="s">
        <v>53</v>
      </c>
      <c r="AZ968" t="s">
        <v>54</v>
      </c>
      <c r="BA968" t="s">
        <v>729</v>
      </c>
    </row>
    <row r="969" spans="1:53" x14ac:dyDescent="0.25">
      <c r="A969">
        <v>964</v>
      </c>
      <c r="B969" t="s">
        <v>1655</v>
      </c>
      <c r="C969" t="s">
        <v>1656</v>
      </c>
      <c r="D969" t="s">
        <v>784</v>
      </c>
      <c r="E969">
        <v>6</v>
      </c>
      <c r="F969" t="s">
        <v>719</v>
      </c>
      <c r="G969" t="s">
        <v>276</v>
      </c>
      <c r="H969" t="s">
        <v>806</v>
      </c>
      <c r="I969" t="s">
        <v>899</v>
      </c>
      <c r="J969" t="s">
        <v>926</v>
      </c>
      <c r="K969" t="s">
        <v>927</v>
      </c>
      <c r="L969" t="s">
        <v>725</v>
      </c>
      <c r="M969">
        <v>0.93041110038757324</v>
      </c>
      <c r="N969" t="s">
        <v>53</v>
      </c>
      <c r="O969" t="s">
        <v>53</v>
      </c>
      <c r="P969" t="s">
        <v>54</v>
      </c>
      <c r="Q969" t="s">
        <v>53</v>
      </c>
      <c r="R969" t="s">
        <v>53</v>
      </c>
      <c r="S969" t="s">
        <v>1657</v>
      </c>
      <c r="T969" t="s">
        <v>1658</v>
      </c>
      <c r="U969" t="s">
        <v>54</v>
      </c>
      <c r="V969" t="s">
        <v>791</v>
      </c>
      <c r="W969">
        <v>150000</v>
      </c>
      <c r="X969" t="s">
        <v>54</v>
      </c>
      <c r="AA969">
        <v>0</v>
      </c>
      <c r="AB969">
        <v>0</v>
      </c>
      <c r="AC969">
        <v>0</v>
      </c>
      <c r="AD969">
        <v>0</v>
      </c>
      <c r="AE969">
        <v>0</v>
      </c>
      <c r="AF969">
        <v>0</v>
      </c>
      <c r="AH969">
        <v>1.5144499484449629E-3</v>
      </c>
      <c r="AK969" t="s">
        <v>54</v>
      </c>
      <c r="AL969" t="s">
        <v>53</v>
      </c>
      <c r="AP969" t="s">
        <v>5451</v>
      </c>
      <c r="AQ969" t="s">
        <v>54</v>
      </c>
      <c r="AT969" t="s">
        <v>1507</v>
      </c>
      <c r="AW969" t="s">
        <v>53</v>
      </c>
      <c r="AZ969" t="s">
        <v>54</v>
      </c>
      <c r="BA969" t="s">
        <v>729</v>
      </c>
    </row>
    <row r="970" spans="1:53" x14ac:dyDescent="0.25">
      <c r="A970">
        <v>965</v>
      </c>
      <c r="B970" t="s">
        <v>1659</v>
      </c>
      <c r="C970" t="s">
        <v>1660</v>
      </c>
      <c r="D970" t="s">
        <v>784</v>
      </c>
      <c r="E970">
        <v>6</v>
      </c>
      <c r="F970" t="s">
        <v>719</v>
      </c>
      <c r="G970" t="s">
        <v>925</v>
      </c>
      <c r="H970" t="s">
        <v>857</v>
      </c>
      <c r="I970" t="s">
        <v>1311</v>
      </c>
      <c r="J970" t="s">
        <v>1312</v>
      </c>
      <c r="K970" t="s">
        <v>1313</v>
      </c>
      <c r="L970" t="s">
        <v>725</v>
      </c>
      <c r="M970">
        <v>30.291000366210941</v>
      </c>
      <c r="N970" t="s">
        <v>54</v>
      </c>
      <c r="O970" t="s">
        <v>53</v>
      </c>
      <c r="P970" t="s">
        <v>53</v>
      </c>
      <c r="Q970" t="s">
        <v>53</v>
      </c>
      <c r="R970" t="s">
        <v>53</v>
      </c>
      <c r="S970" t="s">
        <v>1661</v>
      </c>
      <c r="T970" t="s">
        <v>1662</v>
      </c>
      <c r="U970" t="s">
        <v>53</v>
      </c>
      <c r="V970" t="s">
        <v>791</v>
      </c>
      <c r="W970">
        <v>470000</v>
      </c>
      <c r="X970" t="s">
        <v>54</v>
      </c>
      <c r="AA970">
        <v>213</v>
      </c>
      <c r="AB970">
        <v>162</v>
      </c>
      <c r="AC970">
        <v>480</v>
      </c>
      <c r="AD970">
        <v>854</v>
      </c>
      <c r="AE970">
        <v>1060</v>
      </c>
      <c r="AF970">
        <v>1</v>
      </c>
      <c r="AG970">
        <v>0</v>
      </c>
      <c r="AH970">
        <v>2.6167595386505131</v>
      </c>
      <c r="AI970">
        <v>0</v>
      </c>
      <c r="AJ970">
        <v>2.0866527557373051</v>
      </c>
      <c r="AK970" t="s">
        <v>54</v>
      </c>
      <c r="AL970" t="s">
        <v>53</v>
      </c>
      <c r="AP970" t="s">
        <v>5451</v>
      </c>
      <c r="AQ970" t="s">
        <v>54</v>
      </c>
      <c r="AT970" t="s">
        <v>1507</v>
      </c>
      <c r="AW970" t="s">
        <v>54</v>
      </c>
      <c r="AZ970" t="s">
        <v>54</v>
      </c>
      <c r="BA970" t="s">
        <v>729</v>
      </c>
    </row>
    <row r="971" spans="1:53" x14ac:dyDescent="0.25">
      <c r="A971">
        <v>966</v>
      </c>
      <c r="B971" t="s">
        <v>1669</v>
      </c>
      <c r="C971" t="s">
        <v>1670</v>
      </c>
      <c r="D971" t="s">
        <v>784</v>
      </c>
      <c r="E971">
        <v>6</v>
      </c>
      <c r="F971" t="s">
        <v>719</v>
      </c>
      <c r="G971" t="s">
        <v>720</v>
      </c>
      <c r="H971" t="s">
        <v>721</v>
      </c>
      <c r="I971" t="s">
        <v>1671</v>
      </c>
      <c r="J971" t="s">
        <v>1672</v>
      </c>
      <c r="K971" t="s">
        <v>1673</v>
      </c>
      <c r="L971" t="s">
        <v>725</v>
      </c>
      <c r="M971">
        <v>5.0976171493530273</v>
      </c>
      <c r="N971" t="s">
        <v>54</v>
      </c>
      <c r="O971" t="s">
        <v>53</v>
      </c>
      <c r="P971" t="s">
        <v>53</v>
      </c>
      <c r="Q971" t="s">
        <v>53</v>
      </c>
      <c r="R971" t="s">
        <v>53</v>
      </c>
      <c r="S971" t="s">
        <v>1674</v>
      </c>
      <c r="T971" t="s">
        <v>1675</v>
      </c>
      <c r="U971" t="s">
        <v>53</v>
      </c>
      <c r="V971" t="s">
        <v>791</v>
      </c>
      <c r="W971">
        <v>250000</v>
      </c>
      <c r="X971" t="s">
        <v>54</v>
      </c>
      <c r="AA971">
        <v>27</v>
      </c>
      <c r="AB971">
        <v>18</v>
      </c>
      <c r="AC971">
        <v>5</v>
      </c>
      <c r="AD971">
        <v>7</v>
      </c>
      <c r="AE971">
        <v>11</v>
      </c>
      <c r="AF971">
        <v>0</v>
      </c>
      <c r="AG971">
        <v>0</v>
      </c>
      <c r="AH971">
        <v>0.86196702718734741</v>
      </c>
      <c r="AI971">
        <v>0</v>
      </c>
      <c r="AJ971">
        <v>2.7234022617340088</v>
      </c>
      <c r="AK971" t="s">
        <v>54</v>
      </c>
      <c r="AL971" t="s">
        <v>53</v>
      </c>
      <c r="AP971" t="s">
        <v>5451</v>
      </c>
      <c r="AQ971" t="s">
        <v>54</v>
      </c>
      <c r="AT971" t="s">
        <v>1507</v>
      </c>
      <c r="AW971" t="s">
        <v>53</v>
      </c>
      <c r="AZ971" t="s">
        <v>54</v>
      </c>
      <c r="BA971" t="s">
        <v>729</v>
      </c>
    </row>
    <row r="972" spans="1:53" x14ac:dyDescent="0.25">
      <c r="A972">
        <v>967</v>
      </c>
      <c r="B972" t="s">
        <v>1676</v>
      </c>
      <c r="C972" t="s">
        <v>1677</v>
      </c>
      <c r="D972" t="s">
        <v>784</v>
      </c>
      <c r="E972">
        <v>6</v>
      </c>
      <c r="F972" t="s">
        <v>719</v>
      </c>
      <c r="G972" t="s">
        <v>848</v>
      </c>
      <c r="H972" t="s">
        <v>857</v>
      </c>
      <c r="I972" t="s">
        <v>858</v>
      </c>
      <c r="J972" t="s">
        <v>859</v>
      </c>
      <c r="K972" t="s">
        <v>860</v>
      </c>
      <c r="L972" t="s">
        <v>725</v>
      </c>
      <c r="M972">
        <v>2.2243118286132808</v>
      </c>
      <c r="N972" t="s">
        <v>53</v>
      </c>
      <c r="O972" t="s">
        <v>53</v>
      </c>
      <c r="P972" t="s">
        <v>54</v>
      </c>
      <c r="Q972" t="s">
        <v>53</v>
      </c>
      <c r="R972" t="s">
        <v>53</v>
      </c>
      <c r="S972" t="s">
        <v>1678</v>
      </c>
      <c r="T972" t="s">
        <v>1679</v>
      </c>
      <c r="U972" t="s">
        <v>54</v>
      </c>
      <c r="V972" t="s">
        <v>791</v>
      </c>
      <c r="W972">
        <v>190000</v>
      </c>
      <c r="X972" t="s">
        <v>54</v>
      </c>
      <c r="AA972">
        <v>48</v>
      </c>
      <c r="AB972">
        <v>46</v>
      </c>
      <c r="AC972">
        <v>140</v>
      </c>
      <c r="AD972">
        <v>249</v>
      </c>
      <c r="AE972">
        <v>330</v>
      </c>
      <c r="AF972">
        <v>0</v>
      </c>
      <c r="AG972">
        <v>0</v>
      </c>
      <c r="AH972">
        <v>7.4120506644248962E-2</v>
      </c>
      <c r="AI972">
        <v>0</v>
      </c>
      <c r="AJ972">
        <v>1.000524759292603</v>
      </c>
      <c r="AK972" t="s">
        <v>54</v>
      </c>
      <c r="AL972" t="s">
        <v>53</v>
      </c>
      <c r="AP972" t="s">
        <v>5451</v>
      </c>
      <c r="AQ972" t="s">
        <v>54</v>
      </c>
      <c r="AT972" t="s">
        <v>1507</v>
      </c>
      <c r="AW972" t="s">
        <v>53</v>
      </c>
      <c r="AZ972" t="s">
        <v>54</v>
      </c>
      <c r="BA972" t="s">
        <v>729</v>
      </c>
    </row>
    <row r="973" spans="1:53" x14ac:dyDescent="0.25">
      <c r="A973">
        <v>968</v>
      </c>
      <c r="B973" t="s">
        <v>1680</v>
      </c>
      <c r="C973" t="s">
        <v>1681</v>
      </c>
      <c r="D973" t="s">
        <v>784</v>
      </c>
      <c r="E973">
        <v>6</v>
      </c>
      <c r="F973" t="s">
        <v>719</v>
      </c>
      <c r="G973" t="s">
        <v>1097</v>
      </c>
      <c r="H973" t="s">
        <v>795</v>
      </c>
      <c r="I973" t="s">
        <v>849</v>
      </c>
      <c r="J973" t="s">
        <v>850</v>
      </c>
      <c r="K973" t="s">
        <v>851</v>
      </c>
      <c r="L973" t="s">
        <v>725</v>
      </c>
      <c r="M973">
        <v>1.7387522459030149</v>
      </c>
      <c r="N973" t="s">
        <v>53</v>
      </c>
      <c r="O973" t="s">
        <v>53</v>
      </c>
      <c r="P973" t="s">
        <v>54</v>
      </c>
      <c r="Q973" t="s">
        <v>53</v>
      </c>
      <c r="R973" t="s">
        <v>53</v>
      </c>
      <c r="S973" t="s">
        <v>1682</v>
      </c>
      <c r="T973" t="s">
        <v>1683</v>
      </c>
      <c r="U973" t="s">
        <v>54</v>
      </c>
      <c r="V973" t="s">
        <v>791</v>
      </c>
      <c r="W973">
        <v>180000</v>
      </c>
      <c r="X973" t="s">
        <v>54</v>
      </c>
      <c r="AA973">
        <v>1022</v>
      </c>
      <c r="AB973">
        <v>945</v>
      </c>
      <c r="AC973">
        <v>5328</v>
      </c>
      <c r="AD973">
        <v>3295</v>
      </c>
      <c r="AE973">
        <v>7735</v>
      </c>
      <c r="AF973">
        <v>19</v>
      </c>
      <c r="AG973">
        <v>0</v>
      </c>
      <c r="AH973">
        <v>17.524692535400391</v>
      </c>
      <c r="AI973">
        <v>0</v>
      </c>
      <c r="AJ973">
        <v>0.50870704650878906</v>
      </c>
      <c r="AK973" t="s">
        <v>54</v>
      </c>
      <c r="AL973" t="s">
        <v>53</v>
      </c>
      <c r="AP973" t="s">
        <v>5451</v>
      </c>
      <c r="AQ973" t="s">
        <v>54</v>
      </c>
      <c r="AT973" t="s">
        <v>1507</v>
      </c>
      <c r="AW973" t="s">
        <v>53</v>
      </c>
      <c r="AZ973" t="s">
        <v>54</v>
      </c>
      <c r="BA973" t="s">
        <v>729</v>
      </c>
    </row>
    <row r="974" spans="1:53" x14ac:dyDescent="0.25">
      <c r="A974">
        <v>969</v>
      </c>
      <c r="B974" t="s">
        <v>1684</v>
      </c>
      <c r="C974" t="s">
        <v>1685</v>
      </c>
      <c r="D974" t="s">
        <v>784</v>
      </c>
      <c r="E974">
        <v>6</v>
      </c>
      <c r="F974" t="s">
        <v>719</v>
      </c>
      <c r="G974" t="s">
        <v>1081</v>
      </c>
      <c r="H974" t="s">
        <v>1082</v>
      </c>
      <c r="I974" t="s">
        <v>1083</v>
      </c>
      <c r="J974" t="s">
        <v>1084</v>
      </c>
      <c r="K974" t="s">
        <v>1085</v>
      </c>
      <c r="L974" t="s">
        <v>725</v>
      </c>
      <c r="M974">
        <v>2.213119268417358</v>
      </c>
      <c r="N974" t="s">
        <v>54</v>
      </c>
      <c r="O974" t="s">
        <v>53</v>
      </c>
      <c r="P974" t="s">
        <v>53</v>
      </c>
      <c r="Q974" t="s">
        <v>53</v>
      </c>
      <c r="R974" t="s">
        <v>53</v>
      </c>
      <c r="S974" t="s">
        <v>1086</v>
      </c>
      <c r="T974" t="s">
        <v>1087</v>
      </c>
      <c r="U974" t="s">
        <v>53</v>
      </c>
      <c r="V974" t="s">
        <v>791</v>
      </c>
      <c r="W974">
        <v>190000</v>
      </c>
      <c r="X974" t="s">
        <v>54</v>
      </c>
      <c r="AA974">
        <v>23</v>
      </c>
      <c r="AB974">
        <v>18</v>
      </c>
      <c r="AC974">
        <v>4</v>
      </c>
      <c r="AD974">
        <v>19</v>
      </c>
      <c r="AE974">
        <v>19</v>
      </c>
      <c r="AF974">
        <v>0</v>
      </c>
      <c r="AG974">
        <v>0</v>
      </c>
      <c r="AH974">
        <v>0.47710961103439331</v>
      </c>
      <c r="AI974">
        <v>0</v>
      </c>
      <c r="AJ974">
        <v>0.88808619976043701</v>
      </c>
      <c r="AK974" t="s">
        <v>54</v>
      </c>
      <c r="AL974" t="s">
        <v>53</v>
      </c>
      <c r="AP974" t="s">
        <v>5451</v>
      </c>
      <c r="AQ974" t="s">
        <v>54</v>
      </c>
      <c r="AT974" t="s">
        <v>1507</v>
      </c>
      <c r="AW974" t="s">
        <v>53</v>
      </c>
      <c r="AZ974" t="s">
        <v>54</v>
      </c>
      <c r="BA974" t="s">
        <v>729</v>
      </c>
    </row>
    <row r="975" spans="1:53" x14ac:dyDescent="0.25">
      <c r="A975">
        <v>970</v>
      </c>
      <c r="B975" t="s">
        <v>1686</v>
      </c>
      <c r="C975" t="s">
        <v>1687</v>
      </c>
      <c r="D975" t="s">
        <v>784</v>
      </c>
      <c r="E975">
        <v>6</v>
      </c>
      <c r="F975" t="s">
        <v>719</v>
      </c>
      <c r="G975" t="s">
        <v>1059</v>
      </c>
      <c r="H975" t="s">
        <v>1082</v>
      </c>
      <c r="I975" t="s">
        <v>1191</v>
      </c>
      <c r="J975" t="s">
        <v>1192</v>
      </c>
      <c r="K975" t="s">
        <v>1193</v>
      </c>
      <c r="L975" t="s">
        <v>725</v>
      </c>
      <c r="M975">
        <v>1.908585786819458</v>
      </c>
      <c r="N975" t="s">
        <v>54</v>
      </c>
      <c r="O975" t="s">
        <v>53</v>
      </c>
      <c r="P975" t="s">
        <v>53</v>
      </c>
      <c r="Q975" t="s">
        <v>53</v>
      </c>
      <c r="R975" t="s">
        <v>53</v>
      </c>
      <c r="S975" t="s">
        <v>1203</v>
      </c>
      <c r="T975" t="s">
        <v>1204</v>
      </c>
      <c r="U975" t="s">
        <v>53</v>
      </c>
      <c r="V975" t="s">
        <v>791</v>
      </c>
      <c r="W975">
        <v>190000</v>
      </c>
      <c r="X975" t="s">
        <v>54</v>
      </c>
      <c r="AA975">
        <v>52</v>
      </c>
      <c r="AB975">
        <v>37</v>
      </c>
      <c r="AC975">
        <v>14</v>
      </c>
      <c r="AD975">
        <v>42</v>
      </c>
      <c r="AE975">
        <v>44</v>
      </c>
      <c r="AF975">
        <v>0</v>
      </c>
      <c r="AH975">
        <v>3.3015956878662109</v>
      </c>
      <c r="AJ975">
        <v>6.1741275787353516</v>
      </c>
      <c r="AK975" t="s">
        <v>54</v>
      </c>
      <c r="AL975" t="s">
        <v>53</v>
      </c>
      <c r="AP975" t="s">
        <v>5451</v>
      </c>
      <c r="AQ975" t="s">
        <v>54</v>
      </c>
      <c r="AT975" t="s">
        <v>1507</v>
      </c>
      <c r="AW975" t="s">
        <v>53</v>
      </c>
      <c r="AZ975" t="s">
        <v>54</v>
      </c>
      <c r="BA975" t="s">
        <v>729</v>
      </c>
    </row>
    <row r="976" spans="1:53" x14ac:dyDescent="0.25">
      <c r="A976">
        <v>971</v>
      </c>
      <c r="B976" t="s">
        <v>1688</v>
      </c>
      <c r="C976" t="s">
        <v>1689</v>
      </c>
      <c r="D976" t="s">
        <v>784</v>
      </c>
      <c r="E976">
        <v>6</v>
      </c>
      <c r="F976" t="s">
        <v>719</v>
      </c>
      <c r="G976" t="s">
        <v>720</v>
      </c>
      <c r="H976" t="s">
        <v>1156</v>
      </c>
      <c r="I976" t="s">
        <v>1690</v>
      </c>
      <c r="J976" t="s">
        <v>1691</v>
      </c>
      <c r="K976" t="s">
        <v>1692</v>
      </c>
      <c r="L976" t="s">
        <v>725</v>
      </c>
      <c r="M976">
        <v>1.440423250198364</v>
      </c>
      <c r="N976" t="s">
        <v>53</v>
      </c>
      <c r="O976" t="s">
        <v>53</v>
      </c>
      <c r="P976" t="s">
        <v>54</v>
      </c>
      <c r="Q976" t="s">
        <v>53</v>
      </c>
      <c r="R976" t="s">
        <v>53</v>
      </c>
      <c r="S976" t="s">
        <v>1693</v>
      </c>
      <c r="T976" t="s">
        <v>1694</v>
      </c>
      <c r="U976" t="s">
        <v>54</v>
      </c>
      <c r="V976" t="s">
        <v>791</v>
      </c>
      <c r="W976">
        <v>170000</v>
      </c>
      <c r="X976" t="s">
        <v>54</v>
      </c>
      <c r="AA976">
        <v>85</v>
      </c>
      <c r="AB976">
        <v>73</v>
      </c>
      <c r="AC976">
        <v>426</v>
      </c>
      <c r="AD976">
        <v>230</v>
      </c>
      <c r="AE976">
        <v>578</v>
      </c>
      <c r="AF976">
        <v>0</v>
      </c>
      <c r="AG976">
        <v>0</v>
      </c>
      <c r="AH976">
        <v>1.0369564294815059</v>
      </c>
      <c r="AI976">
        <v>0</v>
      </c>
      <c r="AK976" t="s">
        <v>54</v>
      </c>
      <c r="AL976" t="s">
        <v>53</v>
      </c>
      <c r="AP976" t="s">
        <v>5451</v>
      </c>
      <c r="AQ976" t="s">
        <v>54</v>
      </c>
      <c r="AT976" t="s">
        <v>1507</v>
      </c>
      <c r="AW976" t="s">
        <v>53</v>
      </c>
      <c r="AZ976" t="s">
        <v>54</v>
      </c>
      <c r="BA976" t="s">
        <v>729</v>
      </c>
    </row>
    <row r="977" spans="1:53" x14ac:dyDescent="0.25">
      <c r="A977">
        <v>972</v>
      </c>
      <c r="B977" t="s">
        <v>1695</v>
      </c>
      <c r="C977" t="s">
        <v>1696</v>
      </c>
      <c r="D977" t="s">
        <v>784</v>
      </c>
      <c r="E977">
        <v>6</v>
      </c>
      <c r="F977" t="s">
        <v>719</v>
      </c>
      <c r="G977" t="s">
        <v>720</v>
      </c>
      <c r="H977" t="s">
        <v>721</v>
      </c>
      <c r="I977" t="s">
        <v>722</v>
      </c>
      <c r="J977" t="s">
        <v>723</v>
      </c>
      <c r="K977" t="s">
        <v>724</v>
      </c>
      <c r="L977" t="s">
        <v>725</v>
      </c>
      <c r="M977">
        <v>1.087952136993408</v>
      </c>
      <c r="N977" t="s">
        <v>54</v>
      </c>
      <c r="O977" t="s">
        <v>53</v>
      </c>
      <c r="P977" t="s">
        <v>53</v>
      </c>
      <c r="Q977" t="s">
        <v>53</v>
      </c>
      <c r="R977" t="s">
        <v>53</v>
      </c>
      <c r="S977" t="s">
        <v>1697</v>
      </c>
      <c r="T977" t="s">
        <v>1698</v>
      </c>
      <c r="U977" t="s">
        <v>53</v>
      </c>
      <c r="V977" t="s">
        <v>791</v>
      </c>
      <c r="W977">
        <v>160000</v>
      </c>
      <c r="X977" t="s">
        <v>54</v>
      </c>
      <c r="AA977">
        <v>77</v>
      </c>
      <c r="AB977">
        <v>65</v>
      </c>
      <c r="AC977">
        <v>53</v>
      </c>
      <c r="AD977">
        <v>126</v>
      </c>
      <c r="AE977">
        <v>136</v>
      </c>
      <c r="AF977">
        <v>10</v>
      </c>
      <c r="AG977">
        <v>0</v>
      </c>
      <c r="AH977">
        <v>0.65565723180770874</v>
      </c>
      <c r="AI977">
        <v>0</v>
      </c>
      <c r="AJ977">
        <v>0.22150072455406189</v>
      </c>
      <c r="AK977" t="s">
        <v>54</v>
      </c>
      <c r="AL977" t="s">
        <v>53</v>
      </c>
      <c r="AP977" t="s">
        <v>5451</v>
      </c>
      <c r="AQ977" t="s">
        <v>54</v>
      </c>
      <c r="AT977" t="s">
        <v>1507</v>
      </c>
      <c r="AW977" t="s">
        <v>53</v>
      </c>
      <c r="AZ977" t="s">
        <v>54</v>
      </c>
      <c r="BA977" t="s">
        <v>729</v>
      </c>
    </row>
    <row r="978" spans="1:53" x14ac:dyDescent="0.25">
      <c r="A978">
        <v>973</v>
      </c>
      <c r="B978" t="s">
        <v>1699</v>
      </c>
      <c r="C978" t="s">
        <v>1700</v>
      </c>
      <c r="D978" t="s">
        <v>784</v>
      </c>
      <c r="E978">
        <v>6</v>
      </c>
      <c r="F978" t="s">
        <v>719</v>
      </c>
      <c r="G978" t="s">
        <v>848</v>
      </c>
      <c r="H978" t="s">
        <v>857</v>
      </c>
      <c r="I978" t="s">
        <v>1701</v>
      </c>
      <c r="J978" t="s">
        <v>1702</v>
      </c>
      <c r="K978" t="s">
        <v>1703</v>
      </c>
      <c r="L978" t="s">
        <v>725</v>
      </c>
      <c r="M978">
        <v>44.584056854248047</v>
      </c>
      <c r="N978" t="s">
        <v>53</v>
      </c>
      <c r="O978" t="s">
        <v>53</v>
      </c>
      <c r="P978" t="s">
        <v>54</v>
      </c>
      <c r="Q978" t="s">
        <v>53</v>
      </c>
      <c r="R978" t="s">
        <v>53</v>
      </c>
      <c r="S978" t="s">
        <v>1704</v>
      </c>
      <c r="T978" t="s">
        <v>1705</v>
      </c>
      <c r="U978" t="s">
        <v>54</v>
      </c>
      <c r="V978" t="s">
        <v>791</v>
      </c>
      <c r="W978">
        <v>550000</v>
      </c>
      <c r="X978" t="s">
        <v>54</v>
      </c>
      <c r="AA978">
        <v>3591</v>
      </c>
      <c r="AB978">
        <v>2839</v>
      </c>
      <c r="AC978">
        <v>18187</v>
      </c>
      <c r="AD978">
        <v>11597</v>
      </c>
      <c r="AE978">
        <v>26560</v>
      </c>
      <c r="AF978">
        <v>58</v>
      </c>
      <c r="AG978">
        <v>6</v>
      </c>
      <c r="AH978">
        <v>73.8465576171875</v>
      </c>
      <c r="AI978">
        <v>6</v>
      </c>
      <c r="AJ978">
        <v>81.945533752441406</v>
      </c>
      <c r="AK978" t="s">
        <v>54</v>
      </c>
      <c r="AL978" t="s">
        <v>53</v>
      </c>
      <c r="AP978" t="s">
        <v>5451</v>
      </c>
      <c r="AQ978" t="s">
        <v>54</v>
      </c>
      <c r="AT978" t="s">
        <v>1507</v>
      </c>
      <c r="AW978" t="s">
        <v>53</v>
      </c>
      <c r="AZ978" t="s">
        <v>54</v>
      </c>
      <c r="BA978" t="s">
        <v>729</v>
      </c>
    </row>
    <row r="979" spans="1:53" x14ac:dyDescent="0.25">
      <c r="A979">
        <v>974</v>
      </c>
      <c r="B979" t="s">
        <v>1706</v>
      </c>
      <c r="C979" t="s">
        <v>1707</v>
      </c>
      <c r="D979" t="s">
        <v>784</v>
      </c>
      <c r="E979">
        <v>6</v>
      </c>
      <c r="F979" t="s">
        <v>719</v>
      </c>
      <c r="G979" t="s">
        <v>720</v>
      </c>
      <c r="H979" t="s">
        <v>1082</v>
      </c>
      <c r="I979" t="s">
        <v>1708</v>
      </c>
      <c r="J979" t="s">
        <v>1709</v>
      </c>
      <c r="K979" t="s">
        <v>1710</v>
      </c>
      <c r="L979" t="s">
        <v>725</v>
      </c>
      <c r="M979">
        <v>2.398274421691895</v>
      </c>
      <c r="N979" t="s">
        <v>53</v>
      </c>
      <c r="O979" t="s">
        <v>53</v>
      </c>
      <c r="P979" t="s">
        <v>54</v>
      </c>
      <c r="Q979" t="s">
        <v>53</v>
      </c>
      <c r="R979" t="s">
        <v>53</v>
      </c>
      <c r="S979" t="s">
        <v>1711</v>
      </c>
      <c r="T979" t="s">
        <v>1712</v>
      </c>
      <c r="U979" t="s">
        <v>54</v>
      </c>
      <c r="V979" t="s">
        <v>791</v>
      </c>
      <c r="W979">
        <v>200000</v>
      </c>
      <c r="X979" t="s">
        <v>54</v>
      </c>
      <c r="AA979">
        <v>441</v>
      </c>
      <c r="AB979">
        <v>374</v>
      </c>
      <c r="AC979">
        <v>137</v>
      </c>
      <c r="AD979">
        <v>532</v>
      </c>
      <c r="AE979">
        <v>537</v>
      </c>
      <c r="AF979">
        <v>0</v>
      </c>
      <c r="AG979">
        <v>0</v>
      </c>
      <c r="AH979">
        <v>14.426210403442379</v>
      </c>
      <c r="AI979">
        <v>0</v>
      </c>
      <c r="AJ979">
        <v>4.0971946716308594</v>
      </c>
      <c r="AK979" t="s">
        <v>54</v>
      </c>
      <c r="AL979" t="s">
        <v>53</v>
      </c>
      <c r="AP979" t="s">
        <v>5451</v>
      </c>
      <c r="AQ979" t="s">
        <v>54</v>
      </c>
      <c r="AT979" t="s">
        <v>1507</v>
      </c>
      <c r="AW979" t="s">
        <v>53</v>
      </c>
      <c r="AZ979" t="s">
        <v>54</v>
      </c>
      <c r="BA979" t="s">
        <v>729</v>
      </c>
    </row>
    <row r="980" spans="1:53" x14ac:dyDescent="0.25">
      <c r="A980">
        <v>975</v>
      </c>
      <c r="B980" t="s">
        <v>1713</v>
      </c>
      <c r="C980" t="s">
        <v>1714</v>
      </c>
      <c r="D980" t="s">
        <v>784</v>
      </c>
      <c r="E980">
        <v>6</v>
      </c>
      <c r="F980" t="s">
        <v>719</v>
      </c>
      <c r="G980" t="s">
        <v>805</v>
      </c>
      <c r="H980" t="s">
        <v>806</v>
      </c>
      <c r="I980" t="s">
        <v>911</v>
      </c>
      <c r="J980" t="s">
        <v>912</v>
      </c>
      <c r="K980" t="s">
        <v>913</v>
      </c>
      <c r="L980" t="s">
        <v>725</v>
      </c>
      <c r="M980">
        <v>2.125368595123291</v>
      </c>
      <c r="N980" t="s">
        <v>53</v>
      </c>
      <c r="O980" t="s">
        <v>53</v>
      </c>
      <c r="P980" t="s">
        <v>54</v>
      </c>
      <c r="Q980" t="s">
        <v>53</v>
      </c>
      <c r="R980" t="s">
        <v>53</v>
      </c>
      <c r="S980" t="s">
        <v>1715</v>
      </c>
      <c r="T980" t="s">
        <v>1716</v>
      </c>
      <c r="U980" t="s">
        <v>54</v>
      </c>
      <c r="V980" t="s">
        <v>791</v>
      </c>
      <c r="W980">
        <v>190000</v>
      </c>
      <c r="X980" t="s">
        <v>54</v>
      </c>
      <c r="AA980">
        <v>129</v>
      </c>
      <c r="AB980">
        <v>124</v>
      </c>
      <c r="AC980">
        <v>765</v>
      </c>
      <c r="AD980">
        <v>322</v>
      </c>
      <c r="AE980">
        <v>989</v>
      </c>
      <c r="AF980">
        <v>1</v>
      </c>
      <c r="AG980">
        <v>0</v>
      </c>
      <c r="AH980">
        <v>1.270122647285461</v>
      </c>
      <c r="AI980">
        <v>0</v>
      </c>
      <c r="AJ980">
        <v>0.40207147598266602</v>
      </c>
      <c r="AK980" t="s">
        <v>54</v>
      </c>
      <c r="AL980" t="s">
        <v>53</v>
      </c>
      <c r="AP980" t="s">
        <v>5451</v>
      </c>
      <c r="AQ980" t="s">
        <v>54</v>
      </c>
      <c r="AT980" t="s">
        <v>1507</v>
      </c>
      <c r="AW980" t="s">
        <v>53</v>
      </c>
      <c r="AZ980" t="s">
        <v>54</v>
      </c>
      <c r="BA980" t="s">
        <v>729</v>
      </c>
    </row>
    <row r="981" spans="1:53" x14ac:dyDescent="0.25">
      <c r="A981">
        <v>976</v>
      </c>
      <c r="B981" t="s">
        <v>1717</v>
      </c>
      <c r="C981" t="s">
        <v>1718</v>
      </c>
      <c r="D981" t="s">
        <v>784</v>
      </c>
      <c r="E981">
        <v>6</v>
      </c>
      <c r="F981" t="s">
        <v>719</v>
      </c>
      <c r="G981" t="s">
        <v>1155</v>
      </c>
      <c r="H981" t="s">
        <v>1156</v>
      </c>
      <c r="I981" t="s">
        <v>1719</v>
      </c>
      <c r="J981" t="s">
        <v>1720</v>
      </c>
      <c r="K981" t="s">
        <v>1721</v>
      </c>
      <c r="L981" t="s">
        <v>725</v>
      </c>
      <c r="M981">
        <v>1.9800558090209961</v>
      </c>
      <c r="N981" t="s">
        <v>54</v>
      </c>
      <c r="O981" t="s">
        <v>53</v>
      </c>
      <c r="P981" t="s">
        <v>53</v>
      </c>
      <c r="Q981" t="s">
        <v>53</v>
      </c>
      <c r="R981" t="s">
        <v>53</v>
      </c>
      <c r="S981" t="s">
        <v>1722</v>
      </c>
      <c r="T981" t="s">
        <v>1723</v>
      </c>
      <c r="U981" t="s">
        <v>53</v>
      </c>
      <c r="V981" t="s">
        <v>791</v>
      </c>
      <c r="W981">
        <v>190000</v>
      </c>
      <c r="X981" t="s">
        <v>54</v>
      </c>
      <c r="AA981">
        <v>28</v>
      </c>
      <c r="AB981">
        <v>16</v>
      </c>
      <c r="AC981">
        <v>20</v>
      </c>
      <c r="AD981">
        <v>19</v>
      </c>
      <c r="AE981">
        <v>34</v>
      </c>
      <c r="AF981">
        <v>0</v>
      </c>
      <c r="AG981">
        <v>0</v>
      </c>
      <c r="AH981">
        <v>0.60393863916397095</v>
      </c>
      <c r="AI981">
        <v>0</v>
      </c>
      <c r="AJ981">
        <v>0.94245058298110962</v>
      </c>
      <c r="AK981" t="s">
        <v>54</v>
      </c>
      <c r="AL981" t="s">
        <v>53</v>
      </c>
      <c r="AP981" t="s">
        <v>5451</v>
      </c>
      <c r="AQ981" t="s">
        <v>54</v>
      </c>
      <c r="AT981" t="s">
        <v>1507</v>
      </c>
      <c r="AW981" t="s">
        <v>53</v>
      </c>
      <c r="AZ981" t="s">
        <v>54</v>
      </c>
      <c r="BA981" t="s">
        <v>729</v>
      </c>
    </row>
    <row r="982" spans="1:53" x14ac:dyDescent="0.25">
      <c r="A982">
        <v>977</v>
      </c>
      <c r="B982" t="s">
        <v>1724</v>
      </c>
      <c r="C982" t="s">
        <v>1725</v>
      </c>
      <c r="D982" t="s">
        <v>784</v>
      </c>
      <c r="E982">
        <v>6</v>
      </c>
      <c r="F982" t="s">
        <v>719</v>
      </c>
      <c r="G982" t="s">
        <v>1059</v>
      </c>
      <c r="H982" t="s">
        <v>1082</v>
      </c>
      <c r="I982" t="s">
        <v>1126</v>
      </c>
      <c r="J982" t="s">
        <v>1127</v>
      </c>
      <c r="K982" t="s">
        <v>1128</v>
      </c>
      <c r="L982" t="s">
        <v>725</v>
      </c>
      <c r="M982">
        <v>3.613092422485352</v>
      </c>
      <c r="N982" t="s">
        <v>54</v>
      </c>
      <c r="O982" t="s">
        <v>53</v>
      </c>
      <c r="P982" t="s">
        <v>53</v>
      </c>
      <c r="Q982" t="s">
        <v>53</v>
      </c>
      <c r="R982" t="s">
        <v>53</v>
      </c>
      <c r="S982" t="s">
        <v>1129</v>
      </c>
      <c r="T982" t="s">
        <v>1726</v>
      </c>
      <c r="U982" t="s">
        <v>53</v>
      </c>
      <c r="V982" t="s">
        <v>791</v>
      </c>
      <c r="W982">
        <v>230000</v>
      </c>
      <c r="X982" t="s">
        <v>54</v>
      </c>
      <c r="AA982">
        <v>363</v>
      </c>
      <c r="AB982">
        <v>267</v>
      </c>
      <c r="AC982">
        <v>283</v>
      </c>
      <c r="AD982">
        <v>485</v>
      </c>
      <c r="AE982">
        <v>589</v>
      </c>
      <c r="AF982">
        <v>1</v>
      </c>
      <c r="AG982">
        <v>0</v>
      </c>
      <c r="AH982">
        <v>8.9817647933959961</v>
      </c>
      <c r="AI982">
        <v>0</v>
      </c>
      <c r="AJ982">
        <v>9.2176370620727539</v>
      </c>
      <c r="AK982" t="s">
        <v>54</v>
      </c>
      <c r="AL982" t="s">
        <v>53</v>
      </c>
      <c r="AP982" t="s">
        <v>5451</v>
      </c>
      <c r="AQ982" t="s">
        <v>54</v>
      </c>
      <c r="AT982" t="s">
        <v>1507</v>
      </c>
      <c r="AW982" t="s">
        <v>53</v>
      </c>
      <c r="AZ982" t="s">
        <v>54</v>
      </c>
      <c r="BA982" t="s">
        <v>729</v>
      </c>
    </row>
    <row r="983" spans="1:53" x14ac:dyDescent="0.25">
      <c r="A983">
        <v>978</v>
      </c>
      <c r="B983" t="s">
        <v>1727</v>
      </c>
      <c r="C983" t="s">
        <v>1728</v>
      </c>
      <c r="D983" t="s">
        <v>784</v>
      </c>
      <c r="E983">
        <v>6</v>
      </c>
      <c r="F983" t="s">
        <v>719</v>
      </c>
      <c r="G983" t="s">
        <v>1047</v>
      </c>
      <c r="H983" t="s">
        <v>1243</v>
      </c>
      <c r="I983" t="s">
        <v>1433</v>
      </c>
      <c r="J983" t="s">
        <v>1729</v>
      </c>
      <c r="K983" t="s">
        <v>1730</v>
      </c>
      <c r="L983" t="s">
        <v>725</v>
      </c>
      <c r="M983">
        <v>7.3209223747253418</v>
      </c>
      <c r="N983" t="s">
        <v>54</v>
      </c>
      <c r="O983" t="s">
        <v>53</v>
      </c>
      <c r="P983" t="s">
        <v>53</v>
      </c>
      <c r="Q983" t="s">
        <v>53</v>
      </c>
      <c r="R983" t="s">
        <v>53</v>
      </c>
      <c r="S983" t="s">
        <v>1731</v>
      </c>
      <c r="T983" t="s">
        <v>1732</v>
      </c>
      <c r="U983" t="s">
        <v>53</v>
      </c>
      <c r="V983" t="s">
        <v>791</v>
      </c>
      <c r="W983">
        <v>290000</v>
      </c>
      <c r="X983" t="s">
        <v>54</v>
      </c>
      <c r="AA983">
        <v>32</v>
      </c>
      <c r="AB983">
        <v>25</v>
      </c>
      <c r="AC983">
        <v>15</v>
      </c>
      <c r="AD983">
        <v>44</v>
      </c>
      <c r="AE983">
        <v>46</v>
      </c>
      <c r="AF983">
        <v>0</v>
      </c>
      <c r="AG983">
        <v>0</v>
      </c>
      <c r="AH983">
        <v>1.654621958732605</v>
      </c>
      <c r="AI983">
        <v>0</v>
      </c>
      <c r="AJ983">
        <v>15.272134780883791</v>
      </c>
      <c r="AK983" t="s">
        <v>54</v>
      </c>
      <c r="AL983" t="s">
        <v>53</v>
      </c>
      <c r="AP983" t="s">
        <v>5451</v>
      </c>
      <c r="AQ983" t="s">
        <v>54</v>
      </c>
      <c r="AT983" t="s">
        <v>1507</v>
      </c>
      <c r="AW983" t="s">
        <v>53</v>
      </c>
      <c r="AZ983" t="s">
        <v>54</v>
      </c>
      <c r="BA983" t="s">
        <v>729</v>
      </c>
    </row>
    <row r="984" spans="1:53" x14ac:dyDescent="0.25">
      <c r="A984">
        <v>979</v>
      </c>
      <c r="B984" t="s">
        <v>1733</v>
      </c>
      <c r="C984" t="s">
        <v>1734</v>
      </c>
      <c r="D984" t="s">
        <v>784</v>
      </c>
      <c r="E984">
        <v>6</v>
      </c>
      <c r="F984" t="s">
        <v>719</v>
      </c>
      <c r="G984" t="s">
        <v>720</v>
      </c>
      <c r="H984" t="s">
        <v>1082</v>
      </c>
      <c r="I984" t="s">
        <v>1708</v>
      </c>
      <c r="J984" t="s">
        <v>1709</v>
      </c>
      <c r="K984" t="s">
        <v>1710</v>
      </c>
      <c r="L984" t="s">
        <v>725</v>
      </c>
      <c r="M984">
        <v>2.1906800270080571</v>
      </c>
      <c r="N984" t="s">
        <v>53</v>
      </c>
      <c r="O984" t="s">
        <v>53</v>
      </c>
      <c r="P984" t="s">
        <v>54</v>
      </c>
      <c r="Q984" t="s">
        <v>53</v>
      </c>
      <c r="R984" t="s">
        <v>53</v>
      </c>
      <c r="S984" t="s">
        <v>1735</v>
      </c>
      <c r="T984" t="s">
        <v>1736</v>
      </c>
      <c r="U984" t="s">
        <v>54</v>
      </c>
      <c r="V984" t="s">
        <v>791</v>
      </c>
      <c r="W984">
        <v>190000</v>
      </c>
      <c r="X984" t="s">
        <v>54</v>
      </c>
      <c r="AA984">
        <v>86</v>
      </c>
      <c r="AB984">
        <v>73</v>
      </c>
      <c r="AC984">
        <v>95</v>
      </c>
      <c r="AD984">
        <v>253</v>
      </c>
      <c r="AE984">
        <v>270</v>
      </c>
      <c r="AF984">
        <v>0</v>
      </c>
      <c r="AG984">
        <v>0</v>
      </c>
      <c r="AH984">
        <v>3.1773431301116939</v>
      </c>
      <c r="AI984">
        <v>0</v>
      </c>
      <c r="AK984" t="s">
        <v>54</v>
      </c>
      <c r="AL984" t="s">
        <v>53</v>
      </c>
      <c r="AP984" t="s">
        <v>5451</v>
      </c>
      <c r="AQ984" t="s">
        <v>54</v>
      </c>
      <c r="AT984" t="s">
        <v>1507</v>
      </c>
      <c r="AW984" t="s">
        <v>53</v>
      </c>
      <c r="AZ984" t="s">
        <v>54</v>
      </c>
      <c r="BA984" t="s">
        <v>729</v>
      </c>
    </row>
    <row r="985" spans="1:53" x14ac:dyDescent="0.25">
      <c r="A985">
        <v>980</v>
      </c>
      <c r="B985" t="s">
        <v>1737</v>
      </c>
      <c r="C985" t="s">
        <v>1738</v>
      </c>
      <c r="D985" t="s">
        <v>784</v>
      </c>
      <c r="E985">
        <v>6</v>
      </c>
      <c r="F985" t="s">
        <v>719</v>
      </c>
      <c r="G985" t="s">
        <v>891</v>
      </c>
      <c r="H985" t="s">
        <v>795</v>
      </c>
      <c r="I985" t="s">
        <v>1222</v>
      </c>
      <c r="J985" t="s">
        <v>1223</v>
      </c>
      <c r="K985" t="s">
        <v>1224</v>
      </c>
      <c r="L985" t="s">
        <v>725</v>
      </c>
      <c r="M985">
        <v>17.035295486450199</v>
      </c>
      <c r="N985" t="s">
        <v>53</v>
      </c>
      <c r="O985" t="s">
        <v>53</v>
      </c>
      <c r="P985" t="s">
        <v>54</v>
      </c>
      <c r="Q985" t="s">
        <v>53</v>
      </c>
      <c r="R985" t="s">
        <v>53</v>
      </c>
      <c r="S985" t="s">
        <v>1225</v>
      </c>
      <c r="T985" t="s">
        <v>1226</v>
      </c>
      <c r="U985" t="s">
        <v>54</v>
      </c>
      <c r="V985" t="s">
        <v>791</v>
      </c>
      <c r="W985">
        <v>380000</v>
      </c>
      <c r="X985" t="s">
        <v>54</v>
      </c>
      <c r="AA985">
        <v>400</v>
      </c>
      <c r="AB985">
        <v>306</v>
      </c>
      <c r="AC985">
        <v>227</v>
      </c>
      <c r="AD985">
        <v>748</v>
      </c>
      <c r="AE985">
        <v>798</v>
      </c>
      <c r="AF985">
        <v>1</v>
      </c>
      <c r="AG985">
        <v>9</v>
      </c>
      <c r="AH985">
        <v>4.122429370880127</v>
      </c>
      <c r="AI985">
        <v>9</v>
      </c>
      <c r="AJ985">
        <v>12.12156867980957</v>
      </c>
      <c r="AK985" t="s">
        <v>54</v>
      </c>
      <c r="AL985" t="s">
        <v>53</v>
      </c>
      <c r="AP985" t="s">
        <v>5451</v>
      </c>
      <c r="AQ985" t="s">
        <v>54</v>
      </c>
      <c r="AT985" t="s">
        <v>1507</v>
      </c>
      <c r="AW985" t="s">
        <v>53</v>
      </c>
      <c r="AZ985" t="s">
        <v>54</v>
      </c>
      <c r="BA985" t="s">
        <v>729</v>
      </c>
    </row>
    <row r="986" spans="1:53" x14ac:dyDescent="0.25">
      <c r="A986">
        <v>981</v>
      </c>
      <c r="B986" t="s">
        <v>1739</v>
      </c>
      <c r="C986" t="s">
        <v>1740</v>
      </c>
      <c r="D986" t="s">
        <v>784</v>
      </c>
      <c r="E986">
        <v>6</v>
      </c>
      <c r="F986" t="s">
        <v>719</v>
      </c>
      <c r="G986" t="s">
        <v>1741</v>
      </c>
      <c r="H986" t="s">
        <v>795</v>
      </c>
      <c r="I986" t="s">
        <v>849</v>
      </c>
      <c r="J986" t="s">
        <v>850</v>
      </c>
      <c r="K986" t="s">
        <v>851</v>
      </c>
      <c r="L986" t="s">
        <v>725</v>
      </c>
      <c r="M986">
        <v>21.192058563232418</v>
      </c>
      <c r="N986" t="s">
        <v>53</v>
      </c>
      <c r="O986" t="s">
        <v>53</v>
      </c>
      <c r="P986" t="s">
        <v>54</v>
      </c>
      <c r="Q986" t="s">
        <v>53</v>
      </c>
      <c r="R986" t="s">
        <v>53</v>
      </c>
      <c r="S986" t="s">
        <v>1742</v>
      </c>
      <c r="T986" t="s">
        <v>1743</v>
      </c>
      <c r="U986" t="s">
        <v>54</v>
      </c>
      <c r="V986" t="s">
        <v>791</v>
      </c>
      <c r="W986">
        <v>420000</v>
      </c>
      <c r="X986" t="s">
        <v>54</v>
      </c>
      <c r="AA986">
        <v>3570</v>
      </c>
      <c r="AB986">
        <v>3177</v>
      </c>
      <c r="AC986">
        <v>8623</v>
      </c>
      <c r="AD986">
        <v>10374</v>
      </c>
      <c r="AE986">
        <v>16087</v>
      </c>
      <c r="AF986">
        <v>59</v>
      </c>
      <c r="AG986">
        <v>0</v>
      </c>
      <c r="AH986">
        <v>52.05743408203125</v>
      </c>
      <c r="AI986">
        <v>0</v>
      </c>
      <c r="AJ986">
        <v>11.4744987487793</v>
      </c>
      <c r="AK986" t="s">
        <v>54</v>
      </c>
      <c r="AL986" t="s">
        <v>53</v>
      </c>
      <c r="AP986" t="s">
        <v>5451</v>
      </c>
      <c r="AQ986" t="s">
        <v>54</v>
      </c>
      <c r="AT986" t="s">
        <v>1507</v>
      </c>
      <c r="AW986" t="s">
        <v>53</v>
      </c>
      <c r="AZ986" t="s">
        <v>54</v>
      </c>
      <c r="BA986" t="s">
        <v>729</v>
      </c>
    </row>
    <row r="987" spans="1:53" x14ac:dyDescent="0.25">
      <c r="A987">
        <v>982</v>
      </c>
      <c r="B987" t="s">
        <v>1744</v>
      </c>
      <c r="C987" t="s">
        <v>1745</v>
      </c>
      <c r="D987" t="s">
        <v>784</v>
      </c>
      <c r="E987">
        <v>6</v>
      </c>
      <c r="F987" t="s">
        <v>719</v>
      </c>
      <c r="G987" t="s">
        <v>720</v>
      </c>
      <c r="H987" t="s">
        <v>1156</v>
      </c>
      <c r="I987" t="s">
        <v>1690</v>
      </c>
      <c r="J987" t="s">
        <v>1746</v>
      </c>
      <c r="K987" t="s">
        <v>1747</v>
      </c>
      <c r="L987" t="s">
        <v>725</v>
      </c>
      <c r="M987">
        <v>1.946162104606628</v>
      </c>
      <c r="N987" t="s">
        <v>53</v>
      </c>
      <c r="O987" t="s">
        <v>53</v>
      </c>
      <c r="P987" t="s">
        <v>54</v>
      </c>
      <c r="Q987" t="s">
        <v>53</v>
      </c>
      <c r="R987" t="s">
        <v>53</v>
      </c>
      <c r="S987" t="s">
        <v>1748</v>
      </c>
      <c r="T987" t="s">
        <v>1749</v>
      </c>
      <c r="U987" t="s">
        <v>54</v>
      </c>
      <c r="V987" t="s">
        <v>791</v>
      </c>
      <c r="W987">
        <v>190000</v>
      </c>
      <c r="X987" t="s">
        <v>54</v>
      </c>
      <c r="AA987">
        <v>10</v>
      </c>
      <c r="AB987">
        <v>9</v>
      </c>
      <c r="AC987">
        <v>12</v>
      </c>
      <c r="AD987">
        <v>45</v>
      </c>
      <c r="AE987">
        <v>45</v>
      </c>
      <c r="AF987">
        <v>0</v>
      </c>
      <c r="AG987">
        <v>0</v>
      </c>
      <c r="AH987">
        <v>1.523672975599766E-2</v>
      </c>
      <c r="AI987">
        <v>0</v>
      </c>
      <c r="AJ987">
        <v>0.25589761137962341</v>
      </c>
      <c r="AK987" t="s">
        <v>54</v>
      </c>
      <c r="AL987" t="s">
        <v>53</v>
      </c>
      <c r="AP987" t="s">
        <v>5451</v>
      </c>
      <c r="AQ987" t="s">
        <v>54</v>
      </c>
      <c r="AT987" t="s">
        <v>1507</v>
      </c>
      <c r="AW987" t="s">
        <v>53</v>
      </c>
      <c r="AZ987" t="s">
        <v>54</v>
      </c>
      <c r="BA987" t="s">
        <v>729</v>
      </c>
    </row>
    <row r="988" spans="1:53" x14ac:dyDescent="0.25">
      <c r="A988">
        <v>983</v>
      </c>
      <c r="B988" t="s">
        <v>1750</v>
      </c>
      <c r="C988" t="s">
        <v>1751</v>
      </c>
      <c r="D988" t="s">
        <v>784</v>
      </c>
      <c r="E988">
        <v>6</v>
      </c>
      <c r="F988" t="s">
        <v>719</v>
      </c>
      <c r="G988" t="s">
        <v>848</v>
      </c>
      <c r="H988" t="s">
        <v>795</v>
      </c>
      <c r="I988" t="s">
        <v>849</v>
      </c>
      <c r="J988" t="s">
        <v>850</v>
      </c>
      <c r="K988" t="s">
        <v>851</v>
      </c>
      <c r="L988" t="s">
        <v>725</v>
      </c>
      <c r="M988">
        <v>0.95835769176483154</v>
      </c>
      <c r="N988" t="s">
        <v>54</v>
      </c>
      <c r="O988" t="s">
        <v>54</v>
      </c>
      <c r="P988" t="s">
        <v>53</v>
      </c>
      <c r="Q988" t="s">
        <v>53</v>
      </c>
      <c r="R988" t="s">
        <v>53</v>
      </c>
      <c r="S988" t="s">
        <v>852</v>
      </c>
      <c r="T988" t="s">
        <v>853</v>
      </c>
      <c r="U988" t="s">
        <v>53</v>
      </c>
      <c r="V988" t="s">
        <v>791</v>
      </c>
      <c r="W988">
        <v>150000</v>
      </c>
      <c r="X988" t="s">
        <v>54</v>
      </c>
      <c r="AA988">
        <v>801</v>
      </c>
      <c r="AB988">
        <v>787</v>
      </c>
      <c r="AC988">
        <v>874</v>
      </c>
      <c r="AD988">
        <v>2148</v>
      </c>
      <c r="AE988">
        <v>2456</v>
      </c>
      <c r="AF988">
        <v>3</v>
      </c>
      <c r="AG988">
        <v>1</v>
      </c>
      <c r="AH988">
        <v>17.1647834777832</v>
      </c>
      <c r="AI988">
        <v>1</v>
      </c>
      <c r="AJ988">
        <v>0.221631184220314</v>
      </c>
      <c r="AK988" t="s">
        <v>54</v>
      </c>
      <c r="AL988" t="s">
        <v>53</v>
      </c>
      <c r="AP988" t="s">
        <v>5451</v>
      </c>
      <c r="AQ988" t="s">
        <v>54</v>
      </c>
      <c r="AT988" t="s">
        <v>1507</v>
      </c>
      <c r="AW988" t="s">
        <v>54</v>
      </c>
      <c r="AZ988" t="s">
        <v>54</v>
      </c>
      <c r="BA988" t="s">
        <v>729</v>
      </c>
    </row>
    <row r="989" spans="1:53" x14ac:dyDescent="0.25">
      <c r="A989">
        <v>984</v>
      </c>
      <c r="B989" t="s">
        <v>1752</v>
      </c>
      <c r="C989" t="s">
        <v>1753</v>
      </c>
      <c r="D989" t="s">
        <v>784</v>
      </c>
      <c r="E989">
        <v>6</v>
      </c>
      <c r="F989" t="s">
        <v>719</v>
      </c>
      <c r="G989" t="s">
        <v>805</v>
      </c>
      <c r="H989" t="s">
        <v>806</v>
      </c>
      <c r="I989" t="s">
        <v>1754</v>
      </c>
      <c r="J989" t="s">
        <v>1755</v>
      </c>
      <c r="K989" t="s">
        <v>1756</v>
      </c>
      <c r="L989" t="s">
        <v>725</v>
      </c>
      <c r="M989">
        <v>3.0361311435699458</v>
      </c>
      <c r="N989" t="s">
        <v>53</v>
      </c>
      <c r="O989" t="s">
        <v>53</v>
      </c>
      <c r="P989" t="s">
        <v>54</v>
      </c>
      <c r="Q989" t="s">
        <v>53</v>
      </c>
      <c r="R989" t="s">
        <v>53</v>
      </c>
      <c r="S989" t="s">
        <v>1757</v>
      </c>
      <c r="T989" t="s">
        <v>1758</v>
      </c>
      <c r="U989" t="s">
        <v>54</v>
      </c>
      <c r="V989" t="s">
        <v>791</v>
      </c>
      <c r="W989">
        <v>210000</v>
      </c>
      <c r="X989" t="s">
        <v>54</v>
      </c>
      <c r="AA989">
        <v>1422</v>
      </c>
      <c r="AB989">
        <v>945</v>
      </c>
      <c r="AC989">
        <v>6436</v>
      </c>
      <c r="AD989">
        <v>4884</v>
      </c>
      <c r="AE989">
        <v>9644</v>
      </c>
      <c r="AF989">
        <v>22</v>
      </c>
      <c r="AG989">
        <v>0</v>
      </c>
      <c r="AH989">
        <v>19.35272216796875</v>
      </c>
      <c r="AI989">
        <v>0</v>
      </c>
      <c r="AK989" t="s">
        <v>54</v>
      </c>
      <c r="AL989" t="s">
        <v>53</v>
      </c>
      <c r="AP989" t="s">
        <v>5451</v>
      </c>
      <c r="AQ989" t="s">
        <v>54</v>
      </c>
      <c r="AT989" t="s">
        <v>1507</v>
      </c>
      <c r="AW989" t="s">
        <v>53</v>
      </c>
      <c r="AZ989" t="s">
        <v>54</v>
      </c>
      <c r="BA989" t="s">
        <v>729</v>
      </c>
    </row>
    <row r="990" spans="1:53" x14ac:dyDescent="0.25">
      <c r="A990">
        <v>985</v>
      </c>
      <c r="B990" t="s">
        <v>1759</v>
      </c>
      <c r="C990" t="s">
        <v>1760</v>
      </c>
      <c r="D990" t="s">
        <v>784</v>
      </c>
      <c r="E990">
        <v>6</v>
      </c>
      <c r="F990" t="s">
        <v>719</v>
      </c>
      <c r="G990" t="s">
        <v>805</v>
      </c>
      <c r="H990" t="s">
        <v>806</v>
      </c>
      <c r="I990" t="s">
        <v>899</v>
      </c>
      <c r="J990" t="s">
        <v>1404</v>
      </c>
      <c r="K990" t="s">
        <v>1405</v>
      </c>
      <c r="L990" t="s">
        <v>725</v>
      </c>
      <c r="M990">
        <v>0.24846385419368741</v>
      </c>
      <c r="N990" t="s">
        <v>54</v>
      </c>
      <c r="O990" t="s">
        <v>53</v>
      </c>
      <c r="P990" t="s">
        <v>53</v>
      </c>
      <c r="Q990" t="s">
        <v>53</v>
      </c>
      <c r="R990" t="s">
        <v>53</v>
      </c>
      <c r="S990" t="s">
        <v>1761</v>
      </c>
      <c r="T990" t="s">
        <v>1762</v>
      </c>
      <c r="U990" t="s">
        <v>53</v>
      </c>
      <c r="V990" t="s">
        <v>791</v>
      </c>
      <c r="W990">
        <v>110000</v>
      </c>
      <c r="X990" t="s">
        <v>54</v>
      </c>
      <c r="AA990">
        <v>500</v>
      </c>
      <c r="AB990">
        <v>476</v>
      </c>
      <c r="AC990">
        <v>1307</v>
      </c>
      <c r="AD990">
        <v>1468</v>
      </c>
      <c r="AE990">
        <v>2317</v>
      </c>
      <c r="AF990">
        <v>5</v>
      </c>
      <c r="AG990">
        <v>0</v>
      </c>
      <c r="AH990">
        <v>3.839272022247314</v>
      </c>
      <c r="AI990">
        <v>0</v>
      </c>
      <c r="AK990" t="s">
        <v>54</v>
      </c>
      <c r="AL990" t="s">
        <v>53</v>
      </c>
      <c r="AP990" t="s">
        <v>5451</v>
      </c>
      <c r="AQ990" t="s">
        <v>54</v>
      </c>
      <c r="AT990" t="s">
        <v>1507</v>
      </c>
      <c r="AW990" t="s">
        <v>54</v>
      </c>
      <c r="AZ990" t="s">
        <v>54</v>
      </c>
      <c r="BA990" t="s">
        <v>729</v>
      </c>
    </row>
    <row r="991" spans="1:53" x14ac:dyDescent="0.25">
      <c r="A991">
        <v>986</v>
      </c>
      <c r="B991" t="s">
        <v>1763</v>
      </c>
      <c r="C991" t="s">
        <v>1764</v>
      </c>
      <c r="D991" t="s">
        <v>784</v>
      </c>
      <c r="E991">
        <v>6</v>
      </c>
      <c r="F991" t="s">
        <v>719</v>
      </c>
      <c r="G991" t="s">
        <v>720</v>
      </c>
      <c r="H991" t="s">
        <v>1082</v>
      </c>
      <c r="I991" t="s">
        <v>1708</v>
      </c>
      <c r="J991" t="s">
        <v>1765</v>
      </c>
      <c r="K991" t="s">
        <v>1766</v>
      </c>
      <c r="L991" t="s">
        <v>725</v>
      </c>
      <c r="M991">
        <v>3.0561122894287109</v>
      </c>
      <c r="N991" t="s">
        <v>53</v>
      </c>
      <c r="O991" t="s">
        <v>53</v>
      </c>
      <c r="P991" t="s">
        <v>54</v>
      </c>
      <c r="Q991" t="s">
        <v>53</v>
      </c>
      <c r="R991" t="s">
        <v>53</v>
      </c>
      <c r="S991" t="s">
        <v>1767</v>
      </c>
      <c r="T991" t="s">
        <v>1768</v>
      </c>
      <c r="U991" t="s">
        <v>54</v>
      </c>
      <c r="V991" t="s">
        <v>791</v>
      </c>
      <c r="W991">
        <v>210000</v>
      </c>
      <c r="X991" t="s">
        <v>54</v>
      </c>
      <c r="AA991">
        <v>231</v>
      </c>
      <c r="AB991">
        <v>119</v>
      </c>
      <c r="AC991">
        <v>329</v>
      </c>
      <c r="AD991">
        <v>308</v>
      </c>
      <c r="AE991">
        <v>522</v>
      </c>
      <c r="AF991">
        <v>0</v>
      </c>
      <c r="AG991">
        <v>0</v>
      </c>
      <c r="AH991">
        <v>8.3660469055175781</v>
      </c>
      <c r="AI991">
        <v>0</v>
      </c>
      <c r="AJ991">
        <v>1.674467921257019</v>
      </c>
      <c r="AK991" t="s">
        <v>54</v>
      </c>
      <c r="AL991" t="s">
        <v>53</v>
      </c>
      <c r="AP991" t="s">
        <v>5451</v>
      </c>
      <c r="AQ991" t="s">
        <v>54</v>
      </c>
      <c r="AT991" t="s">
        <v>1507</v>
      </c>
      <c r="AW991" t="s">
        <v>53</v>
      </c>
      <c r="AZ991" t="s">
        <v>54</v>
      </c>
      <c r="BA991" t="s">
        <v>729</v>
      </c>
    </row>
    <row r="992" spans="1:53" x14ac:dyDescent="0.25">
      <c r="A992">
        <v>987</v>
      </c>
      <c r="B992" t="s">
        <v>1769</v>
      </c>
      <c r="C992" t="s">
        <v>1770</v>
      </c>
      <c r="D992" t="s">
        <v>784</v>
      </c>
      <c r="E992">
        <v>6</v>
      </c>
      <c r="F992" t="s">
        <v>719</v>
      </c>
      <c r="G992" t="s">
        <v>805</v>
      </c>
      <c r="H992" t="s">
        <v>806</v>
      </c>
      <c r="I992" t="s">
        <v>911</v>
      </c>
      <c r="J992" t="s">
        <v>912</v>
      </c>
      <c r="K992" t="s">
        <v>913</v>
      </c>
      <c r="L992" t="s">
        <v>725</v>
      </c>
      <c r="M992">
        <v>1.21107029914856</v>
      </c>
      <c r="N992" t="s">
        <v>53</v>
      </c>
      <c r="O992" t="s">
        <v>53</v>
      </c>
      <c r="P992" t="s">
        <v>54</v>
      </c>
      <c r="Q992" t="s">
        <v>53</v>
      </c>
      <c r="R992" t="s">
        <v>53</v>
      </c>
      <c r="S992" t="s">
        <v>1771</v>
      </c>
      <c r="T992" t="s">
        <v>1772</v>
      </c>
      <c r="U992" t="s">
        <v>54</v>
      </c>
      <c r="V992" t="s">
        <v>791</v>
      </c>
      <c r="W992">
        <v>160000</v>
      </c>
      <c r="X992" t="s">
        <v>54</v>
      </c>
      <c r="AA992">
        <v>22</v>
      </c>
      <c r="AB992">
        <v>22</v>
      </c>
      <c r="AC992">
        <v>23</v>
      </c>
      <c r="AD992">
        <v>69</v>
      </c>
      <c r="AE992">
        <v>70</v>
      </c>
      <c r="AF992">
        <v>0</v>
      </c>
      <c r="AG992">
        <v>0</v>
      </c>
      <c r="AH992">
        <v>0.5600513219833374</v>
      </c>
      <c r="AI992">
        <v>0</v>
      </c>
      <c r="AK992" t="s">
        <v>54</v>
      </c>
      <c r="AL992" t="s">
        <v>53</v>
      </c>
      <c r="AP992" t="s">
        <v>5451</v>
      </c>
      <c r="AQ992" t="s">
        <v>54</v>
      </c>
      <c r="AT992" t="s">
        <v>1507</v>
      </c>
      <c r="AW992" t="s">
        <v>53</v>
      </c>
      <c r="AZ992" t="s">
        <v>54</v>
      </c>
      <c r="BA992" t="s">
        <v>729</v>
      </c>
    </row>
    <row r="993" spans="1:53" x14ac:dyDescent="0.25">
      <c r="A993">
        <v>988</v>
      </c>
      <c r="B993" t="s">
        <v>1773</v>
      </c>
      <c r="C993" t="s">
        <v>1774</v>
      </c>
      <c r="D993" t="s">
        <v>784</v>
      </c>
      <c r="E993">
        <v>6</v>
      </c>
      <c r="F993" t="s">
        <v>719</v>
      </c>
      <c r="G993" t="s">
        <v>925</v>
      </c>
      <c r="H993" t="s">
        <v>857</v>
      </c>
      <c r="I993" t="s">
        <v>1311</v>
      </c>
      <c r="J993" t="s">
        <v>1312</v>
      </c>
      <c r="K993" t="s">
        <v>1313</v>
      </c>
      <c r="L993" t="s">
        <v>725</v>
      </c>
      <c r="M993">
        <v>7.0201573371887207</v>
      </c>
      <c r="N993" t="s">
        <v>53</v>
      </c>
      <c r="O993" t="s">
        <v>53</v>
      </c>
      <c r="P993" t="s">
        <v>54</v>
      </c>
      <c r="Q993" t="s">
        <v>53</v>
      </c>
      <c r="R993" t="s">
        <v>53</v>
      </c>
      <c r="S993" t="s">
        <v>928</v>
      </c>
      <c r="T993" t="s">
        <v>1314</v>
      </c>
      <c r="U993" t="s">
        <v>54</v>
      </c>
      <c r="V993" t="s">
        <v>791</v>
      </c>
      <c r="W993">
        <v>280000</v>
      </c>
      <c r="X993" t="s">
        <v>54</v>
      </c>
      <c r="AK993" t="s">
        <v>54</v>
      </c>
      <c r="AL993" t="s">
        <v>53</v>
      </c>
      <c r="AP993" t="s">
        <v>5451</v>
      </c>
      <c r="AQ993" t="s">
        <v>54</v>
      </c>
      <c r="AT993" t="s">
        <v>1507</v>
      </c>
      <c r="AW993" t="s">
        <v>53</v>
      </c>
      <c r="AZ993" t="s">
        <v>54</v>
      </c>
      <c r="BA993" t="s">
        <v>729</v>
      </c>
    </row>
    <row r="994" spans="1:53" x14ac:dyDescent="0.25">
      <c r="A994">
        <v>989</v>
      </c>
      <c r="B994" t="s">
        <v>1775</v>
      </c>
      <c r="C994" t="s">
        <v>1776</v>
      </c>
      <c r="D994" t="s">
        <v>784</v>
      </c>
      <c r="E994">
        <v>6</v>
      </c>
      <c r="F994" t="s">
        <v>719</v>
      </c>
      <c r="G994" t="s">
        <v>720</v>
      </c>
      <c r="H994" t="s">
        <v>1243</v>
      </c>
      <c r="I994" t="s">
        <v>1244</v>
      </c>
      <c r="J994" t="s">
        <v>1777</v>
      </c>
      <c r="K994" t="s">
        <v>1778</v>
      </c>
      <c r="L994" t="s">
        <v>725</v>
      </c>
      <c r="M994">
        <v>1.1749287843704219</v>
      </c>
      <c r="N994" t="s">
        <v>54</v>
      </c>
      <c r="O994" t="s">
        <v>53</v>
      </c>
      <c r="P994" t="s">
        <v>53</v>
      </c>
      <c r="Q994" t="s">
        <v>53</v>
      </c>
      <c r="R994" t="s">
        <v>53</v>
      </c>
      <c r="S994" t="s">
        <v>1779</v>
      </c>
      <c r="T994" t="s">
        <v>1780</v>
      </c>
      <c r="U994" t="s">
        <v>53</v>
      </c>
      <c r="V994" t="s">
        <v>791</v>
      </c>
      <c r="W994">
        <v>160000</v>
      </c>
      <c r="X994" t="s">
        <v>54</v>
      </c>
      <c r="AA994">
        <v>18</v>
      </c>
      <c r="AB994">
        <v>16</v>
      </c>
      <c r="AC994">
        <v>9</v>
      </c>
      <c r="AD994">
        <v>27</v>
      </c>
      <c r="AE994">
        <v>28</v>
      </c>
      <c r="AF994">
        <v>0</v>
      </c>
      <c r="AG994">
        <v>0</v>
      </c>
      <c r="AH994">
        <v>0.76369726657867432</v>
      </c>
      <c r="AI994">
        <v>0</v>
      </c>
      <c r="AJ994">
        <v>6.1692199669778347E-3</v>
      </c>
      <c r="AK994" t="s">
        <v>54</v>
      </c>
      <c r="AL994" t="s">
        <v>53</v>
      </c>
      <c r="AP994" t="s">
        <v>5451</v>
      </c>
      <c r="AQ994" t="s">
        <v>54</v>
      </c>
      <c r="AT994" t="s">
        <v>1507</v>
      </c>
      <c r="AW994" t="s">
        <v>54</v>
      </c>
      <c r="AZ994" t="s">
        <v>54</v>
      </c>
      <c r="BA994" t="s">
        <v>729</v>
      </c>
    </row>
    <row r="995" spans="1:53" x14ac:dyDescent="0.25">
      <c r="A995">
        <v>990</v>
      </c>
      <c r="B995" t="s">
        <v>1781</v>
      </c>
      <c r="C995" t="s">
        <v>1782</v>
      </c>
      <c r="D995" t="s">
        <v>784</v>
      </c>
      <c r="E995">
        <v>6</v>
      </c>
      <c r="F995" t="s">
        <v>719</v>
      </c>
      <c r="G995" t="s">
        <v>276</v>
      </c>
      <c r="H995" t="s">
        <v>806</v>
      </c>
      <c r="I995" t="s">
        <v>899</v>
      </c>
      <c r="J995" t="s">
        <v>926</v>
      </c>
      <c r="K995" t="s">
        <v>927</v>
      </c>
      <c r="L995" t="s">
        <v>725</v>
      </c>
      <c r="M995">
        <v>42.756282806396477</v>
      </c>
      <c r="N995" t="s">
        <v>53</v>
      </c>
      <c r="O995" t="s">
        <v>53</v>
      </c>
      <c r="P995" t="s">
        <v>54</v>
      </c>
      <c r="Q995" t="s">
        <v>53</v>
      </c>
      <c r="R995" t="s">
        <v>53</v>
      </c>
      <c r="S995" t="s">
        <v>1783</v>
      </c>
      <c r="T995" t="s">
        <v>1784</v>
      </c>
      <c r="U995" t="s">
        <v>54</v>
      </c>
      <c r="V995" t="s">
        <v>791</v>
      </c>
      <c r="W995">
        <v>540000</v>
      </c>
      <c r="X995" t="s">
        <v>54</v>
      </c>
      <c r="AA995">
        <v>0</v>
      </c>
      <c r="AB995">
        <v>0</v>
      </c>
      <c r="AC995">
        <v>0</v>
      </c>
      <c r="AD995">
        <v>0</v>
      </c>
      <c r="AE995">
        <v>0</v>
      </c>
      <c r="AF995">
        <v>0</v>
      </c>
      <c r="AH995">
        <v>1.548099971842021E-4</v>
      </c>
      <c r="AK995" t="s">
        <v>54</v>
      </c>
      <c r="AL995" t="s">
        <v>54</v>
      </c>
      <c r="AP995" t="s">
        <v>5451</v>
      </c>
      <c r="AQ995" t="s">
        <v>54</v>
      </c>
      <c r="AT995" t="s">
        <v>1507</v>
      </c>
      <c r="AW995" t="s">
        <v>53</v>
      </c>
      <c r="AZ995" t="s">
        <v>54</v>
      </c>
      <c r="BA995" t="s">
        <v>729</v>
      </c>
    </row>
    <row r="996" spans="1:53" x14ac:dyDescent="0.25">
      <c r="A996">
        <v>991</v>
      </c>
      <c r="B996" t="s">
        <v>1785</v>
      </c>
      <c r="C996" t="s">
        <v>1786</v>
      </c>
      <c r="D996" t="s">
        <v>784</v>
      </c>
      <c r="E996">
        <v>6</v>
      </c>
      <c r="F996" t="s">
        <v>719</v>
      </c>
      <c r="G996" t="s">
        <v>805</v>
      </c>
      <c r="H996" t="s">
        <v>795</v>
      </c>
      <c r="I996" t="s">
        <v>849</v>
      </c>
      <c r="J996" t="s">
        <v>850</v>
      </c>
      <c r="K996" t="s">
        <v>851</v>
      </c>
      <c r="L996" t="s">
        <v>725</v>
      </c>
      <c r="M996">
        <v>1.3029077053070071</v>
      </c>
      <c r="N996" t="s">
        <v>54</v>
      </c>
      <c r="O996" t="s">
        <v>54</v>
      </c>
      <c r="P996" t="s">
        <v>53</v>
      </c>
      <c r="Q996" t="s">
        <v>53</v>
      </c>
      <c r="R996" t="s">
        <v>53</v>
      </c>
      <c r="S996" t="s">
        <v>1787</v>
      </c>
      <c r="T996" t="s">
        <v>1788</v>
      </c>
      <c r="U996" t="s">
        <v>53</v>
      </c>
      <c r="V996" t="s">
        <v>791</v>
      </c>
      <c r="W996">
        <v>170000</v>
      </c>
      <c r="X996" t="s">
        <v>54</v>
      </c>
      <c r="AA996">
        <v>852</v>
      </c>
      <c r="AB996">
        <v>838</v>
      </c>
      <c r="AC996">
        <v>491</v>
      </c>
      <c r="AD996">
        <v>1955</v>
      </c>
      <c r="AE996">
        <v>2000</v>
      </c>
      <c r="AF996">
        <v>0</v>
      </c>
      <c r="AG996">
        <v>0</v>
      </c>
      <c r="AH996">
        <v>13.32064056396484</v>
      </c>
      <c r="AI996">
        <v>0</v>
      </c>
      <c r="AK996" t="s">
        <v>54</v>
      </c>
      <c r="AL996" t="s">
        <v>53</v>
      </c>
      <c r="AP996" t="s">
        <v>5451</v>
      </c>
      <c r="AQ996" t="s">
        <v>54</v>
      </c>
      <c r="AT996" t="s">
        <v>1507</v>
      </c>
      <c r="AW996" t="s">
        <v>54</v>
      </c>
      <c r="AZ996" t="s">
        <v>54</v>
      </c>
      <c r="BA996" t="s">
        <v>729</v>
      </c>
    </row>
    <row r="997" spans="1:53" x14ac:dyDescent="0.25">
      <c r="A997">
        <v>992</v>
      </c>
      <c r="B997" t="s">
        <v>1789</v>
      </c>
      <c r="C997" t="s">
        <v>1790</v>
      </c>
      <c r="D997" t="s">
        <v>784</v>
      </c>
      <c r="E997">
        <v>6</v>
      </c>
      <c r="F997" t="s">
        <v>719</v>
      </c>
      <c r="G997" t="s">
        <v>1166</v>
      </c>
      <c r="H997" t="s">
        <v>795</v>
      </c>
      <c r="I997" t="s">
        <v>1039</v>
      </c>
      <c r="J997" t="s">
        <v>1040</v>
      </c>
      <c r="K997" t="s">
        <v>1041</v>
      </c>
      <c r="L997" t="s">
        <v>725</v>
      </c>
      <c r="M997">
        <v>185.0780944824219</v>
      </c>
      <c r="N997" t="s">
        <v>53</v>
      </c>
      <c r="O997" t="s">
        <v>53</v>
      </c>
      <c r="P997" t="s">
        <v>54</v>
      </c>
      <c r="Q997" t="s">
        <v>53</v>
      </c>
      <c r="R997" t="s">
        <v>53</v>
      </c>
      <c r="S997" t="s">
        <v>1791</v>
      </c>
      <c r="T997" t="s">
        <v>1792</v>
      </c>
      <c r="U997" t="s">
        <v>54</v>
      </c>
      <c r="V997" t="s">
        <v>791</v>
      </c>
      <c r="W997">
        <v>950000</v>
      </c>
      <c r="X997" t="s">
        <v>54</v>
      </c>
      <c r="AA997">
        <v>1285</v>
      </c>
      <c r="AB997">
        <v>701</v>
      </c>
      <c r="AC997">
        <v>2121</v>
      </c>
      <c r="AD997">
        <v>1937</v>
      </c>
      <c r="AE997">
        <v>3595</v>
      </c>
      <c r="AF997">
        <v>16</v>
      </c>
      <c r="AG997">
        <v>3</v>
      </c>
      <c r="AH997">
        <v>46.223125457763672</v>
      </c>
      <c r="AI997">
        <v>3</v>
      </c>
      <c r="AJ997">
        <v>569.909912109375</v>
      </c>
      <c r="AK997" t="s">
        <v>54</v>
      </c>
      <c r="AL997" t="s">
        <v>53</v>
      </c>
      <c r="AP997" t="s">
        <v>5451</v>
      </c>
      <c r="AQ997" t="s">
        <v>54</v>
      </c>
      <c r="AT997" t="s">
        <v>1507</v>
      </c>
      <c r="AW997" t="s">
        <v>53</v>
      </c>
      <c r="AZ997" t="s">
        <v>54</v>
      </c>
      <c r="BA997" t="s">
        <v>729</v>
      </c>
    </row>
    <row r="998" spans="1:53" x14ac:dyDescent="0.25">
      <c r="A998">
        <v>993</v>
      </c>
      <c r="B998" t="s">
        <v>1793</v>
      </c>
      <c r="C998" t="s">
        <v>1794</v>
      </c>
      <c r="D998" t="s">
        <v>784</v>
      </c>
      <c r="E998">
        <v>6</v>
      </c>
      <c r="F998" t="s">
        <v>719</v>
      </c>
      <c r="G998" t="s">
        <v>891</v>
      </c>
      <c r="H998" t="s">
        <v>795</v>
      </c>
      <c r="I998" t="s">
        <v>1039</v>
      </c>
      <c r="J998" t="s">
        <v>1040</v>
      </c>
      <c r="K998" t="s">
        <v>1041</v>
      </c>
      <c r="L998" t="s">
        <v>725</v>
      </c>
      <c r="M998">
        <v>1.586499691009521</v>
      </c>
      <c r="N998" t="s">
        <v>53</v>
      </c>
      <c r="O998" t="s">
        <v>53</v>
      </c>
      <c r="P998" t="s">
        <v>54</v>
      </c>
      <c r="Q998" t="s">
        <v>53</v>
      </c>
      <c r="R998" t="s">
        <v>53</v>
      </c>
      <c r="S998" t="s">
        <v>1042</v>
      </c>
      <c r="T998" t="s">
        <v>1043</v>
      </c>
      <c r="U998" t="s">
        <v>54</v>
      </c>
      <c r="V998" t="s">
        <v>791</v>
      </c>
      <c r="W998">
        <v>180000</v>
      </c>
      <c r="X998" t="s">
        <v>54</v>
      </c>
      <c r="AA998">
        <v>1006</v>
      </c>
      <c r="AB998">
        <v>978</v>
      </c>
      <c r="AC998">
        <v>349</v>
      </c>
      <c r="AD998">
        <v>1681</v>
      </c>
      <c r="AE998">
        <v>1721</v>
      </c>
      <c r="AF998">
        <v>6</v>
      </c>
      <c r="AG998">
        <v>0</v>
      </c>
      <c r="AH998">
        <v>9.637364387512207</v>
      </c>
      <c r="AI998">
        <v>0</v>
      </c>
      <c r="AJ998">
        <v>3.9110162258148189</v>
      </c>
      <c r="AK998" t="s">
        <v>54</v>
      </c>
      <c r="AL998" t="s">
        <v>53</v>
      </c>
      <c r="AP998" t="s">
        <v>5451</v>
      </c>
      <c r="AQ998" t="s">
        <v>54</v>
      </c>
      <c r="AT998" t="s">
        <v>1507</v>
      </c>
      <c r="AW998" t="s">
        <v>53</v>
      </c>
      <c r="AZ998" t="s">
        <v>54</v>
      </c>
      <c r="BA998" t="s">
        <v>729</v>
      </c>
    </row>
    <row r="999" spans="1:53" x14ac:dyDescent="0.25">
      <c r="A999">
        <v>994</v>
      </c>
      <c r="B999" t="s">
        <v>1795</v>
      </c>
      <c r="C999" t="s">
        <v>1796</v>
      </c>
      <c r="D999" t="s">
        <v>784</v>
      </c>
      <c r="E999">
        <v>6</v>
      </c>
      <c r="F999" t="s">
        <v>719</v>
      </c>
      <c r="G999" t="s">
        <v>1155</v>
      </c>
      <c r="H999" t="s">
        <v>1243</v>
      </c>
      <c r="I999" t="s">
        <v>1244</v>
      </c>
      <c r="J999" t="s">
        <v>1245</v>
      </c>
      <c r="K999" t="s">
        <v>1246</v>
      </c>
      <c r="L999" t="s">
        <v>725</v>
      </c>
      <c r="M999">
        <v>2.004334688186646</v>
      </c>
      <c r="N999" t="s">
        <v>54</v>
      </c>
      <c r="O999" t="s">
        <v>53</v>
      </c>
      <c r="P999" t="s">
        <v>53</v>
      </c>
      <c r="Q999" t="s">
        <v>53</v>
      </c>
      <c r="R999" t="s">
        <v>53</v>
      </c>
      <c r="S999" t="s">
        <v>1247</v>
      </c>
      <c r="T999" t="s">
        <v>1248</v>
      </c>
      <c r="U999" t="s">
        <v>53</v>
      </c>
      <c r="V999" t="s">
        <v>791</v>
      </c>
      <c r="W999">
        <v>190000</v>
      </c>
      <c r="X999" t="s">
        <v>54</v>
      </c>
      <c r="AA999">
        <v>17</v>
      </c>
      <c r="AB999">
        <v>11</v>
      </c>
      <c r="AC999">
        <v>7</v>
      </c>
      <c r="AD999">
        <v>16</v>
      </c>
      <c r="AE999">
        <v>19</v>
      </c>
      <c r="AF999">
        <v>0</v>
      </c>
      <c r="AJ999">
        <v>1.1160120964050291</v>
      </c>
      <c r="AK999" t="s">
        <v>54</v>
      </c>
      <c r="AL999" t="s">
        <v>53</v>
      </c>
      <c r="AP999" t="s">
        <v>5451</v>
      </c>
      <c r="AQ999" t="s">
        <v>54</v>
      </c>
      <c r="AT999" t="s">
        <v>1507</v>
      </c>
      <c r="AW999" t="s">
        <v>54</v>
      </c>
      <c r="AZ999" t="s">
        <v>54</v>
      </c>
      <c r="BA999" t="s">
        <v>729</v>
      </c>
    </row>
    <row r="1000" spans="1:53" x14ac:dyDescent="0.25">
      <c r="A1000">
        <v>995</v>
      </c>
      <c r="B1000" t="s">
        <v>1797</v>
      </c>
      <c r="C1000" t="s">
        <v>1798</v>
      </c>
      <c r="D1000" t="s">
        <v>784</v>
      </c>
      <c r="E1000">
        <v>6</v>
      </c>
      <c r="F1000" t="s">
        <v>719</v>
      </c>
      <c r="G1000" t="s">
        <v>1330</v>
      </c>
      <c r="H1000" t="s">
        <v>1243</v>
      </c>
      <c r="I1000" t="s">
        <v>1428</v>
      </c>
      <c r="J1000" t="s">
        <v>1799</v>
      </c>
      <c r="K1000" t="s">
        <v>1800</v>
      </c>
      <c r="L1000" t="s">
        <v>725</v>
      </c>
      <c r="M1000">
        <v>13.04088878631592</v>
      </c>
      <c r="N1000" t="s">
        <v>54</v>
      </c>
      <c r="O1000" t="s">
        <v>53</v>
      </c>
      <c r="P1000" t="s">
        <v>53</v>
      </c>
      <c r="Q1000" t="s">
        <v>53</v>
      </c>
      <c r="R1000" t="s">
        <v>53</v>
      </c>
      <c r="S1000" t="s">
        <v>1801</v>
      </c>
      <c r="T1000" t="s">
        <v>1802</v>
      </c>
      <c r="U1000" t="s">
        <v>53</v>
      </c>
      <c r="V1000" t="s">
        <v>791</v>
      </c>
      <c r="W1000">
        <v>350000</v>
      </c>
      <c r="X1000" t="s">
        <v>54</v>
      </c>
      <c r="AA1000">
        <v>47</v>
      </c>
      <c r="AB1000">
        <v>29</v>
      </c>
      <c r="AC1000">
        <v>256</v>
      </c>
      <c r="AD1000">
        <v>457</v>
      </c>
      <c r="AE1000">
        <v>607</v>
      </c>
      <c r="AF1000">
        <v>0</v>
      </c>
      <c r="AG1000">
        <v>0</v>
      </c>
      <c r="AH1000">
        <v>3.7131321430206299</v>
      </c>
      <c r="AI1000">
        <v>0</v>
      </c>
      <c r="AJ1000">
        <v>4.5960383415222168</v>
      </c>
      <c r="AK1000" t="s">
        <v>54</v>
      </c>
      <c r="AL1000" t="s">
        <v>53</v>
      </c>
      <c r="AP1000" t="s">
        <v>5451</v>
      </c>
      <c r="AQ1000" t="s">
        <v>54</v>
      </c>
      <c r="AT1000" t="s">
        <v>1507</v>
      </c>
      <c r="AW1000" t="s">
        <v>54</v>
      </c>
      <c r="AZ1000" t="s">
        <v>54</v>
      </c>
      <c r="BA1000" t="s">
        <v>729</v>
      </c>
    </row>
    <row r="1001" spans="1:53" x14ac:dyDescent="0.25">
      <c r="A1001">
        <v>996</v>
      </c>
      <c r="B1001" t="s">
        <v>1803</v>
      </c>
      <c r="C1001" t="s">
        <v>6471</v>
      </c>
      <c r="D1001" t="s">
        <v>784</v>
      </c>
      <c r="E1001">
        <v>6</v>
      </c>
      <c r="F1001" t="s">
        <v>719</v>
      </c>
      <c r="G1001" t="s">
        <v>1354</v>
      </c>
      <c r="H1001" t="s">
        <v>1243</v>
      </c>
      <c r="I1001" t="s">
        <v>1428</v>
      </c>
      <c r="J1001" t="s">
        <v>1804</v>
      </c>
      <c r="K1001" t="s">
        <v>1805</v>
      </c>
      <c r="L1001" t="s">
        <v>725</v>
      </c>
      <c r="M1001">
        <v>3.7085368633270259</v>
      </c>
      <c r="N1001" t="s">
        <v>54</v>
      </c>
      <c r="O1001" t="s">
        <v>53</v>
      </c>
      <c r="P1001" t="s">
        <v>53</v>
      </c>
      <c r="Q1001" t="s">
        <v>53</v>
      </c>
      <c r="R1001" t="s">
        <v>53</v>
      </c>
      <c r="S1001" t="s">
        <v>1806</v>
      </c>
      <c r="T1001" t="s">
        <v>1807</v>
      </c>
      <c r="U1001" t="s">
        <v>53</v>
      </c>
      <c r="V1001" t="s">
        <v>791</v>
      </c>
      <c r="W1001">
        <v>100000</v>
      </c>
      <c r="X1001" t="s">
        <v>54</v>
      </c>
      <c r="Y1001" t="s">
        <v>3982</v>
      </c>
      <c r="Z1001">
        <v>0</v>
      </c>
      <c r="AA1001">
        <v>149</v>
      </c>
      <c r="AB1001">
        <v>83</v>
      </c>
      <c r="AC1001">
        <v>302</v>
      </c>
      <c r="AD1001">
        <v>579</v>
      </c>
      <c r="AE1001">
        <v>666</v>
      </c>
      <c r="AF1001">
        <v>4</v>
      </c>
      <c r="AG1001">
        <v>7</v>
      </c>
      <c r="AH1001">
        <v>5.3338570594787598</v>
      </c>
      <c r="AI1001">
        <v>7</v>
      </c>
      <c r="AJ1001">
        <v>47.5040283203125</v>
      </c>
      <c r="AK1001" t="s">
        <v>54</v>
      </c>
      <c r="AL1001" t="s">
        <v>53</v>
      </c>
      <c r="AP1001" t="s">
        <v>5451</v>
      </c>
      <c r="AQ1001" t="s">
        <v>54</v>
      </c>
      <c r="AT1001" t="s">
        <v>1507</v>
      </c>
      <c r="AW1001" t="s">
        <v>54</v>
      </c>
      <c r="AZ1001" t="s">
        <v>54</v>
      </c>
      <c r="BA1001" t="s">
        <v>729</v>
      </c>
    </row>
    <row r="1002" spans="1:53" x14ac:dyDescent="0.25">
      <c r="A1002">
        <v>997</v>
      </c>
      <c r="B1002" t="s">
        <v>1817</v>
      </c>
      <c r="C1002" t="s">
        <v>1818</v>
      </c>
      <c r="D1002" t="s">
        <v>784</v>
      </c>
      <c r="E1002">
        <v>6</v>
      </c>
      <c r="F1002" t="s">
        <v>719</v>
      </c>
      <c r="G1002" t="s">
        <v>720</v>
      </c>
      <c r="H1002" t="s">
        <v>1209</v>
      </c>
      <c r="I1002" t="s">
        <v>1819</v>
      </c>
      <c r="J1002" t="s">
        <v>1820</v>
      </c>
      <c r="K1002" t="s">
        <v>1821</v>
      </c>
      <c r="L1002" t="s">
        <v>725</v>
      </c>
      <c r="M1002">
        <v>4.715670108795166</v>
      </c>
      <c r="N1002" t="s">
        <v>54</v>
      </c>
      <c r="O1002" t="s">
        <v>53</v>
      </c>
      <c r="P1002" t="s">
        <v>53</v>
      </c>
      <c r="Q1002" t="s">
        <v>53</v>
      </c>
      <c r="R1002" t="s">
        <v>53</v>
      </c>
      <c r="S1002" t="s">
        <v>1822</v>
      </c>
      <c r="T1002" t="s">
        <v>1823</v>
      </c>
      <c r="U1002" t="s">
        <v>53</v>
      </c>
      <c r="V1002" t="s">
        <v>791</v>
      </c>
      <c r="W1002">
        <v>250000</v>
      </c>
      <c r="X1002" t="s">
        <v>54</v>
      </c>
      <c r="AA1002">
        <v>61</v>
      </c>
      <c r="AB1002">
        <v>18</v>
      </c>
      <c r="AC1002">
        <v>342</v>
      </c>
      <c r="AD1002">
        <v>48</v>
      </c>
      <c r="AE1002">
        <v>372</v>
      </c>
      <c r="AF1002">
        <v>0</v>
      </c>
      <c r="AG1002">
        <v>0</v>
      </c>
      <c r="AH1002">
        <v>1.664969325065613</v>
      </c>
      <c r="AI1002">
        <v>0</v>
      </c>
      <c r="AJ1002">
        <v>0.92410212755203247</v>
      </c>
      <c r="AK1002" t="s">
        <v>54</v>
      </c>
      <c r="AL1002" t="s">
        <v>53</v>
      </c>
      <c r="AP1002" t="s">
        <v>5451</v>
      </c>
      <c r="AQ1002" t="s">
        <v>54</v>
      </c>
      <c r="AT1002" t="s">
        <v>1507</v>
      </c>
      <c r="AW1002" t="s">
        <v>53</v>
      </c>
      <c r="AZ1002" t="s">
        <v>54</v>
      </c>
      <c r="BA1002" t="s">
        <v>729</v>
      </c>
    </row>
    <row r="1003" spans="1:53" x14ac:dyDescent="0.25">
      <c r="A1003">
        <v>998</v>
      </c>
      <c r="B1003" t="s">
        <v>1824</v>
      </c>
      <c r="C1003" t="s">
        <v>1825</v>
      </c>
      <c r="D1003" t="s">
        <v>784</v>
      </c>
      <c r="E1003">
        <v>6</v>
      </c>
      <c r="F1003" t="s">
        <v>719</v>
      </c>
      <c r="G1003" t="s">
        <v>720</v>
      </c>
      <c r="H1003" t="s">
        <v>1082</v>
      </c>
      <c r="I1003" t="s">
        <v>1083</v>
      </c>
      <c r="J1003" t="s">
        <v>1826</v>
      </c>
      <c r="K1003" t="s">
        <v>1827</v>
      </c>
      <c r="L1003" t="s">
        <v>725</v>
      </c>
      <c r="M1003">
        <v>2.0006284713745122</v>
      </c>
      <c r="N1003" t="s">
        <v>53</v>
      </c>
      <c r="O1003" t="s">
        <v>53</v>
      </c>
      <c r="P1003" t="s">
        <v>54</v>
      </c>
      <c r="Q1003" t="s">
        <v>53</v>
      </c>
      <c r="R1003" t="s">
        <v>53</v>
      </c>
      <c r="S1003" t="s">
        <v>1828</v>
      </c>
      <c r="T1003" t="s">
        <v>1829</v>
      </c>
      <c r="U1003" t="s">
        <v>54</v>
      </c>
      <c r="V1003" t="s">
        <v>791</v>
      </c>
      <c r="W1003">
        <v>190000</v>
      </c>
      <c r="X1003" t="s">
        <v>54</v>
      </c>
      <c r="AA1003">
        <v>197</v>
      </c>
      <c r="AB1003">
        <v>189</v>
      </c>
      <c r="AC1003">
        <v>109</v>
      </c>
      <c r="AD1003">
        <v>398</v>
      </c>
      <c r="AE1003">
        <v>398</v>
      </c>
      <c r="AF1003">
        <v>0</v>
      </c>
      <c r="AG1003">
        <v>0</v>
      </c>
      <c r="AH1003">
        <v>3.531308650970459</v>
      </c>
      <c r="AI1003">
        <v>0</v>
      </c>
      <c r="AK1003" t="s">
        <v>54</v>
      </c>
      <c r="AL1003" t="s">
        <v>53</v>
      </c>
      <c r="AP1003" t="s">
        <v>5451</v>
      </c>
      <c r="AQ1003" t="s">
        <v>54</v>
      </c>
      <c r="AT1003" t="s">
        <v>1507</v>
      </c>
      <c r="AW1003" t="s">
        <v>53</v>
      </c>
      <c r="AZ1003" t="s">
        <v>54</v>
      </c>
      <c r="BA1003" t="s">
        <v>729</v>
      </c>
    </row>
    <row r="1004" spans="1:53" x14ac:dyDescent="0.25">
      <c r="A1004">
        <v>999</v>
      </c>
      <c r="B1004" t="s">
        <v>1830</v>
      </c>
      <c r="C1004" t="s">
        <v>1831</v>
      </c>
      <c r="D1004" t="s">
        <v>784</v>
      </c>
      <c r="E1004">
        <v>6</v>
      </c>
      <c r="F1004" t="s">
        <v>719</v>
      </c>
      <c r="G1004" t="s">
        <v>720</v>
      </c>
      <c r="H1004" t="s">
        <v>721</v>
      </c>
      <c r="I1004" t="s">
        <v>763</v>
      </c>
      <c r="J1004" t="s">
        <v>1832</v>
      </c>
      <c r="K1004" t="s">
        <v>1833</v>
      </c>
      <c r="L1004" t="s">
        <v>725</v>
      </c>
      <c r="M1004">
        <v>8.4054559469223022E-2</v>
      </c>
      <c r="N1004" t="s">
        <v>53</v>
      </c>
      <c r="O1004" t="s">
        <v>53</v>
      </c>
      <c r="P1004" t="s">
        <v>54</v>
      </c>
      <c r="Q1004" t="s">
        <v>53</v>
      </c>
      <c r="R1004" t="s">
        <v>53</v>
      </c>
      <c r="S1004" t="s">
        <v>1834</v>
      </c>
      <c r="T1004" t="s">
        <v>1835</v>
      </c>
      <c r="U1004" t="s">
        <v>54</v>
      </c>
      <c r="V1004" t="s">
        <v>791</v>
      </c>
      <c r="W1004">
        <v>50000</v>
      </c>
      <c r="X1004" t="s">
        <v>54</v>
      </c>
      <c r="AA1004">
        <v>85</v>
      </c>
      <c r="AB1004">
        <v>80</v>
      </c>
      <c r="AC1004">
        <v>67</v>
      </c>
      <c r="AD1004">
        <v>233</v>
      </c>
      <c r="AE1004">
        <v>233</v>
      </c>
      <c r="AF1004">
        <v>0</v>
      </c>
      <c r="AH1004">
        <v>1.0146340131759639</v>
      </c>
      <c r="AK1004" t="s">
        <v>54</v>
      </c>
      <c r="AL1004" t="s">
        <v>53</v>
      </c>
      <c r="AP1004" t="s">
        <v>5451</v>
      </c>
      <c r="AQ1004" t="s">
        <v>54</v>
      </c>
      <c r="AT1004" t="s">
        <v>1507</v>
      </c>
      <c r="AW1004" t="s">
        <v>53</v>
      </c>
      <c r="AZ1004" t="s">
        <v>54</v>
      </c>
      <c r="BA1004" t="s">
        <v>729</v>
      </c>
    </row>
    <row r="1005" spans="1:53" x14ac:dyDescent="0.25">
      <c r="A1005">
        <v>1000</v>
      </c>
      <c r="B1005" t="s">
        <v>1836</v>
      </c>
      <c r="C1005" t="s">
        <v>1837</v>
      </c>
      <c r="D1005" t="s">
        <v>1838</v>
      </c>
      <c r="E1005">
        <v>6</v>
      </c>
      <c r="F1005" t="s">
        <v>719</v>
      </c>
      <c r="G1005" t="s">
        <v>169</v>
      </c>
      <c r="H1005" t="s">
        <v>795</v>
      </c>
      <c r="I1005" t="s">
        <v>871</v>
      </c>
      <c r="J1005" t="s">
        <v>872</v>
      </c>
      <c r="K1005" t="s">
        <v>873</v>
      </c>
      <c r="L1005" t="s">
        <v>789</v>
      </c>
      <c r="M1005">
        <v>1481.869750976562</v>
      </c>
      <c r="N1005" t="s">
        <v>54</v>
      </c>
      <c r="O1005" t="s">
        <v>53</v>
      </c>
      <c r="P1005" t="s">
        <v>54</v>
      </c>
      <c r="Q1005" t="s">
        <v>53</v>
      </c>
      <c r="R1005" t="s">
        <v>53</v>
      </c>
      <c r="S1005" t="s">
        <v>933</v>
      </c>
      <c r="T1005" t="s">
        <v>1839</v>
      </c>
      <c r="U1005" t="s">
        <v>54</v>
      </c>
      <c r="V1005" t="s">
        <v>791</v>
      </c>
      <c r="W1005">
        <v>6440000</v>
      </c>
      <c r="X1005" t="s">
        <v>54</v>
      </c>
      <c r="AA1005">
        <v>18848</v>
      </c>
      <c r="AB1005">
        <v>14344</v>
      </c>
      <c r="AC1005">
        <v>38626</v>
      </c>
      <c r="AD1005">
        <v>35449</v>
      </c>
      <c r="AE1005">
        <v>65547</v>
      </c>
      <c r="AF1005">
        <v>248</v>
      </c>
      <c r="AG1005">
        <v>0</v>
      </c>
      <c r="AH1005">
        <v>328.06332397460938</v>
      </c>
      <c r="AI1005">
        <v>0</v>
      </c>
      <c r="AJ1005">
        <v>8584.16015625</v>
      </c>
      <c r="AK1005" t="s">
        <v>54</v>
      </c>
      <c r="AL1005" t="s">
        <v>53</v>
      </c>
      <c r="AP1005" t="s">
        <v>5451</v>
      </c>
      <c r="AQ1005" t="s">
        <v>54</v>
      </c>
      <c r="AT1005" t="s">
        <v>1507</v>
      </c>
      <c r="AW1005" t="s">
        <v>53</v>
      </c>
      <c r="AZ1005" t="s">
        <v>54</v>
      </c>
      <c r="BA1005" t="s">
        <v>729</v>
      </c>
    </row>
    <row r="1006" spans="1:53" x14ac:dyDescent="0.25">
      <c r="A1006">
        <v>1001</v>
      </c>
      <c r="B1006" t="s">
        <v>1842</v>
      </c>
      <c r="C1006" t="s">
        <v>1843</v>
      </c>
      <c r="D1006" t="s">
        <v>1838</v>
      </c>
      <c r="E1006">
        <v>6</v>
      </c>
      <c r="F1006" t="s">
        <v>719</v>
      </c>
      <c r="G1006" t="s">
        <v>891</v>
      </c>
      <c r="H1006" t="s">
        <v>795</v>
      </c>
      <c r="I1006" t="s">
        <v>871</v>
      </c>
      <c r="J1006" t="s">
        <v>872</v>
      </c>
      <c r="K1006" t="s">
        <v>873</v>
      </c>
      <c r="L1006" t="s">
        <v>789</v>
      </c>
      <c r="M1006">
        <v>664.94830322265625</v>
      </c>
      <c r="N1006" t="s">
        <v>54</v>
      </c>
      <c r="O1006" t="s">
        <v>53</v>
      </c>
      <c r="P1006" t="s">
        <v>54</v>
      </c>
      <c r="Q1006" t="s">
        <v>53</v>
      </c>
      <c r="R1006" t="s">
        <v>53</v>
      </c>
      <c r="S1006" t="s">
        <v>1122</v>
      </c>
      <c r="T1006" t="s">
        <v>1142</v>
      </c>
      <c r="U1006" t="s">
        <v>54</v>
      </c>
      <c r="V1006" t="s">
        <v>791</v>
      </c>
      <c r="W1006">
        <v>2960000</v>
      </c>
      <c r="X1006" t="s">
        <v>54</v>
      </c>
      <c r="AA1006">
        <v>48570</v>
      </c>
      <c r="AB1006">
        <v>42185</v>
      </c>
      <c r="AC1006">
        <v>100002</v>
      </c>
      <c r="AD1006">
        <v>102755</v>
      </c>
      <c r="AE1006">
        <v>171395</v>
      </c>
      <c r="AF1006">
        <v>681</v>
      </c>
      <c r="AG1006">
        <v>30</v>
      </c>
      <c r="AH1006">
        <v>910.35089111328125</v>
      </c>
      <c r="AI1006">
        <v>30</v>
      </c>
      <c r="AJ1006">
        <v>3412.02490234375</v>
      </c>
      <c r="AK1006" t="s">
        <v>54</v>
      </c>
      <c r="AL1006" t="s">
        <v>53</v>
      </c>
      <c r="AP1006" t="s">
        <v>5451</v>
      </c>
      <c r="AQ1006" t="s">
        <v>54</v>
      </c>
      <c r="AT1006" t="s">
        <v>1507</v>
      </c>
      <c r="AW1006" t="s">
        <v>53</v>
      </c>
      <c r="AZ1006" t="s">
        <v>54</v>
      </c>
      <c r="BA1006" t="s">
        <v>729</v>
      </c>
    </row>
    <row r="1007" spans="1:53" x14ac:dyDescent="0.25">
      <c r="A1007">
        <v>1002</v>
      </c>
      <c r="B1007" t="s">
        <v>1844</v>
      </c>
      <c r="C1007" t="s">
        <v>1845</v>
      </c>
      <c r="D1007" t="s">
        <v>1838</v>
      </c>
      <c r="E1007">
        <v>6</v>
      </c>
      <c r="F1007" t="s">
        <v>719</v>
      </c>
      <c r="G1007" t="s">
        <v>1155</v>
      </c>
      <c r="H1007" t="s">
        <v>1156</v>
      </c>
      <c r="I1007" t="s">
        <v>1157</v>
      </c>
      <c r="J1007" t="s">
        <v>1158</v>
      </c>
      <c r="K1007" t="s">
        <v>1159</v>
      </c>
      <c r="L1007" t="s">
        <v>789</v>
      </c>
      <c r="M1007">
        <v>798.8736572265625</v>
      </c>
      <c r="N1007" t="s">
        <v>54</v>
      </c>
      <c r="O1007" t="s">
        <v>53</v>
      </c>
      <c r="P1007" t="s">
        <v>54</v>
      </c>
      <c r="Q1007" t="s">
        <v>53</v>
      </c>
      <c r="R1007" t="s">
        <v>53</v>
      </c>
      <c r="S1007" t="s">
        <v>1160</v>
      </c>
      <c r="T1007" t="s">
        <v>1161</v>
      </c>
      <c r="U1007" t="s">
        <v>54</v>
      </c>
      <c r="V1007" t="s">
        <v>791</v>
      </c>
      <c r="W1007">
        <v>3530000</v>
      </c>
      <c r="X1007" t="s">
        <v>54</v>
      </c>
      <c r="AA1007">
        <v>145</v>
      </c>
      <c r="AB1007">
        <v>76</v>
      </c>
      <c r="AC1007">
        <v>50</v>
      </c>
      <c r="AD1007">
        <v>95</v>
      </c>
      <c r="AE1007">
        <v>120</v>
      </c>
      <c r="AF1007">
        <v>0</v>
      </c>
      <c r="AG1007">
        <v>1</v>
      </c>
      <c r="AH1007">
        <v>10.806294441223139</v>
      </c>
      <c r="AI1007">
        <v>1</v>
      </c>
      <c r="AJ1007">
        <v>151.27351379394531</v>
      </c>
      <c r="AK1007" t="s">
        <v>54</v>
      </c>
      <c r="AL1007" t="s">
        <v>53</v>
      </c>
      <c r="AP1007" t="s">
        <v>5451</v>
      </c>
      <c r="AQ1007" t="s">
        <v>54</v>
      </c>
      <c r="AT1007" t="s">
        <v>1507</v>
      </c>
      <c r="AW1007" t="s">
        <v>53</v>
      </c>
      <c r="AZ1007" t="s">
        <v>54</v>
      </c>
      <c r="BA1007" t="s">
        <v>729</v>
      </c>
    </row>
    <row r="1008" spans="1:53" x14ac:dyDescent="0.25">
      <c r="A1008">
        <v>1003</v>
      </c>
      <c r="B1008" t="s">
        <v>1846</v>
      </c>
      <c r="C1008" t="s">
        <v>1847</v>
      </c>
      <c r="D1008" t="s">
        <v>1838</v>
      </c>
      <c r="E1008">
        <v>6</v>
      </c>
      <c r="F1008" t="s">
        <v>719</v>
      </c>
      <c r="G1008" t="s">
        <v>720</v>
      </c>
      <c r="H1008" t="s">
        <v>785</v>
      </c>
      <c r="I1008" t="s">
        <v>1848</v>
      </c>
      <c r="J1008" t="s">
        <v>1158</v>
      </c>
      <c r="K1008" t="s">
        <v>1159</v>
      </c>
      <c r="L1008" t="s">
        <v>789</v>
      </c>
      <c r="M1008">
        <v>1072.611083984375</v>
      </c>
      <c r="N1008" t="s">
        <v>54</v>
      </c>
      <c r="O1008" t="s">
        <v>53</v>
      </c>
      <c r="P1008" t="s">
        <v>54</v>
      </c>
      <c r="Q1008" t="s">
        <v>53</v>
      </c>
      <c r="R1008" t="s">
        <v>53</v>
      </c>
      <c r="S1008" t="s">
        <v>790</v>
      </c>
      <c r="T1008" t="s">
        <v>1849</v>
      </c>
      <c r="U1008" t="s">
        <v>54</v>
      </c>
      <c r="V1008" t="s">
        <v>791</v>
      </c>
      <c r="W1008">
        <v>4700000</v>
      </c>
      <c r="X1008" t="s">
        <v>54</v>
      </c>
      <c r="AA1008">
        <v>21195</v>
      </c>
      <c r="AB1008">
        <v>16931</v>
      </c>
      <c r="AC1008">
        <v>37831</v>
      </c>
      <c r="AD1008">
        <v>42140</v>
      </c>
      <c r="AE1008">
        <v>67706</v>
      </c>
      <c r="AF1008">
        <v>125</v>
      </c>
      <c r="AG1008">
        <v>72</v>
      </c>
      <c r="AH1008">
        <v>409.33160400390619</v>
      </c>
      <c r="AI1008">
        <v>72</v>
      </c>
      <c r="AJ1008">
        <v>852.3905029296875</v>
      </c>
      <c r="AK1008" t="s">
        <v>54</v>
      </c>
      <c r="AL1008" t="s">
        <v>53</v>
      </c>
      <c r="AP1008" t="s">
        <v>5451</v>
      </c>
      <c r="AQ1008" t="s">
        <v>54</v>
      </c>
      <c r="AT1008" t="s">
        <v>1507</v>
      </c>
      <c r="AW1008" t="s">
        <v>53</v>
      </c>
      <c r="AZ1008" t="s">
        <v>54</v>
      </c>
      <c r="BA1008" t="s">
        <v>729</v>
      </c>
    </row>
    <row r="1009" spans="1:53" x14ac:dyDescent="0.25">
      <c r="A1009">
        <v>1004</v>
      </c>
      <c r="B1009" t="s">
        <v>1861</v>
      </c>
      <c r="C1009" t="s">
        <v>1862</v>
      </c>
      <c r="D1009" t="s">
        <v>1863</v>
      </c>
      <c r="E1009">
        <v>6</v>
      </c>
      <c r="F1009" t="s">
        <v>719</v>
      </c>
      <c r="G1009" t="s">
        <v>805</v>
      </c>
      <c r="H1009" t="s">
        <v>806</v>
      </c>
      <c r="I1009" t="s">
        <v>816</v>
      </c>
      <c r="J1009" t="s">
        <v>817</v>
      </c>
      <c r="K1009" t="s">
        <v>818</v>
      </c>
      <c r="L1009" t="s">
        <v>725</v>
      </c>
      <c r="M1009">
        <v>0.31894087791442871</v>
      </c>
      <c r="N1009" t="s">
        <v>53</v>
      </c>
      <c r="O1009" t="s">
        <v>53</v>
      </c>
      <c r="P1009" t="s">
        <v>54</v>
      </c>
      <c r="Q1009" t="s">
        <v>53</v>
      </c>
      <c r="R1009" t="s">
        <v>53</v>
      </c>
      <c r="S1009" t="s">
        <v>810</v>
      </c>
      <c r="T1009" t="s">
        <v>819</v>
      </c>
      <c r="U1009" t="s">
        <v>53</v>
      </c>
      <c r="V1009" t="s">
        <v>51</v>
      </c>
      <c r="W1009">
        <v>30000</v>
      </c>
      <c r="X1009" t="s">
        <v>54</v>
      </c>
      <c r="AA1009">
        <v>5</v>
      </c>
      <c r="AB1009">
        <v>4</v>
      </c>
      <c r="AC1009">
        <v>0</v>
      </c>
      <c r="AD1009">
        <v>5</v>
      </c>
      <c r="AE1009">
        <v>5</v>
      </c>
      <c r="AF1009">
        <v>0</v>
      </c>
      <c r="AH1009">
        <v>1.1843349784612661E-2</v>
      </c>
      <c r="AK1009" t="s">
        <v>53</v>
      </c>
      <c r="AL1009" t="s">
        <v>53</v>
      </c>
      <c r="AP1009" t="s">
        <v>5451</v>
      </c>
      <c r="AQ1009" t="s">
        <v>54</v>
      </c>
      <c r="AT1009" t="s">
        <v>1864</v>
      </c>
      <c r="AW1009" t="s">
        <v>53</v>
      </c>
      <c r="AZ1009" t="s">
        <v>54</v>
      </c>
      <c r="BA1009" t="s">
        <v>729</v>
      </c>
    </row>
    <row r="1010" spans="1:53" x14ac:dyDescent="0.25">
      <c r="A1010">
        <v>1005</v>
      </c>
      <c r="B1010" t="s">
        <v>1865</v>
      </c>
      <c r="C1010" t="s">
        <v>1866</v>
      </c>
      <c r="D1010" t="s">
        <v>1867</v>
      </c>
      <c r="E1010">
        <v>6</v>
      </c>
      <c r="F1010" t="s">
        <v>719</v>
      </c>
      <c r="G1010" t="s">
        <v>805</v>
      </c>
      <c r="H1010" t="s">
        <v>795</v>
      </c>
      <c r="I1010" t="s">
        <v>849</v>
      </c>
      <c r="J1010" t="s">
        <v>850</v>
      </c>
      <c r="K1010" t="s">
        <v>851</v>
      </c>
      <c r="L1010" t="s">
        <v>725</v>
      </c>
      <c r="M1010">
        <v>4.7917232513427734</v>
      </c>
      <c r="N1010" t="s">
        <v>53</v>
      </c>
      <c r="O1010" t="s">
        <v>53</v>
      </c>
      <c r="P1010" t="s">
        <v>54</v>
      </c>
      <c r="Q1010" t="s">
        <v>53</v>
      </c>
      <c r="R1010" t="s">
        <v>53</v>
      </c>
      <c r="S1010" t="s">
        <v>861</v>
      </c>
      <c r="T1010" t="s">
        <v>1868</v>
      </c>
      <c r="U1010" t="s">
        <v>53</v>
      </c>
      <c r="V1010" t="s">
        <v>51</v>
      </c>
      <c r="W1010">
        <v>30000</v>
      </c>
      <c r="X1010" t="s">
        <v>54</v>
      </c>
      <c r="AA1010">
        <v>63</v>
      </c>
      <c r="AB1010">
        <v>16</v>
      </c>
      <c r="AC1010">
        <v>390</v>
      </c>
      <c r="AD1010">
        <v>100</v>
      </c>
      <c r="AE1010">
        <v>468</v>
      </c>
      <c r="AF1010">
        <v>0</v>
      </c>
      <c r="AG1010">
        <v>0</v>
      </c>
      <c r="AH1010">
        <v>2.8047490119934082</v>
      </c>
      <c r="AI1010">
        <v>0</v>
      </c>
      <c r="AJ1010">
        <v>6.1562490463256836</v>
      </c>
      <c r="AK1010" t="s">
        <v>53</v>
      </c>
      <c r="AL1010" t="s">
        <v>54</v>
      </c>
      <c r="AP1010" t="s">
        <v>5451</v>
      </c>
      <c r="AQ1010" t="s">
        <v>54</v>
      </c>
      <c r="AT1010" t="s">
        <v>1407</v>
      </c>
      <c r="AW1010" t="s">
        <v>53</v>
      </c>
      <c r="AZ1010" t="s">
        <v>54</v>
      </c>
      <c r="BA1010" t="s">
        <v>729</v>
      </c>
    </row>
    <row r="1011" spans="1:53" x14ac:dyDescent="0.25">
      <c r="A1011">
        <v>1006</v>
      </c>
      <c r="B1011" t="s">
        <v>1869</v>
      </c>
      <c r="C1011" t="s">
        <v>1870</v>
      </c>
      <c r="D1011" t="s">
        <v>1871</v>
      </c>
      <c r="E1011">
        <v>6</v>
      </c>
      <c r="F1011" t="s">
        <v>719</v>
      </c>
      <c r="G1011" t="s">
        <v>805</v>
      </c>
      <c r="H1011" t="s">
        <v>795</v>
      </c>
      <c r="I1011" t="s">
        <v>849</v>
      </c>
      <c r="J1011" t="s">
        <v>850</v>
      </c>
      <c r="K1011" t="s">
        <v>851</v>
      </c>
      <c r="L1011" t="s">
        <v>725</v>
      </c>
      <c r="M1011">
        <v>1.092432975769043</v>
      </c>
      <c r="N1011" t="s">
        <v>54</v>
      </c>
      <c r="O1011" t="s">
        <v>53</v>
      </c>
      <c r="P1011" t="s">
        <v>53</v>
      </c>
      <c r="Q1011" t="s">
        <v>53</v>
      </c>
      <c r="R1011" t="s">
        <v>53</v>
      </c>
      <c r="S1011" t="s">
        <v>861</v>
      </c>
      <c r="T1011" t="s">
        <v>1705</v>
      </c>
      <c r="U1011" t="s">
        <v>53</v>
      </c>
      <c r="V1011" t="s">
        <v>51</v>
      </c>
      <c r="W1011">
        <v>30000</v>
      </c>
      <c r="X1011" t="s">
        <v>54</v>
      </c>
      <c r="AA1011">
        <v>371</v>
      </c>
      <c r="AB1011">
        <v>291</v>
      </c>
      <c r="AC1011">
        <v>1624</v>
      </c>
      <c r="AD1011">
        <v>770</v>
      </c>
      <c r="AE1011">
        <v>2154</v>
      </c>
      <c r="AF1011">
        <v>0</v>
      </c>
      <c r="AG1011">
        <v>0</v>
      </c>
      <c r="AH1011">
        <v>3.8352079391479492</v>
      </c>
      <c r="AI1011">
        <v>0</v>
      </c>
      <c r="AK1011" t="s">
        <v>53</v>
      </c>
      <c r="AL1011" t="s">
        <v>53</v>
      </c>
      <c r="AP1011" t="s">
        <v>5451</v>
      </c>
      <c r="AQ1011" t="s">
        <v>54</v>
      </c>
      <c r="AT1011" t="s">
        <v>1407</v>
      </c>
      <c r="AW1011" t="s">
        <v>53</v>
      </c>
      <c r="AZ1011" t="s">
        <v>54</v>
      </c>
      <c r="BA1011" t="s">
        <v>729</v>
      </c>
    </row>
    <row r="1012" spans="1:53" x14ac:dyDescent="0.25">
      <c r="A1012">
        <v>1007</v>
      </c>
      <c r="B1012" t="s">
        <v>1872</v>
      </c>
      <c r="C1012" t="s">
        <v>1873</v>
      </c>
      <c r="D1012" t="s">
        <v>1874</v>
      </c>
      <c r="E1012">
        <v>6</v>
      </c>
      <c r="F1012" t="s">
        <v>719</v>
      </c>
      <c r="G1012" t="s">
        <v>805</v>
      </c>
      <c r="H1012" t="s">
        <v>857</v>
      </c>
      <c r="I1012" t="s">
        <v>858</v>
      </c>
      <c r="J1012" t="s">
        <v>859</v>
      </c>
      <c r="K1012" t="s">
        <v>860</v>
      </c>
      <c r="L1012" t="s">
        <v>725</v>
      </c>
      <c r="M1012">
        <v>9.7738265991210938</v>
      </c>
      <c r="N1012" t="s">
        <v>54</v>
      </c>
      <c r="O1012" t="s">
        <v>53</v>
      </c>
      <c r="P1012" t="s">
        <v>54</v>
      </c>
      <c r="Q1012" t="s">
        <v>53</v>
      </c>
      <c r="R1012" t="s">
        <v>53</v>
      </c>
      <c r="S1012" t="s">
        <v>810</v>
      </c>
      <c r="T1012" t="s">
        <v>1868</v>
      </c>
      <c r="U1012" t="s">
        <v>53</v>
      </c>
      <c r="V1012" t="s">
        <v>51</v>
      </c>
      <c r="W1012">
        <v>30000</v>
      </c>
      <c r="X1012" t="s">
        <v>54</v>
      </c>
      <c r="AA1012">
        <v>473</v>
      </c>
      <c r="AB1012">
        <v>344</v>
      </c>
      <c r="AC1012">
        <v>1478</v>
      </c>
      <c r="AD1012">
        <v>1005</v>
      </c>
      <c r="AE1012">
        <v>2199</v>
      </c>
      <c r="AF1012">
        <v>0</v>
      </c>
      <c r="AG1012">
        <v>0</v>
      </c>
      <c r="AH1012">
        <v>7.0468239784240723</v>
      </c>
      <c r="AI1012">
        <v>0</v>
      </c>
      <c r="AJ1012">
        <v>20.93032264709473</v>
      </c>
      <c r="AK1012" t="s">
        <v>53</v>
      </c>
      <c r="AL1012" t="s">
        <v>54</v>
      </c>
      <c r="AP1012" t="s">
        <v>5451</v>
      </c>
      <c r="AQ1012" t="s">
        <v>54</v>
      </c>
      <c r="AT1012" t="s">
        <v>1864</v>
      </c>
      <c r="AW1012" t="s">
        <v>53</v>
      </c>
      <c r="AZ1012" t="s">
        <v>54</v>
      </c>
      <c r="BA1012" t="s">
        <v>729</v>
      </c>
    </row>
    <row r="1013" spans="1:53" x14ac:dyDescent="0.25">
      <c r="A1013">
        <v>1008</v>
      </c>
      <c r="B1013" t="s">
        <v>1875</v>
      </c>
      <c r="C1013" t="s">
        <v>1876</v>
      </c>
      <c r="D1013" t="s">
        <v>1877</v>
      </c>
      <c r="E1013">
        <v>6</v>
      </c>
      <c r="F1013" t="s">
        <v>719</v>
      </c>
      <c r="G1013" t="s">
        <v>1073</v>
      </c>
      <c r="H1013" t="s">
        <v>806</v>
      </c>
      <c r="I1013" t="s">
        <v>807</v>
      </c>
      <c r="J1013" t="s">
        <v>1577</v>
      </c>
      <c r="K1013" t="s">
        <v>1578</v>
      </c>
      <c r="L1013" t="s">
        <v>725</v>
      </c>
      <c r="M1013">
        <v>27.07597732543945</v>
      </c>
      <c r="N1013" t="s">
        <v>54</v>
      </c>
      <c r="O1013" t="s">
        <v>53</v>
      </c>
      <c r="P1013" t="s">
        <v>54</v>
      </c>
      <c r="Q1013" t="s">
        <v>53</v>
      </c>
      <c r="R1013" t="s">
        <v>53</v>
      </c>
      <c r="S1013" t="s">
        <v>1878</v>
      </c>
      <c r="T1013" t="s">
        <v>1349</v>
      </c>
      <c r="U1013" t="s">
        <v>53</v>
      </c>
      <c r="V1013" t="s">
        <v>51</v>
      </c>
      <c r="W1013">
        <v>30000</v>
      </c>
      <c r="X1013" t="s">
        <v>54</v>
      </c>
      <c r="AA1013">
        <v>115</v>
      </c>
      <c r="AB1013">
        <v>105</v>
      </c>
      <c r="AC1013">
        <v>107</v>
      </c>
      <c r="AD1013">
        <v>252</v>
      </c>
      <c r="AE1013">
        <v>306</v>
      </c>
      <c r="AF1013">
        <v>2</v>
      </c>
      <c r="AG1013">
        <v>0</v>
      </c>
      <c r="AH1013">
        <v>1.407488226890564</v>
      </c>
      <c r="AI1013">
        <v>0</v>
      </c>
      <c r="AJ1013">
        <v>20.454355239868161</v>
      </c>
      <c r="AK1013" t="s">
        <v>53</v>
      </c>
      <c r="AL1013" t="s">
        <v>54</v>
      </c>
      <c r="AP1013" t="s">
        <v>5451</v>
      </c>
      <c r="AQ1013" t="s">
        <v>54</v>
      </c>
      <c r="AT1013" t="s">
        <v>0</v>
      </c>
      <c r="AW1013" t="s">
        <v>53</v>
      </c>
      <c r="AZ1013" t="s">
        <v>54</v>
      </c>
      <c r="BA1013" t="s">
        <v>729</v>
      </c>
    </row>
    <row r="1014" spans="1:53" x14ac:dyDescent="0.25">
      <c r="A1014">
        <v>1009</v>
      </c>
      <c r="B1014" t="s">
        <v>1880</v>
      </c>
      <c r="C1014" t="s">
        <v>1881</v>
      </c>
      <c r="D1014" t="s">
        <v>1882</v>
      </c>
      <c r="E1014">
        <v>6</v>
      </c>
      <c r="F1014" t="s">
        <v>719</v>
      </c>
      <c r="G1014" t="s">
        <v>805</v>
      </c>
      <c r="H1014" t="s">
        <v>806</v>
      </c>
      <c r="I1014" t="s">
        <v>911</v>
      </c>
      <c r="J1014" t="s">
        <v>1883</v>
      </c>
      <c r="K1014" t="s">
        <v>1884</v>
      </c>
      <c r="L1014" t="s">
        <v>725</v>
      </c>
      <c r="M1014">
        <v>6.6978421211242676</v>
      </c>
      <c r="N1014" t="s">
        <v>53</v>
      </c>
      <c r="O1014" t="s">
        <v>53</v>
      </c>
      <c r="P1014" t="s">
        <v>54</v>
      </c>
      <c r="Q1014" t="s">
        <v>53</v>
      </c>
      <c r="R1014" t="s">
        <v>53</v>
      </c>
      <c r="S1014" t="s">
        <v>1715</v>
      </c>
      <c r="T1014" t="s">
        <v>827</v>
      </c>
      <c r="U1014" t="s">
        <v>53</v>
      </c>
      <c r="V1014" t="s">
        <v>51</v>
      </c>
      <c r="W1014">
        <v>30000</v>
      </c>
      <c r="X1014" t="s">
        <v>54</v>
      </c>
      <c r="AA1014">
        <v>35</v>
      </c>
      <c r="AB1014">
        <v>25</v>
      </c>
      <c r="AC1014">
        <v>258</v>
      </c>
      <c r="AD1014">
        <v>200</v>
      </c>
      <c r="AE1014">
        <v>365</v>
      </c>
      <c r="AF1014">
        <v>1</v>
      </c>
      <c r="AG1014">
        <v>0</v>
      </c>
      <c r="AH1014">
        <v>0.28545406460762018</v>
      </c>
      <c r="AI1014">
        <v>0</v>
      </c>
      <c r="AK1014" t="s">
        <v>53</v>
      </c>
      <c r="AL1014" t="s">
        <v>53</v>
      </c>
      <c r="AP1014" t="s">
        <v>5451</v>
      </c>
      <c r="AQ1014" t="s">
        <v>54</v>
      </c>
      <c r="AT1014" t="s">
        <v>0</v>
      </c>
      <c r="AW1014" t="s">
        <v>53</v>
      </c>
      <c r="AZ1014" t="s">
        <v>54</v>
      </c>
      <c r="BA1014" t="s">
        <v>729</v>
      </c>
    </row>
    <row r="1015" spans="1:53" x14ac:dyDescent="0.25">
      <c r="A1015">
        <v>1010</v>
      </c>
      <c r="B1015" t="s">
        <v>1886</v>
      </c>
      <c r="C1015" t="s">
        <v>1887</v>
      </c>
      <c r="D1015" t="s">
        <v>1888</v>
      </c>
      <c r="E1015">
        <v>6</v>
      </c>
      <c r="F1015" t="s">
        <v>719</v>
      </c>
      <c r="G1015" t="s">
        <v>925</v>
      </c>
      <c r="H1015" t="s">
        <v>806</v>
      </c>
      <c r="I1015" t="s">
        <v>899</v>
      </c>
      <c r="J1015" t="s">
        <v>926</v>
      </c>
      <c r="K1015" t="s">
        <v>927</v>
      </c>
      <c r="L1015" t="s">
        <v>725</v>
      </c>
      <c r="M1015">
        <v>22.877639770507809</v>
      </c>
      <c r="N1015" t="s">
        <v>53</v>
      </c>
      <c r="O1015" t="s">
        <v>53</v>
      </c>
      <c r="P1015" t="s">
        <v>54</v>
      </c>
      <c r="Q1015" t="s">
        <v>53</v>
      </c>
      <c r="R1015" t="s">
        <v>53</v>
      </c>
      <c r="S1015" t="s">
        <v>861</v>
      </c>
      <c r="T1015" t="s">
        <v>1889</v>
      </c>
      <c r="U1015" t="s">
        <v>53</v>
      </c>
      <c r="V1015" t="s">
        <v>51</v>
      </c>
      <c r="W1015">
        <v>30000</v>
      </c>
      <c r="X1015" t="s">
        <v>54</v>
      </c>
      <c r="AA1015">
        <v>2549</v>
      </c>
      <c r="AB1015">
        <v>2257</v>
      </c>
      <c r="AC1015">
        <v>16066</v>
      </c>
      <c r="AD1015">
        <v>19524</v>
      </c>
      <c r="AE1015">
        <v>30383</v>
      </c>
      <c r="AF1015">
        <v>27</v>
      </c>
      <c r="AG1015">
        <v>0</v>
      </c>
      <c r="AH1015">
        <v>39.289417266845703</v>
      </c>
      <c r="AI1015">
        <v>0</v>
      </c>
      <c r="AJ1015">
        <v>3.389466285705566</v>
      </c>
      <c r="AK1015" t="s">
        <v>53</v>
      </c>
      <c r="AL1015" t="s">
        <v>54</v>
      </c>
      <c r="AP1015" t="s">
        <v>5451</v>
      </c>
      <c r="AQ1015" t="s">
        <v>54</v>
      </c>
      <c r="AT1015" t="s">
        <v>1407</v>
      </c>
      <c r="AW1015" t="s">
        <v>53</v>
      </c>
      <c r="AZ1015" t="s">
        <v>54</v>
      </c>
      <c r="BA1015" t="s">
        <v>729</v>
      </c>
    </row>
    <row r="1016" spans="1:53" x14ac:dyDescent="0.25">
      <c r="A1016">
        <v>1011</v>
      </c>
      <c r="B1016" t="s">
        <v>1890</v>
      </c>
      <c r="C1016" t="s">
        <v>1891</v>
      </c>
      <c r="D1016" t="s">
        <v>1892</v>
      </c>
      <c r="E1016">
        <v>6</v>
      </c>
      <c r="F1016" t="s">
        <v>719</v>
      </c>
      <c r="G1016" t="s">
        <v>1011</v>
      </c>
      <c r="H1016" t="s">
        <v>795</v>
      </c>
      <c r="I1016" t="s">
        <v>1039</v>
      </c>
      <c r="J1016" t="s">
        <v>1040</v>
      </c>
      <c r="K1016" t="s">
        <v>1041</v>
      </c>
      <c r="L1016" t="s">
        <v>725</v>
      </c>
      <c r="M1016">
        <v>253.17076110839841</v>
      </c>
      <c r="N1016" t="s">
        <v>53</v>
      </c>
      <c r="O1016" t="s">
        <v>54</v>
      </c>
      <c r="P1016" t="s">
        <v>54</v>
      </c>
      <c r="Q1016" t="s">
        <v>53</v>
      </c>
      <c r="R1016" t="s">
        <v>53</v>
      </c>
      <c r="S1016" t="s">
        <v>989</v>
      </c>
      <c r="T1016" t="s">
        <v>896</v>
      </c>
      <c r="U1016" t="s">
        <v>53</v>
      </c>
      <c r="V1016" t="s">
        <v>51</v>
      </c>
      <c r="W1016">
        <v>30000</v>
      </c>
      <c r="X1016" t="s">
        <v>54</v>
      </c>
      <c r="AA1016">
        <v>40153</v>
      </c>
      <c r="AB1016">
        <v>34123</v>
      </c>
      <c r="AC1016">
        <v>89178</v>
      </c>
      <c r="AD1016">
        <v>89001</v>
      </c>
      <c r="AE1016">
        <v>150807</v>
      </c>
      <c r="AF1016">
        <v>648</v>
      </c>
      <c r="AG1016">
        <v>26</v>
      </c>
      <c r="AH1016">
        <v>722.77423095703125</v>
      </c>
      <c r="AI1016">
        <v>26</v>
      </c>
      <c r="AJ1016">
        <v>2683.213623046875</v>
      </c>
      <c r="AK1016" t="s">
        <v>53</v>
      </c>
      <c r="AL1016" t="s">
        <v>53</v>
      </c>
      <c r="AP1016" t="s">
        <v>5451</v>
      </c>
      <c r="AQ1016" t="s">
        <v>54</v>
      </c>
      <c r="AT1016" t="s">
        <v>0</v>
      </c>
      <c r="AW1016" t="s">
        <v>53</v>
      </c>
      <c r="AZ1016" t="s">
        <v>54</v>
      </c>
      <c r="BA1016" t="s">
        <v>729</v>
      </c>
    </row>
    <row r="1017" spans="1:53" x14ac:dyDescent="0.25">
      <c r="A1017">
        <v>1012</v>
      </c>
      <c r="B1017" t="s">
        <v>1893</v>
      </c>
      <c r="C1017" t="s">
        <v>1894</v>
      </c>
      <c r="D1017" t="s">
        <v>1895</v>
      </c>
      <c r="E1017">
        <v>6</v>
      </c>
      <c r="F1017" t="s">
        <v>719</v>
      </c>
      <c r="G1017" t="s">
        <v>805</v>
      </c>
      <c r="H1017" t="s">
        <v>857</v>
      </c>
      <c r="I1017" t="s">
        <v>858</v>
      </c>
      <c r="J1017" t="s">
        <v>1896</v>
      </c>
      <c r="K1017" t="s">
        <v>1897</v>
      </c>
      <c r="L1017" t="s">
        <v>725</v>
      </c>
      <c r="M1017">
        <v>2.0706465244293208</v>
      </c>
      <c r="N1017" t="s">
        <v>54</v>
      </c>
      <c r="O1017" t="s">
        <v>53</v>
      </c>
      <c r="P1017" t="s">
        <v>53</v>
      </c>
      <c r="Q1017" t="s">
        <v>53</v>
      </c>
      <c r="R1017" t="s">
        <v>53</v>
      </c>
      <c r="S1017" t="s">
        <v>861</v>
      </c>
      <c r="T1017" t="s">
        <v>1705</v>
      </c>
      <c r="U1017" t="s">
        <v>53</v>
      </c>
      <c r="V1017" t="s">
        <v>51</v>
      </c>
      <c r="W1017">
        <v>30000</v>
      </c>
      <c r="X1017" t="s">
        <v>54</v>
      </c>
      <c r="AA1017">
        <v>766</v>
      </c>
      <c r="AB1017">
        <v>571</v>
      </c>
      <c r="AC1017">
        <v>1370</v>
      </c>
      <c r="AD1017">
        <v>2594</v>
      </c>
      <c r="AE1017">
        <v>3202</v>
      </c>
      <c r="AF1017">
        <v>5</v>
      </c>
      <c r="AG1017">
        <v>0</v>
      </c>
      <c r="AH1017">
        <v>7.6052932739257813</v>
      </c>
      <c r="AI1017">
        <v>0</v>
      </c>
      <c r="AJ1017">
        <v>0.22120149433612821</v>
      </c>
      <c r="AK1017" t="s">
        <v>53</v>
      </c>
      <c r="AL1017" t="s">
        <v>54</v>
      </c>
      <c r="AP1017" t="s">
        <v>5451</v>
      </c>
      <c r="AQ1017" t="s">
        <v>54</v>
      </c>
      <c r="AT1017" t="s">
        <v>1407</v>
      </c>
      <c r="AW1017" t="s">
        <v>53</v>
      </c>
      <c r="AZ1017" t="s">
        <v>54</v>
      </c>
      <c r="BA1017" t="s">
        <v>729</v>
      </c>
    </row>
    <row r="1018" spans="1:53" x14ac:dyDescent="0.25">
      <c r="A1018">
        <v>1013</v>
      </c>
      <c r="B1018" t="s">
        <v>1898</v>
      </c>
      <c r="C1018" t="s">
        <v>1899</v>
      </c>
      <c r="D1018" t="s">
        <v>1900</v>
      </c>
      <c r="E1018">
        <v>6</v>
      </c>
      <c r="F1018" t="s">
        <v>719</v>
      </c>
      <c r="G1018" t="s">
        <v>805</v>
      </c>
      <c r="H1018" t="s">
        <v>857</v>
      </c>
      <c r="I1018" t="s">
        <v>1701</v>
      </c>
      <c r="J1018" t="s">
        <v>1702</v>
      </c>
      <c r="K1018" t="s">
        <v>1703</v>
      </c>
      <c r="L1018" t="s">
        <v>725</v>
      </c>
      <c r="M1018">
        <v>4.4238500595092773</v>
      </c>
      <c r="N1018" t="s">
        <v>54</v>
      </c>
      <c r="O1018" t="s">
        <v>53</v>
      </c>
      <c r="P1018" t="s">
        <v>54</v>
      </c>
      <c r="Q1018" t="s">
        <v>53</v>
      </c>
      <c r="R1018" t="s">
        <v>53</v>
      </c>
      <c r="S1018" t="s">
        <v>810</v>
      </c>
      <c r="T1018" t="s">
        <v>1705</v>
      </c>
      <c r="U1018" t="s">
        <v>53</v>
      </c>
      <c r="V1018" t="s">
        <v>51</v>
      </c>
      <c r="W1018">
        <v>30000</v>
      </c>
      <c r="X1018" t="s">
        <v>54</v>
      </c>
      <c r="AA1018">
        <v>948</v>
      </c>
      <c r="AB1018">
        <v>709</v>
      </c>
      <c r="AC1018">
        <v>2004</v>
      </c>
      <c r="AD1018">
        <v>3069</v>
      </c>
      <c r="AE1018">
        <v>4153</v>
      </c>
      <c r="AF1018">
        <v>8</v>
      </c>
      <c r="AG1018">
        <v>1</v>
      </c>
      <c r="AH1018">
        <v>14.078611373901371</v>
      </c>
      <c r="AI1018">
        <v>1</v>
      </c>
      <c r="AJ1018">
        <v>1.550874590873718</v>
      </c>
      <c r="AK1018" t="s">
        <v>53</v>
      </c>
      <c r="AL1018" t="s">
        <v>54</v>
      </c>
      <c r="AP1018" t="s">
        <v>5451</v>
      </c>
      <c r="AQ1018" t="s">
        <v>54</v>
      </c>
      <c r="AT1018" t="s">
        <v>1864</v>
      </c>
      <c r="AW1018" t="s">
        <v>53</v>
      </c>
      <c r="AZ1018" t="s">
        <v>54</v>
      </c>
      <c r="BA1018" t="s">
        <v>729</v>
      </c>
    </row>
    <row r="1019" spans="1:53" x14ac:dyDescent="0.25">
      <c r="A1019">
        <v>1014</v>
      </c>
      <c r="B1019" t="s">
        <v>1901</v>
      </c>
      <c r="C1019" t="s">
        <v>1902</v>
      </c>
      <c r="D1019" t="s">
        <v>1903</v>
      </c>
      <c r="E1019">
        <v>6</v>
      </c>
      <c r="F1019" t="s">
        <v>719</v>
      </c>
      <c r="G1019" t="s">
        <v>805</v>
      </c>
      <c r="H1019" t="s">
        <v>857</v>
      </c>
      <c r="I1019" t="s">
        <v>1701</v>
      </c>
      <c r="J1019" t="s">
        <v>1702</v>
      </c>
      <c r="K1019" t="s">
        <v>1703</v>
      </c>
      <c r="L1019" t="s">
        <v>725</v>
      </c>
      <c r="M1019">
        <v>4.4238500595092773</v>
      </c>
      <c r="N1019" t="s">
        <v>53</v>
      </c>
      <c r="O1019" t="s">
        <v>53</v>
      </c>
      <c r="P1019" t="s">
        <v>54</v>
      </c>
      <c r="Q1019" t="s">
        <v>53</v>
      </c>
      <c r="R1019" t="s">
        <v>53</v>
      </c>
      <c r="S1019" t="s">
        <v>810</v>
      </c>
      <c r="T1019" t="s">
        <v>1705</v>
      </c>
      <c r="U1019" t="s">
        <v>53</v>
      </c>
      <c r="V1019" t="s">
        <v>51</v>
      </c>
      <c r="W1019">
        <v>30000</v>
      </c>
      <c r="X1019" t="s">
        <v>54</v>
      </c>
      <c r="AA1019">
        <v>948</v>
      </c>
      <c r="AB1019">
        <v>709</v>
      </c>
      <c r="AC1019">
        <v>2004</v>
      </c>
      <c r="AD1019">
        <v>3069</v>
      </c>
      <c r="AE1019">
        <v>4153</v>
      </c>
      <c r="AF1019">
        <v>8</v>
      </c>
      <c r="AG1019">
        <v>1</v>
      </c>
      <c r="AH1019">
        <v>14.078611373901371</v>
      </c>
      <c r="AI1019">
        <v>1</v>
      </c>
      <c r="AJ1019">
        <v>1.550874590873718</v>
      </c>
      <c r="AK1019" t="s">
        <v>53</v>
      </c>
      <c r="AL1019" t="s">
        <v>54</v>
      </c>
      <c r="AP1019" t="s">
        <v>5451</v>
      </c>
      <c r="AQ1019" t="s">
        <v>54</v>
      </c>
      <c r="AT1019" t="s">
        <v>1864</v>
      </c>
      <c r="AW1019" t="s">
        <v>53</v>
      </c>
      <c r="AZ1019" t="s">
        <v>54</v>
      </c>
      <c r="BA1019" t="s">
        <v>729</v>
      </c>
    </row>
    <row r="1020" spans="1:53" x14ac:dyDescent="0.25">
      <c r="A1020">
        <v>1015</v>
      </c>
      <c r="B1020" t="s">
        <v>1904</v>
      </c>
      <c r="C1020" t="s">
        <v>1905</v>
      </c>
      <c r="D1020" t="s">
        <v>1906</v>
      </c>
      <c r="E1020">
        <v>6</v>
      </c>
      <c r="F1020" t="s">
        <v>719</v>
      </c>
      <c r="G1020" t="s">
        <v>805</v>
      </c>
      <c r="H1020" t="s">
        <v>857</v>
      </c>
      <c r="I1020" t="s">
        <v>1701</v>
      </c>
      <c r="J1020" t="s">
        <v>1702</v>
      </c>
      <c r="K1020" t="s">
        <v>1703</v>
      </c>
      <c r="L1020" t="s">
        <v>725</v>
      </c>
      <c r="M1020">
        <v>4.4238500595092773</v>
      </c>
      <c r="N1020" t="s">
        <v>53</v>
      </c>
      <c r="O1020" t="s">
        <v>53</v>
      </c>
      <c r="P1020" t="s">
        <v>54</v>
      </c>
      <c r="Q1020" t="s">
        <v>53</v>
      </c>
      <c r="R1020" t="s">
        <v>53</v>
      </c>
      <c r="S1020" t="s">
        <v>810</v>
      </c>
      <c r="T1020" t="s">
        <v>1705</v>
      </c>
      <c r="U1020" t="s">
        <v>53</v>
      </c>
      <c r="V1020" t="s">
        <v>51</v>
      </c>
      <c r="W1020">
        <v>30000</v>
      </c>
      <c r="X1020" t="s">
        <v>54</v>
      </c>
      <c r="AA1020">
        <v>948</v>
      </c>
      <c r="AB1020">
        <v>709</v>
      </c>
      <c r="AC1020">
        <v>2004</v>
      </c>
      <c r="AD1020">
        <v>3069</v>
      </c>
      <c r="AE1020">
        <v>4153</v>
      </c>
      <c r="AF1020">
        <v>8</v>
      </c>
      <c r="AG1020">
        <v>1</v>
      </c>
      <c r="AH1020">
        <v>14.078611373901371</v>
      </c>
      <c r="AI1020">
        <v>1</v>
      </c>
      <c r="AJ1020">
        <v>1.550874590873718</v>
      </c>
      <c r="AK1020" t="s">
        <v>53</v>
      </c>
      <c r="AL1020" t="s">
        <v>54</v>
      </c>
      <c r="AP1020" t="s">
        <v>5451</v>
      </c>
      <c r="AQ1020" t="s">
        <v>54</v>
      </c>
      <c r="AT1020" t="s">
        <v>1864</v>
      </c>
      <c r="AW1020" t="s">
        <v>53</v>
      </c>
      <c r="AZ1020" t="s">
        <v>54</v>
      </c>
      <c r="BA1020" t="s">
        <v>729</v>
      </c>
    </row>
    <row r="1021" spans="1:53" x14ac:dyDescent="0.25">
      <c r="A1021">
        <v>1016</v>
      </c>
      <c r="B1021" t="s">
        <v>1907</v>
      </c>
      <c r="C1021" t="s">
        <v>1908</v>
      </c>
      <c r="D1021" t="s">
        <v>1909</v>
      </c>
      <c r="E1021">
        <v>6</v>
      </c>
      <c r="F1021" t="s">
        <v>719</v>
      </c>
      <c r="G1021" t="s">
        <v>805</v>
      </c>
      <c r="H1021" t="s">
        <v>857</v>
      </c>
      <c r="I1021" t="s">
        <v>1701</v>
      </c>
      <c r="J1021" t="s">
        <v>1702</v>
      </c>
      <c r="K1021" t="s">
        <v>1703</v>
      </c>
      <c r="L1021" t="s">
        <v>725</v>
      </c>
      <c r="M1021">
        <v>4.4238500595092773</v>
      </c>
      <c r="N1021" t="s">
        <v>53</v>
      </c>
      <c r="O1021" t="s">
        <v>53</v>
      </c>
      <c r="P1021" t="s">
        <v>54</v>
      </c>
      <c r="Q1021" t="s">
        <v>53</v>
      </c>
      <c r="R1021" t="s">
        <v>53</v>
      </c>
      <c r="S1021" t="s">
        <v>810</v>
      </c>
      <c r="T1021" t="s">
        <v>1705</v>
      </c>
      <c r="U1021" t="s">
        <v>53</v>
      </c>
      <c r="V1021" t="s">
        <v>51</v>
      </c>
      <c r="W1021">
        <v>30000</v>
      </c>
      <c r="X1021" t="s">
        <v>54</v>
      </c>
      <c r="AA1021">
        <v>948</v>
      </c>
      <c r="AB1021">
        <v>709</v>
      </c>
      <c r="AC1021">
        <v>2004</v>
      </c>
      <c r="AD1021">
        <v>3069</v>
      </c>
      <c r="AE1021">
        <v>4153</v>
      </c>
      <c r="AF1021">
        <v>8</v>
      </c>
      <c r="AG1021">
        <v>1</v>
      </c>
      <c r="AH1021">
        <v>14.078611373901371</v>
      </c>
      <c r="AI1021">
        <v>1</v>
      </c>
      <c r="AJ1021">
        <v>1.550874590873718</v>
      </c>
      <c r="AK1021" t="s">
        <v>53</v>
      </c>
      <c r="AL1021" t="s">
        <v>54</v>
      </c>
      <c r="AP1021" t="s">
        <v>5451</v>
      </c>
      <c r="AQ1021" t="s">
        <v>54</v>
      </c>
      <c r="AT1021" t="s">
        <v>1864</v>
      </c>
      <c r="AW1021" t="s">
        <v>53</v>
      </c>
      <c r="AZ1021" t="s">
        <v>54</v>
      </c>
      <c r="BA1021" t="s">
        <v>729</v>
      </c>
    </row>
    <row r="1022" spans="1:53" x14ac:dyDescent="0.25">
      <c r="A1022">
        <v>1017</v>
      </c>
      <c r="B1022" t="s">
        <v>1910</v>
      </c>
      <c r="C1022" t="s">
        <v>1911</v>
      </c>
      <c r="D1022" t="s">
        <v>1912</v>
      </c>
      <c r="E1022">
        <v>6</v>
      </c>
      <c r="F1022" t="s">
        <v>719</v>
      </c>
      <c r="G1022" t="s">
        <v>805</v>
      </c>
      <c r="H1022" t="s">
        <v>806</v>
      </c>
      <c r="I1022" t="s">
        <v>1484</v>
      </c>
      <c r="J1022" t="s">
        <v>1913</v>
      </c>
      <c r="K1022" t="s">
        <v>1914</v>
      </c>
      <c r="L1022" t="s">
        <v>725</v>
      </c>
      <c r="M1022">
        <v>0.73629975318908691</v>
      </c>
      <c r="N1022" t="s">
        <v>53</v>
      </c>
      <c r="O1022" t="s">
        <v>53</v>
      </c>
      <c r="P1022" t="s">
        <v>54</v>
      </c>
      <c r="Q1022" t="s">
        <v>53</v>
      </c>
      <c r="R1022" t="s">
        <v>53</v>
      </c>
      <c r="S1022" t="s">
        <v>861</v>
      </c>
      <c r="T1022" t="s">
        <v>827</v>
      </c>
      <c r="U1022" t="s">
        <v>53</v>
      </c>
      <c r="V1022" t="s">
        <v>51</v>
      </c>
      <c r="W1022">
        <v>30000</v>
      </c>
      <c r="X1022" t="s">
        <v>54</v>
      </c>
      <c r="AA1022">
        <v>0</v>
      </c>
      <c r="AB1022">
        <v>0</v>
      </c>
      <c r="AC1022">
        <v>0</v>
      </c>
      <c r="AD1022">
        <v>0</v>
      </c>
      <c r="AE1022">
        <v>0</v>
      </c>
      <c r="AF1022">
        <v>0</v>
      </c>
      <c r="AK1022" t="s">
        <v>53</v>
      </c>
      <c r="AL1022" t="s">
        <v>54</v>
      </c>
      <c r="AP1022" t="s">
        <v>5451</v>
      </c>
      <c r="AQ1022" t="s">
        <v>54</v>
      </c>
      <c r="AT1022" t="s">
        <v>1407</v>
      </c>
      <c r="AW1022" t="s">
        <v>53</v>
      </c>
      <c r="AZ1022" t="s">
        <v>54</v>
      </c>
      <c r="BA1022" t="s">
        <v>729</v>
      </c>
    </row>
    <row r="1023" spans="1:53" x14ac:dyDescent="0.25">
      <c r="A1023">
        <v>1018</v>
      </c>
      <c r="B1023" t="s">
        <v>1915</v>
      </c>
      <c r="C1023" t="s">
        <v>1916</v>
      </c>
      <c r="D1023" t="s">
        <v>1917</v>
      </c>
      <c r="E1023">
        <v>6</v>
      </c>
      <c r="F1023" t="s">
        <v>719</v>
      </c>
      <c r="G1023" t="s">
        <v>805</v>
      </c>
      <c r="H1023" t="s">
        <v>1243</v>
      </c>
      <c r="I1023" t="s">
        <v>1244</v>
      </c>
      <c r="J1023" t="s">
        <v>1918</v>
      </c>
      <c r="K1023" t="s">
        <v>1919</v>
      </c>
      <c r="L1023" t="s">
        <v>725</v>
      </c>
      <c r="M1023">
        <v>0.30165201425552368</v>
      </c>
      <c r="N1023" t="s">
        <v>54</v>
      </c>
      <c r="O1023" t="s">
        <v>53</v>
      </c>
      <c r="P1023" t="s">
        <v>54</v>
      </c>
      <c r="Q1023" t="s">
        <v>53</v>
      </c>
      <c r="R1023" t="s">
        <v>53</v>
      </c>
      <c r="S1023" t="s">
        <v>861</v>
      </c>
      <c r="T1023" t="s">
        <v>1802</v>
      </c>
      <c r="U1023" t="s">
        <v>53</v>
      </c>
      <c r="V1023" t="s">
        <v>51</v>
      </c>
      <c r="W1023">
        <v>30000</v>
      </c>
      <c r="X1023" t="s">
        <v>54</v>
      </c>
      <c r="AA1023">
        <v>6</v>
      </c>
      <c r="AB1023">
        <v>6</v>
      </c>
      <c r="AC1023">
        <v>2</v>
      </c>
      <c r="AD1023">
        <v>7</v>
      </c>
      <c r="AE1023">
        <v>7</v>
      </c>
      <c r="AF1023">
        <v>0</v>
      </c>
      <c r="AG1023">
        <v>1</v>
      </c>
      <c r="AH1023">
        <v>0.34244820475578308</v>
      </c>
      <c r="AI1023">
        <v>1</v>
      </c>
      <c r="AK1023" t="s">
        <v>53</v>
      </c>
      <c r="AL1023" t="s">
        <v>54</v>
      </c>
      <c r="AP1023" t="s">
        <v>5451</v>
      </c>
      <c r="AQ1023" t="s">
        <v>54</v>
      </c>
      <c r="AT1023" t="s">
        <v>1407</v>
      </c>
      <c r="AW1023" t="s">
        <v>53</v>
      </c>
      <c r="AZ1023" t="s">
        <v>54</v>
      </c>
      <c r="BA1023" t="s">
        <v>729</v>
      </c>
    </row>
    <row r="1024" spans="1:53" x14ac:dyDescent="0.25">
      <c r="A1024">
        <v>1019</v>
      </c>
      <c r="B1024" t="s">
        <v>1928</v>
      </c>
      <c r="C1024" t="s">
        <v>1929</v>
      </c>
      <c r="D1024" t="s">
        <v>1930</v>
      </c>
      <c r="E1024">
        <v>6</v>
      </c>
      <c r="F1024" t="s">
        <v>719</v>
      </c>
      <c r="G1024" t="s">
        <v>805</v>
      </c>
      <c r="H1024" t="s">
        <v>1243</v>
      </c>
      <c r="I1024" t="s">
        <v>1428</v>
      </c>
      <c r="J1024" t="s">
        <v>1923</v>
      </c>
      <c r="K1024" t="s">
        <v>1924</v>
      </c>
      <c r="L1024" t="s">
        <v>725</v>
      </c>
      <c r="M1024">
        <v>10.96370315551758</v>
      </c>
      <c r="N1024" t="s">
        <v>54</v>
      </c>
      <c r="O1024" t="s">
        <v>53</v>
      </c>
      <c r="P1024" t="s">
        <v>53</v>
      </c>
      <c r="Q1024" t="s">
        <v>53</v>
      </c>
      <c r="R1024" t="s">
        <v>53</v>
      </c>
      <c r="S1024" t="s">
        <v>861</v>
      </c>
      <c r="T1024" t="s">
        <v>827</v>
      </c>
      <c r="U1024" t="s">
        <v>53</v>
      </c>
      <c r="V1024" t="s">
        <v>51</v>
      </c>
      <c r="W1024">
        <v>30000</v>
      </c>
      <c r="X1024" t="s">
        <v>54</v>
      </c>
      <c r="AA1024">
        <v>828</v>
      </c>
      <c r="AB1024">
        <v>581</v>
      </c>
      <c r="AC1024">
        <v>1048</v>
      </c>
      <c r="AD1024">
        <v>1833</v>
      </c>
      <c r="AE1024">
        <v>2443</v>
      </c>
      <c r="AF1024">
        <v>6</v>
      </c>
      <c r="AG1024">
        <v>5</v>
      </c>
      <c r="AH1024">
        <v>24.8491325378418</v>
      </c>
      <c r="AI1024">
        <v>5</v>
      </c>
      <c r="AJ1024">
        <v>55.808460235595703</v>
      </c>
      <c r="AK1024" t="s">
        <v>53</v>
      </c>
      <c r="AL1024" t="s">
        <v>54</v>
      </c>
      <c r="AP1024" t="s">
        <v>5451</v>
      </c>
      <c r="AQ1024" t="s">
        <v>54</v>
      </c>
      <c r="AT1024" t="s">
        <v>1407</v>
      </c>
      <c r="AW1024" t="s">
        <v>53</v>
      </c>
      <c r="AZ1024" t="s">
        <v>54</v>
      </c>
      <c r="BA1024" t="s">
        <v>729</v>
      </c>
    </row>
    <row r="1025" spans="1:53" x14ac:dyDescent="0.25">
      <c r="A1025">
        <v>1020</v>
      </c>
      <c r="B1025" t="s">
        <v>1931</v>
      </c>
      <c r="C1025" t="s">
        <v>1932</v>
      </c>
      <c r="D1025" t="s">
        <v>1933</v>
      </c>
      <c r="E1025">
        <v>6</v>
      </c>
      <c r="F1025" t="s">
        <v>719</v>
      </c>
      <c r="G1025" t="s">
        <v>805</v>
      </c>
      <c r="H1025" t="s">
        <v>1243</v>
      </c>
      <c r="I1025" t="s">
        <v>1428</v>
      </c>
      <c r="J1025" t="s">
        <v>1923</v>
      </c>
      <c r="K1025" t="s">
        <v>1924</v>
      </c>
      <c r="L1025" t="s">
        <v>725</v>
      </c>
      <c r="M1025">
        <v>10.96370315551758</v>
      </c>
      <c r="N1025" t="s">
        <v>54</v>
      </c>
      <c r="O1025" t="s">
        <v>53</v>
      </c>
      <c r="P1025" t="s">
        <v>53</v>
      </c>
      <c r="Q1025" t="s">
        <v>53</v>
      </c>
      <c r="R1025" t="s">
        <v>53</v>
      </c>
      <c r="S1025" t="s">
        <v>861</v>
      </c>
      <c r="T1025" t="s">
        <v>827</v>
      </c>
      <c r="U1025" t="s">
        <v>53</v>
      </c>
      <c r="V1025" t="s">
        <v>51</v>
      </c>
      <c r="W1025">
        <v>30000</v>
      </c>
      <c r="X1025" t="s">
        <v>54</v>
      </c>
      <c r="AA1025">
        <v>828</v>
      </c>
      <c r="AB1025">
        <v>581</v>
      </c>
      <c r="AC1025">
        <v>1048</v>
      </c>
      <c r="AD1025">
        <v>1833</v>
      </c>
      <c r="AE1025">
        <v>2443</v>
      </c>
      <c r="AF1025">
        <v>6</v>
      </c>
      <c r="AG1025">
        <v>5</v>
      </c>
      <c r="AH1025">
        <v>24.8491325378418</v>
      </c>
      <c r="AI1025">
        <v>5</v>
      </c>
      <c r="AJ1025">
        <v>55.808460235595703</v>
      </c>
      <c r="AK1025" t="s">
        <v>53</v>
      </c>
      <c r="AL1025" t="s">
        <v>54</v>
      </c>
      <c r="AP1025" t="s">
        <v>5451</v>
      </c>
      <c r="AQ1025" t="s">
        <v>54</v>
      </c>
      <c r="AT1025" t="s">
        <v>1407</v>
      </c>
      <c r="AW1025" t="s">
        <v>53</v>
      </c>
      <c r="AZ1025" t="s">
        <v>54</v>
      </c>
      <c r="BA1025" t="s">
        <v>729</v>
      </c>
    </row>
    <row r="1026" spans="1:53" x14ac:dyDescent="0.25">
      <c r="A1026">
        <v>1021</v>
      </c>
      <c r="B1026" t="s">
        <v>1934</v>
      </c>
      <c r="C1026" t="s">
        <v>1935</v>
      </c>
      <c r="D1026" t="s">
        <v>1936</v>
      </c>
      <c r="E1026">
        <v>6</v>
      </c>
      <c r="F1026" t="s">
        <v>719</v>
      </c>
      <c r="G1026" t="s">
        <v>805</v>
      </c>
      <c r="H1026" t="s">
        <v>1243</v>
      </c>
      <c r="I1026" t="s">
        <v>1428</v>
      </c>
      <c r="J1026" t="s">
        <v>1923</v>
      </c>
      <c r="K1026" t="s">
        <v>1924</v>
      </c>
      <c r="L1026" t="s">
        <v>725</v>
      </c>
      <c r="M1026">
        <v>10.96370315551758</v>
      </c>
      <c r="N1026" t="s">
        <v>54</v>
      </c>
      <c r="O1026" t="s">
        <v>53</v>
      </c>
      <c r="P1026" t="s">
        <v>53</v>
      </c>
      <c r="Q1026" t="s">
        <v>53</v>
      </c>
      <c r="R1026" t="s">
        <v>53</v>
      </c>
      <c r="S1026" t="s">
        <v>861</v>
      </c>
      <c r="T1026" t="s">
        <v>827</v>
      </c>
      <c r="U1026" t="s">
        <v>53</v>
      </c>
      <c r="V1026" t="s">
        <v>51</v>
      </c>
      <c r="W1026">
        <v>30000</v>
      </c>
      <c r="X1026" t="s">
        <v>54</v>
      </c>
      <c r="AA1026">
        <v>828</v>
      </c>
      <c r="AB1026">
        <v>581</v>
      </c>
      <c r="AC1026">
        <v>1048</v>
      </c>
      <c r="AD1026">
        <v>1833</v>
      </c>
      <c r="AE1026">
        <v>2443</v>
      </c>
      <c r="AF1026">
        <v>6</v>
      </c>
      <c r="AG1026">
        <v>5</v>
      </c>
      <c r="AH1026">
        <v>24.8491325378418</v>
      </c>
      <c r="AI1026">
        <v>5</v>
      </c>
      <c r="AJ1026">
        <v>55.808460235595703</v>
      </c>
      <c r="AK1026" t="s">
        <v>53</v>
      </c>
      <c r="AL1026" t="s">
        <v>54</v>
      </c>
      <c r="AP1026" t="s">
        <v>5451</v>
      </c>
      <c r="AQ1026" t="s">
        <v>54</v>
      </c>
      <c r="AT1026" t="s">
        <v>1407</v>
      </c>
      <c r="AW1026" t="s">
        <v>53</v>
      </c>
      <c r="AZ1026" t="s">
        <v>54</v>
      </c>
      <c r="BA1026" t="s">
        <v>729</v>
      </c>
    </row>
    <row r="1027" spans="1:53" x14ac:dyDescent="0.25">
      <c r="A1027">
        <v>1022</v>
      </c>
      <c r="B1027" t="s">
        <v>1937</v>
      </c>
      <c r="C1027" t="s">
        <v>1938</v>
      </c>
      <c r="D1027" t="s">
        <v>1939</v>
      </c>
      <c r="E1027">
        <v>6</v>
      </c>
      <c r="F1027" t="s">
        <v>719</v>
      </c>
      <c r="G1027" t="s">
        <v>805</v>
      </c>
      <c r="H1027" t="s">
        <v>795</v>
      </c>
      <c r="I1027" t="s">
        <v>849</v>
      </c>
      <c r="J1027" t="s">
        <v>850</v>
      </c>
      <c r="K1027" t="s">
        <v>851</v>
      </c>
      <c r="L1027" t="s">
        <v>725</v>
      </c>
      <c r="M1027">
        <v>1.1330107450485229</v>
      </c>
      <c r="N1027" t="s">
        <v>54</v>
      </c>
      <c r="O1027" t="s">
        <v>53</v>
      </c>
      <c r="P1027" t="s">
        <v>53</v>
      </c>
      <c r="Q1027" t="s">
        <v>53</v>
      </c>
      <c r="R1027" t="s">
        <v>53</v>
      </c>
      <c r="S1027" t="s">
        <v>861</v>
      </c>
      <c r="T1027" t="s">
        <v>1940</v>
      </c>
      <c r="U1027" t="s">
        <v>53</v>
      </c>
      <c r="V1027" t="s">
        <v>51</v>
      </c>
      <c r="W1027">
        <v>30000</v>
      </c>
      <c r="X1027" t="s">
        <v>54</v>
      </c>
      <c r="AA1027">
        <v>259</v>
      </c>
      <c r="AB1027">
        <v>234</v>
      </c>
      <c r="AC1027">
        <v>206</v>
      </c>
      <c r="AD1027">
        <v>562</v>
      </c>
      <c r="AE1027">
        <v>648</v>
      </c>
      <c r="AF1027">
        <v>7</v>
      </c>
      <c r="AG1027">
        <v>0</v>
      </c>
      <c r="AH1027">
        <v>5.095984935760498</v>
      </c>
      <c r="AI1027">
        <v>0</v>
      </c>
      <c r="AJ1027">
        <v>0.13703711330890661</v>
      </c>
      <c r="AK1027" t="s">
        <v>53</v>
      </c>
      <c r="AL1027" t="s">
        <v>54</v>
      </c>
      <c r="AP1027" t="s">
        <v>5451</v>
      </c>
      <c r="AQ1027" t="s">
        <v>54</v>
      </c>
      <c r="AT1027" t="s">
        <v>1407</v>
      </c>
      <c r="AW1027" t="s">
        <v>53</v>
      </c>
      <c r="AZ1027" t="s">
        <v>54</v>
      </c>
      <c r="BA1027" t="s">
        <v>729</v>
      </c>
    </row>
    <row r="1028" spans="1:53" x14ac:dyDescent="0.25">
      <c r="A1028">
        <v>1023</v>
      </c>
      <c r="B1028" t="s">
        <v>1941</v>
      </c>
      <c r="C1028" t="s">
        <v>1942</v>
      </c>
      <c r="D1028" t="s">
        <v>1943</v>
      </c>
      <c r="E1028">
        <v>6</v>
      </c>
      <c r="F1028" t="s">
        <v>719</v>
      </c>
      <c r="G1028" t="s">
        <v>805</v>
      </c>
      <c r="H1028" t="s">
        <v>1048</v>
      </c>
      <c r="I1028" t="s">
        <v>1944</v>
      </c>
      <c r="J1028" t="s">
        <v>1945</v>
      </c>
      <c r="K1028" t="s">
        <v>1946</v>
      </c>
      <c r="L1028" t="s">
        <v>725</v>
      </c>
      <c r="M1028">
        <v>79.44793701171875</v>
      </c>
      <c r="N1028" t="s">
        <v>54</v>
      </c>
      <c r="O1028" t="s">
        <v>53</v>
      </c>
      <c r="P1028" t="s">
        <v>54</v>
      </c>
      <c r="Q1028" t="s">
        <v>53</v>
      </c>
      <c r="R1028" t="s">
        <v>53</v>
      </c>
      <c r="S1028" t="s">
        <v>861</v>
      </c>
      <c r="T1028" t="s">
        <v>827</v>
      </c>
      <c r="U1028" t="s">
        <v>53</v>
      </c>
      <c r="V1028" t="s">
        <v>51</v>
      </c>
      <c r="W1028">
        <v>30000</v>
      </c>
      <c r="X1028" t="s">
        <v>54</v>
      </c>
      <c r="AA1028">
        <v>11098</v>
      </c>
      <c r="AB1028">
        <v>9581</v>
      </c>
      <c r="AC1028">
        <v>60414</v>
      </c>
      <c r="AD1028">
        <v>43026</v>
      </c>
      <c r="AE1028">
        <v>90865</v>
      </c>
      <c r="AF1028">
        <v>90</v>
      </c>
      <c r="AG1028">
        <v>0</v>
      </c>
      <c r="AH1028">
        <v>163.8038024902344</v>
      </c>
      <c r="AI1028">
        <v>0</v>
      </c>
      <c r="AJ1028">
        <v>24.30616569519043</v>
      </c>
      <c r="AK1028" t="s">
        <v>53</v>
      </c>
      <c r="AL1028" t="s">
        <v>54</v>
      </c>
      <c r="AP1028" t="s">
        <v>5451</v>
      </c>
      <c r="AQ1028" t="s">
        <v>54</v>
      </c>
      <c r="AT1028" t="s">
        <v>1407</v>
      </c>
      <c r="AW1028" t="s">
        <v>53</v>
      </c>
      <c r="AZ1028" t="s">
        <v>54</v>
      </c>
      <c r="BA1028" t="s">
        <v>729</v>
      </c>
    </row>
    <row r="1029" spans="1:53" x14ac:dyDescent="0.25">
      <c r="A1029">
        <v>1024</v>
      </c>
      <c r="B1029" t="s">
        <v>1947</v>
      </c>
      <c r="C1029" t="s">
        <v>1948</v>
      </c>
      <c r="D1029" t="s">
        <v>1949</v>
      </c>
      <c r="E1029">
        <v>6</v>
      </c>
      <c r="F1029" t="s">
        <v>719</v>
      </c>
      <c r="G1029" t="s">
        <v>805</v>
      </c>
      <c r="H1029" t="s">
        <v>857</v>
      </c>
      <c r="I1029" t="s">
        <v>858</v>
      </c>
      <c r="J1029" t="s">
        <v>859</v>
      </c>
      <c r="K1029" t="s">
        <v>860</v>
      </c>
      <c r="L1029" t="s">
        <v>725</v>
      </c>
      <c r="M1029">
        <v>0.75113236904144287</v>
      </c>
      <c r="N1029" t="s">
        <v>53</v>
      </c>
      <c r="O1029" t="s">
        <v>53</v>
      </c>
      <c r="P1029" t="s">
        <v>54</v>
      </c>
      <c r="Q1029" t="s">
        <v>53</v>
      </c>
      <c r="R1029" t="s">
        <v>53</v>
      </c>
      <c r="S1029" t="s">
        <v>861</v>
      </c>
      <c r="T1029" t="s">
        <v>862</v>
      </c>
      <c r="U1029" t="s">
        <v>53</v>
      </c>
      <c r="V1029" t="s">
        <v>51</v>
      </c>
      <c r="W1029">
        <v>30000</v>
      </c>
      <c r="X1029" t="s">
        <v>54</v>
      </c>
      <c r="AA1029">
        <v>215</v>
      </c>
      <c r="AB1029">
        <v>124</v>
      </c>
      <c r="AC1029">
        <v>395</v>
      </c>
      <c r="AD1029">
        <v>307</v>
      </c>
      <c r="AE1029">
        <v>604</v>
      </c>
      <c r="AF1029">
        <v>0</v>
      </c>
      <c r="AG1029">
        <v>0</v>
      </c>
      <c r="AH1029">
        <v>4.0904898643493652</v>
      </c>
      <c r="AI1029">
        <v>0</v>
      </c>
      <c r="AJ1029">
        <v>0.22162000834941861</v>
      </c>
      <c r="AK1029" t="s">
        <v>53</v>
      </c>
      <c r="AL1029" t="s">
        <v>54</v>
      </c>
      <c r="AP1029" t="s">
        <v>5451</v>
      </c>
      <c r="AQ1029" t="s">
        <v>54</v>
      </c>
      <c r="AT1029" t="s">
        <v>1407</v>
      </c>
      <c r="AW1029" t="s">
        <v>53</v>
      </c>
      <c r="AZ1029" t="s">
        <v>54</v>
      </c>
      <c r="BA1029" t="s">
        <v>729</v>
      </c>
    </row>
    <row r="1030" spans="1:53" x14ac:dyDescent="0.25">
      <c r="A1030">
        <v>1025</v>
      </c>
      <c r="B1030" t="s">
        <v>1950</v>
      </c>
      <c r="C1030" t="s">
        <v>1951</v>
      </c>
      <c r="D1030" t="s">
        <v>1952</v>
      </c>
      <c r="E1030">
        <v>6</v>
      </c>
      <c r="F1030" t="s">
        <v>719</v>
      </c>
      <c r="G1030" t="s">
        <v>805</v>
      </c>
      <c r="H1030" t="s">
        <v>857</v>
      </c>
      <c r="I1030" t="s">
        <v>858</v>
      </c>
      <c r="J1030" t="s">
        <v>859</v>
      </c>
      <c r="K1030" t="s">
        <v>860</v>
      </c>
      <c r="L1030" t="s">
        <v>725</v>
      </c>
      <c r="M1030">
        <v>2.014503002166748</v>
      </c>
      <c r="N1030" t="s">
        <v>53</v>
      </c>
      <c r="O1030" t="s">
        <v>53</v>
      </c>
      <c r="P1030" t="s">
        <v>54</v>
      </c>
      <c r="Q1030" t="s">
        <v>53</v>
      </c>
      <c r="R1030" t="s">
        <v>53</v>
      </c>
      <c r="S1030" t="s">
        <v>861</v>
      </c>
      <c r="T1030" t="s">
        <v>862</v>
      </c>
      <c r="U1030" t="s">
        <v>53</v>
      </c>
      <c r="V1030" t="s">
        <v>51</v>
      </c>
      <c r="W1030">
        <v>30000</v>
      </c>
      <c r="X1030" t="s">
        <v>54</v>
      </c>
      <c r="AK1030" t="s">
        <v>53</v>
      </c>
      <c r="AL1030" t="s">
        <v>54</v>
      </c>
      <c r="AP1030" t="s">
        <v>5451</v>
      </c>
      <c r="AQ1030" t="s">
        <v>54</v>
      </c>
      <c r="AT1030" t="s">
        <v>1407</v>
      </c>
      <c r="AW1030" t="s">
        <v>53</v>
      </c>
      <c r="AZ1030" t="s">
        <v>54</v>
      </c>
      <c r="BA1030" t="s">
        <v>729</v>
      </c>
    </row>
    <row r="1031" spans="1:53" x14ac:dyDescent="0.25">
      <c r="A1031">
        <v>1026</v>
      </c>
      <c r="B1031" t="s">
        <v>1953</v>
      </c>
      <c r="C1031" t="s">
        <v>1954</v>
      </c>
      <c r="D1031" t="s">
        <v>1955</v>
      </c>
      <c r="E1031">
        <v>6</v>
      </c>
      <c r="F1031" t="s">
        <v>719</v>
      </c>
      <c r="G1031" t="s">
        <v>848</v>
      </c>
      <c r="H1031" t="s">
        <v>795</v>
      </c>
      <c r="I1031" t="s">
        <v>849</v>
      </c>
      <c r="J1031" t="s">
        <v>850</v>
      </c>
      <c r="K1031" t="s">
        <v>851</v>
      </c>
      <c r="L1031" t="s">
        <v>725</v>
      </c>
      <c r="M1031">
        <v>0.49998554587364202</v>
      </c>
      <c r="N1031" t="s">
        <v>54</v>
      </c>
      <c r="O1031" t="s">
        <v>53</v>
      </c>
      <c r="P1031" t="s">
        <v>54</v>
      </c>
      <c r="Q1031" t="s">
        <v>53</v>
      </c>
      <c r="R1031" t="s">
        <v>53</v>
      </c>
      <c r="S1031" t="s">
        <v>861</v>
      </c>
      <c r="T1031" t="s">
        <v>1956</v>
      </c>
      <c r="U1031" t="s">
        <v>53</v>
      </c>
      <c r="V1031" t="s">
        <v>51</v>
      </c>
      <c r="W1031">
        <v>30000</v>
      </c>
      <c r="X1031" t="s">
        <v>54</v>
      </c>
      <c r="AA1031">
        <v>190</v>
      </c>
      <c r="AB1031">
        <v>185</v>
      </c>
      <c r="AC1031">
        <v>82</v>
      </c>
      <c r="AD1031">
        <v>390</v>
      </c>
      <c r="AE1031">
        <v>391</v>
      </c>
      <c r="AF1031">
        <v>0</v>
      </c>
      <c r="AG1031">
        <v>0</v>
      </c>
      <c r="AH1031">
        <v>2.7616868019103999</v>
      </c>
      <c r="AI1031">
        <v>0</v>
      </c>
      <c r="AJ1031">
        <v>0.41367971897125239</v>
      </c>
      <c r="AK1031" t="s">
        <v>53</v>
      </c>
      <c r="AL1031" t="s">
        <v>54</v>
      </c>
      <c r="AP1031" t="s">
        <v>5451</v>
      </c>
      <c r="AQ1031" t="s">
        <v>54</v>
      </c>
      <c r="AT1031" t="s">
        <v>1407</v>
      </c>
      <c r="AW1031" t="s">
        <v>53</v>
      </c>
      <c r="AZ1031" t="s">
        <v>54</v>
      </c>
      <c r="BA1031" t="s">
        <v>729</v>
      </c>
    </row>
    <row r="1032" spans="1:53" x14ac:dyDescent="0.25">
      <c r="A1032">
        <v>1027</v>
      </c>
      <c r="B1032" t="s">
        <v>1957</v>
      </c>
      <c r="C1032" t="s">
        <v>1958</v>
      </c>
      <c r="D1032" t="s">
        <v>1959</v>
      </c>
      <c r="E1032">
        <v>6</v>
      </c>
      <c r="F1032" t="s">
        <v>719</v>
      </c>
      <c r="G1032" t="s">
        <v>805</v>
      </c>
      <c r="H1032" t="s">
        <v>1048</v>
      </c>
      <c r="I1032" t="s">
        <v>1960</v>
      </c>
      <c r="J1032" t="s">
        <v>1961</v>
      </c>
      <c r="K1032" t="s">
        <v>1962</v>
      </c>
      <c r="L1032" t="s">
        <v>725</v>
      </c>
      <c r="M1032">
        <v>92.806159973144531</v>
      </c>
      <c r="N1032" t="s">
        <v>53</v>
      </c>
      <c r="O1032" t="s">
        <v>53</v>
      </c>
      <c r="P1032" t="s">
        <v>54</v>
      </c>
      <c r="Q1032" t="s">
        <v>53</v>
      </c>
      <c r="R1032" t="s">
        <v>53</v>
      </c>
      <c r="S1032" t="s">
        <v>861</v>
      </c>
      <c r="T1032" t="s">
        <v>827</v>
      </c>
      <c r="U1032" t="s">
        <v>53</v>
      </c>
      <c r="V1032" t="s">
        <v>51</v>
      </c>
      <c r="W1032">
        <v>30000</v>
      </c>
      <c r="X1032" t="s">
        <v>54</v>
      </c>
      <c r="AA1032">
        <v>2995</v>
      </c>
      <c r="AB1032">
        <v>2413</v>
      </c>
      <c r="AC1032">
        <v>10129</v>
      </c>
      <c r="AD1032">
        <v>11452</v>
      </c>
      <c r="AE1032">
        <v>18540</v>
      </c>
      <c r="AF1032">
        <v>53</v>
      </c>
      <c r="AG1032">
        <v>4</v>
      </c>
      <c r="AH1032">
        <v>59.859764099121087</v>
      </c>
      <c r="AI1032">
        <v>4</v>
      </c>
      <c r="AJ1032">
        <v>44.074214935302727</v>
      </c>
      <c r="AK1032" t="s">
        <v>53</v>
      </c>
      <c r="AL1032" t="s">
        <v>54</v>
      </c>
      <c r="AP1032" t="s">
        <v>5451</v>
      </c>
      <c r="AQ1032" t="s">
        <v>54</v>
      </c>
      <c r="AT1032" t="s">
        <v>1407</v>
      </c>
      <c r="AW1032" t="s">
        <v>53</v>
      </c>
      <c r="AZ1032" t="s">
        <v>54</v>
      </c>
      <c r="BA1032" t="s">
        <v>729</v>
      </c>
    </row>
    <row r="1033" spans="1:53" x14ac:dyDescent="0.25">
      <c r="A1033">
        <v>1028</v>
      </c>
      <c r="B1033" t="s">
        <v>1963</v>
      </c>
      <c r="C1033" t="s">
        <v>1964</v>
      </c>
      <c r="D1033" t="s">
        <v>1965</v>
      </c>
      <c r="E1033">
        <v>6</v>
      </c>
      <c r="F1033" t="s">
        <v>719</v>
      </c>
      <c r="G1033" t="s">
        <v>805</v>
      </c>
      <c r="H1033" t="s">
        <v>806</v>
      </c>
      <c r="I1033" t="s">
        <v>911</v>
      </c>
      <c r="J1033" t="s">
        <v>1966</v>
      </c>
      <c r="K1033" t="s">
        <v>1967</v>
      </c>
      <c r="L1033" t="s">
        <v>725</v>
      </c>
      <c r="M1033">
        <v>6.8975977897644043</v>
      </c>
      <c r="N1033" t="s">
        <v>54</v>
      </c>
      <c r="O1033" t="s">
        <v>53</v>
      </c>
      <c r="P1033" t="s">
        <v>54</v>
      </c>
      <c r="Q1033" t="s">
        <v>53</v>
      </c>
      <c r="R1033" t="s">
        <v>53</v>
      </c>
      <c r="S1033" t="s">
        <v>861</v>
      </c>
      <c r="T1033" t="s">
        <v>827</v>
      </c>
      <c r="U1033" t="s">
        <v>53</v>
      </c>
      <c r="V1033" t="s">
        <v>51</v>
      </c>
      <c r="W1033">
        <v>30000</v>
      </c>
      <c r="X1033" t="s">
        <v>54</v>
      </c>
      <c r="AA1033">
        <v>1174</v>
      </c>
      <c r="AB1033">
        <v>1074</v>
      </c>
      <c r="AC1033">
        <v>1997</v>
      </c>
      <c r="AD1033">
        <v>3836</v>
      </c>
      <c r="AE1033">
        <v>4852</v>
      </c>
      <c r="AF1033">
        <v>7</v>
      </c>
      <c r="AG1033">
        <v>0</v>
      </c>
      <c r="AH1033">
        <v>14.7971248626709</v>
      </c>
      <c r="AI1033">
        <v>0</v>
      </c>
      <c r="AJ1033">
        <v>4.9461574554443359</v>
      </c>
      <c r="AK1033" t="s">
        <v>53</v>
      </c>
      <c r="AL1033" t="s">
        <v>54</v>
      </c>
      <c r="AP1033" t="s">
        <v>5451</v>
      </c>
      <c r="AQ1033" t="s">
        <v>54</v>
      </c>
      <c r="AT1033" t="s">
        <v>1407</v>
      </c>
      <c r="AW1033" t="s">
        <v>53</v>
      </c>
      <c r="AZ1033" t="s">
        <v>54</v>
      </c>
      <c r="BA1033" t="s">
        <v>729</v>
      </c>
    </row>
    <row r="1034" spans="1:53" x14ac:dyDescent="0.25">
      <c r="A1034">
        <v>1029</v>
      </c>
      <c r="B1034" t="s">
        <v>1968</v>
      </c>
      <c r="C1034" t="s">
        <v>1969</v>
      </c>
      <c r="D1034" t="s">
        <v>1970</v>
      </c>
      <c r="E1034">
        <v>6</v>
      </c>
      <c r="F1034" t="s">
        <v>719</v>
      </c>
      <c r="G1034" t="s">
        <v>805</v>
      </c>
      <c r="H1034" t="s">
        <v>806</v>
      </c>
      <c r="I1034" t="s">
        <v>1385</v>
      </c>
      <c r="J1034" t="s">
        <v>1971</v>
      </c>
      <c r="K1034" t="s">
        <v>1972</v>
      </c>
      <c r="L1034" t="s">
        <v>725</v>
      </c>
      <c r="M1034">
        <v>44.405052185058587</v>
      </c>
      <c r="N1034" t="s">
        <v>54</v>
      </c>
      <c r="O1034" t="s">
        <v>53</v>
      </c>
      <c r="P1034" t="s">
        <v>54</v>
      </c>
      <c r="Q1034" t="s">
        <v>53</v>
      </c>
      <c r="R1034" t="s">
        <v>53</v>
      </c>
      <c r="S1034" t="s">
        <v>861</v>
      </c>
      <c r="T1034" t="s">
        <v>827</v>
      </c>
      <c r="U1034" t="s">
        <v>53</v>
      </c>
      <c r="V1034" t="s">
        <v>1973</v>
      </c>
      <c r="W1034">
        <v>30000</v>
      </c>
      <c r="X1034" t="s">
        <v>54</v>
      </c>
      <c r="AA1034">
        <v>12422</v>
      </c>
      <c r="AB1034">
        <v>10065</v>
      </c>
      <c r="AC1034">
        <v>18324</v>
      </c>
      <c r="AD1034">
        <v>34403</v>
      </c>
      <c r="AE1034">
        <v>43171</v>
      </c>
      <c r="AF1034">
        <v>98</v>
      </c>
      <c r="AG1034">
        <v>7</v>
      </c>
      <c r="AH1034">
        <v>121.9914245605469</v>
      </c>
      <c r="AI1034">
        <v>7</v>
      </c>
      <c r="AJ1034">
        <v>9.6442432403564453</v>
      </c>
      <c r="AK1034" t="s">
        <v>53</v>
      </c>
      <c r="AL1034" t="s">
        <v>54</v>
      </c>
      <c r="AP1034" t="s">
        <v>5451</v>
      </c>
      <c r="AQ1034" t="s">
        <v>54</v>
      </c>
      <c r="AT1034" t="s">
        <v>1407</v>
      </c>
      <c r="AW1034" t="s">
        <v>53</v>
      </c>
      <c r="AZ1034" t="s">
        <v>54</v>
      </c>
      <c r="BA1034" t="s">
        <v>729</v>
      </c>
    </row>
    <row r="1035" spans="1:53" x14ac:dyDescent="0.25">
      <c r="A1035">
        <v>1030</v>
      </c>
      <c r="B1035" t="s">
        <v>1974</v>
      </c>
      <c r="C1035" t="s">
        <v>1975</v>
      </c>
      <c r="D1035" t="s">
        <v>1976</v>
      </c>
      <c r="E1035">
        <v>6</v>
      </c>
      <c r="F1035" t="s">
        <v>719</v>
      </c>
      <c r="G1035" t="s">
        <v>1073</v>
      </c>
      <c r="H1035" t="s">
        <v>806</v>
      </c>
      <c r="I1035" t="s">
        <v>1977</v>
      </c>
      <c r="J1035" t="s">
        <v>1978</v>
      </c>
      <c r="K1035" t="s">
        <v>1979</v>
      </c>
      <c r="L1035" t="s">
        <v>725</v>
      </c>
      <c r="M1035">
        <v>46.099246978759773</v>
      </c>
      <c r="N1035" t="s">
        <v>54</v>
      </c>
      <c r="O1035" t="s">
        <v>53</v>
      </c>
      <c r="P1035" t="s">
        <v>53</v>
      </c>
      <c r="Q1035" t="s">
        <v>53</v>
      </c>
      <c r="R1035" t="s">
        <v>53</v>
      </c>
      <c r="S1035" t="s">
        <v>1980</v>
      </c>
      <c r="T1035" t="s">
        <v>1981</v>
      </c>
      <c r="U1035" t="s">
        <v>53</v>
      </c>
      <c r="V1035" t="s">
        <v>51</v>
      </c>
      <c r="W1035">
        <v>30000</v>
      </c>
      <c r="X1035" t="s">
        <v>54</v>
      </c>
      <c r="AA1035">
        <v>404</v>
      </c>
      <c r="AB1035">
        <v>288</v>
      </c>
      <c r="AC1035">
        <v>992</v>
      </c>
      <c r="AD1035">
        <v>651</v>
      </c>
      <c r="AE1035">
        <v>1450</v>
      </c>
      <c r="AF1035">
        <v>10</v>
      </c>
      <c r="AG1035">
        <v>2</v>
      </c>
      <c r="AH1035">
        <v>8.4666957855224609</v>
      </c>
      <c r="AI1035">
        <v>2</v>
      </c>
      <c r="AJ1035">
        <v>80.03497314453125</v>
      </c>
      <c r="AK1035" t="s">
        <v>53</v>
      </c>
      <c r="AL1035" t="s">
        <v>53</v>
      </c>
      <c r="AP1035" t="s">
        <v>5451</v>
      </c>
      <c r="AQ1035" t="s">
        <v>54</v>
      </c>
      <c r="AT1035" t="s">
        <v>0</v>
      </c>
      <c r="AW1035" t="s">
        <v>53</v>
      </c>
      <c r="AZ1035" t="s">
        <v>54</v>
      </c>
      <c r="BA1035" t="s">
        <v>729</v>
      </c>
    </row>
    <row r="1036" spans="1:53" x14ac:dyDescent="0.25">
      <c r="A1036">
        <v>1031</v>
      </c>
      <c r="B1036" t="s">
        <v>1991</v>
      </c>
      <c r="C1036" t="s">
        <v>1992</v>
      </c>
      <c r="D1036" t="s">
        <v>1993</v>
      </c>
      <c r="E1036">
        <v>6</v>
      </c>
      <c r="F1036" t="s">
        <v>719</v>
      </c>
      <c r="G1036" t="s">
        <v>805</v>
      </c>
      <c r="H1036" t="s">
        <v>1048</v>
      </c>
      <c r="I1036" t="s">
        <v>1960</v>
      </c>
      <c r="J1036" t="s">
        <v>1961</v>
      </c>
      <c r="K1036" t="s">
        <v>1962</v>
      </c>
      <c r="L1036" t="s">
        <v>725</v>
      </c>
      <c r="M1036">
        <v>92.806159973144531</v>
      </c>
      <c r="N1036" t="s">
        <v>54</v>
      </c>
      <c r="O1036" t="s">
        <v>53</v>
      </c>
      <c r="P1036" t="s">
        <v>54</v>
      </c>
      <c r="Q1036" t="s">
        <v>53</v>
      </c>
      <c r="R1036" t="s">
        <v>53</v>
      </c>
      <c r="S1036" t="s">
        <v>861</v>
      </c>
      <c r="T1036" t="s">
        <v>827</v>
      </c>
      <c r="U1036" t="s">
        <v>53</v>
      </c>
      <c r="V1036" t="s">
        <v>51</v>
      </c>
      <c r="W1036">
        <v>30000</v>
      </c>
      <c r="X1036" t="s">
        <v>54</v>
      </c>
      <c r="AA1036">
        <v>2995</v>
      </c>
      <c r="AB1036">
        <v>2413</v>
      </c>
      <c r="AC1036">
        <v>10129</v>
      </c>
      <c r="AD1036">
        <v>11452</v>
      </c>
      <c r="AE1036">
        <v>18540</v>
      </c>
      <c r="AF1036">
        <v>53</v>
      </c>
      <c r="AG1036">
        <v>4</v>
      </c>
      <c r="AH1036">
        <v>59.859764099121087</v>
      </c>
      <c r="AI1036">
        <v>4</v>
      </c>
      <c r="AJ1036">
        <v>44.074214935302727</v>
      </c>
      <c r="AK1036" t="s">
        <v>53</v>
      </c>
      <c r="AL1036" t="s">
        <v>54</v>
      </c>
      <c r="AP1036" t="s">
        <v>5451</v>
      </c>
      <c r="AQ1036" t="s">
        <v>54</v>
      </c>
      <c r="AT1036" t="s">
        <v>1407</v>
      </c>
      <c r="AW1036" t="s">
        <v>53</v>
      </c>
      <c r="AZ1036" t="s">
        <v>54</v>
      </c>
      <c r="BA1036" t="s">
        <v>729</v>
      </c>
    </row>
    <row r="1037" spans="1:53" x14ac:dyDescent="0.25">
      <c r="A1037">
        <v>1032</v>
      </c>
      <c r="B1037" t="s">
        <v>1994</v>
      </c>
      <c r="C1037" t="s">
        <v>1995</v>
      </c>
      <c r="D1037" t="s">
        <v>1996</v>
      </c>
      <c r="E1037">
        <v>6</v>
      </c>
      <c r="F1037" t="s">
        <v>719</v>
      </c>
      <c r="G1037" t="s">
        <v>805</v>
      </c>
      <c r="H1037" t="s">
        <v>1048</v>
      </c>
      <c r="I1037" t="s">
        <v>1997</v>
      </c>
      <c r="J1037" t="s">
        <v>1998</v>
      </c>
      <c r="K1037" t="s">
        <v>1999</v>
      </c>
      <c r="L1037" t="s">
        <v>725</v>
      </c>
      <c r="M1037">
        <v>118.3624649047852</v>
      </c>
      <c r="N1037" t="s">
        <v>54</v>
      </c>
      <c r="O1037" t="s">
        <v>53</v>
      </c>
      <c r="P1037" t="s">
        <v>54</v>
      </c>
      <c r="Q1037" t="s">
        <v>53</v>
      </c>
      <c r="R1037" t="s">
        <v>53</v>
      </c>
      <c r="S1037" t="s">
        <v>861</v>
      </c>
      <c r="T1037" t="s">
        <v>827</v>
      </c>
      <c r="U1037" t="s">
        <v>53</v>
      </c>
      <c r="V1037" t="s">
        <v>51</v>
      </c>
      <c r="W1037">
        <v>30000</v>
      </c>
      <c r="X1037" t="s">
        <v>54</v>
      </c>
      <c r="AA1037">
        <v>4100</v>
      </c>
      <c r="AB1037">
        <v>3398</v>
      </c>
      <c r="AC1037">
        <v>11611</v>
      </c>
      <c r="AD1037">
        <v>14049</v>
      </c>
      <c r="AE1037">
        <v>21959</v>
      </c>
      <c r="AF1037">
        <v>73</v>
      </c>
      <c r="AG1037">
        <v>3</v>
      </c>
      <c r="AH1037">
        <v>80.19732666015625</v>
      </c>
      <c r="AI1037">
        <v>3</v>
      </c>
      <c r="AJ1037">
        <v>75.164703369140625</v>
      </c>
      <c r="AK1037" t="s">
        <v>53</v>
      </c>
      <c r="AL1037" t="s">
        <v>54</v>
      </c>
      <c r="AP1037" t="s">
        <v>5451</v>
      </c>
      <c r="AQ1037" t="s">
        <v>54</v>
      </c>
      <c r="AT1037" t="s">
        <v>1407</v>
      </c>
      <c r="AW1037" t="s">
        <v>53</v>
      </c>
      <c r="AZ1037" t="s">
        <v>54</v>
      </c>
      <c r="BA1037" t="s">
        <v>729</v>
      </c>
    </row>
    <row r="1038" spans="1:53" x14ac:dyDescent="0.25">
      <c r="A1038">
        <v>1033</v>
      </c>
      <c r="B1038" t="s">
        <v>2000</v>
      </c>
      <c r="C1038" t="s">
        <v>2001</v>
      </c>
      <c r="D1038" t="s">
        <v>2002</v>
      </c>
      <c r="E1038">
        <v>6</v>
      </c>
      <c r="F1038" t="s">
        <v>719</v>
      </c>
      <c r="G1038" t="s">
        <v>805</v>
      </c>
      <c r="H1038" t="s">
        <v>1243</v>
      </c>
      <c r="I1038" t="s">
        <v>1428</v>
      </c>
      <c r="J1038" t="s">
        <v>2003</v>
      </c>
      <c r="K1038" t="s">
        <v>2004</v>
      </c>
      <c r="L1038" t="s">
        <v>725</v>
      </c>
      <c r="M1038">
        <v>52.098533630371087</v>
      </c>
      <c r="N1038" t="s">
        <v>54</v>
      </c>
      <c r="O1038" t="s">
        <v>53</v>
      </c>
      <c r="P1038" t="s">
        <v>53</v>
      </c>
      <c r="Q1038" t="s">
        <v>53</v>
      </c>
      <c r="R1038" t="s">
        <v>53</v>
      </c>
      <c r="S1038" t="s">
        <v>861</v>
      </c>
      <c r="T1038" t="s">
        <v>827</v>
      </c>
      <c r="U1038" t="s">
        <v>53</v>
      </c>
      <c r="V1038" t="s">
        <v>51</v>
      </c>
      <c r="W1038">
        <v>30000</v>
      </c>
      <c r="X1038" t="s">
        <v>54</v>
      </c>
      <c r="AA1038">
        <v>1213</v>
      </c>
      <c r="AB1038">
        <v>1029</v>
      </c>
      <c r="AC1038">
        <v>830</v>
      </c>
      <c r="AD1038">
        <v>2734</v>
      </c>
      <c r="AE1038">
        <v>2896</v>
      </c>
      <c r="AF1038">
        <v>15</v>
      </c>
      <c r="AG1038">
        <v>4</v>
      </c>
      <c r="AH1038">
        <v>18.589902877807621</v>
      </c>
      <c r="AI1038">
        <v>4</v>
      </c>
      <c r="AJ1038">
        <v>192.01753234863281</v>
      </c>
      <c r="AK1038" t="s">
        <v>53</v>
      </c>
      <c r="AL1038" t="s">
        <v>54</v>
      </c>
      <c r="AP1038" t="s">
        <v>5451</v>
      </c>
      <c r="AQ1038" t="s">
        <v>54</v>
      </c>
      <c r="AT1038" t="s">
        <v>1407</v>
      </c>
      <c r="AW1038" t="s">
        <v>53</v>
      </c>
      <c r="AZ1038" t="s">
        <v>54</v>
      </c>
      <c r="BA1038" t="s">
        <v>729</v>
      </c>
    </row>
    <row r="1039" spans="1:53" x14ac:dyDescent="0.25">
      <c r="A1039">
        <v>1034</v>
      </c>
      <c r="B1039" t="s">
        <v>2005</v>
      </c>
      <c r="C1039" t="s">
        <v>2006</v>
      </c>
      <c r="D1039" t="s">
        <v>2007</v>
      </c>
      <c r="E1039">
        <v>6</v>
      </c>
      <c r="F1039" t="s">
        <v>719</v>
      </c>
      <c r="G1039" t="s">
        <v>2008</v>
      </c>
      <c r="H1039" t="s">
        <v>1209</v>
      </c>
      <c r="I1039" t="s">
        <v>2009</v>
      </c>
      <c r="J1039" t="s">
        <v>2010</v>
      </c>
      <c r="K1039" t="s">
        <v>2011</v>
      </c>
      <c r="L1039" t="s">
        <v>725</v>
      </c>
      <c r="M1039">
        <v>26.752206802368161</v>
      </c>
      <c r="N1039" t="s">
        <v>54</v>
      </c>
      <c r="O1039" t="s">
        <v>53</v>
      </c>
      <c r="P1039" t="s">
        <v>53</v>
      </c>
      <c r="Q1039" t="s">
        <v>53</v>
      </c>
      <c r="R1039" t="s">
        <v>53</v>
      </c>
      <c r="S1039" t="s">
        <v>861</v>
      </c>
      <c r="T1039" t="s">
        <v>827</v>
      </c>
      <c r="U1039" t="s">
        <v>53</v>
      </c>
      <c r="V1039" t="s">
        <v>51</v>
      </c>
      <c r="W1039">
        <v>30000</v>
      </c>
      <c r="X1039" t="s">
        <v>54</v>
      </c>
      <c r="AA1039">
        <v>3464</v>
      </c>
      <c r="AB1039">
        <v>3027</v>
      </c>
      <c r="AC1039">
        <v>10310</v>
      </c>
      <c r="AD1039">
        <v>10058</v>
      </c>
      <c r="AE1039">
        <v>17400</v>
      </c>
      <c r="AF1039">
        <v>54</v>
      </c>
      <c r="AG1039">
        <v>2</v>
      </c>
      <c r="AH1039">
        <v>60.609878540039063</v>
      </c>
      <c r="AI1039">
        <v>2</v>
      </c>
      <c r="AJ1039">
        <v>9.4893770217895508</v>
      </c>
      <c r="AK1039" t="s">
        <v>53</v>
      </c>
      <c r="AL1039" t="s">
        <v>54</v>
      </c>
      <c r="AP1039" t="s">
        <v>5451</v>
      </c>
      <c r="AQ1039" t="s">
        <v>54</v>
      </c>
      <c r="AT1039" t="s">
        <v>1407</v>
      </c>
      <c r="AW1039" t="s">
        <v>53</v>
      </c>
      <c r="AZ1039" t="s">
        <v>54</v>
      </c>
      <c r="BA1039" t="s">
        <v>729</v>
      </c>
    </row>
    <row r="1040" spans="1:53" x14ac:dyDescent="0.25">
      <c r="A1040">
        <v>1035</v>
      </c>
      <c r="B1040" t="s">
        <v>2012</v>
      </c>
      <c r="C1040" t="s">
        <v>2013</v>
      </c>
      <c r="D1040" t="s">
        <v>2014</v>
      </c>
      <c r="E1040">
        <v>6</v>
      </c>
      <c r="F1040" t="s">
        <v>719</v>
      </c>
      <c r="G1040" t="s">
        <v>805</v>
      </c>
      <c r="H1040" t="s">
        <v>1209</v>
      </c>
      <c r="I1040" t="s">
        <v>2009</v>
      </c>
      <c r="J1040" t="s">
        <v>2010</v>
      </c>
      <c r="K1040" t="s">
        <v>2011</v>
      </c>
      <c r="L1040" t="s">
        <v>725</v>
      </c>
      <c r="M1040">
        <v>21.653692245483398</v>
      </c>
      <c r="N1040" t="s">
        <v>54</v>
      </c>
      <c r="O1040" t="s">
        <v>53</v>
      </c>
      <c r="P1040" t="s">
        <v>53</v>
      </c>
      <c r="Q1040" t="s">
        <v>53</v>
      </c>
      <c r="R1040" t="s">
        <v>53</v>
      </c>
      <c r="S1040" t="s">
        <v>861</v>
      </c>
      <c r="T1040" t="s">
        <v>827</v>
      </c>
      <c r="U1040" t="s">
        <v>53</v>
      </c>
      <c r="V1040" t="s">
        <v>51</v>
      </c>
      <c r="W1040">
        <v>30000</v>
      </c>
      <c r="X1040" t="s">
        <v>54</v>
      </c>
      <c r="AA1040">
        <v>3223</v>
      </c>
      <c r="AB1040">
        <v>2962</v>
      </c>
      <c r="AC1040">
        <v>9252</v>
      </c>
      <c r="AD1040">
        <v>9865</v>
      </c>
      <c r="AE1040">
        <v>16230</v>
      </c>
      <c r="AF1040">
        <v>47</v>
      </c>
      <c r="AG1040">
        <v>2</v>
      </c>
      <c r="AH1040">
        <v>57.873943328857422</v>
      </c>
      <c r="AI1040">
        <v>2</v>
      </c>
      <c r="AJ1040">
        <v>8.8642988204956055</v>
      </c>
      <c r="AK1040" t="s">
        <v>53</v>
      </c>
      <c r="AL1040" t="s">
        <v>54</v>
      </c>
      <c r="AP1040" t="s">
        <v>5451</v>
      </c>
      <c r="AQ1040" t="s">
        <v>54</v>
      </c>
      <c r="AT1040" t="s">
        <v>1407</v>
      </c>
      <c r="AW1040" t="s">
        <v>53</v>
      </c>
      <c r="AZ1040" t="s">
        <v>54</v>
      </c>
      <c r="BA1040" t="s">
        <v>729</v>
      </c>
    </row>
    <row r="1041" spans="1:53" x14ac:dyDescent="0.25">
      <c r="A1041">
        <v>1036</v>
      </c>
      <c r="B1041" t="s">
        <v>2015</v>
      </c>
      <c r="C1041" t="s">
        <v>2016</v>
      </c>
      <c r="D1041" t="s">
        <v>2017</v>
      </c>
      <c r="E1041">
        <v>6</v>
      </c>
      <c r="F1041" t="s">
        <v>719</v>
      </c>
      <c r="G1041" t="s">
        <v>805</v>
      </c>
      <c r="H1041" t="s">
        <v>1510</v>
      </c>
      <c r="I1041" t="s">
        <v>2018</v>
      </c>
      <c r="J1041" t="s">
        <v>2019</v>
      </c>
      <c r="K1041" t="s">
        <v>2020</v>
      </c>
      <c r="L1041" t="s">
        <v>725</v>
      </c>
      <c r="M1041">
        <v>0.22779996693134311</v>
      </c>
      <c r="N1041" t="s">
        <v>54</v>
      </c>
      <c r="O1041" t="s">
        <v>53</v>
      </c>
      <c r="P1041" t="s">
        <v>53</v>
      </c>
      <c r="Q1041" t="s">
        <v>53</v>
      </c>
      <c r="R1041" t="s">
        <v>53</v>
      </c>
      <c r="S1041" t="s">
        <v>861</v>
      </c>
      <c r="T1041" t="s">
        <v>827</v>
      </c>
      <c r="U1041" t="s">
        <v>53</v>
      </c>
      <c r="V1041" t="s">
        <v>51</v>
      </c>
      <c r="W1041">
        <v>30000</v>
      </c>
      <c r="X1041" t="s">
        <v>54</v>
      </c>
      <c r="AK1041" t="s">
        <v>53</v>
      </c>
      <c r="AL1041" t="s">
        <v>54</v>
      </c>
      <c r="AP1041" t="s">
        <v>5451</v>
      </c>
      <c r="AQ1041" t="s">
        <v>54</v>
      </c>
      <c r="AT1041" t="s">
        <v>1407</v>
      </c>
      <c r="AW1041" t="s">
        <v>53</v>
      </c>
      <c r="AZ1041" t="s">
        <v>54</v>
      </c>
      <c r="BA1041" t="s">
        <v>729</v>
      </c>
    </row>
    <row r="1042" spans="1:53" x14ac:dyDescent="0.25">
      <c r="A1042">
        <v>1037</v>
      </c>
      <c r="B1042" t="s">
        <v>2021</v>
      </c>
      <c r="C1042" t="s">
        <v>2022</v>
      </c>
      <c r="D1042" t="s">
        <v>2023</v>
      </c>
      <c r="E1042">
        <v>6</v>
      </c>
      <c r="F1042" t="s">
        <v>719</v>
      </c>
      <c r="G1042" t="s">
        <v>805</v>
      </c>
      <c r="H1042" t="s">
        <v>1510</v>
      </c>
      <c r="I1042" t="s">
        <v>2018</v>
      </c>
      <c r="J1042" t="s">
        <v>2019</v>
      </c>
      <c r="K1042" t="s">
        <v>2020</v>
      </c>
      <c r="L1042" t="s">
        <v>725</v>
      </c>
      <c r="M1042">
        <v>0.22779996693134311</v>
      </c>
      <c r="N1042" t="s">
        <v>54</v>
      </c>
      <c r="O1042" t="s">
        <v>53</v>
      </c>
      <c r="P1042" t="s">
        <v>53</v>
      </c>
      <c r="Q1042" t="s">
        <v>53</v>
      </c>
      <c r="R1042" t="s">
        <v>53</v>
      </c>
      <c r="S1042" t="s">
        <v>861</v>
      </c>
      <c r="T1042" t="s">
        <v>827</v>
      </c>
      <c r="U1042" t="s">
        <v>53</v>
      </c>
      <c r="V1042" t="s">
        <v>51</v>
      </c>
      <c r="W1042">
        <v>30000</v>
      </c>
      <c r="X1042" t="s">
        <v>54</v>
      </c>
      <c r="AK1042" t="s">
        <v>53</v>
      </c>
      <c r="AL1042" t="s">
        <v>54</v>
      </c>
      <c r="AP1042" t="s">
        <v>5451</v>
      </c>
      <c r="AQ1042" t="s">
        <v>54</v>
      </c>
      <c r="AT1042" t="s">
        <v>1407</v>
      </c>
      <c r="AW1042" t="s">
        <v>53</v>
      </c>
      <c r="AZ1042" t="s">
        <v>54</v>
      </c>
      <c r="BA1042" t="s">
        <v>729</v>
      </c>
    </row>
    <row r="1043" spans="1:53" x14ac:dyDescent="0.25">
      <c r="A1043">
        <v>1038</v>
      </c>
      <c r="B1043" t="s">
        <v>2024</v>
      </c>
      <c r="C1043" t="s">
        <v>2025</v>
      </c>
      <c r="D1043" t="s">
        <v>2026</v>
      </c>
      <c r="E1043">
        <v>6</v>
      </c>
      <c r="F1043" t="s">
        <v>719</v>
      </c>
      <c r="G1043" t="s">
        <v>805</v>
      </c>
      <c r="H1043" t="s">
        <v>806</v>
      </c>
      <c r="I1043" t="s">
        <v>2027</v>
      </c>
      <c r="J1043" t="s">
        <v>2028</v>
      </c>
      <c r="K1043" t="s">
        <v>2029</v>
      </c>
      <c r="L1043" t="s">
        <v>725</v>
      </c>
      <c r="M1043">
        <v>1.3922673463821409</v>
      </c>
      <c r="N1043" t="s">
        <v>53</v>
      </c>
      <c r="O1043" t="s">
        <v>53</v>
      </c>
      <c r="P1043" t="s">
        <v>54</v>
      </c>
      <c r="Q1043" t="s">
        <v>53</v>
      </c>
      <c r="R1043" t="s">
        <v>53</v>
      </c>
      <c r="S1043" t="s">
        <v>861</v>
      </c>
      <c r="T1043" t="s">
        <v>827</v>
      </c>
      <c r="U1043" t="s">
        <v>53</v>
      </c>
      <c r="V1043" t="s">
        <v>51</v>
      </c>
      <c r="W1043">
        <v>30000</v>
      </c>
      <c r="X1043" t="s">
        <v>54</v>
      </c>
      <c r="AA1043">
        <v>0</v>
      </c>
      <c r="AB1043">
        <v>0</v>
      </c>
      <c r="AC1043">
        <v>0</v>
      </c>
      <c r="AD1043">
        <v>0</v>
      </c>
      <c r="AE1043">
        <v>0</v>
      </c>
      <c r="AF1043">
        <v>0</v>
      </c>
      <c r="AK1043" t="s">
        <v>53</v>
      </c>
      <c r="AL1043" t="s">
        <v>54</v>
      </c>
      <c r="AP1043" t="s">
        <v>5451</v>
      </c>
      <c r="AQ1043" t="s">
        <v>54</v>
      </c>
      <c r="AT1043" t="s">
        <v>1407</v>
      </c>
      <c r="AW1043" t="s">
        <v>53</v>
      </c>
      <c r="AZ1043" t="s">
        <v>54</v>
      </c>
      <c r="BA1043" t="s">
        <v>729</v>
      </c>
    </row>
    <row r="1044" spans="1:53" x14ac:dyDescent="0.25">
      <c r="A1044">
        <v>1039</v>
      </c>
      <c r="B1044" t="s">
        <v>2030</v>
      </c>
      <c r="C1044" t="s">
        <v>2031</v>
      </c>
      <c r="D1044" t="s">
        <v>2032</v>
      </c>
      <c r="E1044">
        <v>6</v>
      </c>
      <c r="F1044" t="s">
        <v>719</v>
      </c>
      <c r="G1044" t="s">
        <v>805</v>
      </c>
      <c r="H1044" t="s">
        <v>806</v>
      </c>
      <c r="I1044" t="s">
        <v>1442</v>
      </c>
      <c r="J1044" t="s">
        <v>2033</v>
      </c>
      <c r="K1044" t="s">
        <v>2034</v>
      </c>
      <c r="L1044" t="s">
        <v>725</v>
      </c>
      <c r="M1044">
        <v>1.0199241638183589</v>
      </c>
      <c r="N1044" t="s">
        <v>54</v>
      </c>
      <c r="O1044" t="s">
        <v>53</v>
      </c>
      <c r="P1044" t="s">
        <v>54</v>
      </c>
      <c r="Q1044" t="s">
        <v>53</v>
      </c>
      <c r="R1044" t="s">
        <v>53</v>
      </c>
      <c r="S1044" t="s">
        <v>861</v>
      </c>
      <c r="T1044" t="s">
        <v>819</v>
      </c>
      <c r="U1044" t="s">
        <v>53</v>
      </c>
      <c r="V1044" t="s">
        <v>51</v>
      </c>
      <c r="W1044">
        <v>30000</v>
      </c>
      <c r="X1044" t="s">
        <v>54</v>
      </c>
      <c r="AA1044">
        <v>7</v>
      </c>
      <c r="AB1044">
        <v>5</v>
      </c>
      <c r="AC1044">
        <v>52</v>
      </c>
      <c r="AD1044">
        <v>44</v>
      </c>
      <c r="AE1044">
        <v>74</v>
      </c>
      <c r="AF1044">
        <v>0</v>
      </c>
      <c r="AG1044">
        <v>0</v>
      </c>
      <c r="AH1044">
        <v>2.0733300596475601E-2</v>
      </c>
      <c r="AI1044">
        <v>0</v>
      </c>
      <c r="AK1044" t="s">
        <v>53</v>
      </c>
      <c r="AL1044" t="s">
        <v>54</v>
      </c>
      <c r="AP1044" t="s">
        <v>5451</v>
      </c>
      <c r="AQ1044" t="s">
        <v>54</v>
      </c>
      <c r="AT1044" t="s">
        <v>1407</v>
      </c>
      <c r="AW1044" t="s">
        <v>53</v>
      </c>
      <c r="AZ1044" t="s">
        <v>54</v>
      </c>
      <c r="BA1044" t="s">
        <v>729</v>
      </c>
    </row>
    <row r="1045" spans="1:53" x14ac:dyDescent="0.25">
      <c r="A1045">
        <v>1040</v>
      </c>
      <c r="B1045" t="s">
        <v>2035</v>
      </c>
      <c r="C1045" t="s">
        <v>2036</v>
      </c>
      <c r="D1045" t="s">
        <v>2037</v>
      </c>
      <c r="E1045">
        <v>6</v>
      </c>
      <c r="F1045" t="s">
        <v>719</v>
      </c>
      <c r="G1045" t="s">
        <v>848</v>
      </c>
      <c r="H1045" t="s">
        <v>1510</v>
      </c>
      <c r="I1045" t="s">
        <v>1511</v>
      </c>
      <c r="J1045" t="s">
        <v>2038</v>
      </c>
      <c r="K1045" t="s">
        <v>2039</v>
      </c>
      <c r="L1045" t="s">
        <v>725</v>
      </c>
      <c r="M1045">
        <v>28.41582107543945</v>
      </c>
      <c r="N1045" t="s">
        <v>53</v>
      </c>
      <c r="O1045" t="s">
        <v>53</v>
      </c>
      <c r="P1045" t="s">
        <v>54</v>
      </c>
      <c r="Q1045" t="s">
        <v>53</v>
      </c>
      <c r="R1045" t="s">
        <v>53</v>
      </c>
      <c r="S1045" t="s">
        <v>861</v>
      </c>
      <c r="T1045" t="s">
        <v>2040</v>
      </c>
      <c r="U1045" t="s">
        <v>53</v>
      </c>
      <c r="V1045" t="s">
        <v>51</v>
      </c>
      <c r="W1045">
        <v>30000</v>
      </c>
      <c r="X1045" t="s">
        <v>54</v>
      </c>
      <c r="AA1045">
        <v>230</v>
      </c>
      <c r="AB1045">
        <v>174</v>
      </c>
      <c r="AC1045">
        <v>466</v>
      </c>
      <c r="AD1045">
        <v>774</v>
      </c>
      <c r="AE1045">
        <v>1046</v>
      </c>
      <c r="AF1045">
        <v>7</v>
      </c>
      <c r="AG1045">
        <v>0</v>
      </c>
      <c r="AH1045">
        <v>7.6220617294311523</v>
      </c>
      <c r="AI1045">
        <v>0</v>
      </c>
      <c r="AJ1045">
        <v>47.402359008789063</v>
      </c>
      <c r="AK1045" t="s">
        <v>53</v>
      </c>
      <c r="AL1045" t="s">
        <v>54</v>
      </c>
      <c r="AP1045" t="s">
        <v>5451</v>
      </c>
      <c r="AQ1045" t="s">
        <v>54</v>
      </c>
      <c r="AT1045" t="s">
        <v>1407</v>
      </c>
      <c r="AW1045" t="s">
        <v>53</v>
      </c>
      <c r="AZ1045" t="s">
        <v>54</v>
      </c>
      <c r="BA1045" t="s">
        <v>729</v>
      </c>
    </row>
    <row r="1046" spans="1:53" x14ac:dyDescent="0.25">
      <c r="A1046">
        <v>1041</v>
      </c>
      <c r="B1046" t="s">
        <v>2041</v>
      </c>
      <c r="C1046" t="s">
        <v>2042</v>
      </c>
      <c r="D1046" t="s">
        <v>2043</v>
      </c>
      <c r="E1046">
        <v>6</v>
      </c>
      <c r="F1046" t="s">
        <v>719</v>
      </c>
      <c r="G1046" t="s">
        <v>848</v>
      </c>
      <c r="H1046" t="s">
        <v>1510</v>
      </c>
      <c r="I1046" t="s">
        <v>2018</v>
      </c>
      <c r="J1046" t="s">
        <v>2044</v>
      </c>
      <c r="K1046" t="s">
        <v>2045</v>
      </c>
      <c r="L1046" t="s">
        <v>725</v>
      </c>
      <c r="M1046">
        <v>18.714065551757809</v>
      </c>
      <c r="N1046" t="s">
        <v>54</v>
      </c>
      <c r="O1046" t="s">
        <v>53</v>
      </c>
      <c r="P1046" t="s">
        <v>54</v>
      </c>
      <c r="Q1046" t="s">
        <v>53</v>
      </c>
      <c r="R1046" t="s">
        <v>53</v>
      </c>
      <c r="S1046" t="s">
        <v>861</v>
      </c>
      <c r="T1046" t="s">
        <v>1515</v>
      </c>
      <c r="U1046" t="s">
        <v>53</v>
      </c>
      <c r="V1046" t="s">
        <v>51</v>
      </c>
      <c r="W1046">
        <v>30000</v>
      </c>
      <c r="X1046" t="s">
        <v>54</v>
      </c>
      <c r="AA1046">
        <v>319</v>
      </c>
      <c r="AB1046">
        <v>260</v>
      </c>
      <c r="AC1046">
        <v>727</v>
      </c>
      <c r="AD1046">
        <v>729</v>
      </c>
      <c r="AE1046">
        <v>1274</v>
      </c>
      <c r="AF1046">
        <v>0</v>
      </c>
      <c r="AG1046">
        <v>0</v>
      </c>
      <c r="AH1046">
        <v>5.2540888786315918</v>
      </c>
      <c r="AI1046">
        <v>0</v>
      </c>
      <c r="AJ1046">
        <v>25.3284797668457</v>
      </c>
      <c r="AK1046" t="s">
        <v>53</v>
      </c>
      <c r="AL1046" t="s">
        <v>54</v>
      </c>
      <c r="AP1046" t="s">
        <v>5451</v>
      </c>
      <c r="AQ1046" t="s">
        <v>54</v>
      </c>
      <c r="AT1046" t="s">
        <v>1407</v>
      </c>
      <c r="AW1046" t="s">
        <v>53</v>
      </c>
      <c r="AZ1046" t="s">
        <v>54</v>
      </c>
      <c r="BA1046" t="s">
        <v>729</v>
      </c>
    </row>
    <row r="1047" spans="1:53" x14ac:dyDescent="0.25">
      <c r="A1047">
        <v>1042</v>
      </c>
      <c r="B1047" t="s">
        <v>2047</v>
      </c>
      <c r="C1047" t="s">
        <v>2048</v>
      </c>
      <c r="D1047" t="s">
        <v>2049</v>
      </c>
      <c r="E1047">
        <v>6</v>
      </c>
      <c r="F1047" t="s">
        <v>719</v>
      </c>
      <c r="G1047" t="s">
        <v>1330</v>
      </c>
      <c r="H1047" t="s">
        <v>1243</v>
      </c>
      <c r="I1047" t="s">
        <v>1428</v>
      </c>
      <c r="J1047" t="s">
        <v>1799</v>
      </c>
      <c r="K1047" t="s">
        <v>1800</v>
      </c>
      <c r="L1047" t="s">
        <v>725</v>
      </c>
      <c r="M1047">
        <v>13.04088878631592</v>
      </c>
      <c r="N1047" t="s">
        <v>53</v>
      </c>
      <c r="O1047" t="s">
        <v>53</v>
      </c>
      <c r="P1047" t="s">
        <v>54</v>
      </c>
      <c r="Q1047" t="s">
        <v>53</v>
      </c>
      <c r="R1047" t="s">
        <v>53</v>
      </c>
      <c r="S1047" t="s">
        <v>1801</v>
      </c>
      <c r="T1047" t="s">
        <v>1802</v>
      </c>
      <c r="U1047" t="s">
        <v>53</v>
      </c>
      <c r="V1047" t="s">
        <v>51</v>
      </c>
      <c r="W1047">
        <v>30000</v>
      </c>
      <c r="X1047" t="s">
        <v>54</v>
      </c>
      <c r="AA1047">
        <v>47</v>
      </c>
      <c r="AB1047">
        <v>29</v>
      </c>
      <c r="AC1047">
        <v>256</v>
      </c>
      <c r="AD1047">
        <v>457</v>
      </c>
      <c r="AE1047">
        <v>607</v>
      </c>
      <c r="AF1047">
        <v>0</v>
      </c>
      <c r="AG1047">
        <v>0</v>
      </c>
      <c r="AH1047">
        <v>3.7131321430206299</v>
      </c>
      <c r="AI1047">
        <v>0</v>
      </c>
      <c r="AJ1047">
        <v>4.5960383415222168</v>
      </c>
      <c r="AK1047" t="s">
        <v>53</v>
      </c>
      <c r="AL1047" t="s">
        <v>53</v>
      </c>
      <c r="AP1047" t="s">
        <v>5451</v>
      </c>
      <c r="AQ1047" t="s">
        <v>54</v>
      </c>
      <c r="AT1047" t="s">
        <v>0</v>
      </c>
      <c r="AW1047" t="s">
        <v>53</v>
      </c>
      <c r="AZ1047" t="s">
        <v>54</v>
      </c>
      <c r="BA1047" t="s">
        <v>729</v>
      </c>
    </row>
    <row r="1048" spans="1:53" x14ac:dyDescent="0.25">
      <c r="A1048">
        <v>1043</v>
      </c>
      <c r="B1048" t="s">
        <v>2050</v>
      </c>
      <c r="C1048" t="s">
        <v>2051</v>
      </c>
      <c r="D1048" t="s">
        <v>2052</v>
      </c>
      <c r="E1048">
        <v>6</v>
      </c>
      <c r="F1048" t="s">
        <v>719</v>
      </c>
      <c r="G1048" t="s">
        <v>925</v>
      </c>
      <c r="H1048" t="s">
        <v>806</v>
      </c>
      <c r="I1048" t="s">
        <v>899</v>
      </c>
      <c r="J1048" t="s">
        <v>926</v>
      </c>
      <c r="K1048" t="s">
        <v>927</v>
      </c>
      <c r="L1048" t="s">
        <v>725</v>
      </c>
      <c r="M1048">
        <v>95.570724487304688</v>
      </c>
      <c r="N1048" t="s">
        <v>53</v>
      </c>
      <c r="O1048" t="s">
        <v>53</v>
      </c>
      <c r="P1048" t="s">
        <v>54</v>
      </c>
      <c r="Q1048" t="s">
        <v>53</v>
      </c>
      <c r="R1048" t="s">
        <v>53</v>
      </c>
      <c r="S1048" t="s">
        <v>1469</v>
      </c>
      <c r="T1048" t="s">
        <v>827</v>
      </c>
      <c r="U1048" t="s">
        <v>53</v>
      </c>
      <c r="V1048" t="s">
        <v>51</v>
      </c>
      <c r="W1048">
        <v>30000</v>
      </c>
      <c r="X1048" t="s">
        <v>54</v>
      </c>
      <c r="AA1048">
        <v>32129</v>
      </c>
      <c r="AB1048">
        <v>29534</v>
      </c>
      <c r="AC1048">
        <v>141564</v>
      </c>
      <c r="AD1048">
        <v>177428</v>
      </c>
      <c r="AE1048">
        <v>267993</v>
      </c>
      <c r="AF1048">
        <v>448</v>
      </c>
      <c r="AG1048">
        <v>1</v>
      </c>
      <c r="AH1048">
        <v>412.19985961914063</v>
      </c>
      <c r="AI1048">
        <v>1</v>
      </c>
      <c r="AJ1048">
        <v>41.825786590576172</v>
      </c>
      <c r="AK1048" t="s">
        <v>53</v>
      </c>
      <c r="AL1048" t="s">
        <v>54</v>
      </c>
      <c r="AP1048" t="s">
        <v>5451</v>
      </c>
      <c r="AQ1048" t="s">
        <v>54</v>
      </c>
      <c r="AT1048" t="s">
        <v>2053</v>
      </c>
      <c r="AW1048" t="s">
        <v>53</v>
      </c>
      <c r="AZ1048" t="s">
        <v>54</v>
      </c>
      <c r="BA1048" t="s">
        <v>729</v>
      </c>
    </row>
    <row r="1049" spans="1:53" x14ac:dyDescent="0.25">
      <c r="A1049">
        <v>1044</v>
      </c>
      <c r="B1049" t="s">
        <v>2054</v>
      </c>
      <c r="C1049" t="s">
        <v>2055</v>
      </c>
      <c r="D1049" t="s">
        <v>2056</v>
      </c>
      <c r="E1049">
        <v>6</v>
      </c>
      <c r="F1049" t="s">
        <v>719</v>
      </c>
      <c r="G1049" t="s">
        <v>720</v>
      </c>
      <c r="H1049" t="s">
        <v>1082</v>
      </c>
      <c r="I1049" t="s">
        <v>1708</v>
      </c>
      <c r="J1049" t="s">
        <v>1709</v>
      </c>
      <c r="K1049" t="s">
        <v>1710</v>
      </c>
      <c r="L1049" t="s">
        <v>725</v>
      </c>
      <c r="M1049">
        <v>2.1906800270080571</v>
      </c>
      <c r="N1049" t="s">
        <v>54</v>
      </c>
      <c r="O1049" t="s">
        <v>53</v>
      </c>
      <c r="P1049" t="s">
        <v>53</v>
      </c>
      <c r="Q1049" t="s">
        <v>53</v>
      </c>
      <c r="R1049" t="s">
        <v>53</v>
      </c>
      <c r="S1049" t="s">
        <v>790</v>
      </c>
      <c r="T1049" t="s">
        <v>1736</v>
      </c>
      <c r="U1049" t="s">
        <v>53</v>
      </c>
      <c r="V1049" t="s">
        <v>51</v>
      </c>
      <c r="W1049">
        <v>30000</v>
      </c>
      <c r="X1049" t="s">
        <v>54</v>
      </c>
      <c r="AA1049">
        <v>86</v>
      </c>
      <c r="AB1049">
        <v>73</v>
      </c>
      <c r="AC1049">
        <v>95</v>
      </c>
      <c r="AD1049">
        <v>253</v>
      </c>
      <c r="AE1049">
        <v>270</v>
      </c>
      <c r="AF1049">
        <v>0</v>
      </c>
      <c r="AG1049">
        <v>0</v>
      </c>
      <c r="AH1049">
        <v>3.1773431301116939</v>
      </c>
      <c r="AI1049">
        <v>0</v>
      </c>
      <c r="AK1049" t="s">
        <v>53</v>
      </c>
      <c r="AL1049" t="s">
        <v>53</v>
      </c>
      <c r="AP1049" t="s">
        <v>5451</v>
      </c>
      <c r="AQ1049" t="s">
        <v>54</v>
      </c>
      <c r="AT1049" t="s">
        <v>0</v>
      </c>
      <c r="AW1049" t="s">
        <v>53</v>
      </c>
      <c r="AZ1049" t="s">
        <v>54</v>
      </c>
      <c r="BA1049" t="s">
        <v>729</v>
      </c>
    </row>
    <row r="1050" spans="1:53" x14ac:dyDescent="0.25">
      <c r="A1050">
        <v>1045</v>
      </c>
      <c r="B1050" t="s">
        <v>2066</v>
      </c>
      <c r="C1050" t="s">
        <v>2067</v>
      </c>
      <c r="D1050" t="s">
        <v>2068</v>
      </c>
      <c r="E1050">
        <v>6</v>
      </c>
      <c r="F1050" t="s">
        <v>719</v>
      </c>
      <c r="G1050" t="s">
        <v>805</v>
      </c>
      <c r="H1050" t="s">
        <v>1510</v>
      </c>
      <c r="I1050" t="s">
        <v>2018</v>
      </c>
      <c r="J1050" t="s">
        <v>2069</v>
      </c>
      <c r="K1050" t="s">
        <v>2070</v>
      </c>
      <c r="L1050" t="s">
        <v>725</v>
      </c>
      <c r="M1050">
        <v>34.831943511962891</v>
      </c>
      <c r="N1050" t="s">
        <v>54</v>
      </c>
      <c r="O1050" t="s">
        <v>53</v>
      </c>
      <c r="P1050" t="s">
        <v>54</v>
      </c>
      <c r="Q1050" t="s">
        <v>53</v>
      </c>
      <c r="R1050" t="s">
        <v>53</v>
      </c>
      <c r="S1050" t="s">
        <v>861</v>
      </c>
      <c r="T1050" t="s">
        <v>2071</v>
      </c>
      <c r="U1050" t="s">
        <v>53</v>
      </c>
      <c r="V1050" t="s">
        <v>51</v>
      </c>
      <c r="W1050">
        <v>600000</v>
      </c>
      <c r="X1050" t="s">
        <v>54</v>
      </c>
      <c r="AA1050">
        <v>1883</v>
      </c>
      <c r="AB1050">
        <v>1509</v>
      </c>
      <c r="AC1050">
        <v>5995</v>
      </c>
      <c r="AD1050">
        <v>4487</v>
      </c>
      <c r="AE1050">
        <v>9371</v>
      </c>
      <c r="AF1050">
        <v>64</v>
      </c>
      <c r="AG1050">
        <v>1</v>
      </c>
      <c r="AH1050">
        <v>32.824069976806641</v>
      </c>
      <c r="AI1050">
        <v>1</v>
      </c>
      <c r="AJ1050">
        <v>73.12799072265625</v>
      </c>
      <c r="AK1050" t="s">
        <v>53</v>
      </c>
      <c r="AL1050" t="s">
        <v>54</v>
      </c>
      <c r="AP1050" t="s">
        <v>5451</v>
      </c>
      <c r="AQ1050" t="s">
        <v>54</v>
      </c>
      <c r="AT1050" t="s">
        <v>2072</v>
      </c>
      <c r="AW1050" t="s">
        <v>53</v>
      </c>
      <c r="AZ1050" t="s">
        <v>54</v>
      </c>
      <c r="BA1050" t="s">
        <v>729</v>
      </c>
    </row>
    <row r="1051" spans="1:53" x14ac:dyDescent="0.25">
      <c r="A1051">
        <v>1046</v>
      </c>
      <c r="B1051" t="s">
        <v>2073</v>
      </c>
      <c r="C1051" t="s">
        <v>2074</v>
      </c>
      <c r="D1051" t="s">
        <v>2075</v>
      </c>
      <c r="E1051">
        <v>6</v>
      </c>
      <c r="F1051" t="s">
        <v>719</v>
      </c>
      <c r="G1051" t="s">
        <v>805</v>
      </c>
      <c r="H1051" t="s">
        <v>1510</v>
      </c>
      <c r="I1051" t="s">
        <v>2018</v>
      </c>
      <c r="J1051" t="s">
        <v>2069</v>
      </c>
      <c r="K1051" t="s">
        <v>2070</v>
      </c>
      <c r="L1051" t="s">
        <v>725</v>
      </c>
      <c r="M1051">
        <v>34.831943511962891</v>
      </c>
      <c r="N1051" t="s">
        <v>54</v>
      </c>
      <c r="O1051" t="s">
        <v>53</v>
      </c>
      <c r="P1051" t="s">
        <v>54</v>
      </c>
      <c r="Q1051" t="s">
        <v>53</v>
      </c>
      <c r="R1051" t="s">
        <v>53</v>
      </c>
      <c r="S1051" t="s">
        <v>861</v>
      </c>
      <c r="T1051" t="s">
        <v>2071</v>
      </c>
      <c r="U1051" t="s">
        <v>53</v>
      </c>
      <c r="V1051" t="s">
        <v>51</v>
      </c>
      <c r="W1051">
        <v>210000</v>
      </c>
      <c r="X1051" t="s">
        <v>54</v>
      </c>
      <c r="AA1051">
        <v>1883</v>
      </c>
      <c r="AB1051">
        <v>1509</v>
      </c>
      <c r="AC1051">
        <v>5995</v>
      </c>
      <c r="AD1051">
        <v>4487</v>
      </c>
      <c r="AE1051">
        <v>9371</v>
      </c>
      <c r="AF1051">
        <v>64</v>
      </c>
      <c r="AG1051">
        <v>1</v>
      </c>
      <c r="AH1051">
        <v>32.824069976806641</v>
      </c>
      <c r="AI1051">
        <v>1</v>
      </c>
      <c r="AJ1051">
        <v>73.12799072265625</v>
      </c>
      <c r="AK1051" t="s">
        <v>53</v>
      </c>
      <c r="AL1051" t="s">
        <v>54</v>
      </c>
      <c r="AP1051" t="s">
        <v>5451</v>
      </c>
      <c r="AQ1051" t="s">
        <v>54</v>
      </c>
      <c r="AT1051" t="s">
        <v>2072</v>
      </c>
      <c r="AW1051" t="s">
        <v>53</v>
      </c>
      <c r="AZ1051" t="s">
        <v>54</v>
      </c>
      <c r="BA1051" t="s">
        <v>729</v>
      </c>
    </row>
    <row r="1052" spans="1:53" x14ac:dyDescent="0.25">
      <c r="A1052">
        <v>1047</v>
      </c>
      <c r="B1052" t="s">
        <v>2076</v>
      </c>
      <c r="C1052" t="s">
        <v>2077</v>
      </c>
      <c r="D1052" t="s">
        <v>2078</v>
      </c>
      <c r="E1052">
        <v>6</v>
      </c>
      <c r="F1052" t="s">
        <v>719</v>
      </c>
      <c r="G1052" t="s">
        <v>805</v>
      </c>
      <c r="H1052" t="s">
        <v>1510</v>
      </c>
      <c r="I1052" t="s">
        <v>2018</v>
      </c>
      <c r="J1052" t="s">
        <v>2069</v>
      </c>
      <c r="K1052" t="s">
        <v>2070</v>
      </c>
      <c r="L1052" t="s">
        <v>725</v>
      </c>
      <c r="M1052">
        <v>34.831943511962891</v>
      </c>
      <c r="N1052" t="s">
        <v>54</v>
      </c>
      <c r="O1052" t="s">
        <v>53</v>
      </c>
      <c r="P1052" t="s">
        <v>54</v>
      </c>
      <c r="Q1052" t="s">
        <v>53</v>
      </c>
      <c r="R1052" t="s">
        <v>53</v>
      </c>
      <c r="S1052" t="s">
        <v>861</v>
      </c>
      <c r="T1052" t="s">
        <v>2071</v>
      </c>
      <c r="U1052" t="s">
        <v>53</v>
      </c>
      <c r="V1052" t="s">
        <v>51</v>
      </c>
      <c r="W1052">
        <v>170000</v>
      </c>
      <c r="X1052" t="s">
        <v>54</v>
      </c>
      <c r="AA1052">
        <v>1883</v>
      </c>
      <c r="AB1052">
        <v>1509</v>
      </c>
      <c r="AC1052">
        <v>5995</v>
      </c>
      <c r="AD1052">
        <v>4487</v>
      </c>
      <c r="AE1052">
        <v>9371</v>
      </c>
      <c r="AF1052">
        <v>64</v>
      </c>
      <c r="AG1052">
        <v>1</v>
      </c>
      <c r="AH1052">
        <v>32.824069976806641</v>
      </c>
      <c r="AI1052">
        <v>1</v>
      </c>
      <c r="AJ1052">
        <v>73.12799072265625</v>
      </c>
      <c r="AK1052" t="s">
        <v>53</v>
      </c>
      <c r="AL1052" t="s">
        <v>54</v>
      </c>
      <c r="AP1052" t="s">
        <v>5451</v>
      </c>
      <c r="AQ1052" t="s">
        <v>54</v>
      </c>
      <c r="AT1052" t="s">
        <v>2072</v>
      </c>
      <c r="AW1052" t="s">
        <v>53</v>
      </c>
      <c r="AZ1052" t="s">
        <v>54</v>
      </c>
      <c r="BA1052" t="s">
        <v>729</v>
      </c>
    </row>
    <row r="1053" spans="1:53" x14ac:dyDescent="0.25">
      <c r="A1053">
        <v>1048</v>
      </c>
      <c r="B1053" t="s">
        <v>2079</v>
      </c>
      <c r="C1053" t="s">
        <v>2080</v>
      </c>
      <c r="D1053" t="s">
        <v>2081</v>
      </c>
      <c r="E1053">
        <v>6</v>
      </c>
      <c r="F1053" t="s">
        <v>719</v>
      </c>
      <c r="G1053" t="s">
        <v>805</v>
      </c>
      <c r="H1053" t="s">
        <v>806</v>
      </c>
      <c r="I1053" t="s">
        <v>1489</v>
      </c>
      <c r="J1053" t="s">
        <v>2082</v>
      </c>
      <c r="K1053" t="s">
        <v>2083</v>
      </c>
      <c r="L1053" t="s">
        <v>725</v>
      </c>
      <c r="M1053">
        <v>15.501790046691889</v>
      </c>
      <c r="N1053" t="s">
        <v>54</v>
      </c>
      <c r="O1053" t="s">
        <v>53</v>
      </c>
      <c r="P1053" t="s">
        <v>54</v>
      </c>
      <c r="Q1053" t="s">
        <v>53</v>
      </c>
      <c r="R1053" t="s">
        <v>53</v>
      </c>
      <c r="S1053" t="s">
        <v>861</v>
      </c>
      <c r="T1053" t="s">
        <v>827</v>
      </c>
      <c r="U1053" t="s">
        <v>53</v>
      </c>
      <c r="V1053" t="s">
        <v>51</v>
      </c>
      <c r="W1053">
        <v>30000</v>
      </c>
      <c r="X1053" t="s">
        <v>54</v>
      </c>
      <c r="AA1053">
        <v>692</v>
      </c>
      <c r="AB1053">
        <v>638</v>
      </c>
      <c r="AC1053">
        <v>1332</v>
      </c>
      <c r="AD1053">
        <v>2455</v>
      </c>
      <c r="AE1053">
        <v>3061</v>
      </c>
      <c r="AF1053">
        <v>12</v>
      </c>
      <c r="AG1053">
        <v>0</v>
      </c>
      <c r="AH1053">
        <v>11.64858818054199</v>
      </c>
      <c r="AI1053">
        <v>0</v>
      </c>
      <c r="AJ1053">
        <v>27.294694900512699</v>
      </c>
      <c r="AK1053" t="s">
        <v>53</v>
      </c>
      <c r="AL1053" t="s">
        <v>54</v>
      </c>
      <c r="AP1053" t="s">
        <v>5451</v>
      </c>
      <c r="AQ1053" t="s">
        <v>54</v>
      </c>
      <c r="AT1053" t="s">
        <v>1407</v>
      </c>
      <c r="AW1053" t="s">
        <v>53</v>
      </c>
      <c r="AZ1053" t="s">
        <v>54</v>
      </c>
      <c r="BA1053" t="s">
        <v>729</v>
      </c>
    </row>
    <row r="1054" spans="1:53" x14ac:dyDescent="0.25">
      <c r="A1054">
        <v>1049</v>
      </c>
      <c r="B1054" t="s">
        <v>2084</v>
      </c>
      <c r="C1054" t="s">
        <v>2085</v>
      </c>
      <c r="D1054" t="s">
        <v>2086</v>
      </c>
      <c r="E1054">
        <v>6</v>
      </c>
      <c r="F1054" t="s">
        <v>719</v>
      </c>
      <c r="G1054" t="s">
        <v>805</v>
      </c>
      <c r="H1054" t="s">
        <v>806</v>
      </c>
      <c r="I1054" t="s">
        <v>1489</v>
      </c>
      <c r="J1054" t="s">
        <v>2082</v>
      </c>
      <c r="K1054" t="s">
        <v>2083</v>
      </c>
      <c r="L1054" t="s">
        <v>725</v>
      </c>
      <c r="M1054">
        <v>15.501790046691889</v>
      </c>
      <c r="N1054" t="s">
        <v>54</v>
      </c>
      <c r="O1054" t="s">
        <v>53</v>
      </c>
      <c r="P1054" t="s">
        <v>54</v>
      </c>
      <c r="Q1054" t="s">
        <v>53</v>
      </c>
      <c r="R1054" t="s">
        <v>53</v>
      </c>
      <c r="S1054" t="s">
        <v>861</v>
      </c>
      <c r="T1054" t="s">
        <v>827</v>
      </c>
      <c r="U1054" t="s">
        <v>53</v>
      </c>
      <c r="V1054" t="s">
        <v>51</v>
      </c>
      <c r="W1054">
        <v>30000</v>
      </c>
      <c r="X1054" t="s">
        <v>54</v>
      </c>
      <c r="AA1054">
        <v>692</v>
      </c>
      <c r="AB1054">
        <v>638</v>
      </c>
      <c r="AC1054">
        <v>1332</v>
      </c>
      <c r="AD1054">
        <v>2455</v>
      </c>
      <c r="AE1054">
        <v>3061</v>
      </c>
      <c r="AF1054">
        <v>12</v>
      </c>
      <c r="AG1054">
        <v>0</v>
      </c>
      <c r="AH1054">
        <v>11.64858818054199</v>
      </c>
      <c r="AI1054">
        <v>0</v>
      </c>
      <c r="AJ1054">
        <v>27.294694900512699</v>
      </c>
      <c r="AK1054" t="s">
        <v>53</v>
      </c>
      <c r="AL1054" t="s">
        <v>54</v>
      </c>
      <c r="AP1054" t="s">
        <v>5451</v>
      </c>
      <c r="AQ1054" t="s">
        <v>54</v>
      </c>
      <c r="AT1054" t="s">
        <v>1407</v>
      </c>
      <c r="AW1054" t="s">
        <v>53</v>
      </c>
      <c r="AZ1054" t="s">
        <v>54</v>
      </c>
      <c r="BA1054" t="s">
        <v>729</v>
      </c>
    </row>
    <row r="1055" spans="1:53" x14ac:dyDescent="0.25">
      <c r="A1055">
        <v>1050</v>
      </c>
      <c r="B1055" t="s">
        <v>2087</v>
      </c>
      <c r="C1055" t="s">
        <v>2088</v>
      </c>
      <c r="D1055" t="s">
        <v>2089</v>
      </c>
      <c r="E1055">
        <v>6</v>
      </c>
      <c r="F1055" t="s">
        <v>719</v>
      </c>
      <c r="G1055" t="s">
        <v>805</v>
      </c>
      <c r="H1055" t="s">
        <v>806</v>
      </c>
      <c r="I1055" t="s">
        <v>1489</v>
      </c>
      <c r="J1055" t="s">
        <v>2090</v>
      </c>
      <c r="K1055" t="s">
        <v>2091</v>
      </c>
      <c r="L1055" t="s">
        <v>725</v>
      </c>
      <c r="M1055">
        <v>13.198958396911619</v>
      </c>
      <c r="N1055" t="s">
        <v>54</v>
      </c>
      <c r="O1055" t="s">
        <v>53</v>
      </c>
      <c r="P1055" t="s">
        <v>54</v>
      </c>
      <c r="Q1055" t="s">
        <v>53</v>
      </c>
      <c r="R1055" t="s">
        <v>53</v>
      </c>
      <c r="S1055" t="s">
        <v>861</v>
      </c>
      <c r="T1055" t="s">
        <v>827</v>
      </c>
      <c r="U1055" t="s">
        <v>53</v>
      </c>
      <c r="V1055" t="s">
        <v>51</v>
      </c>
      <c r="W1055">
        <v>30000</v>
      </c>
      <c r="X1055" t="s">
        <v>54</v>
      </c>
      <c r="AA1055">
        <v>944</v>
      </c>
      <c r="AB1055">
        <v>854</v>
      </c>
      <c r="AC1055">
        <v>2378</v>
      </c>
      <c r="AD1055">
        <v>3968</v>
      </c>
      <c r="AE1055">
        <v>5217</v>
      </c>
      <c r="AF1055">
        <v>21</v>
      </c>
      <c r="AG1055">
        <v>0</v>
      </c>
      <c r="AH1055">
        <v>15.662631988525391</v>
      </c>
      <c r="AI1055">
        <v>0</v>
      </c>
      <c r="AJ1055">
        <v>19.42950439453125</v>
      </c>
      <c r="AK1055" t="s">
        <v>53</v>
      </c>
      <c r="AL1055" t="s">
        <v>54</v>
      </c>
      <c r="AP1055" t="s">
        <v>5451</v>
      </c>
      <c r="AQ1055" t="s">
        <v>54</v>
      </c>
      <c r="AT1055" t="s">
        <v>1407</v>
      </c>
      <c r="AW1055" t="s">
        <v>53</v>
      </c>
      <c r="AZ1055" t="s">
        <v>54</v>
      </c>
      <c r="BA1055" t="s">
        <v>729</v>
      </c>
    </row>
    <row r="1056" spans="1:53" x14ac:dyDescent="0.25">
      <c r="A1056">
        <v>1051</v>
      </c>
      <c r="B1056" t="s">
        <v>2092</v>
      </c>
      <c r="C1056" t="s">
        <v>2093</v>
      </c>
      <c r="D1056" t="s">
        <v>2094</v>
      </c>
      <c r="E1056">
        <v>6</v>
      </c>
      <c r="F1056" t="s">
        <v>719</v>
      </c>
      <c r="G1056" t="s">
        <v>805</v>
      </c>
      <c r="H1056" t="s">
        <v>806</v>
      </c>
      <c r="I1056" t="s">
        <v>1385</v>
      </c>
      <c r="J1056" t="s">
        <v>1971</v>
      </c>
      <c r="K1056" t="s">
        <v>1972</v>
      </c>
      <c r="L1056" t="s">
        <v>725</v>
      </c>
      <c r="M1056">
        <v>44.405052185058587</v>
      </c>
      <c r="N1056" t="s">
        <v>54</v>
      </c>
      <c r="O1056" t="s">
        <v>53</v>
      </c>
      <c r="P1056" t="s">
        <v>54</v>
      </c>
      <c r="Q1056" t="s">
        <v>53</v>
      </c>
      <c r="R1056" t="s">
        <v>53</v>
      </c>
      <c r="S1056" t="s">
        <v>861</v>
      </c>
      <c r="T1056" t="s">
        <v>827</v>
      </c>
      <c r="U1056" t="s">
        <v>53</v>
      </c>
      <c r="V1056" t="s">
        <v>51</v>
      </c>
      <c r="W1056">
        <v>30000</v>
      </c>
      <c r="X1056" t="s">
        <v>54</v>
      </c>
      <c r="AA1056">
        <v>12422</v>
      </c>
      <c r="AB1056">
        <v>10065</v>
      </c>
      <c r="AC1056">
        <v>18324</v>
      </c>
      <c r="AD1056">
        <v>34403</v>
      </c>
      <c r="AE1056">
        <v>43171</v>
      </c>
      <c r="AF1056">
        <v>98</v>
      </c>
      <c r="AG1056">
        <v>7</v>
      </c>
      <c r="AH1056">
        <v>121.9914245605469</v>
      </c>
      <c r="AI1056">
        <v>7</v>
      </c>
      <c r="AJ1056">
        <v>9.6442432403564453</v>
      </c>
      <c r="AK1056" t="s">
        <v>53</v>
      </c>
      <c r="AL1056" t="s">
        <v>54</v>
      </c>
      <c r="AP1056" t="s">
        <v>5451</v>
      </c>
      <c r="AQ1056" t="s">
        <v>54</v>
      </c>
      <c r="AT1056" t="s">
        <v>1407</v>
      </c>
      <c r="AW1056" t="s">
        <v>53</v>
      </c>
      <c r="AZ1056" t="s">
        <v>54</v>
      </c>
      <c r="BA1056" t="s">
        <v>729</v>
      </c>
    </row>
    <row r="1057" spans="1:53" x14ac:dyDescent="0.25">
      <c r="A1057">
        <v>1052</v>
      </c>
      <c r="B1057" t="s">
        <v>2112</v>
      </c>
      <c r="C1057" t="s">
        <v>2113</v>
      </c>
      <c r="D1057" t="s">
        <v>2114</v>
      </c>
      <c r="E1057">
        <v>6</v>
      </c>
      <c r="F1057" t="s">
        <v>719</v>
      </c>
      <c r="G1057" t="s">
        <v>925</v>
      </c>
      <c r="H1057" t="s">
        <v>806</v>
      </c>
      <c r="I1057" t="s">
        <v>899</v>
      </c>
      <c r="J1057" t="s">
        <v>926</v>
      </c>
      <c r="K1057" t="s">
        <v>927</v>
      </c>
      <c r="L1057" t="s">
        <v>725</v>
      </c>
      <c r="M1057">
        <v>95.570724487304688</v>
      </c>
      <c r="N1057" t="s">
        <v>53</v>
      </c>
      <c r="O1057" t="s">
        <v>53</v>
      </c>
      <c r="P1057" t="s">
        <v>54</v>
      </c>
      <c r="Q1057" t="s">
        <v>53</v>
      </c>
      <c r="R1057" t="s">
        <v>53</v>
      </c>
      <c r="S1057" t="s">
        <v>1469</v>
      </c>
      <c r="T1057" t="s">
        <v>827</v>
      </c>
      <c r="U1057" t="s">
        <v>53</v>
      </c>
      <c r="V1057" t="s">
        <v>51</v>
      </c>
      <c r="W1057">
        <v>30000</v>
      </c>
      <c r="X1057" t="s">
        <v>54</v>
      </c>
      <c r="AA1057">
        <v>32129</v>
      </c>
      <c r="AB1057">
        <v>29534</v>
      </c>
      <c r="AC1057">
        <v>141564</v>
      </c>
      <c r="AD1057">
        <v>177428</v>
      </c>
      <c r="AE1057">
        <v>267993</v>
      </c>
      <c r="AF1057">
        <v>448</v>
      </c>
      <c r="AG1057">
        <v>1</v>
      </c>
      <c r="AH1057">
        <v>412.19985961914063</v>
      </c>
      <c r="AI1057">
        <v>1</v>
      </c>
      <c r="AJ1057">
        <v>41.825786590576172</v>
      </c>
      <c r="AK1057" t="s">
        <v>53</v>
      </c>
      <c r="AL1057" t="s">
        <v>54</v>
      </c>
      <c r="AP1057" t="s">
        <v>5451</v>
      </c>
      <c r="AQ1057" t="s">
        <v>54</v>
      </c>
      <c r="AT1057" t="s">
        <v>2053</v>
      </c>
      <c r="AW1057" t="s">
        <v>53</v>
      </c>
      <c r="AZ1057" t="s">
        <v>54</v>
      </c>
      <c r="BA1057" t="s">
        <v>729</v>
      </c>
    </row>
    <row r="1058" spans="1:53" x14ac:dyDescent="0.25">
      <c r="A1058">
        <v>1053</v>
      </c>
      <c r="B1058" t="s">
        <v>2116</v>
      </c>
      <c r="C1058" t="s">
        <v>2117</v>
      </c>
      <c r="D1058" t="s">
        <v>2118</v>
      </c>
      <c r="E1058">
        <v>6</v>
      </c>
      <c r="F1058" t="s">
        <v>719</v>
      </c>
      <c r="G1058" t="s">
        <v>805</v>
      </c>
      <c r="H1058" t="s">
        <v>806</v>
      </c>
      <c r="I1058" t="s">
        <v>899</v>
      </c>
      <c r="J1058" t="s">
        <v>1404</v>
      </c>
      <c r="K1058" t="s">
        <v>1405</v>
      </c>
      <c r="L1058" t="s">
        <v>725</v>
      </c>
      <c r="M1058">
        <v>45.601181030273438</v>
      </c>
      <c r="N1058" t="s">
        <v>53</v>
      </c>
      <c r="O1058" t="s">
        <v>53</v>
      </c>
      <c r="P1058" t="s">
        <v>54</v>
      </c>
      <c r="Q1058" t="s">
        <v>53</v>
      </c>
      <c r="R1058" t="s">
        <v>53</v>
      </c>
      <c r="S1058" t="s">
        <v>1761</v>
      </c>
      <c r="T1058" t="s">
        <v>2119</v>
      </c>
      <c r="U1058" t="s">
        <v>53</v>
      </c>
      <c r="V1058" t="s">
        <v>51</v>
      </c>
      <c r="W1058">
        <v>30000</v>
      </c>
      <c r="X1058" t="s">
        <v>54</v>
      </c>
      <c r="AA1058">
        <v>8855</v>
      </c>
      <c r="AB1058">
        <v>8148</v>
      </c>
      <c r="AC1058">
        <v>65641</v>
      </c>
      <c r="AD1058">
        <v>38977</v>
      </c>
      <c r="AE1058">
        <v>93959</v>
      </c>
      <c r="AF1058">
        <v>146</v>
      </c>
      <c r="AG1058">
        <v>1</v>
      </c>
      <c r="AH1058">
        <v>124.9714279174805</v>
      </c>
      <c r="AI1058">
        <v>1</v>
      </c>
      <c r="AJ1058">
        <v>8.6752443313598633</v>
      </c>
      <c r="AK1058" t="s">
        <v>53</v>
      </c>
      <c r="AL1058" t="s">
        <v>54</v>
      </c>
      <c r="AP1058" t="s">
        <v>5451</v>
      </c>
      <c r="AQ1058" t="s">
        <v>54</v>
      </c>
      <c r="AT1058" t="s">
        <v>0</v>
      </c>
      <c r="AW1058" t="s">
        <v>53</v>
      </c>
      <c r="AZ1058" t="s">
        <v>54</v>
      </c>
      <c r="BA1058" t="s">
        <v>729</v>
      </c>
    </row>
    <row r="1059" spans="1:53" x14ac:dyDescent="0.25">
      <c r="A1059">
        <v>1054</v>
      </c>
      <c r="B1059" t="s">
        <v>2120</v>
      </c>
      <c r="C1059" t="s">
        <v>2121</v>
      </c>
      <c r="D1059" t="s">
        <v>2081</v>
      </c>
      <c r="E1059">
        <v>6</v>
      </c>
      <c r="F1059" t="s">
        <v>719</v>
      </c>
      <c r="G1059" t="s">
        <v>805</v>
      </c>
      <c r="H1059" t="s">
        <v>806</v>
      </c>
      <c r="I1059" t="s">
        <v>1489</v>
      </c>
      <c r="J1059" t="s">
        <v>2082</v>
      </c>
      <c r="K1059" t="s">
        <v>2083</v>
      </c>
      <c r="L1059" t="s">
        <v>725</v>
      </c>
      <c r="M1059">
        <v>15.501790046691889</v>
      </c>
      <c r="N1059" t="s">
        <v>54</v>
      </c>
      <c r="O1059" t="s">
        <v>53</v>
      </c>
      <c r="P1059" t="s">
        <v>53</v>
      </c>
      <c r="Q1059" t="s">
        <v>53</v>
      </c>
      <c r="R1059" t="s">
        <v>53</v>
      </c>
      <c r="S1059" t="s">
        <v>861</v>
      </c>
      <c r="T1059" t="s">
        <v>827</v>
      </c>
      <c r="U1059" t="s">
        <v>53</v>
      </c>
      <c r="V1059" t="s">
        <v>51</v>
      </c>
      <c r="W1059">
        <v>30000</v>
      </c>
      <c r="X1059" t="s">
        <v>54</v>
      </c>
      <c r="AA1059">
        <v>692</v>
      </c>
      <c r="AB1059">
        <v>638</v>
      </c>
      <c r="AC1059">
        <v>1332</v>
      </c>
      <c r="AD1059">
        <v>2455</v>
      </c>
      <c r="AE1059">
        <v>3061</v>
      </c>
      <c r="AF1059">
        <v>12</v>
      </c>
      <c r="AG1059">
        <v>0</v>
      </c>
      <c r="AH1059">
        <v>11.64858818054199</v>
      </c>
      <c r="AI1059">
        <v>0</v>
      </c>
      <c r="AJ1059">
        <v>27.294694900512699</v>
      </c>
      <c r="AK1059" t="s">
        <v>53</v>
      </c>
      <c r="AL1059" t="s">
        <v>54</v>
      </c>
      <c r="AP1059" t="s">
        <v>5451</v>
      </c>
      <c r="AQ1059" t="s">
        <v>54</v>
      </c>
      <c r="AT1059" t="s">
        <v>1407</v>
      </c>
      <c r="AW1059" t="s">
        <v>53</v>
      </c>
      <c r="AZ1059" t="s">
        <v>54</v>
      </c>
      <c r="BA1059" t="s">
        <v>729</v>
      </c>
    </row>
    <row r="1060" spans="1:53" x14ac:dyDescent="0.25">
      <c r="A1060">
        <v>1055</v>
      </c>
      <c r="B1060" t="s">
        <v>2122</v>
      </c>
      <c r="C1060" t="s">
        <v>2123</v>
      </c>
      <c r="D1060" t="s">
        <v>2124</v>
      </c>
      <c r="E1060">
        <v>6</v>
      </c>
      <c r="F1060" t="s">
        <v>719</v>
      </c>
      <c r="G1060" t="s">
        <v>805</v>
      </c>
      <c r="H1060" t="s">
        <v>806</v>
      </c>
      <c r="I1060" t="s">
        <v>1484</v>
      </c>
      <c r="J1060" t="s">
        <v>2125</v>
      </c>
      <c r="K1060" t="s">
        <v>2126</v>
      </c>
      <c r="L1060" t="s">
        <v>725</v>
      </c>
      <c r="M1060">
        <v>4.929196834564209</v>
      </c>
      <c r="N1060" t="s">
        <v>54</v>
      </c>
      <c r="O1060" t="s">
        <v>53</v>
      </c>
      <c r="P1060" t="s">
        <v>54</v>
      </c>
      <c r="Q1060" t="s">
        <v>53</v>
      </c>
      <c r="R1060" t="s">
        <v>53</v>
      </c>
      <c r="S1060" t="s">
        <v>861</v>
      </c>
      <c r="T1060" t="s">
        <v>827</v>
      </c>
      <c r="U1060" t="s">
        <v>53</v>
      </c>
      <c r="V1060" t="s">
        <v>51</v>
      </c>
      <c r="W1060">
        <v>30000</v>
      </c>
      <c r="X1060" t="s">
        <v>54</v>
      </c>
      <c r="AA1060">
        <v>396</v>
      </c>
      <c r="AB1060">
        <v>328</v>
      </c>
      <c r="AC1060">
        <v>9520</v>
      </c>
      <c r="AD1060">
        <v>1163</v>
      </c>
      <c r="AE1060">
        <v>10304</v>
      </c>
      <c r="AF1060">
        <v>1</v>
      </c>
      <c r="AG1060">
        <v>2</v>
      </c>
      <c r="AH1060">
        <v>13.02831935882568</v>
      </c>
      <c r="AI1060">
        <v>2</v>
      </c>
      <c r="AJ1060">
        <v>0.66479456424713135</v>
      </c>
      <c r="AK1060" t="s">
        <v>53</v>
      </c>
      <c r="AL1060" t="s">
        <v>54</v>
      </c>
      <c r="AP1060" t="s">
        <v>5451</v>
      </c>
      <c r="AQ1060" t="s">
        <v>54</v>
      </c>
      <c r="AT1060" t="s">
        <v>1407</v>
      </c>
      <c r="AW1060" t="s">
        <v>53</v>
      </c>
      <c r="AZ1060" t="s">
        <v>54</v>
      </c>
      <c r="BA1060" t="s">
        <v>729</v>
      </c>
    </row>
    <row r="1061" spans="1:53" x14ac:dyDescent="0.25">
      <c r="A1061">
        <v>1056</v>
      </c>
      <c r="B1061" t="s">
        <v>2127</v>
      </c>
      <c r="C1061" t="s">
        <v>2128</v>
      </c>
      <c r="D1061" t="s">
        <v>2129</v>
      </c>
      <c r="E1061">
        <v>6</v>
      </c>
      <c r="F1061" t="s">
        <v>719</v>
      </c>
      <c r="G1061" t="s">
        <v>805</v>
      </c>
      <c r="H1061" t="s">
        <v>806</v>
      </c>
      <c r="I1061" t="s">
        <v>1484</v>
      </c>
      <c r="J1061" t="s">
        <v>2125</v>
      </c>
      <c r="K1061" t="s">
        <v>2126</v>
      </c>
      <c r="L1061" t="s">
        <v>725</v>
      </c>
      <c r="M1061">
        <v>4.929196834564209</v>
      </c>
      <c r="N1061" t="s">
        <v>54</v>
      </c>
      <c r="O1061" t="s">
        <v>53</v>
      </c>
      <c r="P1061" t="s">
        <v>54</v>
      </c>
      <c r="Q1061" t="s">
        <v>53</v>
      </c>
      <c r="R1061" t="s">
        <v>53</v>
      </c>
      <c r="S1061" t="s">
        <v>861</v>
      </c>
      <c r="T1061" t="s">
        <v>827</v>
      </c>
      <c r="U1061" t="s">
        <v>53</v>
      </c>
      <c r="V1061" t="s">
        <v>51</v>
      </c>
      <c r="W1061">
        <v>30000</v>
      </c>
      <c r="X1061" t="s">
        <v>54</v>
      </c>
      <c r="AA1061">
        <v>396</v>
      </c>
      <c r="AB1061">
        <v>328</v>
      </c>
      <c r="AC1061">
        <v>9520</v>
      </c>
      <c r="AD1061">
        <v>1163</v>
      </c>
      <c r="AE1061">
        <v>10304</v>
      </c>
      <c r="AF1061">
        <v>1</v>
      </c>
      <c r="AG1061">
        <v>2</v>
      </c>
      <c r="AH1061">
        <v>13.02831935882568</v>
      </c>
      <c r="AI1061">
        <v>2</v>
      </c>
      <c r="AJ1061">
        <v>0.66479456424713135</v>
      </c>
      <c r="AK1061" t="s">
        <v>53</v>
      </c>
      <c r="AL1061" t="s">
        <v>54</v>
      </c>
      <c r="AP1061" t="s">
        <v>5451</v>
      </c>
      <c r="AQ1061" t="s">
        <v>54</v>
      </c>
      <c r="AT1061" t="s">
        <v>1407</v>
      </c>
      <c r="AW1061" t="s">
        <v>53</v>
      </c>
      <c r="AZ1061" t="s">
        <v>54</v>
      </c>
      <c r="BA1061" t="s">
        <v>729</v>
      </c>
    </row>
    <row r="1062" spans="1:53" x14ac:dyDescent="0.25">
      <c r="A1062">
        <v>1057</v>
      </c>
      <c r="B1062" t="s">
        <v>2131</v>
      </c>
      <c r="C1062" t="s">
        <v>2132</v>
      </c>
      <c r="D1062" t="s">
        <v>2133</v>
      </c>
      <c r="E1062">
        <v>6</v>
      </c>
      <c r="F1062" t="s">
        <v>719</v>
      </c>
      <c r="G1062" t="s">
        <v>169</v>
      </c>
      <c r="H1062" t="s">
        <v>795</v>
      </c>
      <c r="I1062" t="s">
        <v>2134</v>
      </c>
      <c r="J1062" t="s">
        <v>2135</v>
      </c>
      <c r="K1062" t="s">
        <v>2136</v>
      </c>
      <c r="L1062" t="s">
        <v>725</v>
      </c>
      <c r="M1062">
        <v>27.40939903259277</v>
      </c>
      <c r="N1062" t="s">
        <v>53</v>
      </c>
      <c r="O1062" t="s">
        <v>53</v>
      </c>
      <c r="P1062" t="s">
        <v>54</v>
      </c>
      <c r="Q1062" t="s">
        <v>53</v>
      </c>
      <c r="R1062" t="s">
        <v>53</v>
      </c>
      <c r="S1062" t="s">
        <v>942</v>
      </c>
      <c r="T1062" t="s">
        <v>943</v>
      </c>
      <c r="U1062" t="s">
        <v>53</v>
      </c>
      <c r="V1062" t="s">
        <v>51</v>
      </c>
      <c r="W1062">
        <v>30000</v>
      </c>
      <c r="X1062" t="s">
        <v>54</v>
      </c>
      <c r="AA1062">
        <v>1250</v>
      </c>
      <c r="AB1062">
        <v>966</v>
      </c>
      <c r="AC1062">
        <v>6741</v>
      </c>
      <c r="AD1062">
        <v>1895</v>
      </c>
      <c r="AE1062">
        <v>8190</v>
      </c>
      <c r="AF1062">
        <v>8</v>
      </c>
      <c r="AG1062">
        <v>0</v>
      </c>
      <c r="AH1062">
        <v>43.312946319580078</v>
      </c>
      <c r="AI1062">
        <v>0</v>
      </c>
      <c r="AJ1062">
        <v>178.80146789550781</v>
      </c>
      <c r="AK1062" t="s">
        <v>53</v>
      </c>
      <c r="AL1062" t="s">
        <v>53</v>
      </c>
      <c r="AP1062" t="s">
        <v>5451</v>
      </c>
      <c r="AQ1062" t="s">
        <v>54</v>
      </c>
      <c r="AT1062" t="s">
        <v>1864</v>
      </c>
      <c r="AW1062" t="s">
        <v>53</v>
      </c>
      <c r="AZ1062" t="s">
        <v>54</v>
      </c>
      <c r="BA1062" t="s">
        <v>729</v>
      </c>
    </row>
    <row r="1063" spans="1:53" x14ac:dyDescent="0.25">
      <c r="A1063">
        <v>1058</v>
      </c>
      <c r="B1063" t="s">
        <v>2137</v>
      </c>
      <c r="C1063" t="s">
        <v>2138</v>
      </c>
      <c r="D1063" t="s">
        <v>2139</v>
      </c>
      <c r="E1063">
        <v>6</v>
      </c>
      <c r="F1063" t="s">
        <v>719</v>
      </c>
      <c r="G1063" t="s">
        <v>2140</v>
      </c>
      <c r="H1063" t="s">
        <v>795</v>
      </c>
      <c r="I1063" t="s">
        <v>1004</v>
      </c>
      <c r="J1063" t="s">
        <v>1005</v>
      </c>
      <c r="K1063" t="s">
        <v>1006</v>
      </c>
      <c r="L1063" t="s">
        <v>725</v>
      </c>
      <c r="M1063">
        <v>102.408447265625</v>
      </c>
      <c r="N1063" t="s">
        <v>54</v>
      </c>
      <c r="O1063" t="s">
        <v>53</v>
      </c>
      <c r="P1063" t="s">
        <v>54</v>
      </c>
      <c r="Q1063" t="s">
        <v>53</v>
      </c>
      <c r="R1063" t="s">
        <v>53</v>
      </c>
      <c r="S1063" t="s">
        <v>861</v>
      </c>
      <c r="T1063" t="s">
        <v>819</v>
      </c>
      <c r="U1063" t="s">
        <v>53</v>
      </c>
      <c r="V1063" t="s">
        <v>51</v>
      </c>
      <c r="W1063">
        <v>30000</v>
      </c>
      <c r="X1063" t="s">
        <v>54</v>
      </c>
      <c r="AA1063">
        <v>14917</v>
      </c>
      <c r="AB1063">
        <v>13124</v>
      </c>
      <c r="AC1063">
        <v>40863</v>
      </c>
      <c r="AD1063">
        <v>43963</v>
      </c>
      <c r="AE1063">
        <v>72758</v>
      </c>
      <c r="AF1063">
        <v>155</v>
      </c>
      <c r="AG1063">
        <v>9</v>
      </c>
      <c r="AH1063">
        <v>264.17852783203119</v>
      </c>
      <c r="AI1063">
        <v>9</v>
      </c>
      <c r="AJ1063">
        <v>161.8218078613281</v>
      </c>
      <c r="AK1063" t="s">
        <v>53</v>
      </c>
      <c r="AL1063" t="s">
        <v>54</v>
      </c>
      <c r="AP1063" t="s">
        <v>5451</v>
      </c>
      <c r="AQ1063" t="s">
        <v>54</v>
      </c>
      <c r="AT1063" t="s">
        <v>1407</v>
      </c>
      <c r="AW1063" t="s">
        <v>53</v>
      </c>
      <c r="AZ1063" t="s">
        <v>54</v>
      </c>
      <c r="BA1063" t="s">
        <v>729</v>
      </c>
    </row>
    <row r="1064" spans="1:53" x14ac:dyDescent="0.25">
      <c r="A1064">
        <v>1059</v>
      </c>
      <c r="B1064" t="s">
        <v>2141</v>
      </c>
      <c r="C1064" t="s">
        <v>2142</v>
      </c>
      <c r="D1064" t="s">
        <v>2143</v>
      </c>
      <c r="E1064">
        <v>6</v>
      </c>
      <c r="F1064" t="s">
        <v>719</v>
      </c>
      <c r="G1064" t="s">
        <v>2144</v>
      </c>
      <c r="H1064" t="s">
        <v>857</v>
      </c>
      <c r="I1064" t="s">
        <v>2145</v>
      </c>
      <c r="J1064" t="s">
        <v>2146</v>
      </c>
      <c r="K1064" t="s">
        <v>2147</v>
      </c>
      <c r="L1064" t="s">
        <v>725</v>
      </c>
      <c r="M1064">
        <v>200.27326965332031</v>
      </c>
      <c r="N1064" t="s">
        <v>54</v>
      </c>
      <c r="O1064" t="s">
        <v>53</v>
      </c>
      <c r="P1064" t="s">
        <v>54</v>
      </c>
      <c r="Q1064" t="s">
        <v>53</v>
      </c>
      <c r="R1064" t="s">
        <v>53</v>
      </c>
      <c r="S1064" t="s">
        <v>861</v>
      </c>
      <c r="T1064" t="s">
        <v>819</v>
      </c>
      <c r="U1064" t="s">
        <v>53</v>
      </c>
      <c r="V1064" t="s">
        <v>51</v>
      </c>
      <c r="W1064">
        <v>30000</v>
      </c>
      <c r="X1064" t="s">
        <v>54</v>
      </c>
      <c r="AA1064">
        <v>27164</v>
      </c>
      <c r="AB1064">
        <v>22913</v>
      </c>
      <c r="AC1064">
        <v>66214</v>
      </c>
      <c r="AD1064">
        <v>75350</v>
      </c>
      <c r="AE1064">
        <v>120966</v>
      </c>
      <c r="AF1064">
        <v>233</v>
      </c>
      <c r="AG1064">
        <v>12</v>
      </c>
      <c r="AH1064">
        <v>458.135498046875</v>
      </c>
      <c r="AI1064">
        <v>12</v>
      </c>
      <c r="AJ1064">
        <v>532.72027587890625</v>
      </c>
      <c r="AK1064" t="s">
        <v>53</v>
      </c>
      <c r="AL1064" t="s">
        <v>54</v>
      </c>
      <c r="AP1064" t="s">
        <v>5451</v>
      </c>
      <c r="AQ1064" t="s">
        <v>54</v>
      </c>
      <c r="AT1064" t="s">
        <v>1407</v>
      </c>
      <c r="AW1064" t="s">
        <v>53</v>
      </c>
      <c r="AZ1064" t="s">
        <v>54</v>
      </c>
      <c r="BA1064" t="s">
        <v>729</v>
      </c>
    </row>
    <row r="1065" spans="1:53" x14ac:dyDescent="0.25">
      <c r="A1065">
        <v>1060</v>
      </c>
      <c r="B1065" t="s">
        <v>2148</v>
      </c>
      <c r="C1065" t="s">
        <v>2149</v>
      </c>
      <c r="D1065" t="s">
        <v>2150</v>
      </c>
      <c r="E1065">
        <v>6</v>
      </c>
      <c r="F1065" t="s">
        <v>719</v>
      </c>
      <c r="G1065" t="s">
        <v>848</v>
      </c>
      <c r="H1065" t="s">
        <v>948</v>
      </c>
      <c r="I1065" t="s">
        <v>1555</v>
      </c>
      <c r="J1065" t="s">
        <v>2151</v>
      </c>
      <c r="K1065" t="s">
        <v>2152</v>
      </c>
      <c r="L1065" t="s">
        <v>725</v>
      </c>
      <c r="M1065">
        <v>48.362499237060547</v>
      </c>
      <c r="N1065" t="s">
        <v>53</v>
      </c>
      <c r="O1065" t="s">
        <v>53</v>
      </c>
      <c r="P1065" t="s">
        <v>54</v>
      </c>
      <c r="Q1065" t="s">
        <v>53</v>
      </c>
      <c r="R1065" t="s">
        <v>53</v>
      </c>
      <c r="S1065" t="s">
        <v>1514</v>
      </c>
      <c r="T1065" t="s">
        <v>2071</v>
      </c>
      <c r="U1065" t="s">
        <v>53</v>
      </c>
      <c r="V1065" t="s">
        <v>51</v>
      </c>
      <c r="W1065">
        <v>30000</v>
      </c>
      <c r="X1065" t="s">
        <v>54</v>
      </c>
      <c r="AA1065">
        <v>550</v>
      </c>
      <c r="AB1065">
        <v>440</v>
      </c>
      <c r="AC1065">
        <v>1188</v>
      </c>
      <c r="AD1065">
        <v>1514</v>
      </c>
      <c r="AE1065">
        <v>2324</v>
      </c>
      <c r="AF1065">
        <v>7</v>
      </c>
      <c r="AG1065">
        <v>0</v>
      </c>
      <c r="AH1065">
        <v>13.82215690612793</v>
      </c>
      <c r="AI1065">
        <v>0</v>
      </c>
      <c r="AJ1065">
        <v>98.242111206054688</v>
      </c>
      <c r="AK1065" t="s">
        <v>53</v>
      </c>
      <c r="AL1065" t="s">
        <v>53</v>
      </c>
      <c r="AP1065" t="s">
        <v>5451</v>
      </c>
      <c r="AQ1065" t="s">
        <v>54</v>
      </c>
      <c r="AT1065" t="s">
        <v>0</v>
      </c>
      <c r="AW1065" t="s">
        <v>53</v>
      </c>
      <c r="AZ1065" t="s">
        <v>54</v>
      </c>
      <c r="BA1065" t="s">
        <v>729</v>
      </c>
    </row>
    <row r="1066" spans="1:53" x14ac:dyDescent="0.25">
      <c r="A1066">
        <v>1061</v>
      </c>
      <c r="B1066" t="s">
        <v>2153</v>
      </c>
      <c r="C1066" t="s">
        <v>2154</v>
      </c>
      <c r="D1066" t="s">
        <v>2155</v>
      </c>
      <c r="E1066">
        <v>6</v>
      </c>
      <c r="F1066" t="s">
        <v>719</v>
      </c>
      <c r="G1066" t="s">
        <v>848</v>
      </c>
      <c r="H1066" t="s">
        <v>948</v>
      </c>
      <c r="I1066" t="s">
        <v>1555</v>
      </c>
      <c r="J1066" t="s">
        <v>2151</v>
      </c>
      <c r="K1066" t="s">
        <v>2152</v>
      </c>
      <c r="L1066" t="s">
        <v>725</v>
      </c>
      <c r="M1066">
        <v>48.362499237060547</v>
      </c>
      <c r="N1066" t="s">
        <v>53</v>
      </c>
      <c r="O1066" t="s">
        <v>53</v>
      </c>
      <c r="P1066" t="s">
        <v>54</v>
      </c>
      <c r="Q1066" t="s">
        <v>53</v>
      </c>
      <c r="R1066" t="s">
        <v>53</v>
      </c>
      <c r="S1066" t="s">
        <v>1514</v>
      </c>
      <c r="T1066" t="s">
        <v>2071</v>
      </c>
      <c r="U1066" t="s">
        <v>53</v>
      </c>
      <c r="V1066" t="s">
        <v>51</v>
      </c>
      <c r="W1066">
        <v>30000</v>
      </c>
      <c r="X1066" t="s">
        <v>54</v>
      </c>
      <c r="AA1066">
        <v>550</v>
      </c>
      <c r="AB1066">
        <v>440</v>
      </c>
      <c r="AC1066">
        <v>1188</v>
      </c>
      <c r="AD1066">
        <v>1514</v>
      </c>
      <c r="AE1066">
        <v>2324</v>
      </c>
      <c r="AF1066">
        <v>7</v>
      </c>
      <c r="AG1066">
        <v>0</v>
      </c>
      <c r="AH1066">
        <v>13.82215690612793</v>
      </c>
      <c r="AI1066">
        <v>0</v>
      </c>
      <c r="AJ1066">
        <v>98.242111206054688</v>
      </c>
      <c r="AK1066" t="s">
        <v>53</v>
      </c>
      <c r="AL1066" t="s">
        <v>53</v>
      </c>
      <c r="AP1066" t="s">
        <v>5451</v>
      </c>
      <c r="AQ1066" t="s">
        <v>54</v>
      </c>
      <c r="AT1066" t="s">
        <v>0</v>
      </c>
      <c r="AW1066" t="s">
        <v>53</v>
      </c>
      <c r="AZ1066" t="s">
        <v>54</v>
      </c>
      <c r="BA1066" t="s">
        <v>729</v>
      </c>
    </row>
    <row r="1067" spans="1:53" x14ac:dyDescent="0.25">
      <c r="A1067">
        <v>1062</v>
      </c>
      <c r="B1067" t="s">
        <v>2156</v>
      </c>
      <c r="C1067" t="s">
        <v>2157</v>
      </c>
      <c r="D1067" t="s">
        <v>2158</v>
      </c>
      <c r="E1067">
        <v>6</v>
      </c>
      <c r="F1067" t="s">
        <v>719</v>
      </c>
      <c r="G1067" t="s">
        <v>1097</v>
      </c>
      <c r="H1067" t="s">
        <v>795</v>
      </c>
      <c r="I1067" t="s">
        <v>1004</v>
      </c>
      <c r="J1067" t="s">
        <v>1005</v>
      </c>
      <c r="K1067" t="s">
        <v>1006</v>
      </c>
      <c r="L1067" t="s">
        <v>725</v>
      </c>
      <c r="M1067">
        <v>20.829156875610352</v>
      </c>
      <c r="N1067" t="s">
        <v>53</v>
      </c>
      <c r="O1067" t="s">
        <v>53</v>
      </c>
      <c r="P1067" t="s">
        <v>54</v>
      </c>
      <c r="Q1067" t="s">
        <v>53</v>
      </c>
      <c r="R1067" t="s">
        <v>53</v>
      </c>
      <c r="S1067" t="s">
        <v>1103</v>
      </c>
      <c r="T1067" t="s">
        <v>1104</v>
      </c>
      <c r="U1067" t="s">
        <v>53</v>
      </c>
      <c r="V1067" t="s">
        <v>51</v>
      </c>
      <c r="W1067">
        <v>30000</v>
      </c>
      <c r="X1067" t="s">
        <v>54</v>
      </c>
      <c r="AA1067">
        <v>1680</v>
      </c>
      <c r="AB1067">
        <v>1601</v>
      </c>
      <c r="AC1067">
        <v>2108</v>
      </c>
      <c r="AD1067">
        <v>4640</v>
      </c>
      <c r="AE1067">
        <v>5467</v>
      </c>
      <c r="AF1067">
        <v>2</v>
      </c>
      <c r="AG1067">
        <v>5</v>
      </c>
      <c r="AH1067">
        <v>37.720420837402337</v>
      </c>
      <c r="AI1067">
        <v>5</v>
      </c>
      <c r="AJ1067">
        <v>18.37308311462402</v>
      </c>
      <c r="AK1067" t="s">
        <v>53</v>
      </c>
      <c r="AL1067" t="s">
        <v>54</v>
      </c>
      <c r="AP1067" t="s">
        <v>5451</v>
      </c>
      <c r="AQ1067" t="s">
        <v>54</v>
      </c>
      <c r="AT1067" t="s">
        <v>0</v>
      </c>
      <c r="AW1067" t="s">
        <v>53</v>
      </c>
      <c r="AZ1067" t="s">
        <v>54</v>
      </c>
      <c r="BA1067" t="s">
        <v>729</v>
      </c>
    </row>
    <row r="1068" spans="1:53" x14ac:dyDescent="0.25">
      <c r="A1068">
        <v>1063</v>
      </c>
      <c r="B1068" t="s">
        <v>2159</v>
      </c>
      <c r="C1068" t="s">
        <v>2160</v>
      </c>
      <c r="D1068" t="s">
        <v>2161</v>
      </c>
      <c r="E1068">
        <v>6</v>
      </c>
      <c r="F1068" t="s">
        <v>719</v>
      </c>
      <c r="G1068" t="s">
        <v>2162</v>
      </c>
      <c r="H1068" t="s">
        <v>1156</v>
      </c>
      <c r="I1068" t="s">
        <v>2163</v>
      </c>
      <c r="J1068" t="s">
        <v>2164</v>
      </c>
      <c r="K1068" t="s">
        <v>2165</v>
      </c>
      <c r="L1068" t="s">
        <v>725</v>
      </c>
      <c r="M1068">
        <v>32.944561004638672</v>
      </c>
      <c r="N1068" t="s">
        <v>54</v>
      </c>
      <c r="O1068" t="s">
        <v>53</v>
      </c>
      <c r="P1068" t="s">
        <v>53</v>
      </c>
      <c r="Q1068" t="s">
        <v>53</v>
      </c>
      <c r="R1068" t="s">
        <v>53</v>
      </c>
      <c r="S1068" t="s">
        <v>790</v>
      </c>
      <c r="T1068" t="s">
        <v>790</v>
      </c>
      <c r="U1068" t="s">
        <v>53</v>
      </c>
      <c r="V1068" t="s">
        <v>51</v>
      </c>
      <c r="W1068">
        <v>30000</v>
      </c>
      <c r="X1068" t="s">
        <v>54</v>
      </c>
      <c r="AA1068">
        <v>794</v>
      </c>
      <c r="AB1068">
        <v>633</v>
      </c>
      <c r="AC1068">
        <v>2664</v>
      </c>
      <c r="AD1068">
        <v>3432</v>
      </c>
      <c r="AE1068">
        <v>5042</v>
      </c>
      <c r="AF1068">
        <v>5</v>
      </c>
      <c r="AG1068">
        <v>0</v>
      </c>
      <c r="AH1068">
        <v>18.37222862243652</v>
      </c>
      <c r="AI1068">
        <v>0</v>
      </c>
      <c r="AJ1068">
        <v>15.153050422668461</v>
      </c>
      <c r="AK1068" t="s">
        <v>53</v>
      </c>
      <c r="AL1068" t="s">
        <v>53</v>
      </c>
      <c r="AP1068" t="s">
        <v>5451</v>
      </c>
      <c r="AQ1068" t="s">
        <v>54</v>
      </c>
      <c r="AT1068" t="s">
        <v>0</v>
      </c>
      <c r="AW1068" t="s">
        <v>53</v>
      </c>
      <c r="AZ1068" t="s">
        <v>54</v>
      </c>
      <c r="BA1068" t="s">
        <v>729</v>
      </c>
    </row>
    <row r="1069" spans="1:53" x14ac:dyDescent="0.25">
      <c r="A1069">
        <v>1064</v>
      </c>
      <c r="B1069" t="s">
        <v>2169</v>
      </c>
      <c r="C1069" t="s">
        <v>2170</v>
      </c>
      <c r="D1069" t="s">
        <v>2171</v>
      </c>
      <c r="E1069">
        <v>6</v>
      </c>
      <c r="F1069" t="s">
        <v>719</v>
      </c>
      <c r="G1069" t="s">
        <v>805</v>
      </c>
      <c r="H1069" t="s">
        <v>806</v>
      </c>
      <c r="I1069" t="s">
        <v>911</v>
      </c>
      <c r="J1069" t="s">
        <v>1883</v>
      </c>
      <c r="K1069" t="s">
        <v>1884</v>
      </c>
      <c r="L1069" t="s">
        <v>725</v>
      </c>
      <c r="M1069">
        <v>5.8196868896484384</v>
      </c>
      <c r="N1069" t="s">
        <v>53</v>
      </c>
      <c r="O1069" t="s">
        <v>53</v>
      </c>
      <c r="P1069" t="s">
        <v>54</v>
      </c>
      <c r="Q1069" t="s">
        <v>53</v>
      </c>
      <c r="R1069" t="s">
        <v>53</v>
      </c>
      <c r="S1069" t="s">
        <v>1469</v>
      </c>
      <c r="T1069" t="s">
        <v>827</v>
      </c>
      <c r="U1069" t="s">
        <v>53</v>
      </c>
      <c r="V1069" t="s">
        <v>51</v>
      </c>
      <c r="W1069">
        <v>30000</v>
      </c>
      <c r="X1069" t="s">
        <v>54</v>
      </c>
      <c r="AA1069">
        <v>1006</v>
      </c>
      <c r="AB1069">
        <v>935</v>
      </c>
      <c r="AC1069">
        <v>2542</v>
      </c>
      <c r="AD1069">
        <v>2806</v>
      </c>
      <c r="AE1069">
        <v>4553</v>
      </c>
      <c r="AF1069">
        <v>6</v>
      </c>
      <c r="AG1069">
        <v>0</v>
      </c>
      <c r="AH1069">
        <v>11.760966300964361</v>
      </c>
      <c r="AI1069">
        <v>0</v>
      </c>
      <c r="AK1069" t="s">
        <v>53</v>
      </c>
      <c r="AL1069" t="s">
        <v>54</v>
      </c>
      <c r="AP1069" t="s">
        <v>5451</v>
      </c>
      <c r="AQ1069" t="s">
        <v>54</v>
      </c>
      <c r="AT1069" t="s">
        <v>0</v>
      </c>
      <c r="AW1069" t="s">
        <v>53</v>
      </c>
      <c r="AZ1069" t="s">
        <v>54</v>
      </c>
      <c r="BA1069" t="s">
        <v>729</v>
      </c>
    </row>
    <row r="1070" spans="1:53" x14ac:dyDescent="0.25">
      <c r="A1070">
        <v>1065</v>
      </c>
      <c r="B1070" t="s">
        <v>2172</v>
      </c>
      <c r="C1070" t="s">
        <v>2173</v>
      </c>
      <c r="D1070" t="s">
        <v>2174</v>
      </c>
      <c r="E1070">
        <v>6</v>
      </c>
      <c r="F1070" t="s">
        <v>719</v>
      </c>
      <c r="G1070" t="s">
        <v>1166</v>
      </c>
      <c r="H1070" t="s">
        <v>795</v>
      </c>
      <c r="I1070" t="s">
        <v>1039</v>
      </c>
      <c r="J1070" t="s">
        <v>1040</v>
      </c>
      <c r="K1070" t="s">
        <v>1041</v>
      </c>
      <c r="L1070" t="s">
        <v>725</v>
      </c>
      <c r="M1070">
        <v>6.9490265846252441</v>
      </c>
      <c r="N1070" t="s">
        <v>53</v>
      </c>
      <c r="O1070" t="s">
        <v>53</v>
      </c>
      <c r="P1070" t="s">
        <v>54</v>
      </c>
      <c r="Q1070" t="s">
        <v>53</v>
      </c>
      <c r="R1070" t="s">
        <v>53</v>
      </c>
      <c r="S1070" t="s">
        <v>1122</v>
      </c>
      <c r="T1070" t="s">
        <v>2175</v>
      </c>
      <c r="U1070" t="s">
        <v>53</v>
      </c>
      <c r="V1070" t="s">
        <v>51</v>
      </c>
      <c r="W1070">
        <v>30000</v>
      </c>
      <c r="X1070" t="s">
        <v>54</v>
      </c>
      <c r="AA1070">
        <v>3337</v>
      </c>
      <c r="AB1070">
        <v>2777</v>
      </c>
      <c r="AC1070">
        <v>1585</v>
      </c>
      <c r="AD1070">
        <v>5554</v>
      </c>
      <c r="AE1070">
        <v>5906</v>
      </c>
      <c r="AF1070">
        <v>5</v>
      </c>
      <c r="AG1070">
        <v>0</v>
      </c>
      <c r="AH1070">
        <v>50.356361389160163</v>
      </c>
      <c r="AI1070">
        <v>0</v>
      </c>
      <c r="AJ1070">
        <v>48.622146606445313</v>
      </c>
      <c r="AK1070" t="s">
        <v>53</v>
      </c>
      <c r="AL1070" t="s">
        <v>53</v>
      </c>
      <c r="AP1070" t="s">
        <v>5451</v>
      </c>
      <c r="AQ1070" t="s">
        <v>54</v>
      </c>
      <c r="AT1070" t="s">
        <v>0</v>
      </c>
      <c r="AW1070" t="s">
        <v>53</v>
      </c>
      <c r="AZ1070" t="s">
        <v>54</v>
      </c>
      <c r="BA1070" t="s">
        <v>729</v>
      </c>
    </row>
    <row r="1071" spans="1:53" x14ac:dyDescent="0.25">
      <c r="A1071">
        <v>1066</v>
      </c>
      <c r="B1071" t="s">
        <v>2184</v>
      </c>
      <c r="C1071" t="s">
        <v>2185</v>
      </c>
      <c r="D1071" t="s">
        <v>2186</v>
      </c>
      <c r="E1071">
        <v>6</v>
      </c>
      <c r="F1071" t="s">
        <v>719</v>
      </c>
      <c r="G1071" t="s">
        <v>805</v>
      </c>
      <c r="H1071" t="s">
        <v>806</v>
      </c>
      <c r="I1071" t="s">
        <v>816</v>
      </c>
      <c r="J1071" t="s">
        <v>2187</v>
      </c>
      <c r="K1071" t="s">
        <v>2188</v>
      </c>
      <c r="L1071" t="s">
        <v>725</v>
      </c>
      <c r="M1071">
        <v>0.84855753183364868</v>
      </c>
      <c r="N1071" t="s">
        <v>54</v>
      </c>
      <c r="O1071" t="s">
        <v>53</v>
      </c>
      <c r="P1071" t="s">
        <v>54</v>
      </c>
      <c r="Q1071" t="s">
        <v>53</v>
      </c>
      <c r="R1071" t="s">
        <v>53</v>
      </c>
      <c r="S1071" t="s">
        <v>810</v>
      </c>
      <c r="T1071" t="s">
        <v>827</v>
      </c>
      <c r="U1071" t="s">
        <v>53</v>
      </c>
      <c r="V1071" t="s">
        <v>51</v>
      </c>
      <c r="W1071">
        <v>30000</v>
      </c>
      <c r="X1071" t="s">
        <v>54</v>
      </c>
      <c r="AA1071">
        <v>153</v>
      </c>
      <c r="AB1071">
        <v>148</v>
      </c>
      <c r="AC1071">
        <v>156</v>
      </c>
      <c r="AD1071">
        <v>529</v>
      </c>
      <c r="AE1071">
        <v>531</v>
      </c>
      <c r="AF1071">
        <v>3</v>
      </c>
      <c r="AG1071">
        <v>0</v>
      </c>
      <c r="AH1071">
        <v>2.01900315284729</v>
      </c>
      <c r="AI1071">
        <v>0</v>
      </c>
      <c r="AK1071" t="s">
        <v>53</v>
      </c>
      <c r="AL1071" t="s">
        <v>54</v>
      </c>
      <c r="AP1071" t="s">
        <v>5451</v>
      </c>
      <c r="AQ1071" t="s">
        <v>54</v>
      </c>
      <c r="AT1071" t="s">
        <v>1864</v>
      </c>
      <c r="AW1071" t="s">
        <v>53</v>
      </c>
      <c r="AZ1071" t="s">
        <v>54</v>
      </c>
      <c r="BA1071" t="s">
        <v>729</v>
      </c>
    </row>
    <row r="1072" spans="1:53" x14ac:dyDescent="0.25">
      <c r="A1072">
        <v>1067</v>
      </c>
      <c r="B1072" t="s">
        <v>2190</v>
      </c>
      <c r="C1072" t="s">
        <v>2191</v>
      </c>
      <c r="D1072" t="s">
        <v>2192</v>
      </c>
      <c r="E1072">
        <v>6</v>
      </c>
      <c r="F1072" t="s">
        <v>719</v>
      </c>
      <c r="G1072" t="s">
        <v>169</v>
      </c>
      <c r="H1072" t="s">
        <v>795</v>
      </c>
      <c r="I1072" t="s">
        <v>871</v>
      </c>
      <c r="J1072" t="s">
        <v>872</v>
      </c>
      <c r="K1072" t="s">
        <v>873</v>
      </c>
      <c r="L1072" t="s">
        <v>725</v>
      </c>
      <c r="M1072">
        <v>1481.869750976562</v>
      </c>
      <c r="N1072" t="s">
        <v>53</v>
      </c>
      <c r="O1072" t="s">
        <v>53</v>
      </c>
      <c r="P1072" t="s">
        <v>54</v>
      </c>
      <c r="Q1072" t="s">
        <v>53</v>
      </c>
      <c r="R1072" t="s">
        <v>53</v>
      </c>
      <c r="S1072" t="s">
        <v>933</v>
      </c>
      <c r="T1072" t="s">
        <v>2193</v>
      </c>
      <c r="U1072" t="s">
        <v>53</v>
      </c>
      <c r="V1072" t="s">
        <v>51</v>
      </c>
      <c r="W1072">
        <v>30000</v>
      </c>
      <c r="X1072" t="s">
        <v>54</v>
      </c>
      <c r="AA1072">
        <v>18848</v>
      </c>
      <c r="AB1072">
        <v>14344</v>
      </c>
      <c r="AC1072">
        <v>38626</v>
      </c>
      <c r="AD1072">
        <v>35449</v>
      </c>
      <c r="AE1072">
        <v>65547</v>
      </c>
      <c r="AF1072">
        <v>248</v>
      </c>
      <c r="AG1072">
        <v>0</v>
      </c>
      <c r="AH1072">
        <v>328.06332397460938</v>
      </c>
      <c r="AI1072">
        <v>0</v>
      </c>
      <c r="AJ1072">
        <v>8584.16015625</v>
      </c>
      <c r="AK1072" t="s">
        <v>53</v>
      </c>
      <c r="AL1072" t="s">
        <v>54</v>
      </c>
      <c r="AP1072" t="s">
        <v>5451</v>
      </c>
      <c r="AQ1072" t="s">
        <v>54</v>
      </c>
      <c r="AT1072" t="s">
        <v>935</v>
      </c>
      <c r="AW1072" t="s">
        <v>53</v>
      </c>
      <c r="AZ1072" t="s">
        <v>54</v>
      </c>
      <c r="BA1072" t="s">
        <v>729</v>
      </c>
    </row>
    <row r="1073" spans="1:53" x14ac:dyDescent="0.25">
      <c r="A1073">
        <v>1068</v>
      </c>
      <c r="B1073" t="s">
        <v>2194</v>
      </c>
      <c r="C1073" t="s">
        <v>2195</v>
      </c>
      <c r="D1073" t="s">
        <v>2196</v>
      </c>
      <c r="E1073">
        <v>6</v>
      </c>
      <c r="F1073" t="s">
        <v>719</v>
      </c>
      <c r="G1073" t="s">
        <v>2197</v>
      </c>
      <c r="H1073" t="s">
        <v>1347</v>
      </c>
      <c r="I1073" t="s">
        <v>2198</v>
      </c>
      <c r="J1073" t="s">
        <v>872</v>
      </c>
      <c r="K1073" t="s">
        <v>873</v>
      </c>
      <c r="L1073" t="s">
        <v>725</v>
      </c>
      <c r="M1073">
        <v>1042.202880859375</v>
      </c>
      <c r="N1073" t="s">
        <v>53</v>
      </c>
      <c r="O1073" t="s">
        <v>53</v>
      </c>
      <c r="P1073" t="s">
        <v>54</v>
      </c>
      <c r="Q1073" t="s">
        <v>53</v>
      </c>
      <c r="R1073" t="s">
        <v>53</v>
      </c>
      <c r="S1073" t="s">
        <v>810</v>
      </c>
      <c r="T1073" t="s">
        <v>819</v>
      </c>
      <c r="U1073" t="s">
        <v>53</v>
      </c>
      <c r="V1073" t="s">
        <v>51</v>
      </c>
      <c r="W1073">
        <v>30000</v>
      </c>
      <c r="X1073" t="s">
        <v>54</v>
      </c>
      <c r="AA1073">
        <v>53765</v>
      </c>
      <c r="AB1073">
        <v>42231</v>
      </c>
      <c r="AC1073">
        <v>217825</v>
      </c>
      <c r="AD1073">
        <v>168760</v>
      </c>
      <c r="AE1073">
        <v>335950</v>
      </c>
      <c r="AF1073">
        <v>937</v>
      </c>
      <c r="AG1073">
        <v>47</v>
      </c>
      <c r="AH1073">
        <v>1051.7412109375</v>
      </c>
      <c r="AI1073">
        <v>47</v>
      </c>
      <c r="AJ1073">
        <v>2742.036865234375</v>
      </c>
      <c r="AK1073" t="s">
        <v>53</v>
      </c>
      <c r="AL1073" t="s">
        <v>54</v>
      </c>
      <c r="AP1073" t="s">
        <v>5451</v>
      </c>
      <c r="AQ1073" t="s">
        <v>54</v>
      </c>
      <c r="AT1073" t="s">
        <v>1864</v>
      </c>
      <c r="AW1073" t="s">
        <v>53</v>
      </c>
      <c r="AZ1073" t="s">
        <v>54</v>
      </c>
      <c r="BA1073" t="s">
        <v>729</v>
      </c>
    </row>
    <row r="1074" spans="1:53" x14ac:dyDescent="0.25">
      <c r="A1074">
        <v>1069</v>
      </c>
      <c r="B1074" t="s">
        <v>2199</v>
      </c>
      <c r="C1074" t="s">
        <v>2200</v>
      </c>
      <c r="D1074" t="s">
        <v>2201</v>
      </c>
      <c r="E1074">
        <v>6</v>
      </c>
      <c r="F1074" t="s">
        <v>719</v>
      </c>
      <c r="G1074" t="s">
        <v>1354</v>
      </c>
      <c r="H1074" t="s">
        <v>1419</v>
      </c>
      <c r="I1074" t="s">
        <v>2202</v>
      </c>
      <c r="J1074" t="s">
        <v>872</v>
      </c>
      <c r="K1074" t="s">
        <v>873</v>
      </c>
      <c r="L1074" t="s">
        <v>725</v>
      </c>
      <c r="M1074">
        <v>542.60772705078125</v>
      </c>
      <c r="N1074" t="s">
        <v>53</v>
      </c>
      <c r="O1074" t="s">
        <v>53</v>
      </c>
      <c r="P1074" t="s">
        <v>54</v>
      </c>
      <c r="Q1074" t="s">
        <v>53</v>
      </c>
      <c r="R1074" t="s">
        <v>53</v>
      </c>
      <c r="S1074" t="s">
        <v>810</v>
      </c>
      <c r="T1074" t="s">
        <v>2203</v>
      </c>
      <c r="U1074" t="s">
        <v>53</v>
      </c>
      <c r="V1074" t="s">
        <v>51</v>
      </c>
      <c r="W1074">
        <v>30000</v>
      </c>
      <c r="X1074" t="s">
        <v>54</v>
      </c>
      <c r="AA1074">
        <v>33860</v>
      </c>
      <c r="AB1074">
        <v>27436</v>
      </c>
      <c r="AC1074">
        <v>176102</v>
      </c>
      <c r="AD1074">
        <v>131015</v>
      </c>
      <c r="AE1074">
        <v>267186</v>
      </c>
      <c r="AF1074">
        <v>562</v>
      </c>
      <c r="AG1074">
        <v>32</v>
      </c>
      <c r="AH1074">
        <v>601.40521240234375</v>
      </c>
      <c r="AI1074">
        <v>32</v>
      </c>
      <c r="AJ1074">
        <v>1841.856811523438</v>
      </c>
      <c r="AK1074" t="s">
        <v>53</v>
      </c>
      <c r="AL1074" t="s">
        <v>54</v>
      </c>
      <c r="AP1074" t="s">
        <v>5451</v>
      </c>
      <c r="AQ1074" t="s">
        <v>54</v>
      </c>
      <c r="AT1074" t="s">
        <v>1864</v>
      </c>
      <c r="AW1074" t="s">
        <v>53</v>
      </c>
      <c r="AZ1074" t="s">
        <v>54</v>
      </c>
      <c r="BA1074" t="s">
        <v>729</v>
      </c>
    </row>
    <row r="1075" spans="1:53" x14ac:dyDescent="0.25">
      <c r="A1075">
        <v>1070</v>
      </c>
      <c r="B1075" t="s">
        <v>2204</v>
      </c>
      <c r="C1075" t="s">
        <v>2205</v>
      </c>
      <c r="D1075" t="s">
        <v>2206</v>
      </c>
      <c r="E1075">
        <v>6</v>
      </c>
      <c r="F1075" t="s">
        <v>719</v>
      </c>
      <c r="G1075" t="s">
        <v>805</v>
      </c>
      <c r="H1075" t="s">
        <v>832</v>
      </c>
      <c r="I1075" t="s">
        <v>1340</v>
      </c>
      <c r="J1075" t="s">
        <v>1341</v>
      </c>
      <c r="K1075" t="s">
        <v>1342</v>
      </c>
      <c r="L1075" t="s">
        <v>725</v>
      </c>
      <c r="M1075">
        <v>31.025701522827148</v>
      </c>
      <c r="N1075" t="s">
        <v>54</v>
      </c>
      <c r="O1075" t="s">
        <v>53</v>
      </c>
      <c r="P1075" t="s">
        <v>54</v>
      </c>
      <c r="Q1075" t="s">
        <v>53</v>
      </c>
      <c r="R1075" t="s">
        <v>53</v>
      </c>
      <c r="S1075" t="s">
        <v>810</v>
      </c>
      <c r="T1075" t="s">
        <v>2207</v>
      </c>
      <c r="U1075" t="s">
        <v>53</v>
      </c>
      <c r="V1075" t="s">
        <v>51</v>
      </c>
      <c r="W1075">
        <v>30000</v>
      </c>
      <c r="X1075" t="s">
        <v>54</v>
      </c>
      <c r="AA1075">
        <v>812</v>
      </c>
      <c r="AB1075">
        <v>489</v>
      </c>
      <c r="AC1075">
        <v>2731</v>
      </c>
      <c r="AD1075">
        <v>2613</v>
      </c>
      <c r="AE1075">
        <v>4689</v>
      </c>
      <c r="AF1075">
        <v>24</v>
      </c>
      <c r="AG1075">
        <v>2</v>
      </c>
      <c r="AH1075">
        <v>18.82630729675293</v>
      </c>
      <c r="AI1075">
        <v>2</v>
      </c>
      <c r="AJ1075">
        <v>96.262977600097656</v>
      </c>
      <c r="AK1075" t="s">
        <v>53</v>
      </c>
      <c r="AL1075" t="s">
        <v>54</v>
      </c>
      <c r="AP1075" t="s">
        <v>5451</v>
      </c>
      <c r="AQ1075" t="s">
        <v>54</v>
      </c>
      <c r="AT1075" t="s">
        <v>1864</v>
      </c>
      <c r="AW1075" t="s">
        <v>53</v>
      </c>
      <c r="AZ1075" t="s">
        <v>54</v>
      </c>
      <c r="BA1075" t="s">
        <v>729</v>
      </c>
    </row>
    <row r="1076" spans="1:53" x14ac:dyDescent="0.25">
      <c r="A1076">
        <v>1071</v>
      </c>
      <c r="B1076" t="s">
        <v>2208</v>
      </c>
      <c r="C1076" t="s">
        <v>2209</v>
      </c>
      <c r="D1076" t="s">
        <v>2210</v>
      </c>
      <c r="E1076">
        <v>6</v>
      </c>
      <c r="F1076" t="s">
        <v>719</v>
      </c>
      <c r="G1076" t="s">
        <v>805</v>
      </c>
      <c r="H1076" t="s">
        <v>795</v>
      </c>
      <c r="I1076" t="s">
        <v>849</v>
      </c>
      <c r="J1076" t="s">
        <v>850</v>
      </c>
      <c r="K1076" t="s">
        <v>851</v>
      </c>
      <c r="L1076" t="s">
        <v>725</v>
      </c>
      <c r="M1076">
        <v>261.60003662109381</v>
      </c>
      <c r="N1076" t="s">
        <v>54</v>
      </c>
      <c r="O1076" t="s">
        <v>53</v>
      </c>
      <c r="P1076" t="s">
        <v>54</v>
      </c>
      <c r="Q1076" t="s">
        <v>53</v>
      </c>
      <c r="R1076" t="s">
        <v>53</v>
      </c>
      <c r="S1076" t="s">
        <v>1469</v>
      </c>
      <c r="T1076" t="s">
        <v>727</v>
      </c>
      <c r="U1076" t="s">
        <v>53</v>
      </c>
      <c r="V1076" t="s">
        <v>51</v>
      </c>
      <c r="W1076">
        <v>30000</v>
      </c>
      <c r="X1076" t="s">
        <v>54</v>
      </c>
      <c r="AA1076">
        <v>33653</v>
      </c>
      <c r="AB1076">
        <v>28408</v>
      </c>
      <c r="AC1076">
        <v>87865</v>
      </c>
      <c r="AD1076">
        <v>92717</v>
      </c>
      <c r="AE1076">
        <v>155360</v>
      </c>
      <c r="AF1076">
        <v>395</v>
      </c>
      <c r="AG1076">
        <v>16</v>
      </c>
      <c r="AH1076">
        <v>578.01934814453125</v>
      </c>
      <c r="AI1076">
        <v>16</v>
      </c>
      <c r="AJ1076">
        <v>596.686767578125</v>
      </c>
      <c r="AK1076" t="s">
        <v>53</v>
      </c>
      <c r="AL1076" t="s">
        <v>54</v>
      </c>
      <c r="AP1076" t="s">
        <v>5451</v>
      </c>
      <c r="AQ1076" t="s">
        <v>54</v>
      </c>
      <c r="AT1076" t="s">
        <v>0</v>
      </c>
      <c r="AW1076" t="s">
        <v>53</v>
      </c>
      <c r="AZ1076" t="s">
        <v>54</v>
      </c>
      <c r="BA1076" t="s">
        <v>729</v>
      </c>
    </row>
    <row r="1077" spans="1:53" x14ac:dyDescent="0.25">
      <c r="A1077">
        <v>1072</v>
      </c>
      <c r="B1077" t="s">
        <v>2217</v>
      </c>
      <c r="C1077" t="s">
        <v>2218</v>
      </c>
      <c r="D1077" t="s">
        <v>2219</v>
      </c>
      <c r="E1077">
        <v>6</v>
      </c>
      <c r="F1077" t="s">
        <v>719</v>
      </c>
      <c r="G1077" t="s">
        <v>805</v>
      </c>
      <c r="H1077" t="s">
        <v>806</v>
      </c>
      <c r="I1077" t="s">
        <v>816</v>
      </c>
      <c r="J1077" t="s">
        <v>2220</v>
      </c>
      <c r="K1077" t="s">
        <v>2221</v>
      </c>
      <c r="L1077" t="s">
        <v>725</v>
      </c>
      <c r="M1077">
        <v>3.3128657341003418</v>
      </c>
      <c r="N1077" t="s">
        <v>54</v>
      </c>
      <c r="O1077" t="s">
        <v>53</v>
      </c>
      <c r="P1077" t="s">
        <v>54</v>
      </c>
      <c r="Q1077" t="s">
        <v>53</v>
      </c>
      <c r="R1077" t="s">
        <v>53</v>
      </c>
      <c r="S1077" t="s">
        <v>861</v>
      </c>
      <c r="T1077" t="s">
        <v>819</v>
      </c>
      <c r="U1077" t="s">
        <v>53</v>
      </c>
      <c r="V1077" t="s">
        <v>51</v>
      </c>
      <c r="W1077">
        <v>30000</v>
      </c>
      <c r="X1077" t="s">
        <v>54</v>
      </c>
      <c r="AA1077">
        <v>346</v>
      </c>
      <c r="AB1077">
        <v>266</v>
      </c>
      <c r="AC1077">
        <v>441</v>
      </c>
      <c r="AD1077">
        <v>588</v>
      </c>
      <c r="AE1077">
        <v>917</v>
      </c>
      <c r="AF1077">
        <v>0</v>
      </c>
      <c r="AG1077">
        <v>0</v>
      </c>
      <c r="AH1077">
        <v>2.4145703315734859</v>
      </c>
      <c r="AI1077">
        <v>0</v>
      </c>
      <c r="AK1077" t="s">
        <v>53</v>
      </c>
      <c r="AL1077" t="s">
        <v>54</v>
      </c>
      <c r="AP1077" t="s">
        <v>5451</v>
      </c>
      <c r="AQ1077" t="s">
        <v>54</v>
      </c>
      <c r="AT1077" t="s">
        <v>1407</v>
      </c>
      <c r="AW1077" t="s">
        <v>53</v>
      </c>
      <c r="AZ1077" t="s">
        <v>54</v>
      </c>
      <c r="BA1077" t="s">
        <v>729</v>
      </c>
    </row>
    <row r="1078" spans="1:53" x14ac:dyDescent="0.25">
      <c r="A1078">
        <v>1073</v>
      </c>
      <c r="B1078" t="s">
        <v>2222</v>
      </c>
      <c r="C1078" t="s">
        <v>2223</v>
      </c>
      <c r="D1078" t="s">
        <v>2224</v>
      </c>
      <c r="E1078">
        <v>6</v>
      </c>
      <c r="F1078" t="s">
        <v>719</v>
      </c>
      <c r="G1078" t="s">
        <v>805</v>
      </c>
      <c r="H1078" t="s">
        <v>806</v>
      </c>
      <c r="I1078" t="s">
        <v>816</v>
      </c>
      <c r="J1078" t="s">
        <v>2220</v>
      </c>
      <c r="K1078" t="s">
        <v>2221</v>
      </c>
      <c r="L1078" t="s">
        <v>725</v>
      </c>
      <c r="M1078">
        <v>3.3128657341003418</v>
      </c>
      <c r="N1078" t="s">
        <v>54</v>
      </c>
      <c r="O1078" t="s">
        <v>53</v>
      </c>
      <c r="P1078" t="s">
        <v>54</v>
      </c>
      <c r="Q1078" t="s">
        <v>53</v>
      </c>
      <c r="R1078" t="s">
        <v>53</v>
      </c>
      <c r="S1078" t="s">
        <v>861</v>
      </c>
      <c r="T1078" t="s">
        <v>819</v>
      </c>
      <c r="U1078" t="s">
        <v>53</v>
      </c>
      <c r="V1078" t="s">
        <v>51</v>
      </c>
      <c r="W1078">
        <v>30000</v>
      </c>
      <c r="X1078" t="s">
        <v>54</v>
      </c>
      <c r="AA1078">
        <v>346</v>
      </c>
      <c r="AB1078">
        <v>266</v>
      </c>
      <c r="AC1078">
        <v>441</v>
      </c>
      <c r="AD1078">
        <v>588</v>
      </c>
      <c r="AE1078">
        <v>917</v>
      </c>
      <c r="AF1078">
        <v>0</v>
      </c>
      <c r="AG1078">
        <v>0</v>
      </c>
      <c r="AH1078">
        <v>2.4145703315734859</v>
      </c>
      <c r="AI1078">
        <v>0</v>
      </c>
      <c r="AK1078" t="s">
        <v>53</v>
      </c>
      <c r="AL1078" t="s">
        <v>54</v>
      </c>
      <c r="AP1078" t="s">
        <v>5451</v>
      </c>
      <c r="AQ1078" t="s">
        <v>54</v>
      </c>
      <c r="AT1078" t="s">
        <v>1407</v>
      </c>
      <c r="AW1078" t="s">
        <v>53</v>
      </c>
      <c r="AZ1078" t="s">
        <v>54</v>
      </c>
      <c r="BA1078" t="s">
        <v>729</v>
      </c>
    </row>
    <row r="1079" spans="1:53" x14ac:dyDescent="0.25">
      <c r="A1079">
        <v>1074</v>
      </c>
      <c r="B1079" t="s">
        <v>2225</v>
      </c>
      <c r="C1079" t="s">
        <v>2226</v>
      </c>
      <c r="D1079" t="s">
        <v>2227</v>
      </c>
      <c r="E1079">
        <v>6</v>
      </c>
      <c r="F1079" t="s">
        <v>719</v>
      </c>
      <c r="G1079" t="s">
        <v>805</v>
      </c>
      <c r="H1079" t="s">
        <v>806</v>
      </c>
      <c r="I1079" t="s">
        <v>816</v>
      </c>
      <c r="J1079" t="s">
        <v>2220</v>
      </c>
      <c r="K1079" t="s">
        <v>2221</v>
      </c>
      <c r="L1079" t="s">
        <v>725</v>
      </c>
      <c r="M1079">
        <v>3.3128657341003418</v>
      </c>
      <c r="N1079" t="s">
        <v>54</v>
      </c>
      <c r="O1079" t="s">
        <v>53</v>
      </c>
      <c r="P1079" t="s">
        <v>54</v>
      </c>
      <c r="Q1079" t="s">
        <v>53</v>
      </c>
      <c r="R1079" t="s">
        <v>53</v>
      </c>
      <c r="S1079" t="s">
        <v>861</v>
      </c>
      <c r="T1079" t="s">
        <v>819</v>
      </c>
      <c r="U1079" t="s">
        <v>53</v>
      </c>
      <c r="V1079" t="s">
        <v>51</v>
      </c>
      <c r="W1079">
        <v>30000</v>
      </c>
      <c r="X1079" t="s">
        <v>54</v>
      </c>
      <c r="AA1079">
        <v>346</v>
      </c>
      <c r="AB1079">
        <v>266</v>
      </c>
      <c r="AC1079">
        <v>441</v>
      </c>
      <c r="AD1079">
        <v>588</v>
      </c>
      <c r="AE1079">
        <v>917</v>
      </c>
      <c r="AF1079">
        <v>0</v>
      </c>
      <c r="AG1079">
        <v>0</v>
      </c>
      <c r="AH1079">
        <v>2.4145703315734859</v>
      </c>
      <c r="AI1079">
        <v>0</v>
      </c>
      <c r="AK1079" t="s">
        <v>53</v>
      </c>
      <c r="AL1079" t="s">
        <v>54</v>
      </c>
      <c r="AP1079" t="s">
        <v>5451</v>
      </c>
      <c r="AQ1079" t="s">
        <v>54</v>
      </c>
      <c r="AT1079" t="s">
        <v>1407</v>
      </c>
      <c r="AW1079" t="s">
        <v>53</v>
      </c>
      <c r="AZ1079" t="s">
        <v>54</v>
      </c>
      <c r="BA1079" t="s">
        <v>729</v>
      </c>
    </row>
    <row r="1080" spans="1:53" x14ac:dyDescent="0.25">
      <c r="A1080">
        <v>1075</v>
      </c>
      <c r="B1080" t="s">
        <v>2228</v>
      </c>
      <c r="C1080" t="s">
        <v>2229</v>
      </c>
      <c r="D1080" t="s">
        <v>1353</v>
      </c>
      <c r="E1080">
        <v>6</v>
      </c>
      <c r="F1080" t="s">
        <v>719</v>
      </c>
      <c r="G1080" t="s">
        <v>805</v>
      </c>
      <c r="H1080" t="s">
        <v>1419</v>
      </c>
      <c r="I1080" t="s">
        <v>2216</v>
      </c>
      <c r="J1080" t="s">
        <v>2230</v>
      </c>
      <c r="K1080" t="s">
        <v>2231</v>
      </c>
      <c r="L1080" t="s">
        <v>789</v>
      </c>
      <c r="M1080">
        <v>201.4797668457031</v>
      </c>
      <c r="N1080" t="s">
        <v>54</v>
      </c>
      <c r="O1080" t="s">
        <v>53</v>
      </c>
      <c r="P1080" t="s">
        <v>53</v>
      </c>
      <c r="Q1080" t="s">
        <v>53</v>
      </c>
      <c r="R1080" t="s">
        <v>53</v>
      </c>
      <c r="S1080" t="s">
        <v>861</v>
      </c>
      <c r="T1080" t="s">
        <v>2232</v>
      </c>
      <c r="U1080" t="s">
        <v>54</v>
      </c>
      <c r="V1080" t="s">
        <v>791</v>
      </c>
      <c r="W1080">
        <v>980000</v>
      </c>
      <c r="X1080" t="s">
        <v>54</v>
      </c>
      <c r="AA1080">
        <v>24236</v>
      </c>
      <c r="AB1080">
        <v>18993</v>
      </c>
      <c r="AC1080">
        <v>94342</v>
      </c>
      <c r="AD1080">
        <v>84452</v>
      </c>
      <c r="AE1080">
        <v>155940</v>
      </c>
      <c r="AF1080">
        <v>418</v>
      </c>
      <c r="AG1080">
        <v>17</v>
      </c>
      <c r="AH1080">
        <v>320.19662475585938</v>
      </c>
      <c r="AI1080">
        <v>17</v>
      </c>
      <c r="AJ1080">
        <v>161.00321960449219</v>
      </c>
      <c r="AK1080" t="s">
        <v>53</v>
      </c>
      <c r="AL1080" t="s">
        <v>54</v>
      </c>
      <c r="AP1080" t="s">
        <v>5451</v>
      </c>
      <c r="AQ1080" t="s">
        <v>54</v>
      </c>
      <c r="AT1080" t="s">
        <v>0</v>
      </c>
      <c r="AW1080" t="s">
        <v>53</v>
      </c>
      <c r="AZ1080" t="s">
        <v>54</v>
      </c>
      <c r="BA1080" t="s">
        <v>729</v>
      </c>
    </row>
    <row r="1081" spans="1:53" x14ac:dyDescent="0.25">
      <c r="A1081">
        <v>1076</v>
      </c>
      <c r="B1081" t="s">
        <v>2245</v>
      </c>
      <c r="C1081" t="s">
        <v>2246</v>
      </c>
      <c r="D1081" t="s">
        <v>2247</v>
      </c>
      <c r="E1081">
        <v>6</v>
      </c>
      <c r="F1081" t="s">
        <v>719</v>
      </c>
      <c r="G1081" t="s">
        <v>805</v>
      </c>
      <c r="H1081" t="s">
        <v>806</v>
      </c>
      <c r="I1081" t="s">
        <v>1385</v>
      </c>
      <c r="J1081" t="s">
        <v>1971</v>
      </c>
      <c r="K1081" t="s">
        <v>1972</v>
      </c>
      <c r="L1081" t="s">
        <v>725</v>
      </c>
      <c r="M1081">
        <v>7.2928295135498047</v>
      </c>
      <c r="N1081" t="s">
        <v>54</v>
      </c>
      <c r="O1081" t="s">
        <v>53</v>
      </c>
      <c r="P1081" t="s">
        <v>54</v>
      </c>
      <c r="Q1081" t="s">
        <v>53</v>
      </c>
      <c r="R1081" t="s">
        <v>53</v>
      </c>
      <c r="S1081" t="s">
        <v>861</v>
      </c>
      <c r="T1081" t="s">
        <v>827</v>
      </c>
      <c r="U1081" t="s">
        <v>53</v>
      </c>
      <c r="V1081" t="s">
        <v>51</v>
      </c>
      <c r="W1081">
        <v>30000</v>
      </c>
      <c r="X1081" t="s">
        <v>54</v>
      </c>
      <c r="AA1081">
        <v>39</v>
      </c>
      <c r="AB1081">
        <v>36</v>
      </c>
      <c r="AC1081">
        <v>11</v>
      </c>
      <c r="AD1081">
        <v>64</v>
      </c>
      <c r="AE1081">
        <v>64</v>
      </c>
      <c r="AF1081">
        <v>2</v>
      </c>
      <c r="AG1081">
        <v>0</v>
      </c>
      <c r="AH1081">
        <v>0.67308187484741211</v>
      </c>
      <c r="AI1081">
        <v>0</v>
      </c>
      <c r="AJ1081">
        <v>4.5807771384716027E-2</v>
      </c>
      <c r="AK1081" t="s">
        <v>53</v>
      </c>
      <c r="AL1081" t="s">
        <v>54</v>
      </c>
      <c r="AP1081" t="s">
        <v>5451</v>
      </c>
      <c r="AQ1081" t="s">
        <v>54</v>
      </c>
      <c r="AT1081" t="s">
        <v>1407</v>
      </c>
      <c r="AW1081" t="s">
        <v>53</v>
      </c>
      <c r="AZ1081" t="s">
        <v>54</v>
      </c>
      <c r="BA1081" t="s">
        <v>729</v>
      </c>
    </row>
    <row r="1082" spans="1:53" x14ac:dyDescent="0.25">
      <c r="A1082">
        <v>1077</v>
      </c>
      <c r="B1082" t="s">
        <v>2248</v>
      </c>
      <c r="C1082" t="s">
        <v>2249</v>
      </c>
      <c r="D1082" t="s">
        <v>2250</v>
      </c>
      <c r="E1082">
        <v>6</v>
      </c>
      <c r="F1082" t="s">
        <v>719</v>
      </c>
      <c r="G1082" t="s">
        <v>805</v>
      </c>
      <c r="H1082" t="s">
        <v>806</v>
      </c>
      <c r="I1082" t="s">
        <v>1385</v>
      </c>
      <c r="J1082" t="s">
        <v>1971</v>
      </c>
      <c r="K1082" t="s">
        <v>1972</v>
      </c>
      <c r="L1082" t="s">
        <v>725</v>
      </c>
      <c r="M1082">
        <v>5.6788363456726074</v>
      </c>
      <c r="N1082" t="s">
        <v>54</v>
      </c>
      <c r="O1082" t="s">
        <v>53</v>
      </c>
      <c r="P1082" t="s">
        <v>54</v>
      </c>
      <c r="Q1082" t="s">
        <v>53</v>
      </c>
      <c r="R1082" t="s">
        <v>53</v>
      </c>
      <c r="S1082" t="s">
        <v>861</v>
      </c>
      <c r="T1082" t="s">
        <v>827</v>
      </c>
      <c r="U1082" t="s">
        <v>53</v>
      </c>
      <c r="V1082" t="s">
        <v>51</v>
      </c>
      <c r="W1082">
        <v>30000</v>
      </c>
      <c r="X1082" t="s">
        <v>54</v>
      </c>
      <c r="AA1082">
        <v>260</v>
      </c>
      <c r="AB1082">
        <v>211</v>
      </c>
      <c r="AC1082">
        <v>127</v>
      </c>
      <c r="AD1082">
        <v>425</v>
      </c>
      <c r="AE1082">
        <v>446</v>
      </c>
      <c r="AF1082">
        <v>3</v>
      </c>
      <c r="AG1082">
        <v>0</v>
      </c>
      <c r="AH1082">
        <v>4.3908476829528809</v>
      </c>
      <c r="AI1082">
        <v>0</v>
      </c>
      <c r="AJ1082">
        <v>0.19472028315067291</v>
      </c>
      <c r="AK1082" t="s">
        <v>53</v>
      </c>
      <c r="AL1082" t="s">
        <v>54</v>
      </c>
      <c r="AP1082" t="s">
        <v>5451</v>
      </c>
      <c r="AQ1082" t="s">
        <v>54</v>
      </c>
      <c r="AT1082" t="s">
        <v>1407</v>
      </c>
      <c r="AW1082" t="s">
        <v>53</v>
      </c>
      <c r="AZ1082" t="s">
        <v>54</v>
      </c>
      <c r="BA1082" t="s">
        <v>729</v>
      </c>
    </row>
    <row r="1083" spans="1:53" x14ac:dyDescent="0.25">
      <c r="A1083">
        <v>1078</v>
      </c>
      <c r="B1083" t="s">
        <v>2251</v>
      </c>
      <c r="C1083" t="s">
        <v>2252</v>
      </c>
      <c r="D1083" t="s">
        <v>2253</v>
      </c>
      <c r="E1083">
        <v>6</v>
      </c>
      <c r="F1083" t="s">
        <v>719</v>
      </c>
      <c r="G1083" t="s">
        <v>805</v>
      </c>
      <c r="H1083" t="s">
        <v>806</v>
      </c>
      <c r="I1083" t="s">
        <v>1385</v>
      </c>
      <c r="J1083" t="s">
        <v>1971</v>
      </c>
      <c r="K1083" t="s">
        <v>1972</v>
      </c>
      <c r="L1083" t="s">
        <v>725</v>
      </c>
      <c r="M1083">
        <v>6.3084321022033691</v>
      </c>
      <c r="N1083" t="s">
        <v>54</v>
      </c>
      <c r="O1083" t="s">
        <v>53</v>
      </c>
      <c r="P1083" t="s">
        <v>54</v>
      </c>
      <c r="Q1083" t="s">
        <v>53</v>
      </c>
      <c r="R1083" t="s">
        <v>53</v>
      </c>
      <c r="S1083" t="s">
        <v>861</v>
      </c>
      <c r="T1083" t="s">
        <v>827</v>
      </c>
      <c r="U1083" t="s">
        <v>53</v>
      </c>
      <c r="V1083" t="s">
        <v>51</v>
      </c>
      <c r="W1083">
        <v>30000</v>
      </c>
      <c r="X1083" t="s">
        <v>54</v>
      </c>
      <c r="AA1083">
        <v>3555</v>
      </c>
      <c r="AB1083">
        <v>3132</v>
      </c>
      <c r="AC1083">
        <v>4723</v>
      </c>
      <c r="AD1083">
        <v>10527</v>
      </c>
      <c r="AE1083">
        <v>12360</v>
      </c>
      <c r="AF1083">
        <v>35</v>
      </c>
      <c r="AG1083">
        <v>1</v>
      </c>
      <c r="AH1083">
        <v>29.311786651611332</v>
      </c>
      <c r="AI1083">
        <v>1</v>
      </c>
      <c r="AJ1083">
        <v>1.6732833385467529</v>
      </c>
      <c r="AK1083" t="s">
        <v>53</v>
      </c>
      <c r="AL1083" t="s">
        <v>54</v>
      </c>
      <c r="AP1083" t="s">
        <v>5451</v>
      </c>
      <c r="AQ1083" t="s">
        <v>54</v>
      </c>
      <c r="AT1083" t="s">
        <v>1407</v>
      </c>
      <c r="AW1083" t="s">
        <v>53</v>
      </c>
      <c r="AZ1083" t="s">
        <v>54</v>
      </c>
      <c r="BA1083" t="s">
        <v>729</v>
      </c>
    </row>
    <row r="1084" spans="1:53" x14ac:dyDescent="0.25">
      <c r="A1084">
        <v>1079</v>
      </c>
      <c r="B1084" t="s">
        <v>2254</v>
      </c>
      <c r="C1084" t="s">
        <v>2255</v>
      </c>
      <c r="D1084" t="s">
        <v>2256</v>
      </c>
      <c r="E1084">
        <v>6</v>
      </c>
      <c r="F1084" t="s">
        <v>719</v>
      </c>
      <c r="G1084" t="s">
        <v>805</v>
      </c>
      <c r="H1084" t="s">
        <v>806</v>
      </c>
      <c r="I1084" t="s">
        <v>1385</v>
      </c>
      <c r="J1084" t="s">
        <v>1971</v>
      </c>
      <c r="K1084" t="s">
        <v>1972</v>
      </c>
      <c r="L1084" t="s">
        <v>725</v>
      </c>
      <c r="M1084">
        <v>1.569553136825562</v>
      </c>
      <c r="N1084" t="s">
        <v>54</v>
      </c>
      <c r="O1084" t="s">
        <v>53</v>
      </c>
      <c r="P1084" t="s">
        <v>54</v>
      </c>
      <c r="Q1084" t="s">
        <v>53</v>
      </c>
      <c r="R1084" t="s">
        <v>53</v>
      </c>
      <c r="S1084" t="s">
        <v>861</v>
      </c>
      <c r="T1084" t="s">
        <v>827</v>
      </c>
      <c r="U1084" t="s">
        <v>53</v>
      </c>
      <c r="V1084" t="s">
        <v>51</v>
      </c>
      <c r="W1084">
        <v>30000</v>
      </c>
      <c r="X1084" t="s">
        <v>54</v>
      </c>
      <c r="AA1084">
        <v>1432</v>
      </c>
      <c r="AB1084">
        <v>1009</v>
      </c>
      <c r="AC1084">
        <v>2130</v>
      </c>
      <c r="AD1084">
        <v>4495</v>
      </c>
      <c r="AE1084">
        <v>5511</v>
      </c>
      <c r="AF1084">
        <v>8</v>
      </c>
      <c r="AG1084">
        <v>1</v>
      </c>
      <c r="AH1084">
        <v>9.6468038558959961</v>
      </c>
      <c r="AI1084">
        <v>1</v>
      </c>
      <c r="AK1084" t="s">
        <v>53</v>
      </c>
      <c r="AL1084" t="s">
        <v>54</v>
      </c>
      <c r="AP1084" t="s">
        <v>5451</v>
      </c>
      <c r="AQ1084" t="s">
        <v>54</v>
      </c>
      <c r="AT1084" t="s">
        <v>1407</v>
      </c>
      <c r="AW1084" t="s">
        <v>53</v>
      </c>
      <c r="AZ1084" t="s">
        <v>54</v>
      </c>
      <c r="BA1084" t="s">
        <v>729</v>
      </c>
    </row>
    <row r="1085" spans="1:53" x14ac:dyDescent="0.25">
      <c r="A1085">
        <v>1080</v>
      </c>
      <c r="B1085" t="s">
        <v>2257</v>
      </c>
      <c r="C1085" t="s">
        <v>2258</v>
      </c>
      <c r="D1085" t="s">
        <v>2259</v>
      </c>
      <c r="E1085">
        <v>6</v>
      </c>
      <c r="F1085" t="s">
        <v>719</v>
      </c>
      <c r="G1085" t="s">
        <v>805</v>
      </c>
      <c r="H1085" t="s">
        <v>806</v>
      </c>
      <c r="I1085" t="s">
        <v>1385</v>
      </c>
      <c r="J1085" t="s">
        <v>1971</v>
      </c>
      <c r="K1085" t="s">
        <v>1972</v>
      </c>
      <c r="L1085" t="s">
        <v>725</v>
      </c>
      <c r="M1085">
        <v>6.0113086700439453</v>
      </c>
      <c r="N1085" t="s">
        <v>54</v>
      </c>
      <c r="O1085" t="s">
        <v>53</v>
      </c>
      <c r="P1085" t="s">
        <v>54</v>
      </c>
      <c r="Q1085" t="s">
        <v>53</v>
      </c>
      <c r="R1085" t="s">
        <v>53</v>
      </c>
      <c r="S1085" t="s">
        <v>861</v>
      </c>
      <c r="T1085" t="s">
        <v>827</v>
      </c>
      <c r="U1085" t="s">
        <v>53</v>
      </c>
      <c r="V1085" t="s">
        <v>51</v>
      </c>
      <c r="W1085">
        <v>30000</v>
      </c>
      <c r="X1085" t="s">
        <v>54</v>
      </c>
      <c r="AA1085">
        <v>3188</v>
      </c>
      <c r="AB1085">
        <v>2296</v>
      </c>
      <c r="AC1085">
        <v>5412</v>
      </c>
      <c r="AD1085">
        <v>7828</v>
      </c>
      <c r="AE1085">
        <v>10940</v>
      </c>
      <c r="AF1085">
        <v>13</v>
      </c>
      <c r="AG1085">
        <v>1</v>
      </c>
      <c r="AH1085">
        <v>31.838775634765621</v>
      </c>
      <c r="AI1085">
        <v>1</v>
      </c>
      <c r="AJ1085">
        <v>0.22157217562198639</v>
      </c>
      <c r="AK1085" t="s">
        <v>53</v>
      </c>
      <c r="AL1085" t="s">
        <v>54</v>
      </c>
      <c r="AP1085" t="s">
        <v>5451</v>
      </c>
      <c r="AQ1085" t="s">
        <v>54</v>
      </c>
      <c r="AT1085" t="s">
        <v>1407</v>
      </c>
      <c r="AW1085" t="s">
        <v>53</v>
      </c>
      <c r="AZ1085" t="s">
        <v>54</v>
      </c>
      <c r="BA1085" t="s">
        <v>729</v>
      </c>
    </row>
    <row r="1086" spans="1:53" x14ac:dyDescent="0.25">
      <c r="A1086">
        <v>1081</v>
      </c>
      <c r="B1086" t="s">
        <v>2260</v>
      </c>
      <c r="C1086" t="s">
        <v>2261</v>
      </c>
      <c r="D1086" t="s">
        <v>2262</v>
      </c>
      <c r="E1086">
        <v>6</v>
      </c>
      <c r="F1086" t="s">
        <v>719</v>
      </c>
      <c r="G1086" t="s">
        <v>805</v>
      </c>
      <c r="H1086" t="s">
        <v>806</v>
      </c>
      <c r="I1086" t="s">
        <v>1385</v>
      </c>
      <c r="J1086" t="s">
        <v>1971</v>
      </c>
      <c r="K1086" t="s">
        <v>1972</v>
      </c>
      <c r="L1086" t="s">
        <v>725</v>
      </c>
      <c r="M1086">
        <v>6.0113086700439453</v>
      </c>
      <c r="N1086" t="s">
        <v>54</v>
      </c>
      <c r="O1086" t="s">
        <v>53</v>
      </c>
      <c r="P1086" t="s">
        <v>54</v>
      </c>
      <c r="Q1086" t="s">
        <v>53</v>
      </c>
      <c r="R1086" t="s">
        <v>53</v>
      </c>
      <c r="S1086" t="s">
        <v>861</v>
      </c>
      <c r="T1086" t="s">
        <v>827</v>
      </c>
      <c r="U1086" t="s">
        <v>53</v>
      </c>
      <c r="V1086" t="s">
        <v>51</v>
      </c>
      <c r="W1086">
        <v>30000</v>
      </c>
      <c r="X1086" t="s">
        <v>54</v>
      </c>
      <c r="AA1086">
        <v>3188</v>
      </c>
      <c r="AB1086">
        <v>2296</v>
      </c>
      <c r="AC1086">
        <v>5412</v>
      </c>
      <c r="AD1086">
        <v>7828</v>
      </c>
      <c r="AE1086">
        <v>10940</v>
      </c>
      <c r="AF1086">
        <v>13</v>
      </c>
      <c r="AG1086">
        <v>1</v>
      </c>
      <c r="AH1086">
        <v>31.838775634765621</v>
      </c>
      <c r="AI1086">
        <v>1</v>
      </c>
      <c r="AJ1086">
        <v>0.22157217562198639</v>
      </c>
      <c r="AK1086" t="s">
        <v>53</v>
      </c>
      <c r="AL1086" t="s">
        <v>54</v>
      </c>
      <c r="AP1086" t="s">
        <v>5451</v>
      </c>
      <c r="AQ1086" t="s">
        <v>54</v>
      </c>
      <c r="AT1086" t="s">
        <v>1407</v>
      </c>
      <c r="AW1086" t="s">
        <v>53</v>
      </c>
      <c r="AZ1086" t="s">
        <v>54</v>
      </c>
      <c r="BA1086" t="s">
        <v>729</v>
      </c>
    </row>
    <row r="1087" spans="1:53" x14ac:dyDescent="0.25">
      <c r="A1087">
        <v>1082</v>
      </c>
      <c r="B1087" t="s">
        <v>2263</v>
      </c>
      <c r="C1087" t="s">
        <v>2264</v>
      </c>
      <c r="D1087" t="s">
        <v>2265</v>
      </c>
      <c r="E1087">
        <v>6</v>
      </c>
      <c r="F1087" t="s">
        <v>719</v>
      </c>
      <c r="G1087" t="s">
        <v>805</v>
      </c>
      <c r="H1087" t="s">
        <v>1243</v>
      </c>
      <c r="I1087" t="s">
        <v>1428</v>
      </c>
      <c r="J1087" t="s">
        <v>2266</v>
      </c>
      <c r="K1087" t="s">
        <v>2267</v>
      </c>
      <c r="L1087" t="s">
        <v>725</v>
      </c>
      <c r="M1087">
        <v>2.1739413738250728</v>
      </c>
      <c r="N1087" t="s">
        <v>54</v>
      </c>
      <c r="O1087" t="s">
        <v>53</v>
      </c>
      <c r="P1087" t="s">
        <v>54</v>
      </c>
      <c r="Q1087" t="s">
        <v>53</v>
      </c>
      <c r="R1087" t="s">
        <v>53</v>
      </c>
      <c r="S1087" t="s">
        <v>861</v>
      </c>
      <c r="T1087" t="s">
        <v>2268</v>
      </c>
      <c r="U1087" t="s">
        <v>53</v>
      </c>
      <c r="V1087" t="s">
        <v>51</v>
      </c>
      <c r="W1087">
        <v>590000</v>
      </c>
      <c r="X1087" t="s">
        <v>54</v>
      </c>
      <c r="AA1087">
        <v>10</v>
      </c>
      <c r="AB1087">
        <v>0</v>
      </c>
      <c r="AC1087">
        <v>1</v>
      </c>
      <c r="AD1087">
        <v>8</v>
      </c>
      <c r="AE1087">
        <v>9</v>
      </c>
      <c r="AF1087">
        <v>0</v>
      </c>
      <c r="AG1087">
        <v>1</v>
      </c>
      <c r="AH1087">
        <v>0.50292670726776123</v>
      </c>
      <c r="AI1087">
        <v>1</v>
      </c>
      <c r="AJ1087">
        <v>2.658556222915649</v>
      </c>
      <c r="AK1087" t="s">
        <v>53</v>
      </c>
      <c r="AL1087" t="s">
        <v>54</v>
      </c>
      <c r="AP1087" t="s">
        <v>5451</v>
      </c>
      <c r="AQ1087" t="s">
        <v>54</v>
      </c>
      <c r="AT1087" t="s">
        <v>2269</v>
      </c>
      <c r="AW1087" t="s">
        <v>53</v>
      </c>
      <c r="AZ1087" t="s">
        <v>54</v>
      </c>
      <c r="BA1087" t="s">
        <v>729</v>
      </c>
    </row>
    <row r="1088" spans="1:53" x14ac:dyDescent="0.25">
      <c r="A1088">
        <v>1083</v>
      </c>
      <c r="B1088" t="s">
        <v>2270</v>
      </c>
      <c r="C1088" t="s">
        <v>2271</v>
      </c>
      <c r="D1088" t="s">
        <v>2272</v>
      </c>
      <c r="E1088">
        <v>6</v>
      </c>
      <c r="F1088" t="s">
        <v>719</v>
      </c>
      <c r="G1088" t="s">
        <v>805</v>
      </c>
      <c r="H1088" t="s">
        <v>1419</v>
      </c>
      <c r="I1088" t="s">
        <v>2216</v>
      </c>
      <c r="J1088" t="s">
        <v>2230</v>
      </c>
      <c r="K1088" t="s">
        <v>2231</v>
      </c>
      <c r="L1088" t="s">
        <v>725</v>
      </c>
      <c r="M1088">
        <v>26.652805328369141</v>
      </c>
      <c r="N1088" t="s">
        <v>54</v>
      </c>
      <c r="O1088" t="s">
        <v>53</v>
      </c>
      <c r="P1088" t="s">
        <v>53</v>
      </c>
      <c r="Q1088" t="s">
        <v>53</v>
      </c>
      <c r="R1088" t="s">
        <v>53</v>
      </c>
      <c r="S1088" t="s">
        <v>861</v>
      </c>
      <c r="T1088" t="s">
        <v>2232</v>
      </c>
      <c r="U1088" t="s">
        <v>53</v>
      </c>
      <c r="V1088" t="s">
        <v>51</v>
      </c>
      <c r="W1088">
        <v>1000000</v>
      </c>
      <c r="X1088" t="s">
        <v>54</v>
      </c>
      <c r="AA1088">
        <v>5930</v>
      </c>
      <c r="AB1088">
        <v>5094</v>
      </c>
      <c r="AC1088">
        <v>8865</v>
      </c>
      <c r="AD1088">
        <v>16919</v>
      </c>
      <c r="AE1088">
        <v>21011</v>
      </c>
      <c r="AF1088">
        <v>58</v>
      </c>
      <c r="AG1088">
        <v>3</v>
      </c>
      <c r="AH1088">
        <v>68.033332824707031</v>
      </c>
      <c r="AI1088">
        <v>3</v>
      </c>
      <c r="AJ1088">
        <v>2.3569750785827641</v>
      </c>
      <c r="AK1088" t="s">
        <v>53</v>
      </c>
      <c r="AL1088" t="s">
        <v>54</v>
      </c>
      <c r="AP1088" t="s">
        <v>5451</v>
      </c>
      <c r="AQ1088" t="s">
        <v>54</v>
      </c>
      <c r="AT1088" t="s">
        <v>2273</v>
      </c>
      <c r="AW1088" t="s">
        <v>53</v>
      </c>
      <c r="AZ1088" t="s">
        <v>54</v>
      </c>
      <c r="BA1088" t="s">
        <v>729</v>
      </c>
    </row>
    <row r="1089" spans="1:53" x14ac:dyDescent="0.25">
      <c r="A1089">
        <v>1084</v>
      </c>
      <c r="B1089" t="s">
        <v>2274</v>
      </c>
      <c r="C1089" t="s">
        <v>2275</v>
      </c>
      <c r="D1089" t="s">
        <v>2276</v>
      </c>
      <c r="E1089">
        <v>6</v>
      </c>
      <c r="F1089" t="s">
        <v>719</v>
      </c>
      <c r="G1089" t="s">
        <v>1097</v>
      </c>
      <c r="H1089" t="s">
        <v>857</v>
      </c>
      <c r="I1089" t="s">
        <v>2145</v>
      </c>
      <c r="J1089" t="s">
        <v>2146</v>
      </c>
      <c r="K1089" t="s">
        <v>2147</v>
      </c>
      <c r="L1089" t="s">
        <v>725</v>
      </c>
      <c r="M1089">
        <v>4.6173386573791504</v>
      </c>
      <c r="N1089" t="s">
        <v>54</v>
      </c>
      <c r="O1089" t="s">
        <v>53</v>
      </c>
      <c r="P1089" t="s">
        <v>54</v>
      </c>
      <c r="Q1089" t="s">
        <v>53</v>
      </c>
      <c r="R1089" t="s">
        <v>53</v>
      </c>
      <c r="S1089" t="s">
        <v>861</v>
      </c>
      <c r="T1089" t="s">
        <v>2277</v>
      </c>
      <c r="U1089" t="s">
        <v>53</v>
      </c>
      <c r="V1089" t="s">
        <v>51</v>
      </c>
      <c r="W1089">
        <v>30000</v>
      </c>
      <c r="X1089" t="s">
        <v>54</v>
      </c>
      <c r="AA1089">
        <v>424</v>
      </c>
      <c r="AB1089">
        <v>421</v>
      </c>
      <c r="AC1089">
        <v>490</v>
      </c>
      <c r="AD1089">
        <v>1153</v>
      </c>
      <c r="AE1089">
        <v>1319</v>
      </c>
      <c r="AF1089">
        <v>0</v>
      </c>
      <c r="AG1089">
        <v>0</v>
      </c>
      <c r="AH1089">
        <v>8.9099302291870117</v>
      </c>
      <c r="AI1089">
        <v>0</v>
      </c>
      <c r="AJ1089">
        <v>3.37833571434021</v>
      </c>
      <c r="AK1089" t="s">
        <v>53</v>
      </c>
      <c r="AL1089" t="s">
        <v>54</v>
      </c>
      <c r="AP1089" t="s">
        <v>5451</v>
      </c>
      <c r="AQ1089" t="s">
        <v>54</v>
      </c>
      <c r="AT1089" t="s">
        <v>1407</v>
      </c>
      <c r="AW1089" t="s">
        <v>53</v>
      </c>
      <c r="AZ1089" t="s">
        <v>54</v>
      </c>
      <c r="BA1089" t="s">
        <v>729</v>
      </c>
    </row>
    <row r="1090" spans="1:53" x14ac:dyDescent="0.25">
      <c r="A1090">
        <v>1085</v>
      </c>
      <c r="B1090" t="s">
        <v>2278</v>
      </c>
      <c r="C1090" t="s">
        <v>2279</v>
      </c>
      <c r="D1090" t="s">
        <v>2280</v>
      </c>
      <c r="E1090">
        <v>6</v>
      </c>
      <c r="F1090" t="s">
        <v>719</v>
      </c>
      <c r="G1090" t="s">
        <v>2281</v>
      </c>
      <c r="H1090" t="s">
        <v>795</v>
      </c>
      <c r="I1090" t="s">
        <v>849</v>
      </c>
      <c r="J1090" t="s">
        <v>850</v>
      </c>
      <c r="K1090" t="s">
        <v>851</v>
      </c>
      <c r="L1090" t="s">
        <v>725</v>
      </c>
      <c r="M1090">
        <v>86.020523071289063</v>
      </c>
      <c r="N1090" t="s">
        <v>54</v>
      </c>
      <c r="O1090" t="s">
        <v>54</v>
      </c>
      <c r="P1090" t="s">
        <v>54</v>
      </c>
      <c r="Q1090" t="s">
        <v>53</v>
      </c>
      <c r="R1090" t="s">
        <v>53</v>
      </c>
      <c r="S1090" t="s">
        <v>1098</v>
      </c>
      <c r="T1090" t="s">
        <v>1118</v>
      </c>
      <c r="U1090" t="s">
        <v>53</v>
      </c>
      <c r="V1090" t="s">
        <v>51</v>
      </c>
      <c r="W1090">
        <v>1090000</v>
      </c>
      <c r="X1090" t="s">
        <v>54</v>
      </c>
      <c r="AA1090">
        <v>13029</v>
      </c>
      <c r="AB1090">
        <v>11413</v>
      </c>
      <c r="AC1090">
        <v>36689</v>
      </c>
      <c r="AD1090">
        <v>37976</v>
      </c>
      <c r="AE1090">
        <v>64095</v>
      </c>
      <c r="AF1090">
        <v>147</v>
      </c>
      <c r="AG1090">
        <v>9</v>
      </c>
      <c r="AH1090">
        <v>240.15098571777341</v>
      </c>
      <c r="AI1090">
        <v>9</v>
      </c>
      <c r="AJ1090">
        <v>128.52069091796881</v>
      </c>
      <c r="AK1090" t="s">
        <v>53</v>
      </c>
      <c r="AL1090" t="s">
        <v>54</v>
      </c>
      <c r="AP1090" t="s">
        <v>5451</v>
      </c>
      <c r="AQ1090" t="s">
        <v>54</v>
      </c>
      <c r="AT1090" t="s">
        <v>2282</v>
      </c>
      <c r="AW1090" t="s">
        <v>53</v>
      </c>
      <c r="AZ1090" t="s">
        <v>54</v>
      </c>
      <c r="BA1090" t="s">
        <v>729</v>
      </c>
    </row>
    <row r="1091" spans="1:53" x14ac:dyDescent="0.25">
      <c r="A1091">
        <v>1086</v>
      </c>
      <c r="B1091" t="s">
        <v>2283</v>
      </c>
      <c r="C1091" t="s">
        <v>2284</v>
      </c>
      <c r="D1091" t="s">
        <v>2285</v>
      </c>
      <c r="E1091">
        <v>6</v>
      </c>
      <c r="F1091" t="s">
        <v>719</v>
      </c>
      <c r="G1091" t="s">
        <v>805</v>
      </c>
      <c r="H1091" t="s">
        <v>806</v>
      </c>
      <c r="I1091" t="s">
        <v>816</v>
      </c>
      <c r="J1091" t="s">
        <v>2286</v>
      </c>
      <c r="K1091" t="s">
        <v>2287</v>
      </c>
      <c r="L1091" t="s">
        <v>725</v>
      </c>
      <c r="M1091">
        <v>34.831943511962891</v>
      </c>
      <c r="N1091" t="s">
        <v>54</v>
      </c>
      <c r="O1091" t="s">
        <v>53</v>
      </c>
      <c r="P1091" t="s">
        <v>54</v>
      </c>
      <c r="Q1091" t="s">
        <v>53</v>
      </c>
      <c r="R1091" t="s">
        <v>53</v>
      </c>
      <c r="S1091" t="s">
        <v>861</v>
      </c>
      <c r="T1091" t="s">
        <v>2071</v>
      </c>
      <c r="U1091" t="s">
        <v>53</v>
      </c>
      <c r="V1091" t="s">
        <v>51</v>
      </c>
      <c r="W1091">
        <v>30000</v>
      </c>
      <c r="X1091" t="s">
        <v>54</v>
      </c>
      <c r="AA1091">
        <v>1883</v>
      </c>
      <c r="AB1091">
        <v>1509</v>
      </c>
      <c r="AC1091">
        <v>5995</v>
      </c>
      <c r="AD1091">
        <v>4487</v>
      </c>
      <c r="AE1091">
        <v>9371</v>
      </c>
      <c r="AF1091">
        <v>64</v>
      </c>
      <c r="AG1091">
        <v>1</v>
      </c>
      <c r="AH1091">
        <v>32.824111938476563</v>
      </c>
      <c r="AI1091">
        <v>1</v>
      </c>
      <c r="AJ1091">
        <v>73.12799072265625</v>
      </c>
      <c r="AK1091" t="s">
        <v>53</v>
      </c>
      <c r="AL1091" t="s">
        <v>54</v>
      </c>
      <c r="AP1091" t="s">
        <v>5451</v>
      </c>
      <c r="AQ1091" t="s">
        <v>54</v>
      </c>
      <c r="AT1091" t="s">
        <v>1407</v>
      </c>
      <c r="AW1091" t="s">
        <v>53</v>
      </c>
      <c r="AZ1091" t="s">
        <v>54</v>
      </c>
      <c r="BA1091" t="s">
        <v>729</v>
      </c>
    </row>
    <row r="1092" spans="1:53" x14ac:dyDescent="0.25">
      <c r="A1092">
        <v>1087</v>
      </c>
      <c r="B1092" t="s">
        <v>2288</v>
      </c>
      <c r="C1092" t="s">
        <v>2289</v>
      </c>
      <c r="D1092" t="s">
        <v>2290</v>
      </c>
      <c r="E1092">
        <v>6</v>
      </c>
      <c r="F1092" t="s">
        <v>719</v>
      </c>
      <c r="G1092" t="s">
        <v>805</v>
      </c>
      <c r="H1092" t="s">
        <v>806</v>
      </c>
      <c r="I1092" t="s">
        <v>816</v>
      </c>
      <c r="J1092" t="s">
        <v>2286</v>
      </c>
      <c r="K1092" t="s">
        <v>2287</v>
      </c>
      <c r="L1092" t="s">
        <v>725</v>
      </c>
      <c r="M1092">
        <v>34.831943511962891</v>
      </c>
      <c r="N1092" t="s">
        <v>54</v>
      </c>
      <c r="O1092" t="s">
        <v>53</v>
      </c>
      <c r="P1092" t="s">
        <v>54</v>
      </c>
      <c r="Q1092" t="s">
        <v>53</v>
      </c>
      <c r="R1092" t="s">
        <v>53</v>
      </c>
      <c r="S1092" t="s">
        <v>861</v>
      </c>
      <c r="T1092" t="s">
        <v>2071</v>
      </c>
      <c r="U1092" t="s">
        <v>53</v>
      </c>
      <c r="V1092" t="s">
        <v>51</v>
      </c>
      <c r="W1092">
        <v>30000</v>
      </c>
      <c r="X1092" t="s">
        <v>54</v>
      </c>
      <c r="AA1092">
        <v>1883</v>
      </c>
      <c r="AB1092">
        <v>1509</v>
      </c>
      <c r="AC1092">
        <v>5995</v>
      </c>
      <c r="AD1092">
        <v>4487</v>
      </c>
      <c r="AE1092">
        <v>9371</v>
      </c>
      <c r="AF1092">
        <v>64</v>
      </c>
      <c r="AG1092">
        <v>1</v>
      </c>
      <c r="AH1092">
        <v>32.824111938476563</v>
      </c>
      <c r="AI1092">
        <v>1</v>
      </c>
      <c r="AJ1092">
        <v>73.12799072265625</v>
      </c>
      <c r="AK1092" t="s">
        <v>53</v>
      </c>
      <c r="AL1092" t="s">
        <v>54</v>
      </c>
      <c r="AP1092" t="s">
        <v>5451</v>
      </c>
      <c r="AQ1092" t="s">
        <v>54</v>
      </c>
      <c r="AT1092" t="s">
        <v>1407</v>
      </c>
      <c r="AW1092" t="s">
        <v>53</v>
      </c>
      <c r="AZ1092" t="s">
        <v>54</v>
      </c>
      <c r="BA1092" t="s">
        <v>729</v>
      </c>
    </row>
    <row r="1093" spans="1:53" x14ac:dyDescent="0.25">
      <c r="A1093">
        <v>1088</v>
      </c>
      <c r="B1093" t="s">
        <v>2291</v>
      </c>
      <c r="C1093" t="s">
        <v>2292</v>
      </c>
      <c r="D1093" t="s">
        <v>2293</v>
      </c>
      <c r="E1093">
        <v>6</v>
      </c>
      <c r="F1093" t="s">
        <v>719</v>
      </c>
      <c r="G1093" t="s">
        <v>805</v>
      </c>
      <c r="H1093" t="s">
        <v>806</v>
      </c>
      <c r="I1093" t="s">
        <v>816</v>
      </c>
      <c r="J1093" t="s">
        <v>2220</v>
      </c>
      <c r="K1093" t="s">
        <v>2221</v>
      </c>
      <c r="L1093" t="s">
        <v>725</v>
      </c>
      <c r="M1093">
        <v>34.831943511962891</v>
      </c>
      <c r="N1093" t="s">
        <v>54</v>
      </c>
      <c r="O1093" t="s">
        <v>53</v>
      </c>
      <c r="P1093" t="s">
        <v>54</v>
      </c>
      <c r="Q1093" t="s">
        <v>53</v>
      </c>
      <c r="R1093" t="s">
        <v>53</v>
      </c>
      <c r="S1093" t="s">
        <v>861</v>
      </c>
      <c r="T1093" t="s">
        <v>2071</v>
      </c>
      <c r="U1093" t="s">
        <v>53</v>
      </c>
      <c r="V1093" t="s">
        <v>51</v>
      </c>
      <c r="W1093">
        <v>30000</v>
      </c>
      <c r="X1093" t="s">
        <v>54</v>
      </c>
      <c r="AA1093">
        <v>1883</v>
      </c>
      <c r="AB1093">
        <v>1509</v>
      </c>
      <c r="AC1093">
        <v>5995</v>
      </c>
      <c r="AD1093">
        <v>4487</v>
      </c>
      <c r="AE1093">
        <v>9371</v>
      </c>
      <c r="AF1093">
        <v>64</v>
      </c>
      <c r="AG1093">
        <v>1</v>
      </c>
      <c r="AH1093">
        <v>32.824111938476563</v>
      </c>
      <c r="AI1093">
        <v>1</v>
      </c>
      <c r="AJ1093">
        <v>73.12799072265625</v>
      </c>
      <c r="AK1093" t="s">
        <v>53</v>
      </c>
      <c r="AL1093" t="s">
        <v>54</v>
      </c>
      <c r="AP1093" t="s">
        <v>5451</v>
      </c>
      <c r="AQ1093" t="s">
        <v>54</v>
      </c>
      <c r="AT1093" t="s">
        <v>1407</v>
      </c>
      <c r="AW1093" t="s">
        <v>53</v>
      </c>
      <c r="AZ1093" t="s">
        <v>54</v>
      </c>
      <c r="BA1093" t="s">
        <v>729</v>
      </c>
    </row>
    <row r="1094" spans="1:53" x14ac:dyDescent="0.25">
      <c r="A1094">
        <v>1089</v>
      </c>
      <c r="B1094" t="s">
        <v>2294</v>
      </c>
      <c r="C1094" t="s">
        <v>2295</v>
      </c>
      <c r="D1094" t="s">
        <v>2296</v>
      </c>
      <c r="E1094">
        <v>6</v>
      </c>
      <c r="F1094" t="s">
        <v>719</v>
      </c>
      <c r="G1094" t="s">
        <v>805</v>
      </c>
      <c r="H1094" t="s">
        <v>2236</v>
      </c>
      <c r="I1094" t="s">
        <v>2237</v>
      </c>
      <c r="J1094" t="s">
        <v>2238</v>
      </c>
      <c r="K1094" t="s">
        <v>2239</v>
      </c>
      <c r="L1094" t="s">
        <v>725</v>
      </c>
      <c r="M1094">
        <v>4.9093971252441406</v>
      </c>
      <c r="N1094" t="s">
        <v>54</v>
      </c>
      <c r="O1094" t="s">
        <v>53</v>
      </c>
      <c r="P1094" t="s">
        <v>54</v>
      </c>
      <c r="Q1094" t="s">
        <v>53</v>
      </c>
      <c r="R1094" t="s">
        <v>53</v>
      </c>
      <c r="S1094" t="s">
        <v>861</v>
      </c>
      <c r="T1094" t="s">
        <v>2240</v>
      </c>
      <c r="U1094" t="s">
        <v>53</v>
      </c>
      <c r="V1094" t="s">
        <v>51</v>
      </c>
      <c r="W1094">
        <v>30000</v>
      </c>
      <c r="X1094" t="s">
        <v>54</v>
      </c>
      <c r="AA1094">
        <v>142</v>
      </c>
      <c r="AB1094">
        <v>81</v>
      </c>
      <c r="AC1094">
        <v>60</v>
      </c>
      <c r="AD1094">
        <v>178</v>
      </c>
      <c r="AE1094">
        <v>199</v>
      </c>
      <c r="AF1094">
        <v>0</v>
      </c>
      <c r="AG1094">
        <v>0</v>
      </c>
      <c r="AH1094">
        <v>6.2481751441955566</v>
      </c>
      <c r="AI1094">
        <v>0</v>
      </c>
      <c r="AJ1094">
        <v>160.9646911621094</v>
      </c>
      <c r="AK1094" t="s">
        <v>53</v>
      </c>
      <c r="AL1094" t="s">
        <v>54</v>
      </c>
      <c r="AP1094" t="s">
        <v>5451</v>
      </c>
      <c r="AQ1094" t="s">
        <v>54</v>
      </c>
      <c r="AT1094" t="s">
        <v>1407</v>
      </c>
      <c r="AW1094" t="s">
        <v>53</v>
      </c>
      <c r="AZ1094" t="s">
        <v>54</v>
      </c>
      <c r="BA1094" t="s">
        <v>729</v>
      </c>
    </row>
    <row r="1095" spans="1:53" x14ac:dyDescent="0.25">
      <c r="A1095">
        <v>1090</v>
      </c>
      <c r="B1095" t="s">
        <v>2297</v>
      </c>
      <c r="C1095" t="s">
        <v>2298</v>
      </c>
      <c r="D1095" t="s">
        <v>2299</v>
      </c>
      <c r="E1095">
        <v>6</v>
      </c>
      <c r="F1095" t="s">
        <v>719</v>
      </c>
      <c r="G1095" t="s">
        <v>2244</v>
      </c>
      <c r="H1095" t="s">
        <v>2236</v>
      </c>
      <c r="I1095" t="s">
        <v>2237</v>
      </c>
      <c r="J1095" t="s">
        <v>2238</v>
      </c>
      <c r="K1095" t="s">
        <v>2239</v>
      </c>
      <c r="L1095" t="s">
        <v>725</v>
      </c>
      <c r="M1095">
        <v>3.5185849666595459</v>
      </c>
      <c r="N1095" t="s">
        <v>54</v>
      </c>
      <c r="O1095" t="s">
        <v>53</v>
      </c>
      <c r="P1095" t="s">
        <v>53</v>
      </c>
      <c r="Q1095" t="s">
        <v>53</v>
      </c>
      <c r="R1095" t="s">
        <v>53</v>
      </c>
      <c r="S1095" t="s">
        <v>861</v>
      </c>
      <c r="T1095" t="s">
        <v>2300</v>
      </c>
      <c r="U1095" t="s">
        <v>53</v>
      </c>
      <c r="V1095" t="s">
        <v>51</v>
      </c>
      <c r="W1095">
        <v>30000</v>
      </c>
      <c r="X1095" t="s">
        <v>54</v>
      </c>
      <c r="AA1095">
        <v>174</v>
      </c>
      <c r="AB1095">
        <v>138</v>
      </c>
      <c r="AC1095">
        <v>55</v>
      </c>
      <c r="AD1095">
        <v>241</v>
      </c>
      <c r="AE1095">
        <v>241</v>
      </c>
      <c r="AF1095">
        <v>0</v>
      </c>
      <c r="AG1095">
        <v>0</v>
      </c>
      <c r="AH1095">
        <v>3.1315500736236568</v>
      </c>
      <c r="AI1095">
        <v>0</v>
      </c>
      <c r="AJ1095">
        <v>141.0838623046875</v>
      </c>
      <c r="AK1095" t="s">
        <v>53</v>
      </c>
      <c r="AL1095" t="s">
        <v>54</v>
      </c>
      <c r="AP1095" t="s">
        <v>5451</v>
      </c>
      <c r="AQ1095" t="s">
        <v>54</v>
      </c>
      <c r="AT1095" t="s">
        <v>1407</v>
      </c>
      <c r="AW1095" t="s">
        <v>53</v>
      </c>
      <c r="AZ1095" t="s">
        <v>54</v>
      </c>
      <c r="BA1095" t="s">
        <v>729</v>
      </c>
    </row>
    <row r="1096" spans="1:53" x14ac:dyDescent="0.25">
      <c r="A1096">
        <v>1091</v>
      </c>
      <c r="B1096" t="s">
        <v>2301</v>
      </c>
      <c r="C1096" t="s">
        <v>2302</v>
      </c>
      <c r="D1096" t="s">
        <v>2109</v>
      </c>
      <c r="E1096">
        <v>6</v>
      </c>
      <c r="F1096" t="s">
        <v>719</v>
      </c>
      <c r="G1096" t="s">
        <v>805</v>
      </c>
      <c r="H1096" t="s">
        <v>806</v>
      </c>
      <c r="I1096" t="s">
        <v>1385</v>
      </c>
      <c r="J1096" t="s">
        <v>1971</v>
      </c>
      <c r="K1096" t="s">
        <v>1972</v>
      </c>
      <c r="L1096" t="s">
        <v>725</v>
      </c>
      <c r="M1096">
        <v>1.569553136825562</v>
      </c>
      <c r="N1096" t="s">
        <v>53</v>
      </c>
      <c r="O1096" t="s">
        <v>53</v>
      </c>
      <c r="P1096" t="s">
        <v>53</v>
      </c>
      <c r="Q1096" t="s">
        <v>53</v>
      </c>
      <c r="R1096" t="s">
        <v>54</v>
      </c>
      <c r="S1096" t="s">
        <v>861</v>
      </c>
      <c r="T1096" t="s">
        <v>827</v>
      </c>
      <c r="U1096" t="s">
        <v>53</v>
      </c>
      <c r="V1096" t="s">
        <v>51</v>
      </c>
      <c r="W1096">
        <v>30000</v>
      </c>
      <c r="X1096" t="s">
        <v>54</v>
      </c>
      <c r="AA1096">
        <v>1432</v>
      </c>
      <c r="AB1096">
        <v>1009</v>
      </c>
      <c r="AC1096">
        <v>2130</v>
      </c>
      <c r="AD1096">
        <v>4495</v>
      </c>
      <c r="AE1096">
        <v>5511</v>
      </c>
      <c r="AF1096">
        <v>8</v>
      </c>
      <c r="AG1096">
        <v>1</v>
      </c>
      <c r="AH1096">
        <v>9.6468038558959961</v>
      </c>
      <c r="AI1096">
        <v>1</v>
      </c>
      <c r="AK1096" t="s">
        <v>53</v>
      </c>
      <c r="AL1096" t="s">
        <v>54</v>
      </c>
      <c r="AP1096" t="s">
        <v>5451</v>
      </c>
      <c r="AQ1096" t="s">
        <v>54</v>
      </c>
      <c r="AT1096" t="s">
        <v>1407</v>
      </c>
      <c r="AW1096" t="s">
        <v>53</v>
      </c>
      <c r="AZ1096" t="s">
        <v>54</v>
      </c>
      <c r="BA1096" t="s">
        <v>729</v>
      </c>
    </row>
    <row r="1097" spans="1:53" x14ac:dyDescent="0.25">
      <c r="A1097">
        <v>1092</v>
      </c>
      <c r="B1097" t="s">
        <v>2303</v>
      </c>
      <c r="C1097" t="s">
        <v>2304</v>
      </c>
      <c r="D1097" t="s">
        <v>2109</v>
      </c>
      <c r="E1097">
        <v>6</v>
      </c>
      <c r="F1097" t="s">
        <v>719</v>
      </c>
      <c r="G1097" t="s">
        <v>805</v>
      </c>
      <c r="H1097" t="s">
        <v>806</v>
      </c>
      <c r="I1097" t="s">
        <v>1385</v>
      </c>
      <c r="J1097" t="s">
        <v>1971</v>
      </c>
      <c r="K1097" t="s">
        <v>1972</v>
      </c>
      <c r="L1097" t="s">
        <v>725</v>
      </c>
      <c r="M1097">
        <v>6.0113086700439453</v>
      </c>
      <c r="N1097" t="s">
        <v>53</v>
      </c>
      <c r="O1097" t="s">
        <v>53</v>
      </c>
      <c r="P1097" t="s">
        <v>53</v>
      </c>
      <c r="Q1097" t="s">
        <v>53</v>
      </c>
      <c r="R1097" t="s">
        <v>54</v>
      </c>
      <c r="S1097" t="s">
        <v>861</v>
      </c>
      <c r="T1097" t="s">
        <v>827</v>
      </c>
      <c r="U1097" t="s">
        <v>53</v>
      </c>
      <c r="V1097" t="s">
        <v>51</v>
      </c>
      <c r="W1097">
        <v>30000</v>
      </c>
      <c r="X1097" t="s">
        <v>54</v>
      </c>
      <c r="AA1097">
        <v>3188</v>
      </c>
      <c r="AB1097">
        <v>2296</v>
      </c>
      <c r="AC1097">
        <v>5412</v>
      </c>
      <c r="AD1097">
        <v>7828</v>
      </c>
      <c r="AE1097">
        <v>10940</v>
      </c>
      <c r="AF1097">
        <v>13</v>
      </c>
      <c r="AG1097">
        <v>1</v>
      </c>
      <c r="AH1097">
        <v>31.838775634765621</v>
      </c>
      <c r="AI1097">
        <v>1</v>
      </c>
      <c r="AJ1097">
        <v>0.22157217562198639</v>
      </c>
      <c r="AK1097" t="s">
        <v>53</v>
      </c>
      <c r="AL1097" t="s">
        <v>54</v>
      </c>
      <c r="AP1097" t="s">
        <v>5451</v>
      </c>
      <c r="AQ1097" t="s">
        <v>54</v>
      </c>
      <c r="AT1097" t="s">
        <v>1407</v>
      </c>
      <c r="AW1097" t="s">
        <v>53</v>
      </c>
      <c r="AZ1097" t="s">
        <v>54</v>
      </c>
      <c r="BA1097" t="s">
        <v>729</v>
      </c>
    </row>
    <row r="1098" spans="1:53" x14ac:dyDescent="0.25">
      <c r="A1098">
        <v>1093</v>
      </c>
      <c r="B1098" t="s">
        <v>1169</v>
      </c>
      <c r="C1098" t="s">
        <v>1170</v>
      </c>
      <c r="D1098" t="s">
        <v>1165</v>
      </c>
      <c r="E1098">
        <v>6</v>
      </c>
      <c r="F1098" t="s">
        <v>719</v>
      </c>
      <c r="G1098" t="s">
        <v>6472</v>
      </c>
      <c r="H1098" t="s">
        <v>795</v>
      </c>
      <c r="I1098" t="s">
        <v>849</v>
      </c>
      <c r="J1098" t="s">
        <v>850</v>
      </c>
      <c r="K1098" t="s">
        <v>851</v>
      </c>
      <c r="L1098" t="s">
        <v>725</v>
      </c>
      <c r="M1098">
        <v>0.71043217182159424</v>
      </c>
      <c r="N1098" t="s">
        <v>53</v>
      </c>
      <c r="O1098" t="s">
        <v>53</v>
      </c>
      <c r="P1098" t="s">
        <v>54</v>
      </c>
      <c r="Q1098" t="s">
        <v>53</v>
      </c>
      <c r="R1098" t="s">
        <v>53</v>
      </c>
      <c r="S1098" t="s">
        <v>1171</v>
      </c>
      <c r="T1098" t="s">
        <v>1196</v>
      </c>
      <c r="U1098" t="s">
        <v>53</v>
      </c>
      <c r="V1098" t="s">
        <v>51</v>
      </c>
      <c r="W1098">
        <v>100000</v>
      </c>
      <c r="X1098" t="s">
        <v>53</v>
      </c>
      <c r="AA1098">
        <v>633</v>
      </c>
      <c r="AB1098">
        <v>529</v>
      </c>
      <c r="AC1098">
        <v>2597</v>
      </c>
      <c r="AD1098">
        <v>1131</v>
      </c>
      <c r="AE1098">
        <v>3407</v>
      </c>
      <c r="AF1098">
        <v>4</v>
      </c>
      <c r="AG1098">
        <v>0</v>
      </c>
      <c r="AH1098">
        <v>8.820770263671875</v>
      </c>
      <c r="AK1098" t="s">
        <v>53</v>
      </c>
      <c r="AL1098" t="s">
        <v>53</v>
      </c>
      <c r="AQ1098" t="s">
        <v>54</v>
      </c>
      <c r="AT1098" t="s">
        <v>1044</v>
      </c>
      <c r="AW1098" t="s">
        <v>53</v>
      </c>
      <c r="AZ1098" t="s">
        <v>54</v>
      </c>
      <c r="BA1098" t="s">
        <v>729</v>
      </c>
    </row>
    <row r="1099" spans="1:53" x14ac:dyDescent="0.25">
      <c r="A1099">
        <v>1094</v>
      </c>
      <c r="B1099" t="s">
        <v>793</v>
      </c>
      <c r="C1099" t="s">
        <v>794</v>
      </c>
      <c r="D1099" t="s">
        <v>6473</v>
      </c>
      <c r="E1099">
        <v>6</v>
      </c>
      <c r="F1099" t="s">
        <v>719</v>
      </c>
      <c r="G1099" t="s">
        <v>169</v>
      </c>
      <c r="H1099" t="s">
        <v>795</v>
      </c>
      <c r="I1099" t="s">
        <v>796</v>
      </c>
      <c r="J1099" t="s">
        <v>797</v>
      </c>
      <c r="K1099" t="s">
        <v>798</v>
      </c>
      <c r="L1099" t="s">
        <v>725</v>
      </c>
      <c r="M1099">
        <v>1.816979958675802E-3</v>
      </c>
      <c r="N1099" t="s">
        <v>53</v>
      </c>
      <c r="O1099" t="s">
        <v>53</v>
      </c>
      <c r="P1099" t="s">
        <v>54</v>
      </c>
      <c r="Q1099" t="s">
        <v>53</v>
      </c>
      <c r="R1099" t="s">
        <v>53</v>
      </c>
      <c r="S1099" t="s">
        <v>799</v>
      </c>
      <c r="T1099" t="s">
        <v>800</v>
      </c>
      <c r="U1099" t="s">
        <v>53</v>
      </c>
      <c r="V1099" t="s">
        <v>51</v>
      </c>
      <c r="W1099">
        <v>110000</v>
      </c>
      <c r="X1099" t="s">
        <v>54</v>
      </c>
      <c r="Y1099" t="s">
        <v>906</v>
      </c>
      <c r="Z1099">
        <v>110000</v>
      </c>
      <c r="AK1099" t="s">
        <v>53</v>
      </c>
      <c r="AL1099" t="s">
        <v>53</v>
      </c>
      <c r="AP1099" t="s">
        <v>5451</v>
      </c>
      <c r="AQ1099" t="s">
        <v>53</v>
      </c>
      <c r="AT1099" t="s">
        <v>801</v>
      </c>
      <c r="AW1099" t="s">
        <v>53</v>
      </c>
      <c r="AZ1099" t="s">
        <v>54</v>
      </c>
      <c r="BA1099" t="s">
        <v>729</v>
      </c>
    </row>
    <row r="1100" spans="1:53" x14ac:dyDescent="0.25">
      <c r="A1100">
        <v>1095</v>
      </c>
      <c r="B1100" t="s">
        <v>854</v>
      </c>
      <c r="C1100" t="s">
        <v>855</v>
      </c>
      <c r="D1100" t="s">
        <v>856</v>
      </c>
      <c r="E1100">
        <v>6</v>
      </c>
      <c r="F1100" t="s">
        <v>719</v>
      </c>
      <c r="G1100" t="s">
        <v>848</v>
      </c>
      <c r="H1100" t="s">
        <v>857</v>
      </c>
      <c r="I1100" t="s">
        <v>858</v>
      </c>
      <c r="J1100" t="s">
        <v>859</v>
      </c>
      <c r="K1100" t="s">
        <v>860</v>
      </c>
      <c r="L1100" t="s">
        <v>725</v>
      </c>
      <c r="M1100">
        <v>19.292984008789059</v>
      </c>
      <c r="N1100" t="s">
        <v>54</v>
      </c>
      <c r="O1100" t="s">
        <v>53</v>
      </c>
      <c r="P1100" t="s">
        <v>54</v>
      </c>
      <c r="Q1100" t="s">
        <v>53</v>
      </c>
      <c r="R1100" t="s">
        <v>53</v>
      </c>
      <c r="S1100" t="s">
        <v>861</v>
      </c>
      <c r="T1100" t="s">
        <v>862</v>
      </c>
      <c r="U1100" t="s">
        <v>53</v>
      </c>
      <c r="V1100" t="s">
        <v>51</v>
      </c>
      <c r="W1100">
        <v>400000</v>
      </c>
      <c r="X1100" t="s">
        <v>54</v>
      </c>
      <c r="AA1100">
        <v>3302</v>
      </c>
      <c r="AB1100">
        <v>2855</v>
      </c>
      <c r="AC1100">
        <v>8623</v>
      </c>
      <c r="AD1100">
        <v>7511</v>
      </c>
      <c r="AE1100">
        <v>14150</v>
      </c>
      <c r="AF1100">
        <v>108</v>
      </c>
      <c r="AG1100">
        <v>0</v>
      </c>
      <c r="AH1100">
        <v>55.056369781494141</v>
      </c>
      <c r="AI1100">
        <v>0</v>
      </c>
      <c r="AJ1100">
        <v>17.817182540893551</v>
      </c>
      <c r="AK1100" t="s">
        <v>53</v>
      </c>
      <c r="AL1100" t="s">
        <v>54</v>
      </c>
      <c r="AP1100" t="s">
        <v>5451</v>
      </c>
      <c r="AQ1100" t="s">
        <v>54</v>
      </c>
      <c r="AT1100" t="s">
        <v>863</v>
      </c>
      <c r="AW1100" t="s">
        <v>53</v>
      </c>
      <c r="AZ1100" t="s">
        <v>54</v>
      </c>
      <c r="BA1100" t="s">
        <v>729</v>
      </c>
    </row>
    <row r="1101" spans="1:53" x14ac:dyDescent="0.25">
      <c r="A1101">
        <v>1096</v>
      </c>
      <c r="B1101" t="s">
        <v>864</v>
      </c>
      <c r="C1101" t="s">
        <v>865</v>
      </c>
      <c r="D1101" t="s">
        <v>866</v>
      </c>
      <c r="E1101">
        <v>6</v>
      </c>
      <c r="F1101" t="s">
        <v>719</v>
      </c>
      <c r="G1101" t="s">
        <v>848</v>
      </c>
      <c r="H1101" t="s">
        <v>857</v>
      </c>
      <c r="I1101" t="s">
        <v>858</v>
      </c>
      <c r="J1101" t="s">
        <v>859</v>
      </c>
      <c r="K1101" t="s">
        <v>860</v>
      </c>
      <c r="L1101" t="s">
        <v>725</v>
      </c>
      <c r="M1101">
        <v>19.292984008789059</v>
      </c>
      <c r="N1101" t="s">
        <v>54</v>
      </c>
      <c r="O1101" t="s">
        <v>53</v>
      </c>
      <c r="P1101" t="s">
        <v>54</v>
      </c>
      <c r="Q1101" t="s">
        <v>53</v>
      </c>
      <c r="R1101" t="s">
        <v>53</v>
      </c>
      <c r="S1101" t="s">
        <v>861</v>
      </c>
      <c r="T1101" t="s">
        <v>862</v>
      </c>
      <c r="U1101" t="s">
        <v>53</v>
      </c>
      <c r="V1101" t="s">
        <v>51</v>
      </c>
      <c r="W1101">
        <v>800000</v>
      </c>
      <c r="X1101" t="s">
        <v>54</v>
      </c>
      <c r="AA1101">
        <v>3302</v>
      </c>
      <c r="AB1101">
        <v>2855</v>
      </c>
      <c r="AC1101">
        <v>8623</v>
      </c>
      <c r="AD1101">
        <v>7511</v>
      </c>
      <c r="AE1101">
        <v>14150</v>
      </c>
      <c r="AF1101">
        <v>108</v>
      </c>
      <c r="AG1101">
        <v>0</v>
      </c>
      <c r="AH1101">
        <v>55.056369781494141</v>
      </c>
      <c r="AI1101">
        <v>0</v>
      </c>
      <c r="AJ1101">
        <v>17.817182540893551</v>
      </c>
      <c r="AK1101" t="s">
        <v>53</v>
      </c>
      <c r="AL1101" t="s">
        <v>53</v>
      </c>
      <c r="AP1101" t="s">
        <v>5451</v>
      </c>
      <c r="AQ1101" t="s">
        <v>54</v>
      </c>
      <c r="AT1101" t="s">
        <v>863</v>
      </c>
      <c r="AW1101" t="s">
        <v>53</v>
      </c>
      <c r="AZ1101" t="s">
        <v>54</v>
      </c>
      <c r="BA1101" t="s">
        <v>729</v>
      </c>
    </row>
    <row r="1102" spans="1:53" x14ac:dyDescent="0.25">
      <c r="A1102">
        <v>1097</v>
      </c>
      <c r="B1102" t="s">
        <v>876</v>
      </c>
      <c r="C1102" t="s">
        <v>877</v>
      </c>
      <c r="D1102" t="s">
        <v>878</v>
      </c>
      <c r="E1102">
        <v>6</v>
      </c>
      <c r="F1102" t="s">
        <v>719</v>
      </c>
      <c r="G1102" t="s">
        <v>870</v>
      </c>
      <c r="H1102" t="s">
        <v>795</v>
      </c>
      <c r="I1102" t="s">
        <v>871</v>
      </c>
      <c r="J1102" t="s">
        <v>872</v>
      </c>
      <c r="K1102" t="s">
        <v>873</v>
      </c>
      <c r="L1102" t="s">
        <v>725</v>
      </c>
      <c r="M1102">
        <v>25.088289260864261</v>
      </c>
      <c r="N1102" t="s">
        <v>53</v>
      </c>
      <c r="O1102" t="s">
        <v>53</v>
      </c>
      <c r="P1102" t="s">
        <v>54</v>
      </c>
      <c r="Q1102" t="s">
        <v>53</v>
      </c>
      <c r="R1102" t="s">
        <v>53</v>
      </c>
      <c r="S1102" t="s">
        <v>799</v>
      </c>
      <c r="T1102" t="s">
        <v>879</v>
      </c>
      <c r="U1102" t="s">
        <v>53</v>
      </c>
      <c r="V1102" t="s">
        <v>791</v>
      </c>
      <c r="W1102">
        <v>100000</v>
      </c>
      <c r="X1102" t="s">
        <v>54</v>
      </c>
      <c r="Y1102" t="s">
        <v>6474</v>
      </c>
      <c r="Z1102">
        <v>50000</v>
      </c>
      <c r="AA1102">
        <v>3445</v>
      </c>
      <c r="AB1102">
        <v>2605</v>
      </c>
      <c r="AC1102">
        <v>15192</v>
      </c>
      <c r="AD1102">
        <v>8721</v>
      </c>
      <c r="AE1102">
        <v>21569</v>
      </c>
      <c r="AF1102">
        <v>18</v>
      </c>
      <c r="AG1102">
        <v>0</v>
      </c>
      <c r="AH1102">
        <v>56.80682373046875</v>
      </c>
      <c r="AI1102">
        <v>0</v>
      </c>
      <c r="AJ1102">
        <v>262.29559326171881</v>
      </c>
      <c r="AK1102" t="s">
        <v>54</v>
      </c>
      <c r="AL1102" t="s">
        <v>53</v>
      </c>
      <c r="AP1102" t="s">
        <v>5451</v>
      </c>
      <c r="AQ1102" t="s">
        <v>53</v>
      </c>
      <c r="AT1102" t="s">
        <v>875</v>
      </c>
      <c r="AW1102" t="s">
        <v>53</v>
      </c>
      <c r="AZ1102" t="s">
        <v>54</v>
      </c>
      <c r="BA1102" t="s">
        <v>729</v>
      </c>
    </row>
    <row r="1103" spans="1:53" x14ac:dyDescent="0.25">
      <c r="A1103">
        <v>1098</v>
      </c>
      <c r="B1103" t="s">
        <v>882</v>
      </c>
      <c r="C1103" t="s">
        <v>883</v>
      </c>
      <c r="D1103" t="s">
        <v>884</v>
      </c>
      <c r="E1103">
        <v>6</v>
      </c>
      <c r="F1103" t="s">
        <v>719</v>
      </c>
      <c r="G1103" t="s">
        <v>276</v>
      </c>
      <c r="H1103" t="s">
        <v>795</v>
      </c>
      <c r="I1103" t="s">
        <v>796</v>
      </c>
      <c r="J1103" t="s">
        <v>797</v>
      </c>
      <c r="K1103" t="s">
        <v>798</v>
      </c>
      <c r="L1103" t="s">
        <v>725</v>
      </c>
      <c r="M1103">
        <v>2.598058938980103</v>
      </c>
      <c r="N1103" t="s">
        <v>53</v>
      </c>
      <c r="O1103" t="s">
        <v>53</v>
      </c>
      <c r="P1103" t="s">
        <v>54</v>
      </c>
      <c r="Q1103" t="s">
        <v>53</v>
      </c>
      <c r="R1103" t="s">
        <v>53</v>
      </c>
      <c r="S1103" t="s">
        <v>885</v>
      </c>
      <c r="T1103" t="s">
        <v>886</v>
      </c>
      <c r="U1103" t="s">
        <v>53</v>
      </c>
      <c r="V1103" t="s">
        <v>51</v>
      </c>
      <c r="W1103">
        <v>233000</v>
      </c>
      <c r="X1103" t="s">
        <v>54</v>
      </c>
      <c r="AA1103">
        <v>41</v>
      </c>
      <c r="AB1103">
        <v>37</v>
      </c>
      <c r="AC1103">
        <v>3</v>
      </c>
      <c r="AD1103">
        <v>39</v>
      </c>
      <c r="AE1103">
        <v>39</v>
      </c>
      <c r="AF1103">
        <v>0</v>
      </c>
      <c r="AG1103">
        <v>0</v>
      </c>
      <c r="AH1103">
        <v>0.21681888401508331</v>
      </c>
      <c r="AI1103">
        <v>0</v>
      </c>
      <c r="AJ1103">
        <v>1.2274031639099121</v>
      </c>
      <c r="AK1103" t="s">
        <v>53</v>
      </c>
      <c r="AL1103" t="s">
        <v>53</v>
      </c>
      <c r="AP1103" t="s">
        <v>5451</v>
      </c>
      <c r="AQ1103" t="s">
        <v>53</v>
      </c>
      <c r="AT1103" t="s">
        <v>887</v>
      </c>
      <c r="AW1103" t="s">
        <v>53</v>
      </c>
      <c r="AZ1103" t="s">
        <v>54</v>
      </c>
      <c r="BA1103" t="s">
        <v>729</v>
      </c>
    </row>
    <row r="1104" spans="1:53" x14ac:dyDescent="0.25">
      <c r="A1104">
        <v>1099</v>
      </c>
      <c r="B1104" t="s">
        <v>905</v>
      </c>
      <c r="C1104" t="s">
        <v>6475</v>
      </c>
      <c r="D1104" t="s">
        <v>6476</v>
      </c>
      <c r="E1104">
        <v>6</v>
      </c>
      <c r="F1104" t="s">
        <v>719</v>
      </c>
      <c r="G1104" t="s">
        <v>805</v>
      </c>
      <c r="H1104" t="s">
        <v>806</v>
      </c>
      <c r="I1104" t="s">
        <v>899</v>
      </c>
      <c r="J1104" t="s">
        <v>900</v>
      </c>
      <c r="K1104" t="s">
        <v>901</v>
      </c>
      <c r="L1104" t="s">
        <v>725</v>
      </c>
      <c r="M1104">
        <v>3.5849535465240479</v>
      </c>
      <c r="N1104" t="s">
        <v>53</v>
      </c>
      <c r="O1104" t="s">
        <v>53</v>
      </c>
      <c r="P1104" t="s">
        <v>54</v>
      </c>
      <c r="Q1104" t="s">
        <v>53</v>
      </c>
      <c r="R1104" t="s">
        <v>53</v>
      </c>
      <c r="S1104" t="s">
        <v>902</v>
      </c>
      <c r="T1104" t="s">
        <v>903</v>
      </c>
      <c r="U1104" t="s">
        <v>53</v>
      </c>
      <c r="V1104" t="s">
        <v>51</v>
      </c>
      <c r="W1104">
        <v>1000000</v>
      </c>
      <c r="X1104" t="s">
        <v>54</v>
      </c>
      <c r="Y1104" t="s">
        <v>906</v>
      </c>
      <c r="Z1104">
        <v>250000</v>
      </c>
      <c r="AA1104">
        <v>5879</v>
      </c>
      <c r="AB1104">
        <v>5539</v>
      </c>
      <c r="AC1104">
        <v>25741</v>
      </c>
      <c r="AD1104">
        <v>16463</v>
      </c>
      <c r="AE1104">
        <v>37604</v>
      </c>
      <c r="AF1104">
        <v>71</v>
      </c>
      <c r="AG1104">
        <v>0</v>
      </c>
      <c r="AH1104">
        <v>70.914344787597656</v>
      </c>
      <c r="AI1104">
        <v>0</v>
      </c>
      <c r="AJ1104">
        <v>0.15173642337322241</v>
      </c>
      <c r="AK1104" t="s">
        <v>54</v>
      </c>
      <c r="AL1104" t="s">
        <v>53</v>
      </c>
      <c r="AP1104" t="s">
        <v>5451</v>
      </c>
      <c r="AQ1104" t="s">
        <v>54</v>
      </c>
      <c r="AT1104" t="s">
        <v>907</v>
      </c>
      <c r="AW1104" t="s">
        <v>53</v>
      </c>
      <c r="AZ1104" t="s">
        <v>54</v>
      </c>
      <c r="BA1104" t="s">
        <v>729</v>
      </c>
    </row>
    <row r="1105" spans="1:53" x14ac:dyDescent="0.25">
      <c r="A1105">
        <v>1100</v>
      </c>
      <c r="B1105" t="s">
        <v>919</v>
      </c>
      <c r="C1105" t="s">
        <v>920</v>
      </c>
      <c r="D1105" t="s">
        <v>921</v>
      </c>
      <c r="E1105">
        <v>6</v>
      </c>
      <c r="F1105" t="s">
        <v>719</v>
      </c>
      <c r="G1105" t="s">
        <v>169</v>
      </c>
      <c r="H1105" t="s">
        <v>795</v>
      </c>
      <c r="I1105" t="s">
        <v>796</v>
      </c>
      <c r="J1105" t="s">
        <v>797</v>
      </c>
      <c r="K1105" t="s">
        <v>798</v>
      </c>
      <c r="L1105" t="s">
        <v>725</v>
      </c>
      <c r="M1105">
        <v>2.1303500980138779E-3</v>
      </c>
      <c r="N1105" t="s">
        <v>53</v>
      </c>
      <c r="O1105" t="s">
        <v>53</v>
      </c>
      <c r="P1105" t="s">
        <v>54</v>
      </c>
      <c r="Q1105" t="s">
        <v>53</v>
      </c>
      <c r="R1105" t="s">
        <v>53</v>
      </c>
      <c r="S1105" t="s">
        <v>799</v>
      </c>
      <c r="T1105" t="s">
        <v>800</v>
      </c>
      <c r="U1105" t="s">
        <v>53</v>
      </c>
      <c r="V1105" t="s">
        <v>51</v>
      </c>
      <c r="W1105">
        <v>90000</v>
      </c>
      <c r="X1105" t="s">
        <v>54</v>
      </c>
      <c r="Y1105" t="s">
        <v>906</v>
      </c>
      <c r="Z1105">
        <v>90000</v>
      </c>
      <c r="AK1105" t="s">
        <v>53</v>
      </c>
      <c r="AL1105" t="s">
        <v>53</v>
      </c>
      <c r="AP1105" t="s">
        <v>5451</v>
      </c>
      <c r="AQ1105" t="s">
        <v>53</v>
      </c>
      <c r="AT1105" t="s">
        <v>801</v>
      </c>
      <c r="AW1105" t="s">
        <v>53</v>
      </c>
      <c r="AZ1105" t="s">
        <v>54</v>
      </c>
      <c r="BA1105" t="s">
        <v>729</v>
      </c>
    </row>
    <row r="1106" spans="1:53" x14ac:dyDescent="0.25">
      <c r="A1106">
        <v>1101</v>
      </c>
      <c r="B1106" t="s">
        <v>936</v>
      </c>
      <c r="C1106" t="s">
        <v>937</v>
      </c>
      <c r="D1106" t="s">
        <v>938</v>
      </c>
      <c r="E1106">
        <v>6</v>
      </c>
      <c r="F1106" t="s">
        <v>719</v>
      </c>
      <c r="G1106" t="s">
        <v>169</v>
      </c>
      <c r="H1106" t="s">
        <v>795</v>
      </c>
      <c r="I1106" t="s">
        <v>939</v>
      </c>
      <c r="J1106" t="s">
        <v>940</v>
      </c>
      <c r="K1106" t="s">
        <v>941</v>
      </c>
      <c r="L1106" t="s">
        <v>725</v>
      </c>
      <c r="M1106">
        <v>27.40939903259277</v>
      </c>
      <c r="N1106" t="s">
        <v>53</v>
      </c>
      <c r="O1106" t="s">
        <v>53</v>
      </c>
      <c r="P1106" t="s">
        <v>54</v>
      </c>
      <c r="Q1106" t="s">
        <v>53</v>
      </c>
      <c r="R1106" t="s">
        <v>53</v>
      </c>
      <c r="S1106" t="s">
        <v>942</v>
      </c>
      <c r="T1106" t="s">
        <v>943</v>
      </c>
      <c r="U1106" t="s">
        <v>53</v>
      </c>
      <c r="V1106" t="s">
        <v>51</v>
      </c>
      <c r="W1106">
        <v>3000000</v>
      </c>
      <c r="X1106" t="s">
        <v>54</v>
      </c>
      <c r="AA1106">
        <v>1250</v>
      </c>
      <c r="AB1106">
        <v>966</v>
      </c>
      <c r="AC1106">
        <v>6741</v>
      </c>
      <c r="AD1106">
        <v>1895</v>
      </c>
      <c r="AE1106">
        <v>8190</v>
      </c>
      <c r="AF1106">
        <v>8</v>
      </c>
      <c r="AG1106">
        <v>0</v>
      </c>
      <c r="AH1106">
        <v>43.312946319580078</v>
      </c>
      <c r="AI1106">
        <v>0</v>
      </c>
      <c r="AJ1106">
        <v>178.80146789550781</v>
      </c>
      <c r="AK1106" t="s">
        <v>53</v>
      </c>
      <c r="AL1106" t="s">
        <v>54</v>
      </c>
      <c r="AP1106" t="s">
        <v>5451</v>
      </c>
      <c r="AQ1106" t="s">
        <v>53</v>
      </c>
      <c r="AT1106" t="s">
        <v>935</v>
      </c>
      <c r="AW1106" t="s">
        <v>53</v>
      </c>
      <c r="AZ1106" t="s">
        <v>54</v>
      </c>
      <c r="BA1106" t="s">
        <v>729</v>
      </c>
    </row>
    <row r="1107" spans="1:53" x14ac:dyDescent="0.25">
      <c r="A1107">
        <v>1102</v>
      </c>
      <c r="B1107" t="s">
        <v>944</v>
      </c>
      <c r="C1107" t="s">
        <v>945</v>
      </c>
      <c r="D1107" t="s">
        <v>946</v>
      </c>
      <c r="E1107">
        <v>6</v>
      </c>
      <c r="F1107" t="s">
        <v>719</v>
      </c>
      <c r="G1107" t="s">
        <v>947</v>
      </c>
      <c r="H1107" t="s">
        <v>948</v>
      </c>
      <c r="I1107" t="s">
        <v>949</v>
      </c>
      <c r="J1107" t="s">
        <v>950</v>
      </c>
      <c r="K1107" t="s">
        <v>951</v>
      </c>
      <c r="L1107" t="s">
        <v>789</v>
      </c>
      <c r="M1107">
        <v>865.54779052734375</v>
      </c>
      <c r="N1107" t="s">
        <v>53</v>
      </c>
      <c r="O1107" t="s">
        <v>53</v>
      </c>
      <c r="P1107" t="s">
        <v>54</v>
      </c>
      <c r="Q1107" t="s">
        <v>53</v>
      </c>
      <c r="R1107" t="s">
        <v>53</v>
      </c>
      <c r="S1107" t="s">
        <v>952</v>
      </c>
      <c r="T1107" t="s">
        <v>6477</v>
      </c>
      <c r="U1107" t="s">
        <v>53</v>
      </c>
      <c r="V1107" t="s">
        <v>791</v>
      </c>
      <c r="W1107">
        <v>25000</v>
      </c>
      <c r="X1107" t="s">
        <v>54</v>
      </c>
      <c r="AA1107">
        <v>151</v>
      </c>
      <c r="AB1107">
        <v>56</v>
      </c>
      <c r="AC1107">
        <v>715</v>
      </c>
      <c r="AD1107">
        <v>127</v>
      </c>
      <c r="AE1107">
        <v>797</v>
      </c>
      <c r="AF1107">
        <v>0</v>
      </c>
      <c r="AG1107">
        <v>0</v>
      </c>
      <c r="AH1107">
        <v>7.296903133392334</v>
      </c>
      <c r="AI1107">
        <v>0</v>
      </c>
      <c r="AJ1107">
        <v>354.08441162109381</v>
      </c>
      <c r="AK1107" t="s">
        <v>53</v>
      </c>
      <c r="AL1107" t="s">
        <v>54</v>
      </c>
      <c r="AP1107" t="s">
        <v>5451</v>
      </c>
      <c r="AQ1107" t="s">
        <v>54</v>
      </c>
      <c r="AT1107" t="s">
        <v>953</v>
      </c>
      <c r="AW1107" t="s">
        <v>53</v>
      </c>
      <c r="AZ1107" t="s">
        <v>54</v>
      </c>
      <c r="BA1107" t="s">
        <v>729</v>
      </c>
    </row>
    <row r="1108" spans="1:53" x14ac:dyDescent="0.25">
      <c r="A1108">
        <v>1103</v>
      </c>
      <c r="B1108" t="s">
        <v>954</v>
      </c>
      <c r="C1108" t="s">
        <v>955</v>
      </c>
      <c r="D1108" t="s">
        <v>6478</v>
      </c>
      <c r="E1108">
        <v>6</v>
      </c>
      <c r="F1108" t="s">
        <v>719</v>
      </c>
      <c r="G1108" t="s">
        <v>870</v>
      </c>
      <c r="H1108" t="s">
        <v>795</v>
      </c>
      <c r="I1108" t="s">
        <v>871</v>
      </c>
      <c r="J1108" t="s">
        <v>872</v>
      </c>
      <c r="K1108" t="s">
        <v>873</v>
      </c>
      <c r="L1108" t="s">
        <v>725</v>
      </c>
      <c r="M1108">
        <v>25.088289260864261</v>
      </c>
      <c r="N1108" t="s">
        <v>54</v>
      </c>
      <c r="O1108" t="s">
        <v>53</v>
      </c>
      <c r="P1108" t="s">
        <v>53</v>
      </c>
      <c r="Q1108" t="s">
        <v>53</v>
      </c>
      <c r="R1108" t="s">
        <v>53</v>
      </c>
      <c r="S1108" t="s">
        <v>799</v>
      </c>
      <c r="T1108" t="s">
        <v>727</v>
      </c>
      <c r="U1108" t="s">
        <v>53</v>
      </c>
      <c r="V1108" t="s">
        <v>51</v>
      </c>
      <c r="W1108">
        <v>200000</v>
      </c>
      <c r="X1108" t="s">
        <v>54</v>
      </c>
      <c r="Y1108" t="s">
        <v>6474</v>
      </c>
      <c r="Z1108">
        <v>50000</v>
      </c>
      <c r="AA1108">
        <v>3445</v>
      </c>
      <c r="AB1108">
        <v>2605</v>
      </c>
      <c r="AC1108">
        <v>15192</v>
      </c>
      <c r="AD1108">
        <v>8721</v>
      </c>
      <c r="AE1108">
        <v>21569</v>
      </c>
      <c r="AF1108">
        <v>18</v>
      </c>
      <c r="AG1108">
        <v>0</v>
      </c>
      <c r="AH1108">
        <v>56.80682373046875</v>
      </c>
      <c r="AI1108">
        <v>0</v>
      </c>
      <c r="AJ1108">
        <v>262.29559326171881</v>
      </c>
      <c r="AK1108" t="s">
        <v>53</v>
      </c>
      <c r="AL1108" t="s">
        <v>54</v>
      </c>
      <c r="AP1108" t="s">
        <v>5451</v>
      </c>
      <c r="AQ1108" t="s">
        <v>53</v>
      </c>
      <c r="AT1108" t="s">
        <v>875</v>
      </c>
      <c r="AW1108" t="s">
        <v>53</v>
      </c>
      <c r="AZ1108" t="s">
        <v>54</v>
      </c>
      <c r="BA1108" t="s">
        <v>729</v>
      </c>
    </row>
    <row r="1109" spans="1:53" x14ac:dyDescent="0.25">
      <c r="A1109">
        <v>1104</v>
      </c>
      <c r="B1109" t="s">
        <v>956</v>
      </c>
      <c r="C1109" t="s">
        <v>957</v>
      </c>
      <c r="D1109" t="s">
        <v>958</v>
      </c>
      <c r="E1109">
        <v>6</v>
      </c>
      <c r="F1109" t="s">
        <v>719</v>
      </c>
      <c r="G1109" t="s">
        <v>870</v>
      </c>
      <c r="H1109" t="s">
        <v>795</v>
      </c>
      <c r="I1109" t="s">
        <v>871</v>
      </c>
      <c r="J1109" t="s">
        <v>872</v>
      </c>
      <c r="K1109" t="s">
        <v>873</v>
      </c>
      <c r="L1109" t="s">
        <v>789</v>
      </c>
      <c r="M1109">
        <v>25.088289260864261</v>
      </c>
      <c r="N1109" t="s">
        <v>54</v>
      </c>
      <c r="O1109" t="s">
        <v>53</v>
      </c>
      <c r="P1109" t="s">
        <v>53</v>
      </c>
      <c r="Q1109" t="s">
        <v>53</v>
      </c>
      <c r="R1109" t="s">
        <v>53</v>
      </c>
      <c r="S1109" t="s">
        <v>799</v>
      </c>
      <c r="T1109" t="s">
        <v>879</v>
      </c>
      <c r="U1109" t="s">
        <v>53</v>
      </c>
      <c r="V1109" t="s">
        <v>791</v>
      </c>
      <c r="W1109">
        <v>500000</v>
      </c>
      <c r="X1109" t="s">
        <v>54</v>
      </c>
      <c r="Y1109" t="s">
        <v>6474</v>
      </c>
      <c r="Z1109">
        <v>125000</v>
      </c>
      <c r="AA1109">
        <v>3445</v>
      </c>
      <c r="AB1109">
        <v>2605</v>
      </c>
      <c r="AC1109">
        <v>15192</v>
      </c>
      <c r="AD1109">
        <v>8721</v>
      </c>
      <c r="AE1109">
        <v>21569</v>
      </c>
      <c r="AF1109">
        <v>18</v>
      </c>
      <c r="AG1109">
        <v>0</v>
      </c>
      <c r="AH1109">
        <v>56.80682373046875</v>
      </c>
      <c r="AI1109">
        <v>0</v>
      </c>
      <c r="AJ1109">
        <v>262.29559326171881</v>
      </c>
      <c r="AK1109" t="s">
        <v>53</v>
      </c>
      <c r="AL1109" t="s">
        <v>54</v>
      </c>
      <c r="AP1109" t="s">
        <v>5451</v>
      </c>
      <c r="AQ1109" t="s">
        <v>54</v>
      </c>
      <c r="AT1109" t="s">
        <v>875</v>
      </c>
      <c r="AW1109" t="s">
        <v>53</v>
      </c>
      <c r="AZ1109" t="s">
        <v>54</v>
      </c>
      <c r="BA1109" t="s">
        <v>729</v>
      </c>
    </row>
    <row r="1110" spans="1:53" x14ac:dyDescent="0.25">
      <c r="A1110">
        <v>1105</v>
      </c>
      <c r="B1110" t="s">
        <v>959</v>
      </c>
      <c r="C1110" t="s">
        <v>960</v>
      </c>
      <c r="D1110" t="s">
        <v>961</v>
      </c>
      <c r="E1110">
        <v>6</v>
      </c>
      <c r="F1110" t="s">
        <v>719</v>
      </c>
      <c r="G1110" t="s">
        <v>947</v>
      </c>
      <c r="H1110" t="s">
        <v>948</v>
      </c>
      <c r="I1110" t="s">
        <v>949</v>
      </c>
      <c r="J1110" t="s">
        <v>950</v>
      </c>
      <c r="K1110" t="s">
        <v>951</v>
      </c>
      <c r="L1110" t="s">
        <v>725</v>
      </c>
      <c r="M1110">
        <v>865.54779052734375</v>
      </c>
      <c r="N1110" t="s">
        <v>53</v>
      </c>
      <c r="O1110" t="s">
        <v>53</v>
      </c>
      <c r="P1110" t="s">
        <v>54</v>
      </c>
      <c r="Q1110" t="s">
        <v>53</v>
      </c>
      <c r="R1110" t="s">
        <v>53</v>
      </c>
      <c r="S1110" t="s">
        <v>952</v>
      </c>
      <c r="T1110" t="s">
        <v>6479</v>
      </c>
      <c r="U1110" t="s">
        <v>53</v>
      </c>
      <c r="V1110" t="s">
        <v>51</v>
      </c>
      <c r="W1110">
        <v>500000</v>
      </c>
      <c r="X1110" t="s">
        <v>54</v>
      </c>
      <c r="AA1110">
        <v>151</v>
      </c>
      <c r="AB1110">
        <v>56</v>
      </c>
      <c r="AC1110">
        <v>715</v>
      </c>
      <c r="AD1110">
        <v>127</v>
      </c>
      <c r="AE1110">
        <v>797</v>
      </c>
      <c r="AF1110">
        <v>0</v>
      </c>
      <c r="AG1110">
        <v>0</v>
      </c>
      <c r="AH1110">
        <v>7.296903133392334</v>
      </c>
      <c r="AI1110">
        <v>0</v>
      </c>
      <c r="AJ1110">
        <v>354.08441162109381</v>
      </c>
      <c r="AK1110" t="s">
        <v>53</v>
      </c>
      <c r="AL1110" t="s">
        <v>54</v>
      </c>
      <c r="AP1110" t="s">
        <v>5451</v>
      </c>
      <c r="AQ1110" t="s">
        <v>54</v>
      </c>
      <c r="AT1110" t="s">
        <v>953</v>
      </c>
      <c r="AW1110" t="s">
        <v>53</v>
      </c>
      <c r="AZ1110" t="s">
        <v>54</v>
      </c>
      <c r="BA1110" t="s">
        <v>729</v>
      </c>
    </row>
    <row r="1111" spans="1:53" x14ac:dyDescent="0.25">
      <c r="A1111">
        <v>1106</v>
      </c>
      <c r="B1111" t="s">
        <v>996</v>
      </c>
      <c r="C1111" t="s">
        <v>997</v>
      </c>
      <c r="D1111" t="s">
        <v>998</v>
      </c>
      <c r="E1111">
        <v>6</v>
      </c>
      <c r="F1111" t="s">
        <v>719</v>
      </c>
      <c r="G1111" t="s">
        <v>999</v>
      </c>
      <c r="H1111" t="s">
        <v>795</v>
      </c>
      <c r="I1111" t="s">
        <v>796</v>
      </c>
      <c r="J1111" t="s">
        <v>797</v>
      </c>
      <c r="K1111" t="s">
        <v>798</v>
      </c>
      <c r="L1111" t="s">
        <v>725</v>
      </c>
      <c r="M1111">
        <v>3.3720557689666748</v>
      </c>
      <c r="N1111" t="s">
        <v>54</v>
      </c>
      <c r="O1111" t="s">
        <v>53</v>
      </c>
      <c r="P1111" t="s">
        <v>53</v>
      </c>
      <c r="Q1111" t="s">
        <v>53</v>
      </c>
      <c r="R1111" t="s">
        <v>53</v>
      </c>
      <c r="S1111" t="s">
        <v>6480</v>
      </c>
      <c r="T1111" t="s">
        <v>727</v>
      </c>
      <c r="U1111" t="s">
        <v>53</v>
      </c>
      <c r="V1111" t="s">
        <v>51</v>
      </c>
      <c r="W1111">
        <v>252400</v>
      </c>
      <c r="X1111" t="s">
        <v>54</v>
      </c>
      <c r="AA1111">
        <v>0</v>
      </c>
      <c r="AB1111">
        <v>0</v>
      </c>
      <c r="AC1111">
        <v>0</v>
      </c>
      <c r="AD1111">
        <v>0</v>
      </c>
      <c r="AE1111">
        <v>0</v>
      </c>
      <c r="AF1111">
        <v>0</v>
      </c>
      <c r="AG1111">
        <v>0</v>
      </c>
      <c r="AH1111">
        <v>1.1529239825904369E-2</v>
      </c>
      <c r="AI1111">
        <v>0</v>
      </c>
      <c r="AJ1111">
        <v>4.4743560254573822E-2</v>
      </c>
      <c r="AK1111" t="s">
        <v>53</v>
      </c>
      <c r="AL1111" t="s">
        <v>54</v>
      </c>
      <c r="AP1111" t="s">
        <v>5451</v>
      </c>
      <c r="AQ1111" t="s">
        <v>54</v>
      </c>
      <c r="AT1111" t="s">
        <v>1001</v>
      </c>
      <c r="AW1111" t="s">
        <v>53</v>
      </c>
      <c r="AZ1111" t="s">
        <v>54</v>
      </c>
      <c r="BA1111" t="s">
        <v>729</v>
      </c>
    </row>
    <row r="1112" spans="1:53" x14ac:dyDescent="0.25">
      <c r="A1112">
        <v>1107</v>
      </c>
      <c r="B1112" t="s">
        <v>1002</v>
      </c>
      <c r="C1112" t="s">
        <v>1003</v>
      </c>
      <c r="D1112" t="s">
        <v>998</v>
      </c>
      <c r="E1112">
        <v>6</v>
      </c>
      <c r="F1112" t="s">
        <v>719</v>
      </c>
      <c r="G1112" t="s">
        <v>169</v>
      </c>
      <c r="H1112" t="s">
        <v>795</v>
      </c>
      <c r="I1112" t="s">
        <v>1004</v>
      </c>
      <c r="J1112" t="s">
        <v>1005</v>
      </c>
      <c r="K1112" t="s">
        <v>1006</v>
      </c>
      <c r="L1112" t="s">
        <v>725</v>
      </c>
      <c r="M1112">
        <v>5.708590030670166</v>
      </c>
      <c r="N1112" t="s">
        <v>54</v>
      </c>
      <c r="O1112" t="s">
        <v>53</v>
      </c>
      <c r="P1112" t="s">
        <v>53</v>
      </c>
      <c r="Q1112" t="s">
        <v>53</v>
      </c>
      <c r="R1112" t="s">
        <v>53</v>
      </c>
      <c r="S1112" t="s">
        <v>6480</v>
      </c>
      <c r="T1112" t="s">
        <v>1007</v>
      </c>
      <c r="U1112" t="s">
        <v>53</v>
      </c>
      <c r="V1112" t="s">
        <v>51</v>
      </c>
      <c r="W1112">
        <v>932000</v>
      </c>
      <c r="X1112" t="s">
        <v>54</v>
      </c>
      <c r="AA1112">
        <v>574</v>
      </c>
      <c r="AB1112">
        <v>342</v>
      </c>
      <c r="AC1112">
        <v>298</v>
      </c>
      <c r="AD1112">
        <v>641</v>
      </c>
      <c r="AE1112">
        <v>814</v>
      </c>
      <c r="AF1112">
        <v>0</v>
      </c>
      <c r="AG1112">
        <v>0</v>
      </c>
      <c r="AH1112">
        <v>2.778800487518311</v>
      </c>
      <c r="AI1112">
        <v>0</v>
      </c>
      <c r="AJ1112">
        <v>26.84713172912598</v>
      </c>
      <c r="AK1112" t="s">
        <v>53</v>
      </c>
      <c r="AL1112" t="s">
        <v>54</v>
      </c>
      <c r="AP1112" t="s">
        <v>5451</v>
      </c>
      <c r="AQ1112" t="s">
        <v>54</v>
      </c>
      <c r="AT1112" t="s">
        <v>1001</v>
      </c>
      <c r="AW1112" t="s">
        <v>53</v>
      </c>
      <c r="AZ1112" t="s">
        <v>54</v>
      </c>
      <c r="BA1112" t="s">
        <v>729</v>
      </c>
    </row>
    <row r="1113" spans="1:53" x14ac:dyDescent="0.25">
      <c r="A1113">
        <v>1108</v>
      </c>
      <c r="B1113" t="s">
        <v>1025</v>
      </c>
      <c r="C1113" t="s">
        <v>1026</v>
      </c>
      <c r="D1113" t="s">
        <v>998</v>
      </c>
      <c r="E1113">
        <v>6</v>
      </c>
      <c r="F1113" t="s">
        <v>719</v>
      </c>
      <c r="G1113" t="s">
        <v>999</v>
      </c>
      <c r="H1113" t="s">
        <v>795</v>
      </c>
      <c r="I1113" t="s">
        <v>796</v>
      </c>
      <c r="J1113" t="s">
        <v>797</v>
      </c>
      <c r="K1113" t="s">
        <v>798</v>
      </c>
      <c r="L1113" t="s">
        <v>725</v>
      </c>
      <c r="M1113">
        <v>5.3506169319152832</v>
      </c>
      <c r="N1113" t="s">
        <v>54</v>
      </c>
      <c r="O1113" t="s">
        <v>53</v>
      </c>
      <c r="P1113" t="s">
        <v>53</v>
      </c>
      <c r="Q1113" t="s">
        <v>53</v>
      </c>
      <c r="R1113" t="s">
        <v>53</v>
      </c>
      <c r="S1113" t="s">
        <v>6480</v>
      </c>
      <c r="T1113" t="s">
        <v>1027</v>
      </c>
      <c r="U1113" t="s">
        <v>53</v>
      </c>
      <c r="V1113" t="s">
        <v>51</v>
      </c>
      <c r="W1113">
        <v>1212000</v>
      </c>
      <c r="X1113" t="s">
        <v>54</v>
      </c>
      <c r="AA1113">
        <v>257</v>
      </c>
      <c r="AB1113">
        <v>202</v>
      </c>
      <c r="AC1113">
        <v>1668</v>
      </c>
      <c r="AD1113">
        <v>487</v>
      </c>
      <c r="AE1113">
        <v>2051</v>
      </c>
      <c r="AF1113">
        <v>1</v>
      </c>
      <c r="AG1113">
        <v>0</v>
      </c>
      <c r="AH1113">
        <v>5.6157903671264648</v>
      </c>
      <c r="AI1113">
        <v>0</v>
      </c>
      <c r="AJ1113">
        <v>39.290901184082031</v>
      </c>
      <c r="AK1113" t="s">
        <v>53</v>
      </c>
      <c r="AL1113" t="s">
        <v>54</v>
      </c>
      <c r="AP1113" t="s">
        <v>5451</v>
      </c>
      <c r="AQ1113" t="s">
        <v>54</v>
      </c>
      <c r="AT1113" t="s">
        <v>1001</v>
      </c>
      <c r="AW1113" t="s">
        <v>53</v>
      </c>
      <c r="AZ1113" t="s">
        <v>54</v>
      </c>
      <c r="BA1113" t="s">
        <v>729</v>
      </c>
    </row>
    <row r="1114" spans="1:53" x14ac:dyDescent="0.25">
      <c r="A1114">
        <v>1109</v>
      </c>
      <c r="B1114" t="s">
        <v>1028</v>
      </c>
      <c r="C1114" t="s">
        <v>1029</v>
      </c>
      <c r="D1114" t="s">
        <v>998</v>
      </c>
      <c r="E1114">
        <v>6</v>
      </c>
      <c r="F1114" t="s">
        <v>719</v>
      </c>
      <c r="G1114" t="s">
        <v>276</v>
      </c>
      <c r="H1114" t="s">
        <v>795</v>
      </c>
      <c r="I1114" t="s">
        <v>1030</v>
      </c>
      <c r="J1114" t="s">
        <v>1031</v>
      </c>
      <c r="K1114" t="s">
        <v>1032</v>
      </c>
      <c r="L1114" t="s">
        <v>725</v>
      </c>
      <c r="M1114">
        <v>7.0702061653137207</v>
      </c>
      <c r="N1114" t="s">
        <v>54</v>
      </c>
      <c r="O1114" t="s">
        <v>53</v>
      </c>
      <c r="P1114" t="s">
        <v>53</v>
      </c>
      <c r="Q1114" t="s">
        <v>53</v>
      </c>
      <c r="R1114" t="s">
        <v>53</v>
      </c>
      <c r="S1114" t="s">
        <v>6480</v>
      </c>
      <c r="T1114" t="s">
        <v>1033</v>
      </c>
      <c r="U1114" t="s">
        <v>53</v>
      </c>
      <c r="V1114" t="s">
        <v>51</v>
      </c>
      <c r="W1114">
        <v>2040000</v>
      </c>
      <c r="X1114" t="s">
        <v>54</v>
      </c>
      <c r="AA1114">
        <v>415</v>
      </c>
      <c r="AB1114">
        <v>367</v>
      </c>
      <c r="AC1114">
        <v>120</v>
      </c>
      <c r="AD1114">
        <v>771</v>
      </c>
      <c r="AE1114">
        <v>778</v>
      </c>
      <c r="AF1114">
        <v>0</v>
      </c>
      <c r="AG1114">
        <v>3</v>
      </c>
      <c r="AH1114">
        <v>4.4755477905273438</v>
      </c>
      <c r="AI1114">
        <v>3</v>
      </c>
      <c r="AJ1114">
        <v>19.513925552368161</v>
      </c>
      <c r="AK1114" t="s">
        <v>53</v>
      </c>
      <c r="AL1114" t="s">
        <v>54</v>
      </c>
      <c r="AP1114" t="s">
        <v>5451</v>
      </c>
      <c r="AQ1114" t="s">
        <v>54</v>
      </c>
      <c r="AT1114" t="s">
        <v>1001</v>
      </c>
      <c r="AW1114" t="s">
        <v>53</v>
      </c>
      <c r="AZ1114" t="s">
        <v>54</v>
      </c>
      <c r="BA1114" t="s">
        <v>729</v>
      </c>
    </row>
    <row r="1115" spans="1:53" x14ac:dyDescent="0.25">
      <c r="A1115">
        <v>1110</v>
      </c>
      <c r="B1115" t="s">
        <v>1056</v>
      </c>
      <c r="C1115" t="s">
        <v>1057</v>
      </c>
      <c r="D1115" t="s">
        <v>1058</v>
      </c>
      <c r="E1115">
        <v>6</v>
      </c>
      <c r="F1115" t="s">
        <v>719</v>
      </c>
      <c r="G1115" t="s">
        <v>1059</v>
      </c>
      <c r="H1115" t="s">
        <v>1060</v>
      </c>
      <c r="I1115" t="s">
        <v>1061</v>
      </c>
      <c r="J1115" t="s">
        <v>1062</v>
      </c>
      <c r="K1115" t="s">
        <v>1063</v>
      </c>
      <c r="L1115" t="s">
        <v>725</v>
      </c>
      <c r="M1115">
        <v>1169.763671875</v>
      </c>
      <c r="N1115" t="s">
        <v>53</v>
      </c>
      <c r="O1115" t="s">
        <v>53</v>
      </c>
      <c r="P1115" t="s">
        <v>54</v>
      </c>
      <c r="Q1115" t="s">
        <v>53</v>
      </c>
      <c r="R1115" t="s">
        <v>53</v>
      </c>
      <c r="S1115" t="s">
        <v>1064</v>
      </c>
      <c r="T1115" t="s">
        <v>6481</v>
      </c>
      <c r="U1115" t="s">
        <v>53</v>
      </c>
      <c r="V1115" t="s">
        <v>51</v>
      </c>
      <c r="W1115">
        <v>2000000</v>
      </c>
      <c r="X1115" t="s">
        <v>54</v>
      </c>
      <c r="AA1115">
        <v>3618</v>
      </c>
      <c r="AB1115">
        <v>2271</v>
      </c>
      <c r="AC1115">
        <v>2546</v>
      </c>
      <c r="AD1115">
        <v>3575</v>
      </c>
      <c r="AE1115">
        <v>4854</v>
      </c>
      <c r="AF1115">
        <v>8</v>
      </c>
      <c r="AG1115">
        <v>7</v>
      </c>
      <c r="AH1115">
        <v>144.16850280761719</v>
      </c>
      <c r="AI1115">
        <v>7</v>
      </c>
      <c r="AJ1115">
        <v>1379.477294921875</v>
      </c>
      <c r="AK1115" t="s">
        <v>53</v>
      </c>
      <c r="AL1115" t="s">
        <v>53</v>
      </c>
      <c r="AP1115" t="s">
        <v>5451</v>
      </c>
      <c r="AQ1115" t="s">
        <v>54</v>
      </c>
      <c r="AT1115" t="s">
        <v>1065</v>
      </c>
      <c r="AW1115" t="s">
        <v>53</v>
      </c>
      <c r="AZ1115" t="s">
        <v>54</v>
      </c>
      <c r="BA1115" t="s">
        <v>729</v>
      </c>
    </row>
    <row r="1116" spans="1:53" x14ac:dyDescent="0.25">
      <c r="A1116">
        <v>1111</v>
      </c>
      <c r="B1116" t="s">
        <v>1108</v>
      </c>
      <c r="C1116" t="s">
        <v>1109</v>
      </c>
      <c r="D1116" t="s">
        <v>1110</v>
      </c>
      <c r="E1116">
        <v>6</v>
      </c>
      <c r="F1116" t="s">
        <v>719</v>
      </c>
      <c r="G1116" t="s">
        <v>947</v>
      </c>
      <c r="H1116" t="s">
        <v>948</v>
      </c>
      <c r="I1116" t="s">
        <v>949</v>
      </c>
      <c r="J1116" t="s">
        <v>950</v>
      </c>
      <c r="K1116" t="s">
        <v>951</v>
      </c>
      <c r="L1116" t="s">
        <v>725</v>
      </c>
      <c r="M1116">
        <v>44.227741241455078</v>
      </c>
      <c r="N1116" t="s">
        <v>54</v>
      </c>
      <c r="O1116" t="s">
        <v>53</v>
      </c>
      <c r="P1116" t="s">
        <v>53</v>
      </c>
      <c r="Q1116" t="s">
        <v>53</v>
      </c>
      <c r="R1116" t="s">
        <v>53</v>
      </c>
      <c r="S1116" t="s">
        <v>952</v>
      </c>
      <c r="T1116" t="s">
        <v>6482</v>
      </c>
      <c r="U1116" t="s">
        <v>53</v>
      </c>
      <c r="V1116" t="s">
        <v>51</v>
      </c>
      <c r="W1116">
        <v>7070000</v>
      </c>
      <c r="X1116" t="s">
        <v>54</v>
      </c>
      <c r="AA1116">
        <v>119</v>
      </c>
      <c r="AB1116">
        <v>44</v>
      </c>
      <c r="AC1116">
        <v>677</v>
      </c>
      <c r="AD1116">
        <v>91</v>
      </c>
      <c r="AE1116">
        <v>735</v>
      </c>
      <c r="AF1116">
        <v>0</v>
      </c>
      <c r="AG1116">
        <v>0</v>
      </c>
      <c r="AH1116">
        <v>6.2903738021850586</v>
      </c>
      <c r="AI1116">
        <v>0</v>
      </c>
      <c r="AJ1116">
        <v>341.08370971679688</v>
      </c>
      <c r="AK1116" t="s">
        <v>53</v>
      </c>
      <c r="AL1116" t="s">
        <v>54</v>
      </c>
      <c r="AP1116" t="s">
        <v>5451</v>
      </c>
      <c r="AQ1116" t="s">
        <v>54</v>
      </c>
      <c r="AT1116" t="s">
        <v>953</v>
      </c>
      <c r="AW1116" t="s">
        <v>53</v>
      </c>
      <c r="AZ1116" t="s">
        <v>54</v>
      </c>
      <c r="BA1116" t="s">
        <v>729</v>
      </c>
    </row>
    <row r="1117" spans="1:53" x14ac:dyDescent="0.25">
      <c r="A1117">
        <v>1112</v>
      </c>
      <c r="B1117" t="s">
        <v>1187</v>
      </c>
      <c r="C1117" t="s">
        <v>1188</v>
      </c>
      <c r="D1117" t="s">
        <v>1189</v>
      </c>
      <c r="E1117">
        <v>6</v>
      </c>
      <c r="F1117" t="s">
        <v>719</v>
      </c>
      <c r="G1117" t="s">
        <v>1059</v>
      </c>
      <c r="H1117" t="s">
        <v>1060</v>
      </c>
      <c r="I1117" t="s">
        <v>1061</v>
      </c>
      <c r="J1117" t="s">
        <v>1062</v>
      </c>
      <c r="K1117" t="s">
        <v>1063</v>
      </c>
      <c r="L1117" t="s">
        <v>725</v>
      </c>
      <c r="M1117">
        <v>1169.763671875</v>
      </c>
      <c r="N1117" t="s">
        <v>54</v>
      </c>
      <c r="O1117" t="s">
        <v>53</v>
      </c>
      <c r="P1117" t="s">
        <v>54</v>
      </c>
      <c r="Q1117" t="s">
        <v>53</v>
      </c>
      <c r="R1117" t="s">
        <v>53</v>
      </c>
      <c r="S1117" t="s">
        <v>1064</v>
      </c>
      <c r="T1117" t="s">
        <v>6483</v>
      </c>
      <c r="U1117" t="s">
        <v>53</v>
      </c>
      <c r="V1117" t="s">
        <v>51</v>
      </c>
      <c r="W1117">
        <v>486000</v>
      </c>
      <c r="X1117" t="s">
        <v>54</v>
      </c>
      <c r="AA1117">
        <v>3618</v>
      </c>
      <c r="AB1117">
        <v>2271</v>
      </c>
      <c r="AC1117">
        <v>2546</v>
      </c>
      <c r="AD1117">
        <v>3575</v>
      </c>
      <c r="AE1117">
        <v>4854</v>
      </c>
      <c r="AF1117">
        <v>8</v>
      </c>
      <c r="AG1117">
        <v>7</v>
      </c>
      <c r="AH1117">
        <v>144.16850280761719</v>
      </c>
      <c r="AI1117">
        <v>7</v>
      </c>
      <c r="AJ1117">
        <v>1379.477294921875</v>
      </c>
      <c r="AK1117" t="s">
        <v>53</v>
      </c>
      <c r="AL1117" t="s">
        <v>53</v>
      </c>
      <c r="AP1117" t="s">
        <v>5451</v>
      </c>
      <c r="AQ1117" t="s">
        <v>54</v>
      </c>
      <c r="AT1117" t="s">
        <v>1065</v>
      </c>
      <c r="AW1117" t="s">
        <v>53</v>
      </c>
      <c r="AZ1117" t="s">
        <v>54</v>
      </c>
      <c r="BA1117" t="s">
        <v>729</v>
      </c>
    </row>
    <row r="1118" spans="1:53" x14ac:dyDescent="0.25">
      <c r="A1118">
        <v>1113</v>
      </c>
      <c r="B1118" t="s">
        <v>1236</v>
      </c>
      <c r="C1118" t="s">
        <v>1237</v>
      </c>
      <c r="D1118" t="s">
        <v>1238</v>
      </c>
      <c r="E1118">
        <v>6</v>
      </c>
      <c r="F1118" t="s">
        <v>719</v>
      </c>
      <c r="G1118" t="s">
        <v>1097</v>
      </c>
      <c r="H1118" t="s">
        <v>795</v>
      </c>
      <c r="I1118" t="s">
        <v>1004</v>
      </c>
      <c r="J1118" t="s">
        <v>1005</v>
      </c>
      <c r="K1118" t="s">
        <v>1006</v>
      </c>
      <c r="L1118" t="s">
        <v>725</v>
      </c>
      <c r="M1118">
        <v>20.829156875610352</v>
      </c>
      <c r="N1118" t="s">
        <v>53</v>
      </c>
      <c r="O1118" t="s">
        <v>53</v>
      </c>
      <c r="P1118" t="s">
        <v>54</v>
      </c>
      <c r="Q1118" t="s">
        <v>53</v>
      </c>
      <c r="R1118" t="s">
        <v>53</v>
      </c>
      <c r="S1118" t="s">
        <v>1103</v>
      </c>
      <c r="T1118" t="s">
        <v>1104</v>
      </c>
      <c r="U1118" t="s">
        <v>53</v>
      </c>
      <c r="V1118" t="s">
        <v>51</v>
      </c>
      <c r="W1118">
        <v>950000</v>
      </c>
      <c r="X1118" t="s">
        <v>54</v>
      </c>
      <c r="Y1118" t="s">
        <v>6474</v>
      </c>
      <c r="AA1118">
        <v>1680</v>
      </c>
      <c r="AB1118">
        <v>1601</v>
      </c>
      <c r="AC1118">
        <v>2108</v>
      </c>
      <c r="AD1118">
        <v>4640</v>
      </c>
      <c r="AE1118">
        <v>5467</v>
      </c>
      <c r="AF1118">
        <v>2</v>
      </c>
      <c r="AG1118">
        <v>5</v>
      </c>
      <c r="AH1118">
        <v>37.720420837402337</v>
      </c>
      <c r="AI1118">
        <v>5</v>
      </c>
      <c r="AJ1118">
        <v>18.37308311462402</v>
      </c>
      <c r="AK1118" t="s">
        <v>53</v>
      </c>
      <c r="AL1118" t="s">
        <v>53</v>
      </c>
      <c r="AP1118" t="s">
        <v>5451</v>
      </c>
      <c r="AQ1118" t="s">
        <v>54</v>
      </c>
      <c r="AT1118" t="s">
        <v>1044</v>
      </c>
      <c r="AW1118" t="s">
        <v>53</v>
      </c>
      <c r="AZ1118" t="s">
        <v>54</v>
      </c>
      <c r="BA1118" t="s">
        <v>729</v>
      </c>
    </row>
    <row r="1119" spans="1:53" x14ac:dyDescent="0.25">
      <c r="A1119">
        <v>1114</v>
      </c>
      <c r="B1119" t="s">
        <v>1263</v>
      </c>
      <c r="C1119" t="s">
        <v>1264</v>
      </c>
      <c r="D1119" t="s">
        <v>1265</v>
      </c>
      <c r="E1119">
        <v>6</v>
      </c>
      <c r="F1119" t="s">
        <v>719</v>
      </c>
      <c r="G1119" t="s">
        <v>1059</v>
      </c>
      <c r="H1119" t="s">
        <v>1060</v>
      </c>
      <c r="I1119" t="s">
        <v>1061</v>
      </c>
      <c r="J1119" t="s">
        <v>1062</v>
      </c>
      <c r="K1119" t="s">
        <v>1063</v>
      </c>
      <c r="L1119" t="s">
        <v>725</v>
      </c>
      <c r="M1119">
        <v>1169.763671875</v>
      </c>
      <c r="N1119" t="s">
        <v>53</v>
      </c>
      <c r="O1119" t="s">
        <v>53</v>
      </c>
      <c r="P1119" t="s">
        <v>54</v>
      </c>
      <c r="Q1119" t="s">
        <v>53</v>
      </c>
      <c r="R1119" t="s">
        <v>53</v>
      </c>
      <c r="S1119" t="s">
        <v>1064</v>
      </c>
      <c r="T1119" t="s">
        <v>6481</v>
      </c>
      <c r="U1119" t="s">
        <v>53</v>
      </c>
      <c r="V1119" t="s">
        <v>51</v>
      </c>
      <c r="W1119">
        <v>120000</v>
      </c>
      <c r="X1119" t="s">
        <v>54</v>
      </c>
      <c r="AA1119">
        <v>3618</v>
      </c>
      <c r="AB1119">
        <v>2271</v>
      </c>
      <c r="AC1119">
        <v>2546</v>
      </c>
      <c r="AD1119">
        <v>3575</v>
      </c>
      <c r="AE1119">
        <v>4854</v>
      </c>
      <c r="AF1119">
        <v>8</v>
      </c>
      <c r="AG1119">
        <v>7</v>
      </c>
      <c r="AH1119">
        <v>144.16850280761719</v>
      </c>
      <c r="AI1119">
        <v>7</v>
      </c>
      <c r="AJ1119">
        <v>1379.477294921875</v>
      </c>
      <c r="AK1119" t="s">
        <v>53</v>
      </c>
      <c r="AL1119" t="s">
        <v>53</v>
      </c>
      <c r="AP1119" t="s">
        <v>5451</v>
      </c>
      <c r="AQ1119" t="s">
        <v>54</v>
      </c>
      <c r="AT1119" t="s">
        <v>1065</v>
      </c>
      <c r="AW1119" t="s">
        <v>53</v>
      </c>
      <c r="AZ1119" t="s">
        <v>54</v>
      </c>
      <c r="BA1119" t="s">
        <v>729</v>
      </c>
    </row>
    <row r="1120" spans="1:53" x14ac:dyDescent="0.25">
      <c r="A1120">
        <v>1115</v>
      </c>
      <c r="B1120" t="s">
        <v>1292</v>
      </c>
      <c r="C1120" t="s">
        <v>1293</v>
      </c>
      <c r="D1120" t="s">
        <v>1294</v>
      </c>
      <c r="E1120">
        <v>6</v>
      </c>
      <c r="F1120" t="s">
        <v>719</v>
      </c>
      <c r="G1120" t="s">
        <v>1059</v>
      </c>
      <c r="H1120" t="s">
        <v>1060</v>
      </c>
      <c r="I1120" t="s">
        <v>1061</v>
      </c>
      <c r="J1120" t="s">
        <v>1062</v>
      </c>
      <c r="K1120" t="s">
        <v>1063</v>
      </c>
      <c r="L1120" t="s">
        <v>725</v>
      </c>
      <c r="M1120">
        <v>1169.763671875</v>
      </c>
      <c r="N1120" t="s">
        <v>53</v>
      </c>
      <c r="O1120" t="s">
        <v>53</v>
      </c>
      <c r="P1120" t="s">
        <v>54</v>
      </c>
      <c r="Q1120" t="s">
        <v>53</v>
      </c>
      <c r="R1120" t="s">
        <v>53</v>
      </c>
      <c r="S1120" t="s">
        <v>1064</v>
      </c>
      <c r="T1120" t="s">
        <v>6481</v>
      </c>
      <c r="U1120" t="s">
        <v>53</v>
      </c>
      <c r="V1120" t="s">
        <v>51</v>
      </c>
      <c r="W1120">
        <v>486000</v>
      </c>
      <c r="X1120" t="s">
        <v>54</v>
      </c>
      <c r="AA1120">
        <v>3618</v>
      </c>
      <c r="AB1120">
        <v>2271</v>
      </c>
      <c r="AC1120">
        <v>2546</v>
      </c>
      <c r="AD1120">
        <v>3575</v>
      </c>
      <c r="AE1120">
        <v>4854</v>
      </c>
      <c r="AF1120">
        <v>8</v>
      </c>
      <c r="AG1120">
        <v>7</v>
      </c>
      <c r="AH1120">
        <v>144.16850280761719</v>
      </c>
      <c r="AI1120">
        <v>7</v>
      </c>
      <c r="AJ1120">
        <v>1379.477294921875</v>
      </c>
      <c r="AK1120" t="s">
        <v>53</v>
      </c>
      <c r="AL1120" t="s">
        <v>53</v>
      </c>
      <c r="AP1120" t="s">
        <v>5451</v>
      </c>
      <c r="AQ1120" t="s">
        <v>54</v>
      </c>
      <c r="AT1120" t="s">
        <v>1065</v>
      </c>
      <c r="AW1120" t="s">
        <v>53</v>
      </c>
      <c r="AZ1120" t="s">
        <v>54</v>
      </c>
      <c r="BA1120" t="s">
        <v>729</v>
      </c>
    </row>
    <row r="1121" spans="1:53" x14ac:dyDescent="0.25">
      <c r="A1121">
        <v>1116</v>
      </c>
      <c r="B1121" t="s">
        <v>1334</v>
      </c>
      <c r="C1121" t="s">
        <v>1335</v>
      </c>
      <c r="D1121" t="s">
        <v>1336</v>
      </c>
      <c r="E1121">
        <v>6</v>
      </c>
      <c r="F1121" t="s">
        <v>719</v>
      </c>
      <c r="G1121" t="s">
        <v>1059</v>
      </c>
      <c r="H1121" t="s">
        <v>1060</v>
      </c>
      <c r="I1121" t="s">
        <v>1061</v>
      </c>
      <c r="J1121" t="s">
        <v>1062</v>
      </c>
      <c r="K1121" t="s">
        <v>1063</v>
      </c>
      <c r="L1121" t="s">
        <v>789</v>
      </c>
      <c r="M1121">
        <v>1169.763671875</v>
      </c>
      <c r="N1121" t="s">
        <v>53</v>
      </c>
      <c r="O1121" t="s">
        <v>53</v>
      </c>
      <c r="P1121" t="s">
        <v>54</v>
      </c>
      <c r="Q1121" t="s">
        <v>53</v>
      </c>
      <c r="R1121" t="s">
        <v>53</v>
      </c>
      <c r="S1121" t="s">
        <v>1064</v>
      </c>
      <c r="T1121" t="s">
        <v>6484</v>
      </c>
      <c r="U1121" t="s">
        <v>53</v>
      </c>
      <c r="V1121" t="s">
        <v>791</v>
      </c>
      <c r="W1121">
        <v>50000</v>
      </c>
      <c r="X1121" t="s">
        <v>54</v>
      </c>
      <c r="AA1121">
        <v>3618</v>
      </c>
      <c r="AB1121">
        <v>2271</v>
      </c>
      <c r="AC1121">
        <v>2546</v>
      </c>
      <c r="AD1121">
        <v>3575</v>
      </c>
      <c r="AE1121">
        <v>4854</v>
      </c>
      <c r="AF1121">
        <v>8</v>
      </c>
      <c r="AG1121">
        <v>7</v>
      </c>
      <c r="AH1121">
        <v>144.16850280761719</v>
      </c>
      <c r="AI1121">
        <v>7</v>
      </c>
      <c r="AJ1121">
        <v>1379.477294921875</v>
      </c>
      <c r="AK1121" t="s">
        <v>53</v>
      </c>
      <c r="AL1121" t="s">
        <v>53</v>
      </c>
      <c r="AP1121" t="s">
        <v>5451</v>
      </c>
      <c r="AQ1121" t="s">
        <v>54</v>
      </c>
      <c r="AT1121" t="s">
        <v>1065</v>
      </c>
      <c r="AW1121" t="s">
        <v>53</v>
      </c>
      <c r="AZ1121" t="s">
        <v>54</v>
      </c>
      <c r="BA1121" t="s">
        <v>729</v>
      </c>
    </row>
    <row r="1122" spans="1:53" x14ac:dyDescent="0.25">
      <c r="A1122">
        <v>1117</v>
      </c>
      <c r="B1122" t="s">
        <v>1344</v>
      </c>
      <c r="C1122" t="s">
        <v>1345</v>
      </c>
      <c r="D1122" t="s">
        <v>1346</v>
      </c>
      <c r="E1122">
        <v>6</v>
      </c>
      <c r="F1122" t="s">
        <v>719</v>
      </c>
      <c r="G1122" t="s">
        <v>805</v>
      </c>
      <c r="H1122" t="s">
        <v>1347</v>
      </c>
      <c r="I1122" t="s">
        <v>1348</v>
      </c>
      <c r="J1122" t="s">
        <v>1341</v>
      </c>
      <c r="K1122" t="s">
        <v>1342</v>
      </c>
      <c r="L1122" t="s">
        <v>725</v>
      </c>
      <c r="M1122">
        <v>1770.815673828125</v>
      </c>
      <c r="N1122" t="s">
        <v>54</v>
      </c>
      <c r="O1122" t="s">
        <v>53</v>
      </c>
      <c r="P1122" t="s">
        <v>54</v>
      </c>
      <c r="Q1122" t="s">
        <v>53</v>
      </c>
      <c r="R1122" t="s">
        <v>53</v>
      </c>
      <c r="S1122" t="s">
        <v>861</v>
      </c>
      <c r="T1122" t="s">
        <v>6485</v>
      </c>
      <c r="U1122" t="s">
        <v>53</v>
      </c>
      <c r="V1122" t="s">
        <v>51</v>
      </c>
      <c r="W1122">
        <v>20000000</v>
      </c>
      <c r="X1122" t="s">
        <v>54</v>
      </c>
      <c r="AA1122">
        <v>143642</v>
      </c>
      <c r="AB1122">
        <v>120807</v>
      </c>
      <c r="AC1122">
        <v>590954</v>
      </c>
      <c r="AD1122">
        <v>545505</v>
      </c>
      <c r="AE1122">
        <v>976798</v>
      </c>
      <c r="AF1122">
        <v>2332</v>
      </c>
      <c r="AG1122">
        <v>89</v>
      </c>
      <c r="AH1122">
        <v>2407.733642578125</v>
      </c>
      <c r="AI1122">
        <v>89</v>
      </c>
      <c r="AJ1122">
        <v>5993.46923828125</v>
      </c>
      <c r="AK1122" t="s">
        <v>53</v>
      </c>
      <c r="AL1122" t="s">
        <v>54</v>
      </c>
      <c r="AP1122" t="s">
        <v>5451</v>
      </c>
      <c r="AQ1122" t="s">
        <v>54</v>
      </c>
      <c r="AT1122" t="s">
        <v>1350</v>
      </c>
      <c r="AW1122" t="s">
        <v>53</v>
      </c>
      <c r="AZ1122" t="s">
        <v>54</v>
      </c>
      <c r="BA1122" t="s">
        <v>729</v>
      </c>
    </row>
    <row r="1123" spans="1:53" x14ac:dyDescent="0.25">
      <c r="A1123">
        <v>1118</v>
      </c>
      <c r="B1123" t="s">
        <v>1422</v>
      </c>
      <c r="C1123" t="s">
        <v>1423</v>
      </c>
      <c r="D1123" t="s">
        <v>1424</v>
      </c>
      <c r="E1123">
        <v>6</v>
      </c>
      <c r="F1123" t="s">
        <v>719</v>
      </c>
      <c r="G1123" t="s">
        <v>805</v>
      </c>
      <c r="H1123" t="s">
        <v>1347</v>
      </c>
      <c r="I1123" t="s">
        <v>1348</v>
      </c>
      <c r="J1123" t="s">
        <v>1398</v>
      </c>
      <c r="K1123" t="s">
        <v>1399</v>
      </c>
      <c r="L1123" t="s">
        <v>725</v>
      </c>
      <c r="M1123">
        <v>1770.815673828125</v>
      </c>
      <c r="N1123" t="s">
        <v>54</v>
      </c>
      <c r="O1123" t="s">
        <v>53</v>
      </c>
      <c r="P1123" t="s">
        <v>54</v>
      </c>
      <c r="Q1123" t="s">
        <v>53</v>
      </c>
      <c r="R1123" t="s">
        <v>53</v>
      </c>
      <c r="S1123" t="s">
        <v>861</v>
      </c>
      <c r="T1123" t="s">
        <v>6486</v>
      </c>
      <c r="U1123" t="s">
        <v>53</v>
      </c>
      <c r="V1123" t="s">
        <v>51</v>
      </c>
      <c r="W1123">
        <v>500000</v>
      </c>
      <c r="X1123" t="s">
        <v>54</v>
      </c>
      <c r="AA1123">
        <v>143642</v>
      </c>
      <c r="AB1123">
        <v>120807</v>
      </c>
      <c r="AC1123">
        <v>590954</v>
      </c>
      <c r="AD1123">
        <v>545505</v>
      </c>
      <c r="AE1123">
        <v>976798</v>
      </c>
      <c r="AF1123">
        <v>2332</v>
      </c>
      <c r="AG1123">
        <v>89</v>
      </c>
      <c r="AH1123">
        <v>2407.733642578125</v>
      </c>
      <c r="AI1123">
        <v>89</v>
      </c>
      <c r="AJ1123">
        <v>5993.46923828125</v>
      </c>
      <c r="AK1123" t="s">
        <v>53</v>
      </c>
      <c r="AL1123" t="s">
        <v>54</v>
      </c>
      <c r="AP1123" t="s">
        <v>5451</v>
      </c>
      <c r="AQ1123" t="s">
        <v>54</v>
      </c>
      <c r="AT1123" t="s">
        <v>1407</v>
      </c>
      <c r="AW1123" t="s">
        <v>53</v>
      </c>
      <c r="AZ1123" t="s">
        <v>54</v>
      </c>
      <c r="BA1123" t="s">
        <v>729</v>
      </c>
    </row>
    <row r="1124" spans="1:53" x14ac:dyDescent="0.25">
      <c r="A1124">
        <v>1119</v>
      </c>
      <c r="B1124" t="s">
        <v>1523</v>
      </c>
      <c r="C1124" t="s">
        <v>1524</v>
      </c>
      <c r="D1124" t="s">
        <v>6487</v>
      </c>
      <c r="E1124">
        <v>6</v>
      </c>
      <c r="F1124" t="s">
        <v>719</v>
      </c>
      <c r="G1124" t="s">
        <v>805</v>
      </c>
      <c r="H1124" t="s">
        <v>806</v>
      </c>
      <c r="I1124" t="s">
        <v>899</v>
      </c>
      <c r="J1124" t="s">
        <v>900</v>
      </c>
      <c r="K1124" t="s">
        <v>901</v>
      </c>
      <c r="L1124" t="s">
        <v>725</v>
      </c>
      <c r="M1124">
        <v>3.5849535465240479</v>
      </c>
      <c r="N1124" t="s">
        <v>54</v>
      </c>
      <c r="O1124" t="s">
        <v>53</v>
      </c>
      <c r="P1124" t="s">
        <v>53</v>
      </c>
      <c r="Q1124" t="s">
        <v>53</v>
      </c>
      <c r="R1124" t="s">
        <v>53</v>
      </c>
      <c r="S1124" t="s">
        <v>902</v>
      </c>
      <c r="T1124" t="s">
        <v>903</v>
      </c>
      <c r="U1124" t="s">
        <v>54</v>
      </c>
      <c r="V1124" t="s">
        <v>791</v>
      </c>
      <c r="W1124">
        <v>1500000</v>
      </c>
      <c r="X1124" t="s">
        <v>54</v>
      </c>
      <c r="Y1124" t="s">
        <v>906</v>
      </c>
      <c r="Z1124">
        <v>375000</v>
      </c>
      <c r="AA1124">
        <v>5879</v>
      </c>
      <c r="AB1124">
        <v>5539</v>
      </c>
      <c r="AC1124">
        <v>25741</v>
      </c>
      <c r="AD1124">
        <v>16463</v>
      </c>
      <c r="AE1124">
        <v>37604</v>
      </c>
      <c r="AF1124">
        <v>71</v>
      </c>
      <c r="AG1124">
        <v>0</v>
      </c>
      <c r="AH1124">
        <v>70.914344787597656</v>
      </c>
      <c r="AI1124">
        <v>0</v>
      </c>
      <c r="AJ1124">
        <v>0.15173642337322241</v>
      </c>
      <c r="AK1124" t="s">
        <v>54</v>
      </c>
      <c r="AL1124" t="s">
        <v>53</v>
      </c>
      <c r="AP1124" t="s">
        <v>5451</v>
      </c>
      <c r="AQ1124" t="s">
        <v>54</v>
      </c>
      <c r="AT1124" t="s">
        <v>1507</v>
      </c>
      <c r="AW1124" t="s">
        <v>54</v>
      </c>
      <c r="AZ1124" t="s">
        <v>54</v>
      </c>
      <c r="BA1124" t="s">
        <v>729</v>
      </c>
    </row>
    <row r="1125" spans="1:53" x14ac:dyDescent="0.25">
      <c r="A1125">
        <v>1120</v>
      </c>
      <c r="B1125" t="s">
        <v>1553</v>
      </c>
      <c r="C1125" t="s">
        <v>1554</v>
      </c>
      <c r="D1125" t="s">
        <v>784</v>
      </c>
      <c r="E1125">
        <v>6</v>
      </c>
      <c r="F1125" t="s">
        <v>719</v>
      </c>
      <c r="G1125" t="s">
        <v>1059</v>
      </c>
      <c r="H1125" t="s">
        <v>948</v>
      </c>
      <c r="I1125" t="s">
        <v>1555</v>
      </c>
      <c r="J1125" t="s">
        <v>1556</v>
      </c>
      <c r="K1125" t="s">
        <v>1557</v>
      </c>
      <c r="L1125" t="s">
        <v>725</v>
      </c>
      <c r="M1125">
        <v>30.584026336669918</v>
      </c>
      <c r="N1125" t="s">
        <v>54</v>
      </c>
      <c r="O1125" t="s">
        <v>53</v>
      </c>
      <c r="P1125" t="s">
        <v>53</v>
      </c>
      <c r="Q1125" t="s">
        <v>53</v>
      </c>
      <c r="R1125" t="s">
        <v>53</v>
      </c>
      <c r="S1125" t="s">
        <v>1558</v>
      </c>
      <c r="T1125" t="s">
        <v>6488</v>
      </c>
      <c r="U1125" t="s">
        <v>53</v>
      </c>
      <c r="V1125" t="s">
        <v>791</v>
      </c>
      <c r="W1125">
        <v>480000</v>
      </c>
      <c r="X1125" t="s">
        <v>54</v>
      </c>
      <c r="AA1125">
        <v>32</v>
      </c>
      <c r="AB1125">
        <v>26</v>
      </c>
      <c r="AC1125">
        <v>25</v>
      </c>
      <c r="AD1125">
        <v>74</v>
      </c>
      <c r="AE1125">
        <v>74</v>
      </c>
      <c r="AF1125">
        <v>0</v>
      </c>
      <c r="AH1125">
        <v>0.92756974697113037</v>
      </c>
      <c r="AJ1125">
        <v>65.600112915039063</v>
      </c>
      <c r="AK1125" t="s">
        <v>54</v>
      </c>
      <c r="AL1125" t="s">
        <v>53</v>
      </c>
      <c r="AP1125" t="s">
        <v>5451</v>
      </c>
      <c r="AQ1125" t="s">
        <v>54</v>
      </c>
      <c r="AT1125" t="s">
        <v>1507</v>
      </c>
      <c r="AW1125" t="s">
        <v>54</v>
      </c>
      <c r="AZ1125" t="s">
        <v>54</v>
      </c>
      <c r="BA1125" t="s">
        <v>729</v>
      </c>
    </row>
    <row r="1126" spans="1:53" x14ac:dyDescent="0.25">
      <c r="A1126">
        <v>1121</v>
      </c>
      <c r="B1126" t="s">
        <v>1573</v>
      </c>
      <c r="C1126" t="s">
        <v>1574</v>
      </c>
      <c r="D1126" t="s">
        <v>784</v>
      </c>
      <c r="E1126">
        <v>6</v>
      </c>
      <c r="F1126" t="s">
        <v>719</v>
      </c>
      <c r="G1126" t="s">
        <v>1097</v>
      </c>
      <c r="H1126" t="s">
        <v>795</v>
      </c>
      <c r="I1126" t="s">
        <v>1004</v>
      </c>
      <c r="J1126" t="s">
        <v>1005</v>
      </c>
      <c r="K1126" t="s">
        <v>1006</v>
      </c>
      <c r="L1126" t="s">
        <v>725</v>
      </c>
      <c r="M1126">
        <v>20.829156875610352</v>
      </c>
      <c r="N1126" t="s">
        <v>53</v>
      </c>
      <c r="O1126" t="s">
        <v>53</v>
      </c>
      <c r="P1126" t="s">
        <v>54</v>
      </c>
      <c r="Q1126" t="s">
        <v>53</v>
      </c>
      <c r="R1126" t="s">
        <v>53</v>
      </c>
      <c r="S1126" t="s">
        <v>1103</v>
      </c>
      <c r="T1126" t="s">
        <v>1104</v>
      </c>
      <c r="U1126" t="s">
        <v>54</v>
      </c>
      <c r="V1126" t="s">
        <v>791</v>
      </c>
      <c r="W1126">
        <v>750000</v>
      </c>
      <c r="X1126" t="s">
        <v>54</v>
      </c>
      <c r="AA1126">
        <v>1680</v>
      </c>
      <c r="AB1126">
        <v>1601</v>
      </c>
      <c r="AC1126">
        <v>2108</v>
      </c>
      <c r="AD1126">
        <v>4640</v>
      </c>
      <c r="AE1126">
        <v>5467</v>
      </c>
      <c r="AF1126">
        <v>2</v>
      </c>
      <c r="AG1126">
        <v>5</v>
      </c>
      <c r="AH1126">
        <v>37.720420837402337</v>
      </c>
      <c r="AI1126">
        <v>5</v>
      </c>
      <c r="AJ1126">
        <v>18.37308311462402</v>
      </c>
      <c r="AK1126" t="s">
        <v>54</v>
      </c>
      <c r="AL1126" t="s">
        <v>53</v>
      </c>
      <c r="AP1126" t="s">
        <v>5451</v>
      </c>
      <c r="AQ1126" t="s">
        <v>54</v>
      </c>
      <c r="AT1126" t="s">
        <v>1507</v>
      </c>
      <c r="AW1126" t="s">
        <v>53</v>
      </c>
      <c r="AZ1126" t="s">
        <v>54</v>
      </c>
      <c r="BA1126" t="s">
        <v>729</v>
      </c>
    </row>
    <row r="1127" spans="1:53" x14ac:dyDescent="0.25">
      <c r="A1127">
        <v>1122</v>
      </c>
      <c r="B1127" t="s">
        <v>1611</v>
      </c>
      <c r="C1127" t="s">
        <v>1612</v>
      </c>
      <c r="D1127" t="s">
        <v>784</v>
      </c>
      <c r="E1127">
        <v>6</v>
      </c>
      <c r="F1127" t="s">
        <v>719</v>
      </c>
      <c r="G1127" t="s">
        <v>1081</v>
      </c>
      <c r="H1127" t="s">
        <v>1209</v>
      </c>
      <c r="I1127" t="s">
        <v>1613</v>
      </c>
      <c r="J1127" t="s">
        <v>1614</v>
      </c>
      <c r="K1127" t="s">
        <v>1615</v>
      </c>
      <c r="L1127" t="s">
        <v>725</v>
      </c>
      <c r="M1127">
        <v>43.244800567626953</v>
      </c>
      <c r="N1127" t="s">
        <v>53</v>
      </c>
      <c r="O1127" t="s">
        <v>53</v>
      </c>
      <c r="P1127" t="s">
        <v>54</v>
      </c>
      <c r="Q1127" t="s">
        <v>53</v>
      </c>
      <c r="R1127" t="s">
        <v>53</v>
      </c>
      <c r="S1127" t="s">
        <v>1616</v>
      </c>
      <c r="T1127" t="s">
        <v>1617</v>
      </c>
      <c r="U1127" t="s">
        <v>54</v>
      </c>
      <c r="V1127" t="s">
        <v>791</v>
      </c>
      <c r="W1127">
        <v>349000</v>
      </c>
      <c r="X1127" t="s">
        <v>54</v>
      </c>
      <c r="AA1127">
        <v>114</v>
      </c>
      <c r="AB1127">
        <v>96</v>
      </c>
      <c r="AC1127">
        <v>193</v>
      </c>
      <c r="AD1127">
        <v>244</v>
      </c>
      <c r="AE1127">
        <v>349</v>
      </c>
      <c r="AF1127">
        <v>1</v>
      </c>
      <c r="AG1127">
        <v>1</v>
      </c>
      <c r="AH1127">
        <v>2.6969342231750488</v>
      </c>
      <c r="AI1127">
        <v>1</v>
      </c>
      <c r="AJ1127">
        <v>9.2615861892700195</v>
      </c>
      <c r="AK1127" t="s">
        <v>54</v>
      </c>
      <c r="AL1127" t="s">
        <v>53</v>
      </c>
      <c r="AP1127" t="s">
        <v>5451</v>
      </c>
      <c r="AQ1127" t="s">
        <v>54</v>
      </c>
      <c r="AT1127" t="s">
        <v>1507</v>
      </c>
      <c r="AW1127" t="s">
        <v>53</v>
      </c>
      <c r="AZ1127" t="s">
        <v>54</v>
      </c>
      <c r="BA1127" t="s">
        <v>729</v>
      </c>
    </row>
    <row r="1128" spans="1:53" x14ac:dyDescent="0.25">
      <c r="A1128">
        <v>1123</v>
      </c>
      <c r="B1128" t="s">
        <v>1663</v>
      </c>
      <c r="C1128" t="s">
        <v>1664</v>
      </c>
      <c r="D1128" t="s">
        <v>784</v>
      </c>
      <c r="E1128">
        <v>6</v>
      </c>
      <c r="F1128" t="s">
        <v>719</v>
      </c>
      <c r="G1128" t="s">
        <v>1665</v>
      </c>
      <c r="H1128" t="s">
        <v>948</v>
      </c>
      <c r="I1128" t="s">
        <v>1555</v>
      </c>
      <c r="J1128" t="s">
        <v>1666</v>
      </c>
      <c r="K1128" t="s">
        <v>1667</v>
      </c>
      <c r="L1128" t="s">
        <v>725</v>
      </c>
      <c r="M1128">
        <v>17.197519302368161</v>
      </c>
      <c r="N1128" t="s">
        <v>54</v>
      </c>
      <c r="O1128" t="s">
        <v>54</v>
      </c>
      <c r="P1128" t="s">
        <v>53</v>
      </c>
      <c r="Q1128" t="s">
        <v>53</v>
      </c>
      <c r="R1128" t="s">
        <v>53</v>
      </c>
      <c r="S1128" t="s">
        <v>1668</v>
      </c>
      <c r="T1128" t="s">
        <v>6489</v>
      </c>
      <c r="U1128" t="s">
        <v>53</v>
      </c>
      <c r="V1128" t="s">
        <v>791</v>
      </c>
      <c r="W1128">
        <v>390000</v>
      </c>
      <c r="X1128" t="s">
        <v>54</v>
      </c>
      <c r="AA1128">
        <v>30</v>
      </c>
      <c r="AB1128">
        <v>11</v>
      </c>
      <c r="AC1128">
        <v>18</v>
      </c>
      <c r="AD1128">
        <v>15</v>
      </c>
      <c r="AE1128">
        <v>30</v>
      </c>
      <c r="AF1128">
        <v>0</v>
      </c>
      <c r="AG1128">
        <v>0</v>
      </c>
      <c r="AH1128">
        <v>1.5434155464172361</v>
      </c>
      <c r="AI1128">
        <v>0</v>
      </c>
      <c r="AJ1128">
        <v>5.0982732772827148</v>
      </c>
      <c r="AK1128" t="s">
        <v>54</v>
      </c>
      <c r="AL1128" t="s">
        <v>53</v>
      </c>
      <c r="AP1128" t="s">
        <v>5451</v>
      </c>
      <c r="AQ1128" t="s">
        <v>54</v>
      </c>
      <c r="AT1128" t="s">
        <v>1507</v>
      </c>
      <c r="AW1128" t="s">
        <v>54</v>
      </c>
      <c r="AZ1128" t="s">
        <v>54</v>
      </c>
      <c r="BA1128" t="s">
        <v>729</v>
      </c>
    </row>
    <row r="1129" spans="1:53" x14ac:dyDescent="0.25">
      <c r="A1129">
        <v>1124</v>
      </c>
      <c r="B1129" t="s">
        <v>1808</v>
      </c>
      <c r="C1129" t="s">
        <v>1809</v>
      </c>
      <c r="D1129" t="s">
        <v>784</v>
      </c>
      <c r="E1129">
        <v>6</v>
      </c>
      <c r="F1129" t="s">
        <v>719</v>
      </c>
      <c r="G1129" t="s">
        <v>805</v>
      </c>
      <c r="H1129" t="s">
        <v>795</v>
      </c>
      <c r="I1129" t="s">
        <v>849</v>
      </c>
      <c r="J1129" t="s">
        <v>850</v>
      </c>
      <c r="K1129" t="s">
        <v>851</v>
      </c>
      <c r="L1129" t="s">
        <v>725</v>
      </c>
      <c r="M1129">
        <v>6.5976657867431641</v>
      </c>
      <c r="N1129" t="s">
        <v>53</v>
      </c>
      <c r="O1129" t="s">
        <v>53</v>
      </c>
      <c r="P1129" t="s">
        <v>54</v>
      </c>
      <c r="Q1129" t="s">
        <v>53</v>
      </c>
      <c r="R1129" t="s">
        <v>53</v>
      </c>
      <c r="S1129" t="s">
        <v>1810</v>
      </c>
      <c r="T1129" t="s">
        <v>1811</v>
      </c>
      <c r="U1129" t="s">
        <v>54</v>
      </c>
      <c r="V1129" t="s">
        <v>791</v>
      </c>
      <c r="W1129">
        <v>280000</v>
      </c>
      <c r="X1129" t="s">
        <v>54</v>
      </c>
      <c r="AA1129">
        <v>209</v>
      </c>
      <c r="AB1129">
        <v>164</v>
      </c>
      <c r="AC1129">
        <v>1330</v>
      </c>
      <c r="AD1129">
        <v>1940</v>
      </c>
      <c r="AE1129">
        <v>2809</v>
      </c>
      <c r="AF1129">
        <v>0</v>
      </c>
      <c r="AG1129">
        <v>1</v>
      </c>
      <c r="AH1129">
        <v>8.4849987030029297</v>
      </c>
      <c r="AI1129">
        <v>1</v>
      </c>
      <c r="AJ1129">
        <v>18.737552642822269</v>
      </c>
      <c r="AK1129" t="s">
        <v>54</v>
      </c>
      <c r="AL1129" t="s">
        <v>53</v>
      </c>
      <c r="AP1129" t="s">
        <v>5451</v>
      </c>
      <c r="AQ1129" t="s">
        <v>54</v>
      </c>
      <c r="AT1129" t="s">
        <v>1507</v>
      </c>
      <c r="AW1129" t="s">
        <v>53</v>
      </c>
      <c r="AZ1129" t="s">
        <v>54</v>
      </c>
      <c r="BA1129" t="s">
        <v>729</v>
      </c>
    </row>
    <row r="1130" spans="1:53" x14ac:dyDescent="0.25">
      <c r="A1130">
        <v>1125</v>
      </c>
      <c r="B1130" t="s">
        <v>1812</v>
      </c>
      <c r="C1130" t="s">
        <v>1813</v>
      </c>
      <c r="D1130" t="s">
        <v>6490</v>
      </c>
      <c r="E1130">
        <v>6</v>
      </c>
      <c r="F1130" t="s">
        <v>719</v>
      </c>
      <c r="G1130" t="s">
        <v>805</v>
      </c>
      <c r="H1130" t="s">
        <v>806</v>
      </c>
      <c r="I1130" t="s">
        <v>899</v>
      </c>
      <c r="J1130" t="s">
        <v>1404</v>
      </c>
      <c r="K1130" t="s">
        <v>1405</v>
      </c>
      <c r="L1130" t="s">
        <v>725</v>
      </c>
      <c r="M1130">
        <v>1.9971791505813601</v>
      </c>
      <c r="N1130" t="s">
        <v>54</v>
      </c>
      <c r="O1130" t="s">
        <v>53</v>
      </c>
      <c r="P1130" t="s">
        <v>53</v>
      </c>
      <c r="Q1130" t="s">
        <v>53</v>
      </c>
      <c r="R1130" t="s">
        <v>53</v>
      </c>
      <c r="S1130" t="s">
        <v>1814</v>
      </c>
      <c r="T1130" t="s">
        <v>1815</v>
      </c>
      <c r="U1130" t="s">
        <v>53</v>
      </c>
      <c r="V1130" t="s">
        <v>791</v>
      </c>
      <c r="W1130">
        <v>190000</v>
      </c>
      <c r="X1130" t="s">
        <v>54</v>
      </c>
      <c r="Y1130" t="s">
        <v>1816</v>
      </c>
      <c r="Z1130">
        <v>38000</v>
      </c>
      <c r="AA1130">
        <v>940</v>
      </c>
      <c r="AB1130">
        <v>923</v>
      </c>
      <c r="AC1130">
        <v>2414</v>
      </c>
      <c r="AD1130">
        <v>2931</v>
      </c>
      <c r="AE1130">
        <v>4613</v>
      </c>
      <c r="AF1130">
        <v>6</v>
      </c>
      <c r="AG1130">
        <v>0</v>
      </c>
      <c r="AH1130">
        <v>11.892343521118161</v>
      </c>
      <c r="AI1130">
        <v>0</v>
      </c>
      <c r="AK1130" t="s">
        <v>54</v>
      </c>
      <c r="AL1130" t="s">
        <v>53</v>
      </c>
      <c r="AP1130" t="s">
        <v>5451</v>
      </c>
      <c r="AQ1130" t="s">
        <v>54</v>
      </c>
      <c r="AT1130" t="s">
        <v>1507</v>
      </c>
      <c r="AW1130" t="s">
        <v>54</v>
      </c>
      <c r="AZ1130" t="s">
        <v>54</v>
      </c>
      <c r="BA1130" t="s">
        <v>729</v>
      </c>
    </row>
    <row r="1131" spans="1:53" x14ac:dyDescent="0.25">
      <c r="A1131">
        <v>1126</v>
      </c>
      <c r="B1131" t="s">
        <v>1840</v>
      </c>
      <c r="C1131" t="s">
        <v>1841</v>
      </c>
      <c r="D1131" t="s">
        <v>1838</v>
      </c>
      <c r="E1131">
        <v>6</v>
      </c>
      <c r="F1131" t="s">
        <v>719</v>
      </c>
      <c r="G1131" t="s">
        <v>947</v>
      </c>
      <c r="H1131" t="s">
        <v>948</v>
      </c>
      <c r="I1131" t="s">
        <v>949</v>
      </c>
      <c r="J1131" t="s">
        <v>950</v>
      </c>
      <c r="K1131" t="s">
        <v>951</v>
      </c>
      <c r="L1131" t="s">
        <v>789</v>
      </c>
      <c r="M1131">
        <v>865.54779052734375</v>
      </c>
      <c r="N1131" t="s">
        <v>54</v>
      </c>
      <c r="O1131" t="s">
        <v>53</v>
      </c>
      <c r="P1131" t="s">
        <v>54</v>
      </c>
      <c r="Q1131" t="s">
        <v>53</v>
      </c>
      <c r="R1131" t="s">
        <v>53</v>
      </c>
      <c r="S1131" t="s">
        <v>952</v>
      </c>
      <c r="T1131" t="s">
        <v>6491</v>
      </c>
      <c r="U1131" t="s">
        <v>54</v>
      </c>
      <c r="V1131" t="s">
        <v>791</v>
      </c>
      <c r="W1131">
        <v>631000</v>
      </c>
      <c r="X1131" t="s">
        <v>54</v>
      </c>
      <c r="AA1131">
        <v>151</v>
      </c>
      <c r="AB1131">
        <v>56</v>
      </c>
      <c r="AC1131">
        <v>715</v>
      </c>
      <c r="AD1131">
        <v>127</v>
      </c>
      <c r="AE1131">
        <v>797</v>
      </c>
      <c r="AF1131">
        <v>0</v>
      </c>
      <c r="AG1131">
        <v>0</v>
      </c>
      <c r="AH1131">
        <v>7.296903133392334</v>
      </c>
      <c r="AI1131">
        <v>0</v>
      </c>
      <c r="AJ1131">
        <v>354.08441162109381</v>
      </c>
      <c r="AK1131" t="s">
        <v>54</v>
      </c>
      <c r="AL1131" t="s">
        <v>53</v>
      </c>
      <c r="AP1131" t="s">
        <v>5451</v>
      </c>
      <c r="AQ1131" t="s">
        <v>54</v>
      </c>
      <c r="AT1131" t="s">
        <v>1507</v>
      </c>
      <c r="AW1131" t="s">
        <v>53</v>
      </c>
      <c r="AZ1131" t="s">
        <v>54</v>
      </c>
      <c r="BA1131" t="s">
        <v>729</v>
      </c>
    </row>
    <row r="1132" spans="1:53" x14ac:dyDescent="0.25">
      <c r="A1132">
        <v>1127</v>
      </c>
      <c r="B1132" t="s">
        <v>1850</v>
      </c>
      <c r="C1132" t="s">
        <v>1851</v>
      </c>
      <c r="D1132" t="s">
        <v>1838</v>
      </c>
      <c r="E1132">
        <v>6</v>
      </c>
      <c r="F1132" t="s">
        <v>719</v>
      </c>
      <c r="G1132" t="s">
        <v>719</v>
      </c>
      <c r="H1132" t="s">
        <v>1082</v>
      </c>
      <c r="I1132" t="s">
        <v>1852</v>
      </c>
      <c r="J1132" t="s">
        <v>1853</v>
      </c>
      <c r="K1132" t="s">
        <v>1854</v>
      </c>
      <c r="L1132" t="s">
        <v>789</v>
      </c>
      <c r="M1132">
        <v>625.685302734375</v>
      </c>
      <c r="N1132" t="s">
        <v>54</v>
      </c>
      <c r="O1132" t="s">
        <v>53</v>
      </c>
      <c r="P1132" t="s">
        <v>54</v>
      </c>
      <c r="Q1132" t="s">
        <v>53</v>
      </c>
      <c r="R1132" t="s">
        <v>53</v>
      </c>
      <c r="S1132" t="s">
        <v>1855</v>
      </c>
      <c r="T1132" t="s">
        <v>1855</v>
      </c>
      <c r="U1132" t="s">
        <v>54</v>
      </c>
      <c r="V1132" t="s">
        <v>791</v>
      </c>
      <c r="W1132">
        <v>1419000</v>
      </c>
      <c r="X1132" t="s">
        <v>54</v>
      </c>
      <c r="AA1132">
        <v>1028</v>
      </c>
      <c r="AB1132">
        <v>933</v>
      </c>
      <c r="AC1132">
        <v>580</v>
      </c>
      <c r="AD1132">
        <v>1376</v>
      </c>
      <c r="AE1132">
        <v>1376</v>
      </c>
      <c r="AF1132">
        <v>0</v>
      </c>
      <c r="AG1132">
        <v>1</v>
      </c>
      <c r="AH1132">
        <v>47.923286437988281</v>
      </c>
      <c r="AI1132">
        <v>1</v>
      </c>
      <c r="AJ1132">
        <v>63.117862701416023</v>
      </c>
      <c r="AK1132" t="s">
        <v>54</v>
      </c>
      <c r="AL1132" t="s">
        <v>53</v>
      </c>
      <c r="AP1132" t="s">
        <v>5451</v>
      </c>
      <c r="AQ1132" t="s">
        <v>54</v>
      </c>
      <c r="AT1132" t="s">
        <v>1507</v>
      </c>
      <c r="AW1132" t="s">
        <v>53</v>
      </c>
      <c r="AZ1132" t="s">
        <v>54</v>
      </c>
      <c r="BA1132" t="s">
        <v>729</v>
      </c>
    </row>
    <row r="1133" spans="1:53" x14ac:dyDescent="0.25">
      <c r="A1133">
        <v>1128</v>
      </c>
      <c r="B1133" t="s">
        <v>1856</v>
      </c>
      <c r="C1133" t="s">
        <v>1857</v>
      </c>
      <c r="D1133" t="s">
        <v>1838</v>
      </c>
      <c r="E1133">
        <v>6</v>
      </c>
      <c r="F1133" t="s">
        <v>719</v>
      </c>
      <c r="G1133" t="s">
        <v>1081</v>
      </c>
      <c r="H1133" t="s">
        <v>1209</v>
      </c>
      <c r="I1133" t="s">
        <v>1285</v>
      </c>
      <c r="J1133" t="s">
        <v>1286</v>
      </c>
      <c r="K1133" t="s">
        <v>1287</v>
      </c>
      <c r="L1133" t="s">
        <v>789</v>
      </c>
      <c r="M1133">
        <v>797.83648681640625</v>
      </c>
      <c r="N1133" t="s">
        <v>54</v>
      </c>
      <c r="O1133" t="s">
        <v>53</v>
      </c>
      <c r="P1133" t="s">
        <v>54</v>
      </c>
      <c r="Q1133" t="s">
        <v>53</v>
      </c>
      <c r="R1133" t="s">
        <v>53</v>
      </c>
      <c r="S1133" t="s">
        <v>1213</v>
      </c>
      <c r="T1133" t="s">
        <v>1288</v>
      </c>
      <c r="U1133" t="s">
        <v>54</v>
      </c>
      <c r="V1133" t="s">
        <v>791</v>
      </c>
      <c r="W1133">
        <v>1747000</v>
      </c>
      <c r="X1133" t="s">
        <v>54</v>
      </c>
      <c r="AA1133">
        <v>505</v>
      </c>
      <c r="AB1133">
        <v>437</v>
      </c>
      <c r="AC1133">
        <v>266</v>
      </c>
      <c r="AD1133">
        <v>545</v>
      </c>
      <c r="AE1133">
        <v>657</v>
      </c>
      <c r="AF1133">
        <v>1</v>
      </c>
      <c r="AG1133">
        <v>2</v>
      </c>
      <c r="AH1133">
        <v>25.42570877075195</v>
      </c>
      <c r="AI1133">
        <v>2</v>
      </c>
      <c r="AJ1133">
        <v>180.46466064453119</v>
      </c>
      <c r="AK1133" t="s">
        <v>54</v>
      </c>
      <c r="AL1133" t="s">
        <v>53</v>
      </c>
      <c r="AP1133" t="s">
        <v>5451</v>
      </c>
      <c r="AQ1133" t="s">
        <v>54</v>
      </c>
      <c r="AT1133" t="s">
        <v>1507</v>
      </c>
      <c r="AW1133" t="s">
        <v>53</v>
      </c>
      <c r="AZ1133" t="s">
        <v>54</v>
      </c>
      <c r="BA1133" t="s">
        <v>729</v>
      </c>
    </row>
    <row r="1134" spans="1:53" x14ac:dyDescent="0.25">
      <c r="A1134">
        <v>1129</v>
      </c>
      <c r="B1134" t="s">
        <v>1858</v>
      </c>
      <c r="C1134" t="s">
        <v>1859</v>
      </c>
      <c r="D1134" t="s">
        <v>1838</v>
      </c>
      <c r="E1134">
        <v>6</v>
      </c>
      <c r="F1134" t="s">
        <v>719</v>
      </c>
      <c r="G1134" t="s">
        <v>1047</v>
      </c>
      <c r="H1134" t="s">
        <v>1048</v>
      </c>
      <c r="I1134" t="s">
        <v>1049</v>
      </c>
      <c r="J1134" t="s">
        <v>1050</v>
      </c>
      <c r="K1134" t="s">
        <v>1051</v>
      </c>
      <c r="L1134" t="s">
        <v>789</v>
      </c>
      <c r="M1134">
        <v>515.94830322265625</v>
      </c>
      <c r="N1134" t="s">
        <v>54</v>
      </c>
      <c r="O1134" t="s">
        <v>53</v>
      </c>
      <c r="P1134" t="s">
        <v>54</v>
      </c>
      <c r="Q1134" t="s">
        <v>53</v>
      </c>
      <c r="R1134" t="s">
        <v>53</v>
      </c>
      <c r="S1134" t="s">
        <v>1053</v>
      </c>
      <c r="T1134" t="s">
        <v>1860</v>
      </c>
      <c r="U1134" t="s">
        <v>54</v>
      </c>
      <c r="V1134" t="s">
        <v>791</v>
      </c>
      <c r="W1134">
        <v>2300000</v>
      </c>
      <c r="X1134" t="s">
        <v>54</v>
      </c>
      <c r="Z1134">
        <v>230000</v>
      </c>
      <c r="AA1134">
        <v>1067</v>
      </c>
      <c r="AB1134">
        <v>708</v>
      </c>
      <c r="AC1134">
        <v>1171</v>
      </c>
      <c r="AD1134">
        <v>1859</v>
      </c>
      <c r="AE1134">
        <v>2410</v>
      </c>
      <c r="AF1134">
        <v>6</v>
      </c>
      <c r="AG1134">
        <v>19</v>
      </c>
      <c r="AH1134">
        <v>40.913829803466797</v>
      </c>
      <c r="AI1134">
        <v>19</v>
      </c>
      <c r="AJ1134">
        <v>1357.317260742188</v>
      </c>
      <c r="AK1134" t="s">
        <v>54</v>
      </c>
      <c r="AL1134" t="s">
        <v>53</v>
      </c>
      <c r="AP1134" t="s">
        <v>5451</v>
      </c>
      <c r="AQ1134" t="s">
        <v>54</v>
      </c>
      <c r="AT1134" t="s">
        <v>1507</v>
      </c>
      <c r="AW1134" t="s">
        <v>53</v>
      </c>
      <c r="AZ1134" t="s">
        <v>54</v>
      </c>
      <c r="BA1134" t="s">
        <v>729</v>
      </c>
    </row>
    <row r="1135" spans="1:53" x14ac:dyDescent="0.25">
      <c r="A1135">
        <v>1130</v>
      </c>
      <c r="B1135" t="s">
        <v>1920</v>
      </c>
      <c r="C1135" t="s">
        <v>1921</v>
      </c>
      <c r="D1135" t="s">
        <v>1922</v>
      </c>
      <c r="E1135">
        <v>6</v>
      </c>
      <c r="F1135" t="s">
        <v>719</v>
      </c>
      <c r="G1135" t="s">
        <v>805</v>
      </c>
      <c r="H1135" t="s">
        <v>1243</v>
      </c>
      <c r="I1135" t="s">
        <v>1428</v>
      </c>
      <c r="J1135" t="s">
        <v>1923</v>
      </c>
      <c r="K1135" t="s">
        <v>1924</v>
      </c>
      <c r="L1135" t="s">
        <v>725</v>
      </c>
      <c r="M1135">
        <v>10.96370315551758</v>
      </c>
      <c r="N1135" t="s">
        <v>54</v>
      </c>
      <c r="O1135" t="s">
        <v>53</v>
      </c>
      <c r="P1135" t="s">
        <v>53</v>
      </c>
      <c r="Q1135" t="s">
        <v>53</v>
      </c>
      <c r="R1135" t="s">
        <v>53</v>
      </c>
      <c r="S1135" t="s">
        <v>861</v>
      </c>
      <c r="T1135" t="s">
        <v>827</v>
      </c>
      <c r="U1135" t="s">
        <v>53</v>
      </c>
      <c r="V1135" t="s">
        <v>51</v>
      </c>
      <c r="W1135">
        <v>30000</v>
      </c>
      <c r="X1135" t="s">
        <v>54</v>
      </c>
      <c r="AA1135">
        <v>828</v>
      </c>
      <c r="AB1135">
        <v>581</v>
      </c>
      <c r="AC1135">
        <v>1048</v>
      </c>
      <c r="AD1135">
        <v>1833</v>
      </c>
      <c r="AE1135">
        <v>2443</v>
      </c>
      <c r="AF1135">
        <v>6</v>
      </c>
      <c r="AG1135">
        <v>5</v>
      </c>
      <c r="AH1135">
        <v>24.8491325378418</v>
      </c>
      <c r="AI1135">
        <v>5</v>
      </c>
      <c r="AJ1135">
        <v>55.808460235595703</v>
      </c>
      <c r="AK1135" t="s">
        <v>53</v>
      </c>
      <c r="AL1135" t="s">
        <v>54</v>
      </c>
      <c r="AP1135" t="s">
        <v>5451</v>
      </c>
      <c r="AQ1135" t="s">
        <v>54</v>
      </c>
      <c r="AT1135" t="s">
        <v>1407</v>
      </c>
      <c r="AW1135" t="s">
        <v>53</v>
      </c>
      <c r="AZ1135" t="s">
        <v>54</v>
      </c>
      <c r="BA1135" t="s">
        <v>729</v>
      </c>
    </row>
    <row r="1136" spans="1:53" x14ac:dyDescent="0.25">
      <c r="A1136">
        <v>1131</v>
      </c>
      <c r="B1136" t="s">
        <v>1925</v>
      </c>
      <c r="C1136" t="s">
        <v>1926</v>
      </c>
      <c r="D1136" t="s">
        <v>1927</v>
      </c>
      <c r="E1136">
        <v>6</v>
      </c>
      <c r="F1136" t="s">
        <v>719</v>
      </c>
      <c r="G1136" t="s">
        <v>805</v>
      </c>
      <c r="H1136" t="s">
        <v>1243</v>
      </c>
      <c r="I1136" t="s">
        <v>1428</v>
      </c>
      <c r="J1136" t="s">
        <v>1923</v>
      </c>
      <c r="K1136" t="s">
        <v>1924</v>
      </c>
      <c r="L1136" t="s">
        <v>725</v>
      </c>
      <c r="M1136">
        <v>10.96370315551758</v>
      </c>
      <c r="N1136" t="s">
        <v>54</v>
      </c>
      <c r="O1136" t="s">
        <v>53</v>
      </c>
      <c r="P1136" t="s">
        <v>54</v>
      </c>
      <c r="Q1136" t="s">
        <v>53</v>
      </c>
      <c r="R1136" t="s">
        <v>53</v>
      </c>
      <c r="S1136" t="s">
        <v>861</v>
      </c>
      <c r="T1136" t="s">
        <v>827</v>
      </c>
      <c r="U1136" t="s">
        <v>53</v>
      </c>
      <c r="V1136" t="s">
        <v>51</v>
      </c>
      <c r="W1136">
        <v>30000</v>
      </c>
      <c r="X1136" t="s">
        <v>54</v>
      </c>
      <c r="AA1136">
        <v>828</v>
      </c>
      <c r="AB1136">
        <v>581</v>
      </c>
      <c r="AC1136">
        <v>1048</v>
      </c>
      <c r="AD1136">
        <v>1833</v>
      </c>
      <c r="AE1136">
        <v>2443</v>
      </c>
      <c r="AF1136">
        <v>6</v>
      </c>
      <c r="AG1136">
        <v>5</v>
      </c>
      <c r="AH1136">
        <v>24.8491325378418</v>
      </c>
      <c r="AI1136">
        <v>5</v>
      </c>
      <c r="AJ1136">
        <v>55.808460235595703</v>
      </c>
      <c r="AK1136" t="s">
        <v>53</v>
      </c>
      <c r="AL1136" t="s">
        <v>54</v>
      </c>
      <c r="AP1136" t="s">
        <v>5451</v>
      </c>
      <c r="AQ1136" t="s">
        <v>54</v>
      </c>
      <c r="AT1136" t="s">
        <v>1407</v>
      </c>
      <c r="AW1136" t="s">
        <v>53</v>
      </c>
      <c r="AZ1136" t="s">
        <v>54</v>
      </c>
      <c r="BA1136" t="s">
        <v>729</v>
      </c>
    </row>
    <row r="1137" spans="1:53" x14ac:dyDescent="0.25">
      <c r="A1137">
        <v>1132</v>
      </c>
      <c r="B1137" t="s">
        <v>1982</v>
      </c>
      <c r="C1137" t="s">
        <v>1983</v>
      </c>
      <c r="D1137" t="s">
        <v>1984</v>
      </c>
      <c r="E1137">
        <v>6</v>
      </c>
      <c r="F1137" t="s">
        <v>719</v>
      </c>
      <c r="G1137" t="s">
        <v>805</v>
      </c>
      <c r="H1137" t="s">
        <v>806</v>
      </c>
      <c r="I1137" t="s">
        <v>816</v>
      </c>
      <c r="J1137" t="s">
        <v>817</v>
      </c>
      <c r="K1137" t="s">
        <v>818</v>
      </c>
      <c r="L1137" t="s">
        <v>725</v>
      </c>
      <c r="M1137">
        <v>0.51401823759078979</v>
      </c>
      <c r="N1137" t="s">
        <v>54</v>
      </c>
      <c r="O1137" t="s">
        <v>53</v>
      </c>
      <c r="P1137" t="s">
        <v>54</v>
      </c>
      <c r="Q1137" t="s">
        <v>53</v>
      </c>
      <c r="R1137" t="s">
        <v>53</v>
      </c>
      <c r="S1137" t="s">
        <v>861</v>
      </c>
      <c r="T1137" t="s">
        <v>819</v>
      </c>
      <c r="U1137" t="s">
        <v>53</v>
      </c>
      <c r="V1137" t="s">
        <v>51</v>
      </c>
      <c r="W1137">
        <v>30000</v>
      </c>
      <c r="X1137" t="s">
        <v>54</v>
      </c>
      <c r="AA1137">
        <v>111</v>
      </c>
      <c r="AB1137">
        <v>83</v>
      </c>
      <c r="AC1137">
        <v>495</v>
      </c>
      <c r="AD1137">
        <v>126</v>
      </c>
      <c r="AE1137">
        <v>598</v>
      </c>
      <c r="AF1137">
        <v>8</v>
      </c>
      <c r="AG1137">
        <v>0</v>
      </c>
      <c r="AH1137">
        <v>1.3959089517593379</v>
      </c>
      <c r="AI1137">
        <v>0</v>
      </c>
      <c r="AJ1137">
        <v>1.742403626441956</v>
      </c>
      <c r="AK1137" t="s">
        <v>53</v>
      </c>
      <c r="AL1137" t="s">
        <v>54</v>
      </c>
      <c r="AP1137" t="s">
        <v>5451</v>
      </c>
      <c r="AQ1137" t="s">
        <v>54</v>
      </c>
      <c r="AT1137" t="s">
        <v>1407</v>
      </c>
      <c r="AW1137" t="s">
        <v>53</v>
      </c>
      <c r="AZ1137" t="s">
        <v>54</v>
      </c>
      <c r="BA1137" t="s">
        <v>729</v>
      </c>
    </row>
    <row r="1138" spans="1:53" x14ac:dyDescent="0.25">
      <c r="A1138">
        <v>1133</v>
      </c>
      <c r="B1138" t="s">
        <v>2057</v>
      </c>
      <c r="C1138" t="s">
        <v>2058</v>
      </c>
      <c r="D1138" t="s">
        <v>2059</v>
      </c>
      <c r="E1138">
        <v>6</v>
      </c>
      <c r="F1138" t="s">
        <v>719</v>
      </c>
      <c r="G1138" t="s">
        <v>169</v>
      </c>
      <c r="H1138" t="s">
        <v>795</v>
      </c>
      <c r="I1138" t="s">
        <v>796</v>
      </c>
      <c r="J1138" t="s">
        <v>797</v>
      </c>
      <c r="K1138" t="s">
        <v>798</v>
      </c>
      <c r="L1138" t="s">
        <v>725</v>
      </c>
      <c r="M1138">
        <v>1.608492493629456</v>
      </c>
      <c r="N1138" t="s">
        <v>54</v>
      </c>
      <c r="O1138" t="s">
        <v>53</v>
      </c>
      <c r="P1138" t="s">
        <v>53</v>
      </c>
      <c r="Q1138" t="s">
        <v>53</v>
      </c>
      <c r="R1138" t="s">
        <v>53</v>
      </c>
      <c r="S1138" t="s">
        <v>6480</v>
      </c>
      <c r="T1138" t="s">
        <v>2060</v>
      </c>
      <c r="U1138" t="s">
        <v>53</v>
      </c>
      <c r="V1138" t="s">
        <v>51</v>
      </c>
      <c r="W1138">
        <v>200000</v>
      </c>
      <c r="X1138" t="s">
        <v>54</v>
      </c>
      <c r="AA1138">
        <v>60</v>
      </c>
      <c r="AB1138">
        <v>54</v>
      </c>
      <c r="AC1138">
        <v>7</v>
      </c>
      <c r="AD1138">
        <v>56</v>
      </c>
      <c r="AE1138">
        <v>56</v>
      </c>
      <c r="AF1138">
        <v>0</v>
      </c>
      <c r="AH1138">
        <v>1.1900678873062129</v>
      </c>
      <c r="AJ1138">
        <v>0.44331040978431702</v>
      </c>
      <c r="AK1138" t="s">
        <v>53</v>
      </c>
      <c r="AL1138" t="s">
        <v>54</v>
      </c>
      <c r="AP1138" t="s">
        <v>5451</v>
      </c>
      <c r="AQ1138" t="s">
        <v>54</v>
      </c>
      <c r="AT1138" t="s">
        <v>1001</v>
      </c>
      <c r="AW1138" t="s">
        <v>53</v>
      </c>
      <c r="AZ1138" t="s">
        <v>54</v>
      </c>
      <c r="BA1138" t="s">
        <v>729</v>
      </c>
    </row>
    <row r="1139" spans="1:53" x14ac:dyDescent="0.25">
      <c r="A1139">
        <v>1134</v>
      </c>
      <c r="B1139" t="s">
        <v>2061</v>
      </c>
      <c r="C1139" t="s">
        <v>2062</v>
      </c>
      <c r="D1139" t="s">
        <v>998</v>
      </c>
      <c r="E1139">
        <v>6</v>
      </c>
      <c r="F1139" t="s">
        <v>719</v>
      </c>
      <c r="G1139" t="s">
        <v>999</v>
      </c>
      <c r="H1139" t="s">
        <v>795</v>
      </c>
      <c r="I1139" t="s">
        <v>796</v>
      </c>
      <c r="J1139" t="s">
        <v>797</v>
      </c>
      <c r="K1139" t="s">
        <v>798</v>
      </c>
      <c r="L1139" t="s">
        <v>725</v>
      </c>
      <c r="M1139">
        <v>13.891781806945801</v>
      </c>
      <c r="N1139" t="s">
        <v>54</v>
      </c>
      <c r="O1139" t="s">
        <v>53</v>
      </c>
      <c r="P1139" t="s">
        <v>53</v>
      </c>
      <c r="Q1139" t="s">
        <v>53</v>
      </c>
      <c r="R1139" t="s">
        <v>53</v>
      </c>
      <c r="S1139" t="s">
        <v>6480</v>
      </c>
      <c r="T1139" t="s">
        <v>2063</v>
      </c>
      <c r="U1139" t="s">
        <v>53</v>
      </c>
      <c r="V1139" t="s">
        <v>51</v>
      </c>
      <c r="W1139">
        <v>2072000</v>
      </c>
      <c r="X1139" t="s">
        <v>54</v>
      </c>
      <c r="AA1139">
        <v>295</v>
      </c>
      <c r="AB1139">
        <v>239</v>
      </c>
      <c r="AC1139">
        <v>120</v>
      </c>
      <c r="AD1139">
        <v>393</v>
      </c>
      <c r="AE1139">
        <v>442</v>
      </c>
      <c r="AF1139">
        <v>0</v>
      </c>
      <c r="AG1139">
        <v>0</v>
      </c>
      <c r="AH1139">
        <v>6.0072546005249023</v>
      </c>
      <c r="AI1139">
        <v>0</v>
      </c>
      <c r="AJ1139">
        <v>157.03913879394531</v>
      </c>
      <c r="AK1139" t="s">
        <v>53</v>
      </c>
      <c r="AL1139" t="s">
        <v>54</v>
      </c>
      <c r="AP1139" t="s">
        <v>5451</v>
      </c>
      <c r="AQ1139" t="s">
        <v>54</v>
      </c>
      <c r="AT1139" t="s">
        <v>1001</v>
      </c>
      <c r="AW1139" t="s">
        <v>53</v>
      </c>
      <c r="AZ1139" t="s">
        <v>54</v>
      </c>
      <c r="BA1139" t="s">
        <v>729</v>
      </c>
    </row>
    <row r="1140" spans="1:53" x14ac:dyDescent="0.25">
      <c r="A1140">
        <v>1135</v>
      </c>
      <c r="B1140" t="s">
        <v>2064</v>
      </c>
      <c r="C1140" t="s">
        <v>2065</v>
      </c>
      <c r="D1140" t="s">
        <v>998</v>
      </c>
      <c r="E1140">
        <v>6</v>
      </c>
      <c r="F1140" t="s">
        <v>719</v>
      </c>
      <c r="G1140" t="s">
        <v>169</v>
      </c>
      <c r="H1140" t="s">
        <v>795</v>
      </c>
      <c r="I1140" t="s">
        <v>796</v>
      </c>
      <c r="J1140" t="s">
        <v>797</v>
      </c>
      <c r="K1140" t="s">
        <v>798</v>
      </c>
      <c r="L1140" t="s">
        <v>725</v>
      </c>
      <c r="M1140">
        <v>0.48643955588340759</v>
      </c>
      <c r="N1140" t="s">
        <v>54</v>
      </c>
      <c r="O1140" t="s">
        <v>53</v>
      </c>
      <c r="P1140" t="s">
        <v>53</v>
      </c>
      <c r="Q1140" t="s">
        <v>53</v>
      </c>
      <c r="R1140" t="s">
        <v>53</v>
      </c>
      <c r="S1140" t="s">
        <v>6480</v>
      </c>
      <c r="T1140" t="s">
        <v>1621</v>
      </c>
      <c r="U1140" t="s">
        <v>53</v>
      </c>
      <c r="V1140" t="s">
        <v>51</v>
      </c>
      <c r="W1140">
        <v>48000</v>
      </c>
      <c r="X1140" t="s">
        <v>54</v>
      </c>
      <c r="AH1140">
        <v>1.3530120253562931E-2</v>
      </c>
      <c r="AK1140" t="s">
        <v>53</v>
      </c>
      <c r="AL1140" t="s">
        <v>54</v>
      </c>
      <c r="AP1140" t="s">
        <v>5451</v>
      </c>
      <c r="AQ1140" t="s">
        <v>54</v>
      </c>
      <c r="AT1140" t="s">
        <v>1001</v>
      </c>
      <c r="AW1140" t="s">
        <v>53</v>
      </c>
      <c r="AZ1140" t="s">
        <v>54</v>
      </c>
      <c r="BA1140" t="s">
        <v>729</v>
      </c>
    </row>
    <row r="1141" spans="1:53" x14ac:dyDescent="0.25">
      <c r="A1141">
        <v>1136</v>
      </c>
      <c r="B1141" t="s">
        <v>2095</v>
      </c>
      <c r="C1141" t="s">
        <v>2096</v>
      </c>
      <c r="D1141" t="s">
        <v>2097</v>
      </c>
      <c r="E1141">
        <v>6</v>
      </c>
      <c r="F1141" t="s">
        <v>719</v>
      </c>
      <c r="G1141" t="s">
        <v>805</v>
      </c>
      <c r="H1141" t="s">
        <v>2098</v>
      </c>
      <c r="I1141" t="s">
        <v>2099</v>
      </c>
      <c r="J1141" t="s">
        <v>2100</v>
      </c>
      <c r="K1141" t="s">
        <v>2101</v>
      </c>
      <c r="L1141" t="s">
        <v>725</v>
      </c>
      <c r="M1141">
        <v>74.8873291015625</v>
      </c>
      <c r="N1141" t="s">
        <v>54</v>
      </c>
      <c r="O1141" t="s">
        <v>53</v>
      </c>
      <c r="P1141" t="s">
        <v>54</v>
      </c>
      <c r="Q1141" t="s">
        <v>53</v>
      </c>
      <c r="R1141" t="s">
        <v>53</v>
      </c>
      <c r="S1141" t="s">
        <v>861</v>
      </c>
      <c r="T1141" t="s">
        <v>6486</v>
      </c>
      <c r="U1141" t="s">
        <v>53</v>
      </c>
      <c r="V1141" t="s">
        <v>51</v>
      </c>
      <c r="W1141">
        <v>30000</v>
      </c>
      <c r="X1141" t="s">
        <v>54</v>
      </c>
      <c r="AA1141">
        <v>1939</v>
      </c>
      <c r="AB1141">
        <v>1465</v>
      </c>
      <c r="AC1141">
        <v>3188</v>
      </c>
      <c r="AD1141">
        <v>3368</v>
      </c>
      <c r="AE1141">
        <v>5763</v>
      </c>
      <c r="AF1141">
        <v>25</v>
      </c>
      <c r="AG1141">
        <v>0</v>
      </c>
      <c r="AH1141">
        <v>39.773311614990227</v>
      </c>
      <c r="AI1141">
        <v>0</v>
      </c>
      <c r="AJ1141">
        <v>1122.3876953125</v>
      </c>
      <c r="AK1141" t="s">
        <v>53</v>
      </c>
      <c r="AL1141" t="s">
        <v>54</v>
      </c>
      <c r="AP1141" t="s">
        <v>5451</v>
      </c>
      <c r="AQ1141" t="s">
        <v>54</v>
      </c>
      <c r="AT1141" t="s">
        <v>1407</v>
      </c>
      <c r="AW1141" t="s">
        <v>53</v>
      </c>
      <c r="AZ1141" t="s">
        <v>54</v>
      </c>
      <c r="BA1141" t="s">
        <v>729</v>
      </c>
    </row>
    <row r="1142" spans="1:53" x14ac:dyDescent="0.25">
      <c r="A1142">
        <v>1137</v>
      </c>
      <c r="B1142" t="s">
        <v>2102</v>
      </c>
      <c r="C1142" t="s">
        <v>2103</v>
      </c>
      <c r="D1142" t="s">
        <v>2104</v>
      </c>
      <c r="E1142">
        <v>6</v>
      </c>
      <c r="F1142" t="s">
        <v>719</v>
      </c>
      <c r="G1142" t="s">
        <v>805</v>
      </c>
      <c r="H1142" t="s">
        <v>2098</v>
      </c>
      <c r="I1142" t="s">
        <v>2099</v>
      </c>
      <c r="J1142" t="s">
        <v>2100</v>
      </c>
      <c r="K1142" t="s">
        <v>2101</v>
      </c>
      <c r="L1142" t="s">
        <v>725</v>
      </c>
      <c r="M1142">
        <v>74.8873291015625</v>
      </c>
      <c r="N1142" t="s">
        <v>54</v>
      </c>
      <c r="O1142" t="s">
        <v>53</v>
      </c>
      <c r="P1142" t="s">
        <v>54</v>
      </c>
      <c r="Q1142" t="s">
        <v>53</v>
      </c>
      <c r="R1142" t="s">
        <v>53</v>
      </c>
      <c r="S1142" t="s">
        <v>861</v>
      </c>
      <c r="T1142" t="s">
        <v>6486</v>
      </c>
      <c r="U1142" t="s">
        <v>53</v>
      </c>
      <c r="V1142" t="s">
        <v>51</v>
      </c>
      <c r="W1142">
        <v>30000</v>
      </c>
      <c r="X1142" t="s">
        <v>54</v>
      </c>
      <c r="AA1142">
        <v>1939</v>
      </c>
      <c r="AB1142">
        <v>1465</v>
      </c>
      <c r="AC1142">
        <v>3188</v>
      </c>
      <c r="AD1142">
        <v>3368</v>
      </c>
      <c r="AE1142">
        <v>5763</v>
      </c>
      <c r="AF1142">
        <v>25</v>
      </c>
      <c r="AG1142">
        <v>0</v>
      </c>
      <c r="AH1142">
        <v>39.773311614990227</v>
      </c>
      <c r="AI1142">
        <v>0</v>
      </c>
      <c r="AJ1142">
        <v>1122.3876953125</v>
      </c>
      <c r="AK1142" t="s">
        <v>53</v>
      </c>
      <c r="AL1142" t="s">
        <v>54</v>
      </c>
      <c r="AP1142" t="s">
        <v>5451</v>
      </c>
      <c r="AQ1142" t="s">
        <v>54</v>
      </c>
      <c r="AT1142" t="s">
        <v>1407</v>
      </c>
      <c r="AW1142" t="s">
        <v>53</v>
      </c>
      <c r="AZ1142" t="s">
        <v>54</v>
      </c>
      <c r="BA1142" t="s">
        <v>729</v>
      </c>
    </row>
    <row r="1143" spans="1:53" x14ac:dyDescent="0.25">
      <c r="A1143">
        <v>1138</v>
      </c>
      <c r="B1143" t="s">
        <v>2105</v>
      </c>
      <c r="C1143" t="s">
        <v>2106</v>
      </c>
      <c r="D1143" t="s">
        <v>2107</v>
      </c>
      <c r="E1143">
        <v>6</v>
      </c>
      <c r="F1143" t="s">
        <v>719</v>
      </c>
      <c r="G1143" t="s">
        <v>805</v>
      </c>
      <c r="H1143" t="s">
        <v>2098</v>
      </c>
      <c r="I1143" t="s">
        <v>2099</v>
      </c>
      <c r="J1143" t="s">
        <v>2100</v>
      </c>
      <c r="K1143" t="s">
        <v>2101</v>
      </c>
      <c r="L1143" t="s">
        <v>725</v>
      </c>
      <c r="M1143">
        <v>74.8873291015625</v>
      </c>
      <c r="N1143" t="s">
        <v>54</v>
      </c>
      <c r="O1143" t="s">
        <v>53</v>
      </c>
      <c r="P1143" t="s">
        <v>54</v>
      </c>
      <c r="Q1143" t="s">
        <v>53</v>
      </c>
      <c r="R1143" t="s">
        <v>53</v>
      </c>
      <c r="S1143" t="s">
        <v>861</v>
      </c>
      <c r="T1143" t="s">
        <v>6486</v>
      </c>
      <c r="U1143" t="s">
        <v>53</v>
      </c>
      <c r="V1143" t="s">
        <v>51</v>
      </c>
      <c r="W1143">
        <v>30000</v>
      </c>
      <c r="X1143" t="s">
        <v>54</v>
      </c>
      <c r="AA1143">
        <v>1939</v>
      </c>
      <c r="AB1143">
        <v>1465</v>
      </c>
      <c r="AC1143">
        <v>3188</v>
      </c>
      <c r="AD1143">
        <v>3368</v>
      </c>
      <c r="AE1143">
        <v>5763</v>
      </c>
      <c r="AF1143">
        <v>25</v>
      </c>
      <c r="AG1143">
        <v>0</v>
      </c>
      <c r="AH1143">
        <v>39.773311614990227</v>
      </c>
      <c r="AI1143">
        <v>0</v>
      </c>
      <c r="AJ1143">
        <v>1122.3876953125</v>
      </c>
      <c r="AK1143" t="s">
        <v>53</v>
      </c>
      <c r="AL1143" t="s">
        <v>54</v>
      </c>
      <c r="AP1143" t="s">
        <v>5451</v>
      </c>
      <c r="AQ1143" t="s">
        <v>54</v>
      </c>
      <c r="AT1143" t="s">
        <v>1407</v>
      </c>
      <c r="AW1143" t="s">
        <v>53</v>
      </c>
      <c r="AZ1143" t="s">
        <v>54</v>
      </c>
      <c r="BA1143" t="s">
        <v>729</v>
      </c>
    </row>
    <row r="1144" spans="1:53" x14ac:dyDescent="0.25">
      <c r="A1144">
        <v>1139</v>
      </c>
      <c r="B1144" t="s">
        <v>2176</v>
      </c>
      <c r="C1144" t="s">
        <v>2177</v>
      </c>
      <c r="D1144" t="s">
        <v>2109</v>
      </c>
      <c r="E1144">
        <v>6</v>
      </c>
      <c r="F1144" t="s">
        <v>719</v>
      </c>
      <c r="G1144" t="s">
        <v>2178</v>
      </c>
      <c r="H1144" t="s">
        <v>1209</v>
      </c>
      <c r="I1144" t="s">
        <v>2179</v>
      </c>
      <c r="J1144" t="s">
        <v>2180</v>
      </c>
      <c r="K1144" t="s">
        <v>2181</v>
      </c>
      <c r="L1144" t="s">
        <v>725</v>
      </c>
      <c r="M1144">
        <v>155.77613830566409</v>
      </c>
      <c r="N1144" t="s">
        <v>53</v>
      </c>
      <c r="O1144" t="s">
        <v>53</v>
      </c>
      <c r="P1144" t="s">
        <v>54</v>
      </c>
      <c r="Q1144" t="s">
        <v>53</v>
      </c>
      <c r="R1144" t="s">
        <v>53</v>
      </c>
      <c r="S1144" t="s">
        <v>810</v>
      </c>
      <c r="T1144" t="s">
        <v>6492</v>
      </c>
      <c r="U1144" t="s">
        <v>53</v>
      </c>
      <c r="V1144" t="s">
        <v>51</v>
      </c>
      <c r="W1144">
        <v>30000</v>
      </c>
      <c r="X1144" t="s">
        <v>54</v>
      </c>
      <c r="AA1144">
        <v>6662</v>
      </c>
      <c r="AB1144">
        <v>5121</v>
      </c>
      <c r="AC1144">
        <v>15791</v>
      </c>
      <c r="AD1144">
        <v>13878</v>
      </c>
      <c r="AE1144">
        <v>25574</v>
      </c>
      <c r="AF1144">
        <v>64</v>
      </c>
      <c r="AG1144">
        <v>1</v>
      </c>
      <c r="AH1144">
        <v>169.08082580566409</v>
      </c>
      <c r="AI1144">
        <v>1</v>
      </c>
      <c r="AJ1144">
        <v>326.65151977539063</v>
      </c>
      <c r="AK1144" t="s">
        <v>53</v>
      </c>
      <c r="AL1144" t="s">
        <v>54</v>
      </c>
      <c r="AP1144" t="s">
        <v>5451</v>
      </c>
      <c r="AQ1144" t="s">
        <v>54</v>
      </c>
      <c r="AT1144" t="s">
        <v>1864</v>
      </c>
      <c r="AW1144" t="s">
        <v>53</v>
      </c>
      <c r="AZ1144" t="s">
        <v>54</v>
      </c>
      <c r="BA1144" t="s">
        <v>729</v>
      </c>
    </row>
    <row r="1145" spans="1:53" x14ac:dyDescent="0.25">
      <c r="A1145">
        <v>1140</v>
      </c>
      <c r="B1145" t="s">
        <v>2189</v>
      </c>
      <c r="C1145" t="s">
        <v>6493</v>
      </c>
      <c r="D1145" t="s">
        <v>6494</v>
      </c>
      <c r="E1145">
        <v>6</v>
      </c>
      <c r="F1145" t="s">
        <v>719</v>
      </c>
      <c r="G1145" t="s">
        <v>805</v>
      </c>
      <c r="H1145" t="s">
        <v>806</v>
      </c>
      <c r="I1145" t="s">
        <v>899</v>
      </c>
      <c r="J1145" t="s">
        <v>900</v>
      </c>
      <c r="K1145" t="s">
        <v>901</v>
      </c>
      <c r="L1145" t="s">
        <v>725</v>
      </c>
      <c r="M1145">
        <v>3.5849535465240479</v>
      </c>
      <c r="N1145" t="s">
        <v>53</v>
      </c>
      <c r="O1145" t="s">
        <v>53</v>
      </c>
      <c r="P1145" t="s">
        <v>54</v>
      </c>
      <c r="Q1145" t="s">
        <v>53</v>
      </c>
      <c r="R1145" t="s">
        <v>53</v>
      </c>
      <c r="S1145" t="s">
        <v>902</v>
      </c>
      <c r="T1145" t="s">
        <v>903</v>
      </c>
      <c r="U1145" t="s">
        <v>53</v>
      </c>
      <c r="V1145" t="s">
        <v>51</v>
      </c>
      <c r="W1145">
        <v>1000000</v>
      </c>
      <c r="X1145" t="s">
        <v>54</v>
      </c>
      <c r="Y1145" t="s">
        <v>906</v>
      </c>
      <c r="Z1145">
        <v>250000</v>
      </c>
      <c r="AA1145">
        <v>5879</v>
      </c>
      <c r="AB1145">
        <v>5539</v>
      </c>
      <c r="AC1145">
        <v>25741</v>
      </c>
      <c r="AD1145">
        <v>16463</v>
      </c>
      <c r="AE1145">
        <v>37604</v>
      </c>
      <c r="AF1145">
        <v>71</v>
      </c>
      <c r="AG1145">
        <v>0</v>
      </c>
      <c r="AH1145">
        <v>70.914344787597656</v>
      </c>
      <c r="AI1145">
        <v>0</v>
      </c>
      <c r="AJ1145">
        <v>0.15173642337322241</v>
      </c>
      <c r="AK1145" t="s">
        <v>54</v>
      </c>
      <c r="AL1145" t="s">
        <v>53</v>
      </c>
      <c r="AP1145" t="s">
        <v>5451</v>
      </c>
      <c r="AQ1145" t="s">
        <v>54</v>
      </c>
      <c r="AT1145" t="s">
        <v>907</v>
      </c>
      <c r="AW1145" t="s">
        <v>53</v>
      </c>
      <c r="AZ1145" t="s">
        <v>54</v>
      </c>
      <c r="BA1145" t="s">
        <v>729</v>
      </c>
    </row>
    <row r="1146" spans="1:53" x14ac:dyDescent="0.25">
      <c r="A1146">
        <v>1141</v>
      </c>
      <c r="B1146" t="s">
        <v>2233</v>
      </c>
      <c r="C1146" t="s">
        <v>2234</v>
      </c>
      <c r="D1146" t="s">
        <v>2235</v>
      </c>
      <c r="E1146">
        <v>6</v>
      </c>
      <c r="F1146" t="s">
        <v>719</v>
      </c>
      <c r="G1146" t="s">
        <v>1665</v>
      </c>
      <c r="H1146" t="s">
        <v>2236</v>
      </c>
      <c r="I1146" t="s">
        <v>2237</v>
      </c>
      <c r="J1146" t="s">
        <v>2238</v>
      </c>
      <c r="K1146" t="s">
        <v>2239</v>
      </c>
      <c r="L1146" t="s">
        <v>725</v>
      </c>
      <c r="M1146">
        <v>46.642604827880859</v>
      </c>
      <c r="N1146" t="s">
        <v>54</v>
      </c>
      <c r="O1146" t="s">
        <v>53</v>
      </c>
      <c r="P1146" t="s">
        <v>54</v>
      </c>
      <c r="Q1146" t="s">
        <v>53</v>
      </c>
      <c r="R1146" t="s">
        <v>53</v>
      </c>
      <c r="S1146" t="s">
        <v>861</v>
      </c>
      <c r="T1146" t="s">
        <v>6495</v>
      </c>
      <c r="U1146" t="s">
        <v>53</v>
      </c>
      <c r="V1146" t="s">
        <v>51</v>
      </c>
      <c r="W1146">
        <v>30000</v>
      </c>
      <c r="X1146" t="s">
        <v>54</v>
      </c>
      <c r="AA1146">
        <v>228</v>
      </c>
      <c r="AB1146">
        <v>119</v>
      </c>
      <c r="AC1146">
        <v>127</v>
      </c>
      <c r="AD1146">
        <v>288</v>
      </c>
      <c r="AE1146">
        <v>345</v>
      </c>
      <c r="AF1146">
        <v>0</v>
      </c>
      <c r="AG1146">
        <v>0</v>
      </c>
      <c r="AH1146">
        <v>11.83630847930908</v>
      </c>
      <c r="AI1146">
        <v>0</v>
      </c>
      <c r="AJ1146">
        <v>891.77978515625</v>
      </c>
      <c r="AK1146" t="s">
        <v>53</v>
      </c>
      <c r="AL1146" t="s">
        <v>54</v>
      </c>
      <c r="AP1146" t="s">
        <v>5451</v>
      </c>
      <c r="AQ1146" t="s">
        <v>54</v>
      </c>
      <c r="AT1146" t="s">
        <v>1407</v>
      </c>
      <c r="AW1146" t="s">
        <v>53</v>
      </c>
      <c r="AZ1146" t="s">
        <v>54</v>
      </c>
      <c r="BA1146" t="s">
        <v>729</v>
      </c>
    </row>
    <row r="1147" spans="1:53" x14ac:dyDescent="0.25">
      <c r="A1147">
        <v>1142</v>
      </c>
      <c r="B1147" t="s">
        <v>2241</v>
      </c>
      <c r="C1147" t="s">
        <v>2242</v>
      </c>
      <c r="D1147" t="s">
        <v>2243</v>
      </c>
      <c r="E1147">
        <v>6</v>
      </c>
      <c r="F1147" t="s">
        <v>719</v>
      </c>
      <c r="G1147" t="s">
        <v>2244</v>
      </c>
      <c r="H1147" t="s">
        <v>2236</v>
      </c>
      <c r="I1147" t="s">
        <v>2237</v>
      </c>
      <c r="J1147" t="s">
        <v>2238</v>
      </c>
      <c r="K1147" t="s">
        <v>2239</v>
      </c>
      <c r="L1147" t="s">
        <v>725</v>
      </c>
      <c r="M1147">
        <v>23.008146286010739</v>
      </c>
      <c r="N1147" t="s">
        <v>54</v>
      </c>
      <c r="O1147" t="s">
        <v>53</v>
      </c>
      <c r="P1147" t="s">
        <v>54</v>
      </c>
      <c r="Q1147" t="s">
        <v>53</v>
      </c>
      <c r="R1147" t="s">
        <v>53</v>
      </c>
      <c r="S1147" t="s">
        <v>861</v>
      </c>
      <c r="T1147" t="s">
        <v>6495</v>
      </c>
      <c r="U1147" t="s">
        <v>53</v>
      </c>
      <c r="V1147" t="s">
        <v>51</v>
      </c>
      <c r="W1147">
        <v>30000</v>
      </c>
      <c r="X1147" t="s">
        <v>54</v>
      </c>
      <c r="AA1147">
        <v>75</v>
      </c>
      <c r="AB1147">
        <v>51</v>
      </c>
      <c r="AC1147">
        <v>50</v>
      </c>
      <c r="AD1147">
        <v>147</v>
      </c>
      <c r="AE1147">
        <v>147</v>
      </c>
      <c r="AF1147">
        <v>0</v>
      </c>
      <c r="AG1147">
        <v>0</v>
      </c>
      <c r="AH1147">
        <v>4.9218950271606454</v>
      </c>
      <c r="AI1147">
        <v>0</v>
      </c>
      <c r="AJ1147">
        <v>463.47845458984381</v>
      </c>
      <c r="AK1147" t="s">
        <v>53</v>
      </c>
      <c r="AL1147" t="s">
        <v>54</v>
      </c>
      <c r="AP1147" t="s">
        <v>5451</v>
      </c>
      <c r="AQ1147" t="s">
        <v>54</v>
      </c>
      <c r="AT1147" t="s">
        <v>1407</v>
      </c>
      <c r="AW1147" t="s">
        <v>53</v>
      </c>
      <c r="AZ1147" t="s">
        <v>54</v>
      </c>
      <c r="BA1147" t="s">
        <v>729</v>
      </c>
    </row>
    <row r="1148" spans="1:53" x14ac:dyDescent="0.25">
      <c r="A1148">
        <v>1143</v>
      </c>
      <c r="B1148" t="s">
        <v>2305</v>
      </c>
      <c r="C1148" t="s">
        <v>2306</v>
      </c>
      <c r="D1148" t="s">
        <v>2307</v>
      </c>
      <c r="E1148">
        <v>6</v>
      </c>
      <c r="F1148" t="s">
        <v>719</v>
      </c>
      <c r="G1148" t="s">
        <v>2308</v>
      </c>
      <c r="H1148" t="s">
        <v>1060</v>
      </c>
      <c r="I1148" t="s">
        <v>1061</v>
      </c>
      <c r="J1148" t="s">
        <v>2309</v>
      </c>
      <c r="K1148" t="s">
        <v>2310</v>
      </c>
      <c r="L1148" t="s">
        <v>789</v>
      </c>
      <c r="M1148">
        <v>1169.763671875</v>
      </c>
      <c r="N1148" t="s">
        <v>54</v>
      </c>
      <c r="O1148" t="s">
        <v>53</v>
      </c>
      <c r="P1148" t="s">
        <v>53</v>
      </c>
      <c r="Q1148" t="s">
        <v>53</v>
      </c>
      <c r="R1148" t="s">
        <v>53</v>
      </c>
      <c r="S1148" t="s">
        <v>1064</v>
      </c>
      <c r="T1148" t="s">
        <v>6496</v>
      </c>
      <c r="U1148" t="s">
        <v>53</v>
      </c>
      <c r="V1148" t="s">
        <v>791</v>
      </c>
      <c r="W1148">
        <v>1243000</v>
      </c>
      <c r="X1148" t="s">
        <v>54</v>
      </c>
      <c r="AA1148">
        <v>3618</v>
      </c>
      <c r="AB1148">
        <v>2271</v>
      </c>
      <c r="AC1148">
        <v>2546</v>
      </c>
      <c r="AD1148">
        <v>3575</v>
      </c>
      <c r="AE1148">
        <v>4854</v>
      </c>
      <c r="AF1148">
        <v>8</v>
      </c>
      <c r="AG1148">
        <v>7</v>
      </c>
      <c r="AH1148">
        <v>144.16850280761719</v>
      </c>
      <c r="AI1148">
        <v>7</v>
      </c>
      <c r="AJ1148">
        <v>1379.477294921875</v>
      </c>
      <c r="AK1148" t="s">
        <v>53</v>
      </c>
      <c r="AL1148" t="s">
        <v>53</v>
      </c>
      <c r="AP1148" t="s">
        <v>5451</v>
      </c>
      <c r="AQ1148" t="s">
        <v>54</v>
      </c>
      <c r="AT1148" t="s">
        <v>1065</v>
      </c>
      <c r="AW1148" t="s">
        <v>53</v>
      </c>
      <c r="AZ1148" t="s">
        <v>54</v>
      </c>
      <c r="BA1148" t="s">
        <v>729</v>
      </c>
    </row>
    <row r="1149" spans="1:53" x14ac:dyDescent="0.25">
      <c r="A1149">
        <v>1144</v>
      </c>
      <c r="B1149" t="s">
        <v>1985</v>
      </c>
      <c r="C1149" t="s">
        <v>1986</v>
      </c>
      <c r="D1149" t="s">
        <v>1987</v>
      </c>
      <c r="E1149">
        <v>6</v>
      </c>
      <c r="F1149" t="s">
        <v>719</v>
      </c>
      <c r="G1149" t="s">
        <v>805</v>
      </c>
      <c r="H1149" t="s">
        <v>1243</v>
      </c>
      <c r="I1149" t="s">
        <v>1433</v>
      </c>
      <c r="J1149" t="s">
        <v>1988</v>
      </c>
      <c r="K1149" t="s">
        <v>1989</v>
      </c>
      <c r="L1149" t="s">
        <v>725</v>
      </c>
      <c r="M1149">
        <v>2.1116149425506592</v>
      </c>
      <c r="N1149" t="s">
        <v>54</v>
      </c>
      <c r="O1149" t="s">
        <v>53</v>
      </c>
      <c r="P1149" t="s">
        <v>54</v>
      </c>
      <c r="Q1149" t="s">
        <v>53</v>
      </c>
      <c r="R1149" t="s">
        <v>53</v>
      </c>
      <c r="S1149" t="s">
        <v>6497</v>
      </c>
      <c r="T1149" t="s">
        <v>819</v>
      </c>
      <c r="U1149" t="s">
        <v>53</v>
      </c>
      <c r="V1149" t="s">
        <v>51</v>
      </c>
      <c r="W1149">
        <v>30000</v>
      </c>
      <c r="X1149" t="s">
        <v>54</v>
      </c>
      <c r="AA1149">
        <v>0</v>
      </c>
      <c r="AB1149">
        <v>0</v>
      </c>
      <c r="AC1149">
        <v>0</v>
      </c>
      <c r="AD1149">
        <v>0</v>
      </c>
      <c r="AE1149">
        <v>0</v>
      </c>
      <c r="AF1149">
        <v>0</v>
      </c>
      <c r="AJ1149">
        <v>183.19024658203119</v>
      </c>
      <c r="AK1149" t="s">
        <v>53</v>
      </c>
      <c r="AL1149" t="s">
        <v>53</v>
      </c>
      <c r="AP1149" t="s">
        <v>5451</v>
      </c>
      <c r="AQ1149" t="s">
        <v>54</v>
      </c>
      <c r="AT1149" t="s">
        <v>1990</v>
      </c>
      <c r="AW1149" t="s">
        <v>53</v>
      </c>
      <c r="AZ1149" t="s">
        <v>54</v>
      </c>
      <c r="BA1149" t="s">
        <v>729</v>
      </c>
    </row>
    <row r="1150" spans="1:53" x14ac:dyDescent="0.25">
      <c r="A1150">
        <v>1145</v>
      </c>
      <c r="B1150" t="s">
        <v>6498</v>
      </c>
      <c r="C1150" t="s">
        <v>6499</v>
      </c>
      <c r="D1150" t="s">
        <v>6500</v>
      </c>
      <c r="E1150">
        <v>7</v>
      </c>
      <c r="F1150" t="s">
        <v>6501</v>
      </c>
      <c r="G1150" t="s">
        <v>6502</v>
      </c>
      <c r="H1150" t="s">
        <v>6503</v>
      </c>
      <c r="I1150" t="s">
        <v>6504</v>
      </c>
      <c r="J1150" t="s">
        <v>6505</v>
      </c>
      <c r="K1150" t="s">
        <v>6506</v>
      </c>
      <c r="L1150" t="s">
        <v>6507</v>
      </c>
      <c r="M1150">
        <v>912.4061279296875</v>
      </c>
      <c r="N1150" t="s">
        <v>54</v>
      </c>
      <c r="O1150" t="s">
        <v>53</v>
      </c>
      <c r="P1150" t="s">
        <v>53</v>
      </c>
      <c r="Q1150" t="s">
        <v>53</v>
      </c>
      <c r="R1150" t="s">
        <v>53</v>
      </c>
      <c r="S1150" t="s">
        <v>6508</v>
      </c>
      <c r="T1150" t="s">
        <v>6508</v>
      </c>
      <c r="U1150" t="s">
        <v>53</v>
      </c>
      <c r="V1150" t="s">
        <v>138</v>
      </c>
      <c r="W1150">
        <v>932000</v>
      </c>
      <c r="X1150" t="s">
        <v>53</v>
      </c>
      <c r="Y1150" t="s">
        <v>6509</v>
      </c>
      <c r="Z1150">
        <v>0</v>
      </c>
      <c r="AA1150">
        <v>347</v>
      </c>
      <c r="AB1150">
        <v>134</v>
      </c>
      <c r="AC1150">
        <v>178</v>
      </c>
      <c r="AD1150">
        <v>163</v>
      </c>
      <c r="AE1150">
        <v>178</v>
      </c>
      <c r="AF1150">
        <v>0</v>
      </c>
      <c r="AG1150">
        <v>4</v>
      </c>
      <c r="AH1150">
        <v>43.328845977783203</v>
      </c>
      <c r="AI1150">
        <v>0</v>
      </c>
      <c r="AJ1150">
        <v>23798.978515625</v>
      </c>
      <c r="AK1150" t="s">
        <v>54</v>
      </c>
      <c r="AL1150" t="s">
        <v>54</v>
      </c>
      <c r="AM1150" t="s">
        <v>5450</v>
      </c>
      <c r="AP1150" t="s">
        <v>6510</v>
      </c>
      <c r="AQ1150" t="s">
        <v>54</v>
      </c>
      <c r="AR1150" t="s">
        <v>5450</v>
      </c>
      <c r="AS1150" s="148">
        <v>42795</v>
      </c>
      <c r="AT1150" t="s">
        <v>6511</v>
      </c>
      <c r="AV1150" t="s">
        <v>6509</v>
      </c>
      <c r="AW1150" t="s">
        <v>53</v>
      </c>
      <c r="AX1150" t="s">
        <v>6509</v>
      </c>
      <c r="AZ1150" t="s">
        <v>54</v>
      </c>
      <c r="BA1150" t="s">
        <v>6512</v>
      </c>
    </row>
    <row r="1151" spans="1:53" x14ac:dyDescent="0.25">
      <c r="A1151">
        <v>1146</v>
      </c>
      <c r="B1151" t="s">
        <v>6513</v>
      </c>
      <c r="C1151" t="s">
        <v>6514</v>
      </c>
      <c r="D1151" t="s">
        <v>6515</v>
      </c>
      <c r="E1151">
        <v>7</v>
      </c>
      <c r="F1151" t="s">
        <v>6501</v>
      </c>
      <c r="G1151" t="s">
        <v>6502</v>
      </c>
      <c r="H1151" t="s">
        <v>6503</v>
      </c>
      <c r="I1151" t="s">
        <v>6504</v>
      </c>
      <c r="J1151" t="s">
        <v>6505</v>
      </c>
      <c r="K1151" t="s">
        <v>6506</v>
      </c>
      <c r="L1151" t="s">
        <v>6507</v>
      </c>
      <c r="M1151">
        <v>912.4061279296875</v>
      </c>
      <c r="N1151" t="s">
        <v>54</v>
      </c>
      <c r="O1151" t="s">
        <v>53</v>
      </c>
      <c r="P1151" t="s">
        <v>53</v>
      </c>
      <c r="Q1151" t="s">
        <v>53</v>
      </c>
      <c r="R1151" t="s">
        <v>53</v>
      </c>
      <c r="S1151" t="s">
        <v>6508</v>
      </c>
      <c r="T1151" t="s">
        <v>6508</v>
      </c>
      <c r="U1151" t="s">
        <v>53</v>
      </c>
      <c r="V1151" t="s">
        <v>138</v>
      </c>
      <c r="W1151">
        <v>500000</v>
      </c>
      <c r="X1151" t="s">
        <v>53</v>
      </c>
      <c r="Y1151" t="s">
        <v>6509</v>
      </c>
      <c r="Z1151">
        <v>0</v>
      </c>
      <c r="AA1151">
        <v>347</v>
      </c>
      <c r="AB1151">
        <v>134</v>
      </c>
      <c r="AC1151">
        <v>178</v>
      </c>
      <c r="AD1151">
        <v>163</v>
      </c>
      <c r="AE1151">
        <v>178</v>
      </c>
      <c r="AF1151">
        <v>0</v>
      </c>
      <c r="AG1151">
        <v>4</v>
      </c>
      <c r="AH1151">
        <v>43.328845977783203</v>
      </c>
      <c r="AI1151">
        <v>0</v>
      </c>
      <c r="AJ1151">
        <v>23798.978515625</v>
      </c>
      <c r="AK1151" t="s">
        <v>54</v>
      </c>
      <c r="AL1151" t="s">
        <v>54</v>
      </c>
      <c r="AM1151" t="s">
        <v>5450</v>
      </c>
      <c r="AP1151" t="s">
        <v>6510</v>
      </c>
      <c r="AQ1151" t="s">
        <v>54</v>
      </c>
      <c r="AR1151" t="s">
        <v>5450</v>
      </c>
      <c r="AS1151" s="148">
        <v>42795</v>
      </c>
      <c r="AT1151" t="s">
        <v>6511</v>
      </c>
      <c r="AV1151" t="s">
        <v>6509</v>
      </c>
      <c r="AW1151" t="s">
        <v>53</v>
      </c>
      <c r="AX1151" t="s">
        <v>6509</v>
      </c>
      <c r="AZ1151" t="s">
        <v>54</v>
      </c>
      <c r="BA1151" t="s">
        <v>6512</v>
      </c>
    </row>
    <row r="1152" spans="1:53" x14ac:dyDescent="0.25">
      <c r="A1152">
        <v>1147</v>
      </c>
      <c r="B1152" t="s">
        <v>6516</v>
      </c>
      <c r="C1152" t="s">
        <v>6517</v>
      </c>
      <c r="D1152" t="s">
        <v>6518</v>
      </c>
      <c r="E1152">
        <v>7</v>
      </c>
      <c r="F1152" t="s">
        <v>6501</v>
      </c>
      <c r="G1152" t="s">
        <v>6502</v>
      </c>
      <c r="H1152" t="s">
        <v>6503</v>
      </c>
      <c r="I1152" t="s">
        <v>6504</v>
      </c>
      <c r="J1152" t="s">
        <v>6505</v>
      </c>
      <c r="K1152" t="s">
        <v>6506</v>
      </c>
      <c r="L1152" t="s">
        <v>6507</v>
      </c>
      <c r="M1152">
        <v>912.4061279296875</v>
      </c>
      <c r="N1152" t="s">
        <v>54</v>
      </c>
      <c r="O1152" t="s">
        <v>53</v>
      </c>
      <c r="P1152" t="s">
        <v>53</v>
      </c>
      <c r="Q1152" t="s">
        <v>53</v>
      </c>
      <c r="R1152" t="s">
        <v>53</v>
      </c>
      <c r="S1152" t="s">
        <v>6508</v>
      </c>
      <c r="T1152" t="s">
        <v>6508</v>
      </c>
      <c r="U1152" t="s">
        <v>53</v>
      </c>
      <c r="V1152" t="s">
        <v>1973</v>
      </c>
      <c r="W1152">
        <v>100000</v>
      </c>
      <c r="X1152" t="s">
        <v>53</v>
      </c>
      <c r="Y1152" t="s">
        <v>6509</v>
      </c>
      <c r="Z1152">
        <v>0</v>
      </c>
      <c r="AA1152">
        <v>347</v>
      </c>
      <c r="AB1152">
        <v>134</v>
      </c>
      <c r="AC1152">
        <v>178</v>
      </c>
      <c r="AD1152">
        <v>163</v>
      </c>
      <c r="AE1152">
        <v>178</v>
      </c>
      <c r="AF1152">
        <v>0</v>
      </c>
      <c r="AG1152">
        <v>4</v>
      </c>
      <c r="AH1152">
        <v>43.328845977783203</v>
      </c>
      <c r="AI1152">
        <v>0</v>
      </c>
      <c r="AJ1152">
        <v>23798.978515625</v>
      </c>
      <c r="AK1152" t="s">
        <v>53</v>
      </c>
      <c r="AL1152" t="s">
        <v>53</v>
      </c>
      <c r="AM1152" t="s">
        <v>6509</v>
      </c>
      <c r="AQ1152" t="s">
        <v>54</v>
      </c>
      <c r="AR1152" t="s">
        <v>6509</v>
      </c>
      <c r="AT1152" t="s">
        <v>6511</v>
      </c>
      <c r="AV1152" t="s">
        <v>6509</v>
      </c>
      <c r="AW1152" t="s">
        <v>53</v>
      </c>
      <c r="AX1152" t="s">
        <v>6509</v>
      </c>
      <c r="AZ1152" t="s">
        <v>54</v>
      </c>
      <c r="BA1152" t="s">
        <v>6512</v>
      </c>
    </row>
    <row r="1153" spans="1:53" x14ac:dyDescent="0.25">
      <c r="A1153">
        <v>1148</v>
      </c>
      <c r="B1153" t="s">
        <v>6519</v>
      </c>
      <c r="C1153" t="s">
        <v>6520</v>
      </c>
      <c r="D1153" t="s">
        <v>6515</v>
      </c>
      <c r="E1153">
        <v>7</v>
      </c>
      <c r="F1153" t="s">
        <v>6501</v>
      </c>
      <c r="G1153" t="s">
        <v>6521</v>
      </c>
      <c r="H1153" t="s">
        <v>6522</v>
      </c>
      <c r="I1153" t="s">
        <v>6523</v>
      </c>
      <c r="J1153" t="s">
        <v>6524</v>
      </c>
      <c r="K1153" t="s">
        <v>6525</v>
      </c>
      <c r="L1153" t="s">
        <v>6507</v>
      </c>
      <c r="M1153">
        <v>932.88201904296875</v>
      </c>
      <c r="N1153" t="s">
        <v>54</v>
      </c>
      <c r="O1153" t="s">
        <v>53</v>
      </c>
      <c r="P1153" t="s">
        <v>53</v>
      </c>
      <c r="Q1153" t="s">
        <v>53</v>
      </c>
      <c r="R1153" t="s">
        <v>53</v>
      </c>
      <c r="S1153" t="s">
        <v>6526</v>
      </c>
      <c r="T1153" t="s">
        <v>6526</v>
      </c>
      <c r="U1153" t="s">
        <v>53</v>
      </c>
      <c r="V1153" t="s">
        <v>138</v>
      </c>
      <c r="W1153">
        <v>500000</v>
      </c>
      <c r="X1153" t="s">
        <v>53</v>
      </c>
      <c r="Y1153" t="s">
        <v>6509</v>
      </c>
      <c r="Z1153">
        <v>0</v>
      </c>
      <c r="AA1153">
        <v>1145</v>
      </c>
      <c r="AB1153">
        <v>499</v>
      </c>
      <c r="AC1153">
        <v>1118</v>
      </c>
      <c r="AD1153">
        <v>1103</v>
      </c>
      <c r="AE1153">
        <v>1118</v>
      </c>
      <c r="AF1153">
        <v>2</v>
      </c>
      <c r="AG1153">
        <v>8</v>
      </c>
      <c r="AH1153">
        <v>189.04887390136719</v>
      </c>
      <c r="AI1153">
        <v>0</v>
      </c>
      <c r="AJ1153">
        <v>47148.859375</v>
      </c>
      <c r="AK1153" t="s">
        <v>54</v>
      </c>
      <c r="AL1153" t="s">
        <v>54</v>
      </c>
      <c r="AM1153" t="s">
        <v>5450</v>
      </c>
      <c r="AP1153" t="s">
        <v>6510</v>
      </c>
      <c r="AQ1153" t="s">
        <v>54</v>
      </c>
      <c r="AR1153" t="s">
        <v>5450</v>
      </c>
      <c r="AS1153" s="148">
        <v>42795</v>
      </c>
      <c r="AT1153" t="s">
        <v>6511</v>
      </c>
      <c r="AV1153" t="s">
        <v>6509</v>
      </c>
      <c r="AW1153" t="s">
        <v>53</v>
      </c>
      <c r="AX1153" t="s">
        <v>6509</v>
      </c>
      <c r="AZ1153" t="s">
        <v>54</v>
      </c>
      <c r="BA1153" t="s">
        <v>6512</v>
      </c>
    </row>
    <row r="1154" spans="1:53" x14ac:dyDescent="0.25">
      <c r="A1154">
        <v>1149</v>
      </c>
      <c r="B1154" t="s">
        <v>6527</v>
      </c>
      <c r="C1154" t="s">
        <v>6528</v>
      </c>
      <c r="D1154" t="s">
        <v>6500</v>
      </c>
      <c r="E1154">
        <v>7</v>
      </c>
      <c r="F1154" t="s">
        <v>6501</v>
      </c>
      <c r="G1154" t="s">
        <v>6529</v>
      </c>
      <c r="H1154" t="s">
        <v>6530</v>
      </c>
      <c r="I1154" t="s">
        <v>6531</v>
      </c>
      <c r="J1154" t="s">
        <v>6532</v>
      </c>
      <c r="K1154" t="s">
        <v>6533</v>
      </c>
      <c r="L1154" t="s">
        <v>6507</v>
      </c>
      <c r="M1154">
        <v>561.27685546875</v>
      </c>
      <c r="N1154" t="s">
        <v>54</v>
      </c>
      <c r="O1154" t="s">
        <v>53</v>
      </c>
      <c r="P1154" t="s">
        <v>53</v>
      </c>
      <c r="Q1154" t="s">
        <v>53</v>
      </c>
      <c r="R1154" t="s">
        <v>53</v>
      </c>
      <c r="S1154" t="s">
        <v>6534</v>
      </c>
      <c r="T1154" t="s">
        <v>6534</v>
      </c>
      <c r="U1154" t="s">
        <v>53</v>
      </c>
      <c r="V1154" t="s">
        <v>138</v>
      </c>
      <c r="W1154">
        <v>920000</v>
      </c>
      <c r="X1154" t="s">
        <v>53</v>
      </c>
      <c r="Y1154" t="s">
        <v>6509</v>
      </c>
      <c r="Z1154">
        <v>0</v>
      </c>
      <c r="AA1154">
        <v>657</v>
      </c>
      <c r="AB1154">
        <v>99</v>
      </c>
      <c r="AC1154">
        <v>510</v>
      </c>
      <c r="AD1154">
        <v>709</v>
      </c>
      <c r="AE1154">
        <v>709</v>
      </c>
      <c r="AF1154">
        <v>1</v>
      </c>
      <c r="AG1154">
        <v>2</v>
      </c>
      <c r="AH1154">
        <v>64.184860229492188</v>
      </c>
      <c r="AI1154">
        <v>0</v>
      </c>
      <c r="AJ1154">
        <v>28369.01171875</v>
      </c>
      <c r="AK1154" t="s">
        <v>54</v>
      </c>
      <c r="AL1154" t="s">
        <v>53</v>
      </c>
      <c r="AM1154" t="s">
        <v>6509</v>
      </c>
      <c r="AQ1154" t="s">
        <v>54</v>
      </c>
      <c r="AR1154" t="s">
        <v>6509</v>
      </c>
      <c r="AT1154" t="s">
        <v>6511</v>
      </c>
      <c r="AV1154" t="s">
        <v>6509</v>
      </c>
      <c r="AW1154" t="s">
        <v>53</v>
      </c>
      <c r="AX1154" t="s">
        <v>6509</v>
      </c>
      <c r="AZ1154" t="s">
        <v>54</v>
      </c>
      <c r="BA1154" t="s">
        <v>6512</v>
      </c>
    </row>
    <row r="1155" spans="1:53" x14ac:dyDescent="0.25">
      <c r="A1155">
        <v>1150</v>
      </c>
      <c r="B1155" t="s">
        <v>6535</v>
      </c>
      <c r="C1155" t="s">
        <v>6536</v>
      </c>
      <c r="D1155" t="s">
        <v>6515</v>
      </c>
      <c r="E1155">
        <v>7</v>
      </c>
      <c r="F1155" t="s">
        <v>6501</v>
      </c>
      <c r="G1155" t="s">
        <v>6529</v>
      </c>
      <c r="H1155" t="s">
        <v>6530</v>
      </c>
      <c r="I1155" t="s">
        <v>6531</v>
      </c>
      <c r="J1155" t="s">
        <v>6537</v>
      </c>
      <c r="K1155" t="s">
        <v>6533</v>
      </c>
      <c r="L1155" t="s">
        <v>6507</v>
      </c>
      <c r="M1155">
        <v>561.27685546875</v>
      </c>
      <c r="N1155" t="s">
        <v>54</v>
      </c>
      <c r="O1155" t="s">
        <v>53</v>
      </c>
      <c r="P1155" t="s">
        <v>53</v>
      </c>
      <c r="Q1155" t="s">
        <v>53</v>
      </c>
      <c r="R1155" t="s">
        <v>53</v>
      </c>
      <c r="S1155" t="s">
        <v>6534</v>
      </c>
      <c r="T1155" t="s">
        <v>6534</v>
      </c>
      <c r="U1155" t="s">
        <v>53</v>
      </c>
      <c r="V1155" t="s">
        <v>138</v>
      </c>
      <c r="W1155">
        <v>500000</v>
      </c>
      <c r="X1155" t="s">
        <v>53</v>
      </c>
      <c r="Y1155" t="s">
        <v>6509</v>
      </c>
      <c r="Z1155">
        <v>0</v>
      </c>
      <c r="AA1155">
        <v>657</v>
      </c>
      <c r="AB1155">
        <v>99</v>
      </c>
      <c r="AC1155">
        <v>510</v>
      </c>
      <c r="AD1155">
        <v>709</v>
      </c>
      <c r="AE1155">
        <v>709</v>
      </c>
      <c r="AF1155">
        <v>1</v>
      </c>
      <c r="AG1155">
        <v>2</v>
      </c>
      <c r="AH1155">
        <v>64.184860229492188</v>
      </c>
      <c r="AI1155">
        <v>0</v>
      </c>
      <c r="AJ1155">
        <v>28369.01171875</v>
      </c>
      <c r="AK1155" t="s">
        <v>54</v>
      </c>
      <c r="AL1155" t="s">
        <v>53</v>
      </c>
      <c r="AM1155" t="s">
        <v>6509</v>
      </c>
      <c r="AQ1155" t="s">
        <v>54</v>
      </c>
      <c r="AR1155" t="s">
        <v>6509</v>
      </c>
      <c r="AT1155" t="s">
        <v>6511</v>
      </c>
      <c r="AV1155" t="s">
        <v>6509</v>
      </c>
      <c r="AW1155" t="s">
        <v>53</v>
      </c>
      <c r="AX1155" t="s">
        <v>6509</v>
      </c>
      <c r="AZ1155" t="s">
        <v>54</v>
      </c>
      <c r="BA1155" t="s">
        <v>6512</v>
      </c>
    </row>
    <row r="1156" spans="1:53" x14ac:dyDescent="0.25">
      <c r="A1156">
        <v>1151</v>
      </c>
      <c r="B1156" t="s">
        <v>6538</v>
      </c>
      <c r="C1156" t="s">
        <v>6539</v>
      </c>
      <c r="D1156" t="s">
        <v>6518</v>
      </c>
      <c r="E1156">
        <v>7</v>
      </c>
      <c r="F1156" t="s">
        <v>6501</v>
      </c>
      <c r="G1156" t="s">
        <v>6529</v>
      </c>
      <c r="H1156" t="s">
        <v>6530</v>
      </c>
      <c r="I1156" t="s">
        <v>6531</v>
      </c>
      <c r="J1156" t="s">
        <v>6532</v>
      </c>
      <c r="K1156" t="s">
        <v>6533</v>
      </c>
      <c r="L1156" t="s">
        <v>6507</v>
      </c>
      <c r="M1156">
        <v>561.27685546875</v>
      </c>
      <c r="N1156" t="s">
        <v>54</v>
      </c>
      <c r="O1156" t="s">
        <v>53</v>
      </c>
      <c r="P1156" t="s">
        <v>53</v>
      </c>
      <c r="Q1156" t="s">
        <v>53</v>
      </c>
      <c r="R1156" t="s">
        <v>53</v>
      </c>
      <c r="S1156" t="s">
        <v>6534</v>
      </c>
      <c r="T1156" t="s">
        <v>6534</v>
      </c>
      <c r="U1156" t="s">
        <v>53</v>
      </c>
      <c r="V1156" t="s">
        <v>1973</v>
      </c>
      <c r="W1156">
        <v>100000</v>
      </c>
      <c r="X1156" t="s">
        <v>53</v>
      </c>
      <c r="Y1156" t="s">
        <v>6509</v>
      </c>
      <c r="Z1156">
        <v>0</v>
      </c>
      <c r="AA1156">
        <v>657</v>
      </c>
      <c r="AB1156">
        <v>99</v>
      </c>
      <c r="AC1156">
        <v>510</v>
      </c>
      <c r="AD1156">
        <v>709</v>
      </c>
      <c r="AE1156">
        <v>709</v>
      </c>
      <c r="AF1156">
        <v>1</v>
      </c>
      <c r="AG1156">
        <v>2</v>
      </c>
      <c r="AH1156">
        <v>64.184860229492188</v>
      </c>
      <c r="AI1156">
        <v>0</v>
      </c>
      <c r="AJ1156">
        <v>28369.01171875</v>
      </c>
      <c r="AK1156" t="s">
        <v>53</v>
      </c>
      <c r="AL1156" t="s">
        <v>53</v>
      </c>
      <c r="AM1156" t="s">
        <v>6509</v>
      </c>
      <c r="AQ1156" t="s">
        <v>54</v>
      </c>
      <c r="AR1156" t="s">
        <v>6509</v>
      </c>
      <c r="AT1156" t="s">
        <v>6511</v>
      </c>
      <c r="AV1156" t="s">
        <v>6509</v>
      </c>
      <c r="AW1156" t="s">
        <v>53</v>
      </c>
      <c r="AX1156" t="s">
        <v>6509</v>
      </c>
      <c r="AZ1156" t="s">
        <v>54</v>
      </c>
      <c r="BA1156" t="s">
        <v>6512</v>
      </c>
    </row>
    <row r="1157" spans="1:53" x14ac:dyDescent="0.25">
      <c r="A1157">
        <v>1152</v>
      </c>
      <c r="B1157" t="s">
        <v>6540</v>
      </c>
      <c r="C1157" t="s">
        <v>6541</v>
      </c>
      <c r="D1157" t="s">
        <v>6542</v>
      </c>
      <c r="E1157">
        <v>7</v>
      </c>
      <c r="F1157" t="s">
        <v>6501</v>
      </c>
      <c r="G1157" t="s">
        <v>6543</v>
      </c>
      <c r="H1157" t="s">
        <v>6522</v>
      </c>
      <c r="I1157" t="s">
        <v>6544</v>
      </c>
      <c r="J1157" t="s">
        <v>6545</v>
      </c>
      <c r="K1157" t="s">
        <v>6546</v>
      </c>
      <c r="L1157" t="s">
        <v>6507</v>
      </c>
      <c r="M1157">
        <v>899.753662109375</v>
      </c>
      <c r="N1157" t="s">
        <v>54</v>
      </c>
      <c r="O1157" t="s">
        <v>53</v>
      </c>
      <c r="P1157" t="s">
        <v>53</v>
      </c>
      <c r="Q1157" t="s">
        <v>53</v>
      </c>
      <c r="R1157" t="s">
        <v>53</v>
      </c>
      <c r="S1157" t="s">
        <v>6547</v>
      </c>
      <c r="T1157" t="s">
        <v>6547</v>
      </c>
      <c r="U1157" t="s">
        <v>53</v>
      </c>
      <c r="V1157" t="s">
        <v>138</v>
      </c>
      <c r="W1157">
        <v>859000</v>
      </c>
      <c r="X1157" t="s">
        <v>53</v>
      </c>
      <c r="Y1157" t="s">
        <v>6509</v>
      </c>
      <c r="Z1157">
        <v>0</v>
      </c>
      <c r="AA1157">
        <v>120</v>
      </c>
      <c r="AB1157">
        <v>24</v>
      </c>
      <c r="AC1157">
        <v>60</v>
      </c>
      <c r="AD1157">
        <v>89</v>
      </c>
      <c r="AE1157">
        <v>89</v>
      </c>
      <c r="AF1157">
        <v>0</v>
      </c>
      <c r="AG1157">
        <v>0</v>
      </c>
      <c r="AH1157">
        <v>89.146781921386719</v>
      </c>
      <c r="AI1157">
        <v>0</v>
      </c>
      <c r="AJ1157">
        <v>23747.181640625</v>
      </c>
      <c r="AK1157" t="s">
        <v>54</v>
      </c>
      <c r="AL1157" t="s">
        <v>54</v>
      </c>
      <c r="AM1157" t="s">
        <v>5450</v>
      </c>
      <c r="AP1157" t="s">
        <v>6510</v>
      </c>
      <c r="AQ1157" t="s">
        <v>54</v>
      </c>
      <c r="AR1157" t="s">
        <v>5450</v>
      </c>
      <c r="AS1157" s="148">
        <v>42795</v>
      </c>
      <c r="AT1157" t="s">
        <v>6511</v>
      </c>
      <c r="AV1157" t="s">
        <v>6509</v>
      </c>
      <c r="AW1157" t="s">
        <v>53</v>
      </c>
      <c r="AX1157" t="s">
        <v>6509</v>
      </c>
      <c r="AZ1157" t="s">
        <v>54</v>
      </c>
      <c r="BA1157" t="s">
        <v>6512</v>
      </c>
    </row>
    <row r="1158" spans="1:53" x14ac:dyDescent="0.25">
      <c r="A1158">
        <v>1153</v>
      </c>
      <c r="B1158" t="s">
        <v>6548</v>
      </c>
      <c r="C1158" t="s">
        <v>6549</v>
      </c>
      <c r="D1158" t="s">
        <v>6515</v>
      </c>
      <c r="E1158">
        <v>7</v>
      </c>
      <c r="F1158" t="s">
        <v>6501</v>
      </c>
      <c r="G1158" t="s">
        <v>6543</v>
      </c>
      <c r="H1158" t="s">
        <v>6522</v>
      </c>
      <c r="I1158" t="s">
        <v>6544</v>
      </c>
      <c r="J1158" t="s">
        <v>6550</v>
      </c>
      <c r="K1158" t="s">
        <v>6546</v>
      </c>
      <c r="L1158" t="s">
        <v>6507</v>
      </c>
      <c r="M1158">
        <v>899.753662109375</v>
      </c>
      <c r="N1158" t="s">
        <v>54</v>
      </c>
      <c r="O1158" t="s">
        <v>53</v>
      </c>
      <c r="P1158" t="s">
        <v>53</v>
      </c>
      <c r="Q1158" t="s">
        <v>53</v>
      </c>
      <c r="R1158" t="s">
        <v>53</v>
      </c>
      <c r="S1158" t="s">
        <v>6547</v>
      </c>
      <c r="T1158" t="s">
        <v>6547</v>
      </c>
      <c r="U1158" t="s">
        <v>53</v>
      </c>
      <c r="V1158" t="s">
        <v>138</v>
      </c>
      <c r="W1158">
        <v>500000</v>
      </c>
      <c r="X1158" t="s">
        <v>53</v>
      </c>
      <c r="Y1158" t="s">
        <v>6509</v>
      </c>
      <c r="Z1158">
        <v>0</v>
      </c>
      <c r="AA1158">
        <v>120</v>
      </c>
      <c r="AB1158">
        <v>24</v>
      </c>
      <c r="AC1158">
        <v>60</v>
      </c>
      <c r="AD1158">
        <v>89</v>
      </c>
      <c r="AE1158">
        <v>89</v>
      </c>
      <c r="AF1158">
        <v>0</v>
      </c>
      <c r="AG1158">
        <v>0</v>
      </c>
      <c r="AH1158">
        <v>89.146781921386719</v>
      </c>
      <c r="AI1158">
        <v>0</v>
      </c>
      <c r="AJ1158">
        <v>23747.181640625</v>
      </c>
      <c r="AK1158" t="s">
        <v>54</v>
      </c>
      <c r="AL1158" t="s">
        <v>54</v>
      </c>
      <c r="AM1158" t="s">
        <v>5450</v>
      </c>
      <c r="AP1158" t="s">
        <v>6510</v>
      </c>
      <c r="AQ1158" t="s">
        <v>54</v>
      </c>
      <c r="AR1158" t="s">
        <v>5450</v>
      </c>
      <c r="AS1158" s="148">
        <v>42795</v>
      </c>
      <c r="AT1158" t="s">
        <v>6511</v>
      </c>
      <c r="AV1158" t="s">
        <v>6509</v>
      </c>
      <c r="AW1158" t="s">
        <v>53</v>
      </c>
      <c r="AX1158" t="s">
        <v>6509</v>
      </c>
      <c r="AZ1158" t="s">
        <v>54</v>
      </c>
      <c r="BA1158" t="s">
        <v>6512</v>
      </c>
    </row>
    <row r="1159" spans="1:53" x14ac:dyDescent="0.25">
      <c r="A1159">
        <v>1154</v>
      </c>
      <c r="B1159" t="s">
        <v>6551</v>
      </c>
      <c r="C1159" t="s">
        <v>6552</v>
      </c>
      <c r="D1159" t="s">
        <v>6518</v>
      </c>
      <c r="E1159">
        <v>7</v>
      </c>
      <c r="F1159" t="s">
        <v>6501</v>
      </c>
      <c r="G1159" t="s">
        <v>6543</v>
      </c>
      <c r="H1159" t="s">
        <v>6522</v>
      </c>
      <c r="I1159" t="s">
        <v>6544</v>
      </c>
      <c r="J1159" t="s">
        <v>6545</v>
      </c>
      <c r="K1159" t="s">
        <v>6546</v>
      </c>
      <c r="L1159" t="s">
        <v>6507</v>
      </c>
      <c r="M1159">
        <v>899.753662109375</v>
      </c>
      <c r="N1159" t="s">
        <v>54</v>
      </c>
      <c r="O1159" t="s">
        <v>53</v>
      </c>
      <c r="P1159" t="s">
        <v>53</v>
      </c>
      <c r="Q1159" t="s">
        <v>53</v>
      </c>
      <c r="R1159" t="s">
        <v>53</v>
      </c>
      <c r="S1159" t="s">
        <v>6547</v>
      </c>
      <c r="T1159" t="s">
        <v>6547</v>
      </c>
      <c r="U1159" t="s">
        <v>53</v>
      </c>
      <c r="V1159" t="s">
        <v>1973</v>
      </c>
      <c r="W1159">
        <v>100000</v>
      </c>
      <c r="X1159" t="s">
        <v>53</v>
      </c>
      <c r="Y1159" t="s">
        <v>6509</v>
      </c>
      <c r="Z1159">
        <v>0</v>
      </c>
      <c r="AA1159">
        <v>120</v>
      </c>
      <c r="AB1159">
        <v>24</v>
      </c>
      <c r="AC1159">
        <v>60</v>
      </c>
      <c r="AD1159">
        <v>89</v>
      </c>
      <c r="AE1159">
        <v>89</v>
      </c>
      <c r="AF1159">
        <v>0</v>
      </c>
      <c r="AG1159">
        <v>0</v>
      </c>
      <c r="AH1159">
        <v>89.146781921386719</v>
      </c>
      <c r="AI1159">
        <v>0</v>
      </c>
      <c r="AJ1159">
        <v>23747.181640625</v>
      </c>
      <c r="AK1159" t="s">
        <v>53</v>
      </c>
      <c r="AL1159" t="s">
        <v>53</v>
      </c>
      <c r="AM1159" t="s">
        <v>6509</v>
      </c>
      <c r="AQ1159" t="s">
        <v>54</v>
      </c>
      <c r="AR1159" t="s">
        <v>6509</v>
      </c>
      <c r="AT1159" t="s">
        <v>6511</v>
      </c>
      <c r="AV1159" t="s">
        <v>6509</v>
      </c>
      <c r="AW1159" t="s">
        <v>53</v>
      </c>
      <c r="AX1159" t="s">
        <v>6509</v>
      </c>
      <c r="AZ1159" t="s">
        <v>54</v>
      </c>
      <c r="BA1159" t="s">
        <v>6512</v>
      </c>
    </row>
    <row r="1160" spans="1:53" x14ac:dyDescent="0.25">
      <c r="A1160">
        <v>1155</v>
      </c>
      <c r="B1160" t="s">
        <v>6553</v>
      </c>
      <c r="C1160" t="s">
        <v>6554</v>
      </c>
      <c r="D1160" t="s">
        <v>6542</v>
      </c>
      <c r="E1160">
        <v>7</v>
      </c>
      <c r="F1160" t="s">
        <v>6501</v>
      </c>
      <c r="G1160" t="s">
        <v>6555</v>
      </c>
      <c r="H1160" t="s">
        <v>6556</v>
      </c>
      <c r="I1160" t="s">
        <v>6557</v>
      </c>
      <c r="J1160" t="s">
        <v>6558</v>
      </c>
      <c r="K1160" t="s">
        <v>6559</v>
      </c>
      <c r="L1160" t="s">
        <v>6507</v>
      </c>
      <c r="M1160">
        <v>54.561721801757813</v>
      </c>
      <c r="N1160" t="s">
        <v>54</v>
      </c>
      <c r="O1160" t="s">
        <v>53</v>
      </c>
      <c r="P1160" t="s">
        <v>53</v>
      </c>
      <c r="Q1160" t="s">
        <v>54</v>
      </c>
      <c r="R1160" t="s">
        <v>53</v>
      </c>
      <c r="S1160" t="s">
        <v>6560</v>
      </c>
      <c r="T1160" t="s">
        <v>6560</v>
      </c>
      <c r="U1160" t="s">
        <v>53</v>
      </c>
      <c r="V1160" t="s">
        <v>138</v>
      </c>
      <c r="W1160">
        <v>882000</v>
      </c>
      <c r="X1160" t="s">
        <v>53</v>
      </c>
      <c r="Y1160" t="s">
        <v>6509</v>
      </c>
      <c r="Z1160">
        <v>0</v>
      </c>
      <c r="AA1160">
        <v>10</v>
      </c>
      <c r="AB1160">
        <v>0</v>
      </c>
      <c r="AC1160">
        <v>1</v>
      </c>
      <c r="AD1160">
        <v>0</v>
      </c>
      <c r="AE1160">
        <v>1</v>
      </c>
      <c r="AF1160">
        <v>0</v>
      </c>
      <c r="AG1160">
        <v>0</v>
      </c>
      <c r="AH1160">
        <v>4.8243813514709473</v>
      </c>
      <c r="AI1160">
        <v>0</v>
      </c>
      <c r="AJ1160">
        <v>1591.717895507812</v>
      </c>
      <c r="AK1160" t="s">
        <v>54</v>
      </c>
      <c r="AL1160" t="s">
        <v>53</v>
      </c>
      <c r="AM1160" t="s">
        <v>6509</v>
      </c>
      <c r="AQ1160" t="s">
        <v>54</v>
      </c>
      <c r="AR1160" t="s">
        <v>6509</v>
      </c>
      <c r="AT1160" t="s">
        <v>6511</v>
      </c>
      <c r="AV1160" t="s">
        <v>6509</v>
      </c>
      <c r="AW1160" t="s">
        <v>53</v>
      </c>
      <c r="AX1160" t="s">
        <v>6509</v>
      </c>
      <c r="AZ1160" t="s">
        <v>54</v>
      </c>
      <c r="BA1160" t="s">
        <v>6512</v>
      </c>
    </row>
    <row r="1161" spans="1:53" x14ac:dyDescent="0.25">
      <c r="A1161">
        <v>1156</v>
      </c>
      <c r="B1161" t="s">
        <v>6561</v>
      </c>
      <c r="C1161" t="s">
        <v>6562</v>
      </c>
      <c r="D1161" t="s">
        <v>6518</v>
      </c>
      <c r="E1161">
        <v>7</v>
      </c>
      <c r="F1161" t="s">
        <v>6501</v>
      </c>
      <c r="G1161" t="s">
        <v>6555</v>
      </c>
      <c r="H1161" t="s">
        <v>6556</v>
      </c>
      <c r="I1161" t="s">
        <v>6557</v>
      </c>
      <c r="J1161" t="s">
        <v>6563</v>
      </c>
      <c r="K1161" t="s">
        <v>6559</v>
      </c>
      <c r="L1161" t="s">
        <v>6507</v>
      </c>
      <c r="M1161">
        <v>54.561721801757813</v>
      </c>
      <c r="N1161" t="s">
        <v>54</v>
      </c>
      <c r="O1161" t="s">
        <v>53</v>
      </c>
      <c r="P1161" t="s">
        <v>53</v>
      </c>
      <c r="Q1161" t="s">
        <v>54</v>
      </c>
      <c r="R1161" t="s">
        <v>53</v>
      </c>
      <c r="S1161" t="s">
        <v>6560</v>
      </c>
      <c r="T1161" t="s">
        <v>6560</v>
      </c>
      <c r="U1161" t="s">
        <v>53</v>
      </c>
      <c r="V1161" t="s">
        <v>1973</v>
      </c>
      <c r="W1161">
        <v>100000</v>
      </c>
      <c r="X1161" t="s">
        <v>53</v>
      </c>
      <c r="Y1161" t="s">
        <v>6509</v>
      </c>
      <c r="Z1161">
        <v>0</v>
      </c>
      <c r="AA1161">
        <v>10</v>
      </c>
      <c r="AB1161">
        <v>0</v>
      </c>
      <c r="AC1161">
        <v>1</v>
      </c>
      <c r="AD1161">
        <v>0</v>
      </c>
      <c r="AE1161">
        <v>1</v>
      </c>
      <c r="AF1161">
        <v>0</v>
      </c>
      <c r="AG1161">
        <v>0</v>
      </c>
      <c r="AH1161">
        <v>4.8243813514709473</v>
      </c>
      <c r="AI1161">
        <v>0</v>
      </c>
      <c r="AJ1161">
        <v>1591.717895507812</v>
      </c>
      <c r="AK1161" t="s">
        <v>53</v>
      </c>
      <c r="AL1161" t="s">
        <v>53</v>
      </c>
      <c r="AM1161" t="s">
        <v>6509</v>
      </c>
      <c r="AQ1161" t="s">
        <v>54</v>
      </c>
      <c r="AR1161" t="s">
        <v>6509</v>
      </c>
      <c r="AT1161" t="s">
        <v>6511</v>
      </c>
      <c r="AV1161" t="s">
        <v>6509</v>
      </c>
      <c r="AW1161" t="s">
        <v>53</v>
      </c>
      <c r="AX1161" t="s">
        <v>6509</v>
      </c>
      <c r="AZ1161" t="s">
        <v>54</v>
      </c>
      <c r="BA1161" t="s">
        <v>6512</v>
      </c>
    </row>
    <row r="1162" spans="1:53" x14ac:dyDescent="0.25">
      <c r="A1162">
        <v>1157</v>
      </c>
      <c r="B1162" t="s">
        <v>6564</v>
      </c>
      <c r="C1162" t="s">
        <v>6565</v>
      </c>
      <c r="D1162" t="s">
        <v>6500</v>
      </c>
      <c r="E1162">
        <v>7</v>
      </c>
      <c r="F1162" t="s">
        <v>6501</v>
      </c>
      <c r="G1162" t="s">
        <v>6566</v>
      </c>
      <c r="H1162" t="s">
        <v>6567</v>
      </c>
      <c r="I1162" t="s">
        <v>6568</v>
      </c>
      <c r="J1162" t="s">
        <v>6569</v>
      </c>
      <c r="K1162" t="s">
        <v>6570</v>
      </c>
      <c r="L1162" t="s">
        <v>6507</v>
      </c>
      <c r="M1162">
        <v>392.98867797851563</v>
      </c>
      <c r="N1162" t="s">
        <v>54</v>
      </c>
      <c r="O1162" t="s">
        <v>53</v>
      </c>
      <c r="P1162" t="s">
        <v>53</v>
      </c>
      <c r="Q1162" t="s">
        <v>53</v>
      </c>
      <c r="R1162" t="s">
        <v>53</v>
      </c>
      <c r="S1162" t="s">
        <v>6571</v>
      </c>
      <c r="T1162" t="s">
        <v>6571</v>
      </c>
      <c r="U1162" t="s">
        <v>53</v>
      </c>
      <c r="V1162" t="s">
        <v>138</v>
      </c>
      <c r="W1162">
        <v>897000</v>
      </c>
      <c r="X1162" t="s">
        <v>53</v>
      </c>
      <c r="Y1162" t="s">
        <v>6509</v>
      </c>
      <c r="Z1162">
        <v>0</v>
      </c>
      <c r="AA1162">
        <v>13</v>
      </c>
      <c r="AB1162">
        <v>2</v>
      </c>
      <c r="AC1162">
        <v>7</v>
      </c>
      <c r="AD1162">
        <v>23</v>
      </c>
      <c r="AE1162">
        <v>23</v>
      </c>
      <c r="AF1162">
        <v>0</v>
      </c>
      <c r="AG1162">
        <v>6</v>
      </c>
      <c r="AH1162">
        <v>17.881149291992191</v>
      </c>
      <c r="AI1162">
        <v>0</v>
      </c>
      <c r="AJ1162">
        <v>6805.37255859375</v>
      </c>
      <c r="AK1162" t="s">
        <v>54</v>
      </c>
      <c r="AL1162" t="s">
        <v>54</v>
      </c>
      <c r="AM1162" t="s">
        <v>5450</v>
      </c>
      <c r="AP1162" t="s">
        <v>6510</v>
      </c>
      <c r="AQ1162" t="s">
        <v>54</v>
      </c>
      <c r="AR1162" t="s">
        <v>5450</v>
      </c>
      <c r="AS1162" s="148">
        <v>42795</v>
      </c>
      <c r="AT1162" t="s">
        <v>6511</v>
      </c>
      <c r="AV1162" t="s">
        <v>6509</v>
      </c>
      <c r="AW1162" t="s">
        <v>53</v>
      </c>
      <c r="AX1162" t="s">
        <v>6509</v>
      </c>
      <c r="AZ1162" t="s">
        <v>54</v>
      </c>
      <c r="BA1162" t="s">
        <v>6512</v>
      </c>
    </row>
    <row r="1163" spans="1:53" x14ac:dyDescent="0.25">
      <c r="A1163">
        <v>1158</v>
      </c>
      <c r="B1163" t="s">
        <v>6572</v>
      </c>
      <c r="C1163" t="s">
        <v>6573</v>
      </c>
      <c r="D1163" t="s">
        <v>6515</v>
      </c>
      <c r="E1163">
        <v>7</v>
      </c>
      <c r="F1163" t="s">
        <v>6501</v>
      </c>
      <c r="G1163" t="s">
        <v>6566</v>
      </c>
      <c r="H1163" t="s">
        <v>6567</v>
      </c>
      <c r="I1163" t="s">
        <v>6568</v>
      </c>
      <c r="J1163" t="s">
        <v>6574</v>
      </c>
      <c r="K1163" t="s">
        <v>6570</v>
      </c>
      <c r="L1163" t="s">
        <v>6507</v>
      </c>
      <c r="M1163">
        <v>392.98867797851563</v>
      </c>
      <c r="N1163" t="s">
        <v>54</v>
      </c>
      <c r="O1163" t="s">
        <v>53</v>
      </c>
      <c r="P1163" t="s">
        <v>53</v>
      </c>
      <c r="Q1163" t="s">
        <v>53</v>
      </c>
      <c r="R1163" t="s">
        <v>53</v>
      </c>
      <c r="S1163" t="s">
        <v>6571</v>
      </c>
      <c r="T1163" t="s">
        <v>6571</v>
      </c>
      <c r="U1163" t="s">
        <v>53</v>
      </c>
      <c r="V1163" t="s">
        <v>138</v>
      </c>
      <c r="W1163">
        <v>500000</v>
      </c>
      <c r="X1163" t="s">
        <v>53</v>
      </c>
      <c r="Y1163" t="s">
        <v>6509</v>
      </c>
      <c r="Z1163">
        <v>0</v>
      </c>
      <c r="AA1163">
        <v>13</v>
      </c>
      <c r="AB1163">
        <v>2</v>
      </c>
      <c r="AC1163">
        <v>7</v>
      </c>
      <c r="AD1163">
        <v>23</v>
      </c>
      <c r="AE1163">
        <v>23</v>
      </c>
      <c r="AF1163">
        <v>0</v>
      </c>
      <c r="AG1163">
        <v>6</v>
      </c>
      <c r="AH1163">
        <v>17.881149291992191</v>
      </c>
      <c r="AI1163">
        <v>0</v>
      </c>
      <c r="AJ1163">
        <v>6805.37255859375</v>
      </c>
      <c r="AK1163" t="s">
        <v>54</v>
      </c>
      <c r="AL1163" t="s">
        <v>54</v>
      </c>
      <c r="AM1163" t="s">
        <v>5450</v>
      </c>
      <c r="AP1163" t="s">
        <v>6510</v>
      </c>
      <c r="AQ1163" t="s">
        <v>54</v>
      </c>
      <c r="AR1163" t="s">
        <v>5450</v>
      </c>
      <c r="AS1163" s="148">
        <v>42795</v>
      </c>
      <c r="AT1163" t="s">
        <v>6511</v>
      </c>
      <c r="AV1163" t="s">
        <v>6509</v>
      </c>
      <c r="AW1163" t="s">
        <v>53</v>
      </c>
      <c r="AX1163" t="s">
        <v>6509</v>
      </c>
      <c r="AZ1163" t="s">
        <v>54</v>
      </c>
      <c r="BA1163" t="s">
        <v>6512</v>
      </c>
    </row>
    <row r="1164" spans="1:53" x14ac:dyDescent="0.25">
      <c r="A1164">
        <v>1159</v>
      </c>
      <c r="B1164" t="s">
        <v>6575</v>
      </c>
      <c r="C1164" t="s">
        <v>6576</v>
      </c>
      <c r="D1164" t="s">
        <v>6518</v>
      </c>
      <c r="E1164">
        <v>7</v>
      </c>
      <c r="F1164" t="s">
        <v>6501</v>
      </c>
      <c r="G1164" t="s">
        <v>6566</v>
      </c>
      <c r="H1164" t="s">
        <v>6567</v>
      </c>
      <c r="I1164" t="s">
        <v>6568</v>
      </c>
      <c r="J1164" t="s">
        <v>6569</v>
      </c>
      <c r="K1164" t="s">
        <v>6570</v>
      </c>
      <c r="L1164" t="s">
        <v>6507</v>
      </c>
      <c r="M1164">
        <v>392.98867797851563</v>
      </c>
      <c r="N1164" t="s">
        <v>54</v>
      </c>
      <c r="O1164" t="s">
        <v>53</v>
      </c>
      <c r="P1164" t="s">
        <v>53</v>
      </c>
      <c r="Q1164" t="s">
        <v>53</v>
      </c>
      <c r="R1164" t="s">
        <v>53</v>
      </c>
      <c r="S1164" t="s">
        <v>6571</v>
      </c>
      <c r="T1164" t="s">
        <v>6571</v>
      </c>
      <c r="U1164" t="s">
        <v>53</v>
      </c>
      <c r="V1164" t="s">
        <v>1973</v>
      </c>
      <c r="W1164">
        <v>100000</v>
      </c>
      <c r="X1164" t="s">
        <v>53</v>
      </c>
      <c r="Y1164" t="s">
        <v>6509</v>
      </c>
      <c r="Z1164">
        <v>0</v>
      </c>
      <c r="AA1164">
        <v>13</v>
      </c>
      <c r="AB1164">
        <v>2</v>
      </c>
      <c r="AC1164">
        <v>7</v>
      </c>
      <c r="AD1164">
        <v>23</v>
      </c>
      <c r="AE1164">
        <v>23</v>
      </c>
      <c r="AF1164">
        <v>0</v>
      </c>
      <c r="AG1164">
        <v>6</v>
      </c>
      <c r="AH1164">
        <v>17.881149291992191</v>
      </c>
      <c r="AI1164">
        <v>0</v>
      </c>
      <c r="AJ1164">
        <v>6805.37255859375</v>
      </c>
      <c r="AK1164" t="s">
        <v>53</v>
      </c>
      <c r="AL1164" t="s">
        <v>53</v>
      </c>
      <c r="AM1164" t="s">
        <v>6509</v>
      </c>
      <c r="AQ1164" t="s">
        <v>54</v>
      </c>
      <c r="AR1164" t="s">
        <v>6509</v>
      </c>
      <c r="AT1164" t="s">
        <v>6511</v>
      </c>
      <c r="AV1164" t="s">
        <v>6509</v>
      </c>
      <c r="AW1164" t="s">
        <v>53</v>
      </c>
      <c r="AX1164" t="s">
        <v>6509</v>
      </c>
      <c r="AZ1164" t="s">
        <v>54</v>
      </c>
      <c r="BA1164" t="s">
        <v>6512</v>
      </c>
    </row>
    <row r="1165" spans="1:53" x14ac:dyDescent="0.25">
      <c r="A1165">
        <v>1160</v>
      </c>
      <c r="B1165" t="s">
        <v>6577</v>
      </c>
      <c r="C1165" t="s">
        <v>6578</v>
      </c>
      <c r="D1165" t="s">
        <v>6518</v>
      </c>
      <c r="E1165">
        <v>7</v>
      </c>
      <c r="F1165" t="s">
        <v>6501</v>
      </c>
      <c r="G1165" t="s">
        <v>6579</v>
      </c>
      <c r="H1165" t="s">
        <v>6580</v>
      </c>
      <c r="I1165" t="s">
        <v>6581</v>
      </c>
      <c r="J1165" t="s">
        <v>6582</v>
      </c>
      <c r="K1165" t="s">
        <v>6583</v>
      </c>
      <c r="L1165" t="s">
        <v>6507</v>
      </c>
      <c r="M1165">
        <v>3.961138010025024</v>
      </c>
      <c r="N1165" t="s">
        <v>53</v>
      </c>
      <c r="O1165" t="s">
        <v>53</v>
      </c>
      <c r="P1165" t="s">
        <v>53</v>
      </c>
      <c r="Q1165" t="s">
        <v>54</v>
      </c>
      <c r="R1165" t="s">
        <v>53</v>
      </c>
      <c r="S1165" t="s">
        <v>6584</v>
      </c>
      <c r="T1165" t="s">
        <v>6584</v>
      </c>
      <c r="U1165" t="s">
        <v>53</v>
      </c>
      <c r="V1165" t="s">
        <v>1973</v>
      </c>
      <c r="W1165">
        <v>100000</v>
      </c>
      <c r="X1165" t="s">
        <v>53</v>
      </c>
      <c r="Y1165" t="s">
        <v>6509</v>
      </c>
      <c r="Z1165">
        <v>0</v>
      </c>
      <c r="AA1165">
        <v>0</v>
      </c>
      <c r="AB1165">
        <v>0</v>
      </c>
      <c r="AC1165">
        <v>0</v>
      </c>
      <c r="AD1165">
        <v>0</v>
      </c>
      <c r="AE1165">
        <v>0</v>
      </c>
      <c r="AF1165">
        <v>0</v>
      </c>
      <c r="AG1165">
        <v>0</v>
      </c>
      <c r="AH1165">
        <v>2.9531834125518799</v>
      </c>
      <c r="AI1165">
        <v>0</v>
      </c>
      <c r="AJ1165">
        <v>158.498046875</v>
      </c>
      <c r="AK1165" t="s">
        <v>53</v>
      </c>
      <c r="AL1165" t="s">
        <v>53</v>
      </c>
      <c r="AM1165" t="s">
        <v>6509</v>
      </c>
      <c r="AQ1165" t="s">
        <v>54</v>
      </c>
      <c r="AR1165" t="s">
        <v>6509</v>
      </c>
      <c r="AT1165" t="s">
        <v>6511</v>
      </c>
      <c r="AV1165" t="s">
        <v>6509</v>
      </c>
      <c r="AW1165" t="s">
        <v>53</v>
      </c>
      <c r="AX1165" t="s">
        <v>6509</v>
      </c>
      <c r="AZ1165" t="s">
        <v>54</v>
      </c>
      <c r="BA1165" t="s">
        <v>6512</v>
      </c>
    </row>
    <row r="1166" spans="1:53" x14ac:dyDescent="0.25">
      <c r="A1166">
        <v>1161</v>
      </c>
      <c r="B1166" t="s">
        <v>6585</v>
      </c>
      <c r="C1166" t="s">
        <v>6586</v>
      </c>
      <c r="D1166" t="s">
        <v>6542</v>
      </c>
      <c r="E1166">
        <v>7</v>
      </c>
      <c r="F1166" t="s">
        <v>6501</v>
      </c>
      <c r="G1166" t="s">
        <v>6587</v>
      </c>
      <c r="H1166" t="s">
        <v>6588</v>
      </c>
      <c r="I1166" t="s">
        <v>6589</v>
      </c>
      <c r="J1166" t="s">
        <v>6590</v>
      </c>
      <c r="K1166" t="s">
        <v>6591</v>
      </c>
      <c r="L1166" t="s">
        <v>6507</v>
      </c>
      <c r="M1166">
        <v>433.07949829101563</v>
      </c>
      <c r="N1166" t="s">
        <v>54</v>
      </c>
      <c r="O1166" t="s">
        <v>53</v>
      </c>
      <c r="P1166" t="s">
        <v>53</v>
      </c>
      <c r="Q1166" t="s">
        <v>53</v>
      </c>
      <c r="R1166" t="s">
        <v>53</v>
      </c>
      <c r="S1166" t="s">
        <v>6592</v>
      </c>
      <c r="T1166" t="s">
        <v>6592</v>
      </c>
      <c r="U1166" t="s">
        <v>53</v>
      </c>
      <c r="V1166" t="s">
        <v>138</v>
      </c>
      <c r="W1166">
        <v>895000</v>
      </c>
      <c r="X1166" t="s">
        <v>53</v>
      </c>
      <c r="Y1166" t="s">
        <v>6509</v>
      </c>
      <c r="Z1166">
        <v>0</v>
      </c>
      <c r="AA1166">
        <v>81</v>
      </c>
      <c r="AB1166">
        <v>21</v>
      </c>
      <c r="AC1166">
        <v>54</v>
      </c>
      <c r="AD1166">
        <v>86</v>
      </c>
      <c r="AE1166">
        <v>86</v>
      </c>
      <c r="AF1166">
        <v>0</v>
      </c>
      <c r="AG1166">
        <v>12</v>
      </c>
      <c r="AH1166">
        <v>56.145484924316413</v>
      </c>
      <c r="AI1166">
        <v>0</v>
      </c>
      <c r="AJ1166">
        <v>3073.50634765625</v>
      </c>
      <c r="AK1166" t="s">
        <v>54</v>
      </c>
      <c r="AL1166" t="s">
        <v>54</v>
      </c>
      <c r="AM1166" t="s">
        <v>5450</v>
      </c>
      <c r="AP1166" t="s">
        <v>6510</v>
      </c>
      <c r="AQ1166" t="s">
        <v>54</v>
      </c>
      <c r="AR1166" t="s">
        <v>5450</v>
      </c>
      <c r="AS1166" s="148">
        <v>42795</v>
      </c>
      <c r="AT1166" t="s">
        <v>6511</v>
      </c>
      <c r="AV1166" t="s">
        <v>6509</v>
      </c>
      <c r="AW1166" t="s">
        <v>53</v>
      </c>
      <c r="AX1166" t="s">
        <v>6509</v>
      </c>
      <c r="AZ1166" t="s">
        <v>54</v>
      </c>
      <c r="BA1166" t="s">
        <v>6512</v>
      </c>
    </row>
    <row r="1167" spans="1:53" x14ac:dyDescent="0.25">
      <c r="A1167">
        <v>1162</v>
      </c>
      <c r="B1167" t="s">
        <v>6593</v>
      </c>
      <c r="C1167" t="s">
        <v>6594</v>
      </c>
      <c r="D1167" t="s">
        <v>6515</v>
      </c>
      <c r="E1167">
        <v>7</v>
      </c>
      <c r="F1167" t="s">
        <v>6501</v>
      </c>
      <c r="G1167" t="s">
        <v>6587</v>
      </c>
      <c r="H1167" t="s">
        <v>6588</v>
      </c>
      <c r="I1167" t="s">
        <v>6589</v>
      </c>
      <c r="J1167" t="s">
        <v>6595</v>
      </c>
      <c r="K1167" t="s">
        <v>6591</v>
      </c>
      <c r="L1167" t="s">
        <v>6507</v>
      </c>
      <c r="M1167">
        <v>433.07949829101563</v>
      </c>
      <c r="N1167" t="s">
        <v>54</v>
      </c>
      <c r="O1167" t="s">
        <v>53</v>
      </c>
      <c r="P1167" t="s">
        <v>53</v>
      </c>
      <c r="Q1167" t="s">
        <v>53</v>
      </c>
      <c r="R1167" t="s">
        <v>53</v>
      </c>
      <c r="S1167" t="s">
        <v>6592</v>
      </c>
      <c r="T1167" t="s">
        <v>6592</v>
      </c>
      <c r="U1167" t="s">
        <v>53</v>
      </c>
      <c r="V1167" t="s">
        <v>138</v>
      </c>
      <c r="W1167">
        <v>500000</v>
      </c>
      <c r="X1167" t="s">
        <v>53</v>
      </c>
      <c r="Y1167" t="s">
        <v>6509</v>
      </c>
      <c r="Z1167">
        <v>0</v>
      </c>
      <c r="AA1167">
        <v>81</v>
      </c>
      <c r="AB1167">
        <v>21</v>
      </c>
      <c r="AC1167">
        <v>54</v>
      </c>
      <c r="AD1167">
        <v>86</v>
      </c>
      <c r="AE1167">
        <v>86</v>
      </c>
      <c r="AF1167">
        <v>0</v>
      </c>
      <c r="AG1167">
        <v>12</v>
      </c>
      <c r="AH1167">
        <v>56.145484924316413</v>
      </c>
      <c r="AI1167">
        <v>0</v>
      </c>
      <c r="AJ1167">
        <v>3073.50634765625</v>
      </c>
      <c r="AK1167" t="s">
        <v>54</v>
      </c>
      <c r="AL1167" t="s">
        <v>54</v>
      </c>
      <c r="AM1167" t="s">
        <v>5450</v>
      </c>
      <c r="AP1167" t="s">
        <v>6510</v>
      </c>
      <c r="AQ1167" t="s">
        <v>54</v>
      </c>
      <c r="AR1167" t="s">
        <v>5450</v>
      </c>
      <c r="AS1167" s="148">
        <v>42795</v>
      </c>
      <c r="AT1167" t="s">
        <v>6511</v>
      </c>
      <c r="AV1167" t="s">
        <v>6509</v>
      </c>
      <c r="AW1167" t="s">
        <v>53</v>
      </c>
      <c r="AX1167" t="s">
        <v>6509</v>
      </c>
      <c r="AZ1167" t="s">
        <v>54</v>
      </c>
      <c r="BA1167" t="s">
        <v>6512</v>
      </c>
    </row>
    <row r="1168" spans="1:53" x14ac:dyDescent="0.25">
      <c r="A1168">
        <v>1163</v>
      </c>
      <c r="B1168" t="s">
        <v>6596</v>
      </c>
      <c r="C1168" t="s">
        <v>6597</v>
      </c>
      <c r="D1168" t="s">
        <v>6518</v>
      </c>
      <c r="E1168">
        <v>7</v>
      </c>
      <c r="F1168" t="s">
        <v>6501</v>
      </c>
      <c r="G1168" t="s">
        <v>6587</v>
      </c>
      <c r="H1168" t="s">
        <v>6588</v>
      </c>
      <c r="I1168" t="s">
        <v>6589</v>
      </c>
      <c r="J1168" t="s">
        <v>6590</v>
      </c>
      <c r="K1168" t="s">
        <v>6591</v>
      </c>
      <c r="L1168" t="s">
        <v>6507</v>
      </c>
      <c r="M1168">
        <v>433.07949829101563</v>
      </c>
      <c r="N1168" t="s">
        <v>54</v>
      </c>
      <c r="O1168" t="s">
        <v>53</v>
      </c>
      <c r="P1168" t="s">
        <v>53</v>
      </c>
      <c r="Q1168" t="s">
        <v>53</v>
      </c>
      <c r="R1168" t="s">
        <v>53</v>
      </c>
      <c r="S1168" t="s">
        <v>6592</v>
      </c>
      <c r="T1168" t="s">
        <v>6592</v>
      </c>
      <c r="U1168" t="s">
        <v>53</v>
      </c>
      <c r="V1168" t="s">
        <v>1973</v>
      </c>
      <c r="W1168">
        <v>100000</v>
      </c>
      <c r="X1168" t="s">
        <v>53</v>
      </c>
      <c r="Y1168" t="s">
        <v>6509</v>
      </c>
      <c r="Z1168">
        <v>0</v>
      </c>
      <c r="AA1168">
        <v>81</v>
      </c>
      <c r="AB1168">
        <v>21</v>
      </c>
      <c r="AC1168">
        <v>54</v>
      </c>
      <c r="AD1168">
        <v>86</v>
      </c>
      <c r="AE1168">
        <v>86</v>
      </c>
      <c r="AF1168">
        <v>0</v>
      </c>
      <c r="AG1168">
        <v>12</v>
      </c>
      <c r="AH1168">
        <v>56.145484924316413</v>
      </c>
      <c r="AI1168">
        <v>0</v>
      </c>
      <c r="AJ1168">
        <v>3073.50634765625</v>
      </c>
      <c r="AK1168" t="s">
        <v>53</v>
      </c>
      <c r="AL1168" t="s">
        <v>53</v>
      </c>
      <c r="AM1168" t="s">
        <v>6509</v>
      </c>
      <c r="AQ1168" t="s">
        <v>54</v>
      </c>
      <c r="AR1168" t="s">
        <v>6509</v>
      </c>
      <c r="AT1168" t="s">
        <v>6511</v>
      </c>
      <c r="AV1168" t="s">
        <v>6509</v>
      </c>
      <c r="AW1168" t="s">
        <v>53</v>
      </c>
      <c r="AX1168" t="s">
        <v>6509</v>
      </c>
      <c r="AZ1168" t="s">
        <v>54</v>
      </c>
      <c r="BA1168" t="s">
        <v>6512</v>
      </c>
    </row>
    <row r="1169" spans="1:53" x14ac:dyDescent="0.25">
      <c r="A1169">
        <v>1164</v>
      </c>
      <c r="B1169" t="s">
        <v>6598</v>
      </c>
      <c r="C1169" t="s">
        <v>6599</v>
      </c>
      <c r="D1169" t="s">
        <v>6500</v>
      </c>
      <c r="E1169">
        <v>7</v>
      </c>
      <c r="F1169" t="s">
        <v>6501</v>
      </c>
      <c r="G1169" t="s">
        <v>6600</v>
      </c>
      <c r="H1169" t="s">
        <v>6601</v>
      </c>
      <c r="I1169" t="s">
        <v>6602</v>
      </c>
      <c r="J1169" t="s">
        <v>6603</v>
      </c>
      <c r="K1169" t="s">
        <v>6604</v>
      </c>
      <c r="L1169" t="s">
        <v>6507</v>
      </c>
      <c r="M1169">
        <v>125.24267578125</v>
      </c>
      <c r="N1169" t="s">
        <v>54</v>
      </c>
      <c r="O1169" t="s">
        <v>53</v>
      </c>
      <c r="P1169" t="s">
        <v>53</v>
      </c>
      <c r="Q1169" t="s">
        <v>53</v>
      </c>
      <c r="R1169" t="s">
        <v>53</v>
      </c>
      <c r="S1169" t="s">
        <v>6605</v>
      </c>
      <c r="T1169" t="s">
        <v>6605</v>
      </c>
      <c r="U1169" t="s">
        <v>53</v>
      </c>
      <c r="V1169" t="s">
        <v>138</v>
      </c>
      <c r="W1169">
        <v>327000</v>
      </c>
      <c r="X1169" t="s">
        <v>53</v>
      </c>
      <c r="Y1169" t="s">
        <v>6509</v>
      </c>
      <c r="Z1169">
        <v>0</v>
      </c>
      <c r="AA1169">
        <v>116</v>
      </c>
      <c r="AB1169">
        <v>13</v>
      </c>
      <c r="AC1169">
        <v>135</v>
      </c>
      <c r="AD1169">
        <v>38</v>
      </c>
      <c r="AE1169">
        <v>135</v>
      </c>
      <c r="AF1169">
        <v>0</v>
      </c>
      <c r="AG1169">
        <v>2</v>
      </c>
      <c r="AH1169">
        <v>11.72664737701416</v>
      </c>
      <c r="AI1169">
        <v>0</v>
      </c>
      <c r="AJ1169">
        <v>325.32382202148438</v>
      </c>
      <c r="AK1169" t="s">
        <v>54</v>
      </c>
      <c r="AL1169" t="s">
        <v>53</v>
      </c>
      <c r="AM1169" t="s">
        <v>6509</v>
      </c>
      <c r="AQ1169" t="s">
        <v>54</v>
      </c>
      <c r="AR1169" t="s">
        <v>6509</v>
      </c>
      <c r="AT1169" t="s">
        <v>6511</v>
      </c>
      <c r="AV1169" t="s">
        <v>6509</v>
      </c>
      <c r="AW1169" t="s">
        <v>53</v>
      </c>
      <c r="AX1169" t="s">
        <v>6509</v>
      </c>
      <c r="AZ1169" t="s">
        <v>54</v>
      </c>
      <c r="BA1169" t="s">
        <v>6512</v>
      </c>
    </row>
    <row r="1170" spans="1:53" x14ac:dyDescent="0.25">
      <c r="A1170">
        <v>1165</v>
      </c>
      <c r="B1170" t="s">
        <v>6606</v>
      </c>
      <c r="C1170" t="s">
        <v>6607</v>
      </c>
      <c r="D1170" t="s">
        <v>6518</v>
      </c>
      <c r="E1170">
        <v>7</v>
      </c>
      <c r="F1170" t="s">
        <v>6501</v>
      </c>
      <c r="G1170" t="s">
        <v>6600</v>
      </c>
      <c r="H1170" t="s">
        <v>6601</v>
      </c>
      <c r="I1170" t="s">
        <v>6602</v>
      </c>
      <c r="J1170" t="s">
        <v>6608</v>
      </c>
      <c r="K1170" t="s">
        <v>6604</v>
      </c>
      <c r="L1170" t="s">
        <v>6507</v>
      </c>
      <c r="M1170">
        <v>125.24267578125</v>
      </c>
      <c r="N1170" t="s">
        <v>54</v>
      </c>
      <c r="O1170" t="s">
        <v>53</v>
      </c>
      <c r="P1170" t="s">
        <v>53</v>
      </c>
      <c r="Q1170" t="s">
        <v>53</v>
      </c>
      <c r="R1170" t="s">
        <v>53</v>
      </c>
      <c r="S1170" t="s">
        <v>6605</v>
      </c>
      <c r="T1170" t="s">
        <v>6605</v>
      </c>
      <c r="U1170" t="s">
        <v>53</v>
      </c>
      <c r="V1170" t="s">
        <v>1973</v>
      </c>
      <c r="W1170">
        <v>100000</v>
      </c>
      <c r="X1170" t="s">
        <v>53</v>
      </c>
      <c r="Y1170" t="s">
        <v>6509</v>
      </c>
      <c r="Z1170">
        <v>0</v>
      </c>
      <c r="AA1170">
        <v>116</v>
      </c>
      <c r="AB1170">
        <v>13</v>
      </c>
      <c r="AC1170">
        <v>135</v>
      </c>
      <c r="AD1170">
        <v>38</v>
      </c>
      <c r="AE1170">
        <v>135</v>
      </c>
      <c r="AF1170">
        <v>0</v>
      </c>
      <c r="AG1170">
        <v>2</v>
      </c>
      <c r="AH1170">
        <v>11.72664737701416</v>
      </c>
      <c r="AI1170">
        <v>0</v>
      </c>
      <c r="AJ1170">
        <v>325.32382202148438</v>
      </c>
      <c r="AK1170" t="s">
        <v>53</v>
      </c>
      <c r="AL1170" t="s">
        <v>53</v>
      </c>
      <c r="AM1170" t="s">
        <v>6509</v>
      </c>
      <c r="AQ1170" t="s">
        <v>54</v>
      </c>
      <c r="AR1170" t="s">
        <v>6509</v>
      </c>
      <c r="AT1170" t="s">
        <v>6511</v>
      </c>
      <c r="AV1170" t="s">
        <v>6509</v>
      </c>
      <c r="AW1170" t="s">
        <v>53</v>
      </c>
      <c r="AX1170" t="s">
        <v>6509</v>
      </c>
      <c r="AZ1170" t="s">
        <v>54</v>
      </c>
      <c r="BA1170" t="s">
        <v>6512</v>
      </c>
    </row>
    <row r="1171" spans="1:53" x14ac:dyDescent="0.25">
      <c r="A1171">
        <v>1166</v>
      </c>
      <c r="B1171" t="s">
        <v>6609</v>
      </c>
      <c r="C1171" t="s">
        <v>6610</v>
      </c>
      <c r="D1171" t="s">
        <v>6515</v>
      </c>
      <c r="E1171">
        <v>7</v>
      </c>
      <c r="F1171" t="s">
        <v>6501</v>
      </c>
      <c r="G1171" t="s">
        <v>6611</v>
      </c>
      <c r="H1171" t="s">
        <v>6612</v>
      </c>
      <c r="I1171" t="s">
        <v>6613</v>
      </c>
      <c r="J1171" t="s">
        <v>6614</v>
      </c>
      <c r="K1171" t="s">
        <v>6615</v>
      </c>
      <c r="L1171" t="s">
        <v>6507</v>
      </c>
      <c r="M1171">
        <v>611.5341796875</v>
      </c>
      <c r="N1171" t="s">
        <v>54</v>
      </c>
      <c r="O1171" t="s">
        <v>53</v>
      </c>
      <c r="P1171" t="s">
        <v>53</v>
      </c>
      <c r="Q1171" t="s">
        <v>53</v>
      </c>
      <c r="R1171" t="s">
        <v>53</v>
      </c>
      <c r="S1171" t="s">
        <v>6616</v>
      </c>
      <c r="T1171" t="s">
        <v>6616</v>
      </c>
      <c r="U1171" t="s">
        <v>53</v>
      </c>
      <c r="V1171" t="s">
        <v>138</v>
      </c>
      <c r="W1171">
        <v>500000</v>
      </c>
      <c r="X1171" t="s">
        <v>53</v>
      </c>
      <c r="Y1171" t="s">
        <v>6509</v>
      </c>
      <c r="Z1171">
        <v>0</v>
      </c>
      <c r="AA1171">
        <v>11167</v>
      </c>
      <c r="AB1171">
        <v>9822</v>
      </c>
      <c r="AC1171">
        <v>24575</v>
      </c>
      <c r="AD1171">
        <v>25896</v>
      </c>
      <c r="AE1171">
        <v>25896</v>
      </c>
      <c r="AF1171">
        <v>11</v>
      </c>
      <c r="AG1171">
        <v>72</v>
      </c>
      <c r="AH1171">
        <v>244.58934020996091</v>
      </c>
      <c r="AI1171">
        <v>0</v>
      </c>
      <c r="AJ1171">
        <v>7516.33935546875</v>
      </c>
      <c r="AK1171" t="s">
        <v>54</v>
      </c>
      <c r="AL1171" t="s">
        <v>54</v>
      </c>
      <c r="AM1171" t="s">
        <v>5450</v>
      </c>
      <c r="AP1171" t="s">
        <v>6510</v>
      </c>
      <c r="AQ1171" t="s">
        <v>54</v>
      </c>
      <c r="AR1171" t="s">
        <v>5450</v>
      </c>
      <c r="AS1171" s="148">
        <v>42795</v>
      </c>
      <c r="AT1171" t="s">
        <v>6511</v>
      </c>
      <c r="AV1171" t="s">
        <v>6509</v>
      </c>
      <c r="AW1171" t="s">
        <v>53</v>
      </c>
      <c r="AX1171" t="s">
        <v>6509</v>
      </c>
      <c r="AZ1171" t="s">
        <v>54</v>
      </c>
      <c r="BA1171" t="s">
        <v>6512</v>
      </c>
    </row>
    <row r="1172" spans="1:53" x14ac:dyDescent="0.25">
      <c r="A1172">
        <v>1167</v>
      </c>
      <c r="B1172" t="s">
        <v>6617</v>
      </c>
      <c r="C1172" t="s">
        <v>6618</v>
      </c>
      <c r="D1172" t="s">
        <v>6518</v>
      </c>
      <c r="E1172">
        <v>7</v>
      </c>
      <c r="F1172" t="s">
        <v>6501</v>
      </c>
      <c r="G1172" t="s">
        <v>6611</v>
      </c>
      <c r="H1172" t="s">
        <v>6612</v>
      </c>
      <c r="I1172" t="s">
        <v>6613</v>
      </c>
      <c r="J1172" t="s">
        <v>6614</v>
      </c>
      <c r="K1172" t="s">
        <v>6615</v>
      </c>
      <c r="L1172" t="s">
        <v>6507</v>
      </c>
      <c r="M1172">
        <v>611.5341796875</v>
      </c>
      <c r="N1172" t="s">
        <v>54</v>
      </c>
      <c r="O1172" t="s">
        <v>53</v>
      </c>
      <c r="P1172" t="s">
        <v>53</v>
      </c>
      <c r="Q1172" t="s">
        <v>53</v>
      </c>
      <c r="R1172" t="s">
        <v>53</v>
      </c>
      <c r="S1172" t="s">
        <v>6616</v>
      </c>
      <c r="T1172" t="s">
        <v>6616</v>
      </c>
      <c r="U1172" t="s">
        <v>53</v>
      </c>
      <c r="V1172" t="s">
        <v>1973</v>
      </c>
      <c r="W1172">
        <v>100000</v>
      </c>
      <c r="X1172" t="s">
        <v>53</v>
      </c>
      <c r="Y1172" t="s">
        <v>6509</v>
      </c>
      <c r="Z1172">
        <v>0</v>
      </c>
      <c r="AA1172">
        <v>11167</v>
      </c>
      <c r="AB1172">
        <v>9822</v>
      </c>
      <c r="AC1172">
        <v>24575</v>
      </c>
      <c r="AD1172">
        <v>25896</v>
      </c>
      <c r="AE1172">
        <v>25896</v>
      </c>
      <c r="AF1172">
        <v>11</v>
      </c>
      <c r="AG1172">
        <v>72</v>
      </c>
      <c r="AH1172">
        <v>244.58934020996091</v>
      </c>
      <c r="AI1172">
        <v>0</v>
      </c>
      <c r="AJ1172">
        <v>7516.33935546875</v>
      </c>
      <c r="AK1172" t="s">
        <v>53</v>
      </c>
      <c r="AL1172" t="s">
        <v>53</v>
      </c>
      <c r="AM1172" t="s">
        <v>6509</v>
      </c>
      <c r="AQ1172" t="s">
        <v>54</v>
      </c>
      <c r="AR1172" t="s">
        <v>6509</v>
      </c>
      <c r="AT1172" t="s">
        <v>6511</v>
      </c>
      <c r="AV1172" t="s">
        <v>6509</v>
      </c>
      <c r="AW1172" t="s">
        <v>53</v>
      </c>
      <c r="AX1172" t="s">
        <v>6509</v>
      </c>
      <c r="AZ1172" t="s">
        <v>54</v>
      </c>
      <c r="BA1172" t="s">
        <v>6512</v>
      </c>
    </row>
    <row r="1173" spans="1:53" x14ac:dyDescent="0.25">
      <c r="A1173">
        <v>1168</v>
      </c>
      <c r="B1173" t="s">
        <v>6619</v>
      </c>
      <c r="C1173" t="s">
        <v>6620</v>
      </c>
      <c r="D1173" t="s">
        <v>6500</v>
      </c>
      <c r="E1173">
        <v>7</v>
      </c>
      <c r="F1173" t="s">
        <v>6501</v>
      </c>
      <c r="G1173" t="s">
        <v>6621</v>
      </c>
      <c r="H1173" t="s">
        <v>6622</v>
      </c>
      <c r="I1173" t="s">
        <v>6623</v>
      </c>
      <c r="J1173" t="s">
        <v>6624</v>
      </c>
      <c r="K1173" t="s">
        <v>6625</v>
      </c>
      <c r="L1173" t="s">
        <v>6507</v>
      </c>
      <c r="M1173">
        <v>460.86416625976563</v>
      </c>
      <c r="N1173" t="s">
        <v>54</v>
      </c>
      <c r="O1173" t="s">
        <v>53</v>
      </c>
      <c r="P1173" t="s">
        <v>53</v>
      </c>
      <c r="Q1173" t="s">
        <v>53</v>
      </c>
      <c r="R1173" t="s">
        <v>53</v>
      </c>
      <c r="S1173" t="s">
        <v>6626</v>
      </c>
      <c r="T1173" t="s">
        <v>6626</v>
      </c>
      <c r="U1173" t="s">
        <v>53</v>
      </c>
      <c r="V1173" t="s">
        <v>138</v>
      </c>
      <c r="W1173">
        <v>920000</v>
      </c>
      <c r="X1173" t="s">
        <v>53</v>
      </c>
      <c r="Y1173" t="s">
        <v>6509</v>
      </c>
      <c r="Z1173">
        <v>0</v>
      </c>
      <c r="AA1173">
        <v>264</v>
      </c>
      <c r="AB1173">
        <v>172</v>
      </c>
      <c r="AC1173">
        <v>248</v>
      </c>
      <c r="AD1173">
        <v>412</v>
      </c>
      <c r="AE1173">
        <v>412</v>
      </c>
      <c r="AF1173">
        <v>1</v>
      </c>
      <c r="AG1173">
        <v>21</v>
      </c>
      <c r="AH1173">
        <v>40.971420288085938</v>
      </c>
      <c r="AI1173">
        <v>0</v>
      </c>
      <c r="AJ1173">
        <v>9929.294921875</v>
      </c>
      <c r="AK1173" t="s">
        <v>54</v>
      </c>
      <c r="AL1173" t="s">
        <v>54</v>
      </c>
      <c r="AM1173" t="s">
        <v>5450</v>
      </c>
      <c r="AP1173" t="s">
        <v>6510</v>
      </c>
      <c r="AQ1173" t="s">
        <v>54</v>
      </c>
      <c r="AR1173" t="s">
        <v>5450</v>
      </c>
      <c r="AS1173" s="148">
        <v>42795</v>
      </c>
      <c r="AT1173" t="s">
        <v>6511</v>
      </c>
      <c r="AV1173" t="s">
        <v>6509</v>
      </c>
      <c r="AW1173" t="s">
        <v>53</v>
      </c>
      <c r="AX1173" t="s">
        <v>6509</v>
      </c>
      <c r="AZ1173" t="s">
        <v>54</v>
      </c>
      <c r="BA1173" t="s">
        <v>6512</v>
      </c>
    </row>
    <row r="1174" spans="1:53" x14ac:dyDescent="0.25">
      <c r="A1174">
        <v>1169</v>
      </c>
      <c r="B1174" t="s">
        <v>6627</v>
      </c>
      <c r="C1174" t="s">
        <v>6628</v>
      </c>
      <c r="D1174" t="s">
        <v>6515</v>
      </c>
      <c r="E1174">
        <v>7</v>
      </c>
      <c r="F1174" t="s">
        <v>6501</v>
      </c>
      <c r="G1174" t="s">
        <v>6621</v>
      </c>
      <c r="H1174" t="s">
        <v>6622</v>
      </c>
      <c r="I1174" t="s">
        <v>6623</v>
      </c>
      <c r="J1174" t="s">
        <v>6624</v>
      </c>
      <c r="K1174" t="s">
        <v>6625</v>
      </c>
      <c r="L1174" t="s">
        <v>6507</v>
      </c>
      <c r="M1174">
        <v>460.86416625976563</v>
      </c>
      <c r="N1174" t="s">
        <v>54</v>
      </c>
      <c r="O1174" t="s">
        <v>53</v>
      </c>
      <c r="P1174" t="s">
        <v>53</v>
      </c>
      <c r="Q1174" t="s">
        <v>53</v>
      </c>
      <c r="R1174" t="s">
        <v>53</v>
      </c>
      <c r="S1174" t="s">
        <v>6626</v>
      </c>
      <c r="T1174" t="s">
        <v>6626</v>
      </c>
      <c r="U1174" t="s">
        <v>53</v>
      </c>
      <c r="V1174" t="s">
        <v>138</v>
      </c>
      <c r="W1174">
        <v>500000</v>
      </c>
      <c r="X1174" t="s">
        <v>53</v>
      </c>
      <c r="Y1174" t="s">
        <v>6509</v>
      </c>
      <c r="Z1174">
        <v>0</v>
      </c>
      <c r="AA1174">
        <v>264</v>
      </c>
      <c r="AB1174">
        <v>172</v>
      </c>
      <c r="AC1174">
        <v>248</v>
      </c>
      <c r="AD1174">
        <v>412</v>
      </c>
      <c r="AE1174">
        <v>412</v>
      </c>
      <c r="AF1174">
        <v>1</v>
      </c>
      <c r="AG1174">
        <v>21</v>
      </c>
      <c r="AH1174">
        <v>40.971420288085938</v>
      </c>
      <c r="AI1174">
        <v>0</v>
      </c>
      <c r="AJ1174">
        <v>9929.294921875</v>
      </c>
      <c r="AK1174" t="s">
        <v>54</v>
      </c>
      <c r="AL1174" t="s">
        <v>54</v>
      </c>
      <c r="AM1174" t="s">
        <v>5450</v>
      </c>
      <c r="AP1174" t="s">
        <v>6510</v>
      </c>
      <c r="AQ1174" t="s">
        <v>54</v>
      </c>
      <c r="AR1174" t="s">
        <v>5450</v>
      </c>
      <c r="AS1174" s="148">
        <v>42795</v>
      </c>
      <c r="AT1174" t="s">
        <v>6511</v>
      </c>
      <c r="AV1174" t="s">
        <v>6509</v>
      </c>
      <c r="AW1174" t="s">
        <v>53</v>
      </c>
      <c r="AX1174" t="s">
        <v>6509</v>
      </c>
      <c r="AZ1174" t="s">
        <v>54</v>
      </c>
      <c r="BA1174" t="s">
        <v>6512</v>
      </c>
    </row>
    <row r="1175" spans="1:53" x14ac:dyDescent="0.25">
      <c r="A1175">
        <v>1170</v>
      </c>
      <c r="B1175" t="s">
        <v>6629</v>
      </c>
      <c r="C1175" t="s">
        <v>6630</v>
      </c>
      <c r="D1175" t="s">
        <v>6518</v>
      </c>
      <c r="E1175">
        <v>7</v>
      </c>
      <c r="F1175" t="s">
        <v>6501</v>
      </c>
      <c r="G1175" t="s">
        <v>6621</v>
      </c>
      <c r="H1175" t="s">
        <v>6622</v>
      </c>
      <c r="I1175" t="s">
        <v>6623</v>
      </c>
      <c r="J1175" t="s">
        <v>6624</v>
      </c>
      <c r="K1175" t="s">
        <v>6625</v>
      </c>
      <c r="L1175" t="s">
        <v>6507</v>
      </c>
      <c r="M1175">
        <v>460.86416625976563</v>
      </c>
      <c r="N1175" t="s">
        <v>54</v>
      </c>
      <c r="O1175" t="s">
        <v>53</v>
      </c>
      <c r="P1175" t="s">
        <v>53</v>
      </c>
      <c r="Q1175" t="s">
        <v>53</v>
      </c>
      <c r="R1175" t="s">
        <v>53</v>
      </c>
      <c r="S1175" t="s">
        <v>6626</v>
      </c>
      <c r="T1175" t="s">
        <v>6626</v>
      </c>
      <c r="U1175" t="s">
        <v>53</v>
      </c>
      <c r="V1175" t="s">
        <v>1973</v>
      </c>
      <c r="W1175">
        <v>100000</v>
      </c>
      <c r="X1175" t="s">
        <v>53</v>
      </c>
      <c r="Y1175" t="s">
        <v>6509</v>
      </c>
      <c r="Z1175">
        <v>0</v>
      </c>
      <c r="AA1175">
        <v>264</v>
      </c>
      <c r="AB1175">
        <v>172</v>
      </c>
      <c r="AC1175">
        <v>248</v>
      </c>
      <c r="AD1175">
        <v>412</v>
      </c>
      <c r="AE1175">
        <v>412</v>
      </c>
      <c r="AF1175">
        <v>1</v>
      </c>
      <c r="AG1175">
        <v>21</v>
      </c>
      <c r="AH1175">
        <v>40.971420288085938</v>
      </c>
      <c r="AI1175">
        <v>0</v>
      </c>
      <c r="AJ1175">
        <v>9929.294921875</v>
      </c>
      <c r="AK1175" t="s">
        <v>53</v>
      </c>
      <c r="AL1175" t="s">
        <v>53</v>
      </c>
      <c r="AM1175" t="s">
        <v>6509</v>
      </c>
      <c r="AQ1175" t="s">
        <v>54</v>
      </c>
      <c r="AR1175" t="s">
        <v>6509</v>
      </c>
      <c r="AT1175" t="s">
        <v>6511</v>
      </c>
      <c r="AV1175" t="s">
        <v>6509</v>
      </c>
      <c r="AW1175" t="s">
        <v>53</v>
      </c>
      <c r="AX1175" t="s">
        <v>6509</v>
      </c>
      <c r="AZ1175" t="s">
        <v>54</v>
      </c>
      <c r="BA1175" t="s">
        <v>6512</v>
      </c>
    </row>
    <row r="1176" spans="1:53" x14ac:dyDescent="0.25">
      <c r="A1176">
        <v>1171</v>
      </c>
      <c r="B1176" t="s">
        <v>6631</v>
      </c>
      <c r="C1176" t="s">
        <v>6632</v>
      </c>
      <c r="D1176" t="s">
        <v>6515</v>
      </c>
      <c r="E1176">
        <v>7</v>
      </c>
      <c r="F1176" t="s">
        <v>6501</v>
      </c>
      <c r="G1176" t="s">
        <v>6633</v>
      </c>
      <c r="H1176" t="s">
        <v>6634</v>
      </c>
      <c r="I1176" t="s">
        <v>6635</v>
      </c>
      <c r="J1176" t="s">
        <v>6636</v>
      </c>
      <c r="K1176" t="s">
        <v>6637</v>
      </c>
      <c r="L1176" t="s">
        <v>6507</v>
      </c>
      <c r="M1176">
        <v>8.183192253112793</v>
      </c>
      <c r="N1176" t="s">
        <v>54</v>
      </c>
      <c r="O1176" t="s">
        <v>53</v>
      </c>
      <c r="P1176" t="s">
        <v>53</v>
      </c>
      <c r="Q1176" t="s">
        <v>53</v>
      </c>
      <c r="R1176" t="s">
        <v>53</v>
      </c>
      <c r="S1176" t="s">
        <v>6638</v>
      </c>
      <c r="T1176" t="s">
        <v>6638</v>
      </c>
      <c r="U1176" t="s">
        <v>53</v>
      </c>
      <c r="V1176" t="s">
        <v>138</v>
      </c>
      <c r="W1176">
        <v>500000</v>
      </c>
      <c r="X1176" t="s">
        <v>53</v>
      </c>
      <c r="Y1176" t="s">
        <v>6509</v>
      </c>
      <c r="Z1176">
        <v>0</v>
      </c>
      <c r="AA1176">
        <v>1</v>
      </c>
      <c r="AB1176">
        <v>1</v>
      </c>
      <c r="AC1176">
        <v>0</v>
      </c>
      <c r="AD1176">
        <v>0</v>
      </c>
      <c r="AE1176">
        <v>0</v>
      </c>
      <c r="AF1176">
        <v>0</v>
      </c>
      <c r="AG1176">
        <v>0</v>
      </c>
      <c r="AH1176">
        <v>1.6472316980361941</v>
      </c>
      <c r="AI1176">
        <v>0</v>
      </c>
      <c r="AJ1176">
        <v>257.33038330078119</v>
      </c>
      <c r="AK1176" t="s">
        <v>54</v>
      </c>
      <c r="AL1176" t="s">
        <v>54</v>
      </c>
      <c r="AM1176" t="s">
        <v>5450</v>
      </c>
      <c r="AP1176" t="s">
        <v>6510</v>
      </c>
      <c r="AQ1176" t="s">
        <v>54</v>
      </c>
      <c r="AR1176" t="s">
        <v>5450</v>
      </c>
      <c r="AS1176" s="148">
        <v>42795</v>
      </c>
      <c r="AT1176" t="s">
        <v>6511</v>
      </c>
      <c r="AV1176" t="s">
        <v>6509</v>
      </c>
      <c r="AW1176" t="s">
        <v>53</v>
      </c>
      <c r="AX1176" t="s">
        <v>6509</v>
      </c>
      <c r="AZ1176" t="s">
        <v>54</v>
      </c>
      <c r="BA1176" t="s">
        <v>6512</v>
      </c>
    </row>
    <row r="1177" spans="1:53" x14ac:dyDescent="0.25">
      <c r="A1177">
        <v>1172</v>
      </c>
      <c r="B1177" t="s">
        <v>6639</v>
      </c>
      <c r="C1177" t="s">
        <v>6640</v>
      </c>
      <c r="D1177" t="s">
        <v>6518</v>
      </c>
      <c r="E1177">
        <v>7</v>
      </c>
      <c r="F1177" t="s">
        <v>6501</v>
      </c>
      <c r="G1177" t="s">
        <v>6633</v>
      </c>
      <c r="H1177" t="s">
        <v>6634</v>
      </c>
      <c r="I1177" t="s">
        <v>6635</v>
      </c>
      <c r="J1177" t="s">
        <v>6636</v>
      </c>
      <c r="K1177" t="s">
        <v>6637</v>
      </c>
      <c r="L1177" t="s">
        <v>6507</v>
      </c>
      <c r="M1177">
        <v>8.183192253112793</v>
      </c>
      <c r="N1177" t="s">
        <v>54</v>
      </c>
      <c r="O1177" t="s">
        <v>53</v>
      </c>
      <c r="P1177" t="s">
        <v>53</v>
      </c>
      <c r="Q1177" t="s">
        <v>53</v>
      </c>
      <c r="R1177" t="s">
        <v>53</v>
      </c>
      <c r="S1177" t="s">
        <v>6638</v>
      </c>
      <c r="T1177" t="s">
        <v>6638</v>
      </c>
      <c r="U1177" t="s">
        <v>53</v>
      </c>
      <c r="V1177" t="s">
        <v>1973</v>
      </c>
      <c r="W1177">
        <v>100000</v>
      </c>
      <c r="X1177" t="s">
        <v>53</v>
      </c>
      <c r="Y1177" t="s">
        <v>6509</v>
      </c>
      <c r="Z1177">
        <v>0</v>
      </c>
      <c r="AA1177">
        <v>1</v>
      </c>
      <c r="AB1177">
        <v>1</v>
      </c>
      <c r="AC1177">
        <v>0</v>
      </c>
      <c r="AD1177">
        <v>0</v>
      </c>
      <c r="AE1177">
        <v>0</v>
      </c>
      <c r="AF1177">
        <v>0</v>
      </c>
      <c r="AG1177">
        <v>0</v>
      </c>
      <c r="AH1177">
        <v>1.6472316980361941</v>
      </c>
      <c r="AI1177">
        <v>0</v>
      </c>
      <c r="AJ1177">
        <v>257.33038330078119</v>
      </c>
      <c r="AK1177" t="s">
        <v>53</v>
      </c>
      <c r="AL1177" t="s">
        <v>53</v>
      </c>
      <c r="AM1177" t="s">
        <v>6509</v>
      </c>
      <c r="AQ1177" t="s">
        <v>54</v>
      </c>
      <c r="AR1177" t="s">
        <v>6509</v>
      </c>
      <c r="AT1177" t="s">
        <v>6511</v>
      </c>
      <c r="AV1177" t="s">
        <v>6509</v>
      </c>
      <c r="AW1177" t="s">
        <v>53</v>
      </c>
      <c r="AX1177" t="s">
        <v>6509</v>
      </c>
      <c r="AZ1177" t="s">
        <v>54</v>
      </c>
      <c r="BA1177" t="s">
        <v>6512</v>
      </c>
    </row>
    <row r="1178" spans="1:53" x14ac:dyDescent="0.25">
      <c r="A1178">
        <v>1173</v>
      </c>
      <c r="B1178" t="s">
        <v>6641</v>
      </c>
      <c r="C1178" t="s">
        <v>6642</v>
      </c>
      <c r="D1178" t="s">
        <v>6542</v>
      </c>
      <c r="E1178">
        <v>7</v>
      </c>
      <c r="F1178" t="s">
        <v>6501</v>
      </c>
      <c r="G1178" t="s">
        <v>6643</v>
      </c>
      <c r="H1178" t="s">
        <v>6644</v>
      </c>
      <c r="I1178" t="s">
        <v>6645</v>
      </c>
      <c r="J1178" t="s">
        <v>6646</v>
      </c>
      <c r="K1178" t="s">
        <v>6647</v>
      </c>
      <c r="L1178" t="s">
        <v>6507</v>
      </c>
      <c r="M1178">
        <v>924.743408203125</v>
      </c>
      <c r="N1178" t="s">
        <v>54</v>
      </c>
      <c r="O1178" t="s">
        <v>53</v>
      </c>
      <c r="P1178" t="s">
        <v>53</v>
      </c>
      <c r="Q1178" t="s">
        <v>53</v>
      </c>
      <c r="R1178" t="s">
        <v>53</v>
      </c>
      <c r="S1178" t="s">
        <v>6648</v>
      </c>
      <c r="T1178" t="s">
        <v>6648</v>
      </c>
      <c r="U1178" t="s">
        <v>53</v>
      </c>
      <c r="V1178" t="s">
        <v>138</v>
      </c>
      <c r="W1178">
        <v>893000</v>
      </c>
      <c r="X1178" t="s">
        <v>53</v>
      </c>
      <c r="Y1178" t="s">
        <v>6509</v>
      </c>
      <c r="Z1178">
        <v>0</v>
      </c>
      <c r="AA1178">
        <v>67</v>
      </c>
      <c r="AB1178">
        <v>11</v>
      </c>
      <c r="AC1178">
        <v>12</v>
      </c>
      <c r="AD1178">
        <v>12</v>
      </c>
      <c r="AE1178">
        <v>12</v>
      </c>
      <c r="AF1178">
        <v>0</v>
      </c>
      <c r="AG1178">
        <v>6</v>
      </c>
      <c r="AH1178">
        <v>49.345817565917969</v>
      </c>
      <c r="AI1178">
        <v>0</v>
      </c>
      <c r="AJ1178">
        <v>6456.623046875</v>
      </c>
      <c r="AK1178" t="s">
        <v>54</v>
      </c>
      <c r="AL1178" t="s">
        <v>53</v>
      </c>
      <c r="AM1178" t="s">
        <v>6509</v>
      </c>
      <c r="AQ1178" t="s">
        <v>54</v>
      </c>
      <c r="AR1178" t="s">
        <v>6509</v>
      </c>
      <c r="AT1178" t="s">
        <v>6511</v>
      </c>
      <c r="AV1178" t="s">
        <v>6509</v>
      </c>
      <c r="AW1178" t="s">
        <v>53</v>
      </c>
      <c r="AX1178" t="s">
        <v>6509</v>
      </c>
      <c r="AZ1178" t="s">
        <v>54</v>
      </c>
      <c r="BA1178" t="s">
        <v>6512</v>
      </c>
    </row>
    <row r="1179" spans="1:53" x14ac:dyDescent="0.25">
      <c r="A1179">
        <v>1174</v>
      </c>
      <c r="B1179" t="s">
        <v>6649</v>
      </c>
      <c r="C1179" t="s">
        <v>6650</v>
      </c>
      <c r="D1179" t="s">
        <v>6515</v>
      </c>
      <c r="E1179">
        <v>7</v>
      </c>
      <c r="F1179" t="s">
        <v>6501</v>
      </c>
      <c r="G1179" t="s">
        <v>6643</v>
      </c>
      <c r="H1179" t="s">
        <v>6644</v>
      </c>
      <c r="I1179" t="s">
        <v>6645</v>
      </c>
      <c r="J1179" t="s">
        <v>6646</v>
      </c>
      <c r="K1179" t="s">
        <v>6647</v>
      </c>
      <c r="L1179" t="s">
        <v>6507</v>
      </c>
      <c r="M1179">
        <v>924.743408203125</v>
      </c>
      <c r="N1179" t="s">
        <v>54</v>
      </c>
      <c r="O1179" t="s">
        <v>53</v>
      </c>
      <c r="P1179" t="s">
        <v>53</v>
      </c>
      <c r="Q1179" t="s">
        <v>53</v>
      </c>
      <c r="R1179" t="s">
        <v>53</v>
      </c>
      <c r="S1179" t="s">
        <v>6648</v>
      </c>
      <c r="T1179" t="s">
        <v>6648</v>
      </c>
      <c r="U1179" t="s">
        <v>53</v>
      </c>
      <c r="V1179" t="s">
        <v>138</v>
      </c>
      <c r="W1179">
        <v>500000</v>
      </c>
      <c r="X1179" t="s">
        <v>53</v>
      </c>
      <c r="Y1179" t="s">
        <v>6509</v>
      </c>
      <c r="Z1179">
        <v>0</v>
      </c>
      <c r="AA1179">
        <v>67</v>
      </c>
      <c r="AB1179">
        <v>11</v>
      </c>
      <c r="AC1179">
        <v>12</v>
      </c>
      <c r="AD1179">
        <v>12</v>
      </c>
      <c r="AE1179">
        <v>12</v>
      </c>
      <c r="AF1179">
        <v>0</v>
      </c>
      <c r="AG1179">
        <v>6</v>
      </c>
      <c r="AH1179">
        <v>49.345817565917969</v>
      </c>
      <c r="AI1179">
        <v>0</v>
      </c>
      <c r="AJ1179">
        <v>6456.623046875</v>
      </c>
      <c r="AK1179" t="s">
        <v>54</v>
      </c>
      <c r="AL1179" t="s">
        <v>53</v>
      </c>
      <c r="AM1179" t="s">
        <v>6509</v>
      </c>
      <c r="AQ1179" t="s">
        <v>54</v>
      </c>
      <c r="AR1179" t="s">
        <v>6509</v>
      </c>
      <c r="AT1179" t="s">
        <v>6511</v>
      </c>
      <c r="AV1179" t="s">
        <v>6509</v>
      </c>
      <c r="AW1179" t="s">
        <v>53</v>
      </c>
      <c r="AX1179" t="s">
        <v>6509</v>
      </c>
      <c r="AZ1179" t="s">
        <v>54</v>
      </c>
      <c r="BA1179" t="s">
        <v>6512</v>
      </c>
    </row>
    <row r="1180" spans="1:53" x14ac:dyDescent="0.25">
      <c r="A1180">
        <v>1175</v>
      </c>
      <c r="B1180" t="s">
        <v>6651</v>
      </c>
      <c r="C1180" t="s">
        <v>6652</v>
      </c>
      <c r="D1180" t="s">
        <v>6518</v>
      </c>
      <c r="E1180">
        <v>7</v>
      </c>
      <c r="F1180" t="s">
        <v>6501</v>
      </c>
      <c r="G1180" t="s">
        <v>6643</v>
      </c>
      <c r="H1180" t="s">
        <v>6644</v>
      </c>
      <c r="I1180" t="s">
        <v>6645</v>
      </c>
      <c r="J1180" t="s">
        <v>6646</v>
      </c>
      <c r="K1180" t="s">
        <v>6647</v>
      </c>
      <c r="L1180" t="s">
        <v>6507</v>
      </c>
      <c r="M1180">
        <v>924.743408203125</v>
      </c>
      <c r="N1180" t="s">
        <v>54</v>
      </c>
      <c r="O1180" t="s">
        <v>53</v>
      </c>
      <c r="P1180" t="s">
        <v>53</v>
      </c>
      <c r="Q1180" t="s">
        <v>53</v>
      </c>
      <c r="R1180" t="s">
        <v>53</v>
      </c>
      <c r="S1180" t="s">
        <v>6648</v>
      </c>
      <c r="T1180" t="s">
        <v>6648</v>
      </c>
      <c r="U1180" t="s">
        <v>53</v>
      </c>
      <c r="V1180" t="s">
        <v>1973</v>
      </c>
      <c r="W1180">
        <v>100000</v>
      </c>
      <c r="X1180" t="s">
        <v>53</v>
      </c>
      <c r="Y1180" t="s">
        <v>6509</v>
      </c>
      <c r="Z1180">
        <v>0</v>
      </c>
      <c r="AA1180">
        <v>67</v>
      </c>
      <c r="AB1180">
        <v>11</v>
      </c>
      <c r="AC1180">
        <v>12</v>
      </c>
      <c r="AD1180">
        <v>12</v>
      </c>
      <c r="AE1180">
        <v>12</v>
      </c>
      <c r="AF1180">
        <v>0</v>
      </c>
      <c r="AG1180">
        <v>6</v>
      </c>
      <c r="AH1180">
        <v>49.345817565917969</v>
      </c>
      <c r="AI1180">
        <v>0</v>
      </c>
      <c r="AJ1180">
        <v>6456.623046875</v>
      </c>
      <c r="AK1180" t="s">
        <v>53</v>
      </c>
      <c r="AL1180" t="s">
        <v>53</v>
      </c>
      <c r="AM1180" t="s">
        <v>6509</v>
      </c>
      <c r="AQ1180" t="s">
        <v>54</v>
      </c>
      <c r="AR1180" t="s">
        <v>6509</v>
      </c>
      <c r="AT1180" t="s">
        <v>6511</v>
      </c>
      <c r="AV1180" t="s">
        <v>6509</v>
      </c>
      <c r="AW1180" t="s">
        <v>53</v>
      </c>
      <c r="AX1180" t="s">
        <v>6509</v>
      </c>
      <c r="AZ1180" t="s">
        <v>54</v>
      </c>
      <c r="BA1180" t="s">
        <v>6512</v>
      </c>
    </row>
    <row r="1181" spans="1:53" x14ac:dyDescent="0.25">
      <c r="A1181">
        <v>1176</v>
      </c>
      <c r="B1181" t="s">
        <v>6653</v>
      </c>
      <c r="C1181" t="s">
        <v>6654</v>
      </c>
      <c r="D1181" t="s">
        <v>6500</v>
      </c>
      <c r="E1181">
        <v>7</v>
      </c>
      <c r="F1181" t="s">
        <v>6501</v>
      </c>
      <c r="G1181" t="s">
        <v>6655</v>
      </c>
      <c r="H1181" t="s">
        <v>6656</v>
      </c>
      <c r="I1181" t="s">
        <v>6657</v>
      </c>
      <c r="J1181" t="s">
        <v>6658</v>
      </c>
      <c r="K1181" t="s">
        <v>6659</v>
      </c>
      <c r="L1181" t="s">
        <v>6507</v>
      </c>
      <c r="M1181">
        <v>907.40069580078125</v>
      </c>
      <c r="N1181" t="s">
        <v>54</v>
      </c>
      <c r="O1181" t="s">
        <v>53</v>
      </c>
      <c r="P1181" t="s">
        <v>53</v>
      </c>
      <c r="Q1181" t="s">
        <v>53</v>
      </c>
      <c r="R1181" t="s">
        <v>53</v>
      </c>
      <c r="S1181" t="s">
        <v>6660</v>
      </c>
      <c r="T1181" t="s">
        <v>6660</v>
      </c>
      <c r="U1181" t="s">
        <v>53</v>
      </c>
      <c r="V1181" t="s">
        <v>138</v>
      </c>
      <c r="W1181">
        <v>1024000</v>
      </c>
      <c r="X1181" t="s">
        <v>53</v>
      </c>
      <c r="Y1181" t="s">
        <v>6509</v>
      </c>
      <c r="Z1181">
        <v>0</v>
      </c>
      <c r="AA1181">
        <v>788</v>
      </c>
      <c r="AB1181">
        <v>294</v>
      </c>
      <c r="AC1181">
        <v>608</v>
      </c>
      <c r="AD1181">
        <v>708</v>
      </c>
      <c r="AE1181">
        <v>708</v>
      </c>
      <c r="AF1181">
        <v>1</v>
      </c>
      <c r="AG1181">
        <v>15</v>
      </c>
      <c r="AH1181">
        <v>226.38787841796881</v>
      </c>
      <c r="AI1181">
        <v>0</v>
      </c>
      <c r="AJ1181">
        <v>59647.609375</v>
      </c>
      <c r="AK1181" t="s">
        <v>54</v>
      </c>
      <c r="AL1181" t="s">
        <v>54</v>
      </c>
      <c r="AM1181" t="s">
        <v>5450</v>
      </c>
      <c r="AP1181" t="s">
        <v>6510</v>
      </c>
      <c r="AQ1181" t="s">
        <v>54</v>
      </c>
      <c r="AR1181" t="s">
        <v>5450</v>
      </c>
      <c r="AS1181" s="148">
        <v>42795</v>
      </c>
      <c r="AT1181" t="s">
        <v>6511</v>
      </c>
      <c r="AV1181" t="s">
        <v>6509</v>
      </c>
      <c r="AW1181" t="s">
        <v>53</v>
      </c>
      <c r="AX1181" t="s">
        <v>6509</v>
      </c>
      <c r="AZ1181" t="s">
        <v>54</v>
      </c>
      <c r="BA1181" t="s">
        <v>6512</v>
      </c>
    </row>
    <row r="1182" spans="1:53" x14ac:dyDescent="0.25">
      <c r="A1182">
        <v>1177</v>
      </c>
      <c r="B1182" t="s">
        <v>6661</v>
      </c>
      <c r="C1182" t="s">
        <v>6662</v>
      </c>
      <c r="D1182" t="s">
        <v>6515</v>
      </c>
      <c r="E1182">
        <v>7</v>
      </c>
      <c r="F1182" t="s">
        <v>6501</v>
      </c>
      <c r="G1182" t="s">
        <v>6655</v>
      </c>
      <c r="H1182" t="s">
        <v>6656</v>
      </c>
      <c r="I1182" t="s">
        <v>6657</v>
      </c>
      <c r="J1182" t="s">
        <v>6658</v>
      </c>
      <c r="K1182" t="s">
        <v>6659</v>
      </c>
      <c r="L1182" t="s">
        <v>6507</v>
      </c>
      <c r="M1182">
        <v>907.40069580078125</v>
      </c>
      <c r="N1182" t="s">
        <v>54</v>
      </c>
      <c r="O1182" t="s">
        <v>53</v>
      </c>
      <c r="P1182" t="s">
        <v>53</v>
      </c>
      <c r="Q1182" t="s">
        <v>53</v>
      </c>
      <c r="R1182" t="s">
        <v>53</v>
      </c>
      <c r="S1182" t="s">
        <v>6660</v>
      </c>
      <c r="T1182" t="s">
        <v>6660</v>
      </c>
      <c r="U1182" t="s">
        <v>53</v>
      </c>
      <c r="V1182" t="s">
        <v>138</v>
      </c>
      <c r="W1182">
        <v>500000</v>
      </c>
      <c r="X1182" t="s">
        <v>53</v>
      </c>
      <c r="Y1182" t="s">
        <v>6509</v>
      </c>
      <c r="Z1182">
        <v>0</v>
      </c>
      <c r="AA1182">
        <v>788</v>
      </c>
      <c r="AB1182">
        <v>294</v>
      </c>
      <c r="AC1182">
        <v>608</v>
      </c>
      <c r="AD1182">
        <v>708</v>
      </c>
      <c r="AE1182">
        <v>708</v>
      </c>
      <c r="AF1182">
        <v>1</v>
      </c>
      <c r="AG1182">
        <v>15</v>
      </c>
      <c r="AH1182">
        <v>226.38787841796881</v>
      </c>
      <c r="AI1182">
        <v>0</v>
      </c>
      <c r="AJ1182">
        <v>59647.609375</v>
      </c>
      <c r="AK1182" t="s">
        <v>54</v>
      </c>
      <c r="AL1182" t="s">
        <v>54</v>
      </c>
      <c r="AM1182" t="s">
        <v>5450</v>
      </c>
      <c r="AP1182" t="s">
        <v>6510</v>
      </c>
      <c r="AQ1182" t="s">
        <v>54</v>
      </c>
      <c r="AR1182" t="s">
        <v>5450</v>
      </c>
      <c r="AS1182" s="148">
        <v>42795</v>
      </c>
      <c r="AT1182" t="s">
        <v>6511</v>
      </c>
      <c r="AV1182" t="s">
        <v>6509</v>
      </c>
      <c r="AW1182" t="s">
        <v>53</v>
      </c>
      <c r="AX1182" t="s">
        <v>6509</v>
      </c>
      <c r="AZ1182" t="s">
        <v>54</v>
      </c>
      <c r="BA1182" t="s">
        <v>6512</v>
      </c>
    </row>
    <row r="1183" spans="1:53" x14ac:dyDescent="0.25">
      <c r="A1183">
        <v>1178</v>
      </c>
      <c r="B1183" t="s">
        <v>6663</v>
      </c>
      <c r="C1183" t="s">
        <v>6664</v>
      </c>
      <c r="D1183" t="s">
        <v>6518</v>
      </c>
      <c r="E1183">
        <v>7</v>
      </c>
      <c r="F1183" t="s">
        <v>6501</v>
      </c>
      <c r="G1183" t="s">
        <v>6655</v>
      </c>
      <c r="H1183" t="s">
        <v>6656</v>
      </c>
      <c r="I1183" t="s">
        <v>6657</v>
      </c>
      <c r="J1183" t="s">
        <v>6658</v>
      </c>
      <c r="K1183" t="s">
        <v>6659</v>
      </c>
      <c r="L1183" t="s">
        <v>6507</v>
      </c>
      <c r="M1183">
        <v>907.40069580078125</v>
      </c>
      <c r="N1183" t="s">
        <v>54</v>
      </c>
      <c r="O1183" t="s">
        <v>53</v>
      </c>
      <c r="P1183" t="s">
        <v>53</v>
      </c>
      <c r="Q1183" t="s">
        <v>53</v>
      </c>
      <c r="R1183" t="s">
        <v>53</v>
      </c>
      <c r="S1183" t="s">
        <v>6660</v>
      </c>
      <c r="T1183" t="s">
        <v>6660</v>
      </c>
      <c r="U1183" t="s">
        <v>53</v>
      </c>
      <c r="V1183" t="s">
        <v>1973</v>
      </c>
      <c r="W1183">
        <v>100000</v>
      </c>
      <c r="X1183" t="s">
        <v>53</v>
      </c>
      <c r="Y1183" t="s">
        <v>6509</v>
      </c>
      <c r="Z1183">
        <v>0</v>
      </c>
      <c r="AA1183">
        <v>788</v>
      </c>
      <c r="AB1183">
        <v>294</v>
      </c>
      <c r="AC1183">
        <v>608</v>
      </c>
      <c r="AD1183">
        <v>708</v>
      </c>
      <c r="AE1183">
        <v>708</v>
      </c>
      <c r="AF1183">
        <v>1</v>
      </c>
      <c r="AG1183">
        <v>15</v>
      </c>
      <c r="AH1183">
        <v>226.38787841796881</v>
      </c>
      <c r="AI1183">
        <v>0</v>
      </c>
      <c r="AJ1183">
        <v>59647.609375</v>
      </c>
      <c r="AK1183" t="s">
        <v>53</v>
      </c>
      <c r="AL1183" t="s">
        <v>53</v>
      </c>
      <c r="AM1183" t="s">
        <v>6509</v>
      </c>
      <c r="AQ1183" t="s">
        <v>54</v>
      </c>
      <c r="AR1183" t="s">
        <v>6509</v>
      </c>
      <c r="AT1183" t="s">
        <v>6511</v>
      </c>
      <c r="AV1183" t="s">
        <v>6509</v>
      </c>
      <c r="AW1183" t="s">
        <v>53</v>
      </c>
      <c r="AX1183" t="s">
        <v>6509</v>
      </c>
      <c r="AZ1183" t="s">
        <v>54</v>
      </c>
      <c r="BA1183" t="s">
        <v>6512</v>
      </c>
    </row>
    <row r="1184" spans="1:53" x14ac:dyDescent="0.25">
      <c r="A1184">
        <v>1179</v>
      </c>
      <c r="B1184" t="s">
        <v>6665</v>
      </c>
      <c r="C1184" t="s">
        <v>6666</v>
      </c>
      <c r="D1184" t="s">
        <v>6542</v>
      </c>
      <c r="E1184">
        <v>7</v>
      </c>
      <c r="F1184" t="s">
        <v>6501</v>
      </c>
      <c r="G1184" t="s">
        <v>6667</v>
      </c>
      <c r="H1184" t="s">
        <v>6668</v>
      </c>
      <c r="I1184" t="s">
        <v>6669</v>
      </c>
      <c r="J1184" t="s">
        <v>6670</v>
      </c>
      <c r="K1184" t="s">
        <v>6671</v>
      </c>
      <c r="L1184" t="s">
        <v>6507</v>
      </c>
      <c r="M1184">
        <v>888.1365966796875</v>
      </c>
      <c r="N1184" t="s">
        <v>54</v>
      </c>
      <c r="O1184" t="s">
        <v>53</v>
      </c>
      <c r="P1184" t="s">
        <v>53</v>
      </c>
      <c r="Q1184" t="s">
        <v>53</v>
      </c>
      <c r="R1184" t="s">
        <v>53</v>
      </c>
      <c r="S1184" t="s">
        <v>6672</v>
      </c>
      <c r="T1184" t="s">
        <v>6672</v>
      </c>
      <c r="U1184" t="s">
        <v>53</v>
      </c>
      <c r="V1184" t="s">
        <v>138</v>
      </c>
      <c r="W1184">
        <v>965000</v>
      </c>
      <c r="X1184" t="s">
        <v>53</v>
      </c>
      <c r="Y1184" t="s">
        <v>6509</v>
      </c>
      <c r="Z1184">
        <v>0</v>
      </c>
      <c r="AA1184">
        <v>38</v>
      </c>
      <c r="AB1184">
        <v>3</v>
      </c>
      <c r="AC1184">
        <v>0</v>
      </c>
      <c r="AD1184">
        <v>3</v>
      </c>
      <c r="AE1184">
        <v>3</v>
      </c>
      <c r="AF1184">
        <v>1</v>
      </c>
      <c r="AG1184">
        <v>4</v>
      </c>
      <c r="AH1184">
        <v>40.555728912353523</v>
      </c>
      <c r="AI1184">
        <v>0</v>
      </c>
      <c r="AJ1184">
        <v>3243.90771484375</v>
      </c>
      <c r="AK1184" t="s">
        <v>54</v>
      </c>
      <c r="AL1184" t="s">
        <v>53</v>
      </c>
      <c r="AM1184" t="s">
        <v>6509</v>
      </c>
      <c r="AQ1184" t="s">
        <v>54</v>
      </c>
      <c r="AR1184" t="s">
        <v>6509</v>
      </c>
      <c r="AT1184" t="s">
        <v>6511</v>
      </c>
      <c r="AV1184" t="s">
        <v>6509</v>
      </c>
      <c r="AW1184" t="s">
        <v>53</v>
      </c>
      <c r="AX1184" t="s">
        <v>6509</v>
      </c>
      <c r="AZ1184" t="s">
        <v>54</v>
      </c>
      <c r="BA1184" t="s">
        <v>6512</v>
      </c>
    </row>
    <row r="1185" spans="1:53" x14ac:dyDescent="0.25">
      <c r="A1185">
        <v>1180</v>
      </c>
      <c r="B1185" t="s">
        <v>6673</v>
      </c>
      <c r="C1185" t="s">
        <v>6674</v>
      </c>
      <c r="D1185" t="s">
        <v>6515</v>
      </c>
      <c r="E1185">
        <v>7</v>
      </c>
      <c r="F1185" t="s">
        <v>6501</v>
      </c>
      <c r="G1185" t="s">
        <v>6667</v>
      </c>
      <c r="H1185" t="s">
        <v>6668</v>
      </c>
      <c r="I1185" t="s">
        <v>6669</v>
      </c>
      <c r="J1185" t="s">
        <v>6670</v>
      </c>
      <c r="K1185" t="s">
        <v>6671</v>
      </c>
      <c r="L1185" t="s">
        <v>6507</v>
      </c>
      <c r="M1185">
        <v>888.1365966796875</v>
      </c>
      <c r="N1185" t="s">
        <v>54</v>
      </c>
      <c r="O1185" t="s">
        <v>53</v>
      </c>
      <c r="P1185" t="s">
        <v>53</v>
      </c>
      <c r="Q1185" t="s">
        <v>53</v>
      </c>
      <c r="R1185" t="s">
        <v>53</v>
      </c>
      <c r="S1185" t="s">
        <v>6672</v>
      </c>
      <c r="T1185" t="s">
        <v>6672</v>
      </c>
      <c r="U1185" t="s">
        <v>53</v>
      </c>
      <c r="V1185" t="s">
        <v>138</v>
      </c>
      <c r="W1185">
        <v>500000</v>
      </c>
      <c r="X1185" t="s">
        <v>53</v>
      </c>
      <c r="Y1185" t="s">
        <v>6509</v>
      </c>
      <c r="Z1185">
        <v>0</v>
      </c>
      <c r="AA1185">
        <v>38</v>
      </c>
      <c r="AB1185">
        <v>3</v>
      </c>
      <c r="AC1185">
        <v>0</v>
      </c>
      <c r="AD1185">
        <v>3</v>
      </c>
      <c r="AE1185">
        <v>3</v>
      </c>
      <c r="AF1185">
        <v>1</v>
      </c>
      <c r="AG1185">
        <v>4</v>
      </c>
      <c r="AH1185">
        <v>40.555728912353523</v>
      </c>
      <c r="AI1185">
        <v>0</v>
      </c>
      <c r="AJ1185">
        <v>3243.90771484375</v>
      </c>
      <c r="AK1185" t="s">
        <v>54</v>
      </c>
      <c r="AL1185" t="s">
        <v>53</v>
      </c>
      <c r="AM1185" t="s">
        <v>6509</v>
      </c>
      <c r="AQ1185" t="s">
        <v>54</v>
      </c>
      <c r="AR1185" t="s">
        <v>6509</v>
      </c>
      <c r="AT1185" t="s">
        <v>6511</v>
      </c>
      <c r="AV1185" t="s">
        <v>6509</v>
      </c>
      <c r="AW1185" t="s">
        <v>53</v>
      </c>
      <c r="AX1185" t="s">
        <v>6509</v>
      </c>
      <c r="AZ1185" t="s">
        <v>54</v>
      </c>
      <c r="BA1185" t="s">
        <v>6512</v>
      </c>
    </row>
    <row r="1186" spans="1:53" x14ac:dyDescent="0.25">
      <c r="A1186">
        <v>1181</v>
      </c>
      <c r="B1186" t="s">
        <v>6675</v>
      </c>
      <c r="C1186" t="s">
        <v>6676</v>
      </c>
      <c r="D1186" t="s">
        <v>6518</v>
      </c>
      <c r="E1186">
        <v>7</v>
      </c>
      <c r="F1186" t="s">
        <v>6501</v>
      </c>
      <c r="G1186" t="s">
        <v>6667</v>
      </c>
      <c r="H1186" t="s">
        <v>6668</v>
      </c>
      <c r="I1186" t="s">
        <v>6669</v>
      </c>
      <c r="J1186" t="s">
        <v>6670</v>
      </c>
      <c r="K1186" t="s">
        <v>6671</v>
      </c>
      <c r="L1186" t="s">
        <v>6507</v>
      </c>
      <c r="M1186">
        <v>888.1365966796875</v>
      </c>
      <c r="N1186" t="s">
        <v>54</v>
      </c>
      <c r="O1186" t="s">
        <v>53</v>
      </c>
      <c r="P1186" t="s">
        <v>53</v>
      </c>
      <c r="Q1186" t="s">
        <v>53</v>
      </c>
      <c r="R1186" t="s">
        <v>53</v>
      </c>
      <c r="S1186" t="s">
        <v>6672</v>
      </c>
      <c r="T1186" t="s">
        <v>6672</v>
      </c>
      <c r="U1186" t="s">
        <v>53</v>
      </c>
      <c r="V1186" t="s">
        <v>1973</v>
      </c>
      <c r="W1186">
        <v>100000</v>
      </c>
      <c r="X1186" t="s">
        <v>53</v>
      </c>
      <c r="Y1186" t="s">
        <v>6509</v>
      </c>
      <c r="Z1186">
        <v>0</v>
      </c>
      <c r="AA1186">
        <v>38</v>
      </c>
      <c r="AB1186">
        <v>3</v>
      </c>
      <c r="AC1186">
        <v>0</v>
      </c>
      <c r="AD1186">
        <v>3</v>
      </c>
      <c r="AE1186">
        <v>3</v>
      </c>
      <c r="AF1186">
        <v>1</v>
      </c>
      <c r="AG1186">
        <v>4</v>
      </c>
      <c r="AH1186">
        <v>40.555728912353523</v>
      </c>
      <c r="AI1186">
        <v>0</v>
      </c>
      <c r="AJ1186">
        <v>3243.90771484375</v>
      </c>
      <c r="AK1186" t="s">
        <v>53</v>
      </c>
      <c r="AL1186" t="s">
        <v>53</v>
      </c>
      <c r="AM1186" t="s">
        <v>6509</v>
      </c>
      <c r="AQ1186" t="s">
        <v>54</v>
      </c>
      <c r="AR1186" t="s">
        <v>6509</v>
      </c>
      <c r="AT1186" t="s">
        <v>6511</v>
      </c>
      <c r="AV1186" t="s">
        <v>6509</v>
      </c>
      <c r="AW1186" t="s">
        <v>53</v>
      </c>
      <c r="AX1186" t="s">
        <v>6509</v>
      </c>
      <c r="AZ1186" t="s">
        <v>54</v>
      </c>
      <c r="BA1186" t="s">
        <v>6512</v>
      </c>
    </row>
    <row r="1187" spans="1:53" x14ac:dyDescent="0.25">
      <c r="A1187">
        <v>1182</v>
      </c>
      <c r="B1187" t="s">
        <v>6677</v>
      </c>
      <c r="C1187" t="s">
        <v>6678</v>
      </c>
      <c r="D1187" t="s">
        <v>6500</v>
      </c>
      <c r="E1187">
        <v>7</v>
      </c>
      <c r="F1187" t="s">
        <v>6501</v>
      </c>
      <c r="G1187" t="s">
        <v>6679</v>
      </c>
      <c r="H1187" t="s">
        <v>6680</v>
      </c>
      <c r="I1187" t="s">
        <v>6681</v>
      </c>
      <c r="J1187" t="s">
        <v>6682</v>
      </c>
      <c r="K1187" t="s">
        <v>6683</v>
      </c>
      <c r="L1187" t="s">
        <v>6507</v>
      </c>
      <c r="M1187">
        <v>912.4888916015625</v>
      </c>
      <c r="N1187" t="s">
        <v>54</v>
      </c>
      <c r="O1187" t="s">
        <v>53</v>
      </c>
      <c r="P1187" t="s">
        <v>53</v>
      </c>
      <c r="Q1187" t="s">
        <v>53</v>
      </c>
      <c r="R1187" t="s">
        <v>53</v>
      </c>
      <c r="S1187" t="s">
        <v>6684</v>
      </c>
      <c r="T1187" t="s">
        <v>6684</v>
      </c>
      <c r="U1187" t="s">
        <v>53</v>
      </c>
      <c r="V1187" t="s">
        <v>138</v>
      </c>
      <c r="W1187">
        <v>1010000</v>
      </c>
      <c r="X1187" t="s">
        <v>53</v>
      </c>
      <c r="Y1187" t="s">
        <v>6509</v>
      </c>
      <c r="Z1187">
        <v>0</v>
      </c>
      <c r="AA1187">
        <v>98</v>
      </c>
      <c r="AB1187">
        <v>20</v>
      </c>
      <c r="AC1187">
        <v>67</v>
      </c>
      <c r="AD1187">
        <v>38</v>
      </c>
      <c r="AE1187">
        <v>67</v>
      </c>
      <c r="AF1187">
        <v>0</v>
      </c>
      <c r="AG1187">
        <v>6</v>
      </c>
      <c r="AH1187">
        <v>65.27435302734375</v>
      </c>
      <c r="AI1187">
        <v>0</v>
      </c>
      <c r="AJ1187">
        <v>63522.12890625</v>
      </c>
      <c r="AK1187" t="s">
        <v>54</v>
      </c>
      <c r="AL1187" t="s">
        <v>54</v>
      </c>
      <c r="AM1187" t="s">
        <v>5450</v>
      </c>
      <c r="AP1187" t="s">
        <v>6510</v>
      </c>
      <c r="AQ1187" t="s">
        <v>54</v>
      </c>
      <c r="AR1187" t="s">
        <v>5450</v>
      </c>
      <c r="AS1187" s="148">
        <v>42795</v>
      </c>
      <c r="AT1187" t="s">
        <v>6511</v>
      </c>
      <c r="AV1187" t="s">
        <v>6509</v>
      </c>
      <c r="AW1187" t="s">
        <v>53</v>
      </c>
      <c r="AX1187" t="s">
        <v>6509</v>
      </c>
      <c r="AZ1187" t="s">
        <v>54</v>
      </c>
      <c r="BA1187" t="s">
        <v>6512</v>
      </c>
    </row>
    <row r="1188" spans="1:53" x14ac:dyDescent="0.25">
      <c r="A1188">
        <v>1183</v>
      </c>
      <c r="B1188" t="s">
        <v>6685</v>
      </c>
      <c r="C1188" t="s">
        <v>6686</v>
      </c>
      <c r="D1188" t="s">
        <v>6515</v>
      </c>
      <c r="E1188">
        <v>7</v>
      </c>
      <c r="F1188" t="s">
        <v>6501</v>
      </c>
      <c r="G1188" t="s">
        <v>6679</v>
      </c>
      <c r="H1188" t="s">
        <v>6680</v>
      </c>
      <c r="I1188" t="s">
        <v>6681</v>
      </c>
      <c r="J1188" t="s">
        <v>6682</v>
      </c>
      <c r="K1188" t="s">
        <v>6683</v>
      </c>
      <c r="L1188" t="s">
        <v>6507</v>
      </c>
      <c r="M1188">
        <v>912.4888916015625</v>
      </c>
      <c r="N1188" t="s">
        <v>54</v>
      </c>
      <c r="O1188" t="s">
        <v>53</v>
      </c>
      <c r="P1188" t="s">
        <v>53</v>
      </c>
      <c r="Q1188" t="s">
        <v>53</v>
      </c>
      <c r="R1188" t="s">
        <v>53</v>
      </c>
      <c r="S1188" t="s">
        <v>6684</v>
      </c>
      <c r="T1188" t="s">
        <v>6684</v>
      </c>
      <c r="U1188" t="s">
        <v>53</v>
      </c>
      <c r="V1188" t="s">
        <v>138</v>
      </c>
      <c r="W1188">
        <v>500000</v>
      </c>
      <c r="X1188" t="s">
        <v>53</v>
      </c>
      <c r="Y1188" t="s">
        <v>6509</v>
      </c>
      <c r="Z1188">
        <v>0</v>
      </c>
      <c r="AA1188">
        <v>98</v>
      </c>
      <c r="AB1188">
        <v>20</v>
      </c>
      <c r="AC1188">
        <v>67</v>
      </c>
      <c r="AD1188">
        <v>38</v>
      </c>
      <c r="AE1188">
        <v>67</v>
      </c>
      <c r="AF1188">
        <v>0</v>
      </c>
      <c r="AG1188">
        <v>6</v>
      </c>
      <c r="AH1188">
        <v>65.27435302734375</v>
      </c>
      <c r="AI1188">
        <v>0</v>
      </c>
      <c r="AJ1188">
        <v>63522.12890625</v>
      </c>
      <c r="AK1188" t="s">
        <v>54</v>
      </c>
      <c r="AL1188" t="s">
        <v>54</v>
      </c>
      <c r="AM1188" t="s">
        <v>5450</v>
      </c>
      <c r="AP1188" t="s">
        <v>6510</v>
      </c>
      <c r="AQ1188" t="s">
        <v>54</v>
      </c>
      <c r="AR1188" t="s">
        <v>5450</v>
      </c>
      <c r="AS1188" s="148">
        <v>42795</v>
      </c>
      <c r="AT1188" t="s">
        <v>6511</v>
      </c>
      <c r="AV1188" t="s">
        <v>6509</v>
      </c>
      <c r="AW1188" t="s">
        <v>53</v>
      </c>
      <c r="AX1188" t="s">
        <v>6509</v>
      </c>
      <c r="AZ1188" t="s">
        <v>54</v>
      </c>
      <c r="BA1188" t="s">
        <v>6512</v>
      </c>
    </row>
    <row r="1189" spans="1:53" x14ac:dyDescent="0.25">
      <c r="A1189">
        <v>1184</v>
      </c>
      <c r="B1189" t="s">
        <v>6687</v>
      </c>
      <c r="C1189" t="s">
        <v>6688</v>
      </c>
      <c r="D1189" t="s">
        <v>6518</v>
      </c>
      <c r="E1189">
        <v>7</v>
      </c>
      <c r="F1189" t="s">
        <v>6501</v>
      </c>
      <c r="G1189" t="s">
        <v>6679</v>
      </c>
      <c r="H1189" t="s">
        <v>6680</v>
      </c>
      <c r="I1189" t="s">
        <v>6681</v>
      </c>
      <c r="J1189" t="s">
        <v>6682</v>
      </c>
      <c r="K1189" t="s">
        <v>6683</v>
      </c>
      <c r="L1189" t="s">
        <v>6507</v>
      </c>
      <c r="M1189">
        <v>912.4888916015625</v>
      </c>
      <c r="N1189" t="s">
        <v>54</v>
      </c>
      <c r="O1189" t="s">
        <v>53</v>
      </c>
      <c r="P1189" t="s">
        <v>53</v>
      </c>
      <c r="Q1189" t="s">
        <v>53</v>
      </c>
      <c r="R1189" t="s">
        <v>53</v>
      </c>
      <c r="S1189" t="s">
        <v>6684</v>
      </c>
      <c r="T1189" t="s">
        <v>6684</v>
      </c>
      <c r="U1189" t="s">
        <v>53</v>
      </c>
      <c r="V1189" t="s">
        <v>1973</v>
      </c>
      <c r="W1189">
        <v>100000</v>
      </c>
      <c r="X1189" t="s">
        <v>53</v>
      </c>
      <c r="Y1189" t="s">
        <v>6509</v>
      </c>
      <c r="Z1189">
        <v>0</v>
      </c>
      <c r="AA1189">
        <v>98</v>
      </c>
      <c r="AB1189">
        <v>20</v>
      </c>
      <c r="AC1189">
        <v>67</v>
      </c>
      <c r="AD1189">
        <v>38</v>
      </c>
      <c r="AE1189">
        <v>67</v>
      </c>
      <c r="AF1189">
        <v>0</v>
      </c>
      <c r="AG1189">
        <v>6</v>
      </c>
      <c r="AH1189">
        <v>65.27435302734375</v>
      </c>
      <c r="AI1189">
        <v>0</v>
      </c>
      <c r="AJ1189">
        <v>63522.12890625</v>
      </c>
      <c r="AK1189" t="s">
        <v>53</v>
      </c>
      <c r="AL1189" t="s">
        <v>53</v>
      </c>
      <c r="AM1189" t="s">
        <v>6509</v>
      </c>
      <c r="AQ1189" t="s">
        <v>54</v>
      </c>
      <c r="AR1189" t="s">
        <v>6509</v>
      </c>
      <c r="AT1189" t="s">
        <v>6511</v>
      </c>
      <c r="AV1189" t="s">
        <v>6509</v>
      </c>
      <c r="AW1189" t="s">
        <v>53</v>
      </c>
      <c r="AX1189" t="s">
        <v>6509</v>
      </c>
      <c r="AZ1189" t="s">
        <v>54</v>
      </c>
      <c r="BA1189" t="s">
        <v>6512</v>
      </c>
    </row>
    <row r="1190" spans="1:53" x14ac:dyDescent="0.25">
      <c r="A1190">
        <v>1185</v>
      </c>
      <c r="B1190" t="s">
        <v>6689</v>
      </c>
      <c r="C1190" t="s">
        <v>6690</v>
      </c>
      <c r="D1190" t="s">
        <v>6542</v>
      </c>
      <c r="E1190">
        <v>7</v>
      </c>
      <c r="F1190" t="s">
        <v>6501</v>
      </c>
      <c r="G1190" t="s">
        <v>6691</v>
      </c>
      <c r="H1190" t="s">
        <v>6692</v>
      </c>
      <c r="I1190" t="s">
        <v>6693</v>
      </c>
      <c r="J1190" t="s">
        <v>6694</v>
      </c>
      <c r="K1190" t="s">
        <v>6695</v>
      </c>
      <c r="L1190" t="s">
        <v>6507</v>
      </c>
      <c r="M1190">
        <v>884.7744140625</v>
      </c>
      <c r="N1190" t="s">
        <v>54</v>
      </c>
      <c r="O1190" t="s">
        <v>53</v>
      </c>
      <c r="P1190" t="s">
        <v>53</v>
      </c>
      <c r="Q1190" t="s">
        <v>54</v>
      </c>
      <c r="R1190" t="s">
        <v>53</v>
      </c>
      <c r="S1190" t="s">
        <v>6696</v>
      </c>
      <c r="T1190" t="s">
        <v>6696</v>
      </c>
      <c r="U1190" t="s">
        <v>53</v>
      </c>
      <c r="V1190" t="s">
        <v>138</v>
      </c>
      <c r="W1190">
        <v>882000</v>
      </c>
      <c r="X1190" t="s">
        <v>53</v>
      </c>
      <c r="Y1190" t="s">
        <v>6509</v>
      </c>
      <c r="Z1190">
        <v>0</v>
      </c>
      <c r="AA1190">
        <v>158</v>
      </c>
      <c r="AB1190">
        <v>34</v>
      </c>
      <c r="AC1190">
        <v>315</v>
      </c>
      <c r="AD1190">
        <v>123</v>
      </c>
      <c r="AE1190">
        <v>315</v>
      </c>
      <c r="AF1190">
        <v>0</v>
      </c>
      <c r="AG1190">
        <v>11</v>
      </c>
      <c r="AH1190">
        <v>97.674766540527344</v>
      </c>
      <c r="AI1190">
        <v>0</v>
      </c>
      <c r="AJ1190">
        <v>10113.4794921875</v>
      </c>
      <c r="AK1190" t="s">
        <v>54</v>
      </c>
      <c r="AL1190" t="s">
        <v>53</v>
      </c>
      <c r="AM1190" t="s">
        <v>6509</v>
      </c>
      <c r="AQ1190" t="s">
        <v>54</v>
      </c>
      <c r="AR1190" t="s">
        <v>6509</v>
      </c>
      <c r="AT1190" t="s">
        <v>6511</v>
      </c>
      <c r="AV1190" t="s">
        <v>6509</v>
      </c>
      <c r="AW1190" t="s">
        <v>53</v>
      </c>
      <c r="AX1190" t="s">
        <v>6509</v>
      </c>
      <c r="AZ1190" t="s">
        <v>54</v>
      </c>
      <c r="BA1190" t="s">
        <v>6512</v>
      </c>
    </row>
    <row r="1191" spans="1:53" x14ac:dyDescent="0.25">
      <c r="A1191">
        <v>1186</v>
      </c>
      <c r="B1191" t="s">
        <v>6697</v>
      </c>
      <c r="C1191" t="s">
        <v>6698</v>
      </c>
      <c r="D1191" t="s">
        <v>6515</v>
      </c>
      <c r="E1191">
        <v>7</v>
      </c>
      <c r="F1191" t="s">
        <v>6501</v>
      </c>
      <c r="G1191" t="s">
        <v>6691</v>
      </c>
      <c r="H1191" t="s">
        <v>6692</v>
      </c>
      <c r="I1191" t="s">
        <v>6693</v>
      </c>
      <c r="J1191" t="s">
        <v>6694</v>
      </c>
      <c r="K1191" t="s">
        <v>6695</v>
      </c>
      <c r="L1191" t="s">
        <v>6507</v>
      </c>
      <c r="M1191">
        <v>884.7744140625</v>
      </c>
      <c r="N1191" t="s">
        <v>54</v>
      </c>
      <c r="O1191" t="s">
        <v>53</v>
      </c>
      <c r="P1191" t="s">
        <v>53</v>
      </c>
      <c r="Q1191" t="s">
        <v>54</v>
      </c>
      <c r="R1191" t="s">
        <v>53</v>
      </c>
      <c r="S1191" t="s">
        <v>6696</v>
      </c>
      <c r="T1191" t="s">
        <v>6696</v>
      </c>
      <c r="U1191" t="s">
        <v>53</v>
      </c>
      <c r="V1191" t="s">
        <v>138</v>
      </c>
      <c r="W1191">
        <v>500000</v>
      </c>
      <c r="X1191" t="s">
        <v>53</v>
      </c>
      <c r="Y1191" t="s">
        <v>6509</v>
      </c>
      <c r="Z1191">
        <v>0</v>
      </c>
      <c r="AA1191">
        <v>158</v>
      </c>
      <c r="AB1191">
        <v>34</v>
      </c>
      <c r="AC1191">
        <v>315</v>
      </c>
      <c r="AD1191">
        <v>123</v>
      </c>
      <c r="AE1191">
        <v>315</v>
      </c>
      <c r="AF1191">
        <v>0</v>
      </c>
      <c r="AG1191">
        <v>11</v>
      </c>
      <c r="AH1191">
        <v>97.674766540527344</v>
      </c>
      <c r="AI1191">
        <v>0</v>
      </c>
      <c r="AJ1191">
        <v>10113.4794921875</v>
      </c>
      <c r="AK1191" t="s">
        <v>54</v>
      </c>
      <c r="AL1191" t="s">
        <v>53</v>
      </c>
      <c r="AM1191" t="s">
        <v>6509</v>
      </c>
      <c r="AQ1191" t="s">
        <v>54</v>
      </c>
      <c r="AR1191" t="s">
        <v>6509</v>
      </c>
      <c r="AT1191" t="s">
        <v>6511</v>
      </c>
      <c r="AV1191" t="s">
        <v>6509</v>
      </c>
      <c r="AW1191" t="s">
        <v>53</v>
      </c>
      <c r="AX1191" t="s">
        <v>6509</v>
      </c>
      <c r="AZ1191" t="s">
        <v>54</v>
      </c>
      <c r="BA1191" t="s">
        <v>6512</v>
      </c>
    </row>
    <row r="1192" spans="1:53" x14ac:dyDescent="0.25">
      <c r="A1192">
        <v>1187</v>
      </c>
      <c r="B1192" t="s">
        <v>6699</v>
      </c>
      <c r="C1192" t="s">
        <v>6700</v>
      </c>
      <c r="D1192" t="s">
        <v>6518</v>
      </c>
      <c r="E1192">
        <v>7</v>
      </c>
      <c r="F1192" t="s">
        <v>6501</v>
      </c>
      <c r="G1192" t="s">
        <v>6691</v>
      </c>
      <c r="H1192" t="s">
        <v>6692</v>
      </c>
      <c r="I1192" t="s">
        <v>6693</v>
      </c>
      <c r="J1192" t="s">
        <v>6694</v>
      </c>
      <c r="K1192" t="s">
        <v>6695</v>
      </c>
      <c r="L1192" t="s">
        <v>6507</v>
      </c>
      <c r="M1192">
        <v>884.7744140625</v>
      </c>
      <c r="N1192" t="s">
        <v>54</v>
      </c>
      <c r="O1192" t="s">
        <v>53</v>
      </c>
      <c r="P1192" t="s">
        <v>53</v>
      </c>
      <c r="Q1192" t="s">
        <v>54</v>
      </c>
      <c r="R1192" t="s">
        <v>53</v>
      </c>
      <c r="S1192" t="s">
        <v>6696</v>
      </c>
      <c r="T1192" t="s">
        <v>6696</v>
      </c>
      <c r="U1192" t="s">
        <v>53</v>
      </c>
      <c r="V1192" t="s">
        <v>1973</v>
      </c>
      <c r="W1192">
        <v>100000</v>
      </c>
      <c r="X1192" t="s">
        <v>53</v>
      </c>
      <c r="Y1192" t="s">
        <v>6509</v>
      </c>
      <c r="Z1192">
        <v>0</v>
      </c>
      <c r="AA1192">
        <v>158</v>
      </c>
      <c r="AB1192">
        <v>34</v>
      </c>
      <c r="AC1192">
        <v>315</v>
      </c>
      <c r="AD1192">
        <v>123</v>
      </c>
      <c r="AE1192">
        <v>315</v>
      </c>
      <c r="AF1192">
        <v>0</v>
      </c>
      <c r="AG1192">
        <v>11</v>
      </c>
      <c r="AH1192">
        <v>97.674766540527344</v>
      </c>
      <c r="AI1192">
        <v>0</v>
      </c>
      <c r="AJ1192">
        <v>10113.4794921875</v>
      </c>
      <c r="AK1192" t="s">
        <v>53</v>
      </c>
      <c r="AL1192" t="s">
        <v>53</v>
      </c>
      <c r="AM1192" t="s">
        <v>6509</v>
      </c>
      <c r="AQ1192" t="s">
        <v>54</v>
      </c>
      <c r="AR1192" t="s">
        <v>6509</v>
      </c>
      <c r="AT1192" t="s">
        <v>6511</v>
      </c>
      <c r="AV1192" t="s">
        <v>6509</v>
      </c>
      <c r="AW1192" t="s">
        <v>53</v>
      </c>
      <c r="AX1192" t="s">
        <v>6509</v>
      </c>
      <c r="AZ1192" t="s">
        <v>54</v>
      </c>
      <c r="BA1192" t="s">
        <v>6512</v>
      </c>
    </row>
    <row r="1193" spans="1:53" x14ac:dyDescent="0.25">
      <c r="A1193">
        <v>1188</v>
      </c>
      <c r="B1193" t="s">
        <v>6701</v>
      </c>
      <c r="C1193" t="s">
        <v>6702</v>
      </c>
      <c r="D1193" t="s">
        <v>6542</v>
      </c>
      <c r="E1193">
        <v>7</v>
      </c>
      <c r="F1193" t="s">
        <v>6501</v>
      </c>
      <c r="G1193" t="s">
        <v>6703</v>
      </c>
      <c r="H1193" t="s">
        <v>6704</v>
      </c>
      <c r="I1193" t="s">
        <v>6705</v>
      </c>
      <c r="J1193" t="s">
        <v>6706</v>
      </c>
      <c r="K1193" t="s">
        <v>6707</v>
      </c>
      <c r="L1193" t="s">
        <v>6507</v>
      </c>
      <c r="M1193">
        <v>673.42742919921875</v>
      </c>
      <c r="N1193" t="s">
        <v>53</v>
      </c>
      <c r="O1193" t="s">
        <v>53</v>
      </c>
      <c r="P1193" t="s">
        <v>53</v>
      </c>
      <c r="Q1193" t="s">
        <v>54</v>
      </c>
      <c r="R1193" t="s">
        <v>53</v>
      </c>
      <c r="S1193" t="s">
        <v>6708</v>
      </c>
      <c r="T1193" t="s">
        <v>6708</v>
      </c>
      <c r="U1193" t="s">
        <v>53</v>
      </c>
      <c r="V1193" t="s">
        <v>138</v>
      </c>
      <c r="W1193">
        <v>778000</v>
      </c>
      <c r="X1193" t="s">
        <v>53</v>
      </c>
      <c r="Y1193" t="s">
        <v>6509</v>
      </c>
      <c r="Z1193">
        <v>0</v>
      </c>
      <c r="AA1193">
        <v>81</v>
      </c>
      <c r="AB1193">
        <v>29</v>
      </c>
      <c r="AC1193">
        <v>217</v>
      </c>
      <c r="AD1193">
        <v>96</v>
      </c>
      <c r="AE1193">
        <v>217</v>
      </c>
      <c r="AF1193">
        <v>0</v>
      </c>
      <c r="AG1193">
        <v>7</v>
      </c>
      <c r="AH1193">
        <v>475.17532348632813</v>
      </c>
      <c r="AI1193">
        <v>0</v>
      </c>
      <c r="AJ1193">
        <v>52668.8515625</v>
      </c>
      <c r="AK1193" t="s">
        <v>54</v>
      </c>
      <c r="AL1193" t="s">
        <v>53</v>
      </c>
      <c r="AM1193" t="s">
        <v>6509</v>
      </c>
      <c r="AQ1193" t="s">
        <v>54</v>
      </c>
      <c r="AR1193" t="s">
        <v>6509</v>
      </c>
      <c r="AT1193" t="s">
        <v>6511</v>
      </c>
      <c r="AV1193" t="s">
        <v>6509</v>
      </c>
      <c r="AW1193" t="s">
        <v>53</v>
      </c>
      <c r="AX1193" t="s">
        <v>6509</v>
      </c>
      <c r="AZ1193" t="s">
        <v>54</v>
      </c>
      <c r="BA1193" t="s">
        <v>6512</v>
      </c>
    </row>
    <row r="1194" spans="1:53" x14ac:dyDescent="0.25">
      <c r="A1194">
        <v>1189</v>
      </c>
      <c r="B1194" t="s">
        <v>6709</v>
      </c>
      <c r="C1194" t="s">
        <v>6710</v>
      </c>
      <c r="D1194" t="s">
        <v>6515</v>
      </c>
      <c r="E1194">
        <v>7</v>
      </c>
      <c r="F1194" t="s">
        <v>6501</v>
      </c>
      <c r="G1194" t="s">
        <v>6703</v>
      </c>
      <c r="H1194" t="s">
        <v>6704</v>
      </c>
      <c r="I1194" t="s">
        <v>6705</v>
      </c>
      <c r="J1194" t="s">
        <v>6706</v>
      </c>
      <c r="K1194" t="s">
        <v>6707</v>
      </c>
      <c r="L1194" t="s">
        <v>6507</v>
      </c>
      <c r="M1194">
        <v>673.42742919921875</v>
      </c>
      <c r="N1194" t="s">
        <v>53</v>
      </c>
      <c r="O1194" t="s">
        <v>53</v>
      </c>
      <c r="P1194" t="s">
        <v>53</v>
      </c>
      <c r="Q1194" t="s">
        <v>54</v>
      </c>
      <c r="R1194" t="s">
        <v>53</v>
      </c>
      <c r="S1194" t="s">
        <v>6708</v>
      </c>
      <c r="T1194" t="s">
        <v>6708</v>
      </c>
      <c r="U1194" t="s">
        <v>53</v>
      </c>
      <c r="V1194" t="s">
        <v>138</v>
      </c>
      <c r="W1194">
        <v>500000</v>
      </c>
      <c r="X1194" t="s">
        <v>53</v>
      </c>
      <c r="Y1194" t="s">
        <v>6509</v>
      </c>
      <c r="Z1194">
        <v>0</v>
      </c>
      <c r="AA1194">
        <v>81</v>
      </c>
      <c r="AB1194">
        <v>29</v>
      </c>
      <c r="AC1194">
        <v>217</v>
      </c>
      <c r="AD1194">
        <v>96</v>
      </c>
      <c r="AE1194">
        <v>217</v>
      </c>
      <c r="AF1194">
        <v>0</v>
      </c>
      <c r="AG1194">
        <v>7</v>
      </c>
      <c r="AH1194">
        <v>475.17532348632813</v>
      </c>
      <c r="AI1194">
        <v>0</v>
      </c>
      <c r="AJ1194">
        <v>52668.8515625</v>
      </c>
      <c r="AK1194" t="s">
        <v>54</v>
      </c>
      <c r="AL1194" t="s">
        <v>53</v>
      </c>
      <c r="AM1194" t="s">
        <v>6509</v>
      </c>
      <c r="AQ1194" t="s">
        <v>54</v>
      </c>
      <c r="AR1194" t="s">
        <v>6509</v>
      </c>
      <c r="AT1194" t="s">
        <v>6511</v>
      </c>
      <c r="AV1194" t="s">
        <v>6509</v>
      </c>
      <c r="AW1194" t="s">
        <v>53</v>
      </c>
      <c r="AX1194" t="s">
        <v>6509</v>
      </c>
      <c r="AZ1194" t="s">
        <v>54</v>
      </c>
      <c r="BA1194" t="s">
        <v>6512</v>
      </c>
    </row>
    <row r="1195" spans="1:53" x14ac:dyDescent="0.25">
      <c r="A1195">
        <v>1190</v>
      </c>
      <c r="B1195" t="s">
        <v>6711</v>
      </c>
      <c r="C1195" t="s">
        <v>6712</v>
      </c>
      <c r="D1195" t="s">
        <v>6518</v>
      </c>
      <c r="E1195">
        <v>7</v>
      </c>
      <c r="F1195" t="s">
        <v>6501</v>
      </c>
      <c r="G1195" t="s">
        <v>6703</v>
      </c>
      <c r="H1195" t="s">
        <v>6704</v>
      </c>
      <c r="I1195" t="s">
        <v>6705</v>
      </c>
      <c r="J1195" t="s">
        <v>6706</v>
      </c>
      <c r="K1195" t="s">
        <v>6707</v>
      </c>
      <c r="L1195" t="s">
        <v>6507</v>
      </c>
      <c r="M1195">
        <v>673.42742919921875</v>
      </c>
      <c r="N1195" t="s">
        <v>53</v>
      </c>
      <c r="O1195" t="s">
        <v>53</v>
      </c>
      <c r="P1195" t="s">
        <v>53</v>
      </c>
      <c r="Q1195" t="s">
        <v>54</v>
      </c>
      <c r="R1195" t="s">
        <v>53</v>
      </c>
      <c r="S1195" t="s">
        <v>6708</v>
      </c>
      <c r="T1195" t="s">
        <v>6708</v>
      </c>
      <c r="U1195" t="s">
        <v>53</v>
      </c>
      <c r="V1195" t="s">
        <v>1973</v>
      </c>
      <c r="W1195">
        <v>100000</v>
      </c>
      <c r="X1195" t="s">
        <v>53</v>
      </c>
      <c r="Y1195" t="s">
        <v>6509</v>
      </c>
      <c r="Z1195">
        <v>0</v>
      </c>
      <c r="AA1195">
        <v>81</v>
      </c>
      <c r="AB1195">
        <v>29</v>
      </c>
      <c r="AC1195">
        <v>217</v>
      </c>
      <c r="AD1195">
        <v>96</v>
      </c>
      <c r="AE1195">
        <v>217</v>
      </c>
      <c r="AF1195">
        <v>0</v>
      </c>
      <c r="AG1195">
        <v>7</v>
      </c>
      <c r="AH1195">
        <v>475.17532348632813</v>
      </c>
      <c r="AI1195">
        <v>0</v>
      </c>
      <c r="AJ1195">
        <v>52668.8515625</v>
      </c>
      <c r="AK1195" t="s">
        <v>53</v>
      </c>
      <c r="AL1195" t="s">
        <v>53</v>
      </c>
      <c r="AM1195" t="s">
        <v>6509</v>
      </c>
      <c r="AQ1195" t="s">
        <v>54</v>
      </c>
      <c r="AR1195" t="s">
        <v>6509</v>
      </c>
      <c r="AT1195" t="s">
        <v>6511</v>
      </c>
      <c r="AV1195" t="s">
        <v>6509</v>
      </c>
      <c r="AW1195" t="s">
        <v>53</v>
      </c>
      <c r="AX1195" t="s">
        <v>6509</v>
      </c>
      <c r="AZ1195" t="s">
        <v>54</v>
      </c>
      <c r="BA1195" t="s">
        <v>6512</v>
      </c>
    </row>
    <row r="1196" spans="1:53" x14ac:dyDescent="0.25">
      <c r="A1196">
        <v>1191</v>
      </c>
      <c r="B1196" t="s">
        <v>6713</v>
      </c>
      <c r="C1196" t="s">
        <v>6714</v>
      </c>
      <c r="D1196" t="s">
        <v>6515</v>
      </c>
      <c r="E1196">
        <v>7</v>
      </c>
      <c r="F1196" t="s">
        <v>6501</v>
      </c>
      <c r="G1196" t="s">
        <v>6715</v>
      </c>
      <c r="H1196" t="s">
        <v>6716</v>
      </c>
      <c r="I1196" t="s">
        <v>6717</v>
      </c>
      <c r="J1196" t="s">
        <v>6718</v>
      </c>
      <c r="K1196" t="s">
        <v>6719</v>
      </c>
      <c r="L1196" t="s">
        <v>6507</v>
      </c>
      <c r="M1196">
        <v>407.85293579101563</v>
      </c>
      <c r="N1196" t="s">
        <v>54</v>
      </c>
      <c r="O1196" t="s">
        <v>53</v>
      </c>
      <c r="P1196" t="s">
        <v>53</v>
      </c>
      <c r="Q1196" t="s">
        <v>53</v>
      </c>
      <c r="R1196" t="s">
        <v>53</v>
      </c>
      <c r="S1196" t="s">
        <v>4029</v>
      </c>
      <c r="T1196" t="s">
        <v>4029</v>
      </c>
      <c r="U1196" t="s">
        <v>53</v>
      </c>
      <c r="V1196" t="s">
        <v>138</v>
      </c>
      <c r="W1196">
        <v>500000</v>
      </c>
      <c r="X1196" t="s">
        <v>53</v>
      </c>
      <c r="Y1196" t="s">
        <v>6509</v>
      </c>
      <c r="Z1196">
        <v>0</v>
      </c>
      <c r="AA1196">
        <v>190</v>
      </c>
      <c r="AB1196">
        <v>28</v>
      </c>
      <c r="AC1196">
        <v>60</v>
      </c>
      <c r="AD1196">
        <v>128</v>
      </c>
      <c r="AE1196">
        <v>128</v>
      </c>
      <c r="AF1196">
        <v>0</v>
      </c>
      <c r="AG1196">
        <v>1</v>
      </c>
      <c r="AH1196">
        <v>53.131050109863281</v>
      </c>
      <c r="AI1196">
        <v>0</v>
      </c>
      <c r="AJ1196">
        <v>25847.232421875</v>
      </c>
      <c r="AK1196" t="s">
        <v>54</v>
      </c>
      <c r="AL1196" t="s">
        <v>53</v>
      </c>
      <c r="AM1196" t="s">
        <v>6509</v>
      </c>
      <c r="AQ1196" t="s">
        <v>54</v>
      </c>
      <c r="AR1196" t="s">
        <v>6509</v>
      </c>
      <c r="AT1196" t="s">
        <v>6511</v>
      </c>
      <c r="AV1196" t="s">
        <v>6509</v>
      </c>
      <c r="AW1196" t="s">
        <v>53</v>
      </c>
      <c r="AX1196" t="s">
        <v>6509</v>
      </c>
      <c r="AZ1196" t="s">
        <v>54</v>
      </c>
      <c r="BA1196" t="s">
        <v>6512</v>
      </c>
    </row>
    <row r="1197" spans="1:53" x14ac:dyDescent="0.25">
      <c r="A1197">
        <v>1192</v>
      </c>
      <c r="B1197" t="s">
        <v>6720</v>
      </c>
      <c r="C1197" t="s">
        <v>6721</v>
      </c>
      <c r="D1197" t="s">
        <v>6500</v>
      </c>
      <c r="E1197">
        <v>7</v>
      </c>
      <c r="F1197" t="s">
        <v>6501</v>
      </c>
      <c r="G1197" t="s">
        <v>6722</v>
      </c>
      <c r="H1197" t="s">
        <v>6723</v>
      </c>
      <c r="I1197" t="s">
        <v>6724</v>
      </c>
      <c r="J1197" t="s">
        <v>6725</v>
      </c>
      <c r="K1197" t="s">
        <v>6726</v>
      </c>
      <c r="L1197" t="s">
        <v>6507</v>
      </c>
      <c r="M1197">
        <v>811.42315673828125</v>
      </c>
      <c r="N1197" t="s">
        <v>53</v>
      </c>
      <c r="O1197" t="s">
        <v>53</v>
      </c>
      <c r="P1197" t="s">
        <v>53</v>
      </c>
      <c r="Q1197" t="s">
        <v>54</v>
      </c>
      <c r="R1197" t="s">
        <v>53</v>
      </c>
      <c r="S1197" t="s">
        <v>6727</v>
      </c>
      <c r="T1197" t="s">
        <v>6727</v>
      </c>
      <c r="U1197" t="s">
        <v>53</v>
      </c>
      <c r="V1197" t="s">
        <v>138</v>
      </c>
      <c r="W1197">
        <v>987000</v>
      </c>
      <c r="X1197" t="s">
        <v>53</v>
      </c>
      <c r="Y1197" t="s">
        <v>6509</v>
      </c>
      <c r="Z1197">
        <v>0</v>
      </c>
      <c r="AA1197">
        <v>1771</v>
      </c>
      <c r="AB1197">
        <v>1270</v>
      </c>
      <c r="AC1197">
        <v>5273</v>
      </c>
      <c r="AD1197">
        <v>3863</v>
      </c>
      <c r="AE1197">
        <v>5273</v>
      </c>
      <c r="AF1197">
        <v>5</v>
      </c>
      <c r="AG1197">
        <v>9</v>
      </c>
      <c r="AH1197">
        <v>625.7158203125</v>
      </c>
      <c r="AI1197">
        <v>0</v>
      </c>
      <c r="AJ1197">
        <v>60113.328125</v>
      </c>
      <c r="AK1197" t="s">
        <v>54</v>
      </c>
      <c r="AL1197" t="s">
        <v>53</v>
      </c>
      <c r="AM1197" t="s">
        <v>6509</v>
      </c>
      <c r="AQ1197" t="s">
        <v>54</v>
      </c>
      <c r="AR1197" t="s">
        <v>6509</v>
      </c>
      <c r="AT1197" t="s">
        <v>6511</v>
      </c>
      <c r="AV1197" t="s">
        <v>6509</v>
      </c>
      <c r="AW1197" t="s">
        <v>53</v>
      </c>
      <c r="AX1197" t="s">
        <v>6509</v>
      </c>
      <c r="AZ1197" t="s">
        <v>54</v>
      </c>
      <c r="BA1197" t="s">
        <v>6512</v>
      </c>
    </row>
    <row r="1198" spans="1:53" x14ac:dyDescent="0.25">
      <c r="A1198">
        <v>1193</v>
      </c>
      <c r="B1198" t="s">
        <v>6728</v>
      </c>
      <c r="C1198" t="s">
        <v>6729</v>
      </c>
      <c r="D1198" t="s">
        <v>6518</v>
      </c>
      <c r="E1198">
        <v>7</v>
      </c>
      <c r="F1198" t="s">
        <v>6501</v>
      </c>
      <c r="G1198" t="s">
        <v>6722</v>
      </c>
      <c r="H1198" t="s">
        <v>6723</v>
      </c>
      <c r="I1198" t="s">
        <v>6724</v>
      </c>
      <c r="J1198" t="s">
        <v>6725</v>
      </c>
      <c r="K1198" t="s">
        <v>6726</v>
      </c>
      <c r="L1198" t="s">
        <v>6507</v>
      </c>
      <c r="M1198">
        <v>811.42315673828125</v>
      </c>
      <c r="N1198" t="s">
        <v>53</v>
      </c>
      <c r="O1198" t="s">
        <v>53</v>
      </c>
      <c r="P1198" t="s">
        <v>53</v>
      </c>
      <c r="Q1198" t="s">
        <v>54</v>
      </c>
      <c r="R1198" t="s">
        <v>53</v>
      </c>
      <c r="S1198" t="s">
        <v>6727</v>
      </c>
      <c r="T1198" t="s">
        <v>6727</v>
      </c>
      <c r="U1198" t="s">
        <v>53</v>
      </c>
      <c r="V1198" t="s">
        <v>1973</v>
      </c>
      <c r="W1198">
        <v>100000</v>
      </c>
      <c r="X1198" t="s">
        <v>53</v>
      </c>
      <c r="Y1198" t="s">
        <v>6509</v>
      </c>
      <c r="Z1198">
        <v>0</v>
      </c>
      <c r="AA1198">
        <v>1771</v>
      </c>
      <c r="AB1198">
        <v>1270</v>
      </c>
      <c r="AC1198">
        <v>5273</v>
      </c>
      <c r="AD1198">
        <v>3863</v>
      </c>
      <c r="AE1198">
        <v>5273</v>
      </c>
      <c r="AF1198">
        <v>5</v>
      </c>
      <c r="AG1198">
        <v>9</v>
      </c>
      <c r="AH1198">
        <v>625.7158203125</v>
      </c>
      <c r="AI1198">
        <v>0</v>
      </c>
      <c r="AJ1198">
        <v>60113.328125</v>
      </c>
      <c r="AK1198" t="s">
        <v>53</v>
      </c>
      <c r="AL1198" t="s">
        <v>53</v>
      </c>
      <c r="AM1198" t="s">
        <v>6509</v>
      </c>
      <c r="AQ1198" t="s">
        <v>54</v>
      </c>
      <c r="AR1198" t="s">
        <v>6509</v>
      </c>
      <c r="AT1198" t="s">
        <v>6511</v>
      </c>
      <c r="AV1198" t="s">
        <v>6509</v>
      </c>
      <c r="AW1198" t="s">
        <v>53</v>
      </c>
      <c r="AX1198" t="s">
        <v>6509</v>
      </c>
      <c r="AZ1198" t="s">
        <v>54</v>
      </c>
      <c r="BA1198" t="s">
        <v>6512</v>
      </c>
    </row>
    <row r="1199" spans="1:53" x14ac:dyDescent="0.25">
      <c r="A1199">
        <v>1194</v>
      </c>
      <c r="B1199" t="s">
        <v>6730</v>
      </c>
      <c r="C1199" t="s">
        <v>6731</v>
      </c>
      <c r="D1199" t="s">
        <v>6542</v>
      </c>
      <c r="E1199">
        <v>7</v>
      </c>
      <c r="F1199" t="s">
        <v>6501</v>
      </c>
      <c r="G1199" t="s">
        <v>6732</v>
      </c>
      <c r="H1199" t="s">
        <v>6733</v>
      </c>
      <c r="I1199" t="s">
        <v>6734</v>
      </c>
      <c r="J1199" t="s">
        <v>6735</v>
      </c>
      <c r="K1199" t="s">
        <v>6736</v>
      </c>
      <c r="L1199" t="s">
        <v>6507</v>
      </c>
      <c r="M1199">
        <v>324.54248046875</v>
      </c>
      <c r="N1199" t="s">
        <v>53</v>
      </c>
      <c r="O1199" t="s">
        <v>53</v>
      </c>
      <c r="P1199" t="s">
        <v>53</v>
      </c>
      <c r="Q1199" t="s">
        <v>54</v>
      </c>
      <c r="R1199" t="s">
        <v>53</v>
      </c>
      <c r="S1199" t="s">
        <v>6737</v>
      </c>
      <c r="T1199" t="s">
        <v>6737</v>
      </c>
      <c r="U1199" t="s">
        <v>53</v>
      </c>
      <c r="V1199" t="s">
        <v>138</v>
      </c>
      <c r="W1199">
        <v>671000</v>
      </c>
      <c r="X1199" t="s">
        <v>53</v>
      </c>
      <c r="Y1199" t="s">
        <v>6509</v>
      </c>
      <c r="Z1199">
        <v>0</v>
      </c>
      <c r="AA1199">
        <v>278</v>
      </c>
      <c r="AB1199">
        <v>134</v>
      </c>
      <c r="AC1199">
        <v>340</v>
      </c>
      <c r="AD1199">
        <v>218</v>
      </c>
      <c r="AE1199">
        <v>340</v>
      </c>
      <c r="AF1199">
        <v>2</v>
      </c>
      <c r="AG1199">
        <v>1</v>
      </c>
      <c r="AH1199">
        <v>246.07391357421881</v>
      </c>
      <c r="AI1199">
        <v>0</v>
      </c>
      <c r="AJ1199">
        <v>49749.90234375</v>
      </c>
      <c r="AK1199" t="s">
        <v>54</v>
      </c>
      <c r="AL1199" t="s">
        <v>53</v>
      </c>
      <c r="AM1199" t="s">
        <v>6509</v>
      </c>
      <c r="AQ1199" t="s">
        <v>54</v>
      </c>
      <c r="AR1199" t="s">
        <v>6509</v>
      </c>
      <c r="AT1199" t="s">
        <v>6511</v>
      </c>
      <c r="AV1199" t="s">
        <v>6509</v>
      </c>
      <c r="AW1199" t="s">
        <v>53</v>
      </c>
      <c r="AX1199" t="s">
        <v>6509</v>
      </c>
      <c r="AZ1199" t="s">
        <v>54</v>
      </c>
      <c r="BA1199" t="s">
        <v>6512</v>
      </c>
    </row>
    <row r="1200" spans="1:53" x14ac:dyDescent="0.25">
      <c r="A1200">
        <v>1195</v>
      </c>
      <c r="B1200" t="s">
        <v>6738</v>
      </c>
      <c r="C1200" t="s">
        <v>6739</v>
      </c>
      <c r="D1200" t="s">
        <v>6740</v>
      </c>
      <c r="E1200">
        <v>7</v>
      </c>
      <c r="F1200" t="s">
        <v>6501</v>
      </c>
      <c r="G1200" t="s">
        <v>6732</v>
      </c>
      <c r="H1200" t="s">
        <v>6733</v>
      </c>
      <c r="I1200" t="s">
        <v>6734</v>
      </c>
      <c r="J1200" t="s">
        <v>6735</v>
      </c>
      <c r="K1200" t="s">
        <v>6736</v>
      </c>
      <c r="L1200" t="s">
        <v>6507</v>
      </c>
      <c r="M1200">
        <v>324.54248046875</v>
      </c>
      <c r="N1200" t="s">
        <v>53</v>
      </c>
      <c r="O1200" t="s">
        <v>53</v>
      </c>
      <c r="P1200" t="s">
        <v>53</v>
      </c>
      <c r="Q1200" t="s">
        <v>54</v>
      </c>
      <c r="R1200" t="s">
        <v>53</v>
      </c>
      <c r="S1200" t="s">
        <v>6737</v>
      </c>
      <c r="T1200" t="s">
        <v>6737</v>
      </c>
      <c r="U1200" t="s">
        <v>53</v>
      </c>
      <c r="V1200" t="s">
        <v>138</v>
      </c>
      <c r="W1200">
        <v>500000</v>
      </c>
      <c r="X1200" t="s">
        <v>53</v>
      </c>
      <c r="Y1200" t="s">
        <v>6509</v>
      </c>
      <c r="Z1200">
        <v>0</v>
      </c>
      <c r="AA1200">
        <v>278</v>
      </c>
      <c r="AB1200">
        <v>134</v>
      </c>
      <c r="AC1200">
        <v>340</v>
      </c>
      <c r="AD1200">
        <v>218</v>
      </c>
      <c r="AE1200">
        <v>340</v>
      </c>
      <c r="AF1200">
        <v>2</v>
      </c>
      <c r="AG1200">
        <v>1</v>
      </c>
      <c r="AH1200">
        <v>246.07391357421881</v>
      </c>
      <c r="AI1200">
        <v>0</v>
      </c>
      <c r="AJ1200">
        <v>49749.90234375</v>
      </c>
      <c r="AK1200" t="s">
        <v>54</v>
      </c>
      <c r="AL1200" t="s">
        <v>53</v>
      </c>
      <c r="AM1200" t="s">
        <v>6509</v>
      </c>
      <c r="AQ1200" t="s">
        <v>54</v>
      </c>
      <c r="AR1200" t="s">
        <v>6509</v>
      </c>
      <c r="AT1200" t="s">
        <v>6511</v>
      </c>
      <c r="AV1200" t="s">
        <v>6509</v>
      </c>
      <c r="AW1200" t="s">
        <v>53</v>
      </c>
      <c r="AX1200" t="s">
        <v>6509</v>
      </c>
      <c r="AZ1200" t="s">
        <v>54</v>
      </c>
      <c r="BA1200" t="s">
        <v>6512</v>
      </c>
    </row>
    <row r="1201" spans="1:53" x14ac:dyDescent="0.25">
      <c r="A1201">
        <v>1196</v>
      </c>
      <c r="B1201" t="s">
        <v>6741</v>
      </c>
      <c r="C1201" t="s">
        <v>6742</v>
      </c>
      <c r="D1201" t="s">
        <v>6518</v>
      </c>
      <c r="E1201">
        <v>7</v>
      </c>
      <c r="F1201" t="s">
        <v>6501</v>
      </c>
      <c r="G1201" t="s">
        <v>6732</v>
      </c>
      <c r="H1201" t="s">
        <v>6733</v>
      </c>
      <c r="I1201" t="s">
        <v>6734</v>
      </c>
      <c r="J1201" t="s">
        <v>6735</v>
      </c>
      <c r="K1201" t="s">
        <v>6736</v>
      </c>
      <c r="L1201" t="s">
        <v>6507</v>
      </c>
      <c r="M1201">
        <v>324.54248046875</v>
      </c>
      <c r="N1201" t="s">
        <v>53</v>
      </c>
      <c r="O1201" t="s">
        <v>53</v>
      </c>
      <c r="P1201" t="s">
        <v>53</v>
      </c>
      <c r="Q1201" t="s">
        <v>54</v>
      </c>
      <c r="R1201" t="s">
        <v>53</v>
      </c>
      <c r="S1201" t="s">
        <v>6737</v>
      </c>
      <c r="T1201" t="s">
        <v>6737</v>
      </c>
      <c r="U1201" t="s">
        <v>53</v>
      </c>
      <c r="V1201" t="s">
        <v>1973</v>
      </c>
      <c r="W1201">
        <v>100000</v>
      </c>
      <c r="X1201" t="s">
        <v>53</v>
      </c>
      <c r="Y1201" t="s">
        <v>6509</v>
      </c>
      <c r="Z1201">
        <v>0</v>
      </c>
      <c r="AA1201">
        <v>278</v>
      </c>
      <c r="AB1201">
        <v>134</v>
      </c>
      <c r="AC1201">
        <v>340</v>
      </c>
      <c r="AD1201">
        <v>218</v>
      </c>
      <c r="AE1201">
        <v>340</v>
      </c>
      <c r="AF1201">
        <v>2</v>
      </c>
      <c r="AG1201">
        <v>1</v>
      </c>
      <c r="AH1201">
        <v>246.07391357421881</v>
      </c>
      <c r="AI1201">
        <v>0</v>
      </c>
      <c r="AJ1201">
        <v>49749.90234375</v>
      </c>
      <c r="AK1201" t="s">
        <v>53</v>
      </c>
      <c r="AL1201" t="s">
        <v>53</v>
      </c>
      <c r="AM1201" t="s">
        <v>6509</v>
      </c>
      <c r="AQ1201" t="s">
        <v>54</v>
      </c>
      <c r="AR1201" t="s">
        <v>6509</v>
      </c>
      <c r="AT1201" t="s">
        <v>6511</v>
      </c>
      <c r="AV1201" t="s">
        <v>6509</v>
      </c>
      <c r="AW1201" t="s">
        <v>53</v>
      </c>
      <c r="AX1201" t="s">
        <v>6509</v>
      </c>
      <c r="AZ1201" t="s">
        <v>54</v>
      </c>
      <c r="BA1201" t="s">
        <v>6512</v>
      </c>
    </row>
    <row r="1202" spans="1:53" x14ac:dyDescent="0.25">
      <c r="A1202">
        <v>1197</v>
      </c>
      <c r="B1202" t="s">
        <v>6743</v>
      </c>
      <c r="C1202" t="s">
        <v>6744</v>
      </c>
      <c r="D1202" t="s">
        <v>6500</v>
      </c>
      <c r="E1202">
        <v>7</v>
      </c>
      <c r="F1202" t="s">
        <v>6501</v>
      </c>
      <c r="G1202" t="s">
        <v>2478</v>
      </c>
      <c r="H1202" t="s">
        <v>6745</v>
      </c>
      <c r="I1202" t="s">
        <v>6746</v>
      </c>
      <c r="J1202" t="s">
        <v>6747</v>
      </c>
      <c r="K1202" t="s">
        <v>6748</v>
      </c>
      <c r="L1202" t="s">
        <v>6507</v>
      </c>
      <c r="M1202">
        <v>406.96072387695313</v>
      </c>
      <c r="N1202" t="s">
        <v>54</v>
      </c>
      <c r="O1202" t="s">
        <v>53</v>
      </c>
      <c r="P1202" t="s">
        <v>53</v>
      </c>
      <c r="Q1202" t="s">
        <v>54</v>
      </c>
      <c r="R1202" t="s">
        <v>53</v>
      </c>
      <c r="S1202" t="s">
        <v>2483</v>
      </c>
      <c r="T1202" t="s">
        <v>2483</v>
      </c>
      <c r="U1202" t="s">
        <v>53</v>
      </c>
      <c r="V1202" t="s">
        <v>138</v>
      </c>
      <c r="W1202">
        <v>1116000</v>
      </c>
      <c r="X1202" t="s">
        <v>53</v>
      </c>
      <c r="Y1202" t="s">
        <v>6509</v>
      </c>
      <c r="Z1202">
        <v>0</v>
      </c>
      <c r="AA1202">
        <v>116</v>
      </c>
      <c r="AB1202">
        <v>14</v>
      </c>
      <c r="AC1202">
        <v>68</v>
      </c>
      <c r="AD1202">
        <v>99</v>
      </c>
      <c r="AE1202">
        <v>99</v>
      </c>
      <c r="AF1202">
        <v>0</v>
      </c>
      <c r="AG1202">
        <v>4</v>
      </c>
      <c r="AH1202">
        <v>254.519775390625</v>
      </c>
      <c r="AI1202">
        <v>0</v>
      </c>
      <c r="AJ1202">
        <v>28586.623046875</v>
      </c>
      <c r="AK1202" t="s">
        <v>54</v>
      </c>
      <c r="AL1202" t="s">
        <v>53</v>
      </c>
      <c r="AM1202" t="s">
        <v>6509</v>
      </c>
      <c r="AQ1202" t="s">
        <v>54</v>
      </c>
      <c r="AR1202" t="s">
        <v>6509</v>
      </c>
      <c r="AT1202" t="s">
        <v>6511</v>
      </c>
      <c r="AV1202" t="s">
        <v>6509</v>
      </c>
      <c r="AW1202" t="s">
        <v>53</v>
      </c>
      <c r="AX1202" t="s">
        <v>6509</v>
      </c>
      <c r="AZ1202" t="s">
        <v>54</v>
      </c>
      <c r="BA1202" t="s">
        <v>6512</v>
      </c>
    </row>
    <row r="1203" spans="1:53" x14ac:dyDescent="0.25">
      <c r="A1203">
        <v>1198</v>
      </c>
      <c r="B1203" t="s">
        <v>6749</v>
      </c>
      <c r="C1203" t="s">
        <v>6750</v>
      </c>
      <c r="D1203" t="s">
        <v>6518</v>
      </c>
      <c r="E1203">
        <v>7</v>
      </c>
      <c r="F1203" t="s">
        <v>6501</v>
      </c>
      <c r="G1203" t="s">
        <v>2478</v>
      </c>
      <c r="H1203" t="s">
        <v>6745</v>
      </c>
      <c r="I1203" t="s">
        <v>6746</v>
      </c>
      <c r="J1203" t="s">
        <v>6747</v>
      </c>
      <c r="K1203" t="s">
        <v>6748</v>
      </c>
      <c r="L1203" t="s">
        <v>6507</v>
      </c>
      <c r="M1203">
        <v>406.96072387695313</v>
      </c>
      <c r="N1203" t="s">
        <v>54</v>
      </c>
      <c r="O1203" t="s">
        <v>53</v>
      </c>
      <c r="P1203" t="s">
        <v>53</v>
      </c>
      <c r="Q1203" t="s">
        <v>54</v>
      </c>
      <c r="R1203" t="s">
        <v>53</v>
      </c>
      <c r="S1203" t="s">
        <v>2483</v>
      </c>
      <c r="T1203" t="s">
        <v>2483</v>
      </c>
      <c r="U1203" t="s">
        <v>53</v>
      </c>
      <c r="V1203" t="s">
        <v>1973</v>
      </c>
      <c r="W1203">
        <v>100000</v>
      </c>
      <c r="X1203" t="s">
        <v>53</v>
      </c>
      <c r="Y1203" t="s">
        <v>6509</v>
      </c>
      <c r="Z1203">
        <v>0</v>
      </c>
      <c r="AA1203">
        <v>116</v>
      </c>
      <c r="AB1203">
        <v>14</v>
      </c>
      <c r="AC1203">
        <v>68</v>
      </c>
      <c r="AD1203">
        <v>99</v>
      </c>
      <c r="AE1203">
        <v>99</v>
      </c>
      <c r="AF1203">
        <v>0</v>
      </c>
      <c r="AG1203">
        <v>4</v>
      </c>
      <c r="AH1203">
        <v>254.519775390625</v>
      </c>
      <c r="AI1203">
        <v>0</v>
      </c>
      <c r="AJ1203">
        <v>28586.623046875</v>
      </c>
      <c r="AK1203" t="s">
        <v>53</v>
      </c>
      <c r="AL1203" t="s">
        <v>53</v>
      </c>
      <c r="AM1203" t="s">
        <v>6509</v>
      </c>
      <c r="AQ1203" t="s">
        <v>54</v>
      </c>
      <c r="AR1203" t="s">
        <v>6509</v>
      </c>
      <c r="AT1203" t="s">
        <v>6511</v>
      </c>
      <c r="AV1203" t="s">
        <v>6509</v>
      </c>
      <c r="AW1203" t="s">
        <v>53</v>
      </c>
      <c r="AX1203" t="s">
        <v>6509</v>
      </c>
      <c r="AZ1203" t="s">
        <v>54</v>
      </c>
      <c r="BA1203" t="s">
        <v>6512</v>
      </c>
    </row>
    <row r="1204" spans="1:53" x14ac:dyDescent="0.25">
      <c r="A1204">
        <v>1199</v>
      </c>
      <c r="B1204" t="s">
        <v>6751</v>
      </c>
      <c r="C1204" t="s">
        <v>6752</v>
      </c>
      <c r="D1204" t="s">
        <v>6542</v>
      </c>
      <c r="E1204">
        <v>7</v>
      </c>
      <c r="F1204" t="s">
        <v>6501</v>
      </c>
      <c r="G1204" t="s">
        <v>6753</v>
      </c>
      <c r="H1204" t="s">
        <v>6754</v>
      </c>
      <c r="I1204" t="s">
        <v>6755</v>
      </c>
      <c r="J1204" t="s">
        <v>6756</v>
      </c>
      <c r="K1204" t="s">
        <v>6757</v>
      </c>
      <c r="L1204" t="s">
        <v>6507</v>
      </c>
      <c r="M1204">
        <v>1015.961608886719</v>
      </c>
      <c r="N1204" t="s">
        <v>53</v>
      </c>
      <c r="O1204" t="s">
        <v>53</v>
      </c>
      <c r="P1204" t="s">
        <v>53</v>
      </c>
      <c r="Q1204" t="s">
        <v>54</v>
      </c>
      <c r="R1204" t="s">
        <v>53</v>
      </c>
      <c r="S1204" t="s">
        <v>6758</v>
      </c>
      <c r="T1204" t="s">
        <v>6758</v>
      </c>
      <c r="U1204" t="s">
        <v>53</v>
      </c>
      <c r="V1204" t="s">
        <v>138</v>
      </c>
      <c r="W1204">
        <v>890000</v>
      </c>
      <c r="X1204" t="s">
        <v>53</v>
      </c>
      <c r="Y1204" t="s">
        <v>6509</v>
      </c>
      <c r="Z1204">
        <v>0</v>
      </c>
      <c r="AA1204">
        <v>438</v>
      </c>
      <c r="AB1204">
        <v>208</v>
      </c>
      <c r="AC1204">
        <v>932</v>
      </c>
      <c r="AD1204">
        <v>624</v>
      </c>
      <c r="AE1204">
        <v>932</v>
      </c>
      <c r="AF1204">
        <v>3</v>
      </c>
      <c r="AG1204">
        <v>24</v>
      </c>
      <c r="AH1204">
        <v>612.3271484375</v>
      </c>
      <c r="AI1204">
        <v>0</v>
      </c>
      <c r="AJ1204">
        <v>46012.81640625</v>
      </c>
      <c r="AK1204" t="s">
        <v>54</v>
      </c>
      <c r="AL1204" t="s">
        <v>53</v>
      </c>
      <c r="AM1204" t="s">
        <v>6509</v>
      </c>
      <c r="AQ1204" t="s">
        <v>54</v>
      </c>
      <c r="AR1204" t="s">
        <v>6509</v>
      </c>
      <c r="AT1204" t="s">
        <v>6511</v>
      </c>
      <c r="AV1204" t="s">
        <v>6509</v>
      </c>
      <c r="AW1204" t="s">
        <v>53</v>
      </c>
      <c r="AX1204" t="s">
        <v>6509</v>
      </c>
      <c r="AZ1204" t="s">
        <v>54</v>
      </c>
      <c r="BA1204" t="s">
        <v>6512</v>
      </c>
    </row>
    <row r="1205" spans="1:53" x14ac:dyDescent="0.25">
      <c r="A1205">
        <v>1200</v>
      </c>
      <c r="B1205" t="s">
        <v>6759</v>
      </c>
      <c r="C1205" t="s">
        <v>6760</v>
      </c>
      <c r="D1205" t="s">
        <v>6515</v>
      </c>
      <c r="E1205">
        <v>7</v>
      </c>
      <c r="F1205" t="s">
        <v>6501</v>
      </c>
      <c r="G1205" t="s">
        <v>6753</v>
      </c>
      <c r="H1205" t="s">
        <v>6754</v>
      </c>
      <c r="I1205" t="s">
        <v>6755</v>
      </c>
      <c r="J1205" t="s">
        <v>6756</v>
      </c>
      <c r="K1205" t="s">
        <v>6757</v>
      </c>
      <c r="L1205" t="s">
        <v>6507</v>
      </c>
      <c r="M1205">
        <v>1015.961608886719</v>
      </c>
      <c r="N1205" t="s">
        <v>53</v>
      </c>
      <c r="O1205" t="s">
        <v>53</v>
      </c>
      <c r="P1205" t="s">
        <v>53</v>
      </c>
      <c r="Q1205" t="s">
        <v>54</v>
      </c>
      <c r="R1205" t="s">
        <v>53</v>
      </c>
      <c r="S1205" t="s">
        <v>6758</v>
      </c>
      <c r="T1205" t="s">
        <v>6758</v>
      </c>
      <c r="U1205" t="s">
        <v>53</v>
      </c>
      <c r="V1205" t="s">
        <v>138</v>
      </c>
      <c r="W1205">
        <v>500000</v>
      </c>
      <c r="X1205" t="s">
        <v>53</v>
      </c>
      <c r="Y1205" t="s">
        <v>6509</v>
      </c>
      <c r="Z1205">
        <v>0</v>
      </c>
      <c r="AA1205">
        <v>438</v>
      </c>
      <c r="AB1205">
        <v>208</v>
      </c>
      <c r="AC1205">
        <v>932</v>
      </c>
      <c r="AD1205">
        <v>624</v>
      </c>
      <c r="AE1205">
        <v>932</v>
      </c>
      <c r="AF1205">
        <v>3</v>
      </c>
      <c r="AG1205">
        <v>24</v>
      </c>
      <c r="AH1205">
        <v>612.3271484375</v>
      </c>
      <c r="AI1205">
        <v>0</v>
      </c>
      <c r="AJ1205">
        <v>46012.81640625</v>
      </c>
      <c r="AK1205" t="s">
        <v>54</v>
      </c>
      <c r="AL1205" t="s">
        <v>53</v>
      </c>
      <c r="AM1205" t="s">
        <v>6509</v>
      </c>
      <c r="AQ1205" t="s">
        <v>54</v>
      </c>
      <c r="AR1205" t="s">
        <v>6509</v>
      </c>
      <c r="AT1205" t="s">
        <v>6511</v>
      </c>
      <c r="AV1205" t="s">
        <v>6509</v>
      </c>
      <c r="AW1205" t="s">
        <v>53</v>
      </c>
      <c r="AX1205" t="s">
        <v>6509</v>
      </c>
      <c r="AZ1205" t="s">
        <v>54</v>
      </c>
      <c r="BA1205" t="s">
        <v>6512</v>
      </c>
    </row>
    <row r="1206" spans="1:53" x14ac:dyDescent="0.25">
      <c r="A1206">
        <v>1201</v>
      </c>
      <c r="B1206" t="s">
        <v>6761</v>
      </c>
      <c r="C1206" t="s">
        <v>6762</v>
      </c>
      <c r="D1206" t="s">
        <v>6518</v>
      </c>
      <c r="E1206">
        <v>7</v>
      </c>
      <c r="F1206" t="s">
        <v>6501</v>
      </c>
      <c r="G1206" t="s">
        <v>6753</v>
      </c>
      <c r="H1206" t="s">
        <v>6754</v>
      </c>
      <c r="I1206" t="s">
        <v>6755</v>
      </c>
      <c r="J1206" t="s">
        <v>6756</v>
      </c>
      <c r="K1206" t="s">
        <v>6757</v>
      </c>
      <c r="L1206" t="s">
        <v>6507</v>
      </c>
      <c r="M1206">
        <v>1015.961608886719</v>
      </c>
      <c r="N1206" t="s">
        <v>53</v>
      </c>
      <c r="O1206" t="s">
        <v>53</v>
      </c>
      <c r="P1206" t="s">
        <v>53</v>
      </c>
      <c r="Q1206" t="s">
        <v>54</v>
      </c>
      <c r="R1206" t="s">
        <v>53</v>
      </c>
      <c r="S1206" t="s">
        <v>6758</v>
      </c>
      <c r="T1206" t="s">
        <v>6758</v>
      </c>
      <c r="U1206" t="s">
        <v>53</v>
      </c>
      <c r="V1206" t="s">
        <v>1973</v>
      </c>
      <c r="W1206">
        <v>100000</v>
      </c>
      <c r="X1206" t="s">
        <v>53</v>
      </c>
      <c r="Y1206" t="s">
        <v>6509</v>
      </c>
      <c r="Z1206">
        <v>0</v>
      </c>
      <c r="AA1206">
        <v>438</v>
      </c>
      <c r="AB1206">
        <v>208</v>
      </c>
      <c r="AC1206">
        <v>932</v>
      </c>
      <c r="AD1206">
        <v>624</v>
      </c>
      <c r="AE1206">
        <v>932</v>
      </c>
      <c r="AF1206">
        <v>3</v>
      </c>
      <c r="AG1206">
        <v>24</v>
      </c>
      <c r="AH1206">
        <v>612.3271484375</v>
      </c>
      <c r="AI1206">
        <v>0</v>
      </c>
      <c r="AJ1206">
        <v>46012.81640625</v>
      </c>
      <c r="AK1206" t="s">
        <v>53</v>
      </c>
      <c r="AL1206" t="s">
        <v>53</v>
      </c>
      <c r="AM1206" t="s">
        <v>6509</v>
      </c>
      <c r="AQ1206" t="s">
        <v>54</v>
      </c>
      <c r="AR1206" t="s">
        <v>6509</v>
      </c>
      <c r="AT1206" t="s">
        <v>6511</v>
      </c>
      <c r="AV1206" t="s">
        <v>6509</v>
      </c>
      <c r="AW1206" t="s">
        <v>53</v>
      </c>
      <c r="AX1206" t="s">
        <v>6509</v>
      </c>
      <c r="AZ1206" t="s">
        <v>54</v>
      </c>
      <c r="BA1206" t="s">
        <v>6512</v>
      </c>
    </row>
    <row r="1207" spans="1:53" x14ac:dyDescent="0.25">
      <c r="A1207">
        <v>1202</v>
      </c>
      <c r="B1207" t="s">
        <v>6763</v>
      </c>
      <c r="C1207" t="s">
        <v>6764</v>
      </c>
      <c r="D1207" t="s">
        <v>6542</v>
      </c>
      <c r="E1207">
        <v>7</v>
      </c>
      <c r="F1207" t="s">
        <v>6501</v>
      </c>
      <c r="G1207" t="s">
        <v>6765</v>
      </c>
      <c r="H1207" t="s">
        <v>6766</v>
      </c>
      <c r="I1207" t="s">
        <v>6767</v>
      </c>
      <c r="J1207" t="s">
        <v>6768</v>
      </c>
      <c r="K1207" t="s">
        <v>6769</v>
      </c>
      <c r="L1207" t="s">
        <v>6507</v>
      </c>
      <c r="M1207">
        <v>826.03533935546875</v>
      </c>
      <c r="N1207" t="s">
        <v>53</v>
      </c>
      <c r="O1207" t="s">
        <v>53</v>
      </c>
      <c r="P1207" t="s">
        <v>53</v>
      </c>
      <c r="Q1207" t="s">
        <v>54</v>
      </c>
      <c r="R1207" t="s">
        <v>53</v>
      </c>
      <c r="S1207" t="s">
        <v>6770</v>
      </c>
      <c r="T1207" t="s">
        <v>6770</v>
      </c>
      <c r="U1207" t="s">
        <v>53</v>
      </c>
      <c r="V1207" t="s">
        <v>138</v>
      </c>
      <c r="W1207">
        <v>711000</v>
      </c>
      <c r="X1207" t="s">
        <v>53</v>
      </c>
      <c r="Y1207" t="s">
        <v>6509</v>
      </c>
      <c r="Z1207">
        <v>0</v>
      </c>
      <c r="AA1207">
        <v>475</v>
      </c>
      <c r="AB1207">
        <v>46</v>
      </c>
      <c r="AC1207">
        <v>682</v>
      </c>
      <c r="AD1207">
        <v>759</v>
      </c>
      <c r="AE1207">
        <v>759</v>
      </c>
      <c r="AF1207">
        <v>1</v>
      </c>
      <c r="AG1207">
        <v>13</v>
      </c>
      <c r="AH1207">
        <v>499.0328369140625</v>
      </c>
      <c r="AI1207">
        <v>0</v>
      </c>
      <c r="AJ1207">
        <v>32566.796875</v>
      </c>
      <c r="AK1207" t="s">
        <v>54</v>
      </c>
      <c r="AL1207" t="s">
        <v>53</v>
      </c>
      <c r="AM1207" t="s">
        <v>6509</v>
      </c>
      <c r="AQ1207" t="s">
        <v>54</v>
      </c>
      <c r="AR1207" t="s">
        <v>6509</v>
      </c>
      <c r="AT1207" t="s">
        <v>6511</v>
      </c>
      <c r="AV1207" t="s">
        <v>6509</v>
      </c>
      <c r="AW1207" t="s">
        <v>53</v>
      </c>
      <c r="AX1207" t="s">
        <v>6509</v>
      </c>
      <c r="AZ1207" t="s">
        <v>54</v>
      </c>
      <c r="BA1207" t="s">
        <v>6512</v>
      </c>
    </row>
    <row r="1208" spans="1:53" x14ac:dyDescent="0.25">
      <c r="A1208">
        <v>1203</v>
      </c>
      <c r="B1208" t="s">
        <v>6771</v>
      </c>
      <c r="C1208" t="s">
        <v>6772</v>
      </c>
      <c r="D1208" t="s">
        <v>6518</v>
      </c>
      <c r="E1208">
        <v>7</v>
      </c>
      <c r="F1208" t="s">
        <v>6501</v>
      </c>
      <c r="G1208" t="s">
        <v>6765</v>
      </c>
      <c r="H1208" t="s">
        <v>6766</v>
      </c>
      <c r="I1208" t="s">
        <v>6767</v>
      </c>
      <c r="J1208" t="s">
        <v>6768</v>
      </c>
      <c r="K1208" t="s">
        <v>6769</v>
      </c>
      <c r="L1208" t="s">
        <v>6507</v>
      </c>
      <c r="M1208">
        <v>826.03533935546875</v>
      </c>
      <c r="N1208" t="s">
        <v>53</v>
      </c>
      <c r="O1208" t="s">
        <v>53</v>
      </c>
      <c r="P1208" t="s">
        <v>53</v>
      </c>
      <c r="Q1208" t="s">
        <v>54</v>
      </c>
      <c r="R1208" t="s">
        <v>53</v>
      </c>
      <c r="S1208" t="s">
        <v>6770</v>
      </c>
      <c r="T1208" t="s">
        <v>6770</v>
      </c>
      <c r="U1208" t="s">
        <v>53</v>
      </c>
      <c r="V1208" t="s">
        <v>1973</v>
      </c>
      <c r="W1208">
        <v>100000</v>
      </c>
      <c r="X1208" t="s">
        <v>53</v>
      </c>
      <c r="Y1208" t="s">
        <v>6509</v>
      </c>
      <c r="Z1208">
        <v>0</v>
      </c>
      <c r="AA1208">
        <v>475</v>
      </c>
      <c r="AB1208">
        <v>46</v>
      </c>
      <c r="AC1208">
        <v>682</v>
      </c>
      <c r="AD1208">
        <v>759</v>
      </c>
      <c r="AE1208">
        <v>759</v>
      </c>
      <c r="AF1208">
        <v>1</v>
      </c>
      <c r="AG1208">
        <v>13</v>
      </c>
      <c r="AH1208">
        <v>499.0328369140625</v>
      </c>
      <c r="AI1208">
        <v>0</v>
      </c>
      <c r="AJ1208">
        <v>32566.796875</v>
      </c>
      <c r="AK1208" t="s">
        <v>53</v>
      </c>
      <c r="AL1208" t="s">
        <v>53</v>
      </c>
      <c r="AM1208" t="s">
        <v>6509</v>
      </c>
      <c r="AQ1208" t="s">
        <v>54</v>
      </c>
      <c r="AR1208" t="s">
        <v>6509</v>
      </c>
      <c r="AT1208" t="s">
        <v>6511</v>
      </c>
      <c r="AV1208" t="s">
        <v>6509</v>
      </c>
      <c r="AW1208" t="s">
        <v>53</v>
      </c>
      <c r="AX1208" t="s">
        <v>6509</v>
      </c>
      <c r="AZ1208" t="s">
        <v>54</v>
      </c>
      <c r="BA1208" t="s">
        <v>6512</v>
      </c>
    </row>
    <row r="1209" spans="1:53" x14ac:dyDescent="0.25">
      <c r="A1209">
        <v>1204</v>
      </c>
      <c r="B1209" t="s">
        <v>6773</v>
      </c>
      <c r="C1209" t="s">
        <v>6774</v>
      </c>
      <c r="D1209" t="s">
        <v>6500</v>
      </c>
      <c r="E1209">
        <v>7</v>
      </c>
      <c r="F1209" t="s">
        <v>6501</v>
      </c>
      <c r="G1209" t="s">
        <v>6775</v>
      </c>
      <c r="H1209" t="s">
        <v>6776</v>
      </c>
      <c r="I1209" t="s">
        <v>6777</v>
      </c>
      <c r="J1209" t="s">
        <v>6778</v>
      </c>
      <c r="K1209" t="s">
        <v>6779</v>
      </c>
      <c r="L1209" t="s">
        <v>6507</v>
      </c>
      <c r="M1209">
        <v>24.941936492919918</v>
      </c>
      <c r="N1209" t="s">
        <v>53</v>
      </c>
      <c r="O1209" t="s">
        <v>53</v>
      </c>
      <c r="P1209" t="s">
        <v>53</v>
      </c>
      <c r="Q1209" t="s">
        <v>54</v>
      </c>
      <c r="R1209" t="s">
        <v>53</v>
      </c>
      <c r="S1209" t="s">
        <v>6780</v>
      </c>
      <c r="T1209" t="s">
        <v>6780</v>
      </c>
      <c r="U1209" t="s">
        <v>53</v>
      </c>
      <c r="V1209" t="s">
        <v>138</v>
      </c>
      <c r="W1209">
        <v>1010000</v>
      </c>
      <c r="X1209" t="s">
        <v>53</v>
      </c>
      <c r="Y1209" t="s">
        <v>6509</v>
      </c>
      <c r="Z1209">
        <v>0</v>
      </c>
      <c r="AA1209">
        <v>4</v>
      </c>
      <c r="AB1209">
        <v>0</v>
      </c>
      <c r="AC1209">
        <v>1</v>
      </c>
      <c r="AD1209">
        <v>5</v>
      </c>
      <c r="AE1209">
        <v>5</v>
      </c>
      <c r="AF1209">
        <v>0</v>
      </c>
      <c r="AG1209">
        <v>0</v>
      </c>
      <c r="AH1209">
        <v>27.414487838745121</v>
      </c>
      <c r="AI1209">
        <v>0</v>
      </c>
      <c r="AJ1209">
        <v>3373.045166015625</v>
      </c>
      <c r="AK1209" t="s">
        <v>54</v>
      </c>
      <c r="AL1209" t="s">
        <v>53</v>
      </c>
      <c r="AM1209" t="s">
        <v>6509</v>
      </c>
      <c r="AQ1209" t="s">
        <v>54</v>
      </c>
      <c r="AR1209" t="s">
        <v>6509</v>
      </c>
      <c r="AT1209" t="s">
        <v>6511</v>
      </c>
      <c r="AV1209" t="s">
        <v>6509</v>
      </c>
      <c r="AW1209" t="s">
        <v>53</v>
      </c>
      <c r="AX1209" t="s">
        <v>6509</v>
      </c>
      <c r="AZ1209" t="s">
        <v>54</v>
      </c>
      <c r="BA1209" t="s">
        <v>6512</v>
      </c>
    </row>
    <row r="1210" spans="1:53" x14ac:dyDescent="0.25">
      <c r="A1210">
        <v>1205</v>
      </c>
      <c r="B1210" t="s">
        <v>6781</v>
      </c>
      <c r="C1210" t="s">
        <v>6782</v>
      </c>
      <c r="D1210" t="s">
        <v>6518</v>
      </c>
      <c r="E1210">
        <v>7</v>
      </c>
      <c r="F1210" t="s">
        <v>6501</v>
      </c>
      <c r="G1210" t="s">
        <v>6775</v>
      </c>
      <c r="H1210" t="s">
        <v>6776</v>
      </c>
      <c r="I1210" t="s">
        <v>6777</v>
      </c>
      <c r="J1210" t="s">
        <v>6778</v>
      </c>
      <c r="K1210" t="s">
        <v>6779</v>
      </c>
      <c r="L1210" t="s">
        <v>6507</v>
      </c>
      <c r="M1210">
        <v>24.941936492919918</v>
      </c>
      <c r="N1210" t="s">
        <v>53</v>
      </c>
      <c r="O1210" t="s">
        <v>53</v>
      </c>
      <c r="P1210" t="s">
        <v>53</v>
      </c>
      <c r="Q1210" t="s">
        <v>54</v>
      </c>
      <c r="R1210" t="s">
        <v>53</v>
      </c>
      <c r="S1210" t="s">
        <v>6780</v>
      </c>
      <c r="T1210" t="s">
        <v>6780</v>
      </c>
      <c r="U1210" t="s">
        <v>53</v>
      </c>
      <c r="V1210" t="s">
        <v>1973</v>
      </c>
      <c r="W1210">
        <v>100000</v>
      </c>
      <c r="X1210" t="s">
        <v>53</v>
      </c>
      <c r="Y1210" t="s">
        <v>6509</v>
      </c>
      <c r="Z1210">
        <v>0</v>
      </c>
      <c r="AA1210">
        <v>4</v>
      </c>
      <c r="AB1210">
        <v>0</v>
      </c>
      <c r="AC1210">
        <v>1</v>
      </c>
      <c r="AD1210">
        <v>5</v>
      </c>
      <c r="AE1210">
        <v>5</v>
      </c>
      <c r="AF1210">
        <v>0</v>
      </c>
      <c r="AG1210">
        <v>0</v>
      </c>
      <c r="AH1210">
        <v>27.414487838745121</v>
      </c>
      <c r="AI1210">
        <v>0</v>
      </c>
      <c r="AJ1210">
        <v>3373.045166015625</v>
      </c>
      <c r="AK1210" t="s">
        <v>53</v>
      </c>
      <c r="AL1210" t="s">
        <v>53</v>
      </c>
      <c r="AM1210" t="s">
        <v>6509</v>
      </c>
      <c r="AQ1210" t="s">
        <v>54</v>
      </c>
      <c r="AR1210" t="s">
        <v>6509</v>
      </c>
      <c r="AT1210" t="s">
        <v>6511</v>
      </c>
      <c r="AV1210" t="s">
        <v>6509</v>
      </c>
      <c r="AW1210" t="s">
        <v>53</v>
      </c>
      <c r="AX1210" t="s">
        <v>6509</v>
      </c>
      <c r="AZ1210" t="s">
        <v>54</v>
      </c>
      <c r="BA1210" t="s">
        <v>6512</v>
      </c>
    </row>
    <row r="1211" spans="1:53" x14ac:dyDescent="0.25">
      <c r="A1211">
        <v>1206</v>
      </c>
      <c r="B1211" t="s">
        <v>6783</v>
      </c>
      <c r="C1211" t="s">
        <v>6784</v>
      </c>
      <c r="D1211" t="s">
        <v>6542</v>
      </c>
      <c r="E1211">
        <v>7</v>
      </c>
      <c r="F1211" t="s">
        <v>6501</v>
      </c>
      <c r="G1211" t="s">
        <v>2428</v>
      </c>
      <c r="H1211" t="s">
        <v>6785</v>
      </c>
      <c r="I1211" t="s">
        <v>6786</v>
      </c>
      <c r="J1211" t="s">
        <v>6787</v>
      </c>
      <c r="K1211" t="s">
        <v>6788</v>
      </c>
      <c r="L1211" t="s">
        <v>6507</v>
      </c>
      <c r="M1211">
        <v>432.36611938476563</v>
      </c>
      <c r="N1211" t="s">
        <v>54</v>
      </c>
      <c r="O1211" t="s">
        <v>53</v>
      </c>
      <c r="P1211" t="s">
        <v>53</v>
      </c>
      <c r="Q1211" t="s">
        <v>53</v>
      </c>
      <c r="R1211" t="s">
        <v>53</v>
      </c>
      <c r="S1211" t="s">
        <v>2433</v>
      </c>
      <c r="T1211" t="s">
        <v>2433</v>
      </c>
      <c r="U1211" t="s">
        <v>53</v>
      </c>
      <c r="V1211" t="s">
        <v>138</v>
      </c>
      <c r="W1211">
        <v>871000</v>
      </c>
      <c r="X1211" t="s">
        <v>53</v>
      </c>
      <c r="Y1211" t="s">
        <v>6509</v>
      </c>
      <c r="Z1211">
        <v>0</v>
      </c>
      <c r="AA1211">
        <v>968</v>
      </c>
      <c r="AB1211">
        <v>526</v>
      </c>
      <c r="AC1211">
        <v>1207</v>
      </c>
      <c r="AD1211">
        <v>1310</v>
      </c>
      <c r="AE1211">
        <v>1310</v>
      </c>
      <c r="AF1211">
        <v>4</v>
      </c>
      <c r="AG1211">
        <v>2</v>
      </c>
      <c r="AH1211">
        <v>130.4964294433594</v>
      </c>
      <c r="AI1211">
        <v>0</v>
      </c>
      <c r="AJ1211">
        <v>33293.21875</v>
      </c>
      <c r="AK1211" t="s">
        <v>54</v>
      </c>
      <c r="AL1211" t="s">
        <v>53</v>
      </c>
      <c r="AM1211" t="s">
        <v>6509</v>
      </c>
      <c r="AQ1211" t="s">
        <v>54</v>
      </c>
      <c r="AR1211" t="s">
        <v>6509</v>
      </c>
      <c r="AT1211" t="s">
        <v>6511</v>
      </c>
      <c r="AV1211" t="s">
        <v>6509</v>
      </c>
      <c r="AW1211" t="s">
        <v>53</v>
      </c>
      <c r="AX1211" t="s">
        <v>6509</v>
      </c>
      <c r="AZ1211" t="s">
        <v>54</v>
      </c>
      <c r="BA1211" t="s">
        <v>6512</v>
      </c>
    </row>
    <row r="1212" spans="1:53" x14ac:dyDescent="0.25">
      <c r="A1212">
        <v>1207</v>
      </c>
      <c r="B1212" t="s">
        <v>6789</v>
      </c>
      <c r="C1212" t="s">
        <v>6790</v>
      </c>
      <c r="D1212" t="s">
        <v>6515</v>
      </c>
      <c r="E1212">
        <v>7</v>
      </c>
      <c r="F1212" t="s">
        <v>6501</v>
      </c>
      <c r="G1212" t="s">
        <v>2428</v>
      </c>
      <c r="H1212" t="s">
        <v>6785</v>
      </c>
      <c r="I1212" t="s">
        <v>6786</v>
      </c>
      <c r="J1212" t="s">
        <v>6787</v>
      </c>
      <c r="K1212" t="s">
        <v>6788</v>
      </c>
      <c r="L1212" t="s">
        <v>6507</v>
      </c>
      <c r="M1212">
        <v>432.36611938476563</v>
      </c>
      <c r="N1212" t="s">
        <v>54</v>
      </c>
      <c r="O1212" t="s">
        <v>53</v>
      </c>
      <c r="P1212" t="s">
        <v>53</v>
      </c>
      <c r="Q1212" t="s">
        <v>53</v>
      </c>
      <c r="R1212" t="s">
        <v>53</v>
      </c>
      <c r="S1212" t="s">
        <v>2433</v>
      </c>
      <c r="T1212" t="s">
        <v>2433</v>
      </c>
      <c r="U1212" t="s">
        <v>53</v>
      </c>
      <c r="V1212" t="s">
        <v>138</v>
      </c>
      <c r="W1212">
        <v>500000</v>
      </c>
      <c r="X1212" t="s">
        <v>53</v>
      </c>
      <c r="Y1212" t="s">
        <v>6509</v>
      </c>
      <c r="Z1212">
        <v>0</v>
      </c>
      <c r="AA1212">
        <v>968</v>
      </c>
      <c r="AB1212">
        <v>526</v>
      </c>
      <c r="AC1212">
        <v>1207</v>
      </c>
      <c r="AD1212">
        <v>1310</v>
      </c>
      <c r="AE1212">
        <v>1310</v>
      </c>
      <c r="AF1212">
        <v>4</v>
      </c>
      <c r="AG1212">
        <v>2</v>
      </c>
      <c r="AH1212">
        <v>130.4964294433594</v>
      </c>
      <c r="AI1212">
        <v>0</v>
      </c>
      <c r="AJ1212">
        <v>33293.21875</v>
      </c>
      <c r="AK1212" t="s">
        <v>54</v>
      </c>
      <c r="AL1212" t="s">
        <v>53</v>
      </c>
      <c r="AM1212" t="s">
        <v>6509</v>
      </c>
      <c r="AQ1212" t="s">
        <v>54</v>
      </c>
      <c r="AR1212" t="s">
        <v>6509</v>
      </c>
      <c r="AT1212" t="s">
        <v>6511</v>
      </c>
      <c r="AV1212" t="s">
        <v>6509</v>
      </c>
      <c r="AW1212" t="s">
        <v>53</v>
      </c>
      <c r="AX1212" t="s">
        <v>6509</v>
      </c>
      <c r="AZ1212" t="s">
        <v>54</v>
      </c>
      <c r="BA1212" t="s">
        <v>6512</v>
      </c>
    </row>
    <row r="1213" spans="1:53" x14ac:dyDescent="0.25">
      <c r="A1213">
        <v>1208</v>
      </c>
      <c r="B1213" t="s">
        <v>6791</v>
      </c>
      <c r="C1213" t="s">
        <v>6792</v>
      </c>
      <c r="D1213" t="s">
        <v>6518</v>
      </c>
      <c r="E1213">
        <v>7</v>
      </c>
      <c r="F1213" t="s">
        <v>6501</v>
      </c>
      <c r="G1213" t="s">
        <v>2428</v>
      </c>
      <c r="H1213" t="s">
        <v>6785</v>
      </c>
      <c r="I1213" t="s">
        <v>6786</v>
      </c>
      <c r="J1213" t="s">
        <v>6787</v>
      </c>
      <c r="K1213" t="s">
        <v>6788</v>
      </c>
      <c r="L1213" t="s">
        <v>6507</v>
      </c>
      <c r="M1213">
        <v>432.36611938476563</v>
      </c>
      <c r="N1213" t="s">
        <v>54</v>
      </c>
      <c r="O1213" t="s">
        <v>53</v>
      </c>
      <c r="P1213" t="s">
        <v>53</v>
      </c>
      <c r="Q1213" t="s">
        <v>53</v>
      </c>
      <c r="R1213" t="s">
        <v>53</v>
      </c>
      <c r="S1213" t="s">
        <v>2433</v>
      </c>
      <c r="T1213" t="s">
        <v>2433</v>
      </c>
      <c r="U1213" t="s">
        <v>53</v>
      </c>
      <c r="V1213" t="s">
        <v>1973</v>
      </c>
      <c r="W1213">
        <v>100000</v>
      </c>
      <c r="X1213" t="s">
        <v>53</v>
      </c>
      <c r="Y1213" t="s">
        <v>6509</v>
      </c>
      <c r="Z1213">
        <v>0</v>
      </c>
      <c r="AA1213">
        <v>968</v>
      </c>
      <c r="AB1213">
        <v>526</v>
      </c>
      <c r="AC1213">
        <v>1207</v>
      </c>
      <c r="AD1213">
        <v>1310</v>
      </c>
      <c r="AE1213">
        <v>1310</v>
      </c>
      <c r="AF1213">
        <v>4</v>
      </c>
      <c r="AG1213">
        <v>2</v>
      </c>
      <c r="AH1213">
        <v>130.4964294433594</v>
      </c>
      <c r="AI1213">
        <v>0</v>
      </c>
      <c r="AJ1213">
        <v>33293.21875</v>
      </c>
      <c r="AK1213" t="s">
        <v>53</v>
      </c>
      <c r="AL1213" t="s">
        <v>53</v>
      </c>
      <c r="AM1213" t="s">
        <v>6509</v>
      </c>
      <c r="AQ1213" t="s">
        <v>54</v>
      </c>
      <c r="AR1213" t="s">
        <v>6509</v>
      </c>
      <c r="AT1213" t="s">
        <v>6511</v>
      </c>
      <c r="AV1213" t="s">
        <v>6509</v>
      </c>
      <c r="AW1213" t="s">
        <v>53</v>
      </c>
      <c r="AX1213" t="s">
        <v>6509</v>
      </c>
      <c r="AZ1213" t="s">
        <v>54</v>
      </c>
      <c r="BA1213" t="s">
        <v>6512</v>
      </c>
    </row>
    <row r="1214" spans="1:53" x14ac:dyDescent="0.25">
      <c r="A1214">
        <v>1209</v>
      </c>
      <c r="B1214" t="s">
        <v>6793</v>
      </c>
      <c r="C1214" t="s">
        <v>6794</v>
      </c>
      <c r="D1214" t="s">
        <v>6795</v>
      </c>
      <c r="E1214">
        <v>7</v>
      </c>
      <c r="F1214" t="s">
        <v>6501</v>
      </c>
      <c r="G1214" t="s">
        <v>2428</v>
      </c>
      <c r="H1214" t="s">
        <v>6785</v>
      </c>
      <c r="I1214" t="s">
        <v>6786</v>
      </c>
      <c r="J1214" t="s">
        <v>6787</v>
      </c>
      <c r="K1214" t="s">
        <v>6788</v>
      </c>
      <c r="L1214" t="s">
        <v>6507</v>
      </c>
      <c r="M1214">
        <v>432.36611938476563</v>
      </c>
      <c r="N1214" t="s">
        <v>54</v>
      </c>
      <c r="O1214" t="s">
        <v>53</v>
      </c>
      <c r="P1214" t="s">
        <v>53</v>
      </c>
      <c r="Q1214" t="s">
        <v>53</v>
      </c>
      <c r="R1214" t="s">
        <v>53</v>
      </c>
      <c r="S1214" t="s">
        <v>2433</v>
      </c>
      <c r="T1214" t="s">
        <v>2433</v>
      </c>
      <c r="U1214" t="s">
        <v>53</v>
      </c>
      <c r="V1214" t="s">
        <v>51</v>
      </c>
      <c r="W1214">
        <v>58000</v>
      </c>
      <c r="X1214" t="s">
        <v>53</v>
      </c>
      <c r="Y1214" t="s">
        <v>6509</v>
      </c>
      <c r="Z1214">
        <v>0</v>
      </c>
      <c r="AA1214">
        <v>968</v>
      </c>
      <c r="AB1214">
        <v>526</v>
      </c>
      <c r="AC1214">
        <v>1207</v>
      </c>
      <c r="AD1214">
        <v>1310</v>
      </c>
      <c r="AE1214">
        <v>1310</v>
      </c>
      <c r="AF1214">
        <v>4</v>
      </c>
      <c r="AG1214">
        <v>2</v>
      </c>
      <c r="AH1214">
        <v>130.4964294433594</v>
      </c>
      <c r="AI1214">
        <v>0</v>
      </c>
      <c r="AJ1214">
        <v>33293.21875</v>
      </c>
      <c r="AK1214" t="s">
        <v>54</v>
      </c>
      <c r="AL1214" t="s">
        <v>53</v>
      </c>
      <c r="AM1214" t="s">
        <v>6509</v>
      </c>
      <c r="AQ1214" t="s">
        <v>54</v>
      </c>
      <c r="AR1214" t="s">
        <v>6509</v>
      </c>
      <c r="AT1214" t="s">
        <v>6511</v>
      </c>
      <c r="AV1214" t="s">
        <v>6509</v>
      </c>
      <c r="AW1214" t="s">
        <v>53</v>
      </c>
      <c r="AX1214" t="s">
        <v>6509</v>
      </c>
      <c r="AZ1214" t="s">
        <v>54</v>
      </c>
      <c r="BA1214" t="s">
        <v>6512</v>
      </c>
    </row>
    <row r="1215" spans="1:53" x14ac:dyDescent="0.25">
      <c r="A1215">
        <v>1210</v>
      </c>
      <c r="B1215" t="s">
        <v>6796</v>
      </c>
      <c r="C1215" t="s">
        <v>6797</v>
      </c>
      <c r="D1215" t="s">
        <v>6542</v>
      </c>
      <c r="E1215">
        <v>7</v>
      </c>
      <c r="F1215" t="s">
        <v>6501</v>
      </c>
      <c r="G1215" t="s">
        <v>2437</v>
      </c>
      <c r="H1215" t="s">
        <v>6798</v>
      </c>
      <c r="I1215" t="s">
        <v>6799</v>
      </c>
      <c r="J1215" t="s">
        <v>6800</v>
      </c>
      <c r="K1215" t="s">
        <v>6801</v>
      </c>
      <c r="L1215" t="s">
        <v>6507</v>
      </c>
      <c r="M1215">
        <v>335.64227294921881</v>
      </c>
      <c r="N1215" t="s">
        <v>54</v>
      </c>
      <c r="O1215" t="s">
        <v>53</v>
      </c>
      <c r="P1215" t="s">
        <v>53</v>
      </c>
      <c r="Q1215" t="s">
        <v>53</v>
      </c>
      <c r="R1215" t="s">
        <v>53</v>
      </c>
      <c r="S1215" t="s">
        <v>2442</v>
      </c>
      <c r="T1215" t="s">
        <v>2442</v>
      </c>
      <c r="U1215" t="s">
        <v>53</v>
      </c>
      <c r="V1215" t="s">
        <v>138</v>
      </c>
      <c r="W1215">
        <v>954000</v>
      </c>
      <c r="X1215" t="s">
        <v>53</v>
      </c>
      <c r="Y1215" t="s">
        <v>6509</v>
      </c>
      <c r="Z1215">
        <v>0</v>
      </c>
      <c r="AA1215">
        <v>3</v>
      </c>
      <c r="AB1215">
        <v>0</v>
      </c>
      <c r="AC1215">
        <v>1</v>
      </c>
      <c r="AD1215">
        <v>1</v>
      </c>
      <c r="AE1215">
        <v>1</v>
      </c>
      <c r="AF1215">
        <v>0</v>
      </c>
      <c r="AG1215">
        <v>1</v>
      </c>
      <c r="AH1215">
        <v>7.1589617729187012</v>
      </c>
      <c r="AI1215">
        <v>0</v>
      </c>
      <c r="AJ1215">
        <v>409.40933227539063</v>
      </c>
      <c r="AK1215" t="s">
        <v>54</v>
      </c>
      <c r="AL1215" t="s">
        <v>53</v>
      </c>
      <c r="AM1215" t="s">
        <v>6509</v>
      </c>
      <c r="AQ1215" t="s">
        <v>54</v>
      </c>
      <c r="AR1215" t="s">
        <v>6509</v>
      </c>
      <c r="AT1215" t="s">
        <v>6511</v>
      </c>
      <c r="AV1215" t="s">
        <v>6509</v>
      </c>
      <c r="AW1215" t="s">
        <v>53</v>
      </c>
      <c r="AX1215" t="s">
        <v>6509</v>
      </c>
      <c r="AZ1215" t="s">
        <v>54</v>
      </c>
      <c r="BA1215" t="s">
        <v>6512</v>
      </c>
    </row>
    <row r="1216" spans="1:53" x14ac:dyDescent="0.25">
      <c r="A1216">
        <v>1211</v>
      </c>
      <c r="B1216" t="s">
        <v>6802</v>
      </c>
      <c r="C1216" t="s">
        <v>6803</v>
      </c>
      <c r="D1216" t="s">
        <v>6518</v>
      </c>
      <c r="E1216">
        <v>7</v>
      </c>
      <c r="F1216" t="s">
        <v>6501</v>
      </c>
      <c r="G1216" t="s">
        <v>2437</v>
      </c>
      <c r="H1216" t="s">
        <v>6798</v>
      </c>
      <c r="I1216" t="s">
        <v>6799</v>
      </c>
      <c r="J1216" t="s">
        <v>6800</v>
      </c>
      <c r="K1216" t="s">
        <v>6801</v>
      </c>
      <c r="L1216" t="s">
        <v>6507</v>
      </c>
      <c r="M1216">
        <v>335.64227294921881</v>
      </c>
      <c r="N1216" t="s">
        <v>54</v>
      </c>
      <c r="O1216" t="s">
        <v>53</v>
      </c>
      <c r="P1216" t="s">
        <v>53</v>
      </c>
      <c r="Q1216" t="s">
        <v>53</v>
      </c>
      <c r="R1216" t="s">
        <v>53</v>
      </c>
      <c r="S1216" t="s">
        <v>2442</v>
      </c>
      <c r="T1216" t="s">
        <v>2442</v>
      </c>
      <c r="U1216" t="s">
        <v>53</v>
      </c>
      <c r="V1216" t="s">
        <v>1973</v>
      </c>
      <c r="W1216">
        <v>100000</v>
      </c>
      <c r="X1216" t="s">
        <v>53</v>
      </c>
      <c r="Y1216" t="s">
        <v>6509</v>
      </c>
      <c r="Z1216">
        <v>0</v>
      </c>
      <c r="AA1216">
        <v>3</v>
      </c>
      <c r="AB1216">
        <v>0</v>
      </c>
      <c r="AC1216">
        <v>1</v>
      </c>
      <c r="AD1216">
        <v>1</v>
      </c>
      <c r="AE1216">
        <v>1</v>
      </c>
      <c r="AF1216">
        <v>0</v>
      </c>
      <c r="AG1216">
        <v>1</v>
      </c>
      <c r="AH1216">
        <v>7.1589617729187012</v>
      </c>
      <c r="AI1216">
        <v>0</v>
      </c>
      <c r="AJ1216">
        <v>409.40933227539063</v>
      </c>
      <c r="AK1216" t="s">
        <v>53</v>
      </c>
      <c r="AL1216" t="s">
        <v>53</v>
      </c>
      <c r="AM1216" t="s">
        <v>6509</v>
      </c>
      <c r="AQ1216" t="s">
        <v>54</v>
      </c>
      <c r="AR1216" t="s">
        <v>6509</v>
      </c>
      <c r="AT1216" t="s">
        <v>6511</v>
      </c>
      <c r="AV1216" t="s">
        <v>6509</v>
      </c>
      <c r="AW1216" t="s">
        <v>53</v>
      </c>
      <c r="AX1216" t="s">
        <v>6509</v>
      </c>
      <c r="AZ1216" t="s">
        <v>54</v>
      </c>
      <c r="BA1216" t="s">
        <v>6512</v>
      </c>
    </row>
    <row r="1217" spans="1:53" x14ac:dyDescent="0.25">
      <c r="A1217">
        <v>1212</v>
      </c>
      <c r="B1217" t="s">
        <v>6804</v>
      </c>
      <c r="C1217" t="s">
        <v>6805</v>
      </c>
      <c r="D1217" t="s">
        <v>6542</v>
      </c>
      <c r="E1217">
        <v>7</v>
      </c>
      <c r="F1217" t="s">
        <v>6501</v>
      </c>
      <c r="G1217" t="s">
        <v>2446</v>
      </c>
      <c r="H1217" t="s">
        <v>6806</v>
      </c>
      <c r="I1217" t="s">
        <v>6807</v>
      </c>
      <c r="J1217" t="s">
        <v>6808</v>
      </c>
      <c r="K1217" t="s">
        <v>6809</v>
      </c>
      <c r="L1217" t="s">
        <v>6507</v>
      </c>
      <c r="M1217">
        <v>573.35858154296875</v>
      </c>
      <c r="N1217" t="s">
        <v>54</v>
      </c>
      <c r="O1217" t="s">
        <v>53</v>
      </c>
      <c r="P1217" t="s">
        <v>53</v>
      </c>
      <c r="Q1217" t="s">
        <v>54</v>
      </c>
      <c r="R1217" t="s">
        <v>53</v>
      </c>
      <c r="S1217" t="s">
        <v>2451</v>
      </c>
      <c r="T1217" t="s">
        <v>2451</v>
      </c>
      <c r="U1217" t="s">
        <v>53</v>
      </c>
      <c r="V1217" t="s">
        <v>138</v>
      </c>
      <c r="W1217">
        <v>919000</v>
      </c>
      <c r="X1217" t="s">
        <v>53</v>
      </c>
      <c r="Y1217" t="s">
        <v>6509</v>
      </c>
      <c r="Z1217">
        <v>0</v>
      </c>
      <c r="AA1217">
        <v>195</v>
      </c>
      <c r="AB1217">
        <v>0</v>
      </c>
      <c r="AC1217">
        <v>92</v>
      </c>
      <c r="AD1217">
        <v>125</v>
      </c>
      <c r="AE1217">
        <v>125</v>
      </c>
      <c r="AF1217">
        <v>1</v>
      </c>
      <c r="AG1217">
        <v>2</v>
      </c>
      <c r="AH1217">
        <v>111.8792266845703</v>
      </c>
      <c r="AI1217">
        <v>0</v>
      </c>
      <c r="AJ1217">
        <v>15575.0576171875</v>
      </c>
      <c r="AK1217" t="s">
        <v>54</v>
      </c>
      <c r="AL1217" t="s">
        <v>53</v>
      </c>
      <c r="AM1217" t="s">
        <v>6509</v>
      </c>
      <c r="AQ1217" t="s">
        <v>54</v>
      </c>
      <c r="AR1217" t="s">
        <v>6509</v>
      </c>
      <c r="AT1217" t="s">
        <v>6511</v>
      </c>
      <c r="AV1217" t="s">
        <v>6509</v>
      </c>
      <c r="AW1217" t="s">
        <v>53</v>
      </c>
      <c r="AX1217" t="s">
        <v>6509</v>
      </c>
      <c r="AZ1217" t="s">
        <v>54</v>
      </c>
      <c r="BA1217" t="s">
        <v>6512</v>
      </c>
    </row>
    <row r="1218" spans="1:53" x14ac:dyDescent="0.25">
      <c r="A1218">
        <v>1213</v>
      </c>
      <c r="B1218" t="s">
        <v>6810</v>
      </c>
      <c r="C1218" t="s">
        <v>6811</v>
      </c>
      <c r="D1218" t="s">
        <v>6515</v>
      </c>
      <c r="E1218">
        <v>7</v>
      </c>
      <c r="F1218" t="s">
        <v>6501</v>
      </c>
      <c r="G1218" t="s">
        <v>2446</v>
      </c>
      <c r="H1218" t="s">
        <v>6806</v>
      </c>
      <c r="I1218" t="s">
        <v>6807</v>
      </c>
      <c r="J1218" t="s">
        <v>6808</v>
      </c>
      <c r="K1218" t="s">
        <v>6809</v>
      </c>
      <c r="L1218" t="s">
        <v>6507</v>
      </c>
      <c r="M1218">
        <v>573.35858154296875</v>
      </c>
      <c r="N1218" t="s">
        <v>54</v>
      </c>
      <c r="O1218" t="s">
        <v>53</v>
      </c>
      <c r="P1218" t="s">
        <v>53</v>
      </c>
      <c r="Q1218" t="s">
        <v>54</v>
      </c>
      <c r="R1218" t="s">
        <v>53</v>
      </c>
      <c r="S1218" t="s">
        <v>2451</v>
      </c>
      <c r="T1218" t="s">
        <v>2451</v>
      </c>
      <c r="U1218" t="s">
        <v>53</v>
      </c>
      <c r="V1218" t="s">
        <v>138</v>
      </c>
      <c r="W1218">
        <v>500000</v>
      </c>
      <c r="X1218" t="s">
        <v>53</v>
      </c>
      <c r="Y1218" t="s">
        <v>6509</v>
      </c>
      <c r="Z1218">
        <v>0</v>
      </c>
      <c r="AA1218">
        <v>195</v>
      </c>
      <c r="AB1218">
        <v>0</v>
      </c>
      <c r="AC1218">
        <v>92</v>
      </c>
      <c r="AD1218">
        <v>125</v>
      </c>
      <c r="AE1218">
        <v>125</v>
      </c>
      <c r="AF1218">
        <v>1</v>
      </c>
      <c r="AG1218">
        <v>2</v>
      </c>
      <c r="AH1218">
        <v>111.8792266845703</v>
      </c>
      <c r="AI1218">
        <v>0</v>
      </c>
      <c r="AJ1218">
        <v>15575.0576171875</v>
      </c>
      <c r="AK1218" t="s">
        <v>54</v>
      </c>
      <c r="AL1218" t="s">
        <v>53</v>
      </c>
      <c r="AM1218" t="s">
        <v>6509</v>
      </c>
      <c r="AQ1218" t="s">
        <v>54</v>
      </c>
      <c r="AR1218" t="s">
        <v>6509</v>
      </c>
      <c r="AT1218" t="s">
        <v>6511</v>
      </c>
      <c r="AV1218" t="s">
        <v>6509</v>
      </c>
      <c r="AW1218" t="s">
        <v>53</v>
      </c>
      <c r="AX1218" t="s">
        <v>6509</v>
      </c>
      <c r="AZ1218" t="s">
        <v>54</v>
      </c>
      <c r="BA1218" t="s">
        <v>6512</v>
      </c>
    </row>
    <row r="1219" spans="1:53" x14ac:dyDescent="0.25">
      <c r="A1219">
        <v>1214</v>
      </c>
      <c r="B1219" t="s">
        <v>6812</v>
      </c>
      <c r="C1219" t="s">
        <v>6813</v>
      </c>
      <c r="D1219" t="s">
        <v>6518</v>
      </c>
      <c r="E1219">
        <v>7</v>
      </c>
      <c r="F1219" t="s">
        <v>6501</v>
      </c>
      <c r="G1219" t="s">
        <v>2446</v>
      </c>
      <c r="H1219" t="s">
        <v>6806</v>
      </c>
      <c r="I1219" t="s">
        <v>6807</v>
      </c>
      <c r="J1219" t="s">
        <v>6808</v>
      </c>
      <c r="K1219" t="s">
        <v>6809</v>
      </c>
      <c r="L1219" t="s">
        <v>6507</v>
      </c>
      <c r="M1219">
        <v>573.35858154296875</v>
      </c>
      <c r="N1219" t="s">
        <v>54</v>
      </c>
      <c r="O1219" t="s">
        <v>53</v>
      </c>
      <c r="P1219" t="s">
        <v>53</v>
      </c>
      <c r="Q1219" t="s">
        <v>54</v>
      </c>
      <c r="R1219" t="s">
        <v>53</v>
      </c>
      <c r="S1219" t="s">
        <v>2451</v>
      </c>
      <c r="T1219" t="s">
        <v>2451</v>
      </c>
      <c r="U1219" t="s">
        <v>53</v>
      </c>
      <c r="V1219" t="s">
        <v>1973</v>
      </c>
      <c r="W1219">
        <v>100000</v>
      </c>
      <c r="X1219" t="s">
        <v>53</v>
      </c>
      <c r="Y1219" t="s">
        <v>6509</v>
      </c>
      <c r="Z1219">
        <v>0</v>
      </c>
      <c r="AA1219">
        <v>195</v>
      </c>
      <c r="AB1219">
        <v>0</v>
      </c>
      <c r="AC1219">
        <v>92</v>
      </c>
      <c r="AD1219">
        <v>125</v>
      </c>
      <c r="AE1219">
        <v>125</v>
      </c>
      <c r="AF1219">
        <v>1</v>
      </c>
      <c r="AG1219">
        <v>2</v>
      </c>
      <c r="AH1219">
        <v>111.8792266845703</v>
      </c>
      <c r="AI1219">
        <v>0</v>
      </c>
      <c r="AJ1219">
        <v>15575.0576171875</v>
      </c>
      <c r="AK1219" t="s">
        <v>53</v>
      </c>
      <c r="AL1219" t="s">
        <v>53</v>
      </c>
      <c r="AM1219" t="s">
        <v>6509</v>
      </c>
      <c r="AQ1219" t="s">
        <v>54</v>
      </c>
      <c r="AR1219" t="s">
        <v>6509</v>
      </c>
      <c r="AT1219" t="s">
        <v>6511</v>
      </c>
      <c r="AV1219" t="s">
        <v>6509</v>
      </c>
      <c r="AW1219" t="s">
        <v>53</v>
      </c>
      <c r="AX1219" t="s">
        <v>6509</v>
      </c>
      <c r="AZ1219" t="s">
        <v>54</v>
      </c>
      <c r="BA1219" t="s">
        <v>6512</v>
      </c>
    </row>
    <row r="1220" spans="1:53" x14ac:dyDescent="0.25">
      <c r="A1220">
        <v>1215</v>
      </c>
      <c r="B1220" t="s">
        <v>6814</v>
      </c>
      <c r="C1220" t="s">
        <v>6815</v>
      </c>
      <c r="D1220" t="s">
        <v>6542</v>
      </c>
      <c r="E1220">
        <v>7</v>
      </c>
      <c r="F1220" t="s">
        <v>6501</v>
      </c>
      <c r="G1220" t="s">
        <v>2455</v>
      </c>
      <c r="H1220" t="s">
        <v>6816</v>
      </c>
      <c r="I1220" t="s">
        <v>6817</v>
      </c>
      <c r="J1220" t="s">
        <v>6818</v>
      </c>
      <c r="K1220" t="s">
        <v>6819</v>
      </c>
      <c r="L1220" t="s">
        <v>6507</v>
      </c>
      <c r="M1220">
        <v>392.42581176757813</v>
      </c>
      <c r="N1220" t="s">
        <v>54</v>
      </c>
      <c r="O1220" t="s">
        <v>53</v>
      </c>
      <c r="P1220" t="s">
        <v>53</v>
      </c>
      <c r="Q1220" t="s">
        <v>53</v>
      </c>
      <c r="R1220" t="s">
        <v>53</v>
      </c>
      <c r="S1220" t="s">
        <v>2459</v>
      </c>
      <c r="T1220" t="s">
        <v>2459</v>
      </c>
      <c r="U1220" t="s">
        <v>53</v>
      </c>
      <c r="V1220" t="s">
        <v>138</v>
      </c>
      <c r="W1220">
        <v>888000</v>
      </c>
      <c r="X1220" t="s">
        <v>54</v>
      </c>
      <c r="Y1220" t="s">
        <v>6509</v>
      </c>
      <c r="Z1220">
        <v>1000000</v>
      </c>
      <c r="AA1220">
        <v>361</v>
      </c>
      <c r="AB1220">
        <v>199</v>
      </c>
      <c r="AC1220">
        <v>684</v>
      </c>
      <c r="AD1220">
        <v>460</v>
      </c>
      <c r="AE1220">
        <v>684</v>
      </c>
      <c r="AF1220">
        <v>0</v>
      </c>
      <c r="AG1220">
        <v>7</v>
      </c>
      <c r="AH1220">
        <v>53.909332275390618</v>
      </c>
      <c r="AI1220">
        <v>0</v>
      </c>
      <c r="AJ1220">
        <v>28476.49609375</v>
      </c>
      <c r="AK1220" t="s">
        <v>54</v>
      </c>
      <c r="AL1220" t="s">
        <v>53</v>
      </c>
      <c r="AM1220" t="s">
        <v>6509</v>
      </c>
      <c r="AQ1220" t="s">
        <v>54</v>
      </c>
      <c r="AR1220" t="s">
        <v>6509</v>
      </c>
      <c r="AT1220" t="s">
        <v>6511</v>
      </c>
      <c r="AV1220" t="s">
        <v>6509</v>
      </c>
      <c r="AW1220" t="s">
        <v>53</v>
      </c>
      <c r="AX1220" t="s">
        <v>6509</v>
      </c>
      <c r="AZ1220" t="s">
        <v>54</v>
      </c>
      <c r="BA1220" t="s">
        <v>6512</v>
      </c>
    </row>
    <row r="1221" spans="1:53" x14ac:dyDescent="0.25">
      <c r="A1221">
        <v>1216</v>
      </c>
      <c r="B1221" t="s">
        <v>6820</v>
      </c>
      <c r="C1221" t="s">
        <v>6821</v>
      </c>
      <c r="D1221" t="s">
        <v>6515</v>
      </c>
      <c r="E1221">
        <v>7</v>
      </c>
      <c r="F1221" t="s">
        <v>6501</v>
      </c>
      <c r="G1221" t="s">
        <v>2455</v>
      </c>
      <c r="H1221" t="s">
        <v>6816</v>
      </c>
      <c r="I1221" t="s">
        <v>6817</v>
      </c>
      <c r="J1221" t="s">
        <v>6818</v>
      </c>
      <c r="K1221" t="s">
        <v>6819</v>
      </c>
      <c r="L1221" t="s">
        <v>6507</v>
      </c>
      <c r="M1221">
        <v>392.42581176757813</v>
      </c>
      <c r="N1221" t="s">
        <v>54</v>
      </c>
      <c r="O1221" t="s">
        <v>53</v>
      </c>
      <c r="P1221" t="s">
        <v>53</v>
      </c>
      <c r="Q1221" t="s">
        <v>53</v>
      </c>
      <c r="R1221" t="s">
        <v>53</v>
      </c>
      <c r="S1221" t="s">
        <v>2459</v>
      </c>
      <c r="T1221" t="s">
        <v>2459</v>
      </c>
      <c r="U1221" t="s">
        <v>53</v>
      </c>
      <c r="V1221" t="s">
        <v>138</v>
      </c>
      <c r="W1221">
        <v>500000</v>
      </c>
      <c r="X1221" t="s">
        <v>53</v>
      </c>
      <c r="Y1221" t="s">
        <v>6509</v>
      </c>
      <c r="Z1221">
        <v>0</v>
      </c>
      <c r="AA1221">
        <v>361</v>
      </c>
      <c r="AB1221">
        <v>199</v>
      </c>
      <c r="AC1221">
        <v>684</v>
      </c>
      <c r="AD1221">
        <v>460</v>
      </c>
      <c r="AE1221">
        <v>684</v>
      </c>
      <c r="AF1221">
        <v>0</v>
      </c>
      <c r="AG1221">
        <v>7</v>
      </c>
      <c r="AH1221">
        <v>53.909332275390618</v>
      </c>
      <c r="AI1221">
        <v>0</v>
      </c>
      <c r="AJ1221">
        <v>28476.49609375</v>
      </c>
      <c r="AK1221" t="s">
        <v>54</v>
      </c>
      <c r="AL1221" t="s">
        <v>53</v>
      </c>
      <c r="AM1221" t="s">
        <v>6509</v>
      </c>
      <c r="AQ1221" t="s">
        <v>54</v>
      </c>
      <c r="AR1221" t="s">
        <v>6509</v>
      </c>
      <c r="AT1221" t="s">
        <v>6511</v>
      </c>
      <c r="AV1221" t="s">
        <v>6509</v>
      </c>
      <c r="AW1221" t="s">
        <v>53</v>
      </c>
      <c r="AX1221" t="s">
        <v>6509</v>
      </c>
      <c r="AZ1221" t="s">
        <v>54</v>
      </c>
      <c r="BA1221" t="s">
        <v>6512</v>
      </c>
    </row>
    <row r="1222" spans="1:53" x14ac:dyDescent="0.25">
      <c r="A1222">
        <v>1217</v>
      </c>
      <c r="B1222" t="s">
        <v>6822</v>
      </c>
      <c r="C1222" t="s">
        <v>6823</v>
      </c>
      <c r="D1222" t="s">
        <v>6518</v>
      </c>
      <c r="E1222">
        <v>7</v>
      </c>
      <c r="F1222" t="s">
        <v>6501</v>
      </c>
      <c r="G1222" t="s">
        <v>2455</v>
      </c>
      <c r="H1222" t="s">
        <v>6816</v>
      </c>
      <c r="I1222" t="s">
        <v>6817</v>
      </c>
      <c r="J1222" t="s">
        <v>6818</v>
      </c>
      <c r="K1222" t="s">
        <v>6819</v>
      </c>
      <c r="L1222" t="s">
        <v>6507</v>
      </c>
      <c r="M1222">
        <v>392.42581176757813</v>
      </c>
      <c r="N1222" t="s">
        <v>54</v>
      </c>
      <c r="O1222" t="s">
        <v>53</v>
      </c>
      <c r="P1222" t="s">
        <v>53</v>
      </c>
      <c r="Q1222" t="s">
        <v>53</v>
      </c>
      <c r="R1222" t="s">
        <v>53</v>
      </c>
      <c r="S1222" t="s">
        <v>2459</v>
      </c>
      <c r="T1222" t="s">
        <v>2459</v>
      </c>
      <c r="U1222" t="s">
        <v>53</v>
      </c>
      <c r="V1222" t="s">
        <v>1973</v>
      </c>
      <c r="W1222">
        <v>100000</v>
      </c>
      <c r="X1222" t="s">
        <v>53</v>
      </c>
      <c r="Y1222" t="s">
        <v>6509</v>
      </c>
      <c r="Z1222">
        <v>0</v>
      </c>
      <c r="AA1222">
        <v>361</v>
      </c>
      <c r="AB1222">
        <v>199</v>
      </c>
      <c r="AC1222">
        <v>684</v>
      </c>
      <c r="AD1222">
        <v>460</v>
      </c>
      <c r="AE1222">
        <v>684</v>
      </c>
      <c r="AF1222">
        <v>0</v>
      </c>
      <c r="AG1222">
        <v>7</v>
      </c>
      <c r="AH1222">
        <v>53.909332275390618</v>
      </c>
      <c r="AI1222">
        <v>0</v>
      </c>
      <c r="AJ1222">
        <v>28476.49609375</v>
      </c>
      <c r="AK1222" t="s">
        <v>53</v>
      </c>
      <c r="AL1222" t="s">
        <v>53</v>
      </c>
      <c r="AM1222" t="s">
        <v>6509</v>
      </c>
      <c r="AQ1222" t="s">
        <v>54</v>
      </c>
      <c r="AR1222" t="s">
        <v>6509</v>
      </c>
      <c r="AT1222" t="s">
        <v>6511</v>
      </c>
      <c r="AV1222" t="s">
        <v>6509</v>
      </c>
      <c r="AW1222" t="s">
        <v>53</v>
      </c>
      <c r="AX1222" t="s">
        <v>6509</v>
      </c>
      <c r="AZ1222" t="s">
        <v>54</v>
      </c>
      <c r="BA1222" t="s">
        <v>6512</v>
      </c>
    </row>
    <row r="1223" spans="1:53" x14ac:dyDescent="0.25">
      <c r="A1223">
        <v>1218</v>
      </c>
      <c r="B1223" t="s">
        <v>6824</v>
      </c>
      <c r="C1223" t="s">
        <v>6825</v>
      </c>
      <c r="D1223" t="s">
        <v>6542</v>
      </c>
      <c r="E1223">
        <v>7</v>
      </c>
      <c r="F1223" t="s">
        <v>6501</v>
      </c>
      <c r="G1223" t="s">
        <v>6826</v>
      </c>
      <c r="H1223" t="s">
        <v>6827</v>
      </c>
      <c r="I1223" t="s">
        <v>6828</v>
      </c>
      <c r="J1223" t="s">
        <v>6829</v>
      </c>
      <c r="K1223" t="s">
        <v>6830</v>
      </c>
      <c r="L1223" t="s">
        <v>6507</v>
      </c>
      <c r="M1223">
        <v>895.54052734375</v>
      </c>
      <c r="N1223" t="s">
        <v>54</v>
      </c>
      <c r="O1223" t="s">
        <v>53</v>
      </c>
      <c r="P1223" t="s">
        <v>53</v>
      </c>
      <c r="Q1223" t="s">
        <v>54</v>
      </c>
      <c r="R1223" t="s">
        <v>53</v>
      </c>
      <c r="S1223" t="s">
        <v>6831</v>
      </c>
      <c r="T1223" t="s">
        <v>6831</v>
      </c>
      <c r="U1223" t="s">
        <v>53</v>
      </c>
      <c r="V1223" t="s">
        <v>138</v>
      </c>
      <c r="W1223">
        <v>834000</v>
      </c>
      <c r="X1223" t="s">
        <v>53</v>
      </c>
      <c r="Y1223" t="s">
        <v>6509</v>
      </c>
      <c r="Z1223">
        <v>0</v>
      </c>
      <c r="AA1223">
        <v>279</v>
      </c>
      <c r="AB1223">
        <v>62</v>
      </c>
      <c r="AC1223">
        <v>275</v>
      </c>
      <c r="AD1223">
        <v>325</v>
      </c>
      <c r="AE1223">
        <v>325</v>
      </c>
      <c r="AF1223">
        <v>2</v>
      </c>
      <c r="AG1223">
        <v>6</v>
      </c>
      <c r="AH1223">
        <v>349.60302734375</v>
      </c>
      <c r="AI1223">
        <v>0</v>
      </c>
      <c r="AJ1223">
        <v>45936.109375</v>
      </c>
      <c r="AK1223" t="s">
        <v>54</v>
      </c>
      <c r="AL1223" t="s">
        <v>53</v>
      </c>
      <c r="AM1223" t="s">
        <v>6509</v>
      </c>
      <c r="AQ1223" t="s">
        <v>54</v>
      </c>
      <c r="AR1223" t="s">
        <v>6509</v>
      </c>
      <c r="AT1223" t="s">
        <v>6511</v>
      </c>
      <c r="AV1223" t="s">
        <v>6509</v>
      </c>
      <c r="AW1223" t="s">
        <v>53</v>
      </c>
      <c r="AX1223" t="s">
        <v>6509</v>
      </c>
      <c r="AZ1223" t="s">
        <v>54</v>
      </c>
      <c r="BA1223" t="s">
        <v>6512</v>
      </c>
    </row>
    <row r="1224" spans="1:53" x14ac:dyDescent="0.25">
      <c r="A1224">
        <v>1219</v>
      </c>
      <c r="B1224" t="s">
        <v>6832</v>
      </c>
      <c r="C1224" t="s">
        <v>6833</v>
      </c>
      <c r="D1224" t="s">
        <v>6518</v>
      </c>
      <c r="E1224">
        <v>7</v>
      </c>
      <c r="F1224" t="s">
        <v>6501</v>
      </c>
      <c r="G1224" t="s">
        <v>6826</v>
      </c>
      <c r="H1224" t="s">
        <v>6827</v>
      </c>
      <c r="I1224" t="s">
        <v>6828</v>
      </c>
      <c r="J1224" t="s">
        <v>6829</v>
      </c>
      <c r="K1224" t="s">
        <v>6830</v>
      </c>
      <c r="L1224" t="s">
        <v>6507</v>
      </c>
      <c r="M1224">
        <v>895.54052734375</v>
      </c>
      <c r="N1224" t="s">
        <v>54</v>
      </c>
      <c r="O1224" t="s">
        <v>53</v>
      </c>
      <c r="P1224" t="s">
        <v>53</v>
      </c>
      <c r="Q1224" t="s">
        <v>54</v>
      </c>
      <c r="R1224" t="s">
        <v>53</v>
      </c>
      <c r="S1224" t="s">
        <v>6831</v>
      </c>
      <c r="T1224" t="s">
        <v>6831</v>
      </c>
      <c r="U1224" t="s">
        <v>53</v>
      </c>
      <c r="V1224" t="s">
        <v>1973</v>
      </c>
      <c r="W1224">
        <v>100000</v>
      </c>
      <c r="X1224" t="s">
        <v>53</v>
      </c>
      <c r="Y1224" t="s">
        <v>6509</v>
      </c>
      <c r="Z1224">
        <v>0</v>
      </c>
      <c r="AA1224">
        <v>279</v>
      </c>
      <c r="AB1224">
        <v>62</v>
      </c>
      <c r="AC1224">
        <v>275</v>
      </c>
      <c r="AD1224">
        <v>325</v>
      </c>
      <c r="AE1224">
        <v>325</v>
      </c>
      <c r="AF1224">
        <v>2</v>
      </c>
      <c r="AG1224">
        <v>6</v>
      </c>
      <c r="AH1224">
        <v>349.60302734375</v>
      </c>
      <c r="AI1224">
        <v>0</v>
      </c>
      <c r="AJ1224">
        <v>45936.109375</v>
      </c>
      <c r="AK1224" t="s">
        <v>53</v>
      </c>
      <c r="AL1224" t="s">
        <v>53</v>
      </c>
      <c r="AM1224" t="s">
        <v>6509</v>
      </c>
      <c r="AQ1224" t="s">
        <v>54</v>
      </c>
      <c r="AR1224" t="s">
        <v>6509</v>
      </c>
      <c r="AT1224" t="s">
        <v>6511</v>
      </c>
      <c r="AV1224" t="s">
        <v>6509</v>
      </c>
      <c r="AW1224" t="s">
        <v>53</v>
      </c>
      <c r="AX1224" t="s">
        <v>6509</v>
      </c>
      <c r="AZ1224" t="s">
        <v>54</v>
      </c>
      <c r="BA1224" t="s">
        <v>6512</v>
      </c>
    </row>
    <row r="1225" spans="1:53" x14ac:dyDescent="0.25">
      <c r="A1225">
        <v>1220</v>
      </c>
      <c r="B1225" t="s">
        <v>6834</v>
      </c>
      <c r="C1225" t="s">
        <v>6835</v>
      </c>
      <c r="D1225" t="s">
        <v>6836</v>
      </c>
      <c r="E1225">
        <v>7</v>
      </c>
      <c r="F1225" t="s">
        <v>6501</v>
      </c>
      <c r="G1225" t="s">
        <v>6837</v>
      </c>
      <c r="H1225" t="s">
        <v>6838</v>
      </c>
      <c r="I1225" t="s">
        <v>6839</v>
      </c>
      <c r="J1225" t="s">
        <v>6840</v>
      </c>
      <c r="K1225" t="s">
        <v>6841</v>
      </c>
      <c r="L1225" t="s">
        <v>6507</v>
      </c>
      <c r="M1225">
        <v>898.26702880859375</v>
      </c>
      <c r="N1225" t="s">
        <v>54</v>
      </c>
      <c r="O1225" t="s">
        <v>53</v>
      </c>
      <c r="P1225" t="s">
        <v>54</v>
      </c>
      <c r="Q1225" t="s">
        <v>54</v>
      </c>
      <c r="R1225" t="s">
        <v>53</v>
      </c>
      <c r="S1225" t="s">
        <v>6842</v>
      </c>
      <c r="T1225" t="s">
        <v>6842</v>
      </c>
      <c r="U1225" t="s">
        <v>53</v>
      </c>
      <c r="V1225" t="s">
        <v>51</v>
      </c>
      <c r="W1225">
        <v>417000</v>
      </c>
      <c r="X1225" t="s">
        <v>53</v>
      </c>
      <c r="Y1225" t="s">
        <v>6509</v>
      </c>
      <c r="Z1225">
        <v>0</v>
      </c>
      <c r="AA1225">
        <v>6880</v>
      </c>
      <c r="AB1225">
        <v>5342</v>
      </c>
      <c r="AC1225">
        <v>18411</v>
      </c>
      <c r="AD1225">
        <v>20269</v>
      </c>
      <c r="AE1225">
        <v>20269</v>
      </c>
      <c r="AF1225">
        <v>9</v>
      </c>
      <c r="AG1225">
        <v>29</v>
      </c>
      <c r="AH1225">
        <v>357.54483032226563</v>
      </c>
      <c r="AI1225">
        <v>0</v>
      </c>
      <c r="AJ1225">
        <v>50570.1484375</v>
      </c>
      <c r="AK1225" t="s">
        <v>54</v>
      </c>
      <c r="AL1225" t="s">
        <v>53</v>
      </c>
      <c r="AM1225" t="s">
        <v>6509</v>
      </c>
      <c r="AQ1225" t="s">
        <v>54</v>
      </c>
      <c r="AR1225" t="s">
        <v>6509</v>
      </c>
      <c r="AT1225" t="s">
        <v>6511</v>
      </c>
      <c r="AV1225" t="s">
        <v>6509</v>
      </c>
      <c r="AW1225" t="s">
        <v>53</v>
      </c>
      <c r="AX1225" t="s">
        <v>6509</v>
      </c>
      <c r="AZ1225" t="s">
        <v>54</v>
      </c>
      <c r="BA1225" t="s">
        <v>6512</v>
      </c>
    </row>
    <row r="1226" spans="1:53" x14ac:dyDescent="0.25">
      <c r="A1226">
        <v>1221</v>
      </c>
      <c r="B1226" t="s">
        <v>6843</v>
      </c>
      <c r="C1226" t="s">
        <v>6844</v>
      </c>
      <c r="D1226" t="s">
        <v>6518</v>
      </c>
      <c r="E1226">
        <v>7</v>
      </c>
      <c r="F1226" t="s">
        <v>6501</v>
      </c>
      <c r="G1226" t="s">
        <v>3036</v>
      </c>
      <c r="H1226" t="s">
        <v>6845</v>
      </c>
      <c r="I1226" t="s">
        <v>6846</v>
      </c>
      <c r="J1226" t="s">
        <v>6847</v>
      </c>
      <c r="K1226" t="s">
        <v>6848</v>
      </c>
      <c r="L1226" t="s">
        <v>6507</v>
      </c>
      <c r="M1226">
        <v>21.92342567443848</v>
      </c>
      <c r="N1226" t="s">
        <v>54</v>
      </c>
      <c r="O1226" t="s">
        <v>53</v>
      </c>
      <c r="P1226" t="s">
        <v>53</v>
      </c>
      <c r="Q1226" t="s">
        <v>53</v>
      </c>
      <c r="R1226" t="s">
        <v>53</v>
      </c>
      <c r="S1226" t="s">
        <v>3038</v>
      </c>
      <c r="T1226" t="s">
        <v>3038</v>
      </c>
      <c r="U1226" t="s">
        <v>53</v>
      </c>
      <c r="V1226" t="s">
        <v>1973</v>
      </c>
      <c r="W1226">
        <v>100000</v>
      </c>
      <c r="X1226" t="s">
        <v>53</v>
      </c>
      <c r="Y1226" t="s">
        <v>6509</v>
      </c>
      <c r="Z1226">
        <v>0</v>
      </c>
      <c r="AA1226">
        <v>0</v>
      </c>
      <c r="AB1226">
        <v>0</v>
      </c>
      <c r="AC1226">
        <v>0</v>
      </c>
      <c r="AD1226">
        <v>0</v>
      </c>
      <c r="AE1226">
        <v>0</v>
      </c>
      <c r="AF1226">
        <v>0</v>
      </c>
      <c r="AG1226">
        <v>0</v>
      </c>
      <c r="AH1226">
        <v>1.9176123142242429</v>
      </c>
      <c r="AI1226">
        <v>0</v>
      </c>
      <c r="AJ1226">
        <v>877.84844970703125</v>
      </c>
      <c r="AK1226" t="s">
        <v>53</v>
      </c>
      <c r="AL1226" t="s">
        <v>53</v>
      </c>
      <c r="AM1226" t="s">
        <v>6509</v>
      </c>
      <c r="AQ1226" t="s">
        <v>54</v>
      </c>
      <c r="AR1226" t="s">
        <v>6509</v>
      </c>
      <c r="AT1226" t="s">
        <v>6511</v>
      </c>
      <c r="AV1226" t="s">
        <v>6509</v>
      </c>
      <c r="AW1226" t="s">
        <v>53</v>
      </c>
      <c r="AX1226" t="s">
        <v>6509</v>
      </c>
      <c r="AZ1226" t="s">
        <v>54</v>
      </c>
      <c r="BA1226" t="s">
        <v>6512</v>
      </c>
    </row>
    <row r="1227" spans="1:53" x14ac:dyDescent="0.25">
      <c r="A1227">
        <v>1222</v>
      </c>
      <c r="B1227" t="s">
        <v>6849</v>
      </c>
      <c r="C1227" t="s">
        <v>6850</v>
      </c>
      <c r="D1227" t="s">
        <v>6500</v>
      </c>
      <c r="E1227">
        <v>7</v>
      </c>
      <c r="F1227" t="s">
        <v>6501</v>
      </c>
      <c r="G1227" t="s">
        <v>2535</v>
      </c>
      <c r="H1227" t="s">
        <v>6851</v>
      </c>
      <c r="I1227" t="s">
        <v>6852</v>
      </c>
      <c r="J1227" t="s">
        <v>6853</v>
      </c>
      <c r="K1227" t="s">
        <v>6854</v>
      </c>
      <c r="L1227" t="s">
        <v>6507</v>
      </c>
      <c r="M1227">
        <v>73.517784118652344</v>
      </c>
      <c r="N1227" t="s">
        <v>53</v>
      </c>
      <c r="O1227" t="s">
        <v>53</v>
      </c>
      <c r="P1227" t="s">
        <v>53</v>
      </c>
      <c r="Q1227" t="s">
        <v>54</v>
      </c>
      <c r="R1227" t="s">
        <v>53</v>
      </c>
      <c r="S1227" t="s">
        <v>2538</v>
      </c>
      <c r="T1227" t="s">
        <v>2538</v>
      </c>
      <c r="U1227" t="s">
        <v>53</v>
      </c>
      <c r="V1227" t="s">
        <v>138</v>
      </c>
      <c r="W1227">
        <v>920000</v>
      </c>
      <c r="X1227" t="s">
        <v>53</v>
      </c>
      <c r="Y1227" t="s">
        <v>6509</v>
      </c>
      <c r="Z1227">
        <v>0</v>
      </c>
      <c r="AA1227">
        <v>5</v>
      </c>
      <c r="AB1227">
        <v>3</v>
      </c>
      <c r="AC1227">
        <v>3</v>
      </c>
      <c r="AD1227">
        <v>10</v>
      </c>
      <c r="AE1227">
        <v>10</v>
      </c>
      <c r="AF1227">
        <v>0</v>
      </c>
      <c r="AG1227">
        <v>0</v>
      </c>
      <c r="AH1227">
        <v>46.634864807128913</v>
      </c>
      <c r="AI1227">
        <v>0</v>
      </c>
      <c r="AJ1227">
        <v>4233.44482421875</v>
      </c>
      <c r="AK1227" t="s">
        <v>54</v>
      </c>
      <c r="AL1227" t="s">
        <v>53</v>
      </c>
      <c r="AM1227" t="s">
        <v>6509</v>
      </c>
      <c r="AQ1227" t="s">
        <v>54</v>
      </c>
      <c r="AR1227" t="s">
        <v>6509</v>
      </c>
      <c r="AT1227" t="s">
        <v>6511</v>
      </c>
      <c r="AV1227" t="s">
        <v>6509</v>
      </c>
      <c r="AW1227" t="s">
        <v>53</v>
      </c>
      <c r="AX1227" t="s">
        <v>6509</v>
      </c>
      <c r="AZ1227" t="s">
        <v>54</v>
      </c>
      <c r="BA1227" t="s">
        <v>6512</v>
      </c>
    </row>
    <row r="1228" spans="1:53" x14ac:dyDescent="0.25">
      <c r="A1228">
        <v>1223</v>
      </c>
      <c r="B1228" t="s">
        <v>6855</v>
      </c>
      <c r="C1228" t="s">
        <v>6856</v>
      </c>
      <c r="D1228" t="s">
        <v>6857</v>
      </c>
      <c r="E1228">
        <v>7</v>
      </c>
      <c r="F1228" t="s">
        <v>6501</v>
      </c>
      <c r="G1228" t="s">
        <v>2535</v>
      </c>
      <c r="H1228" t="s">
        <v>6851</v>
      </c>
      <c r="I1228" t="s">
        <v>6852</v>
      </c>
      <c r="J1228" t="s">
        <v>6853</v>
      </c>
      <c r="K1228" t="s">
        <v>6854</v>
      </c>
      <c r="L1228" t="s">
        <v>6507</v>
      </c>
      <c r="M1228">
        <v>73.517784118652344</v>
      </c>
      <c r="N1228" t="s">
        <v>53</v>
      </c>
      <c r="O1228" t="s">
        <v>53</v>
      </c>
      <c r="P1228" t="s">
        <v>53</v>
      </c>
      <c r="Q1228" t="s">
        <v>54</v>
      </c>
      <c r="R1228" t="s">
        <v>53</v>
      </c>
      <c r="S1228" t="s">
        <v>2538</v>
      </c>
      <c r="T1228" t="s">
        <v>2538</v>
      </c>
      <c r="U1228" t="s">
        <v>53</v>
      </c>
      <c r="V1228" t="s">
        <v>138</v>
      </c>
      <c r="W1228">
        <v>500000</v>
      </c>
      <c r="X1228" t="s">
        <v>53</v>
      </c>
      <c r="Y1228" t="s">
        <v>6509</v>
      </c>
      <c r="Z1228">
        <v>0</v>
      </c>
      <c r="AA1228">
        <v>5</v>
      </c>
      <c r="AB1228">
        <v>3</v>
      </c>
      <c r="AC1228">
        <v>3</v>
      </c>
      <c r="AD1228">
        <v>10</v>
      </c>
      <c r="AE1228">
        <v>10</v>
      </c>
      <c r="AF1228">
        <v>0</v>
      </c>
      <c r="AG1228">
        <v>0</v>
      </c>
      <c r="AH1228">
        <v>46.634864807128913</v>
      </c>
      <c r="AI1228">
        <v>0</v>
      </c>
      <c r="AJ1228">
        <v>4233.44482421875</v>
      </c>
      <c r="AK1228" t="s">
        <v>54</v>
      </c>
      <c r="AL1228" t="s">
        <v>53</v>
      </c>
      <c r="AM1228" t="s">
        <v>6509</v>
      </c>
      <c r="AQ1228" t="s">
        <v>54</v>
      </c>
      <c r="AR1228" t="s">
        <v>6509</v>
      </c>
      <c r="AT1228" t="s">
        <v>6511</v>
      </c>
      <c r="AV1228" t="s">
        <v>6509</v>
      </c>
      <c r="AW1228" t="s">
        <v>53</v>
      </c>
      <c r="AX1228" t="s">
        <v>6509</v>
      </c>
      <c r="AZ1228" t="s">
        <v>54</v>
      </c>
      <c r="BA1228" t="s">
        <v>6512</v>
      </c>
    </row>
    <row r="1229" spans="1:53" x14ac:dyDescent="0.25">
      <c r="A1229">
        <v>1224</v>
      </c>
      <c r="B1229" t="s">
        <v>6858</v>
      </c>
      <c r="C1229" t="s">
        <v>6859</v>
      </c>
      <c r="D1229" t="s">
        <v>6518</v>
      </c>
      <c r="E1229">
        <v>7</v>
      </c>
      <c r="F1229" t="s">
        <v>6501</v>
      </c>
      <c r="G1229" t="s">
        <v>2535</v>
      </c>
      <c r="H1229" t="s">
        <v>6851</v>
      </c>
      <c r="I1229" t="s">
        <v>6852</v>
      </c>
      <c r="J1229" t="s">
        <v>6853</v>
      </c>
      <c r="K1229" t="s">
        <v>6854</v>
      </c>
      <c r="L1229" t="s">
        <v>6507</v>
      </c>
      <c r="M1229">
        <v>73.517784118652344</v>
      </c>
      <c r="N1229" t="s">
        <v>53</v>
      </c>
      <c r="O1229" t="s">
        <v>53</v>
      </c>
      <c r="P1229" t="s">
        <v>53</v>
      </c>
      <c r="Q1229" t="s">
        <v>54</v>
      </c>
      <c r="R1229" t="s">
        <v>53</v>
      </c>
      <c r="S1229" t="s">
        <v>2538</v>
      </c>
      <c r="T1229" t="s">
        <v>2538</v>
      </c>
      <c r="U1229" t="s">
        <v>53</v>
      </c>
      <c r="V1229" t="s">
        <v>1973</v>
      </c>
      <c r="W1229">
        <v>100000</v>
      </c>
      <c r="X1229" t="s">
        <v>53</v>
      </c>
      <c r="Y1229" t="s">
        <v>6509</v>
      </c>
      <c r="Z1229">
        <v>0</v>
      </c>
      <c r="AA1229">
        <v>5</v>
      </c>
      <c r="AB1229">
        <v>3</v>
      </c>
      <c r="AC1229">
        <v>3</v>
      </c>
      <c r="AD1229">
        <v>10</v>
      </c>
      <c r="AE1229">
        <v>10</v>
      </c>
      <c r="AF1229">
        <v>0</v>
      </c>
      <c r="AG1229">
        <v>0</v>
      </c>
      <c r="AH1229">
        <v>46.634864807128913</v>
      </c>
      <c r="AI1229">
        <v>0</v>
      </c>
      <c r="AJ1229">
        <v>4233.44482421875</v>
      </c>
      <c r="AK1229" t="s">
        <v>53</v>
      </c>
      <c r="AL1229" t="s">
        <v>53</v>
      </c>
      <c r="AM1229" t="s">
        <v>6509</v>
      </c>
      <c r="AQ1229" t="s">
        <v>54</v>
      </c>
      <c r="AR1229" t="s">
        <v>6509</v>
      </c>
      <c r="AT1229" t="s">
        <v>6511</v>
      </c>
      <c r="AV1229" t="s">
        <v>6509</v>
      </c>
      <c r="AW1229" t="s">
        <v>53</v>
      </c>
      <c r="AX1229" t="s">
        <v>6509</v>
      </c>
      <c r="AZ1229" t="s">
        <v>54</v>
      </c>
      <c r="BA1229" t="s">
        <v>6512</v>
      </c>
    </row>
    <row r="1230" spans="1:53" x14ac:dyDescent="0.25">
      <c r="A1230">
        <v>1225</v>
      </c>
      <c r="B1230" t="s">
        <v>6860</v>
      </c>
      <c r="C1230" t="s">
        <v>6861</v>
      </c>
      <c r="D1230" t="s">
        <v>6500</v>
      </c>
      <c r="E1230">
        <v>7</v>
      </c>
      <c r="F1230" t="s">
        <v>6501</v>
      </c>
      <c r="G1230" t="s">
        <v>2896</v>
      </c>
      <c r="H1230" t="s">
        <v>6862</v>
      </c>
      <c r="I1230" t="s">
        <v>6863</v>
      </c>
      <c r="J1230" t="s">
        <v>6864</v>
      </c>
      <c r="K1230" t="s">
        <v>6865</v>
      </c>
      <c r="L1230" t="s">
        <v>6507</v>
      </c>
      <c r="M1230">
        <v>451.09014892578119</v>
      </c>
      <c r="N1230" t="s">
        <v>53</v>
      </c>
      <c r="O1230" t="s">
        <v>53</v>
      </c>
      <c r="P1230" t="s">
        <v>53</v>
      </c>
      <c r="Q1230" t="s">
        <v>54</v>
      </c>
      <c r="R1230" t="s">
        <v>53</v>
      </c>
      <c r="S1230" t="s">
        <v>2901</v>
      </c>
      <c r="T1230" t="s">
        <v>2901</v>
      </c>
      <c r="U1230" t="s">
        <v>53</v>
      </c>
      <c r="V1230" t="s">
        <v>138</v>
      </c>
      <c r="W1230">
        <v>870000</v>
      </c>
      <c r="X1230" t="s">
        <v>53</v>
      </c>
      <c r="Y1230" t="s">
        <v>6509</v>
      </c>
      <c r="Z1230">
        <v>0</v>
      </c>
      <c r="AA1230">
        <v>51</v>
      </c>
      <c r="AB1230">
        <v>0</v>
      </c>
      <c r="AC1230">
        <v>82</v>
      </c>
      <c r="AD1230">
        <v>56</v>
      </c>
      <c r="AE1230">
        <v>82</v>
      </c>
      <c r="AF1230">
        <v>0</v>
      </c>
      <c r="AG1230">
        <v>6</v>
      </c>
      <c r="AH1230">
        <v>280.89724731445313</v>
      </c>
      <c r="AI1230">
        <v>0</v>
      </c>
      <c r="AJ1230">
        <v>23504.32421875</v>
      </c>
      <c r="AK1230" t="s">
        <v>54</v>
      </c>
      <c r="AL1230" t="s">
        <v>53</v>
      </c>
      <c r="AM1230" t="s">
        <v>6509</v>
      </c>
      <c r="AQ1230" t="s">
        <v>54</v>
      </c>
      <c r="AR1230" t="s">
        <v>6509</v>
      </c>
      <c r="AT1230" t="s">
        <v>6511</v>
      </c>
      <c r="AV1230" t="s">
        <v>6509</v>
      </c>
      <c r="AW1230" t="s">
        <v>53</v>
      </c>
      <c r="AX1230" t="s">
        <v>6509</v>
      </c>
      <c r="AZ1230" t="s">
        <v>54</v>
      </c>
      <c r="BA1230" t="s">
        <v>6512</v>
      </c>
    </row>
    <row r="1231" spans="1:53" x14ac:dyDescent="0.25">
      <c r="A1231">
        <v>1226</v>
      </c>
      <c r="B1231" t="s">
        <v>6866</v>
      </c>
      <c r="C1231" t="s">
        <v>6867</v>
      </c>
      <c r="D1231" t="s">
        <v>6515</v>
      </c>
      <c r="E1231">
        <v>7</v>
      </c>
      <c r="F1231" t="s">
        <v>6501</v>
      </c>
      <c r="G1231" t="s">
        <v>2896</v>
      </c>
      <c r="H1231" t="s">
        <v>6862</v>
      </c>
      <c r="I1231" t="s">
        <v>6863</v>
      </c>
      <c r="J1231" t="s">
        <v>6864</v>
      </c>
      <c r="K1231" t="s">
        <v>6865</v>
      </c>
      <c r="L1231" t="s">
        <v>6507</v>
      </c>
      <c r="M1231">
        <v>451.09014892578119</v>
      </c>
      <c r="N1231" t="s">
        <v>53</v>
      </c>
      <c r="O1231" t="s">
        <v>53</v>
      </c>
      <c r="P1231" t="s">
        <v>53</v>
      </c>
      <c r="Q1231" t="s">
        <v>54</v>
      </c>
      <c r="R1231" t="s">
        <v>53</v>
      </c>
      <c r="S1231" t="s">
        <v>2901</v>
      </c>
      <c r="T1231" t="s">
        <v>2901</v>
      </c>
      <c r="U1231" t="s">
        <v>53</v>
      </c>
      <c r="V1231" t="s">
        <v>138</v>
      </c>
      <c r="W1231">
        <v>500000</v>
      </c>
      <c r="X1231" t="s">
        <v>53</v>
      </c>
      <c r="Y1231" t="s">
        <v>6509</v>
      </c>
      <c r="Z1231">
        <v>0</v>
      </c>
      <c r="AA1231">
        <v>51</v>
      </c>
      <c r="AB1231">
        <v>0</v>
      </c>
      <c r="AC1231">
        <v>82</v>
      </c>
      <c r="AD1231">
        <v>56</v>
      </c>
      <c r="AE1231">
        <v>82</v>
      </c>
      <c r="AF1231">
        <v>0</v>
      </c>
      <c r="AG1231">
        <v>6</v>
      </c>
      <c r="AH1231">
        <v>280.89724731445313</v>
      </c>
      <c r="AI1231">
        <v>0</v>
      </c>
      <c r="AJ1231">
        <v>23504.32421875</v>
      </c>
      <c r="AK1231" t="s">
        <v>54</v>
      </c>
      <c r="AL1231" t="s">
        <v>53</v>
      </c>
      <c r="AM1231" t="s">
        <v>6509</v>
      </c>
      <c r="AQ1231" t="s">
        <v>54</v>
      </c>
      <c r="AR1231" t="s">
        <v>6509</v>
      </c>
      <c r="AT1231" t="s">
        <v>6511</v>
      </c>
      <c r="AV1231" t="s">
        <v>6509</v>
      </c>
      <c r="AW1231" t="s">
        <v>53</v>
      </c>
      <c r="AX1231" t="s">
        <v>6509</v>
      </c>
      <c r="AZ1231" t="s">
        <v>54</v>
      </c>
      <c r="BA1231" t="s">
        <v>6512</v>
      </c>
    </row>
    <row r="1232" spans="1:53" x14ac:dyDescent="0.25">
      <c r="A1232">
        <v>1227</v>
      </c>
      <c r="B1232" t="s">
        <v>6868</v>
      </c>
      <c r="C1232" t="s">
        <v>6869</v>
      </c>
      <c r="D1232" t="s">
        <v>6518</v>
      </c>
      <c r="E1232">
        <v>7</v>
      </c>
      <c r="F1232" t="s">
        <v>6501</v>
      </c>
      <c r="G1232" t="s">
        <v>2896</v>
      </c>
      <c r="H1232" t="s">
        <v>6862</v>
      </c>
      <c r="I1232" t="s">
        <v>6863</v>
      </c>
      <c r="J1232" t="s">
        <v>6864</v>
      </c>
      <c r="K1232" t="s">
        <v>6865</v>
      </c>
      <c r="L1232" t="s">
        <v>6507</v>
      </c>
      <c r="M1232">
        <v>451.09014892578119</v>
      </c>
      <c r="N1232" t="s">
        <v>53</v>
      </c>
      <c r="O1232" t="s">
        <v>53</v>
      </c>
      <c r="P1232" t="s">
        <v>53</v>
      </c>
      <c r="Q1232" t="s">
        <v>54</v>
      </c>
      <c r="R1232" t="s">
        <v>53</v>
      </c>
      <c r="S1232" t="s">
        <v>2901</v>
      </c>
      <c r="T1232" t="s">
        <v>2901</v>
      </c>
      <c r="U1232" t="s">
        <v>53</v>
      </c>
      <c r="V1232" t="s">
        <v>1973</v>
      </c>
      <c r="W1232">
        <v>100000</v>
      </c>
      <c r="X1232" t="s">
        <v>53</v>
      </c>
      <c r="Y1232" t="s">
        <v>6509</v>
      </c>
      <c r="Z1232">
        <v>0</v>
      </c>
      <c r="AA1232">
        <v>51</v>
      </c>
      <c r="AB1232">
        <v>0</v>
      </c>
      <c r="AC1232">
        <v>82</v>
      </c>
      <c r="AD1232">
        <v>56</v>
      </c>
      <c r="AE1232">
        <v>82</v>
      </c>
      <c r="AF1232">
        <v>0</v>
      </c>
      <c r="AG1232">
        <v>6</v>
      </c>
      <c r="AH1232">
        <v>280.89724731445313</v>
      </c>
      <c r="AI1232">
        <v>0</v>
      </c>
      <c r="AJ1232">
        <v>23504.32421875</v>
      </c>
      <c r="AK1232" t="s">
        <v>53</v>
      </c>
      <c r="AL1232" t="s">
        <v>53</v>
      </c>
      <c r="AM1232" t="s">
        <v>6509</v>
      </c>
      <c r="AQ1232" t="s">
        <v>54</v>
      </c>
      <c r="AR1232" t="s">
        <v>6509</v>
      </c>
      <c r="AT1232" t="s">
        <v>6511</v>
      </c>
      <c r="AV1232" t="s">
        <v>6509</v>
      </c>
      <c r="AW1232" t="s">
        <v>53</v>
      </c>
      <c r="AX1232" t="s">
        <v>6509</v>
      </c>
      <c r="AZ1232" t="s">
        <v>54</v>
      </c>
      <c r="BA1232" t="s">
        <v>6512</v>
      </c>
    </row>
    <row r="1233" spans="1:53" x14ac:dyDescent="0.25">
      <c r="A1233">
        <v>1228</v>
      </c>
      <c r="B1233" t="s">
        <v>6870</v>
      </c>
      <c r="C1233" t="s">
        <v>6871</v>
      </c>
      <c r="D1233" t="s">
        <v>6542</v>
      </c>
      <c r="E1233">
        <v>7</v>
      </c>
      <c r="F1233" t="s">
        <v>6501</v>
      </c>
      <c r="G1233" t="s">
        <v>2906</v>
      </c>
      <c r="H1233" t="s">
        <v>6872</v>
      </c>
      <c r="I1233" t="s">
        <v>6873</v>
      </c>
      <c r="J1233" t="s">
        <v>6874</v>
      </c>
      <c r="K1233" t="s">
        <v>6875</v>
      </c>
      <c r="L1233" t="s">
        <v>6507</v>
      </c>
      <c r="M1233">
        <v>552.8782958984375</v>
      </c>
      <c r="N1233" t="s">
        <v>53</v>
      </c>
      <c r="O1233" t="s">
        <v>53</v>
      </c>
      <c r="P1233" t="s">
        <v>53</v>
      </c>
      <c r="Q1233" t="s">
        <v>54</v>
      </c>
      <c r="R1233" t="s">
        <v>53</v>
      </c>
      <c r="S1233" t="s">
        <v>2910</v>
      </c>
      <c r="T1233" t="s">
        <v>2910</v>
      </c>
      <c r="U1233" t="s">
        <v>53</v>
      </c>
      <c r="V1233" t="s">
        <v>138</v>
      </c>
      <c r="W1233">
        <v>787000</v>
      </c>
      <c r="X1233" t="s">
        <v>53</v>
      </c>
      <c r="Y1233" t="s">
        <v>6509</v>
      </c>
      <c r="Z1233">
        <v>0</v>
      </c>
      <c r="AA1233">
        <v>51</v>
      </c>
      <c r="AB1233">
        <v>4</v>
      </c>
      <c r="AC1233">
        <v>47</v>
      </c>
      <c r="AD1233">
        <v>39</v>
      </c>
      <c r="AE1233">
        <v>47</v>
      </c>
      <c r="AF1233">
        <v>0</v>
      </c>
      <c r="AG1233">
        <v>5</v>
      </c>
      <c r="AH1233">
        <v>343.33282470703119</v>
      </c>
      <c r="AI1233">
        <v>0</v>
      </c>
      <c r="AJ1233">
        <v>11929.7109375</v>
      </c>
      <c r="AK1233" t="s">
        <v>54</v>
      </c>
      <c r="AL1233" t="s">
        <v>53</v>
      </c>
      <c r="AM1233" t="s">
        <v>6509</v>
      </c>
      <c r="AQ1233" t="s">
        <v>54</v>
      </c>
      <c r="AR1233" t="s">
        <v>6509</v>
      </c>
      <c r="AT1233" t="s">
        <v>6511</v>
      </c>
      <c r="AV1233" t="s">
        <v>6509</v>
      </c>
      <c r="AW1233" t="s">
        <v>53</v>
      </c>
      <c r="AX1233" t="s">
        <v>6509</v>
      </c>
      <c r="AZ1233" t="s">
        <v>54</v>
      </c>
      <c r="BA1233" t="s">
        <v>6512</v>
      </c>
    </row>
    <row r="1234" spans="1:53" x14ac:dyDescent="0.25">
      <c r="A1234">
        <v>1229</v>
      </c>
      <c r="B1234" t="s">
        <v>6876</v>
      </c>
      <c r="C1234" t="s">
        <v>6877</v>
      </c>
      <c r="D1234" t="s">
        <v>6515</v>
      </c>
      <c r="E1234">
        <v>7</v>
      </c>
      <c r="F1234" t="s">
        <v>6501</v>
      </c>
      <c r="G1234" t="s">
        <v>2906</v>
      </c>
      <c r="H1234" t="s">
        <v>6872</v>
      </c>
      <c r="I1234" t="s">
        <v>6873</v>
      </c>
      <c r="J1234" t="s">
        <v>6874</v>
      </c>
      <c r="K1234" t="s">
        <v>6875</v>
      </c>
      <c r="L1234" t="s">
        <v>6507</v>
      </c>
      <c r="M1234">
        <v>552.8782958984375</v>
      </c>
      <c r="N1234" t="s">
        <v>53</v>
      </c>
      <c r="O1234" t="s">
        <v>53</v>
      </c>
      <c r="P1234" t="s">
        <v>53</v>
      </c>
      <c r="Q1234" t="s">
        <v>54</v>
      </c>
      <c r="R1234" t="s">
        <v>53</v>
      </c>
      <c r="S1234" t="s">
        <v>2910</v>
      </c>
      <c r="T1234" t="s">
        <v>2910</v>
      </c>
      <c r="U1234" t="s">
        <v>53</v>
      </c>
      <c r="V1234" t="s">
        <v>138</v>
      </c>
      <c r="W1234">
        <v>500000</v>
      </c>
      <c r="X1234" t="s">
        <v>53</v>
      </c>
      <c r="Y1234" t="s">
        <v>6509</v>
      </c>
      <c r="Z1234">
        <v>0</v>
      </c>
      <c r="AA1234">
        <v>51</v>
      </c>
      <c r="AB1234">
        <v>4</v>
      </c>
      <c r="AC1234">
        <v>47</v>
      </c>
      <c r="AD1234">
        <v>39</v>
      </c>
      <c r="AE1234">
        <v>47</v>
      </c>
      <c r="AF1234">
        <v>0</v>
      </c>
      <c r="AG1234">
        <v>5</v>
      </c>
      <c r="AH1234">
        <v>343.33282470703119</v>
      </c>
      <c r="AI1234">
        <v>0</v>
      </c>
      <c r="AJ1234">
        <v>11929.7109375</v>
      </c>
      <c r="AK1234" t="s">
        <v>54</v>
      </c>
      <c r="AL1234" t="s">
        <v>53</v>
      </c>
      <c r="AM1234" t="s">
        <v>6509</v>
      </c>
      <c r="AQ1234" t="s">
        <v>54</v>
      </c>
      <c r="AR1234" t="s">
        <v>6509</v>
      </c>
      <c r="AT1234" t="s">
        <v>6511</v>
      </c>
      <c r="AV1234" t="s">
        <v>6509</v>
      </c>
      <c r="AW1234" t="s">
        <v>53</v>
      </c>
      <c r="AX1234" t="s">
        <v>6509</v>
      </c>
      <c r="AZ1234" t="s">
        <v>54</v>
      </c>
      <c r="BA1234" t="s">
        <v>6512</v>
      </c>
    </row>
    <row r="1235" spans="1:53" x14ac:dyDescent="0.25">
      <c r="A1235">
        <v>1230</v>
      </c>
      <c r="B1235" t="s">
        <v>6878</v>
      </c>
      <c r="C1235" t="s">
        <v>6879</v>
      </c>
      <c r="D1235" t="s">
        <v>6518</v>
      </c>
      <c r="E1235">
        <v>7</v>
      </c>
      <c r="F1235" t="s">
        <v>6501</v>
      </c>
      <c r="G1235" t="s">
        <v>2906</v>
      </c>
      <c r="H1235" t="s">
        <v>6872</v>
      </c>
      <c r="I1235" t="s">
        <v>6873</v>
      </c>
      <c r="J1235" t="s">
        <v>6874</v>
      </c>
      <c r="K1235" t="s">
        <v>6875</v>
      </c>
      <c r="L1235" t="s">
        <v>6507</v>
      </c>
      <c r="M1235">
        <v>552.8782958984375</v>
      </c>
      <c r="N1235" t="s">
        <v>53</v>
      </c>
      <c r="O1235" t="s">
        <v>53</v>
      </c>
      <c r="P1235" t="s">
        <v>53</v>
      </c>
      <c r="Q1235" t="s">
        <v>54</v>
      </c>
      <c r="R1235" t="s">
        <v>53</v>
      </c>
      <c r="S1235" t="s">
        <v>2910</v>
      </c>
      <c r="T1235" t="s">
        <v>2910</v>
      </c>
      <c r="U1235" t="s">
        <v>53</v>
      </c>
      <c r="V1235" t="s">
        <v>1973</v>
      </c>
      <c r="W1235">
        <v>100000</v>
      </c>
      <c r="X1235" t="s">
        <v>53</v>
      </c>
      <c r="Y1235" t="s">
        <v>6509</v>
      </c>
      <c r="Z1235">
        <v>0</v>
      </c>
      <c r="AA1235">
        <v>51</v>
      </c>
      <c r="AB1235">
        <v>4</v>
      </c>
      <c r="AC1235">
        <v>47</v>
      </c>
      <c r="AD1235">
        <v>39</v>
      </c>
      <c r="AE1235">
        <v>47</v>
      </c>
      <c r="AF1235">
        <v>0</v>
      </c>
      <c r="AG1235">
        <v>5</v>
      </c>
      <c r="AH1235">
        <v>343.33282470703119</v>
      </c>
      <c r="AI1235">
        <v>0</v>
      </c>
      <c r="AJ1235">
        <v>11929.7109375</v>
      </c>
      <c r="AK1235" t="s">
        <v>53</v>
      </c>
      <c r="AL1235" t="s">
        <v>53</v>
      </c>
      <c r="AM1235" t="s">
        <v>6509</v>
      </c>
      <c r="AQ1235" t="s">
        <v>54</v>
      </c>
      <c r="AR1235" t="s">
        <v>6509</v>
      </c>
      <c r="AT1235" t="s">
        <v>6511</v>
      </c>
      <c r="AV1235" t="s">
        <v>6509</v>
      </c>
      <c r="AW1235" t="s">
        <v>53</v>
      </c>
      <c r="AX1235" t="s">
        <v>6509</v>
      </c>
      <c r="AZ1235" t="s">
        <v>54</v>
      </c>
      <c r="BA1235" t="s">
        <v>6512</v>
      </c>
    </row>
    <row r="1236" spans="1:53" x14ac:dyDescent="0.25">
      <c r="A1236">
        <v>1231</v>
      </c>
      <c r="B1236" t="s">
        <v>6880</v>
      </c>
      <c r="C1236" t="s">
        <v>6881</v>
      </c>
      <c r="D1236" t="s">
        <v>6882</v>
      </c>
      <c r="E1236">
        <v>7</v>
      </c>
      <c r="F1236" t="s">
        <v>6501</v>
      </c>
      <c r="G1236" t="s">
        <v>2446</v>
      </c>
      <c r="H1236" t="s">
        <v>6883</v>
      </c>
      <c r="I1236" t="s">
        <v>6884</v>
      </c>
      <c r="J1236" t="s">
        <v>6885</v>
      </c>
      <c r="K1236" t="s">
        <v>6886</v>
      </c>
      <c r="L1236" t="s">
        <v>6507</v>
      </c>
      <c r="M1236">
        <v>1.598413944244385</v>
      </c>
      <c r="N1236" t="s">
        <v>54</v>
      </c>
      <c r="O1236" t="s">
        <v>53</v>
      </c>
      <c r="P1236" t="s">
        <v>53</v>
      </c>
      <c r="Q1236" t="s">
        <v>53</v>
      </c>
      <c r="R1236" t="s">
        <v>53</v>
      </c>
      <c r="S1236" t="s">
        <v>6887</v>
      </c>
      <c r="T1236" t="s">
        <v>6887</v>
      </c>
      <c r="U1236" t="s">
        <v>53</v>
      </c>
      <c r="V1236" t="s">
        <v>138</v>
      </c>
      <c r="W1236">
        <v>250000</v>
      </c>
      <c r="X1236" t="s">
        <v>53</v>
      </c>
      <c r="Y1236" t="s">
        <v>6509</v>
      </c>
      <c r="Z1236">
        <v>0</v>
      </c>
      <c r="AA1236">
        <v>57</v>
      </c>
      <c r="AB1236">
        <v>0</v>
      </c>
      <c r="AC1236">
        <v>30</v>
      </c>
      <c r="AD1236">
        <v>37</v>
      </c>
      <c r="AE1236">
        <v>37</v>
      </c>
      <c r="AF1236">
        <v>0</v>
      </c>
      <c r="AG1236">
        <v>0</v>
      </c>
      <c r="AH1236">
        <v>3.0450596809387211</v>
      </c>
      <c r="AI1236">
        <v>0</v>
      </c>
      <c r="AJ1236">
        <v>6.7907199263572693E-3</v>
      </c>
      <c r="AK1236" t="s">
        <v>54</v>
      </c>
      <c r="AL1236" t="s">
        <v>53</v>
      </c>
      <c r="AM1236" t="s">
        <v>6509</v>
      </c>
      <c r="AQ1236" t="s">
        <v>54</v>
      </c>
      <c r="AR1236" t="s">
        <v>6509</v>
      </c>
      <c r="AT1236" t="s">
        <v>6511</v>
      </c>
      <c r="AV1236" t="s">
        <v>6509</v>
      </c>
      <c r="AW1236" t="s">
        <v>53</v>
      </c>
      <c r="AX1236" t="s">
        <v>6509</v>
      </c>
      <c r="AZ1236" t="s">
        <v>54</v>
      </c>
      <c r="BA1236" t="s">
        <v>6512</v>
      </c>
    </row>
    <row r="1237" spans="1:53" x14ac:dyDescent="0.25">
      <c r="A1237">
        <v>1232</v>
      </c>
      <c r="B1237" t="s">
        <v>6888</v>
      </c>
      <c r="C1237" t="s">
        <v>6889</v>
      </c>
      <c r="D1237" t="s">
        <v>6890</v>
      </c>
      <c r="E1237">
        <v>7</v>
      </c>
      <c r="F1237" t="s">
        <v>6501</v>
      </c>
      <c r="G1237" t="s">
        <v>6611</v>
      </c>
      <c r="H1237" t="s">
        <v>6891</v>
      </c>
      <c r="I1237" t="s">
        <v>6892</v>
      </c>
      <c r="J1237" t="s">
        <v>6893</v>
      </c>
      <c r="K1237" t="s">
        <v>6894</v>
      </c>
      <c r="L1237" t="s">
        <v>6507</v>
      </c>
      <c r="M1237">
        <v>111.6635818481445</v>
      </c>
      <c r="N1237" t="s">
        <v>54</v>
      </c>
      <c r="O1237" t="s">
        <v>53</v>
      </c>
      <c r="P1237" t="s">
        <v>53</v>
      </c>
      <c r="Q1237" t="s">
        <v>53</v>
      </c>
      <c r="R1237" t="s">
        <v>53</v>
      </c>
      <c r="S1237" t="s">
        <v>6895</v>
      </c>
      <c r="T1237" t="s">
        <v>6895</v>
      </c>
      <c r="U1237" t="s">
        <v>53</v>
      </c>
      <c r="V1237" t="s">
        <v>138</v>
      </c>
      <c r="W1237">
        <v>321000</v>
      </c>
      <c r="X1237" t="s">
        <v>53</v>
      </c>
      <c r="Y1237" t="s">
        <v>6509</v>
      </c>
      <c r="Z1237">
        <v>0</v>
      </c>
      <c r="AA1237">
        <v>10861</v>
      </c>
      <c r="AB1237">
        <v>9399</v>
      </c>
      <c r="AC1237">
        <v>24482</v>
      </c>
      <c r="AD1237">
        <v>25333</v>
      </c>
      <c r="AE1237">
        <v>25333</v>
      </c>
      <c r="AF1237">
        <v>10</v>
      </c>
      <c r="AG1237">
        <v>58</v>
      </c>
      <c r="AH1237">
        <v>218.49726867675781</v>
      </c>
      <c r="AI1237">
        <v>0</v>
      </c>
      <c r="AJ1237">
        <v>1234.783569335938</v>
      </c>
      <c r="AK1237" t="s">
        <v>54</v>
      </c>
      <c r="AL1237" t="s">
        <v>54</v>
      </c>
      <c r="AM1237" t="s">
        <v>5450</v>
      </c>
      <c r="AP1237" t="s">
        <v>6510</v>
      </c>
      <c r="AQ1237" t="s">
        <v>54</v>
      </c>
      <c r="AR1237" t="s">
        <v>5450</v>
      </c>
      <c r="AS1237" s="148">
        <v>42795</v>
      </c>
      <c r="AT1237" t="s">
        <v>6511</v>
      </c>
      <c r="AV1237" t="s">
        <v>6509</v>
      </c>
      <c r="AW1237" t="s">
        <v>53</v>
      </c>
      <c r="AX1237" t="s">
        <v>6509</v>
      </c>
      <c r="AZ1237" t="s">
        <v>54</v>
      </c>
      <c r="BA1237" t="s">
        <v>6512</v>
      </c>
    </row>
    <row r="1238" spans="1:53" x14ac:dyDescent="0.25">
      <c r="A1238">
        <v>1233</v>
      </c>
      <c r="B1238" t="s">
        <v>6896</v>
      </c>
      <c r="C1238" t="s">
        <v>6897</v>
      </c>
      <c r="D1238" t="s">
        <v>6898</v>
      </c>
      <c r="E1238">
        <v>7</v>
      </c>
      <c r="F1238" t="s">
        <v>6501</v>
      </c>
      <c r="G1238" t="s">
        <v>6521</v>
      </c>
      <c r="H1238" t="s">
        <v>6899</v>
      </c>
      <c r="I1238" t="s">
        <v>6900</v>
      </c>
      <c r="J1238" t="s">
        <v>6901</v>
      </c>
      <c r="K1238" t="s">
        <v>6902</v>
      </c>
      <c r="L1238" t="s">
        <v>6507</v>
      </c>
      <c r="M1238">
        <v>2.7539093494415279</v>
      </c>
      <c r="N1238" t="s">
        <v>54</v>
      </c>
      <c r="O1238" t="s">
        <v>53</v>
      </c>
      <c r="P1238" t="s">
        <v>53</v>
      </c>
      <c r="Q1238" t="s">
        <v>53</v>
      </c>
      <c r="R1238" t="s">
        <v>53</v>
      </c>
      <c r="S1238" t="s">
        <v>6903</v>
      </c>
      <c r="T1238" t="s">
        <v>6903</v>
      </c>
      <c r="U1238" t="s">
        <v>53</v>
      </c>
      <c r="V1238" t="s">
        <v>138</v>
      </c>
      <c r="W1238">
        <v>250000</v>
      </c>
      <c r="X1238" t="s">
        <v>53</v>
      </c>
      <c r="Y1238" t="s">
        <v>6509</v>
      </c>
      <c r="Z1238">
        <v>0</v>
      </c>
      <c r="AA1238">
        <v>53</v>
      </c>
      <c r="AB1238">
        <v>26</v>
      </c>
      <c r="AC1238">
        <v>349</v>
      </c>
      <c r="AD1238">
        <v>95</v>
      </c>
      <c r="AE1238">
        <v>349</v>
      </c>
      <c r="AF1238">
        <v>0</v>
      </c>
      <c r="AG1238">
        <v>0</v>
      </c>
      <c r="AH1238">
        <v>2.5451159477233891</v>
      </c>
      <c r="AI1238">
        <v>0</v>
      </c>
      <c r="AJ1238">
        <v>11.92022132873535</v>
      </c>
      <c r="AK1238" t="s">
        <v>54</v>
      </c>
      <c r="AL1238" t="s">
        <v>53</v>
      </c>
      <c r="AM1238" t="s">
        <v>6509</v>
      </c>
      <c r="AQ1238" t="s">
        <v>54</v>
      </c>
      <c r="AR1238" t="s">
        <v>6509</v>
      </c>
      <c r="AT1238" t="s">
        <v>6511</v>
      </c>
      <c r="AV1238" t="s">
        <v>6509</v>
      </c>
      <c r="AW1238" t="s">
        <v>53</v>
      </c>
      <c r="AX1238" t="s">
        <v>6509</v>
      </c>
      <c r="AZ1238" t="s">
        <v>54</v>
      </c>
      <c r="BA1238" t="s">
        <v>6512</v>
      </c>
    </row>
    <row r="1239" spans="1:53" x14ac:dyDescent="0.25">
      <c r="A1239">
        <v>1234</v>
      </c>
      <c r="B1239" t="s">
        <v>6904</v>
      </c>
      <c r="C1239" t="s">
        <v>6905</v>
      </c>
      <c r="D1239" t="s">
        <v>6898</v>
      </c>
      <c r="E1239">
        <v>7</v>
      </c>
      <c r="F1239" t="s">
        <v>6501</v>
      </c>
      <c r="G1239" t="s">
        <v>6621</v>
      </c>
      <c r="H1239" t="s">
        <v>6891</v>
      </c>
      <c r="I1239" t="s">
        <v>6906</v>
      </c>
      <c r="J1239" t="s">
        <v>6907</v>
      </c>
      <c r="K1239" t="s">
        <v>6908</v>
      </c>
      <c r="L1239" t="s">
        <v>6507</v>
      </c>
      <c r="M1239">
        <v>3.2108473777771001</v>
      </c>
      <c r="N1239" t="s">
        <v>54</v>
      </c>
      <c r="O1239" t="s">
        <v>53</v>
      </c>
      <c r="P1239" t="s">
        <v>53</v>
      </c>
      <c r="Q1239" t="s">
        <v>53</v>
      </c>
      <c r="R1239" t="s">
        <v>53</v>
      </c>
      <c r="S1239" t="s">
        <v>6909</v>
      </c>
      <c r="T1239" t="s">
        <v>6909</v>
      </c>
      <c r="U1239" t="s">
        <v>53</v>
      </c>
      <c r="V1239" t="s">
        <v>138</v>
      </c>
      <c r="W1239">
        <v>250000</v>
      </c>
      <c r="X1239" t="s">
        <v>53</v>
      </c>
      <c r="Y1239" t="s">
        <v>6509</v>
      </c>
      <c r="Z1239">
        <v>0</v>
      </c>
      <c r="AA1239">
        <v>194</v>
      </c>
      <c r="AB1239">
        <v>142</v>
      </c>
      <c r="AC1239">
        <v>220</v>
      </c>
      <c r="AD1239">
        <v>322</v>
      </c>
      <c r="AE1239">
        <v>322</v>
      </c>
      <c r="AF1239">
        <v>1</v>
      </c>
      <c r="AG1239">
        <v>0</v>
      </c>
      <c r="AH1239">
        <v>10.582881927490231</v>
      </c>
      <c r="AI1239">
        <v>0</v>
      </c>
      <c r="AJ1239">
        <v>380.08450317382813</v>
      </c>
      <c r="AK1239" t="s">
        <v>54</v>
      </c>
      <c r="AL1239" t="s">
        <v>54</v>
      </c>
      <c r="AM1239" t="s">
        <v>5450</v>
      </c>
      <c r="AP1239" t="s">
        <v>6510</v>
      </c>
      <c r="AQ1239" t="s">
        <v>54</v>
      </c>
      <c r="AR1239" t="s">
        <v>5450</v>
      </c>
      <c r="AS1239" s="148">
        <v>42795</v>
      </c>
      <c r="AT1239" t="s">
        <v>6511</v>
      </c>
      <c r="AV1239" t="s">
        <v>6509</v>
      </c>
      <c r="AW1239" t="s">
        <v>53</v>
      </c>
      <c r="AX1239" t="s">
        <v>6509</v>
      </c>
      <c r="AZ1239" t="s">
        <v>54</v>
      </c>
      <c r="BA1239" t="s">
        <v>6512</v>
      </c>
    </row>
    <row r="1240" spans="1:53" x14ac:dyDescent="0.25">
      <c r="A1240">
        <v>1235</v>
      </c>
      <c r="B1240" t="s">
        <v>6910</v>
      </c>
      <c r="C1240" t="s">
        <v>6911</v>
      </c>
      <c r="D1240" t="s">
        <v>6898</v>
      </c>
      <c r="E1240">
        <v>7</v>
      </c>
      <c r="F1240" t="s">
        <v>6501</v>
      </c>
      <c r="G1240" t="s">
        <v>6621</v>
      </c>
      <c r="H1240" t="s">
        <v>6891</v>
      </c>
      <c r="I1240" t="s">
        <v>6912</v>
      </c>
      <c r="J1240" t="s">
        <v>6913</v>
      </c>
      <c r="K1240" t="s">
        <v>6914</v>
      </c>
      <c r="L1240" t="s">
        <v>6507</v>
      </c>
      <c r="M1240">
        <v>11.02423095703125</v>
      </c>
      <c r="N1240" t="s">
        <v>54</v>
      </c>
      <c r="O1240" t="s">
        <v>53</v>
      </c>
      <c r="P1240" t="s">
        <v>53</v>
      </c>
      <c r="Q1240" t="s">
        <v>53</v>
      </c>
      <c r="R1240" t="s">
        <v>53</v>
      </c>
      <c r="S1240" t="s">
        <v>6915</v>
      </c>
      <c r="T1240" t="s">
        <v>6915</v>
      </c>
      <c r="U1240" t="s">
        <v>53</v>
      </c>
      <c r="V1240" t="s">
        <v>138</v>
      </c>
      <c r="W1240">
        <v>250000</v>
      </c>
      <c r="X1240" t="s">
        <v>53</v>
      </c>
      <c r="Y1240" t="s">
        <v>6509</v>
      </c>
      <c r="Z1240">
        <v>0</v>
      </c>
      <c r="AA1240">
        <v>8</v>
      </c>
      <c r="AB1240">
        <v>5</v>
      </c>
      <c r="AC1240">
        <v>3</v>
      </c>
      <c r="AD1240">
        <v>4</v>
      </c>
      <c r="AE1240">
        <v>4</v>
      </c>
      <c r="AF1240">
        <v>0</v>
      </c>
      <c r="AG1240">
        <v>4</v>
      </c>
      <c r="AH1240">
        <v>1.662362933158875</v>
      </c>
      <c r="AI1240">
        <v>0</v>
      </c>
      <c r="AJ1240">
        <v>0</v>
      </c>
      <c r="AK1240" t="s">
        <v>54</v>
      </c>
      <c r="AL1240" t="s">
        <v>54</v>
      </c>
      <c r="AM1240" t="s">
        <v>5450</v>
      </c>
      <c r="AP1240" t="s">
        <v>6510</v>
      </c>
      <c r="AQ1240" t="s">
        <v>54</v>
      </c>
      <c r="AR1240" t="s">
        <v>5450</v>
      </c>
      <c r="AS1240" s="148">
        <v>42795</v>
      </c>
      <c r="AT1240" t="s">
        <v>6511</v>
      </c>
      <c r="AV1240" t="s">
        <v>6509</v>
      </c>
      <c r="AW1240" t="s">
        <v>53</v>
      </c>
      <c r="AX1240" t="s">
        <v>6509</v>
      </c>
      <c r="AZ1240" t="s">
        <v>54</v>
      </c>
      <c r="BA1240" t="s">
        <v>6512</v>
      </c>
    </row>
    <row r="1241" spans="1:53" x14ac:dyDescent="0.25">
      <c r="A1241">
        <v>1236</v>
      </c>
      <c r="B1241" t="s">
        <v>6916</v>
      </c>
      <c r="C1241" t="s">
        <v>6917</v>
      </c>
      <c r="D1241" t="s">
        <v>6918</v>
      </c>
      <c r="E1241">
        <v>7</v>
      </c>
      <c r="F1241" t="s">
        <v>6501</v>
      </c>
      <c r="G1241" t="s">
        <v>6703</v>
      </c>
      <c r="H1241" t="s">
        <v>6919</v>
      </c>
      <c r="I1241" t="s">
        <v>6920</v>
      </c>
      <c r="J1241" t="s">
        <v>6921</v>
      </c>
      <c r="K1241" t="s">
        <v>6922</v>
      </c>
      <c r="L1241" t="s">
        <v>6507</v>
      </c>
      <c r="M1241">
        <v>2.38654613494873</v>
      </c>
      <c r="N1241" t="s">
        <v>53</v>
      </c>
      <c r="O1241" t="s">
        <v>53</v>
      </c>
      <c r="P1241" t="s">
        <v>53</v>
      </c>
      <c r="Q1241" t="s">
        <v>54</v>
      </c>
      <c r="R1241" t="s">
        <v>53</v>
      </c>
      <c r="S1241" t="s">
        <v>6923</v>
      </c>
      <c r="T1241" t="s">
        <v>6923</v>
      </c>
      <c r="U1241" t="s">
        <v>53</v>
      </c>
      <c r="V1241" t="s">
        <v>138</v>
      </c>
      <c r="W1241">
        <v>250000</v>
      </c>
      <c r="X1241" t="s">
        <v>53</v>
      </c>
      <c r="Y1241" t="s">
        <v>6509</v>
      </c>
      <c r="Z1241">
        <v>0</v>
      </c>
      <c r="AA1241">
        <v>17</v>
      </c>
      <c r="AB1241">
        <v>11</v>
      </c>
      <c r="AC1241">
        <v>26</v>
      </c>
      <c r="AD1241">
        <v>19</v>
      </c>
      <c r="AE1241">
        <v>26</v>
      </c>
      <c r="AF1241">
        <v>0</v>
      </c>
      <c r="AG1241">
        <v>0</v>
      </c>
      <c r="AH1241">
        <v>8.0582828521728516</v>
      </c>
      <c r="AI1241">
        <v>0</v>
      </c>
      <c r="AJ1241">
        <v>0.29518780112266541</v>
      </c>
      <c r="AK1241" t="s">
        <v>54</v>
      </c>
      <c r="AL1241" t="s">
        <v>53</v>
      </c>
      <c r="AM1241" t="s">
        <v>6509</v>
      </c>
      <c r="AQ1241" t="s">
        <v>54</v>
      </c>
      <c r="AR1241" t="s">
        <v>6509</v>
      </c>
      <c r="AT1241" t="s">
        <v>6511</v>
      </c>
      <c r="AV1241" t="s">
        <v>6509</v>
      </c>
      <c r="AW1241" t="s">
        <v>53</v>
      </c>
      <c r="AX1241" t="s">
        <v>6509</v>
      </c>
      <c r="AZ1241" t="s">
        <v>54</v>
      </c>
      <c r="BA1241" t="s">
        <v>6512</v>
      </c>
    </row>
    <row r="1242" spans="1:53" x14ac:dyDescent="0.25">
      <c r="A1242">
        <v>1237</v>
      </c>
      <c r="B1242" t="s">
        <v>6924</v>
      </c>
      <c r="C1242" t="s">
        <v>6925</v>
      </c>
      <c r="D1242" t="s">
        <v>6926</v>
      </c>
      <c r="E1242">
        <v>7</v>
      </c>
      <c r="F1242" t="s">
        <v>6501</v>
      </c>
      <c r="G1242" t="s">
        <v>3036</v>
      </c>
      <c r="H1242" t="s">
        <v>6927</v>
      </c>
      <c r="I1242" t="s">
        <v>6928</v>
      </c>
      <c r="J1242" t="s">
        <v>6929</v>
      </c>
      <c r="K1242" t="s">
        <v>6930</v>
      </c>
      <c r="L1242" t="s">
        <v>6507</v>
      </c>
      <c r="M1242">
        <v>0.16904190182685849</v>
      </c>
      <c r="N1242" t="s">
        <v>54</v>
      </c>
      <c r="O1242" t="s">
        <v>53</v>
      </c>
      <c r="P1242" t="s">
        <v>53</v>
      </c>
      <c r="Q1242" t="s">
        <v>53</v>
      </c>
      <c r="R1242" t="s">
        <v>53</v>
      </c>
      <c r="S1242" t="s">
        <v>3152</v>
      </c>
      <c r="T1242" t="s">
        <v>3152</v>
      </c>
      <c r="U1242" t="s">
        <v>53</v>
      </c>
      <c r="V1242" t="s">
        <v>138</v>
      </c>
      <c r="W1242">
        <v>250000</v>
      </c>
      <c r="X1242" t="s">
        <v>53</v>
      </c>
      <c r="Y1242" t="s">
        <v>6509</v>
      </c>
      <c r="Z1242">
        <v>0</v>
      </c>
      <c r="AA1242">
        <v>0</v>
      </c>
      <c r="AB1242">
        <v>0</v>
      </c>
      <c r="AC1242">
        <v>0</v>
      </c>
      <c r="AD1242">
        <v>0</v>
      </c>
      <c r="AE1242">
        <v>0</v>
      </c>
      <c r="AF1242">
        <v>0</v>
      </c>
      <c r="AG1242">
        <v>0</v>
      </c>
      <c r="AH1242">
        <v>0</v>
      </c>
      <c r="AI1242">
        <v>0</v>
      </c>
      <c r="AJ1242">
        <v>0</v>
      </c>
      <c r="AK1242" t="s">
        <v>54</v>
      </c>
      <c r="AL1242" t="s">
        <v>53</v>
      </c>
      <c r="AM1242" t="s">
        <v>6509</v>
      </c>
      <c r="AQ1242" t="s">
        <v>54</v>
      </c>
      <c r="AR1242" t="s">
        <v>6509</v>
      </c>
      <c r="AT1242" t="s">
        <v>6511</v>
      </c>
      <c r="AV1242" t="s">
        <v>6509</v>
      </c>
      <c r="AW1242" t="s">
        <v>53</v>
      </c>
      <c r="AX1242" t="s">
        <v>6509</v>
      </c>
      <c r="AZ1242" t="s">
        <v>54</v>
      </c>
      <c r="BA1242" t="s">
        <v>6512</v>
      </c>
    </row>
    <row r="1243" spans="1:53" x14ac:dyDescent="0.25">
      <c r="A1243">
        <v>1238</v>
      </c>
      <c r="B1243" t="s">
        <v>6931</v>
      </c>
      <c r="C1243" t="s">
        <v>6932</v>
      </c>
      <c r="D1243" t="s">
        <v>6898</v>
      </c>
      <c r="E1243">
        <v>7</v>
      </c>
      <c r="F1243" t="s">
        <v>6501</v>
      </c>
      <c r="G1243" t="s">
        <v>6587</v>
      </c>
      <c r="H1243" t="s">
        <v>6933</v>
      </c>
      <c r="I1243" t="s">
        <v>6934</v>
      </c>
      <c r="J1243" t="s">
        <v>6935</v>
      </c>
      <c r="K1243" t="s">
        <v>6936</v>
      </c>
      <c r="L1243" t="s">
        <v>6507</v>
      </c>
      <c r="M1243">
        <v>0.46983447670936579</v>
      </c>
      <c r="N1243" t="s">
        <v>53</v>
      </c>
      <c r="O1243" t="s">
        <v>53</v>
      </c>
      <c r="P1243" t="s">
        <v>53</v>
      </c>
      <c r="Q1243" t="s">
        <v>53</v>
      </c>
      <c r="R1243" t="s">
        <v>53</v>
      </c>
      <c r="S1243" t="s">
        <v>6937</v>
      </c>
      <c r="T1243" t="s">
        <v>6937</v>
      </c>
      <c r="U1243" t="s">
        <v>53</v>
      </c>
      <c r="V1243" t="s">
        <v>138</v>
      </c>
      <c r="W1243">
        <v>250000</v>
      </c>
      <c r="X1243" t="s">
        <v>53</v>
      </c>
      <c r="Y1243" t="s">
        <v>6509</v>
      </c>
      <c r="Z1243">
        <v>0</v>
      </c>
      <c r="AA1243">
        <v>0</v>
      </c>
      <c r="AB1243">
        <v>0</v>
      </c>
      <c r="AC1243">
        <v>0</v>
      </c>
      <c r="AD1243">
        <v>0</v>
      </c>
      <c r="AE1243">
        <v>0</v>
      </c>
      <c r="AF1243">
        <v>0</v>
      </c>
      <c r="AG1243">
        <v>0</v>
      </c>
      <c r="AH1243">
        <v>0</v>
      </c>
      <c r="AI1243">
        <v>0</v>
      </c>
      <c r="AJ1243">
        <v>0</v>
      </c>
      <c r="AK1243" t="s">
        <v>54</v>
      </c>
      <c r="AL1243" t="s">
        <v>54</v>
      </c>
      <c r="AM1243" t="s">
        <v>5450</v>
      </c>
      <c r="AP1243" t="s">
        <v>6510</v>
      </c>
      <c r="AQ1243" t="s">
        <v>54</v>
      </c>
      <c r="AR1243" t="s">
        <v>5450</v>
      </c>
      <c r="AS1243" s="148">
        <v>42795</v>
      </c>
      <c r="AT1243" t="s">
        <v>6511</v>
      </c>
      <c r="AV1243" t="s">
        <v>6509</v>
      </c>
      <c r="AW1243" t="s">
        <v>53</v>
      </c>
      <c r="AX1243" t="s">
        <v>6509</v>
      </c>
      <c r="AZ1243" t="s">
        <v>54</v>
      </c>
      <c r="BA1243" t="s">
        <v>6512</v>
      </c>
    </row>
    <row r="1244" spans="1:53" x14ac:dyDescent="0.25">
      <c r="A1244">
        <v>1239</v>
      </c>
      <c r="B1244" t="s">
        <v>6938</v>
      </c>
      <c r="C1244" t="s">
        <v>6939</v>
      </c>
      <c r="D1244" t="s">
        <v>6898</v>
      </c>
      <c r="E1244">
        <v>7</v>
      </c>
      <c r="F1244" t="s">
        <v>6501</v>
      </c>
      <c r="G1244" t="s">
        <v>2428</v>
      </c>
      <c r="H1244" t="s">
        <v>6940</v>
      </c>
      <c r="I1244" t="s">
        <v>6941</v>
      </c>
      <c r="J1244" t="s">
        <v>6942</v>
      </c>
      <c r="K1244" t="s">
        <v>6943</v>
      </c>
      <c r="L1244" t="s">
        <v>6507</v>
      </c>
      <c r="M1244">
        <v>1.423107385635376</v>
      </c>
      <c r="N1244" t="s">
        <v>54</v>
      </c>
      <c r="O1244" t="s">
        <v>53</v>
      </c>
      <c r="P1244" t="s">
        <v>53</v>
      </c>
      <c r="Q1244" t="s">
        <v>53</v>
      </c>
      <c r="R1244" t="s">
        <v>53</v>
      </c>
      <c r="S1244" t="s">
        <v>6944</v>
      </c>
      <c r="T1244" t="s">
        <v>6944</v>
      </c>
      <c r="U1244" t="s">
        <v>53</v>
      </c>
      <c r="V1244" t="s">
        <v>138</v>
      </c>
      <c r="W1244">
        <v>250000</v>
      </c>
      <c r="X1244" t="s">
        <v>53</v>
      </c>
      <c r="Y1244" t="s">
        <v>6509</v>
      </c>
      <c r="Z1244">
        <v>0</v>
      </c>
      <c r="AA1244">
        <v>690</v>
      </c>
      <c r="AB1244">
        <v>417</v>
      </c>
      <c r="AC1244">
        <v>1018</v>
      </c>
      <c r="AD1244">
        <v>1065</v>
      </c>
      <c r="AE1244">
        <v>1065</v>
      </c>
      <c r="AF1244">
        <v>4</v>
      </c>
      <c r="AG1244">
        <v>0</v>
      </c>
      <c r="AH1244">
        <v>19.823005676269531</v>
      </c>
      <c r="AI1244">
        <v>0</v>
      </c>
      <c r="AJ1244">
        <v>182.70198059082031</v>
      </c>
      <c r="AK1244" t="s">
        <v>54</v>
      </c>
      <c r="AL1244" t="s">
        <v>53</v>
      </c>
      <c r="AM1244" t="s">
        <v>6509</v>
      </c>
      <c r="AQ1244" t="s">
        <v>54</v>
      </c>
      <c r="AR1244" t="s">
        <v>6509</v>
      </c>
      <c r="AT1244" t="s">
        <v>6511</v>
      </c>
      <c r="AV1244" t="s">
        <v>6509</v>
      </c>
      <c r="AW1244" t="s">
        <v>53</v>
      </c>
      <c r="AX1244" t="s">
        <v>6509</v>
      </c>
      <c r="AZ1244" t="s">
        <v>54</v>
      </c>
      <c r="BA1244" t="s">
        <v>6512</v>
      </c>
    </row>
    <row r="1245" spans="1:53" x14ac:dyDescent="0.25">
      <c r="A1245">
        <v>1240</v>
      </c>
      <c r="B1245" t="s">
        <v>6945</v>
      </c>
      <c r="C1245" t="s">
        <v>6946</v>
      </c>
      <c r="D1245" t="s">
        <v>6947</v>
      </c>
      <c r="E1245">
        <v>7</v>
      </c>
      <c r="F1245" t="s">
        <v>6501</v>
      </c>
      <c r="G1245" t="s">
        <v>2428</v>
      </c>
      <c r="H1245" t="s">
        <v>6940</v>
      </c>
      <c r="I1245" t="s">
        <v>6941</v>
      </c>
      <c r="J1245" t="s">
        <v>6948</v>
      </c>
      <c r="K1245" t="s">
        <v>6949</v>
      </c>
      <c r="L1245" t="s">
        <v>6507</v>
      </c>
      <c r="M1245">
        <v>0.83082813024520874</v>
      </c>
      <c r="N1245" t="s">
        <v>54</v>
      </c>
      <c r="O1245" t="s">
        <v>53</v>
      </c>
      <c r="P1245" t="s">
        <v>53</v>
      </c>
      <c r="Q1245" t="s">
        <v>53</v>
      </c>
      <c r="R1245" t="s">
        <v>53</v>
      </c>
      <c r="S1245" t="s">
        <v>6950</v>
      </c>
      <c r="T1245" t="s">
        <v>6950</v>
      </c>
      <c r="U1245" t="s">
        <v>53</v>
      </c>
      <c r="V1245" t="s">
        <v>51</v>
      </c>
      <c r="W1245">
        <v>260000</v>
      </c>
      <c r="X1245" t="s">
        <v>53</v>
      </c>
      <c r="Y1245" t="s">
        <v>6509</v>
      </c>
      <c r="Z1245">
        <v>0</v>
      </c>
      <c r="AA1245">
        <v>119</v>
      </c>
      <c r="AB1245">
        <v>69</v>
      </c>
      <c r="AC1245">
        <v>133</v>
      </c>
      <c r="AD1245">
        <v>126</v>
      </c>
      <c r="AE1245">
        <v>133</v>
      </c>
      <c r="AF1245">
        <v>0</v>
      </c>
      <c r="AG1245">
        <v>0</v>
      </c>
      <c r="AH1245">
        <v>7.9342622756958008</v>
      </c>
      <c r="AI1245">
        <v>0</v>
      </c>
      <c r="AJ1245">
        <v>6.5556163787841797</v>
      </c>
      <c r="AK1245" t="s">
        <v>54</v>
      </c>
      <c r="AL1245" t="s">
        <v>53</v>
      </c>
      <c r="AM1245" t="s">
        <v>6509</v>
      </c>
      <c r="AQ1245" t="s">
        <v>54</v>
      </c>
      <c r="AR1245" t="s">
        <v>6509</v>
      </c>
      <c r="AT1245" t="s">
        <v>6511</v>
      </c>
      <c r="AV1245" t="s">
        <v>6509</v>
      </c>
      <c r="AW1245" t="s">
        <v>53</v>
      </c>
      <c r="AX1245" t="s">
        <v>6509</v>
      </c>
      <c r="AZ1245" t="s">
        <v>54</v>
      </c>
      <c r="BA1245" t="s">
        <v>6512</v>
      </c>
    </row>
    <row r="1246" spans="1:53" x14ac:dyDescent="0.25">
      <c r="A1246">
        <v>1241</v>
      </c>
      <c r="B1246" t="s">
        <v>6951</v>
      </c>
      <c r="C1246" t="s">
        <v>6952</v>
      </c>
      <c r="D1246" t="s">
        <v>6898</v>
      </c>
      <c r="E1246">
        <v>7</v>
      </c>
      <c r="F1246" t="s">
        <v>6501</v>
      </c>
      <c r="G1246" t="s">
        <v>6691</v>
      </c>
      <c r="H1246" t="s">
        <v>6953</v>
      </c>
      <c r="I1246" t="s">
        <v>6954</v>
      </c>
      <c r="J1246" t="s">
        <v>6955</v>
      </c>
      <c r="K1246" t="s">
        <v>6956</v>
      </c>
      <c r="L1246" t="s">
        <v>6507</v>
      </c>
      <c r="M1246">
        <v>3.7618699073791499</v>
      </c>
      <c r="N1246" t="s">
        <v>54</v>
      </c>
      <c r="O1246" t="s">
        <v>53</v>
      </c>
      <c r="P1246" t="s">
        <v>53</v>
      </c>
      <c r="Q1246" t="s">
        <v>53</v>
      </c>
      <c r="R1246" t="s">
        <v>53</v>
      </c>
      <c r="S1246" t="s">
        <v>6957</v>
      </c>
      <c r="T1246" t="s">
        <v>6957</v>
      </c>
      <c r="U1246" t="s">
        <v>53</v>
      </c>
      <c r="V1246" t="s">
        <v>138</v>
      </c>
      <c r="W1246">
        <v>250000</v>
      </c>
      <c r="X1246" t="s">
        <v>53</v>
      </c>
      <c r="Y1246" t="s">
        <v>6509</v>
      </c>
      <c r="Z1246">
        <v>0</v>
      </c>
      <c r="AA1246">
        <v>36</v>
      </c>
      <c r="AB1246">
        <v>14</v>
      </c>
      <c r="AC1246">
        <v>251</v>
      </c>
      <c r="AD1246">
        <v>68</v>
      </c>
      <c r="AE1246">
        <v>251</v>
      </c>
      <c r="AF1246">
        <v>0</v>
      </c>
      <c r="AG1246">
        <v>0</v>
      </c>
      <c r="AH1246">
        <v>6.4002513885498047</v>
      </c>
      <c r="AI1246">
        <v>0</v>
      </c>
      <c r="AJ1246">
        <v>0</v>
      </c>
      <c r="AK1246" t="s">
        <v>54</v>
      </c>
      <c r="AL1246" t="s">
        <v>53</v>
      </c>
      <c r="AM1246" t="s">
        <v>6509</v>
      </c>
      <c r="AQ1246" t="s">
        <v>54</v>
      </c>
      <c r="AR1246" t="s">
        <v>6509</v>
      </c>
      <c r="AT1246" t="s">
        <v>6511</v>
      </c>
      <c r="AV1246" t="s">
        <v>6509</v>
      </c>
      <c r="AW1246" t="s">
        <v>53</v>
      </c>
      <c r="AX1246" t="s">
        <v>6509</v>
      </c>
      <c r="AZ1246" t="s">
        <v>54</v>
      </c>
      <c r="BA1246" t="s">
        <v>6512</v>
      </c>
    </row>
    <row r="1247" spans="1:53" x14ac:dyDescent="0.25">
      <c r="A1247">
        <v>1242</v>
      </c>
      <c r="B1247" t="s">
        <v>6958</v>
      </c>
      <c r="C1247" t="s">
        <v>6959</v>
      </c>
      <c r="D1247" t="s">
        <v>6960</v>
      </c>
      <c r="E1247">
        <v>7</v>
      </c>
      <c r="F1247" t="s">
        <v>6501</v>
      </c>
      <c r="G1247" t="s">
        <v>6643</v>
      </c>
      <c r="H1247" t="s">
        <v>6961</v>
      </c>
      <c r="I1247" t="s">
        <v>6962</v>
      </c>
      <c r="J1247" t="s">
        <v>6963</v>
      </c>
      <c r="K1247" t="s">
        <v>6964</v>
      </c>
      <c r="L1247" t="s">
        <v>6507</v>
      </c>
      <c r="M1247">
        <v>2.0659480094909668</v>
      </c>
      <c r="N1247" t="s">
        <v>54</v>
      </c>
      <c r="O1247" t="s">
        <v>53</v>
      </c>
      <c r="P1247" t="s">
        <v>53</v>
      </c>
      <c r="Q1247" t="s">
        <v>53</v>
      </c>
      <c r="R1247" t="s">
        <v>53</v>
      </c>
      <c r="S1247" t="s">
        <v>6965</v>
      </c>
      <c r="T1247" t="s">
        <v>6965</v>
      </c>
      <c r="U1247" t="s">
        <v>53</v>
      </c>
      <c r="V1247" t="s">
        <v>138</v>
      </c>
      <c r="W1247">
        <v>250000</v>
      </c>
      <c r="X1247" t="s">
        <v>53</v>
      </c>
      <c r="Y1247" t="s">
        <v>6509</v>
      </c>
      <c r="Z1247">
        <v>0</v>
      </c>
      <c r="AA1247">
        <v>0</v>
      </c>
      <c r="AB1247">
        <v>0</v>
      </c>
      <c r="AC1247">
        <v>0</v>
      </c>
      <c r="AD1247">
        <v>0</v>
      </c>
      <c r="AE1247">
        <v>0</v>
      </c>
      <c r="AF1247">
        <v>0</v>
      </c>
      <c r="AG1247">
        <v>0</v>
      </c>
      <c r="AH1247">
        <v>0.76035040616989136</v>
      </c>
      <c r="AI1247">
        <v>0</v>
      </c>
      <c r="AJ1247">
        <v>1.9955098628997801</v>
      </c>
      <c r="AK1247" t="s">
        <v>54</v>
      </c>
      <c r="AL1247" t="s">
        <v>53</v>
      </c>
      <c r="AM1247" t="s">
        <v>6509</v>
      </c>
      <c r="AQ1247" t="s">
        <v>54</v>
      </c>
      <c r="AR1247" t="s">
        <v>6509</v>
      </c>
      <c r="AT1247" t="s">
        <v>6511</v>
      </c>
      <c r="AV1247" t="s">
        <v>6509</v>
      </c>
      <c r="AW1247" t="s">
        <v>53</v>
      </c>
      <c r="AX1247" t="s">
        <v>6509</v>
      </c>
      <c r="AZ1247" t="s">
        <v>54</v>
      </c>
      <c r="BA1247" t="s">
        <v>6512</v>
      </c>
    </row>
    <row r="1248" spans="1:53" x14ac:dyDescent="0.25">
      <c r="A1248">
        <v>1243</v>
      </c>
      <c r="B1248" t="s">
        <v>6966</v>
      </c>
      <c r="C1248" t="s">
        <v>6967</v>
      </c>
      <c r="D1248" t="s">
        <v>6960</v>
      </c>
      <c r="E1248">
        <v>7</v>
      </c>
      <c r="F1248" t="s">
        <v>6501</v>
      </c>
      <c r="G1248" t="s">
        <v>6655</v>
      </c>
      <c r="H1248" t="s">
        <v>6940</v>
      </c>
      <c r="I1248" t="s">
        <v>6941</v>
      </c>
      <c r="J1248" t="s">
        <v>6968</v>
      </c>
      <c r="K1248" t="s">
        <v>6969</v>
      </c>
      <c r="L1248" t="s">
        <v>6507</v>
      </c>
      <c r="M1248">
        <v>0.34059175848960882</v>
      </c>
      <c r="N1248" t="s">
        <v>54</v>
      </c>
      <c r="O1248" t="s">
        <v>53</v>
      </c>
      <c r="P1248" t="s">
        <v>53</v>
      </c>
      <c r="Q1248" t="s">
        <v>53</v>
      </c>
      <c r="R1248" t="s">
        <v>53</v>
      </c>
      <c r="S1248" t="s">
        <v>6970</v>
      </c>
      <c r="T1248" t="s">
        <v>6970</v>
      </c>
      <c r="U1248" t="s">
        <v>53</v>
      </c>
      <c r="V1248" t="s">
        <v>138</v>
      </c>
      <c r="W1248">
        <v>250000</v>
      </c>
      <c r="X1248" t="s">
        <v>53</v>
      </c>
      <c r="Y1248" t="s">
        <v>6509</v>
      </c>
      <c r="Z1248">
        <v>0</v>
      </c>
      <c r="AA1248">
        <v>27</v>
      </c>
      <c r="AB1248">
        <v>20</v>
      </c>
      <c r="AC1248">
        <v>26</v>
      </c>
      <c r="AD1248">
        <v>26</v>
      </c>
      <c r="AE1248">
        <v>26</v>
      </c>
      <c r="AF1248">
        <v>0</v>
      </c>
      <c r="AG1248">
        <v>0</v>
      </c>
      <c r="AH1248">
        <v>1.251298308372498</v>
      </c>
      <c r="AI1248">
        <v>0</v>
      </c>
      <c r="AJ1248">
        <v>4.5785374641418457</v>
      </c>
      <c r="AK1248" t="s">
        <v>54</v>
      </c>
      <c r="AL1248" t="s">
        <v>53</v>
      </c>
      <c r="AM1248" t="s">
        <v>6509</v>
      </c>
      <c r="AQ1248" t="s">
        <v>54</v>
      </c>
      <c r="AR1248" t="s">
        <v>6509</v>
      </c>
      <c r="AT1248" t="s">
        <v>6511</v>
      </c>
      <c r="AV1248" t="s">
        <v>6509</v>
      </c>
      <c r="AW1248" t="s">
        <v>53</v>
      </c>
      <c r="AX1248" t="s">
        <v>6509</v>
      </c>
      <c r="AZ1248" t="s">
        <v>54</v>
      </c>
      <c r="BA1248" t="s">
        <v>6512</v>
      </c>
    </row>
    <row r="1249" spans="1:53" x14ac:dyDescent="0.25">
      <c r="A1249">
        <v>1244</v>
      </c>
      <c r="B1249" t="s">
        <v>6971</v>
      </c>
      <c r="C1249" t="s">
        <v>6972</v>
      </c>
      <c r="D1249" t="s">
        <v>6973</v>
      </c>
      <c r="E1249">
        <v>7</v>
      </c>
      <c r="F1249" t="s">
        <v>6501</v>
      </c>
      <c r="G1249" t="s">
        <v>2455</v>
      </c>
      <c r="H1249" t="s">
        <v>6974</v>
      </c>
      <c r="I1249" t="s">
        <v>6975</v>
      </c>
      <c r="J1249" t="s">
        <v>6976</v>
      </c>
      <c r="K1249" t="s">
        <v>6977</v>
      </c>
      <c r="L1249" t="s">
        <v>6507</v>
      </c>
      <c r="M1249">
        <v>2.868013858795166</v>
      </c>
      <c r="N1249" t="s">
        <v>54</v>
      </c>
      <c r="O1249" t="s">
        <v>53</v>
      </c>
      <c r="P1249" t="s">
        <v>53</v>
      </c>
      <c r="Q1249" t="s">
        <v>53</v>
      </c>
      <c r="R1249" t="s">
        <v>53</v>
      </c>
      <c r="S1249" t="s">
        <v>2675</v>
      </c>
      <c r="T1249" t="s">
        <v>2675</v>
      </c>
      <c r="U1249" t="s">
        <v>53</v>
      </c>
      <c r="V1249" t="s">
        <v>138</v>
      </c>
      <c r="W1249">
        <v>250000</v>
      </c>
      <c r="X1249" t="s">
        <v>53</v>
      </c>
      <c r="Y1249" t="s">
        <v>6509</v>
      </c>
      <c r="Z1249">
        <v>0</v>
      </c>
      <c r="AA1249">
        <v>195</v>
      </c>
      <c r="AB1249">
        <v>135</v>
      </c>
      <c r="AC1249">
        <v>592</v>
      </c>
      <c r="AD1249">
        <v>328</v>
      </c>
      <c r="AE1249">
        <v>592</v>
      </c>
      <c r="AF1249">
        <v>0</v>
      </c>
      <c r="AG1249">
        <v>0</v>
      </c>
      <c r="AH1249">
        <v>7.9804110527038574</v>
      </c>
      <c r="AI1249">
        <v>0</v>
      </c>
      <c r="AJ1249">
        <v>42.697242736816413</v>
      </c>
      <c r="AK1249" t="s">
        <v>54</v>
      </c>
      <c r="AL1249" t="s">
        <v>53</v>
      </c>
      <c r="AM1249" t="s">
        <v>6509</v>
      </c>
      <c r="AQ1249" t="s">
        <v>54</v>
      </c>
      <c r="AR1249" t="s">
        <v>6509</v>
      </c>
      <c r="AT1249" t="s">
        <v>6511</v>
      </c>
      <c r="AV1249" t="s">
        <v>6509</v>
      </c>
      <c r="AW1249" t="s">
        <v>53</v>
      </c>
      <c r="AX1249" t="s">
        <v>6509</v>
      </c>
      <c r="AZ1249" t="s">
        <v>54</v>
      </c>
      <c r="BA1249" t="s">
        <v>6512</v>
      </c>
    </row>
    <row r="1250" spans="1:53" x14ac:dyDescent="0.25">
      <c r="A1250">
        <v>1245</v>
      </c>
      <c r="B1250" t="s">
        <v>6978</v>
      </c>
      <c r="C1250" t="s">
        <v>6979</v>
      </c>
      <c r="D1250" t="s">
        <v>6980</v>
      </c>
      <c r="E1250">
        <v>7</v>
      </c>
      <c r="F1250" t="s">
        <v>6501</v>
      </c>
      <c r="G1250" t="s">
        <v>6753</v>
      </c>
      <c r="H1250" t="s">
        <v>6981</v>
      </c>
      <c r="I1250" t="s">
        <v>6982</v>
      </c>
      <c r="J1250" t="s">
        <v>6983</v>
      </c>
      <c r="K1250" t="s">
        <v>6984</v>
      </c>
      <c r="L1250" t="s">
        <v>6507</v>
      </c>
      <c r="M1250">
        <v>0.91276490688323975</v>
      </c>
      <c r="N1250" t="s">
        <v>53</v>
      </c>
      <c r="O1250" t="s">
        <v>53</v>
      </c>
      <c r="P1250" t="s">
        <v>53</v>
      </c>
      <c r="Q1250" t="s">
        <v>54</v>
      </c>
      <c r="R1250" t="s">
        <v>53</v>
      </c>
      <c r="S1250" t="s">
        <v>6985</v>
      </c>
      <c r="T1250" t="s">
        <v>6985</v>
      </c>
      <c r="U1250" t="s">
        <v>53</v>
      </c>
      <c r="V1250" t="s">
        <v>138</v>
      </c>
      <c r="W1250">
        <v>250000</v>
      </c>
      <c r="X1250" t="s">
        <v>53</v>
      </c>
      <c r="Y1250" t="s">
        <v>6509</v>
      </c>
      <c r="Z1250">
        <v>0</v>
      </c>
      <c r="AA1250">
        <v>13</v>
      </c>
      <c r="AB1250">
        <v>10</v>
      </c>
      <c r="AC1250">
        <v>2</v>
      </c>
      <c r="AD1250">
        <v>6</v>
      </c>
      <c r="AE1250">
        <v>6</v>
      </c>
      <c r="AF1250">
        <v>0</v>
      </c>
      <c r="AG1250">
        <v>0</v>
      </c>
      <c r="AH1250">
        <v>3.094444751739502</v>
      </c>
      <c r="AI1250">
        <v>0</v>
      </c>
      <c r="AJ1250">
        <v>13.94162559509277</v>
      </c>
      <c r="AK1250" t="s">
        <v>54</v>
      </c>
      <c r="AL1250" t="s">
        <v>53</v>
      </c>
      <c r="AM1250" t="s">
        <v>6509</v>
      </c>
      <c r="AQ1250" t="s">
        <v>54</v>
      </c>
      <c r="AR1250" t="s">
        <v>6509</v>
      </c>
      <c r="AT1250" t="s">
        <v>6511</v>
      </c>
      <c r="AV1250" t="s">
        <v>6509</v>
      </c>
      <c r="AW1250" t="s">
        <v>53</v>
      </c>
      <c r="AX1250" t="s">
        <v>6509</v>
      </c>
      <c r="AZ1250" t="s">
        <v>54</v>
      </c>
      <c r="BA1250" t="s">
        <v>6512</v>
      </c>
    </row>
    <row r="1251" spans="1:53" x14ac:dyDescent="0.25">
      <c r="A1251">
        <v>1246</v>
      </c>
      <c r="B1251" t="s">
        <v>6986</v>
      </c>
      <c r="C1251" t="s">
        <v>6987</v>
      </c>
      <c r="D1251" t="s">
        <v>6988</v>
      </c>
      <c r="E1251">
        <v>7</v>
      </c>
      <c r="F1251" t="s">
        <v>6501</v>
      </c>
      <c r="G1251" t="s">
        <v>6753</v>
      </c>
      <c r="H1251" t="s">
        <v>6989</v>
      </c>
      <c r="I1251" t="s">
        <v>6990</v>
      </c>
      <c r="J1251" t="s">
        <v>6991</v>
      </c>
      <c r="K1251" t="s">
        <v>6992</v>
      </c>
      <c r="L1251" t="s">
        <v>6507</v>
      </c>
      <c r="M1251">
        <v>1.1995835304260249</v>
      </c>
      <c r="N1251" t="s">
        <v>53</v>
      </c>
      <c r="O1251" t="s">
        <v>53</v>
      </c>
      <c r="P1251" t="s">
        <v>53</v>
      </c>
      <c r="Q1251" t="s">
        <v>54</v>
      </c>
      <c r="R1251" t="s">
        <v>53</v>
      </c>
      <c r="S1251" t="s">
        <v>6993</v>
      </c>
      <c r="T1251" t="s">
        <v>6993</v>
      </c>
      <c r="U1251" t="s">
        <v>53</v>
      </c>
      <c r="V1251" t="s">
        <v>138</v>
      </c>
      <c r="W1251">
        <v>250000</v>
      </c>
      <c r="X1251" t="s">
        <v>53</v>
      </c>
      <c r="Y1251" t="s">
        <v>6509</v>
      </c>
      <c r="Z1251">
        <v>0</v>
      </c>
      <c r="AA1251">
        <v>65</v>
      </c>
      <c r="AB1251">
        <v>41</v>
      </c>
      <c r="AC1251">
        <v>38</v>
      </c>
      <c r="AD1251">
        <v>54</v>
      </c>
      <c r="AE1251">
        <v>54</v>
      </c>
      <c r="AF1251">
        <v>0</v>
      </c>
      <c r="AG1251">
        <v>0</v>
      </c>
      <c r="AH1251">
        <v>3.388698816299438</v>
      </c>
      <c r="AI1251">
        <v>0</v>
      </c>
      <c r="AJ1251">
        <v>48.803863525390618</v>
      </c>
      <c r="AK1251" t="s">
        <v>54</v>
      </c>
      <c r="AL1251" t="s">
        <v>53</v>
      </c>
      <c r="AM1251" t="s">
        <v>6509</v>
      </c>
      <c r="AQ1251" t="s">
        <v>54</v>
      </c>
      <c r="AR1251" t="s">
        <v>6509</v>
      </c>
      <c r="AT1251" t="s">
        <v>6511</v>
      </c>
      <c r="AV1251" t="s">
        <v>6509</v>
      </c>
      <c r="AW1251" t="s">
        <v>53</v>
      </c>
      <c r="AX1251" t="s">
        <v>6509</v>
      </c>
      <c r="AZ1251" t="s">
        <v>54</v>
      </c>
      <c r="BA1251" t="s">
        <v>6512</v>
      </c>
    </row>
    <row r="1252" spans="1:53" x14ac:dyDescent="0.25">
      <c r="A1252">
        <v>1247</v>
      </c>
      <c r="B1252" t="s">
        <v>6994</v>
      </c>
      <c r="C1252" t="s">
        <v>6995</v>
      </c>
      <c r="D1252" t="s">
        <v>6996</v>
      </c>
      <c r="E1252">
        <v>7</v>
      </c>
      <c r="F1252" t="s">
        <v>6501</v>
      </c>
      <c r="G1252" t="s">
        <v>6753</v>
      </c>
      <c r="H1252" t="s">
        <v>6997</v>
      </c>
      <c r="I1252" t="s">
        <v>6998</v>
      </c>
      <c r="J1252" t="s">
        <v>6999</v>
      </c>
      <c r="K1252" t="s">
        <v>7000</v>
      </c>
      <c r="L1252" t="s">
        <v>6507</v>
      </c>
      <c r="M1252">
        <v>1.0264027118682859</v>
      </c>
      <c r="N1252" t="s">
        <v>53</v>
      </c>
      <c r="O1252" t="s">
        <v>53</v>
      </c>
      <c r="P1252" t="s">
        <v>53</v>
      </c>
      <c r="Q1252" t="s">
        <v>54</v>
      </c>
      <c r="R1252" t="s">
        <v>53</v>
      </c>
      <c r="S1252" t="s">
        <v>7001</v>
      </c>
      <c r="T1252" t="s">
        <v>7001</v>
      </c>
      <c r="U1252" t="s">
        <v>53</v>
      </c>
      <c r="V1252" t="s">
        <v>138</v>
      </c>
      <c r="W1252">
        <v>250000</v>
      </c>
      <c r="X1252" t="s">
        <v>53</v>
      </c>
      <c r="Y1252" t="s">
        <v>6509</v>
      </c>
      <c r="Z1252">
        <v>0</v>
      </c>
      <c r="AA1252">
        <v>2</v>
      </c>
      <c r="AB1252">
        <v>2</v>
      </c>
      <c r="AC1252">
        <v>0</v>
      </c>
      <c r="AD1252">
        <v>2</v>
      </c>
      <c r="AE1252">
        <v>2</v>
      </c>
      <c r="AF1252">
        <v>0</v>
      </c>
      <c r="AG1252">
        <v>0</v>
      </c>
      <c r="AH1252">
        <v>4.1478231549263E-2</v>
      </c>
      <c r="AI1252">
        <v>0</v>
      </c>
      <c r="AJ1252">
        <v>2.522120475769043</v>
      </c>
      <c r="AK1252" t="s">
        <v>54</v>
      </c>
      <c r="AL1252" t="s">
        <v>53</v>
      </c>
      <c r="AM1252" t="s">
        <v>6509</v>
      </c>
      <c r="AQ1252" t="s">
        <v>54</v>
      </c>
      <c r="AR1252" t="s">
        <v>6509</v>
      </c>
      <c r="AT1252" t="s">
        <v>6511</v>
      </c>
      <c r="AV1252" t="s">
        <v>6509</v>
      </c>
      <c r="AW1252" t="s">
        <v>53</v>
      </c>
      <c r="AX1252" t="s">
        <v>6509</v>
      </c>
      <c r="AZ1252" t="s">
        <v>54</v>
      </c>
      <c r="BA1252" t="s">
        <v>6512</v>
      </c>
    </row>
    <row r="1253" spans="1:53" x14ac:dyDescent="0.25">
      <c r="A1253">
        <v>1248</v>
      </c>
      <c r="B1253" t="s">
        <v>7002</v>
      </c>
      <c r="C1253" t="s">
        <v>7003</v>
      </c>
      <c r="D1253" t="s">
        <v>7004</v>
      </c>
      <c r="E1253">
        <v>7</v>
      </c>
      <c r="F1253" t="s">
        <v>6501</v>
      </c>
      <c r="G1253" t="s">
        <v>6753</v>
      </c>
      <c r="H1253" t="s">
        <v>6766</v>
      </c>
      <c r="I1253" t="s">
        <v>7005</v>
      </c>
      <c r="J1253" t="s">
        <v>7006</v>
      </c>
      <c r="K1253" t="s">
        <v>7007</v>
      </c>
      <c r="L1253" t="s">
        <v>6507</v>
      </c>
      <c r="M1253">
        <v>1.0207681655883789</v>
      </c>
      <c r="N1253" t="s">
        <v>53</v>
      </c>
      <c r="O1253" t="s">
        <v>53</v>
      </c>
      <c r="P1253" t="s">
        <v>53</v>
      </c>
      <c r="Q1253" t="s">
        <v>54</v>
      </c>
      <c r="R1253" t="s">
        <v>53</v>
      </c>
      <c r="S1253" t="s">
        <v>7008</v>
      </c>
      <c r="T1253" t="s">
        <v>7008</v>
      </c>
      <c r="U1253" t="s">
        <v>53</v>
      </c>
      <c r="V1253" t="s">
        <v>138</v>
      </c>
      <c r="W1253">
        <v>250000</v>
      </c>
      <c r="X1253" t="s">
        <v>53</v>
      </c>
      <c r="Y1253" t="s">
        <v>6509</v>
      </c>
      <c r="Z1253">
        <v>0</v>
      </c>
      <c r="AA1253">
        <v>70</v>
      </c>
      <c r="AB1253">
        <v>47</v>
      </c>
      <c r="AC1253">
        <v>634</v>
      </c>
      <c r="AD1253">
        <v>164</v>
      </c>
      <c r="AE1253">
        <v>634</v>
      </c>
      <c r="AF1253">
        <v>3</v>
      </c>
      <c r="AG1253">
        <v>0</v>
      </c>
      <c r="AH1253">
        <v>5.3250904083251953</v>
      </c>
      <c r="AI1253">
        <v>0</v>
      </c>
      <c r="AJ1253">
        <v>5.3309736251831046</v>
      </c>
      <c r="AK1253" t="s">
        <v>54</v>
      </c>
      <c r="AL1253" t="s">
        <v>53</v>
      </c>
      <c r="AM1253" t="s">
        <v>6509</v>
      </c>
      <c r="AQ1253" t="s">
        <v>54</v>
      </c>
      <c r="AR1253" t="s">
        <v>6509</v>
      </c>
      <c r="AT1253" t="s">
        <v>6511</v>
      </c>
      <c r="AV1253" t="s">
        <v>6509</v>
      </c>
      <c r="AW1253" t="s">
        <v>53</v>
      </c>
      <c r="AX1253" t="s">
        <v>6509</v>
      </c>
      <c r="AZ1253" t="s">
        <v>54</v>
      </c>
      <c r="BA1253" t="s">
        <v>6512</v>
      </c>
    </row>
    <row r="1254" spans="1:53" x14ac:dyDescent="0.25">
      <c r="A1254">
        <v>1249</v>
      </c>
      <c r="B1254" t="s">
        <v>7009</v>
      </c>
      <c r="C1254" t="s">
        <v>7010</v>
      </c>
      <c r="D1254" t="s">
        <v>6898</v>
      </c>
      <c r="E1254">
        <v>7</v>
      </c>
      <c r="F1254" t="s">
        <v>6501</v>
      </c>
      <c r="G1254" t="s">
        <v>6611</v>
      </c>
      <c r="H1254" t="s">
        <v>6891</v>
      </c>
      <c r="I1254" t="s">
        <v>7011</v>
      </c>
      <c r="J1254" t="s">
        <v>7012</v>
      </c>
      <c r="K1254" t="s">
        <v>7013</v>
      </c>
      <c r="L1254" t="s">
        <v>6507</v>
      </c>
      <c r="M1254">
        <v>4.7827267646789551</v>
      </c>
      <c r="N1254" t="s">
        <v>54</v>
      </c>
      <c r="O1254" t="s">
        <v>53</v>
      </c>
      <c r="P1254" t="s">
        <v>53</v>
      </c>
      <c r="Q1254" t="s">
        <v>53</v>
      </c>
      <c r="R1254" t="s">
        <v>53</v>
      </c>
      <c r="S1254" t="s">
        <v>7014</v>
      </c>
      <c r="T1254" t="s">
        <v>7014</v>
      </c>
      <c r="U1254" t="s">
        <v>53</v>
      </c>
      <c r="V1254" t="s">
        <v>138</v>
      </c>
      <c r="W1254">
        <v>250000</v>
      </c>
      <c r="X1254" t="s">
        <v>53</v>
      </c>
      <c r="Y1254" t="s">
        <v>6509</v>
      </c>
      <c r="Z1254">
        <v>0</v>
      </c>
      <c r="AA1254">
        <v>5</v>
      </c>
      <c r="AB1254">
        <v>2</v>
      </c>
      <c r="AC1254">
        <v>5</v>
      </c>
      <c r="AD1254">
        <v>4</v>
      </c>
      <c r="AE1254">
        <v>5</v>
      </c>
      <c r="AF1254">
        <v>0</v>
      </c>
      <c r="AG1254">
        <v>0</v>
      </c>
      <c r="AH1254">
        <v>0.60840398073196411</v>
      </c>
      <c r="AI1254">
        <v>0</v>
      </c>
      <c r="AJ1254">
        <v>62.876399993896477</v>
      </c>
      <c r="AK1254" t="s">
        <v>54</v>
      </c>
      <c r="AL1254" t="s">
        <v>54</v>
      </c>
      <c r="AM1254" t="s">
        <v>5450</v>
      </c>
      <c r="AP1254" t="s">
        <v>6510</v>
      </c>
      <c r="AQ1254" t="s">
        <v>54</v>
      </c>
      <c r="AR1254" t="s">
        <v>5450</v>
      </c>
      <c r="AS1254" s="148">
        <v>42795</v>
      </c>
      <c r="AT1254" t="s">
        <v>6511</v>
      </c>
      <c r="AV1254" t="s">
        <v>6509</v>
      </c>
      <c r="AW1254" t="s">
        <v>53</v>
      </c>
      <c r="AX1254" t="s">
        <v>6509</v>
      </c>
      <c r="AZ1254" t="s">
        <v>54</v>
      </c>
      <c r="BA1254" t="s">
        <v>6512</v>
      </c>
    </row>
    <row r="1255" spans="1:53" x14ac:dyDescent="0.25">
      <c r="A1255">
        <v>1250</v>
      </c>
      <c r="B1255" t="s">
        <v>7015</v>
      </c>
      <c r="C1255" t="s">
        <v>7016</v>
      </c>
      <c r="D1255" t="s">
        <v>6960</v>
      </c>
      <c r="E1255">
        <v>7</v>
      </c>
      <c r="F1255" t="s">
        <v>6501</v>
      </c>
      <c r="G1255" t="s">
        <v>6679</v>
      </c>
      <c r="H1255" t="s">
        <v>7017</v>
      </c>
      <c r="I1255" t="s">
        <v>7018</v>
      </c>
      <c r="J1255" t="s">
        <v>7019</v>
      </c>
      <c r="K1255" t="s">
        <v>7020</v>
      </c>
      <c r="L1255" t="s">
        <v>6507</v>
      </c>
      <c r="M1255">
        <v>0.64702260494232178</v>
      </c>
      <c r="N1255" t="s">
        <v>54</v>
      </c>
      <c r="O1255" t="s">
        <v>53</v>
      </c>
      <c r="P1255" t="s">
        <v>53</v>
      </c>
      <c r="Q1255" t="s">
        <v>53</v>
      </c>
      <c r="R1255" t="s">
        <v>53</v>
      </c>
      <c r="S1255" t="s">
        <v>7021</v>
      </c>
      <c r="T1255" t="s">
        <v>7021</v>
      </c>
      <c r="U1255" t="s">
        <v>53</v>
      </c>
      <c r="V1255" t="s">
        <v>138</v>
      </c>
      <c r="W1255">
        <v>250000</v>
      </c>
      <c r="X1255" t="s">
        <v>53</v>
      </c>
      <c r="Y1255" t="s">
        <v>6509</v>
      </c>
      <c r="Z1255">
        <v>0</v>
      </c>
      <c r="AA1255">
        <v>10</v>
      </c>
      <c r="AB1255">
        <v>3</v>
      </c>
      <c r="AC1255">
        <v>25</v>
      </c>
      <c r="AD1255">
        <v>4</v>
      </c>
      <c r="AE1255">
        <v>25</v>
      </c>
      <c r="AF1255">
        <v>0</v>
      </c>
      <c r="AG1255">
        <v>0</v>
      </c>
      <c r="AH1255">
        <v>0.29962942004203802</v>
      </c>
      <c r="AI1255">
        <v>0</v>
      </c>
      <c r="AJ1255">
        <v>5.1623783111572266</v>
      </c>
      <c r="AK1255" t="s">
        <v>54</v>
      </c>
      <c r="AL1255" t="s">
        <v>53</v>
      </c>
      <c r="AM1255" t="s">
        <v>6509</v>
      </c>
      <c r="AQ1255" t="s">
        <v>54</v>
      </c>
      <c r="AR1255" t="s">
        <v>6509</v>
      </c>
      <c r="AT1255" t="s">
        <v>6511</v>
      </c>
      <c r="AV1255" t="s">
        <v>6509</v>
      </c>
      <c r="AW1255" t="s">
        <v>53</v>
      </c>
      <c r="AX1255" t="s">
        <v>6509</v>
      </c>
      <c r="AZ1255" t="s">
        <v>54</v>
      </c>
      <c r="BA1255" t="s">
        <v>6512</v>
      </c>
    </row>
    <row r="1256" spans="1:53" x14ac:dyDescent="0.25">
      <c r="A1256">
        <v>1251</v>
      </c>
      <c r="B1256" t="s">
        <v>7022</v>
      </c>
      <c r="C1256" t="s">
        <v>7023</v>
      </c>
      <c r="D1256" t="s">
        <v>7024</v>
      </c>
      <c r="E1256">
        <v>7</v>
      </c>
      <c r="F1256" t="s">
        <v>6501</v>
      </c>
      <c r="G1256" t="s">
        <v>6502</v>
      </c>
      <c r="H1256" t="s">
        <v>7025</v>
      </c>
      <c r="I1256" t="s">
        <v>7026</v>
      </c>
      <c r="J1256" t="s">
        <v>7027</v>
      </c>
      <c r="K1256" t="s">
        <v>7028</v>
      </c>
      <c r="L1256" t="s">
        <v>6507</v>
      </c>
      <c r="M1256">
        <v>1.560869574546814</v>
      </c>
      <c r="N1256" t="s">
        <v>54</v>
      </c>
      <c r="O1256" t="s">
        <v>53</v>
      </c>
      <c r="P1256" t="s">
        <v>53</v>
      </c>
      <c r="Q1256" t="s">
        <v>53</v>
      </c>
      <c r="R1256" t="s">
        <v>53</v>
      </c>
      <c r="S1256" t="s">
        <v>7029</v>
      </c>
      <c r="T1256" t="s">
        <v>7029</v>
      </c>
      <c r="U1256" t="s">
        <v>53</v>
      </c>
      <c r="V1256" t="s">
        <v>138</v>
      </c>
      <c r="W1256">
        <v>250000</v>
      </c>
      <c r="X1256" t="s">
        <v>53</v>
      </c>
      <c r="Y1256" t="s">
        <v>6509</v>
      </c>
      <c r="Z1256">
        <v>0</v>
      </c>
      <c r="AA1256">
        <v>158</v>
      </c>
      <c r="AB1256">
        <v>97</v>
      </c>
      <c r="AC1256">
        <v>88</v>
      </c>
      <c r="AD1256">
        <v>93</v>
      </c>
      <c r="AE1256">
        <v>93</v>
      </c>
      <c r="AF1256">
        <v>0</v>
      </c>
      <c r="AG1256">
        <v>0</v>
      </c>
      <c r="AH1256">
        <v>5.9385213851928711</v>
      </c>
      <c r="AI1256">
        <v>0</v>
      </c>
      <c r="AJ1256">
        <v>3.7202998646534979E-4</v>
      </c>
      <c r="AK1256" t="s">
        <v>54</v>
      </c>
      <c r="AL1256" t="s">
        <v>53</v>
      </c>
      <c r="AM1256" t="s">
        <v>6509</v>
      </c>
      <c r="AQ1256" t="s">
        <v>54</v>
      </c>
      <c r="AR1256" t="s">
        <v>6509</v>
      </c>
      <c r="AT1256" t="s">
        <v>6511</v>
      </c>
      <c r="AV1256" t="s">
        <v>6509</v>
      </c>
      <c r="AW1256" t="s">
        <v>53</v>
      </c>
      <c r="AX1256" t="s">
        <v>6509</v>
      </c>
      <c r="AZ1256" t="s">
        <v>54</v>
      </c>
      <c r="BA1256" t="s">
        <v>6512</v>
      </c>
    </row>
    <row r="1257" spans="1:53" x14ac:dyDescent="0.25">
      <c r="A1257">
        <v>1252</v>
      </c>
      <c r="B1257" t="s">
        <v>7030</v>
      </c>
      <c r="C1257" t="s">
        <v>7031</v>
      </c>
      <c r="D1257" t="s">
        <v>6898</v>
      </c>
      <c r="E1257">
        <v>7</v>
      </c>
      <c r="F1257" t="s">
        <v>6501</v>
      </c>
      <c r="G1257" t="s">
        <v>6502</v>
      </c>
      <c r="H1257" t="s">
        <v>7025</v>
      </c>
      <c r="I1257" t="s">
        <v>7032</v>
      </c>
      <c r="J1257" t="s">
        <v>7033</v>
      </c>
      <c r="K1257" t="s">
        <v>7034</v>
      </c>
      <c r="L1257" t="s">
        <v>6507</v>
      </c>
      <c r="M1257">
        <v>0.42304447293281561</v>
      </c>
      <c r="N1257" t="s">
        <v>54</v>
      </c>
      <c r="O1257" t="s">
        <v>53</v>
      </c>
      <c r="P1257" t="s">
        <v>53</v>
      </c>
      <c r="Q1257" t="s">
        <v>53</v>
      </c>
      <c r="R1257" t="s">
        <v>53</v>
      </c>
      <c r="S1257" t="s">
        <v>7035</v>
      </c>
      <c r="T1257" t="s">
        <v>7035</v>
      </c>
      <c r="U1257" t="s">
        <v>53</v>
      </c>
      <c r="V1257" t="s">
        <v>138</v>
      </c>
      <c r="W1257">
        <v>250000</v>
      </c>
      <c r="X1257" t="s">
        <v>53</v>
      </c>
      <c r="Y1257" t="s">
        <v>6509</v>
      </c>
      <c r="Z1257">
        <v>0</v>
      </c>
      <c r="AA1257">
        <v>18</v>
      </c>
      <c r="AB1257">
        <v>11</v>
      </c>
      <c r="AC1257">
        <v>16</v>
      </c>
      <c r="AD1257">
        <v>11</v>
      </c>
      <c r="AE1257">
        <v>16</v>
      </c>
      <c r="AF1257">
        <v>0</v>
      </c>
      <c r="AG1257">
        <v>0</v>
      </c>
      <c r="AH1257">
        <v>0.87748998403549194</v>
      </c>
      <c r="AI1257">
        <v>0</v>
      </c>
      <c r="AJ1257">
        <v>0</v>
      </c>
      <c r="AK1257" t="s">
        <v>54</v>
      </c>
      <c r="AL1257" t="s">
        <v>53</v>
      </c>
      <c r="AM1257" t="s">
        <v>6509</v>
      </c>
      <c r="AQ1257" t="s">
        <v>54</v>
      </c>
      <c r="AR1257" t="s">
        <v>6509</v>
      </c>
      <c r="AT1257" t="s">
        <v>6511</v>
      </c>
      <c r="AV1257" t="s">
        <v>6509</v>
      </c>
      <c r="AW1257" t="s">
        <v>53</v>
      </c>
      <c r="AX1257" t="s">
        <v>6509</v>
      </c>
      <c r="AZ1257" t="s">
        <v>54</v>
      </c>
      <c r="BA1257" t="s">
        <v>6512</v>
      </c>
    </row>
    <row r="1258" spans="1:53" x14ac:dyDescent="0.25">
      <c r="A1258">
        <v>1253</v>
      </c>
      <c r="B1258" t="s">
        <v>7036</v>
      </c>
      <c r="C1258" t="s">
        <v>7037</v>
      </c>
      <c r="D1258" t="s">
        <v>7038</v>
      </c>
      <c r="E1258">
        <v>7</v>
      </c>
      <c r="F1258" t="s">
        <v>6501</v>
      </c>
      <c r="G1258" t="s">
        <v>6703</v>
      </c>
      <c r="H1258" t="s">
        <v>6919</v>
      </c>
      <c r="I1258" t="s">
        <v>7039</v>
      </c>
      <c r="J1258" t="s">
        <v>7040</v>
      </c>
      <c r="K1258" t="s">
        <v>7041</v>
      </c>
      <c r="L1258" t="s">
        <v>6507</v>
      </c>
      <c r="M1258">
        <v>0.64400434494018555</v>
      </c>
      <c r="N1258" t="s">
        <v>53</v>
      </c>
      <c r="O1258" t="s">
        <v>53</v>
      </c>
      <c r="P1258" t="s">
        <v>53</v>
      </c>
      <c r="Q1258" t="s">
        <v>54</v>
      </c>
      <c r="R1258" t="s">
        <v>53</v>
      </c>
      <c r="S1258" t="s">
        <v>7042</v>
      </c>
      <c r="T1258" t="s">
        <v>7042</v>
      </c>
      <c r="U1258" t="s">
        <v>53</v>
      </c>
      <c r="V1258" t="s">
        <v>138</v>
      </c>
      <c r="W1258">
        <v>250000</v>
      </c>
      <c r="X1258" t="s">
        <v>53</v>
      </c>
      <c r="Y1258" t="s">
        <v>6509</v>
      </c>
      <c r="Z1258">
        <v>0</v>
      </c>
      <c r="AA1258">
        <v>2</v>
      </c>
      <c r="AB1258">
        <v>1</v>
      </c>
      <c r="AC1258">
        <v>9</v>
      </c>
      <c r="AD1258">
        <v>2</v>
      </c>
      <c r="AE1258">
        <v>9</v>
      </c>
      <c r="AF1258">
        <v>0</v>
      </c>
      <c r="AG1258">
        <v>0</v>
      </c>
      <c r="AH1258">
        <v>0.28316882252693182</v>
      </c>
      <c r="AI1258">
        <v>0</v>
      </c>
      <c r="AJ1258">
        <v>17.024627685546879</v>
      </c>
      <c r="AK1258" t="s">
        <v>54</v>
      </c>
      <c r="AL1258" t="s">
        <v>53</v>
      </c>
      <c r="AM1258" t="s">
        <v>6509</v>
      </c>
      <c r="AQ1258" t="s">
        <v>54</v>
      </c>
      <c r="AR1258" t="s">
        <v>6509</v>
      </c>
      <c r="AT1258" t="s">
        <v>6511</v>
      </c>
      <c r="AV1258" t="s">
        <v>6509</v>
      </c>
      <c r="AW1258" t="s">
        <v>53</v>
      </c>
      <c r="AX1258" t="s">
        <v>6509</v>
      </c>
      <c r="AZ1258" t="s">
        <v>54</v>
      </c>
      <c r="BA1258" t="s">
        <v>6512</v>
      </c>
    </row>
    <row r="1259" spans="1:53" x14ac:dyDescent="0.25">
      <c r="A1259">
        <v>1254</v>
      </c>
      <c r="B1259" t="s">
        <v>7043</v>
      </c>
      <c r="C1259" t="s">
        <v>7044</v>
      </c>
      <c r="D1259" t="s">
        <v>7045</v>
      </c>
      <c r="E1259">
        <v>7</v>
      </c>
      <c r="F1259" t="s">
        <v>6501</v>
      </c>
      <c r="G1259" t="s">
        <v>6703</v>
      </c>
      <c r="H1259" t="s">
        <v>6919</v>
      </c>
      <c r="I1259" t="s">
        <v>7046</v>
      </c>
      <c r="J1259" t="s">
        <v>7047</v>
      </c>
      <c r="K1259" t="s">
        <v>7048</v>
      </c>
      <c r="L1259" t="s">
        <v>6507</v>
      </c>
      <c r="M1259">
        <v>0.99848133325576782</v>
      </c>
      <c r="N1259" t="s">
        <v>53</v>
      </c>
      <c r="O1259" t="s">
        <v>53</v>
      </c>
      <c r="P1259" t="s">
        <v>53</v>
      </c>
      <c r="Q1259" t="s">
        <v>54</v>
      </c>
      <c r="R1259" t="s">
        <v>53</v>
      </c>
      <c r="S1259" t="s">
        <v>7049</v>
      </c>
      <c r="T1259" t="s">
        <v>7049</v>
      </c>
      <c r="U1259" t="s">
        <v>53</v>
      </c>
      <c r="V1259" t="s">
        <v>138</v>
      </c>
      <c r="W1259">
        <v>250000</v>
      </c>
      <c r="X1259" t="s">
        <v>53</v>
      </c>
      <c r="Y1259" t="s">
        <v>6509</v>
      </c>
      <c r="Z1259">
        <v>0</v>
      </c>
      <c r="AA1259">
        <v>0</v>
      </c>
      <c r="AB1259">
        <v>0</v>
      </c>
      <c r="AC1259">
        <v>0</v>
      </c>
      <c r="AD1259">
        <v>0</v>
      </c>
      <c r="AE1259">
        <v>0</v>
      </c>
      <c r="AF1259">
        <v>0</v>
      </c>
      <c r="AG1259">
        <v>0</v>
      </c>
      <c r="AH1259">
        <v>0</v>
      </c>
      <c r="AI1259">
        <v>0</v>
      </c>
      <c r="AJ1259">
        <v>18.511734008789059</v>
      </c>
      <c r="AK1259" t="s">
        <v>54</v>
      </c>
      <c r="AL1259" t="s">
        <v>53</v>
      </c>
      <c r="AM1259" t="s">
        <v>6509</v>
      </c>
      <c r="AQ1259" t="s">
        <v>54</v>
      </c>
      <c r="AR1259" t="s">
        <v>6509</v>
      </c>
      <c r="AT1259" t="s">
        <v>6511</v>
      </c>
      <c r="AV1259" t="s">
        <v>6509</v>
      </c>
      <c r="AW1259" t="s">
        <v>53</v>
      </c>
      <c r="AX1259" t="s">
        <v>6509</v>
      </c>
      <c r="AZ1259" t="s">
        <v>54</v>
      </c>
      <c r="BA1259" t="s">
        <v>6512</v>
      </c>
    </row>
    <row r="1260" spans="1:53" x14ac:dyDescent="0.25">
      <c r="A1260">
        <v>1255</v>
      </c>
      <c r="B1260" t="s">
        <v>7050</v>
      </c>
      <c r="C1260" t="s">
        <v>7051</v>
      </c>
      <c r="D1260" t="s">
        <v>6898</v>
      </c>
      <c r="E1260">
        <v>7</v>
      </c>
      <c r="F1260" t="s">
        <v>6501</v>
      </c>
      <c r="G1260" t="s">
        <v>6521</v>
      </c>
      <c r="H1260" t="s">
        <v>6899</v>
      </c>
      <c r="I1260" t="s">
        <v>7052</v>
      </c>
      <c r="J1260" t="s">
        <v>7053</v>
      </c>
      <c r="K1260" t="s">
        <v>7054</v>
      </c>
      <c r="L1260" t="s">
        <v>6507</v>
      </c>
      <c r="M1260">
        <v>5.2794485092163086</v>
      </c>
      <c r="N1260" t="s">
        <v>54</v>
      </c>
      <c r="O1260" t="s">
        <v>53</v>
      </c>
      <c r="P1260" t="s">
        <v>53</v>
      </c>
      <c r="Q1260" t="s">
        <v>53</v>
      </c>
      <c r="R1260" t="s">
        <v>53</v>
      </c>
      <c r="S1260" t="s">
        <v>7055</v>
      </c>
      <c r="T1260" t="s">
        <v>7055</v>
      </c>
      <c r="U1260" t="s">
        <v>53</v>
      </c>
      <c r="V1260" t="s">
        <v>138</v>
      </c>
      <c r="W1260">
        <v>250000</v>
      </c>
      <c r="X1260" t="s">
        <v>53</v>
      </c>
      <c r="Y1260" t="s">
        <v>6509</v>
      </c>
      <c r="Z1260">
        <v>0</v>
      </c>
      <c r="AA1260">
        <v>274</v>
      </c>
      <c r="AB1260">
        <v>187</v>
      </c>
      <c r="AC1260">
        <v>428</v>
      </c>
      <c r="AD1260">
        <v>470</v>
      </c>
      <c r="AE1260">
        <v>470</v>
      </c>
      <c r="AF1260">
        <v>2</v>
      </c>
      <c r="AG1260">
        <v>0</v>
      </c>
      <c r="AH1260">
        <v>11.71075534820557</v>
      </c>
      <c r="AI1260">
        <v>0</v>
      </c>
      <c r="AJ1260">
        <v>230.25129699707031</v>
      </c>
      <c r="AK1260" t="s">
        <v>54</v>
      </c>
      <c r="AL1260" t="s">
        <v>53</v>
      </c>
      <c r="AM1260" t="s">
        <v>6509</v>
      </c>
      <c r="AQ1260" t="s">
        <v>54</v>
      </c>
      <c r="AR1260" t="s">
        <v>6509</v>
      </c>
      <c r="AT1260" t="s">
        <v>6511</v>
      </c>
      <c r="AV1260" t="s">
        <v>6509</v>
      </c>
      <c r="AW1260" t="s">
        <v>53</v>
      </c>
      <c r="AX1260" t="s">
        <v>6509</v>
      </c>
      <c r="AZ1260" t="s">
        <v>54</v>
      </c>
      <c r="BA1260" t="s">
        <v>6512</v>
      </c>
    </row>
    <row r="1261" spans="1:53" x14ac:dyDescent="0.25">
      <c r="A1261">
        <v>1256</v>
      </c>
      <c r="B1261" t="s">
        <v>7056</v>
      </c>
      <c r="C1261" t="s">
        <v>7057</v>
      </c>
      <c r="D1261" t="s">
        <v>7058</v>
      </c>
      <c r="E1261">
        <v>7</v>
      </c>
      <c r="F1261" t="s">
        <v>6501</v>
      </c>
      <c r="G1261" t="s">
        <v>6753</v>
      </c>
      <c r="H1261" t="s">
        <v>6981</v>
      </c>
      <c r="I1261" t="s">
        <v>6982</v>
      </c>
      <c r="J1261" t="s">
        <v>7059</v>
      </c>
      <c r="K1261" t="s">
        <v>7060</v>
      </c>
      <c r="L1261" t="s">
        <v>6507</v>
      </c>
      <c r="M1261">
        <v>6.2695808410644531</v>
      </c>
      <c r="N1261" t="s">
        <v>53</v>
      </c>
      <c r="O1261" t="s">
        <v>53</v>
      </c>
      <c r="P1261" t="s">
        <v>53</v>
      </c>
      <c r="Q1261" t="s">
        <v>54</v>
      </c>
      <c r="R1261" t="s">
        <v>53</v>
      </c>
      <c r="S1261" t="s">
        <v>7061</v>
      </c>
      <c r="T1261" t="s">
        <v>7061</v>
      </c>
      <c r="U1261" t="s">
        <v>53</v>
      </c>
      <c r="V1261" t="s">
        <v>138</v>
      </c>
      <c r="W1261">
        <v>250000</v>
      </c>
      <c r="X1261" t="s">
        <v>53</v>
      </c>
      <c r="Y1261" t="s">
        <v>6509</v>
      </c>
      <c r="Z1261">
        <v>0</v>
      </c>
      <c r="AA1261">
        <v>55</v>
      </c>
      <c r="AB1261">
        <v>20</v>
      </c>
      <c r="AC1261">
        <v>66</v>
      </c>
      <c r="AD1261">
        <v>49</v>
      </c>
      <c r="AE1261">
        <v>66</v>
      </c>
      <c r="AF1261">
        <v>0</v>
      </c>
      <c r="AG1261">
        <v>0</v>
      </c>
      <c r="AH1261">
        <v>12.032303810119631</v>
      </c>
      <c r="AI1261">
        <v>0</v>
      </c>
      <c r="AJ1261">
        <v>29.11989593505859</v>
      </c>
      <c r="AK1261" t="s">
        <v>54</v>
      </c>
      <c r="AL1261" t="s">
        <v>53</v>
      </c>
      <c r="AM1261" t="s">
        <v>6509</v>
      </c>
      <c r="AQ1261" t="s">
        <v>54</v>
      </c>
      <c r="AR1261" t="s">
        <v>6509</v>
      </c>
      <c r="AT1261" t="s">
        <v>6511</v>
      </c>
      <c r="AV1261" t="s">
        <v>6509</v>
      </c>
      <c r="AW1261" t="s">
        <v>53</v>
      </c>
      <c r="AX1261" t="s">
        <v>6509</v>
      </c>
      <c r="AZ1261" t="s">
        <v>54</v>
      </c>
      <c r="BA1261" t="s">
        <v>6512</v>
      </c>
    </row>
    <row r="1262" spans="1:53" x14ac:dyDescent="0.25">
      <c r="A1262">
        <v>1257</v>
      </c>
      <c r="B1262" t="s">
        <v>7062</v>
      </c>
      <c r="C1262" t="s">
        <v>7063</v>
      </c>
      <c r="D1262" t="s">
        <v>7064</v>
      </c>
      <c r="E1262">
        <v>7</v>
      </c>
      <c r="F1262" t="s">
        <v>6501</v>
      </c>
      <c r="G1262" t="s">
        <v>6753</v>
      </c>
      <c r="H1262" t="s">
        <v>6997</v>
      </c>
      <c r="I1262" t="s">
        <v>7065</v>
      </c>
      <c r="J1262" t="s">
        <v>7066</v>
      </c>
      <c r="K1262" t="s">
        <v>7067</v>
      </c>
      <c r="L1262" t="s">
        <v>6507</v>
      </c>
      <c r="M1262">
        <v>1.3564795255661011</v>
      </c>
      <c r="N1262" t="s">
        <v>53</v>
      </c>
      <c r="O1262" t="s">
        <v>53</v>
      </c>
      <c r="P1262" t="s">
        <v>53</v>
      </c>
      <c r="Q1262" t="s">
        <v>54</v>
      </c>
      <c r="R1262" t="s">
        <v>53</v>
      </c>
      <c r="S1262" t="s">
        <v>7068</v>
      </c>
      <c r="T1262" t="s">
        <v>7068</v>
      </c>
      <c r="U1262" t="s">
        <v>53</v>
      </c>
      <c r="V1262" t="s">
        <v>138</v>
      </c>
      <c r="W1262">
        <v>250000</v>
      </c>
      <c r="X1262" t="s">
        <v>53</v>
      </c>
      <c r="Y1262" t="s">
        <v>6509</v>
      </c>
      <c r="Z1262">
        <v>0</v>
      </c>
      <c r="AA1262">
        <v>63</v>
      </c>
      <c r="AB1262">
        <v>45</v>
      </c>
      <c r="AC1262">
        <v>33</v>
      </c>
      <c r="AD1262">
        <v>71</v>
      </c>
      <c r="AE1262">
        <v>71</v>
      </c>
      <c r="AF1262">
        <v>0</v>
      </c>
      <c r="AG1262">
        <v>0</v>
      </c>
      <c r="AH1262">
        <v>6.7922763824462891</v>
      </c>
      <c r="AI1262">
        <v>0</v>
      </c>
      <c r="AJ1262">
        <v>14.39934253692627</v>
      </c>
      <c r="AK1262" t="s">
        <v>54</v>
      </c>
      <c r="AL1262" t="s">
        <v>53</v>
      </c>
      <c r="AM1262" t="s">
        <v>6509</v>
      </c>
      <c r="AQ1262" t="s">
        <v>54</v>
      </c>
      <c r="AR1262" t="s">
        <v>6509</v>
      </c>
      <c r="AT1262" t="s">
        <v>6511</v>
      </c>
      <c r="AV1262" t="s">
        <v>6509</v>
      </c>
      <c r="AW1262" t="s">
        <v>53</v>
      </c>
      <c r="AX1262" t="s">
        <v>6509</v>
      </c>
      <c r="AZ1262" t="s">
        <v>54</v>
      </c>
      <c r="BA1262" t="s">
        <v>6512</v>
      </c>
    </row>
    <row r="1263" spans="1:53" x14ac:dyDescent="0.25">
      <c r="A1263">
        <v>1258</v>
      </c>
      <c r="B1263" t="s">
        <v>7069</v>
      </c>
      <c r="C1263" t="s">
        <v>7070</v>
      </c>
      <c r="D1263" t="s">
        <v>7071</v>
      </c>
      <c r="E1263">
        <v>7</v>
      </c>
      <c r="F1263" t="s">
        <v>6501</v>
      </c>
      <c r="G1263" t="s">
        <v>6611</v>
      </c>
      <c r="H1263" t="s">
        <v>6891</v>
      </c>
      <c r="I1263" t="s">
        <v>7072</v>
      </c>
      <c r="J1263" t="s">
        <v>7073</v>
      </c>
      <c r="K1263" t="s">
        <v>7074</v>
      </c>
      <c r="L1263" t="s">
        <v>6507</v>
      </c>
      <c r="M1263">
        <v>2.423797607421875</v>
      </c>
      <c r="N1263" t="s">
        <v>54</v>
      </c>
      <c r="O1263" t="s">
        <v>53</v>
      </c>
      <c r="P1263" t="s">
        <v>53</v>
      </c>
      <c r="Q1263" t="s">
        <v>53</v>
      </c>
      <c r="R1263" t="s">
        <v>53</v>
      </c>
      <c r="S1263" t="s">
        <v>7075</v>
      </c>
      <c r="T1263" t="s">
        <v>7075</v>
      </c>
      <c r="U1263" t="s">
        <v>53</v>
      </c>
      <c r="V1263" t="s">
        <v>138</v>
      </c>
      <c r="W1263">
        <v>250000</v>
      </c>
      <c r="X1263" t="s">
        <v>53</v>
      </c>
      <c r="Y1263" t="s">
        <v>6509</v>
      </c>
      <c r="Z1263">
        <v>0</v>
      </c>
      <c r="AA1263">
        <v>18</v>
      </c>
      <c r="AB1263">
        <v>15</v>
      </c>
      <c r="AC1263">
        <v>3</v>
      </c>
      <c r="AD1263">
        <v>16</v>
      </c>
      <c r="AE1263">
        <v>16</v>
      </c>
      <c r="AF1263">
        <v>0</v>
      </c>
      <c r="AG1263">
        <v>0</v>
      </c>
      <c r="AH1263">
        <v>1.45664393901825</v>
      </c>
      <c r="AI1263">
        <v>0</v>
      </c>
      <c r="AJ1263">
        <v>0.2748100757598877</v>
      </c>
      <c r="AK1263" t="s">
        <v>54</v>
      </c>
      <c r="AL1263" t="s">
        <v>54</v>
      </c>
      <c r="AM1263" t="s">
        <v>5450</v>
      </c>
      <c r="AP1263" t="s">
        <v>6510</v>
      </c>
      <c r="AQ1263" t="s">
        <v>54</v>
      </c>
      <c r="AR1263" t="s">
        <v>5450</v>
      </c>
      <c r="AS1263" s="148">
        <v>42795</v>
      </c>
      <c r="AT1263" t="s">
        <v>6511</v>
      </c>
      <c r="AV1263" t="s">
        <v>6509</v>
      </c>
      <c r="AW1263" t="s">
        <v>53</v>
      </c>
      <c r="AX1263" t="s">
        <v>6509</v>
      </c>
      <c r="AZ1263" t="s">
        <v>54</v>
      </c>
      <c r="BA1263" t="s">
        <v>6512</v>
      </c>
    </row>
    <row r="1264" spans="1:53" x14ac:dyDescent="0.25">
      <c r="A1264">
        <v>1259</v>
      </c>
      <c r="B1264" t="s">
        <v>7076</v>
      </c>
      <c r="C1264" t="s">
        <v>7077</v>
      </c>
      <c r="D1264" t="s">
        <v>6960</v>
      </c>
      <c r="E1264">
        <v>7</v>
      </c>
      <c r="F1264" t="s">
        <v>6501</v>
      </c>
      <c r="G1264" t="s">
        <v>6655</v>
      </c>
      <c r="H1264" t="s">
        <v>6940</v>
      </c>
      <c r="I1264" t="s">
        <v>6941</v>
      </c>
      <c r="J1264" t="s">
        <v>6968</v>
      </c>
      <c r="K1264" t="s">
        <v>6969</v>
      </c>
      <c r="L1264" t="s">
        <v>6507</v>
      </c>
      <c r="M1264">
        <v>0.69450128078460693</v>
      </c>
      <c r="N1264" t="s">
        <v>54</v>
      </c>
      <c r="O1264" t="s">
        <v>53</v>
      </c>
      <c r="P1264" t="s">
        <v>53</v>
      </c>
      <c r="Q1264" t="s">
        <v>53</v>
      </c>
      <c r="R1264" t="s">
        <v>53</v>
      </c>
      <c r="S1264" t="s">
        <v>7078</v>
      </c>
      <c r="T1264" t="s">
        <v>7078</v>
      </c>
      <c r="U1264" t="s">
        <v>53</v>
      </c>
      <c r="V1264" t="s">
        <v>138</v>
      </c>
      <c r="W1264">
        <v>250000</v>
      </c>
      <c r="X1264" t="s">
        <v>53</v>
      </c>
      <c r="Y1264" t="s">
        <v>6509</v>
      </c>
      <c r="Z1264">
        <v>0</v>
      </c>
      <c r="AA1264">
        <v>33</v>
      </c>
      <c r="AB1264">
        <v>25</v>
      </c>
      <c r="AC1264">
        <v>16</v>
      </c>
      <c r="AD1264">
        <v>47</v>
      </c>
      <c r="AE1264">
        <v>47</v>
      </c>
      <c r="AF1264">
        <v>0</v>
      </c>
      <c r="AG1264">
        <v>0</v>
      </c>
      <c r="AH1264">
        <v>1.7382849454879761</v>
      </c>
      <c r="AI1264">
        <v>0</v>
      </c>
      <c r="AJ1264">
        <v>0.9413105845451355</v>
      </c>
      <c r="AK1264" t="s">
        <v>54</v>
      </c>
      <c r="AL1264" t="s">
        <v>53</v>
      </c>
      <c r="AM1264" t="s">
        <v>6509</v>
      </c>
      <c r="AQ1264" t="s">
        <v>54</v>
      </c>
      <c r="AR1264" t="s">
        <v>6509</v>
      </c>
      <c r="AT1264" t="s">
        <v>6511</v>
      </c>
      <c r="AV1264" t="s">
        <v>6509</v>
      </c>
      <c r="AW1264" t="s">
        <v>53</v>
      </c>
      <c r="AX1264" t="s">
        <v>6509</v>
      </c>
      <c r="AZ1264" t="s">
        <v>54</v>
      </c>
      <c r="BA1264" t="s">
        <v>6512</v>
      </c>
    </row>
    <row r="1265" spans="1:53" x14ac:dyDescent="0.25">
      <c r="A1265">
        <v>1260</v>
      </c>
      <c r="B1265" t="s">
        <v>7079</v>
      </c>
      <c r="C1265" t="s">
        <v>7080</v>
      </c>
      <c r="D1265" t="s">
        <v>7081</v>
      </c>
      <c r="E1265">
        <v>7</v>
      </c>
      <c r="F1265" t="s">
        <v>6501</v>
      </c>
      <c r="G1265" t="s">
        <v>6715</v>
      </c>
      <c r="H1265" t="s">
        <v>6940</v>
      </c>
      <c r="I1265" t="s">
        <v>7082</v>
      </c>
      <c r="J1265" t="s">
        <v>7083</v>
      </c>
      <c r="K1265" t="s">
        <v>7084</v>
      </c>
      <c r="L1265" t="s">
        <v>6507</v>
      </c>
      <c r="M1265">
        <v>1.7955906391143801</v>
      </c>
      <c r="N1265" t="s">
        <v>54</v>
      </c>
      <c r="O1265" t="s">
        <v>53</v>
      </c>
      <c r="P1265" t="s">
        <v>53</v>
      </c>
      <c r="Q1265" t="s">
        <v>53</v>
      </c>
      <c r="R1265" t="s">
        <v>53</v>
      </c>
      <c r="S1265" t="s">
        <v>7085</v>
      </c>
      <c r="T1265" t="s">
        <v>7085</v>
      </c>
      <c r="U1265" t="s">
        <v>53</v>
      </c>
      <c r="V1265" t="s">
        <v>138</v>
      </c>
      <c r="W1265">
        <v>250000</v>
      </c>
      <c r="X1265" t="s">
        <v>53</v>
      </c>
      <c r="Y1265" t="s">
        <v>6509</v>
      </c>
      <c r="Z1265">
        <v>0</v>
      </c>
      <c r="AA1265">
        <v>11</v>
      </c>
      <c r="AB1265">
        <v>9</v>
      </c>
      <c r="AC1265">
        <v>5</v>
      </c>
      <c r="AD1265">
        <v>11</v>
      </c>
      <c r="AE1265">
        <v>11</v>
      </c>
      <c r="AF1265">
        <v>0</v>
      </c>
      <c r="AG1265">
        <v>0</v>
      </c>
      <c r="AH1265">
        <v>0.81076306104660034</v>
      </c>
      <c r="AI1265">
        <v>0</v>
      </c>
      <c r="AJ1265">
        <v>35.683235168457031</v>
      </c>
      <c r="AK1265" t="s">
        <v>54</v>
      </c>
      <c r="AL1265" t="s">
        <v>53</v>
      </c>
      <c r="AM1265" t="s">
        <v>6509</v>
      </c>
      <c r="AQ1265" t="s">
        <v>54</v>
      </c>
      <c r="AR1265" t="s">
        <v>6509</v>
      </c>
      <c r="AT1265" t="s">
        <v>6511</v>
      </c>
      <c r="AV1265" t="s">
        <v>6509</v>
      </c>
      <c r="AW1265" t="s">
        <v>53</v>
      </c>
      <c r="AX1265" t="s">
        <v>6509</v>
      </c>
      <c r="AZ1265" t="s">
        <v>54</v>
      </c>
      <c r="BA1265" t="s">
        <v>6512</v>
      </c>
    </row>
    <row r="1266" spans="1:53" x14ac:dyDescent="0.25">
      <c r="A1266">
        <v>1261</v>
      </c>
      <c r="B1266" t="s">
        <v>7086</v>
      </c>
      <c r="C1266" t="s">
        <v>7087</v>
      </c>
      <c r="D1266" t="s">
        <v>6898</v>
      </c>
      <c r="E1266">
        <v>7</v>
      </c>
      <c r="F1266" t="s">
        <v>6501</v>
      </c>
      <c r="G1266" t="s">
        <v>6611</v>
      </c>
      <c r="H1266" t="s">
        <v>7088</v>
      </c>
      <c r="I1266" t="s">
        <v>7089</v>
      </c>
      <c r="J1266" t="s">
        <v>7090</v>
      </c>
      <c r="K1266" t="s">
        <v>7091</v>
      </c>
      <c r="L1266" t="s">
        <v>6507</v>
      </c>
      <c r="M1266">
        <v>5.759546160697937E-2</v>
      </c>
      <c r="N1266" t="s">
        <v>53</v>
      </c>
      <c r="O1266" t="s">
        <v>53</v>
      </c>
      <c r="P1266" t="s">
        <v>53</v>
      </c>
      <c r="Q1266" t="s">
        <v>53</v>
      </c>
      <c r="R1266" t="s">
        <v>53</v>
      </c>
      <c r="S1266" t="s">
        <v>7092</v>
      </c>
      <c r="T1266" t="s">
        <v>7092</v>
      </c>
      <c r="U1266" t="s">
        <v>53</v>
      </c>
      <c r="V1266" t="s">
        <v>138</v>
      </c>
      <c r="W1266">
        <v>250000</v>
      </c>
      <c r="X1266" t="s">
        <v>53</v>
      </c>
      <c r="Y1266" t="s">
        <v>6509</v>
      </c>
      <c r="Z1266">
        <v>0</v>
      </c>
      <c r="AA1266">
        <v>0</v>
      </c>
      <c r="AB1266">
        <v>0</v>
      </c>
      <c r="AC1266">
        <v>0</v>
      </c>
      <c r="AD1266">
        <v>0</v>
      </c>
      <c r="AE1266">
        <v>0</v>
      </c>
      <c r="AF1266">
        <v>0</v>
      </c>
      <c r="AG1266">
        <v>0</v>
      </c>
      <c r="AH1266">
        <v>0</v>
      </c>
      <c r="AI1266">
        <v>0</v>
      </c>
      <c r="AJ1266">
        <v>0</v>
      </c>
      <c r="AK1266" t="s">
        <v>54</v>
      </c>
      <c r="AL1266" t="s">
        <v>54</v>
      </c>
      <c r="AM1266" t="s">
        <v>5450</v>
      </c>
      <c r="AP1266" t="s">
        <v>6510</v>
      </c>
      <c r="AQ1266" t="s">
        <v>54</v>
      </c>
      <c r="AR1266" t="s">
        <v>5450</v>
      </c>
      <c r="AS1266" s="148">
        <v>42795</v>
      </c>
      <c r="AT1266" t="s">
        <v>6511</v>
      </c>
      <c r="AV1266" t="s">
        <v>6509</v>
      </c>
      <c r="AW1266" t="s">
        <v>53</v>
      </c>
      <c r="AX1266" t="s">
        <v>6509</v>
      </c>
      <c r="AZ1266" t="s">
        <v>54</v>
      </c>
      <c r="BA1266" t="s">
        <v>6512</v>
      </c>
    </row>
    <row r="1267" spans="1:53" x14ac:dyDescent="0.25">
      <c r="A1267">
        <v>1262</v>
      </c>
      <c r="B1267" t="s">
        <v>7093</v>
      </c>
      <c r="C1267" t="s">
        <v>7094</v>
      </c>
      <c r="D1267" t="s">
        <v>7095</v>
      </c>
      <c r="E1267">
        <v>7</v>
      </c>
      <c r="F1267" t="s">
        <v>6501</v>
      </c>
      <c r="G1267" t="s">
        <v>6611</v>
      </c>
      <c r="H1267" t="s">
        <v>6891</v>
      </c>
      <c r="I1267" t="s">
        <v>7072</v>
      </c>
      <c r="J1267" t="s">
        <v>7073</v>
      </c>
      <c r="K1267" t="s">
        <v>7074</v>
      </c>
      <c r="L1267" t="s">
        <v>7096</v>
      </c>
      <c r="M1267">
        <v>6.0227274894714364</v>
      </c>
      <c r="N1267" t="s">
        <v>54</v>
      </c>
      <c r="O1267" t="s">
        <v>53</v>
      </c>
      <c r="P1267" t="s">
        <v>53</v>
      </c>
      <c r="Q1267" t="s">
        <v>53</v>
      </c>
      <c r="R1267" t="s">
        <v>53</v>
      </c>
      <c r="S1267" t="s">
        <v>6895</v>
      </c>
      <c r="T1267" t="s">
        <v>6895</v>
      </c>
      <c r="U1267" t="s">
        <v>53</v>
      </c>
      <c r="V1267" t="s">
        <v>51</v>
      </c>
      <c r="W1267">
        <v>200000</v>
      </c>
      <c r="X1267" t="s">
        <v>53</v>
      </c>
      <c r="Y1267" t="s">
        <v>6509</v>
      </c>
      <c r="Z1267">
        <v>0</v>
      </c>
      <c r="AA1267">
        <v>3</v>
      </c>
      <c r="AB1267">
        <v>0</v>
      </c>
      <c r="AC1267">
        <v>6</v>
      </c>
      <c r="AD1267">
        <v>0</v>
      </c>
      <c r="AE1267">
        <v>6</v>
      </c>
      <c r="AF1267">
        <v>0</v>
      </c>
      <c r="AG1267">
        <v>0</v>
      </c>
      <c r="AH1267">
        <v>0.26547333598136902</v>
      </c>
      <c r="AI1267">
        <v>0</v>
      </c>
      <c r="AJ1267">
        <v>10.95880603790283</v>
      </c>
      <c r="AK1267" t="s">
        <v>53</v>
      </c>
      <c r="AL1267" t="s">
        <v>54</v>
      </c>
      <c r="AM1267" t="s">
        <v>7097</v>
      </c>
      <c r="AP1267" t="s">
        <v>7098</v>
      </c>
      <c r="AQ1267" t="s">
        <v>54</v>
      </c>
      <c r="AR1267" t="s">
        <v>6509</v>
      </c>
      <c r="AT1267" t="s">
        <v>6511</v>
      </c>
      <c r="AV1267" t="s">
        <v>6509</v>
      </c>
      <c r="AW1267" t="s">
        <v>53</v>
      </c>
      <c r="AX1267" t="s">
        <v>6509</v>
      </c>
      <c r="AZ1267" t="s">
        <v>54</v>
      </c>
      <c r="BA1267" t="s">
        <v>6512</v>
      </c>
    </row>
    <row r="1268" spans="1:53" x14ac:dyDescent="0.25">
      <c r="A1268">
        <v>1263</v>
      </c>
      <c r="B1268" t="s">
        <v>7099</v>
      </c>
      <c r="C1268" t="s">
        <v>7100</v>
      </c>
      <c r="D1268" t="s">
        <v>7101</v>
      </c>
      <c r="E1268">
        <v>7</v>
      </c>
      <c r="F1268" t="s">
        <v>6501</v>
      </c>
      <c r="G1268" t="s">
        <v>6611</v>
      </c>
      <c r="H1268" t="s">
        <v>6891</v>
      </c>
      <c r="I1268" t="s">
        <v>7072</v>
      </c>
      <c r="J1268" t="s">
        <v>7102</v>
      </c>
      <c r="K1268" t="s">
        <v>7103</v>
      </c>
      <c r="L1268" t="s">
        <v>7096</v>
      </c>
      <c r="M1268">
        <v>0.89306360483169556</v>
      </c>
      <c r="N1268" t="s">
        <v>54</v>
      </c>
      <c r="O1268" t="s">
        <v>53</v>
      </c>
      <c r="P1268" t="s">
        <v>53</v>
      </c>
      <c r="Q1268" t="s">
        <v>53</v>
      </c>
      <c r="R1268" t="s">
        <v>53</v>
      </c>
      <c r="S1268" t="s">
        <v>6895</v>
      </c>
      <c r="T1268" t="s">
        <v>6895</v>
      </c>
      <c r="U1268" t="s">
        <v>53</v>
      </c>
      <c r="V1268" t="s">
        <v>51</v>
      </c>
      <c r="W1268">
        <v>700000</v>
      </c>
      <c r="X1268" t="s">
        <v>53</v>
      </c>
      <c r="Y1268" t="s">
        <v>6509</v>
      </c>
      <c r="Z1268">
        <v>0</v>
      </c>
      <c r="AA1268">
        <v>175</v>
      </c>
      <c r="AB1268">
        <v>168</v>
      </c>
      <c r="AC1268">
        <v>655</v>
      </c>
      <c r="AD1268">
        <v>309</v>
      </c>
      <c r="AE1268">
        <v>655</v>
      </c>
      <c r="AF1268">
        <v>0</v>
      </c>
      <c r="AG1268">
        <v>0</v>
      </c>
      <c r="AH1268">
        <v>3.054887056350708</v>
      </c>
      <c r="AI1268">
        <v>0</v>
      </c>
      <c r="AJ1268">
        <v>206.63533020019531</v>
      </c>
      <c r="AK1268" t="s">
        <v>53</v>
      </c>
      <c r="AL1268" t="s">
        <v>54</v>
      </c>
      <c r="AM1268" t="s">
        <v>7097</v>
      </c>
      <c r="AP1268" t="s">
        <v>7098</v>
      </c>
      <c r="AQ1268" t="s">
        <v>54</v>
      </c>
      <c r="AR1268" t="s">
        <v>6509</v>
      </c>
      <c r="AT1268" t="s">
        <v>6511</v>
      </c>
      <c r="AV1268" t="s">
        <v>6509</v>
      </c>
      <c r="AW1268" t="s">
        <v>54</v>
      </c>
      <c r="AX1268" t="s">
        <v>6509</v>
      </c>
      <c r="AZ1268" t="s">
        <v>54</v>
      </c>
      <c r="BA1268" t="s">
        <v>6512</v>
      </c>
    </row>
    <row r="1269" spans="1:53" x14ac:dyDescent="0.25">
      <c r="A1269">
        <v>1264</v>
      </c>
      <c r="B1269" t="s">
        <v>7104</v>
      </c>
      <c r="C1269" t="s">
        <v>7105</v>
      </c>
      <c r="D1269" t="s">
        <v>7106</v>
      </c>
      <c r="E1269">
        <v>7</v>
      </c>
      <c r="F1269" t="s">
        <v>6501</v>
      </c>
      <c r="G1269" t="s">
        <v>6837</v>
      </c>
      <c r="H1269" t="s">
        <v>6953</v>
      </c>
      <c r="I1269" t="s">
        <v>7107</v>
      </c>
      <c r="J1269" t="s">
        <v>7108</v>
      </c>
      <c r="K1269" t="s">
        <v>7109</v>
      </c>
      <c r="L1269" t="s">
        <v>7096</v>
      </c>
      <c r="M1269">
        <v>3.3583339303731918E-2</v>
      </c>
      <c r="N1269" t="s">
        <v>54</v>
      </c>
      <c r="O1269" t="s">
        <v>53</v>
      </c>
      <c r="P1269" t="s">
        <v>53</v>
      </c>
      <c r="Q1269" t="s">
        <v>54</v>
      </c>
      <c r="R1269" t="s">
        <v>53</v>
      </c>
      <c r="S1269" t="s">
        <v>7110</v>
      </c>
      <c r="T1269" t="s">
        <v>7110</v>
      </c>
      <c r="U1269" t="s">
        <v>53</v>
      </c>
      <c r="V1269" t="s">
        <v>51</v>
      </c>
      <c r="W1269">
        <v>100000</v>
      </c>
      <c r="X1269" t="s">
        <v>53</v>
      </c>
      <c r="Y1269" t="s">
        <v>6509</v>
      </c>
      <c r="Z1269">
        <v>0</v>
      </c>
      <c r="AA1269">
        <v>3</v>
      </c>
      <c r="AB1269">
        <v>3</v>
      </c>
      <c r="AC1269">
        <v>3</v>
      </c>
      <c r="AD1269">
        <v>3</v>
      </c>
      <c r="AE1269">
        <v>3</v>
      </c>
      <c r="AF1269">
        <v>0</v>
      </c>
      <c r="AG1269">
        <v>0</v>
      </c>
      <c r="AH1269">
        <v>0.25622019171714783</v>
      </c>
      <c r="AI1269">
        <v>0</v>
      </c>
      <c r="AJ1269">
        <v>0</v>
      </c>
      <c r="AK1269" t="s">
        <v>54</v>
      </c>
      <c r="AL1269" t="s">
        <v>53</v>
      </c>
      <c r="AM1269" t="s">
        <v>6509</v>
      </c>
      <c r="AQ1269" t="s">
        <v>54</v>
      </c>
      <c r="AR1269" t="s">
        <v>6509</v>
      </c>
      <c r="AT1269" t="s">
        <v>6511</v>
      </c>
      <c r="AV1269" t="s">
        <v>6509</v>
      </c>
      <c r="AW1269" t="s">
        <v>53</v>
      </c>
      <c r="AX1269" t="s">
        <v>6509</v>
      </c>
      <c r="AZ1269" t="s">
        <v>54</v>
      </c>
      <c r="BA1269" t="s">
        <v>6512</v>
      </c>
    </row>
    <row r="1270" spans="1:53" x14ac:dyDescent="0.25">
      <c r="A1270">
        <v>1265</v>
      </c>
      <c r="B1270" t="s">
        <v>7111</v>
      </c>
      <c r="C1270" t="s">
        <v>7112</v>
      </c>
      <c r="D1270" t="s">
        <v>7113</v>
      </c>
      <c r="E1270">
        <v>7</v>
      </c>
      <c r="F1270" t="s">
        <v>6501</v>
      </c>
      <c r="G1270" t="s">
        <v>3036</v>
      </c>
      <c r="H1270" t="s">
        <v>6845</v>
      </c>
      <c r="I1270" t="s">
        <v>6846</v>
      </c>
      <c r="J1270" t="s">
        <v>6847</v>
      </c>
      <c r="K1270" t="s">
        <v>6848</v>
      </c>
      <c r="L1270" t="s">
        <v>7114</v>
      </c>
      <c r="M1270">
        <v>21.92342567443848</v>
      </c>
      <c r="N1270" t="s">
        <v>54</v>
      </c>
      <c r="O1270" t="s">
        <v>53</v>
      </c>
      <c r="P1270" t="s">
        <v>53</v>
      </c>
      <c r="Q1270" t="s">
        <v>53</v>
      </c>
      <c r="R1270" t="s">
        <v>53</v>
      </c>
      <c r="S1270" t="s">
        <v>3038</v>
      </c>
      <c r="T1270" t="s">
        <v>3038</v>
      </c>
      <c r="U1270" t="s">
        <v>53</v>
      </c>
      <c r="V1270" t="s">
        <v>1973</v>
      </c>
      <c r="W1270">
        <v>100000</v>
      </c>
      <c r="X1270" t="s">
        <v>53</v>
      </c>
      <c r="Y1270" t="s">
        <v>6509</v>
      </c>
      <c r="Z1270">
        <v>0</v>
      </c>
      <c r="AA1270">
        <v>0</v>
      </c>
      <c r="AB1270">
        <v>0</v>
      </c>
      <c r="AC1270">
        <v>0</v>
      </c>
      <c r="AD1270">
        <v>0</v>
      </c>
      <c r="AE1270">
        <v>0</v>
      </c>
      <c r="AF1270">
        <v>0</v>
      </c>
      <c r="AG1270">
        <v>0</v>
      </c>
      <c r="AH1270">
        <v>1.9176123142242429</v>
      </c>
      <c r="AI1270">
        <v>0</v>
      </c>
      <c r="AJ1270">
        <v>877.84844970703125</v>
      </c>
      <c r="AK1270" t="s">
        <v>53</v>
      </c>
      <c r="AL1270" t="s">
        <v>53</v>
      </c>
      <c r="AM1270" t="s">
        <v>6509</v>
      </c>
      <c r="AQ1270" t="s">
        <v>54</v>
      </c>
      <c r="AR1270" t="s">
        <v>6509</v>
      </c>
      <c r="AT1270" t="s">
        <v>6511</v>
      </c>
      <c r="AV1270" t="s">
        <v>6509</v>
      </c>
      <c r="AW1270" t="s">
        <v>53</v>
      </c>
      <c r="AX1270" t="s">
        <v>6509</v>
      </c>
      <c r="AZ1270" t="s">
        <v>54</v>
      </c>
      <c r="BA1270" t="s">
        <v>6512</v>
      </c>
    </row>
    <row r="1271" spans="1:53" x14ac:dyDescent="0.25">
      <c r="A1271">
        <v>1266</v>
      </c>
      <c r="B1271" t="s">
        <v>7115</v>
      </c>
      <c r="C1271" t="s">
        <v>7116</v>
      </c>
      <c r="D1271" t="s">
        <v>7117</v>
      </c>
      <c r="E1271">
        <v>7</v>
      </c>
      <c r="F1271" t="s">
        <v>6501</v>
      </c>
      <c r="G1271" t="s">
        <v>3036</v>
      </c>
      <c r="H1271" t="s">
        <v>6845</v>
      </c>
      <c r="I1271" t="s">
        <v>6846</v>
      </c>
      <c r="J1271" t="s">
        <v>6847</v>
      </c>
      <c r="K1271" t="s">
        <v>6848</v>
      </c>
      <c r="L1271" t="s">
        <v>7118</v>
      </c>
      <c r="M1271">
        <v>21.92342567443848</v>
      </c>
      <c r="N1271" t="s">
        <v>54</v>
      </c>
      <c r="O1271" t="s">
        <v>53</v>
      </c>
      <c r="P1271" t="s">
        <v>53</v>
      </c>
      <c r="Q1271" t="s">
        <v>53</v>
      </c>
      <c r="R1271" t="s">
        <v>53</v>
      </c>
      <c r="S1271" t="s">
        <v>3038</v>
      </c>
      <c r="T1271" t="s">
        <v>3038</v>
      </c>
      <c r="U1271" t="s">
        <v>53</v>
      </c>
      <c r="V1271" t="s">
        <v>51</v>
      </c>
      <c r="W1271">
        <v>2000000</v>
      </c>
      <c r="X1271" t="s">
        <v>53</v>
      </c>
      <c r="Y1271" t="s">
        <v>6509</v>
      </c>
      <c r="Z1271">
        <v>0</v>
      </c>
      <c r="AA1271">
        <v>0</v>
      </c>
      <c r="AB1271">
        <v>0</v>
      </c>
      <c r="AC1271">
        <v>0</v>
      </c>
      <c r="AD1271">
        <v>0</v>
      </c>
      <c r="AE1271">
        <v>0</v>
      </c>
      <c r="AF1271">
        <v>0</v>
      </c>
      <c r="AG1271">
        <v>0</v>
      </c>
      <c r="AH1271">
        <v>1.9176123142242429</v>
      </c>
      <c r="AI1271">
        <v>0</v>
      </c>
      <c r="AJ1271">
        <v>877.84844970703125</v>
      </c>
      <c r="AK1271" t="s">
        <v>53</v>
      </c>
      <c r="AL1271" t="s">
        <v>53</v>
      </c>
      <c r="AM1271" t="s">
        <v>6509</v>
      </c>
      <c r="AQ1271" t="s">
        <v>54</v>
      </c>
      <c r="AR1271" t="s">
        <v>6509</v>
      </c>
      <c r="AT1271" t="s">
        <v>6511</v>
      </c>
      <c r="AV1271" t="s">
        <v>6509</v>
      </c>
      <c r="AW1271" t="s">
        <v>53</v>
      </c>
      <c r="AX1271" t="s">
        <v>6509</v>
      </c>
      <c r="AZ1271" t="s">
        <v>54</v>
      </c>
      <c r="BA1271" t="s">
        <v>6512</v>
      </c>
    </row>
    <row r="1272" spans="1:53" x14ac:dyDescent="0.25">
      <c r="A1272">
        <v>1267</v>
      </c>
      <c r="B1272" t="s">
        <v>7119</v>
      </c>
      <c r="C1272" t="s">
        <v>7120</v>
      </c>
      <c r="D1272" t="s">
        <v>7113</v>
      </c>
      <c r="E1272">
        <v>7</v>
      </c>
      <c r="F1272" t="s">
        <v>6501</v>
      </c>
      <c r="G1272" t="s">
        <v>6765</v>
      </c>
      <c r="H1272" t="s">
        <v>6766</v>
      </c>
      <c r="I1272" t="s">
        <v>6767</v>
      </c>
      <c r="J1272" t="s">
        <v>6768</v>
      </c>
      <c r="K1272" t="s">
        <v>6769</v>
      </c>
      <c r="L1272" t="s">
        <v>7114</v>
      </c>
      <c r="M1272">
        <v>826.03533935546875</v>
      </c>
      <c r="N1272" t="s">
        <v>53</v>
      </c>
      <c r="O1272" t="s">
        <v>53</v>
      </c>
      <c r="P1272" t="s">
        <v>53</v>
      </c>
      <c r="Q1272" t="s">
        <v>54</v>
      </c>
      <c r="R1272" t="s">
        <v>53</v>
      </c>
      <c r="S1272" t="s">
        <v>6770</v>
      </c>
      <c r="T1272" t="s">
        <v>6770</v>
      </c>
      <c r="U1272" t="s">
        <v>53</v>
      </c>
      <c r="V1272" t="s">
        <v>1973</v>
      </c>
      <c r="W1272">
        <v>100000</v>
      </c>
      <c r="X1272" t="s">
        <v>53</v>
      </c>
      <c r="Y1272" t="s">
        <v>6509</v>
      </c>
      <c r="Z1272">
        <v>0</v>
      </c>
      <c r="AA1272">
        <v>475</v>
      </c>
      <c r="AB1272">
        <v>46</v>
      </c>
      <c r="AC1272">
        <v>682</v>
      </c>
      <c r="AD1272">
        <v>759</v>
      </c>
      <c r="AE1272">
        <v>759</v>
      </c>
      <c r="AF1272">
        <v>1</v>
      </c>
      <c r="AG1272">
        <v>13</v>
      </c>
      <c r="AH1272">
        <v>499.0328369140625</v>
      </c>
      <c r="AI1272">
        <v>0</v>
      </c>
      <c r="AJ1272">
        <v>32566.796875</v>
      </c>
      <c r="AK1272" t="s">
        <v>53</v>
      </c>
      <c r="AL1272" t="s">
        <v>53</v>
      </c>
      <c r="AM1272" t="s">
        <v>6509</v>
      </c>
      <c r="AQ1272" t="s">
        <v>54</v>
      </c>
      <c r="AR1272" t="s">
        <v>6509</v>
      </c>
      <c r="AT1272" t="s">
        <v>6511</v>
      </c>
      <c r="AV1272" t="s">
        <v>6509</v>
      </c>
      <c r="AW1272" t="s">
        <v>53</v>
      </c>
      <c r="AX1272" t="s">
        <v>6509</v>
      </c>
      <c r="AZ1272" t="s">
        <v>54</v>
      </c>
      <c r="BA1272" t="s">
        <v>6512</v>
      </c>
    </row>
    <row r="1273" spans="1:53" x14ac:dyDescent="0.25">
      <c r="A1273">
        <v>1268</v>
      </c>
      <c r="B1273" t="s">
        <v>7121</v>
      </c>
      <c r="C1273" t="s">
        <v>7122</v>
      </c>
      <c r="D1273" t="s">
        <v>7113</v>
      </c>
      <c r="E1273">
        <v>7</v>
      </c>
      <c r="F1273" t="s">
        <v>6501</v>
      </c>
      <c r="G1273" t="s">
        <v>2455</v>
      </c>
      <c r="H1273" t="s">
        <v>6816</v>
      </c>
      <c r="I1273" t="s">
        <v>6817</v>
      </c>
      <c r="J1273" t="s">
        <v>6818</v>
      </c>
      <c r="K1273" t="s">
        <v>6819</v>
      </c>
      <c r="L1273" t="s">
        <v>7114</v>
      </c>
      <c r="M1273">
        <v>392.42581176757813</v>
      </c>
      <c r="N1273" t="s">
        <v>54</v>
      </c>
      <c r="O1273" t="s">
        <v>53</v>
      </c>
      <c r="P1273" t="s">
        <v>53</v>
      </c>
      <c r="Q1273" t="s">
        <v>53</v>
      </c>
      <c r="R1273" t="s">
        <v>53</v>
      </c>
      <c r="S1273" t="s">
        <v>2459</v>
      </c>
      <c r="T1273" t="s">
        <v>2459</v>
      </c>
      <c r="U1273" t="s">
        <v>53</v>
      </c>
      <c r="V1273" t="s">
        <v>1973</v>
      </c>
      <c r="W1273">
        <v>100000</v>
      </c>
      <c r="X1273" t="s">
        <v>53</v>
      </c>
      <c r="Y1273" t="s">
        <v>6509</v>
      </c>
      <c r="Z1273">
        <v>0</v>
      </c>
      <c r="AA1273">
        <v>361</v>
      </c>
      <c r="AB1273">
        <v>199</v>
      </c>
      <c r="AC1273">
        <v>684</v>
      </c>
      <c r="AD1273">
        <v>460</v>
      </c>
      <c r="AE1273">
        <v>684</v>
      </c>
      <c r="AF1273">
        <v>0</v>
      </c>
      <c r="AG1273">
        <v>7</v>
      </c>
      <c r="AH1273">
        <v>53.909332275390618</v>
      </c>
      <c r="AI1273">
        <v>0</v>
      </c>
      <c r="AJ1273">
        <v>28476.49609375</v>
      </c>
      <c r="AK1273" t="s">
        <v>53</v>
      </c>
      <c r="AL1273" t="s">
        <v>53</v>
      </c>
      <c r="AM1273" t="s">
        <v>6509</v>
      </c>
      <c r="AQ1273" t="s">
        <v>54</v>
      </c>
      <c r="AR1273" t="s">
        <v>6509</v>
      </c>
      <c r="AT1273" t="s">
        <v>6511</v>
      </c>
      <c r="AV1273" t="s">
        <v>6509</v>
      </c>
      <c r="AW1273" t="s">
        <v>53</v>
      </c>
      <c r="AX1273" t="s">
        <v>6509</v>
      </c>
      <c r="AZ1273" t="s">
        <v>54</v>
      </c>
      <c r="BA1273" t="s">
        <v>6512</v>
      </c>
    </row>
    <row r="1274" spans="1:53" x14ac:dyDescent="0.25">
      <c r="A1274">
        <v>1269</v>
      </c>
      <c r="B1274" t="s">
        <v>7123</v>
      </c>
      <c r="C1274" t="s">
        <v>7124</v>
      </c>
      <c r="D1274" t="s">
        <v>7113</v>
      </c>
      <c r="E1274">
        <v>7</v>
      </c>
      <c r="F1274" t="s">
        <v>6501</v>
      </c>
      <c r="G1274" t="s">
        <v>6555</v>
      </c>
      <c r="H1274" t="s">
        <v>6556</v>
      </c>
      <c r="I1274" t="s">
        <v>6557</v>
      </c>
      <c r="J1274" t="s">
        <v>6558</v>
      </c>
      <c r="K1274" t="s">
        <v>6559</v>
      </c>
      <c r="L1274" t="s">
        <v>7114</v>
      </c>
      <c r="M1274">
        <v>54.561721801757813</v>
      </c>
      <c r="N1274" t="s">
        <v>54</v>
      </c>
      <c r="O1274" t="s">
        <v>53</v>
      </c>
      <c r="P1274" t="s">
        <v>53</v>
      </c>
      <c r="Q1274" t="s">
        <v>54</v>
      </c>
      <c r="R1274" t="s">
        <v>53</v>
      </c>
      <c r="S1274" t="s">
        <v>6560</v>
      </c>
      <c r="T1274" t="s">
        <v>6560</v>
      </c>
      <c r="U1274" t="s">
        <v>53</v>
      </c>
      <c r="V1274" t="s">
        <v>1973</v>
      </c>
      <c r="W1274">
        <v>100000</v>
      </c>
      <c r="X1274" t="s">
        <v>53</v>
      </c>
      <c r="Y1274" t="s">
        <v>6509</v>
      </c>
      <c r="Z1274">
        <v>0</v>
      </c>
      <c r="AA1274">
        <v>10</v>
      </c>
      <c r="AB1274">
        <v>0</v>
      </c>
      <c r="AC1274">
        <v>1</v>
      </c>
      <c r="AD1274">
        <v>0</v>
      </c>
      <c r="AE1274">
        <v>1</v>
      </c>
      <c r="AF1274">
        <v>0</v>
      </c>
      <c r="AG1274">
        <v>0</v>
      </c>
      <c r="AH1274">
        <v>4.8243813514709473</v>
      </c>
      <c r="AI1274">
        <v>0</v>
      </c>
      <c r="AJ1274">
        <v>1591.717895507812</v>
      </c>
      <c r="AK1274" t="s">
        <v>53</v>
      </c>
      <c r="AL1274" t="s">
        <v>53</v>
      </c>
      <c r="AM1274" t="s">
        <v>6509</v>
      </c>
      <c r="AQ1274" t="s">
        <v>54</v>
      </c>
      <c r="AR1274" t="s">
        <v>6509</v>
      </c>
      <c r="AT1274" t="s">
        <v>6511</v>
      </c>
      <c r="AV1274" t="s">
        <v>6509</v>
      </c>
      <c r="AW1274" t="s">
        <v>53</v>
      </c>
      <c r="AX1274" t="s">
        <v>6509</v>
      </c>
      <c r="AZ1274" t="s">
        <v>54</v>
      </c>
      <c r="BA1274" t="s">
        <v>6512</v>
      </c>
    </row>
    <row r="1275" spans="1:53" x14ac:dyDescent="0.25">
      <c r="A1275">
        <v>1270</v>
      </c>
      <c r="B1275" t="s">
        <v>7125</v>
      </c>
      <c r="C1275" t="s">
        <v>7126</v>
      </c>
      <c r="D1275" t="s">
        <v>7127</v>
      </c>
      <c r="E1275">
        <v>7</v>
      </c>
      <c r="F1275" t="s">
        <v>6501</v>
      </c>
      <c r="G1275" t="s">
        <v>6587</v>
      </c>
      <c r="H1275" t="s">
        <v>6588</v>
      </c>
      <c r="I1275" t="s">
        <v>6589</v>
      </c>
      <c r="J1275" t="s">
        <v>6590</v>
      </c>
      <c r="K1275" t="s">
        <v>6591</v>
      </c>
      <c r="L1275" t="s">
        <v>7118</v>
      </c>
      <c r="M1275">
        <v>433.07949829101563</v>
      </c>
      <c r="N1275" t="s">
        <v>54</v>
      </c>
      <c r="O1275" t="s">
        <v>53</v>
      </c>
      <c r="P1275" t="s">
        <v>53</v>
      </c>
      <c r="Q1275" t="s">
        <v>53</v>
      </c>
      <c r="R1275" t="s">
        <v>53</v>
      </c>
      <c r="S1275" t="s">
        <v>6592</v>
      </c>
      <c r="T1275" t="s">
        <v>6592</v>
      </c>
      <c r="U1275" t="s">
        <v>53</v>
      </c>
      <c r="V1275" t="s">
        <v>51</v>
      </c>
      <c r="W1275">
        <v>2000000</v>
      </c>
      <c r="X1275" t="s">
        <v>53</v>
      </c>
      <c r="Y1275" t="s">
        <v>6509</v>
      </c>
      <c r="Z1275">
        <v>0</v>
      </c>
      <c r="AA1275">
        <v>81</v>
      </c>
      <c r="AB1275">
        <v>21</v>
      </c>
      <c r="AC1275">
        <v>54</v>
      </c>
      <c r="AD1275">
        <v>86</v>
      </c>
      <c r="AE1275">
        <v>86</v>
      </c>
      <c r="AF1275">
        <v>0</v>
      </c>
      <c r="AG1275">
        <v>12</v>
      </c>
      <c r="AH1275">
        <v>56.145484924316413</v>
      </c>
      <c r="AI1275">
        <v>0</v>
      </c>
      <c r="AJ1275">
        <v>3073.50634765625</v>
      </c>
      <c r="AK1275" t="s">
        <v>53</v>
      </c>
      <c r="AL1275" t="s">
        <v>53</v>
      </c>
      <c r="AM1275" t="s">
        <v>6509</v>
      </c>
      <c r="AQ1275" t="s">
        <v>54</v>
      </c>
      <c r="AR1275" t="s">
        <v>6509</v>
      </c>
      <c r="AT1275" t="s">
        <v>6511</v>
      </c>
      <c r="AV1275" t="s">
        <v>6509</v>
      </c>
      <c r="AW1275" t="s">
        <v>53</v>
      </c>
      <c r="AX1275" t="s">
        <v>6509</v>
      </c>
      <c r="AZ1275" t="s">
        <v>54</v>
      </c>
      <c r="BA1275" t="s">
        <v>6512</v>
      </c>
    </row>
    <row r="1276" spans="1:53" x14ac:dyDescent="0.25">
      <c r="A1276">
        <v>1271</v>
      </c>
      <c r="B1276" t="s">
        <v>7128</v>
      </c>
      <c r="C1276" t="s">
        <v>7129</v>
      </c>
      <c r="D1276" t="s">
        <v>7113</v>
      </c>
      <c r="E1276">
        <v>7</v>
      </c>
      <c r="F1276" t="s">
        <v>6501</v>
      </c>
      <c r="G1276" t="s">
        <v>6587</v>
      </c>
      <c r="H1276" t="s">
        <v>6588</v>
      </c>
      <c r="I1276" t="s">
        <v>6589</v>
      </c>
      <c r="J1276" t="s">
        <v>6590</v>
      </c>
      <c r="K1276" t="s">
        <v>6591</v>
      </c>
      <c r="L1276" t="s">
        <v>7114</v>
      </c>
      <c r="M1276">
        <v>433.07949829101563</v>
      </c>
      <c r="N1276" t="s">
        <v>54</v>
      </c>
      <c r="O1276" t="s">
        <v>53</v>
      </c>
      <c r="P1276" t="s">
        <v>53</v>
      </c>
      <c r="Q1276" t="s">
        <v>53</v>
      </c>
      <c r="R1276" t="s">
        <v>53</v>
      </c>
      <c r="S1276" t="s">
        <v>6592</v>
      </c>
      <c r="T1276" t="s">
        <v>6592</v>
      </c>
      <c r="U1276" t="s">
        <v>53</v>
      </c>
      <c r="V1276" t="s">
        <v>1973</v>
      </c>
      <c r="W1276">
        <v>100000</v>
      </c>
      <c r="X1276" t="s">
        <v>53</v>
      </c>
      <c r="Y1276" t="s">
        <v>6509</v>
      </c>
      <c r="Z1276">
        <v>0</v>
      </c>
      <c r="AA1276">
        <v>81</v>
      </c>
      <c r="AB1276">
        <v>21</v>
      </c>
      <c r="AC1276">
        <v>54</v>
      </c>
      <c r="AD1276">
        <v>86</v>
      </c>
      <c r="AE1276">
        <v>86</v>
      </c>
      <c r="AF1276">
        <v>0</v>
      </c>
      <c r="AG1276">
        <v>12</v>
      </c>
      <c r="AH1276">
        <v>56.145484924316413</v>
      </c>
      <c r="AI1276">
        <v>0</v>
      </c>
      <c r="AJ1276">
        <v>3073.50634765625</v>
      </c>
      <c r="AK1276" t="s">
        <v>53</v>
      </c>
      <c r="AL1276" t="s">
        <v>53</v>
      </c>
      <c r="AM1276" t="s">
        <v>6509</v>
      </c>
      <c r="AQ1276" t="s">
        <v>54</v>
      </c>
      <c r="AR1276" t="s">
        <v>6509</v>
      </c>
      <c r="AT1276" t="s">
        <v>6511</v>
      </c>
      <c r="AV1276" t="s">
        <v>6509</v>
      </c>
      <c r="AW1276" t="s">
        <v>53</v>
      </c>
      <c r="AX1276" t="s">
        <v>6509</v>
      </c>
      <c r="AZ1276" t="s">
        <v>54</v>
      </c>
      <c r="BA1276" t="s">
        <v>6512</v>
      </c>
    </row>
    <row r="1277" spans="1:53" x14ac:dyDescent="0.25">
      <c r="A1277">
        <v>1272</v>
      </c>
      <c r="B1277" t="s">
        <v>7130</v>
      </c>
      <c r="C1277" t="s">
        <v>7131</v>
      </c>
      <c r="D1277" t="s">
        <v>7113</v>
      </c>
      <c r="E1277">
        <v>7</v>
      </c>
      <c r="F1277" t="s">
        <v>6501</v>
      </c>
      <c r="G1277" t="s">
        <v>2896</v>
      </c>
      <c r="H1277" t="s">
        <v>6862</v>
      </c>
      <c r="I1277" t="s">
        <v>6863</v>
      </c>
      <c r="J1277" t="s">
        <v>6864</v>
      </c>
      <c r="K1277" t="s">
        <v>6865</v>
      </c>
      <c r="L1277" t="s">
        <v>7114</v>
      </c>
      <c r="M1277">
        <v>451.09014892578119</v>
      </c>
      <c r="N1277" t="s">
        <v>53</v>
      </c>
      <c r="O1277" t="s">
        <v>53</v>
      </c>
      <c r="P1277" t="s">
        <v>53</v>
      </c>
      <c r="Q1277" t="s">
        <v>54</v>
      </c>
      <c r="R1277" t="s">
        <v>53</v>
      </c>
      <c r="S1277" t="s">
        <v>2901</v>
      </c>
      <c r="T1277" t="s">
        <v>2901</v>
      </c>
      <c r="U1277" t="s">
        <v>53</v>
      </c>
      <c r="V1277" t="s">
        <v>1973</v>
      </c>
      <c r="W1277">
        <v>100000</v>
      </c>
      <c r="X1277" t="s">
        <v>53</v>
      </c>
      <c r="Y1277" t="s">
        <v>6509</v>
      </c>
      <c r="Z1277">
        <v>0</v>
      </c>
      <c r="AA1277">
        <v>51</v>
      </c>
      <c r="AB1277">
        <v>0</v>
      </c>
      <c r="AC1277">
        <v>82</v>
      </c>
      <c r="AD1277">
        <v>56</v>
      </c>
      <c r="AE1277">
        <v>82</v>
      </c>
      <c r="AF1277">
        <v>0</v>
      </c>
      <c r="AG1277">
        <v>6</v>
      </c>
      <c r="AH1277">
        <v>280.89724731445313</v>
      </c>
      <c r="AI1277">
        <v>0</v>
      </c>
      <c r="AJ1277">
        <v>23504.32421875</v>
      </c>
      <c r="AK1277" t="s">
        <v>53</v>
      </c>
      <c r="AL1277" t="s">
        <v>53</v>
      </c>
      <c r="AM1277" t="s">
        <v>6509</v>
      </c>
      <c r="AQ1277" t="s">
        <v>54</v>
      </c>
      <c r="AR1277" t="s">
        <v>6509</v>
      </c>
      <c r="AT1277" t="s">
        <v>6511</v>
      </c>
      <c r="AV1277" t="s">
        <v>6509</v>
      </c>
      <c r="AW1277" t="s">
        <v>53</v>
      </c>
      <c r="AX1277" t="s">
        <v>6509</v>
      </c>
      <c r="AZ1277" t="s">
        <v>54</v>
      </c>
      <c r="BA1277" t="s">
        <v>6512</v>
      </c>
    </row>
    <row r="1278" spans="1:53" x14ac:dyDescent="0.25">
      <c r="A1278">
        <v>1273</v>
      </c>
      <c r="B1278" t="s">
        <v>7132</v>
      </c>
      <c r="C1278" t="s">
        <v>7133</v>
      </c>
      <c r="D1278" t="s">
        <v>7134</v>
      </c>
      <c r="E1278">
        <v>7</v>
      </c>
      <c r="F1278" t="s">
        <v>6501</v>
      </c>
      <c r="G1278" t="s">
        <v>6611</v>
      </c>
      <c r="H1278" t="s">
        <v>6891</v>
      </c>
      <c r="I1278" t="s">
        <v>6892</v>
      </c>
      <c r="J1278" t="s">
        <v>6893</v>
      </c>
      <c r="K1278" t="s">
        <v>6894</v>
      </c>
      <c r="L1278" t="s">
        <v>7135</v>
      </c>
      <c r="M1278">
        <v>111.6635818481445</v>
      </c>
      <c r="N1278" t="s">
        <v>54</v>
      </c>
      <c r="O1278" t="s">
        <v>53</v>
      </c>
      <c r="P1278" t="s">
        <v>53</v>
      </c>
      <c r="Q1278" t="s">
        <v>53</v>
      </c>
      <c r="R1278" t="s">
        <v>53</v>
      </c>
      <c r="S1278" t="s">
        <v>6895</v>
      </c>
      <c r="T1278" t="s">
        <v>6895</v>
      </c>
      <c r="U1278" t="s">
        <v>53</v>
      </c>
      <c r="V1278" t="s">
        <v>51</v>
      </c>
      <c r="W1278">
        <v>100000</v>
      </c>
      <c r="X1278" t="s">
        <v>53</v>
      </c>
      <c r="Y1278" t="s">
        <v>6509</v>
      </c>
      <c r="Z1278">
        <v>0</v>
      </c>
      <c r="AA1278">
        <v>10861</v>
      </c>
      <c r="AB1278">
        <v>9399</v>
      </c>
      <c r="AC1278">
        <v>24482</v>
      </c>
      <c r="AD1278">
        <v>25333</v>
      </c>
      <c r="AE1278">
        <v>25333</v>
      </c>
      <c r="AF1278">
        <v>10</v>
      </c>
      <c r="AG1278">
        <v>58</v>
      </c>
      <c r="AH1278">
        <v>218.49726867675781</v>
      </c>
      <c r="AI1278">
        <v>0</v>
      </c>
      <c r="AJ1278">
        <v>1234.783569335938</v>
      </c>
      <c r="AK1278" t="s">
        <v>53</v>
      </c>
      <c r="AL1278" t="s">
        <v>53</v>
      </c>
      <c r="AM1278" t="s">
        <v>6509</v>
      </c>
      <c r="AQ1278" t="s">
        <v>54</v>
      </c>
      <c r="AR1278" t="s">
        <v>6509</v>
      </c>
      <c r="AT1278" t="s">
        <v>6511</v>
      </c>
      <c r="AV1278" t="s">
        <v>6509</v>
      </c>
      <c r="AW1278" t="s">
        <v>53</v>
      </c>
      <c r="AX1278" t="s">
        <v>6509</v>
      </c>
      <c r="AZ1278" t="s">
        <v>54</v>
      </c>
      <c r="BA1278" t="s">
        <v>6512</v>
      </c>
    </row>
    <row r="1279" spans="1:53" x14ac:dyDescent="0.25">
      <c r="A1279">
        <v>1274</v>
      </c>
      <c r="B1279" t="s">
        <v>7136</v>
      </c>
      <c r="C1279" t="s">
        <v>7137</v>
      </c>
      <c r="D1279" t="s">
        <v>7127</v>
      </c>
      <c r="E1279">
        <v>7</v>
      </c>
      <c r="F1279" t="s">
        <v>6501</v>
      </c>
      <c r="G1279" t="s">
        <v>6587</v>
      </c>
      <c r="H1279" t="s">
        <v>7025</v>
      </c>
      <c r="I1279" t="s">
        <v>7138</v>
      </c>
      <c r="J1279" t="s">
        <v>7139</v>
      </c>
      <c r="K1279" t="s">
        <v>7140</v>
      </c>
      <c r="L1279" t="s">
        <v>7118</v>
      </c>
      <c r="M1279">
        <v>2.7155427932739258</v>
      </c>
      <c r="N1279" t="s">
        <v>54</v>
      </c>
      <c r="O1279" t="s">
        <v>53</v>
      </c>
      <c r="P1279" t="s">
        <v>53</v>
      </c>
      <c r="Q1279" t="s">
        <v>53</v>
      </c>
      <c r="R1279" t="s">
        <v>53</v>
      </c>
      <c r="S1279" t="s">
        <v>7141</v>
      </c>
      <c r="T1279" t="s">
        <v>7141</v>
      </c>
      <c r="U1279" t="s">
        <v>53</v>
      </c>
      <c r="V1279" t="s">
        <v>51</v>
      </c>
      <c r="W1279">
        <v>1000000</v>
      </c>
      <c r="X1279" t="s">
        <v>53</v>
      </c>
      <c r="Y1279" t="s">
        <v>6509</v>
      </c>
      <c r="Z1279">
        <v>0</v>
      </c>
      <c r="AA1279">
        <v>21</v>
      </c>
      <c r="AB1279">
        <v>12</v>
      </c>
      <c r="AC1279">
        <v>39</v>
      </c>
      <c r="AD1279">
        <v>28</v>
      </c>
      <c r="AE1279">
        <v>39</v>
      </c>
      <c r="AF1279">
        <v>0</v>
      </c>
      <c r="AG1279">
        <v>0</v>
      </c>
      <c r="AH1279">
        <v>5.1416993141174316</v>
      </c>
      <c r="AI1279">
        <v>0</v>
      </c>
      <c r="AJ1279">
        <v>0</v>
      </c>
      <c r="AK1279" t="s">
        <v>53</v>
      </c>
      <c r="AL1279" t="s">
        <v>53</v>
      </c>
      <c r="AM1279" t="s">
        <v>6509</v>
      </c>
      <c r="AQ1279" t="s">
        <v>54</v>
      </c>
      <c r="AR1279" t="s">
        <v>6509</v>
      </c>
      <c r="AT1279" t="s">
        <v>6511</v>
      </c>
      <c r="AV1279" t="s">
        <v>6509</v>
      </c>
      <c r="AW1279" t="s">
        <v>53</v>
      </c>
      <c r="AX1279" t="s">
        <v>6509</v>
      </c>
      <c r="AZ1279" t="s">
        <v>54</v>
      </c>
      <c r="BA1279" t="s">
        <v>6512</v>
      </c>
    </row>
    <row r="1280" spans="1:53" x14ac:dyDescent="0.25">
      <c r="A1280">
        <v>1275</v>
      </c>
      <c r="B1280" t="s">
        <v>7142</v>
      </c>
      <c r="C1280" t="s">
        <v>7143</v>
      </c>
      <c r="D1280" t="s">
        <v>7134</v>
      </c>
      <c r="E1280">
        <v>7</v>
      </c>
      <c r="F1280" t="s">
        <v>6501</v>
      </c>
      <c r="G1280" t="s">
        <v>6587</v>
      </c>
      <c r="H1280" t="s">
        <v>7025</v>
      </c>
      <c r="I1280" t="s">
        <v>7138</v>
      </c>
      <c r="J1280" t="s">
        <v>7139</v>
      </c>
      <c r="K1280" t="s">
        <v>7140</v>
      </c>
      <c r="L1280" t="s">
        <v>7135</v>
      </c>
      <c r="M1280">
        <v>2.7155427932739258</v>
      </c>
      <c r="N1280" t="s">
        <v>54</v>
      </c>
      <c r="O1280" t="s">
        <v>53</v>
      </c>
      <c r="P1280" t="s">
        <v>53</v>
      </c>
      <c r="Q1280" t="s">
        <v>53</v>
      </c>
      <c r="R1280" t="s">
        <v>53</v>
      </c>
      <c r="S1280" t="s">
        <v>7141</v>
      </c>
      <c r="T1280" t="s">
        <v>7141</v>
      </c>
      <c r="U1280" t="s">
        <v>53</v>
      </c>
      <c r="V1280" t="s">
        <v>51</v>
      </c>
      <c r="W1280">
        <v>25000</v>
      </c>
      <c r="X1280" t="s">
        <v>53</v>
      </c>
      <c r="Y1280" t="s">
        <v>6509</v>
      </c>
      <c r="Z1280">
        <v>0</v>
      </c>
      <c r="AA1280">
        <v>21</v>
      </c>
      <c r="AB1280">
        <v>12</v>
      </c>
      <c r="AC1280">
        <v>39</v>
      </c>
      <c r="AD1280">
        <v>28</v>
      </c>
      <c r="AE1280">
        <v>39</v>
      </c>
      <c r="AF1280">
        <v>0</v>
      </c>
      <c r="AG1280">
        <v>0</v>
      </c>
      <c r="AH1280">
        <v>5.1416993141174316</v>
      </c>
      <c r="AI1280">
        <v>0</v>
      </c>
      <c r="AJ1280">
        <v>0</v>
      </c>
      <c r="AK1280" t="s">
        <v>53</v>
      </c>
      <c r="AL1280" t="s">
        <v>53</v>
      </c>
      <c r="AM1280" t="s">
        <v>6509</v>
      </c>
      <c r="AQ1280" t="s">
        <v>54</v>
      </c>
      <c r="AR1280" t="s">
        <v>6509</v>
      </c>
      <c r="AT1280" t="s">
        <v>6511</v>
      </c>
      <c r="AV1280" t="s">
        <v>6509</v>
      </c>
      <c r="AW1280" t="s">
        <v>53</v>
      </c>
      <c r="AX1280" t="s">
        <v>6509</v>
      </c>
      <c r="AZ1280" t="s">
        <v>54</v>
      </c>
      <c r="BA1280" t="s">
        <v>6512</v>
      </c>
    </row>
    <row r="1281" spans="1:53" x14ac:dyDescent="0.25">
      <c r="A1281">
        <v>1276</v>
      </c>
      <c r="B1281" t="s">
        <v>7144</v>
      </c>
      <c r="C1281" t="s">
        <v>7145</v>
      </c>
      <c r="D1281" t="s">
        <v>7146</v>
      </c>
      <c r="E1281">
        <v>7</v>
      </c>
      <c r="F1281" t="s">
        <v>6501</v>
      </c>
      <c r="G1281" t="s">
        <v>6529</v>
      </c>
      <c r="H1281" t="s">
        <v>7025</v>
      </c>
      <c r="I1281" t="s">
        <v>7147</v>
      </c>
      <c r="J1281" t="s">
        <v>7148</v>
      </c>
      <c r="K1281" t="s">
        <v>7149</v>
      </c>
      <c r="L1281" t="s">
        <v>7118</v>
      </c>
      <c r="M1281">
        <v>4.185636043548584</v>
      </c>
      <c r="N1281" t="s">
        <v>54</v>
      </c>
      <c r="O1281" t="s">
        <v>53</v>
      </c>
      <c r="P1281" t="s">
        <v>53</v>
      </c>
      <c r="Q1281" t="s">
        <v>53</v>
      </c>
      <c r="R1281" t="s">
        <v>53</v>
      </c>
      <c r="S1281" t="s">
        <v>7150</v>
      </c>
      <c r="T1281" t="s">
        <v>7150</v>
      </c>
      <c r="U1281" t="s">
        <v>53</v>
      </c>
      <c r="V1281" t="s">
        <v>51</v>
      </c>
      <c r="W1281">
        <v>1000000</v>
      </c>
      <c r="X1281" t="s">
        <v>53</v>
      </c>
      <c r="Y1281" t="s">
        <v>6509</v>
      </c>
      <c r="Z1281">
        <v>0</v>
      </c>
      <c r="AA1281">
        <v>440</v>
      </c>
      <c r="AB1281">
        <v>98</v>
      </c>
      <c r="AC1281">
        <v>422</v>
      </c>
      <c r="AD1281">
        <v>562</v>
      </c>
      <c r="AE1281">
        <v>562</v>
      </c>
      <c r="AF1281">
        <v>1</v>
      </c>
      <c r="AG1281">
        <v>0</v>
      </c>
      <c r="AH1281">
        <v>13.50722122192383</v>
      </c>
      <c r="AI1281">
        <v>0</v>
      </c>
      <c r="AJ1281">
        <v>4.2006235122680664</v>
      </c>
      <c r="AK1281" t="s">
        <v>53</v>
      </c>
      <c r="AL1281" t="s">
        <v>53</v>
      </c>
      <c r="AM1281" t="s">
        <v>6509</v>
      </c>
      <c r="AQ1281" t="s">
        <v>54</v>
      </c>
      <c r="AR1281" t="s">
        <v>6509</v>
      </c>
      <c r="AT1281" t="s">
        <v>6511</v>
      </c>
      <c r="AV1281" t="s">
        <v>6509</v>
      </c>
      <c r="AW1281" t="s">
        <v>53</v>
      </c>
      <c r="AX1281" t="s">
        <v>6509</v>
      </c>
      <c r="AZ1281" t="s">
        <v>54</v>
      </c>
      <c r="BA1281" t="s">
        <v>6512</v>
      </c>
    </row>
    <row r="1282" spans="1:53" x14ac:dyDescent="0.25">
      <c r="A1282">
        <v>1277</v>
      </c>
      <c r="B1282" t="s">
        <v>7151</v>
      </c>
      <c r="C1282" t="s">
        <v>7152</v>
      </c>
      <c r="D1282" t="s">
        <v>7153</v>
      </c>
      <c r="E1282">
        <v>7</v>
      </c>
      <c r="F1282" t="s">
        <v>6501</v>
      </c>
      <c r="G1282" t="s">
        <v>6529</v>
      </c>
      <c r="H1282" t="s">
        <v>7025</v>
      </c>
      <c r="I1282" t="s">
        <v>7147</v>
      </c>
      <c r="J1282" t="s">
        <v>7148</v>
      </c>
      <c r="K1282" t="s">
        <v>7149</v>
      </c>
      <c r="L1282" t="s">
        <v>7135</v>
      </c>
      <c r="M1282">
        <v>4.185636043548584</v>
      </c>
      <c r="N1282" t="s">
        <v>54</v>
      </c>
      <c r="O1282" t="s">
        <v>53</v>
      </c>
      <c r="P1282" t="s">
        <v>53</v>
      </c>
      <c r="Q1282" t="s">
        <v>53</v>
      </c>
      <c r="R1282" t="s">
        <v>53</v>
      </c>
      <c r="S1282" t="s">
        <v>7150</v>
      </c>
      <c r="T1282" t="s">
        <v>7150</v>
      </c>
      <c r="U1282" t="s">
        <v>53</v>
      </c>
      <c r="V1282" t="s">
        <v>51</v>
      </c>
      <c r="W1282">
        <v>500000</v>
      </c>
      <c r="X1282" t="s">
        <v>53</v>
      </c>
      <c r="Y1282" t="s">
        <v>6509</v>
      </c>
      <c r="Z1282">
        <v>0</v>
      </c>
      <c r="AA1282">
        <v>440</v>
      </c>
      <c r="AB1282">
        <v>98</v>
      </c>
      <c r="AC1282">
        <v>422</v>
      </c>
      <c r="AD1282">
        <v>562</v>
      </c>
      <c r="AE1282">
        <v>562</v>
      </c>
      <c r="AF1282">
        <v>1</v>
      </c>
      <c r="AG1282">
        <v>0</v>
      </c>
      <c r="AH1282">
        <v>13.50722122192383</v>
      </c>
      <c r="AI1282">
        <v>0</v>
      </c>
      <c r="AJ1282">
        <v>4.2006235122680664</v>
      </c>
      <c r="AK1282" t="s">
        <v>53</v>
      </c>
      <c r="AL1282" t="s">
        <v>53</v>
      </c>
      <c r="AM1282" t="s">
        <v>6509</v>
      </c>
      <c r="AQ1282" t="s">
        <v>54</v>
      </c>
      <c r="AR1282" t="s">
        <v>6509</v>
      </c>
      <c r="AT1282" t="s">
        <v>6511</v>
      </c>
      <c r="AV1282" t="s">
        <v>6509</v>
      </c>
      <c r="AW1282" t="s">
        <v>53</v>
      </c>
      <c r="AX1282" t="s">
        <v>6509</v>
      </c>
      <c r="AZ1282" t="s">
        <v>54</v>
      </c>
      <c r="BA1282" t="s">
        <v>6512</v>
      </c>
    </row>
    <row r="1283" spans="1:53" x14ac:dyDescent="0.25">
      <c r="A1283">
        <v>1278</v>
      </c>
      <c r="B1283" t="s">
        <v>7154</v>
      </c>
      <c r="C1283" t="s">
        <v>7155</v>
      </c>
      <c r="D1283" t="s">
        <v>7156</v>
      </c>
      <c r="E1283">
        <v>7</v>
      </c>
      <c r="F1283" t="s">
        <v>6501</v>
      </c>
      <c r="G1283" t="s">
        <v>5102</v>
      </c>
      <c r="H1283" t="s">
        <v>7157</v>
      </c>
      <c r="I1283" t="s">
        <v>7158</v>
      </c>
      <c r="J1283" t="s">
        <v>7159</v>
      </c>
      <c r="K1283" t="s">
        <v>7160</v>
      </c>
      <c r="L1283" t="s">
        <v>7161</v>
      </c>
      <c r="M1283">
        <v>20028.23046875</v>
      </c>
      <c r="N1283" t="s">
        <v>54</v>
      </c>
      <c r="O1283" t="s">
        <v>53</v>
      </c>
      <c r="P1283" t="s">
        <v>54</v>
      </c>
      <c r="Q1283" t="s">
        <v>54</v>
      </c>
      <c r="R1283" t="s">
        <v>53</v>
      </c>
      <c r="S1283" t="s">
        <v>7162</v>
      </c>
      <c r="T1283" t="s">
        <v>7162</v>
      </c>
      <c r="U1283" t="s">
        <v>53</v>
      </c>
      <c r="V1283" t="s">
        <v>1973</v>
      </c>
      <c r="W1283">
        <v>100000</v>
      </c>
      <c r="X1283" t="s">
        <v>53</v>
      </c>
      <c r="Y1283" t="s">
        <v>6509</v>
      </c>
      <c r="Z1283">
        <v>0</v>
      </c>
      <c r="AA1283">
        <v>28532</v>
      </c>
      <c r="AB1283">
        <v>19838</v>
      </c>
      <c r="AC1283">
        <v>59352</v>
      </c>
      <c r="AD1283">
        <v>60299</v>
      </c>
      <c r="AE1283">
        <v>60299</v>
      </c>
      <c r="AF1283">
        <v>44</v>
      </c>
      <c r="AG1283">
        <v>292</v>
      </c>
      <c r="AH1283">
        <v>5944.06103515625</v>
      </c>
      <c r="AI1283">
        <v>0</v>
      </c>
      <c r="AJ1283">
        <v>869137.9375</v>
      </c>
      <c r="AK1283" t="s">
        <v>54</v>
      </c>
      <c r="AL1283" t="s">
        <v>53</v>
      </c>
      <c r="AM1283" t="s">
        <v>6509</v>
      </c>
      <c r="AQ1283" t="s">
        <v>54</v>
      </c>
      <c r="AR1283" t="s">
        <v>6509</v>
      </c>
      <c r="AT1283" t="s">
        <v>6511</v>
      </c>
      <c r="AV1283" t="s">
        <v>6509</v>
      </c>
      <c r="AW1283" t="s">
        <v>53</v>
      </c>
      <c r="AX1283" t="s">
        <v>6509</v>
      </c>
      <c r="AZ1283" t="s">
        <v>54</v>
      </c>
      <c r="BA1283" t="s">
        <v>6512</v>
      </c>
    </row>
    <row r="1284" spans="1:53" x14ac:dyDescent="0.25">
      <c r="A1284">
        <v>1279</v>
      </c>
      <c r="B1284" t="s">
        <v>7163</v>
      </c>
      <c r="C1284" t="s">
        <v>7164</v>
      </c>
      <c r="D1284" t="s">
        <v>7165</v>
      </c>
      <c r="E1284">
        <v>7</v>
      </c>
      <c r="F1284" t="s">
        <v>6501</v>
      </c>
      <c r="G1284" t="s">
        <v>5102</v>
      </c>
      <c r="H1284" t="s">
        <v>7157</v>
      </c>
      <c r="I1284" t="s">
        <v>7158</v>
      </c>
      <c r="J1284" t="s">
        <v>7159</v>
      </c>
      <c r="K1284" t="s">
        <v>7160</v>
      </c>
      <c r="L1284" t="s">
        <v>7166</v>
      </c>
      <c r="M1284">
        <v>20028.23046875</v>
      </c>
      <c r="N1284" t="s">
        <v>54</v>
      </c>
      <c r="O1284" t="s">
        <v>53</v>
      </c>
      <c r="P1284" t="s">
        <v>54</v>
      </c>
      <c r="Q1284" t="s">
        <v>54</v>
      </c>
      <c r="R1284" t="s">
        <v>53</v>
      </c>
      <c r="S1284" t="s">
        <v>7162</v>
      </c>
      <c r="T1284" t="s">
        <v>7162</v>
      </c>
      <c r="U1284" t="s">
        <v>53</v>
      </c>
      <c r="V1284" t="s">
        <v>1973</v>
      </c>
      <c r="W1284">
        <v>750000</v>
      </c>
      <c r="X1284" t="s">
        <v>53</v>
      </c>
      <c r="Y1284" t="s">
        <v>6509</v>
      </c>
      <c r="Z1284">
        <v>0</v>
      </c>
      <c r="AA1284">
        <v>28532</v>
      </c>
      <c r="AB1284">
        <v>19838</v>
      </c>
      <c r="AC1284">
        <v>59352</v>
      </c>
      <c r="AD1284">
        <v>60299</v>
      </c>
      <c r="AE1284">
        <v>60299</v>
      </c>
      <c r="AF1284">
        <v>44</v>
      </c>
      <c r="AG1284">
        <v>292</v>
      </c>
      <c r="AH1284">
        <v>5944.06103515625</v>
      </c>
      <c r="AI1284">
        <v>0</v>
      </c>
      <c r="AJ1284">
        <v>869137.9375</v>
      </c>
      <c r="AK1284" t="s">
        <v>53</v>
      </c>
      <c r="AL1284" t="s">
        <v>53</v>
      </c>
      <c r="AM1284" t="s">
        <v>6509</v>
      </c>
      <c r="AQ1284" t="s">
        <v>54</v>
      </c>
      <c r="AR1284" t="s">
        <v>6509</v>
      </c>
      <c r="AT1284" t="s">
        <v>6511</v>
      </c>
      <c r="AV1284" t="s">
        <v>6509</v>
      </c>
      <c r="AW1284" t="s">
        <v>53</v>
      </c>
      <c r="AX1284" t="s">
        <v>6509</v>
      </c>
      <c r="AZ1284" t="s">
        <v>54</v>
      </c>
      <c r="BA1284" t="s">
        <v>6512</v>
      </c>
    </row>
    <row r="1285" spans="1:53" x14ac:dyDescent="0.25">
      <c r="A1285">
        <v>1280</v>
      </c>
      <c r="B1285" t="s">
        <v>7167</v>
      </c>
      <c r="C1285" t="s">
        <v>7168</v>
      </c>
      <c r="D1285" t="s">
        <v>7113</v>
      </c>
      <c r="E1285">
        <v>7</v>
      </c>
      <c r="F1285" t="s">
        <v>6501</v>
      </c>
      <c r="G1285" t="s">
        <v>6753</v>
      </c>
      <c r="H1285" t="s">
        <v>6754</v>
      </c>
      <c r="I1285" t="s">
        <v>6755</v>
      </c>
      <c r="J1285" t="s">
        <v>6756</v>
      </c>
      <c r="K1285" t="s">
        <v>6757</v>
      </c>
      <c r="L1285" t="s">
        <v>7114</v>
      </c>
      <c r="M1285">
        <v>1015.961608886719</v>
      </c>
      <c r="N1285" t="s">
        <v>53</v>
      </c>
      <c r="O1285" t="s">
        <v>53</v>
      </c>
      <c r="P1285" t="s">
        <v>53</v>
      </c>
      <c r="Q1285" t="s">
        <v>54</v>
      </c>
      <c r="R1285" t="s">
        <v>53</v>
      </c>
      <c r="S1285" t="s">
        <v>6758</v>
      </c>
      <c r="T1285" t="s">
        <v>6758</v>
      </c>
      <c r="U1285" t="s">
        <v>53</v>
      </c>
      <c r="V1285" t="s">
        <v>1973</v>
      </c>
      <c r="W1285">
        <v>100000</v>
      </c>
      <c r="X1285" t="s">
        <v>53</v>
      </c>
      <c r="Y1285" t="s">
        <v>6509</v>
      </c>
      <c r="Z1285">
        <v>0</v>
      </c>
      <c r="AA1285">
        <v>438</v>
      </c>
      <c r="AB1285">
        <v>208</v>
      </c>
      <c r="AC1285">
        <v>932</v>
      </c>
      <c r="AD1285">
        <v>624</v>
      </c>
      <c r="AE1285">
        <v>932</v>
      </c>
      <c r="AF1285">
        <v>3</v>
      </c>
      <c r="AG1285">
        <v>24</v>
      </c>
      <c r="AH1285">
        <v>612.3271484375</v>
      </c>
      <c r="AI1285">
        <v>0</v>
      </c>
      <c r="AJ1285">
        <v>46012.81640625</v>
      </c>
      <c r="AK1285" t="s">
        <v>53</v>
      </c>
      <c r="AL1285" t="s">
        <v>53</v>
      </c>
      <c r="AM1285" t="s">
        <v>6509</v>
      </c>
      <c r="AQ1285" t="s">
        <v>54</v>
      </c>
      <c r="AR1285" t="s">
        <v>6509</v>
      </c>
      <c r="AT1285" t="s">
        <v>6511</v>
      </c>
      <c r="AV1285" t="s">
        <v>6509</v>
      </c>
      <c r="AW1285" t="s">
        <v>53</v>
      </c>
      <c r="AX1285" t="s">
        <v>6509</v>
      </c>
      <c r="AZ1285" t="s">
        <v>54</v>
      </c>
      <c r="BA1285" t="s">
        <v>6512</v>
      </c>
    </row>
    <row r="1286" spans="1:53" x14ac:dyDescent="0.25">
      <c r="A1286">
        <v>1281</v>
      </c>
      <c r="B1286" t="s">
        <v>7169</v>
      </c>
      <c r="C1286" t="s">
        <v>7170</v>
      </c>
      <c r="D1286" t="s">
        <v>7113</v>
      </c>
      <c r="E1286">
        <v>7</v>
      </c>
      <c r="F1286" t="s">
        <v>6501</v>
      </c>
      <c r="G1286" t="s">
        <v>3001</v>
      </c>
      <c r="H1286" t="s">
        <v>7171</v>
      </c>
      <c r="I1286" t="s">
        <v>7172</v>
      </c>
      <c r="J1286" t="s">
        <v>7173</v>
      </c>
      <c r="K1286" t="s">
        <v>7174</v>
      </c>
      <c r="L1286" t="s">
        <v>7114</v>
      </c>
      <c r="M1286">
        <v>995.79730224609375</v>
      </c>
      <c r="N1286" t="s">
        <v>54</v>
      </c>
      <c r="O1286" t="s">
        <v>53</v>
      </c>
      <c r="P1286" t="s">
        <v>53</v>
      </c>
      <c r="Q1286" t="s">
        <v>54</v>
      </c>
      <c r="R1286" t="s">
        <v>53</v>
      </c>
      <c r="S1286" t="s">
        <v>3006</v>
      </c>
      <c r="T1286" t="s">
        <v>3006</v>
      </c>
      <c r="U1286" t="s">
        <v>53</v>
      </c>
      <c r="V1286" t="s">
        <v>1973</v>
      </c>
      <c r="W1286">
        <v>100000</v>
      </c>
      <c r="X1286" t="s">
        <v>53</v>
      </c>
      <c r="Y1286" t="s">
        <v>6509</v>
      </c>
      <c r="Z1286">
        <v>0</v>
      </c>
      <c r="AA1286">
        <v>1318</v>
      </c>
      <c r="AB1286">
        <v>824</v>
      </c>
      <c r="AC1286">
        <v>3089</v>
      </c>
      <c r="AD1286">
        <v>2509</v>
      </c>
      <c r="AE1286">
        <v>3089</v>
      </c>
      <c r="AF1286">
        <v>0</v>
      </c>
      <c r="AG1286">
        <v>6</v>
      </c>
      <c r="AH1286">
        <v>221.6094055175781</v>
      </c>
      <c r="AI1286">
        <v>0</v>
      </c>
      <c r="AJ1286">
        <v>59708.40625</v>
      </c>
      <c r="AK1286" t="s">
        <v>53</v>
      </c>
      <c r="AL1286" t="s">
        <v>53</v>
      </c>
      <c r="AM1286" t="s">
        <v>6509</v>
      </c>
      <c r="AQ1286" t="s">
        <v>54</v>
      </c>
      <c r="AR1286" t="s">
        <v>6509</v>
      </c>
      <c r="AT1286" t="s">
        <v>6511</v>
      </c>
      <c r="AV1286" t="s">
        <v>6509</v>
      </c>
      <c r="AW1286" t="s">
        <v>53</v>
      </c>
      <c r="AX1286" t="s">
        <v>6509</v>
      </c>
      <c r="AZ1286" t="s">
        <v>54</v>
      </c>
      <c r="BA1286" t="s">
        <v>6512</v>
      </c>
    </row>
    <row r="1287" spans="1:53" x14ac:dyDescent="0.25">
      <c r="A1287">
        <v>1282</v>
      </c>
      <c r="B1287" t="s">
        <v>7175</v>
      </c>
      <c r="C1287" t="s">
        <v>7176</v>
      </c>
      <c r="D1287" t="s">
        <v>7113</v>
      </c>
      <c r="E1287">
        <v>7</v>
      </c>
      <c r="F1287" t="s">
        <v>6501</v>
      </c>
      <c r="G1287" t="s">
        <v>2478</v>
      </c>
      <c r="H1287" t="s">
        <v>6745</v>
      </c>
      <c r="I1287" t="s">
        <v>6746</v>
      </c>
      <c r="J1287" t="s">
        <v>6747</v>
      </c>
      <c r="K1287" t="s">
        <v>6748</v>
      </c>
      <c r="L1287" t="s">
        <v>7114</v>
      </c>
      <c r="M1287">
        <v>406.96072387695313</v>
      </c>
      <c r="N1287" t="s">
        <v>54</v>
      </c>
      <c r="O1287" t="s">
        <v>53</v>
      </c>
      <c r="P1287" t="s">
        <v>53</v>
      </c>
      <c r="Q1287" t="s">
        <v>54</v>
      </c>
      <c r="R1287" t="s">
        <v>53</v>
      </c>
      <c r="S1287" t="s">
        <v>2483</v>
      </c>
      <c r="T1287" t="s">
        <v>2483</v>
      </c>
      <c r="U1287" t="s">
        <v>53</v>
      </c>
      <c r="V1287" t="s">
        <v>1973</v>
      </c>
      <c r="W1287">
        <v>100000</v>
      </c>
      <c r="X1287" t="s">
        <v>53</v>
      </c>
      <c r="Y1287" t="s">
        <v>6509</v>
      </c>
      <c r="Z1287">
        <v>0</v>
      </c>
      <c r="AA1287">
        <v>116</v>
      </c>
      <c r="AB1287">
        <v>14</v>
      </c>
      <c r="AC1287">
        <v>68</v>
      </c>
      <c r="AD1287">
        <v>99</v>
      </c>
      <c r="AE1287">
        <v>99</v>
      </c>
      <c r="AF1287">
        <v>0</v>
      </c>
      <c r="AG1287">
        <v>4</v>
      </c>
      <c r="AH1287">
        <v>254.519775390625</v>
      </c>
      <c r="AI1287">
        <v>0</v>
      </c>
      <c r="AJ1287">
        <v>28586.623046875</v>
      </c>
      <c r="AK1287" t="s">
        <v>53</v>
      </c>
      <c r="AL1287" t="s">
        <v>53</v>
      </c>
      <c r="AM1287" t="s">
        <v>6509</v>
      </c>
      <c r="AQ1287" t="s">
        <v>54</v>
      </c>
      <c r="AR1287" t="s">
        <v>6509</v>
      </c>
      <c r="AT1287" t="s">
        <v>6511</v>
      </c>
      <c r="AV1287" t="s">
        <v>6509</v>
      </c>
      <c r="AW1287" t="s">
        <v>53</v>
      </c>
      <c r="AX1287" t="s">
        <v>6509</v>
      </c>
      <c r="AZ1287" t="s">
        <v>54</v>
      </c>
      <c r="BA1287" t="s">
        <v>6512</v>
      </c>
    </row>
    <row r="1288" spans="1:53" x14ac:dyDescent="0.25">
      <c r="A1288">
        <v>1283</v>
      </c>
      <c r="B1288" t="s">
        <v>7177</v>
      </c>
      <c r="C1288" t="s">
        <v>7178</v>
      </c>
      <c r="D1288" t="s">
        <v>7113</v>
      </c>
      <c r="E1288">
        <v>7</v>
      </c>
      <c r="F1288" t="s">
        <v>6501</v>
      </c>
      <c r="G1288" t="s">
        <v>6521</v>
      </c>
      <c r="H1288" t="s">
        <v>6522</v>
      </c>
      <c r="I1288" t="s">
        <v>6523</v>
      </c>
      <c r="J1288" t="s">
        <v>7179</v>
      </c>
      <c r="K1288" t="s">
        <v>6525</v>
      </c>
      <c r="L1288" t="s">
        <v>7114</v>
      </c>
      <c r="M1288">
        <v>932.88201904296875</v>
      </c>
      <c r="N1288" t="s">
        <v>54</v>
      </c>
      <c r="O1288" t="s">
        <v>53</v>
      </c>
      <c r="P1288" t="s">
        <v>53</v>
      </c>
      <c r="Q1288" t="s">
        <v>53</v>
      </c>
      <c r="R1288" t="s">
        <v>53</v>
      </c>
      <c r="S1288" t="s">
        <v>6526</v>
      </c>
      <c r="T1288" t="s">
        <v>6526</v>
      </c>
      <c r="U1288" t="s">
        <v>53</v>
      </c>
      <c r="V1288" t="s">
        <v>1973</v>
      </c>
      <c r="W1288">
        <v>100000</v>
      </c>
      <c r="X1288" t="s">
        <v>53</v>
      </c>
      <c r="Y1288" t="s">
        <v>6509</v>
      </c>
      <c r="Z1288">
        <v>0</v>
      </c>
      <c r="AA1288">
        <v>1145</v>
      </c>
      <c r="AB1288">
        <v>499</v>
      </c>
      <c r="AC1288">
        <v>1118</v>
      </c>
      <c r="AD1288">
        <v>1103</v>
      </c>
      <c r="AE1288">
        <v>1118</v>
      </c>
      <c r="AF1288">
        <v>2</v>
      </c>
      <c r="AG1288">
        <v>8</v>
      </c>
      <c r="AH1288">
        <v>189.04887390136719</v>
      </c>
      <c r="AI1288">
        <v>0</v>
      </c>
      <c r="AJ1288">
        <v>47148.859375</v>
      </c>
      <c r="AK1288" t="s">
        <v>53</v>
      </c>
      <c r="AL1288" t="s">
        <v>53</v>
      </c>
      <c r="AM1288" t="s">
        <v>6509</v>
      </c>
      <c r="AQ1288" t="s">
        <v>54</v>
      </c>
      <c r="AR1288" t="s">
        <v>6509</v>
      </c>
      <c r="AT1288" t="s">
        <v>6511</v>
      </c>
      <c r="AV1288" t="s">
        <v>6509</v>
      </c>
      <c r="AW1288" t="s">
        <v>53</v>
      </c>
      <c r="AX1288" t="s">
        <v>6509</v>
      </c>
      <c r="AZ1288" t="s">
        <v>54</v>
      </c>
      <c r="BA1288" t="s">
        <v>6512</v>
      </c>
    </row>
    <row r="1289" spans="1:53" x14ac:dyDescent="0.25">
      <c r="A1289">
        <v>1284</v>
      </c>
      <c r="B1289" t="s">
        <v>7180</v>
      </c>
      <c r="C1289" t="s">
        <v>7181</v>
      </c>
      <c r="D1289" t="s">
        <v>7113</v>
      </c>
      <c r="E1289">
        <v>7</v>
      </c>
      <c r="F1289" t="s">
        <v>6501</v>
      </c>
      <c r="G1289" t="s">
        <v>6715</v>
      </c>
      <c r="H1289" t="s">
        <v>6716</v>
      </c>
      <c r="I1289" t="s">
        <v>6717</v>
      </c>
      <c r="J1289" t="s">
        <v>6718</v>
      </c>
      <c r="K1289" t="s">
        <v>6719</v>
      </c>
      <c r="L1289" t="s">
        <v>7114</v>
      </c>
      <c r="M1289">
        <v>407.85293579101563</v>
      </c>
      <c r="N1289" t="s">
        <v>54</v>
      </c>
      <c r="O1289" t="s">
        <v>53</v>
      </c>
      <c r="P1289" t="s">
        <v>53</v>
      </c>
      <c r="Q1289" t="s">
        <v>53</v>
      </c>
      <c r="R1289" t="s">
        <v>53</v>
      </c>
      <c r="S1289" t="s">
        <v>4029</v>
      </c>
      <c r="T1289" t="s">
        <v>4029</v>
      </c>
      <c r="U1289" t="s">
        <v>53</v>
      </c>
      <c r="V1289" t="s">
        <v>1973</v>
      </c>
      <c r="W1289">
        <v>100000</v>
      </c>
      <c r="X1289" t="s">
        <v>53</v>
      </c>
      <c r="Y1289" t="s">
        <v>6509</v>
      </c>
      <c r="Z1289">
        <v>0</v>
      </c>
      <c r="AA1289">
        <v>190</v>
      </c>
      <c r="AB1289">
        <v>28</v>
      </c>
      <c r="AC1289">
        <v>60</v>
      </c>
      <c r="AD1289">
        <v>128</v>
      </c>
      <c r="AE1289">
        <v>128</v>
      </c>
      <c r="AF1289">
        <v>0</v>
      </c>
      <c r="AG1289">
        <v>1</v>
      </c>
      <c r="AH1289">
        <v>53.131050109863281</v>
      </c>
      <c r="AI1289">
        <v>0</v>
      </c>
      <c r="AJ1289">
        <v>25847.232421875</v>
      </c>
      <c r="AK1289" t="s">
        <v>53</v>
      </c>
      <c r="AL1289" t="s">
        <v>53</v>
      </c>
      <c r="AM1289" t="s">
        <v>6509</v>
      </c>
      <c r="AQ1289" t="s">
        <v>54</v>
      </c>
      <c r="AR1289" t="s">
        <v>6509</v>
      </c>
      <c r="AT1289" t="s">
        <v>6511</v>
      </c>
      <c r="AV1289" t="s">
        <v>6509</v>
      </c>
      <c r="AW1289" t="s">
        <v>53</v>
      </c>
      <c r="AX1289" t="s">
        <v>6509</v>
      </c>
      <c r="AZ1289" t="s">
        <v>54</v>
      </c>
      <c r="BA1289" t="s">
        <v>6512</v>
      </c>
    </row>
    <row r="1290" spans="1:53" x14ac:dyDescent="0.25">
      <c r="A1290">
        <v>1285</v>
      </c>
      <c r="B1290" t="s">
        <v>7182</v>
      </c>
      <c r="C1290" t="s">
        <v>7183</v>
      </c>
      <c r="D1290" t="s">
        <v>7113</v>
      </c>
      <c r="E1290">
        <v>7</v>
      </c>
      <c r="F1290" t="s">
        <v>6501</v>
      </c>
      <c r="G1290" t="s">
        <v>6600</v>
      </c>
      <c r="H1290" t="s">
        <v>6601</v>
      </c>
      <c r="I1290" t="s">
        <v>6602</v>
      </c>
      <c r="J1290" t="s">
        <v>6608</v>
      </c>
      <c r="K1290" t="s">
        <v>6604</v>
      </c>
      <c r="L1290" t="s">
        <v>7114</v>
      </c>
      <c r="M1290">
        <v>125.24267578125</v>
      </c>
      <c r="N1290" t="s">
        <v>54</v>
      </c>
      <c r="O1290" t="s">
        <v>53</v>
      </c>
      <c r="P1290" t="s">
        <v>53</v>
      </c>
      <c r="Q1290" t="s">
        <v>53</v>
      </c>
      <c r="R1290" t="s">
        <v>53</v>
      </c>
      <c r="S1290" t="s">
        <v>6605</v>
      </c>
      <c r="T1290" t="s">
        <v>6605</v>
      </c>
      <c r="U1290" t="s">
        <v>53</v>
      </c>
      <c r="V1290" t="s">
        <v>1973</v>
      </c>
      <c r="W1290">
        <v>100000</v>
      </c>
      <c r="X1290" t="s">
        <v>53</v>
      </c>
      <c r="Y1290" t="s">
        <v>6509</v>
      </c>
      <c r="Z1290">
        <v>0</v>
      </c>
      <c r="AA1290">
        <v>116</v>
      </c>
      <c r="AB1290">
        <v>13</v>
      </c>
      <c r="AC1290">
        <v>135</v>
      </c>
      <c r="AD1290">
        <v>38</v>
      </c>
      <c r="AE1290">
        <v>135</v>
      </c>
      <c r="AF1290">
        <v>0</v>
      </c>
      <c r="AG1290">
        <v>2</v>
      </c>
      <c r="AH1290">
        <v>11.72664737701416</v>
      </c>
      <c r="AI1290">
        <v>0</v>
      </c>
      <c r="AJ1290">
        <v>325.32382202148438</v>
      </c>
      <c r="AK1290" t="s">
        <v>53</v>
      </c>
      <c r="AL1290" t="s">
        <v>53</v>
      </c>
      <c r="AM1290" t="s">
        <v>6509</v>
      </c>
      <c r="AQ1290" t="s">
        <v>54</v>
      </c>
      <c r="AR1290" t="s">
        <v>6509</v>
      </c>
      <c r="AT1290" t="s">
        <v>6511</v>
      </c>
      <c r="AV1290" t="s">
        <v>6509</v>
      </c>
      <c r="AW1290" t="s">
        <v>53</v>
      </c>
      <c r="AX1290" t="s">
        <v>6509</v>
      </c>
      <c r="AZ1290" t="s">
        <v>54</v>
      </c>
      <c r="BA1290" t="s">
        <v>6512</v>
      </c>
    </row>
    <row r="1291" spans="1:53" x14ac:dyDescent="0.25">
      <c r="A1291">
        <v>1286</v>
      </c>
      <c r="B1291" t="s">
        <v>7184</v>
      </c>
      <c r="C1291" t="s">
        <v>7185</v>
      </c>
      <c r="D1291" t="s">
        <v>7186</v>
      </c>
      <c r="E1291">
        <v>7</v>
      </c>
      <c r="F1291" t="s">
        <v>6501</v>
      </c>
      <c r="G1291" t="s">
        <v>6643</v>
      </c>
      <c r="H1291" t="s">
        <v>6644</v>
      </c>
      <c r="I1291" t="s">
        <v>6645</v>
      </c>
      <c r="J1291" t="s">
        <v>6646</v>
      </c>
      <c r="K1291" t="s">
        <v>6647</v>
      </c>
      <c r="L1291" t="s">
        <v>7118</v>
      </c>
      <c r="M1291">
        <v>924.743408203125</v>
      </c>
      <c r="N1291" t="s">
        <v>54</v>
      </c>
      <c r="O1291" t="s">
        <v>53</v>
      </c>
      <c r="P1291" t="s">
        <v>53</v>
      </c>
      <c r="Q1291" t="s">
        <v>53</v>
      </c>
      <c r="R1291" t="s">
        <v>53</v>
      </c>
      <c r="S1291" t="s">
        <v>6648</v>
      </c>
      <c r="T1291" t="s">
        <v>6648</v>
      </c>
      <c r="U1291" t="s">
        <v>53</v>
      </c>
      <c r="V1291" t="s">
        <v>51</v>
      </c>
      <c r="W1291">
        <v>500000</v>
      </c>
      <c r="X1291" t="s">
        <v>53</v>
      </c>
      <c r="Y1291" t="s">
        <v>6509</v>
      </c>
      <c r="Z1291">
        <v>0</v>
      </c>
      <c r="AA1291">
        <v>67</v>
      </c>
      <c r="AB1291">
        <v>11</v>
      </c>
      <c r="AC1291">
        <v>12</v>
      </c>
      <c r="AD1291">
        <v>12</v>
      </c>
      <c r="AE1291">
        <v>12</v>
      </c>
      <c r="AF1291">
        <v>0</v>
      </c>
      <c r="AG1291">
        <v>6</v>
      </c>
      <c r="AH1291">
        <v>49.345817565917969</v>
      </c>
      <c r="AI1291">
        <v>0</v>
      </c>
      <c r="AJ1291">
        <v>6456.623046875</v>
      </c>
      <c r="AK1291" t="s">
        <v>53</v>
      </c>
      <c r="AL1291" t="s">
        <v>53</v>
      </c>
      <c r="AM1291" t="s">
        <v>6509</v>
      </c>
      <c r="AQ1291" t="s">
        <v>54</v>
      </c>
      <c r="AR1291" t="s">
        <v>6509</v>
      </c>
      <c r="AT1291" t="s">
        <v>6511</v>
      </c>
      <c r="AV1291" t="s">
        <v>6509</v>
      </c>
      <c r="AW1291" t="s">
        <v>53</v>
      </c>
      <c r="AX1291" t="s">
        <v>6509</v>
      </c>
      <c r="AZ1291" t="s">
        <v>54</v>
      </c>
      <c r="BA1291" t="s">
        <v>6512</v>
      </c>
    </row>
    <row r="1292" spans="1:53" x14ac:dyDescent="0.25">
      <c r="A1292">
        <v>1287</v>
      </c>
      <c r="B1292" t="s">
        <v>7187</v>
      </c>
      <c r="C1292" t="s">
        <v>7188</v>
      </c>
      <c r="D1292" t="s">
        <v>7113</v>
      </c>
      <c r="E1292">
        <v>7</v>
      </c>
      <c r="F1292" t="s">
        <v>6501</v>
      </c>
      <c r="G1292" t="s">
        <v>6643</v>
      </c>
      <c r="H1292" t="s">
        <v>6644</v>
      </c>
      <c r="I1292" t="s">
        <v>6645</v>
      </c>
      <c r="J1292" t="s">
        <v>6646</v>
      </c>
      <c r="K1292" t="s">
        <v>6647</v>
      </c>
      <c r="L1292" t="s">
        <v>7114</v>
      </c>
      <c r="M1292">
        <v>924.743408203125</v>
      </c>
      <c r="N1292" t="s">
        <v>54</v>
      </c>
      <c r="O1292" t="s">
        <v>53</v>
      </c>
      <c r="P1292" t="s">
        <v>53</v>
      </c>
      <c r="Q1292" t="s">
        <v>53</v>
      </c>
      <c r="R1292" t="s">
        <v>53</v>
      </c>
      <c r="S1292" t="s">
        <v>6648</v>
      </c>
      <c r="T1292" t="s">
        <v>6648</v>
      </c>
      <c r="U1292" t="s">
        <v>53</v>
      </c>
      <c r="V1292" t="s">
        <v>1973</v>
      </c>
      <c r="W1292">
        <v>100000</v>
      </c>
      <c r="X1292" t="s">
        <v>53</v>
      </c>
      <c r="Y1292" t="s">
        <v>6509</v>
      </c>
      <c r="Z1292">
        <v>0</v>
      </c>
      <c r="AA1292">
        <v>67</v>
      </c>
      <c r="AB1292">
        <v>11</v>
      </c>
      <c r="AC1292">
        <v>12</v>
      </c>
      <c r="AD1292">
        <v>12</v>
      </c>
      <c r="AE1292">
        <v>12</v>
      </c>
      <c r="AF1292">
        <v>0</v>
      </c>
      <c r="AG1292">
        <v>6</v>
      </c>
      <c r="AH1292">
        <v>49.345817565917969</v>
      </c>
      <c r="AI1292">
        <v>0</v>
      </c>
      <c r="AJ1292">
        <v>6456.623046875</v>
      </c>
      <c r="AK1292" t="s">
        <v>53</v>
      </c>
      <c r="AL1292" t="s">
        <v>53</v>
      </c>
      <c r="AM1292" t="s">
        <v>6509</v>
      </c>
      <c r="AQ1292" t="s">
        <v>54</v>
      </c>
      <c r="AR1292" t="s">
        <v>6509</v>
      </c>
      <c r="AT1292" t="s">
        <v>6511</v>
      </c>
      <c r="AV1292" t="s">
        <v>6509</v>
      </c>
      <c r="AW1292" t="s">
        <v>53</v>
      </c>
      <c r="AX1292" t="s">
        <v>6509</v>
      </c>
      <c r="AZ1292" t="s">
        <v>54</v>
      </c>
      <c r="BA1292" t="s">
        <v>6512</v>
      </c>
    </row>
    <row r="1293" spans="1:53" x14ac:dyDescent="0.25">
      <c r="A1293">
        <v>1288</v>
      </c>
      <c r="B1293" t="s">
        <v>7189</v>
      </c>
      <c r="C1293" t="s">
        <v>7190</v>
      </c>
      <c r="D1293" t="s">
        <v>7127</v>
      </c>
      <c r="E1293">
        <v>7</v>
      </c>
      <c r="F1293" t="s">
        <v>6501</v>
      </c>
      <c r="G1293" t="s">
        <v>6529</v>
      </c>
      <c r="H1293" t="s">
        <v>6530</v>
      </c>
      <c r="I1293" t="s">
        <v>6531</v>
      </c>
      <c r="J1293" t="s">
        <v>6532</v>
      </c>
      <c r="K1293" t="s">
        <v>6533</v>
      </c>
      <c r="L1293" t="s">
        <v>7118</v>
      </c>
      <c r="M1293">
        <v>561.27685546875</v>
      </c>
      <c r="N1293" t="s">
        <v>54</v>
      </c>
      <c r="O1293" t="s">
        <v>53</v>
      </c>
      <c r="P1293" t="s">
        <v>53</v>
      </c>
      <c r="Q1293" t="s">
        <v>53</v>
      </c>
      <c r="R1293" t="s">
        <v>53</v>
      </c>
      <c r="S1293" t="s">
        <v>6534</v>
      </c>
      <c r="T1293" t="s">
        <v>6534</v>
      </c>
      <c r="U1293" t="s">
        <v>53</v>
      </c>
      <c r="V1293" t="s">
        <v>51</v>
      </c>
      <c r="W1293">
        <v>1000000</v>
      </c>
      <c r="X1293" t="s">
        <v>53</v>
      </c>
      <c r="Y1293" t="s">
        <v>6509</v>
      </c>
      <c r="Z1293">
        <v>0</v>
      </c>
      <c r="AA1293">
        <v>657</v>
      </c>
      <c r="AB1293">
        <v>99</v>
      </c>
      <c r="AC1293">
        <v>510</v>
      </c>
      <c r="AD1293">
        <v>709</v>
      </c>
      <c r="AE1293">
        <v>709</v>
      </c>
      <c r="AF1293">
        <v>1</v>
      </c>
      <c r="AG1293">
        <v>2</v>
      </c>
      <c r="AH1293">
        <v>64.184860229492188</v>
      </c>
      <c r="AI1293">
        <v>0</v>
      </c>
      <c r="AJ1293">
        <v>28369.01171875</v>
      </c>
      <c r="AK1293" t="s">
        <v>53</v>
      </c>
      <c r="AL1293" t="s">
        <v>53</v>
      </c>
      <c r="AM1293" t="s">
        <v>6509</v>
      </c>
      <c r="AQ1293" t="s">
        <v>54</v>
      </c>
      <c r="AR1293" t="s">
        <v>6509</v>
      </c>
      <c r="AT1293" t="s">
        <v>6511</v>
      </c>
      <c r="AV1293" t="s">
        <v>6509</v>
      </c>
      <c r="AW1293" t="s">
        <v>53</v>
      </c>
      <c r="AX1293" t="s">
        <v>6509</v>
      </c>
      <c r="AZ1293" t="s">
        <v>54</v>
      </c>
      <c r="BA1293" t="s">
        <v>6512</v>
      </c>
    </row>
    <row r="1294" spans="1:53" x14ac:dyDescent="0.25">
      <c r="A1294">
        <v>1289</v>
      </c>
      <c r="B1294" t="s">
        <v>7191</v>
      </c>
      <c r="C1294" t="s">
        <v>7192</v>
      </c>
      <c r="D1294" t="s">
        <v>7113</v>
      </c>
      <c r="E1294">
        <v>7</v>
      </c>
      <c r="F1294" t="s">
        <v>6501</v>
      </c>
      <c r="G1294" t="s">
        <v>6529</v>
      </c>
      <c r="H1294" t="s">
        <v>6530</v>
      </c>
      <c r="I1294" t="s">
        <v>6531</v>
      </c>
      <c r="J1294" t="s">
        <v>6532</v>
      </c>
      <c r="K1294" t="s">
        <v>6533</v>
      </c>
      <c r="L1294" t="s">
        <v>7114</v>
      </c>
      <c r="M1294">
        <v>561.27685546875</v>
      </c>
      <c r="N1294" t="s">
        <v>54</v>
      </c>
      <c r="O1294" t="s">
        <v>53</v>
      </c>
      <c r="P1294" t="s">
        <v>53</v>
      </c>
      <c r="Q1294" t="s">
        <v>53</v>
      </c>
      <c r="R1294" t="s">
        <v>53</v>
      </c>
      <c r="S1294" t="s">
        <v>6534</v>
      </c>
      <c r="T1294" t="s">
        <v>6534</v>
      </c>
      <c r="U1294" t="s">
        <v>53</v>
      </c>
      <c r="V1294" t="s">
        <v>1973</v>
      </c>
      <c r="W1294">
        <v>100000</v>
      </c>
      <c r="X1294" t="s">
        <v>53</v>
      </c>
      <c r="Y1294" t="s">
        <v>6509</v>
      </c>
      <c r="Z1294">
        <v>0</v>
      </c>
      <c r="AA1294">
        <v>657</v>
      </c>
      <c r="AB1294">
        <v>99</v>
      </c>
      <c r="AC1294">
        <v>510</v>
      </c>
      <c r="AD1294">
        <v>709</v>
      </c>
      <c r="AE1294">
        <v>709</v>
      </c>
      <c r="AF1294">
        <v>1</v>
      </c>
      <c r="AG1294">
        <v>2</v>
      </c>
      <c r="AH1294">
        <v>64.184860229492188</v>
      </c>
      <c r="AI1294">
        <v>0</v>
      </c>
      <c r="AJ1294">
        <v>28369.01171875</v>
      </c>
      <c r="AK1294" t="s">
        <v>53</v>
      </c>
      <c r="AL1294" t="s">
        <v>53</v>
      </c>
      <c r="AM1294" t="s">
        <v>6509</v>
      </c>
      <c r="AQ1294" t="s">
        <v>54</v>
      </c>
      <c r="AR1294" t="s">
        <v>6509</v>
      </c>
      <c r="AT1294" t="s">
        <v>6511</v>
      </c>
      <c r="AV1294" t="s">
        <v>6509</v>
      </c>
      <c r="AW1294" t="s">
        <v>53</v>
      </c>
      <c r="AX1294" t="s">
        <v>6509</v>
      </c>
      <c r="AZ1294" t="s">
        <v>54</v>
      </c>
      <c r="BA1294" t="s">
        <v>6512</v>
      </c>
    </row>
    <row r="1295" spans="1:53" x14ac:dyDescent="0.25">
      <c r="A1295">
        <v>1290</v>
      </c>
      <c r="B1295" t="s">
        <v>7193</v>
      </c>
      <c r="C1295" t="s">
        <v>7194</v>
      </c>
      <c r="D1295" t="s">
        <v>7195</v>
      </c>
      <c r="E1295">
        <v>7</v>
      </c>
      <c r="F1295" t="s">
        <v>6501</v>
      </c>
      <c r="G1295" t="s">
        <v>6529</v>
      </c>
      <c r="H1295" t="s">
        <v>6530</v>
      </c>
      <c r="I1295" t="s">
        <v>6531</v>
      </c>
      <c r="J1295" t="s">
        <v>6532</v>
      </c>
      <c r="K1295" t="s">
        <v>6533</v>
      </c>
      <c r="L1295" t="s">
        <v>7118</v>
      </c>
      <c r="M1295">
        <v>561.27685546875</v>
      </c>
      <c r="N1295" t="s">
        <v>54</v>
      </c>
      <c r="O1295" t="s">
        <v>53</v>
      </c>
      <c r="P1295" t="s">
        <v>53</v>
      </c>
      <c r="Q1295" t="s">
        <v>53</v>
      </c>
      <c r="R1295" t="s">
        <v>53</v>
      </c>
      <c r="S1295" t="s">
        <v>6534</v>
      </c>
      <c r="T1295" t="s">
        <v>6534</v>
      </c>
      <c r="U1295" t="s">
        <v>53</v>
      </c>
      <c r="V1295" t="s">
        <v>51</v>
      </c>
      <c r="W1295">
        <v>100000</v>
      </c>
      <c r="X1295" t="s">
        <v>53</v>
      </c>
      <c r="Y1295" t="s">
        <v>6509</v>
      </c>
      <c r="Z1295">
        <v>0</v>
      </c>
      <c r="AA1295">
        <v>657</v>
      </c>
      <c r="AB1295">
        <v>99</v>
      </c>
      <c r="AC1295">
        <v>510</v>
      </c>
      <c r="AD1295">
        <v>709</v>
      </c>
      <c r="AE1295">
        <v>709</v>
      </c>
      <c r="AF1295">
        <v>1</v>
      </c>
      <c r="AG1295">
        <v>2</v>
      </c>
      <c r="AH1295">
        <v>64.184860229492188</v>
      </c>
      <c r="AI1295">
        <v>0</v>
      </c>
      <c r="AJ1295">
        <v>28369.01171875</v>
      </c>
      <c r="AK1295" t="s">
        <v>53</v>
      </c>
      <c r="AL1295" t="s">
        <v>53</v>
      </c>
      <c r="AM1295" t="s">
        <v>6509</v>
      </c>
      <c r="AQ1295" t="s">
        <v>54</v>
      </c>
      <c r="AR1295" t="s">
        <v>6509</v>
      </c>
      <c r="AT1295" t="s">
        <v>6511</v>
      </c>
      <c r="AV1295" t="s">
        <v>6509</v>
      </c>
      <c r="AW1295" t="s">
        <v>53</v>
      </c>
      <c r="AX1295" t="s">
        <v>6509</v>
      </c>
      <c r="AZ1295" t="s">
        <v>54</v>
      </c>
      <c r="BA1295" t="s">
        <v>6512</v>
      </c>
    </row>
    <row r="1296" spans="1:53" x14ac:dyDescent="0.25">
      <c r="A1296">
        <v>1291</v>
      </c>
      <c r="B1296" t="s">
        <v>7196</v>
      </c>
      <c r="C1296" t="s">
        <v>7197</v>
      </c>
      <c r="D1296" t="s">
        <v>7186</v>
      </c>
      <c r="E1296">
        <v>7</v>
      </c>
      <c r="F1296" t="s">
        <v>6501</v>
      </c>
      <c r="G1296" t="s">
        <v>6529</v>
      </c>
      <c r="H1296" t="s">
        <v>6530</v>
      </c>
      <c r="I1296" t="s">
        <v>6531</v>
      </c>
      <c r="J1296" t="s">
        <v>6532</v>
      </c>
      <c r="K1296" t="s">
        <v>6533</v>
      </c>
      <c r="L1296" t="s">
        <v>7118</v>
      </c>
      <c r="M1296">
        <v>561.27685546875</v>
      </c>
      <c r="N1296" t="s">
        <v>54</v>
      </c>
      <c r="O1296" t="s">
        <v>53</v>
      </c>
      <c r="P1296" t="s">
        <v>53</v>
      </c>
      <c r="Q1296" t="s">
        <v>53</v>
      </c>
      <c r="R1296" t="s">
        <v>53</v>
      </c>
      <c r="S1296" t="s">
        <v>6534</v>
      </c>
      <c r="T1296" t="s">
        <v>6534</v>
      </c>
      <c r="U1296" t="s">
        <v>53</v>
      </c>
      <c r="V1296" t="s">
        <v>51</v>
      </c>
      <c r="W1296">
        <v>500000</v>
      </c>
      <c r="X1296" t="s">
        <v>53</v>
      </c>
      <c r="Y1296" t="s">
        <v>6509</v>
      </c>
      <c r="Z1296">
        <v>0</v>
      </c>
      <c r="AA1296">
        <v>657</v>
      </c>
      <c r="AB1296">
        <v>99</v>
      </c>
      <c r="AC1296">
        <v>510</v>
      </c>
      <c r="AD1296">
        <v>709</v>
      </c>
      <c r="AE1296">
        <v>709</v>
      </c>
      <c r="AF1296">
        <v>1</v>
      </c>
      <c r="AG1296">
        <v>2</v>
      </c>
      <c r="AH1296">
        <v>64.184860229492188</v>
      </c>
      <c r="AI1296">
        <v>0</v>
      </c>
      <c r="AJ1296">
        <v>28369.01171875</v>
      </c>
      <c r="AK1296" t="s">
        <v>53</v>
      </c>
      <c r="AL1296" t="s">
        <v>53</v>
      </c>
      <c r="AM1296" t="s">
        <v>6509</v>
      </c>
      <c r="AQ1296" t="s">
        <v>54</v>
      </c>
      <c r="AR1296" t="s">
        <v>6509</v>
      </c>
      <c r="AT1296" t="s">
        <v>6511</v>
      </c>
      <c r="AV1296" t="s">
        <v>6509</v>
      </c>
      <c r="AW1296" t="s">
        <v>53</v>
      </c>
      <c r="AX1296" t="s">
        <v>6509</v>
      </c>
      <c r="AZ1296" t="s">
        <v>54</v>
      </c>
      <c r="BA1296" t="s">
        <v>6512</v>
      </c>
    </row>
    <row r="1297" spans="1:53" x14ac:dyDescent="0.25">
      <c r="A1297">
        <v>1292</v>
      </c>
      <c r="B1297" t="s">
        <v>7198</v>
      </c>
      <c r="C1297" t="s">
        <v>7199</v>
      </c>
      <c r="D1297" t="s">
        <v>7113</v>
      </c>
      <c r="E1297">
        <v>7</v>
      </c>
      <c r="F1297" t="s">
        <v>6501</v>
      </c>
      <c r="G1297" t="s">
        <v>6611</v>
      </c>
      <c r="H1297" t="s">
        <v>6612</v>
      </c>
      <c r="I1297" t="s">
        <v>6613</v>
      </c>
      <c r="J1297" t="s">
        <v>6614</v>
      </c>
      <c r="K1297" t="s">
        <v>6615</v>
      </c>
      <c r="L1297" t="s">
        <v>7114</v>
      </c>
      <c r="M1297">
        <v>611.5341796875</v>
      </c>
      <c r="N1297" t="s">
        <v>54</v>
      </c>
      <c r="O1297" t="s">
        <v>53</v>
      </c>
      <c r="P1297" t="s">
        <v>53</v>
      </c>
      <c r="Q1297" t="s">
        <v>53</v>
      </c>
      <c r="R1297" t="s">
        <v>53</v>
      </c>
      <c r="S1297" t="s">
        <v>6616</v>
      </c>
      <c r="T1297" t="s">
        <v>6616</v>
      </c>
      <c r="U1297" t="s">
        <v>53</v>
      </c>
      <c r="V1297" t="s">
        <v>1973</v>
      </c>
      <c r="W1297">
        <v>100000</v>
      </c>
      <c r="X1297" t="s">
        <v>53</v>
      </c>
      <c r="Y1297" t="s">
        <v>6509</v>
      </c>
      <c r="Z1297">
        <v>0</v>
      </c>
      <c r="AA1297">
        <v>11167</v>
      </c>
      <c r="AB1297">
        <v>9822</v>
      </c>
      <c r="AC1297">
        <v>24575</v>
      </c>
      <c r="AD1297">
        <v>25896</v>
      </c>
      <c r="AE1297">
        <v>25896</v>
      </c>
      <c r="AF1297">
        <v>11</v>
      </c>
      <c r="AG1297">
        <v>72</v>
      </c>
      <c r="AH1297">
        <v>244.58934020996091</v>
      </c>
      <c r="AI1297">
        <v>0</v>
      </c>
      <c r="AJ1297">
        <v>7516.33935546875</v>
      </c>
      <c r="AK1297" t="s">
        <v>53</v>
      </c>
      <c r="AL1297" t="s">
        <v>53</v>
      </c>
      <c r="AM1297" t="s">
        <v>6509</v>
      </c>
      <c r="AQ1297" t="s">
        <v>54</v>
      </c>
      <c r="AR1297" t="s">
        <v>6509</v>
      </c>
      <c r="AT1297" t="s">
        <v>6511</v>
      </c>
      <c r="AV1297" t="s">
        <v>6509</v>
      </c>
      <c r="AW1297" t="s">
        <v>53</v>
      </c>
      <c r="AX1297" t="s">
        <v>6509</v>
      </c>
      <c r="AZ1297" t="s">
        <v>54</v>
      </c>
      <c r="BA1297" t="s">
        <v>6512</v>
      </c>
    </row>
    <row r="1298" spans="1:53" x14ac:dyDescent="0.25">
      <c r="A1298">
        <v>1293</v>
      </c>
      <c r="B1298" t="s">
        <v>7200</v>
      </c>
      <c r="C1298" t="s">
        <v>7201</v>
      </c>
      <c r="D1298" t="s">
        <v>7186</v>
      </c>
      <c r="E1298">
        <v>7</v>
      </c>
      <c r="F1298" t="s">
        <v>6501</v>
      </c>
      <c r="G1298" t="s">
        <v>6611</v>
      </c>
      <c r="H1298" t="s">
        <v>6612</v>
      </c>
      <c r="I1298" t="s">
        <v>6613</v>
      </c>
      <c r="J1298" t="s">
        <v>6614</v>
      </c>
      <c r="K1298" t="s">
        <v>6615</v>
      </c>
      <c r="L1298" t="s">
        <v>7118</v>
      </c>
      <c r="M1298">
        <v>611.5341796875</v>
      </c>
      <c r="N1298" t="s">
        <v>54</v>
      </c>
      <c r="O1298" t="s">
        <v>53</v>
      </c>
      <c r="P1298" t="s">
        <v>53</v>
      </c>
      <c r="Q1298" t="s">
        <v>53</v>
      </c>
      <c r="R1298" t="s">
        <v>53</v>
      </c>
      <c r="S1298" t="s">
        <v>6616</v>
      </c>
      <c r="T1298" t="s">
        <v>6616</v>
      </c>
      <c r="U1298" t="s">
        <v>53</v>
      </c>
      <c r="V1298" t="s">
        <v>51</v>
      </c>
      <c r="W1298">
        <v>500000</v>
      </c>
      <c r="X1298" t="s">
        <v>53</v>
      </c>
      <c r="Y1298" t="s">
        <v>6509</v>
      </c>
      <c r="Z1298">
        <v>0</v>
      </c>
      <c r="AA1298">
        <v>11167</v>
      </c>
      <c r="AB1298">
        <v>9822</v>
      </c>
      <c r="AC1298">
        <v>24575</v>
      </c>
      <c r="AD1298">
        <v>25896</v>
      </c>
      <c r="AE1298">
        <v>25896</v>
      </c>
      <c r="AF1298">
        <v>11</v>
      </c>
      <c r="AG1298">
        <v>72</v>
      </c>
      <c r="AH1298">
        <v>244.58934020996091</v>
      </c>
      <c r="AI1298">
        <v>0</v>
      </c>
      <c r="AJ1298">
        <v>7516.33935546875</v>
      </c>
      <c r="AK1298" t="s">
        <v>53</v>
      </c>
      <c r="AL1298" t="s">
        <v>53</v>
      </c>
      <c r="AM1298" t="s">
        <v>6509</v>
      </c>
      <c r="AQ1298" t="s">
        <v>54</v>
      </c>
      <c r="AR1298" t="s">
        <v>6509</v>
      </c>
      <c r="AT1298" t="s">
        <v>6511</v>
      </c>
      <c r="AV1298" t="s">
        <v>6509</v>
      </c>
      <c r="AW1298" t="s">
        <v>53</v>
      </c>
      <c r="AX1298" t="s">
        <v>6509</v>
      </c>
      <c r="AZ1298" t="s">
        <v>54</v>
      </c>
      <c r="BA1298" t="s">
        <v>6512</v>
      </c>
    </row>
    <row r="1299" spans="1:53" x14ac:dyDescent="0.25">
      <c r="A1299">
        <v>1294</v>
      </c>
      <c r="B1299" t="s">
        <v>7202</v>
      </c>
      <c r="C1299" t="s">
        <v>7203</v>
      </c>
      <c r="D1299" t="s">
        <v>7204</v>
      </c>
      <c r="E1299">
        <v>7</v>
      </c>
      <c r="F1299" t="s">
        <v>6501</v>
      </c>
      <c r="G1299" t="s">
        <v>6611</v>
      </c>
      <c r="H1299" t="s">
        <v>6612</v>
      </c>
      <c r="I1299" t="s">
        <v>6613</v>
      </c>
      <c r="J1299" t="s">
        <v>6614</v>
      </c>
      <c r="K1299" t="s">
        <v>6615</v>
      </c>
      <c r="L1299" t="s">
        <v>7166</v>
      </c>
      <c r="M1299">
        <v>611.5341796875</v>
      </c>
      <c r="N1299" t="s">
        <v>54</v>
      </c>
      <c r="O1299" t="s">
        <v>53</v>
      </c>
      <c r="P1299" t="s">
        <v>53</v>
      </c>
      <c r="Q1299" t="s">
        <v>53</v>
      </c>
      <c r="R1299" t="s">
        <v>53</v>
      </c>
      <c r="S1299" t="s">
        <v>6616</v>
      </c>
      <c r="T1299" t="s">
        <v>6616</v>
      </c>
      <c r="U1299" t="s">
        <v>53</v>
      </c>
      <c r="V1299" t="s">
        <v>1973</v>
      </c>
      <c r="W1299">
        <v>100000</v>
      </c>
      <c r="X1299" t="s">
        <v>53</v>
      </c>
      <c r="Y1299" t="s">
        <v>6509</v>
      </c>
      <c r="Z1299">
        <v>0</v>
      </c>
      <c r="AA1299">
        <v>11167</v>
      </c>
      <c r="AB1299">
        <v>9822</v>
      </c>
      <c r="AC1299">
        <v>24575</v>
      </c>
      <c r="AD1299">
        <v>25896</v>
      </c>
      <c r="AE1299">
        <v>25896</v>
      </c>
      <c r="AF1299">
        <v>11</v>
      </c>
      <c r="AG1299">
        <v>72</v>
      </c>
      <c r="AH1299">
        <v>244.58934020996091</v>
      </c>
      <c r="AI1299">
        <v>0</v>
      </c>
      <c r="AJ1299">
        <v>7516.33935546875</v>
      </c>
      <c r="AK1299" t="s">
        <v>53</v>
      </c>
      <c r="AL1299" t="s">
        <v>53</v>
      </c>
      <c r="AM1299" t="s">
        <v>6509</v>
      </c>
      <c r="AQ1299" t="s">
        <v>54</v>
      </c>
      <c r="AR1299" t="s">
        <v>6509</v>
      </c>
      <c r="AT1299" t="s">
        <v>6511</v>
      </c>
      <c r="AV1299" t="s">
        <v>6509</v>
      </c>
      <c r="AW1299" t="s">
        <v>53</v>
      </c>
      <c r="AX1299" t="s">
        <v>6509</v>
      </c>
      <c r="AZ1299" t="s">
        <v>54</v>
      </c>
      <c r="BA1299" t="s">
        <v>6512</v>
      </c>
    </row>
    <row r="1300" spans="1:53" x14ac:dyDescent="0.25">
      <c r="A1300">
        <v>1295</v>
      </c>
      <c r="B1300" t="s">
        <v>7205</v>
      </c>
      <c r="C1300" t="s">
        <v>7206</v>
      </c>
      <c r="D1300" t="s">
        <v>7113</v>
      </c>
      <c r="E1300">
        <v>7</v>
      </c>
      <c r="F1300" t="s">
        <v>6501</v>
      </c>
      <c r="G1300" t="s">
        <v>6633</v>
      </c>
      <c r="H1300" t="s">
        <v>6634</v>
      </c>
      <c r="I1300" t="s">
        <v>6635</v>
      </c>
      <c r="J1300" t="s">
        <v>6636</v>
      </c>
      <c r="K1300" t="s">
        <v>6637</v>
      </c>
      <c r="L1300" t="s">
        <v>7114</v>
      </c>
      <c r="M1300">
        <v>8.183192253112793</v>
      </c>
      <c r="N1300" t="s">
        <v>54</v>
      </c>
      <c r="O1300" t="s">
        <v>53</v>
      </c>
      <c r="P1300" t="s">
        <v>53</v>
      </c>
      <c r="Q1300" t="s">
        <v>53</v>
      </c>
      <c r="R1300" t="s">
        <v>53</v>
      </c>
      <c r="S1300" t="s">
        <v>6638</v>
      </c>
      <c r="T1300" t="s">
        <v>6638</v>
      </c>
      <c r="U1300" t="s">
        <v>53</v>
      </c>
      <c r="V1300" t="s">
        <v>1973</v>
      </c>
      <c r="W1300">
        <v>100000</v>
      </c>
      <c r="X1300" t="s">
        <v>53</v>
      </c>
      <c r="Y1300" t="s">
        <v>6509</v>
      </c>
      <c r="Z1300">
        <v>0</v>
      </c>
      <c r="AA1300">
        <v>1</v>
      </c>
      <c r="AB1300">
        <v>1</v>
      </c>
      <c r="AC1300">
        <v>0</v>
      </c>
      <c r="AD1300">
        <v>0</v>
      </c>
      <c r="AE1300">
        <v>0</v>
      </c>
      <c r="AF1300">
        <v>0</v>
      </c>
      <c r="AG1300">
        <v>0</v>
      </c>
      <c r="AH1300">
        <v>1.6472316980361941</v>
      </c>
      <c r="AI1300">
        <v>0</v>
      </c>
      <c r="AJ1300">
        <v>257.33038330078119</v>
      </c>
      <c r="AK1300" t="s">
        <v>53</v>
      </c>
      <c r="AL1300" t="s">
        <v>53</v>
      </c>
      <c r="AM1300" t="s">
        <v>6509</v>
      </c>
      <c r="AQ1300" t="s">
        <v>54</v>
      </c>
      <c r="AR1300" t="s">
        <v>6509</v>
      </c>
      <c r="AT1300" t="s">
        <v>6511</v>
      </c>
      <c r="AV1300" t="s">
        <v>6509</v>
      </c>
      <c r="AW1300" t="s">
        <v>53</v>
      </c>
      <c r="AX1300" t="s">
        <v>6509</v>
      </c>
      <c r="AZ1300" t="s">
        <v>54</v>
      </c>
      <c r="BA1300" t="s">
        <v>6512</v>
      </c>
    </row>
    <row r="1301" spans="1:53" x14ac:dyDescent="0.25">
      <c r="A1301">
        <v>1296</v>
      </c>
      <c r="B1301" t="s">
        <v>7207</v>
      </c>
      <c r="C1301" t="s">
        <v>7208</v>
      </c>
      <c r="D1301" t="s">
        <v>7113</v>
      </c>
      <c r="E1301">
        <v>7</v>
      </c>
      <c r="F1301" t="s">
        <v>6501</v>
      </c>
      <c r="G1301" t="s">
        <v>6679</v>
      </c>
      <c r="H1301" t="s">
        <v>6680</v>
      </c>
      <c r="I1301" t="s">
        <v>6681</v>
      </c>
      <c r="J1301" t="s">
        <v>6682</v>
      </c>
      <c r="K1301" t="s">
        <v>6683</v>
      </c>
      <c r="L1301" t="s">
        <v>7114</v>
      </c>
      <c r="M1301">
        <v>912.4888916015625</v>
      </c>
      <c r="N1301" t="s">
        <v>54</v>
      </c>
      <c r="O1301" t="s">
        <v>53</v>
      </c>
      <c r="P1301" t="s">
        <v>53</v>
      </c>
      <c r="Q1301" t="s">
        <v>53</v>
      </c>
      <c r="R1301" t="s">
        <v>53</v>
      </c>
      <c r="S1301" t="s">
        <v>6684</v>
      </c>
      <c r="T1301" t="s">
        <v>6684</v>
      </c>
      <c r="U1301" t="s">
        <v>53</v>
      </c>
      <c r="V1301" t="s">
        <v>1973</v>
      </c>
      <c r="W1301">
        <v>100000</v>
      </c>
      <c r="X1301" t="s">
        <v>53</v>
      </c>
      <c r="Y1301" t="s">
        <v>6509</v>
      </c>
      <c r="Z1301">
        <v>0</v>
      </c>
      <c r="AA1301">
        <v>98</v>
      </c>
      <c r="AB1301">
        <v>20</v>
      </c>
      <c r="AC1301">
        <v>67</v>
      </c>
      <c r="AD1301">
        <v>38</v>
      </c>
      <c r="AE1301">
        <v>67</v>
      </c>
      <c r="AF1301">
        <v>0</v>
      </c>
      <c r="AG1301">
        <v>6</v>
      </c>
      <c r="AH1301">
        <v>65.27435302734375</v>
      </c>
      <c r="AI1301">
        <v>0</v>
      </c>
      <c r="AJ1301">
        <v>63522.12890625</v>
      </c>
      <c r="AK1301" t="s">
        <v>53</v>
      </c>
      <c r="AL1301" t="s">
        <v>53</v>
      </c>
      <c r="AM1301" t="s">
        <v>6509</v>
      </c>
      <c r="AQ1301" t="s">
        <v>54</v>
      </c>
      <c r="AR1301" t="s">
        <v>6509</v>
      </c>
      <c r="AT1301" t="s">
        <v>6511</v>
      </c>
      <c r="AV1301" t="s">
        <v>6509</v>
      </c>
      <c r="AW1301" t="s">
        <v>53</v>
      </c>
      <c r="AX1301" t="s">
        <v>6509</v>
      </c>
      <c r="AZ1301" t="s">
        <v>54</v>
      </c>
      <c r="BA1301" t="s">
        <v>6512</v>
      </c>
    </row>
    <row r="1302" spans="1:53" x14ac:dyDescent="0.25">
      <c r="A1302">
        <v>1297</v>
      </c>
      <c r="B1302" t="s">
        <v>7209</v>
      </c>
      <c r="C1302" t="s">
        <v>7210</v>
      </c>
      <c r="D1302" t="s">
        <v>7113</v>
      </c>
      <c r="E1302">
        <v>7</v>
      </c>
      <c r="F1302" t="s">
        <v>6501</v>
      </c>
      <c r="G1302" t="s">
        <v>6502</v>
      </c>
      <c r="H1302" t="s">
        <v>6503</v>
      </c>
      <c r="I1302" t="s">
        <v>6504</v>
      </c>
      <c r="J1302" t="s">
        <v>7211</v>
      </c>
      <c r="K1302" t="s">
        <v>6506</v>
      </c>
      <c r="L1302" t="s">
        <v>7114</v>
      </c>
      <c r="M1302">
        <v>912.4061279296875</v>
      </c>
      <c r="N1302" t="s">
        <v>54</v>
      </c>
      <c r="O1302" t="s">
        <v>53</v>
      </c>
      <c r="P1302" t="s">
        <v>53</v>
      </c>
      <c r="Q1302" t="s">
        <v>53</v>
      </c>
      <c r="R1302" t="s">
        <v>53</v>
      </c>
      <c r="S1302" t="s">
        <v>6508</v>
      </c>
      <c r="T1302" t="s">
        <v>6508</v>
      </c>
      <c r="U1302" t="s">
        <v>53</v>
      </c>
      <c r="V1302" t="s">
        <v>1973</v>
      </c>
      <c r="W1302">
        <v>100000</v>
      </c>
      <c r="X1302" t="s">
        <v>53</v>
      </c>
      <c r="Y1302" t="s">
        <v>6509</v>
      </c>
      <c r="Z1302">
        <v>0</v>
      </c>
      <c r="AA1302">
        <v>347</v>
      </c>
      <c r="AB1302">
        <v>134</v>
      </c>
      <c r="AC1302">
        <v>178</v>
      </c>
      <c r="AD1302">
        <v>163</v>
      </c>
      <c r="AE1302">
        <v>178</v>
      </c>
      <c r="AF1302">
        <v>0</v>
      </c>
      <c r="AG1302">
        <v>4</v>
      </c>
      <c r="AH1302">
        <v>43.328845977783203</v>
      </c>
      <c r="AI1302">
        <v>0</v>
      </c>
      <c r="AJ1302">
        <v>23798.978515625</v>
      </c>
      <c r="AK1302" t="s">
        <v>53</v>
      </c>
      <c r="AL1302" t="s">
        <v>53</v>
      </c>
      <c r="AM1302" t="s">
        <v>6509</v>
      </c>
      <c r="AQ1302" t="s">
        <v>54</v>
      </c>
      <c r="AR1302" t="s">
        <v>6509</v>
      </c>
      <c r="AT1302" t="s">
        <v>6511</v>
      </c>
      <c r="AV1302" t="s">
        <v>6509</v>
      </c>
      <c r="AW1302" t="s">
        <v>53</v>
      </c>
      <c r="AX1302" t="s">
        <v>6509</v>
      </c>
      <c r="AZ1302" t="s">
        <v>54</v>
      </c>
      <c r="BA1302" t="s">
        <v>6512</v>
      </c>
    </row>
    <row r="1303" spans="1:53" x14ac:dyDescent="0.25">
      <c r="A1303">
        <v>1298</v>
      </c>
      <c r="B1303" t="s">
        <v>7212</v>
      </c>
      <c r="C1303" t="s">
        <v>7213</v>
      </c>
      <c r="D1303" t="s">
        <v>7113</v>
      </c>
      <c r="E1303">
        <v>7</v>
      </c>
      <c r="F1303" t="s">
        <v>6501</v>
      </c>
      <c r="G1303" t="s">
        <v>2437</v>
      </c>
      <c r="H1303" t="s">
        <v>6798</v>
      </c>
      <c r="I1303" t="s">
        <v>6799</v>
      </c>
      <c r="J1303" t="s">
        <v>6800</v>
      </c>
      <c r="K1303" t="s">
        <v>6801</v>
      </c>
      <c r="L1303" t="s">
        <v>7114</v>
      </c>
      <c r="M1303">
        <v>335.64227294921881</v>
      </c>
      <c r="N1303" t="s">
        <v>54</v>
      </c>
      <c r="O1303" t="s">
        <v>53</v>
      </c>
      <c r="P1303" t="s">
        <v>53</v>
      </c>
      <c r="Q1303" t="s">
        <v>53</v>
      </c>
      <c r="R1303" t="s">
        <v>53</v>
      </c>
      <c r="S1303" t="s">
        <v>2442</v>
      </c>
      <c r="T1303" t="s">
        <v>2442</v>
      </c>
      <c r="U1303" t="s">
        <v>53</v>
      </c>
      <c r="V1303" t="s">
        <v>1973</v>
      </c>
      <c r="W1303">
        <v>100000</v>
      </c>
      <c r="X1303" t="s">
        <v>53</v>
      </c>
      <c r="Y1303" t="s">
        <v>6509</v>
      </c>
      <c r="Z1303">
        <v>0</v>
      </c>
      <c r="AA1303">
        <v>3</v>
      </c>
      <c r="AB1303">
        <v>0</v>
      </c>
      <c r="AC1303">
        <v>1</v>
      </c>
      <c r="AD1303">
        <v>1</v>
      </c>
      <c r="AE1303">
        <v>1</v>
      </c>
      <c r="AF1303">
        <v>0</v>
      </c>
      <c r="AG1303">
        <v>1</v>
      </c>
      <c r="AH1303">
        <v>7.1589617729187012</v>
      </c>
      <c r="AI1303">
        <v>0</v>
      </c>
      <c r="AJ1303">
        <v>409.40933227539063</v>
      </c>
      <c r="AK1303" t="s">
        <v>53</v>
      </c>
      <c r="AL1303" t="s">
        <v>53</v>
      </c>
      <c r="AM1303" t="s">
        <v>6509</v>
      </c>
      <c r="AQ1303" t="s">
        <v>54</v>
      </c>
      <c r="AR1303" t="s">
        <v>6509</v>
      </c>
      <c r="AT1303" t="s">
        <v>6511</v>
      </c>
      <c r="AV1303" t="s">
        <v>6509</v>
      </c>
      <c r="AW1303" t="s">
        <v>53</v>
      </c>
      <c r="AX1303" t="s">
        <v>6509</v>
      </c>
      <c r="AZ1303" t="s">
        <v>54</v>
      </c>
      <c r="BA1303" t="s">
        <v>6512</v>
      </c>
    </row>
    <row r="1304" spans="1:53" x14ac:dyDescent="0.25">
      <c r="A1304">
        <v>1299</v>
      </c>
      <c r="B1304" t="s">
        <v>7214</v>
      </c>
      <c r="C1304" t="s">
        <v>7215</v>
      </c>
      <c r="D1304" t="s">
        <v>7146</v>
      </c>
      <c r="E1304">
        <v>7</v>
      </c>
      <c r="F1304" t="s">
        <v>6501</v>
      </c>
      <c r="G1304" t="s">
        <v>6621</v>
      </c>
      <c r="H1304" t="s">
        <v>6622</v>
      </c>
      <c r="I1304" t="s">
        <v>6623</v>
      </c>
      <c r="J1304" t="s">
        <v>6624</v>
      </c>
      <c r="K1304" t="s">
        <v>6625</v>
      </c>
      <c r="L1304" t="s">
        <v>7118</v>
      </c>
      <c r="M1304">
        <v>460.86416625976563</v>
      </c>
      <c r="N1304" t="s">
        <v>54</v>
      </c>
      <c r="O1304" t="s">
        <v>53</v>
      </c>
      <c r="P1304" t="s">
        <v>53</v>
      </c>
      <c r="Q1304" t="s">
        <v>53</v>
      </c>
      <c r="R1304" t="s">
        <v>53</v>
      </c>
      <c r="S1304" t="s">
        <v>6626</v>
      </c>
      <c r="T1304" t="s">
        <v>6626</v>
      </c>
      <c r="U1304" t="s">
        <v>53</v>
      </c>
      <c r="V1304" t="s">
        <v>51</v>
      </c>
      <c r="W1304">
        <v>1000000</v>
      </c>
      <c r="X1304" t="s">
        <v>53</v>
      </c>
      <c r="Y1304" t="s">
        <v>6509</v>
      </c>
      <c r="Z1304">
        <v>0</v>
      </c>
      <c r="AA1304">
        <v>264</v>
      </c>
      <c r="AB1304">
        <v>172</v>
      </c>
      <c r="AC1304">
        <v>248</v>
      </c>
      <c r="AD1304">
        <v>412</v>
      </c>
      <c r="AE1304">
        <v>412</v>
      </c>
      <c r="AF1304">
        <v>1</v>
      </c>
      <c r="AG1304">
        <v>21</v>
      </c>
      <c r="AH1304">
        <v>40.971420288085938</v>
      </c>
      <c r="AI1304">
        <v>0</v>
      </c>
      <c r="AJ1304">
        <v>9929.294921875</v>
      </c>
      <c r="AK1304" t="s">
        <v>53</v>
      </c>
      <c r="AL1304" t="s">
        <v>53</v>
      </c>
      <c r="AM1304" t="s">
        <v>6509</v>
      </c>
      <c r="AQ1304" t="s">
        <v>54</v>
      </c>
      <c r="AR1304" t="s">
        <v>6509</v>
      </c>
      <c r="AT1304" t="s">
        <v>6511</v>
      </c>
      <c r="AV1304" t="s">
        <v>6509</v>
      </c>
      <c r="AW1304" t="s">
        <v>53</v>
      </c>
      <c r="AX1304" t="s">
        <v>6509</v>
      </c>
      <c r="AZ1304" t="s">
        <v>54</v>
      </c>
      <c r="BA1304" t="s">
        <v>6512</v>
      </c>
    </row>
    <row r="1305" spans="1:53" x14ac:dyDescent="0.25">
      <c r="A1305">
        <v>1300</v>
      </c>
      <c r="B1305" t="s">
        <v>7216</v>
      </c>
      <c r="C1305" t="s">
        <v>7217</v>
      </c>
      <c r="D1305" t="s">
        <v>7113</v>
      </c>
      <c r="E1305">
        <v>7</v>
      </c>
      <c r="F1305" t="s">
        <v>6501</v>
      </c>
      <c r="G1305" t="s">
        <v>6621</v>
      </c>
      <c r="H1305" t="s">
        <v>6622</v>
      </c>
      <c r="I1305" t="s">
        <v>6623</v>
      </c>
      <c r="J1305" t="s">
        <v>6624</v>
      </c>
      <c r="K1305" t="s">
        <v>6625</v>
      </c>
      <c r="L1305" t="s">
        <v>7114</v>
      </c>
      <c r="M1305">
        <v>460.86416625976563</v>
      </c>
      <c r="N1305" t="s">
        <v>54</v>
      </c>
      <c r="O1305" t="s">
        <v>53</v>
      </c>
      <c r="P1305" t="s">
        <v>53</v>
      </c>
      <c r="Q1305" t="s">
        <v>53</v>
      </c>
      <c r="R1305" t="s">
        <v>53</v>
      </c>
      <c r="S1305" t="s">
        <v>6626</v>
      </c>
      <c r="T1305" t="s">
        <v>6626</v>
      </c>
      <c r="U1305" t="s">
        <v>53</v>
      </c>
      <c r="V1305" t="s">
        <v>1973</v>
      </c>
      <c r="W1305">
        <v>100000</v>
      </c>
      <c r="X1305" t="s">
        <v>53</v>
      </c>
      <c r="Y1305" t="s">
        <v>6509</v>
      </c>
      <c r="Z1305">
        <v>0</v>
      </c>
      <c r="AA1305">
        <v>264</v>
      </c>
      <c r="AB1305">
        <v>172</v>
      </c>
      <c r="AC1305">
        <v>248</v>
      </c>
      <c r="AD1305">
        <v>412</v>
      </c>
      <c r="AE1305">
        <v>412</v>
      </c>
      <c r="AF1305">
        <v>1</v>
      </c>
      <c r="AG1305">
        <v>21</v>
      </c>
      <c r="AH1305">
        <v>40.971420288085938</v>
      </c>
      <c r="AI1305">
        <v>0</v>
      </c>
      <c r="AJ1305">
        <v>9929.294921875</v>
      </c>
      <c r="AK1305" t="s">
        <v>53</v>
      </c>
      <c r="AL1305" t="s">
        <v>53</v>
      </c>
      <c r="AM1305" t="s">
        <v>6509</v>
      </c>
      <c r="AQ1305" t="s">
        <v>54</v>
      </c>
      <c r="AR1305" t="s">
        <v>6509</v>
      </c>
      <c r="AT1305" t="s">
        <v>6511</v>
      </c>
      <c r="AV1305" t="s">
        <v>6509</v>
      </c>
      <c r="AW1305" t="s">
        <v>53</v>
      </c>
      <c r="AX1305" t="s">
        <v>6509</v>
      </c>
      <c r="AZ1305" t="s">
        <v>54</v>
      </c>
      <c r="BA1305" t="s">
        <v>6512</v>
      </c>
    </row>
    <row r="1306" spans="1:53" x14ac:dyDescent="0.25">
      <c r="A1306">
        <v>1301</v>
      </c>
      <c r="B1306" t="s">
        <v>7218</v>
      </c>
      <c r="C1306" t="s">
        <v>7219</v>
      </c>
      <c r="D1306" t="s">
        <v>7153</v>
      </c>
      <c r="E1306">
        <v>7</v>
      </c>
      <c r="F1306" t="s">
        <v>6501</v>
      </c>
      <c r="G1306" t="s">
        <v>6621</v>
      </c>
      <c r="H1306" t="s">
        <v>6622</v>
      </c>
      <c r="I1306" t="s">
        <v>6623</v>
      </c>
      <c r="J1306" t="s">
        <v>6624</v>
      </c>
      <c r="K1306" t="s">
        <v>6625</v>
      </c>
      <c r="L1306" t="s">
        <v>7135</v>
      </c>
      <c r="M1306">
        <v>460.86416625976563</v>
      </c>
      <c r="N1306" t="s">
        <v>54</v>
      </c>
      <c r="O1306" t="s">
        <v>53</v>
      </c>
      <c r="P1306" t="s">
        <v>53</v>
      </c>
      <c r="Q1306" t="s">
        <v>53</v>
      </c>
      <c r="R1306" t="s">
        <v>53</v>
      </c>
      <c r="S1306" t="s">
        <v>6626</v>
      </c>
      <c r="T1306" t="s">
        <v>6626</v>
      </c>
      <c r="U1306" t="s">
        <v>53</v>
      </c>
      <c r="V1306" t="s">
        <v>51</v>
      </c>
      <c r="W1306">
        <v>1000000</v>
      </c>
      <c r="X1306" t="s">
        <v>53</v>
      </c>
      <c r="Y1306" t="s">
        <v>6509</v>
      </c>
      <c r="Z1306">
        <v>0</v>
      </c>
      <c r="AA1306">
        <v>264</v>
      </c>
      <c r="AB1306">
        <v>172</v>
      </c>
      <c r="AC1306">
        <v>248</v>
      </c>
      <c r="AD1306">
        <v>412</v>
      </c>
      <c r="AE1306">
        <v>412</v>
      </c>
      <c r="AF1306">
        <v>1</v>
      </c>
      <c r="AG1306">
        <v>21</v>
      </c>
      <c r="AH1306">
        <v>40.971420288085938</v>
      </c>
      <c r="AI1306">
        <v>0</v>
      </c>
      <c r="AJ1306">
        <v>9929.294921875</v>
      </c>
      <c r="AK1306" t="s">
        <v>53</v>
      </c>
      <c r="AL1306" t="s">
        <v>53</v>
      </c>
      <c r="AM1306" t="s">
        <v>6509</v>
      </c>
      <c r="AQ1306" t="s">
        <v>54</v>
      </c>
      <c r="AR1306" t="s">
        <v>6509</v>
      </c>
      <c r="AT1306" t="s">
        <v>6511</v>
      </c>
      <c r="AV1306" t="s">
        <v>6509</v>
      </c>
      <c r="AW1306" t="s">
        <v>53</v>
      </c>
      <c r="AX1306" t="s">
        <v>6509</v>
      </c>
      <c r="AZ1306" t="s">
        <v>54</v>
      </c>
      <c r="BA1306" t="s">
        <v>6512</v>
      </c>
    </row>
    <row r="1307" spans="1:53" x14ac:dyDescent="0.25">
      <c r="A1307">
        <v>1302</v>
      </c>
      <c r="B1307" t="s">
        <v>7220</v>
      </c>
      <c r="C1307" t="s">
        <v>7221</v>
      </c>
      <c r="D1307" t="s">
        <v>7113</v>
      </c>
      <c r="E1307">
        <v>7</v>
      </c>
      <c r="F1307" t="s">
        <v>6501</v>
      </c>
      <c r="G1307" t="s">
        <v>6655</v>
      </c>
      <c r="H1307" t="s">
        <v>6656</v>
      </c>
      <c r="I1307" t="s">
        <v>6657</v>
      </c>
      <c r="J1307" t="s">
        <v>6658</v>
      </c>
      <c r="K1307" t="s">
        <v>6659</v>
      </c>
      <c r="L1307" t="s">
        <v>7114</v>
      </c>
      <c r="M1307">
        <v>907.40069580078125</v>
      </c>
      <c r="N1307" t="s">
        <v>54</v>
      </c>
      <c r="O1307" t="s">
        <v>53</v>
      </c>
      <c r="P1307" t="s">
        <v>53</v>
      </c>
      <c r="Q1307" t="s">
        <v>53</v>
      </c>
      <c r="R1307" t="s">
        <v>53</v>
      </c>
      <c r="S1307" t="s">
        <v>6660</v>
      </c>
      <c r="T1307" t="s">
        <v>6660</v>
      </c>
      <c r="U1307" t="s">
        <v>53</v>
      </c>
      <c r="V1307" t="s">
        <v>1973</v>
      </c>
      <c r="W1307">
        <v>100000</v>
      </c>
      <c r="X1307" t="s">
        <v>53</v>
      </c>
      <c r="Y1307" t="s">
        <v>6509</v>
      </c>
      <c r="Z1307">
        <v>0</v>
      </c>
      <c r="AA1307">
        <v>788</v>
      </c>
      <c r="AB1307">
        <v>294</v>
      </c>
      <c r="AC1307">
        <v>608</v>
      </c>
      <c r="AD1307">
        <v>708</v>
      </c>
      <c r="AE1307">
        <v>708</v>
      </c>
      <c r="AF1307">
        <v>1</v>
      </c>
      <c r="AG1307">
        <v>15</v>
      </c>
      <c r="AH1307">
        <v>226.38787841796881</v>
      </c>
      <c r="AI1307">
        <v>0</v>
      </c>
      <c r="AJ1307">
        <v>59647.609375</v>
      </c>
      <c r="AK1307" t="s">
        <v>53</v>
      </c>
      <c r="AL1307" t="s">
        <v>53</v>
      </c>
      <c r="AM1307" t="s">
        <v>6509</v>
      </c>
      <c r="AQ1307" t="s">
        <v>54</v>
      </c>
      <c r="AR1307" t="s">
        <v>6509</v>
      </c>
      <c r="AT1307" t="s">
        <v>6511</v>
      </c>
      <c r="AV1307" t="s">
        <v>6509</v>
      </c>
      <c r="AW1307" t="s">
        <v>53</v>
      </c>
      <c r="AX1307" t="s">
        <v>6509</v>
      </c>
      <c r="AZ1307" t="s">
        <v>54</v>
      </c>
      <c r="BA1307" t="s">
        <v>6512</v>
      </c>
    </row>
    <row r="1308" spans="1:53" x14ac:dyDescent="0.25">
      <c r="A1308">
        <v>1303</v>
      </c>
      <c r="B1308" t="s">
        <v>7222</v>
      </c>
      <c r="C1308" t="s">
        <v>7223</v>
      </c>
      <c r="D1308" t="s">
        <v>7113</v>
      </c>
      <c r="E1308">
        <v>7</v>
      </c>
      <c r="F1308" t="s">
        <v>6501</v>
      </c>
      <c r="G1308" t="s">
        <v>6722</v>
      </c>
      <c r="H1308" t="s">
        <v>6723</v>
      </c>
      <c r="I1308" t="s">
        <v>6724</v>
      </c>
      <c r="J1308" t="s">
        <v>6725</v>
      </c>
      <c r="K1308" t="s">
        <v>6726</v>
      </c>
      <c r="L1308" t="s">
        <v>7114</v>
      </c>
      <c r="M1308">
        <v>811.42315673828125</v>
      </c>
      <c r="N1308" t="s">
        <v>53</v>
      </c>
      <c r="O1308" t="s">
        <v>53</v>
      </c>
      <c r="P1308" t="s">
        <v>53</v>
      </c>
      <c r="Q1308" t="s">
        <v>54</v>
      </c>
      <c r="R1308" t="s">
        <v>53</v>
      </c>
      <c r="S1308" t="s">
        <v>6727</v>
      </c>
      <c r="T1308" t="s">
        <v>6727</v>
      </c>
      <c r="U1308" t="s">
        <v>53</v>
      </c>
      <c r="V1308" t="s">
        <v>1973</v>
      </c>
      <c r="W1308">
        <v>100000</v>
      </c>
      <c r="X1308" t="s">
        <v>53</v>
      </c>
      <c r="Y1308" t="s">
        <v>6509</v>
      </c>
      <c r="Z1308">
        <v>0</v>
      </c>
      <c r="AA1308">
        <v>1771</v>
      </c>
      <c r="AB1308">
        <v>1270</v>
      </c>
      <c r="AC1308">
        <v>5273</v>
      </c>
      <c r="AD1308">
        <v>3863</v>
      </c>
      <c r="AE1308">
        <v>5273</v>
      </c>
      <c r="AF1308">
        <v>5</v>
      </c>
      <c r="AG1308">
        <v>9</v>
      </c>
      <c r="AH1308">
        <v>625.7158203125</v>
      </c>
      <c r="AI1308">
        <v>0</v>
      </c>
      <c r="AJ1308">
        <v>60113.328125</v>
      </c>
      <c r="AK1308" t="s">
        <v>53</v>
      </c>
      <c r="AL1308" t="s">
        <v>53</v>
      </c>
      <c r="AM1308" t="s">
        <v>6509</v>
      </c>
      <c r="AQ1308" t="s">
        <v>54</v>
      </c>
      <c r="AR1308" t="s">
        <v>6509</v>
      </c>
      <c r="AT1308" t="s">
        <v>6511</v>
      </c>
      <c r="AV1308" t="s">
        <v>6509</v>
      </c>
      <c r="AW1308" t="s">
        <v>53</v>
      </c>
      <c r="AX1308" t="s">
        <v>6509</v>
      </c>
      <c r="AZ1308" t="s">
        <v>54</v>
      </c>
      <c r="BA1308" t="s">
        <v>6512</v>
      </c>
    </row>
    <row r="1309" spans="1:53" x14ac:dyDescent="0.25">
      <c r="A1309">
        <v>1304</v>
      </c>
      <c r="B1309" t="s">
        <v>7224</v>
      </c>
      <c r="C1309" t="s">
        <v>7225</v>
      </c>
      <c r="D1309" t="s">
        <v>7117</v>
      </c>
      <c r="E1309">
        <v>7</v>
      </c>
      <c r="F1309" t="s">
        <v>6501</v>
      </c>
      <c r="G1309" t="s">
        <v>6566</v>
      </c>
      <c r="H1309" t="s">
        <v>6567</v>
      </c>
      <c r="I1309" t="s">
        <v>6568</v>
      </c>
      <c r="J1309" t="s">
        <v>6569</v>
      </c>
      <c r="K1309" t="s">
        <v>6570</v>
      </c>
      <c r="L1309" t="s">
        <v>7118</v>
      </c>
      <c r="M1309">
        <v>392.98867797851563</v>
      </c>
      <c r="N1309" t="s">
        <v>54</v>
      </c>
      <c r="O1309" t="s">
        <v>53</v>
      </c>
      <c r="P1309" t="s">
        <v>53</v>
      </c>
      <c r="Q1309" t="s">
        <v>53</v>
      </c>
      <c r="R1309" t="s">
        <v>53</v>
      </c>
      <c r="S1309" t="s">
        <v>6571</v>
      </c>
      <c r="T1309" t="s">
        <v>6571</v>
      </c>
      <c r="U1309" t="s">
        <v>53</v>
      </c>
      <c r="V1309" t="s">
        <v>51</v>
      </c>
      <c r="W1309">
        <v>2000000</v>
      </c>
      <c r="X1309" t="s">
        <v>53</v>
      </c>
      <c r="Y1309" t="s">
        <v>6509</v>
      </c>
      <c r="Z1309">
        <v>0</v>
      </c>
      <c r="AA1309">
        <v>13</v>
      </c>
      <c r="AB1309">
        <v>2</v>
      </c>
      <c r="AC1309">
        <v>7</v>
      </c>
      <c r="AD1309">
        <v>23</v>
      </c>
      <c r="AE1309">
        <v>23</v>
      </c>
      <c r="AF1309">
        <v>0</v>
      </c>
      <c r="AG1309">
        <v>6</v>
      </c>
      <c r="AH1309">
        <v>17.881149291992191</v>
      </c>
      <c r="AI1309">
        <v>0</v>
      </c>
      <c r="AJ1309">
        <v>6805.37255859375</v>
      </c>
      <c r="AK1309" t="s">
        <v>53</v>
      </c>
      <c r="AL1309" t="s">
        <v>53</v>
      </c>
      <c r="AM1309" t="s">
        <v>6509</v>
      </c>
      <c r="AQ1309" t="s">
        <v>54</v>
      </c>
      <c r="AR1309" t="s">
        <v>6509</v>
      </c>
      <c r="AT1309" t="s">
        <v>6511</v>
      </c>
      <c r="AV1309" t="s">
        <v>6509</v>
      </c>
      <c r="AW1309" t="s">
        <v>53</v>
      </c>
      <c r="AX1309" t="s">
        <v>6509</v>
      </c>
      <c r="AZ1309" t="s">
        <v>54</v>
      </c>
      <c r="BA1309" t="s">
        <v>6512</v>
      </c>
    </row>
    <row r="1310" spans="1:53" x14ac:dyDescent="0.25">
      <c r="A1310">
        <v>1305</v>
      </c>
      <c r="B1310" t="s">
        <v>7226</v>
      </c>
      <c r="C1310" t="s">
        <v>7227</v>
      </c>
      <c r="D1310" t="s">
        <v>7113</v>
      </c>
      <c r="E1310">
        <v>7</v>
      </c>
      <c r="F1310" t="s">
        <v>6501</v>
      </c>
      <c r="G1310" t="s">
        <v>6566</v>
      </c>
      <c r="H1310" t="s">
        <v>6567</v>
      </c>
      <c r="I1310" t="s">
        <v>6568</v>
      </c>
      <c r="J1310" t="s">
        <v>6569</v>
      </c>
      <c r="K1310" t="s">
        <v>6570</v>
      </c>
      <c r="L1310" t="s">
        <v>7114</v>
      </c>
      <c r="M1310">
        <v>392.98867797851563</v>
      </c>
      <c r="N1310" t="s">
        <v>54</v>
      </c>
      <c r="O1310" t="s">
        <v>53</v>
      </c>
      <c r="P1310" t="s">
        <v>53</v>
      </c>
      <c r="Q1310" t="s">
        <v>53</v>
      </c>
      <c r="R1310" t="s">
        <v>53</v>
      </c>
      <c r="S1310" t="s">
        <v>6571</v>
      </c>
      <c r="T1310" t="s">
        <v>6571</v>
      </c>
      <c r="U1310" t="s">
        <v>53</v>
      </c>
      <c r="V1310" t="s">
        <v>1973</v>
      </c>
      <c r="W1310">
        <v>100000</v>
      </c>
      <c r="X1310" t="s">
        <v>53</v>
      </c>
      <c r="Y1310" t="s">
        <v>6509</v>
      </c>
      <c r="Z1310">
        <v>0</v>
      </c>
      <c r="AA1310">
        <v>13</v>
      </c>
      <c r="AB1310">
        <v>2</v>
      </c>
      <c r="AC1310">
        <v>7</v>
      </c>
      <c r="AD1310">
        <v>23</v>
      </c>
      <c r="AE1310">
        <v>23</v>
      </c>
      <c r="AF1310">
        <v>0</v>
      </c>
      <c r="AG1310">
        <v>6</v>
      </c>
      <c r="AH1310">
        <v>17.881149291992191</v>
      </c>
      <c r="AI1310">
        <v>0</v>
      </c>
      <c r="AJ1310">
        <v>6805.37255859375</v>
      </c>
      <c r="AK1310" t="s">
        <v>53</v>
      </c>
      <c r="AL1310" t="s">
        <v>53</v>
      </c>
      <c r="AM1310" t="s">
        <v>6509</v>
      </c>
      <c r="AQ1310" t="s">
        <v>54</v>
      </c>
      <c r="AR1310" t="s">
        <v>6509</v>
      </c>
      <c r="AT1310" t="s">
        <v>6511</v>
      </c>
      <c r="AV1310" t="s">
        <v>6509</v>
      </c>
      <c r="AW1310" t="s">
        <v>53</v>
      </c>
      <c r="AX1310" t="s">
        <v>6509</v>
      </c>
      <c r="AZ1310" t="s">
        <v>54</v>
      </c>
      <c r="BA1310" t="s">
        <v>6512</v>
      </c>
    </row>
    <row r="1311" spans="1:53" x14ac:dyDescent="0.25">
      <c r="A1311">
        <v>1306</v>
      </c>
      <c r="B1311" t="s">
        <v>7228</v>
      </c>
      <c r="C1311" t="s">
        <v>7229</v>
      </c>
      <c r="D1311" t="s">
        <v>7113</v>
      </c>
      <c r="E1311">
        <v>7</v>
      </c>
      <c r="F1311" t="s">
        <v>6501</v>
      </c>
      <c r="G1311" t="s">
        <v>2446</v>
      </c>
      <c r="H1311" t="s">
        <v>6806</v>
      </c>
      <c r="I1311" t="s">
        <v>6807</v>
      </c>
      <c r="J1311" t="s">
        <v>6808</v>
      </c>
      <c r="K1311" t="s">
        <v>6809</v>
      </c>
      <c r="L1311" t="s">
        <v>7114</v>
      </c>
      <c r="M1311">
        <v>573.35858154296875</v>
      </c>
      <c r="N1311" t="s">
        <v>54</v>
      </c>
      <c r="O1311" t="s">
        <v>53</v>
      </c>
      <c r="P1311" t="s">
        <v>53</v>
      </c>
      <c r="Q1311" t="s">
        <v>54</v>
      </c>
      <c r="R1311" t="s">
        <v>53</v>
      </c>
      <c r="S1311" t="s">
        <v>2451</v>
      </c>
      <c r="T1311" t="s">
        <v>2451</v>
      </c>
      <c r="U1311" t="s">
        <v>53</v>
      </c>
      <c r="V1311" t="s">
        <v>1973</v>
      </c>
      <c r="W1311">
        <v>100000</v>
      </c>
      <c r="X1311" t="s">
        <v>53</v>
      </c>
      <c r="Y1311" t="s">
        <v>6509</v>
      </c>
      <c r="Z1311">
        <v>0</v>
      </c>
      <c r="AA1311">
        <v>195</v>
      </c>
      <c r="AB1311">
        <v>0</v>
      </c>
      <c r="AC1311">
        <v>92</v>
      </c>
      <c r="AD1311">
        <v>125</v>
      </c>
      <c r="AE1311">
        <v>125</v>
      </c>
      <c r="AF1311">
        <v>1</v>
      </c>
      <c r="AG1311">
        <v>2</v>
      </c>
      <c r="AH1311">
        <v>111.8792266845703</v>
      </c>
      <c r="AI1311">
        <v>0</v>
      </c>
      <c r="AJ1311">
        <v>15575.0576171875</v>
      </c>
      <c r="AK1311" t="s">
        <v>53</v>
      </c>
      <c r="AL1311" t="s">
        <v>53</v>
      </c>
      <c r="AM1311" t="s">
        <v>6509</v>
      </c>
      <c r="AQ1311" t="s">
        <v>54</v>
      </c>
      <c r="AR1311" t="s">
        <v>6509</v>
      </c>
      <c r="AT1311" t="s">
        <v>6511</v>
      </c>
      <c r="AV1311" t="s">
        <v>6509</v>
      </c>
      <c r="AW1311" t="s">
        <v>53</v>
      </c>
      <c r="AX1311" t="s">
        <v>6509</v>
      </c>
      <c r="AZ1311" t="s">
        <v>54</v>
      </c>
      <c r="BA1311" t="s">
        <v>6512</v>
      </c>
    </row>
    <row r="1312" spans="1:53" x14ac:dyDescent="0.25">
      <c r="A1312">
        <v>1307</v>
      </c>
      <c r="B1312" t="s">
        <v>7230</v>
      </c>
      <c r="C1312" t="s">
        <v>7231</v>
      </c>
      <c r="D1312" t="s">
        <v>7113</v>
      </c>
      <c r="E1312">
        <v>7</v>
      </c>
      <c r="F1312" t="s">
        <v>6501</v>
      </c>
      <c r="G1312" t="s">
        <v>2535</v>
      </c>
      <c r="H1312" t="s">
        <v>6851</v>
      </c>
      <c r="I1312" t="s">
        <v>6852</v>
      </c>
      <c r="J1312" t="s">
        <v>6853</v>
      </c>
      <c r="K1312" t="s">
        <v>6854</v>
      </c>
      <c r="L1312" t="s">
        <v>7114</v>
      </c>
      <c r="M1312">
        <v>73.517784118652344</v>
      </c>
      <c r="N1312" t="s">
        <v>53</v>
      </c>
      <c r="O1312" t="s">
        <v>53</v>
      </c>
      <c r="P1312" t="s">
        <v>53</v>
      </c>
      <c r="Q1312" t="s">
        <v>54</v>
      </c>
      <c r="R1312" t="s">
        <v>53</v>
      </c>
      <c r="S1312" t="s">
        <v>2538</v>
      </c>
      <c r="T1312" t="s">
        <v>2538</v>
      </c>
      <c r="U1312" t="s">
        <v>53</v>
      </c>
      <c r="V1312" t="s">
        <v>1973</v>
      </c>
      <c r="W1312">
        <v>100000</v>
      </c>
      <c r="X1312" t="s">
        <v>53</v>
      </c>
      <c r="Y1312" t="s">
        <v>6509</v>
      </c>
      <c r="Z1312">
        <v>0</v>
      </c>
      <c r="AA1312">
        <v>5</v>
      </c>
      <c r="AB1312">
        <v>3</v>
      </c>
      <c r="AC1312">
        <v>3</v>
      </c>
      <c r="AD1312">
        <v>10</v>
      </c>
      <c r="AE1312">
        <v>10</v>
      </c>
      <c r="AF1312">
        <v>0</v>
      </c>
      <c r="AG1312">
        <v>0</v>
      </c>
      <c r="AH1312">
        <v>46.634864807128913</v>
      </c>
      <c r="AI1312">
        <v>0</v>
      </c>
      <c r="AJ1312">
        <v>4233.44482421875</v>
      </c>
      <c r="AK1312" t="s">
        <v>53</v>
      </c>
      <c r="AL1312" t="s">
        <v>53</v>
      </c>
      <c r="AM1312" t="s">
        <v>6509</v>
      </c>
      <c r="AQ1312" t="s">
        <v>54</v>
      </c>
      <c r="AR1312" t="s">
        <v>6509</v>
      </c>
      <c r="AT1312" t="s">
        <v>6511</v>
      </c>
      <c r="AV1312" t="s">
        <v>6509</v>
      </c>
      <c r="AW1312" t="s">
        <v>53</v>
      </c>
      <c r="AX1312" t="s">
        <v>6509</v>
      </c>
      <c r="AZ1312" t="s">
        <v>54</v>
      </c>
      <c r="BA1312" t="s">
        <v>6512</v>
      </c>
    </row>
    <row r="1313" spans="1:53" x14ac:dyDescent="0.25">
      <c r="A1313">
        <v>1308</v>
      </c>
      <c r="B1313" t="s">
        <v>7232</v>
      </c>
      <c r="C1313" t="s">
        <v>7233</v>
      </c>
      <c r="D1313" t="s">
        <v>7113</v>
      </c>
      <c r="E1313">
        <v>7</v>
      </c>
      <c r="F1313" t="s">
        <v>6501</v>
      </c>
      <c r="G1313" t="s">
        <v>6543</v>
      </c>
      <c r="H1313" t="s">
        <v>6522</v>
      </c>
      <c r="I1313" t="s">
        <v>6544</v>
      </c>
      <c r="J1313" t="s">
        <v>6550</v>
      </c>
      <c r="K1313" t="s">
        <v>6546</v>
      </c>
      <c r="L1313" t="s">
        <v>7114</v>
      </c>
      <c r="M1313">
        <v>899.753662109375</v>
      </c>
      <c r="N1313" t="s">
        <v>54</v>
      </c>
      <c r="O1313" t="s">
        <v>53</v>
      </c>
      <c r="P1313" t="s">
        <v>53</v>
      </c>
      <c r="Q1313" t="s">
        <v>53</v>
      </c>
      <c r="R1313" t="s">
        <v>53</v>
      </c>
      <c r="S1313" t="s">
        <v>6547</v>
      </c>
      <c r="T1313" t="s">
        <v>6547</v>
      </c>
      <c r="U1313" t="s">
        <v>53</v>
      </c>
      <c r="V1313" t="s">
        <v>1973</v>
      </c>
      <c r="W1313">
        <v>100000</v>
      </c>
      <c r="X1313" t="s">
        <v>53</v>
      </c>
      <c r="Y1313" t="s">
        <v>6509</v>
      </c>
      <c r="Z1313">
        <v>0</v>
      </c>
      <c r="AA1313">
        <v>120</v>
      </c>
      <c r="AB1313">
        <v>24</v>
      </c>
      <c r="AC1313">
        <v>60</v>
      </c>
      <c r="AD1313">
        <v>89</v>
      </c>
      <c r="AE1313">
        <v>89</v>
      </c>
      <c r="AF1313">
        <v>0</v>
      </c>
      <c r="AG1313">
        <v>0</v>
      </c>
      <c r="AH1313">
        <v>89.146781921386719</v>
      </c>
      <c r="AI1313">
        <v>0</v>
      </c>
      <c r="AJ1313">
        <v>23747.181640625</v>
      </c>
      <c r="AK1313" t="s">
        <v>53</v>
      </c>
      <c r="AL1313" t="s">
        <v>53</v>
      </c>
      <c r="AM1313" t="s">
        <v>6509</v>
      </c>
      <c r="AQ1313" t="s">
        <v>54</v>
      </c>
      <c r="AR1313" t="s">
        <v>6509</v>
      </c>
      <c r="AT1313" t="s">
        <v>6511</v>
      </c>
      <c r="AV1313" t="s">
        <v>6509</v>
      </c>
      <c r="AW1313" t="s">
        <v>53</v>
      </c>
      <c r="AX1313" t="s">
        <v>6509</v>
      </c>
      <c r="AZ1313" t="s">
        <v>54</v>
      </c>
      <c r="BA1313" t="s">
        <v>6512</v>
      </c>
    </row>
    <row r="1314" spans="1:53" x14ac:dyDescent="0.25">
      <c r="A1314">
        <v>1309</v>
      </c>
      <c r="B1314" t="s">
        <v>7234</v>
      </c>
      <c r="C1314" t="s">
        <v>7235</v>
      </c>
      <c r="D1314" t="s">
        <v>7134</v>
      </c>
      <c r="E1314">
        <v>7</v>
      </c>
      <c r="F1314" t="s">
        <v>6501</v>
      </c>
      <c r="G1314" t="s">
        <v>6543</v>
      </c>
      <c r="H1314" t="s">
        <v>6522</v>
      </c>
      <c r="I1314" t="s">
        <v>6544</v>
      </c>
      <c r="J1314" t="s">
        <v>6550</v>
      </c>
      <c r="K1314" t="s">
        <v>6546</v>
      </c>
      <c r="L1314" t="s">
        <v>7135</v>
      </c>
      <c r="M1314">
        <v>899.753662109375</v>
      </c>
      <c r="N1314" t="s">
        <v>54</v>
      </c>
      <c r="O1314" t="s">
        <v>53</v>
      </c>
      <c r="P1314" t="s">
        <v>53</v>
      </c>
      <c r="Q1314" t="s">
        <v>53</v>
      </c>
      <c r="R1314" t="s">
        <v>53</v>
      </c>
      <c r="S1314" t="s">
        <v>7236</v>
      </c>
      <c r="T1314" t="s">
        <v>6547</v>
      </c>
      <c r="U1314" t="s">
        <v>53</v>
      </c>
      <c r="V1314" t="s">
        <v>51</v>
      </c>
      <c r="W1314">
        <v>100000</v>
      </c>
      <c r="X1314" t="s">
        <v>53</v>
      </c>
      <c r="Y1314" t="s">
        <v>6509</v>
      </c>
      <c r="Z1314">
        <v>0</v>
      </c>
      <c r="AA1314">
        <v>120</v>
      </c>
      <c r="AB1314">
        <v>24</v>
      </c>
      <c r="AC1314">
        <v>60</v>
      </c>
      <c r="AD1314">
        <v>89</v>
      </c>
      <c r="AE1314">
        <v>89</v>
      </c>
      <c r="AF1314">
        <v>0</v>
      </c>
      <c r="AG1314">
        <v>0</v>
      </c>
      <c r="AH1314">
        <v>89.146781921386719</v>
      </c>
      <c r="AI1314">
        <v>0</v>
      </c>
      <c r="AJ1314">
        <v>23747.181640625</v>
      </c>
      <c r="AK1314" t="s">
        <v>53</v>
      </c>
      <c r="AL1314" t="s">
        <v>53</v>
      </c>
      <c r="AM1314" t="s">
        <v>6509</v>
      </c>
      <c r="AQ1314" t="s">
        <v>54</v>
      </c>
      <c r="AR1314" t="s">
        <v>6509</v>
      </c>
      <c r="AT1314" t="s">
        <v>6511</v>
      </c>
      <c r="AV1314" t="s">
        <v>6509</v>
      </c>
      <c r="AW1314" t="s">
        <v>53</v>
      </c>
      <c r="AX1314" t="s">
        <v>6509</v>
      </c>
      <c r="AZ1314" t="s">
        <v>54</v>
      </c>
      <c r="BA1314" t="s">
        <v>6512</v>
      </c>
    </row>
    <row r="1315" spans="1:53" x14ac:dyDescent="0.25">
      <c r="A1315">
        <v>1310</v>
      </c>
      <c r="B1315" t="s">
        <v>7237</v>
      </c>
      <c r="C1315" t="s">
        <v>7238</v>
      </c>
      <c r="D1315" t="s">
        <v>7113</v>
      </c>
      <c r="E1315">
        <v>7</v>
      </c>
      <c r="F1315" t="s">
        <v>6501</v>
      </c>
      <c r="G1315" t="s">
        <v>6826</v>
      </c>
      <c r="H1315" t="s">
        <v>6827</v>
      </c>
      <c r="I1315" t="s">
        <v>6828</v>
      </c>
      <c r="J1315" t="s">
        <v>6829</v>
      </c>
      <c r="K1315" t="s">
        <v>6830</v>
      </c>
      <c r="L1315" t="s">
        <v>7114</v>
      </c>
      <c r="M1315">
        <v>895.54052734375</v>
      </c>
      <c r="N1315" t="s">
        <v>54</v>
      </c>
      <c r="O1315" t="s">
        <v>53</v>
      </c>
      <c r="P1315" t="s">
        <v>53</v>
      </c>
      <c r="Q1315" t="s">
        <v>54</v>
      </c>
      <c r="R1315" t="s">
        <v>53</v>
      </c>
      <c r="S1315" t="s">
        <v>6831</v>
      </c>
      <c r="T1315" t="s">
        <v>6831</v>
      </c>
      <c r="U1315" t="s">
        <v>53</v>
      </c>
      <c r="V1315" t="s">
        <v>1973</v>
      </c>
      <c r="W1315">
        <v>100000</v>
      </c>
      <c r="X1315" t="s">
        <v>53</v>
      </c>
      <c r="Y1315" t="s">
        <v>6509</v>
      </c>
      <c r="Z1315">
        <v>0</v>
      </c>
      <c r="AA1315">
        <v>279</v>
      </c>
      <c r="AB1315">
        <v>62</v>
      </c>
      <c r="AC1315">
        <v>275</v>
      </c>
      <c r="AD1315">
        <v>325</v>
      </c>
      <c r="AE1315">
        <v>325</v>
      </c>
      <c r="AF1315">
        <v>2</v>
      </c>
      <c r="AG1315">
        <v>6</v>
      </c>
      <c r="AH1315">
        <v>349.60302734375</v>
      </c>
      <c r="AI1315">
        <v>0</v>
      </c>
      <c r="AJ1315">
        <v>45936.109375</v>
      </c>
      <c r="AK1315" t="s">
        <v>53</v>
      </c>
      <c r="AL1315" t="s">
        <v>53</v>
      </c>
      <c r="AM1315" t="s">
        <v>6509</v>
      </c>
      <c r="AQ1315" t="s">
        <v>54</v>
      </c>
      <c r="AR1315" t="s">
        <v>6509</v>
      </c>
      <c r="AT1315" t="s">
        <v>6511</v>
      </c>
      <c r="AV1315" t="s">
        <v>6509</v>
      </c>
      <c r="AW1315" t="s">
        <v>53</v>
      </c>
      <c r="AX1315" t="s">
        <v>6509</v>
      </c>
      <c r="AZ1315" t="s">
        <v>54</v>
      </c>
      <c r="BA1315" t="s">
        <v>6512</v>
      </c>
    </row>
    <row r="1316" spans="1:53" x14ac:dyDescent="0.25">
      <c r="A1316">
        <v>1311</v>
      </c>
      <c r="B1316" t="s">
        <v>7239</v>
      </c>
      <c r="C1316" t="s">
        <v>7240</v>
      </c>
      <c r="D1316" t="s">
        <v>7113</v>
      </c>
      <c r="E1316">
        <v>7</v>
      </c>
      <c r="F1316" t="s">
        <v>6501</v>
      </c>
      <c r="G1316" t="s">
        <v>6579</v>
      </c>
      <c r="H1316" t="s">
        <v>6580</v>
      </c>
      <c r="I1316" t="s">
        <v>6581</v>
      </c>
      <c r="J1316" t="s">
        <v>7241</v>
      </c>
      <c r="K1316" t="s">
        <v>6583</v>
      </c>
      <c r="L1316" t="s">
        <v>7114</v>
      </c>
      <c r="M1316">
        <v>3.961138010025024</v>
      </c>
      <c r="N1316" t="s">
        <v>53</v>
      </c>
      <c r="O1316" t="s">
        <v>53</v>
      </c>
      <c r="P1316" t="s">
        <v>53</v>
      </c>
      <c r="Q1316" t="s">
        <v>54</v>
      </c>
      <c r="R1316" t="s">
        <v>53</v>
      </c>
      <c r="S1316" t="s">
        <v>6584</v>
      </c>
      <c r="T1316" t="s">
        <v>6584</v>
      </c>
      <c r="U1316" t="s">
        <v>53</v>
      </c>
      <c r="V1316" t="s">
        <v>1973</v>
      </c>
      <c r="W1316">
        <v>100000</v>
      </c>
      <c r="X1316" t="s">
        <v>53</v>
      </c>
      <c r="Y1316" t="s">
        <v>6509</v>
      </c>
      <c r="Z1316">
        <v>0</v>
      </c>
      <c r="AA1316">
        <v>0</v>
      </c>
      <c r="AB1316">
        <v>0</v>
      </c>
      <c r="AC1316">
        <v>0</v>
      </c>
      <c r="AD1316">
        <v>0</v>
      </c>
      <c r="AE1316">
        <v>0</v>
      </c>
      <c r="AF1316">
        <v>0</v>
      </c>
      <c r="AG1316">
        <v>0</v>
      </c>
      <c r="AH1316">
        <v>2.9531834125518799</v>
      </c>
      <c r="AI1316">
        <v>0</v>
      </c>
      <c r="AJ1316">
        <v>158.498046875</v>
      </c>
      <c r="AK1316" t="s">
        <v>53</v>
      </c>
      <c r="AL1316" t="s">
        <v>53</v>
      </c>
      <c r="AM1316" t="s">
        <v>6509</v>
      </c>
      <c r="AQ1316" t="s">
        <v>54</v>
      </c>
      <c r="AR1316" t="s">
        <v>6509</v>
      </c>
      <c r="AT1316" t="s">
        <v>6511</v>
      </c>
      <c r="AV1316" t="s">
        <v>6509</v>
      </c>
      <c r="AW1316" t="s">
        <v>53</v>
      </c>
      <c r="AX1316" t="s">
        <v>6509</v>
      </c>
      <c r="AZ1316" t="s">
        <v>54</v>
      </c>
      <c r="BA1316" t="s">
        <v>6512</v>
      </c>
    </row>
    <row r="1317" spans="1:53" x14ac:dyDescent="0.25">
      <c r="A1317">
        <v>1312</v>
      </c>
      <c r="B1317" t="s">
        <v>7242</v>
      </c>
      <c r="C1317" t="s">
        <v>7243</v>
      </c>
      <c r="D1317" t="s">
        <v>7113</v>
      </c>
      <c r="E1317">
        <v>7</v>
      </c>
      <c r="F1317" t="s">
        <v>6501</v>
      </c>
      <c r="G1317" t="s">
        <v>6837</v>
      </c>
      <c r="H1317" t="s">
        <v>6838</v>
      </c>
      <c r="I1317" t="s">
        <v>6839</v>
      </c>
      <c r="J1317" t="s">
        <v>6840</v>
      </c>
      <c r="K1317" t="s">
        <v>6841</v>
      </c>
      <c r="L1317" t="s">
        <v>7114</v>
      </c>
      <c r="M1317">
        <v>898.26702880859375</v>
      </c>
      <c r="N1317" t="s">
        <v>54</v>
      </c>
      <c r="O1317" t="s">
        <v>53</v>
      </c>
      <c r="P1317" t="s">
        <v>54</v>
      </c>
      <c r="Q1317" t="s">
        <v>54</v>
      </c>
      <c r="R1317" t="s">
        <v>53</v>
      </c>
      <c r="S1317" t="s">
        <v>6842</v>
      </c>
      <c r="T1317" t="s">
        <v>6842</v>
      </c>
      <c r="U1317" t="s">
        <v>53</v>
      </c>
      <c r="V1317" t="s">
        <v>1973</v>
      </c>
      <c r="W1317">
        <v>100000</v>
      </c>
      <c r="X1317" t="s">
        <v>53</v>
      </c>
      <c r="Y1317" t="s">
        <v>6509</v>
      </c>
      <c r="Z1317">
        <v>0</v>
      </c>
      <c r="AA1317">
        <v>6880</v>
      </c>
      <c r="AB1317">
        <v>5342</v>
      </c>
      <c r="AC1317">
        <v>18411</v>
      </c>
      <c r="AD1317">
        <v>20269</v>
      </c>
      <c r="AE1317">
        <v>20269</v>
      </c>
      <c r="AF1317">
        <v>9</v>
      </c>
      <c r="AG1317">
        <v>29</v>
      </c>
      <c r="AH1317">
        <v>357.54483032226563</v>
      </c>
      <c r="AI1317">
        <v>0</v>
      </c>
      <c r="AJ1317">
        <v>50570.1484375</v>
      </c>
      <c r="AK1317" t="s">
        <v>53</v>
      </c>
      <c r="AL1317" t="s">
        <v>53</v>
      </c>
      <c r="AM1317" t="s">
        <v>6509</v>
      </c>
      <c r="AQ1317" t="s">
        <v>54</v>
      </c>
      <c r="AR1317" t="s">
        <v>6509</v>
      </c>
      <c r="AT1317" t="s">
        <v>6511</v>
      </c>
      <c r="AV1317" t="s">
        <v>6509</v>
      </c>
      <c r="AW1317" t="s">
        <v>53</v>
      </c>
      <c r="AX1317" t="s">
        <v>6509</v>
      </c>
      <c r="AZ1317" t="s">
        <v>54</v>
      </c>
      <c r="BA1317" t="s">
        <v>6512</v>
      </c>
    </row>
    <row r="1318" spans="1:53" x14ac:dyDescent="0.25">
      <c r="A1318">
        <v>1313</v>
      </c>
      <c r="B1318" t="s">
        <v>7244</v>
      </c>
      <c r="C1318" t="s">
        <v>7245</v>
      </c>
      <c r="D1318" t="s">
        <v>7153</v>
      </c>
      <c r="E1318">
        <v>7</v>
      </c>
      <c r="F1318" t="s">
        <v>6501</v>
      </c>
      <c r="G1318" t="s">
        <v>6837</v>
      </c>
      <c r="H1318" t="s">
        <v>6838</v>
      </c>
      <c r="I1318" t="s">
        <v>6839</v>
      </c>
      <c r="J1318" t="s">
        <v>6840</v>
      </c>
      <c r="K1318" t="s">
        <v>6841</v>
      </c>
      <c r="L1318" t="s">
        <v>7135</v>
      </c>
      <c r="M1318">
        <v>898.26702880859375</v>
      </c>
      <c r="N1318" t="s">
        <v>54</v>
      </c>
      <c r="O1318" t="s">
        <v>53</v>
      </c>
      <c r="P1318" t="s">
        <v>54</v>
      </c>
      <c r="Q1318" t="s">
        <v>54</v>
      </c>
      <c r="R1318" t="s">
        <v>53</v>
      </c>
      <c r="S1318" t="s">
        <v>6842</v>
      </c>
      <c r="T1318" t="s">
        <v>6842</v>
      </c>
      <c r="U1318" t="s">
        <v>53</v>
      </c>
      <c r="V1318" t="s">
        <v>51</v>
      </c>
      <c r="W1318">
        <v>1000000</v>
      </c>
      <c r="X1318" t="s">
        <v>53</v>
      </c>
      <c r="Y1318" t="s">
        <v>6509</v>
      </c>
      <c r="Z1318">
        <v>0</v>
      </c>
      <c r="AA1318">
        <v>6880</v>
      </c>
      <c r="AB1318">
        <v>5342</v>
      </c>
      <c r="AC1318">
        <v>18411</v>
      </c>
      <c r="AD1318">
        <v>20269</v>
      </c>
      <c r="AE1318">
        <v>20269</v>
      </c>
      <c r="AF1318">
        <v>9</v>
      </c>
      <c r="AG1318">
        <v>29</v>
      </c>
      <c r="AH1318">
        <v>357.54483032226563</v>
      </c>
      <c r="AI1318">
        <v>0</v>
      </c>
      <c r="AJ1318">
        <v>50570.1484375</v>
      </c>
      <c r="AK1318" t="s">
        <v>53</v>
      </c>
      <c r="AL1318" t="s">
        <v>53</v>
      </c>
      <c r="AM1318" t="s">
        <v>6509</v>
      </c>
      <c r="AQ1318" t="s">
        <v>54</v>
      </c>
      <c r="AR1318" t="s">
        <v>6509</v>
      </c>
      <c r="AT1318" t="s">
        <v>6511</v>
      </c>
      <c r="AV1318" t="s">
        <v>6509</v>
      </c>
      <c r="AW1318" t="s">
        <v>53</v>
      </c>
      <c r="AX1318" t="s">
        <v>6509</v>
      </c>
      <c r="AZ1318" t="s">
        <v>54</v>
      </c>
      <c r="BA1318" t="s">
        <v>6512</v>
      </c>
    </row>
    <row r="1319" spans="1:53" x14ac:dyDescent="0.25">
      <c r="A1319">
        <v>1314</v>
      </c>
      <c r="B1319" t="s">
        <v>7246</v>
      </c>
      <c r="C1319" t="s">
        <v>7247</v>
      </c>
      <c r="D1319" t="s">
        <v>7113</v>
      </c>
      <c r="E1319">
        <v>7</v>
      </c>
      <c r="F1319" t="s">
        <v>6501</v>
      </c>
      <c r="G1319" t="s">
        <v>6691</v>
      </c>
      <c r="H1319" t="s">
        <v>6692</v>
      </c>
      <c r="I1319" t="s">
        <v>6693</v>
      </c>
      <c r="J1319" t="s">
        <v>6694</v>
      </c>
      <c r="K1319" t="s">
        <v>6695</v>
      </c>
      <c r="L1319" t="s">
        <v>7114</v>
      </c>
      <c r="M1319">
        <v>884.7744140625</v>
      </c>
      <c r="N1319" t="s">
        <v>54</v>
      </c>
      <c r="O1319" t="s">
        <v>53</v>
      </c>
      <c r="P1319" t="s">
        <v>53</v>
      </c>
      <c r="Q1319" t="s">
        <v>54</v>
      </c>
      <c r="R1319" t="s">
        <v>53</v>
      </c>
      <c r="S1319" t="s">
        <v>6696</v>
      </c>
      <c r="T1319" t="s">
        <v>6696</v>
      </c>
      <c r="U1319" t="s">
        <v>53</v>
      </c>
      <c r="V1319" t="s">
        <v>1973</v>
      </c>
      <c r="W1319">
        <v>100000</v>
      </c>
      <c r="X1319" t="s">
        <v>53</v>
      </c>
      <c r="Y1319" t="s">
        <v>6509</v>
      </c>
      <c r="Z1319">
        <v>0</v>
      </c>
      <c r="AA1319">
        <v>158</v>
      </c>
      <c r="AB1319">
        <v>34</v>
      </c>
      <c r="AC1319">
        <v>315</v>
      </c>
      <c r="AD1319">
        <v>123</v>
      </c>
      <c r="AE1319">
        <v>315</v>
      </c>
      <c r="AF1319">
        <v>0</v>
      </c>
      <c r="AG1319">
        <v>11</v>
      </c>
      <c r="AH1319">
        <v>97.674766540527344</v>
      </c>
      <c r="AI1319">
        <v>0</v>
      </c>
      <c r="AJ1319">
        <v>10113.4794921875</v>
      </c>
      <c r="AK1319" t="s">
        <v>53</v>
      </c>
      <c r="AL1319" t="s">
        <v>53</v>
      </c>
      <c r="AM1319" t="s">
        <v>6509</v>
      </c>
      <c r="AQ1319" t="s">
        <v>54</v>
      </c>
      <c r="AR1319" t="s">
        <v>6509</v>
      </c>
      <c r="AT1319" t="s">
        <v>6511</v>
      </c>
      <c r="AV1319" t="s">
        <v>6509</v>
      </c>
      <c r="AW1319" t="s">
        <v>53</v>
      </c>
      <c r="AX1319" t="s">
        <v>6509</v>
      </c>
      <c r="AZ1319" t="s">
        <v>54</v>
      </c>
      <c r="BA1319" t="s">
        <v>6512</v>
      </c>
    </row>
    <row r="1320" spans="1:53" x14ac:dyDescent="0.25">
      <c r="A1320">
        <v>1315</v>
      </c>
      <c r="B1320" t="s">
        <v>7248</v>
      </c>
      <c r="C1320" t="s">
        <v>7249</v>
      </c>
      <c r="D1320" t="s">
        <v>7113</v>
      </c>
      <c r="E1320">
        <v>7</v>
      </c>
      <c r="F1320" t="s">
        <v>6501</v>
      </c>
      <c r="G1320" t="s">
        <v>6703</v>
      </c>
      <c r="H1320" t="s">
        <v>6704</v>
      </c>
      <c r="I1320" t="s">
        <v>6705</v>
      </c>
      <c r="J1320" t="s">
        <v>6706</v>
      </c>
      <c r="K1320" t="s">
        <v>6707</v>
      </c>
      <c r="L1320" t="s">
        <v>7114</v>
      </c>
      <c r="M1320">
        <v>673.42742919921875</v>
      </c>
      <c r="N1320" t="s">
        <v>53</v>
      </c>
      <c r="O1320" t="s">
        <v>53</v>
      </c>
      <c r="P1320" t="s">
        <v>53</v>
      </c>
      <c r="Q1320" t="s">
        <v>54</v>
      </c>
      <c r="R1320" t="s">
        <v>53</v>
      </c>
      <c r="S1320" t="s">
        <v>6708</v>
      </c>
      <c r="T1320" t="s">
        <v>6708</v>
      </c>
      <c r="U1320" t="s">
        <v>53</v>
      </c>
      <c r="V1320" t="s">
        <v>1973</v>
      </c>
      <c r="W1320">
        <v>100000</v>
      </c>
      <c r="X1320" t="s">
        <v>53</v>
      </c>
      <c r="Y1320" t="s">
        <v>6509</v>
      </c>
      <c r="Z1320">
        <v>0</v>
      </c>
      <c r="AA1320">
        <v>81</v>
      </c>
      <c r="AB1320">
        <v>29</v>
      </c>
      <c r="AC1320">
        <v>217</v>
      </c>
      <c r="AD1320">
        <v>96</v>
      </c>
      <c r="AE1320">
        <v>217</v>
      </c>
      <c r="AF1320">
        <v>0</v>
      </c>
      <c r="AG1320">
        <v>7</v>
      </c>
      <c r="AH1320">
        <v>475.17532348632813</v>
      </c>
      <c r="AI1320">
        <v>0</v>
      </c>
      <c r="AJ1320">
        <v>52668.8515625</v>
      </c>
      <c r="AK1320" t="s">
        <v>53</v>
      </c>
      <c r="AL1320" t="s">
        <v>53</v>
      </c>
      <c r="AM1320" t="s">
        <v>6509</v>
      </c>
      <c r="AQ1320" t="s">
        <v>54</v>
      </c>
      <c r="AR1320" t="s">
        <v>6509</v>
      </c>
      <c r="AT1320" t="s">
        <v>6511</v>
      </c>
      <c r="AV1320" t="s">
        <v>6509</v>
      </c>
      <c r="AW1320" t="s">
        <v>53</v>
      </c>
      <c r="AX1320" t="s">
        <v>6509</v>
      </c>
      <c r="AZ1320" t="s">
        <v>54</v>
      </c>
      <c r="BA1320" t="s">
        <v>6512</v>
      </c>
    </row>
    <row r="1321" spans="1:53" x14ac:dyDescent="0.25">
      <c r="A1321">
        <v>1316</v>
      </c>
      <c r="B1321" t="s">
        <v>7250</v>
      </c>
      <c r="C1321" t="s">
        <v>7251</v>
      </c>
      <c r="D1321" t="s">
        <v>7113</v>
      </c>
      <c r="E1321">
        <v>7</v>
      </c>
      <c r="F1321" t="s">
        <v>6501</v>
      </c>
      <c r="G1321" t="s">
        <v>6667</v>
      </c>
      <c r="H1321" t="s">
        <v>6668</v>
      </c>
      <c r="I1321" t="s">
        <v>6669</v>
      </c>
      <c r="J1321" t="s">
        <v>6670</v>
      </c>
      <c r="K1321" t="s">
        <v>6671</v>
      </c>
      <c r="L1321" t="s">
        <v>7114</v>
      </c>
      <c r="M1321">
        <v>888.1365966796875</v>
      </c>
      <c r="N1321" t="s">
        <v>54</v>
      </c>
      <c r="O1321" t="s">
        <v>53</v>
      </c>
      <c r="P1321" t="s">
        <v>53</v>
      </c>
      <c r="Q1321" t="s">
        <v>53</v>
      </c>
      <c r="R1321" t="s">
        <v>53</v>
      </c>
      <c r="S1321" t="s">
        <v>6672</v>
      </c>
      <c r="T1321" t="s">
        <v>6672</v>
      </c>
      <c r="U1321" t="s">
        <v>53</v>
      </c>
      <c r="V1321" t="s">
        <v>1973</v>
      </c>
      <c r="W1321">
        <v>100000</v>
      </c>
      <c r="X1321" t="s">
        <v>53</v>
      </c>
      <c r="Y1321" t="s">
        <v>6509</v>
      </c>
      <c r="Z1321">
        <v>0</v>
      </c>
      <c r="AA1321">
        <v>38</v>
      </c>
      <c r="AB1321">
        <v>3</v>
      </c>
      <c r="AC1321">
        <v>0</v>
      </c>
      <c r="AD1321">
        <v>3</v>
      </c>
      <c r="AE1321">
        <v>3</v>
      </c>
      <c r="AF1321">
        <v>1</v>
      </c>
      <c r="AG1321">
        <v>4</v>
      </c>
      <c r="AH1321">
        <v>40.555728912353523</v>
      </c>
      <c r="AI1321">
        <v>0</v>
      </c>
      <c r="AJ1321">
        <v>3243.90771484375</v>
      </c>
      <c r="AK1321" t="s">
        <v>53</v>
      </c>
      <c r="AL1321" t="s">
        <v>53</v>
      </c>
      <c r="AM1321" t="s">
        <v>6509</v>
      </c>
      <c r="AQ1321" t="s">
        <v>54</v>
      </c>
      <c r="AR1321" t="s">
        <v>6509</v>
      </c>
      <c r="AT1321" t="s">
        <v>6511</v>
      </c>
      <c r="AV1321" t="s">
        <v>6509</v>
      </c>
      <c r="AW1321" t="s">
        <v>53</v>
      </c>
      <c r="AX1321" t="s">
        <v>6509</v>
      </c>
      <c r="AZ1321" t="s">
        <v>54</v>
      </c>
      <c r="BA1321" t="s">
        <v>6512</v>
      </c>
    </row>
    <row r="1322" spans="1:53" x14ac:dyDescent="0.25">
      <c r="A1322">
        <v>1317</v>
      </c>
      <c r="B1322" t="s">
        <v>7252</v>
      </c>
      <c r="C1322" t="s">
        <v>7253</v>
      </c>
      <c r="D1322" t="s">
        <v>7254</v>
      </c>
      <c r="E1322">
        <v>7</v>
      </c>
      <c r="F1322" t="s">
        <v>6501</v>
      </c>
      <c r="G1322" t="s">
        <v>6667</v>
      </c>
      <c r="H1322" t="s">
        <v>6668</v>
      </c>
      <c r="I1322" t="s">
        <v>6669</v>
      </c>
      <c r="J1322" t="s">
        <v>6670</v>
      </c>
      <c r="K1322" t="s">
        <v>6671</v>
      </c>
      <c r="L1322" t="s">
        <v>7118</v>
      </c>
      <c r="M1322">
        <v>888.1365966796875</v>
      </c>
      <c r="N1322" t="s">
        <v>54</v>
      </c>
      <c r="O1322" t="s">
        <v>53</v>
      </c>
      <c r="P1322" t="s">
        <v>53</v>
      </c>
      <c r="Q1322" t="s">
        <v>53</v>
      </c>
      <c r="R1322" t="s">
        <v>53</v>
      </c>
      <c r="S1322" t="s">
        <v>6672</v>
      </c>
      <c r="T1322" t="s">
        <v>6672</v>
      </c>
      <c r="U1322" t="s">
        <v>53</v>
      </c>
      <c r="V1322" t="s">
        <v>51</v>
      </c>
      <c r="W1322">
        <v>100000</v>
      </c>
      <c r="X1322" t="s">
        <v>53</v>
      </c>
      <c r="Y1322" t="s">
        <v>6509</v>
      </c>
      <c r="Z1322">
        <v>0</v>
      </c>
      <c r="AA1322">
        <v>38</v>
      </c>
      <c r="AB1322">
        <v>3</v>
      </c>
      <c r="AC1322">
        <v>0</v>
      </c>
      <c r="AD1322">
        <v>3</v>
      </c>
      <c r="AE1322">
        <v>3</v>
      </c>
      <c r="AF1322">
        <v>1</v>
      </c>
      <c r="AG1322">
        <v>4</v>
      </c>
      <c r="AH1322">
        <v>40.555728912353523</v>
      </c>
      <c r="AI1322">
        <v>0</v>
      </c>
      <c r="AJ1322">
        <v>3243.90771484375</v>
      </c>
      <c r="AK1322" t="s">
        <v>53</v>
      </c>
      <c r="AL1322" t="s">
        <v>53</v>
      </c>
      <c r="AM1322" t="s">
        <v>6509</v>
      </c>
      <c r="AQ1322" t="s">
        <v>54</v>
      </c>
      <c r="AR1322" t="s">
        <v>6509</v>
      </c>
      <c r="AT1322" t="s">
        <v>6511</v>
      </c>
      <c r="AV1322" t="s">
        <v>6509</v>
      </c>
      <c r="AW1322" t="s">
        <v>53</v>
      </c>
      <c r="AX1322" t="s">
        <v>6509</v>
      </c>
      <c r="AZ1322" t="s">
        <v>54</v>
      </c>
      <c r="BA1322" t="s">
        <v>6512</v>
      </c>
    </row>
    <row r="1323" spans="1:53" x14ac:dyDescent="0.25">
      <c r="A1323">
        <v>1318</v>
      </c>
      <c r="B1323" t="s">
        <v>7255</v>
      </c>
      <c r="C1323" t="s">
        <v>7256</v>
      </c>
      <c r="D1323" t="s">
        <v>7113</v>
      </c>
      <c r="E1323">
        <v>7</v>
      </c>
      <c r="F1323" t="s">
        <v>6501</v>
      </c>
      <c r="G1323" t="s">
        <v>6775</v>
      </c>
      <c r="H1323" t="s">
        <v>6776</v>
      </c>
      <c r="I1323" t="s">
        <v>6777</v>
      </c>
      <c r="J1323" t="s">
        <v>6778</v>
      </c>
      <c r="K1323" t="s">
        <v>6779</v>
      </c>
      <c r="L1323" t="s">
        <v>7114</v>
      </c>
      <c r="M1323">
        <v>24.941936492919918</v>
      </c>
      <c r="N1323" t="s">
        <v>53</v>
      </c>
      <c r="O1323" t="s">
        <v>53</v>
      </c>
      <c r="P1323" t="s">
        <v>53</v>
      </c>
      <c r="Q1323" t="s">
        <v>54</v>
      </c>
      <c r="R1323" t="s">
        <v>53</v>
      </c>
      <c r="S1323" t="s">
        <v>6780</v>
      </c>
      <c r="T1323" t="s">
        <v>6780</v>
      </c>
      <c r="U1323" t="s">
        <v>53</v>
      </c>
      <c r="V1323" t="s">
        <v>1973</v>
      </c>
      <c r="W1323">
        <v>100000</v>
      </c>
      <c r="X1323" t="s">
        <v>53</v>
      </c>
      <c r="Y1323" t="s">
        <v>6509</v>
      </c>
      <c r="Z1323">
        <v>0</v>
      </c>
      <c r="AA1323">
        <v>4</v>
      </c>
      <c r="AB1323">
        <v>0</v>
      </c>
      <c r="AC1323">
        <v>1</v>
      </c>
      <c r="AD1323">
        <v>5</v>
      </c>
      <c r="AE1323">
        <v>5</v>
      </c>
      <c r="AF1323">
        <v>0</v>
      </c>
      <c r="AG1323">
        <v>0</v>
      </c>
      <c r="AH1323">
        <v>27.414487838745121</v>
      </c>
      <c r="AI1323">
        <v>0</v>
      </c>
      <c r="AJ1323">
        <v>3373.045166015625</v>
      </c>
      <c r="AK1323" t="s">
        <v>53</v>
      </c>
      <c r="AL1323" t="s">
        <v>53</v>
      </c>
      <c r="AM1323" t="s">
        <v>6509</v>
      </c>
      <c r="AQ1323" t="s">
        <v>54</v>
      </c>
      <c r="AR1323" t="s">
        <v>6509</v>
      </c>
      <c r="AT1323" t="s">
        <v>6511</v>
      </c>
      <c r="AV1323" t="s">
        <v>6509</v>
      </c>
      <c r="AW1323" t="s">
        <v>53</v>
      </c>
      <c r="AX1323" t="s">
        <v>6509</v>
      </c>
      <c r="AZ1323" t="s">
        <v>54</v>
      </c>
      <c r="BA1323" t="s">
        <v>6512</v>
      </c>
    </row>
    <row r="1324" spans="1:53" x14ac:dyDescent="0.25">
      <c r="A1324">
        <v>1319</v>
      </c>
      <c r="B1324" t="s">
        <v>7257</v>
      </c>
      <c r="C1324" t="s">
        <v>7258</v>
      </c>
      <c r="D1324" t="s">
        <v>7113</v>
      </c>
      <c r="E1324">
        <v>7</v>
      </c>
      <c r="F1324" t="s">
        <v>6501</v>
      </c>
      <c r="G1324" t="s">
        <v>2906</v>
      </c>
      <c r="H1324" t="s">
        <v>6872</v>
      </c>
      <c r="I1324" t="s">
        <v>6873</v>
      </c>
      <c r="J1324" t="s">
        <v>6874</v>
      </c>
      <c r="K1324" t="s">
        <v>6875</v>
      </c>
      <c r="L1324" t="s">
        <v>7114</v>
      </c>
      <c r="M1324">
        <v>552.8782958984375</v>
      </c>
      <c r="N1324" t="s">
        <v>53</v>
      </c>
      <c r="O1324" t="s">
        <v>53</v>
      </c>
      <c r="P1324" t="s">
        <v>53</v>
      </c>
      <c r="Q1324" t="s">
        <v>54</v>
      </c>
      <c r="R1324" t="s">
        <v>53</v>
      </c>
      <c r="S1324" t="s">
        <v>2910</v>
      </c>
      <c r="T1324" t="s">
        <v>2910</v>
      </c>
      <c r="U1324" t="s">
        <v>53</v>
      </c>
      <c r="V1324" t="s">
        <v>1973</v>
      </c>
      <c r="W1324">
        <v>100000</v>
      </c>
      <c r="X1324" t="s">
        <v>53</v>
      </c>
      <c r="Y1324" t="s">
        <v>6509</v>
      </c>
      <c r="Z1324">
        <v>0</v>
      </c>
      <c r="AA1324">
        <v>51</v>
      </c>
      <c r="AB1324">
        <v>4</v>
      </c>
      <c r="AC1324">
        <v>47</v>
      </c>
      <c r="AD1324">
        <v>39</v>
      </c>
      <c r="AE1324">
        <v>47</v>
      </c>
      <c r="AF1324">
        <v>0</v>
      </c>
      <c r="AG1324">
        <v>5</v>
      </c>
      <c r="AH1324">
        <v>343.33282470703119</v>
      </c>
      <c r="AI1324">
        <v>0</v>
      </c>
      <c r="AJ1324">
        <v>11929.7109375</v>
      </c>
      <c r="AK1324" t="s">
        <v>53</v>
      </c>
      <c r="AL1324" t="s">
        <v>53</v>
      </c>
      <c r="AM1324" t="s">
        <v>6509</v>
      </c>
      <c r="AQ1324" t="s">
        <v>54</v>
      </c>
      <c r="AR1324" t="s">
        <v>6509</v>
      </c>
      <c r="AT1324" t="s">
        <v>6511</v>
      </c>
      <c r="AV1324" t="s">
        <v>6509</v>
      </c>
      <c r="AW1324" t="s">
        <v>53</v>
      </c>
      <c r="AX1324" t="s">
        <v>6509</v>
      </c>
      <c r="AZ1324" t="s">
        <v>54</v>
      </c>
      <c r="BA1324" t="s">
        <v>6512</v>
      </c>
    </row>
    <row r="1325" spans="1:53" x14ac:dyDescent="0.25">
      <c r="A1325">
        <v>1320</v>
      </c>
      <c r="B1325" t="s">
        <v>7259</v>
      </c>
      <c r="C1325" t="s">
        <v>7260</v>
      </c>
      <c r="D1325" t="s">
        <v>7261</v>
      </c>
      <c r="E1325">
        <v>7</v>
      </c>
      <c r="F1325" t="s">
        <v>6501</v>
      </c>
      <c r="G1325" t="s">
        <v>2428</v>
      </c>
      <c r="H1325" t="s">
        <v>6785</v>
      </c>
      <c r="I1325" t="s">
        <v>6786</v>
      </c>
      <c r="J1325" t="s">
        <v>6787</v>
      </c>
      <c r="K1325" t="s">
        <v>6788</v>
      </c>
      <c r="L1325" t="s">
        <v>7135</v>
      </c>
      <c r="M1325">
        <v>432.36611938476563</v>
      </c>
      <c r="N1325" t="s">
        <v>54</v>
      </c>
      <c r="O1325" t="s">
        <v>53</v>
      </c>
      <c r="P1325" t="s">
        <v>53</v>
      </c>
      <c r="Q1325" t="s">
        <v>53</v>
      </c>
      <c r="R1325" t="s">
        <v>53</v>
      </c>
      <c r="S1325" t="s">
        <v>2433</v>
      </c>
      <c r="T1325" t="s">
        <v>2433</v>
      </c>
      <c r="U1325" t="s">
        <v>53</v>
      </c>
      <c r="V1325" t="s">
        <v>1973</v>
      </c>
      <c r="W1325">
        <v>25000</v>
      </c>
      <c r="X1325" t="s">
        <v>53</v>
      </c>
      <c r="Y1325" t="s">
        <v>6509</v>
      </c>
      <c r="Z1325">
        <v>0</v>
      </c>
      <c r="AA1325">
        <v>968</v>
      </c>
      <c r="AB1325">
        <v>526</v>
      </c>
      <c r="AC1325">
        <v>1207</v>
      </c>
      <c r="AD1325">
        <v>1310</v>
      </c>
      <c r="AE1325">
        <v>1310</v>
      </c>
      <c r="AF1325">
        <v>4</v>
      </c>
      <c r="AG1325">
        <v>2</v>
      </c>
      <c r="AH1325">
        <v>130.4964294433594</v>
      </c>
      <c r="AI1325">
        <v>0</v>
      </c>
      <c r="AJ1325">
        <v>33293.21875</v>
      </c>
      <c r="AK1325" t="s">
        <v>53</v>
      </c>
      <c r="AL1325" t="s">
        <v>53</v>
      </c>
      <c r="AM1325" t="s">
        <v>6509</v>
      </c>
      <c r="AQ1325" t="s">
        <v>54</v>
      </c>
      <c r="AR1325" t="s">
        <v>6509</v>
      </c>
      <c r="AT1325" t="s">
        <v>6511</v>
      </c>
      <c r="AV1325" t="s">
        <v>6509</v>
      </c>
      <c r="AW1325" t="s">
        <v>53</v>
      </c>
      <c r="AX1325" t="s">
        <v>6509</v>
      </c>
      <c r="AZ1325" t="s">
        <v>54</v>
      </c>
      <c r="BA1325" t="s">
        <v>6512</v>
      </c>
    </row>
    <row r="1326" spans="1:53" x14ac:dyDescent="0.25">
      <c r="A1326">
        <v>1321</v>
      </c>
      <c r="B1326" t="s">
        <v>7262</v>
      </c>
      <c r="C1326" t="s">
        <v>7263</v>
      </c>
      <c r="D1326" t="s">
        <v>7113</v>
      </c>
      <c r="E1326">
        <v>7</v>
      </c>
      <c r="F1326" t="s">
        <v>6501</v>
      </c>
      <c r="G1326" t="s">
        <v>2428</v>
      </c>
      <c r="H1326" t="s">
        <v>6785</v>
      </c>
      <c r="I1326" t="s">
        <v>6786</v>
      </c>
      <c r="J1326" t="s">
        <v>6787</v>
      </c>
      <c r="K1326" t="s">
        <v>6788</v>
      </c>
      <c r="L1326" t="s">
        <v>7114</v>
      </c>
      <c r="M1326">
        <v>432.36611938476563</v>
      </c>
      <c r="N1326" t="s">
        <v>54</v>
      </c>
      <c r="O1326" t="s">
        <v>53</v>
      </c>
      <c r="P1326" t="s">
        <v>53</v>
      </c>
      <c r="Q1326" t="s">
        <v>53</v>
      </c>
      <c r="R1326" t="s">
        <v>53</v>
      </c>
      <c r="S1326" t="s">
        <v>2433</v>
      </c>
      <c r="T1326" t="s">
        <v>2433</v>
      </c>
      <c r="U1326" t="s">
        <v>53</v>
      </c>
      <c r="V1326" t="s">
        <v>1973</v>
      </c>
      <c r="W1326">
        <v>100000</v>
      </c>
      <c r="X1326" t="s">
        <v>53</v>
      </c>
      <c r="Y1326" t="s">
        <v>6509</v>
      </c>
      <c r="Z1326">
        <v>0</v>
      </c>
      <c r="AA1326">
        <v>968</v>
      </c>
      <c r="AB1326">
        <v>526</v>
      </c>
      <c r="AC1326">
        <v>1207</v>
      </c>
      <c r="AD1326">
        <v>1310</v>
      </c>
      <c r="AE1326">
        <v>1310</v>
      </c>
      <c r="AF1326">
        <v>4</v>
      </c>
      <c r="AG1326">
        <v>2</v>
      </c>
      <c r="AH1326">
        <v>130.4964294433594</v>
      </c>
      <c r="AI1326">
        <v>0</v>
      </c>
      <c r="AJ1326">
        <v>33293.21875</v>
      </c>
      <c r="AK1326" t="s">
        <v>53</v>
      </c>
      <c r="AL1326" t="s">
        <v>53</v>
      </c>
      <c r="AM1326" t="s">
        <v>6509</v>
      </c>
      <c r="AQ1326" t="s">
        <v>54</v>
      </c>
      <c r="AR1326" t="s">
        <v>6509</v>
      </c>
      <c r="AT1326" t="s">
        <v>6511</v>
      </c>
      <c r="AV1326" t="s">
        <v>6509</v>
      </c>
      <c r="AW1326" t="s">
        <v>53</v>
      </c>
      <c r="AX1326" t="s">
        <v>6509</v>
      </c>
      <c r="AZ1326" t="s">
        <v>54</v>
      </c>
      <c r="BA1326" t="s">
        <v>6512</v>
      </c>
    </row>
    <row r="1327" spans="1:53" x14ac:dyDescent="0.25">
      <c r="A1327">
        <v>1322</v>
      </c>
      <c r="B1327" t="s">
        <v>7264</v>
      </c>
      <c r="C1327" t="s">
        <v>7265</v>
      </c>
      <c r="D1327" t="s">
        <v>7195</v>
      </c>
      <c r="E1327">
        <v>7</v>
      </c>
      <c r="F1327" t="s">
        <v>6501</v>
      </c>
      <c r="G1327" t="s">
        <v>2428</v>
      </c>
      <c r="H1327" t="s">
        <v>6785</v>
      </c>
      <c r="I1327" t="s">
        <v>6786</v>
      </c>
      <c r="J1327" t="s">
        <v>6787</v>
      </c>
      <c r="K1327" t="s">
        <v>6788</v>
      </c>
      <c r="L1327" t="s">
        <v>7118</v>
      </c>
      <c r="M1327">
        <v>432.36611938476563</v>
      </c>
      <c r="N1327" t="s">
        <v>54</v>
      </c>
      <c r="O1327" t="s">
        <v>53</v>
      </c>
      <c r="P1327" t="s">
        <v>53</v>
      </c>
      <c r="Q1327" t="s">
        <v>53</v>
      </c>
      <c r="R1327" t="s">
        <v>53</v>
      </c>
      <c r="S1327" t="s">
        <v>2433</v>
      </c>
      <c r="T1327" t="s">
        <v>2433</v>
      </c>
      <c r="U1327" t="s">
        <v>53</v>
      </c>
      <c r="V1327" t="s">
        <v>51</v>
      </c>
      <c r="W1327">
        <v>100000</v>
      </c>
      <c r="X1327" t="s">
        <v>53</v>
      </c>
      <c r="Y1327" t="s">
        <v>6509</v>
      </c>
      <c r="Z1327">
        <v>0</v>
      </c>
      <c r="AA1327">
        <v>968</v>
      </c>
      <c r="AB1327">
        <v>526</v>
      </c>
      <c r="AC1327">
        <v>1207</v>
      </c>
      <c r="AD1327">
        <v>1310</v>
      </c>
      <c r="AE1327">
        <v>1310</v>
      </c>
      <c r="AF1327">
        <v>4</v>
      </c>
      <c r="AG1327">
        <v>2</v>
      </c>
      <c r="AH1327">
        <v>130.4964294433594</v>
      </c>
      <c r="AI1327">
        <v>0</v>
      </c>
      <c r="AJ1327">
        <v>33293.21875</v>
      </c>
      <c r="AK1327" t="s">
        <v>53</v>
      </c>
      <c r="AL1327" t="s">
        <v>53</v>
      </c>
      <c r="AM1327" t="s">
        <v>6509</v>
      </c>
      <c r="AQ1327" t="s">
        <v>54</v>
      </c>
      <c r="AR1327" t="s">
        <v>6509</v>
      </c>
      <c r="AT1327" t="s">
        <v>6511</v>
      </c>
      <c r="AV1327" t="s">
        <v>6509</v>
      </c>
      <c r="AW1327" t="s">
        <v>53</v>
      </c>
      <c r="AX1327" t="s">
        <v>6509</v>
      </c>
      <c r="AZ1327" t="s">
        <v>54</v>
      </c>
      <c r="BA1327" t="s">
        <v>6512</v>
      </c>
    </row>
    <row r="1328" spans="1:53" x14ac:dyDescent="0.25">
      <c r="A1328">
        <v>1323</v>
      </c>
      <c r="B1328" t="s">
        <v>7266</v>
      </c>
      <c r="C1328" t="s">
        <v>7267</v>
      </c>
      <c r="D1328" t="s">
        <v>7117</v>
      </c>
      <c r="E1328">
        <v>7</v>
      </c>
      <c r="F1328" t="s">
        <v>6501</v>
      </c>
      <c r="G1328" t="s">
        <v>2428</v>
      </c>
      <c r="H1328" t="s">
        <v>6785</v>
      </c>
      <c r="I1328" t="s">
        <v>6786</v>
      </c>
      <c r="J1328" t="s">
        <v>6787</v>
      </c>
      <c r="K1328" t="s">
        <v>6788</v>
      </c>
      <c r="L1328" t="s">
        <v>7118</v>
      </c>
      <c r="M1328">
        <v>432.36611938476563</v>
      </c>
      <c r="N1328" t="s">
        <v>54</v>
      </c>
      <c r="O1328" t="s">
        <v>53</v>
      </c>
      <c r="P1328" t="s">
        <v>53</v>
      </c>
      <c r="Q1328" t="s">
        <v>53</v>
      </c>
      <c r="R1328" t="s">
        <v>53</v>
      </c>
      <c r="S1328" t="s">
        <v>2433</v>
      </c>
      <c r="T1328" t="s">
        <v>2433</v>
      </c>
      <c r="U1328" t="s">
        <v>53</v>
      </c>
      <c r="V1328" t="s">
        <v>51</v>
      </c>
      <c r="W1328">
        <v>2000000</v>
      </c>
      <c r="X1328" t="s">
        <v>53</v>
      </c>
      <c r="Y1328" t="s">
        <v>6509</v>
      </c>
      <c r="Z1328">
        <v>0</v>
      </c>
      <c r="AA1328">
        <v>968</v>
      </c>
      <c r="AB1328">
        <v>526</v>
      </c>
      <c r="AC1328">
        <v>1207</v>
      </c>
      <c r="AD1328">
        <v>1310</v>
      </c>
      <c r="AE1328">
        <v>1310</v>
      </c>
      <c r="AF1328">
        <v>4</v>
      </c>
      <c r="AG1328">
        <v>2</v>
      </c>
      <c r="AH1328">
        <v>130.4964294433594</v>
      </c>
      <c r="AI1328">
        <v>0</v>
      </c>
      <c r="AJ1328">
        <v>33293.21875</v>
      </c>
      <c r="AK1328" t="s">
        <v>53</v>
      </c>
      <c r="AL1328" t="s">
        <v>53</v>
      </c>
      <c r="AM1328" t="s">
        <v>6509</v>
      </c>
      <c r="AQ1328" t="s">
        <v>54</v>
      </c>
      <c r="AR1328" t="s">
        <v>6509</v>
      </c>
      <c r="AT1328" t="s">
        <v>6511</v>
      </c>
      <c r="AV1328" t="s">
        <v>6509</v>
      </c>
      <c r="AW1328" t="s">
        <v>53</v>
      </c>
      <c r="AX1328" t="s">
        <v>6509</v>
      </c>
      <c r="AZ1328" t="s">
        <v>54</v>
      </c>
      <c r="BA1328" t="s">
        <v>6512</v>
      </c>
    </row>
    <row r="1329" spans="1:53" x14ac:dyDescent="0.25">
      <c r="A1329">
        <v>1324</v>
      </c>
      <c r="B1329" t="s">
        <v>7268</v>
      </c>
      <c r="C1329" t="s">
        <v>7269</v>
      </c>
      <c r="D1329" t="s">
        <v>7113</v>
      </c>
      <c r="E1329">
        <v>7</v>
      </c>
      <c r="F1329" t="s">
        <v>6501</v>
      </c>
      <c r="G1329" t="s">
        <v>6732</v>
      </c>
      <c r="H1329" t="s">
        <v>6733</v>
      </c>
      <c r="I1329" t="s">
        <v>6734</v>
      </c>
      <c r="J1329" t="s">
        <v>6735</v>
      </c>
      <c r="K1329" t="s">
        <v>6736</v>
      </c>
      <c r="L1329" t="s">
        <v>7114</v>
      </c>
      <c r="M1329">
        <v>324.54248046875</v>
      </c>
      <c r="N1329" t="s">
        <v>53</v>
      </c>
      <c r="O1329" t="s">
        <v>53</v>
      </c>
      <c r="P1329" t="s">
        <v>53</v>
      </c>
      <c r="Q1329" t="s">
        <v>54</v>
      </c>
      <c r="R1329" t="s">
        <v>53</v>
      </c>
      <c r="S1329" t="s">
        <v>6737</v>
      </c>
      <c r="T1329" t="s">
        <v>6737</v>
      </c>
      <c r="U1329" t="s">
        <v>53</v>
      </c>
      <c r="V1329" t="s">
        <v>1973</v>
      </c>
      <c r="W1329">
        <v>100000</v>
      </c>
      <c r="X1329" t="s">
        <v>53</v>
      </c>
      <c r="Y1329" t="s">
        <v>6509</v>
      </c>
      <c r="Z1329">
        <v>0</v>
      </c>
      <c r="AA1329">
        <v>278</v>
      </c>
      <c r="AB1329">
        <v>134</v>
      </c>
      <c r="AC1329">
        <v>340</v>
      </c>
      <c r="AD1329">
        <v>218</v>
      </c>
      <c r="AE1329">
        <v>340</v>
      </c>
      <c r="AF1329">
        <v>2</v>
      </c>
      <c r="AG1329">
        <v>1</v>
      </c>
      <c r="AH1329">
        <v>246.07391357421881</v>
      </c>
      <c r="AI1329">
        <v>0</v>
      </c>
      <c r="AJ1329">
        <v>49749.90234375</v>
      </c>
      <c r="AK1329" t="s">
        <v>53</v>
      </c>
      <c r="AL1329" t="s">
        <v>53</v>
      </c>
      <c r="AM1329" t="s">
        <v>6509</v>
      </c>
      <c r="AQ1329" t="s">
        <v>54</v>
      </c>
      <c r="AR1329" t="s">
        <v>6509</v>
      </c>
      <c r="AT1329" t="s">
        <v>6511</v>
      </c>
      <c r="AV1329" t="s">
        <v>6509</v>
      </c>
      <c r="AW1329" t="s">
        <v>53</v>
      </c>
      <c r="AX1329" t="s">
        <v>6509</v>
      </c>
      <c r="AZ1329" t="s">
        <v>54</v>
      </c>
      <c r="BA1329" t="s">
        <v>6512</v>
      </c>
    </row>
    <row r="1330" spans="1:53" x14ac:dyDescent="0.25">
      <c r="A1330">
        <v>1325</v>
      </c>
      <c r="B1330" t="s">
        <v>7270</v>
      </c>
      <c r="C1330" t="s">
        <v>7271</v>
      </c>
      <c r="D1330" t="s">
        <v>7113</v>
      </c>
      <c r="E1330">
        <v>7</v>
      </c>
      <c r="F1330" t="s">
        <v>6501</v>
      </c>
      <c r="G1330" t="s">
        <v>6621</v>
      </c>
      <c r="H1330" t="s">
        <v>6891</v>
      </c>
      <c r="I1330" t="s">
        <v>6912</v>
      </c>
      <c r="J1330" t="s">
        <v>6913</v>
      </c>
      <c r="K1330" t="s">
        <v>6914</v>
      </c>
      <c r="L1330" t="s">
        <v>7114</v>
      </c>
      <c r="M1330">
        <v>11.02423095703125</v>
      </c>
      <c r="N1330" t="s">
        <v>54</v>
      </c>
      <c r="O1330" t="s">
        <v>53</v>
      </c>
      <c r="P1330" t="s">
        <v>53</v>
      </c>
      <c r="Q1330" t="s">
        <v>53</v>
      </c>
      <c r="R1330" t="s">
        <v>53</v>
      </c>
      <c r="S1330" t="s">
        <v>6915</v>
      </c>
      <c r="T1330" t="s">
        <v>6915</v>
      </c>
      <c r="U1330" t="s">
        <v>53</v>
      </c>
      <c r="V1330" t="s">
        <v>1973</v>
      </c>
      <c r="W1330">
        <v>100000</v>
      </c>
      <c r="X1330" t="s">
        <v>53</v>
      </c>
      <c r="Y1330" t="s">
        <v>6509</v>
      </c>
      <c r="Z1330">
        <v>0</v>
      </c>
      <c r="AA1330">
        <v>8</v>
      </c>
      <c r="AB1330">
        <v>5</v>
      </c>
      <c r="AC1330">
        <v>3</v>
      </c>
      <c r="AD1330">
        <v>4</v>
      </c>
      <c r="AE1330">
        <v>4</v>
      </c>
      <c r="AF1330">
        <v>0</v>
      </c>
      <c r="AG1330">
        <v>4</v>
      </c>
      <c r="AH1330">
        <v>1.662362933158875</v>
      </c>
      <c r="AI1330">
        <v>0</v>
      </c>
      <c r="AJ1330">
        <v>0</v>
      </c>
      <c r="AK1330" t="s">
        <v>53</v>
      </c>
      <c r="AL1330" t="s">
        <v>53</v>
      </c>
      <c r="AM1330" t="s">
        <v>6509</v>
      </c>
      <c r="AQ1330" t="s">
        <v>54</v>
      </c>
      <c r="AR1330" t="s">
        <v>6509</v>
      </c>
      <c r="AT1330" t="s">
        <v>6511</v>
      </c>
      <c r="AV1330" t="s">
        <v>6509</v>
      </c>
      <c r="AW1330" t="s">
        <v>53</v>
      </c>
      <c r="AX1330" t="s">
        <v>6509</v>
      </c>
      <c r="AZ1330" t="s">
        <v>54</v>
      </c>
      <c r="BA1330" t="s">
        <v>6512</v>
      </c>
    </row>
    <row r="1331" spans="1:53" x14ac:dyDescent="0.25">
      <c r="A1331">
        <v>1326</v>
      </c>
      <c r="B1331" t="s">
        <v>7272</v>
      </c>
      <c r="C1331" t="s">
        <v>7273</v>
      </c>
      <c r="D1331" t="s">
        <v>7113</v>
      </c>
      <c r="E1331">
        <v>7</v>
      </c>
      <c r="F1331" t="s">
        <v>6501</v>
      </c>
      <c r="G1331" t="s">
        <v>6837</v>
      </c>
      <c r="H1331" t="s">
        <v>7274</v>
      </c>
      <c r="I1331" t="s">
        <v>7275</v>
      </c>
      <c r="J1331" t="s">
        <v>7276</v>
      </c>
      <c r="K1331" t="s">
        <v>7277</v>
      </c>
      <c r="L1331" t="s">
        <v>7114</v>
      </c>
      <c r="M1331">
        <v>10.185911178588871</v>
      </c>
      <c r="N1331" t="s">
        <v>53</v>
      </c>
      <c r="O1331" t="s">
        <v>53</v>
      </c>
      <c r="P1331" t="s">
        <v>53</v>
      </c>
      <c r="Q1331" t="s">
        <v>54</v>
      </c>
      <c r="R1331" t="s">
        <v>53</v>
      </c>
      <c r="S1331" t="s">
        <v>7278</v>
      </c>
      <c r="T1331" t="s">
        <v>7278</v>
      </c>
      <c r="U1331" t="s">
        <v>53</v>
      </c>
      <c r="V1331" t="s">
        <v>1973</v>
      </c>
      <c r="W1331">
        <v>100000</v>
      </c>
      <c r="X1331" t="s">
        <v>53</v>
      </c>
      <c r="Y1331" t="s">
        <v>6509</v>
      </c>
      <c r="Z1331">
        <v>0</v>
      </c>
      <c r="AA1331">
        <v>1277</v>
      </c>
      <c r="AB1331">
        <v>1018</v>
      </c>
      <c r="AC1331">
        <v>4738</v>
      </c>
      <c r="AD1331">
        <v>3047</v>
      </c>
      <c r="AE1331">
        <v>4738</v>
      </c>
      <c r="AF1331">
        <v>5</v>
      </c>
      <c r="AG1331">
        <v>0</v>
      </c>
      <c r="AH1331">
        <v>46.038764953613281</v>
      </c>
      <c r="AI1331">
        <v>0</v>
      </c>
      <c r="AJ1331">
        <v>718.18170166015625</v>
      </c>
      <c r="AK1331" t="s">
        <v>53</v>
      </c>
      <c r="AL1331" t="s">
        <v>53</v>
      </c>
      <c r="AM1331" t="s">
        <v>6509</v>
      </c>
      <c r="AQ1331" t="s">
        <v>54</v>
      </c>
      <c r="AR1331" t="s">
        <v>6509</v>
      </c>
      <c r="AT1331" t="s">
        <v>6511</v>
      </c>
      <c r="AV1331" t="s">
        <v>6509</v>
      </c>
      <c r="AW1331" t="s">
        <v>53</v>
      </c>
      <c r="AX1331" t="s">
        <v>6509</v>
      </c>
      <c r="AZ1331" t="s">
        <v>54</v>
      </c>
      <c r="BA1331" t="s">
        <v>6512</v>
      </c>
    </row>
    <row r="1332" spans="1:53" x14ac:dyDescent="0.25">
      <c r="A1332">
        <v>1327</v>
      </c>
      <c r="B1332" t="s">
        <v>7279</v>
      </c>
      <c r="C1332" t="s">
        <v>7280</v>
      </c>
      <c r="D1332" t="s">
        <v>7281</v>
      </c>
      <c r="E1332">
        <v>7</v>
      </c>
      <c r="F1332" t="s">
        <v>6501</v>
      </c>
      <c r="G1332" t="s">
        <v>6837</v>
      </c>
      <c r="H1332" t="s">
        <v>6953</v>
      </c>
      <c r="I1332" t="s">
        <v>7282</v>
      </c>
      <c r="J1332" t="s">
        <v>7283</v>
      </c>
      <c r="K1332" t="s">
        <v>7284</v>
      </c>
      <c r="L1332" t="s">
        <v>7118</v>
      </c>
      <c r="M1332">
        <v>5.4150052070617676</v>
      </c>
      <c r="N1332" t="s">
        <v>54</v>
      </c>
      <c r="O1332" t="s">
        <v>53</v>
      </c>
      <c r="P1332" t="s">
        <v>53</v>
      </c>
      <c r="Q1332" t="s">
        <v>54</v>
      </c>
      <c r="R1332" t="s">
        <v>53</v>
      </c>
      <c r="S1332" t="s">
        <v>7285</v>
      </c>
      <c r="T1332" t="s">
        <v>7285</v>
      </c>
      <c r="U1332" t="s">
        <v>53</v>
      </c>
      <c r="V1332" t="s">
        <v>51</v>
      </c>
      <c r="W1332">
        <v>150000</v>
      </c>
      <c r="X1332" t="s">
        <v>53</v>
      </c>
      <c r="Y1332" t="s">
        <v>6509</v>
      </c>
      <c r="Z1332">
        <v>0</v>
      </c>
      <c r="AA1332">
        <v>125</v>
      </c>
      <c r="AB1332">
        <v>99</v>
      </c>
      <c r="AC1332">
        <v>109</v>
      </c>
      <c r="AD1332">
        <v>180</v>
      </c>
      <c r="AE1332">
        <v>180</v>
      </c>
      <c r="AF1332">
        <v>0</v>
      </c>
      <c r="AG1332">
        <v>0</v>
      </c>
      <c r="AH1332">
        <v>5.3172087669372559</v>
      </c>
      <c r="AI1332">
        <v>0</v>
      </c>
      <c r="AJ1332">
        <v>101.0284423828125</v>
      </c>
      <c r="AK1332" t="s">
        <v>53</v>
      </c>
      <c r="AL1332" t="s">
        <v>53</v>
      </c>
      <c r="AM1332" t="s">
        <v>6509</v>
      </c>
      <c r="AQ1332" t="s">
        <v>54</v>
      </c>
      <c r="AR1332" t="s">
        <v>6509</v>
      </c>
      <c r="AT1332" t="s">
        <v>6511</v>
      </c>
      <c r="AV1332" t="s">
        <v>6509</v>
      </c>
      <c r="AW1332" t="s">
        <v>53</v>
      </c>
      <c r="AX1332" t="s">
        <v>6509</v>
      </c>
      <c r="AZ1332" t="s">
        <v>54</v>
      </c>
      <c r="BA1332" t="s">
        <v>6512</v>
      </c>
    </row>
    <row r="1333" spans="1:53" x14ac:dyDescent="0.25">
      <c r="A1333">
        <v>1328</v>
      </c>
      <c r="B1333" t="s">
        <v>7286</v>
      </c>
      <c r="C1333" t="s">
        <v>7287</v>
      </c>
      <c r="D1333" t="s">
        <v>7195</v>
      </c>
      <c r="E1333">
        <v>7</v>
      </c>
      <c r="F1333" t="s">
        <v>6501</v>
      </c>
      <c r="G1333" t="s">
        <v>6521</v>
      </c>
      <c r="H1333" t="s">
        <v>6899</v>
      </c>
      <c r="I1333" t="s">
        <v>7052</v>
      </c>
      <c r="J1333" t="s">
        <v>7053</v>
      </c>
      <c r="K1333" t="s">
        <v>7054</v>
      </c>
      <c r="L1333" t="s">
        <v>7118</v>
      </c>
      <c r="M1333">
        <v>5.2794485092163086</v>
      </c>
      <c r="N1333" t="s">
        <v>54</v>
      </c>
      <c r="O1333" t="s">
        <v>53</v>
      </c>
      <c r="P1333" t="s">
        <v>53</v>
      </c>
      <c r="Q1333" t="s">
        <v>53</v>
      </c>
      <c r="R1333" t="s">
        <v>53</v>
      </c>
      <c r="S1333" t="s">
        <v>7055</v>
      </c>
      <c r="T1333" t="s">
        <v>7055</v>
      </c>
      <c r="U1333" t="s">
        <v>53</v>
      </c>
      <c r="V1333" t="s">
        <v>51</v>
      </c>
      <c r="W1333">
        <v>100000</v>
      </c>
      <c r="X1333" t="s">
        <v>53</v>
      </c>
      <c r="Y1333" t="s">
        <v>6509</v>
      </c>
      <c r="Z1333">
        <v>0</v>
      </c>
      <c r="AA1333">
        <v>274</v>
      </c>
      <c r="AB1333">
        <v>187</v>
      </c>
      <c r="AC1333">
        <v>428</v>
      </c>
      <c r="AD1333">
        <v>470</v>
      </c>
      <c r="AE1333">
        <v>470</v>
      </c>
      <c r="AF1333">
        <v>2</v>
      </c>
      <c r="AG1333">
        <v>0</v>
      </c>
      <c r="AH1333">
        <v>11.71075534820557</v>
      </c>
      <c r="AI1333">
        <v>0</v>
      </c>
      <c r="AJ1333">
        <v>230.25129699707031</v>
      </c>
      <c r="AK1333" t="s">
        <v>53</v>
      </c>
      <c r="AL1333" t="s">
        <v>53</v>
      </c>
      <c r="AM1333" t="s">
        <v>6509</v>
      </c>
      <c r="AQ1333" t="s">
        <v>54</v>
      </c>
      <c r="AR1333" t="s">
        <v>6509</v>
      </c>
      <c r="AT1333" t="s">
        <v>6511</v>
      </c>
      <c r="AV1333" t="s">
        <v>6509</v>
      </c>
      <c r="AW1333" t="s">
        <v>53</v>
      </c>
      <c r="AX1333" t="s">
        <v>6509</v>
      </c>
      <c r="AZ1333" t="s">
        <v>54</v>
      </c>
      <c r="BA1333" t="s">
        <v>6512</v>
      </c>
    </row>
    <row r="1334" spans="1:53" x14ac:dyDescent="0.25">
      <c r="A1334">
        <v>1329</v>
      </c>
      <c r="B1334" t="s">
        <v>7288</v>
      </c>
      <c r="C1334" t="s">
        <v>7289</v>
      </c>
      <c r="D1334" t="s">
        <v>7146</v>
      </c>
      <c r="E1334">
        <v>7</v>
      </c>
      <c r="F1334" t="s">
        <v>6501</v>
      </c>
      <c r="G1334" t="s">
        <v>6521</v>
      </c>
      <c r="H1334" t="s">
        <v>6899</v>
      </c>
      <c r="I1334" t="s">
        <v>7052</v>
      </c>
      <c r="J1334" t="s">
        <v>7053</v>
      </c>
      <c r="K1334" t="s">
        <v>7054</v>
      </c>
      <c r="L1334" t="s">
        <v>7118</v>
      </c>
      <c r="M1334">
        <v>5.2794485092163086</v>
      </c>
      <c r="N1334" t="s">
        <v>54</v>
      </c>
      <c r="O1334" t="s">
        <v>53</v>
      </c>
      <c r="P1334" t="s">
        <v>53</v>
      </c>
      <c r="Q1334" t="s">
        <v>53</v>
      </c>
      <c r="R1334" t="s">
        <v>53</v>
      </c>
      <c r="S1334" t="s">
        <v>7055</v>
      </c>
      <c r="T1334" t="s">
        <v>7055</v>
      </c>
      <c r="U1334" t="s">
        <v>53</v>
      </c>
      <c r="V1334" t="s">
        <v>51</v>
      </c>
      <c r="W1334">
        <v>1000000</v>
      </c>
      <c r="X1334" t="s">
        <v>53</v>
      </c>
      <c r="Y1334" t="s">
        <v>6509</v>
      </c>
      <c r="Z1334">
        <v>0</v>
      </c>
      <c r="AA1334">
        <v>274</v>
      </c>
      <c r="AB1334">
        <v>187</v>
      </c>
      <c r="AC1334">
        <v>428</v>
      </c>
      <c r="AD1334">
        <v>470</v>
      </c>
      <c r="AE1334">
        <v>470</v>
      </c>
      <c r="AF1334">
        <v>2</v>
      </c>
      <c r="AG1334">
        <v>0</v>
      </c>
      <c r="AH1334">
        <v>11.71075534820557</v>
      </c>
      <c r="AI1334">
        <v>0</v>
      </c>
      <c r="AJ1334">
        <v>230.25129699707031</v>
      </c>
      <c r="AK1334" t="s">
        <v>53</v>
      </c>
      <c r="AL1334" t="s">
        <v>53</v>
      </c>
      <c r="AM1334" t="s">
        <v>6509</v>
      </c>
      <c r="AQ1334" t="s">
        <v>54</v>
      </c>
      <c r="AR1334" t="s">
        <v>6509</v>
      </c>
      <c r="AT1334" t="s">
        <v>6511</v>
      </c>
      <c r="AV1334" t="s">
        <v>6509</v>
      </c>
      <c r="AW1334" t="s">
        <v>53</v>
      </c>
      <c r="AX1334" t="s">
        <v>6509</v>
      </c>
      <c r="AZ1334" t="s">
        <v>54</v>
      </c>
      <c r="BA1334" t="s">
        <v>6512</v>
      </c>
    </row>
    <row r="1335" spans="1:53" x14ac:dyDescent="0.25">
      <c r="A1335">
        <v>1330</v>
      </c>
      <c r="B1335" t="s">
        <v>7290</v>
      </c>
      <c r="C1335" t="s">
        <v>7291</v>
      </c>
      <c r="D1335" t="s">
        <v>7153</v>
      </c>
      <c r="E1335">
        <v>7</v>
      </c>
      <c r="F1335" t="s">
        <v>6501</v>
      </c>
      <c r="G1335" t="s">
        <v>6521</v>
      </c>
      <c r="H1335" t="s">
        <v>6899</v>
      </c>
      <c r="I1335" t="s">
        <v>7052</v>
      </c>
      <c r="J1335" t="s">
        <v>7053</v>
      </c>
      <c r="K1335" t="s">
        <v>7054</v>
      </c>
      <c r="L1335" t="s">
        <v>7135</v>
      </c>
      <c r="M1335">
        <v>5.2794485092163086</v>
      </c>
      <c r="N1335" t="s">
        <v>54</v>
      </c>
      <c r="O1335" t="s">
        <v>53</v>
      </c>
      <c r="P1335" t="s">
        <v>53</v>
      </c>
      <c r="Q1335" t="s">
        <v>53</v>
      </c>
      <c r="R1335" t="s">
        <v>53</v>
      </c>
      <c r="S1335" t="s">
        <v>7055</v>
      </c>
      <c r="T1335" t="s">
        <v>7055</v>
      </c>
      <c r="U1335" t="s">
        <v>53</v>
      </c>
      <c r="V1335" t="s">
        <v>51</v>
      </c>
      <c r="W1335">
        <v>500000</v>
      </c>
      <c r="X1335" t="s">
        <v>53</v>
      </c>
      <c r="Y1335" t="s">
        <v>6509</v>
      </c>
      <c r="Z1335">
        <v>0</v>
      </c>
      <c r="AA1335">
        <v>274</v>
      </c>
      <c r="AB1335">
        <v>187</v>
      </c>
      <c r="AC1335">
        <v>428</v>
      </c>
      <c r="AD1335">
        <v>470</v>
      </c>
      <c r="AE1335">
        <v>470</v>
      </c>
      <c r="AF1335">
        <v>2</v>
      </c>
      <c r="AG1335">
        <v>0</v>
      </c>
      <c r="AH1335">
        <v>11.71075534820557</v>
      </c>
      <c r="AI1335">
        <v>0</v>
      </c>
      <c r="AJ1335">
        <v>230.25129699707031</v>
      </c>
      <c r="AK1335" t="s">
        <v>53</v>
      </c>
      <c r="AL1335" t="s">
        <v>53</v>
      </c>
      <c r="AM1335" t="s">
        <v>6509</v>
      </c>
      <c r="AQ1335" t="s">
        <v>54</v>
      </c>
      <c r="AR1335" t="s">
        <v>6509</v>
      </c>
      <c r="AT1335" t="s">
        <v>6511</v>
      </c>
      <c r="AV1335" t="s">
        <v>6509</v>
      </c>
      <c r="AW1335" t="s">
        <v>53</v>
      </c>
      <c r="AX1335" t="s">
        <v>6509</v>
      </c>
      <c r="AZ1335" t="s">
        <v>54</v>
      </c>
      <c r="BA1335" t="s">
        <v>6512</v>
      </c>
    </row>
    <row r="1336" spans="1:53" x14ac:dyDescent="0.25">
      <c r="A1336">
        <v>1331</v>
      </c>
      <c r="B1336" t="s">
        <v>7292</v>
      </c>
      <c r="C1336" t="s">
        <v>7293</v>
      </c>
      <c r="D1336" t="s">
        <v>7134</v>
      </c>
      <c r="E1336">
        <v>7</v>
      </c>
      <c r="F1336" t="s">
        <v>6501</v>
      </c>
      <c r="G1336" t="s">
        <v>6521</v>
      </c>
      <c r="H1336" t="s">
        <v>6899</v>
      </c>
      <c r="I1336" t="s">
        <v>7052</v>
      </c>
      <c r="J1336" t="s">
        <v>7053</v>
      </c>
      <c r="K1336" t="s">
        <v>7054</v>
      </c>
      <c r="L1336" t="s">
        <v>7135</v>
      </c>
      <c r="M1336">
        <v>5.2794485092163086</v>
      </c>
      <c r="N1336" t="s">
        <v>54</v>
      </c>
      <c r="O1336" t="s">
        <v>53</v>
      </c>
      <c r="P1336" t="s">
        <v>53</v>
      </c>
      <c r="Q1336" t="s">
        <v>53</v>
      </c>
      <c r="R1336" t="s">
        <v>53</v>
      </c>
      <c r="S1336" t="s">
        <v>7055</v>
      </c>
      <c r="T1336" t="s">
        <v>7055</v>
      </c>
      <c r="U1336" t="s">
        <v>53</v>
      </c>
      <c r="V1336" t="s">
        <v>51</v>
      </c>
      <c r="W1336">
        <v>100000</v>
      </c>
      <c r="X1336" t="s">
        <v>53</v>
      </c>
      <c r="Y1336" t="s">
        <v>6509</v>
      </c>
      <c r="Z1336">
        <v>0</v>
      </c>
      <c r="AA1336">
        <v>274</v>
      </c>
      <c r="AB1336">
        <v>187</v>
      </c>
      <c r="AC1336">
        <v>428</v>
      </c>
      <c r="AD1336">
        <v>470</v>
      </c>
      <c r="AE1336">
        <v>470</v>
      </c>
      <c r="AF1336">
        <v>2</v>
      </c>
      <c r="AG1336">
        <v>0</v>
      </c>
      <c r="AH1336">
        <v>11.71075534820557</v>
      </c>
      <c r="AI1336">
        <v>0</v>
      </c>
      <c r="AJ1336">
        <v>230.25129699707031</v>
      </c>
      <c r="AK1336" t="s">
        <v>53</v>
      </c>
      <c r="AL1336" t="s">
        <v>53</v>
      </c>
      <c r="AM1336" t="s">
        <v>6509</v>
      </c>
      <c r="AQ1336" t="s">
        <v>54</v>
      </c>
      <c r="AR1336" t="s">
        <v>6509</v>
      </c>
      <c r="AT1336" t="s">
        <v>6511</v>
      </c>
      <c r="AV1336" t="s">
        <v>6509</v>
      </c>
      <c r="AW1336" t="s">
        <v>53</v>
      </c>
      <c r="AX1336" t="s">
        <v>6509</v>
      </c>
      <c r="AZ1336" t="s">
        <v>54</v>
      </c>
      <c r="BA1336" t="s">
        <v>6512</v>
      </c>
    </row>
    <row r="1337" spans="1:53" x14ac:dyDescent="0.25">
      <c r="A1337">
        <v>1332</v>
      </c>
      <c r="B1337" t="s">
        <v>7294</v>
      </c>
      <c r="C1337" t="s">
        <v>7295</v>
      </c>
      <c r="D1337" t="s">
        <v>7153</v>
      </c>
      <c r="E1337">
        <v>7</v>
      </c>
      <c r="F1337" t="s">
        <v>6501</v>
      </c>
      <c r="G1337" t="s">
        <v>6611</v>
      </c>
      <c r="H1337" t="s">
        <v>6891</v>
      </c>
      <c r="I1337" t="s">
        <v>7011</v>
      </c>
      <c r="J1337" t="s">
        <v>7012</v>
      </c>
      <c r="K1337" t="s">
        <v>7013</v>
      </c>
      <c r="L1337" t="s">
        <v>7135</v>
      </c>
      <c r="M1337">
        <v>4.7827267646789551</v>
      </c>
      <c r="N1337" t="s">
        <v>54</v>
      </c>
      <c r="O1337" t="s">
        <v>53</v>
      </c>
      <c r="P1337" t="s">
        <v>53</v>
      </c>
      <c r="Q1337" t="s">
        <v>53</v>
      </c>
      <c r="R1337" t="s">
        <v>53</v>
      </c>
      <c r="S1337" t="s">
        <v>7014</v>
      </c>
      <c r="T1337" t="s">
        <v>7014</v>
      </c>
      <c r="U1337" t="s">
        <v>53</v>
      </c>
      <c r="V1337" t="s">
        <v>51</v>
      </c>
      <c r="W1337">
        <v>500000</v>
      </c>
      <c r="X1337" t="s">
        <v>53</v>
      </c>
      <c r="Y1337" t="s">
        <v>6509</v>
      </c>
      <c r="Z1337">
        <v>0</v>
      </c>
      <c r="AA1337">
        <v>5</v>
      </c>
      <c r="AB1337">
        <v>2</v>
      </c>
      <c r="AC1337">
        <v>5</v>
      </c>
      <c r="AD1337">
        <v>4</v>
      </c>
      <c r="AE1337">
        <v>5</v>
      </c>
      <c r="AF1337">
        <v>0</v>
      </c>
      <c r="AG1337">
        <v>0</v>
      </c>
      <c r="AH1337">
        <v>0.60840398073196411</v>
      </c>
      <c r="AI1337">
        <v>0</v>
      </c>
      <c r="AJ1337">
        <v>62.876399993896477</v>
      </c>
      <c r="AK1337" t="s">
        <v>53</v>
      </c>
      <c r="AL1337" t="s">
        <v>53</v>
      </c>
      <c r="AM1337" t="s">
        <v>6509</v>
      </c>
      <c r="AQ1337" t="s">
        <v>54</v>
      </c>
      <c r="AR1337" t="s">
        <v>6509</v>
      </c>
      <c r="AT1337" t="s">
        <v>6511</v>
      </c>
      <c r="AV1337" t="s">
        <v>6509</v>
      </c>
      <c r="AW1337" t="s">
        <v>53</v>
      </c>
      <c r="AX1337" t="s">
        <v>6509</v>
      </c>
      <c r="AZ1337" t="s">
        <v>54</v>
      </c>
      <c r="BA1337" t="s">
        <v>6512</v>
      </c>
    </row>
    <row r="1338" spans="1:53" x14ac:dyDescent="0.25">
      <c r="A1338">
        <v>1333</v>
      </c>
      <c r="B1338" t="s">
        <v>7296</v>
      </c>
      <c r="C1338" t="s">
        <v>7297</v>
      </c>
      <c r="D1338" t="s">
        <v>7127</v>
      </c>
      <c r="E1338">
        <v>7</v>
      </c>
      <c r="F1338" t="s">
        <v>6501</v>
      </c>
      <c r="G1338" t="s">
        <v>6611</v>
      </c>
      <c r="H1338" t="s">
        <v>6891</v>
      </c>
      <c r="I1338" t="s">
        <v>7011</v>
      </c>
      <c r="J1338" t="s">
        <v>7012</v>
      </c>
      <c r="K1338" t="s">
        <v>7013</v>
      </c>
      <c r="L1338" t="s">
        <v>7118</v>
      </c>
      <c r="M1338">
        <v>4.7827267646789551</v>
      </c>
      <c r="N1338" t="s">
        <v>54</v>
      </c>
      <c r="O1338" t="s">
        <v>53</v>
      </c>
      <c r="P1338" t="s">
        <v>53</v>
      </c>
      <c r="Q1338" t="s">
        <v>53</v>
      </c>
      <c r="R1338" t="s">
        <v>53</v>
      </c>
      <c r="S1338" t="s">
        <v>7014</v>
      </c>
      <c r="T1338" t="s">
        <v>7014</v>
      </c>
      <c r="U1338" t="s">
        <v>53</v>
      </c>
      <c r="V1338" t="s">
        <v>51</v>
      </c>
      <c r="W1338">
        <v>500000</v>
      </c>
      <c r="X1338" t="s">
        <v>53</v>
      </c>
      <c r="Y1338" t="s">
        <v>6509</v>
      </c>
      <c r="Z1338">
        <v>0</v>
      </c>
      <c r="AA1338">
        <v>5</v>
      </c>
      <c r="AB1338">
        <v>2</v>
      </c>
      <c r="AC1338">
        <v>5</v>
      </c>
      <c r="AD1338">
        <v>4</v>
      </c>
      <c r="AE1338">
        <v>5</v>
      </c>
      <c r="AF1338">
        <v>0</v>
      </c>
      <c r="AG1338">
        <v>0</v>
      </c>
      <c r="AH1338">
        <v>0.60840398073196411</v>
      </c>
      <c r="AI1338">
        <v>0</v>
      </c>
      <c r="AJ1338">
        <v>62.876399993896477</v>
      </c>
      <c r="AK1338" t="s">
        <v>53</v>
      </c>
      <c r="AL1338" t="s">
        <v>53</v>
      </c>
      <c r="AM1338" t="s">
        <v>6509</v>
      </c>
      <c r="AQ1338" t="s">
        <v>54</v>
      </c>
      <c r="AR1338" t="s">
        <v>6509</v>
      </c>
      <c r="AT1338" t="s">
        <v>6511</v>
      </c>
      <c r="AV1338" t="s">
        <v>6509</v>
      </c>
      <c r="AW1338" t="s">
        <v>53</v>
      </c>
      <c r="AX1338" t="s">
        <v>6509</v>
      </c>
      <c r="AZ1338" t="s">
        <v>54</v>
      </c>
      <c r="BA1338" t="s">
        <v>6512</v>
      </c>
    </row>
    <row r="1339" spans="1:53" x14ac:dyDescent="0.25">
      <c r="A1339">
        <v>1334</v>
      </c>
      <c r="B1339" t="s">
        <v>7298</v>
      </c>
      <c r="C1339" t="s">
        <v>7299</v>
      </c>
      <c r="D1339" t="s">
        <v>7300</v>
      </c>
      <c r="E1339">
        <v>7</v>
      </c>
      <c r="F1339" t="s">
        <v>6501</v>
      </c>
      <c r="G1339" t="s">
        <v>6529</v>
      </c>
      <c r="H1339" t="s">
        <v>7025</v>
      </c>
      <c r="I1339" t="s">
        <v>7147</v>
      </c>
      <c r="J1339" t="s">
        <v>7148</v>
      </c>
      <c r="K1339" t="s">
        <v>7149</v>
      </c>
      <c r="L1339" t="s">
        <v>7135</v>
      </c>
      <c r="M1339">
        <v>4.185636043548584</v>
      </c>
      <c r="N1339" t="s">
        <v>54</v>
      </c>
      <c r="O1339" t="s">
        <v>53</v>
      </c>
      <c r="P1339" t="s">
        <v>53</v>
      </c>
      <c r="Q1339" t="s">
        <v>53</v>
      </c>
      <c r="R1339" t="s">
        <v>53</v>
      </c>
      <c r="S1339" t="s">
        <v>7150</v>
      </c>
      <c r="T1339" t="s">
        <v>7150</v>
      </c>
      <c r="U1339" t="s">
        <v>53</v>
      </c>
      <c r="V1339" t="s">
        <v>51</v>
      </c>
      <c r="W1339">
        <v>100000</v>
      </c>
      <c r="X1339" t="s">
        <v>53</v>
      </c>
      <c r="Y1339" t="s">
        <v>6509</v>
      </c>
      <c r="Z1339">
        <v>0</v>
      </c>
      <c r="AA1339">
        <v>440</v>
      </c>
      <c r="AB1339">
        <v>98</v>
      </c>
      <c r="AC1339">
        <v>422</v>
      </c>
      <c r="AD1339">
        <v>562</v>
      </c>
      <c r="AE1339">
        <v>562</v>
      </c>
      <c r="AF1339">
        <v>1</v>
      </c>
      <c r="AG1339">
        <v>0</v>
      </c>
      <c r="AH1339">
        <v>13.50722122192383</v>
      </c>
      <c r="AI1339">
        <v>0</v>
      </c>
      <c r="AJ1339">
        <v>4.2006235122680664</v>
      </c>
      <c r="AK1339" t="s">
        <v>53</v>
      </c>
      <c r="AL1339" t="s">
        <v>53</v>
      </c>
      <c r="AM1339" t="s">
        <v>6509</v>
      </c>
      <c r="AQ1339" t="s">
        <v>54</v>
      </c>
      <c r="AR1339" t="s">
        <v>6509</v>
      </c>
      <c r="AT1339" t="s">
        <v>6511</v>
      </c>
      <c r="AV1339" t="s">
        <v>6509</v>
      </c>
      <c r="AW1339" t="s">
        <v>53</v>
      </c>
      <c r="AX1339" t="s">
        <v>6509</v>
      </c>
      <c r="AZ1339" t="s">
        <v>54</v>
      </c>
      <c r="BA1339" t="s">
        <v>6512</v>
      </c>
    </row>
    <row r="1340" spans="1:53" x14ac:dyDescent="0.25">
      <c r="A1340">
        <v>1335</v>
      </c>
      <c r="B1340" t="s">
        <v>7301</v>
      </c>
      <c r="C1340" t="s">
        <v>7302</v>
      </c>
      <c r="D1340" t="s">
        <v>7117</v>
      </c>
      <c r="E1340">
        <v>7</v>
      </c>
      <c r="F1340" t="s">
        <v>6501</v>
      </c>
      <c r="G1340" t="s">
        <v>6655</v>
      </c>
      <c r="H1340" t="s">
        <v>6899</v>
      </c>
      <c r="I1340" t="s">
        <v>7303</v>
      </c>
      <c r="J1340" t="s">
        <v>7304</v>
      </c>
      <c r="K1340" t="s">
        <v>7305</v>
      </c>
      <c r="L1340" t="s">
        <v>7118</v>
      </c>
      <c r="M1340">
        <v>3.586269617080688</v>
      </c>
      <c r="N1340" t="s">
        <v>54</v>
      </c>
      <c r="O1340" t="s">
        <v>53</v>
      </c>
      <c r="P1340" t="s">
        <v>53</v>
      </c>
      <c r="Q1340" t="s">
        <v>53</v>
      </c>
      <c r="R1340" t="s">
        <v>53</v>
      </c>
      <c r="S1340" t="s">
        <v>7306</v>
      </c>
      <c r="T1340" t="s">
        <v>7306</v>
      </c>
      <c r="U1340" t="s">
        <v>53</v>
      </c>
      <c r="V1340" t="s">
        <v>51</v>
      </c>
      <c r="W1340">
        <v>1000000</v>
      </c>
      <c r="X1340" t="s">
        <v>53</v>
      </c>
      <c r="Y1340" t="s">
        <v>6509</v>
      </c>
      <c r="Z1340">
        <v>0</v>
      </c>
      <c r="AA1340">
        <v>181</v>
      </c>
      <c r="AB1340">
        <v>110</v>
      </c>
      <c r="AC1340">
        <v>324</v>
      </c>
      <c r="AD1340">
        <v>219</v>
      </c>
      <c r="AE1340">
        <v>324</v>
      </c>
      <c r="AF1340">
        <v>1</v>
      </c>
      <c r="AG1340">
        <v>11</v>
      </c>
      <c r="AH1340">
        <v>13.9953670501709</v>
      </c>
      <c r="AI1340">
        <v>0</v>
      </c>
      <c r="AJ1340">
        <v>37.440525054931641</v>
      </c>
      <c r="AK1340" t="s">
        <v>53</v>
      </c>
      <c r="AL1340" t="s">
        <v>53</v>
      </c>
      <c r="AM1340" t="s">
        <v>6509</v>
      </c>
      <c r="AQ1340" t="s">
        <v>54</v>
      </c>
      <c r="AR1340" t="s">
        <v>6509</v>
      </c>
      <c r="AT1340" t="s">
        <v>6511</v>
      </c>
      <c r="AV1340" t="s">
        <v>6509</v>
      </c>
      <c r="AW1340" t="s">
        <v>53</v>
      </c>
      <c r="AX1340" t="s">
        <v>6509</v>
      </c>
      <c r="AZ1340" t="s">
        <v>54</v>
      </c>
      <c r="BA1340" t="s">
        <v>6512</v>
      </c>
    </row>
    <row r="1341" spans="1:53" x14ac:dyDescent="0.25">
      <c r="A1341">
        <v>1336</v>
      </c>
      <c r="B1341" t="s">
        <v>7307</v>
      </c>
      <c r="C1341" t="s">
        <v>7308</v>
      </c>
      <c r="D1341" t="s">
        <v>7254</v>
      </c>
      <c r="E1341">
        <v>7</v>
      </c>
      <c r="F1341" t="s">
        <v>6501</v>
      </c>
      <c r="G1341" t="s">
        <v>6587</v>
      </c>
      <c r="H1341" t="s">
        <v>6933</v>
      </c>
      <c r="I1341" t="s">
        <v>6934</v>
      </c>
      <c r="J1341" t="s">
        <v>6935</v>
      </c>
      <c r="K1341" t="s">
        <v>6936</v>
      </c>
      <c r="L1341" t="s">
        <v>7118</v>
      </c>
      <c r="M1341">
        <v>0.46983447670936579</v>
      </c>
      <c r="N1341" t="s">
        <v>53</v>
      </c>
      <c r="O1341" t="s">
        <v>53</v>
      </c>
      <c r="P1341" t="s">
        <v>53</v>
      </c>
      <c r="Q1341" t="s">
        <v>53</v>
      </c>
      <c r="R1341" t="s">
        <v>53</v>
      </c>
      <c r="S1341" t="s">
        <v>6937</v>
      </c>
      <c r="T1341" t="s">
        <v>6937</v>
      </c>
      <c r="U1341" t="s">
        <v>53</v>
      </c>
      <c r="V1341" t="s">
        <v>51</v>
      </c>
      <c r="W1341">
        <v>100000</v>
      </c>
      <c r="X1341" t="s">
        <v>53</v>
      </c>
      <c r="Y1341" t="s">
        <v>6509</v>
      </c>
      <c r="Z1341">
        <v>0</v>
      </c>
      <c r="AA1341">
        <v>0</v>
      </c>
      <c r="AB1341">
        <v>0</v>
      </c>
      <c r="AC1341">
        <v>0</v>
      </c>
      <c r="AD1341">
        <v>0</v>
      </c>
      <c r="AE1341">
        <v>0</v>
      </c>
      <c r="AF1341">
        <v>0</v>
      </c>
      <c r="AG1341">
        <v>0</v>
      </c>
      <c r="AH1341">
        <v>0</v>
      </c>
      <c r="AI1341">
        <v>0</v>
      </c>
      <c r="AJ1341">
        <v>0</v>
      </c>
      <c r="AK1341" t="s">
        <v>53</v>
      </c>
      <c r="AL1341" t="s">
        <v>53</v>
      </c>
      <c r="AM1341" t="s">
        <v>6509</v>
      </c>
      <c r="AQ1341" t="s">
        <v>54</v>
      </c>
      <c r="AR1341" t="s">
        <v>6509</v>
      </c>
      <c r="AT1341" t="s">
        <v>6511</v>
      </c>
      <c r="AV1341" t="s">
        <v>6509</v>
      </c>
      <c r="AW1341" t="s">
        <v>53</v>
      </c>
      <c r="AX1341" t="s">
        <v>6509</v>
      </c>
      <c r="AZ1341" t="s">
        <v>54</v>
      </c>
      <c r="BA1341" t="s">
        <v>6512</v>
      </c>
    </row>
    <row r="1342" spans="1:53" x14ac:dyDescent="0.25">
      <c r="A1342">
        <v>1337</v>
      </c>
      <c r="B1342" t="s">
        <v>7309</v>
      </c>
      <c r="C1342" t="s">
        <v>7310</v>
      </c>
      <c r="D1342" t="s">
        <v>7134</v>
      </c>
      <c r="E1342">
        <v>7</v>
      </c>
      <c r="F1342" t="s">
        <v>6501</v>
      </c>
      <c r="G1342" t="s">
        <v>6587</v>
      </c>
      <c r="H1342" t="s">
        <v>6933</v>
      </c>
      <c r="I1342" t="s">
        <v>6934</v>
      </c>
      <c r="J1342" t="s">
        <v>6935</v>
      </c>
      <c r="K1342" t="s">
        <v>6936</v>
      </c>
      <c r="L1342" t="s">
        <v>7135</v>
      </c>
      <c r="M1342">
        <v>0.46983447670936579</v>
      </c>
      <c r="N1342" t="s">
        <v>53</v>
      </c>
      <c r="O1342" t="s">
        <v>53</v>
      </c>
      <c r="P1342" t="s">
        <v>53</v>
      </c>
      <c r="Q1342" t="s">
        <v>53</v>
      </c>
      <c r="R1342" t="s">
        <v>53</v>
      </c>
      <c r="S1342" t="s">
        <v>6937</v>
      </c>
      <c r="T1342" t="s">
        <v>6937</v>
      </c>
      <c r="U1342" t="s">
        <v>53</v>
      </c>
      <c r="V1342" t="s">
        <v>51</v>
      </c>
      <c r="W1342">
        <v>100000</v>
      </c>
      <c r="X1342" t="s">
        <v>53</v>
      </c>
      <c r="Y1342" t="s">
        <v>6509</v>
      </c>
      <c r="Z1342">
        <v>0</v>
      </c>
      <c r="AA1342">
        <v>0</v>
      </c>
      <c r="AB1342">
        <v>0</v>
      </c>
      <c r="AC1342">
        <v>0</v>
      </c>
      <c r="AD1342">
        <v>0</v>
      </c>
      <c r="AE1342">
        <v>0</v>
      </c>
      <c r="AF1342">
        <v>0</v>
      </c>
      <c r="AG1342">
        <v>0</v>
      </c>
      <c r="AH1342">
        <v>0</v>
      </c>
      <c r="AI1342">
        <v>0</v>
      </c>
      <c r="AJ1342">
        <v>0</v>
      </c>
      <c r="AK1342" t="s">
        <v>53</v>
      </c>
      <c r="AL1342" t="s">
        <v>53</v>
      </c>
      <c r="AM1342" t="s">
        <v>6509</v>
      </c>
      <c r="AQ1342" t="s">
        <v>54</v>
      </c>
      <c r="AR1342" t="s">
        <v>6509</v>
      </c>
      <c r="AT1342" t="s">
        <v>6511</v>
      </c>
      <c r="AV1342" t="s">
        <v>6509</v>
      </c>
      <c r="AW1342" t="s">
        <v>53</v>
      </c>
      <c r="AX1342" t="s">
        <v>6509</v>
      </c>
      <c r="AZ1342" t="s">
        <v>54</v>
      </c>
      <c r="BA1342" t="s">
        <v>6512</v>
      </c>
    </row>
    <row r="1343" spans="1:53" x14ac:dyDescent="0.25">
      <c r="A1343">
        <v>1338</v>
      </c>
      <c r="B1343" t="s">
        <v>7311</v>
      </c>
      <c r="C1343" t="s">
        <v>7312</v>
      </c>
      <c r="D1343" t="s">
        <v>7153</v>
      </c>
      <c r="E1343">
        <v>7</v>
      </c>
      <c r="F1343" t="s">
        <v>6501</v>
      </c>
      <c r="G1343" t="s">
        <v>6587</v>
      </c>
      <c r="H1343" t="s">
        <v>6933</v>
      </c>
      <c r="I1343" t="s">
        <v>6934</v>
      </c>
      <c r="J1343" t="s">
        <v>6935</v>
      </c>
      <c r="K1343" t="s">
        <v>6936</v>
      </c>
      <c r="L1343" t="s">
        <v>7135</v>
      </c>
      <c r="M1343">
        <v>0.46983447670936579</v>
      </c>
      <c r="N1343" t="s">
        <v>53</v>
      </c>
      <c r="O1343" t="s">
        <v>53</v>
      </c>
      <c r="P1343" t="s">
        <v>53</v>
      </c>
      <c r="Q1343" t="s">
        <v>53</v>
      </c>
      <c r="R1343" t="s">
        <v>53</v>
      </c>
      <c r="S1343" t="s">
        <v>6937</v>
      </c>
      <c r="T1343" t="s">
        <v>6937</v>
      </c>
      <c r="U1343" t="s">
        <v>53</v>
      </c>
      <c r="V1343" t="s">
        <v>51</v>
      </c>
      <c r="W1343">
        <v>500000</v>
      </c>
      <c r="X1343" t="s">
        <v>53</v>
      </c>
      <c r="Y1343" t="s">
        <v>6509</v>
      </c>
      <c r="Z1343">
        <v>0</v>
      </c>
      <c r="AA1343">
        <v>0</v>
      </c>
      <c r="AB1343">
        <v>0</v>
      </c>
      <c r="AC1343">
        <v>0</v>
      </c>
      <c r="AD1343">
        <v>0</v>
      </c>
      <c r="AE1343">
        <v>0</v>
      </c>
      <c r="AF1343">
        <v>0</v>
      </c>
      <c r="AG1343">
        <v>0</v>
      </c>
      <c r="AH1343">
        <v>0</v>
      </c>
      <c r="AI1343">
        <v>0</v>
      </c>
      <c r="AJ1343">
        <v>0</v>
      </c>
      <c r="AK1343" t="s">
        <v>53</v>
      </c>
      <c r="AL1343" t="s">
        <v>53</v>
      </c>
      <c r="AM1343" t="s">
        <v>6509</v>
      </c>
      <c r="AQ1343" t="s">
        <v>54</v>
      </c>
      <c r="AR1343" t="s">
        <v>6509</v>
      </c>
      <c r="AT1343" t="s">
        <v>6511</v>
      </c>
      <c r="AV1343" t="s">
        <v>6509</v>
      </c>
      <c r="AW1343" t="s">
        <v>53</v>
      </c>
      <c r="AX1343" t="s">
        <v>6509</v>
      </c>
      <c r="AZ1343" t="s">
        <v>54</v>
      </c>
      <c r="BA1343" t="s">
        <v>6512</v>
      </c>
    </row>
    <row r="1344" spans="1:53" x14ac:dyDescent="0.25">
      <c r="A1344">
        <v>1339</v>
      </c>
      <c r="B1344" t="s">
        <v>7313</v>
      </c>
      <c r="C1344" t="s">
        <v>7314</v>
      </c>
      <c r="D1344" t="s">
        <v>7134</v>
      </c>
      <c r="E1344">
        <v>7</v>
      </c>
      <c r="F1344" t="s">
        <v>6501</v>
      </c>
      <c r="G1344" t="s">
        <v>6621</v>
      </c>
      <c r="H1344" t="s">
        <v>6891</v>
      </c>
      <c r="I1344" t="s">
        <v>6906</v>
      </c>
      <c r="J1344" t="s">
        <v>6907</v>
      </c>
      <c r="K1344" t="s">
        <v>6908</v>
      </c>
      <c r="L1344" t="s">
        <v>7135</v>
      </c>
      <c r="M1344">
        <v>3.2108473777771001</v>
      </c>
      <c r="N1344" t="s">
        <v>54</v>
      </c>
      <c r="O1344" t="s">
        <v>53</v>
      </c>
      <c r="P1344" t="s">
        <v>53</v>
      </c>
      <c r="Q1344" t="s">
        <v>53</v>
      </c>
      <c r="R1344" t="s">
        <v>53</v>
      </c>
      <c r="S1344" t="s">
        <v>6909</v>
      </c>
      <c r="T1344" t="s">
        <v>6909</v>
      </c>
      <c r="U1344" t="s">
        <v>53</v>
      </c>
      <c r="V1344" t="s">
        <v>51</v>
      </c>
      <c r="W1344">
        <v>100000</v>
      </c>
      <c r="X1344" t="s">
        <v>53</v>
      </c>
      <c r="Y1344" t="s">
        <v>6509</v>
      </c>
      <c r="Z1344">
        <v>0</v>
      </c>
      <c r="AA1344">
        <v>194</v>
      </c>
      <c r="AB1344">
        <v>142</v>
      </c>
      <c r="AC1344">
        <v>220</v>
      </c>
      <c r="AD1344">
        <v>322</v>
      </c>
      <c r="AE1344">
        <v>322</v>
      </c>
      <c r="AF1344">
        <v>1</v>
      </c>
      <c r="AG1344">
        <v>0</v>
      </c>
      <c r="AH1344">
        <v>10.582881927490231</v>
      </c>
      <c r="AI1344">
        <v>0</v>
      </c>
      <c r="AJ1344">
        <v>380.08450317382813</v>
      </c>
      <c r="AK1344" t="s">
        <v>53</v>
      </c>
      <c r="AL1344" t="s">
        <v>53</v>
      </c>
      <c r="AM1344" t="s">
        <v>6509</v>
      </c>
      <c r="AQ1344" t="s">
        <v>54</v>
      </c>
      <c r="AR1344" t="s">
        <v>6509</v>
      </c>
      <c r="AT1344" t="s">
        <v>6511</v>
      </c>
      <c r="AV1344" t="s">
        <v>6509</v>
      </c>
      <c r="AW1344" t="s">
        <v>53</v>
      </c>
      <c r="AX1344" t="s">
        <v>6509</v>
      </c>
      <c r="AZ1344" t="s">
        <v>54</v>
      </c>
      <c r="BA1344" t="s">
        <v>6512</v>
      </c>
    </row>
    <row r="1345" spans="1:53" x14ac:dyDescent="0.25">
      <c r="A1345">
        <v>1340</v>
      </c>
      <c r="B1345" t="s">
        <v>7315</v>
      </c>
      <c r="C1345" t="s">
        <v>7316</v>
      </c>
      <c r="D1345" t="s">
        <v>7195</v>
      </c>
      <c r="E1345">
        <v>7</v>
      </c>
      <c r="F1345" t="s">
        <v>6501</v>
      </c>
      <c r="G1345" t="s">
        <v>6621</v>
      </c>
      <c r="H1345" t="s">
        <v>6891</v>
      </c>
      <c r="I1345" t="s">
        <v>6906</v>
      </c>
      <c r="J1345" t="s">
        <v>6907</v>
      </c>
      <c r="K1345" t="s">
        <v>6908</v>
      </c>
      <c r="L1345" t="s">
        <v>7118</v>
      </c>
      <c r="M1345">
        <v>3.2108473777771001</v>
      </c>
      <c r="N1345" t="s">
        <v>54</v>
      </c>
      <c r="O1345" t="s">
        <v>53</v>
      </c>
      <c r="P1345" t="s">
        <v>53</v>
      </c>
      <c r="Q1345" t="s">
        <v>53</v>
      </c>
      <c r="R1345" t="s">
        <v>53</v>
      </c>
      <c r="S1345" t="s">
        <v>6909</v>
      </c>
      <c r="T1345" t="s">
        <v>6909</v>
      </c>
      <c r="U1345" t="s">
        <v>53</v>
      </c>
      <c r="V1345" t="s">
        <v>51</v>
      </c>
      <c r="W1345">
        <v>250000</v>
      </c>
      <c r="X1345" t="s">
        <v>53</v>
      </c>
      <c r="Y1345" t="s">
        <v>6509</v>
      </c>
      <c r="Z1345">
        <v>0</v>
      </c>
      <c r="AA1345">
        <v>194</v>
      </c>
      <c r="AB1345">
        <v>142</v>
      </c>
      <c r="AC1345">
        <v>220</v>
      </c>
      <c r="AD1345">
        <v>322</v>
      </c>
      <c r="AE1345">
        <v>322</v>
      </c>
      <c r="AF1345">
        <v>1</v>
      </c>
      <c r="AG1345">
        <v>0</v>
      </c>
      <c r="AH1345">
        <v>10.582881927490231</v>
      </c>
      <c r="AI1345">
        <v>0</v>
      </c>
      <c r="AJ1345">
        <v>380.08450317382813</v>
      </c>
      <c r="AK1345" t="s">
        <v>53</v>
      </c>
      <c r="AL1345" t="s">
        <v>53</v>
      </c>
      <c r="AM1345" t="s">
        <v>6509</v>
      </c>
      <c r="AQ1345" t="s">
        <v>54</v>
      </c>
      <c r="AR1345" t="s">
        <v>6509</v>
      </c>
      <c r="AT1345" t="s">
        <v>6511</v>
      </c>
      <c r="AV1345" t="s">
        <v>6509</v>
      </c>
      <c r="AW1345" t="s">
        <v>53</v>
      </c>
      <c r="AX1345" t="s">
        <v>6509</v>
      </c>
      <c r="AZ1345" t="s">
        <v>54</v>
      </c>
      <c r="BA1345" t="s">
        <v>6512</v>
      </c>
    </row>
    <row r="1346" spans="1:53" x14ac:dyDescent="0.25">
      <c r="A1346">
        <v>1341</v>
      </c>
      <c r="B1346" t="s">
        <v>7317</v>
      </c>
      <c r="C1346" t="s">
        <v>7318</v>
      </c>
      <c r="D1346" t="s">
        <v>7153</v>
      </c>
      <c r="E1346">
        <v>7</v>
      </c>
      <c r="F1346" t="s">
        <v>6501</v>
      </c>
      <c r="G1346" t="s">
        <v>6621</v>
      </c>
      <c r="H1346" t="s">
        <v>6891</v>
      </c>
      <c r="I1346" t="s">
        <v>6906</v>
      </c>
      <c r="J1346" t="s">
        <v>6907</v>
      </c>
      <c r="K1346" t="s">
        <v>6908</v>
      </c>
      <c r="L1346" t="s">
        <v>7135</v>
      </c>
      <c r="M1346">
        <v>3.2108473777771001</v>
      </c>
      <c r="N1346" t="s">
        <v>54</v>
      </c>
      <c r="O1346" t="s">
        <v>53</v>
      </c>
      <c r="P1346" t="s">
        <v>53</v>
      </c>
      <c r="Q1346" t="s">
        <v>53</v>
      </c>
      <c r="R1346" t="s">
        <v>53</v>
      </c>
      <c r="S1346" t="s">
        <v>6909</v>
      </c>
      <c r="T1346" t="s">
        <v>6909</v>
      </c>
      <c r="U1346" t="s">
        <v>53</v>
      </c>
      <c r="V1346" t="s">
        <v>51</v>
      </c>
      <c r="W1346">
        <v>500000</v>
      </c>
      <c r="X1346" t="s">
        <v>53</v>
      </c>
      <c r="Y1346" t="s">
        <v>6509</v>
      </c>
      <c r="Z1346">
        <v>0</v>
      </c>
      <c r="AA1346">
        <v>194</v>
      </c>
      <c r="AB1346">
        <v>142</v>
      </c>
      <c r="AC1346">
        <v>220</v>
      </c>
      <c r="AD1346">
        <v>322</v>
      </c>
      <c r="AE1346">
        <v>322</v>
      </c>
      <c r="AF1346">
        <v>1</v>
      </c>
      <c r="AG1346">
        <v>0</v>
      </c>
      <c r="AH1346">
        <v>10.582881927490231</v>
      </c>
      <c r="AI1346">
        <v>0</v>
      </c>
      <c r="AJ1346">
        <v>380.08450317382813</v>
      </c>
      <c r="AK1346" t="s">
        <v>53</v>
      </c>
      <c r="AL1346" t="s">
        <v>53</v>
      </c>
      <c r="AM1346" t="s">
        <v>6509</v>
      </c>
      <c r="AQ1346" t="s">
        <v>54</v>
      </c>
      <c r="AR1346" t="s">
        <v>6509</v>
      </c>
      <c r="AT1346" t="s">
        <v>6511</v>
      </c>
      <c r="AV1346" t="s">
        <v>6509</v>
      </c>
      <c r="AW1346" t="s">
        <v>53</v>
      </c>
      <c r="AX1346" t="s">
        <v>6509</v>
      </c>
      <c r="AZ1346" t="s">
        <v>54</v>
      </c>
      <c r="BA1346" t="s">
        <v>6512</v>
      </c>
    </row>
    <row r="1347" spans="1:53" x14ac:dyDescent="0.25">
      <c r="A1347">
        <v>1342</v>
      </c>
      <c r="B1347" t="s">
        <v>7319</v>
      </c>
      <c r="C1347" t="s">
        <v>7320</v>
      </c>
      <c r="D1347" t="s">
        <v>7117</v>
      </c>
      <c r="E1347">
        <v>7</v>
      </c>
      <c r="F1347" t="s">
        <v>6501</v>
      </c>
      <c r="G1347" t="s">
        <v>6621</v>
      </c>
      <c r="H1347" t="s">
        <v>6891</v>
      </c>
      <c r="I1347" t="s">
        <v>6906</v>
      </c>
      <c r="J1347" t="s">
        <v>6907</v>
      </c>
      <c r="K1347" t="s">
        <v>6908</v>
      </c>
      <c r="L1347" t="s">
        <v>7118</v>
      </c>
      <c r="M1347">
        <v>3.2108473777771001</v>
      </c>
      <c r="N1347" t="s">
        <v>54</v>
      </c>
      <c r="O1347" t="s">
        <v>53</v>
      </c>
      <c r="P1347" t="s">
        <v>53</v>
      </c>
      <c r="Q1347" t="s">
        <v>53</v>
      </c>
      <c r="R1347" t="s">
        <v>53</v>
      </c>
      <c r="S1347" t="s">
        <v>6909</v>
      </c>
      <c r="T1347" t="s">
        <v>6909</v>
      </c>
      <c r="U1347" t="s">
        <v>53</v>
      </c>
      <c r="V1347" t="s">
        <v>51</v>
      </c>
      <c r="W1347">
        <v>1000000</v>
      </c>
      <c r="X1347" t="s">
        <v>53</v>
      </c>
      <c r="Y1347" t="s">
        <v>6509</v>
      </c>
      <c r="Z1347">
        <v>0</v>
      </c>
      <c r="AA1347">
        <v>194</v>
      </c>
      <c r="AB1347">
        <v>142</v>
      </c>
      <c r="AC1347">
        <v>220</v>
      </c>
      <c r="AD1347">
        <v>322</v>
      </c>
      <c r="AE1347">
        <v>322</v>
      </c>
      <c r="AF1347">
        <v>1</v>
      </c>
      <c r="AG1347">
        <v>0</v>
      </c>
      <c r="AH1347">
        <v>10.582881927490231</v>
      </c>
      <c r="AI1347">
        <v>0</v>
      </c>
      <c r="AJ1347">
        <v>380.08450317382813</v>
      </c>
      <c r="AK1347" t="s">
        <v>53</v>
      </c>
      <c r="AL1347" t="s">
        <v>53</v>
      </c>
      <c r="AM1347" t="s">
        <v>6509</v>
      </c>
      <c r="AQ1347" t="s">
        <v>54</v>
      </c>
      <c r="AR1347" t="s">
        <v>6509</v>
      </c>
      <c r="AT1347" t="s">
        <v>6511</v>
      </c>
      <c r="AV1347" t="s">
        <v>6509</v>
      </c>
      <c r="AW1347" t="s">
        <v>53</v>
      </c>
      <c r="AX1347" t="s">
        <v>6509</v>
      </c>
      <c r="AZ1347" t="s">
        <v>54</v>
      </c>
      <c r="BA1347" t="s">
        <v>6512</v>
      </c>
    </row>
    <row r="1348" spans="1:53" x14ac:dyDescent="0.25">
      <c r="A1348">
        <v>1343</v>
      </c>
      <c r="B1348" t="s">
        <v>7321</v>
      </c>
      <c r="C1348" t="s">
        <v>7322</v>
      </c>
      <c r="D1348" t="s">
        <v>7186</v>
      </c>
      <c r="E1348">
        <v>7</v>
      </c>
      <c r="F1348" t="s">
        <v>6501</v>
      </c>
      <c r="G1348" t="s">
        <v>6621</v>
      </c>
      <c r="H1348" t="s">
        <v>6891</v>
      </c>
      <c r="I1348" t="s">
        <v>6906</v>
      </c>
      <c r="J1348" t="s">
        <v>6907</v>
      </c>
      <c r="K1348" t="s">
        <v>6908</v>
      </c>
      <c r="L1348" t="s">
        <v>7118</v>
      </c>
      <c r="M1348">
        <v>3.2108473777771001</v>
      </c>
      <c r="N1348" t="s">
        <v>54</v>
      </c>
      <c r="O1348" t="s">
        <v>53</v>
      </c>
      <c r="P1348" t="s">
        <v>53</v>
      </c>
      <c r="Q1348" t="s">
        <v>53</v>
      </c>
      <c r="R1348" t="s">
        <v>53</v>
      </c>
      <c r="S1348" t="s">
        <v>6909</v>
      </c>
      <c r="T1348" t="s">
        <v>6909</v>
      </c>
      <c r="U1348" t="s">
        <v>53</v>
      </c>
      <c r="V1348" t="s">
        <v>51</v>
      </c>
      <c r="W1348">
        <v>250000</v>
      </c>
      <c r="X1348" t="s">
        <v>53</v>
      </c>
      <c r="Y1348" t="s">
        <v>6509</v>
      </c>
      <c r="Z1348">
        <v>0</v>
      </c>
      <c r="AA1348">
        <v>194</v>
      </c>
      <c r="AB1348">
        <v>142</v>
      </c>
      <c r="AC1348">
        <v>220</v>
      </c>
      <c r="AD1348">
        <v>322</v>
      </c>
      <c r="AE1348">
        <v>322</v>
      </c>
      <c r="AF1348">
        <v>1</v>
      </c>
      <c r="AG1348">
        <v>0</v>
      </c>
      <c r="AH1348">
        <v>10.582881927490231</v>
      </c>
      <c r="AI1348">
        <v>0</v>
      </c>
      <c r="AJ1348">
        <v>380.08450317382813</v>
      </c>
      <c r="AK1348" t="s">
        <v>53</v>
      </c>
      <c r="AL1348" t="s">
        <v>53</v>
      </c>
      <c r="AM1348" t="s">
        <v>6509</v>
      </c>
      <c r="AQ1348" t="s">
        <v>54</v>
      </c>
      <c r="AR1348" t="s">
        <v>6509</v>
      </c>
      <c r="AT1348" t="s">
        <v>6511</v>
      </c>
      <c r="AV1348" t="s">
        <v>6509</v>
      </c>
      <c r="AW1348" t="s">
        <v>53</v>
      </c>
      <c r="AX1348" t="s">
        <v>6509</v>
      </c>
      <c r="AZ1348" t="s">
        <v>54</v>
      </c>
      <c r="BA1348" t="s">
        <v>6512</v>
      </c>
    </row>
    <row r="1349" spans="1:53" x14ac:dyDescent="0.25">
      <c r="A1349">
        <v>1344</v>
      </c>
      <c r="B1349" t="s">
        <v>7323</v>
      </c>
      <c r="C1349" t="s">
        <v>7324</v>
      </c>
      <c r="D1349" t="s">
        <v>7134</v>
      </c>
      <c r="E1349">
        <v>7</v>
      </c>
      <c r="F1349" t="s">
        <v>6501</v>
      </c>
      <c r="G1349" t="s">
        <v>6837</v>
      </c>
      <c r="H1349" t="s">
        <v>6953</v>
      </c>
      <c r="I1349" t="s">
        <v>7325</v>
      </c>
      <c r="J1349" t="s">
        <v>7326</v>
      </c>
      <c r="K1349" t="s">
        <v>7327</v>
      </c>
      <c r="L1349" t="s">
        <v>7135</v>
      </c>
      <c r="M1349">
        <v>3.0648982524871831</v>
      </c>
      <c r="N1349" t="s">
        <v>54</v>
      </c>
      <c r="O1349" t="s">
        <v>53</v>
      </c>
      <c r="P1349" t="s">
        <v>53</v>
      </c>
      <c r="Q1349" t="s">
        <v>53</v>
      </c>
      <c r="R1349" t="s">
        <v>53</v>
      </c>
      <c r="S1349" t="s">
        <v>7328</v>
      </c>
      <c r="T1349" t="s">
        <v>7328</v>
      </c>
      <c r="U1349" t="s">
        <v>53</v>
      </c>
      <c r="V1349" t="s">
        <v>1973</v>
      </c>
      <c r="W1349">
        <v>100000</v>
      </c>
      <c r="X1349" t="s">
        <v>53</v>
      </c>
      <c r="Y1349" t="s">
        <v>6509</v>
      </c>
      <c r="Z1349">
        <v>0</v>
      </c>
      <c r="AA1349">
        <v>54</v>
      </c>
      <c r="AB1349">
        <v>38</v>
      </c>
      <c r="AC1349">
        <v>100</v>
      </c>
      <c r="AD1349">
        <v>78</v>
      </c>
      <c r="AE1349">
        <v>100</v>
      </c>
      <c r="AF1349">
        <v>0</v>
      </c>
      <c r="AG1349">
        <v>0</v>
      </c>
      <c r="AH1349">
        <v>4.5219273567199707</v>
      </c>
      <c r="AI1349">
        <v>0</v>
      </c>
      <c r="AJ1349">
        <v>50.724521636962891</v>
      </c>
      <c r="AK1349" t="s">
        <v>53</v>
      </c>
      <c r="AL1349" t="s">
        <v>53</v>
      </c>
      <c r="AM1349" t="s">
        <v>6509</v>
      </c>
      <c r="AQ1349" t="s">
        <v>54</v>
      </c>
      <c r="AR1349" t="s">
        <v>6509</v>
      </c>
      <c r="AT1349" t="s">
        <v>6511</v>
      </c>
      <c r="AV1349" t="s">
        <v>6509</v>
      </c>
      <c r="AW1349" t="s">
        <v>54</v>
      </c>
      <c r="AX1349" t="s">
        <v>6509</v>
      </c>
      <c r="AZ1349" t="s">
        <v>54</v>
      </c>
      <c r="BA1349" t="s">
        <v>6512</v>
      </c>
    </row>
    <row r="1350" spans="1:53" x14ac:dyDescent="0.25">
      <c r="A1350">
        <v>1345</v>
      </c>
      <c r="B1350" t="s">
        <v>7329</v>
      </c>
      <c r="C1350" t="s">
        <v>7330</v>
      </c>
      <c r="D1350" t="s">
        <v>7117</v>
      </c>
      <c r="E1350">
        <v>7</v>
      </c>
      <c r="F1350" t="s">
        <v>6501</v>
      </c>
      <c r="G1350" t="s">
        <v>6679</v>
      </c>
      <c r="H1350" t="s">
        <v>6940</v>
      </c>
      <c r="I1350" t="s">
        <v>7331</v>
      </c>
      <c r="J1350" t="s">
        <v>7332</v>
      </c>
      <c r="K1350" t="s">
        <v>7333</v>
      </c>
      <c r="L1350" t="s">
        <v>7118</v>
      </c>
      <c r="M1350">
        <v>1.657986044883728</v>
      </c>
      <c r="N1350" t="s">
        <v>54</v>
      </c>
      <c r="O1350" t="s">
        <v>53</v>
      </c>
      <c r="P1350" t="s">
        <v>53</v>
      </c>
      <c r="Q1350" t="s">
        <v>53</v>
      </c>
      <c r="R1350" t="s">
        <v>53</v>
      </c>
      <c r="S1350" t="s">
        <v>7334</v>
      </c>
      <c r="T1350" t="s">
        <v>7334</v>
      </c>
      <c r="U1350" t="s">
        <v>53</v>
      </c>
      <c r="V1350" t="s">
        <v>51</v>
      </c>
      <c r="W1350">
        <v>100000</v>
      </c>
      <c r="X1350" t="s">
        <v>53</v>
      </c>
      <c r="Y1350" t="s">
        <v>6509</v>
      </c>
      <c r="Z1350">
        <v>0</v>
      </c>
      <c r="AA1350">
        <v>26</v>
      </c>
      <c r="AB1350">
        <v>11</v>
      </c>
      <c r="AC1350">
        <v>27</v>
      </c>
      <c r="AD1350">
        <v>16</v>
      </c>
      <c r="AE1350">
        <v>27</v>
      </c>
      <c r="AF1350">
        <v>0</v>
      </c>
      <c r="AG1350">
        <v>0</v>
      </c>
      <c r="AH1350">
        <v>1.8285388946533201</v>
      </c>
      <c r="AI1350">
        <v>0</v>
      </c>
      <c r="AJ1350">
        <v>27.279176712036129</v>
      </c>
      <c r="AK1350" t="s">
        <v>53</v>
      </c>
      <c r="AL1350" t="s">
        <v>53</v>
      </c>
      <c r="AM1350" t="s">
        <v>6509</v>
      </c>
      <c r="AQ1350" t="s">
        <v>54</v>
      </c>
      <c r="AR1350" t="s">
        <v>6509</v>
      </c>
      <c r="AT1350" t="s">
        <v>6511</v>
      </c>
      <c r="AV1350" t="s">
        <v>6509</v>
      </c>
      <c r="AW1350" t="s">
        <v>53</v>
      </c>
      <c r="AX1350" t="s">
        <v>6509</v>
      </c>
      <c r="AZ1350" t="s">
        <v>54</v>
      </c>
      <c r="BA1350" t="s">
        <v>6512</v>
      </c>
    </row>
    <row r="1351" spans="1:53" x14ac:dyDescent="0.25">
      <c r="A1351">
        <v>1346</v>
      </c>
      <c r="B1351" t="s">
        <v>7335</v>
      </c>
      <c r="C1351" t="s">
        <v>7336</v>
      </c>
      <c r="D1351" t="s">
        <v>7254</v>
      </c>
      <c r="E1351">
        <v>7</v>
      </c>
      <c r="F1351" t="s">
        <v>6501</v>
      </c>
      <c r="G1351" t="s">
        <v>2428</v>
      </c>
      <c r="H1351" t="s">
        <v>6940</v>
      </c>
      <c r="I1351" t="s">
        <v>6941</v>
      </c>
      <c r="J1351" t="s">
        <v>6942</v>
      </c>
      <c r="K1351" t="s">
        <v>6943</v>
      </c>
      <c r="L1351" t="s">
        <v>7118</v>
      </c>
      <c r="M1351">
        <v>1.423107385635376</v>
      </c>
      <c r="N1351" t="s">
        <v>54</v>
      </c>
      <c r="O1351" t="s">
        <v>53</v>
      </c>
      <c r="P1351" t="s">
        <v>53</v>
      </c>
      <c r="Q1351" t="s">
        <v>53</v>
      </c>
      <c r="R1351" t="s">
        <v>53</v>
      </c>
      <c r="S1351" t="s">
        <v>6944</v>
      </c>
      <c r="T1351" t="s">
        <v>6944</v>
      </c>
      <c r="U1351" t="s">
        <v>53</v>
      </c>
      <c r="V1351" t="s">
        <v>51</v>
      </c>
      <c r="W1351">
        <v>100000</v>
      </c>
      <c r="X1351" t="s">
        <v>53</v>
      </c>
      <c r="Y1351" t="s">
        <v>6509</v>
      </c>
      <c r="Z1351">
        <v>0</v>
      </c>
      <c r="AA1351">
        <v>690</v>
      </c>
      <c r="AB1351">
        <v>417</v>
      </c>
      <c r="AC1351">
        <v>1018</v>
      </c>
      <c r="AD1351">
        <v>1065</v>
      </c>
      <c r="AE1351">
        <v>1065</v>
      </c>
      <c r="AF1351">
        <v>4</v>
      </c>
      <c r="AG1351">
        <v>0</v>
      </c>
      <c r="AH1351">
        <v>19.823005676269531</v>
      </c>
      <c r="AI1351">
        <v>0</v>
      </c>
      <c r="AJ1351">
        <v>182.70198059082031</v>
      </c>
      <c r="AK1351" t="s">
        <v>53</v>
      </c>
      <c r="AL1351" t="s">
        <v>53</v>
      </c>
      <c r="AM1351" t="s">
        <v>6509</v>
      </c>
      <c r="AQ1351" t="s">
        <v>54</v>
      </c>
      <c r="AR1351" t="s">
        <v>6509</v>
      </c>
      <c r="AT1351" t="s">
        <v>6511</v>
      </c>
      <c r="AV1351" t="s">
        <v>6509</v>
      </c>
      <c r="AW1351" t="s">
        <v>53</v>
      </c>
      <c r="AX1351" t="s">
        <v>6509</v>
      </c>
      <c r="AZ1351" t="s">
        <v>54</v>
      </c>
      <c r="BA1351" t="s">
        <v>6512</v>
      </c>
    </row>
    <row r="1352" spans="1:53" x14ac:dyDescent="0.25">
      <c r="A1352">
        <v>1347</v>
      </c>
      <c r="B1352" t="s">
        <v>7337</v>
      </c>
      <c r="C1352" t="s">
        <v>7338</v>
      </c>
      <c r="D1352" t="s">
        <v>7254</v>
      </c>
      <c r="E1352">
        <v>7</v>
      </c>
      <c r="F1352" t="s">
        <v>6501</v>
      </c>
      <c r="G1352" t="s">
        <v>6611</v>
      </c>
      <c r="H1352" t="s">
        <v>7088</v>
      </c>
      <c r="I1352" t="s">
        <v>7089</v>
      </c>
      <c r="J1352" t="s">
        <v>7090</v>
      </c>
      <c r="K1352" t="s">
        <v>7091</v>
      </c>
      <c r="L1352" t="s">
        <v>7118</v>
      </c>
      <c r="M1352">
        <v>5.759546160697937E-2</v>
      </c>
      <c r="N1352" t="s">
        <v>53</v>
      </c>
      <c r="O1352" t="s">
        <v>53</v>
      </c>
      <c r="P1352" t="s">
        <v>53</v>
      </c>
      <c r="Q1352" t="s">
        <v>53</v>
      </c>
      <c r="R1352" t="s">
        <v>53</v>
      </c>
      <c r="S1352" t="s">
        <v>7092</v>
      </c>
      <c r="T1352" t="s">
        <v>7092</v>
      </c>
      <c r="U1352" t="s">
        <v>53</v>
      </c>
      <c r="V1352" t="s">
        <v>51</v>
      </c>
      <c r="W1352">
        <v>100000</v>
      </c>
      <c r="X1352" t="s">
        <v>53</v>
      </c>
      <c r="Y1352" t="s">
        <v>6509</v>
      </c>
      <c r="Z1352">
        <v>0</v>
      </c>
      <c r="AA1352">
        <v>0</v>
      </c>
      <c r="AB1352">
        <v>0</v>
      </c>
      <c r="AC1352">
        <v>0</v>
      </c>
      <c r="AD1352">
        <v>0</v>
      </c>
      <c r="AE1352">
        <v>0</v>
      </c>
      <c r="AF1352">
        <v>0</v>
      </c>
      <c r="AG1352">
        <v>0</v>
      </c>
      <c r="AH1352">
        <v>0</v>
      </c>
      <c r="AI1352">
        <v>0</v>
      </c>
      <c r="AJ1352">
        <v>0</v>
      </c>
      <c r="AK1352" t="s">
        <v>53</v>
      </c>
      <c r="AL1352" t="s">
        <v>53</v>
      </c>
      <c r="AM1352" t="s">
        <v>6509</v>
      </c>
      <c r="AQ1352" t="s">
        <v>54</v>
      </c>
      <c r="AR1352" t="s">
        <v>6509</v>
      </c>
      <c r="AT1352" t="s">
        <v>6511</v>
      </c>
      <c r="AV1352" t="s">
        <v>6509</v>
      </c>
      <c r="AW1352" t="s">
        <v>53</v>
      </c>
      <c r="AX1352" t="s">
        <v>6509</v>
      </c>
      <c r="AZ1352" t="s">
        <v>54</v>
      </c>
      <c r="BA1352" t="s">
        <v>6512</v>
      </c>
    </row>
    <row r="1353" spans="1:53" x14ac:dyDescent="0.25">
      <c r="A1353">
        <v>1348</v>
      </c>
      <c r="B1353" t="s">
        <v>7339</v>
      </c>
      <c r="C1353" t="s">
        <v>7340</v>
      </c>
      <c r="D1353" t="s">
        <v>7186</v>
      </c>
      <c r="E1353">
        <v>7</v>
      </c>
      <c r="F1353" t="s">
        <v>6501</v>
      </c>
      <c r="G1353" t="s">
        <v>6655</v>
      </c>
      <c r="H1353" t="s">
        <v>6940</v>
      </c>
      <c r="I1353" t="s">
        <v>6941</v>
      </c>
      <c r="J1353" t="s">
        <v>6968</v>
      </c>
      <c r="K1353" t="s">
        <v>6969</v>
      </c>
      <c r="L1353" t="s">
        <v>7118</v>
      </c>
      <c r="M1353">
        <v>0.69450128078460693</v>
      </c>
      <c r="N1353" t="s">
        <v>54</v>
      </c>
      <c r="O1353" t="s">
        <v>53</v>
      </c>
      <c r="P1353" t="s">
        <v>53</v>
      </c>
      <c r="Q1353" t="s">
        <v>53</v>
      </c>
      <c r="R1353" t="s">
        <v>53</v>
      </c>
      <c r="S1353" t="s">
        <v>7078</v>
      </c>
      <c r="T1353" t="s">
        <v>7078</v>
      </c>
      <c r="U1353" t="s">
        <v>53</v>
      </c>
      <c r="V1353" t="s">
        <v>51</v>
      </c>
      <c r="W1353">
        <v>250000</v>
      </c>
      <c r="X1353" t="s">
        <v>53</v>
      </c>
      <c r="Y1353" t="s">
        <v>6509</v>
      </c>
      <c r="Z1353">
        <v>0</v>
      </c>
      <c r="AA1353">
        <v>33</v>
      </c>
      <c r="AB1353">
        <v>25</v>
      </c>
      <c r="AC1353">
        <v>16</v>
      </c>
      <c r="AD1353">
        <v>47</v>
      </c>
      <c r="AE1353">
        <v>47</v>
      </c>
      <c r="AF1353">
        <v>0</v>
      </c>
      <c r="AG1353">
        <v>0</v>
      </c>
      <c r="AH1353">
        <v>1.7382849454879761</v>
      </c>
      <c r="AI1353">
        <v>0</v>
      </c>
      <c r="AJ1353">
        <v>0.9413105845451355</v>
      </c>
      <c r="AK1353" t="s">
        <v>53</v>
      </c>
      <c r="AL1353" t="s">
        <v>53</v>
      </c>
      <c r="AM1353" t="s">
        <v>6509</v>
      </c>
      <c r="AQ1353" t="s">
        <v>54</v>
      </c>
      <c r="AR1353" t="s">
        <v>6509</v>
      </c>
      <c r="AT1353" t="s">
        <v>6511</v>
      </c>
      <c r="AV1353" t="s">
        <v>6509</v>
      </c>
      <c r="AW1353" t="s">
        <v>53</v>
      </c>
      <c r="AX1353" t="s">
        <v>6509</v>
      </c>
      <c r="AZ1353" t="s">
        <v>54</v>
      </c>
      <c r="BA1353" t="s">
        <v>6512</v>
      </c>
    </row>
    <row r="1354" spans="1:53" x14ac:dyDescent="0.25">
      <c r="A1354">
        <v>1349</v>
      </c>
      <c r="B1354" t="s">
        <v>7341</v>
      </c>
      <c r="C1354" t="s">
        <v>7342</v>
      </c>
      <c r="D1354" t="s">
        <v>7186</v>
      </c>
      <c r="E1354">
        <v>7</v>
      </c>
      <c r="F1354" t="s">
        <v>6501</v>
      </c>
      <c r="G1354" t="s">
        <v>6679</v>
      </c>
      <c r="H1354" t="s">
        <v>7017</v>
      </c>
      <c r="I1354" t="s">
        <v>7018</v>
      </c>
      <c r="J1354" t="s">
        <v>7019</v>
      </c>
      <c r="K1354" t="s">
        <v>7020</v>
      </c>
      <c r="L1354" t="s">
        <v>7118</v>
      </c>
      <c r="M1354">
        <v>0.64702260494232178</v>
      </c>
      <c r="N1354" t="s">
        <v>54</v>
      </c>
      <c r="O1354" t="s">
        <v>53</v>
      </c>
      <c r="P1354" t="s">
        <v>53</v>
      </c>
      <c r="Q1354" t="s">
        <v>53</v>
      </c>
      <c r="R1354" t="s">
        <v>53</v>
      </c>
      <c r="S1354" t="s">
        <v>7021</v>
      </c>
      <c r="T1354" t="s">
        <v>7021</v>
      </c>
      <c r="U1354" t="s">
        <v>53</v>
      </c>
      <c r="V1354" t="s">
        <v>51</v>
      </c>
      <c r="W1354">
        <v>250000</v>
      </c>
      <c r="X1354" t="s">
        <v>53</v>
      </c>
      <c r="Y1354" t="s">
        <v>6509</v>
      </c>
      <c r="Z1354">
        <v>0</v>
      </c>
      <c r="AA1354">
        <v>10</v>
      </c>
      <c r="AB1354">
        <v>3</v>
      </c>
      <c r="AC1354">
        <v>25</v>
      </c>
      <c r="AD1354">
        <v>4</v>
      </c>
      <c r="AE1354">
        <v>25</v>
      </c>
      <c r="AF1354">
        <v>0</v>
      </c>
      <c r="AG1354">
        <v>0</v>
      </c>
      <c r="AH1354">
        <v>0.29962942004203802</v>
      </c>
      <c r="AI1354">
        <v>0</v>
      </c>
      <c r="AJ1354">
        <v>5.1623783111572266</v>
      </c>
      <c r="AK1354" t="s">
        <v>53</v>
      </c>
      <c r="AL1354" t="s">
        <v>53</v>
      </c>
      <c r="AM1354" t="s">
        <v>6509</v>
      </c>
      <c r="AQ1354" t="s">
        <v>54</v>
      </c>
      <c r="AR1354" t="s">
        <v>6509</v>
      </c>
      <c r="AT1354" t="s">
        <v>6511</v>
      </c>
      <c r="AV1354" t="s">
        <v>6509</v>
      </c>
      <c r="AW1354" t="s">
        <v>53</v>
      </c>
      <c r="AX1354" t="s">
        <v>6509</v>
      </c>
      <c r="AZ1354" t="s">
        <v>54</v>
      </c>
      <c r="BA1354" t="s">
        <v>6512</v>
      </c>
    </row>
    <row r="1355" spans="1:53" x14ac:dyDescent="0.25">
      <c r="A1355">
        <v>1350</v>
      </c>
      <c r="B1355" t="s">
        <v>7343</v>
      </c>
      <c r="C1355" t="s">
        <v>7344</v>
      </c>
      <c r="D1355" t="s">
        <v>7195</v>
      </c>
      <c r="E1355">
        <v>7</v>
      </c>
      <c r="F1355" t="s">
        <v>6501</v>
      </c>
      <c r="G1355" t="s">
        <v>6502</v>
      </c>
      <c r="H1355" t="s">
        <v>7025</v>
      </c>
      <c r="I1355" t="s">
        <v>7032</v>
      </c>
      <c r="J1355" t="s">
        <v>7033</v>
      </c>
      <c r="K1355" t="s">
        <v>7034</v>
      </c>
      <c r="L1355" t="s">
        <v>7118</v>
      </c>
      <c r="M1355">
        <v>0.42304447293281561</v>
      </c>
      <c r="N1355" t="s">
        <v>54</v>
      </c>
      <c r="O1355" t="s">
        <v>53</v>
      </c>
      <c r="P1355" t="s">
        <v>53</v>
      </c>
      <c r="Q1355" t="s">
        <v>53</v>
      </c>
      <c r="R1355" t="s">
        <v>53</v>
      </c>
      <c r="S1355" t="s">
        <v>7035</v>
      </c>
      <c r="T1355" t="s">
        <v>7035</v>
      </c>
      <c r="U1355" t="s">
        <v>53</v>
      </c>
      <c r="V1355" t="s">
        <v>51</v>
      </c>
      <c r="W1355">
        <v>100000</v>
      </c>
      <c r="X1355" t="s">
        <v>53</v>
      </c>
      <c r="Y1355" t="s">
        <v>6509</v>
      </c>
      <c r="Z1355">
        <v>0</v>
      </c>
      <c r="AA1355">
        <v>18</v>
      </c>
      <c r="AB1355">
        <v>11</v>
      </c>
      <c r="AC1355">
        <v>16</v>
      </c>
      <c r="AD1355">
        <v>11</v>
      </c>
      <c r="AE1355">
        <v>16</v>
      </c>
      <c r="AF1355">
        <v>0</v>
      </c>
      <c r="AG1355">
        <v>0</v>
      </c>
      <c r="AH1355">
        <v>0.87748998403549194</v>
      </c>
      <c r="AI1355">
        <v>0</v>
      </c>
      <c r="AJ1355">
        <v>0</v>
      </c>
      <c r="AK1355" t="s">
        <v>53</v>
      </c>
      <c r="AL1355" t="s">
        <v>53</v>
      </c>
      <c r="AM1355" t="s">
        <v>6509</v>
      </c>
      <c r="AQ1355" t="s">
        <v>54</v>
      </c>
      <c r="AR1355" t="s">
        <v>6509</v>
      </c>
      <c r="AT1355" t="s">
        <v>6511</v>
      </c>
      <c r="AV1355" t="s">
        <v>6509</v>
      </c>
      <c r="AW1355" t="s">
        <v>53</v>
      </c>
      <c r="AX1355" t="s">
        <v>6509</v>
      </c>
      <c r="AZ1355" t="s">
        <v>54</v>
      </c>
      <c r="BA1355" t="s">
        <v>6512</v>
      </c>
    </row>
    <row r="1356" spans="1:53" x14ac:dyDescent="0.25">
      <c r="A1356">
        <v>1351</v>
      </c>
      <c r="B1356" t="s">
        <v>7345</v>
      </c>
      <c r="C1356" t="s">
        <v>7346</v>
      </c>
      <c r="D1356" t="s">
        <v>7347</v>
      </c>
      <c r="E1356">
        <v>7</v>
      </c>
      <c r="F1356" t="s">
        <v>6501</v>
      </c>
      <c r="G1356" t="s">
        <v>6502</v>
      </c>
      <c r="H1356" t="s">
        <v>7025</v>
      </c>
      <c r="I1356" t="s">
        <v>7032</v>
      </c>
      <c r="J1356" t="s">
        <v>7033</v>
      </c>
      <c r="K1356" t="s">
        <v>7034</v>
      </c>
      <c r="L1356" t="s">
        <v>7135</v>
      </c>
      <c r="M1356">
        <v>0.42304447293281561</v>
      </c>
      <c r="N1356" t="s">
        <v>54</v>
      </c>
      <c r="O1356" t="s">
        <v>53</v>
      </c>
      <c r="P1356" t="s">
        <v>53</v>
      </c>
      <c r="Q1356" t="s">
        <v>53</v>
      </c>
      <c r="R1356" t="s">
        <v>53</v>
      </c>
      <c r="S1356" t="s">
        <v>7035</v>
      </c>
      <c r="T1356" t="s">
        <v>7035</v>
      </c>
      <c r="U1356" t="s">
        <v>53</v>
      </c>
      <c r="V1356" t="s">
        <v>1973</v>
      </c>
      <c r="W1356">
        <v>100000</v>
      </c>
      <c r="X1356" t="s">
        <v>53</v>
      </c>
      <c r="Y1356" t="s">
        <v>6509</v>
      </c>
      <c r="Z1356">
        <v>0</v>
      </c>
      <c r="AA1356">
        <v>18</v>
      </c>
      <c r="AB1356">
        <v>11</v>
      </c>
      <c r="AC1356">
        <v>16</v>
      </c>
      <c r="AD1356">
        <v>11</v>
      </c>
      <c r="AE1356">
        <v>16</v>
      </c>
      <c r="AF1356">
        <v>0</v>
      </c>
      <c r="AG1356">
        <v>0</v>
      </c>
      <c r="AH1356">
        <v>0.87748998403549194</v>
      </c>
      <c r="AI1356">
        <v>0</v>
      </c>
      <c r="AJ1356">
        <v>0</v>
      </c>
      <c r="AK1356" t="s">
        <v>53</v>
      </c>
      <c r="AL1356" t="s">
        <v>53</v>
      </c>
      <c r="AM1356" t="s">
        <v>6509</v>
      </c>
      <c r="AQ1356" t="s">
        <v>54</v>
      </c>
      <c r="AR1356" t="s">
        <v>6509</v>
      </c>
      <c r="AT1356" t="s">
        <v>6511</v>
      </c>
      <c r="AV1356" t="s">
        <v>6509</v>
      </c>
      <c r="AW1356" t="s">
        <v>53</v>
      </c>
      <c r="AX1356" t="s">
        <v>6509</v>
      </c>
      <c r="AZ1356" t="s">
        <v>54</v>
      </c>
      <c r="BA1356" t="s">
        <v>6512</v>
      </c>
    </row>
    <row r="1357" spans="1:53" x14ac:dyDescent="0.25">
      <c r="A1357">
        <v>1352</v>
      </c>
      <c r="B1357" t="s">
        <v>7348</v>
      </c>
      <c r="C1357" t="s">
        <v>7349</v>
      </c>
      <c r="D1357" t="s">
        <v>7254</v>
      </c>
      <c r="E1357">
        <v>7</v>
      </c>
      <c r="F1357" t="s">
        <v>6501</v>
      </c>
      <c r="G1357" t="s">
        <v>6655</v>
      </c>
      <c r="H1357" t="s">
        <v>6940</v>
      </c>
      <c r="I1357" t="s">
        <v>6941</v>
      </c>
      <c r="J1357" t="s">
        <v>6968</v>
      </c>
      <c r="K1357" t="s">
        <v>6969</v>
      </c>
      <c r="L1357" t="s">
        <v>7118</v>
      </c>
      <c r="M1357">
        <v>0.34059175848960882</v>
      </c>
      <c r="N1357" t="s">
        <v>54</v>
      </c>
      <c r="O1357" t="s">
        <v>53</v>
      </c>
      <c r="P1357" t="s">
        <v>53</v>
      </c>
      <c r="Q1357" t="s">
        <v>53</v>
      </c>
      <c r="R1357" t="s">
        <v>53</v>
      </c>
      <c r="S1357" t="s">
        <v>6970</v>
      </c>
      <c r="T1357" t="s">
        <v>6970</v>
      </c>
      <c r="U1357" t="s">
        <v>53</v>
      </c>
      <c r="V1357" t="s">
        <v>51</v>
      </c>
      <c r="W1357">
        <v>100000</v>
      </c>
      <c r="X1357" t="s">
        <v>53</v>
      </c>
      <c r="Y1357" t="s">
        <v>6509</v>
      </c>
      <c r="Z1357">
        <v>0</v>
      </c>
      <c r="AA1357">
        <v>27</v>
      </c>
      <c r="AB1357">
        <v>20</v>
      </c>
      <c r="AC1357">
        <v>26</v>
      </c>
      <c r="AD1357">
        <v>26</v>
      </c>
      <c r="AE1357">
        <v>26</v>
      </c>
      <c r="AF1357">
        <v>0</v>
      </c>
      <c r="AG1357">
        <v>0</v>
      </c>
      <c r="AH1357">
        <v>1.251298308372498</v>
      </c>
      <c r="AI1357">
        <v>0</v>
      </c>
      <c r="AJ1357">
        <v>4.5785374641418457</v>
      </c>
      <c r="AK1357" t="s">
        <v>53</v>
      </c>
      <c r="AL1357" t="s">
        <v>53</v>
      </c>
      <c r="AM1357" t="s">
        <v>6509</v>
      </c>
      <c r="AQ1357" t="s">
        <v>54</v>
      </c>
      <c r="AR1357" t="s">
        <v>6509</v>
      </c>
      <c r="AT1357" t="s">
        <v>6511</v>
      </c>
      <c r="AV1357" t="s">
        <v>6509</v>
      </c>
      <c r="AW1357" t="s">
        <v>53</v>
      </c>
      <c r="AX1357" t="s">
        <v>6509</v>
      </c>
      <c r="AZ1357" t="s">
        <v>54</v>
      </c>
      <c r="BA1357" t="s">
        <v>6512</v>
      </c>
    </row>
    <row r="1358" spans="1:53" x14ac:dyDescent="0.25">
      <c r="A1358">
        <v>1353</v>
      </c>
      <c r="B1358" t="s">
        <v>7350</v>
      </c>
      <c r="C1358" t="s">
        <v>7245</v>
      </c>
      <c r="D1358" t="s">
        <v>7153</v>
      </c>
      <c r="E1358">
        <v>7</v>
      </c>
      <c r="F1358" t="s">
        <v>6501</v>
      </c>
      <c r="G1358" t="s">
        <v>6837</v>
      </c>
      <c r="H1358" t="s">
        <v>6838</v>
      </c>
      <c r="I1358" t="s">
        <v>6839</v>
      </c>
      <c r="J1358" t="s">
        <v>6840</v>
      </c>
      <c r="K1358" t="s">
        <v>6841</v>
      </c>
      <c r="L1358" t="s">
        <v>7135</v>
      </c>
      <c r="M1358">
        <v>898.26702880859375</v>
      </c>
      <c r="N1358" t="s">
        <v>54</v>
      </c>
      <c r="O1358" t="s">
        <v>53</v>
      </c>
      <c r="P1358" t="s">
        <v>54</v>
      </c>
      <c r="Q1358" t="s">
        <v>54</v>
      </c>
      <c r="R1358" t="s">
        <v>53</v>
      </c>
      <c r="S1358" t="s">
        <v>6842</v>
      </c>
      <c r="T1358" t="s">
        <v>6842</v>
      </c>
      <c r="U1358" t="s">
        <v>53</v>
      </c>
      <c r="V1358" t="s">
        <v>51</v>
      </c>
      <c r="W1358">
        <v>1000000</v>
      </c>
      <c r="X1358" t="s">
        <v>53</v>
      </c>
      <c r="Y1358" t="s">
        <v>6509</v>
      </c>
      <c r="Z1358">
        <v>0</v>
      </c>
      <c r="AA1358">
        <v>6880</v>
      </c>
      <c r="AB1358">
        <v>5342</v>
      </c>
      <c r="AC1358">
        <v>18411</v>
      </c>
      <c r="AD1358">
        <v>20269</v>
      </c>
      <c r="AE1358">
        <v>20269</v>
      </c>
      <c r="AF1358">
        <v>9</v>
      </c>
      <c r="AG1358">
        <v>29</v>
      </c>
      <c r="AH1358">
        <v>357.54483032226563</v>
      </c>
      <c r="AI1358">
        <v>0</v>
      </c>
      <c r="AJ1358">
        <v>50570.1484375</v>
      </c>
      <c r="AK1358" t="s">
        <v>53</v>
      </c>
      <c r="AL1358" t="s">
        <v>53</v>
      </c>
      <c r="AM1358" t="s">
        <v>6509</v>
      </c>
      <c r="AQ1358" t="s">
        <v>54</v>
      </c>
      <c r="AR1358" t="s">
        <v>6509</v>
      </c>
      <c r="AT1358" t="s">
        <v>6511</v>
      </c>
      <c r="AV1358" t="s">
        <v>6509</v>
      </c>
      <c r="AW1358" t="s">
        <v>53</v>
      </c>
      <c r="AX1358" t="s">
        <v>6509</v>
      </c>
      <c r="AZ1358" t="s">
        <v>54</v>
      </c>
      <c r="BA1358" t="s">
        <v>6512</v>
      </c>
    </row>
    <row r="1359" spans="1:53" x14ac:dyDescent="0.25">
      <c r="A1359">
        <v>1354</v>
      </c>
      <c r="B1359" t="s">
        <v>7351</v>
      </c>
      <c r="C1359" t="s">
        <v>7352</v>
      </c>
      <c r="D1359" t="s">
        <v>7353</v>
      </c>
      <c r="E1359">
        <v>7</v>
      </c>
      <c r="F1359" t="s">
        <v>6501</v>
      </c>
      <c r="G1359" t="s">
        <v>6611</v>
      </c>
      <c r="H1359" t="s">
        <v>6891</v>
      </c>
      <c r="I1359" t="s">
        <v>7072</v>
      </c>
      <c r="J1359" t="s">
        <v>7102</v>
      </c>
      <c r="K1359" t="s">
        <v>7103</v>
      </c>
      <c r="L1359" t="s">
        <v>7096</v>
      </c>
      <c r="M1359">
        <v>0.14713163673877719</v>
      </c>
      <c r="N1359" t="s">
        <v>54</v>
      </c>
      <c r="O1359" t="s">
        <v>53</v>
      </c>
      <c r="P1359" t="s">
        <v>53</v>
      </c>
      <c r="Q1359" t="s">
        <v>53</v>
      </c>
      <c r="R1359" t="s">
        <v>53</v>
      </c>
      <c r="S1359" t="s">
        <v>6895</v>
      </c>
      <c r="T1359" t="s">
        <v>6895</v>
      </c>
      <c r="U1359" t="s">
        <v>53</v>
      </c>
      <c r="V1359" t="s">
        <v>51</v>
      </c>
      <c r="W1359">
        <v>97600</v>
      </c>
      <c r="X1359" t="s">
        <v>53</v>
      </c>
      <c r="Y1359" t="s">
        <v>6509</v>
      </c>
      <c r="Z1359">
        <v>0</v>
      </c>
      <c r="AA1359">
        <v>194</v>
      </c>
      <c r="AB1359">
        <v>175</v>
      </c>
      <c r="AC1359">
        <v>166</v>
      </c>
      <c r="AD1359">
        <v>321</v>
      </c>
      <c r="AE1359">
        <v>321</v>
      </c>
      <c r="AF1359">
        <v>1</v>
      </c>
      <c r="AG1359">
        <v>4</v>
      </c>
      <c r="AH1359">
        <v>2.887907981872559</v>
      </c>
      <c r="AI1359">
        <v>0</v>
      </c>
      <c r="AJ1359">
        <v>0</v>
      </c>
      <c r="AK1359" t="s">
        <v>53</v>
      </c>
      <c r="AL1359" t="s">
        <v>54</v>
      </c>
      <c r="AM1359" t="s">
        <v>7097</v>
      </c>
      <c r="AP1359" t="s">
        <v>7098</v>
      </c>
      <c r="AQ1359" t="s">
        <v>54</v>
      </c>
      <c r="AR1359" t="s">
        <v>6509</v>
      </c>
      <c r="AT1359" t="s">
        <v>7354</v>
      </c>
      <c r="AV1359" t="s">
        <v>6509</v>
      </c>
      <c r="AW1359" t="s">
        <v>54</v>
      </c>
      <c r="AX1359" t="s">
        <v>6509</v>
      </c>
      <c r="AZ1359" t="s">
        <v>54</v>
      </c>
      <c r="BA1359" t="s">
        <v>6512</v>
      </c>
    </row>
    <row r="1360" spans="1:53" x14ac:dyDescent="0.25">
      <c r="A1360">
        <v>1355</v>
      </c>
      <c r="B1360" t="s">
        <v>7355</v>
      </c>
      <c r="C1360" t="s">
        <v>7356</v>
      </c>
      <c r="D1360" t="s">
        <v>7357</v>
      </c>
      <c r="E1360">
        <v>7</v>
      </c>
      <c r="F1360" t="s">
        <v>6501</v>
      </c>
      <c r="G1360" t="s">
        <v>6611</v>
      </c>
      <c r="H1360" t="s">
        <v>6891</v>
      </c>
      <c r="I1360" t="s">
        <v>7072</v>
      </c>
      <c r="J1360" t="s">
        <v>7358</v>
      </c>
      <c r="K1360" t="s">
        <v>7359</v>
      </c>
      <c r="L1360" t="s">
        <v>7096</v>
      </c>
      <c r="M1360">
        <v>0.14861021935939789</v>
      </c>
      <c r="N1360" t="s">
        <v>54</v>
      </c>
      <c r="O1360" t="s">
        <v>53</v>
      </c>
      <c r="P1360" t="s">
        <v>53</v>
      </c>
      <c r="Q1360" t="s">
        <v>53</v>
      </c>
      <c r="R1360" t="s">
        <v>53</v>
      </c>
      <c r="S1360" t="s">
        <v>6895</v>
      </c>
      <c r="T1360" t="s">
        <v>6895</v>
      </c>
      <c r="U1360" t="s">
        <v>53</v>
      </c>
      <c r="V1360" t="s">
        <v>51</v>
      </c>
      <c r="W1360">
        <v>553300</v>
      </c>
      <c r="X1360" t="s">
        <v>53</v>
      </c>
      <c r="Y1360" t="s">
        <v>6509</v>
      </c>
      <c r="Z1360">
        <v>0</v>
      </c>
      <c r="AA1360">
        <v>15</v>
      </c>
      <c r="AB1360">
        <v>9</v>
      </c>
      <c r="AC1360">
        <v>42</v>
      </c>
      <c r="AD1360">
        <v>74</v>
      </c>
      <c r="AE1360">
        <v>74</v>
      </c>
      <c r="AF1360">
        <v>0</v>
      </c>
      <c r="AG1360">
        <v>1</v>
      </c>
      <c r="AH1360">
        <v>0.93780338764190674</v>
      </c>
      <c r="AI1360">
        <v>0</v>
      </c>
      <c r="AJ1360">
        <v>0</v>
      </c>
      <c r="AK1360" t="s">
        <v>53</v>
      </c>
      <c r="AL1360" t="s">
        <v>54</v>
      </c>
      <c r="AM1360" t="s">
        <v>7097</v>
      </c>
      <c r="AP1360" t="s">
        <v>7098</v>
      </c>
      <c r="AQ1360" t="s">
        <v>54</v>
      </c>
      <c r="AR1360" t="s">
        <v>6509</v>
      </c>
      <c r="AT1360" t="s">
        <v>7354</v>
      </c>
      <c r="AV1360" t="s">
        <v>6509</v>
      </c>
      <c r="AW1360" t="s">
        <v>54</v>
      </c>
      <c r="AX1360" t="s">
        <v>6509</v>
      </c>
      <c r="AZ1360" t="s">
        <v>54</v>
      </c>
      <c r="BA1360" t="s">
        <v>6512</v>
      </c>
    </row>
    <row r="1361" spans="1:53" x14ac:dyDescent="0.25">
      <c r="A1361">
        <v>1356</v>
      </c>
      <c r="B1361" t="s">
        <v>7360</v>
      </c>
      <c r="C1361" t="s">
        <v>7361</v>
      </c>
      <c r="D1361" t="s">
        <v>7362</v>
      </c>
      <c r="E1361">
        <v>7</v>
      </c>
      <c r="F1361" t="s">
        <v>6501</v>
      </c>
      <c r="G1361" t="s">
        <v>6611</v>
      </c>
      <c r="H1361" t="s">
        <v>6891</v>
      </c>
      <c r="I1361" t="s">
        <v>7072</v>
      </c>
      <c r="J1361" t="s">
        <v>7363</v>
      </c>
      <c r="K1361" t="s">
        <v>7091</v>
      </c>
      <c r="L1361" t="s">
        <v>7364</v>
      </c>
      <c r="M1361">
        <v>2.3448670282959942E-2</v>
      </c>
      <c r="N1361" t="s">
        <v>54</v>
      </c>
      <c r="O1361" t="s">
        <v>53</v>
      </c>
      <c r="P1361" t="s">
        <v>53</v>
      </c>
      <c r="Q1361" t="s">
        <v>53</v>
      </c>
      <c r="R1361" t="s">
        <v>53</v>
      </c>
      <c r="S1361" t="s">
        <v>6895</v>
      </c>
      <c r="T1361" t="s">
        <v>6895</v>
      </c>
      <c r="U1361" t="s">
        <v>53</v>
      </c>
      <c r="V1361" t="s">
        <v>51</v>
      </c>
      <c r="W1361">
        <v>138500</v>
      </c>
      <c r="X1361" t="s">
        <v>53</v>
      </c>
      <c r="Y1361" t="s">
        <v>6509</v>
      </c>
      <c r="Z1361">
        <v>0</v>
      </c>
      <c r="AA1361">
        <v>26</v>
      </c>
      <c r="AB1361">
        <v>26</v>
      </c>
      <c r="AC1361">
        <v>8</v>
      </c>
      <c r="AD1361">
        <v>55</v>
      </c>
      <c r="AE1361">
        <v>55</v>
      </c>
      <c r="AF1361">
        <v>0</v>
      </c>
      <c r="AG1361">
        <v>1</v>
      </c>
      <c r="AH1361">
        <v>0.46322068572044373</v>
      </c>
      <c r="AI1361">
        <v>0</v>
      </c>
      <c r="AJ1361">
        <v>0</v>
      </c>
      <c r="AK1361" t="s">
        <v>53</v>
      </c>
      <c r="AL1361" t="s">
        <v>54</v>
      </c>
      <c r="AM1361" t="s">
        <v>7097</v>
      </c>
      <c r="AP1361" t="s">
        <v>7098</v>
      </c>
      <c r="AQ1361" t="s">
        <v>54</v>
      </c>
      <c r="AR1361" t="s">
        <v>6509</v>
      </c>
      <c r="AT1361" t="s">
        <v>7354</v>
      </c>
      <c r="AV1361" t="s">
        <v>6509</v>
      </c>
      <c r="AW1361" t="s">
        <v>53</v>
      </c>
      <c r="AX1361" t="s">
        <v>6509</v>
      </c>
      <c r="AZ1361" t="s">
        <v>54</v>
      </c>
      <c r="BA1361" t="s">
        <v>6512</v>
      </c>
    </row>
    <row r="1362" spans="1:53" x14ac:dyDescent="0.25">
      <c r="A1362">
        <v>1357</v>
      </c>
      <c r="B1362" t="s">
        <v>7365</v>
      </c>
      <c r="C1362" t="s">
        <v>7366</v>
      </c>
      <c r="D1362" t="s">
        <v>7367</v>
      </c>
      <c r="E1362">
        <v>7</v>
      </c>
      <c r="F1362" t="s">
        <v>6501</v>
      </c>
      <c r="G1362" t="s">
        <v>6611</v>
      </c>
      <c r="H1362" t="s">
        <v>6891</v>
      </c>
      <c r="I1362" t="s">
        <v>7072</v>
      </c>
      <c r="J1362" t="s">
        <v>7363</v>
      </c>
      <c r="K1362" t="s">
        <v>7091</v>
      </c>
      <c r="L1362" t="s">
        <v>7096</v>
      </c>
      <c r="M1362">
        <v>2.1490000188350681E-2</v>
      </c>
      <c r="N1362" t="s">
        <v>53</v>
      </c>
      <c r="O1362" t="s">
        <v>53</v>
      </c>
      <c r="P1362" t="s">
        <v>53</v>
      </c>
      <c r="Q1362" t="s">
        <v>53</v>
      </c>
      <c r="R1362" t="s">
        <v>53</v>
      </c>
      <c r="S1362" t="s">
        <v>6895</v>
      </c>
      <c r="T1362" t="s">
        <v>6895</v>
      </c>
      <c r="U1362" t="s">
        <v>53</v>
      </c>
      <c r="V1362" t="s">
        <v>51</v>
      </c>
      <c r="W1362">
        <v>90948.203125</v>
      </c>
      <c r="X1362" t="s">
        <v>53</v>
      </c>
      <c r="Y1362" t="s">
        <v>6509</v>
      </c>
      <c r="Z1362">
        <v>0</v>
      </c>
      <c r="AA1362">
        <v>0</v>
      </c>
      <c r="AB1362">
        <v>0</v>
      </c>
      <c r="AC1362">
        <v>0</v>
      </c>
      <c r="AD1362">
        <v>0</v>
      </c>
      <c r="AE1362">
        <v>0</v>
      </c>
      <c r="AF1362">
        <v>0</v>
      </c>
      <c r="AG1362">
        <v>0</v>
      </c>
      <c r="AH1362">
        <v>0</v>
      </c>
      <c r="AI1362">
        <v>0</v>
      </c>
      <c r="AJ1362">
        <v>0</v>
      </c>
      <c r="AK1362" t="s">
        <v>53</v>
      </c>
      <c r="AL1362" t="s">
        <v>54</v>
      </c>
      <c r="AM1362" t="s">
        <v>7097</v>
      </c>
      <c r="AP1362" t="s">
        <v>7098</v>
      </c>
      <c r="AQ1362" t="s">
        <v>54</v>
      </c>
      <c r="AR1362" t="s">
        <v>6509</v>
      </c>
      <c r="AT1362" t="s">
        <v>7354</v>
      </c>
      <c r="AV1362" t="s">
        <v>6509</v>
      </c>
      <c r="AW1362" t="s">
        <v>53</v>
      </c>
      <c r="AX1362" t="s">
        <v>6509</v>
      </c>
      <c r="AZ1362" t="s">
        <v>54</v>
      </c>
      <c r="BA1362" t="s">
        <v>6512</v>
      </c>
    </row>
    <row r="1363" spans="1:53" x14ac:dyDescent="0.25">
      <c r="A1363">
        <v>1358</v>
      </c>
      <c r="B1363" t="s">
        <v>7368</v>
      </c>
      <c r="C1363" t="s">
        <v>7369</v>
      </c>
      <c r="D1363" t="s">
        <v>7370</v>
      </c>
      <c r="E1363">
        <v>7</v>
      </c>
      <c r="F1363" t="s">
        <v>6501</v>
      </c>
      <c r="G1363" t="s">
        <v>6611</v>
      </c>
      <c r="H1363" t="s">
        <v>6891</v>
      </c>
      <c r="I1363" t="s">
        <v>7072</v>
      </c>
      <c r="J1363" t="s">
        <v>7363</v>
      </c>
      <c r="K1363" t="s">
        <v>7091</v>
      </c>
      <c r="L1363" t="s">
        <v>7096</v>
      </c>
      <c r="M1363">
        <v>5.3030390292406082E-2</v>
      </c>
      <c r="N1363" t="s">
        <v>54</v>
      </c>
      <c r="O1363" t="s">
        <v>53</v>
      </c>
      <c r="P1363" t="s">
        <v>53</v>
      </c>
      <c r="Q1363" t="s">
        <v>53</v>
      </c>
      <c r="R1363" t="s">
        <v>53</v>
      </c>
      <c r="S1363" t="s">
        <v>6895</v>
      </c>
      <c r="T1363" t="s">
        <v>6895</v>
      </c>
      <c r="U1363" t="s">
        <v>53</v>
      </c>
      <c r="V1363" t="s">
        <v>51</v>
      </c>
      <c r="W1363">
        <v>354217.5</v>
      </c>
      <c r="X1363" t="s">
        <v>53</v>
      </c>
      <c r="Y1363" t="s">
        <v>6509</v>
      </c>
      <c r="Z1363">
        <v>0</v>
      </c>
      <c r="AA1363">
        <v>0</v>
      </c>
      <c r="AB1363">
        <v>0</v>
      </c>
      <c r="AC1363">
        <v>0</v>
      </c>
      <c r="AD1363">
        <v>0</v>
      </c>
      <c r="AE1363">
        <v>0</v>
      </c>
      <c r="AF1363">
        <v>0</v>
      </c>
      <c r="AG1363">
        <v>2</v>
      </c>
      <c r="AH1363">
        <v>0.38069212436676031</v>
      </c>
      <c r="AI1363">
        <v>0</v>
      </c>
      <c r="AJ1363">
        <v>0</v>
      </c>
      <c r="AK1363" t="s">
        <v>53</v>
      </c>
      <c r="AL1363" t="s">
        <v>54</v>
      </c>
      <c r="AM1363" t="s">
        <v>7097</v>
      </c>
      <c r="AP1363" t="s">
        <v>7098</v>
      </c>
      <c r="AQ1363" t="s">
        <v>54</v>
      </c>
      <c r="AR1363" t="s">
        <v>6509</v>
      </c>
      <c r="AT1363" t="s">
        <v>7354</v>
      </c>
      <c r="AV1363" t="s">
        <v>6509</v>
      </c>
      <c r="AW1363" t="s">
        <v>54</v>
      </c>
      <c r="AX1363" t="s">
        <v>6509</v>
      </c>
      <c r="AZ1363" t="s">
        <v>54</v>
      </c>
      <c r="BA1363" t="s">
        <v>6512</v>
      </c>
    </row>
    <row r="1364" spans="1:53" x14ac:dyDescent="0.25">
      <c r="A1364">
        <v>1359</v>
      </c>
      <c r="B1364" t="s">
        <v>7371</v>
      </c>
      <c r="C1364" t="s">
        <v>7372</v>
      </c>
      <c r="D1364" t="s">
        <v>7373</v>
      </c>
      <c r="E1364">
        <v>7</v>
      </c>
      <c r="F1364" t="s">
        <v>6501</v>
      </c>
      <c r="G1364" t="s">
        <v>6611</v>
      </c>
      <c r="H1364" t="s">
        <v>6891</v>
      </c>
      <c r="I1364" t="s">
        <v>7072</v>
      </c>
      <c r="J1364" t="s">
        <v>7102</v>
      </c>
      <c r="K1364" t="s">
        <v>7103</v>
      </c>
      <c r="L1364" t="s">
        <v>7096</v>
      </c>
      <c r="M1364">
        <v>0.73655635118484497</v>
      </c>
      <c r="N1364" t="s">
        <v>54</v>
      </c>
      <c r="O1364" t="s">
        <v>53</v>
      </c>
      <c r="P1364" t="s">
        <v>53</v>
      </c>
      <c r="Q1364" t="s">
        <v>53</v>
      </c>
      <c r="R1364" t="s">
        <v>53</v>
      </c>
      <c r="S1364" t="s">
        <v>6895</v>
      </c>
      <c r="T1364" t="s">
        <v>6895</v>
      </c>
      <c r="U1364" t="s">
        <v>53</v>
      </c>
      <c r="V1364" t="s">
        <v>51</v>
      </c>
      <c r="W1364">
        <v>474800</v>
      </c>
      <c r="X1364" t="s">
        <v>53</v>
      </c>
      <c r="Y1364" t="s">
        <v>6509</v>
      </c>
      <c r="Z1364">
        <v>0</v>
      </c>
      <c r="AA1364">
        <v>67</v>
      </c>
      <c r="AB1364">
        <v>41</v>
      </c>
      <c r="AC1364">
        <v>868</v>
      </c>
      <c r="AD1364">
        <v>78</v>
      </c>
      <c r="AE1364">
        <v>868</v>
      </c>
      <c r="AF1364">
        <v>0</v>
      </c>
      <c r="AG1364">
        <v>0</v>
      </c>
      <c r="AH1364">
        <v>1.994093537330627</v>
      </c>
      <c r="AI1364">
        <v>0</v>
      </c>
      <c r="AJ1364">
        <v>142.2181701660156</v>
      </c>
      <c r="AK1364" t="s">
        <v>53</v>
      </c>
      <c r="AL1364" t="s">
        <v>54</v>
      </c>
      <c r="AM1364" t="s">
        <v>7097</v>
      </c>
      <c r="AP1364" t="s">
        <v>7098</v>
      </c>
      <c r="AQ1364" t="s">
        <v>54</v>
      </c>
      <c r="AR1364" t="s">
        <v>6509</v>
      </c>
      <c r="AT1364" t="s">
        <v>7354</v>
      </c>
      <c r="AV1364" t="s">
        <v>6509</v>
      </c>
      <c r="AW1364" t="s">
        <v>53</v>
      </c>
      <c r="AX1364" t="s">
        <v>6509</v>
      </c>
      <c r="AZ1364" t="s">
        <v>54</v>
      </c>
      <c r="BA1364" t="s">
        <v>6512</v>
      </c>
    </row>
    <row r="1365" spans="1:53" x14ac:dyDescent="0.25">
      <c r="A1365">
        <v>1360</v>
      </c>
      <c r="B1365" t="s">
        <v>7374</v>
      </c>
      <c r="C1365" t="s">
        <v>7375</v>
      </c>
      <c r="D1365" t="s">
        <v>7376</v>
      </c>
      <c r="E1365">
        <v>7</v>
      </c>
      <c r="F1365" t="s">
        <v>6501</v>
      </c>
      <c r="G1365" t="s">
        <v>6611</v>
      </c>
      <c r="H1365" t="s">
        <v>6891</v>
      </c>
      <c r="I1365" t="s">
        <v>7072</v>
      </c>
      <c r="J1365" t="s">
        <v>7377</v>
      </c>
      <c r="K1365" t="s">
        <v>7378</v>
      </c>
      <c r="L1365" t="s">
        <v>7379</v>
      </c>
      <c r="M1365">
        <v>0.28208070993423462</v>
      </c>
      <c r="N1365" t="s">
        <v>54</v>
      </c>
      <c r="O1365" t="s">
        <v>53</v>
      </c>
      <c r="P1365" t="s">
        <v>53</v>
      </c>
      <c r="Q1365" t="s">
        <v>53</v>
      </c>
      <c r="R1365" t="s">
        <v>53</v>
      </c>
      <c r="S1365" t="s">
        <v>6895</v>
      </c>
      <c r="T1365" t="s">
        <v>6895</v>
      </c>
      <c r="U1365" t="s">
        <v>53</v>
      </c>
      <c r="V1365" t="s">
        <v>51</v>
      </c>
      <c r="W1365">
        <v>7900000</v>
      </c>
      <c r="X1365" t="s">
        <v>53</v>
      </c>
      <c r="Y1365" t="s">
        <v>6509</v>
      </c>
      <c r="Z1365">
        <v>0</v>
      </c>
      <c r="AA1365">
        <v>1</v>
      </c>
      <c r="AB1365">
        <v>1</v>
      </c>
      <c r="AC1365">
        <v>0</v>
      </c>
      <c r="AD1365">
        <v>0</v>
      </c>
      <c r="AE1365">
        <v>0</v>
      </c>
      <c r="AF1365">
        <v>0</v>
      </c>
      <c r="AG1365">
        <v>0</v>
      </c>
      <c r="AH1365">
        <v>1.022092461585999</v>
      </c>
      <c r="AI1365">
        <v>0</v>
      </c>
      <c r="AJ1365">
        <v>5.1140570640563956</v>
      </c>
      <c r="AK1365" t="s">
        <v>53</v>
      </c>
      <c r="AL1365" t="s">
        <v>54</v>
      </c>
      <c r="AM1365" t="s">
        <v>7097</v>
      </c>
      <c r="AP1365" t="s">
        <v>7098</v>
      </c>
      <c r="AQ1365" t="s">
        <v>54</v>
      </c>
      <c r="AR1365" t="s">
        <v>6509</v>
      </c>
      <c r="AT1365" t="s">
        <v>7354</v>
      </c>
      <c r="AV1365" t="s">
        <v>6509</v>
      </c>
      <c r="AW1365" t="s">
        <v>54</v>
      </c>
      <c r="AX1365" t="s">
        <v>6509</v>
      </c>
      <c r="AZ1365" t="s">
        <v>54</v>
      </c>
      <c r="BA1365" t="s">
        <v>6512</v>
      </c>
    </row>
    <row r="1366" spans="1:53" x14ac:dyDescent="0.25">
      <c r="A1366">
        <v>1361</v>
      </c>
      <c r="B1366" t="s">
        <v>7380</v>
      </c>
      <c r="C1366" t="s">
        <v>7381</v>
      </c>
      <c r="D1366" t="s">
        <v>7382</v>
      </c>
      <c r="E1366">
        <v>7</v>
      </c>
      <c r="F1366" t="s">
        <v>6501</v>
      </c>
      <c r="G1366" t="s">
        <v>6837</v>
      </c>
      <c r="H1366" t="s">
        <v>6953</v>
      </c>
      <c r="I1366" t="s">
        <v>7107</v>
      </c>
      <c r="J1366" t="s">
        <v>7108</v>
      </c>
      <c r="K1366" t="s">
        <v>7109</v>
      </c>
      <c r="L1366" t="s">
        <v>7096</v>
      </c>
      <c r="M1366">
        <v>5.8059999719262123E-3</v>
      </c>
      <c r="N1366" t="s">
        <v>54</v>
      </c>
      <c r="O1366" t="s">
        <v>53</v>
      </c>
      <c r="P1366" t="s">
        <v>53</v>
      </c>
      <c r="Q1366" t="s">
        <v>53</v>
      </c>
      <c r="R1366" t="s">
        <v>53</v>
      </c>
      <c r="S1366" t="s">
        <v>7110</v>
      </c>
      <c r="T1366" t="s">
        <v>7110</v>
      </c>
      <c r="U1366" t="s">
        <v>53</v>
      </c>
      <c r="V1366" t="s">
        <v>51</v>
      </c>
      <c r="W1366">
        <v>25000</v>
      </c>
      <c r="X1366" t="s">
        <v>53</v>
      </c>
      <c r="Y1366" t="s">
        <v>6509</v>
      </c>
      <c r="Z1366">
        <v>0</v>
      </c>
      <c r="AA1366">
        <v>1</v>
      </c>
      <c r="AB1366">
        <v>0</v>
      </c>
      <c r="AC1366">
        <v>6</v>
      </c>
      <c r="AD1366">
        <v>1</v>
      </c>
      <c r="AE1366">
        <v>6</v>
      </c>
      <c r="AF1366">
        <v>0</v>
      </c>
      <c r="AG1366">
        <v>0</v>
      </c>
      <c r="AH1366">
        <v>4.0853768587112427E-2</v>
      </c>
      <c r="AI1366">
        <v>0</v>
      </c>
      <c r="AJ1366">
        <v>0</v>
      </c>
      <c r="AK1366" t="s">
        <v>54</v>
      </c>
      <c r="AL1366" t="s">
        <v>53</v>
      </c>
      <c r="AM1366" t="s">
        <v>6509</v>
      </c>
      <c r="AQ1366" t="s">
        <v>54</v>
      </c>
      <c r="AR1366" t="s">
        <v>6509</v>
      </c>
      <c r="AT1366" t="s">
        <v>7354</v>
      </c>
      <c r="AV1366" t="s">
        <v>6509</v>
      </c>
      <c r="AW1366" t="s">
        <v>54</v>
      </c>
      <c r="AX1366" t="s">
        <v>6509</v>
      </c>
      <c r="AZ1366" t="s">
        <v>54</v>
      </c>
      <c r="BA1366" t="s">
        <v>6512</v>
      </c>
    </row>
    <row r="1367" spans="1:53" x14ac:dyDescent="0.25">
      <c r="A1367">
        <v>1362</v>
      </c>
      <c r="B1367" t="s">
        <v>7383</v>
      </c>
      <c r="C1367" t="s">
        <v>7384</v>
      </c>
      <c r="D1367" t="s">
        <v>7385</v>
      </c>
      <c r="E1367">
        <v>7</v>
      </c>
      <c r="F1367" t="s">
        <v>6501</v>
      </c>
      <c r="G1367" t="s">
        <v>6837</v>
      </c>
      <c r="H1367" t="s">
        <v>6953</v>
      </c>
      <c r="I1367" t="s">
        <v>7386</v>
      </c>
      <c r="J1367" t="s">
        <v>7387</v>
      </c>
      <c r="K1367" t="s">
        <v>7388</v>
      </c>
      <c r="L1367" t="s">
        <v>7096</v>
      </c>
      <c r="M1367">
        <v>2.880928516387939</v>
      </c>
      <c r="N1367" t="s">
        <v>54</v>
      </c>
      <c r="O1367" t="s">
        <v>53</v>
      </c>
      <c r="P1367" t="s">
        <v>53</v>
      </c>
      <c r="Q1367" t="s">
        <v>54</v>
      </c>
      <c r="R1367" t="s">
        <v>53</v>
      </c>
      <c r="S1367" t="s">
        <v>7389</v>
      </c>
      <c r="T1367" t="s">
        <v>7389</v>
      </c>
      <c r="U1367" t="s">
        <v>53</v>
      </c>
      <c r="V1367" t="s">
        <v>51</v>
      </c>
      <c r="W1367">
        <v>100000</v>
      </c>
      <c r="X1367" t="s">
        <v>53</v>
      </c>
      <c r="Y1367" t="s">
        <v>6509</v>
      </c>
      <c r="Z1367">
        <v>0</v>
      </c>
      <c r="AA1367">
        <v>12</v>
      </c>
      <c r="AB1367">
        <v>2</v>
      </c>
      <c r="AC1367">
        <v>11</v>
      </c>
      <c r="AD1367">
        <v>4</v>
      </c>
      <c r="AE1367">
        <v>11</v>
      </c>
      <c r="AF1367">
        <v>0</v>
      </c>
      <c r="AG1367">
        <v>0</v>
      </c>
      <c r="AH1367">
        <v>0.17670358717441559</v>
      </c>
      <c r="AI1367">
        <v>0</v>
      </c>
      <c r="AJ1367">
        <v>118.6619338989258</v>
      </c>
      <c r="AK1367" t="s">
        <v>54</v>
      </c>
      <c r="AL1367" t="s">
        <v>53</v>
      </c>
      <c r="AM1367" t="s">
        <v>6509</v>
      </c>
      <c r="AQ1367" t="s">
        <v>54</v>
      </c>
      <c r="AR1367" t="s">
        <v>6509</v>
      </c>
      <c r="AT1367" t="s">
        <v>6511</v>
      </c>
      <c r="AV1367" t="s">
        <v>6509</v>
      </c>
      <c r="AW1367" t="s">
        <v>53</v>
      </c>
      <c r="AX1367" t="s">
        <v>6509</v>
      </c>
      <c r="AZ1367" t="s">
        <v>54</v>
      </c>
      <c r="BA1367" t="s">
        <v>6512</v>
      </c>
    </row>
    <row r="1368" spans="1:53" x14ac:dyDescent="0.25">
      <c r="A1368">
        <v>1363</v>
      </c>
      <c r="B1368" t="s">
        <v>7390</v>
      </c>
      <c r="C1368" t="s">
        <v>7391</v>
      </c>
      <c r="D1368" t="s">
        <v>7392</v>
      </c>
      <c r="E1368">
        <v>7</v>
      </c>
      <c r="F1368" t="s">
        <v>6501</v>
      </c>
      <c r="G1368" t="s">
        <v>6837</v>
      </c>
      <c r="H1368" t="s">
        <v>7393</v>
      </c>
      <c r="I1368" t="s">
        <v>7394</v>
      </c>
      <c r="J1368" t="s">
        <v>7395</v>
      </c>
      <c r="K1368" t="s">
        <v>7396</v>
      </c>
      <c r="L1368" t="s">
        <v>7096</v>
      </c>
      <c r="M1368">
        <v>2001.15380859375</v>
      </c>
      <c r="N1368" t="s">
        <v>54</v>
      </c>
      <c r="O1368" t="s">
        <v>53</v>
      </c>
      <c r="P1368" t="s">
        <v>54</v>
      </c>
      <c r="Q1368" t="s">
        <v>54</v>
      </c>
      <c r="R1368" t="s">
        <v>53</v>
      </c>
      <c r="S1368" t="s">
        <v>6842</v>
      </c>
      <c r="T1368" t="s">
        <v>7110</v>
      </c>
      <c r="U1368" t="s">
        <v>54</v>
      </c>
      <c r="V1368" t="s">
        <v>51</v>
      </c>
      <c r="W1368">
        <v>100000</v>
      </c>
      <c r="X1368" t="s">
        <v>53</v>
      </c>
      <c r="Y1368" t="s">
        <v>6509</v>
      </c>
      <c r="Z1368">
        <v>0</v>
      </c>
      <c r="AA1368">
        <v>1700</v>
      </c>
      <c r="AB1368">
        <v>693</v>
      </c>
      <c r="AC1368">
        <v>3067</v>
      </c>
      <c r="AD1368">
        <v>2438</v>
      </c>
      <c r="AE1368">
        <v>3067</v>
      </c>
      <c r="AF1368">
        <v>6</v>
      </c>
      <c r="AG1368">
        <v>67</v>
      </c>
      <c r="AH1368">
        <v>1255.68017578125</v>
      </c>
      <c r="AI1368">
        <v>0</v>
      </c>
      <c r="AJ1368">
        <v>122194.6640625</v>
      </c>
      <c r="AK1368" t="s">
        <v>54</v>
      </c>
      <c r="AL1368" t="s">
        <v>53</v>
      </c>
      <c r="AM1368" t="s">
        <v>6509</v>
      </c>
      <c r="AQ1368" t="s">
        <v>54</v>
      </c>
      <c r="AR1368" t="s">
        <v>6509</v>
      </c>
      <c r="AT1368" t="s">
        <v>6511</v>
      </c>
      <c r="AV1368" t="s">
        <v>6509</v>
      </c>
      <c r="AW1368" t="s">
        <v>53</v>
      </c>
      <c r="AX1368" t="s">
        <v>6509</v>
      </c>
      <c r="AZ1368" t="s">
        <v>54</v>
      </c>
      <c r="BA1368" t="s">
        <v>6512</v>
      </c>
    </row>
    <row r="1369" spans="1:53" x14ac:dyDescent="0.25">
      <c r="A1369">
        <v>1364</v>
      </c>
      <c r="B1369" t="s">
        <v>7397</v>
      </c>
      <c r="C1369" t="s">
        <v>7398</v>
      </c>
      <c r="D1369" t="s">
        <v>7399</v>
      </c>
      <c r="E1369">
        <v>7</v>
      </c>
      <c r="F1369" t="s">
        <v>6501</v>
      </c>
      <c r="G1369" t="s">
        <v>6722</v>
      </c>
      <c r="H1369" t="s">
        <v>6919</v>
      </c>
      <c r="I1369" t="s">
        <v>7400</v>
      </c>
      <c r="J1369" t="s">
        <v>7401</v>
      </c>
      <c r="K1369" t="s">
        <v>7402</v>
      </c>
      <c r="L1369" t="s">
        <v>7096</v>
      </c>
      <c r="M1369">
        <v>27.112552642822269</v>
      </c>
      <c r="N1369" t="s">
        <v>53</v>
      </c>
      <c r="O1369" t="s">
        <v>53</v>
      </c>
      <c r="P1369" t="s">
        <v>53</v>
      </c>
      <c r="Q1369" t="s">
        <v>54</v>
      </c>
      <c r="R1369" t="s">
        <v>53</v>
      </c>
      <c r="S1369" t="s">
        <v>6727</v>
      </c>
      <c r="T1369" t="s">
        <v>6727</v>
      </c>
      <c r="U1369" t="s">
        <v>53</v>
      </c>
      <c r="V1369" t="s">
        <v>51</v>
      </c>
      <c r="W1369">
        <v>100000</v>
      </c>
      <c r="X1369" t="s">
        <v>53</v>
      </c>
      <c r="Y1369" t="s">
        <v>6509</v>
      </c>
      <c r="Z1369">
        <v>0</v>
      </c>
      <c r="AA1369">
        <v>12</v>
      </c>
      <c r="AB1369">
        <v>8</v>
      </c>
      <c r="AC1369">
        <v>5</v>
      </c>
      <c r="AD1369">
        <v>24</v>
      </c>
      <c r="AE1369">
        <v>24</v>
      </c>
      <c r="AF1369">
        <v>0</v>
      </c>
      <c r="AG1369">
        <v>0</v>
      </c>
      <c r="AH1369">
        <v>15.329948425292971</v>
      </c>
      <c r="AI1369">
        <v>0</v>
      </c>
      <c r="AJ1369">
        <v>927.40093994140625</v>
      </c>
      <c r="AK1369" t="s">
        <v>53</v>
      </c>
      <c r="AL1369" t="s">
        <v>53</v>
      </c>
      <c r="AM1369" t="s">
        <v>6509</v>
      </c>
      <c r="AQ1369" t="s">
        <v>54</v>
      </c>
      <c r="AR1369" t="s">
        <v>6509</v>
      </c>
      <c r="AT1369" t="s">
        <v>6511</v>
      </c>
      <c r="AV1369" t="s">
        <v>6509</v>
      </c>
      <c r="AW1369" t="s">
        <v>53</v>
      </c>
      <c r="AX1369" t="s">
        <v>6509</v>
      </c>
      <c r="AZ1369" t="s">
        <v>54</v>
      </c>
      <c r="BA1369" t="s">
        <v>6512</v>
      </c>
    </row>
    <row r="1370" spans="1:53" x14ac:dyDescent="0.25">
      <c r="A1370">
        <v>1365</v>
      </c>
      <c r="B1370" t="s">
        <v>7403</v>
      </c>
      <c r="C1370" t="s">
        <v>7404</v>
      </c>
      <c r="D1370" t="s">
        <v>7405</v>
      </c>
      <c r="E1370">
        <v>7</v>
      </c>
      <c r="F1370" t="s">
        <v>6501</v>
      </c>
      <c r="G1370" t="s">
        <v>6837</v>
      </c>
      <c r="H1370" t="s">
        <v>6953</v>
      </c>
      <c r="I1370" t="s">
        <v>7406</v>
      </c>
      <c r="J1370" t="s">
        <v>7407</v>
      </c>
      <c r="K1370" t="s">
        <v>7408</v>
      </c>
      <c r="L1370" t="s">
        <v>7096</v>
      </c>
      <c r="M1370">
        <v>8.6686315536499023</v>
      </c>
      <c r="N1370" t="s">
        <v>54</v>
      </c>
      <c r="O1370" t="s">
        <v>53</v>
      </c>
      <c r="P1370" t="s">
        <v>54</v>
      </c>
      <c r="Q1370" t="s">
        <v>54</v>
      </c>
      <c r="R1370" t="s">
        <v>53</v>
      </c>
      <c r="S1370" t="s">
        <v>7110</v>
      </c>
      <c r="T1370" t="s">
        <v>7110</v>
      </c>
      <c r="U1370" t="s">
        <v>53</v>
      </c>
      <c r="V1370" t="s">
        <v>51</v>
      </c>
      <c r="W1370">
        <v>100000</v>
      </c>
      <c r="X1370" t="s">
        <v>53</v>
      </c>
      <c r="Y1370" t="s">
        <v>6509</v>
      </c>
      <c r="Z1370">
        <v>0</v>
      </c>
      <c r="AA1370">
        <v>100</v>
      </c>
      <c r="AB1370">
        <v>54</v>
      </c>
      <c r="AC1370">
        <v>322</v>
      </c>
      <c r="AD1370">
        <v>59</v>
      </c>
      <c r="AE1370">
        <v>322</v>
      </c>
      <c r="AF1370">
        <v>0</v>
      </c>
      <c r="AG1370">
        <v>0</v>
      </c>
      <c r="AH1370">
        <v>3.316250324249268</v>
      </c>
      <c r="AI1370">
        <v>0</v>
      </c>
      <c r="AJ1370">
        <v>865.73687744140625</v>
      </c>
      <c r="AK1370" t="s">
        <v>53</v>
      </c>
      <c r="AL1370" t="s">
        <v>54</v>
      </c>
      <c r="AM1370" t="s">
        <v>7097</v>
      </c>
      <c r="AP1370" t="s">
        <v>7409</v>
      </c>
      <c r="AQ1370" t="s">
        <v>54</v>
      </c>
      <c r="AR1370" t="s">
        <v>6509</v>
      </c>
      <c r="AT1370" t="s">
        <v>6511</v>
      </c>
      <c r="AV1370" t="s">
        <v>6509</v>
      </c>
      <c r="AW1370" t="s">
        <v>53</v>
      </c>
      <c r="AX1370" t="s">
        <v>6509</v>
      </c>
      <c r="AZ1370" t="s">
        <v>54</v>
      </c>
      <c r="BA1370" t="s">
        <v>6512</v>
      </c>
    </row>
    <row r="1371" spans="1:53" x14ac:dyDescent="0.25">
      <c r="A1371">
        <v>1366</v>
      </c>
      <c r="B1371" t="s">
        <v>7410</v>
      </c>
      <c r="C1371" t="s">
        <v>7411</v>
      </c>
      <c r="D1371" t="s">
        <v>7412</v>
      </c>
      <c r="E1371">
        <v>7</v>
      </c>
      <c r="F1371" t="s">
        <v>6501</v>
      </c>
      <c r="G1371" t="s">
        <v>6837</v>
      </c>
      <c r="H1371" t="s">
        <v>6953</v>
      </c>
      <c r="I1371" t="s">
        <v>7107</v>
      </c>
      <c r="J1371" t="s">
        <v>7108</v>
      </c>
      <c r="K1371" t="s">
        <v>7413</v>
      </c>
      <c r="L1371" t="s">
        <v>7096</v>
      </c>
      <c r="M1371">
        <v>0.41716936230659479</v>
      </c>
      <c r="N1371" t="s">
        <v>54</v>
      </c>
      <c r="O1371" t="s">
        <v>53</v>
      </c>
      <c r="P1371" t="s">
        <v>53</v>
      </c>
      <c r="Q1371" t="s">
        <v>53</v>
      </c>
      <c r="R1371" t="s">
        <v>53</v>
      </c>
      <c r="S1371" t="s">
        <v>7110</v>
      </c>
      <c r="T1371" t="s">
        <v>7110</v>
      </c>
      <c r="U1371" t="s">
        <v>53</v>
      </c>
      <c r="V1371" t="s">
        <v>51</v>
      </c>
      <c r="W1371">
        <v>100000</v>
      </c>
      <c r="X1371" t="s">
        <v>53</v>
      </c>
      <c r="Y1371" t="s">
        <v>6509</v>
      </c>
      <c r="Z1371">
        <v>0</v>
      </c>
      <c r="AA1371">
        <v>0</v>
      </c>
      <c r="AB1371">
        <v>0</v>
      </c>
      <c r="AC1371">
        <v>0</v>
      </c>
      <c r="AD1371">
        <v>0</v>
      </c>
      <c r="AE1371">
        <v>0</v>
      </c>
      <c r="AF1371">
        <v>0</v>
      </c>
      <c r="AG1371">
        <v>0</v>
      </c>
      <c r="AH1371">
        <v>0</v>
      </c>
      <c r="AI1371">
        <v>0</v>
      </c>
      <c r="AJ1371">
        <v>0</v>
      </c>
      <c r="AK1371" t="s">
        <v>54</v>
      </c>
      <c r="AL1371" t="s">
        <v>53</v>
      </c>
      <c r="AM1371" t="s">
        <v>6509</v>
      </c>
      <c r="AQ1371" t="s">
        <v>54</v>
      </c>
      <c r="AR1371" t="s">
        <v>6509</v>
      </c>
      <c r="AT1371" t="s">
        <v>6511</v>
      </c>
      <c r="AV1371" t="s">
        <v>6509</v>
      </c>
      <c r="AW1371" t="s">
        <v>54</v>
      </c>
      <c r="AX1371" t="s">
        <v>6509</v>
      </c>
      <c r="AZ1371" t="s">
        <v>54</v>
      </c>
      <c r="BA1371" t="s">
        <v>6512</v>
      </c>
    </row>
    <row r="1372" spans="1:53" x14ac:dyDescent="0.25">
      <c r="A1372">
        <v>1367</v>
      </c>
      <c r="B1372" t="s">
        <v>7414</v>
      </c>
      <c r="C1372" t="s">
        <v>7415</v>
      </c>
      <c r="D1372" t="s">
        <v>7416</v>
      </c>
      <c r="E1372">
        <v>7</v>
      </c>
      <c r="F1372" t="s">
        <v>6501</v>
      </c>
      <c r="G1372" t="s">
        <v>6521</v>
      </c>
      <c r="H1372" t="s">
        <v>6899</v>
      </c>
      <c r="I1372" t="s">
        <v>7052</v>
      </c>
      <c r="J1372" t="s">
        <v>7417</v>
      </c>
      <c r="K1372" t="s">
        <v>7418</v>
      </c>
      <c r="L1372" t="s">
        <v>7096</v>
      </c>
      <c r="M1372">
        <v>1.7087359428405759</v>
      </c>
      <c r="N1372" t="s">
        <v>54</v>
      </c>
      <c r="O1372" t="s">
        <v>53</v>
      </c>
      <c r="P1372" t="s">
        <v>53</v>
      </c>
      <c r="Q1372" t="s">
        <v>53</v>
      </c>
      <c r="R1372" t="s">
        <v>53</v>
      </c>
      <c r="S1372" t="s">
        <v>6526</v>
      </c>
      <c r="T1372" t="s">
        <v>6526</v>
      </c>
      <c r="U1372" t="s">
        <v>53</v>
      </c>
      <c r="V1372" t="s">
        <v>51</v>
      </c>
      <c r="W1372">
        <v>5000</v>
      </c>
      <c r="X1372" t="s">
        <v>53</v>
      </c>
      <c r="Y1372" t="s">
        <v>6509</v>
      </c>
      <c r="Z1372">
        <v>0</v>
      </c>
      <c r="AA1372">
        <v>0</v>
      </c>
      <c r="AB1372">
        <v>0</v>
      </c>
      <c r="AC1372">
        <v>0</v>
      </c>
      <c r="AD1372">
        <v>0</v>
      </c>
      <c r="AE1372">
        <v>0</v>
      </c>
      <c r="AF1372">
        <v>0</v>
      </c>
      <c r="AG1372">
        <v>0</v>
      </c>
      <c r="AH1372">
        <v>0.46327373385429382</v>
      </c>
      <c r="AI1372">
        <v>0</v>
      </c>
      <c r="AJ1372">
        <v>2.455453634262085</v>
      </c>
      <c r="AK1372" t="s">
        <v>54</v>
      </c>
      <c r="AL1372" t="s">
        <v>53</v>
      </c>
      <c r="AM1372" t="s">
        <v>6509</v>
      </c>
      <c r="AQ1372" t="s">
        <v>54</v>
      </c>
      <c r="AR1372" t="s">
        <v>6509</v>
      </c>
      <c r="AT1372" t="s">
        <v>7354</v>
      </c>
      <c r="AV1372" t="s">
        <v>6509</v>
      </c>
      <c r="AW1372" t="s">
        <v>53</v>
      </c>
      <c r="AX1372" t="s">
        <v>6509</v>
      </c>
      <c r="AZ1372" t="s">
        <v>54</v>
      </c>
      <c r="BA1372" t="s">
        <v>6512</v>
      </c>
    </row>
    <row r="1373" spans="1:53" x14ac:dyDescent="0.25">
      <c r="A1373">
        <v>1368</v>
      </c>
      <c r="B1373" t="s">
        <v>7419</v>
      </c>
      <c r="C1373" t="s">
        <v>7420</v>
      </c>
      <c r="D1373" t="s">
        <v>7421</v>
      </c>
      <c r="E1373">
        <v>7</v>
      </c>
      <c r="F1373" t="s">
        <v>6501</v>
      </c>
      <c r="G1373" t="s">
        <v>6521</v>
      </c>
      <c r="H1373" t="s">
        <v>6899</v>
      </c>
      <c r="I1373" t="s">
        <v>7052</v>
      </c>
      <c r="J1373" t="s">
        <v>7417</v>
      </c>
      <c r="K1373" t="s">
        <v>7418</v>
      </c>
      <c r="L1373" t="s">
        <v>7096</v>
      </c>
      <c r="M1373">
        <v>1.7087359428405759</v>
      </c>
      <c r="N1373" t="s">
        <v>54</v>
      </c>
      <c r="O1373" t="s">
        <v>53</v>
      </c>
      <c r="P1373" t="s">
        <v>53</v>
      </c>
      <c r="Q1373" t="s">
        <v>53</v>
      </c>
      <c r="R1373" t="s">
        <v>53</v>
      </c>
      <c r="S1373" t="s">
        <v>6526</v>
      </c>
      <c r="T1373" t="s">
        <v>6526</v>
      </c>
      <c r="U1373" t="s">
        <v>53</v>
      </c>
      <c r="V1373" t="s">
        <v>51</v>
      </c>
      <c r="W1373">
        <v>100000</v>
      </c>
      <c r="X1373" t="s">
        <v>53</v>
      </c>
      <c r="Y1373" t="s">
        <v>6509</v>
      </c>
      <c r="Z1373">
        <v>0</v>
      </c>
      <c r="AA1373">
        <v>0</v>
      </c>
      <c r="AB1373">
        <v>0</v>
      </c>
      <c r="AC1373">
        <v>0</v>
      </c>
      <c r="AD1373">
        <v>0</v>
      </c>
      <c r="AE1373">
        <v>0</v>
      </c>
      <c r="AF1373">
        <v>0</v>
      </c>
      <c r="AG1373">
        <v>0</v>
      </c>
      <c r="AH1373">
        <v>0.46327373385429382</v>
      </c>
      <c r="AI1373">
        <v>0</v>
      </c>
      <c r="AJ1373">
        <v>2.455453634262085</v>
      </c>
      <c r="AK1373" t="s">
        <v>54</v>
      </c>
      <c r="AL1373" t="s">
        <v>53</v>
      </c>
      <c r="AM1373" t="s">
        <v>6509</v>
      </c>
      <c r="AQ1373" t="s">
        <v>54</v>
      </c>
      <c r="AR1373" t="s">
        <v>6509</v>
      </c>
      <c r="AT1373" t="s">
        <v>7354</v>
      </c>
      <c r="AV1373" t="s">
        <v>6509</v>
      </c>
      <c r="AW1373" t="s">
        <v>53</v>
      </c>
      <c r="AX1373" t="s">
        <v>6509</v>
      </c>
      <c r="AZ1373" t="s">
        <v>54</v>
      </c>
      <c r="BA1373" t="s">
        <v>6512</v>
      </c>
    </row>
    <row r="1374" spans="1:53" x14ac:dyDescent="0.25">
      <c r="A1374">
        <v>1369</v>
      </c>
      <c r="B1374" t="s">
        <v>7422</v>
      </c>
      <c r="C1374" t="s">
        <v>7423</v>
      </c>
      <c r="D1374" t="s">
        <v>6500</v>
      </c>
      <c r="E1374">
        <v>7</v>
      </c>
      <c r="F1374" t="s">
        <v>6501</v>
      </c>
      <c r="G1374" t="s">
        <v>6633</v>
      </c>
      <c r="H1374" t="s">
        <v>6634</v>
      </c>
      <c r="I1374" t="s">
        <v>6635</v>
      </c>
      <c r="J1374" t="s">
        <v>6636</v>
      </c>
      <c r="K1374" t="s">
        <v>6637</v>
      </c>
      <c r="L1374" t="s">
        <v>6507</v>
      </c>
      <c r="M1374">
        <v>8.183192253112793</v>
      </c>
      <c r="N1374" t="s">
        <v>53</v>
      </c>
      <c r="O1374" t="s">
        <v>53</v>
      </c>
      <c r="P1374" t="s">
        <v>53</v>
      </c>
      <c r="Q1374" t="s">
        <v>54</v>
      </c>
      <c r="R1374" t="s">
        <v>53</v>
      </c>
      <c r="S1374" t="s">
        <v>6638</v>
      </c>
      <c r="T1374" t="s">
        <v>6638</v>
      </c>
      <c r="U1374" t="s">
        <v>53</v>
      </c>
      <c r="V1374" t="s">
        <v>138</v>
      </c>
      <c r="W1374">
        <v>926000</v>
      </c>
      <c r="X1374" t="s">
        <v>53</v>
      </c>
      <c r="Y1374" t="s">
        <v>6509</v>
      </c>
      <c r="Z1374">
        <v>0</v>
      </c>
      <c r="AA1374">
        <v>1</v>
      </c>
      <c r="AB1374">
        <v>1</v>
      </c>
      <c r="AC1374">
        <v>0</v>
      </c>
      <c r="AD1374">
        <v>0</v>
      </c>
      <c r="AE1374">
        <v>0</v>
      </c>
      <c r="AF1374">
        <v>0</v>
      </c>
      <c r="AG1374">
        <v>0</v>
      </c>
      <c r="AH1374">
        <v>1.6472316980361941</v>
      </c>
      <c r="AI1374">
        <v>0</v>
      </c>
      <c r="AJ1374">
        <v>257.33038330078119</v>
      </c>
      <c r="AK1374" t="s">
        <v>54</v>
      </c>
      <c r="AL1374" t="s">
        <v>54</v>
      </c>
      <c r="AM1374" t="s">
        <v>5450</v>
      </c>
      <c r="AP1374" t="s">
        <v>6510</v>
      </c>
      <c r="AQ1374" t="s">
        <v>54</v>
      </c>
      <c r="AR1374" t="s">
        <v>5450</v>
      </c>
      <c r="AS1374" s="148">
        <v>42795</v>
      </c>
      <c r="AT1374" t="s">
        <v>6511</v>
      </c>
      <c r="AV1374" t="s">
        <v>6509</v>
      </c>
      <c r="AW1374" t="s">
        <v>53</v>
      </c>
      <c r="AX1374" t="s">
        <v>6509</v>
      </c>
      <c r="AZ1374" t="s">
        <v>54</v>
      </c>
      <c r="BA1374" t="s">
        <v>6512</v>
      </c>
    </row>
    <row r="1375" spans="1:53" x14ac:dyDescent="0.25">
      <c r="A1375">
        <v>1370</v>
      </c>
      <c r="B1375" t="s">
        <v>7424</v>
      </c>
      <c r="C1375" t="s">
        <v>220</v>
      </c>
      <c r="D1375" t="s">
        <v>7425</v>
      </c>
      <c r="E1375">
        <v>8</v>
      </c>
      <c r="F1375" t="s">
        <v>7426</v>
      </c>
      <c r="G1375" t="s">
        <v>7427</v>
      </c>
      <c r="H1375" t="s">
        <v>7428</v>
      </c>
      <c r="I1375" t="s">
        <v>7429</v>
      </c>
      <c r="J1375" t="s">
        <v>7430</v>
      </c>
      <c r="K1375" t="s">
        <v>7431</v>
      </c>
      <c r="L1375" t="s">
        <v>7432</v>
      </c>
      <c r="M1375">
        <v>1131.47998046875</v>
      </c>
      <c r="N1375" t="s">
        <v>54</v>
      </c>
      <c r="O1375" t="s">
        <v>53</v>
      </c>
      <c r="P1375" t="s">
        <v>53</v>
      </c>
      <c r="Q1375" t="s">
        <v>53</v>
      </c>
      <c r="R1375" t="s">
        <v>53</v>
      </c>
      <c r="S1375" t="s">
        <v>7433</v>
      </c>
      <c r="T1375" t="s">
        <v>7434</v>
      </c>
      <c r="U1375" t="s">
        <v>53</v>
      </c>
      <c r="V1375" t="s">
        <v>162</v>
      </c>
      <c r="W1375">
        <v>500000</v>
      </c>
      <c r="X1375" t="s">
        <v>54</v>
      </c>
      <c r="Y1375" t="s">
        <v>7435</v>
      </c>
      <c r="AA1375">
        <v>3519</v>
      </c>
      <c r="AB1375">
        <v>2758</v>
      </c>
      <c r="AC1375">
        <v>4784</v>
      </c>
      <c r="AD1375">
        <v>7496</v>
      </c>
      <c r="AE1375">
        <v>10627</v>
      </c>
      <c r="AF1375">
        <v>5</v>
      </c>
      <c r="AG1375">
        <v>167</v>
      </c>
      <c r="AH1375">
        <v>167.44999694824219</v>
      </c>
      <c r="AI1375">
        <v>728</v>
      </c>
      <c r="AJ1375">
        <v>67369.6015625</v>
      </c>
      <c r="AK1375" t="s">
        <v>54</v>
      </c>
      <c r="AL1375" t="s">
        <v>53</v>
      </c>
      <c r="AM1375" t="s">
        <v>32</v>
      </c>
      <c r="AP1375" t="s">
        <v>32</v>
      </c>
      <c r="AQ1375" t="s">
        <v>53</v>
      </c>
      <c r="AR1375" t="s">
        <v>32</v>
      </c>
      <c r="AT1375" t="s">
        <v>7436</v>
      </c>
      <c r="AV1375" t="s">
        <v>32</v>
      </c>
      <c r="AW1375" t="s">
        <v>53</v>
      </c>
      <c r="AX1375" t="s">
        <v>32</v>
      </c>
      <c r="AZ1375" t="s">
        <v>54</v>
      </c>
      <c r="BA1375" t="s">
        <v>7437</v>
      </c>
    </row>
    <row r="1376" spans="1:53" x14ac:dyDescent="0.25">
      <c r="A1376">
        <v>1371</v>
      </c>
      <c r="B1376" t="s">
        <v>7438</v>
      </c>
      <c r="C1376" t="s">
        <v>7439</v>
      </c>
      <c r="D1376" t="s">
        <v>7440</v>
      </c>
      <c r="E1376">
        <v>8</v>
      </c>
      <c r="F1376" t="s">
        <v>7426</v>
      </c>
      <c r="G1376" t="s">
        <v>7427</v>
      </c>
      <c r="H1376" t="s">
        <v>7441</v>
      </c>
      <c r="I1376" t="s">
        <v>7442</v>
      </c>
      <c r="J1376" t="s">
        <v>7443</v>
      </c>
      <c r="K1376" t="s">
        <v>7444</v>
      </c>
      <c r="L1376" t="s">
        <v>7432</v>
      </c>
      <c r="M1376">
        <v>55.166698455810547</v>
      </c>
      <c r="N1376" t="s">
        <v>54</v>
      </c>
      <c r="O1376" t="s">
        <v>53</v>
      </c>
      <c r="P1376" t="s">
        <v>53</v>
      </c>
      <c r="Q1376" t="s">
        <v>53</v>
      </c>
      <c r="R1376" t="s">
        <v>53</v>
      </c>
      <c r="S1376" t="s">
        <v>7445</v>
      </c>
      <c r="T1376" t="s">
        <v>7445</v>
      </c>
      <c r="U1376" t="s">
        <v>53</v>
      </c>
      <c r="V1376" t="s">
        <v>162</v>
      </c>
      <c r="W1376">
        <v>290000</v>
      </c>
      <c r="X1376" t="s">
        <v>54</v>
      </c>
      <c r="Y1376" t="s">
        <v>7446</v>
      </c>
      <c r="AA1376">
        <v>111</v>
      </c>
      <c r="AB1376">
        <v>71</v>
      </c>
      <c r="AC1376">
        <v>199</v>
      </c>
      <c r="AD1376">
        <v>197</v>
      </c>
      <c r="AE1376">
        <v>352</v>
      </c>
      <c r="AF1376">
        <v>0</v>
      </c>
      <c r="AG1376">
        <v>13</v>
      </c>
      <c r="AH1376">
        <v>6.5623397827148438</v>
      </c>
      <c r="AI1376">
        <v>51</v>
      </c>
      <c r="AJ1376">
        <v>4157.240234375</v>
      </c>
      <c r="AK1376" t="s">
        <v>54</v>
      </c>
      <c r="AL1376" t="s">
        <v>53</v>
      </c>
      <c r="AM1376" t="s">
        <v>32</v>
      </c>
      <c r="AP1376" t="s">
        <v>32</v>
      </c>
      <c r="AQ1376" t="s">
        <v>53</v>
      </c>
      <c r="AR1376" t="s">
        <v>32</v>
      </c>
      <c r="AT1376" t="s">
        <v>7447</v>
      </c>
      <c r="AV1376" t="s">
        <v>32</v>
      </c>
      <c r="AW1376" t="s">
        <v>53</v>
      </c>
      <c r="AX1376" t="s">
        <v>32</v>
      </c>
      <c r="AZ1376" t="s">
        <v>54</v>
      </c>
      <c r="BA1376" t="s">
        <v>7437</v>
      </c>
    </row>
    <row r="1377" spans="1:53" x14ac:dyDescent="0.25">
      <c r="A1377">
        <v>1372</v>
      </c>
      <c r="B1377" t="s">
        <v>7448</v>
      </c>
      <c r="C1377" t="s">
        <v>7449</v>
      </c>
      <c r="D1377" t="s">
        <v>7450</v>
      </c>
      <c r="E1377">
        <v>8</v>
      </c>
      <c r="F1377" t="s">
        <v>7426</v>
      </c>
      <c r="G1377" t="s">
        <v>276</v>
      </c>
      <c r="H1377" t="s">
        <v>7451</v>
      </c>
      <c r="I1377" t="s">
        <v>7452</v>
      </c>
      <c r="J1377" t="s">
        <v>7453</v>
      </c>
      <c r="K1377" t="s">
        <v>7454</v>
      </c>
      <c r="L1377" t="s">
        <v>7432</v>
      </c>
      <c r="M1377">
        <v>42.756301879882813</v>
      </c>
      <c r="N1377" t="s">
        <v>54</v>
      </c>
      <c r="O1377" t="s">
        <v>53</v>
      </c>
      <c r="P1377" t="s">
        <v>54</v>
      </c>
      <c r="Q1377" t="s">
        <v>53</v>
      </c>
      <c r="R1377" t="s">
        <v>53</v>
      </c>
      <c r="S1377" t="s">
        <v>1783</v>
      </c>
      <c r="T1377" t="s">
        <v>1783</v>
      </c>
      <c r="U1377" t="s">
        <v>53</v>
      </c>
      <c r="V1377" t="s">
        <v>138</v>
      </c>
      <c r="W1377">
        <v>534000</v>
      </c>
      <c r="X1377" t="s">
        <v>54</v>
      </c>
      <c r="Y1377" t="s">
        <v>7446</v>
      </c>
      <c r="AA1377">
        <v>442</v>
      </c>
      <c r="AB1377">
        <v>350</v>
      </c>
      <c r="AC1377">
        <v>797</v>
      </c>
      <c r="AD1377">
        <v>835</v>
      </c>
      <c r="AE1377">
        <v>1403</v>
      </c>
      <c r="AF1377">
        <v>2</v>
      </c>
      <c r="AG1377">
        <v>0</v>
      </c>
      <c r="AH1377">
        <v>18.439199447631839</v>
      </c>
      <c r="AI1377">
        <v>96</v>
      </c>
      <c r="AJ1377">
        <v>1687.170043945312</v>
      </c>
      <c r="AK1377" t="s">
        <v>54</v>
      </c>
      <c r="AL1377" t="s">
        <v>53</v>
      </c>
      <c r="AM1377" t="s">
        <v>32</v>
      </c>
      <c r="AP1377" t="s">
        <v>32</v>
      </c>
      <c r="AQ1377" t="s">
        <v>53</v>
      </c>
      <c r="AR1377" t="s">
        <v>32</v>
      </c>
      <c r="AT1377" t="s">
        <v>7455</v>
      </c>
      <c r="AV1377" t="s">
        <v>32</v>
      </c>
      <c r="AW1377" t="s">
        <v>53</v>
      </c>
      <c r="AX1377" t="s">
        <v>32</v>
      </c>
      <c r="AZ1377" t="s">
        <v>54</v>
      </c>
      <c r="BA1377" t="s">
        <v>7437</v>
      </c>
    </row>
    <row r="1378" spans="1:53" x14ac:dyDescent="0.25">
      <c r="A1378">
        <v>1373</v>
      </c>
      <c r="B1378" t="s">
        <v>7456</v>
      </c>
      <c r="C1378" t="s">
        <v>7457</v>
      </c>
      <c r="D1378" t="s">
        <v>7458</v>
      </c>
      <c r="E1378">
        <v>8</v>
      </c>
      <c r="F1378" t="s">
        <v>7426</v>
      </c>
      <c r="G1378" t="s">
        <v>7427</v>
      </c>
      <c r="H1378" t="s">
        <v>7459</v>
      </c>
      <c r="I1378" t="s">
        <v>7460</v>
      </c>
      <c r="J1378" t="s">
        <v>7461</v>
      </c>
      <c r="K1378" t="s">
        <v>7462</v>
      </c>
      <c r="L1378" t="s">
        <v>7463</v>
      </c>
      <c r="M1378">
        <v>3.4085900783538818</v>
      </c>
      <c r="N1378" t="s">
        <v>54</v>
      </c>
      <c r="O1378" t="s">
        <v>53</v>
      </c>
      <c r="P1378" t="s">
        <v>53</v>
      </c>
      <c r="Q1378" t="s">
        <v>53</v>
      </c>
      <c r="R1378" t="s">
        <v>53</v>
      </c>
      <c r="S1378" t="s">
        <v>7464</v>
      </c>
      <c r="T1378" t="s">
        <v>7464</v>
      </c>
      <c r="U1378" t="s">
        <v>53</v>
      </c>
      <c r="V1378" t="s">
        <v>51</v>
      </c>
      <c r="W1378">
        <v>217000</v>
      </c>
      <c r="X1378" t="s">
        <v>54</v>
      </c>
      <c r="Y1378" t="s">
        <v>7465</v>
      </c>
      <c r="AA1378">
        <v>1</v>
      </c>
      <c r="AB1378">
        <v>0</v>
      </c>
      <c r="AC1378">
        <v>2</v>
      </c>
      <c r="AD1378">
        <v>0</v>
      </c>
      <c r="AE1378">
        <v>2</v>
      </c>
      <c r="AF1378">
        <v>0</v>
      </c>
      <c r="AG1378">
        <v>0</v>
      </c>
      <c r="AH1378">
        <v>1.977929949760437</v>
      </c>
      <c r="AI1378">
        <v>4</v>
      </c>
      <c r="AJ1378">
        <v>44.903499603271477</v>
      </c>
      <c r="AK1378" t="s">
        <v>54</v>
      </c>
      <c r="AL1378" t="s">
        <v>53</v>
      </c>
      <c r="AM1378" t="s">
        <v>32</v>
      </c>
      <c r="AP1378" t="s">
        <v>32</v>
      </c>
      <c r="AQ1378" t="s">
        <v>53</v>
      </c>
      <c r="AR1378" t="s">
        <v>32</v>
      </c>
      <c r="AT1378" t="s">
        <v>7436</v>
      </c>
      <c r="AV1378" t="s">
        <v>32</v>
      </c>
      <c r="AW1378" t="s">
        <v>53</v>
      </c>
      <c r="AX1378" t="s">
        <v>32</v>
      </c>
      <c r="AZ1378" t="s">
        <v>54</v>
      </c>
      <c r="BA1378" t="s">
        <v>7437</v>
      </c>
    </row>
    <row r="1379" spans="1:53" x14ac:dyDescent="0.25">
      <c r="A1379">
        <v>1374</v>
      </c>
      <c r="B1379" t="s">
        <v>7466</v>
      </c>
      <c r="C1379" t="s">
        <v>7467</v>
      </c>
      <c r="D1379" t="s">
        <v>7468</v>
      </c>
      <c r="E1379">
        <v>8</v>
      </c>
      <c r="F1379" t="s">
        <v>7426</v>
      </c>
      <c r="G1379" t="s">
        <v>7427</v>
      </c>
      <c r="H1379" t="s">
        <v>7459</v>
      </c>
      <c r="I1379" t="s">
        <v>7460</v>
      </c>
      <c r="J1379" t="s">
        <v>7461</v>
      </c>
      <c r="K1379" t="s">
        <v>7462</v>
      </c>
      <c r="L1379" t="s">
        <v>7444</v>
      </c>
      <c r="M1379">
        <v>3.4085900783538818</v>
      </c>
      <c r="N1379" t="s">
        <v>54</v>
      </c>
      <c r="O1379" t="s">
        <v>53</v>
      </c>
      <c r="P1379" t="s">
        <v>54</v>
      </c>
      <c r="Q1379" t="s">
        <v>53</v>
      </c>
      <c r="R1379" t="s">
        <v>53</v>
      </c>
      <c r="S1379" t="s">
        <v>7464</v>
      </c>
      <c r="T1379" t="s">
        <v>7464</v>
      </c>
      <c r="U1379" t="s">
        <v>53</v>
      </c>
      <c r="V1379" t="s">
        <v>51</v>
      </c>
      <c r="W1379">
        <v>217000</v>
      </c>
      <c r="X1379" t="s">
        <v>54</v>
      </c>
      <c r="Y1379" t="s">
        <v>7469</v>
      </c>
      <c r="AA1379">
        <v>1</v>
      </c>
      <c r="AB1379">
        <v>0</v>
      </c>
      <c r="AC1379">
        <v>2</v>
      </c>
      <c r="AD1379">
        <v>0</v>
      </c>
      <c r="AE1379">
        <v>2</v>
      </c>
      <c r="AF1379">
        <v>0</v>
      </c>
      <c r="AG1379">
        <v>0</v>
      </c>
      <c r="AH1379">
        <v>1.977929949760437</v>
      </c>
      <c r="AI1379">
        <v>4</v>
      </c>
      <c r="AJ1379">
        <v>44.903499603271477</v>
      </c>
      <c r="AK1379" t="s">
        <v>54</v>
      </c>
      <c r="AL1379" t="s">
        <v>53</v>
      </c>
      <c r="AM1379" t="s">
        <v>32</v>
      </c>
      <c r="AP1379" t="s">
        <v>32</v>
      </c>
      <c r="AQ1379" t="s">
        <v>53</v>
      </c>
      <c r="AR1379" t="s">
        <v>32</v>
      </c>
      <c r="AT1379" t="s">
        <v>7436</v>
      </c>
      <c r="AV1379" t="s">
        <v>32</v>
      </c>
      <c r="AW1379" t="s">
        <v>53</v>
      </c>
      <c r="AX1379" t="s">
        <v>32</v>
      </c>
      <c r="AZ1379" t="s">
        <v>54</v>
      </c>
      <c r="BA1379" t="s">
        <v>7437</v>
      </c>
    </row>
    <row r="1380" spans="1:53" x14ac:dyDescent="0.25">
      <c r="A1380">
        <v>1375</v>
      </c>
      <c r="B1380" t="s">
        <v>7470</v>
      </c>
      <c r="C1380" t="s">
        <v>7471</v>
      </c>
      <c r="D1380" t="s">
        <v>7472</v>
      </c>
      <c r="E1380">
        <v>8</v>
      </c>
      <c r="F1380" t="s">
        <v>7426</v>
      </c>
      <c r="G1380" t="s">
        <v>7427</v>
      </c>
      <c r="H1380" t="s">
        <v>7441</v>
      </c>
      <c r="I1380" t="s">
        <v>7442</v>
      </c>
      <c r="J1380" t="s">
        <v>7473</v>
      </c>
      <c r="K1380" t="s">
        <v>7444</v>
      </c>
      <c r="L1380" t="s">
        <v>7463</v>
      </c>
      <c r="M1380">
        <v>29.357500076293949</v>
      </c>
      <c r="N1380" t="s">
        <v>54</v>
      </c>
      <c r="O1380" t="s">
        <v>53</v>
      </c>
      <c r="P1380" t="s">
        <v>53</v>
      </c>
      <c r="Q1380" t="s">
        <v>53</v>
      </c>
      <c r="R1380" t="s">
        <v>53</v>
      </c>
      <c r="S1380" t="s">
        <v>7445</v>
      </c>
      <c r="T1380" t="s">
        <v>7445</v>
      </c>
      <c r="U1380" t="s">
        <v>53</v>
      </c>
      <c r="V1380" t="s">
        <v>51</v>
      </c>
      <c r="W1380">
        <v>463000</v>
      </c>
      <c r="X1380" t="s">
        <v>54</v>
      </c>
      <c r="Y1380" t="s">
        <v>7446</v>
      </c>
      <c r="AA1380">
        <v>31</v>
      </c>
      <c r="AB1380">
        <v>14</v>
      </c>
      <c r="AC1380">
        <v>7</v>
      </c>
      <c r="AD1380">
        <v>33</v>
      </c>
      <c r="AE1380">
        <v>34</v>
      </c>
      <c r="AF1380">
        <v>0</v>
      </c>
      <c r="AG1380">
        <v>4</v>
      </c>
      <c r="AH1380">
        <v>3.5756099224090581</v>
      </c>
      <c r="AI1380">
        <v>19</v>
      </c>
      <c r="AJ1380">
        <v>3255.06005859375</v>
      </c>
      <c r="AK1380" t="s">
        <v>54</v>
      </c>
      <c r="AL1380" t="s">
        <v>53</v>
      </c>
      <c r="AM1380" t="s">
        <v>32</v>
      </c>
      <c r="AP1380" t="s">
        <v>32</v>
      </c>
      <c r="AQ1380" t="s">
        <v>53</v>
      </c>
      <c r="AR1380" t="s">
        <v>32</v>
      </c>
      <c r="AT1380" t="s">
        <v>7436</v>
      </c>
      <c r="AV1380" t="s">
        <v>32</v>
      </c>
      <c r="AW1380" t="s">
        <v>53</v>
      </c>
      <c r="AX1380" t="s">
        <v>32</v>
      </c>
      <c r="AZ1380" t="s">
        <v>54</v>
      </c>
      <c r="BA1380" t="s">
        <v>7437</v>
      </c>
    </row>
    <row r="1381" spans="1:53" x14ac:dyDescent="0.25">
      <c r="A1381">
        <v>1376</v>
      </c>
      <c r="B1381" t="s">
        <v>7474</v>
      </c>
      <c r="C1381" t="s">
        <v>7475</v>
      </c>
      <c r="D1381" t="s">
        <v>7476</v>
      </c>
      <c r="E1381">
        <v>8</v>
      </c>
      <c r="F1381" t="s">
        <v>7426</v>
      </c>
      <c r="G1381" t="s">
        <v>7477</v>
      </c>
      <c r="H1381" t="s">
        <v>7441</v>
      </c>
      <c r="I1381" t="s">
        <v>7478</v>
      </c>
      <c r="J1381" t="s">
        <v>7479</v>
      </c>
      <c r="K1381" t="s">
        <v>7444</v>
      </c>
      <c r="L1381" t="s">
        <v>7480</v>
      </c>
      <c r="M1381">
        <v>37.841598510742188</v>
      </c>
      <c r="N1381" t="s">
        <v>54</v>
      </c>
      <c r="O1381" t="s">
        <v>53</v>
      </c>
      <c r="P1381" t="s">
        <v>54</v>
      </c>
      <c r="Q1381" t="s">
        <v>53</v>
      </c>
      <c r="R1381" t="s">
        <v>53</v>
      </c>
      <c r="S1381" t="s">
        <v>7481</v>
      </c>
      <c r="T1381" t="s">
        <v>7481</v>
      </c>
      <c r="U1381" t="s">
        <v>53</v>
      </c>
      <c r="V1381" t="s">
        <v>51</v>
      </c>
      <c r="W1381">
        <v>510000</v>
      </c>
      <c r="X1381" t="s">
        <v>54</v>
      </c>
      <c r="Y1381" t="s">
        <v>7465</v>
      </c>
      <c r="AA1381">
        <v>234</v>
      </c>
      <c r="AB1381">
        <v>192</v>
      </c>
      <c r="AC1381">
        <v>315</v>
      </c>
      <c r="AD1381">
        <v>698</v>
      </c>
      <c r="AE1381">
        <v>838</v>
      </c>
      <c r="AF1381">
        <v>1</v>
      </c>
      <c r="AG1381">
        <v>11</v>
      </c>
      <c r="AH1381">
        <v>5.0250701904296884</v>
      </c>
      <c r="AI1381">
        <v>57</v>
      </c>
      <c r="AJ1381">
        <v>414.20498657226563</v>
      </c>
      <c r="AK1381" t="s">
        <v>54</v>
      </c>
      <c r="AL1381" t="s">
        <v>53</v>
      </c>
      <c r="AM1381" t="s">
        <v>32</v>
      </c>
      <c r="AP1381" t="s">
        <v>32</v>
      </c>
      <c r="AQ1381" t="s">
        <v>53</v>
      </c>
      <c r="AR1381" t="s">
        <v>32</v>
      </c>
      <c r="AT1381" t="s">
        <v>7436</v>
      </c>
      <c r="AV1381" t="s">
        <v>32</v>
      </c>
      <c r="AW1381" t="s">
        <v>53</v>
      </c>
      <c r="AX1381" t="s">
        <v>32</v>
      </c>
      <c r="AZ1381" t="s">
        <v>54</v>
      </c>
      <c r="BA1381" t="s">
        <v>7437</v>
      </c>
    </row>
    <row r="1382" spans="1:53" x14ac:dyDescent="0.25">
      <c r="A1382">
        <v>1377</v>
      </c>
      <c r="B1382" t="s">
        <v>7482</v>
      </c>
      <c r="C1382" t="s">
        <v>7483</v>
      </c>
      <c r="D1382" t="s">
        <v>7484</v>
      </c>
      <c r="E1382">
        <v>8</v>
      </c>
      <c r="F1382" t="s">
        <v>7426</v>
      </c>
      <c r="G1382" t="s">
        <v>7477</v>
      </c>
      <c r="H1382" t="s">
        <v>7441</v>
      </c>
      <c r="I1382" t="s">
        <v>7442</v>
      </c>
      <c r="J1382" t="s">
        <v>7485</v>
      </c>
      <c r="K1382" t="s">
        <v>7444</v>
      </c>
      <c r="L1382" t="s">
        <v>7432</v>
      </c>
      <c r="M1382">
        <v>25.595699310302731</v>
      </c>
      <c r="N1382" t="s">
        <v>53</v>
      </c>
      <c r="O1382" t="s">
        <v>53</v>
      </c>
      <c r="P1382" t="s">
        <v>54</v>
      </c>
      <c r="Q1382" t="s">
        <v>53</v>
      </c>
      <c r="R1382" t="s">
        <v>53</v>
      </c>
      <c r="S1382" t="s">
        <v>7486</v>
      </c>
      <c r="T1382" t="s">
        <v>7486</v>
      </c>
      <c r="U1382" t="s">
        <v>53</v>
      </c>
      <c r="V1382" t="s">
        <v>138</v>
      </c>
      <c r="W1382">
        <v>440000</v>
      </c>
      <c r="X1382" t="s">
        <v>54</v>
      </c>
      <c r="Y1382" t="s">
        <v>7465</v>
      </c>
      <c r="AA1382">
        <v>269</v>
      </c>
      <c r="AB1382">
        <v>230</v>
      </c>
      <c r="AC1382">
        <v>263</v>
      </c>
      <c r="AD1382">
        <v>819</v>
      </c>
      <c r="AE1382">
        <v>902</v>
      </c>
      <c r="AF1382">
        <v>0</v>
      </c>
      <c r="AG1382">
        <v>11</v>
      </c>
      <c r="AH1382">
        <v>5.4057497978210449</v>
      </c>
      <c r="AI1382">
        <v>41</v>
      </c>
      <c r="AJ1382">
        <v>101.86399841308589</v>
      </c>
      <c r="AK1382" t="s">
        <v>54</v>
      </c>
      <c r="AL1382" t="s">
        <v>53</v>
      </c>
      <c r="AM1382" t="s">
        <v>32</v>
      </c>
      <c r="AP1382" t="s">
        <v>32</v>
      </c>
      <c r="AQ1382" t="s">
        <v>53</v>
      </c>
      <c r="AR1382" t="s">
        <v>32</v>
      </c>
      <c r="AT1382" t="s">
        <v>7436</v>
      </c>
      <c r="AV1382" t="s">
        <v>32</v>
      </c>
      <c r="AW1382" t="s">
        <v>53</v>
      </c>
      <c r="AX1382" t="s">
        <v>32</v>
      </c>
      <c r="AZ1382" t="s">
        <v>54</v>
      </c>
      <c r="BA1382" t="s">
        <v>7437</v>
      </c>
    </row>
    <row r="1383" spans="1:53" x14ac:dyDescent="0.25">
      <c r="A1383">
        <v>1378</v>
      </c>
      <c r="B1383" t="s">
        <v>7487</v>
      </c>
      <c r="C1383" t="s">
        <v>7488</v>
      </c>
      <c r="D1383" t="s">
        <v>7489</v>
      </c>
      <c r="E1383">
        <v>8</v>
      </c>
      <c r="F1383" t="s">
        <v>7426</v>
      </c>
      <c r="G1383" t="s">
        <v>7427</v>
      </c>
      <c r="H1383" t="s">
        <v>7441</v>
      </c>
      <c r="I1383" t="s">
        <v>7442</v>
      </c>
      <c r="J1383" t="s">
        <v>7490</v>
      </c>
      <c r="K1383" t="s">
        <v>7444</v>
      </c>
      <c r="L1383" t="s">
        <v>7432</v>
      </c>
      <c r="M1383">
        <v>11.11559963226318</v>
      </c>
      <c r="N1383" t="s">
        <v>54</v>
      </c>
      <c r="O1383" t="s">
        <v>53</v>
      </c>
      <c r="P1383" t="s">
        <v>53</v>
      </c>
      <c r="Q1383" t="s">
        <v>53</v>
      </c>
      <c r="R1383" t="s">
        <v>53</v>
      </c>
      <c r="S1383" t="s">
        <v>7486</v>
      </c>
      <c r="T1383" t="s">
        <v>7486</v>
      </c>
      <c r="U1383" t="s">
        <v>53</v>
      </c>
      <c r="V1383" t="s">
        <v>138</v>
      </c>
      <c r="W1383">
        <v>88000</v>
      </c>
      <c r="X1383" t="s">
        <v>54</v>
      </c>
      <c r="Y1383" t="s">
        <v>7465</v>
      </c>
      <c r="AA1383">
        <v>11</v>
      </c>
      <c r="AB1383">
        <v>5</v>
      </c>
      <c r="AC1383">
        <v>3</v>
      </c>
      <c r="AD1383">
        <v>10</v>
      </c>
      <c r="AE1383">
        <v>11</v>
      </c>
      <c r="AF1383">
        <v>0</v>
      </c>
      <c r="AG1383">
        <v>1</v>
      </c>
      <c r="AH1383">
        <v>1.7508800029754641</v>
      </c>
      <c r="AI1383">
        <v>8</v>
      </c>
      <c r="AJ1383">
        <v>1105.449951171875</v>
      </c>
      <c r="AK1383" t="s">
        <v>54</v>
      </c>
      <c r="AL1383" t="s">
        <v>53</v>
      </c>
      <c r="AM1383" t="s">
        <v>32</v>
      </c>
      <c r="AP1383" t="s">
        <v>32</v>
      </c>
      <c r="AQ1383" t="s">
        <v>53</v>
      </c>
      <c r="AR1383" t="s">
        <v>32</v>
      </c>
      <c r="AT1383" t="s">
        <v>7436</v>
      </c>
      <c r="AV1383" t="s">
        <v>32</v>
      </c>
      <c r="AW1383" t="s">
        <v>53</v>
      </c>
      <c r="AX1383" t="s">
        <v>32</v>
      </c>
      <c r="AZ1383" t="s">
        <v>54</v>
      </c>
      <c r="BA1383" t="s">
        <v>7437</v>
      </c>
    </row>
    <row r="1384" spans="1:53" x14ac:dyDescent="0.25">
      <c r="A1384">
        <v>1379</v>
      </c>
      <c r="B1384" t="s">
        <v>7491</v>
      </c>
      <c r="C1384" t="s">
        <v>7492</v>
      </c>
      <c r="D1384" t="s">
        <v>7493</v>
      </c>
      <c r="E1384">
        <v>8</v>
      </c>
      <c r="F1384" t="s">
        <v>7426</v>
      </c>
      <c r="G1384" t="s">
        <v>7477</v>
      </c>
      <c r="H1384" t="s">
        <v>7441</v>
      </c>
      <c r="I1384" t="s">
        <v>7442</v>
      </c>
      <c r="J1384" t="s">
        <v>7494</v>
      </c>
      <c r="K1384" t="s">
        <v>7444</v>
      </c>
      <c r="L1384" t="s">
        <v>7432</v>
      </c>
      <c r="M1384">
        <v>27.96829986572266</v>
      </c>
      <c r="N1384" t="s">
        <v>54</v>
      </c>
      <c r="O1384" t="s">
        <v>53</v>
      </c>
      <c r="P1384" t="s">
        <v>53</v>
      </c>
      <c r="Q1384" t="s">
        <v>53</v>
      </c>
      <c r="R1384" t="s">
        <v>53</v>
      </c>
      <c r="S1384" t="s">
        <v>7481</v>
      </c>
      <c r="T1384" t="s">
        <v>7481</v>
      </c>
      <c r="U1384" t="s">
        <v>53</v>
      </c>
      <c r="V1384" t="s">
        <v>138</v>
      </c>
      <c r="W1384">
        <v>166000</v>
      </c>
      <c r="X1384" t="s">
        <v>54</v>
      </c>
      <c r="Y1384" t="s">
        <v>7465</v>
      </c>
      <c r="AA1384">
        <v>224</v>
      </c>
      <c r="AB1384">
        <v>195</v>
      </c>
      <c r="AC1384">
        <v>1458</v>
      </c>
      <c r="AD1384">
        <v>838</v>
      </c>
      <c r="AE1384">
        <v>2120</v>
      </c>
      <c r="AF1384">
        <v>1</v>
      </c>
      <c r="AG1384">
        <v>13</v>
      </c>
      <c r="AH1384">
        <v>7.218480110168457</v>
      </c>
      <c r="AI1384">
        <v>45</v>
      </c>
      <c r="AJ1384">
        <v>151.1499938964844</v>
      </c>
      <c r="AK1384" t="s">
        <v>54</v>
      </c>
      <c r="AL1384" t="s">
        <v>53</v>
      </c>
      <c r="AM1384" t="s">
        <v>32</v>
      </c>
      <c r="AP1384" t="s">
        <v>32</v>
      </c>
      <c r="AQ1384" t="s">
        <v>53</v>
      </c>
      <c r="AR1384" t="s">
        <v>32</v>
      </c>
      <c r="AT1384" t="s">
        <v>7436</v>
      </c>
      <c r="AV1384" t="s">
        <v>32</v>
      </c>
      <c r="AW1384" t="s">
        <v>53</v>
      </c>
      <c r="AX1384" t="s">
        <v>32</v>
      </c>
      <c r="AZ1384" t="s">
        <v>54</v>
      </c>
      <c r="BA1384" t="s">
        <v>7437</v>
      </c>
    </row>
    <row r="1385" spans="1:53" x14ac:dyDescent="0.25">
      <c r="A1385">
        <v>1380</v>
      </c>
      <c r="B1385" t="s">
        <v>7495</v>
      </c>
      <c r="C1385" t="s">
        <v>7496</v>
      </c>
      <c r="D1385" t="s">
        <v>7497</v>
      </c>
      <c r="E1385">
        <v>8</v>
      </c>
      <c r="F1385" t="s">
        <v>7426</v>
      </c>
      <c r="G1385" t="s">
        <v>276</v>
      </c>
      <c r="H1385" t="s">
        <v>7451</v>
      </c>
      <c r="I1385" t="s">
        <v>7498</v>
      </c>
      <c r="J1385" t="s">
        <v>7499</v>
      </c>
      <c r="K1385" t="s">
        <v>7454</v>
      </c>
      <c r="L1385" t="s">
        <v>7480</v>
      </c>
      <c r="M1385">
        <v>10.609299659729</v>
      </c>
      <c r="N1385" t="s">
        <v>54</v>
      </c>
      <c r="O1385" t="s">
        <v>53</v>
      </c>
      <c r="P1385" t="s">
        <v>54</v>
      </c>
      <c r="Q1385" t="s">
        <v>53</v>
      </c>
      <c r="R1385" t="s">
        <v>53</v>
      </c>
      <c r="S1385" t="s">
        <v>7500</v>
      </c>
      <c r="T1385" t="s">
        <v>7501</v>
      </c>
      <c r="U1385" t="s">
        <v>53</v>
      </c>
      <c r="V1385" t="s">
        <v>51</v>
      </c>
      <c r="W1385">
        <v>320000</v>
      </c>
      <c r="X1385" t="s">
        <v>54</v>
      </c>
      <c r="Y1385" t="s">
        <v>7446</v>
      </c>
      <c r="AA1385">
        <v>0</v>
      </c>
      <c r="AB1385">
        <v>0</v>
      </c>
      <c r="AC1385">
        <v>0</v>
      </c>
      <c r="AD1385">
        <v>0</v>
      </c>
      <c r="AE1385">
        <v>0</v>
      </c>
      <c r="AF1385">
        <v>0</v>
      </c>
      <c r="AG1385">
        <v>0</v>
      </c>
      <c r="AH1385">
        <v>0</v>
      </c>
      <c r="AI1385">
        <v>0</v>
      </c>
      <c r="AJ1385">
        <v>3.634870052337646</v>
      </c>
      <c r="AK1385" t="s">
        <v>54</v>
      </c>
      <c r="AL1385" t="s">
        <v>54</v>
      </c>
      <c r="AM1385" t="s">
        <v>32</v>
      </c>
      <c r="AP1385" t="s">
        <v>32</v>
      </c>
      <c r="AQ1385" t="s">
        <v>54</v>
      </c>
      <c r="AR1385" t="s">
        <v>32</v>
      </c>
      <c r="AS1385" s="148">
        <v>43101</v>
      </c>
      <c r="AT1385" t="s">
        <v>7502</v>
      </c>
      <c r="AV1385" t="s">
        <v>32</v>
      </c>
      <c r="AW1385" t="s">
        <v>53</v>
      </c>
      <c r="AX1385" t="s">
        <v>32</v>
      </c>
      <c r="AZ1385" t="s">
        <v>54</v>
      </c>
      <c r="BA1385" t="s">
        <v>7437</v>
      </c>
    </row>
    <row r="1386" spans="1:53" x14ac:dyDescent="0.25">
      <c r="A1386">
        <v>1381</v>
      </c>
      <c r="B1386" t="s">
        <v>7503</v>
      </c>
      <c r="C1386" t="s">
        <v>7504</v>
      </c>
      <c r="D1386" t="s">
        <v>7505</v>
      </c>
      <c r="E1386">
        <v>8</v>
      </c>
      <c r="F1386" t="s">
        <v>7426</v>
      </c>
      <c r="G1386" t="s">
        <v>276</v>
      </c>
      <c r="H1386" t="s">
        <v>7451</v>
      </c>
      <c r="I1386" t="s">
        <v>7452</v>
      </c>
      <c r="J1386" t="s">
        <v>7453</v>
      </c>
      <c r="K1386" t="s">
        <v>7454</v>
      </c>
      <c r="L1386" t="s">
        <v>7432</v>
      </c>
      <c r="M1386">
        <v>42.756301879882813</v>
      </c>
      <c r="N1386" t="s">
        <v>54</v>
      </c>
      <c r="O1386" t="s">
        <v>54</v>
      </c>
      <c r="P1386" t="s">
        <v>54</v>
      </c>
      <c r="Q1386" t="s">
        <v>53</v>
      </c>
      <c r="R1386" t="s">
        <v>53</v>
      </c>
      <c r="S1386" t="s">
        <v>1783</v>
      </c>
      <c r="T1386" t="s">
        <v>1783</v>
      </c>
      <c r="U1386" t="s">
        <v>53</v>
      </c>
      <c r="V1386" t="s">
        <v>51</v>
      </c>
      <c r="W1386">
        <v>219000</v>
      </c>
      <c r="X1386" t="s">
        <v>54</v>
      </c>
      <c r="Y1386" t="s">
        <v>7446</v>
      </c>
      <c r="AA1386">
        <v>442</v>
      </c>
      <c r="AB1386">
        <v>350</v>
      </c>
      <c r="AC1386">
        <v>797</v>
      </c>
      <c r="AD1386">
        <v>835</v>
      </c>
      <c r="AE1386">
        <v>1403</v>
      </c>
      <c r="AF1386">
        <v>2</v>
      </c>
      <c r="AG1386">
        <v>0</v>
      </c>
      <c r="AH1386">
        <v>18.439199447631839</v>
      </c>
      <c r="AI1386">
        <v>96</v>
      </c>
      <c r="AJ1386">
        <v>1687.170043945312</v>
      </c>
      <c r="AK1386" t="s">
        <v>54</v>
      </c>
      <c r="AL1386" t="s">
        <v>53</v>
      </c>
      <c r="AM1386" t="s">
        <v>32</v>
      </c>
      <c r="AP1386" t="s">
        <v>32</v>
      </c>
      <c r="AQ1386" t="s">
        <v>53</v>
      </c>
      <c r="AR1386" t="s">
        <v>32</v>
      </c>
      <c r="AT1386" t="s">
        <v>7447</v>
      </c>
      <c r="AV1386" t="s">
        <v>32</v>
      </c>
      <c r="AW1386" t="s">
        <v>53</v>
      </c>
      <c r="AX1386" t="s">
        <v>32</v>
      </c>
      <c r="AZ1386" t="s">
        <v>54</v>
      </c>
      <c r="BA1386" t="s">
        <v>7437</v>
      </c>
    </row>
    <row r="1387" spans="1:53" x14ac:dyDescent="0.25">
      <c r="A1387">
        <v>1382</v>
      </c>
      <c r="B1387" t="s">
        <v>7506</v>
      </c>
      <c r="C1387" t="s">
        <v>7507</v>
      </c>
      <c r="D1387" t="s">
        <v>7508</v>
      </c>
      <c r="E1387">
        <v>8</v>
      </c>
      <c r="F1387" t="s">
        <v>7426</v>
      </c>
      <c r="G1387" t="s">
        <v>276</v>
      </c>
      <c r="H1387" t="s">
        <v>7509</v>
      </c>
      <c r="I1387" t="s">
        <v>7510</v>
      </c>
      <c r="J1387" t="s">
        <v>7511</v>
      </c>
      <c r="K1387" t="s">
        <v>7512</v>
      </c>
      <c r="L1387" t="s">
        <v>7480</v>
      </c>
      <c r="M1387">
        <v>1.019600033760071</v>
      </c>
      <c r="N1387" t="s">
        <v>54</v>
      </c>
      <c r="O1387" t="s">
        <v>53</v>
      </c>
      <c r="P1387" t="s">
        <v>53</v>
      </c>
      <c r="Q1387" t="s">
        <v>53</v>
      </c>
      <c r="R1387" t="s">
        <v>53</v>
      </c>
      <c r="S1387" t="s">
        <v>1579</v>
      </c>
      <c r="T1387" t="s">
        <v>1579</v>
      </c>
      <c r="U1387" t="s">
        <v>53</v>
      </c>
      <c r="V1387" t="s">
        <v>51</v>
      </c>
      <c r="W1387">
        <v>151000</v>
      </c>
      <c r="X1387" t="s">
        <v>54</v>
      </c>
      <c r="Y1387" t="s">
        <v>7446</v>
      </c>
      <c r="AA1387">
        <v>0</v>
      </c>
      <c r="AB1387">
        <v>0</v>
      </c>
      <c r="AC1387">
        <v>0</v>
      </c>
      <c r="AD1387">
        <v>0</v>
      </c>
      <c r="AE1387">
        <v>0</v>
      </c>
      <c r="AF1387">
        <v>0</v>
      </c>
      <c r="AG1387">
        <v>0</v>
      </c>
      <c r="AH1387">
        <v>0</v>
      </c>
      <c r="AI1387">
        <v>0</v>
      </c>
      <c r="AJ1387">
        <v>68.815200805664063</v>
      </c>
      <c r="AK1387" t="s">
        <v>54</v>
      </c>
      <c r="AL1387" t="s">
        <v>54</v>
      </c>
      <c r="AM1387" t="s">
        <v>32</v>
      </c>
      <c r="AP1387" t="s">
        <v>32</v>
      </c>
      <c r="AQ1387" t="s">
        <v>54</v>
      </c>
      <c r="AR1387" t="s">
        <v>32</v>
      </c>
      <c r="AS1387" s="148">
        <v>43831</v>
      </c>
      <c r="AT1387" t="s">
        <v>7513</v>
      </c>
      <c r="AV1387" t="s">
        <v>32</v>
      </c>
      <c r="AW1387" t="s">
        <v>53</v>
      </c>
      <c r="AX1387" t="s">
        <v>32</v>
      </c>
      <c r="AZ1387" t="s">
        <v>54</v>
      </c>
      <c r="BA1387" t="s">
        <v>7437</v>
      </c>
    </row>
    <row r="1388" spans="1:53" x14ac:dyDescent="0.25">
      <c r="A1388">
        <v>1383</v>
      </c>
      <c r="B1388" t="s">
        <v>7514</v>
      </c>
      <c r="C1388" t="s">
        <v>7515</v>
      </c>
      <c r="D1388" t="s">
        <v>7516</v>
      </c>
      <c r="E1388">
        <v>8</v>
      </c>
      <c r="F1388" t="s">
        <v>7426</v>
      </c>
      <c r="G1388" t="s">
        <v>276</v>
      </c>
      <c r="H1388" t="s">
        <v>7451</v>
      </c>
      <c r="I1388" t="s">
        <v>7498</v>
      </c>
      <c r="J1388" t="s">
        <v>7517</v>
      </c>
      <c r="K1388" t="s">
        <v>7454</v>
      </c>
      <c r="L1388" t="s">
        <v>7480</v>
      </c>
      <c r="M1388">
        <v>4.3626799583435059</v>
      </c>
      <c r="N1388" t="s">
        <v>54</v>
      </c>
      <c r="O1388" t="s">
        <v>53</v>
      </c>
      <c r="P1388" t="s">
        <v>53</v>
      </c>
      <c r="Q1388" t="s">
        <v>53</v>
      </c>
      <c r="R1388" t="s">
        <v>53</v>
      </c>
      <c r="S1388" t="s">
        <v>7500</v>
      </c>
      <c r="T1388" t="s">
        <v>7501</v>
      </c>
      <c r="U1388" t="s">
        <v>53</v>
      </c>
      <c r="V1388" t="s">
        <v>51</v>
      </c>
      <c r="W1388">
        <v>236000</v>
      </c>
      <c r="X1388" t="s">
        <v>54</v>
      </c>
      <c r="Y1388" t="s">
        <v>7446</v>
      </c>
      <c r="AA1388">
        <v>0</v>
      </c>
      <c r="AB1388">
        <v>0</v>
      </c>
      <c r="AC1388">
        <v>0</v>
      </c>
      <c r="AD1388">
        <v>0</v>
      </c>
      <c r="AE1388">
        <v>0</v>
      </c>
      <c r="AF1388">
        <v>0</v>
      </c>
      <c r="AG1388">
        <v>0</v>
      </c>
      <c r="AH1388">
        <v>0</v>
      </c>
      <c r="AI1388">
        <v>1</v>
      </c>
      <c r="AJ1388">
        <v>1.6785299777984619</v>
      </c>
      <c r="AK1388" t="s">
        <v>54</v>
      </c>
      <c r="AL1388" t="s">
        <v>54</v>
      </c>
      <c r="AM1388" t="s">
        <v>32</v>
      </c>
      <c r="AP1388" t="s">
        <v>32</v>
      </c>
      <c r="AQ1388" t="s">
        <v>54</v>
      </c>
      <c r="AR1388" t="s">
        <v>32</v>
      </c>
      <c r="AS1388" s="148">
        <v>37987</v>
      </c>
      <c r="AT1388" t="s">
        <v>7502</v>
      </c>
      <c r="AV1388" t="s">
        <v>32</v>
      </c>
      <c r="AW1388" t="s">
        <v>53</v>
      </c>
      <c r="AX1388" t="s">
        <v>32</v>
      </c>
      <c r="AZ1388" t="s">
        <v>54</v>
      </c>
      <c r="BA1388" t="s">
        <v>7437</v>
      </c>
    </row>
    <row r="1389" spans="1:53" x14ac:dyDescent="0.25">
      <c r="A1389">
        <v>1384</v>
      </c>
      <c r="B1389" t="s">
        <v>7518</v>
      </c>
      <c r="C1389" t="s">
        <v>7519</v>
      </c>
      <c r="D1389" t="s">
        <v>7520</v>
      </c>
      <c r="E1389">
        <v>8</v>
      </c>
      <c r="F1389" t="s">
        <v>7426</v>
      </c>
      <c r="G1389" t="s">
        <v>276</v>
      </c>
      <c r="H1389" t="s">
        <v>7451</v>
      </c>
      <c r="I1389" t="s">
        <v>7521</v>
      </c>
      <c r="J1389" t="s">
        <v>7522</v>
      </c>
      <c r="K1389" t="s">
        <v>7454</v>
      </c>
      <c r="L1389" t="s">
        <v>7480</v>
      </c>
      <c r="M1389">
        <v>13.971400260925289</v>
      </c>
      <c r="N1389" t="s">
        <v>54</v>
      </c>
      <c r="O1389" t="s">
        <v>53</v>
      </c>
      <c r="P1389" t="s">
        <v>54</v>
      </c>
      <c r="Q1389" t="s">
        <v>53</v>
      </c>
      <c r="R1389" t="s">
        <v>53</v>
      </c>
      <c r="S1389" t="s">
        <v>1579</v>
      </c>
      <c r="T1389" t="s">
        <v>1579</v>
      </c>
      <c r="U1389" t="s">
        <v>53</v>
      </c>
      <c r="V1389" t="s">
        <v>51</v>
      </c>
      <c r="W1389">
        <v>262000</v>
      </c>
      <c r="X1389" t="s">
        <v>54</v>
      </c>
      <c r="Y1389" t="s">
        <v>7446</v>
      </c>
      <c r="AA1389">
        <v>80</v>
      </c>
      <c r="AB1389">
        <v>47</v>
      </c>
      <c r="AC1389">
        <v>68</v>
      </c>
      <c r="AD1389">
        <v>141</v>
      </c>
      <c r="AE1389">
        <v>177</v>
      </c>
      <c r="AF1389">
        <v>0</v>
      </c>
      <c r="AG1389">
        <v>0</v>
      </c>
      <c r="AH1389">
        <v>1.644350051879883</v>
      </c>
      <c r="AI1389">
        <v>9</v>
      </c>
      <c r="AJ1389">
        <v>1414.099975585938</v>
      </c>
      <c r="AK1389" t="s">
        <v>54</v>
      </c>
      <c r="AL1389" t="s">
        <v>53</v>
      </c>
      <c r="AM1389" t="s">
        <v>32</v>
      </c>
      <c r="AP1389" t="s">
        <v>32</v>
      </c>
      <c r="AQ1389" t="s">
        <v>53</v>
      </c>
      <c r="AR1389" t="s">
        <v>32</v>
      </c>
      <c r="AT1389" t="s">
        <v>7523</v>
      </c>
      <c r="AV1389" t="s">
        <v>32</v>
      </c>
      <c r="AW1389" t="s">
        <v>53</v>
      </c>
      <c r="AX1389" t="s">
        <v>32</v>
      </c>
      <c r="AZ1389" t="s">
        <v>54</v>
      </c>
      <c r="BA1389" t="s">
        <v>7437</v>
      </c>
    </row>
    <row r="1390" spans="1:53" x14ac:dyDescent="0.25">
      <c r="A1390">
        <v>1385</v>
      </c>
      <c r="B1390" t="s">
        <v>7524</v>
      </c>
      <c r="C1390" t="s">
        <v>7525</v>
      </c>
      <c r="D1390" t="s">
        <v>7526</v>
      </c>
      <c r="E1390">
        <v>8</v>
      </c>
      <c r="F1390" t="s">
        <v>7426</v>
      </c>
      <c r="G1390" t="s">
        <v>7427</v>
      </c>
      <c r="H1390" t="s">
        <v>7441</v>
      </c>
      <c r="I1390" t="s">
        <v>7527</v>
      </c>
      <c r="J1390" t="s">
        <v>7528</v>
      </c>
      <c r="K1390" t="s">
        <v>7444</v>
      </c>
      <c r="L1390" t="s">
        <v>7480</v>
      </c>
      <c r="M1390">
        <v>59.388801574707031</v>
      </c>
      <c r="N1390" t="s">
        <v>54</v>
      </c>
      <c r="O1390" t="s">
        <v>53</v>
      </c>
      <c r="P1390" t="s">
        <v>53</v>
      </c>
      <c r="Q1390" t="s">
        <v>53</v>
      </c>
      <c r="R1390" t="s">
        <v>53</v>
      </c>
      <c r="S1390" t="s">
        <v>7529</v>
      </c>
      <c r="T1390" t="s">
        <v>7529</v>
      </c>
      <c r="U1390" t="s">
        <v>53</v>
      </c>
      <c r="V1390" t="s">
        <v>51</v>
      </c>
      <c r="W1390">
        <v>606000</v>
      </c>
      <c r="X1390" t="s">
        <v>54</v>
      </c>
      <c r="Y1390" t="s">
        <v>7465</v>
      </c>
      <c r="AA1390">
        <v>175</v>
      </c>
      <c r="AB1390">
        <v>123</v>
      </c>
      <c r="AC1390">
        <v>794</v>
      </c>
      <c r="AD1390">
        <v>1526</v>
      </c>
      <c r="AE1390">
        <v>1930</v>
      </c>
      <c r="AF1390">
        <v>0</v>
      </c>
      <c r="AG1390">
        <v>6</v>
      </c>
      <c r="AH1390">
        <v>18.656099319458011</v>
      </c>
      <c r="AI1390">
        <v>82</v>
      </c>
      <c r="AJ1390">
        <v>1791.969970703125</v>
      </c>
      <c r="AK1390" t="s">
        <v>54</v>
      </c>
      <c r="AL1390" t="s">
        <v>53</v>
      </c>
      <c r="AM1390" t="s">
        <v>32</v>
      </c>
      <c r="AP1390" t="s">
        <v>32</v>
      </c>
      <c r="AQ1390" t="s">
        <v>53</v>
      </c>
      <c r="AR1390" t="s">
        <v>32</v>
      </c>
      <c r="AT1390" t="s">
        <v>7436</v>
      </c>
      <c r="AV1390" t="s">
        <v>32</v>
      </c>
      <c r="AW1390" t="s">
        <v>53</v>
      </c>
      <c r="AX1390" t="s">
        <v>32</v>
      </c>
      <c r="AZ1390" t="s">
        <v>54</v>
      </c>
      <c r="BA1390" t="s">
        <v>7437</v>
      </c>
    </row>
    <row r="1391" spans="1:53" x14ac:dyDescent="0.25">
      <c r="A1391">
        <v>1386</v>
      </c>
      <c r="B1391" t="s">
        <v>7530</v>
      </c>
      <c r="C1391" t="s">
        <v>7531</v>
      </c>
      <c r="D1391" t="s">
        <v>7532</v>
      </c>
      <c r="E1391">
        <v>8</v>
      </c>
      <c r="F1391" t="s">
        <v>7426</v>
      </c>
      <c r="G1391" t="s">
        <v>7427</v>
      </c>
      <c r="H1391" t="s">
        <v>7441</v>
      </c>
      <c r="I1391" t="s">
        <v>7527</v>
      </c>
      <c r="J1391" t="s">
        <v>7528</v>
      </c>
      <c r="K1391" t="s">
        <v>7444</v>
      </c>
      <c r="L1391" t="s">
        <v>7480</v>
      </c>
      <c r="M1391">
        <v>59.388801574707031</v>
      </c>
      <c r="N1391" t="s">
        <v>54</v>
      </c>
      <c r="O1391" t="s">
        <v>53</v>
      </c>
      <c r="P1391" t="s">
        <v>53</v>
      </c>
      <c r="Q1391" t="s">
        <v>53</v>
      </c>
      <c r="R1391" t="s">
        <v>53</v>
      </c>
      <c r="S1391" t="s">
        <v>7529</v>
      </c>
      <c r="T1391" t="s">
        <v>7529</v>
      </c>
      <c r="U1391" t="s">
        <v>53</v>
      </c>
      <c r="V1391" t="s">
        <v>51</v>
      </c>
      <c r="W1391">
        <v>606000</v>
      </c>
      <c r="X1391" t="s">
        <v>54</v>
      </c>
      <c r="Y1391" t="s">
        <v>7465</v>
      </c>
      <c r="AA1391">
        <v>175</v>
      </c>
      <c r="AB1391">
        <v>123</v>
      </c>
      <c r="AC1391">
        <v>794</v>
      </c>
      <c r="AD1391">
        <v>1526</v>
      </c>
      <c r="AE1391">
        <v>1930</v>
      </c>
      <c r="AF1391">
        <v>0</v>
      </c>
      <c r="AG1391">
        <v>6</v>
      </c>
      <c r="AH1391">
        <v>18.656099319458011</v>
      </c>
      <c r="AI1391">
        <v>82</v>
      </c>
      <c r="AJ1391">
        <v>1791.969970703125</v>
      </c>
      <c r="AK1391" t="s">
        <v>54</v>
      </c>
      <c r="AL1391" t="s">
        <v>53</v>
      </c>
      <c r="AM1391" t="s">
        <v>32</v>
      </c>
      <c r="AP1391" t="s">
        <v>32</v>
      </c>
      <c r="AQ1391" t="s">
        <v>53</v>
      </c>
      <c r="AR1391" t="s">
        <v>32</v>
      </c>
      <c r="AT1391" t="s">
        <v>7436</v>
      </c>
      <c r="AV1391" t="s">
        <v>32</v>
      </c>
      <c r="AW1391" t="s">
        <v>53</v>
      </c>
      <c r="AX1391" t="s">
        <v>32</v>
      </c>
      <c r="AZ1391" t="s">
        <v>54</v>
      </c>
      <c r="BA1391" t="s">
        <v>7437</v>
      </c>
    </row>
    <row r="1392" spans="1:53" x14ac:dyDescent="0.25">
      <c r="A1392">
        <v>1387</v>
      </c>
      <c r="B1392" t="s">
        <v>7533</v>
      </c>
      <c r="C1392" t="s">
        <v>7534</v>
      </c>
      <c r="D1392" t="s">
        <v>7535</v>
      </c>
      <c r="E1392">
        <v>8</v>
      </c>
      <c r="F1392" t="s">
        <v>7426</v>
      </c>
      <c r="G1392" t="s">
        <v>7427</v>
      </c>
      <c r="H1392" t="s">
        <v>7441</v>
      </c>
      <c r="I1392" t="s">
        <v>7527</v>
      </c>
      <c r="J1392" t="s">
        <v>7528</v>
      </c>
      <c r="K1392" t="s">
        <v>7444</v>
      </c>
      <c r="L1392" t="s">
        <v>7480</v>
      </c>
      <c r="M1392">
        <v>59.388801574707031</v>
      </c>
      <c r="N1392" t="s">
        <v>54</v>
      </c>
      <c r="O1392" t="s">
        <v>53</v>
      </c>
      <c r="P1392" t="s">
        <v>54</v>
      </c>
      <c r="Q1392" t="s">
        <v>53</v>
      </c>
      <c r="R1392" t="s">
        <v>53</v>
      </c>
      <c r="S1392" t="s">
        <v>7529</v>
      </c>
      <c r="T1392" t="s">
        <v>7529</v>
      </c>
      <c r="U1392" t="s">
        <v>53</v>
      </c>
      <c r="V1392" t="s">
        <v>51</v>
      </c>
      <c r="W1392">
        <v>606000</v>
      </c>
      <c r="X1392" t="s">
        <v>54</v>
      </c>
      <c r="Y1392" t="s">
        <v>7465</v>
      </c>
      <c r="AA1392">
        <v>175</v>
      </c>
      <c r="AB1392">
        <v>123</v>
      </c>
      <c r="AC1392">
        <v>794</v>
      </c>
      <c r="AD1392">
        <v>1526</v>
      </c>
      <c r="AE1392">
        <v>1930</v>
      </c>
      <c r="AF1392">
        <v>0</v>
      </c>
      <c r="AG1392">
        <v>6</v>
      </c>
      <c r="AH1392">
        <v>18.656099319458011</v>
      </c>
      <c r="AI1392">
        <v>82</v>
      </c>
      <c r="AJ1392">
        <v>1791.969970703125</v>
      </c>
      <c r="AK1392" t="s">
        <v>54</v>
      </c>
      <c r="AL1392" t="s">
        <v>53</v>
      </c>
      <c r="AM1392" t="s">
        <v>32</v>
      </c>
      <c r="AP1392" t="s">
        <v>32</v>
      </c>
      <c r="AQ1392" t="s">
        <v>53</v>
      </c>
      <c r="AR1392" t="s">
        <v>32</v>
      </c>
      <c r="AT1392" t="s">
        <v>7436</v>
      </c>
      <c r="AV1392" t="s">
        <v>32</v>
      </c>
      <c r="AW1392" t="s">
        <v>53</v>
      </c>
      <c r="AX1392" t="s">
        <v>32</v>
      </c>
      <c r="AZ1392" t="s">
        <v>54</v>
      </c>
      <c r="BA1392" t="s">
        <v>7437</v>
      </c>
    </row>
    <row r="1393" spans="1:53" x14ac:dyDescent="0.25">
      <c r="A1393">
        <v>1388</v>
      </c>
      <c r="B1393" t="s">
        <v>7536</v>
      </c>
      <c r="C1393" t="s">
        <v>7537</v>
      </c>
      <c r="D1393" t="s">
        <v>7538</v>
      </c>
      <c r="E1393">
        <v>8</v>
      </c>
      <c r="F1393" t="s">
        <v>7426</v>
      </c>
      <c r="G1393" t="s">
        <v>276</v>
      </c>
      <c r="H1393" t="s">
        <v>7539</v>
      </c>
      <c r="I1393" t="s">
        <v>7540</v>
      </c>
      <c r="J1393" t="s">
        <v>7541</v>
      </c>
      <c r="K1393" t="s">
        <v>7454</v>
      </c>
      <c r="L1393" t="s">
        <v>7480</v>
      </c>
      <c r="M1393">
        <v>34.606498718261719</v>
      </c>
      <c r="N1393" t="s">
        <v>54</v>
      </c>
      <c r="O1393" t="s">
        <v>53</v>
      </c>
      <c r="P1393" t="s">
        <v>54</v>
      </c>
      <c r="Q1393" t="s">
        <v>53</v>
      </c>
      <c r="R1393" t="s">
        <v>53</v>
      </c>
      <c r="S1393" t="s">
        <v>1783</v>
      </c>
      <c r="T1393" t="s">
        <v>1783</v>
      </c>
      <c r="U1393" t="s">
        <v>53</v>
      </c>
      <c r="V1393" t="s">
        <v>51</v>
      </c>
      <c r="W1393">
        <v>111000</v>
      </c>
      <c r="X1393" t="s">
        <v>54</v>
      </c>
      <c r="Y1393" t="s">
        <v>7446</v>
      </c>
      <c r="AA1393">
        <v>1300</v>
      </c>
      <c r="AB1393">
        <v>1205</v>
      </c>
      <c r="AC1393">
        <v>2368</v>
      </c>
      <c r="AD1393">
        <v>4489</v>
      </c>
      <c r="AE1393">
        <v>5682</v>
      </c>
      <c r="AF1393">
        <v>2</v>
      </c>
      <c r="AG1393">
        <v>0</v>
      </c>
      <c r="AH1393">
        <v>19.322700500488281</v>
      </c>
      <c r="AI1393">
        <v>143</v>
      </c>
      <c r="AJ1393">
        <v>1142.650024414062</v>
      </c>
      <c r="AK1393" t="s">
        <v>54</v>
      </c>
      <c r="AL1393" t="s">
        <v>53</v>
      </c>
      <c r="AM1393" t="s">
        <v>32</v>
      </c>
      <c r="AP1393" t="s">
        <v>32</v>
      </c>
      <c r="AQ1393" t="s">
        <v>53</v>
      </c>
      <c r="AR1393" t="s">
        <v>32</v>
      </c>
      <c r="AT1393" t="s">
        <v>7542</v>
      </c>
      <c r="AV1393" t="s">
        <v>32</v>
      </c>
      <c r="AW1393" t="s">
        <v>53</v>
      </c>
      <c r="AX1393" t="s">
        <v>32</v>
      </c>
      <c r="AZ1393" t="s">
        <v>54</v>
      </c>
      <c r="BA1393" t="s">
        <v>7437</v>
      </c>
    </row>
    <row r="1394" spans="1:53" x14ac:dyDescent="0.25">
      <c r="A1394">
        <v>1389</v>
      </c>
      <c r="B1394" t="s">
        <v>7543</v>
      </c>
      <c r="C1394" t="s">
        <v>7544</v>
      </c>
      <c r="D1394" t="s">
        <v>7545</v>
      </c>
      <c r="E1394">
        <v>8</v>
      </c>
      <c r="F1394" t="s">
        <v>7426</v>
      </c>
      <c r="G1394" t="s">
        <v>276</v>
      </c>
      <c r="H1394" t="s">
        <v>7539</v>
      </c>
      <c r="I1394" t="s">
        <v>7540</v>
      </c>
      <c r="J1394" t="s">
        <v>7541</v>
      </c>
      <c r="K1394" t="s">
        <v>7454</v>
      </c>
      <c r="L1394" t="s">
        <v>7480</v>
      </c>
      <c r="M1394">
        <v>34.606498718261719</v>
      </c>
      <c r="N1394" t="s">
        <v>53</v>
      </c>
      <c r="O1394" t="s">
        <v>53</v>
      </c>
      <c r="P1394" t="s">
        <v>54</v>
      </c>
      <c r="Q1394" t="s">
        <v>53</v>
      </c>
      <c r="R1394" t="s">
        <v>53</v>
      </c>
      <c r="S1394" t="s">
        <v>1783</v>
      </c>
      <c r="T1394" t="s">
        <v>1783</v>
      </c>
      <c r="U1394" t="s">
        <v>53</v>
      </c>
      <c r="V1394" t="s">
        <v>51</v>
      </c>
      <c r="W1394">
        <v>348000</v>
      </c>
      <c r="X1394" t="s">
        <v>54</v>
      </c>
      <c r="Y1394" t="s">
        <v>7446</v>
      </c>
      <c r="AA1394">
        <v>1300</v>
      </c>
      <c r="AB1394">
        <v>1205</v>
      </c>
      <c r="AC1394">
        <v>2368</v>
      </c>
      <c r="AD1394">
        <v>4489</v>
      </c>
      <c r="AE1394">
        <v>5682</v>
      </c>
      <c r="AF1394">
        <v>2</v>
      </c>
      <c r="AG1394">
        <v>0</v>
      </c>
      <c r="AH1394">
        <v>19.322700500488281</v>
      </c>
      <c r="AI1394">
        <v>143</v>
      </c>
      <c r="AJ1394">
        <v>1142.650024414062</v>
      </c>
      <c r="AK1394" t="s">
        <v>54</v>
      </c>
      <c r="AL1394" t="s">
        <v>53</v>
      </c>
      <c r="AM1394" t="s">
        <v>32</v>
      </c>
      <c r="AP1394" t="s">
        <v>32</v>
      </c>
      <c r="AQ1394" t="s">
        <v>53</v>
      </c>
      <c r="AR1394" t="s">
        <v>32</v>
      </c>
      <c r="AT1394" t="s">
        <v>7542</v>
      </c>
      <c r="AV1394" t="s">
        <v>32</v>
      </c>
      <c r="AW1394" t="s">
        <v>53</v>
      </c>
      <c r="AX1394" t="s">
        <v>32</v>
      </c>
      <c r="AZ1394" t="s">
        <v>54</v>
      </c>
      <c r="BA1394" t="s">
        <v>7437</v>
      </c>
    </row>
    <row r="1395" spans="1:53" x14ac:dyDescent="0.25">
      <c r="A1395">
        <v>1390</v>
      </c>
      <c r="B1395" t="s">
        <v>7546</v>
      </c>
      <c r="C1395" t="s">
        <v>7547</v>
      </c>
      <c r="D1395" t="s">
        <v>7548</v>
      </c>
      <c r="E1395">
        <v>8</v>
      </c>
      <c r="F1395" t="s">
        <v>7426</v>
      </c>
      <c r="G1395" t="s">
        <v>7549</v>
      </c>
      <c r="H1395" t="s">
        <v>7550</v>
      </c>
      <c r="I1395" t="s">
        <v>7551</v>
      </c>
      <c r="J1395" t="s">
        <v>7552</v>
      </c>
      <c r="K1395" t="s">
        <v>7553</v>
      </c>
      <c r="L1395" t="s">
        <v>7480</v>
      </c>
      <c r="M1395">
        <v>8.7911100387573242</v>
      </c>
      <c r="N1395" t="s">
        <v>54</v>
      </c>
      <c r="O1395" t="s">
        <v>53</v>
      </c>
      <c r="P1395" t="s">
        <v>54</v>
      </c>
      <c r="Q1395" t="s">
        <v>53</v>
      </c>
      <c r="R1395" t="s">
        <v>53</v>
      </c>
      <c r="S1395" t="s">
        <v>7554</v>
      </c>
      <c r="T1395" t="s">
        <v>7554</v>
      </c>
      <c r="U1395" t="s">
        <v>53</v>
      </c>
      <c r="V1395" t="s">
        <v>51</v>
      </c>
      <c r="W1395">
        <v>111000</v>
      </c>
      <c r="X1395" t="s">
        <v>54</v>
      </c>
      <c r="Y1395" t="s">
        <v>7555</v>
      </c>
      <c r="AA1395">
        <v>66</v>
      </c>
      <c r="AB1395">
        <v>47</v>
      </c>
      <c r="AC1395">
        <v>67</v>
      </c>
      <c r="AD1395">
        <v>217</v>
      </c>
      <c r="AE1395">
        <v>233</v>
      </c>
      <c r="AF1395">
        <v>1</v>
      </c>
      <c r="AG1395">
        <v>8</v>
      </c>
      <c r="AH1395">
        <v>2.126060009002686</v>
      </c>
      <c r="AI1395">
        <v>19</v>
      </c>
      <c r="AJ1395">
        <v>75.054000854492188</v>
      </c>
      <c r="AK1395" t="s">
        <v>54</v>
      </c>
      <c r="AL1395" t="s">
        <v>53</v>
      </c>
      <c r="AM1395" t="s">
        <v>32</v>
      </c>
      <c r="AP1395" t="s">
        <v>32</v>
      </c>
      <c r="AQ1395" t="s">
        <v>53</v>
      </c>
      <c r="AR1395" t="s">
        <v>32</v>
      </c>
      <c r="AT1395" t="s">
        <v>7556</v>
      </c>
      <c r="AV1395" t="s">
        <v>32</v>
      </c>
      <c r="AW1395" t="s">
        <v>53</v>
      </c>
      <c r="AX1395" t="s">
        <v>32</v>
      </c>
      <c r="AZ1395" t="s">
        <v>54</v>
      </c>
      <c r="BA1395" t="s">
        <v>7437</v>
      </c>
    </row>
    <row r="1396" spans="1:53" x14ac:dyDescent="0.25">
      <c r="A1396">
        <v>1391</v>
      </c>
      <c r="B1396" t="s">
        <v>7557</v>
      </c>
      <c r="C1396" t="s">
        <v>7558</v>
      </c>
      <c r="D1396" t="s">
        <v>7559</v>
      </c>
      <c r="E1396">
        <v>8</v>
      </c>
      <c r="F1396" t="s">
        <v>7426</v>
      </c>
      <c r="G1396" t="s">
        <v>7427</v>
      </c>
      <c r="H1396" t="s">
        <v>7441</v>
      </c>
      <c r="I1396" t="s">
        <v>7560</v>
      </c>
      <c r="J1396" t="s">
        <v>7561</v>
      </c>
      <c r="K1396" t="s">
        <v>7444</v>
      </c>
      <c r="L1396" t="s">
        <v>7480</v>
      </c>
      <c r="M1396">
        <v>47.515499114990227</v>
      </c>
      <c r="N1396" t="s">
        <v>54</v>
      </c>
      <c r="O1396" t="s">
        <v>53</v>
      </c>
      <c r="P1396" t="s">
        <v>53</v>
      </c>
      <c r="Q1396" t="s">
        <v>53</v>
      </c>
      <c r="R1396" t="s">
        <v>53</v>
      </c>
      <c r="S1396" t="s">
        <v>7529</v>
      </c>
      <c r="T1396" t="s">
        <v>7529</v>
      </c>
      <c r="U1396" t="s">
        <v>53</v>
      </c>
      <c r="V1396" t="s">
        <v>51</v>
      </c>
      <c r="W1396">
        <v>556000</v>
      </c>
      <c r="X1396" t="s">
        <v>54</v>
      </c>
      <c r="Y1396" t="s">
        <v>7465</v>
      </c>
      <c r="AA1396">
        <v>366</v>
      </c>
      <c r="AB1396">
        <v>282</v>
      </c>
      <c r="AC1396">
        <v>537</v>
      </c>
      <c r="AD1396">
        <v>795</v>
      </c>
      <c r="AE1396">
        <v>1127</v>
      </c>
      <c r="AF1396">
        <v>0</v>
      </c>
      <c r="AG1396">
        <v>9</v>
      </c>
      <c r="AH1396">
        <v>19.273000717163089</v>
      </c>
      <c r="AI1396">
        <v>102</v>
      </c>
      <c r="AJ1396">
        <v>2627.06005859375</v>
      </c>
      <c r="AK1396" t="s">
        <v>54</v>
      </c>
      <c r="AL1396" t="s">
        <v>53</v>
      </c>
      <c r="AM1396" t="s">
        <v>32</v>
      </c>
      <c r="AP1396" t="s">
        <v>32</v>
      </c>
      <c r="AQ1396" t="s">
        <v>53</v>
      </c>
      <c r="AR1396" t="s">
        <v>32</v>
      </c>
      <c r="AT1396" t="s">
        <v>7436</v>
      </c>
      <c r="AV1396" t="s">
        <v>32</v>
      </c>
      <c r="AW1396" t="s">
        <v>53</v>
      </c>
      <c r="AX1396" t="s">
        <v>32</v>
      </c>
      <c r="AZ1396" t="s">
        <v>54</v>
      </c>
      <c r="BA1396" t="s">
        <v>7437</v>
      </c>
    </row>
    <row r="1397" spans="1:53" x14ac:dyDescent="0.25">
      <c r="A1397">
        <v>1392</v>
      </c>
      <c r="B1397" t="s">
        <v>7562</v>
      </c>
      <c r="C1397" t="s">
        <v>7563</v>
      </c>
      <c r="D1397" t="s">
        <v>7564</v>
      </c>
      <c r="E1397">
        <v>8</v>
      </c>
      <c r="F1397" t="s">
        <v>7426</v>
      </c>
      <c r="G1397" t="s">
        <v>7427</v>
      </c>
      <c r="H1397" t="s">
        <v>7441</v>
      </c>
      <c r="I1397" t="s">
        <v>7442</v>
      </c>
      <c r="J1397" t="s">
        <v>7565</v>
      </c>
      <c r="K1397" t="s">
        <v>7444</v>
      </c>
      <c r="L1397" t="s">
        <v>7480</v>
      </c>
      <c r="M1397">
        <v>10.78489971160889</v>
      </c>
      <c r="N1397" t="s">
        <v>54</v>
      </c>
      <c r="O1397" t="s">
        <v>53</v>
      </c>
      <c r="P1397" t="s">
        <v>54</v>
      </c>
      <c r="Q1397" t="s">
        <v>53</v>
      </c>
      <c r="R1397" t="s">
        <v>53</v>
      </c>
      <c r="S1397" t="s">
        <v>7566</v>
      </c>
      <c r="T1397" t="s">
        <v>7566</v>
      </c>
      <c r="U1397" t="s">
        <v>53</v>
      </c>
      <c r="V1397" t="s">
        <v>51</v>
      </c>
      <c r="W1397">
        <v>250000</v>
      </c>
      <c r="X1397" t="s">
        <v>54</v>
      </c>
      <c r="Y1397" t="s">
        <v>7435</v>
      </c>
      <c r="AA1397">
        <v>68</v>
      </c>
      <c r="AB1397">
        <v>43</v>
      </c>
      <c r="AC1397">
        <v>63</v>
      </c>
      <c r="AD1397">
        <v>122</v>
      </c>
      <c r="AE1397">
        <v>148</v>
      </c>
      <c r="AF1397">
        <v>0</v>
      </c>
      <c r="AG1397">
        <v>2</v>
      </c>
      <c r="AH1397">
        <v>1.441120028495789</v>
      </c>
      <c r="AI1397">
        <v>17</v>
      </c>
      <c r="AJ1397">
        <v>465.84600830078119</v>
      </c>
      <c r="AK1397" t="s">
        <v>54</v>
      </c>
      <c r="AL1397" t="s">
        <v>53</v>
      </c>
      <c r="AM1397" t="s">
        <v>32</v>
      </c>
      <c r="AP1397" t="s">
        <v>32</v>
      </c>
      <c r="AQ1397" t="s">
        <v>53</v>
      </c>
      <c r="AR1397" t="s">
        <v>32</v>
      </c>
      <c r="AT1397" t="s">
        <v>7436</v>
      </c>
      <c r="AV1397" t="s">
        <v>32</v>
      </c>
      <c r="AW1397" t="s">
        <v>53</v>
      </c>
      <c r="AX1397" t="s">
        <v>32</v>
      </c>
      <c r="AZ1397" t="s">
        <v>54</v>
      </c>
      <c r="BA1397" t="s">
        <v>7437</v>
      </c>
    </row>
    <row r="1398" spans="1:53" x14ac:dyDescent="0.25">
      <c r="A1398">
        <v>1393</v>
      </c>
      <c r="B1398" t="s">
        <v>7567</v>
      </c>
      <c r="C1398" t="s">
        <v>7568</v>
      </c>
      <c r="D1398" t="s">
        <v>7569</v>
      </c>
      <c r="E1398">
        <v>8</v>
      </c>
      <c r="F1398" t="s">
        <v>7426</v>
      </c>
      <c r="G1398" t="s">
        <v>7477</v>
      </c>
      <c r="H1398" t="s">
        <v>7441</v>
      </c>
      <c r="I1398" t="s">
        <v>7442</v>
      </c>
      <c r="J1398" t="s">
        <v>7494</v>
      </c>
      <c r="K1398" t="s">
        <v>7444</v>
      </c>
      <c r="L1398" t="s">
        <v>7480</v>
      </c>
      <c r="M1398">
        <v>27.75</v>
      </c>
      <c r="N1398" t="s">
        <v>54</v>
      </c>
      <c r="O1398" t="s">
        <v>53</v>
      </c>
      <c r="P1398" t="s">
        <v>53</v>
      </c>
      <c r="Q1398" t="s">
        <v>53</v>
      </c>
      <c r="R1398" t="s">
        <v>53</v>
      </c>
      <c r="S1398" t="s">
        <v>7481</v>
      </c>
      <c r="T1398" t="s">
        <v>7481</v>
      </c>
      <c r="U1398" t="s">
        <v>53</v>
      </c>
      <c r="V1398" t="s">
        <v>51</v>
      </c>
      <c r="W1398">
        <v>877000</v>
      </c>
      <c r="X1398" t="s">
        <v>54</v>
      </c>
      <c r="Y1398" t="s">
        <v>7465</v>
      </c>
      <c r="AA1398">
        <v>224</v>
      </c>
      <c r="AB1398">
        <v>195</v>
      </c>
      <c r="AC1398">
        <v>1458</v>
      </c>
      <c r="AD1398">
        <v>838</v>
      </c>
      <c r="AE1398">
        <v>2120</v>
      </c>
      <c r="AF1398">
        <v>0</v>
      </c>
      <c r="AG1398">
        <v>13</v>
      </c>
      <c r="AH1398">
        <v>7.2137198448181152</v>
      </c>
      <c r="AI1398">
        <v>44</v>
      </c>
      <c r="AJ1398">
        <v>151.1499938964844</v>
      </c>
      <c r="AK1398" t="s">
        <v>54</v>
      </c>
      <c r="AL1398" t="s">
        <v>53</v>
      </c>
      <c r="AM1398" t="s">
        <v>32</v>
      </c>
      <c r="AP1398" t="s">
        <v>32</v>
      </c>
      <c r="AQ1398" t="s">
        <v>53</v>
      </c>
      <c r="AR1398" t="s">
        <v>32</v>
      </c>
      <c r="AT1398" t="s">
        <v>7436</v>
      </c>
      <c r="AV1398" t="s">
        <v>32</v>
      </c>
      <c r="AW1398" t="s">
        <v>53</v>
      </c>
      <c r="AX1398" t="s">
        <v>32</v>
      </c>
      <c r="AZ1398" t="s">
        <v>54</v>
      </c>
      <c r="BA1398" t="s">
        <v>7437</v>
      </c>
    </row>
    <row r="1399" spans="1:53" x14ac:dyDescent="0.25">
      <c r="A1399">
        <v>1394</v>
      </c>
      <c r="B1399" t="s">
        <v>7570</v>
      </c>
      <c r="C1399" t="s">
        <v>7571</v>
      </c>
      <c r="D1399" t="s">
        <v>7572</v>
      </c>
      <c r="E1399">
        <v>8</v>
      </c>
      <c r="F1399" t="s">
        <v>7426</v>
      </c>
      <c r="G1399" t="s">
        <v>7477</v>
      </c>
      <c r="H1399" t="s">
        <v>7441</v>
      </c>
      <c r="I1399" t="s">
        <v>7442</v>
      </c>
      <c r="J1399" t="s">
        <v>7494</v>
      </c>
      <c r="K1399" t="s">
        <v>7444</v>
      </c>
      <c r="L1399" t="s">
        <v>7480</v>
      </c>
      <c r="M1399">
        <v>27.75</v>
      </c>
      <c r="N1399" t="s">
        <v>54</v>
      </c>
      <c r="O1399" t="s">
        <v>53</v>
      </c>
      <c r="P1399" t="s">
        <v>53</v>
      </c>
      <c r="Q1399" t="s">
        <v>53</v>
      </c>
      <c r="R1399" t="s">
        <v>53</v>
      </c>
      <c r="S1399" t="s">
        <v>7566</v>
      </c>
      <c r="T1399" t="s">
        <v>7566</v>
      </c>
      <c r="U1399" t="s">
        <v>53</v>
      </c>
      <c r="V1399" t="s">
        <v>51</v>
      </c>
      <c r="W1399">
        <v>1000000</v>
      </c>
      <c r="X1399" t="s">
        <v>54</v>
      </c>
      <c r="Y1399" t="s">
        <v>7435</v>
      </c>
      <c r="AA1399">
        <v>224</v>
      </c>
      <c r="AB1399">
        <v>195</v>
      </c>
      <c r="AC1399">
        <v>1458</v>
      </c>
      <c r="AD1399">
        <v>838</v>
      </c>
      <c r="AE1399">
        <v>2120</v>
      </c>
      <c r="AF1399">
        <v>1</v>
      </c>
      <c r="AG1399">
        <v>13</v>
      </c>
      <c r="AH1399">
        <v>7.2137198448181152</v>
      </c>
      <c r="AI1399">
        <v>44</v>
      </c>
      <c r="AJ1399">
        <v>151.1499938964844</v>
      </c>
      <c r="AK1399" t="s">
        <v>54</v>
      </c>
      <c r="AL1399" t="s">
        <v>53</v>
      </c>
      <c r="AM1399" t="s">
        <v>32</v>
      </c>
      <c r="AP1399" t="s">
        <v>32</v>
      </c>
      <c r="AQ1399" t="s">
        <v>53</v>
      </c>
      <c r="AR1399" t="s">
        <v>32</v>
      </c>
      <c r="AT1399" t="s">
        <v>7436</v>
      </c>
      <c r="AV1399" t="s">
        <v>32</v>
      </c>
      <c r="AW1399" t="s">
        <v>53</v>
      </c>
      <c r="AX1399" t="s">
        <v>32</v>
      </c>
      <c r="AZ1399" t="s">
        <v>54</v>
      </c>
      <c r="BA1399" t="s">
        <v>7437</v>
      </c>
    </row>
    <row r="1400" spans="1:53" x14ac:dyDescent="0.25">
      <c r="A1400">
        <v>1395</v>
      </c>
      <c r="B1400" t="s">
        <v>7573</v>
      </c>
      <c r="C1400" t="s">
        <v>7574</v>
      </c>
      <c r="D1400" t="s">
        <v>7575</v>
      </c>
      <c r="E1400">
        <v>8</v>
      </c>
      <c r="F1400" t="s">
        <v>7426</v>
      </c>
      <c r="G1400" t="s">
        <v>7427</v>
      </c>
      <c r="H1400" t="s">
        <v>7441</v>
      </c>
      <c r="I1400" t="s">
        <v>7442</v>
      </c>
      <c r="J1400" t="s">
        <v>7576</v>
      </c>
      <c r="K1400" t="s">
        <v>7444</v>
      </c>
      <c r="L1400" t="s">
        <v>7480</v>
      </c>
      <c r="M1400">
        <v>24.26040077209473</v>
      </c>
      <c r="N1400" t="s">
        <v>54</v>
      </c>
      <c r="O1400" t="s">
        <v>53</v>
      </c>
      <c r="P1400" t="s">
        <v>53</v>
      </c>
      <c r="Q1400" t="s">
        <v>53</v>
      </c>
      <c r="R1400" t="s">
        <v>53</v>
      </c>
      <c r="S1400" t="s">
        <v>7566</v>
      </c>
      <c r="T1400" t="s">
        <v>7566</v>
      </c>
      <c r="U1400" t="s">
        <v>53</v>
      </c>
      <c r="V1400" t="s">
        <v>51</v>
      </c>
      <c r="W1400">
        <v>148000</v>
      </c>
      <c r="X1400" t="s">
        <v>54</v>
      </c>
      <c r="Y1400" t="s">
        <v>7435</v>
      </c>
      <c r="AA1400">
        <v>28</v>
      </c>
      <c r="AB1400">
        <v>11</v>
      </c>
      <c r="AC1400">
        <v>91</v>
      </c>
      <c r="AD1400">
        <v>39</v>
      </c>
      <c r="AE1400">
        <v>121</v>
      </c>
      <c r="AF1400">
        <v>0</v>
      </c>
      <c r="AG1400">
        <v>0</v>
      </c>
      <c r="AH1400">
        <v>0.86785197257995605</v>
      </c>
      <c r="AI1400">
        <v>12</v>
      </c>
      <c r="AJ1400">
        <v>399.3900146484375</v>
      </c>
      <c r="AK1400" t="s">
        <v>54</v>
      </c>
      <c r="AL1400" t="s">
        <v>53</v>
      </c>
      <c r="AM1400" t="s">
        <v>32</v>
      </c>
      <c r="AP1400" t="s">
        <v>32</v>
      </c>
      <c r="AQ1400" t="s">
        <v>53</v>
      </c>
      <c r="AR1400" t="s">
        <v>32</v>
      </c>
      <c r="AT1400" t="s">
        <v>7577</v>
      </c>
      <c r="AV1400" t="s">
        <v>32</v>
      </c>
      <c r="AW1400" t="s">
        <v>53</v>
      </c>
      <c r="AX1400" t="s">
        <v>32</v>
      </c>
      <c r="AZ1400" t="s">
        <v>54</v>
      </c>
      <c r="BA1400" t="s">
        <v>7437</v>
      </c>
    </row>
    <row r="1401" spans="1:53" x14ac:dyDescent="0.25">
      <c r="A1401">
        <v>1396</v>
      </c>
      <c r="B1401" t="s">
        <v>7578</v>
      </c>
      <c r="C1401" t="s">
        <v>7579</v>
      </c>
      <c r="D1401" t="s">
        <v>7580</v>
      </c>
      <c r="E1401">
        <v>8</v>
      </c>
      <c r="F1401" t="s">
        <v>7426</v>
      </c>
      <c r="G1401" t="s">
        <v>7427</v>
      </c>
      <c r="H1401" t="s">
        <v>7441</v>
      </c>
      <c r="I1401" t="s">
        <v>7442</v>
      </c>
      <c r="J1401" t="s">
        <v>7565</v>
      </c>
      <c r="K1401" t="s">
        <v>7444</v>
      </c>
      <c r="L1401" t="s">
        <v>7480</v>
      </c>
      <c r="M1401">
        <v>12.425399780273439</v>
      </c>
      <c r="N1401" t="s">
        <v>54</v>
      </c>
      <c r="O1401" t="s">
        <v>53</v>
      </c>
      <c r="P1401" t="s">
        <v>54</v>
      </c>
      <c r="Q1401" t="s">
        <v>53</v>
      </c>
      <c r="R1401" t="s">
        <v>53</v>
      </c>
      <c r="S1401" t="s">
        <v>7566</v>
      </c>
      <c r="T1401" t="s">
        <v>7566</v>
      </c>
      <c r="U1401" t="s">
        <v>53</v>
      </c>
      <c r="V1401" t="s">
        <v>51</v>
      </c>
      <c r="W1401">
        <v>250000</v>
      </c>
      <c r="X1401" t="s">
        <v>54</v>
      </c>
      <c r="Y1401" t="s">
        <v>7435</v>
      </c>
      <c r="AA1401">
        <v>8</v>
      </c>
      <c r="AB1401">
        <v>3</v>
      </c>
      <c r="AC1401">
        <v>216</v>
      </c>
      <c r="AD1401">
        <v>4</v>
      </c>
      <c r="AE1401">
        <v>219</v>
      </c>
      <c r="AF1401">
        <v>0</v>
      </c>
      <c r="AG1401">
        <v>2</v>
      </c>
      <c r="AH1401">
        <v>0.74190002679824829</v>
      </c>
      <c r="AI1401">
        <v>9</v>
      </c>
      <c r="AJ1401">
        <v>426.5570068359375</v>
      </c>
      <c r="AK1401" t="s">
        <v>54</v>
      </c>
      <c r="AL1401" t="s">
        <v>53</v>
      </c>
      <c r="AM1401" t="s">
        <v>32</v>
      </c>
      <c r="AP1401" t="s">
        <v>32</v>
      </c>
      <c r="AQ1401" t="s">
        <v>53</v>
      </c>
      <c r="AR1401" t="s">
        <v>32</v>
      </c>
      <c r="AT1401" t="s">
        <v>7436</v>
      </c>
      <c r="AV1401" t="s">
        <v>32</v>
      </c>
      <c r="AW1401" t="s">
        <v>53</v>
      </c>
      <c r="AX1401" t="s">
        <v>32</v>
      </c>
      <c r="AZ1401" t="s">
        <v>54</v>
      </c>
      <c r="BA1401" t="s">
        <v>7437</v>
      </c>
    </row>
    <row r="1402" spans="1:53" x14ac:dyDescent="0.25">
      <c r="A1402">
        <v>1397</v>
      </c>
      <c r="B1402" t="s">
        <v>7581</v>
      </c>
      <c r="C1402" t="s">
        <v>7582</v>
      </c>
      <c r="D1402" t="s">
        <v>7583</v>
      </c>
      <c r="E1402">
        <v>8</v>
      </c>
      <c r="F1402" t="s">
        <v>7426</v>
      </c>
      <c r="G1402" t="s">
        <v>7427</v>
      </c>
      <c r="H1402" t="s">
        <v>7441</v>
      </c>
      <c r="I1402" t="s">
        <v>7442</v>
      </c>
      <c r="J1402" t="s">
        <v>7576</v>
      </c>
      <c r="K1402" t="s">
        <v>7444</v>
      </c>
      <c r="L1402" t="s">
        <v>7480</v>
      </c>
      <c r="M1402">
        <v>24.26040077209473</v>
      </c>
      <c r="N1402" t="s">
        <v>54</v>
      </c>
      <c r="O1402" t="s">
        <v>53</v>
      </c>
      <c r="P1402" t="s">
        <v>54</v>
      </c>
      <c r="Q1402" t="s">
        <v>53</v>
      </c>
      <c r="R1402" t="s">
        <v>53</v>
      </c>
      <c r="S1402" t="s">
        <v>7566</v>
      </c>
      <c r="T1402" t="s">
        <v>7566</v>
      </c>
      <c r="U1402" t="s">
        <v>53</v>
      </c>
      <c r="V1402" t="s">
        <v>51</v>
      </c>
      <c r="W1402">
        <v>250000</v>
      </c>
      <c r="X1402" t="s">
        <v>54</v>
      </c>
      <c r="Y1402" t="s">
        <v>7435</v>
      </c>
      <c r="AA1402">
        <v>28</v>
      </c>
      <c r="AB1402">
        <v>11</v>
      </c>
      <c r="AC1402">
        <v>91</v>
      </c>
      <c r="AD1402">
        <v>39</v>
      </c>
      <c r="AE1402">
        <v>121</v>
      </c>
      <c r="AF1402">
        <v>0</v>
      </c>
      <c r="AG1402">
        <v>0</v>
      </c>
      <c r="AH1402">
        <v>0.86785197257995605</v>
      </c>
      <c r="AI1402">
        <v>12</v>
      </c>
      <c r="AJ1402">
        <v>399.3900146484375</v>
      </c>
      <c r="AK1402" t="s">
        <v>54</v>
      </c>
      <c r="AL1402" t="s">
        <v>53</v>
      </c>
      <c r="AM1402" t="s">
        <v>32</v>
      </c>
      <c r="AP1402" t="s">
        <v>32</v>
      </c>
      <c r="AQ1402" t="s">
        <v>53</v>
      </c>
      <c r="AR1402" t="s">
        <v>32</v>
      </c>
      <c r="AT1402" t="s">
        <v>7436</v>
      </c>
      <c r="AV1402" t="s">
        <v>32</v>
      </c>
      <c r="AW1402" t="s">
        <v>53</v>
      </c>
      <c r="AX1402" t="s">
        <v>32</v>
      </c>
      <c r="AZ1402" t="s">
        <v>54</v>
      </c>
      <c r="BA1402" t="s">
        <v>7437</v>
      </c>
    </row>
    <row r="1403" spans="1:53" x14ac:dyDescent="0.25">
      <c r="A1403">
        <v>1398</v>
      </c>
      <c r="B1403" t="s">
        <v>7584</v>
      </c>
      <c r="C1403" t="s">
        <v>7585</v>
      </c>
      <c r="D1403" t="s">
        <v>7586</v>
      </c>
      <c r="E1403">
        <v>8</v>
      </c>
      <c r="F1403" t="s">
        <v>7426</v>
      </c>
      <c r="G1403" t="s">
        <v>7549</v>
      </c>
      <c r="H1403" t="s">
        <v>7587</v>
      </c>
      <c r="I1403" t="s">
        <v>7588</v>
      </c>
      <c r="J1403" t="s">
        <v>7589</v>
      </c>
      <c r="K1403" t="s">
        <v>7463</v>
      </c>
      <c r="L1403" t="s">
        <v>7432</v>
      </c>
      <c r="M1403">
        <v>2.8106200695037842</v>
      </c>
      <c r="N1403" t="s">
        <v>54</v>
      </c>
      <c r="O1403" t="s">
        <v>53</v>
      </c>
      <c r="P1403" t="s">
        <v>53</v>
      </c>
      <c r="Q1403" t="s">
        <v>53</v>
      </c>
      <c r="R1403" t="s">
        <v>53</v>
      </c>
      <c r="S1403" t="s">
        <v>7590</v>
      </c>
      <c r="T1403" t="s">
        <v>7590</v>
      </c>
      <c r="U1403" t="s">
        <v>53</v>
      </c>
      <c r="V1403" t="s">
        <v>51</v>
      </c>
      <c r="W1403">
        <v>364000</v>
      </c>
      <c r="X1403" t="s">
        <v>54</v>
      </c>
      <c r="Y1403" t="s">
        <v>7465</v>
      </c>
      <c r="AA1403">
        <v>100</v>
      </c>
      <c r="AB1403">
        <v>93</v>
      </c>
      <c r="AC1403">
        <v>69</v>
      </c>
      <c r="AD1403">
        <v>191</v>
      </c>
      <c r="AE1403">
        <v>242</v>
      </c>
      <c r="AF1403">
        <v>0</v>
      </c>
      <c r="AG1403">
        <v>5</v>
      </c>
      <c r="AH1403">
        <v>1.894590020179749</v>
      </c>
      <c r="AI1403">
        <v>15</v>
      </c>
      <c r="AJ1403">
        <v>7.3764700889587402</v>
      </c>
      <c r="AK1403" t="s">
        <v>54</v>
      </c>
      <c r="AL1403" t="s">
        <v>53</v>
      </c>
      <c r="AM1403" t="s">
        <v>32</v>
      </c>
      <c r="AP1403" t="s">
        <v>32</v>
      </c>
      <c r="AQ1403" t="s">
        <v>53</v>
      </c>
      <c r="AR1403" t="s">
        <v>32</v>
      </c>
      <c r="AT1403" t="s">
        <v>7455</v>
      </c>
      <c r="AV1403" t="s">
        <v>32</v>
      </c>
      <c r="AW1403" t="s">
        <v>53</v>
      </c>
      <c r="AX1403" t="s">
        <v>32</v>
      </c>
      <c r="AZ1403" t="s">
        <v>54</v>
      </c>
      <c r="BA1403" t="s">
        <v>7437</v>
      </c>
    </row>
    <row r="1404" spans="1:53" x14ac:dyDescent="0.25">
      <c r="A1404">
        <v>1399</v>
      </c>
      <c r="B1404" t="s">
        <v>7591</v>
      </c>
      <c r="C1404" t="s">
        <v>7592</v>
      </c>
      <c r="D1404" t="s">
        <v>7593</v>
      </c>
      <c r="E1404">
        <v>8</v>
      </c>
      <c r="F1404" t="s">
        <v>7426</v>
      </c>
      <c r="G1404" t="s">
        <v>7549</v>
      </c>
      <c r="H1404" t="s">
        <v>7550</v>
      </c>
      <c r="I1404" t="s">
        <v>7551</v>
      </c>
      <c r="J1404" t="s">
        <v>7594</v>
      </c>
      <c r="K1404" t="s">
        <v>7553</v>
      </c>
      <c r="L1404" t="s">
        <v>7432</v>
      </c>
      <c r="M1404">
        <v>6.570620059967041</v>
      </c>
      <c r="N1404" t="s">
        <v>54</v>
      </c>
      <c r="O1404" t="s">
        <v>53</v>
      </c>
      <c r="P1404" t="s">
        <v>53</v>
      </c>
      <c r="Q1404" t="s">
        <v>53</v>
      </c>
      <c r="R1404" t="s">
        <v>53</v>
      </c>
      <c r="S1404" t="s">
        <v>7590</v>
      </c>
      <c r="T1404" t="s">
        <v>7590</v>
      </c>
      <c r="U1404" t="s">
        <v>53</v>
      </c>
      <c r="V1404" t="s">
        <v>51</v>
      </c>
      <c r="W1404">
        <v>514000</v>
      </c>
      <c r="X1404" t="s">
        <v>54</v>
      </c>
      <c r="Y1404" t="s">
        <v>7465</v>
      </c>
      <c r="AA1404">
        <v>348</v>
      </c>
      <c r="AB1404">
        <v>254</v>
      </c>
      <c r="AC1404">
        <v>981</v>
      </c>
      <c r="AD1404">
        <v>1235</v>
      </c>
      <c r="AE1404">
        <v>1697</v>
      </c>
      <c r="AF1404">
        <v>2</v>
      </c>
      <c r="AG1404">
        <v>9</v>
      </c>
      <c r="AH1404">
        <v>4.3193001747131348</v>
      </c>
      <c r="AI1404">
        <v>47</v>
      </c>
      <c r="AJ1404">
        <v>0.30882900953292852</v>
      </c>
      <c r="AK1404" t="s">
        <v>54</v>
      </c>
      <c r="AL1404" t="s">
        <v>53</v>
      </c>
      <c r="AM1404" t="s">
        <v>32</v>
      </c>
      <c r="AP1404" t="s">
        <v>32</v>
      </c>
      <c r="AQ1404" t="s">
        <v>53</v>
      </c>
      <c r="AR1404" t="s">
        <v>32</v>
      </c>
      <c r="AT1404" t="s">
        <v>7455</v>
      </c>
      <c r="AV1404" t="s">
        <v>32</v>
      </c>
      <c r="AW1404" t="s">
        <v>53</v>
      </c>
      <c r="AX1404" t="s">
        <v>32</v>
      </c>
      <c r="AZ1404" t="s">
        <v>54</v>
      </c>
      <c r="BA1404" t="s">
        <v>7437</v>
      </c>
    </row>
    <row r="1405" spans="1:53" x14ac:dyDescent="0.25">
      <c r="A1405">
        <v>1400</v>
      </c>
      <c r="B1405" t="s">
        <v>7595</v>
      </c>
      <c r="C1405" t="s">
        <v>7596</v>
      </c>
      <c r="D1405" t="s">
        <v>7597</v>
      </c>
      <c r="E1405">
        <v>8</v>
      </c>
      <c r="F1405" t="s">
        <v>7426</v>
      </c>
      <c r="G1405" t="s">
        <v>7549</v>
      </c>
      <c r="H1405" t="s">
        <v>7587</v>
      </c>
      <c r="I1405" t="s">
        <v>7598</v>
      </c>
      <c r="J1405" t="s">
        <v>7599</v>
      </c>
      <c r="K1405" t="s">
        <v>7463</v>
      </c>
      <c r="L1405" t="s">
        <v>7432</v>
      </c>
      <c r="M1405">
        <v>1.5740000009536741</v>
      </c>
      <c r="N1405" t="s">
        <v>53</v>
      </c>
      <c r="O1405" t="s">
        <v>53</v>
      </c>
      <c r="P1405" t="s">
        <v>54</v>
      </c>
      <c r="Q1405" t="s">
        <v>53</v>
      </c>
      <c r="R1405" t="s">
        <v>53</v>
      </c>
      <c r="S1405" t="s">
        <v>7590</v>
      </c>
      <c r="T1405" t="s">
        <v>7590</v>
      </c>
      <c r="U1405" t="s">
        <v>53</v>
      </c>
      <c r="V1405" t="s">
        <v>51</v>
      </c>
      <c r="W1405">
        <v>221000</v>
      </c>
      <c r="X1405" t="s">
        <v>54</v>
      </c>
      <c r="Y1405" t="s">
        <v>7465</v>
      </c>
      <c r="AA1405">
        <v>39</v>
      </c>
      <c r="AB1405">
        <v>31</v>
      </c>
      <c r="AC1405">
        <v>10</v>
      </c>
      <c r="AD1405">
        <v>11</v>
      </c>
      <c r="AE1405">
        <v>21</v>
      </c>
      <c r="AF1405">
        <v>0</v>
      </c>
      <c r="AG1405">
        <v>0</v>
      </c>
      <c r="AH1405">
        <v>0.21264499425888059</v>
      </c>
      <c r="AI1405">
        <v>6</v>
      </c>
      <c r="AJ1405">
        <v>63.979198455810547</v>
      </c>
      <c r="AK1405" t="s">
        <v>54</v>
      </c>
      <c r="AL1405" t="s">
        <v>53</v>
      </c>
      <c r="AM1405" t="s">
        <v>32</v>
      </c>
      <c r="AP1405" t="s">
        <v>32</v>
      </c>
      <c r="AQ1405" t="s">
        <v>53</v>
      </c>
      <c r="AR1405" t="s">
        <v>32</v>
      </c>
      <c r="AT1405" t="s">
        <v>7455</v>
      </c>
      <c r="AV1405" t="s">
        <v>32</v>
      </c>
      <c r="AW1405" t="s">
        <v>53</v>
      </c>
      <c r="AX1405" t="s">
        <v>32</v>
      </c>
      <c r="AZ1405" t="s">
        <v>54</v>
      </c>
      <c r="BA1405" t="s">
        <v>7437</v>
      </c>
    </row>
    <row r="1406" spans="1:53" x14ac:dyDescent="0.25">
      <c r="A1406">
        <v>1401</v>
      </c>
      <c r="B1406" t="s">
        <v>7600</v>
      </c>
      <c r="C1406" t="s">
        <v>7601</v>
      </c>
      <c r="D1406" t="s">
        <v>7602</v>
      </c>
      <c r="E1406">
        <v>8</v>
      </c>
      <c r="F1406" t="s">
        <v>7426</v>
      </c>
      <c r="G1406" t="s">
        <v>7549</v>
      </c>
      <c r="H1406" t="s">
        <v>7587</v>
      </c>
      <c r="I1406" t="s">
        <v>7598</v>
      </c>
      <c r="J1406" t="s">
        <v>7599</v>
      </c>
      <c r="K1406" t="s">
        <v>7553</v>
      </c>
      <c r="L1406" t="s">
        <v>7432</v>
      </c>
      <c r="M1406">
        <v>8.9674997329711914</v>
      </c>
      <c r="N1406" t="s">
        <v>54</v>
      </c>
      <c r="O1406" t="s">
        <v>53</v>
      </c>
      <c r="P1406" t="s">
        <v>53</v>
      </c>
      <c r="Q1406" t="s">
        <v>53</v>
      </c>
      <c r="R1406" t="s">
        <v>53</v>
      </c>
      <c r="S1406" t="s">
        <v>7590</v>
      </c>
      <c r="T1406" t="s">
        <v>7590</v>
      </c>
      <c r="U1406" t="s">
        <v>53</v>
      </c>
      <c r="V1406" t="s">
        <v>51</v>
      </c>
      <c r="W1406">
        <v>108000</v>
      </c>
      <c r="X1406" t="s">
        <v>54</v>
      </c>
      <c r="Y1406" t="s">
        <v>7465</v>
      </c>
      <c r="AA1406">
        <v>158</v>
      </c>
      <c r="AB1406">
        <v>133</v>
      </c>
      <c r="AC1406">
        <v>485</v>
      </c>
      <c r="AD1406">
        <v>427</v>
      </c>
      <c r="AE1406">
        <v>848</v>
      </c>
      <c r="AF1406">
        <v>1</v>
      </c>
      <c r="AG1406">
        <v>2</v>
      </c>
      <c r="AH1406">
        <v>3.063940048217773</v>
      </c>
      <c r="AI1406">
        <v>27</v>
      </c>
      <c r="AJ1406">
        <v>181.53999328613281</v>
      </c>
      <c r="AK1406" t="s">
        <v>54</v>
      </c>
      <c r="AL1406" t="s">
        <v>53</v>
      </c>
      <c r="AM1406" t="s">
        <v>32</v>
      </c>
      <c r="AP1406" t="s">
        <v>32</v>
      </c>
      <c r="AQ1406" t="s">
        <v>53</v>
      </c>
      <c r="AR1406" t="s">
        <v>32</v>
      </c>
      <c r="AT1406" t="s">
        <v>7455</v>
      </c>
      <c r="AV1406" t="s">
        <v>32</v>
      </c>
      <c r="AW1406" t="s">
        <v>53</v>
      </c>
      <c r="AX1406" t="s">
        <v>32</v>
      </c>
      <c r="AZ1406" t="s">
        <v>54</v>
      </c>
      <c r="BA1406" t="s">
        <v>7437</v>
      </c>
    </row>
    <row r="1407" spans="1:53" x14ac:dyDescent="0.25">
      <c r="A1407">
        <v>1402</v>
      </c>
      <c r="B1407" t="s">
        <v>7603</v>
      </c>
      <c r="C1407" t="s">
        <v>7604</v>
      </c>
      <c r="D1407" t="s">
        <v>7605</v>
      </c>
      <c r="E1407">
        <v>8</v>
      </c>
      <c r="F1407" t="s">
        <v>7426</v>
      </c>
      <c r="G1407" t="s">
        <v>7549</v>
      </c>
      <c r="H1407" t="s">
        <v>7550</v>
      </c>
      <c r="I1407" t="s">
        <v>7551</v>
      </c>
      <c r="J1407" t="s">
        <v>7606</v>
      </c>
      <c r="K1407" t="s">
        <v>7553</v>
      </c>
      <c r="L1407" t="s">
        <v>7432</v>
      </c>
      <c r="M1407">
        <v>3.0502901077270508</v>
      </c>
      <c r="N1407" t="s">
        <v>54</v>
      </c>
      <c r="O1407" t="s">
        <v>53</v>
      </c>
      <c r="P1407" t="s">
        <v>53</v>
      </c>
      <c r="Q1407" t="s">
        <v>53</v>
      </c>
      <c r="R1407" t="s">
        <v>53</v>
      </c>
      <c r="S1407" t="s">
        <v>7590</v>
      </c>
      <c r="T1407" t="s">
        <v>7590</v>
      </c>
      <c r="U1407" t="s">
        <v>53</v>
      </c>
      <c r="V1407" t="s">
        <v>51</v>
      </c>
      <c r="W1407">
        <v>127000</v>
      </c>
      <c r="X1407" t="s">
        <v>54</v>
      </c>
      <c r="Y1407" t="s">
        <v>7465</v>
      </c>
      <c r="AA1407">
        <v>32</v>
      </c>
      <c r="AB1407">
        <v>25</v>
      </c>
      <c r="AC1407">
        <v>6</v>
      </c>
      <c r="AD1407">
        <v>32</v>
      </c>
      <c r="AE1407">
        <v>35</v>
      </c>
      <c r="AF1407">
        <v>0</v>
      </c>
      <c r="AG1407">
        <v>4</v>
      </c>
      <c r="AH1407">
        <v>1.887009978294373</v>
      </c>
      <c r="AI1407">
        <v>22</v>
      </c>
      <c r="AJ1407">
        <v>2.7483499050140381</v>
      </c>
      <c r="AK1407" t="s">
        <v>54</v>
      </c>
      <c r="AL1407" t="s">
        <v>53</v>
      </c>
      <c r="AM1407" t="s">
        <v>32</v>
      </c>
      <c r="AP1407" t="s">
        <v>32</v>
      </c>
      <c r="AQ1407" t="s">
        <v>53</v>
      </c>
      <c r="AR1407" t="s">
        <v>32</v>
      </c>
      <c r="AT1407" t="s">
        <v>7455</v>
      </c>
      <c r="AV1407" t="s">
        <v>32</v>
      </c>
      <c r="AW1407" t="s">
        <v>53</v>
      </c>
      <c r="AX1407" t="s">
        <v>32</v>
      </c>
      <c r="AZ1407" t="s">
        <v>54</v>
      </c>
      <c r="BA1407" t="s">
        <v>7437</v>
      </c>
    </row>
    <row r="1408" spans="1:53" x14ac:dyDescent="0.25">
      <c r="A1408">
        <v>1403</v>
      </c>
      <c r="B1408" t="s">
        <v>7607</v>
      </c>
      <c r="C1408" t="s">
        <v>7608</v>
      </c>
      <c r="D1408" t="s">
        <v>7609</v>
      </c>
      <c r="E1408">
        <v>8</v>
      </c>
      <c r="F1408" t="s">
        <v>7426</v>
      </c>
      <c r="G1408" t="s">
        <v>7549</v>
      </c>
      <c r="H1408" t="s">
        <v>7587</v>
      </c>
      <c r="I1408" t="s">
        <v>7598</v>
      </c>
      <c r="J1408" t="s">
        <v>7599</v>
      </c>
      <c r="K1408" t="s">
        <v>7463</v>
      </c>
      <c r="L1408" t="s">
        <v>7432</v>
      </c>
      <c r="M1408">
        <v>5.4818601608276367</v>
      </c>
      <c r="N1408" t="s">
        <v>53</v>
      </c>
      <c r="O1408" t="s">
        <v>53</v>
      </c>
      <c r="P1408" t="s">
        <v>54</v>
      </c>
      <c r="Q1408" t="s">
        <v>53</v>
      </c>
      <c r="R1408" t="s">
        <v>53</v>
      </c>
      <c r="S1408" t="s">
        <v>7590</v>
      </c>
      <c r="T1408" t="s">
        <v>7590</v>
      </c>
      <c r="U1408" t="s">
        <v>53</v>
      </c>
      <c r="V1408" t="s">
        <v>51</v>
      </c>
      <c r="W1408">
        <v>51000</v>
      </c>
      <c r="X1408" t="s">
        <v>54</v>
      </c>
      <c r="Y1408" t="s">
        <v>7465</v>
      </c>
      <c r="AA1408">
        <v>130</v>
      </c>
      <c r="AB1408">
        <v>119</v>
      </c>
      <c r="AC1408">
        <v>70</v>
      </c>
      <c r="AD1408">
        <v>397</v>
      </c>
      <c r="AE1408">
        <v>407</v>
      </c>
      <c r="AF1408">
        <v>0</v>
      </c>
      <c r="AG1408">
        <v>2</v>
      </c>
      <c r="AH1408">
        <v>1.3914699554443359</v>
      </c>
      <c r="AI1408">
        <v>18</v>
      </c>
      <c r="AJ1408">
        <v>90.258598327636719</v>
      </c>
      <c r="AK1408" t="s">
        <v>54</v>
      </c>
      <c r="AL1408" t="s">
        <v>53</v>
      </c>
      <c r="AM1408" t="s">
        <v>32</v>
      </c>
      <c r="AP1408" t="s">
        <v>32</v>
      </c>
      <c r="AQ1408" t="s">
        <v>53</v>
      </c>
      <c r="AR1408" t="s">
        <v>32</v>
      </c>
      <c r="AT1408" t="s">
        <v>7455</v>
      </c>
      <c r="AV1408" t="s">
        <v>32</v>
      </c>
      <c r="AW1408" t="s">
        <v>53</v>
      </c>
      <c r="AX1408" t="s">
        <v>32</v>
      </c>
      <c r="AZ1408" t="s">
        <v>54</v>
      </c>
      <c r="BA1408" t="s">
        <v>7437</v>
      </c>
    </row>
    <row r="1409" spans="1:53" x14ac:dyDescent="0.25">
      <c r="A1409">
        <v>1404</v>
      </c>
      <c r="B1409" t="s">
        <v>7610</v>
      </c>
      <c r="C1409" t="s">
        <v>7611</v>
      </c>
      <c r="D1409" t="s">
        <v>7612</v>
      </c>
      <c r="E1409">
        <v>8</v>
      </c>
      <c r="F1409" t="s">
        <v>7426</v>
      </c>
      <c r="G1409" t="s">
        <v>7549</v>
      </c>
      <c r="H1409" t="s">
        <v>7587</v>
      </c>
      <c r="I1409" t="s">
        <v>7588</v>
      </c>
      <c r="J1409" t="s">
        <v>7589</v>
      </c>
      <c r="K1409" t="s">
        <v>7463</v>
      </c>
      <c r="L1409" t="s">
        <v>7432</v>
      </c>
      <c r="M1409">
        <v>2.909889936447144</v>
      </c>
      <c r="N1409" t="s">
        <v>53</v>
      </c>
      <c r="O1409" t="s">
        <v>53</v>
      </c>
      <c r="P1409" t="s">
        <v>54</v>
      </c>
      <c r="Q1409" t="s">
        <v>53</v>
      </c>
      <c r="R1409" t="s">
        <v>53</v>
      </c>
      <c r="S1409" t="s">
        <v>7590</v>
      </c>
      <c r="T1409" t="s">
        <v>7590</v>
      </c>
      <c r="U1409" t="s">
        <v>53</v>
      </c>
      <c r="V1409" t="s">
        <v>51</v>
      </c>
      <c r="W1409">
        <v>50000</v>
      </c>
      <c r="X1409" t="s">
        <v>54</v>
      </c>
      <c r="Y1409" t="s">
        <v>7465</v>
      </c>
      <c r="AA1409">
        <v>88</v>
      </c>
      <c r="AB1409">
        <v>84</v>
      </c>
      <c r="AC1409">
        <v>383</v>
      </c>
      <c r="AD1409">
        <v>380</v>
      </c>
      <c r="AE1409">
        <v>704</v>
      </c>
      <c r="AF1409">
        <v>0</v>
      </c>
      <c r="AG1409">
        <v>0</v>
      </c>
      <c r="AH1409">
        <v>1.002230048179626</v>
      </c>
      <c r="AI1409">
        <v>14</v>
      </c>
      <c r="AJ1409">
        <v>20.02910041809082</v>
      </c>
      <c r="AK1409" t="s">
        <v>54</v>
      </c>
      <c r="AL1409" t="s">
        <v>53</v>
      </c>
      <c r="AM1409" t="s">
        <v>32</v>
      </c>
      <c r="AP1409" t="s">
        <v>32</v>
      </c>
      <c r="AQ1409" t="s">
        <v>53</v>
      </c>
      <c r="AR1409" t="s">
        <v>32</v>
      </c>
      <c r="AT1409" t="s">
        <v>7455</v>
      </c>
      <c r="AV1409" t="s">
        <v>32</v>
      </c>
      <c r="AW1409" t="s">
        <v>53</v>
      </c>
      <c r="AX1409" t="s">
        <v>32</v>
      </c>
      <c r="AZ1409" t="s">
        <v>54</v>
      </c>
      <c r="BA1409" t="s">
        <v>7437</v>
      </c>
    </row>
    <row r="1410" spans="1:53" x14ac:dyDescent="0.25">
      <c r="A1410">
        <v>1405</v>
      </c>
      <c r="B1410" t="s">
        <v>7613</v>
      </c>
      <c r="C1410" t="s">
        <v>7614</v>
      </c>
      <c r="D1410" t="s">
        <v>7615</v>
      </c>
      <c r="E1410">
        <v>8</v>
      </c>
      <c r="F1410" t="s">
        <v>7426</v>
      </c>
      <c r="G1410" t="s">
        <v>7549</v>
      </c>
      <c r="H1410" t="s">
        <v>7550</v>
      </c>
      <c r="I1410" t="s">
        <v>7551</v>
      </c>
      <c r="J1410" t="s">
        <v>7594</v>
      </c>
      <c r="K1410" t="s">
        <v>7553</v>
      </c>
      <c r="L1410" t="s">
        <v>7432</v>
      </c>
      <c r="M1410">
        <v>1.8882100582122801</v>
      </c>
      <c r="N1410" t="s">
        <v>54</v>
      </c>
      <c r="O1410" t="s">
        <v>53</v>
      </c>
      <c r="P1410" t="s">
        <v>53</v>
      </c>
      <c r="Q1410" t="s">
        <v>53</v>
      </c>
      <c r="R1410" t="s">
        <v>53</v>
      </c>
      <c r="S1410" t="s">
        <v>7590</v>
      </c>
      <c r="T1410" t="s">
        <v>7590</v>
      </c>
      <c r="U1410" t="s">
        <v>53</v>
      </c>
      <c r="V1410" t="s">
        <v>51</v>
      </c>
      <c r="W1410">
        <v>214000</v>
      </c>
      <c r="X1410" t="s">
        <v>54</v>
      </c>
      <c r="Y1410" t="s">
        <v>7465</v>
      </c>
      <c r="AA1410">
        <v>72</v>
      </c>
      <c r="AB1410">
        <v>30</v>
      </c>
      <c r="AC1410">
        <v>167</v>
      </c>
      <c r="AD1410">
        <v>56</v>
      </c>
      <c r="AE1410">
        <v>201</v>
      </c>
      <c r="AF1410">
        <v>1</v>
      </c>
      <c r="AG1410">
        <v>4</v>
      </c>
      <c r="AH1410">
        <v>1.537649989128113</v>
      </c>
      <c r="AI1410">
        <v>11</v>
      </c>
      <c r="AJ1410">
        <v>0.30882900953292852</v>
      </c>
      <c r="AK1410" t="s">
        <v>54</v>
      </c>
      <c r="AL1410" t="s">
        <v>53</v>
      </c>
      <c r="AM1410" t="s">
        <v>32</v>
      </c>
      <c r="AP1410" t="s">
        <v>32</v>
      </c>
      <c r="AQ1410" t="s">
        <v>53</v>
      </c>
      <c r="AR1410" t="s">
        <v>32</v>
      </c>
      <c r="AT1410" t="s">
        <v>7455</v>
      </c>
      <c r="AV1410" t="s">
        <v>32</v>
      </c>
      <c r="AW1410" t="s">
        <v>53</v>
      </c>
      <c r="AX1410" t="s">
        <v>32</v>
      </c>
      <c r="AZ1410" t="s">
        <v>54</v>
      </c>
      <c r="BA1410" t="s">
        <v>7437</v>
      </c>
    </row>
    <row r="1411" spans="1:53" x14ac:dyDescent="0.25">
      <c r="A1411">
        <v>1406</v>
      </c>
      <c r="B1411" t="s">
        <v>7616</v>
      </c>
      <c r="C1411" t="s">
        <v>7617</v>
      </c>
      <c r="D1411" t="s">
        <v>7618</v>
      </c>
      <c r="E1411">
        <v>8</v>
      </c>
      <c r="F1411" t="s">
        <v>7426</v>
      </c>
      <c r="G1411" t="s">
        <v>7477</v>
      </c>
      <c r="H1411" t="s">
        <v>7441</v>
      </c>
      <c r="I1411" t="s">
        <v>7442</v>
      </c>
      <c r="J1411" t="s">
        <v>7619</v>
      </c>
      <c r="K1411" t="s">
        <v>7444</v>
      </c>
      <c r="L1411" t="s">
        <v>7480</v>
      </c>
      <c r="M1411">
        <v>61.172500610351563</v>
      </c>
      <c r="N1411" t="s">
        <v>54</v>
      </c>
      <c r="O1411" t="s">
        <v>53</v>
      </c>
      <c r="P1411" t="s">
        <v>54</v>
      </c>
      <c r="Q1411" t="s">
        <v>53</v>
      </c>
      <c r="R1411" t="s">
        <v>53</v>
      </c>
      <c r="S1411" t="s">
        <v>7566</v>
      </c>
      <c r="T1411" t="s">
        <v>7566</v>
      </c>
      <c r="U1411" t="s">
        <v>53</v>
      </c>
      <c r="V1411" t="s">
        <v>51</v>
      </c>
      <c r="W1411">
        <v>257000</v>
      </c>
      <c r="X1411" t="s">
        <v>54</v>
      </c>
      <c r="Y1411" t="s">
        <v>7435</v>
      </c>
      <c r="AA1411">
        <v>388</v>
      </c>
      <c r="AB1411">
        <v>325</v>
      </c>
      <c r="AC1411">
        <v>444</v>
      </c>
      <c r="AD1411">
        <v>1064</v>
      </c>
      <c r="AE1411">
        <v>1255</v>
      </c>
      <c r="AF1411">
        <v>0</v>
      </c>
      <c r="AG1411">
        <v>20</v>
      </c>
      <c r="AH1411">
        <v>8.4579000473022461</v>
      </c>
      <c r="AI1411">
        <v>81</v>
      </c>
      <c r="AJ1411">
        <v>215.84800720214841</v>
      </c>
      <c r="AK1411" t="s">
        <v>54</v>
      </c>
      <c r="AL1411" t="s">
        <v>53</v>
      </c>
      <c r="AM1411" t="s">
        <v>32</v>
      </c>
      <c r="AP1411" t="s">
        <v>32</v>
      </c>
      <c r="AQ1411" t="s">
        <v>53</v>
      </c>
      <c r="AR1411" t="s">
        <v>32</v>
      </c>
      <c r="AT1411" t="s">
        <v>7620</v>
      </c>
      <c r="AV1411" t="s">
        <v>32</v>
      </c>
      <c r="AW1411" t="s">
        <v>53</v>
      </c>
      <c r="AX1411" t="s">
        <v>32</v>
      </c>
      <c r="AZ1411" t="s">
        <v>54</v>
      </c>
      <c r="BA1411" t="s">
        <v>7437</v>
      </c>
    </row>
    <row r="1412" spans="1:53" x14ac:dyDescent="0.25">
      <c r="A1412">
        <v>1407</v>
      </c>
      <c r="B1412" t="s">
        <v>7621</v>
      </c>
      <c r="C1412" t="s">
        <v>7622</v>
      </c>
      <c r="D1412" t="s">
        <v>7623</v>
      </c>
      <c r="E1412">
        <v>8</v>
      </c>
      <c r="F1412" t="s">
        <v>7426</v>
      </c>
      <c r="G1412" t="s">
        <v>276</v>
      </c>
      <c r="H1412" t="s">
        <v>7539</v>
      </c>
      <c r="I1412" t="s">
        <v>7624</v>
      </c>
      <c r="J1412" t="s">
        <v>7625</v>
      </c>
      <c r="K1412" t="s">
        <v>7432</v>
      </c>
      <c r="L1412" t="s">
        <v>7432</v>
      </c>
      <c r="M1412">
        <v>2.2009599208831792</v>
      </c>
      <c r="N1412" t="s">
        <v>54</v>
      </c>
      <c r="O1412" t="s">
        <v>53</v>
      </c>
      <c r="P1412" t="s">
        <v>53</v>
      </c>
      <c r="Q1412" t="s">
        <v>53</v>
      </c>
      <c r="R1412" t="s">
        <v>53</v>
      </c>
      <c r="S1412" t="s">
        <v>1783</v>
      </c>
      <c r="T1412" t="s">
        <v>1783</v>
      </c>
      <c r="U1412" t="s">
        <v>53</v>
      </c>
      <c r="V1412" t="s">
        <v>138</v>
      </c>
      <c r="W1412">
        <v>50000</v>
      </c>
      <c r="X1412" t="s">
        <v>54</v>
      </c>
      <c r="Y1412" t="s">
        <v>7446</v>
      </c>
      <c r="AA1412">
        <v>26</v>
      </c>
      <c r="AB1412">
        <v>14</v>
      </c>
      <c r="AC1412">
        <v>165</v>
      </c>
      <c r="AD1412">
        <v>70</v>
      </c>
      <c r="AE1412">
        <v>214</v>
      </c>
      <c r="AF1412">
        <v>0</v>
      </c>
      <c r="AG1412">
        <v>0</v>
      </c>
      <c r="AH1412">
        <v>2.3496100902557369</v>
      </c>
      <c r="AI1412">
        <v>18</v>
      </c>
      <c r="AJ1412">
        <v>1.240339994430542</v>
      </c>
      <c r="AK1412" t="s">
        <v>54</v>
      </c>
      <c r="AL1412" t="s">
        <v>53</v>
      </c>
      <c r="AM1412" t="s">
        <v>32</v>
      </c>
      <c r="AP1412" t="s">
        <v>32</v>
      </c>
      <c r="AQ1412" t="s">
        <v>53</v>
      </c>
      <c r="AR1412" t="s">
        <v>32</v>
      </c>
      <c r="AT1412" t="s">
        <v>7447</v>
      </c>
      <c r="AV1412" t="s">
        <v>32</v>
      </c>
      <c r="AW1412" t="s">
        <v>53</v>
      </c>
      <c r="AX1412" t="s">
        <v>32</v>
      </c>
      <c r="AZ1412" t="s">
        <v>54</v>
      </c>
      <c r="BA1412" t="s">
        <v>7437</v>
      </c>
    </row>
    <row r="1413" spans="1:53" x14ac:dyDescent="0.25">
      <c r="A1413">
        <v>1408</v>
      </c>
      <c r="B1413" t="s">
        <v>7626</v>
      </c>
      <c r="C1413" t="s">
        <v>7627</v>
      </c>
      <c r="D1413" t="s">
        <v>7628</v>
      </c>
      <c r="E1413">
        <v>8</v>
      </c>
      <c r="F1413" t="s">
        <v>7426</v>
      </c>
      <c r="G1413" t="s">
        <v>276</v>
      </c>
      <c r="H1413" t="s">
        <v>7539</v>
      </c>
      <c r="I1413" t="s">
        <v>7624</v>
      </c>
      <c r="J1413" t="s">
        <v>7625</v>
      </c>
      <c r="K1413" t="s">
        <v>7432</v>
      </c>
      <c r="L1413" t="s">
        <v>7480</v>
      </c>
      <c r="M1413">
        <v>2.2009599208831792</v>
      </c>
      <c r="N1413" t="s">
        <v>54</v>
      </c>
      <c r="O1413" t="s">
        <v>53</v>
      </c>
      <c r="P1413" t="s">
        <v>53</v>
      </c>
      <c r="Q1413" t="s">
        <v>53</v>
      </c>
      <c r="R1413" t="s">
        <v>53</v>
      </c>
      <c r="S1413" t="s">
        <v>1783</v>
      </c>
      <c r="T1413" t="s">
        <v>1783</v>
      </c>
      <c r="U1413" t="s">
        <v>53</v>
      </c>
      <c r="V1413" t="s">
        <v>51</v>
      </c>
      <c r="W1413">
        <v>253000</v>
      </c>
      <c r="X1413" t="s">
        <v>54</v>
      </c>
      <c r="Y1413" t="s">
        <v>7446</v>
      </c>
      <c r="AA1413">
        <v>26</v>
      </c>
      <c r="AB1413">
        <v>14</v>
      </c>
      <c r="AC1413">
        <v>165</v>
      </c>
      <c r="AD1413">
        <v>70</v>
      </c>
      <c r="AE1413">
        <v>214</v>
      </c>
      <c r="AF1413">
        <v>0</v>
      </c>
      <c r="AG1413">
        <v>0</v>
      </c>
      <c r="AH1413">
        <v>2.3496100902557369</v>
      </c>
      <c r="AI1413">
        <v>18</v>
      </c>
      <c r="AJ1413">
        <v>1.240339994430542</v>
      </c>
      <c r="AK1413" t="s">
        <v>54</v>
      </c>
      <c r="AL1413" t="s">
        <v>53</v>
      </c>
      <c r="AM1413" t="s">
        <v>32</v>
      </c>
      <c r="AP1413" t="s">
        <v>32</v>
      </c>
      <c r="AQ1413" t="s">
        <v>53</v>
      </c>
      <c r="AR1413" t="s">
        <v>32</v>
      </c>
      <c r="AT1413" t="s">
        <v>7447</v>
      </c>
      <c r="AV1413" t="s">
        <v>32</v>
      </c>
      <c r="AW1413" t="s">
        <v>53</v>
      </c>
      <c r="AX1413" t="s">
        <v>32</v>
      </c>
      <c r="AZ1413" t="s">
        <v>54</v>
      </c>
      <c r="BA1413" t="s">
        <v>7437</v>
      </c>
    </row>
    <row r="1414" spans="1:53" x14ac:dyDescent="0.25">
      <c r="A1414">
        <v>1409</v>
      </c>
      <c r="B1414" t="s">
        <v>7629</v>
      </c>
      <c r="C1414" t="s">
        <v>7630</v>
      </c>
      <c r="D1414" t="s">
        <v>7631</v>
      </c>
      <c r="E1414">
        <v>8</v>
      </c>
      <c r="F1414" t="s">
        <v>7426</v>
      </c>
      <c r="G1414" t="s">
        <v>276</v>
      </c>
      <c r="H1414" t="s">
        <v>7539</v>
      </c>
      <c r="I1414" t="s">
        <v>7624</v>
      </c>
      <c r="J1414" t="s">
        <v>7625</v>
      </c>
      <c r="K1414" t="s">
        <v>7432</v>
      </c>
      <c r="L1414" t="s">
        <v>7480</v>
      </c>
      <c r="M1414">
        <v>2.2009599208831792</v>
      </c>
      <c r="N1414" t="s">
        <v>54</v>
      </c>
      <c r="O1414" t="s">
        <v>53</v>
      </c>
      <c r="P1414" t="s">
        <v>53</v>
      </c>
      <c r="Q1414" t="s">
        <v>53</v>
      </c>
      <c r="R1414" t="s">
        <v>53</v>
      </c>
      <c r="S1414" t="s">
        <v>1783</v>
      </c>
      <c r="T1414" t="s">
        <v>1783</v>
      </c>
      <c r="U1414" t="s">
        <v>53</v>
      </c>
      <c r="V1414" t="s">
        <v>51</v>
      </c>
      <c r="W1414">
        <v>388000</v>
      </c>
      <c r="X1414" t="s">
        <v>54</v>
      </c>
      <c r="Y1414" t="s">
        <v>7446</v>
      </c>
      <c r="AA1414">
        <v>26</v>
      </c>
      <c r="AB1414">
        <v>14</v>
      </c>
      <c r="AC1414">
        <v>165</v>
      </c>
      <c r="AD1414">
        <v>70</v>
      </c>
      <c r="AE1414">
        <v>214</v>
      </c>
      <c r="AF1414">
        <v>0</v>
      </c>
      <c r="AG1414">
        <v>0</v>
      </c>
      <c r="AH1414">
        <v>2.3496100902557369</v>
      </c>
      <c r="AI1414">
        <v>18</v>
      </c>
      <c r="AJ1414">
        <v>1.240339994430542</v>
      </c>
      <c r="AK1414" t="s">
        <v>54</v>
      </c>
      <c r="AL1414" t="s">
        <v>53</v>
      </c>
      <c r="AM1414" t="s">
        <v>32</v>
      </c>
      <c r="AP1414" t="s">
        <v>32</v>
      </c>
      <c r="AQ1414" t="s">
        <v>53</v>
      </c>
      <c r="AR1414" t="s">
        <v>32</v>
      </c>
      <c r="AT1414" t="s">
        <v>7447</v>
      </c>
      <c r="AV1414" t="s">
        <v>32</v>
      </c>
      <c r="AW1414" t="s">
        <v>53</v>
      </c>
      <c r="AX1414" t="s">
        <v>32</v>
      </c>
      <c r="AZ1414" t="s">
        <v>54</v>
      </c>
      <c r="BA1414" t="s">
        <v>7437</v>
      </c>
    </row>
    <row r="1415" spans="1:53" x14ac:dyDescent="0.25">
      <c r="A1415">
        <v>1410</v>
      </c>
      <c r="B1415" t="s">
        <v>7632</v>
      </c>
      <c r="C1415" t="s">
        <v>7633</v>
      </c>
      <c r="D1415" t="s">
        <v>7634</v>
      </c>
      <c r="E1415">
        <v>8</v>
      </c>
      <c r="F1415" t="s">
        <v>7426</v>
      </c>
      <c r="G1415" t="s">
        <v>276</v>
      </c>
      <c r="H1415" t="s">
        <v>7509</v>
      </c>
      <c r="I1415" t="s">
        <v>7635</v>
      </c>
      <c r="J1415" t="s">
        <v>7636</v>
      </c>
      <c r="K1415" t="s">
        <v>7512</v>
      </c>
      <c r="L1415" t="s">
        <v>7480</v>
      </c>
      <c r="M1415">
        <v>2.122689962387085</v>
      </c>
      <c r="N1415" t="s">
        <v>53</v>
      </c>
      <c r="O1415" t="s">
        <v>53</v>
      </c>
      <c r="P1415" t="s">
        <v>54</v>
      </c>
      <c r="Q1415" t="s">
        <v>53</v>
      </c>
      <c r="R1415" t="s">
        <v>53</v>
      </c>
      <c r="S1415" t="s">
        <v>1783</v>
      </c>
      <c r="T1415" t="s">
        <v>1783</v>
      </c>
      <c r="U1415" t="s">
        <v>53</v>
      </c>
      <c r="V1415" t="s">
        <v>51</v>
      </c>
      <c r="W1415">
        <v>73000</v>
      </c>
      <c r="X1415" t="s">
        <v>54</v>
      </c>
      <c r="Y1415" t="s">
        <v>7446</v>
      </c>
      <c r="AA1415">
        <v>0</v>
      </c>
      <c r="AB1415">
        <v>0</v>
      </c>
      <c r="AC1415">
        <v>0</v>
      </c>
      <c r="AD1415">
        <v>0</v>
      </c>
      <c r="AE1415">
        <v>0</v>
      </c>
      <c r="AF1415">
        <v>0</v>
      </c>
      <c r="AG1415">
        <v>0</v>
      </c>
      <c r="AH1415">
        <v>0</v>
      </c>
      <c r="AI1415">
        <v>0</v>
      </c>
      <c r="AJ1415">
        <v>0.18576200306415561</v>
      </c>
      <c r="AK1415" t="s">
        <v>54</v>
      </c>
      <c r="AL1415" t="s">
        <v>53</v>
      </c>
      <c r="AM1415" t="s">
        <v>32</v>
      </c>
      <c r="AP1415" t="s">
        <v>32</v>
      </c>
      <c r="AQ1415" t="s">
        <v>53</v>
      </c>
      <c r="AR1415" t="s">
        <v>32</v>
      </c>
      <c r="AT1415" t="s">
        <v>7447</v>
      </c>
      <c r="AV1415" t="s">
        <v>32</v>
      </c>
      <c r="AW1415" t="s">
        <v>53</v>
      </c>
      <c r="AX1415" t="s">
        <v>32</v>
      </c>
      <c r="AZ1415" t="s">
        <v>54</v>
      </c>
      <c r="BA1415" t="s">
        <v>7437</v>
      </c>
    </row>
    <row r="1416" spans="1:53" x14ac:dyDescent="0.25">
      <c r="A1416">
        <v>1411</v>
      </c>
      <c r="B1416" t="s">
        <v>7637</v>
      </c>
      <c r="C1416" t="s">
        <v>7638</v>
      </c>
      <c r="D1416" t="s">
        <v>7634</v>
      </c>
      <c r="E1416">
        <v>8</v>
      </c>
      <c r="F1416" t="s">
        <v>7426</v>
      </c>
      <c r="G1416" t="s">
        <v>276</v>
      </c>
      <c r="H1416" t="s">
        <v>7509</v>
      </c>
      <c r="I1416" t="s">
        <v>7635</v>
      </c>
      <c r="J1416" t="s">
        <v>7636</v>
      </c>
      <c r="K1416" t="s">
        <v>7512</v>
      </c>
      <c r="L1416" t="s">
        <v>7480</v>
      </c>
      <c r="M1416">
        <v>3.232490062713623</v>
      </c>
      <c r="N1416" t="s">
        <v>53</v>
      </c>
      <c r="O1416" t="s">
        <v>53</v>
      </c>
      <c r="P1416" t="s">
        <v>54</v>
      </c>
      <c r="Q1416" t="s">
        <v>53</v>
      </c>
      <c r="R1416" t="s">
        <v>53</v>
      </c>
      <c r="S1416" t="s">
        <v>1783</v>
      </c>
      <c r="T1416" t="s">
        <v>1783</v>
      </c>
      <c r="U1416" t="s">
        <v>53</v>
      </c>
      <c r="V1416" t="s">
        <v>51</v>
      </c>
      <c r="W1416">
        <v>92000</v>
      </c>
      <c r="X1416" t="s">
        <v>54</v>
      </c>
      <c r="Y1416" t="s">
        <v>7446</v>
      </c>
      <c r="AA1416">
        <v>0</v>
      </c>
      <c r="AB1416">
        <v>0</v>
      </c>
      <c r="AC1416">
        <v>0</v>
      </c>
      <c r="AD1416">
        <v>0</v>
      </c>
      <c r="AE1416">
        <v>0</v>
      </c>
      <c r="AF1416">
        <v>0</v>
      </c>
      <c r="AG1416">
        <v>0</v>
      </c>
      <c r="AH1416">
        <v>4.2680199258029461E-3</v>
      </c>
      <c r="AI1416">
        <v>1</v>
      </c>
      <c r="AJ1416">
        <v>0.38306799530982971</v>
      </c>
      <c r="AK1416" t="s">
        <v>54</v>
      </c>
      <c r="AL1416" t="s">
        <v>53</v>
      </c>
      <c r="AM1416" t="s">
        <v>32</v>
      </c>
      <c r="AP1416" t="s">
        <v>32</v>
      </c>
      <c r="AQ1416" t="s">
        <v>53</v>
      </c>
      <c r="AR1416" t="s">
        <v>32</v>
      </c>
      <c r="AT1416" t="s">
        <v>7447</v>
      </c>
      <c r="AV1416" t="s">
        <v>32</v>
      </c>
      <c r="AW1416" t="s">
        <v>53</v>
      </c>
      <c r="AX1416" t="s">
        <v>32</v>
      </c>
      <c r="AZ1416" t="s">
        <v>54</v>
      </c>
      <c r="BA1416" t="s">
        <v>7437</v>
      </c>
    </row>
    <row r="1417" spans="1:53" x14ac:dyDescent="0.25">
      <c r="A1417">
        <v>1412</v>
      </c>
      <c r="B1417" t="s">
        <v>7639</v>
      </c>
      <c r="C1417" t="s">
        <v>7640</v>
      </c>
      <c r="D1417" t="s">
        <v>7641</v>
      </c>
      <c r="E1417">
        <v>8</v>
      </c>
      <c r="F1417" t="s">
        <v>7426</v>
      </c>
      <c r="G1417" t="s">
        <v>7549</v>
      </c>
      <c r="H1417" t="s">
        <v>7550</v>
      </c>
      <c r="I1417" t="s">
        <v>7551</v>
      </c>
      <c r="J1417" t="s">
        <v>7594</v>
      </c>
      <c r="K1417" t="s">
        <v>7553</v>
      </c>
      <c r="L1417" t="s">
        <v>7642</v>
      </c>
      <c r="M1417">
        <v>16.79890060424805</v>
      </c>
      <c r="N1417" t="s">
        <v>53</v>
      </c>
      <c r="O1417" t="s">
        <v>53</v>
      </c>
      <c r="P1417" t="s">
        <v>54</v>
      </c>
      <c r="Q1417" t="s">
        <v>53</v>
      </c>
      <c r="R1417" t="s">
        <v>53</v>
      </c>
      <c r="S1417" t="s">
        <v>7590</v>
      </c>
      <c r="T1417" t="s">
        <v>7590</v>
      </c>
      <c r="U1417" t="s">
        <v>53</v>
      </c>
      <c r="V1417" t="s">
        <v>51</v>
      </c>
      <c r="W1417">
        <v>100000</v>
      </c>
      <c r="X1417" t="s">
        <v>54</v>
      </c>
      <c r="Y1417" t="s">
        <v>7465</v>
      </c>
      <c r="AA1417">
        <v>254</v>
      </c>
      <c r="AB1417">
        <v>166</v>
      </c>
      <c r="AC1417">
        <v>198</v>
      </c>
      <c r="AD1417">
        <v>581</v>
      </c>
      <c r="AE1417">
        <v>692</v>
      </c>
      <c r="AF1417">
        <v>0</v>
      </c>
      <c r="AG1417">
        <v>12</v>
      </c>
      <c r="AH1417">
        <v>5.4814300537109384</v>
      </c>
      <c r="AI1417">
        <v>51</v>
      </c>
      <c r="AJ1417">
        <v>292.25698852539063</v>
      </c>
      <c r="AK1417" t="s">
        <v>54</v>
      </c>
      <c r="AL1417" t="s">
        <v>53</v>
      </c>
      <c r="AM1417" t="s">
        <v>32</v>
      </c>
      <c r="AP1417" t="s">
        <v>32</v>
      </c>
      <c r="AQ1417" t="s">
        <v>53</v>
      </c>
      <c r="AR1417" t="s">
        <v>32</v>
      </c>
      <c r="AT1417" t="s">
        <v>7447</v>
      </c>
      <c r="AV1417" t="s">
        <v>32</v>
      </c>
      <c r="AW1417" t="s">
        <v>53</v>
      </c>
      <c r="AX1417" t="s">
        <v>32</v>
      </c>
      <c r="AZ1417" t="s">
        <v>54</v>
      </c>
      <c r="BA1417" t="s">
        <v>7437</v>
      </c>
    </row>
    <row r="1418" spans="1:53" x14ac:dyDescent="0.25">
      <c r="A1418">
        <v>1413</v>
      </c>
      <c r="B1418" t="s">
        <v>7643</v>
      </c>
      <c r="C1418" t="s">
        <v>7644</v>
      </c>
      <c r="D1418" t="s">
        <v>7645</v>
      </c>
      <c r="E1418">
        <v>8</v>
      </c>
      <c r="F1418" t="s">
        <v>7426</v>
      </c>
      <c r="G1418" t="s">
        <v>7549</v>
      </c>
      <c r="H1418" t="s">
        <v>7550</v>
      </c>
      <c r="I1418" t="s">
        <v>7551</v>
      </c>
      <c r="J1418" t="s">
        <v>7606</v>
      </c>
      <c r="K1418" t="s">
        <v>7553</v>
      </c>
      <c r="L1418" t="s">
        <v>7432</v>
      </c>
      <c r="M1418">
        <v>1.9342800378799441</v>
      </c>
      <c r="N1418" t="s">
        <v>53</v>
      </c>
      <c r="O1418" t="s">
        <v>53</v>
      </c>
      <c r="P1418" t="s">
        <v>54</v>
      </c>
      <c r="Q1418" t="s">
        <v>53</v>
      </c>
      <c r="R1418" t="s">
        <v>53</v>
      </c>
      <c r="S1418" t="s">
        <v>7590</v>
      </c>
      <c r="T1418" t="s">
        <v>7590</v>
      </c>
      <c r="U1418" t="s">
        <v>53</v>
      </c>
      <c r="V1418" t="s">
        <v>51</v>
      </c>
      <c r="W1418">
        <v>73000</v>
      </c>
      <c r="X1418" t="s">
        <v>54</v>
      </c>
      <c r="Y1418" t="s">
        <v>7465</v>
      </c>
      <c r="AA1418">
        <v>98</v>
      </c>
      <c r="AB1418">
        <v>92</v>
      </c>
      <c r="AC1418">
        <v>41</v>
      </c>
      <c r="AD1418">
        <v>221</v>
      </c>
      <c r="AE1418">
        <v>225</v>
      </c>
      <c r="AF1418">
        <v>0</v>
      </c>
      <c r="AG1418">
        <v>4</v>
      </c>
      <c r="AH1418">
        <v>1.371960043907166</v>
      </c>
      <c r="AI1418">
        <v>23</v>
      </c>
      <c r="AJ1418">
        <v>0.32239499688148499</v>
      </c>
      <c r="AK1418" t="s">
        <v>54</v>
      </c>
      <c r="AL1418" t="s">
        <v>53</v>
      </c>
      <c r="AM1418" t="s">
        <v>32</v>
      </c>
      <c r="AP1418" t="s">
        <v>32</v>
      </c>
      <c r="AQ1418" t="s">
        <v>53</v>
      </c>
      <c r="AR1418" t="s">
        <v>32</v>
      </c>
      <c r="AT1418" t="s">
        <v>7455</v>
      </c>
      <c r="AV1418" t="s">
        <v>32</v>
      </c>
      <c r="AW1418" t="s">
        <v>53</v>
      </c>
      <c r="AX1418" t="s">
        <v>32</v>
      </c>
      <c r="AZ1418" t="s">
        <v>54</v>
      </c>
      <c r="BA1418" t="s">
        <v>7437</v>
      </c>
    </row>
    <row r="1419" spans="1:53" x14ac:dyDescent="0.25">
      <c r="A1419">
        <v>1414</v>
      </c>
      <c r="B1419" t="s">
        <v>7646</v>
      </c>
      <c r="C1419" t="s">
        <v>7647</v>
      </c>
      <c r="D1419" t="s">
        <v>7641</v>
      </c>
      <c r="E1419">
        <v>8</v>
      </c>
      <c r="F1419" t="s">
        <v>7426</v>
      </c>
      <c r="G1419" t="s">
        <v>7549</v>
      </c>
      <c r="H1419" t="s">
        <v>7550</v>
      </c>
      <c r="I1419" t="s">
        <v>7551</v>
      </c>
      <c r="J1419" t="s">
        <v>7594</v>
      </c>
      <c r="K1419" t="s">
        <v>7553</v>
      </c>
      <c r="L1419" t="s">
        <v>7642</v>
      </c>
      <c r="M1419">
        <v>7.4586400985717773</v>
      </c>
      <c r="N1419" t="s">
        <v>53</v>
      </c>
      <c r="O1419" t="s">
        <v>53</v>
      </c>
      <c r="P1419" t="s">
        <v>54</v>
      </c>
      <c r="Q1419" t="s">
        <v>53</v>
      </c>
      <c r="R1419" t="s">
        <v>53</v>
      </c>
      <c r="S1419" t="s">
        <v>7590</v>
      </c>
      <c r="T1419" t="s">
        <v>7590</v>
      </c>
      <c r="U1419" t="s">
        <v>53</v>
      </c>
      <c r="V1419" t="s">
        <v>51</v>
      </c>
      <c r="W1419">
        <v>300000</v>
      </c>
      <c r="X1419" t="s">
        <v>54</v>
      </c>
      <c r="Y1419" t="s">
        <v>7465</v>
      </c>
      <c r="AA1419">
        <v>348</v>
      </c>
      <c r="AB1419">
        <v>254</v>
      </c>
      <c r="AC1419">
        <v>981</v>
      </c>
      <c r="AD1419">
        <v>1235</v>
      </c>
      <c r="AE1419">
        <v>1697</v>
      </c>
      <c r="AF1419">
        <v>2</v>
      </c>
      <c r="AG1419">
        <v>9</v>
      </c>
      <c r="AH1419">
        <v>4.3193001747131348</v>
      </c>
      <c r="AI1419">
        <v>47</v>
      </c>
      <c r="AJ1419">
        <v>0.30882900953292852</v>
      </c>
      <c r="AK1419" t="s">
        <v>54</v>
      </c>
      <c r="AL1419" t="s">
        <v>53</v>
      </c>
      <c r="AM1419" t="s">
        <v>32</v>
      </c>
      <c r="AP1419" t="s">
        <v>32</v>
      </c>
      <c r="AQ1419" t="s">
        <v>53</v>
      </c>
      <c r="AR1419" t="s">
        <v>32</v>
      </c>
      <c r="AT1419" t="s">
        <v>7447</v>
      </c>
      <c r="AV1419" t="s">
        <v>32</v>
      </c>
      <c r="AW1419" t="s">
        <v>53</v>
      </c>
      <c r="AX1419" t="s">
        <v>32</v>
      </c>
      <c r="AZ1419" t="s">
        <v>54</v>
      </c>
      <c r="BA1419" t="s">
        <v>7437</v>
      </c>
    </row>
    <row r="1420" spans="1:53" x14ac:dyDescent="0.25">
      <c r="A1420">
        <v>1415</v>
      </c>
      <c r="B1420" t="s">
        <v>7648</v>
      </c>
      <c r="C1420" t="s">
        <v>7649</v>
      </c>
      <c r="D1420" t="s">
        <v>7650</v>
      </c>
      <c r="E1420">
        <v>8</v>
      </c>
      <c r="F1420" t="s">
        <v>7426</v>
      </c>
      <c r="G1420" t="s">
        <v>7549</v>
      </c>
      <c r="H1420" t="s">
        <v>7651</v>
      </c>
      <c r="I1420" t="s">
        <v>7652</v>
      </c>
      <c r="J1420" t="s">
        <v>7653</v>
      </c>
      <c r="K1420" t="s">
        <v>7553</v>
      </c>
      <c r="L1420" t="s">
        <v>7432</v>
      </c>
      <c r="M1420">
        <v>27.56349945068359</v>
      </c>
      <c r="N1420" t="s">
        <v>54</v>
      </c>
      <c r="O1420" t="s">
        <v>53</v>
      </c>
      <c r="P1420" t="s">
        <v>53</v>
      </c>
      <c r="Q1420" t="s">
        <v>53</v>
      </c>
      <c r="R1420" t="s">
        <v>53</v>
      </c>
      <c r="S1420" t="s">
        <v>7590</v>
      </c>
      <c r="T1420" t="s">
        <v>7590</v>
      </c>
      <c r="U1420" t="s">
        <v>53</v>
      </c>
      <c r="V1420" t="s">
        <v>138</v>
      </c>
      <c r="W1420">
        <v>164000</v>
      </c>
      <c r="X1420" t="s">
        <v>54</v>
      </c>
      <c r="Y1420" t="s">
        <v>7465</v>
      </c>
      <c r="AA1420">
        <v>7</v>
      </c>
      <c r="AB1420">
        <v>6</v>
      </c>
      <c r="AC1420">
        <v>0</v>
      </c>
      <c r="AD1420">
        <v>3</v>
      </c>
      <c r="AE1420">
        <v>3</v>
      </c>
      <c r="AF1420">
        <v>0</v>
      </c>
      <c r="AG1420">
        <v>3</v>
      </c>
      <c r="AH1420">
        <v>2.0125100612640381</v>
      </c>
      <c r="AI1420">
        <v>6</v>
      </c>
      <c r="AJ1420">
        <v>978.34002685546875</v>
      </c>
      <c r="AK1420" t="s">
        <v>54</v>
      </c>
      <c r="AL1420" t="s">
        <v>53</v>
      </c>
      <c r="AM1420" t="s">
        <v>32</v>
      </c>
      <c r="AP1420" t="s">
        <v>32</v>
      </c>
      <c r="AQ1420" t="s">
        <v>53</v>
      </c>
      <c r="AR1420" t="s">
        <v>32</v>
      </c>
      <c r="AT1420" t="s">
        <v>7447</v>
      </c>
      <c r="AV1420" t="s">
        <v>32</v>
      </c>
      <c r="AW1420" t="s">
        <v>53</v>
      </c>
      <c r="AX1420" t="s">
        <v>32</v>
      </c>
      <c r="AZ1420" t="s">
        <v>54</v>
      </c>
      <c r="BA1420" t="s">
        <v>7437</v>
      </c>
    </row>
    <row r="1421" spans="1:53" x14ac:dyDescent="0.25">
      <c r="A1421">
        <v>1416</v>
      </c>
      <c r="B1421" t="s">
        <v>7654</v>
      </c>
      <c r="C1421" t="s">
        <v>7655</v>
      </c>
      <c r="D1421" t="s">
        <v>7656</v>
      </c>
      <c r="E1421">
        <v>8</v>
      </c>
      <c r="F1421" t="s">
        <v>7426</v>
      </c>
      <c r="G1421" t="s">
        <v>7549</v>
      </c>
      <c r="H1421" t="s">
        <v>7587</v>
      </c>
      <c r="I1421" t="s">
        <v>7657</v>
      </c>
      <c r="J1421" t="s">
        <v>7658</v>
      </c>
      <c r="K1421" t="s">
        <v>7553</v>
      </c>
      <c r="L1421" t="s">
        <v>7432</v>
      </c>
      <c r="M1421">
        <v>87.68499755859375</v>
      </c>
      <c r="N1421" t="s">
        <v>54</v>
      </c>
      <c r="O1421" t="s">
        <v>53</v>
      </c>
      <c r="P1421" t="s">
        <v>53</v>
      </c>
      <c r="Q1421" t="s">
        <v>53</v>
      </c>
      <c r="R1421" t="s">
        <v>53</v>
      </c>
      <c r="S1421" t="s">
        <v>7590</v>
      </c>
      <c r="T1421" t="s">
        <v>7590</v>
      </c>
      <c r="U1421" t="s">
        <v>53</v>
      </c>
      <c r="V1421" t="s">
        <v>138</v>
      </c>
      <c r="W1421">
        <v>436000</v>
      </c>
      <c r="X1421" t="s">
        <v>54</v>
      </c>
      <c r="Y1421" t="s">
        <v>7465</v>
      </c>
      <c r="AA1421">
        <v>52</v>
      </c>
      <c r="AB1421">
        <v>45</v>
      </c>
      <c r="AC1421">
        <v>29</v>
      </c>
      <c r="AD1421">
        <v>39</v>
      </c>
      <c r="AE1421">
        <v>65</v>
      </c>
      <c r="AF1421">
        <v>0</v>
      </c>
      <c r="AG1421">
        <v>4</v>
      </c>
      <c r="AH1421">
        <v>5.2307400703430176</v>
      </c>
      <c r="AI1421">
        <v>25</v>
      </c>
      <c r="AJ1421">
        <v>3488.639892578125</v>
      </c>
      <c r="AK1421" t="s">
        <v>54</v>
      </c>
      <c r="AL1421" t="s">
        <v>53</v>
      </c>
      <c r="AM1421" t="s">
        <v>32</v>
      </c>
      <c r="AP1421" t="s">
        <v>32</v>
      </c>
      <c r="AQ1421" t="s">
        <v>53</v>
      </c>
      <c r="AR1421" t="s">
        <v>32</v>
      </c>
      <c r="AT1421" t="s">
        <v>7447</v>
      </c>
      <c r="AV1421" t="s">
        <v>32</v>
      </c>
      <c r="AW1421" t="s">
        <v>53</v>
      </c>
      <c r="AX1421" t="s">
        <v>32</v>
      </c>
      <c r="AZ1421" t="s">
        <v>54</v>
      </c>
      <c r="BA1421" t="s">
        <v>7437</v>
      </c>
    </row>
    <row r="1422" spans="1:53" x14ac:dyDescent="0.25">
      <c r="A1422">
        <v>1417</v>
      </c>
      <c r="B1422" t="s">
        <v>7659</v>
      </c>
      <c r="C1422" t="s">
        <v>7660</v>
      </c>
      <c r="D1422" t="s">
        <v>7661</v>
      </c>
      <c r="E1422">
        <v>8</v>
      </c>
      <c r="F1422" t="s">
        <v>7426</v>
      </c>
      <c r="G1422" t="s">
        <v>7549</v>
      </c>
      <c r="H1422" t="s">
        <v>7587</v>
      </c>
      <c r="I1422" t="s">
        <v>7657</v>
      </c>
      <c r="J1422" t="s">
        <v>7662</v>
      </c>
      <c r="K1422" t="s">
        <v>7463</v>
      </c>
      <c r="L1422" t="s">
        <v>7432</v>
      </c>
      <c r="M1422">
        <v>12.03380012512207</v>
      </c>
      <c r="N1422" t="s">
        <v>54</v>
      </c>
      <c r="O1422" t="s">
        <v>53</v>
      </c>
      <c r="P1422" t="s">
        <v>53</v>
      </c>
      <c r="Q1422" t="s">
        <v>53</v>
      </c>
      <c r="R1422" t="s">
        <v>53</v>
      </c>
      <c r="S1422" t="s">
        <v>7590</v>
      </c>
      <c r="T1422" t="s">
        <v>7590</v>
      </c>
      <c r="U1422" t="s">
        <v>53</v>
      </c>
      <c r="V1422" t="s">
        <v>138</v>
      </c>
      <c r="W1422">
        <v>92000</v>
      </c>
      <c r="X1422" t="s">
        <v>54</v>
      </c>
      <c r="Y1422" t="s">
        <v>7465</v>
      </c>
      <c r="AA1422">
        <v>7</v>
      </c>
      <c r="AB1422">
        <v>7</v>
      </c>
      <c r="AC1422">
        <v>1</v>
      </c>
      <c r="AD1422">
        <v>5</v>
      </c>
      <c r="AE1422">
        <v>5</v>
      </c>
      <c r="AF1422">
        <v>0</v>
      </c>
      <c r="AG1422">
        <v>0</v>
      </c>
      <c r="AH1422">
        <v>0.20082800090312961</v>
      </c>
      <c r="AI1422">
        <v>4</v>
      </c>
      <c r="AJ1422">
        <v>323.59100341796881</v>
      </c>
      <c r="AK1422" t="s">
        <v>54</v>
      </c>
      <c r="AL1422" t="s">
        <v>53</v>
      </c>
      <c r="AM1422" t="s">
        <v>32</v>
      </c>
      <c r="AP1422" t="s">
        <v>32</v>
      </c>
      <c r="AQ1422" t="s">
        <v>53</v>
      </c>
      <c r="AR1422" t="s">
        <v>32</v>
      </c>
      <c r="AT1422" t="s">
        <v>7447</v>
      </c>
      <c r="AV1422" t="s">
        <v>32</v>
      </c>
      <c r="AW1422" t="s">
        <v>53</v>
      </c>
      <c r="AX1422" t="s">
        <v>32</v>
      </c>
      <c r="AZ1422" t="s">
        <v>54</v>
      </c>
      <c r="BA1422" t="s">
        <v>7437</v>
      </c>
    </row>
    <row r="1423" spans="1:53" x14ac:dyDescent="0.25">
      <c r="A1423">
        <v>1418</v>
      </c>
      <c r="B1423" t="s">
        <v>7663</v>
      </c>
      <c r="C1423" t="s">
        <v>7664</v>
      </c>
      <c r="D1423" t="s">
        <v>7665</v>
      </c>
      <c r="E1423">
        <v>8</v>
      </c>
      <c r="F1423" t="s">
        <v>7426</v>
      </c>
      <c r="G1423" t="s">
        <v>7549</v>
      </c>
      <c r="H1423" t="s">
        <v>7587</v>
      </c>
      <c r="I1423" t="s">
        <v>7588</v>
      </c>
      <c r="J1423" t="s">
        <v>7589</v>
      </c>
      <c r="K1423" t="s">
        <v>7463</v>
      </c>
      <c r="L1423" t="s">
        <v>7666</v>
      </c>
      <c r="M1423">
        <v>2.8106200695037842</v>
      </c>
      <c r="N1423" t="s">
        <v>54</v>
      </c>
      <c r="O1423" t="s">
        <v>53</v>
      </c>
      <c r="P1423" t="s">
        <v>54</v>
      </c>
      <c r="Q1423" t="s">
        <v>53</v>
      </c>
      <c r="R1423" t="s">
        <v>53</v>
      </c>
      <c r="S1423" t="s">
        <v>7590</v>
      </c>
      <c r="T1423" t="s">
        <v>7590</v>
      </c>
      <c r="U1423" t="s">
        <v>53</v>
      </c>
      <c r="V1423" t="s">
        <v>51</v>
      </c>
      <c r="W1423">
        <v>129000</v>
      </c>
      <c r="X1423" t="s">
        <v>54</v>
      </c>
      <c r="Y1423" t="s">
        <v>7465</v>
      </c>
      <c r="AA1423">
        <v>100</v>
      </c>
      <c r="AB1423">
        <v>93</v>
      </c>
      <c r="AC1423">
        <v>69</v>
      </c>
      <c r="AD1423">
        <v>191</v>
      </c>
      <c r="AE1423">
        <v>242</v>
      </c>
      <c r="AF1423">
        <v>0</v>
      </c>
      <c r="AG1423">
        <v>5</v>
      </c>
      <c r="AH1423">
        <v>1.894590020179749</v>
      </c>
      <c r="AI1423">
        <v>15</v>
      </c>
      <c r="AJ1423">
        <v>7.3764700889587402</v>
      </c>
      <c r="AK1423" t="s">
        <v>54</v>
      </c>
      <c r="AL1423" t="s">
        <v>53</v>
      </c>
      <c r="AM1423" t="s">
        <v>32</v>
      </c>
      <c r="AP1423" t="s">
        <v>32</v>
      </c>
      <c r="AQ1423" t="s">
        <v>53</v>
      </c>
      <c r="AR1423" t="s">
        <v>32</v>
      </c>
      <c r="AT1423" t="s">
        <v>7447</v>
      </c>
      <c r="AV1423" t="s">
        <v>32</v>
      </c>
      <c r="AW1423" t="s">
        <v>53</v>
      </c>
      <c r="AX1423" t="s">
        <v>32</v>
      </c>
      <c r="AZ1423" t="s">
        <v>54</v>
      </c>
      <c r="BA1423" t="s">
        <v>7437</v>
      </c>
    </row>
    <row r="1424" spans="1:53" x14ac:dyDescent="0.25">
      <c r="A1424">
        <v>1419</v>
      </c>
      <c r="B1424" t="s">
        <v>7667</v>
      </c>
      <c r="C1424" t="s">
        <v>7668</v>
      </c>
      <c r="D1424" t="s">
        <v>7641</v>
      </c>
      <c r="E1424">
        <v>8</v>
      </c>
      <c r="F1424" t="s">
        <v>7426</v>
      </c>
      <c r="G1424" t="s">
        <v>7549</v>
      </c>
      <c r="H1424" t="s">
        <v>7587</v>
      </c>
      <c r="I1424" t="s">
        <v>7588</v>
      </c>
      <c r="J1424" t="s">
        <v>7589</v>
      </c>
      <c r="K1424" t="s">
        <v>7463</v>
      </c>
      <c r="L1424" t="s">
        <v>7642</v>
      </c>
      <c r="M1424">
        <v>2.8106200695037842</v>
      </c>
      <c r="N1424" t="s">
        <v>53</v>
      </c>
      <c r="O1424" t="s">
        <v>53</v>
      </c>
      <c r="P1424" t="s">
        <v>54</v>
      </c>
      <c r="Q1424" t="s">
        <v>53</v>
      </c>
      <c r="R1424" t="s">
        <v>53</v>
      </c>
      <c r="S1424" t="s">
        <v>7590</v>
      </c>
      <c r="T1424" t="s">
        <v>7590</v>
      </c>
      <c r="U1424" t="s">
        <v>53</v>
      </c>
      <c r="V1424" t="s">
        <v>51</v>
      </c>
      <c r="W1424">
        <v>100000</v>
      </c>
      <c r="X1424" t="s">
        <v>54</v>
      </c>
      <c r="Y1424" t="s">
        <v>7465</v>
      </c>
      <c r="AA1424">
        <v>100</v>
      </c>
      <c r="AB1424">
        <v>93</v>
      </c>
      <c r="AC1424">
        <v>69</v>
      </c>
      <c r="AD1424">
        <v>191</v>
      </c>
      <c r="AE1424">
        <v>242</v>
      </c>
      <c r="AF1424">
        <v>0</v>
      </c>
      <c r="AG1424">
        <v>5</v>
      </c>
      <c r="AH1424">
        <v>1.894590020179749</v>
      </c>
      <c r="AI1424">
        <v>15</v>
      </c>
      <c r="AJ1424">
        <v>7.3764700889587402</v>
      </c>
      <c r="AK1424" t="s">
        <v>54</v>
      </c>
      <c r="AL1424" t="s">
        <v>53</v>
      </c>
      <c r="AM1424" t="s">
        <v>32</v>
      </c>
      <c r="AP1424" t="s">
        <v>32</v>
      </c>
      <c r="AQ1424" t="s">
        <v>53</v>
      </c>
      <c r="AR1424" t="s">
        <v>32</v>
      </c>
      <c r="AT1424" t="s">
        <v>7447</v>
      </c>
      <c r="AV1424" t="s">
        <v>32</v>
      </c>
      <c r="AW1424" t="s">
        <v>53</v>
      </c>
      <c r="AX1424" t="s">
        <v>32</v>
      </c>
      <c r="AZ1424" t="s">
        <v>54</v>
      </c>
      <c r="BA1424" t="s">
        <v>7437</v>
      </c>
    </row>
    <row r="1425" spans="1:53" x14ac:dyDescent="0.25">
      <c r="A1425">
        <v>1420</v>
      </c>
      <c r="B1425" t="s">
        <v>7669</v>
      </c>
      <c r="C1425" t="s">
        <v>7670</v>
      </c>
      <c r="D1425" t="s">
        <v>7641</v>
      </c>
      <c r="E1425">
        <v>8</v>
      </c>
      <c r="F1425" t="s">
        <v>7426</v>
      </c>
      <c r="G1425" t="s">
        <v>7549</v>
      </c>
      <c r="H1425" t="s">
        <v>7550</v>
      </c>
      <c r="I1425" t="s">
        <v>7671</v>
      </c>
      <c r="J1425" t="s">
        <v>7672</v>
      </c>
      <c r="K1425" t="s">
        <v>7553</v>
      </c>
      <c r="L1425" t="s">
        <v>7642</v>
      </c>
      <c r="M1425">
        <v>12.017800331115721</v>
      </c>
      <c r="N1425" t="s">
        <v>53</v>
      </c>
      <c r="O1425" t="s">
        <v>53</v>
      </c>
      <c r="P1425" t="s">
        <v>54</v>
      </c>
      <c r="Q1425" t="s">
        <v>53</v>
      </c>
      <c r="R1425" t="s">
        <v>53</v>
      </c>
      <c r="S1425" t="s">
        <v>7590</v>
      </c>
      <c r="T1425" t="s">
        <v>7590</v>
      </c>
      <c r="U1425" t="s">
        <v>53</v>
      </c>
      <c r="V1425" t="s">
        <v>51</v>
      </c>
      <c r="W1425">
        <v>100000</v>
      </c>
      <c r="X1425" t="s">
        <v>54</v>
      </c>
      <c r="Y1425" t="s">
        <v>7465</v>
      </c>
      <c r="AA1425">
        <v>190</v>
      </c>
      <c r="AB1425">
        <v>158</v>
      </c>
      <c r="AC1425">
        <v>491</v>
      </c>
      <c r="AD1425">
        <v>459</v>
      </c>
      <c r="AE1425">
        <v>883</v>
      </c>
      <c r="AF1425">
        <v>1</v>
      </c>
      <c r="AG1425">
        <v>6</v>
      </c>
      <c r="AH1425">
        <v>4.9509401321411133</v>
      </c>
      <c r="AI1425">
        <v>48</v>
      </c>
      <c r="AJ1425">
        <v>184.2879943847656</v>
      </c>
      <c r="AK1425" t="s">
        <v>54</v>
      </c>
      <c r="AL1425" t="s">
        <v>53</v>
      </c>
      <c r="AM1425" t="s">
        <v>32</v>
      </c>
      <c r="AP1425" t="s">
        <v>32</v>
      </c>
      <c r="AQ1425" t="s">
        <v>53</v>
      </c>
      <c r="AR1425" t="s">
        <v>32</v>
      </c>
      <c r="AT1425" t="s">
        <v>7447</v>
      </c>
      <c r="AV1425" t="s">
        <v>32</v>
      </c>
      <c r="AW1425" t="s">
        <v>53</v>
      </c>
      <c r="AX1425" t="s">
        <v>32</v>
      </c>
      <c r="AZ1425" t="s">
        <v>54</v>
      </c>
      <c r="BA1425" t="s">
        <v>7437</v>
      </c>
    </row>
    <row r="1426" spans="1:53" x14ac:dyDescent="0.25">
      <c r="A1426">
        <v>1421</v>
      </c>
      <c r="B1426" t="s">
        <v>7673</v>
      </c>
      <c r="C1426" t="s">
        <v>7674</v>
      </c>
      <c r="D1426" t="s">
        <v>7641</v>
      </c>
      <c r="E1426">
        <v>8</v>
      </c>
      <c r="F1426" t="s">
        <v>7426</v>
      </c>
      <c r="G1426" t="s">
        <v>7549</v>
      </c>
      <c r="H1426" t="s">
        <v>7587</v>
      </c>
      <c r="I1426" t="s">
        <v>7598</v>
      </c>
      <c r="J1426" t="s">
        <v>7675</v>
      </c>
      <c r="K1426" t="s">
        <v>7463</v>
      </c>
      <c r="L1426" t="s">
        <v>7642</v>
      </c>
      <c r="M1426">
        <v>3.0046200752258301</v>
      </c>
      <c r="N1426" t="s">
        <v>53</v>
      </c>
      <c r="O1426" t="s">
        <v>53</v>
      </c>
      <c r="P1426" t="s">
        <v>54</v>
      </c>
      <c r="Q1426" t="s">
        <v>53</v>
      </c>
      <c r="R1426" t="s">
        <v>53</v>
      </c>
      <c r="S1426" t="s">
        <v>7590</v>
      </c>
      <c r="T1426" t="s">
        <v>7590</v>
      </c>
      <c r="U1426" t="s">
        <v>53</v>
      </c>
      <c r="V1426" t="s">
        <v>51</v>
      </c>
      <c r="W1426">
        <v>100000</v>
      </c>
      <c r="X1426" t="s">
        <v>54</v>
      </c>
      <c r="Y1426" t="s">
        <v>7465</v>
      </c>
      <c r="AA1426">
        <v>26</v>
      </c>
      <c r="AB1426">
        <v>21</v>
      </c>
      <c r="AC1426">
        <v>86</v>
      </c>
      <c r="AD1426">
        <v>85</v>
      </c>
      <c r="AE1426">
        <v>153</v>
      </c>
      <c r="AF1426">
        <v>0</v>
      </c>
      <c r="AG1426">
        <v>0</v>
      </c>
      <c r="AH1426">
        <v>0.29899299144744867</v>
      </c>
      <c r="AI1426">
        <v>3</v>
      </c>
      <c r="AJ1426">
        <v>11.870200157165529</v>
      </c>
      <c r="AK1426" t="s">
        <v>54</v>
      </c>
      <c r="AL1426" t="s">
        <v>53</v>
      </c>
      <c r="AM1426" t="s">
        <v>32</v>
      </c>
      <c r="AP1426" t="s">
        <v>32</v>
      </c>
      <c r="AQ1426" t="s">
        <v>53</v>
      </c>
      <c r="AR1426" t="s">
        <v>32</v>
      </c>
      <c r="AT1426" t="s">
        <v>7447</v>
      </c>
      <c r="AV1426" t="s">
        <v>32</v>
      </c>
      <c r="AW1426" t="s">
        <v>53</v>
      </c>
      <c r="AX1426" t="s">
        <v>32</v>
      </c>
      <c r="AZ1426" t="s">
        <v>54</v>
      </c>
      <c r="BA1426" t="s">
        <v>7437</v>
      </c>
    </row>
    <row r="1427" spans="1:53" x14ac:dyDescent="0.25">
      <c r="A1427">
        <v>1422</v>
      </c>
      <c r="B1427" t="s">
        <v>7676</v>
      </c>
      <c r="C1427" t="s">
        <v>7677</v>
      </c>
      <c r="D1427" t="s">
        <v>7641</v>
      </c>
      <c r="E1427">
        <v>8</v>
      </c>
      <c r="F1427" t="s">
        <v>7426</v>
      </c>
      <c r="G1427" t="s">
        <v>7549</v>
      </c>
      <c r="H1427" t="s">
        <v>7550</v>
      </c>
      <c r="I1427" t="s">
        <v>7551</v>
      </c>
      <c r="J1427" t="s">
        <v>7678</v>
      </c>
      <c r="K1427" t="s">
        <v>7553</v>
      </c>
      <c r="L1427" t="s">
        <v>7642</v>
      </c>
      <c r="M1427">
        <v>8.6866703033447266</v>
      </c>
      <c r="N1427" t="s">
        <v>53</v>
      </c>
      <c r="O1427" t="s">
        <v>53</v>
      </c>
      <c r="P1427" t="s">
        <v>54</v>
      </c>
      <c r="Q1427" t="s">
        <v>53</v>
      </c>
      <c r="R1427" t="s">
        <v>53</v>
      </c>
      <c r="S1427" t="s">
        <v>7590</v>
      </c>
      <c r="T1427" t="s">
        <v>7590</v>
      </c>
      <c r="U1427" t="s">
        <v>53</v>
      </c>
      <c r="V1427" t="s">
        <v>51</v>
      </c>
      <c r="W1427">
        <v>100000</v>
      </c>
      <c r="X1427" t="s">
        <v>54</v>
      </c>
      <c r="Y1427" t="s">
        <v>7465</v>
      </c>
      <c r="AA1427">
        <v>14</v>
      </c>
      <c r="AB1427">
        <v>14</v>
      </c>
      <c r="AC1427">
        <v>3</v>
      </c>
      <c r="AD1427">
        <v>22</v>
      </c>
      <c r="AE1427">
        <v>22</v>
      </c>
      <c r="AF1427">
        <v>0</v>
      </c>
      <c r="AG1427">
        <v>0</v>
      </c>
      <c r="AH1427">
        <v>0.48542198538780212</v>
      </c>
      <c r="AI1427">
        <v>9</v>
      </c>
      <c r="AJ1427">
        <v>19.424200057983398</v>
      </c>
      <c r="AK1427" t="s">
        <v>54</v>
      </c>
      <c r="AL1427" t="s">
        <v>53</v>
      </c>
      <c r="AM1427" t="s">
        <v>32</v>
      </c>
      <c r="AP1427" t="s">
        <v>32</v>
      </c>
      <c r="AQ1427" t="s">
        <v>53</v>
      </c>
      <c r="AR1427" t="s">
        <v>32</v>
      </c>
      <c r="AT1427" t="s">
        <v>7447</v>
      </c>
      <c r="AV1427" t="s">
        <v>32</v>
      </c>
      <c r="AW1427" t="s">
        <v>53</v>
      </c>
      <c r="AX1427" t="s">
        <v>32</v>
      </c>
      <c r="AZ1427" t="s">
        <v>54</v>
      </c>
      <c r="BA1427" t="s">
        <v>7437</v>
      </c>
    </row>
    <row r="1428" spans="1:53" x14ac:dyDescent="0.25">
      <c r="A1428">
        <v>1423</v>
      </c>
      <c r="B1428" t="s">
        <v>7679</v>
      </c>
      <c r="C1428" t="s">
        <v>7680</v>
      </c>
      <c r="D1428" t="s">
        <v>7681</v>
      </c>
      <c r="E1428">
        <v>8</v>
      </c>
      <c r="F1428" t="s">
        <v>7426</v>
      </c>
      <c r="G1428" t="s">
        <v>276</v>
      </c>
      <c r="H1428" t="s">
        <v>7451</v>
      </c>
      <c r="I1428" t="s">
        <v>7682</v>
      </c>
      <c r="J1428" t="s">
        <v>7683</v>
      </c>
      <c r="K1428" t="s">
        <v>7454</v>
      </c>
      <c r="L1428" t="s">
        <v>7432</v>
      </c>
      <c r="M1428">
        <v>608.66302490234375</v>
      </c>
      <c r="N1428" t="s">
        <v>54</v>
      </c>
      <c r="O1428" t="s">
        <v>53</v>
      </c>
      <c r="P1428" t="s">
        <v>54</v>
      </c>
      <c r="Q1428" t="s">
        <v>53</v>
      </c>
      <c r="R1428" t="s">
        <v>53</v>
      </c>
      <c r="S1428" t="s">
        <v>289</v>
      </c>
      <c r="T1428" t="s">
        <v>7684</v>
      </c>
      <c r="U1428" t="s">
        <v>53</v>
      </c>
      <c r="V1428" t="s">
        <v>162</v>
      </c>
      <c r="W1428">
        <v>2712000</v>
      </c>
      <c r="X1428" t="s">
        <v>54</v>
      </c>
      <c r="Y1428" t="s">
        <v>7446</v>
      </c>
      <c r="AA1428">
        <v>14277</v>
      </c>
      <c r="AB1428">
        <v>11612</v>
      </c>
      <c r="AC1428">
        <v>13886</v>
      </c>
      <c r="AD1428">
        <v>26966</v>
      </c>
      <c r="AE1428">
        <v>34375</v>
      </c>
      <c r="AF1428">
        <v>28</v>
      </c>
      <c r="AG1428">
        <v>2</v>
      </c>
      <c r="AH1428">
        <v>299.89700317382813</v>
      </c>
      <c r="AI1428">
        <v>1167</v>
      </c>
      <c r="AJ1428">
        <v>95253.6015625</v>
      </c>
      <c r="AK1428" t="s">
        <v>54</v>
      </c>
      <c r="AL1428" t="s">
        <v>53</v>
      </c>
      <c r="AM1428" t="s">
        <v>32</v>
      </c>
      <c r="AP1428" t="s">
        <v>32</v>
      </c>
      <c r="AQ1428" t="s">
        <v>53</v>
      </c>
      <c r="AR1428" t="s">
        <v>32</v>
      </c>
      <c r="AT1428" t="s">
        <v>7447</v>
      </c>
      <c r="AV1428" t="s">
        <v>32</v>
      </c>
      <c r="AW1428" t="s">
        <v>53</v>
      </c>
      <c r="AX1428" t="s">
        <v>32</v>
      </c>
      <c r="AZ1428" t="s">
        <v>54</v>
      </c>
      <c r="BA1428" t="s">
        <v>7437</v>
      </c>
    </row>
    <row r="1429" spans="1:53" x14ac:dyDescent="0.25">
      <c r="A1429">
        <v>1424</v>
      </c>
      <c r="B1429" t="s">
        <v>7685</v>
      </c>
      <c r="C1429" t="s">
        <v>7686</v>
      </c>
      <c r="D1429" t="s">
        <v>7687</v>
      </c>
      <c r="E1429">
        <v>8</v>
      </c>
      <c r="F1429" t="s">
        <v>7426</v>
      </c>
      <c r="G1429" t="s">
        <v>7427</v>
      </c>
      <c r="H1429" t="s">
        <v>7441</v>
      </c>
      <c r="I1429" t="s">
        <v>7442</v>
      </c>
      <c r="J1429" t="s">
        <v>7490</v>
      </c>
      <c r="K1429" t="s">
        <v>7444</v>
      </c>
      <c r="L1429" t="s">
        <v>7480</v>
      </c>
      <c r="M1429">
        <v>11.11559963226318</v>
      </c>
      <c r="N1429" t="s">
        <v>54</v>
      </c>
      <c r="O1429" t="s">
        <v>53</v>
      </c>
      <c r="P1429" t="s">
        <v>53</v>
      </c>
      <c r="Q1429" t="s">
        <v>53</v>
      </c>
      <c r="R1429" t="s">
        <v>53</v>
      </c>
      <c r="S1429" t="s">
        <v>7566</v>
      </c>
      <c r="T1429" t="s">
        <v>7566</v>
      </c>
      <c r="U1429" t="s">
        <v>53</v>
      </c>
      <c r="V1429" t="s">
        <v>51</v>
      </c>
      <c r="W1429">
        <v>500000</v>
      </c>
      <c r="X1429" t="s">
        <v>54</v>
      </c>
      <c r="Y1429" t="s">
        <v>7435</v>
      </c>
      <c r="AA1429">
        <v>11</v>
      </c>
      <c r="AB1429">
        <v>5</v>
      </c>
      <c r="AC1429">
        <v>3</v>
      </c>
      <c r="AD1429">
        <v>10</v>
      </c>
      <c r="AE1429">
        <v>11</v>
      </c>
      <c r="AF1429">
        <v>0</v>
      </c>
      <c r="AG1429">
        <v>1</v>
      </c>
      <c r="AH1429">
        <v>1.7508800029754641</v>
      </c>
      <c r="AI1429">
        <v>8</v>
      </c>
      <c r="AJ1429">
        <v>1105.449951171875</v>
      </c>
      <c r="AK1429" t="s">
        <v>54</v>
      </c>
      <c r="AL1429" t="s">
        <v>53</v>
      </c>
      <c r="AM1429" t="s">
        <v>32</v>
      </c>
      <c r="AP1429" t="s">
        <v>32</v>
      </c>
      <c r="AQ1429" t="s">
        <v>53</v>
      </c>
      <c r="AR1429" t="s">
        <v>32</v>
      </c>
      <c r="AT1429" t="s">
        <v>7577</v>
      </c>
      <c r="AV1429" t="s">
        <v>32</v>
      </c>
      <c r="AW1429" t="s">
        <v>53</v>
      </c>
      <c r="AX1429" t="s">
        <v>32</v>
      </c>
      <c r="AZ1429" t="s">
        <v>54</v>
      </c>
      <c r="BA1429" t="s">
        <v>7437</v>
      </c>
    </row>
    <row r="1430" spans="1:53" x14ac:dyDescent="0.25">
      <c r="A1430">
        <v>1425</v>
      </c>
      <c r="B1430" t="s">
        <v>7688</v>
      </c>
      <c r="C1430" t="s">
        <v>7689</v>
      </c>
      <c r="D1430" t="s">
        <v>7690</v>
      </c>
      <c r="E1430">
        <v>8</v>
      </c>
      <c r="F1430" t="s">
        <v>7426</v>
      </c>
      <c r="G1430" t="s">
        <v>7549</v>
      </c>
      <c r="H1430" t="s">
        <v>7550</v>
      </c>
      <c r="I1430" t="s">
        <v>7551</v>
      </c>
      <c r="J1430" t="s">
        <v>7606</v>
      </c>
      <c r="K1430" t="s">
        <v>7553</v>
      </c>
      <c r="L1430" t="s">
        <v>7432</v>
      </c>
      <c r="M1430">
        <v>3.905230045318604</v>
      </c>
      <c r="N1430" t="s">
        <v>53</v>
      </c>
      <c r="O1430" t="s">
        <v>53</v>
      </c>
      <c r="P1430" t="s">
        <v>54</v>
      </c>
      <c r="Q1430" t="s">
        <v>53</v>
      </c>
      <c r="R1430" t="s">
        <v>53</v>
      </c>
      <c r="S1430" t="s">
        <v>7590</v>
      </c>
      <c r="T1430" t="s">
        <v>7590</v>
      </c>
      <c r="U1430" t="s">
        <v>53</v>
      </c>
      <c r="V1430" t="s">
        <v>51</v>
      </c>
      <c r="W1430">
        <v>50000</v>
      </c>
      <c r="X1430" t="s">
        <v>54</v>
      </c>
      <c r="Y1430" t="s">
        <v>7465</v>
      </c>
      <c r="AA1430">
        <v>126</v>
      </c>
      <c r="AB1430">
        <v>117</v>
      </c>
      <c r="AC1430">
        <v>59</v>
      </c>
      <c r="AD1430">
        <v>310</v>
      </c>
      <c r="AE1430">
        <v>315</v>
      </c>
      <c r="AF1430">
        <v>0</v>
      </c>
      <c r="AG1430">
        <v>5</v>
      </c>
      <c r="AH1430">
        <v>2.2700901031494141</v>
      </c>
      <c r="AI1430">
        <v>36</v>
      </c>
      <c r="AJ1430">
        <v>19.98430061340332</v>
      </c>
      <c r="AK1430" t="s">
        <v>54</v>
      </c>
      <c r="AL1430" t="s">
        <v>53</v>
      </c>
      <c r="AM1430" t="s">
        <v>32</v>
      </c>
      <c r="AP1430" t="s">
        <v>32</v>
      </c>
      <c r="AQ1430" t="s">
        <v>53</v>
      </c>
      <c r="AR1430" t="s">
        <v>32</v>
      </c>
      <c r="AT1430" t="s">
        <v>7455</v>
      </c>
      <c r="AV1430" t="s">
        <v>32</v>
      </c>
      <c r="AW1430" t="s">
        <v>53</v>
      </c>
      <c r="AX1430" t="s">
        <v>32</v>
      </c>
      <c r="AZ1430" t="s">
        <v>54</v>
      </c>
      <c r="BA1430" t="s">
        <v>7437</v>
      </c>
    </row>
    <row r="1431" spans="1:53" x14ac:dyDescent="0.25">
      <c r="A1431">
        <v>1426</v>
      </c>
      <c r="B1431" t="s">
        <v>7691</v>
      </c>
      <c r="C1431" t="s">
        <v>7692</v>
      </c>
      <c r="D1431" t="s">
        <v>7693</v>
      </c>
      <c r="E1431">
        <v>8</v>
      </c>
      <c r="F1431" t="s">
        <v>7426</v>
      </c>
      <c r="G1431" t="s">
        <v>276</v>
      </c>
      <c r="H1431" t="s">
        <v>7509</v>
      </c>
      <c r="I1431" t="s">
        <v>7635</v>
      </c>
      <c r="J1431" t="s">
        <v>7694</v>
      </c>
      <c r="K1431" t="s">
        <v>7512</v>
      </c>
      <c r="L1431" t="s">
        <v>7480</v>
      </c>
      <c r="M1431">
        <v>1.145799994468689</v>
      </c>
      <c r="N1431" t="s">
        <v>54</v>
      </c>
      <c r="O1431" t="s">
        <v>53</v>
      </c>
      <c r="P1431" t="s">
        <v>54</v>
      </c>
      <c r="Q1431" t="s">
        <v>53</v>
      </c>
      <c r="R1431" t="s">
        <v>53</v>
      </c>
      <c r="S1431" t="s">
        <v>1783</v>
      </c>
      <c r="T1431" t="s">
        <v>1783</v>
      </c>
      <c r="U1431" t="s">
        <v>53</v>
      </c>
      <c r="V1431" t="s">
        <v>51</v>
      </c>
      <c r="W1431">
        <v>288000</v>
      </c>
      <c r="X1431" t="s">
        <v>54</v>
      </c>
      <c r="Y1431" t="s">
        <v>7446</v>
      </c>
      <c r="AA1431">
        <v>0</v>
      </c>
      <c r="AB1431">
        <v>0</v>
      </c>
      <c r="AC1431">
        <v>0</v>
      </c>
      <c r="AD1431">
        <v>0</v>
      </c>
      <c r="AE1431">
        <v>0</v>
      </c>
      <c r="AF1431">
        <v>0</v>
      </c>
      <c r="AG1431">
        <v>0</v>
      </c>
      <c r="AH1431">
        <v>0</v>
      </c>
      <c r="AI1431">
        <v>0</v>
      </c>
      <c r="AJ1431">
        <v>0</v>
      </c>
      <c r="AK1431" t="s">
        <v>54</v>
      </c>
      <c r="AL1431" t="s">
        <v>53</v>
      </c>
      <c r="AM1431" t="s">
        <v>32</v>
      </c>
      <c r="AP1431" t="s">
        <v>32</v>
      </c>
      <c r="AQ1431" t="s">
        <v>53</v>
      </c>
      <c r="AR1431" t="s">
        <v>32</v>
      </c>
      <c r="AT1431" t="s">
        <v>7542</v>
      </c>
      <c r="AV1431" t="s">
        <v>32</v>
      </c>
      <c r="AW1431" t="s">
        <v>53</v>
      </c>
      <c r="AX1431" t="s">
        <v>32</v>
      </c>
      <c r="AZ1431" t="s">
        <v>54</v>
      </c>
      <c r="BA1431" t="s">
        <v>7437</v>
      </c>
    </row>
    <row r="1432" spans="1:53" x14ac:dyDescent="0.25">
      <c r="A1432">
        <v>1427</v>
      </c>
      <c r="B1432" t="s">
        <v>7695</v>
      </c>
      <c r="C1432" t="s">
        <v>7696</v>
      </c>
      <c r="D1432" t="s">
        <v>7697</v>
      </c>
      <c r="E1432">
        <v>8</v>
      </c>
      <c r="F1432" t="s">
        <v>7426</v>
      </c>
      <c r="G1432" t="s">
        <v>7549</v>
      </c>
      <c r="H1432" t="s">
        <v>7587</v>
      </c>
      <c r="I1432" t="s">
        <v>7588</v>
      </c>
      <c r="J1432" t="s">
        <v>7589</v>
      </c>
      <c r="K1432" t="s">
        <v>7553</v>
      </c>
      <c r="L1432" t="s">
        <v>7642</v>
      </c>
      <c r="M1432">
        <v>4.7187099456787109</v>
      </c>
      <c r="N1432" t="s">
        <v>54</v>
      </c>
      <c r="O1432" t="s">
        <v>53</v>
      </c>
      <c r="P1432" t="s">
        <v>53</v>
      </c>
      <c r="Q1432" t="s">
        <v>53</v>
      </c>
      <c r="R1432" t="s">
        <v>53</v>
      </c>
      <c r="S1432" t="s">
        <v>7590</v>
      </c>
      <c r="T1432" t="s">
        <v>7590</v>
      </c>
      <c r="U1432" t="s">
        <v>53</v>
      </c>
      <c r="V1432" t="s">
        <v>51</v>
      </c>
      <c r="W1432">
        <v>100000</v>
      </c>
      <c r="X1432" t="s">
        <v>54</v>
      </c>
      <c r="Y1432" t="s">
        <v>7465</v>
      </c>
      <c r="AA1432">
        <v>276</v>
      </c>
      <c r="AB1432">
        <v>224</v>
      </c>
      <c r="AC1432">
        <v>814</v>
      </c>
      <c r="AD1432">
        <v>1179</v>
      </c>
      <c r="AE1432">
        <v>1496</v>
      </c>
      <c r="AF1432">
        <v>1</v>
      </c>
      <c r="AG1432">
        <v>5</v>
      </c>
      <c r="AH1432">
        <v>2.7953600883483891</v>
      </c>
      <c r="AI1432">
        <v>36</v>
      </c>
      <c r="AJ1432">
        <v>0</v>
      </c>
      <c r="AK1432" t="s">
        <v>54</v>
      </c>
      <c r="AL1432" t="s">
        <v>53</v>
      </c>
      <c r="AM1432" t="s">
        <v>32</v>
      </c>
      <c r="AP1432" t="s">
        <v>32</v>
      </c>
      <c r="AQ1432" t="s">
        <v>53</v>
      </c>
      <c r="AR1432" t="s">
        <v>32</v>
      </c>
      <c r="AT1432" t="s">
        <v>7455</v>
      </c>
      <c r="AV1432" t="s">
        <v>32</v>
      </c>
      <c r="AW1432" t="s">
        <v>53</v>
      </c>
      <c r="AX1432" t="s">
        <v>32</v>
      </c>
      <c r="AZ1432" t="s">
        <v>54</v>
      </c>
      <c r="BA1432" t="s">
        <v>7437</v>
      </c>
    </row>
    <row r="1433" spans="1:53" x14ac:dyDescent="0.25">
      <c r="A1433">
        <v>1428</v>
      </c>
      <c r="B1433" t="s">
        <v>7698</v>
      </c>
      <c r="C1433" t="s">
        <v>7699</v>
      </c>
      <c r="D1433" t="s">
        <v>7700</v>
      </c>
      <c r="E1433">
        <v>8</v>
      </c>
      <c r="F1433" t="s">
        <v>7426</v>
      </c>
      <c r="G1433" t="s">
        <v>7549</v>
      </c>
      <c r="H1433" t="s">
        <v>7587</v>
      </c>
      <c r="I1433" t="s">
        <v>7588</v>
      </c>
      <c r="J1433" t="s">
        <v>7589</v>
      </c>
      <c r="K1433" t="s">
        <v>7463</v>
      </c>
      <c r="L1433" t="s">
        <v>7432</v>
      </c>
      <c r="M1433">
        <v>1.0590599775314331</v>
      </c>
      <c r="N1433" t="s">
        <v>53</v>
      </c>
      <c r="O1433" t="s">
        <v>53</v>
      </c>
      <c r="P1433" t="s">
        <v>54</v>
      </c>
      <c r="Q1433" t="s">
        <v>53</v>
      </c>
      <c r="R1433" t="s">
        <v>53</v>
      </c>
      <c r="S1433" t="s">
        <v>7590</v>
      </c>
      <c r="T1433" t="s">
        <v>7590</v>
      </c>
      <c r="U1433" t="s">
        <v>53</v>
      </c>
      <c r="V1433" t="s">
        <v>51</v>
      </c>
      <c r="W1433">
        <v>83000</v>
      </c>
      <c r="X1433" t="s">
        <v>54</v>
      </c>
      <c r="Y1433" t="s">
        <v>7465</v>
      </c>
      <c r="AA1433">
        <v>77</v>
      </c>
      <c r="AB1433">
        <v>73</v>
      </c>
      <c r="AC1433">
        <v>17</v>
      </c>
      <c r="AD1433">
        <v>160</v>
      </c>
      <c r="AE1433">
        <v>163</v>
      </c>
      <c r="AF1433">
        <v>0</v>
      </c>
      <c r="AG1433">
        <v>2</v>
      </c>
      <c r="AH1433">
        <v>1.0346000194549561</v>
      </c>
      <c r="AI1433">
        <v>9</v>
      </c>
      <c r="AJ1433">
        <v>0</v>
      </c>
      <c r="AK1433" t="s">
        <v>54</v>
      </c>
      <c r="AL1433" t="s">
        <v>53</v>
      </c>
      <c r="AM1433" t="s">
        <v>32</v>
      </c>
      <c r="AP1433" t="s">
        <v>32</v>
      </c>
      <c r="AQ1433" t="s">
        <v>53</v>
      </c>
      <c r="AR1433" t="s">
        <v>32</v>
      </c>
      <c r="AT1433" t="s">
        <v>7455</v>
      </c>
      <c r="AV1433" t="s">
        <v>32</v>
      </c>
      <c r="AW1433" t="s">
        <v>53</v>
      </c>
      <c r="AX1433" t="s">
        <v>32</v>
      </c>
      <c r="AZ1433" t="s">
        <v>54</v>
      </c>
      <c r="BA1433" t="s">
        <v>7437</v>
      </c>
    </row>
    <row r="1434" spans="1:53" x14ac:dyDescent="0.25">
      <c r="A1434">
        <v>1429</v>
      </c>
      <c r="B1434" t="s">
        <v>7701</v>
      </c>
      <c r="C1434" t="s">
        <v>7702</v>
      </c>
      <c r="D1434" t="s">
        <v>7703</v>
      </c>
      <c r="E1434">
        <v>8</v>
      </c>
      <c r="F1434" t="s">
        <v>7426</v>
      </c>
      <c r="G1434" t="s">
        <v>7549</v>
      </c>
      <c r="H1434" t="s">
        <v>7587</v>
      </c>
      <c r="I1434" t="s">
        <v>7588</v>
      </c>
      <c r="J1434" t="s">
        <v>7589</v>
      </c>
      <c r="K1434" t="s">
        <v>7463</v>
      </c>
      <c r="L1434" t="s">
        <v>7432</v>
      </c>
      <c r="M1434">
        <v>1.063740015029907</v>
      </c>
      <c r="N1434" t="s">
        <v>53</v>
      </c>
      <c r="O1434" t="s">
        <v>53</v>
      </c>
      <c r="P1434" t="s">
        <v>54</v>
      </c>
      <c r="Q1434" t="s">
        <v>53</v>
      </c>
      <c r="R1434" t="s">
        <v>53</v>
      </c>
      <c r="S1434" t="s">
        <v>7590</v>
      </c>
      <c r="T1434" t="s">
        <v>7590</v>
      </c>
      <c r="U1434" t="s">
        <v>53</v>
      </c>
      <c r="V1434" t="s">
        <v>51</v>
      </c>
      <c r="W1434">
        <v>129000</v>
      </c>
      <c r="X1434" t="s">
        <v>54</v>
      </c>
      <c r="Y1434" t="s">
        <v>7465</v>
      </c>
      <c r="AA1434">
        <v>76</v>
      </c>
      <c r="AB1434">
        <v>38</v>
      </c>
      <c r="AC1434">
        <v>649</v>
      </c>
      <c r="AD1434">
        <v>730</v>
      </c>
      <c r="AE1434">
        <v>961</v>
      </c>
      <c r="AF1434">
        <v>1</v>
      </c>
      <c r="AG1434">
        <v>0</v>
      </c>
      <c r="AH1434">
        <v>0.22497500479221341</v>
      </c>
      <c r="AI1434">
        <v>7</v>
      </c>
      <c r="AJ1434">
        <v>0</v>
      </c>
      <c r="AK1434" t="s">
        <v>54</v>
      </c>
      <c r="AL1434" t="s">
        <v>53</v>
      </c>
      <c r="AM1434" t="s">
        <v>32</v>
      </c>
      <c r="AP1434" t="s">
        <v>32</v>
      </c>
      <c r="AQ1434" t="s">
        <v>53</v>
      </c>
      <c r="AR1434" t="s">
        <v>32</v>
      </c>
      <c r="AT1434" t="s">
        <v>7455</v>
      </c>
      <c r="AV1434" t="s">
        <v>32</v>
      </c>
      <c r="AW1434" t="s">
        <v>53</v>
      </c>
      <c r="AX1434" t="s">
        <v>32</v>
      </c>
      <c r="AZ1434" t="s">
        <v>54</v>
      </c>
      <c r="BA1434" t="s">
        <v>7437</v>
      </c>
    </row>
    <row r="1435" spans="1:53" x14ac:dyDescent="0.25">
      <c r="A1435">
        <v>1430</v>
      </c>
      <c r="B1435" t="s">
        <v>7704</v>
      </c>
      <c r="C1435" t="s">
        <v>7705</v>
      </c>
      <c r="D1435" t="s">
        <v>7706</v>
      </c>
      <c r="E1435">
        <v>8</v>
      </c>
      <c r="F1435" t="s">
        <v>7426</v>
      </c>
      <c r="G1435" t="s">
        <v>7549</v>
      </c>
      <c r="H1435" t="s">
        <v>7587</v>
      </c>
      <c r="I1435" t="s">
        <v>7588</v>
      </c>
      <c r="J1435" t="s">
        <v>7589</v>
      </c>
      <c r="K1435" t="s">
        <v>7463</v>
      </c>
      <c r="L1435" t="s">
        <v>7432</v>
      </c>
      <c r="M1435">
        <v>3.0936601161956792</v>
      </c>
      <c r="N1435" t="s">
        <v>54</v>
      </c>
      <c r="O1435" t="s">
        <v>53</v>
      </c>
      <c r="P1435" t="s">
        <v>53</v>
      </c>
      <c r="Q1435" t="s">
        <v>53</v>
      </c>
      <c r="R1435" t="s">
        <v>53</v>
      </c>
      <c r="S1435" t="s">
        <v>7590</v>
      </c>
      <c r="T1435" t="s">
        <v>7590</v>
      </c>
      <c r="U1435" t="s">
        <v>53</v>
      </c>
      <c r="V1435" t="s">
        <v>51</v>
      </c>
      <c r="W1435">
        <v>194000</v>
      </c>
      <c r="X1435" t="s">
        <v>54</v>
      </c>
      <c r="Y1435" t="s">
        <v>7465</v>
      </c>
      <c r="AA1435">
        <v>159</v>
      </c>
      <c r="AB1435">
        <v>105</v>
      </c>
      <c r="AC1435">
        <v>762</v>
      </c>
      <c r="AD1435">
        <v>838</v>
      </c>
      <c r="AE1435">
        <v>1162</v>
      </c>
      <c r="AF1435">
        <v>1</v>
      </c>
      <c r="AG1435">
        <v>4</v>
      </c>
      <c r="AH1435">
        <v>1.7613400220870969</v>
      </c>
      <c r="AI1435">
        <v>18</v>
      </c>
      <c r="AJ1435">
        <v>0</v>
      </c>
      <c r="AK1435" t="s">
        <v>54</v>
      </c>
      <c r="AL1435" t="s">
        <v>53</v>
      </c>
      <c r="AM1435" t="s">
        <v>32</v>
      </c>
      <c r="AP1435" t="s">
        <v>32</v>
      </c>
      <c r="AQ1435" t="s">
        <v>53</v>
      </c>
      <c r="AR1435" t="s">
        <v>32</v>
      </c>
      <c r="AT1435" t="s">
        <v>7455</v>
      </c>
      <c r="AV1435" t="s">
        <v>32</v>
      </c>
      <c r="AW1435" t="s">
        <v>53</v>
      </c>
      <c r="AX1435" t="s">
        <v>32</v>
      </c>
      <c r="AZ1435" t="s">
        <v>54</v>
      </c>
      <c r="BA1435" t="s">
        <v>7437</v>
      </c>
    </row>
    <row r="1436" spans="1:53" x14ac:dyDescent="0.25">
      <c r="A1436">
        <v>1431</v>
      </c>
      <c r="B1436" t="s">
        <v>7707</v>
      </c>
      <c r="C1436" t="s">
        <v>7708</v>
      </c>
      <c r="D1436" t="s">
        <v>7697</v>
      </c>
      <c r="E1436">
        <v>8</v>
      </c>
      <c r="F1436" t="s">
        <v>7426</v>
      </c>
      <c r="G1436" t="s">
        <v>7549</v>
      </c>
      <c r="H1436" t="s">
        <v>7587</v>
      </c>
      <c r="I1436" t="s">
        <v>7588</v>
      </c>
      <c r="J1436" t="s">
        <v>7589</v>
      </c>
      <c r="K1436" t="s">
        <v>7463</v>
      </c>
      <c r="L1436" t="s">
        <v>7642</v>
      </c>
      <c r="M1436">
        <v>1.074219942092896</v>
      </c>
      <c r="N1436" t="s">
        <v>53</v>
      </c>
      <c r="O1436" t="s">
        <v>53</v>
      </c>
      <c r="P1436" t="s">
        <v>54</v>
      </c>
      <c r="Q1436" t="s">
        <v>53</v>
      </c>
      <c r="R1436" t="s">
        <v>53</v>
      </c>
      <c r="S1436" t="s">
        <v>7590</v>
      </c>
      <c r="T1436" t="s">
        <v>7590</v>
      </c>
      <c r="U1436" t="s">
        <v>53</v>
      </c>
      <c r="V1436" t="s">
        <v>51</v>
      </c>
      <c r="W1436">
        <v>50000</v>
      </c>
      <c r="X1436" t="s">
        <v>54</v>
      </c>
      <c r="Y1436" t="s">
        <v>7465</v>
      </c>
      <c r="AA1436">
        <v>76</v>
      </c>
      <c r="AB1436">
        <v>38</v>
      </c>
      <c r="AC1436">
        <v>649</v>
      </c>
      <c r="AD1436">
        <v>730</v>
      </c>
      <c r="AE1436">
        <v>961</v>
      </c>
      <c r="AF1436">
        <v>1</v>
      </c>
      <c r="AG1436">
        <v>0</v>
      </c>
      <c r="AH1436">
        <v>0.29646900296211243</v>
      </c>
      <c r="AI1436">
        <v>7</v>
      </c>
      <c r="AJ1436">
        <v>0</v>
      </c>
      <c r="AK1436" t="s">
        <v>54</v>
      </c>
      <c r="AL1436" t="s">
        <v>53</v>
      </c>
      <c r="AM1436" t="s">
        <v>32</v>
      </c>
      <c r="AP1436" t="s">
        <v>32</v>
      </c>
      <c r="AQ1436" t="s">
        <v>53</v>
      </c>
      <c r="AR1436" t="s">
        <v>32</v>
      </c>
      <c r="AT1436" t="s">
        <v>7455</v>
      </c>
      <c r="AV1436" t="s">
        <v>32</v>
      </c>
      <c r="AW1436" t="s">
        <v>53</v>
      </c>
      <c r="AX1436" t="s">
        <v>32</v>
      </c>
      <c r="AZ1436" t="s">
        <v>54</v>
      </c>
      <c r="BA1436" t="s">
        <v>7437</v>
      </c>
    </row>
    <row r="1437" spans="1:53" x14ac:dyDescent="0.25">
      <c r="A1437">
        <v>1432</v>
      </c>
      <c r="B1437" t="s">
        <v>7709</v>
      </c>
      <c r="C1437" t="s">
        <v>7710</v>
      </c>
      <c r="D1437" t="s">
        <v>7711</v>
      </c>
      <c r="E1437">
        <v>8</v>
      </c>
      <c r="F1437" t="s">
        <v>7426</v>
      </c>
      <c r="G1437" t="s">
        <v>7549</v>
      </c>
      <c r="H1437" t="s">
        <v>7587</v>
      </c>
      <c r="I1437" t="s">
        <v>7588</v>
      </c>
      <c r="J1437" t="s">
        <v>7589</v>
      </c>
      <c r="K1437" t="s">
        <v>7463</v>
      </c>
      <c r="L1437" t="s">
        <v>7480</v>
      </c>
      <c r="M1437">
        <v>1.3214900493621831</v>
      </c>
      <c r="N1437" t="s">
        <v>54</v>
      </c>
      <c r="O1437" t="s">
        <v>53</v>
      </c>
      <c r="P1437" t="s">
        <v>53</v>
      </c>
      <c r="Q1437" t="s">
        <v>53</v>
      </c>
      <c r="R1437" t="s">
        <v>53</v>
      </c>
      <c r="S1437" t="s">
        <v>7590</v>
      </c>
      <c r="T1437" t="s">
        <v>7590</v>
      </c>
      <c r="U1437" t="s">
        <v>53</v>
      </c>
      <c r="V1437" t="s">
        <v>51</v>
      </c>
      <c r="W1437">
        <v>100000</v>
      </c>
      <c r="X1437" t="s">
        <v>54</v>
      </c>
      <c r="Y1437" t="s">
        <v>7465</v>
      </c>
      <c r="AA1437">
        <v>20</v>
      </c>
      <c r="AB1437">
        <v>20</v>
      </c>
      <c r="AC1437">
        <v>6</v>
      </c>
      <c r="AD1437">
        <v>49</v>
      </c>
      <c r="AE1437">
        <v>49</v>
      </c>
      <c r="AF1437">
        <v>0</v>
      </c>
      <c r="AG1437">
        <v>0</v>
      </c>
      <c r="AH1437">
        <v>0.1636819988489151</v>
      </c>
      <c r="AI1437">
        <v>1</v>
      </c>
      <c r="AJ1437">
        <v>0</v>
      </c>
      <c r="AK1437" t="s">
        <v>54</v>
      </c>
      <c r="AL1437" t="s">
        <v>53</v>
      </c>
      <c r="AM1437" t="s">
        <v>32</v>
      </c>
      <c r="AP1437" t="s">
        <v>32</v>
      </c>
      <c r="AQ1437" t="s">
        <v>53</v>
      </c>
      <c r="AR1437" t="s">
        <v>32</v>
      </c>
      <c r="AT1437" t="s">
        <v>7455</v>
      </c>
      <c r="AV1437" t="s">
        <v>32</v>
      </c>
      <c r="AW1437" t="s">
        <v>53</v>
      </c>
      <c r="AX1437" t="s">
        <v>32</v>
      </c>
      <c r="AZ1437" t="s">
        <v>54</v>
      </c>
      <c r="BA1437" t="s">
        <v>7437</v>
      </c>
    </row>
    <row r="1438" spans="1:53" x14ac:dyDescent="0.25">
      <c r="A1438">
        <v>1433</v>
      </c>
      <c r="B1438" t="s">
        <v>7712</v>
      </c>
      <c r="C1438" t="s">
        <v>7713</v>
      </c>
      <c r="D1438" t="s">
        <v>7714</v>
      </c>
      <c r="E1438">
        <v>8</v>
      </c>
      <c r="F1438" t="s">
        <v>7426</v>
      </c>
      <c r="G1438" t="s">
        <v>276</v>
      </c>
      <c r="H1438" t="s">
        <v>7509</v>
      </c>
      <c r="I1438" t="s">
        <v>7635</v>
      </c>
      <c r="J1438" t="s">
        <v>7694</v>
      </c>
      <c r="K1438" t="s">
        <v>7512</v>
      </c>
      <c r="L1438" t="s">
        <v>7480</v>
      </c>
      <c r="M1438">
        <v>1.071699976921082</v>
      </c>
      <c r="N1438" t="s">
        <v>53</v>
      </c>
      <c r="O1438" t="s">
        <v>53</v>
      </c>
      <c r="P1438" t="s">
        <v>54</v>
      </c>
      <c r="Q1438" t="s">
        <v>53</v>
      </c>
      <c r="R1438" t="s">
        <v>53</v>
      </c>
      <c r="S1438" t="s">
        <v>1783</v>
      </c>
      <c r="T1438" t="s">
        <v>1783</v>
      </c>
      <c r="U1438" t="s">
        <v>53</v>
      </c>
      <c r="V1438" t="s">
        <v>51</v>
      </c>
      <c r="W1438">
        <v>421000</v>
      </c>
      <c r="X1438" t="s">
        <v>54</v>
      </c>
      <c r="Y1438" t="s">
        <v>7446</v>
      </c>
      <c r="AA1438">
        <v>0</v>
      </c>
      <c r="AB1438">
        <v>0</v>
      </c>
      <c r="AC1438">
        <v>0</v>
      </c>
      <c r="AD1438">
        <v>0</v>
      </c>
      <c r="AE1438">
        <v>0</v>
      </c>
      <c r="AF1438">
        <v>0</v>
      </c>
      <c r="AG1438">
        <v>0</v>
      </c>
      <c r="AH1438">
        <v>0</v>
      </c>
      <c r="AI1438">
        <v>0</v>
      </c>
      <c r="AJ1438">
        <v>0</v>
      </c>
      <c r="AK1438" t="s">
        <v>54</v>
      </c>
      <c r="AL1438" t="s">
        <v>53</v>
      </c>
      <c r="AM1438" t="s">
        <v>32</v>
      </c>
      <c r="AP1438" t="s">
        <v>32</v>
      </c>
      <c r="AQ1438" t="s">
        <v>53</v>
      </c>
      <c r="AR1438" t="s">
        <v>32</v>
      </c>
      <c r="AT1438" t="s">
        <v>7447</v>
      </c>
      <c r="AV1438" t="s">
        <v>32</v>
      </c>
      <c r="AW1438" t="s">
        <v>53</v>
      </c>
      <c r="AX1438" t="s">
        <v>32</v>
      </c>
      <c r="AZ1438" t="s">
        <v>54</v>
      </c>
      <c r="BA1438" t="s">
        <v>7437</v>
      </c>
    </row>
    <row r="1439" spans="1:53" x14ac:dyDescent="0.25">
      <c r="A1439">
        <v>1434</v>
      </c>
      <c r="B1439" t="s">
        <v>7715</v>
      </c>
      <c r="C1439" t="s">
        <v>7716</v>
      </c>
      <c r="D1439" t="s">
        <v>7717</v>
      </c>
      <c r="E1439">
        <v>8</v>
      </c>
      <c r="F1439" t="s">
        <v>7426</v>
      </c>
      <c r="G1439" t="s">
        <v>276</v>
      </c>
      <c r="H1439" t="s">
        <v>7509</v>
      </c>
      <c r="I1439" t="s">
        <v>7635</v>
      </c>
      <c r="J1439" t="s">
        <v>7694</v>
      </c>
      <c r="K1439" t="s">
        <v>7512</v>
      </c>
      <c r="L1439" t="s">
        <v>7480</v>
      </c>
      <c r="M1439">
        <v>1.145799994468689</v>
      </c>
      <c r="N1439" t="s">
        <v>53</v>
      </c>
      <c r="O1439" t="s">
        <v>53</v>
      </c>
      <c r="P1439" t="s">
        <v>54</v>
      </c>
      <c r="Q1439" t="s">
        <v>53</v>
      </c>
      <c r="R1439" t="s">
        <v>53</v>
      </c>
      <c r="S1439" t="s">
        <v>1783</v>
      </c>
      <c r="T1439" t="s">
        <v>1783</v>
      </c>
      <c r="U1439" t="s">
        <v>53</v>
      </c>
      <c r="V1439" t="s">
        <v>51</v>
      </c>
      <c r="W1439">
        <v>551000</v>
      </c>
      <c r="X1439" t="s">
        <v>54</v>
      </c>
      <c r="Y1439" t="s">
        <v>7446</v>
      </c>
      <c r="AA1439">
        <v>0</v>
      </c>
      <c r="AB1439">
        <v>0</v>
      </c>
      <c r="AC1439">
        <v>0</v>
      </c>
      <c r="AD1439">
        <v>0</v>
      </c>
      <c r="AE1439">
        <v>0</v>
      </c>
      <c r="AF1439">
        <v>0</v>
      </c>
      <c r="AG1439">
        <v>0</v>
      </c>
      <c r="AH1439">
        <v>0</v>
      </c>
      <c r="AI1439">
        <v>0</v>
      </c>
      <c r="AJ1439">
        <v>0</v>
      </c>
      <c r="AK1439" t="s">
        <v>54</v>
      </c>
      <c r="AL1439" t="s">
        <v>53</v>
      </c>
      <c r="AM1439" t="s">
        <v>32</v>
      </c>
      <c r="AP1439" t="s">
        <v>32</v>
      </c>
      <c r="AQ1439" t="s">
        <v>53</v>
      </c>
      <c r="AR1439" t="s">
        <v>32</v>
      </c>
      <c r="AT1439" t="s">
        <v>7447</v>
      </c>
      <c r="AV1439" t="s">
        <v>32</v>
      </c>
      <c r="AW1439" t="s">
        <v>53</v>
      </c>
      <c r="AX1439" t="s">
        <v>32</v>
      </c>
      <c r="AZ1439" t="s">
        <v>54</v>
      </c>
      <c r="BA1439" t="s">
        <v>7437</v>
      </c>
    </row>
    <row r="1440" spans="1:53" x14ac:dyDescent="0.25">
      <c r="A1440">
        <v>1435</v>
      </c>
      <c r="B1440" t="s">
        <v>7718</v>
      </c>
      <c r="C1440" t="s">
        <v>7719</v>
      </c>
      <c r="D1440" t="s">
        <v>7634</v>
      </c>
      <c r="E1440">
        <v>8</v>
      </c>
      <c r="F1440" t="s">
        <v>7426</v>
      </c>
      <c r="G1440" t="s">
        <v>276</v>
      </c>
      <c r="H1440" t="s">
        <v>7509</v>
      </c>
      <c r="I1440" t="s">
        <v>7635</v>
      </c>
      <c r="J1440" t="s">
        <v>7636</v>
      </c>
      <c r="K1440" t="s">
        <v>7512</v>
      </c>
      <c r="L1440" t="s">
        <v>7480</v>
      </c>
      <c r="M1440">
        <v>3.324990034103394</v>
      </c>
      <c r="N1440" t="s">
        <v>53</v>
      </c>
      <c r="O1440" t="s">
        <v>53</v>
      </c>
      <c r="P1440" t="s">
        <v>54</v>
      </c>
      <c r="Q1440" t="s">
        <v>53</v>
      </c>
      <c r="R1440" t="s">
        <v>53</v>
      </c>
      <c r="S1440" t="s">
        <v>1783</v>
      </c>
      <c r="T1440" t="s">
        <v>1783</v>
      </c>
      <c r="U1440" t="s">
        <v>53</v>
      </c>
      <c r="V1440" t="s">
        <v>51</v>
      </c>
      <c r="W1440">
        <v>82000</v>
      </c>
      <c r="X1440" t="s">
        <v>54</v>
      </c>
      <c r="Y1440" t="s">
        <v>7446</v>
      </c>
      <c r="AA1440">
        <v>0</v>
      </c>
      <c r="AB1440">
        <v>0</v>
      </c>
      <c r="AC1440">
        <v>0</v>
      </c>
      <c r="AD1440">
        <v>0</v>
      </c>
      <c r="AE1440">
        <v>0</v>
      </c>
      <c r="AF1440">
        <v>0</v>
      </c>
      <c r="AG1440">
        <v>0</v>
      </c>
      <c r="AH1440">
        <v>3.206569934263825E-3</v>
      </c>
      <c r="AI1440">
        <v>0</v>
      </c>
      <c r="AJ1440">
        <v>0</v>
      </c>
      <c r="AK1440" t="s">
        <v>54</v>
      </c>
      <c r="AL1440" t="s">
        <v>53</v>
      </c>
      <c r="AM1440" t="s">
        <v>32</v>
      </c>
      <c r="AP1440" t="s">
        <v>32</v>
      </c>
      <c r="AQ1440" t="s">
        <v>53</v>
      </c>
      <c r="AR1440" t="s">
        <v>32</v>
      </c>
      <c r="AT1440" t="s">
        <v>7447</v>
      </c>
      <c r="AV1440" t="s">
        <v>32</v>
      </c>
      <c r="AW1440" t="s">
        <v>53</v>
      </c>
      <c r="AX1440" t="s">
        <v>32</v>
      </c>
      <c r="AZ1440" t="s">
        <v>54</v>
      </c>
      <c r="BA1440" t="s">
        <v>7437</v>
      </c>
    </row>
    <row r="1441" spans="1:53" x14ac:dyDescent="0.25">
      <c r="A1441">
        <v>1436</v>
      </c>
      <c r="B1441" t="s">
        <v>7720</v>
      </c>
      <c r="C1441" t="s">
        <v>7721</v>
      </c>
      <c r="D1441" t="s">
        <v>7697</v>
      </c>
      <c r="E1441">
        <v>8</v>
      </c>
      <c r="F1441" t="s">
        <v>7426</v>
      </c>
      <c r="G1441" t="s">
        <v>7549</v>
      </c>
      <c r="H1441" t="s">
        <v>7550</v>
      </c>
      <c r="I1441" t="s">
        <v>7551</v>
      </c>
      <c r="J1441" t="s">
        <v>7552</v>
      </c>
      <c r="K1441" t="s">
        <v>7553</v>
      </c>
      <c r="L1441" t="s">
        <v>7642</v>
      </c>
      <c r="M1441">
        <v>4.7252402305603027</v>
      </c>
      <c r="N1441" t="s">
        <v>54</v>
      </c>
      <c r="O1441" t="s">
        <v>53</v>
      </c>
      <c r="P1441" t="s">
        <v>54</v>
      </c>
      <c r="Q1441" t="s">
        <v>53</v>
      </c>
      <c r="R1441" t="s">
        <v>53</v>
      </c>
      <c r="S1441" t="s">
        <v>7554</v>
      </c>
      <c r="T1441" t="s">
        <v>7554</v>
      </c>
      <c r="U1441" t="s">
        <v>53</v>
      </c>
      <c r="V1441" t="s">
        <v>51</v>
      </c>
      <c r="W1441">
        <v>100000</v>
      </c>
      <c r="X1441" t="s">
        <v>54</v>
      </c>
      <c r="Y1441" t="s">
        <v>7555</v>
      </c>
      <c r="AA1441">
        <v>22</v>
      </c>
      <c r="AB1441">
        <v>19</v>
      </c>
      <c r="AC1441">
        <v>16</v>
      </c>
      <c r="AD1441">
        <v>45</v>
      </c>
      <c r="AE1441">
        <v>61</v>
      </c>
      <c r="AF1441">
        <v>1</v>
      </c>
      <c r="AG1441">
        <v>9</v>
      </c>
      <c r="AH1441">
        <v>1.2154500484466551</v>
      </c>
      <c r="AI1441">
        <v>7</v>
      </c>
      <c r="AJ1441">
        <v>32.554100036621087</v>
      </c>
      <c r="AK1441" t="s">
        <v>54</v>
      </c>
      <c r="AL1441" t="s">
        <v>53</v>
      </c>
      <c r="AM1441" t="s">
        <v>32</v>
      </c>
      <c r="AP1441" t="s">
        <v>32</v>
      </c>
      <c r="AQ1441" t="s">
        <v>53</v>
      </c>
      <c r="AR1441" t="s">
        <v>32</v>
      </c>
      <c r="AT1441" t="s">
        <v>7722</v>
      </c>
      <c r="AV1441" t="s">
        <v>32</v>
      </c>
      <c r="AW1441" t="s">
        <v>53</v>
      </c>
      <c r="AX1441" t="s">
        <v>32</v>
      </c>
      <c r="AZ1441" t="s">
        <v>54</v>
      </c>
      <c r="BA1441" t="s">
        <v>7437</v>
      </c>
    </row>
    <row r="1442" spans="1:53" x14ac:dyDescent="0.25">
      <c r="A1442">
        <v>1437</v>
      </c>
      <c r="B1442" t="s">
        <v>7723</v>
      </c>
      <c r="C1442" t="s">
        <v>7724</v>
      </c>
      <c r="D1442" t="s">
        <v>7697</v>
      </c>
      <c r="E1442">
        <v>8</v>
      </c>
      <c r="F1442" t="s">
        <v>7426</v>
      </c>
      <c r="G1442" t="s">
        <v>7549</v>
      </c>
      <c r="H1442" t="s">
        <v>7550</v>
      </c>
      <c r="I1442" t="s">
        <v>7551</v>
      </c>
      <c r="J1442" t="s">
        <v>7551</v>
      </c>
      <c r="K1442" t="s">
        <v>7553</v>
      </c>
      <c r="L1442" t="s">
        <v>7642</v>
      </c>
      <c r="M1442">
        <v>8.7308597564697266</v>
      </c>
      <c r="N1442" t="s">
        <v>54</v>
      </c>
      <c r="O1442" t="s">
        <v>53</v>
      </c>
      <c r="P1442" t="s">
        <v>54</v>
      </c>
      <c r="Q1442" t="s">
        <v>53</v>
      </c>
      <c r="R1442" t="s">
        <v>53</v>
      </c>
      <c r="S1442" t="s">
        <v>7554</v>
      </c>
      <c r="T1442" t="s">
        <v>7554</v>
      </c>
      <c r="U1442" t="s">
        <v>53</v>
      </c>
      <c r="V1442" t="s">
        <v>51</v>
      </c>
      <c r="W1442">
        <v>100000</v>
      </c>
      <c r="X1442" t="s">
        <v>54</v>
      </c>
      <c r="Y1442" t="s">
        <v>7555</v>
      </c>
      <c r="AA1442">
        <v>69</v>
      </c>
      <c r="AB1442">
        <v>50</v>
      </c>
      <c r="AC1442">
        <v>26</v>
      </c>
      <c r="AD1442">
        <v>85</v>
      </c>
      <c r="AE1442">
        <v>111</v>
      </c>
      <c r="AF1442">
        <v>1</v>
      </c>
      <c r="AG1442">
        <v>9</v>
      </c>
      <c r="AH1442">
        <v>2.126060009002686</v>
      </c>
      <c r="AI1442">
        <v>19</v>
      </c>
      <c r="AJ1442">
        <v>75.054000854492188</v>
      </c>
      <c r="AK1442" t="s">
        <v>54</v>
      </c>
      <c r="AL1442" t="s">
        <v>53</v>
      </c>
      <c r="AM1442" t="s">
        <v>32</v>
      </c>
      <c r="AP1442" t="s">
        <v>32</v>
      </c>
      <c r="AQ1442" t="s">
        <v>53</v>
      </c>
      <c r="AR1442" t="s">
        <v>32</v>
      </c>
      <c r="AT1442" t="s">
        <v>7722</v>
      </c>
      <c r="AV1442" t="s">
        <v>32</v>
      </c>
      <c r="AW1442" t="s">
        <v>53</v>
      </c>
      <c r="AX1442" t="s">
        <v>32</v>
      </c>
      <c r="AZ1442" t="s">
        <v>54</v>
      </c>
      <c r="BA1442" t="s">
        <v>7437</v>
      </c>
    </row>
    <row r="1443" spans="1:53" x14ac:dyDescent="0.25">
      <c r="A1443">
        <v>1438</v>
      </c>
      <c r="B1443" t="s">
        <v>7725</v>
      </c>
      <c r="C1443" t="s">
        <v>7726</v>
      </c>
      <c r="D1443" t="s">
        <v>7697</v>
      </c>
      <c r="E1443">
        <v>8</v>
      </c>
      <c r="F1443" t="s">
        <v>7426</v>
      </c>
      <c r="G1443" t="s">
        <v>7549</v>
      </c>
      <c r="H1443" t="s">
        <v>7550</v>
      </c>
      <c r="I1443" t="s">
        <v>7551</v>
      </c>
      <c r="J1443" t="s">
        <v>7552</v>
      </c>
      <c r="K1443" t="s">
        <v>7463</v>
      </c>
      <c r="L1443" t="s">
        <v>7642</v>
      </c>
      <c r="M1443">
        <v>1.870630025863647</v>
      </c>
      <c r="N1443" t="s">
        <v>54</v>
      </c>
      <c r="O1443" t="s">
        <v>53</v>
      </c>
      <c r="P1443" t="s">
        <v>54</v>
      </c>
      <c r="Q1443" t="s">
        <v>53</v>
      </c>
      <c r="R1443" t="s">
        <v>53</v>
      </c>
      <c r="S1443" t="s">
        <v>7554</v>
      </c>
      <c r="T1443" t="s">
        <v>7554</v>
      </c>
      <c r="U1443" t="s">
        <v>53</v>
      </c>
      <c r="V1443" t="s">
        <v>51</v>
      </c>
      <c r="W1443">
        <v>100000</v>
      </c>
      <c r="X1443" t="s">
        <v>54</v>
      </c>
      <c r="Y1443" t="s">
        <v>7555</v>
      </c>
      <c r="AA1443">
        <v>26</v>
      </c>
      <c r="AB1443">
        <v>26</v>
      </c>
      <c r="AC1443">
        <v>18</v>
      </c>
      <c r="AD1443">
        <v>86</v>
      </c>
      <c r="AE1443">
        <v>104</v>
      </c>
      <c r="AF1443">
        <v>1</v>
      </c>
      <c r="AG1443">
        <v>0</v>
      </c>
      <c r="AH1443">
        <v>1.654309988021851</v>
      </c>
      <c r="AI1443">
        <v>2</v>
      </c>
      <c r="AJ1443">
        <v>12.156399726867679</v>
      </c>
      <c r="AK1443" t="s">
        <v>54</v>
      </c>
      <c r="AL1443" t="s">
        <v>53</v>
      </c>
      <c r="AM1443" t="s">
        <v>32</v>
      </c>
      <c r="AP1443" t="s">
        <v>32</v>
      </c>
      <c r="AQ1443" t="s">
        <v>53</v>
      </c>
      <c r="AR1443" t="s">
        <v>32</v>
      </c>
      <c r="AT1443" t="s">
        <v>7722</v>
      </c>
      <c r="AV1443" t="s">
        <v>32</v>
      </c>
      <c r="AW1443" t="s">
        <v>53</v>
      </c>
      <c r="AX1443" t="s">
        <v>32</v>
      </c>
      <c r="AZ1443" t="s">
        <v>54</v>
      </c>
      <c r="BA1443" t="s">
        <v>7437</v>
      </c>
    </row>
    <row r="1444" spans="1:53" x14ac:dyDescent="0.25">
      <c r="A1444">
        <v>1439</v>
      </c>
      <c r="B1444" t="s">
        <v>7727</v>
      </c>
      <c r="C1444" t="s">
        <v>7728</v>
      </c>
      <c r="D1444" t="s">
        <v>7729</v>
      </c>
      <c r="E1444">
        <v>8</v>
      </c>
      <c r="F1444" t="s">
        <v>7426</v>
      </c>
      <c r="G1444" t="s">
        <v>276</v>
      </c>
      <c r="H1444" t="s">
        <v>7451</v>
      </c>
      <c r="I1444" t="s">
        <v>7452</v>
      </c>
      <c r="J1444" t="s">
        <v>7453</v>
      </c>
      <c r="K1444" t="s">
        <v>7454</v>
      </c>
      <c r="L1444" t="s">
        <v>7480</v>
      </c>
      <c r="M1444">
        <v>42.756301879882813</v>
      </c>
      <c r="N1444" t="s">
        <v>54</v>
      </c>
      <c r="O1444" t="s">
        <v>53</v>
      </c>
      <c r="P1444" t="s">
        <v>53</v>
      </c>
      <c r="Q1444" t="s">
        <v>53</v>
      </c>
      <c r="R1444" t="s">
        <v>53</v>
      </c>
      <c r="S1444" t="s">
        <v>1783</v>
      </c>
      <c r="T1444" t="s">
        <v>1783</v>
      </c>
      <c r="U1444" t="s">
        <v>53</v>
      </c>
      <c r="V1444" t="s">
        <v>51</v>
      </c>
      <c r="W1444">
        <v>388000</v>
      </c>
      <c r="X1444" t="s">
        <v>54</v>
      </c>
      <c r="Y1444" t="s">
        <v>7446</v>
      </c>
      <c r="AA1444">
        <v>442</v>
      </c>
      <c r="AB1444">
        <v>350</v>
      </c>
      <c r="AC1444">
        <v>797</v>
      </c>
      <c r="AD1444">
        <v>835</v>
      </c>
      <c r="AE1444">
        <v>1403</v>
      </c>
      <c r="AF1444">
        <v>2</v>
      </c>
      <c r="AG1444">
        <v>0</v>
      </c>
      <c r="AH1444">
        <v>18.439199447631839</v>
      </c>
      <c r="AI1444">
        <v>96</v>
      </c>
      <c r="AJ1444">
        <v>1687.170043945312</v>
      </c>
      <c r="AK1444" t="s">
        <v>54</v>
      </c>
      <c r="AL1444" t="s">
        <v>53</v>
      </c>
      <c r="AM1444" t="s">
        <v>32</v>
      </c>
      <c r="AP1444" t="s">
        <v>32</v>
      </c>
      <c r="AQ1444" t="s">
        <v>53</v>
      </c>
      <c r="AR1444" t="s">
        <v>32</v>
      </c>
      <c r="AT1444" t="s">
        <v>7447</v>
      </c>
      <c r="AV1444" t="s">
        <v>32</v>
      </c>
      <c r="AW1444" t="s">
        <v>53</v>
      </c>
      <c r="AX1444" t="s">
        <v>32</v>
      </c>
      <c r="AZ1444" t="s">
        <v>54</v>
      </c>
      <c r="BA1444" t="s">
        <v>7437</v>
      </c>
    </row>
    <row r="1445" spans="1:53" x14ac:dyDescent="0.25">
      <c r="A1445">
        <v>1440</v>
      </c>
      <c r="B1445" t="s">
        <v>7730</v>
      </c>
      <c r="C1445" t="s">
        <v>7731</v>
      </c>
      <c r="D1445" t="s">
        <v>7697</v>
      </c>
      <c r="E1445">
        <v>8</v>
      </c>
      <c r="F1445" t="s">
        <v>7426</v>
      </c>
      <c r="G1445" t="s">
        <v>276</v>
      </c>
      <c r="H1445" t="s">
        <v>7451</v>
      </c>
      <c r="I1445" t="s">
        <v>7452</v>
      </c>
      <c r="J1445" t="s">
        <v>7453</v>
      </c>
      <c r="K1445" t="s">
        <v>7454</v>
      </c>
      <c r="L1445" t="s">
        <v>7480</v>
      </c>
      <c r="M1445">
        <v>42.756301879882813</v>
      </c>
      <c r="N1445" t="s">
        <v>53</v>
      </c>
      <c r="O1445" t="s">
        <v>53</v>
      </c>
      <c r="P1445" t="s">
        <v>54</v>
      </c>
      <c r="Q1445" t="s">
        <v>53</v>
      </c>
      <c r="R1445" t="s">
        <v>53</v>
      </c>
      <c r="S1445" t="s">
        <v>1783</v>
      </c>
      <c r="T1445" t="s">
        <v>1783</v>
      </c>
      <c r="U1445" t="s">
        <v>53</v>
      </c>
      <c r="V1445" t="s">
        <v>51</v>
      </c>
      <c r="W1445">
        <v>300000</v>
      </c>
      <c r="X1445" t="s">
        <v>54</v>
      </c>
      <c r="Y1445" t="s">
        <v>7446</v>
      </c>
      <c r="AA1445">
        <v>442</v>
      </c>
      <c r="AB1445">
        <v>350</v>
      </c>
      <c r="AC1445">
        <v>797</v>
      </c>
      <c r="AD1445">
        <v>835</v>
      </c>
      <c r="AE1445">
        <v>1403</v>
      </c>
      <c r="AF1445">
        <v>2</v>
      </c>
      <c r="AG1445">
        <v>0</v>
      </c>
      <c r="AH1445">
        <v>18.439199447631839</v>
      </c>
      <c r="AI1445">
        <v>96</v>
      </c>
      <c r="AJ1445">
        <v>1687.170043945312</v>
      </c>
      <c r="AK1445" t="s">
        <v>54</v>
      </c>
      <c r="AL1445" t="s">
        <v>53</v>
      </c>
      <c r="AM1445" t="s">
        <v>32</v>
      </c>
      <c r="AP1445" t="s">
        <v>32</v>
      </c>
      <c r="AQ1445" t="s">
        <v>53</v>
      </c>
      <c r="AR1445" t="s">
        <v>32</v>
      </c>
      <c r="AT1445" t="s">
        <v>7447</v>
      </c>
      <c r="AV1445" t="s">
        <v>32</v>
      </c>
      <c r="AW1445" t="s">
        <v>53</v>
      </c>
      <c r="AX1445" t="s">
        <v>32</v>
      </c>
      <c r="AZ1445" t="s">
        <v>54</v>
      </c>
      <c r="BA1445" t="s">
        <v>7437</v>
      </c>
    </row>
    <row r="1446" spans="1:53" x14ac:dyDescent="0.25">
      <c r="A1446">
        <v>1441</v>
      </c>
      <c r="B1446" t="s">
        <v>7732</v>
      </c>
      <c r="C1446" t="s">
        <v>7733</v>
      </c>
      <c r="D1446" t="s">
        <v>7697</v>
      </c>
      <c r="E1446">
        <v>8</v>
      </c>
      <c r="F1446" t="s">
        <v>7426</v>
      </c>
      <c r="G1446" t="s">
        <v>276</v>
      </c>
      <c r="H1446" t="s">
        <v>7539</v>
      </c>
      <c r="I1446" t="s">
        <v>7540</v>
      </c>
      <c r="J1446" t="s">
        <v>7541</v>
      </c>
      <c r="K1446" t="s">
        <v>7454</v>
      </c>
      <c r="L1446" t="s">
        <v>7480</v>
      </c>
      <c r="M1446">
        <v>16.362600326538089</v>
      </c>
      <c r="N1446" t="s">
        <v>53</v>
      </c>
      <c r="O1446" t="s">
        <v>53</v>
      </c>
      <c r="P1446" t="s">
        <v>54</v>
      </c>
      <c r="Q1446" t="s">
        <v>53</v>
      </c>
      <c r="R1446" t="s">
        <v>53</v>
      </c>
      <c r="S1446" t="s">
        <v>1783</v>
      </c>
      <c r="T1446" t="s">
        <v>1783</v>
      </c>
      <c r="U1446" t="s">
        <v>53</v>
      </c>
      <c r="V1446" t="s">
        <v>51</v>
      </c>
      <c r="W1446">
        <v>300000</v>
      </c>
      <c r="X1446" t="s">
        <v>54</v>
      </c>
      <c r="Y1446" t="s">
        <v>7446</v>
      </c>
      <c r="AA1446">
        <v>195</v>
      </c>
      <c r="AB1446">
        <v>144</v>
      </c>
      <c r="AC1446">
        <v>547</v>
      </c>
      <c r="AD1446">
        <v>726</v>
      </c>
      <c r="AE1446">
        <v>1044</v>
      </c>
      <c r="AF1446">
        <v>2</v>
      </c>
      <c r="AG1446">
        <v>0</v>
      </c>
      <c r="AH1446">
        <v>12.56610012054443</v>
      </c>
      <c r="AI1446">
        <v>77</v>
      </c>
      <c r="AJ1446">
        <v>856.656005859375</v>
      </c>
      <c r="AK1446" t="s">
        <v>54</v>
      </c>
      <c r="AL1446" t="s">
        <v>53</v>
      </c>
      <c r="AM1446" t="s">
        <v>32</v>
      </c>
      <c r="AP1446" t="s">
        <v>32</v>
      </c>
      <c r="AQ1446" t="s">
        <v>53</v>
      </c>
      <c r="AR1446" t="s">
        <v>32</v>
      </c>
      <c r="AT1446" t="s">
        <v>7447</v>
      </c>
      <c r="AV1446" t="s">
        <v>32</v>
      </c>
      <c r="AW1446" t="s">
        <v>53</v>
      </c>
      <c r="AX1446" t="s">
        <v>32</v>
      </c>
      <c r="AZ1446" t="s">
        <v>54</v>
      </c>
      <c r="BA1446" t="s">
        <v>7437</v>
      </c>
    </row>
    <row r="1447" spans="1:53" x14ac:dyDescent="0.25">
      <c r="A1447">
        <v>1442</v>
      </c>
      <c r="B1447" t="s">
        <v>7734</v>
      </c>
      <c r="C1447" t="s">
        <v>7735</v>
      </c>
      <c r="D1447" t="s">
        <v>7736</v>
      </c>
      <c r="E1447">
        <v>8</v>
      </c>
      <c r="F1447" t="s">
        <v>7426</v>
      </c>
      <c r="G1447" t="s">
        <v>276</v>
      </c>
      <c r="H1447" t="s">
        <v>7451</v>
      </c>
      <c r="I1447" t="s">
        <v>7452</v>
      </c>
      <c r="J1447" t="s">
        <v>7453</v>
      </c>
      <c r="K1447" t="s">
        <v>7454</v>
      </c>
      <c r="L1447" t="s">
        <v>7432</v>
      </c>
      <c r="M1447">
        <v>42.756301879882813</v>
      </c>
      <c r="N1447" t="s">
        <v>54</v>
      </c>
      <c r="O1447" t="s">
        <v>53</v>
      </c>
      <c r="P1447" t="s">
        <v>53</v>
      </c>
      <c r="Q1447" t="s">
        <v>53</v>
      </c>
      <c r="R1447" t="s">
        <v>53</v>
      </c>
      <c r="S1447" t="s">
        <v>1783</v>
      </c>
      <c r="T1447" t="s">
        <v>1783</v>
      </c>
      <c r="U1447" t="s">
        <v>53</v>
      </c>
      <c r="V1447" t="s">
        <v>138</v>
      </c>
      <c r="W1447">
        <v>233000</v>
      </c>
      <c r="X1447" t="s">
        <v>54</v>
      </c>
      <c r="Y1447" t="s">
        <v>7446</v>
      </c>
      <c r="AA1447">
        <v>442</v>
      </c>
      <c r="AB1447">
        <v>350</v>
      </c>
      <c r="AC1447">
        <v>797</v>
      </c>
      <c r="AD1447">
        <v>835</v>
      </c>
      <c r="AE1447">
        <v>1403</v>
      </c>
      <c r="AF1447">
        <v>2</v>
      </c>
      <c r="AG1447">
        <v>0</v>
      </c>
      <c r="AH1447">
        <v>18.439199447631839</v>
      </c>
      <c r="AI1447">
        <v>96</v>
      </c>
      <c r="AJ1447">
        <v>1687.170043945312</v>
      </c>
      <c r="AK1447" t="s">
        <v>54</v>
      </c>
      <c r="AL1447" t="s">
        <v>53</v>
      </c>
      <c r="AM1447" t="s">
        <v>32</v>
      </c>
      <c r="AP1447" t="s">
        <v>32</v>
      </c>
      <c r="AQ1447" t="s">
        <v>53</v>
      </c>
      <c r="AR1447" t="s">
        <v>32</v>
      </c>
      <c r="AT1447" t="s">
        <v>7447</v>
      </c>
      <c r="AV1447" t="s">
        <v>32</v>
      </c>
      <c r="AW1447" t="s">
        <v>53</v>
      </c>
      <c r="AX1447" t="s">
        <v>32</v>
      </c>
      <c r="AZ1447" t="s">
        <v>54</v>
      </c>
      <c r="BA1447" t="s">
        <v>7437</v>
      </c>
    </row>
    <row r="1448" spans="1:53" x14ac:dyDescent="0.25">
      <c r="A1448">
        <v>1443</v>
      </c>
      <c r="B1448" t="s">
        <v>7737</v>
      </c>
      <c r="C1448" t="s">
        <v>7738</v>
      </c>
      <c r="D1448" t="s">
        <v>7739</v>
      </c>
      <c r="E1448">
        <v>8</v>
      </c>
      <c r="F1448" t="s">
        <v>7426</v>
      </c>
      <c r="G1448" t="s">
        <v>7549</v>
      </c>
      <c r="H1448" t="s">
        <v>7587</v>
      </c>
      <c r="I1448" t="s">
        <v>7588</v>
      </c>
      <c r="J1448" t="s">
        <v>7740</v>
      </c>
      <c r="K1448" t="s">
        <v>7553</v>
      </c>
      <c r="L1448" t="s">
        <v>7432</v>
      </c>
      <c r="M1448">
        <v>58.306499481201172</v>
      </c>
      <c r="N1448" t="s">
        <v>54</v>
      </c>
      <c r="O1448" t="s">
        <v>53</v>
      </c>
      <c r="P1448" t="s">
        <v>53</v>
      </c>
      <c r="Q1448" t="s">
        <v>53</v>
      </c>
      <c r="R1448" t="s">
        <v>53</v>
      </c>
      <c r="S1448" t="s">
        <v>7554</v>
      </c>
      <c r="T1448" t="s">
        <v>7554</v>
      </c>
      <c r="U1448" t="s">
        <v>53</v>
      </c>
      <c r="V1448" t="s">
        <v>138</v>
      </c>
      <c r="W1448">
        <v>304000</v>
      </c>
      <c r="X1448" t="s">
        <v>54</v>
      </c>
      <c r="Y1448" t="s">
        <v>7741</v>
      </c>
      <c r="AA1448">
        <v>849</v>
      </c>
      <c r="AB1448">
        <v>646</v>
      </c>
      <c r="AC1448">
        <v>2974</v>
      </c>
      <c r="AD1448">
        <v>2823</v>
      </c>
      <c r="AE1448">
        <v>4897</v>
      </c>
      <c r="AF1448">
        <v>8</v>
      </c>
      <c r="AG1448">
        <v>43</v>
      </c>
      <c r="AH1448">
        <v>17.11459922790527</v>
      </c>
      <c r="AI1448">
        <v>152</v>
      </c>
      <c r="AJ1448">
        <v>1274.5</v>
      </c>
      <c r="AK1448" t="s">
        <v>54</v>
      </c>
      <c r="AL1448" t="s">
        <v>53</v>
      </c>
      <c r="AM1448" t="s">
        <v>32</v>
      </c>
      <c r="AP1448" t="s">
        <v>32</v>
      </c>
      <c r="AQ1448" t="s">
        <v>53</v>
      </c>
      <c r="AR1448" t="s">
        <v>32</v>
      </c>
      <c r="AT1448" t="s">
        <v>7447</v>
      </c>
      <c r="AV1448" t="s">
        <v>32</v>
      </c>
      <c r="AW1448" t="s">
        <v>53</v>
      </c>
      <c r="AX1448" t="s">
        <v>32</v>
      </c>
      <c r="AZ1448" t="s">
        <v>54</v>
      </c>
      <c r="BA1448" t="s">
        <v>7437</v>
      </c>
    </row>
    <row r="1449" spans="1:53" x14ac:dyDescent="0.25">
      <c r="A1449">
        <v>1444</v>
      </c>
      <c r="B1449" t="s">
        <v>7742</v>
      </c>
      <c r="C1449" t="s">
        <v>7743</v>
      </c>
      <c r="D1449" t="s">
        <v>7739</v>
      </c>
      <c r="E1449">
        <v>8</v>
      </c>
      <c r="F1449" t="s">
        <v>7426</v>
      </c>
      <c r="G1449" t="s">
        <v>7549</v>
      </c>
      <c r="H1449" t="s">
        <v>7587</v>
      </c>
      <c r="I1449" t="s">
        <v>7588</v>
      </c>
      <c r="J1449" t="s">
        <v>7744</v>
      </c>
      <c r="K1449" t="s">
        <v>7553</v>
      </c>
      <c r="L1449" t="s">
        <v>7432</v>
      </c>
      <c r="M1449">
        <v>26.287300109863281</v>
      </c>
      <c r="N1449" t="s">
        <v>54</v>
      </c>
      <c r="O1449" t="s">
        <v>53</v>
      </c>
      <c r="P1449" t="s">
        <v>53</v>
      </c>
      <c r="Q1449" t="s">
        <v>53</v>
      </c>
      <c r="R1449" t="s">
        <v>53</v>
      </c>
      <c r="S1449" t="s">
        <v>7554</v>
      </c>
      <c r="T1449" t="s">
        <v>7554</v>
      </c>
      <c r="U1449" t="s">
        <v>53</v>
      </c>
      <c r="V1449" t="s">
        <v>138</v>
      </c>
      <c r="W1449">
        <v>84000</v>
      </c>
      <c r="X1449" t="s">
        <v>54</v>
      </c>
      <c r="Y1449" t="s">
        <v>7555</v>
      </c>
      <c r="AA1449">
        <v>15</v>
      </c>
      <c r="AB1449">
        <v>13</v>
      </c>
      <c r="AC1449">
        <v>0</v>
      </c>
      <c r="AD1449">
        <v>2</v>
      </c>
      <c r="AE1449">
        <v>2</v>
      </c>
      <c r="AF1449">
        <v>0</v>
      </c>
      <c r="AG1449">
        <v>0</v>
      </c>
      <c r="AH1449">
        <v>0.20029899477958679</v>
      </c>
      <c r="AI1449">
        <v>2</v>
      </c>
      <c r="AJ1449">
        <v>105.5350036621094</v>
      </c>
      <c r="AK1449" t="s">
        <v>54</v>
      </c>
      <c r="AL1449" t="s">
        <v>53</v>
      </c>
      <c r="AM1449" t="s">
        <v>32</v>
      </c>
      <c r="AP1449" t="s">
        <v>32</v>
      </c>
      <c r="AQ1449" t="s">
        <v>53</v>
      </c>
      <c r="AR1449" t="s">
        <v>32</v>
      </c>
      <c r="AT1449" t="s">
        <v>7447</v>
      </c>
      <c r="AV1449" t="s">
        <v>32</v>
      </c>
      <c r="AW1449" t="s">
        <v>53</v>
      </c>
      <c r="AX1449" t="s">
        <v>32</v>
      </c>
      <c r="AZ1449" t="s">
        <v>54</v>
      </c>
      <c r="BA1449" t="s">
        <v>7437</v>
      </c>
    </row>
    <row r="1450" spans="1:53" x14ac:dyDescent="0.25">
      <c r="A1450">
        <v>1445</v>
      </c>
      <c r="B1450" t="s">
        <v>7745</v>
      </c>
      <c r="C1450" t="s">
        <v>7746</v>
      </c>
      <c r="D1450" t="s">
        <v>7739</v>
      </c>
      <c r="E1450">
        <v>8</v>
      </c>
      <c r="F1450" t="s">
        <v>7426</v>
      </c>
      <c r="G1450" t="s">
        <v>7549</v>
      </c>
      <c r="H1450" t="s">
        <v>7651</v>
      </c>
      <c r="I1450" t="s">
        <v>7747</v>
      </c>
      <c r="J1450" t="s">
        <v>7748</v>
      </c>
      <c r="K1450" t="s">
        <v>7553</v>
      </c>
      <c r="L1450" t="s">
        <v>7432</v>
      </c>
      <c r="M1450">
        <v>10.34529972076416</v>
      </c>
      <c r="N1450" t="s">
        <v>54</v>
      </c>
      <c r="O1450" t="s">
        <v>53</v>
      </c>
      <c r="P1450" t="s">
        <v>53</v>
      </c>
      <c r="Q1450" t="s">
        <v>53</v>
      </c>
      <c r="R1450" t="s">
        <v>53</v>
      </c>
      <c r="S1450" t="s">
        <v>7554</v>
      </c>
      <c r="T1450" t="s">
        <v>7554</v>
      </c>
      <c r="U1450" t="s">
        <v>53</v>
      </c>
      <c r="V1450" t="s">
        <v>138</v>
      </c>
      <c r="W1450">
        <v>158000</v>
      </c>
      <c r="X1450" t="s">
        <v>54</v>
      </c>
      <c r="Y1450" t="s">
        <v>7555</v>
      </c>
      <c r="AA1450">
        <v>37</v>
      </c>
      <c r="AB1450">
        <v>24</v>
      </c>
      <c r="AC1450">
        <v>62</v>
      </c>
      <c r="AD1450">
        <v>39</v>
      </c>
      <c r="AE1450">
        <v>101</v>
      </c>
      <c r="AF1450">
        <v>0</v>
      </c>
      <c r="AG1450">
        <v>0</v>
      </c>
      <c r="AH1450">
        <v>1.338160037994385</v>
      </c>
      <c r="AI1450">
        <v>5</v>
      </c>
      <c r="AJ1450">
        <v>702.49700927734375</v>
      </c>
      <c r="AK1450" t="s">
        <v>54</v>
      </c>
      <c r="AL1450" t="s">
        <v>53</v>
      </c>
      <c r="AM1450" t="s">
        <v>32</v>
      </c>
      <c r="AP1450" t="s">
        <v>32</v>
      </c>
      <c r="AQ1450" t="s">
        <v>53</v>
      </c>
      <c r="AR1450" t="s">
        <v>32</v>
      </c>
      <c r="AT1450" t="s">
        <v>7447</v>
      </c>
      <c r="AV1450" t="s">
        <v>32</v>
      </c>
      <c r="AW1450" t="s">
        <v>53</v>
      </c>
      <c r="AX1450" t="s">
        <v>32</v>
      </c>
      <c r="AZ1450" t="s">
        <v>54</v>
      </c>
      <c r="BA1450" t="s">
        <v>7437</v>
      </c>
    </row>
    <row r="1451" spans="1:53" x14ac:dyDescent="0.25">
      <c r="A1451">
        <v>1446</v>
      </c>
      <c r="B1451" t="s">
        <v>7749</v>
      </c>
      <c r="C1451" t="s">
        <v>7750</v>
      </c>
      <c r="D1451" t="s">
        <v>7623</v>
      </c>
      <c r="E1451">
        <v>8</v>
      </c>
      <c r="F1451" t="s">
        <v>7426</v>
      </c>
      <c r="G1451" t="s">
        <v>276</v>
      </c>
      <c r="H1451" t="s">
        <v>7509</v>
      </c>
      <c r="I1451" t="s">
        <v>7635</v>
      </c>
      <c r="J1451" t="s">
        <v>7636</v>
      </c>
      <c r="K1451" t="s">
        <v>7454</v>
      </c>
      <c r="L1451" t="s">
        <v>7432</v>
      </c>
      <c r="M1451">
        <v>8.2819595336914063</v>
      </c>
      <c r="N1451" t="s">
        <v>54</v>
      </c>
      <c r="O1451" t="s">
        <v>53</v>
      </c>
      <c r="P1451" t="s">
        <v>54</v>
      </c>
      <c r="Q1451" t="s">
        <v>53</v>
      </c>
      <c r="R1451" t="s">
        <v>53</v>
      </c>
      <c r="S1451" t="s">
        <v>1783</v>
      </c>
      <c r="T1451" t="s">
        <v>1783</v>
      </c>
      <c r="U1451" t="s">
        <v>53</v>
      </c>
      <c r="V1451" t="s">
        <v>138</v>
      </c>
      <c r="W1451">
        <v>75000</v>
      </c>
      <c r="X1451" t="s">
        <v>54</v>
      </c>
      <c r="Y1451" t="s">
        <v>7446</v>
      </c>
      <c r="AA1451">
        <v>0</v>
      </c>
      <c r="AB1451">
        <v>0</v>
      </c>
      <c r="AC1451">
        <v>0</v>
      </c>
      <c r="AD1451">
        <v>0</v>
      </c>
      <c r="AE1451">
        <v>0</v>
      </c>
      <c r="AF1451">
        <v>0</v>
      </c>
      <c r="AG1451">
        <v>0</v>
      </c>
      <c r="AH1451">
        <v>0</v>
      </c>
      <c r="AI1451">
        <v>0</v>
      </c>
      <c r="AJ1451">
        <v>1.5634200572967529</v>
      </c>
      <c r="AK1451" t="s">
        <v>54</v>
      </c>
      <c r="AL1451" t="s">
        <v>53</v>
      </c>
      <c r="AM1451" t="s">
        <v>32</v>
      </c>
      <c r="AP1451" t="s">
        <v>32</v>
      </c>
      <c r="AQ1451" t="s">
        <v>53</v>
      </c>
      <c r="AR1451" t="s">
        <v>32</v>
      </c>
      <c r="AT1451" t="s">
        <v>7447</v>
      </c>
      <c r="AV1451" t="s">
        <v>32</v>
      </c>
      <c r="AW1451" t="s">
        <v>53</v>
      </c>
      <c r="AX1451" t="s">
        <v>32</v>
      </c>
      <c r="AZ1451" t="s">
        <v>54</v>
      </c>
      <c r="BA1451" t="s">
        <v>7437</v>
      </c>
    </row>
    <row r="1452" spans="1:53" x14ac:dyDescent="0.25">
      <c r="A1452">
        <v>1447</v>
      </c>
      <c r="B1452" t="s">
        <v>7751</v>
      </c>
      <c r="C1452" t="s">
        <v>7752</v>
      </c>
      <c r="D1452" t="s">
        <v>7753</v>
      </c>
      <c r="E1452">
        <v>8</v>
      </c>
      <c r="F1452" t="s">
        <v>7426</v>
      </c>
      <c r="G1452" t="s">
        <v>7477</v>
      </c>
      <c r="H1452" t="s">
        <v>7441</v>
      </c>
      <c r="I1452" t="s">
        <v>7442</v>
      </c>
      <c r="J1452" t="s">
        <v>7494</v>
      </c>
      <c r="K1452" t="s">
        <v>7444</v>
      </c>
      <c r="L1452" t="s">
        <v>7480</v>
      </c>
      <c r="M1452">
        <v>27.75</v>
      </c>
      <c r="N1452" t="s">
        <v>54</v>
      </c>
      <c r="O1452" t="s">
        <v>53</v>
      </c>
      <c r="P1452" t="s">
        <v>53</v>
      </c>
      <c r="Q1452" t="s">
        <v>53</v>
      </c>
      <c r="R1452" t="s">
        <v>53</v>
      </c>
      <c r="S1452" t="s">
        <v>7566</v>
      </c>
      <c r="T1452" t="s">
        <v>7566</v>
      </c>
      <c r="U1452" t="s">
        <v>53</v>
      </c>
      <c r="V1452" t="s">
        <v>51</v>
      </c>
      <c r="W1452">
        <v>1262000</v>
      </c>
      <c r="X1452" t="s">
        <v>54</v>
      </c>
      <c r="Y1452" t="s">
        <v>7435</v>
      </c>
      <c r="AA1452">
        <v>224</v>
      </c>
      <c r="AB1452">
        <v>195</v>
      </c>
      <c r="AC1452">
        <v>1458</v>
      </c>
      <c r="AD1452">
        <v>838</v>
      </c>
      <c r="AE1452">
        <v>2120</v>
      </c>
      <c r="AF1452">
        <v>1</v>
      </c>
      <c r="AG1452">
        <v>13</v>
      </c>
      <c r="AH1452">
        <v>7.2137198448181152</v>
      </c>
      <c r="AI1452">
        <v>44</v>
      </c>
      <c r="AJ1452">
        <v>151.1499938964844</v>
      </c>
      <c r="AK1452" t="s">
        <v>54</v>
      </c>
      <c r="AL1452" t="s">
        <v>53</v>
      </c>
      <c r="AM1452" t="s">
        <v>32</v>
      </c>
      <c r="AP1452" t="s">
        <v>32</v>
      </c>
      <c r="AQ1452" t="s">
        <v>53</v>
      </c>
      <c r="AR1452" t="s">
        <v>32</v>
      </c>
      <c r="AT1452" t="s">
        <v>7436</v>
      </c>
      <c r="AV1452" t="s">
        <v>32</v>
      </c>
      <c r="AW1452" t="s">
        <v>53</v>
      </c>
      <c r="AX1452" t="s">
        <v>32</v>
      </c>
      <c r="AZ1452" t="s">
        <v>54</v>
      </c>
      <c r="BA1452" t="s">
        <v>7437</v>
      </c>
    </row>
    <row r="1453" spans="1:53" x14ac:dyDescent="0.25">
      <c r="A1453">
        <v>1448</v>
      </c>
      <c r="B1453" t="s">
        <v>7754</v>
      </c>
      <c r="C1453" t="s">
        <v>7755</v>
      </c>
      <c r="D1453" t="s">
        <v>7756</v>
      </c>
      <c r="E1453">
        <v>8</v>
      </c>
      <c r="F1453" t="s">
        <v>7426</v>
      </c>
      <c r="G1453" t="s">
        <v>7427</v>
      </c>
      <c r="H1453" t="s">
        <v>7441</v>
      </c>
      <c r="I1453" t="s">
        <v>7442</v>
      </c>
      <c r="J1453" t="s">
        <v>7494</v>
      </c>
      <c r="K1453" t="s">
        <v>7444</v>
      </c>
      <c r="L1453" t="s">
        <v>7480</v>
      </c>
      <c r="M1453">
        <v>2.688829898834229</v>
      </c>
      <c r="N1453" t="s">
        <v>54</v>
      </c>
      <c r="O1453" t="s">
        <v>53</v>
      </c>
      <c r="P1453" t="s">
        <v>53</v>
      </c>
      <c r="Q1453" t="s">
        <v>53</v>
      </c>
      <c r="R1453" t="s">
        <v>53</v>
      </c>
      <c r="S1453" t="s">
        <v>7481</v>
      </c>
      <c r="T1453" t="s">
        <v>7481</v>
      </c>
      <c r="U1453" t="s">
        <v>53</v>
      </c>
      <c r="V1453" t="s">
        <v>51</v>
      </c>
      <c r="W1453">
        <v>202000</v>
      </c>
      <c r="X1453" t="s">
        <v>54</v>
      </c>
      <c r="Y1453" t="s">
        <v>7465</v>
      </c>
      <c r="AA1453">
        <v>21</v>
      </c>
      <c r="AB1453">
        <v>18</v>
      </c>
      <c r="AC1453">
        <v>20</v>
      </c>
      <c r="AD1453">
        <v>38</v>
      </c>
      <c r="AE1453">
        <v>58</v>
      </c>
      <c r="AF1453">
        <v>0</v>
      </c>
      <c r="AG1453">
        <v>1</v>
      </c>
      <c r="AH1453">
        <v>0.41014000773429871</v>
      </c>
      <c r="AI1453">
        <v>13</v>
      </c>
      <c r="AJ1453">
        <v>9.8276300430297852</v>
      </c>
      <c r="AK1453" t="s">
        <v>54</v>
      </c>
      <c r="AL1453" t="s">
        <v>53</v>
      </c>
      <c r="AM1453" t="s">
        <v>32</v>
      </c>
      <c r="AP1453" t="s">
        <v>32</v>
      </c>
      <c r="AQ1453" t="s">
        <v>53</v>
      </c>
      <c r="AR1453" t="s">
        <v>32</v>
      </c>
      <c r="AT1453" t="s">
        <v>7436</v>
      </c>
      <c r="AV1453" t="s">
        <v>32</v>
      </c>
      <c r="AW1453" t="s">
        <v>53</v>
      </c>
      <c r="AX1453" t="s">
        <v>32</v>
      </c>
      <c r="AZ1453" t="s">
        <v>54</v>
      </c>
      <c r="BA1453" t="s">
        <v>7437</v>
      </c>
    </row>
    <row r="1454" spans="1:53" x14ac:dyDescent="0.25">
      <c r="A1454">
        <v>1449</v>
      </c>
      <c r="B1454" t="s">
        <v>7757</v>
      </c>
      <c r="C1454" t="s">
        <v>7758</v>
      </c>
      <c r="D1454" t="s">
        <v>7759</v>
      </c>
      <c r="E1454">
        <v>8</v>
      </c>
      <c r="F1454" t="s">
        <v>7426</v>
      </c>
      <c r="G1454" t="s">
        <v>276</v>
      </c>
      <c r="H1454" t="s">
        <v>7760</v>
      </c>
      <c r="I1454" t="s">
        <v>7761</v>
      </c>
      <c r="J1454" t="s">
        <v>7762</v>
      </c>
      <c r="K1454" t="s">
        <v>7454</v>
      </c>
      <c r="L1454" t="s">
        <v>7480</v>
      </c>
      <c r="M1454">
        <v>1.5148600339889531</v>
      </c>
      <c r="N1454" t="s">
        <v>54</v>
      </c>
      <c r="O1454" t="s">
        <v>53</v>
      </c>
      <c r="P1454" t="s">
        <v>54</v>
      </c>
      <c r="Q1454" t="s">
        <v>53</v>
      </c>
      <c r="R1454" t="s">
        <v>53</v>
      </c>
      <c r="S1454" t="s">
        <v>1661</v>
      </c>
      <c r="T1454" t="s">
        <v>1661</v>
      </c>
      <c r="U1454" t="s">
        <v>53</v>
      </c>
      <c r="V1454" t="s">
        <v>51</v>
      </c>
      <c r="W1454">
        <v>54000</v>
      </c>
      <c r="X1454" t="s">
        <v>54</v>
      </c>
      <c r="Y1454" t="s">
        <v>7446</v>
      </c>
      <c r="AA1454">
        <v>30</v>
      </c>
      <c r="AB1454">
        <v>26</v>
      </c>
      <c r="AC1454">
        <v>26</v>
      </c>
      <c r="AD1454">
        <v>58</v>
      </c>
      <c r="AE1454">
        <v>84</v>
      </c>
      <c r="AF1454">
        <v>0</v>
      </c>
      <c r="AG1454">
        <v>0</v>
      </c>
      <c r="AH1454">
        <v>3.361510038375854</v>
      </c>
      <c r="AI1454">
        <v>18</v>
      </c>
      <c r="AJ1454">
        <v>372.68499755859381</v>
      </c>
      <c r="AK1454" t="s">
        <v>54</v>
      </c>
      <c r="AL1454" t="s">
        <v>53</v>
      </c>
      <c r="AM1454" t="s">
        <v>32</v>
      </c>
      <c r="AP1454" t="s">
        <v>32</v>
      </c>
      <c r="AQ1454" t="s">
        <v>53</v>
      </c>
      <c r="AR1454" t="s">
        <v>32</v>
      </c>
      <c r="AT1454" t="s">
        <v>7722</v>
      </c>
      <c r="AV1454" t="s">
        <v>32</v>
      </c>
      <c r="AW1454" t="s">
        <v>53</v>
      </c>
      <c r="AX1454" t="s">
        <v>32</v>
      </c>
      <c r="AZ1454" t="s">
        <v>54</v>
      </c>
      <c r="BA1454" t="s">
        <v>7437</v>
      </c>
    </row>
    <row r="1455" spans="1:53" x14ac:dyDescent="0.25">
      <c r="A1455">
        <v>1450</v>
      </c>
      <c r="B1455" t="s">
        <v>7763</v>
      </c>
      <c r="C1455" t="s">
        <v>7764</v>
      </c>
      <c r="D1455" t="s">
        <v>7765</v>
      </c>
      <c r="E1455">
        <v>8</v>
      </c>
      <c r="F1455" t="s">
        <v>7426</v>
      </c>
      <c r="G1455" t="s">
        <v>7549</v>
      </c>
      <c r="H1455" t="s">
        <v>7651</v>
      </c>
      <c r="I1455" t="s">
        <v>7652</v>
      </c>
      <c r="J1455" t="s">
        <v>7653</v>
      </c>
      <c r="K1455" t="s">
        <v>7553</v>
      </c>
      <c r="L1455" t="s">
        <v>7432</v>
      </c>
      <c r="M1455">
        <v>27.56349945068359</v>
      </c>
      <c r="N1455" t="s">
        <v>54</v>
      </c>
      <c r="O1455" t="s">
        <v>53</v>
      </c>
      <c r="P1455" t="s">
        <v>54</v>
      </c>
      <c r="Q1455" t="s">
        <v>53</v>
      </c>
      <c r="R1455" t="s">
        <v>53</v>
      </c>
      <c r="S1455" t="s">
        <v>7590</v>
      </c>
      <c r="T1455" t="s">
        <v>7590</v>
      </c>
      <c r="U1455" t="s">
        <v>53</v>
      </c>
      <c r="V1455" t="s">
        <v>51</v>
      </c>
      <c r="W1455">
        <v>137000</v>
      </c>
      <c r="X1455" t="s">
        <v>54</v>
      </c>
      <c r="Y1455" t="s">
        <v>7465</v>
      </c>
      <c r="AA1455">
        <v>7</v>
      </c>
      <c r="AB1455">
        <v>6</v>
      </c>
      <c r="AC1455">
        <v>0</v>
      </c>
      <c r="AD1455">
        <v>3</v>
      </c>
      <c r="AE1455">
        <v>3</v>
      </c>
      <c r="AF1455">
        <v>0</v>
      </c>
      <c r="AG1455">
        <v>3</v>
      </c>
      <c r="AH1455">
        <v>2.0125100612640381</v>
      </c>
      <c r="AI1455">
        <v>6</v>
      </c>
      <c r="AJ1455">
        <v>978.34002685546875</v>
      </c>
      <c r="AK1455" t="s">
        <v>54</v>
      </c>
      <c r="AL1455" t="s">
        <v>53</v>
      </c>
      <c r="AM1455" t="s">
        <v>32</v>
      </c>
      <c r="AP1455" t="s">
        <v>32</v>
      </c>
      <c r="AQ1455" t="s">
        <v>53</v>
      </c>
      <c r="AR1455" t="s">
        <v>32</v>
      </c>
      <c r="AT1455" t="s">
        <v>7455</v>
      </c>
      <c r="AV1455" t="s">
        <v>32</v>
      </c>
      <c r="AW1455" t="s">
        <v>53</v>
      </c>
      <c r="AX1455" t="s">
        <v>32</v>
      </c>
      <c r="AZ1455" t="s">
        <v>54</v>
      </c>
      <c r="BA1455" t="s">
        <v>7437</v>
      </c>
    </row>
    <row r="1456" spans="1:53" x14ac:dyDescent="0.25">
      <c r="A1456">
        <v>1451</v>
      </c>
      <c r="B1456" t="s">
        <v>7766</v>
      </c>
      <c r="C1456" t="s">
        <v>7767</v>
      </c>
      <c r="D1456" t="s">
        <v>7768</v>
      </c>
      <c r="E1456">
        <v>8</v>
      </c>
      <c r="F1456" t="s">
        <v>7426</v>
      </c>
      <c r="G1456" t="s">
        <v>7549</v>
      </c>
      <c r="H1456" t="s">
        <v>7550</v>
      </c>
      <c r="I1456" t="s">
        <v>7551</v>
      </c>
      <c r="J1456" t="s">
        <v>7678</v>
      </c>
      <c r="K1456" t="s">
        <v>7553</v>
      </c>
      <c r="L1456" t="s">
        <v>7432</v>
      </c>
      <c r="M1456">
        <v>8.6866703033447266</v>
      </c>
      <c r="N1456" t="s">
        <v>54</v>
      </c>
      <c r="O1456" t="s">
        <v>53</v>
      </c>
      <c r="P1456" t="s">
        <v>54</v>
      </c>
      <c r="Q1456" t="s">
        <v>53</v>
      </c>
      <c r="R1456" t="s">
        <v>53</v>
      </c>
      <c r="S1456" t="s">
        <v>7590</v>
      </c>
      <c r="T1456" t="s">
        <v>7590</v>
      </c>
      <c r="U1456" t="s">
        <v>53</v>
      </c>
      <c r="V1456" t="s">
        <v>51</v>
      </c>
      <c r="W1456">
        <v>222000</v>
      </c>
      <c r="X1456" t="s">
        <v>54</v>
      </c>
      <c r="Y1456" t="s">
        <v>7465</v>
      </c>
      <c r="AA1456">
        <v>14</v>
      </c>
      <c r="AB1456">
        <v>14</v>
      </c>
      <c r="AC1456">
        <v>3</v>
      </c>
      <c r="AD1456">
        <v>22</v>
      </c>
      <c r="AE1456">
        <v>22</v>
      </c>
      <c r="AF1456">
        <v>0</v>
      </c>
      <c r="AG1456">
        <v>0</v>
      </c>
      <c r="AH1456">
        <v>0.48542198538780212</v>
      </c>
      <c r="AI1456">
        <v>9</v>
      </c>
      <c r="AJ1456">
        <v>19.424200057983398</v>
      </c>
      <c r="AK1456" t="s">
        <v>54</v>
      </c>
      <c r="AL1456" t="s">
        <v>53</v>
      </c>
      <c r="AM1456" t="s">
        <v>32</v>
      </c>
      <c r="AP1456" t="s">
        <v>32</v>
      </c>
      <c r="AQ1456" t="s">
        <v>53</v>
      </c>
      <c r="AR1456" t="s">
        <v>32</v>
      </c>
      <c r="AT1456" t="s">
        <v>7455</v>
      </c>
      <c r="AV1456" t="s">
        <v>32</v>
      </c>
      <c r="AW1456" t="s">
        <v>53</v>
      </c>
      <c r="AX1456" t="s">
        <v>32</v>
      </c>
      <c r="AZ1456" t="s">
        <v>54</v>
      </c>
      <c r="BA1456" t="s">
        <v>7437</v>
      </c>
    </row>
    <row r="1457" spans="1:53" x14ac:dyDescent="0.25">
      <c r="A1457">
        <v>1452</v>
      </c>
      <c r="B1457" t="s">
        <v>7769</v>
      </c>
      <c r="C1457" t="s">
        <v>7770</v>
      </c>
      <c r="D1457" t="s">
        <v>7771</v>
      </c>
      <c r="E1457">
        <v>8</v>
      </c>
      <c r="F1457" t="s">
        <v>7426</v>
      </c>
      <c r="G1457" t="s">
        <v>7549</v>
      </c>
      <c r="H1457" t="s">
        <v>7550</v>
      </c>
      <c r="I1457" t="s">
        <v>7551</v>
      </c>
      <c r="J1457" t="s">
        <v>7678</v>
      </c>
      <c r="K1457" t="s">
        <v>7553</v>
      </c>
      <c r="L1457" t="s">
        <v>7666</v>
      </c>
      <c r="M1457">
        <v>8.6866703033447266</v>
      </c>
      <c r="N1457" t="s">
        <v>54</v>
      </c>
      <c r="O1457" t="s">
        <v>53</v>
      </c>
      <c r="P1457" t="s">
        <v>54</v>
      </c>
      <c r="Q1457" t="s">
        <v>53</v>
      </c>
      <c r="R1457" t="s">
        <v>53</v>
      </c>
      <c r="S1457" t="s">
        <v>7590</v>
      </c>
      <c r="T1457" t="s">
        <v>7590</v>
      </c>
      <c r="U1457" t="s">
        <v>53</v>
      </c>
      <c r="V1457" t="s">
        <v>51</v>
      </c>
      <c r="W1457">
        <v>61000</v>
      </c>
      <c r="X1457" t="s">
        <v>54</v>
      </c>
      <c r="Y1457" t="s">
        <v>7465</v>
      </c>
      <c r="AA1457">
        <v>14</v>
      </c>
      <c r="AB1457">
        <v>14</v>
      </c>
      <c r="AC1457">
        <v>3</v>
      </c>
      <c r="AD1457">
        <v>22</v>
      </c>
      <c r="AE1457">
        <v>22</v>
      </c>
      <c r="AF1457">
        <v>0</v>
      </c>
      <c r="AG1457">
        <v>0</v>
      </c>
      <c r="AH1457">
        <v>0.48542198538780212</v>
      </c>
      <c r="AI1457">
        <v>9</v>
      </c>
      <c r="AJ1457">
        <v>19.424200057983398</v>
      </c>
      <c r="AK1457" t="s">
        <v>54</v>
      </c>
      <c r="AL1457" t="s">
        <v>53</v>
      </c>
      <c r="AM1457" t="s">
        <v>32</v>
      </c>
      <c r="AP1457" t="s">
        <v>32</v>
      </c>
      <c r="AQ1457" t="s">
        <v>53</v>
      </c>
      <c r="AR1457" t="s">
        <v>32</v>
      </c>
      <c r="AT1457" t="s">
        <v>7455</v>
      </c>
      <c r="AV1457" t="s">
        <v>32</v>
      </c>
      <c r="AW1457" t="s">
        <v>53</v>
      </c>
      <c r="AX1457" t="s">
        <v>32</v>
      </c>
      <c r="AZ1457" t="s">
        <v>54</v>
      </c>
      <c r="BA1457" t="s">
        <v>7437</v>
      </c>
    </row>
    <row r="1458" spans="1:53" x14ac:dyDescent="0.25">
      <c r="A1458">
        <v>1453</v>
      </c>
      <c r="B1458" t="s">
        <v>7772</v>
      </c>
      <c r="C1458" t="s">
        <v>7773</v>
      </c>
      <c r="D1458" t="s">
        <v>7661</v>
      </c>
      <c r="E1458">
        <v>8</v>
      </c>
      <c r="F1458" t="s">
        <v>7426</v>
      </c>
      <c r="G1458" t="s">
        <v>7549</v>
      </c>
      <c r="H1458" t="s">
        <v>7550</v>
      </c>
      <c r="I1458" t="s">
        <v>7551</v>
      </c>
      <c r="J1458" t="s">
        <v>7594</v>
      </c>
      <c r="K1458" t="s">
        <v>7553</v>
      </c>
      <c r="L1458" t="s">
        <v>7432</v>
      </c>
      <c r="M1458">
        <v>7.4586400985717773</v>
      </c>
      <c r="N1458" t="s">
        <v>54</v>
      </c>
      <c r="O1458" t="s">
        <v>53</v>
      </c>
      <c r="P1458" t="s">
        <v>53</v>
      </c>
      <c r="Q1458" t="s">
        <v>53</v>
      </c>
      <c r="R1458" t="s">
        <v>53</v>
      </c>
      <c r="S1458" t="s">
        <v>7590</v>
      </c>
      <c r="T1458" t="s">
        <v>7590</v>
      </c>
      <c r="U1458" t="s">
        <v>53</v>
      </c>
      <c r="V1458" t="s">
        <v>138</v>
      </c>
      <c r="W1458">
        <v>71000</v>
      </c>
      <c r="X1458" t="s">
        <v>54</v>
      </c>
      <c r="Y1458" t="s">
        <v>7465</v>
      </c>
      <c r="AA1458">
        <v>348</v>
      </c>
      <c r="AB1458">
        <v>254</v>
      </c>
      <c r="AC1458">
        <v>981</v>
      </c>
      <c r="AD1458">
        <v>1235</v>
      </c>
      <c r="AE1458">
        <v>1697</v>
      </c>
      <c r="AF1458">
        <v>2</v>
      </c>
      <c r="AG1458">
        <v>9</v>
      </c>
      <c r="AH1458">
        <v>4.3193001747131348</v>
      </c>
      <c r="AI1458">
        <v>47</v>
      </c>
      <c r="AJ1458">
        <v>0.30882900953292852</v>
      </c>
      <c r="AK1458" t="s">
        <v>54</v>
      </c>
      <c r="AL1458" t="s">
        <v>53</v>
      </c>
      <c r="AM1458" t="s">
        <v>32</v>
      </c>
      <c r="AP1458" t="s">
        <v>32</v>
      </c>
      <c r="AQ1458" t="s">
        <v>53</v>
      </c>
      <c r="AR1458" t="s">
        <v>32</v>
      </c>
      <c r="AT1458" t="s">
        <v>7447</v>
      </c>
      <c r="AV1458" t="s">
        <v>32</v>
      </c>
      <c r="AW1458" t="s">
        <v>53</v>
      </c>
      <c r="AX1458" t="s">
        <v>32</v>
      </c>
      <c r="AZ1458" t="s">
        <v>54</v>
      </c>
      <c r="BA1458" t="s">
        <v>7437</v>
      </c>
    </row>
    <row r="1459" spans="1:53" x14ac:dyDescent="0.25">
      <c r="A1459">
        <v>1454</v>
      </c>
      <c r="B1459" t="s">
        <v>7774</v>
      </c>
      <c r="C1459" t="s">
        <v>7775</v>
      </c>
      <c r="D1459" t="s">
        <v>7776</v>
      </c>
      <c r="E1459">
        <v>8</v>
      </c>
      <c r="F1459" t="s">
        <v>7426</v>
      </c>
      <c r="G1459" t="s">
        <v>7549</v>
      </c>
      <c r="H1459" t="s">
        <v>7550</v>
      </c>
      <c r="I1459" t="s">
        <v>7551</v>
      </c>
      <c r="J1459" t="s">
        <v>7594</v>
      </c>
      <c r="K1459" t="s">
        <v>7553</v>
      </c>
      <c r="L1459" t="s">
        <v>7432</v>
      </c>
      <c r="M1459">
        <v>44.506500244140618</v>
      </c>
      <c r="N1459" t="s">
        <v>54</v>
      </c>
      <c r="O1459" t="s">
        <v>53</v>
      </c>
      <c r="P1459" t="s">
        <v>53</v>
      </c>
      <c r="Q1459" t="s">
        <v>53</v>
      </c>
      <c r="R1459" t="s">
        <v>53</v>
      </c>
      <c r="S1459" t="s">
        <v>7590</v>
      </c>
      <c r="T1459" t="s">
        <v>7590</v>
      </c>
      <c r="U1459" t="s">
        <v>53</v>
      </c>
      <c r="V1459" t="s">
        <v>138</v>
      </c>
      <c r="W1459">
        <v>241000</v>
      </c>
      <c r="X1459" t="s">
        <v>54</v>
      </c>
      <c r="Y1459" t="s">
        <v>7465</v>
      </c>
      <c r="AA1459">
        <v>1120</v>
      </c>
      <c r="AB1459">
        <v>870</v>
      </c>
      <c r="AC1459">
        <v>1324</v>
      </c>
      <c r="AD1459">
        <v>2013</v>
      </c>
      <c r="AE1459">
        <v>3337</v>
      </c>
      <c r="AF1459">
        <v>3</v>
      </c>
      <c r="AG1459">
        <v>36</v>
      </c>
      <c r="AH1459">
        <v>37.156101226806641</v>
      </c>
      <c r="AI1459">
        <v>94</v>
      </c>
      <c r="AJ1459">
        <v>4193.56005859375</v>
      </c>
      <c r="AK1459" t="s">
        <v>54</v>
      </c>
      <c r="AL1459" t="s">
        <v>53</v>
      </c>
      <c r="AM1459" t="s">
        <v>32</v>
      </c>
      <c r="AP1459" t="s">
        <v>32</v>
      </c>
      <c r="AQ1459" t="s">
        <v>53</v>
      </c>
      <c r="AR1459" t="s">
        <v>32</v>
      </c>
      <c r="AT1459" t="s">
        <v>7447</v>
      </c>
      <c r="AV1459" t="s">
        <v>32</v>
      </c>
      <c r="AW1459" t="s">
        <v>53</v>
      </c>
      <c r="AX1459" t="s">
        <v>32</v>
      </c>
      <c r="AZ1459" t="s">
        <v>54</v>
      </c>
      <c r="BA1459" t="s">
        <v>7437</v>
      </c>
    </row>
    <row r="1460" spans="1:53" x14ac:dyDescent="0.25">
      <c r="A1460">
        <v>1455</v>
      </c>
      <c r="B1460" t="s">
        <v>7777</v>
      </c>
      <c r="C1460" t="s">
        <v>7778</v>
      </c>
      <c r="D1460" t="s">
        <v>7779</v>
      </c>
      <c r="E1460">
        <v>8</v>
      </c>
      <c r="F1460" t="s">
        <v>7426</v>
      </c>
      <c r="G1460" t="s">
        <v>7549</v>
      </c>
      <c r="H1460" t="s">
        <v>7587</v>
      </c>
      <c r="I1460" t="s">
        <v>7598</v>
      </c>
      <c r="J1460" t="s">
        <v>7675</v>
      </c>
      <c r="K1460" t="s">
        <v>7463</v>
      </c>
      <c r="L1460" t="s">
        <v>7432</v>
      </c>
      <c r="M1460">
        <v>3.0046200752258301</v>
      </c>
      <c r="N1460" t="s">
        <v>54</v>
      </c>
      <c r="O1460" t="s">
        <v>53</v>
      </c>
      <c r="P1460" t="s">
        <v>54</v>
      </c>
      <c r="Q1460" t="s">
        <v>53</v>
      </c>
      <c r="R1460" t="s">
        <v>53</v>
      </c>
      <c r="S1460" t="s">
        <v>7590</v>
      </c>
      <c r="T1460" t="s">
        <v>7590</v>
      </c>
      <c r="U1460" t="s">
        <v>53</v>
      </c>
      <c r="V1460" t="s">
        <v>51</v>
      </c>
      <c r="W1460">
        <v>160000</v>
      </c>
      <c r="X1460" t="s">
        <v>54</v>
      </c>
      <c r="Y1460" t="s">
        <v>7465</v>
      </c>
      <c r="AA1460">
        <v>26</v>
      </c>
      <c r="AB1460">
        <v>21</v>
      </c>
      <c r="AC1460">
        <v>86</v>
      </c>
      <c r="AD1460">
        <v>85</v>
      </c>
      <c r="AE1460">
        <v>153</v>
      </c>
      <c r="AF1460">
        <v>0</v>
      </c>
      <c r="AG1460">
        <v>0</v>
      </c>
      <c r="AH1460">
        <v>0.29899299144744867</v>
      </c>
      <c r="AI1460">
        <v>3</v>
      </c>
      <c r="AJ1460">
        <v>11.870200157165529</v>
      </c>
      <c r="AK1460" t="s">
        <v>54</v>
      </c>
      <c r="AL1460" t="s">
        <v>53</v>
      </c>
      <c r="AM1460" t="s">
        <v>32</v>
      </c>
      <c r="AP1460" t="s">
        <v>32</v>
      </c>
      <c r="AQ1460" t="s">
        <v>53</v>
      </c>
      <c r="AR1460" t="s">
        <v>32</v>
      </c>
      <c r="AT1460" t="s">
        <v>7455</v>
      </c>
      <c r="AV1460" t="s">
        <v>32</v>
      </c>
      <c r="AW1460" t="s">
        <v>53</v>
      </c>
      <c r="AX1460" t="s">
        <v>32</v>
      </c>
      <c r="AZ1460" t="s">
        <v>54</v>
      </c>
      <c r="BA1460" t="s">
        <v>7437</v>
      </c>
    </row>
    <row r="1461" spans="1:53" x14ac:dyDescent="0.25">
      <c r="A1461">
        <v>1456</v>
      </c>
      <c r="B1461" t="s">
        <v>7780</v>
      </c>
      <c r="C1461" t="s">
        <v>7781</v>
      </c>
      <c r="D1461" t="s">
        <v>7782</v>
      </c>
      <c r="E1461">
        <v>8</v>
      </c>
      <c r="F1461" t="s">
        <v>7426</v>
      </c>
      <c r="G1461" t="s">
        <v>1047</v>
      </c>
      <c r="H1461" t="s">
        <v>7783</v>
      </c>
      <c r="I1461" t="s">
        <v>7784</v>
      </c>
      <c r="J1461" t="s">
        <v>7785</v>
      </c>
      <c r="K1461" t="s">
        <v>7786</v>
      </c>
      <c r="L1461" t="s">
        <v>7432</v>
      </c>
      <c r="M1461">
        <v>515.94830322265625</v>
      </c>
      <c r="N1461" t="s">
        <v>54</v>
      </c>
      <c r="O1461" t="s">
        <v>53</v>
      </c>
      <c r="P1461" t="s">
        <v>54</v>
      </c>
      <c r="Q1461" t="s">
        <v>53</v>
      </c>
      <c r="R1461" t="s">
        <v>53</v>
      </c>
      <c r="S1461" t="s">
        <v>1053</v>
      </c>
      <c r="T1461" t="s">
        <v>1053</v>
      </c>
      <c r="U1461" t="s">
        <v>53</v>
      </c>
      <c r="V1461" t="s">
        <v>138</v>
      </c>
      <c r="W1461">
        <v>1430000</v>
      </c>
      <c r="X1461" t="s">
        <v>54</v>
      </c>
      <c r="Y1461" t="s">
        <v>7741</v>
      </c>
      <c r="AA1461">
        <v>2038</v>
      </c>
      <c r="AB1461">
        <v>1007</v>
      </c>
      <c r="AC1461">
        <v>1306</v>
      </c>
      <c r="AD1461">
        <v>1327</v>
      </c>
      <c r="AE1461">
        <v>1327</v>
      </c>
      <c r="AF1461">
        <v>0</v>
      </c>
      <c r="AG1461">
        <v>0</v>
      </c>
      <c r="AH1461">
        <v>90.222297668457031</v>
      </c>
      <c r="AI1461">
        <v>0</v>
      </c>
      <c r="AJ1461">
        <v>3.288199901580811</v>
      </c>
      <c r="AK1461" t="s">
        <v>54</v>
      </c>
      <c r="AL1461" t="s">
        <v>53</v>
      </c>
      <c r="AM1461" t="s">
        <v>32</v>
      </c>
      <c r="AP1461" t="s">
        <v>32</v>
      </c>
      <c r="AQ1461" t="s">
        <v>53</v>
      </c>
      <c r="AR1461" t="s">
        <v>32</v>
      </c>
      <c r="AT1461" t="s">
        <v>7447</v>
      </c>
      <c r="AV1461" t="s">
        <v>32</v>
      </c>
      <c r="AW1461" t="s">
        <v>53</v>
      </c>
      <c r="AX1461" t="s">
        <v>32</v>
      </c>
      <c r="AZ1461" t="s">
        <v>54</v>
      </c>
      <c r="BA1461" t="s">
        <v>7437</v>
      </c>
    </row>
    <row r="1462" spans="1:53" x14ac:dyDescent="0.25">
      <c r="A1462">
        <v>1457</v>
      </c>
      <c r="B1462" t="s">
        <v>7787</v>
      </c>
      <c r="C1462" t="s">
        <v>7788</v>
      </c>
      <c r="D1462" t="s">
        <v>7789</v>
      </c>
      <c r="E1462">
        <v>8</v>
      </c>
      <c r="F1462" t="s">
        <v>7426</v>
      </c>
      <c r="G1462" t="s">
        <v>7790</v>
      </c>
      <c r="H1462" t="s">
        <v>7791</v>
      </c>
      <c r="I1462" t="s">
        <v>7792</v>
      </c>
      <c r="J1462" t="s">
        <v>7793</v>
      </c>
      <c r="K1462" t="s">
        <v>7794</v>
      </c>
      <c r="L1462" t="s">
        <v>7480</v>
      </c>
      <c r="M1462">
        <v>1.6992319822311399</v>
      </c>
      <c r="N1462" t="s">
        <v>54</v>
      </c>
      <c r="O1462" t="s">
        <v>53</v>
      </c>
      <c r="P1462" t="s">
        <v>54</v>
      </c>
      <c r="Q1462" t="s">
        <v>53</v>
      </c>
      <c r="R1462" t="s">
        <v>53</v>
      </c>
      <c r="S1462" t="s">
        <v>7795</v>
      </c>
      <c r="T1462" t="s">
        <v>7795</v>
      </c>
      <c r="U1462" t="s">
        <v>53</v>
      </c>
      <c r="V1462" t="s">
        <v>51</v>
      </c>
      <c r="W1462">
        <v>157000</v>
      </c>
      <c r="X1462" t="s">
        <v>54</v>
      </c>
      <c r="Y1462" t="s">
        <v>7741</v>
      </c>
      <c r="AA1462">
        <v>578</v>
      </c>
      <c r="AB1462">
        <v>328</v>
      </c>
      <c r="AC1462">
        <v>5346</v>
      </c>
      <c r="AD1462">
        <v>1629</v>
      </c>
      <c r="AE1462">
        <v>6540</v>
      </c>
      <c r="AF1462">
        <v>1</v>
      </c>
      <c r="AG1462">
        <v>1</v>
      </c>
      <c r="AH1462">
        <v>31.993400573730469</v>
      </c>
      <c r="AI1462">
        <v>108</v>
      </c>
      <c r="AJ1462">
        <v>196.13099670410159</v>
      </c>
      <c r="AK1462" t="s">
        <v>54</v>
      </c>
      <c r="AL1462" t="s">
        <v>53</v>
      </c>
      <c r="AM1462" t="s">
        <v>32</v>
      </c>
      <c r="AP1462" t="s">
        <v>32</v>
      </c>
      <c r="AQ1462" t="s">
        <v>53</v>
      </c>
      <c r="AR1462" t="s">
        <v>32</v>
      </c>
      <c r="AT1462" t="s">
        <v>7455</v>
      </c>
      <c r="AV1462" t="s">
        <v>32</v>
      </c>
      <c r="AW1462" t="s">
        <v>53</v>
      </c>
      <c r="AZ1462" t="s">
        <v>54</v>
      </c>
      <c r="BA1462" t="s">
        <v>7437</v>
      </c>
    </row>
    <row r="1463" spans="1:53" x14ac:dyDescent="0.25">
      <c r="A1463">
        <v>1458</v>
      </c>
      <c r="B1463" t="s">
        <v>7796</v>
      </c>
      <c r="C1463" t="s">
        <v>7797</v>
      </c>
      <c r="D1463" t="s">
        <v>7798</v>
      </c>
      <c r="E1463">
        <v>8</v>
      </c>
      <c r="F1463" t="s">
        <v>7426</v>
      </c>
      <c r="G1463" t="s">
        <v>7790</v>
      </c>
      <c r="H1463" t="s">
        <v>7791</v>
      </c>
      <c r="I1463" t="s">
        <v>7792</v>
      </c>
      <c r="J1463" t="s">
        <v>7793</v>
      </c>
      <c r="K1463" t="s">
        <v>7799</v>
      </c>
      <c r="L1463" t="s">
        <v>7432</v>
      </c>
      <c r="M1463">
        <v>1.729020237922668</v>
      </c>
      <c r="N1463" t="s">
        <v>53</v>
      </c>
      <c r="O1463" t="s">
        <v>53</v>
      </c>
      <c r="P1463" t="s">
        <v>54</v>
      </c>
      <c r="Q1463" t="s">
        <v>53</v>
      </c>
      <c r="R1463" t="s">
        <v>53</v>
      </c>
      <c r="S1463" t="s">
        <v>7795</v>
      </c>
      <c r="T1463" t="s">
        <v>7795</v>
      </c>
      <c r="U1463" t="s">
        <v>53</v>
      </c>
      <c r="V1463" t="s">
        <v>51</v>
      </c>
      <c r="W1463">
        <v>917000</v>
      </c>
      <c r="X1463" t="s">
        <v>54</v>
      </c>
      <c r="Y1463" t="s">
        <v>7741</v>
      </c>
      <c r="AA1463">
        <v>69</v>
      </c>
      <c r="AB1463">
        <v>47</v>
      </c>
      <c r="AC1463">
        <v>705</v>
      </c>
      <c r="AD1463">
        <v>220</v>
      </c>
      <c r="AE1463">
        <v>705</v>
      </c>
      <c r="AF1463">
        <v>1</v>
      </c>
      <c r="AG1463">
        <v>0</v>
      </c>
      <c r="AH1463">
        <v>6.5988001823425293</v>
      </c>
      <c r="AI1463">
        <v>0</v>
      </c>
      <c r="AJ1463">
        <v>14.69579982757568</v>
      </c>
      <c r="AK1463" t="s">
        <v>53</v>
      </c>
      <c r="AL1463" t="s">
        <v>54</v>
      </c>
      <c r="AM1463" t="s">
        <v>32</v>
      </c>
      <c r="AP1463" t="s">
        <v>32</v>
      </c>
      <c r="AQ1463" t="s">
        <v>53</v>
      </c>
      <c r="AR1463" t="s">
        <v>32</v>
      </c>
      <c r="AT1463" t="s">
        <v>7800</v>
      </c>
      <c r="AV1463" t="s">
        <v>32</v>
      </c>
      <c r="AW1463" t="s">
        <v>53</v>
      </c>
      <c r="AX1463" t="s">
        <v>32</v>
      </c>
      <c r="AZ1463" t="s">
        <v>54</v>
      </c>
      <c r="BA1463" t="s">
        <v>7437</v>
      </c>
    </row>
    <row r="1464" spans="1:53" x14ac:dyDescent="0.25">
      <c r="A1464">
        <v>1459</v>
      </c>
      <c r="B1464" t="s">
        <v>7801</v>
      </c>
      <c r="C1464" t="s">
        <v>7802</v>
      </c>
      <c r="D1464" t="s">
        <v>7803</v>
      </c>
      <c r="E1464">
        <v>8</v>
      </c>
      <c r="F1464" t="s">
        <v>7426</v>
      </c>
      <c r="G1464" t="s">
        <v>7790</v>
      </c>
      <c r="H1464" t="s">
        <v>7791</v>
      </c>
      <c r="I1464" t="s">
        <v>7792</v>
      </c>
      <c r="J1464" t="s">
        <v>7793</v>
      </c>
      <c r="K1464" t="s">
        <v>7804</v>
      </c>
      <c r="L1464" t="s">
        <v>7480</v>
      </c>
      <c r="M1464">
        <v>1.0885581970214839</v>
      </c>
      <c r="N1464" t="s">
        <v>54</v>
      </c>
      <c r="O1464" t="s">
        <v>53</v>
      </c>
      <c r="P1464" t="s">
        <v>54</v>
      </c>
      <c r="Q1464" t="s">
        <v>53</v>
      </c>
      <c r="R1464" t="s">
        <v>53</v>
      </c>
      <c r="S1464" t="s">
        <v>7795</v>
      </c>
      <c r="T1464" t="s">
        <v>7795</v>
      </c>
      <c r="U1464" t="s">
        <v>53</v>
      </c>
      <c r="V1464" t="s">
        <v>51</v>
      </c>
      <c r="W1464">
        <v>300000</v>
      </c>
      <c r="X1464" t="s">
        <v>54</v>
      </c>
      <c r="Y1464" t="s">
        <v>7741</v>
      </c>
      <c r="AA1464">
        <v>17</v>
      </c>
      <c r="AB1464">
        <v>8</v>
      </c>
      <c r="AC1464">
        <v>93</v>
      </c>
      <c r="AD1464">
        <v>23</v>
      </c>
      <c r="AE1464">
        <v>93</v>
      </c>
      <c r="AF1464">
        <v>0</v>
      </c>
      <c r="AG1464">
        <v>0</v>
      </c>
      <c r="AH1464">
        <v>1.720000028610229</v>
      </c>
      <c r="AI1464">
        <v>0</v>
      </c>
      <c r="AJ1464">
        <v>0</v>
      </c>
      <c r="AK1464" t="s">
        <v>53</v>
      </c>
      <c r="AL1464" t="s">
        <v>54</v>
      </c>
      <c r="AM1464" t="s">
        <v>32</v>
      </c>
      <c r="AP1464" t="s">
        <v>32</v>
      </c>
      <c r="AQ1464" t="s">
        <v>53</v>
      </c>
      <c r="AR1464" t="s">
        <v>32</v>
      </c>
      <c r="AT1464" t="s">
        <v>7455</v>
      </c>
      <c r="AV1464" t="s">
        <v>32</v>
      </c>
      <c r="AW1464" t="s">
        <v>53</v>
      </c>
      <c r="AX1464" t="s">
        <v>32</v>
      </c>
      <c r="AZ1464" t="s">
        <v>54</v>
      </c>
      <c r="BA1464" t="s">
        <v>7437</v>
      </c>
    </row>
    <row r="1465" spans="1:53" x14ac:dyDescent="0.25">
      <c r="A1465">
        <v>1460</v>
      </c>
      <c r="B1465" t="s">
        <v>7805</v>
      </c>
      <c r="C1465" t="s">
        <v>7806</v>
      </c>
      <c r="D1465" t="s">
        <v>7807</v>
      </c>
      <c r="E1465">
        <v>8</v>
      </c>
      <c r="F1465" t="s">
        <v>7426</v>
      </c>
      <c r="G1465" t="s">
        <v>7790</v>
      </c>
      <c r="H1465" t="s">
        <v>7791</v>
      </c>
      <c r="I1465" t="s">
        <v>7792</v>
      </c>
      <c r="J1465" t="s">
        <v>7793</v>
      </c>
      <c r="K1465" t="s">
        <v>7794</v>
      </c>
      <c r="L1465" t="s">
        <v>7480</v>
      </c>
      <c r="M1465">
        <v>5.5582270622253418</v>
      </c>
      <c r="N1465" t="s">
        <v>54</v>
      </c>
      <c r="O1465" t="s">
        <v>53</v>
      </c>
      <c r="P1465" t="s">
        <v>54</v>
      </c>
      <c r="Q1465" t="s">
        <v>53</v>
      </c>
      <c r="R1465" t="s">
        <v>53</v>
      </c>
      <c r="S1465" t="s">
        <v>7795</v>
      </c>
      <c r="T1465" t="s">
        <v>7795</v>
      </c>
      <c r="U1465" t="s">
        <v>53</v>
      </c>
      <c r="V1465" t="s">
        <v>51</v>
      </c>
      <c r="W1465">
        <v>100000</v>
      </c>
      <c r="X1465" t="s">
        <v>54</v>
      </c>
      <c r="Y1465" t="s">
        <v>7741</v>
      </c>
      <c r="AA1465">
        <v>24</v>
      </c>
      <c r="AB1465">
        <v>8</v>
      </c>
      <c r="AC1465">
        <v>138</v>
      </c>
      <c r="AD1465">
        <v>28</v>
      </c>
      <c r="AE1465">
        <v>138</v>
      </c>
      <c r="AF1465">
        <v>0</v>
      </c>
      <c r="AG1465">
        <v>0</v>
      </c>
      <c r="AH1465">
        <v>0.85000002384185791</v>
      </c>
      <c r="AI1465">
        <v>0</v>
      </c>
      <c r="AJ1465">
        <v>151.80000305175781</v>
      </c>
      <c r="AK1465" t="s">
        <v>53</v>
      </c>
      <c r="AL1465" t="s">
        <v>54</v>
      </c>
      <c r="AM1465" t="s">
        <v>32</v>
      </c>
      <c r="AP1465" t="s">
        <v>32</v>
      </c>
      <c r="AQ1465" t="s">
        <v>53</v>
      </c>
      <c r="AR1465" t="s">
        <v>32</v>
      </c>
      <c r="AT1465" t="s">
        <v>7455</v>
      </c>
      <c r="AV1465" t="s">
        <v>32</v>
      </c>
      <c r="AW1465" t="s">
        <v>53</v>
      </c>
      <c r="AX1465" t="s">
        <v>32</v>
      </c>
      <c r="AZ1465" t="s">
        <v>54</v>
      </c>
      <c r="BA1465" t="s">
        <v>7437</v>
      </c>
    </row>
    <row r="1466" spans="1:53" x14ac:dyDescent="0.25">
      <c r="A1466">
        <v>1461</v>
      </c>
      <c r="B1466" t="s">
        <v>7808</v>
      </c>
      <c r="C1466" t="s">
        <v>7809</v>
      </c>
      <c r="D1466" t="s">
        <v>7810</v>
      </c>
      <c r="E1466">
        <v>8</v>
      </c>
      <c r="F1466" t="s">
        <v>7426</v>
      </c>
      <c r="G1466" t="s">
        <v>7790</v>
      </c>
      <c r="H1466" t="s">
        <v>7791</v>
      </c>
      <c r="I1466" t="s">
        <v>7792</v>
      </c>
      <c r="J1466" t="s">
        <v>7793</v>
      </c>
      <c r="K1466" t="s">
        <v>7794</v>
      </c>
      <c r="L1466" t="s">
        <v>7480</v>
      </c>
      <c r="M1466">
        <v>4.3013134002685547</v>
      </c>
      <c r="N1466" t="s">
        <v>54</v>
      </c>
      <c r="O1466" t="s">
        <v>53</v>
      </c>
      <c r="P1466" t="s">
        <v>54</v>
      </c>
      <c r="Q1466" t="s">
        <v>53</v>
      </c>
      <c r="R1466" t="s">
        <v>53</v>
      </c>
      <c r="S1466" t="s">
        <v>7795</v>
      </c>
      <c r="T1466" t="s">
        <v>7795</v>
      </c>
      <c r="U1466" t="s">
        <v>53</v>
      </c>
      <c r="V1466" t="s">
        <v>51</v>
      </c>
      <c r="W1466">
        <v>300000</v>
      </c>
      <c r="X1466" t="s">
        <v>54</v>
      </c>
      <c r="Y1466" t="s">
        <v>7741</v>
      </c>
      <c r="AA1466">
        <v>39</v>
      </c>
      <c r="AB1466">
        <v>28</v>
      </c>
      <c r="AC1466">
        <v>360</v>
      </c>
      <c r="AD1466">
        <v>505</v>
      </c>
      <c r="AE1466">
        <v>505</v>
      </c>
      <c r="AF1466">
        <v>0</v>
      </c>
      <c r="AG1466">
        <v>0</v>
      </c>
      <c r="AH1466">
        <v>6.4000000953674316</v>
      </c>
      <c r="AI1466">
        <v>0</v>
      </c>
      <c r="AJ1466">
        <v>33.5</v>
      </c>
      <c r="AK1466" t="s">
        <v>53</v>
      </c>
      <c r="AL1466" t="s">
        <v>54</v>
      </c>
      <c r="AM1466" t="s">
        <v>32</v>
      </c>
      <c r="AP1466" t="s">
        <v>32</v>
      </c>
      <c r="AQ1466" t="s">
        <v>53</v>
      </c>
      <c r="AR1466" t="s">
        <v>32</v>
      </c>
      <c r="AT1466" t="s">
        <v>7455</v>
      </c>
      <c r="AV1466" t="s">
        <v>32</v>
      </c>
      <c r="AW1466" t="s">
        <v>53</v>
      </c>
      <c r="AX1466" t="s">
        <v>32</v>
      </c>
      <c r="AZ1466" t="s">
        <v>54</v>
      </c>
      <c r="BA1466" t="s">
        <v>7437</v>
      </c>
    </row>
    <row r="1467" spans="1:53" x14ac:dyDescent="0.25">
      <c r="A1467">
        <v>1462</v>
      </c>
      <c r="B1467" t="s">
        <v>7811</v>
      </c>
      <c r="C1467" t="s">
        <v>7812</v>
      </c>
      <c r="D1467" t="s">
        <v>7813</v>
      </c>
      <c r="E1467">
        <v>8</v>
      </c>
      <c r="F1467" t="s">
        <v>7426</v>
      </c>
      <c r="G1467" t="s">
        <v>7790</v>
      </c>
      <c r="H1467" t="s">
        <v>7814</v>
      </c>
      <c r="I1467" t="s">
        <v>7815</v>
      </c>
      <c r="J1467" t="s">
        <v>7816</v>
      </c>
      <c r="K1467" t="s">
        <v>7817</v>
      </c>
      <c r="L1467" t="s">
        <v>7463</v>
      </c>
      <c r="M1467">
        <v>24.540143966674801</v>
      </c>
      <c r="N1467" t="s">
        <v>54</v>
      </c>
      <c r="O1467" t="s">
        <v>53</v>
      </c>
      <c r="P1467" t="s">
        <v>53</v>
      </c>
      <c r="Q1467" t="s">
        <v>53</v>
      </c>
      <c r="R1467" t="s">
        <v>53</v>
      </c>
      <c r="S1467" t="s">
        <v>7795</v>
      </c>
      <c r="T1467" t="s">
        <v>7795</v>
      </c>
      <c r="U1467" t="s">
        <v>53</v>
      </c>
      <c r="V1467" t="s">
        <v>51</v>
      </c>
      <c r="W1467">
        <v>100000</v>
      </c>
      <c r="X1467" t="s">
        <v>54</v>
      </c>
      <c r="Y1467" t="s">
        <v>7741</v>
      </c>
      <c r="AA1467">
        <v>13</v>
      </c>
      <c r="AB1467">
        <v>9</v>
      </c>
      <c r="AC1467">
        <v>15</v>
      </c>
      <c r="AD1467">
        <v>37</v>
      </c>
      <c r="AE1467">
        <v>37</v>
      </c>
      <c r="AF1467">
        <v>0</v>
      </c>
      <c r="AG1467">
        <v>1</v>
      </c>
      <c r="AH1467">
        <v>0.80000001192092896</v>
      </c>
      <c r="AI1467">
        <v>0</v>
      </c>
      <c r="AJ1467">
        <v>17.60000038146973</v>
      </c>
      <c r="AK1467" t="s">
        <v>53</v>
      </c>
      <c r="AL1467" t="s">
        <v>54</v>
      </c>
      <c r="AM1467" t="s">
        <v>32</v>
      </c>
      <c r="AP1467" t="s">
        <v>32</v>
      </c>
      <c r="AQ1467" t="s">
        <v>53</v>
      </c>
      <c r="AR1467" t="s">
        <v>32</v>
      </c>
      <c r="AT1467" t="s">
        <v>7455</v>
      </c>
      <c r="AV1467" t="s">
        <v>32</v>
      </c>
      <c r="AW1467" t="s">
        <v>53</v>
      </c>
      <c r="AX1467" t="s">
        <v>32</v>
      </c>
      <c r="AZ1467" t="s">
        <v>54</v>
      </c>
      <c r="BA1467" t="s">
        <v>7437</v>
      </c>
    </row>
    <row r="1468" spans="1:53" x14ac:dyDescent="0.25">
      <c r="A1468">
        <v>1463</v>
      </c>
      <c r="B1468" t="s">
        <v>7818</v>
      </c>
      <c r="C1468" t="s">
        <v>7819</v>
      </c>
      <c r="D1468" t="s">
        <v>7820</v>
      </c>
      <c r="E1468">
        <v>8</v>
      </c>
      <c r="F1468" t="s">
        <v>7426</v>
      </c>
      <c r="G1468" t="s">
        <v>7790</v>
      </c>
      <c r="H1468" t="s">
        <v>7791</v>
      </c>
      <c r="I1468" t="s">
        <v>7792</v>
      </c>
      <c r="J1468" t="s">
        <v>7793</v>
      </c>
      <c r="K1468" t="s">
        <v>7794</v>
      </c>
      <c r="L1468" t="s">
        <v>7480</v>
      </c>
      <c r="M1468">
        <v>2.8941915035247798</v>
      </c>
      <c r="N1468" t="s">
        <v>54</v>
      </c>
      <c r="O1468" t="s">
        <v>53</v>
      </c>
      <c r="P1468" t="s">
        <v>54</v>
      </c>
      <c r="Q1468" t="s">
        <v>53</v>
      </c>
      <c r="R1468" t="s">
        <v>53</v>
      </c>
      <c r="S1468" t="s">
        <v>7795</v>
      </c>
      <c r="T1468" t="s">
        <v>7795</v>
      </c>
      <c r="U1468" t="s">
        <v>53</v>
      </c>
      <c r="V1468" t="s">
        <v>51</v>
      </c>
      <c r="W1468">
        <v>300000</v>
      </c>
      <c r="X1468" t="s">
        <v>54</v>
      </c>
      <c r="Y1468" t="s">
        <v>7741</v>
      </c>
      <c r="AA1468">
        <v>76</v>
      </c>
      <c r="AB1468">
        <v>27</v>
      </c>
      <c r="AC1468">
        <v>1723</v>
      </c>
      <c r="AD1468">
        <v>62</v>
      </c>
      <c r="AE1468">
        <v>1723</v>
      </c>
      <c r="AF1468">
        <v>1</v>
      </c>
      <c r="AG1468">
        <v>0</v>
      </c>
      <c r="AH1468">
        <v>19.79999923706055</v>
      </c>
      <c r="AI1468">
        <v>0</v>
      </c>
      <c r="AJ1468">
        <v>1.450000047683716</v>
      </c>
      <c r="AK1468" t="s">
        <v>53</v>
      </c>
      <c r="AL1468" t="s">
        <v>54</v>
      </c>
      <c r="AM1468" t="s">
        <v>32</v>
      </c>
      <c r="AP1468" t="s">
        <v>32</v>
      </c>
      <c r="AQ1468" t="s">
        <v>53</v>
      </c>
      <c r="AR1468" t="s">
        <v>32</v>
      </c>
      <c r="AT1468" t="s">
        <v>7455</v>
      </c>
      <c r="AV1468" t="s">
        <v>32</v>
      </c>
      <c r="AW1468" t="s">
        <v>53</v>
      </c>
      <c r="AX1468" t="s">
        <v>32</v>
      </c>
      <c r="AZ1468" t="s">
        <v>54</v>
      </c>
      <c r="BA1468" t="s">
        <v>7437</v>
      </c>
    </row>
    <row r="1469" spans="1:53" x14ac:dyDescent="0.25">
      <c r="A1469">
        <v>1464</v>
      </c>
      <c r="B1469" t="s">
        <v>7821</v>
      </c>
      <c r="C1469" t="s">
        <v>7822</v>
      </c>
      <c r="D1469" t="s">
        <v>7823</v>
      </c>
      <c r="E1469">
        <v>8</v>
      </c>
      <c r="F1469" t="s">
        <v>7426</v>
      </c>
      <c r="G1469" t="s">
        <v>276</v>
      </c>
      <c r="H1469" t="s">
        <v>7539</v>
      </c>
      <c r="I1469" t="s">
        <v>7824</v>
      </c>
      <c r="J1469" t="s">
        <v>7825</v>
      </c>
      <c r="K1469" t="s">
        <v>7432</v>
      </c>
      <c r="L1469" t="s">
        <v>7480</v>
      </c>
      <c r="M1469">
        <v>5.299950122833252</v>
      </c>
      <c r="N1469" t="s">
        <v>54</v>
      </c>
      <c r="O1469" t="s">
        <v>53</v>
      </c>
      <c r="P1469" t="s">
        <v>54</v>
      </c>
      <c r="Q1469" t="s">
        <v>53</v>
      </c>
      <c r="R1469" t="s">
        <v>53</v>
      </c>
      <c r="S1469" t="s">
        <v>289</v>
      </c>
      <c r="T1469" t="s">
        <v>7684</v>
      </c>
      <c r="U1469" t="s">
        <v>54</v>
      </c>
      <c r="V1469" t="s">
        <v>51</v>
      </c>
      <c r="W1469">
        <v>300000</v>
      </c>
      <c r="X1469" t="s">
        <v>54</v>
      </c>
      <c r="Y1469" t="s">
        <v>7826</v>
      </c>
      <c r="AA1469">
        <v>149</v>
      </c>
      <c r="AB1469">
        <v>107</v>
      </c>
      <c r="AC1469">
        <v>34</v>
      </c>
      <c r="AD1469">
        <v>137</v>
      </c>
      <c r="AE1469">
        <v>137</v>
      </c>
      <c r="AF1469">
        <v>0</v>
      </c>
      <c r="AG1469">
        <v>0</v>
      </c>
      <c r="AH1469">
        <v>0.81000000238418579</v>
      </c>
      <c r="AI1469">
        <v>8</v>
      </c>
      <c r="AJ1469">
        <v>271.7030029296875</v>
      </c>
      <c r="AK1469" t="s">
        <v>53</v>
      </c>
      <c r="AL1469" t="s">
        <v>54</v>
      </c>
      <c r="AM1469" t="s">
        <v>32</v>
      </c>
      <c r="AP1469" t="s">
        <v>7827</v>
      </c>
      <c r="AQ1469" t="s">
        <v>53</v>
      </c>
      <c r="AR1469" t="s">
        <v>32</v>
      </c>
      <c r="AT1469" t="s">
        <v>7722</v>
      </c>
      <c r="AV1469" t="s">
        <v>32</v>
      </c>
      <c r="AW1469" t="s">
        <v>53</v>
      </c>
      <c r="AX1469" t="s">
        <v>32</v>
      </c>
      <c r="AZ1469" t="s">
        <v>54</v>
      </c>
      <c r="BA1469" t="s">
        <v>7437</v>
      </c>
    </row>
    <row r="1470" spans="1:53" x14ac:dyDescent="0.25">
      <c r="A1470">
        <v>1465</v>
      </c>
      <c r="B1470" t="s">
        <v>7828</v>
      </c>
      <c r="C1470" t="s">
        <v>7829</v>
      </c>
      <c r="D1470" t="s">
        <v>7830</v>
      </c>
      <c r="E1470">
        <v>9</v>
      </c>
      <c r="F1470" t="s">
        <v>7831</v>
      </c>
      <c r="G1470" t="s">
        <v>7832</v>
      </c>
      <c r="H1470" t="s">
        <v>7833</v>
      </c>
      <c r="I1470" t="s">
        <v>7834</v>
      </c>
      <c r="J1470" t="s">
        <v>7835</v>
      </c>
      <c r="K1470" t="s">
        <v>7836</v>
      </c>
      <c r="L1470" t="s">
        <v>7837</v>
      </c>
      <c r="M1470">
        <v>1.029212959110737E-2</v>
      </c>
      <c r="N1470" t="s">
        <v>54</v>
      </c>
      <c r="O1470" t="s">
        <v>53</v>
      </c>
      <c r="P1470" t="s">
        <v>54</v>
      </c>
      <c r="Q1470" t="s">
        <v>53</v>
      </c>
      <c r="R1470" t="s">
        <v>53</v>
      </c>
      <c r="S1470" t="s">
        <v>7838</v>
      </c>
      <c r="T1470" t="s">
        <v>7839</v>
      </c>
      <c r="U1470" t="s">
        <v>54</v>
      </c>
      <c r="V1470" t="s">
        <v>51</v>
      </c>
      <c r="W1470">
        <v>195276.65625</v>
      </c>
      <c r="X1470" t="s">
        <v>54</v>
      </c>
      <c r="AA1470">
        <v>0</v>
      </c>
      <c r="AB1470">
        <v>0</v>
      </c>
      <c r="AC1470">
        <v>0</v>
      </c>
      <c r="AD1470">
        <v>0</v>
      </c>
      <c r="AE1470">
        <v>0</v>
      </c>
      <c r="AF1470">
        <v>0</v>
      </c>
      <c r="AG1470">
        <v>0</v>
      </c>
      <c r="AH1470">
        <v>0</v>
      </c>
      <c r="AI1470">
        <v>0</v>
      </c>
      <c r="AJ1470">
        <v>0</v>
      </c>
      <c r="AK1470" t="s">
        <v>53</v>
      </c>
      <c r="AL1470" t="s">
        <v>54</v>
      </c>
      <c r="AQ1470" t="s">
        <v>54</v>
      </c>
      <c r="AT1470" t="s">
        <v>2410</v>
      </c>
      <c r="AW1470" t="s">
        <v>54</v>
      </c>
      <c r="AZ1470" t="s">
        <v>54</v>
      </c>
      <c r="BA1470" t="s">
        <v>7840</v>
      </c>
    </row>
    <row r="1471" spans="1:53" x14ac:dyDescent="0.25">
      <c r="A1471">
        <v>1466</v>
      </c>
      <c r="B1471" t="s">
        <v>7841</v>
      </c>
      <c r="C1471" t="s">
        <v>7842</v>
      </c>
      <c r="D1471" t="s">
        <v>7843</v>
      </c>
      <c r="E1471">
        <v>9</v>
      </c>
      <c r="F1471" t="s">
        <v>7831</v>
      </c>
      <c r="G1471" t="s">
        <v>7832</v>
      </c>
      <c r="H1471" t="s">
        <v>7844</v>
      </c>
      <c r="I1471" t="s">
        <v>7845</v>
      </c>
      <c r="J1471" t="s">
        <v>7846</v>
      </c>
      <c r="K1471" t="s">
        <v>7847</v>
      </c>
      <c r="L1471" t="s">
        <v>7837</v>
      </c>
      <c r="M1471">
        <v>8.3701377734541893E-3</v>
      </c>
      <c r="N1471" t="s">
        <v>54</v>
      </c>
      <c r="O1471" t="s">
        <v>53</v>
      </c>
      <c r="P1471" t="s">
        <v>54</v>
      </c>
      <c r="Q1471" t="s">
        <v>53</v>
      </c>
      <c r="R1471" t="s">
        <v>53</v>
      </c>
      <c r="S1471" t="s">
        <v>7838</v>
      </c>
      <c r="T1471" t="s">
        <v>7839</v>
      </c>
      <c r="U1471" t="s">
        <v>54</v>
      </c>
      <c r="V1471" t="s">
        <v>51</v>
      </c>
      <c r="W1471">
        <v>1813953.125</v>
      </c>
      <c r="X1471" t="s">
        <v>54</v>
      </c>
      <c r="AA1471">
        <v>16</v>
      </c>
      <c r="AB1471">
        <v>16</v>
      </c>
      <c r="AC1471">
        <v>9</v>
      </c>
      <c r="AD1471">
        <v>53</v>
      </c>
      <c r="AE1471">
        <v>53</v>
      </c>
      <c r="AF1471">
        <v>0</v>
      </c>
      <c r="AG1471">
        <v>1</v>
      </c>
      <c r="AH1471">
        <v>0.16489860415458679</v>
      </c>
      <c r="AI1471">
        <v>0</v>
      </c>
      <c r="AJ1471">
        <v>0</v>
      </c>
      <c r="AK1471" t="s">
        <v>53</v>
      </c>
      <c r="AL1471" t="s">
        <v>54</v>
      </c>
      <c r="AQ1471" t="s">
        <v>54</v>
      </c>
      <c r="AT1471" t="s">
        <v>2410</v>
      </c>
      <c r="AW1471" t="s">
        <v>54</v>
      </c>
      <c r="AZ1471" t="s">
        <v>54</v>
      </c>
      <c r="BA1471" t="s">
        <v>7840</v>
      </c>
    </row>
    <row r="1472" spans="1:53" x14ac:dyDescent="0.25">
      <c r="A1472">
        <v>1467</v>
      </c>
      <c r="B1472" t="s">
        <v>7848</v>
      </c>
      <c r="C1472" t="s">
        <v>7849</v>
      </c>
      <c r="D1472" t="s">
        <v>7850</v>
      </c>
      <c r="E1472">
        <v>9</v>
      </c>
      <c r="F1472" t="s">
        <v>7831</v>
      </c>
      <c r="G1472" t="s">
        <v>7832</v>
      </c>
      <c r="H1472" t="s">
        <v>7851</v>
      </c>
      <c r="I1472" t="s">
        <v>7852</v>
      </c>
      <c r="J1472" t="s">
        <v>7853</v>
      </c>
      <c r="K1472" t="s">
        <v>7854</v>
      </c>
      <c r="L1472" t="s">
        <v>7837</v>
      </c>
      <c r="M1472">
        <v>2.2028561681509021E-2</v>
      </c>
      <c r="N1472" t="s">
        <v>53</v>
      </c>
      <c r="O1472" t="s">
        <v>53</v>
      </c>
      <c r="P1472" t="s">
        <v>53</v>
      </c>
      <c r="Q1472" t="s">
        <v>53</v>
      </c>
      <c r="R1472" t="s">
        <v>53</v>
      </c>
      <c r="S1472" t="s">
        <v>7838</v>
      </c>
      <c r="T1472" t="s">
        <v>7839</v>
      </c>
      <c r="U1472" t="s">
        <v>54</v>
      </c>
      <c r="V1472" t="s">
        <v>51</v>
      </c>
      <c r="W1472">
        <v>6541000</v>
      </c>
      <c r="X1472" t="s">
        <v>54</v>
      </c>
      <c r="AA1472">
        <v>0</v>
      </c>
      <c r="AB1472">
        <v>0</v>
      </c>
      <c r="AC1472">
        <v>0</v>
      </c>
      <c r="AD1472">
        <v>0</v>
      </c>
      <c r="AE1472">
        <v>0</v>
      </c>
      <c r="AF1472">
        <v>0</v>
      </c>
      <c r="AG1472">
        <v>0</v>
      </c>
      <c r="AH1472">
        <v>0</v>
      </c>
      <c r="AI1472">
        <v>0</v>
      </c>
      <c r="AJ1472">
        <v>0</v>
      </c>
      <c r="AK1472" t="s">
        <v>53</v>
      </c>
      <c r="AL1472" t="s">
        <v>54</v>
      </c>
      <c r="AQ1472" t="s">
        <v>54</v>
      </c>
      <c r="AT1472" t="s">
        <v>2410</v>
      </c>
      <c r="AW1472" t="s">
        <v>53</v>
      </c>
      <c r="AZ1472" t="s">
        <v>54</v>
      </c>
      <c r="BA1472" t="s">
        <v>7840</v>
      </c>
    </row>
    <row r="1473" spans="1:53" x14ac:dyDescent="0.25">
      <c r="A1473">
        <v>1468</v>
      </c>
      <c r="B1473" t="s">
        <v>7855</v>
      </c>
      <c r="C1473" t="s">
        <v>7856</v>
      </c>
      <c r="D1473" t="s">
        <v>7857</v>
      </c>
      <c r="E1473">
        <v>9</v>
      </c>
      <c r="F1473" t="s">
        <v>7831</v>
      </c>
      <c r="G1473" t="s">
        <v>7832</v>
      </c>
      <c r="H1473" t="s">
        <v>7851</v>
      </c>
      <c r="I1473" t="s">
        <v>7852</v>
      </c>
      <c r="J1473" t="s">
        <v>7853</v>
      </c>
      <c r="K1473" t="s">
        <v>7854</v>
      </c>
      <c r="L1473" t="s">
        <v>7858</v>
      </c>
      <c r="M1473">
        <v>6.6280923783779144E-2</v>
      </c>
      <c r="N1473" t="s">
        <v>54</v>
      </c>
      <c r="O1473" t="s">
        <v>53</v>
      </c>
      <c r="P1473" t="s">
        <v>54</v>
      </c>
      <c r="Q1473" t="s">
        <v>53</v>
      </c>
      <c r="R1473" t="s">
        <v>53</v>
      </c>
      <c r="S1473" t="s">
        <v>7838</v>
      </c>
      <c r="T1473" t="s">
        <v>7839</v>
      </c>
      <c r="U1473" t="s">
        <v>54</v>
      </c>
      <c r="V1473" t="s">
        <v>51</v>
      </c>
      <c r="W1473">
        <v>1037911.375</v>
      </c>
      <c r="X1473" t="s">
        <v>54</v>
      </c>
      <c r="AA1473">
        <v>4</v>
      </c>
      <c r="AB1473">
        <v>4</v>
      </c>
      <c r="AC1473">
        <v>16</v>
      </c>
      <c r="AD1473">
        <v>52</v>
      </c>
      <c r="AE1473">
        <v>52</v>
      </c>
      <c r="AF1473">
        <v>0</v>
      </c>
      <c r="AG1473">
        <v>1</v>
      </c>
      <c r="AH1473">
        <v>0.55855476856231689</v>
      </c>
      <c r="AI1473">
        <v>0</v>
      </c>
      <c r="AJ1473">
        <v>0</v>
      </c>
      <c r="AK1473" t="s">
        <v>53</v>
      </c>
      <c r="AL1473" t="s">
        <v>54</v>
      </c>
      <c r="AQ1473" t="s">
        <v>54</v>
      </c>
      <c r="AT1473" t="s">
        <v>2410</v>
      </c>
      <c r="AW1473" t="s">
        <v>53</v>
      </c>
      <c r="AZ1473" t="s">
        <v>54</v>
      </c>
      <c r="BA1473" t="s">
        <v>7840</v>
      </c>
    </row>
    <row r="1474" spans="1:53" x14ac:dyDescent="0.25">
      <c r="A1474">
        <v>1469</v>
      </c>
      <c r="B1474" t="s">
        <v>7859</v>
      </c>
      <c r="C1474" t="s">
        <v>7860</v>
      </c>
      <c r="D1474" t="s">
        <v>7861</v>
      </c>
      <c r="E1474">
        <v>9</v>
      </c>
      <c r="F1474" t="s">
        <v>7831</v>
      </c>
      <c r="G1474" t="s">
        <v>7832</v>
      </c>
      <c r="H1474" t="s">
        <v>7851</v>
      </c>
      <c r="I1474" t="s">
        <v>7852</v>
      </c>
      <c r="J1474" t="s">
        <v>7853</v>
      </c>
      <c r="K1474" t="s">
        <v>7854</v>
      </c>
      <c r="L1474" t="s">
        <v>7858</v>
      </c>
      <c r="M1474">
        <v>0.1216455325484276</v>
      </c>
      <c r="N1474" t="s">
        <v>54</v>
      </c>
      <c r="O1474" t="s">
        <v>53</v>
      </c>
      <c r="P1474" t="s">
        <v>54</v>
      </c>
      <c r="Q1474" t="s">
        <v>53</v>
      </c>
      <c r="R1474" t="s">
        <v>53</v>
      </c>
      <c r="S1474" t="s">
        <v>7838</v>
      </c>
      <c r="T1474" t="s">
        <v>7839</v>
      </c>
      <c r="U1474" t="s">
        <v>54</v>
      </c>
      <c r="V1474" t="s">
        <v>51</v>
      </c>
      <c r="W1474">
        <v>6645000</v>
      </c>
      <c r="X1474" t="s">
        <v>54</v>
      </c>
      <c r="AA1474">
        <v>12</v>
      </c>
      <c r="AB1474">
        <v>1</v>
      </c>
      <c r="AC1474">
        <v>81</v>
      </c>
      <c r="AD1474">
        <v>26</v>
      </c>
      <c r="AE1474">
        <v>81</v>
      </c>
      <c r="AF1474">
        <v>0</v>
      </c>
      <c r="AG1474">
        <v>2</v>
      </c>
      <c r="AH1474">
        <v>1.820451617240906</v>
      </c>
      <c r="AI1474">
        <v>0</v>
      </c>
      <c r="AJ1474">
        <v>0.66426527500152588</v>
      </c>
      <c r="AK1474" t="s">
        <v>53</v>
      </c>
      <c r="AL1474" t="s">
        <v>54</v>
      </c>
      <c r="AQ1474" t="s">
        <v>54</v>
      </c>
      <c r="AT1474" t="s">
        <v>2410</v>
      </c>
      <c r="AW1474" t="s">
        <v>54</v>
      </c>
      <c r="AZ1474" t="s">
        <v>54</v>
      </c>
      <c r="BA1474" t="s">
        <v>7840</v>
      </c>
    </row>
    <row r="1475" spans="1:53" x14ac:dyDescent="0.25">
      <c r="A1475">
        <v>1470</v>
      </c>
      <c r="B1475" t="s">
        <v>7862</v>
      </c>
      <c r="C1475" t="s">
        <v>7863</v>
      </c>
      <c r="D1475" t="s">
        <v>7864</v>
      </c>
      <c r="E1475">
        <v>9</v>
      </c>
      <c r="F1475" t="s">
        <v>7831</v>
      </c>
      <c r="G1475" t="s">
        <v>7832</v>
      </c>
      <c r="H1475" t="s">
        <v>7865</v>
      </c>
      <c r="I1475" t="s">
        <v>7866</v>
      </c>
      <c r="J1475" t="s">
        <v>7867</v>
      </c>
      <c r="K1475" t="s">
        <v>7868</v>
      </c>
      <c r="L1475" t="s">
        <v>7858</v>
      </c>
      <c r="M1475">
        <v>2.0915083587169651E-2</v>
      </c>
      <c r="N1475" t="s">
        <v>54</v>
      </c>
      <c r="O1475" t="s">
        <v>53</v>
      </c>
      <c r="P1475" t="s">
        <v>54</v>
      </c>
      <c r="Q1475" t="s">
        <v>53</v>
      </c>
      <c r="R1475" t="s">
        <v>53</v>
      </c>
      <c r="S1475" t="s">
        <v>7838</v>
      </c>
      <c r="T1475" t="s">
        <v>7839</v>
      </c>
      <c r="U1475" t="s">
        <v>54</v>
      </c>
      <c r="V1475" t="s">
        <v>51</v>
      </c>
      <c r="W1475">
        <v>25000</v>
      </c>
      <c r="X1475" t="s">
        <v>54</v>
      </c>
      <c r="AA1475">
        <v>4</v>
      </c>
      <c r="AB1475">
        <v>4</v>
      </c>
      <c r="AC1475">
        <v>3</v>
      </c>
      <c r="AD1475">
        <v>11</v>
      </c>
      <c r="AE1475">
        <v>11</v>
      </c>
      <c r="AF1475">
        <v>0</v>
      </c>
      <c r="AG1475">
        <v>0</v>
      </c>
      <c r="AH1475">
        <v>5.1898255944252007E-2</v>
      </c>
      <c r="AI1475">
        <v>0</v>
      </c>
      <c r="AJ1475">
        <v>0</v>
      </c>
      <c r="AK1475" t="s">
        <v>53</v>
      </c>
      <c r="AL1475" t="s">
        <v>54</v>
      </c>
      <c r="AQ1475" t="s">
        <v>54</v>
      </c>
      <c r="AT1475" t="s">
        <v>2410</v>
      </c>
      <c r="AW1475" t="s">
        <v>53</v>
      </c>
      <c r="AZ1475" t="s">
        <v>54</v>
      </c>
      <c r="BA1475" t="s">
        <v>7840</v>
      </c>
    </row>
    <row r="1476" spans="1:53" x14ac:dyDescent="0.25">
      <c r="A1476">
        <v>1471</v>
      </c>
      <c r="B1476" t="s">
        <v>7869</v>
      </c>
      <c r="C1476" t="s">
        <v>7870</v>
      </c>
      <c r="D1476" t="s">
        <v>7871</v>
      </c>
      <c r="E1476">
        <v>9</v>
      </c>
      <c r="F1476" t="s">
        <v>7831</v>
      </c>
      <c r="G1476" t="s">
        <v>7832</v>
      </c>
      <c r="H1476" t="s">
        <v>7851</v>
      </c>
      <c r="I1476" t="s">
        <v>7852</v>
      </c>
      <c r="J1476" t="s">
        <v>7872</v>
      </c>
      <c r="K1476" t="s">
        <v>7854</v>
      </c>
      <c r="L1476" t="s">
        <v>7858</v>
      </c>
      <c r="M1476">
        <v>8.0396458506584167E-3</v>
      </c>
      <c r="N1476" t="s">
        <v>54</v>
      </c>
      <c r="O1476" t="s">
        <v>53</v>
      </c>
      <c r="P1476" t="s">
        <v>54</v>
      </c>
      <c r="Q1476" t="s">
        <v>53</v>
      </c>
      <c r="R1476" t="s">
        <v>53</v>
      </c>
      <c r="S1476" t="s">
        <v>7838</v>
      </c>
      <c r="T1476" t="s">
        <v>7839</v>
      </c>
      <c r="U1476" t="s">
        <v>54</v>
      </c>
      <c r="V1476" t="s">
        <v>51</v>
      </c>
      <c r="W1476">
        <v>25000</v>
      </c>
      <c r="X1476" t="s">
        <v>54</v>
      </c>
      <c r="AA1476">
        <v>0</v>
      </c>
      <c r="AB1476">
        <v>0</v>
      </c>
      <c r="AC1476">
        <v>0</v>
      </c>
      <c r="AD1476">
        <v>0</v>
      </c>
      <c r="AE1476">
        <v>0</v>
      </c>
      <c r="AF1476">
        <v>0</v>
      </c>
      <c r="AG1476">
        <v>0</v>
      </c>
      <c r="AH1476">
        <v>0.20040492713451391</v>
      </c>
      <c r="AI1476">
        <v>0</v>
      </c>
      <c r="AJ1476">
        <v>6.1550889164209373E-2</v>
      </c>
      <c r="AK1476" t="s">
        <v>53</v>
      </c>
      <c r="AL1476" t="s">
        <v>54</v>
      </c>
      <c r="AQ1476" t="s">
        <v>54</v>
      </c>
      <c r="AT1476" t="s">
        <v>2410</v>
      </c>
      <c r="AW1476" t="s">
        <v>53</v>
      </c>
      <c r="AZ1476" t="s">
        <v>54</v>
      </c>
      <c r="BA1476" t="s">
        <v>7840</v>
      </c>
    </row>
    <row r="1477" spans="1:53" x14ac:dyDescent="0.25">
      <c r="A1477">
        <v>1472</v>
      </c>
      <c r="B1477" t="s">
        <v>7873</v>
      </c>
      <c r="C1477" t="s">
        <v>7874</v>
      </c>
      <c r="D1477" t="s">
        <v>7875</v>
      </c>
      <c r="E1477">
        <v>9</v>
      </c>
      <c r="F1477" t="s">
        <v>7831</v>
      </c>
      <c r="G1477" t="s">
        <v>7832</v>
      </c>
      <c r="H1477" t="s">
        <v>7851</v>
      </c>
      <c r="I1477" t="s">
        <v>7852</v>
      </c>
      <c r="J1477" t="s">
        <v>7872</v>
      </c>
      <c r="K1477" t="s">
        <v>7876</v>
      </c>
      <c r="L1477" t="s">
        <v>7877</v>
      </c>
      <c r="M1477">
        <v>8.2288533449172974E-3</v>
      </c>
      <c r="N1477" t="s">
        <v>53</v>
      </c>
      <c r="O1477" t="s">
        <v>53</v>
      </c>
      <c r="P1477" t="s">
        <v>53</v>
      </c>
      <c r="Q1477" t="s">
        <v>53</v>
      </c>
      <c r="R1477" t="s">
        <v>53</v>
      </c>
      <c r="S1477" t="s">
        <v>7838</v>
      </c>
      <c r="T1477" t="s">
        <v>7839</v>
      </c>
      <c r="U1477" t="s">
        <v>54</v>
      </c>
      <c r="V1477" t="s">
        <v>51</v>
      </c>
      <c r="W1477">
        <v>3500000</v>
      </c>
      <c r="X1477" t="s">
        <v>54</v>
      </c>
      <c r="AA1477">
        <v>0</v>
      </c>
      <c r="AB1477">
        <v>0</v>
      </c>
      <c r="AC1477">
        <v>0</v>
      </c>
      <c r="AD1477">
        <v>0</v>
      </c>
      <c r="AE1477">
        <v>0</v>
      </c>
      <c r="AF1477">
        <v>0</v>
      </c>
      <c r="AG1477">
        <v>0</v>
      </c>
      <c r="AH1477">
        <v>0</v>
      </c>
      <c r="AI1477">
        <v>0</v>
      </c>
      <c r="AJ1477">
        <v>0</v>
      </c>
      <c r="AK1477" t="s">
        <v>53</v>
      </c>
      <c r="AL1477" t="s">
        <v>54</v>
      </c>
      <c r="AQ1477" t="s">
        <v>54</v>
      </c>
      <c r="AT1477" t="s">
        <v>2410</v>
      </c>
      <c r="AW1477" t="s">
        <v>53</v>
      </c>
      <c r="AZ1477" t="s">
        <v>54</v>
      </c>
      <c r="BA1477" t="s">
        <v>7840</v>
      </c>
    </row>
    <row r="1478" spans="1:53" x14ac:dyDescent="0.25">
      <c r="A1478">
        <v>1473</v>
      </c>
      <c r="B1478" t="s">
        <v>7878</v>
      </c>
      <c r="C1478" t="s">
        <v>7879</v>
      </c>
      <c r="D1478" t="s">
        <v>7880</v>
      </c>
      <c r="E1478">
        <v>9</v>
      </c>
      <c r="F1478" t="s">
        <v>7831</v>
      </c>
      <c r="G1478" t="s">
        <v>7832</v>
      </c>
      <c r="H1478" t="s">
        <v>7851</v>
      </c>
      <c r="I1478" t="s">
        <v>7852</v>
      </c>
      <c r="J1478" t="s">
        <v>7881</v>
      </c>
      <c r="K1478" t="s">
        <v>7882</v>
      </c>
      <c r="L1478" t="s">
        <v>7877</v>
      </c>
      <c r="M1478">
        <v>4.515413660556078E-3</v>
      </c>
      <c r="N1478" t="s">
        <v>54</v>
      </c>
      <c r="O1478" t="s">
        <v>53</v>
      </c>
      <c r="P1478" t="s">
        <v>54</v>
      </c>
      <c r="Q1478" t="s">
        <v>53</v>
      </c>
      <c r="R1478" t="s">
        <v>53</v>
      </c>
      <c r="S1478" t="s">
        <v>7838</v>
      </c>
      <c r="T1478" t="s">
        <v>7839</v>
      </c>
      <c r="U1478" t="s">
        <v>54</v>
      </c>
      <c r="V1478" t="s">
        <v>51</v>
      </c>
      <c r="W1478">
        <v>25000</v>
      </c>
      <c r="X1478" t="s">
        <v>54</v>
      </c>
      <c r="AA1478">
        <v>1</v>
      </c>
      <c r="AB1478">
        <v>1</v>
      </c>
      <c r="AC1478">
        <v>0</v>
      </c>
      <c r="AD1478">
        <v>0</v>
      </c>
      <c r="AE1478">
        <v>0</v>
      </c>
      <c r="AF1478">
        <v>0</v>
      </c>
      <c r="AG1478">
        <v>0</v>
      </c>
      <c r="AH1478">
        <v>0</v>
      </c>
      <c r="AI1478">
        <v>0</v>
      </c>
      <c r="AJ1478">
        <v>0</v>
      </c>
      <c r="AK1478" t="s">
        <v>53</v>
      </c>
      <c r="AL1478" t="s">
        <v>54</v>
      </c>
      <c r="AQ1478" t="s">
        <v>54</v>
      </c>
      <c r="AT1478" t="s">
        <v>2410</v>
      </c>
      <c r="AW1478" t="s">
        <v>54</v>
      </c>
      <c r="AZ1478" t="s">
        <v>54</v>
      </c>
      <c r="BA1478" t="s">
        <v>7840</v>
      </c>
    </row>
    <row r="1479" spans="1:53" x14ac:dyDescent="0.25">
      <c r="A1479">
        <v>1474</v>
      </c>
      <c r="B1479" t="s">
        <v>7883</v>
      </c>
      <c r="C1479" t="s">
        <v>7884</v>
      </c>
      <c r="D1479" t="s">
        <v>7885</v>
      </c>
      <c r="E1479">
        <v>9</v>
      </c>
      <c r="F1479" t="s">
        <v>7831</v>
      </c>
      <c r="G1479" t="s">
        <v>7832</v>
      </c>
      <c r="H1479" t="s">
        <v>7851</v>
      </c>
      <c r="I1479" t="s">
        <v>7852</v>
      </c>
      <c r="J1479" t="s">
        <v>7886</v>
      </c>
      <c r="K1479" t="s">
        <v>7876</v>
      </c>
      <c r="L1479" t="s">
        <v>7858</v>
      </c>
      <c r="M1479">
        <v>6.2859822064638138E-3</v>
      </c>
      <c r="N1479" t="s">
        <v>53</v>
      </c>
      <c r="O1479" t="s">
        <v>53</v>
      </c>
      <c r="P1479" t="s">
        <v>53</v>
      </c>
      <c r="Q1479" t="s">
        <v>53</v>
      </c>
      <c r="R1479" t="s">
        <v>53</v>
      </c>
      <c r="S1479" t="s">
        <v>7838</v>
      </c>
      <c r="T1479" t="s">
        <v>7839</v>
      </c>
      <c r="U1479" t="s">
        <v>54</v>
      </c>
      <c r="V1479" t="s">
        <v>51</v>
      </c>
      <c r="W1479">
        <v>25000</v>
      </c>
      <c r="X1479" t="s">
        <v>54</v>
      </c>
      <c r="AA1479">
        <v>0</v>
      </c>
      <c r="AB1479">
        <v>0</v>
      </c>
      <c r="AC1479">
        <v>0</v>
      </c>
      <c r="AD1479">
        <v>0</v>
      </c>
      <c r="AE1479">
        <v>0</v>
      </c>
      <c r="AF1479">
        <v>0</v>
      </c>
      <c r="AG1479">
        <v>0</v>
      </c>
      <c r="AH1479">
        <v>0</v>
      </c>
      <c r="AI1479">
        <v>0</v>
      </c>
      <c r="AJ1479">
        <v>0</v>
      </c>
      <c r="AK1479" t="s">
        <v>53</v>
      </c>
      <c r="AL1479" t="s">
        <v>54</v>
      </c>
      <c r="AQ1479" t="s">
        <v>54</v>
      </c>
      <c r="AT1479" t="s">
        <v>2410</v>
      </c>
      <c r="AW1479" t="s">
        <v>53</v>
      </c>
      <c r="AZ1479" t="s">
        <v>54</v>
      </c>
      <c r="BA1479" t="s">
        <v>7840</v>
      </c>
    </row>
    <row r="1480" spans="1:53" x14ac:dyDescent="0.25">
      <c r="A1480">
        <v>1475</v>
      </c>
      <c r="B1480" t="s">
        <v>7887</v>
      </c>
      <c r="C1480" t="s">
        <v>7888</v>
      </c>
      <c r="D1480" t="s">
        <v>7889</v>
      </c>
      <c r="E1480">
        <v>9</v>
      </c>
      <c r="F1480" t="s">
        <v>7831</v>
      </c>
      <c r="G1480" t="s">
        <v>6566</v>
      </c>
      <c r="H1480" t="s">
        <v>7890</v>
      </c>
      <c r="I1480" t="s">
        <v>7891</v>
      </c>
      <c r="J1480" t="s">
        <v>7892</v>
      </c>
      <c r="K1480" t="s">
        <v>7893</v>
      </c>
      <c r="L1480" t="s">
        <v>7894</v>
      </c>
      <c r="M1480">
        <v>8.3245706558227539</v>
      </c>
      <c r="N1480" t="s">
        <v>54</v>
      </c>
      <c r="O1480" t="s">
        <v>53</v>
      </c>
      <c r="P1480" t="s">
        <v>54</v>
      </c>
      <c r="Q1480" t="s">
        <v>54</v>
      </c>
      <c r="R1480" t="s">
        <v>53</v>
      </c>
      <c r="S1480" t="s">
        <v>6571</v>
      </c>
      <c r="T1480" t="s">
        <v>7895</v>
      </c>
      <c r="U1480" t="s">
        <v>53</v>
      </c>
      <c r="V1480" t="s">
        <v>138</v>
      </c>
      <c r="W1480">
        <v>2000000</v>
      </c>
      <c r="X1480" t="s">
        <v>54</v>
      </c>
      <c r="AA1480">
        <v>445</v>
      </c>
      <c r="AB1480">
        <v>266</v>
      </c>
      <c r="AC1480">
        <v>1365</v>
      </c>
      <c r="AD1480">
        <v>504</v>
      </c>
      <c r="AE1480">
        <v>1365</v>
      </c>
      <c r="AF1480">
        <v>1</v>
      </c>
      <c r="AG1480">
        <v>3</v>
      </c>
      <c r="AH1480">
        <v>20.6167106628418</v>
      </c>
      <c r="AI1480">
        <v>0</v>
      </c>
      <c r="AJ1480">
        <v>70.465789794921875</v>
      </c>
      <c r="AK1480" t="s">
        <v>53</v>
      </c>
      <c r="AL1480" t="s">
        <v>54</v>
      </c>
      <c r="AQ1480" t="s">
        <v>54</v>
      </c>
      <c r="AT1480" t="s">
        <v>2410</v>
      </c>
      <c r="AW1480" t="s">
        <v>53</v>
      </c>
      <c r="AZ1480" t="s">
        <v>54</v>
      </c>
      <c r="BA1480" t="s">
        <v>7840</v>
      </c>
    </row>
    <row r="1481" spans="1:53" x14ac:dyDescent="0.25">
      <c r="A1481">
        <v>1476</v>
      </c>
      <c r="B1481" t="s">
        <v>7896</v>
      </c>
      <c r="C1481" t="s">
        <v>7897</v>
      </c>
      <c r="D1481" t="s">
        <v>7898</v>
      </c>
      <c r="E1481">
        <v>9</v>
      </c>
      <c r="F1481" t="s">
        <v>7831</v>
      </c>
      <c r="G1481" t="s">
        <v>7899</v>
      </c>
      <c r="H1481" t="s">
        <v>7900</v>
      </c>
      <c r="I1481" t="s">
        <v>7901</v>
      </c>
      <c r="J1481" t="s">
        <v>7902</v>
      </c>
      <c r="K1481" t="s">
        <v>7903</v>
      </c>
      <c r="L1481" t="s">
        <v>7894</v>
      </c>
      <c r="M1481">
        <v>51.146930694580078</v>
      </c>
      <c r="N1481" t="s">
        <v>54</v>
      </c>
      <c r="O1481" t="s">
        <v>53</v>
      </c>
      <c r="P1481" t="s">
        <v>54</v>
      </c>
      <c r="Q1481" t="s">
        <v>53</v>
      </c>
      <c r="R1481" t="s">
        <v>53</v>
      </c>
      <c r="S1481" t="s">
        <v>7904</v>
      </c>
      <c r="T1481" t="s">
        <v>7905</v>
      </c>
      <c r="U1481" t="s">
        <v>53</v>
      </c>
      <c r="V1481" t="s">
        <v>138</v>
      </c>
      <c r="W1481">
        <v>192000</v>
      </c>
      <c r="X1481" t="s">
        <v>54</v>
      </c>
      <c r="AA1481">
        <v>6774</v>
      </c>
      <c r="AB1481">
        <v>5481</v>
      </c>
      <c r="AC1481">
        <v>25522</v>
      </c>
      <c r="AD1481">
        <v>21087</v>
      </c>
      <c r="AE1481">
        <v>25522</v>
      </c>
      <c r="AF1481">
        <v>10</v>
      </c>
      <c r="AG1481">
        <v>26</v>
      </c>
      <c r="AH1481">
        <v>167.05210876464841</v>
      </c>
      <c r="AI1481">
        <v>0</v>
      </c>
      <c r="AJ1481">
        <v>46.263008117675781</v>
      </c>
      <c r="AK1481" t="s">
        <v>53</v>
      </c>
      <c r="AL1481" t="s">
        <v>54</v>
      </c>
      <c r="AQ1481" t="s">
        <v>54</v>
      </c>
      <c r="AT1481" t="s">
        <v>2410</v>
      </c>
      <c r="AW1481" t="s">
        <v>53</v>
      </c>
      <c r="AZ1481" t="s">
        <v>54</v>
      </c>
      <c r="BA1481" t="s">
        <v>7840</v>
      </c>
    </row>
    <row r="1482" spans="1:53" x14ac:dyDescent="0.25">
      <c r="A1482">
        <v>1477</v>
      </c>
      <c r="B1482" t="s">
        <v>7906</v>
      </c>
      <c r="C1482" t="s">
        <v>7907</v>
      </c>
      <c r="D1482" t="s">
        <v>7908</v>
      </c>
      <c r="E1482">
        <v>9</v>
      </c>
      <c r="F1482" t="s">
        <v>7831</v>
      </c>
      <c r="G1482" t="s">
        <v>7909</v>
      </c>
      <c r="H1482" t="s">
        <v>7910</v>
      </c>
      <c r="I1482" t="s">
        <v>7911</v>
      </c>
      <c r="J1482" t="s">
        <v>7912</v>
      </c>
      <c r="K1482" t="s">
        <v>7913</v>
      </c>
      <c r="L1482" t="s">
        <v>7914</v>
      </c>
      <c r="M1482">
        <v>899.61016845703125</v>
      </c>
      <c r="N1482" t="s">
        <v>54</v>
      </c>
      <c r="O1482" t="s">
        <v>53</v>
      </c>
      <c r="P1482" t="s">
        <v>54</v>
      </c>
      <c r="Q1482" t="s">
        <v>53</v>
      </c>
      <c r="R1482" t="s">
        <v>53</v>
      </c>
      <c r="S1482" t="s">
        <v>7915</v>
      </c>
      <c r="T1482" t="s">
        <v>7916</v>
      </c>
      <c r="U1482" t="s">
        <v>53</v>
      </c>
      <c r="V1482" t="s">
        <v>162</v>
      </c>
      <c r="W1482">
        <v>100000</v>
      </c>
      <c r="X1482" t="s">
        <v>54</v>
      </c>
      <c r="AA1482">
        <v>13045</v>
      </c>
      <c r="AB1482">
        <v>10079</v>
      </c>
      <c r="AC1482">
        <v>31733</v>
      </c>
      <c r="AD1482">
        <v>28422</v>
      </c>
      <c r="AE1482">
        <v>31733</v>
      </c>
      <c r="AF1482">
        <v>13</v>
      </c>
      <c r="AG1482">
        <v>34</v>
      </c>
      <c r="AH1482">
        <v>306.46856689453119</v>
      </c>
      <c r="AI1482">
        <v>0</v>
      </c>
      <c r="AJ1482">
        <v>168.51422119140619</v>
      </c>
      <c r="AK1482" t="s">
        <v>53</v>
      </c>
      <c r="AL1482" t="s">
        <v>54</v>
      </c>
      <c r="AQ1482" t="s">
        <v>54</v>
      </c>
      <c r="AT1482" t="s">
        <v>2410</v>
      </c>
      <c r="AW1482" t="s">
        <v>53</v>
      </c>
      <c r="AZ1482" t="s">
        <v>54</v>
      </c>
      <c r="BA1482" t="s">
        <v>7840</v>
      </c>
    </row>
    <row r="1483" spans="1:53" x14ac:dyDescent="0.25">
      <c r="A1483">
        <v>1478</v>
      </c>
      <c r="B1483" t="s">
        <v>7917</v>
      </c>
      <c r="C1483" t="s">
        <v>7918</v>
      </c>
      <c r="D1483" t="s">
        <v>6542</v>
      </c>
      <c r="E1483">
        <v>9</v>
      </c>
      <c r="F1483" t="s">
        <v>7831</v>
      </c>
      <c r="G1483" t="s">
        <v>7919</v>
      </c>
      <c r="H1483" t="s">
        <v>7920</v>
      </c>
      <c r="I1483" t="s">
        <v>7921</v>
      </c>
      <c r="J1483" t="s">
        <v>7921</v>
      </c>
      <c r="K1483" t="s">
        <v>7922</v>
      </c>
      <c r="L1483" t="s">
        <v>7894</v>
      </c>
      <c r="M1483">
        <v>1495.205688476562</v>
      </c>
      <c r="N1483" t="s">
        <v>54</v>
      </c>
      <c r="O1483" t="s">
        <v>53</v>
      </c>
      <c r="P1483" t="s">
        <v>54</v>
      </c>
      <c r="Q1483" t="s">
        <v>53</v>
      </c>
      <c r="R1483" t="s">
        <v>53</v>
      </c>
      <c r="S1483" t="s">
        <v>7915</v>
      </c>
      <c r="T1483" t="s">
        <v>7923</v>
      </c>
      <c r="U1483" t="s">
        <v>53</v>
      </c>
      <c r="V1483" t="s">
        <v>138</v>
      </c>
      <c r="W1483">
        <v>1288000</v>
      </c>
      <c r="X1483" t="s">
        <v>54</v>
      </c>
      <c r="AA1483">
        <v>959</v>
      </c>
      <c r="AB1483">
        <v>763</v>
      </c>
      <c r="AC1483">
        <v>1040</v>
      </c>
      <c r="AD1483">
        <v>1455</v>
      </c>
      <c r="AE1483">
        <v>1455</v>
      </c>
      <c r="AF1483">
        <v>0</v>
      </c>
      <c r="AG1483">
        <v>3</v>
      </c>
      <c r="AH1483">
        <v>173.238037109375</v>
      </c>
      <c r="AI1483">
        <v>0</v>
      </c>
      <c r="AJ1483">
        <v>8416.5166015625</v>
      </c>
      <c r="AK1483" t="s">
        <v>53</v>
      </c>
      <c r="AL1483" t="s">
        <v>54</v>
      </c>
      <c r="AQ1483" t="s">
        <v>54</v>
      </c>
      <c r="AT1483" t="s">
        <v>2410</v>
      </c>
      <c r="AW1483" t="s">
        <v>53</v>
      </c>
      <c r="AZ1483" t="s">
        <v>54</v>
      </c>
      <c r="BA1483" t="s">
        <v>7840</v>
      </c>
    </row>
    <row r="1484" spans="1:53" x14ac:dyDescent="0.25">
      <c r="A1484">
        <v>1479</v>
      </c>
      <c r="B1484" t="s">
        <v>7924</v>
      </c>
      <c r="C1484" t="s">
        <v>7925</v>
      </c>
      <c r="D1484" t="s">
        <v>6542</v>
      </c>
      <c r="E1484">
        <v>9</v>
      </c>
      <c r="F1484" t="s">
        <v>7831</v>
      </c>
      <c r="G1484" t="s">
        <v>6555</v>
      </c>
      <c r="H1484" t="s">
        <v>7926</v>
      </c>
      <c r="I1484" t="s">
        <v>7927</v>
      </c>
      <c r="J1484" t="s">
        <v>7927</v>
      </c>
      <c r="K1484" t="s">
        <v>7928</v>
      </c>
      <c r="L1484" t="s">
        <v>7894</v>
      </c>
      <c r="M1484">
        <v>902.9866943359375</v>
      </c>
      <c r="N1484" t="s">
        <v>54</v>
      </c>
      <c r="O1484" t="s">
        <v>53</v>
      </c>
      <c r="P1484" t="s">
        <v>54</v>
      </c>
      <c r="Q1484" t="s">
        <v>54</v>
      </c>
      <c r="R1484" t="s">
        <v>53</v>
      </c>
      <c r="S1484" t="s">
        <v>6560</v>
      </c>
      <c r="T1484" t="s">
        <v>7929</v>
      </c>
      <c r="U1484" t="s">
        <v>53</v>
      </c>
      <c r="V1484" t="s">
        <v>138</v>
      </c>
      <c r="W1484">
        <v>887000</v>
      </c>
      <c r="X1484" t="s">
        <v>54</v>
      </c>
      <c r="AA1484">
        <v>69</v>
      </c>
      <c r="AB1484">
        <v>9</v>
      </c>
      <c r="AC1484">
        <v>9</v>
      </c>
      <c r="AD1484">
        <v>20</v>
      </c>
      <c r="AE1484">
        <v>20</v>
      </c>
      <c r="AF1484">
        <v>0</v>
      </c>
      <c r="AG1484">
        <v>2</v>
      </c>
      <c r="AH1484">
        <v>26.083175659179691</v>
      </c>
      <c r="AI1484">
        <v>0</v>
      </c>
      <c r="AJ1484">
        <v>10740.1796875</v>
      </c>
      <c r="AK1484" t="s">
        <v>53</v>
      </c>
      <c r="AL1484" t="s">
        <v>54</v>
      </c>
      <c r="AQ1484" t="s">
        <v>54</v>
      </c>
      <c r="AT1484" t="s">
        <v>2410</v>
      </c>
      <c r="AW1484" t="s">
        <v>53</v>
      </c>
      <c r="AZ1484" t="s">
        <v>54</v>
      </c>
      <c r="BA1484" t="s">
        <v>7840</v>
      </c>
    </row>
    <row r="1485" spans="1:53" x14ac:dyDescent="0.25">
      <c r="A1485">
        <v>1480</v>
      </c>
      <c r="B1485" t="s">
        <v>7930</v>
      </c>
      <c r="C1485" t="s">
        <v>7931</v>
      </c>
      <c r="D1485" t="s">
        <v>7932</v>
      </c>
      <c r="E1485">
        <v>9</v>
      </c>
      <c r="F1485" t="s">
        <v>7831</v>
      </c>
      <c r="G1485" t="s">
        <v>6566</v>
      </c>
      <c r="H1485" t="s">
        <v>7933</v>
      </c>
      <c r="I1485" t="s">
        <v>7934</v>
      </c>
      <c r="J1485" t="s">
        <v>7935</v>
      </c>
      <c r="K1485" t="s">
        <v>7936</v>
      </c>
      <c r="L1485" t="s">
        <v>7894</v>
      </c>
      <c r="M1485">
        <v>906.4515380859375</v>
      </c>
      <c r="N1485" t="s">
        <v>54</v>
      </c>
      <c r="O1485" t="s">
        <v>53</v>
      </c>
      <c r="P1485" t="s">
        <v>54</v>
      </c>
      <c r="Q1485" t="s">
        <v>54</v>
      </c>
      <c r="R1485" t="s">
        <v>53</v>
      </c>
      <c r="S1485" t="s">
        <v>6560</v>
      </c>
      <c r="T1485" t="s">
        <v>7937</v>
      </c>
      <c r="U1485" t="s">
        <v>53</v>
      </c>
      <c r="V1485" t="s">
        <v>138</v>
      </c>
      <c r="W1485">
        <v>903000</v>
      </c>
      <c r="X1485" t="s">
        <v>54</v>
      </c>
      <c r="AA1485">
        <v>606</v>
      </c>
      <c r="AB1485">
        <v>324</v>
      </c>
      <c r="AC1485">
        <v>1486</v>
      </c>
      <c r="AD1485">
        <v>628</v>
      </c>
      <c r="AE1485">
        <v>1486</v>
      </c>
      <c r="AF1485">
        <v>1</v>
      </c>
      <c r="AG1485">
        <v>10</v>
      </c>
      <c r="AH1485">
        <v>75.922775268554688</v>
      </c>
      <c r="AI1485">
        <v>0</v>
      </c>
      <c r="AJ1485">
        <v>11744.6962890625</v>
      </c>
      <c r="AK1485" t="s">
        <v>53</v>
      </c>
      <c r="AL1485" t="s">
        <v>54</v>
      </c>
      <c r="AQ1485" t="s">
        <v>54</v>
      </c>
      <c r="AT1485" t="s">
        <v>2410</v>
      </c>
      <c r="AW1485" t="s">
        <v>53</v>
      </c>
      <c r="AZ1485" t="s">
        <v>54</v>
      </c>
      <c r="BA1485" t="s">
        <v>7840</v>
      </c>
    </row>
    <row r="1486" spans="1:53" x14ac:dyDescent="0.25">
      <c r="A1486">
        <v>1481</v>
      </c>
      <c r="B1486" t="s">
        <v>7938</v>
      </c>
      <c r="C1486" t="s">
        <v>7939</v>
      </c>
      <c r="D1486" t="s">
        <v>7932</v>
      </c>
      <c r="E1486">
        <v>9</v>
      </c>
      <c r="F1486" t="s">
        <v>7831</v>
      </c>
      <c r="G1486" t="s">
        <v>6621</v>
      </c>
      <c r="H1486" t="s">
        <v>7940</v>
      </c>
      <c r="I1486" t="s">
        <v>7941</v>
      </c>
      <c r="J1486" t="s">
        <v>7942</v>
      </c>
      <c r="K1486" t="s">
        <v>7943</v>
      </c>
      <c r="L1486" t="s">
        <v>7894</v>
      </c>
      <c r="M1486">
        <v>910.702880859375</v>
      </c>
      <c r="N1486" t="s">
        <v>54</v>
      </c>
      <c r="O1486" t="s">
        <v>53</v>
      </c>
      <c r="P1486" t="s">
        <v>54</v>
      </c>
      <c r="Q1486" t="s">
        <v>54</v>
      </c>
      <c r="R1486" t="s">
        <v>53</v>
      </c>
      <c r="S1486" t="s">
        <v>6571</v>
      </c>
      <c r="T1486" t="s">
        <v>7944</v>
      </c>
      <c r="U1486" t="s">
        <v>53</v>
      </c>
      <c r="V1486" t="s">
        <v>138</v>
      </c>
      <c r="W1486">
        <v>924000</v>
      </c>
      <c r="X1486" t="s">
        <v>54</v>
      </c>
      <c r="AA1486">
        <v>90</v>
      </c>
      <c r="AB1486">
        <v>16</v>
      </c>
      <c r="AC1486">
        <v>12</v>
      </c>
      <c r="AD1486">
        <v>22</v>
      </c>
      <c r="AE1486">
        <v>22</v>
      </c>
      <c r="AF1486">
        <v>0</v>
      </c>
      <c r="AG1486">
        <v>5</v>
      </c>
      <c r="AH1486">
        <v>20.95122146606445</v>
      </c>
      <c r="AI1486">
        <v>0</v>
      </c>
      <c r="AJ1486">
        <v>4147.8193359375</v>
      </c>
      <c r="AK1486" t="s">
        <v>53</v>
      </c>
      <c r="AL1486" t="s">
        <v>54</v>
      </c>
      <c r="AQ1486" t="s">
        <v>54</v>
      </c>
      <c r="AT1486" t="s">
        <v>2410</v>
      </c>
      <c r="AW1486" t="s">
        <v>53</v>
      </c>
      <c r="AZ1486" t="s">
        <v>54</v>
      </c>
      <c r="BA1486" t="s">
        <v>7840</v>
      </c>
    </row>
    <row r="1487" spans="1:53" x14ac:dyDescent="0.25">
      <c r="A1487">
        <v>1482</v>
      </c>
      <c r="B1487" t="s">
        <v>7945</v>
      </c>
      <c r="C1487" t="s">
        <v>7946</v>
      </c>
      <c r="D1487" t="s">
        <v>7947</v>
      </c>
      <c r="E1487">
        <v>9</v>
      </c>
      <c r="F1487" t="s">
        <v>7831</v>
      </c>
      <c r="G1487" t="s">
        <v>6633</v>
      </c>
      <c r="H1487" t="s">
        <v>7948</v>
      </c>
      <c r="I1487" t="s">
        <v>7949</v>
      </c>
      <c r="J1487" t="s">
        <v>7949</v>
      </c>
      <c r="K1487" t="s">
        <v>7950</v>
      </c>
      <c r="L1487" t="s">
        <v>7894</v>
      </c>
      <c r="M1487">
        <v>913.2470703125</v>
      </c>
      <c r="N1487" t="s">
        <v>54</v>
      </c>
      <c r="O1487" t="s">
        <v>53</v>
      </c>
      <c r="P1487" t="s">
        <v>54</v>
      </c>
      <c r="Q1487" t="s">
        <v>54</v>
      </c>
      <c r="R1487" t="s">
        <v>53</v>
      </c>
      <c r="S1487" t="s">
        <v>6560</v>
      </c>
      <c r="T1487" t="s">
        <v>7951</v>
      </c>
      <c r="U1487" t="s">
        <v>53</v>
      </c>
      <c r="V1487" t="s">
        <v>138</v>
      </c>
      <c r="W1487">
        <v>929000</v>
      </c>
      <c r="X1487" t="s">
        <v>54</v>
      </c>
      <c r="AA1487">
        <v>344</v>
      </c>
      <c r="AB1487">
        <v>206</v>
      </c>
      <c r="AC1487">
        <v>628</v>
      </c>
      <c r="AD1487">
        <v>582</v>
      </c>
      <c r="AE1487">
        <v>628</v>
      </c>
      <c r="AF1487">
        <v>2</v>
      </c>
      <c r="AG1487">
        <v>11</v>
      </c>
      <c r="AH1487">
        <v>107.64649963378911</v>
      </c>
      <c r="AI1487">
        <v>0</v>
      </c>
      <c r="AJ1487">
        <v>16809.279296875</v>
      </c>
      <c r="AK1487" t="s">
        <v>53</v>
      </c>
      <c r="AL1487" t="s">
        <v>54</v>
      </c>
      <c r="AQ1487" t="s">
        <v>54</v>
      </c>
      <c r="AT1487" t="s">
        <v>2410</v>
      </c>
      <c r="AW1487" t="s">
        <v>53</v>
      </c>
      <c r="AZ1487" t="s">
        <v>54</v>
      </c>
      <c r="BA1487" t="s">
        <v>7840</v>
      </c>
    </row>
    <row r="1488" spans="1:53" x14ac:dyDescent="0.25">
      <c r="A1488">
        <v>1483</v>
      </c>
      <c r="B1488" t="s">
        <v>7952</v>
      </c>
      <c r="C1488" t="s">
        <v>7953</v>
      </c>
      <c r="D1488" t="s">
        <v>6542</v>
      </c>
      <c r="E1488">
        <v>9</v>
      </c>
      <c r="F1488" t="s">
        <v>7831</v>
      </c>
      <c r="G1488" t="s">
        <v>7954</v>
      </c>
      <c r="H1488" t="s">
        <v>7955</v>
      </c>
      <c r="I1488" t="s">
        <v>7956</v>
      </c>
      <c r="J1488" t="s">
        <v>7956</v>
      </c>
      <c r="K1488" t="s">
        <v>7957</v>
      </c>
      <c r="L1488" t="s">
        <v>7894</v>
      </c>
      <c r="M1488">
        <v>912.08465576171875</v>
      </c>
      <c r="N1488" t="s">
        <v>54</v>
      </c>
      <c r="O1488" t="s">
        <v>53</v>
      </c>
      <c r="P1488" t="s">
        <v>54</v>
      </c>
      <c r="Q1488" t="s">
        <v>53</v>
      </c>
      <c r="R1488" t="s">
        <v>53</v>
      </c>
      <c r="S1488" t="s">
        <v>7915</v>
      </c>
      <c r="T1488" t="s">
        <v>7958</v>
      </c>
      <c r="U1488" t="s">
        <v>53</v>
      </c>
      <c r="V1488" t="s">
        <v>138</v>
      </c>
      <c r="W1488">
        <v>788000</v>
      </c>
      <c r="X1488" t="s">
        <v>54</v>
      </c>
      <c r="AA1488">
        <v>902</v>
      </c>
      <c r="AB1488">
        <v>451</v>
      </c>
      <c r="AC1488">
        <v>1987</v>
      </c>
      <c r="AD1488">
        <v>1262</v>
      </c>
      <c r="AE1488">
        <v>1987</v>
      </c>
      <c r="AF1488">
        <v>3</v>
      </c>
      <c r="AG1488">
        <v>5</v>
      </c>
      <c r="AH1488">
        <v>229.1121826171875</v>
      </c>
      <c r="AI1488">
        <v>0</v>
      </c>
      <c r="AJ1488">
        <v>60436.15234375</v>
      </c>
      <c r="AK1488" t="s">
        <v>53</v>
      </c>
      <c r="AL1488" t="s">
        <v>54</v>
      </c>
      <c r="AQ1488" t="s">
        <v>54</v>
      </c>
      <c r="AT1488" t="s">
        <v>2410</v>
      </c>
      <c r="AW1488" t="s">
        <v>53</v>
      </c>
      <c r="AZ1488" t="s">
        <v>54</v>
      </c>
      <c r="BA1488" t="s">
        <v>7840</v>
      </c>
    </row>
    <row r="1489" spans="1:53" x14ac:dyDescent="0.25">
      <c r="A1489">
        <v>1484</v>
      </c>
      <c r="B1489" t="s">
        <v>7959</v>
      </c>
      <c r="C1489" t="s">
        <v>7960</v>
      </c>
      <c r="D1489" t="s">
        <v>6542</v>
      </c>
      <c r="E1489">
        <v>9</v>
      </c>
      <c r="F1489" t="s">
        <v>7831</v>
      </c>
      <c r="G1489" t="s">
        <v>6703</v>
      </c>
      <c r="H1489" t="s">
        <v>7961</v>
      </c>
      <c r="I1489" t="s">
        <v>7962</v>
      </c>
      <c r="J1489" t="s">
        <v>7963</v>
      </c>
      <c r="K1489" t="s">
        <v>7964</v>
      </c>
      <c r="L1489" t="s">
        <v>7894</v>
      </c>
      <c r="M1489">
        <v>890.1708984375</v>
      </c>
      <c r="N1489" t="s">
        <v>54</v>
      </c>
      <c r="O1489" t="s">
        <v>53</v>
      </c>
      <c r="P1489" t="s">
        <v>54</v>
      </c>
      <c r="Q1489" t="s">
        <v>53</v>
      </c>
      <c r="R1489" t="s">
        <v>53</v>
      </c>
      <c r="S1489" t="s">
        <v>6560</v>
      </c>
      <c r="T1489" t="s">
        <v>7965</v>
      </c>
      <c r="U1489" t="s">
        <v>53</v>
      </c>
      <c r="V1489" t="s">
        <v>138</v>
      </c>
      <c r="W1489">
        <v>780000</v>
      </c>
      <c r="X1489" t="s">
        <v>54</v>
      </c>
      <c r="AA1489">
        <v>340</v>
      </c>
      <c r="AB1489">
        <v>204</v>
      </c>
      <c r="AC1489">
        <v>225</v>
      </c>
      <c r="AD1489">
        <v>347</v>
      </c>
      <c r="AE1489">
        <v>347</v>
      </c>
      <c r="AF1489">
        <v>1</v>
      </c>
      <c r="AG1489">
        <v>0</v>
      </c>
      <c r="AH1489">
        <v>151.99676513671881</v>
      </c>
      <c r="AI1489">
        <v>0</v>
      </c>
      <c r="AJ1489">
        <v>25468.806640625</v>
      </c>
      <c r="AK1489" t="s">
        <v>53</v>
      </c>
      <c r="AL1489" t="s">
        <v>54</v>
      </c>
      <c r="AQ1489" t="s">
        <v>54</v>
      </c>
      <c r="AT1489" t="s">
        <v>2410</v>
      </c>
      <c r="AW1489" t="s">
        <v>53</v>
      </c>
      <c r="AZ1489" t="s">
        <v>54</v>
      </c>
      <c r="BA1489" t="s">
        <v>7840</v>
      </c>
    </row>
    <row r="1490" spans="1:53" x14ac:dyDescent="0.25">
      <c r="A1490">
        <v>1485</v>
      </c>
      <c r="B1490" t="s">
        <v>7966</v>
      </c>
      <c r="C1490" t="s">
        <v>7967</v>
      </c>
      <c r="D1490" t="s">
        <v>7932</v>
      </c>
      <c r="E1490">
        <v>9</v>
      </c>
      <c r="F1490" t="s">
        <v>7831</v>
      </c>
      <c r="G1490" t="s">
        <v>6722</v>
      </c>
      <c r="H1490" t="s">
        <v>7968</v>
      </c>
      <c r="I1490" t="s">
        <v>7969</v>
      </c>
      <c r="J1490" t="s">
        <v>7970</v>
      </c>
      <c r="K1490" t="s">
        <v>7971</v>
      </c>
      <c r="L1490" t="s">
        <v>7894</v>
      </c>
      <c r="M1490">
        <v>906.67401123046875</v>
      </c>
      <c r="N1490" t="s">
        <v>54</v>
      </c>
      <c r="O1490" t="s">
        <v>53</v>
      </c>
      <c r="P1490" t="s">
        <v>54</v>
      </c>
      <c r="Q1490" t="s">
        <v>53</v>
      </c>
      <c r="R1490" t="s">
        <v>53</v>
      </c>
      <c r="S1490" t="s">
        <v>6708</v>
      </c>
      <c r="T1490" t="s">
        <v>7972</v>
      </c>
      <c r="U1490" t="s">
        <v>53</v>
      </c>
      <c r="V1490" t="s">
        <v>138</v>
      </c>
      <c r="W1490">
        <v>987000</v>
      </c>
      <c r="X1490" t="s">
        <v>54</v>
      </c>
      <c r="AA1490">
        <v>44</v>
      </c>
      <c r="AB1490">
        <v>18</v>
      </c>
      <c r="AC1490">
        <v>1553</v>
      </c>
      <c r="AD1490">
        <v>269</v>
      </c>
      <c r="AE1490">
        <v>1553</v>
      </c>
      <c r="AF1490">
        <v>3</v>
      </c>
      <c r="AG1490">
        <v>2</v>
      </c>
      <c r="AH1490">
        <v>42.321495056152337</v>
      </c>
      <c r="AI1490">
        <v>0</v>
      </c>
      <c r="AJ1490">
        <v>1395.676147460938</v>
      </c>
      <c r="AK1490" t="s">
        <v>53</v>
      </c>
      <c r="AL1490" t="s">
        <v>54</v>
      </c>
      <c r="AQ1490" t="s">
        <v>54</v>
      </c>
      <c r="AT1490" t="s">
        <v>2410</v>
      </c>
      <c r="AW1490" t="s">
        <v>53</v>
      </c>
      <c r="AZ1490" t="s">
        <v>54</v>
      </c>
      <c r="BA1490" t="s">
        <v>7840</v>
      </c>
    </row>
    <row r="1491" spans="1:53" x14ac:dyDescent="0.25">
      <c r="A1491">
        <v>1486</v>
      </c>
      <c r="B1491" t="s">
        <v>7973</v>
      </c>
      <c r="C1491" t="s">
        <v>7974</v>
      </c>
      <c r="D1491" t="s">
        <v>6542</v>
      </c>
      <c r="E1491">
        <v>9</v>
      </c>
      <c r="F1491" t="s">
        <v>7831</v>
      </c>
      <c r="G1491" t="s">
        <v>6732</v>
      </c>
      <c r="H1491" t="s">
        <v>7968</v>
      </c>
      <c r="I1491" t="s">
        <v>7975</v>
      </c>
      <c r="J1491" t="s">
        <v>7976</v>
      </c>
      <c r="K1491" t="s">
        <v>7977</v>
      </c>
      <c r="L1491" t="s">
        <v>7894</v>
      </c>
      <c r="M1491">
        <v>773.5640869140625</v>
      </c>
      <c r="N1491" t="s">
        <v>54</v>
      </c>
      <c r="O1491" t="s">
        <v>53</v>
      </c>
      <c r="P1491" t="s">
        <v>54</v>
      </c>
      <c r="Q1491" t="s">
        <v>53</v>
      </c>
      <c r="R1491" t="s">
        <v>53</v>
      </c>
      <c r="S1491" t="s">
        <v>6727</v>
      </c>
      <c r="T1491" t="s">
        <v>7978</v>
      </c>
      <c r="U1491" t="s">
        <v>53</v>
      </c>
      <c r="V1491" t="s">
        <v>138</v>
      </c>
      <c r="W1491">
        <v>671000</v>
      </c>
      <c r="X1491" t="s">
        <v>54</v>
      </c>
      <c r="AA1491">
        <v>23</v>
      </c>
      <c r="AB1491">
        <v>12</v>
      </c>
      <c r="AC1491">
        <v>16</v>
      </c>
      <c r="AD1491">
        <v>51</v>
      </c>
      <c r="AE1491">
        <v>51</v>
      </c>
      <c r="AF1491">
        <v>0</v>
      </c>
      <c r="AG1491">
        <v>0</v>
      </c>
      <c r="AH1491">
        <v>144.02934265136719</v>
      </c>
      <c r="AI1491">
        <v>0</v>
      </c>
      <c r="AJ1491">
        <v>15910.837890625</v>
      </c>
      <c r="AK1491" t="s">
        <v>53</v>
      </c>
      <c r="AL1491" t="s">
        <v>54</v>
      </c>
      <c r="AQ1491" t="s">
        <v>54</v>
      </c>
      <c r="AT1491" t="s">
        <v>2410</v>
      </c>
      <c r="AW1491" t="s">
        <v>53</v>
      </c>
      <c r="AZ1491" t="s">
        <v>54</v>
      </c>
      <c r="BA1491" t="s">
        <v>7840</v>
      </c>
    </row>
    <row r="1492" spans="1:53" x14ac:dyDescent="0.25">
      <c r="A1492">
        <v>1487</v>
      </c>
      <c r="B1492" t="s">
        <v>7979</v>
      </c>
      <c r="C1492" t="s">
        <v>7980</v>
      </c>
      <c r="D1492" t="s">
        <v>7981</v>
      </c>
      <c r="E1492">
        <v>9</v>
      </c>
      <c r="F1492" t="s">
        <v>7831</v>
      </c>
      <c r="G1492" t="s">
        <v>6775</v>
      </c>
      <c r="H1492" t="s">
        <v>7982</v>
      </c>
      <c r="I1492" t="s">
        <v>7983</v>
      </c>
      <c r="J1492" t="s">
        <v>7983</v>
      </c>
      <c r="K1492" t="s">
        <v>7984</v>
      </c>
      <c r="L1492" t="s">
        <v>7894</v>
      </c>
      <c r="M1492">
        <v>887.75018310546875</v>
      </c>
      <c r="N1492" t="s">
        <v>54</v>
      </c>
      <c r="O1492" t="s">
        <v>53</v>
      </c>
      <c r="P1492" t="s">
        <v>54</v>
      </c>
      <c r="Q1492" t="s">
        <v>53</v>
      </c>
      <c r="R1492" t="s">
        <v>53</v>
      </c>
      <c r="S1492" t="s">
        <v>6584</v>
      </c>
      <c r="T1492" t="s">
        <v>7985</v>
      </c>
      <c r="U1492" t="s">
        <v>53</v>
      </c>
      <c r="V1492" t="s">
        <v>138</v>
      </c>
      <c r="W1492">
        <v>1011000</v>
      </c>
      <c r="X1492" t="s">
        <v>54</v>
      </c>
      <c r="AA1492">
        <v>499</v>
      </c>
      <c r="AB1492">
        <v>183</v>
      </c>
      <c r="AC1492">
        <v>1118</v>
      </c>
      <c r="AD1492">
        <v>872</v>
      </c>
      <c r="AE1492">
        <v>1118</v>
      </c>
      <c r="AF1492">
        <v>0</v>
      </c>
      <c r="AG1492">
        <v>6</v>
      </c>
      <c r="AH1492">
        <v>633.67987060546875</v>
      </c>
      <c r="AI1492">
        <v>0</v>
      </c>
      <c r="AJ1492">
        <v>89576.4921875</v>
      </c>
      <c r="AK1492" t="s">
        <v>53</v>
      </c>
      <c r="AL1492" t="s">
        <v>54</v>
      </c>
      <c r="AQ1492" t="s">
        <v>54</v>
      </c>
      <c r="AT1492" t="s">
        <v>2410</v>
      </c>
      <c r="AW1492" t="s">
        <v>53</v>
      </c>
      <c r="AZ1492" t="s">
        <v>54</v>
      </c>
      <c r="BA1492" t="s">
        <v>7840</v>
      </c>
    </row>
    <row r="1493" spans="1:53" x14ac:dyDescent="0.25">
      <c r="A1493">
        <v>1488</v>
      </c>
      <c r="B1493" t="s">
        <v>7986</v>
      </c>
      <c r="C1493" t="s">
        <v>7987</v>
      </c>
      <c r="D1493" t="s">
        <v>7988</v>
      </c>
      <c r="E1493">
        <v>9</v>
      </c>
      <c r="F1493" t="s">
        <v>7831</v>
      </c>
      <c r="G1493" t="s">
        <v>6579</v>
      </c>
      <c r="H1493" t="s">
        <v>7989</v>
      </c>
      <c r="I1493" t="s">
        <v>7990</v>
      </c>
      <c r="J1493" t="s">
        <v>7990</v>
      </c>
      <c r="K1493" t="s">
        <v>7991</v>
      </c>
      <c r="L1493" t="s">
        <v>7894</v>
      </c>
      <c r="M1493">
        <v>898.81060791015625</v>
      </c>
      <c r="N1493" t="s">
        <v>54</v>
      </c>
      <c r="O1493" t="s">
        <v>53</v>
      </c>
      <c r="P1493" t="s">
        <v>54</v>
      </c>
      <c r="Q1493" t="s">
        <v>53</v>
      </c>
      <c r="R1493" t="s">
        <v>53</v>
      </c>
      <c r="S1493" t="s">
        <v>6560</v>
      </c>
      <c r="T1493" t="s">
        <v>7992</v>
      </c>
      <c r="U1493" t="s">
        <v>53</v>
      </c>
      <c r="V1493" t="s">
        <v>138</v>
      </c>
      <c r="W1493">
        <v>500000</v>
      </c>
      <c r="X1493" t="s">
        <v>54</v>
      </c>
      <c r="AA1493">
        <v>474</v>
      </c>
      <c r="AB1493">
        <v>9</v>
      </c>
      <c r="AC1493">
        <v>509</v>
      </c>
      <c r="AD1493">
        <v>763</v>
      </c>
      <c r="AE1493">
        <v>763</v>
      </c>
      <c r="AF1493">
        <v>0</v>
      </c>
      <c r="AG1493">
        <v>9</v>
      </c>
      <c r="AH1493">
        <v>537.865478515625</v>
      </c>
      <c r="AI1493">
        <v>0</v>
      </c>
      <c r="AJ1493">
        <v>81984.1015625</v>
      </c>
      <c r="AK1493" t="s">
        <v>53</v>
      </c>
      <c r="AL1493" t="s">
        <v>54</v>
      </c>
      <c r="AQ1493" t="s">
        <v>54</v>
      </c>
      <c r="AT1493" t="s">
        <v>2410</v>
      </c>
      <c r="AW1493" t="s">
        <v>53</v>
      </c>
      <c r="AZ1493" t="s">
        <v>54</v>
      </c>
      <c r="BA1493" t="s">
        <v>7840</v>
      </c>
    </row>
    <row r="1494" spans="1:53" x14ac:dyDescent="0.25">
      <c r="A1494">
        <v>1489</v>
      </c>
      <c r="B1494" t="s">
        <v>7993</v>
      </c>
      <c r="C1494" t="s">
        <v>7994</v>
      </c>
      <c r="D1494" t="s">
        <v>7932</v>
      </c>
      <c r="E1494">
        <v>9</v>
      </c>
      <c r="F1494" t="s">
        <v>7831</v>
      </c>
      <c r="G1494" t="s">
        <v>7995</v>
      </c>
      <c r="H1494" t="s">
        <v>7996</v>
      </c>
      <c r="I1494" t="s">
        <v>7997</v>
      </c>
      <c r="J1494" t="s">
        <v>7997</v>
      </c>
      <c r="K1494" t="s">
        <v>7998</v>
      </c>
      <c r="L1494" t="s">
        <v>7894</v>
      </c>
      <c r="M1494">
        <v>898.32684326171875</v>
      </c>
      <c r="N1494" t="s">
        <v>54</v>
      </c>
      <c r="O1494" t="s">
        <v>53</v>
      </c>
      <c r="P1494" t="s">
        <v>54</v>
      </c>
      <c r="Q1494" t="s">
        <v>53</v>
      </c>
      <c r="R1494" t="s">
        <v>53</v>
      </c>
      <c r="S1494" t="s">
        <v>7915</v>
      </c>
      <c r="T1494" t="s">
        <v>7999</v>
      </c>
      <c r="U1494" t="s">
        <v>53</v>
      </c>
      <c r="V1494" t="s">
        <v>138</v>
      </c>
      <c r="W1494">
        <v>926000</v>
      </c>
      <c r="X1494" t="s">
        <v>54</v>
      </c>
      <c r="AA1494">
        <v>8432</v>
      </c>
      <c r="AB1494">
        <v>5663</v>
      </c>
      <c r="AC1494">
        <v>23148</v>
      </c>
      <c r="AD1494">
        <v>18212</v>
      </c>
      <c r="AE1494">
        <v>23148</v>
      </c>
      <c r="AF1494">
        <v>22</v>
      </c>
      <c r="AG1494">
        <v>28</v>
      </c>
      <c r="AH1494">
        <v>289.51742553710938</v>
      </c>
      <c r="AI1494">
        <v>0</v>
      </c>
      <c r="AJ1494">
        <v>8596.421875</v>
      </c>
      <c r="AK1494" t="s">
        <v>53</v>
      </c>
      <c r="AL1494" t="s">
        <v>54</v>
      </c>
      <c r="AQ1494" t="s">
        <v>54</v>
      </c>
      <c r="AT1494" t="s">
        <v>2410</v>
      </c>
      <c r="AW1494" t="s">
        <v>53</v>
      </c>
      <c r="AZ1494" t="s">
        <v>54</v>
      </c>
      <c r="BA1494" t="s">
        <v>7840</v>
      </c>
    </row>
    <row r="1495" spans="1:53" x14ac:dyDescent="0.25">
      <c r="A1495">
        <v>1490</v>
      </c>
      <c r="B1495" t="s">
        <v>8000</v>
      </c>
      <c r="C1495" t="s">
        <v>8001</v>
      </c>
      <c r="D1495" t="s">
        <v>7988</v>
      </c>
      <c r="E1495">
        <v>9</v>
      </c>
      <c r="F1495" t="s">
        <v>7831</v>
      </c>
      <c r="G1495" t="s">
        <v>6621</v>
      </c>
      <c r="H1495" t="s">
        <v>7940</v>
      </c>
      <c r="I1495" t="s">
        <v>7941</v>
      </c>
      <c r="J1495" t="s">
        <v>7942</v>
      </c>
      <c r="K1495" t="s">
        <v>7943</v>
      </c>
      <c r="L1495" t="s">
        <v>7894</v>
      </c>
      <c r="M1495">
        <v>910.702880859375</v>
      </c>
      <c r="N1495" t="s">
        <v>54</v>
      </c>
      <c r="O1495" t="s">
        <v>53</v>
      </c>
      <c r="P1495" t="s">
        <v>54</v>
      </c>
      <c r="Q1495" t="s">
        <v>54</v>
      </c>
      <c r="R1495" t="s">
        <v>53</v>
      </c>
      <c r="S1495" t="s">
        <v>6571</v>
      </c>
      <c r="T1495" t="s">
        <v>7944</v>
      </c>
      <c r="U1495" t="s">
        <v>53</v>
      </c>
      <c r="V1495" t="s">
        <v>138</v>
      </c>
      <c r="W1495">
        <v>500000</v>
      </c>
      <c r="X1495" t="s">
        <v>54</v>
      </c>
      <c r="AA1495">
        <v>90</v>
      </c>
      <c r="AB1495">
        <v>16</v>
      </c>
      <c r="AC1495">
        <v>12</v>
      </c>
      <c r="AD1495">
        <v>22</v>
      </c>
      <c r="AE1495">
        <v>22</v>
      </c>
      <c r="AF1495">
        <v>0</v>
      </c>
      <c r="AG1495">
        <v>5</v>
      </c>
      <c r="AH1495">
        <v>20.95122146606445</v>
      </c>
      <c r="AI1495">
        <v>0</v>
      </c>
      <c r="AJ1495">
        <v>4147.8193359375</v>
      </c>
      <c r="AK1495" t="s">
        <v>53</v>
      </c>
      <c r="AL1495" t="s">
        <v>54</v>
      </c>
      <c r="AQ1495" t="s">
        <v>54</v>
      </c>
      <c r="AT1495" t="s">
        <v>2410</v>
      </c>
      <c r="AW1495" t="s">
        <v>53</v>
      </c>
      <c r="AZ1495" t="s">
        <v>54</v>
      </c>
      <c r="BA1495" t="s">
        <v>7840</v>
      </c>
    </row>
    <row r="1496" spans="1:53" x14ac:dyDescent="0.25">
      <c r="A1496">
        <v>1491</v>
      </c>
      <c r="B1496" t="s">
        <v>8002</v>
      </c>
      <c r="C1496" t="s">
        <v>8003</v>
      </c>
      <c r="D1496" t="s">
        <v>7988</v>
      </c>
      <c r="E1496">
        <v>9</v>
      </c>
      <c r="F1496" t="s">
        <v>7831</v>
      </c>
      <c r="G1496" t="s">
        <v>7954</v>
      </c>
      <c r="H1496" t="s">
        <v>7955</v>
      </c>
      <c r="I1496" t="s">
        <v>7956</v>
      </c>
      <c r="J1496" t="s">
        <v>7956</v>
      </c>
      <c r="K1496" t="s">
        <v>7957</v>
      </c>
      <c r="L1496" t="s">
        <v>7894</v>
      </c>
      <c r="M1496">
        <v>912.08465576171875</v>
      </c>
      <c r="N1496" t="s">
        <v>54</v>
      </c>
      <c r="O1496" t="s">
        <v>53</v>
      </c>
      <c r="P1496" t="s">
        <v>54</v>
      </c>
      <c r="Q1496" t="s">
        <v>53</v>
      </c>
      <c r="R1496" t="s">
        <v>53</v>
      </c>
      <c r="S1496" t="s">
        <v>7915</v>
      </c>
      <c r="T1496" t="s">
        <v>7958</v>
      </c>
      <c r="U1496" t="s">
        <v>53</v>
      </c>
      <c r="V1496" t="s">
        <v>138</v>
      </c>
      <c r="W1496">
        <v>500000</v>
      </c>
      <c r="X1496" t="s">
        <v>54</v>
      </c>
      <c r="AA1496">
        <v>902</v>
      </c>
      <c r="AB1496">
        <v>451</v>
      </c>
      <c r="AC1496">
        <v>1987</v>
      </c>
      <c r="AD1496">
        <v>1262</v>
      </c>
      <c r="AE1496">
        <v>1987</v>
      </c>
      <c r="AF1496">
        <v>3</v>
      </c>
      <c r="AG1496">
        <v>5</v>
      </c>
      <c r="AH1496">
        <v>229.1121826171875</v>
      </c>
      <c r="AI1496">
        <v>0</v>
      </c>
      <c r="AJ1496">
        <v>60436.15234375</v>
      </c>
      <c r="AK1496" t="s">
        <v>53</v>
      </c>
      <c r="AL1496" t="s">
        <v>54</v>
      </c>
      <c r="AQ1496" t="s">
        <v>54</v>
      </c>
      <c r="AT1496" t="s">
        <v>2410</v>
      </c>
      <c r="AW1496" t="s">
        <v>53</v>
      </c>
      <c r="AZ1496" t="s">
        <v>54</v>
      </c>
      <c r="BA1496" t="s">
        <v>7840</v>
      </c>
    </row>
    <row r="1497" spans="1:53" x14ac:dyDescent="0.25">
      <c r="A1497">
        <v>1492</v>
      </c>
      <c r="B1497" t="s">
        <v>8004</v>
      </c>
      <c r="C1497" t="s">
        <v>8005</v>
      </c>
      <c r="D1497" t="s">
        <v>7988</v>
      </c>
      <c r="E1497">
        <v>9</v>
      </c>
      <c r="F1497" t="s">
        <v>7831</v>
      </c>
      <c r="G1497" t="s">
        <v>6703</v>
      </c>
      <c r="H1497" t="s">
        <v>7961</v>
      </c>
      <c r="I1497" t="s">
        <v>7962</v>
      </c>
      <c r="J1497" t="s">
        <v>8006</v>
      </c>
      <c r="K1497" t="s">
        <v>7964</v>
      </c>
      <c r="L1497" t="s">
        <v>7894</v>
      </c>
      <c r="M1497">
        <v>890.1708984375</v>
      </c>
      <c r="N1497" t="s">
        <v>54</v>
      </c>
      <c r="O1497" t="s">
        <v>53</v>
      </c>
      <c r="P1497" t="s">
        <v>54</v>
      </c>
      <c r="Q1497" t="s">
        <v>53</v>
      </c>
      <c r="R1497" t="s">
        <v>53</v>
      </c>
      <c r="S1497" t="s">
        <v>6560</v>
      </c>
      <c r="T1497" t="s">
        <v>7965</v>
      </c>
      <c r="U1497" t="s">
        <v>53</v>
      </c>
      <c r="V1497" t="s">
        <v>138</v>
      </c>
      <c r="W1497">
        <v>500000</v>
      </c>
      <c r="X1497" t="s">
        <v>54</v>
      </c>
      <c r="AA1497">
        <v>340</v>
      </c>
      <c r="AB1497">
        <v>204</v>
      </c>
      <c r="AC1497">
        <v>225</v>
      </c>
      <c r="AD1497">
        <v>347</v>
      </c>
      <c r="AE1497">
        <v>347</v>
      </c>
      <c r="AF1497">
        <v>1</v>
      </c>
      <c r="AG1497">
        <v>0</v>
      </c>
      <c r="AH1497">
        <v>151.99676513671881</v>
      </c>
      <c r="AI1497">
        <v>0</v>
      </c>
      <c r="AJ1497">
        <v>25468.806640625</v>
      </c>
      <c r="AK1497" t="s">
        <v>53</v>
      </c>
      <c r="AL1497" t="s">
        <v>54</v>
      </c>
      <c r="AQ1497" t="s">
        <v>54</v>
      </c>
      <c r="AT1497" t="s">
        <v>2410</v>
      </c>
      <c r="AW1497" t="s">
        <v>53</v>
      </c>
      <c r="AZ1497" t="s">
        <v>54</v>
      </c>
      <c r="BA1497" t="s">
        <v>7840</v>
      </c>
    </row>
    <row r="1498" spans="1:53" x14ac:dyDescent="0.25">
      <c r="A1498">
        <v>1493</v>
      </c>
      <c r="B1498" t="s">
        <v>8007</v>
      </c>
      <c r="C1498" t="s">
        <v>8008</v>
      </c>
      <c r="D1498" t="s">
        <v>8009</v>
      </c>
      <c r="E1498">
        <v>9</v>
      </c>
      <c r="F1498" t="s">
        <v>7831</v>
      </c>
      <c r="G1498" t="s">
        <v>7919</v>
      </c>
      <c r="H1498" t="s">
        <v>7920</v>
      </c>
      <c r="I1498" t="s">
        <v>7921</v>
      </c>
      <c r="J1498" t="s">
        <v>7921</v>
      </c>
      <c r="K1498" t="s">
        <v>7922</v>
      </c>
      <c r="L1498" t="s">
        <v>7894</v>
      </c>
      <c r="M1498">
        <v>1495.205688476562</v>
      </c>
      <c r="N1498" t="s">
        <v>54</v>
      </c>
      <c r="O1498" t="s">
        <v>53</v>
      </c>
      <c r="P1498" t="s">
        <v>54</v>
      </c>
      <c r="Q1498" t="s">
        <v>53</v>
      </c>
      <c r="R1498" t="s">
        <v>53</v>
      </c>
      <c r="S1498" t="s">
        <v>7915</v>
      </c>
      <c r="T1498" t="s">
        <v>7923</v>
      </c>
      <c r="U1498" t="s">
        <v>53</v>
      </c>
      <c r="V1498" t="s">
        <v>1973</v>
      </c>
      <c r="W1498">
        <v>100000</v>
      </c>
      <c r="X1498" t="s">
        <v>54</v>
      </c>
      <c r="AA1498">
        <v>959</v>
      </c>
      <c r="AB1498">
        <v>763</v>
      </c>
      <c r="AC1498">
        <v>1040</v>
      </c>
      <c r="AD1498">
        <v>1455</v>
      </c>
      <c r="AE1498">
        <v>1455</v>
      </c>
      <c r="AF1498">
        <v>0</v>
      </c>
      <c r="AG1498">
        <v>3</v>
      </c>
      <c r="AH1498">
        <v>173.238037109375</v>
      </c>
      <c r="AI1498">
        <v>0</v>
      </c>
      <c r="AJ1498">
        <v>8416.5166015625</v>
      </c>
      <c r="AK1498" t="s">
        <v>53</v>
      </c>
      <c r="AL1498" t="s">
        <v>54</v>
      </c>
      <c r="AQ1498" t="s">
        <v>54</v>
      </c>
      <c r="AT1498" t="s">
        <v>2410</v>
      </c>
      <c r="AW1498" t="s">
        <v>53</v>
      </c>
      <c r="AZ1498" t="s">
        <v>54</v>
      </c>
      <c r="BA1498" t="s">
        <v>7840</v>
      </c>
    </row>
    <row r="1499" spans="1:53" x14ac:dyDescent="0.25">
      <c r="A1499">
        <v>1494</v>
      </c>
      <c r="B1499" t="s">
        <v>8010</v>
      </c>
      <c r="C1499" t="s">
        <v>8011</v>
      </c>
      <c r="D1499" t="s">
        <v>6518</v>
      </c>
      <c r="E1499">
        <v>9</v>
      </c>
      <c r="F1499" t="s">
        <v>7831</v>
      </c>
      <c r="G1499" t="s">
        <v>6566</v>
      </c>
      <c r="H1499" t="s">
        <v>7933</v>
      </c>
      <c r="I1499" t="s">
        <v>7934</v>
      </c>
      <c r="J1499" t="s">
        <v>8012</v>
      </c>
      <c r="K1499" t="s">
        <v>7936</v>
      </c>
      <c r="L1499" t="s">
        <v>7894</v>
      </c>
      <c r="M1499">
        <v>906.4515380859375</v>
      </c>
      <c r="N1499" t="s">
        <v>54</v>
      </c>
      <c r="O1499" t="s">
        <v>53</v>
      </c>
      <c r="P1499" t="s">
        <v>54</v>
      </c>
      <c r="Q1499" t="s">
        <v>54</v>
      </c>
      <c r="R1499" t="s">
        <v>53</v>
      </c>
      <c r="S1499" t="s">
        <v>6560</v>
      </c>
      <c r="T1499" t="s">
        <v>7937</v>
      </c>
      <c r="U1499" t="s">
        <v>53</v>
      </c>
      <c r="V1499" t="s">
        <v>1973</v>
      </c>
      <c r="W1499">
        <v>100000</v>
      </c>
      <c r="X1499" t="s">
        <v>54</v>
      </c>
      <c r="AA1499">
        <v>606</v>
      </c>
      <c r="AB1499">
        <v>324</v>
      </c>
      <c r="AC1499">
        <v>1486</v>
      </c>
      <c r="AD1499">
        <v>628</v>
      </c>
      <c r="AE1499">
        <v>1486</v>
      </c>
      <c r="AF1499">
        <v>1</v>
      </c>
      <c r="AG1499">
        <v>10</v>
      </c>
      <c r="AH1499">
        <v>75.922775268554688</v>
      </c>
      <c r="AI1499">
        <v>0</v>
      </c>
      <c r="AJ1499">
        <v>11744.6962890625</v>
      </c>
      <c r="AK1499" t="s">
        <v>53</v>
      </c>
      <c r="AL1499" t="s">
        <v>54</v>
      </c>
      <c r="AQ1499" t="s">
        <v>54</v>
      </c>
      <c r="AT1499" t="s">
        <v>2410</v>
      </c>
      <c r="AW1499" t="s">
        <v>53</v>
      </c>
      <c r="AZ1499" t="s">
        <v>54</v>
      </c>
      <c r="BA1499" t="s">
        <v>7840</v>
      </c>
    </row>
    <row r="1500" spans="1:53" x14ac:dyDescent="0.25">
      <c r="A1500">
        <v>1495</v>
      </c>
      <c r="B1500" t="s">
        <v>8013</v>
      </c>
      <c r="C1500" t="s">
        <v>8014</v>
      </c>
      <c r="D1500" t="s">
        <v>6518</v>
      </c>
      <c r="E1500">
        <v>9</v>
      </c>
      <c r="F1500" t="s">
        <v>7831</v>
      </c>
      <c r="G1500" t="s">
        <v>6579</v>
      </c>
      <c r="H1500" t="s">
        <v>7989</v>
      </c>
      <c r="I1500" t="s">
        <v>7990</v>
      </c>
      <c r="J1500" t="s">
        <v>7990</v>
      </c>
      <c r="K1500" t="s">
        <v>7991</v>
      </c>
      <c r="L1500" t="s">
        <v>7894</v>
      </c>
      <c r="M1500">
        <v>898.81060791015625</v>
      </c>
      <c r="N1500" t="s">
        <v>54</v>
      </c>
      <c r="O1500" t="s">
        <v>53</v>
      </c>
      <c r="P1500" t="s">
        <v>54</v>
      </c>
      <c r="Q1500" t="s">
        <v>53</v>
      </c>
      <c r="R1500" t="s">
        <v>53</v>
      </c>
      <c r="S1500" t="s">
        <v>6560</v>
      </c>
      <c r="T1500" t="s">
        <v>7992</v>
      </c>
      <c r="U1500" t="s">
        <v>53</v>
      </c>
      <c r="V1500" t="s">
        <v>1973</v>
      </c>
      <c r="W1500">
        <v>100000</v>
      </c>
      <c r="X1500" t="s">
        <v>54</v>
      </c>
      <c r="AA1500">
        <v>474</v>
      </c>
      <c r="AB1500">
        <v>9</v>
      </c>
      <c r="AC1500">
        <v>509</v>
      </c>
      <c r="AD1500">
        <v>763</v>
      </c>
      <c r="AE1500">
        <v>763</v>
      </c>
      <c r="AF1500">
        <v>0</v>
      </c>
      <c r="AG1500">
        <v>9</v>
      </c>
      <c r="AH1500">
        <v>537.865478515625</v>
      </c>
      <c r="AI1500">
        <v>0</v>
      </c>
      <c r="AJ1500">
        <v>81984.1015625</v>
      </c>
      <c r="AK1500" t="s">
        <v>53</v>
      </c>
      <c r="AL1500" t="s">
        <v>54</v>
      </c>
      <c r="AQ1500" t="s">
        <v>54</v>
      </c>
      <c r="AT1500" t="s">
        <v>2410</v>
      </c>
      <c r="AW1500" t="s">
        <v>53</v>
      </c>
      <c r="AZ1500" t="s">
        <v>54</v>
      </c>
      <c r="BA1500" t="s">
        <v>7840</v>
      </c>
    </row>
    <row r="1501" spans="1:53" x14ac:dyDescent="0.25">
      <c r="A1501">
        <v>1496</v>
      </c>
      <c r="B1501" t="s">
        <v>8015</v>
      </c>
      <c r="C1501" t="s">
        <v>8016</v>
      </c>
      <c r="D1501" t="s">
        <v>6518</v>
      </c>
      <c r="E1501">
        <v>9</v>
      </c>
      <c r="F1501" t="s">
        <v>7831</v>
      </c>
      <c r="G1501" t="s">
        <v>8017</v>
      </c>
      <c r="H1501" t="s">
        <v>8018</v>
      </c>
      <c r="I1501" t="s">
        <v>8019</v>
      </c>
      <c r="J1501" t="s">
        <v>8019</v>
      </c>
      <c r="K1501" t="s">
        <v>8020</v>
      </c>
      <c r="L1501" t="s">
        <v>7894</v>
      </c>
      <c r="M1501">
        <v>1497.589233398438</v>
      </c>
      <c r="N1501" t="s">
        <v>54</v>
      </c>
      <c r="O1501" t="s">
        <v>53</v>
      </c>
      <c r="P1501" t="s">
        <v>54</v>
      </c>
      <c r="Q1501" t="s">
        <v>53</v>
      </c>
      <c r="R1501" t="s">
        <v>53</v>
      </c>
      <c r="S1501" t="s">
        <v>7915</v>
      </c>
      <c r="T1501" t="s">
        <v>8021</v>
      </c>
      <c r="U1501" t="s">
        <v>53</v>
      </c>
      <c r="V1501" t="s">
        <v>1973</v>
      </c>
      <c r="W1501">
        <v>100000</v>
      </c>
      <c r="X1501" t="s">
        <v>54</v>
      </c>
      <c r="AA1501">
        <v>1890</v>
      </c>
      <c r="AB1501">
        <v>814</v>
      </c>
      <c r="AC1501">
        <v>2018</v>
      </c>
      <c r="AD1501">
        <v>2654</v>
      </c>
      <c r="AE1501">
        <v>2654</v>
      </c>
      <c r="AF1501">
        <v>1</v>
      </c>
      <c r="AG1501">
        <v>5</v>
      </c>
      <c r="AH1501">
        <v>434.30465698242188</v>
      </c>
      <c r="AI1501">
        <v>0</v>
      </c>
      <c r="AJ1501">
        <v>147852.421875</v>
      </c>
      <c r="AK1501" t="s">
        <v>53</v>
      </c>
      <c r="AL1501" t="s">
        <v>54</v>
      </c>
      <c r="AQ1501" t="s">
        <v>54</v>
      </c>
      <c r="AT1501" t="s">
        <v>2410</v>
      </c>
      <c r="AW1501" t="s">
        <v>53</v>
      </c>
      <c r="AZ1501" t="s">
        <v>54</v>
      </c>
      <c r="BA1501" t="s">
        <v>7840</v>
      </c>
    </row>
    <row r="1502" spans="1:53" x14ac:dyDescent="0.25">
      <c r="A1502">
        <v>1497</v>
      </c>
      <c r="B1502" t="s">
        <v>8022</v>
      </c>
      <c r="C1502" t="s">
        <v>8023</v>
      </c>
      <c r="D1502" t="s">
        <v>6518</v>
      </c>
      <c r="E1502">
        <v>9</v>
      </c>
      <c r="F1502" t="s">
        <v>7831</v>
      </c>
      <c r="G1502" t="s">
        <v>7995</v>
      </c>
      <c r="H1502" t="s">
        <v>7996</v>
      </c>
      <c r="I1502" t="s">
        <v>7997</v>
      </c>
      <c r="J1502" t="s">
        <v>7997</v>
      </c>
      <c r="K1502" t="s">
        <v>7998</v>
      </c>
      <c r="L1502" t="s">
        <v>7894</v>
      </c>
      <c r="M1502">
        <v>898.32684326171875</v>
      </c>
      <c r="N1502" t="s">
        <v>54</v>
      </c>
      <c r="O1502" t="s">
        <v>53</v>
      </c>
      <c r="P1502" t="s">
        <v>54</v>
      </c>
      <c r="Q1502" t="s">
        <v>53</v>
      </c>
      <c r="R1502" t="s">
        <v>53</v>
      </c>
      <c r="S1502" t="s">
        <v>7915</v>
      </c>
      <c r="T1502" t="s">
        <v>7999</v>
      </c>
      <c r="U1502" t="s">
        <v>53</v>
      </c>
      <c r="V1502" t="s">
        <v>1973</v>
      </c>
      <c r="W1502">
        <v>100000</v>
      </c>
      <c r="X1502" t="s">
        <v>54</v>
      </c>
      <c r="AA1502">
        <v>8432</v>
      </c>
      <c r="AB1502">
        <v>5663</v>
      </c>
      <c r="AC1502">
        <v>23148</v>
      </c>
      <c r="AD1502">
        <v>18212</v>
      </c>
      <c r="AE1502">
        <v>23148</v>
      </c>
      <c r="AF1502">
        <v>22</v>
      </c>
      <c r="AG1502">
        <v>28</v>
      </c>
      <c r="AH1502">
        <v>289.51742553710938</v>
      </c>
      <c r="AI1502">
        <v>0</v>
      </c>
      <c r="AJ1502">
        <v>8596.421875</v>
      </c>
      <c r="AK1502" t="s">
        <v>53</v>
      </c>
      <c r="AL1502" t="s">
        <v>54</v>
      </c>
      <c r="AQ1502" t="s">
        <v>54</v>
      </c>
      <c r="AT1502" t="s">
        <v>2410</v>
      </c>
      <c r="AW1502" t="s">
        <v>53</v>
      </c>
      <c r="AZ1502" t="s">
        <v>54</v>
      </c>
      <c r="BA1502" t="s">
        <v>7840</v>
      </c>
    </row>
    <row r="1503" spans="1:53" x14ac:dyDescent="0.25">
      <c r="A1503">
        <v>1498</v>
      </c>
      <c r="B1503" t="s">
        <v>8024</v>
      </c>
      <c r="C1503" t="s">
        <v>8025</v>
      </c>
      <c r="D1503" t="s">
        <v>6518</v>
      </c>
      <c r="E1503">
        <v>9</v>
      </c>
      <c r="F1503" t="s">
        <v>7831</v>
      </c>
      <c r="G1503" t="s">
        <v>7909</v>
      </c>
      <c r="H1503" t="s">
        <v>7910</v>
      </c>
      <c r="I1503" t="s">
        <v>7911</v>
      </c>
      <c r="J1503" t="s">
        <v>7912</v>
      </c>
      <c r="K1503" t="s">
        <v>7913</v>
      </c>
      <c r="L1503" t="s">
        <v>7894</v>
      </c>
      <c r="M1503">
        <v>899.61016845703125</v>
      </c>
      <c r="N1503" t="s">
        <v>54</v>
      </c>
      <c r="O1503" t="s">
        <v>53</v>
      </c>
      <c r="P1503" t="s">
        <v>54</v>
      </c>
      <c r="Q1503" t="s">
        <v>53</v>
      </c>
      <c r="R1503" t="s">
        <v>53</v>
      </c>
      <c r="S1503" t="s">
        <v>7915</v>
      </c>
      <c r="T1503" t="s">
        <v>7916</v>
      </c>
      <c r="U1503" t="s">
        <v>53</v>
      </c>
      <c r="V1503" t="s">
        <v>1973</v>
      </c>
      <c r="W1503">
        <v>100000</v>
      </c>
      <c r="X1503" t="s">
        <v>54</v>
      </c>
      <c r="AA1503">
        <v>13045</v>
      </c>
      <c r="AB1503">
        <v>10079</v>
      </c>
      <c r="AC1503">
        <v>31733</v>
      </c>
      <c r="AD1503">
        <v>28422</v>
      </c>
      <c r="AE1503">
        <v>31733</v>
      </c>
      <c r="AF1503">
        <v>13</v>
      </c>
      <c r="AG1503">
        <v>34</v>
      </c>
      <c r="AH1503">
        <v>306.46856689453119</v>
      </c>
      <c r="AI1503">
        <v>0</v>
      </c>
      <c r="AJ1503">
        <v>168.51422119140619</v>
      </c>
      <c r="AK1503" t="s">
        <v>53</v>
      </c>
      <c r="AL1503" t="s">
        <v>54</v>
      </c>
      <c r="AQ1503" t="s">
        <v>54</v>
      </c>
      <c r="AT1503" t="s">
        <v>2410</v>
      </c>
      <c r="AW1503" t="s">
        <v>53</v>
      </c>
      <c r="AZ1503" t="s">
        <v>54</v>
      </c>
      <c r="BA1503" t="s">
        <v>7840</v>
      </c>
    </row>
    <row r="1504" spans="1:53" x14ac:dyDescent="0.25">
      <c r="A1504">
        <v>1499</v>
      </c>
      <c r="B1504" t="s">
        <v>8026</v>
      </c>
      <c r="C1504" t="s">
        <v>8027</v>
      </c>
      <c r="D1504" t="s">
        <v>6518</v>
      </c>
      <c r="E1504">
        <v>9</v>
      </c>
      <c r="F1504" t="s">
        <v>7831</v>
      </c>
      <c r="G1504" t="s">
        <v>6611</v>
      </c>
      <c r="H1504" t="s">
        <v>8028</v>
      </c>
      <c r="I1504" t="s">
        <v>8029</v>
      </c>
      <c r="J1504" t="s">
        <v>8030</v>
      </c>
      <c r="K1504" t="s">
        <v>8031</v>
      </c>
      <c r="L1504" t="s">
        <v>7894</v>
      </c>
      <c r="M1504">
        <v>915.6199951171875</v>
      </c>
      <c r="N1504" t="s">
        <v>54</v>
      </c>
      <c r="O1504" t="s">
        <v>53</v>
      </c>
      <c r="P1504" t="s">
        <v>54</v>
      </c>
      <c r="Q1504" t="s">
        <v>53</v>
      </c>
      <c r="R1504" t="s">
        <v>53</v>
      </c>
      <c r="S1504" t="s">
        <v>8032</v>
      </c>
      <c r="T1504" t="s">
        <v>8033</v>
      </c>
      <c r="U1504" t="s">
        <v>53</v>
      </c>
      <c r="V1504" t="s">
        <v>1973</v>
      </c>
      <c r="W1504">
        <v>100000</v>
      </c>
      <c r="X1504" t="s">
        <v>54</v>
      </c>
      <c r="AA1504">
        <v>70</v>
      </c>
      <c r="AB1504">
        <v>51</v>
      </c>
      <c r="AC1504">
        <v>4</v>
      </c>
      <c r="AD1504">
        <v>46</v>
      </c>
      <c r="AE1504">
        <v>46</v>
      </c>
      <c r="AF1504">
        <v>0</v>
      </c>
      <c r="AG1504">
        <v>10</v>
      </c>
      <c r="AH1504">
        <v>17.8416633605957</v>
      </c>
      <c r="AI1504">
        <v>0</v>
      </c>
      <c r="AJ1504">
        <v>3752.04443359375</v>
      </c>
      <c r="AK1504" t="s">
        <v>53</v>
      </c>
      <c r="AL1504" t="s">
        <v>54</v>
      </c>
      <c r="AQ1504" t="s">
        <v>54</v>
      </c>
      <c r="AT1504" t="s">
        <v>2410</v>
      </c>
      <c r="AW1504" t="s">
        <v>53</v>
      </c>
      <c r="AZ1504" t="s">
        <v>54</v>
      </c>
      <c r="BA1504" t="s">
        <v>7840</v>
      </c>
    </row>
    <row r="1505" spans="1:53" x14ac:dyDescent="0.25">
      <c r="A1505">
        <v>1500</v>
      </c>
      <c r="B1505" t="s">
        <v>8034</v>
      </c>
      <c r="C1505" t="s">
        <v>8035</v>
      </c>
      <c r="D1505" t="s">
        <v>6518</v>
      </c>
      <c r="E1505">
        <v>9</v>
      </c>
      <c r="F1505" t="s">
        <v>7831</v>
      </c>
      <c r="G1505" t="s">
        <v>6621</v>
      </c>
      <c r="H1505" t="s">
        <v>7940</v>
      </c>
      <c r="I1505" t="s">
        <v>7941</v>
      </c>
      <c r="J1505" t="s">
        <v>7942</v>
      </c>
      <c r="K1505" t="s">
        <v>7943</v>
      </c>
      <c r="L1505" t="s">
        <v>7894</v>
      </c>
      <c r="M1505">
        <v>910.702880859375</v>
      </c>
      <c r="N1505" t="s">
        <v>54</v>
      </c>
      <c r="O1505" t="s">
        <v>53</v>
      </c>
      <c r="P1505" t="s">
        <v>54</v>
      </c>
      <c r="Q1505" t="s">
        <v>54</v>
      </c>
      <c r="R1505" t="s">
        <v>53</v>
      </c>
      <c r="S1505" t="s">
        <v>6571</v>
      </c>
      <c r="T1505" t="s">
        <v>7944</v>
      </c>
      <c r="U1505" t="s">
        <v>53</v>
      </c>
      <c r="V1505" t="s">
        <v>1973</v>
      </c>
      <c r="W1505">
        <v>100000</v>
      </c>
      <c r="X1505" t="s">
        <v>54</v>
      </c>
      <c r="AA1505">
        <v>90</v>
      </c>
      <c r="AB1505">
        <v>16</v>
      </c>
      <c r="AC1505">
        <v>12</v>
      </c>
      <c r="AD1505">
        <v>22</v>
      </c>
      <c r="AE1505">
        <v>22</v>
      </c>
      <c r="AF1505">
        <v>0</v>
      </c>
      <c r="AG1505">
        <v>5</v>
      </c>
      <c r="AH1505">
        <v>20.95122146606445</v>
      </c>
      <c r="AI1505">
        <v>0</v>
      </c>
      <c r="AJ1505">
        <v>4147.8193359375</v>
      </c>
      <c r="AK1505" t="s">
        <v>53</v>
      </c>
      <c r="AL1505" t="s">
        <v>54</v>
      </c>
      <c r="AQ1505" t="s">
        <v>54</v>
      </c>
      <c r="AT1505" t="s">
        <v>2410</v>
      </c>
      <c r="AW1505" t="s">
        <v>53</v>
      </c>
      <c r="AZ1505" t="s">
        <v>54</v>
      </c>
      <c r="BA1505" t="s">
        <v>7840</v>
      </c>
    </row>
    <row r="1506" spans="1:53" x14ac:dyDescent="0.25">
      <c r="A1506">
        <v>1501</v>
      </c>
      <c r="B1506" t="s">
        <v>8036</v>
      </c>
      <c r="C1506" t="s">
        <v>8037</v>
      </c>
      <c r="D1506" t="s">
        <v>6518</v>
      </c>
      <c r="E1506">
        <v>9</v>
      </c>
      <c r="F1506" t="s">
        <v>7831</v>
      </c>
      <c r="G1506" t="s">
        <v>6633</v>
      </c>
      <c r="H1506" t="s">
        <v>7948</v>
      </c>
      <c r="I1506" t="s">
        <v>7949</v>
      </c>
      <c r="J1506" t="s">
        <v>7949</v>
      </c>
      <c r="K1506" t="s">
        <v>7950</v>
      </c>
      <c r="L1506" t="s">
        <v>7894</v>
      </c>
      <c r="M1506">
        <v>913.2470703125</v>
      </c>
      <c r="N1506" t="s">
        <v>54</v>
      </c>
      <c r="O1506" t="s">
        <v>53</v>
      </c>
      <c r="P1506" t="s">
        <v>54</v>
      </c>
      <c r="Q1506" t="s">
        <v>54</v>
      </c>
      <c r="R1506" t="s">
        <v>53</v>
      </c>
      <c r="S1506" t="s">
        <v>6560</v>
      </c>
      <c r="T1506" t="s">
        <v>7951</v>
      </c>
      <c r="U1506" t="s">
        <v>53</v>
      </c>
      <c r="V1506" t="s">
        <v>1973</v>
      </c>
      <c r="W1506">
        <v>100000</v>
      </c>
      <c r="X1506" t="s">
        <v>54</v>
      </c>
      <c r="AA1506">
        <v>344</v>
      </c>
      <c r="AB1506">
        <v>206</v>
      </c>
      <c r="AC1506">
        <v>628</v>
      </c>
      <c r="AD1506">
        <v>582</v>
      </c>
      <c r="AE1506">
        <v>628</v>
      </c>
      <c r="AF1506">
        <v>2</v>
      </c>
      <c r="AG1506">
        <v>11</v>
      </c>
      <c r="AH1506">
        <v>107.64649963378911</v>
      </c>
      <c r="AI1506">
        <v>0</v>
      </c>
      <c r="AJ1506">
        <v>16809.279296875</v>
      </c>
      <c r="AK1506" t="s">
        <v>53</v>
      </c>
      <c r="AL1506" t="s">
        <v>54</v>
      </c>
      <c r="AQ1506" t="s">
        <v>54</v>
      </c>
      <c r="AT1506" t="s">
        <v>2410</v>
      </c>
      <c r="AW1506" t="s">
        <v>53</v>
      </c>
      <c r="AZ1506" t="s">
        <v>54</v>
      </c>
      <c r="BA1506" t="s">
        <v>7840</v>
      </c>
    </row>
    <row r="1507" spans="1:53" x14ac:dyDescent="0.25">
      <c r="A1507">
        <v>1502</v>
      </c>
      <c r="B1507" t="s">
        <v>8038</v>
      </c>
      <c r="C1507" t="s">
        <v>8039</v>
      </c>
      <c r="D1507" t="s">
        <v>6518</v>
      </c>
      <c r="E1507">
        <v>9</v>
      </c>
      <c r="F1507" t="s">
        <v>7831</v>
      </c>
      <c r="G1507" t="s">
        <v>8040</v>
      </c>
      <c r="H1507" t="s">
        <v>8041</v>
      </c>
      <c r="I1507" t="s">
        <v>8042</v>
      </c>
      <c r="J1507" t="s">
        <v>8042</v>
      </c>
      <c r="K1507" t="s">
        <v>8043</v>
      </c>
      <c r="L1507" t="s">
        <v>7894</v>
      </c>
      <c r="M1507">
        <v>900.69976806640625</v>
      </c>
      <c r="N1507" t="s">
        <v>54</v>
      </c>
      <c r="O1507" t="s">
        <v>53</v>
      </c>
      <c r="P1507" t="s">
        <v>54</v>
      </c>
      <c r="Q1507" t="s">
        <v>54</v>
      </c>
      <c r="R1507" t="s">
        <v>53</v>
      </c>
      <c r="S1507" t="s">
        <v>6560</v>
      </c>
      <c r="T1507" t="s">
        <v>8044</v>
      </c>
      <c r="U1507" t="s">
        <v>53</v>
      </c>
      <c r="V1507" t="s">
        <v>1973</v>
      </c>
      <c r="W1507">
        <v>100000</v>
      </c>
      <c r="X1507" t="s">
        <v>54</v>
      </c>
      <c r="AA1507">
        <v>1372</v>
      </c>
      <c r="AB1507">
        <v>662</v>
      </c>
      <c r="AC1507">
        <v>4038</v>
      </c>
      <c r="AD1507">
        <v>1761</v>
      </c>
      <c r="AE1507">
        <v>4038</v>
      </c>
      <c r="AF1507">
        <v>2</v>
      </c>
      <c r="AG1507">
        <v>20</v>
      </c>
      <c r="AH1507">
        <v>196.11773681640619</v>
      </c>
      <c r="AI1507">
        <v>0</v>
      </c>
      <c r="AJ1507">
        <v>37027.92578125</v>
      </c>
      <c r="AK1507" t="s">
        <v>53</v>
      </c>
      <c r="AL1507" t="s">
        <v>54</v>
      </c>
      <c r="AQ1507" t="s">
        <v>54</v>
      </c>
      <c r="AT1507" t="s">
        <v>2410</v>
      </c>
      <c r="AW1507" t="s">
        <v>53</v>
      </c>
      <c r="AZ1507" t="s">
        <v>54</v>
      </c>
      <c r="BA1507" t="s">
        <v>7840</v>
      </c>
    </row>
    <row r="1508" spans="1:53" x14ac:dyDescent="0.25">
      <c r="A1508">
        <v>1503</v>
      </c>
      <c r="B1508" t="s">
        <v>8045</v>
      </c>
      <c r="C1508" t="s">
        <v>8046</v>
      </c>
      <c r="D1508" t="s">
        <v>6518</v>
      </c>
      <c r="E1508">
        <v>9</v>
      </c>
      <c r="F1508" t="s">
        <v>7831</v>
      </c>
      <c r="G1508" t="s">
        <v>7954</v>
      </c>
      <c r="H1508" t="s">
        <v>7955</v>
      </c>
      <c r="I1508" t="s">
        <v>7956</v>
      </c>
      <c r="J1508" t="s">
        <v>7956</v>
      </c>
      <c r="K1508" t="s">
        <v>7957</v>
      </c>
      <c r="L1508" t="s">
        <v>7894</v>
      </c>
      <c r="M1508">
        <v>912.08465576171875</v>
      </c>
      <c r="N1508" t="s">
        <v>54</v>
      </c>
      <c r="O1508" t="s">
        <v>53</v>
      </c>
      <c r="P1508" t="s">
        <v>54</v>
      </c>
      <c r="Q1508" t="s">
        <v>53</v>
      </c>
      <c r="R1508" t="s">
        <v>53</v>
      </c>
      <c r="S1508" t="s">
        <v>7915</v>
      </c>
      <c r="T1508" t="s">
        <v>7958</v>
      </c>
      <c r="U1508" t="s">
        <v>53</v>
      </c>
      <c r="V1508" t="s">
        <v>1973</v>
      </c>
      <c r="W1508">
        <v>100000</v>
      </c>
      <c r="X1508" t="s">
        <v>54</v>
      </c>
      <c r="AA1508">
        <v>902</v>
      </c>
      <c r="AB1508">
        <v>451</v>
      </c>
      <c r="AC1508">
        <v>1987</v>
      </c>
      <c r="AD1508">
        <v>1262</v>
      </c>
      <c r="AE1508">
        <v>1987</v>
      </c>
      <c r="AF1508">
        <v>3</v>
      </c>
      <c r="AG1508">
        <v>5</v>
      </c>
      <c r="AH1508">
        <v>229.1121826171875</v>
      </c>
      <c r="AI1508">
        <v>0</v>
      </c>
      <c r="AJ1508">
        <v>60436.15234375</v>
      </c>
      <c r="AK1508" t="s">
        <v>53</v>
      </c>
      <c r="AL1508" t="s">
        <v>54</v>
      </c>
      <c r="AQ1508" t="s">
        <v>54</v>
      </c>
      <c r="AT1508" t="s">
        <v>2410</v>
      </c>
      <c r="AW1508" t="s">
        <v>53</v>
      </c>
      <c r="AZ1508" t="s">
        <v>54</v>
      </c>
      <c r="BA1508" t="s">
        <v>7840</v>
      </c>
    </row>
    <row r="1509" spans="1:53" x14ac:dyDescent="0.25">
      <c r="A1509">
        <v>1504</v>
      </c>
      <c r="B1509" t="s">
        <v>8047</v>
      </c>
      <c r="C1509" t="s">
        <v>8048</v>
      </c>
      <c r="D1509" t="s">
        <v>6518</v>
      </c>
      <c r="E1509">
        <v>9</v>
      </c>
      <c r="F1509" t="s">
        <v>7831</v>
      </c>
      <c r="G1509" t="s">
        <v>6722</v>
      </c>
      <c r="H1509" t="s">
        <v>7968</v>
      </c>
      <c r="I1509" t="s">
        <v>7969</v>
      </c>
      <c r="J1509" t="s">
        <v>7970</v>
      </c>
      <c r="K1509" t="s">
        <v>7971</v>
      </c>
      <c r="L1509" t="s">
        <v>7894</v>
      </c>
      <c r="M1509">
        <v>906.67401123046875</v>
      </c>
      <c r="N1509" t="s">
        <v>54</v>
      </c>
      <c r="O1509" t="s">
        <v>53</v>
      </c>
      <c r="P1509" t="s">
        <v>54</v>
      </c>
      <c r="Q1509" t="s">
        <v>53</v>
      </c>
      <c r="R1509" t="s">
        <v>53</v>
      </c>
      <c r="S1509" t="s">
        <v>6708</v>
      </c>
      <c r="T1509" t="s">
        <v>7972</v>
      </c>
      <c r="U1509" t="s">
        <v>53</v>
      </c>
      <c r="V1509" t="s">
        <v>1973</v>
      </c>
      <c r="W1509">
        <v>100000</v>
      </c>
      <c r="X1509" t="s">
        <v>54</v>
      </c>
      <c r="AA1509">
        <v>44</v>
      </c>
      <c r="AB1509">
        <v>18</v>
      </c>
      <c r="AC1509">
        <v>1553</v>
      </c>
      <c r="AD1509">
        <v>269</v>
      </c>
      <c r="AE1509">
        <v>1553</v>
      </c>
      <c r="AF1509">
        <v>3</v>
      </c>
      <c r="AG1509">
        <v>2</v>
      </c>
      <c r="AH1509">
        <v>42.321495056152337</v>
      </c>
      <c r="AI1509">
        <v>0</v>
      </c>
      <c r="AJ1509">
        <v>1395.676147460938</v>
      </c>
      <c r="AK1509" t="s">
        <v>53</v>
      </c>
      <c r="AL1509" t="s">
        <v>54</v>
      </c>
      <c r="AQ1509" t="s">
        <v>54</v>
      </c>
      <c r="AT1509" t="s">
        <v>2410</v>
      </c>
      <c r="AW1509" t="s">
        <v>53</v>
      </c>
      <c r="AZ1509" t="s">
        <v>54</v>
      </c>
      <c r="BA1509" t="s">
        <v>7840</v>
      </c>
    </row>
    <row r="1510" spans="1:53" x14ac:dyDescent="0.25">
      <c r="A1510">
        <v>1505</v>
      </c>
      <c r="B1510" t="s">
        <v>8049</v>
      </c>
      <c r="C1510" t="s">
        <v>8050</v>
      </c>
      <c r="D1510" t="s">
        <v>6518</v>
      </c>
      <c r="E1510">
        <v>9</v>
      </c>
      <c r="F1510" t="s">
        <v>7831</v>
      </c>
      <c r="G1510" t="s">
        <v>6775</v>
      </c>
      <c r="H1510" t="s">
        <v>7982</v>
      </c>
      <c r="I1510" t="s">
        <v>7983</v>
      </c>
      <c r="J1510" t="s">
        <v>7983</v>
      </c>
      <c r="K1510" t="s">
        <v>7984</v>
      </c>
      <c r="L1510" t="s">
        <v>7894</v>
      </c>
      <c r="M1510">
        <v>887.75018310546875</v>
      </c>
      <c r="N1510" t="s">
        <v>54</v>
      </c>
      <c r="O1510" t="s">
        <v>53</v>
      </c>
      <c r="P1510" t="s">
        <v>54</v>
      </c>
      <c r="Q1510" t="s">
        <v>53</v>
      </c>
      <c r="R1510" t="s">
        <v>53</v>
      </c>
      <c r="S1510" t="s">
        <v>6584</v>
      </c>
      <c r="T1510" t="s">
        <v>7985</v>
      </c>
      <c r="U1510" t="s">
        <v>53</v>
      </c>
      <c r="V1510" t="s">
        <v>1973</v>
      </c>
      <c r="W1510">
        <v>100000</v>
      </c>
      <c r="X1510" t="s">
        <v>54</v>
      </c>
      <c r="AA1510">
        <v>499</v>
      </c>
      <c r="AB1510">
        <v>183</v>
      </c>
      <c r="AC1510">
        <v>1118</v>
      </c>
      <c r="AD1510">
        <v>872</v>
      </c>
      <c r="AE1510">
        <v>1118</v>
      </c>
      <c r="AF1510">
        <v>0</v>
      </c>
      <c r="AG1510">
        <v>6</v>
      </c>
      <c r="AH1510">
        <v>633.67987060546875</v>
      </c>
      <c r="AI1510">
        <v>0</v>
      </c>
      <c r="AJ1510">
        <v>89576.4921875</v>
      </c>
      <c r="AK1510" t="s">
        <v>53</v>
      </c>
      <c r="AL1510" t="s">
        <v>54</v>
      </c>
      <c r="AQ1510" t="s">
        <v>54</v>
      </c>
      <c r="AT1510" t="s">
        <v>2410</v>
      </c>
      <c r="AW1510" t="s">
        <v>53</v>
      </c>
      <c r="AZ1510" t="s">
        <v>54</v>
      </c>
      <c r="BA1510" t="s">
        <v>7840</v>
      </c>
    </row>
    <row r="1511" spans="1:53" x14ac:dyDescent="0.25">
      <c r="A1511">
        <v>1506</v>
      </c>
      <c r="B1511" t="s">
        <v>8051</v>
      </c>
      <c r="C1511" t="s">
        <v>8052</v>
      </c>
      <c r="D1511" t="s">
        <v>7988</v>
      </c>
      <c r="E1511">
        <v>9</v>
      </c>
      <c r="F1511" t="s">
        <v>7831</v>
      </c>
      <c r="G1511" t="s">
        <v>7919</v>
      </c>
      <c r="H1511" t="s">
        <v>7920</v>
      </c>
      <c r="I1511" t="s">
        <v>7921</v>
      </c>
      <c r="J1511" t="s">
        <v>7921</v>
      </c>
      <c r="K1511" t="s">
        <v>7922</v>
      </c>
      <c r="L1511" t="s">
        <v>7894</v>
      </c>
      <c r="M1511">
        <v>1495.205688476562</v>
      </c>
      <c r="N1511" t="s">
        <v>54</v>
      </c>
      <c r="O1511" t="s">
        <v>53</v>
      </c>
      <c r="P1511" t="s">
        <v>54</v>
      </c>
      <c r="Q1511" t="s">
        <v>53</v>
      </c>
      <c r="R1511" t="s">
        <v>53</v>
      </c>
      <c r="S1511" t="s">
        <v>7915</v>
      </c>
      <c r="T1511" t="s">
        <v>7923</v>
      </c>
      <c r="U1511" t="s">
        <v>53</v>
      </c>
      <c r="V1511" t="s">
        <v>138</v>
      </c>
      <c r="W1511">
        <v>500000</v>
      </c>
      <c r="X1511" t="s">
        <v>54</v>
      </c>
      <c r="AA1511">
        <v>959</v>
      </c>
      <c r="AB1511">
        <v>763</v>
      </c>
      <c r="AC1511">
        <v>1040</v>
      </c>
      <c r="AD1511">
        <v>1455</v>
      </c>
      <c r="AE1511">
        <v>1455</v>
      </c>
      <c r="AF1511">
        <v>0</v>
      </c>
      <c r="AG1511">
        <v>3</v>
      </c>
      <c r="AH1511">
        <v>173.238037109375</v>
      </c>
      <c r="AI1511">
        <v>0</v>
      </c>
      <c r="AJ1511">
        <v>8416.5166015625</v>
      </c>
      <c r="AK1511" t="s">
        <v>53</v>
      </c>
      <c r="AL1511" t="s">
        <v>54</v>
      </c>
      <c r="AQ1511" t="s">
        <v>54</v>
      </c>
      <c r="AT1511" t="s">
        <v>2410</v>
      </c>
      <c r="AW1511" t="s">
        <v>53</v>
      </c>
      <c r="AZ1511" t="s">
        <v>54</v>
      </c>
      <c r="BA1511" t="s">
        <v>7840</v>
      </c>
    </row>
    <row r="1512" spans="1:53" x14ac:dyDescent="0.25">
      <c r="A1512">
        <v>1507</v>
      </c>
      <c r="B1512" t="s">
        <v>8053</v>
      </c>
      <c r="C1512" t="s">
        <v>8054</v>
      </c>
      <c r="D1512" t="s">
        <v>7988</v>
      </c>
      <c r="E1512">
        <v>9</v>
      </c>
      <c r="F1512" t="s">
        <v>7831</v>
      </c>
      <c r="G1512" t="s">
        <v>6566</v>
      </c>
      <c r="H1512" t="s">
        <v>7933</v>
      </c>
      <c r="I1512" t="s">
        <v>7934</v>
      </c>
      <c r="J1512" t="s">
        <v>8012</v>
      </c>
      <c r="K1512" t="s">
        <v>7936</v>
      </c>
      <c r="L1512" t="s">
        <v>7894</v>
      </c>
      <c r="M1512">
        <v>8.3245706558227539</v>
      </c>
      <c r="N1512" t="s">
        <v>54</v>
      </c>
      <c r="O1512" t="s">
        <v>53</v>
      </c>
      <c r="P1512" t="s">
        <v>54</v>
      </c>
      <c r="Q1512" t="s">
        <v>54</v>
      </c>
      <c r="R1512" t="s">
        <v>53</v>
      </c>
      <c r="S1512" t="s">
        <v>6560</v>
      </c>
      <c r="T1512" t="s">
        <v>7937</v>
      </c>
      <c r="U1512" t="s">
        <v>53</v>
      </c>
      <c r="V1512" t="s">
        <v>138</v>
      </c>
      <c r="W1512">
        <v>250000</v>
      </c>
      <c r="X1512" t="s">
        <v>54</v>
      </c>
      <c r="AA1512">
        <v>445</v>
      </c>
      <c r="AB1512">
        <v>266</v>
      </c>
      <c r="AC1512">
        <v>1365</v>
      </c>
      <c r="AD1512">
        <v>504</v>
      </c>
      <c r="AE1512">
        <v>1365</v>
      </c>
      <c r="AF1512">
        <v>1</v>
      </c>
      <c r="AG1512">
        <v>3</v>
      </c>
      <c r="AH1512">
        <v>20.6167106628418</v>
      </c>
      <c r="AI1512">
        <v>0</v>
      </c>
      <c r="AJ1512">
        <v>70.465789794921875</v>
      </c>
      <c r="AK1512" t="s">
        <v>53</v>
      </c>
      <c r="AL1512" t="s">
        <v>54</v>
      </c>
      <c r="AQ1512" t="s">
        <v>54</v>
      </c>
      <c r="AT1512" t="s">
        <v>2410</v>
      </c>
      <c r="AW1512" t="s">
        <v>53</v>
      </c>
      <c r="AZ1512" t="s">
        <v>54</v>
      </c>
      <c r="BA1512" t="s">
        <v>7840</v>
      </c>
    </row>
    <row r="1513" spans="1:53" x14ac:dyDescent="0.25">
      <c r="A1513">
        <v>1508</v>
      </c>
      <c r="B1513" t="s">
        <v>8055</v>
      </c>
      <c r="C1513" t="s">
        <v>8056</v>
      </c>
      <c r="D1513" t="s">
        <v>7988</v>
      </c>
      <c r="E1513">
        <v>9</v>
      </c>
      <c r="F1513" t="s">
        <v>7831</v>
      </c>
      <c r="G1513" t="s">
        <v>6579</v>
      </c>
      <c r="H1513" t="s">
        <v>7989</v>
      </c>
      <c r="I1513" t="s">
        <v>7990</v>
      </c>
      <c r="J1513" t="s">
        <v>7990</v>
      </c>
      <c r="K1513" t="s">
        <v>7991</v>
      </c>
      <c r="L1513" t="s">
        <v>7894</v>
      </c>
      <c r="M1513">
        <v>4.7236537933349609</v>
      </c>
      <c r="N1513" t="s">
        <v>54</v>
      </c>
      <c r="O1513" t="s">
        <v>53</v>
      </c>
      <c r="P1513" t="s">
        <v>54</v>
      </c>
      <c r="Q1513" t="s">
        <v>53</v>
      </c>
      <c r="R1513" t="s">
        <v>53</v>
      </c>
      <c r="S1513" t="s">
        <v>6560</v>
      </c>
      <c r="T1513" t="s">
        <v>7992</v>
      </c>
      <c r="U1513" t="s">
        <v>53</v>
      </c>
      <c r="V1513" t="s">
        <v>138</v>
      </c>
      <c r="W1513">
        <v>250000</v>
      </c>
      <c r="X1513" t="s">
        <v>54</v>
      </c>
      <c r="AA1513">
        <v>185</v>
      </c>
      <c r="AB1513">
        <v>0</v>
      </c>
      <c r="AC1513">
        <v>346</v>
      </c>
      <c r="AD1513">
        <v>551</v>
      </c>
      <c r="AE1513">
        <v>551</v>
      </c>
      <c r="AF1513">
        <v>0</v>
      </c>
      <c r="AG1513">
        <v>6</v>
      </c>
      <c r="AH1513">
        <v>11.89630031585693</v>
      </c>
      <c r="AI1513">
        <v>0</v>
      </c>
      <c r="AJ1513">
        <v>82.954116821289063</v>
      </c>
      <c r="AK1513" t="s">
        <v>53</v>
      </c>
      <c r="AL1513" t="s">
        <v>54</v>
      </c>
      <c r="AQ1513" t="s">
        <v>54</v>
      </c>
      <c r="AT1513" t="s">
        <v>2410</v>
      </c>
      <c r="AW1513" t="s">
        <v>53</v>
      </c>
      <c r="AZ1513" t="s">
        <v>54</v>
      </c>
      <c r="BA1513" t="s">
        <v>7840</v>
      </c>
    </row>
    <row r="1514" spans="1:53" x14ac:dyDescent="0.25">
      <c r="A1514">
        <v>1509</v>
      </c>
      <c r="B1514" t="s">
        <v>8057</v>
      </c>
      <c r="C1514" t="s">
        <v>8058</v>
      </c>
      <c r="D1514" t="s">
        <v>7988</v>
      </c>
      <c r="E1514">
        <v>9</v>
      </c>
      <c r="F1514" t="s">
        <v>7831</v>
      </c>
      <c r="G1514" t="s">
        <v>8017</v>
      </c>
      <c r="H1514" t="s">
        <v>8018</v>
      </c>
      <c r="I1514" t="s">
        <v>8019</v>
      </c>
      <c r="J1514" t="s">
        <v>8019</v>
      </c>
      <c r="K1514" t="s">
        <v>8020</v>
      </c>
      <c r="L1514" t="s">
        <v>7894</v>
      </c>
      <c r="M1514">
        <v>1497.589233398438</v>
      </c>
      <c r="N1514" t="s">
        <v>54</v>
      </c>
      <c r="O1514" t="s">
        <v>53</v>
      </c>
      <c r="P1514" t="s">
        <v>54</v>
      </c>
      <c r="Q1514" t="s">
        <v>53</v>
      </c>
      <c r="R1514" t="s">
        <v>53</v>
      </c>
      <c r="S1514" t="s">
        <v>7915</v>
      </c>
      <c r="T1514" t="s">
        <v>8021</v>
      </c>
      <c r="U1514" t="s">
        <v>53</v>
      </c>
      <c r="V1514" t="s">
        <v>138</v>
      </c>
      <c r="W1514">
        <v>500000</v>
      </c>
      <c r="X1514" t="s">
        <v>54</v>
      </c>
      <c r="AA1514">
        <v>1890</v>
      </c>
      <c r="AB1514">
        <v>814</v>
      </c>
      <c r="AC1514">
        <v>2018</v>
      </c>
      <c r="AD1514">
        <v>2654</v>
      </c>
      <c r="AE1514">
        <v>2654</v>
      </c>
      <c r="AF1514">
        <v>1</v>
      </c>
      <c r="AG1514">
        <v>5</v>
      </c>
      <c r="AH1514">
        <v>434.30465698242188</v>
      </c>
      <c r="AI1514">
        <v>0</v>
      </c>
      <c r="AJ1514">
        <v>147852.421875</v>
      </c>
      <c r="AK1514" t="s">
        <v>53</v>
      </c>
      <c r="AL1514" t="s">
        <v>54</v>
      </c>
      <c r="AQ1514" t="s">
        <v>54</v>
      </c>
      <c r="AT1514" t="s">
        <v>2410</v>
      </c>
      <c r="AW1514" t="s">
        <v>53</v>
      </c>
      <c r="AZ1514" t="s">
        <v>54</v>
      </c>
      <c r="BA1514" t="s">
        <v>7840</v>
      </c>
    </row>
    <row r="1515" spans="1:53" x14ac:dyDescent="0.25">
      <c r="A1515">
        <v>1510</v>
      </c>
      <c r="B1515" t="s">
        <v>8059</v>
      </c>
      <c r="C1515" t="s">
        <v>8060</v>
      </c>
      <c r="D1515" t="s">
        <v>7988</v>
      </c>
      <c r="E1515">
        <v>9</v>
      </c>
      <c r="F1515" t="s">
        <v>7831</v>
      </c>
      <c r="G1515" t="s">
        <v>7995</v>
      </c>
      <c r="H1515" t="s">
        <v>7996</v>
      </c>
      <c r="I1515" t="s">
        <v>7997</v>
      </c>
      <c r="J1515" t="s">
        <v>7997</v>
      </c>
      <c r="K1515" t="s">
        <v>7998</v>
      </c>
      <c r="L1515" t="s">
        <v>7894</v>
      </c>
      <c r="M1515">
        <v>898.32684326171875</v>
      </c>
      <c r="N1515" t="s">
        <v>54</v>
      </c>
      <c r="O1515" t="s">
        <v>53</v>
      </c>
      <c r="P1515" t="s">
        <v>54</v>
      </c>
      <c r="Q1515" t="s">
        <v>53</v>
      </c>
      <c r="R1515" t="s">
        <v>53</v>
      </c>
      <c r="S1515" t="s">
        <v>7915</v>
      </c>
      <c r="T1515" t="s">
        <v>7999</v>
      </c>
      <c r="U1515" t="s">
        <v>53</v>
      </c>
      <c r="V1515" t="s">
        <v>138</v>
      </c>
      <c r="W1515">
        <v>500000</v>
      </c>
      <c r="X1515" t="s">
        <v>54</v>
      </c>
      <c r="AA1515">
        <v>8432</v>
      </c>
      <c r="AB1515">
        <v>5663</v>
      </c>
      <c r="AC1515">
        <v>23148</v>
      </c>
      <c r="AD1515">
        <v>18212</v>
      </c>
      <c r="AE1515">
        <v>23148</v>
      </c>
      <c r="AF1515">
        <v>22</v>
      </c>
      <c r="AG1515">
        <v>28</v>
      </c>
      <c r="AH1515">
        <v>289.51742553710938</v>
      </c>
      <c r="AI1515">
        <v>0</v>
      </c>
      <c r="AJ1515">
        <v>8596.421875</v>
      </c>
      <c r="AK1515" t="s">
        <v>53</v>
      </c>
      <c r="AL1515" t="s">
        <v>54</v>
      </c>
      <c r="AQ1515" t="s">
        <v>54</v>
      </c>
      <c r="AT1515" t="s">
        <v>2410</v>
      </c>
      <c r="AW1515" t="s">
        <v>53</v>
      </c>
      <c r="AZ1515" t="s">
        <v>54</v>
      </c>
      <c r="BA1515" t="s">
        <v>7840</v>
      </c>
    </row>
    <row r="1516" spans="1:53" x14ac:dyDescent="0.25">
      <c r="A1516">
        <v>1511</v>
      </c>
      <c r="B1516" t="s">
        <v>8061</v>
      </c>
      <c r="C1516" t="s">
        <v>8062</v>
      </c>
      <c r="D1516" t="s">
        <v>7988</v>
      </c>
      <c r="E1516">
        <v>9</v>
      </c>
      <c r="F1516" t="s">
        <v>7831</v>
      </c>
      <c r="G1516" t="s">
        <v>7909</v>
      </c>
      <c r="H1516" t="s">
        <v>7910</v>
      </c>
      <c r="I1516" t="s">
        <v>7911</v>
      </c>
      <c r="J1516" t="s">
        <v>7912</v>
      </c>
      <c r="K1516" t="s">
        <v>7913</v>
      </c>
      <c r="L1516" t="s">
        <v>7894</v>
      </c>
      <c r="M1516">
        <v>899.61016845703125</v>
      </c>
      <c r="N1516" t="s">
        <v>54</v>
      </c>
      <c r="O1516" t="s">
        <v>53</v>
      </c>
      <c r="P1516" t="s">
        <v>54</v>
      </c>
      <c r="Q1516" t="s">
        <v>53</v>
      </c>
      <c r="R1516" t="s">
        <v>53</v>
      </c>
      <c r="S1516" t="s">
        <v>7915</v>
      </c>
      <c r="T1516" t="s">
        <v>7916</v>
      </c>
      <c r="U1516" t="s">
        <v>53</v>
      </c>
      <c r="V1516" t="s">
        <v>138</v>
      </c>
      <c r="W1516">
        <v>500000</v>
      </c>
      <c r="X1516" t="s">
        <v>54</v>
      </c>
      <c r="AA1516">
        <v>13045</v>
      </c>
      <c r="AB1516">
        <v>10079</v>
      </c>
      <c r="AC1516">
        <v>31733</v>
      </c>
      <c r="AD1516">
        <v>28422</v>
      </c>
      <c r="AE1516">
        <v>31733</v>
      </c>
      <c r="AF1516">
        <v>13</v>
      </c>
      <c r="AG1516">
        <v>34</v>
      </c>
      <c r="AH1516">
        <v>306.46856689453119</v>
      </c>
      <c r="AI1516">
        <v>0</v>
      </c>
      <c r="AJ1516">
        <v>168.51422119140619</v>
      </c>
      <c r="AK1516" t="s">
        <v>53</v>
      </c>
      <c r="AL1516" t="s">
        <v>54</v>
      </c>
      <c r="AQ1516" t="s">
        <v>54</v>
      </c>
      <c r="AT1516" t="s">
        <v>2410</v>
      </c>
      <c r="AW1516" t="s">
        <v>53</v>
      </c>
      <c r="AZ1516" t="s">
        <v>54</v>
      </c>
      <c r="BA1516" t="s">
        <v>7840</v>
      </c>
    </row>
    <row r="1517" spans="1:53" x14ac:dyDescent="0.25">
      <c r="A1517">
        <v>1512</v>
      </c>
      <c r="B1517" t="s">
        <v>8063</v>
      </c>
      <c r="C1517" t="s">
        <v>6632</v>
      </c>
      <c r="D1517" t="s">
        <v>7988</v>
      </c>
      <c r="E1517">
        <v>9</v>
      </c>
      <c r="F1517" t="s">
        <v>7831</v>
      </c>
      <c r="G1517" t="s">
        <v>6633</v>
      </c>
      <c r="H1517" t="s">
        <v>7948</v>
      </c>
      <c r="I1517" t="s">
        <v>7949</v>
      </c>
      <c r="J1517" t="s">
        <v>7949</v>
      </c>
      <c r="K1517" t="s">
        <v>7950</v>
      </c>
      <c r="L1517" t="s">
        <v>7894</v>
      </c>
      <c r="M1517">
        <v>913.2470703125</v>
      </c>
      <c r="N1517" t="s">
        <v>54</v>
      </c>
      <c r="O1517" t="s">
        <v>53</v>
      </c>
      <c r="P1517" t="s">
        <v>54</v>
      </c>
      <c r="Q1517" t="s">
        <v>54</v>
      </c>
      <c r="R1517" t="s">
        <v>53</v>
      </c>
      <c r="S1517" t="s">
        <v>6560</v>
      </c>
      <c r="T1517" t="s">
        <v>7951</v>
      </c>
      <c r="U1517" t="s">
        <v>53</v>
      </c>
      <c r="V1517" t="s">
        <v>138</v>
      </c>
      <c r="W1517">
        <v>500000</v>
      </c>
      <c r="X1517" t="s">
        <v>54</v>
      </c>
      <c r="AA1517">
        <v>344</v>
      </c>
      <c r="AB1517">
        <v>206</v>
      </c>
      <c r="AC1517">
        <v>628</v>
      </c>
      <c r="AD1517">
        <v>582</v>
      </c>
      <c r="AE1517">
        <v>628</v>
      </c>
      <c r="AF1517">
        <v>2</v>
      </c>
      <c r="AG1517">
        <v>11</v>
      </c>
      <c r="AH1517">
        <v>107.64649963378911</v>
      </c>
      <c r="AI1517">
        <v>0</v>
      </c>
      <c r="AJ1517">
        <v>16809.279296875</v>
      </c>
      <c r="AK1517" t="s">
        <v>53</v>
      </c>
      <c r="AL1517" t="s">
        <v>54</v>
      </c>
      <c r="AQ1517" t="s">
        <v>54</v>
      </c>
      <c r="AT1517" t="s">
        <v>2410</v>
      </c>
      <c r="AW1517" t="s">
        <v>53</v>
      </c>
      <c r="AZ1517" t="s">
        <v>54</v>
      </c>
      <c r="BA1517" t="s">
        <v>7840</v>
      </c>
    </row>
    <row r="1518" spans="1:53" x14ac:dyDescent="0.25">
      <c r="A1518">
        <v>1513</v>
      </c>
      <c r="B1518" t="s">
        <v>8064</v>
      </c>
      <c r="C1518" t="s">
        <v>8065</v>
      </c>
      <c r="D1518" t="s">
        <v>7988</v>
      </c>
      <c r="E1518">
        <v>9</v>
      </c>
      <c r="F1518" t="s">
        <v>7831</v>
      </c>
      <c r="G1518" t="s">
        <v>8040</v>
      </c>
      <c r="H1518" t="s">
        <v>8041</v>
      </c>
      <c r="I1518" t="s">
        <v>8042</v>
      </c>
      <c r="J1518" t="s">
        <v>8042</v>
      </c>
      <c r="K1518" t="s">
        <v>8043</v>
      </c>
      <c r="L1518" t="s">
        <v>7894</v>
      </c>
      <c r="M1518">
        <v>900.69976806640625</v>
      </c>
      <c r="N1518" t="s">
        <v>54</v>
      </c>
      <c r="O1518" t="s">
        <v>53</v>
      </c>
      <c r="P1518" t="s">
        <v>54</v>
      </c>
      <c r="Q1518" t="s">
        <v>54</v>
      </c>
      <c r="R1518" t="s">
        <v>53</v>
      </c>
      <c r="S1518" t="s">
        <v>6560</v>
      </c>
      <c r="T1518" t="s">
        <v>8044</v>
      </c>
      <c r="U1518" t="s">
        <v>53</v>
      </c>
      <c r="V1518" t="s">
        <v>138</v>
      </c>
      <c r="W1518">
        <v>500000</v>
      </c>
      <c r="X1518" t="s">
        <v>54</v>
      </c>
      <c r="AA1518">
        <v>1372</v>
      </c>
      <c r="AB1518">
        <v>662</v>
      </c>
      <c r="AC1518">
        <v>4038</v>
      </c>
      <c r="AD1518">
        <v>1761</v>
      </c>
      <c r="AE1518">
        <v>4038</v>
      </c>
      <c r="AF1518">
        <v>2</v>
      </c>
      <c r="AG1518">
        <v>20</v>
      </c>
      <c r="AH1518">
        <v>196.11773681640619</v>
      </c>
      <c r="AI1518">
        <v>0</v>
      </c>
      <c r="AJ1518">
        <v>37027.92578125</v>
      </c>
      <c r="AK1518" t="s">
        <v>53</v>
      </c>
      <c r="AL1518" t="s">
        <v>54</v>
      </c>
      <c r="AQ1518" t="s">
        <v>54</v>
      </c>
      <c r="AT1518" t="s">
        <v>2410</v>
      </c>
      <c r="AW1518" t="s">
        <v>53</v>
      </c>
      <c r="AZ1518" t="s">
        <v>54</v>
      </c>
      <c r="BA1518" t="s">
        <v>7840</v>
      </c>
    </row>
    <row r="1519" spans="1:53" x14ac:dyDescent="0.25">
      <c r="A1519">
        <v>1514</v>
      </c>
      <c r="B1519" t="s">
        <v>8066</v>
      </c>
      <c r="C1519" t="s">
        <v>8067</v>
      </c>
      <c r="D1519" t="s">
        <v>7988</v>
      </c>
      <c r="E1519">
        <v>9</v>
      </c>
      <c r="F1519" t="s">
        <v>7831</v>
      </c>
      <c r="G1519" t="s">
        <v>6775</v>
      </c>
      <c r="H1519" t="s">
        <v>7982</v>
      </c>
      <c r="I1519" t="s">
        <v>7983</v>
      </c>
      <c r="J1519" t="s">
        <v>7983</v>
      </c>
      <c r="K1519" t="s">
        <v>7984</v>
      </c>
      <c r="L1519" t="s">
        <v>7894</v>
      </c>
      <c r="M1519">
        <v>887.75018310546875</v>
      </c>
      <c r="N1519" t="s">
        <v>54</v>
      </c>
      <c r="O1519" t="s">
        <v>53</v>
      </c>
      <c r="P1519" t="s">
        <v>54</v>
      </c>
      <c r="Q1519" t="s">
        <v>53</v>
      </c>
      <c r="R1519" t="s">
        <v>53</v>
      </c>
      <c r="S1519" t="s">
        <v>6584</v>
      </c>
      <c r="T1519" t="s">
        <v>7985</v>
      </c>
      <c r="U1519" t="s">
        <v>53</v>
      </c>
      <c r="V1519" t="s">
        <v>138</v>
      </c>
      <c r="W1519">
        <v>500000</v>
      </c>
      <c r="X1519" t="s">
        <v>54</v>
      </c>
      <c r="AA1519">
        <v>499</v>
      </c>
      <c r="AB1519">
        <v>183</v>
      </c>
      <c r="AC1519">
        <v>1118</v>
      </c>
      <c r="AD1519">
        <v>872</v>
      </c>
      <c r="AE1519">
        <v>1118</v>
      </c>
      <c r="AF1519">
        <v>0</v>
      </c>
      <c r="AG1519">
        <v>6</v>
      </c>
      <c r="AH1519">
        <v>633.67987060546875</v>
      </c>
      <c r="AI1519">
        <v>0</v>
      </c>
      <c r="AJ1519">
        <v>89576.4921875</v>
      </c>
      <c r="AK1519" t="s">
        <v>53</v>
      </c>
      <c r="AL1519" t="s">
        <v>54</v>
      </c>
      <c r="AQ1519" t="s">
        <v>54</v>
      </c>
      <c r="AT1519" t="s">
        <v>2410</v>
      </c>
      <c r="AW1519" t="s">
        <v>53</v>
      </c>
      <c r="AZ1519" t="s">
        <v>54</v>
      </c>
      <c r="BA1519" t="s">
        <v>7840</v>
      </c>
    </row>
    <row r="1520" spans="1:53" x14ac:dyDescent="0.25">
      <c r="A1520">
        <v>1515</v>
      </c>
      <c r="B1520" t="s">
        <v>8068</v>
      </c>
      <c r="C1520" t="s">
        <v>8069</v>
      </c>
      <c r="D1520" t="s">
        <v>7988</v>
      </c>
      <c r="E1520">
        <v>9</v>
      </c>
      <c r="F1520" t="s">
        <v>7831</v>
      </c>
      <c r="G1520" t="s">
        <v>8070</v>
      </c>
      <c r="H1520" t="s">
        <v>8071</v>
      </c>
      <c r="I1520" t="s">
        <v>8072</v>
      </c>
      <c r="J1520" t="s">
        <v>8072</v>
      </c>
      <c r="K1520" t="s">
        <v>8073</v>
      </c>
      <c r="L1520" t="s">
        <v>7894</v>
      </c>
      <c r="M1520">
        <v>797.708251953125</v>
      </c>
      <c r="N1520" t="s">
        <v>54</v>
      </c>
      <c r="O1520" t="s">
        <v>53</v>
      </c>
      <c r="P1520" t="s">
        <v>54</v>
      </c>
      <c r="Q1520" t="s">
        <v>53</v>
      </c>
      <c r="R1520" t="s">
        <v>53</v>
      </c>
      <c r="S1520" t="s">
        <v>8074</v>
      </c>
      <c r="T1520" t="s">
        <v>8075</v>
      </c>
      <c r="U1520" t="s">
        <v>53</v>
      </c>
      <c r="V1520" t="s">
        <v>138</v>
      </c>
      <c r="W1520">
        <v>500000</v>
      </c>
      <c r="X1520" t="s">
        <v>54</v>
      </c>
      <c r="AA1520">
        <v>543</v>
      </c>
      <c r="AB1520">
        <v>263</v>
      </c>
      <c r="AC1520">
        <v>715</v>
      </c>
      <c r="AD1520">
        <v>776</v>
      </c>
      <c r="AE1520">
        <v>776</v>
      </c>
      <c r="AF1520">
        <v>0</v>
      </c>
      <c r="AG1520">
        <v>2</v>
      </c>
      <c r="AH1520">
        <v>292.33428955078119</v>
      </c>
      <c r="AI1520">
        <v>0</v>
      </c>
      <c r="AJ1520">
        <v>65855.140625</v>
      </c>
      <c r="AK1520" t="s">
        <v>53</v>
      </c>
      <c r="AL1520" t="s">
        <v>54</v>
      </c>
      <c r="AQ1520" t="s">
        <v>54</v>
      </c>
      <c r="AT1520" t="s">
        <v>2410</v>
      </c>
      <c r="AW1520" t="s">
        <v>53</v>
      </c>
      <c r="AZ1520" t="s">
        <v>54</v>
      </c>
      <c r="BA1520" t="s">
        <v>7840</v>
      </c>
    </row>
    <row r="1521" spans="1:53" x14ac:dyDescent="0.25">
      <c r="A1521">
        <v>1516</v>
      </c>
      <c r="B1521" t="s">
        <v>8076</v>
      </c>
      <c r="C1521" t="s">
        <v>8077</v>
      </c>
      <c r="D1521" t="s">
        <v>7988</v>
      </c>
      <c r="E1521">
        <v>9</v>
      </c>
      <c r="F1521" t="s">
        <v>7831</v>
      </c>
      <c r="G1521" t="s">
        <v>6633</v>
      </c>
      <c r="H1521" t="s">
        <v>7890</v>
      </c>
      <c r="I1521" t="s">
        <v>8078</v>
      </c>
      <c r="J1521" t="s">
        <v>8079</v>
      </c>
      <c r="K1521" t="s">
        <v>8080</v>
      </c>
      <c r="L1521" t="s">
        <v>7894</v>
      </c>
      <c r="M1521">
        <v>5.3115334510803223</v>
      </c>
      <c r="N1521" t="s">
        <v>54</v>
      </c>
      <c r="O1521" t="s">
        <v>53</v>
      </c>
      <c r="P1521" t="s">
        <v>54</v>
      </c>
      <c r="Q1521" t="s">
        <v>54</v>
      </c>
      <c r="R1521" t="s">
        <v>53</v>
      </c>
      <c r="S1521" t="s">
        <v>6638</v>
      </c>
      <c r="T1521" t="s">
        <v>8081</v>
      </c>
      <c r="U1521" t="s">
        <v>53</v>
      </c>
      <c r="V1521" t="s">
        <v>138</v>
      </c>
      <c r="W1521">
        <v>250000</v>
      </c>
      <c r="X1521" t="s">
        <v>54</v>
      </c>
      <c r="AA1521">
        <v>143</v>
      </c>
      <c r="AB1521">
        <v>93</v>
      </c>
      <c r="AC1521">
        <v>252</v>
      </c>
      <c r="AD1521">
        <v>144</v>
      </c>
      <c r="AE1521">
        <v>252</v>
      </c>
      <c r="AF1521">
        <v>2</v>
      </c>
      <c r="AG1521">
        <v>1</v>
      </c>
      <c r="AH1521">
        <v>10.132449150085449</v>
      </c>
      <c r="AI1521">
        <v>0</v>
      </c>
      <c r="AJ1521">
        <v>55.572761535644531</v>
      </c>
      <c r="AK1521" t="s">
        <v>53</v>
      </c>
      <c r="AL1521" t="s">
        <v>54</v>
      </c>
      <c r="AQ1521" t="s">
        <v>54</v>
      </c>
      <c r="AT1521" t="s">
        <v>2410</v>
      </c>
      <c r="AW1521" t="s">
        <v>53</v>
      </c>
      <c r="AZ1521" t="s">
        <v>54</v>
      </c>
      <c r="BA1521" t="s">
        <v>7840</v>
      </c>
    </row>
    <row r="1522" spans="1:53" x14ac:dyDescent="0.25">
      <c r="A1522">
        <v>1517</v>
      </c>
      <c r="B1522" t="s">
        <v>8082</v>
      </c>
      <c r="C1522" t="s">
        <v>8083</v>
      </c>
      <c r="D1522" t="s">
        <v>8084</v>
      </c>
      <c r="E1522">
        <v>9</v>
      </c>
      <c r="F1522" t="s">
        <v>7831</v>
      </c>
      <c r="G1522" t="s">
        <v>6633</v>
      </c>
      <c r="H1522" t="s">
        <v>7890</v>
      </c>
      <c r="I1522" t="s">
        <v>8085</v>
      </c>
      <c r="J1522" t="s">
        <v>8086</v>
      </c>
      <c r="K1522" t="s">
        <v>8087</v>
      </c>
      <c r="L1522" t="s">
        <v>7894</v>
      </c>
      <c r="M1522">
        <v>1.035183191299438</v>
      </c>
      <c r="N1522" t="s">
        <v>54</v>
      </c>
      <c r="O1522" t="s">
        <v>53</v>
      </c>
      <c r="P1522" t="s">
        <v>54</v>
      </c>
      <c r="Q1522" t="s">
        <v>54</v>
      </c>
      <c r="R1522" t="s">
        <v>53</v>
      </c>
      <c r="S1522" t="s">
        <v>6638</v>
      </c>
      <c r="T1522" t="s">
        <v>8088</v>
      </c>
      <c r="U1522" t="s">
        <v>53</v>
      </c>
      <c r="V1522" t="s">
        <v>138</v>
      </c>
      <c r="W1522">
        <v>25000</v>
      </c>
      <c r="X1522" t="s">
        <v>54</v>
      </c>
      <c r="AA1522">
        <v>9</v>
      </c>
      <c r="AB1522">
        <v>7</v>
      </c>
      <c r="AC1522">
        <v>1</v>
      </c>
      <c r="AD1522">
        <v>6</v>
      </c>
      <c r="AE1522">
        <v>6</v>
      </c>
      <c r="AF1522">
        <v>0</v>
      </c>
      <c r="AG1522">
        <v>0</v>
      </c>
      <c r="AH1522">
        <v>5.3939247131347656</v>
      </c>
      <c r="AI1522">
        <v>0</v>
      </c>
      <c r="AJ1522">
        <v>1.7300339937210081</v>
      </c>
      <c r="AK1522" t="s">
        <v>53</v>
      </c>
      <c r="AL1522" t="s">
        <v>54</v>
      </c>
      <c r="AQ1522" t="s">
        <v>54</v>
      </c>
      <c r="AT1522" t="s">
        <v>2410</v>
      </c>
      <c r="AW1522" t="s">
        <v>53</v>
      </c>
      <c r="AZ1522" t="s">
        <v>54</v>
      </c>
      <c r="BA1522" t="s">
        <v>7840</v>
      </c>
    </row>
    <row r="1523" spans="1:53" x14ac:dyDescent="0.25">
      <c r="A1523">
        <v>1518</v>
      </c>
      <c r="B1523" t="s">
        <v>8089</v>
      </c>
      <c r="C1523" t="s">
        <v>8090</v>
      </c>
      <c r="D1523" t="s">
        <v>8091</v>
      </c>
      <c r="E1523">
        <v>9</v>
      </c>
      <c r="F1523" t="s">
        <v>7831</v>
      </c>
      <c r="G1523" t="s">
        <v>6621</v>
      </c>
      <c r="H1523" t="s">
        <v>8092</v>
      </c>
      <c r="I1523" t="s">
        <v>8093</v>
      </c>
      <c r="J1523" t="s">
        <v>8094</v>
      </c>
      <c r="K1523" t="s">
        <v>8095</v>
      </c>
      <c r="L1523" t="s">
        <v>7837</v>
      </c>
      <c r="M1523">
        <v>0.58999443054199219</v>
      </c>
      <c r="N1523" t="s">
        <v>54</v>
      </c>
      <c r="O1523" t="s">
        <v>53</v>
      </c>
      <c r="P1523" t="s">
        <v>54</v>
      </c>
      <c r="Q1523" t="s">
        <v>53</v>
      </c>
      <c r="R1523" t="s">
        <v>53</v>
      </c>
      <c r="S1523" t="s">
        <v>8096</v>
      </c>
      <c r="T1523" t="s">
        <v>8097</v>
      </c>
      <c r="U1523" t="s">
        <v>53</v>
      </c>
      <c r="V1523" t="s">
        <v>51</v>
      </c>
      <c r="W1523">
        <v>300000</v>
      </c>
      <c r="X1523" t="s">
        <v>54</v>
      </c>
      <c r="AA1523">
        <v>9</v>
      </c>
      <c r="AB1523">
        <v>3</v>
      </c>
      <c r="AC1523">
        <v>4</v>
      </c>
      <c r="AD1523">
        <v>14</v>
      </c>
      <c r="AE1523">
        <v>14</v>
      </c>
      <c r="AF1523">
        <v>0</v>
      </c>
      <c r="AG1523">
        <v>0</v>
      </c>
      <c r="AH1523">
        <v>0.48034238815307623</v>
      </c>
      <c r="AI1523">
        <v>0</v>
      </c>
      <c r="AJ1523">
        <v>7.0710085332393646E-2</v>
      </c>
      <c r="AK1523" t="s">
        <v>53</v>
      </c>
      <c r="AL1523" t="s">
        <v>54</v>
      </c>
      <c r="AQ1523" t="s">
        <v>54</v>
      </c>
      <c r="AT1523" t="s">
        <v>2410</v>
      </c>
      <c r="AW1523" t="s">
        <v>53</v>
      </c>
      <c r="AZ1523" t="s">
        <v>54</v>
      </c>
      <c r="BA1523" t="s">
        <v>7840</v>
      </c>
    </row>
    <row r="1524" spans="1:53" x14ac:dyDescent="0.25">
      <c r="A1524">
        <v>1519</v>
      </c>
      <c r="B1524" t="s">
        <v>8098</v>
      </c>
      <c r="C1524" t="s">
        <v>8099</v>
      </c>
      <c r="D1524" t="s">
        <v>7988</v>
      </c>
      <c r="E1524">
        <v>9</v>
      </c>
      <c r="F1524" t="s">
        <v>7831</v>
      </c>
      <c r="G1524" t="s">
        <v>8100</v>
      </c>
      <c r="H1524" t="s">
        <v>8101</v>
      </c>
      <c r="I1524" t="s">
        <v>8102</v>
      </c>
      <c r="J1524" t="s">
        <v>8102</v>
      </c>
      <c r="K1524" t="s">
        <v>8103</v>
      </c>
      <c r="L1524" t="s">
        <v>7894</v>
      </c>
      <c r="M1524">
        <v>3.3985908031463619</v>
      </c>
      <c r="N1524" t="s">
        <v>54</v>
      </c>
      <c r="O1524" t="s">
        <v>53</v>
      </c>
      <c r="P1524" t="s">
        <v>54</v>
      </c>
      <c r="Q1524" t="s">
        <v>53</v>
      </c>
      <c r="R1524" t="s">
        <v>53</v>
      </c>
      <c r="S1524" t="s">
        <v>8104</v>
      </c>
      <c r="T1524" t="s">
        <v>8105</v>
      </c>
      <c r="U1524" t="s">
        <v>53</v>
      </c>
      <c r="V1524" t="s">
        <v>138</v>
      </c>
      <c r="W1524">
        <v>250000</v>
      </c>
      <c r="X1524" t="s">
        <v>54</v>
      </c>
      <c r="AA1524">
        <v>13</v>
      </c>
      <c r="AB1524">
        <v>7</v>
      </c>
      <c r="AC1524">
        <v>127</v>
      </c>
      <c r="AD1524">
        <v>62</v>
      </c>
      <c r="AE1524">
        <v>127</v>
      </c>
      <c r="AF1524">
        <v>1</v>
      </c>
      <c r="AG1524">
        <v>0</v>
      </c>
      <c r="AH1524">
        <v>14.86351490020752</v>
      </c>
      <c r="AI1524">
        <v>0</v>
      </c>
      <c r="AJ1524">
        <v>122.51356506347661</v>
      </c>
      <c r="AK1524" t="s">
        <v>53</v>
      </c>
      <c r="AL1524" t="s">
        <v>54</v>
      </c>
      <c r="AQ1524" t="s">
        <v>54</v>
      </c>
      <c r="AT1524" t="s">
        <v>2410</v>
      </c>
      <c r="AW1524" t="s">
        <v>53</v>
      </c>
      <c r="AZ1524" t="s">
        <v>54</v>
      </c>
      <c r="BA1524" t="s">
        <v>7840</v>
      </c>
    </row>
    <row r="1525" spans="1:53" x14ac:dyDescent="0.25">
      <c r="A1525">
        <v>1520</v>
      </c>
      <c r="B1525" t="s">
        <v>8106</v>
      </c>
      <c r="C1525" t="s">
        <v>8107</v>
      </c>
      <c r="D1525" t="s">
        <v>7988</v>
      </c>
      <c r="E1525">
        <v>9</v>
      </c>
      <c r="F1525" t="s">
        <v>7831</v>
      </c>
      <c r="G1525" t="s">
        <v>6775</v>
      </c>
      <c r="H1525" t="s">
        <v>8108</v>
      </c>
      <c r="I1525" t="s">
        <v>8109</v>
      </c>
      <c r="J1525" t="s">
        <v>8109</v>
      </c>
      <c r="K1525" t="s">
        <v>8110</v>
      </c>
      <c r="L1525" t="s">
        <v>7894</v>
      </c>
      <c r="M1525">
        <v>6.5403814315795898</v>
      </c>
      <c r="N1525" t="s">
        <v>54</v>
      </c>
      <c r="O1525" t="s">
        <v>53</v>
      </c>
      <c r="P1525" t="s">
        <v>54</v>
      </c>
      <c r="Q1525" t="s">
        <v>53</v>
      </c>
      <c r="R1525" t="s">
        <v>53</v>
      </c>
      <c r="S1525" t="s">
        <v>6780</v>
      </c>
      <c r="T1525" t="s">
        <v>8111</v>
      </c>
      <c r="U1525" t="s">
        <v>53</v>
      </c>
      <c r="V1525" t="s">
        <v>138</v>
      </c>
      <c r="W1525">
        <v>250000</v>
      </c>
      <c r="X1525" t="s">
        <v>54</v>
      </c>
      <c r="AA1525">
        <v>245</v>
      </c>
      <c r="AB1525">
        <v>125</v>
      </c>
      <c r="AC1525">
        <v>537</v>
      </c>
      <c r="AD1525">
        <v>527</v>
      </c>
      <c r="AE1525">
        <v>537</v>
      </c>
      <c r="AF1525">
        <v>0</v>
      </c>
      <c r="AG1525">
        <v>1</v>
      </c>
      <c r="AH1525">
        <v>17.780120849609379</v>
      </c>
      <c r="AI1525">
        <v>0</v>
      </c>
      <c r="AJ1525">
        <v>416.08999633789063</v>
      </c>
      <c r="AK1525" t="s">
        <v>53</v>
      </c>
      <c r="AL1525" t="s">
        <v>54</v>
      </c>
      <c r="AQ1525" t="s">
        <v>54</v>
      </c>
      <c r="AT1525" t="s">
        <v>2410</v>
      </c>
      <c r="AW1525" t="s">
        <v>53</v>
      </c>
      <c r="AZ1525" t="s">
        <v>54</v>
      </c>
      <c r="BA1525" t="s">
        <v>7840</v>
      </c>
    </row>
    <row r="1526" spans="1:53" x14ac:dyDescent="0.25">
      <c r="A1526">
        <v>1521</v>
      </c>
      <c r="B1526" t="s">
        <v>8112</v>
      </c>
      <c r="C1526" t="s">
        <v>8113</v>
      </c>
      <c r="D1526" t="s">
        <v>7988</v>
      </c>
      <c r="E1526">
        <v>9</v>
      </c>
      <c r="F1526" t="s">
        <v>7831</v>
      </c>
      <c r="G1526" t="s">
        <v>7909</v>
      </c>
      <c r="H1526" t="s">
        <v>7900</v>
      </c>
      <c r="I1526" t="s">
        <v>7901</v>
      </c>
      <c r="J1526" t="s">
        <v>7901</v>
      </c>
      <c r="K1526" t="s">
        <v>7903</v>
      </c>
      <c r="L1526" t="s">
        <v>7894</v>
      </c>
      <c r="M1526">
        <v>44.264347076416023</v>
      </c>
      <c r="N1526" t="s">
        <v>54</v>
      </c>
      <c r="O1526" t="s">
        <v>53</v>
      </c>
      <c r="P1526" t="s">
        <v>54</v>
      </c>
      <c r="Q1526" t="s">
        <v>53</v>
      </c>
      <c r="R1526" t="s">
        <v>53</v>
      </c>
      <c r="S1526" t="s">
        <v>7904</v>
      </c>
      <c r="T1526" t="s">
        <v>8114</v>
      </c>
      <c r="U1526" t="s">
        <v>53</v>
      </c>
      <c r="V1526" t="s">
        <v>51</v>
      </c>
      <c r="W1526">
        <v>750000</v>
      </c>
      <c r="X1526" t="s">
        <v>54</v>
      </c>
      <c r="AA1526">
        <v>6574</v>
      </c>
      <c r="AB1526">
        <v>5476</v>
      </c>
      <c r="AC1526">
        <v>24528</v>
      </c>
      <c r="AD1526">
        <v>21069</v>
      </c>
      <c r="AE1526">
        <v>24528</v>
      </c>
      <c r="AF1526">
        <v>10</v>
      </c>
      <c r="AG1526">
        <v>26</v>
      </c>
      <c r="AH1526">
        <v>154.56486511230469</v>
      </c>
      <c r="AI1526">
        <v>0</v>
      </c>
      <c r="AJ1526">
        <v>26.065326690673832</v>
      </c>
      <c r="AK1526" t="s">
        <v>53</v>
      </c>
      <c r="AL1526" t="s">
        <v>54</v>
      </c>
      <c r="AQ1526" t="s">
        <v>54</v>
      </c>
      <c r="AT1526" t="s">
        <v>2410</v>
      </c>
      <c r="AW1526" t="s">
        <v>53</v>
      </c>
      <c r="AZ1526" t="s">
        <v>54</v>
      </c>
      <c r="BA1526" t="s">
        <v>7840</v>
      </c>
    </row>
    <row r="1527" spans="1:53" x14ac:dyDescent="0.25">
      <c r="A1527">
        <v>1522</v>
      </c>
      <c r="B1527" t="s">
        <v>8115</v>
      </c>
      <c r="C1527" t="s">
        <v>8116</v>
      </c>
      <c r="D1527" t="s">
        <v>8117</v>
      </c>
      <c r="E1527">
        <v>9</v>
      </c>
      <c r="F1527" t="s">
        <v>7831</v>
      </c>
      <c r="G1527" t="s">
        <v>7832</v>
      </c>
      <c r="H1527" t="s">
        <v>8118</v>
      </c>
      <c r="I1527" t="s">
        <v>8119</v>
      </c>
      <c r="J1527" t="s">
        <v>8119</v>
      </c>
      <c r="K1527" t="s">
        <v>8120</v>
      </c>
      <c r="L1527" t="s">
        <v>7858</v>
      </c>
      <c r="M1527">
        <v>61.911529541015618</v>
      </c>
      <c r="N1527" t="s">
        <v>54</v>
      </c>
      <c r="O1527" t="s">
        <v>53</v>
      </c>
      <c r="P1527" t="s">
        <v>54</v>
      </c>
      <c r="Q1527" t="s">
        <v>53</v>
      </c>
      <c r="R1527" t="s">
        <v>53</v>
      </c>
      <c r="S1527" t="s">
        <v>490</v>
      </c>
      <c r="T1527" t="s">
        <v>8121</v>
      </c>
      <c r="U1527" t="s">
        <v>54</v>
      </c>
      <c r="V1527" t="s">
        <v>51</v>
      </c>
      <c r="W1527">
        <v>25000</v>
      </c>
      <c r="X1527" t="s">
        <v>54</v>
      </c>
      <c r="AA1527">
        <v>2587</v>
      </c>
      <c r="AB1527">
        <v>1821</v>
      </c>
      <c r="AC1527">
        <v>8034</v>
      </c>
      <c r="AD1527">
        <v>6050</v>
      </c>
      <c r="AE1527">
        <v>8034</v>
      </c>
      <c r="AF1527">
        <v>6</v>
      </c>
      <c r="AG1527">
        <v>27</v>
      </c>
      <c r="AH1527">
        <v>93.645278930664063</v>
      </c>
      <c r="AI1527">
        <v>0</v>
      </c>
      <c r="AJ1527">
        <v>558.4952392578125</v>
      </c>
      <c r="AK1527" t="s">
        <v>53</v>
      </c>
      <c r="AL1527" t="s">
        <v>54</v>
      </c>
      <c r="AQ1527" t="s">
        <v>54</v>
      </c>
      <c r="AT1527" t="s">
        <v>2410</v>
      </c>
      <c r="AW1527" t="s">
        <v>53</v>
      </c>
      <c r="AZ1527" t="s">
        <v>54</v>
      </c>
      <c r="BA1527" t="s">
        <v>7840</v>
      </c>
    </row>
    <row r="1528" spans="1:53" x14ac:dyDescent="0.25">
      <c r="A1528">
        <v>1523</v>
      </c>
      <c r="B1528" t="s">
        <v>8122</v>
      </c>
      <c r="C1528" t="s">
        <v>8123</v>
      </c>
      <c r="D1528" t="s">
        <v>8124</v>
      </c>
      <c r="E1528">
        <v>9</v>
      </c>
      <c r="F1528" t="s">
        <v>7831</v>
      </c>
      <c r="G1528" t="s">
        <v>6611</v>
      </c>
      <c r="H1528" t="s">
        <v>8028</v>
      </c>
      <c r="I1528" t="s">
        <v>8029</v>
      </c>
      <c r="J1528" t="s">
        <v>8029</v>
      </c>
      <c r="K1528" t="s">
        <v>8031</v>
      </c>
      <c r="L1528" t="s">
        <v>8125</v>
      </c>
      <c r="M1528">
        <v>915.62506103515625</v>
      </c>
      <c r="N1528" t="s">
        <v>54</v>
      </c>
      <c r="O1528" t="s">
        <v>53</v>
      </c>
      <c r="P1528" t="s">
        <v>54</v>
      </c>
      <c r="Q1528" t="s">
        <v>53</v>
      </c>
      <c r="R1528" t="s">
        <v>53</v>
      </c>
      <c r="S1528" t="s">
        <v>8104</v>
      </c>
      <c r="T1528" t="s">
        <v>8126</v>
      </c>
      <c r="U1528" t="s">
        <v>53</v>
      </c>
      <c r="V1528" t="s">
        <v>51</v>
      </c>
      <c r="W1528">
        <v>100000</v>
      </c>
      <c r="X1528" t="s">
        <v>54</v>
      </c>
      <c r="AA1528">
        <v>70</v>
      </c>
      <c r="AB1528">
        <v>51</v>
      </c>
      <c r="AC1528">
        <v>4</v>
      </c>
      <c r="AD1528">
        <v>46</v>
      </c>
      <c r="AE1528">
        <v>46</v>
      </c>
      <c r="AF1528">
        <v>0</v>
      </c>
      <c r="AG1528">
        <v>10</v>
      </c>
      <c r="AH1528">
        <v>17.8400764465332</v>
      </c>
      <c r="AI1528">
        <v>0</v>
      </c>
      <c r="AJ1528">
        <v>3752.04443359375</v>
      </c>
      <c r="AK1528" t="s">
        <v>53</v>
      </c>
      <c r="AL1528" t="s">
        <v>54</v>
      </c>
      <c r="AQ1528" t="s">
        <v>54</v>
      </c>
      <c r="AT1528" t="s">
        <v>2410</v>
      </c>
      <c r="AW1528" t="s">
        <v>53</v>
      </c>
      <c r="AZ1528" t="s">
        <v>54</v>
      </c>
      <c r="BA1528" t="s">
        <v>7840</v>
      </c>
    </row>
    <row r="1529" spans="1:53" x14ac:dyDescent="0.25">
      <c r="A1529">
        <v>1524</v>
      </c>
      <c r="B1529" t="s">
        <v>8127</v>
      </c>
      <c r="C1529" t="s">
        <v>8128</v>
      </c>
      <c r="D1529" t="s">
        <v>8129</v>
      </c>
      <c r="E1529">
        <v>9</v>
      </c>
      <c r="F1529" t="s">
        <v>7831</v>
      </c>
      <c r="G1529" t="s">
        <v>6611</v>
      </c>
      <c r="H1529" t="s">
        <v>8028</v>
      </c>
      <c r="I1529" t="s">
        <v>8029</v>
      </c>
      <c r="J1529" t="s">
        <v>8029</v>
      </c>
      <c r="K1529" t="s">
        <v>8031</v>
      </c>
      <c r="L1529" t="s">
        <v>7894</v>
      </c>
      <c r="M1529">
        <v>915.62506103515625</v>
      </c>
      <c r="N1529" t="s">
        <v>54</v>
      </c>
      <c r="O1529" t="s">
        <v>53</v>
      </c>
      <c r="P1529" t="s">
        <v>54</v>
      </c>
      <c r="Q1529" t="s">
        <v>53</v>
      </c>
      <c r="R1529" t="s">
        <v>53</v>
      </c>
      <c r="S1529" t="s">
        <v>8104</v>
      </c>
      <c r="T1529" t="s">
        <v>8126</v>
      </c>
      <c r="U1529" t="s">
        <v>53</v>
      </c>
      <c r="V1529" t="s">
        <v>138</v>
      </c>
      <c r="W1529">
        <v>2000000</v>
      </c>
      <c r="X1529" t="s">
        <v>54</v>
      </c>
      <c r="AA1529">
        <v>70</v>
      </c>
      <c r="AB1529">
        <v>51</v>
      </c>
      <c r="AC1529">
        <v>4</v>
      </c>
      <c r="AD1529">
        <v>46</v>
      </c>
      <c r="AE1529">
        <v>46</v>
      </c>
      <c r="AF1529">
        <v>0</v>
      </c>
      <c r="AG1529">
        <v>10</v>
      </c>
      <c r="AH1529">
        <v>17.8400764465332</v>
      </c>
      <c r="AI1529">
        <v>0</v>
      </c>
      <c r="AJ1529">
        <v>3752.04443359375</v>
      </c>
      <c r="AK1529" t="s">
        <v>53</v>
      </c>
      <c r="AL1529" t="s">
        <v>54</v>
      </c>
      <c r="AQ1529" t="s">
        <v>54</v>
      </c>
      <c r="AT1529" t="s">
        <v>2410</v>
      </c>
      <c r="AW1529" t="s">
        <v>53</v>
      </c>
      <c r="AZ1529" t="s">
        <v>54</v>
      </c>
      <c r="BA1529" t="s">
        <v>7840</v>
      </c>
    </row>
    <row r="1530" spans="1:53" x14ac:dyDescent="0.25">
      <c r="A1530">
        <v>1525</v>
      </c>
      <c r="B1530" t="s">
        <v>8130</v>
      </c>
      <c r="C1530" t="s">
        <v>6610</v>
      </c>
      <c r="D1530" t="s">
        <v>7988</v>
      </c>
      <c r="E1530">
        <v>9</v>
      </c>
      <c r="F1530" t="s">
        <v>7831</v>
      </c>
      <c r="G1530" t="s">
        <v>6611</v>
      </c>
      <c r="H1530" t="s">
        <v>8028</v>
      </c>
      <c r="I1530" t="s">
        <v>8029</v>
      </c>
      <c r="J1530" t="s">
        <v>8029</v>
      </c>
      <c r="K1530" t="s">
        <v>8031</v>
      </c>
      <c r="L1530" t="s">
        <v>7894</v>
      </c>
      <c r="M1530">
        <v>915.62506103515625</v>
      </c>
      <c r="N1530" t="s">
        <v>54</v>
      </c>
      <c r="O1530" t="s">
        <v>53</v>
      </c>
      <c r="P1530" t="s">
        <v>54</v>
      </c>
      <c r="Q1530" t="s">
        <v>53</v>
      </c>
      <c r="R1530" t="s">
        <v>53</v>
      </c>
      <c r="S1530" t="s">
        <v>8104</v>
      </c>
      <c r="T1530" t="s">
        <v>8126</v>
      </c>
      <c r="U1530" t="s">
        <v>53</v>
      </c>
      <c r="V1530" t="s">
        <v>138</v>
      </c>
      <c r="W1530">
        <v>500000</v>
      </c>
      <c r="X1530" t="s">
        <v>54</v>
      </c>
      <c r="AA1530">
        <v>70</v>
      </c>
      <c r="AB1530">
        <v>51</v>
      </c>
      <c r="AC1530">
        <v>4</v>
      </c>
      <c r="AD1530">
        <v>46</v>
      </c>
      <c r="AE1530">
        <v>46</v>
      </c>
      <c r="AF1530">
        <v>0</v>
      </c>
      <c r="AG1530">
        <v>10</v>
      </c>
      <c r="AH1530">
        <v>17.8400764465332</v>
      </c>
      <c r="AI1530">
        <v>0</v>
      </c>
      <c r="AJ1530">
        <v>3752.04443359375</v>
      </c>
      <c r="AK1530" t="s">
        <v>53</v>
      </c>
      <c r="AL1530" t="s">
        <v>54</v>
      </c>
      <c r="AQ1530" t="s">
        <v>54</v>
      </c>
      <c r="AT1530" t="s">
        <v>2410</v>
      </c>
      <c r="AW1530" t="s">
        <v>53</v>
      </c>
      <c r="AZ1530" t="s">
        <v>54</v>
      </c>
      <c r="BA1530" t="s">
        <v>7840</v>
      </c>
    </row>
    <row r="1531" spans="1:53" x14ac:dyDescent="0.25">
      <c r="A1531">
        <v>1526</v>
      </c>
      <c r="B1531" t="s">
        <v>8131</v>
      </c>
      <c r="C1531" t="s">
        <v>8132</v>
      </c>
      <c r="D1531" t="s">
        <v>8133</v>
      </c>
      <c r="E1531">
        <v>9</v>
      </c>
      <c r="F1531" t="s">
        <v>7831</v>
      </c>
      <c r="G1531" t="s">
        <v>7909</v>
      </c>
      <c r="H1531" t="s">
        <v>7910</v>
      </c>
      <c r="I1531" t="s">
        <v>7911</v>
      </c>
      <c r="J1531" t="s">
        <v>7911</v>
      </c>
      <c r="K1531" t="s">
        <v>7913</v>
      </c>
      <c r="L1531" t="s">
        <v>7858</v>
      </c>
      <c r="M1531">
        <v>899.6104736328125</v>
      </c>
      <c r="N1531" t="s">
        <v>54</v>
      </c>
      <c r="O1531" t="s">
        <v>53</v>
      </c>
      <c r="P1531" t="s">
        <v>54</v>
      </c>
      <c r="Q1531" t="s">
        <v>53</v>
      </c>
      <c r="R1531" t="s">
        <v>53</v>
      </c>
      <c r="S1531" t="s">
        <v>7915</v>
      </c>
      <c r="T1531" t="s">
        <v>8134</v>
      </c>
      <c r="U1531" t="s">
        <v>54</v>
      </c>
      <c r="V1531" t="s">
        <v>51</v>
      </c>
      <c r="W1531">
        <v>100000</v>
      </c>
      <c r="X1531" t="s">
        <v>54</v>
      </c>
      <c r="AA1531">
        <v>13045</v>
      </c>
      <c r="AB1531">
        <v>10079</v>
      </c>
      <c r="AC1531">
        <v>31733</v>
      </c>
      <c r="AD1531">
        <v>28422</v>
      </c>
      <c r="AE1531">
        <v>31733</v>
      </c>
      <c r="AF1531">
        <v>13</v>
      </c>
      <c r="AG1531">
        <v>34</v>
      </c>
      <c r="AH1531">
        <v>306.45611572265619</v>
      </c>
      <c r="AI1531">
        <v>0</v>
      </c>
      <c r="AJ1531">
        <v>168.3893127441406</v>
      </c>
      <c r="AK1531" t="s">
        <v>53</v>
      </c>
      <c r="AL1531" t="s">
        <v>54</v>
      </c>
      <c r="AQ1531" t="s">
        <v>54</v>
      </c>
      <c r="AT1531" t="s">
        <v>2410</v>
      </c>
      <c r="AW1531" t="s">
        <v>53</v>
      </c>
      <c r="AZ1531" t="s">
        <v>54</v>
      </c>
      <c r="BA1531" t="s">
        <v>7840</v>
      </c>
    </row>
    <row r="1532" spans="1:53" x14ac:dyDescent="0.25">
      <c r="A1532">
        <v>1527</v>
      </c>
      <c r="B1532" t="s">
        <v>8135</v>
      </c>
      <c r="C1532" t="s">
        <v>8136</v>
      </c>
      <c r="D1532" t="s">
        <v>7988</v>
      </c>
      <c r="E1532">
        <v>9</v>
      </c>
      <c r="F1532" t="s">
        <v>7831</v>
      </c>
      <c r="G1532" t="s">
        <v>8137</v>
      </c>
      <c r="H1532" t="s">
        <v>8138</v>
      </c>
      <c r="I1532" t="s">
        <v>8139</v>
      </c>
      <c r="J1532" t="s">
        <v>8139</v>
      </c>
      <c r="K1532" t="s">
        <v>8140</v>
      </c>
      <c r="L1532" t="s">
        <v>7894</v>
      </c>
      <c r="M1532">
        <v>0.99160325527191162</v>
      </c>
      <c r="N1532" t="s">
        <v>54</v>
      </c>
      <c r="O1532" t="s">
        <v>53</v>
      </c>
      <c r="P1532" t="s">
        <v>54</v>
      </c>
      <c r="Q1532" t="s">
        <v>53</v>
      </c>
      <c r="R1532" t="s">
        <v>53</v>
      </c>
      <c r="S1532" t="s">
        <v>8141</v>
      </c>
      <c r="T1532" t="s">
        <v>8142</v>
      </c>
      <c r="U1532" t="s">
        <v>53</v>
      </c>
      <c r="V1532" t="s">
        <v>138</v>
      </c>
      <c r="W1532">
        <v>250000</v>
      </c>
      <c r="X1532" t="s">
        <v>54</v>
      </c>
      <c r="AA1532">
        <v>132</v>
      </c>
      <c r="AB1532">
        <v>90</v>
      </c>
      <c r="AC1532">
        <v>148</v>
      </c>
      <c r="AD1532">
        <v>91</v>
      </c>
      <c r="AE1532">
        <v>148</v>
      </c>
      <c r="AF1532">
        <v>0</v>
      </c>
      <c r="AG1532">
        <v>7</v>
      </c>
      <c r="AH1532">
        <v>4.9706392288208008</v>
      </c>
      <c r="AI1532">
        <v>0</v>
      </c>
      <c r="AJ1532">
        <v>20.747634887695309</v>
      </c>
      <c r="AK1532" t="s">
        <v>53</v>
      </c>
      <c r="AL1532" t="s">
        <v>54</v>
      </c>
      <c r="AQ1532" t="s">
        <v>54</v>
      </c>
      <c r="AT1532" t="s">
        <v>2410</v>
      </c>
      <c r="AW1532" t="s">
        <v>53</v>
      </c>
      <c r="AZ1532" t="s">
        <v>54</v>
      </c>
      <c r="BA1532" t="s">
        <v>7840</v>
      </c>
    </row>
    <row r="1533" spans="1:53" x14ac:dyDescent="0.25">
      <c r="A1533">
        <v>1528</v>
      </c>
      <c r="B1533" t="s">
        <v>8143</v>
      </c>
      <c r="C1533" t="s">
        <v>6573</v>
      </c>
      <c r="D1533" t="s">
        <v>7988</v>
      </c>
      <c r="E1533">
        <v>9</v>
      </c>
      <c r="F1533" t="s">
        <v>7831</v>
      </c>
      <c r="G1533" t="s">
        <v>6566</v>
      </c>
      <c r="H1533" t="s">
        <v>7933</v>
      </c>
      <c r="I1533" t="s">
        <v>7934</v>
      </c>
      <c r="J1533" t="s">
        <v>8012</v>
      </c>
      <c r="K1533" t="s">
        <v>7936</v>
      </c>
      <c r="L1533" t="s">
        <v>7894</v>
      </c>
      <c r="M1533">
        <v>906.4515380859375</v>
      </c>
      <c r="N1533" t="s">
        <v>54</v>
      </c>
      <c r="O1533" t="s">
        <v>53</v>
      </c>
      <c r="P1533" t="s">
        <v>54</v>
      </c>
      <c r="Q1533" t="s">
        <v>54</v>
      </c>
      <c r="R1533" t="s">
        <v>53</v>
      </c>
      <c r="S1533" t="s">
        <v>6560</v>
      </c>
      <c r="T1533" t="s">
        <v>7937</v>
      </c>
      <c r="U1533" t="s">
        <v>53</v>
      </c>
      <c r="V1533" t="s">
        <v>138</v>
      </c>
      <c r="W1533">
        <v>25000</v>
      </c>
      <c r="X1533" t="s">
        <v>54</v>
      </c>
      <c r="AA1533">
        <v>606</v>
      </c>
      <c r="AB1533">
        <v>324</v>
      </c>
      <c r="AC1533">
        <v>1486</v>
      </c>
      <c r="AD1533">
        <v>628</v>
      </c>
      <c r="AE1533">
        <v>1486</v>
      </c>
      <c r="AF1533">
        <v>1</v>
      </c>
      <c r="AG1533">
        <v>10</v>
      </c>
      <c r="AH1533">
        <v>75.922775268554688</v>
      </c>
      <c r="AI1533">
        <v>0</v>
      </c>
      <c r="AJ1533">
        <v>11744.6962890625</v>
      </c>
      <c r="AK1533" t="s">
        <v>53</v>
      </c>
      <c r="AL1533" t="s">
        <v>54</v>
      </c>
      <c r="AQ1533" t="s">
        <v>54</v>
      </c>
      <c r="AT1533" t="s">
        <v>2410</v>
      </c>
      <c r="AW1533" t="s">
        <v>53</v>
      </c>
      <c r="AZ1533" t="s">
        <v>54</v>
      </c>
      <c r="BA1533" t="s">
        <v>7840</v>
      </c>
    </row>
    <row r="1534" spans="1:53" x14ac:dyDescent="0.25">
      <c r="A1534">
        <v>1529</v>
      </c>
      <c r="B1534" t="s">
        <v>8144</v>
      </c>
      <c r="C1534" t="s">
        <v>8145</v>
      </c>
      <c r="D1534" t="s">
        <v>7988</v>
      </c>
      <c r="E1534">
        <v>9</v>
      </c>
      <c r="F1534" t="s">
        <v>7831</v>
      </c>
      <c r="G1534" t="s">
        <v>8146</v>
      </c>
      <c r="H1534" t="s">
        <v>7890</v>
      </c>
      <c r="I1534" t="s">
        <v>8147</v>
      </c>
      <c r="J1534" t="s">
        <v>8148</v>
      </c>
      <c r="K1534" t="s">
        <v>8149</v>
      </c>
      <c r="L1534" t="s">
        <v>7894</v>
      </c>
      <c r="M1534">
        <v>0.85729336738586426</v>
      </c>
      <c r="N1534" t="s">
        <v>54</v>
      </c>
      <c r="O1534" t="s">
        <v>53</v>
      </c>
      <c r="P1534" t="s">
        <v>54</v>
      </c>
      <c r="Q1534" t="s">
        <v>53</v>
      </c>
      <c r="R1534" t="s">
        <v>53</v>
      </c>
      <c r="S1534" t="s">
        <v>6584</v>
      </c>
      <c r="T1534" t="s">
        <v>8150</v>
      </c>
      <c r="U1534" t="s">
        <v>53</v>
      </c>
      <c r="V1534" t="s">
        <v>138</v>
      </c>
      <c r="W1534">
        <v>250000</v>
      </c>
      <c r="X1534" t="s">
        <v>54</v>
      </c>
      <c r="AA1534">
        <v>284</v>
      </c>
      <c r="AB1534">
        <v>184</v>
      </c>
      <c r="AC1534">
        <v>197</v>
      </c>
      <c r="AD1534">
        <v>246</v>
      </c>
      <c r="AE1534">
        <v>246</v>
      </c>
      <c r="AF1534">
        <v>1</v>
      </c>
      <c r="AG1534">
        <v>0</v>
      </c>
      <c r="AH1534">
        <v>9.6691150665283203</v>
      </c>
      <c r="AI1534">
        <v>0</v>
      </c>
      <c r="AJ1534">
        <v>394.49981689453119</v>
      </c>
      <c r="AK1534" t="s">
        <v>53</v>
      </c>
      <c r="AL1534" t="s">
        <v>54</v>
      </c>
      <c r="AQ1534" t="s">
        <v>54</v>
      </c>
      <c r="AT1534" t="s">
        <v>2410</v>
      </c>
      <c r="AW1534" t="s">
        <v>53</v>
      </c>
      <c r="AZ1534" t="s">
        <v>54</v>
      </c>
      <c r="BA1534" t="s">
        <v>7840</v>
      </c>
    </row>
    <row r="1535" spans="1:53" x14ac:dyDescent="0.25">
      <c r="A1535">
        <v>1530</v>
      </c>
      <c r="B1535" t="s">
        <v>8151</v>
      </c>
      <c r="C1535" t="s">
        <v>7203</v>
      </c>
      <c r="D1535" t="s">
        <v>8152</v>
      </c>
      <c r="E1535">
        <v>9</v>
      </c>
      <c r="F1535" t="s">
        <v>7831</v>
      </c>
      <c r="G1535" t="s">
        <v>6611</v>
      </c>
      <c r="H1535" t="s">
        <v>8028</v>
      </c>
      <c r="I1535" t="s">
        <v>8029</v>
      </c>
      <c r="J1535" t="s">
        <v>8030</v>
      </c>
      <c r="K1535" t="s">
        <v>8031</v>
      </c>
      <c r="L1535" t="s">
        <v>8153</v>
      </c>
      <c r="M1535">
        <v>915.6199951171875</v>
      </c>
      <c r="N1535" t="s">
        <v>54</v>
      </c>
      <c r="O1535" t="s">
        <v>53</v>
      </c>
      <c r="P1535" t="s">
        <v>54</v>
      </c>
      <c r="Q1535" t="s">
        <v>53</v>
      </c>
      <c r="R1535" t="s">
        <v>53</v>
      </c>
      <c r="S1535" t="s">
        <v>8032</v>
      </c>
      <c r="T1535" t="s">
        <v>8033</v>
      </c>
      <c r="U1535" t="s">
        <v>53</v>
      </c>
      <c r="V1535" t="s">
        <v>1973</v>
      </c>
      <c r="W1535">
        <v>100000</v>
      </c>
      <c r="X1535" t="s">
        <v>54</v>
      </c>
      <c r="AA1535">
        <v>70</v>
      </c>
      <c r="AB1535">
        <v>51</v>
      </c>
      <c r="AC1535">
        <v>4</v>
      </c>
      <c r="AD1535">
        <v>46</v>
      </c>
      <c r="AE1535">
        <v>46</v>
      </c>
      <c r="AF1535">
        <v>0</v>
      </c>
      <c r="AG1535">
        <v>10</v>
      </c>
      <c r="AH1535">
        <v>17.8416633605957</v>
      </c>
      <c r="AI1535">
        <v>0</v>
      </c>
      <c r="AJ1535">
        <v>3752.04443359375</v>
      </c>
      <c r="AK1535" t="s">
        <v>53</v>
      </c>
      <c r="AL1535" t="s">
        <v>54</v>
      </c>
      <c r="AQ1535" t="s">
        <v>54</v>
      </c>
      <c r="AT1535" t="s">
        <v>2410</v>
      </c>
      <c r="AW1535" t="s">
        <v>53</v>
      </c>
      <c r="AZ1535" t="s">
        <v>54</v>
      </c>
      <c r="BA1535" t="s">
        <v>7840</v>
      </c>
    </row>
    <row r="1536" spans="1:53" x14ac:dyDescent="0.25">
      <c r="A1536">
        <v>1531</v>
      </c>
      <c r="B1536" t="s">
        <v>8154</v>
      </c>
      <c r="C1536" t="s">
        <v>8155</v>
      </c>
      <c r="D1536" t="s">
        <v>8156</v>
      </c>
      <c r="E1536">
        <v>9</v>
      </c>
      <c r="F1536" t="s">
        <v>7831</v>
      </c>
      <c r="G1536" t="s">
        <v>8157</v>
      </c>
      <c r="H1536" t="s">
        <v>8158</v>
      </c>
      <c r="I1536" t="s">
        <v>8158</v>
      </c>
      <c r="J1536" t="s">
        <v>8158</v>
      </c>
      <c r="K1536" t="s">
        <v>8159</v>
      </c>
      <c r="L1536" t="s">
        <v>8160</v>
      </c>
      <c r="M1536">
        <v>21171.580078125</v>
      </c>
      <c r="N1536" t="s">
        <v>54</v>
      </c>
      <c r="O1536" t="s">
        <v>53</v>
      </c>
      <c r="P1536" t="s">
        <v>54</v>
      </c>
      <c r="Q1536" t="s">
        <v>54</v>
      </c>
      <c r="R1536" t="s">
        <v>53</v>
      </c>
      <c r="S1536" t="s">
        <v>490</v>
      </c>
      <c r="T1536" t="s">
        <v>8161</v>
      </c>
      <c r="U1536" t="s">
        <v>53</v>
      </c>
      <c r="V1536" t="s">
        <v>1973</v>
      </c>
      <c r="W1536">
        <v>100000</v>
      </c>
      <c r="X1536" t="s">
        <v>54</v>
      </c>
      <c r="AA1536">
        <v>36361</v>
      </c>
      <c r="AB1536">
        <v>23637</v>
      </c>
      <c r="AC1536">
        <v>81195</v>
      </c>
      <c r="AD1536">
        <v>68192</v>
      </c>
      <c r="AE1536">
        <v>81195</v>
      </c>
      <c r="AF1536">
        <v>56</v>
      </c>
      <c r="AG1536">
        <v>255</v>
      </c>
      <c r="AH1536">
        <v>4338.38916015625</v>
      </c>
      <c r="AI1536">
        <v>0</v>
      </c>
      <c r="AJ1536">
        <v>719343.0625</v>
      </c>
      <c r="AK1536" t="s">
        <v>53</v>
      </c>
      <c r="AL1536" t="s">
        <v>54</v>
      </c>
      <c r="AQ1536" t="s">
        <v>54</v>
      </c>
      <c r="AT1536" t="s">
        <v>2410</v>
      </c>
      <c r="AW1536" t="s">
        <v>53</v>
      </c>
      <c r="AZ1536" t="s">
        <v>54</v>
      </c>
      <c r="BA1536" t="s">
        <v>7840</v>
      </c>
    </row>
    <row r="1537" spans="1:53" x14ac:dyDescent="0.25">
      <c r="A1537">
        <v>1532</v>
      </c>
      <c r="B1537" t="s">
        <v>8162</v>
      </c>
      <c r="C1537" t="s">
        <v>8163</v>
      </c>
      <c r="D1537" t="s">
        <v>7947</v>
      </c>
      <c r="E1537">
        <v>9</v>
      </c>
      <c r="F1537" t="s">
        <v>7831</v>
      </c>
      <c r="G1537" t="s">
        <v>7832</v>
      </c>
      <c r="H1537" t="s">
        <v>8118</v>
      </c>
      <c r="I1537" t="s">
        <v>8119</v>
      </c>
      <c r="J1537" t="s">
        <v>8119</v>
      </c>
      <c r="K1537" t="s">
        <v>8120</v>
      </c>
      <c r="L1537" t="s">
        <v>7894</v>
      </c>
      <c r="M1537">
        <v>1533.927368164062</v>
      </c>
      <c r="N1537" t="s">
        <v>54</v>
      </c>
      <c r="O1537" t="s">
        <v>53</v>
      </c>
      <c r="P1537" t="s">
        <v>54</v>
      </c>
      <c r="Q1537" t="s">
        <v>53</v>
      </c>
      <c r="R1537" t="s">
        <v>53</v>
      </c>
      <c r="S1537" t="s">
        <v>490</v>
      </c>
      <c r="T1537" t="s">
        <v>8121</v>
      </c>
      <c r="U1537" t="s">
        <v>53</v>
      </c>
      <c r="V1537" t="s">
        <v>138</v>
      </c>
      <c r="W1537">
        <v>1457000</v>
      </c>
      <c r="X1537" t="s">
        <v>54</v>
      </c>
      <c r="AA1537">
        <v>5164</v>
      </c>
      <c r="AB1537">
        <v>3371</v>
      </c>
      <c r="AC1537">
        <v>9987</v>
      </c>
      <c r="AD1537">
        <v>9061</v>
      </c>
      <c r="AE1537">
        <v>9987</v>
      </c>
      <c r="AF1537">
        <v>7</v>
      </c>
      <c r="AG1537">
        <v>46</v>
      </c>
      <c r="AH1537">
        <v>252.76603698730469</v>
      </c>
      <c r="AI1537">
        <v>0</v>
      </c>
      <c r="AJ1537">
        <v>48639.625</v>
      </c>
      <c r="AK1537" t="s">
        <v>53</v>
      </c>
      <c r="AL1537" t="s">
        <v>54</v>
      </c>
      <c r="AQ1537" t="s">
        <v>54</v>
      </c>
      <c r="AT1537" t="s">
        <v>2410</v>
      </c>
      <c r="AW1537" t="s">
        <v>53</v>
      </c>
      <c r="AZ1537" t="s">
        <v>54</v>
      </c>
      <c r="BA1537" t="s">
        <v>7840</v>
      </c>
    </row>
    <row r="1538" spans="1:53" x14ac:dyDescent="0.25">
      <c r="A1538">
        <v>1533</v>
      </c>
      <c r="B1538" t="s">
        <v>8164</v>
      </c>
      <c r="C1538" t="s">
        <v>8165</v>
      </c>
      <c r="D1538" t="s">
        <v>6542</v>
      </c>
      <c r="E1538">
        <v>9</v>
      </c>
      <c r="F1538" t="s">
        <v>7831</v>
      </c>
      <c r="G1538" t="s">
        <v>8166</v>
      </c>
      <c r="H1538" t="s">
        <v>8167</v>
      </c>
      <c r="I1538" t="s">
        <v>8168</v>
      </c>
      <c r="J1538" t="s">
        <v>8168</v>
      </c>
      <c r="K1538" t="s">
        <v>8169</v>
      </c>
      <c r="L1538" t="s">
        <v>7894</v>
      </c>
      <c r="M1538">
        <v>924.57940673828125</v>
      </c>
      <c r="N1538" t="s">
        <v>54</v>
      </c>
      <c r="O1538" t="s">
        <v>53</v>
      </c>
      <c r="P1538" t="s">
        <v>54</v>
      </c>
      <c r="Q1538" t="s">
        <v>54</v>
      </c>
      <c r="R1538" t="s">
        <v>53</v>
      </c>
      <c r="S1538" t="s">
        <v>7838</v>
      </c>
      <c r="T1538" t="s">
        <v>8170</v>
      </c>
      <c r="U1538" t="s">
        <v>53</v>
      </c>
      <c r="V1538" t="s">
        <v>138</v>
      </c>
      <c r="W1538">
        <v>920000</v>
      </c>
      <c r="X1538" t="s">
        <v>54</v>
      </c>
      <c r="AA1538">
        <v>245</v>
      </c>
      <c r="AB1538">
        <v>104</v>
      </c>
      <c r="AC1538">
        <v>93</v>
      </c>
      <c r="AD1538">
        <v>123</v>
      </c>
      <c r="AE1538">
        <v>123</v>
      </c>
      <c r="AF1538">
        <v>0</v>
      </c>
      <c r="AG1538">
        <v>14</v>
      </c>
      <c r="AH1538">
        <v>55.430126190185547</v>
      </c>
      <c r="AI1538">
        <v>0</v>
      </c>
      <c r="AJ1538">
        <v>5509.60693359375</v>
      </c>
      <c r="AK1538" t="s">
        <v>53</v>
      </c>
      <c r="AL1538" t="s">
        <v>54</v>
      </c>
      <c r="AQ1538" t="s">
        <v>54</v>
      </c>
      <c r="AT1538" t="s">
        <v>2410</v>
      </c>
      <c r="AW1538" t="s">
        <v>53</v>
      </c>
      <c r="AZ1538" t="s">
        <v>54</v>
      </c>
      <c r="BA1538" t="s">
        <v>7840</v>
      </c>
    </row>
    <row r="1539" spans="1:53" x14ac:dyDescent="0.25">
      <c r="A1539">
        <v>1534</v>
      </c>
      <c r="B1539" t="s">
        <v>8171</v>
      </c>
      <c r="C1539" t="s">
        <v>8172</v>
      </c>
      <c r="D1539" t="s">
        <v>6542</v>
      </c>
      <c r="E1539">
        <v>9</v>
      </c>
      <c r="F1539" t="s">
        <v>7831</v>
      </c>
      <c r="G1539" t="s">
        <v>8173</v>
      </c>
      <c r="H1539" t="s">
        <v>8174</v>
      </c>
      <c r="I1539" t="s">
        <v>8175</v>
      </c>
      <c r="J1539" t="s">
        <v>8175</v>
      </c>
      <c r="K1539" t="s">
        <v>8176</v>
      </c>
      <c r="L1539" t="s">
        <v>7894</v>
      </c>
      <c r="M1539">
        <v>988.8865966796875</v>
      </c>
      <c r="N1539" t="s">
        <v>54</v>
      </c>
      <c r="O1539" t="s">
        <v>53</v>
      </c>
      <c r="P1539" t="s">
        <v>54</v>
      </c>
      <c r="Q1539" t="s">
        <v>53</v>
      </c>
      <c r="R1539" t="s">
        <v>53</v>
      </c>
      <c r="S1539" t="s">
        <v>490</v>
      </c>
      <c r="T1539" t="s">
        <v>8177</v>
      </c>
      <c r="U1539" t="s">
        <v>53</v>
      </c>
      <c r="V1539" t="s">
        <v>138</v>
      </c>
      <c r="W1539">
        <v>962000</v>
      </c>
      <c r="X1539" t="s">
        <v>54</v>
      </c>
      <c r="AA1539">
        <v>103</v>
      </c>
      <c r="AB1539">
        <v>52</v>
      </c>
      <c r="AC1539">
        <v>15</v>
      </c>
      <c r="AD1539">
        <v>77</v>
      </c>
      <c r="AE1539">
        <v>77</v>
      </c>
      <c r="AF1539">
        <v>0</v>
      </c>
      <c r="AG1539">
        <v>4</v>
      </c>
      <c r="AH1539">
        <v>23.619352340698239</v>
      </c>
      <c r="AI1539">
        <v>0</v>
      </c>
      <c r="AJ1539">
        <v>13016.5703125</v>
      </c>
      <c r="AK1539" t="s">
        <v>53</v>
      </c>
      <c r="AL1539" t="s">
        <v>54</v>
      </c>
      <c r="AQ1539" t="s">
        <v>54</v>
      </c>
      <c r="AT1539" t="s">
        <v>2410</v>
      </c>
      <c r="AW1539" t="s">
        <v>53</v>
      </c>
      <c r="AZ1539" t="s">
        <v>54</v>
      </c>
      <c r="BA1539" t="s">
        <v>7840</v>
      </c>
    </row>
    <row r="1540" spans="1:53" x14ac:dyDescent="0.25">
      <c r="A1540">
        <v>1535</v>
      </c>
      <c r="B1540" t="s">
        <v>8178</v>
      </c>
      <c r="C1540" t="s">
        <v>8179</v>
      </c>
      <c r="D1540" t="s">
        <v>7932</v>
      </c>
      <c r="E1540">
        <v>9</v>
      </c>
      <c r="F1540" t="s">
        <v>7831</v>
      </c>
      <c r="G1540" t="s">
        <v>8180</v>
      </c>
      <c r="H1540" t="s">
        <v>8181</v>
      </c>
      <c r="I1540" t="s">
        <v>8182</v>
      </c>
      <c r="J1540" t="s">
        <v>8182</v>
      </c>
      <c r="K1540" t="s">
        <v>8183</v>
      </c>
      <c r="L1540" t="s">
        <v>7894</v>
      </c>
      <c r="M1540">
        <v>2797.10546875</v>
      </c>
      <c r="N1540" t="s">
        <v>54</v>
      </c>
      <c r="O1540" t="s">
        <v>53</v>
      </c>
      <c r="P1540" t="s">
        <v>54</v>
      </c>
      <c r="Q1540" t="s">
        <v>53</v>
      </c>
      <c r="R1540" t="s">
        <v>53</v>
      </c>
      <c r="S1540" t="s">
        <v>8184</v>
      </c>
      <c r="T1540" t="s">
        <v>8185</v>
      </c>
      <c r="U1540" t="s">
        <v>53</v>
      </c>
      <c r="V1540" t="s">
        <v>138</v>
      </c>
      <c r="W1540">
        <v>985000</v>
      </c>
      <c r="X1540" t="s">
        <v>54</v>
      </c>
      <c r="AA1540">
        <v>0</v>
      </c>
      <c r="AB1540">
        <v>0</v>
      </c>
      <c r="AC1540">
        <v>0</v>
      </c>
      <c r="AD1540">
        <v>0</v>
      </c>
      <c r="AE1540">
        <v>0</v>
      </c>
      <c r="AF1540">
        <v>0</v>
      </c>
      <c r="AG1540">
        <v>0</v>
      </c>
      <c r="AH1540">
        <v>0.69559836387634277</v>
      </c>
      <c r="AI1540">
        <v>0</v>
      </c>
      <c r="AJ1540">
        <v>5.3485140800476074</v>
      </c>
      <c r="AK1540" t="s">
        <v>53</v>
      </c>
      <c r="AL1540" t="s">
        <v>54</v>
      </c>
      <c r="AQ1540" t="s">
        <v>54</v>
      </c>
      <c r="AT1540" t="s">
        <v>2410</v>
      </c>
      <c r="AW1540" t="s">
        <v>53</v>
      </c>
      <c r="AZ1540" t="s">
        <v>54</v>
      </c>
      <c r="BA1540" t="s">
        <v>7840</v>
      </c>
    </row>
    <row r="1541" spans="1:53" x14ac:dyDescent="0.25">
      <c r="A1541">
        <v>1536</v>
      </c>
      <c r="B1541" t="s">
        <v>8186</v>
      </c>
      <c r="C1541" t="s">
        <v>8187</v>
      </c>
      <c r="D1541" t="s">
        <v>6542</v>
      </c>
      <c r="E1541">
        <v>9</v>
      </c>
      <c r="F1541" t="s">
        <v>7831</v>
      </c>
      <c r="G1541" t="s">
        <v>6579</v>
      </c>
      <c r="H1541" t="s">
        <v>7989</v>
      </c>
      <c r="I1541" t="s">
        <v>7990</v>
      </c>
      <c r="J1541" t="s">
        <v>7990</v>
      </c>
      <c r="K1541" t="s">
        <v>7991</v>
      </c>
      <c r="L1541" t="s">
        <v>7894</v>
      </c>
      <c r="M1541">
        <v>898.81060791015625</v>
      </c>
      <c r="N1541" t="s">
        <v>54</v>
      </c>
      <c r="O1541" t="s">
        <v>53</v>
      </c>
      <c r="P1541" t="s">
        <v>54</v>
      </c>
      <c r="Q1541" t="s">
        <v>53</v>
      </c>
      <c r="R1541" t="s">
        <v>53</v>
      </c>
      <c r="S1541" t="s">
        <v>6560</v>
      </c>
      <c r="T1541" t="s">
        <v>7992</v>
      </c>
      <c r="U1541" t="s">
        <v>53</v>
      </c>
      <c r="V1541" t="s">
        <v>138</v>
      </c>
      <c r="W1541">
        <v>812000</v>
      </c>
      <c r="X1541" t="s">
        <v>54</v>
      </c>
      <c r="AA1541">
        <v>474</v>
      </c>
      <c r="AB1541">
        <v>9</v>
      </c>
      <c r="AC1541">
        <v>509</v>
      </c>
      <c r="AD1541">
        <v>763</v>
      </c>
      <c r="AE1541">
        <v>763</v>
      </c>
      <c r="AF1541">
        <v>0</v>
      </c>
      <c r="AG1541">
        <v>9</v>
      </c>
      <c r="AH1541">
        <v>537.865478515625</v>
      </c>
      <c r="AI1541">
        <v>0</v>
      </c>
      <c r="AJ1541">
        <v>81984.1015625</v>
      </c>
      <c r="AK1541" t="s">
        <v>53</v>
      </c>
      <c r="AL1541" t="s">
        <v>54</v>
      </c>
      <c r="AQ1541" t="s">
        <v>54</v>
      </c>
      <c r="AT1541" t="s">
        <v>2410</v>
      </c>
      <c r="AW1541" t="s">
        <v>53</v>
      </c>
      <c r="AZ1541" t="s">
        <v>54</v>
      </c>
      <c r="BA1541" t="s">
        <v>7840</v>
      </c>
    </row>
    <row r="1542" spans="1:53" x14ac:dyDescent="0.25">
      <c r="A1542">
        <v>1537</v>
      </c>
      <c r="B1542" t="s">
        <v>8188</v>
      </c>
      <c r="C1542" t="s">
        <v>8189</v>
      </c>
      <c r="D1542" t="s">
        <v>8190</v>
      </c>
      <c r="E1542">
        <v>9</v>
      </c>
      <c r="F1542" t="s">
        <v>7831</v>
      </c>
      <c r="G1542" t="s">
        <v>7909</v>
      </c>
      <c r="H1542" t="s">
        <v>7910</v>
      </c>
      <c r="I1542" t="s">
        <v>7911</v>
      </c>
      <c r="J1542" t="s">
        <v>7911</v>
      </c>
      <c r="K1542" t="s">
        <v>7913</v>
      </c>
      <c r="L1542" t="s">
        <v>7894</v>
      </c>
      <c r="M1542">
        <v>899.61016845703125</v>
      </c>
      <c r="N1542" t="s">
        <v>54</v>
      </c>
      <c r="O1542" t="s">
        <v>53</v>
      </c>
      <c r="P1542" t="s">
        <v>54</v>
      </c>
      <c r="Q1542" t="s">
        <v>53</v>
      </c>
      <c r="R1542" t="s">
        <v>53</v>
      </c>
      <c r="S1542" t="s">
        <v>7915</v>
      </c>
      <c r="T1542" t="s">
        <v>7916</v>
      </c>
      <c r="U1542" t="s">
        <v>53</v>
      </c>
      <c r="V1542" t="s">
        <v>138</v>
      </c>
      <c r="W1542">
        <v>857000</v>
      </c>
      <c r="X1542" t="s">
        <v>54</v>
      </c>
      <c r="AA1542">
        <v>13045</v>
      </c>
      <c r="AB1542">
        <v>10079</v>
      </c>
      <c r="AC1542">
        <v>31733</v>
      </c>
      <c r="AD1542">
        <v>28422</v>
      </c>
      <c r="AE1542">
        <v>31733</v>
      </c>
      <c r="AF1542">
        <v>13</v>
      </c>
      <c r="AG1542">
        <v>34</v>
      </c>
      <c r="AH1542">
        <v>306.46856689453119</v>
      </c>
      <c r="AI1542">
        <v>0</v>
      </c>
      <c r="AJ1542">
        <v>168.51422119140619</v>
      </c>
      <c r="AK1542" t="s">
        <v>53</v>
      </c>
      <c r="AL1542" t="s">
        <v>54</v>
      </c>
      <c r="AQ1542" t="s">
        <v>54</v>
      </c>
      <c r="AT1542" t="s">
        <v>2410</v>
      </c>
      <c r="AW1542" t="s">
        <v>53</v>
      </c>
      <c r="AZ1542" t="s">
        <v>54</v>
      </c>
      <c r="BA1542" t="s">
        <v>7840</v>
      </c>
    </row>
    <row r="1543" spans="1:53" x14ac:dyDescent="0.25">
      <c r="A1543">
        <v>1538</v>
      </c>
      <c r="B1543" t="s">
        <v>8191</v>
      </c>
      <c r="C1543" t="s">
        <v>8192</v>
      </c>
      <c r="D1543" t="s">
        <v>6542</v>
      </c>
      <c r="E1543">
        <v>9</v>
      </c>
      <c r="F1543" t="s">
        <v>7831</v>
      </c>
      <c r="G1543" t="s">
        <v>8193</v>
      </c>
      <c r="H1543" t="s">
        <v>8194</v>
      </c>
      <c r="I1543" t="s">
        <v>8195</v>
      </c>
      <c r="J1543" t="s">
        <v>8195</v>
      </c>
      <c r="K1543" t="s">
        <v>8196</v>
      </c>
      <c r="L1543" t="s">
        <v>7894</v>
      </c>
      <c r="M1543">
        <v>1047.458618164062</v>
      </c>
      <c r="N1543" t="s">
        <v>54</v>
      </c>
      <c r="O1543" t="s">
        <v>53</v>
      </c>
      <c r="P1543" t="s">
        <v>54</v>
      </c>
      <c r="Q1543" t="s">
        <v>53</v>
      </c>
      <c r="R1543" t="s">
        <v>53</v>
      </c>
      <c r="S1543" t="s">
        <v>8184</v>
      </c>
      <c r="T1543" t="s">
        <v>8197</v>
      </c>
      <c r="U1543" t="s">
        <v>53</v>
      </c>
      <c r="V1543" t="s">
        <v>138</v>
      </c>
      <c r="W1543">
        <v>962000</v>
      </c>
      <c r="X1543" t="s">
        <v>54</v>
      </c>
      <c r="AA1543">
        <v>354</v>
      </c>
      <c r="AB1543">
        <v>104</v>
      </c>
      <c r="AC1543">
        <v>132</v>
      </c>
      <c r="AD1543">
        <v>181</v>
      </c>
      <c r="AE1543">
        <v>181</v>
      </c>
      <c r="AF1543">
        <v>0</v>
      </c>
      <c r="AG1543">
        <v>8</v>
      </c>
      <c r="AH1543">
        <v>47.764579772949219</v>
      </c>
      <c r="AI1543">
        <v>0</v>
      </c>
      <c r="AJ1543">
        <v>2460.403564453125</v>
      </c>
      <c r="AK1543" t="s">
        <v>53</v>
      </c>
      <c r="AL1543" t="s">
        <v>54</v>
      </c>
      <c r="AQ1543" t="s">
        <v>54</v>
      </c>
      <c r="AT1543" t="s">
        <v>2410</v>
      </c>
      <c r="AW1543" t="s">
        <v>53</v>
      </c>
      <c r="AZ1543" t="s">
        <v>54</v>
      </c>
      <c r="BA1543" t="s">
        <v>7840</v>
      </c>
    </row>
    <row r="1544" spans="1:53" x14ac:dyDescent="0.25">
      <c r="A1544">
        <v>1539</v>
      </c>
      <c r="B1544" t="s">
        <v>8198</v>
      </c>
      <c r="C1544" t="s">
        <v>8199</v>
      </c>
      <c r="D1544" t="s">
        <v>6542</v>
      </c>
      <c r="E1544">
        <v>9</v>
      </c>
      <c r="F1544" t="s">
        <v>7831</v>
      </c>
      <c r="G1544" t="s">
        <v>8017</v>
      </c>
      <c r="H1544" t="s">
        <v>8018</v>
      </c>
      <c r="I1544" t="s">
        <v>8019</v>
      </c>
      <c r="J1544" t="s">
        <v>8019</v>
      </c>
      <c r="K1544" t="s">
        <v>8020</v>
      </c>
      <c r="L1544" t="s">
        <v>7894</v>
      </c>
      <c r="M1544">
        <v>1497.589233398438</v>
      </c>
      <c r="N1544" t="s">
        <v>54</v>
      </c>
      <c r="O1544" t="s">
        <v>53</v>
      </c>
      <c r="P1544" t="s">
        <v>54</v>
      </c>
      <c r="Q1544" t="s">
        <v>53</v>
      </c>
      <c r="R1544" t="s">
        <v>53</v>
      </c>
      <c r="S1544" t="s">
        <v>7915</v>
      </c>
      <c r="T1544" t="s">
        <v>8021</v>
      </c>
      <c r="U1544" t="s">
        <v>53</v>
      </c>
      <c r="V1544" t="s">
        <v>138</v>
      </c>
      <c r="W1544">
        <v>1272000</v>
      </c>
      <c r="X1544" t="s">
        <v>54</v>
      </c>
      <c r="AA1544">
        <v>1890</v>
      </c>
      <c r="AB1544">
        <v>814</v>
      </c>
      <c r="AC1544">
        <v>2018</v>
      </c>
      <c r="AD1544">
        <v>2654</v>
      </c>
      <c r="AE1544">
        <v>2654</v>
      </c>
      <c r="AF1544">
        <v>1</v>
      </c>
      <c r="AG1544">
        <v>5</v>
      </c>
      <c r="AH1544">
        <v>434.30465698242188</v>
      </c>
      <c r="AI1544">
        <v>0</v>
      </c>
      <c r="AJ1544">
        <v>147852.421875</v>
      </c>
      <c r="AK1544" t="s">
        <v>53</v>
      </c>
      <c r="AL1544" t="s">
        <v>54</v>
      </c>
      <c r="AQ1544" t="s">
        <v>54</v>
      </c>
      <c r="AT1544" t="s">
        <v>2410</v>
      </c>
      <c r="AW1544" t="s">
        <v>53</v>
      </c>
      <c r="AZ1544" t="s">
        <v>54</v>
      </c>
      <c r="BA1544" t="s">
        <v>7840</v>
      </c>
    </row>
    <row r="1545" spans="1:53" x14ac:dyDescent="0.25">
      <c r="A1545">
        <v>1540</v>
      </c>
      <c r="B1545" t="s">
        <v>8200</v>
      </c>
      <c r="C1545" t="s">
        <v>8201</v>
      </c>
      <c r="D1545" t="s">
        <v>6542</v>
      </c>
      <c r="E1545">
        <v>9</v>
      </c>
      <c r="F1545" t="s">
        <v>7831</v>
      </c>
      <c r="G1545" t="s">
        <v>8202</v>
      </c>
      <c r="H1545" t="s">
        <v>8203</v>
      </c>
      <c r="I1545" t="s">
        <v>8204</v>
      </c>
      <c r="J1545" t="s">
        <v>8204</v>
      </c>
      <c r="K1545" t="s">
        <v>8205</v>
      </c>
      <c r="L1545" t="s">
        <v>7894</v>
      </c>
      <c r="M1545">
        <v>897.15911865234375</v>
      </c>
      <c r="N1545" t="s">
        <v>54</v>
      </c>
      <c r="O1545" t="s">
        <v>53</v>
      </c>
      <c r="P1545" t="s">
        <v>54</v>
      </c>
      <c r="Q1545" t="s">
        <v>54</v>
      </c>
      <c r="R1545" t="s">
        <v>53</v>
      </c>
      <c r="S1545" t="s">
        <v>8206</v>
      </c>
      <c r="T1545" t="s">
        <v>8207</v>
      </c>
      <c r="U1545" t="s">
        <v>53</v>
      </c>
      <c r="V1545" t="s">
        <v>138</v>
      </c>
      <c r="W1545">
        <v>845000</v>
      </c>
      <c r="X1545" t="s">
        <v>54</v>
      </c>
      <c r="AA1545">
        <v>141</v>
      </c>
      <c r="AB1545">
        <v>3</v>
      </c>
      <c r="AC1545">
        <v>36</v>
      </c>
      <c r="AD1545">
        <v>74</v>
      </c>
      <c r="AE1545">
        <v>74</v>
      </c>
      <c r="AF1545">
        <v>0</v>
      </c>
      <c r="AG1545">
        <v>0</v>
      </c>
      <c r="AH1545">
        <v>33.758129119873047</v>
      </c>
      <c r="AI1545">
        <v>0</v>
      </c>
      <c r="AJ1545">
        <v>26320.958984375</v>
      </c>
      <c r="AK1545" t="s">
        <v>53</v>
      </c>
      <c r="AL1545" t="s">
        <v>54</v>
      </c>
      <c r="AQ1545" t="s">
        <v>54</v>
      </c>
      <c r="AT1545" t="s">
        <v>2410</v>
      </c>
      <c r="AW1545" t="s">
        <v>53</v>
      </c>
      <c r="AZ1545" t="s">
        <v>54</v>
      </c>
      <c r="BA1545" t="s">
        <v>7840</v>
      </c>
    </row>
    <row r="1546" spans="1:53" x14ac:dyDescent="0.25">
      <c r="A1546">
        <v>1541</v>
      </c>
      <c r="B1546" t="s">
        <v>8208</v>
      </c>
      <c r="C1546" t="s">
        <v>8209</v>
      </c>
      <c r="D1546" t="s">
        <v>7932</v>
      </c>
      <c r="E1546">
        <v>9</v>
      </c>
      <c r="F1546" t="s">
        <v>7831</v>
      </c>
      <c r="G1546" t="s">
        <v>8040</v>
      </c>
      <c r="H1546" t="s">
        <v>8041</v>
      </c>
      <c r="I1546" t="s">
        <v>8042</v>
      </c>
      <c r="J1546" t="s">
        <v>8042</v>
      </c>
      <c r="K1546" t="s">
        <v>8043</v>
      </c>
      <c r="L1546" t="s">
        <v>7894</v>
      </c>
      <c r="M1546">
        <v>900.69976806640625</v>
      </c>
      <c r="N1546" t="s">
        <v>54</v>
      </c>
      <c r="O1546" t="s">
        <v>53</v>
      </c>
      <c r="P1546" t="s">
        <v>54</v>
      </c>
      <c r="Q1546" t="s">
        <v>54</v>
      </c>
      <c r="R1546" t="s">
        <v>53</v>
      </c>
      <c r="S1546" t="s">
        <v>6560</v>
      </c>
      <c r="T1546" t="s">
        <v>8044</v>
      </c>
      <c r="U1546" t="s">
        <v>53</v>
      </c>
      <c r="V1546" t="s">
        <v>138</v>
      </c>
      <c r="W1546">
        <v>896000</v>
      </c>
      <c r="X1546" t="s">
        <v>54</v>
      </c>
      <c r="AA1546">
        <v>1372</v>
      </c>
      <c r="AB1546">
        <v>662</v>
      </c>
      <c r="AC1546">
        <v>4038</v>
      </c>
      <c r="AD1546">
        <v>1761</v>
      </c>
      <c r="AE1546">
        <v>4038</v>
      </c>
      <c r="AF1546">
        <v>2</v>
      </c>
      <c r="AG1546">
        <v>20</v>
      </c>
      <c r="AH1546">
        <v>196.11773681640619</v>
      </c>
      <c r="AI1546">
        <v>0</v>
      </c>
      <c r="AJ1546">
        <v>37027.92578125</v>
      </c>
      <c r="AK1546" t="s">
        <v>53</v>
      </c>
      <c r="AL1546" t="s">
        <v>54</v>
      </c>
      <c r="AQ1546" t="s">
        <v>54</v>
      </c>
      <c r="AT1546" t="s">
        <v>2410</v>
      </c>
      <c r="AW1546" t="s">
        <v>53</v>
      </c>
      <c r="AZ1546" t="s">
        <v>54</v>
      </c>
      <c r="BA1546" t="s">
        <v>7840</v>
      </c>
    </row>
    <row r="1547" spans="1:53" x14ac:dyDescent="0.25">
      <c r="A1547">
        <v>1542</v>
      </c>
      <c r="B1547" t="s">
        <v>8210</v>
      </c>
      <c r="C1547" t="s">
        <v>8211</v>
      </c>
      <c r="D1547" t="s">
        <v>6542</v>
      </c>
      <c r="E1547">
        <v>9</v>
      </c>
      <c r="F1547" t="s">
        <v>7831</v>
      </c>
      <c r="G1547" t="s">
        <v>8212</v>
      </c>
      <c r="H1547" t="s">
        <v>8213</v>
      </c>
      <c r="I1547" t="s">
        <v>8214</v>
      </c>
      <c r="J1547" t="s">
        <v>8215</v>
      </c>
      <c r="K1547" t="s">
        <v>8216</v>
      </c>
      <c r="L1547" t="s">
        <v>7894</v>
      </c>
      <c r="M1547">
        <v>2.3781611919403081</v>
      </c>
      <c r="N1547" t="s">
        <v>54</v>
      </c>
      <c r="O1547" t="s">
        <v>53</v>
      </c>
      <c r="P1547" t="s">
        <v>54</v>
      </c>
      <c r="Q1547" t="s">
        <v>53</v>
      </c>
      <c r="R1547" t="s">
        <v>53</v>
      </c>
      <c r="S1547" t="s">
        <v>8217</v>
      </c>
      <c r="T1547" t="s">
        <v>8217</v>
      </c>
      <c r="U1547" t="s">
        <v>53</v>
      </c>
      <c r="V1547" t="s">
        <v>138</v>
      </c>
      <c r="W1547">
        <v>31000</v>
      </c>
      <c r="X1547" t="s">
        <v>54</v>
      </c>
      <c r="AA1547">
        <v>75</v>
      </c>
      <c r="AB1547">
        <v>53</v>
      </c>
      <c r="AC1547">
        <v>110</v>
      </c>
      <c r="AD1547">
        <v>81</v>
      </c>
      <c r="AE1547">
        <v>110</v>
      </c>
      <c r="AF1547">
        <v>0</v>
      </c>
      <c r="AG1547">
        <v>2</v>
      </c>
      <c r="AH1547">
        <v>2.3713705539703369</v>
      </c>
      <c r="AI1547">
        <v>0</v>
      </c>
      <c r="AJ1547">
        <v>5.1941280364990234</v>
      </c>
      <c r="AK1547" t="s">
        <v>53</v>
      </c>
      <c r="AL1547" t="s">
        <v>54</v>
      </c>
      <c r="AQ1547" t="s">
        <v>54</v>
      </c>
      <c r="AT1547" t="s">
        <v>2410</v>
      </c>
      <c r="AW1547" t="s">
        <v>53</v>
      </c>
      <c r="AZ1547" t="s">
        <v>54</v>
      </c>
      <c r="BA1547" t="s">
        <v>7840</v>
      </c>
    </row>
    <row r="1548" spans="1:53" x14ac:dyDescent="0.25">
      <c r="A1548">
        <v>1543</v>
      </c>
      <c r="B1548" t="s">
        <v>8218</v>
      </c>
      <c r="C1548" t="s">
        <v>8219</v>
      </c>
      <c r="D1548" t="s">
        <v>6542</v>
      </c>
      <c r="E1548">
        <v>9</v>
      </c>
      <c r="F1548" t="s">
        <v>7831</v>
      </c>
      <c r="G1548" t="s">
        <v>8212</v>
      </c>
      <c r="H1548" t="s">
        <v>8213</v>
      </c>
      <c r="I1548" t="s">
        <v>8220</v>
      </c>
      <c r="J1548" t="s">
        <v>8220</v>
      </c>
      <c r="K1548" t="s">
        <v>8221</v>
      </c>
      <c r="L1548" t="s">
        <v>7894</v>
      </c>
      <c r="M1548">
        <v>1170.904541015625</v>
      </c>
      <c r="N1548" t="s">
        <v>54</v>
      </c>
      <c r="O1548" t="s">
        <v>53</v>
      </c>
      <c r="P1548" t="s">
        <v>54</v>
      </c>
      <c r="Q1548" t="s">
        <v>53</v>
      </c>
      <c r="R1548" t="s">
        <v>53</v>
      </c>
      <c r="S1548" t="s">
        <v>8206</v>
      </c>
      <c r="T1548" t="s">
        <v>8206</v>
      </c>
      <c r="U1548" t="s">
        <v>53</v>
      </c>
      <c r="V1548" t="s">
        <v>138</v>
      </c>
      <c r="W1548">
        <v>998000</v>
      </c>
      <c r="X1548" t="s">
        <v>54</v>
      </c>
      <c r="AA1548">
        <v>161</v>
      </c>
      <c r="AB1548">
        <v>79</v>
      </c>
      <c r="AC1548">
        <v>150</v>
      </c>
      <c r="AD1548">
        <v>167</v>
      </c>
      <c r="AE1548">
        <v>167</v>
      </c>
      <c r="AF1548">
        <v>0</v>
      </c>
      <c r="AG1548">
        <v>2</v>
      </c>
      <c r="AH1548">
        <v>38.913166046142578</v>
      </c>
      <c r="AI1548">
        <v>0</v>
      </c>
      <c r="AJ1548">
        <v>15439.3671875</v>
      </c>
      <c r="AK1548" t="s">
        <v>53</v>
      </c>
      <c r="AL1548" t="s">
        <v>54</v>
      </c>
      <c r="AQ1548" t="s">
        <v>54</v>
      </c>
      <c r="AT1548" t="s">
        <v>2410</v>
      </c>
      <c r="AW1548" t="s">
        <v>53</v>
      </c>
      <c r="AZ1548" t="s">
        <v>54</v>
      </c>
      <c r="BA1548" t="s">
        <v>7840</v>
      </c>
    </row>
    <row r="1549" spans="1:53" x14ac:dyDescent="0.25">
      <c r="A1549">
        <v>1544</v>
      </c>
      <c r="B1549" t="s">
        <v>8222</v>
      </c>
      <c r="C1549" t="s">
        <v>8223</v>
      </c>
      <c r="D1549" t="s">
        <v>6542</v>
      </c>
      <c r="E1549">
        <v>9</v>
      </c>
      <c r="F1549" t="s">
        <v>7831</v>
      </c>
      <c r="G1549" t="s">
        <v>8100</v>
      </c>
      <c r="H1549" t="s">
        <v>8224</v>
      </c>
      <c r="I1549" t="s">
        <v>8225</v>
      </c>
      <c r="J1549" t="s">
        <v>8225</v>
      </c>
      <c r="K1549" t="s">
        <v>8221</v>
      </c>
      <c r="L1549" t="s">
        <v>7894</v>
      </c>
      <c r="M1549">
        <v>1051.79541015625</v>
      </c>
      <c r="N1549" t="s">
        <v>54</v>
      </c>
      <c r="O1549" t="s">
        <v>53</v>
      </c>
      <c r="P1549" t="s">
        <v>54</v>
      </c>
      <c r="Q1549" t="s">
        <v>53</v>
      </c>
      <c r="R1549" t="s">
        <v>53</v>
      </c>
      <c r="S1549" t="s">
        <v>8104</v>
      </c>
      <c r="T1549" t="s">
        <v>8104</v>
      </c>
      <c r="U1549" t="s">
        <v>53</v>
      </c>
      <c r="V1549" t="s">
        <v>138</v>
      </c>
      <c r="W1549">
        <v>1047000</v>
      </c>
      <c r="X1549" t="s">
        <v>54</v>
      </c>
      <c r="AA1549">
        <v>164</v>
      </c>
      <c r="AB1549">
        <v>41</v>
      </c>
      <c r="AC1549">
        <v>172</v>
      </c>
      <c r="AD1549">
        <v>179</v>
      </c>
      <c r="AE1549">
        <v>179</v>
      </c>
      <c r="AF1549">
        <v>1</v>
      </c>
      <c r="AG1549">
        <v>18</v>
      </c>
      <c r="AH1549">
        <v>124.6897811889648</v>
      </c>
      <c r="AI1549">
        <v>0</v>
      </c>
      <c r="AJ1549">
        <v>39553.1328125</v>
      </c>
      <c r="AK1549" t="s">
        <v>53</v>
      </c>
      <c r="AL1549" t="s">
        <v>54</v>
      </c>
      <c r="AQ1549" t="s">
        <v>54</v>
      </c>
      <c r="AT1549" t="s">
        <v>2410</v>
      </c>
      <c r="AW1549" t="s">
        <v>53</v>
      </c>
      <c r="AZ1549" t="s">
        <v>54</v>
      </c>
      <c r="BA1549" t="s">
        <v>7840</v>
      </c>
    </row>
    <row r="1550" spans="1:53" x14ac:dyDescent="0.25">
      <c r="A1550">
        <v>1545</v>
      </c>
      <c r="B1550" t="s">
        <v>8226</v>
      </c>
      <c r="C1550" t="s">
        <v>8227</v>
      </c>
      <c r="D1550" t="s">
        <v>7947</v>
      </c>
      <c r="E1550">
        <v>9</v>
      </c>
      <c r="F1550" t="s">
        <v>7831</v>
      </c>
      <c r="G1550" t="s">
        <v>6611</v>
      </c>
      <c r="H1550" t="s">
        <v>8028</v>
      </c>
      <c r="I1550" t="s">
        <v>8029</v>
      </c>
      <c r="J1550" t="s">
        <v>8029</v>
      </c>
      <c r="K1550" t="s">
        <v>8031</v>
      </c>
      <c r="L1550" t="s">
        <v>7894</v>
      </c>
      <c r="M1550">
        <v>915.6199951171875</v>
      </c>
      <c r="N1550" t="s">
        <v>54</v>
      </c>
      <c r="O1550" t="s">
        <v>53</v>
      </c>
      <c r="P1550" t="s">
        <v>54</v>
      </c>
      <c r="Q1550" t="s">
        <v>53</v>
      </c>
      <c r="R1550" t="s">
        <v>53</v>
      </c>
      <c r="S1550" t="s">
        <v>6616</v>
      </c>
      <c r="T1550" t="s">
        <v>6616</v>
      </c>
      <c r="U1550" t="s">
        <v>53</v>
      </c>
      <c r="V1550" t="s">
        <v>138</v>
      </c>
      <c r="W1550">
        <v>955000</v>
      </c>
      <c r="X1550" t="s">
        <v>54</v>
      </c>
      <c r="AA1550">
        <v>70</v>
      </c>
      <c r="AB1550">
        <v>51</v>
      </c>
      <c r="AC1550">
        <v>4</v>
      </c>
      <c r="AD1550">
        <v>46</v>
      </c>
      <c r="AE1550">
        <v>46</v>
      </c>
      <c r="AF1550">
        <v>0</v>
      </c>
      <c r="AG1550">
        <v>10</v>
      </c>
      <c r="AH1550">
        <v>17.8416633605957</v>
      </c>
      <c r="AI1550">
        <v>0</v>
      </c>
      <c r="AJ1550">
        <v>3752.04443359375</v>
      </c>
      <c r="AK1550" t="s">
        <v>53</v>
      </c>
      <c r="AL1550" t="s">
        <v>54</v>
      </c>
      <c r="AQ1550" t="s">
        <v>54</v>
      </c>
      <c r="AT1550" t="s">
        <v>2410</v>
      </c>
      <c r="AW1550" t="s">
        <v>53</v>
      </c>
      <c r="AZ1550" t="s">
        <v>54</v>
      </c>
      <c r="BA1550" t="s">
        <v>7840</v>
      </c>
    </row>
    <row r="1551" spans="1:53" x14ac:dyDescent="0.25">
      <c r="A1551">
        <v>1546</v>
      </c>
      <c r="B1551" t="s">
        <v>8228</v>
      </c>
      <c r="C1551" t="s">
        <v>8229</v>
      </c>
      <c r="D1551" t="s">
        <v>6542</v>
      </c>
      <c r="E1551">
        <v>9</v>
      </c>
      <c r="F1551" t="s">
        <v>7831</v>
      </c>
      <c r="G1551" t="s">
        <v>8230</v>
      </c>
      <c r="H1551" t="s">
        <v>8231</v>
      </c>
      <c r="I1551" t="s">
        <v>8232</v>
      </c>
      <c r="J1551" t="s">
        <v>8233</v>
      </c>
      <c r="K1551" t="s">
        <v>8234</v>
      </c>
      <c r="L1551" t="s">
        <v>7894</v>
      </c>
      <c r="M1551">
        <v>1235.946533203125</v>
      </c>
      <c r="N1551" t="s">
        <v>54</v>
      </c>
      <c r="O1551" t="s">
        <v>53</v>
      </c>
      <c r="P1551" t="s">
        <v>54</v>
      </c>
      <c r="Q1551" t="s">
        <v>53</v>
      </c>
      <c r="R1551" t="s">
        <v>53</v>
      </c>
      <c r="S1551" t="s">
        <v>8235</v>
      </c>
      <c r="T1551" t="s">
        <v>8235</v>
      </c>
      <c r="U1551" t="s">
        <v>53</v>
      </c>
      <c r="V1551" t="s">
        <v>138</v>
      </c>
      <c r="W1551">
        <v>1080000</v>
      </c>
      <c r="X1551" t="s">
        <v>54</v>
      </c>
      <c r="AA1551">
        <v>41</v>
      </c>
      <c r="AB1551">
        <v>16</v>
      </c>
      <c r="AC1551">
        <v>23</v>
      </c>
      <c r="AD1551">
        <v>10</v>
      </c>
      <c r="AE1551">
        <v>23</v>
      </c>
      <c r="AF1551">
        <v>0</v>
      </c>
      <c r="AG1551">
        <v>1</v>
      </c>
      <c r="AH1551">
        <v>34.071346282958977</v>
      </c>
      <c r="AI1551">
        <v>0</v>
      </c>
      <c r="AJ1551">
        <v>6457.232421875</v>
      </c>
      <c r="AK1551" t="s">
        <v>53</v>
      </c>
      <c r="AL1551" t="s">
        <v>54</v>
      </c>
      <c r="AQ1551" t="s">
        <v>54</v>
      </c>
      <c r="AT1551" t="s">
        <v>2410</v>
      </c>
      <c r="AW1551" t="s">
        <v>53</v>
      </c>
      <c r="AZ1551" t="s">
        <v>54</v>
      </c>
      <c r="BA1551" t="s">
        <v>7840</v>
      </c>
    </row>
    <row r="1552" spans="1:53" x14ac:dyDescent="0.25">
      <c r="A1552">
        <v>1547</v>
      </c>
      <c r="B1552" t="s">
        <v>8236</v>
      </c>
      <c r="C1552" t="s">
        <v>8237</v>
      </c>
      <c r="D1552" t="s">
        <v>7988</v>
      </c>
      <c r="E1552">
        <v>9</v>
      </c>
      <c r="F1552" t="s">
        <v>7831</v>
      </c>
      <c r="G1552" t="s">
        <v>8166</v>
      </c>
      <c r="H1552" t="s">
        <v>8167</v>
      </c>
      <c r="I1552" t="s">
        <v>8238</v>
      </c>
      <c r="J1552" t="s">
        <v>8238</v>
      </c>
      <c r="K1552" t="s">
        <v>8221</v>
      </c>
      <c r="L1552" t="s">
        <v>7894</v>
      </c>
      <c r="M1552">
        <v>924.57940673828125</v>
      </c>
      <c r="N1552" t="s">
        <v>54</v>
      </c>
      <c r="O1552" t="s">
        <v>53</v>
      </c>
      <c r="P1552" t="s">
        <v>54</v>
      </c>
      <c r="Q1552" t="s">
        <v>54</v>
      </c>
      <c r="R1552" t="s">
        <v>53</v>
      </c>
      <c r="S1552" t="s">
        <v>8096</v>
      </c>
      <c r="T1552" t="s">
        <v>8096</v>
      </c>
      <c r="U1552" t="s">
        <v>53</v>
      </c>
      <c r="V1552" t="s">
        <v>138</v>
      </c>
      <c r="W1552">
        <v>500000</v>
      </c>
      <c r="X1552" t="s">
        <v>54</v>
      </c>
      <c r="AA1552">
        <v>245</v>
      </c>
      <c r="AB1552">
        <v>104</v>
      </c>
      <c r="AC1552">
        <v>93</v>
      </c>
      <c r="AD1552">
        <v>123</v>
      </c>
      <c r="AE1552">
        <v>123</v>
      </c>
      <c r="AF1552">
        <v>0</v>
      </c>
      <c r="AG1552">
        <v>14</v>
      </c>
      <c r="AH1552">
        <v>55.430126190185547</v>
      </c>
      <c r="AI1552">
        <v>0</v>
      </c>
      <c r="AJ1552">
        <v>5509.60693359375</v>
      </c>
      <c r="AK1552" t="s">
        <v>53</v>
      </c>
      <c r="AL1552" t="s">
        <v>54</v>
      </c>
      <c r="AQ1552" t="s">
        <v>54</v>
      </c>
      <c r="AT1552" t="s">
        <v>2410</v>
      </c>
      <c r="AW1552" t="s">
        <v>53</v>
      </c>
      <c r="AZ1552" t="s">
        <v>54</v>
      </c>
      <c r="BA1552" t="s">
        <v>7840</v>
      </c>
    </row>
    <row r="1553" spans="1:53" x14ac:dyDescent="0.25">
      <c r="A1553">
        <v>1548</v>
      </c>
      <c r="B1553" t="s">
        <v>8239</v>
      </c>
      <c r="C1553" t="s">
        <v>8240</v>
      </c>
      <c r="D1553" t="s">
        <v>6518</v>
      </c>
      <c r="E1553">
        <v>9</v>
      </c>
      <c r="F1553" t="s">
        <v>7831</v>
      </c>
      <c r="G1553" t="s">
        <v>8166</v>
      </c>
      <c r="H1553" t="s">
        <v>8167</v>
      </c>
      <c r="I1553" t="s">
        <v>8238</v>
      </c>
      <c r="J1553" t="s">
        <v>8238</v>
      </c>
      <c r="K1553" t="s">
        <v>8221</v>
      </c>
      <c r="L1553" t="s">
        <v>7894</v>
      </c>
      <c r="M1553">
        <v>924.57940673828125</v>
      </c>
      <c r="N1553" t="s">
        <v>54</v>
      </c>
      <c r="O1553" t="s">
        <v>53</v>
      </c>
      <c r="P1553" t="s">
        <v>54</v>
      </c>
      <c r="Q1553" t="s">
        <v>54</v>
      </c>
      <c r="R1553" t="s">
        <v>53</v>
      </c>
      <c r="S1553" t="s">
        <v>8096</v>
      </c>
      <c r="T1553" t="s">
        <v>8096</v>
      </c>
      <c r="U1553" t="s">
        <v>53</v>
      </c>
      <c r="V1553" t="s">
        <v>1973</v>
      </c>
      <c r="W1553">
        <v>100000</v>
      </c>
      <c r="X1553" t="s">
        <v>54</v>
      </c>
      <c r="AA1553">
        <v>245</v>
      </c>
      <c r="AB1553">
        <v>104</v>
      </c>
      <c r="AC1553">
        <v>93</v>
      </c>
      <c r="AD1553">
        <v>123</v>
      </c>
      <c r="AE1553">
        <v>123</v>
      </c>
      <c r="AF1553">
        <v>0</v>
      </c>
      <c r="AG1553">
        <v>14</v>
      </c>
      <c r="AH1553">
        <v>55.430126190185547</v>
      </c>
      <c r="AI1553">
        <v>0</v>
      </c>
      <c r="AJ1553">
        <v>5509.60693359375</v>
      </c>
      <c r="AK1553" t="s">
        <v>53</v>
      </c>
      <c r="AL1553" t="s">
        <v>54</v>
      </c>
      <c r="AQ1553" t="s">
        <v>54</v>
      </c>
      <c r="AT1553" t="s">
        <v>2410</v>
      </c>
      <c r="AW1553" t="s">
        <v>53</v>
      </c>
      <c r="AZ1553" t="s">
        <v>54</v>
      </c>
      <c r="BA1553" t="s">
        <v>7840</v>
      </c>
    </row>
    <row r="1554" spans="1:53" x14ac:dyDescent="0.25">
      <c r="A1554">
        <v>1549</v>
      </c>
      <c r="B1554" t="s">
        <v>8241</v>
      </c>
      <c r="C1554" t="s">
        <v>8242</v>
      </c>
      <c r="D1554" t="s">
        <v>7988</v>
      </c>
      <c r="E1554">
        <v>9</v>
      </c>
      <c r="F1554" t="s">
        <v>7831</v>
      </c>
      <c r="G1554" t="s">
        <v>8173</v>
      </c>
      <c r="H1554" t="s">
        <v>8243</v>
      </c>
      <c r="I1554" t="s">
        <v>8244</v>
      </c>
      <c r="J1554" t="s">
        <v>8245</v>
      </c>
      <c r="K1554" t="s">
        <v>8221</v>
      </c>
      <c r="L1554" t="s">
        <v>7894</v>
      </c>
      <c r="M1554">
        <v>988.8865966796875</v>
      </c>
      <c r="N1554" t="s">
        <v>54</v>
      </c>
      <c r="O1554" t="s">
        <v>53</v>
      </c>
      <c r="P1554" t="s">
        <v>54</v>
      </c>
      <c r="Q1554" t="s">
        <v>53</v>
      </c>
      <c r="R1554" t="s">
        <v>53</v>
      </c>
      <c r="S1554" t="s">
        <v>8246</v>
      </c>
      <c r="T1554" t="s">
        <v>8246</v>
      </c>
      <c r="U1554" t="s">
        <v>53</v>
      </c>
      <c r="V1554" t="s">
        <v>138</v>
      </c>
      <c r="W1554">
        <v>500000</v>
      </c>
      <c r="X1554" t="s">
        <v>54</v>
      </c>
      <c r="AA1554">
        <v>103</v>
      </c>
      <c r="AB1554">
        <v>52</v>
      </c>
      <c r="AC1554">
        <v>15</v>
      </c>
      <c r="AD1554">
        <v>77</v>
      </c>
      <c r="AE1554">
        <v>77</v>
      </c>
      <c r="AF1554">
        <v>0</v>
      </c>
      <c r="AG1554">
        <v>4</v>
      </c>
      <c r="AH1554">
        <v>23.619352340698239</v>
      </c>
      <c r="AI1554">
        <v>0</v>
      </c>
      <c r="AJ1554">
        <v>13016.5703125</v>
      </c>
      <c r="AK1554" t="s">
        <v>53</v>
      </c>
      <c r="AL1554" t="s">
        <v>54</v>
      </c>
      <c r="AQ1554" t="s">
        <v>54</v>
      </c>
      <c r="AT1554" t="s">
        <v>2410</v>
      </c>
      <c r="AW1554" t="s">
        <v>53</v>
      </c>
      <c r="AZ1554" t="s">
        <v>54</v>
      </c>
      <c r="BA1554" t="s">
        <v>7840</v>
      </c>
    </row>
    <row r="1555" spans="1:53" x14ac:dyDescent="0.25">
      <c r="A1555">
        <v>1550</v>
      </c>
      <c r="B1555" t="s">
        <v>8247</v>
      </c>
      <c r="C1555" t="s">
        <v>8248</v>
      </c>
      <c r="D1555" t="s">
        <v>6518</v>
      </c>
      <c r="E1555">
        <v>9</v>
      </c>
      <c r="F1555" t="s">
        <v>7831</v>
      </c>
      <c r="G1555" t="s">
        <v>8173</v>
      </c>
      <c r="H1555" t="s">
        <v>8243</v>
      </c>
      <c r="I1555" t="s">
        <v>8244</v>
      </c>
      <c r="J1555" t="s">
        <v>8245</v>
      </c>
      <c r="K1555" t="s">
        <v>8221</v>
      </c>
      <c r="L1555" t="s">
        <v>7894</v>
      </c>
      <c r="M1555">
        <v>988.8865966796875</v>
      </c>
      <c r="N1555" t="s">
        <v>54</v>
      </c>
      <c r="O1555" t="s">
        <v>53</v>
      </c>
      <c r="P1555" t="s">
        <v>54</v>
      </c>
      <c r="Q1555" t="s">
        <v>53</v>
      </c>
      <c r="R1555" t="s">
        <v>53</v>
      </c>
      <c r="S1555" t="s">
        <v>8246</v>
      </c>
      <c r="T1555" t="s">
        <v>8246</v>
      </c>
      <c r="U1555" t="s">
        <v>53</v>
      </c>
      <c r="V1555" t="s">
        <v>1973</v>
      </c>
      <c r="W1555">
        <v>100000</v>
      </c>
      <c r="X1555" t="s">
        <v>54</v>
      </c>
      <c r="AA1555">
        <v>103</v>
      </c>
      <c r="AB1555">
        <v>52</v>
      </c>
      <c r="AC1555">
        <v>15</v>
      </c>
      <c r="AD1555">
        <v>77</v>
      </c>
      <c r="AE1555">
        <v>77</v>
      </c>
      <c r="AF1555">
        <v>0</v>
      </c>
      <c r="AG1555">
        <v>4</v>
      </c>
      <c r="AH1555">
        <v>23.619352340698239</v>
      </c>
      <c r="AI1555">
        <v>0</v>
      </c>
      <c r="AJ1555">
        <v>13016.5703125</v>
      </c>
      <c r="AK1555" t="s">
        <v>53</v>
      </c>
      <c r="AL1555" t="s">
        <v>54</v>
      </c>
      <c r="AQ1555" t="s">
        <v>54</v>
      </c>
      <c r="AT1555" t="s">
        <v>2410</v>
      </c>
      <c r="AW1555" t="s">
        <v>53</v>
      </c>
      <c r="AZ1555" t="s">
        <v>54</v>
      </c>
      <c r="BA1555" t="s">
        <v>7840</v>
      </c>
    </row>
    <row r="1556" spans="1:53" x14ac:dyDescent="0.25">
      <c r="A1556">
        <v>1551</v>
      </c>
      <c r="B1556" t="s">
        <v>8249</v>
      </c>
      <c r="C1556" t="s">
        <v>8250</v>
      </c>
      <c r="D1556" t="s">
        <v>7988</v>
      </c>
      <c r="E1556">
        <v>9</v>
      </c>
      <c r="F1556" t="s">
        <v>7831</v>
      </c>
      <c r="G1556" t="s">
        <v>8180</v>
      </c>
      <c r="H1556" t="s">
        <v>8194</v>
      </c>
      <c r="I1556" t="s">
        <v>8251</v>
      </c>
      <c r="J1556" t="s">
        <v>8252</v>
      </c>
      <c r="K1556" t="s">
        <v>8253</v>
      </c>
      <c r="L1556" t="s">
        <v>7894</v>
      </c>
      <c r="M1556">
        <v>2797.10546875</v>
      </c>
      <c r="N1556" t="s">
        <v>54</v>
      </c>
      <c r="O1556" t="s">
        <v>53</v>
      </c>
      <c r="P1556" t="s">
        <v>54</v>
      </c>
      <c r="Q1556" t="s">
        <v>53</v>
      </c>
      <c r="R1556" t="s">
        <v>53</v>
      </c>
      <c r="S1556" t="s">
        <v>8254</v>
      </c>
      <c r="T1556" t="s">
        <v>8254</v>
      </c>
      <c r="U1556" t="s">
        <v>53</v>
      </c>
      <c r="V1556" t="s">
        <v>138</v>
      </c>
      <c r="W1556">
        <v>500000</v>
      </c>
      <c r="X1556" t="s">
        <v>54</v>
      </c>
      <c r="AA1556">
        <v>0</v>
      </c>
      <c r="AB1556">
        <v>0</v>
      </c>
      <c r="AC1556">
        <v>0</v>
      </c>
      <c r="AD1556">
        <v>0</v>
      </c>
      <c r="AE1556">
        <v>0</v>
      </c>
      <c r="AF1556">
        <v>0</v>
      </c>
      <c r="AG1556">
        <v>0</v>
      </c>
      <c r="AH1556">
        <v>0.69559836387634277</v>
      </c>
      <c r="AI1556">
        <v>0</v>
      </c>
      <c r="AJ1556">
        <v>5.3485140800476074</v>
      </c>
      <c r="AK1556" t="s">
        <v>53</v>
      </c>
      <c r="AL1556" t="s">
        <v>54</v>
      </c>
      <c r="AQ1556" t="s">
        <v>54</v>
      </c>
      <c r="AT1556" t="s">
        <v>2410</v>
      </c>
      <c r="AW1556" t="s">
        <v>53</v>
      </c>
      <c r="AZ1556" t="s">
        <v>54</v>
      </c>
      <c r="BA1556" t="s">
        <v>7840</v>
      </c>
    </row>
    <row r="1557" spans="1:53" x14ac:dyDescent="0.25">
      <c r="A1557">
        <v>1552</v>
      </c>
      <c r="B1557" t="s">
        <v>8255</v>
      </c>
      <c r="C1557" t="s">
        <v>8256</v>
      </c>
      <c r="D1557" t="s">
        <v>6518</v>
      </c>
      <c r="E1557">
        <v>9</v>
      </c>
      <c r="F1557" t="s">
        <v>7831</v>
      </c>
      <c r="G1557" t="s">
        <v>8180</v>
      </c>
      <c r="H1557" t="s">
        <v>8194</v>
      </c>
      <c r="I1557" t="s">
        <v>8251</v>
      </c>
      <c r="J1557" t="s">
        <v>8252</v>
      </c>
      <c r="K1557" t="s">
        <v>8253</v>
      </c>
      <c r="L1557" t="s">
        <v>7894</v>
      </c>
      <c r="M1557">
        <v>2797.10546875</v>
      </c>
      <c r="N1557" t="s">
        <v>54</v>
      </c>
      <c r="O1557" t="s">
        <v>53</v>
      </c>
      <c r="P1557" t="s">
        <v>54</v>
      </c>
      <c r="Q1557" t="s">
        <v>53</v>
      </c>
      <c r="R1557" t="s">
        <v>53</v>
      </c>
      <c r="S1557" t="s">
        <v>8254</v>
      </c>
      <c r="T1557" t="s">
        <v>8254</v>
      </c>
      <c r="U1557" t="s">
        <v>53</v>
      </c>
      <c r="V1557" t="s">
        <v>1973</v>
      </c>
      <c r="W1557">
        <v>100000</v>
      </c>
      <c r="X1557" t="s">
        <v>54</v>
      </c>
      <c r="AA1557">
        <v>0</v>
      </c>
      <c r="AB1557">
        <v>0</v>
      </c>
      <c r="AC1557">
        <v>0</v>
      </c>
      <c r="AD1557">
        <v>0</v>
      </c>
      <c r="AE1557">
        <v>0</v>
      </c>
      <c r="AF1557">
        <v>0</v>
      </c>
      <c r="AG1557">
        <v>0</v>
      </c>
      <c r="AH1557">
        <v>0.69559836387634277</v>
      </c>
      <c r="AI1557">
        <v>0</v>
      </c>
      <c r="AJ1557">
        <v>5.3485140800476074</v>
      </c>
      <c r="AK1557" t="s">
        <v>53</v>
      </c>
      <c r="AL1557" t="s">
        <v>54</v>
      </c>
      <c r="AQ1557" t="s">
        <v>54</v>
      </c>
      <c r="AT1557" t="s">
        <v>2410</v>
      </c>
      <c r="AW1557" t="s">
        <v>53</v>
      </c>
      <c r="AZ1557" t="s">
        <v>54</v>
      </c>
      <c r="BA1557" t="s">
        <v>7840</v>
      </c>
    </row>
    <row r="1558" spans="1:53" x14ac:dyDescent="0.25">
      <c r="A1558">
        <v>1553</v>
      </c>
      <c r="B1558" t="s">
        <v>8257</v>
      </c>
      <c r="C1558" t="s">
        <v>8258</v>
      </c>
      <c r="D1558" t="s">
        <v>7988</v>
      </c>
      <c r="E1558">
        <v>9</v>
      </c>
      <c r="F1558" t="s">
        <v>7831</v>
      </c>
      <c r="G1558" t="s">
        <v>8212</v>
      </c>
      <c r="H1558" t="s">
        <v>8213</v>
      </c>
      <c r="I1558" t="s">
        <v>8259</v>
      </c>
      <c r="J1558" t="s">
        <v>8259</v>
      </c>
      <c r="K1558" t="s">
        <v>8221</v>
      </c>
      <c r="L1558" t="s">
        <v>7894</v>
      </c>
      <c r="M1558">
        <v>1170.904541015625</v>
      </c>
      <c r="N1558" t="s">
        <v>54</v>
      </c>
      <c r="O1558" t="s">
        <v>53</v>
      </c>
      <c r="P1558" t="s">
        <v>54</v>
      </c>
      <c r="Q1558" t="s">
        <v>53</v>
      </c>
      <c r="R1558" t="s">
        <v>53</v>
      </c>
      <c r="S1558" t="s">
        <v>8206</v>
      </c>
      <c r="T1558" t="s">
        <v>8206</v>
      </c>
      <c r="U1558" t="s">
        <v>53</v>
      </c>
      <c r="V1558" t="s">
        <v>138</v>
      </c>
      <c r="W1558">
        <v>500000</v>
      </c>
      <c r="X1558" t="s">
        <v>54</v>
      </c>
      <c r="AA1558">
        <v>161</v>
      </c>
      <c r="AB1558">
        <v>79</v>
      </c>
      <c r="AC1558">
        <v>150</v>
      </c>
      <c r="AD1558">
        <v>167</v>
      </c>
      <c r="AE1558">
        <v>167</v>
      </c>
      <c r="AF1558">
        <v>0</v>
      </c>
      <c r="AG1558">
        <v>2</v>
      </c>
      <c r="AH1558">
        <v>38.913166046142578</v>
      </c>
      <c r="AI1558">
        <v>0</v>
      </c>
      <c r="AJ1558">
        <v>15439.3671875</v>
      </c>
      <c r="AK1558" t="s">
        <v>53</v>
      </c>
      <c r="AL1558" t="s">
        <v>54</v>
      </c>
      <c r="AQ1558" t="s">
        <v>54</v>
      </c>
      <c r="AT1558" t="s">
        <v>2410</v>
      </c>
      <c r="AW1558" t="s">
        <v>53</v>
      </c>
      <c r="AZ1558" t="s">
        <v>54</v>
      </c>
      <c r="BA1558" t="s">
        <v>7840</v>
      </c>
    </row>
    <row r="1559" spans="1:53" x14ac:dyDescent="0.25">
      <c r="A1559">
        <v>1554</v>
      </c>
      <c r="B1559" t="s">
        <v>8260</v>
      </c>
      <c r="C1559" t="s">
        <v>8261</v>
      </c>
      <c r="D1559" t="s">
        <v>6518</v>
      </c>
      <c r="E1559">
        <v>9</v>
      </c>
      <c r="F1559" t="s">
        <v>7831</v>
      </c>
      <c r="G1559" t="s">
        <v>8212</v>
      </c>
      <c r="H1559" t="s">
        <v>8213</v>
      </c>
      <c r="I1559" t="s">
        <v>8259</v>
      </c>
      <c r="J1559" t="s">
        <v>8259</v>
      </c>
      <c r="K1559" t="s">
        <v>8221</v>
      </c>
      <c r="L1559" t="s">
        <v>7894</v>
      </c>
      <c r="M1559">
        <v>1170.904541015625</v>
      </c>
      <c r="N1559" t="s">
        <v>54</v>
      </c>
      <c r="O1559" t="s">
        <v>53</v>
      </c>
      <c r="P1559" t="s">
        <v>54</v>
      </c>
      <c r="Q1559" t="s">
        <v>53</v>
      </c>
      <c r="R1559" t="s">
        <v>53</v>
      </c>
      <c r="S1559" t="s">
        <v>8206</v>
      </c>
      <c r="T1559" t="s">
        <v>8206</v>
      </c>
      <c r="U1559" t="s">
        <v>53</v>
      </c>
      <c r="V1559" t="s">
        <v>1973</v>
      </c>
      <c r="W1559">
        <v>100000</v>
      </c>
      <c r="X1559" t="s">
        <v>54</v>
      </c>
      <c r="AA1559">
        <v>161</v>
      </c>
      <c r="AB1559">
        <v>79</v>
      </c>
      <c r="AC1559">
        <v>150</v>
      </c>
      <c r="AD1559">
        <v>167</v>
      </c>
      <c r="AE1559">
        <v>167</v>
      </c>
      <c r="AF1559">
        <v>0</v>
      </c>
      <c r="AG1559">
        <v>2</v>
      </c>
      <c r="AH1559">
        <v>38.913166046142578</v>
      </c>
      <c r="AI1559">
        <v>0</v>
      </c>
      <c r="AJ1559">
        <v>15439.3671875</v>
      </c>
      <c r="AK1559" t="s">
        <v>53</v>
      </c>
      <c r="AL1559" t="s">
        <v>54</v>
      </c>
      <c r="AQ1559" t="s">
        <v>54</v>
      </c>
      <c r="AT1559" t="s">
        <v>2410</v>
      </c>
      <c r="AW1559" t="s">
        <v>53</v>
      </c>
      <c r="AZ1559" t="s">
        <v>54</v>
      </c>
      <c r="BA1559" t="s">
        <v>7840</v>
      </c>
    </row>
    <row r="1560" spans="1:53" x14ac:dyDescent="0.25">
      <c r="A1560">
        <v>1555</v>
      </c>
      <c r="B1560" t="s">
        <v>8262</v>
      </c>
      <c r="C1560" t="s">
        <v>8263</v>
      </c>
      <c r="D1560" t="s">
        <v>7988</v>
      </c>
      <c r="E1560">
        <v>9</v>
      </c>
      <c r="F1560" t="s">
        <v>7831</v>
      </c>
      <c r="G1560" t="s">
        <v>8264</v>
      </c>
      <c r="H1560" t="s">
        <v>7833</v>
      </c>
      <c r="I1560" t="s">
        <v>8265</v>
      </c>
      <c r="J1560" t="s">
        <v>8266</v>
      </c>
      <c r="K1560" t="s">
        <v>8267</v>
      </c>
      <c r="L1560" t="s">
        <v>7894</v>
      </c>
      <c r="M1560">
        <v>1308.805053710938</v>
      </c>
      <c r="N1560" t="s">
        <v>54</v>
      </c>
      <c r="O1560" t="s">
        <v>53</v>
      </c>
      <c r="P1560" t="s">
        <v>54</v>
      </c>
      <c r="Q1560" t="s">
        <v>53</v>
      </c>
      <c r="R1560" t="s">
        <v>53</v>
      </c>
      <c r="S1560" t="s">
        <v>8184</v>
      </c>
      <c r="T1560" t="s">
        <v>8184</v>
      </c>
      <c r="U1560" t="s">
        <v>53</v>
      </c>
      <c r="V1560" t="s">
        <v>138</v>
      </c>
      <c r="W1560">
        <v>500000</v>
      </c>
      <c r="X1560" t="s">
        <v>54</v>
      </c>
      <c r="AA1560">
        <v>99</v>
      </c>
      <c r="AB1560">
        <v>40</v>
      </c>
      <c r="AC1560">
        <v>186</v>
      </c>
      <c r="AD1560">
        <v>70</v>
      </c>
      <c r="AE1560">
        <v>186</v>
      </c>
      <c r="AF1560">
        <v>0</v>
      </c>
      <c r="AG1560">
        <v>2</v>
      </c>
      <c r="AH1560">
        <v>16.625947952270511</v>
      </c>
      <c r="AI1560">
        <v>0</v>
      </c>
      <c r="AJ1560">
        <v>1263.94580078125</v>
      </c>
      <c r="AK1560" t="s">
        <v>53</v>
      </c>
      <c r="AL1560" t="s">
        <v>54</v>
      </c>
      <c r="AQ1560" t="s">
        <v>54</v>
      </c>
      <c r="AT1560" t="s">
        <v>2410</v>
      </c>
      <c r="AW1560" t="s">
        <v>53</v>
      </c>
      <c r="AZ1560" t="s">
        <v>54</v>
      </c>
      <c r="BA1560" t="s">
        <v>7840</v>
      </c>
    </row>
    <row r="1561" spans="1:53" x14ac:dyDescent="0.25">
      <c r="A1561">
        <v>1556</v>
      </c>
      <c r="B1561" t="s">
        <v>8268</v>
      </c>
      <c r="C1561" t="s">
        <v>8269</v>
      </c>
      <c r="D1561" t="s">
        <v>6542</v>
      </c>
      <c r="E1561">
        <v>9</v>
      </c>
      <c r="F1561" t="s">
        <v>7831</v>
      </c>
      <c r="G1561" t="s">
        <v>8264</v>
      </c>
      <c r="H1561" t="s">
        <v>7833</v>
      </c>
      <c r="I1561" t="s">
        <v>8265</v>
      </c>
      <c r="J1561" t="s">
        <v>8266</v>
      </c>
      <c r="K1561" t="s">
        <v>8267</v>
      </c>
      <c r="L1561" t="s">
        <v>7894</v>
      </c>
      <c r="M1561">
        <v>1308.805053710938</v>
      </c>
      <c r="N1561" t="s">
        <v>54</v>
      </c>
      <c r="O1561" t="s">
        <v>53</v>
      </c>
      <c r="P1561" t="s">
        <v>54</v>
      </c>
      <c r="Q1561" t="s">
        <v>53</v>
      </c>
      <c r="R1561" t="s">
        <v>53</v>
      </c>
      <c r="S1561" t="s">
        <v>8184</v>
      </c>
      <c r="T1561" t="s">
        <v>8184</v>
      </c>
      <c r="U1561" t="s">
        <v>53</v>
      </c>
      <c r="V1561" t="s">
        <v>138</v>
      </c>
      <c r="W1561">
        <v>1207000</v>
      </c>
      <c r="X1561" t="s">
        <v>54</v>
      </c>
      <c r="AA1561">
        <v>99</v>
      </c>
      <c r="AB1561">
        <v>40</v>
      </c>
      <c r="AC1561">
        <v>186</v>
      </c>
      <c r="AD1561">
        <v>70</v>
      </c>
      <c r="AE1561">
        <v>186</v>
      </c>
      <c r="AF1561">
        <v>0</v>
      </c>
      <c r="AG1561">
        <v>2</v>
      </c>
      <c r="AH1561">
        <v>16.625947952270511</v>
      </c>
      <c r="AI1561">
        <v>0</v>
      </c>
      <c r="AJ1561">
        <v>1263.94580078125</v>
      </c>
      <c r="AK1561" t="s">
        <v>53</v>
      </c>
      <c r="AL1561" t="s">
        <v>54</v>
      </c>
      <c r="AQ1561" t="s">
        <v>54</v>
      </c>
      <c r="AT1561" t="s">
        <v>2410</v>
      </c>
      <c r="AW1561" t="s">
        <v>53</v>
      </c>
      <c r="AZ1561" t="s">
        <v>54</v>
      </c>
      <c r="BA1561" t="s">
        <v>7840</v>
      </c>
    </row>
    <row r="1562" spans="1:53" x14ac:dyDescent="0.25">
      <c r="A1562">
        <v>1557</v>
      </c>
      <c r="B1562" t="s">
        <v>8270</v>
      </c>
      <c r="C1562" t="s">
        <v>8271</v>
      </c>
      <c r="D1562" t="s">
        <v>6518</v>
      </c>
      <c r="E1562">
        <v>9</v>
      </c>
      <c r="F1562" t="s">
        <v>7831</v>
      </c>
      <c r="G1562" t="s">
        <v>8264</v>
      </c>
      <c r="H1562" t="s">
        <v>7833</v>
      </c>
      <c r="I1562" t="s">
        <v>8265</v>
      </c>
      <c r="J1562" t="s">
        <v>8266</v>
      </c>
      <c r="K1562" t="s">
        <v>8267</v>
      </c>
      <c r="L1562" t="s">
        <v>7894</v>
      </c>
      <c r="M1562">
        <v>1308.805053710938</v>
      </c>
      <c r="N1562" t="s">
        <v>54</v>
      </c>
      <c r="O1562" t="s">
        <v>53</v>
      </c>
      <c r="P1562" t="s">
        <v>54</v>
      </c>
      <c r="Q1562" t="s">
        <v>53</v>
      </c>
      <c r="R1562" t="s">
        <v>53</v>
      </c>
      <c r="S1562" t="s">
        <v>8184</v>
      </c>
      <c r="T1562" t="s">
        <v>8184</v>
      </c>
      <c r="U1562" t="s">
        <v>53</v>
      </c>
      <c r="V1562" t="s">
        <v>1973</v>
      </c>
      <c r="W1562">
        <v>100000</v>
      </c>
      <c r="X1562" t="s">
        <v>54</v>
      </c>
      <c r="AA1562">
        <v>99</v>
      </c>
      <c r="AB1562">
        <v>40</v>
      </c>
      <c r="AC1562">
        <v>186</v>
      </c>
      <c r="AD1562">
        <v>70</v>
      </c>
      <c r="AE1562">
        <v>186</v>
      </c>
      <c r="AF1562">
        <v>0</v>
      </c>
      <c r="AG1562">
        <v>2</v>
      </c>
      <c r="AH1562">
        <v>16.625947952270511</v>
      </c>
      <c r="AI1562">
        <v>0</v>
      </c>
      <c r="AJ1562">
        <v>1263.94580078125</v>
      </c>
      <c r="AK1562" t="s">
        <v>53</v>
      </c>
      <c r="AL1562" t="s">
        <v>54</v>
      </c>
      <c r="AQ1562" t="s">
        <v>54</v>
      </c>
      <c r="AT1562" t="s">
        <v>2410</v>
      </c>
      <c r="AW1562" t="s">
        <v>53</v>
      </c>
      <c r="AZ1562" t="s">
        <v>54</v>
      </c>
      <c r="BA1562" t="s">
        <v>7840</v>
      </c>
    </row>
    <row r="1563" spans="1:53" x14ac:dyDescent="0.25">
      <c r="A1563">
        <v>1558</v>
      </c>
      <c r="B1563" t="s">
        <v>8272</v>
      </c>
      <c r="C1563" t="s">
        <v>8273</v>
      </c>
      <c r="D1563" t="s">
        <v>7988</v>
      </c>
      <c r="E1563">
        <v>9</v>
      </c>
      <c r="F1563" t="s">
        <v>7831</v>
      </c>
      <c r="G1563" t="s">
        <v>8137</v>
      </c>
      <c r="H1563" t="s">
        <v>8274</v>
      </c>
      <c r="I1563" t="s">
        <v>8275</v>
      </c>
      <c r="J1563" t="s">
        <v>8275</v>
      </c>
      <c r="K1563" t="s">
        <v>8221</v>
      </c>
      <c r="L1563" t="s">
        <v>7894</v>
      </c>
      <c r="M1563">
        <v>919.22491455078125</v>
      </c>
      <c r="N1563" t="s">
        <v>54</v>
      </c>
      <c r="O1563" t="s">
        <v>53</v>
      </c>
      <c r="P1563" t="s">
        <v>54</v>
      </c>
      <c r="Q1563" t="s">
        <v>54</v>
      </c>
      <c r="R1563" t="s">
        <v>53</v>
      </c>
      <c r="S1563" t="s">
        <v>8141</v>
      </c>
      <c r="T1563" t="s">
        <v>8141</v>
      </c>
      <c r="U1563" t="s">
        <v>53</v>
      </c>
      <c r="V1563" t="s">
        <v>138</v>
      </c>
      <c r="W1563">
        <v>500000</v>
      </c>
      <c r="X1563" t="s">
        <v>54</v>
      </c>
      <c r="AA1563">
        <v>179</v>
      </c>
      <c r="AB1563">
        <v>97</v>
      </c>
      <c r="AC1563">
        <v>172</v>
      </c>
      <c r="AD1563">
        <v>129</v>
      </c>
      <c r="AE1563">
        <v>172</v>
      </c>
      <c r="AF1563">
        <v>0</v>
      </c>
      <c r="AG1563">
        <v>7</v>
      </c>
      <c r="AH1563">
        <v>29.674396514892582</v>
      </c>
      <c r="AI1563">
        <v>0</v>
      </c>
      <c r="AJ1563">
        <v>2289.66552734375</v>
      </c>
      <c r="AK1563" t="s">
        <v>53</v>
      </c>
      <c r="AL1563" t="s">
        <v>54</v>
      </c>
      <c r="AQ1563" t="s">
        <v>54</v>
      </c>
      <c r="AT1563" t="s">
        <v>2410</v>
      </c>
      <c r="AW1563" t="s">
        <v>53</v>
      </c>
      <c r="AZ1563" t="s">
        <v>54</v>
      </c>
      <c r="BA1563" t="s">
        <v>7840</v>
      </c>
    </row>
    <row r="1564" spans="1:53" x14ac:dyDescent="0.25">
      <c r="A1564">
        <v>1559</v>
      </c>
      <c r="B1564" t="s">
        <v>8276</v>
      </c>
      <c r="C1564" t="s">
        <v>8277</v>
      </c>
      <c r="D1564" t="s">
        <v>6542</v>
      </c>
      <c r="E1564">
        <v>9</v>
      </c>
      <c r="F1564" t="s">
        <v>7831</v>
      </c>
      <c r="G1564" t="s">
        <v>8137</v>
      </c>
      <c r="H1564" t="s">
        <v>8274</v>
      </c>
      <c r="I1564" t="s">
        <v>8275</v>
      </c>
      <c r="J1564" t="s">
        <v>8275</v>
      </c>
      <c r="K1564" t="s">
        <v>8221</v>
      </c>
      <c r="L1564" t="s">
        <v>7894</v>
      </c>
      <c r="M1564">
        <v>919.22491455078125</v>
      </c>
      <c r="N1564" t="s">
        <v>54</v>
      </c>
      <c r="O1564" t="s">
        <v>53</v>
      </c>
      <c r="P1564" t="s">
        <v>54</v>
      </c>
      <c r="Q1564" t="s">
        <v>54</v>
      </c>
      <c r="R1564" t="s">
        <v>53</v>
      </c>
      <c r="S1564" t="s">
        <v>8141</v>
      </c>
      <c r="T1564" t="s">
        <v>8141</v>
      </c>
      <c r="U1564" t="s">
        <v>53</v>
      </c>
      <c r="V1564" t="s">
        <v>138</v>
      </c>
      <c r="W1564">
        <v>897000</v>
      </c>
      <c r="X1564" t="s">
        <v>54</v>
      </c>
      <c r="AA1564">
        <v>179</v>
      </c>
      <c r="AB1564">
        <v>97</v>
      </c>
      <c r="AC1564">
        <v>172</v>
      </c>
      <c r="AD1564">
        <v>129</v>
      </c>
      <c r="AE1564">
        <v>172</v>
      </c>
      <c r="AF1564">
        <v>0</v>
      </c>
      <c r="AG1564">
        <v>7</v>
      </c>
      <c r="AH1564">
        <v>29.674396514892582</v>
      </c>
      <c r="AI1564">
        <v>0</v>
      </c>
      <c r="AJ1564">
        <v>2289.66552734375</v>
      </c>
      <c r="AK1564" t="s">
        <v>53</v>
      </c>
      <c r="AL1564" t="s">
        <v>54</v>
      </c>
      <c r="AQ1564" t="s">
        <v>54</v>
      </c>
      <c r="AT1564" t="s">
        <v>2410</v>
      </c>
      <c r="AW1564" t="s">
        <v>53</v>
      </c>
      <c r="AZ1564" t="s">
        <v>54</v>
      </c>
      <c r="BA1564" t="s">
        <v>7840</v>
      </c>
    </row>
    <row r="1565" spans="1:53" x14ac:dyDescent="0.25">
      <c r="A1565">
        <v>1560</v>
      </c>
      <c r="B1565" t="s">
        <v>8278</v>
      </c>
      <c r="C1565" t="s">
        <v>8279</v>
      </c>
      <c r="D1565" t="s">
        <v>6518</v>
      </c>
      <c r="E1565">
        <v>9</v>
      </c>
      <c r="F1565" t="s">
        <v>7831</v>
      </c>
      <c r="G1565" t="s">
        <v>8137</v>
      </c>
      <c r="H1565" t="s">
        <v>8274</v>
      </c>
      <c r="I1565" t="s">
        <v>8275</v>
      </c>
      <c r="J1565" t="s">
        <v>8275</v>
      </c>
      <c r="K1565" t="s">
        <v>8221</v>
      </c>
      <c r="L1565" t="s">
        <v>7894</v>
      </c>
      <c r="M1565">
        <v>919.22491455078125</v>
      </c>
      <c r="N1565" t="s">
        <v>54</v>
      </c>
      <c r="O1565" t="s">
        <v>53</v>
      </c>
      <c r="P1565" t="s">
        <v>54</v>
      </c>
      <c r="Q1565" t="s">
        <v>54</v>
      </c>
      <c r="R1565" t="s">
        <v>53</v>
      </c>
      <c r="S1565" t="s">
        <v>8141</v>
      </c>
      <c r="T1565" t="s">
        <v>8141</v>
      </c>
      <c r="U1565" t="s">
        <v>53</v>
      </c>
      <c r="V1565" t="s">
        <v>1973</v>
      </c>
      <c r="W1565">
        <v>100000</v>
      </c>
      <c r="X1565" t="s">
        <v>54</v>
      </c>
      <c r="AA1565">
        <v>179</v>
      </c>
      <c r="AB1565">
        <v>97</v>
      </c>
      <c r="AC1565">
        <v>172</v>
      </c>
      <c r="AD1565">
        <v>129</v>
      </c>
      <c r="AE1565">
        <v>172</v>
      </c>
      <c r="AF1565">
        <v>0</v>
      </c>
      <c r="AG1565">
        <v>7</v>
      </c>
      <c r="AH1565">
        <v>29.674396514892582</v>
      </c>
      <c r="AI1565">
        <v>0</v>
      </c>
      <c r="AJ1565">
        <v>2289.66552734375</v>
      </c>
      <c r="AK1565" t="s">
        <v>53</v>
      </c>
      <c r="AL1565" t="s">
        <v>54</v>
      </c>
      <c r="AQ1565" t="s">
        <v>54</v>
      </c>
      <c r="AT1565" t="s">
        <v>2410</v>
      </c>
      <c r="AW1565" t="s">
        <v>53</v>
      </c>
      <c r="AZ1565" t="s">
        <v>54</v>
      </c>
      <c r="BA1565" t="s">
        <v>7840</v>
      </c>
    </row>
    <row r="1566" spans="1:53" x14ac:dyDescent="0.25">
      <c r="A1566">
        <v>1561</v>
      </c>
      <c r="B1566" t="s">
        <v>8280</v>
      </c>
      <c r="C1566" t="s">
        <v>6739</v>
      </c>
      <c r="D1566" t="s">
        <v>7988</v>
      </c>
      <c r="E1566">
        <v>9</v>
      </c>
      <c r="F1566" t="s">
        <v>7831</v>
      </c>
      <c r="G1566" t="s">
        <v>6732</v>
      </c>
      <c r="H1566" t="s">
        <v>8108</v>
      </c>
      <c r="I1566" t="s">
        <v>8281</v>
      </c>
      <c r="J1566" t="s">
        <v>8282</v>
      </c>
      <c r="K1566" t="s">
        <v>7977</v>
      </c>
      <c r="L1566" t="s">
        <v>7894</v>
      </c>
      <c r="M1566">
        <v>773.5640869140625</v>
      </c>
      <c r="N1566" t="s">
        <v>54</v>
      </c>
      <c r="O1566" t="s">
        <v>53</v>
      </c>
      <c r="P1566" t="s">
        <v>54</v>
      </c>
      <c r="Q1566" t="s">
        <v>53</v>
      </c>
      <c r="R1566" t="s">
        <v>53</v>
      </c>
      <c r="S1566" t="s">
        <v>6737</v>
      </c>
      <c r="T1566" t="s">
        <v>6737</v>
      </c>
      <c r="U1566" t="s">
        <v>53</v>
      </c>
      <c r="V1566" t="s">
        <v>138</v>
      </c>
      <c r="W1566">
        <v>500000</v>
      </c>
      <c r="X1566" t="s">
        <v>54</v>
      </c>
      <c r="AA1566">
        <v>23</v>
      </c>
      <c r="AB1566">
        <v>12</v>
      </c>
      <c r="AC1566">
        <v>16</v>
      </c>
      <c r="AD1566">
        <v>51</v>
      </c>
      <c r="AE1566">
        <v>51</v>
      </c>
      <c r="AF1566">
        <v>0</v>
      </c>
      <c r="AG1566">
        <v>0</v>
      </c>
      <c r="AH1566">
        <v>144.02934265136719</v>
      </c>
      <c r="AI1566">
        <v>0</v>
      </c>
      <c r="AJ1566">
        <v>15910.837890625</v>
      </c>
      <c r="AK1566" t="s">
        <v>53</v>
      </c>
      <c r="AL1566" t="s">
        <v>54</v>
      </c>
      <c r="AQ1566" t="s">
        <v>54</v>
      </c>
      <c r="AT1566" t="s">
        <v>2410</v>
      </c>
      <c r="AW1566" t="s">
        <v>53</v>
      </c>
      <c r="AZ1566" t="s">
        <v>54</v>
      </c>
      <c r="BA1566" t="s">
        <v>7840</v>
      </c>
    </row>
    <row r="1567" spans="1:53" x14ac:dyDescent="0.25">
      <c r="A1567">
        <v>1562</v>
      </c>
      <c r="B1567" t="s">
        <v>8283</v>
      </c>
      <c r="C1567" t="s">
        <v>8284</v>
      </c>
      <c r="D1567" t="s">
        <v>7988</v>
      </c>
      <c r="E1567">
        <v>9</v>
      </c>
      <c r="F1567" t="s">
        <v>7831</v>
      </c>
      <c r="G1567" t="s">
        <v>8202</v>
      </c>
      <c r="H1567" t="s">
        <v>8285</v>
      </c>
      <c r="I1567" t="s">
        <v>8286</v>
      </c>
      <c r="J1567" t="s">
        <v>8286</v>
      </c>
      <c r="K1567" t="s">
        <v>8221</v>
      </c>
      <c r="L1567" t="s">
        <v>7894</v>
      </c>
      <c r="M1567">
        <v>897.15911865234375</v>
      </c>
      <c r="N1567" t="s">
        <v>54</v>
      </c>
      <c r="O1567" t="s">
        <v>53</v>
      </c>
      <c r="P1567" t="s">
        <v>54</v>
      </c>
      <c r="Q1567" t="s">
        <v>54</v>
      </c>
      <c r="R1567" t="s">
        <v>53</v>
      </c>
      <c r="S1567" t="s">
        <v>8287</v>
      </c>
      <c r="T1567" t="s">
        <v>8287</v>
      </c>
      <c r="U1567" t="s">
        <v>53</v>
      </c>
      <c r="V1567" t="s">
        <v>138</v>
      </c>
      <c r="W1567">
        <v>500000</v>
      </c>
      <c r="X1567" t="s">
        <v>54</v>
      </c>
      <c r="AA1567">
        <v>141</v>
      </c>
      <c r="AB1567">
        <v>3</v>
      </c>
      <c r="AC1567">
        <v>36</v>
      </c>
      <c r="AD1567">
        <v>74</v>
      </c>
      <c r="AE1567">
        <v>74</v>
      </c>
      <c r="AF1567">
        <v>0</v>
      </c>
      <c r="AG1567">
        <v>0</v>
      </c>
      <c r="AH1567">
        <v>33.758129119873047</v>
      </c>
      <c r="AI1567">
        <v>0</v>
      </c>
      <c r="AJ1567">
        <v>26320.958984375</v>
      </c>
      <c r="AK1567" t="s">
        <v>53</v>
      </c>
      <c r="AL1567" t="s">
        <v>54</v>
      </c>
      <c r="AQ1567" t="s">
        <v>54</v>
      </c>
      <c r="AT1567" t="s">
        <v>2410</v>
      </c>
      <c r="AW1567" t="s">
        <v>53</v>
      </c>
      <c r="AZ1567" t="s">
        <v>54</v>
      </c>
      <c r="BA1567" t="s">
        <v>7840</v>
      </c>
    </row>
    <row r="1568" spans="1:53" x14ac:dyDescent="0.25">
      <c r="A1568">
        <v>1563</v>
      </c>
      <c r="B1568" t="s">
        <v>8288</v>
      </c>
      <c r="C1568" t="s">
        <v>8289</v>
      </c>
      <c r="D1568" t="s">
        <v>6518</v>
      </c>
      <c r="E1568">
        <v>9</v>
      </c>
      <c r="F1568" t="s">
        <v>7831</v>
      </c>
      <c r="G1568" t="s">
        <v>8202</v>
      </c>
      <c r="H1568" t="s">
        <v>8285</v>
      </c>
      <c r="I1568" t="s">
        <v>8286</v>
      </c>
      <c r="J1568" t="s">
        <v>8286</v>
      </c>
      <c r="K1568" t="s">
        <v>8221</v>
      </c>
      <c r="L1568" t="s">
        <v>7894</v>
      </c>
      <c r="M1568">
        <v>897.15911865234375</v>
      </c>
      <c r="N1568" t="s">
        <v>54</v>
      </c>
      <c r="O1568" t="s">
        <v>53</v>
      </c>
      <c r="P1568" t="s">
        <v>54</v>
      </c>
      <c r="Q1568" t="s">
        <v>54</v>
      </c>
      <c r="R1568" t="s">
        <v>53</v>
      </c>
      <c r="S1568" t="s">
        <v>8287</v>
      </c>
      <c r="T1568" t="s">
        <v>8287</v>
      </c>
      <c r="U1568" t="s">
        <v>53</v>
      </c>
      <c r="V1568" t="s">
        <v>1973</v>
      </c>
      <c r="W1568">
        <v>100000</v>
      </c>
      <c r="X1568" t="s">
        <v>54</v>
      </c>
      <c r="AA1568">
        <v>141</v>
      </c>
      <c r="AB1568">
        <v>3</v>
      </c>
      <c r="AC1568">
        <v>36</v>
      </c>
      <c r="AD1568">
        <v>74</v>
      </c>
      <c r="AE1568">
        <v>74</v>
      </c>
      <c r="AF1568">
        <v>0</v>
      </c>
      <c r="AG1568">
        <v>0</v>
      </c>
      <c r="AH1568">
        <v>33.758129119873047</v>
      </c>
      <c r="AI1568">
        <v>0</v>
      </c>
      <c r="AJ1568">
        <v>26320.958984375</v>
      </c>
      <c r="AK1568" t="s">
        <v>53</v>
      </c>
      <c r="AL1568" t="s">
        <v>54</v>
      </c>
      <c r="AQ1568" t="s">
        <v>54</v>
      </c>
      <c r="AT1568" t="s">
        <v>2410</v>
      </c>
      <c r="AW1568" t="s">
        <v>53</v>
      </c>
      <c r="AZ1568" t="s">
        <v>54</v>
      </c>
      <c r="BA1568" t="s">
        <v>7840</v>
      </c>
    </row>
    <row r="1569" spans="1:53" x14ac:dyDescent="0.25">
      <c r="A1569">
        <v>1564</v>
      </c>
      <c r="B1569" t="s">
        <v>8290</v>
      </c>
      <c r="C1569" t="s">
        <v>8291</v>
      </c>
      <c r="D1569" t="s">
        <v>7988</v>
      </c>
      <c r="E1569">
        <v>9</v>
      </c>
      <c r="F1569" t="s">
        <v>7831</v>
      </c>
      <c r="G1569" t="s">
        <v>6722</v>
      </c>
      <c r="H1569" t="s">
        <v>8108</v>
      </c>
      <c r="I1569" t="s">
        <v>8281</v>
      </c>
      <c r="J1569" t="s">
        <v>7970</v>
      </c>
      <c r="K1569" t="s">
        <v>7971</v>
      </c>
      <c r="L1569" t="s">
        <v>7894</v>
      </c>
      <c r="M1569">
        <v>906.67401123046875</v>
      </c>
      <c r="N1569" t="s">
        <v>54</v>
      </c>
      <c r="O1569" t="s">
        <v>53</v>
      </c>
      <c r="P1569" t="s">
        <v>54</v>
      </c>
      <c r="Q1569" t="s">
        <v>53</v>
      </c>
      <c r="R1569" t="s">
        <v>53</v>
      </c>
      <c r="S1569" t="s">
        <v>6727</v>
      </c>
      <c r="T1569" t="s">
        <v>6727</v>
      </c>
      <c r="U1569" t="s">
        <v>53</v>
      </c>
      <c r="V1569" t="s">
        <v>138</v>
      </c>
      <c r="W1569">
        <v>500000</v>
      </c>
      <c r="X1569" t="s">
        <v>54</v>
      </c>
      <c r="AA1569">
        <v>44</v>
      </c>
      <c r="AB1569">
        <v>18</v>
      </c>
      <c r="AC1569">
        <v>1553</v>
      </c>
      <c r="AD1569">
        <v>269</v>
      </c>
      <c r="AE1569">
        <v>1553</v>
      </c>
      <c r="AF1569">
        <v>3</v>
      </c>
      <c r="AG1569">
        <v>2</v>
      </c>
      <c r="AH1569">
        <v>42.321495056152337</v>
      </c>
      <c r="AI1569">
        <v>0</v>
      </c>
      <c r="AJ1569">
        <v>1395.676147460938</v>
      </c>
      <c r="AK1569" t="s">
        <v>53</v>
      </c>
      <c r="AL1569" t="s">
        <v>54</v>
      </c>
      <c r="AQ1569" t="s">
        <v>54</v>
      </c>
      <c r="AT1569" t="s">
        <v>2410</v>
      </c>
      <c r="AW1569" t="s">
        <v>53</v>
      </c>
      <c r="AZ1569" t="s">
        <v>54</v>
      </c>
      <c r="BA1569" t="s">
        <v>7840</v>
      </c>
    </row>
    <row r="1570" spans="1:53" x14ac:dyDescent="0.25">
      <c r="A1570">
        <v>1565</v>
      </c>
      <c r="B1570" t="s">
        <v>8292</v>
      </c>
      <c r="C1570" t="s">
        <v>8293</v>
      </c>
      <c r="D1570" t="s">
        <v>7988</v>
      </c>
      <c r="E1570">
        <v>9</v>
      </c>
      <c r="F1570" t="s">
        <v>7831</v>
      </c>
      <c r="G1570" t="s">
        <v>8193</v>
      </c>
      <c r="H1570" t="s">
        <v>8194</v>
      </c>
      <c r="I1570" t="s">
        <v>8294</v>
      </c>
      <c r="J1570" t="s">
        <v>8294</v>
      </c>
      <c r="K1570" t="s">
        <v>8221</v>
      </c>
      <c r="L1570" t="s">
        <v>7894</v>
      </c>
      <c r="M1570">
        <v>1047.458618164062</v>
      </c>
      <c r="N1570" t="s">
        <v>54</v>
      </c>
      <c r="O1570" t="s">
        <v>53</v>
      </c>
      <c r="P1570" t="s">
        <v>54</v>
      </c>
      <c r="Q1570" t="s">
        <v>53</v>
      </c>
      <c r="R1570" t="s">
        <v>53</v>
      </c>
      <c r="S1570" t="s">
        <v>8295</v>
      </c>
      <c r="T1570" t="s">
        <v>8295</v>
      </c>
      <c r="U1570" t="s">
        <v>53</v>
      </c>
      <c r="V1570" t="s">
        <v>138</v>
      </c>
      <c r="W1570">
        <v>500000</v>
      </c>
      <c r="X1570" t="s">
        <v>54</v>
      </c>
      <c r="AA1570">
        <v>354</v>
      </c>
      <c r="AB1570">
        <v>104</v>
      </c>
      <c r="AC1570">
        <v>132</v>
      </c>
      <c r="AD1570">
        <v>181</v>
      </c>
      <c r="AE1570">
        <v>181</v>
      </c>
      <c r="AF1570">
        <v>0</v>
      </c>
      <c r="AG1570">
        <v>8</v>
      </c>
      <c r="AH1570">
        <v>47.764579772949219</v>
      </c>
      <c r="AI1570">
        <v>0</v>
      </c>
      <c r="AJ1570">
        <v>2460.403564453125</v>
      </c>
      <c r="AK1570" t="s">
        <v>53</v>
      </c>
      <c r="AL1570" t="s">
        <v>54</v>
      </c>
      <c r="AQ1570" t="s">
        <v>54</v>
      </c>
      <c r="AT1570" t="s">
        <v>2410</v>
      </c>
      <c r="AW1570" t="s">
        <v>53</v>
      </c>
      <c r="AZ1570" t="s">
        <v>54</v>
      </c>
      <c r="BA1570" t="s">
        <v>7840</v>
      </c>
    </row>
    <row r="1571" spans="1:53" x14ac:dyDescent="0.25">
      <c r="A1571">
        <v>1566</v>
      </c>
      <c r="B1571" t="s">
        <v>8296</v>
      </c>
      <c r="C1571" t="s">
        <v>8297</v>
      </c>
      <c r="D1571" t="s">
        <v>6518</v>
      </c>
      <c r="E1571">
        <v>9</v>
      </c>
      <c r="F1571" t="s">
        <v>7831</v>
      </c>
      <c r="G1571" t="s">
        <v>8193</v>
      </c>
      <c r="H1571" t="s">
        <v>8194</v>
      </c>
      <c r="I1571" t="s">
        <v>8294</v>
      </c>
      <c r="J1571" t="s">
        <v>8294</v>
      </c>
      <c r="K1571" t="s">
        <v>8221</v>
      </c>
      <c r="L1571" t="s">
        <v>7894</v>
      </c>
      <c r="M1571">
        <v>1047.458618164062</v>
      </c>
      <c r="N1571" t="s">
        <v>54</v>
      </c>
      <c r="O1571" t="s">
        <v>53</v>
      </c>
      <c r="P1571" t="s">
        <v>54</v>
      </c>
      <c r="Q1571" t="s">
        <v>53</v>
      </c>
      <c r="R1571" t="s">
        <v>53</v>
      </c>
      <c r="S1571" t="s">
        <v>8295</v>
      </c>
      <c r="T1571" t="s">
        <v>8295</v>
      </c>
      <c r="U1571" t="s">
        <v>53</v>
      </c>
      <c r="V1571" t="s">
        <v>1973</v>
      </c>
      <c r="W1571">
        <v>100000</v>
      </c>
      <c r="X1571" t="s">
        <v>54</v>
      </c>
      <c r="AA1571">
        <v>354</v>
      </c>
      <c r="AB1571">
        <v>104</v>
      </c>
      <c r="AC1571">
        <v>132</v>
      </c>
      <c r="AD1571">
        <v>181</v>
      </c>
      <c r="AE1571">
        <v>181</v>
      </c>
      <c r="AF1571">
        <v>0</v>
      </c>
      <c r="AG1571">
        <v>8</v>
      </c>
      <c r="AH1571">
        <v>47.764579772949219</v>
      </c>
      <c r="AI1571">
        <v>0</v>
      </c>
      <c r="AJ1571">
        <v>2460.403564453125</v>
      </c>
      <c r="AK1571" t="s">
        <v>53</v>
      </c>
      <c r="AL1571" t="s">
        <v>54</v>
      </c>
      <c r="AQ1571" t="s">
        <v>54</v>
      </c>
      <c r="AT1571" t="s">
        <v>2410</v>
      </c>
      <c r="AW1571" t="s">
        <v>53</v>
      </c>
      <c r="AZ1571" t="s">
        <v>54</v>
      </c>
      <c r="BA1571" t="s">
        <v>7840</v>
      </c>
    </row>
    <row r="1572" spans="1:53" x14ac:dyDescent="0.25">
      <c r="A1572">
        <v>1567</v>
      </c>
      <c r="B1572" t="s">
        <v>8298</v>
      </c>
      <c r="C1572" t="s">
        <v>8299</v>
      </c>
      <c r="D1572" t="s">
        <v>7988</v>
      </c>
      <c r="E1572">
        <v>9</v>
      </c>
      <c r="F1572" t="s">
        <v>7831</v>
      </c>
      <c r="G1572" t="s">
        <v>8100</v>
      </c>
      <c r="H1572" t="s">
        <v>8224</v>
      </c>
      <c r="I1572" t="s">
        <v>8225</v>
      </c>
      <c r="J1572" t="s">
        <v>8225</v>
      </c>
      <c r="K1572" t="s">
        <v>8221</v>
      </c>
      <c r="L1572" t="s">
        <v>7894</v>
      </c>
      <c r="M1572">
        <v>1051.79541015625</v>
      </c>
      <c r="N1572" t="s">
        <v>54</v>
      </c>
      <c r="O1572" t="s">
        <v>53</v>
      </c>
      <c r="P1572" t="s">
        <v>54</v>
      </c>
      <c r="Q1572" t="s">
        <v>53</v>
      </c>
      <c r="R1572" t="s">
        <v>53</v>
      </c>
      <c r="S1572" t="s">
        <v>8104</v>
      </c>
      <c r="T1572" t="s">
        <v>8104</v>
      </c>
      <c r="U1572" t="s">
        <v>53</v>
      </c>
      <c r="V1572" t="s">
        <v>138</v>
      </c>
      <c r="W1572">
        <v>500000</v>
      </c>
      <c r="X1572" t="s">
        <v>54</v>
      </c>
      <c r="AA1572">
        <v>164</v>
      </c>
      <c r="AB1572">
        <v>41</v>
      </c>
      <c r="AC1572">
        <v>172</v>
      </c>
      <c r="AD1572">
        <v>179</v>
      </c>
      <c r="AE1572">
        <v>179</v>
      </c>
      <c r="AF1572">
        <v>1</v>
      </c>
      <c r="AG1572">
        <v>18</v>
      </c>
      <c r="AH1572">
        <v>124.6897811889648</v>
      </c>
      <c r="AI1572">
        <v>0</v>
      </c>
      <c r="AJ1572">
        <v>39553.1328125</v>
      </c>
      <c r="AK1572" t="s">
        <v>53</v>
      </c>
      <c r="AL1572" t="s">
        <v>54</v>
      </c>
      <c r="AQ1572" t="s">
        <v>54</v>
      </c>
      <c r="AT1572" t="s">
        <v>2410</v>
      </c>
      <c r="AW1572" t="s">
        <v>53</v>
      </c>
      <c r="AZ1572" t="s">
        <v>54</v>
      </c>
      <c r="BA1572" t="s">
        <v>7840</v>
      </c>
    </row>
    <row r="1573" spans="1:53" x14ac:dyDescent="0.25">
      <c r="A1573">
        <v>1568</v>
      </c>
      <c r="B1573" t="s">
        <v>8300</v>
      </c>
      <c r="C1573" t="s">
        <v>8301</v>
      </c>
      <c r="D1573" t="s">
        <v>6518</v>
      </c>
      <c r="E1573">
        <v>9</v>
      </c>
      <c r="F1573" t="s">
        <v>7831</v>
      </c>
      <c r="G1573" t="s">
        <v>8100</v>
      </c>
      <c r="H1573" t="s">
        <v>8224</v>
      </c>
      <c r="I1573" t="s">
        <v>8225</v>
      </c>
      <c r="J1573" t="s">
        <v>8225</v>
      </c>
      <c r="K1573" t="s">
        <v>8221</v>
      </c>
      <c r="L1573" t="s">
        <v>7894</v>
      </c>
      <c r="M1573">
        <v>1051.79541015625</v>
      </c>
      <c r="N1573" t="s">
        <v>54</v>
      </c>
      <c r="O1573" t="s">
        <v>53</v>
      </c>
      <c r="P1573" t="s">
        <v>54</v>
      </c>
      <c r="Q1573" t="s">
        <v>53</v>
      </c>
      <c r="R1573" t="s">
        <v>53</v>
      </c>
      <c r="S1573" t="s">
        <v>8104</v>
      </c>
      <c r="T1573" t="s">
        <v>8104</v>
      </c>
      <c r="U1573" t="s">
        <v>53</v>
      </c>
      <c r="V1573" t="s">
        <v>1973</v>
      </c>
      <c r="W1573">
        <v>100000</v>
      </c>
      <c r="X1573" t="s">
        <v>54</v>
      </c>
      <c r="AA1573">
        <v>164</v>
      </c>
      <c r="AB1573">
        <v>41</v>
      </c>
      <c r="AC1573">
        <v>172</v>
      </c>
      <c r="AD1573">
        <v>179</v>
      </c>
      <c r="AE1573">
        <v>179</v>
      </c>
      <c r="AF1573">
        <v>1</v>
      </c>
      <c r="AG1573">
        <v>18</v>
      </c>
      <c r="AH1573">
        <v>124.6897811889648</v>
      </c>
      <c r="AI1573">
        <v>0</v>
      </c>
      <c r="AJ1573">
        <v>39553.1328125</v>
      </c>
      <c r="AK1573" t="s">
        <v>53</v>
      </c>
      <c r="AL1573" t="s">
        <v>54</v>
      </c>
      <c r="AQ1573" t="s">
        <v>54</v>
      </c>
      <c r="AT1573" t="s">
        <v>2410</v>
      </c>
      <c r="AW1573" t="s">
        <v>53</v>
      </c>
      <c r="AZ1573" t="s">
        <v>54</v>
      </c>
      <c r="BA1573" t="s">
        <v>7840</v>
      </c>
    </row>
    <row r="1574" spans="1:53" x14ac:dyDescent="0.25">
      <c r="A1574">
        <v>1569</v>
      </c>
      <c r="B1574" t="s">
        <v>8302</v>
      </c>
      <c r="C1574" t="s">
        <v>8303</v>
      </c>
      <c r="D1574" t="s">
        <v>7988</v>
      </c>
      <c r="E1574">
        <v>9</v>
      </c>
      <c r="F1574" t="s">
        <v>7831</v>
      </c>
      <c r="G1574" t="s">
        <v>7832</v>
      </c>
      <c r="H1574" t="s">
        <v>8118</v>
      </c>
      <c r="I1574" t="s">
        <v>8119</v>
      </c>
      <c r="J1574" t="s">
        <v>8119</v>
      </c>
      <c r="K1574" t="s">
        <v>8221</v>
      </c>
      <c r="L1574" t="s">
        <v>7894</v>
      </c>
      <c r="M1574">
        <v>1533.927368164062</v>
      </c>
      <c r="N1574" t="s">
        <v>54</v>
      </c>
      <c r="O1574" t="s">
        <v>53</v>
      </c>
      <c r="P1574" t="s">
        <v>54</v>
      </c>
      <c r="Q1574" t="s">
        <v>53</v>
      </c>
      <c r="R1574" t="s">
        <v>53</v>
      </c>
      <c r="S1574" t="s">
        <v>7838</v>
      </c>
      <c r="T1574" t="s">
        <v>7838</v>
      </c>
      <c r="U1574" t="s">
        <v>53</v>
      </c>
      <c r="V1574" t="s">
        <v>138</v>
      </c>
      <c r="W1574">
        <v>500000</v>
      </c>
      <c r="X1574" t="s">
        <v>54</v>
      </c>
      <c r="AA1574">
        <v>5166</v>
      </c>
      <c r="AB1574">
        <v>3373</v>
      </c>
      <c r="AC1574">
        <v>9987</v>
      </c>
      <c r="AD1574">
        <v>9062</v>
      </c>
      <c r="AE1574">
        <v>9987</v>
      </c>
      <c r="AF1574">
        <v>7</v>
      </c>
      <c r="AG1574">
        <v>47</v>
      </c>
      <c r="AH1574">
        <v>253.46830749511719</v>
      </c>
      <c r="AI1574">
        <v>0</v>
      </c>
      <c r="AJ1574">
        <v>48794.71875</v>
      </c>
      <c r="AK1574" t="s">
        <v>53</v>
      </c>
      <c r="AL1574" t="s">
        <v>54</v>
      </c>
      <c r="AQ1574" t="s">
        <v>54</v>
      </c>
      <c r="AT1574" t="s">
        <v>2410</v>
      </c>
      <c r="AW1574" t="s">
        <v>53</v>
      </c>
      <c r="AZ1574" t="s">
        <v>54</v>
      </c>
      <c r="BA1574" t="s">
        <v>7840</v>
      </c>
    </row>
    <row r="1575" spans="1:53" x14ac:dyDescent="0.25">
      <c r="A1575">
        <v>1570</v>
      </c>
      <c r="B1575" t="s">
        <v>8304</v>
      </c>
      <c r="C1575" t="s">
        <v>8305</v>
      </c>
      <c r="D1575" t="s">
        <v>6518</v>
      </c>
      <c r="E1575">
        <v>9</v>
      </c>
      <c r="F1575" t="s">
        <v>7831</v>
      </c>
      <c r="G1575" t="s">
        <v>7832</v>
      </c>
      <c r="H1575" t="s">
        <v>8118</v>
      </c>
      <c r="I1575" t="s">
        <v>8119</v>
      </c>
      <c r="J1575" t="s">
        <v>8119</v>
      </c>
      <c r="K1575" t="s">
        <v>8221</v>
      </c>
      <c r="L1575" t="s">
        <v>7894</v>
      </c>
      <c r="M1575">
        <v>1533.927368164062</v>
      </c>
      <c r="N1575" t="s">
        <v>54</v>
      </c>
      <c r="O1575" t="s">
        <v>53</v>
      </c>
      <c r="P1575" t="s">
        <v>54</v>
      </c>
      <c r="Q1575" t="s">
        <v>53</v>
      </c>
      <c r="R1575" t="s">
        <v>53</v>
      </c>
      <c r="S1575" t="s">
        <v>7838</v>
      </c>
      <c r="T1575" t="s">
        <v>7838</v>
      </c>
      <c r="U1575" t="s">
        <v>53</v>
      </c>
      <c r="V1575" t="s">
        <v>1973</v>
      </c>
      <c r="W1575">
        <v>100000</v>
      </c>
      <c r="X1575" t="s">
        <v>54</v>
      </c>
      <c r="AA1575">
        <v>5166</v>
      </c>
      <c r="AB1575">
        <v>3373</v>
      </c>
      <c r="AC1575">
        <v>9987</v>
      </c>
      <c r="AD1575">
        <v>9062</v>
      </c>
      <c r="AE1575">
        <v>9987</v>
      </c>
      <c r="AF1575">
        <v>7</v>
      </c>
      <c r="AG1575">
        <v>47</v>
      </c>
      <c r="AH1575">
        <v>253.46830749511719</v>
      </c>
      <c r="AI1575">
        <v>0</v>
      </c>
      <c r="AJ1575">
        <v>48794.71875</v>
      </c>
      <c r="AK1575" t="s">
        <v>53</v>
      </c>
      <c r="AL1575" t="s">
        <v>54</v>
      </c>
      <c r="AQ1575" t="s">
        <v>54</v>
      </c>
      <c r="AT1575" t="s">
        <v>2410</v>
      </c>
      <c r="AW1575" t="s">
        <v>53</v>
      </c>
      <c r="AZ1575" t="s">
        <v>54</v>
      </c>
      <c r="BA1575" t="s">
        <v>7840</v>
      </c>
    </row>
    <row r="1576" spans="1:53" x14ac:dyDescent="0.25">
      <c r="A1576">
        <v>1571</v>
      </c>
      <c r="B1576" t="s">
        <v>8306</v>
      </c>
      <c r="C1576" t="s">
        <v>8307</v>
      </c>
      <c r="D1576" t="s">
        <v>7988</v>
      </c>
      <c r="E1576">
        <v>9</v>
      </c>
      <c r="F1576" t="s">
        <v>7831</v>
      </c>
      <c r="G1576" t="s">
        <v>8230</v>
      </c>
      <c r="H1576" t="s">
        <v>8231</v>
      </c>
      <c r="I1576" t="s">
        <v>8232</v>
      </c>
      <c r="J1576" t="s">
        <v>8233</v>
      </c>
      <c r="K1576" t="s">
        <v>8308</v>
      </c>
      <c r="L1576" t="s">
        <v>7894</v>
      </c>
      <c r="M1576">
        <v>1235.946533203125</v>
      </c>
      <c r="N1576" t="s">
        <v>54</v>
      </c>
      <c r="O1576" t="s">
        <v>53</v>
      </c>
      <c r="P1576" t="s">
        <v>54</v>
      </c>
      <c r="Q1576" t="s">
        <v>53</v>
      </c>
      <c r="R1576" t="s">
        <v>53</v>
      </c>
      <c r="S1576" t="s">
        <v>8235</v>
      </c>
      <c r="T1576" t="s">
        <v>8235</v>
      </c>
      <c r="U1576" t="s">
        <v>53</v>
      </c>
      <c r="V1576" t="s">
        <v>138</v>
      </c>
      <c r="W1576">
        <v>500000</v>
      </c>
      <c r="X1576" t="s">
        <v>54</v>
      </c>
      <c r="AA1576">
        <v>41</v>
      </c>
      <c r="AB1576">
        <v>16</v>
      </c>
      <c r="AC1576">
        <v>23</v>
      </c>
      <c r="AD1576">
        <v>10</v>
      </c>
      <c r="AE1576">
        <v>23</v>
      </c>
      <c r="AF1576">
        <v>0</v>
      </c>
      <c r="AG1576">
        <v>1</v>
      </c>
      <c r="AH1576">
        <v>34.071346282958977</v>
      </c>
      <c r="AI1576">
        <v>0</v>
      </c>
      <c r="AJ1576">
        <v>6457.232421875</v>
      </c>
      <c r="AK1576" t="s">
        <v>53</v>
      </c>
      <c r="AL1576" t="s">
        <v>54</v>
      </c>
      <c r="AQ1576" t="s">
        <v>54</v>
      </c>
      <c r="AT1576" t="s">
        <v>2410</v>
      </c>
      <c r="AW1576" t="s">
        <v>53</v>
      </c>
      <c r="AZ1576" t="s">
        <v>54</v>
      </c>
      <c r="BA1576" t="s">
        <v>7840</v>
      </c>
    </row>
    <row r="1577" spans="1:53" x14ac:dyDescent="0.25">
      <c r="A1577">
        <v>1572</v>
      </c>
      <c r="B1577" t="s">
        <v>8309</v>
      </c>
      <c r="C1577" t="s">
        <v>8310</v>
      </c>
      <c r="D1577" t="s">
        <v>6518</v>
      </c>
      <c r="E1577">
        <v>9</v>
      </c>
      <c r="F1577" t="s">
        <v>7831</v>
      </c>
      <c r="G1577" t="s">
        <v>8230</v>
      </c>
      <c r="H1577" t="s">
        <v>8231</v>
      </c>
      <c r="I1577" t="s">
        <v>8232</v>
      </c>
      <c r="J1577" t="s">
        <v>8233</v>
      </c>
      <c r="K1577" t="s">
        <v>8221</v>
      </c>
      <c r="L1577" t="s">
        <v>7894</v>
      </c>
      <c r="M1577">
        <v>1235.946533203125</v>
      </c>
      <c r="N1577" t="s">
        <v>54</v>
      </c>
      <c r="O1577" t="s">
        <v>53</v>
      </c>
      <c r="P1577" t="s">
        <v>54</v>
      </c>
      <c r="Q1577" t="s">
        <v>53</v>
      </c>
      <c r="R1577" t="s">
        <v>53</v>
      </c>
      <c r="S1577" t="s">
        <v>8235</v>
      </c>
      <c r="T1577" t="s">
        <v>8235</v>
      </c>
      <c r="U1577" t="s">
        <v>53</v>
      </c>
      <c r="V1577" t="s">
        <v>1973</v>
      </c>
      <c r="W1577">
        <v>100000</v>
      </c>
      <c r="X1577" t="s">
        <v>54</v>
      </c>
      <c r="AA1577">
        <v>41</v>
      </c>
      <c r="AB1577">
        <v>16</v>
      </c>
      <c r="AC1577">
        <v>23</v>
      </c>
      <c r="AD1577">
        <v>10</v>
      </c>
      <c r="AE1577">
        <v>23</v>
      </c>
      <c r="AF1577">
        <v>0</v>
      </c>
      <c r="AG1577">
        <v>1</v>
      </c>
      <c r="AH1577">
        <v>34.071346282958977</v>
      </c>
      <c r="AI1577">
        <v>0</v>
      </c>
      <c r="AJ1577">
        <v>6457.232421875</v>
      </c>
      <c r="AK1577" t="s">
        <v>53</v>
      </c>
      <c r="AL1577" t="s">
        <v>54</v>
      </c>
      <c r="AQ1577" t="s">
        <v>54</v>
      </c>
      <c r="AT1577" t="s">
        <v>2410</v>
      </c>
      <c r="AW1577" t="s">
        <v>53</v>
      </c>
      <c r="AZ1577" t="s">
        <v>54</v>
      </c>
      <c r="BA1577" t="s">
        <v>7840</v>
      </c>
    </row>
    <row r="1578" spans="1:53" x14ac:dyDescent="0.25">
      <c r="A1578">
        <v>1573</v>
      </c>
      <c r="B1578" t="s">
        <v>8311</v>
      </c>
      <c r="C1578" t="s">
        <v>8312</v>
      </c>
      <c r="D1578" t="s">
        <v>6542</v>
      </c>
      <c r="E1578">
        <v>9</v>
      </c>
      <c r="F1578" t="s">
        <v>7831</v>
      </c>
      <c r="G1578" t="s">
        <v>8070</v>
      </c>
      <c r="H1578" t="s">
        <v>8313</v>
      </c>
      <c r="I1578" t="s">
        <v>8314</v>
      </c>
      <c r="J1578" t="s">
        <v>8314</v>
      </c>
      <c r="K1578" t="s">
        <v>8221</v>
      </c>
      <c r="L1578" t="s">
        <v>7894</v>
      </c>
      <c r="M1578">
        <v>797.708251953125</v>
      </c>
      <c r="N1578" t="s">
        <v>54</v>
      </c>
      <c r="O1578" t="s">
        <v>53</v>
      </c>
      <c r="P1578" t="s">
        <v>54</v>
      </c>
      <c r="Q1578" t="s">
        <v>53</v>
      </c>
      <c r="R1578" t="s">
        <v>53</v>
      </c>
      <c r="S1578" t="s">
        <v>8315</v>
      </c>
      <c r="T1578" t="s">
        <v>8315</v>
      </c>
      <c r="U1578" t="s">
        <v>53</v>
      </c>
      <c r="V1578" t="s">
        <v>138</v>
      </c>
      <c r="W1578">
        <v>717000</v>
      </c>
      <c r="X1578" t="s">
        <v>54</v>
      </c>
      <c r="AA1578">
        <v>543</v>
      </c>
      <c r="AB1578">
        <v>263</v>
      </c>
      <c r="AC1578">
        <v>715</v>
      </c>
      <c r="AD1578">
        <v>776</v>
      </c>
      <c r="AE1578">
        <v>776</v>
      </c>
      <c r="AF1578">
        <v>0</v>
      </c>
      <c r="AG1578">
        <v>2</v>
      </c>
      <c r="AH1578">
        <v>292.33428955078119</v>
      </c>
      <c r="AI1578">
        <v>0</v>
      </c>
      <c r="AJ1578">
        <v>65855.140625</v>
      </c>
      <c r="AK1578" t="s">
        <v>53</v>
      </c>
      <c r="AL1578" t="s">
        <v>54</v>
      </c>
      <c r="AQ1578" t="s">
        <v>54</v>
      </c>
      <c r="AT1578" t="s">
        <v>2410</v>
      </c>
      <c r="AW1578" t="s">
        <v>53</v>
      </c>
      <c r="AZ1578" t="s">
        <v>54</v>
      </c>
      <c r="BA1578" t="s">
        <v>7840</v>
      </c>
    </row>
    <row r="1579" spans="1:53" x14ac:dyDescent="0.25">
      <c r="A1579">
        <v>1574</v>
      </c>
      <c r="B1579" t="s">
        <v>8316</v>
      </c>
      <c r="C1579" t="s">
        <v>8317</v>
      </c>
      <c r="D1579" t="s">
        <v>8318</v>
      </c>
      <c r="E1579">
        <v>9</v>
      </c>
      <c r="F1579" t="s">
        <v>7831</v>
      </c>
      <c r="G1579" t="s">
        <v>6633</v>
      </c>
      <c r="H1579" t="s">
        <v>7890</v>
      </c>
      <c r="I1579" t="s">
        <v>8085</v>
      </c>
      <c r="J1579" t="s">
        <v>8086</v>
      </c>
      <c r="K1579" t="s">
        <v>8087</v>
      </c>
      <c r="L1579" t="s">
        <v>8319</v>
      </c>
      <c r="M1579">
        <v>1.262964028865099E-2</v>
      </c>
      <c r="N1579" t="s">
        <v>53</v>
      </c>
      <c r="O1579" t="s">
        <v>53</v>
      </c>
      <c r="P1579" t="s">
        <v>53</v>
      </c>
      <c r="Q1579" t="s">
        <v>53</v>
      </c>
      <c r="R1579" t="s">
        <v>53</v>
      </c>
      <c r="S1579" t="s">
        <v>6638</v>
      </c>
      <c r="T1579" t="s">
        <v>8088</v>
      </c>
      <c r="U1579" t="s">
        <v>54</v>
      </c>
      <c r="V1579" t="s">
        <v>8320</v>
      </c>
      <c r="W1579">
        <v>25000</v>
      </c>
      <c r="X1579" t="s">
        <v>54</v>
      </c>
      <c r="AA1579">
        <v>0</v>
      </c>
      <c r="AB1579">
        <v>0</v>
      </c>
      <c r="AC1579">
        <v>0</v>
      </c>
      <c r="AD1579">
        <v>0</v>
      </c>
      <c r="AE1579">
        <v>0</v>
      </c>
      <c r="AF1579">
        <v>0</v>
      </c>
      <c r="AG1579">
        <v>0</v>
      </c>
      <c r="AH1579">
        <v>0</v>
      </c>
      <c r="AI1579">
        <v>0</v>
      </c>
      <c r="AJ1579">
        <v>0</v>
      </c>
      <c r="AK1579" t="s">
        <v>53</v>
      </c>
      <c r="AL1579" t="s">
        <v>54</v>
      </c>
      <c r="AQ1579" t="s">
        <v>54</v>
      </c>
      <c r="AT1579" t="s">
        <v>2410</v>
      </c>
      <c r="AW1579" t="s">
        <v>53</v>
      </c>
      <c r="AZ1579" t="s">
        <v>54</v>
      </c>
      <c r="BA1579" t="s">
        <v>7840</v>
      </c>
    </row>
    <row r="1580" spans="1:53" x14ac:dyDescent="0.25">
      <c r="A1580">
        <v>1575</v>
      </c>
      <c r="B1580" t="s">
        <v>8321</v>
      </c>
      <c r="C1580" t="s">
        <v>8322</v>
      </c>
      <c r="D1580" t="s">
        <v>8323</v>
      </c>
      <c r="E1580">
        <v>9</v>
      </c>
      <c r="F1580" t="s">
        <v>7831</v>
      </c>
      <c r="G1580" t="s">
        <v>6621</v>
      </c>
      <c r="H1580" t="s">
        <v>7940</v>
      </c>
      <c r="I1580" t="s">
        <v>7941</v>
      </c>
      <c r="J1580" t="s">
        <v>7942</v>
      </c>
      <c r="K1580" t="s">
        <v>7943</v>
      </c>
      <c r="L1580" t="s">
        <v>8324</v>
      </c>
      <c r="M1580">
        <v>910.702880859375</v>
      </c>
      <c r="N1580" t="s">
        <v>54</v>
      </c>
      <c r="O1580" t="s">
        <v>53</v>
      </c>
      <c r="P1580" t="s">
        <v>54</v>
      </c>
      <c r="Q1580" t="s">
        <v>54</v>
      </c>
      <c r="R1580" t="s">
        <v>53</v>
      </c>
      <c r="S1580" t="s">
        <v>6571</v>
      </c>
      <c r="T1580" t="s">
        <v>7944</v>
      </c>
      <c r="U1580" t="s">
        <v>53</v>
      </c>
      <c r="V1580" t="s">
        <v>51</v>
      </c>
      <c r="W1580">
        <v>100000</v>
      </c>
      <c r="X1580" t="s">
        <v>54</v>
      </c>
      <c r="AA1580">
        <v>90</v>
      </c>
      <c r="AB1580">
        <v>16</v>
      </c>
      <c r="AC1580">
        <v>12</v>
      </c>
      <c r="AD1580">
        <v>22</v>
      </c>
      <c r="AE1580">
        <v>22</v>
      </c>
      <c r="AF1580">
        <v>0</v>
      </c>
      <c r="AG1580">
        <v>5</v>
      </c>
      <c r="AH1580">
        <v>20.95122146606445</v>
      </c>
      <c r="AI1580">
        <v>0</v>
      </c>
      <c r="AJ1580">
        <v>4147.8193359375</v>
      </c>
      <c r="AK1580" t="s">
        <v>53</v>
      </c>
      <c r="AL1580" t="s">
        <v>54</v>
      </c>
      <c r="AQ1580" t="s">
        <v>54</v>
      </c>
      <c r="AT1580" t="s">
        <v>2410</v>
      </c>
      <c r="AW1580" t="s">
        <v>53</v>
      </c>
      <c r="AZ1580" t="s">
        <v>54</v>
      </c>
      <c r="BA1580" t="s">
        <v>7840</v>
      </c>
    </row>
    <row r="1581" spans="1:53" x14ac:dyDescent="0.25">
      <c r="A1581">
        <v>1576</v>
      </c>
      <c r="B1581" t="s">
        <v>8325</v>
      </c>
      <c r="C1581" t="s">
        <v>8326</v>
      </c>
      <c r="D1581" t="s">
        <v>8327</v>
      </c>
      <c r="E1581">
        <v>9</v>
      </c>
      <c r="F1581" t="s">
        <v>7831</v>
      </c>
      <c r="G1581" t="s">
        <v>8328</v>
      </c>
      <c r="H1581" t="s">
        <v>7900</v>
      </c>
      <c r="I1581" t="s">
        <v>7901</v>
      </c>
      <c r="J1581" t="s">
        <v>7901</v>
      </c>
      <c r="K1581" t="s">
        <v>7903</v>
      </c>
      <c r="L1581" t="s">
        <v>7858</v>
      </c>
      <c r="M1581">
        <v>44.264347076416023</v>
      </c>
      <c r="N1581" t="s">
        <v>54</v>
      </c>
      <c r="O1581" t="s">
        <v>53</v>
      </c>
      <c r="P1581" t="s">
        <v>54</v>
      </c>
      <c r="Q1581" t="s">
        <v>53</v>
      </c>
      <c r="R1581" t="s">
        <v>53</v>
      </c>
      <c r="S1581" t="s">
        <v>7904</v>
      </c>
      <c r="T1581" t="s">
        <v>8114</v>
      </c>
      <c r="U1581" t="s">
        <v>54</v>
      </c>
      <c r="V1581" t="s">
        <v>51</v>
      </c>
      <c r="W1581">
        <v>411700</v>
      </c>
      <c r="X1581" t="s">
        <v>54</v>
      </c>
      <c r="AA1581">
        <v>6574</v>
      </c>
      <c r="AB1581">
        <v>5476</v>
      </c>
      <c r="AC1581">
        <v>24528</v>
      </c>
      <c r="AD1581">
        <v>21069</v>
      </c>
      <c r="AE1581">
        <v>24528</v>
      </c>
      <c r="AF1581">
        <v>10</v>
      </c>
      <c r="AG1581">
        <v>26</v>
      </c>
      <c r="AH1581">
        <v>154.56486511230469</v>
      </c>
      <c r="AI1581">
        <v>0</v>
      </c>
      <c r="AJ1581">
        <v>26.065326690673832</v>
      </c>
      <c r="AK1581" t="s">
        <v>53</v>
      </c>
      <c r="AL1581" t="s">
        <v>54</v>
      </c>
      <c r="AQ1581" t="s">
        <v>54</v>
      </c>
      <c r="AT1581" t="s">
        <v>2410</v>
      </c>
      <c r="AW1581" t="s">
        <v>53</v>
      </c>
      <c r="AZ1581" t="s">
        <v>54</v>
      </c>
      <c r="BA1581" t="s">
        <v>7840</v>
      </c>
    </row>
    <row r="1582" spans="1:53" x14ac:dyDescent="0.25">
      <c r="A1582">
        <v>1577</v>
      </c>
      <c r="B1582" t="s">
        <v>8329</v>
      </c>
      <c r="C1582" t="s">
        <v>8330</v>
      </c>
      <c r="D1582" t="s">
        <v>8331</v>
      </c>
      <c r="E1582">
        <v>9</v>
      </c>
      <c r="F1582" t="s">
        <v>7831</v>
      </c>
      <c r="G1582" t="s">
        <v>7832</v>
      </c>
      <c r="H1582" t="s">
        <v>8332</v>
      </c>
      <c r="I1582" t="s">
        <v>8333</v>
      </c>
      <c r="J1582" t="s">
        <v>7853</v>
      </c>
      <c r="K1582" t="s">
        <v>8334</v>
      </c>
      <c r="L1582" t="s">
        <v>7858</v>
      </c>
      <c r="M1582">
        <v>61.911529541015618</v>
      </c>
      <c r="N1582" t="s">
        <v>54</v>
      </c>
      <c r="O1582" t="s">
        <v>53</v>
      </c>
      <c r="P1582" t="s">
        <v>54</v>
      </c>
      <c r="Q1582" t="s">
        <v>53</v>
      </c>
      <c r="R1582" t="s">
        <v>53</v>
      </c>
      <c r="S1582" t="s">
        <v>7838</v>
      </c>
      <c r="T1582" t="s">
        <v>7839</v>
      </c>
      <c r="U1582" t="s">
        <v>54</v>
      </c>
      <c r="V1582" t="s">
        <v>51</v>
      </c>
      <c r="W1582">
        <v>25000</v>
      </c>
      <c r="X1582" t="s">
        <v>54</v>
      </c>
      <c r="AA1582">
        <v>2587</v>
      </c>
      <c r="AB1582">
        <v>1821</v>
      </c>
      <c r="AC1582">
        <v>8034</v>
      </c>
      <c r="AD1582">
        <v>6050</v>
      </c>
      <c r="AE1582">
        <v>8034</v>
      </c>
      <c r="AF1582">
        <v>6</v>
      </c>
      <c r="AG1582">
        <v>27</v>
      </c>
      <c r="AH1582">
        <v>93.645278930664063</v>
      </c>
      <c r="AI1582">
        <v>0</v>
      </c>
      <c r="AJ1582">
        <v>558.4952392578125</v>
      </c>
      <c r="AK1582" t="s">
        <v>53</v>
      </c>
      <c r="AL1582" t="s">
        <v>54</v>
      </c>
      <c r="AQ1582" t="s">
        <v>54</v>
      </c>
      <c r="AT1582" t="s">
        <v>2410</v>
      </c>
      <c r="AW1582" t="s">
        <v>53</v>
      </c>
      <c r="AZ1582" t="s">
        <v>54</v>
      </c>
      <c r="BA1582" t="s">
        <v>7840</v>
      </c>
    </row>
    <row r="1583" spans="1:53" x14ac:dyDescent="0.25">
      <c r="A1583">
        <v>1578</v>
      </c>
      <c r="B1583" t="s">
        <v>8335</v>
      </c>
      <c r="C1583" t="s">
        <v>8336</v>
      </c>
      <c r="D1583" t="s">
        <v>8337</v>
      </c>
      <c r="E1583">
        <v>9</v>
      </c>
      <c r="F1583" t="s">
        <v>7831</v>
      </c>
      <c r="G1583" t="s">
        <v>7832</v>
      </c>
      <c r="H1583" t="s">
        <v>8138</v>
      </c>
      <c r="I1583" t="s">
        <v>7852</v>
      </c>
      <c r="J1583" t="s">
        <v>7853</v>
      </c>
      <c r="K1583" t="s">
        <v>8221</v>
      </c>
      <c r="L1583" t="s">
        <v>7877</v>
      </c>
      <c r="M1583">
        <v>0.45577678084373469</v>
      </c>
      <c r="N1583" t="s">
        <v>53</v>
      </c>
      <c r="O1583" t="s">
        <v>53</v>
      </c>
      <c r="P1583" t="s">
        <v>53</v>
      </c>
      <c r="Q1583" t="s">
        <v>53</v>
      </c>
      <c r="R1583" t="s">
        <v>53</v>
      </c>
      <c r="S1583" t="s">
        <v>7838</v>
      </c>
      <c r="T1583" t="s">
        <v>7839</v>
      </c>
      <c r="U1583" t="s">
        <v>53</v>
      </c>
      <c r="V1583" t="s">
        <v>51</v>
      </c>
      <c r="W1583">
        <v>532640</v>
      </c>
      <c r="X1583" t="s">
        <v>54</v>
      </c>
      <c r="AA1583">
        <v>96</v>
      </c>
      <c r="AB1583">
        <v>94</v>
      </c>
      <c r="AC1583">
        <v>0</v>
      </c>
      <c r="AD1583">
        <v>0</v>
      </c>
      <c r="AE1583">
        <v>0</v>
      </c>
      <c r="AF1583">
        <v>0</v>
      </c>
      <c r="AG1583">
        <v>0</v>
      </c>
      <c r="AH1583">
        <v>0</v>
      </c>
      <c r="AI1583">
        <v>0</v>
      </c>
      <c r="AJ1583">
        <v>0</v>
      </c>
      <c r="AK1583" t="s">
        <v>53</v>
      </c>
      <c r="AL1583" t="s">
        <v>54</v>
      </c>
      <c r="AQ1583" t="s">
        <v>54</v>
      </c>
      <c r="AT1583" t="s">
        <v>2410</v>
      </c>
      <c r="AW1583" t="s">
        <v>53</v>
      </c>
      <c r="AZ1583" t="s">
        <v>54</v>
      </c>
      <c r="BA1583" t="s">
        <v>7840</v>
      </c>
    </row>
    <row r="1584" spans="1:53" x14ac:dyDescent="0.25">
      <c r="A1584">
        <v>1579</v>
      </c>
      <c r="B1584" t="s">
        <v>8338</v>
      </c>
      <c r="C1584" t="s">
        <v>8339</v>
      </c>
      <c r="D1584" t="s">
        <v>8340</v>
      </c>
      <c r="E1584">
        <v>9</v>
      </c>
      <c r="F1584" t="s">
        <v>7831</v>
      </c>
      <c r="G1584" t="s">
        <v>7832</v>
      </c>
      <c r="H1584" t="s">
        <v>7851</v>
      </c>
      <c r="I1584" t="s">
        <v>7852</v>
      </c>
      <c r="J1584" t="s">
        <v>7853</v>
      </c>
      <c r="K1584" t="s">
        <v>8221</v>
      </c>
      <c r="L1584" t="s">
        <v>7858</v>
      </c>
      <c r="M1584">
        <v>0.29262256622314448</v>
      </c>
      <c r="N1584" t="s">
        <v>53</v>
      </c>
      <c r="O1584" t="s">
        <v>53</v>
      </c>
      <c r="P1584" t="s">
        <v>53</v>
      </c>
      <c r="Q1584" t="s">
        <v>53</v>
      </c>
      <c r="R1584" t="s">
        <v>53</v>
      </c>
      <c r="S1584" t="s">
        <v>7838</v>
      </c>
      <c r="T1584" t="s">
        <v>7839</v>
      </c>
      <c r="U1584" t="s">
        <v>54</v>
      </c>
      <c r="V1584" t="s">
        <v>51</v>
      </c>
      <c r="W1584">
        <v>100000</v>
      </c>
      <c r="X1584" t="s">
        <v>54</v>
      </c>
      <c r="AA1584">
        <v>7</v>
      </c>
      <c r="AB1584">
        <v>0</v>
      </c>
      <c r="AC1584">
        <v>0</v>
      </c>
      <c r="AD1584">
        <v>0</v>
      </c>
      <c r="AE1584">
        <v>0</v>
      </c>
      <c r="AF1584">
        <v>0</v>
      </c>
      <c r="AG1584">
        <v>1</v>
      </c>
      <c r="AH1584">
        <v>0</v>
      </c>
      <c r="AI1584">
        <v>0</v>
      </c>
      <c r="AJ1584">
        <v>0</v>
      </c>
      <c r="AK1584" t="s">
        <v>53</v>
      </c>
      <c r="AL1584" t="s">
        <v>53</v>
      </c>
      <c r="AQ1584" t="s">
        <v>53</v>
      </c>
      <c r="AT1584" t="s">
        <v>2410</v>
      </c>
      <c r="AW1584" t="s">
        <v>53</v>
      </c>
      <c r="AZ1584" t="s">
        <v>54</v>
      </c>
      <c r="BA1584" t="s">
        <v>7840</v>
      </c>
    </row>
    <row r="1585" spans="1:53" x14ac:dyDescent="0.25">
      <c r="A1585">
        <v>1580</v>
      </c>
      <c r="B1585" t="s">
        <v>8341</v>
      </c>
      <c r="C1585" t="s">
        <v>8342</v>
      </c>
      <c r="D1585" t="s">
        <v>8343</v>
      </c>
      <c r="E1585">
        <v>9</v>
      </c>
      <c r="F1585" t="s">
        <v>7831</v>
      </c>
      <c r="G1585" t="s">
        <v>7832</v>
      </c>
      <c r="H1585" t="s">
        <v>7851</v>
      </c>
      <c r="I1585" t="s">
        <v>7852</v>
      </c>
      <c r="J1585" t="s">
        <v>7886</v>
      </c>
      <c r="K1585" t="s">
        <v>7876</v>
      </c>
      <c r="L1585" t="s">
        <v>8344</v>
      </c>
      <c r="M1585">
        <v>1.9282010793685911</v>
      </c>
      <c r="N1585" t="s">
        <v>54</v>
      </c>
      <c r="O1585" t="s">
        <v>53</v>
      </c>
      <c r="P1585" t="s">
        <v>54</v>
      </c>
      <c r="Q1585" t="s">
        <v>53</v>
      </c>
      <c r="R1585" t="s">
        <v>53</v>
      </c>
      <c r="S1585" t="s">
        <v>7838</v>
      </c>
      <c r="T1585" t="s">
        <v>7839</v>
      </c>
      <c r="U1585" t="s">
        <v>53</v>
      </c>
      <c r="V1585" t="s">
        <v>1973</v>
      </c>
      <c r="W1585">
        <v>25000</v>
      </c>
      <c r="X1585" t="s">
        <v>54</v>
      </c>
      <c r="AA1585">
        <v>24</v>
      </c>
      <c r="AB1585">
        <v>8</v>
      </c>
      <c r="AC1585">
        <v>0</v>
      </c>
      <c r="AD1585">
        <v>0</v>
      </c>
      <c r="AE1585">
        <v>0</v>
      </c>
      <c r="AF1585">
        <v>0</v>
      </c>
      <c r="AG1585">
        <v>0</v>
      </c>
      <c r="AH1585">
        <v>0</v>
      </c>
      <c r="AI1585">
        <v>0</v>
      </c>
      <c r="AJ1585">
        <v>4.6554327011108398</v>
      </c>
      <c r="AK1585" t="s">
        <v>53</v>
      </c>
      <c r="AL1585" t="s">
        <v>53</v>
      </c>
      <c r="AQ1585" t="s">
        <v>53</v>
      </c>
      <c r="AT1585" t="s">
        <v>2410</v>
      </c>
      <c r="AW1585" t="s">
        <v>53</v>
      </c>
      <c r="AZ1585" t="s">
        <v>54</v>
      </c>
      <c r="BA1585" t="s">
        <v>7840</v>
      </c>
    </row>
    <row r="1586" spans="1:53" x14ac:dyDescent="0.25">
      <c r="A1586">
        <v>1581</v>
      </c>
      <c r="B1586" t="s">
        <v>8345</v>
      </c>
      <c r="C1586" t="s">
        <v>8346</v>
      </c>
      <c r="D1586" t="s">
        <v>8347</v>
      </c>
      <c r="E1586">
        <v>9</v>
      </c>
      <c r="F1586" t="s">
        <v>7831</v>
      </c>
      <c r="G1586" t="s">
        <v>7832</v>
      </c>
      <c r="H1586" t="s">
        <v>7851</v>
      </c>
      <c r="I1586" t="s">
        <v>7852</v>
      </c>
      <c r="J1586" t="s">
        <v>7872</v>
      </c>
      <c r="K1586" t="s">
        <v>7854</v>
      </c>
      <c r="L1586" t="s">
        <v>8344</v>
      </c>
      <c r="M1586">
        <v>2.9849948361515999E-2</v>
      </c>
      <c r="N1586" t="s">
        <v>54</v>
      </c>
      <c r="O1586" t="s">
        <v>53</v>
      </c>
      <c r="P1586" t="s">
        <v>54</v>
      </c>
      <c r="Q1586" t="s">
        <v>53</v>
      </c>
      <c r="R1586" t="s">
        <v>53</v>
      </c>
      <c r="S1586" t="s">
        <v>7838</v>
      </c>
      <c r="T1586" t="s">
        <v>7839</v>
      </c>
      <c r="U1586" t="s">
        <v>53</v>
      </c>
      <c r="V1586" t="s">
        <v>1973</v>
      </c>
      <c r="W1586">
        <v>25000</v>
      </c>
      <c r="X1586" t="s">
        <v>54</v>
      </c>
      <c r="AA1586">
        <v>7</v>
      </c>
      <c r="AB1586">
        <v>0</v>
      </c>
      <c r="AC1586">
        <v>0</v>
      </c>
      <c r="AD1586">
        <v>0</v>
      </c>
      <c r="AE1586">
        <v>0</v>
      </c>
      <c r="AF1586">
        <v>0</v>
      </c>
      <c r="AG1586">
        <v>1</v>
      </c>
      <c r="AH1586">
        <v>0</v>
      </c>
      <c r="AI1586">
        <v>0</v>
      </c>
      <c r="AJ1586">
        <v>0</v>
      </c>
      <c r="AK1586" t="s">
        <v>53</v>
      </c>
      <c r="AL1586" t="s">
        <v>53</v>
      </c>
      <c r="AQ1586" t="s">
        <v>53</v>
      </c>
      <c r="AT1586" t="s">
        <v>2410</v>
      </c>
      <c r="AW1586" t="s">
        <v>53</v>
      </c>
      <c r="AZ1586" t="s">
        <v>54</v>
      </c>
      <c r="BA1586" t="s">
        <v>7840</v>
      </c>
    </row>
    <row r="1587" spans="1:53" x14ac:dyDescent="0.25">
      <c r="A1587">
        <v>1582</v>
      </c>
      <c r="B1587" t="s">
        <v>8348</v>
      </c>
      <c r="C1587" t="s">
        <v>8349</v>
      </c>
      <c r="D1587" t="s">
        <v>8350</v>
      </c>
      <c r="E1587">
        <v>9</v>
      </c>
      <c r="F1587" t="s">
        <v>7831</v>
      </c>
      <c r="G1587" t="s">
        <v>7832</v>
      </c>
      <c r="H1587" t="s">
        <v>7851</v>
      </c>
      <c r="I1587" t="s">
        <v>7852</v>
      </c>
      <c r="J1587" t="s">
        <v>7853</v>
      </c>
      <c r="K1587" t="s">
        <v>7854</v>
      </c>
      <c r="L1587" t="s">
        <v>8344</v>
      </c>
      <c r="M1587">
        <v>2.5001125410199169E-2</v>
      </c>
      <c r="N1587" t="s">
        <v>54</v>
      </c>
      <c r="O1587" t="s">
        <v>53</v>
      </c>
      <c r="P1587" t="s">
        <v>54</v>
      </c>
      <c r="Q1587" t="s">
        <v>53</v>
      </c>
      <c r="R1587" t="s">
        <v>53</v>
      </c>
      <c r="S1587" t="s">
        <v>7838</v>
      </c>
      <c r="T1587" t="s">
        <v>7839</v>
      </c>
      <c r="U1587" t="s">
        <v>53</v>
      </c>
      <c r="V1587" t="s">
        <v>1973</v>
      </c>
      <c r="W1587">
        <v>25000</v>
      </c>
      <c r="X1587" t="s">
        <v>54</v>
      </c>
      <c r="AA1587">
        <v>0</v>
      </c>
      <c r="AB1587">
        <v>0</v>
      </c>
      <c r="AC1587">
        <v>0</v>
      </c>
      <c r="AD1587">
        <v>0</v>
      </c>
      <c r="AE1587">
        <v>0</v>
      </c>
      <c r="AF1587">
        <v>0</v>
      </c>
      <c r="AG1587">
        <v>0</v>
      </c>
      <c r="AH1587">
        <v>0</v>
      </c>
      <c r="AI1587">
        <v>0</v>
      </c>
      <c r="AJ1587">
        <v>1.0861918926239009</v>
      </c>
      <c r="AK1587" t="s">
        <v>53</v>
      </c>
      <c r="AL1587" t="s">
        <v>53</v>
      </c>
      <c r="AQ1587" t="s">
        <v>53</v>
      </c>
      <c r="AT1587" t="s">
        <v>2410</v>
      </c>
      <c r="AW1587" t="s">
        <v>53</v>
      </c>
      <c r="AZ1587" t="s">
        <v>54</v>
      </c>
      <c r="BA1587" t="s">
        <v>7840</v>
      </c>
    </row>
    <row r="1588" spans="1:53" x14ac:dyDescent="0.25">
      <c r="A1588">
        <v>1583</v>
      </c>
      <c r="B1588" t="s">
        <v>8351</v>
      </c>
      <c r="C1588" t="s">
        <v>8352</v>
      </c>
      <c r="D1588" t="s">
        <v>8353</v>
      </c>
      <c r="E1588">
        <v>9</v>
      </c>
      <c r="F1588" t="s">
        <v>7831</v>
      </c>
      <c r="G1588" t="s">
        <v>7832</v>
      </c>
      <c r="H1588" t="s">
        <v>8138</v>
      </c>
      <c r="I1588" t="s">
        <v>8354</v>
      </c>
      <c r="J1588" t="s">
        <v>7853</v>
      </c>
      <c r="K1588" t="s">
        <v>8355</v>
      </c>
      <c r="L1588" t="s">
        <v>8356</v>
      </c>
      <c r="M1588">
        <v>2.7088434435427189E-3</v>
      </c>
      <c r="N1588" t="s">
        <v>54</v>
      </c>
      <c r="O1588" t="s">
        <v>53</v>
      </c>
      <c r="P1588" t="s">
        <v>54</v>
      </c>
      <c r="Q1588" t="s">
        <v>53</v>
      </c>
      <c r="R1588" t="s">
        <v>53</v>
      </c>
      <c r="S1588" t="s">
        <v>7838</v>
      </c>
      <c r="T1588" t="s">
        <v>7839</v>
      </c>
      <c r="U1588" t="s">
        <v>53</v>
      </c>
      <c r="V1588" t="s">
        <v>1973</v>
      </c>
      <c r="W1588">
        <v>25000</v>
      </c>
      <c r="X1588" t="s">
        <v>54</v>
      </c>
      <c r="AA1588">
        <v>0</v>
      </c>
      <c r="AB1588">
        <v>0</v>
      </c>
      <c r="AC1588">
        <v>0</v>
      </c>
      <c r="AD1588">
        <v>0</v>
      </c>
      <c r="AE1588">
        <v>0</v>
      </c>
      <c r="AF1588">
        <v>0</v>
      </c>
      <c r="AG1588">
        <v>0</v>
      </c>
      <c r="AH1588">
        <v>0</v>
      </c>
      <c r="AI1588">
        <v>0</v>
      </c>
      <c r="AJ1588">
        <v>0</v>
      </c>
      <c r="AK1588" t="s">
        <v>53</v>
      </c>
      <c r="AL1588" t="s">
        <v>53</v>
      </c>
      <c r="AQ1588" t="s">
        <v>53</v>
      </c>
      <c r="AT1588" t="s">
        <v>2410</v>
      </c>
      <c r="AW1588" t="s">
        <v>53</v>
      </c>
      <c r="AZ1588" t="s">
        <v>54</v>
      </c>
      <c r="BA1588" t="s">
        <v>7840</v>
      </c>
    </row>
    <row r="1589" spans="1:53" x14ac:dyDescent="0.25">
      <c r="A1589">
        <v>1584</v>
      </c>
      <c r="B1589" t="s">
        <v>8357</v>
      </c>
      <c r="C1589" t="s">
        <v>8358</v>
      </c>
      <c r="D1589" t="s">
        <v>8359</v>
      </c>
      <c r="E1589">
        <v>9</v>
      </c>
      <c r="F1589" t="s">
        <v>7831</v>
      </c>
      <c r="G1589" t="s">
        <v>7832</v>
      </c>
      <c r="H1589" t="s">
        <v>8332</v>
      </c>
      <c r="I1589" t="s">
        <v>8333</v>
      </c>
      <c r="J1589" t="s">
        <v>7853</v>
      </c>
      <c r="K1589" t="s">
        <v>8334</v>
      </c>
      <c r="L1589" t="s">
        <v>8344</v>
      </c>
      <c r="M1589">
        <v>61.911529541015618</v>
      </c>
      <c r="N1589" t="s">
        <v>54</v>
      </c>
      <c r="O1589" t="s">
        <v>53</v>
      </c>
      <c r="P1589" t="s">
        <v>54</v>
      </c>
      <c r="Q1589" t="s">
        <v>53</v>
      </c>
      <c r="R1589" t="s">
        <v>53</v>
      </c>
      <c r="S1589" t="s">
        <v>7838</v>
      </c>
      <c r="T1589" t="s">
        <v>7839</v>
      </c>
      <c r="U1589" t="s">
        <v>53</v>
      </c>
      <c r="V1589" t="s">
        <v>1973</v>
      </c>
      <c r="W1589">
        <v>25000</v>
      </c>
      <c r="X1589" t="s">
        <v>54</v>
      </c>
      <c r="AA1589">
        <v>2587</v>
      </c>
      <c r="AB1589">
        <v>1821</v>
      </c>
      <c r="AC1589">
        <v>0</v>
      </c>
      <c r="AD1589">
        <v>0</v>
      </c>
      <c r="AE1589">
        <v>0</v>
      </c>
      <c r="AF1589">
        <v>6</v>
      </c>
      <c r="AG1589">
        <v>27</v>
      </c>
      <c r="AH1589">
        <v>0</v>
      </c>
      <c r="AI1589">
        <v>0</v>
      </c>
      <c r="AJ1589">
        <v>558.4952392578125</v>
      </c>
      <c r="AK1589" t="s">
        <v>53</v>
      </c>
      <c r="AL1589" t="s">
        <v>53</v>
      </c>
      <c r="AQ1589" t="s">
        <v>53</v>
      </c>
      <c r="AT1589" t="s">
        <v>2410</v>
      </c>
      <c r="AW1589" t="s">
        <v>53</v>
      </c>
      <c r="AZ1589" t="s">
        <v>54</v>
      </c>
      <c r="BA1589" t="s">
        <v>7840</v>
      </c>
    </row>
    <row r="1590" spans="1:53" x14ac:dyDescent="0.25">
      <c r="A1590">
        <v>1585</v>
      </c>
      <c r="B1590" t="s">
        <v>8360</v>
      </c>
      <c r="C1590" t="s">
        <v>8361</v>
      </c>
      <c r="D1590" t="s">
        <v>8362</v>
      </c>
      <c r="E1590">
        <v>9</v>
      </c>
      <c r="F1590" t="s">
        <v>7831</v>
      </c>
      <c r="G1590" t="s">
        <v>7832</v>
      </c>
      <c r="H1590" t="s">
        <v>8332</v>
      </c>
      <c r="I1590" t="s">
        <v>8333</v>
      </c>
      <c r="J1590" t="s">
        <v>7853</v>
      </c>
      <c r="K1590" t="s">
        <v>8355</v>
      </c>
      <c r="L1590" t="s">
        <v>8363</v>
      </c>
      <c r="M1590">
        <v>2.5513630826026201E-3</v>
      </c>
      <c r="N1590" t="s">
        <v>54</v>
      </c>
      <c r="O1590" t="s">
        <v>53</v>
      </c>
      <c r="P1590" t="s">
        <v>54</v>
      </c>
      <c r="Q1590" t="s">
        <v>53</v>
      </c>
      <c r="R1590" t="s">
        <v>53</v>
      </c>
      <c r="S1590" t="s">
        <v>7838</v>
      </c>
      <c r="T1590" t="s">
        <v>7839</v>
      </c>
      <c r="U1590" t="s">
        <v>53</v>
      </c>
      <c r="V1590" t="s">
        <v>1973</v>
      </c>
      <c r="W1590">
        <v>150000</v>
      </c>
      <c r="X1590" t="s">
        <v>53</v>
      </c>
      <c r="AA1590">
        <v>0</v>
      </c>
      <c r="AB1590">
        <v>0</v>
      </c>
      <c r="AC1590">
        <v>0</v>
      </c>
      <c r="AD1590">
        <v>0</v>
      </c>
      <c r="AE1590">
        <v>0</v>
      </c>
      <c r="AF1590">
        <v>0</v>
      </c>
      <c r="AG1590">
        <v>0</v>
      </c>
      <c r="AH1590">
        <v>0</v>
      </c>
      <c r="AI1590">
        <v>0</v>
      </c>
      <c r="AJ1590">
        <v>0</v>
      </c>
      <c r="AK1590" t="s">
        <v>53</v>
      </c>
      <c r="AL1590" t="s">
        <v>53</v>
      </c>
      <c r="AQ1590" t="s">
        <v>53</v>
      </c>
      <c r="AT1590" t="s">
        <v>2410</v>
      </c>
      <c r="AW1590" t="s">
        <v>53</v>
      </c>
      <c r="AZ1590" t="s">
        <v>54</v>
      </c>
      <c r="BA1590" t="s">
        <v>7840</v>
      </c>
    </row>
    <row r="1591" spans="1:53" x14ac:dyDescent="0.25">
      <c r="A1591">
        <v>1586</v>
      </c>
      <c r="B1591" t="s">
        <v>8364</v>
      </c>
      <c r="C1591" t="s">
        <v>8365</v>
      </c>
      <c r="D1591" t="s">
        <v>8366</v>
      </c>
      <c r="E1591">
        <v>9</v>
      </c>
      <c r="F1591" t="s">
        <v>7831</v>
      </c>
      <c r="G1591" t="s">
        <v>7995</v>
      </c>
      <c r="H1591" t="s">
        <v>7900</v>
      </c>
      <c r="I1591" t="s">
        <v>8367</v>
      </c>
      <c r="J1591" t="s">
        <v>8368</v>
      </c>
      <c r="K1591" t="s">
        <v>8369</v>
      </c>
      <c r="L1591" t="s">
        <v>8344</v>
      </c>
      <c r="M1591">
        <v>0.76234525442123413</v>
      </c>
      <c r="N1591" t="s">
        <v>54</v>
      </c>
      <c r="O1591" t="s">
        <v>53</v>
      </c>
      <c r="P1591" t="s">
        <v>54</v>
      </c>
      <c r="Q1591" t="s">
        <v>53</v>
      </c>
      <c r="R1591" t="s">
        <v>53</v>
      </c>
      <c r="S1591" t="s">
        <v>8370</v>
      </c>
      <c r="T1591" t="s">
        <v>8371</v>
      </c>
      <c r="U1591" t="s">
        <v>53</v>
      </c>
      <c r="V1591" t="s">
        <v>51</v>
      </c>
      <c r="W1591">
        <v>8450000</v>
      </c>
      <c r="X1591" t="s">
        <v>53</v>
      </c>
      <c r="AA1591">
        <v>37</v>
      </c>
      <c r="AB1591">
        <v>36</v>
      </c>
      <c r="AC1591">
        <v>29</v>
      </c>
      <c r="AD1591">
        <v>138</v>
      </c>
      <c r="AE1591">
        <v>138</v>
      </c>
      <c r="AF1591">
        <v>0</v>
      </c>
      <c r="AG1591">
        <v>1</v>
      </c>
      <c r="AH1591">
        <v>1.8999999761581421</v>
      </c>
      <c r="AI1591">
        <v>0</v>
      </c>
      <c r="AJ1591">
        <v>4.5999999046325684</v>
      </c>
      <c r="AK1591" t="s">
        <v>53</v>
      </c>
      <c r="AL1591" t="s">
        <v>53</v>
      </c>
      <c r="AQ1591" t="s">
        <v>53</v>
      </c>
      <c r="AT1591" t="s">
        <v>2410</v>
      </c>
      <c r="AW1591" t="s">
        <v>53</v>
      </c>
      <c r="AZ1591" t="s">
        <v>54</v>
      </c>
      <c r="BA1591" t="s">
        <v>7840</v>
      </c>
    </row>
    <row r="1592" spans="1:53" x14ac:dyDescent="0.25">
      <c r="A1592">
        <v>1587</v>
      </c>
      <c r="B1592" t="s">
        <v>44</v>
      </c>
      <c r="C1592" t="s">
        <v>46</v>
      </c>
      <c r="D1592" t="s">
        <v>47</v>
      </c>
      <c r="E1592">
        <v>10</v>
      </c>
      <c r="F1592" t="s">
        <v>45</v>
      </c>
      <c r="G1592" t="s">
        <v>49</v>
      </c>
      <c r="H1592" t="s">
        <v>50</v>
      </c>
      <c r="L1592" t="s">
        <v>48</v>
      </c>
      <c r="M1592">
        <v>0.6695932149887085</v>
      </c>
      <c r="N1592" t="s">
        <v>53</v>
      </c>
      <c r="O1592" t="s">
        <v>53</v>
      </c>
      <c r="P1592" t="s">
        <v>54</v>
      </c>
      <c r="Q1592" t="s">
        <v>53</v>
      </c>
      <c r="R1592" t="s">
        <v>53</v>
      </c>
      <c r="S1592" t="s">
        <v>52</v>
      </c>
      <c r="T1592" t="s">
        <v>8372</v>
      </c>
      <c r="U1592" t="s">
        <v>53</v>
      </c>
      <c r="V1592" t="s">
        <v>51</v>
      </c>
      <c r="W1592">
        <v>250000</v>
      </c>
      <c r="X1592" t="s">
        <v>53</v>
      </c>
      <c r="AA1592">
        <v>0</v>
      </c>
      <c r="AB1592">
        <v>0</v>
      </c>
      <c r="AC1592">
        <v>0</v>
      </c>
      <c r="AD1592">
        <v>0</v>
      </c>
      <c r="AE1592">
        <v>0</v>
      </c>
      <c r="AF1592">
        <v>0</v>
      </c>
      <c r="AG1592">
        <v>0</v>
      </c>
      <c r="AH1592">
        <v>0</v>
      </c>
      <c r="AJ1592">
        <v>0</v>
      </c>
      <c r="AK1592" t="s">
        <v>54</v>
      </c>
      <c r="AL1592" t="s">
        <v>54</v>
      </c>
      <c r="AQ1592" t="s">
        <v>54</v>
      </c>
      <c r="AT1592" t="s">
        <v>56</v>
      </c>
      <c r="AW1592" t="s">
        <v>53</v>
      </c>
      <c r="AZ1592" t="s">
        <v>54</v>
      </c>
      <c r="BA1592" t="s">
        <v>55</v>
      </c>
    </row>
    <row r="1593" spans="1:53" x14ac:dyDescent="0.25">
      <c r="A1593">
        <v>1588</v>
      </c>
      <c r="B1593" t="s">
        <v>57</v>
      </c>
      <c r="C1593" t="s">
        <v>58</v>
      </c>
      <c r="D1593" t="s">
        <v>8373</v>
      </c>
      <c r="E1593">
        <v>10</v>
      </c>
      <c r="F1593" t="s">
        <v>45</v>
      </c>
      <c r="G1593" t="s">
        <v>49</v>
      </c>
      <c r="H1593" t="s">
        <v>50</v>
      </c>
      <c r="L1593" t="s">
        <v>59</v>
      </c>
      <c r="M1593">
        <v>1.7406907081603999</v>
      </c>
      <c r="N1593" t="s">
        <v>54</v>
      </c>
      <c r="O1593" t="s">
        <v>53</v>
      </c>
      <c r="P1593" t="s">
        <v>53</v>
      </c>
      <c r="Q1593" t="s">
        <v>53</v>
      </c>
      <c r="R1593" t="s">
        <v>53</v>
      </c>
      <c r="S1593" t="s">
        <v>60</v>
      </c>
      <c r="T1593" t="s">
        <v>8374</v>
      </c>
      <c r="U1593" t="s">
        <v>53</v>
      </c>
      <c r="V1593" t="s">
        <v>51</v>
      </c>
      <c r="W1593">
        <v>100000</v>
      </c>
      <c r="X1593" t="s">
        <v>53</v>
      </c>
      <c r="AA1593">
        <v>1</v>
      </c>
      <c r="AB1593">
        <v>1</v>
      </c>
      <c r="AC1593">
        <v>0</v>
      </c>
      <c r="AD1593">
        <v>2</v>
      </c>
      <c r="AE1593">
        <v>2</v>
      </c>
      <c r="AF1593">
        <v>0</v>
      </c>
      <c r="AG1593">
        <v>0</v>
      </c>
      <c r="AH1593">
        <v>0.14571325480937961</v>
      </c>
      <c r="AJ1593">
        <v>56.038875579833977</v>
      </c>
      <c r="AK1593" t="s">
        <v>54</v>
      </c>
      <c r="AL1593" t="s">
        <v>54</v>
      </c>
      <c r="AQ1593" t="s">
        <v>54</v>
      </c>
      <c r="AT1593" t="s">
        <v>61</v>
      </c>
      <c r="AW1593" t="s">
        <v>53</v>
      </c>
      <c r="AZ1593" t="s">
        <v>54</v>
      </c>
      <c r="BA1593" t="s">
        <v>55</v>
      </c>
    </row>
    <row r="1594" spans="1:53" x14ac:dyDescent="0.25">
      <c r="A1594">
        <v>1589</v>
      </c>
      <c r="B1594" t="s">
        <v>62</v>
      </c>
      <c r="C1594" t="s">
        <v>677</v>
      </c>
      <c r="D1594" t="s">
        <v>140</v>
      </c>
      <c r="E1594">
        <v>10</v>
      </c>
      <c r="F1594" t="s">
        <v>45</v>
      </c>
      <c r="G1594" t="s">
        <v>49</v>
      </c>
      <c r="H1594" t="s">
        <v>50</v>
      </c>
      <c r="L1594" t="s">
        <v>59</v>
      </c>
      <c r="M1594">
        <v>0.27020463347434998</v>
      </c>
      <c r="N1594" t="s">
        <v>53</v>
      </c>
      <c r="O1594" t="s">
        <v>53</v>
      </c>
      <c r="P1594" t="s">
        <v>54</v>
      </c>
      <c r="Q1594" t="s">
        <v>53</v>
      </c>
      <c r="R1594" t="s">
        <v>53</v>
      </c>
      <c r="S1594" t="s">
        <v>60</v>
      </c>
      <c r="T1594" t="s">
        <v>8375</v>
      </c>
      <c r="U1594" t="s">
        <v>53</v>
      </c>
      <c r="V1594" t="s">
        <v>51</v>
      </c>
      <c r="W1594">
        <v>100000</v>
      </c>
      <c r="X1594" t="s">
        <v>53</v>
      </c>
      <c r="AA1594">
        <v>0</v>
      </c>
      <c r="AB1594">
        <v>0</v>
      </c>
      <c r="AC1594">
        <v>0</v>
      </c>
      <c r="AD1594">
        <v>0</v>
      </c>
      <c r="AE1594">
        <v>0</v>
      </c>
      <c r="AF1594">
        <v>0</v>
      </c>
      <c r="AG1594">
        <v>0</v>
      </c>
      <c r="AH1594">
        <v>0</v>
      </c>
      <c r="AJ1594">
        <v>0</v>
      </c>
      <c r="AK1594" t="s">
        <v>54</v>
      </c>
      <c r="AL1594" t="s">
        <v>54</v>
      </c>
      <c r="AQ1594" t="s">
        <v>54</v>
      </c>
      <c r="AT1594" t="s">
        <v>61</v>
      </c>
      <c r="AW1594" t="s">
        <v>53</v>
      </c>
      <c r="AZ1594" t="s">
        <v>54</v>
      </c>
      <c r="BA1594" t="s">
        <v>55</v>
      </c>
    </row>
    <row r="1595" spans="1:53" x14ac:dyDescent="0.25">
      <c r="A1595">
        <v>1590</v>
      </c>
      <c r="B1595" t="s">
        <v>63</v>
      </c>
      <c r="C1595" t="s">
        <v>64</v>
      </c>
      <c r="D1595" t="s">
        <v>65</v>
      </c>
      <c r="E1595">
        <v>10</v>
      </c>
      <c r="F1595" t="s">
        <v>45</v>
      </c>
      <c r="G1595" t="s">
        <v>49</v>
      </c>
      <c r="H1595" t="s">
        <v>50</v>
      </c>
      <c r="L1595" t="s">
        <v>59</v>
      </c>
      <c r="M1595">
        <v>1.214853167533875</v>
      </c>
      <c r="N1595" t="s">
        <v>54</v>
      </c>
      <c r="O1595" t="s">
        <v>53</v>
      </c>
      <c r="P1595" t="s">
        <v>53</v>
      </c>
      <c r="Q1595" t="s">
        <v>53</v>
      </c>
      <c r="R1595" t="s">
        <v>53</v>
      </c>
      <c r="S1595" t="s">
        <v>60</v>
      </c>
      <c r="T1595" t="s">
        <v>8376</v>
      </c>
      <c r="U1595" t="s">
        <v>53</v>
      </c>
      <c r="V1595" t="s">
        <v>51</v>
      </c>
      <c r="W1595">
        <v>100000</v>
      </c>
      <c r="X1595" t="s">
        <v>53</v>
      </c>
      <c r="AA1595">
        <v>2</v>
      </c>
      <c r="AB1595">
        <v>2</v>
      </c>
      <c r="AC1595">
        <v>1</v>
      </c>
      <c r="AD1595">
        <v>3</v>
      </c>
      <c r="AE1595">
        <v>3</v>
      </c>
      <c r="AF1595">
        <v>0</v>
      </c>
      <c r="AG1595">
        <v>0</v>
      </c>
      <c r="AH1595">
        <v>1.3419240713119509</v>
      </c>
      <c r="AJ1595">
        <v>162.9137878417969</v>
      </c>
      <c r="AK1595" t="s">
        <v>54</v>
      </c>
      <c r="AL1595" t="s">
        <v>54</v>
      </c>
      <c r="AQ1595" t="s">
        <v>54</v>
      </c>
      <c r="AT1595" t="s">
        <v>61</v>
      </c>
      <c r="AW1595" t="s">
        <v>53</v>
      </c>
      <c r="AZ1595" t="s">
        <v>54</v>
      </c>
      <c r="BA1595" t="s">
        <v>55</v>
      </c>
    </row>
    <row r="1596" spans="1:53" x14ac:dyDescent="0.25">
      <c r="A1596">
        <v>1591</v>
      </c>
      <c r="B1596" t="s">
        <v>66</v>
      </c>
      <c r="C1596" t="s">
        <v>67</v>
      </c>
      <c r="D1596" t="s">
        <v>68</v>
      </c>
      <c r="E1596">
        <v>10</v>
      </c>
      <c r="F1596" t="s">
        <v>45</v>
      </c>
      <c r="G1596" t="s">
        <v>49</v>
      </c>
      <c r="H1596" t="s">
        <v>50</v>
      </c>
      <c r="L1596" t="s">
        <v>48</v>
      </c>
      <c r="M1596">
        <v>0.56209093332290649</v>
      </c>
      <c r="N1596" t="s">
        <v>54</v>
      </c>
      <c r="O1596" t="s">
        <v>53</v>
      </c>
      <c r="P1596" t="s">
        <v>53</v>
      </c>
      <c r="Q1596" t="s">
        <v>53</v>
      </c>
      <c r="R1596" t="s">
        <v>53</v>
      </c>
      <c r="S1596" t="s">
        <v>60</v>
      </c>
      <c r="T1596" t="s">
        <v>8376</v>
      </c>
      <c r="U1596" t="s">
        <v>53</v>
      </c>
      <c r="V1596" t="s">
        <v>51</v>
      </c>
      <c r="W1596">
        <v>100000</v>
      </c>
      <c r="X1596" t="s">
        <v>53</v>
      </c>
      <c r="AA1596">
        <v>47</v>
      </c>
      <c r="AB1596">
        <v>40</v>
      </c>
      <c r="AC1596">
        <v>115</v>
      </c>
      <c r="AD1596">
        <v>3</v>
      </c>
      <c r="AE1596">
        <v>115</v>
      </c>
      <c r="AF1596">
        <v>0</v>
      </c>
      <c r="AG1596">
        <v>0</v>
      </c>
      <c r="AH1596">
        <v>0.37732475996017462</v>
      </c>
      <c r="AJ1596">
        <v>61.844192504882813</v>
      </c>
      <c r="AK1596" t="s">
        <v>54</v>
      </c>
      <c r="AL1596" t="s">
        <v>54</v>
      </c>
      <c r="AQ1596" t="s">
        <v>54</v>
      </c>
      <c r="AT1596" t="s">
        <v>61</v>
      </c>
      <c r="AW1596" t="s">
        <v>53</v>
      </c>
      <c r="AZ1596" t="s">
        <v>54</v>
      </c>
      <c r="BA1596" t="s">
        <v>55</v>
      </c>
    </row>
    <row r="1597" spans="1:53" x14ac:dyDescent="0.25">
      <c r="A1597">
        <v>1592</v>
      </c>
      <c r="B1597" t="s">
        <v>69</v>
      </c>
      <c r="C1597" t="s">
        <v>70</v>
      </c>
      <c r="D1597" t="s">
        <v>71</v>
      </c>
      <c r="E1597">
        <v>10</v>
      </c>
      <c r="F1597" t="s">
        <v>45</v>
      </c>
      <c r="G1597" t="s">
        <v>49</v>
      </c>
      <c r="H1597" t="s">
        <v>50</v>
      </c>
      <c r="L1597" t="s">
        <v>59</v>
      </c>
      <c r="M1597">
        <v>1.3477258682250981</v>
      </c>
      <c r="N1597" t="s">
        <v>54</v>
      </c>
      <c r="O1597" t="s">
        <v>53</v>
      </c>
      <c r="P1597" t="s">
        <v>53</v>
      </c>
      <c r="Q1597" t="s">
        <v>53</v>
      </c>
      <c r="R1597" t="s">
        <v>53</v>
      </c>
      <c r="S1597" t="s">
        <v>60</v>
      </c>
      <c r="T1597" t="s">
        <v>8376</v>
      </c>
      <c r="U1597" t="s">
        <v>53</v>
      </c>
      <c r="V1597" t="s">
        <v>51</v>
      </c>
      <c r="W1597">
        <v>100000</v>
      </c>
      <c r="X1597" t="s">
        <v>53</v>
      </c>
      <c r="AA1597">
        <v>38</v>
      </c>
      <c r="AB1597">
        <v>35</v>
      </c>
      <c r="AC1597">
        <v>33</v>
      </c>
      <c r="AD1597">
        <v>67</v>
      </c>
      <c r="AE1597">
        <v>67</v>
      </c>
      <c r="AF1597">
        <v>0</v>
      </c>
      <c r="AG1597">
        <v>0</v>
      </c>
      <c r="AH1597">
        <v>0.32683888077735901</v>
      </c>
      <c r="AJ1597">
        <v>49.476730346679688</v>
      </c>
      <c r="AK1597" t="s">
        <v>54</v>
      </c>
      <c r="AL1597" t="s">
        <v>54</v>
      </c>
      <c r="AQ1597" t="s">
        <v>54</v>
      </c>
      <c r="AT1597" t="s">
        <v>61</v>
      </c>
      <c r="AW1597" t="s">
        <v>53</v>
      </c>
      <c r="AZ1597" t="s">
        <v>54</v>
      </c>
      <c r="BA1597" t="s">
        <v>55</v>
      </c>
    </row>
    <row r="1598" spans="1:53" x14ac:dyDescent="0.25">
      <c r="A1598">
        <v>1593</v>
      </c>
      <c r="B1598" t="s">
        <v>72</v>
      </c>
      <c r="C1598" t="s">
        <v>73</v>
      </c>
      <c r="D1598" t="s">
        <v>74</v>
      </c>
      <c r="E1598">
        <v>10</v>
      </c>
      <c r="F1598" t="s">
        <v>45</v>
      </c>
      <c r="G1598" t="s">
        <v>49</v>
      </c>
      <c r="H1598" t="s">
        <v>50</v>
      </c>
      <c r="L1598" t="s">
        <v>59</v>
      </c>
      <c r="M1598">
        <v>0.40519437193870539</v>
      </c>
      <c r="N1598" t="s">
        <v>54</v>
      </c>
      <c r="O1598" t="s">
        <v>53</v>
      </c>
      <c r="P1598" t="s">
        <v>53</v>
      </c>
      <c r="Q1598" t="s">
        <v>53</v>
      </c>
      <c r="R1598" t="s">
        <v>53</v>
      </c>
      <c r="S1598" t="s">
        <v>60</v>
      </c>
      <c r="T1598" t="s">
        <v>8376</v>
      </c>
      <c r="U1598" t="s">
        <v>53</v>
      </c>
      <c r="V1598" t="s">
        <v>51</v>
      </c>
      <c r="W1598">
        <v>100000</v>
      </c>
      <c r="X1598" t="s">
        <v>53</v>
      </c>
      <c r="AA1598">
        <v>4</v>
      </c>
      <c r="AB1598">
        <v>4</v>
      </c>
      <c r="AC1598">
        <v>2</v>
      </c>
      <c r="AD1598">
        <v>6</v>
      </c>
      <c r="AE1598">
        <v>6</v>
      </c>
      <c r="AF1598">
        <v>0</v>
      </c>
      <c r="AG1598">
        <v>0</v>
      </c>
      <c r="AH1598">
        <v>0.1197429448366165</v>
      </c>
      <c r="AJ1598">
        <v>4.9547691345214844</v>
      </c>
      <c r="AK1598" t="s">
        <v>54</v>
      </c>
      <c r="AL1598" t="s">
        <v>54</v>
      </c>
      <c r="AQ1598" t="s">
        <v>54</v>
      </c>
      <c r="AT1598" t="s">
        <v>61</v>
      </c>
      <c r="AW1598" t="s">
        <v>53</v>
      </c>
      <c r="AZ1598" t="s">
        <v>54</v>
      </c>
      <c r="BA1598" t="s">
        <v>55</v>
      </c>
    </row>
    <row r="1599" spans="1:53" x14ac:dyDescent="0.25">
      <c r="A1599">
        <v>1594</v>
      </c>
      <c r="B1599" t="s">
        <v>75</v>
      </c>
      <c r="C1599" t="s">
        <v>76</v>
      </c>
      <c r="D1599" t="s">
        <v>77</v>
      </c>
      <c r="E1599">
        <v>10</v>
      </c>
      <c r="F1599" t="s">
        <v>45</v>
      </c>
      <c r="G1599" t="s">
        <v>49</v>
      </c>
      <c r="H1599" t="s">
        <v>50</v>
      </c>
      <c r="L1599" t="s">
        <v>48</v>
      </c>
      <c r="M1599">
        <v>3.0240049818530679E-4</v>
      </c>
      <c r="N1599" t="s">
        <v>54</v>
      </c>
      <c r="O1599" t="s">
        <v>53</v>
      </c>
      <c r="P1599" t="s">
        <v>53</v>
      </c>
      <c r="Q1599" t="s">
        <v>53</v>
      </c>
      <c r="R1599" t="s">
        <v>53</v>
      </c>
      <c r="S1599" t="s">
        <v>60</v>
      </c>
      <c r="T1599" t="s">
        <v>8376</v>
      </c>
      <c r="U1599" t="s">
        <v>53</v>
      </c>
      <c r="V1599" t="s">
        <v>51</v>
      </c>
      <c r="W1599">
        <v>100000</v>
      </c>
      <c r="X1599" t="s">
        <v>53</v>
      </c>
      <c r="AA1599">
        <v>0</v>
      </c>
      <c r="AB1599">
        <v>0</v>
      </c>
      <c r="AC1599">
        <v>0</v>
      </c>
      <c r="AD1599">
        <v>0</v>
      </c>
      <c r="AE1599">
        <v>0</v>
      </c>
      <c r="AF1599">
        <v>0</v>
      </c>
      <c r="AG1599">
        <v>0</v>
      </c>
      <c r="AH1599">
        <v>0</v>
      </c>
      <c r="AJ1599">
        <v>0.12126574665308</v>
      </c>
      <c r="AK1599" t="s">
        <v>54</v>
      </c>
      <c r="AL1599" t="s">
        <v>54</v>
      </c>
      <c r="AQ1599" t="s">
        <v>54</v>
      </c>
      <c r="AT1599" t="s">
        <v>61</v>
      </c>
      <c r="AW1599" t="s">
        <v>53</v>
      </c>
      <c r="AZ1599" t="s">
        <v>54</v>
      </c>
      <c r="BA1599" t="s">
        <v>55</v>
      </c>
    </row>
    <row r="1600" spans="1:53" x14ac:dyDescent="0.25">
      <c r="A1600">
        <v>1595</v>
      </c>
      <c r="B1600" t="s">
        <v>78</v>
      </c>
      <c r="C1600" t="s">
        <v>79</v>
      </c>
      <c r="D1600" t="s">
        <v>80</v>
      </c>
      <c r="E1600">
        <v>10</v>
      </c>
      <c r="F1600" t="s">
        <v>45</v>
      </c>
      <c r="G1600" t="s">
        <v>49</v>
      </c>
      <c r="H1600" t="s">
        <v>50</v>
      </c>
      <c r="L1600" t="s">
        <v>81</v>
      </c>
      <c r="M1600">
        <v>4.5407954603433609E-2</v>
      </c>
      <c r="N1600" t="s">
        <v>54</v>
      </c>
      <c r="O1600" t="s">
        <v>53</v>
      </c>
      <c r="P1600" t="s">
        <v>53</v>
      </c>
      <c r="Q1600" t="s">
        <v>53</v>
      </c>
      <c r="R1600" t="s">
        <v>53</v>
      </c>
      <c r="S1600" t="s">
        <v>60</v>
      </c>
      <c r="T1600" t="s">
        <v>8372</v>
      </c>
      <c r="U1600" t="s">
        <v>53</v>
      </c>
      <c r="V1600" t="s">
        <v>51</v>
      </c>
      <c r="W1600">
        <v>150000</v>
      </c>
      <c r="X1600" t="s">
        <v>53</v>
      </c>
      <c r="AA1600">
        <v>12</v>
      </c>
      <c r="AB1600">
        <v>10</v>
      </c>
      <c r="AC1600">
        <v>22</v>
      </c>
      <c r="AD1600">
        <v>13</v>
      </c>
      <c r="AE1600">
        <v>22</v>
      </c>
      <c r="AF1600">
        <v>0</v>
      </c>
      <c r="AG1600">
        <v>0</v>
      </c>
      <c r="AH1600">
        <v>0.43060538172721857</v>
      </c>
      <c r="AJ1600">
        <v>17.67850303649902</v>
      </c>
      <c r="AK1600" t="s">
        <v>54</v>
      </c>
      <c r="AL1600" t="s">
        <v>54</v>
      </c>
      <c r="AQ1600" t="s">
        <v>54</v>
      </c>
      <c r="AT1600" t="s">
        <v>61</v>
      </c>
      <c r="AW1600" t="s">
        <v>53</v>
      </c>
      <c r="AZ1600" t="s">
        <v>54</v>
      </c>
      <c r="BA1600" t="s">
        <v>55</v>
      </c>
    </row>
    <row r="1601" spans="1:53" x14ac:dyDescent="0.25">
      <c r="A1601">
        <v>1596</v>
      </c>
      <c r="B1601" t="s">
        <v>82</v>
      </c>
      <c r="C1601" t="s">
        <v>83</v>
      </c>
      <c r="D1601" t="s">
        <v>84</v>
      </c>
      <c r="E1601">
        <v>10</v>
      </c>
      <c r="F1601" t="s">
        <v>45</v>
      </c>
      <c r="G1601" t="s">
        <v>49</v>
      </c>
      <c r="H1601" t="s">
        <v>50</v>
      </c>
      <c r="L1601" t="s">
        <v>81</v>
      </c>
      <c r="M1601">
        <v>0.13959869742393491</v>
      </c>
      <c r="N1601" t="s">
        <v>54</v>
      </c>
      <c r="O1601" t="s">
        <v>53</v>
      </c>
      <c r="P1601" t="s">
        <v>53</v>
      </c>
      <c r="Q1601" t="s">
        <v>53</v>
      </c>
      <c r="R1601" t="s">
        <v>53</v>
      </c>
      <c r="S1601" t="s">
        <v>60</v>
      </c>
      <c r="T1601" t="s">
        <v>8376</v>
      </c>
      <c r="U1601" t="s">
        <v>53</v>
      </c>
      <c r="V1601" t="s">
        <v>51</v>
      </c>
      <c r="W1601">
        <v>150000</v>
      </c>
      <c r="X1601" t="s">
        <v>53</v>
      </c>
      <c r="AA1601">
        <v>39</v>
      </c>
      <c r="AB1601">
        <v>39</v>
      </c>
      <c r="AC1601">
        <v>45</v>
      </c>
      <c r="AD1601">
        <v>68</v>
      </c>
      <c r="AE1601">
        <v>68</v>
      </c>
      <c r="AF1601">
        <v>0</v>
      </c>
      <c r="AG1601">
        <v>0</v>
      </c>
      <c r="AH1601">
        <v>1.131923913955688</v>
      </c>
      <c r="AJ1601">
        <v>67.894149780273438</v>
      </c>
      <c r="AK1601" t="s">
        <v>54</v>
      </c>
      <c r="AL1601" t="s">
        <v>54</v>
      </c>
      <c r="AQ1601" t="s">
        <v>54</v>
      </c>
      <c r="AT1601" t="s">
        <v>61</v>
      </c>
      <c r="AW1601" t="s">
        <v>53</v>
      </c>
      <c r="AZ1601" t="s">
        <v>54</v>
      </c>
      <c r="BA1601" t="s">
        <v>55</v>
      </c>
    </row>
    <row r="1602" spans="1:53" x14ac:dyDescent="0.25">
      <c r="A1602">
        <v>1597</v>
      </c>
      <c r="B1602" t="s">
        <v>85</v>
      </c>
      <c r="C1602" t="s">
        <v>86</v>
      </c>
      <c r="D1602" t="s">
        <v>87</v>
      </c>
      <c r="E1602">
        <v>10</v>
      </c>
      <c r="F1602" t="s">
        <v>45</v>
      </c>
      <c r="G1602" t="s">
        <v>49</v>
      </c>
      <c r="H1602" t="s">
        <v>50</v>
      </c>
      <c r="L1602" t="s">
        <v>81</v>
      </c>
      <c r="M1602">
        <v>5.2394852042198181E-2</v>
      </c>
      <c r="N1602" t="s">
        <v>54</v>
      </c>
      <c r="O1602" t="s">
        <v>53</v>
      </c>
      <c r="P1602" t="s">
        <v>53</v>
      </c>
      <c r="Q1602" t="s">
        <v>53</v>
      </c>
      <c r="R1602" t="s">
        <v>53</v>
      </c>
      <c r="S1602" t="s">
        <v>60</v>
      </c>
      <c r="T1602" t="s">
        <v>8376</v>
      </c>
      <c r="U1602" t="s">
        <v>53</v>
      </c>
      <c r="V1602" t="s">
        <v>51</v>
      </c>
      <c r="W1602">
        <v>100000</v>
      </c>
      <c r="X1602" t="s">
        <v>53</v>
      </c>
      <c r="AA1602">
        <v>43</v>
      </c>
      <c r="AB1602">
        <v>41</v>
      </c>
      <c r="AC1602">
        <v>120</v>
      </c>
      <c r="AD1602">
        <v>1</v>
      </c>
      <c r="AE1602">
        <v>120</v>
      </c>
      <c r="AF1602">
        <v>0</v>
      </c>
      <c r="AG1602">
        <v>0</v>
      </c>
      <c r="AH1602">
        <v>0.46129077672958368</v>
      </c>
      <c r="AJ1602">
        <v>17.668033599853519</v>
      </c>
      <c r="AK1602" t="s">
        <v>54</v>
      </c>
      <c r="AL1602" t="s">
        <v>54</v>
      </c>
      <c r="AQ1602" t="s">
        <v>54</v>
      </c>
      <c r="AT1602" t="s">
        <v>61</v>
      </c>
      <c r="AW1602" t="s">
        <v>53</v>
      </c>
      <c r="AZ1602" t="s">
        <v>54</v>
      </c>
      <c r="BA1602" t="s">
        <v>55</v>
      </c>
    </row>
    <row r="1603" spans="1:53" x14ac:dyDescent="0.25">
      <c r="A1603">
        <v>1598</v>
      </c>
      <c r="B1603" t="s">
        <v>88</v>
      </c>
      <c r="C1603" t="s">
        <v>89</v>
      </c>
      <c r="D1603" t="s">
        <v>90</v>
      </c>
      <c r="E1603">
        <v>10</v>
      </c>
      <c r="F1603" t="s">
        <v>45</v>
      </c>
      <c r="G1603" t="s">
        <v>49</v>
      </c>
      <c r="H1603" t="s">
        <v>50</v>
      </c>
      <c r="L1603" t="s">
        <v>59</v>
      </c>
      <c r="M1603">
        <v>0.62569767236709595</v>
      </c>
      <c r="N1603" t="s">
        <v>54</v>
      </c>
      <c r="O1603" t="s">
        <v>53</v>
      </c>
      <c r="P1603" t="s">
        <v>53</v>
      </c>
      <c r="Q1603" t="s">
        <v>53</v>
      </c>
      <c r="R1603" t="s">
        <v>53</v>
      </c>
      <c r="S1603" t="s">
        <v>60</v>
      </c>
      <c r="T1603" t="s">
        <v>8376</v>
      </c>
      <c r="U1603" t="s">
        <v>53</v>
      </c>
      <c r="V1603" t="s">
        <v>51</v>
      </c>
      <c r="W1603">
        <v>100000</v>
      </c>
      <c r="X1603" t="s">
        <v>53</v>
      </c>
      <c r="AA1603">
        <v>0</v>
      </c>
      <c r="AB1603">
        <v>0</v>
      </c>
      <c r="AC1603">
        <v>0</v>
      </c>
      <c r="AD1603">
        <v>0</v>
      </c>
      <c r="AE1603">
        <v>0</v>
      </c>
      <c r="AF1603">
        <v>0</v>
      </c>
      <c r="AG1603">
        <v>1</v>
      </c>
      <c r="AH1603">
        <v>0.18950353562831879</v>
      </c>
      <c r="AJ1603">
        <v>105.46693420410161</v>
      </c>
      <c r="AK1603" t="s">
        <v>54</v>
      </c>
      <c r="AL1603" t="s">
        <v>54</v>
      </c>
      <c r="AQ1603" t="s">
        <v>54</v>
      </c>
      <c r="AT1603" t="s">
        <v>61</v>
      </c>
      <c r="AW1603" t="s">
        <v>53</v>
      </c>
      <c r="AZ1603" t="s">
        <v>54</v>
      </c>
      <c r="BA1603" t="s">
        <v>55</v>
      </c>
    </row>
    <row r="1604" spans="1:53" x14ac:dyDescent="0.25">
      <c r="A1604">
        <v>1599</v>
      </c>
      <c r="B1604" t="s">
        <v>91</v>
      </c>
      <c r="C1604" t="s">
        <v>92</v>
      </c>
      <c r="D1604" t="s">
        <v>93</v>
      </c>
      <c r="E1604">
        <v>10</v>
      </c>
      <c r="F1604" t="s">
        <v>45</v>
      </c>
      <c r="G1604" t="s">
        <v>49</v>
      </c>
      <c r="H1604" t="s">
        <v>50</v>
      </c>
      <c r="L1604" t="s">
        <v>59</v>
      </c>
      <c r="M1604">
        <v>1.0108311176300051</v>
      </c>
      <c r="N1604" t="s">
        <v>54</v>
      </c>
      <c r="O1604" t="s">
        <v>53</v>
      </c>
      <c r="P1604" t="s">
        <v>53</v>
      </c>
      <c r="Q1604" t="s">
        <v>53</v>
      </c>
      <c r="R1604" t="s">
        <v>53</v>
      </c>
      <c r="S1604" t="s">
        <v>60</v>
      </c>
      <c r="T1604" t="s">
        <v>8377</v>
      </c>
      <c r="U1604" t="s">
        <v>53</v>
      </c>
      <c r="V1604" t="s">
        <v>51</v>
      </c>
      <c r="W1604">
        <v>100000</v>
      </c>
      <c r="X1604" t="s">
        <v>53</v>
      </c>
      <c r="AA1604">
        <v>0</v>
      </c>
      <c r="AB1604">
        <v>0</v>
      </c>
      <c r="AC1604">
        <v>0</v>
      </c>
      <c r="AD1604">
        <v>0</v>
      </c>
      <c r="AE1604">
        <v>0</v>
      </c>
      <c r="AF1604">
        <v>0</v>
      </c>
      <c r="AG1604">
        <v>0</v>
      </c>
      <c r="AH1604">
        <v>5.369202047586441E-2</v>
      </c>
      <c r="AJ1604">
        <v>39.255584716796882</v>
      </c>
      <c r="AK1604" t="s">
        <v>54</v>
      </c>
      <c r="AL1604" t="s">
        <v>54</v>
      </c>
      <c r="AQ1604" t="s">
        <v>54</v>
      </c>
      <c r="AT1604" t="s">
        <v>61</v>
      </c>
      <c r="AW1604" t="s">
        <v>53</v>
      </c>
      <c r="AZ1604" t="s">
        <v>54</v>
      </c>
      <c r="BA1604" t="s">
        <v>55</v>
      </c>
    </row>
    <row r="1605" spans="1:53" x14ac:dyDescent="0.25">
      <c r="A1605">
        <v>1600</v>
      </c>
      <c r="B1605" t="s">
        <v>94</v>
      </c>
      <c r="C1605" t="s">
        <v>95</v>
      </c>
      <c r="D1605" t="s">
        <v>96</v>
      </c>
      <c r="E1605">
        <v>10</v>
      </c>
      <c r="F1605" t="s">
        <v>45</v>
      </c>
      <c r="G1605" t="s">
        <v>49</v>
      </c>
      <c r="H1605" t="s">
        <v>50</v>
      </c>
      <c r="L1605" t="s">
        <v>59</v>
      </c>
      <c r="M1605">
        <v>0.44224095344543463</v>
      </c>
      <c r="N1605" t="s">
        <v>54</v>
      </c>
      <c r="O1605" t="s">
        <v>53</v>
      </c>
      <c r="P1605" t="s">
        <v>53</v>
      </c>
      <c r="Q1605" t="s">
        <v>53</v>
      </c>
      <c r="R1605" t="s">
        <v>53</v>
      </c>
      <c r="S1605" t="s">
        <v>60</v>
      </c>
      <c r="T1605" t="s">
        <v>8376</v>
      </c>
      <c r="U1605" t="s">
        <v>53</v>
      </c>
      <c r="V1605" t="s">
        <v>51</v>
      </c>
      <c r="W1605">
        <v>100000</v>
      </c>
      <c r="X1605" t="s">
        <v>53</v>
      </c>
      <c r="AA1605">
        <v>0</v>
      </c>
      <c r="AB1605">
        <v>0</v>
      </c>
      <c r="AC1605">
        <v>0</v>
      </c>
      <c r="AD1605">
        <v>0</v>
      </c>
      <c r="AE1605">
        <v>0</v>
      </c>
      <c r="AF1605">
        <v>0</v>
      </c>
      <c r="AG1605">
        <v>0</v>
      </c>
      <c r="AH1605">
        <v>6.2633715569972992E-2</v>
      </c>
      <c r="AJ1605">
        <v>1.547157764434814</v>
      </c>
      <c r="AK1605" t="s">
        <v>54</v>
      </c>
      <c r="AL1605" t="s">
        <v>54</v>
      </c>
      <c r="AQ1605" t="s">
        <v>54</v>
      </c>
      <c r="AT1605" t="s">
        <v>61</v>
      </c>
      <c r="AW1605" t="s">
        <v>53</v>
      </c>
      <c r="AZ1605" t="s">
        <v>54</v>
      </c>
      <c r="BA1605" t="s">
        <v>55</v>
      </c>
    </row>
    <row r="1606" spans="1:53" x14ac:dyDescent="0.25">
      <c r="A1606">
        <v>1601</v>
      </c>
      <c r="B1606" t="s">
        <v>97</v>
      </c>
      <c r="C1606" t="s">
        <v>98</v>
      </c>
      <c r="D1606" t="s">
        <v>99</v>
      </c>
      <c r="E1606">
        <v>10</v>
      </c>
      <c r="F1606" t="s">
        <v>45</v>
      </c>
      <c r="G1606" t="s">
        <v>49</v>
      </c>
      <c r="H1606" t="s">
        <v>50</v>
      </c>
      <c r="L1606" t="s">
        <v>59</v>
      </c>
      <c r="M1606">
        <v>0.1962110102176666</v>
      </c>
      <c r="N1606" t="s">
        <v>53</v>
      </c>
      <c r="O1606" t="s">
        <v>53</v>
      </c>
      <c r="P1606" t="s">
        <v>54</v>
      </c>
      <c r="Q1606" t="s">
        <v>53</v>
      </c>
      <c r="R1606" t="s">
        <v>53</v>
      </c>
      <c r="S1606" t="s">
        <v>60</v>
      </c>
      <c r="T1606" t="s">
        <v>8376</v>
      </c>
      <c r="U1606" t="s">
        <v>53</v>
      </c>
      <c r="V1606" t="s">
        <v>51</v>
      </c>
      <c r="W1606">
        <v>100000</v>
      </c>
      <c r="X1606" t="s">
        <v>53</v>
      </c>
      <c r="AA1606">
        <v>0</v>
      </c>
      <c r="AB1606">
        <v>0</v>
      </c>
      <c r="AC1606">
        <v>0</v>
      </c>
      <c r="AD1606">
        <v>0</v>
      </c>
      <c r="AE1606">
        <v>0</v>
      </c>
      <c r="AF1606">
        <v>0</v>
      </c>
      <c r="AG1606">
        <v>0</v>
      </c>
      <c r="AH1606">
        <v>0</v>
      </c>
      <c r="AJ1606">
        <v>0</v>
      </c>
      <c r="AK1606" t="s">
        <v>54</v>
      </c>
      <c r="AL1606" t="s">
        <v>54</v>
      </c>
      <c r="AQ1606" t="s">
        <v>54</v>
      </c>
      <c r="AT1606" t="s">
        <v>61</v>
      </c>
      <c r="AW1606" t="s">
        <v>53</v>
      </c>
      <c r="AZ1606" t="s">
        <v>54</v>
      </c>
      <c r="BA1606" t="s">
        <v>55</v>
      </c>
    </row>
    <row r="1607" spans="1:53" x14ac:dyDescent="0.25">
      <c r="A1607">
        <v>1602</v>
      </c>
      <c r="B1607" t="s">
        <v>100</v>
      </c>
      <c r="C1607" t="s">
        <v>101</v>
      </c>
      <c r="D1607" t="s">
        <v>102</v>
      </c>
      <c r="E1607">
        <v>10</v>
      </c>
      <c r="F1607" t="s">
        <v>45</v>
      </c>
      <c r="G1607" t="s">
        <v>49</v>
      </c>
      <c r="H1607" t="s">
        <v>50</v>
      </c>
      <c r="L1607" t="s">
        <v>59</v>
      </c>
      <c r="M1607">
        <v>0.59440600872039795</v>
      </c>
      <c r="N1607" t="s">
        <v>54</v>
      </c>
      <c r="O1607" t="s">
        <v>53</v>
      </c>
      <c r="P1607" t="s">
        <v>53</v>
      </c>
      <c r="Q1607" t="s">
        <v>53</v>
      </c>
      <c r="R1607" t="s">
        <v>53</v>
      </c>
      <c r="S1607" t="s">
        <v>60</v>
      </c>
      <c r="T1607" t="s">
        <v>8376</v>
      </c>
      <c r="U1607" t="s">
        <v>53</v>
      </c>
      <c r="V1607" t="s">
        <v>51</v>
      </c>
      <c r="W1607">
        <v>100000</v>
      </c>
      <c r="X1607" t="s">
        <v>53</v>
      </c>
      <c r="AA1607">
        <v>0</v>
      </c>
      <c r="AB1607">
        <v>0</v>
      </c>
      <c r="AC1607">
        <v>0</v>
      </c>
      <c r="AD1607">
        <v>0</v>
      </c>
      <c r="AE1607">
        <v>0</v>
      </c>
      <c r="AF1607">
        <v>0</v>
      </c>
      <c r="AG1607">
        <v>0</v>
      </c>
      <c r="AH1607">
        <v>4.7016434371471412E-2</v>
      </c>
      <c r="AJ1607">
        <v>1.5021897554397581</v>
      </c>
      <c r="AK1607" t="s">
        <v>54</v>
      </c>
      <c r="AL1607" t="s">
        <v>54</v>
      </c>
      <c r="AQ1607" t="s">
        <v>54</v>
      </c>
      <c r="AT1607" t="s">
        <v>61</v>
      </c>
      <c r="AW1607" t="s">
        <v>53</v>
      </c>
      <c r="AZ1607" t="s">
        <v>54</v>
      </c>
      <c r="BA1607" t="s">
        <v>55</v>
      </c>
    </row>
    <row r="1608" spans="1:53" x14ac:dyDescent="0.25">
      <c r="A1608">
        <v>1603</v>
      </c>
      <c r="B1608" t="s">
        <v>103</v>
      </c>
      <c r="C1608" t="s">
        <v>104</v>
      </c>
      <c r="D1608" t="s">
        <v>105</v>
      </c>
      <c r="E1608">
        <v>10</v>
      </c>
      <c r="F1608" t="s">
        <v>45</v>
      </c>
      <c r="G1608" t="s">
        <v>49</v>
      </c>
      <c r="H1608" t="s">
        <v>106</v>
      </c>
      <c r="L1608" t="s">
        <v>59</v>
      </c>
      <c r="M1608">
        <v>2.469505786895752</v>
      </c>
      <c r="N1608" t="s">
        <v>54</v>
      </c>
      <c r="O1608" t="s">
        <v>53</v>
      </c>
      <c r="P1608" t="s">
        <v>53</v>
      </c>
      <c r="Q1608" t="s">
        <v>53</v>
      </c>
      <c r="R1608" t="s">
        <v>53</v>
      </c>
      <c r="S1608" t="s">
        <v>60</v>
      </c>
      <c r="T1608" t="s">
        <v>8378</v>
      </c>
      <c r="U1608" t="s">
        <v>53</v>
      </c>
      <c r="V1608" t="s">
        <v>51</v>
      </c>
      <c r="W1608">
        <v>100000</v>
      </c>
      <c r="X1608" t="s">
        <v>53</v>
      </c>
      <c r="AA1608">
        <v>0</v>
      </c>
      <c r="AB1608">
        <v>0</v>
      </c>
      <c r="AC1608">
        <v>0</v>
      </c>
      <c r="AD1608">
        <v>0</v>
      </c>
      <c r="AE1608">
        <v>0</v>
      </c>
      <c r="AF1608">
        <v>0</v>
      </c>
      <c r="AG1608">
        <v>0</v>
      </c>
      <c r="AH1608">
        <v>0.14289143681526181</v>
      </c>
      <c r="AJ1608">
        <v>209.3227844238281</v>
      </c>
      <c r="AK1608" t="s">
        <v>54</v>
      </c>
      <c r="AL1608" t="s">
        <v>54</v>
      </c>
      <c r="AQ1608" t="s">
        <v>54</v>
      </c>
      <c r="AT1608" t="s">
        <v>61</v>
      </c>
      <c r="AW1608" t="s">
        <v>53</v>
      </c>
      <c r="AZ1608" t="s">
        <v>54</v>
      </c>
      <c r="BA1608" t="s">
        <v>55</v>
      </c>
    </row>
    <row r="1609" spans="1:53" x14ac:dyDescent="0.25">
      <c r="A1609">
        <v>1604</v>
      </c>
      <c r="B1609" t="s">
        <v>107</v>
      </c>
      <c r="C1609" t="s">
        <v>108</v>
      </c>
      <c r="D1609" t="s">
        <v>109</v>
      </c>
      <c r="E1609">
        <v>10</v>
      </c>
      <c r="F1609" t="s">
        <v>45</v>
      </c>
      <c r="G1609" t="s">
        <v>49</v>
      </c>
      <c r="H1609" t="s">
        <v>110</v>
      </c>
      <c r="L1609" t="s">
        <v>59</v>
      </c>
      <c r="M1609">
        <v>6.8172416687011719</v>
      </c>
      <c r="N1609" t="s">
        <v>54</v>
      </c>
      <c r="O1609" t="s">
        <v>53</v>
      </c>
      <c r="P1609" t="s">
        <v>53</v>
      </c>
      <c r="Q1609" t="s">
        <v>53</v>
      </c>
      <c r="R1609" t="s">
        <v>53</v>
      </c>
      <c r="S1609" t="s">
        <v>60</v>
      </c>
      <c r="T1609" t="s">
        <v>8376</v>
      </c>
      <c r="U1609" t="s">
        <v>53</v>
      </c>
      <c r="V1609" t="s">
        <v>51</v>
      </c>
      <c r="W1609">
        <v>100000</v>
      </c>
      <c r="X1609" t="s">
        <v>53</v>
      </c>
      <c r="AA1609">
        <v>1</v>
      </c>
      <c r="AB1609">
        <v>1</v>
      </c>
      <c r="AC1609">
        <v>3</v>
      </c>
      <c r="AD1609">
        <v>0</v>
      </c>
      <c r="AE1609">
        <v>3</v>
      </c>
      <c r="AF1609">
        <v>0</v>
      </c>
      <c r="AG1609">
        <v>0</v>
      </c>
      <c r="AH1609">
        <v>0.1119736656546593</v>
      </c>
      <c r="AJ1609">
        <v>479.77142333984381</v>
      </c>
      <c r="AK1609" t="s">
        <v>54</v>
      </c>
      <c r="AL1609" t="s">
        <v>54</v>
      </c>
      <c r="AQ1609" t="s">
        <v>54</v>
      </c>
      <c r="AT1609" t="s">
        <v>61</v>
      </c>
      <c r="AW1609" t="s">
        <v>53</v>
      </c>
      <c r="AZ1609" t="s">
        <v>54</v>
      </c>
      <c r="BA1609" t="s">
        <v>55</v>
      </c>
    </row>
    <row r="1610" spans="1:53" x14ac:dyDescent="0.25">
      <c r="A1610">
        <v>1605</v>
      </c>
      <c r="B1610" t="s">
        <v>111</v>
      </c>
      <c r="C1610" t="s">
        <v>112</v>
      </c>
      <c r="D1610" t="s">
        <v>113</v>
      </c>
      <c r="E1610">
        <v>10</v>
      </c>
      <c r="F1610" t="s">
        <v>45</v>
      </c>
      <c r="G1610" t="s">
        <v>49</v>
      </c>
      <c r="H1610" t="s">
        <v>50</v>
      </c>
      <c r="L1610" t="s">
        <v>59</v>
      </c>
      <c r="M1610">
        <v>1.1152083873748779</v>
      </c>
      <c r="N1610" t="s">
        <v>54</v>
      </c>
      <c r="O1610" t="s">
        <v>53</v>
      </c>
      <c r="P1610" t="s">
        <v>53</v>
      </c>
      <c r="Q1610" t="s">
        <v>53</v>
      </c>
      <c r="R1610" t="s">
        <v>53</v>
      </c>
      <c r="S1610" t="s">
        <v>60</v>
      </c>
      <c r="T1610" t="s">
        <v>8375</v>
      </c>
      <c r="U1610" t="s">
        <v>53</v>
      </c>
      <c r="V1610" t="s">
        <v>51</v>
      </c>
      <c r="W1610">
        <v>100000</v>
      </c>
      <c r="X1610" t="s">
        <v>53</v>
      </c>
      <c r="AA1610">
        <v>0</v>
      </c>
      <c r="AB1610">
        <v>0</v>
      </c>
      <c r="AC1610">
        <v>0</v>
      </c>
      <c r="AD1610">
        <v>0</v>
      </c>
      <c r="AE1610">
        <v>0</v>
      </c>
      <c r="AF1610">
        <v>0</v>
      </c>
      <c r="AG1610">
        <v>0</v>
      </c>
      <c r="AH1610">
        <v>5.8850400149822242E-2</v>
      </c>
      <c r="AJ1610">
        <v>32.028533935546882</v>
      </c>
      <c r="AK1610" t="s">
        <v>54</v>
      </c>
      <c r="AL1610" t="s">
        <v>54</v>
      </c>
      <c r="AQ1610" t="s">
        <v>54</v>
      </c>
      <c r="AT1610" t="s">
        <v>61</v>
      </c>
      <c r="AW1610" t="s">
        <v>53</v>
      </c>
      <c r="AZ1610" t="s">
        <v>54</v>
      </c>
      <c r="BA1610" t="s">
        <v>55</v>
      </c>
    </row>
    <row r="1611" spans="1:53" x14ac:dyDescent="0.25">
      <c r="A1611">
        <v>1606</v>
      </c>
      <c r="B1611" t="s">
        <v>114</v>
      </c>
      <c r="C1611" t="s">
        <v>115</v>
      </c>
      <c r="D1611" t="s">
        <v>113</v>
      </c>
      <c r="E1611">
        <v>10</v>
      </c>
      <c r="F1611" t="s">
        <v>45</v>
      </c>
      <c r="G1611" t="s">
        <v>49</v>
      </c>
      <c r="H1611" t="s">
        <v>50</v>
      </c>
      <c r="L1611" t="s">
        <v>59</v>
      </c>
      <c r="M1611">
        <v>19.502353668212891</v>
      </c>
      <c r="N1611" t="s">
        <v>54</v>
      </c>
      <c r="O1611" t="s">
        <v>53</v>
      </c>
      <c r="P1611" t="s">
        <v>53</v>
      </c>
      <c r="Q1611" t="s">
        <v>53</v>
      </c>
      <c r="R1611" t="s">
        <v>53</v>
      </c>
      <c r="S1611" t="s">
        <v>60</v>
      </c>
      <c r="T1611" t="s">
        <v>8379</v>
      </c>
      <c r="U1611" t="s">
        <v>53</v>
      </c>
      <c r="V1611" t="s">
        <v>51</v>
      </c>
      <c r="W1611">
        <v>100000</v>
      </c>
      <c r="X1611" t="s">
        <v>53</v>
      </c>
      <c r="AA1611">
        <v>90</v>
      </c>
      <c r="AB1611">
        <v>72</v>
      </c>
      <c r="AC1611">
        <v>133</v>
      </c>
      <c r="AD1611">
        <v>191</v>
      </c>
      <c r="AE1611">
        <v>191</v>
      </c>
      <c r="AF1611">
        <v>0</v>
      </c>
      <c r="AG1611">
        <v>1</v>
      </c>
      <c r="AH1611">
        <v>2.3206315040588379</v>
      </c>
      <c r="AJ1611">
        <v>894.32330322265625</v>
      </c>
      <c r="AK1611" t="s">
        <v>54</v>
      </c>
      <c r="AL1611" t="s">
        <v>54</v>
      </c>
      <c r="AQ1611" t="s">
        <v>54</v>
      </c>
      <c r="AT1611" t="s">
        <v>61</v>
      </c>
      <c r="AW1611" t="s">
        <v>53</v>
      </c>
      <c r="AZ1611" t="s">
        <v>54</v>
      </c>
      <c r="BA1611" t="s">
        <v>55</v>
      </c>
    </row>
    <row r="1612" spans="1:53" x14ac:dyDescent="0.25">
      <c r="A1612">
        <v>1607</v>
      </c>
      <c r="B1612" t="s">
        <v>116</v>
      </c>
      <c r="C1612" t="s">
        <v>117</v>
      </c>
      <c r="D1612" t="s">
        <v>113</v>
      </c>
      <c r="E1612">
        <v>10</v>
      </c>
      <c r="F1612" t="s">
        <v>45</v>
      </c>
      <c r="G1612" t="s">
        <v>49</v>
      </c>
      <c r="H1612" t="s">
        <v>50</v>
      </c>
      <c r="L1612" t="s">
        <v>59</v>
      </c>
      <c r="M1612">
        <v>0.32853192090988159</v>
      </c>
      <c r="N1612" t="s">
        <v>54</v>
      </c>
      <c r="O1612" t="s">
        <v>53</v>
      </c>
      <c r="P1612" t="s">
        <v>53</v>
      </c>
      <c r="Q1612" t="s">
        <v>53</v>
      </c>
      <c r="R1612" t="s">
        <v>53</v>
      </c>
      <c r="S1612" t="s">
        <v>60</v>
      </c>
      <c r="T1612" t="s">
        <v>8376</v>
      </c>
      <c r="U1612" t="s">
        <v>53</v>
      </c>
      <c r="V1612" t="s">
        <v>51</v>
      </c>
      <c r="W1612">
        <v>100000</v>
      </c>
      <c r="X1612" t="s">
        <v>53</v>
      </c>
      <c r="AA1612">
        <v>0</v>
      </c>
      <c r="AB1612">
        <v>0</v>
      </c>
      <c r="AC1612">
        <v>0</v>
      </c>
      <c r="AD1612">
        <v>0</v>
      </c>
      <c r="AE1612">
        <v>0</v>
      </c>
      <c r="AF1612">
        <v>0</v>
      </c>
      <c r="AG1612">
        <v>0</v>
      </c>
      <c r="AH1612">
        <v>5.6245230138301849E-2</v>
      </c>
      <c r="AJ1612">
        <v>6.5443086624145508</v>
      </c>
      <c r="AK1612" t="s">
        <v>54</v>
      </c>
      <c r="AL1612" t="s">
        <v>54</v>
      </c>
      <c r="AQ1612" t="s">
        <v>54</v>
      </c>
      <c r="AT1612" t="s">
        <v>61</v>
      </c>
      <c r="AW1612" t="s">
        <v>53</v>
      </c>
      <c r="AZ1612" t="s">
        <v>54</v>
      </c>
      <c r="BA1612" t="s">
        <v>55</v>
      </c>
    </row>
    <row r="1613" spans="1:53" x14ac:dyDescent="0.25">
      <c r="A1613">
        <v>1608</v>
      </c>
      <c r="B1613" t="s">
        <v>120</v>
      </c>
      <c r="C1613" t="s">
        <v>121</v>
      </c>
      <c r="D1613" t="s">
        <v>122</v>
      </c>
      <c r="E1613">
        <v>10</v>
      </c>
      <c r="F1613" t="s">
        <v>45</v>
      </c>
      <c r="G1613" t="s">
        <v>49</v>
      </c>
      <c r="H1613" t="s">
        <v>50</v>
      </c>
      <c r="L1613" t="s">
        <v>123</v>
      </c>
      <c r="M1613">
        <v>2.4926976766437292E-3</v>
      </c>
      <c r="N1613" t="s">
        <v>53</v>
      </c>
      <c r="O1613" t="s">
        <v>53</v>
      </c>
      <c r="P1613" t="s">
        <v>54</v>
      </c>
      <c r="Q1613" t="s">
        <v>53</v>
      </c>
      <c r="R1613" t="s">
        <v>53</v>
      </c>
      <c r="S1613" t="s">
        <v>52</v>
      </c>
      <c r="T1613" t="s">
        <v>8372</v>
      </c>
      <c r="U1613" t="s">
        <v>53</v>
      </c>
      <c r="V1613" t="s">
        <v>51</v>
      </c>
      <c r="W1613">
        <v>100000</v>
      </c>
      <c r="X1613" t="s">
        <v>53</v>
      </c>
      <c r="AA1613">
        <v>0</v>
      </c>
      <c r="AB1613">
        <v>0</v>
      </c>
      <c r="AC1613">
        <v>0</v>
      </c>
      <c r="AD1613">
        <v>0</v>
      </c>
      <c r="AE1613">
        <v>0</v>
      </c>
      <c r="AF1613">
        <v>0</v>
      </c>
      <c r="AG1613">
        <v>0</v>
      </c>
      <c r="AH1613">
        <v>0</v>
      </c>
      <c r="AJ1613">
        <v>0</v>
      </c>
      <c r="AK1613" t="s">
        <v>54</v>
      </c>
      <c r="AL1613" t="s">
        <v>54</v>
      </c>
      <c r="AQ1613" t="s">
        <v>54</v>
      </c>
      <c r="AT1613" t="s">
        <v>61</v>
      </c>
      <c r="AW1613" t="s">
        <v>53</v>
      </c>
      <c r="AZ1613" t="s">
        <v>54</v>
      </c>
      <c r="BA1613" t="s">
        <v>55</v>
      </c>
    </row>
    <row r="1614" spans="1:53" x14ac:dyDescent="0.25">
      <c r="A1614">
        <v>1609</v>
      </c>
      <c r="B1614" t="s">
        <v>124</v>
      </c>
      <c r="C1614" t="s">
        <v>125</v>
      </c>
      <c r="D1614" t="s">
        <v>126</v>
      </c>
      <c r="E1614">
        <v>10</v>
      </c>
      <c r="F1614" t="s">
        <v>45</v>
      </c>
      <c r="G1614" t="s">
        <v>49</v>
      </c>
      <c r="H1614" t="s">
        <v>50</v>
      </c>
      <c r="L1614" t="s">
        <v>59</v>
      </c>
      <c r="M1614">
        <v>1.8761752843856809</v>
      </c>
      <c r="N1614" t="s">
        <v>54</v>
      </c>
      <c r="O1614" t="s">
        <v>53</v>
      </c>
      <c r="P1614" t="s">
        <v>53</v>
      </c>
      <c r="Q1614" t="s">
        <v>53</v>
      </c>
      <c r="R1614" t="s">
        <v>53</v>
      </c>
      <c r="S1614" t="s">
        <v>60</v>
      </c>
      <c r="T1614" t="s">
        <v>8376</v>
      </c>
      <c r="U1614" t="s">
        <v>53</v>
      </c>
      <c r="V1614" t="s">
        <v>51</v>
      </c>
      <c r="W1614">
        <v>100000</v>
      </c>
      <c r="X1614" t="s">
        <v>53</v>
      </c>
      <c r="AA1614">
        <v>25</v>
      </c>
      <c r="AB1614">
        <v>23</v>
      </c>
      <c r="AC1614">
        <v>69</v>
      </c>
      <c r="AD1614">
        <v>0</v>
      </c>
      <c r="AE1614">
        <v>69</v>
      </c>
      <c r="AF1614">
        <v>0</v>
      </c>
      <c r="AG1614">
        <v>0</v>
      </c>
      <c r="AH1614">
        <v>0.30714529752731318</v>
      </c>
      <c r="AJ1614">
        <v>59.98016357421875</v>
      </c>
      <c r="AK1614" t="s">
        <v>54</v>
      </c>
      <c r="AL1614" t="s">
        <v>54</v>
      </c>
      <c r="AQ1614" t="s">
        <v>54</v>
      </c>
      <c r="AT1614" t="s">
        <v>127</v>
      </c>
      <c r="AW1614" t="s">
        <v>53</v>
      </c>
      <c r="AZ1614" t="s">
        <v>54</v>
      </c>
      <c r="BA1614" t="s">
        <v>55</v>
      </c>
    </row>
    <row r="1615" spans="1:53" x14ac:dyDescent="0.25">
      <c r="A1615">
        <v>1610</v>
      </c>
      <c r="B1615" t="s">
        <v>128</v>
      </c>
      <c r="C1615" t="s">
        <v>129</v>
      </c>
      <c r="D1615" t="s">
        <v>130</v>
      </c>
      <c r="E1615">
        <v>10</v>
      </c>
      <c r="F1615" t="s">
        <v>45</v>
      </c>
      <c r="G1615" t="s">
        <v>49</v>
      </c>
      <c r="H1615" t="s">
        <v>50</v>
      </c>
      <c r="L1615" t="s">
        <v>48</v>
      </c>
      <c r="M1615">
        <v>1.205858707427979</v>
      </c>
      <c r="N1615" t="s">
        <v>54</v>
      </c>
      <c r="O1615" t="s">
        <v>53</v>
      </c>
      <c r="P1615" t="s">
        <v>53</v>
      </c>
      <c r="Q1615" t="s">
        <v>53</v>
      </c>
      <c r="R1615" t="s">
        <v>53</v>
      </c>
      <c r="S1615" t="s">
        <v>60</v>
      </c>
      <c r="T1615" t="s">
        <v>8376</v>
      </c>
      <c r="U1615" t="s">
        <v>53</v>
      </c>
      <c r="V1615" t="s">
        <v>51</v>
      </c>
      <c r="W1615">
        <v>100000</v>
      </c>
      <c r="X1615" t="s">
        <v>53</v>
      </c>
      <c r="AA1615">
        <v>1</v>
      </c>
      <c r="AB1615">
        <v>1</v>
      </c>
      <c r="AC1615">
        <v>0</v>
      </c>
      <c r="AD1615">
        <v>2</v>
      </c>
      <c r="AE1615">
        <v>2</v>
      </c>
      <c r="AF1615">
        <v>0</v>
      </c>
      <c r="AG1615">
        <v>0</v>
      </c>
      <c r="AH1615">
        <v>8.3301864564418793E-2</v>
      </c>
      <c r="AJ1615">
        <v>27.890583038330082</v>
      </c>
      <c r="AK1615" t="s">
        <v>54</v>
      </c>
      <c r="AL1615" t="s">
        <v>54</v>
      </c>
      <c r="AQ1615" t="s">
        <v>54</v>
      </c>
      <c r="AT1615" t="s">
        <v>127</v>
      </c>
      <c r="AW1615" t="s">
        <v>53</v>
      </c>
      <c r="AZ1615" t="s">
        <v>54</v>
      </c>
      <c r="BA1615" t="s">
        <v>55</v>
      </c>
    </row>
    <row r="1616" spans="1:53" x14ac:dyDescent="0.25">
      <c r="A1616">
        <v>1611</v>
      </c>
      <c r="B1616" t="s">
        <v>180</v>
      </c>
      <c r="C1616" t="s">
        <v>181</v>
      </c>
      <c r="D1616" t="s">
        <v>182</v>
      </c>
      <c r="E1616">
        <v>10</v>
      </c>
      <c r="F1616" t="s">
        <v>45</v>
      </c>
      <c r="G1616" t="s">
        <v>183</v>
      </c>
      <c r="H1616" t="s">
        <v>184</v>
      </c>
      <c r="L1616" t="s">
        <v>48</v>
      </c>
      <c r="M1616">
        <v>7.431841641664505E-2</v>
      </c>
      <c r="N1616" t="s">
        <v>54</v>
      </c>
      <c r="O1616" t="s">
        <v>53</v>
      </c>
      <c r="P1616" t="s">
        <v>53</v>
      </c>
      <c r="Q1616" t="s">
        <v>53</v>
      </c>
      <c r="R1616" t="s">
        <v>53</v>
      </c>
      <c r="S1616" t="s">
        <v>185</v>
      </c>
      <c r="T1616" t="s">
        <v>8380</v>
      </c>
      <c r="U1616" t="s">
        <v>53</v>
      </c>
      <c r="V1616" t="s">
        <v>51</v>
      </c>
      <c r="W1616">
        <v>100000</v>
      </c>
      <c r="X1616" t="s">
        <v>53</v>
      </c>
      <c r="AA1616">
        <v>27</v>
      </c>
      <c r="AB1616">
        <v>27</v>
      </c>
      <c r="AC1616">
        <v>96</v>
      </c>
      <c r="AD1616">
        <v>276</v>
      </c>
      <c r="AE1616">
        <v>276</v>
      </c>
      <c r="AF1616">
        <v>0</v>
      </c>
      <c r="AG1616">
        <v>0</v>
      </c>
      <c r="AH1616">
        <v>0.65585160255432129</v>
      </c>
      <c r="AJ1616">
        <v>7.2071123123168954</v>
      </c>
      <c r="AK1616" t="s">
        <v>54</v>
      </c>
      <c r="AL1616" t="s">
        <v>54</v>
      </c>
      <c r="AQ1616" t="s">
        <v>54</v>
      </c>
      <c r="AT1616" t="s">
        <v>186</v>
      </c>
      <c r="AW1616" t="s">
        <v>54</v>
      </c>
      <c r="AZ1616" t="s">
        <v>54</v>
      </c>
      <c r="BA1616" t="s">
        <v>55</v>
      </c>
    </row>
    <row r="1617" spans="1:53" x14ac:dyDescent="0.25">
      <c r="A1617">
        <v>1612</v>
      </c>
      <c r="B1617" t="s">
        <v>208</v>
      </c>
      <c r="C1617" t="s">
        <v>209</v>
      </c>
      <c r="D1617" t="s">
        <v>210</v>
      </c>
      <c r="E1617">
        <v>10</v>
      </c>
      <c r="F1617" t="s">
        <v>45</v>
      </c>
      <c r="G1617" t="s">
        <v>205</v>
      </c>
      <c r="H1617" t="s">
        <v>211</v>
      </c>
      <c r="L1617" t="s">
        <v>59</v>
      </c>
      <c r="M1617">
        <v>4.2079052925109863</v>
      </c>
      <c r="N1617" t="s">
        <v>54</v>
      </c>
      <c r="O1617" t="s">
        <v>53</v>
      </c>
      <c r="P1617" t="s">
        <v>53</v>
      </c>
      <c r="Q1617" t="s">
        <v>53</v>
      </c>
      <c r="R1617" t="s">
        <v>53</v>
      </c>
      <c r="S1617" t="s">
        <v>212</v>
      </c>
      <c r="T1617" t="s">
        <v>8381</v>
      </c>
      <c r="U1617" t="s">
        <v>53</v>
      </c>
      <c r="V1617" t="s">
        <v>51</v>
      </c>
      <c r="W1617">
        <v>100000</v>
      </c>
      <c r="X1617" t="s">
        <v>53</v>
      </c>
      <c r="AA1617">
        <v>60</v>
      </c>
      <c r="AB1617">
        <v>2</v>
      </c>
      <c r="AC1617">
        <v>748</v>
      </c>
      <c r="AD1617">
        <v>5</v>
      </c>
      <c r="AE1617">
        <v>748</v>
      </c>
      <c r="AF1617">
        <v>0</v>
      </c>
      <c r="AG1617">
        <v>3</v>
      </c>
      <c r="AH1617">
        <v>0.80998480319976807</v>
      </c>
      <c r="AJ1617">
        <v>147.1793212890625</v>
      </c>
      <c r="AK1617" t="s">
        <v>54</v>
      </c>
      <c r="AL1617" t="s">
        <v>54</v>
      </c>
      <c r="AQ1617" t="s">
        <v>53</v>
      </c>
      <c r="AT1617" t="s">
        <v>207</v>
      </c>
      <c r="AW1617" t="s">
        <v>54</v>
      </c>
      <c r="AZ1617" t="s">
        <v>54</v>
      </c>
      <c r="BA1617" t="s">
        <v>55</v>
      </c>
    </row>
    <row r="1618" spans="1:53" x14ac:dyDescent="0.25">
      <c r="A1618">
        <v>1613</v>
      </c>
      <c r="B1618" t="s">
        <v>273</v>
      </c>
      <c r="C1618" t="s">
        <v>274</v>
      </c>
      <c r="D1618" t="s">
        <v>275</v>
      </c>
      <c r="E1618">
        <v>10</v>
      </c>
      <c r="F1618" t="s">
        <v>45</v>
      </c>
      <c r="G1618" t="s">
        <v>276</v>
      </c>
      <c r="H1618" t="s">
        <v>277</v>
      </c>
      <c r="L1618" t="s">
        <v>59</v>
      </c>
      <c r="M1618">
        <v>1.414753317832947</v>
      </c>
      <c r="N1618" t="s">
        <v>54</v>
      </c>
      <c r="O1618" t="s">
        <v>53</v>
      </c>
      <c r="P1618" t="s">
        <v>53</v>
      </c>
      <c r="Q1618" t="s">
        <v>53</v>
      </c>
      <c r="R1618" t="s">
        <v>53</v>
      </c>
      <c r="S1618" t="s">
        <v>278</v>
      </c>
      <c r="T1618" t="s">
        <v>8382</v>
      </c>
      <c r="U1618" t="s">
        <v>53</v>
      </c>
      <c r="V1618" t="s">
        <v>51</v>
      </c>
      <c r="W1618">
        <v>100000</v>
      </c>
      <c r="X1618" t="s">
        <v>53</v>
      </c>
      <c r="AA1618">
        <v>11</v>
      </c>
      <c r="AB1618">
        <v>9</v>
      </c>
      <c r="AC1618">
        <v>14</v>
      </c>
      <c r="AD1618">
        <v>9</v>
      </c>
      <c r="AE1618">
        <v>14</v>
      </c>
      <c r="AF1618">
        <v>0</v>
      </c>
      <c r="AG1618">
        <v>0</v>
      </c>
      <c r="AH1618">
        <v>0.84983170032501221</v>
      </c>
      <c r="AJ1618">
        <v>69.410835266113281</v>
      </c>
      <c r="AK1618" t="s">
        <v>54</v>
      </c>
      <c r="AL1618" t="s">
        <v>54</v>
      </c>
      <c r="AQ1618" t="s">
        <v>54</v>
      </c>
      <c r="AT1618" t="s">
        <v>279</v>
      </c>
      <c r="AW1618" t="s">
        <v>54</v>
      </c>
      <c r="AZ1618" t="s">
        <v>54</v>
      </c>
      <c r="BA1618" t="s">
        <v>55</v>
      </c>
    </row>
    <row r="1619" spans="1:53" x14ac:dyDescent="0.25">
      <c r="A1619">
        <v>1614</v>
      </c>
      <c r="B1619" t="s">
        <v>280</v>
      </c>
      <c r="C1619" t="s">
        <v>281</v>
      </c>
      <c r="D1619" t="s">
        <v>281</v>
      </c>
      <c r="E1619">
        <v>10</v>
      </c>
      <c r="F1619" t="s">
        <v>45</v>
      </c>
      <c r="G1619" t="s">
        <v>276</v>
      </c>
      <c r="H1619" t="s">
        <v>277</v>
      </c>
      <c r="L1619" t="s">
        <v>48</v>
      </c>
      <c r="M1619">
        <v>1.414753317832947</v>
      </c>
      <c r="N1619" t="s">
        <v>54</v>
      </c>
      <c r="O1619" t="s">
        <v>53</v>
      </c>
      <c r="P1619" t="s">
        <v>53</v>
      </c>
      <c r="Q1619" t="s">
        <v>53</v>
      </c>
      <c r="R1619" t="s">
        <v>53</v>
      </c>
      <c r="S1619" t="s">
        <v>278</v>
      </c>
      <c r="T1619" t="s">
        <v>8382</v>
      </c>
      <c r="U1619" t="s">
        <v>53</v>
      </c>
      <c r="V1619" t="s">
        <v>51</v>
      </c>
      <c r="W1619">
        <v>50000</v>
      </c>
      <c r="X1619" t="s">
        <v>53</v>
      </c>
      <c r="AA1619">
        <v>11</v>
      </c>
      <c r="AB1619">
        <v>9</v>
      </c>
      <c r="AC1619">
        <v>14</v>
      </c>
      <c r="AD1619">
        <v>9</v>
      </c>
      <c r="AE1619">
        <v>14</v>
      </c>
      <c r="AF1619">
        <v>0</v>
      </c>
      <c r="AG1619">
        <v>0</v>
      </c>
      <c r="AH1619">
        <v>0.84983170032501221</v>
      </c>
      <c r="AJ1619">
        <v>69.410835266113281</v>
      </c>
      <c r="AK1619" t="s">
        <v>54</v>
      </c>
      <c r="AL1619" t="s">
        <v>54</v>
      </c>
      <c r="AQ1619" t="s">
        <v>54</v>
      </c>
      <c r="AT1619" t="s">
        <v>279</v>
      </c>
      <c r="AW1619" t="s">
        <v>54</v>
      </c>
      <c r="AZ1619" t="s">
        <v>54</v>
      </c>
      <c r="BA1619" t="s">
        <v>55</v>
      </c>
    </row>
    <row r="1620" spans="1:53" x14ac:dyDescent="0.25">
      <c r="A1620">
        <v>1615</v>
      </c>
      <c r="B1620" t="s">
        <v>282</v>
      </c>
      <c r="C1620" t="s">
        <v>283</v>
      </c>
      <c r="D1620" t="s">
        <v>284</v>
      </c>
      <c r="E1620">
        <v>10</v>
      </c>
      <c r="F1620" t="s">
        <v>45</v>
      </c>
      <c r="G1620" t="s">
        <v>276</v>
      </c>
      <c r="H1620" t="s">
        <v>178</v>
      </c>
      <c r="L1620" t="s">
        <v>48</v>
      </c>
      <c r="M1620">
        <v>0.16269391775131231</v>
      </c>
      <c r="N1620" t="s">
        <v>53</v>
      </c>
      <c r="O1620" t="s">
        <v>53</v>
      </c>
      <c r="P1620" t="s">
        <v>54</v>
      </c>
      <c r="Q1620" t="s">
        <v>53</v>
      </c>
      <c r="R1620" t="s">
        <v>53</v>
      </c>
      <c r="S1620" t="s">
        <v>285</v>
      </c>
      <c r="T1620" t="s">
        <v>8383</v>
      </c>
      <c r="U1620" t="s">
        <v>53</v>
      </c>
      <c r="V1620" t="s">
        <v>51</v>
      </c>
      <c r="W1620">
        <v>50000</v>
      </c>
      <c r="X1620" t="s">
        <v>53</v>
      </c>
      <c r="AA1620">
        <v>0</v>
      </c>
      <c r="AB1620">
        <v>0</v>
      </c>
      <c r="AC1620">
        <v>0</v>
      </c>
      <c r="AD1620">
        <v>0</v>
      </c>
      <c r="AE1620">
        <v>0</v>
      </c>
      <c r="AF1620">
        <v>0</v>
      </c>
      <c r="AG1620">
        <v>0</v>
      </c>
      <c r="AH1620">
        <v>0</v>
      </c>
      <c r="AJ1620">
        <v>0</v>
      </c>
      <c r="AK1620" t="s">
        <v>54</v>
      </c>
      <c r="AL1620" t="s">
        <v>54</v>
      </c>
      <c r="AQ1620" t="s">
        <v>54</v>
      </c>
      <c r="AT1620" t="s">
        <v>279</v>
      </c>
      <c r="AW1620" t="s">
        <v>53</v>
      </c>
      <c r="AZ1620" t="s">
        <v>54</v>
      </c>
      <c r="BA1620" t="s">
        <v>55</v>
      </c>
    </row>
    <row r="1621" spans="1:53" x14ac:dyDescent="0.25">
      <c r="A1621">
        <v>1616</v>
      </c>
      <c r="B1621" t="s">
        <v>290</v>
      </c>
      <c r="C1621" t="s">
        <v>291</v>
      </c>
      <c r="D1621" t="s">
        <v>292</v>
      </c>
      <c r="E1621">
        <v>10</v>
      </c>
      <c r="F1621" t="s">
        <v>45</v>
      </c>
      <c r="G1621" t="s">
        <v>293</v>
      </c>
      <c r="H1621" t="s">
        <v>153</v>
      </c>
      <c r="L1621" t="s">
        <v>59</v>
      </c>
      <c r="M1621">
        <v>8.7682780576869845E-4</v>
      </c>
      <c r="N1621" t="s">
        <v>53</v>
      </c>
      <c r="O1621" t="s">
        <v>53</v>
      </c>
      <c r="P1621" t="s">
        <v>54</v>
      </c>
      <c r="Q1621" t="s">
        <v>53</v>
      </c>
      <c r="R1621" t="s">
        <v>53</v>
      </c>
      <c r="S1621" t="s">
        <v>294</v>
      </c>
      <c r="T1621" t="s">
        <v>8384</v>
      </c>
      <c r="U1621" t="s">
        <v>53</v>
      </c>
      <c r="V1621" t="s">
        <v>51</v>
      </c>
      <c r="W1621">
        <v>50000</v>
      </c>
      <c r="X1621" t="s">
        <v>53</v>
      </c>
      <c r="AA1621">
        <v>0</v>
      </c>
      <c r="AB1621">
        <v>0</v>
      </c>
      <c r="AC1621">
        <v>0</v>
      </c>
      <c r="AD1621">
        <v>0</v>
      </c>
      <c r="AE1621">
        <v>0</v>
      </c>
      <c r="AF1621">
        <v>0</v>
      </c>
      <c r="AG1621">
        <v>0</v>
      </c>
      <c r="AH1621">
        <v>0</v>
      </c>
      <c r="AJ1621">
        <v>0</v>
      </c>
      <c r="AK1621" t="s">
        <v>54</v>
      </c>
      <c r="AL1621" t="s">
        <v>54</v>
      </c>
      <c r="AQ1621" t="s">
        <v>53</v>
      </c>
      <c r="AT1621" t="s">
        <v>295</v>
      </c>
      <c r="AW1621" t="s">
        <v>53</v>
      </c>
      <c r="AZ1621" t="s">
        <v>54</v>
      </c>
      <c r="BA1621" t="s">
        <v>55</v>
      </c>
    </row>
    <row r="1622" spans="1:53" x14ac:dyDescent="0.25">
      <c r="A1622">
        <v>1617</v>
      </c>
      <c r="B1622" t="s">
        <v>296</v>
      </c>
      <c r="C1622" t="s">
        <v>297</v>
      </c>
      <c r="D1622" t="s">
        <v>298</v>
      </c>
      <c r="E1622">
        <v>10</v>
      </c>
      <c r="F1622" t="s">
        <v>45</v>
      </c>
      <c r="G1622" t="s">
        <v>293</v>
      </c>
      <c r="H1622" t="s">
        <v>153</v>
      </c>
      <c r="L1622" t="s">
        <v>48</v>
      </c>
      <c r="M1622">
        <v>2.9574485961347818E-3</v>
      </c>
      <c r="N1622" t="s">
        <v>54</v>
      </c>
      <c r="O1622" t="s">
        <v>53</v>
      </c>
      <c r="P1622" t="s">
        <v>53</v>
      </c>
      <c r="Q1622" t="s">
        <v>53</v>
      </c>
      <c r="R1622" t="s">
        <v>53</v>
      </c>
      <c r="S1622" t="s">
        <v>294</v>
      </c>
      <c r="T1622" t="s">
        <v>8384</v>
      </c>
      <c r="U1622" t="s">
        <v>53</v>
      </c>
      <c r="V1622" t="s">
        <v>51</v>
      </c>
      <c r="W1622">
        <v>50000</v>
      </c>
      <c r="X1622" t="s">
        <v>53</v>
      </c>
      <c r="AA1622">
        <v>0</v>
      </c>
      <c r="AB1622">
        <v>0</v>
      </c>
      <c r="AC1622">
        <v>0</v>
      </c>
      <c r="AD1622">
        <v>0</v>
      </c>
      <c r="AE1622">
        <v>0</v>
      </c>
      <c r="AF1622">
        <v>0</v>
      </c>
      <c r="AG1622">
        <v>0</v>
      </c>
      <c r="AH1622">
        <v>0</v>
      </c>
      <c r="AJ1622">
        <v>1.9231413025408981E-3</v>
      </c>
      <c r="AK1622" t="s">
        <v>54</v>
      </c>
      <c r="AL1622" t="s">
        <v>54</v>
      </c>
      <c r="AQ1622" t="s">
        <v>53</v>
      </c>
      <c r="AT1622" t="s">
        <v>295</v>
      </c>
      <c r="AW1622" t="s">
        <v>53</v>
      </c>
      <c r="AZ1622" t="s">
        <v>54</v>
      </c>
      <c r="BA1622" t="s">
        <v>55</v>
      </c>
    </row>
    <row r="1623" spans="1:53" x14ac:dyDescent="0.25">
      <c r="A1623">
        <v>1618</v>
      </c>
      <c r="B1623" t="s">
        <v>299</v>
      </c>
      <c r="C1623" t="s">
        <v>300</v>
      </c>
      <c r="D1623" t="s">
        <v>679</v>
      </c>
      <c r="E1623">
        <v>10</v>
      </c>
      <c r="F1623" t="s">
        <v>45</v>
      </c>
      <c r="G1623" t="s">
        <v>293</v>
      </c>
      <c r="H1623" t="s">
        <v>153</v>
      </c>
      <c r="L1623" t="s">
        <v>48</v>
      </c>
      <c r="M1623">
        <v>5.6286770850419998E-2</v>
      </c>
      <c r="N1623" t="s">
        <v>53</v>
      </c>
      <c r="O1623" t="s">
        <v>53</v>
      </c>
      <c r="P1623" t="s">
        <v>54</v>
      </c>
      <c r="Q1623" t="s">
        <v>53</v>
      </c>
      <c r="R1623" t="s">
        <v>53</v>
      </c>
      <c r="S1623" t="s">
        <v>294</v>
      </c>
      <c r="T1623" t="s">
        <v>8384</v>
      </c>
      <c r="U1623" t="s">
        <v>53</v>
      </c>
      <c r="V1623" t="s">
        <v>51</v>
      </c>
      <c r="W1623">
        <v>100000</v>
      </c>
      <c r="X1623" t="s">
        <v>53</v>
      </c>
      <c r="AA1623">
        <v>0</v>
      </c>
      <c r="AB1623">
        <v>0</v>
      </c>
      <c r="AC1623">
        <v>0</v>
      </c>
      <c r="AD1623">
        <v>0</v>
      </c>
      <c r="AE1623">
        <v>0</v>
      </c>
      <c r="AF1623">
        <v>0</v>
      </c>
      <c r="AG1623">
        <v>0</v>
      </c>
      <c r="AH1623">
        <v>0</v>
      </c>
      <c r="AJ1623">
        <v>0</v>
      </c>
      <c r="AK1623" t="s">
        <v>54</v>
      </c>
      <c r="AL1623" t="s">
        <v>54</v>
      </c>
      <c r="AQ1623" t="s">
        <v>53</v>
      </c>
      <c r="AT1623" t="s">
        <v>295</v>
      </c>
      <c r="AW1623" t="s">
        <v>53</v>
      </c>
      <c r="AZ1623" t="s">
        <v>54</v>
      </c>
      <c r="BA1623" t="s">
        <v>55</v>
      </c>
    </row>
    <row r="1624" spans="1:53" x14ac:dyDescent="0.25">
      <c r="A1624">
        <v>1619</v>
      </c>
      <c r="B1624" t="s">
        <v>301</v>
      </c>
      <c r="C1624" t="s">
        <v>302</v>
      </c>
      <c r="D1624" t="s">
        <v>680</v>
      </c>
      <c r="E1624">
        <v>10</v>
      </c>
      <c r="F1624" t="s">
        <v>45</v>
      </c>
      <c r="G1624" t="s">
        <v>293</v>
      </c>
      <c r="H1624" t="s">
        <v>153</v>
      </c>
      <c r="L1624" t="s">
        <v>48</v>
      </c>
      <c r="M1624">
        <v>4.9956824630498893E-2</v>
      </c>
      <c r="N1624" t="s">
        <v>54</v>
      </c>
      <c r="O1624" t="s">
        <v>53</v>
      </c>
      <c r="P1624" t="s">
        <v>54</v>
      </c>
      <c r="Q1624" t="s">
        <v>53</v>
      </c>
      <c r="R1624" t="s">
        <v>53</v>
      </c>
      <c r="S1624" t="s">
        <v>294</v>
      </c>
      <c r="T1624" t="s">
        <v>8384</v>
      </c>
      <c r="U1624" t="s">
        <v>53</v>
      </c>
      <c r="V1624" t="s">
        <v>51</v>
      </c>
      <c r="W1624">
        <v>100000</v>
      </c>
      <c r="X1624" t="s">
        <v>53</v>
      </c>
      <c r="AA1624">
        <v>0</v>
      </c>
      <c r="AB1624">
        <v>0</v>
      </c>
      <c r="AC1624">
        <v>0</v>
      </c>
      <c r="AD1624">
        <v>0</v>
      </c>
      <c r="AE1624">
        <v>0</v>
      </c>
      <c r="AF1624">
        <v>0</v>
      </c>
      <c r="AG1624">
        <v>0</v>
      </c>
      <c r="AH1624">
        <v>0</v>
      </c>
      <c r="AJ1624">
        <v>0</v>
      </c>
      <c r="AK1624" t="s">
        <v>54</v>
      </c>
      <c r="AL1624" t="s">
        <v>54</v>
      </c>
      <c r="AQ1624" t="s">
        <v>53</v>
      </c>
      <c r="AT1624" t="s">
        <v>295</v>
      </c>
      <c r="AW1624" t="s">
        <v>53</v>
      </c>
      <c r="AZ1624" t="s">
        <v>54</v>
      </c>
      <c r="BA1624" t="s">
        <v>55</v>
      </c>
    </row>
    <row r="1625" spans="1:53" x14ac:dyDescent="0.25">
      <c r="A1625">
        <v>1620</v>
      </c>
      <c r="B1625" t="s">
        <v>303</v>
      </c>
      <c r="C1625" t="s">
        <v>304</v>
      </c>
      <c r="D1625" t="s">
        <v>305</v>
      </c>
      <c r="E1625">
        <v>10</v>
      </c>
      <c r="F1625" t="s">
        <v>45</v>
      </c>
      <c r="G1625" t="s">
        <v>293</v>
      </c>
      <c r="H1625" t="s">
        <v>153</v>
      </c>
      <c r="L1625" t="s">
        <v>48</v>
      </c>
      <c r="M1625">
        <v>3.0307041015475988E-4</v>
      </c>
      <c r="N1625" t="s">
        <v>53</v>
      </c>
      <c r="O1625" t="s">
        <v>53</v>
      </c>
      <c r="P1625" t="s">
        <v>54</v>
      </c>
      <c r="Q1625" t="s">
        <v>53</v>
      </c>
      <c r="R1625" t="s">
        <v>53</v>
      </c>
      <c r="S1625" t="s">
        <v>294</v>
      </c>
      <c r="T1625" t="s">
        <v>8384</v>
      </c>
      <c r="U1625" t="s">
        <v>53</v>
      </c>
      <c r="V1625" t="s">
        <v>51</v>
      </c>
      <c r="W1625">
        <v>50000</v>
      </c>
      <c r="X1625" t="s">
        <v>53</v>
      </c>
      <c r="AA1625">
        <v>0</v>
      </c>
      <c r="AB1625">
        <v>0</v>
      </c>
      <c r="AC1625">
        <v>0</v>
      </c>
      <c r="AD1625">
        <v>0</v>
      </c>
      <c r="AE1625">
        <v>0</v>
      </c>
      <c r="AF1625">
        <v>0</v>
      </c>
      <c r="AG1625">
        <v>0</v>
      </c>
      <c r="AH1625">
        <v>0</v>
      </c>
      <c r="AJ1625">
        <v>0</v>
      </c>
      <c r="AK1625" t="s">
        <v>54</v>
      </c>
      <c r="AL1625" t="s">
        <v>54</v>
      </c>
      <c r="AQ1625" t="s">
        <v>53</v>
      </c>
      <c r="AT1625" t="s">
        <v>295</v>
      </c>
      <c r="AW1625" t="s">
        <v>53</v>
      </c>
      <c r="AZ1625" t="s">
        <v>54</v>
      </c>
      <c r="BA1625" t="s">
        <v>55</v>
      </c>
    </row>
    <row r="1626" spans="1:53" x14ac:dyDescent="0.25">
      <c r="A1626">
        <v>1621</v>
      </c>
      <c r="B1626" t="s">
        <v>307</v>
      </c>
      <c r="C1626" t="s">
        <v>308</v>
      </c>
      <c r="D1626" t="s">
        <v>309</v>
      </c>
      <c r="E1626">
        <v>10</v>
      </c>
      <c r="F1626" t="s">
        <v>45</v>
      </c>
      <c r="G1626" t="s">
        <v>293</v>
      </c>
      <c r="H1626" t="s">
        <v>153</v>
      </c>
      <c r="L1626" t="s">
        <v>48</v>
      </c>
      <c r="M1626">
        <v>0.26320302486419678</v>
      </c>
      <c r="N1626" t="s">
        <v>54</v>
      </c>
      <c r="O1626" t="s">
        <v>53</v>
      </c>
      <c r="P1626" t="s">
        <v>53</v>
      </c>
      <c r="Q1626" t="s">
        <v>53</v>
      </c>
      <c r="R1626" t="s">
        <v>53</v>
      </c>
      <c r="S1626" t="s">
        <v>294</v>
      </c>
      <c r="T1626" t="s">
        <v>8384</v>
      </c>
      <c r="U1626" t="s">
        <v>53</v>
      </c>
      <c r="V1626" t="s">
        <v>51</v>
      </c>
      <c r="W1626">
        <v>250000</v>
      </c>
      <c r="X1626" t="s">
        <v>53</v>
      </c>
      <c r="AA1626">
        <v>11</v>
      </c>
      <c r="AB1626">
        <v>7</v>
      </c>
      <c r="AC1626">
        <v>213</v>
      </c>
      <c r="AD1626">
        <v>6</v>
      </c>
      <c r="AE1626">
        <v>213</v>
      </c>
      <c r="AF1626">
        <v>0</v>
      </c>
      <c r="AG1626">
        <v>0</v>
      </c>
      <c r="AH1626">
        <v>0</v>
      </c>
      <c r="AJ1626">
        <v>11.50526714324951</v>
      </c>
      <c r="AK1626" t="s">
        <v>54</v>
      </c>
      <c r="AL1626" t="s">
        <v>54</v>
      </c>
      <c r="AQ1626" t="s">
        <v>53</v>
      </c>
      <c r="AT1626" t="s">
        <v>295</v>
      </c>
      <c r="AW1626" t="s">
        <v>53</v>
      </c>
      <c r="AZ1626" t="s">
        <v>54</v>
      </c>
      <c r="BA1626" t="s">
        <v>55</v>
      </c>
    </row>
    <row r="1627" spans="1:53" x14ac:dyDescent="0.25">
      <c r="A1627">
        <v>1622</v>
      </c>
      <c r="B1627" t="s">
        <v>310</v>
      </c>
      <c r="C1627" t="s">
        <v>311</v>
      </c>
      <c r="D1627" t="s">
        <v>312</v>
      </c>
      <c r="E1627">
        <v>10</v>
      </c>
      <c r="F1627" t="s">
        <v>45</v>
      </c>
      <c r="G1627" t="s">
        <v>293</v>
      </c>
      <c r="H1627" t="s">
        <v>153</v>
      </c>
      <c r="L1627" t="s">
        <v>48</v>
      </c>
      <c r="M1627">
        <v>4.9359160475432873E-3</v>
      </c>
      <c r="N1627" t="s">
        <v>54</v>
      </c>
      <c r="O1627" t="s">
        <v>53</v>
      </c>
      <c r="P1627" t="s">
        <v>54</v>
      </c>
      <c r="Q1627" t="s">
        <v>53</v>
      </c>
      <c r="R1627" t="s">
        <v>53</v>
      </c>
      <c r="S1627" t="s">
        <v>294</v>
      </c>
      <c r="T1627" t="s">
        <v>8384</v>
      </c>
      <c r="U1627" t="s">
        <v>53</v>
      </c>
      <c r="V1627" t="s">
        <v>51</v>
      </c>
      <c r="W1627">
        <v>50000</v>
      </c>
      <c r="X1627" t="s">
        <v>53</v>
      </c>
      <c r="AA1627">
        <v>0</v>
      </c>
      <c r="AB1627">
        <v>0</v>
      </c>
      <c r="AC1627">
        <v>0</v>
      </c>
      <c r="AD1627">
        <v>0</v>
      </c>
      <c r="AE1627">
        <v>0</v>
      </c>
      <c r="AF1627">
        <v>0</v>
      </c>
      <c r="AG1627">
        <v>0</v>
      </c>
      <c r="AH1627">
        <v>0</v>
      </c>
      <c r="AJ1627">
        <v>0</v>
      </c>
      <c r="AK1627" t="s">
        <v>54</v>
      </c>
      <c r="AL1627" t="s">
        <v>54</v>
      </c>
      <c r="AQ1627" t="s">
        <v>53</v>
      </c>
      <c r="AT1627" t="s">
        <v>295</v>
      </c>
      <c r="AW1627" t="s">
        <v>53</v>
      </c>
      <c r="AZ1627" t="s">
        <v>54</v>
      </c>
      <c r="BA1627" t="s">
        <v>55</v>
      </c>
    </row>
    <row r="1628" spans="1:53" x14ac:dyDescent="0.25">
      <c r="A1628">
        <v>1623</v>
      </c>
      <c r="B1628" t="s">
        <v>313</v>
      </c>
      <c r="C1628" t="s">
        <v>314</v>
      </c>
      <c r="D1628" t="s">
        <v>681</v>
      </c>
      <c r="E1628">
        <v>10</v>
      </c>
      <c r="F1628" t="s">
        <v>45</v>
      </c>
      <c r="G1628" t="s">
        <v>293</v>
      </c>
      <c r="H1628" t="s">
        <v>153</v>
      </c>
      <c r="L1628" t="s">
        <v>59</v>
      </c>
      <c r="M1628">
        <v>6.6517102532088757E-3</v>
      </c>
      <c r="N1628" t="s">
        <v>54</v>
      </c>
      <c r="O1628" t="s">
        <v>53</v>
      </c>
      <c r="P1628" t="s">
        <v>54</v>
      </c>
      <c r="Q1628" t="s">
        <v>53</v>
      </c>
      <c r="R1628" t="s">
        <v>53</v>
      </c>
      <c r="S1628" t="s">
        <v>294</v>
      </c>
      <c r="T1628" t="s">
        <v>8384</v>
      </c>
      <c r="U1628" t="s">
        <v>53</v>
      </c>
      <c r="V1628" t="s">
        <v>51</v>
      </c>
      <c r="W1628">
        <v>50000</v>
      </c>
      <c r="X1628" t="s">
        <v>53</v>
      </c>
      <c r="AA1628">
        <v>0</v>
      </c>
      <c r="AB1628">
        <v>0</v>
      </c>
      <c r="AC1628">
        <v>0</v>
      </c>
      <c r="AD1628">
        <v>0</v>
      </c>
      <c r="AE1628">
        <v>0</v>
      </c>
      <c r="AF1628">
        <v>0</v>
      </c>
      <c r="AG1628">
        <v>0</v>
      </c>
      <c r="AH1628">
        <v>0</v>
      </c>
      <c r="AJ1628">
        <v>0</v>
      </c>
      <c r="AK1628" t="s">
        <v>54</v>
      </c>
      <c r="AL1628" t="s">
        <v>54</v>
      </c>
      <c r="AQ1628" t="s">
        <v>53</v>
      </c>
      <c r="AT1628" t="s">
        <v>295</v>
      </c>
      <c r="AW1628" t="s">
        <v>53</v>
      </c>
      <c r="AZ1628" t="s">
        <v>54</v>
      </c>
      <c r="BA1628" t="s">
        <v>55</v>
      </c>
    </row>
    <row r="1629" spans="1:53" x14ac:dyDescent="0.25">
      <c r="A1629">
        <v>1624</v>
      </c>
      <c r="B1629" t="s">
        <v>315</v>
      </c>
      <c r="C1629" t="s">
        <v>316</v>
      </c>
      <c r="D1629" t="s">
        <v>317</v>
      </c>
      <c r="E1629">
        <v>10</v>
      </c>
      <c r="F1629" t="s">
        <v>45</v>
      </c>
      <c r="G1629" t="s">
        <v>293</v>
      </c>
      <c r="H1629" t="s">
        <v>153</v>
      </c>
      <c r="L1629" t="s">
        <v>123</v>
      </c>
      <c r="M1629">
        <v>1.2702340609394011E-4</v>
      </c>
      <c r="N1629" t="s">
        <v>54</v>
      </c>
      <c r="O1629" t="s">
        <v>53</v>
      </c>
      <c r="P1629" t="s">
        <v>53</v>
      </c>
      <c r="Q1629" t="s">
        <v>53</v>
      </c>
      <c r="R1629" t="s">
        <v>53</v>
      </c>
      <c r="S1629" t="s">
        <v>294</v>
      </c>
      <c r="T1629" t="s">
        <v>8384</v>
      </c>
      <c r="U1629" t="s">
        <v>53</v>
      </c>
      <c r="V1629" t="s">
        <v>51</v>
      </c>
      <c r="W1629">
        <v>15000</v>
      </c>
      <c r="X1629" t="s">
        <v>53</v>
      </c>
      <c r="AA1629">
        <v>0</v>
      </c>
      <c r="AB1629">
        <v>0</v>
      </c>
      <c r="AC1629">
        <v>0</v>
      </c>
      <c r="AD1629">
        <v>0</v>
      </c>
      <c r="AE1629">
        <v>0</v>
      </c>
      <c r="AF1629">
        <v>0</v>
      </c>
      <c r="AG1629">
        <v>1</v>
      </c>
      <c r="AH1629">
        <v>0</v>
      </c>
      <c r="AJ1629">
        <v>0</v>
      </c>
      <c r="AK1629" t="s">
        <v>54</v>
      </c>
      <c r="AL1629" t="s">
        <v>54</v>
      </c>
      <c r="AQ1629" t="s">
        <v>53</v>
      </c>
      <c r="AT1629" t="s">
        <v>295</v>
      </c>
      <c r="AW1629" t="s">
        <v>53</v>
      </c>
      <c r="AZ1629" t="s">
        <v>54</v>
      </c>
      <c r="BA1629" t="s">
        <v>55</v>
      </c>
    </row>
    <row r="1630" spans="1:53" x14ac:dyDescent="0.25">
      <c r="A1630">
        <v>1625</v>
      </c>
      <c r="B1630" t="s">
        <v>318</v>
      </c>
      <c r="C1630" t="s">
        <v>319</v>
      </c>
      <c r="D1630" t="s">
        <v>320</v>
      </c>
      <c r="E1630">
        <v>10</v>
      </c>
      <c r="F1630" t="s">
        <v>45</v>
      </c>
      <c r="G1630" t="s">
        <v>293</v>
      </c>
      <c r="H1630" t="s">
        <v>153</v>
      </c>
      <c r="L1630" t="s">
        <v>48</v>
      </c>
      <c r="M1630">
        <v>2.431793212890625</v>
      </c>
      <c r="N1630" t="s">
        <v>54</v>
      </c>
      <c r="O1630" t="s">
        <v>53</v>
      </c>
      <c r="P1630" t="s">
        <v>53</v>
      </c>
      <c r="Q1630" t="s">
        <v>53</v>
      </c>
      <c r="R1630" t="s">
        <v>53</v>
      </c>
      <c r="S1630" t="s">
        <v>294</v>
      </c>
      <c r="T1630" t="s">
        <v>8384</v>
      </c>
      <c r="U1630" t="s">
        <v>53</v>
      </c>
      <c r="V1630" t="s">
        <v>51</v>
      </c>
      <c r="W1630">
        <v>50000</v>
      </c>
      <c r="X1630" t="s">
        <v>53</v>
      </c>
      <c r="AA1630">
        <v>44</v>
      </c>
      <c r="AB1630">
        <v>26</v>
      </c>
      <c r="AC1630">
        <v>26</v>
      </c>
      <c r="AD1630">
        <v>59</v>
      </c>
      <c r="AE1630">
        <v>59</v>
      </c>
      <c r="AF1630">
        <v>0</v>
      </c>
      <c r="AG1630">
        <v>3</v>
      </c>
      <c r="AH1630">
        <v>0</v>
      </c>
      <c r="AJ1630">
        <v>112.184440612793</v>
      </c>
      <c r="AK1630" t="s">
        <v>54</v>
      </c>
      <c r="AL1630" t="s">
        <v>54</v>
      </c>
      <c r="AQ1630" t="s">
        <v>53</v>
      </c>
      <c r="AT1630" t="s">
        <v>295</v>
      </c>
      <c r="AW1630" t="s">
        <v>53</v>
      </c>
      <c r="AZ1630" t="s">
        <v>54</v>
      </c>
      <c r="BA1630" t="s">
        <v>55</v>
      </c>
    </row>
    <row r="1631" spans="1:53" x14ac:dyDescent="0.25">
      <c r="A1631">
        <v>1626</v>
      </c>
      <c r="B1631" t="s">
        <v>321</v>
      </c>
      <c r="C1631" t="s">
        <v>322</v>
      </c>
      <c r="D1631" t="s">
        <v>323</v>
      </c>
      <c r="E1631">
        <v>10</v>
      </c>
      <c r="F1631" t="s">
        <v>45</v>
      </c>
      <c r="G1631" t="s">
        <v>293</v>
      </c>
      <c r="H1631" t="s">
        <v>153</v>
      </c>
      <c r="L1631" t="s">
        <v>48</v>
      </c>
      <c r="M1631">
        <v>2.1311448886990551E-2</v>
      </c>
      <c r="N1631" t="s">
        <v>54</v>
      </c>
      <c r="O1631" t="s">
        <v>53</v>
      </c>
      <c r="P1631" t="s">
        <v>53</v>
      </c>
      <c r="Q1631" t="s">
        <v>53</v>
      </c>
      <c r="R1631" t="s">
        <v>53</v>
      </c>
      <c r="S1631" t="s">
        <v>294</v>
      </c>
      <c r="T1631" t="s">
        <v>8384</v>
      </c>
      <c r="U1631" t="s">
        <v>53</v>
      </c>
      <c r="V1631" t="s">
        <v>51</v>
      </c>
      <c r="W1631">
        <v>50000</v>
      </c>
      <c r="X1631" t="s">
        <v>53</v>
      </c>
      <c r="AA1631">
        <v>3</v>
      </c>
      <c r="AB1631">
        <v>3</v>
      </c>
      <c r="AC1631">
        <v>3</v>
      </c>
      <c r="AD1631">
        <v>2</v>
      </c>
      <c r="AE1631">
        <v>3</v>
      </c>
      <c r="AF1631">
        <v>0</v>
      </c>
      <c r="AG1631">
        <v>1</v>
      </c>
      <c r="AH1631">
        <v>0</v>
      </c>
      <c r="AJ1631">
        <v>0</v>
      </c>
      <c r="AK1631" t="s">
        <v>54</v>
      </c>
      <c r="AL1631" t="s">
        <v>54</v>
      </c>
      <c r="AQ1631" t="s">
        <v>53</v>
      </c>
      <c r="AT1631" t="s">
        <v>295</v>
      </c>
      <c r="AW1631" t="s">
        <v>53</v>
      </c>
      <c r="AZ1631" t="s">
        <v>54</v>
      </c>
      <c r="BA1631" t="s">
        <v>55</v>
      </c>
    </row>
    <row r="1632" spans="1:53" x14ac:dyDescent="0.25">
      <c r="A1632">
        <v>1627</v>
      </c>
      <c r="B1632" t="s">
        <v>324</v>
      </c>
      <c r="C1632" t="s">
        <v>325</v>
      </c>
      <c r="D1632" t="s">
        <v>326</v>
      </c>
      <c r="E1632">
        <v>10</v>
      </c>
      <c r="F1632" t="s">
        <v>45</v>
      </c>
      <c r="G1632" t="s">
        <v>293</v>
      </c>
      <c r="H1632" t="s">
        <v>153</v>
      </c>
      <c r="L1632" t="s">
        <v>48</v>
      </c>
      <c r="M1632">
        <v>1.053415145725012E-2</v>
      </c>
      <c r="N1632" t="s">
        <v>54</v>
      </c>
      <c r="O1632" t="s">
        <v>53</v>
      </c>
      <c r="P1632" t="s">
        <v>53</v>
      </c>
      <c r="Q1632" t="s">
        <v>53</v>
      </c>
      <c r="R1632" t="s">
        <v>53</v>
      </c>
      <c r="S1632" t="s">
        <v>294</v>
      </c>
      <c r="T1632" t="s">
        <v>8384</v>
      </c>
      <c r="U1632" t="s">
        <v>53</v>
      </c>
      <c r="V1632" t="s">
        <v>51</v>
      </c>
      <c r="W1632">
        <v>100000</v>
      </c>
      <c r="X1632" t="s">
        <v>53</v>
      </c>
      <c r="AA1632">
        <v>0</v>
      </c>
      <c r="AB1632">
        <v>0</v>
      </c>
      <c r="AC1632">
        <v>0</v>
      </c>
      <c r="AD1632">
        <v>0</v>
      </c>
      <c r="AE1632">
        <v>0</v>
      </c>
      <c r="AF1632">
        <v>0</v>
      </c>
      <c r="AG1632">
        <v>0</v>
      </c>
      <c r="AH1632">
        <v>0</v>
      </c>
      <c r="AJ1632">
        <v>0</v>
      </c>
      <c r="AK1632" t="s">
        <v>54</v>
      </c>
      <c r="AL1632" t="s">
        <v>54</v>
      </c>
      <c r="AQ1632" t="s">
        <v>53</v>
      </c>
      <c r="AT1632" t="s">
        <v>295</v>
      </c>
      <c r="AW1632" t="s">
        <v>53</v>
      </c>
      <c r="AZ1632" t="s">
        <v>54</v>
      </c>
      <c r="BA1632" t="s">
        <v>55</v>
      </c>
    </row>
    <row r="1633" spans="1:53" x14ac:dyDescent="0.25">
      <c r="A1633">
        <v>1628</v>
      </c>
      <c r="B1633" t="s">
        <v>327</v>
      </c>
      <c r="C1633" t="s">
        <v>328</v>
      </c>
      <c r="D1633" t="s">
        <v>329</v>
      </c>
      <c r="E1633">
        <v>10</v>
      </c>
      <c r="F1633" t="s">
        <v>45</v>
      </c>
      <c r="G1633" t="s">
        <v>293</v>
      </c>
      <c r="H1633" t="s">
        <v>153</v>
      </c>
      <c r="L1633" t="s">
        <v>48</v>
      </c>
      <c r="M1633">
        <v>1.2823741883039469E-2</v>
      </c>
      <c r="N1633" t="s">
        <v>53</v>
      </c>
      <c r="O1633" t="s">
        <v>53</v>
      </c>
      <c r="P1633" t="s">
        <v>54</v>
      </c>
      <c r="Q1633" t="s">
        <v>53</v>
      </c>
      <c r="R1633" t="s">
        <v>53</v>
      </c>
      <c r="S1633" t="s">
        <v>294</v>
      </c>
      <c r="T1633" t="s">
        <v>8384</v>
      </c>
      <c r="U1633" t="s">
        <v>53</v>
      </c>
      <c r="V1633" t="s">
        <v>51</v>
      </c>
      <c r="W1633">
        <v>100000</v>
      </c>
      <c r="X1633" t="s">
        <v>53</v>
      </c>
      <c r="AA1633">
        <v>0</v>
      </c>
      <c r="AB1633">
        <v>0</v>
      </c>
      <c r="AC1633">
        <v>0</v>
      </c>
      <c r="AD1633">
        <v>0</v>
      </c>
      <c r="AE1633">
        <v>0</v>
      </c>
      <c r="AF1633">
        <v>0</v>
      </c>
      <c r="AG1633">
        <v>0</v>
      </c>
      <c r="AH1633">
        <v>0</v>
      </c>
      <c r="AJ1633">
        <v>0</v>
      </c>
      <c r="AK1633" t="s">
        <v>54</v>
      </c>
      <c r="AL1633" t="s">
        <v>54</v>
      </c>
      <c r="AQ1633" t="s">
        <v>53</v>
      </c>
      <c r="AT1633" t="s">
        <v>295</v>
      </c>
      <c r="AW1633" t="s">
        <v>53</v>
      </c>
      <c r="AZ1633" t="s">
        <v>54</v>
      </c>
      <c r="BA1633" t="s">
        <v>55</v>
      </c>
    </row>
    <row r="1634" spans="1:53" x14ac:dyDescent="0.25">
      <c r="A1634">
        <v>1629</v>
      </c>
      <c r="B1634" t="s">
        <v>330</v>
      </c>
      <c r="C1634" t="s">
        <v>331</v>
      </c>
      <c r="D1634" t="s">
        <v>332</v>
      </c>
      <c r="E1634">
        <v>10</v>
      </c>
      <c r="F1634" t="s">
        <v>45</v>
      </c>
      <c r="G1634" t="s">
        <v>293</v>
      </c>
      <c r="H1634" t="s">
        <v>153</v>
      </c>
      <c r="L1634" t="s">
        <v>48</v>
      </c>
      <c r="M1634">
        <v>7.8468052670359612E-3</v>
      </c>
      <c r="N1634" t="s">
        <v>54</v>
      </c>
      <c r="O1634" t="s">
        <v>53</v>
      </c>
      <c r="P1634" t="s">
        <v>53</v>
      </c>
      <c r="Q1634" t="s">
        <v>53</v>
      </c>
      <c r="R1634" t="s">
        <v>53</v>
      </c>
      <c r="S1634" t="s">
        <v>294</v>
      </c>
      <c r="T1634" t="s">
        <v>8384</v>
      </c>
      <c r="U1634" t="s">
        <v>53</v>
      </c>
      <c r="V1634" t="s">
        <v>51</v>
      </c>
      <c r="W1634">
        <v>150000</v>
      </c>
      <c r="X1634" t="s">
        <v>53</v>
      </c>
      <c r="AA1634">
        <v>0</v>
      </c>
      <c r="AB1634">
        <v>0</v>
      </c>
      <c r="AC1634">
        <v>0</v>
      </c>
      <c r="AD1634">
        <v>0</v>
      </c>
      <c r="AE1634">
        <v>0</v>
      </c>
      <c r="AF1634">
        <v>0</v>
      </c>
      <c r="AG1634">
        <v>0</v>
      </c>
      <c r="AH1634">
        <v>0</v>
      </c>
      <c r="AJ1634">
        <v>0</v>
      </c>
      <c r="AK1634" t="s">
        <v>54</v>
      </c>
      <c r="AL1634" t="s">
        <v>54</v>
      </c>
      <c r="AQ1634" t="s">
        <v>53</v>
      </c>
      <c r="AT1634" t="s">
        <v>295</v>
      </c>
      <c r="AW1634" t="s">
        <v>53</v>
      </c>
      <c r="AZ1634" t="s">
        <v>54</v>
      </c>
      <c r="BA1634" t="s">
        <v>55</v>
      </c>
    </row>
    <row r="1635" spans="1:53" x14ac:dyDescent="0.25">
      <c r="A1635">
        <v>1630</v>
      </c>
      <c r="B1635" t="s">
        <v>346</v>
      </c>
      <c r="C1635" t="s">
        <v>347</v>
      </c>
      <c r="D1635" t="s">
        <v>682</v>
      </c>
      <c r="E1635">
        <v>10</v>
      </c>
      <c r="F1635" t="s">
        <v>45</v>
      </c>
      <c r="G1635" t="s">
        <v>348</v>
      </c>
      <c r="H1635" t="s">
        <v>211</v>
      </c>
      <c r="L1635" t="s">
        <v>59</v>
      </c>
      <c r="M1635">
        <v>3.890691557899117E-3</v>
      </c>
      <c r="N1635" t="s">
        <v>54</v>
      </c>
      <c r="O1635" t="s">
        <v>53</v>
      </c>
      <c r="P1635" t="s">
        <v>53</v>
      </c>
      <c r="Q1635" t="s">
        <v>53</v>
      </c>
      <c r="R1635" t="s">
        <v>53</v>
      </c>
      <c r="S1635" t="s">
        <v>349</v>
      </c>
      <c r="T1635" t="s">
        <v>8385</v>
      </c>
      <c r="U1635" t="s">
        <v>53</v>
      </c>
      <c r="V1635" t="s">
        <v>51</v>
      </c>
      <c r="W1635">
        <v>100000</v>
      </c>
      <c r="X1635" t="s">
        <v>53</v>
      </c>
      <c r="AA1635">
        <v>0</v>
      </c>
      <c r="AB1635">
        <v>0</v>
      </c>
      <c r="AC1635">
        <v>0</v>
      </c>
      <c r="AD1635">
        <v>0</v>
      </c>
      <c r="AE1635">
        <v>0</v>
      </c>
      <c r="AF1635">
        <v>0</v>
      </c>
      <c r="AG1635">
        <v>0</v>
      </c>
      <c r="AH1635">
        <v>0</v>
      </c>
      <c r="AJ1635">
        <v>1.657958507537842</v>
      </c>
      <c r="AK1635" t="s">
        <v>54</v>
      </c>
      <c r="AL1635" t="s">
        <v>54</v>
      </c>
      <c r="AQ1635" t="s">
        <v>54</v>
      </c>
      <c r="AT1635" t="s">
        <v>350</v>
      </c>
      <c r="AW1635" t="s">
        <v>53</v>
      </c>
      <c r="AZ1635" t="s">
        <v>54</v>
      </c>
      <c r="BA1635" t="s">
        <v>55</v>
      </c>
    </row>
    <row r="1636" spans="1:53" x14ac:dyDescent="0.25">
      <c r="A1636">
        <v>1631</v>
      </c>
      <c r="B1636" t="s">
        <v>351</v>
      </c>
      <c r="C1636" t="s">
        <v>352</v>
      </c>
      <c r="D1636" t="s">
        <v>683</v>
      </c>
      <c r="E1636">
        <v>10</v>
      </c>
      <c r="F1636" t="s">
        <v>45</v>
      </c>
      <c r="G1636" t="s">
        <v>348</v>
      </c>
      <c r="H1636" t="s">
        <v>211</v>
      </c>
      <c r="L1636" t="s">
        <v>151</v>
      </c>
      <c r="M1636">
        <v>0.2105557918548584</v>
      </c>
      <c r="N1636" t="s">
        <v>54</v>
      </c>
      <c r="O1636" t="s">
        <v>53</v>
      </c>
      <c r="P1636" t="s">
        <v>53</v>
      </c>
      <c r="Q1636" t="s">
        <v>53</v>
      </c>
      <c r="R1636" t="s">
        <v>53</v>
      </c>
      <c r="S1636" t="s">
        <v>353</v>
      </c>
      <c r="T1636" t="s">
        <v>8386</v>
      </c>
      <c r="U1636" t="s">
        <v>53</v>
      </c>
      <c r="V1636" t="s">
        <v>138</v>
      </c>
      <c r="W1636">
        <v>50000</v>
      </c>
      <c r="X1636" t="s">
        <v>53</v>
      </c>
      <c r="AA1636">
        <v>1</v>
      </c>
      <c r="AB1636">
        <v>1</v>
      </c>
      <c r="AC1636">
        <v>3</v>
      </c>
      <c r="AD1636">
        <v>0</v>
      </c>
      <c r="AE1636">
        <v>3</v>
      </c>
      <c r="AF1636">
        <v>0</v>
      </c>
      <c r="AG1636">
        <v>0</v>
      </c>
      <c r="AH1636">
        <v>3.8949351757764823E-2</v>
      </c>
      <c r="AJ1636">
        <v>4.04803466796875</v>
      </c>
      <c r="AK1636" t="s">
        <v>54</v>
      </c>
      <c r="AL1636" t="s">
        <v>54</v>
      </c>
      <c r="AQ1636" t="s">
        <v>54</v>
      </c>
      <c r="AT1636" t="s">
        <v>350</v>
      </c>
      <c r="AW1636" t="s">
        <v>53</v>
      </c>
      <c r="AZ1636" t="s">
        <v>54</v>
      </c>
      <c r="BA1636" t="s">
        <v>55</v>
      </c>
    </row>
    <row r="1637" spans="1:53" x14ac:dyDescent="0.25">
      <c r="A1637">
        <v>1632</v>
      </c>
      <c r="B1637" t="s">
        <v>354</v>
      </c>
      <c r="C1637" t="s">
        <v>355</v>
      </c>
      <c r="D1637" t="s">
        <v>684</v>
      </c>
      <c r="E1637">
        <v>10</v>
      </c>
      <c r="F1637" t="s">
        <v>45</v>
      </c>
      <c r="G1637" t="s">
        <v>348</v>
      </c>
      <c r="H1637" t="s">
        <v>356</v>
      </c>
      <c r="L1637" t="s">
        <v>123</v>
      </c>
      <c r="M1637">
        <v>0.41857254505157471</v>
      </c>
      <c r="N1637" t="s">
        <v>54</v>
      </c>
      <c r="O1637" t="s">
        <v>53</v>
      </c>
      <c r="P1637" t="s">
        <v>53</v>
      </c>
      <c r="Q1637" t="s">
        <v>53</v>
      </c>
      <c r="R1637" t="s">
        <v>53</v>
      </c>
      <c r="S1637" t="s">
        <v>357</v>
      </c>
      <c r="T1637" t="s">
        <v>8387</v>
      </c>
      <c r="U1637" t="s">
        <v>53</v>
      </c>
      <c r="V1637" t="s">
        <v>162</v>
      </c>
      <c r="W1637">
        <v>25000</v>
      </c>
      <c r="X1637" t="s">
        <v>53</v>
      </c>
      <c r="AA1637">
        <v>0</v>
      </c>
      <c r="AB1637">
        <v>0</v>
      </c>
      <c r="AC1637">
        <v>0</v>
      </c>
      <c r="AD1637">
        <v>0</v>
      </c>
      <c r="AE1637">
        <v>0</v>
      </c>
      <c r="AF1637">
        <v>0</v>
      </c>
      <c r="AG1637">
        <v>0</v>
      </c>
      <c r="AH1637">
        <v>0</v>
      </c>
      <c r="AJ1637">
        <v>0.38037121295928961</v>
      </c>
      <c r="AK1637" t="s">
        <v>53</v>
      </c>
      <c r="AL1637" t="s">
        <v>54</v>
      </c>
      <c r="AQ1637" t="s">
        <v>54</v>
      </c>
      <c r="AT1637" t="s">
        <v>350</v>
      </c>
      <c r="AW1637" t="s">
        <v>53</v>
      </c>
      <c r="AZ1637" t="s">
        <v>54</v>
      </c>
      <c r="BA1637" t="s">
        <v>55</v>
      </c>
    </row>
    <row r="1638" spans="1:53" x14ac:dyDescent="0.25">
      <c r="A1638">
        <v>1633</v>
      </c>
      <c r="B1638" t="s">
        <v>364</v>
      </c>
      <c r="C1638" t="s">
        <v>365</v>
      </c>
      <c r="D1638" t="s">
        <v>685</v>
      </c>
      <c r="E1638">
        <v>10</v>
      </c>
      <c r="F1638" t="s">
        <v>45</v>
      </c>
      <c r="G1638" t="s">
        <v>366</v>
      </c>
      <c r="H1638" t="s">
        <v>367</v>
      </c>
      <c r="L1638" t="s">
        <v>59</v>
      </c>
      <c r="M1638">
        <v>1.6207723617553711</v>
      </c>
      <c r="N1638" t="s">
        <v>54</v>
      </c>
      <c r="O1638" t="s">
        <v>53</v>
      </c>
      <c r="P1638" t="s">
        <v>53</v>
      </c>
      <c r="Q1638" t="s">
        <v>53</v>
      </c>
      <c r="R1638" t="s">
        <v>53</v>
      </c>
      <c r="S1638" t="s">
        <v>368</v>
      </c>
      <c r="T1638" t="s">
        <v>397</v>
      </c>
      <c r="U1638" t="s">
        <v>53</v>
      </c>
      <c r="V1638" t="s">
        <v>51</v>
      </c>
      <c r="W1638">
        <v>100000</v>
      </c>
      <c r="X1638" t="s">
        <v>53</v>
      </c>
      <c r="AA1638">
        <v>223</v>
      </c>
      <c r="AB1638">
        <v>173</v>
      </c>
      <c r="AC1638">
        <v>392</v>
      </c>
      <c r="AD1638">
        <v>689</v>
      </c>
      <c r="AE1638">
        <v>689</v>
      </c>
      <c r="AF1638">
        <v>0</v>
      </c>
      <c r="AG1638">
        <v>0</v>
      </c>
      <c r="AH1638">
        <v>5.3424344062805176</v>
      </c>
      <c r="AJ1638">
        <v>169.8894958496094</v>
      </c>
      <c r="AK1638" t="s">
        <v>54</v>
      </c>
      <c r="AL1638" t="s">
        <v>54</v>
      </c>
      <c r="AQ1638" t="s">
        <v>54</v>
      </c>
      <c r="AT1638" t="s">
        <v>369</v>
      </c>
      <c r="AW1638" t="s">
        <v>54</v>
      </c>
      <c r="AZ1638" t="s">
        <v>54</v>
      </c>
      <c r="BA1638" t="s">
        <v>55</v>
      </c>
    </row>
    <row r="1639" spans="1:53" x14ac:dyDescent="0.25">
      <c r="A1639">
        <v>1634</v>
      </c>
      <c r="B1639" t="s">
        <v>370</v>
      </c>
      <c r="C1639" t="s">
        <v>371</v>
      </c>
      <c r="D1639" t="s">
        <v>686</v>
      </c>
      <c r="E1639">
        <v>10</v>
      </c>
      <c r="F1639" t="s">
        <v>45</v>
      </c>
      <c r="G1639" t="s">
        <v>366</v>
      </c>
      <c r="H1639" t="s">
        <v>367</v>
      </c>
      <c r="L1639" t="s">
        <v>59</v>
      </c>
      <c r="M1639">
        <v>4.0647215843200684</v>
      </c>
      <c r="N1639" t="s">
        <v>54</v>
      </c>
      <c r="O1639" t="s">
        <v>53</v>
      </c>
      <c r="P1639" t="s">
        <v>53</v>
      </c>
      <c r="Q1639" t="s">
        <v>53</v>
      </c>
      <c r="R1639" t="s">
        <v>53</v>
      </c>
      <c r="S1639" t="s">
        <v>368</v>
      </c>
      <c r="T1639" t="s">
        <v>397</v>
      </c>
      <c r="U1639" t="s">
        <v>53</v>
      </c>
      <c r="V1639" t="s">
        <v>51</v>
      </c>
      <c r="W1639">
        <v>200000</v>
      </c>
      <c r="X1639" t="s">
        <v>53</v>
      </c>
      <c r="AA1639">
        <v>1223</v>
      </c>
      <c r="AB1639">
        <v>1010</v>
      </c>
      <c r="AC1639">
        <v>1412</v>
      </c>
      <c r="AD1639">
        <v>1908</v>
      </c>
      <c r="AE1639">
        <v>1908</v>
      </c>
      <c r="AF1639">
        <v>2</v>
      </c>
      <c r="AG1639">
        <v>1</v>
      </c>
      <c r="AH1639">
        <v>26.25538444519043</v>
      </c>
      <c r="AJ1639">
        <v>137.2613830566406</v>
      </c>
      <c r="AK1639" t="s">
        <v>54</v>
      </c>
      <c r="AL1639" t="s">
        <v>54</v>
      </c>
      <c r="AQ1639" t="s">
        <v>54</v>
      </c>
      <c r="AT1639" t="s">
        <v>369</v>
      </c>
      <c r="AW1639" t="s">
        <v>54</v>
      </c>
      <c r="AZ1639" t="s">
        <v>54</v>
      </c>
      <c r="BA1639" t="s">
        <v>55</v>
      </c>
    </row>
    <row r="1640" spans="1:53" x14ac:dyDescent="0.25">
      <c r="A1640">
        <v>1635</v>
      </c>
      <c r="B1640" t="s">
        <v>372</v>
      </c>
      <c r="C1640" t="s">
        <v>373</v>
      </c>
      <c r="D1640" t="s">
        <v>687</v>
      </c>
      <c r="E1640">
        <v>10</v>
      </c>
      <c r="F1640" t="s">
        <v>45</v>
      </c>
      <c r="G1640" t="s">
        <v>366</v>
      </c>
      <c r="H1640" t="s">
        <v>374</v>
      </c>
      <c r="L1640" t="s">
        <v>81</v>
      </c>
      <c r="M1640">
        <v>1.119773387908936</v>
      </c>
      <c r="N1640" t="s">
        <v>54</v>
      </c>
      <c r="O1640" t="s">
        <v>53</v>
      </c>
      <c r="P1640" t="s">
        <v>53</v>
      </c>
      <c r="Q1640" t="s">
        <v>53</v>
      </c>
      <c r="R1640" t="s">
        <v>53</v>
      </c>
      <c r="S1640" t="s">
        <v>375</v>
      </c>
      <c r="T1640" t="s">
        <v>402</v>
      </c>
      <c r="U1640" t="s">
        <v>53</v>
      </c>
      <c r="V1640" t="s">
        <v>51</v>
      </c>
      <c r="W1640">
        <v>100000</v>
      </c>
      <c r="X1640" t="s">
        <v>53</v>
      </c>
      <c r="AA1640">
        <v>28</v>
      </c>
      <c r="AB1640">
        <v>17</v>
      </c>
      <c r="AC1640">
        <v>77</v>
      </c>
      <c r="AD1640">
        <v>27</v>
      </c>
      <c r="AE1640">
        <v>77</v>
      </c>
      <c r="AF1640">
        <v>0</v>
      </c>
      <c r="AG1640">
        <v>0</v>
      </c>
      <c r="AH1640">
        <v>0.42465221881866461</v>
      </c>
      <c r="AJ1640">
        <v>27.728059768676761</v>
      </c>
      <c r="AK1640" t="s">
        <v>54</v>
      </c>
      <c r="AL1640" t="s">
        <v>54</v>
      </c>
      <c r="AQ1640" t="s">
        <v>54</v>
      </c>
      <c r="AT1640" t="s">
        <v>369</v>
      </c>
      <c r="AW1640" t="s">
        <v>54</v>
      </c>
      <c r="AZ1640" t="s">
        <v>54</v>
      </c>
      <c r="BA1640" t="s">
        <v>55</v>
      </c>
    </row>
    <row r="1641" spans="1:53" x14ac:dyDescent="0.25">
      <c r="A1641">
        <v>1636</v>
      </c>
      <c r="B1641" t="s">
        <v>376</v>
      </c>
      <c r="C1641" t="s">
        <v>377</v>
      </c>
      <c r="D1641" t="s">
        <v>378</v>
      </c>
      <c r="E1641">
        <v>10</v>
      </c>
      <c r="F1641" t="s">
        <v>45</v>
      </c>
      <c r="G1641" t="s">
        <v>366</v>
      </c>
      <c r="H1641" t="s">
        <v>380</v>
      </c>
      <c r="L1641" t="s">
        <v>379</v>
      </c>
      <c r="M1641">
        <v>8.8349424302577972E-2</v>
      </c>
      <c r="N1641" t="s">
        <v>54</v>
      </c>
      <c r="O1641" t="s">
        <v>53</v>
      </c>
      <c r="P1641" t="s">
        <v>53</v>
      </c>
      <c r="Q1641" t="s">
        <v>53</v>
      </c>
      <c r="R1641" t="s">
        <v>53</v>
      </c>
      <c r="S1641" t="s">
        <v>381</v>
      </c>
      <c r="T1641" t="s">
        <v>397</v>
      </c>
      <c r="U1641" t="s">
        <v>53</v>
      </c>
      <c r="V1641" t="s">
        <v>51</v>
      </c>
      <c r="W1641">
        <v>150000</v>
      </c>
      <c r="X1641" t="s">
        <v>53</v>
      </c>
      <c r="AA1641">
        <v>3</v>
      </c>
      <c r="AB1641">
        <v>0</v>
      </c>
      <c r="AC1641">
        <v>5</v>
      </c>
      <c r="AD1641">
        <v>0</v>
      </c>
      <c r="AE1641">
        <v>5</v>
      </c>
      <c r="AF1641">
        <v>0</v>
      </c>
      <c r="AG1641">
        <v>1</v>
      </c>
      <c r="AH1641">
        <v>0.11882103234529499</v>
      </c>
      <c r="AJ1641">
        <v>0</v>
      </c>
      <c r="AK1641" t="s">
        <v>54</v>
      </c>
      <c r="AL1641" t="s">
        <v>54</v>
      </c>
      <c r="AQ1641" t="s">
        <v>54</v>
      </c>
      <c r="AT1641" t="s">
        <v>369</v>
      </c>
      <c r="AW1641" t="s">
        <v>54</v>
      </c>
      <c r="AZ1641" t="s">
        <v>54</v>
      </c>
      <c r="BA1641" t="s">
        <v>55</v>
      </c>
    </row>
    <row r="1642" spans="1:53" x14ac:dyDescent="0.25">
      <c r="A1642">
        <v>1637</v>
      </c>
      <c r="B1642" t="s">
        <v>382</v>
      </c>
      <c r="C1642" t="s">
        <v>383</v>
      </c>
      <c r="D1642" t="s">
        <v>688</v>
      </c>
      <c r="E1642">
        <v>10</v>
      </c>
      <c r="F1642" t="s">
        <v>45</v>
      </c>
      <c r="G1642" t="s">
        <v>366</v>
      </c>
      <c r="H1642" t="s">
        <v>384</v>
      </c>
      <c r="L1642" t="s">
        <v>59</v>
      </c>
      <c r="M1642">
        <v>6.3394688069820404E-2</v>
      </c>
      <c r="N1642" t="s">
        <v>54</v>
      </c>
      <c r="O1642" t="s">
        <v>54</v>
      </c>
      <c r="P1642" t="s">
        <v>53</v>
      </c>
      <c r="Q1642" t="s">
        <v>53</v>
      </c>
      <c r="R1642" t="s">
        <v>53</v>
      </c>
      <c r="S1642" t="s">
        <v>381</v>
      </c>
      <c r="T1642" t="s">
        <v>8388</v>
      </c>
      <c r="U1642" t="s">
        <v>53</v>
      </c>
      <c r="V1642" t="s">
        <v>51</v>
      </c>
      <c r="W1642">
        <v>100000</v>
      </c>
      <c r="X1642" t="s">
        <v>53</v>
      </c>
      <c r="AA1642">
        <v>10</v>
      </c>
      <c r="AB1642">
        <v>5</v>
      </c>
      <c r="AC1642">
        <v>16</v>
      </c>
      <c r="AD1642">
        <v>6</v>
      </c>
      <c r="AE1642">
        <v>16</v>
      </c>
      <c r="AF1642">
        <v>0</v>
      </c>
      <c r="AG1642">
        <v>0</v>
      </c>
      <c r="AH1642">
        <v>0.61210036277770996</v>
      </c>
      <c r="AJ1642">
        <v>14.560830116271971</v>
      </c>
      <c r="AK1642" t="s">
        <v>54</v>
      </c>
      <c r="AL1642" t="s">
        <v>54</v>
      </c>
      <c r="AQ1642" t="s">
        <v>53</v>
      </c>
      <c r="AT1642" t="s">
        <v>369</v>
      </c>
      <c r="AW1642" t="s">
        <v>54</v>
      </c>
      <c r="AZ1642" t="s">
        <v>54</v>
      </c>
      <c r="BA1642" t="s">
        <v>55</v>
      </c>
    </row>
    <row r="1643" spans="1:53" x14ac:dyDescent="0.25">
      <c r="A1643">
        <v>1638</v>
      </c>
      <c r="B1643" t="s">
        <v>416</v>
      </c>
      <c r="C1643" t="s">
        <v>411</v>
      </c>
      <c r="D1643" t="s">
        <v>689</v>
      </c>
      <c r="E1643">
        <v>10</v>
      </c>
      <c r="F1643" t="s">
        <v>45</v>
      </c>
      <c r="G1643" t="s">
        <v>417</v>
      </c>
      <c r="H1643" t="s">
        <v>418</v>
      </c>
      <c r="L1643" t="s">
        <v>123</v>
      </c>
      <c r="M1643">
        <v>1103.033203125</v>
      </c>
      <c r="N1643" t="s">
        <v>54</v>
      </c>
      <c r="O1643" t="s">
        <v>53</v>
      </c>
      <c r="P1643" t="s">
        <v>54</v>
      </c>
      <c r="Q1643" t="s">
        <v>53</v>
      </c>
      <c r="R1643" t="s">
        <v>53</v>
      </c>
      <c r="S1643" t="s">
        <v>419</v>
      </c>
      <c r="T1643" t="s">
        <v>8389</v>
      </c>
      <c r="U1643" t="s">
        <v>53</v>
      </c>
      <c r="V1643" t="s">
        <v>162</v>
      </c>
      <c r="W1643">
        <v>50000</v>
      </c>
      <c r="X1643" t="s">
        <v>53</v>
      </c>
      <c r="AA1643">
        <v>51</v>
      </c>
      <c r="AB1643">
        <v>4</v>
      </c>
      <c r="AC1643">
        <v>18</v>
      </c>
      <c r="AD1643">
        <v>49</v>
      </c>
      <c r="AE1643">
        <v>49</v>
      </c>
      <c r="AF1643">
        <v>0</v>
      </c>
      <c r="AG1643">
        <v>4</v>
      </c>
      <c r="AH1643">
        <v>0.19601467251777649</v>
      </c>
      <c r="AJ1643">
        <v>10644.2568359375</v>
      </c>
      <c r="AK1643" t="s">
        <v>54</v>
      </c>
      <c r="AL1643" t="s">
        <v>54</v>
      </c>
      <c r="AQ1643" t="s">
        <v>53</v>
      </c>
      <c r="AT1643" t="s">
        <v>420</v>
      </c>
      <c r="AW1643" t="s">
        <v>8390</v>
      </c>
      <c r="AZ1643" t="s">
        <v>54</v>
      </c>
      <c r="BA1643" t="s">
        <v>55</v>
      </c>
    </row>
    <row r="1644" spans="1:53" x14ac:dyDescent="0.25">
      <c r="A1644">
        <v>1639</v>
      </c>
      <c r="B1644" t="s">
        <v>421</v>
      </c>
      <c r="C1644" t="s">
        <v>422</v>
      </c>
      <c r="D1644" t="s">
        <v>423</v>
      </c>
      <c r="E1644">
        <v>10</v>
      </c>
      <c r="F1644" t="s">
        <v>45</v>
      </c>
      <c r="G1644" t="s">
        <v>424</v>
      </c>
      <c r="H1644" t="s">
        <v>425</v>
      </c>
      <c r="L1644" t="s">
        <v>59</v>
      </c>
      <c r="M1644">
        <v>6.6365607082843781E-2</v>
      </c>
      <c r="N1644" t="s">
        <v>54</v>
      </c>
      <c r="O1644" t="s">
        <v>53</v>
      </c>
      <c r="P1644" t="s">
        <v>54</v>
      </c>
      <c r="Q1644" t="s">
        <v>53</v>
      </c>
      <c r="R1644" t="s">
        <v>53</v>
      </c>
      <c r="S1644" t="s">
        <v>426</v>
      </c>
      <c r="T1644" t="s">
        <v>8391</v>
      </c>
      <c r="U1644" t="s">
        <v>53</v>
      </c>
      <c r="V1644" t="s">
        <v>51</v>
      </c>
      <c r="W1644">
        <v>50000</v>
      </c>
      <c r="X1644" t="s">
        <v>53</v>
      </c>
      <c r="AA1644">
        <v>0</v>
      </c>
      <c r="AB1644">
        <v>0</v>
      </c>
      <c r="AC1644">
        <v>0</v>
      </c>
      <c r="AD1644">
        <v>0</v>
      </c>
      <c r="AE1644">
        <v>0</v>
      </c>
      <c r="AF1644">
        <v>0</v>
      </c>
      <c r="AG1644">
        <v>0</v>
      </c>
      <c r="AH1644">
        <v>0</v>
      </c>
      <c r="AJ1644">
        <v>14.472498893737789</v>
      </c>
      <c r="AK1644" t="s">
        <v>54</v>
      </c>
      <c r="AL1644" t="s">
        <v>54</v>
      </c>
      <c r="AQ1644" t="s">
        <v>54</v>
      </c>
      <c r="AT1644" t="s">
        <v>427</v>
      </c>
      <c r="AW1644" t="s">
        <v>53</v>
      </c>
      <c r="AZ1644" t="s">
        <v>54</v>
      </c>
      <c r="BA1644" t="s">
        <v>55</v>
      </c>
    </row>
    <row r="1645" spans="1:53" x14ac:dyDescent="0.25">
      <c r="A1645">
        <v>1640</v>
      </c>
      <c r="B1645" t="s">
        <v>428</v>
      </c>
      <c r="C1645" t="s">
        <v>429</v>
      </c>
      <c r="D1645" t="s">
        <v>430</v>
      </c>
      <c r="E1645">
        <v>10</v>
      </c>
      <c r="F1645" t="s">
        <v>45</v>
      </c>
      <c r="G1645" t="s">
        <v>424</v>
      </c>
      <c r="H1645" t="s">
        <v>431</v>
      </c>
      <c r="L1645" t="s">
        <v>59</v>
      </c>
      <c r="M1645">
        <v>2.385858297348022</v>
      </c>
      <c r="N1645" t="s">
        <v>54</v>
      </c>
      <c r="O1645" t="s">
        <v>53</v>
      </c>
      <c r="P1645" t="s">
        <v>54</v>
      </c>
      <c r="Q1645" t="s">
        <v>53</v>
      </c>
      <c r="R1645" t="s">
        <v>53</v>
      </c>
      <c r="S1645" t="s">
        <v>426</v>
      </c>
      <c r="T1645" t="s">
        <v>8391</v>
      </c>
      <c r="U1645" t="s">
        <v>53</v>
      </c>
      <c r="V1645" t="s">
        <v>51</v>
      </c>
      <c r="W1645">
        <v>200000</v>
      </c>
      <c r="X1645" t="s">
        <v>53</v>
      </c>
      <c r="AA1645">
        <v>130</v>
      </c>
      <c r="AB1645">
        <v>83</v>
      </c>
      <c r="AC1645">
        <v>192</v>
      </c>
      <c r="AD1645">
        <v>165</v>
      </c>
      <c r="AE1645">
        <v>192</v>
      </c>
      <c r="AF1645">
        <v>0</v>
      </c>
      <c r="AG1645">
        <v>0</v>
      </c>
      <c r="AH1645">
        <v>4.3005719780921943E-2</v>
      </c>
      <c r="AJ1645">
        <v>426.63497924804688</v>
      </c>
      <c r="AK1645" t="s">
        <v>54</v>
      </c>
      <c r="AL1645" t="s">
        <v>54</v>
      </c>
      <c r="AQ1645" t="s">
        <v>54</v>
      </c>
      <c r="AT1645" t="s">
        <v>427</v>
      </c>
      <c r="AW1645" t="s">
        <v>53</v>
      </c>
      <c r="AZ1645" t="s">
        <v>54</v>
      </c>
      <c r="BA1645" t="s">
        <v>55</v>
      </c>
    </row>
    <row r="1646" spans="1:53" x14ac:dyDescent="0.25">
      <c r="A1646">
        <v>1641</v>
      </c>
      <c r="B1646" t="s">
        <v>438</v>
      </c>
      <c r="C1646" t="s">
        <v>439</v>
      </c>
      <c r="D1646" t="s">
        <v>440</v>
      </c>
      <c r="E1646">
        <v>10</v>
      </c>
      <c r="F1646" t="s">
        <v>45</v>
      </c>
      <c r="G1646" t="s">
        <v>441</v>
      </c>
      <c r="H1646" t="s">
        <v>442</v>
      </c>
      <c r="L1646" t="s">
        <v>59</v>
      </c>
      <c r="M1646">
        <v>5.7579712867736816</v>
      </c>
      <c r="N1646" t="s">
        <v>54</v>
      </c>
      <c r="O1646" t="s">
        <v>53</v>
      </c>
      <c r="P1646" t="s">
        <v>53</v>
      </c>
      <c r="Q1646" t="s">
        <v>53</v>
      </c>
      <c r="R1646" t="s">
        <v>53</v>
      </c>
      <c r="S1646" t="s">
        <v>443</v>
      </c>
      <c r="T1646" t="s">
        <v>8392</v>
      </c>
      <c r="U1646" t="s">
        <v>53</v>
      </c>
      <c r="V1646" t="s">
        <v>51</v>
      </c>
      <c r="W1646">
        <v>100000</v>
      </c>
      <c r="X1646" t="s">
        <v>53</v>
      </c>
      <c r="AA1646">
        <v>181</v>
      </c>
      <c r="AB1646">
        <v>104</v>
      </c>
      <c r="AC1646">
        <v>445</v>
      </c>
      <c r="AD1646">
        <v>227</v>
      </c>
      <c r="AE1646">
        <v>445</v>
      </c>
      <c r="AF1646">
        <v>0</v>
      </c>
      <c r="AG1646">
        <v>1</v>
      </c>
      <c r="AH1646">
        <v>3.4782965183258061</v>
      </c>
      <c r="AJ1646">
        <v>463.77835083007813</v>
      </c>
      <c r="AK1646" t="s">
        <v>54</v>
      </c>
      <c r="AL1646" t="s">
        <v>54</v>
      </c>
      <c r="AQ1646" t="s">
        <v>53</v>
      </c>
      <c r="AT1646" t="s">
        <v>444</v>
      </c>
      <c r="AW1646" t="s">
        <v>8390</v>
      </c>
      <c r="AZ1646" t="s">
        <v>54</v>
      </c>
      <c r="BA1646" t="s">
        <v>55</v>
      </c>
    </row>
    <row r="1647" spans="1:53" x14ac:dyDescent="0.25">
      <c r="A1647">
        <v>1642</v>
      </c>
      <c r="B1647" t="s">
        <v>445</v>
      </c>
      <c r="C1647" t="s">
        <v>446</v>
      </c>
      <c r="D1647" t="s">
        <v>447</v>
      </c>
      <c r="E1647">
        <v>10</v>
      </c>
      <c r="F1647" t="s">
        <v>45</v>
      </c>
      <c r="G1647" t="s">
        <v>441</v>
      </c>
      <c r="H1647" t="s">
        <v>448</v>
      </c>
      <c r="L1647" t="s">
        <v>59</v>
      </c>
      <c r="M1647">
        <v>2.6367979049682622</v>
      </c>
      <c r="N1647" t="s">
        <v>54</v>
      </c>
      <c r="O1647" t="s">
        <v>53</v>
      </c>
      <c r="P1647" t="s">
        <v>53</v>
      </c>
      <c r="Q1647" t="s">
        <v>53</v>
      </c>
      <c r="R1647" t="s">
        <v>53</v>
      </c>
      <c r="S1647" t="s">
        <v>449</v>
      </c>
      <c r="T1647" t="s">
        <v>8393</v>
      </c>
      <c r="U1647" t="s">
        <v>53</v>
      </c>
      <c r="V1647" t="s">
        <v>51</v>
      </c>
      <c r="W1647">
        <v>100000</v>
      </c>
      <c r="X1647" t="s">
        <v>53</v>
      </c>
      <c r="AA1647">
        <v>330</v>
      </c>
      <c r="AB1647">
        <v>309</v>
      </c>
      <c r="AC1647">
        <v>422</v>
      </c>
      <c r="AD1647">
        <v>222</v>
      </c>
      <c r="AE1647">
        <v>422</v>
      </c>
      <c r="AF1647">
        <v>0</v>
      </c>
      <c r="AG1647">
        <v>0</v>
      </c>
      <c r="AH1647">
        <v>0.82047855854034424</v>
      </c>
      <c r="AJ1647">
        <v>100.6619033813477</v>
      </c>
      <c r="AK1647" t="s">
        <v>54</v>
      </c>
      <c r="AL1647" t="s">
        <v>54</v>
      </c>
      <c r="AQ1647" t="s">
        <v>53</v>
      </c>
      <c r="AT1647" t="s">
        <v>444</v>
      </c>
      <c r="AW1647" t="s">
        <v>8390</v>
      </c>
      <c r="AZ1647" t="s">
        <v>54</v>
      </c>
      <c r="BA1647" t="s">
        <v>55</v>
      </c>
    </row>
    <row r="1648" spans="1:53" x14ac:dyDescent="0.25">
      <c r="A1648">
        <v>1643</v>
      </c>
      <c r="B1648" t="s">
        <v>450</v>
      </c>
      <c r="C1648" t="s">
        <v>355</v>
      </c>
      <c r="D1648" t="s">
        <v>451</v>
      </c>
      <c r="E1648">
        <v>10</v>
      </c>
      <c r="F1648" t="s">
        <v>45</v>
      </c>
      <c r="G1648" t="s">
        <v>441</v>
      </c>
      <c r="H1648" t="s">
        <v>452</v>
      </c>
      <c r="L1648" t="s">
        <v>123</v>
      </c>
      <c r="M1648">
        <v>962.44024658203125</v>
      </c>
      <c r="N1648" t="s">
        <v>54</v>
      </c>
      <c r="O1648" t="s">
        <v>53</v>
      </c>
      <c r="P1648" t="s">
        <v>54</v>
      </c>
      <c r="Q1648" t="s">
        <v>53</v>
      </c>
      <c r="R1648" t="s">
        <v>53</v>
      </c>
      <c r="S1648" t="s">
        <v>453</v>
      </c>
      <c r="T1648" t="s">
        <v>8394</v>
      </c>
      <c r="U1648" t="s">
        <v>53</v>
      </c>
      <c r="V1648" t="s">
        <v>162</v>
      </c>
      <c r="W1648">
        <v>25000</v>
      </c>
      <c r="X1648" t="s">
        <v>53</v>
      </c>
      <c r="AA1648">
        <v>2739</v>
      </c>
      <c r="AB1648">
        <v>2078</v>
      </c>
      <c r="AC1648">
        <v>3718</v>
      </c>
      <c r="AD1648">
        <v>3199</v>
      </c>
      <c r="AE1648">
        <v>3718</v>
      </c>
      <c r="AF1648">
        <v>3</v>
      </c>
      <c r="AG1648">
        <v>142</v>
      </c>
      <c r="AH1648">
        <v>15.171213150024411</v>
      </c>
      <c r="AJ1648">
        <v>44594.16796875</v>
      </c>
      <c r="AK1648" t="s">
        <v>53</v>
      </c>
      <c r="AL1648" t="s">
        <v>54</v>
      </c>
      <c r="AQ1648" t="s">
        <v>53</v>
      </c>
      <c r="AT1648" t="s">
        <v>444</v>
      </c>
      <c r="AW1648" t="s">
        <v>8390</v>
      </c>
      <c r="AZ1648" t="s">
        <v>54</v>
      </c>
      <c r="BA1648" t="s">
        <v>55</v>
      </c>
    </row>
    <row r="1649" spans="1:53" x14ac:dyDescent="0.25">
      <c r="A1649">
        <v>1644</v>
      </c>
      <c r="B1649" t="s">
        <v>454</v>
      </c>
      <c r="C1649" t="s">
        <v>455</v>
      </c>
      <c r="D1649" t="s">
        <v>456</v>
      </c>
      <c r="E1649">
        <v>10</v>
      </c>
      <c r="F1649" t="s">
        <v>45</v>
      </c>
      <c r="G1649" t="s">
        <v>441</v>
      </c>
      <c r="H1649" t="s">
        <v>457</v>
      </c>
      <c r="L1649" t="s">
        <v>59</v>
      </c>
      <c r="M1649">
        <v>5.7866487503051758</v>
      </c>
      <c r="N1649" t="s">
        <v>54</v>
      </c>
      <c r="O1649" t="s">
        <v>53</v>
      </c>
      <c r="P1649" t="s">
        <v>53</v>
      </c>
      <c r="Q1649" t="s">
        <v>53</v>
      </c>
      <c r="R1649" t="s">
        <v>53</v>
      </c>
      <c r="S1649" t="s">
        <v>453</v>
      </c>
      <c r="T1649" t="s">
        <v>8395</v>
      </c>
      <c r="U1649" t="s">
        <v>53</v>
      </c>
      <c r="V1649" t="s">
        <v>51</v>
      </c>
      <c r="W1649">
        <v>100000</v>
      </c>
      <c r="X1649" t="s">
        <v>53</v>
      </c>
      <c r="AA1649">
        <v>20</v>
      </c>
      <c r="AB1649">
        <v>17</v>
      </c>
      <c r="AC1649">
        <v>17</v>
      </c>
      <c r="AD1649">
        <v>17</v>
      </c>
      <c r="AE1649">
        <v>17</v>
      </c>
      <c r="AF1649">
        <v>0</v>
      </c>
      <c r="AG1649">
        <v>3</v>
      </c>
      <c r="AH1649">
        <v>0</v>
      </c>
      <c r="AJ1649">
        <v>216.46315002441409</v>
      </c>
      <c r="AK1649" t="s">
        <v>54</v>
      </c>
      <c r="AL1649" t="s">
        <v>54</v>
      </c>
      <c r="AQ1649" t="s">
        <v>53</v>
      </c>
      <c r="AT1649" t="s">
        <v>444</v>
      </c>
      <c r="AW1649" t="s">
        <v>8390</v>
      </c>
      <c r="AZ1649" t="s">
        <v>54</v>
      </c>
      <c r="BA1649" t="s">
        <v>55</v>
      </c>
    </row>
    <row r="1650" spans="1:53" x14ac:dyDescent="0.25">
      <c r="A1650">
        <v>1645</v>
      </c>
      <c r="B1650" t="s">
        <v>467</v>
      </c>
      <c r="C1650" t="s">
        <v>468</v>
      </c>
      <c r="D1650" t="s">
        <v>469</v>
      </c>
      <c r="E1650">
        <v>10</v>
      </c>
      <c r="F1650" t="s">
        <v>45</v>
      </c>
      <c r="G1650" t="s">
        <v>470</v>
      </c>
      <c r="H1650" t="s">
        <v>384</v>
      </c>
      <c r="L1650" t="s">
        <v>123</v>
      </c>
      <c r="M1650">
        <v>3.3522272109985352</v>
      </c>
      <c r="N1650" t="s">
        <v>54</v>
      </c>
      <c r="O1650" t="s">
        <v>54</v>
      </c>
      <c r="P1650" t="s">
        <v>53</v>
      </c>
      <c r="Q1650" t="s">
        <v>53</v>
      </c>
      <c r="R1650" t="s">
        <v>53</v>
      </c>
      <c r="S1650" t="s">
        <v>471</v>
      </c>
      <c r="T1650" t="s">
        <v>8396</v>
      </c>
      <c r="U1650" t="s">
        <v>53</v>
      </c>
      <c r="V1650" t="s">
        <v>51</v>
      </c>
      <c r="W1650">
        <v>100000</v>
      </c>
      <c r="X1650" t="s">
        <v>53</v>
      </c>
      <c r="AA1650">
        <v>247</v>
      </c>
      <c r="AB1650">
        <v>137</v>
      </c>
      <c r="AC1650">
        <v>305</v>
      </c>
      <c r="AD1650">
        <v>262</v>
      </c>
      <c r="AE1650">
        <v>305</v>
      </c>
      <c r="AF1650">
        <v>0</v>
      </c>
      <c r="AG1650">
        <v>0</v>
      </c>
      <c r="AH1650">
        <v>6.8766918182373047</v>
      </c>
      <c r="AJ1650">
        <v>47.815559387207031</v>
      </c>
      <c r="AK1650" t="s">
        <v>54</v>
      </c>
      <c r="AL1650" t="s">
        <v>54</v>
      </c>
      <c r="AQ1650" t="s">
        <v>53</v>
      </c>
      <c r="AT1650" t="s">
        <v>472</v>
      </c>
      <c r="AW1650" t="s">
        <v>54</v>
      </c>
      <c r="AZ1650" t="s">
        <v>54</v>
      </c>
      <c r="BA1650" t="s">
        <v>55</v>
      </c>
    </row>
    <row r="1651" spans="1:53" x14ac:dyDescent="0.25">
      <c r="A1651">
        <v>1646</v>
      </c>
      <c r="B1651" t="s">
        <v>473</v>
      </c>
      <c r="C1651" t="s">
        <v>474</v>
      </c>
      <c r="D1651" t="s">
        <v>690</v>
      </c>
      <c r="E1651">
        <v>10</v>
      </c>
      <c r="F1651" t="s">
        <v>45</v>
      </c>
      <c r="G1651" t="s">
        <v>470</v>
      </c>
      <c r="H1651" t="s">
        <v>384</v>
      </c>
      <c r="L1651" t="s">
        <v>475</v>
      </c>
      <c r="M1651">
        <v>0.7030709981918335</v>
      </c>
      <c r="N1651" t="s">
        <v>54</v>
      </c>
      <c r="O1651" t="s">
        <v>54</v>
      </c>
      <c r="P1651" t="s">
        <v>53</v>
      </c>
      <c r="Q1651" t="s">
        <v>53</v>
      </c>
      <c r="R1651" t="s">
        <v>53</v>
      </c>
      <c r="S1651" t="s">
        <v>471</v>
      </c>
      <c r="T1651" t="s">
        <v>8397</v>
      </c>
      <c r="U1651" t="s">
        <v>53</v>
      </c>
      <c r="V1651" t="s">
        <v>51</v>
      </c>
      <c r="W1651">
        <v>100000</v>
      </c>
      <c r="X1651" t="s">
        <v>53</v>
      </c>
      <c r="AA1651">
        <v>3</v>
      </c>
      <c r="AB1651">
        <v>0</v>
      </c>
      <c r="AC1651">
        <v>2</v>
      </c>
      <c r="AD1651">
        <v>0</v>
      </c>
      <c r="AE1651">
        <v>2</v>
      </c>
      <c r="AF1651">
        <v>0</v>
      </c>
      <c r="AG1651">
        <v>0</v>
      </c>
      <c r="AH1651">
        <v>0</v>
      </c>
      <c r="AJ1651">
        <v>4.3876667022705078</v>
      </c>
      <c r="AK1651" t="s">
        <v>54</v>
      </c>
      <c r="AL1651" t="s">
        <v>54</v>
      </c>
      <c r="AQ1651" t="s">
        <v>53</v>
      </c>
      <c r="AT1651" t="s">
        <v>472</v>
      </c>
      <c r="AW1651" t="s">
        <v>54</v>
      </c>
      <c r="AZ1651" t="s">
        <v>54</v>
      </c>
      <c r="BA1651" t="s">
        <v>55</v>
      </c>
    </row>
    <row r="1652" spans="1:53" x14ac:dyDescent="0.25">
      <c r="A1652">
        <v>1647</v>
      </c>
      <c r="B1652" t="s">
        <v>476</v>
      </c>
      <c r="C1652" t="s">
        <v>477</v>
      </c>
      <c r="D1652" t="s">
        <v>478</v>
      </c>
      <c r="E1652">
        <v>10</v>
      </c>
      <c r="F1652" t="s">
        <v>45</v>
      </c>
      <c r="G1652" t="s">
        <v>470</v>
      </c>
      <c r="H1652" t="s">
        <v>479</v>
      </c>
      <c r="L1652" t="s">
        <v>123</v>
      </c>
      <c r="M1652">
        <v>365.9072265625</v>
      </c>
      <c r="N1652" t="s">
        <v>54</v>
      </c>
      <c r="O1652" t="s">
        <v>54</v>
      </c>
      <c r="P1652" t="s">
        <v>53</v>
      </c>
      <c r="Q1652" t="s">
        <v>53</v>
      </c>
      <c r="R1652" t="s">
        <v>53</v>
      </c>
      <c r="S1652" t="s">
        <v>480</v>
      </c>
      <c r="T1652" t="s">
        <v>8398</v>
      </c>
      <c r="U1652" t="s">
        <v>53</v>
      </c>
      <c r="V1652" t="s">
        <v>162</v>
      </c>
      <c r="W1652">
        <v>50000</v>
      </c>
      <c r="X1652" t="s">
        <v>53</v>
      </c>
      <c r="AA1652">
        <v>1805</v>
      </c>
      <c r="AB1652">
        <v>1207</v>
      </c>
      <c r="AC1652">
        <v>3840</v>
      </c>
      <c r="AD1652">
        <v>2088</v>
      </c>
      <c r="AE1652">
        <v>3840</v>
      </c>
      <c r="AF1652">
        <v>1</v>
      </c>
      <c r="AG1652">
        <v>5</v>
      </c>
      <c r="AH1652">
        <v>75.834541320800781</v>
      </c>
      <c r="AJ1652">
        <v>28385.587890625</v>
      </c>
      <c r="AK1652" t="s">
        <v>54</v>
      </c>
      <c r="AL1652" t="s">
        <v>54</v>
      </c>
      <c r="AQ1652" t="s">
        <v>54</v>
      </c>
      <c r="AT1652" t="s">
        <v>472</v>
      </c>
      <c r="AW1652" t="s">
        <v>54</v>
      </c>
      <c r="AZ1652" t="s">
        <v>54</v>
      </c>
      <c r="BA1652" t="s">
        <v>55</v>
      </c>
    </row>
    <row r="1653" spans="1:53" x14ac:dyDescent="0.25">
      <c r="A1653">
        <v>1648</v>
      </c>
      <c r="B1653" t="s">
        <v>481</v>
      </c>
      <c r="C1653" t="s">
        <v>482</v>
      </c>
      <c r="D1653" t="s">
        <v>691</v>
      </c>
      <c r="E1653">
        <v>10</v>
      </c>
      <c r="F1653" t="s">
        <v>45</v>
      </c>
      <c r="G1653" t="s">
        <v>470</v>
      </c>
      <c r="H1653" t="s">
        <v>483</v>
      </c>
      <c r="L1653" t="s">
        <v>193</v>
      </c>
      <c r="M1653">
        <v>1136.083251953125</v>
      </c>
      <c r="N1653" t="s">
        <v>54</v>
      </c>
      <c r="O1653" t="s">
        <v>54</v>
      </c>
      <c r="P1653" t="s">
        <v>53</v>
      </c>
      <c r="Q1653" t="s">
        <v>53</v>
      </c>
      <c r="R1653" t="s">
        <v>53</v>
      </c>
      <c r="S1653" t="s">
        <v>480</v>
      </c>
      <c r="T1653" t="s">
        <v>8399</v>
      </c>
      <c r="U1653" t="s">
        <v>53</v>
      </c>
      <c r="V1653" t="s">
        <v>138</v>
      </c>
      <c r="W1653">
        <v>250000</v>
      </c>
      <c r="X1653" t="s">
        <v>53</v>
      </c>
      <c r="AA1653">
        <v>7017</v>
      </c>
      <c r="AB1653">
        <v>4945</v>
      </c>
      <c r="AC1653">
        <v>10584</v>
      </c>
      <c r="AD1653">
        <v>5970</v>
      </c>
      <c r="AE1653">
        <v>10584</v>
      </c>
      <c r="AF1653">
        <v>6</v>
      </c>
      <c r="AG1653">
        <v>3</v>
      </c>
      <c r="AH1653">
        <v>183.22364807128909</v>
      </c>
      <c r="AJ1653">
        <v>124178.5234375</v>
      </c>
      <c r="AK1653" t="s">
        <v>54</v>
      </c>
      <c r="AL1653" t="s">
        <v>54</v>
      </c>
      <c r="AQ1653" t="s">
        <v>54</v>
      </c>
      <c r="AT1653" t="s">
        <v>472</v>
      </c>
      <c r="AW1653" t="s">
        <v>54</v>
      </c>
      <c r="AZ1653" t="s">
        <v>54</v>
      </c>
      <c r="BA1653" t="s">
        <v>55</v>
      </c>
    </row>
    <row r="1654" spans="1:53" x14ac:dyDescent="0.25">
      <c r="A1654">
        <v>1649</v>
      </c>
      <c r="B1654" t="s">
        <v>496</v>
      </c>
      <c r="C1654" t="s">
        <v>497</v>
      </c>
      <c r="D1654" t="s">
        <v>692</v>
      </c>
      <c r="E1654">
        <v>10</v>
      </c>
      <c r="F1654" t="s">
        <v>45</v>
      </c>
      <c r="G1654" t="s">
        <v>498</v>
      </c>
      <c r="H1654" t="s">
        <v>499</v>
      </c>
      <c r="L1654" t="s">
        <v>202</v>
      </c>
      <c r="M1654">
        <v>5.4353132247924796</v>
      </c>
      <c r="N1654" t="s">
        <v>54</v>
      </c>
      <c r="O1654" t="s">
        <v>53</v>
      </c>
      <c r="P1654" t="s">
        <v>54</v>
      </c>
      <c r="Q1654" t="s">
        <v>53</v>
      </c>
      <c r="R1654" t="s">
        <v>53</v>
      </c>
      <c r="S1654" t="s">
        <v>500</v>
      </c>
      <c r="T1654" t="s">
        <v>8400</v>
      </c>
      <c r="U1654" t="s">
        <v>53</v>
      </c>
      <c r="V1654" t="s">
        <v>51</v>
      </c>
      <c r="W1654">
        <v>100000</v>
      </c>
      <c r="X1654" t="s">
        <v>53</v>
      </c>
      <c r="AA1654">
        <v>43</v>
      </c>
      <c r="AB1654">
        <v>24</v>
      </c>
      <c r="AC1654">
        <v>28</v>
      </c>
      <c r="AD1654">
        <v>34</v>
      </c>
      <c r="AE1654">
        <v>34</v>
      </c>
      <c r="AF1654">
        <v>0</v>
      </c>
      <c r="AG1654">
        <v>0</v>
      </c>
      <c r="AH1654">
        <v>1.8679391145706179</v>
      </c>
      <c r="AJ1654">
        <v>695.0015869140625</v>
      </c>
      <c r="AK1654" t="s">
        <v>54</v>
      </c>
      <c r="AL1654" t="s">
        <v>54</v>
      </c>
      <c r="AQ1654" t="s">
        <v>54</v>
      </c>
      <c r="AT1654" t="s">
        <v>501</v>
      </c>
      <c r="AW1654" t="s">
        <v>53</v>
      </c>
      <c r="AZ1654" t="s">
        <v>54</v>
      </c>
      <c r="BA1654" t="s">
        <v>55</v>
      </c>
    </row>
    <row r="1655" spans="1:53" x14ac:dyDescent="0.25">
      <c r="A1655">
        <v>1650</v>
      </c>
      <c r="B1655" t="s">
        <v>502</v>
      </c>
      <c r="C1655" t="s">
        <v>503</v>
      </c>
      <c r="D1655" t="s">
        <v>503</v>
      </c>
      <c r="E1655">
        <v>10</v>
      </c>
      <c r="F1655" t="s">
        <v>45</v>
      </c>
      <c r="G1655" t="s">
        <v>504</v>
      </c>
      <c r="H1655" t="s">
        <v>211</v>
      </c>
      <c r="L1655" t="s">
        <v>123</v>
      </c>
      <c r="M1655">
        <v>7.5494842529296884</v>
      </c>
      <c r="N1655" t="s">
        <v>54</v>
      </c>
      <c r="O1655" t="s">
        <v>53</v>
      </c>
      <c r="P1655" t="s">
        <v>53</v>
      </c>
      <c r="Q1655" t="s">
        <v>53</v>
      </c>
      <c r="R1655" t="s">
        <v>53</v>
      </c>
      <c r="S1655" t="s">
        <v>505</v>
      </c>
      <c r="T1655" t="s">
        <v>8401</v>
      </c>
      <c r="U1655" t="s">
        <v>53</v>
      </c>
      <c r="V1655" t="s">
        <v>162</v>
      </c>
      <c r="W1655">
        <v>25000</v>
      </c>
      <c r="X1655" t="s">
        <v>53</v>
      </c>
      <c r="AA1655">
        <v>321</v>
      </c>
      <c r="AB1655">
        <v>255</v>
      </c>
      <c r="AC1655">
        <v>562</v>
      </c>
      <c r="AD1655">
        <v>213</v>
      </c>
      <c r="AE1655">
        <v>562</v>
      </c>
      <c r="AF1655">
        <v>0</v>
      </c>
      <c r="AG1655">
        <v>2</v>
      </c>
      <c r="AH1655">
        <v>2.476535320281982</v>
      </c>
      <c r="AJ1655">
        <v>422.68572998046881</v>
      </c>
      <c r="AK1655" t="s">
        <v>53</v>
      </c>
      <c r="AL1655" t="s">
        <v>54</v>
      </c>
      <c r="AQ1655" t="s">
        <v>54</v>
      </c>
      <c r="AT1655" t="s">
        <v>506</v>
      </c>
      <c r="AW1655" t="s">
        <v>54</v>
      </c>
      <c r="AZ1655" t="s">
        <v>54</v>
      </c>
      <c r="BA1655" t="s">
        <v>55</v>
      </c>
    </row>
    <row r="1656" spans="1:53" x14ac:dyDescent="0.25">
      <c r="A1656">
        <v>1651</v>
      </c>
      <c r="B1656" t="s">
        <v>507</v>
      </c>
      <c r="C1656" t="s">
        <v>508</v>
      </c>
      <c r="D1656" t="s">
        <v>509</v>
      </c>
      <c r="E1656">
        <v>10</v>
      </c>
      <c r="F1656" t="s">
        <v>45</v>
      </c>
      <c r="G1656" t="s">
        <v>504</v>
      </c>
      <c r="H1656" t="s">
        <v>211</v>
      </c>
      <c r="L1656" t="s">
        <v>510</v>
      </c>
      <c r="M1656">
        <v>15.509890556335449</v>
      </c>
      <c r="N1656" t="s">
        <v>54</v>
      </c>
      <c r="O1656" t="s">
        <v>53</v>
      </c>
      <c r="P1656" t="s">
        <v>53</v>
      </c>
      <c r="Q1656" t="s">
        <v>53</v>
      </c>
      <c r="R1656" t="s">
        <v>53</v>
      </c>
      <c r="S1656" t="s">
        <v>511</v>
      </c>
      <c r="T1656" t="s">
        <v>8402</v>
      </c>
      <c r="U1656" t="s">
        <v>53</v>
      </c>
      <c r="V1656" t="s">
        <v>138</v>
      </c>
      <c r="W1656">
        <v>250000</v>
      </c>
      <c r="X1656" t="s">
        <v>53</v>
      </c>
      <c r="AA1656">
        <v>543</v>
      </c>
      <c r="AB1656">
        <v>424</v>
      </c>
      <c r="AC1656">
        <v>754</v>
      </c>
      <c r="AD1656">
        <v>709</v>
      </c>
      <c r="AE1656">
        <v>754</v>
      </c>
      <c r="AF1656">
        <v>1</v>
      </c>
      <c r="AG1656">
        <v>0</v>
      </c>
      <c r="AH1656">
        <v>10.483524322509769</v>
      </c>
      <c r="AJ1656">
        <v>657.76739501953125</v>
      </c>
      <c r="AK1656" t="s">
        <v>54</v>
      </c>
      <c r="AL1656" t="s">
        <v>54</v>
      </c>
      <c r="AQ1656" t="s">
        <v>54</v>
      </c>
      <c r="AT1656" t="s">
        <v>506</v>
      </c>
      <c r="AW1656" t="s">
        <v>54</v>
      </c>
      <c r="AZ1656" t="s">
        <v>54</v>
      </c>
      <c r="BA1656" t="s">
        <v>55</v>
      </c>
    </row>
    <row r="1657" spans="1:53" x14ac:dyDescent="0.25">
      <c r="A1657">
        <v>1652</v>
      </c>
      <c r="B1657" t="s">
        <v>512</v>
      </c>
      <c r="C1657" t="s">
        <v>503</v>
      </c>
      <c r="D1657" t="s">
        <v>503</v>
      </c>
      <c r="E1657">
        <v>10</v>
      </c>
      <c r="F1657" t="s">
        <v>45</v>
      </c>
      <c r="G1657" t="s">
        <v>504</v>
      </c>
      <c r="H1657" t="s">
        <v>211</v>
      </c>
      <c r="L1657" t="s">
        <v>123</v>
      </c>
      <c r="M1657">
        <v>15.509890556335449</v>
      </c>
      <c r="N1657" t="s">
        <v>54</v>
      </c>
      <c r="O1657" t="s">
        <v>53</v>
      </c>
      <c r="P1657" t="s">
        <v>53</v>
      </c>
      <c r="Q1657" t="s">
        <v>53</v>
      </c>
      <c r="R1657" t="s">
        <v>53</v>
      </c>
      <c r="S1657" t="s">
        <v>511</v>
      </c>
      <c r="T1657" t="s">
        <v>8402</v>
      </c>
      <c r="U1657" t="s">
        <v>53</v>
      </c>
      <c r="V1657" t="s">
        <v>162</v>
      </c>
      <c r="W1657">
        <v>25000</v>
      </c>
      <c r="X1657" t="s">
        <v>53</v>
      </c>
      <c r="AA1657">
        <v>543</v>
      </c>
      <c r="AB1657">
        <v>424</v>
      </c>
      <c r="AC1657">
        <v>754</v>
      </c>
      <c r="AD1657">
        <v>709</v>
      </c>
      <c r="AE1657">
        <v>754</v>
      </c>
      <c r="AF1657">
        <v>1</v>
      </c>
      <c r="AG1657">
        <v>0</v>
      </c>
      <c r="AH1657">
        <v>10.483524322509769</v>
      </c>
      <c r="AJ1657">
        <v>657.76739501953125</v>
      </c>
      <c r="AK1657" t="s">
        <v>53</v>
      </c>
      <c r="AL1657" t="s">
        <v>54</v>
      </c>
      <c r="AQ1657" t="s">
        <v>54</v>
      </c>
      <c r="AT1657" t="s">
        <v>506</v>
      </c>
      <c r="AW1657" t="s">
        <v>54</v>
      </c>
      <c r="AZ1657" t="s">
        <v>54</v>
      </c>
      <c r="BA1657" t="s">
        <v>55</v>
      </c>
    </row>
    <row r="1658" spans="1:53" x14ac:dyDescent="0.25">
      <c r="A1658">
        <v>1653</v>
      </c>
      <c r="B1658" t="s">
        <v>513</v>
      </c>
      <c r="C1658" t="s">
        <v>514</v>
      </c>
      <c r="D1658" t="s">
        <v>693</v>
      </c>
      <c r="E1658">
        <v>10</v>
      </c>
      <c r="F1658" t="s">
        <v>45</v>
      </c>
      <c r="G1658" t="s">
        <v>504</v>
      </c>
      <c r="H1658" t="s">
        <v>211</v>
      </c>
      <c r="L1658" t="s">
        <v>59</v>
      </c>
      <c r="M1658">
        <v>1.0582927465438841</v>
      </c>
      <c r="N1658" t="s">
        <v>54</v>
      </c>
      <c r="O1658" t="s">
        <v>53</v>
      </c>
      <c r="P1658" t="s">
        <v>53</v>
      </c>
      <c r="Q1658" t="s">
        <v>53</v>
      </c>
      <c r="R1658" t="s">
        <v>53</v>
      </c>
      <c r="S1658" t="s">
        <v>515</v>
      </c>
      <c r="T1658" t="s">
        <v>8403</v>
      </c>
      <c r="U1658" t="s">
        <v>53</v>
      </c>
      <c r="V1658" t="s">
        <v>51</v>
      </c>
      <c r="W1658">
        <v>100000</v>
      </c>
      <c r="X1658" t="s">
        <v>53</v>
      </c>
      <c r="AA1658">
        <v>14</v>
      </c>
      <c r="AB1658">
        <v>13</v>
      </c>
      <c r="AC1658">
        <v>31</v>
      </c>
      <c r="AD1658">
        <v>15</v>
      </c>
      <c r="AE1658">
        <v>31</v>
      </c>
      <c r="AF1658">
        <v>0</v>
      </c>
      <c r="AG1658">
        <v>2</v>
      </c>
      <c r="AH1658">
        <v>0.46935573220252991</v>
      </c>
      <c r="AJ1658">
        <v>18.362264633178711</v>
      </c>
      <c r="AK1658" t="s">
        <v>54</v>
      </c>
      <c r="AL1658" t="s">
        <v>54</v>
      </c>
      <c r="AQ1658" t="s">
        <v>54</v>
      </c>
      <c r="AT1658" t="s">
        <v>506</v>
      </c>
      <c r="AW1658" t="s">
        <v>54</v>
      </c>
      <c r="AZ1658" t="s">
        <v>54</v>
      </c>
      <c r="BA1658" t="s">
        <v>55</v>
      </c>
    </row>
    <row r="1659" spans="1:53" x14ac:dyDescent="0.25">
      <c r="A1659">
        <v>1654</v>
      </c>
      <c r="B1659" t="s">
        <v>516</v>
      </c>
      <c r="C1659" t="s">
        <v>517</v>
      </c>
      <c r="D1659" t="s">
        <v>518</v>
      </c>
      <c r="E1659">
        <v>10</v>
      </c>
      <c r="F1659" t="s">
        <v>45</v>
      </c>
      <c r="G1659" t="s">
        <v>504</v>
      </c>
      <c r="H1659" t="s">
        <v>211</v>
      </c>
      <c r="L1659" t="s">
        <v>123</v>
      </c>
      <c r="M1659">
        <v>0.9405173659324646</v>
      </c>
      <c r="N1659" t="s">
        <v>54</v>
      </c>
      <c r="O1659" t="s">
        <v>53</v>
      </c>
      <c r="P1659" t="s">
        <v>53</v>
      </c>
      <c r="Q1659" t="s">
        <v>53</v>
      </c>
      <c r="R1659" t="s">
        <v>53</v>
      </c>
      <c r="S1659" t="s">
        <v>519</v>
      </c>
      <c r="T1659" t="s">
        <v>8404</v>
      </c>
      <c r="U1659" t="s">
        <v>53</v>
      </c>
      <c r="V1659" t="s">
        <v>162</v>
      </c>
      <c r="W1659">
        <v>25000</v>
      </c>
      <c r="X1659" t="s">
        <v>53</v>
      </c>
      <c r="AA1659">
        <v>167</v>
      </c>
      <c r="AB1659">
        <v>144</v>
      </c>
      <c r="AC1659">
        <v>195</v>
      </c>
      <c r="AD1659">
        <v>403</v>
      </c>
      <c r="AE1659">
        <v>403</v>
      </c>
      <c r="AF1659">
        <v>0</v>
      </c>
      <c r="AG1659">
        <v>0</v>
      </c>
      <c r="AH1659">
        <v>0.64791983366012573</v>
      </c>
      <c r="AJ1659">
        <v>80.260734558105469</v>
      </c>
      <c r="AK1659" t="s">
        <v>53</v>
      </c>
      <c r="AL1659" t="s">
        <v>54</v>
      </c>
      <c r="AQ1659" t="s">
        <v>54</v>
      </c>
      <c r="AT1659" t="s">
        <v>506</v>
      </c>
      <c r="AW1659" t="s">
        <v>54</v>
      </c>
      <c r="AZ1659" t="s">
        <v>54</v>
      </c>
      <c r="BA1659" t="s">
        <v>55</v>
      </c>
    </row>
    <row r="1660" spans="1:53" x14ac:dyDescent="0.25">
      <c r="A1660">
        <v>1655</v>
      </c>
      <c r="B1660" t="s">
        <v>520</v>
      </c>
      <c r="C1660" t="s">
        <v>508</v>
      </c>
      <c r="D1660" t="s">
        <v>521</v>
      </c>
      <c r="E1660">
        <v>10</v>
      </c>
      <c r="F1660" t="s">
        <v>45</v>
      </c>
      <c r="G1660" t="s">
        <v>504</v>
      </c>
      <c r="H1660" t="s">
        <v>211</v>
      </c>
      <c r="L1660" t="s">
        <v>59</v>
      </c>
      <c r="M1660">
        <v>0.43246656656265259</v>
      </c>
      <c r="N1660" t="s">
        <v>54</v>
      </c>
      <c r="O1660" t="s">
        <v>53</v>
      </c>
      <c r="P1660" t="s">
        <v>53</v>
      </c>
      <c r="Q1660" t="s">
        <v>53</v>
      </c>
      <c r="R1660" t="s">
        <v>53</v>
      </c>
      <c r="S1660" t="s">
        <v>522</v>
      </c>
      <c r="T1660" t="s">
        <v>8405</v>
      </c>
      <c r="U1660" t="s">
        <v>53</v>
      </c>
      <c r="V1660" t="s">
        <v>138</v>
      </c>
      <c r="W1660">
        <v>250000</v>
      </c>
      <c r="X1660" t="s">
        <v>53</v>
      </c>
      <c r="AA1660">
        <v>8</v>
      </c>
      <c r="AB1660">
        <v>8</v>
      </c>
      <c r="AC1660">
        <v>10</v>
      </c>
      <c r="AD1660">
        <v>7</v>
      </c>
      <c r="AE1660">
        <v>10</v>
      </c>
      <c r="AF1660">
        <v>0</v>
      </c>
      <c r="AG1660">
        <v>0</v>
      </c>
      <c r="AH1660">
        <v>0.1030193418264389</v>
      </c>
      <c r="AJ1660">
        <v>4.9766864776611328</v>
      </c>
      <c r="AK1660" t="s">
        <v>54</v>
      </c>
      <c r="AL1660" t="s">
        <v>54</v>
      </c>
      <c r="AQ1660" t="s">
        <v>54</v>
      </c>
      <c r="AT1660" t="s">
        <v>506</v>
      </c>
      <c r="AW1660" t="s">
        <v>54</v>
      </c>
      <c r="AZ1660" t="s">
        <v>54</v>
      </c>
      <c r="BA1660" t="s">
        <v>55</v>
      </c>
    </row>
    <row r="1661" spans="1:53" x14ac:dyDescent="0.25">
      <c r="A1661">
        <v>1656</v>
      </c>
      <c r="B1661" t="s">
        <v>523</v>
      </c>
      <c r="C1661" t="s">
        <v>524</v>
      </c>
      <c r="D1661" t="s">
        <v>525</v>
      </c>
      <c r="E1661">
        <v>10</v>
      </c>
      <c r="F1661" t="s">
        <v>45</v>
      </c>
      <c r="G1661" t="s">
        <v>504</v>
      </c>
      <c r="H1661" t="s">
        <v>211</v>
      </c>
      <c r="L1661" t="s">
        <v>526</v>
      </c>
      <c r="M1661">
        <v>2.043739795684814</v>
      </c>
      <c r="N1661" t="s">
        <v>54</v>
      </c>
      <c r="O1661" t="s">
        <v>53</v>
      </c>
      <c r="P1661" t="s">
        <v>53</v>
      </c>
      <c r="Q1661" t="s">
        <v>53</v>
      </c>
      <c r="R1661" t="s">
        <v>53</v>
      </c>
      <c r="S1661" t="s">
        <v>527</v>
      </c>
      <c r="T1661" t="s">
        <v>8406</v>
      </c>
      <c r="U1661" t="s">
        <v>53</v>
      </c>
      <c r="V1661" t="s">
        <v>162</v>
      </c>
      <c r="W1661">
        <v>25000</v>
      </c>
      <c r="X1661" t="s">
        <v>53</v>
      </c>
      <c r="AA1661">
        <v>150</v>
      </c>
      <c r="AB1661">
        <v>139</v>
      </c>
      <c r="AC1661">
        <v>168</v>
      </c>
      <c r="AD1661">
        <v>279</v>
      </c>
      <c r="AE1661">
        <v>279</v>
      </c>
      <c r="AF1661">
        <v>0</v>
      </c>
      <c r="AG1661">
        <v>0</v>
      </c>
      <c r="AH1661">
        <v>0.19919504225254059</v>
      </c>
      <c r="AJ1661">
        <v>135.68196105957031</v>
      </c>
      <c r="AK1661" t="s">
        <v>54</v>
      </c>
      <c r="AL1661" t="s">
        <v>54</v>
      </c>
      <c r="AQ1661" t="s">
        <v>54</v>
      </c>
      <c r="AT1661" t="s">
        <v>506</v>
      </c>
      <c r="AW1661" t="s">
        <v>54</v>
      </c>
      <c r="AZ1661" t="s">
        <v>54</v>
      </c>
      <c r="BA1661" t="s">
        <v>55</v>
      </c>
    </row>
    <row r="1662" spans="1:53" x14ac:dyDescent="0.25">
      <c r="A1662">
        <v>1657</v>
      </c>
      <c r="B1662" t="s">
        <v>528</v>
      </c>
      <c r="C1662" t="s">
        <v>529</v>
      </c>
      <c r="D1662" t="s">
        <v>529</v>
      </c>
      <c r="E1662">
        <v>10</v>
      </c>
      <c r="F1662" t="s">
        <v>45</v>
      </c>
      <c r="G1662" t="s">
        <v>504</v>
      </c>
      <c r="H1662" t="s">
        <v>211</v>
      </c>
      <c r="L1662" t="s">
        <v>123</v>
      </c>
      <c r="M1662">
        <v>2.043739795684814</v>
      </c>
      <c r="N1662" t="s">
        <v>54</v>
      </c>
      <c r="O1662" t="s">
        <v>53</v>
      </c>
      <c r="P1662" t="s">
        <v>53</v>
      </c>
      <c r="Q1662" t="s">
        <v>53</v>
      </c>
      <c r="R1662" t="s">
        <v>53</v>
      </c>
      <c r="S1662" t="s">
        <v>527</v>
      </c>
      <c r="T1662" t="s">
        <v>8406</v>
      </c>
      <c r="U1662" t="s">
        <v>53</v>
      </c>
      <c r="V1662" t="s">
        <v>162</v>
      </c>
      <c r="W1662">
        <v>25000</v>
      </c>
      <c r="X1662" t="s">
        <v>53</v>
      </c>
      <c r="AA1662">
        <v>150</v>
      </c>
      <c r="AB1662">
        <v>139</v>
      </c>
      <c r="AC1662">
        <v>168</v>
      </c>
      <c r="AD1662">
        <v>279</v>
      </c>
      <c r="AE1662">
        <v>279</v>
      </c>
      <c r="AF1662">
        <v>0</v>
      </c>
      <c r="AG1662">
        <v>0</v>
      </c>
      <c r="AH1662">
        <v>0.19919504225254059</v>
      </c>
      <c r="AJ1662">
        <v>135.68196105957031</v>
      </c>
      <c r="AK1662" t="s">
        <v>53</v>
      </c>
      <c r="AL1662" t="s">
        <v>54</v>
      </c>
      <c r="AQ1662" t="s">
        <v>54</v>
      </c>
      <c r="AT1662" t="s">
        <v>506</v>
      </c>
      <c r="AW1662" t="s">
        <v>54</v>
      </c>
      <c r="AZ1662" t="s">
        <v>54</v>
      </c>
      <c r="BA1662" t="s">
        <v>55</v>
      </c>
    </row>
    <row r="1663" spans="1:53" x14ac:dyDescent="0.25">
      <c r="A1663">
        <v>1658</v>
      </c>
      <c r="B1663" t="s">
        <v>541</v>
      </c>
      <c r="C1663" t="s">
        <v>542</v>
      </c>
      <c r="D1663" t="s">
        <v>543</v>
      </c>
      <c r="E1663">
        <v>10</v>
      </c>
      <c r="F1663" t="s">
        <v>45</v>
      </c>
      <c r="G1663" t="s">
        <v>544</v>
      </c>
      <c r="H1663" t="s">
        <v>545</v>
      </c>
      <c r="L1663" t="s">
        <v>48</v>
      </c>
      <c r="M1663">
        <v>44.605636596679688</v>
      </c>
      <c r="N1663" t="s">
        <v>53</v>
      </c>
      <c r="O1663" t="s">
        <v>53</v>
      </c>
      <c r="P1663" t="s">
        <v>54</v>
      </c>
      <c r="Q1663" t="s">
        <v>53</v>
      </c>
      <c r="R1663" t="s">
        <v>53</v>
      </c>
      <c r="S1663" t="s">
        <v>546</v>
      </c>
      <c r="T1663" t="s">
        <v>8407</v>
      </c>
      <c r="U1663" t="s">
        <v>53</v>
      </c>
      <c r="V1663" t="s">
        <v>51</v>
      </c>
      <c r="W1663">
        <v>100000</v>
      </c>
      <c r="X1663" t="s">
        <v>53</v>
      </c>
      <c r="AA1663">
        <v>0</v>
      </c>
      <c r="AB1663">
        <v>0</v>
      </c>
      <c r="AC1663">
        <v>0</v>
      </c>
      <c r="AD1663">
        <v>0</v>
      </c>
      <c r="AE1663">
        <v>0</v>
      </c>
      <c r="AF1663">
        <v>0</v>
      </c>
      <c r="AG1663">
        <v>0</v>
      </c>
      <c r="AH1663">
        <v>0</v>
      </c>
      <c r="AJ1663">
        <v>0</v>
      </c>
      <c r="AK1663" t="s">
        <v>54</v>
      </c>
      <c r="AL1663" t="s">
        <v>54</v>
      </c>
      <c r="AQ1663" t="s">
        <v>53</v>
      </c>
      <c r="AT1663" t="s">
        <v>547</v>
      </c>
      <c r="AW1663" t="s">
        <v>53</v>
      </c>
      <c r="AZ1663" t="s">
        <v>54</v>
      </c>
      <c r="BA1663" t="s">
        <v>55</v>
      </c>
    </row>
    <row r="1664" spans="1:53" x14ac:dyDescent="0.25">
      <c r="A1664">
        <v>1659</v>
      </c>
      <c r="B1664" t="s">
        <v>548</v>
      </c>
      <c r="C1664" t="s">
        <v>549</v>
      </c>
      <c r="D1664" t="s">
        <v>694</v>
      </c>
      <c r="E1664">
        <v>10</v>
      </c>
      <c r="F1664" t="s">
        <v>45</v>
      </c>
      <c r="G1664" t="s">
        <v>544</v>
      </c>
      <c r="H1664" t="s">
        <v>545</v>
      </c>
      <c r="L1664" t="s">
        <v>81</v>
      </c>
      <c r="M1664">
        <v>36.707607269287109</v>
      </c>
      <c r="N1664" t="s">
        <v>54</v>
      </c>
      <c r="O1664" t="s">
        <v>53</v>
      </c>
      <c r="P1664" t="s">
        <v>53</v>
      </c>
      <c r="Q1664" t="s">
        <v>53</v>
      </c>
      <c r="R1664" t="s">
        <v>53</v>
      </c>
      <c r="S1664" t="s">
        <v>546</v>
      </c>
      <c r="T1664" t="s">
        <v>8407</v>
      </c>
      <c r="U1664" t="s">
        <v>53</v>
      </c>
      <c r="V1664" t="s">
        <v>51</v>
      </c>
      <c r="W1664">
        <v>100000</v>
      </c>
      <c r="X1664" t="s">
        <v>53</v>
      </c>
      <c r="AA1664">
        <v>368</v>
      </c>
      <c r="AB1664">
        <v>224</v>
      </c>
      <c r="AC1664">
        <v>1942</v>
      </c>
      <c r="AD1664">
        <v>857</v>
      </c>
      <c r="AE1664">
        <v>1942</v>
      </c>
      <c r="AF1664">
        <v>1</v>
      </c>
      <c r="AG1664">
        <v>0</v>
      </c>
      <c r="AH1664">
        <v>0</v>
      </c>
      <c r="AJ1664">
        <v>849.0537109375</v>
      </c>
      <c r="AK1664" t="s">
        <v>54</v>
      </c>
      <c r="AL1664" t="s">
        <v>54</v>
      </c>
      <c r="AQ1664" t="s">
        <v>53</v>
      </c>
      <c r="AT1664" t="s">
        <v>547</v>
      </c>
      <c r="AW1664" t="s">
        <v>53</v>
      </c>
      <c r="AZ1664" t="s">
        <v>54</v>
      </c>
      <c r="BA1664" t="s">
        <v>55</v>
      </c>
    </row>
    <row r="1665" spans="1:53" x14ac:dyDescent="0.25">
      <c r="A1665">
        <v>1660</v>
      </c>
      <c r="B1665" t="s">
        <v>550</v>
      </c>
      <c r="C1665" t="s">
        <v>508</v>
      </c>
      <c r="D1665" t="s">
        <v>551</v>
      </c>
      <c r="E1665">
        <v>10</v>
      </c>
      <c r="F1665" t="s">
        <v>45</v>
      </c>
      <c r="G1665" t="s">
        <v>544</v>
      </c>
      <c r="H1665" t="s">
        <v>552</v>
      </c>
      <c r="L1665" t="s">
        <v>202</v>
      </c>
      <c r="M1665">
        <v>885.81292724609375</v>
      </c>
      <c r="N1665" t="s">
        <v>54</v>
      </c>
      <c r="O1665" t="s">
        <v>54</v>
      </c>
      <c r="P1665" t="s">
        <v>53</v>
      </c>
      <c r="Q1665" t="s">
        <v>53</v>
      </c>
      <c r="R1665" t="s">
        <v>53</v>
      </c>
      <c r="S1665" t="s">
        <v>546</v>
      </c>
      <c r="T1665" t="s">
        <v>8408</v>
      </c>
      <c r="U1665" t="s">
        <v>53</v>
      </c>
      <c r="V1665" t="s">
        <v>138</v>
      </c>
      <c r="W1665">
        <v>250000</v>
      </c>
      <c r="X1665" t="s">
        <v>53</v>
      </c>
      <c r="AA1665">
        <v>776</v>
      </c>
      <c r="AB1665">
        <v>521</v>
      </c>
      <c r="AC1665">
        <v>2432</v>
      </c>
      <c r="AD1665">
        <v>1519</v>
      </c>
      <c r="AE1665">
        <v>2432</v>
      </c>
      <c r="AF1665">
        <v>3</v>
      </c>
      <c r="AG1665">
        <v>9</v>
      </c>
      <c r="AH1665">
        <v>0.1030892580747604</v>
      </c>
      <c r="AJ1665">
        <v>37405.83984375</v>
      </c>
      <c r="AK1665" t="s">
        <v>54</v>
      </c>
      <c r="AL1665" t="s">
        <v>54</v>
      </c>
      <c r="AQ1665" t="s">
        <v>54</v>
      </c>
      <c r="AT1665" t="s">
        <v>547</v>
      </c>
      <c r="AW1665" t="s">
        <v>8390</v>
      </c>
      <c r="AZ1665" t="s">
        <v>54</v>
      </c>
      <c r="BA1665" t="s">
        <v>55</v>
      </c>
    </row>
    <row r="1666" spans="1:53" x14ac:dyDescent="0.25">
      <c r="A1666">
        <v>1661</v>
      </c>
      <c r="B1666" t="s">
        <v>553</v>
      </c>
      <c r="C1666" t="s">
        <v>554</v>
      </c>
      <c r="D1666" t="s">
        <v>555</v>
      </c>
      <c r="E1666">
        <v>10</v>
      </c>
      <c r="F1666" t="s">
        <v>45</v>
      </c>
      <c r="G1666" t="s">
        <v>544</v>
      </c>
      <c r="H1666" t="s">
        <v>552</v>
      </c>
      <c r="L1666" t="s">
        <v>48</v>
      </c>
      <c r="M1666">
        <v>885.81292724609375</v>
      </c>
      <c r="N1666" t="s">
        <v>54</v>
      </c>
      <c r="O1666" t="s">
        <v>54</v>
      </c>
      <c r="P1666" t="s">
        <v>53</v>
      </c>
      <c r="Q1666" t="s">
        <v>53</v>
      </c>
      <c r="R1666" t="s">
        <v>53</v>
      </c>
      <c r="S1666" t="s">
        <v>556</v>
      </c>
      <c r="T1666" t="s">
        <v>8408</v>
      </c>
      <c r="U1666" t="s">
        <v>53</v>
      </c>
      <c r="V1666" t="s">
        <v>51</v>
      </c>
      <c r="W1666">
        <v>100000</v>
      </c>
      <c r="X1666" t="s">
        <v>53</v>
      </c>
      <c r="AA1666">
        <v>776</v>
      </c>
      <c r="AB1666">
        <v>521</v>
      </c>
      <c r="AC1666">
        <v>2432</v>
      </c>
      <c r="AD1666">
        <v>1519</v>
      </c>
      <c r="AE1666">
        <v>2432</v>
      </c>
      <c r="AF1666">
        <v>3</v>
      </c>
      <c r="AG1666">
        <v>9</v>
      </c>
      <c r="AH1666">
        <v>0.1030892580747604</v>
      </c>
      <c r="AJ1666">
        <v>37405.83984375</v>
      </c>
      <c r="AK1666" t="s">
        <v>54</v>
      </c>
      <c r="AL1666" t="s">
        <v>54</v>
      </c>
      <c r="AQ1666" t="s">
        <v>54</v>
      </c>
      <c r="AT1666" t="s">
        <v>547</v>
      </c>
      <c r="AW1666" t="s">
        <v>8390</v>
      </c>
      <c r="AZ1666" t="s">
        <v>54</v>
      </c>
      <c r="BA1666" t="s">
        <v>55</v>
      </c>
    </row>
    <row r="1667" spans="1:53" x14ac:dyDescent="0.25">
      <c r="A1667">
        <v>1662</v>
      </c>
      <c r="B1667" t="s">
        <v>557</v>
      </c>
      <c r="C1667" t="s">
        <v>558</v>
      </c>
      <c r="D1667" t="s">
        <v>559</v>
      </c>
      <c r="E1667">
        <v>10</v>
      </c>
      <c r="F1667" t="s">
        <v>45</v>
      </c>
      <c r="G1667" t="s">
        <v>544</v>
      </c>
      <c r="H1667" t="s">
        <v>552</v>
      </c>
      <c r="L1667" t="s">
        <v>81</v>
      </c>
      <c r="M1667">
        <v>885.81292724609375</v>
      </c>
      <c r="N1667" t="s">
        <v>54</v>
      </c>
      <c r="O1667" t="s">
        <v>54</v>
      </c>
      <c r="P1667" t="s">
        <v>53</v>
      </c>
      <c r="Q1667" t="s">
        <v>53</v>
      </c>
      <c r="R1667" t="s">
        <v>53</v>
      </c>
      <c r="S1667" t="s">
        <v>556</v>
      </c>
      <c r="T1667" t="s">
        <v>8408</v>
      </c>
      <c r="U1667" t="s">
        <v>53</v>
      </c>
      <c r="V1667" t="s">
        <v>51</v>
      </c>
      <c r="W1667">
        <v>250000</v>
      </c>
      <c r="X1667" t="s">
        <v>53</v>
      </c>
      <c r="AA1667">
        <v>776</v>
      </c>
      <c r="AB1667">
        <v>521</v>
      </c>
      <c r="AC1667">
        <v>2432</v>
      </c>
      <c r="AD1667">
        <v>1519</v>
      </c>
      <c r="AE1667">
        <v>2432</v>
      </c>
      <c r="AF1667">
        <v>3</v>
      </c>
      <c r="AG1667">
        <v>9</v>
      </c>
      <c r="AH1667">
        <v>0.1030892580747604</v>
      </c>
      <c r="AJ1667">
        <v>37405.83984375</v>
      </c>
      <c r="AK1667" t="s">
        <v>54</v>
      </c>
      <c r="AL1667" t="s">
        <v>54</v>
      </c>
      <c r="AQ1667" t="s">
        <v>54</v>
      </c>
      <c r="AT1667" t="s">
        <v>547</v>
      </c>
      <c r="AW1667" t="s">
        <v>8390</v>
      </c>
      <c r="AZ1667" t="s">
        <v>54</v>
      </c>
      <c r="BA1667" t="s">
        <v>55</v>
      </c>
    </row>
    <row r="1668" spans="1:53" x14ac:dyDescent="0.25">
      <c r="A1668">
        <v>1663</v>
      </c>
      <c r="B1668" t="s">
        <v>560</v>
      </c>
      <c r="C1668" t="s">
        <v>561</v>
      </c>
      <c r="D1668" t="s">
        <v>562</v>
      </c>
      <c r="E1668">
        <v>10</v>
      </c>
      <c r="F1668" t="s">
        <v>45</v>
      </c>
      <c r="G1668" t="s">
        <v>544</v>
      </c>
      <c r="H1668" t="s">
        <v>552</v>
      </c>
      <c r="L1668" t="s">
        <v>81</v>
      </c>
      <c r="M1668">
        <v>885.81292724609375</v>
      </c>
      <c r="N1668" t="s">
        <v>54</v>
      </c>
      <c r="O1668" t="s">
        <v>54</v>
      </c>
      <c r="P1668" t="s">
        <v>53</v>
      </c>
      <c r="Q1668" t="s">
        <v>53</v>
      </c>
      <c r="R1668" t="s">
        <v>53</v>
      </c>
      <c r="S1668" t="s">
        <v>556</v>
      </c>
      <c r="T1668" t="s">
        <v>8408</v>
      </c>
      <c r="U1668" t="s">
        <v>53</v>
      </c>
      <c r="V1668" t="s">
        <v>51</v>
      </c>
      <c r="W1668">
        <v>100000</v>
      </c>
      <c r="X1668" t="s">
        <v>53</v>
      </c>
      <c r="AA1668">
        <v>776</v>
      </c>
      <c r="AB1668">
        <v>521</v>
      </c>
      <c r="AC1668">
        <v>2432</v>
      </c>
      <c r="AD1668">
        <v>1519</v>
      </c>
      <c r="AE1668">
        <v>2432</v>
      </c>
      <c r="AF1668">
        <v>3</v>
      </c>
      <c r="AG1668">
        <v>9</v>
      </c>
      <c r="AH1668">
        <v>0.1030892580747604</v>
      </c>
      <c r="AJ1668">
        <v>37405.83984375</v>
      </c>
      <c r="AK1668" t="s">
        <v>54</v>
      </c>
      <c r="AL1668" t="s">
        <v>54</v>
      </c>
      <c r="AQ1668" t="s">
        <v>54</v>
      </c>
      <c r="AT1668" t="s">
        <v>547</v>
      </c>
      <c r="AW1668" t="s">
        <v>8390</v>
      </c>
      <c r="AZ1668" t="s">
        <v>54</v>
      </c>
      <c r="BA1668" t="s">
        <v>55</v>
      </c>
    </row>
    <row r="1669" spans="1:53" x14ac:dyDescent="0.25">
      <c r="A1669">
        <v>1664</v>
      </c>
      <c r="B1669" t="s">
        <v>563</v>
      </c>
      <c r="C1669" t="s">
        <v>564</v>
      </c>
      <c r="D1669" t="s">
        <v>565</v>
      </c>
      <c r="E1669">
        <v>10</v>
      </c>
      <c r="F1669" t="s">
        <v>45</v>
      </c>
      <c r="G1669" t="s">
        <v>566</v>
      </c>
      <c r="H1669" t="s">
        <v>479</v>
      </c>
      <c r="L1669" t="s">
        <v>48</v>
      </c>
      <c r="M1669">
        <v>9.6865787506103516</v>
      </c>
      <c r="N1669" t="s">
        <v>54</v>
      </c>
      <c r="O1669" t="s">
        <v>53</v>
      </c>
      <c r="P1669" t="s">
        <v>53</v>
      </c>
      <c r="Q1669" t="s">
        <v>53</v>
      </c>
      <c r="R1669" t="s">
        <v>53</v>
      </c>
      <c r="S1669" t="s">
        <v>567</v>
      </c>
      <c r="T1669" t="s">
        <v>8409</v>
      </c>
      <c r="U1669" t="s">
        <v>53</v>
      </c>
      <c r="V1669" t="s">
        <v>138</v>
      </c>
      <c r="W1669">
        <v>150000</v>
      </c>
      <c r="X1669" t="s">
        <v>53</v>
      </c>
      <c r="AA1669">
        <v>1589</v>
      </c>
      <c r="AB1669">
        <v>1139</v>
      </c>
      <c r="AC1669">
        <v>4199</v>
      </c>
      <c r="AD1669">
        <v>2632</v>
      </c>
      <c r="AE1669">
        <v>4199</v>
      </c>
      <c r="AF1669">
        <v>1</v>
      </c>
      <c r="AG1669">
        <v>3</v>
      </c>
      <c r="AH1669">
        <v>34.717891693115227</v>
      </c>
      <c r="AJ1669">
        <v>873.98358154296875</v>
      </c>
      <c r="AK1669" t="s">
        <v>54</v>
      </c>
      <c r="AL1669" t="s">
        <v>54</v>
      </c>
      <c r="AQ1669" t="s">
        <v>54</v>
      </c>
      <c r="AT1669" t="s">
        <v>568</v>
      </c>
      <c r="AW1669" t="s">
        <v>54</v>
      </c>
      <c r="AZ1669" t="s">
        <v>54</v>
      </c>
      <c r="BA1669" t="s">
        <v>55</v>
      </c>
    </row>
    <row r="1670" spans="1:53" x14ac:dyDescent="0.25">
      <c r="A1670">
        <v>1665</v>
      </c>
      <c r="B1670" t="s">
        <v>569</v>
      </c>
      <c r="C1670" t="s">
        <v>570</v>
      </c>
      <c r="D1670" t="s">
        <v>695</v>
      </c>
      <c r="E1670">
        <v>10</v>
      </c>
      <c r="F1670" t="s">
        <v>45</v>
      </c>
      <c r="G1670" t="s">
        <v>566</v>
      </c>
      <c r="H1670" t="s">
        <v>479</v>
      </c>
      <c r="L1670" t="s">
        <v>197</v>
      </c>
      <c r="M1670">
        <v>9.6865787506103516</v>
      </c>
      <c r="N1670" t="s">
        <v>54</v>
      </c>
      <c r="O1670" t="s">
        <v>53</v>
      </c>
      <c r="P1670" t="s">
        <v>53</v>
      </c>
      <c r="Q1670" t="s">
        <v>53</v>
      </c>
      <c r="R1670" t="s">
        <v>53</v>
      </c>
      <c r="S1670" t="s">
        <v>567</v>
      </c>
      <c r="T1670" t="s">
        <v>8409</v>
      </c>
      <c r="U1670" t="s">
        <v>53</v>
      </c>
      <c r="V1670" t="s">
        <v>162</v>
      </c>
      <c r="W1670">
        <v>100000</v>
      </c>
      <c r="X1670" t="s">
        <v>53</v>
      </c>
      <c r="AA1670">
        <v>1589</v>
      </c>
      <c r="AB1670">
        <v>1139</v>
      </c>
      <c r="AC1670">
        <v>4199</v>
      </c>
      <c r="AD1670">
        <v>2632</v>
      </c>
      <c r="AE1670">
        <v>4199</v>
      </c>
      <c r="AF1670">
        <v>1</v>
      </c>
      <c r="AG1670">
        <v>3</v>
      </c>
      <c r="AH1670">
        <v>34.717891693115227</v>
      </c>
      <c r="AJ1670">
        <v>873.98358154296875</v>
      </c>
      <c r="AK1670" t="s">
        <v>53</v>
      </c>
      <c r="AL1670" t="s">
        <v>54</v>
      </c>
      <c r="AQ1670" t="s">
        <v>54</v>
      </c>
      <c r="AT1670" t="s">
        <v>568</v>
      </c>
      <c r="AW1670" t="s">
        <v>54</v>
      </c>
      <c r="AZ1670" t="s">
        <v>54</v>
      </c>
      <c r="BA1670" t="s">
        <v>55</v>
      </c>
    </row>
    <row r="1671" spans="1:53" x14ac:dyDescent="0.25">
      <c r="A1671">
        <v>1666</v>
      </c>
      <c r="B1671" t="s">
        <v>571</v>
      </c>
      <c r="C1671" t="s">
        <v>572</v>
      </c>
      <c r="D1671" t="s">
        <v>573</v>
      </c>
      <c r="E1671">
        <v>10</v>
      </c>
      <c r="F1671" t="s">
        <v>45</v>
      </c>
      <c r="G1671" t="s">
        <v>566</v>
      </c>
      <c r="H1671" t="s">
        <v>384</v>
      </c>
      <c r="L1671" t="s">
        <v>48</v>
      </c>
      <c r="M1671">
        <v>4.0332702919840813E-3</v>
      </c>
      <c r="N1671" t="s">
        <v>53</v>
      </c>
      <c r="O1671" t="s">
        <v>53</v>
      </c>
      <c r="P1671" t="s">
        <v>54</v>
      </c>
      <c r="Q1671" t="s">
        <v>53</v>
      </c>
      <c r="R1671" t="s">
        <v>53</v>
      </c>
      <c r="S1671" t="s">
        <v>567</v>
      </c>
      <c r="T1671" t="s">
        <v>8410</v>
      </c>
      <c r="U1671" t="s">
        <v>53</v>
      </c>
      <c r="V1671" t="s">
        <v>51</v>
      </c>
      <c r="W1671">
        <v>100000</v>
      </c>
      <c r="X1671" t="s">
        <v>53</v>
      </c>
      <c r="AA1671">
        <v>0</v>
      </c>
      <c r="AB1671">
        <v>0</v>
      </c>
      <c r="AC1671">
        <v>0</v>
      </c>
      <c r="AD1671">
        <v>0</v>
      </c>
      <c r="AE1671">
        <v>0</v>
      </c>
      <c r="AF1671">
        <v>0</v>
      </c>
      <c r="AG1671">
        <v>0</v>
      </c>
      <c r="AH1671">
        <v>0</v>
      </c>
      <c r="AJ1671">
        <v>0</v>
      </c>
      <c r="AK1671" t="s">
        <v>54</v>
      </c>
      <c r="AL1671" t="s">
        <v>54</v>
      </c>
      <c r="AQ1671" t="s">
        <v>54</v>
      </c>
      <c r="AT1671" t="s">
        <v>568</v>
      </c>
      <c r="AW1671" t="s">
        <v>53</v>
      </c>
      <c r="AZ1671" t="s">
        <v>54</v>
      </c>
      <c r="BA1671" t="s">
        <v>55</v>
      </c>
    </row>
    <row r="1672" spans="1:53" x14ac:dyDescent="0.25">
      <c r="A1672">
        <v>1667</v>
      </c>
      <c r="B1672" t="s">
        <v>574</v>
      </c>
      <c r="C1672" t="s">
        <v>575</v>
      </c>
      <c r="D1672" t="s">
        <v>696</v>
      </c>
      <c r="E1672">
        <v>10</v>
      </c>
      <c r="F1672" t="s">
        <v>45</v>
      </c>
      <c r="G1672" t="s">
        <v>566</v>
      </c>
      <c r="H1672" t="s">
        <v>384</v>
      </c>
      <c r="L1672" t="s">
        <v>48</v>
      </c>
      <c r="M1672">
        <v>3.161953529343009E-3</v>
      </c>
      <c r="N1672" t="s">
        <v>53</v>
      </c>
      <c r="O1672" t="s">
        <v>53</v>
      </c>
      <c r="P1672" t="s">
        <v>54</v>
      </c>
      <c r="Q1672" t="s">
        <v>53</v>
      </c>
      <c r="R1672" t="s">
        <v>53</v>
      </c>
      <c r="S1672" t="s">
        <v>567</v>
      </c>
      <c r="T1672" t="s">
        <v>8410</v>
      </c>
      <c r="U1672" t="s">
        <v>53</v>
      </c>
      <c r="V1672" t="s">
        <v>51</v>
      </c>
      <c r="W1672">
        <v>100000</v>
      </c>
      <c r="X1672" t="s">
        <v>53</v>
      </c>
      <c r="AA1672">
        <v>0</v>
      </c>
      <c r="AB1672">
        <v>0</v>
      </c>
      <c r="AC1672">
        <v>0</v>
      </c>
      <c r="AD1672">
        <v>0</v>
      </c>
      <c r="AE1672">
        <v>0</v>
      </c>
      <c r="AF1672">
        <v>0</v>
      </c>
      <c r="AG1672">
        <v>0</v>
      </c>
      <c r="AH1672">
        <v>0</v>
      </c>
      <c r="AJ1672">
        <v>0</v>
      </c>
      <c r="AK1672" t="s">
        <v>54</v>
      </c>
      <c r="AL1672" t="s">
        <v>54</v>
      </c>
      <c r="AQ1672" t="s">
        <v>54</v>
      </c>
      <c r="AT1672" t="s">
        <v>568</v>
      </c>
      <c r="AW1672" t="s">
        <v>53</v>
      </c>
      <c r="AZ1672" t="s">
        <v>54</v>
      </c>
      <c r="BA1672" t="s">
        <v>55</v>
      </c>
    </row>
    <row r="1673" spans="1:53" x14ac:dyDescent="0.25">
      <c r="A1673">
        <v>1668</v>
      </c>
      <c r="B1673" t="s">
        <v>131</v>
      </c>
      <c r="C1673" t="s">
        <v>697</v>
      </c>
      <c r="D1673" t="s">
        <v>132</v>
      </c>
      <c r="E1673">
        <v>10</v>
      </c>
      <c r="F1673" t="s">
        <v>45</v>
      </c>
      <c r="G1673" t="s">
        <v>49</v>
      </c>
      <c r="H1673" t="s">
        <v>50</v>
      </c>
      <c r="L1673" t="s">
        <v>48</v>
      </c>
      <c r="M1673">
        <v>0.1220500692725182</v>
      </c>
      <c r="N1673" t="s">
        <v>54</v>
      </c>
      <c r="O1673" t="s">
        <v>53</v>
      </c>
      <c r="P1673" t="s">
        <v>53</v>
      </c>
      <c r="Q1673" t="s">
        <v>53</v>
      </c>
      <c r="R1673" t="s">
        <v>53</v>
      </c>
      <c r="S1673" t="s">
        <v>60</v>
      </c>
      <c r="T1673" t="s">
        <v>8411</v>
      </c>
      <c r="U1673" t="s">
        <v>53</v>
      </c>
      <c r="V1673" t="s">
        <v>51</v>
      </c>
      <c r="W1673">
        <v>200000</v>
      </c>
      <c r="X1673" t="s">
        <v>53</v>
      </c>
      <c r="AA1673">
        <v>9</v>
      </c>
      <c r="AB1673">
        <v>5</v>
      </c>
      <c r="AC1673">
        <v>44</v>
      </c>
      <c r="AD1673">
        <v>8</v>
      </c>
      <c r="AE1673">
        <v>44</v>
      </c>
      <c r="AF1673">
        <v>0</v>
      </c>
      <c r="AG1673">
        <v>1</v>
      </c>
      <c r="AH1673">
        <v>0.19196777045726779</v>
      </c>
      <c r="AJ1673">
        <v>36.893760681152337</v>
      </c>
      <c r="AK1673" t="s">
        <v>54</v>
      </c>
      <c r="AL1673" t="s">
        <v>54</v>
      </c>
      <c r="AQ1673" t="s">
        <v>54</v>
      </c>
      <c r="AT1673" t="s">
        <v>133</v>
      </c>
      <c r="AW1673" t="s">
        <v>53</v>
      </c>
      <c r="AZ1673" t="s">
        <v>54</v>
      </c>
      <c r="BA1673" t="s">
        <v>55</v>
      </c>
    </row>
    <row r="1674" spans="1:53" x14ac:dyDescent="0.25">
      <c r="A1674">
        <v>1669</v>
      </c>
      <c r="B1674" t="s">
        <v>134</v>
      </c>
      <c r="C1674" t="s">
        <v>698</v>
      </c>
      <c r="D1674" t="s">
        <v>135</v>
      </c>
      <c r="E1674">
        <v>10</v>
      </c>
      <c r="F1674" t="s">
        <v>45</v>
      </c>
      <c r="G1674" t="s">
        <v>49</v>
      </c>
      <c r="H1674" t="s">
        <v>50</v>
      </c>
      <c r="L1674" t="s">
        <v>48</v>
      </c>
      <c r="M1674">
        <v>48.241401672363281</v>
      </c>
      <c r="N1674" t="s">
        <v>54</v>
      </c>
      <c r="O1674" t="s">
        <v>53</v>
      </c>
      <c r="P1674" t="s">
        <v>53</v>
      </c>
      <c r="Q1674" t="s">
        <v>53</v>
      </c>
      <c r="R1674" t="s">
        <v>53</v>
      </c>
      <c r="S1674" t="s">
        <v>60</v>
      </c>
      <c r="T1674" t="s">
        <v>8412</v>
      </c>
      <c r="U1674" t="s">
        <v>53</v>
      </c>
      <c r="V1674" t="s">
        <v>51</v>
      </c>
      <c r="W1674">
        <v>100000</v>
      </c>
      <c r="X1674" t="s">
        <v>53</v>
      </c>
      <c r="AA1674">
        <v>103</v>
      </c>
      <c r="AB1674">
        <v>78</v>
      </c>
      <c r="AC1674">
        <v>241</v>
      </c>
      <c r="AD1674">
        <v>28</v>
      </c>
      <c r="AE1674">
        <v>241</v>
      </c>
      <c r="AF1674">
        <v>0</v>
      </c>
      <c r="AG1674">
        <v>0</v>
      </c>
      <c r="AH1674">
        <v>3.6772582530975342</v>
      </c>
      <c r="AJ1674">
        <v>5786.38037109375</v>
      </c>
      <c r="AK1674" t="s">
        <v>54</v>
      </c>
      <c r="AL1674" t="s">
        <v>54</v>
      </c>
      <c r="AQ1674" t="s">
        <v>54</v>
      </c>
      <c r="AT1674" t="s">
        <v>61</v>
      </c>
      <c r="AW1674" t="s">
        <v>53</v>
      </c>
      <c r="AZ1674" t="s">
        <v>54</v>
      </c>
      <c r="BA1674" t="s">
        <v>55</v>
      </c>
    </row>
    <row r="1675" spans="1:53" x14ac:dyDescent="0.25">
      <c r="A1675">
        <v>1670</v>
      </c>
      <c r="B1675" t="s">
        <v>136</v>
      </c>
      <c r="C1675" t="s">
        <v>699</v>
      </c>
      <c r="D1675" t="s">
        <v>137</v>
      </c>
      <c r="E1675">
        <v>10</v>
      </c>
      <c r="F1675" t="s">
        <v>45</v>
      </c>
      <c r="G1675" t="s">
        <v>49</v>
      </c>
      <c r="H1675" t="s">
        <v>50</v>
      </c>
      <c r="L1675" t="s">
        <v>48</v>
      </c>
      <c r="M1675">
        <v>4.0160393714904794</v>
      </c>
      <c r="N1675" t="s">
        <v>54</v>
      </c>
      <c r="O1675" t="s">
        <v>53</v>
      </c>
      <c r="P1675" t="s">
        <v>53</v>
      </c>
      <c r="Q1675" t="s">
        <v>53</v>
      </c>
      <c r="R1675" t="s">
        <v>53</v>
      </c>
      <c r="S1675" t="s">
        <v>52</v>
      </c>
      <c r="T1675" t="s">
        <v>8372</v>
      </c>
      <c r="U1675" t="s">
        <v>53</v>
      </c>
      <c r="V1675" t="s">
        <v>138</v>
      </c>
      <c r="W1675">
        <v>500000</v>
      </c>
      <c r="X1675" t="s">
        <v>53</v>
      </c>
      <c r="AA1675">
        <v>83</v>
      </c>
      <c r="AB1675">
        <v>48</v>
      </c>
      <c r="AC1675">
        <v>616</v>
      </c>
      <c r="AD1675">
        <v>62</v>
      </c>
      <c r="AE1675">
        <v>616</v>
      </c>
      <c r="AF1675">
        <v>0</v>
      </c>
      <c r="AG1675">
        <v>0</v>
      </c>
      <c r="AH1675">
        <v>3.7901375293731689</v>
      </c>
      <c r="AJ1675">
        <v>335.36322021484381</v>
      </c>
      <c r="AK1675" t="s">
        <v>54</v>
      </c>
      <c r="AL1675" t="s">
        <v>54</v>
      </c>
      <c r="AQ1675" t="s">
        <v>54</v>
      </c>
      <c r="AT1675" t="s">
        <v>61</v>
      </c>
      <c r="AW1675" t="s">
        <v>53</v>
      </c>
      <c r="AZ1675" t="s">
        <v>54</v>
      </c>
      <c r="BA1675" t="s">
        <v>55</v>
      </c>
    </row>
    <row r="1676" spans="1:53" x14ac:dyDescent="0.25">
      <c r="A1676">
        <v>1671</v>
      </c>
      <c r="B1676" t="s">
        <v>149</v>
      </c>
      <c r="C1676" t="s">
        <v>150</v>
      </c>
      <c r="D1676" t="s">
        <v>700</v>
      </c>
      <c r="E1676">
        <v>10</v>
      </c>
      <c r="F1676" t="s">
        <v>45</v>
      </c>
      <c r="G1676" t="s">
        <v>152</v>
      </c>
      <c r="H1676" t="s">
        <v>153</v>
      </c>
      <c r="L1676" t="s">
        <v>151</v>
      </c>
      <c r="M1676">
        <v>1.7989804744720459</v>
      </c>
      <c r="N1676" t="s">
        <v>54</v>
      </c>
      <c r="O1676" t="s">
        <v>53</v>
      </c>
      <c r="P1676" t="s">
        <v>53</v>
      </c>
      <c r="Q1676" t="s">
        <v>53</v>
      </c>
      <c r="R1676" t="s">
        <v>53</v>
      </c>
      <c r="S1676" t="s">
        <v>154</v>
      </c>
      <c r="T1676" t="s">
        <v>8413</v>
      </c>
      <c r="U1676" t="s">
        <v>53</v>
      </c>
      <c r="V1676" t="s">
        <v>138</v>
      </c>
      <c r="W1676">
        <v>250000</v>
      </c>
      <c r="X1676" t="s">
        <v>53</v>
      </c>
      <c r="AA1676">
        <v>48</v>
      </c>
      <c r="AB1676">
        <v>29</v>
      </c>
      <c r="AC1676">
        <v>394</v>
      </c>
      <c r="AD1676">
        <v>38</v>
      </c>
      <c r="AE1676">
        <v>394</v>
      </c>
      <c r="AF1676">
        <v>0</v>
      </c>
      <c r="AG1676">
        <v>3</v>
      </c>
      <c r="AH1676">
        <v>0</v>
      </c>
      <c r="AJ1676">
        <v>67.495536804199219</v>
      </c>
      <c r="AK1676" t="s">
        <v>54</v>
      </c>
      <c r="AL1676" t="s">
        <v>54</v>
      </c>
      <c r="AQ1676" t="s">
        <v>53</v>
      </c>
      <c r="AT1676" t="s">
        <v>155</v>
      </c>
      <c r="AW1676" t="s">
        <v>53</v>
      </c>
      <c r="AZ1676" t="s">
        <v>54</v>
      </c>
      <c r="BA1676" t="s">
        <v>55</v>
      </c>
    </row>
    <row r="1677" spans="1:53" x14ac:dyDescent="0.25">
      <c r="A1677">
        <v>1672</v>
      </c>
      <c r="B1677" t="s">
        <v>156</v>
      </c>
      <c r="C1677" t="s">
        <v>157</v>
      </c>
      <c r="D1677" t="s">
        <v>157</v>
      </c>
      <c r="E1677">
        <v>10</v>
      </c>
      <c r="F1677" t="s">
        <v>45</v>
      </c>
      <c r="G1677" t="s">
        <v>152</v>
      </c>
      <c r="H1677" t="s">
        <v>153</v>
      </c>
      <c r="L1677" t="s">
        <v>158</v>
      </c>
      <c r="M1677">
        <v>1.7989804744720459</v>
      </c>
      <c r="N1677" t="s">
        <v>54</v>
      </c>
      <c r="O1677" t="s">
        <v>53</v>
      </c>
      <c r="P1677" t="s">
        <v>53</v>
      </c>
      <c r="Q1677" t="s">
        <v>53</v>
      </c>
      <c r="R1677" t="s">
        <v>53</v>
      </c>
      <c r="S1677" t="s">
        <v>154</v>
      </c>
      <c r="T1677" t="s">
        <v>8413</v>
      </c>
      <c r="U1677" t="s">
        <v>53</v>
      </c>
      <c r="V1677" t="s">
        <v>138</v>
      </c>
      <c r="W1677">
        <v>250000</v>
      </c>
      <c r="X1677" t="s">
        <v>53</v>
      </c>
      <c r="AA1677">
        <v>48</v>
      </c>
      <c r="AB1677">
        <v>29</v>
      </c>
      <c r="AC1677">
        <v>394</v>
      </c>
      <c r="AD1677">
        <v>38</v>
      </c>
      <c r="AE1677">
        <v>394</v>
      </c>
      <c r="AF1677">
        <v>0</v>
      </c>
      <c r="AG1677">
        <v>3</v>
      </c>
      <c r="AH1677">
        <v>0</v>
      </c>
      <c r="AJ1677">
        <v>67.495536804199219</v>
      </c>
      <c r="AK1677" t="s">
        <v>54</v>
      </c>
      <c r="AL1677" t="s">
        <v>54</v>
      </c>
      <c r="AQ1677" t="s">
        <v>53</v>
      </c>
      <c r="AT1677" t="s">
        <v>155</v>
      </c>
      <c r="AW1677" t="s">
        <v>53</v>
      </c>
      <c r="AZ1677" t="s">
        <v>54</v>
      </c>
      <c r="BA1677" t="s">
        <v>55</v>
      </c>
    </row>
    <row r="1678" spans="1:53" x14ac:dyDescent="0.25">
      <c r="A1678">
        <v>1673</v>
      </c>
      <c r="B1678" t="s">
        <v>159</v>
      </c>
      <c r="C1678" t="s">
        <v>160</v>
      </c>
      <c r="D1678" t="s">
        <v>160</v>
      </c>
      <c r="E1678">
        <v>10</v>
      </c>
      <c r="F1678" t="s">
        <v>45</v>
      </c>
      <c r="G1678" t="s">
        <v>152</v>
      </c>
      <c r="H1678" t="s">
        <v>161</v>
      </c>
      <c r="L1678" t="s">
        <v>123</v>
      </c>
      <c r="M1678">
        <v>710.9822998046875</v>
      </c>
      <c r="N1678" t="s">
        <v>54</v>
      </c>
      <c r="O1678" t="s">
        <v>53</v>
      </c>
      <c r="P1678" t="s">
        <v>54</v>
      </c>
      <c r="Q1678" t="s">
        <v>53</v>
      </c>
      <c r="R1678" t="s">
        <v>53</v>
      </c>
      <c r="S1678" t="s">
        <v>163</v>
      </c>
      <c r="T1678" t="s">
        <v>8414</v>
      </c>
      <c r="U1678" t="s">
        <v>53</v>
      </c>
      <c r="V1678" t="s">
        <v>162</v>
      </c>
      <c r="W1678">
        <v>25000</v>
      </c>
      <c r="X1678" t="s">
        <v>53</v>
      </c>
      <c r="AA1678">
        <v>294</v>
      </c>
      <c r="AB1678">
        <v>181</v>
      </c>
      <c r="AC1678">
        <v>592</v>
      </c>
      <c r="AD1678">
        <v>275</v>
      </c>
      <c r="AE1678">
        <v>592</v>
      </c>
      <c r="AF1678">
        <v>0</v>
      </c>
      <c r="AG1678">
        <v>35</v>
      </c>
      <c r="AH1678">
        <v>5.9331645965576172</v>
      </c>
      <c r="AJ1678">
        <v>25477.814453125</v>
      </c>
      <c r="AK1678" t="s">
        <v>53</v>
      </c>
      <c r="AL1678" t="s">
        <v>54</v>
      </c>
      <c r="AQ1678" t="s">
        <v>53</v>
      </c>
      <c r="AT1678" t="s">
        <v>155</v>
      </c>
      <c r="AW1678" t="s">
        <v>8390</v>
      </c>
      <c r="AZ1678" t="s">
        <v>54</v>
      </c>
      <c r="BA1678" t="s">
        <v>55</v>
      </c>
    </row>
    <row r="1679" spans="1:53" x14ac:dyDescent="0.25">
      <c r="A1679">
        <v>1674</v>
      </c>
      <c r="B1679" t="s">
        <v>164</v>
      </c>
      <c r="C1679" t="s">
        <v>165</v>
      </c>
      <c r="D1679" t="s">
        <v>165</v>
      </c>
      <c r="E1679">
        <v>10</v>
      </c>
      <c r="F1679" t="s">
        <v>45</v>
      </c>
      <c r="G1679" t="s">
        <v>152</v>
      </c>
      <c r="H1679" t="s">
        <v>161</v>
      </c>
      <c r="L1679" t="s">
        <v>59</v>
      </c>
      <c r="M1679">
        <v>710.9822998046875</v>
      </c>
      <c r="N1679" t="s">
        <v>54</v>
      </c>
      <c r="O1679" t="s">
        <v>53</v>
      </c>
      <c r="P1679" t="s">
        <v>54</v>
      </c>
      <c r="Q1679" t="s">
        <v>53</v>
      </c>
      <c r="R1679" t="s">
        <v>53</v>
      </c>
      <c r="S1679" t="s">
        <v>163</v>
      </c>
      <c r="T1679" t="s">
        <v>8414</v>
      </c>
      <c r="U1679" t="s">
        <v>53</v>
      </c>
      <c r="V1679" t="s">
        <v>51</v>
      </c>
      <c r="W1679">
        <v>100000</v>
      </c>
      <c r="X1679" t="s">
        <v>53</v>
      </c>
      <c r="AA1679">
        <v>294</v>
      </c>
      <c r="AB1679">
        <v>181</v>
      </c>
      <c r="AC1679">
        <v>592</v>
      </c>
      <c r="AD1679">
        <v>275</v>
      </c>
      <c r="AE1679">
        <v>592</v>
      </c>
      <c r="AF1679">
        <v>0</v>
      </c>
      <c r="AG1679">
        <v>35</v>
      </c>
      <c r="AH1679">
        <v>5.9331645965576172</v>
      </c>
      <c r="AJ1679">
        <v>25477.814453125</v>
      </c>
      <c r="AK1679" t="s">
        <v>54</v>
      </c>
      <c r="AL1679" t="s">
        <v>54</v>
      </c>
      <c r="AQ1679" t="s">
        <v>53</v>
      </c>
      <c r="AT1679" t="s">
        <v>155</v>
      </c>
      <c r="AW1679" t="s">
        <v>8390</v>
      </c>
      <c r="AZ1679" t="s">
        <v>54</v>
      </c>
      <c r="BA1679" t="s">
        <v>55</v>
      </c>
    </row>
    <row r="1680" spans="1:53" x14ac:dyDescent="0.25">
      <c r="A1680">
        <v>1675</v>
      </c>
      <c r="B1680" t="s">
        <v>166</v>
      </c>
      <c r="C1680" t="s">
        <v>167</v>
      </c>
      <c r="D1680" t="s">
        <v>168</v>
      </c>
      <c r="E1680">
        <v>10</v>
      </c>
      <c r="F1680" t="s">
        <v>45</v>
      </c>
      <c r="G1680" t="s">
        <v>169</v>
      </c>
      <c r="H1680" t="s">
        <v>170</v>
      </c>
      <c r="L1680" t="s">
        <v>48</v>
      </c>
      <c r="M1680">
        <v>0.21461531519889829</v>
      </c>
      <c r="N1680" t="s">
        <v>54</v>
      </c>
      <c r="O1680" t="s">
        <v>53</v>
      </c>
      <c r="P1680" t="s">
        <v>53</v>
      </c>
      <c r="Q1680" t="s">
        <v>53</v>
      </c>
      <c r="R1680" t="s">
        <v>53</v>
      </c>
      <c r="S1680" t="s">
        <v>171</v>
      </c>
      <c r="T1680" t="s">
        <v>8415</v>
      </c>
      <c r="U1680" t="s">
        <v>53</v>
      </c>
      <c r="V1680" t="s">
        <v>51</v>
      </c>
      <c r="W1680">
        <v>50000</v>
      </c>
      <c r="X1680" t="s">
        <v>53</v>
      </c>
      <c r="AA1680">
        <v>9</v>
      </c>
      <c r="AB1680">
        <v>8</v>
      </c>
      <c r="AC1680">
        <v>5</v>
      </c>
      <c r="AD1680">
        <v>16</v>
      </c>
      <c r="AE1680">
        <v>16</v>
      </c>
      <c r="AF1680">
        <v>0</v>
      </c>
      <c r="AG1680">
        <v>0</v>
      </c>
      <c r="AH1680">
        <v>2.8921599388122559</v>
      </c>
      <c r="AJ1680">
        <v>14.67249011993408</v>
      </c>
      <c r="AK1680" t="s">
        <v>54</v>
      </c>
      <c r="AL1680" t="s">
        <v>54</v>
      </c>
      <c r="AQ1680" t="s">
        <v>54</v>
      </c>
      <c r="AT1680" t="s">
        <v>172</v>
      </c>
      <c r="AW1680" t="s">
        <v>54</v>
      </c>
      <c r="AZ1680" t="s">
        <v>54</v>
      </c>
      <c r="BA1680" t="s">
        <v>55</v>
      </c>
    </row>
    <row r="1681" spans="1:53" x14ac:dyDescent="0.25">
      <c r="A1681">
        <v>1676</v>
      </c>
      <c r="B1681" t="s">
        <v>173</v>
      </c>
      <c r="C1681" t="s">
        <v>174</v>
      </c>
      <c r="D1681" t="s">
        <v>701</v>
      </c>
      <c r="E1681">
        <v>10</v>
      </c>
      <c r="F1681" t="s">
        <v>45</v>
      </c>
      <c r="G1681" t="s">
        <v>169</v>
      </c>
      <c r="H1681" t="s">
        <v>170</v>
      </c>
      <c r="L1681" t="s">
        <v>48</v>
      </c>
      <c r="M1681">
        <v>3.0832760334014888</v>
      </c>
      <c r="N1681" t="s">
        <v>54</v>
      </c>
      <c r="O1681" t="s">
        <v>53</v>
      </c>
      <c r="P1681" t="s">
        <v>53</v>
      </c>
      <c r="Q1681" t="s">
        <v>53</v>
      </c>
      <c r="R1681" t="s">
        <v>53</v>
      </c>
      <c r="S1681" t="s">
        <v>171</v>
      </c>
      <c r="T1681" t="s">
        <v>8415</v>
      </c>
      <c r="U1681" t="s">
        <v>53</v>
      </c>
      <c r="V1681" t="s">
        <v>51</v>
      </c>
      <c r="W1681">
        <v>125000</v>
      </c>
      <c r="X1681" t="s">
        <v>53</v>
      </c>
      <c r="AA1681">
        <v>205</v>
      </c>
      <c r="AB1681">
        <v>165</v>
      </c>
      <c r="AC1681">
        <v>179</v>
      </c>
      <c r="AD1681">
        <v>296</v>
      </c>
      <c r="AE1681">
        <v>296</v>
      </c>
      <c r="AF1681">
        <v>0</v>
      </c>
      <c r="AG1681">
        <v>0</v>
      </c>
      <c r="AH1681">
        <v>3.7959856986999512</v>
      </c>
      <c r="AJ1681">
        <v>334.60134887695313</v>
      </c>
      <c r="AK1681" t="s">
        <v>54</v>
      </c>
      <c r="AL1681" t="s">
        <v>54</v>
      </c>
      <c r="AQ1681" t="s">
        <v>54</v>
      </c>
      <c r="AT1681" t="s">
        <v>172</v>
      </c>
      <c r="AW1681" t="s">
        <v>54</v>
      </c>
      <c r="AZ1681" t="s">
        <v>54</v>
      </c>
      <c r="BA1681" t="s">
        <v>55</v>
      </c>
    </row>
    <row r="1682" spans="1:53" x14ac:dyDescent="0.25">
      <c r="A1682">
        <v>1677</v>
      </c>
      <c r="B1682" t="s">
        <v>187</v>
      </c>
      <c r="C1682" t="s">
        <v>702</v>
      </c>
      <c r="D1682" t="s">
        <v>188</v>
      </c>
      <c r="E1682">
        <v>10</v>
      </c>
      <c r="F1682" t="s">
        <v>45</v>
      </c>
      <c r="G1682" t="s">
        <v>183</v>
      </c>
      <c r="H1682" t="s">
        <v>189</v>
      </c>
      <c r="L1682" t="s">
        <v>48</v>
      </c>
      <c r="M1682">
        <v>26.813486099243161</v>
      </c>
      <c r="N1682" t="s">
        <v>54</v>
      </c>
      <c r="O1682" t="s">
        <v>53</v>
      </c>
      <c r="P1682" t="s">
        <v>53</v>
      </c>
      <c r="Q1682" t="s">
        <v>53</v>
      </c>
      <c r="R1682" t="s">
        <v>53</v>
      </c>
      <c r="S1682" t="s">
        <v>185</v>
      </c>
      <c r="T1682" t="s">
        <v>8416</v>
      </c>
      <c r="U1682" t="s">
        <v>53</v>
      </c>
      <c r="V1682" t="s">
        <v>51</v>
      </c>
      <c r="W1682">
        <v>250000</v>
      </c>
      <c r="X1682" t="s">
        <v>53</v>
      </c>
      <c r="AA1682">
        <v>758</v>
      </c>
      <c r="AB1682">
        <v>661</v>
      </c>
      <c r="AC1682">
        <v>2352</v>
      </c>
      <c r="AD1682">
        <v>2415</v>
      </c>
      <c r="AE1682">
        <v>2415</v>
      </c>
      <c r="AF1682">
        <v>1</v>
      </c>
      <c r="AG1682">
        <v>2</v>
      </c>
      <c r="AH1682">
        <v>14.132053375244141</v>
      </c>
      <c r="AJ1682">
        <v>1350.157958984375</v>
      </c>
      <c r="AK1682" t="s">
        <v>54</v>
      </c>
      <c r="AL1682" t="s">
        <v>54</v>
      </c>
      <c r="AQ1682" t="s">
        <v>54</v>
      </c>
      <c r="AT1682" t="s">
        <v>186</v>
      </c>
      <c r="AW1682" t="s">
        <v>54</v>
      </c>
      <c r="AZ1682" t="s">
        <v>54</v>
      </c>
      <c r="BA1682" t="s">
        <v>55</v>
      </c>
    </row>
    <row r="1683" spans="1:53" x14ac:dyDescent="0.25">
      <c r="A1683">
        <v>1678</v>
      </c>
      <c r="B1683" t="s">
        <v>190</v>
      </c>
      <c r="C1683" t="s">
        <v>191</v>
      </c>
      <c r="D1683" t="s">
        <v>192</v>
      </c>
      <c r="E1683">
        <v>10</v>
      </c>
      <c r="F1683" t="s">
        <v>45</v>
      </c>
      <c r="G1683" t="s">
        <v>183</v>
      </c>
      <c r="H1683" t="s">
        <v>184</v>
      </c>
      <c r="L1683" t="s">
        <v>193</v>
      </c>
      <c r="M1683">
        <v>14.81588840484619</v>
      </c>
      <c r="N1683" t="s">
        <v>54</v>
      </c>
      <c r="O1683" t="s">
        <v>53</v>
      </c>
      <c r="P1683" t="s">
        <v>53</v>
      </c>
      <c r="Q1683" t="s">
        <v>53</v>
      </c>
      <c r="R1683" t="s">
        <v>53</v>
      </c>
      <c r="S1683" t="s">
        <v>185</v>
      </c>
      <c r="T1683" t="s">
        <v>8417</v>
      </c>
      <c r="U1683" t="s">
        <v>53</v>
      </c>
      <c r="V1683" t="s">
        <v>138</v>
      </c>
      <c r="W1683">
        <v>250000</v>
      </c>
      <c r="X1683" t="s">
        <v>53</v>
      </c>
      <c r="AA1683">
        <v>1220</v>
      </c>
      <c r="AB1683">
        <v>889</v>
      </c>
      <c r="AC1683">
        <v>4826</v>
      </c>
      <c r="AD1683">
        <v>3262</v>
      </c>
      <c r="AE1683">
        <v>4826</v>
      </c>
      <c r="AF1683">
        <v>2</v>
      </c>
      <c r="AG1683">
        <v>12</v>
      </c>
      <c r="AH1683">
        <v>29.442398071289059</v>
      </c>
      <c r="AJ1683">
        <v>1404.395141601562</v>
      </c>
      <c r="AK1683" t="s">
        <v>54</v>
      </c>
      <c r="AL1683" t="s">
        <v>54</v>
      </c>
      <c r="AQ1683" t="s">
        <v>54</v>
      </c>
      <c r="AT1683" t="s">
        <v>186</v>
      </c>
      <c r="AW1683" t="s">
        <v>54</v>
      </c>
      <c r="AZ1683" t="s">
        <v>54</v>
      </c>
      <c r="BA1683" t="s">
        <v>55</v>
      </c>
    </row>
    <row r="1684" spans="1:53" x14ac:dyDescent="0.25">
      <c r="A1684">
        <v>1679</v>
      </c>
      <c r="B1684" t="s">
        <v>215</v>
      </c>
      <c r="C1684" t="s">
        <v>216</v>
      </c>
      <c r="D1684" t="s">
        <v>217</v>
      </c>
      <c r="E1684">
        <v>10</v>
      </c>
      <c r="F1684" t="s">
        <v>45</v>
      </c>
      <c r="G1684" t="s">
        <v>205</v>
      </c>
      <c r="H1684" t="s">
        <v>211</v>
      </c>
      <c r="L1684" t="s">
        <v>48</v>
      </c>
      <c r="M1684">
        <v>3.6018657684326172</v>
      </c>
      <c r="N1684" t="s">
        <v>54</v>
      </c>
      <c r="O1684" t="s">
        <v>53</v>
      </c>
      <c r="P1684" t="s">
        <v>53</v>
      </c>
      <c r="Q1684" t="s">
        <v>53</v>
      </c>
      <c r="R1684" t="s">
        <v>53</v>
      </c>
      <c r="S1684" t="s">
        <v>212</v>
      </c>
      <c r="T1684" t="s">
        <v>8381</v>
      </c>
      <c r="U1684" t="s">
        <v>53</v>
      </c>
      <c r="V1684" t="s">
        <v>51</v>
      </c>
      <c r="W1684">
        <v>100000</v>
      </c>
      <c r="X1684" t="s">
        <v>53</v>
      </c>
      <c r="AA1684">
        <v>5</v>
      </c>
      <c r="AB1684">
        <v>0</v>
      </c>
      <c r="AC1684">
        <v>107</v>
      </c>
      <c r="AD1684">
        <v>3</v>
      </c>
      <c r="AE1684">
        <v>107</v>
      </c>
      <c r="AF1684">
        <v>0</v>
      </c>
      <c r="AG1684">
        <v>0</v>
      </c>
      <c r="AH1684">
        <v>0.289040207862854</v>
      </c>
      <c r="AJ1684">
        <v>126.35650634765619</v>
      </c>
      <c r="AK1684" t="s">
        <v>54</v>
      </c>
      <c r="AL1684" t="s">
        <v>54</v>
      </c>
      <c r="AQ1684" t="s">
        <v>53</v>
      </c>
      <c r="AT1684" t="s">
        <v>207</v>
      </c>
      <c r="AW1684" t="s">
        <v>54</v>
      </c>
      <c r="AZ1684" t="s">
        <v>54</v>
      </c>
      <c r="BA1684" t="s">
        <v>55</v>
      </c>
    </row>
    <row r="1685" spans="1:53" x14ac:dyDescent="0.25">
      <c r="A1685">
        <v>1680</v>
      </c>
      <c r="B1685" t="s">
        <v>256</v>
      </c>
      <c r="C1685" t="s">
        <v>257</v>
      </c>
      <c r="D1685" t="s">
        <v>257</v>
      </c>
      <c r="E1685">
        <v>10</v>
      </c>
      <c r="F1685" t="s">
        <v>45</v>
      </c>
      <c r="G1685" t="s">
        <v>258</v>
      </c>
      <c r="H1685" t="s">
        <v>259</v>
      </c>
      <c r="L1685" t="s">
        <v>151</v>
      </c>
      <c r="M1685">
        <v>970.58392333984375</v>
      </c>
      <c r="N1685" t="s">
        <v>54</v>
      </c>
      <c r="O1685" t="s">
        <v>53</v>
      </c>
      <c r="P1685" t="s">
        <v>53</v>
      </c>
      <c r="Q1685" t="s">
        <v>53</v>
      </c>
      <c r="R1685" t="s">
        <v>53</v>
      </c>
      <c r="S1685" t="s">
        <v>260</v>
      </c>
      <c r="T1685" t="s">
        <v>8418</v>
      </c>
      <c r="U1685" t="s">
        <v>53</v>
      </c>
      <c r="V1685" t="s">
        <v>51</v>
      </c>
      <c r="W1685">
        <v>100000</v>
      </c>
      <c r="X1685" t="s">
        <v>53</v>
      </c>
      <c r="AA1685">
        <v>2103</v>
      </c>
      <c r="AB1685">
        <v>1079</v>
      </c>
      <c r="AC1685">
        <v>3616</v>
      </c>
      <c r="AD1685">
        <v>2176</v>
      </c>
      <c r="AE1685">
        <v>3616</v>
      </c>
      <c r="AF1685">
        <v>6</v>
      </c>
      <c r="AG1685">
        <v>11</v>
      </c>
      <c r="AH1685">
        <v>118.81032562255859</v>
      </c>
      <c r="AJ1685">
        <v>105661.765625</v>
      </c>
      <c r="AK1685" t="s">
        <v>54</v>
      </c>
      <c r="AL1685" t="s">
        <v>54</v>
      </c>
      <c r="AQ1685" t="s">
        <v>54</v>
      </c>
      <c r="AT1685" t="s">
        <v>261</v>
      </c>
      <c r="AW1685" t="s">
        <v>8390</v>
      </c>
      <c r="AZ1685" t="s">
        <v>54</v>
      </c>
      <c r="BA1685" t="s">
        <v>55</v>
      </c>
    </row>
    <row r="1686" spans="1:53" x14ac:dyDescent="0.25">
      <c r="A1686">
        <v>1681</v>
      </c>
      <c r="B1686" t="s">
        <v>262</v>
      </c>
      <c r="C1686" t="s">
        <v>263</v>
      </c>
      <c r="D1686" t="s">
        <v>264</v>
      </c>
      <c r="E1686">
        <v>10</v>
      </c>
      <c r="F1686" t="s">
        <v>45</v>
      </c>
      <c r="G1686" t="s">
        <v>265</v>
      </c>
      <c r="H1686" t="s">
        <v>266</v>
      </c>
      <c r="L1686" t="s">
        <v>81</v>
      </c>
      <c r="M1686">
        <v>54.138446807861328</v>
      </c>
      <c r="N1686" t="s">
        <v>54</v>
      </c>
      <c r="O1686" t="s">
        <v>53</v>
      </c>
      <c r="P1686" t="s">
        <v>53</v>
      </c>
      <c r="Q1686" t="s">
        <v>53</v>
      </c>
      <c r="R1686" t="s">
        <v>53</v>
      </c>
      <c r="S1686" t="s">
        <v>267</v>
      </c>
      <c r="T1686" t="s">
        <v>8419</v>
      </c>
      <c r="U1686" t="s">
        <v>53</v>
      </c>
      <c r="V1686" t="s">
        <v>51</v>
      </c>
      <c r="W1686">
        <v>100000</v>
      </c>
      <c r="X1686" t="s">
        <v>53</v>
      </c>
      <c r="AA1686">
        <v>91</v>
      </c>
      <c r="AB1686">
        <v>49</v>
      </c>
      <c r="AC1686">
        <v>85</v>
      </c>
      <c r="AD1686">
        <v>71</v>
      </c>
      <c r="AE1686">
        <v>85</v>
      </c>
      <c r="AF1686">
        <v>0</v>
      </c>
      <c r="AG1686">
        <v>1</v>
      </c>
      <c r="AH1686">
        <v>4.0013294219970703</v>
      </c>
      <c r="AJ1686">
        <v>5822.63427734375</v>
      </c>
      <c r="AK1686" t="s">
        <v>54</v>
      </c>
      <c r="AL1686" t="s">
        <v>54</v>
      </c>
      <c r="AQ1686" t="s">
        <v>54</v>
      </c>
      <c r="AT1686" t="s">
        <v>268</v>
      </c>
      <c r="AW1686" t="s">
        <v>53</v>
      </c>
      <c r="AZ1686" t="s">
        <v>54</v>
      </c>
      <c r="BA1686" t="s">
        <v>55</v>
      </c>
    </row>
    <row r="1687" spans="1:53" x14ac:dyDescent="0.25">
      <c r="A1687">
        <v>1682</v>
      </c>
      <c r="B1687" t="s">
        <v>269</v>
      </c>
      <c r="C1687" t="s">
        <v>703</v>
      </c>
      <c r="D1687" t="s">
        <v>270</v>
      </c>
      <c r="E1687">
        <v>10</v>
      </c>
      <c r="F1687" t="s">
        <v>45</v>
      </c>
      <c r="G1687" t="s">
        <v>265</v>
      </c>
      <c r="H1687" t="s">
        <v>271</v>
      </c>
      <c r="L1687" t="s">
        <v>123</v>
      </c>
      <c r="M1687">
        <v>1.672817468643188</v>
      </c>
      <c r="N1687" t="s">
        <v>54</v>
      </c>
      <c r="O1687" t="s">
        <v>53</v>
      </c>
      <c r="P1687" t="s">
        <v>54</v>
      </c>
      <c r="Q1687" t="s">
        <v>53</v>
      </c>
      <c r="R1687" t="s">
        <v>53</v>
      </c>
      <c r="S1687" t="s">
        <v>272</v>
      </c>
      <c r="T1687" t="s">
        <v>8420</v>
      </c>
      <c r="U1687" t="s">
        <v>53</v>
      </c>
      <c r="V1687" t="s">
        <v>51</v>
      </c>
      <c r="W1687">
        <v>50000</v>
      </c>
      <c r="X1687" t="s">
        <v>53</v>
      </c>
      <c r="AA1687">
        <v>0</v>
      </c>
      <c r="AB1687">
        <v>0</v>
      </c>
      <c r="AC1687">
        <v>0</v>
      </c>
      <c r="AD1687">
        <v>0</v>
      </c>
      <c r="AE1687">
        <v>0</v>
      </c>
      <c r="AF1687">
        <v>0</v>
      </c>
      <c r="AG1687">
        <v>0</v>
      </c>
      <c r="AH1687">
        <v>0</v>
      </c>
      <c r="AJ1687">
        <v>0</v>
      </c>
      <c r="AK1687" t="s">
        <v>54</v>
      </c>
      <c r="AL1687" t="s">
        <v>54</v>
      </c>
      <c r="AQ1687" t="s">
        <v>53</v>
      </c>
      <c r="AT1687" t="s">
        <v>268</v>
      </c>
      <c r="AW1687" t="s">
        <v>53</v>
      </c>
      <c r="AZ1687" t="s">
        <v>54</v>
      </c>
      <c r="BA1687" t="s">
        <v>55</v>
      </c>
    </row>
    <row r="1688" spans="1:53" x14ac:dyDescent="0.25">
      <c r="A1688">
        <v>1683</v>
      </c>
      <c r="B1688" t="s">
        <v>286</v>
      </c>
      <c r="C1688" t="s">
        <v>287</v>
      </c>
      <c r="D1688" t="s">
        <v>288</v>
      </c>
      <c r="E1688">
        <v>10</v>
      </c>
      <c r="F1688" t="s">
        <v>45</v>
      </c>
      <c r="G1688" t="s">
        <v>276</v>
      </c>
      <c r="H1688" t="s">
        <v>178</v>
      </c>
      <c r="L1688" t="s">
        <v>123</v>
      </c>
      <c r="M1688">
        <v>882.723388671875</v>
      </c>
      <c r="N1688" t="s">
        <v>54</v>
      </c>
      <c r="O1688" t="s">
        <v>53</v>
      </c>
      <c r="P1688" t="s">
        <v>53</v>
      </c>
      <c r="Q1688" t="s">
        <v>53</v>
      </c>
      <c r="R1688" t="s">
        <v>53</v>
      </c>
      <c r="S1688" t="s">
        <v>289</v>
      </c>
      <c r="T1688" t="s">
        <v>8421</v>
      </c>
      <c r="U1688" t="s">
        <v>53</v>
      </c>
      <c r="V1688" t="s">
        <v>162</v>
      </c>
      <c r="W1688">
        <v>150000</v>
      </c>
      <c r="X1688" t="s">
        <v>53</v>
      </c>
      <c r="AA1688">
        <v>582</v>
      </c>
      <c r="AB1688">
        <v>393</v>
      </c>
      <c r="AC1688">
        <v>628</v>
      </c>
      <c r="AD1688">
        <v>536</v>
      </c>
      <c r="AE1688">
        <v>628</v>
      </c>
      <c r="AF1688">
        <v>0</v>
      </c>
      <c r="AG1688">
        <v>0</v>
      </c>
      <c r="AH1688">
        <v>26.02658843994141</v>
      </c>
      <c r="AJ1688">
        <v>15359.0576171875</v>
      </c>
      <c r="AK1688" t="s">
        <v>54</v>
      </c>
      <c r="AL1688" t="s">
        <v>54</v>
      </c>
      <c r="AQ1688" t="s">
        <v>53</v>
      </c>
      <c r="AT1688" t="s">
        <v>279</v>
      </c>
      <c r="AW1688" t="s">
        <v>54</v>
      </c>
      <c r="AZ1688" t="s">
        <v>54</v>
      </c>
      <c r="BA1688" t="s">
        <v>55</v>
      </c>
    </row>
    <row r="1689" spans="1:53" x14ac:dyDescent="0.25">
      <c r="A1689">
        <v>1684</v>
      </c>
      <c r="B1689" t="s">
        <v>333</v>
      </c>
      <c r="C1689" t="s">
        <v>334</v>
      </c>
      <c r="D1689" t="s">
        <v>335</v>
      </c>
      <c r="E1689">
        <v>10</v>
      </c>
      <c r="F1689" t="s">
        <v>45</v>
      </c>
      <c r="G1689" t="s">
        <v>293</v>
      </c>
      <c r="H1689" t="s">
        <v>153</v>
      </c>
      <c r="L1689" t="s">
        <v>48</v>
      </c>
      <c r="M1689">
        <v>2.439319342374802E-2</v>
      </c>
      <c r="N1689" t="s">
        <v>53</v>
      </c>
      <c r="O1689" t="s">
        <v>53</v>
      </c>
      <c r="P1689" t="s">
        <v>54</v>
      </c>
      <c r="Q1689" t="s">
        <v>53</v>
      </c>
      <c r="R1689" t="s">
        <v>53</v>
      </c>
      <c r="S1689" t="s">
        <v>294</v>
      </c>
      <c r="T1689" t="s">
        <v>8384</v>
      </c>
      <c r="U1689" t="s">
        <v>53</v>
      </c>
      <c r="V1689" t="s">
        <v>51</v>
      </c>
      <c r="W1689">
        <v>100000</v>
      </c>
      <c r="X1689" t="s">
        <v>53</v>
      </c>
      <c r="AA1689">
        <v>0</v>
      </c>
      <c r="AB1689">
        <v>0</v>
      </c>
      <c r="AC1689">
        <v>0</v>
      </c>
      <c r="AD1689">
        <v>0</v>
      </c>
      <c r="AE1689">
        <v>0</v>
      </c>
      <c r="AF1689">
        <v>0</v>
      </c>
      <c r="AG1689">
        <v>0</v>
      </c>
      <c r="AH1689">
        <v>0</v>
      </c>
      <c r="AJ1689">
        <v>0</v>
      </c>
      <c r="AK1689" t="s">
        <v>54</v>
      </c>
      <c r="AL1689" t="s">
        <v>54</v>
      </c>
      <c r="AQ1689" t="s">
        <v>53</v>
      </c>
      <c r="AT1689" t="s">
        <v>295</v>
      </c>
      <c r="AW1689" t="s">
        <v>53</v>
      </c>
      <c r="AZ1689" t="s">
        <v>54</v>
      </c>
      <c r="BA1689" t="s">
        <v>55</v>
      </c>
    </row>
    <row r="1690" spans="1:53" x14ac:dyDescent="0.25">
      <c r="A1690">
        <v>1685</v>
      </c>
      <c r="B1690" t="s">
        <v>336</v>
      </c>
      <c r="C1690" t="s">
        <v>337</v>
      </c>
      <c r="D1690" t="s">
        <v>338</v>
      </c>
      <c r="E1690">
        <v>10</v>
      </c>
      <c r="F1690" t="s">
        <v>45</v>
      </c>
      <c r="G1690" t="s">
        <v>293</v>
      </c>
      <c r="H1690" t="s">
        <v>153</v>
      </c>
      <c r="L1690" t="s">
        <v>48</v>
      </c>
      <c r="M1690">
        <v>0.13122716546058649</v>
      </c>
      <c r="N1690" t="s">
        <v>53</v>
      </c>
      <c r="O1690" t="s">
        <v>53</v>
      </c>
      <c r="P1690" t="s">
        <v>54</v>
      </c>
      <c r="Q1690" t="s">
        <v>53</v>
      </c>
      <c r="R1690" t="s">
        <v>53</v>
      </c>
      <c r="S1690" t="s">
        <v>294</v>
      </c>
      <c r="T1690" t="s">
        <v>8384</v>
      </c>
      <c r="U1690" t="s">
        <v>53</v>
      </c>
      <c r="V1690" t="s">
        <v>51</v>
      </c>
      <c r="W1690">
        <v>150000</v>
      </c>
      <c r="X1690" t="s">
        <v>53</v>
      </c>
      <c r="AA1690">
        <v>0</v>
      </c>
      <c r="AB1690">
        <v>0</v>
      </c>
      <c r="AC1690">
        <v>0</v>
      </c>
      <c r="AD1690">
        <v>0</v>
      </c>
      <c r="AE1690">
        <v>0</v>
      </c>
      <c r="AF1690">
        <v>0</v>
      </c>
      <c r="AG1690">
        <v>0</v>
      </c>
      <c r="AH1690">
        <v>0</v>
      </c>
      <c r="AJ1690">
        <v>0</v>
      </c>
      <c r="AK1690" t="s">
        <v>54</v>
      </c>
      <c r="AL1690" t="s">
        <v>54</v>
      </c>
      <c r="AQ1690" t="s">
        <v>53</v>
      </c>
      <c r="AT1690" t="s">
        <v>295</v>
      </c>
      <c r="AW1690" t="s">
        <v>53</v>
      </c>
      <c r="AZ1690" t="s">
        <v>54</v>
      </c>
      <c r="BA1690" t="s">
        <v>55</v>
      </c>
    </row>
    <row r="1691" spans="1:53" x14ac:dyDescent="0.25">
      <c r="A1691">
        <v>1686</v>
      </c>
      <c r="B1691" t="s">
        <v>358</v>
      </c>
      <c r="C1691" t="s">
        <v>359</v>
      </c>
      <c r="D1691" t="s">
        <v>360</v>
      </c>
      <c r="E1691">
        <v>10</v>
      </c>
      <c r="F1691" t="s">
        <v>45</v>
      </c>
      <c r="G1691" t="s">
        <v>348</v>
      </c>
      <c r="H1691" t="s">
        <v>356</v>
      </c>
      <c r="L1691" t="s">
        <v>81</v>
      </c>
      <c r="M1691">
        <v>0.41857254505157471</v>
      </c>
      <c r="N1691" t="s">
        <v>54</v>
      </c>
      <c r="O1691" t="s">
        <v>53</v>
      </c>
      <c r="P1691" t="s">
        <v>53</v>
      </c>
      <c r="Q1691" t="s">
        <v>53</v>
      </c>
      <c r="R1691" t="s">
        <v>53</v>
      </c>
      <c r="S1691" t="s">
        <v>357</v>
      </c>
      <c r="T1691" t="s">
        <v>8387</v>
      </c>
      <c r="U1691" t="s">
        <v>53</v>
      </c>
      <c r="V1691" t="s">
        <v>51</v>
      </c>
      <c r="W1691">
        <v>50000</v>
      </c>
      <c r="X1691" t="s">
        <v>53</v>
      </c>
      <c r="AA1691">
        <v>0</v>
      </c>
      <c r="AB1691">
        <v>0</v>
      </c>
      <c r="AC1691">
        <v>0</v>
      </c>
      <c r="AD1691">
        <v>0</v>
      </c>
      <c r="AE1691">
        <v>0</v>
      </c>
      <c r="AF1691">
        <v>0</v>
      </c>
      <c r="AG1691">
        <v>0</v>
      </c>
      <c r="AH1691">
        <v>0</v>
      </c>
      <c r="AJ1691">
        <v>0.38037121295928961</v>
      </c>
      <c r="AK1691" t="s">
        <v>54</v>
      </c>
      <c r="AL1691" t="s">
        <v>54</v>
      </c>
      <c r="AQ1691" t="s">
        <v>54</v>
      </c>
      <c r="AT1691" t="s">
        <v>350</v>
      </c>
      <c r="AW1691" t="s">
        <v>53</v>
      </c>
      <c r="AZ1691" t="s">
        <v>54</v>
      </c>
      <c r="BA1691" t="s">
        <v>55</v>
      </c>
    </row>
    <row r="1692" spans="1:53" x14ac:dyDescent="0.25">
      <c r="A1692">
        <v>1687</v>
      </c>
      <c r="B1692" t="s">
        <v>385</v>
      </c>
      <c r="C1692" t="s">
        <v>386</v>
      </c>
      <c r="D1692" t="s">
        <v>387</v>
      </c>
      <c r="E1692">
        <v>10</v>
      </c>
      <c r="F1692" t="s">
        <v>45</v>
      </c>
      <c r="G1692" t="s">
        <v>366</v>
      </c>
      <c r="H1692" t="s">
        <v>367</v>
      </c>
      <c r="L1692" t="s">
        <v>81</v>
      </c>
      <c r="M1692">
        <v>4.0647215843200684</v>
      </c>
      <c r="N1692" t="s">
        <v>54</v>
      </c>
      <c r="O1692" t="s">
        <v>53</v>
      </c>
      <c r="P1692" t="s">
        <v>53</v>
      </c>
      <c r="Q1692" t="s">
        <v>53</v>
      </c>
      <c r="R1692" t="s">
        <v>53</v>
      </c>
      <c r="S1692" t="s">
        <v>368</v>
      </c>
      <c r="T1692" t="s">
        <v>397</v>
      </c>
      <c r="U1692" t="s">
        <v>53</v>
      </c>
      <c r="V1692" t="s">
        <v>51</v>
      </c>
      <c r="W1692">
        <v>200000</v>
      </c>
      <c r="X1692" t="s">
        <v>53</v>
      </c>
      <c r="AA1692">
        <v>1223</v>
      </c>
      <c r="AB1692">
        <v>1010</v>
      </c>
      <c r="AC1692">
        <v>1412</v>
      </c>
      <c r="AD1692">
        <v>1908</v>
      </c>
      <c r="AE1692">
        <v>1908</v>
      </c>
      <c r="AF1692">
        <v>2</v>
      </c>
      <c r="AG1692">
        <v>1</v>
      </c>
      <c r="AH1692">
        <v>26.25538444519043</v>
      </c>
      <c r="AJ1692">
        <v>137.2613830566406</v>
      </c>
      <c r="AK1692" t="s">
        <v>54</v>
      </c>
      <c r="AL1692" t="s">
        <v>54</v>
      </c>
      <c r="AQ1692" t="s">
        <v>54</v>
      </c>
      <c r="AT1692" t="s">
        <v>369</v>
      </c>
      <c r="AW1692" t="s">
        <v>54</v>
      </c>
      <c r="AZ1692" t="s">
        <v>54</v>
      </c>
      <c r="BA1692" t="s">
        <v>55</v>
      </c>
    </row>
    <row r="1693" spans="1:53" x14ac:dyDescent="0.25">
      <c r="A1693">
        <v>1688</v>
      </c>
      <c r="B1693" t="s">
        <v>388</v>
      </c>
      <c r="C1693" t="s">
        <v>389</v>
      </c>
      <c r="D1693" t="s">
        <v>390</v>
      </c>
      <c r="E1693">
        <v>10</v>
      </c>
      <c r="F1693" t="s">
        <v>45</v>
      </c>
      <c r="G1693" t="s">
        <v>366</v>
      </c>
      <c r="H1693" t="s">
        <v>374</v>
      </c>
      <c r="L1693" t="s">
        <v>391</v>
      </c>
      <c r="M1693">
        <v>0.1240324229001999</v>
      </c>
      <c r="N1693" t="s">
        <v>54</v>
      </c>
      <c r="O1693" t="s">
        <v>53</v>
      </c>
      <c r="P1693" t="s">
        <v>53</v>
      </c>
      <c r="Q1693" t="s">
        <v>53</v>
      </c>
      <c r="R1693" t="s">
        <v>53</v>
      </c>
      <c r="S1693" t="s">
        <v>381</v>
      </c>
      <c r="T1693" t="s">
        <v>8388</v>
      </c>
      <c r="U1693" t="s">
        <v>53</v>
      </c>
      <c r="V1693" t="s">
        <v>51</v>
      </c>
      <c r="W1693">
        <v>250000</v>
      </c>
      <c r="X1693" t="s">
        <v>53</v>
      </c>
      <c r="AA1693">
        <v>0</v>
      </c>
      <c r="AB1693">
        <v>0</v>
      </c>
      <c r="AC1693">
        <v>0</v>
      </c>
      <c r="AD1693">
        <v>0</v>
      </c>
      <c r="AE1693">
        <v>0</v>
      </c>
      <c r="AF1693">
        <v>0</v>
      </c>
      <c r="AG1693">
        <v>0</v>
      </c>
      <c r="AH1693">
        <v>9.790058434009552E-2</v>
      </c>
      <c r="AJ1693">
        <v>13.34261512756348</v>
      </c>
      <c r="AK1693" t="s">
        <v>54</v>
      </c>
      <c r="AL1693" t="s">
        <v>54</v>
      </c>
      <c r="AQ1693" t="s">
        <v>54</v>
      </c>
      <c r="AT1693" t="s">
        <v>369</v>
      </c>
      <c r="AW1693" t="s">
        <v>54</v>
      </c>
      <c r="AZ1693" t="s">
        <v>54</v>
      </c>
      <c r="BA1693" t="s">
        <v>55</v>
      </c>
    </row>
    <row r="1694" spans="1:53" x14ac:dyDescent="0.25">
      <c r="A1694">
        <v>1689</v>
      </c>
      <c r="B1694" t="s">
        <v>458</v>
      </c>
      <c r="C1694" t="s">
        <v>459</v>
      </c>
      <c r="D1694" t="s">
        <v>460</v>
      </c>
      <c r="E1694">
        <v>10</v>
      </c>
      <c r="F1694" t="s">
        <v>45</v>
      </c>
      <c r="G1694" t="s">
        <v>441</v>
      </c>
      <c r="H1694" t="s">
        <v>448</v>
      </c>
      <c r="L1694" t="s">
        <v>461</v>
      </c>
      <c r="M1694">
        <v>2.2102631628513341E-3</v>
      </c>
      <c r="N1694" t="s">
        <v>54</v>
      </c>
      <c r="O1694" t="s">
        <v>53</v>
      </c>
      <c r="P1694" t="s">
        <v>53</v>
      </c>
      <c r="Q1694" t="s">
        <v>53</v>
      </c>
      <c r="R1694" t="s">
        <v>53</v>
      </c>
      <c r="S1694" t="s">
        <v>453</v>
      </c>
      <c r="T1694" t="s">
        <v>8395</v>
      </c>
      <c r="U1694" t="s">
        <v>53</v>
      </c>
      <c r="V1694" t="s">
        <v>51</v>
      </c>
      <c r="W1694">
        <v>250000</v>
      </c>
      <c r="X1694" t="s">
        <v>53</v>
      </c>
      <c r="AA1694">
        <v>0</v>
      </c>
      <c r="AB1694">
        <v>0</v>
      </c>
      <c r="AC1694">
        <v>0</v>
      </c>
      <c r="AD1694">
        <v>0</v>
      </c>
      <c r="AE1694">
        <v>0</v>
      </c>
      <c r="AF1694">
        <v>0</v>
      </c>
      <c r="AG1694">
        <v>0</v>
      </c>
      <c r="AH1694">
        <v>0</v>
      </c>
      <c r="AJ1694">
        <v>0</v>
      </c>
      <c r="AK1694" t="s">
        <v>53</v>
      </c>
      <c r="AL1694" t="s">
        <v>54</v>
      </c>
      <c r="AQ1694" t="s">
        <v>53</v>
      </c>
      <c r="AT1694" t="s">
        <v>444</v>
      </c>
      <c r="AW1694" t="s">
        <v>54</v>
      </c>
      <c r="AZ1694" t="s">
        <v>54</v>
      </c>
      <c r="BA1694" t="s">
        <v>55</v>
      </c>
    </row>
    <row r="1695" spans="1:53" x14ac:dyDescent="0.25">
      <c r="A1695">
        <v>1690</v>
      </c>
      <c r="B1695" t="s">
        <v>484</v>
      </c>
      <c r="C1695" t="s">
        <v>485</v>
      </c>
      <c r="D1695" t="s">
        <v>486</v>
      </c>
      <c r="E1695">
        <v>10</v>
      </c>
      <c r="F1695" t="s">
        <v>45</v>
      </c>
      <c r="G1695" t="s">
        <v>470</v>
      </c>
      <c r="H1695" t="s">
        <v>384</v>
      </c>
      <c r="L1695" t="s">
        <v>81</v>
      </c>
      <c r="M1695">
        <v>2.0344068761914968E-3</v>
      </c>
      <c r="N1695" t="s">
        <v>54</v>
      </c>
      <c r="O1695" t="s">
        <v>53</v>
      </c>
      <c r="P1695" t="s">
        <v>53</v>
      </c>
      <c r="Q1695" t="s">
        <v>53</v>
      </c>
      <c r="R1695" t="s">
        <v>53</v>
      </c>
      <c r="S1695" t="s">
        <v>471</v>
      </c>
      <c r="T1695" t="s">
        <v>8397</v>
      </c>
      <c r="U1695" t="s">
        <v>53</v>
      </c>
      <c r="V1695" t="s">
        <v>51</v>
      </c>
      <c r="W1695">
        <v>250000</v>
      </c>
      <c r="X1695" t="s">
        <v>53</v>
      </c>
      <c r="AA1695">
        <v>0</v>
      </c>
      <c r="AB1695">
        <v>0</v>
      </c>
      <c r="AC1695">
        <v>0</v>
      </c>
      <c r="AD1695">
        <v>0</v>
      </c>
      <c r="AE1695">
        <v>0</v>
      </c>
      <c r="AF1695">
        <v>0</v>
      </c>
      <c r="AG1695">
        <v>0</v>
      </c>
      <c r="AH1695">
        <v>0</v>
      </c>
      <c r="AJ1695">
        <v>0</v>
      </c>
      <c r="AK1695" t="s">
        <v>53</v>
      </c>
      <c r="AL1695" t="s">
        <v>54</v>
      </c>
      <c r="AQ1695" t="s">
        <v>53</v>
      </c>
      <c r="AT1695" t="s">
        <v>472</v>
      </c>
      <c r="AW1695" t="s">
        <v>54</v>
      </c>
      <c r="AZ1695" t="s">
        <v>54</v>
      </c>
      <c r="BA1695" t="s">
        <v>55</v>
      </c>
    </row>
    <row r="1696" spans="1:53" x14ac:dyDescent="0.25">
      <c r="A1696">
        <v>1691</v>
      </c>
      <c r="B1696" t="s">
        <v>392</v>
      </c>
      <c r="C1696" t="s">
        <v>393</v>
      </c>
      <c r="D1696" t="s">
        <v>393</v>
      </c>
      <c r="E1696">
        <v>10</v>
      </c>
      <c r="F1696" t="s">
        <v>45</v>
      </c>
      <c r="G1696" t="s">
        <v>366</v>
      </c>
      <c r="H1696" t="s">
        <v>374</v>
      </c>
      <c r="L1696" t="s">
        <v>81</v>
      </c>
      <c r="M1696">
        <v>5.7758094044402242E-4</v>
      </c>
      <c r="N1696" t="s">
        <v>53</v>
      </c>
      <c r="O1696" t="s">
        <v>53</v>
      </c>
      <c r="P1696" t="s">
        <v>54</v>
      </c>
      <c r="Q1696" t="s">
        <v>53</v>
      </c>
      <c r="R1696" t="s">
        <v>53</v>
      </c>
      <c r="S1696" t="s">
        <v>375</v>
      </c>
      <c r="T1696" t="s">
        <v>402</v>
      </c>
      <c r="U1696" t="s">
        <v>53</v>
      </c>
      <c r="V1696" t="s">
        <v>51</v>
      </c>
      <c r="W1696">
        <v>100000</v>
      </c>
      <c r="X1696" t="s">
        <v>53</v>
      </c>
      <c r="AA1696">
        <v>0</v>
      </c>
      <c r="AB1696">
        <v>0</v>
      </c>
      <c r="AC1696">
        <v>0</v>
      </c>
      <c r="AD1696">
        <v>0</v>
      </c>
      <c r="AE1696">
        <v>0</v>
      </c>
      <c r="AF1696">
        <v>0</v>
      </c>
      <c r="AG1696">
        <v>0</v>
      </c>
      <c r="AH1696">
        <v>0</v>
      </c>
      <c r="AJ1696">
        <v>0</v>
      </c>
      <c r="AK1696" t="s">
        <v>54</v>
      </c>
      <c r="AL1696" t="s">
        <v>54</v>
      </c>
      <c r="AQ1696" t="s">
        <v>54</v>
      </c>
      <c r="AT1696" t="s">
        <v>369</v>
      </c>
      <c r="AW1696" t="s">
        <v>53</v>
      </c>
      <c r="AZ1696" t="s">
        <v>54</v>
      </c>
      <c r="BA1696" t="s">
        <v>55</v>
      </c>
    </row>
    <row r="1697" spans="1:53" x14ac:dyDescent="0.25">
      <c r="A1697">
        <v>1692</v>
      </c>
      <c r="B1697" t="s">
        <v>139</v>
      </c>
      <c r="C1697" t="s">
        <v>704</v>
      </c>
      <c r="D1697" t="s">
        <v>140</v>
      </c>
      <c r="E1697">
        <v>10</v>
      </c>
      <c r="F1697" t="s">
        <v>45</v>
      </c>
      <c r="G1697" t="s">
        <v>49</v>
      </c>
      <c r="H1697" t="s">
        <v>50</v>
      </c>
      <c r="L1697" t="s">
        <v>59</v>
      </c>
      <c r="M1697">
        <v>0.66818517446517944</v>
      </c>
      <c r="N1697" t="s">
        <v>54</v>
      </c>
      <c r="O1697" t="s">
        <v>53</v>
      </c>
      <c r="P1697" t="s">
        <v>53</v>
      </c>
      <c r="Q1697" t="s">
        <v>53</v>
      </c>
      <c r="R1697" t="s">
        <v>53</v>
      </c>
      <c r="S1697" t="s">
        <v>60</v>
      </c>
      <c r="T1697" t="s">
        <v>8376</v>
      </c>
      <c r="U1697" t="s">
        <v>53</v>
      </c>
      <c r="V1697" t="s">
        <v>51</v>
      </c>
      <c r="W1697">
        <v>100000</v>
      </c>
      <c r="X1697" t="s">
        <v>53</v>
      </c>
      <c r="AA1697">
        <v>0</v>
      </c>
      <c r="AB1697">
        <v>0</v>
      </c>
      <c r="AC1697">
        <v>0</v>
      </c>
      <c r="AD1697">
        <v>0</v>
      </c>
      <c r="AE1697">
        <v>0</v>
      </c>
      <c r="AF1697">
        <v>0</v>
      </c>
      <c r="AG1697">
        <v>0</v>
      </c>
      <c r="AH1697">
        <v>1.92900076508522E-2</v>
      </c>
      <c r="AJ1697">
        <v>6.0833673477172852</v>
      </c>
      <c r="AK1697" t="s">
        <v>54</v>
      </c>
      <c r="AL1697" t="s">
        <v>54</v>
      </c>
      <c r="AQ1697" t="s">
        <v>54</v>
      </c>
      <c r="AT1697" t="s">
        <v>141</v>
      </c>
      <c r="AW1697" t="s">
        <v>53</v>
      </c>
      <c r="AZ1697" t="s">
        <v>54</v>
      </c>
      <c r="BA1697" t="s">
        <v>55</v>
      </c>
    </row>
    <row r="1698" spans="1:53" x14ac:dyDescent="0.25">
      <c r="A1698">
        <v>1693</v>
      </c>
      <c r="B1698" t="s">
        <v>175</v>
      </c>
      <c r="C1698" t="s">
        <v>176</v>
      </c>
      <c r="D1698" t="s">
        <v>177</v>
      </c>
      <c r="E1698">
        <v>10</v>
      </c>
      <c r="F1698" t="s">
        <v>45</v>
      </c>
      <c r="G1698" t="s">
        <v>169</v>
      </c>
      <c r="H1698" t="s">
        <v>178</v>
      </c>
      <c r="L1698" t="s">
        <v>59</v>
      </c>
      <c r="M1698">
        <v>34.203426361083977</v>
      </c>
      <c r="N1698" t="s">
        <v>54</v>
      </c>
      <c r="O1698" t="s">
        <v>54</v>
      </c>
      <c r="P1698" t="s">
        <v>53</v>
      </c>
      <c r="Q1698" t="s">
        <v>53</v>
      </c>
      <c r="R1698" t="s">
        <v>53</v>
      </c>
      <c r="S1698" t="s">
        <v>179</v>
      </c>
      <c r="T1698" t="s">
        <v>8422</v>
      </c>
      <c r="U1698" t="s">
        <v>53</v>
      </c>
      <c r="V1698" t="s">
        <v>51</v>
      </c>
      <c r="W1698">
        <v>100000</v>
      </c>
      <c r="X1698" t="s">
        <v>53</v>
      </c>
      <c r="AA1698">
        <v>999</v>
      </c>
      <c r="AB1698">
        <v>797</v>
      </c>
      <c r="AC1698">
        <v>1267</v>
      </c>
      <c r="AD1698">
        <v>1420</v>
      </c>
      <c r="AE1698">
        <v>1420</v>
      </c>
      <c r="AF1698">
        <v>3</v>
      </c>
      <c r="AG1698">
        <v>0</v>
      </c>
      <c r="AH1698">
        <v>23.102596282958981</v>
      </c>
      <c r="AJ1698">
        <v>2546.681640625</v>
      </c>
      <c r="AK1698" t="s">
        <v>54</v>
      </c>
      <c r="AL1698" t="s">
        <v>54</v>
      </c>
      <c r="AQ1698" t="s">
        <v>53</v>
      </c>
      <c r="AT1698" t="s">
        <v>172</v>
      </c>
      <c r="AW1698" t="s">
        <v>54</v>
      </c>
      <c r="AZ1698" t="s">
        <v>54</v>
      </c>
      <c r="BA1698" t="s">
        <v>55</v>
      </c>
    </row>
    <row r="1699" spans="1:53" x14ac:dyDescent="0.25">
      <c r="A1699">
        <v>1694</v>
      </c>
      <c r="B1699" t="s">
        <v>194</v>
      </c>
      <c r="C1699" t="s">
        <v>195</v>
      </c>
      <c r="D1699" t="s">
        <v>196</v>
      </c>
      <c r="E1699">
        <v>10</v>
      </c>
      <c r="F1699" t="s">
        <v>45</v>
      </c>
      <c r="G1699" t="s">
        <v>183</v>
      </c>
      <c r="H1699" t="s">
        <v>184</v>
      </c>
      <c r="L1699" t="s">
        <v>197</v>
      </c>
      <c r="M1699">
        <v>5.5101269390434027E-4</v>
      </c>
      <c r="N1699" t="s">
        <v>54</v>
      </c>
      <c r="O1699" t="s">
        <v>53</v>
      </c>
      <c r="P1699" t="s">
        <v>53</v>
      </c>
      <c r="Q1699" t="s">
        <v>53</v>
      </c>
      <c r="R1699" t="s">
        <v>53</v>
      </c>
      <c r="S1699" t="s">
        <v>198</v>
      </c>
      <c r="T1699" t="s">
        <v>8423</v>
      </c>
      <c r="U1699" t="s">
        <v>53</v>
      </c>
      <c r="V1699" t="s">
        <v>51</v>
      </c>
      <c r="W1699">
        <v>100000</v>
      </c>
      <c r="X1699" t="s">
        <v>53</v>
      </c>
      <c r="AA1699">
        <v>0</v>
      </c>
      <c r="AB1699">
        <v>0</v>
      </c>
      <c r="AC1699">
        <v>0</v>
      </c>
      <c r="AD1699">
        <v>0</v>
      </c>
      <c r="AE1699">
        <v>0</v>
      </c>
      <c r="AF1699">
        <v>0</v>
      </c>
      <c r="AG1699">
        <v>0</v>
      </c>
      <c r="AH1699">
        <v>4.5890498906373978E-2</v>
      </c>
      <c r="AJ1699">
        <v>0.10874143242836</v>
      </c>
      <c r="AK1699" t="s">
        <v>54</v>
      </c>
      <c r="AL1699" t="s">
        <v>54</v>
      </c>
      <c r="AQ1699" t="s">
        <v>54</v>
      </c>
      <c r="AT1699" t="s">
        <v>199</v>
      </c>
      <c r="AW1699" t="s">
        <v>54</v>
      </c>
      <c r="AZ1699" t="s">
        <v>54</v>
      </c>
      <c r="BA1699" t="s">
        <v>55</v>
      </c>
    </row>
    <row r="1700" spans="1:53" x14ac:dyDescent="0.25">
      <c r="A1700">
        <v>1695</v>
      </c>
      <c r="B1700" t="s">
        <v>219</v>
      </c>
      <c r="C1700" t="s">
        <v>220</v>
      </c>
      <c r="D1700" t="s">
        <v>220</v>
      </c>
      <c r="E1700">
        <v>10</v>
      </c>
      <c r="F1700" t="s">
        <v>45</v>
      </c>
      <c r="G1700" t="s">
        <v>205</v>
      </c>
      <c r="H1700" t="s">
        <v>221</v>
      </c>
      <c r="L1700" t="s">
        <v>123</v>
      </c>
      <c r="M1700">
        <v>10.79028224945068</v>
      </c>
      <c r="N1700" t="s">
        <v>54</v>
      </c>
      <c r="O1700" t="s">
        <v>53</v>
      </c>
      <c r="P1700" t="s">
        <v>53</v>
      </c>
      <c r="Q1700" t="s">
        <v>53</v>
      </c>
      <c r="R1700" t="s">
        <v>53</v>
      </c>
      <c r="S1700" t="s">
        <v>214</v>
      </c>
      <c r="T1700" t="s">
        <v>8424</v>
      </c>
      <c r="U1700" t="s">
        <v>53</v>
      </c>
      <c r="V1700" t="s">
        <v>162</v>
      </c>
      <c r="W1700">
        <v>50000</v>
      </c>
      <c r="X1700" t="s">
        <v>53</v>
      </c>
      <c r="AA1700">
        <v>187</v>
      </c>
      <c r="AB1700">
        <v>127</v>
      </c>
      <c r="AC1700">
        <v>514</v>
      </c>
      <c r="AD1700">
        <v>512</v>
      </c>
      <c r="AE1700">
        <v>514</v>
      </c>
      <c r="AF1700">
        <v>0</v>
      </c>
      <c r="AG1700">
        <v>8</v>
      </c>
      <c r="AH1700">
        <v>4.1813511848449707</v>
      </c>
      <c r="AJ1700">
        <v>589.1605224609375</v>
      </c>
      <c r="AK1700" t="s">
        <v>54</v>
      </c>
      <c r="AL1700" t="s">
        <v>54</v>
      </c>
      <c r="AQ1700" t="s">
        <v>54</v>
      </c>
      <c r="AT1700" t="s">
        <v>207</v>
      </c>
      <c r="AW1700" t="s">
        <v>54</v>
      </c>
      <c r="AZ1700" t="s">
        <v>54</v>
      </c>
      <c r="BA1700" t="s">
        <v>55</v>
      </c>
    </row>
    <row r="1701" spans="1:53" x14ac:dyDescent="0.25">
      <c r="A1701">
        <v>1696</v>
      </c>
      <c r="B1701" t="s">
        <v>361</v>
      </c>
      <c r="C1701" t="s">
        <v>362</v>
      </c>
      <c r="D1701" t="s">
        <v>705</v>
      </c>
      <c r="E1701">
        <v>10</v>
      </c>
      <c r="F1701" t="s">
        <v>45</v>
      </c>
      <c r="G1701" t="s">
        <v>348</v>
      </c>
      <c r="H1701" t="s">
        <v>211</v>
      </c>
      <c r="L1701" t="s">
        <v>48</v>
      </c>
      <c r="M1701">
        <v>4.4227328300476074</v>
      </c>
      <c r="N1701" t="s">
        <v>54</v>
      </c>
      <c r="O1701" t="s">
        <v>53</v>
      </c>
      <c r="P1701" t="s">
        <v>53</v>
      </c>
      <c r="Q1701" t="s">
        <v>53</v>
      </c>
      <c r="R1701" t="s">
        <v>53</v>
      </c>
      <c r="S1701" t="s">
        <v>363</v>
      </c>
      <c r="T1701" t="s">
        <v>8425</v>
      </c>
      <c r="U1701" t="s">
        <v>53</v>
      </c>
      <c r="V1701" t="s">
        <v>51</v>
      </c>
      <c r="W1701">
        <v>100000</v>
      </c>
      <c r="X1701" t="s">
        <v>53</v>
      </c>
      <c r="AA1701">
        <v>16</v>
      </c>
      <c r="AB1701">
        <v>13</v>
      </c>
      <c r="AC1701">
        <v>14</v>
      </c>
      <c r="AD1701">
        <v>17</v>
      </c>
      <c r="AE1701">
        <v>17</v>
      </c>
      <c r="AF1701">
        <v>0</v>
      </c>
      <c r="AG1701">
        <v>2</v>
      </c>
      <c r="AH1701">
        <v>0.37819370627403259</v>
      </c>
      <c r="AJ1701">
        <v>195.1989440917969</v>
      </c>
      <c r="AK1701" t="s">
        <v>54</v>
      </c>
      <c r="AL1701" t="s">
        <v>54</v>
      </c>
      <c r="AQ1701" t="s">
        <v>54</v>
      </c>
      <c r="AT1701" t="s">
        <v>203</v>
      </c>
      <c r="AW1701" t="s">
        <v>53</v>
      </c>
      <c r="AZ1701" t="s">
        <v>54</v>
      </c>
      <c r="BA1701" t="s">
        <v>55</v>
      </c>
    </row>
    <row r="1702" spans="1:53" x14ac:dyDescent="0.25">
      <c r="A1702">
        <v>1697</v>
      </c>
      <c r="B1702" t="s">
        <v>142</v>
      </c>
      <c r="C1702" t="s">
        <v>143</v>
      </c>
      <c r="D1702" t="s">
        <v>144</v>
      </c>
      <c r="E1702">
        <v>10</v>
      </c>
      <c r="F1702" t="s">
        <v>45</v>
      </c>
      <c r="G1702" t="s">
        <v>49</v>
      </c>
      <c r="H1702" t="s">
        <v>50</v>
      </c>
      <c r="L1702" t="s">
        <v>48</v>
      </c>
      <c r="M1702">
        <v>2.0935053825378418</v>
      </c>
      <c r="N1702" t="s">
        <v>54</v>
      </c>
      <c r="O1702" t="s">
        <v>53</v>
      </c>
      <c r="P1702" t="s">
        <v>53</v>
      </c>
      <c r="Q1702" t="s">
        <v>53</v>
      </c>
      <c r="R1702" t="s">
        <v>53</v>
      </c>
      <c r="S1702" t="s">
        <v>145</v>
      </c>
      <c r="T1702" t="s">
        <v>8426</v>
      </c>
      <c r="U1702" t="s">
        <v>53</v>
      </c>
      <c r="V1702" t="s">
        <v>51</v>
      </c>
      <c r="W1702">
        <v>100000</v>
      </c>
      <c r="X1702" t="s">
        <v>53</v>
      </c>
      <c r="AA1702">
        <v>14</v>
      </c>
      <c r="AB1702">
        <v>14</v>
      </c>
      <c r="AC1702">
        <v>17</v>
      </c>
      <c r="AD1702">
        <v>50</v>
      </c>
      <c r="AE1702">
        <v>50</v>
      </c>
      <c r="AF1702">
        <v>0</v>
      </c>
      <c r="AG1702">
        <v>0</v>
      </c>
      <c r="AH1702">
        <v>0.18110325932502749</v>
      </c>
      <c r="AJ1702">
        <v>111.6944274902344</v>
      </c>
      <c r="AK1702" t="s">
        <v>54</v>
      </c>
      <c r="AL1702" t="s">
        <v>54</v>
      </c>
      <c r="AQ1702" t="s">
        <v>54</v>
      </c>
      <c r="AT1702" t="s">
        <v>146</v>
      </c>
      <c r="AW1702" t="s">
        <v>53</v>
      </c>
      <c r="AZ1702" t="s">
        <v>54</v>
      </c>
      <c r="BA1702" t="s">
        <v>55</v>
      </c>
    </row>
    <row r="1703" spans="1:53" x14ac:dyDescent="0.25">
      <c r="A1703">
        <v>1698</v>
      </c>
      <c r="B1703" t="s">
        <v>147</v>
      </c>
      <c r="C1703" t="s">
        <v>148</v>
      </c>
      <c r="D1703" t="s">
        <v>148</v>
      </c>
      <c r="E1703">
        <v>10</v>
      </c>
      <c r="F1703" t="s">
        <v>45</v>
      </c>
      <c r="G1703" t="s">
        <v>49</v>
      </c>
      <c r="H1703" t="s">
        <v>50</v>
      </c>
      <c r="L1703" t="s">
        <v>48</v>
      </c>
      <c r="M1703">
        <v>0.16668787598609919</v>
      </c>
      <c r="N1703" t="s">
        <v>54</v>
      </c>
      <c r="O1703" t="s">
        <v>53</v>
      </c>
      <c r="P1703" t="s">
        <v>53</v>
      </c>
      <c r="Q1703" t="s">
        <v>53</v>
      </c>
      <c r="R1703" t="s">
        <v>53</v>
      </c>
      <c r="S1703" t="s">
        <v>145</v>
      </c>
      <c r="T1703" t="s">
        <v>8426</v>
      </c>
      <c r="U1703" t="s">
        <v>53</v>
      </c>
      <c r="V1703" t="s">
        <v>51</v>
      </c>
      <c r="W1703">
        <v>150000</v>
      </c>
      <c r="X1703" t="s">
        <v>53</v>
      </c>
      <c r="AA1703">
        <v>0</v>
      </c>
      <c r="AB1703">
        <v>0</v>
      </c>
      <c r="AC1703">
        <v>0</v>
      </c>
      <c r="AD1703">
        <v>0</v>
      </c>
      <c r="AE1703">
        <v>0</v>
      </c>
      <c r="AF1703">
        <v>0</v>
      </c>
      <c r="AG1703">
        <v>0</v>
      </c>
      <c r="AH1703">
        <v>0</v>
      </c>
      <c r="AJ1703">
        <v>0</v>
      </c>
      <c r="AK1703" t="s">
        <v>54</v>
      </c>
      <c r="AL1703" t="s">
        <v>54</v>
      </c>
      <c r="AQ1703" t="s">
        <v>54</v>
      </c>
      <c r="AT1703" t="s">
        <v>146</v>
      </c>
      <c r="AW1703" t="s">
        <v>53</v>
      </c>
      <c r="AZ1703" t="s">
        <v>54</v>
      </c>
      <c r="BA1703" t="s">
        <v>55</v>
      </c>
    </row>
    <row r="1704" spans="1:53" x14ac:dyDescent="0.25">
      <c r="A1704">
        <v>1699</v>
      </c>
      <c r="B1704" t="s">
        <v>530</v>
      </c>
      <c r="C1704" t="s">
        <v>531</v>
      </c>
      <c r="D1704" t="s">
        <v>532</v>
      </c>
      <c r="E1704">
        <v>10</v>
      </c>
      <c r="F1704" t="s">
        <v>45</v>
      </c>
      <c r="G1704" t="s">
        <v>504</v>
      </c>
      <c r="H1704" t="s">
        <v>533</v>
      </c>
      <c r="L1704" t="s">
        <v>202</v>
      </c>
      <c r="M1704">
        <v>279.32894897460938</v>
      </c>
      <c r="N1704" t="s">
        <v>54</v>
      </c>
      <c r="O1704" t="s">
        <v>53</v>
      </c>
      <c r="P1704" t="s">
        <v>53</v>
      </c>
      <c r="Q1704" t="s">
        <v>53</v>
      </c>
      <c r="R1704" t="s">
        <v>53</v>
      </c>
      <c r="S1704" t="s">
        <v>534</v>
      </c>
      <c r="T1704" t="s">
        <v>8426</v>
      </c>
      <c r="U1704" t="s">
        <v>53</v>
      </c>
      <c r="V1704" t="s">
        <v>138</v>
      </c>
      <c r="W1704">
        <v>12600000</v>
      </c>
      <c r="X1704" t="s">
        <v>53</v>
      </c>
      <c r="AA1704">
        <v>5694</v>
      </c>
      <c r="AB1704">
        <v>4028</v>
      </c>
      <c r="AC1704">
        <v>45817</v>
      </c>
      <c r="AD1704">
        <v>23836</v>
      </c>
      <c r="AE1704">
        <v>45817</v>
      </c>
      <c r="AF1704">
        <v>10</v>
      </c>
      <c r="AG1704">
        <v>128</v>
      </c>
      <c r="AH1704">
        <v>111.7577438354492</v>
      </c>
      <c r="AJ1704">
        <v>7305.66357421875</v>
      </c>
      <c r="AK1704" t="s">
        <v>54</v>
      </c>
      <c r="AL1704" t="s">
        <v>54</v>
      </c>
      <c r="AQ1704" t="s">
        <v>54</v>
      </c>
      <c r="AT1704" t="s">
        <v>203</v>
      </c>
      <c r="AW1704" t="s">
        <v>8390</v>
      </c>
      <c r="AZ1704" t="s">
        <v>54</v>
      </c>
      <c r="BA1704" t="s">
        <v>55</v>
      </c>
    </row>
    <row r="1705" spans="1:53" x14ac:dyDescent="0.25">
      <c r="A1705">
        <v>1700</v>
      </c>
      <c r="B1705" t="s">
        <v>222</v>
      </c>
      <c r="C1705" t="s">
        <v>223</v>
      </c>
      <c r="D1705" t="s">
        <v>706</v>
      </c>
      <c r="E1705">
        <v>10</v>
      </c>
      <c r="F1705" t="s">
        <v>45</v>
      </c>
      <c r="G1705" t="s">
        <v>205</v>
      </c>
      <c r="H1705" t="s">
        <v>211</v>
      </c>
      <c r="L1705" t="s">
        <v>202</v>
      </c>
      <c r="M1705">
        <v>5.7707615196704858E-2</v>
      </c>
      <c r="N1705" t="s">
        <v>54</v>
      </c>
      <c r="O1705" t="s">
        <v>53</v>
      </c>
      <c r="P1705" t="s">
        <v>53</v>
      </c>
      <c r="Q1705" t="s">
        <v>53</v>
      </c>
      <c r="R1705" t="s">
        <v>53</v>
      </c>
      <c r="S1705" t="s">
        <v>214</v>
      </c>
      <c r="T1705" t="s">
        <v>8427</v>
      </c>
      <c r="U1705" t="s">
        <v>53</v>
      </c>
      <c r="V1705" t="s">
        <v>51</v>
      </c>
      <c r="W1705">
        <v>150000</v>
      </c>
      <c r="X1705" t="s">
        <v>53</v>
      </c>
      <c r="AA1705">
        <v>3</v>
      </c>
      <c r="AB1705">
        <v>0</v>
      </c>
      <c r="AC1705">
        <v>3</v>
      </c>
      <c r="AD1705">
        <v>0</v>
      </c>
      <c r="AE1705">
        <v>3</v>
      </c>
      <c r="AF1705">
        <v>0</v>
      </c>
      <c r="AG1705">
        <v>0</v>
      </c>
      <c r="AH1705">
        <v>0.15353548526763919</v>
      </c>
      <c r="AJ1705">
        <v>11.988968849182131</v>
      </c>
      <c r="AK1705" t="s">
        <v>54</v>
      </c>
      <c r="AL1705" t="s">
        <v>54</v>
      </c>
      <c r="AQ1705" t="s">
        <v>54</v>
      </c>
      <c r="AT1705" t="s">
        <v>203</v>
      </c>
      <c r="AW1705" t="s">
        <v>54</v>
      </c>
      <c r="AZ1705" t="s">
        <v>54</v>
      </c>
      <c r="BA1705" t="s">
        <v>55</v>
      </c>
    </row>
    <row r="1706" spans="1:53" x14ac:dyDescent="0.25">
      <c r="A1706">
        <v>1701</v>
      </c>
      <c r="B1706" t="s">
        <v>200</v>
      </c>
      <c r="C1706" t="s">
        <v>201</v>
      </c>
      <c r="D1706" t="s">
        <v>707</v>
      </c>
      <c r="E1706">
        <v>10</v>
      </c>
      <c r="F1706" t="s">
        <v>45</v>
      </c>
      <c r="G1706" t="s">
        <v>183</v>
      </c>
      <c r="H1706" t="s">
        <v>184</v>
      </c>
      <c r="L1706" t="s">
        <v>202</v>
      </c>
      <c r="M1706">
        <v>10.497026443481451</v>
      </c>
      <c r="N1706" t="s">
        <v>54</v>
      </c>
      <c r="O1706" t="s">
        <v>53</v>
      </c>
      <c r="P1706" t="s">
        <v>53</v>
      </c>
      <c r="Q1706" t="s">
        <v>53</v>
      </c>
      <c r="R1706" t="s">
        <v>53</v>
      </c>
      <c r="S1706" t="s">
        <v>185</v>
      </c>
      <c r="T1706" t="s">
        <v>8428</v>
      </c>
      <c r="U1706" t="s">
        <v>53</v>
      </c>
      <c r="V1706" t="s">
        <v>138</v>
      </c>
      <c r="W1706">
        <v>150000</v>
      </c>
      <c r="X1706" t="s">
        <v>53</v>
      </c>
      <c r="AA1706">
        <v>54</v>
      </c>
      <c r="AB1706">
        <v>34</v>
      </c>
      <c r="AC1706">
        <v>44</v>
      </c>
      <c r="AD1706">
        <v>74</v>
      </c>
      <c r="AE1706">
        <v>74</v>
      </c>
      <c r="AF1706">
        <v>0</v>
      </c>
      <c r="AG1706">
        <v>0</v>
      </c>
      <c r="AH1706">
        <v>2.211657047271729</v>
      </c>
      <c r="AJ1706">
        <v>760.2451171875</v>
      </c>
      <c r="AK1706" t="s">
        <v>54</v>
      </c>
      <c r="AL1706" t="s">
        <v>54</v>
      </c>
      <c r="AQ1706" t="s">
        <v>54</v>
      </c>
      <c r="AT1706" t="s">
        <v>203</v>
      </c>
      <c r="AW1706" t="s">
        <v>54</v>
      </c>
      <c r="AZ1706" t="s">
        <v>54</v>
      </c>
      <c r="BA1706" t="s">
        <v>55</v>
      </c>
    </row>
    <row r="1707" spans="1:53" x14ac:dyDescent="0.25">
      <c r="A1707">
        <v>1702</v>
      </c>
      <c r="B1707" t="s">
        <v>224</v>
      </c>
      <c r="C1707" t="s">
        <v>225</v>
      </c>
      <c r="D1707" t="s">
        <v>708</v>
      </c>
      <c r="E1707">
        <v>10</v>
      </c>
      <c r="F1707" t="s">
        <v>45</v>
      </c>
      <c r="G1707" t="s">
        <v>205</v>
      </c>
      <c r="H1707" t="s">
        <v>211</v>
      </c>
      <c r="L1707" t="s">
        <v>202</v>
      </c>
      <c r="M1707">
        <v>8.4681424777954817E-4</v>
      </c>
      <c r="N1707" t="s">
        <v>53</v>
      </c>
      <c r="O1707" t="s">
        <v>53</v>
      </c>
      <c r="P1707" t="s">
        <v>54</v>
      </c>
      <c r="Q1707" t="s">
        <v>53</v>
      </c>
      <c r="R1707" t="s">
        <v>53</v>
      </c>
      <c r="S1707" t="s">
        <v>214</v>
      </c>
      <c r="T1707" t="s">
        <v>8427</v>
      </c>
      <c r="U1707" t="s">
        <v>53</v>
      </c>
      <c r="V1707" t="s">
        <v>51</v>
      </c>
      <c r="W1707">
        <v>100000</v>
      </c>
      <c r="X1707" t="s">
        <v>53</v>
      </c>
      <c r="AA1707">
        <v>0</v>
      </c>
      <c r="AB1707">
        <v>0</v>
      </c>
      <c r="AC1707">
        <v>0</v>
      </c>
      <c r="AD1707">
        <v>0</v>
      </c>
      <c r="AE1707">
        <v>0</v>
      </c>
      <c r="AF1707">
        <v>0</v>
      </c>
      <c r="AG1707">
        <v>0</v>
      </c>
      <c r="AH1707">
        <v>0</v>
      </c>
      <c r="AJ1707">
        <v>0</v>
      </c>
      <c r="AK1707" t="s">
        <v>54</v>
      </c>
      <c r="AL1707" t="s">
        <v>54</v>
      </c>
      <c r="AQ1707" t="s">
        <v>54</v>
      </c>
      <c r="AT1707" t="s">
        <v>203</v>
      </c>
      <c r="AW1707" t="s">
        <v>53</v>
      </c>
      <c r="AZ1707" t="s">
        <v>54</v>
      </c>
      <c r="BA1707" t="s">
        <v>55</v>
      </c>
    </row>
    <row r="1708" spans="1:53" x14ac:dyDescent="0.25">
      <c r="A1708">
        <v>1703</v>
      </c>
      <c r="B1708" t="s">
        <v>576</v>
      </c>
      <c r="C1708" t="s">
        <v>577</v>
      </c>
      <c r="D1708" t="s">
        <v>578</v>
      </c>
      <c r="E1708">
        <v>10</v>
      </c>
      <c r="F1708" t="s">
        <v>45</v>
      </c>
      <c r="G1708" t="s">
        <v>566</v>
      </c>
      <c r="H1708" t="s">
        <v>277</v>
      </c>
      <c r="L1708" t="s">
        <v>202</v>
      </c>
      <c r="M1708">
        <v>3.77967381477356</v>
      </c>
      <c r="N1708" t="s">
        <v>54</v>
      </c>
      <c r="O1708" t="s">
        <v>53</v>
      </c>
      <c r="P1708" t="s">
        <v>53</v>
      </c>
      <c r="Q1708" t="s">
        <v>53</v>
      </c>
      <c r="R1708" t="s">
        <v>53</v>
      </c>
      <c r="S1708" t="s">
        <v>579</v>
      </c>
      <c r="T1708" t="s">
        <v>8429</v>
      </c>
      <c r="U1708" t="s">
        <v>53</v>
      </c>
      <c r="V1708" t="s">
        <v>138</v>
      </c>
      <c r="W1708">
        <v>250000</v>
      </c>
      <c r="X1708" t="s">
        <v>53</v>
      </c>
      <c r="AA1708">
        <v>158</v>
      </c>
      <c r="AB1708">
        <v>142</v>
      </c>
      <c r="AC1708">
        <v>223</v>
      </c>
      <c r="AD1708">
        <v>200</v>
      </c>
      <c r="AE1708">
        <v>223</v>
      </c>
      <c r="AF1708">
        <v>0</v>
      </c>
      <c r="AG1708">
        <v>0</v>
      </c>
      <c r="AH1708">
        <v>4.1435322761535636</v>
      </c>
      <c r="AJ1708">
        <v>253.20198059082031</v>
      </c>
      <c r="AK1708" t="s">
        <v>54</v>
      </c>
      <c r="AL1708" t="s">
        <v>54</v>
      </c>
      <c r="AQ1708" t="s">
        <v>54</v>
      </c>
      <c r="AT1708" t="s">
        <v>203</v>
      </c>
      <c r="AW1708" t="s">
        <v>54</v>
      </c>
      <c r="AZ1708" t="s">
        <v>54</v>
      </c>
      <c r="BA1708" t="s">
        <v>55</v>
      </c>
    </row>
    <row r="1709" spans="1:53" x14ac:dyDescent="0.25">
      <c r="A1709">
        <v>1704</v>
      </c>
      <c r="B1709" t="s">
        <v>535</v>
      </c>
      <c r="C1709" t="s">
        <v>536</v>
      </c>
      <c r="D1709" t="s">
        <v>537</v>
      </c>
      <c r="E1709">
        <v>10</v>
      </c>
      <c r="F1709" t="s">
        <v>45</v>
      </c>
      <c r="G1709" t="s">
        <v>504</v>
      </c>
      <c r="H1709" t="s">
        <v>206</v>
      </c>
      <c r="L1709" t="s">
        <v>202</v>
      </c>
      <c r="M1709">
        <v>53.065219879150391</v>
      </c>
      <c r="N1709" t="s">
        <v>54</v>
      </c>
      <c r="O1709" t="s">
        <v>53</v>
      </c>
      <c r="P1709" t="s">
        <v>53</v>
      </c>
      <c r="Q1709" t="s">
        <v>53</v>
      </c>
      <c r="R1709" t="s">
        <v>53</v>
      </c>
      <c r="S1709" t="s">
        <v>505</v>
      </c>
      <c r="T1709" t="s">
        <v>8430</v>
      </c>
      <c r="U1709" t="s">
        <v>53</v>
      </c>
      <c r="V1709" t="s">
        <v>51</v>
      </c>
      <c r="W1709">
        <v>100000</v>
      </c>
      <c r="X1709" t="s">
        <v>53</v>
      </c>
      <c r="AA1709">
        <v>297</v>
      </c>
      <c r="AB1709">
        <v>269</v>
      </c>
      <c r="AC1709">
        <v>397</v>
      </c>
      <c r="AD1709">
        <v>269</v>
      </c>
      <c r="AE1709">
        <v>397</v>
      </c>
      <c r="AF1709">
        <v>0</v>
      </c>
      <c r="AG1709">
        <v>7</v>
      </c>
      <c r="AH1709">
        <v>3.9056942462921138</v>
      </c>
      <c r="AJ1709">
        <v>1595.408935546875</v>
      </c>
      <c r="AK1709" t="s">
        <v>54</v>
      </c>
      <c r="AL1709" t="s">
        <v>54</v>
      </c>
      <c r="AQ1709" t="s">
        <v>54</v>
      </c>
      <c r="AT1709" t="s">
        <v>203</v>
      </c>
      <c r="AW1709" t="s">
        <v>54</v>
      </c>
      <c r="AZ1709" t="s">
        <v>54</v>
      </c>
      <c r="BA1709" t="s">
        <v>55</v>
      </c>
    </row>
    <row r="1710" spans="1:53" x14ac:dyDescent="0.25">
      <c r="A1710">
        <v>1705</v>
      </c>
      <c r="B1710" t="s">
        <v>538</v>
      </c>
      <c r="C1710" t="s">
        <v>539</v>
      </c>
      <c r="D1710" t="s">
        <v>540</v>
      </c>
      <c r="E1710">
        <v>10</v>
      </c>
      <c r="F1710" t="s">
        <v>45</v>
      </c>
      <c r="G1710" t="s">
        <v>504</v>
      </c>
      <c r="H1710" t="s">
        <v>211</v>
      </c>
      <c r="L1710" t="s">
        <v>59</v>
      </c>
      <c r="M1710">
        <v>2.8209512233734131</v>
      </c>
      <c r="N1710" t="s">
        <v>54</v>
      </c>
      <c r="O1710" t="s">
        <v>53</v>
      </c>
      <c r="P1710" t="s">
        <v>53</v>
      </c>
      <c r="Q1710" t="s">
        <v>53</v>
      </c>
      <c r="R1710" t="s">
        <v>53</v>
      </c>
      <c r="S1710" t="s">
        <v>505</v>
      </c>
      <c r="T1710" t="s">
        <v>8431</v>
      </c>
      <c r="U1710" t="s">
        <v>53</v>
      </c>
      <c r="V1710" t="s">
        <v>51</v>
      </c>
      <c r="W1710">
        <v>100000</v>
      </c>
      <c r="X1710" t="s">
        <v>53</v>
      </c>
      <c r="AA1710">
        <v>2</v>
      </c>
      <c r="AB1710">
        <v>1</v>
      </c>
      <c r="AC1710">
        <v>0</v>
      </c>
      <c r="AD1710">
        <v>1</v>
      </c>
      <c r="AE1710">
        <v>1</v>
      </c>
      <c r="AF1710">
        <v>0</v>
      </c>
      <c r="AG1710">
        <v>0</v>
      </c>
      <c r="AH1710">
        <v>0.14512637257575989</v>
      </c>
      <c r="AJ1710">
        <v>44.672351837158203</v>
      </c>
      <c r="AK1710" t="s">
        <v>54</v>
      </c>
      <c r="AL1710" t="s">
        <v>54</v>
      </c>
      <c r="AQ1710" t="s">
        <v>54</v>
      </c>
      <c r="AT1710" t="s">
        <v>203</v>
      </c>
      <c r="AW1710" t="s">
        <v>54</v>
      </c>
      <c r="AZ1710" t="s">
        <v>54</v>
      </c>
      <c r="BA1710" t="s">
        <v>55</v>
      </c>
    </row>
    <row r="1711" spans="1:53" x14ac:dyDescent="0.25">
      <c r="A1711">
        <v>1706</v>
      </c>
      <c r="B1711" t="s">
        <v>226</v>
      </c>
      <c r="C1711" t="s">
        <v>227</v>
      </c>
      <c r="D1711" t="s">
        <v>228</v>
      </c>
      <c r="E1711">
        <v>10</v>
      </c>
      <c r="F1711" t="s">
        <v>45</v>
      </c>
      <c r="G1711" t="s">
        <v>205</v>
      </c>
      <c r="H1711" t="s">
        <v>211</v>
      </c>
      <c r="L1711" t="s">
        <v>48</v>
      </c>
      <c r="M1711">
        <v>0.67390310764312744</v>
      </c>
      <c r="N1711" t="s">
        <v>54</v>
      </c>
      <c r="O1711" t="s">
        <v>53</v>
      </c>
      <c r="P1711" t="s">
        <v>53</v>
      </c>
      <c r="Q1711" t="s">
        <v>53</v>
      </c>
      <c r="R1711" t="s">
        <v>53</v>
      </c>
      <c r="S1711" t="s">
        <v>212</v>
      </c>
      <c r="T1711" t="s">
        <v>8381</v>
      </c>
      <c r="U1711" t="s">
        <v>53</v>
      </c>
      <c r="V1711" t="s">
        <v>51</v>
      </c>
      <c r="W1711">
        <v>150000</v>
      </c>
      <c r="X1711" t="s">
        <v>53</v>
      </c>
      <c r="AA1711">
        <v>0</v>
      </c>
      <c r="AB1711">
        <v>0</v>
      </c>
      <c r="AC1711">
        <v>0</v>
      </c>
      <c r="AD1711">
        <v>0</v>
      </c>
      <c r="AE1711">
        <v>0</v>
      </c>
      <c r="AF1711">
        <v>0</v>
      </c>
      <c r="AG1711">
        <v>0</v>
      </c>
      <c r="AH1711">
        <v>0.18301443755626681</v>
      </c>
      <c r="AJ1711">
        <v>23.202432632446289</v>
      </c>
      <c r="AK1711" t="s">
        <v>54</v>
      </c>
      <c r="AL1711" t="s">
        <v>54</v>
      </c>
      <c r="AQ1711" t="s">
        <v>53</v>
      </c>
      <c r="AT1711" t="s">
        <v>229</v>
      </c>
      <c r="AW1711" t="s">
        <v>54</v>
      </c>
      <c r="AZ1711" t="s">
        <v>54</v>
      </c>
      <c r="BA1711" t="s">
        <v>55</v>
      </c>
    </row>
    <row r="1712" spans="1:53" x14ac:dyDescent="0.25">
      <c r="A1712">
        <v>1707</v>
      </c>
      <c r="B1712" t="s">
        <v>230</v>
      </c>
      <c r="C1712" t="s">
        <v>231</v>
      </c>
      <c r="D1712" t="s">
        <v>232</v>
      </c>
      <c r="E1712">
        <v>10</v>
      </c>
      <c r="F1712" t="s">
        <v>45</v>
      </c>
      <c r="G1712" t="s">
        <v>205</v>
      </c>
      <c r="H1712" t="s">
        <v>233</v>
      </c>
      <c r="L1712" t="s">
        <v>48</v>
      </c>
      <c r="M1712">
        <v>40.196643829345703</v>
      </c>
      <c r="N1712" t="s">
        <v>54</v>
      </c>
      <c r="O1712" t="s">
        <v>53</v>
      </c>
      <c r="P1712" t="s">
        <v>53</v>
      </c>
      <c r="Q1712" t="s">
        <v>53</v>
      </c>
      <c r="R1712" t="s">
        <v>53</v>
      </c>
      <c r="S1712" t="s">
        <v>212</v>
      </c>
      <c r="T1712" t="s">
        <v>8432</v>
      </c>
      <c r="U1712" t="s">
        <v>53</v>
      </c>
      <c r="V1712" t="s">
        <v>51</v>
      </c>
      <c r="W1712">
        <v>100000</v>
      </c>
      <c r="X1712" t="s">
        <v>53</v>
      </c>
      <c r="AA1712">
        <v>405</v>
      </c>
      <c r="AB1712">
        <v>233</v>
      </c>
      <c r="AC1712">
        <v>2006</v>
      </c>
      <c r="AD1712">
        <v>404</v>
      </c>
      <c r="AE1712">
        <v>2006</v>
      </c>
      <c r="AF1712">
        <v>1</v>
      </c>
      <c r="AG1712">
        <v>29</v>
      </c>
      <c r="AH1712">
        <v>10.625643730163571</v>
      </c>
      <c r="AJ1712">
        <v>1984.24365234375</v>
      </c>
      <c r="AK1712" t="s">
        <v>54</v>
      </c>
      <c r="AL1712" t="s">
        <v>54</v>
      </c>
      <c r="AQ1712" t="s">
        <v>53</v>
      </c>
      <c r="AT1712" t="s">
        <v>234</v>
      </c>
      <c r="AW1712" t="s">
        <v>8390</v>
      </c>
      <c r="AZ1712" t="s">
        <v>54</v>
      </c>
      <c r="BA1712" t="s">
        <v>55</v>
      </c>
    </row>
    <row r="1713" spans="1:53" x14ac:dyDescent="0.25">
      <c r="A1713">
        <v>1708</v>
      </c>
      <c r="B1713" t="s">
        <v>235</v>
      </c>
      <c r="C1713" t="s">
        <v>236</v>
      </c>
      <c r="D1713" t="s">
        <v>237</v>
      </c>
      <c r="E1713">
        <v>10</v>
      </c>
      <c r="F1713" t="s">
        <v>45</v>
      </c>
      <c r="G1713" t="s">
        <v>205</v>
      </c>
      <c r="H1713" t="s">
        <v>211</v>
      </c>
      <c r="L1713" t="s">
        <v>48</v>
      </c>
      <c r="M1713">
        <v>5.6511354446411133</v>
      </c>
      <c r="N1713" t="s">
        <v>54</v>
      </c>
      <c r="O1713" t="s">
        <v>53</v>
      </c>
      <c r="P1713" t="s">
        <v>53</v>
      </c>
      <c r="Q1713" t="s">
        <v>53</v>
      </c>
      <c r="R1713" t="s">
        <v>53</v>
      </c>
      <c r="S1713" t="s">
        <v>212</v>
      </c>
      <c r="T1713" t="s">
        <v>8381</v>
      </c>
      <c r="U1713" t="s">
        <v>53</v>
      </c>
      <c r="V1713" t="s">
        <v>51</v>
      </c>
      <c r="W1713">
        <v>100000</v>
      </c>
      <c r="X1713" t="s">
        <v>53</v>
      </c>
      <c r="AA1713">
        <v>75</v>
      </c>
      <c r="AB1713">
        <v>3</v>
      </c>
      <c r="AC1713">
        <v>809</v>
      </c>
      <c r="AD1713">
        <v>12</v>
      </c>
      <c r="AE1713">
        <v>809</v>
      </c>
      <c r="AF1713">
        <v>0</v>
      </c>
      <c r="AG1713">
        <v>10</v>
      </c>
      <c r="AH1713">
        <v>1.427320599555969</v>
      </c>
      <c r="AJ1713">
        <v>170.98002624511719</v>
      </c>
      <c r="AK1713" t="s">
        <v>54</v>
      </c>
      <c r="AL1713" t="s">
        <v>54</v>
      </c>
      <c r="AQ1713" t="s">
        <v>53</v>
      </c>
      <c r="AT1713" t="s">
        <v>203</v>
      </c>
      <c r="AW1713" t="s">
        <v>8390</v>
      </c>
      <c r="AZ1713" t="s">
        <v>54</v>
      </c>
      <c r="BA1713" t="s">
        <v>55</v>
      </c>
    </row>
    <row r="1714" spans="1:53" x14ac:dyDescent="0.25">
      <c r="A1714">
        <v>1709</v>
      </c>
      <c r="B1714" t="s">
        <v>238</v>
      </c>
      <c r="C1714" t="s">
        <v>239</v>
      </c>
      <c r="D1714" t="s">
        <v>240</v>
      </c>
      <c r="E1714">
        <v>10</v>
      </c>
      <c r="F1714" t="s">
        <v>45</v>
      </c>
      <c r="G1714" t="s">
        <v>205</v>
      </c>
      <c r="H1714" t="s">
        <v>211</v>
      </c>
      <c r="L1714" t="s">
        <v>48</v>
      </c>
      <c r="M1714">
        <v>1.1994636058807371</v>
      </c>
      <c r="N1714" t="s">
        <v>54</v>
      </c>
      <c r="O1714" t="s">
        <v>53</v>
      </c>
      <c r="P1714" t="s">
        <v>53</v>
      </c>
      <c r="Q1714" t="s">
        <v>53</v>
      </c>
      <c r="R1714" t="s">
        <v>53</v>
      </c>
      <c r="S1714" t="s">
        <v>212</v>
      </c>
      <c r="T1714" t="s">
        <v>8381</v>
      </c>
      <c r="U1714" t="s">
        <v>53</v>
      </c>
      <c r="V1714" t="s">
        <v>51</v>
      </c>
      <c r="W1714">
        <v>150000</v>
      </c>
      <c r="X1714" t="s">
        <v>53</v>
      </c>
      <c r="AA1714">
        <v>5</v>
      </c>
      <c r="AB1714">
        <v>1</v>
      </c>
      <c r="AC1714">
        <v>16</v>
      </c>
      <c r="AD1714">
        <v>3</v>
      </c>
      <c r="AE1714">
        <v>16</v>
      </c>
      <c r="AF1714">
        <v>0</v>
      </c>
      <c r="AG1714">
        <v>1</v>
      </c>
      <c r="AH1714">
        <v>0.1215009614825249</v>
      </c>
      <c r="AJ1714">
        <v>23.44124794006348</v>
      </c>
      <c r="AK1714" t="s">
        <v>54</v>
      </c>
      <c r="AL1714" t="s">
        <v>54</v>
      </c>
      <c r="AQ1714" t="s">
        <v>53</v>
      </c>
      <c r="AT1714" t="s">
        <v>203</v>
      </c>
      <c r="AW1714" t="s">
        <v>8390</v>
      </c>
      <c r="AZ1714" t="s">
        <v>54</v>
      </c>
      <c r="BA1714" t="s">
        <v>55</v>
      </c>
    </row>
    <row r="1715" spans="1:53" x14ac:dyDescent="0.25">
      <c r="A1715">
        <v>1710</v>
      </c>
      <c r="B1715" t="s">
        <v>241</v>
      </c>
      <c r="C1715" t="s">
        <v>242</v>
      </c>
      <c r="D1715" t="s">
        <v>709</v>
      </c>
      <c r="E1715">
        <v>10</v>
      </c>
      <c r="F1715" t="s">
        <v>45</v>
      </c>
      <c r="G1715" t="s">
        <v>205</v>
      </c>
      <c r="H1715" t="s">
        <v>233</v>
      </c>
      <c r="L1715" t="s">
        <v>48</v>
      </c>
      <c r="M1715">
        <v>30.043037414550781</v>
      </c>
      <c r="N1715" t="s">
        <v>54</v>
      </c>
      <c r="O1715" t="s">
        <v>53</v>
      </c>
      <c r="P1715" t="s">
        <v>53</v>
      </c>
      <c r="Q1715" t="s">
        <v>53</v>
      </c>
      <c r="R1715" t="s">
        <v>53</v>
      </c>
      <c r="S1715" t="s">
        <v>212</v>
      </c>
      <c r="T1715" t="s">
        <v>8433</v>
      </c>
      <c r="U1715" t="s">
        <v>53</v>
      </c>
      <c r="V1715" t="s">
        <v>51</v>
      </c>
      <c r="W1715">
        <v>150000</v>
      </c>
      <c r="X1715" t="s">
        <v>53</v>
      </c>
      <c r="AA1715">
        <v>172</v>
      </c>
      <c r="AB1715">
        <v>120</v>
      </c>
      <c r="AC1715">
        <v>173</v>
      </c>
      <c r="AD1715">
        <v>147</v>
      </c>
      <c r="AE1715">
        <v>173</v>
      </c>
      <c r="AF1715">
        <v>0</v>
      </c>
      <c r="AG1715">
        <v>3</v>
      </c>
      <c r="AH1715">
        <v>4.1067562103271484</v>
      </c>
      <c r="AJ1715">
        <v>1647.464965820312</v>
      </c>
      <c r="AK1715" t="s">
        <v>54</v>
      </c>
      <c r="AL1715" t="s">
        <v>54</v>
      </c>
      <c r="AQ1715" t="s">
        <v>53</v>
      </c>
      <c r="AT1715" t="s">
        <v>229</v>
      </c>
      <c r="AW1715" t="s">
        <v>54</v>
      </c>
      <c r="AZ1715" t="s">
        <v>54</v>
      </c>
      <c r="BA1715" t="s">
        <v>55</v>
      </c>
    </row>
    <row r="1716" spans="1:53" x14ac:dyDescent="0.25">
      <c r="A1716">
        <v>1711</v>
      </c>
      <c r="B1716" t="s">
        <v>243</v>
      </c>
      <c r="C1716" t="s">
        <v>244</v>
      </c>
      <c r="D1716" t="s">
        <v>245</v>
      </c>
      <c r="E1716">
        <v>10</v>
      </c>
      <c r="F1716" t="s">
        <v>45</v>
      </c>
      <c r="G1716" t="s">
        <v>205</v>
      </c>
      <c r="H1716" t="s">
        <v>211</v>
      </c>
      <c r="L1716" t="s">
        <v>48</v>
      </c>
      <c r="M1716">
        <v>5.8009119033813477</v>
      </c>
      <c r="N1716" t="s">
        <v>54</v>
      </c>
      <c r="O1716" t="s">
        <v>53</v>
      </c>
      <c r="P1716" t="s">
        <v>53</v>
      </c>
      <c r="Q1716" t="s">
        <v>53</v>
      </c>
      <c r="R1716" t="s">
        <v>53</v>
      </c>
      <c r="S1716" t="s">
        <v>212</v>
      </c>
      <c r="T1716" t="s">
        <v>8381</v>
      </c>
      <c r="U1716" t="s">
        <v>53</v>
      </c>
      <c r="V1716" t="s">
        <v>51</v>
      </c>
      <c r="W1716">
        <v>100000</v>
      </c>
      <c r="X1716" t="s">
        <v>53</v>
      </c>
      <c r="AA1716">
        <v>80</v>
      </c>
      <c r="AB1716">
        <v>5</v>
      </c>
      <c r="AC1716">
        <v>821</v>
      </c>
      <c r="AD1716">
        <v>17</v>
      </c>
      <c r="AE1716">
        <v>821</v>
      </c>
      <c r="AF1716">
        <v>0</v>
      </c>
      <c r="AG1716">
        <v>14</v>
      </c>
      <c r="AH1716">
        <v>2.069035530090332</v>
      </c>
      <c r="AJ1716">
        <v>171.42329406738281</v>
      </c>
      <c r="AK1716" t="s">
        <v>54</v>
      </c>
      <c r="AL1716" t="s">
        <v>54</v>
      </c>
      <c r="AQ1716" t="s">
        <v>53</v>
      </c>
      <c r="AT1716" t="s">
        <v>229</v>
      </c>
      <c r="AW1716" t="s">
        <v>8390</v>
      </c>
      <c r="AZ1716" t="s">
        <v>54</v>
      </c>
      <c r="BA1716" t="s">
        <v>55</v>
      </c>
    </row>
    <row r="1717" spans="1:53" x14ac:dyDescent="0.25">
      <c r="A1717">
        <v>1712</v>
      </c>
      <c r="B1717" t="s">
        <v>246</v>
      </c>
      <c r="C1717" t="s">
        <v>247</v>
      </c>
      <c r="D1717" t="s">
        <v>710</v>
      </c>
      <c r="E1717">
        <v>10</v>
      </c>
      <c r="F1717" t="s">
        <v>45</v>
      </c>
      <c r="G1717" t="s">
        <v>205</v>
      </c>
      <c r="H1717" t="s">
        <v>211</v>
      </c>
      <c r="L1717" t="s">
        <v>202</v>
      </c>
      <c r="M1717">
        <v>7.1325302124023438</v>
      </c>
      <c r="N1717" t="s">
        <v>54</v>
      </c>
      <c r="O1717" t="s">
        <v>53</v>
      </c>
      <c r="P1717" t="s">
        <v>53</v>
      </c>
      <c r="Q1717" t="s">
        <v>53</v>
      </c>
      <c r="R1717" t="s">
        <v>53</v>
      </c>
      <c r="S1717" t="s">
        <v>212</v>
      </c>
      <c r="T1717" t="s">
        <v>8434</v>
      </c>
      <c r="U1717" t="s">
        <v>53</v>
      </c>
      <c r="V1717" t="s">
        <v>138</v>
      </c>
      <c r="W1717">
        <v>250000</v>
      </c>
      <c r="X1717" t="s">
        <v>53</v>
      </c>
      <c r="AA1717">
        <v>158</v>
      </c>
      <c r="AB1717">
        <v>157</v>
      </c>
      <c r="AC1717">
        <v>168</v>
      </c>
      <c r="AD1717">
        <v>322</v>
      </c>
      <c r="AE1717">
        <v>322</v>
      </c>
      <c r="AF1717">
        <v>0</v>
      </c>
      <c r="AG1717">
        <v>1</v>
      </c>
      <c r="AH1717">
        <v>2.2854912281036381</v>
      </c>
      <c r="AJ1717">
        <v>331.79293823242188</v>
      </c>
      <c r="AK1717" t="s">
        <v>54</v>
      </c>
      <c r="AL1717" t="s">
        <v>54</v>
      </c>
      <c r="AQ1717" t="s">
        <v>54</v>
      </c>
      <c r="AT1717" t="s">
        <v>203</v>
      </c>
      <c r="AW1717" t="s">
        <v>8390</v>
      </c>
      <c r="AZ1717" t="s">
        <v>54</v>
      </c>
      <c r="BA1717" t="s">
        <v>55</v>
      </c>
    </row>
    <row r="1718" spans="1:53" x14ac:dyDescent="0.25">
      <c r="A1718">
        <v>1713</v>
      </c>
      <c r="B1718" t="s">
        <v>248</v>
      </c>
      <c r="C1718" t="s">
        <v>249</v>
      </c>
      <c r="D1718" t="s">
        <v>250</v>
      </c>
      <c r="E1718">
        <v>10</v>
      </c>
      <c r="F1718" t="s">
        <v>45</v>
      </c>
      <c r="G1718" t="s">
        <v>205</v>
      </c>
      <c r="H1718" t="s">
        <v>211</v>
      </c>
      <c r="L1718" t="s">
        <v>48</v>
      </c>
      <c r="M1718">
        <v>2.278180837631226</v>
      </c>
      <c r="N1718" t="s">
        <v>54</v>
      </c>
      <c r="O1718" t="s">
        <v>53</v>
      </c>
      <c r="P1718" t="s">
        <v>53</v>
      </c>
      <c r="Q1718" t="s">
        <v>53</v>
      </c>
      <c r="R1718" t="s">
        <v>53</v>
      </c>
      <c r="S1718" t="s">
        <v>212</v>
      </c>
      <c r="T1718" t="s">
        <v>8381</v>
      </c>
      <c r="U1718" t="s">
        <v>53</v>
      </c>
      <c r="V1718" t="s">
        <v>51</v>
      </c>
      <c r="W1718">
        <v>100000</v>
      </c>
      <c r="X1718" t="s">
        <v>53</v>
      </c>
      <c r="AA1718">
        <v>78</v>
      </c>
      <c r="AB1718">
        <v>8</v>
      </c>
      <c r="AC1718">
        <v>717</v>
      </c>
      <c r="AD1718">
        <v>16</v>
      </c>
      <c r="AE1718">
        <v>717</v>
      </c>
      <c r="AF1718">
        <v>0</v>
      </c>
      <c r="AG1718">
        <v>13</v>
      </c>
      <c r="AH1718">
        <v>1.8694180250167849</v>
      </c>
      <c r="AJ1718">
        <v>45.066783905029297</v>
      </c>
      <c r="AK1718" t="s">
        <v>54</v>
      </c>
      <c r="AL1718" t="s">
        <v>54</v>
      </c>
      <c r="AQ1718" t="s">
        <v>53</v>
      </c>
      <c r="AT1718" t="s">
        <v>203</v>
      </c>
      <c r="AW1718" t="s">
        <v>8390</v>
      </c>
      <c r="AZ1718" t="s">
        <v>54</v>
      </c>
      <c r="BA1718" t="s">
        <v>55</v>
      </c>
    </row>
    <row r="1719" spans="1:53" x14ac:dyDescent="0.25">
      <c r="A1719">
        <v>1714</v>
      </c>
      <c r="B1719" t="s">
        <v>251</v>
      </c>
      <c r="C1719" t="s">
        <v>711</v>
      </c>
      <c r="D1719" t="s">
        <v>252</v>
      </c>
      <c r="E1719">
        <v>10</v>
      </c>
      <c r="F1719" t="s">
        <v>45</v>
      </c>
      <c r="G1719" t="s">
        <v>205</v>
      </c>
      <c r="H1719" t="s">
        <v>211</v>
      </c>
      <c r="L1719" t="s">
        <v>48</v>
      </c>
      <c r="M1719">
        <v>2.3275027275085449</v>
      </c>
      <c r="N1719" t="s">
        <v>54</v>
      </c>
      <c r="O1719" t="s">
        <v>53</v>
      </c>
      <c r="P1719" t="s">
        <v>53</v>
      </c>
      <c r="Q1719" t="s">
        <v>53</v>
      </c>
      <c r="R1719" t="s">
        <v>53</v>
      </c>
      <c r="S1719" t="s">
        <v>212</v>
      </c>
      <c r="T1719" t="s">
        <v>8381</v>
      </c>
      <c r="U1719" t="s">
        <v>53</v>
      </c>
      <c r="V1719" t="s">
        <v>51</v>
      </c>
      <c r="W1719">
        <v>100000</v>
      </c>
      <c r="X1719" t="s">
        <v>53</v>
      </c>
      <c r="AA1719">
        <v>86</v>
      </c>
      <c r="AB1719">
        <v>14</v>
      </c>
      <c r="AC1719">
        <v>724</v>
      </c>
      <c r="AD1719">
        <v>22</v>
      </c>
      <c r="AE1719">
        <v>724</v>
      </c>
      <c r="AF1719">
        <v>0</v>
      </c>
      <c r="AG1719">
        <v>14</v>
      </c>
      <c r="AH1719">
        <v>2.3940379619598389</v>
      </c>
      <c r="AJ1719">
        <v>45.066783905029297</v>
      </c>
      <c r="AK1719" t="s">
        <v>54</v>
      </c>
      <c r="AL1719" t="s">
        <v>54</v>
      </c>
      <c r="AQ1719" t="s">
        <v>53</v>
      </c>
      <c r="AT1719" t="s">
        <v>203</v>
      </c>
      <c r="AW1719" t="s">
        <v>8390</v>
      </c>
      <c r="AZ1719" t="s">
        <v>54</v>
      </c>
      <c r="BA1719" t="s">
        <v>55</v>
      </c>
    </row>
    <row r="1720" spans="1:53" x14ac:dyDescent="0.25">
      <c r="A1720">
        <v>1715</v>
      </c>
      <c r="B1720" t="s">
        <v>253</v>
      </c>
      <c r="C1720" t="s">
        <v>254</v>
      </c>
      <c r="D1720" t="s">
        <v>255</v>
      </c>
      <c r="E1720">
        <v>10</v>
      </c>
      <c r="F1720" t="s">
        <v>45</v>
      </c>
      <c r="G1720" t="s">
        <v>205</v>
      </c>
      <c r="H1720" t="s">
        <v>233</v>
      </c>
      <c r="L1720" t="s">
        <v>48</v>
      </c>
      <c r="M1720">
        <v>31.969297409057621</v>
      </c>
      <c r="N1720" t="s">
        <v>54</v>
      </c>
      <c r="O1720" t="s">
        <v>53</v>
      </c>
      <c r="P1720" t="s">
        <v>53</v>
      </c>
      <c r="Q1720" t="s">
        <v>53</v>
      </c>
      <c r="R1720" t="s">
        <v>53</v>
      </c>
      <c r="S1720" t="s">
        <v>212</v>
      </c>
      <c r="T1720" t="s">
        <v>8433</v>
      </c>
      <c r="U1720" t="s">
        <v>53</v>
      </c>
      <c r="V1720" t="s">
        <v>51</v>
      </c>
      <c r="W1720">
        <v>100000</v>
      </c>
      <c r="X1720" t="s">
        <v>53</v>
      </c>
      <c r="AA1720">
        <v>202</v>
      </c>
      <c r="AB1720">
        <v>141</v>
      </c>
      <c r="AC1720">
        <v>966</v>
      </c>
      <c r="AD1720">
        <v>187</v>
      </c>
      <c r="AE1720">
        <v>966</v>
      </c>
      <c r="AF1720">
        <v>1</v>
      </c>
      <c r="AG1720">
        <v>6</v>
      </c>
      <c r="AH1720">
        <v>4.7701678276062012</v>
      </c>
      <c r="AJ1720">
        <v>1749.266723632812</v>
      </c>
      <c r="AK1720" t="s">
        <v>54</v>
      </c>
      <c r="AL1720" t="s">
        <v>54</v>
      </c>
      <c r="AQ1720" t="s">
        <v>53</v>
      </c>
      <c r="AT1720" t="s">
        <v>203</v>
      </c>
      <c r="AW1720" t="s">
        <v>54</v>
      </c>
      <c r="AZ1720" t="s">
        <v>54</v>
      </c>
      <c r="BA1720" t="s">
        <v>55</v>
      </c>
    </row>
    <row r="1721" spans="1:53" x14ac:dyDescent="0.25">
      <c r="A1721">
        <v>1716</v>
      </c>
      <c r="B1721" t="s">
        <v>462</v>
      </c>
      <c r="C1721" t="s">
        <v>463</v>
      </c>
      <c r="D1721" t="s">
        <v>464</v>
      </c>
      <c r="E1721">
        <v>10</v>
      </c>
      <c r="F1721" t="s">
        <v>45</v>
      </c>
      <c r="G1721" t="s">
        <v>441</v>
      </c>
      <c r="H1721" t="s">
        <v>448</v>
      </c>
      <c r="L1721" t="s">
        <v>202</v>
      </c>
      <c r="M1721">
        <v>0.49979540705680853</v>
      </c>
      <c r="N1721" t="s">
        <v>54</v>
      </c>
      <c r="O1721" t="s">
        <v>53</v>
      </c>
      <c r="P1721" t="s">
        <v>53</v>
      </c>
      <c r="Q1721" t="s">
        <v>53</v>
      </c>
      <c r="R1721" t="s">
        <v>53</v>
      </c>
      <c r="S1721" t="s">
        <v>449</v>
      </c>
      <c r="T1721" t="s">
        <v>8435</v>
      </c>
      <c r="U1721" t="s">
        <v>53</v>
      </c>
      <c r="V1721" t="s">
        <v>51</v>
      </c>
      <c r="W1721">
        <v>100000</v>
      </c>
      <c r="X1721" t="s">
        <v>53</v>
      </c>
      <c r="AA1721">
        <v>0</v>
      </c>
      <c r="AB1721">
        <v>0</v>
      </c>
      <c r="AC1721">
        <v>0</v>
      </c>
      <c r="AD1721">
        <v>0</v>
      </c>
      <c r="AE1721">
        <v>0</v>
      </c>
      <c r="AF1721">
        <v>0</v>
      </c>
      <c r="AG1721">
        <v>0</v>
      </c>
      <c r="AH1721">
        <v>0</v>
      </c>
      <c r="AJ1721">
        <v>0</v>
      </c>
      <c r="AK1721" t="s">
        <v>54</v>
      </c>
      <c r="AL1721" t="s">
        <v>54</v>
      </c>
      <c r="AQ1721" t="s">
        <v>53</v>
      </c>
      <c r="AT1721" t="s">
        <v>203</v>
      </c>
      <c r="AW1721" t="s">
        <v>54</v>
      </c>
      <c r="AZ1721" t="s">
        <v>54</v>
      </c>
      <c r="BA1721" t="s">
        <v>55</v>
      </c>
    </row>
    <row r="1722" spans="1:53" x14ac:dyDescent="0.25">
      <c r="A1722">
        <v>1717</v>
      </c>
      <c r="B1722" t="s">
        <v>465</v>
      </c>
      <c r="C1722" t="s">
        <v>466</v>
      </c>
      <c r="D1722" t="s">
        <v>464</v>
      </c>
      <c r="E1722">
        <v>10</v>
      </c>
      <c r="F1722" t="s">
        <v>45</v>
      </c>
      <c r="G1722" t="s">
        <v>441</v>
      </c>
      <c r="H1722" t="s">
        <v>448</v>
      </c>
      <c r="L1722" t="s">
        <v>202</v>
      </c>
      <c r="M1722">
        <v>0.43528619408607477</v>
      </c>
      <c r="N1722" t="s">
        <v>53</v>
      </c>
      <c r="O1722" t="s">
        <v>53</v>
      </c>
      <c r="P1722" t="s">
        <v>54</v>
      </c>
      <c r="Q1722" t="s">
        <v>53</v>
      </c>
      <c r="R1722" t="s">
        <v>53</v>
      </c>
      <c r="S1722" t="s">
        <v>449</v>
      </c>
      <c r="T1722" t="s">
        <v>8435</v>
      </c>
      <c r="U1722" t="s">
        <v>53</v>
      </c>
      <c r="V1722" t="s">
        <v>51</v>
      </c>
      <c r="W1722">
        <v>100000</v>
      </c>
      <c r="X1722" t="s">
        <v>53</v>
      </c>
      <c r="AA1722">
        <v>0</v>
      </c>
      <c r="AB1722">
        <v>0</v>
      </c>
      <c r="AC1722">
        <v>0</v>
      </c>
      <c r="AD1722">
        <v>0</v>
      </c>
      <c r="AE1722">
        <v>0</v>
      </c>
      <c r="AF1722">
        <v>0</v>
      </c>
      <c r="AG1722">
        <v>0</v>
      </c>
      <c r="AH1722">
        <v>0</v>
      </c>
      <c r="AJ1722">
        <v>0</v>
      </c>
      <c r="AK1722" t="s">
        <v>54</v>
      </c>
      <c r="AL1722" t="s">
        <v>54</v>
      </c>
      <c r="AQ1722" t="s">
        <v>53</v>
      </c>
      <c r="AT1722" t="s">
        <v>203</v>
      </c>
      <c r="AW1722" t="s">
        <v>53</v>
      </c>
      <c r="AZ1722" t="s">
        <v>54</v>
      </c>
      <c r="BA1722" t="s">
        <v>55</v>
      </c>
    </row>
    <row r="1723" spans="1:53" x14ac:dyDescent="0.25">
      <c r="A1723">
        <v>1718</v>
      </c>
      <c r="B1723" t="s">
        <v>339</v>
      </c>
      <c r="C1723" t="s">
        <v>340</v>
      </c>
      <c r="D1723" t="s">
        <v>341</v>
      </c>
      <c r="E1723">
        <v>10</v>
      </c>
      <c r="F1723" t="s">
        <v>45</v>
      </c>
      <c r="G1723" t="s">
        <v>293</v>
      </c>
      <c r="H1723" t="s">
        <v>342</v>
      </c>
      <c r="L1723" t="s">
        <v>202</v>
      </c>
      <c r="M1723">
        <v>1057.220581054688</v>
      </c>
      <c r="N1723" t="s">
        <v>54</v>
      </c>
      <c r="O1723" t="s">
        <v>53</v>
      </c>
      <c r="P1723" t="s">
        <v>54</v>
      </c>
      <c r="Q1723" t="s">
        <v>53</v>
      </c>
      <c r="R1723" t="s">
        <v>53</v>
      </c>
      <c r="S1723" t="s">
        <v>343</v>
      </c>
      <c r="T1723" t="s">
        <v>8436</v>
      </c>
      <c r="U1723" t="s">
        <v>53</v>
      </c>
      <c r="V1723" t="s">
        <v>138</v>
      </c>
      <c r="W1723">
        <v>250000</v>
      </c>
      <c r="X1723" t="s">
        <v>53</v>
      </c>
      <c r="AA1723">
        <v>863</v>
      </c>
      <c r="AB1723">
        <v>308</v>
      </c>
      <c r="AC1723">
        <v>885</v>
      </c>
      <c r="AD1723">
        <v>792</v>
      </c>
      <c r="AE1723">
        <v>885</v>
      </c>
      <c r="AF1723">
        <v>3</v>
      </c>
      <c r="AG1723">
        <v>115</v>
      </c>
      <c r="AH1723">
        <v>9.930821418762207</v>
      </c>
      <c r="AJ1723">
        <v>71866.5703125</v>
      </c>
      <c r="AK1723" t="s">
        <v>54</v>
      </c>
      <c r="AL1723" t="s">
        <v>54</v>
      </c>
      <c r="AQ1723" t="s">
        <v>53</v>
      </c>
      <c r="AT1723" t="s">
        <v>203</v>
      </c>
      <c r="AW1723" t="s">
        <v>8390</v>
      </c>
      <c r="AZ1723" t="s">
        <v>54</v>
      </c>
      <c r="BA1723" t="s">
        <v>55</v>
      </c>
    </row>
    <row r="1724" spans="1:53" x14ac:dyDescent="0.25">
      <c r="A1724">
        <v>1719</v>
      </c>
      <c r="B1724" t="s">
        <v>344</v>
      </c>
      <c r="C1724" t="s">
        <v>712</v>
      </c>
      <c r="D1724" t="s">
        <v>345</v>
      </c>
      <c r="E1724">
        <v>10</v>
      </c>
      <c r="F1724" t="s">
        <v>45</v>
      </c>
      <c r="G1724" t="s">
        <v>293</v>
      </c>
      <c r="H1724" t="s">
        <v>342</v>
      </c>
      <c r="L1724" t="s">
        <v>202</v>
      </c>
      <c r="M1724">
        <v>1057.220581054688</v>
      </c>
      <c r="N1724" t="s">
        <v>54</v>
      </c>
      <c r="O1724" t="s">
        <v>53</v>
      </c>
      <c r="P1724" t="s">
        <v>54</v>
      </c>
      <c r="Q1724" t="s">
        <v>53</v>
      </c>
      <c r="R1724" t="s">
        <v>53</v>
      </c>
      <c r="S1724" t="s">
        <v>343</v>
      </c>
      <c r="T1724" t="s">
        <v>8436</v>
      </c>
      <c r="U1724" t="s">
        <v>53</v>
      </c>
      <c r="V1724" t="s">
        <v>51</v>
      </c>
      <c r="W1724">
        <v>200000</v>
      </c>
      <c r="X1724" t="s">
        <v>53</v>
      </c>
      <c r="AA1724">
        <v>863</v>
      </c>
      <c r="AB1724">
        <v>308</v>
      </c>
      <c r="AC1724">
        <v>885</v>
      </c>
      <c r="AD1724">
        <v>792</v>
      </c>
      <c r="AE1724">
        <v>885</v>
      </c>
      <c r="AF1724">
        <v>3</v>
      </c>
      <c r="AG1724">
        <v>115</v>
      </c>
      <c r="AH1724">
        <v>9.930821418762207</v>
      </c>
      <c r="AJ1724">
        <v>71866.5703125</v>
      </c>
      <c r="AK1724" t="s">
        <v>54</v>
      </c>
      <c r="AL1724" t="s">
        <v>54</v>
      </c>
      <c r="AQ1724" t="s">
        <v>53</v>
      </c>
      <c r="AT1724" t="s">
        <v>203</v>
      </c>
      <c r="AW1724" t="s">
        <v>8390</v>
      </c>
      <c r="AZ1724" t="s">
        <v>54</v>
      </c>
      <c r="BA1724" t="s">
        <v>55</v>
      </c>
    </row>
    <row r="1725" spans="1:53" x14ac:dyDescent="0.25">
      <c r="A1725">
        <v>1720</v>
      </c>
      <c r="B1725" t="s">
        <v>410</v>
      </c>
      <c r="C1725" t="s">
        <v>411</v>
      </c>
      <c r="D1725" t="s">
        <v>412</v>
      </c>
      <c r="E1725">
        <v>10</v>
      </c>
      <c r="F1725" t="s">
        <v>45</v>
      </c>
      <c r="G1725" t="s">
        <v>413</v>
      </c>
      <c r="H1725" t="s">
        <v>414</v>
      </c>
      <c r="L1725" t="s">
        <v>123</v>
      </c>
      <c r="M1725">
        <v>660.50640869140625</v>
      </c>
      <c r="N1725" t="s">
        <v>54</v>
      </c>
      <c r="O1725" t="s">
        <v>53</v>
      </c>
      <c r="P1725" t="s">
        <v>53</v>
      </c>
      <c r="Q1725" t="s">
        <v>53</v>
      </c>
      <c r="R1725" t="s">
        <v>53</v>
      </c>
      <c r="S1725" t="s">
        <v>415</v>
      </c>
      <c r="T1725" t="s">
        <v>8437</v>
      </c>
      <c r="U1725" t="s">
        <v>53</v>
      </c>
      <c r="V1725" t="s">
        <v>162</v>
      </c>
      <c r="W1725">
        <v>15000</v>
      </c>
      <c r="X1725" t="s">
        <v>53</v>
      </c>
      <c r="AA1725">
        <v>1</v>
      </c>
      <c r="AB1725">
        <v>0</v>
      </c>
      <c r="AC1725">
        <v>0</v>
      </c>
      <c r="AD1725">
        <v>0</v>
      </c>
      <c r="AE1725">
        <v>0</v>
      </c>
      <c r="AF1725">
        <v>0</v>
      </c>
      <c r="AG1725">
        <v>0</v>
      </c>
      <c r="AH1725">
        <v>0</v>
      </c>
      <c r="AJ1725">
        <v>637.3353271484375</v>
      </c>
      <c r="AK1725" t="s">
        <v>54</v>
      </c>
      <c r="AL1725" t="s">
        <v>54</v>
      </c>
      <c r="AQ1725" t="s">
        <v>53</v>
      </c>
      <c r="AT1725" t="s">
        <v>203</v>
      </c>
      <c r="AW1725" t="s">
        <v>53</v>
      </c>
      <c r="AZ1725" t="s">
        <v>54</v>
      </c>
      <c r="BA1725" t="s">
        <v>55</v>
      </c>
    </row>
    <row r="1726" spans="1:53" x14ac:dyDescent="0.25">
      <c r="A1726">
        <v>1721</v>
      </c>
      <c r="B1726" t="s">
        <v>487</v>
      </c>
      <c r="C1726" t="s">
        <v>340</v>
      </c>
      <c r="D1726" t="s">
        <v>341</v>
      </c>
      <c r="E1726">
        <v>10</v>
      </c>
      <c r="F1726" t="s">
        <v>45</v>
      </c>
      <c r="G1726" t="s">
        <v>488</v>
      </c>
      <c r="H1726" t="s">
        <v>489</v>
      </c>
      <c r="L1726" t="s">
        <v>202</v>
      </c>
      <c r="M1726">
        <v>898.4674072265625</v>
      </c>
      <c r="N1726" t="s">
        <v>54</v>
      </c>
      <c r="O1726" t="s">
        <v>53</v>
      </c>
      <c r="P1726" t="s">
        <v>54</v>
      </c>
      <c r="Q1726" t="s">
        <v>53</v>
      </c>
      <c r="R1726" t="s">
        <v>53</v>
      </c>
      <c r="S1726" t="s">
        <v>490</v>
      </c>
      <c r="T1726" t="s">
        <v>8438</v>
      </c>
      <c r="U1726" t="s">
        <v>53</v>
      </c>
      <c r="V1726" t="s">
        <v>138</v>
      </c>
      <c r="W1726">
        <v>250000</v>
      </c>
      <c r="X1726" t="s">
        <v>53</v>
      </c>
      <c r="AA1726">
        <v>896</v>
      </c>
      <c r="AB1726">
        <v>450</v>
      </c>
      <c r="AC1726">
        <v>1256</v>
      </c>
      <c r="AD1726">
        <v>578</v>
      </c>
      <c r="AE1726">
        <v>1256</v>
      </c>
      <c r="AF1726">
        <v>5</v>
      </c>
      <c r="AG1726">
        <v>31</v>
      </c>
      <c r="AH1726">
        <v>12.154731750488279</v>
      </c>
      <c r="AJ1726">
        <v>93034.9765625</v>
      </c>
      <c r="AK1726" t="s">
        <v>54</v>
      </c>
      <c r="AL1726" t="s">
        <v>54</v>
      </c>
      <c r="AQ1726" t="s">
        <v>54</v>
      </c>
      <c r="AT1726" t="s">
        <v>203</v>
      </c>
      <c r="AW1726" t="s">
        <v>53</v>
      </c>
      <c r="AZ1726" t="s">
        <v>54</v>
      </c>
      <c r="BA1726" t="s">
        <v>55</v>
      </c>
    </row>
    <row r="1727" spans="1:53" x14ac:dyDescent="0.25">
      <c r="A1727">
        <v>1722</v>
      </c>
      <c r="B1727" t="s">
        <v>491</v>
      </c>
      <c r="C1727" t="s">
        <v>492</v>
      </c>
      <c r="D1727" t="s">
        <v>493</v>
      </c>
      <c r="E1727">
        <v>10</v>
      </c>
      <c r="F1727" t="s">
        <v>45</v>
      </c>
      <c r="G1727" t="s">
        <v>488</v>
      </c>
      <c r="H1727" t="s">
        <v>494</v>
      </c>
      <c r="L1727" t="s">
        <v>202</v>
      </c>
      <c r="M1727">
        <v>0.1290011256933212</v>
      </c>
      <c r="N1727" t="s">
        <v>54</v>
      </c>
      <c r="O1727" t="s">
        <v>53</v>
      </c>
      <c r="P1727" t="s">
        <v>54</v>
      </c>
      <c r="Q1727" t="s">
        <v>53</v>
      </c>
      <c r="R1727" t="s">
        <v>53</v>
      </c>
      <c r="S1727" t="s">
        <v>495</v>
      </c>
      <c r="T1727" t="s">
        <v>8439</v>
      </c>
      <c r="U1727" t="s">
        <v>53</v>
      </c>
      <c r="V1727" t="s">
        <v>51</v>
      </c>
      <c r="W1727">
        <v>100000</v>
      </c>
      <c r="X1727" t="s">
        <v>53</v>
      </c>
      <c r="AA1727">
        <v>107</v>
      </c>
      <c r="AB1727">
        <v>97</v>
      </c>
      <c r="AC1727">
        <v>104</v>
      </c>
      <c r="AD1727">
        <v>74</v>
      </c>
      <c r="AE1727">
        <v>104</v>
      </c>
      <c r="AF1727">
        <v>1</v>
      </c>
      <c r="AG1727">
        <v>10</v>
      </c>
      <c r="AH1727">
        <v>0</v>
      </c>
      <c r="AJ1727">
        <v>25.12473106384277</v>
      </c>
      <c r="AK1727" t="s">
        <v>54</v>
      </c>
      <c r="AL1727" t="s">
        <v>54</v>
      </c>
      <c r="AQ1727" t="s">
        <v>54</v>
      </c>
      <c r="AT1727" t="s">
        <v>203</v>
      </c>
      <c r="AW1727" t="s">
        <v>53</v>
      </c>
      <c r="AZ1727" t="s">
        <v>54</v>
      </c>
      <c r="BA1727" t="s">
        <v>55</v>
      </c>
    </row>
    <row r="1728" spans="1:53" x14ac:dyDescent="0.25">
      <c r="A1728">
        <v>1723</v>
      </c>
      <c r="B1728" t="s">
        <v>432</v>
      </c>
      <c r="C1728" t="s">
        <v>433</v>
      </c>
      <c r="D1728" t="s">
        <v>434</v>
      </c>
      <c r="E1728">
        <v>10</v>
      </c>
      <c r="F1728" t="s">
        <v>45</v>
      </c>
      <c r="G1728" t="s">
        <v>435</v>
      </c>
      <c r="H1728" t="s">
        <v>50</v>
      </c>
      <c r="L1728" t="s">
        <v>202</v>
      </c>
      <c r="M1728">
        <v>7.5836427509784698E-2</v>
      </c>
      <c r="N1728" t="s">
        <v>54</v>
      </c>
      <c r="O1728" t="s">
        <v>53</v>
      </c>
      <c r="P1728" t="s">
        <v>53</v>
      </c>
      <c r="Q1728" t="s">
        <v>53</v>
      </c>
      <c r="R1728" t="s">
        <v>53</v>
      </c>
      <c r="S1728" t="s">
        <v>436</v>
      </c>
      <c r="T1728" t="s">
        <v>8440</v>
      </c>
      <c r="U1728" t="s">
        <v>53</v>
      </c>
      <c r="V1728" t="s">
        <v>51</v>
      </c>
      <c r="W1728">
        <v>150000</v>
      </c>
      <c r="X1728" t="s">
        <v>53</v>
      </c>
      <c r="AA1728">
        <v>17</v>
      </c>
      <c r="AB1728">
        <v>15</v>
      </c>
      <c r="AC1728">
        <v>5</v>
      </c>
      <c r="AD1728">
        <v>24</v>
      </c>
      <c r="AE1728">
        <v>24</v>
      </c>
      <c r="AF1728">
        <v>0</v>
      </c>
      <c r="AG1728">
        <v>0</v>
      </c>
      <c r="AH1728">
        <v>0.31765195727348328</v>
      </c>
      <c r="AJ1728">
        <v>0</v>
      </c>
      <c r="AK1728" t="s">
        <v>54</v>
      </c>
      <c r="AL1728" t="s">
        <v>54</v>
      </c>
      <c r="AQ1728" t="s">
        <v>54</v>
      </c>
      <c r="AT1728" t="s">
        <v>437</v>
      </c>
      <c r="AW1728" t="s">
        <v>53</v>
      </c>
      <c r="AZ1728" t="s">
        <v>54</v>
      </c>
      <c r="BA1728" t="s">
        <v>55</v>
      </c>
    </row>
    <row r="1729" spans="1:53" x14ac:dyDescent="0.25">
      <c r="A1729">
        <v>1724</v>
      </c>
      <c r="B1729" t="s">
        <v>394</v>
      </c>
      <c r="C1729" t="s">
        <v>395</v>
      </c>
      <c r="D1729" t="s">
        <v>396</v>
      </c>
      <c r="E1729">
        <v>10</v>
      </c>
      <c r="F1729" t="s">
        <v>45</v>
      </c>
      <c r="G1729" t="s">
        <v>366</v>
      </c>
      <c r="H1729" t="s">
        <v>367</v>
      </c>
      <c r="L1729" t="s">
        <v>151</v>
      </c>
      <c r="M1729">
        <v>4.0647215843200684</v>
      </c>
      <c r="N1729" t="s">
        <v>54</v>
      </c>
      <c r="O1729" t="s">
        <v>53</v>
      </c>
      <c r="P1729" t="s">
        <v>53</v>
      </c>
      <c r="Q1729" t="s">
        <v>53</v>
      </c>
      <c r="R1729" t="s">
        <v>53</v>
      </c>
      <c r="S1729" t="s">
        <v>368</v>
      </c>
      <c r="T1729" t="s">
        <v>397</v>
      </c>
      <c r="U1729" t="s">
        <v>53</v>
      </c>
      <c r="V1729" t="s">
        <v>138</v>
      </c>
      <c r="W1729">
        <v>250000</v>
      </c>
      <c r="X1729" t="s">
        <v>53</v>
      </c>
      <c r="AA1729">
        <v>1223</v>
      </c>
      <c r="AB1729">
        <v>1010</v>
      </c>
      <c r="AC1729">
        <v>1412</v>
      </c>
      <c r="AD1729">
        <v>1908</v>
      </c>
      <c r="AE1729">
        <v>1908</v>
      </c>
      <c r="AF1729">
        <v>2</v>
      </c>
      <c r="AG1729">
        <v>1</v>
      </c>
      <c r="AH1729">
        <v>26.25538444519043</v>
      </c>
      <c r="AJ1729">
        <v>137.2613830566406</v>
      </c>
      <c r="AK1729" t="s">
        <v>54</v>
      </c>
      <c r="AL1729" t="s">
        <v>54</v>
      </c>
      <c r="AQ1729" t="s">
        <v>54</v>
      </c>
      <c r="AT1729" t="s">
        <v>369</v>
      </c>
      <c r="AW1729" t="s">
        <v>54</v>
      </c>
      <c r="AZ1729" t="s">
        <v>54</v>
      </c>
      <c r="BA1729" t="s">
        <v>55</v>
      </c>
    </row>
    <row r="1730" spans="1:53" x14ac:dyDescent="0.25">
      <c r="A1730">
        <v>1725</v>
      </c>
      <c r="B1730" t="s">
        <v>398</v>
      </c>
      <c r="C1730" t="s">
        <v>387</v>
      </c>
      <c r="D1730" t="s">
        <v>713</v>
      </c>
      <c r="E1730">
        <v>10</v>
      </c>
      <c r="F1730" t="s">
        <v>45</v>
      </c>
      <c r="G1730" t="s">
        <v>366</v>
      </c>
      <c r="H1730" t="s">
        <v>380</v>
      </c>
      <c r="L1730" t="s">
        <v>81</v>
      </c>
      <c r="M1730">
        <v>4.7694362699985497E-2</v>
      </c>
      <c r="N1730" t="s">
        <v>54</v>
      </c>
      <c r="O1730" t="s">
        <v>53</v>
      </c>
      <c r="P1730" t="s">
        <v>53</v>
      </c>
      <c r="Q1730" t="s">
        <v>53</v>
      </c>
      <c r="R1730" t="s">
        <v>53</v>
      </c>
      <c r="S1730" t="s">
        <v>368</v>
      </c>
      <c r="T1730" t="s">
        <v>397</v>
      </c>
      <c r="U1730" t="s">
        <v>53</v>
      </c>
      <c r="V1730" t="s">
        <v>51</v>
      </c>
      <c r="W1730">
        <v>250000</v>
      </c>
      <c r="X1730" t="s">
        <v>53</v>
      </c>
      <c r="AA1730">
        <v>0</v>
      </c>
      <c r="AB1730">
        <v>0</v>
      </c>
      <c r="AC1730">
        <v>0</v>
      </c>
      <c r="AD1730">
        <v>0</v>
      </c>
      <c r="AE1730">
        <v>0</v>
      </c>
      <c r="AF1730">
        <v>0</v>
      </c>
      <c r="AG1730">
        <v>0</v>
      </c>
      <c r="AH1730">
        <v>0</v>
      </c>
      <c r="AJ1730">
        <v>6.5806221961975098</v>
      </c>
      <c r="AK1730" t="s">
        <v>54</v>
      </c>
      <c r="AL1730" t="s">
        <v>54</v>
      </c>
      <c r="AQ1730" t="s">
        <v>54</v>
      </c>
      <c r="AT1730" t="s">
        <v>369</v>
      </c>
      <c r="AW1730" t="s">
        <v>54</v>
      </c>
      <c r="AZ1730" t="s">
        <v>54</v>
      </c>
      <c r="BA1730" t="s">
        <v>55</v>
      </c>
    </row>
    <row r="1731" spans="1:53" x14ac:dyDescent="0.25">
      <c r="A1731">
        <v>1726</v>
      </c>
      <c r="B1731" t="s">
        <v>399</v>
      </c>
      <c r="C1731" t="s">
        <v>400</v>
      </c>
      <c r="D1731" t="s">
        <v>401</v>
      </c>
      <c r="E1731">
        <v>10</v>
      </c>
      <c r="F1731" t="s">
        <v>45</v>
      </c>
      <c r="G1731" t="s">
        <v>366</v>
      </c>
      <c r="H1731" t="s">
        <v>374</v>
      </c>
      <c r="L1731" t="s">
        <v>151</v>
      </c>
      <c r="M1731">
        <v>1.2338007688522341</v>
      </c>
      <c r="N1731" t="s">
        <v>54</v>
      </c>
      <c r="O1731" t="s">
        <v>53</v>
      </c>
      <c r="P1731" t="s">
        <v>53</v>
      </c>
      <c r="Q1731" t="s">
        <v>53</v>
      </c>
      <c r="R1731" t="s">
        <v>53</v>
      </c>
      <c r="S1731" t="s">
        <v>375</v>
      </c>
      <c r="T1731" t="s">
        <v>402</v>
      </c>
      <c r="U1731" t="s">
        <v>53</v>
      </c>
      <c r="V1731" t="s">
        <v>51</v>
      </c>
      <c r="W1731">
        <v>250000</v>
      </c>
      <c r="X1731" t="s">
        <v>53</v>
      </c>
      <c r="AA1731">
        <v>13</v>
      </c>
      <c r="AB1731">
        <v>6</v>
      </c>
      <c r="AC1731">
        <v>64</v>
      </c>
      <c r="AD1731">
        <v>14</v>
      </c>
      <c r="AE1731">
        <v>64</v>
      </c>
      <c r="AF1731">
        <v>0</v>
      </c>
      <c r="AG1731">
        <v>1</v>
      </c>
      <c r="AH1731">
        <v>0.54722785949707031</v>
      </c>
      <c r="AJ1731">
        <v>398.61135864257813</v>
      </c>
      <c r="AK1731" t="s">
        <v>54</v>
      </c>
      <c r="AL1731" t="s">
        <v>54</v>
      </c>
      <c r="AQ1731" t="s">
        <v>54</v>
      </c>
      <c r="AT1731" t="s">
        <v>369</v>
      </c>
      <c r="AW1731" t="s">
        <v>54</v>
      </c>
      <c r="AZ1731" t="s">
        <v>54</v>
      </c>
      <c r="BA1731" t="s">
        <v>55</v>
      </c>
    </row>
    <row r="1732" spans="1:53" x14ac:dyDescent="0.25">
      <c r="A1732">
        <v>1727</v>
      </c>
      <c r="B1732" t="s">
        <v>403</v>
      </c>
      <c r="C1732" t="s">
        <v>404</v>
      </c>
      <c r="D1732" t="s">
        <v>405</v>
      </c>
      <c r="E1732">
        <v>10</v>
      </c>
      <c r="F1732" t="s">
        <v>45</v>
      </c>
      <c r="G1732" t="s">
        <v>366</v>
      </c>
      <c r="H1732" t="s">
        <v>374</v>
      </c>
      <c r="L1732" t="s">
        <v>151</v>
      </c>
      <c r="M1732">
        <v>1.119773387908936</v>
      </c>
      <c r="N1732" t="s">
        <v>54</v>
      </c>
      <c r="O1732" t="s">
        <v>53</v>
      </c>
      <c r="P1732" t="s">
        <v>53</v>
      </c>
      <c r="Q1732" t="s">
        <v>53</v>
      </c>
      <c r="R1732" t="s">
        <v>53</v>
      </c>
      <c r="S1732" t="s">
        <v>375</v>
      </c>
      <c r="T1732" t="s">
        <v>402</v>
      </c>
      <c r="U1732" t="s">
        <v>53</v>
      </c>
      <c r="V1732" t="s">
        <v>138</v>
      </c>
      <c r="W1732">
        <v>250000</v>
      </c>
      <c r="X1732" t="s">
        <v>53</v>
      </c>
      <c r="AA1732">
        <v>28</v>
      </c>
      <c r="AB1732">
        <v>17</v>
      </c>
      <c r="AC1732">
        <v>77</v>
      </c>
      <c r="AD1732">
        <v>27</v>
      </c>
      <c r="AE1732">
        <v>77</v>
      </c>
      <c r="AF1732">
        <v>0</v>
      </c>
      <c r="AG1732">
        <v>0</v>
      </c>
      <c r="AH1732">
        <v>0.42465221881866461</v>
      </c>
      <c r="AJ1732">
        <v>27.728059768676761</v>
      </c>
      <c r="AK1732" t="s">
        <v>54</v>
      </c>
      <c r="AL1732" t="s">
        <v>54</v>
      </c>
      <c r="AQ1732" t="s">
        <v>54</v>
      </c>
      <c r="AT1732" t="s">
        <v>369</v>
      </c>
      <c r="AW1732" t="s">
        <v>54</v>
      </c>
      <c r="AZ1732" t="s">
        <v>54</v>
      </c>
      <c r="BA1732" t="s">
        <v>55</v>
      </c>
    </row>
    <row r="1733" spans="1:53" x14ac:dyDescent="0.25">
      <c r="A1733">
        <v>1728</v>
      </c>
      <c r="B1733" t="s">
        <v>406</v>
      </c>
      <c r="C1733" t="s">
        <v>404</v>
      </c>
      <c r="D1733" t="s">
        <v>407</v>
      </c>
      <c r="E1733">
        <v>10</v>
      </c>
      <c r="F1733" t="s">
        <v>45</v>
      </c>
      <c r="G1733" t="s">
        <v>366</v>
      </c>
      <c r="H1733" t="s">
        <v>384</v>
      </c>
      <c r="L1733" t="s">
        <v>151</v>
      </c>
      <c r="M1733">
        <v>0.85458767414093018</v>
      </c>
      <c r="N1733" t="s">
        <v>54</v>
      </c>
      <c r="O1733" t="s">
        <v>53</v>
      </c>
      <c r="P1733" t="s">
        <v>53</v>
      </c>
      <c r="Q1733" t="s">
        <v>53</v>
      </c>
      <c r="R1733" t="s">
        <v>53</v>
      </c>
      <c r="S1733" t="s">
        <v>408</v>
      </c>
      <c r="T1733" t="s">
        <v>409</v>
      </c>
      <c r="U1733" t="s">
        <v>53</v>
      </c>
      <c r="V1733" t="s">
        <v>138</v>
      </c>
      <c r="W1733">
        <v>250000</v>
      </c>
      <c r="X1733" t="s">
        <v>53</v>
      </c>
      <c r="AA1733">
        <v>17</v>
      </c>
      <c r="AB1733">
        <v>7</v>
      </c>
      <c r="AC1733">
        <v>17</v>
      </c>
      <c r="AD1733">
        <v>9</v>
      </c>
      <c r="AE1733">
        <v>17</v>
      </c>
      <c r="AF1733">
        <v>0</v>
      </c>
      <c r="AG1733">
        <v>0</v>
      </c>
      <c r="AH1733">
        <v>1.0524430274963379</v>
      </c>
      <c r="AJ1733">
        <v>133.90068054199219</v>
      </c>
      <c r="AK1733" t="s">
        <v>54</v>
      </c>
      <c r="AL1733" t="s">
        <v>54</v>
      </c>
      <c r="AQ1733" t="s">
        <v>53</v>
      </c>
      <c r="AT1733" t="s">
        <v>369</v>
      </c>
      <c r="AW1733" t="s">
        <v>54</v>
      </c>
      <c r="AZ1733" t="s">
        <v>54</v>
      </c>
      <c r="BA1733" t="s">
        <v>55</v>
      </c>
    </row>
    <row r="1734" spans="1:53" x14ac:dyDescent="0.25">
      <c r="A1734">
        <v>1729</v>
      </c>
      <c r="B1734" t="s">
        <v>580</v>
      </c>
      <c r="C1734" t="s">
        <v>581</v>
      </c>
      <c r="D1734" t="s">
        <v>582</v>
      </c>
      <c r="E1734">
        <v>10</v>
      </c>
      <c r="F1734" t="s">
        <v>45</v>
      </c>
      <c r="G1734" t="s">
        <v>566</v>
      </c>
      <c r="H1734" t="s">
        <v>584</v>
      </c>
      <c r="L1734" t="s">
        <v>583</v>
      </c>
      <c r="M1734">
        <v>7.4976906776428223</v>
      </c>
      <c r="N1734" t="s">
        <v>54</v>
      </c>
      <c r="O1734" t="s">
        <v>53</v>
      </c>
      <c r="P1734" t="s">
        <v>53</v>
      </c>
      <c r="Q1734" t="s">
        <v>53</v>
      </c>
      <c r="R1734" t="s">
        <v>53</v>
      </c>
      <c r="S1734" t="s">
        <v>585</v>
      </c>
      <c r="T1734" t="s">
        <v>586</v>
      </c>
      <c r="U1734" t="s">
        <v>53</v>
      </c>
      <c r="V1734" t="s">
        <v>162</v>
      </c>
      <c r="W1734">
        <v>250000</v>
      </c>
      <c r="X1734" t="s">
        <v>53</v>
      </c>
      <c r="AA1734">
        <v>1901</v>
      </c>
      <c r="AB1734">
        <v>1455</v>
      </c>
      <c r="AC1734">
        <v>6429</v>
      </c>
      <c r="AD1734">
        <v>3440</v>
      </c>
      <c r="AE1734">
        <v>6429</v>
      </c>
      <c r="AF1734">
        <v>6</v>
      </c>
      <c r="AG1734">
        <v>0</v>
      </c>
      <c r="AH1734">
        <v>57.100357055664063</v>
      </c>
      <c r="AJ1734">
        <v>1117.717529296875</v>
      </c>
      <c r="AK1734" t="s">
        <v>54</v>
      </c>
      <c r="AL1734" t="s">
        <v>54</v>
      </c>
      <c r="AQ1734" t="s">
        <v>54</v>
      </c>
      <c r="AT1734" t="s">
        <v>568</v>
      </c>
      <c r="AW1734" t="s">
        <v>54</v>
      </c>
      <c r="AZ1734" t="s">
        <v>54</v>
      </c>
      <c r="BA1734" t="s">
        <v>55</v>
      </c>
    </row>
    <row r="1735" spans="1:53" x14ac:dyDescent="0.25">
      <c r="A1735">
        <v>1730</v>
      </c>
      <c r="B1735" t="s">
        <v>587</v>
      </c>
      <c r="C1735" t="s">
        <v>404</v>
      </c>
      <c r="D1735" t="s">
        <v>588</v>
      </c>
      <c r="E1735">
        <v>10</v>
      </c>
      <c r="F1735" t="s">
        <v>45</v>
      </c>
      <c r="G1735" t="s">
        <v>566</v>
      </c>
      <c r="H1735" t="s">
        <v>584</v>
      </c>
      <c r="L1735" t="s">
        <v>589</v>
      </c>
      <c r="M1735">
        <v>7.4976906776428223</v>
      </c>
      <c r="N1735" t="s">
        <v>54</v>
      </c>
      <c r="O1735" t="s">
        <v>53</v>
      </c>
      <c r="P1735" t="s">
        <v>53</v>
      </c>
      <c r="Q1735" t="s">
        <v>53</v>
      </c>
      <c r="R1735" t="s">
        <v>53</v>
      </c>
      <c r="S1735" t="s">
        <v>585</v>
      </c>
      <c r="T1735" t="s">
        <v>586</v>
      </c>
      <c r="U1735" t="s">
        <v>53</v>
      </c>
      <c r="V1735" t="s">
        <v>138</v>
      </c>
      <c r="W1735">
        <v>250000</v>
      </c>
      <c r="X1735" t="s">
        <v>53</v>
      </c>
      <c r="AA1735">
        <v>1901</v>
      </c>
      <c r="AB1735">
        <v>1455</v>
      </c>
      <c r="AC1735">
        <v>6429</v>
      </c>
      <c r="AD1735">
        <v>3440</v>
      </c>
      <c r="AE1735">
        <v>6429</v>
      </c>
      <c r="AF1735">
        <v>6</v>
      </c>
      <c r="AG1735">
        <v>0</v>
      </c>
      <c r="AH1735">
        <v>57.100357055664063</v>
      </c>
      <c r="AJ1735">
        <v>1117.717529296875</v>
      </c>
      <c r="AK1735" t="s">
        <v>54</v>
      </c>
      <c r="AL1735" t="s">
        <v>54</v>
      </c>
      <c r="AQ1735" t="s">
        <v>54</v>
      </c>
      <c r="AT1735" t="s">
        <v>568</v>
      </c>
      <c r="AW1735" t="s">
        <v>54</v>
      </c>
      <c r="AZ1735" t="s">
        <v>54</v>
      </c>
      <c r="BA1735" t="s">
        <v>55</v>
      </c>
    </row>
    <row r="1736" spans="1:53" x14ac:dyDescent="0.25">
      <c r="A1736">
        <v>1731</v>
      </c>
      <c r="B1736" t="s">
        <v>590</v>
      </c>
      <c r="C1736" t="s">
        <v>591</v>
      </c>
      <c r="D1736" t="s">
        <v>714</v>
      </c>
      <c r="E1736">
        <v>10</v>
      </c>
      <c r="F1736" t="s">
        <v>45</v>
      </c>
      <c r="L1736" t="s">
        <v>592</v>
      </c>
      <c r="M1736">
        <v>24288.7578125</v>
      </c>
      <c r="N1736" t="s">
        <v>54</v>
      </c>
      <c r="O1736" t="s">
        <v>54</v>
      </c>
      <c r="P1736" t="s">
        <v>54</v>
      </c>
      <c r="Q1736" t="s">
        <v>53</v>
      </c>
      <c r="R1736" t="s">
        <v>53</v>
      </c>
      <c r="S1736" t="s">
        <v>593</v>
      </c>
      <c r="T1736" t="s">
        <v>586</v>
      </c>
      <c r="U1736" t="s">
        <v>53</v>
      </c>
      <c r="V1736" t="s">
        <v>138</v>
      </c>
      <c r="W1736">
        <v>150000</v>
      </c>
      <c r="X1736" t="s">
        <v>54</v>
      </c>
      <c r="Y1736" t="s">
        <v>715</v>
      </c>
      <c r="AA1736">
        <v>67825</v>
      </c>
      <c r="AB1736">
        <v>45799</v>
      </c>
      <c r="AC1736">
        <v>149869</v>
      </c>
      <c r="AD1736">
        <v>97242</v>
      </c>
      <c r="AE1736">
        <v>149869</v>
      </c>
      <c r="AF1736">
        <v>94</v>
      </c>
      <c r="AG1736">
        <v>1132</v>
      </c>
      <c r="AH1736">
        <v>2373.857177734375</v>
      </c>
      <c r="AJ1736">
        <v>2268491.5</v>
      </c>
      <c r="AK1736" t="s">
        <v>54</v>
      </c>
      <c r="AL1736" t="s">
        <v>54</v>
      </c>
      <c r="AQ1736" t="s">
        <v>54</v>
      </c>
      <c r="AT1736" t="s">
        <v>594</v>
      </c>
      <c r="AW1736" t="s">
        <v>8390</v>
      </c>
      <c r="AZ1736" t="s">
        <v>54</v>
      </c>
      <c r="BA1736" t="s">
        <v>55</v>
      </c>
    </row>
    <row r="1737" spans="1:53" x14ac:dyDescent="0.25">
      <c r="A1737">
        <v>1732</v>
      </c>
      <c r="B1737" t="s">
        <v>8441</v>
      </c>
      <c r="C1737" t="s">
        <v>8442</v>
      </c>
      <c r="D1737" t="s">
        <v>8443</v>
      </c>
      <c r="E1737">
        <v>10</v>
      </c>
      <c r="F1737" t="s">
        <v>45</v>
      </c>
      <c r="G1737" t="s">
        <v>504</v>
      </c>
      <c r="H1737" t="s">
        <v>206</v>
      </c>
      <c r="L1737" t="s">
        <v>59</v>
      </c>
      <c r="M1737">
        <v>14.863265037536619</v>
      </c>
      <c r="N1737" t="s">
        <v>54</v>
      </c>
      <c r="O1737" t="s">
        <v>53</v>
      </c>
      <c r="P1737" t="s">
        <v>53</v>
      </c>
      <c r="Q1737" t="s">
        <v>53</v>
      </c>
      <c r="R1737" t="s">
        <v>53</v>
      </c>
      <c r="S1737" t="s">
        <v>8444</v>
      </c>
      <c r="T1737" t="s">
        <v>8445</v>
      </c>
      <c r="U1737" t="s">
        <v>53</v>
      </c>
      <c r="V1737" t="s">
        <v>51</v>
      </c>
      <c r="W1737">
        <v>682500</v>
      </c>
      <c r="X1737" t="s">
        <v>53</v>
      </c>
      <c r="AA1737">
        <v>10</v>
      </c>
      <c r="AB1737">
        <v>8</v>
      </c>
      <c r="AC1737">
        <v>7</v>
      </c>
      <c r="AD1737">
        <v>13</v>
      </c>
      <c r="AE1737">
        <v>13</v>
      </c>
      <c r="AF1737">
        <v>0</v>
      </c>
      <c r="AG1737">
        <v>7</v>
      </c>
      <c r="AH1737">
        <v>1.644197821617126</v>
      </c>
      <c r="AJ1737">
        <v>282.50588989257813</v>
      </c>
      <c r="AK1737" t="s">
        <v>54</v>
      </c>
      <c r="AL1737" t="s">
        <v>54</v>
      </c>
      <c r="AQ1737" t="s">
        <v>54</v>
      </c>
      <c r="AT1737" t="s">
        <v>8446</v>
      </c>
      <c r="AW1737" t="s">
        <v>54</v>
      </c>
      <c r="AZ1737" t="s">
        <v>54</v>
      </c>
      <c r="BA1737" t="s">
        <v>55</v>
      </c>
    </row>
    <row r="1738" spans="1:53" x14ac:dyDescent="0.25">
      <c r="A1738">
        <v>1733</v>
      </c>
      <c r="B1738" t="s">
        <v>8447</v>
      </c>
      <c r="C1738" t="s">
        <v>8448</v>
      </c>
      <c r="D1738" t="s">
        <v>8449</v>
      </c>
      <c r="E1738">
        <v>10</v>
      </c>
      <c r="F1738" t="s">
        <v>45</v>
      </c>
      <c r="G1738" t="s">
        <v>366</v>
      </c>
      <c r="H1738" t="s">
        <v>374</v>
      </c>
      <c r="L1738" t="s">
        <v>8450</v>
      </c>
      <c r="M1738">
        <v>2.405661903321743E-2</v>
      </c>
      <c r="N1738" t="s">
        <v>54</v>
      </c>
      <c r="O1738" t="s">
        <v>53</v>
      </c>
      <c r="P1738" t="s">
        <v>53</v>
      </c>
      <c r="Q1738" t="s">
        <v>53</v>
      </c>
      <c r="R1738" t="s">
        <v>53</v>
      </c>
      <c r="S1738" t="s">
        <v>381</v>
      </c>
      <c r="T1738" t="s">
        <v>8388</v>
      </c>
      <c r="U1738" t="s">
        <v>53</v>
      </c>
      <c r="V1738" t="s">
        <v>51</v>
      </c>
      <c r="W1738">
        <v>40000</v>
      </c>
      <c r="X1738" t="s">
        <v>53</v>
      </c>
      <c r="AA1738">
        <v>0</v>
      </c>
      <c r="AB1738">
        <v>0</v>
      </c>
      <c r="AC1738">
        <v>0</v>
      </c>
      <c r="AD1738">
        <v>0</v>
      </c>
      <c r="AE1738">
        <v>0</v>
      </c>
      <c r="AF1738">
        <v>0</v>
      </c>
      <c r="AG1738">
        <v>0</v>
      </c>
      <c r="AH1738">
        <v>0</v>
      </c>
      <c r="AJ1738">
        <v>0.21569156646728521</v>
      </c>
      <c r="AK1738" t="s">
        <v>54</v>
      </c>
      <c r="AL1738" t="s">
        <v>54</v>
      </c>
      <c r="AQ1738" t="s">
        <v>54</v>
      </c>
      <c r="AT1738" t="s">
        <v>369</v>
      </c>
      <c r="AW1738" t="s">
        <v>54</v>
      </c>
      <c r="AZ1738" t="s">
        <v>54</v>
      </c>
      <c r="BA1738" t="s">
        <v>55</v>
      </c>
    </row>
    <row r="1739" spans="1:53" x14ac:dyDescent="0.25">
      <c r="A1739">
        <v>1734</v>
      </c>
      <c r="B1739" t="s">
        <v>8451</v>
      </c>
      <c r="C1739" t="s">
        <v>8452</v>
      </c>
      <c r="D1739" t="s">
        <v>8449</v>
      </c>
      <c r="E1739">
        <v>10</v>
      </c>
      <c r="F1739" t="s">
        <v>45</v>
      </c>
      <c r="G1739" t="s">
        <v>366</v>
      </c>
      <c r="H1739" t="s">
        <v>8453</v>
      </c>
      <c r="L1739" t="s">
        <v>8450</v>
      </c>
      <c r="M1739">
        <v>0.43553775548934942</v>
      </c>
      <c r="N1739" t="s">
        <v>54</v>
      </c>
      <c r="O1739" t="s">
        <v>53</v>
      </c>
      <c r="P1739" t="s">
        <v>53</v>
      </c>
      <c r="Q1739" t="s">
        <v>53</v>
      </c>
      <c r="R1739" t="s">
        <v>53</v>
      </c>
      <c r="S1739" t="s">
        <v>381</v>
      </c>
      <c r="T1739" t="s">
        <v>8388</v>
      </c>
      <c r="U1739" t="s">
        <v>53</v>
      </c>
      <c r="V1739" t="s">
        <v>51</v>
      </c>
      <c r="W1739">
        <v>40000</v>
      </c>
      <c r="X1739" t="s">
        <v>53</v>
      </c>
      <c r="AA1739">
        <v>2</v>
      </c>
      <c r="AB1739">
        <v>1</v>
      </c>
      <c r="AC1739">
        <v>1</v>
      </c>
      <c r="AD1739">
        <v>2</v>
      </c>
      <c r="AE1739">
        <v>2</v>
      </c>
      <c r="AF1739">
        <v>0</v>
      </c>
      <c r="AG1739">
        <v>0</v>
      </c>
      <c r="AH1739">
        <v>9.1390803456306458E-2</v>
      </c>
      <c r="AJ1739">
        <v>27.664266586303711</v>
      </c>
      <c r="AK1739" t="s">
        <v>54</v>
      </c>
      <c r="AL1739" t="s">
        <v>54</v>
      </c>
      <c r="AQ1739" t="s">
        <v>54</v>
      </c>
      <c r="AT1739" t="s">
        <v>369</v>
      </c>
      <c r="AW1739" t="s">
        <v>54</v>
      </c>
      <c r="AZ1739" t="s">
        <v>54</v>
      </c>
      <c r="BA1739" t="s">
        <v>55</v>
      </c>
    </row>
    <row r="1740" spans="1:53" x14ac:dyDescent="0.25">
      <c r="A1740">
        <v>1735</v>
      </c>
      <c r="B1740" t="s">
        <v>8454</v>
      </c>
      <c r="C1740" t="s">
        <v>8455</v>
      </c>
      <c r="D1740" t="s">
        <v>8449</v>
      </c>
      <c r="E1740">
        <v>10</v>
      </c>
      <c r="F1740" t="s">
        <v>45</v>
      </c>
      <c r="G1740" t="s">
        <v>366</v>
      </c>
      <c r="H1740" t="s">
        <v>380</v>
      </c>
      <c r="L1740" t="s">
        <v>8450</v>
      </c>
      <c r="M1740">
        <v>3.0309563502669331E-2</v>
      </c>
      <c r="N1740" t="s">
        <v>54</v>
      </c>
      <c r="O1740" t="s">
        <v>53</v>
      </c>
      <c r="P1740" t="s">
        <v>53</v>
      </c>
      <c r="Q1740" t="s">
        <v>53</v>
      </c>
      <c r="R1740" t="s">
        <v>53</v>
      </c>
      <c r="S1740" t="s">
        <v>381</v>
      </c>
      <c r="T1740" t="s">
        <v>8388</v>
      </c>
      <c r="U1740" t="s">
        <v>53</v>
      </c>
      <c r="V1740" t="s">
        <v>51</v>
      </c>
      <c r="W1740">
        <v>225000</v>
      </c>
      <c r="X1740" t="s">
        <v>53</v>
      </c>
      <c r="AA1740">
        <v>0</v>
      </c>
      <c r="AB1740">
        <v>0</v>
      </c>
      <c r="AC1740">
        <v>0</v>
      </c>
      <c r="AD1740">
        <v>0</v>
      </c>
      <c r="AE1740">
        <v>0</v>
      </c>
      <c r="AF1740">
        <v>0</v>
      </c>
      <c r="AG1740">
        <v>0</v>
      </c>
      <c r="AH1740">
        <v>0</v>
      </c>
      <c r="AJ1740">
        <v>1.29563319683075</v>
      </c>
      <c r="AK1740" t="s">
        <v>54</v>
      </c>
      <c r="AL1740" t="s">
        <v>54</v>
      </c>
      <c r="AQ1740" t="s">
        <v>54</v>
      </c>
      <c r="AT1740" t="s">
        <v>369</v>
      </c>
      <c r="AW1740" t="s">
        <v>54</v>
      </c>
      <c r="AZ1740" t="s">
        <v>54</v>
      </c>
      <c r="BA1740" t="s">
        <v>55</v>
      </c>
    </row>
    <row r="1741" spans="1:53" x14ac:dyDescent="0.25">
      <c r="A1741">
        <v>1736</v>
      </c>
      <c r="B1741" t="s">
        <v>8456</v>
      </c>
      <c r="C1741" t="s">
        <v>8457</v>
      </c>
      <c r="D1741" t="s">
        <v>8449</v>
      </c>
      <c r="E1741">
        <v>10</v>
      </c>
      <c r="F1741" t="s">
        <v>45</v>
      </c>
      <c r="G1741" t="s">
        <v>366</v>
      </c>
      <c r="H1741" t="s">
        <v>8453</v>
      </c>
      <c r="L1741" t="s">
        <v>8450</v>
      </c>
      <c r="M1741">
        <v>6.255900114774704E-2</v>
      </c>
      <c r="N1741" t="s">
        <v>54</v>
      </c>
      <c r="O1741" t="s">
        <v>53</v>
      </c>
      <c r="P1741" t="s">
        <v>53</v>
      </c>
      <c r="Q1741" t="s">
        <v>53</v>
      </c>
      <c r="R1741" t="s">
        <v>53</v>
      </c>
      <c r="S1741" t="s">
        <v>381</v>
      </c>
      <c r="T1741" t="s">
        <v>8458</v>
      </c>
      <c r="U1741" t="s">
        <v>53</v>
      </c>
      <c r="V1741" t="s">
        <v>51</v>
      </c>
      <c r="W1741">
        <v>75000</v>
      </c>
      <c r="X1741" t="s">
        <v>53</v>
      </c>
      <c r="AA1741">
        <v>2</v>
      </c>
      <c r="AB1741">
        <v>0</v>
      </c>
      <c r="AC1741">
        <v>0</v>
      </c>
      <c r="AD1741">
        <v>0</v>
      </c>
      <c r="AE1741">
        <v>0</v>
      </c>
      <c r="AF1741">
        <v>0</v>
      </c>
      <c r="AG1741">
        <v>0</v>
      </c>
      <c r="AH1741">
        <v>0</v>
      </c>
      <c r="AJ1741">
        <v>35.263637542724609</v>
      </c>
      <c r="AK1741" t="s">
        <v>54</v>
      </c>
      <c r="AL1741" t="s">
        <v>54</v>
      </c>
      <c r="AQ1741" t="s">
        <v>54</v>
      </c>
      <c r="AT1741" t="s">
        <v>369</v>
      </c>
      <c r="AW1741" t="s">
        <v>8390</v>
      </c>
      <c r="AZ1741" t="s">
        <v>54</v>
      </c>
      <c r="BA1741" t="s">
        <v>55</v>
      </c>
    </row>
    <row r="1742" spans="1:53" x14ac:dyDescent="0.25">
      <c r="A1742">
        <v>1737</v>
      </c>
      <c r="B1742" t="s">
        <v>8459</v>
      </c>
      <c r="C1742" t="s">
        <v>8460</v>
      </c>
      <c r="D1742" t="s">
        <v>8461</v>
      </c>
      <c r="E1742">
        <v>10</v>
      </c>
      <c r="F1742" t="s">
        <v>45</v>
      </c>
      <c r="G1742" t="s">
        <v>504</v>
      </c>
      <c r="H1742" t="s">
        <v>211</v>
      </c>
      <c r="L1742" t="s">
        <v>81</v>
      </c>
      <c r="M1742">
        <v>3.9882786571979523E-2</v>
      </c>
      <c r="N1742" t="s">
        <v>54</v>
      </c>
      <c r="O1742" t="s">
        <v>53</v>
      </c>
      <c r="P1742" t="s">
        <v>53</v>
      </c>
      <c r="Q1742" t="s">
        <v>53</v>
      </c>
      <c r="R1742" t="s">
        <v>53</v>
      </c>
      <c r="S1742" t="s">
        <v>505</v>
      </c>
      <c r="T1742" t="s">
        <v>8462</v>
      </c>
      <c r="U1742" t="s">
        <v>53</v>
      </c>
      <c r="V1742" t="s">
        <v>51</v>
      </c>
      <c r="W1742">
        <v>100000</v>
      </c>
      <c r="X1742" t="s">
        <v>53</v>
      </c>
      <c r="AA1742">
        <v>18</v>
      </c>
      <c r="AB1742">
        <v>18</v>
      </c>
      <c r="AC1742">
        <v>11</v>
      </c>
      <c r="AD1742">
        <v>27</v>
      </c>
      <c r="AE1742">
        <v>27</v>
      </c>
      <c r="AF1742">
        <v>0</v>
      </c>
      <c r="AG1742">
        <v>0</v>
      </c>
      <c r="AH1742">
        <v>0.42453712224960333</v>
      </c>
      <c r="AJ1742">
        <v>12.70980167388916</v>
      </c>
      <c r="AK1742" t="s">
        <v>54</v>
      </c>
      <c r="AL1742" t="s">
        <v>54</v>
      </c>
      <c r="AQ1742" t="s">
        <v>54</v>
      </c>
      <c r="AT1742" t="s">
        <v>506</v>
      </c>
      <c r="AW1742" t="s">
        <v>54</v>
      </c>
      <c r="AZ1742" t="s">
        <v>54</v>
      </c>
      <c r="BA1742" t="s">
        <v>55</v>
      </c>
    </row>
    <row r="1743" spans="1:53" x14ac:dyDescent="0.25">
      <c r="A1743">
        <v>1738</v>
      </c>
      <c r="B1743" t="s">
        <v>8463</v>
      </c>
      <c r="C1743" t="s">
        <v>8464</v>
      </c>
      <c r="D1743" t="s">
        <v>8465</v>
      </c>
      <c r="E1743">
        <v>10</v>
      </c>
      <c r="F1743" t="s">
        <v>45</v>
      </c>
      <c r="G1743" t="s">
        <v>348</v>
      </c>
      <c r="H1743" t="s">
        <v>8466</v>
      </c>
      <c r="L1743" t="s">
        <v>81</v>
      </c>
      <c r="M1743">
        <v>676.03936767578125</v>
      </c>
      <c r="N1743" t="s">
        <v>54</v>
      </c>
      <c r="O1743" t="s">
        <v>53</v>
      </c>
      <c r="P1743" t="s">
        <v>54</v>
      </c>
      <c r="Q1743" t="s">
        <v>53</v>
      </c>
      <c r="R1743" t="s">
        <v>53</v>
      </c>
      <c r="S1743" t="s">
        <v>8467</v>
      </c>
      <c r="T1743" t="s">
        <v>8462</v>
      </c>
      <c r="U1743" t="s">
        <v>53</v>
      </c>
      <c r="V1743" t="s">
        <v>51</v>
      </c>
      <c r="W1743">
        <v>500000</v>
      </c>
      <c r="X1743" t="s">
        <v>53</v>
      </c>
      <c r="AA1743">
        <v>581</v>
      </c>
      <c r="AB1743">
        <v>377</v>
      </c>
      <c r="AC1743">
        <v>1437</v>
      </c>
      <c r="AD1743">
        <v>852</v>
      </c>
      <c r="AE1743">
        <v>1437</v>
      </c>
      <c r="AF1743">
        <v>2</v>
      </c>
      <c r="AG1743">
        <v>68</v>
      </c>
      <c r="AH1743">
        <v>15.60885524749756</v>
      </c>
      <c r="AJ1743">
        <v>11874.7119140625</v>
      </c>
      <c r="AK1743" t="s">
        <v>54</v>
      </c>
      <c r="AL1743" t="s">
        <v>54</v>
      </c>
      <c r="AQ1743" t="s">
        <v>54</v>
      </c>
      <c r="AT1743" t="s">
        <v>203</v>
      </c>
      <c r="AW1743" t="s">
        <v>8390</v>
      </c>
      <c r="AZ1743" t="s">
        <v>54</v>
      </c>
      <c r="BA1743" t="s">
        <v>55</v>
      </c>
    </row>
    <row r="1744" spans="1:53" x14ac:dyDescent="0.25">
      <c r="A1744">
        <v>1739</v>
      </c>
      <c r="B1744" t="s">
        <v>8468</v>
      </c>
      <c r="C1744" t="s">
        <v>8469</v>
      </c>
      <c r="D1744" t="s">
        <v>8470</v>
      </c>
      <c r="E1744">
        <v>10</v>
      </c>
      <c r="F1744" t="s">
        <v>45</v>
      </c>
      <c r="G1744" t="s">
        <v>504</v>
      </c>
      <c r="H1744" t="s">
        <v>211</v>
      </c>
      <c r="L1744" t="s">
        <v>48</v>
      </c>
      <c r="M1744">
        <v>2.2938311100006099</v>
      </c>
      <c r="N1744" t="s">
        <v>54</v>
      </c>
      <c r="O1744" t="s">
        <v>53</v>
      </c>
      <c r="P1744" t="s">
        <v>53</v>
      </c>
      <c r="Q1744" t="s">
        <v>53</v>
      </c>
      <c r="R1744" t="s">
        <v>53</v>
      </c>
      <c r="S1744" t="s">
        <v>534</v>
      </c>
      <c r="T1744" t="s">
        <v>8471</v>
      </c>
      <c r="U1744" t="s">
        <v>53</v>
      </c>
      <c r="V1744" t="s">
        <v>51</v>
      </c>
      <c r="W1744">
        <v>1950000</v>
      </c>
      <c r="X1744" t="s">
        <v>53</v>
      </c>
      <c r="AA1744">
        <v>31</v>
      </c>
      <c r="AB1744">
        <v>12</v>
      </c>
      <c r="AC1744">
        <v>39</v>
      </c>
      <c r="AD1744">
        <v>27</v>
      </c>
      <c r="AE1744">
        <v>39</v>
      </c>
      <c r="AF1744">
        <v>0</v>
      </c>
      <c r="AG1744">
        <v>3</v>
      </c>
      <c r="AH1744">
        <v>3.1300592422485352</v>
      </c>
      <c r="AJ1744">
        <v>72.693153381347656</v>
      </c>
      <c r="AK1744" t="s">
        <v>54</v>
      </c>
      <c r="AL1744" t="s">
        <v>54</v>
      </c>
      <c r="AQ1744" t="s">
        <v>54</v>
      </c>
      <c r="AT1744" t="s">
        <v>203</v>
      </c>
      <c r="AW1744" t="s">
        <v>54</v>
      </c>
      <c r="AZ1744" t="s">
        <v>54</v>
      </c>
      <c r="BA1744" t="s">
        <v>55</v>
      </c>
    </row>
    <row r="1745" spans="1:53" x14ac:dyDescent="0.25">
      <c r="A1745">
        <v>1740</v>
      </c>
      <c r="B1745" t="s">
        <v>8472</v>
      </c>
      <c r="C1745" t="s">
        <v>8473</v>
      </c>
      <c r="D1745" t="s">
        <v>8474</v>
      </c>
      <c r="E1745">
        <v>10</v>
      </c>
      <c r="F1745" t="s">
        <v>45</v>
      </c>
      <c r="G1745" t="s">
        <v>504</v>
      </c>
      <c r="H1745" t="s">
        <v>211</v>
      </c>
      <c r="L1745" t="s">
        <v>8475</v>
      </c>
      <c r="M1745">
        <v>0.46711516380310059</v>
      </c>
      <c r="N1745" t="s">
        <v>54</v>
      </c>
      <c r="O1745" t="s">
        <v>53</v>
      </c>
      <c r="P1745" t="s">
        <v>53</v>
      </c>
      <c r="Q1745" t="s">
        <v>53</v>
      </c>
      <c r="R1745" t="s">
        <v>53</v>
      </c>
      <c r="S1745" t="s">
        <v>8444</v>
      </c>
      <c r="T1745" t="s">
        <v>8471</v>
      </c>
      <c r="U1745" t="s">
        <v>53</v>
      </c>
      <c r="V1745" t="s">
        <v>51</v>
      </c>
      <c r="W1745">
        <v>150000</v>
      </c>
      <c r="X1745" t="s">
        <v>53</v>
      </c>
      <c r="AA1745">
        <v>3</v>
      </c>
      <c r="AB1745">
        <v>3</v>
      </c>
      <c r="AC1745">
        <v>3</v>
      </c>
      <c r="AD1745">
        <v>8</v>
      </c>
      <c r="AE1745">
        <v>8</v>
      </c>
      <c r="AF1745">
        <v>0</v>
      </c>
      <c r="AG1745">
        <v>1</v>
      </c>
      <c r="AH1745">
        <v>2.3240832611918449E-2</v>
      </c>
      <c r="AJ1745">
        <v>1.288966059684753</v>
      </c>
      <c r="AK1745" t="s">
        <v>54</v>
      </c>
      <c r="AL1745" t="s">
        <v>54</v>
      </c>
      <c r="AQ1745" t="s">
        <v>54</v>
      </c>
      <c r="AT1745" t="s">
        <v>203</v>
      </c>
      <c r="AW1745" t="s">
        <v>54</v>
      </c>
      <c r="AZ1745" t="s">
        <v>54</v>
      </c>
      <c r="BA1745" t="s">
        <v>55</v>
      </c>
    </row>
    <row r="1746" spans="1:53" x14ac:dyDescent="0.25">
      <c r="A1746">
        <v>1741</v>
      </c>
      <c r="B1746" t="s">
        <v>8476</v>
      </c>
      <c r="C1746" t="s">
        <v>8477</v>
      </c>
      <c r="D1746" t="s">
        <v>8478</v>
      </c>
      <c r="E1746">
        <v>10</v>
      </c>
      <c r="F1746" t="s">
        <v>45</v>
      </c>
      <c r="G1746" t="s">
        <v>504</v>
      </c>
      <c r="H1746" t="s">
        <v>211</v>
      </c>
      <c r="L1746" t="s">
        <v>59</v>
      </c>
      <c r="M1746">
        <v>13.219034194946291</v>
      </c>
      <c r="N1746" t="s">
        <v>54</v>
      </c>
      <c r="O1746" t="s">
        <v>53</v>
      </c>
      <c r="P1746" t="s">
        <v>53</v>
      </c>
      <c r="Q1746" t="s">
        <v>53</v>
      </c>
      <c r="R1746" t="s">
        <v>53</v>
      </c>
      <c r="S1746" t="s">
        <v>534</v>
      </c>
      <c r="T1746" t="s">
        <v>8471</v>
      </c>
      <c r="U1746" t="s">
        <v>53</v>
      </c>
      <c r="V1746" t="s">
        <v>51</v>
      </c>
      <c r="W1746">
        <v>100000</v>
      </c>
      <c r="X1746" t="s">
        <v>53</v>
      </c>
      <c r="AA1746">
        <v>653</v>
      </c>
      <c r="AB1746">
        <v>464</v>
      </c>
      <c r="AC1746">
        <v>19198</v>
      </c>
      <c r="AD1746">
        <v>2859</v>
      </c>
      <c r="AE1746">
        <v>19198</v>
      </c>
      <c r="AF1746">
        <v>1</v>
      </c>
      <c r="AG1746">
        <v>12</v>
      </c>
      <c r="AH1746">
        <v>13.95950222015381</v>
      </c>
      <c r="AJ1746">
        <v>51.672863006591797</v>
      </c>
      <c r="AK1746" t="s">
        <v>54</v>
      </c>
      <c r="AL1746" t="s">
        <v>54</v>
      </c>
      <c r="AQ1746" t="s">
        <v>54</v>
      </c>
      <c r="AT1746" t="s">
        <v>8479</v>
      </c>
      <c r="AW1746" t="s">
        <v>54</v>
      </c>
      <c r="AZ1746" t="s">
        <v>54</v>
      </c>
      <c r="BA1746" t="s">
        <v>55</v>
      </c>
    </row>
    <row r="1747" spans="1:53" x14ac:dyDescent="0.25">
      <c r="A1747">
        <v>1742</v>
      </c>
      <c r="B1747" t="s">
        <v>8480</v>
      </c>
      <c r="C1747" t="s">
        <v>8481</v>
      </c>
      <c r="D1747" t="s">
        <v>8482</v>
      </c>
      <c r="E1747">
        <v>10</v>
      </c>
      <c r="F1747" t="s">
        <v>45</v>
      </c>
      <c r="G1747" t="s">
        <v>504</v>
      </c>
      <c r="H1747" t="s">
        <v>211</v>
      </c>
      <c r="L1747" t="s">
        <v>589</v>
      </c>
      <c r="M1747">
        <v>2.7075061798095699</v>
      </c>
      <c r="N1747" t="s">
        <v>54</v>
      </c>
      <c r="O1747" t="s">
        <v>53</v>
      </c>
      <c r="P1747" t="s">
        <v>53</v>
      </c>
      <c r="Q1747" t="s">
        <v>53</v>
      </c>
      <c r="R1747" t="s">
        <v>53</v>
      </c>
      <c r="S1747" t="s">
        <v>534</v>
      </c>
      <c r="T1747" t="s">
        <v>8471</v>
      </c>
      <c r="U1747" t="s">
        <v>53</v>
      </c>
      <c r="V1747" t="s">
        <v>51</v>
      </c>
      <c r="W1747">
        <v>150000</v>
      </c>
      <c r="X1747" t="s">
        <v>53</v>
      </c>
      <c r="AA1747">
        <v>207</v>
      </c>
      <c r="AB1747">
        <v>179</v>
      </c>
      <c r="AC1747">
        <v>1103</v>
      </c>
      <c r="AD1747">
        <v>591</v>
      </c>
      <c r="AE1747">
        <v>1103</v>
      </c>
      <c r="AF1747">
        <v>0</v>
      </c>
      <c r="AG1747">
        <v>5</v>
      </c>
      <c r="AH1747">
        <v>2.5807714462280269</v>
      </c>
      <c r="AJ1747">
        <v>0.41466644406318659</v>
      </c>
      <c r="AK1747" t="s">
        <v>54</v>
      </c>
      <c r="AL1747" t="s">
        <v>54</v>
      </c>
      <c r="AQ1747" t="s">
        <v>54</v>
      </c>
      <c r="AT1747" t="s">
        <v>8479</v>
      </c>
      <c r="AW1747" t="s">
        <v>54</v>
      </c>
      <c r="AZ1747" t="s">
        <v>54</v>
      </c>
      <c r="BA1747" t="s">
        <v>55</v>
      </c>
    </row>
    <row r="1748" spans="1:53" x14ac:dyDescent="0.25">
      <c r="A1748">
        <v>1743</v>
      </c>
      <c r="B1748" t="s">
        <v>8483</v>
      </c>
      <c r="C1748" t="s">
        <v>8484</v>
      </c>
      <c r="D1748" t="s">
        <v>8485</v>
      </c>
      <c r="E1748">
        <v>10</v>
      </c>
      <c r="F1748" t="s">
        <v>45</v>
      </c>
      <c r="G1748" t="s">
        <v>293</v>
      </c>
      <c r="H1748" t="s">
        <v>153</v>
      </c>
      <c r="L1748" t="s">
        <v>123</v>
      </c>
      <c r="M1748">
        <v>1.1939434334635729E-2</v>
      </c>
      <c r="N1748" t="s">
        <v>54</v>
      </c>
      <c r="O1748" t="s">
        <v>53</v>
      </c>
      <c r="P1748" t="s">
        <v>53</v>
      </c>
      <c r="Q1748" t="s">
        <v>53</v>
      </c>
      <c r="R1748" t="s">
        <v>53</v>
      </c>
      <c r="S1748" t="s">
        <v>294</v>
      </c>
      <c r="T1748" t="s">
        <v>8384</v>
      </c>
      <c r="U1748" t="s">
        <v>53</v>
      </c>
      <c r="V1748" t="s">
        <v>51</v>
      </c>
      <c r="W1748">
        <v>50000</v>
      </c>
      <c r="X1748" t="s">
        <v>53</v>
      </c>
      <c r="AA1748">
        <v>4</v>
      </c>
      <c r="AB1748">
        <v>4</v>
      </c>
      <c r="AC1748">
        <v>0</v>
      </c>
      <c r="AD1748">
        <v>5</v>
      </c>
      <c r="AE1748">
        <v>5</v>
      </c>
      <c r="AF1748">
        <v>0</v>
      </c>
      <c r="AG1748">
        <v>0</v>
      </c>
      <c r="AH1748">
        <v>0</v>
      </c>
      <c r="AJ1748">
        <v>0</v>
      </c>
      <c r="AK1748" t="s">
        <v>54</v>
      </c>
      <c r="AL1748" t="s">
        <v>54</v>
      </c>
      <c r="AQ1748" t="s">
        <v>54</v>
      </c>
      <c r="AT1748" t="s">
        <v>8486</v>
      </c>
      <c r="AW1748" t="s">
        <v>53</v>
      </c>
      <c r="AZ1748" t="s">
        <v>54</v>
      </c>
      <c r="BA1748" t="s">
        <v>55</v>
      </c>
    </row>
    <row r="1749" spans="1:53" x14ac:dyDescent="0.25">
      <c r="A1749">
        <v>1744</v>
      </c>
      <c r="B1749" t="s">
        <v>8487</v>
      </c>
      <c r="C1749" t="s">
        <v>8488</v>
      </c>
      <c r="D1749" t="s">
        <v>8489</v>
      </c>
      <c r="E1749">
        <v>10</v>
      </c>
      <c r="F1749" t="s">
        <v>45</v>
      </c>
      <c r="G1749" t="s">
        <v>293</v>
      </c>
      <c r="H1749" t="s">
        <v>153</v>
      </c>
      <c r="L1749" t="s">
        <v>48</v>
      </c>
      <c r="M1749">
        <v>8.4813117980957031E-2</v>
      </c>
      <c r="N1749" t="s">
        <v>54</v>
      </c>
      <c r="O1749" t="s">
        <v>53</v>
      </c>
      <c r="P1749" t="s">
        <v>54</v>
      </c>
      <c r="Q1749" t="s">
        <v>53</v>
      </c>
      <c r="R1749" t="s">
        <v>53</v>
      </c>
      <c r="S1749" t="s">
        <v>294</v>
      </c>
      <c r="T1749" t="s">
        <v>8384</v>
      </c>
      <c r="U1749" t="s">
        <v>53</v>
      </c>
      <c r="V1749" t="s">
        <v>51</v>
      </c>
      <c r="W1749">
        <v>600000</v>
      </c>
      <c r="X1749" t="s">
        <v>53</v>
      </c>
      <c r="AA1749">
        <v>0</v>
      </c>
      <c r="AB1749">
        <v>0</v>
      </c>
      <c r="AC1749">
        <v>0</v>
      </c>
      <c r="AD1749">
        <v>0</v>
      </c>
      <c r="AE1749">
        <v>0</v>
      </c>
      <c r="AF1749">
        <v>0</v>
      </c>
      <c r="AG1749">
        <v>0</v>
      </c>
      <c r="AH1749">
        <v>0</v>
      </c>
      <c r="AJ1749">
        <v>0</v>
      </c>
      <c r="AK1749" t="s">
        <v>54</v>
      </c>
      <c r="AL1749" t="s">
        <v>54</v>
      </c>
      <c r="AQ1749" t="s">
        <v>54</v>
      </c>
      <c r="AT1749" t="s">
        <v>8486</v>
      </c>
      <c r="AW1749" t="s">
        <v>53</v>
      </c>
      <c r="AZ1749" t="s">
        <v>54</v>
      </c>
      <c r="BA1749" t="s">
        <v>55</v>
      </c>
    </row>
    <row r="1750" spans="1:53" x14ac:dyDescent="0.25">
      <c r="A1750">
        <v>1745</v>
      </c>
      <c r="B1750" t="s">
        <v>8490</v>
      </c>
      <c r="C1750" t="s">
        <v>8491</v>
      </c>
      <c r="D1750" t="s">
        <v>8492</v>
      </c>
      <c r="E1750">
        <v>10</v>
      </c>
      <c r="F1750" t="s">
        <v>45</v>
      </c>
      <c r="G1750" t="s">
        <v>566</v>
      </c>
      <c r="H1750" t="s">
        <v>8493</v>
      </c>
      <c r="L1750" t="s">
        <v>8494</v>
      </c>
      <c r="M1750">
        <v>0.59552997350692749</v>
      </c>
      <c r="N1750" t="s">
        <v>54</v>
      </c>
      <c r="O1750" t="s">
        <v>53</v>
      </c>
      <c r="P1750" t="s">
        <v>54</v>
      </c>
      <c r="Q1750" t="s">
        <v>53</v>
      </c>
      <c r="R1750" t="s">
        <v>53</v>
      </c>
      <c r="S1750" t="s">
        <v>123</v>
      </c>
      <c r="T1750" t="s">
        <v>8495</v>
      </c>
      <c r="U1750" t="s">
        <v>53</v>
      </c>
      <c r="V1750" t="s">
        <v>8496</v>
      </c>
      <c r="W1750">
        <v>300000</v>
      </c>
      <c r="X1750" t="s">
        <v>53</v>
      </c>
      <c r="AA1750">
        <v>48</v>
      </c>
      <c r="AB1750">
        <v>31</v>
      </c>
      <c r="AC1750">
        <v>65</v>
      </c>
      <c r="AD1750">
        <v>28</v>
      </c>
      <c r="AE1750">
        <v>65</v>
      </c>
      <c r="AF1750">
        <v>0</v>
      </c>
      <c r="AG1750">
        <v>0</v>
      </c>
      <c r="AH1750">
        <v>1.4144659042358401</v>
      </c>
      <c r="AJ1750">
        <v>112.0524215698242</v>
      </c>
      <c r="AK1750" t="s">
        <v>54</v>
      </c>
      <c r="AL1750" t="s">
        <v>53</v>
      </c>
      <c r="AQ1750" t="s">
        <v>53</v>
      </c>
      <c r="AT1750" t="s">
        <v>8497</v>
      </c>
      <c r="AU1750" s="148">
        <v>44562</v>
      </c>
      <c r="AW1750" t="s">
        <v>54</v>
      </c>
      <c r="AZ1750" t="s">
        <v>54</v>
      </c>
      <c r="BA1750" t="s">
        <v>55</v>
      </c>
    </row>
    <row r="1751" spans="1:53" x14ac:dyDescent="0.25">
      <c r="A1751">
        <v>1746</v>
      </c>
      <c r="B1751" t="s">
        <v>8498</v>
      </c>
      <c r="C1751" t="s">
        <v>8499</v>
      </c>
      <c r="D1751" t="s">
        <v>8496</v>
      </c>
      <c r="E1751">
        <v>10</v>
      </c>
      <c r="F1751" t="s">
        <v>45</v>
      </c>
      <c r="G1751" t="s">
        <v>366</v>
      </c>
      <c r="H1751" t="s">
        <v>8500</v>
      </c>
      <c r="L1751" t="s">
        <v>8494</v>
      </c>
      <c r="M1751">
        <v>700.13555908203125</v>
      </c>
      <c r="N1751" t="s">
        <v>54</v>
      </c>
      <c r="O1751" t="s">
        <v>53</v>
      </c>
      <c r="P1751" t="s">
        <v>54</v>
      </c>
      <c r="Q1751" t="s">
        <v>53</v>
      </c>
      <c r="R1751" t="s">
        <v>53</v>
      </c>
      <c r="S1751" t="s">
        <v>381</v>
      </c>
      <c r="T1751" t="s">
        <v>8501</v>
      </c>
      <c r="U1751" t="s">
        <v>53</v>
      </c>
      <c r="V1751" t="s">
        <v>8496</v>
      </c>
      <c r="W1751">
        <v>4000000</v>
      </c>
      <c r="X1751" t="s">
        <v>53</v>
      </c>
      <c r="AA1751">
        <v>717</v>
      </c>
      <c r="AB1751">
        <v>483</v>
      </c>
      <c r="AC1751">
        <v>774</v>
      </c>
      <c r="AD1751">
        <v>713</v>
      </c>
      <c r="AE1751">
        <v>774</v>
      </c>
      <c r="AF1751">
        <v>1</v>
      </c>
      <c r="AG1751">
        <v>3</v>
      </c>
      <c r="AH1751">
        <v>58.836460113525391</v>
      </c>
      <c r="AJ1751">
        <v>58758.9140625</v>
      </c>
      <c r="AK1751" t="s">
        <v>54</v>
      </c>
      <c r="AL1751" t="s">
        <v>53</v>
      </c>
      <c r="AQ1751" t="s">
        <v>53</v>
      </c>
      <c r="AT1751" t="s">
        <v>8502</v>
      </c>
      <c r="AW1751" t="s">
        <v>8390</v>
      </c>
      <c r="AZ1751" t="s">
        <v>54</v>
      </c>
      <c r="BA1751" t="s">
        <v>55</v>
      </c>
    </row>
    <row r="1752" spans="1:53" x14ac:dyDescent="0.25">
      <c r="A1752">
        <v>1747</v>
      </c>
      <c r="B1752" t="s">
        <v>8503</v>
      </c>
      <c r="C1752" t="s">
        <v>8504</v>
      </c>
      <c r="D1752" t="s">
        <v>8496</v>
      </c>
      <c r="E1752">
        <v>10</v>
      </c>
      <c r="F1752" t="s">
        <v>45</v>
      </c>
      <c r="G1752" t="s">
        <v>566</v>
      </c>
      <c r="H1752" t="s">
        <v>8505</v>
      </c>
      <c r="L1752" t="s">
        <v>8494</v>
      </c>
      <c r="M1752">
        <v>33.449672698974609</v>
      </c>
      <c r="N1752" t="s">
        <v>54</v>
      </c>
      <c r="O1752" t="s">
        <v>53</v>
      </c>
      <c r="P1752" t="s">
        <v>54</v>
      </c>
      <c r="Q1752" t="s">
        <v>53</v>
      </c>
      <c r="R1752" t="s">
        <v>53</v>
      </c>
      <c r="S1752" t="s">
        <v>567</v>
      </c>
      <c r="T1752" t="s">
        <v>8409</v>
      </c>
      <c r="U1752" t="s">
        <v>53</v>
      </c>
      <c r="V1752" t="s">
        <v>8496</v>
      </c>
      <c r="W1752">
        <v>612500</v>
      </c>
      <c r="X1752" t="s">
        <v>53</v>
      </c>
      <c r="AA1752">
        <v>1820</v>
      </c>
      <c r="AB1752">
        <v>1293</v>
      </c>
      <c r="AC1752">
        <v>4600</v>
      </c>
      <c r="AD1752">
        <v>3058</v>
      </c>
      <c r="AE1752">
        <v>4600</v>
      </c>
      <c r="AF1752">
        <v>1</v>
      </c>
      <c r="AG1752">
        <v>4</v>
      </c>
      <c r="AH1752">
        <v>45.233211517333977</v>
      </c>
      <c r="AJ1752">
        <v>5707.2919921875</v>
      </c>
      <c r="AK1752" t="s">
        <v>54</v>
      </c>
      <c r="AL1752" t="s">
        <v>53</v>
      </c>
      <c r="AQ1752" t="s">
        <v>53</v>
      </c>
      <c r="AT1752" t="s">
        <v>8506</v>
      </c>
      <c r="AU1752" s="148">
        <v>37987</v>
      </c>
      <c r="AW1752" t="s">
        <v>54</v>
      </c>
      <c r="AZ1752" t="s">
        <v>54</v>
      </c>
      <c r="BA1752" t="s">
        <v>55</v>
      </c>
    </row>
    <row r="1753" spans="1:53" x14ac:dyDescent="0.25">
      <c r="A1753">
        <v>1748</v>
      </c>
      <c r="B1753" t="s">
        <v>8507</v>
      </c>
      <c r="C1753" t="s">
        <v>8508</v>
      </c>
      <c r="D1753" t="s">
        <v>47</v>
      </c>
      <c r="E1753">
        <v>10</v>
      </c>
      <c r="F1753" t="s">
        <v>45</v>
      </c>
      <c r="G1753" t="s">
        <v>566</v>
      </c>
      <c r="H1753" t="s">
        <v>8509</v>
      </c>
      <c r="L1753" t="s">
        <v>8510</v>
      </c>
      <c r="M1753">
        <v>31.414541244506839</v>
      </c>
      <c r="N1753" t="s">
        <v>54</v>
      </c>
      <c r="O1753" t="s">
        <v>53</v>
      </c>
      <c r="P1753" t="s">
        <v>54</v>
      </c>
      <c r="Q1753" t="s">
        <v>53</v>
      </c>
      <c r="R1753" t="s">
        <v>53</v>
      </c>
      <c r="S1753" t="s">
        <v>123</v>
      </c>
      <c r="T1753" t="s">
        <v>586</v>
      </c>
      <c r="U1753" t="s">
        <v>53</v>
      </c>
      <c r="V1753" t="s">
        <v>51</v>
      </c>
      <c r="W1753">
        <v>150000</v>
      </c>
      <c r="X1753" t="s">
        <v>53</v>
      </c>
      <c r="AA1753">
        <v>755</v>
      </c>
      <c r="AB1753">
        <v>618</v>
      </c>
      <c r="AC1753">
        <v>1235</v>
      </c>
      <c r="AD1753">
        <v>1167</v>
      </c>
      <c r="AE1753">
        <v>1235</v>
      </c>
      <c r="AF1753">
        <v>0</v>
      </c>
      <c r="AG1753">
        <v>0</v>
      </c>
      <c r="AH1753">
        <v>22.303960800170898</v>
      </c>
      <c r="AJ1753">
        <v>5475.359375</v>
      </c>
      <c r="AK1753" t="s">
        <v>54</v>
      </c>
      <c r="AL1753" t="s">
        <v>54</v>
      </c>
      <c r="AQ1753" t="s">
        <v>54</v>
      </c>
      <c r="AT1753" t="s">
        <v>8511</v>
      </c>
      <c r="AU1753" s="148">
        <v>39448</v>
      </c>
      <c r="AW1753" t="s">
        <v>54</v>
      </c>
      <c r="AZ1753" t="s">
        <v>54</v>
      </c>
      <c r="BA1753" t="s">
        <v>55</v>
      </c>
    </row>
    <row r="1754" spans="1:53" x14ac:dyDescent="0.25">
      <c r="A1754">
        <v>1749</v>
      </c>
      <c r="B1754" t="s">
        <v>8512</v>
      </c>
      <c r="C1754" t="s">
        <v>8513</v>
      </c>
      <c r="D1754" t="s">
        <v>47</v>
      </c>
      <c r="E1754">
        <v>10</v>
      </c>
      <c r="F1754" t="s">
        <v>45</v>
      </c>
      <c r="G1754" t="s">
        <v>566</v>
      </c>
      <c r="H1754" t="s">
        <v>374</v>
      </c>
      <c r="L1754" t="s">
        <v>8494</v>
      </c>
      <c r="M1754">
        <v>0.82135027647018433</v>
      </c>
      <c r="N1754" t="s">
        <v>54</v>
      </c>
      <c r="O1754" t="s">
        <v>53</v>
      </c>
      <c r="P1754" t="s">
        <v>54</v>
      </c>
      <c r="Q1754" t="s">
        <v>53</v>
      </c>
      <c r="R1754" t="s">
        <v>53</v>
      </c>
      <c r="S1754" t="s">
        <v>123</v>
      </c>
      <c r="T1754" t="s">
        <v>8514</v>
      </c>
      <c r="U1754" t="s">
        <v>53</v>
      </c>
      <c r="V1754" t="s">
        <v>8496</v>
      </c>
      <c r="W1754">
        <v>400000</v>
      </c>
      <c r="X1754" t="s">
        <v>53</v>
      </c>
      <c r="AA1754">
        <v>20</v>
      </c>
      <c r="AB1754">
        <v>12</v>
      </c>
      <c r="AC1754">
        <v>21</v>
      </c>
      <c r="AD1754">
        <v>18</v>
      </c>
      <c r="AE1754">
        <v>21</v>
      </c>
      <c r="AF1754">
        <v>0</v>
      </c>
      <c r="AG1754">
        <v>0</v>
      </c>
      <c r="AH1754">
        <v>8.5914433002471924E-2</v>
      </c>
      <c r="AJ1754">
        <v>16.18515586853027</v>
      </c>
      <c r="AK1754" t="s">
        <v>54</v>
      </c>
      <c r="AL1754" t="s">
        <v>54</v>
      </c>
      <c r="AQ1754" t="s">
        <v>54</v>
      </c>
      <c r="AT1754" t="s">
        <v>8515</v>
      </c>
      <c r="AU1754" s="148">
        <v>39448</v>
      </c>
      <c r="AW1754" t="s">
        <v>54</v>
      </c>
      <c r="AZ1754" t="s">
        <v>54</v>
      </c>
      <c r="BA1754" t="s">
        <v>55</v>
      </c>
    </row>
    <row r="1755" spans="1:53" x14ac:dyDescent="0.25">
      <c r="A1755">
        <v>1750</v>
      </c>
      <c r="B1755" t="s">
        <v>8516</v>
      </c>
      <c r="C1755" t="s">
        <v>8517</v>
      </c>
      <c r="D1755" t="s">
        <v>8496</v>
      </c>
      <c r="E1755">
        <v>10</v>
      </c>
      <c r="F1755" t="s">
        <v>45</v>
      </c>
      <c r="G1755" t="s">
        <v>566</v>
      </c>
      <c r="H1755" t="s">
        <v>8518</v>
      </c>
      <c r="L1755" t="s">
        <v>8494</v>
      </c>
      <c r="M1755">
        <v>1090.719482421875</v>
      </c>
      <c r="N1755" t="s">
        <v>54</v>
      </c>
      <c r="O1755" t="s">
        <v>53</v>
      </c>
      <c r="P1755" t="s">
        <v>54</v>
      </c>
      <c r="Q1755" t="s">
        <v>53</v>
      </c>
      <c r="R1755" t="s">
        <v>53</v>
      </c>
      <c r="S1755" t="s">
        <v>123</v>
      </c>
      <c r="T1755" t="s">
        <v>8519</v>
      </c>
      <c r="U1755" t="s">
        <v>53</v>
      </c>
      <c r="V1755" t="s">
        <v>8496</v>
      </c>
      <c r="W1755">
        <v>4000000</v>
      </c>
      <c r="X1755" t="s">
        <v>53</v>
      </c>
      <c r="AA1755">
        <v>7119</v>
      </c>
      <c r="AB1755">
        <v>5091</v>
      </c>
      <c r="AC1755">
        <v>15780</v>
      </c>
      <c r="AD1755">
        <v>11321</v>
      </c>
      <c r="AE1755">
        <v>15780</v>
      </c>
      <c r="AF1755">
        <v>8</v>
      </c>
      <c r="AG1755">
        <v>18</v>
      </c>
      <c r="AH1755">
        <v>367.95217895507813</v>
      </c>
      <c r="AJ1755">
        <v>177474.015625</v>
      </c>
      <c r="AK1755" t="s">
        <v>54</v>
      </c>
      <c r="AL1755" t="s">
        <v>54</v>
      </c>
      <c r="AQ1755" t="s">
        <v>54</v>
      </c>
      <c r="AT1755" t="s">
        <v>8515</v>
      </c>
      <c r="AU1755" s="148">
        <v>39448</v>
      </c>
      <c r="AW1755" t="s">
        <v>54</v>
      </c>
      <c r="AZ1755" t="s">
        <v>54</v>
      </c>
      <c r="BA1755" t="s">
        <v>55</v>
      </c>
    </row>
    <row r="1756" spans="1:53" x14ac:dyDescent="0.25">
      <c r="A1756">
        <v>1751</v>
      </c>
      <c r="B1756" t="s">
        <v>8520</v>
      </c>
      <c r="C1756" t="s">
        <v>8521</v>
      </c>
      <c r="D1756" t="s">
        <v>8496</v>
      </c>
      <c r="E1756">
        <v>10</v>
      </c>
      <c r="F1756" t="s">
        <v>45</v>
      </c>
      <c r="G1756" t="s">
        <v>169</v>
      </c>
      <c r="H1756" t="s">
        <v>8522</v>
      </c>
      <c r="L1756" t="s">
        <v>8494</v>
      </c>
      <c r="M1756">
        <v>506.65753173828119</v>
      </c>
      <c r="N1756" t="s">
        <v>54</v>
      </c>
      <c r="O1756" t="s">
        <v>53</v>
      </c>
      <c r="P1756" t="s">
        <v>53</v>
      </c>
      <c r="Q1756" t="s">
        <v>53</v>
      </c>
      <c r="R1756" t="s">
        <v>53</v>
      </c>
      <c r="S1756" t="s">
        <v>8523</v>
      </c>
      <c r="T1756" t="s">
        <v>8524</v>
      </c>
      <c r="U1756" t="s">
        <v>53</v>
      </c>
      <c r="V1756" t="s">
        <v>8496</v>
      </c>
      <c r="W1756">
        <v>990000</v>
      </c>
      <c r="X1756" t="s">
        <v>53</v>
      </c>
      <c r="AA1756">
        <v>7737</v>
      </c>
      <c r="AB1756">
        <v>5901</v>
      </c>
      <c r="AC1756">
        <v>6932</v>
      </c>
      <c r="AD1756">
        <v>11719</v>
      </c>
      <c r="AE1756">
        <v>11719</v>
      </c>
      <c r="AF1756">
        <v>10</v>
      </c>
      <c r="AG1756">
        <v>2</v>
      </c>
      <c r="AH1756">
        <v>219.72920227050781</v>
      </c>
      <c r="AJ1756">
        <v>37018.33984375</v>
      </c>
      <c r="AK1756" t="s">
        <v>54</v>
      </c>
      <c r="AL1756" t="s">
        <v>53</v>
      </c>
      <c r="AQ1756" t="s">
        <v>53</v>
      </c>
      <c r="AT1756" t="s">
        <v>8525</v>
      </c>
      <c r="AW1756" t="s">
        <v>54</v>
      </c>
      <c r="AZ1756" t="s">
        <v>54</v>
      </c>
      <c r="BA1756" t="s">
        <v>55</v>
      </c>
    </row>
    <row r="1757" spans="1:53" x14ac:dyDescent="0.25">
      <c r="A1757">
        <v>1752</v>
      </c>
      <c r="B1757" t="s">
        <v>8526</v>
      </c>
      <c r="C1757" t="s">
        <v>8527</v>
      </c>
      <c r="D1757" t="s">
        <v>8528</v>
      </c>
      <c r="E1757">
        <v>11</v>
      </c>
      <c r="F1757" t="s">
        <v>8529</v>
      </c>
      <c r="G1757" t="s">
        <v>417</v>
      </c>
      <c r="H1757" t="s">
        <v>8530</v>
      </c>
      <c r="K1757" t="s">
        <v>8531</v>
      </c>
      <c r="L1757" t="s">
        <v>8532</v>
      </c>
      <c r="M1757">
        <v>95.542366027832031</v>
      </c>
      <c r="N1757" t="s">
        <v>54</v>
      </c>
      <c r="O1757" t="s">
        <v>53</v>
      </c>
      <c r="P1757" t="s">
        <v>53</v>
      </c>
      <c r="Q1757" t="s">
        <v>53</v>
      </c>
      <c r="R1757" t="s">
        <v>53</v>
      </c>
      <c r="S1757" t="s">
        <v>8533</v>
      </c>
      <c r="T1757" t="s">
        <v>8534</v>
      </c>
      <c r="U1757" t="s">
        <v>53</v>
      </c>
      <c r="V1757" t="s">
        <v>138</v>
      </c>
      <c r="W1757">
        <v>100000</v>
      </c>
      <c r="X1757" t="s">
        <v>53</v>
      </c>
      <c r="AA1757">
        <v>462</v>
      </c>
      <c r="AB1757">
        <v>293</v>
      </c>
      <c r="AC1757">
        <v>244</v>
      </c>
      <c r="AD1757">
        <v>730</v>
      </c>
      <c r="AE1757">
        <v>730</v>
      </c>
      <c r="AF1757">
        <v>0</v>
      </c>
      <c r="AG1757">
        <v>16</v>
      </c>
      <c r="AH1757">
        <v>22.855888366699219</v>
      </c>
      <c r="AJ1757">
        <v>4927.83349609375</v>
      </c>
      <c r="AK1757" t="s">
        <v>54</v>
      </c>
      <c r="AL1757" t="s">
        <v>54</v>
      </c>
      <c r="AQ1757" t="s">
        <v>54</v>
      </c>
      <c r="AT1757" t="s">
        <v>420</v>
      </c>
      <c r="AU1757" s="148">
        <v>43313</v>
      </c>
      <c r="AW1757" t="s">
        <v>8390</v>
      </c>
      <c r="AZ1757" t="s">
        <v>54</v>
      </c>
      <c r="BA1757" t="s">
        <v>8535</v>
      </c>
    </row>
    <row r="1758" spans="1:53" x14ac:dyDescent="0.25">
      <c r="A1758">
        <v>1753</v>
      </c>
      <c r="B1758" t="s">
        <v>8536</v>
      </c>
      <c r="C1758" t="s">
        <v>8537</v>
      </c>
      <c r="D1758" t="s">
        <v>8538</v>
      </c>
      <c r="E1758">
        <v>11</v>
      </c>
      <c r="F1758" t="s">
        <v>8529</v>
      </c>
      <c r="G1758" t="s">
        <v>8539</v>
      </c>
      <c r="H1758" t="s">
        <v>8540</v>
      </c>
      <c r="K1758" t="s">
        <v>8541</v>
      </c>
      <c r="L1758" t="s">
        <v>8532</v>
      </c>
      <c r="M1758">
        <v>110.5904998779297</v>
      </c>
      <c r="N1758" t="s">
        <v>54</v>
      </c>
      <c r="O1758" t="s">
        <v>53</v>
      </c>
      <c r="P1758" t="s">
        <v>53</v>
      </c>
      <c r="Q1758" t="s">
        <v>53</v>
      </c>
      <c r="R1758" t="s">
        <v>53</v>
      </c>
      <c r="S1758" t="s">
        <v>8542</v>
      </c>
      <c r="T1758" t="s">
        <v>8543</v>
      </c>
      <c r="U1758" t="s">
        <v>53</v>
      </c>
      <c r="V1758" t="s">
        <v>138</v>
      </c>
      <c r="W1758">
        <v>100000</v>
      </c>
      <c r="X1758" t="s">
        <v>53</v>
      </c>
      <c r="AA1758">
        <v>136</v>
      </c>
      <c r="AB1758">
        <v>74</v>
      </c>
      <c r="AC1758">
        <v>56</v>
      </c>
      <c r="AD1758">
        <v>289</v>
      </c>
      <c r="AE1758">
        <v>289</v>
      </c>
      <c r="AF1758">
        <v>0</v>
      </c>
      <c r="AG1758">
        <v>13</v>
      </c>
      <c r="AH1758">
        <v>10.853768348693849</v>
      </c>
      <c r="AJ1758">
        <v>4872.78125</v>
      </c>
      <c r="AK1758" t="s">
        <v>53</v>
      </c>
      <c r="AL1758" t="s">
        <v>54</v>
      </c>
      <c r="AQ1758" t="s">
        <v>54</v>
      </c>
      <c r="AT1758" t="s">
        <v>8544</v>
      </c>
      <c r="AU1758" s="148">
        <v>44013</v>
      </c>
      <c r="AW1758" t="s">
        <v>8390</v>
      </c>
      <c r="AZ1758" t="s">
        <v>54</v>
      </c>
      <c r="BA1758" t="s">
        <v>8535</v>
      </c>
    </row>
    <row r="1759" spans="1:53" x14ac:dyDescent="0.25">
      <c r="A1759">
        <v>1754</v>
      </c>
      <c r="B1759" t="s">
        <v>8545</v>
      </c>
      <c r="C1759" t="s">
        <v>8546</v>
      </c>
      <c r="D1759" t="s">
        <v>8547</v>
      </c>
      <c r="E1759">
        <v>11</v>
      </c>
      <c r="F1759" t="s">
        <v>8529</v>
      </c>
      <c r="G1759" t="s">
        <v>8548</v>
      </c>
      <c r="H1759" t="s">
        <v>8540</v>
      </c>
      <c r="K1759" t="s">
        <v>8549</v>
      </c>
      <c r="L1759" t="s">
        <v>8550</v>
      </c>
      <c r="M1759">
        <v>23.631246566772461</v>
      </c>
      <c r="N1759" t="s">
        <v>54</v>
      </c>
      <c r="O1759" t="s">
        <v>53</v>
      </c>
      <c r="P1759" t="s">
        <v>53</v>
      </c>
      <c r="Q1759" t="s">
        <v>53</v>
      </c>
      <c r="R1759" t="s">
        <v>53</v>
      </c>
      <c r="S1759" t="s">
        <v>8551</v>
      </c>
      <c r="T1759" t="s">
        <v>8552</v>
      </c>
      <c r="U1759" t="s">
        <v>53</v>
      </c>
      <c r="V1759" t="s">
        <v>138</v>
      </c>
      <c r="W1759">
        <v>1000000</v>
      </c>
      <c r="X1759" t="s">
        <v>53</v>
      </c>
      <c r="AA1759">
        <v>465</v>
      </c>
      <c r="AB1759">
        <v>347</v>
      </c>
      <c r="AC1759">
        <v>509</v>
      </c>
      <c r="AD1759">
        <v>1254</v>
      </c>
      <c r="AE1759">
        <v>1254</v>
      </c>
      <c r="AF1759">
        <v>1</v>
      </c>
      <c r="AG1759">
        <v>5</v>
      </c>
      <c r="AH1759">
        <v>12.589627265930179</v>
      </c>
      <c r="AJ1759">
        <v>3124.1123046875</v>
      </c>
      <c r="AK1759" t="s">
        <v>54</v>
      </c>
      <c r="AL1759" t="s">
        <v>54</v>
      </c>
      <c r="AQ1759" t="s">
        <v>54</v>
      </c>
      <c r="AT1759" t="s">
        <v>8544</v>
      </c>
      <c r="AU1759" s="148">
        <v>44013</v>
      </c>
      <c r="AW1759" t="s">
        <v>8390</v>
      </c>
      <c r="AZ1759" t="s">
        <v>54</v>
      </c>
      <c r="BA1759" t="s">
        <v>8535</v>
      </c>
    </row>
    <row r="1760" spans="1:53" x14ac:dyDescent="0.25">
      <c r="A1760">
        <v>1755</v>
      </c>
      <c r="B1760" t="s">
        <v>8553</v>
      </c>
      <c r="C1760" t="s">
        <v>8554</v>
      </c>
      <c r="D1760" t="s">
        <v>8555</v>
      </c>
      <c r="E1760">
        <v>11</v>
      </c>
      <c r="F1760" t="s">
        <v>8529</v>
      </c>
      <c r="G1760" t="s">
        <v>8548</v>
      </c>
      <c r="H1760" t="s">
        <v>8540</v>
      </c>
      <c r="K1760" t="s">
        <v>8549</v>
      </c>
      <c r="L1760" t="s">
        <v>8532</v>
      </c>
      <c r="M1760">
        <v>23.631246566772461</v>
      </c>
      <c r="N1760" t="s">
        <v>54</v>
      </c>
      <c r="O1760" t="s">
        <v>53</v>
      </c>
      <c r="P1760" t="s">
        <v>53</v>
      </c>
      <c r="Q1760" t="s">
        <v>53</v>
      </c>
      <c r="R1760" t="s">
        <v>53</v>
      </c>
      <c r="S1760" t="s">
        <v>8551</v>
      </c>
      <c r="T1760" t="s">
        <v>8552</v>
      </c>
      <c r="U1760" t="s">
        <v>53</v>
      </c>
      <c r="V1760" t="s">
        <v>51</v>
      </c>
      <c r="W1760">
        <v>1000000</v>
      </c>
      <c r="X1760" t="s">
        <v>53</v>
      </c>
      <c r="AA1760">
        <v>465</v>
      </c>
      <c r="AB1760">
        <v>347</v>
      </c>
      <c r="AC1760">
        <v>509</v>
      </c>
      <c r="AD1760">
        <v>1254</v>
      </c>
      <c r="AE1760">
        <v>1254</v>
      </c>
      <c r="AF1760">
        <v>1</v>
      </c>
      <c r="AG1760">
        <v>5</v>
      </c>
      <c r="AH1760">
        <v>12.589627265930179</v>
      </c>
      <c r="AJ1760">
        <v>3124.1123046875</v>
      </c>
      <c r="AK1760" t="s">
        <v>54</v>
      </c>
      <c r="AL1760" t="s">
        <v>54</v>
      </c>
      <c r="AQ1760" t="s">
        <v>54</v>
      </c>
      <c r="AT1760" t="s">
        <v>8544</v>
      </c>
      <c r="AU1760" s="148">
        <v>44013</v>
      </c>
      <c r="AW1760" t="s">
        <v>8390</v>
      </c>
      <c r="AZ1760" t="s">
        <v>54</v>
      </c>
      <c r="BA1760" t="s">
        <v>8535</v>
      </c>
    </row>
    <row r="1761" spans="1:53" x14ac:dyDescent="0.25">
      <c r="A1761">
        <v>1756</v>
      </c>
      <c r="B1761" t="s">
        <v>8556</v>
      </c>
      <c r="C1761" t="s">
        <v>8557</v>
      </c>
      <c r="D1761" t="s">
        <v>8558</v>
      </c>
      <c r="E1761">
        <v>11</v>
      </c>
      <c r="F1761" t="s">
        <v>8529</v>
      </c>
      <c r="G1761" t="s">
        <v>8548</v>
      </c>
      <c r="H1761" t="s">
        <v>8540</v>
      </c>
      <c r="K1761" t="s">
        <v>8559</v>
      </c>
      <c r="L1761" t="s">
        <v>8560</v>
      </c>
      <c r="M1761">
        <v>3.9479299448430538E-3</v>
      </c>
      <c r="N1761" t="s">
        <v>53</v>
      </c>
      <c r="O1761" t="s">
        <v>53</v>
      </c>
      <c r="P1761" t="s">
        <v>53</v>
      </c>
      <c r="Q1761" t="s">
        <v>53</v>
      </c>
      <c r="R1761" t="s">
        <v>53</v>
      </c>
      <c r="S1761" t="s">
        <v>8561</v>
      </c>
      <c r="T1761" t="s">
        <v>8562</v>
      </c>
      <c r="U1761" t="s">
        <v>53</v>
      </c>
      <c r="V1761" t="s">
        <v>51</v>
      </c>
      <c r="W1761">
        <v>100000</v>
      </c>
      <c r="X1761" t="s">
        <v>53</v>
      </c>
      <c r="AA1761">
        <v>0</v>
      </c>
      <c r="AB1761">
        <v>0</v>
      </c>
      <c r="AC1761">
        <v>0</v>
      </c>
      <c r="AD1761">
        <v>0</v>
      </c>
      <c r="AE1761">
        <v>0</v>
      </c>
      <c r="AF1761">
        <v>0</v>
      </c>
      <c r="AG1761">
        <v>0</v>
      </c>
      <c r="AH1761">
        <v>0</v>
      </c>
      <c r="AJ1761">
        <v>0</v>
      </c>
      <c r="AK1761" t="s">
        <v>54</v>
      </c>
      <c r="AL1761" t="s">
        <v>54</v>
      </c>
      <c r="AQ1761" t="s">
        <v>54</v>
      </c>
      <c r="AT1761" t="s">
        <v>8563</v>
      </c>
      <c r="AW1761" t="s">
        <v>53</v>
      </c>
      <c r="AZ1761" t="s">
        <v>54</v>
      </c>
      <c r="BA1761" t="s">
        <v>8535</v>
      </c>
    </row>
    <row r="1762" spans="1:53" x14ac:dyDescent="0.25">
      <c r="A1762">
        <v>1757</v>
      </c>
      <c r="B1762" t="s">
        <v>8564</v>
      </c>
      <c r="C1762" t="s">
        <v>8565</v>
      </c>
      <c r="D1762" t="s">
        <v>8566</v>
      </c>
      <c r="E1762">
        <v>11</v>
      </c>
      <c r="F1762" t="s">
        <v>8529</v>
      </c>
      <c r="G1762" t="s">
        <v>8529</v>
      </c>
      <c r="H1762" t="s">
        <v>8567</v>
      </c>
      <c r="K1762" t="s">
        <v>8568</v>
      </c>
      <c r="L1762" t="s">
        <v>8532</v>
      </c>
      <c r="M1762">
        <v>4.8679310828447342E-2</v>
      </c>
      <c r="N1762" t="s">
        <v>54</v>
      </c>
      <c r="O1762" t="s">
        <v>53</v>
      </c>
      <c r="P1762" t="s">
        <v>53</v>
      </c>
      <c r="Q1762" t="s">
        <v>53</v>
      </c>
      <c r="R1762" t="s">
        <v>53</v>
      </c>
      <c r="S1762" t="s">
        <v>8569</v>
      </c>
      <c r="T1762" t="s">
        <v>8570</v>
      </c>
      <c r="U1762" t="s">
        <v>53</v>
      </c>
      <c r="V1762" t="s">
        <v>51</v>
      </c>
      <c r="W1762">
        <v>159355</v>
      </c>
      <c r="X1762" t="s">
        <v>53</v>
      </c>
      <c r="AA1762">
        <v>1</v>
      </c>
      <c r="AB1762">
        <v>0</v>
      </c>
      <c r="AC1762">
        <v>0</v>
      </c>
      <c r="AD1762">
        <v>0</v>
      </c>
      <c r="AE1762">
        <v>0</v>
      </c>
      <c r="AF1762">
        <v>0</v>
      </c>
      <c r="AG1762">
        <v>0</v>
      </c>
      <c r="AH1762">
        <v>5.3285818547010422E-2</v>
      </c>
      <c r="AJ1762">
        <v>0</v>
      </c>
      <c r="AK1762" t="s">
        <v>54</v>
      </c>
      <c r="AL1762" t="s">
        <v>54</v>
      </c>
      <c r="AQ1762" t="s">
        <v>54</v>
      </c>
      <c r="AT1762" t="s">
        <v>8571</v>
      </c>
      <c r="AU1762" s="148">
        <v>44091</v>
      </c>
      <c r="AW1762" t="s">
        <v>8390</v>
      </c>
      <c r="AZ1762" t="s">
        <v>54</v>
      </c>
      <c r="BA1762" t="s">
        <v>8535</v>
      </c>
    </row>
    <row r="1763" spans="1:53" x14ac:dyDescent="0.25">
      <c r="A1763">
        <v>1758</v>
      </c>
      <c r="B1763" t="s">
        <v>8572</v>
      </c>
      <c r="C1763" t="s">
        <v>8573</v>
      </c>
      <c r="D1763" t="s">
        <v>8574</v>
      </c>
      <c r="E1763">
        <v>11</v>
      </c>
      <c r="F1763" t="s">
        <v>8529</v>
      </c>
      <c r="G1763" t="s">
        <v>8575</v>
      </c>
      <c r="H1763" t="s">
        <v>8567</v>
      </c>
      <c r="K1763" t="s">
        <v>8576</v>
      </c>
      <c r="L1763" t="s">
        <v>8532</v>
      </c>
      <c r="M1763">
        <v>2.856353759765625</v>
      </c>
      <c r="N1763" t="s">
        <v>54</v>
      </c>
      <c r="O1763" t="s">
        <v>53</v>
      </c>
      <c r="P1763" t="s">
        <v>53</v>
      </c>
      <c r="Q1763" t="s">
        <v>53</v>
      </c>
      <c r="R1763" t="s">
        <v>53</v>
      </c>
      <c r="S1763" t="s">
        <v>8577</v>
      </c>
      <c r="T1763" t="s">
        <v>8578</v>
      </c>
      <c r="U1763" t="s">
        <v>53</v>
      </c>
      <c r="V1763" t="s">
        <v>51</v>
      </c>
      <c r="W1763">
        <v>700000</v>
      </c>
      <c r="X1763" t="s">
        <v>53</v>
      </c>
      <c r="AA1763">
        <v>139</v>
      </c>
      <c r="AB1763">
        <v>121</v>
      </c>
      <c r="AC1763">
        <v>83</v>
      </c>
      <c r="AD1763">
        <v>282</v>
      </c>
      <c r="AE1763">
        <v>282</v>
      </c>
      <c r="AF1763">
        <v>0</v>
      </c>
      <c r="AG1763">
        <v>8</v>
      </c>
      <c r="AH1763">
        <v>6.1370925903320313</v>
      </c>
      <c r="AJ1763">
        <v>97.576156616210938</v>
      </c>
      <c r="AK1763" t="s">
        <v>54</v>
      </c>
      <c r="AL1763" t="s">
        <v>54</v>
      </c>
      <c r="AQ1763" t="s">
        <v>54</v>
      </c>
      <c r="AT1763" t="s">
        <v>8571</v>
      </c>
      <c r="AU1763" s="148">
        <v>44091</v>
      </c>
      <c r="AW1763" t="s">
        <v>8390</v>
      </c>
      <c r="AZ1763" t="s">
        <v>54</v>
      </c>
      <c r="BA1763" t="s">
        <v>8535</v>
      </c>
    </row>
    <row r="1764" spans="1:53" x14ac:dyDescent="0.25">
      <c r="A1764">
        <v>1759</v>
      </c>
      <c r="B1764" t="s">
        <v>8579</v>
      </c>
      <c r="C1764" t="s">
        <v>8580</v>
      </c>
      <c r="D1764" t="s">
        <v>8581</v>
      </c>
      <c r="E1764">
        <v>11</v>
      </c>
      <c r="F1764" t="s">
        <v>8529</v>
      </c>
      <c r="G1764" t="s">
        <v>417</v>
      </c>
      <c r="H1764" t="s">
        <v>8530</v>
      </c>
      <c r="K1764" t="s">
        <v>8582</v>
      </c>
      <c r="L1764" t="s">
        <v>8532</v>
      </c>
      <c r="M1764">
        <v>173.78019714355469</v>
      </c>
      <c r="N1764" t="s">
        <v>54</v>
      </c>
      <c r="O1764" t="s">
        <v>53</v>
      </c>
      <c r="P1764" t="s">
        <v>53</v>
      </c>
      <c r="Q1764" t="s">
        <v>53</v>
      </c>
      <c r="R1764" t="s">
        <v>53</v>
      </c>
      <c r="S1764" t="s">
        <v>8583</v>
      </c>
      <c r="T1764" t="s">
        <v>8584</v>
      </c>
      <c r="U1764" t="s">
        <v>53</v>
      </c>
      <c r="V1764" t="s">
        <v>51</v>
      </c>
      <c r="W1764">
        <v>100000</v>
      </c>
      <c r="X1764" t="s">
        <v>53</v>
      </c>
      <c r="AA1764">
        <v>629</v>
      </c>
      <c r="AB1764">
        <v>283</v>
      </c>
      <c r="AC1764">
        <v>402</v>
      </c>
      <c r="AD1764">
        <v>744</v>
      </c>
      <c r="AE1764">
        <v>744</v>
      </c>
      <c r="AF1764">
        <v>1</v>
      </c>
      <c r="AG1764">
        <v>41</v>
      </c>
      <c r="AH1764">
        <v>25.87270355224609</v>
      </c>
      <c r="AJ1764">
        <v>5502.31298828125</v>
      </c>
      <c r="AK1764" t="s">
        <v>54</v>
      </c>
      <c r="AL1764" t="s">
        <v>54</v>
      </c>
      <c r="AQ1764" t="s">
        <v>54</v>
      </c>
      <c r="AT1764" t="s">
        <v>420</v>
      </c>
      <c r="AU1764" s="148">
        <v>43313</v>
      </c>
      <c r="AW1764" t="s">
        <v>8390</v>
      </c>
      <c r="AZ1764" t="s">
        <v>54</v>
      </c>
      <c r="BA1764" t="s">
        <v>8535</v>
      </c>
    </row>
    <row r="1765" spans="1:53" x14ac:dyDescent="0.25">
      <c r="A1765">
        <v>1760</v>
      </c>
      <c r="B1765" t="s">
        <v>8585</v>
      </c>
      <c r="C1765" t="s">
        <v>8586</v>
      </c>
      <c r="D1765" t="s">
        <v>8581</v>
      </c>
      <c r="E1765">
        <v>11</v>
      </c>
      <c r="F1765" t="s">
        <v>8529</v>
      </c>
      <c r="G1765" t="s">
        <v>417</v>
      </c>
      <c r="H1765" t="s">
        <v>8530</v>
      </c>
      <c r="K1765" t="s">
        <v>8587</v>
      </c>
      <c r="L1765" t="s">
        <v>8532</v>
      </c>
      <c r="M1765">
        <v>207.97758483886719</v>
      </c>
      <c r="N1765" t="s">
        <v>54</v>
      </c>
      <c r="O1765" t="s">
        <v>53</v>
      </c>
      <c r="P1765" t="s">
        <v>53</v>
      </c>
      <c r="Q1765" t="s">
        <v>53</v>
      </c>
      <c r="R1765" t="s">
        <v>53</v>
      </c>
      <c r="S1765" t="s">
        <v>8588</v>
      </c>
      <c r="T1765" t="s">
        <v>8589</v>
      </c>
      <c r="U1765" t="s">
        <v>53</v>
      </c>
      <c r="V1765" t="s">
        <v>51</v>
      </c>
      <c r="W1765">
        <v>100000</v>
      </c>
      <c r="X1765" t="s">
        <v>53</v>
      </c>
      <c r="AA1765">
        <v>606</v>
      </c>
      <c r="AB1765">
        <v>331</v>
      </c>
      <c r="AC1765">
        <v>331</v>
      </c>
      <c r="AD1765">
        <v>844</v>
      </c>
      <c r="AE1765">
        <v>844</v>
      </c>
      <c r="AF1765">
        <v>1</v>
      </c>
      <c r="AG1765">
        <v>24</v>
      </c>
      <c r="AH1765">
        <v>18.65363693237305</v>
      </c>
      <c r="AJ1765">
        <v>4971.38037109375</v>
      </c>
      <c r="AK1765" t="s">
        <v>54</v>
      </c>
      <c r="AL1765" t="s">
        <v>54</v>
      </c>
      <c r="AQ1765" t="s">
        <v>54</v>
      </c>
      <c r="AT1765" t="s">
        <v>420</v>
      </c>
      <c r="AU1765" s="148">
        <v>43313</v>
      </c>
      <c r="AW1765" t="s">
        <v>8390</v>
      </c>
      <c r="AZ1765" t="s">
        <v>54</v>
      </c>
      <c r="BA1765" t="s">
        <v>8535</v>
      </c>
    </row>
    <row r="1766" spans="1:53" x14ac:dyDescent="0.25">
      <c r="A1766">
        <v>1761</v>
      </c>
      <c r="B1766" t="s">
        <v>8590</v>
      </c>
      <c r="C1766" t="s">
        <v>8591</v>
      </c>
      <c r="D1766" t="s">
        <v>8592</v>
      </c>
      <c r="E1766">
        <v>11</v>
      </c>
      <c r="F1766" t="s">
        <v>8529</v>
      </c>
      <c r="G1766" t="s">
        <v>417</v>
      </c>
      <c r="H1766" t="s">
        <v>8530</v>
      </c>
      <c r="K1766" t="s">
        <v>8587</v>
      </c>
      <c r="L1766" t="s">
        <v>8532</v>
      </c>
      <c r="M1766">
        <v>207.97758483886719</v>
      </c>
      <c r="N1766" t="s">
        <v>54</v>
      </c>
      <c r="O1766" t="s">
        <v>53</v>
      </c>
      <c r="P1766" t="s">
        <v>53</v>
      </c>
      <c r="Q1766" t="s">
        <v>53</v>
      </c>
      <c r="R1766" t="s">
        <v>53</v>
      </c>
      <c r="S1766" t="s">
        <v>8588</v>
      </c>
      <c r="T1766" t="s">
        <v>8589</v>
      </c>
      <c r="U1766" t="s">
        <v>53</v>
      </c>
      <c r="V1766" t="s">
        <v>51</v>
      </c>
      <c r="W1766">
        <v>100000</v>
      </c>
      <c r="X1766" t="s">
        <v>53</v>
      </c>
      <c r="AA1766">
        <v>606</v>
      </c>
      <c r="AB1766">
        <v>331</v>
      </c>
      <c r="AC1766">
        <v>331</v>
      </c>
      <c r="AD1766">
        <v>844</v>
      </c>
      <c r="AE1766">
        <v>844</v>
      </c>
      <c r="AF1766">
        <v>1</v>
      </c>
      <c r="AG1766">
        <v>24</v>
      </c>
      <c r="AH1766">
        <v>18.65363693237305</v>
      </c>
      <c r="AJ1766">
        <v>4971.38037109375</v>
      </c>
      <c r="AK1766" t="s">
        <v>54</v>
      </c>
      <c r="AL1766" t="s">
        <v>54</v>
      </c>
      <c r="AQ1766" t="s">
        <v>54</v>
      </c>
      <c r="AT1766" t="s">
        <v>420</v>
      </c>
      <c r="AU1766" s="148">
        <v>43313</v>
      </c>
      <c r="AW1766" t="s">
        <v>8390</v>
      </c>
      <c r="AZ1766" t="s">
        <v>54</v>
      </c>
      <c r="BA1766" t="s">
        <v>8535</v>
      </c>
    </row>
    <row r="1767" spans="1:53" x14ac:dyDescent="0.25">
      <c r="A1767">
        <v>1762</v>
      </c>
      <c r="B1767" t="s">
        <v>8593</v>
      </c>
      <c r="C1767" t="s">
        <v>8594</v>
      </c>
      <c r="D1767" t="s">
        <v>8595</v>
      </c>
      <c r="E1767">
        <v>11</v>
      </c>
      <c r="F1767" t="s">
        <v>8529</v>
      </c>
      <c r="G1767" t="s">
        <v>417</v>
      </c>
      <c r="H1767" t="s">
        <v>8530</v>
      </c>
      <c r="K1767" t="s">
        <v>8596</v>
      </c>
      <c r="L1767" t="s">
        <v>8532</v>
      </c>
      <c r="M1767">
        <v>165.37007141113281</v>
      </c>
      <c r="N1767" t="s">
        <v>54</v>
      </c>
      <c r="O1767" t="s">
        <v>53</v>
      </c>
      <c r="P1767" t="s">
        <v>53</v>
      </c>
      <c r="Q1767" t="s">
        <v>53</v>
      </c>
      <c r="R1767" t="s">
        <v>53</v>
      </c>
      <c r="S1767" t="s">
        <v>8597</v>
      </c>
      <c r="T1767" t="s">
        <v>8598</v>
      </c>
      <c r="U1767" t="s">
        <v>53</v>
      </c>
      <c r="V1767" t="s">
        <v>51</v>
      </c>
      <c r="W1767">
        <v>100000</v>
      </c>
      <c r="X1767" t="s">
        <v>53</v>
      </c>
      <c r="AA1767">
        <v>1968</v>
      </c>
      <c r="AB1767">
        <v>1348</v>
      </c>
      <c r="AC1767">
        <v>6355</v>
      </c>
      <c r="AD1767">
        <v>3670</v>
      </c>
      <c r="AE1767">
        <v>6355</v>
      </c>
      <c r="AF1767">
        <v>4</v>
      </c>
      <c r="AG1767">
        <v>43</v>
      </c>
      <c r="AH1767">
        <v>41.134723663330078</v>
      </c>
      <c r="AJ1767">
        <v>2781.7548828125</v>
      </c>
      <c r="AK1767" t="s">
        <v>54</v>
      </c>
      <c r="AL1767" t="s">
        <v>54</v>
      </c>
      <c r="AQ1767" t="s">
        <v>54</v>
      </c>
      <c r="AT1767" t="s">
        <v>420</v>
      </c>
      <c r="AU1767" s="148">
        <v>43313</v>
      </c>
      <c r="AW1767" t="s">
        <v>8390</v>
      </c>
      <c r="AZ1767" t="s">
        <v>54</v>
      </c>
      <c r="BA1767" t="s">
        <v>8535</v>
      </c>
    </row>
    <row r="1768" spans="1:53" x14ac:dyDescent="0.25">
      <c r="A1768">
        <v>1763</v>
      </c>
      <c r="B1768" t="s">
        <v>8599</v>
      </c>
      <c r="C1768" t="s">
        <v>8600</v>
      </c>
      <c r="D1768" t="s">
        <v>8601</v>
      </c>
      <c r="E1768">
        <v>11</v>
      </c>
      <c r="F1768" t="s">
        <v>8529</v>
      </c>
      <c r="G1768" t="s">
        <v>152</v>
      </c>
      <c r="H1768" t="s">
        <v>8602</v>
      </c>
      <c r="K1768" t="s">
        <v>8603</v>
      </c>
      <c r="L1768" t="s">
        <v>8550</v>
      </c>
      <c r="M1768">
        <v>710.98199462890625</v>
      </c>
      <c r="N1768" t="s">
        <v>54</v>
      </c>
      <c r="O1768" t="s">
        <v>53</v>
      </c>
      <c r="P1768" t="s">
        <v>53</v>
      </c>
      <c r="Q1768" t="s">
        <v>53</v>
      </c>
      <c r="R1768" t="s">
        <v>53</v>
      </c>
      <c r="S1768" t="s">
        <v>163</v>
      </c>
      <c r="T1768" t="s">
        <v>8604</v>
      </c>
      <c r="U1768" t="s">
        <v>53</v>
      </c>
      <c r="V1768" t="s">
        <v>138</v>
      </c>
      <c r="W1768">
        <v>250000</v>
      </c>
      <c r="X1768" t="s">
        <v>53</v>
      </c>
      <c r="AA1768">
        <v>167</v>
      </c>
      <c r="AB1768">
        <v>122</v>
      </c>
      <c r="AC1768">
        <v>95</v>
      </c>
      <c r="AD1768">
        <v>256</v>
      </c>
      <c r="AE1768">
        <v>256</v>
      </c>
      <c r="AF1768">
        <v>0</v>
      </c>
      <c r="AG1768">
        <v>30</v>
      </c>
      <c r="AH1768">
        <v>14.201408386230471</v>
      </c>
      <c r="AJ1768">
        <v>4091.820556640625</v>
      </c>
      <c r="AK1768" t="s">
        <v>53</v>
      </c>
      <c r="AL1768" t="s">
        <v>54</v>
      </c>
      <c r="AQ1768" t="s">
        <v>54</v>
      </c>
      <c r="AT1768" t="s">
        <v>155</v>
      </c>
      <c r="AU1768" s="148">
        <v>42644</v>
      </c>
      <c r="AW1768" t="s">
        <v>53</v>
      </c>
      <c r="AZ1768" t="s">
        <v>54</v>
      </c>
      <c r="BA1768" t="s">
        <v>8535</v>
      </c>
    </row>
    <row r="1769" spans="1:53" x14ac:dyDescent="0.25">
      <c r="A1769">
        <v>1764</v>
      </c>
      <c r="B1769" t="s">
        <v>8605</v>
      </c>
      <c r="C1769" t="s">
        <v>8606</v>
      </c>
      <c r="D1769" t="s">
        <v>8607</v>
      </c>
      <c r="E1769">
        <v>11</v>
      </c>
      <c r="F1769" t="s">
        <v>8529</v>
      </c>
      <c r="G1769" t="s">
        <v>152</v>
      </c>
      <c r="H1769" t="s">
        <v>8602</v>
      </c>
      <c r="K1769" t="s">
        <v>8603</v>
      </c>
      <c r="L1769" t="s">
        <v>8608</v>
      </c>
      <c r="M1769">
        <v>710.98199462890625</v>
      </c>
      <c r="N1769" t="s">
        <v>54</v>
      </c>
      <c r="O1769" t="s">
        <v>53</v>
      </c>
      <c r="P1769" t="s">
        <v>53</v>
      </c>
      <c r="Q1769" t="s">
        <v>53</v>
      </c>
      <c r="R1769" t="s">
        <v>53</v>
      </c>
      <c r="S1769" t="s">
        <v>163</v>
      </c>
      <c r="T1769" t="s">
        <v>8604</v>
      </c>
      <c r="U1769" t="s">
        <v>53</v>
      </c>
      <c r="V1769" t="s">
        <v>138</v>
      </c>
      <c r="W1769">
        <v>100000</v>
      </c>
      <c r="X1769" t="s">
        <v>53</v>
      </c>
      <c r="AA1769">
        <v>167</v>
      </c>
      <c r="AB1769">
        <v>122</v>
      </c>
      <c r="AC1769">
        <v>95</v>
      </c>
      <c r="AD1769">
        <v>256</v>
      </c>
      <c r="AE1769">
        <v>256</v>
      </c>
      <c r="AF1769">
        <v>0</v>
      </c>
      <c r="AG1769">
        <v>30</v>
      </c>
      <c r="AH1769">
        <v>14.201408386230471</v>
      </c>
      <c r="AJ1769">
        <v>4091.820556640625</v>
      </c>
      <c r="AK1769" t="s">
        <v>54</v>
      </c>
      <c r="AL1769" t="s">
        <v>54</v>
      </c>
      <c r="AQ1769" t="s">
        <v>54</v>
      </c>
      <c r="AT1769" t="s">
        <v>155</v>
      </c>
      <c r="AU1769" s="148">
        <v>42644</v>
      </c>
      <c r="AW1769" t="s">
        <v>53</v>
      </c>
      <c r="AZ1769" t="s">
        <v>54</v>
      </c>
      <c r="BA1769" t="s">
        <v>8535</v>
      </c>
    </row>
    <row r="1770" spans="1:53" x14ac:dyDescent="0.25">
      <c r="A1770">
        <v>1765</v>
      </c>
      <c r="B1770" t="s">
        <v>8609</v>
      </c>
      <c r="C1770" t="s">
        <v>8610</v>
      </c>
      <c r="D1770" t="s">
        <v>8611</v>
      </c>
      <c r="E1770">
        <v>11</v>
      </c>
      <c r="F1770" t="s">
        <v>8529</v>
      </c>
      <c r="G1770" t="s">
        <v>8548</v>
      </c>
      <c r="H1770" t="s">
        <v>8612</v>
      </c>
      <c r="K1770" t="s">
        <v>8613</v>
      </c>
      <c r="L1770" t="s">
        <v>8532</v>
      </c>
      <c r="M1770">
        <v>544.6937255859375</v>
      </c>
      <c r="N1770" t="s">
        <v>54</v>
      </c>
      <c r="O1770" t="s">
        <v>53</v>
      </c>
      <c r="P1770" t="s">
        <v>53</v>
      </c>
      <c r="Q1770" t="s">
        <v>53</v>
      </c>
      <c r="R1770" t="s">
        <v>53</v>
      </c>
      <c r="S1770" t="s">
        <v>8614</v>
      </c>
      <c r="T1770" t="s">
        <v>8615</v>
      </c>
      <c r="U1770" t="s">
        <v>53</v>
      </c>
      <c r="V1770" t="s">
        <v>51</v>
      </c>
      <c r="W1770">
        <v>256000</v>
      </c>
      <c r="X1770" t="s">
        <v>53</v>
      </c>
      <c r="AA1770">
        <v>937</v>
      </c>
      <c r="AB1770">
        <v>635</v>
      </c>
      <c r="AC1770">
        <v>1208</v>
      </c>
      <c r="AD1770">
        <v>2190</v>
      </c>
      <c r="AE1770">
        <v>2190</v>
      </c>
      <c r="AF1770">
        <v>7</v>
      </c>
      <c r="AG1770">
        <v>40</v>
      </c>
      <c r="AH1770">
        <v>71.180534362792969</v>
      </c>
      <c r="AJ1770">
        <v>35718.5</v>
      </c>
      <c r="AK1770" t="s">
        <v>54</v>
      </c>
      <c r="AL1770" t="s">
        <v>54</v>
      </c>
      <c r="AQ1770" t="s">
        <v>54</v>
      </c>
      <c r="AT1770" t="s">
        <v>8544</v>
      </c>
      <c r="AU1770" s="148">
        <v>44013</v>
      </c>
      <c r="AW1770" t="s">
        <v>8390</v>
      </c>
      <c r="AZ1770" t="s">
        <v>54</v>
      </c>
      <c r="BA1770" t="s">
        <v>8535</v>
      </c>
    </row>
    <row r="1771" spans="1:53" x14ac:dyDescent="0.25">
      <c r="A1771">
        <v>1766</v>
      </c>
      <c r="B1771" t="s">
        <v>8616</v>
      </c>
      <c r="C1771" t="s">
        <v>8617</v>
      </c>
      <c r="D1771" t="s">
        <v>8618</v>
      </c>
      <c r="E1771">
        <v>11</v>
      </c>
      <c r="F1771" t="s">
        <v>8529</v>
      </c>
      <c r="G1771" t="s">
        <v>348</v>
      </c>
      <c r="H1771" t="s">
        <v>8540</v>
      </c>
      <c r="K1771" t="s">
        <v>8619</v>
      </c>
      <c r="L1771" t="s">
        <v>8532</v>
      </c>
      <c r="M1771">
        <v>9.2572832107543945</v>
      </c>
      <c r="N1771" t="s">
        <v>54</v>
      </c>
      <c r="O1771" t="s">
        <v>53</v>
      </c>
      <c r="P1771" t="s">
        <v>53</v>
      </c>
      <c r="Q1771" t="s">
        <v>53</v>
      </c>
      <c r="R1771" t="s">
        <v>53</v>
      </c>
      <c r="S1771" t="s">
        <v>363</v>
      </c>
      <c r="T1771" t="s">
        <v>8620</v>
      </c>
      <c r="U1771" t="s">
        <v>53</v>
      </c>
      <c r="V1771" t="s">
        <v>162</v>
      </c>
      <c r="W1771">
        <v>500000</v>
      </c>
      <c r="X1771" t="s">
        <v>53</v>
      </c>
      <c r="AA1771">
        <v>3</v>
      </c>
      <c r="AB1771">
        <v>1</v>
      </c>
      <c r="AC1771">
        <v>1</v>
      </c>
      <c r="AD1771">
        <v>3</v>
      </c>
      <c r="AE1771">
        <v>3</v>
      </c>
      <c r="AF1771">
        <v>0</v>
      </c>
      <c r="AG1771">
        <v>1</v>
      </c>
      <c r="AH1771">
        <v>0.86334943771362305</v>
      </c>
      <c r="AJ1771">
        <v>7.7387247085571289</v>
      </c>
      <c r="AK1771" t="s">
        <v>54</v>
      </c>
      <c r="AL1771" t="s">
        <v>54</v>
      </c>
      <c r="AQ1771" t="s">
        <v>54</v>
      </c>
      <c r="AT1771" t="s">
        <v>350</v>
      </c>
      <c r="AU1771" s="148">
        <v>42767</v>
      </c>
      <c r="AW1771" t="s">
        <v>53</v>
      </c>
      <c r="AZ1771" t="s">
        <v>54</v>
      </c>
      <c r="BA1771" t="s">
        <v>8535</v>
      </c>
    </row>
    <row r="1772" spans="1:53" x14ac:dyDescent="0.25">
      <c r="A1772">
        <v>1767</v>
      </c>
      <c r="B1772" t="s">
        <v>8621</v>
      </c>
      <c r="C1772" t="s">
        <v>8622</v>
      </c>
      <c r="D1772" t="s">
        <v>8623</v>
      </c>
      <c r="E1772">
        <v>11</v>
      </c>
      <c r="F1772" t="s">
        <v>8529</v>
      </c>
      <c r="G1772" t="s">
        <v>8575</v>
      </c>
      <c r="H1772" t="s">
        <v>8624</v>
      </c>
      <c r="K1772" t="s">
        <v>8625</v>
      </c>
      <c r="L1772" t="s">
        <v>8532</v>
      </c>
      <c r="M1772">
        <v>15.777523994445801</v>
      </c>
      <c r="N1772" t="s">
        <v>54</v>
      </c>
      <c r="O1772" t="s">
        <v>53</v>
      </c>
      <c r="P1772" t="s">
        <v>53</v>
      </c>
      <c r="Q1772" t="s">
        <v>53</v>
      </c>
      <c r="R1772" t="s">
        <v>53</v>
      </c>
      <c r="S1772" t="s">
        <v>8626</v>
      </c>
      <c r="T1772" t="s">
        <v>8627</v>
      </c>
      <c r="U1772" t="s">
        <v>53</v>
      </c>
      <c r="V1772" t="s">
        <v>138</v>
      </c>
      <c r="W1772">
        <v>150000</v>
      </c>
      <c r="X1772" t="s">
        <v>53</v>
      </c>
      <c r="AA1772">
        <v>0</v>
      </c>
      <c r="AB1772">
        <v>0</v>
      </c>
      <c r="AC1772">
        <v>0</v>
      </c>
      <c r="AD1772">
        <v>0</v>
      </c>
      <c r="AE1772">
        <v>0</v>
      </c>
      <c r="AF1772">
        <v>0</v>
      </c>
      <c r="AG1772">
        <v>1</v>
      </c>
      <c r="AH1772">
        <v>0.57610100507736206</v>
      </c>
      <c r="AJ1772">
        <v>1.4412499666213989</v>
      </c>
      <c r="AK1772" t="s">
        <v>54</v>
      </c>
      <c r="AL1772" t="s">
        <v>54</v>
      </c>
      <c r="AQ1772" t="s">
        <v>54</v>
      </c>
      <c r="AT1772" t="s">
        <v>8628</v>
      </c>
      <c r="AU1772" s="148">
        <v>43252</v>
      </c>
      <c r="AW1772" t="s">
        <v>53</v>
      </c>
      <c r="AZ1772" t="s">
        <v>54</v>
      </c>
      <c r="BA1772" t="s">
        <v>8535</v>
      </c>
    </row>
    <row r="1773" spans="1:53" x14ac:dyDescent="0.25">
      <c r="A1773">
        <v>1768</v>
      </c>
      <c r="B1773" t="s">
        <v>8629</v>
      </c>
      <c r="C1773" t="s">
        <v>8630</v>
      </c>
      <c r="D1773" t="s">
        <v>8631</v>
      </c>
      <c r="E1773">
        <v>11</v>
      </c>
      <c r="F1773" t="s">
        <v>8529</v>
      </c>
      <c r="G1773" t="s">
        <v>8575</v>
      </c>
      <c r="H1773" t="s">
        <v>8624</v>
      </c>
      <c r="K1773" t="s">
        <v>8625</v>
      </c>
      <c r="L1773" t="s">
        <v>8532</v>
      </c>
      <c r="M1773">
        <v>15.777523994445801</v>
      </c>
      <c r="N1773" t="s">
        <v>54</v>
      </c>
      <c r="O1773" t="s">
        <v>53</v>
      </c>
      <c r="P1773" t="s">
        <v>53</v>
      </c>
      <c r="Q1773" t="s">
        <v>53</v>
      </c>
      <c r="R1773" t="s">
        <v>53</v>
      </c>
      <c r="S1773" t="s">
        <v>8626</v>
      </c>
      <c r="T1773" t="s">
        <v>8627</v>
      </c>
      <c r="U1773" t="s">
        <v>53</v>
      </c>
      <c r="V1773" t="s">
        <v>138</v>
      </c>
      <c r="W1773">
        <v>100000</v>
      </c>
      <c r="X1773" t="s">
        <v>53</v>
      </c>
      <c r="AA1773">
        <v>0</v>
      </c>
      <c r="AB1773">
        <v>0</v>
      </c>
      <c r="AC1773">
        <v>0</v>
      </c>
      <c r="AD1773">
        <v>0</v>
      </c>
      <c r="AE1773">
        <v>0</v>
      </c>
      <c r="AF1773">
        <v>0</v>
      </c>
      <c r="AG1773">
        <v>1</v>
      </c>
      <c r="AH1773">
        <v>0.57610100507736206</v>
      </c>
      <c r="AJ1773">
        <v>1.4412499666213989</v>
      </c>
      <c r="AK1773" t="s">
        <v>54</v>
      </c>
      <c r="AL1773" t="s">
        <v>54</v>
      </c>
      <c r="AQ1773" t="s">
        <v>54</v>
      </c>
      <c r="AT1773" t="s">
        <v>8628</v>
      </c>
      <c r="AU1773" s="148">
        <v>43252</v>
      </c>
      <c r="AW1773" t="s">
        <v>53</v>
      </c>
      <c r="AZ1773" t="s">
        <v>54</v>
      </c>
      <c r="BA1773" t="s">
        <v>8535</v>
      </c>
    </row>
    <row r="1774" spans="1:53" x14ac:dyDescent="0.25">
      <c r="A1774">
        <v>1769</v>
      </c>
      <c r="B1774" t="s">
        <v>8632</v>
      </c>
      <c r="C1774" t="s">
        <v>8633</v>
      </c>
      <c r="D1774" t="s">
        <v>8634</v>
      </c>
      <c r="E1774">
        <v>11</v>
      </c>
      <c r="F1774" t="s">
        <v>8529</v>
      </c>
      <c r="G1774" t="s">
        <v>265</v>
      </c>
      <c r="H1774" t="s">
        <v>8567</v>
      </c>
      <c r="K1774" t="s">
        <v>8635</v>
      </c>
      <c r="L1774" t="s">
        <v>8532</v>
      </c>
      <c r="M1774">
        <v>0.65429985523223877</v>
      </c>
      <c r="N1774" t="s">
        <v>54</v>
      </c>
      <c r="O1774" t="s">
        <v>53</v>
      </c>
      <c r="P1774" t="s">
        <v>53</v>
      </c>
      <c r="Q1774" t="s">
        <v>53</v>
      </c>
      <c r="R1774" t="s">
        <v>53</v>
      </c>
      <c r="S1774" t="s">
        <v>272</v>
      </c>
      <c r="T1774" t="s">
        <v>8636</v>
      </c>
      <c r="U1774" t="s">
        <v>53</v>
      </c>
      <c r="V1774" t="s">
        <v>51</v>
      </c>
      <c r="W1774">
        <v>2739000</v>
      </c>
      <c r="X1774" t="s">
        <v>53</v>
      </c>
      <c r="AA1774">
        <v>0</v>
      </c>
      <c r="AB1774">
        <v>0</v>
      </c>
      <c r="AC1774">
        <v>0</v>
      </c>
      <c r="AD1774">
        <v>0</v>
      </c>
      <c r="AE1774">
        <v>0</v>
      </c>
      <c r="AF1774">
        <v>0</v>
      </c>
      <c r="AG1774">
        <v>0</v>
      </c>
      <c r="AH1774">
        <v>0.10837917774915699</v>
      </c>
      <c r="AJ1774">
        <v>15.39199066162109</v>
      </c>
      <c r="AK1774" t="s">
        <v>54</v>
      </c>
      <c r="AL1774" t="s">
        <v>54</v>
      </c>
      <c r="AQ1774" t="s">
        <v>54</v>
      </c>
      <c r="AT1774" t="s">
        <v>1885</v>
      </c>
      <c r="AU1774" s="148">
        <v>42532</v>
      </c>
      <c r="AW1774" t="s">
        <v>53</v>
      </c>
      <c r="AZ1774" t="s">
        <v>54</v>
      </c>
      <c r="BA1774" t="s">
        <v>8535</v>
      </c>
    </row>
    <row r="1775" spans="1:53" x14ac:dyDescent="0.25">
      <c r="A1775">
        <v>1770</v>
      </c>
      <c r="B1775" t="s">
        <v>8637</v>
      </c>
      <c r="C1775" t="s">
        <v>8638</v>
      </c>
      <c r="D1775" t="s">
        <v>8639</v>
      </c>
      <c r="E1775">
        <v>11</v>
      </c>
      <c r="F1775" t="s">
        <v>8529</v>
      </c>
      <c r="G1775" t="s">
        <v>265</v>
      </c>
      <c r="H1775" t="s">
        <v>8567</v>
      </c>
      <c r="K1775" t="s">
        <v>8635</v>
      </c>
      <c r="L1775" t="s">
        <v>8560</v>
      </c>
      <c r="M1775">
        <v>4.267134889960289E-2</v>
      </c>
      <c r="N1775" t="s">
        <v>54</v>
      </c>
      <c r="O1775" t="s">
        <v>53</v>
      </c>
      <c r="P1775" t="s">
        <v>53</v>
      </c>
      <c r="Q1775" t="s">
        <v>53</v>
      </c>
      <c r="R1775" t="s">
        <v>53</v>
      </c>
      <c r="S1775" t="s">
        <v>272</v>
      </c>
      <c r="T1775" t="s">
        <v>8640</v>
      </c>
      <c r="U1775" t="s">
        <v>53</v>
      </c>
      <c r="V1775" t="s">
        <v>51</v>
      </c>
      <c r="W1775">
        <v>100000</v>
      </c>
      <c r="X1775" t="s">
        <v>53</v>
      </c>
      <c r="AA1775">
        <v>0</v>
      </c>
      <c r="AB1775">
        <v>0</v>
      </c>
      <c r="AC1775">
        <v>0</v>
      </c>
      <c r="AD1775">
        <v>0</v>
      </c>
      <c r="AE1775">
        <v>0</v>
      </c>
      <c r="AF1775">
        <v>0</v>
      </c>
      <c r="AG1775">
        <v>0</v>
      </c>
      <c r="AH1775">
        <v>0</v>
      </c>
      <c r="AJ1775">
        <v>0</v>
      </c>
      <c r="AK1775" t="s">
        <v>54</v>
      </c>
      <c r="AL1775" t="s">
        <v>54</v>
      </c>
      <c r="AQ1775" t="s">
        <v>54</v>
      </c>
      <c r="AT1775" t="s">
        <v>268</v>
      </c>
      <c r="AU1775" s="148">
        <v>40756</v>
      </c>
      <c r="AW1775" t="s">
        <v>53</v>
      </c>
      <c r="AZ1775" t="s">
        <v>54</v>
      </c>
      <c r="BA1775" t="s">
        <v>8535</v>
      </c>
    </row>
    <row r="1776" spans="1:53" x14ac:dyDescent="0.25">
      <c r="A1776">
        <v>1771</v>
      </c>
      <c r="B1776" t="s">
        <v>8641</v>
      </c>
      <c r="C1776" t="s">
        <v>8642</v>
      </c>
      <c r="D1776" t="s">
        <v>8643</v>
      </c>
      <c r="E1776">
        <v>11</v>
      </c>
      <c r="F1776" t="s">
        <v>8529</v>
      </c>
      <c r="G1776" t="s">
        <v>8575</v>
      </c>
      <c r="H1776" t="s">
        <v>8567</v>
      </c>
      <c r="K1776" t="s">
        <v>8644</v>
      </c>
      <c r="L1776" t="s">
        <v>8532</v>
      </c>
      <c r="M1776">
        <v>7.3319621086120614</v>
      </c>
      <c r="N1776" t="s">
        <v>54</v>
      </c>
      <c r="O1776" t="s">
        <v>53</v>
      </c>
      <c r="P1776" t="s">
        <v>53</v>
      </c>
      <c r="Q1776" t="s">
        <v>53</v>
      </c>
      <c r="R1776" t="s">
        <v>53</v>
      </c>
      <c r="S1776" t="s">
        <v>8645</v>
      </c>
      <c r="T1776" t="s">
        <v>8646</v>
      </c>
      <c r="U1776" t="s">
        <v>53</v>
      </c>
      <c r="V1776" t="s">
        <v>51</v>
      </c>
      <c r="W1776">
        <v>100000</v>
      </c>
      <c r="X1776" t="s">
        <v>53</v>
      </c>
      <c r="AA1776">
        <v>9</v>
      </c>
      <c r="AB1776">
        <v>0</v>
      </c>
      <c r="AC1776">
        <v>20</v>
      </c>
      <c r="AD1776">
        <v>0</v>
      </c>
      <c r="AE1776">
        <v>20</v>
      </c>
      <c r="AF1776">
        <v>0</v>
      </c>
      <c r="AG1776">
        <v>0</v>
      </c>
      <c r="AH1776">
        <v>0</v>
      </c>
      <c r="AJ1776">
        <v>18.362251281738281</v>
      </c>
      <c r="AK1776" t="s">
        <v>54</v>
      </c>
      <c r="AL1776" t="s">
        <v>54</v>
      </c>
      <c r="AQ1776" t="s">
        <v>54</v>
      </c>
      <c r="AT1776" t="s">
        <v>8628</v>
      </c>
      <c r="AU1776" s="148">
        <v>43252</v>
      </c>
      <c r="AW1776" t="s">
        <v>8390</v>
      </c>
      <c r="AZ1776" t="s">
        <v>54</v>
      </c>
      <c r="BA1776" t="s">
        <v>8535</v>
      </c>
    </row>
    <row r="1777" spans="1:53" x14ac:dyDescent="0.25">
      <c r="A1777">
        <v>1772</v>
      </c>
      <c r="B1777" t="s">
        <v>8647</v>
      </c>
      <c r="C1777" t="s">
        <v>8648</v>
      </c>
      <c r="D1777" t="s">
        <v>8649</v>
      </c>
      <c r="E1777">
        <v>11</v>
      </c>
      <c r="F1777" t="s">
        <v>8529</v>
      </c>
      <c r="G1777" t="s">
        <v>8650</v>
      </c>
      <c r="H1777" t="s">
        <v>8567</v>
      </c>
      <c r="K1777" t="s">
        <v>8651</v>
      </c>
      <c r="L1777" t="s">
        <v>8532</v>
      </c>
      <c r="M1777">
        <v>6.0602507591247559</v>
      </c>
      <c r="N1777" t="s">
        <v>54</v>
      </c>
      <c r="O1777" t="s">
        <v>53</v>
      </c>
      <c r="P1777" t="s">
        <v>53</v>
      </c>
      <c r="Q1777" t="s">
        <v>53</v>
      </c>
      <c r="R1777" t="s">
        <v>53</v>
      </c>
      <c r="S1777" t="s">
        <v>8652</v>
      </c>
      <c r="T1777" t="s">
        <v>8653</v>
      </c>
      <c r="U1777" t="s">
        <v>53</v>
      </c>
      <c r="V1777" t="s">
        <v>51</v>
      </c>
      <c r="W1777">
        <v>600000</v>
      </c>
      <c r="X1777" t="s">
        <v>53</v>
      </c>
      <c r="AA1777">
        <v>532</v>
      </c>
      <c r="AB1777">
        <v>412</v>
      </c>
      <c r="AC1777">
        <v>560</v>
      </c>
      <c r="AD1777">
        <v>1070</v>
      </c>
      <c r="AE1777">
        <v>1070</v>
      </c>
      <c r="AF1777">
        <v>2</v>
      </c>
      <c r="AG1777">
        <v>5</v>
      </c>
      <c r="AH1777">
        <v>13.42215633392334</v>
      </c>
      <c r="AJ1777">
        <v>127.734733581543</v>
      </c>
      <c r="AK1777" t="s">
        <v>54</v>
      </c>
      <c r="AL1777" t="s">
        <v>54</v>
      </c>
      <c r="AQ1777" t="s">
        <v>54</v>
      </c>
      <c r="AT1777" t="s">
        <v>8654</v>
      </c>
      <c r="AU1777" s="148">
        <v>43313</v>
      </c>
      <c r="AW1777" t="s">
        <v>8390</v>
      </c>
      <c r="AZ1777" t="s">
        <v>54</v>
      </c>
      <c r="BA1777" t="s">
        <v>8535</v>
      </c>
    </row>
    <row r="1778" spans="1:53" x14ac:dyDescent="0.25">
      <c r="A1778">
        <v>1773</v>
      </c>
      <c r="B1778" t="s">
        <v>8655</v>
      </c>
      <c r="C1778" t="s">
        <v>8656</v>
      </c>
      <c r="D1778" t="s">
        <v>8657</v>
      </c>
      <c r="E1778">
        <v>11</v>
      </c>
      <c r="F1778" t="s">
        <v>8529</v>
      </c>
      <c r="G1778" t="s">
        <v>8650</v>
      </c>
      <c r="H1778" t="s">
        <v>8567</v>
      </c>
      <c r="K1778" t="s">
        <v>8651</v>
      </c>
      <c r="L1778" t="s">
        <v>8550</v>
      </c>
      <c r="M1778">
        <v>6.0602507591247559</v>
      </c>
      <c r="N1778" t="s">
        <v>54</v>
      </c>
      <c r="O1778" t="s">
        <v>53</v>
      </c>
      <c r="P1778" t="s">
        <v>53</v>
      </c>
      <c r="Q1778" t="s">
        <v>53</v>
      </c>
      <c r="R1778" t="s">
        <v>53</v>
      </c>
      <c r="S1778" t="s">
        <v>8652</v>
      </c>
      <c r="T1778" t="s">
        <v>8653</v>
      </c>
      <c r="U1778" t="s">
        <v>53</v>
      </c>
      <c r="V1778" t="s">
        <v>51</v>
      </c>
      <c r="W1778">
        <v>430000</v>
      </c>
      <c r="X1778" t="s">
        <v>53</v>
      </c>
      <c r="AA1778">
        <v>532</v>
      </c>
      <c r="AB1778">
        <v>412</v>
      </c>
      <c r="AC1778">
        <v>560</v>
      </c>
      <c r="AD1778">
        <v>1070</v>
      </c>
      <c r="AE1778">
        <v>1070</v>
      </c>
      <c r="AF1778">
        <v>2</v>
      </c>
      <c r="AG1778">
        <v>5</v>
      </c>
      <c r="AH1778">
        <v>13.42215633392334</v>
      </c>
      <c r="AJ1778">
        <v>127.734733581543</v>
      </c>
      <c r="AK1778" t="s">
        <v>54</v>
      </c>
      <c r="AL1778" t="s">
        <v>54</v>
      </c>
      <c r="AQ1778" t="s">
        <v>54</v>
      </c>
      <c r="AT1778" t="s">
        <v>1885</v>
      </c>
      <c r="AU1778" s="148">
        <v>42333</v>
      </c>
      <c r="AW1778" t="s">
        <v>8390</v>
      </c>
      <c r="AZ1778" t="s">
        <v>54</v>
      </c>
      <c r="BA1778" t="s">
        <v>8535</v>
      </c>
    </row>
    <row r="1779" spans="1:53" x14ac:dyDescent="0.25">
      <c r="A1779">
        <v>1774</v>
      </c>
      <c r="B1779" t="s">
        <v>8658</v>
      </c>
      <c r="C1779" t="s">
        <v>8659</v>
      </c>
      <c r="D1779" t="s">
        <v>8660</v>
      </c>
      <c r="E1779">
        <v>11</v>
      </c>
      <c r="F1779" t="s">
        <v>8529</v>
      </c>
      <c r="G1779" t="s">
        <v>417</v>
      </c>
      <c r="H1779" t="s">
        <v>8530</v>
      </c>
      <c r="K1779" t="s">
        <v>8661</v>
      </c>
      <c r="L1779" t="s">
        <v>8532</v>
      </c>
      <c r="M1779">
        <v>1.4944297075271611</v>
      </c>
      <c r="N1779" t="s">
        <v>54</v>
      </c>
      <c r="O1779" t="s">
        <v>53</v>
      </c>
      <c r="P1779" t="s">
        <v>53</v>
      </c>
      <c r="Q1779" t="s">
        <v>53</v>
      </c>
      <c r="R1779" t="s">
        <v>53</v>
      </c>
      <c r="S1779" t="s">
        <v>8662</v>
      </c>
      <c r="T1779" t="s">
        <v>8663</v>
      </c>
      <c r="U1779" t="s">
        <v>53</v>
      </c>
      <c r="V1779" t="s">
        <v>138</v>
      </c>
      <c r="W1779">
        <v>100000</v>
      </c>
      <c r="X1779" t="s">
        <v>53</v>
      </c>
      <c r="AA1779">
        <v>122</v>
      </c>
      <c r="AB1779">
        <v>76</v>
      </c>
      <c r="AC1779">
        <v>108</v>
      </c>
      <c r="AD1779">
        <v>141</v>
      </c>
      <c r="AE1779">
        <v>141</v>
      </c>
      <c r="AF1779">
        <v>0</v>
      </c>
      <c r="AG1779">
        <v>0</v>
      </c>
      <c r="AH1779">
        <v>3.054731130599976</v>
      </c>
      <c r="AJ1779">
        <v>24.21843338012695</v>
      </c>
      <c r="AK1779" t="s">
        <v>54</v>
      </c>
      <c r="AL1779" t="s">
        <v>54</v>
      </c>
      <c r="AQ1779" t="s">
        <v>54</v>
      </c>
      <c r="AT1779" t="s">
        <v>420</v>
      </c>
      <c r="AU1779" s="148">
        <v>43313</v>
      </c>
      <c r="AW1779" t="s">
        <v>8390</v>
      </c>
      <c r="AZ1779" t="s">
        <v>54</v>
      </c>
      <c r="BA1779" t="s">
        <v>8535</v>
      </c>
    </row>
    <row r="1780" spans="1:53" x14ac:dyDescent="0.25">
      <c r="A1780">
        <v>1775</v>
      </c>
      <c r="B1780" t="s">
        <v>8664</v>
      </c>
      <c r="C1780" t="s">
        <v>8665</v>
      </c>
      <c r="D1780" t="s">
        <v>8666</v>
      </c>
      <c r="E1780">
        <v>11</v>
      </c>
      <c r="F1780" t="s">
        <v>8529</v>
      </c>
      <c r="G1780" t="s">
        <v>417</v>
      </c>
      <c r="H1780" t="s">
        <v>8530</v>
      </c>
      <c r="K1780" t="s">
        <v>8667</v>
      </c>
      <c r="L1780" t="s">
        <v>8532</v>
      </c>
      <c r="M1780">
        <v>5.1348400302231312E-3</v>
      </c>
      <c r="N1780" t="s">
        <v>53</v>
      </c>
      <c r="O1780" t="s">
        <v>53</v>
      </c>
      <c r="P1780" t="s">
        <v>53</v>
      </c>
      <c r="Q1780" t="s">
        <v>53</v>
      </c>
      <c r="R1780" t="s">
        <v>53</v>
      </c>
      <c r="S1780" t="s">
        <v>8668</v>
      </c>
      <c r="T1780" t="s">
        <v>8669</v>
      </c>
      <c r="U1780" t="s">
        <v>53</v>
      </c>
      <c r="V1780" t="s">
        <v>51</v>
      </c>
      <c r="W1780">
        <v>100000</v>
      </c>
      <c r="X1780" t="s">
        <v>53</v>
      </c>
      <c r="AA1780">
        <v>0</v>
      </c>
      <c r="AB1780">
        <v>0</v>
      </c>
      <c r="AC1780">
        <v>0</v>
      </c>
      <c r="AD1780">
        <v>0</v>
      </c>
      <c r="AE1780">
        <v>0</v>
      </c>
      <c r="AF1780">
        <v>0</v>
      </c>
      <c r="AG1780">
        <v>0</v>
      </c>
      <c r="AH1780">
        <v>0</v>
      </c>
      <c r="AJ1780">
        <v>0</v>
      </c>
      <c r="AK1780" t="s">
        <v>54</v>
      </c>
      <c r="AL1780" t="s">
        <v>54</v>
      </c>
      <c r="AQ1780" t="s">
        <v>54</v>
      </c>
      <c r="AT1780" t="s">
        <v>8670</v>
      </c>
      <c r="AU1780" s="148">
        <v>43800</v>
      </c>
      <c r="AW1780" t="s">
        <v>53</v>
      </c>
      <c r="AZ1780" t="s">
        <v>54</v>
      </c>
      <c r="BA1780" t="s">
        <v>8535</v>
      </c>
    </row>
    <row r="1781" spans="1:53" x14ac:dyDescent="0.25">
      <c r="A1781">
        <v>1776</v>
      </c>
      <c r="B1781" t="s">
        <v>8671</v>
      </c>
      <c r="C1781" t="s">
        <v>8672</v>
      </c>
      <c r="D1781" t="s">
        <v>8673</v>
      </c>
      <c r="E1781">
        <v>11</v>
      </c>
      <c r="F1781" t="s">
        <v>8529</v>
      </c>
      <c r="G1781" t="s">
        <v>417</v>
      </c>
      <c r="H1781" t="s">
        <v>8530</v>
      </c>
      <c r="K1781" t="s">
        <v>8667</v>
      </c>
      <c r="L1781" t="s">
        <v>8550</v>
      </c>
      <c r="M1781">
        <v>1.501449965871871E-3</v>
      </c>
      <c r="N1781" t="s">
        <v>54</v>
      </c>
      <c r="O1781" t="s">
        <v>53</v>
      </c>
      <c r="P1781" t="s">
        <v>53</v>
      </c>
      <c r="Q1781" t="s">
        <v>53</v>
      </c>
      <c r="R1781" t="s">
        <v>53</v>
      </c>
      <c r="S1781" t="s">
        <v>8668</v>
      </c>
      <c r="T1781" t="s">
        <v>8669</v>
      </c>
      <c r="U1781" t="s">
        <v>53</v>
      </c>
      <c r="V1781" t="s">
        <v>51</v>
      </c>
      <c r="W1781">
        <v>340000</v>
      </c>
      <c r="X1781" t="s">
        <v>53</v>
      </c>
      <c r="AA1781">
        <v>0</v>
      </c>
      <c r="AB1781">
        <v>0</v>
      </c>
      <c r="AC1781">
        <v>0</v>
      </c>
      <c r="AD1781">
        <v>0</v>
      </c>
      <c r="AE1781">
        <v>0</v>
      </c>
      <c r="AF1781">
        <v>0</v>
      </c>
      <c r="AG1781">
        <v>1</v>
      </c>
      <c r="AH1781">
        <v>7.3735900223255157E-2</v>
      </c>
      <c r="AJ1781">
        <v>0</v>
      </c>
      <c r="AK1781" t="s">
        <v>54</v>
      </c>
      <c r="AL1781" t="s">
        <v>54</v>
      </c>
      <c r="AQ1781" t="s">
        <v>54</v>
      </c>
      <c r="AT1781" t="s">
        <v>8670</v>
      </c>
      <c r="AU1781" s="148">
        <v>43800</v>
      </c>
      <c r="AW1781" t="s">
        <v>54</v>
      </c>
      <c r="AZ1781" t="s">
        <v>54</v>
      </c>
      <c r="BA1781" t="s">
        <v>8535</v>
      </c>
    </row>
    <row r="1782" spans="1:53" x14ac:dyDescent="0.25">
      <c r="A1782">
        <v>1777</v>
      </c>
      <c r="B1782" t="s">
        <v>8674</v>
      </c>
      <c r="C1782" t="s">
        <v>8675</v>
      </c>
      <c r="D1782" t="s">
        <v>8676</v>
      </c>
      <c r="E1782">
        <v>11</v>
      </c>
      <c r="F1782" t="s">
        <v>8529</v>
      </c>
      <c r="G1782" t="s">
        <v>417</v>
      </c>
      <c r="H1782" t="s">
        <v>8530</v>
      </c>
      <c r="K1782" t="s">
        <v>8667</v>
      </c>
      <c r="L1782" t="s">
        <v>8550</v>
      </c>
      <c r="M1782">
        <v>1.283240038901567E-3</v>
      </c>
      <c r="N1782" t="s">
        <v>54</v>
      </c>
      <c r="O1782" t="s">
        <v>53</v>
      </c>
      <c r="P1782" t="s">
        <v>53</v>
      </c>
      <c r="Q1782" t="s">
        <v>53</v>
      </c>
      <c r="R1782" t="s">
        <v>53</v>
      </c>
      <c r="S1782" t="s">
        <v>8668</v>
      </c>
      <c r="T1782" t="s">
        <v>8669</v>
      </c>
      <c r="U1782" t="s">
        <v>53</v>
      </c>
      <c r="V1782" t="s">
        <v>51</v>
      </c>
      <c r="W1782">
        <v>510000</v>
      </c>
      <c r="X1782" t="s">
        <v>53</v>
      </c>
      <c r="AA1782">
        <v>0</v>
      </c>
      <c r="AB1782">
        <v>0</v>
      </c>
      <c r="AC1782">
        <v>0</v>
      </c>
      <c r="AD1782">
        <v>0</v>
      </c>
      <c r="AE1782">
        <v>0</v>
      </c>
      <c r="AF1782">
        <v>0</v>
      </c>
      <c r="AG1782">
        <v>1</v>
      </c>
      <c r="AH1782">
        <v>4.8712641000747681E-2</v>
      </c>
      <c r="AJ1782">
        <v>0</v>
      </c>
      <c r="AK1782" t="s">
        <v>54</v>
      </c>
      <c r="AL1782" t="s">
        <v>54</v>
      </c>
      <c r="AQ1782" t="s">
        <v>54</v>
      </c>
      <c r="AT1782" t="s">
        <v>8670</v>
      </c>
      <c r="AU1782" s="148">
        <v>43800</v>
      </c>
      <c r="AW1782" t="s">
        <v>54</v>
      </c>
      <c r="AZ1782" t="s">
        <v>54</v>
      </c>
      <c r="BA1782" t="s">
        <v>8535</v>
      </c>
    </row>
    <row r="1783" spans="1:53" x14ac:dyDescent="0.25">
      <c r="A1783">
        <v>1778</v>
      </c>
      <c r="B1783" t="s">
        <v>8677</v>
      </c>
      <c r="C1783" t="s">
        <v>8678</v>
      </c>
      <c r="D1783" t="s">
        <v>8673</v>
      </c>
      <c r="E1783">
        <v>11</v>
      </c>
      <c r="F1783" t="s">
        <v>8529</v>
      </c>
      <c r="G1783" t="s">
        <v>417</v>
      </c>
      <c r="H1783" t="s">
        <v>8530</v>
      </c>
      <c r="K1783" t="s">
        <v>8667</v>
      </c>
      <c r="L1783" t="s">
        <v>8550</v>
      </c>
      <c r="M1783">
        <v>1.4775099698454139E-3</v>
      </c>
      <c r="N1783" t="s">
        <v>54</v>
      </c>
      <c r="O1783" t="s">
        <v>53</v>
      </c>
      <c r="P1783" t="s">
        <v>53</v>
      </c>
      <c r="Q1783" t="s">
        <v>53</v>
      </c>
      <c r="R1783" t="s">
        <v>53</v>
      </c>
      <c r="S1783" t="s">
        <v>8668</v>
      </c>
      <c r="T1783" t="s">
        <v>8669</v>
      </c>
      <c r="U1783" t="s">
        <v>53</v>
      </c>
      <c r="V1783" t="s">
        <v>51</v>
      </c>
      <c r="W1783">
        <v>180000</v>
      </c>
      <c r="X1783" t="s">
        <v>53</v>
      </c>
      <c r="AA1783">
        <v>0</v>
      </c>
      <c r="AB1783">
        <v>0</v>
      </c>
      <c r="AC1783">
        <v>0</v>
      </c>
      <c r="AD1783">
        <v>0</v>
      </c>
      <c r="AE1783">
        <v>0</v>
      </c>
      <c r="AF1783">
        <v>0</v>
      </c>
      <c r="AG1783">
        <v>1</v>
      </c>
      <c r="AH1783">
        <v>6.1610579490661621E-2</v>
      </c>
      <c r="AJ1783">
        <v>0</v>
      </c>
      <c r="AK1783" t="s">
        <v>54</v>
      </c>
      <c r="AL1783" t="s">
        <v>54</v>
      </c>
      <c r="AQ1783" t="s">
        <v>54</v>
      </c>
      <c r="AT1783" t="s">
        <v>8670</v>
      </c>
      <c r="AU1783" s="148">
        <v>43800</v>
      </c>
      <c r="AW1783" t="s">
        <v>8390</v>
      </c>
      <c r="AZ1783" t="s">
        <v>54</v>
      </c>
      <c r="BA1783" t="s">
        <v>8535</v>
      </c>
    </row>
    <row r="1784" spans="1:53" x14ac:dyDescent="0.25">
      <c r="A1784">
        <v>1779</v>
      </c>
      <c r="B1784" t="s">
        <v>8679</v>
      </c>
      <c r="C1784" t="s">
        <v>8680</v>
      </c>
      <c r="D1784" t="s">
        <v>8681</v>
      </c>
      <c r="E1784">
        <v>11</v>
      </c>
      <c r="F1784" t="s">
        <v>8529</v>
      </c>
      <c r="G1784" t="s">
        <v>417</v>
      </c>
      <c r="H1784" t="s">
        <v>8530</v>
      </c>
      <c r="K1784" t="s">
        <v>8667</v>
      </c>
      <c r="L1784" t="s">
        <v>8532</v>
      </c>
      <c r="M1784">
        <v>5.3616997320204973E-4</v>
      </c>
      <c r="N1784" t="s">
        <v>54</v>
      </c>
      <c r="O1784" t="s">
        <v>53</v>
      </c>
      <c r="P1784" t="s">
        <v>53</v>
      </c>
      <c r="Q1784" t="s">
        <v>53</v>
      </c>
      <c r="R1784" t="s">
        <v>53</v>
      </c>
      <c r="S1784" t="s">
        <v>8668</v>
      </c>
      <c r="T1784" t="s">
        <v>8669</v>
      </c>
      <c r="U1784" t="s">
        <v>53</v>
      </c>
      <c r="V1784" t="s">
        <v>51</v>
      </c>
      <c r="W1784">
        <v>245000</v>
      </c>
      <c r="X1784" t="s">
        <v>53</v>
      </c>
      <c r="AA1784">
        <v>0</v>
      </c>
      <c r="AB1784">
        <v>0</v>
      </c>
      <c r="AC1784">
        <v>0</v>
      </c>
      <c r="AD1784">
        <v>0</v>
      </c>
      <c r="AE1784">
        <v>0</v>
      </c>
      <c r="AF1784">
        <v>0</v>
      </c>
      <c r="AG1784">
        <v>0</v>
      </c>
      <c r="AH1784">
        <v>0</v>
      </c>
      <c r="AJ1784">
        <v>0</v>
      </c>
      <c r="AK1784" t="s">
        <v>54</v>
      </c>
      <c r="AL1784" t="s">
        <v>54</v>
      </c>
      <c r="AQ1784" t="s">
        <v>54</v>
      </c>
      <c r="AT1784" t="s">
        <v>8670</v>
      </c>
      <c r="AU1784" s="148">
        <v>43800</v>
      </c>
      <c r="AW1784" t="s">
        <v>54</v>
      </c>
      <c r="AZ1784" t="s">
        <v>54</v>
      </c>
      <c r="BA1784" t="s">
        <v>8535</v>
      </c>
    </row>
    <row r="1785" spans="1:53" x14ac:dyDescent="0.25">
      <c r="A1785">
        <v>1780</v>
      </c>
      <c r="B1785" t="s">
        <v>8682</v>
      </c>
      <c r="C1785" t="s">
        <v>8683</v>
      </c>
      <c r="D1785" t="s">
        <v>8684</v>
      </c>
      <c r="E1785">
        <v>11</v>
      </c>
      <c r="F1785" t="s">
        <v>8529</v>
      </c>
      <c r="G1785" t="s">
        <v>417</v>
      </c>
      <c r="H1785" t="s">
        <v>8530</v>
      </c>
      <c r="K1785" t="s">
        <v>8685</v>
      </c>
      <c r="L1785" t="s">
        <v>8532</v>
      </c>
      <c r="M1785">
        <v>7.0190699771046638E-3</v>
      </c>
      <c r="N1785" t="s">
        <v>54</v>
      </c>
      <c r="O1785" t="s">
        <v>53</v>
      </c>
      <c r="P1785" t="s">
        <v>53</v>
      </c>
      <c r="Q1785" t="s">
        <v>53</v>
      </c>
      <c r="R1785" t="s">
        <v>53</v>
      </c>
      <c r="S1785" t="s">
        <v>8668</v>
      </c>
      <c r="T1785" t="s">
        <v>8669</v>
      </c>
      <c r="U1785" t="s">
        <v>53</v>
      </c>
      <c r="V1785" t="s">
        <v>51</v>
      </c>
      <c r="W1785">
        <v>180000</v>
      </c>
      <c r="X1785" t="s">
        <v>53</v>
      </c>
      <c r="AA1785">
        <v>1</v>
      </c>
      <c r="AB1785">
        <v>1</v>
      </c>
      <c r="AC1785">
        <v>1</v>
      </c>
      <c r="AD1785">
        <v>2</v>
      </c>
      <c r="AE1785">
        <v>2</v>
      </c>
      <c r="AF1785">
        <v>0</v>
      </c>
      <c r="AG1785">
        <v>0</v>
      </c>
      <c r="AH1785">
        <v>0</v>
      </c>
      <c r="AJ1785">
        <v>0</v>
      </c>
      <c r="AK1785" t="s">
        <v>54</v>
      </c>
      <c r="AL1785" t="s">
        <v>54</v>
      </c>
      <c r="AQ1785" t="s">
        <v>54</v>
      </c>
      <c r="AT1785" t="s">
        <v>8670</v>
      </c>
      <c r="AU1785" s="148">
        <v>43800</v>
      </c>
      <c r="AW1785" t="s">
        <v>53</v>
      </c>
      <c r="AZ1785" t="s">
        <v>54</v>
      </c>
      <c r="BA1785" t="s">
        <v>8535</v>
      </c>
    </row>
    <row r="1786" spans="1:53" x14ac:dyDescent="0.25">
      <c r="A1786">
        <v>1781</v>
      </c>
      <c r="B1786" t="s">
        <v>8686</v>
      </c>
      <c r="C1786" t="s">
        <v>8687</v>
      </c>
      <c r="D1786" t="s">
        <v>8688</v>
      </c>
      <c r="E1786">
        <v>11</v>
      </c>
      <c r="F1786" t="s">
        <v>8529</v>
      </c>
      <c r="G1786" t="s">
        <v>417</v>
      </c>
      <c r="H1786" t="s">
        <v>8530</v>
      </c>
      <c r="K1786" t="s">
        <v>8685</v>
      </c>
      <c r="L1786" t="s">
        <v>8532</v>
      </c>
      <c r="M1786">
        <v>5.6986999697983265E-4</v>
      </c>
      <c r="N1786" t="s">
        <v>54</v>
      </c>
      <c r="O1786" t="s">
        <v>53</v>
      </c>
      <c r="P1786" t="s">
        <v>53</v>
      </c>
      <c r="Q1786" t="s">
        <v>53</v>
      </c>
      <c r="R1786" t="s">
        <v>53</v>
      </c>
      <c r="S1786" t="s">
        <v>8668</v>
      </c>
      <c r="T1786" t="s">
        <v>8669</v>
      </c>
      <c r="U1786" t="s">
        <v>53</v>
      </c>
      <c r="V1786" t="s">
        <v>51</v>
      </c>
      <c r="W1786">
        <v>100000</v>
      </c>
      <c r="X1786" t="s">
        <v>53</v>
      </c>
      <c r="AA1786">
        <v>0</v>
      </c>
      <c r="AB1786">
        <v>0</v>
      </c>
      <c r="AC1786">
        <v>0</v>
      </c>
      <c r="AD1786">
        <v>0</v>
      </c>
      <c r="AE1786">
        <v>0</v>
      </c>
      <c r="AF1786">
        <v>0</v>
      </c>
      <c r="AG1786">
        <v>0</v>
      </c>
      <c r="AH1786">
        <v>0</v>
      </c>
      <c r="AJ1786">
        <v>0</v>
      </c>
      <c r="AK1786" t="s">
        <v>54</v>
      </c>
      <c r="AL1786" t="s">
        <v>54</v>
      </c>
      <c r="AQ1786" t="s">
        <v>54</v>
      </c>
      <c r="AT1786" t="s">
        <v>8670</v>
      </c>
      <c r="AU1786" s="148">
        <v>43800</v>
      </c>
      <c r="AW1786" t="s">
        <v>53</v>
      </c>
      <c r="AZ1786" t="s">
        <v>54</v>
      </c>
      <c r="BA1786" t="s">
        <v>8535</v>
      </c>
    </row>
    <row r="1787" spans="1:53" x14ac:dyDescent="0.25">
      <c r="A1787">
        <v>1782</v>
      </c>
      <c r="B1787" t="s">
        <v>8689</v>
      </c>
      <c r="C1787" t="s">
        <v>8690</v>
      </c>
      <c r="D1787" t="s">
        <v>8691</v>
      </c>
      <c r="E1787">
        <v>11</v>
      </c>
      <c r="F1787" t="s">
        <v>8529</v>
      </c>
      <c r="G1787" t="s">
        <v>417</v>
      </c>
      <c r="H1787" t="s">
        <v>8530</v>
      </c>
      <c r="K1787" t="s">
        <v>8692</v>
      </c>
      <c r="L1787" t="s">
        <v>8532</v>
      </c>
      <c r="M1787">
        <v>4.6065500937402248E-3</v>
      </c>
      <c r="N1787" t="s">
        <v>53</v>
      </c>
      <c r="O1787" t="s">
        <v>53</v>
      </c>
      <c r="P1787" t="s">
        <v>53</v>
      </c>
      <c r="Q1787" t="s">
        <v>53</v>
      </c>
      <c r="R1787" t="s">
        <v>53</v>
      </c>
      <c r="S1787" t="s">
        <v>8668</v>
      </c>
      <c r="T1787" t="s">
        <v>8669</v>
      </c>
      <c r="U1787" t="s">
        <v>53</v>
      </c>
      <c r="V1787" t="s">
        <v>51</v>
      </c>
      <c r="W1787">
        <v>240000</v>
      </c>
      <c r="X1787" t="s">
        <v>53</v>
      </c>
      <c r="AA1787">
        <v>0</v>
      </c>
      <c r="AB1787">
        <v>0</v>
      </c>
      <c r="AC1787">
        <v>0</v>
      </c>
      <c r="AD1787">
        <v>0</v>
      </c>
      <c r="AE1787">
        <v>0</v>
      </c>
      <c r="AF1787">
        <v>0</v>
      </c>
      <c r="AG1787">
        <v>0</v>
      </c>
      <c r="AH1787">
        <v>0</v>
      </c>
      <c r="AJ1787">
        <v>0</v>
      </c>
      <c r="AK1787" t="s">
        <v>54</v>
      </c>
      <c r="AL1787" t="s">
        <v>54</v>
      </c>
      <c r="AQ1787" t="s">
        <v>54</v>
      </c>
      <c r="AT1787" t="s">
        <v>8670</v>
      </c>
      <c r="AU1787" s="148">
        <v>43800</v>
      </c>
      <c r="AW1787" t="s">
        <v>53</v>
      </c>
      <c r="AZ1787" t="s">
        <v>54</v>
      </c>
      <c r="BA1787" t="s">
        <v>8535</v>
      </c>
    </row>
    <row r="1788" spans="1:53" x14ac:dyDescent="0.25">
      <c r="A1788">
        <v>1783</v>
      </c>
      <c r="B1788" t="s">
        <v>8693</v>
      </c>
      <c r="C1788" t="s">
        <v>8694</v>
      </c>
      <c r="D1788" t="s">
        <v>8695</v>
      </c>
      <c r="E1788">
        <v>11</v>
      </c>
      <c r="F1788" t="s">
        <v>8529</v>
      </c>
      <c r="G1788" t="s">
        <v>417</v>
      </c>
      <c r="H1788" t="s">
        <v>8530</v>
      </c>
      <c r="K1788" t="s">
        <v>8696</v>
      </c>
      <c r="L1788" t="s">
        <v>8532</v>
      </c>
      <c r="M1788">
        <v>0.24138812720775599</v>
      </c>
      <c r="N1788" t="s">
        <v>54</v>
      </c>
      <c r="O1788" t="s">
        <v>53</v>
      </c>
      <c r="P1788" t="s">
        <v>53</v>
      </c>
      <c r="Q1788" t="s">
        <v>53</v>
      </c>
      <c r="R1788" t="s">
        <v>53</v>
      </c>
      <c r="S1788" t="s">
        <v>8668</v>
      </c>
      <c r="T1788" t="s">
        <v>8669</v>
      </c>
      <c r="U1788" t="s">
        <v>53</v>
      </c>
      <c r="V1788" t="s">
        <v>51</v>
      </c>
      <c r="W1788">
        <v>150000</v>
      </c>
      <c r="X1788" t="s">
        <v>53</v>
      </c>
      <c r="AA1788">
        <v>4</v>
      </c>
      <c r="AB1788">
        <v>4</v>
      </c>
      <c r="AC1788">
        <v>3</v>
      </c>
      <c r="AD1788">
        <v>7</v>
      </c>
      <c r="AE1788">
        <v>7</v>
      </c>
      <c r="AF1788">
        <v>0</v>
      </c>
      <c r="AG1788">
        <v>1</v>
      </c>
      <c r="AH1788">
        <v>9.9094696342945099E-2</v>
      </c>
      <c r="AJ1788">
        <v>0</v>
      </c>
      <c r="AK1788" t="s">
        <v>54</v>
      </c>
      <c r="AL1788" t="s">
        <v>54</v>
      </c>
      <c r="AQ1788" t="s">
        <v>54</v>
      </c>
      <c r="AT1788" t="s">
        <v>8563</v>
      </c>
      <c r="AW1788" t="s">
        <v>8390</v>
      </c>
      <c r="AZ1788" t="s">
        <v>54</v>
      </c>
      <c r="BA1788" t="s">
        <v>8535</v>
      </c>
    </row>
    <row r="1789" spans="1:53" x14ac:dyDescent="0.25">
      <c r="A1789">
        <v>1784</v>
      </c>
      <c r="B1789" t="s">
        <v>8697</v>
      </c>
      <c r="C1789" t="s">
        <v>8698</v>
      </c>
      <c r="D1789" t="s">
        <v>8699</v>
      </c>
      <c r="E1789">
        <v>11</v>
      </c>
      <c r="F1789" t="s">
        <v>8529</v>
      </c>
      <c r="G1789" t="s">
        <v>348</v>
      </c>
      <c r="H1789" t="s">
        <v>8540</v>
      </c>
      <c r="K1789" t="s">
        <v>8700</v>
      </c>
      <c r="L1789" t="s">
        <v>8608</v>
      </c>
      <c r="M1789">
        <v>31.151374816894531</v>
      </c>
      <c r="N1789" t="s">
        <v>54</v>
      </c>
      <c r="O1789" t="s">
        <v>53</v>
      </c>
      <c r="P1789" t="s">
        <v>53</v>
      </c>
      <c r="Q1789" t="s">
        <v>53</v>
      </c>
      <c r="R1789" t="s">
        <v>53</v>
      </c>
      <c r="S1789" t="s">
        <v>8701</v>
      </c>
      <c r="T1789" t="s">
        <v>8702</v>
      </c>
      <c r="U1789" t="s">
        <v>53</v>
      </c>
      <c r="V1789" t="s">
        <v>138</v>
      </c>
      <c r="W1789">
        <v>250000</v>
      </c>
      <c r="X1789" t="s">
        <v>53</v>
      </c>
      <c r="AA1789">
        <v>422</v>
      </c>
      <c r="AB1789">
        <v>360</v>
      </c>
      <c r="AC1789">
        <v>331</v>
      </c>
      <c r="AD1789">
        <v>1368</v>
      </c>
      <c r="AE1789">
        <v>1368</v>
      </c>
      <c r="AF1789">
        <v>0</v>
      </c>
      <c r="AG1789">
        <v>9</v>
      </c>
      <c r="AH1789">
        <v>7.1581621170043954</v>
      </c>
      <c r="AJ1789">
        <v>727.1070556640625</v>
      </c>
      <c r="AK1789" t="s">
        <v>53</v>
      </c>
      <c r="AL1789" t="s">
        <v>54</v>
      </c>
      <c r="AQ1789" t="s">
        <v>54</v>
      </c>
      <c r="AT1789" t="s">
        <v>350</v>
      </c>
      <c r="AU1789" s="148">
        <v>42767</v>
      </c>
      <c r="AW1789" t="s">
        <v>8390</v>
      </c>
      <c r="AZ1789" t="s">
        <v>54</v>
      </c>
      <c r="BA1789" t="s">
        <v>8535</v>
      </c>
    </row>
    <row r="1790" spans="1:53" x14ac:dyDescent="0.25">
      <c r="A1790">
        <v>1785</v>
      </c>
      <c r="B1790" t="s">
        <v>8703</v>
      </c>
      <c r="C1790" t="s">
        <v>8704</v>
      </c>
      <c r="D1790" t="s">
        <v>8705</v>
      </c>
      <c r="E1790">
        <v>11</v>
      </c>
      <c r="F1790" t="s">
        <v>8529</v>
      </c>
      <c r="G1790" t="s">
        <v>348</v>
      </c>
      <c r="H1790" t="s">
        <v>8540</v>
      </c>
      <c r="K1790" t="s">
        <v>8706</v>
      </c>
      <c r="L1790" t="s">
        <v>8532</v>
      </c>
      <c r="M1790">
        <v>1.0802219621837141E-2</v>
      </c>
      <c r="N1790" t="s">
        <v>54</v>
      </c>
      <c r="O1790" t="s">
        <v>53</v>
      </c>
      <c r="P1790" t="s">
        <v>53</v>
      </c>
      <c r="Q1790" t="s">
        <v>53</v>
      </c>
      <c r="R1790" t="s">
        <v>53</v>
      </c>
      <c r="S1790" t="s">
        <v>8701</v>
      </c>
      <c r="T1790" t="s">
        <v>8707</v>
      </c>
      <c r="U1790" t="s">
        <v>53</v>
      </c>
      <c r="V1790" t="s">
        <v>51</v>
      </c>
      <c r="W1790">
        <v>983000</v>
      </c>
      <c r="X1790" t="s">
        <v>53</v>
      </c>
      <c r="AA1790">
        <v>1</v>
      </c>
      <c r="AB1790">
        <v>1</v>
      </c>
      <c r="AC1790">
        <v>0</v>
      </c>
      <c r="AD1790">
        <v>3</v>
      </c>
      <c r="AE1790">
        <v>3</v>
      </c>
      <c r="AF1790">
        <v>0</v>
      </c>
      <c r="AG1790">
        <v>1</v>
      </c>
      <c r="AH1790">
        <v>0.1535243093967438</v>
      </c>
      <c r="AJ1790">
        <v>0</v>
      </c>
      <c r="AK1790" t="s">
        <v>54</v>
      </c>
      <c r="AL1790" t="s">
        <v>54</v>
      </c>
      <c r="AQ1790" t="s">
        <v>54</v>
      </c>
      <c r="AT1790" t="s">
        <v>350</v>
      </c>
      <c r="AU1790" s="148">
        <v>42767</v>
      </c>
      <c r="AW1790" t="s">
        <v>8390</v>
      </c>
      <c r="AZ1790" t="s">
        <v>54</v>
      </c>
      <c r="BA1790" t="s">
        <v>8535</v>
      </c>
    </row>
    <row r="1791" spans="1:53" x14ac:dyDescent="0.25">
      <c r="A1791">
        <v>1786</v>
      </c>
      <c r="B1791" t="s">
        <v>8708</v>
      </c>
      <c r="C1791" t="s">
        <v>8709</v>
      </c>
      <c r="D1791" t="s">
        <v>8710</v>
      </c>
      <c r="E1791">
        <v>11</v>
      </c>
      <c r="F1791" t="s">
        <v>8529</v>
      </c>
      <c r="G1791" t="s">
        <v>8548</v>
      </c>
      <c r="H1791" t="s">
        <v>8540</v>
      </c>
      <c r="K1791" t="s">
        <v>8711</v>
      </c>
      <c r="L1791" t="s">
        <v>8532</v>
      </c>
      <c r="M1791">
        <v>15.578781127929689</v>
      </c>
      <c r="N1791" t="s">
        <v>54</v>
      </c>
      <c r="O1791" t="s">
        <v>53</v>
      </c>
      <c r="P1791" t="s">
        <v>53</v>
      </c>
      <c r="Q1791" t="s">
        <v>53</v>
      </c>
      <c r="R1791" t="s">
        <v>53</v>
      </c>
      <c r="S1791" t="s">
        <v>8712</v>
      </c>
      <c r="T1791" t="s">
        <v>8713</v>
      </c>
      <c r="U1791" t="s">
        <v>53</v>
      </c>
      <c r="V1791" t="s">
        <v>138</v>
      </c>
      <c r="W1791">
        <v>2400000</v>
      </c>
      <c r="X1791" t="s">
        <v>53</v>
      </c>
      <c r="AA1791">
        <v>62</v>
      </c>
      <c r="AB1791">
        <v>43</v>
      </c>
      <c r="AC1791">
        <v>187</v>
      </c>
      <c r="AD1791">
        <v>133</v>
      </c>
      <c r="AE1791">
        <v>187</v>
      </c>
      <c r="AF1791">
        <v>2</v>
      </c>
      <c r="AG1791">
        <v>6</v>
      </c>
      <c r="AH1791">
        <v>5.8657941818237296</v>
      </c>
      <c r="AJ1791">
        <v>344.0650634765625</v>
      </c>
      <c r="AK1791" t="s">
        <v>54</v>
      </c>
      <c r="AL1791" t="s">
        <v>54</v>
      </c>
      <c r="AQ1791" t="s">
        <v>54</v>
      </c>
      <c r="AT1791" t="s">
        <v>8544</v>
      </c>
      <c r="AU1791" s="148">
        <v>44013</v>
      </c>
      <c r="AW1791" t="s">
        <v>8390</v>
      </c>
      <c r="AZ1791" t="s">
        <v>54</v>
      </c>
      <c r="BA1791" t="s">
        <v>8535</v>
      </c>
    </row>
    <row r="1792" spans="1:53" x14ac:dyDescent="0.25">
      <c r="A1792">
        <v>1787</v>
      </c>
      <c r="B1792" t="s">
        <v>8714</v>
      </c>
      <c r="C1792" t="s">
        <v>8715</v>
      </c>
      <c r="D1792" t="s">
        <v>8716</v>
      </c>
      <c r="E1792">
        <v>11</v>
      </c>
      <c r="F1792" t="s">
        <v>8529</v>
      </c>
      <c r="G1792" t="s">
        <v>8548</v>
      </c>
      <c r="H1792" t="s">
        <v>8540</v>
      </c>
      <c r="K1792" t="s">
        <v>8711</v>
      </c>
      <c r="L1792" t="s">
        <v>8532</v>
      </c>
      <c r="M1792">
        <v>15.578781127929689</v>
      </c>
      <c r="N1792" t="s">
        <v>54</v>
      </c>
      <c r="O1792" t="s">
        <v>53</v>
      </c>
      <c r="P1792" t="s">
        <v>53</v>
      </c>
      <c r="Q1792" t="s">
        <v>53</v>
      </c>
      <c r="R1792" t="s">
        <v>53</v>
      </c>
      <c r="S1792" t="s">
        <v>8712</v>
      </c>
      <c r="T1792" t="s">
        <v>8713</v>
      </c>
      <c r="U1792" t="s">
        <v>53</v>
      </c>
      <c r="V1792" t="s">
        <v>138</v>
      </c>
      <c r="W1792">
        <v>360000</v>
      </c>
      <c r="X1792" t="s">
        <v>53</v>
      </c>
      <c r="AA1792">
        <v>62</v>
      </c>
      <c r="AB1792">
        <v>43</v>
      </c>
      <c r="AC1792">
        <v>187</v>
      </c>
      <c r="AD1792">
        <v>133</v>
      </c>
      <c r="AE1792">
        <v>187</v>
      </c>
      <c r="AF1792">
        <v>2</v>
      </c>
      <c r="AG1792">
        <v>6</v>
      </c>
      <c r="AH1792">
        <v>5.8657941818237296</v>
      </c>
      <c r="AJ1792">
        <v>344.0650634765625</v>
      </c>
      <c r="AK1792" t="s">
        <v>54</v>
      </c>
      <c r="AL1792" t="s">
        <v>54</v>
      </c>
      <c r="AQ1792" t="s">
        <v>54</v>
      </c>
      <c r="AT1792" t="s">
        <v>8544</v>
      </c>
      <c r="AU1792" s="148">
        <v>44013</v>
      </c>
      <c r="AW1792" t="s">
        <v>8390</v>
      </c>
      <c r="AZ1792" t="s">
        <v>54</v>
      </c>
      <c r="BA1792" t="s">
        <v>8535</v>
      </c>
    </row>
    <row r="1793" spans="1:53" x14ac:dyDescent="0.25">
      <c r="A1793">
        <v>1788</v>
      </c>
      <c r="B1793" t="s">
        <v>8717</v>
      </c>
      <c r="C1793" t="s">
        <v>8718</v>
      </c>
      <c r="D1793" t="s">
        <v>8719</v>
      </c>
      <c r="E1793">
        <v>11</v>
      </c>
      <c r="F1793" t="s">
        <v>8529</v>
      </c>
      <c r="G1793" t="s">
        <v>8720</v>
      </c>
      <c r="H1793" t="s">
        <v>8540</v>
      </c>
      <c r="K1793" t="s">
        <v>8721</v>
      </c>
      <c r="L1793" t="s">
        <v>8532</v>
      </c>
      <c r="M1793">
        <v>5.5341639518737793</v>
      </c>
      <c r="N1793" t="s">
        <v>54</v>
      </c>
      <c r="O1793" t="s">
        <v>53</v>
      </c>
      <c r="P1793" t="s">
        <v>53</v>
      </c>
      <c r="Q1793" t="s">
        <v>53</v>
      </c>
      <c r="R1793" t="s">
        <v>53</v>
      </c>
      <c r="S1793" t="s">
        <v>8722</v>
      </c>
      <c r="T1793" t="s">
        <v>8723</v>
      </c>
      <c r="U1793" t="s">
        <v>53</v>
      </c>
      <c r="V1793" t="s">
        <v>138</v>
      </c>
      <c r="W1793">
        <v>150000</v>
      </c>
      <c r="X1793" t="s">
        <v>53</v>
      </c>
      <c r="AA1793">
        <v>74</v>
      </c>
      <c r="AB1793">
        <v>52</v>
      </c>
      <c r="AC1793">
        <v>199</v>
      </c>
      <c r="AD1793">
        <v>196</v>
      </c>
      <c r="AE1793">
        <v>199</v>
      </c>
      <c r="AF1793">
        <v>0</v>
      </c>
      <c r="AG1793">
        <v>0</v>
      </c>
      <c r="AH1793">
        <v>6.2682452201843262</v>
      </c>
      <c r="AJ1793">
        <v>209.52320861816409</v>
      </c>
      <c r="AK1793" t="s">
        <v>54</v>
      </c>
      <c r="AL1793" t="s">
        <v>54</v>
      </c>
      <c r="AQ1793" t="s">
        <v>54</v>
      </c>
      <c r="AT1793" t="s">
        <v>8544</v>
      </c>
      <c r="AU1793" s="148">
        <v>44013</v>
      </c>
      <c r="AW1793" t="s">
        <v>8390</v>
      </c>
      <c r="AZ1793" t="s">
        <v>54</v>
      </c>
      <c r="BA1793" t="s">
        <v>8535</v>
      </c>
    </row>
    <row r="1794" spans="1:53" x14ac:dyDescent="0.25">
      <c r="A1794">
        <v>1789</v>
      </c>
      <c r="B1794" t="s">
        <v>8724</v>
      </c>
      <c r="C1794" t="s">
        <v>8725</v>
      </c>
      <c r="D1794" t="s">
        <v>8719</v>
      </c>
      <c r="E1794">
        <v>11</v>
      </c>
      <c r="F1794" t="s">
        <v>8529</v>
      </c>
      <c r="G1794" t="s">
        <v>8548</v>
      </c>
      <c r="H1794" t="s">
        <v>8540</v>
      </c>
      <c r="K1794" t="s">
        <v>8726</v>
      </c>
      <c r="L1794" t="s">
        <v>8532</v>
      </c>
      <c r="M1794">
        <v>2.0832114219665532</v>
      </c>
      <c r="N1794" t="s">
        <v>54</v>
      </c>
      <c r="O1794" t="s">
        <v>53</v>
      </c>
      <c r="P1794" t="s">
        <v>53</v>
      </c>
      <c r="Q1794" t="s">
        <v>53</v>
      </c>
      <c r="R1794" t="s">
        <v>53</v>
      </c>
      <c r="S1794" t="s">
        <v>8727</v>
      </c>
      <c r="T1794" t="s">
        <v>8728</v>
      </c>
      <c r="U1794" t="s">
        <v>53</v>
      </c>
      <c r="V1794" t="s">
        <v>138</v>
      </c>
      <c r="W1794">
        <v>100000</v>
      </c>
      <c r="X1794" t="s">
        <v>53</v>
      </c>
      <c r="AA1794">
        <v>196</v>
      </c>
      <c r="AB1794">
        <v>167</v>
      </c>
      <c r="AC1794">
        <v>256</v>
      </c>
      <c r="AD1794">
        <v>550</v>
      </c>
      <c r="AE1794">
        <v>550</v>
      </c>
      <c r="AF1794">
        <v>1</v>
      </c>
      <c r="AG1794">
        <v>3</v>
      </c>
      <c r="AH1794">
        <v>5.5249748229980469</v>
      </c>
      <c r="AJ1794">
        <v>52.737548828125</v>
      </c>
      <c r="AK1794" t="s">
        <v>54</v>
      </c>
      <c r="AL1794" t="s">
        <v>54</v>
      </c>
      <c r="AQ1794" t="s">
        <v>54</v>
      </c>
      <c r="AT1794" t="s">
        <v>8544</v>
      </c>
      <c r="AU1794" s="148">
        <v>44013</v>
      </c>
      <c r="AW1794" t="s">
        <v>8390</v>
      </c>
      <c r="AZ1794" t="s">
        <v>54</v>
      </c>
      <c r="BA1794" t="s">
        <v>8535</v>
      </c>
    </row>
    <row r="1795" spans="1:53" x14ac:dyDescent="0.25">
      <c r="A1795">
        <v>1790</v>
      </c>
      <c r="B1795" t="s">
        <v>8729</v>
      </c>
      <c r="C1795" t="s">
        <v>8730</v>
      </c>
      <c r="D1795" t="s">
        <v>8731</v>
      </c>
      <c r="E1795">
        <v>11</v>
      </c>
      <c r="F1795" t="s">
        <v>8529</v>
      </c>
      <c r="G1795" t="s">
        <v>348</v>
      </c>
      <c r="H1795" t="s">
        <v>8540</v>
      </c>
      <c r="K1795" t="s">
        <v>8706</v>
      </c>
      <c r="L1795" t="s">
        <v>8532</v>
      </c>
      <c r="M1795">
        <v>0.52360522747039795</v>
      </c>
      <c r="N1795" t="s">
        <v>54</v>
      </c>
      <c r="O1795" t="s">
        <v>53</v>
      </c>
      <c r="P1795" t="s">
        <v>53</v>
      </c>
      <c r="Q1795" t="s">
        <v>53</v>
      </c>
      <c r="R1795" t="s">
        <v>53</v>
      </c>
      <c r="S1795" t="s">
        <v>357</v>
      </c>
      <c r="T1795" t="s">
        <v>8732</v>
      </c>
      <c r="U1795" t="s">
        <v>53</v>
      </c>
      <c r="V1795" t="s">
        <v>51</v>
      </c>
      <c r="W1795">
        <v>150000</v>
      </c>
      <c r="X1795" t="s">
        <v>53</v>
      </c>
      <c r="AA1795">
        <v>0</v>
      </c>
      <c r="AB1795">
        <v>0</v>
      </c>
      <c r="AC1795">
        <v>0</v>
      </c>
      <c r="AD1795">
        <v>0</v>
      </c>
      <c r="AE1795">
        <v>0</v>
      </c>
      <c r="AF1795">
        <v>0</v>
      </c>
      <c r="AG1795">
        <v>0</v>
      </c>
      <c r="AH1795">
        <v>0</v>
      </c>
      <c r="AJ1795">
        <v>0</v>
      </c>
      <c r="AK1795" t="s">
        <v>54</v>
      </c>
      <c r="AL1795" t="s">
        <v>54</v>
      </c>
      <c r="AQ1795" t="s">
        <v>54</v>
      </c>
      <c r="AT1795" t="s">
        <v>350</v>
      </c>
      <c r="AU1795" s="148">
        <v>42767</v>
      </c>
      <c r="AW1795" t="s">
        <v>53</v>
      </c>
      <c r="AZ1795" t="s">
        <v>54</v>
      </c>
      <c r="BA1795" t="s">
        <v>8535</v>
      </c>
    </row>
    <row r="1796" spans="1:53" x14ac:dyDescent="0.25">
      <c r="A1796">
        <v>1791</v>
      </c>
      <c r="B1796" t="s">
        <v>8733</v>
      </c>
      <c r="C1796" t="s">
        <v>8734</v>
      </c>
      <c r="D1796" t="s">
        <v>8735</v>
      </c>
      <c r="E1796">
        <v>11</v>
      </c>
      <c r="F1796" t="s">
        <v>8529</v>
      </c>
      <c r="G1796" t="s">
        <v>8575</v>
      </c>
      <c r="H1796" t="s">
        <v>8567</v>
      </c>
      <c r="K1796" t="s">
        <v>8736</v>
      </c>
      <c r="L1796" t="s">
        <v>8532</v>
      </c>
      <c r="M1796">
        <v>0.42191389203071589</v>
      </c>
      <c r="N1796" t="s">
        <v>54</v>
      </c>
      <c r="O1796" t="s">
        <v>53</v>
      </c>
      <c r="P1796" t="s">
        <v>53</v>
      </c>
      <c r="Q1796" t="s">
        <v>53</v>
      </c>
      <c r="R1796" t="s">
        <v>53</v>
      </c>
      <c r="S1796" t="s">
        <v>8737</v>
      </c>
      <c r="T1796" t="s">
        <v>8738</v>
      </c>
      <c r="U1796" t="s">
        <v>53</v>
      </c>
      <c r="V1796" t="s">
        <v>51</v>
      </c>
      <c r="W1796">
        <v>878000</v>
      </c>
      <c r="X1796" t="s">
        <v>53</v>
      </c>
      <c r="AA1796">
        <v>60</v>
      </c>
      <c r="AB1796">
        <v>30</v>
      </c>
      <c r="AC1796">
        <v>353</v>
      </c>
      <c r="AD1796">
        <v>122</v>
      </c>
      <c r="AE1796">
        <v>353</v>
      </c>
      <c r="AF1796">
        <v>0</v>
      </c>
      <c r="AG1796">
        <v>4</v>
      </c>
      <c r="AH1796">
        <v>0.99896025657653809</v>
      </c>
      <c r="AJ1796">
        <v>5.1451897621154794</v>
      </c>
      <c r="AK1796" t="s">
        <v>54</v>
      </c>
      <c r="AL1796" t="s">
        <v>54</v>
      </c>
      <c r="AQ1796" t="s">
        <v>54</v>
      </c>
      <c r="AT1796" t="s">
        <v>8739</v>
      </c>
      <c r="AU1796" s="148">
        <v>40603</v>
      </c>
      <c r="AW1796" t="s">
        <v>8390</v>
      </c>
      <c r="AZ1796" t="s">
        <v>54</v>
      </c>
      <c r="BA1796" t="s">
        <v>8535</v>
      </c>
    </row>
    <row r="1797" spans="1:53" x14ac:dyDescent="0.25">
      <c r="A1797">
        <v>1792</v>
      </c>
      <c r="B1797" t="s">
        <v>8740</v>
      </c>
      <c r="C1797" t="s">
        <v>8741</v>
      </c>
      <c r="D1797" t="s">
        <v>8742</v>
      </c>
      <c r="E1797">
        <v>11</v>
      </c>
      <c r="F1797" t="s">
        <v>8529</v>
      </c>
      <c r="G1797" t="s">
        <v>8575</v>
      </c>
      <c r="H1797" t="s">
        <v>8567</v>
      </c>
      <c r="K1797" t="s">
        <v>8568</v>
      </c>
      <c r="L1797" t="s">
        <v>8532</v>
      </c>
      <c r="M1797">
        <v>7.9329460859298706E-2</v>
      </c>
      <c r="N1797" t="s">
        <v>54</v>
      </c>
      <c r="O1797" t="s">
        <v>53</v>
      </c>
      <c r="P1797" t="s">
        <v>53</v>
      </c>
      <c r="Q1797" t="s">
        <v>53</v>
      </c>
      <c r="R1797" t="s">
        <v>53</v>
      </c>
      <c r="S1797" t="s">
        <v>8737</v>
      </c>
      <c r="T1797" t="s">
        <v>8743</v>
      </c>
      <c r="U1797" t="s">
        <v>53</v>
      </c>
      <c r="V1797" t="s">
        <v>138</v>
      </c>
      <c r="W1797">
        <v>1102000</v>
      </c>
      <c r="X1797" t="s">
        <v>53</v>
      </c>
      <c r="AA1797">
        <v>2</v>
      </c>
      <c r="AB1797">
        <v>0</v>
      </c>
      <c r="AC1797">
        <v>8</v>
      </c>
      <c r="AD1797">
        <v>0</v>
      </c>
      <c r="AE1797">
        <v>8</v>
      </c>
      <c r="AF1797">
        <v>0</v>
      </c>
      <c r="AG1797">
        <v>0</v>
      </c>
      <c r="AH1797">
        <v>0</v>
      </c>
      <c r="AJ1797">
        <v>0</v>
      </c>
      <c r="AK1797" t="s">
        <v>54</v>
      </c>
      <c r="AL1797" t="s">
        <v>54</v>
      </c>
      <c r="AQ1797" t="s">
        <v>54</v>
      </c>
      <c r="AT1797" t="s">
        <v>8739</v>
      </c>
      <c r="AU1797" s="148">
        <v>40603</v>
      </c>
      <c r="AW1797" t="s">
        <v>8390</v>
      </c>
      <c r="AZ1797" t="s">
        <v>54</v>
      </c>
      <c r="BA1797" t="s">
        <v>8535</v>
      </c>
    </row>
    <row r="1798" spans="1:53" x14ac:dyDescent="0.25">
      <c r="A1798">
        <v>1793</v>
      </c>
      <c r="B1798" t="s">
        <v>8744</v>
      </c>
      <c r="C1798" t="s">
        <v>8745</v>
      </c>
      <c r="D1798" t="s">
        <v>8746</v>
      </c>
      <c r="E1798">
        <v>11</v>
      </c>
      <c r="F1798" t="s">
        <v>8529</v>
      </c>
      <c r="G1798" t="s">
        <v>8575</v>
      </c>
      <c r="H1798" t="s">
        <v>8567</v>
      </c>
      <c r="K1798" t="s">
        <v>8736</v>
      </c>
      <c r="L1798" t="s">
        <v>8532</v>
      </c>
      <c r="M1798">
        <v>1.11144495010376</v>
      </c>
      <c r="N1798" t="s">
        <v>54</v>
      </c>
      <c r="O1798" t="s">
        <v>53</v>
      </c>
      <c r="P1798" t="s">
        <v>53</v>
      </c>
      <c r="Q1798" t="s">
        <v>53</v>
      </c>
      <c r="R1798" t="s">
        <v>53</v>
      </c>
      <c r="S1798" t="s">
        <v>8737</v>
      </c>
      <c r="T1798" t="s">
        <v>8743</v>
      </c>
      <c r="U1798" t="s">
        <v>53</v>
      </c>
      <c r="V1798" t="s">
        <v>138</v>
      </c>
      <c r="W1798">
        <v>344000</v>
      </c>
      <c r="X1798" t="s">
        <v>53</v>
      </c>
      <c r="AA1798">
        <v>77</v>
      </c>
      <c r="AB1798">
        <v>48</v>
      </c>
      <c r="AC1798">
        <v>588</v>
      </c>
      <c r="AD1798">
        <v>433</v>
      </c>
      <c r="AE1798">
        <v>588</v>
      </c>
      <c r="AF1798">
        <v>0</v>
      </c>
      <c r="AG1798">
        <v>0</v>
      </c>
      <c r="AH1798">
        <v>1.3093488216400151</v>
      </c>
      <c r="AJ1798">
        <v>15.29646110534668</v>
      </c>
      <c r="AK1798" t="s">
        <v>54</v>
      </c>
      <c r="AL1798" t="s">
        <v>54</v>
      </c>
      <c r="AQ1798" t="s">
        <v>54</v>
      </c>
      <c r="AT1798" t="s">
        <v>8739</v>
      </c>
      <c r="AU1798" s="148">
        <v>40787</v>
      </c>
      <c r="AW1798" t="s">
        <v>8390</v>
      </c>
      <c r="AZ1798" t="s">
        <v>54</v>
      </c>
      <c r="BA1798" t="s">
        <v>8535</v>
      </c>
    </row>
    <row r="1799" spans="1:53" x14ac:dyDescent="0.25">
      <c r="A1799">
        <v>1794</v>
      </c>
      <c r="B1799" t="s">
        <v>8747</v>
      </c>
      <c r="C1799" t="s">
        <v>8748</v>
      </c>
      <c r="D1799" t="s">
        <v>8749</v>
      </c>
      <c r="E1799">
        <v>11</v>
      </c>
      <c r="F1799" t="s">
        <v>8529</v>
      </c>
      <c r="G1799" t="s">
        <v>8575</v>
      </c>
      <c r="H1799" t="s">
        <v>8567</v>
      </c>
      <c r="K1799" t="s">
        <v>8736</v>
      </c>
      <c r="L1799" t="s">
        <v>8532</v>
      </c>
      <c r="M1799">
        <v>7.4693381786346436E-2</v>
      </c>
      <c r="N1799" t="s">
        <v>53</v>
      </c>
      <c r="O1799" t="s">
        <v>53</v>
      </c>
      <c r="P1799" t="s">
        <v>53</v>
      </c>
      <c r="Q1799" t="s">
        <v>53</v>
      </c>
      <c r="R1799" t="s">
        <v>53</v>
      </c>
      <c r="S1799" t="s">
        <v>8737</v>
      </c>
      <c r="T1799" t="s">
        <v>8743</v>
      </c>
      <c r="U1799" t="s">
        <v>53</v>
      </c>
      <c r="V1799" t="s">
        <v>138</v>
      </c>
      <c r="W1799">
        <v>211000</v>
      </c>
      <c r="X1799" t="s">
        <v>53</v>
      </c>
      <c r="AA1799">
        <v>0</v>
      </c>
      <c r="AB1799">
        <v>0</v>
      </c>
      <c r="AC1799">
        <v>0</v>
      </c>
      <c r="AD1799">
        <v>0</v>
      </c>
      <c r="AE1799">
        <v>0</v>
      </c>
      <c r="AF1799">
        <v>0</v>
      </c>
      <c r="AG1799">
        <v>0</v>
      </c>
      <c r="AH1799">
        <v>0</v>
      </c>
      <c r="AJ1799">
        <v>0</v>
      </c>
      <c r="AK1799" t="s">
        <v>54</v>
      </c>
      <c r="AL1799" t="s">
        <v>54</v>
      </c>
      <c r="AQ1799" t="s">
        <v>54</v>
      </c>
      <c r="AT1799" t="s">
        <v>8739</v>
      </c>
      <c r="AU1799" s="148">
        <v>40787</v>
      </c>
      <c r="AW1799" t="s">
        <v>53</v>
      </c>
      <c r="AZ1799" t="s">
        <v>54</v>
      </c>
      <c r="BA1799" t="s">
        <v>8535</v>
      </c>
    </row>
    <row r="1800" spans="1:53" x14ac:dyDescent="0.25">
      <c r="A1800">
        <v>1795</v>
      </c>
      <c r="B1800" t="s">
        <v>8750</v>
      </c>
      <c r="C1800" t="s">
        <v>8751</v>
      </c>
      <c r="D1800" t="s">
        <v>8752</v>
      </c>
      <c r="E1800">
        <v>11</v>
      </c>
      <c r="F1800" t="s">
        <v>8529</v>
      </c>
      <c r="G1800" t="s">
        <v>8575</v>
      </c>
      <c r="H1800" t="s">
        <v>8567</v>
      </c>
      <c r="K1800" t="s">
        <v>8568</v>
      </c>
      <c r="L1800" t="s">
        <v>8532</v>
      </c>
      <c r="M1800">
        <v>0.41769635677337652</v>
      </c>
      <c r="N1800" t="s">
        <v>54</v>
      </c>
      <c r="O1800" t="s">
        <v>53</v>
      </c>
      <c r="P1800" t="s">
        <v>53</v>
      </c>
      <c r="Q1800" t="s">
        <v>53</v>
      </c>
      <c r="R1800" t="s">
        <v>53</v>
      </c>
      <c r="S1800" t="s">
        <v>8737</v>
      </c>
      <c r="T1800" t="s">
        <v>8743</v>
      </c>
      <c r="U1800" t="s">
        <v>53</v>
      </c>
      <c r="V1800" t="s">
        <v>138</v>
      </c>
      <c r="W1800">
        <v>168000</v>
      </c>
      <c r="X1800" t="s">
        <v>53</v>
      </c>
      <c r="AA1800">
        <v>12</v>
      </c>
      <c r="AB1800">
        <v>12</v>
      </c>
      <c r="AC1800">
        <v>12</v>
      </c>
      <c r="AD1800">
        <v>35</v>
      </c>
      <c r="AE1800">
        <v>35</v>
      </c>
      <c r="AF1800">
        <v>0</v>
      </c>
      <c r="AG1800">
        <v>0</v>
      </c>
      <c r="AH1800">
        <v>0.19742986559867859</v>
      </c>
      <c r="AJ1800">
        <v>0</v>
      </c>
      <c r="AK1800" t="s">
        <v>54</v>
      </c>
      <c r="AL1800" t="s">
        <v>54</v>
      </c>
      <c r="AQ1800" t="s">
        <v>54</v>
      </c>
      <c r="AT1800" t="s">
        <v>8739</v>
      </c>
      <c r="AU1800" s="148">
        <v>40809</v>
      </c>
      <c r="AW1800" t="s">
        <v>8390</v>
      </c>
      <c r="AZ1800" t="s">
        <v>54</v>
      </c>
      <c r="BA1800" t="s">
        <v>8535</v>
      </c>
    </row>
    <row r="1801" spans="1:53" x14ac:dyDescent="0.25">
      <c r="A1801">
        <v>1796</v>
      </c>
      <c r="B1801" t="s">
        <v>8753</v>
      </c>
      <c r="C1801" t="s">
        <v>8754</v>
      </c>
      <c r="D1801" t="s">
        <v>8755</v>
      </c>
      <c r="E1801">
        <v>11</v>
      </c>
      <c r="F1801" t="s">
        <v>8529</v>
      </c>
      <c r="G1801" t="s">
        <v>8575</v>
      </c>
      <c r="H1801" t="s">
        <v>8567</v>
      </c>
      <c r="K1801" t="s">
        <v>8736</v>
      </c>
      <c r="L1801" t="s">
        <v>8532</v>
      </c>
      <c r="M1801">
        <v>9.7529411315917969E-2</v>
      </c>
      <c r="N1801" t="s">
        <v>53</v>
      </c>
      <c r="O1801" t="s">
        <v>53</v>
      </c>
      <c r="P1801" t="s">
        <v>53</v>
      </c>
      <c r="Q1801" t="s">
        <v>53</v>
      </c>
      <c r="R1801" t="s">
        <v>53</v>
      </c>
      <c r="S1801" t="s">
        <v>8737</v>
      </c>
      <c r="T1801" t="s">
        <v>8743</v>
      </c>
      <c r="U1801" t="s">
        <v>53</v>
      </c>
      <c r="V1801" t="s">
        <v>138</v>
      </c>
      <c r="W1801">
        <v>126000</v>
      </c>
      <c r="X1801" t="s">
        <v>53</v>
      </c>
      <c r="AA1801">
        <v>0</v>
      </c>
      <c r="AB1801">
        <v>0</v>
      </c>
      <c r="AC1801">
        <v>0</v>
      </c>
      <c r="AD1801">
        <v>0</v>
      </c>
      <c r="AE1801">
        <v>0</v>
      </c>
      <c r="AF1801">
        <v>0</v>
      </c>
      <c r="AG1801">
        <v>0</v>
      </c>
      <c r="AH1801">
        <v>0</v>
      </c>
      <c r="AJ1801">
        <v>0</v>
      </c>
      <c r="AK1801" t="s">
        <v>54</v>
      </c>
      <c r="AL1801" t="s">
        <v>54</v>
      </c>
      <c r="AQ1801" t="s">
        <v>54</v>
      </c>
      <c r="AT1801" t="s">
        <v>8739</v>
      </c>
      <c r="AU1801" s="148">
        <v>40585</v>
      </c>
      <c r="AW1801" t="s">
        <v>53</v>
      </c>
      <c r="AZ1801" t="s">
        <v>54</v>
      </c>
      <c r="BA1801" t="s">
        <v>8535</v>
      </c>
    </row>
    <row r="1802" spans="1:53" x14ac:dyDescent="0.25">
      <c r="A1802">
        <v>1797</v>
      </c>
      <c r="B1802" t="s">
        <v>8756</v>
      </c>
      <c r="C1802" t="s">
        <v>8757</v>
      </c>
      <c r="D1802" t="s">
        <v>8758</v>
      </c>
      <c r="E1802">
        <v>11</v>
      </c>
      <c r="F1802" t="s">
        <v>8529</v>
      </c>
      <c r="G1802" t="s">
        <v>8539</v>
      </c>
      <c r="H1802" t="s">
        <v>8540</v>
      </c>
      <c r="K1802" t="s">
        <v>8759</v>
      </c>
      <c r="L1802" t="s">
        <v>8532</v>
      </c>
      <c r="M1802">
        <v>3.653105497360229</v>
      </c>
      <c r="N1802" t="s">
        <v>54</v>
      </c>
      <c r="O1802" t="s">
        <v>53</v>
      </c>
      <c r="P1802" t="s">
        <v>53</v>
      </c>
      <c r="Q1802" t="s">
        <v>53</v>
      </c>
      <c r="R1802" t="s">
        <v>53</v>
      </c>
      <c r="S1802" t="s">
        <v>8760</v>
      </c>
      <c r="T1802" t="s">
        <v>8761</v>
      </c>
      <c r="U1802" t="s">
        <v>53</v>
      </c>
      <c r="V1802" t="s">
        <v>51</v>
      </c>
      <c r="W1802">
        <v>10000</v>
      </c>
      <c r="X1802" t="s">
        <v>53</v>
      </c>
      <c r="AA1802">
        <v>9</v>
      </c>
      <c r="AB1802">
        <v>2</v>
      </c>
      <c r="AC1802">
        <v>6</v>
      </c>
      <c r="AD1802">
        <v>24</v>
      </c>
      <c r="AE1802">
        <v>24</v>
      </c>
      <c r="AF1802">
        <v>0</v>
      </c>
      <c r="AG1802">
        <v>2</v>
      </c>
      <c r="AH1802">
        <v>1.488909244537354</v>
      </c>
      <c r="AJ1802">
        <v>149.9698791503906</v>
      </c>
      <c r="AK1802" t="s">
        <v>54</v>
      </c>
      <c r="AL1802" t="s">
        <v>54</v>
      </c>
      <c r="AQ1802" t="s">
        <v>54</v>
      </c>
      <c r="AT1802" t="s">
        <v>350</v>
      </c>
      <c r="AU1802" s="148">
        <v>42767</v>
      </c>
      <c r="AW1802" t="s">
        <v>8390</v>
      </c>
      <c r="AZ1802" t="s">
        <v>54</v>
      </c>
      <c r="BA1802" t="s">
        <v>8535</v>
      </c>
    </row>
    <row r="1803" spans="1:53" x14ac:dyDescent="0.25">
      <c r="A1803">
        <v>1798</v>
      </c>
      <c r="B1803" t="s">
        <v>8762</v>
      </c>
      <c r="C1803" t="s">
        <v>8763</v>
      </c>
      <c r="D1803" t="s">
        <v>8764</v>
      </c>
      <c r="E1803">
        <v>11</v>
      </c>
      <c r="F1803" t="s">
        <v>8529</v>
      </c>
      <c r="G1803" t="s">
        <v>8765</v>
      </c>
      <c r="H1803" t="s">
        <v>8567</v>
      </c>
      <c r="K1803" t="s">
        <v>8766</v>
      </c>
      <c r="L1803" t="s">
        <v>8532</v>
      </c>
      <c r="M1803">
        <v>1.5634733438491819</v>
      </c>
      <c r="N1803" t="s">
        <v>54</v>
      </c>
      <c r="O1803" t="s">
        <v>53</v>
      </c>
      <c r="P1803" t="s">
        <v>53</v>
      </c>
      <c r="Q1803" t="s">
        <v>53</v>
      </c>
      <c r="R1803" t="s">
        <v>53</v>
      </c>
      <c r="S1803" t="s">
        <v>8767</v>
      </c>
      <c r="T1803" t="s">
        <v>8768</v>
      </c>
      <c r="U1803" t="s">
        <v>53</v>
      </c>
      <c r="V1803" t="s">
        <v>51</v>
      </c>
      <c r="W1803">
        <v>150000</v>
      </c>
      <c r="X1803" t="s">
        <v>53</v>
      </c>
      <c r="AA1803">
        <v>13</v>
      </c>
      <c r="AB1803">
        <v>6</v>
      </c>
      <c r="AC1803">
        <v>14</v>
      </c>
      <c r="AD1803">
        <v>22</v>
      </c>
      <c r="AE1803">
        <v>22</v>
      </c>
      <c r="AF1803">
        <v>0</v>
      </c>
      <c r="AG1803">
        <v>0</v>
      </c>
      <c r="AH1803">
        <v>0.1017749384045601</v>
      </c>
      <c r="AJ1803">
        <v>6.2200150489807129</v>
      </c>
      <c r="AK1803" t="s">
        <v>54</v>
      </c>
      <c r="AL1803" t="s">
        <v>54</v>
      </c>
      <c r="AQ1803" t="s">
        <v>54</v>
      </c>
      <c r="AT1803" t="s">
        <v>8654</v>
      </c>
      <c r="AU1803" s="148">
        <v>43313</v>
      </c>
      <c r="AW1803" t="s">
        <v>53</v>
      </c>
      <c r="AZ1803" t="s">
        <v>54</v>
      </c>
      <c r="BA1803" t="s">
        <v>8535</v>
      </c>
    </row>
    <row r="1804" spans="1:53" x14ac:dyDescent="0.25">
      <c r="A1804">
        <v>1799</v>
      </c>
      <c r="B1804" t="s">
        <v>8769</v>
      </c>
      <c r="C1804" t="s">
        <v>8770</v>
      </c>
      <c r="D1804" t="s">
        <v>8771</v>
      </c>
      <c r="E1804">
        <v>11</v>
      </c>
      <c r="F1804" t="s">
        <v>8529</v>
      </c>
      <c r="G1804" t="s">
        <v>8772</v>
      </c>
      <c r="H1804" t="s">
        <v>8540</v>
      </c>
      <c r="K1804" t="s">
        <v>8773</v>
      </c>
      <c r="L1804" t="s">
        <v>8532</v>
      </c>
      <c r="M1804">
        <v>35.583335876464837</v>
      </c>
      <c r="N1804" t="s">
        <v>54</v>
      </c>
      <c r="O1804" t="s">
        <v>53</v>
      </c>
      <c r="P1804" t="s">
        <v>53</v>
      </c>
      <c r="Q1804" t="s">
        <v>53</v>
      </c>
      <c r="R1804" t="s">
        <v>53</v>
      </c>
      <c r="S1804" t="s">
        <v>8774</v>
      </c>
      <c r="T1804" t="s">
        <v>8775</v>
      </c>
      <c r="U1804" t="s">
        <v>53</v>
      </c>
      <c r="V1804" t="s">
        <v>138</v>
      </c>
      <c r="W1804">
        <v>200000</v>
      </c>
      <c r="X1804" t="s">
        <v>53</v>
      </c>
      <c r="AA1804">
        <v>2270</v>
      </c>
      <c r="AB1804">
        <v>1626</v>
      </c>
      <c r="AC1804">
        <v>11543</v>
      </c>
      <c r="AD1804">
        <v>12650</v>
      </c>
      <c r="AE1804">
        <v>12650</v>
      </c>
      <c r="AF1804">
        <v>14</v>
      </c>
      <c r="AG1804">
        <v>12</v>
      </c>
      <c r="AH1804">
        <v>48.122703552246087</v>
      </c>
      <c r="AJ1804">
        <v>822.42315673828125</v>
      </c>
      <c r="AK1804" t="s">
        <v>54</v>
      </c>
      <c r="AL1804" t="s">
        <v>54</v>
      </c>
      <c r="AQ1804" t="s">
        <v>54</v>
      </c>
      <c r="AT1804" t="s">
        <v>350</v>
      </c>
      <c r="AU1804" s="148">
        <v>42767</v>
      </c>
      <c r="AW1804" t="s">
        <v>8390</v>
      </c>
      <c r="AZ1804" t="s">
        <v>54</v>
      </c>
      <c r="BA1804" t="s">
        <v>8535</v>
      </c>
    </row>
    <row r="1805" spans="1:53" x14ac:dyDescent="0.25">
      <c r="A1805">
        <v>1800</v>
      </c>
      <c r="B1805" t="s">
        <v>8776</v>
      </c>
      <c r="C1805" t="s">
        <v>8777</v>
      </c>
      <c r="D1805" t="s">
        <v>8778</v>
      </c>
      <c r="E1805">
        <v>11</v>
      </c>
      <c r="F1805" t="s">
        <v>8529</v>
      </c>
      <c r="G1805" t="s">
        <v>348</v>
      </c>
      <c r="H1805" t="s">
        <v>8540</v>
      </c>
      <c r="K1805" t="s">
        <v>8779</v>
      </c>
      <c r="L1805" t="s">
        <v>8532</v>
      </c>
      <c r="M1805">
        <v>0.41129791736602778</v>
      </c>
      <c r="N1805" t="s">
        <v>54</v>
      </c>
      <c r="O1805" t="s">
        <v>53</v>
      </c>
      <c r="P1805" t="s">
        <v>53</v>
      </c>
      <c r="Q1805" t="s">
        <v>53</v>
      </c>
      <c r="R1805" t="s">
        <v>53</v>
      </c>
      <c r="S1805" t="s">
        <v>8774</v>
      </c>
      <c r="T1805" t="s">
        <v>8780</v>
      </c>
      <c r="U1805" t="s">
        <v>53</v>
      </c>
      <c r="V1805" t="s">
        <v>138</v>
      </c>
      <c r="W1805">
        <v>271000</v>
      </c>
      <c r="X1805" t="s">
        <v>53</v>
      </c>
      <c r="AA1805">
        <v>159</v>
      </c>
      <c r="AB1805">
        <v>130</v>
      </c>
      <c r="AC1805">
        <v>349</v>
      </c>
      <c r="AD1805">
        <v>343</v>
      </c>
      <c r="AE1805">
        <v>349</v>
      </c>
      <c r="AF1805">
        <v>0</v>
      </c>
      <c r="AG1805">
        <v>0</v>
      </c>
      <c r="AH1805">
        <v>3.004189014434814</v>
      </c>
      <c r="AJ1805">
        <v>0</v>
      </c>
      <c r="AK1805" t="s">
        <v>54</v>
      </c>
      <c r="AL1805" t="s">
        <v>54</v>
      </c>
      <c r="AQ1805" t="s">
        <v>54</v>
      </c>
      <c r="AT1805" t="s">
        <v>8563</v>
      </c>
      <c r="AW1805" t="s">
        <v>8390</v>
      </c>
      <c r="AZ1805" t="s">
        <v>54</v>
      </c>
      <c r="BA1805" t="s">
        <v>8535</v>
      </c>
    </row>
    <row r="1806" spans="1:53" x14ac:dyDescent="0.25">
      <c r="A1806">
        <v>1801</v>
      </c>
      <c r="B1806" t="s">
        <v>8781</v>
      </c>
      <c r="C1806" t="s">
        <v>8782</v>
      </c>
      <c r="D1806" t="s">
        <v>8783</v>
      </c>
      <c r="E1806">
        <v>11</v>
      </c>
      <c r="F1806" t="s">
        <v>8529</v>
      </c>
      <c r="G1806" t="s">
        <v>348</v>
      </c>
      <c r="H1806" t="s">
        <v>8540</v>
      </c>
      <c r="K1806" t="s">
        <v>8779</v>
      </c>
      <c r="L1806" t="s">
        <v>8550</v>
      </c>
      <c r="M1806">
        <v>1.0548200225457549E-3</v>
      </c>
      <c r="N1806" t="s">
        <v>54</v>
      </c>
      <c r="O1806" t="s">
        <v>53</v>
      </c>
      <c r="P1806" t="s">
        <v>53</v>
      </c>
      <c r="Q1806" t="s">
        <v>53</v>
      </c>
      <c r="R1806" t="s">
        <v>53</v>
      </c>
      <c r="S1806" t="s">
        <v>8774</v>
      </c>
      <c r="T1806" t="s">
        <v>8780</v>
      </c>
      <c r="U1806" t="s">
        <v>53</v>
      </c>
      <c r="V1806" t="s">
        <v>51</v>
      </c>
      <c r="W1806">
        <v>150000</v>
      </c>
      <c r="X1806" t="s">
        <v>53</v>
      </c>
      <c r="AA1806">
        <v>0</v>
      </c>
      <c r="AB1806">
        <v>0</v>
      </c>
      <c r="AC1806">
        <v>0</v>
      </c>
      <c r="AD1806">
        <v>0</v>
      </c>
      <c r="AE1806">
        <v>0</v>
      </c>
      <c r="AF1806">
        <v>0</v>
      </c>
      <c r="AG1806">
        <v>0</v>
      </c>
      <c r="AH1806">
        <v>5.3423281759023673E-2</v>
      </c>
      <c r="AJ1806">
        <v>0</v>
      </c>
      <c r="AK1806" t="s">
        <v>54</v>
      </c>
      <c r="AL1806" t="s">
        <v>54</v>
      </c>
      <c r="AQ1806" t="s">
        <v>54</v>
      </c>
      <c r="AT1806" t="s">
        <v>8563</v>
      </c>
      <c r="AW1806" t="s">
        <v>53</v>
      </c>
      <c r="AZ1806" t="s">
        <v>54</v>
      </c>
      <c r="BA1806" t="s">
        <v>8535</v>
      </c>
    </row>
    <row r="1807" spans="1:53" x14ac:dyDescent="0.25">
      <c r="A1807">
        <v>1802</v>
      </c>
      <c r="B1807" t="s">
        <v>8784</v>
      </c>
      <c r="C1807" t="s">
        <v>8785</v>
      </c>
      <c r="D1807" t="s">
        <v>8786</v>
      </c>
      <c r="E1807">
        <v>11</v>
      </c>
      <c r="F1807" t="s">
        <v>8529</v>
      </c>
      <c r="G1807" t="s">
        <v>348</v>
      </c>
      <c r="H1807" t="s">
        <v>8540</v>
      </c>
      <c r="K1807" t="s">
        <v>8779</v>
      </c>
      <c r="L1807" t="s">
        <v>8550</v>
      </c>
      <c r="M1807">
        <v>1.5802499838173389E-3</v>
      </c>
      <c r="N1807" t="s">
        <v>54</v>
      </c>
      <c r="O1807" t="s">
        <v>53</v>
      </c>
      <c r="P1807" t="s">
        <v>53</v>
      </c>
      <c r="Q1807" t="s">
        <v>53</v>
      </c>
      <c r="R1807" t="s">
        <v>53</v>
      </c>
      <c r="S1807" t="s">
        <v>8774</v>
      </c>
      <c r="T1807" t="s">
        <v>8780</v>
      </c>
      <c r="U1807" t="s">
        <v>53</v>
      </c>
      <c r="V1807" t="s">
        <v>51</v>
      </c>
      <c r="W1807">
        <v>200000</v>
      </c>
      <c r="X1807" t="s">
        <v>53</v>
      </c>
      <c r="AA1807">
        <v>0</v>
      </c>
      <c r="AB1807">
        <v>0</v>
      </c>
      <c r="AC1807">
        <v>0</v>
      </c>
      <c r="AD1807">
        <v>0</v>
      </c>
      <c r="AE1807">
        <v>0</v>
      </c>
      <c r="AF1807">
        <v>0</v>
      </c>
      <c r="AG1807">
        <v>0</v>
      </c>
      <c r="AH1807">
        <v>5.2334040403366089E-2</v>
      </c>
      <c r="AJ1807">
        <v>0</v>
      </c>
      <c r="AK1807" t="s">
        <v>54</v>
      </c>
      <c r="AL1807" t="s">
        <v>54</v>
      </c>
      <c r="AQ1807" t="s">
        <v>54</v>
      </c>
      <c r="AT1807" t="s">
        <v>8563</v>
      </c>
      <c r="AW1807" t="s">
        <v>53</v>
      </c>
      <c r="AZ1807" t="s">
        <v>54</v>
      </c>
      <c r="BA1807" t="s">
        <v>8535</v>
      </c>
    </row>
    <row r="1808" spans="1:53" x14ac:dyDescent="0.25">
      <c r="A1808">
        <v>1803</v>
      </c>
      <c r="B1808" t="s">
        <v>8787</v>
      </c>
      <c r="C1808" t="s">
        <v>8788</v>
      </c>
      <c r="D1808" t="s">
        <v>8789</v>
      </c>
      <c r="E1808">
        <v>11</v>
      </c>
      <c r="F1808" t="s">
        <v>8529</v>
      </c>
      <c r="G1808" t="s">
        <v>348</v>
      </c>
      <c r="H1808" t="s">
        <v>8540</v>
      </c>
      <c r="K1808" t="s">
        <v>8790</v>
      </c>
      <c r="L1808" t="s">
        <v>8550</v>
      </c>
      <c r="M1808">
        <v>1.172389951534569E-3</v>
      </c>
      <c r="N1808" t="s">
        <v>54</v>
      </c>
      <c r="O1808" t="s">
        <v>53</v>
      </c>
      <c r="P1808" t="s">
        <v>53</v>
      </c>
      <c r="Q1808" t="s">
        <v>53</v>
      </c>
      <c r="R1808" t="s">
        <v>53</v>
      </c>
      <c r="S1808" t="s">
        <v>8774</v>
      </c>
      <c r="T1808" t="s">
        <v>8780</v>
      </c>
      <c r="U1808" t="s">
        <v>53</v>
      </c>
      <c r="V1808" t="s">
        <v>51</v>
      </c>
      <c r="W1808">
        <v>150000</v>
      </c>
      <c r="X1808" t="s">
        <v>53</v>
      </c>
      <c r="AA1808">
        <v>0</v>
      </c>
      <c r="AB1808">
        <v>0</v>
      </c>
      <c r="AC1808">
        <v>0</v>
      </c>
      <c r="AD1808">
        <v>0</v>
      </c>
      <c r="AE1808">
        <v>0</v>
      </c>
      <c r="AF1808">
        <v>0</v>
      </c>
      <c r="AG1808">
        <v>1</v>
      </c>
      <c r="AH1808">
        <v>6.3839897513389587E-2</v>
      </c>
      <c r="AJ1808">
        <v>0</v>
      </c>
      <c r="AK1808" t="s">
        <v>54</v>
      </c>
      <c r="AL1808" t="s">
        <v>54</v>
      </c>
      <c r="AQ1808" t="s">
        <v>54</v>
      </c>
      <c r="AT1808" t="s">
        <v>8563</v>
      </c>
      <c r="AW1808" t="s">
        <v>8390</v>
      </c>
      <c r="AZ1808" t="s">
        <v>54</v>
      </c>
      <c r="BA1808" t="s">
        <v>8535</v>
      </c>
    </row>
    <row r="1809" spans="1:53" x14ac:dyDescent="0.25">
      <c r="A1809">
        <v>1804</v>
      </c>
      <c r="B1809" t="s">
        <v>8791</v>
      </c>
      <c r="C1809" t="s">
        <v>8792</v>
      </c>
      <c r="D1809" t="s">
        <v>8793</v>
      </c>
      <c r="E1809">
        <v>11</v>
      </c>
      <c r="F1809" t="s">
        <v>8529</v>
      </c>
      <c r="G1809" t="s">
        <v>348</v>
      </c>
      <c r="H1809" t="s">
        <v>8540</v>
      </c>
      <c r="K1809" t="s">
        <v>8779</v>
      </c>
      <c r="L1809" t="s">
        <v>8550</v>
      </c>
      <c r="M1809">
        <v>6.9343001814559102E-4</v>
      </c>
      <c r="N1809" t="s">
        <v>54</v>
      </c>
      <c r="O1809" t="s">
        <v>53</v>
      </c>
      <c r="P1809" t="s">
        <v>53</v>
      </c>
      <c r="Q1809" t="s">
        <v>53</v>
      </c>
      <c r="R1809" t="s">
        <v>53</v>
      </c>
      <c r="S1809" t="s">
        <v>8774</v>
      </c>
      <c r="T1809" t="s">
        <v>8780</v>
      </c>
      <c r="U1809" t="s">
        <v>53</v>
      </c>
      <c r="V1809" t="s">
        <v>51</v>
      </c>
      <c r="W1809">
        <v>150000</v>
      </c>
      <c r="X1809" t="s">
        <v>53</v>
      </c>
      <c r="AA1809">
        <v>0</v>
      </c>
      <c r="AB1809">
        <v>0</v>
      </c>
      <c r="AC1809">
        <v>0</v>
      </c>
      <c r="AD1809">
        <v>0</v>
      </c>
      <c r="AE1809">
        <v>0</v>
      </c>
      <c r="AF1809">
        <v>0</v>
      </c>
      <c r="AG1809">
        <v>0</v>
      </c>
      <c r="AH1809">
        <v>4.3635878711938858E-2</v>
      </c>
      <c r="AJ1809">
        <v>0</v>
      </c>
      <c r="AK1809" t="s">
        <v>54</v>
      </c>
      <c r="AL1809" t="s">
        <v>54</v>
      </c>
      <c r="AQ1809" t="s">
        <v>54</v>
      </c>
      <c r="AT1809" t="s">
        <v>8563</v>
      </c>
      <c r="AW1809" t="s">
        <v>53</v>
      </c>
      <c r="AZ1809" t="s">
        <v>54</v>
      </c>
      <c r="BA1809" t="s">
        <v>8535</v>
      </c>
    </row>
    <row r="1810" spans="1:53" x14ac:dyDescent="0.25">
      <c r="A1810">
        <v>1805</v>
      </c>
      <c r="B1810" t="s">
        <v>8794</v>
      </c>
      <c r="C1810" t="s">
        <v>8795</v>
      </c>
      <c r="D1810" t="s">
        <v>8796</v>
      </c>
      <c r="E1810">
        <v>11</v>
      </c>
      <c r="F1810" t="s">
        <v>8529</v>
      </c>
      <c r="G1810" t="s">
        <v>348</v>
      </c>
      <c r="H1810" t="s">
        <v>8540</v>
      </c>
      <c r="K1810" t="s">
        <v>8790</v>
      </c>
      <c r="L1810" t="s">
        <v>8532</v>
      </c>
      <c r="M1810">
        <v>0.26706477999687189</v>
      </c>
      <c r="N1810" t="s">
        <v>54</v>
      </c>
      <c r="O1810" t="s">
        <v>53</v>
      </c>
      <c r="P1810" t="s">
        <v>53</v>
      </c>
      <c r="Q1810" t="s">
        <v>53</v>
      </c>
      <c r="R1810" t="s">
        <v>53</v>
      </c>
      <c r="S1810" t="s">
        <v>8774</v>
      </c>
      <c r="T1810" t="s">
        <v>8797</v>
      </c>
      <c r="U1810" t="s">
        <v>53</v>
      </c>
      <c r="V1810" t="s">
        <v>51</v>
      </c>
      <c r="W1810">
        <v>298000</v>
      </c>
      <c r="X1810" t="s">
        <v>53</v>
      </c>
      <c r="AA1810">
        <v>69</v>
      </c>
      <c r="AB1810">
        <v>59</v>
      </c>
      <c r="AC1810">
        <v>829</v>
      </c>
      <c r="AD1810">
        <v>1288</v>
      </c>
      <c r="AE1810">
        <v>1288</v>
      </c>
      <c r="AF1810">
        <v>1</v>
      </c>
      <c r="AG1810">
        <v>0</v>
      </c>
      <c r="AH1810">
        <v>3.15816330909729</v>
      </c>
      <c r="AJ1810">
        <v>0.35180410742759699</v>
      </c>
      <c r="AK1810" t="s">
        <v>54</v>
      </c>
      <c r="AL1810" t="s">
        <v>54</v>
      </c>
      <c r="AQ1810" t="s">
        <v>54</v>
      </c>
      <c r="AT1810" t="s">
        <v>350</v>
      </c>
      <c r="AU1810" s="148">
        <v>42767</v>
      </c>
      <c r="AW1810" t="s">
        <v>8390</v>
      </c>
      <c r="AZ1810" t="s">
        <v>54</v>
      </c>
      <c r="BA1810" t="s">
        <v>8535</v>
      </c>
    </row>
    <row r="1811" spans="1:53" x14ac:dyDescent="0.25">
      <c r="A1811">
        <v>1806</v>
      </c>
      <c r="B1811" t="s">
        <v>8798</v>
      </c>
      <c r="C1811" t="s">
        <v>8799</v>
      </c>
      <c r="D1811" t="s">
        <v>8800</v>
      </c>
      <c r="E1811">
        <v>11</v>
      </c>
      <c r="F1811" t="s">
        <v>8529</v>
      </c>
      <c r="G1811" t="s">
        <v>8529</v>
      </c>
      <c r="H1811" t="s">
        <v>8567</v>
      </c>
      <c r="K1811" t="s">
        <v>8801</v>
      </c>
      <c r="L1811" t="s">
        <v>8532</v>
      </c>
      <c r="M1811">
        <v>38.345577239990227</v>
      </c>
      <c r="N1811" t="s">
        <v>54</v>
      </c>
      <c r="O1811" t="s">
        <v>53</v>
      </c>
      <c r="P1811" t="s">
        <v>53</v>
      </c>
      <c r="Q1811" t="s">
        <v>53</v>
      </c>
      <c r="R1811" t="s">
        <v>53</v>
      </c>
      <c r="S1811" t="s">
        <v>8802</v>
      </c>
      <c r="T1811" t="s">
        <v>8803</v>
      </c>
      <c r="U1811" t="s">
        <v>53</v>
      </c>
      <c r="V1811" t="s">
        <v>138</v>
      </c>
      <c r="W1811">
        <v>1100000</v>
      </c>
      <c r="X1811" t="s">
        <v>53</v>
      </c>
      <c r="AA1811">
        <v>846</v>
      </c>
      <c r="AB1811">
        <v>642</v>
      </c>
      <c r="AC1811">
        <v>1746</v>
      </c>
      <c r="AD1811">
        <v>2283</v>
      </c>
      <c r="AE1811">
        <v>2283</v>
      </c>
      <c r="AF1811">
        <v>5</v>
      </c>
      <c r="AG1811">
        <v>8</v>
      </c>
      <c r="AH1811">
        <v>25.202535629272461</v>
      </c>
      <c r="AJ1811">
        <v>1157.076171875</v>
      </c>
      <c r="AK1811" t="s">
        <v>54</v>
      </c>
      <c r="AL1811" t="s">
        <v>54</v>
      </c>
      <c r="AQ1811" t="s">
        <v>54</v>
      </c>
      <c r="AT1811" t="s">
        <v>8804</v>
      </c>
      <c r="AU1811" s="148">
        <v>44470</v>
      </c>
      <c r="AW1811" t="s">
        <v>8390</v>
      </c>
      <c r="AZ1811" t="s">
        <v>54</v>
      </c>
      <c r="BA1811" t="s">
        <v>8535</v>
      </c>
    </row>
    <row r="1812" spans="1:53" x14ac:dyDescent="0.25">
      <c r="A1812">
        <v>1807</v>
      </c>
      <c r="B1812" t="s">
        <v>8805</v>
      </c>
      <c r="C1812" t="s">
        <v>8806</v>
      </c>
      <c r="D1812" t="s">
        <v>8807</v>
      </c>
      <c r="E1812">
        <v>11</v>
      </c>
      <c r="F1812" t="s">
        <v>8529</v>
      </c>
      <c r="G1812" t="s">
        <v>8529</v>
      </c>
      <c r="H1812" t="s">
        <v>8567</v>
      </c>
      <c r="K1812" t="s">
        <v>8801</v>
      </c>
      <c r="L1812" t="s">
        <v>8550</v>
      </c>
      <c r="M1812">
        <v>38.345577239990227</v>
      </c>
      <c r="N1812" t="s">
        <v>54</v>
      </c>
      <c r="O1812" t="s">
        <v>53</v>
      </c>
      <c r="P1812" t="s">
        <v>53</v>
      </c>
      <c r="Q1812" t="s">
        <v>53</v>
      </c>
      <c r="R1812" t="s">
        <v>53</v>
      </c>
      <c r="S1812" t="s">
        <v>8802</v>
      </c>
      <c r="T1812" t="s">
        <v>8803</v>
      </c>
      <c r="U1812" t="s">
        <v>53</v>
      </c>
      <c r="V1812" t="s">
        <v>138</v>
      </c>
      <c r="W1812">
        <v>1500000</v>
      </c>
      <c r="X1812" t="s">
        <v>53</v>
      </c>
      <c r="AA1812">
        <v>846</v>
      </c>
      <c r="AB1812">
        <v>642</v>
      </c>
      <c r="AC1812">
        <v>1746</v>
      </c>
      <c r="AD1812">
        <v>2283</v>
      </c>
      <c r="AE1812">
        <v>2283</v>
      </c>
      <c r="AF1812">
        <v>5</v>
      </c>
      <c r="AG1812">
        <v>8</v>
      </c>
      <c r="AH1812">
        <v>25.202535629272461</v>
      </c>
      <c r="AJ1812">
        <v>1157.076171875</v>
      </c>
      <c r="AK1812" t="s">
        <v>54</v>
      </c>
      <c r="AL1812" t="s">
        <v>54</v>
      </c>
      <c r="AQ1812" t="s">
        <v>54</v>
      </c>
      <c r="AT1812" t="s">
        <v>8804</v>
      </c>
      <c r="AU1812" s="148">
        <v>44470</v>
      </c>
      <c r="AW1812" t="s">
        <v>8390</v>
      </c>
      <c r="AZ1812" t="s">
        <v>54</v>
      </c>
      <c r="BA1812" t="s">
        <v>8535</v>
      </c>
    </row>
    <row r="1813" spans="1:53" x14ac:dyDescent="0.25">
      <c r="A1813">
        <v>1808</v>
      </c>
      <c r="B1813" t="s">
        <v>8808</v>
      </c>
      <c r="C1813" t="s">
        <v>8809</v>
      </c>
      <c r="D1813" t="s">
        <v>8810</v>
      </c>
      <c r="E1813">
        <v>11</v>
      </c>
      <c r="F1813" t="s">
        <v>8529</v>
      </c>
      <c r="G1813" t="s">
        <v>8529</v>
      </c>
      <c r="H1813" t="s">
        <v>8567</v>
      </c>
      <c r="K1813" t="s">
        <v>8801</v>
      </c>
      <c r="L1813" t="s">
        <v>8560</v>
      </c>
      <c r="M1813">
        <v>38.345577239990227</v>
      </c>
      <c r="N1813" t="s">
        <v>54</v>
      </c>
      <c r="O1813" t="s">
        <v>53</v>
      </c>
      <c r="P1813" t="s">
        <v>53</v>
      </c>
      <c r="Q1813" t="s">
        <v>53</v>
      </c>
      <c r="R1813" t="s">
        <v>53</v>
      </c>
      <c r="S1813" t="s">
        <v>8802</v>
      </c>
      <c r="T1813" t="s">
        <v>8803</v>
      </c>
      <c r="U1813" t="s">
        <v>53</v>
      </c>
      <c r="V1813" t="s">
        <v>162</v>
      </c>
      <c r="W1813">
        <v>250000</v>
      </c>
      <c r="X1813" t="s">
        <v>53</v>
      </c>
      <c r="AA1813">
        <v>846</v>
      </c>
      <c r="AB1813">
        <v>642</v>
      </c>
      <c r="AC1813">
        <v>1746</v>
      </c>
      <c r="AD1813">
        <v>2283</v>
      </c>
      <c r="AE1813">
        <v>2283</v>
      </c>
      <c r="AF1813">
        <v>5</v>
      </c>
      <c r="AG1813">
        <v>8</v>
      </c>
      <c r="AH1813">
        <v>25.202535629272461</v>
      </c>
      <c r="AJ1813">
        <v>1157.076171875</v>
      </c>
      <c r="AK1813" t="s">
        <v>53</v>
      </c>
      <c r="AL1813" t="s">
        <v>54</v>
      </c>
      <c r="AQ1813" t="s">
        <v>54</v>
      </c>
      <c r="AT1813" t="s">
        <v>8804</v>
      </c>
      <c r="AU1813" s="148">
        <v>44470</v>
      </c>
      <c r="AW1813" t="s">
        <v>8390</v>
      </c>
      <c r="AZ1813" t="s">
        <v>54</v>
      </c>
      <c r="BA1813" t="s">
        <v>8535</v>
      </c>
    </row>
    <row r="1814" spans="1:53" x14ac:dyDescent="0.25">
      <c r="A1814">
        <v>1809</v>
      </c>
      <c r="B1814" t="s">
        <v>8811</v>
      </c>
      <c r="C1814" t="s">
        <v>8812</v>
      </c>
      <c r="D1814" t="s">
        <v>8813</v>
      </c>
      <c r="E1814">
        <v>11</v>
      </c>
      <c r="F1814" t="s">
        <v>8529</v>
      </c>
      <c r="G1814" t="s">
        <v>8529</v>
      </c>
      <c r="H1814" t="s">
        <v>8567</v>
      </c>
      <c r="K1814" t="s">
        <v>8801</v>
      </c>
      <c r="L1814" t="s">
        <v>8532</v>
      </c>
      <c r="M1814">
        <v>38.345577239990227</v>
      </c>
      <c r="N1814" t="s">
        <v>54</v>
      </c>
      <c r="O1814" t="s">
        <v>53</v>
      </c>
      <c r="P1814" t="s">
        <v>53</v>
      </c>
      <c r="Q1814" t="s">
        <v>53</v>
      </c>
      <c r="R1814" t="s">
        <v>53</v>
      </c>
      <c r="S1814" t="s">
        <v>8802</v>
      </c>
      <c r="T1814" t="s">
        <v>8803</v>
      </c>
      <c r="U1814" t="s">
        <v>53</v>
      </c>
      <c r="V1814" t="s">
        <v>51</v>
      </c>
      <c r="W1814">
        <v>200000</v>
      </c>
      <c r="X1814" t="s">
        <v>53</v>
      </c>
      <c r="AA1814">
        <v>846</v>
      </c>
      <c r="AB1814">
        <v>642</v>
      </c>
      <c r="AC1814">
        <v>1746</v>
      </c>
      <c r="AD1814">
        <v>2283</v>
      </c>
      <c r="AE1814">
        <v>2283</v>
      </c>
      <c r="AF1814">
        <v>5</v>
      </c>
      <c r="AG1814">
        <v>8</v>
      </c>
      <c r="AH1814">
        <v>25.202535629272461</v>
      </c>
      <c r="AJ1814">
        <v>1157.076171875</v>
      </c>
      <c r="AK1814" t="s">
        <v>54</v>
      </c>
      <c r="AL1814" t="s">
        <v>54</v>
      </c>
      <c r="AQ1814" t="s">
        <v>54</v>
      </c>
      <c r="AT1814" t="s">
        <v>8804</v>
      </c>
      <c r="AU1814" s="148">
        <v>44470</v>
      </c>
      <c r="AW1814" t="s">
        <v>8390</v>
      </c>
      <c r="AZ1814" t="s">
        <v>54</v>
      </c>
      <c r="BA1814" t="s">
        <v>8535</v>
      </c>
    </row>
    <row r="1815" spans="1:53" x14ac:dyDescent="0.25">
      <c r="A1815">
        <v>1810</v>
      </c>
      <c r="B1815" t="s">
        <v>8814</v>
      </c>
      <c r="C1815" t="s">
        <v>8815</v>
      </c>
      <c r="D1815" t="s">
        <v>8816</v>
      </c>
      <c r="E1815">
        <v>11</v>
      </c>
      <c r="F1815" t="s">
        <v>8529</v>
      </c>
      <c r="G1815" t="s">
        <v>8529</v>
      </c>
      <c r="H1815" t="s">
        <v>8567</v>
      </c>
      <c r="K1815" t="s">
        <v>8801</v>
      </c>
      <c r="L1815" t="s">
        <v>8532</v>
      </c>
      <c r="M1815">
        <v>38.345577239990227</v>
      </c>
      <c r="N1815" t="s">
        <v>54</v>
      </c>
      <c r="O1815" t="s">
        <v>53</v>
      </c>
      <c r="P1815" t="s">
        <v>53</v>
      </c>
      <c r="Q1815" t="s">
        <v>53</v>
      </c>
      <c r="R1815" t="s">
        <v>53</v>
      </c>
      <c r="S1815" t="s">
        <v>8802</v>
      </c>
      <c r="T1815" t="s">
        <v>8803</v>
      </c>
      <c r="U1815" t="s">
        <v>53</v>
      </c>
      <c r="V1815" t="s">
        <v>51</v>
      </c>
      <c r="W1815">
        <v>300000</v>
      </c>
      <c r="X1815" t="s">
        <v>53</v>
      </c>
      <c r="AA1815">
        <v>846</v>
      </c>
      <c r="AB1815">
        <v>642</v>
      </c>
      <c r="AC1815">
        <v>1746</v>
      </c>
      <c r="AD1815">
        <v>2283</v>
      </c>
      <c r="AE1815">
        <v>2283</v>
      </c>
      <c r="AF1815">
        <v>5</v>
      </c>
      <c r="AG1815">
        <v>8</v>
      </c>
      <c r="AH1815">
        <v>25.202535629272461</v>
      </c>
      <c r="AJ1815">
        <v>1157.076171875</v>
      </c>
      <c r="AK1815" t="s">
        <v>54</v>
      </c>
      <c r="AL1815" t="s">
        <v>54</v>
      </c>
      <c r="AQ1815" t="s">
        <v>54</v>
      </c>
      <c r="AT1815" t="s">
        <v>8804</v>
      </c>
      <c r="AU1815" s="148">
        <v>44470</v>
      </c>
      <c r="AW1815" t="s">
        <v>8390</v>
      </c>
      <c r="AZ1815" t="s">
        <v>54</v>
      </c>
      <c r="BA1815" t="s">
        <v>8535</v>
      </c>
    </row>
    <row r="1816" spans="1:53" x14ac:dyDescent="0.25">
      <c r="A1816">
        <v>1811</v>
      </c>
      <c r="B1816" t="s">
        <v>8817</v>
      </c>
      <c r="C1816" t="s">
        <v>8818</v>
      </c>
      <c r="D1816" t="s">
        <v>8819</v>
      </c>
      <c r="E1816">
        <v>11</v>
      </c>
      <c r="F1816" t="s">
        <v>8529</v>
      </c>
      <c r="G1816" t="s">
        <v>8529</v>
      </c>
      <c r="H1816" t="s">
        <v>8567</v>
      </c>
      <c r="K1816" t="s">
        <v>8801</v>
      </c>
      <c r="L1816" t="s">
        <v>8532</v>
      </c>
      <c r="M1816">
        <v>38.345577239990227</v>
      </c>
      <c r="N1816" t="s">
        <v>54</v>
      </c>
      <c r="O1816" t="s">
        <v>53</v>
      </c>
      <c r="P1816" t="s">
        <v>53</v>
      </c>
      <c r="Q1816" t="s">
        <v>53</v>
      </c>
      <c r="R1816" t="s">
        <v>53</v>
      </c>
      <c r="S1816" t="s">
        <v>8802</v>
      </c>
      <c r="T1816" t="s">
        <v>8803</v>
      </c>
      <c r="U1816" t="s">
        <v>53</v>
      </c>
      <c r="V1816" t="s">
        <v>51</v>
      </c>
      <c r="W1816">
        <v>4304000</v>
      </c>
      <c r="X1816" t="s">
        <v>53</v>
      </c>
      <c r="AA1816">
        <v>846</v>
      </c>
      <c r="AB1816">
        <v>642</v>
      </c>
      <c r="AC1816">
        <v>1746</v>
      </c>
      <c r="AD1816">
        <v>2283</v>
      </c>
      <c r="AE1816">
        <v>2283</v>
      </c>
      <c r="AF1816">
        <v>5</v>
      </c>
      <c r="AG1816">
        <v>8</v>
      </c>
      <c r="AH1816">
        <v>25.202535629272461</v>
      </c>
      <c r="AJ1816">
        <v>1157.076171875</v>
      </c>
      <c r="AK1816" t="s">
        <v>54</v>
      </c>
      <c r="AL1816" t="s">
        <v>54</v>
      </c>
      <c r="AQ1816" t="s">
        <v>54</v>
      </c>
      <c r="AT1816" t="s">
        <v>1885</v>
      </c>
      <c r="AU1816" s="148">
        <v>42333</v>
      </c>
      <c r="AW1816" t="s">
        <v>8390</v>
      </c>
      <c r="AZ1816" t="s">
        <v>54</v>
      </c>
      <c r="BA1816" t="s">
        <v>8535</v>
      </c>
    </row>
    <row r="1817" spans="1:53" x14ac:dyDescent="0.25">
      <c r="A1817">
        <v>1812</v>
      </c>
      <c r="B1817" t="s">
        <v>8820</v>
      </c>
      <c r="C1817" t="s">
        <v>8821</v>
      </c>
      <c r="D1817" t="s">
        <v>8822</v>
      </c>
      <c r="E1817">
        <v>11</v>
      </c>
      <c r="F1817" t="s">
        <v>8529</v>
      </c>
      <c r="G1817" t="s">
        <v>8529</v>
      </c>
      <c r="H1817" t="s">
        <v>8567</v>
      </c>
      <c r="K1817" t="s">
        <v>8823</v>
      </c>
      <c r="L1817" t="s">
        <v>8560</v>
      </c>
      <c r="M1817">
        <v>1.282070018351078E-2</v>
      </c>
      <c r="N1817" t="s">
        <v>54</v>
      </c>
      <c r="O1817" t="s">
        <v>53</v>
      </c>
      <c r="P1817" t="s">
        <v>53</v>
      </c>
      <c r="Q1817" t="s">
        <v>53</v>
      </c>
      <c r="R1817" t="s">
        <v>53</v>
      </c>
      <c r="S1817" t="s">
        <v>8802</v>
      </c>
      <c r="T1817" t="s">
        <v>8824</v>
      </c>
      <c r="U1817" t="s">
        <v>53</v>
      </c>
      <c r="V1817" t="s">
        <v>51</v>
      </c>
      <c r="W1817">
        <v>100000</v>
      </c>
      <c r="X1817" t="s">
        <v>53</v>
      </c>
      <c r="AA1817">
        <v>8</v>
      </c>
      <c r="AB1817">
        <v>0</v>
      </c>
      <c r="AC1817">
        <v>26</v>
      </c>
      <c r="AD1817">
        <v>48</v>
      </c>
      <c r="AE1817">
        <v>48</v>
      </c>
      <c r="AF1817">
        <v>0</v>
      </c>
      <c r="AG1817">
        <v>0</v>
      </c>
      <c r="AH1817">
        <v>0.15665628015995031</v>
      </c>
      <c r="AJ1817">
        <v>0</v>
      </c>
      <c r="AK1817" t="s">
        <v>54</v>
      </c>
      <c r="AL1817" t="s">
        <v>54</v>
      </c>
      <c r="AQ1817" t="s">
        <v>54</v>
      </c>
      <c r="AT1817" t="s">
        <v>8804</v>
      </c>
      <c r="AU1817" s="148">
        <v>44470</v>
      </c>
      <c r="AW1817" t="s">
        <v>54</v>
      </c>
      <c r="AZ1817" t="s">
        <v>54</v>
      </c>
      <c r="BA1817" t="s">
        <v>8535</v>
      </c>
    </row>
    <row r="1818" spans="1:53" x14ac:dyDescent="0.25">
      <c r="A1818">
        <v>1813</v>
      </c>
      <c r="B1818" t="s">
        <v>8825</v>
      </c>
      <c r="C1818" t="s">
        <v>8826</v>
      </c>
      <c r="D1818" t="s">
        <v>8827</v>
      </c>
      <c r="E1818">
        <v>11</v>
      </c>
      <c r="F1818" t="s">
        <v>8529</v>
      </c>
      <c r="G1818" t="s">
        <v>8539</v>
      </c>
      <c r="H1818" t="s">
        <v>8540</v>
      </c>
      <c r="K1818" t="s">
        <v>8619</v>
      </c>
      <c r="L1818" t="s">
        <v>8532</v>
      </c>
      <c r="M1818">
        <v>2.7825133800506592</v>
      </c>
      <c r="N1818" t="s">
        <v>54</v>
      </c>
      <c r="O1818" t="s">
        <v>53</v>
      </c>
      <c r="P1818" t="s">
        <v>53</v>
      </c>
      <c r="Q1818" t="s">
        <v>53</v>
      </c>
      <c r="R1818" t="s">
        <v>53</v>
      </c>
      <c r="S1818" t="s">
        <v>8828</v>
      </c>
      <c r="T1818" t="s">
        <v>8829</v>
      </c>
      <c r="U1818" t="s">
        <v>53</v>
      </c>
      <c r="V1818" t="s">
        <v>51</v>
      </c>
      <c r="W1818">
        <v>1334000</v>
      </c>
      <c r="X1818" t="s">
        <v>53</v>
      </c>
      <c r="AA1818">
        <v>27</v>
      </c>
      <c r="AB1818">
        <v>11</v>
      </c>
      <c r="AC1818">
        <v>11</v>
      </c>
      <c r="AD1818">
        <v>46</v>
      </c>
      <c r="AE1818">
        <v>46</v>
      </c>
      <c r="AF1818">
        <v>0</v>
      </c>
      <c r="AG1818">
        <v>3</v>
      </c>
      <c r="AH1818">
        <v>1.512336850166321</v>
      </c>
      <c r="AJ1818">
        <v>94.085639953613281</v>
      </c>
      <c r="AK1818" t="s">
        <v>54</v>
      </c>
      <c r="AL1818" t="s">
        <v>54</v>
      </c>
      <c r="AQ1818" t="s">
        <v>54</v>
      </c>
      <c r="AT1818" t="s">
        <v>1885</v>
      </c>
      <c r="AU1818" s="148">
        <v>42333</v>
      </c>
      <c r="AW1818" t="s">
        <v>8390</v>
      </c>
      <c r="AZ1818" t="s">
        <v>54</v>
      </c>
      <c r="BA1818" t="s">
        <v>8535</v>
      </c>
    </row>
    <row r="1819" spans="1:53" x14ac:dyDescent="0.25">
      <c r="A1819">
        <v>1814</v>
      </c>
      <c r="B1819" t="s">
        <v>8830</v>
      </c>
      <c r="C1819" t="s">
        <v>8831</v>
      </c>
      <c r="D1819" t="s">
        <v>8832</v>
      </c>
      <c r="E1819">
        <v>11</v>
      </c>
      <c r="F1819" t="s">
        <v>8529</v>
      </c>
      <c r="G1819" t="s">
        <v>544</v>
      </c>
      <c r="H1819" t="s">
        <v>8833</v>
      </c>
      <c r="K1819" t="s">
        <v>8834</v>
      </c>
      <c r="L1819" t="s">
        <v>8532</v>
      </c>
      <c r="M1819">
        <v>37.476799011230469</v>
      </c>
      <c r="N1819" t="s">
        <v>54</v>
      </c>
      <c r="O1819" t="s">
        <v>53</v>
      </c>
      <c r="P1819" t="s">
        <v>53</v>
      </c>
      <c r="Q1819" t="s">
        <v>53</v>
      </c>
      <c r="R1819" t="s">
        <v>53</v>
      </c>
      <c r="S1819" t="s">
        <v>546</v>
      </c>
      <c r="T1819" t="s">
        <v>8835</v>
      </c>
      <c r="U1819" t="s">
        <v>53</v>
      </c>
      <c r="V1819" t="s">
        <v>138</v>
      </c>
      <c r="W1819">
        <v>1000000</v>
      </c>
      <c r="X1819" t="s">
        <v>53</v>
      </c>
      <c r="AA1819">
        <v>1139</v>
      </c>
      <c r="AB1819">
        <v>933</v>
      </c>
      <c r="AC1819">
        <v>3181</v>
      </c>
      <c r="AD1819">
        <v>2828</v>
      </c>
      <c r="AE1819">
        <v>3181</v>
      </c>
      <c r="AF1819">
        <v>24</v>
      </c>
      <c r="AG1819">
        <v>0</v>
      </c>
      <c r="AH1819">
        <v>36.153518676757813</v>
      </c>
      <c r="AJ1819">
        <v>110.6871032714844</v>
      </c>
      <c r="AK1819" t="s">
        <v>54</v>
      </c>
      <c r="AL1819" t="s">
        <v>54</v>
      </c>
      <c r="AQ1819" t="s">
        <v>54</v>
      </c>
      <c r="AT1819" t="s">
        <v>547</v>
      </c>
      <c r="AU1819" s="148">
        <v>43221</v>
      </c>
      <c r="AW1819" t="s">
        <v>53</v>
      </c>
      <c r="AZ1819" t="s">
        <v>54</v>
      </c>
      <c r="BA1819" t="s">
        <v>8535</v>
      </c>
    </row>
    <row r="1820" spans="1:53" x14ac:dyDescent="0.25">
      <c r="A1820">
        <v>1815</v>
      </c>
      <c r="B1820" t="s">
        <v>8836</v>
      </c>
      <c r="C1820" t="s">
        <v>8837</v>
      </c>
      <c r="D1820" t="s">
        <v>8838</v>
      </c>
      <c r="E1820">
        <v>11</v>
      </c>
      <c r="F1820" t="s">
        <v>8529</v>
      </c>
      <c r="G1820" t="s">
        <v>544</v>
      </c>
      <c r="H1820" t="s">
        <v>8833</v>
      </c>
      <c r="K1820" t="s">
        <v>8834</v>
      </c>
      <c r="L1820" t="s">
        <v>8560</v>
      </c>
      <c r="M1820">
        <v>37.476799011230469</v>
      </c>
      <c r="N1820" t="s">
        <v>54</v>
      </c>
      <c r="O1820" t="s">
        <v>53</v>
      </c>
      <c r="P1820" t="s">
        <v>53</v>
      </c>
      <c r="Q1820" t="s">
        <v>53</v>
      </c>
      <c r="R1820" t="s">
        <v>53</v>
      </c>
      <c r="S1820" t="s">
        <v>546</v>
      </c>
      <c r="T1820" t="s">
        <v>8835</v>
      </c>
      <c r="U1820" t="s">
        <v>53</v>
      </c>
      <c r="V1820" t="s">
        <v>51</v>
      </c>
      <c r="W1820">
        <v>100000</v>
      </c>
      <c r="X1820" t="s">
        <v>53</v>
      </c>
      <c r="AA1820">
        <v>1139</v>
      </c>
      <c r="AB1820">
        <v>933</v>
      </c>
      <c r="AC1820">
        <v>3181</v>
      </c>
      <c r="AD1820">
        <v>2828</v>
      </c>
      <c r="AE1820">
        <v>3181</v>
      </c>
      <c r="AF1820">
        <v>24</v>
      </c>
      <c r="AG1820">
        <v>0</v>
      </c>
      <c r="AH1820">
        <v>36.153518676757813</v>
      </c>
      <c r="AJ1820">
        <v>110.6871032714844</v>
      </c>
      <c r="AK1820" t="s">
        <v>54</v>
      </c>
      <c r="AL1820" t="s">
        <v>54</v>
      </c>
      <c r="AQ1820" t="s">
        <v>54</v>
      </c>
      <c r="AT1820" t="s">
        <v>547</v>
      </c>
      <c r="AU1820" s="148">
        <v>43221</v>
      </c>
      <c r="AW1820" t="s">
        <v>53</v>
      </c>
      <c r="AZ1820" t="s">
        <v>54</v>
      </c>
      <c r="BA1820" t="s">
        <v>8535</v>
      </c>
    </row>
    <row r="1821" spans="1:53" x14ac:dyDescent="0.25">
      <c r="A1821">
        <v>1816</v>
      </c>
      <c r="B1821" t="s">
        <v>8839</v>
      </c>
      <c r="C1821" t="s">
        <v>8840</v>
      </c>
      <c r="D1821" t="s">
        <v>8841</v>
      </c>
      <c r="E1821">
        <v>11</v>
      </c>
      <c r="F1821" t="s">
        <v>8529</v>
      </c>
      <c r="G1821" t="s">
        <v>544</v>
      </c>
      <c r="H1821" t="s">
        <v>8833</v>
      </c>
      <c r="K1821" t="s">
        <v>8834</v>
      </c>
      <c r="L1821" t="s">
        <v>8532</v>
      </c>
      <c r="M1821">
        <v>37.476799011230469</v>
      </c>
      <c r="N1821" t="s">
        <v>54</v>
      </c>
      <c r="O1821" t="s">
        <v>53</v>
      </c>
      <c r="P1821" t="s">
        <v>53</v>
      </c>
      <c r="Q1821" t="s">
        <v>53</v>
      </c>
      <c r="R1821" t="s">
        <v>53</v>
      </c>
      <c r="S1821" t="s">
        <v>546</v>
      </c>
      <c r="T1821" t="s">
        <v>8835</v>
      </c>
      <c r="U1821" t="s">
        <v>53</v>
      </c>
      <c r="V1821" t="s">
        <v>51</v>
      </c>
      <c r="W1821">
        <v>150000</v>
      </c>
      <c r="X1821" t="s">
        <v>53</v>
      </c>
      <c r="AA1821">
        <v>1139</v>
      </c>
      <c r="AB1821">
        <v>933</v>
      </c>
      <c r="AC1821">
        <v>3181</v>
      </c>
      <c r="AD1821">
        <v>2828</v>
      </c>
      <c r="AE1821">
        <v>3181</v>
      </c>
      <c r="AF1821">
        <v>24</v>
      </c>
      <c r="AG1821">
        <v>0</v>
      </c>
      <c r="AH1821">
        <v>36.153518676757813</v>
      </c>
      <c r="AJ1821">
        <v>110.6871032714844</v>
      </c>
      <c r="AK1821" t="s">
        <v>54</v>
      </c>
      <c r="AL1821" t="s">
        <v>54</v>
      </c>
      <c r="AQ1821" t="s">
        <v>54</v>
      </c>
      <c r="AT1821" t="s">
        <v>547</v>
      </c>
      <c r="AU1821" s="148">
        <v>43221</v>
      </c>
      <c r="AW1821" t="s">
        <v>53</v>
      </c>
      <c r="AZ1821" t="s">
        <v>54</v>
      </c>
      <c r="BA1821" t="s">
        <v>8535</v>
      </c>
    </row>
    <row r="1822" spans="1:53" x14ac:dyDescent="0.25">
      <c r="A1822">
        <v>1817</v>
      </c>
      <c r="B1822" t="s">
        <v>8842</v>
      </c>
      <c r="C1822" t="s">
        <v>8843</v>
      </c>
      <c r="D1822" t="s">
        <v>8844</v>
      </c>
      <c r="E1822">
        <v>11</v>
      </c>
      <c r="F1822" t="s">
        <v>8529</v>
      </c>
      <c r="G1822" t="s">
        <v>544</v>
      </c>
      <c r="H1822" t="s">
        <v>8833</v>
      </c>
      <c r="K1822" t="s">
        <v>8834</v>
      </c>
      <c r="L1822" t="s">
        <v>8532</v>
      </c>
      <c r="M1822">
        <v>37.476799011230469</v>
      </c>
      <c r="N1822" t="s">
        <v>54</v>
      </c>
      <c r="O1822" t="s">
        <v>53</v>
      </c>
      <c r="P1822" t="s">
        <v>53</v>
      </c>
      <c r="Q1822" t="s">
        <v>53</v>
      </c>
      <c r="R1822" t="s">
        <v>53</v>
      </c>
      <c r="S1822" t="s">
        <v>546</v>
      </c>
      <c r="T1822" t="s">
        <v>8835</v>
      </c>
      <c r="U1822" t="s">
        <v>53</v>
      </c>
      <c r="V1822" t="s">
        <v>51</v>
      </c>
      <c r="W1822">
        <v>45000</v>
      </c>
      <c r="X1822" t="s">
        <v>53</v>
      </c>
      <c r="AA1822">
        <v>1139</v>
      </c>
      <c r="AB1822">
        <v>933</v>
      </c>
      <c r="AC1822">
        <v>3181</v>
      </c>
      <c r="AD1822">
        <v>2828</v>
      </c>
      <c r="AE1822">
        <v>3181</v>
      </c>
      <c r="AF1822">
        <v>24</v>
      </c>
      <c r="AG1822">
        <v>0</v>
      </c>
      <c r="AH1822">
        <v>36.153518676757813</v>
      </c>
      <c r="AJ1822">
        <v>110.6871032714844</v>
      </c>
      <c r="AK1822" t="s">
        <v>54</v>
      </c>
      <c r="AL1822" t="s">
        <v>54</v>
      </c>
      <c r="AQ1822" t="s">
        <v>54</v>
      </c>
      <c r="AT1822" t="s">
        <v>547</v>
      </c>
      <c r="AU1822" s="148">
        <v>43221</v>
      </c>
      <c r="AW1822" t="s">
        <v>53</v>
      </c>
      <c r="AZ1822" t="s">
        <v>54</v>
      </c>
      <c r="BA1822" t="s">
        <v>8535</v>
      </c>
    </row>
    <row r="1823" spans="1:53" x14ac:dyDescent="0.25">
      <c r="A1823">
        <v>1818</v>
      </c>
      <c r="B1823" t="s">
        <v>8845</v>
      </c>
      <c r="C1823" t="s">
        <v>8846</v>
      </c>
      <c r="D1823" t="s">
        <v>8847</v>
      </c>
      <c r="E1823">
        <v>11</v>
      </c>
      <c r="F1823" t="s">
        <v>8529</v>
      </c>
      <c r="G1823" t="s">
        <v>544</v>
      </c>
      <c r="H1823" t="s">
        <v>8833</v>
      </c>
      <c r="K1823" t="s">
        <v>8834</v>
      </c>
      <c r="L1823" t="s">
        <v>8532</v>
      </c>
      <c r="M1823">
        <v>37.476799011230469</v>
      </c>
      <c r="N1823" t="s">
        <v>54</v>
      </c>
      <c r="O1823" t="s">
        <v>53</v>
      </c>
      <c r="P1823" t="s">
        <v>53</v>
      </c>
      <c r="Q1823" t="s">
        <v>53</v>
      </c>
      <c r="R1823" t="s">
        <v>53</v>
      </c>
      <c r="S1823" t="s">
        <v>546</v>
      </c>
      <c r="T1823" t="s">
        <v>8835</v>
      </c>
      <c r="U1823" t="s">
        <v>53</v>
      </c>
      <c r="V1823" t="s">
        <v>51</v>
      </c>
      <c r="W1823">
        <v>1327962</v>
      </c>
      <c r="X1823" t="s">
        <v>53</v>
      </c>
      <c r="AA1823">
        <v>1139</v>
      </c>
      <c r="AB1823">
        <v>933</v>
      </c>
      <c r="AC1823">
        <v>3181</v>
      </c>
      <c r="AD1823">
        <v>2828</v>
      </c>
      <c r="AE1823">
        <v>3181</v>
      </c>
      <c r="AF1823">
        <v>24</v>
      </c>
      <c r="AG1823">
        <v>0</v>
      </c>
      <c r="AH1823">
        <v>36.153518676757813</v>
      </c>
      <c r="AJ1823">
        <v>110.6871032714844</v>
      </c>
      <c r="AK1823" t="s">
        <v>54</v>
      </c>
      <c r="AL1823" t="s">
        <v>54</v>
      </c>
      <c r="AQ1823" t="s">
        <v>54</v>
      </c>
      <c r="AT1823" t="s">
        <v>8848</v>
      </c>
      <c r="AU1823" s="148">
        <v>44197</v>
      </c>
      <c r="AW1823" t="s">
        <v>53</v>
      </c>
      <c r="AZ1823" t="s">
        <v>54</v>
      </c>
      <c r="BA1823" t="s">
        <v>8535</v>
      </c>
    </row>
    <row r="1824" spans="1:53" x14ac:dyDescent="0.25">
      <c r="A1824">
        <v>1819</v>
      </c>
      <c r="B1824" t="s">
        <v>8849</v>
      </c>
      <c r="C1824" t="s">
        <v>8850</v>
      </c>
      <c r="D1824" t="s">
        <v>8851</v>
      </c>
      <c r="E1824">
        <v>11</v>
      </c>
      <c r="F1824" t="s">
        <v>8529</v>
      </c>
      <c r="G1824" t="s">
        <v>544</v>
      </c>
      <c r="H1824" t="s">
        <v>8833</v>
      </c>
      <c r="K1824" t="s">
        <v>8834</v>
      </c>
      <c r="L1824" t="s">
        <v>8532</v>
      </c>
      <c r="M1824">
        <v>37.476799011230469</v>
      </c>
      <c r="N1824" t="s">
        <v>54</v>
      </c>
      <c r="O1824" t="s">
        <v>53</v>
      </c>
      <c r="P1824" t="s">
        <v>53</v>
      </c>
      <c r="Q1824" t="s">
        <v>53</v>
      </c>
      <c r="R1824" t="s">
        <v>53</v>
      </c>
      <c r="S1824" t="s">
        <v>546</v>
      </c>
      <c r="T1824" t="s">
        <v>8835</v>
      </c>
      <c r="U1824" t="s">
        <v>53</v>
      </c>
      <c r="V1824" t="s">
        <v>51</v>
      </c>
      <c r="W1824">
        <v>3946100</v>
      </c>
      <c r="X1824" t="s">
        <v>53</v>
      </c>
      <c r="AA1824">
        <v>1139</v>
      </c>
      <c r="AB1824">
        <v>933</v>
      </c>
      <c r="AC1824">
        <v>3181</v>
      </c>
      <c r="AD1824">
        <v>2828</v>
      </c>
      <c r="AE1824">
        <v>3181</v>
      </c>
      <c r="AF1824">
        <v>24</v>
      </c>
      <c r="AG1824">
        <v>0</v>
      </c>
      <c r="AH1824">
        <v>36.153518676757813</v>
      </c>
      <c r="AJ1824">
        <v>110.6871032714844</v>
      </c>
      <c r="AK1824" t="s">
        <v>54</v>
      </c>
      <c r="AL1824" t="s">
        <v>54</v>
      </c>
      <c r="AQ1824" t="s">
        <v>54</v>
      </c>
      <c r="AT1824" t="s">
        <v>8848</v>
      </c>
      <c r="AU1824" s="148">
        <v>44197</v>
      </c>
      <c r="AW1824" t="s">
        <v>53</v>
      </c>
      <c r="AZ1824" t="s">
        <v>54</v>
      </c>
      <c r="BA1824" t="s">
        <v>8535</v>
      </c>
    </row>
    <row r="1825" spans="1:53" x14ac:dyDescent="0.25">
      <c r="A1825">
        <v>1820</v>
      </c>
      <c r="B1825" t="s">
        <v>8852</v>
      </c>
      <c r="C1825" t="s">
        <v>8853</v>
      </c>
      <c r="D1825" t="s">
        <v>8854</v>
      </c>
      <c r="E1825">
        <v>11</v>
      </c>
      <c r="F1825" t="s">
        <v>8529</v>
      </c>
      <c r="G1825" t="s">
        <v>544</v>
      </c>
      <c r="H1825" t="s">
        <v>8833</v>
      </c>
      <c r="K1825" t="s">
        <v>8834</v>
      </c>
      <c r="L1825" t="s">
        <v>8532</v>
      </c>
      <c r="M1825">
        <v>37.476799011230469</v>
      </c>
      <c r="N1825" t="s">
        <v>54</v>
      </c>
      <c r="O1825" t="s">
        <v>53</v>
      </c>
      <c r="P1825" t="s">
        <v>53</v>
      </c>
      <c r="Q1825" t="s">
        <v>53</v>
      </c>
      <c r="R1825" t="s">
        <v>53</v>
      </c>
      <c r="S1825" t="s">
        <v>546</v>
      </c>
      <c r="T1825" t="s">
        <v>8835</v>
      </c>
      <c r="U1825" t="s">
        <v>53</v>
      </c>
      <c r="V1825" t="s">
        <v>51</v>
      </c>
      <c r="W1825">
        <v>1662106</v>
      </c>
      <c r="X1825" t="s">
        <v>53</v>
      </c>
      <c r="AA1825">
        <v>1139</v>
      </c>
      <c r="AB1825">
        <v>933</v>
      </c>
      <c r="AC1825">
        <v>3181</v>
      </c>
      <c r="AD1825">
        <v>2828</v>
      </c>
      <c r="AE1825">
        <v>3181</v>
      </c>
      <c r="AF1825">
        <v>24</v>
      </c>
      <c r="AG1825">
        <v>0</v>
      </c>
      <c r="AH1825">
        <v>36.153518676757813</v>
      </c>
      <c r="AJ1825">
        <v>110.6871032714844</v>
      </c>
      <c r="AK1825" t="s">
        <v>54</v>
      </c>
      <c r="AL1825" t="s">
        <v>54</v>
      </c>
      <c r="AQ1825" t="s">
        <v>54</v>
      </c>
      <c r="AT1825" t="s">
        <v>8848</v>
      </c>
      <c r="AU1825" s="148">
        <v>44197</v>
      </c>
      <c r="AW1825" t="s">
        <v>53</v>
      </c>
      <c r="AZ1825" t="s">
        <v>54</v>
      </c>
      <c r="BA1825" t="s">
        <v>8535</v>
      </c>
    </row>
    <row r="1826" spans="1:53" x14ac:dyDescent="0.25">
      <c r="A1826">
        <v>1821</v>
      </c>
      <c r="B1826" t="s">
        <v>8855</v>
      </c>
      <c r="C1826" t="s">
        <v>8856</v>
      </c>
      <c r="D1826" t="s">
        <v>8857</v>
      </c>
      <c r="E1826">
        <v>11</v>
      </c>
      <c r="F1826" t="s">
        <v>8529</v>
      </c>
      <c r="G1826" t="s">
        <v>544</v>
      </c>
      <c r="H1826" t="s">
        <v>8833</v>
      </c>
      <c r="K1826" t="s">
        <v>8834</v>
      </c>
      <c r="L1826" t="s">
        <v>8532</v>
      </c>
      <c r="M1826">
        <v>37.476799011230469</v>
      </c>
      <c r="N1826" t="s">
        <v>54</v>
      </c>
      <c r="O1826" t="s">
        <v>53</v>
      </c>
      <c r="P1826" t="s">
        <v>53</v>
      </c>
      <c r="Q1826" t="s">
        <v>53</v>
      </c>
      <c r="R1826" t="s">
        <v>53</v>
      </c>
      <c r="S1826" t="s">
        <v>546</v>
      </c>
      <c r="T1826" t="s">
        <v>8835</v>
      </c>
      <c r="U1826" t="s">
        <v>53</v>
      </c>
      <c r="V1826" t="s">
        <v>51</v>
      </c>
      <c r="W1826">
        <v>1165853</v>
      </c>
      <c r="X1826" t="s">
        <v>53</v>
      </c>
      <c r="AA1826">
        <v>1139</v>
      </c>
      <c r="AB1826">
        <v>933</v>
      </c>
      <c r="AC1826">
        <v>3181</v>
      </c>
      <c r="AD1826">
        <v>2828</v>
      </c>
      <c r="AE1826">
        <v>3181</v>
      </c>
      <c r="AF1826">
        <v>24</v>
      </c>
      <c r="AG1826">
        <v>0</v>
      </c>
      <c r="AH1826">
        <v>36.153518676757813</v>
      </c>
      <c r="AJ1826">
        <v>110.6871032714844</v>
      </c>
      <c r="AK1826" t="s">
        <v>54</v>
      </c>
      <c r="AL1826" t="s">
        <v>54</v>
      </c>
      <c r="AQ1826" t="s">
        <v>54</v>
      </c>
      <c r="AT1826" t="s">
        <v>8848</v>
      </c>
      <c r="AU1826" s="148">
        <v>44197</v>
      </c>
      <c r="AW1826" t="s">
        <v>53</v>
      </c>
      <c r="AZ1826" t="s">
        <v>54</v>
      </c>
      <c r="BA1826" t="s">
        <v>8535</v>
      </c>
    </row>
    <row r="1827" spans="1:53" x14ac:dyDescent="0.25">
      <c r="A1827">
        <v>1822</v>
      </c>
      <c r="B1827" t="s">
        <v>8858</v>
      </c>
      <c r="C1827" t="s">
        <v>8859</v>
      </c>
      <c r="D1827" t="s">
        <v>8860</v>
      </c>
      <c r="E1827">
        <v>11</v>
      </c>
      <c r="F1827" t="s">
        <v>8529</v>
      </c>
      <c r="G1827" t="s">
        <v>544</v>
      </c>
      <c r="H1827" t="s">
        <v>8833</v>
      </c>
      <c r="K1827" t="s">
        <v>8834</v>
      </c>
      <c r="L1827" t="s">
        <v>8532</v>
      </c>
      <c r="M1827">
        <v>37.476799011230469</v>
      </c>
      <c r="N1827" t="s">
        <v>54</v>
      </c>
      <c r="O1827" t="s">
        <v>53</v>
      </c>
      <c r="P1827" t="s">
        <v>53</v>
      </c>
      <c r="Q1827" t="s">
        <v>53</v>
      </c>
      <c r="R1827" t="s">
        <v>53</v>
      </c>
      <c r="S1827" t="s">
        <v>546</v>
      </c>
      <c r="T1827" t="s">
        <v>8835</v>
      </c>
      <c r="U1827" t="s">
        <v>53</v>
      </c>
      <c r="V1827" t="s">
        <v>51</v>
      </c>
      <c r="W1827">
        <v>276201</v>
      </c>
      <c r="X1827" t="s">
        <v>53</v>
      </c>
      <c r="AA1827">
        <v>1139</v>
      </c>
      <c r="AB1827">
        <v>933</v>
      </c>
      <c r="AC1827">
        <v>3181</v>
      </c>
      <c r="AD1827">
        <v>2828</v>
      </c>
      <c r="AE1827">
        <v>3181</v>
      </c>
      <c r="AF1827">
        <v>24</v>
      </c>
      <c r="AG1827">
        <v>0</v>
      </c>
      <c r="AH1827">
        <v>36.153518676757813</v>
      </c>
      <c r="AJ1827">
        <v>110.6871032714844</v>
      </c>
      <c r="AK1827" t="s">
        <v>54</v>
      </c>
      <c r="AL1827" t="s">
        <v>54</v>
      </c>
      <c r="AQ1827" t="s">
        <v>54</v>
      </c>
      <c r="AT1827" t="s">
        <v>8848</v>
      </c>
      <c r="AU1827" s="148">
        <v>44197</v>
      </c>
      <c r="AW1827" t="s">
        <v>53</v>
      </c>
      <c r="AZ1827" t="s">
        <v>54</v>
      </c>
      <c r="BA1827" t="s">
        <v>8535</v>
      </c>
    </row>
    <row r="1828" spans="1:53" x14ac:dyDescent="0.25">
      <c r="A1828">
        <v>1823</v>
      </c>
      <c r="B1828" t="s">
        <v>8861</v>
      </c>
      <c r="C1828" t="s">
        <v>8862</v>
      </c>
      <c r="D1828" t="s">
        <v>8863</v>
      </c>
      <c r="E1828">
        <v>11</v>
      </c>
      <c r="F1828" t="s">
        <v>8529</v>
      </c>
      <c r="G1828" t="s">
        <v>544</v>
      </c>
      <c r="H1828" t="s">
        <v>8833</v>
      </c>
      <c r="K1828" t="s">
        <v>8834</v>
      </c>
      <c r="L1828" t="s">
        <v>8532</v>
      </c>
      <c r="M1828">
        <v>37.476799011230469</v>
      </c>
      <c r="N1828" t="s">
        <v>54</v>
      </c>
      <c r="O1828" t="s">
        <v>53</v>
      </c>
      <c r="P1828" t="s">
        <v>53</v>
      </c>
      <c r="Q1828" t="s">
        <v>53</v>
      </c>
      <c r="R1828" t="s">
        <v>53</v>
      </c>
      <c r="S1828" t="s">
        <v>546</v>
      </c>
      <c r="T1828" t="s">
        <v>8835</v>
      </c>
      <c r="U1828" t="s">
        <v>53</v>
      </c>
      <c r="V1828" t="s">
        <v>138</v>
      </c>
      <c r="W1828">
        <v>500000</v>
      </c>
      <c r="X1828" t="s">
        <v>53</v>
      </c>
      <c r="AA1828">
        <v>1139</v>
      </c>
      <c r="AB1828">
        <v>933</v>
      </c>
      <c r="AC1828">
        <v>3181</v>
      </c>
      <c r="AD1828">
        <v>2828</v>
      </c>
      <c r="AE1828">
        <v>3181</v>
      </c>
      <c r="AF1828">
        <v>24</v>
      </c>
      <c r="AG1828">
        <v>0</v>
      </c>
      <c r="AH1828">
        <v>36.153518676757813</v>
      </c>
      <c r="AJ1828">
        <v>110.6871032714844</v>
      </c>
      <c r="AK1828" t="s">
        <v>54</v>
      </c>
      <c r="AL1828" t="s">
        <v>54</v>
      </c>
      <c r="AQ1828" t="s">
        <v>54</v>
      </c>
      <c r="AT1828" t="s">
        <v>547</v>
      </c>
      <c r="AU1828" s="148">
        <v>43221</v>
      </c>
      <c r="AW1828" t="s">
        <v>53</v>
      </c>
      <c r="AZ1828" t="s">
        <v>54</v>
      </c>
      <c r="BA1828" t="s">
        <v>8535</v>
      </c>
    </row>
    <row r="1829" spans="1:53" x14ac:dyDescent="0.25">
      <c r="A1829">
        <v>1824</v>
      </c>
      <c r="B1829" t="s">
        <v>8864</v>
      </c>
      <c r="C1829" t="s">
        <v>8865</v>
      </c>
      <c r="D1829" t="s">
        <v>8764</v>
      </c>
      <c r="E1829">
        <v>11</v>
      </c>
      <c r="F1829" t="s">
        <v>8529</v>
      </c>
      <c r="G1829" t="s">
        <v>8650</v>
      </c>
      <c r="H1829" t="s">
        <v>8567</v>
      </c>
      <c r="K1829" t="s">
        <v>8866</v>
      </c>
      <c r="L1829" t="s">
        <v>8532</v>
      </c>
      <c r="M1829">
        <v>1.281367421150208</v>
      </c>
      <c r="N1829" t="s">
        <v>54</v>
      </c>
      <c r="O1829" t="s">
        <v>53</v>
      </c>
      <c r="P1829" t="s">
        <v>53</v>
      </c>
      <c r="Q1829" t="s">
        <v>53</v>
      </c>
      <c r="R1829" t="s">
        <v>53</v>
      </c>
      <c r="S1829" t="s">
        <v>8867</v>
      </c>
      <c r="T1829" t="s">
        <v>8868</v>
      </c>
      <c r="U1829" t="s">
        <v>53</v>
      </c>
      <c r="V1829" t="s">
        <v>51</v>
      </c>
      <c r="W1829">
        <v>150000</v>
      </c>
      <c r="X1829" t="s">
        <v>53</v>
      </c>
      <c r="AA1829">
        <v>170</v>
      </c>
      <c r="AB1829">
        <v>88</v>
      </c>
      <c r="AC1829">
        <v>90</v>
      </c>
      <c r="AD1829">
        <v>207</v>
      </c>
      <c r="AE1829">
        <v>207</v>
      </c>
      <c r="AF1829">
        <v>0</v>
      </c>
      <c r="AG1829">
        <v>9</v>
      </c>
      <c r="AH1829">
        <v>4.0123615264892578</v>
      </c>
      <c r="AJ1829">
        <v>4.3307490348815918</v>
      </c>
      <c r="AK1829" t="s">
        <v>54</v>
      </c>
      <c r="AL1829" t="s">
        <v>54</v>
      </c>
      <c r="AQ1829" t="s">
        <v>54</v>
      </c>
      <c r="AT1829" t="s">
        <v>8654</v>
      </c>
      <c r="AU1829" s="148">
        <v>43313</v>
      </c>
      <c r="AW1829" t="s">
        <v>8390</v>
      </c>
      <c r="AZ1829" t="s">
        <v>54</v>
      </c>
      <c r="BA1829" t="s">
        <v>8535</v>
      </c>
    </row>
    <row r="1830" spans="1:53" x14ac:dyDescent="0.25">
      <c r="A1830">
        <v>1825</v>
      </c>
      <c r="B1830" t="s">
        <v>8869</v>
      </c>
      <c r="C1830" t="s">
        <v>8870</v>
      </c>
      <c r="D1830" t="s">
        <v>8871</v>
      </c>
      <c r="E1830">
        <v>11</v>
      </c>
      <c r="F1830" t="s">
        <v>8529</v>
      </c>
      <c r="G1830" t="s">
        <v>348</v>
      </c>
      <c r="H1830" t="s">
        <v>8540</v>
      </c>
      <c r="K1830" t="s">
        <v>8872</v>
      </c>
      <c r="L1830" t="s">
        <v>8532</v>
      </c>
      <c r="M1830">
        <v>8.9216518402099609</v>
      </c>
      <c r="N1830" t="s">
        <v>54</v>
      </c>
      <c r="O1830" t="s">
        <v>53</v>
      </c>
      <c r="P1830" t="s">
        <v>53</v>
      </c>
      <c r="Q1830" t="s">
        <v>53</v>
      </c>
      <c r="R1830" t="s">
        <v>53</v>
      </c>
      <c r="S1830" t="s">
        <v>8873</v>
      </c>
      <c r="T1830" t="s">
        <v>8874</v>
      </c>
      <c r="U1830" t="s">
        <v>53</v>
      </c>
      <c r="V1830" t="s">
        <v>138</v>
      </c>
      <c r="W1830">
        <v>150000</v>
      </c>
      <c r="X1830" t="s">
        <v>53</v>
      </c>
      <c r="AA1830">
        <v>503</v>
      </c>
      <c r="AB1830">
        <v>421</v>
      </c>
      <c r="AC1830">
        <v>251</v>
      </c>
      <c r="AD1830">
        <v>1045</v>
      </c>
      <c r="AE1830">
        <v>1045</v>
      </c>
      <c r="AF1830">
        <v>0</v>
      </c>
      <c r="AG1830">
        <v>6</v>
      </c>
      <c r="AH1830">
        <v>7.670809268951416</v>
      </c>
      <c r="AJ1830">
        <v>25.4622688293457</v>
      </c>
      <c r="AK1830" t="s">
        <v>54</v>
      </c>
      <c r="AL1830" t="s">
        <v>54</v>
      </c>
      <c r="AQ1830" t="s">
        <v>54</v>
      </c>
      <c r="AT1830" t="s">
        <v>8571</v>
      </c>
      <c r="AU1830" s="148">
        <v>44091</v>
      </c>
      <c r="AW1830" t="s">
        <v>8390</v>
      </c>
      <c r="AZ1830" t="s">
        <v>54</v>
      </c>
      <c r="BA1830" t="s">
        <v>8535</v>
      </c>
    </row>
    <row r="1831" spans="1:53" x14ac:dyDescent="0.25">
      <c r="A1831">
        <v>1826</v>
      </c>
      <c r="B1831" t="s">
        <v>8875</v>
      </c>
      <c r="C1831" t="s">
        <v>8876</v>
      </c>
      <c r="D1831" t="s">
        <v>8877</v>
      </c>
      <c r="E1831">
        <v>11</v>
      </c>
      <c r="F1831" t="s">
        <v>8529</v>
      </c>
      <c r="G1831" t="s">
        <v>348</v>
      </c>
      <c r="H1831" t="s">
        <v>8540</v>
      </c>
      <c r="K1831" t="s">
        <v>8878</v>
      </c>
      <c r="L1831" t="s">
        <v>8550</v>
      </c>
      <c r="M1831">
        <v>2.1075599361211061E-3</v>
      </c>
      <c r="N1831" t="s">
        <v>54</v>
      </c>
      <c r="O1831" t="s">
        <v>53</v>
      </c>
      <c r="P1831" t="s">
        <v>53</v>
      </c>
      <c r="Q1831" t="s">
        <v>53</v>
      </c>
      <c r="R1831" t="s">
        <v>53</v>
      </c>
      <c r="S1831" t="s">
        <v>8873</v>
      </c>
      <c r="T1831" t="s">
        <v>8879</v>
      </c>
      <c r="U1831" t="s">
        <v>53</v>
      </c>
      <c r="V1831" t="s">
        <v>51</v>
      </c>
      <c r="W1831">
        <v>100000</v>
      </c>
      <c r="X1831" t="s">
        <v>53</v>
      </c>
      <c r="AA1831">
        <v>0</v>
      </c>
      <c r="AB1831">
        <v>0</v>
      </c>
      <c r="AC1831">
        <v>0</v>
      </c>
      <c r="AD1831">
        <v>0</v>
      </c>
      <c r="AE1831">
        <v>0</v>
      </c>
      <c r="AF1831">
        <v>0</v>
      </c>
      <c r="AG1831">
        <v>1</v>
      </c>
      <c r="AH1831">
        <v>9.4311542809009552E-2</v>
      </c>
      <c r="AJ1831">
        <v>0</v>
      </c>
      <c r="AK1831" t="s">
        <v>54</v>
      </c>
      <c r="AL1831" t="s">
        <v>54</v>
      </c>
      <c r="AQ1831" t="s">
        <v>54</v>
      </c>
      <c r="AT1831" t="s">
        <v>350</v>
      </c>
      <c r="AU1831" s="148">
        <v>42767</v>
      </c>
      <c r="AW1831" t="s">
        <v>53</v>
      </c>
      <c r="AZ1831" t="s">
        <v>54</v>
      </c>
      <c r="BA1831" t="s">
        <v>8535</v>
      </c>
    </row>
    <row r="1832" spans="1:53" x14ac:dyDescent="0.25">
      <c r="A1832">
        <v>1827</v>
      </c>
      <c r="B1832" t="s">
        <v>8880</v>
      </c>
      <c r="C1832" t="s">
        <v>8881</v>
      </c>
      <c r="D1832" t="s">
        <v>8882</v>
      </c>
      <c r="E1832">
        <v>11</v>
      </c>
      <c r="F1832" t="s">
        <v>8529</v>
      </c>
      <c r="G1832" t="s">
        <v>348</v>
      </c>
      <c r="H1832" t="s">
        <v>8540</v>
      </c>
      <c r="K1832" t="s">
        <v>8883</v>
      </c>
      <c r="L1832" t="s">
        <v>8550</v>
      </c>
      <c r="M1832">
        <v>8.3836903795599937E-3</v>
      </c>
      <c r="N1832" t="s">
        <v>54</v>
      </c>
      <c r="O1832" t="s">
        <v>53</v>
      </c>
      <c r="P1832" t="s">
        <v>53</v>
      </c>
      <c r="Q1832" t="s">
        <v>53</v>
      </c>
      <c r="R1832" t="s">
        <v>53</v>
      </c>
      <c r="S1832" t="s">
        <v>8873</v>
      </c>
      <c r="T1832" t="s">
        <v>8879</v>
      </c>
      <c r="U1832" t="s">
        <v>53</v>
      </c>
      <c r="V1832" t="s">
        <v>51</v>
      </c>
      <c r="W1832">
        <v>100000</v>
      </c>
      <c r="X1832" t="s">
        <v>53</v>
      </c>
      <c r="AA1832">
        <v>4</v>
      </c>
      <c r="AB1832">
        <v>4</v>
      </c>
      <c r="AC1832">
        <v>1</v>
      </c>
      <c r="AD1832">
        <v>12</v>
      </c>
      <c r="AE1832">
        <v>12</v>
      </c>
      <c r="AF1832">
        <v>0</v>
      </c>
      <c r="AG1832">
        <v>1</v>
      </c>
      <c r="AH1832">
        <v>0.19637605547904971</v>
      </c>
      <c r="AJ1832">
        <v>0.707386314868927</v>
      </c>
      <c r="AK1832" t="s">
        <v>54</v>
      </c>
      <c r="AL1832" t="s">
        <v>54</v>
      </c>
      <c r="AQ1832" t="s">
        <v>54</v>
      </c>
      <c r="AT1832" t="s">
        <v>350</v>
      </c>
      <c r="AU1832" s="148">
        <v>42767</v>
      </c>
      <c r="AW1832" t="s">
        <v>8390</v>
      </c>
      <c r="AZ1832" t="s">
        <v>54</v>
      </c>
      <c r="BA1832" t="s">
        <v>8535</v>
      </c>
    </row>
    <row r="1833" spans="1:53" x14ac:dyDescent="0.25">
      <c r="A1833">
        <v>1828</v>
      </c>
      <c r="B1833" t="s">
        <v>8884</v>
      </c>
      <c r="C1833" t="s">
        <v>8885</v>
      </c>
      <c r="D1833" t="s">
        <v>8886</v>
      </c>
      <c r="E1833">
        <v>11</v>
      </c>
      <c r="F1833" t="s">
        <v>8529</v>
      </c>
      <c r="G1833" t="s">
        <v>348</v>
      </c>
      <c r="H1833" t="s">
        <v>8540</v>
      </c>
      <c r="K1833" t="s">
        <v>8883</v>
      </c>
      <c r="L1833" t="s">
        <v>8550</v>
      </c>
      <c r="M1833">
        <v>5.0686202012002468E-3</v>
      </c>
      <c r="N1833" t="s">
        <v>54</v>
      </c>
      <c r="O1833" t="s">
        <v>53</v>
      </c>
      <c r="P1833" t="s">
        <v>53</v>
      </c>
      <c r="Q1833" t="s">
        <v>53</v>
      </c>
      <c r="R1833" t="s">
        <v>53</v>
      </c>
      <c r="S1833" t="s">
        <v>8873</v>
      </c>
      <c r="T1833" t="s">
        <v>8887</v>
      </c>
      <c r="U1833" t="s">
        <v>53</v>
      </c>
      <c r="V1833" t="s">
        <v>51</v>
      </c>
      <c r="W1833">
        <v>100000</v>
      </c>
      <c r="X1833" t="s">
        <v>53</v>
      </c>
      <c r="AA1833">
        <v>0</v>
      </c>
      <c r="AB1833">
        <v>0</v>
      </c>
      <c r="AC1833">
        <v>0</v>
      </c>
      <c r="AD1833">
        <v>0</v>
      </c>
      <c r="AE1833">
        <v>0</v>
      </c>
      <c r="AF1833">
        <v>0</v>
      </c>
      <c r="AG1833">
        <v>0</v>
      </c>
      <c r="AH1833">
        <v>0</v>
      </c>
      <c r="AJ1833">
        <v>0.63248997926712036</v>
      </c>
      <c r="AK1833" t="s">
        <v>54</v>
      </c>
      <c r="AL1833" t="s">
        <v>54</v>
      </c>
      <c r="AQ1833" t="s">
        <v>54</v>
      </c>
      <c r="AT1833" t="s">
        <v>350</v>
      </c>
      <c r="AU1833" s="148">
        <v>42767</v>
      </c>
      <c r="AW1833" t="s">
        <v>53</v>
      </c>
      <c r="AZ1833" t="s">
        <v>54</v>
      </c>
      <c r="BA1833" t="s">
        <v>8535</v>
      </c>
    </row>
    <row r="1834" spans="1:53" x14ac:dyDescent="0.25">
      <c r="A1834">
        <v>1829</v>
      </c>
      <c r="B1834" t="s">
        <v>8888</v>
      </c>
      <c r="C1834" t="s">
        <v>8889</v>
      </c>
      <c r="D1834" t="s">
        <v>8890</v>
      </c>
      <c r="E1834">
        <v>11</v>
      </c>
      <c r="F1834" t="s">
        <v>8529</v>
      </c>
      <c r="G1834" t="s">
        <v>348</v>
      </c>
      <c r="H1834" t="s">
        <v>8540</v>
      </c>
      <c r="K1834" t="s">
        <v>8883</v>
      </c>
      <c r="L1834" t="s">
        <v>8550</v>
      </c>
      <c r="M1834">
        <v>2.3853399325162168E-3</v>
      </c>
      <c r="N1834" t="s">
        <v>54</v>
      </c>
      <c r="O1834" t="s">
        <v>53</v>
      </c>
      <c r="P1834" t="s">
        <v>53</v>
      </c>
      <c r="Q1834" t="s">
        <v>53</v>
      </c>
      <c r="R1834" t="s">
        <v>53</v>
      </c>
      <c r="S1834" t="s">
        <v>8873</v>
      </c>
      <c r="T1834" t="s">
        <v>8879</v>
      </c>
      <c r="U1834" t="s">
        <v>53</v>
      </c>
      <c r="V1834" t="s">
        <v>51</v>
      </c>
      <c r="W1834">
        <v>100000</v>
      </c>
      <c r="X1834" t="s">
        <v>53</v>
      </c>
      <c r="AA1834">
        <v>0</v>
      </c>
      <c r="AB1834">
        <v>0</v>
      </c>
      <c r="AC1834">
        <v>0</v>
      </c>
      <c r="AD1834">
        <v>0</v>
      </c>
      <c r="AE1834">
        <v>0</v>
      </c>
      <c r="AF1834">
        <v>0</v>
      </c>
      <c r="AG1834">
        <v>1</v>
      </c>
      <c r="AH1834">
        <v>7.3555409908294678E-2</v>
      </c>
      <c r="AJ1834">
        <v>0</v>
      </c>
      <c r="AK1834" t="s">
        <v>54</v>
      </c>
      <c r="AL1834" t="s">
        <v>54</v>
      </c>
      <c r="AQ1834" t="s">
        <v>54</v>
      </c>
      <c r="AT1834" t="s">
        <v>350</v>
      </c>
      <c r="AU1834" s="148">
        <v>42767</v>
      </c>
      <c r="AW1834" t="s">
        <v>53</v>
      </c>
      <c r="AZ1834" t="s">
        <v>54</v>
      </c>
      <c r="BA1834" t="s">
        <v>8535</v>
      </c>
    </row>
    <row r="1835" spans="1:53" x14ac:dyDescent="0.25">
      <c r="A1835">
        <v>1830</v>
      </c>
      <c r="B1835" t="s">
        <v>8891</v>
      </c>
      <c r="C1835" t="s">
        <v>8892</v>
      </c>
      <c r="D1835" t="s">
        <v>8893</v>
      </c>
      <c r="E1835">
        <v>11</v>
      </c>
      <c r="F1835" t="s">
        <v>8529</v>
      </c>
      <c r="G1835" t="s">
        <v>348</v>
      </c>
      <c r="H1835" t="s">
        <v>8540</v>
      </c>
      <c r="K1835" t="s">
        <v>8883</v>
      </c>
      <c r="L1835" t="s">
        <v>8550</v>
      </c>
      <c r="M1835">
        <v>3.0041340738534931E-2</v>
      </c>
      <c r="N1835" t="s">
        <v>54</v>
      </c>
      <c r="O1835" t="s">
        <v>53</v>
      </c>
      <c r="P1835" t="s">
        <v>53</v>
      </c>
      <c r="Q1835" t="s">
        <v>53</v>
      </c>
      <c r="R1835" t="s">
        <v>53</v>
      </c>
      <c r="S1835" t="s">
        <v>8873</v>
      </c>
      <c r="T1835" t="s">
        <v>8879</v>
      </c>
      <c r="U1835" t="s">
        <v>53</v>
      </c>
      <c r="V1835" t="s">
        <v>51</v>
      </c>
      <c r="W1835">
        <v>100000</v>
      </c>
      <c r="X1835" t="s">
        <v>53</v>
      </c>
      <c r="AA1835">
        <v>4</v>
      </c>
      <c r="AB1835">
        <v>3</v>
      </c>
      <c r="AC1835">
        <v>1</v>
      </c>
      <c r="AD1835">
        <v>11</v>
      </c>
      <c r="AE1835">
        <v>11</v>
      </c>
      <c r="AF1835">
        <v>0</v>
      </c>
      <c r="AG1835">
        <v>0</v>
      </c>
      <c r="AH1835">
        <v>0.5214734673500061</v>
      </c>
      <c r="AJ1835">
        <v>0</v>
      </c>
      <c r="AK1835" t="s">
        <v>54</v>
      </c>
      <c r="AL1835" t="s">
        <v>54</v>
      </c>
      <c r="AQ1835" t="s">
        <v>54</v>
      </c>
      <c r="AT1835" t="s">
        <v>350</v>
      </c>
      <c r="AU1835" s="148">
        <v>42767</v>
      </c>
      <c r="AW1835" t="s">
        <v>8390</v>
      </c>
      <c r="AZ1835" t="s">
        <v>54</v>
      </c>
      <c r="BA1835" t="s">
        <v>8535</v>
      </c>
    </row>
    <row r="1836" spans="1:53" x14ac:dyDescent="0.25">
      <c r="A1836">
        <v>1831</v>
      </c>
      <c r="B1836" t="s">
        <v>8894</v>
      </c>
      <c r="C1836" t="s">
        <v>8895</v>
      </c>
      <c r="D1836" t="s">
        <v>8896</v>
      </c>
      <c r="E1836">
        <v>11</v>
      </c>
      <c r="F1836" t="s">
        <v>8529</v>
      </c>
      <c r="G1836" t="s">
        <v>348</v>
      </c>
      <c r="H1836" t="s">
        <v>8540</v>
      </c>
      <c r="K1836" t="s">
        <v>8883</v>
      </c>
      <c r="L1836" t="s">
        <v>8550</v>
      </c>
      <c r="M1836">
        <v>2.2655499633401628E-3</v>
      </c>
      <c r="N1836" t="s">
        <v>54</v>
      </c>
      <c r="O1836" t="s">
        <v>53</v>
      </c>
      <c r="P1836" t="s">
        <v>53</v>
      </c>
      <c r="Q1836" t="s">
        <v>53</v>
      </c>
      <c r="R1836" t="s">
        <v>53</v>
      </c>
      <c r="S1836" t="s">
        <v>8873</v>
      </c>
      <c r="T1836" t="s">
        <v>8879</v>
      </c>
      <c r="U1836" t="s">
        <v>53</v>
      </c>
      <c r="V1836" t="s">
        <v>51</v>
      </c>
      <c r="W1836">
        <v>100000</v>
      </c>
      <c r="X1836" t="s">
        <v>53</v>
      </c>
      <c r="AA1836">
        <v>3</v>
      </c>
      <c r="AB1836">
        <v>3</v>
      </c>
      <c r="AC1836">
        <v>2</v>
      </c>
      <c r="AD1836">
        <v>10</v>
      </c>
      <c r="AE1836">
        <v>10</v>
      </c>
      <c r="AF1836">
        <v>0</v>
      </c>
      <c r="AG1836">
        <v>1</v>
      </c>
      <c r="AH1836">
        <v>6.6845312714576721E-2</v>
      </c>
      <c r="AJ1836">
        <v>0</v>
      </c>
      <c r="AK1836" t="s">
        <v>54</v>
      </c>
      <c r="AL1836" t="s">
        <v>54</v>
      </c>
      <c r="AQ1836" t="s">
        <v>54</v>
      </c>
      <c r="AT1836" t="s">
        <v>350</v>
      </c>
      <c r="AU1836" s="148">
        <v>42767</v>
      </c>
      <c r="AW1836" t="s">
        <v>53</v>
      </c>
      <c r="AZ1836" t="s">
        <v>54</v>
      </c>
      <c r="BA1836" t="s">
        <v>8535</v>
      </c>
    </row>
    <row r="1837" spans="1:53" x14ac:dyDescent="0.25">
      <c r="A1837">
        <v>1832</v>
      </c>
      <c r="B1837" t="s">
        <v>8897</v>
      </c>
      <c r="C1837" t="s">
        <v>8898</v>
      </c>
      <c r="D1837" t="s">
        <v>8899</v>
      </c>
      <c r="E1837">
        <v>11</v>
      </c>
      <c r="F1837" t="s">
        <v>8529</v>
      </c>
      <c r="G1837" t="s">
        <v>348</v>
      </c>
      <c r="H1837" t="s">
        <v>8540</v>
      </c>
      <c r="K1837" t="s">
        <v>8878</v>
      </c>
      <c r="L1837" t="s">
        <v>8550</v>
      </c>
      <c r="M1837">
        <v>1.421299995854497E-3</v>
      </c>
      <c r="N1837" t="s">
        <v>54</v>
      </c>
      <c r="O1837" t="s">
        <v>53</v>
      </c>
      <c r="P1837" t="s">
        <v>53</v>
      </c>
      <c r="Q1837" t="s">
        <v>53</v>
      </c>
      <c r="R1837" t="s">
        <v>53</v>
      </c>
      <c r="S1837" t="s">
        <v>8873</v>
      </c>
      <c r="T1837" t="s">
        <v>8879</v>
      </c>
      <c r="U1837" t="s">
        <v>53</v>
      </c>
      <c r="V1837" t="s">
        <v>51</v>
      </c>
      <c r="W1837">
        <v>100000</v>
      </c>
      <c r="X1837" t="s">
        <v>53</v>
      </c>
      <c r="AA1837">
        <v>0</v>
      </c>
      <c r="AB1837">
        <v>0</v>
      </c>
      <c r="AC1837">
        <v>0</v>
      </c>
      <c r="AD1837">
        <v>0</v>
      </c>
      <c r="AE1837">
        <v>0</v>
      </c>
      <c r="AF1837">
        <v>0</v>
      </c>
      <c r="AG1837">
        <v>0</v>
      </c>
      <c r="AH1837">
        <v>8.8541127741336823E-2</v>
      </c>
      <c r="AJ1837">
        <v>0</v>
      </c>
      <c r="AK1837" t="s">
        <v>54</v>
      </c>
      <c r="AL1837" t="s">
        <v>54</v>
      </c>
      <c r="AQ1837" t="s">
        <v>54</v>
      </c>
      <c r="AT1837" t="s">
        <v>350</v>
      </c>
      <c r="AU1837" s="148">
        <v>42767</v>
      </c>
      <c r="AW1837" t="s">
        <v>53</v>
      </c>
      <c r="AZ1837" t="s">
        <v>54</v>
      </c>
      <c r="BA1837" t="s">
        <v>8535</v>
      </c>
    </row>
    <row r="1838" spans="1:53" x14ac:dyDescent="0.25">
      <c r="A1838">
        <v>1833</v>
      </c>
      <c r="B1838" t="s">
        <v>8900</v>
      </c>
      <c r="C1838" t="s">
        <v>8901</v>
      </c>
      <c r="D1838" t="s">
        <v>8902</v>
      </c>
      <c r="E1838">
        <v>11</v>
      </c>
      <c r="F1838" t="s">
        <v>8529</v>
      </c>
      <c r="G1838" t="s">
        <v>348</v>
      </c>
      <c r="H1838" t="s">
        <v>8540</v>
      </c>
      <c r="K1838" t="s">
        <v>8878</v>
      </c>
      <c r="L1838" t="s">
        <v>8550</v>
      </c>
      <c r="M1838">
        <v>5.1866602152585983E-3</v>
      </c>
      <c r="N1838" t="s">
        <v>53</v>
      </c>
      <c r="O1838" t="s">
        <v>53</v>
      </c>
      <c r="P1838" t="s">
        <v>53</v>
      </c>
      <c r="Q1838" t="s">
        <v>53</v>
      </c>
      <c r="R1838" t="s">
        <v>53</v>
      </c>
      <c r="S1838" t="s">
        <v>8873</v>
      </c>
      <c r="T1838" t="s">
        <v>8879</v>
      </c>
      <c r="U1838" t="s">
        <v>53</v>
      </c>
      <c r="V1838" t="s">
        <v>51</v>
      </c>
      <c r="W1838">
        <v>100000</v>
      </c>
      <c r="X1838" t="s">
        <v>53</v>
      </c>
      <c r="AA1838">
        <v>0</v>
      </c>
      <c r="AB1838">
        <v>0</v>
      </c>
      <c r="AC1838">
        <v>0</v>
      </c>
      <c r="AD1838">
        <v>0</v>
      </c>
      <c r="AE1838">
        <v>0</v>
      </c>
      <c r="AF1838">
        <v>0</v>
      </c>
      <c r="AG1838">
        <v>0</v>
      </c>
      <c r="AH1838">
        <v>0</v>
      </c>
      <c r="AJ1838">
        <v>0</v>
      </c>
      <c r="AK1838" t="s">
        <v>54</v>
      </c>
      <c r="AL1838" t="s">
        <v>54</v>
      </c>
      <c r="AQ1838" t="s">
        <v>54</v>
      </c>
      <c r="AT1838" t="s">
        <v>350</v>
      </c>
      <c r="AU1838" s="148">
        <v>42767</v>
      </c>
      <c r="AW1838" t="s">
        <v>53</v>
      </c>
      <c r="AZ1838" t="s">
        <v>54</v>
      </c>
      <c r="BA1838" t="s">
        <v>8535</v>
      </c>
    </row>
    <row r="1839" spans="1:53" x14ac:dyDescent="0.25">
      <c r="A1839">
        <v>1834</v>
      </c>
      <c r="B1839" t="s">
        <v>8903</v>
      </c>
      <c r="C1839" t="s">
        <v>8904</v>
      </c>
      <c r="D1839" t="s">
        <v>8905</v>
      </c>
      <c r="E1839">
        <v>11</v>
      </c>
      <c r="F1839" t="s">
        <v>8529</v>
      </c>
      <c r="G1839" t="s">
        <v>348</v>
      </c>
      <c r="H1839" t="s">
        <v>8540</v>
      </c>
      <c r="K1839" t="s">
        <v>8878</v>
      </c>
      <c r="L1839" t="s">
        <v>8550</v>
      </c>
      <c r="M1839">
        <v>3.3027928322553628E-2</v>
      </c>
      <c r="N1839" t="s">
        <v>54</v>
      </c>
      <c r="O1839" t="s">
        <v>53</v>
      </c>
      <c r="P1839" t="s">
        <v>53</v>
      </c>
      <c r="Q1839" t="s">
        <v>53</v>
      </c>
      <c r="R1839" t="s">
        <v>53</v>
      </c>
      <c r="S1839" t="s">
        <v>8873</v>
      </c>
      <c r="T1839" t="s">
        <v>8879</v>
      </c>
      <c r="U1839" t="s">
        <v>53</v>
      </c>
      <c r="V1839" t="s">
        <v>51</v>
      </c>
      <c r="W1839">
        <v>100000</v>
      </c>
      <c r="X1839" t="s">
        <v>53</v>
      </c>
      <c r="AA1839">
        <v>9</v>
      </c>
      <c r="AB1839">
        <v>9</v>
      </c>
      <c r="AC1839">
        <v>0</v>
      </c>
      <c r="AD1839">
        <v>16</v>
      </c>
      <c r="AE1839">
        <v>16</v>
      </c>
      <c r="AF1839">
        <v>0</v>
      </c>
      <c r="AG1839">
        <v>0</v>
      </c>
      <c r="AH1839">
        <v>0.19731563329696661</v>
      </c>
      <c r="AJ1839">
        <v>0</v>
      </c>
      <c r="AK1839" t="s">
        <v>54</v>
      </c>
      <c r="AL1839" t="s">
        <v>54</v>
      </c>
      <c r="AQ1839" t="s">
        <v>54</v>
      </c>
      <c r="AT1839" t="s">
        <v>350</v>
      </c>
      <c r="AU1839" s="148">
        <v>42767</v>
      </c>
      <c r="AW1839" t="s">
        <v>8390</v>
      </c>
      <c r="AZ1839" t="s">
        <v>54</v>
      </c>
      <c r="BA1839" t="s">
        <v>8535</v>
      </c>
    </row>
    <row r="1840" spans="1:53" x14ac:dyDescent="0.25">
      <c r="A1840">
        <v>1835</v>
      </c>
      <c r="B1840" t="s">
        <v>8906</v>
      </c>
      <c r="C1840" t="s">
        <v>8907</v>
      </c>
      <c r="D1840" t="s">
        <v>8908</v>
      </c>
      <c r="E1840">
        <v>11</v>
      </c>
      <c r="F1840" t="s">
        <v>8529</v>
      </c>
      <c r="G1840" t="s">
        <v>348</v>
      </c>
      <c r="H1840" t="s">
        <v>8540</v>
      </c>
      <c r="K1840" t="s">
        <v>8883</v>
      </c>
      <c r="L1840" t="s">
        <v>8550</v>
      </c>
      <c r="M1840">
        <v>1.7455699853599069E-3</v>
      </c>
      <c r="N1840" t="s">
        <v>54</v>
      </c>
      <c r="O1840" t="s">
        <v>53</v>
      </c>
      <c r="P1840" t="s">
        <v>53</v>
      </c>
      <c r="Q1840" t="s">
        <v>53</v>
      </c>
      <c r="R1840" t="s">
        <v>53</v>
      </c>
      <c r="S1840" t="s">
        <v>8873</v>
      </c>
      <c r="T1840" t="s">
        <v>8887</v>
      </c>
      <c r="U1840" t="s">
        <v>53</v>
      </c>
      <c r="V1840" t="s">
        <v>51</v>
      </c>
      <c r="W1840">
        <v>100000</v>
      </c>
      <c r="X1840" t="s">
        <v>53</v>
      </c>
      <c r="AA1840">
        <v>0</v>
      </c>
      <c r="AB1840">
        <v>0</v>
      </c>
      <c r="AC1840">
        <v>0</v>
      </c>
      <c r="AD1840">
        <v>0</v>
      </c>
      <c r="AE1840">
        <v>0</v>
      </c>
      <c r="AF1840">
        <v>0</v>
      </c>
      <c r="AG1840">
        <v>1</v>
      </c>
      <c r="AH1840">
        <v>5.7553950697183609E-2</v>
      </c>
      <c r="AJ1840">
        <v>0.18754808604717249</v>
      </c>
      <c r="AK1840" t="s">
        <v>54</v>
      </c>
      <c r="AL1840" t="s">
        <v>54</v>
      </c>
      <c r="AQ1840" t="s">
        <v>54</v>
      </c>
      <c r="AT1840" t="s">
        <v>350</v>
      </c>
      <c r="AU1840" s="148">
        <v>42767</v>
      </c>
      <c r="AW1840" t="s">
        <v>53</v>
      </c>
      <c r="AZ1840" t="s">
        <v>54</v>
      </c>
      <c r="BA1840" t="s">
        <v>8535</v>
      </c>
    </row>
    <row r="1841" spans="1:53" x14ac:dyDescent="0.25">
      <c r="A1841">
        <v>1836</v>
      </c>
      <c r="B1841" t="s">
        <v>8909</v>
      </c>
      <c r="C1841" t="s">
        <v>8910</v>
      </c>
      <c r="D1841" t="s">
        <v>8911</v>
      </c>
      <c r="E1841">
        <v>11</v>
      </c>
      <c r="F1841" t="s">
        <v>8529</v>
      </c>
      <c r="G1841" t="s">
        <v>348</v>
      </c>
      <c r="H1841" t="s">
        <v>8540</v>
      </c>
      <c r="K1841" t="s">
        <v>8878</v>
      </c>
      <c r="L1841" t="s">
        <v>8550</v>
      </c>
      <c r="M1841">
        <v>1.862160046584904E-3</v>
      </c>
      <c r="N1841" t="s">
        <v>54</v>
      </c>
      <c r="O1841" t="s">
        <v>53</v>
      </c>
      <c r="P1841" t="s">
        <v>53</v>
      </c>
      <c r="Q1841" t="s">
        <v>53</v>
      </c>
      <c r="R1841" t="s">
        <v>53</v>
      </c>
      <c r="S1841" t="s">
        <v>8873</v>
      </c>
      <c r="T1841" t="s">
        <v>8887</v>
      </c>
      <c r="U1841" t="s">
        <v>53</v>
      </c>
      <c r="V1841" t="s">
        <v>51</v>
      </c>
      <c r="W1841">
        <v>100000</v>
      </c>
      <c r="X1841" t="s">
        <v>53</v>
      </c>
      <c r="AA1841">
        <v>0</v>
      </c>
      <c r="AB1841">
        <v>0</v>
      </c>
      <c r="AC1841">
        <v>0</v>
      </c>
      <c r="AD1841">
        <v>0</v>
      </c>
      <c r="AE1841">
        <v>0</v>
      </c>
      <c r="AF1841">
        <v>0</v>
      </c>
      <c r="AG1841">
        <v>0</v>
      </c>
      <c r="AH1841">
        <v>4.4724069535732269E-2</v>
      </c>
      <c r="AJ1841">
        <v>0</v>
      </c>
      <c r="AK1841" t="s">
        <v>54</v>
      </c>
      <c r="AL1841" t="s">
        <v>54</v>
      </c>
      <c r="AQ1841" t="s">
        <v>54</v>
      </c>
      <c r="AT1841" t="s">
        <v>350</v>
      </c>
      <c r="AU1841" s="148">
        <v>42767</v>
      </c>
      <c r="AW1841" t="s">
        <v>53</v>
      </c>
      <c r="AZ1841" t="s">
        <v>54</v>
      </c>
      <c r="BA1841" t="s">
        <v>8535</v>
      </c>
    </row>
    <row r="1842" spans="1:53" x14ac:dyDescent="0.25">
      <c r="A1842">
        <v>1837</v>
      </c>
      <c r="B1842" t="s">
        <v>8912</v>
      </c>
      <c r="C1842" t="s">
        <v>8913</v>
      </c>
      <c r="D1842" t="s">
        <v>8914</v>
      </c>
      <c r="E1842">
        <v>11</v>
      </c>
      <c r="F1842" t="s">
        <v>8529</v>
      </c>
      <c r="G1842" t="s">
        <v>348</v>
      </c>
      <c r="H1842" t="s">
        <v>8540</v>
      </c>
      <c r="K1842" t="s">
        <v>8883</v>
      </c>
      <c r="L1842" t="s">
        <v>8550</v>
      </c>
      <c r="M1842">
        <v>2.3963700514286761E-3</v>
      </c>
      <c r="N1842" t="s">
        <v>54</v>
      </c>
      <c r="O1842" t="s">
        <v>53</v>
      </c>
      <c r="P1842" t="s">
        <v>53</v>
      </c>
      <c r="Q1842" t="s">
        <v>53</v>
      </c>
      <c r="R1842" t="s">
        <v>53</v>
      </c>
      <c r="S1842" t="s">
        <v>8873</v>
      </c>
      <c r="T1842" t="s">
        <v>8879</v>
      </c>
      <c r="U1842" t="s">
        <v>53</v>
      </c>
      <c r="V1842" t="s">
        <v>51</v>
      </c>
      <c r="W1842">
        <v>100000</v>
      </c>
      <c r="X1842" t="s">
        <v>53</v>
      </c>
      <c r="AA1842">
        <v>0</v>
      </c>
      <c r="AB1842">
        <v>0</v>
      </c>
      <c r="AC1842">
        <v>0</v>
      </c>
      <c r="AD1842">
        <v>0</v>
      </c>
      <c r="AE1842">
        <v>0</v>
      </c>
      <c r="AF1842">
        <v>0</v>
      </c>
      <c r="AG1842">
        <v>1</v>
      </c>
      <c r="AH1842">
        <v>7.2975568473339081E-2</v>
      </c>
      <c r="AJ1842">
        <v>0</v>
      </c>
      <c r="AK1842" t="s">
        <v>54</v>
      </c>
      <c r="AL1842" t="s">
        <v>54</v>
      </c>
      <c r="AQ1842" t="s">
        <v>54</v>
      </c>
      <c r="AT1842" t="s">
        <v>350</v>
      </c>
      <c r="AU1842" s="148">
        <v>42767</v>
      </c>
      <c r="AW1842" t="s">
        <v>53</v>
      </c>
      <c r="AZ1842" t="s">
        <v>54</v>
      </c>
      <c r="BA1842" t="s">
        <v>8535</v>
      </c>
    </row>
    <row r="1843" spans="1:53" x14ac:dyDescent="0.25">
      <c r="A1843">
        <v>1838</v>
      </c>
      <c r="B1843" t="s">
        <v>8915</v>
      </c>
      <c r="C1843" t="s">
        <v>8916</v>
      </c>
      <c r="D1843" t="s">
        <v>8917</v>
      </c>
      <c r="E1843">
        <v>11</v>
      </c>
      <c r="F1843" t="s">
        <v>8529</v>
      </c>
      <c r="G1843" t="s">
        <v>348</v>
      </c>
      <c r="H1843" t="s">
        <v>8540</v>
      </c>
      <c r="K1843" t="s">
        <v>8878</v>
      </c>
      <c r="L1843" t="s">
        <v>8532</v>
      </c>
      <c r="M1843">
        <v>6.5665192902088165E-2</v>
      </c>
      <c r="N1843" t="s">
        <v>54</v>
      </c>
      <c r="O1843" t="s">
        <v>53</v>
      </c>
      <c r="P1843" t="s">
        <v>53</v>
      </c>
      <c r="Q1843" t="s">
        <v>53</v>
      </c>
      <c r="R1843" t="s">
        <v>53</v>
      </c>
      <c r="S1843" t="s">
        <v>8873</v>
      </c>
      <c r="T1843" t="s">
        <v>8879</v>
      </c>
      <c r="U1843" t="s">
        <v>53</v>
      </c>
      <c r="V1843" t="s">
        <v>51</v>
      </c>
      <c r="W1843">
        <v>100000</v>
      </c>
      <c r="X1843" t="s">
        <v>53</v>
      </c>
      <c r="AA1843">
        <v>23</v>
      </c>
      <c r="AB1843">
        <v>16</v>
      </c>
      <c r="AC1843">
        <v>8</v>
      </c>
      <c r="AD1843">
        <v>41</v>
      </c>
      <c r="AE1843">
        <v>41</v>
      </c>
      <c r="AF1843">
        <v>0</v>
      </c>
      <c r="AG1843">
        <v>0</v>
      </c>
      <c r="AH1843">
        <v>1.50711989402771</v>
      </c>
      <c r="AJ1843">
        <v>3.7756583690643311</v>
      </c>
      <c r="AK1843" t="s">
        <v>54</v>
      </c>
      <c r="AL1843" t="s">
        <v>54</v>
      </c>
      <c r="AQ1843" t="s">
        <v>54</v>
      </c>
      <c r="AT1843" t="s">
        <v>350</v>
      </c>
      <c r="AU1843" s="148">
        <v>42767</v>
      </c>
      <c r="AW1843" t="s">
        <v>8390</v>
      </c>
      <c r="AZ1843" t="s">
        <v>54</v>
      </c>
      <c r="BA1843" t="s">
        <v>8535</v>
      </c>
    </row>
    <row r="1844" spans="1:53" x14ac:dyDescent="0.25">
      <c r="A1844">
        <v>1839</v>
      </c>
      <c r="B1844" t="s">
        <v>8918</v>
      </c>
      <c r="C1844" t="s">
        <v>8919</v>
      </c>
      <c r="D1844" t="s">
        <v>8920</v>
      </c>
      <c r="E1844">
        <v>11</v>
      </c>
      <c r="F1844" t="s">
        <v>8529</v>
      </c>
      <c r="G1844" t="s">
        <v>348</v>
      </c>
      <c r="H1844" t="s">
        <v>8540</v>
      </c>
      <c r="K1844" t="s">
        <v>8883</v>
      </c>
      <c r="L1844" t="s">
        <v>8550</v>
      </c>
      <c r="M1844">
        <v>2.0250400993973021E-3</v>
      </c>
      <c r="N1844" t="s">
        <v>53</v>
      </c>
      <c r="O1844" t="s">
        <v>53</v>
      </c>
      <c r="P1844" t="s">
        <v>53</v>
      </c>
      <c r="Q1844" t="s">
        <v>53</v>
      </c>
      <c r="R1844" t="s">
        <v>53</v>
      </c>
      <c r="S1844" t="s">
        <v>8873</v>
      </c>
      <c r="T1844" t="s">
        <v>8887</v>
      </c>
      <c r="U1844" t="s">
        <v>53</v>
      </c>
      <c r="V1844" t="s">
        <v>51</v>
      </c>
      <c r="W1844">
        <v>100000</v>
      </c>
      <c r="X1844" t="s">
        <v>53</v>
      </c>
      <c r="AA1844">
        <v>0</v>
      </c>
      <c r="AB1844">
        <v>0</v>
      </c>
      <c r="AC1844">
        <v>0</v>
      </c>
      <c r="AD1844">
        <v>0</v>
      </c>
      <c r="AE1844">
        <v>0</v>
      </c>
      <c r="AF1844">
        <v>0</v>
      </c>
      <c r="AG1844">
        <v>0</v>
      </c>
      <c r="AH1844">
        <v>0</v>
      </c>
      <c r="AJ1844">
        <v>0</v>
      </c>
      <c r="AK1844" t="s">
        <v>54</v>
      </c>
      <c r="AL1844" t="s">
        <v>54</v>
      </c>
      <c r="AQ1844" t="s">
        <v>54</v>
      </c>
      <c r="AT1844" t="s">
        <v>350</v>
      </c>
      <c r="AU1844" s="148">
        <v>42767</v>
      </c>
      <c r="AW1844" t="s">
        <v>53</v>
      </c>
      <c r="AZ1844" t="s">
        <v>54</v>
      </c>
      <c r="BA1844" t="s">
        <v>8535</v>
      </c>
    </row>
    <row r="1845" spans="1:53" x14ac:dyDescent="0.25">
      <c r="A1845">
        <v>1840</v>
      </c>
      <c r="B1845" t="s">
        <v>8921</v>
      </c>
      <c r="C1845" t="s">
        <v>8922</v>
      </c>
      <c r="D1845" t="s">
        <v>8923</v>
      </c>
      <c r="E1845">
        <v>11</v>
      </c>
      <c r="F1845" t="s">
        <v>8529</v>
      </c>
      <c r="G1845" t="s">
        <v>348</v>
      </c>
      <c r="H1845" t="s">
        <v>8540</v>
      </c>
      <c r="K1845" t="s">
        <v>8883</v>
      </c>
      <c r="L1845" t="s">
        <v>8550</v>
      </c>
      <c r="M1845">
        <v>1.695079961791635E-3</v>
      </c>
      <c r="N1845" t="s">
        <v>53</v>
      </c>
      <c r="O1845" t="s">
        <v>53</v>
      </c>
      <c r="P1845" t="s">
        <v>53</v>
      </c>
      <c r="Q1845" t="s">
        <v>53</v>
      </c>
      <c r="R1845" t="s">
        <v>53</v>
      </c>
      <c r="S1845" t="s">
        <v>8873</v>
      </c>
      <c r="T1845" t="s">
        <v>8879</v>
      </c>
      <c r="U1845" t="s">
        <v>53</v>
      </c>
      <c r="V1845" t="s">
        <v>51</v>
      </c>
      <c r="W1845">
        <v>100000</v>
      </c>
      <c r="X1845" t="s">
        <v>53</v>
      </c>
      <c r="AA1845">
        <v>0</v>
      </c>
      <c r="AB1845">
        <v>0</v>
      </c>
      <c r="AC1845">
        <v>0</v>
      </c>
      <c r="AD1845">
        <v>0</v>
      </c>
      <c r="AE1845">
        <v>0</v>
      </c>
      <c r="AF1845">
        <v>0</v>
      </c>
      <c r="AG1845">
        <v>0</v>
      </c>
      <c r="AH1845">
        <v>0</v>
      </c>
      <c r="AJ1845">
        <v>0</v>
      </c>
      <c r="AK1845" t="s">
        <v>54</v>
      </c>
      <c r="AL1845" t="s">
        <v>54</v>
      </c>
      <c r="AQ1845" t="s">
        <v>54</v>
      </c>
      <c r="AT1845" t="s">
        <v>350</v>
      </c>
      <c r="AU1845" s="148">
        <v>42767</v>
      </c>
      <c r="AW1845" t="s">
        <v>53</v>
      </c>
      <c r="AZ1845" t="s">
        <v>54</v>
      </c>
      <c r="BA1845" t="s">
        <v>8535</v>
      </c>
    </row>
    <row r="1846" spans="1:53" x14ac:dyDescent="0.25">
      <c r="A1846">
        <v>1841</v>
      </c>
      <c r="B1846" t="s">
        <v>8924</v>
      </c>
      <c r="C1846" t="s">
        <v>8925</v>
      </c>
      <c r="D1846" t="s">
        <v>8926</v>
      </c>
      <c r="E1846">
        <v>11</v>
      </c>
      <c r="F1846" t="s">
        <v>8529</v>
      </c>
      <c r="G1846" t="s">
        <v>8575</v>
      </c>
      <c r="H1846" t="s">
        <v>8927</v>
      </c>
      <c r="K1846" t="s">
        <v>8928</v>
      </c>
      <c r="L1846" t="s">
        <v>8560</v>
      </c>
      <c r="M1846">
        <v>573.02740478515625</v>
      </c>
      <c r="N1846" t="s">
        <v>54</v>
      </c>
      <c r="O1846" t="s">
        <v>53</v>
      </c>
      <c r="P1846" t="s">
        <v>53</v>
      </c>
      <c r="Q1846" t="s">
        <v>53</v>
      </c>
      <c r="R1846" t="s">
        <v>53</v>
      </c>
      <c r="S1846" t="s">
        <v>8929</v>
      </c>
      <c r="T1846" t="s">
        <v>8930</v>
      </c>
      <c r="U1846" t="s">
        <v>53</v>
      </c>
      <c r="V1846" t="s">
        <v>162</v>
      </c>
      <c r="W1846">
        <v>50000</v>
      </c>
      <c r="X1846" t="s">
        <v>53</v>
      </c>
      <c r="AA1846">
        <v>3677</v>
      </c>
      <c r="AB1846">
        <v>2782</v>
      </c>
      <c r="AC1846">
        <v>6110</v>
      </c>
      <c r="AD1846">
        <v>9129</v>
      </c>
      <c r="AE1846">
        <v>9129</v>
      </c>
      <c r="AF1846">
        <v>6</v>
      </c>
      <c r="AG1846">
        <v>77</v>
      </c>
      <c r="AH1846">
        <v>92.6090087890625</v>
      </c>
      <c r="AJ1846">
        <v>9463.314453125</v>
      </c>
      <c r="AK1846" t="s">
        <v>53</v>
      </c>
      <c r="AL1846" t="s">
        <v>54</v>
      </c>
      <c r="AQ1846" t="s">
        <v>54</v>
      </c>
      <c r="AT1846" t="s">
        <v>8628</v>
      </c>
      <c r="AU1846" s="148">
        <v>43252</v>
      </c>
      <c r="AW1846" t="s">
        <v>8390</v>
      </c>
      <c r="AZ1846" t="s">
        <v>54</v>
      </c>
      <c r="BA1846" t="s">
        <v>8535</v>
      </c>
    </row>
    <row r="1847" spans="1:53" x14ac:dyDescent="0.25">
      <c r="A1847">
        <v>1842</v>
      </c>
      <c r="B1847" t="s">
        <v>8931</v>
      </c>
      <c r="C1847" t="s">
        <v>8932</v>
      </c>
      <c r="D1847" t="s">
        <v>8933</v>
      </c>
      <c r="E1847">
        <v>11</v>
      </c>
      <c r="F1847" t="s">
        <v>8529</v>
      </c>
      <c r="G1847" t="s">
        <v>8575</v>
      </c>
      <c r="H1847" t="s">
        <v>8927</v>
      </c>
      <c r="K1847" t="s">
        <v>8928</v>
      </c>
      <c r="L1847" t="s">
        <v>8550</v>
      </c>
      <c r="M1847">
        <v>573.02740478515625</v>
      </c>
      <c r="N1847" t="s">
        <v>54</v>
      </c>
      <c r="O1847" t="s">
        <v>53</v>
      </c>
      <c r="P1847" t="s">
        <v>53</v>
      </c>
      <c r="Q1847" t="s">
        <v>53</v>
      </c>
      <c r="R1847" t="s">
        <v>53</v>
      </c>
      <c r="S1847" t="s">
        <v>8929</v>
      </c>
      <c r="T1847" t="s">
        <v>8930</v>
      </c>
      <c r="U1847" t="s">
        <v>53</v>
      </c>
      <c r="V1847" t="s">
        <v>51</v>
      </c>
      <c r="W1847">
        <v>150000</v>
      </c>
      <c r="X1847" t="s">
        <v>53</v>
      </c>
      <c r="AA1847">
        <v>3677</v>
      </c>
      <c r="AB1847">
        <v>2782</v>
      </c>
      <c r="AC1847">
        <v>6110</v>
      </c>
      <c r="AD1847">
        <v>9129</v>
      </c>
      <c r="AE1847">
        <v>9129</v>
      </c>
      <c r="AF1847">
        <v>6</v>
      </c>
      <c r="AG1847">
        <v>77</v>
      </c>
      <c r="AH1847">
        <v>92.6090087890625</v>
      </c>
      <c r="AJ1847">
        <v>9463.314453125</v>
      </c>
      <c r="AK1847" t="s">
        <v>54</v>
      </c>
      <c r="AL1847" t="s">
        <v>54</v>
      </c>
      <c r="AQ1847" t="s">
        <v>54</v>
      </c>
      <c r="AT1847" t="s">
        <v>8628</v>
      </c>
      <c r="AU1847" s="148">
        <v>43252</v>
      </c>
      <c r="AW1847" t="s">
        <v>8390</v>
      </c>
      <c r="AZ1847" t="s">
        <v>54</v>
      </c>
      <c r="BA1847" t="s">
        <v>8535</v>
      </c>
    </row>
    <row r="1848" spans="1:53" x14ac:dyDescent="0.25">
      <c r="A1848">
        <v>1843</v>
      </c>
      <c r="B1848" t="s">
        <v>8934</v>
      </c>
      <c r="C1848" t="s">
        <v>8935</v>
      </c>
      <c r="D1848" t="s">
        <v>8936</v>
      </c>
      <c r="E1848">
        <v>11</v>
      </c>
      <c r="F1848" t="s">
        <v>8529</v>
      </c>
      <c r="G1848" t="s">
        <v>8575</v>
      </c>
      <c r="H1848" t="s">
        <v>8927</v>
      </c>
      <c r="K1848" t="s">
        <v>8928</v>
      </c>
      <c r="L1848" t="s">
        <v>8937</v>
      </c>
      <c r="M1848">
        <v>573.02740478515625</v>
      </c>
      <c r="N1848" t="s">
        <v>54</v>
      </c>
      <c r="O1848" t="s">
        <v>53</v>
      </c>
      <c r="P1848" t="s">
        <v>53</v>
      </c>
      <c r="Q1848" t="s">
        <v>53</v>
      </c>
      <c r="R1848" t="s">
        <v>53</v>
      </c>
      <c r="S1848" t="s">
        <v>8929</v>
      </c>
      <c r="T1848" t="s">
        <v>8930</v>
      </c>
      <c r="U1848" t="s">
        <v>53</v>
      </c>
      <c r="V1848" t="s">
        <v>51</v>
      </c>
      <c r="W1848">
        <v>357000</v>
      </c>
      <c r="X1848" t="s">
        <v>53</v>
      </c>
      <c r="AA1848">
        <v>3677</v>
      </c>
      <c r="AB1848">
        <v>2782</v>
      </c>
      <c r="AC1848">
        <v>6110</v>
      </c>
      <c r="AD1848">
        <v>9129</v>
      </c>
      <c r="AE1848">
        <v>9129</v>
      </c>
      <c r="AF1848">
        <v>6</v>
      </c>
      <c r="AG1848">
        <v>77</v>
      </c>
      <c r="AH1848">
        <v>92.6090087890625</v>
      </c>
      <c r="AJ1848">
        <v>9463.314453125</v>
      </c>
      <c r="AK1848" t="s">
        <v>54</v>
      </c>
      <c r="AL1848" t="s">
        <v>54</v>
      </c>
      <c r="AQ1848" t="s">
        <v>54</v>
      </c>
      <c r="AT1848" t="s">
        <v>8628</v>
      </c>
      <c r="AU1848" s="148">
        <v>43252</v>
      </c>
      <c r="AW1848" t="s">
        <v>8390</v>
      </c>
      <c r="AZ1848" t="s">
        <v>54</v>
      </c>
      <c r="BA1848" t="s">
        <v>8535</v>
      </c>
    </row>
    <row r="1849" spans="1:53" x14ac:dyDescent="0.25">
      <c r="A1849">
        <v>1844</v>
      </c>
      <c r="B1849" t="s">
        <v>8938</v>
      </c>
      <c r="C1849" t="s">
        <v>8939</v>
      </c>
      <c r="D1849" t="s">
        <v>8940</v>
      </c>
      <c r="E1849">
        <v>11</v>
      </c>
      <c r="F1849" t="s">
        <v>8529</v>
      </c>
      <c r="G1849" t="s">
        <v>8575</v>
      </c>
      <c r="H1849" t="s">
        <v>8927</v>
      </c>
      <c r="K1849" t="s">
        <v>8928</v>
      </c>
      <c r="L1849" t="s">
        <v>8532</v>
      </c>
      <c r="M1849">
        <v>573.02740478515625</v>
      </c>
      <c r="N1849" t="s">
        <v>54</v>
      </c>
      <c r="O1849" t="s">
        <v>53</v>
      </c>
      <c r="P1849" t="s">
        <v>53</v>
      </c>
      <c r="Q1849" t="s">
        <v>53</v>
      </c>
      <c r="R1849" t="s">
        <v>53</v>
      </c>
      <c r="S1849" t="s">
        <v>8929</v>
      </c>
      <c r="T1849" t="s">
        <v>8930</v>
      </c>
      <c r="U1849" t="s">
        <v>53</v>
      </c>
      <c r="V1849" t="s">
        <v>51</v>
      </c>
      <c r="W1849">
        <v>8000000</v>
      </c>
      <c r="X1849" t="s">
        <v>53</v>
      </c>
      <c r="AA1849">
        <v>3677</v>
      </c>
      <c r="AB1849">
        <v>2782</v>
      </c>
      <c r="AC1849">
        <v>6110</v>
      </c>
      <c r="AD1849">
        <v>9129</v>
      </c>
      <c r="AE1849">
        <v>9129</v>
      </c>
      <c r="AF1849">
        <v>6</v>
      </c>
      <c r="AG1849">
        <v>77</v>
      </c>
      <c r="AH1849">
        <v>92.6090087890625</v>
      </c>
      <c r="AJ1849">
        <v>9463.314453125</v>
      </c>
      <c r="AK1849" t="s">
        <v>54</v>
      </c>
      <c r="AL1849" t="s">
        <v>54</v>
      </c>
      <c r="AQ1849" t="s">
        <v>54</v>
      </c>
      <c r="AT1849" t="s">
        <v>8628</v>
      </c>
      <c r="AU1849" s="148">
        <v>43252</v>
      </c>
      <c r="AW1849" t="s">
        <v>8390</v>
      </c>
      <c r="AZ1849" t="s">
        <v>54</v>
      </c>
      <c r="BA1849" t="s">
        <v>8535</v>
      </c>
    </row>
    <row r="1850" spans="1:53" x14ac:dyDescent="0.25">
      <c r="A1850">
        <v>1845</v>
      </c>
      <c r="B1850" t="s">
        <v>8941</v>
      </c>
      <c r="C1850" t="s">
        <v>8942</v>
      </c>
      <c r="D1850" t="s">
        <v>8943</v>
      </c>
      <c r="E1850">
        <v>11</v>
      </c>
      <c r="F1850" t="s">
        <v>8529</v>
      </c>
      <c r="G1850" t="s">
        <v>8944</v>
      </c>
      <c r="H1850" t="s">
        <v>8945</v>
      </c>
      <c r="K1850" t="s">
        <v>8946</v>
      </c>
      <c r="L1850" t="s">
        <v>8532</v>
      </c>
      <c r="M1850">
        <v>6.5629839897155762</v>
      </c>
      <c r="N1850" t="s">
        <v>54</v>
      </c>
      <c r="O1850" t="s">
        <v>53</v>
      </c>
      <c r="P1850" t="s">
        <v>53</v>
      </c>
      <c r="Q1850" t="s">
        <v>53</v>
      </c>
      <c r="R1850" t="s">
        <v>53</v>
      </c>
      <c r="S1850" t="s">
        <v>8947</v>
      </c>
      <c r="T1850" t="s">
        <v>8948</v>
      </c>
      <c r="U1850" t="s">
        <v>53</v>
      </c>
      <c r="V1850" t="s">
        <v>138</v>
      </c>
      <c r="W1850">
        <v>150000</v>
      </c>
      <c r="X1850" t="s">
        <v>53</v>
      </c>
      <c r="AA1850">
        <v>1991</v>
      </c>
      <c r="AB1850">
        <v>1533</v>
      </c>
      <c r="AC1850">
        <v>2585</v>
      </c>
      <c r="AD1850">
        <v>3213</v>
      </c>
      <c r="AE1850">
        <v>3213</v>
      </c>
      <c r="AF1850">
        <v>10</v>
      </c>
      <c r="AG1850">
        <v>2</v>
      </c>
      <c r="AH1850">
        <v>35.163318634033203</v>
      </c>
      <c r="AJ1850">
        <v>116.23760986328119</v>
      </c>
      <c r="AK1850" t="s">
        <v>54</v>
      </c>
      <c r="AL1850" t="s">
        <v>54</v>
      </c>
      <c r="AQ1850" t="s">
        <v>54</v>
      </c>
      <c r="AT1850" t="s">
        <v>8949</v>
      </c>
      <c r="AU1850" s="148">
        <v>42644</v>
      </c>
      <c r="AW1850" t="s">
        <v>8390</v>
      </c>
      <c r="AZ1850" t="s">
        <v>54</v>
      </c>
      <c r="BA1850" t="s">
        <v>8535</v>
      </c>
    </row>
    <row r="1851" spans="1:53" x14ac:dyDescent="0.25">
      <c r="A1851">
        <v>1846</v>
      </c>
      <c r="B1851" t="s">
        <v>8950</v>
      </c>
      <c r="C1851" t="s">
        <v>8951</v>
      </c>
      <c r="D1851" t="s">
        <v>8952</v>
      </c>
      <c r="E1851">
        <v>11</v>
      </c>
      <c r="F1851" t="s">
        <v>8529</v>
      </c>
      <c r="G1851" t="s">
        <v>8944</v>
      </c>
      <c r="H1851" t="s">
        <v>8945</v>
      </c>
      <c r="K1851" t="s">
        <v>8946</v>
      </c>
      <c r="L1851" t="s">
        <v>8560</v>
      </c>
      <c r="M1851">
        <v>6.5629839897155762</v>
      </c>
      <c r="N1851" t="s">
        <v>54</v>
      </c>
      <c r="O1851" t="s">
        <v>53</v>
      </c>
      <c r="P1851" t="s">
        <v>53</v>
      </c>
      <c r="Q1851" t="s">
        <v>53</v>
      </c>
      <c r="R1851" t="s">
        <v>53</v>
      </c>
      <c r="S1851" t="s">
        <v>8947</v>
      </c>
      <c r="T1851" t="s">
        <v>8948</v>
      </c>
      <c r="U1851" t="s">
        <v>53</v>
      </c>
      <c r="V1851" t="s">
        <v>51</v>
      </c>
      <c r="W1851">
        <v>100000</v>
      </c>
      <c r="X1851" t="s">
        <v>53</v>
      </c>
      <c r="AA1851">
        <v>1991</v>
      </c>
      <c r="AB1851">
        <v>1533</v>
      </c>
      <c r="AC1851">
        <v>2585</v>
      </c>
      <c r="AD1851">
        <v>3213</v>
      </c>
      <c r="AE1851">
        <v>3213</v>
      </c>
      <c r="AF1851">
        <v>10</v>
      </c>
      <c r="AG1851">
        <v>2</v>
      </c>
      <c r="AH1851">
        <v>35.163318634033203</v>
      </c>
      <c r="AJ1851">
        <v>116.23760986328119</v>
      </c>
      <c r="AK1851" t="s">
        <v>54</v>
      </c>
      <c r="AL1851" t="s">
        <v>54</v>
      </c>
      <c r="AQ1851" t="s">
        <v>54</v>
      </c>
      <c r="AT1851" t="s">
        <v>8949</v>
      </c>
      <c r="AU1851" s="148">
        <v>42644</v>
      </c>
      <c r="AW1851" t="s">
        <v>8390</v>
      </c>
      <c r="AZ1851" t="s">
        <v>54</v>
      </c>
      <c r="BA1851" t="s">
        <v>8535</v>
      </c>
    </row>
    <row r="1852" spans="1:53" x14ac:dyDescent="0.25">
      <c r="A1852">
        <v>1847</v>
      </c>
      <c r="B1852" t="s">
        <v>8953</v>
      </c>
      <c r="C1852" t="s">
        <v>8954</v>
      </c>
      <c r="D1852" t="s">
        <v>8955</v>
      </c>
      <c r="E1852">
        <v>11</v>
      </c>
      <c r="F1852" t="s">
        <v>8529</v>
      </c>
      <c r="G1852" t="s">
        <v>8944</v>
      </c>
      <c r="H1852" t="s">
        <v>8945</v>
      </c>
      <c r="K1852" t="s">
        <v>8946</v>
      </c>
      <c r="L1852" t="s">
        <v>8532</v>
      </c>
      <c r="M1852">
        <v>6.5629839897155762</v>
      </c>
      <c r="N1852" t="s">
        <v>54</v>
      </c>
      <c r="O1852" t="s">
        <v>53</v>
      </c>
      <c r="P1852" t="s">
        <v>53</v>
      </c>
      <c r="Q1852" t="s">
        <v>53</v>
      </c>
      <c r="R1852" t="s">
        <v>53</v>
      </c>
      <c r="S1852" t="s">
        <v>8956</v>
      </c>
      <c r="T1852" t="s">
        <v>8948</v>
      </c>
      <c r="U1852" t="s">
        <v>53</v>
      </c>
      <c r="V1852" t="s">
        <v>51</v>
      </c>
      <c r="W1852">
        <v>250000</v>
      </c>
      <c r="X1852" t="s">
        <v>53</v>
      </c>
      <c r="AA1852">
        <v>1991</v>
      </c>
      <c r="AB1852">
        <v>1533</v>
      </c>
      <c r="AC1852">
        <v>2585</v>
      </c>
      <c r="AD1852">
        <v>3213</v>
      </c>
      <c r="AE1852">
        <v>3213</v>
      </c>
      <c r="AF1852">
        <v>10</v>
      </c>
      <c r="AG1852">
        <v>2</v>
      </c>
      <c r="AH1852">
        <v>35.163318634033203</v>
      </c>
      <c r="AJ1852">
        <v>116.23760986328119</v>
      </c>
      <c r="AK1852" t="s">
        <v>54</v>
      </c>
      <c r="AL1852" t="s">
        <v>54</v>
      </c>
      <c r="AQ1852" t="s">
        <v>54</v>
      </c>
      <c r="AT1852" t="s">
        <v>8949</v>
      </c>
      <c r="AU1852" s="148">
        <v>42644</v>
      </c>
      <c r="AW1852" t="s">
        <v>8390</v>
      </c>
      <c r="AZ1852" t="s">
        <v>54</v>
      </c>
      <c r="BA1852" t="s">
        <v>8535</v>
      </c>
    </row>
    <row r="1853" spans="1:53" x14ac:dyDescent="0.25">
      <c r="A1853">
        <v>1848</v>
      </c>
      <c r="B1853" t="s">
        <v>8957</v>
      </c>
      <c r="C1853" t="s">
        <v>8958</v>
      </c>
      <c r="D1853" t="s">
        <v>8959</v>
      </c>
      <c r="E1853">
        <v>11</v>
      </c>
      <c r="F1853" t="s">
        <v>8529</v>
      </c>
      <c r="G1853" t="s">
        <v>8944</v>
      </c>
      <c r="H1853" t="s">
        <v>8833</v>
      </c>
      <c r="K1853" t="s">
        <v>8960</v>
      </c>
      <c r="L1853" t="s">
        <v>8560</v>
      </c>
      <c r="M1853">
        <v>7.7361101284623146E-3</v>
      </c>
      <c r="N1853" t="s">
        <v>54</v>
      </c>
      <c r="O1853" t="s">
        <v>53</v>
      </c>
      <c r="P1853" t="s">
        <v>53</v>
      </c>
      <c r="Q1853" t="s">
        <v>53</v>
      </c>
      <c r="R1853" t="s">
        <v>53</v>
      </c>
      <c r="S1853" t="s">
        <v>8947</v>
      </c>
      <c r="T1853" t="s">
        <v>8961</v>
      </c>
      <c r="U1853" t="s">
        <v>53</v>
      </c>
      <c r="V1853" t="s">
        <v>51</v>
      </c>
      <c r="W1853">
        <v>100000</v>
      </c>
      <c r="X1853" t="s">
        <v>53</v>
      </c>
      <c r="AA1853">
        <v>4</v>
      </c>
      <c r="AB1853">
        <v>0</v>
      </c>
      <c r="AC1853">
        <v>2</v>
      </c>
      <c r="AD1853">
        <v>0</v>
      </c>
      <c r="AE1853">
        <v>2</v>
      </c>
      <c r="AF1853">
        <v>0</v>
      </c>
      <c r="AG1853">
        <v>0</v>
      </c>
      <c r="AH1853">
        <v>0</v>
      </c>
      <c r="AJ1853">
        <v>2.464673757553101</v>
      </c>
      <c r="AK1853" t="s">
        <v>54</v>
      </c>
      <c r="AL1853" t="s">
        <v>54</v>
      </c>
      <c r="AQ1853" t="s">
        <v>54</v>
      </c>
      <c r="AT1853" t="s">
        <v>8949</v>
      </c>
      <c r="AU1853" s="148">
        <v>42644</v>
      </c>
      <c r="AW1853" t="s">
        <v>53</v>
      </c>
      <c r="AZ1853" t="s">
        <v>54</v>
      </c>
      <c r="BA1853" t="s">
        <v>8535</v>
      </c>
    </row>
    <row r="1854" spans="1:53" x14ac:dyDescent="0.25">
      <c r="A1854">
        <v>1849</v>
      </c>
      <c r="B1854" t="s">
        <v>8962</v>
      </c>
      <c r="C1854" t="s">
        <v>8963</v>
      </c>
      <c r="D1854" t="s">
        <v>8964</v>
      </c>
      <c r="E1854">
        <v>11</v>
      </c>
      <c r="F1854" t="s">
        <v>8529</v>
      </c>
      <c r="G1854" t="s">
        <v>8944</v>
      </c>
      <c r="H1854" t="s">
        <v>8833</v>
      </c>
      <c r="K1854" t="s">
        <v>8965</v>
      </c>
      <c r="L1854" t="s">
        <v>8532</v>
      </c>
      <c r="M1854">
        <v>0.49605816602706909</v>
      </c>
      <c r="N1854" t="s">
        <v>53</v>
      </c>
      <c r="O1854" t="s">
        <v>53</v>
      </c>
      <c r="P1854" t="s">
        <v>53</v>
      </c>
      <c r="Q1854" t="s">
        <v>53</v>
      </c>
      <c r="R1854" t="s">
        <v>53</v>
      </c>
      <c r="S1854" t="s">
        <v>8966</v>
      </c>
      <c r="T1854" t="s">
        <v>8967</v>
      </c>
      <c r="U1854" t="s">
        <v>53</v>
      </c>
      <c r="V1854" t="s">
        <v>51</v>
      </c>
      <c r="W1854">
        <v>150000</v>
      </c>
      <c r="X1854" t="s">
        <v>53</v>
      </c>
      <c r="AA1854">
        <v>0</v>
      </c>
      <c r="AB1854">
        <v>0</v>
      </c>
      <c r="AC1854">
        <v>0</v>
      </c>
      <c r="AD1854">
        <v>0</v>
      </c>
      <c r="AE1854">
        <v>0</v>
      </c>
      <c r="AF1854">
        <v>0</v>
      </c>
      <c r="AG1854">
        <v>0</v>
      </c>
      <c r="AH1854">
        <v>0</v>
      </c>
      <c r="AJ1854">
        <v>0</v>
      </c>
      <c r="AK1854" t="s">
        <v>54</v>
      </c>
      <c r="AL1854" t="s">
        <v>54</v>
      </c>
      <c r="AQ1854" t="s">
        <v>54</v>
      </c>
      <c r="AT1854" t="s">
        <v>8949</v>
      </c>
      <c r="AU1854" s="148">
        <v>42644</v>
      </c>
      <c r="AW1854" t="s">
        <v>53</v>
      </c>
      <c r="AZ1854" t="s">
        <v>54</v>
      </c>
      <c r="BA1854" t="s">
        <v>8535</v>
      </c>
    </row>
    <row r="1855" spans="1:53" x14ac:dyDescent="0.25">
      <c r="A1855">
        <v>1850</v>
      </c>
      <c r="B1855" t="s">
        <v>8968</v>
      </c>
      <c r="C1855" t="s">
        <v>8969</v>
      </c>
      <c r="D1855" t="s">
        <v>8970</v>
      </c>
      <c r="E1855">
        <v>11</v>
      </c>
      <c r="F1855" t="s">
        <v>8529</v>
      </c>
      <c r="G1855" t="s">
        <v>293</v>
      </c>
      <c r="H1855" t="s">
        <v>8602</v>
      </c>
      <c r="K1855" t="s">
        <v>8971</v>
      </c>
      <c r="L1855" t="s">
        <v>8550</v>
      </c>
      <c r="M1855">
        <v>1057.16796875</v>
      </c>
      <c r="N1855" t="s">
        <v>54</v>
      </c>
      <c r="O1855" t="s">
        <v>53</v>
      </c>
      <c r="P1855" t="s">
        <v>53</v>
      </c>
      <c r="Q1855" t="s">
        <v>53</v>
      </c>
      <c r="R1855" t="s">
        <v>53</v>
      </c>
      <c r="S1855" t="s">
        <v>343</v>
      </c>
      <c r="T1855" t="s">
        <v>8972</v>
      </c>
      <c r="U1855" t="s">
        <v>53</v>
      </c>
      <c r="V1855" t="s">
        <v>51</v>
      </c>
      <c r="W1855">
        <v>50000</v>
      </c>
      <c r="X1855" t="s">
        <v>53</v>
      </c>
      <c r="AA1855">
        <v>8</v>
      </c>
      <c r="AB1855">
        <v>2</v>
      </c>
      <c r="AC1855">
        <v>4</v>
      </c>
      <c r="AD1855">
        <v>22</v>
      </c>
      <c r="AE1855">
        <v>22</v>
      </c>
      <c r="AF1855">
        <v>0</v>
      </c>
      <c r="AG1855">
        <v>0</v>
      </c>
      <c r="AH1855">
        <v>0.11621143668889999</v>
      </c>
      <c r="AJ1855">
        <v>347.87081909179688</v>
      </c>
      <c r="AK1855" t="s">
        <v>54</v>
      </c>
      <c r="AL1855" t="s">
        <v>54</v>
      </c>
      <c r="AQ1855" t="s">
        <v>54</v>
      </c>
      <c r="AT1855" t="s">
        <v>8973</v>
      </c>
      <c r="AU1855" s="148">
        <v>43262</v>
      </c>
      <c r="AW1855" t="s">
        <v>53</v>
      </c>
      <c r="AZ1855" t="s">
        <v>54</v>
      </c>
      <c r="BA1855" t="s">
        <v>8535</v>
      </c>
    </row>
    <row r="1856" spans="1:53" x14ac:dyDescent="0.25">
      <c r="A1856">
        <v>1851</v>
      </c>
      <c r="B1856" t="s">
        <v>8974</v>
      </c>
      <c r="C1856" t="s">
        <v>8975</v>
      </c>
      <c r="D1856" t="s">
        <v>8764</v>
      </c>
      <c r="E1856">
        <v>11</v>
      </c>
      <c r="F1856" t="s">
        <v>8529</v>
      </c>
      <c r="G1856" t="s">
        <v>8650</v>
      </c>
      <c r="H1856" t="s">
        <v>8602</v>
      </c>
      <c r="K1856" t="s">
        <v>8976</v>
      </c>
      <c r="L1856" t="s">
        <v>8532</v>
      </c>
      <c r="M1856">
        <v>1066.925659179688</v>
      </c>
      <c r="N1856" t="s">
        <v>54</v>
      </c>
      <c r="O1856" t="s">
        <v>53</v>
      </c>
      <c r="P1856" t="s">
        <v>53</v>
      </c>
      <c r="Q1856" t="s">
        <v>53</v>
      </c>
      <c r="R1856" t="s">
        <v>53</v>
      </c>
      <c r="S1856" t="s">
        <v>343</v>
      </c>
      <c r="T1856" t="s">
        <v>8977</v>
      </c>
      <c r="U1856" t="s">
        <v>53</v>
      </c>
      <c r="V1856" t="s">
        <v>51</v>
      </c>
      <c r="W1856">
        <v>150000</v>
      </c>
      <c r="X1856" t="s">
        <v>53</v>
      </c>
      <c r="AA1856">
        <v>1649</v>
      </c>
      <c r="AB1856">
        <v>760</v>
      </c>
      <c r="AC1856">
        <v>1028</v>
      </c>
      <c r="AD1856">
        <v>2086</v>
      </c>
      <c r="AE1856">
        <v>2086</v>
      </c>
      <c r="AF1856">
        <v>4</v>
      </c>
      <c r="AG1856">
        <v>55</v>
      </c>
      <c r="AH1856">
        <v>123.7353897094727</v>
      </c>
      <c r="AJ1856">
        <v>101450.453125</v>
      </c>
      <c r="AK1856" t="s">
        <v>54</v>
      </c>
      <c r="AL1856" t="s">
        <v>54</v>
      </c>
      <c r="AQ1856" t="s">
        <v>54</v>
      </c>
      <c r="AT1856" t="s">
        <v>8654</v>
      </c>
      <c r="AU1856" s="148">
        <v>43313</v>
      </c>
      <c r="AW1856" t="s">
        <v>8390</v>
      </c>
      <c r="AZ1856" t="s">
        <v>54</v>
      </c>
      <c r="BA1856" t="s">
        <v>8535</v>
      </c>
    </row>
    <row r="1857" spans="1:53" x14ac:dyDescent="0.25">
      <c r="A1857">
        <v>1852</v>
      </c>
      <c r="B1857" t="s">
        <v>8978</v>
      </c>
      <c r="C1857" t="s">
        <v>8979</v>
      </c>
      <c r="D1857" t="s">
        <v>8980</v>
      </c>
      <c r="E1857">
        <v>11</v>
      </c>
      <c r="F1857" t="s">
        <v>8529</v>
      </c>
      <c r="G1857" t="s">
        <v>8981</v>
      </c>
      <c r="H1857" t="s">
        <v>8602</v>
      </c>
      <c r="K1857" t="s">
        <v>8976</v>
      </c>
      <c r="L1857" t="s">
        <v>8532</v>
      </c>
      <c r="M1857">
        <v>7876.17578125</v>
      </c>
      <c r="N1857" t="s">
        <v>54</v>
      </c>
      <c r="O1857" t="s">
        <v>54</v>
      </c>
      <c r="P1857" t="s">
        <v>53</v>
      </c>
      <c r="Q1857" t="s">
        <v>53</v>
      </c>
      <c r="R1857" t="s">
        <v>53</v>
      </c>
      <c r="S1857" t="s">
        <v>8982</v>
      </c>
      <c r="T1857" t="s">
        <v>8983</v>
      </c>
      <c r="U1857" t="s">
        <v>53</v>
      </c>
      <c r="V1857" t="s">
        <v>138</v>
      </c>
      <c r="W1857">
        <v>250000</v>
      </c>
      <c r="X1857" t="s">
        <v>53</v>
      </c>
      <c r="AA1857">
        <v>22831</v>
      </c>
      <c r="AB1857">
        <v>16352</v>
      </c>
      <c r="AC1857">
        <v>34872</v>
      </c>
      <c r="AD1857">
        <v>55779</v>
      </c>
      <c r="AE1857">
        <v>55779</v>
      </c>
      <c r="AF1857">
        <v>126</v>
      </c>
      <c r="AG1857">
        <v>467</v>
      </c>
      <c r="AH1857">
        <v>767.491943359375</v>
      </c>
      <c r="AJ1857">
        <v>304947.21875</v>
      </c>
      <c r="AK1857" t="s">
        <v>54</v>
      </c>
      <c r="AL1857" t="s">
        <v>54</v>
      </c>
      <c r="AQ1857" t="s">
        <v>54</v>
      </c>
      <c r="AT1857" t="s">
        <v>8563</v>
      </c>
      <c r="AW1857" t="s">
        <v>8390</v>
      </c>
      <c r="AZ1857" t="s">
        <v>54</v>
      </c>
      <c r="BA1857" t="s">
        <v>8535</v>
      </c>
    </row>
    <row r="1858" spans="1:53" x14ac:dyDescent="0.25">
      <c r="A1858">
        <v>1853</v>
      </c>
      <c r="B1858" t="s">
        <v>8984</v>
      </c>
      <c r="C1858" t="s">
        <v>8985</v>
      </c>
      <c r="D1858" t="s">
        <v>8719</v>
      </c>
      <c r="E1858">
        <v>11</v>
      </c>
      <c r="F1858" t="s">
        <v>8529</v>
      </c>
      <c r="G1858" t="s">
        <v>8529</v>
      </c>
      <c r="H1858" t="s">
        <v>8612</v>
      </c>
      <c r="K1858" t="s">
        <v>8986</v>
      </c>
      <c r="L1858" t="s">
        <v>8532</v>
      </c>
      <c r="M1858">
        <v>713.11236572265625</v>
      </c>
      <c r="N1858" t="s">
        <v>54</v>
      </c>
      <c r="O1858" t="s">
        <v>53</v>
      </c>
      <c r="P1858" t="s">
        <v>53</v>
      </c>
      <c r="Q1858" t="s">
        <v>53</v>
      </c>
      <c r="R1858" t="s">
        <v>53</v>
      </c>
      <c r="S1858" t="s">
        <v>8987</v>
      </c>
      <c r="T1858" t="s">
        <v>8988</v>
      </c>
      <c r="U1858" t="s">
        <v>53</v>
      </c>
      <c r="V1858" t="s">
        <v>138</v>
      </c>
      <c r="W1858">
        <v>3000000</v>
      </c>
      <c r="X1858" t="s">
        <v>53</v>
      </c>
      <c r="AA1858">
        <v>5822</v>
      </c>
      <c r="AB1858">
        <v>4851</v>
      </c>
      <c r="AC1858">
        <v>4424</v>
      </c>
      <c r="AD1858">
        <v>14109</v>
      </c>
      <c r="AE1858">
        <v>14109</v>
      </c>
      <c r="AF1858">
        <v>14</v>
      </c>
      <c r="AG1858">
        <v>130</v>
      </c>
      <c r="AH1858">
        <v>116.7411270141602</v>
      </c>
      <c r="AJ1858">
        <v>25477.205078125</v>
      </c>
      <c r="AK1858" t="s">
        <v>54</v>
      </c>
      <c r="AL1858" t="s">
        <v>54</v>
      </c>
      <c r="AQ1858" t="s">
        <v>54</v>
      </c>
      <c r="AT1858" t="s">
        <v>8804</v>
      </c>
      <c r="AU1858" s="148">
        <v>44470</v>
      </c>
      <c r="AW1858" t="s">
        <v>8390</v>
      </c>
      <c r="AZ1858" t="s">
        <v>54</v>
      </c>
      <c r="BA1858" t="s">
        <v>8535</v>
      </c>
    </row>
    <row r="1859" spans="1:53" x14ac:dyDescent="0.25">
      <c r="A1859">
        <v>1854</v>
      </c>
      <c r="B1859" t="s">
        <v>8989</v>
      </c>
      <c r="C1859" t="s">
        <v>8990</v>
      </c>
      <c r="D1859" t="s">
        <v>8991</v>
      </c>
      <c r="E1859">
        <v>11</v>
      </c>
      <c r="F1859" t="s">
        <v>8529</v>
      </c>
      <c r="G1859" t="s">
        <v>8529</v>
      </c>
      <c r="H1859" t="s">
        <v>8612</v>
      </c>
      <c r="K1859" t="s">
        <v>8986</v>
      </c>
      <c r="L1859" t="s">
        <v>8532</v>
      </c>
      <c r="M1859">
        <v>713.11236572265625</v>
      </c>
      <c r="N1859" t="s">
        <v>54</v>
      </c>
      <c r="O1859" t="s">
        <v>53</v>
      </c>
      <c r="P1859" t="s">
        <v>53</v>
      </c>
      <c r="Q1859" t="s">
        <v>53</v>
      </c>
      <c r="R1859" t="s">
        <v>53</v>
      </c>
      <c r="S1859" t="s">
        <v>8987</v>
      </c>
      <c r="T1859" t="s">
        <v>8988</v>
      </c>
      <c r="U1859" t="s">
        <v>53</v>
      </c>
      <c r="V1859" t="s">
        <v>51</v>
      </c>
      <c r="W1859">
        <v>150000</v>
      </c>
      <c r="X1859" t="s">
        <v>53</v>
      </c>
      <c r="AA1859">
        <v>5822</v>
      </c>
      <c r="AB1859">
        <v>4851</v>
      </c>
      <c r="AC1859">
        <v>4424</v>
      </c>
      <c r="AD1859">
        <v>14109</v>
      </c>
      <c r="AE1859">
        <v>14109</v>
      </c>
      <c r="AF1859">
        <v>14</v>
      </c>
      <c r="AG1859">
        <v>130</v>
      </c>
      <c r="AH1859">
        <v>116.7411270141602</v>
      </c>
      <c r="AJ1859">
        <v>25477.205078125</v>
      </c>
      <c r="AK1859" t="s">
        <v>54</v>
      </c>
      <c r="AL1859" t="s">
        <v>54</v>
      </c>
      <c r="AQ1859" t="s">
        <v>54</v>
      </c>
      <c r="AT1859" t="s">
        <v>8804</v>
      </c>
      <c r="AU1859" s="148">
        <v>44470</v>
      </c>
      <c r="AW1859" t="s">
        <v>8390</v>
      </c>
      <c r="AZ1859" t="s">
        <v>54</v>
      </c>
      <c r="BA1859" t="s">
        <v>8535</v>
      </c>
    </row>
    <row r="1860" spans="1:53" x14ac:dyDescent="0.25">
      <c r="A1860">
        <v>1855</v>
      </c>
      <c r="B1860" t="s">
        <v>8992</v>
      </c>
      <c r="C1860" t="s">
        <v>8993</v>
      </c>
      <c r="D1860" t="s">
        <v>8994</v>
      </c>
      <c r="E1860">
        <v>11</v>
      </c>
      <c r="F1860" t="s">
        <v>8529</v>
      </c>
      <c r="G1860" t="s">
        <v>8529</v>
      </c>
      <c r="H1860" t="s">
        <v>8612</v>
      </c>
      <c r="K1860" t="s">
        <v>8986</v>
      </c>
      <c r="L1860" t="s">
        <v>8550</v>
      </c>
      <c r="M1860">
        <v>713.11236572265625</v>
      </c>
      <c r="N1860" t="s">
        <v>54</v>
      </c>
      <c r="O1860" t="s">
        <v>53</v>
      </c>
      <c r="P1860" t="s">
        <v>53</v>
      </c>
      <c r="Q1860" t="s">
        <v>53</v>
      </c>
      <c r="R1860" t="s">
        <v>53</v>
      </c>
      <c r="S1860" t="s">
        <v>8987</v>
      </c>
      <c r="T1860" t="s">
        <v>8988</v>
      </c>
      <c r="U1860" t="s">
        <v>53</v>
      </c>
      <c r="V1860" t="s">
        <v>51</v>
      </c>
      <c r="W1860">
        <v>2000000</v>
      </c>
      <c r="X1860" t="s">
        <v>53</v>
      </c>
      <c r="AA1860">
        <v>5822</v>
      </c>
      <c r="AB1860">
        <v>4851</v>
      </c>
      <c r="AC1860">
        <v>4424</v>
      </c>
      <c r="AD1860">
        <v>14109</v>
      </c>
      <c r="AE1860">
        <v>14109</v>
      </c>
      <c r="AF1860">
        <v>14</v>
      </c>
      <c r="AG1860">
        <v>130</v>
      </c>
      <c r="AH1860">
        <v>116.7411270141602</v>
      </c>
      <c r="AJ1860">
        <v>25477.205078125</v>
      </c>
      <c r="AK1860" t="s">
        <v>54</v>
      </c>
      <c r="AL1860" t="s">
        <v>54</v>
      </c>
      <c r="AQ1860" t="s">
        <v>54</v>
      </c>
      <c r="AT1860" t="s">
        <v>8804</v>
      </c>
      <c r="AU1860" s="148">
        <v>44470</v>
      </c>
      <c r="AW1860" t="s">
        <v>8390</v>
      </c>
      <c r="AZ1860" t="s">
        <v>54</v>
      </c>
      <c r="BA1860" t="s">
        <v>8535</v>
      </c>
    </row>
    <row r="1861" spans="1:53" x14ac:dyDescent="0.25">
      <c r="A1861">
        <v>1856</v>
      </c>
      <c r="B1861" t="s">
        <v>8995</v>
      </c>
      <c r="C1861" t="s">
        <v>8996</v>
      </c>
      <c r="D1861" t="s">
        <v>8997</v>
      </c>
      <c r="E1861">
        <v>11</v>
      </c>
      <c r="F1861" t="s">
        <v>8529</v>
      </c>
      <c r="G1861" t="s">
        <v>348</v>
      </c>
      <c r="H1861" t="s">
        <v>8540</v>
      </c>
      <c r="K1861" t="s">
        <v>8998</v>
      </c>
      <c r="L1861" t="s">
        <v>8532</v>
      </c>
      <c r="M1861">
        <v>676.03912353515625</v>
      </c>
      <c r="N1861" t="s">
        <v>54</v>
      </c>
      <c r="O1861" t="s">
        <v>53</v>
      </c>
      <c r="P1861" t="s">
        <v>53</v>
      </c>
      <c r="Q1861" t="s">
        <v>53</v>
      </c>
      <c r="R1861" t="s">
        <v>53</v>
      </c>
      <c r="S1861" t="s">
        <v>8467</v>
      </c>
      <c r="T1861" t="s">
        <v>8999</v>
      </c>
      <c r="U1861" t="s">
        <v>53</v>
      </c>
      <c r="V1861" t="s">
        <v>162</v>
      </c>
      <c r="W1861">
        <v>500000</v>
      </c>
      <c r="X1861" t="s">
        <v>53</v>
      </c>
      <c r="AA1861">
        <v>4359</v>
      </c>
      <c r="AB1861">
        <v>3223</v>
      </c>
      <c r="AC1861">
        <v>14373</v>
      </c>
      <c r="AD1861">
        <v>17721</v>
      </c>
      <c r="AE1861">
        <v>17721</v>
      </c>
      <c r="AF1861">
        <v>15</v>
      </c>
      <c r="AG1861">
        <v>117</v>
      </c>
      <c r="AH1861">
        <v>99.977508544921875</v>
      </c>
      <c r="AJ1861">
        <v>10536.763671875</v>
      </c>
      <c r="AK1861" t="s">
        <v>54</v>
      </c>
      <c r="AL1861" t="s">
        <v>54</v>
      </c>
      <c r="AQ1861" t="s">
        <v>54</v>
      </c>
      <c r="AT1861" t="s">
        <v>350</v>
      </c>
      <c r="AU1861" s="148">
        <v>42767</v>
      </c>
      <c r="AW1861" t="s">
        <v>8390</v>
      </c>
      <c r="AZ1861" t="s">
        <v>54</v>
      </c>
      <c r="BA1861" t="s">
        <v>8535</v>
      </c>
    </row>
    <row r="1862" spans="1:53" x14ac:dyDescent="0.25">
      <c r="A1862">
        <v>1857</v>
      </c>
      <c r="B1862" t="s">
        <v>9000</v>
      </c>
      <c r="C1862" t="s">
        <v>9001</v>
      </c>
      <c r="D1862" t="s">
        <v>9002</v>
      </c>
      <c r="E1862">
        <v>11</v>
      </c>
      <c r="F1862" t="s">
        <v>8529</v>
      </c>
      <c r="G1862" t="s">
        <v>348</v>
      </c>
      <c r="H1862" t="s">
        <v>8540</v>
      </c>
      <c r="K1862" t="s">
        <v>8998</v>
      </c>
      <c r="L1862" t="s">
        <v>8560</v>
      </c>
      <c r="M1862">
        <v>676.03912353515625</v>
      </c>
      <c r="N1862" t="s">
        <v>54</v>
      </c>
      <c r="O1862" t="s">
        <v>53</v>
      </c>
      <c r="P1862" t="s">
        <v>53</v>
      </c>
      <c r="Q1862" t="s">
        <v>53</v>
      </c>
      <c r="R1862" t="s">
        <v>53</v>
      </c>
      <c r="S1862" t="s">
        <v>8467</v>
      </c>
      <c r="T1862" t="s">
        <v>8999</v>
      </c>
      <c r="U1862" t="s">
        <v>53</v>
      </c>
      <c r="V1862" t="s">
        <v>51</v>
      </c>
      <c r="W1862">
        <v>100000</v>
      </c>
      <c r="X1862" t="s">
        <v>53</v>
      </c>
      <c r="AA1862">
        <v>4359</v>
      </c>
      <c r="AB1862">
        <v>3223</v>
      </c>
      <c r="AC1862">
        <v>14373</v>
      </c>
      <c r="AD1862">
        <v>17721</v>
      </c>
      <c r="AE1862">
        <v>17721</v>
      </c>
      <c r="AF1862">
        <v>15</v>
      </c>
      <c r="AG1862">
        <v>117</v>
      </c>
      <c r="AH1862">
        <v>99.977508544921875</v>
      </c>
      <c r="AJ1862">
        <v>10536.763671875</v>
      </c>
      <c r="AK1862" t="s">
        <v>54</v>
      </c>
      <c r="AL1862" t="s">
        <v>54</v>
      </c>
      <c r="AQ1862" t="s">
        <v>54</v>
      </c>
      <c r="AT1862" t="s">
        <v>350</v>
      </c>
      <c r="AU1862" s="148">
        <v>42767</v>
      </c>
      <c r="AW1862" t="s">
        <v>8390</v>
      </c>
      <c r="AZ1862" t="s">
        <v>54</v>
      </c>
      <c r="BA1862" t="s">
        <v>8535</v>
      </c>
    </row>
    <row r="1863" spans="1:53" x14ac:dyDescent="0.25">
      <c r="A1863">
        <v>1858</v>
      </c>
      <c r="B1863" t="s">
        <v>9003</v>
      </c>
      <c r="C1863" t="s">
        <v>9004</v>
      </c>
      <c r="D1863" t="s">
        <v>9005</v>
      </c>
      <c r="E1863">
        <v>11</v>
      </c>
      <c r="F1863" t="s">
        <v>8529</v>
      </c>
      <c r="G1863" t="s">
        <v>348</v>
      </c>
      <c r="H1863" t="s">
        <v>8540</v>
      </c>
      <c r="K1863" t="s">
        <v>9006</v>
      </c>
      <c r="L1863" t="s">
        <v>8532</v>
      </c>
      <c r="M1863">
        <v>0.69425952434539795</v>
      </c>
      <c r="N1863" t="s">
        <v>54</v>
      </c>
      <c r="O1863" t="s">
        <v>53</v>
      </c>
      <c r="P1863" t="s">
        <v>53</v>
      </c>
      <c r="Q1863" t="s">
        <v>53</v>
      </c>
      <c r="R1863" t="s">
        <v>53</v>
      </c>
      <c r="S1863" t="s">
        <v>8467</v>
      </c>
      <c r="T1863" t="s">
        <v>8780</v>
      </c>
      <c r="U1863" t="s">
        <v>53</v>
      </c>
      <c r="V1863" t="s">
        <v>51</v>
      </c>
      <c r="W1863">
        <v>800000</v>
      </c>
      <c r="X1863" t="s">
        <v>53</v>
      </c>
      <c r="AA1863">
        <v>4</v>
      </c>
      <c r="AB1863">
        <v>1</v>
      </c>
      <c r="AC1863">
        <v>0</v>
      </c>
      <c r="AD1863">
        <v>3</v>
      </c>
      <c r="AE1863">
        <v>3</v>
      </c>
      <c r="AF1863">
        <v>0</v>
      </c>
      <c r="AG1863">
        <v>0</v>
      </c>
      <c r="AH1863">
        <v>0</v>
      </c>
      <c r="AJ1863">
        <v>0</v>
      </c>
      <c r="AK1863" t="s">
        <v>54</v>
      </c>
      <c r="AL1863" t="s">
        <v>54</v>
      </c>
      <c r="AQ1863" t="s">
        <v>54</v>
      </c>
      <c r="AT1863" t="s">
        <v>350</v>
      </c>
      <c r="AU1863" s="148">
        <v>42767</v>
      </c>
      <c r="AW1863" t="s">
        <v>8390</v>
      </c>
      <c r="AZ1863" t="s">
        <v>54</v>
      </c>
      <c r="BA1863" t="s">
        <v>8535</v>
      </c>
    </row>
    <row r="1864" spans="1:53" x14ac:dyDescent="0.25">
      <c r="A1864">
        <v>1859</v>
      </c>
      <c r="B1864" t="s">
        <v>9007</v>
      </c>
      <c r="C1864" t="s">
        <v>9008</v>
      </c>
      <c r="D1864" t="s">
        <v>9009</v>
      </c>
      <c r="E1864">
        <v>11</v>
      </c>
      <c r="F1864" t="s">
        <v>8529</v>
      </c>
      <c r="G1864" t="s">
        <v>348</v>
      </c>
      <c r="H1864" t="s">
        <v>8540</v>
      </c>
      <c r="K1864" t="s">
        <v>9010</v>
      </c>
      <c r="L1864" t="s">
        <v>8532</v>
      </c>
      <c r="M1864">
        <v>0.24925132095813751</v>
      </c>
      <c r="N1864" t="s">
        <v>54</v>
      </c>
      <c r="O1864" t="s">
        <v>53</v>
      </c>
      <c r="P1864" t="s">
        <v>53</v>
      </c>
      <c r="Q1864" t="s">
        <v>53</v>
      </c>
      <c r="R1864" t="s">
        <v>53</v>
      </c>
      <c r="S1864" t="s">
        <v>8467</v>
      </c>
      <c r="T1864" t="s">
        <v>9011</v>
      </c>
      <c r="U1864" t="s">
        <v>53</v>
      </c>
      <c r="V1864" t="s">
        <v>51</v>
      </c>
      <c r="W1864">
        <v>1200000</v>
      </c>
      <c r="X1864" t="s">
        <v>53</v>
      </c>
      <c r="AA1864">
        <v>3</v>
      </c>
      <c r="AB1864">
        <v>3</v>
      </c>
      <c r="AC1864">
        <v>1</v>
      </c>
      <c r="AD1864">
        <v>8</v>
      </c>
      <c r="AE1864">
        <v>8</v>
      </c>
      <c r="AF1864">
        <v>0</v>
      </c>
      <c r="AG1864">
        <v>0</v>
      </c>
      <c r="AH1864">
        <v>9.5864497125148773E-2</v>
      </c>
      <c r="AJ1864">
        <v>8.1003408432006836</v>
      </c>
      <c r="AK1864" t="s">
        <v>54</v>
      </c>
      <c r="AL1864" t="s">
        <v>54</v>
      </c>
      <c r="AQ1864" t="s">
        <v>54</v>
      </c>
      <c r="AT1864" t="s">
        <v>350</v>
      </c>
      <c r="AU1864" s="148">
        <v>42767</v>
      </c>
      <c r="AW1864" t="s">
        <v>8390</v>
      </c>
      <c r="AZ1864" t="s">
        <v>54</v>
      </c>
      <c r="BA1864" t="s">
        <v>8535</v>
      </c>
    </row>
    <row r="1865" spans="1:53" x14ac:dyDescent="0.25">
      <c r="A1865">
        <v>1860</v>
      </c>
      <c r="B1865" t="s">
        <v>9012</v>
      </c>
      <c r="C1865" t="s">
        <v>9013</v>
      </c>
      <c r="D1865" t="s">
        <v>9014</v>
      </c>
      <c r="E1865">
        <v>11</v>
      </c>
      <c r="F1865" t="s">
        <v>8529</v>
      </c>
      <c r="G1865" t="s">
        <v>348</v>
      </c>
      <c r="H1865" t="s">
        <v>8612</v>
      </c>
      <c r="K1865" t="s">
        <v>8779</v>
      </c>
      <c r="L1865" t="s">
        <v>8532</v>
      </c>
      <c r="M1865">
        <v>49.122611999511719</v>
      </c>
      <c r="N1865" t="s">
        <v>54</v>
      </c>
      <c r="O1865" t="s">
        <v>53</v>
      </c>
      <c r="P1865" t="s">
        <v>53</v>
      </c>
      <c r="Q1865" t="s">
        <v>53</v>
      </c>
      <c r="R1865" t="s">
        <v>53</v>
      </c>
      <c r="S1865" t="s">
        <v>8467</v>
      </c>
      <c r="T1865" t="s">
        <v>9015</v>
      </c>
      <c r="U1865" t="s">
        <v>53</v>
      </c>
      <c r="V1865" t="s">
        <v>51</v>
      </c>
      <c r="W1865">
        <v>800000</v>
      </c>
      <c r="X1865" t="s">
        <v>53</v>
      </c>
      <c r="AA1865">
        <v>1420</v>
      </c>
      <c r="AB1865">
        <v>1067</v>
      </c>
      <c r="AC1865">
        <v>6406</v>
      </c>
      <c r="AD1865">
        <v>6688</v>
      </c>
      <c r="AE1865">
        <v>6688</v>
      </c>
      <c r="AF1865">
        <v>12</v>
      </c>
      <c r="AG1865">
        <v>14</v>
      </c>
      <c r="AH1865">
        <v>25.083623886108398</v>
      </c>
      <c r="AJ1865">
        <v>1058.007446289062</v>
      </c>
      <c r="AK1865" t="s">
        <v>54</v>
      </c>
      <c r="AL1865" t="s">
        <v>54</v>
      </c>
      <c r="AQ1865" t="s">
        <v>54</v>
      </c>
      <c r="AT1865" t="s">
        <v>350</v>
      </c>
      <c r="AU1865" s="148">
        <v>42767</v>
      </c>
      <c r="AW1865" t="s">
        <v>8390</v>
      </c>
      <c r="AZ1865" t="s">
        <v>54</v>
      </c>
      <c r="BA1865" t="s">
        <v>8535</v>
      </c>
    </row>
    <row r="1866" spans="1:53" x14ac:dyDescent="0.25">
      <c r="A1866">
        <v>1861</v>
      </c>
      <c r="B1866" t="s">
        <v>9016</v>
      </c>
      <c r="C1866" t="s">
        <v>9017</v>
      </c>
      <c r="D1866" t="s">
        <v>9017</v>
      </c>
      <c r="E1866">
        <v>11</v>
      </c>
      <c r="F1866" t="s">
        <v>8529</v>
      </c>
      <c r="G1866" t="s">
        <v>348</v>
      </c>
      <c r="H1866" t="s">
        <v>8540</v>
      </c>
      <c r="K1866" t="s">
        <v>8998</v>
      </c>
      <c r="L1866" t="s">
        <v>8532</v>
      </c>
      <c r="M1866">
        <v>676.03912353515625</v>
      </c>
      <c r="N1866" t="s">
        <v>54</v>
      </c>
      <c r="O1866" t="s">
        <v>53</v>
      </c>
      <c r="P1866" t="s">
        <v>53</v>
      </c>
      <c r="Q1866" t="s">
        <v>53</v>
      </c>
      <c r="R1866" t="s">
        <v>53</v>
      </c>
      <c r="S1866" t="s">
        <v>8467</v>
      </c>
      <c r="T1866" t="s">
        <v>9018</v>
      </c>
      <c r="U1866" t="s">
        <v>53</v>
      </c>
      <c r="V1866" t="s">
        <v>51</v>
      </c>
      <c r="W1866">
        <v>238035</v>
      </c>
      <c r="X1866" t="s">
        <v>53</v>
      </c>
      <c r="AA1866">
        <v>4359</v>
      </c>
      <c r="AB1866">
        <v>3223</v>
      </c>
      <c r="AC1866">
        <v>14373</v>
      </c>
      <c r="AD1866">
        <v>17721</v>
      </c>
      <c r="AE1866">
        <v>17721</v>
      </c>
      <c r="AF1866">
        <v>15</v>
      </c>
      <c r="AG1866">
        <v>117</v>
      </c>
      <c r="AH1866">
        <v>99.977508544921875</v>
      </c>
      <c r="AJ1866">
        <v>10536.763671875</v>
      </c>
      <c r="AK1866" t="s">
        <v>54</v>
      </c>
      <c r="AL1866" t="s">
        <v>54</v>
      </c>
      <c r="AQ1866" t="s">
        <v>54</v>
      </c>
      <c r="AT1866" t="s">
        <v>8571</v>
      </c>
      <c r="AU1866" s="148">
        <v>44091</v>
      </c>
      <c r="AW1866" t="s">
        <v>8390</v>
      </c>
      <c r="AZ1866" t="s">
        <v>54</v>
      </c>
      <c r="BA1866" t="s">
        <v>8535</v>
      </c>
    </row>
    <row r="1867" spans="1:53" x14ac:dyDescent="0.25">
      <c r="A1867">
        <v>1862</v>
      </c>
      <c r="B1867" t="s">
        <v>9019</v>
      </c>
      <c r="C1867" t="s">
        <v>9020</v>
      </c>
      <c r="D1867" t="s">
        <v>8581</v>
      </c>
      <c r="E1867">
        <v>11</v>
      </c>
      <c r="F1867" t="s">
        <v>8529</v>
      </c>
      <c r="G1867" t="s">
        <v>417</v>
      </c>
      <c r="H1867" t="s">
        <v>8530</v>
      </c>
      <c r="K1867" t="s">
        <v>9021</v>
      </c>
      <c r="L1867" t="s">
        <v>8532</v>
      </c>
      <c r="M1867">
        <v>1103.032836914062</v>
      </c>
      <c r="N1867" t="s">
        <v>54</v>
      </c>
      <c r="O1867" t="s">
        <v>53</v>
      </c>
      <c r="P1867" t="s">
        <v>53</v>
      </c>
      <c r="Q1867" t="s">
        <v>53</v>
      </c>
      <c r="R1867" t="s">
        <v>53</v>
      </c>
      <c r="S1867" t="s">
        <v>419</v>
      </c>
      <c r="T1867" t="s">
        <v>9022</v>
      </c>
      <c r="U1867" t="s">
        <v>53</v>
      </c>
      <c r="V1867" t="s">
        <v>51</v>
      </c>
      <c r="W1867">
        <v>125000</v>
      </c>
      <c r="X1867" t="s">
        <v>53</v>
      </c>
      <c r="AA1867">
        <v>3833</v>
      </c>
      <c r="AB1867">
        <v>2315</v>
      </c>
      <c r="AC1867">
        <v>7415</v>
      </c>
      <c r="AD1867">
        <v>6200</v>
      </c>
      <c r="AE1867">
        <v>7415</v>
      </c>
      <c r="AF1867">
        <v>6</v>
      </c>
      <c r="AG1867">
        <v>158</v>
      </c>
      <c r="AH1867">
        <v>124.1244430541992</v>
      </c>
      <c r="AJ1867">
        <v>28070.470703125</v>
      </c>
      <c r="AK1867" t="s">
        <v>54</v>
      </c>
      <c r="AL1867" t="s">
        <v>54</v>
      </c>
      <c r="AQ1867" t="s">
        <v>54</v>
      </c>
      <c r="AT1867" t="s">
        <v>420</v>
      </c>
      <c r="AU1867" s="148">
        <v>43313</v>
      </c>
      <c r="AW1867" t="s">
        <v>8390</v>
      </c>
      <c r="AZ1867" t="s">
        <v>54</v>
      </c>
      <c r="BA1867" t="s">
        <v>8535</v>
      </c>
    </row>
    <row r="1868" spans="1:53" x14ac:dyDescent="0.25">
      <c r="A1868">
        <v>1863</v>
      </c>
      <c r="B1868" t="s">
        <v>9023</v>
      </c>
      <c r="C1868" t="s">
        <v>9024</v>
      </c>
      <c r="D1868" t="s">
        <v>9025</v>
      </c>
      <c r="E1868">
        <v>11</v>
      </c>
      <c r="F1868" t="s">
        <v>8529</v>
      </c>
      <c r="G1868" t="s">
        <v>417</v>
      </c>
      <c r="H1868" t="s">
        <v>8530</v>
      </c>
      <c r="K1868" t="s">
        <v>9021</v>
      </c>
      <c r="L1868" t="s">
        <v>8532</v>
      </c>
      <c r="M1868">
        <v>1103.032836914062</v>
      </c>
      <c r="N1868" t="s">
        <v>54</v>
      </c>
      <c r="O1868" t="s">
        <v>53</v>
      </c>
      <c r="P1868" t="s">
        <v>53</v>
      </c>
      <c r="Q1868" t="s">
        <v>53</v>
      </c>
      <c r="R1868" t="s">
        <v>53</v>
      </c>
      <c r="S1868" t="s">
        <v>419</v>
      </c>
      <c r="T1868" t="s">
        <v>9022</v>
      </c>
      <c r="U1868" t="s">
        <v>53</v>
      </c>
      <c r="V1868" t="s">
        <v>162</v>
      </c>
      <c r="W1868">
        <v>500000</v>
      </c>
      <c r="X1868" t="s">
        <v>53</v>
      </c>
      <c r="AA1868">
        <v>3833</v>
      </c>
      <c r="AB1868">
        <v>2315</v>
      </c>
      <c r="AC1868">
        <v>7415</v>
      </c>
      <c r="AD1868">
        <v>6200</v>
      </c>
      <c r="AE1868">
        <v>7415</v>
      </c>
      <c r="AF1868">
        <v>6</v>
      </c>
      <c r="AG1868">
        <v>158</v>
      </c>
      <c r="AH1868">
        <v>124.1244430541992</v>
      </c>
      <c r="AJ1868">
        <v>28070.470703125</v>
      </c>
      <c r="AK1868" t="s">
        <v>54</v>
      </c>
      <c r="AL1868" t="s">
        <v>54</v>
      </c>
      <c r="AQ1868" t="s">
        <v>54</v>
      </c>
      <c r="AT1868" t="s">
        <v>420</v>
      </c>
      <c r="AU1868" s="148">
        <v>43313</v>
      </c>
      <c r="AW1868" t="s">
        <v>8390</v>
      </c>
      <c r="AZ1868" t="s">
        <v>54</v>
      </c>
      <c r="BA1868" t="s">
        <v>8535</v>
      </c>
    </row>
    <row r="1869" spans="1:53" x14ac:dyDescent="0.25">
      <c r="A1869">
        <v>1864</v>
      </c>
      <c r="B1869" t="s">
        <v>9026</v>
      </c>
      <c r="C1869" t="s">
        <v>9027</v>
      </c>
      <c r="D1869" t="s">
        <v>9028</v>
      </c>
      <c r="E1869">
        <v>11</v>
      </c>
      <c r="F1869" t="s">
        <v>8529</v>
      </c>
      <c r="G1869" t="s">
        <v>504</v>
      </c>
      <c r="H1869" t="s">
        <v>8540</v>
      </c>
      <c r="K1869" t="s">
        <v>8759</v>
      </c>
      <c r="L1869" t="s">
        <v>8532</v>
      </c>
      <c r="M1869">
        <v>1020.767395019531</v>
      </c>
      <c r="N1869" t="s">
        <v>54</v>
      </c>
      <c r="O1869" t="s">
        <v>53</v>
      </c>
      <c r="P1869" t="s">
        <v>53</v>
      </c>
      <c r="Q1869" t="s">
        <v>53</v>
      </c>
      <c r="R1869" t="s">
        <v>53</v>
      </c>
      <c r="S1869" t="s">
        <v>8444</v>
      </c>
      <c r="T1869" t="s">
        <v>9029</v>
      </c>
      <c r="U1869" t="s">
        <v>53</v>
      </c>
      <c r="V1869" t="s">
        <v>51</v>
      </c>
      <c r="W1869">
        <v>300000</v>
      </c>
      <c r="X1869" t="s">
        <v>53</v>
      </c>
      <c r="AA1869">
        <v>7</v>
      </c>
      <c r="AB1869">
        <v>7</v>
      </c>
      <c r="AC1869">
        <v>0</v>
      </c>
      <c r="AD1869">
        <v>18</v>
      </c>
      <c r="AE1869">
        <v>18</v>
      </c>
      <c r="AF1869">
        <v>0</v>
      </c>
      <c r="AG1869">
        <v>1</v>
      </c>
      <c r="AH1869">
        <v>0.1034702584147453</v>
      </c>
      <c r="AJ1869">
        <v>99.043113708496094</v>
      </c>
      <c r="AK1869" t="s">
        <v>54</v>
      </c>
      <c r="AL1869" t="s">
        <v>54</v>
      </c>
      <c r="AQ1869" t="s">
        <v>54</v>
      </c>
      <c r="AT1869" t="s">
        <v>506</v>
      </c>
      <c r="AU1869" s="148">
        <v>42948</v>
      </c>
      <c r="AW1869" t="s">
        <v>53</v>
      </c>
      <c r="AZ1869" t="s">
        <v>54</v>
      </c>
      <c r="BA1869" t="s">
        <v>8535</v>
      </c>
    </row>
    <row r="1870" spans="1:53" x14ac:dyDescent="0.25">
      <c r="A1870">
        <v>1865</v>
      </c>
      <c r="B1870" t="s">
        <v>9030</v>
      </c>
      <c r="C1870" t="s">
        <v>9031</v>
      </c>
      <c r="D1870" t="s">
        <v>9032</v>
      </c>
      <c r="E1870">
        <v>11</v>
      </c>
      <c r="F1870" t="s">
        <v>8529</v>
      </c>
      <c r="G1870" t="s">
        <v>417</v>
      </c>
      <c r="H1870" t="s">
        <v>8530</v>
      </c>
      <c r="K1870" t="s">
        <v>9021</v>
      </c>
      <c r="L1870" t="s">
        <v>8532</v>
      </c>
      <c r="M1870">
        <v>1103.032836914062</v>
      </c>
      <c r="N1870" t="s">
        <v>54</v>
      </c>
      <c r="O1870" t="s">
        <v>53</v>
      </c>
      <c r="P1870" t="s">
        <v>53</v>
      </c>
      <c r="Q1870" t="s">
        <v>53</v>
      </c>
      <c r="R1870" t="s">
        <v>53</v>
      </c>
      <c r="S1870" t="s">
        <v>9033</v>
      </c>
      <c r="T1870" t="s">
        <v>9022</v>
      </c>
      <c r="U1870" t="s">
        <v>53</v>
      </c>
      <c r="V1870" t="s">
        <v>138</v>
      </c>
      <c r="W1870">
        <v>250000</v>
      </c>
      <c r="X1870" t="s">
        <v>53</v>
      </c>
      <c r="AA1870">
        <v>3833</v>
      </c>
      <c r="AB1870">
        <v>2315</v>
      </c>
      <c r="AC1870">
        <v>7415</v>
      </c>
      <c r="AD1870">
        <v>6200</v>
      </c>
      <c r="AE1870">
        <v>7415</v>
      </c>
      <c r="AF1870">
        <v>6</v>
      </c>
      <c r="AG1870">
        <v>158</v>
      </c>
      <c r="AH1870">
        <v>124.1244430541992</v>
      </c>
      <c r="AJ1870">
        <v>28070.470703125</v>
      </c>
      <c r="AK1870" t="s">
        <v>54</v>
      </c>
      <c r="AL1870" t="s">
        <v>54</v>
      </c>
      <c r="AQ1870" t="s">
        <v>54</v>
      </c>
      <c r="AT1870" t="s">
        <v>8563</v>
      </c>
      <c r="AW1870" t="s">
        <v>8390</v>
      </c>
      <c r="AZ1870" t="s">
        <v>54</v>
      </c>
      <c r="BA1870" t="s">
        <v>8535</v>
      </c>
    </row>
    <row r="1871" spans="1:53" x14ac:dyDescent="0.25">
      <c r="A1871">
        <v>1866</v>
      </c>
      <c r="B1871" t="s">
        <v>9034</v>
      </c>
      <c r="C1871" t="s">
        <v>9035</v>
      </c>
      <c r="D1871" t="s">
        <v>9036</v>
      </c>
      <c r="E1871">
        <v>11</v>
      </c>
      <c r="F1871" t="s">
        <v>8529</v>
      </c>
      <c r="G1871" t="s">
        <v>544</v>
      </c>
      <c r="H1871" t="s">
        <v>9037</v>
      </c>
      <c r="K1871" t="s">
        <v>9038</v>
      </c>
      <c r="L1871" t="s">
        <v>9039</v>
      </c>
      <c r="M1871">
        <v>886.53326416015625</v>
      </c>
      <c r="N1871" t="s">
        <v>54</v>
      </c>
      <c r="O1871" t="s">
        <v>53</v>
      </c>
      <c r="P1871" t="s">
        <v>53</v>
      </c>
      <c r="Q1871" t="s">
        <v>53</v>
      </c>
      <c r="R1871" t="s">
        <v>53</v>
      </c>
      <c r="S1871" t="s">
        <v>556</v>
      </c>
      <c r="T1871" t="s">
        <v>9040</v>
      </c>
      <c r="U1871" t="s">
        <v>53</v>
      </c>
      <c r="V1871" t="s">
        <v>138</v>
      </c>
      <c r="W1871">
        <v>100000</v>
      </c>
      <c r="X1871" t="s">
        <v>53</v>
      </c>
      <c r="AA1871">
        <v>1808</v>
      </c>
      <c r="AB1871">
        <v>1382</v>
      </c>
      <c r="AC1871">
        <v>3643</v>
      </c>
      <c r="AD1871">
        <v>4019</v>
      </c>
      <c r="AE1871">
        <v>4019</v>
      </c>
      <c r="AF1871">
        <v>60</v>
      </c>
      <c r="AG1871">
        <v>5</v>
      </c>
      <c r="AH1871">
        <v>98.505653381347656</v>
      </c>
      <c r="AJ1871">
        <v>33695.70703125</v>
      </c>
      <c r="AK1871" t="s">
        <v>53</v>
      </c>
      <c r="AL1871" t="s">
        <v>54</v>
      </c>
      <c r="AQ1871" t="s">
        <v>54</v>
      </c>
      <c r="AT1871" t="s">
        <v>547</v>
      </c>
      <c r="AU1871" s="148">
        <v>43221</v>
      </c>
      <c r="AW1871" t="s">
        <v>8390</v>
      </c>
      <c r="AZ1871" t="s">
        <v>54</v>
      </c>
      <c r="BA1871" t="s">
        <v>8535</v>
      </c>
    </row>
    <row r="1872" spans="1:53" x14ac:dyDescent="0.25">
      <c r="A1872">
        <v>1867</v>
      </c>
      <c r="B1872" t="s">
        <v>9041</v>
      </c>
      <c r="C1872" t="s">
        <v>9042</v>
      </c>
      <c r="D1872" t="s">
        <v>9043</v>
      </c>
      <c r="E1872">
        <v>11</v>
      </c>
      <c r="F1872" t="s">
        <v>8529</v>
      </c>
      <c r="G1872" t="s">
        <v>544</v>
      </c>
      <c r="H1872" t="s">
        <v>9037</v>
      </c>
      <c r="K1872" t="s">
        <v>9038</v>
      </c>
      <c r="L1872" t="s">
        <v>8532</v>
      </c>
      <c r="M1872">
        <v>886.53326416015625</v>
      </c>
      <c r="N1872" t="s">
        <v>54</v>
      </c>
      <c r="O1872" t="s">
        <v>53</v>
      </c>
      <c r="P1872" t="s">
        <v>53</v>
      </c>
      <c r="Q1872" t="s">
        <v>53</v>
      </c>
      <c r="R1872" t="s">
        <v>53</v>
      </c>
      <c r="S1872" t="s">
        <v>556</v>
      </c>
      <c r="T1872" t="s">
        <v>9040</v>
      </c>
      <c r="U1872" t="s">
        <v>53</v>
      </c>
      <c r="V1872" t="s">
        <v>138</v>
      </c>
      <c r="W1872">
        <v>150000</v>
      </c>
      <c r="X1872" t="s">
        <v>53</v>
      </c>
      <c r="AA1872">
        <v>1808</v>
      </c>
      <c r="AB1872">
        <v>1382</v>
      </c>
      <c r="AC1872">
        <v>3643</v>
      </c>
      <c r="AD1872">
        <v>4019</v>
      </c>
      <c r="AE1872">
        <v>4019</v>
      </c>
      <c r="AF1872">
        <v>60</v>
      </c>
      <c r="AG1872">
        <v>5</v>
      </c>
      <c r="AH1872">
        <v>98.505653381347656</v>
      </c>
      <c r="AJ1872">
        <v>33695.70703125</v>
      </c>
      <c r="AK1872" t="s">
        <v>54</v>
      </c>
      <c r="AL1872" t="s">
        <v>54</v>
      </c>
      <c r="AQ1872" t="s">
        <v>54</v>
      </c>
      <c r="AT1872" t="s">
        <v>547</v>
      </c>
      <c r="AU1872" s="148">
        <v>43221</v>
      </c>
      <c r="AW1872" t="s">
        <v>8390</v>
      </c>
      <c r="AZ1872" t="s">
        <v>54</v>
      </c>
      <c r="BA1872" t="s">
        <v>8535</v>
      </c>
    </row>
    <row r="1873" spans="1:53" x14ac:dyDescent="0.25">
      <c r="A1873">
        <v>1868</v>
      </c>
      <c r="B1873" t="s">
        <v>9044</v>
      </c>
      <c r="C1873" t="s">
        <v>9045</v>
      </c>
      <c r="D1873" t="s">
        <v>9046</v>
      </c>
      <c r="E1873">
        <v>11</v>
      </c>
      <c r="F1873" t="s">
        <v>8529</v>
      </c>
      <c r="G1873" t="s">
        <v>544</v>
      </c>
      <c r="H1873" t="s">
        <v>9037</v>
      </c>
      <c r="K1873" t="s">
        <v>9038</v>
      </c>
      <c r="L1873" t="s">
        <v>8532</v>
      </c>
      <c r="M1873">
        <v>886.53326416015625</v>
      </c>
      <c r="N1873" t="s">
        <v>54</v>
      </c>
      <c r="O1873" t="s">
        <v>53</v>
      </c>
      <c r="P1873" t="s">
        <v>53</v>
      </c>
      <c r="Q1873" t="s">
        <v>53</v>
      </c>
      <c r="R1873" t="s">
        <v>53</v>
      </c>
      <c r="S1873" t="s">
        <v>556</v>
      </c>
      <c r="T1873" t="s">
        <v>9040</v>
      </c>
      <c r="U1873" t="s">
        <v>53</v>
      </c>
      <c r="V1873" t="s">
        <v>138</v>
      </c>
      <c r="W1873">
        <v>500000</v>
      </c>
      <c r="X1873" t="s">
        <v>53</v>
      </c>
      <c r="AA1873">
        <v>1808</v>
      </c>
      <c r="AB1873">
        <v>1382</v>
      </c>
      <c r="AC1873">
        <v>3643</v>
      </c>
      <c r="AD1873">
        <v>4019</v>
      </c>
      <c r="AE1873">
        <v>4019</v>
      </c>
      <c r="AF1873">
        <v>60</v>
      </c>
      <c r="AG1873">
        <v>5</v>
      </c>
      <c r="AH1873">
        <v>98.505653381347656</v>
      </c>
      <c r="AJ1873">
        <v>33695.70703125</v>
      </c>
      <c r="AK1873" t="s">
        <v>54</v>
      </c>
      <c r="AL1873" t="s">
        <v>54</v>
      </c>
      <c r="AQ1873" t="s">
        <v>54</v>
      </c>
      <c r="AT1873" t="s">
        <v>547</v>
      </c>
      <c r="AU1873" s="148">
        <v>43221</v>
      </c>
      <c r="AW1873" t="s">
        <v>8390</v>
      </c>
      <c r="AZ1873" t="s">
        <v>54</v>
      </c>
      <c r="BA1873" t="s">
        <v>8535</v>
      </c>
    </row>
    <row r="1874" spans="1:53" x14ac:dyDescent="0.25">
      <c r="A1874">
        <v>1869</v>
      </c>
      <c r="B1874" t="s">
        <v>9047</v>
      </c>
      <c r="C1874" t="s">
        <v>9048</v>
      </c>
      <c r="D1874" t="s">
        <v>9049</v>
      </c>
      <c r="E1874">
        <v>11</v>
      </c>
      <c r="F1874" t="s">
        <v>8529</v>
      </c>
      <c r="G1874" t="s">
        <v>544</v>
      </c>
      <c r="H1874" t="s">
        <v>8833</v>
      </c>
      <c r="K1874" t="s">
        <v>9050</v>
      </c>
      <c r="L1874" t="s">
        <v>8532</v>
      </c>
      <c r="M1874">
        <v>3.5412829369306557E-2</v>
      </c>
      <c r="N1874" t="s">
        <v>53</v>
      </c>
      <c r="O1874" t="s">
        <v>53</v>
      </c>
      <c r="P1874" t="s">
        <v>53</v>
      </c>
      <c r="Q1874" t="s">
        <v>53</v>
      </c>
      <c r="R1874" t="s">
        <v>53</v>
      </c>
      <c r="S1874" t="s">
        <v>556</v>
      </c>
      <c r="T1874" t="s">
        <v>9051</v>
      </c>
      <c r="U1874" t="s">
        <v>53</v>
      </c>
      <c r="V1874" t="s">
        <v>51</v>
      </c>
      <c r="W1874">
        <v>100000</v>
      </c>
      <c r="X1874" t="s">
        <v>53</v>
      </c>
      <c r="AA1874">
        <v>0</v>
      </c>
      <c r="AB1874">
        <v>0</v>
      </c>
      <c r="AC1874">
        <v>0</v>
      </c>
      <c r="AD1874">
        <v>0</v>
      </c>
      <c r="AE1874">
        <v>0</v>
      </c>
      <c r="AF1874">
        <v>0</v>
      </c>
      <c r="AG1874">
        <v>0</v>
      </c>
      <c r="AH1874">
        <v>0</v>
      </c>
      <c r="AJ1874">
        <v>0</v>
      </c>
      <c r="AK1874" t="s">
        <v>54</v>
      </c>
      <c r="AL1874" t="s">
        <v>54</v>
      </c>
      <c r="AQ1874" t="s">
        <v>54</v>
      </c>
      <c r="AT1874" t="s">
        <v>547</v>
      </c>
      <c r="AU1874" s="148">
        <v>43221</v>
      </c>
      <c r="AW1874" t="s">
        <v>53</v>
      </c>
      <c r="AZ1874" t="s">
        <v>54</v>
      </c>
      <c r="BA1874" t="s">
        <v>8535</v>
      </c>
    </row>
    <row r="1875" spans="1:53" x14ac:dyDescent="0.25">
      <c r="A1875">
        <v>1870</v>
      </c>
      <c r="B1875" t="s">
        <v>9052</v>
      </c>
      <c r="C1875" t="s">
        <v>9053</v>
      </c>
      <c r="D1875" t="s">
        <v>9054</v>
      </c>
      <c r="E1875">
        <v>11</v>
      </c>
      <c r="F1875" t="s">
        <v>8529</v>
      </c>
      <c r="G1875" t="s">
        <v>544</v>
      </c>
      <c r="H1875" t="s">
        <v>9037</v>
      </c>
      <c r="K1875" t="s">
        <v>9038</v>
      </c>
      <c r="L1875" t="s">
        <v>9055</v>
      </c>
      <c r="M1875">
        <v>886.53326416015625</v>
      </c>
      <c r="N1875" t="s">
        <v>54</v>
      </c>
      <c r="O1875" t="s">
        <v>53</v>
      </c>
      <c r="P1875" t="s">
        <v>53</v>
      </c>
      <c r="Q1875" t="s">
        <v>53</v>
      </c>
      <c r="R1875" t="s">
        <v>53</v>
      </c>
      <c r="S1875" t="s">
        <v>556</v>
      </c>
      <c r="T1875" t="s">
        <v>9040</v>
      </c>
      <c r="U1875" t="s">
        <v>53</v>
      </c>
      <c r="V1875" t="s">
        <v>51</v>
      </c>
      <c r="W1875">
        <v>500000</v>
      </c>
      <c r="X1875" t="s">
        <v>53</v>
      </c>
      <c r="AA1875">
        <v>1808</v>
      </c>
      <c r="AB1875">
        <v>1382</v>
      </c>
      <c r="AC1875">
        <v>3643</v>
      </c>
      <c r="AD1875">
        <v>4019</v>
      </c>
      <c r="AE1875">
        <v>4019</v>
      </c>
      <c r="AF1875">
        <v>60</v>
      </c>
      <c r="AG1875">
        <v>5</v>
      </c>
      <c r="AH1875">
        <v>98.505653381347656</v>
      </c>
      <c r="AJ1875">
        <v>33695.70703125</v>
      </c>
      <c r="AK1875" t="s">
        <v>54</v>
      </c>
      <c r="AL1875" t="s">
        <v>54</v>
      </c>
      <c r="AQ1875" t="s">
        <v>54</v>
      </c>
      <c r="AT1875" t="s">
        <v>547</v>
      </c>
      <c r="AU1875" s="148">
        <v>43221</v>
      </c>
      <c r="AW1875" t="s">
        <v>8390</v>
      </c>
      <c r="AZ1875" t="s">
        <v>54</v>
      </c>
      <c r="BA1875" t="s">
        <v>8535</v>
      </c>
    </row>
    <row r="1876" spans="1:53" x14ac:dyDescent="0.25">
      <c r="A1876">
        <v>1871</v>
      </c>
      <c r="B1876" t="s">
        <v>9056</v>
      </c>
      <c r="C1876" t="s">
        <v>9057</v>
      </c>
      <c r="D1876" t="s">
        <v>8841</v>
      </c>
      <c r="E1876">
        <v>11</v>
      </c>
      <c r="F1876" t="s">
        <v>8529</v>
      </c>
      <c r="G1876" t="s">
        <v>544</v>
      </c>
      <c r="H1876" t="s">
        <v>9037</v>
      </c>
      <c r="K1876" t="s">
        <v>9038</v>
      </c>
      <c r="L1876" t="s">
        <v>8532</v>
      </c>
      <c r="M1876">
        <v>886.53326416015625</v>
      </c>
      <c r="N1876" t="s">
        <v>54</v>
      </c>
      <c r="O1876" t="s">
        <v>53</v>
      </c>
      <c r="P1876" t="s">
        <v>53</v>
      </c>
      <c r="Q1876" t="s">
        <v>53</v>
      </c>
      <c r="R1876" t="s">
        <v>53</v>
      </c>
      <c r="S1876" t="s">
        <v>556</v>
      </c>
      <c r="T1876" t="s">
        <v>9040</v>
      </c>
      <c r="U1876" t="s">
        <v>53</v>
      </c>
      <c r="V1876" t="s">
        <v>51</v>
      </c>
      <c r="W1876">
        <v>300000</v>
      </c>
      <c r="X1876" t="s">
        <v>53</v>
      </c>
      <c r="AA1876">
        <v>1808</v>
      </c>
      <c r="AB1876">
        <v>1382</v>
      </c>
      <c r="AC1876">
        <v>3643</v>
      </c>
      <c r="AD1876">
        <v>4019</v>
      </c>
      <c r="AE1876">
        <v>4019</v>
      </c>
      <c r="AF1876">
        <v>60</v>
      </c>
      <c r="AG1876">
        <v>5</v>
      </c>
      <c r="AH1876">
        <v>98.505653381347656</v>
      </c>
      <c r="AJ1876">
        <v>33695.70703125</v>
      </c>
      <c r="AK1876" t="s">
        <v>54</v>
      </c>
      <c r="AL1876" t="s">
        <v>54</v>
      </c>
      <c r="AQ1876" t="s">
        <v>54</v>
      </c>
      <c r="AT1876" t="s">
        <v>547</v>
      </c>
      <c r="AU1876" s="148">
        <v>43221</v>
      </c>
      <c r="AW1876" t="s">
        <v>8390</v>
      </c>
      <c r="AZ1876" t="s">
        <v>54</v>
      </c>
      <c r="BA1876" t="s">
        <v>8535</v>
      </c>
    </row>
    <row r="1877" spans="1:53" x14ac:dyDescent="0.25">
      <c r="A1877">
        <v>1872</v>
      </c>
      <c r="B1877" t="s">
        <v>9058</v>
      </c>
      <c r="C1877" t="s">
        <v>9059</v>
      </c>
      <c r="D1877" t="s">
        <v>9060</v>
      </c>
      <c r="E1877">
        <v>11</v>
      </c>
      <c r="F1877" t="s">
        <v>8529</v>
      </c>
      <c r="G1877" t="s">
        <v>9061</v>
      </c>
      <c r="H1877" t="s">
        <v>8567</v>
      </c>
      <c r="K1877" t="s">
        <v>8766</v>
      </c>
      <c r="L1877" t="s">
        <v>8560</v>
      </c>
      <c r="M1877">
        <v>805.7767333984375</v>
      </c>
      <c r="N1877" t="s">
        <v>54</v>
      </c>
      <c r="O1877" t="s">
        <v>53</v>
      </c>
      <c r="P1877" t="s">
        <v>53</v>
      </c>
      <c r="Q1877" t="s">
        <v>53</v>
      </c>
      <c r="R1877" t="s">
        <v>53</v>
      </c>
      <c r="S1877" t="s">
        <v>9062</v>
      </c>
      <c r="T1877" t="s">
        <v>9063</v>
      </c>
      <c r="U1877" t="s">
        <v>53</v>
      </c>
      <c r="V1877" t="s">
        <v>138</v>
      </c>
      <c r="W1877">
        <v>500000</v>
      </c>
      <c r="X1877" t="s">
        <v>53</v>
      </c>
      <c r="AA1877">
        <v>18</v>
      </c>
      <c r="AB1877">
        <v>9</v>
      </c>
      <c r="AC1877">
        <v>10</v>
      </c>
      <c r="AD1877">
        <v>33</v>
      </c>
      <c r="AE1877">
        <v>33</v>
      </c>
      <c r="AF1877">
        <v>0</v>
      </c>
      <c r="AG1877">
        <v>0</v>
      </c>
      <c r="AH1877">
        <v>3.9509081840515141</v>
      </c>
      <c r="AJ1877">
        <v>2119.96484375</v>
      </c>
      <c r="AK1877" t="s">
        <v>54</v>
      </c>
      <c r="AL1877" t="s">
        <v>54</v>
      </c>
      <c r="AQ1877" t="s">
        <v>54</v>
      </c>
      <c r="AT1877" t="s">
        <v>9064</v>
      </c>
      <c r="AU1877" s="148">
        <v>43928</v>
      </c>
      <c r="AW1877" t="s">
        <v>53</v>
      </c>
      <c r="AZ1877" t="s">
        <v>54</v>
      </c>
      <c r="BA1877" t="s">
        <v>8535</v>
      </c>
    </row>
    <row r="1878" spans="1:53" x14ac:dyDescent="0.25">
      <c r="A1878">
        <v>1873</v>
      </c>
      <c r="B1878" t="s">
        <v>9065</v>
      </c>
      <c r="C1878" t="s">
        <v>9066</v>
      </c>
      <c r="D1878" t="s">
        <v>9067</v>
      </c>
      <c r="E1878">
        <v>11</v>
      </c>
      <c r="F1878" t="s">
        <v>8529</v>
      </c>
      <c r="G1878" t="s">
        <v>9061</v>
      </c>
      <c r="H1878" t="s">
        <v>8567</v>
      </c>
      <c r="K1878" t="s">
        <v>8766</v>
      </c>
      <c r="L1878" t="s">
        <v>8550</v>
      </c>
      <c r="M1878">
        <v>805.7767333984375</v>
      </c>
      <c r="N1878" t="s">
        <v>54</v>
      </c>
      <c r="O1878" t="s">
        <v>53</v>
      </c>
      <c r="P1878" t="s">
        <v>53</v>
      </c>
      <c r="Q1878" t="s">
        <v>53</v>
      </c>
      <c r="R1878" t="s">
        <v>53</v>
      </c>
      <c r="S1878" t="s">
        <v>9062</v>
      </c>
      <c r="T1878" t="s">
        <v>9063</v>
      </c>
      <c r="U1878" t="s">
        <v>53</v>
      </c>
      <c r="V1878" t="s">
        <v>51</v>
      </c>
      <c r="W1878">
        <v>150000</v>
      </c>
      <c r="X1878" t="s">
        <v>53</v>
      </c>
      <c r="AA1878">
        <v>18</v>
      </c>
      <c r="AB1878">
        <v>9</v>
      </c>
      <c r="AC1878">
        <v>10</v>
      </c>
      <c r="AD1878">
        <v>33</v>
      </c>
      <c r="AE1878">
        <v>33</v>
      </c>
      <c r="AF1878">
        <v>0</v>
      </c>
      <c r="AG1878">
        <v>0</v>
      </c>
      <c r="AH1878">
        <v>3.9509081840515141</v>
      </c>
      <c r="AJ1878">
        <v>2119.96484375</v>
      </c>
      <c r="AK1878" t="s">
        <v>54</v>
      </c>
      <c r="AL1878" t="s">
        <v>54</v>
      </c>
      <c r="AQ1878" t="s">
        <v>54</v>
      </c>
      <c r="AT1878" t="s">
        <v>9064</v>
      </c>
      <c r="AU1878" s="148">
        <v>43928</v>
      </c>
      <c r="AW1878" t="s">
        <v>53</v>
      </c>
      <c r="AZ1878" t="s">
        <v>54</v>
      </c>
      <c r="BA1878" t="s">
        <v>8535</v>
      </c>
    </row>
    <row r="1879" spans="1:53" x14ac:dyDescent="0.25">
      <c r="A1879">
        <v>1874</v>
      </c>
      <c r="B1879" t="s">
        <v>9068</v>
      </c>
      <c r="C1879" t="s">
        <v>9069</v>
      </c>
      <c r="D1879" t="s">
        <v>9070</v>
      </c>
      <c r="E1879">
        <v>11</v>
      </c>
      <c r="F1879" t="s">
        <v>8529</v>
      </c>
      <c r="G1879" t="s">
        <v>9061</v>
      </c>
      <c r="H1879" t="s">
        <v>8567</v>
      </c>
      <c r="K1879" t="s">
        <v>8766</v>
      </c>
      <c r="L1879" t="s">
        <v>8532</v>
      </c>
      <c r="M1879">
        <v>805.7767333984375</v>
      </c>
      <c r="N1879" t="s">
        <v>54</v>
      </c>
      <c r="O1879" t="s">
        <v>53</v>
      </c>
      <c r="P1879" t="s">
        <v>53</v>
      </c>
      <c r="Q1879" t="s">
        <v>53</v>
      </c>
      <c r="R1879" t="s">
        <v>53</v>
      </c>
      <c r="S1879" t="s">
        <v>9062</v>
      </c>
      <c r="T1879" t="s">
        <v>9063</v>
      </c>
      <c r="U1879" t="s">
        <v>53</v>
      </c>
      <c r="V1879" t="s">
        <v>51</v>
      </c>
      <c r="W1879">
        <v>150000</v>
      </c>
      <c r="X1879" t="s">
        <v>53</v>
      </c>
      <c r="AA1879">
        <v>18</v>
      </c>
      <c r="AB1879">
        <v>9</v>
      </c>
      <c r="AC1879">
        <v>10</v>
      </c>
      <c r="AD1879">
        <v>33</v>
      </c>
      <c r="AE1879">
        <v>33</v>
      </c>
      <c r="AF1879">
        <v>0</v>
      </c>
      <c r="AG1879">
        <v>0</v>
      </c>
      <c r="AH1879">
        <v>3.9509081840515141</v>
      </c>
      <c r="AJ1879">
        <v>2119.96484375</v>
      </c>
      <c r="AK1879" t="s">
        <v>54</v>
      </c>
      <c r="AL1879" t="s">
        <v>54</v>
      </c>
      <c r="AQ1879" t="s">
        <v>54</v>
      </c>
      <c r="AT1879" t="s">
        <v>9064</v>
      </c>
      <c r="AU1879" s="148">
        <v>43928</v>
      </c>
      <c r="AW1879" t="s">
        <v>53</v>
      </c>
      <c r="AZ1879" t="s">
        <v>54</v>
      </c>
      <c r="BA1879" t="s">
        <v>8535</v>
      </c>
    </row>
    <row r="1880" spans="1:53" x14ac:dyDescent="0.25">
      <c r="A1880">
        <v>1875</v>
      </c>
      <c r="B1880" t="s">
        <v>9071</v>
      </c>
      <c r="C1880" t="s">
        <v>9072</v>
      </c>
      <c r="D1880" t="s">
        <v>9073</v>
      </c>
      <c r="E1880">
        <v>11</v>
      </c>
      <c r="F1880" t="s">
        <v>8529</v>
      </c>
      <c r="G1880" t="s">
        <v>152</v>
      </c>
      <c r="H1880" t="s">
        <v>8602</v>
      </c>
      <c r="K1880" t="s">
        <v>8603</v>
      </c>
      <c r="L1880" t="s">
        <v>8560</v>
      </c>
      <c r="M1880">
        <v>710.98199462890625</v>
      </c>
      <c r="N1880" t="s">
        <v>54</v>
      </c>
      <c r="O1880" t="s">
        <v>53</v>
      </c>
      <c r="P1880" t="s">
        <v>53</v>
      </c>
      <c r="Q1880" t="s">
        <v>53</v>
      </c>
      <c r="R1880" t="s">
        <v>53</v>
      </c>
      <c r="S1880" t="s">
        <v>163</v>
      </c>
      <c r="T1880" t="s">
        <v>8604</v>
      </c>
      <c r="U1880" t="s">
        <v>53</v>
      </c>
      <c r="V1880" t="s">
        <v>51</v>
      </c>
      <c r="W1880">
        <v>100000</v>
      </c>
      <c r="X1880" t="s">
        <v>53</v>
      </c>
      <c r="AA1880">
        <v>167</v>
      </c>
      <c r="AB1880">
        <v>122</v>
      </c>
      <c r="AC1880">
        <v>95</v>
      </c>
      <c r="AD1880">
        <v>256</v>
      </c>
      <c r="AE1880">
        <v>256</v>
      </c>
      <c r="AF1880">
        <v>0</v>
      </c>
      <c r="AG1880">
        <v>30</v>
      </c>
      <c r="AH1880">
        <v>14.201408386230471</v>
      </c>
      <c r="AJ1880">
        <v>4091.820556640625</v>
      </c>
      <c r="AK1880" t="s">
        <v>54</v>
      </c>
      <c r="AL1880" t="s">
        <v>54</v>
      </c>
      <c r="AQ1880" t="s">
        <v>54</v>
      </c>
      <c r="AT1880" t="s">
        <v>155</v>
      </c>
      <c r="AU1880" s="148">
        <v>42644</v>
      </c>
      <c r="AW1880" t="s">
        <v>53</v>
      </c>
      <c r="AZ1880" t="s">
        <v>54</v>
      </c>
      <c r="BA1880" t="s">
        <v>8535</v>
      </c>
    </row>
    <row r="1881" spans="1:53" x14ac:dyDescent="0.25">
      <c r="A1881">
        <v>1876</v>
      </c>
      <c r="B1881" t="s">
        <v>9074</v>
      </c>
      <c r="C1881" t="s">
        <v>9075</v>
      </c>
      <c r="D1881" t="s">
        <v>9076</v>
      </c>
      <c r="E1881">
        <v>11</v>
      </c>
      <c r="F1881" t="s">
        <v>8529</v>
      </c>
      <c r="G1881" t="s">
        <v>8529</v>
      </c>
      <c r="H1881" t="s">
        <v>8567</v>
      </c>
      <c r="K1881" t="s">
        <v>9077</v>
      </c>
      <c r="L1881" t="s">
        <v>8560</v>
      </c>
      <c r="M1881">
        <v>59.214229583740227</v>
      </c>
      <c r="N1881" t="s">
        <v>54</v>
      </c>
      <c r="O1881" t="s">
        <v>53</v>
      </c>
      <c r="P1881" t="s">
        <v>53</v>
      </c>
      <c r="Q1881" t="s">
        <v>53</v>
      </c>
      <c r="R1881" t="s">
        <v>53</v>
      </c>
      <c r="S1881" t="s">
        <v>9078</v>
      </c>
      <c r="T1881" t="s">
        <v>9079</v>
      </c>
      <c r="U1881" t="s">
        <v>53</v>
      </c>
      <c r="V1881" t="s">
        <v>162</v>
      </c>
      <c r="W1881">
        <v>500000</v>
      </c>
      <c r="X1881" t="s">
        <v>53</v>
      </c>
      <c r="AA1881">
        <v>846</v>
      </c>
      <c r="AB1881">
        <v>642</v>
      </c>
      <c r="AC1881">
        <v>1746</v>
      </c>
      <c r="AD1881">
        <v>2283</v>
      </c>
      <c r="AE1881">
        <v>2283</v>
      </c>
      <c r="AF1881">
        <v>5</v>
      </c>
      <c r="AG1881">
        <v>8</v>
      </c>
      <c r="AH1881">
        <v>25.202535629272461</v>
      </c>
      <c r="AJ1881">
        <v>1157.076171875</v>
      </c>
      <c r="AK1881" t="s">
        <v>53</v>
      </c>
      <c r="AL1881" t="s">
        <v>54</v>
      </c>
      <c r="AQ1881" t="s">
        <v>54</v>
      </c>
      <c r="AT1881" t="s">
        <v>8804</v>
      </c>
      <c r="AU1881" s="148">
        <v>44470</v>
      </c>
      <c r="AW1881" t="s">
        <v>8390</v>
      </c>
      <c r="AZ1881" t="s">
        <v>54</v>
      </c>
      <c r="BA1881" t="s">
        <v>8535</v>
      </c>
    </row>
    <row r="1882" spans="1:53" x14ac:dyDescent="0.25">
      <c r="A1882">
        <v>1877</v>
      </c>
      <c r="B1882" t="s">
        <v>9080</v>
      </c>
      <c r="C1882" t="s">
        <v>9081</v>
      </c>
      <c r="D1882" t="s">
        <v>9082</v>
      </c>
      <c r="E1882">
        <v>11</v>
      </c>
      <c r="F1882" t="s">
        <v>8529</v>
      </c>
      <c r="G1882" t="s">
        <v>8529</v>
      </c>
      <c r="H1882" t="s">
        <v>8567</v>
      </c>
      <c r="K1882" t="s">
        <v>9077</v>
      </c>
      <c r="L1882" t="s">
        <v>8532</v>
      </c>
      <c r="M1882">
        <v>59.214229583740227</v>
      </c>
      <c r="N1882" t="s">
        <v>54</v>
      </c>
      <c r="O1882" t="s">
        <v>53</v>
      </c>
      <c r="P1882" t="s">
        <v>53</v>
      </c>
      <c r="Q1882" t="s">
        <v>53</v>
      </c>
      <c r="R1882" t="s">
        <v>53</v>
      </c>
      <c r="S1882" t="s">
        <v>9078</v>
      </c>
      <c r="T1882" t="s">
        <v>9079</v>
      </c>
      <c r="U1882" t="s">
        <v>53</v>
      </c>
      <c r="V1882" t="s">
        <v>138</v>
      </c>
      <c r="W1882">
        <v>1000000</v>
      </c>
      <c r="X1882" t="s">
        <v>53</v>
      </c>
      <c r="AA1882">
        <v>846</v>
      </c>
      <c r="AB1882">
        <v>642</v>
      </c>
      <c r="AC1882">
        <v>1746</v>
      </c>
      <c r="AD1882">
        <v>2283</v>
      </c>
      <c r="AE1882">
        <v>2283</v>
      </c>
      <c r="AF1882">
        <v>5</v>
      </c>
      <c r="AG1882">
        <v>8</v>
      </c>
      <c r="AH1882">
        <v>25.202535629272461</v>
      </c>
      <c r="AJ1882">
        <v>1157.076171875</v>
      </c>
      <c r="AK1882" t="s">
        <v>54</v>
      </c>
      <c r="AL1882" t="s">
        <v>54</v>
      </c>
      <c r="AQ1882" t="s">
        <v>54</v>
      </c>
      <c r="AT1882" t="s">
        <v>8804</v>
      </c>
      <c r="AU1882" s="148">
        <v>44470</v>
      </c>
      <c r="AW1882" t="s">
        <v>8390</v>
      </c>
      <c r="AZ1882" t="s">
        <v>54</v>
      </c>
      <c r="BA1882" t="s">
        <v>8535</v>
      </c>
    </row>
    <row r="1883" spans="1:53" x14ac:dyDescent="0.25">
      <c r="A1883">
        <v>1878</v>
      </c>
      <c r="B1883" t="s">
        <v>9083</v>
      </c>
      <c r="C1883" t="s">
        <v>9084</v>
      </c>
      <c r="D1883" t="s">
        <v>9085</v>
      </c>
      <c r="E1883">
        <v>11</v>
      </c>
      <c r="F1883" t="s">
        <v>8529</v>
      </c>
      <c r="G1883" t="s">
        <v>413</v>
      </c>
      <c r="H1883" t="s">
        <v>8530</v>
      </c>
      <c r="K1883" t="s">
        <v>9086</v>
      </c>
      <c r="L1883" t="s">
        <v>8608</v>
      </c>
      <c r="M1883">
        <v>3.203316211700439</v>
      </c>
      <c r="N1883" t="s">
        <v>54</v>
      </c>
      <c r="O1883" t="s">
        <v>53</v>
      </c>
      <c r="P1883" t="s">
        <v>53</v>
      </c>
      <c r="Q1883" t="s">
        <v>53</v>
      </c>
      <c r="R1883" t="s">
        <v>53</v>
      </c>
      <c r="S1883" t="s">
        <v>415</v>
      </c>
      <c r="T1883" t="s">
        <v>9087</v>
      </c>
      <c r="U1883" t="s">
        <v>53</v>
      </c>
      <c r="V1883" t="s">
        <v>51</v>
      </c>
      <c r="W1883">
        <v>113855</v>
      </c>
      <c r="X1883" t="s">
        <v>53</v>
      </c>
      <c r="AA1883">
        <v>439</v>
      </c>
      <c r="AB1883">
        <v>290</v>
      </c>
      <c r="AC1883">
        <v>437</v>
      </c>
      <c r="AD1883">
        <v>574</v>
      </c>
      <c r="AE1883">
        <v>574</v>
      </c>
      <c r="AF1883">
        <v>0</v>
      </c>
      <c r="AG1883">
        <v>5</v>
      </c>
      <c r="AH1883">
        <v>10.69052696228027</v>
      </c>
      <c r="AJ1883">
        <v>745.26556396484375</v>
      </c>
      <c r="AK1883" t="s">
        <v>54</v>
      </c>
      <c r="AL1883" t="s">
        <v>54</v>
      </c>
      <c r="AQ1883" t="s">
        <v>54</v>
      </c>
      <c r="AT1883" t="s">
        <v>8563</v>
      </c>
      <c r="AW1883" t="s">
        <v>8390</v>
      </c>
      <c r="AZ1883" t="s">
        <v>54</v>
      </c>
      <c r="BA1883" t="s">
        <v>8535</v>
      </c>
    </row>
    <row r="1884" spans="1:53" x14ac:dyDescent="0.25">
      <c r="A1884">
        <v>1879</v>
      </c>
      <c r="B1884" t="s">
        <v>9088</v>
      </c>
      <c r="C1884" t="s">
        <v>9089</v>
      </c>
      <c r="D1884" t="s">
        <v>9090</v>
      </c>
      <c r="E1884">
        <v>11</v>
      </c>
      <c r="F1884" t="s">
        <v>8529</v>
      </c>
      <c r="G1884" t="s">
        <v>544</v>
      </c>
      <c r="H1884" t="s">
        <v>8833</v>
      </c>
      <c r="K1884" t="s">
        <v>9091</v>
      </c>
      <c r="L1884" t="s">
        <v>8532</v>
      </c>
      <c r="M1884">
        <v>7.7276982367038727E-2</v>
      </c>
      <c r="N1884" t="s">
        <v>54</v>
      </c>
      <c r="O1884" t="s">
        <v>53</v>
      </c>
      <c r="P1884" t="s">
        <v>53</v>
      </c>
      <c r="Q1884" t="s">
        <v>53</v>
      </c>
      <c r="R1884" t="s">
        <v>53</v>
      </c>
      <c r="S1884" t="s">
        <v>546</v>
      </c>
      <c r="T1884" t="s">
        <v>9092</v>
      </c>
      <c r="U1884" t="s">
        <v>53</v>
      </c>
      <c r="V1884" t="s">
        <v>51</v>
      </c>
      <c r="W1884">
        <v>300000</v>
      </c>
      <c r="X1884" t="s">
        <v>53</v>
      </c>
      <c r="AA1884">
        <v>11</v>
      </c>
      <c r="AB1884">
        <v>0</v>
      </c>
      <c r="AC1884">
        <v>13</v>
      </c>
      <c r="AD1884">
        <v>0</v>
      </c>
      <c r="AE1884">
        <v>13</v>
      </c>
      <c r="AF1884">
        <v>11</v>
      </c>
      <c r="AG1884">
        <v>0</v>
      </c>
      <c r="AH1884">
        <v>0</v>
      </c>
      <c r="AJ1884">
        <v>26.776174545288089</v>
      </c>
      <c r="AK1884" t="s">
        <v>54</v>
      </c>
      <c r="AL1884" t="s">
        <v>54</v>
      </c>
      <c r="AQ1884" t="s">
        <v>54</v>
      </c>
      <c r="AT1884" t="s">
        <v>9093</v>
      </c>
      <c r="AW1884" t="s">
        <v>53</v>
      </c>
      <c r="AZ1884" t="s">
        <v>54</v>
      </c>
      <c r="BA1884" t="s">
        <v>8535</v>
      </c>
    </row>
    <row r="1885" spans="1:53" x14ac:dyDescent="0.25">
      <c r="A1885">
        <v>1880</v>
      </c>
      <c r="B1885" t="s">
        <v>9094</v>
      </c>
      <c r="C1885" t="s">
        <v>9095</v>
      </c>
      <c r="D1885" t="s">
        <v>9096</v>
      </c>
      <c r="E1885">
        <v>11</v>
      </c>
      <c r="F1885" t="s">
        <v>8529</v>
      </c>
      <c r="G1885" t="s">
        <v>348</v>
      </c>
      <c r="H1885" t="s">
        <v>8540</v>
      </c>
      <c r="K1885" t="s">
        <v>8779</v>
      </c>
      <c r="L1885" t="s">
        <v>8550</v>
      </c>
      <c r="M1885">
        <v>3.2257000566460192E-4</v>
      </c>
      <c r="N1885" t="s">
        <v>54</v>
      </c>
      <c r="O1885" t="s">
        <v>53</v>
      </c>
      <c r="P1885" t="s">
        <v>53</v>
      </c>
      <c r="Q1885" t="s">
        <v>53</v>
      </c>
      <c r="R1885" t="s">
        <v>53</v>
      </c>
      <c r="S1885" t="s">
        <v>8774</v>
      </c>
      <c r="T1885" t="s">
        <v>8780</v>
      </c>
      <c r="U1885" t="s">
        <v>53</v>
      </c>
      <c r="V1885" t="s">
        <v>51</v>
      </c>
      <c r="W1885">
        <v>50000</v>
      </c>
      <c r="X1885" t="s">
        <v>53</v>
      </c>
      <c r="AA1885">
        <v>0</v>
      </c>
      <c r="AB1885">
        <v>0</v>
      </c>
      <c r="AC1885">
        <v>0</v>
      </c>
      <c r="AD1885">
        <v>0</v>
      </c>
      <c r="AE1885">
        <v>0</v>
      </c>
      <c r="AF1885">
        <v>0</v>
      </c>
      <c r="AG1885">
        <v>1</v>
      </c>
      <c r="AH1885">
        <v>2.8567200526595119E-2</v>
      </c>
      <c r="AJ1885">
        <v>0</v>
      </c>
      <c r="AK1885" t="s">
        <v>54</v>
      </c>
      <c r="AL1885" t="s">
        <v>54</v>
      </c>
      <c r="AQ1885" t="s">
        <v>54</v>
      </c>
      <c r="AT1885" t="s">
        <v>9097</v>
      </c>
      <c r="AW1885" t="s">
        <v>53</v>
      </c>
      <c r="AZ1885" t="s">
        <v>54</v>
      </c>
      <c r="BA1885" t="s">
        <v>8535</v>
      </c>
    </row>
    <row r="1886" spans="1:53" x14ac:dyDescent="0.25">
      <c r="A1886">
        <v>1881</v>
      </c>
      <c r="B1886" t="s">
        <v>9098</v>
      </c>
      <c r="C1886" t="s">
        <v>9099</v>
      </c>
      <c r="D1886" t="s">
        <v>9096</v>
      </c>
      <c r="E1886">
        <v>11</v>
      </c>
      <c r="F1886" t="s">
        <v>8529</v>
      </c>
      <c r="G1886" t="s">
        <v>348</v>
      </c>
      <c r="H1886" t="s">
        <v>8540</v>
      </c>
      <c r="K1886" t="s">
        <v>8779</v>
      </c>
      <c r="L1886" t="s">
        <v>8550</v>
      </c>
      <c r="M1886">
        <v>4.5628999941982329E-4</v>
      </c>
      <c r="N1886" t="s">
        <v>54</v>
      </c>
      <c r="O1886" t="s">
        <v>53</v>
      </c>
      <c r="P1886" t="s">
        <v>53</v>
      </c>
      <c r="Q1886" t="s">
        <v>53</v>
      </c>
      <c r="R1886" t="s">
        <v>53</v>
      </c>
      <c r="S1886" t="s">
        <v>8774</v>
      </c>
      <c r="T1886" t="s">
        <v>8780</v>
      </c>
      <c r="U1886" t="s">
        <v>53</v>
      </c>
      <c r="V1886" t="s">
        <v>51</v>
      </c>
      <c r="W1886">
        <v>50000</v>
      </c>
      <c r="X1886" t="s">
        <v>53</v>
      </c>
      <c r="AA1886">
        <v>0</v>
      </c>
      <c r="AB1886">
        <v>0</v>
      </c>
      <c r="AC1886">
        <v>0</v>
      </c>
      <c r="AD1886">
        <v>0</v>
      </c>
      <c r="AE1886">
        <v>0</v>
      </c>
      <c r="AF1886">
        <v>0</v>
      </c>
      <c r="AG1886">
        <v>1</v>
      </c>
      <c r="AH1886">
        <v>3.6572538316249847E-2</v>
      </c>
      <c r="AJ1886">
        <v>0</v>
      </c>
      <c r="AK1886" t="s">
        <v>54</v>
      </c>
      <c r="AL1886" t="s">
        <v>54</v>
      </c>
      <c r="AQ1886" t="s">
        <v>54</v>
      </c>
      <c r="AT1886" t="s">
        <v>9097</v>
      </c>
      <c r="AW1886" t="s">
        <v>53</v>
      </c>
      <c r="AZ1886" t="s">
        <v>54</v>
      </c>
      <c r="BA1886" t="s">
        <v>8535</v>
      </c>
    </row>
    <row r="1887" spans="1:53" x14ac:dyDescent="0.25">
      <c r="A1887">
        <v>1882</v>
      </c>
      <c r="B1887" t="s">
        <v>9100</v>
      </c>
      <c r="C1887" t="s">
        <v>9101</v>
      </c>
      <c r="D1887" t="s">
        <v>9102</v>
      </c>
      <c r="E1887">
        <v>11</v>
      </c>
      <c r="F1887" t="s">
        <v>8529</v>
      </c>
      <c r="G1887" t="s">
        <v>8944</v>
      </c>
      <c r="H1887" t="s">
        <v>8945</v>
      </c>
      <c r="K1887" t="s">
        <v>8946</v>
      </c>
      <c r="L1887" t="s">
        <v>8532</v>
      </c>
      <c r="M1887">
        <v>6.5629839897155762</v>
      </c>
      <c r="N1887" t="s">
        <v>54</v>
      </c>
      <c r="O1887" t="s">
        <v>53</v>
      </c>
      <c r="P1887" t="s">
        <v>53</v>
      </c>
      <c r="Q1887" t="s">
        <v>53</v>
      </c>
      <c r="R1887" t="s">
        <v>53</v>
      </c>
      <c r="S1887" t="s">
        <v>8956</v>
      </c>
      <c r="T1887" t="s">
        <v>8948</v>
      </c>
      <c r="U1887" t="s">
        <v>53</v>
      </c>
      <c r="V1887" t="s">
        <v>51</v>
      </c>
      <c r="W1887">
        <v>250000</v>
      </c>
      <c r="X1887" t="s">
        <v>53</v>
      </c>
      <c r="AA1887">
        <v>1991</v>
      </c>
      <c r="AB1887">
        <v>1533</v>
      </c>
      <c r="AC1887">
        <v>2585</v>
      </c>
      <c r="AD1887">
        <v>3213</v>
      </c>
      <c r="AE1887">
        <v>3213</v>
      </c>
      <c r="AF1887">
        <v>10</v>
      </c>
      <c r="AG1887">
        <v>2</v>
      </c>
      <c r="AH1887">
        <v>35.163318634033203</v>
      </c>
      <c r="AJ1887">
        <v>116.23760986328119</v>
      </c>
      <c r="AK1887" t="s">
        <v>54</v>
      </c>
      <c r="AL1887" t="s">
        <v>54</v>
      </c>
      <c r="AQ1887" t="s">
        <v>54</v>
      </c>
      <c r="AT1887" t="s">
        <v>9093</v>
      </c>
      <c r="AW1887" t="s">
        <v>8390</v>
      </c>
      <c r="AZ1887" t="s">
        <v>54</v>
      </c>
      <c r="BA1887" t="s">
        <v>8535</v>
      </c>
    </row>
    <row r="1888" spans="1:53" x14ac:dyDescent="0.25">
      <c r="A1888">
        <v>1883</v>
      </c>
      <c r="B1888" t="s">
        <v>9103</v>
      </c>
      <c r="C1888" t="s">
        <v>9104</v>
      </c>
      <c r="D1888" t="s">
        <v>9105</v>
      </c>
      <c r="E1888">
        <v>11</v>
      </c>
      <c r="F1888" t="s">
        <v>8529</v>
      </c>
      <c r="G1888" t="s">
        <v>8575</v>
      </c>
      <c r="H1888" t="s">
        <v>8567</v>
      </c>
      <c r="K1888" t="s">
        <v>8736</v>
      </c>
      <c r="L1888" t="s">
        <v>8532</v>
      </c>
      <c r="M1888">
        <v>0.17324428260326391</v>
      </c>
      <c r="N1888" t="s">
        <v>54</v>
      </c>
      <c r="O1888" t="s">
        <v>53</v>
      </c>
      <c r="P1888" t="s">
        <v>53</v>
      </c>
      <c r="Q1888" t="s">
        <v>53</v>
      </c>
      <c r="R1888" t="s">
        <v>53</v>
      </c>
      <c r="S1888" t="s">
        <v>8737</v>
      </c>
      <c r="T1888" t="s">
        <v>8743</v>
      </c>
      <c r="U1888" t="s">
        <v>53</v>
      </c>
      <c r="V1888" t="s">
        <v>51</v>
      </c>
      <c r="W1888">
        <v>3575700</v>
      </c>
      <c r="X1888" t="s">
        <v>53</v>
      </c>
      <c r="AA1888">
        <v>47</v>
      </c>
      <c r="AB1888">
        <v>23</v>
      </c>
      <c r="AC1888">
        <v>523</v>
      </c>
      <c r="AD1888">
        <v>317</v>
      </c>
      <c r="AE1888">
        <v>523</v>
      </c>
      <c r="AF1888">
        <v>0</v>
      </c>
      <c r="AG1888">
        <v>0</v>
      </c>
      <c r="AH1888">
        <v>0.70844906568527222</v>
      </c>
      <c r="AJ1888">
        <v>0</v>
      </c>
      <c r="AK1888" t="s">
        <v>54</v>
      </c>
      <c r="AL1888" t="s">
        <v>54</v>
      </c>
      <c r="AQ1888" t="s">
        <v>54</v>
      </c>
      <c r="AT1888" t="s">
        <v>9093</v>
      </c>
      <c r="AW1888" t="s">
        <v>8390</v>
      </c>
      <c r="AZ1888" t="s">
        <v>54</v>
      </c>
      <c r="BA1888" t="s">
        <v>8535</v>
      </c>
    </row>
    <row r="1889" spans="1:53" x14ac:dyDescent="0.25">
      <c r="A1889">
        <v>1884</v>
      </c>
      <c r="B1889" t="s">
        <v>9106</v>
      </c>
      <c r="C1889" t="s">
        <v>9107</v>
      </c>
      <c r="D1889" t="s">
        <v>9108</v>
      </c>
      <c r="E1889">
        <v>11</v>
      </c>
      <c r="F1889" t="s">
        <v>8529</v>
      </c>
      <c r="G1889" t="s">
        <v>413</v>
      </c>
      <c r="H1889" t="s">
        <v>9109</v>
      </c>
      <c r="K1889" t="s">
        <v>9110</v>
      </c>
      <c r="L1889" t="s">
        <v>8532</v>
      </c>
      <c r="M1889">
        <v>660.55841064453125</v>
      </c>
      <c r="N1889" t="s">
        <v>54</v>
      </c>
      <c r="O1889" t="s">
        <v>53</v>
      </c>
      <c r="P1889" t="s">
        <v>53</v>
      </c>
      <c r="Q1889" t="s">
        <v>53</v>
      </c>
      <c r="R1889" t="s">
        <v>53</v>
      </c>
      <c r="S1889" t="s">
        <v>415</v>
      </c>
      <c r="T1889" t="s">
        <v>9111</v>
      </c>
      <c r="U1889" t="s">
        <v>53</v>
      </c>
      <c r="V1889" t="s">
        <v>138</v>
      </c>
      <c r="W1889">
        <v>250000</v>
      </c>
      <c r="X1889" t="s">
        <v>53</v>
      </c>
      <c r="AA1889">
        <v>1374</v>
      </c>
      <c r="AB1889">
        <v>716</v>
      </c>
      <c r="AC1889">
        <v>1020</v>
      </c>
      <c r="AD1889">
        <v>1964</v>
      </c>
      <c r="AE1889">
        <v>1964</v>
      </c>
      <c r="AF1889">
        <v>3</v>
      </c>
      <c r="AG1889">
        <v>28</v>
      </c>
      <c r="AH1889">
        <v>44.377647399902337</v>
      </c>
      <c r="AJ1889">
        <v>24197.650390625</v>
      </c>
      <c r="AK1889" t="s">
        <v>54</v>
      </c>
      <c r="AL1889" t="s">
        <v>54</v>
      </c>
      <c r="AQ1889" t="s">
        <v>54</v>
      </c>
      <c r="AT1889" t="s">
        <v>9097</v>
      </c>
      <c r="AW1889" t="s">
        <v>8390</v>
      </c>
      <c r="AZ1889" t="s">
        <v>54</v>
      </c>
      <c r="BA1889" t="s">
        <v>8535</v>
      </c>
    </row>
    <row r="1890" spans="1:53" x14ac:dyDescent="0.25">
      <c r="A1890">
        <v>1885</v>
      </c>
      <c r="B1890" t="s">
        <v>9112</v>
      </c>
      <c r="C1890" t="s">
        <v>9113</v>
      </c>
      <c r="D1890" t="s">
        <v>9114</v>
      </c>
      <c r="E1890">
        <v>11</v>
      </c>
      <c r="F1890" t="s">
        <v>8529</v>
      </c>
      <c r="G1890" t="s">
        <v>413</v>
      </c>
      <c r="H1890" t="s">
        <v>9109</v>
      </c>
      <c r="K1890" t="s">
        <v>9110</v>
      </c>
      <c r="L1890" t="s">
        <v>8550</v>
      </c>
      <c r="M1890">
        <v>660.55841064453125</v>
      </c>
      <c r="N1890" t="s">
        <v>54</v>
      </c>
      <c r="O1890" t="s">
        <v>53</v>
      </c>
      <c r="P1890" t="s">
        <v>53</v>
      </c>
      <c r="Q1890" t="s">
        <v>53</v>
      </c>
      <c r="R1890" t="s">
        <v>53</v>
      </c>
      <c r="S1890" t="s">
        <v>415</v>
      </c>
      <c r="T1890" t="s">
        <v>9111</v>
      </c>
      <c r="U1890" t="s">
        <v>53</v>
      </c>
      <c r="V1890" t="s">
        <v>162</v>
      </c>
      <c r="W1890">
        <v>150000</v>
      </c>
      <c r="X1890" t="s">
        <v>53</v>
      </c>
      <c r="AA1890">
        <v>1374</v>
      </c>
      <c r="AB1890">
        <v>716</v>
      </c>
      <c r="AC1890">
        <v>1020</v>
      </c>
      <c r="AD1890">
        <v>1964</v>
      </c>
      <c r="AE1890">
        <v>1964</v>
      </c>
      <c r="AF1890">
        <v>3</v>
      </c>
      <c r="AG1890">
        <v>28</v>
      </c>
      <c r="AH1890">
        <v>44.377647399902337</v>
      </c>
      <c r="AJ1890">
        <v>24197.650390625</v>
      </c>
      <c r="AK1890" t="s">
        <v>54</v>
      </c>
      <c r="AL1890" t="s">
        <v>54</v>
      </c>
      <c r="AQ1890" t="s">
        <v>54</v>
      </c>
      <c r="AT1890" t="s">
        <v>9097</v>
      </c>
      <c r="AW1890" t="s">
        <v>8390</v>
      </c>
      <c r="AZ1890" t="s">
        <v>54</v>
      </c>
      <c r="BA1890" t="s">
        <v>8535</v>
      </c>
    </row>
    <row r="1891" spans="1:53" x14ac:dyDescent="0.25">
      <c r="A1891">
        <v>1886</v>
      </c>
      <c r="B1891" t="s">
        <v>9115</v>
      </c>
      <c r="C1891" t="s">
        <v>9116</v>
      </c>
      <c r="D1891" t="s">
        <v>9117</v>
      </c>
      <c r="E1891">
        <v>11</v>
      </c>
      <c r="F1891" t="s">
        <v>8529</v>
      </c>
      <c r="G1891" t="s">
        <v>417</v>
      </c>
      <c r="H1891" t="s">
        <v>8530</v>
      </c>
      <c r="K1891" t="s">
        <v>8667</v>
      </c>
      <c r="L1891" t="s">
        <v>8532</v>
      </c>
      <c r="M1891">
        <v>2.762449905276299E-3</v>
      </c>
      <c r="N1891" t="s">
        <v>54</v>
      </c>
      <c r="O1891" t="s">
        <v>53</v>
      </c>
      <c r="P1891" t="s">
        <v>53</v>
      </c>
      <c r="Q1891" t="s">
        <v>53</v>
      </c>
      <c r="R1891" t="s">
        <v>53</v>
      </c>
      <c r="S1891" t="s">
        <v>8668</v>
      </c>
      <c r="T1891" t="s">
        <v>8669</v>
      </c>
      <c r="U1891" t="s">
        <v>53</v>
      </c>
      <c r="V1891" t="s">
        <v>51</v>
      </c>
      <c r="W1891">
        <v>15000</v>
      </c>
      <c r="X1891" t="s">
        <v>53</v>
      </c>
      <c r="AA1891">
        <v>0</v>
      </c>
      <c r="AB1891">
        <v>0</v>
      </c>
      <c r="AC1891">
        <v>0</v>
      </c>
      <c r="AD1891">
        <v>0</v>
      </c>
      <c r="AE1891">
        <v>0</v>
      </c>
      <c r="AF1891">
        <v>0</v>
      </c>
      <c r="AG1891">
        <v>0</v>
      </c>
      <c r="AH1891">
        <v>1.799933984875679E-2</v>
      </c>
      <c r="AJ1891">
        <v>0</v>
      </c>
      <c r="AK1891" t="s">
        <v>54</v>
      </c>
      <c r="AL1891" t="s">
        <v>54</v>
      </c>
      <c r="AQ1891" t="s">
        <v>54</v>
      </c>
      <c r="AT1891" t="s">
        <v>9118</v>
      </c>
      <c r="AW1891" t="s">
        <v>8390</v>
      </c>
      <c r="AZ1891" t="s">
        <v>54</v>
      </c>
      <c r="BA1891" t="s">
        <v>8535</v>
      </c>
    </row>
    <row r="1892" spans="1:53" x14ac:dyDescent="0.25">
      <c r="A1892">
        <v>1887</v>
      </c>
      <c r="B1892" t="s">
        <v>9119</v>
      </c>
      <c r="C1892" t="s">
        <v>9120</v>
      </c>
      <c r="D1892" t="s">
        <v>9121</v>
      </c>
      <c r="E1892">
        <v>11</v>
      </c>
      <c r="F1892" t="s">
        <v>8529</v>
      </c>
      <c r="G1892" t="s">
        <v>417</v>
      </c>
      <c r="H1892" t="s">
        <v>8530</v>
      </c>
      <c r="K1892" t="s">
        <v>9122</v>
      </c>
      <c r="L1892" t="s">
        <v>9123</v>
      </c>
      <c r="M1892">
        <v>3.894340991973877E-2</v>
      </c>
      <c r="N1892" t="s">
        <v>53</v>
      </c>
      <c r="O1892" t="s">
        <v>53</v>
      </c>
      <c r="P1892" t="s">
        <v>53</v>
      </c>
      <c r="Q1892" t="s">
        <v>53</v>
      </c>
      <c r="R1892" t="s">
        <v>53</v>
      </c>
      <c r="S1892" t="s">
        <v>8668</v>
      </c>
      <c r="T1892" t="s">
        <v>8669</v>
      </c>
      <c r="U1892" t="s">
        <v>53</v>
      </c>
      <c r="V1892" t="s">
        <v>51</v>
      </c>
      <c r="W1892">
        <v>15000</v>
      </c>
      <c r="X1892" t="s">
        <v>53</v>
      </c>
      <c r="AA1892">
        <v>0</v>
      </c>
      <c r="AB1892">
        <v>0</v>
      </c>
      <c r="AC1892">
        <v>0</v>
      </c>
      <c r="AD1892">
        <v>0</v>
      </c>
      <c r="AE1892">
        <v>0</v>
      </c>
      <c r="AF1892">
        <v>0</v>
      </c>
      <c r="AG1892">
        <v>0</v>
      </c>
      <c r="AH1892">
        <v>0</v>
      </c>
      <c r="AJ1892">
        <v>0</v>
      </c>
      <c r="AK1892" t="s">
        <v>54</v>
      </c>
      <c r="AL1892" t="s">
        <v>54</v>
      </c>
      <c r="AQ1892" t="s">
        <v>54</v>
      </c>
      <c r="AT1892" t="s">
        <v>9118</v>
      </c>
      <c r="AW1892" t="s">
        <v>53</v>
      </c>
      <c r="AZ1892" t="s">
        <v>54</v>
      </c>
      <c r="BA1892" t="s">
        <v>8535</v>
      </c>
    </row>
    <row r="1893" spans="1:53" x14ac:dyDescent="0.25">
      <c r="A1893">
        <v>1888</v>
      </c>
      <c r="B1893" t="s">
        <v>9124</v>
      </c>
      <c r="C1893" t="s">
        <v>9125</v>
      </c>
      <c r="D1893" t="s">
        <v>9126</v>
      </c>
      <c r="E1893">
        <v>11</v>
      </c>
      <c r="F1893" t="s">
        <v>8529</v>
      </c>
      <c r="G1893" t="s">
        <v>417</v>
      </c>
      <c r="H1893" t="s">
        <v>8530</v>
      </c>
      <c r="K1893" t="s">
        <v>8692</v>
      </c>
      <c r="L1893" t="s">
        <v>9123</v>
      </c>
      <c r="M1893">
        <v>7.7383602038025856E-3</v>
      </c>
      <c r="N1893" t="s">
        <v>54</v>
      </c>
      <c r="O1893" t="s">
        <v>53</v>
      </c>
      <c r="P1893" t="s">
        <v>53</v>
      </c>
      <c r="Q1893" t="s">
        <v>53</v>
      </c>
      <c r="R1893" t="s">
        <v>53</v>
      </c>
      <c r="S1893" t="s">
        <v>8668</v>
      </c>
      <c r="T1893" t="s">
        <v>8669</v>
      </c>
      <c r="U1893" t="s">
        <v>53</v>
      </c>
      <c r="V1893" t="s">
        <v>51</v>
      </c>
      <c r="W1893">
        <v>15000</v>
      </c>
      <c r="X1893" t="s">
        <v>53</v>
      </c>
      <c r="AA1893">
        <v>9</v>
      </c>
      <c r="AB1893">
        <v>0</v>
      </c>
      <c r="AC1893">
        <v>70</v>
      </c>
      <c r="AD1893">
        <v>0</v>
      </c>
      <c r="AE1893">
        <v>70</v>
      </c>
      <c r="AF1893">
        <v>0</v>
      </c>
      <c r="AG1893">
        <v>0</v>
      </c>
      <c r="AH1893">
        <v>0.1497164964675903</v>
      </c>
      <c r="AJ1893">
        <v>0</v>
      </c>
      <c r="AK1893" t="s">
        <v>54</v>
      </c>
      <c r="AL1893" t="s">
        <v>54</v>
      </c>
      <c r="AQ1893" t="s">
        <v>54</v>
      </c>
      <c r="AT1893" t="s">
        <v>9118</v>
      </c>
      <c r="AW1893" t="s">
        <v>8390</v>
      </c>
      <c r="AZ1893" t="s">
        <v>54</v>
      </c>
      <c r="BA1893" t="s">
        <v>8535</v>
      </c>
    </row>
    <row r="1894" spans="1:53" x14ac:dyDescent="0.25">
      <c r="A1894">
        <v>1889</v>
      </c>
      <c r="B1894" t="s">
        <v>9127</v>
      </c>
      <c r="C1894" t="s">
        <v>9128</v>
      </c>
      <c r="D1894" t="s">
        <v>9129</v>
      </c>
      <c r="E1894">
        <v>11</v>
      </c>
      <c r="F1894" t="s">
        <v>8529</v>
      </c>
      <c r="G1894" t="s">
        <v>9130</v>
      </c>
      <c r="H1894" t="s">
        <v>8612</v>
      </c>
      <c r="K1894" t="s">
        <v>9131</v>
      </c>
      <c r="L1894" t="s">
        <v>9132</v>
      </c>
      <c r="M1894">
        <v>274.64300537109381</v>
      </c>
      <c r="N1894" t="s">
        <v>54</v>
      </c>
      <c r="O1894" t="s">
        <v>53</v>
      </c>
      <c r="P1894" t="s">
        <v>53</v>
      </c>
      <c r="Q1894" t="s">
        <v>53</v>
      </c>
      <c r="R1894" t="s">
        <v>53</v>
      </c>
      <c r="S1894" t="s">
        <v>9133</v>
      </c>
      <c r="T1894" t="s">
        <v>9134</v>
      </c>
      <c r="U1894" t="s">
        <v>53</v>
      </c>
      <c r="V1894" t="s">
        <v>138</v>
      </c>
      <c r="W1894">
        <v>250000</v>
      </c>
      <c r="X1894" t="s">
        <v>53</v>
      </c>
      <c r="AA1894">
        <v>382</v>
      </c>
      <c r="AB1894">
        <v>294</v>
      </c>
      <c r="AC1894">
        <v>712</v>
      </c>
      <c r="AD1894">
        <v>802</v>
      </c>
      <c r="AE1894">
        <v>802</v>
      </c>
      <c r="AF1894">
        <v>3</v>
      </c>
      <c r="AG1894">
        <v>44</v>
      </c>
      <c r="AH1894">
        <v>18.536392211914059</v>
      </c>
      <c r="AJ1894">
        <v>6858.2216796875</v>
      </c>
      <c r="AK1894" t="s">
        <v>53</v>
      </c>
      <c r="AL1894" t="s">
        <v>54</v>
      </c>
      <c r="AQ1894" t="s">
        <v>54</v>
      </c>
      <c r="AT1894" t="s">
        <v>9093</v>
      </c>
      <c r="AW1894" t="s">
        <v>8390</v>
      </c>
      <c r="AZ1894" t="s">
        <v>54</v>
      </c>
      <c r="BA1894" t="s">
        <v>8535</v>
      </c>
    </row>
    <row r="1895" spans="1:53" x14ac:dyDescent="0.25">
      <c r="A1895">
        <v>1890</v>
      </c>
      <c r="B1895" t="s">
        <v>9135</v>
      </c>
      <c r="C1895" t="s">
        <v>9136</v>
      </c>
      <c r="D1895" t="s">
        <v>9137</v>
      </c>
      <c r="E1895">
        <v>12</v>
      </c>
      <c r="F1895" t="s">
        <v>9138</v>
      </c>
      <c r="G1895" t="s">
        <v>9139</v>
      </c>
      <c r="H1895" t="s">
        <v>9140</v>
      </c>
      <c r="I1895" t="s">
        <v>9141</v>
      </c>
      <c r="J1895" t="s">
        <v>9142</v>
      </c>
      <c r="K1895" t="s">
        <v>9143</v>
      </c>
      <c r="L1895" t="s">
        <v>9144</v>
      </c>
      <c r="M1895">
        <v>1.1774899959564209</v>
      </c>
      <c r="N1895" t="s">
        <v>54</v>
      </c>
      <c r="O1895" t="s">
        <v>53</v>
      </c>
      <c r="P1895" t="s">
        <v>54</v>
      </c>
      <c r="Q1895" t="s">
        <v>53</v>
      </c>
      <c r="R1895" t="s">
        <v>53</v>
      </c>
      <c r="S1895" t="s">
        <v>9145</v>
      </c>
      <c r="T1895" t="s">
        <v>9146</v>
      </c>
      <c r="U1895" t="s">
        <v>53</v>
      </c>
      <c r="V1895" t="s">
        <v>51</v>
      </c>
      <c r="W1895">
        <v>250000</v>
      </c>
      <c r="X1895" t="s">
        <v>53</v>
      </c>
      <c r="Z1895">
        <v>0</v>
      </c>
      <c r="AA1895">
        <v>4</v>
      </c>
      <c r="AB1895">
        <v>3</v>
      </c>
      <c r="AC1895">
        <v>4</v>
      </c>
      <c r="AD1895">
        <v>14</v>
      </c>
      <c r="AE1895">
        <v>14</v>
      </c>
      <c r="AF1895">
        <v>0</v>
      </c>
      <c r="AG1895">
        <v>0</v>
      </c>
      <c r="AH1895">
        <v>0.1169999986886978</v>
      </c>
      <c r="AI1895">
        <v>4</v>
      </c>
      <c r="AJ1895">
        <v>1.163869976997375</v>
      </c>
      <c r="AK1895" t="s">
        <v>53</v>
      </c>
      <c r="AL1895" t="s">
        <v>53</v>
      </c>
      <c r="AQ1895" t="s">
        <v>53</v>
      </c>
      <c r="AT1895" t="s">
        <v>9147</v>
      </c>
      <c r="AW1895" t="s">
        <v>8390</v>
      </c>
      <c r="AZ1895" t="s">
        <v>54</v>
      </c>
      <c r="BA1895" t="s">
        <v>9148</v>
      </c>
    </row>
    <row r="1896" spans="1:53" x14ac:dyDescent="0.25">
      <c r="A1896">
        <v>1891</v>
      </c>
      <c r="B1896" t="s">
        <v>9149</v>
      </c>
      <c r="C1896" t="s">
        <v>9150</v>
      </c>
      <c r="D1896" t="s">
        <v>9151</v>
      </c>
      <c r="E1896">
        <v>12</v>
      </c>
      <c r="F1896" t="s">
        <v>9138</v>
      </c>
      <c r="G1896" t="s">
        <v>413</v>
      </c>
      <c r="H1896" t="s">
        <v>9152</v>
      </c>
      <c r="I1896" t="s">
        <v>9153</v>
      </c>
      <c r="J1896" t="s">
        <v>9154</v>
      </c>
      <c r="K1896" t="s">
        <v>9155</v>
      </c>
      <c r="L1896" t="s">
        <v>9156</v>
      </c>
      <c r="M1896">
        <v>2.5322000146843488E-4</v>
      </c>
      <c r="N1896" t="s">
        <v>53</v>
      </c>
      <c r="O1896" t="s">
        <v>53</v>
      </c>
      <c r="P1896" t="s">
        <v>53</v>
      </c>
      <c r="Q1896" t="s">
        <v>53</v>
      </c>
      <c r="R1896" t="s">
        <v>53</v>
      </c>
      <c r="S1896" t="s">
        <v>9157</v>
      </c>
      <c r="T1896" t="s">
        <v>9158</v>
      </c>
      <c r="U1896" t="s">
        <v>53</v>
      </c>
      <c r="V1896" t="s">
        <v>51</v>
      </c>
      <c r="W1896">
        <v>804293</v>
      </c>
      <c r="X1896" t="s">
        <v>53</v>
      </c>
      <c r="Z1896">
        <v>0</v>
      </c>
      <c r="AA1896">
        <v>0</v>
      </c>
      <c r="AB1896">
        <v>0</v>
      </c>
      <c r="AC1896">
        <v>0</v>
      </c>
      <c r="AD1896">
        <v>0</v>
      </c>
      <c r="AE1896">
        <v>0</v>
      </c>
      <c r="AF1896">
        <v>0</v>
      </c>
      <c r="AG1896">
        <v>0</v>
      </c>
      <c r="AH1896">
        <v>0</v>
      </c>
      <c r="AI1896">
        <v>0</v>
      </c>
      <c r="AJ1896">
        <v>0</v>
      </c>
      <c r="AK1896" t="s">
        <v>53</v>
      </c>
      <c r="AL1896" t="s">
        <v>54</v>
      </c>
      <c r="AQ1896" t="s">
        <v>54</v>
      </c>
      <c r="AT1896" t="s">
        <v>9159</v>
      </c>
      <c r="AW1896" t="s">
        <v>53</v>
      </c>
      <c r="AZ1896" t="s">
        <v>54</v>
      </c>
      <c r="BA1896" t="s">
        <v>9148</v>
      </c>
    </row>
    <row r="1897" spans="1:53" x14ac:dyDescent="0.25">
      <c r="A1897">
        <v>1892</v>
      </c>
      <c r="B1897" t="s">
        <v>9160</v>
      </c>
      <c r="C1897" t="s">
        <v>9161</v>
      </c>
      <c r="D1897" t="s">
        <v>9162</v>
      </c>
      <c r="E1897">
        <v>12</v>
      </c>
      <c r="F1897" t="s">
        <v>9138</v>
      </c>
      <c r="G1897" t="s">
        <v>9163</v>
      </c>
      <c r="H1897" t="s">
        <v>9152</v>
      </c>
      <c r="I1897" t="s">
        <v>9153</v>
      </c>
      <c r="J1897" t="s">
        <v>9154</v>
      </c>
      <c r="K1897" t="s">
        <v>9155</v>
      </c>
      <c r="L1897" t="s">
        <v>9164</v>
      </c>
      <c r="M1897">
        <v>4.0047400398179889E-4</v>
      </c>
      <c r="N1897" t="s">
        <v>53</v>
      </c>
      <c r="O1897" t="s">
        <v>53</v>
      </c>
      <c r="P1897" t="s">
        <v>53</v>
      </c>
      <c r="Q1897" t="s">
        <v>53</v>
      </c>
      <c r="R1897" t="s">
        <v>53</v>
      </c>
      <c r="S1897" t="s">
        <v>9157</v>
      </c>
      <c r="T1897" t="s">
        <v>9165</v>
      </c>
      <c r="U1897" t="s">
        <v>53</v>
      </c>
      <c r="V1897" t="s">
        <v>51</v>
      </c>
      <c r="W1897">
        <v>60282</v>
      </c>
      <c r="X1897" t="s">
        <v>53</v>
      </c>
      <c r="Z1897">
        <v>0</v>
      </c>
      <c r="AA1897">
        <v>0</v>
      </c>
      <c r="AB1897">
        <v>0</v>
      </c>
      <c r="AC1897">
        <v>0</v>
      </c>
      <c r="AD1897">
        <v>0</v>
      </c>
      <c r="AE1897">
        <v>0</v>
      </c>
      <c r="AF1897">
        <v>0</v>
      </c>
      <c r="AG1897">
        <v>0</v>
      </c>
      <c r="AH1897">
        <v>0</v>
      </c>
      <c r="AI1897">
        <v>0</v>
      </c>
      <c r="AJ1897">
        <v>0</v>
      </c>
      <c r="AK1897" t="s">
        <v>53</v>
      </c>
      <c r="AL1897" t="s">
        <v>54</v>
      </c>
      <c r="AQ1897" t="s">
        <v>54</v>
      </c>
      <c r="AT1897" t="s">
        <v>9159</v>
      </c>
      <c r="AW1897" t="s">
        <v>53</v>
      </c>
      <c r="AZ1897" t="s">
        <v>54</v>
      </c>
      <c r="BA1897" t="s">
        <v>9148</v>
      </c>
    </row>
    <row r="1898" spans="1:53" x14ac:dyDescent="0.25">
      <c r="A1898">
        <v>1893</v>
      </c>
      <c r="B1898" t="s">
        <v>9166</v>
      </c>
      <c r="C1898" t="s">
        <v>9167</v>
      </c>
      <c r="D1898" t="s">
        <v>9168</v>
      </c>
      <c r="E1898">
        <v>12</v>
      </c>
      <c r="F1898" t="s">
        <v>9138</v>
      </c>
      <c r="G1898" t="s">
        <v>413</v>
      </c>
      <c r="H1898" t="s">
        <v>9152</v>
      </c>
      <c r="I1898" t="s">
        <v>9153</v>
      </c>
      <c r="J1898" t="s">
        <v>9154</v>
      </c>
      <c r="K1898" t="s">
        <v>9155</v>
      </c>
      <c r="L1898" t="s">
        <v>9156</v>
      </c>
      <c r="M1898">
        <v>1.9275299564469611E-4</v>
      </c>
      <c r="N1898" t="s">
        <v>53</v>
      </c>
      <c r="O1898" t="s">
        <v>53</v>
      </c>
      <c r="P1898" t="s">
        <v>53</v>
      </c>
      <c r="Q1898" t="s">
        <v>53</v>
      </c>
      <c r="R1898" t="s">
        <v>53</v>
      </c>
      <c r="S1898" t="s">
        <v>9157</v>
      </c>
      <c r="T1898" t="s">
        <v>9169</v>
      </c>
      <c r="U1898" t="s">
        <v>53</v>
      </c>
      <c r="V1898" t="s">
        <v>51</v>
      </c>
      <c r="W1898">
        <v>1256001</v>
      </c>
      <c r="X1898" t="s">
        <v>53</v>
      </c>
      <c r="Z1898">
        <v>0</v>
      </c>
      <c r="AA1898">
        <v>0</v>
      </c>
      <c r="AB1898">
        <v>0</v>
      </c>
      <c r="AC1898">
        <v>0</v>
      </c>
      <c r="AD1898">
        <v>0</v>
      </c>
      <c r="AE1898">
        <v>0</v>
      </c>
      <c r="AF1898">
        <v>0</v>
      </c>
      <c r="AG1898">
        <v>0</v>
      </c>
      <c r="AH1898">
        <v>0</v>
      </c>
      <c r="AI1898">
        <v>0</v>
      </c>
      <c r="AJ1898">
        <v>0</v>
      </c>
      <c r="AK1898" t="s">
        <v>53</v>
      </c>
      <c r="AL1898" t="s">
        <v>54</v>
      </c>
      <c r="AQ1898" t="s">
        <v>54</v>
      </c>
      <c r="AT1898" t="s">
        <v>9159</v>
      </c>
      <c r="AW1898" t="s">
        <v>53</v>
      </c>
      <c r="AZ1898" t="s">
        <v>54</v>
      </c>
      <c r="BA1898" t="s">
        <v>9148</v>
      </c>
    </row>
    <row r="1899" spans="1:53" x14ac:dyDescent="0.25">
      <c r="A1899">
        <v>1894</v>
      </c>
      <c r="B1899" t="s">
        <v>9170</v>
      </c>
      <c r="C1899" t="s">
        <v>9171</v>
      </c>
      <c r="D1899" t="s">
        <v>9172</v>
      </c>
      <c r="E1899">
        <v>12</v>
      </c>
      <c r="F1899" t="s">
        <v>9138</v>
      </c>
      <c r="G1899" t="s">
        <v>413</v>
      </c>
      <c r="H1899" t="s">
        <v>9152</v>
      </c>
      <c r="I1899" t="s">
        <v>9153</v>
      </c>
      <c r="J1899" t="s">
        <v>9154</v>
      </c>
      <c r="K1899" t="s">
        <v>9155</v>
      </c>
      <c r="L1899" t="s">
        <v>9156</v>
      </c>
      <c r="M1899">
        <v>3.0838800012134021E-4</v>
      </c>
      <c r="N1899" t="s">
        <v>54</v>
      </c>
      <c r="O1899" t="s">
        <v>53</v>
      </c>
      <c r="P1899" t="s">
        <v>53</v>
      </c>
      <c r="Q1899" t="s">
        <v>53</v>
      </c>
      <c r="R1899" t="s">
        <v>53</v>
      </c>
      <c r="S1899" t="s">
        <v>9157</v>
      </c>
      <c r="T1899" t="s">
        <v>9158</v>
      </c>
      <c r="U1899" t="s">
        <v>53</v>
      </c>
      <c r="V1899" t="s">
        <v>51</v>
      </c>
      <c r="W1899">
        <v>1185000</v>
      </c>
      <c r="X1899" t="s">
        <v>53</v>
      </c>
      <c r="Z1899">
        <v>0</v>
      </c>
      <c r="AA1899">
        <v>1</v>
      </c>
      <c r="AB1899">
        <v>0</v>
      </c>
      <c r="AC1899">
        <v>3</v>
      </c>
      <c r="AD1899">
        <v>11</v>
      </c>
      <c r="AE1899">
        <v>11</v>
      </c>
      <c r="AF1899">
        <v>0</v>
      </c>
      <c r="AG1899">
        <v>0</v>
      </c>
      <c r="AH1899">
        <v>0</v>
      </c>
      <c r="AI1899">
        <v>0</v>
      </c>
      <c r="AJ1899">
        <v>0</v>
      </c>
      <c r="AK1899" t="s">
        <v>53</v>
      </c>
      <c r="AL1899" t="s">
        <v>54</v>
      </c>
      <c r="AQ1899" t="s">
        <v>54</v>
      </c>
      <c r="AT1899" t="s">
        <v>9159</v>
      </c>
      <c r="AW1899" t="s">
        <v>53</v>
      </c>
      <c r="AZ1899" t="s">
        <v>54</v>
      </c>
      <c r="BA1899" t="s">
        <v>9148</v>
      </c>
    </row>
    <row r="1900" spans="1:53" x14ac:dyDescent="0.25">
      <c r="A1900">
        <v>1895</v>
      </c>
      <c r="B1900" t="s">
        <v>9173</v>
      </c>
      <c r="C1900" t="s">
        <v>9174</v>
      </c>
      <c r="D1900" t="s">
        <v>9175</v>
      </c>
      <c r="E1900">
        <v>12</v>
      </c>
      <c r="F1900" t="s">
        <v>9138</v>
      </c>
      <c r="G1900" t="s">
        <v>9163</v>
      </c>
      <c r="H1900" t="s">
        <v>9152</v>
      </c>
      <c r="I1900" t="s">
        <v>9153</v>
      </c>
      <c r="J1900" t="s">
        <v>9154</v>
      </c>
      <c r="K1900" t="s">
        <v>9155</v>
      </c>
      <c r="L1900" t="s">
        <v>9164</v>
      </c>
      <c r="M1900">
        <v>3.0273999436758459E-4</v>
      </c>
      <c r="N1900" t="s">
        <v>54</v>
      </c>
      <c r="O1900" t="s">
        <v>53</v>
      </c>
      <c r="P1900" t="s">
        <v>53</v>
      </c>
      <c r="Q1900" t="s">
        <v>53</v>
      </c>
      <c r="R1900" t="s">
        <v>53</v>
      </c>
      <c r="S1900" t="s">
        <v>9157</v>
      </c>
      <c r="T1900" t="s">
        <v>9165</v>
      </c>
      <c r="U1900" t="s">
        <v>53</v>
      </c>
      <c r="V1900" t="s">
        <v>51</v>
      </c>
      <c r="W1900">
        <v>3617820</v>
      </c>
      <c r="X1900" t="s">
        <v>53</v>
      </c>
      <c r="Z1900">
        <v>0</v>
      </c>
      <c r="AA1900">
        <v>0</v>
      </c>
      <c r="AB1900">
        <v>1</v>
      </c>
      <c r="AC1900">
        <v>0</v>
      </c>
      <c r="AD1900">
        <v>0</v>
      </c>
      <c r="AE1900">
        <v>0</v>
      </c>
      <c r="AF1900">
        <v>0</v>
      </c>
      <c r="AG1900">
        <v>0</v>
      </c>
      <c r="AH1900">
        <v>0</v>
      </c>
      <c r="AI1900">
        <v>0</v>
      </c>
      <c r="AJ1900">
        <v>0</v>
      </c>
      <c r="AK1900" t="s">
        <v>53</v>
      </c>
      <c r="AL1900" t="s">
        <v>54</v>
      </c>
      <c r="AQ1900" t="s">
        <v>54</v>
      </c>
      <c r="AT1900" t="s">
        <v>9159</v>
      </c>
      <c r="AW1900" t="s">
        <v>53</v>
      </c>
      <c r="AZ1900" t="s">
        <v>54</v>
      </c>
      <c r="BA1900" t="s">
        <v>9148</v>
      </c>
    </row>
    <row r="1901" spans="1:53" x14ac:dyDescent="0.25">
      <c r="A1901">
        <v>1896</v>
      </c>
      <c r="B1901" t="s">
        <v>9176</v>
      </c>
      <c r="C1901" t="s">
        <v>9177</v>
      </c>
      <c r="D1901" t="s">
        <v>9178</v>
      </c>
      <c r="E1901">
        <v>12</v>
      </c>
      <c r="F1901" t="s">
        <v>9138</v>
      </c>
      <c r="G1901" t="s">
        <v>9179</v>
      </c>
      <c r="H1901" t="s">
        <v>9152</v>
      </c>
      <c r="I1901" t="s">
        <v>9153</v>
      </c>
      <c r="J1901" t="s">
        <v>9154</v>
      </c>
      <c r="K1901" t="s">
        <v>9155</v>
      </c>
      <c r="L1901" t="s">
        <v>9180</v>
      </c>
      <c r="M1901">
        <v>4.0479600429534912E-3</v>
      </c>
      <c r="N1901" t="s">
        <v>54</v>
      </c>
      <c r="O1901" t="s">
        <v>53</v>
      </c>
      <c r="P1901" t="s">
        <v>53</v>
      </c>
      <c r="Q1901" t="s">
        <v>53</v>
      </c>
      <c r="R1901" t="s">
        <v>53</v>
      </c>
      <c r="S1901" t="s">
        <v>9157</v>
      </c>
      <c r="T1901" t="s">
        <v>9181</v>
      </c>
      <c r="U1901" t="s">
        <v>54</v>
      </c>
      <c r="V1901" t="s">
        <v>51</v>
      </c>
      <c r="W1901">
        <v>179792</v>
      </c>
      <c r="X1901" t="s">
        <v>53</v>
      </c>
      <c r="Z1901">
        <v>0</v>
      </c>
      <c r="AA1901">
        <v>0</v>
      </c>
      <c r="AB1901">
        <v>0</v>
      </c>
      <c r="AC1901">
        <v>0</v>
      </c>
      <c r="AD1901">
        <v>0</v>
      </c>
      <c r="AE1901">
        <v>0</v>
      </c>
      <c r="AF1901">
        <v>0</v>
      </c>
      <c r="AG1901">
        <v>1</v>
      </c>
      <c r="AH1901">
        <v>0.25999999046325678</v>
      </c>
      <c r="AI1901">
        <v>1</v>
      </c>
      <c r="AJ1901">
        <v>3.0920000746846199E-2</v>
      </c>
      <c r="AK1901" t="s">
        <v>53</v>
      </c>
      <c r="AL1901" t="s">
        <v>53</v>
      </c>
      <c r="AQ1901" t="s">
        <v>53</v>
      </c>
      <c r="AT1901" t="s">
        <v>9159</v>
      </c>
      <c r="AW1901" t="s">
        <v>53</v>
      </c>
      <c r="AZ1901" t="s">
        <v>54</v>
      </c>
      <c r="BA1901" t="s">
        <v>9148</v>
      </c>
    </row>
    <row r="1902" spans="1:53" x14ac:dyDescent="0.25">
      <c r="A1902">
        <v>1897</v>
      </c>
      <c r="B1902" t="s">
        <v>9182</v>
      </c>
      <c r="C1902" t="s">
        <v>9183</v>
      </c>
      <c r="D1902" t="s">
        <v>9178</v>
      </c>
      <c r="E1902">
        <v>12</v>
      </c>
      <c r="F1902" t="s">
        <v>9138</v>
      </c>
      <c r="G1902" t="s">
        <v>413</v>
      </c>
      <c r="H1902" t="s">
        <v>9152</v>
      </c>
      <c r="I1902" t="s">
        <v>9153</v>
      </c>
      <c r="J1902" t="s">
        <v>9154</v>
      </c>
      <c r="K1902" t="s">
        <v>9155</v>
      </c>
      <c r="L1902" t="s">
        <v>9180</v>
      </c>
      <c r="M1902">
        <v>1.2203799560666081E-2</v>
      </c>
      <c r="N1902" t="s">
        <v>54</v>
      </c>
      <c r="O1902" t="s">
        <v>53</v>
      </c>
      <c r="P1902" t="s">
        <v>53</v>
      </c>
      <c r="Q1902" t="s">
        <v>53</v>
      </c>
      <c r="R1902" t="s">
        <v>53</v>
      </c>
      <c r="S1902" t="s">
        <v>9157</v>
      </c>
      <c r="T1902" t="s">
        <v>9158</v>
      </c>
      <c r="U1902" t="s">
        <v>53</v>
      </c>
      <c r="V1902" t="s">
        <v>51</v>
      </c>
      <c r="W1902">
        <v>359585</v>
      </c>
      <c r="X1902" t="s">
        <v>53</v>
      </c>
      <c r="Z1902">
        <v>0</v>
      </c>
      <c r="AA1902">
        <v>0</v>
      </c>
      <c r="AB1902">
        <v>0</v>
      </c>
      <c r="AC1902">
        <v>0</v>
      </c>
      <c r="AD1902">
        <v>0</v>
      </c>
      <c r="AE1902">
        <v>0</v>
      </c>
      <c r="AF1902">
        <v>0</v>
      </c>
      <c r="AG1902">
        <v>0</v>
      </c>
      <c r="AH1902">
        <v>0.28999999165534968</v>
      </c>
      <c r="AI1902">
        <v>2</v>
      </c>
      <c r="AJ1902">
        <v>0</v>
      </c>
      <c r="AK1902" t="s">
        <v>53</v>
      </c>
      <c r="AL1902" t="s">
        <v>53</v>
      </c>
      <c r="AQ1902" t="s">
        <v>53</v>
      </c>
      <c r="AT1902" t="s">
        <v>9159</v>
      </c>
      <c r="AW1902" t="s">
        <v>53</v>
      </c>
      <c r="AZ1902" t="s">
        <v>54</v>
      </c>
      <c r="BA1902" t="s">
        <v>9148</v>
      </c>
    </row>
    <row r="1903" spans="1:53" x14ac:dyDescent="0.25">
      <c r="A1903">
        <v>1898</v>
      </c>
      <c r="B1903" t="s">
        <v>9184</v>
      </c>
      <c r="C1903" t="s">
        <v>9185</v>
      </c>
      <c r="D1903" t="s">
        <v>9186</v>
      </c>
      <c r="E1903">
        <v>12</v>
      </c>
      <c r="F1903" t="s">
        <v>9138</v>
      </c>
      <c r="G1903" t="s">
        <v>9139</v>
      </c>
      <c r="H1903" t="s">
        <v>9140</v>
      </c>
      <c r="I1903" t="s">
        <v>9187</v>
      </c>
      <c r="J1903" t="s">
        <v>9188</v>
      </c>
      <c r="K1903" t="s">
        <v>9189</v>
      </c>
      <c r="L1903" t="s">
        <v>9190</v>
      </c>
      <c r="M1903">
        <v>0.1147510036826134</v>
      </c>
      <c r="N1903" t="s">
        <v>54</v>
      </c>
      <c r="O1903" t="s">
        <v>53</v>
      </c>
      <c r="P1903" t="s">
        <v>53</v>
      </c>
      <c r="Q1903" t="s">
        <v>53</v>
      </c>
      <c r="R1903" t="s">
        <v>53</v>
      </c>
      <c r="S1903" t="s">
        <v>9191</v>
      </c>
      <c r="T1903" t="s">
        <v>9192</v>
      </c>
      <c r="U1903" t="s">
        <v>53</v>
      </c>
      <c r="V1903" t="s">
        <v>51</v>
      </c>
      <c r="W1903">
        <v>417398</v>
      </c>
      <c r="X1903" t="s">
        <v>53</v>
      </c>
      <c r="Z1903">
        <v>0</v>
      </c>
      <c r="AA1903">
        <v>0</v>
      </c>
      <c r="AB1903">
        <v>0</v>
      </c>
      <c r="AC1903">
        <v>0</v>
      </c>
      <c r="AD1903">
        <v>0</v>
      </c>
      <c r="AE1903">
        <v>0</v>
      </c>
      <c r="AF1903">
        <v>0</v>
      </c>
      <c r="AG1903">
        <v>0</v>
      </c>
      <c r="AH1903">
        <v>7.0000000298023224E-2</v>
      </c>
      <c r="AI1903">
        <v>1</v>
      </c>
      <c r="AJ1903">
        <v>0.16335199773311609</v>
      </c>
      <c r="AK1903" t="s">
        <v>53</v>
      </c>
      <c r="AL1903" t="s">
        <v>54</v>
      </c>
      <c r="AQ1903" t="s">
        <v>54</v>
      </c>
      <c r="AT1903" t="s">
        <v>9193</v>
      </c>
      <c r="AW1903" t="s">
        <v>8390</v>
      </c>
      <c r="AZ1903" t="s">
        <v>54</v>
      </c>
      <c r="BA1903" t="s">
        <v>9148</v>
      </c>
    </row>
    <row r="1904" spans="1:53" x14ac:dyDescent="0.25">
      <c r="A1904">
        <v>1899</v>
      </c>
      <c r="B1904" t="s">
        <v>9194</v>
      </c>
      <c r="C1904" t="s">
        <v>9195</v>
      </c>
      <c r="D1904" t="s">
        <v>9196</v>
      </c>
      <c r="E1904">
        <v>12</v>
      </c>
      <c r="F1904" t="s">
        <v>9138</v>
      </c>
      <c r="G1904" t="s">
        <v>9061</v>
      </c>
      <c r="H1904" t="s">
        <v>9140</v>
      </c>
      <c r="I1904" t="s">
        <v>9197</v>
      </c>
      <c r="J1904" t="s">
        <v>9198</v>
      </c>
      <c r="K1904" t="s">
        <v>9199</v>
      </c>
      <c r="L1904" t="s">
        <v>9200</v>
      </c>
      <c r="M1904">
        <v>3.6958600394427781E-3</v>
      </c>
      <c r="N1904" t="s">
        <v>54</v>
      </c>
      <c r="O1904" t="s">
        <v>53</v>
      </c>
      <c r="P1904" t="s">
        <v>53</v>
      </c>
      <c r="Q1904" t="s">
        <v>53</v>
      </c>
      <c r="R1904" t="s">
        <v>53</v>
      </c>
      <c r="S1904" t="s">
        <v>9201</v>
      </c>
      <c r="T1904" t="s">
        <v>9202</v>
      </c>
      <c r="U1904" t="s">
        <v>53</v>
      </c>
      <c r="V1904" t="s">
        <v>51</v>
      </c>
      <c r="W1904">
        <v>1689053</v>
      </c>
      <c r="X1904" t="s">
        <v>53</v>
      </c>
      <c r="Z1904">
        <v>0</v>
      </c>
      <c r="AA1904">
        <v>0</v>
      </c>
      <c r="AB1904">
        <v>0</v>
      </c>
      <c r="AC1904">
        <v>0</v>
      </c>
      <c r="AD1904">
        <v>0</v>
      </c>
      <c r="AE1904">
        <v>0</v>
      </c>
      <c r="AF1904">
        <v>0</v>
      </c>
      <c r="AG1904">
        <v>0</v>
      </c>
      <c r="AH1904">
        <v>0</v>
      </c>
      <c r="AI1904">
        <v>0</v>
      </c>
      <c r="AJ1904">
        <v>0.32421299815177917</v>
      </c>
      <c r="AK1904" t="s">
        <v>53</v>
      </c>
      <c r="AL1904" t="s">
        <v>54</v>
      </c>
      <c r="AQ1904" t="s">
        <v>54</v>
      </c>
      <c r="AT1904" t="s">
        <v>9203</v>
      </c>
      <c r="AW1904" t="s">
        <v>54</v>
      </c>
      <c r="AZ1904" t="s">
        <v>54</v>
      </c>
      <c r="BA1904" t="s">
        <v>9148</v>
      </c>
    </row>
    <row r="1905" spans="1:53" x14ac:dyDescent="0.25">
      <c r="A1905">
        <v>1900</v>
      </c>
      <c r="B1905" t="s">
        <v>9204</v>
      </c>
      <c r="C1905" t="s">
        <v>9205</v>
      </c>
      <c r="D1905" t="s">
        <v>9206</v>
      </c>
      <c r="E1905">
        <v>12</v>
      </c>
      <c r="F1905" t="s">
        <v>9138</v>
      </c>
      <c r="G1905" t="s">
        <v>9163</v>
      </c>
      <c r="H1905" t="s">
        <v>9207</v>
      </c>
      <c r="I1905" t="s">
        <v>9208</v>
      </c>
      <c r="J1905" t="s">
        <v>9209</v>
      </c>
      <c r="K1905" t="s">
        <v>9210</v>
      </c>
      <c r="L1905" t="s">
        <v>9200</v>
      </c>
      <c r="M1905">
        <v>0.55882501602172852</v>
      </c>
      <c r="N1905" t="s">
        <v>54</v>
      </c>
      <c r="O1905" t="s">
        <v>53</v>
      </c>
      <c r="P1905" t="s">
        <v>53</v>
      </c>
      <c r="Q1905" t="s">
        <v>53</v>
      </c>
      <c r="R1905" t="s">
        <v>53</v>
      </c>
      <c r="S1905" t="s">
        <v>9211</v>
      </c>
      <c r="T1905" t="s">
        <v>9212</v>
      </c>
      <c r="U1905" t="s">
        <v>53</v>
      </c>
      <c r="V1905" t="s">
        <v>51</v>
      </c>
      <c r="W1905">
        <v>4556575</v>
      </c>
      <c r="X1905" t="s">
        <v>53</v>
      </c>
      <c r="Z1905">
        <v>0</v>
      </c>
      <c r="AA1905">
        <v>57</v>
      </c>
      <c r="AB1905">
        <v>41</v>
      </c>
      <c r="AC1905">
        <v>38</v>
      </c>
      <c r="AD1905">
        <v>65</v>
      </c>
      <c r="AE1905">
        <v>65</v>
      </c>
      <c r="AF1905">
        <v>0</v>
      </c>
      <c r="AG1905">
        <v>0</v>
      </c>
      <c r="AH1905">
        <v>0.93999999761581421</v>
      </c>
      <c r="AI1905">
        <v>2</v>
      </c>
      <c r="AJ1905">
        <v>10.497500419616699</v>
      </c>
      <c r="AK1905" t="s">
        <v>53</v>
      </c>
      <c r="AL1905" t="s">
        <v>54</v>
      </c>
      <c r="AQ1905" t="s">
        <v>54</v>
      </c>
      <c r="AT1905" t="s">
        <v>9213</v>
      </c>
      <c r="AW1905" t="s">
        <v>54</v>
      </c>
      <c r="AZ1905" t="s">
        <v>54</v>
      </c>
      <c r="BA1905" t="s">
        <v>9148</v>
      </c>
    </row>
    <row r="1906" spans="1:53" x14ac:dyDescent="0.25">
      <c r="A1906">
        <v>1901</v>
      </c>
      <c r="B1906" t="s">
        <v>9214</v>
      </c>
      <c r="C1906" t="s">
        <v>9215</v>
      </c>
      <c r="D1906" t="s">
        <v>9216</v>
      </c>
      <c r="E1906">
        <v>12</v>
      </c>
      <c r="F1906" t="s">
        <v>9138</v>
      </c>
      <c r="G1906" t="s">
        <v>9061</v>
      </c>
      <c r="H1906" t="s">
        <v>9152</v>
      </c>
      <c r="I1906" t="s">
        <v>9217</v>
      </c>
      <c r="J1906" t="s">
        <v>9218</v>
      </c>
      <c r="K1906" t="s">
        <v>9219</v>
      </c>
      <c r="L1906" t="s">
        <v>9200</v>
      </c>
      <c r="M1906">
        <v>1.968890056014061E-2</v>
      </c>
      <c r="N1906" t="s">
        <v>54</v>
      </c>
      <c r="O1906" t="s">
        <v>53</v>
      </c>
      <c r="P1906" t="s">
        <v>53</v>
      </c>
      <c r="Q1906" t="s">
        <v>53</v>
      </c>
      <c r="R1906" t="s">
        <v>53</v>
      </c>
      <c r="S1906" t="s">
        <v>9220</v>
      </c>
      <c r="T1906" t="s">
        <v>9221</v>
      </c>
      <c r="U1906" t="s">
        <v>54</v>
      </c>
      <c r="V1906" t="s">
        <v>51</v>
      </c>
      <c r="W1906">
        <v>3569335</v>
      </c>
      <c r="X1906" t="s">
        <v>53</v>
      </c>
      <c r="Z1906">
        <v>0</v>
      </c>
      <c r="AA1906">
        <v>0</v>
      </c>
      <c r="AB1906">
        <v>0</v>
      </c>
      <c r="AC1906">
        <v>0</v>
      </c>
      <c r="AD1906">
        <v>0</v>
      </c>
      <c r="AE1906">
        <v>0</v>
      </c>
      <c r="AF1906">
        <v>0</v>
      </c>
      <c r="AG1906">
        <v>3</v>
      </c>
      <c r="AH1906">
        <v>0.12999999523162839</v>
      </c>
      <c r="AI1906">
        <v>4</v>
      </c>
      <c r="AJ1906">
        <v>0.1052810028195381</v>
      </c>
      <c r="AK1906" t="s">
        <v>53</v>
      </c>
      <c r="AL1906" t="s">
        <v>53</v>
      </c>
      <c r="AQ1906" t="s">
        <v>53</v>
      </c>
      <c r="AT1906" t="s">
        <v>9203</v>
      </c>
      <c r="AW1906" t="s">
        <v>54</v>
      </c>
      <c r="AZ1906" t="s">
        <v>54</v>
      </c>
      <c r="BA1906" t="s">
        <v>9148</v>
      </c>
    </row>
    <row r="1907" spans="1:53" x14ac:dyDescent="0.25">
      <c r="A1907">
        <v>1902</v>
      </c>
      <c r="B1907" t="s">
        <v>9222</v>
      </c>
      <c r="C1907" t="s">
        <v>9223</v>
      </c>
      <c r="D1907" t="s">
        <v>9224</v>
      </c>
      <c r="E1907">
        <v>12</v>
      </c>
      <c r="F1907" t="s">
        <v>9138</v>
      </c>
      <c r="G1907" t="s">
        <v>9139</v>
      </c>
      <c r="H1907" t="s">
        <v>9140</v>
      </c>
      <c r="I1907" t="s">
        <v>9197</v>
      </c>
      <c r="J1907" t="s">
        <v>9225</v>
      </c>
      <c r="K1907" t="s">
        <v>9226</v>
      </c>
      <c r="L1907" t="s">
        <v>9164</v>
      </c>
      <c r="M1907">
        <v>1.019850024022162E-3</v>
      </c>
      <c r="N1907" t="s">
        <v>54</v>
      </c>
      <c r="O1907" t="s">
        <v>53</v>
      </c>
      <c r="P1907" t="s">
        <v>53</v>
      </c>
      <c r="Q1907" t="s">
        <v>53</v>
      </c>
      <c r="R1907" t="s">
        <v>53</v>
      </c>
      <c r="S1907" t="s">
        <v>9227</v>
      </c>
      <c r="T1907" t="s">
        <v>9228</v>
      </c>
      <c r="U1907" t="s">
        <v>53</v>
      </c>
      <c r="V1907" t="s">
        <v>51</v>
      </c>
      <c r="W1907">
        <v>4243043</v>
      </c>
      <c r="X1907" t="s">
        <v>53</v>
      </c>
      <c r="Z1907">
        <v>0</v>
      </c>
      <c r="AA1907">
        <v>0</v>
      </c>
      <c r="AB1907">
        <v>0</v>
      </c>
      <c r="AC1907">
        <v>0</v>
      </c>
      <c r="AD1907">
        <v>0</v>
      </c>
      <c r="AE1907">
        <v>0</v>
      </c>
      <c r="AF1907">
        <v>0</v>
      </c>
      <c r="AG1907">
        <v>0</v>
      </c>
      <c r="AH1907">
        <v>2.999999932944775E-2</v>
      </c>
      <c r="AI1907">
        <v>1</v>
      </c>
      <c r="AJ1907">
        <v>0</v>
      </c>
      <c r="AK1907" t="s">
        <v>53</v>
      </c>
      <c r="AL1907" t="s">
        <v>54</v>
      </c>
      <c r="AQ1907" t="s">
        <v>54</v>
      </c>
      <c r="AT1907" t="s">
        <v>9193</v>
      </c>
      <c r="AW1907" t="s">
        <v>54</v>
      </c>
      <c r="AZ1907" t="s">
        <v>54</v>
      </c>
      <c r="BA1907" t="s">
        <v>9148</v>
      </c>
    </row>
    <row r="1908" spans="1:53" x14ac:dyDescent="0.25">
      <c r="A1908">
        <v>1903</v>
      </c>
      <c r="B1908" t="s">
        <v>9229</v>
      </c>
      <c r="C1908" t="s">
        <v>9230</v>
      </c>
      <c r="D1908" t="s">
        <v>9231</v>
      </c>
      <c r="E1908">
        <v>12</v>
      </c>
      <c r="F1908" t="s">
        <v>9138</v>
      </c>
      <c r="G1908" t="s">
        <v>9139</v>
      </c>
      <c r="H1908" t="s">
        <v>9140</v>
      </c>
      <c r="I1908" t="s">
        <v>9197</v>
      </c>
      <c r="J1908" t="s">
        <v>9198</v>
      </c>
      <c r="K1908" t="s">
        <v>9199</v>
      </c>
      <c r="L1908" t="s">
        <v>9164</v>
      </c>
      <c r="M1908">
        <v>3.8368001114577051E-3</v>
      </c>
      <c r="N1908" t="s">
        <v>54</v>
      </c>
      <c r="O1908" t="s">
        <v>53</v>
      </c>
      <c r="P1908" t="s">
        <v>53</v>
      </c>
      <c r="Q1908" t="s">
        <v>53</v>
      </c>
      <c r="R1908" t="s">
        <v>53</v>
      </c>
      <c r="S1908" t="s">
        <v>9227</v>
      </c>
      <c r="T1908" t="s">
        <v>9228</v>
      </c>
      <c r="U1908" t="s">
        <v>53</v>
      </c>
      <c r="V1908" t="s">
        <v>51</v>
      </c>
      <c r="W1908">
        <v>4243043</v>
      </c>
      <c r="X1908" t="s">
        <v>53</v>
      </c>
      <c r="Z1908">
        <v>0</v>
      </c>
      <c r="AA1908">
        <v>0</v>
      </c>
      <c r="AB1908">
        <v>0</v>
      </c>
      <c r="AC1908">
        <v>0</v>
      </c>
      <c r="AD1908">
        <v>0</v>
      </c>
      <c r="AE1908">
        <v>0</v>
      </c>
      <c r="AF1908">
        <v>0</v>
      </c>
      <c r="AG1908">
        <v>0</v>
      </c>
      <c r="AH1908">
        <v>0.10999999940395359</v>
      </c>
      <c r="AI1908">
        <v>2</v>
      </c>
      <c r="AJ1908">
        <v>0</v>
      </c>
      <c r="AK1908" t="s">
        <v>53</v>
      </c>
      <c r="AL1908" t="s">
        <v>54</v>
      </c>
      <c r="AQ1908" t="s">
        <v>54</v>
      </c>
      <c r="AT1908" t="s">
        <v>9193</v>
      </c>
      <c r="AW1908" t="s">
        <v>54</v>
      </c>
      <c r="AZ1908" t="s">
        <v>54</v>
      </c>
      <c r="BA1908" t="s">
        <v>9148</v>
      </c>
    </row>
    <row r="1909" spans="1:53" x14ac:dyDescent="0.25">
      <c r="A1909">
        <v>1904</v>
      </c>
      <c r="B1909" t="s">
        <v>9232</v>
      </c>
      <c r="C1909" t="s">
        <v>7455</v>
      </c>
      <c r="D1909" t="s">
        <v>9233</v>
      </c>
      <c r="E1909">
        <v>12</v>
      </c>
      <c r="F1909" t="s">
        <v>9138</v>
      </c>
      <c r="G1909" t="s">
        <v>9234</v>
      </c>
      <c r="H1909" t="s">
        <v>9152</v>
      </c>
      <c r="I1909" t="s">
        <v>9235</v>
      </c>
      <c r="J1909" t="s">
        <v>9236</v>
      </c>
      <c r="K1909" t="s">
        <v>9237</v>
      </c>
      <c r="L1909" t="s">
        <v>9164</v>
      </c>
      <c r="M1909">
        <v>5.023709774017334</v>
      </c>
      <c r="N1909" t="s">
        <v>54</v>
      </c>
      <c r="O1909" t="s">
        <v>53</v>
      </c>
      <c r="P1909" t="s">
        <v>54</v>
      </c>
      <c r="Q1909" t="s">
        <v>53</v>
      </c>
      <c r="R1909" t="s">
        <v>53</v>
      </c>
      <c r="S1909" t="s">
        <v>9211</v>
      </c>
      <c r="T1909" t="s">
        <v>9238</v>
      </c>
      <c r="U1909" t="s">
        <v>54</v>
      </c>
      <c r="V1909" t="s">
        <v>138</v>
      </c>
      <c r="W1909">
        <v>577600</v>
      </c>
      <c r="X1909" t="s">
        <v>53</v>
      </c>
      <c r="Z1909">
        <v>0</v>
      </c>
      <c r="AA1909">
        <v>102</v>
      </c>
      <c r="AB1909">
        <v>71</v>
      </c>
      <c r="AC1909">
        <v>752</v>
      </c>
      <c r="AD1909">
        <v>145</v>
      </c>
      <c r="AE1909">
        <v>752</v>
      </c>
      <c r="AF1909">
        <v>0</v>
      </c>
      <c r="AG1909">
        <v>0</v>
      </c>
      <c r="AH1909">
        <v>5.3400001525878906</v>
      </c>
      <c r="AI1909">
        <v>22</v>
      </c>
      <c r="AJ1909">
        <v>13.014699935913089</v>
      </c>
      <c r="AK1909" t="s">
        <v>53</v>
      </c>
      <c r="AL1909" t="s">
        <v>53</v>
      </c>
      <c r="AQ1909" t="s">
        <v>53</v>
      </c>
      <c r="AT1909" t="s">
        <v>9239</v>
      </c>
      <c r="AW1909" t="s">
        <v>8390</v>
      </c>
      <c r="AZ1909" t="s">
        <v>54</v>
      </c>
      <c r="BA1909" t="s">
        <v>9148</v>
      </c>
    </row>
    <row r="1910" spans="1:53" x14ac:dyDescent="0.25">
      <c r="A1910">
        <v>1905</v>
      </c>
      <c r="B1910" t="s">
        <v>9240</v>
      </c>
      <c r="C1910" t="s">
        <v>9241</v>
      </c>
      <c r="D1910" t="s">
        <v>9242</v>
      </c>
      <c r="E1910">
        <v>12</v>
      </c>
      <c r="F1910" t="s">
        <v>9138</v>
      </c>
      <c r="G1910" t="s">
        <v>9163</v>
      </c>
      <c r="H1910" t="s">
        <v>9207</v>
      </c>
      <c r="I1910" t="s">
        <v>9243</v>
      </c>
      <c r="J1910" t="s">
        <v>9244</v>
      </c>
      <c r="K1910" t="s">
        <v>9245</v>
      </c>
      <c r="L1910" t="s">
        <v>9246</v>
      </c>
      <c r="M1910">
        <v>1.108450000174344E-3</v>
      </c>
      <c r="N1910" t="s">
        <v>54</v>
      </c>
      <c r="O1910" t="s">
        <v>53</v>
      </c>
      <c r="P1910" t="s">
        <v>53</v>
      </c>
      <c r="Q1910" t="s">
        <v>53</v>
      </c>
      <c r="R1910" t="s">
        <v>53</v>
      </c>
      <c r="S1910" t="s">
        <v>9247</v>
      </c>
      <c r="T1910" t="s">
        <v>9248</v>
      </c>
      <c r="U1910" t="s">
        <v>53</v>
      </c>
      <c r="V1910" t="s">
        <v>51</v>
      </c>
      <c r="W1910">
        <v>3466811</v>
      </c>
      <c r="X1910" t="s">
        <v>53</v>
      </c>
      <c r="Z1910">
        <v>0</v>
      </c>
      <c r="AA1910">
        <v>0</v>
      </c>
      <c r="AB1910">
        <v>0</v>
      </c>
      <c r="AC1910">
        <v>0</v>
      </c>
      <c r="AD1910">
        <v>0</v>
      </c>
      <c r="AE1910">
        <v>0</v>
      </c>
      <c r="AF1910">
        <v>0</v>
      </c>
      <c r="AG1910">
        <v>0</v>
      </c>
      <c r="AH1910">
        <v>2.999999932944775E-2</v>
      </c>
      <c r="AI1910">
        <v>1</v>
      </c>
      <c r="AJ1910">
        <v>0</v>
      </c>
      <c r="AK1910" t="s">
        <v>53</v>
      </c>
      <c r="AL1910" t="s">
        <v>53</v>
      </c>
      <c r="AQ1910" t="s">
        <v>53</v>
      </c>
      <c r="AT1910" t="s">
        <v>9249</v>
      </c>
      <c r="AW1910" t="s">
        <v>54</v>
      </c>
      <c r="AZ1910" t="s">
        <v>54</v>
      </c>
      <c r="BA1910" t="s">
        <v>9148</v>
      </c>
    </row>
    <row r="1911" spans="1:53" x14ac:dyDescent="0.25">
      <c r="A1911">
        <v>1906</v>
      </c>
      <c r="B1911" t="s">
        <v>9250</v>
      </c>
      <c r="C1911" t="s">
        <v>9251</v>
      </c>
      <c r="D1911" t="s">
        <v>9252</v>
      </c>
      <c r="E1911">
        <v>12</v>
      </c>
      <c r="F1911" t="s">
        <v>9138</v>
      </c>
      <c r="G1911" t="s">
        <v>9163</v>
      </c>
      <c r="H1911" t="s">
        <v>9207</v>
      </c>
      <c r="I1911" t="s">
        <v>9243</v>
      </c>
      <c r="J1911" t="s">
        <v>9253</v>
      </c>
      <c r="K1911" t="s">
        <v>9254</v>
      </c>
      <c r="L1911" t="s">
        <v>9190</v>
      </c>
      <c r="M1911">
        <v>0.101782001554966</v>
      </c>
      <c r="N1911" t="s">
        <v>54</v>
      </c>
      <c r="O1911" t="s">
        <v>53</v>
      </c>
      <c r="P1911" t="s">
        <v>53</v>
      </c>
      <c r="Q1911" t="s">
        <v>53</v>
      </c>
      <c r="R1911" t="s">
        <v>53</v>
      </c>
      <c r="S1911" t="s">
        <v>9211</v>
      </c>
      <c r="T1911" t="s">
        <v>9255</v>
      </c>
      <c r="U1911" t="s">
        <v>53</v>
      </c>
      <c r="V1911" t="s">
        <v>51</v>
      </c>
      <c r="W1911">
        <v>9827999</v>
      </c>
      <c r="X1911" t="s">
        <v>53</v>
      </c>
      <c r="Z1911">
        <v>0</v>
      </c>
      <c r="AA1911">
        <v>27</v>
      </c>
      <c r="AB1911">
        <v>26</v>
      </c>
      <c r="AC1911">
        <v>234</v>
      </c>
      <c r="AD1911">
        <v>94</v>
      </c>
      <c r="AE1911">
        <v>234</v>
      </c>
      <c r="AF1911">
        <v>0</v>
      </c>
      <c r="AG1911">
        <v>0</v>
      </c>
      <c r="AH1911">
        <v>0.63999998569488525</v>
      </c>
      <c r="AI1911">
        <v>5</v>
      </c>
      <c r="AJ1911">
        <v>0</v>
      </c>
      <c r="AK1911" t="s">
        <v>53</v>
      </c>
      <c r="AL1911" t="s">
        <v>53</v>
      </c>
      <c r="AQ1911" t="s">
        <v>53</v>
      </c>
      <c r="AT1911" t="s">
        <v>9256</v>
      </c>
      <c r="AW1911" t="s">
        <v>54</v>
      </c>
      <c r="AZ1911" t="s">
        <v>54</v>
      </c>
      <c r="BA1911" t="s">
        <v>9148</v>
      </c>
    </row>
    <row r="1912" spans="1:53" x14ac:dyDescent="0.25">
      <c r="A1912">
        <v>1907</v>
      </c>
      <c r="B1912" t="s">
        <v>9257</v>
      </c>
      <c r="C1912" t="s">
        <v>9258</v>
      </c>
      <c r="D1912" t="s">
        <v>9259</v>
      </c>
      <c r="E1912">
        <v>12</v>
      </c>
      <c r="F1912" t="s">
        <v>9138</v>
      </c>
      <c r="G1912" t="s">
        <v>9163</v>
      </c>
      <c r="H1912" t="s">
        <v>9207</v>
      </c>
      <c r="I1912" t="s">
        <v>9243</v>
      </c>
      <c r="J1912" t="s">
        <v>9260</v>
      </c>
      <c r="K1912" t="s">
        <v>9261</v>
      </c>
      <c r="L1912" t="s">
        <v>9246</v>
      </c>
      <c r="M1912">
        <v>7.4072398245334625E-2</v>
      </c>
      <c r="N1912" t="s">
        <v>54</v>
      </c>
      <c r="O1912" t="s">
        <v>53</v>
      </c>
      <c r="P1912" t="s">
        <v>53</v>
      </c>
      <c r="Q1912" t="s">
        <v>53</v>
      </c>
      <c r="R1912" t="s">
        <v>53</v>
      </c>
      <c r="S1912" t="s">
        <v>9262</v>
      </c>
      <c r="T1912" t="s">
        <v>9263</v>
      </c>
      <c r="U1912" t="s">
        <v>54</v>
      </c>
      <c r="V1912" t="s">
        <v>51</v>
      </c>
      <c r="W1912">
        <v>22471310</v>
      </c>
      <c r="X1912" t="s">
        <v>53</v>
      </c>
      <c r="Z1912">
        <v>0</v>
      </c>
      <c r="AA1912">
        <v>12</v>
      </c>
      <c r="AB1912">
        <v>5</v>
      </c>
      <c r="AC1912">
        <v>28</v>
      </c>
      <c r="AD1912">
        <v>17</v>
      </c>
      <c r="AE1912">
        <v>28</v>
      </c>
      <c r="AF1912">
        <v>1</v>
      </c>
      <c r="AG1912">
        <v>0</v>
      </c>
      <c r="AH1912">
        <v>9.0000003576278687E-2</v>
      </c>
      <c r="AI1912">
        <v>3</v>
      </c>
      <c r="AJ1912">
        <v>0</v>
      </c>
      <c r="AK1912" t="s">
        <v>54</v>
      </c>
      <c r="AL1912" t="s">
        <v>54</v>
      </c>
      <c r="AQ1912" t="s">
        <v>54</v>
      </c>
      <c r="AT1912" t="s">
        <v>9264</v>
      </c>
      <c r="AW1912" t="s">
        <v>54</v>
      </c>
      <c r="AZ1912" t="s">
        <v>54</v>
      </c>
      <c r="BA1912" t="s">
        <v>9148</v>
      </c>
    </row>
    <row r="1913" spans="1:53" x14ac:dyDescent="0.25">
      <c r="A1913">
        <v>1908</v>
      </c>
      <c r="B1913" t="s">
        <v>9265</v>
      </c>
      <c r="C1913" t="s">
        <v>9266</v>
      </c>
      <c r="D1913" t="s">
        <v>9267</v>
      </c>
      <c r="E1913">
        <v>12</v>
      </c>
      <c r="F1913" t="s">
        <v>9138</v>
      </c>
      <c r="G1913" t="s">
        <v>9163</v>
      </c>
      <c r="H1913" t="s">
        <v>9268</v>
      </c>
      <c r="I1913" t="s">
        <v>9269</v>
      </c>
      <c r="J1913" t="s">
        <v>9270</v>
      </c>
      <c r="K1913" t="s">
        <v>9271</v>
      </c>
      <c r="L1913" t="s">
        <v>9190</v>
      </c>
      <c r="M1913">
        <v>6.1832699924707413E-2</v>
      </c>
      <c r="N1913" t="s">
        <v>54</v>
      </c>
      <c r="O1913" t="s">
        <v>53</v>
      </c>
      <c r="P1913" t="s">
        <v>53</v>
      </c>
      <c r="Q1913" t="s">
        <v>53</v>
      </c>
      <c r="R1913" t="s">
        <v>53</v>
      </c>
      <c r="S1913" t="s">
        <v>9211</v>
      </c>
      <c r="T1913" t="s">
        <v>9255</v>
      </c>
      <c r="U1913" t="s">
        <v>53</v>
      </c>
      <c r="V1913" t="s">
        <v>51</v>
      </c>
      <c r="W1913">
        <v>19790464</v>
      </c>
      <c r="X1913" t="s">
        <v>53</v>
      </c>
      <c r="Z1913">
        <v>0</v>
      </c>
      <c r="AA1913">
        <v>65</v>
      </c>
      <c r="AB1913">
        <v>65</v>
      </c>
      <c r="AC1913">
        <v>53</v>
      </c>
      <c r="AD1913">
        <v>172</v>
      </c>
      <c r="AE1913">
        <v>172</v>
      </c>
      <c r="AF1913">
        <v>0</v>
      </c>
      <c r="AG1913">
        <v>0</v>
      </c>
      <c r="AH1913">
        <v>0.92000001668930054</v>
      </c>
      <c r="AI1913">
        <v>8</v>
      </c>
      <c r="AJ1913">
        <v>0</v>
      </c>
      <c r="AK1913" t="s">
        <v>53</v>
      </c>
      <c r="AL1913" t="s">
        <v>54</v>
      </c>
      <c r="AQ1913" t="s">
        <v>54</v>
      </c>
      <c r="AT1913" t="s">
        <v>9272</v>
      </c>
      <c r="AW1913" t="s">
        <v>54</v>
      </c>
      <c r="AZ1913" t="s">
        <v>54</v>
      </c>
      <c r="BA1913" t="s">
        <v>9148</v>
      </c>
    </row>
    <row r="1914" spans="1:53" x14ac:dyDescent="0.25">
      <c r="A1914">
        <v>1909</v>
      </c>
      <c r="B1914" t="s">
        <v>9273</v>
      </c>
      <c r="C1914" t="s">
        <v>9274</v>
      </c>
      <c r="D1914" t="s">
        <v>9275</v>
      </c>
      <c r="E1914">
        <v>12</v>
      </c>
      <c r="F1914" t="s">
        <v>9138</v>
      </c>
      <c r="G1914" t="s">
        <v>9163</v>
      </c>
      <c r="H1914" t="s">
        <v>9268</v>
      </c>
      <c r="I1914" t="s">
        <v>9276</v>
      </c>
      <c r="J1914" t="s">
        <v>9277</v>
      </c>
      <c r="K1914" t="s">
        <v>9278</v>
      </c>
      <c r="L1914" t="s">
        <v>9279</v>
      </c>
      <c r="M1914">
        <v>7.6066898182034492E-3</v>
      </c>
      <c r="N1914" t="s">
        <v>53</v>
      </c>
      <c r="O1914" t="s">
        <v>53</v>
      </c>
      <c r="P1914" t="s">
        <v>53</v>
      </c>
      <c r="Q1914" t="s">
        <v>53</v>
      </c>
      <c r="R1914" t="s">
        <v>53</v>
      </c>
      <c r="S1914" t="s">
        <v>9211</v>
      </c>
      <c r="T1914" t="s">
        <v>9255</v>
      </c>
      <c r="U1914" t="s">
        <v>54</v>
      </c>
      <c r="V1914" t="s">
        <v>51</v>
      </c>
      <c r="W1914">
        <v>1013300</v>
      </c>
      <c r="X1914" t="s">
        <v>53</v>
      </c>
      <c r="Z1914">
        <v>0</v>
      </c>
      <c r="AA1914">
        <v>0</v>
      </c>
      <c r="AB1914">
        <v>0</v>
      </c>
      <c r="AC1914">
        <v>0</v>
      </c>
      <c r="AD1914">
        <v>0</v>
      </c>
      <c r="AE1914">
        <v>0</v>
      </c>
      <c r="AF1914">
        <v>0</v>
      </c>
      <c r="AG1914">
        <v>1</v>
      </c>
      <c r="AH1914">
        <v>0</v>
      </c>
      <c r="AI1914">
        <v>0</v>
      </c>
      <c r="AJ1914">
        <v>0</v>
      </c>
      <c r="AK1914" t="s">
        <v>54</v>
      </c>
      <c r="AL1914" t="s">
        <v>53</v>
      </c>
      <c r="AQ1914" t="s">
        <v>53</v>
      </c>
      <c r="AT1914" t="s">
        <v>9280</v>
      </c>
      <c r="AW1914" t="s">
        <v>53</v>
      </c>
      <c r="AZ1914" t="s">
        <v>54</v>
      </c>
      <c r="BA1914" t="s">
        <v>9148</v>
      </c>
    </row>
    <row r="1915" spans="1:53" x14ac:dyDescent="0.25">
      <c r="A1915">
        <v>1910</v>
      </c>
      <c r="B1915" t="s">
        <v>9281</v>
      </c>
      <c r="C1915" t="s">
        <v>9282</v>
      </c>
      <c r="D1915" t="s">
        <v>9283</v>
      </c>
      <c r="E1915">
        <v>12</v>
      </c>
      <c r="F1915" t="s">
        <v>9138</v>
      </c>
      <c r="G1915" t="s">
        <v>9163</v>
      </c>
      <c r="H1915" t="s">
        <v>9207</v>
      </c>
      <c r="I1915" t="s">
        <v>9243</v>
      </c>
      <c r="J1915" t="s">
        <v>9260</v>
      </c>
      <c r="K1915" t="s">
        <v>9261</v>
      </c>
      <c r="L1915" t="s">
        <v>9190</v>
      </c>
      <c r="M1915">
        <v>9.8577797412872314E-2</v>
      </c>
      <c r="N1915" t="s">
        <v>53</v>
      </c>
      <c r="O1915" t="s">
        <v>53</v>
      </c>
      <c r="P1915" t="s">
        <v>53</v>
      </c>
      <c r="Q1915" t="s">
        <v>53</v>
      </c>
      <c r="R1915" t="s">
        <v>53</v>
      </c>
      <c r="S1915" t="s">
        <v>9211</v>
      </c>
      <c r="T1915" t="s">
        <v>9255</v>
      </c>
      <c r="U1915" t="s">
        <v>54</v>
      </c>
      <c r="V1915" t="s">
        <v>51</v>
      </c>
      <c r="W1915">
        <v>100000</v>
      </c>
      <c r="X1915" t="s">
        <v>53</v>
      </c>
      <c r="Z1915">
        <v>0</v>
      </c>
      <c r="AA1915">
        <v>0</v>
      </c>
      <c r="AB1915">
        <v>0</v>
      </c>
      <c r="AC1915">
        <v>0</v>
      </c>
      <c r="AD1915">
        <v>0</v>
      </c>
      <c r="AE1915">
        <v>0</v>
      </c>
      <c r="AF1915">
        <v>0</v>
      </c>
      <c r="AG1915">
        <v>3</v>
      </c>
      <c r="AH1915">
        <v>0</v>
      </c>
      <c r="AI1915">
        <v>0</v>
      </c>
      <c r="AJ1915">
        <v>0</v>
      </c>
      <c r="AK1915" t="s">
        <v>54</v>
      </c>
      <c r="AL1915" t="s">
        <v>53</v>
      </c>
      <c r="AQ1915" t="s">
        <v>53</v>
      </c>
      <c r="AT1915" t="s">
        <v>9280</v>
      </c>
      <c r="AW1915" t="s">
        <v>53</v>
      </c>
      <c r="AZ1915" t="s">
        <v>54</v>
      </c>
      <c r="BA1915" t="s">
        <v>9148</v>
      </c>
    </row>
    <row r="1916" spans="1:53" x14ac:dyDescent="0.25">
      <c r="A1916">
        <v>1911</v>
      </c>
      <c r="B1916" t="s">
        <v>9284</v>
      </c>
      <c r="C1916" t="s">
        <v>9285</v>
      </c>
      <c r="D1916" t="s">
        <v>9286</v>
      </c>
      <c r="E1916">
        <v>12</v>
      </c>
      <c r="F1916" t="s">
        <v>9138</v>
      </c>
      <c r="G1916" t="s">
        <v>9163</v>
      </c>
      <c r="H1916" t="s">
        <v>9268</v>
      </c>
      <c r="I1916" t="s">
        <v>9269</v>
      </c>
      <c r="J1916" t="s">
        <v>9270</v>
      </c>
      <c r="K1916" t="s">
        <v>9271</v>
      </c>
      <c r="L1916" t="s">
        <v>9190</v>
      </c>
      <c r="M1916">
        <v>3.4330498892813921E-3</v>
      </c>
      <c r="N1916" t="s">
        <v>54</v>
      </c>
      <c r="O1916" t="s">
        <v>53</v>
      </c>
      <c r="P1916" t="s">
        <v>53</v>
      </c>
      <c r="Q1916" t="s">
        <v>53</v>
      </c>
      <c r="R1916" t="s">
        <v>53</v>
      </c>
      <c r="S1916" t="s">
        <v>9211</v>
      </c>
      <c r="T1916" t="s">
        <v>9255</v>
      </c>
      <c r="U1916" t="s">
        <v>54</v>
      </c>
      <c r="V1916" t="s">
        <v>51</v>
      </c>
      <c r="W1916">
        <v>672778</v>
      </c>
      <c r="X1916" t="s">
        <v>53</v>
      </c>
      <c r="Z1916">
        <v>0</v>
      </c>
      <c r="AA1916">
        <v>5</v>
      </c>
      <c r="AB1916">
        <v>5</v>
      </c>
      <c r="AC1916">
        <v>2</v>
      </c>
      <c r="AD1916">
        <v>8</v>
      </c>
      <c r="AE1916">
        <v>8</v>
      </c>
      <c r="AF1916">
        <v>0</v>
      </c>
      <c r="AG1916">
        <v>1</v>
      </c>
      <c r="AH1916">
        <v>5.0999999046325677E-2</v>
      </c>
      <c r="AI1916">
        <v>1</v>
      </c>
      <c r="AJ1916">
        <v>0</v>
      </c>
      <c r="AK1916" t="s">
        <v>54</v>
      </c>
      <c r="AL1916" t="s">
        <v>53</v>
      </c>
      <c r="AQ1916" t="s">
        <v>53</v>
      </c>
      <c r="AT1916" t="s">
        <v>9280</v>
      </c>
      <c r="AW1916" t="s">
        <v>54</v>
      </c>
      <c r="AZ1916" t="s">
        <v>54</v>
      </c>
      <c r="BA1916" t="s">
        <v>9148</v>
      </c>
    </row>
    <row r="1917" spans="1:53" x14ac:dyDescent="0.25">
      <c r="A1917">
        <v>1912</v>
      </c>
      <c r="B1917" t="s">
        <v>9287</v>
      </c>
      <c r="C1917" t="s">
        <v>9288</v>
      </c>
      <c r="D1917" t="s">
        <v>9289</v>
      </c>
      <c r="E1917">
        <v>12</v>
      </c>
      <c r="F1917" t="s">
        <v>9138</v>
      </c>
      <c r="G1917" t="s">
        <v>9163</v>
      </c>
      <c r="H1917" t="s">
        <v>9268</v>
      </c>
      <c r="I1917" t="s">
        <v>9290</v>
      </c>
      <c r="J1917" t="s">
        <v>9291</v>
      </c>
      <c r="K1917" t="s">
        <v>9292</v>
      </c>
      <c r="L1917" t="s">
        <v>9190</v>
      </c>
      <c r="M1917">
        <v>1.472480036318302E-2</v>
      </c>
      <c r="N1917" t="s">
        <v>54</v>
      </c>
      <c r="O1917" t="s">
        <v>53</v>
      </c>
      <c r="P1917" t="s">
        <v>53</v>
      </c>
      <c r="Q1917" t="s">
        <v>53</v>
      </c>
      <c r="R1917" t="s">
        <v>53</v>
      </c>
      <c r="S1917" t="s">
        <v>9211</v>
      </c>
      <c r="T1917" t="s">
        <v>9293</v>
      </c>
      <c r="U1917" t="s">
        <v>54</v>
      </c>
      <c r="V1917" t="s">
        <v>51</v>
      </c>
      <c r="W1917">
        <v>942748</v>
      </c>
      <c r="X1917" t="s">
        <v>53</v>
      </c>
      <c r="Z1917">
        <v>0</v>
      </c>
      <c r="AA1917">
        <v>0</v>
      </c>
      <c r="AB1917">
        <v>0</v>
      </c>
      <c r="AC1917">
        <v>0</v>
      </c>
      <c r="AD1917">
        <v>0</v>
      </c>
      <c r="AE1917">
        <v>0</v>
      </c>
      <c r="AF1917">
        <v>0</v>
      </c>
      <c r="AG1917">
        <v>3</v>
      </c>
      <c r="AH1917">
        <v>6.5999999642372131E-2</v>
      </c>
      <c r="AI1917">
        <v>1</v>
      </c>
      <c r="AJ1917">
        <v>5.1725998520851142E-2</v>
      </c>
      <c r="AK1917" t="s">
        <v>54</v>
      </c>
      <c r="AL1917" t="s">
        <v>53</v>
      </c>
      <c r="AQ1917" t="s">
        <v>53</v>
      </c>
      <c r="AT1917" t="s">
        <v>9280</v>
      </c>
      <c r="AW1917" t="s">
        <v>53</v>
      </c>
      <c r="AZ1917" t="s">
        <v>54</v>
      </c>
      <c r="BA1917" t="s">
        <v>9148</v>
      </c>
    </row>
    <row r="1918" spans="1:53" x14ac:dyDescent="0.25">
      <c r="A1918">
        <v>1913</v>
      </c>
      <c r="B1918" t="s">
        <v>9294</v>
      </c>
      <c r="C1918" t="s">
        <v>9295</v>
      </c>
      <c r="D1918" t="s">
        <v>9296</v>
      </c>
      <c r="E1918">
        <v>12</v>
      </c>
      <c r="F1918" t="s">
        <v>9138</v>
      </c>
      <c r="G1918" t="s">
        <v>9163</v>
      </c>
      <c r="H1918" t="s">
        <v>9268</v>
      </c>
      <c r="I1918" t="s">
        <v>9290</v>
      </c>
      <c r="J1918" t="s">
        <v>9291</v>
      </c>
      <c r="K1918" t="s">
        <v>9292</v>
      </c>
      <c r="L1918" t="s">
        <v>9190</v>
      </c>
      <c r="M1918">
        <v>8.7617803364992142E-3</v>
      </c>
      <c r="N1918" t="s">
        <v>54</v>
      </c>
      <c r="O1918" t="s">
        <v>53</v>
      </c>
      <c r="P1918" t="s">
        <v>53</v>
      </c>
      <c r="Q1918" t="s">
        <v>53</v>
      </c>
      <c r="R1918" t="s">
        <v>53</v>
      </c>
      <c r="S1918" t="s">
        <v>9211</v>
      </c>
      <c r="T1918" t="s">
        <v>9293</v>
      </c>
      <c r="U1918" t="s">
        <v>54</v>
      </c>
      <c r="V1918" t="s">
        <v>51</v>
      </c>
      <c r="W1918">
        <v>22845792</v>
      </c>
      <c r="X1918" t="s">
        <v>53</v>
      </c>
      <c r="Z1918">
        <v>0</v>
      </c>
      <c r="AA1918">
        <v>0</v>
      </c>
      <c r="AB1918">
        <v>0</v>
      </c>
      <c r="AC1918">
        <v>0</v>
      </c>
      <c r="AD1918">
        <v>0</v>
      </c>
      <c r="AE1918">
        <v>0</v>
      </c>
      <c r="AF1918">
        <v>0</v>
      </c>
      <c r="AG1918">
        <v>1</v>
      </c>
      <c r="AH1918">
        <v>9.0000003576278687E-2</v>
      </c>
      <c r="AI1918">
        <v>1</v>
      </c>
      <c r="AJ1918">
        <v>0</v>
      </c>
      <c r="AK1918" t="s">
        <v>54</v>
      </c>
      <c r="AL1918" t="s">
        <v>53</v>
      </c>
      <c r="AQ1918" t="s">
        <v>53</v>
      </c>
      <c r="AT1918" t="s">
        <v>9280</v>
      </c>
      <c r="AW1918" t="s">
        <v>53</v>
      </c>
      <c r="AZ1918" t="s">
        <v>54</v>
      </c>
      <c r="BA1918" t="s">
        <v>9148</v>
      </c>
    </row>
    <row r="1919" spans="1:53" x14ac:dyDescent="0.25">
      <c r="A1919">
        <v>1914</v>
      </c>
      <c r="B1919" t="s">
        <v>9297</v>
      </c>
      <c r="C1919" t="s">
        <v>9298</v>
      </c>
      <c r="D1919" t="s">
        <v>9299</v>
      </c>
      <c r="E1919">
        <v>12</v>
      </c>
      <c r="F1919" t="s">
        <v>9138</v>
      </c>
      <c r="G1919" t="s">
        <v>9163</v>
      </c>
      <c r="H1919" t="s">
        <v>9268</v>
      </c>
      <c r="I1919" t="s">
        <v>9276</v>
      </c>
      <c r="J1919" t="s">
        <v>9300</v>
      </c>
      <c r="K1919" t="s">
        <v>9301</v>
      </c>
      <c r="L1919" t="s">
        <v>9190</v>
      </c>
      <c r="M1919">
        <v>5.9418701566755772E-3</v>
      </c>
      <c r="N1919" t="s">
        <v>54</v>
      </c>
      <c r="O1919" t="s">
        <v>53</v>
      </c>
      <c r="P1919" t="s">
        <v>53</v>
      </c>
      <c r="Q1919" t="s">
        <v>53</v>
      </c>
      <c r="R1919" t="s">
        <v>53</v>
      </c>
      <c r="S1919" t="s">
        <v>9211</v>
      </c>
      <c r="T1919" t="s">
        <v>9255</v>
      </c>
      <c r="U1919" t="s">
        <v>54</v>
      </c>
      <c r="V1919" t="s">
        <v>51</v>
      </c>
      <c r="W1919">
        <v>6102679</v>
      </c>
      <c r="X1919" t="s">
        <v>53</v>
      </c>
      <c r="Z1919">
        <v>0</v>
      </c>
      <c r="AA1919">
        <v>0</v>
      </c>
      <c r="AB1919">
        <v>0</v>
      </c>
      <c r="AC1919">
        <v>0</v>
      </c>
      <c r="AD1919">
        <v>0</v>
      </c>
      <c r="AE1919">
        <v>0</v>
      </c>
      <c r="AF1919">
        <v>0</v>
      </c>
      <c r="AG1919">
        <v>1</v>
      </c>
      <c r="AH1919">
        <v>3.2999999821186073E-2</v>
      </c>
      <c r="AI1919">
        <v>1</v>
      </c>
      <c r="AJ1919">
        <v>0</v>
      </c>
      <c r="AK1919" t="s">
        <v>54</v>
      </c>
      <c r="AL1919" t="s">
        <v>53</v>
      </c>
      <c r="AQ1919" t="s">
        <v>53</v>
      </c>
      <c r="AT1919" t="s">
        <v>9280</v>
      </c>
      <c r="AW1919" t="s">
        <v>53</v>
      </c>
      <c r="AZ1919" t="s">
        <v>54</v>
      </c>
      <c r="BA1919" t="s">
        <v>9148</v>
      </c>
    </row>
    <row r="1920" spans="1:53" x14ac:dyDescent="0.25">
      <c r="A1920">
        <v>1915</v>
      </c>
      <c r="B1920" t="s">
        <v>9302</v>
      </c>
      <c r="C1920" t="s">
        <v>9303</v>
      </c>
      <c r="D1920" t="s">
        <v>9304</v>
      </c>
      <c r="E1920">
        <v>12</v>
      </c>
      <c r="F1920" t="s">
        <v>9138</v>
      </c>
      <c r="G1920" t="s">
        <v>9163</v>
      </c>
      <c r="H1920" t="s">
        <v>9268</v>
      </c>
      <c r="I1920" t="s">
        <v>9276</v>
      </c>
      <c r="J1920" t="s">
        <v>9277</v>
      </c>
      <c r="K1920" t="s">
        <v>9278</v>
      </c>
      <c r="L1920" t="s">
        <v>9279</v>
      </c>
      <c r="M1920">
        <v>1.5274800360202789E-2</v>
      </c>
      <c r="N1920" t="s">
        <v>54</v>
      </c>
      <c r="O1920" t="s">
        <v>53</v>
      </c>
      <c r="P1920" t="s">
        <v>53</v>
      </c>
      <c r="Q1920" t="s">
        <v>53</v>
      </c>
      <c r="R1920" t="s">
        <v>53</v>
      </c>
      <c r="S1920" t="s">
        <v>9211</v>
      </c>
      <c r="T1920" t="s">
        <v>9255</v>
      </c>
      <c r="U1920" t="s">
        <v>54</v>
      </c>
      <c r="V1920" t="s">
        <v>51</v>
      </c>
      <c r="W1920">
        <v>5421088</v>
      </c>
      <c r="X1920" t="s">
        <v>53</v>
      </c>
      <c r="Z1920">
        <v>0</v>
      </c>
      <c r="AA1920">
        <v>1</v>
      </c>
      <c r="AB1920">
        <v>1</v>
      </c>
      <c r="AC1920">
        <v>1</v>
      </c>
      <c r="AD1920">
        <v>2</v>
      </c>
      <c r="AE1920">
        <v>2</v>
      </c>
      <c r="AF1920">
        <v>0</v>
      </c>
      <c r="AG1920">
        <v>1</v>
      </c>
      <c r="AH1920">
        <v>0.12999999523162839</v>
      </c>
      <c r="AI1920">
        <v>2</v>
      </c>
      <c r="AJ1920">
        <v>0</v>
      </c>
      <c r="AK1920" t="s">
        <v>54</v>
      </c>
      <c r="AL1920" t="s">
        <v>53</v>
      </c>
      <c r="AQ1920" t="s">
        <v>53</v>
      </c>
      <c r="AT1920" t="s">
        <v>9280</v>
      </c>
      <c r="AW1920" t="s">
        <v>54</v>
      </c>
      <c r="AZ1920" t="s">
        <v>54</v>
      </c>
      <c r="BA1920" t="s">
        <v>9148</v>
      </c>
    </row>
    <row r="1921" spans="1:53" x14ac:dyDescent="0.25">
      <c r="A1921">
        <v>1916</v>
      </c>
      <c r="B1921" t="s">
        <v>9305</v>
      </c>
      <c r="C1921" t="s">
        <v>9306</v>
      </c>
      <c r="D1921" t="s">
        <v>9307</v>
      </c>
      <c r="E1921">
        <v>12</v>
      </c>
      <c r="F1921" t="s">
        <v>9138</v>
      </c>
      <c r="G1921" t="s">
        <v>9163</v>
      </c>
      <c r="H1921" t="s">
        <v>9268</v>
      </c>
      <c r="I1921" t="s">
        <v>9276</v>
      </c>
      <c r="J1921" t="s">
        <v>9277</v>
      </c>
      <c r="K1921" t="s">
        <v>9278</v>
      </c>
      <c r="L1921" t="s">
        <v>9308</v>
      </c>
      <c r="M1921">
        <v>0.25971001386642462</v>
      </c>
      <c r="N1921" t="s">
        <v>54</v>
      </c>
      <c r="O1921" t="s">
        <v>53</v>
      </c>
      <c r="P1921" t="s">
        <v>53</v>
      </c>
      <c r="Q1921" t="s">
        <v>53</v>
      </c>
      <c r="R1921" t="s">
        <v>53</v>
      </c>
      <c r="S1921" t="s">
        <v>9211</v>
      </c>
      <c r="T1921" t="s">
        <v>9309</v>
      </c>
      <c r="U1921" t="s">
        <v>53</v>
      </c>
      <c r="V1921" t="s">
        <v>51</v>
      </c>
      <c r="W1921">
        <v>8878636</v>
      </c>
      <c r="X1921" t="s">
        <v>53</v>
      </c>
      <c r="Z1921">
        <v>0</v>
      </c>
      <c r="AA1921">
        <v>9</v>
      </c>
      <c r="AB1921">
        <v>9</v>
      </c>
      <c r="AC1921">
        <v>4</v>
      </c>
      <c r="AD1921">
        <v>18</v>
      </c>
      <c r="AE1921">
        <v>18</v>
      </c>
      <c r="AF1921">
        <v>0</v>
      </c>
      <c r="AG1921">
        <v>0</v>
      </c>
      <c r="AH1921">
        <v>7.2999998927116394E-2</v>
      </c>
      <c r="AI1921">
        <v>1</v>
      </c>
      <c r="AJ1921">
        <v>0</v>
      </c>
      <c r="AK1921" t="s">
        <v>54</v>
      </c>
      <c r="AL1921" t="s">
        <v>53</v>
      </c>
      <c r="AQ1921" t="s">
        <v>53</v>
      </c>
      <c r="AT1921" t="s">
        <v>9310</v>
      </c>
      <c r="AW1921" t="s">
        <v>54</v>
      </c>
      <c r="AZ1921" t="s">
        <v>54</v>
      </c>
      <c r="BA1921" t="s">
        <v>9148</v>
      </c>
    </row>
    <row r="1922" spans="1:53" x14ac:dyDescent="0.25">
      <c r="A1922">
        <v>1917</v>
      </c>
      <c r="B1922" t="s">
        <v>9311</v>
      </c>
      <c r="C1922" t="s">
        <v>9312</v>
      </c>
      <c r="D1922" t="s">
        <v>9313</v>
      </c>
      <c r="E1922">
        <v>12</v>
      </c>
      <c r="F1922" t="s">
        <v>9138</v>
      </c>
      <c r="G1922" t="s">
        <v>9163</v>
      </c>
      <c r="H1922" t="s">
        <v>9268</v>
      </c>
      <c r="I1922" t="s">
        <v>9276</v>
      </c>
      <c r="J1922" t="s">
        <v>9314</v>
      </c>
      <c r="K1922" t="s">
        <v>9315</v>
      </c>
      <c r="L1922" t="s">
        <v>9190</v>
      </c>
      <c r="M1922">
        <v>0.14463600516319269</v>
      </c>
      <c r="N1922" t="s">
        <v>54</v>
      </c>
      <c r="O1922" t="s">
        <v>53</v>
      </c>
      <c r="P1922" t="s">
        <v>53</v>
      </c>
      <c r="Q1922" t="s">
        <v>53</v>
      </c>
      <c r="R1922" t="s">
        <v>53</v>
      </c>
      <c r="S1922" t="s">
        <v>9211</v>
      </c>
      <c r="T1922" t="s">
        <v>9255</v>
      </c>
      <c r="U1922" t="s">
        <v>54</v>
      </c>
      <c r="V1922" t="s">
        <v>51</v>
      </c>
      <c r="W1922">
        <v>15077473</v>
      </c>
      <c r="X1922" t="s">
        <v>53</v>
      </c>
      <c r="Z1922">
        <v>0</v>
      </c>
      <c r="AA1922">
        <v>116</v>
      </c>
      <c r="AB1922">
        <v>115</v>
      </c>
      <c r="AC1922">
        <v>95</v>
      </c>
      <c r="AD1922">
        <v>366</v>
      </c>
      <c r="AE1922">
        <v>366</v>
      </c>
      <c r="AF1922">
        <v>0</v>
      </c>
      <c r="AG1922">
        <v>1</v>
      </c>
      <c r="AH1922">
        <v>1.1599999666213989</v>
      </c>
      <c r="AI1922">
        <v>11</v>
      </c>
      <c r="AJ1922">
        <v>0</v>
      </c>
      <c r="AK1922" t="s">
        <v>54</v>
      </c>
      <c r="AL1922" t="s">
        <v>53</v>
      </c>
      <c r="AQ1922" t="s">
        <v>53</v>
      </c>
      <c r="AT1922" t="s">
        <v>9310</v>
      </c>
      <c r="AW1922" t="s">
        <v>54</v>
      </c>
      <c r="AZ1922" t="s">
        <v>54</v>
      </c>
      <c r="BA1922" t="s">
        <v>9148</v>
      </c>
    </row>
    <row r="1923" spans="1:53" x14ac:dyDescent="0.25">
      <c r="A1923">
        <v>1918</v>
      </c>
      <c r="B1923" t="s">
        <v>9316</v>
      </c>
      <c r="C1923" t="s">
        <v>9317</v>
      </c>
      <c r="D1923" t="s">
        <v>9318</v>
      </c>
      <c r="E1923">
        <v>12</v>
      </c>
      <c r="F1923" t="s">
        <v>9138</v>
      </c>
      <c r="G1923" t="s">
        <v>9163</v>
      </c>
      <c r="H1923" t="s">
        <v>9268</v>
      </c>
      <c r="I1923" t="s">
        <v>9276</v>
      </c>
      <c r="J1923" t="s">
        <v>9314</v>
      </c>
      <c r="K1923" t="s">
        <v>9315</v>
      </c>
      <c r="L1923" t="s">
        <v>9301</v>
      </c>
      <c r="M1923">
        <v>0.61150902509689331</v>
      </c>
      <c r="N1923" t="s">
        <v>54</v>
      </c>
      <c r="O1923" t="s">
        <v>53</v>
      </c>
      <c r="P1923" t="s">
        <v>53</v>
      </c>
      <c r="Q1923" t="s">
        <v>53</v>
      </c>
      <c r="R1923" t="s">
        <v>53</v>
      </c>
      <c r="S1923" t="s">
        <v>9211</v>
      </c>
      <c r="T1923" t="s">
        <v>9255</v>
      </c>
      <c r="U1923" t="s">
        <v>54</v>
      </c>
      <c r="V1923" t="s">
        <v>138</v>
      </c>
      <c r="W1923">
        <v>350000</v>
      </c>
      <c r="X1923" t="s">
        <v>53</v>
      </c>
      <c r="Z1923">
        <v>0</v>
      </c>
      <c r="AA1923">
        <v>470</v>
      </c>
      <c r="AB1923">
        <v>410</v>
      </c>
      <c r="AC1923">
        <v>958</v>
      </c>
      <c r="AD1923">
        <v>1568</v>
      </c>
      <c r="AE1923">
        <v>1568</v>
      </c>
      <c r="AF1923">
        <v>2</v>
      </c>
      <c r="AG1923">
        <v>0</v>
      </c>
      <c r="AH1923">
        <v>6.4800000190734863</v>
      </c>
      <c r="AI1923">
        <v>41</v>
      </c>
      <c r="AJ1923">
        <v>0.92471098899841309</v>
      </c>
      <c r="AK1923" t="s">
        <v>54</v>
      </c>
      <c r="AL1923" t="s">
        <v>53</v>
      </c>
      <c r="AQ1923" t="s">
        <v>53</v>
      </c>
      <c r="AT1923" t="s">
        <v>9280</v>
      </c>
      <c r="AW1923" t="s">
        <v>54</v>
      </c>
      <c r="AZ1923" t="s">
        <v>54</v>
      </c>
      <c r="BA1923" t="s">
        <v>9148</v>
      </c>
    </row>
    <row r="1924" spans="1:53" x14ac:dyDescent="0.25">
      <c r="A1924">
        <v>1919</v>
      </c>
      <c r="B1924" t="s">
        <v>9319</v>
      </c>
      <c r="C1924" t="s">
        <v>9320</v>
      </c>
      <c r="D1924" t="s">
        <v>9321</v>
      </c>
      <c r="E1924">
        <v>12</v>
      </c>
      <c r="F1924" t="s">
        <v>9138</v>
      </c>
      <c r="G1924" t="s">
        <v>8575</v>
      </c>
      <c r="H1924" t="s">
        <v>9152</v>
      </c>
      <c r="I1924" t="s">
        <v>9153</v>
      </c>
      <c r="J1924" t="s">
        <v>9322</v>
      </c>
      <c r="K1924" t="s">
        <v>9323</v>
      </c>
      <c r="L1924" t="s">
        <v>9164</v>
      </c>
      <c r="M1924">
        <v>0.82122600078582764</v>
      </c>
      <c r="N1924" t="s">
        <v>54</v>
      </c>
      <c r="O1924" t="s">
        <v>53</v>
      </c>
      <c r="P1924" t="s">
        <v>53</v>
      </c>
      <c r="Q1924" t="s">
        <v>53</v>
      </c>
      <c r="R1924" t="s">
        <v>53</v>
      </c>
      <c r="S1924" t="s">
        <v>8626</v>
      </c>
      <c r="T1924" t="s">
        <v>9324</v>
      </c>
      <c r="U1924" t="s">
        <v>53</v>
      </c>
      <c r="V1924" t="s">
        <v>51</v>
      </c>
      <c r="W1924">
        <v>100000</v>
      </c>
      <c r="X1924" t="s">
        <v>53</v>
      </c>
      <c r="Z1924">
        <v>0</v>
      </c>
      <c r="AA1924">
        <v>6</v>
      </c>
      <c r="AB1924">
        <v>6</v>
      </c>
      <c r="AC1924">
        <v>1</v>
      </c>
      <c r="AD1924">
        <v>4</v>
      </c>
      <c r="AE1924">
        <v>4</v>
      </c>
      <c r="AF1924">
        <v>0</v>
      </c>
      <c r="AG1924">
        <v>0</v>
      </c>
      <c r="AH1924">
        <v>0.12999999523162839</v>
      </c>
      <c r="AI1924">
        <v>1</v>
      </c>
      <c r="AJ1924">
        <v>0</v>
      </c>
      <c r="AK1924" t="s">
        <v>53</v>
      </c>
      <c r="AL1924" t="s">
        <v>54</v>
      </c>
      <c r="AQ1924" t="s">
        <v>54</v>
      </c>
      <c r="AT1924" t="s">
        <v>9325</v>
      </c>
      <c r="AW1924" t="s">
        <v>53</v>
      </c>
      <c r="AZ1924" t="s">
        <v>54</v>
      </c>
      <c r="BA1924" t="s">
        <v>9148</v>
      </c>
    </row>
    <row r="1925" spans="1:53" x14ac:dyDescent="0.25">
      <c r="A1925">
        <v>1920</v>
      </c>
      <c r="B1925" t="s">
        <v>9326</v>
      </c>
      <c r="C1925" t="s">
        <v>9327</v>
      </c>
      <c r="D1925" t="s">
        <v>9321</v>
      </c>
      <c r="E1925">
        <v>12</v>
      </c>
      <c r="F1925" t="s">
        <v>9138</v>
      </c>
      <c r="G1925" t="s">
        <v>8575</v>
      </c>
      <c r="H1925" t="s">
        <v>9328</v>
      </c>
      <c r="I1925" t="s">
        <v>9329</v>
      </c>
      <c r="J1925" t="s">
        <v>9330</v>
      </c>
      <c r="K1925" t="s">
        <v>9331</v>
      </c>
      <c r="L1925" t="s">
        <v>9164</v>
      </c>
      <c r="M1925">
        <v>13.08080005645752</v>
      </c>
      <c r="N1925" t="s">
        <v>54</v>
      </c>
      <c r="O1925" t="s">
        <v>53</v>
      </c>
      <c r="P1925" t="s">
        <v>53</v>
      </c>
      <c r="Q1925" t="s">
        <v>53</v>
      </c>
      <c r="R1925" t="s">
        <v>53</v>
      </c>
      <c r="S1925" t="s">
        <v>8626</v>
      </c>
      <c r="T1925" t="s">
        <v>9332</v>
      </c>
      <c r="U1925" t="s">
        <v>54</v>
      </c>
      <c r="V1925" t="s">
        <v>51</v>
      </c>
      <c r="W1925">
        <v>100000</v>
      </c>
      <c r="X1925" t="s">
        <v>53</v>
      </c>
      <c r="Z1925">
        <v>0</v>
      </c>
      <c r="AA1925">
        <v>33</v>
      </c>
      <c r="AB1925">
        <v>18</v>
      </c>
      <c r="AC1925">
        <v>41</v>
      </c>
      <c r="AD1925">
        <v>31</v>
      </c>
      <c r="AE1925">
        <v>41</v>
      </c>
      <c r="AF1925">
        <v>5</v>
      </c>
      <c r="AG1925">
        <v>0</v>
      </c>
      <c r="AH1925">
        <v>1</v>
      </c>
      <c r="AI1925">
        <v>7</v>
      </c>
      <c r="AJ1925">
        <v>58.654098510742188</v>
      </c>
      <c r="AK1925" t="s">
        <v>53</v>
      </c>
      <c r="AL1925" t="s">
        <v>53</v>
      </c>
      <c r="AQ1925" t="s">
        <v>54</v>
      </c>
      <c r="AT1925" t="s">
        <v>9333</v>
      </c>
      <c r="AW1925" t="s">
        <v>53</v>
      </c>
      <c r="AZ1925" t="s">
        <v>54</v>
      </c>
      <c r="BA1925" t="s">
        <v>9148</v>
      </c>
    </row>
    <row r="1926" spans="1:53" x14ac:dyDescent="0.25">
      <c r="A1926">
        <v>1921</v>
      </c>
      <c r="B1926" t="s">
        <v>9334</v>
      </c>
      <c r="C1926" t="s">
        <v>9335</v>
      </c>
      <c r="D1926" t="s">
        <v>9336</v>
      </c>
      <c r="E1926">
        <v>12</v>
      </c>
      <c r="F1926" t="s">
        <v>9138</v>
      </c>
      <c r="G1926" t="s">
        <v>9139</v>
      </c>
      <c r="H1926" t="s">
        <v>9140</v>
      </c>
      <c r="I1926" t="s">
        <v>9197</v>
      </c>
      <c r="J1926" t="s">
        <v>9337</v>
      </c>
      <c r="K1926" t="s">
        <v>9338</v>
      </c>
      <c r="L1926" t="s">
        <v>9164</v>
      </c>
      <c r="M1926">
        <v>0.90789198875427246</v>
      </c>
      <c r="N1926" t="s">
        <v>54</v>
      </c>
      <c r="O1926" t="s">
        <v>53</v>
      </c>
      <c r="P1926" t="s">
        <v>54</v>
      </c>
      <c r="Q1926" t="s">
        <v>53</v>
      </c>
      <c r="R1926" t="s">
        <v>53</v>
      </c>
      <c r="S1926" t="s">
        <v>9227</v>
      </c>
      <c r="T1926" t="s">
        <v>9228</v>
      </c>
      <c r="U1926" t="s">
        <v>53</v>
      </c>
      <c r="V1926" t="s">
        <v>51</v>
      </c>
      <c r="W1926">
        <v>50000</v>
      </c>
      <c r="X1926" t="s">
        <v>53</v>
      </c>
      <c r="Z1926">
        <v>0</v>
      </c>
      <c r="AA1926">
        <v>37</v>
      </c>
      <c r="AB1926">
        <v>19</v>
      </c>
      <c r="AC1926">
        <v>53</v>
      </c>
      <c r="AD1926">
        <v>21</v>
      </c>
      <c r="AE1926">
        <v>53</v>
      </c>
      <c r="AF1926">
        <v>0</v>
      </c>
      <c r="AG1926">
        <v>0</v>
      </c>
      <c r="AH1926">
        <v>0.94999998807907104</v>
      </c>
      <c r="AI1926">
        <v>15</v>
      </c>
      <c r="AJ1926">
        <v>31.62490081787109</v>
      </c>
      <c r="AK1926" t="s">
        <v>53</v>
      </c>
      <c r="AL1926" t="s">
        <v>53</v>
      </c>
      <c r="AQ1926" t="s">
        <v>53</v>
      </c>
      <c r="AT1926" t="s">
        <v>9147</v>
      </c>
      <c r="AW1926" t="s">
        <v>8390</v>
      </c>
      <c r="AZ1926" t="s">
        <v>54</v>
      </c>
      <c r="BA1926" t="s">
        <v>9148</v>
      </c>
    </row>
    <row r="1927" spans="1:53" x14ac:dyDescent="0.25">
      <c r="A1927">
        <v>1922</v>
      </c>
      <c r="B1927" t="s">
        <v>9339</v>
      </c>
      <c r="C1927" t="s">
        <v>9340</v>
      </c>
      <c r="D1927" t="s">
        <v>9341</v>
      </c>
      <c r="E1927">
        <v>12</v>
      </c>
      <c r="F1927" t="s">
        <v>9138</v>
      </c>
      <c r="G1927" t="s">
        <v>9139</v>
      </c>
      <c r="H1927" t="s">
        <v>9140</v>
      </c>
      <c r="I1927" t="s">
        <v>9342</v>
      </c>
      <c r="J1927" t="s">
        <v>9343</v>
      </c>
      <c r="K1927" t="s">
        <v>9344</v>
      </c>
      <c r="L1927" t="s">
        <v>9345</v>
      </c>
      <c r="M1927">
        <v>2.3095500469207759</v>
      </c>
      <c r="N1927" t="s">
        <v>54</v>
      </c>
      <c r="O1927" t="s">
        <v>53</v>
      </c>
      <c r="P1927" t="s">
        <v>53</v>
      </c>
      <c r="Q1927" t="s">
        <v>53</v>
      </c>
      <c r="R1927" t="s">
        <v>53</v>
      </c>
      <c r="S1927" t="s">
        <v>9346</v>
      </c>
      <c r="T1927" t="s">
        <v>9347</v>
      </c>
      <c r="U1927" t="s">
        <v>53</v>
      </c>
      <c r="V1927" t="s">
        <v>51</v>
      </c>
      <c r="W1927">
        <v>100000</v>
      </c>
      <c r="X1927" t="s">
        <v>54</v>
      </c>
      <c r="Z1927">
        <v>0</v>
      </c>
      <c r="AA1927">
        <v>6</v>
      </c>
      <c r="AB1927">
        <v>5</v>
      </c>
      <c r="AC1927">
        <v>33</v>
      </c>
      <c r="AD1927">
        <v>159</v>
      </c>
      <c r="AE1927">
        <v>159</v>
      </c>
      <c r="AF1927">
        <v>0</v>
      </c>
      <c r="AG1927">
        <v>0</v>
      </c>
      <c r="AH1927">
        <v>0.14000000059604639</v>
      </c>
      <c r="AI1927">
        <v>5</v>
      </c>
      <c r="AJ1927">
        <v>0.89692902565002441</v>
      </c>
      <c r="AK1927" t="s">
        <v>54</v>
      </c>
      <c r="AL1927" t="s">
        <v>53</v>
      </c>
      <c r="AQ1927" t="s">
        <v>54</v>
      </c>
      <c r="AT1927" t="s">
        <v>9147</v>
      </c>
      <c r="AW1927" t="s">
        <v>53</v>
      </c>
      <c r="AZ1927" t="s">
        <v>54</v>
      </c>
      <c r="BA1927" t="s">
        <v>9348</v>
      </c>
    </row>
    <row r="1928" spans="1:53" x14ac:dyDescent="0.25">
      <c r="A1928">
        <v>1923</v>
      </c>
      <c r="B1928" t="s">
        <v>9349</v>
      </c>
      <c r="C1928" t="s">
        <v>9335</v>
      </c>
      <c r="D1928" t="s">
        <v>9336</v>
      </c>
      <c r="E1928">
        <v>12</v>
      </c>
      <c r="F1928" t="s">
        <v>9138</v>
      </c>
      <c r="G1928" t="s">
        <v>9139</v>
      </c>
      <c r="H1928" t="s">
        <v>9140</v>
      </c>
      <c r="I1928" t="s">
        <v>9187</v>
      </c>
      <c r="J1928" t="s">
        <v>9188</v>
      </c>
      <c r="K1928" t="s">
        <v>9189</v>
      </c>
      <c r="L1928" t="s">
        <v>9164</v>
      </c>
      <c r="M1928">
        <v>3.6673600673675542</v>
      </c>
      <c r="N1928" t="s">
        <v>54</v>
      </c>
      <c r="O1928" t="s">
        <v>53</v>
      </c>
      <c r="P1928" t="s">
        <v>54</v>
      </c>
      <c r="Q1928" t="s">
        <v>53</v>
      </c>
      <c r="R1928" t="s">
        <v>53</v>
      </c>
      <c r="S1928" t="s">
        <v>9350</v>
      </c>
      <c r="T1928" t="s">
        <v>9192</v>
      </c>
      <c r="U1928" t="s">
        <v>53</v>
      </c>
      <c r="V1928" t="s">
        <v>51</v>
      </c>
      <c r="W1928">
        <v>50000</v>
      </c>
      <c r="X1928" t="s">
        <v>53</v>
      </c>
      <c r="Z1928">
        <v>0</v>
      </c>
      <c r="AA1928">
        <v>42</v>
      </c>
      <c r="AB1928">
        <v>24</v>
      </c>
      <c r="AC1928">
        <v>33</v>
      </c>
      <c r="AD1928">
        <v>59</v>
      </c>
      <c r="AE1928">
        <v>59</v>
      </c>
      <c r="AF1928">
        <v>0</v>
      </c>
      <c r="AG1928">
        <v>0</v>
      </c>
      <c r="AH1928">
        <v>0.43000000715255737</v>
      </c>
      <c r="AI1928">
        <v>21</v>
      </c>
      <c r="AJ1928">
        <v>13.105299949646</v>
      </c>
      <c r="AK1928" t="s">
        <v>53</v>
      </c>
      <c r="AL1928" t="s">
        <v>53</v>
      </c>
      <c r="AQ1928" t="s">
        <v>53</v>
      </c>
      <c r="AT1928" t="s">
        <v>9147</v>
      </c>
      <c r="AW1928" t="s">
        <v>8390</v>
      </c>
      <c r="AZ1928" t="s">
        <v>54</v>
      </c>
      <c r="BA1928" t="s">
        <v>9148</v>
      </c>
    </row>
    <row r="1929" spans="1:53" x14ac:dyDescent="0.25">
      <c r="A1929">
        <v>1924</v>
      </c>
      <c r="B1929" t="s">
        <v>9351</v>
      </c>
      <c r="C1929" t="s">
        <v>9352</v>
      </c>
      <c r="D1929" t="s">
        <v>9353</v>
      </c>
      <c r="E1929">
        <v>12</v>
      </c>
      <c r="F1929" t="s">
        <v>9138</v>
      </c>
      <c r="G1929" t="s">
        <v>9061</v>
      </c>
      <c r="H1929" t="s">
        <v>9140</v>
      </c>
      <c r="I1929" t="s">
        <v>9354</v>
      </c>
      <c r="J1929" t="s">
        <v>9355</v>
      </c>
      <c r="K1929" t="s">
        <v>9356</v>
      </c>
      <c r="L1929" t="s">
        <v>9164</v>
      </c>
      <c r="M1929">
        <v>3.1811399459838872</v>
      </c>
      <c r="N1929" t="s">
        <v>54</v>
      </c>
      <c r="O1929" t="s">
        <v>53</v>
      </c>
      <c r="P1929" t="s">
        <v>54</v>
      </c>
      <c r="Q1929" t="s">
        <v>53</v>
      </c>
      <c r="R1929" t="s">
        <v>53</v>
      </c>
      <c r="S1929" t="s">
        <v>9201</v>
      </c>
      <c r="T1929" t="s">
        <v>9202</v>
      </c>
      <c r="U1929" t="s">
        <v>54</v>
      </c>
      <c r="V1929" t="s">
        <v>51</v>
      </c>
      <c r="W1929">
        <v>5000</v>
      </c>
      <c r="X1929" t="s">
        <v>53</v>
      </c>
      <c r="Z1929">
        <v>0</v>
      </c>
      <c r="AA1929">
        <v>69</v>
      </c>
      <c r="AB1929">
        <v>50</v>
      </c>
      <c r="AC1929">
        <v>100</v>
      </c>
      <c r="AD1929">
        <v>50</v>
      </c>
      <c r="AE1929">
        <v>100</v>
      </c>
      <c r="AF1929">
        <v>0</v>
      </c>
      <c r="AG1929">
        <v>6</v>
      </c>
      <c r="AH1929">
        <v>1.549999952316284</v>
      </c>
      <c r="AI1929">
        <v>25</v>
      </c>
      <c r="AJ1929">
        <v>11.58290004730225</v>
      </c>
      <c r="AK1929" t="s">
        <v>53</v>
      </c>
      <c r="AL1929" t="s">
        <v>53</v>
      </c>
      <c r="AQ1929" t="s">
        <v>53</v>
      </c>
      <c r="AT1929" t="s">
        <v>9147</v>
      </c>
      <c r="AW1929" t="s">
        <v>8390</v>
      </c>
      <c r="AZ1929" t="s">
        <v>54</v>
      </c>
      <c r="BA1929" t="s">
        <v>9148</v>
      </c>
    </row>
    <row r="1930" spans="1:53" x14ac:dyDescent="0.25">
      <c r="A1930">
        <v>1925</v>
      </c>
      <c r="B1930" t="s">
        <v>9357</v>
      </c>
      <c r="C1930" t="s">
        <v>9358</v>
      </c>
      <c r="D1930" t="s">
        <v>9359</v>
      </c>
      <c r="E1930">
        <v>12</v>
      </c>
      <c r="F1930" t="s">
        <v>9138</v>
      </c>
      <c r="G1930" t="s">
        <v>9061</v>
      </c>
      <c r="H1930" t="s">
        <v>9152</v>
      </c>
      <c r="I1930" t="s">
        <v>9217</v>
      </c>
      <c r="J1930" t="s">
        <v>9218</v>
      </c>
      <c r="K1930" t="s">
        <v>9219</v>
      </c>
      <c r="L1930" t="s">
        <v>9360</v>
      </c>
      <c r="M1930">
        <v>1.682929992675781</v>
      </c>
      <c r="N1930" t="s">
        <v>54</v>
      </c>
      <c r="O1930" t="s">
        <v>53</v>
      </c>
      <c r="P1930" t="s">
        <v>54</v>
      </c>
      <c r="Q1930" t="s">
        <v>53</v>
      </c>
      <c r="R1930" t="s">
        <v>53</v>
      </c>
      <c r="S1930" t="s">
        <v>9220</v>
      </c>
      <c r="T1930" t="s">
        <v>9221</v>
      </c>
      <c r="U1930" t="s">
        <v>54</v>
      </c>
      <c r="V1930" t="s">
        <v>51</v>
      </c>
      <c r="W1930">
        <v>1203489</v>
      </c>
      <c r="X1930" t="s">
        <v>53</v>
      </c>
      <c r="Z1930">
        <v>0</v>
      </c>
      <c r="AA1930">
        <v>73</v>
      </c>
      <c r="AB1930">
        <v>44</v>
      </c>
      <c r="AC1930">
        <v>102</v>
      </c>
      <c r="AD1930">
        <v>45</v>
      </c>
      <c r="AE1930">
        <v>102</v>
      </c>
      <c r="AF1930">
        <v>0</v>
      </c>
      <c r="AG1930">
        <v>7</v>
      </c>
      <c r="AH1930">
        <v>1.75</v>
      </c>
      <c r="AI1930">
        <v>22</v>
      </c>
      <c r="AJ1930">
        <v>3.1808099746704102</v>
      </c>
      <c r="AK1930" t="s">
        <v>53</v>
      </c>
      <c r="AL1930" t="s">
        <v>53</v>
      </c>
      <c r="AQ1930" t="s">
        <v>53</v>
      </c>
      <c r="AT1930" t="s">
        <v>9147</v>
      </c>
      <c r="AW1930" t="s">
        <v>8390</v>
      </c>
      <c r="AZ1930" t="s">
        <v>54</v>
      </c>
      <c r="BA1930" t="s">
        <v>9148</v>
      </c>
    </row>
    <row r="1931" spans="1:53" x14ac:dyDescent="0.25">
      <c r="A1931">
        <v>1926</v>
      </c>
      <c r="B1931" t="s">
        <v>9361</v>
      </c>
      <c r="C1931" t="s">
        <v>9340</v>
      </c>
      <c r="D1931" t="s">
        <v>9341</v>
      </c>
      <c r="E1931">
        <v>12</v>
      </c>
      <c r="F1931" t="s">
        <v>9138</v>
      </c>
      <c r="G1931" t="s">
        <v>9139</v>
      </c>
      <c r="H1931" t="s">
        <v>9140</v>
      </c>
      <c r="I1931" t="s">
        <v>9197</v>
      </c>
      <c r="J1931" t="s">
        <v>9337</v>
      </c>
      <c r="K1931" t="s">
        <v>9338</v>
      </c>
      <c r="L1931" t="s">
        <v>9345</v>
      </c>
      <c r="M1931">
        <v>0.90789198875427246</v>
      </c>
      <c r="N1931" t="s">
        <v>54</v>
      </c>
      <c r="O1931" t="s">
        <v>53</v>
      </c>
      <c r="P1931" t="s">
        <v>54</v>
      </c>
      <c r="Q1931" t="s">
        <v>53</v>
      </c>
      <c r="R1931" t="s">
        <v>53</v>
      </c>
      <c r="S1931" t="s">
        <v>9227</v>
      </c>
      <c r="T1931" t="s">
        <v>9228</v>
      </c>
      <c r="U1931" t="s">
        <v>53</v>
      </c>
      <c r="V1931" t="s">
        <v>51</v>
      </c>
      <c r="W1931">
        <v>100000</v>
      </c>
      <c r="X1931" t="s">
        <v>54</v>
      </c>
      <c r="Z1931">
        <v>0</v>
      </c>
      <c r="AA1931">
        <v>38</v>
      </c>
      <c r="AB1931">
        <v>19</v>
      </c>
      <c r="AC1931">
        <v>53</v>
      </c>
      <c r="AD1931">
        <v>23</v>
      </c>
      <c r="AE1931">
        <v>53</v>
      </c>
      <c r="AF1931">
        <v>0</v>
      </c>
      <c r="AG1931">
        <v>0</v>
      </c>
      <c r="AH1931">
        <v>0.94999998807907104</v>
      </c>
      <c r="AI1931">
        <v>15</v>
      </c>
      <c r="AJ1931">
        <v>31.62490081787109</v>
      </c>
      <c r="AK1931" t="s">
        <v>54</v>
      </c>
      <c r="AL1931" t="s">
        <v>53</v>
      </c>
      <c r="AQ1931" t="s">
        <v>54</v>
      </c>
      <c r="AT1931" t="s">
        <v>9147</v>
      </c>
      <c r="AW1931" t="s">
        <v>8390</v>
      </c>
      <c r="AZ1931" t="s">
        <v>54</v>
      </c>
      <c r="BA1931" t="s">
        <v>9348</v>
      </c>
    </row>
    <row r="1932" spans="1:53" x14ac:dyDescent="0.25">
      <c r="A1932">
        <v>1927</v>
      </c>
      <c r="B1932" t="s">
        <v>9362</v>
      </c>
      <c r="C1932" t="s">
        <v>9335</v>
      </c>
      <c r="D1932" t="s">
        <v>9336</v>
      </c>
      <c r="E1932">
        <v>12</v>
      </c>
      <c r="F1932" t="s">
        <v>9138</v>
      </c>
      <c r="G1932" t="s">
        <v>9139</v>
      </c>
      <c r="H1932" t="s">
        <v>9140</v>
      </c>
      <c r="I1932" t="s">
        <v>9342</v>
      </c>
      <c r="J1932" t="s">
        <v>9343</v>
      </c>
      <c r="K1932" t="s">
        <v>9344</v>
      </c>
      <c r="L1932" t="s">
        <v>9164</v>
      </c>
      <c r="M1932">
        <v>2.3095500469207759</v>
      </c>
      <c r="N1932" t="s">
        <v>54</v>
      </c>
      <c r="O1932" t="s">
        <v>53</v>
      </c>
      <c r="P1932" t="s">
        <v>53</v>
      </c>
      <c r="Q1932" t="s">
        <v>53</v>
      </c>
      <c r="R1932" t="s">
        <v>53</v>
      </c>
      <c r="S1932" t="s">
        <v>9346</v>
      </c>
      <c r="T1932" t="s">
        <v>9347</v>
      </c>
      <c r="U1932" t="s">
        <v>53</v>
      </c>
      <c r="V1932" t="s">
        <v>51</v>
      </c>
      <c r="W1932">
        <v>50000</v>
      </c>
      <c r="X1932" t="s">
        <v>53</v>
      </c>
      <c r="Z1932">
        <v>0</v>
      </c>
      <c r="AA1932">
        <v>6</v>
      </c>
      <c r="AB1932">
        <v>5</v>
      </c>
      <c r="AC1932">
        <v>33</v>
      </c>
      <c r="AD1932">
        <v>159</v>
      </c>
      <c r="AE1932">
        <v>159</v>
      </c>
      <c r="AF1932">
        <v>0</v>
      </c>
      <c r="AG1932">
        <v>0</v>
      </c>
      <c r="AH1932">
        <v>0.14000000059604639</v>
      </c>
      <c r="AI1932">
        <v>5</v>
      </c>
      <c r="AJ1932">
        <v>0.89692902565002441</v>
      </c>
      <c r="AK1932" t="s">
        <v>53</v>
      </c>
      <c r="AL1932" t="s">
        <v>53</v>
      </c>
      <c r="AQ1932" t="s">
        <v>53</v>
      </c>
      <c r="AT1932" t="s">
        <v>9147</v>
      </c>
      <c r="AW1932" t="s">
        <v>53</v>
      </c>
      <c r="AZ1932" t="s">
        <v>54</v>
      </c>
      <c r="BA1932" t="s">
        <v>9148</v>
      </c>
    </row>
    <row r="1933" spans="1:53" x14ac:dyDescent="0.25">
      <c r="A1933">
        <v>1928</v>
      </c>
      <c r="B1933" t="s">
        <v>9363</v>
      </c>
      <c r="C1933" t="s">
        <v>9340</v>
      </c>
      <c r="D1933" t="s">
        <v>9341</v>
      </c>
      <c r="E1933">
        <v>12</v>
      </c>
      <c r="F1933" t="s">
        <v>9138</v>
      </c>
      <c r="G1933" t="s">
        <v>9139</v>
      </c>
      <c r="H1933" t="s">
        <v>9140</v>
      </c>
      <c r="I1933" t="s">
        <v>9141</v>
      </c>
      <c r="J1933" t="s">
        <v>9142</v>
      </c>
      <c r="K1933" t="s">
        <v>9143</v>
      </c>
      <c r="L1933" t="s">
        <v>9345</v>
      </c>
      <c r="M1933">
        <v>1.1774899959564209</v>
      </c>
      <c r="N1933" t="s">
        <v>54</v>
      </c>
      <c r="O1933" t="s">
        <v>53</v>
      </c>
      <c r="P1933" t="s">
        <v>54</v>
      </c>
      <c r="Q1933" t="s">
        <v>53</v>
      </c>
      <c r="R1933" t="s">
        <v>53</v>
      </c>
      <c r="S1933" t="s">
        <v>9145</v>
      </c>
      <c r="T1933" t="s">
        <v>9146</v>
      </c>
      <c r="U1933" t="s">
        <v>53</v>
      </c>
      <c r="V1933" t="s">
        <v>51</v>
      </c>
      <c r="W1933">
        <v>100000</v>
      </c>
      <c r="X1933" t="s">
        <v>54</v>
      </c>
      <c r="Z1933">
        <v>0</v>
      </c>
      <c r="AA1933">
        <v>4</v>
      </c>
      <c r="AB1933">
        <v>1</v>
      </c>
      <c r="AC1933">
        <v>4</v>
      </c>
      <c r="AD1933">
        <v>14</v>
      </c>
      <c r="AE1933">
        <v>14</v>
      </c>
      <c r="AF1933">
        <v>0</v>
      </c>
      <c r="AG1933">
        <v>0</v>
      </c>
      <c r="AH1933">
        <v>0.116907998919487</v>
      </c>
      <c r="AI1933">
        <v>4</v>
      </c>
      <c r="AJ1933">
        <v>1.163869976997375</v>
      </c>
      <c r="AK1933" t="s">
        <v>54</v>
      </c>
      <c r="AL1933" t="s">
        <v>53</v>
      </c>
      <c r="AQ1933" t="s">
        <v>54</v>
      </c>
      <c r="AT1933" t="s">
        <v>9147</v>
      </c>
      <c r="AW1933" t="s">
        <v>8390</v>
      </c>
      <c r="AZ1933" t="s">
        <v>54</v>
      </c>
      <c r="BA1933" t="s">
        <v>9348</v>
      </c>
    </row>
    <row r="1934" spans="1:53" x14ac:dyDescent="0.25">
      <c r="A1934">
        <v>1929</v>
      </c>
      <c r="B1934" t="s">
        <v>9364</v>
      </c>
      <c r="C1934" t="s">
        <v>9365</v>
      </c>
      <c r="D1934" t="s">
        <v>9366</v>
      </c>
      <c r="E1934">
        <v>12</v>
      </c>
      <c r="F1934" t="s">
        <v>9138</v>
      </c>
      <c r="G1934" t="s">
        <v>9061</v>
      </c>
      <c r="H1934" t="s">
        <v>9140</v>
      </c>
      <c r="I1934" t="s">
        <v>9354</v>
      </c>
      <c r="J1934" t="s">
        <v>9355</v>
      </c>
      <c r="K1934" t="s">
        <v>9356</v>
      </c>
      <c r="L1934" t="s">
        <v>9360</v>
      </c>
      <c r="M1934">
        <v>3.1811399459838872</v>
      </c>
      <c r="N1934" t="s">
        <v>54</v>
      </c>
      <c r="O1934" t="s">
        <v>53</v>
      </c>
      <c r="P1934" t="s">
        <v>54</v>
      </c>
      <c r="Q1934" t="s">
        <v>53</v>
      </c>
      <c r="R1934" t="s">
        <v>53</v>
      </c>
      <c r="S1934" t="s">
        <v>9062</v>
      </c>
      <c r="T1934" t="s">
        <v>9202</v>
      </c>
      <c r="U1934" t="s">
        <v>54</v>
      </c>
      <c r="V1934" t="s">
        <v>51</v>
      </c>
      <c r="W1934">
        <v>100000</v>
      </c>
      <c r="X1934" t="s">
        <v>53</v>
      </c>
      <c r="Z1934">
        <v>0</v>
      </c>
      <c r="AA1934">
        <v>69</v>
      </c>
      <c r="AB1934">
        <v>50</v>
      </c>
      <c r="AC1934">
        <v>100</v>
      </c>
      <c r="AD1934">
        <v>50</v>
      </c>
      <c r="AE1934">
        <v>100</v>
      </c>
      <c r="AF1934">
        <v>0</v>
      </c>
      <c r="AG1934">
        <v>6</v>
      </c>
      <c r="AH1934">
        <v>1.549999952316284</v>
      </c>
      <c r="AI1934">
        <v>25</v>
      </c>
      <c r="AJ1934">
        <v>11.58290004730225</v>
      </c>
      <c r="AK1934" t="s">
        <v>53</v>
      </c>
      <c r="AL1934" t="s">
        <v>53</v>
      </c>
      <c r="AQ1934" t="s">
        <v>53</v>
      </c>
      <c r="AT1934" t="s">
        <v>9147</v>
      </c>
      <c r="AW1934" t="s">
        <v>8390</v>
      </c>
      <c r="AZ1934" t="s">
        <v>54</v>
      </c>
      <c r="BA1934" t="s">
        <v>9148</v>
      </c>
    </row>
    <row r="1935" spans="1:53" x14ac:dyDescent="0.25">
      <c r="A1935">
        <v>1930</v>
      </c>
      <c r="B1935" t="s">
        <v>9367</v>
      </c>
      <c r="C1935" t="s">
        <v>9368</v>
      </c>
      <c r="D1935" t="s">
        <v>9369</v>
      </c>
      <c r="E1935">
        <v>12</v>
      </c>
      <c r="F1935" t="s">
        <v>9138</v>
      </c>
      <c r="G1935" t="s">
        <v>9061</v>
      </c>
      <c r="H1935" t="s">
        <v>9140</v>
      </c>
      <c r="I1935" t="s">
        <v>9354</v>
      </c>
      <c r="J1935" t="s">
        <v>9355</v>
      </c>
      <c r="K1935" t="s">
        <v>9356</v>
      </c>
      <c r="L1935" t="s">
        <v>9180</v>
      </c>
      <c r="M1935">
        <v>3.1811399459838872</v>
      </c>
      <c r="N1935" t="s">
        <v>54</v>
      </c>
      <c r="O1935" t="s">
        <v>53</v>
      </c>
      <c r="P1935" t="s">
        <v>54</v>
      </c>
      <c r="Q1935" t="s">
        <v>53</v>
      </c>
      <c r="R1935" t="s">
        <v>53</v>
      </c>
      <c r="S1935" t="s">
        <v>9201</v>
      </c>
      <c r="T1935" t="s">
        <v>9202</v>
      </c>
      <c r="U1935" t="s">
        <v>54</v>
      </c>
      <c r="V1935" t="s">
        <v>51</v>
      </c>
      <c r="W1935">
        <v>250727</v>
      </c>
      <c r="X1935" t="s">
        <v>53</v>
      </c>
      <c r="Z1935">
        <v>0</v>
      </c>
      <c r="AA1935">
        <v>69</v>
      </c>
      <c r="AB1935">
        <v>50</v>
      </c>
      <c r="AC1935">
        <v>100</v>
      </c>
      <c r="AD1935">
        <v>50</v>
      </c>
      <c r="AE1935">
        <v>100</v>
      </c>
      <c r="AF1935">
        <v>0</v>
      </c>
      <c r="AG1935">
        <v>6</v>
      </c>
      <c r="AH1935">
        <v>1.549999952316284</v>
      </c>
      <c r="AI1935">
        <v>25</v>
      </c>
      <c r="AJ1935">
        <v>11.58290004730225</v>
      </c>
      <c r="AK1935" t="s">
        <v>54</v>
      </c>
      <c r="AL1935" t="s">
        <v>53</v>
      </c>
      <c r="AQ1935" t="s">
        <v>53</v>
      </c>
      <c r="AT1935" t="s">
        <v>9147</v>
      </c>
      <c r="AW1935" t="s">
        <v>8390</v>
      </c>
      <c r="AZ1935" t="s">
        <v>54</v>
      </c>
      <c r="BA1935" t="s">
        <v>9148</v>
      </c>
    </row>
    <row r="1936" spans="1:53" x14ac:dyDescent="0.25">
      <c r="A1936">
        <v>1931</v>
      </c>
      <c r="B1936" t="s">
        <v>9370</v>
      </c>
      <c r="C1936" t="s">
        <v>9371</v>
      </c>
      <c r="D1936" t="s">
        <v>9372</v>
      </c>
      <c r="E1936">
        <v>12</v>
      </c>
      <c r="F1936" t="s">
        <v>9138</v>
      </c>
      <c r="G1936" t="s">
        <v>9061</v>
      </c>
      <c r="H1936" t="s">
        <v>9140</v>
      </c>
      <c r="I1936" t="s">
        <v>9354</v>
      </c>
      <c r="J1936" t="s">
        <v>9355</v>
      </c>
      <c r="K1936" t="s">
        <v>9356</v>
      </c>
      <c r="L1936" t="s">
        <v>9164</v>
      </c>
      <c r="M1936">
        <v>3.1811399459838872</v>
      </c>
      <c r="N1936" t="s">
        <v>54</v>
      </c>
      <c r="O1936" t="s">
        <v>53</v>
      </c>
      <c r="P1936" t="s">
        <v>54</v>
      </c>
      <c r="Q1936" t="s">
        <v>53</v>
      </c>
      <c r="R1936" t="s">
        <v>53</v>
      </c>
      <c r="S1936" t="s">
        <v>9201</v>
      </c>
      <c r="T1936" t="s">
        <v>9202</v>
      </c>
      <c r="U1936" t="s">
        <v>54</v>
      </c>
      <c r="V1936" t="s">
        <v>51</v>
      </c>
      <c r="W1936">
        <v>203952</v>
      </c>
      <c r="X1936" t="s">
        <v>53</v>
      </c>
      <c r="Z1936">
        <v>0</v>
      </c>
      <c r="AA1936">
        <v>69</v>
      </c>
      <c r="AB1936">
        <v>50</v>
      </c>
      <c r="AC1936">
        <v>100</v>
      </c>
      <c r="AD1936">
        <v>50</v>
      </c>
      <c r="AE1936">
        <v>100</v>
      </c>
      <c r="AF1936">
        <v>0</v>
      </c>
      <c r="AG1936">
        <v>6</v>
      </c>
      <c r="AH1936">
        <v>1.549999952316284</v>
      </c>
      <c r="AI1936">
        <v>25</v>
      </c>
      <c r="AJ1936">
        <v>11.58290004730225</v>
      </c>
      <c r="AK1936" t="s">
        <v>54</v>
      </c>
      <c r="AL1936" t="s">
        <v>53</v>
      </c>
      <c r="AQ1936" t="s">
        <v>53</v>
      </c>
      <c r="AT1936" t="s">
        <v>9147</v>
      </c>
      <c r="AW1936" t="s">
        <v>8390</v>
      </c>
      <c r="AZ1936" t="s">
        <v>54</v>
      </c>
      <c r="BA1936" t="s">
        <v>9148</v>
      </c>
    </row>
    <row r="1937" spans="1:53" x14ac:dyDescent="0.25">
      <c r="A1937">
        <v>1932</v>
      </c>
      <c r="B1937" t="s">
        <v>9373</v>
      </c>
      <c r="C1937" t="s">
        <v>9374</v>
      </c>
      <c r="D1937" t="s">
        <v>9375</v>
      </c>
      <c r="E1937">
        <v>12</v>
      </c>
      <c r="F1937" t="s">
        <v>9138</v>
      </c>
      <c r="G1937" t="s">
        <v>9061</v>
      </c>
      <c r="H1937" t="s">
        <v>9152</v>
      </c>
      <c r="I1937" t="s">
        <v>9217</v>
      </c>
      <c r="J1937" t="s">
        <v>9218</v>
      </c>
      <c r="K1937" t="s">
        <v>9219</v>
      </c>
      <c r="L1937" t="s">
        <v>9246</v>
      </c>
      <c r="M1937">
        <v>1.682929992675781</v>
      </c>
      <c r="N1937" t="s">
        <v>54</v>
      </c>
      <c r="O1937" t="s">
        <v>53</v>
      </c>
      <c r="P1937" t="s">
        <v>54</v>
      </c>
      <c r="Q1937" t="s">
        <v>53</v>
      </c>
      <c r="R1937" t="s">
        <v>53</v>
      </c>
      <c r="S1937" t="s">
        <v>9220</v>
      </c>
      <c r="T1937" t="s">
        <v>9221</v>
      </c>
      <c r="U1937" t="s">
        <v>54</v>
      </c>
      <c r="V1937" t="s">
        <v>162</v>
      </c>
      <c r="W1937">
        <v>852326</v>
      </c>
      <c r="X1937" t="s">
        <v>53</v>
      </c>
      <c r="Z1937">
        <v>0</v>
      </c>
      <c r="AA1937">
        <v>73</v>
      </c>
      <c r="AB1937">
        <v>44</v>
      </c>
      <c r="AC1937">
        <v>102</v>
      </c>
      <c r="AD1937">
        <v>45</v>
      </c>
      <c r="AE1937">
        <v>102</v>
      </c>
      <c r="AF1937">
        <v>0</v>
      </c>
      <c r="AG1937">
        <v>7</v>
      </c>
      <c r="AH1937">
        <v>1.75</v>
      </c>
      <c r="AI1937">
        <v>22</v>
      </c>
      <c r="AJ1937">
        <v>3.1808099746704102</v>
      </c>
      <c r="AK1937" t="s">
        <v>54</v>
      </c>
      <c r="AL1937" t="s">
        <v>53</v>
      </c>
      <c r="AQ1937" t="s">
        <v>53</v>
      </c>
      <c r="AT1937" t="s">
        <v>9147</v>
      </c>
      <c r="AW1937" t="s">
        <v>8390</v>
      </c>
      <c r="AZ1937" t="s">
        <v>54</v>
      </c>
      <c r="BA1937" t="s">
        <v>9148</v>
      </c>
    </row>
    <row r="1938" spans="1:53" x14ac:dyDescent="0.25">
      <c r="A1938">
        <v>1933</v>
      </c>
      <c r="B1938" t="s">
        <v>9376</v>
      </c>
      <c r="C1938" t="s">
        <v>9377</v>
      </c>
      <c r="D1938" t="s">
        <v>9378</v>
      </c>
      <c r="E1938">
        <v>12</v>
      </c>
      <c r="F1938" t="s">
        <v>9138</v>
      </c>
      <c r="G1938" t="s">
        <v>9061</v>
      </c>
      <c r="H1938" t="s">
        <v>9152</v>
      </c>
      <c r="I1938" t="s">
        <v>9217</v>
      </c>
      <c r="J1938" t="s">
        <v>9218</v>
      </c>
      <c r="K1938" t="s">
        <v>9219</v>
      </c>
      <c r="L1938" t="s">
        <v>9200</v>
      </c>
      <c r="M1938">
        <v>1.682929992675781</v>
      </c>
      <c r="N1938" t="s">
        <v>54</v>
      </c>
      <c r="O1938" t="s">
        <v>53</v>
      </c>
      <c r="P1938" t="s">
        <v>54</v>
      </c>
      <c r="Q1938" t="s">
        <v>53</v>
      </c>
      <c r="R1938" t="s">
        <v>53</v>
      </c>
      <c r="S1938" t="s">
        <v>9220</v>
      </c>
      <c r="T1938" t="s">
        <v>9221</v>
      </c>
      <c r="U1938" t="s">
        <v>54</v>
      </c>
      <c r="V1938" t="s">
        <v>51</v>
      </c>
      <c r="W1938">
        <v>651454</v>
      </c>
      <c r="X1938" t="s">
        <v>53</v>
      </c>
      <c r="Z1938">
        <v>0</v>
      </c>
      <c r="AA1938">
        <v>73</v>
      </c>
      <c r="AB1938">
        <v>44</v>
      </c>
      <c r="AC1938">
        <v>102</v>
      </c>
      <c r="AD1938">
        <v>45</v>
      </c>
      <c r="AE1938">
        <v>102</v>
      </c>
      <c r="AF1938">
        <v>0</v>
      </c>
      <c r="AG1938">
        <v>7</v>
      </c>
      <c r="AH1938">
        <v>1.75</v>
      </c>
      <c r="AI1938">
        <v>22</v>
      </c>
      <c r="AJ1938">
        <v>3.1808099746704102</v>
      </c>
      <c r="AK1938" t="s">
        <v>54</v>
      </c>
      <c r="AL1938" t="s">
        <v>54</v>
      </c>
      <c r="AQ1938" t="s">
        <v>54</v>
      </c>
      <c r="AT1938" t="s">
        <v>9147</v>
      </c>
      <c r="AW1938" t="s">
        <v>8390</v>
      </c>
      <c r="AZ1938" t="s">
        <v>54</v>
      </c>
      <c r="BA1938" t="s">
        <v>9148</v>
      </c>
    </row>
    <row r="1939" spans="1:53" x14ac:dyDescent="0.25">
      <c r="A1939">
        <v>1934</v>
      </c>
      <c r="B1939" t="s">
        <v>9379</v>
      </c>
      <c r="C1939" t="s">
        <v>9380</v>
      </c>
      <c r="D1939" t="s">
        <v>9381</v>
      </c>
      <c r="E1939">
        <v>12</v>
      </c>
      <c r="F1939" t="s">
        <v>9138</v>
      </c>
      <c r="G1939" t="s">
        <v>9061</v>
      </c>
      <c r="H1939" t="s">
        <v>9152</v>
      </c>
      <c r="I1939" t="s">
        <v>9217</v>
      </c>
      <c r="J1939" t="s">
        <v>9218</v>
      </c>
      <c r="K1939" t="s">
        <v>9219</v>
      </c>
      <c r="L1939" t="s">
        <v>9200</v>
      </c>
      <c r="M1939">
        <v>1.682929992675781</v>
      </c>
      <c r="N1939" t="s">
        <v>54</v>
      </c>
      <c r="O1939" t="s">
        <v>53</v>
      </c>
      <c r="P1939" t="s">
        <v>54</v>
      </c>
      <c r="Q1939" t="s">
        <v>53</v>
      </c>
      <c r="R1939" t="s">
        <v>53</v>
      </c>
      <c r="S1939" t="s">
        <v>9220</v>
      </c>
      <c r="T1939" t="s">
        <v>9221</v>
      </c>
      <c r="U1939" t="s">
        <v>54</v>
      </c>
      <c r="V1939" t="s">
        <v>51</v>
      </c>
      <c r="W1939">
        <v>1604361</v>
      </c>
      <c r="X1939" t="s">
        <v>53</v>
      </c>
      <c r="Z1939">
        <v>0</v>
      </c>
      <c r="AA1939">
        <v>73</v>
      </c>
      <c r="AB1939">
        <v>44</v>
      </c>
      <c r="AC1939">
        <v>102</v>
      </c>
      <c r="AD1939">
        <v>45</v>
      </c>
      <c r="AE1939">
        <v>102</v>
      </c>
      <c r="AF1939">
        <v>0</v>
      </c>
      <c r="AG1939">
        <v>7</v>
      </c>
      <c r="AH1939">
        <v>1.75</v>
      </c>
      <c r="AI1939">
        <v>22</v>
      </c>
      <c r="AJ1939">
        <v>3.1808099746704102</v>
      </c>
      <c r="AK1939" t="s">
        <v>54</v>
      </c>
      <c r="AL1939" t="s">
        <v>53</v>
      </c>
      <c r="AQ1939" t="s">
        <v>53</v>
      </c>
      <c r="AT1939" t="s">
        <v>9147</v>
      </c>
      <c r="AW1939" t="s">
        <v>8390</v>
      </c>
      <c r="AZ1939" t="s">
        <v>54</v>
      </c>
      <c r="BA1939" t="s">
        <v>9148</v>
      </c>
    </row>
    <row r="1940" spans="1:53" x14ac:dyDescent="0.25">
      <c r="A1940">
        <v>1935</v>
      </c>
      <c r="B1940" t="s">
        <v>9382</v>
      </c>
      <c r="C1940" t="s">
        <v>9383</v>
      </c>
      <c r="D1940" t="s">
        <v>9384</v>
      </c>
      <c r="E1940">
        <v>12</v>
      </c>
      <c r="F1940" t="s">
        <v>9138</v>
      </c>
      <c r="G1940" t="s">
        <v>413</v>
      </c>
      <c r="H1940" t="s">
        <v>9152</v>
      </c>
      <c r="I1940" t="s">
        <v>9153</v>
      </c>
      <c r="J1940" t="s">
        <v>9154</v>
      </c>
      <c r="K1940" t="s">
        <v>9155</v>
      </c>
      <c r="L1940" t="s">
        <v>9156</v>
      </c>
      <c r="M1940">
        <v>1.064050011336803E-4</v>
      </c>
      <c r="N1940" t="s">
        <v>53</v>
      </c>
      <c r="O1940" t="s">
        <v>53</v>
      </c>
      <c r="P1940" t="s">
        <v>53</v>
      </c>
      <c r="Q1940" t="s">
        <v>53</v>
      </c>
      <c r="R1940" t="s">
        <v>53</v>
      </c>
      <c r="S1940" t="s">
        <v>9157</v>
      </c>
      <c r="T1940" t="s">
        <v>9158</v>
      </c>
      <c r="U1940" t="s">
        <v>53</v>
      </c>
      <c r="V1940" t="s">
        <v>51</v>
      </c>
      <c r="W1940">
        <v>809434</v>
      </c>
      <c r="X1940" t="s">
        <v>53</v>
      </c>
      <c r="Z1940">
        <v>0</v>
      </c>
      <c r="AA1940">
        <v>0</v>
      </c>
      <c r="AB1940">
        <v>0</v>
      </c>
      <c r="AC1940">
        <v>0</v>
      </c>
      <c r="AD1940">
        <v>0</v>
      </c>
      <c r="AE1940">
        <v>0</v>
      </c>
      <c r="AF1940">
        <v>0</v>
      </c>
      <c r="AG1940">
        <v>0</v>
      </c>
      <c r="AH1940">
        <v>0</v>
      </c>
      <c r="AI1940">
        <v>0</v>
      </c>
      <c r="AJ1940">
        <v>0</v>
      </c>
      <c r="AK1940" t="s">
        <v>53</v>
      </c>
      <c r="AL1940" t="s">
        <v>53</v>
      </c>
      <c r="AQ1940" t="s">
        <v>54</v>
      </c>
      <c r="AT1940" t="s">
        <v>9159</v>
      </c>
      <c r="AW1940" t="s">
        <v>53</v>
      </c>
      <c r="AZ1940" t="s">
        <v>54</v>
      </c>
      <c r="BA1940" t="s">
        <v>9148</v>
      </c>
    </row>
    <row r="1941" spans="1:53" x14ac:dyDescent="0.25">
      <c r="A1941">
        <v>1936</v>
      </c>
      <c r="B1941" t="s">
        <v>9385</v>
      </c>
      <c r="C1941" t="s">
        <v>9386</v>
      </c>
      <c r="D1941" t="s">
        <v>9387</v>
      </c>
      <c r="E1941">
        <v>12</v>
      </c>
      <c r="F1941" t="s">
        <v>9138</v>
      </c>
      <c r="G1941" t="s">
        <v>9163</v>
      </c>
      <c r="H1941" t="s">
        <v>9152</v>
      </c>
      <c r="I1941" t="s">
        <v>9153</v>
      </c>
      <c r="J1941" t="s">
        <v>9154</v>
      </c>
      <c r="K1941" t="s">
        <v>9155</v>
      </c>
      <c r="L1941" t="s">
        <v>9200</v>
      </c>
      <c r="M1941">
        <v>1.681720023043454E-4</v>
      </c>
      <c r="N1941" t="s">
        <v>53</v>
      </c>
      <c r="O1941" t="s">
        <v>53</v>
      </c>
      <c r="P1941" t="s">
        <v>53</v>
      </c>
      <c r="Q1941" t="s">
        <v>53</v>
      </c>
      <c r="R1941" t="s">
        <v>53</v>
      </c>
      <c r="S1941" t="s">
        <v>9157</v>
      </c>
      <c r="T1941" t="s">
        <v>9165</v>
      </c>
      <c r="U1941" t="s">
        <v>53</v>
      </c>
      <c r="V1941" t="s">
        <v>51</v>
      </c>
      <c r="W1941">
        <v>329349</v>
      </c>
      <c r="X1941" t="s">
        <v>53</v>
      </c>
      <c r="Z1941">
        <v>0</v>
      </c>
      <c r="AA1941">
        <v>0</v>
      </c>
      <c r="AB1941">
        <v>0</v>
      </c>
      <c r="AC1941">
        <v>0</v>
      </c>
      <c r="AD1941">
        <v>0</v>
      </c>
      <c r="AE1941">
        <v>0</v>
      </c>
      <c r="AF1941">
        <v>0</v>
      </c>
      <c r="AG1941">
        <v>0</v>
      </c>
      <c r="AH1941">
        <v>0</v>
      </c>
      <c r="AI1941">
        <v>0</v>
      </c>
      <c r="AJ1941">
        <v>0</v>
      </c>
      <c r="AK1941" t="s">
        <v>53</v>
      </c>
      <c r="AL1941" t="s">
        <v>53</v>
      </c>
      <c r="AQ1941" t="s">
        <v>54</v>
      </c>
      <c r="AT1941" t="s">
        <v>9159</v>
      </c>
      <c r="AW1941" t="s">
        <v>53</v>
      </c>
      <c r="AZ1941" t="s">
        <v>54</v>
      </c>
      <c r="BA1941" t="s">
        <v>9148</v>
      </c>
    </row>
    <row r="1942" spans="1:53" x14ac:dyDescent="0.25">
      <c r="A1942">
        <v>1937</v>
      </c>
      <c r="B1942" t="s">
        <v>9388</v>
      </c>
      <c r="C1942" t="s">
        <v>9389</v>
      </c>
      <c r="D1942" t="s">
        <v>9390</v>
      </c>
      <c r="E1942">
        <v>12</v>
      </c>
      <c r="F1942" t="s">
        <v>9138</v>
      </c>
      <c r="G1942" t="s">
        <v>9163</v>
      </c>
      <c r="H1942" t="s">
        <v>9207</v>
      </c>
      <c r="I1942" t="s">
        <v>9208</v>
      </c>
      <c r="J1942" t="s">
        <v>9391</v>
      </c>
      <c r="K1942" t="s">
        <v>9392</v>
      </c>
      <c r="L1942" t="s">
        <v>9164</v>
      </c>
      <c r="M1942">
        <v>3.8758300244808197E-2</v>
      </c>
      <c r="N1942" t="s">
        <v>54</v>
      </c>
      <c r="O1942" t="s">
        <v>53</v>
      </c>
      <c r="P1942" t="s">
        <v>53</v>
      </c>
      <c r="Q1942" t="s">
        <v>53</v>
      </c>
      <c r="R1942" t="s">
        <v>53</v>
      </c>
      <c r="S1942" t="s">
        <v>9211</v>
      </c>
      <c r="T1942" t="s">
        <v>9255</v>
      </c>
      <c r="U1942" t="s">
        <v>53</v>
      </c>
      <c r="V1942" t="s">
        <v>51</v>
      </c>
      <c r="W1942">
        <v>20530360</v>
      </c>
      <c r="X1942" t="s">
        <v>53</v>
      </c>
      <c r="Z1942">
        <v>0</v>
      </c>
      <c r="AA1942">
        <v>0</v>
      </c>
      <c r="AB1942">
        <v>0</v>
      </c>
      <c r="AC1942">
        <v>0</v>
      </c>
      <c r="AD1942">
        <v>0</v>
      </c>
      <c r="AE1942">
        <v>0</v>
      </c>
      <c r="AF1942">
        <v>0</v>
      </c>
      <c r="AG1942">
        <v>0</v>
      </c>
      <c r="AH1942">
        <v>0.10999999940395359</v>
      </c>
      <c r="AI1942">
        <v>1</v>
      </c>
      <c r="AJ1942">
        <v>0</v>
      </c>
      <c r="AK1942" t="s">
        <v>53</v>
      </c>
      <c r="AL1942" t="s">
        <v>53</v>
      </c>
      <c r="AQ1942" t="s">
        <v>54</v>
      </c>
      <c r="AT1942" t="s">
        <v>9213</v>
      </c>
      <c r="AW1942" t="s">
        <v>54</v>
      </c>
      <c r="AZ1942" t="s">
        <v>54</v>
      </c>
      <c r="BA1942" t="s">
        <v>9148</v>
      </c>
    </row>
    <row r="1943" spans="1:53" x14ac:dyDescent="0.25">
      <c r="A1943">
        <v>1938</v>
      </c>
      <c r="B1943" t="s">
        <v>9393</v>
      </c>
      <c r="C1943" t="s">
        <v>9394</v>
      </c>
      <c r="D1943" t="s">
        <v>9395</v>
      </c>
      <c r="E1943">
        <v>12</v>
      </c>
      <c r="F1943" t="s">
        <v>9138</v>
      </c>
      <c r="G1943" t="s">
        <v>9061</v>
      </c>
      <c r="H1943" t="s">
        <v>9140</v>
      </c>
      <c r="I1943" t="s">
        <v>9197</v>
      </c>
      <c r="J1943" t="s">
        <v>9198</v>
      </c>
      <c r="K1943" t="s">
        <v>9199</v>
      </c>
      <c r="L1943" t="s">
        <v>9200</v>
      </c>
      <c r="M1943">
        <v>4.6501000178977853E-4</v>
      </c>
      <c r="N1943" t="s">
        <v>54</v>
      </c>
      <c r="O1943" t="s">
        <v>53</v>
      </c>
      <c r="P1943" t="s">
        <v>53</v>
      </c>
      <c r="Q1943" t="s">
        <v>53</v>
      </c>
      <c r="R1943" t="s">
        <v>53</v>
      </c>
      <c r="S1943" t="s">
        <v>9201</v>
      </c>
      <c r="T1943" t="s">
        <v>9202</v>
      </c>
      <c r="U1943" t="s">
        <v>53</v>
      </c>
      <c r="V1943" t="s">
        <v>51</v>
      </c>
      <c r="W1943">
        <v>1928035</v>
      </c>
      <c r="X1943" t="s">
        <v>53</v>
      </c>
      <c r="Z1943">
        <v>0</v>
      </c>
      <c r="AA1943">
        <v>0</v>
      </c>
      <c r="AB1943">
        <v>0</v>
      </c>
      <c r="AC1943">
        <v>0</v>
      </c>
      <c r="AD1943">
        <v>0</v>
      </c>
      <c r="AE1943">
        <v>0</v>
      </c>
      <c r="AF1943">
        <v>0</v>
      </c>
      <c r="AG1943">
        <v>0</v>
      </c>
      <c r="AH1943">
        <v>1.9999999552965161E-2</v>
      </c>
      <c r="AI1943">
        <v>1</v>
      </c>
      <c r="AJ1943">
        <v>0</v>
      </c>
      <c r="AK1943" t="s">
        <v>54</v>
      </c>
      <c r="AL1943" t="s">
        <v>53</v>
      </c>
      <c r="AQ1943" t="s">
        <v>53</v>
      </c>
      <c r="AT1943" t="s">
        <v>9203</v>
      </c>
      <c r="AW1943" t="s">
        <v>54</v>
      </c>
      <c r="AZ1943" t="s">
        <v>54</v>
      </c>
      <c r="BA1943" t="s">
        <v>9148</v>
      </c>
    </row>
    <row r="1944" spans="1:53" x14ac:dyDescent="0.25">
      <c r="A1944">
        <v>1939</v>
      </c>
      <c r="B1944" t="s">
        <v>9396</v>
      </c>
      <c r="C1944" t="s">
        <v>9397</v>
      </c>
      <c r="D1944" t="s">
        <v>9398</v>
      </c>
      <c r="E1944">
        <v>12</v>
      </c>
      <c r="F1944" t="s">
        <v>9138</v>
      </c>
      <c r="G1944" t="s">
        <v>9061</v>
      </c>
      <c r="H1944" t="s">
        <v>9140</v>
      </c>
      <c r="I1944" t="s">
        <v>9399</v>
      </c>
      <c r="J1944" t="s">
        <v>9400</v>
      </c>
      <c r="K1944" t="s">
        <v>9401</v>
      </c>
      <c r="L1944" t="s">
        <v>9200</v>
      </c>
      <c r="M1944">
        <v>9.5034898549783975E-5</v>
      </c>
      <c r="N1944" t="s">
        <v>54</v>
      </c>
      <c r="O1944" t="s">
        <v>53</v>
      </c>
      <c r="P1944" t="s">
        <v>53</v>
      </c>
      <c r="Q1944" t="s">
        <v>53</v>
      </c>
      <c r="R1944" t="s">
        <v>53</v>
      </c>
      <c r="S1944" t="s">
        <v>9201</v>
      </c>
      <c r="T1944" t="s">
        <v>9402</v>
      </c>
      <c r="U1944" t="s">
        <v>53</v>
      </c>
      <c r="V1944" t="s">
        <v>51</v>
      </c>
      <c r="W1944">
        <v>276877</v>
      </c>
      <c r="X1944" t="s">
        <v>53</v>
      </c>
      <c r="Z1944">
        <v>0</v>
      </c>
      <c r="AA1944">
        <v>0</v>
      </c>
      <c r="AB1944">
        <v>0</v>
      </c>
      <c r="AC1944">
        <v>0</v>
      </c>
      <c r="AD1944">
        <v>0</v>
      </c>
      <c r="AE1944">
        <v>0</v>
      </c>
      <c r="AF1944">
        <v>0</v>
      </c>
      <c r="AG1944">
        <v>0</v>
      </c>
      <c r="AH1944">
        <v>1.9999999552965161E-2</v>
      </c>
      <c r="AI1944">
        <v>1</v>
      </c>
      <c r="AJ1944">
        <v>0</v>
      </c>
      <c r="AK1944" t="s">
        <v>54</v>
      </c>
      <c r="AL1944" t="s">
        <v>53</v>
      </c>
      <c r="AQ1944" t="s">
        <v>53</v>
      </c>
      <c r="AT1944" t="s">
        <v>9203</v>
      </c>
      <c r="AW1944" t="s">
        <v>53</v>
      </c>
      <c r="AZ1944" t="s">
        <v>54</v>
      </c>
      <c r="BA1944" t="s">
        <v>9148</v>
      </c>
    </row>
    <row r="1945" spans="1:53" x14ac:dyDescent="0.25">
      <c r="A1945">
        <v>1940</v>
      </c>
      <c r="B1945" t="s">
        <v>9403</v>
      </c>
      <c r="C1945" t="s">
        <v>9404</v>
      </c>
      <c r="D1945" t="s">
        <v>9405</v>
      </c>
      <c r="E1945">
        <v>12</v>
      </c>
      <c r="F1945" t="s">
        <v>9138</v>
      </c>
      <c r="G1945" t="s">
        <v>9061</v>
      </c>
      <c r="H1945" t="s">
        <v>9140</v>
      </c>
      <c r="I1945" t="s">
        <v>9197</v>
      </c>
      <c r="J1945" t="s">
        <v>9198</v>
      </c>
      <c r="K1945" t="s">
        <v>9199</v>
      </c>
      <c r="L1945" t="s">
        <v>9406</v>
      </c>
      <c r="M1945">
        <v>1.5719000657554721E-4</v>
      </c>
      <c r="N1945" t="s">
        <v>53</v>
      </c>
      <c r="O1945" t="s">
        <v>53</v>
      </c>
      <c r="P1945" t="s">
        <v>53</v>
      </c>
      <c r="Q1945" t="s">
        <v>53</v>
      </c>
      <c r="R1945" t="s">
        <v>53</v>
      </c>
      <c r="S1945" t="s">
        <v>9201</v>
      </c>
      <c r="T1945" t="s">
        <v>9202</v>
      </c>
      <c r="U1945" t="s">
        <v>53</v>
      </c>
      <c r="V1945" t="s">
        <v>51</v>
      </c>
      <c r="W1945">
        <v>198959</v>
      </c>
      <c r="X1945" t="s">
        <v>53</v>
      </c>
      <c r="Z1945">
        <v>0</v>
      </c>
      <c r="AA1945">
        <v>0</v>
      </c>
      <c r="AB1945">
        <v>0</v>
      </c>
      <c r="AC1945">
        <v>0</v>
      </c>
      <c r="AD1945">
        <v>0</v>
      </c>
      <c r="AE1945">
        <v>0</v>
      </c>
      <c r="AF1945">
        <v>0</v>
      </c>
      <c r="AG1945">
        <v>0</v>
      </c>
      <c r="AH1945">
        <v>0</v>
      </c>
      <c r="AI1945">
        <v>0</v>
      </c>
      <c r="AJ1945">
        <v>0</v>
      </c>
      <c r="AK1945" t="s">
        <v>54</v>
      </c>
      <c r="AL1945" t="s">
        <v>53</v>
      </c>
      <c r="AQ1945" t="s">
        <v>53</v>
      </c>
      <c r="AT1945" t="s">
        <v>9203</v>
      </c>
      <c r="AW1945" t="s">
        <v>53</v>
      </c>
      <c r="AZ1945" t="s">
        <v>54</v>
      </c>
      <c r="BA1945" t="s">
        <v>9148</v>
      </c>
    </row>
    <row r="1946" spans="1:53" x14ac:dyDescent="0.25">
      <c r="A1946">
        <v>1941</v>
      </c>
      <c r="B1946" t="s">
        <v>9407</v>
      </c>
      <c r="C1946" t="s">
        <v>9408</v>
      </c>
      <c r="D1946" t="s">
        <v>9409</v>
      </c>
      <c r="E1946">
        <v>12</v>
      </c>
      <c r="F1946" t="s">
        <v>9138</v>
      </c>
      <c r="G1946" t="s">
        <v>9061</v>
      </c>
      <c r="H1946" t="s">
        <v>9152</v>
      </c>
      <c r="I1946" t="s">
        <v>9217</v>
      </c>
      <c r="J1946" t="s">
        <v>9218</v>
      </c>
      <c r="K1946" t="s">
        <v>9219</v>
      </c>
      <c r="L1946" t="s">
        <v>9200</v>
      </c>
      <c r="M1946">
        <v>3.3276300877332687E-2</v>
      </c>
      <c r="N1946" t="s">
        <v>54</v>
      </c>
      <c r="O1946" t="s">
        <v>53</v>
      </c>
      <c r="P1946" t="s">
        <v>53</v>
      </c>
      <c r="Q1946" t="s">
        <v>53</v>
      </c>
      <c r="R1946" t="s">
        <v>53</v>
      </c>
      <c r="S1946" t="s">
        <v>9220</v>
      </c>
      <c r="T1946" t="s">
        <v>9221</v>
      </c>
      <c r="U1946" t="s">
        <v>53</v>
      </c>
      <c r="V1946" t="s">
        <v>51</v>
      </c>
      <c r="W1946">
        <v>660768</v>
      </c>
      <c r="X1946" t="s">
        <v>53</v>
      </c>
      <c r="Z1946">
        <v>0</v>
      </c>
      <c r="AA1946">
        <v>0</v>
      </c>
      <c r="AB1946">
        <v>0</v>
      </c>
      <c r="AC1946">
        <v>0</v>
      </c>
      <c r="AD1946">
        <v>0</v>
      </c>
      <c r="AE1946">
        <v>0</v>
      </c>
      <c r="AF1946">
        <v>0</v>
      </c>
      <c r="AG1946">
        <v>0</v>
      </c>
      <c r="AH1946">
        <v>0</v>
      </c>
      <c r="AI1946">
        <v>0</v>
      </c>
      <c r="AJ1946">
        <v>8.5732996463775635E-2</v>
      </c>
      <c r="AK1946" t="s">
        <v>54</v>
      </c>
      <c r="AL1946" t="s">
        <v>53</v>
      </c>
      <c r="AQ1946" t="s">
        <v>53</v>
      </c>
      <c r="AT1946" t="s">
        <v>9203</v>
      </c>
      <c r="AW1946" t="s">
        <v>54</v>
      </c>
      <c r="AZ1946" t="s">
        <v>54</v>
      </c>
      <c r="BA1946" t="s">
        <v>9148</v>
      </c>
    </row>
    <row r="1947" spans="1:53" x14ac:dyDescent="0.25">
      <c r="A1947">
        <v>1942</v>
      </c>
      <c r="B1947" t="s">
        <v>9410</v>
      </c>
      <c r="C1947" t="s">
        <v>9411</v>
      </c>
      <c r="D1947" t="s">
        <v>9412</v>
      </c>
      <c r="E1947">
        <v>12</v>
      </c>
      <c r="F1947" t="s">
        <v>9138</v>
      </c>
      <c r="G1947" t="s">
        <v>9163</v>
      </c>
      <c r="H1947" t="s">
        <v>9207</v>
      </c>
      <c r="I1947" t="s">
        <v>9243</v>
      </c>
      <c r="J1947" t="s">
        <v>9244</v>
      </c>
      <c r="K1947" t="s">
        <v>9245</v>
      </c>
      <c r="L1947" t="s">
        <v>9164</v>
      </c>
      <c r="M1947">
        <v>4.0804999298416078E-4</v>
      </c>
      <c r="N1947" t="s">
        <v>54</v>
      </c>
      <c r="O1947" t="s">
        <v>53</v>
      </c>
      <c r="P1947" t="s">
        <v>53</v>
      </c>
      <c r="Q1947" t="s">
        <v>53</v>
      </c>
      <c r="R1947" t="s">
        <v>53</v>
      </c>
      <c r="S1947" t="s">
        <v>9247</v>
      </c>
      <c r="T1947" t="s">
        <v>9248</v>
      </c>
      <c r="U1947" t="s">
        <v>53</v>
      </c>
      <c r="V1947" t="s">
        <v>51</v>
      </c>
      <c r="W1947">
        <v>1271228</v>
      </c>
      <c r="X1947" t="s">
        <v>53</v>
      </c>
      <c r="Z1947">
        <v>0</v>
      </c>
      <c r="AA1947">
        <v>0</v>
      </c>
      <c r="AB1947">
        <v>0</v>
      </c>
      <c r="AC1947">
        <v>0</v>
      </c>
      <c r="AD1947">
        <v>0</v>
      </c>
      <c r="AE1947">
        <v>0</v>
      </c>
      <c r="AF1947">
        <v>0</v>
      </c>
      <c r="AG1947">
        <v>0</v>
      </c>
      <c r="AH1947">
        <v>1.9999999552965161E-2</v>
      </c>
      <c r="AI1947">
        <v>1</v>
      </c>
      <c r="AJ1947">
        <v>0</v>
      </c>
      <c r="AK1947" t="s">
        <v>54</v>
      </c>
      <c r="AL1947" t="s">
        <v>53</v>
      </c>
      <c r="AQ1947" t="s">
        <v>53</v>
      </c>
      <c r="AT1947" t="s">
        <v>9413</v>
      </c>
      <c r="AW1947" t="s">
        <v>54</v>
      </c>
      <c r="AZ1947" t="s">
        <v>54</v>
      </c>
      <c r="BA1947" t="s">
        <v>9148</v>
      </c>
    </row>
    <row r="1948" spans="1:53" x14ac:dyDescent="0.25">
      <c r="A1948">
        <v>1943</v>
      </c>
      <c r="B1948" t="s">
        <v>9414</v>
      </c>
      <c r="C1948" t="s">
        <v>9415</v>
      </c>
      <c r="D1948" t="s">
        <v>9416</v>
      </c>
      <c r="E1948">
        <v>12</v>
      </c>
      <c r="F1948" t="s">
        <v>9138</v>
      </c>
      <c r="G1948" t="s">
        <v>9163</v>
      </c>
      <c r="H1948" t="s">
        <v>9207</v>
      </c>
      <c r="I1948" t="s">
        <v>9243</v>
      </c>
      <c r="J1948" t="s">
        <v>9244</v>
      </c>
      <c r="K1948" t="s">
        <v>9245</v>
      </c>
      <c r="L1948" t="s">
        <v>9164</v>
      </c>
      <c r="M1948">
        <v>1.524069998413324E-2</v>
      </c>
      <c r="N1948" t="s">
        <v>54</v>
      </c>
      <c r="O1948" t="s">
        <v>53</v>
      </c>
      <c r="P1948" t="s">
        <v>53</v>
      </c>
      <c r="Q1948" t="s">
        <v>53</v>
      </c>
      <c r="R1948" t="s">
        <v>53</v>
      </c>
      <c r="S1948" t="s">
        <v>9247</v>
      </c>
      <c r="T1948" t="s">
        <v>9255</v>
      </c>
      <c r="U1948" t="s">
        <v>54</v>
      </c>
      <c r="V1948" t="s">
        <v>138</v>
      </c>
      <c r="W1948">
        <v>40000</v>
      </c>
      <c r="X1948" t="s">
        <v>53</v>
      </c>
      <c r="Z1948">
        <v>0</v>
      </c>
      <c r="AA1948">
        <v>0</v>
      </c>
      <c r="AB1948">
        <v>0</v>
      </c>
      <c r="AC1948">
        <v>0</v>
      </c>
      <c r="AD1948">
        <v>0</v>
      </c>
      <c r="AE1948">
        <v>0</v>
      </c>
      <c r="AF1948">
        <v>0</v>
      </c>
      <c r="AG1948">
        <v>1</v>
      </c>
      <c r="AH1948">
        <v>0</v>
      </c>
      <c r="AI1948">
        <v>0</v>
      </c>
      <c r="AJ1948">
        <v>0</v>
      </c>
      <c r="AK1948" t="s">
        <v>54</v>
      </c>
      <c r="AL1948" t="s">
        <v>53</v>
      </c>
      <c r="AQ1948" t="s">
        <v>53</v>
      </c>
      <c r="AT1948" t="s">
        <v>9249</v>
      </c>
      <c r="AW1948" t="s">
        <v>54</v>
      </c>
      <c r="AZ1948" t="s">
        <v>54</v>
      </c>
      <c r="BA1948" t="s">
        <v>9148</v>
      </c>
    </row>
    <row r="1949" spans="1:53" x14ac:dyDescent="0.25">
      <c r="A1949">
        <v>1944</v>
      </c>
      <c r="B1949" t="s">
        <v>9417</v>
      </c>
      <c r="C1949" t="s">
        <v>9418</v>
      </c>
      <c r="D1949" t="s">
        <v>9419</v>
      </c>
      <c r="E1949">
        <v>12</v>
      </c>
      <c r="F1949" t="s">
        <v>9138</v>
      </c>
      <c r="G1949" t="s">
        <v>9163</v>
      </c>
      <c r="H1949" t="s">
        <v>9207</v>
      </c>
      <c r="I1949" t="s">
        <v>9243</v>
      </c>
      <c r="J1949" t="s">
        <v>9420</v>
      </c>
      <c r="K1949" t="s">
        <v>9421</v>
      </c>
      <c r="L1949" t="s">
        <v>9164</v>
      </c>
      <c r="M1949">
        <v>0.15308199822902679</v>
      </c>
      <c r="N1949" t="s">
        <v>54</v>
      </c>
      <c r="O1949" t="s">
        <v>53</v>
      </c>
      <c r="P1949" t="s">
        <v>53</v>
      </c>
      <c r="Q1949" t="s">
        <v>53</v>
      </c>
      <c r="R1949" t="s">
        <v>53</v>
      </c>
      <c r="S1949" t="s">
        <v>9247</v>
      </c>
      <c r="T1949" t="s">
        <v>9248</v>
      </c>
      <c r="U1949" t="s">
        <v>54</v>
      </c>
      <c r="V1949" t="s">
        <v>138</v>
      </c>
      <c r="W1949">
        <v>65000</v>
      </c>
      <c r="X1949" t="s">
        <v>53</v>
      </c>
      <c r="Z1949">
        <v>0</v>
      </c>
      <c r="AA1949">
        <v>0</v>
      </c>
      <c r="AB1949">
        <v>0</v>
      </c>
      <c r="AC1949">
        <v>0</v>
      </c>
      <c r="AD1949">
        <v>0</v>
      </c>
      <c r="AE1949">
        <v>0</v>
      </c>
      <c r="AF1949">
        <v>0</v>
      </c>
      <c r="AG1949">
        <v>1</v>
      </c>
      <c r="AH1949">
        <v>0.2800000011920929</v>
      </c>
      <c r="AI1949">
        <v>3</v>
      </c>
      <c r="AJ1949">
        <v>0</v>
      </c>
      <c r="AK1949" t="s">
        <v>54</v>
      </c>
      <c r="AL1949" t="s">
        <v>53</v>
      </c>
      <c r="AQ1949" t="s">
        <v>53</v>
      </c>
      <c r="AT1949" t="s">
        <v>9249</v>
      </c>
      <c r="AW1949" t="s">
        <v>54</v>
      </c>
      <c r="AZ1949" t="s">
        <v>54</v>
      </c>
      <c r="BA1949" t="s">
        <v>9148</v>
      </c>
    </row>
    <row r="1950" spans="1:53" x14ac:dyDescent="0.25">
      <c r="A1950">
        <v>1945</v>
      </c>
      <c r="B1950" t="s">
        <v>9422</v>
      </c>
      <c r="C1950" t="s">
        <v>9335</v>
      </c>
      <c r="D1950" t="s">
        <v>9336</v>
      </c>
      <c r="E1950">
        <v>12</v>
      </c>
      <c r="F1950" t="s">
        <v>9138</v>
      </c>
      <c r="G1950" t="s">
        <v>9139</v>
      </c>
      <c r="H1950" t="s">
        <v>9140</v>
      </c>
      <c r="I1950" t="s">
        <v>9141</v>
      </c>
      <c r="J1950" t="s">
        <v>9142</v>
      </c>
      <c r="K1950" t="s">
        <v>9143</v>
      </c>
      <c r="L1950" t="s">
        <v>9164</v>
      </c>
      <c r="M1950">
        <v>1.1774899959564209</v>
      </c>
      <c r="N1950" t="s">
        <v>54</v>
      </c>
      <c r="O1950" t="s">
        <v>53</v>
      </c>
      <c r="P1950" t="s">
        <v>54</v>
      </c>
      <c r="Q1950" t="s">
        <v>53</v>
      </c>
      <c r="R1950" t="s">
        <v>53</v>
      </c>
      <c r="S1950" t="s">
        <v>9145</v>
      </c>
      <c r="T1950" t="s">
        <v>9146</v>
      </c>
      <c r="U1950" t="s">
        <v>53</v>
      </c>
      <c r="V1950" t="s">
        <v>51</v>
      </c>
      <c r="W1950">
        <v>50000</v>
      </c>
      <c r="X1950" t="s">
        <v>53</v>
      </c>
      <c r="Z1950">
        <v>0</v>
      </c>
      <c r="AA1950">
        <v>4</v>
      </c>
      <c r="AB1950">
        <v>3</v>
      </c>
      <c r="AC1950">
        <v>4</v>
      </c>
      <c r="AD1950">
        <v>14</v>
      </c>
      <c r="AE1950">
        <v>14</v>
      </c>
      <c r="AF1950">
        <v>0</v>
      </c>
      <c r="AG1950">
        <v>0</v>
      </c>
      <c r="AH1950">
        <v>0.1169999986886978</v>
      </c>
      <c r="AI1950">
        <v>4</v>
      </c>
      <c r="AJ1950">
        <v>1.163869976997375</v>
      </c>
      <c r="AK1950" t="s">
        <v>53</v>
      </c>
      <c r="AL1950" t="s">
        <v>53</v>
      </c>
      <c r="AQ1950" t="s">
        <v>53</v>
      </c>
      <c r="AT1950" t="s">
        <v>9147</v>
      </c>
      <c r="AW1950" t="s">
        <v>8390</v>
      </c>
      <c r="AZ1950" t="s">
        <v>54</v>
      </c>
      <c r="BA1950" t="s">
        <v>9148</v>
      </c>
    </row>
    <row r="1951" spans="1:53" x14ac:dyDescent="0.25">
      <c r="A1951">
        <v>1946</v>
      </c>
      <c r="B1951" t="s">
        <v>9423</v>
      </c>
      <c r="C1951" t="s">
        <v>9424</v>
      </c>
      <c r="D1951" t="s">
        <v>9425</v>
      </c>
      <c r="E1951">
        <v>12</v>
      </c>
      <c r="F1951" t="s">
        <v>9138</v>
      </c>
      <c r="G1951" t="s">
        <v>9163</v>
      </c>
      <c r="H1951" t="s">
        <v>9207</v>
      </c>
      <c r="I1951" t="s">
        <v>9243</v>
      </c>
      <c r="J1951" t="s">
        <v>9253</v>
      </c>
      <c r="K1951" t="s">
        <v>9254</v>
      </c>
      <c r="L1951" t="s">
        <v>9190</v>
      </c>
      <c r="M1951">
        <v>2.966989949345589E-2</v>
      </c>
      <c r="N1951" t="s">
        <v>54</v>
      </c>
      <c r="O1951" t="s">
        <v>53</v>
      </c>
      <c r="P1951" t="s">
        <v>53</v>
      </c>
      <c r="Q1951" t="s">
        <v>53</v>
      </c>
      <c r="R1951" t="s">
        <v>53</v>
      </c>
      <c r="S1951" t="s">
        <v>9211</v>
      </c>
      <c r="T1951" t="s">
        <v>9255</v>
      </c>
      <c r="U1951" t="s">
        <v>53</v>
      </c>
      <c r="V1951" t="s">
        <v>51</v>
      </c>
      <c r="W1951">
        <v>19117088</v>
      </c>
      <c r="X1951" t="s">
        <v>53</v>
      </c>
      <c r="Z1951">
        <v>0</v>
      </c>
      <c r="AA1951">
        <v>4</v>
      </c>
      <c r="AB1951">
        <v>0</v>
      </c>
      <c r="AC1951">
        <v>11</v>
      </c>
      <c r="AD1951">
        <v>3</v>
      </c>
      <c r="AE1951">
        <v>11</v>
      </c>
      <c r="AF1951">
        <v>0</v>
      </c>
      <c r="AG1951">
        <v>0</v>
      </c>
      <c r="AH1951">
        <v>0.25</v>
      </c>
      <c r="AI1951">
        <v>1</v>
      </c>
      <c r="AJ1951">
        <v>0</v>
      </c>
      <c r="AK1951" t="s">
        <v>53</v>
      </c>
      <c r="AL1951" t="s">
        <v>53</v>
      </c>
      <c r="AQ1951" t="s">
        <v>53</v>
      </c>
      <c r="AT1951" t="s">
        <v>9256</v>
      </c>
      <c r="AW1951" t="s">
        <v>54</v>
      </c>
      <c r="AZ1951" t="s">
        <v>54</v>
      </c>
      <c r="BA1951" t="s">
        <v>9148</v>
      </c>
    </row>
    <row r="1952" spans="1:53" x14ac:dyDescent="0.25">
      <c r="A1952">
        <v>1947</v>
      </c>
      <c r="B1952" t="s">
        <v>9426</v>
      </c>
      <c r="C1952" t="s">
        <v>9427</v>
      </c>
      <c r="D1952" t="s">
        <v>9428</v>
      </c>
      <c r="E1952">
        <v>12</v>
      </c>
      <c r="F1952" t="s">
        <v>9138</v>
      </c>
      <c r="G1952" t="s">
        <v>9163</v>
      </c>
      <c r="H1952" t="s">
        <v>9207</v>
      </c>
      <c r="I1952" t="s">
        <v>9243</v>
      </c>
      <c r="J1952" t="s">
        <v>9244</v>
      </c>
      <c r="K1952" t="s">
        <v>9245</v>
      </c>
      <c r="L1952" t="s">
        <v>9190</v>
      </c>
      <c r="M1952">
        <v>0.175817996263504</v>
      </c>
      <c r="N1952" t="s">
        <v>54</v>
      </c>
      <c r="O1952" t="s">
        <v>53</v>
      </c>
      <c r="P1952" t="s">
        <v>53</v>
      </c>
      <c r="Q1952" t="s">
        <v>53</v>
      </c>
      <c r="R1952" t="s">
        <v>53</v>
      </c>
      <c r="S1952" t="s">
        <v>9211</v>
      </c>
      <c r="T1952" t="s">
        <v>9255</v>
      </c>
      <c r="U1952" t="s">
        <v>53</v>
      </c>
      <c r="V1952" t="s">
        <v>51</v>
      </c>
      <c r="W1952">
        <v>9169814</v>
      </c>
      <c r="X1952" t="s">
        <v>53</v>
      </c>
      <c r="Z1952">
        <v>0</v>
      </c>
      <c r="AA1952">
        <v>99</v>
      </c>
      <c r="AB1952">
        <v>99</v>
      </c>
      <c r="AC1952">
        <v>96</v>
      </c>
      <c r="AD1952">
        <v>344</v>
      </c>
      <c r="AE1952">
        <v>344</v>
      </c>
      <c r="AF1952">
        <v>0</v>
      </c>
      <c r="AG1952">
        <v>0</v>
      </c>
      <c r="AH1952">
        <v>0.88999998569488525</v>
      </c>
      <c r="AI1952">
        <v>19</v>
      </c>
      <c r="AJ1952">
        <v>0</v>
      </c>
      <c r="AK1952" t="s">
        <v>53</v>
      </c>
      <c r="AL1952" t="s">
        <v>54</v>
      </c>
      <c r="AQ1952" t="s">
        <v>54</v>
      </c>
      <c r="AT1952" t="s">
        <v>9256</v>
      </c>
      <c r="AW1952" t="s">
        <v>54</v>
      </c>
      <c r="AZ1952" t="s">
        <v>54</v>
      </c>
      <c r="BA1952" t="s">
        <v>9148</v>
      </c>
    </row>
    <row r="1953" spans="1:53" x14ac:dyDescent="0.25">
      <c r="A1953">
        <v>1948</v>
      </c>
      <c r="B1953" t="s">
        <v>9429</v>
      </c>
      <c r="C1953" t="s">
        <v>9430</v>
      </c>
      <c r="D1953" t="s">
        <v>9431</v>
      </c>
      <c r="E1953">
        <v>12</v>
      </c>
      <c r="F1953" t="s">
        <v>9138</v>
      </c>
      <c r="G1953" t="s">
        <v>9163</v>
      </c>
      <c r="H1953" t="s">
        <v>9207</v>
      </c>
      <c r="I1953" t="s">
        <v>9243</v>
      </c>
      <c r="J1953" t="s">
        <v>9244</v>
      </c>
      <c r="K1953" t="s">
        <v>9245</v>
      </c>
      <c r="L1953" t="s">
        <v>9190</v>
      </c>
      <c r="M1953">
        <v>0.17590199410915369</v>
      </c>
      <c r="N1953" t="s">
        <v>54</v>
      </c>
      <c r="O1953" t="s">
        <v>53</v>
      </c>
      <c r="P1953" t="s">
        <v>53</v>
      </c>
      <c r="Q1953" t="s">
        <v>53</v>
      </c>
      <c r="R1953" t="s">
        <v>53</v>
      </c>
      <c r="S1953" t="s">
        <v>9211</v>
      </c>
      <c r="T1953" t="s">
        <v>9248</v>
      </c>
      <c r="U1953" t="s">
        <v>53</v>
      </c>
      <c r="V1953" t="s">
        <v>51</v>
      </c>
      <c r="W1953">
        <v>2611481</v>
      </c>
      <c r="X1953" t="s">
        <v>53</v>
      </c>
      <c r="Z1953">
        <v>0</v>
      </c>
      <c r="AA1953">
        <v>29</v>
      </c>
      <c r="AB1953">
        <v>16</v>
      </c>
      <c r="AC1953">
        <v>43</v>
      </c>
      <c r="AD1953">
        <v>33</v>
      </c>
      <c r="AE1953">
        <v>43</v>
      </c>
      <c r="AF1953">
        <v>0</v>
      </c>
      <c r="AG1953">
        <v>0</v>
      </c>
      <c r="AH1953">
        <v>1.3400000333786011</v>
      </c>
      <c r="AI1953">
        <v>7</v>
      </c>
      <c r="AJ1953">
        <v>0</v>
      </c>
      <c r="AK1953" t="s">
        <v>53</v>
      </c>
      <c r="AL1953" t="s">
        <v>54</v>
      </c>
      <c r="AQ1953" t="s">
        <v>54</v>
      </c>
      <c r="AT1953" t="s">
        <v>9256</v>
      </c>
      <c r="AW1953" t="s">
        <v>54</v>
      </c>
      <c r="AZ1953" t="s">
        <v>54</v>
      </c>
      <c r="BA1953" t="s">
        <v>9148</v>
      </c>
    </row>
    <row r="1954" spans="1:53" x14ac:dyDescent="0.25">
      <c r="A1954">
        <v>1949</v>
      </c>
      <c r="B1954" t="s">
        <v>9432</v>
      </c>
      <c r="C1954" t="s">
        <v>9433</v>
      </c>
      <c r="D1954" t="s">
        <v>9434</v>
      </c>
      <c r="E1954">
        <v>12</v>
      </c>
      <c r="F1954" t="s">
        <v>9138</v>
      </c>
      <c r="G1954" t="s">
        <v>9163</v>
      </c>
      <c r="H1954" t="s">
        <v>9207</v>
      </c>
      <c r="I1954" t="s">
        <v>9243</v>
      </c>
      <c r="J1954" t="s">
        <v>9244</v>
      </c>
      <c r="K1954" t="s">
        <v>9245</v>
      </c>
      <c r="L1954" t="s">
        <v>9190</v>
      </c>
      <c r="M1954">
        <v>0.41795599460601812</v>
      </c>
      <c r="N1954" t="s">
        <v>54</v>
      </c>
      <c r="O1954" t="s">
        <v>53</v>
      </c>
      <c r="P1954" t="s">
        <v>53</v>
      </c>
      <c r="Q1954" t="s">
        <v>53</v>
      </c>
      <c r="R1954" t="s">
        <v>53</v>
      </c>
      <c r="S1954" t="s">
        <v>9211</v>
      </c>
      <c r="T1954" t="s">
        <v>9255</v>
      </c>
      <c r="U1954" t="s">
        <v>54</v>
      </c>
      <c r="V1954" t="s">
        <v>51</v>
      </c>
      <c r="W1954">
        <v>8978646</v>
      </c>
      <c r="X1954" t="s">
        <v>53</v>
      </c>
      <c r="Z1954">
        <v>0</v>
      </c>
      <c r="AA1954">
        <v>28</v>
      </c>
      <c r="AB1954">
        <v>16</v>
      </c>
      <c r="AC1954">
        <v>141</v>
      </c>
      <c r="AD1954">
        <v>42</v>
      </c>
      <c r="AE1954">
        <v>141</v>
      </c>
      <c r="AF1954">
        <v>0</v>
      </c>
      <c r="AG1954">
        <v>2</v>
      </c>
      <c r="AH1954">
        <v>0.57999998331069946</v>
      </c>
      <c r="AI1954">
        <v>5</v>
      </c>
      <c r="AJ1954">
        <v>0</v>
      </c>
      <c r="AK1954" t="s">
        <v>54</v>
      </c>
      <c r="AL1954" t="s">
        <v>53</v>
      </c>
      <c r="AQ1954" t="s">
        <v>53</v>
      </c>
      <c r="AT1954" t="s">
        <v>9256</v>
      </c>
      <c r="AW1954" t="s">
        <v>54</v>
      </c>
      <c r="AZ1954" t="s">
        <v>54</v>
      </c>
      <c r="BA1954" t="s">
        <v>9148</v>
      </c>
    </row>
    <row r="1955" spans="1:53" x14ac:dyDescent="0.25">
      <c r="A1955">
        <v>1950</v>
      </c>
      <c r="B1955" t="s">
        <v>9435</v>
      </c>
      <c r="C1955" t="s">
        <v>9436</v>
      </c>
      <c r="D1955" t="s">
        <v>9437</v>
      </c>
      <c r="E1955">
        <v>12</v>
      </c>
      <c r="F1955" t="s">
        <v>9138</v>
      </c>
      <c r="G1955" t="s">
        <v>9163</v>
      </c>
      <c r="H1955" t="s">
        <v>9207</v>
      </c>
      <c r="I1955" t="s">
        <v>9243</v>
      </c>
      <c r="J1955" t="s">
        <v>9438</v>
      </c>
      <c r="K1955" t="s">
        <v>9439</v>
      </c>
      <c r="L1955" t="s">
        <v>9190</v>
      </c>
      <c r="M1955">
        <v>0.56708699464797974</v>
      </c>
      <c r="N1955" t="s">
        <v>54</v>
      </c>
      <c r="O1955" t="s">
        <v>53</v>
      </c>
      <c r="P1955" t="s">
        <v>53</v>
      </c>
      <c r="Q1955" t="s">
        <v>53</v>
      </c>
      <c r="R1955" t="s">
        <v>53</v>
      </c>
      <c r="S1955" t="s">
        <v>9211</v>
      </c>
      <c r="T1955" t="s">
        <v>9255</v>
      </c>
      <c r="U1955" t="s">
        <v>54</v>
      </c>
      <c r="V1955" t="s">
        <v>51</v>
      </c>
      <c r="W1955">
        <v>35681132</v>
      </c>
      <c r="X1955" t="s">
        <v>53</v>
      </c>
      <c r="Z1955">
        <v>0</v>
      </c>
      <c r="AA1955">
        <v>115</v>
      </c>
      <c r="AB1955">
        <v>101</v>
      </c>
      <c r="AC1955">
        <v>1059</v>
      </c>
      <c r="AD1955">
        <v>411</v>
      </c>
      <c r="AE1955">
        <v>1059</v>
      </c>
      <c r="AF1955">
        <v>0</v>
      </c>
      <c r="AG1955">
        <v>1</v>
      </c>
      <c r="AH1955">
        <v>1.860000014305115</v>
      </c>
      <c r="AI1955">
        <v>10</v>
      </c>
      <c r="AJ1955">
        <v>1.1210000514984131</v>
      </c>
      <c r="AK1955" t="s">
        <v>53</v>
      </c>
      <c r="AL1955" t="s">
        <v>53</v>
      </c>
      <c r="AQ1955" t="s">
        <v>53</v>
      </c>
      <c r="AT1955" t="s">
        <v>9256</v>
      </c>
      <c r="AW1955" t="s">
        <v>54</v>
      </c>
      <c r="AZ1955" t="s">
        <v>54</v>
      </c>
      <c r="BA1955" t="s">
        <v>9148</v>
      </c>
    </row>
    <row r="1956" spans="1:53" x14ac:dyDescent="0.25">
      <c r="A1956">
        <v>1951</v>
      </c>
      <c r="B1956" t="s">
        <v>9440</v>
      </c>
      <c r="C1956" t="s">
        <v>9441</v>
      </c>
      <c r="D1956" t="s">
        <v>9442</v>
      </c>
      <c r="E1956">
        <v>12</v>
      </c>
      <c r="F1956" t="s">
        <v>9138</v>
      </c>
      <c r="G1956" t="s">
        <v>9163</v>
      </c>
      <c r="H1956" t="s">
        <v>9268</v>
      </c>
      <c r="I1956" t="s">
        <v>9269</v>
      </c>
      <c r="J1956" t="s">
        <v>9443</v>
      </c>
      <c r="K1956" t="s">
        <v>9444</v>
      </c>
      <c r="L1956" t="s">
        <v>9190</v>
      </c>
      <c r="M1956">
        <v>0.96122997999191284</v>
      </c>
      <c r="N1956" t="s">
        <v>54</v>
      </c>
      <c r="O1956" t="s">
        <v>53</v>
      </c>
      <c r="P1956" t="s">
        <v>53</v>
      </c>
      <c r="Q1956" t="s">
        <v>53</v>
      </c>
      <c r="R1956" t="s">
        <v>53</v>
      </c>
      <c r="S1956" t="s">
        <v>9211</v>
      </c>
      <c r="T1956" t="s">
        <v>9255</v>
      </c>
      <c r="U1956" t="s">
        <v>54</v>
      </c>
      <c r="V1956" t="s">
        <v>51</v>
      </c>
      <c r="W1956">
        <v>26845034</v>
      </c>
      <c r="X1956" t="s">
        <v>53</v>
      </c>
      <c r="Z1956">
        <v>0</v>
      </c>
      <c r="AA1956">
        <v>54</v>
      </c>
      <c r="AB1956">
        <v>27</v>
      </c>
      <c r="AC1956">
        <v>243</v>
      </c>
      <c r="AD1956">
        <v>210</v>
      </c>
      <c r="AE1956">
        <v>243</v>
      </c>
      <c r="AF1956">
        <v>0</v>
      </c>
      <c r="AG1956">
        <v>3</v>
      </c>
      <c r="AH1956">
        <v>1.2300000190734861</v>
      </c>
      <c r="AI1956">
        <v>9</v>
      </c>
      <c r="AJ1956">
        <v>0.73798298835754395</v>
      </c>
      <c r="AK1956" t="s">
        <v>53</v>
      </c>
      <c r="AL1956" t="s">
        <v>54</v>
      </c>
      <c r="AQ1956" t="s">
        <v>54</v>
      </c>
      <c r="AT1956" t="s">
        <v>9272</v>
      </c>
      <c r="AW1956" t="s">
        <v>54</v>
      </c>
      <c r="AZ1956" t="s">
        <v>54</v>
      </c>
      <c r="BA1956" t="s">
        <v>9148</v>
      </c>
    </row>
    <row r="1957" spans="1:53" x14ac:dyDescent="0.25">
      <c r="A1957">
        <v>1952</v>
      </c>
      <c r="B1957" t="s">
        <v>9445</v>
      </c>
      <c r="C1957" t="s">
        <v>9446</v>
      </c>
      <c r="D1957" t="s">
        <v>9447</v>
      </c>
      <c r="E1957">
        <v>12</v>
      </c>
      <c r="F1957" t="s">
        <v>9138</v>
      </c>
      <c r="G1957" t="s">
        <v>9163</v>
      </c>
      <c r="H1957" t="s">
        <v>9268</v>
      </c>
      <c r="I1957" t="s">
        <v>9269</v>
      </c>
      <c r="J1957" t="s">
        <v>9448</v>
      </c>
      <c r="K1957" t="s">
        <v>9180</v>
      </c>
      <c r="L1957" t="s">
        <v>9190</v>
      </c>
      <c r="M1957">
        <v>0.71907401084899902</v>
      </c>
      <c r="N1957" t="s">
        <v>54</v>
      </c>
      <c r="O1957" t="s">
        <v>53</v>
      </c>
      <c r="P1957" t="s">
        <v>53</v>
      </c>
      <c r="Q1957" t="s">
        <v>53</v>
      </c>
      <c r="R1957" t="s">
        <v>53</v>
      </c>
      <c r="S1957" t="s">
        <v>9211</v>
      </c>
      <c r="T1957" t="s">
        <v>9255</v>
      </c>
      <c r="U1957" t="s">
        <v>54</v>
      </c>
      <c r="V1957" t="s">
        <v>51</v>
      </c>
      <c r="W1957">
        <v>9093003</v>
      </c>
      <c r="X1957" t="s">
        <v>53</v>
      </c>
      <c r="Z1957">
        <v>0</v>
      </c>
      <c r="AA1957">
        <v>65</v>
      </c>
      <c r="AB1957">
        <v>59</v>
      </c>
      <c r="AC1957">
        <v>74</v>
      </c>
      <c r="AD1957">
        <v>181</v>
      </c>
      <c r="AE1957">
        <v>181</v>
      </c>
      <c r="AF1957">
        <v>0</v>
      </c>
      <c r="AG1957">
        <v>2</v>
      </c>
      <c r="AH1957">
        <v>0.61000001430511475</v>
      </c>
      <c r="AI1957">
        <v>16</v>
      </c>
      <c r="AJ1957">
        <v>0.22239500284194949</v>
      </c>
      <c r="AK1957" t="s">
        <v>53</v>
      </c>
      <c r="AL1957" t="s">
        <v>54</v>
      </c>
      <c r="AQ1957" t="s">
        <v>54</v>
      </c>
      <c r="AT1957" t="s">
        <v>9272</v>
      </c>
      <c r="AW1957" t="s">
        <v>54</v>
      </c>
      <c r="AZ1957" t="s">
        <v>54</v>
      </c>
      <c r="BA1957" t="s">
        <v>9148</v>
      </c>
    </row>
    <row r="1958" spans="1:53" x14ac:dyDescent="0.25">
      <c r="A1958">
        <v>1953</v>
      </c>
      <c r="B1958" t="s">
        <v>9449</v>
      </c>
      <c r="C1958" t="s">
        <v>9450</v>
      </c>
      <c r="D1958" t="s">
        <v>9451</v>
      </c>
      <c r="E1958">
        <v>12</v>
      </c>
      <c r="F1958" t="s">
        <v>9138</v>
      </c>
      <c r="G1958" t="s">
        <v>9163</v>
      </c>
      <c r="H1958" t="s">
        <v>9268</v>
      </c>
      <c r="I1958" t="s">
        <v>9269</v>
      </c>
      <c r="J1958" t="s">
        <v>9270</v>
      </c>
      <c r="K1958" t="s">
        <v>9271</v>
      </c>
      <c r="L1958" t="s">
        <v>9190</v>
      </c>
      <c r="M1958">
        <v>0.17973500490188599</v>
      </c>
      <c r="N1958" t="s">
        <v>54</v>
      </c>
      <c r="O1958" t="s">
        <v>53</v>
      </c>
      <c r="P1958" t="s">
        <v>53</v>
      </c>
      <c r="Q1958" t="s">
        <v>53</v>
      </c>
      <c r="R1958" t="s">
        <v>53</v>
      </c>
      <c r="S1958" t="s">
        <v>9211</v>
      </c>
      <c r="T1958" t="s">
        <v>9452</v>
      </c>
      <c r="U1958" t="s">
        <v>54</v>
      </c>
      <c r="V1958" t="s">
        <v>51</v>
      </c>
      <c r="W1958">
        <v>7035206</v>
      </c>
      <c r="X1958" t="s">
        <v>53</v>
      </c>
      <c r="Z1958">
        <v>0</v>
      </c>
      <c r="AA1958">
        <v>66</v>
      </c>
      <c r="AB1958">
        <v>45</v>
      </c>
      <c r="AC1958">
        <v>361</v>
      </c>
      <c r="AD1958">
        <v>171</v>
      </c>
      <c r="AE1958">
        <v>361</v>
      </c>
      <c r="AF1958">
        <v>0</v>
      </c>
      <c r="AG1958">
        <v>2</v>
      </c>
      <c r="AH1958">
        <v>1.1000000238418579</v>
      </c>
      <c r="AI1958">
        <v>13</v>
      </c>
      <c r="AJ1958">
        <v>0</v>
      </c>
      <c r="AK1958" t="s">
        <v>53</v>
      </c>
      <c r="AL1958" t="s">
        <v>54</v>
      </c>
      <c r="AQ1958" t="s">
        <v>54</v>
      </c>
      <c r="AT1958" t="s">
        <v>9272</v>
      </c>
      <c r="AW1958" t="s">
        <v>54</v>
      </c>
      <c r="AZ1958" t="s">
        <v>54</v>
      </c>
      <c r="BA1958" t="s">
        <v>9148</v>
      </c>
    </row>
    <row r="1959" spans="1:53" x14ac:dyDescent="0.25">
      <c r="A1959">
        <v>1954</v>
      </c>
      <c r="B1959" t="s">
        <v>9453</v>
      </c>
      <c r="C1959" t="s">
        <v>9454</v>
      </c>
      <c r="D1959" t="s">
        <v>9455</v>
      </c>
      <c r="E1959">
        <v>12</v>
      </c>
      <c r="F1959" t="s">
        <v>9138</v>
      </c>
      <c r="G1959" t="s">
        <v>9163</v>
      </c>
      <c r="H1959" t="s">
        <v>9268</v>
      </c>
      <c r="I1959" t="s">
        <v>9276</v>
      </c>
      <c r="J1959" t="s">
        <v>9314</v>
      </c>
      <c r="K1959" t="s">
        <v>9315</v>
      </c>
      <c r="L1959" t="s">
        <v>9190</v>
      </c>
      <c r="M1959">
        <v>0.23898699879646301</v>
      </c>
      <c r="N1959" t="s">
        <v>54</v>
      </c>
      <c r="O1959" t="s">
        <v>53</v>
      </c>
      <c r="P1959" t="s">
        <v>53</v>
      </c>
      <c r="Q1959" t="s">
        <v>53</v>
      </c>
      <c r="R1959" t="s">
        <v>53</v>
      </c>
      <c r="S1959" t="s">
        <v>9211</v>
      </c>
      <c r="T1959" t="s">
        <v>9255</v>
      </c>
      <c r="U1959" t="s">
        <v>54</v>
      </c>
      <c r="V1959" t="s">
        <v>51</v>
      </c>
      <c r="W1959">
        <v>25112208</v>
      </c>
      <c r="X1959" t="s">
        <v>53</v>
      </c>
      <c r="Z1959">
        <v>0</v>
      </c>
      <c r="AA1959">
        <v>165</v>
      </c>
      <c r="AB1959">
        <v>163</v>
      </c>
      <c r="AC1959">
        <v>165</v>
      </c>
      <c r="AD1959">
        <v>491</v>
      </c>
      <c r="AE1959">
        <v>491</v>
      </c>
      <c r="AF1959">
        <v>0</v>
      </c>
      <c r="AG1959">
        <v>0</v>
      </c>
      <c r="AH1959">
        <v>3.4000000953674321</v>
      </c>
      <c r="AI1959">
        <v>25</v>
      </c>
      <c r="AJ1959">
        <v>0</v>
      </c>
      <c r="AK1959" t="s">
        <v>53</v>
      </c>
      <c r="AL1959" t="s">
        <v>54</v>
      </c>
      <c r="AQ1959" t="s">
        <v>54</v>
      </c>
      <c r="AT1959" t="s">
        <v>9310</v>
      </c>
      <c r="AW1959" t="s">
        <v>54</v>
      </c>
      <c r="AZ1959" t="s">
        <v>54</v>
      </c>
      <c r="BA1959" t="s">
        <v>9148</v>
      </c>
    </row>
    <row r="1960" spans="1:53" x14ac:dyDescent="0.25">
      <c r="A1960">
        <v>1955</v>
      </c>
      <c r="B1960" t="s">
        <v>9456</v>
      </c>
      <c r="C1960" t="s">
        <v>9457</v>
      </c>
      <c r="D1960" t="s">
        <v>9458</v>
      </c>
      <c r="E1960">
        <v>12</v>
      </c>
      <c r="F1960" t="s">
        <v>9138</v>
      </c>
      <c r="G1960" t="s">
        <v>9163</v>
      </c>
      <c r="H1960" t="s">
        <v>9268</v>
      </c>
      <c r="I1960" t="s">
        <v>9276</v>
      </c>
      <c r="J1960" t="s">
        <v>9314</v>
      </c>
      <c r="K1960" t="s">
        <v>9315</v>
      </c>
      <c r="L1960" t="s">
        <v>9246</v>
      </c>
      <c r="M1960">
        <v>6.3277602195739746E-2</v>
      </c>
      <c r="N1960" t="s">
        <v>54</v>
      </c>
      <c r="O1960" t="s">
        <v>53</v>
      </c>
      <c r="P1960" t="s">
        <v>53</v>
      </c>
      <c r="Q1960" t="s">
        <v>53</v>
      </c>
      <c r="R1960" t="s">
        <v>53</v>
      </c>
      <c r="S1960" t="s">
        <v>9459</v>
      </c>
      <c r="T1960" t="s">
        <v>9460</v>
      </c>
      <c r="U1960" t="s">
        <v>53</v>
      </c>
      <c r="V1960" t="s">
        <v>51</v>
      </c>
      <c r="W1960">
        <v>6288547</v>
      </c>
      <c r="X1960" t="s">
        <v>53</v>
      </c>
      <c r="Z1960">
        <v>0</v>
      </c>
      <c r="AA1960">
        <v>8</v>
      </c>
      <c r="AB1960">
        <v>8</v>
      </c>
      <c r="AC1960">
        <v>24</v>
      </c>
      <c r="AD1960">
        <v>94</v>
      </c>
      <c r="AE1960">
        <v>94</v>
      </c>
      <c r="AF1960">
        <v>0</v>
      </c>
      <c r="AG1960">
        <v>0</v>
      </c>
      <c r="AH1960">
        <v>0.14000000059604639</v>
      </c>
      <c r="AI1960">
        <v>4</v>
      </c>
      <c r="AJ1960">
        <v>0</v>
      </c>
      <c r="AK1960" t="s">
        <v>53</v>
      </c>
      <c r="AL1960" t="s">
        <v>54</v>
      </c>
      <c r="AQ1960" t="s">
        <v>54</v>
      </c>
      <c r="AT1960" t="s">
        <v>9461</v>
      </c>
      <c r="AW1960" t="s">
        <v>54</v>
      </c>
      <c r="AZ1960" t="s">
        <v>54</v>
      </c>
      <c r="BA1960" t="s">
        <v>9148</v>
      </c>
    </row>
    <row r="1961" spans="1:53" x14ac:dyDescent="0.25">
      <c r="A1961">
        <v>1956</v>
      </c>
      <c r="B1961" t="s">
        <v>9462</v>
      </c>
      <c r="C1961" t="s">
        <v>9463</v>
      </c>
      <c r="D1961" t="s">
        <v>9458</v>
      </c>
      <c r="E1961">
        <v>12</v>
      </c>
      <c r="F1961" t="s">
        <v>9138</v>
      </c>
      <c r="G1961" t="s">
        <v>9163</v>
      </c>
      <c r="H1961" t="s">
        <v>9268</v>
      </c>
      <c r="I1961" t="s">
        <v>9276</v>
      </c>
      <c r="J1961" t="s">
        <v>9314</v>
      </c>
      <c r="K1961" t="s">
        <v>9315</v>
      </c>
      <c r="L1961" t="s">
        <v>9246</v>
      </c>
      <c r="M1961">
        <v>6.3277602195739746E-2</v>
      </c>
      <c r="N1961" t="s">
        <v>54</v>
      </c>
      <c r="O1961" t="s">
        <v>53</v>
      </c>
      <c r="P1961" t="s">
        <v>53</v>
      </c>
      <c r="Q1961" t="s">
        <v>53</v>
      </c>
      <c r="R1961" t="s">
        <v>53</v>
      </c>
      <c r="S1961" t="s">
        <v>9459</v>
      </c>
      <c r="T1961" t="s">
        <v>9460</v>
      </c>
      <c r="U1961" t="s">
        <v>53</v>
      </c>
      <c r="V1961" t="s">
        <v>51</v>
      </c>
      <c r="W1961">
        <v>11272772</v>
      </c>
      <c r="X1961" t="s">
        <v>53</v>
      </c>
      <c r="Z1961">
        <v>0</v>
      </c>
      <c r="AA1961">
        <v>8</v>
      </c>
      <c r="AB1961">
        <v>8</v>
      </c>
      <c r="AC1961">
        <v>24</v>
      </c>
      <c r="AD1961">
        <v>94</v>
      </c>
      <c r="AE1961">
        <v>94</v>
      </c>
      <c r="AF1961">
        <v>0</v>
      </c>
      <c r="AG1961">
        <v>0</v>
      </c>
      <c r="AH1961">
        <v>0.14000000059604639</v>
      </c>
      <c r="AI1961">
        <v>4</v>
      </c>
      <c r="AJ1961">
        <v>0</v>
      </c>
      <c r="AK1961" t="s">
        <v>53</v>
      </c>
      <c r="AL1961" t="s">
        <v>54</v>
      </c>
      <c r="AQ1961" t="s">
        <v>54</v>
      </c>
      <c r="AT1961" t="s">
        <v>9461</v>
      </c>
      <c r="AW1961" t="s">
        <v>54</v>
      </c>
      <c r="AZ1961" t="s">
        <v>54</v>
      </c>
      <c r="BA1961" t="s">
        <v>9148</v>
      </c>
    </row>
    <row r="1962" spans="1:53" x14ac:dyDescent="0.25">
      <c r="A1962">
        <v>1957</v>
      </c>
      <c r="B1962" t="s">
        <v>9464</v>
      </c>
      <c r="C1962" t="s">
        <v>9465</v>
      </c>
      <c r="D1962" t="s">
        <v>9466</v>
      </c>
      <c r="E1962">
        <v>12</v>
      </c>
      <c r="F1962" t="s">
        <v>9138</v>
      </c>
      <c r="G1962" t="s">
        <v>9163</v>
      </c>
      <c r="H1962" t="s">
        <v>9207</v>
      </c>
      <c r="I1962" t="s">
        <v>9243</v>
      </c>
      <c r="J1962" t="s">
        <v>9467</v>
      </c>
      <c r="K1962" t="s">
        <v>9468</v>
      </c>
      <c r="L1962" t="s">
        <v>9279</v>
      </c>
      <c r="M1962">
        <v>0.366131991147995</v>
      </c>
      <c r="N1962" t="s">
        <v>53</v>
      </c>
      <c r="O1962" t="s">
        <v>53</v>
      </c>
      <c r="P1962" t="s">
        <v>53</v>
      </c>
      <c r="Q1962" t="s">
        <v>53</v>
      </c>
      <c r="R1962" t="s">
        <v>53</v>
      </c>
      <c r="S1962" t="s">
        <v>9211</v>
      </c>
      <c r="T1962" t="s">
        <v>9469</v>
      </c>
      <c r="U1962" t="s">
        <v>53</v>
      </c>
      <c r="V1962" t="s">
        <v>51</v>
      </c>
      <c r="W1962">
        <v>150000</v>
      </c>
      <c r="X1962" t="s">
        <v>53</v>
      </c>
      <c r="Z1962">
        <v>0</v>
      </c>
      <c r="AA1962">
        <v>0</v>
      </c>
      <c r="AB1962">
        <v>0</v>
      </c>
      <c r="AC1962">
        <v>0</v>
      </c>
      <c r="AD1962">
        <v>0</v>
      </c>
      <c r="AE1962">
        <v>0</v>
      </c>
      <c r="AF1962">
        <v>0</v>
      </c>
      <c r="AG1962">
        <v>0</v>
      </c>
      <c r="AH1962">
        <v>0</v>
      </c>
      <c r="AI1962">
        <v>0</v>
      </c>
      <c r="AJ1962">
        <v>0</v>
      </c>
      <c r="AK1962" t="s">
        <v>54</v>
      </c>
      <c r="AL1962" t="s">
        <v>53</v>
      </c>
      <c r="AQ1962" t="s">
        <v>53</v>
      </c>
      <c r="AT1962" t="s">
        <v>9470</v>
      </c>
      <c r="AW1962" t="s">
        <v>53</v>
      </c>
      <c r="AZ1962" t="s">
        <v>54</v>
      </c>
      <c r="BA1962" t="s">
        <v>9148</v>
      </c>
    </row>
    <row r="1963" spans="1:53" x14ac:dyDescent="0.25">
      <c r="A1963">
        <v>1958</v>
      </c>
      <c r="B1963" t="s">
        <v>9471</v>
      </c>
      <c r="C1963" t="s">
        <v>9472</v>
      </c>
      <c r="D1963" t="s">
        <v>9473</v>
      </c>
      <c r="E1963">
        <v>12</v>
      </c>
      <c r="F1963" t="s">
        <v>9138</v>
      </c>
      <c r="G1963" t="s">
        <v>9163</v>
      </c>
      <c r="H1963" t="s">
        <v>9268</v>
      </c>
      <c r="I1963" t="s">
        <v>9276</v>
      </c>
      <c r="J1963" t="s">
        <v>9277</v>
      </c>
      <c r="K1963" t="s">
        <v>9278</v>
      </c>
      <c r="L1963" t="s">
        <v>9279</v>
      </c>
      <c r="M1963">
        <v>0.1366859972476959</v>
      </c>
      <c r="N1963" t="s">
        <v>54</v>
      </c>
      <c r="O1963" t="s">
        <v>53</v>
      </c>
      <c r="P1963" t="s">
        <v>53</v>
      </c>
      <c r="Q1963" t="s">
        <v>53</v>
      </c>
      <c r="R1963" t="s">
        <v>53</v>
      </c>
      <c r="S1963" t="s">
        <v>9211</v>
      </c>
      <c r="T1963" t="s">
        <v>9474</v>
      </c>
      <c r="U1963" t="s">
        <v>54</v>
      </c>
      <c r="V1963" t="s">
        <v>51</v>
      </c>
      <c r="W1963">
        <v>11470000</v>
      </c>
      <c r="X1963" t="s">
        <v>53</v>
      </c>
      <c r="Z1963">
        <v>0</v>
      </c>
      <c r="AA1963">
        <v>17</v>
      </c>
      <c r="AB1963">
        <v>17</v>
      </c>
      <c r="AC1963">
        <v>12</v>
      </c>
      <c r="AD1963">
        <v>44</v>
      </c>
      <c r="AE1963">
        <v>12</v>
      </c>
      <c r="AF1963">
        <v>0</v>
      </c>
      <c r="AG1963">
        <v>1</v>
      </c>
      <c r="AH1963">
        <v>0.5</v>
      </c>
      <c r="AI1963">
        <v>6</v>
      </c>
      <c r="AJ1963">
        <v>0</v>
      </c>
      <c r="AK1963" t="s">
        <v>54</v>
      </c>
      <c r="AL1963" t="s">
        <v>53</v>
      </c>
      <c r="AQ1963" t="s">
        <v>53</v>
      </c>
      <c r="AT1963" t="s">
        <v>9280</v>
      </c>
      <c r="AW1963" t="s">
        <v>54</v>
      </c>
      <c r="AZ1963" t="s">
        <v>54</v>
      </c>
      <c r="BA1963" t="s">
        <v>9148</v>
      </c>
    </row>
    <row r="1964" spans="1:53" x14ac:dyDescent="0.25">
      <c r="A1964">
        <v>1959</v>
      </c>
      <c r="B1964" t="s">
        <v>9475</v>
      </c>
      <c r="C1964" t="s">
        <v>9476</v>
      </c>
      <c r="D1964" t="s">
        <v>9477</v>
      </c>
      <c r="E1964">
        <v>12</v>
      </c>
      <c r="F1964" t="s">
        <v>9138</v>
      </c>
      <c r="G1964" t="s">
        <v>9163</v>
      </c>
      <c r="H1964" t="s">
        <v>9207</v>
      </c>
      <c r="I1964" t="s">
        <v>9243</v>
      </c>
      <c r="J1964" t="s">
        <v>9260</v>
      </c>
      <c r="K1964" t="s">
        <v>9261</v>
      </c>
      <c r="L1964" t="s">
        <v>9190</v>
      </c>
      <c r="M1964">
        <v>4.4620301574468613E-2</v>
      </c>
      <c r="N1964" t="s">
        <v>53</v>
      </c>
      <c r="O1964" t="s">
        <v>53</v>
      </c>
      <c r="P1964" t="s">
        <v>53</v>
      </c>
      <c r="Q1964" t="s">
        <v>53</v>
      </c>
      <c r="R1964" t="s">
        <v>53</v>
      </c>
      <c r="S1964" t="s">
        <v>9211</v>
      </c>
      <c r="T1964" t="s">
        <v>9255</v>
      </c>
      <c r="U1964" t="s">
        <v>54</v>
      </c>
      <c r="V1964" t="s">
        <v>51</v>
      </c>
      <c r="W1964">
        <v>3666040</v>
      </c>
      <c r="X1964" t="s">
        <v>53</v>
      </c>
      <c r="Z1964">
        <v>0</v>
      </c>
      <c r="AA1964">
        <v>0</v>
      </c>
      <c r="AB1964">
        <v>0</v>
      </c>
      <c r="AC1964">
        <v>0</v>
      </c>
      <c r="AD1964">
        <v>0</v>
      </c>
      <c r="AE1964">
        <v>0</v>
      </c>
      <c r="AF1964">
        <v>0</v>
      </c>
      <c r="AG1964">
        <v>3</v>
      </c>
      <c r="AH1964">
        <v>0</v>
      </c>
      <c r="AI1964">
        <v>0</v>
      </c>
      <c r="AJ1964">
        <v>0</v>
      </c>
      <c r="AK1964" t="s">
        <v>54</v>
      </c>
      <c r="AL1964" t="s">
        <v>53</v>
      </c>
      <c r="AQ1964" t="s">
        <v>53</v>
      </c>
      <c r="AT1964" t="s">
        <v>9280</v>
      </c>
      <c r="AW1964" t="s">
        <v>53</v>
      </c>
      <c r="AZ1964" t="s">
        <v>54</v>
      </c>
      <c r="BA1964" t="s">
        <v>9148</v>
      </c>
    </row>
    <row r="1965" spans="1:53" x14ac:dyDescent="0.25">
      <c r="A1965">
        <v>1960</v>
      </c>
      <c r="B1965" t="s">
        <v>9478</v>
      </c>
      <c r="C1965" t="s">
        <v>9479</v>
      </c>
      <c r="D1965" t="s">
        <v>9480</v>
      </c>
      <c r="E1965">
        <v>12</v>
      </c>
      <c r="F1965" t="s">
        <v>9138</v>
      </c>
      <c r="G1965" t="s">
        <v>9163</v>
      </c>
      <c r="H1965" t="s">
        <v>9268</v>
      </c>
      <c r="I1965" t="s">
        <v>9269</v>
      </c>
      <c r="J1965" t="s">
        <v>9443</v>
      </c>
      <c r="K1965" t="s">
        <v>9444</v>
      </c>
      <c r="L1965" t="s">
        <v>9279</v>
      </c>
      <c r="M1965">
        <v>6.3159600831568241E-3</v>
      </c>
      <c r="N1965" t="s">
        <v>53</v>
      </c>
      <c r="O1965" t="s">
        <v>53</v>
      </c>
      <c r="P1965" t="s">
        <v>53</v>
      </c>
      <c r="Q1965" t="s">
        <v>53</v>
      </c>
      <c r="R1965" t="s">
        <v>53</v>
      </c>
      <c r="S1965" t="s">
        <v>9211</v>
      </c>
      <c r="T1965" t="s">
        <v>9255</v>
      </c>
      <c r="U1965" t="s">
        <v>53</v>
      </c>
      <c r="V1965" t="s">
        <v>51</v>
      </c>
      <c r="W1965">
        <v>3118605</v>
      </c>
      <c r="X1965" t="s">
        <v>53</v>
      </c>
      <c r="Z1965">
        <v>0</v>
      </c>
      <c r="AA1965">
        <v>0</v>
      </c>
      <c r="AB1965">
        <v>0</v>
      </c>
      <c r="AC1965">
        <v>0</v>
      </c>
      <c r="AD1965">
        <v>0</v>
      </c>
      <c r="AE1965">
        <v>0</v>
      </c>
      <c r="AF1965">
        <v>0</v>
      </c>
      <c r="AG1965">
        <v>0</v>
      </c>
      <c r="AH1965">
        <v>0</v>
      </c>
      <c r="AI1965">
        <v>0</v>
      </c>
      <c r="AJ1965">
        <v>0</v>
      </c>
      <c r="AK1965" t="s">
        <v>54</v>
      </c>
      <c r="AL1965" t="s">
        <v>53</v>
      </c>
      <c r="AQ1965" t="s">
        <v>53</v>
      </c>
      <c r="AT1965" t="s">
        <v>9280</v>
      </c>
      <c r="AW1965" t="s">
        <v>53</v>
      </c>
      <c r="AZ1965" t="s">
        <v>54</v>
      </c>
      <c r="BA1965" t="s">
        <v>9148</v>
      </c>
    </row>
    <row r="1966" spans="1:53" x14ac:dyDescent="0.25">
      <c r="A1966">
        <v>1961</v>
      </c>
      <c r="B1966" t="s">
        <v>9481</v>
      </c>
      <c r="C1966" t="s">
        <v>9482</v>
      </c>
      <c r="D1966" t="s">
        <v>9483</v>
      </c>
      <c r="E1966">
        <v>12</v>
      </c>
      <c r="F1966" t="s">
        <v>9138</v>
      </c>
      <c r="G1966" t="s">
        <v>9163</v>
      </c>
      <c r="H1966" t="s">
        <v>9268</v>
      </c>
      <c r="I1966" t="s">
        <v>9269</v>
      </c>
      <c r="J1966" t="s">
        <v>9448</v>
      </c>
      <c r="K1966" t="s">
        <v>9180</v>
      </c>
      <c r="L1966" t="s">
        <v>9190</v>
      </c>
      <c r="M1966">
        <v>4.0415399707853794E-3</v>
      </c>
      <c r="N1966" t="s">
        <v>53</v>
      </c>
      <c r="O1966" t="s">
        <v>53</v>
      </c>
      <c r="P1966" t="s">
        <v>53</v>
      </c>
      <c r="Q1966" t="s">
        <v>53</v>
      </c>
      <c r="R1966" t="s">
        <v>53</v>
      </c>
      <c r="S1966" t="s">
        <v>9211</v>
      </c>
      <c r="T1966" t="s">
        <v>9255</v>
      </c>
      <c r="U1966" t="s">
        <v>54</v>
      </c>
      <c r="V1966" t="s">
        <v>51</v>
      </c>
      <c r="W1966">
        <v>471988</v>
      </c>
      <c r="X1966" t="s">
        <v>53</v>
      </c>
      <c r="Z1966">
        <v>0</v>
      </c>
      <c r="AA1966">
        <v>0</v>
      </c>
      <c r="AB1966">
        <v>0</v>
      </c>
      <c r="AC1966">
        <v>0</v>
      </c>
      <c r="AD1966">
        <v>0</v>
      </c>
      <c r="AE1966">
        <v>0</v>
      </c>
      <c r="AF1966">
        <v>0</v>
      </c>
      <c r="AG1966">
        <v>1</v>
      </c>
      <c r="AH1966">
        <v>0</v>
      </c>
      <c r="AI1966">
        <v>0</v>
      </c>
      <c r="AJ1966">
        <v>0</v>
      </c>
      <c r="AK1966" t="s">
        <v>54</v>
      </c>
      <c r="AL1966" t="s">
        <v>53</v>
      </c>
      <c r="AQ1966" t="s">
        <v>53</v>
      </c>
      <c r="AT1966" t="s">
        <v>9280</v>
      </c>
      <c r="AW1966" t="s">
        <v>53</v>
      </c>
      <c r="AZ1966" t="s">
        <v>54</v>
      </c>
      <c r="BA1966" t="s">
        <v>9148</v>
      </c>
    </row>
    <row r="1967" spans="1:53" x14ac:dyDescent="0.25">
      <c r="A1967">
        <v>1962</v>
      </c>
      <c r="B1967" t="s">
        <v>9484</v>
      </c>
      <c r="C1967" t="s">
        <v>9485</v>
      </c>
      <c r="D1967" t="s">
        <v>9486</v>
      </c>
      <c r="E1967">
        <v>12</v>
      </c>
      <c r="F1967" t="s">
        <v>9138</v>
      </c>
      <c r="G1967" t="s">
        <v>9163</v>
      </c>
      <c r="H1967" t="s">
        <v>9268</v>
      </c>
      <c r="I1967" t="s">
        <v>9269</v>
      </c>
      <c r="J1967" t="s">
        <v>9487</v>
      </c>
      <c r="K1967" t="s">
        <v>9488</v>
      </c>
      <c r="L1967" t="s">
        <v>9190</v>
      </c>
      <c r="M1967">
        <v>3.971640020608902E-3</v>
      </c>
      <c r="N1967" t="s">
        <v>53</v>
      </c>
      <c r="O1967" t="s">
        <v>53</v>
      </c>
      <c r="P1967" t="s">
        <v>53</v>
      </c>
      <c r="Q1967" t="s">
        <v>53</v>
      </c>
      <c r="R1967" t="s">
        <v>53</v>
      </c>
      <c r="S1967" t="s">
        <v>9211</v>
      </c>
      <c r="T1967" t="s">
        <v>9255</v>
      </c>
      <c r="U1967" t="s">
        <v>54</v>
      </c>
      <c r="V1967" t="s">
        <v>51</v>
      </c>
      <c r="W1967">
        <v>5759953</v>
      </c>
      <c r="X1967" t="s">
        <v>53</v>
      </c>
      <c r="Z1967">
        <v>0</v>
      </c>
      <c r="AA1967">
        <v>0</v>
      </c>
      <c r="AB1967">
        <v>0</v>
      </c>
      <c r="AC1967">
        <v>0</v>
      </c>
      <c r="AD1967">
        <v>0</v>
      </c>
      <c r="AE1967">
        <v>0</v>
      </c>
      <c r="AF1967">
        <v>0</v>
      </c>
      <c r="AG1967">
        <v>1</v>
      </c>
      <c r="AH1967">
        <v>0</v>
      </c>
      <c r="AI1967">
        <v>0</v>
      </c>
      <c r="AJ1967">
        <v>0</v>
      </c>
      <c r="AK1967" t="s">
        <v>54</v>
      </c>
      <c r="AL1967" t="s">
        <v>53</v>
      </c>
      <c r="AQ1967" t="s">
        <v>53</v>
      </c>
      <c r="AT1967" t="s">
        <v>9280</v>
      </c>
      <c r="AW1967" t="s">
        <v>53</v>
      </c>
      <c r="AZ1967" t="s">
        <v>54</v>
      </c>
      <c r="BA1967" t="s">
        <v>9148</v>
      </c>
    </row>
    <row r="1968" spans="1:53" x14ac:dyDescent="0.25">
      <c r="A1968">
        <v>1963</v>
      </c>
      <c r="B1968" t="s">
        <v>9489</v>
      </c>
      <c r="C1968" t="s">
        <v>9490</v>
      </c>
      <c r="D1968" t="s">
        <v>9491</v>
      </c>
      <c r="E1968">
        <v>12</v>
      </c>
      <c r="F1968" t="s">
        <v>9138</v>
      </c>
      <c r="G1968" t="s">
        <v>9163</v>
      </c>
      <c r="H1968" t="s">
        <v>9268</v>
      </c>
      <c r="I1968" t="s">
        <v>9290</v>
      </c>
      <c r="J1968" t="s">
        <v>9291</v>
      </c>
      <c r="K1968" t="s">
        <v>9292</v>
      </c>
      <c r="L1968" t="s">
        <v>9279</v>
      </c>
      <c r="M1968">
        <v>3.1653799116611481E-2</v>
      </c>
      <c r="N1968" t="s">
        <v>54</v>
      </c>
      <c r="O1968" t="s">
        <v>53</v>
      </c>
      <c r="P1968" t="s">
        <v>53</v>
      </c>
      <c r="Q1968" t="s">
        <v>53</v>
      </c>
      <c r="R1968" t="s">
        <v>53</v>
      </c>
      <c r="S1968" t="s">
        <v>9211</v>
      </c>
      <c r="T1968" t="s">
        <v>9469</v>
      </c>
      <c r="U1968" t="s">
        <v>54</v>
      </c>
      <c r="V1968" t="s">
        <v>51</v>
      </c>
      <c r="W1968">
        <v>2317784</v>
      </c>
      <c r="X1968" t="s">
        <v>53</v>
      </c>
      <c r="Z1968">
        <v>0</v>
      </c>
      <c r="AA1968">
        <v>3</v>
      </c>
      <c r="AB1968">
        <v>3</v>
      </c>
      <c r="AC1968">
        <v>3</v>
      </c>
      <c r="AD1968">
        <v>12</v>
      </c>
      <c r="AE1968">
        <v>12</v>
      </c>
      <c r="AF1968">
        <v>0</v>
      </c>
      <c r="AG1968">
        <v>1</v>
      </c>
      <c r="AH1968">
        <v>9.7999997437000275E-2</v>
      </c>
      <c r="AI1968">
        <v>1</v>
      </c>
      <c r="AJ1968">
        <v>0</v>
      </c>
      <c r="AK1968" t="s">
        <v>54</v>
      </c>
      <c r="AL1968" t="s">
        <v>53</v>
      </c>
      <c r="AQ1968" t="s">
        <v>53</v>
      </c>
      <c r="AT1968" t="s">
        <v>9280</v>
      </c>
      <c r="AW1968" t="s">
        <v>53</v>
      </c>
      <c r="AZ1968" t="s">
        <v>54</v>
      </c>
      <c r="BA1968" t="s">
        <v>9148</v>
      </c>
    </row>
    <row r="1969" spans="1:53" x14ac:dyDescent="0.25">
      <c r="A1969">
        <v>1964</v>
      </c>
      <c r="B1969" t="s">
        <v>9492</v>
      </c>
      <c r="C1969" t="s">
        <v>9493</v>
      </c>
      <c r="D1969" t="s">
        <v>9494</v>
      </c>
      <c r="E1969">
        <v>12</v>
      </c>
      <c r="F1969" t="s">
        <v>9138</v>
      </c>
      <c r="G1969" t="s">
        <v>9163</v>
      </c>
      <c r="H1969" t="s">
        <v>9268</v>
      </c>
      <c r="I1969" t="s">
        <v>9276</v>
      </c>
      <c r="J1969" t="s">
        <v>9314</v>
      </c>
      <c r="K1969" t="s">
        <v>9315</v>
      </c>
      <c r="L1969" t="s">
        <v>9279</v>
      </c>
      <c r="M1969">
        <v>5.7909497991204262E-3</v>
      </c>
      <c r="N1969" t="s">
        <v>54</v>
      </c>
      <c r="O1969" t="s">
        <v>53</v>
      </c>
      <c r="P1969" t="s">
        <v>53</v>
      </c>
      <c r="Q1969" t="s">
        <v>53</v>
      </c>
      <c r="R1969" t="s">
        <v>53</v>
      </c>
      <c r="S1969" t="s">
        <v>9211</v>
      </c>
      <c r="T1969" t="s">
        <v>9255</v>
      </c>
      <c r="U1969" t="s">
        <v>54</v>
      </c>
      <c r="V1969" t="s">
        <v>51</v>
      </c>
      <c r="W1969">
        <v>2890500</v>
      </c>
      <c r="X1969" t="s">
        <v>53</v>
      </c>
      <c r="Z1969">
        <v>0</v>
      </c>
      <c r="AA1969">
        <v>0</v>
      </c>
      <c r="AB1969">
        <v>0</v>
      </c>
      <c r="AC1969">
        <v>0</v>
      </c>
      <c r="AD1969">
        <v>0</v>
      </c>
      <c r="AE1969">
        <v>0</v>
      </c>
      <c r="AF1969">
        <v>0</v>
      </c>
      <c r="AG1969">
        <v>1</v>
      </c>
      <c r="AH1969">
        <v>0.15000000596046451</v>
      </c>
      <c r="AI1969">
        <v>2</v>
      </c>
      <c r="AJ1969">
        <v>0</v>
      </c>
      <c r="AK1969" t="s">
        <v>54</v>
      </c>
      <c r="AL1969" t="s">
        <v>53</v>
      </c>
      <c r="AQ1969" t="s">
        <v>53</v>
      </c>
      <c r="AT1969" t="s">
        <v>9280</v>
      </c>
      <c r="AW1969" t="s">
        <v>54</v>
      </c>
      <c r="AZ1969" t="s">
        <v>54</v>
      </c>
      <c r="BA1969" t="s">
        <v>9148</v>
      </c>
    </row>
    <row r="1970" spans="1:53" x14ac:dyDescent="0.25">
      <c r="A1970">
        <v>1965</v>
      </c>
      <c r="B1970" t="s">
        <v>9495</v>
      </c>
      <c r="C1970" t="s">
        <v>9496</v>
      </c>
      <c r="D1970" t="s">
        <v>9497</v>
      </c>
      <c r="E1970">
        <v>12</v>
      </c>
      <c r="F1970" t="s">
        <v>9138</v>
      </c>
      <c r="G1970" t="s">
        <v>9163</v>
      </c>
      <c r="H1970" t="s">
        <v>9268</v>
      </c>
      <c r="I1970" t="s">
        <v>9276</v>
      </c>
      <c r="J1970" t="s">
        <v>9314</v>
      </c>
      <c r="K1970" t="s">
        <v>9315</v>
      </c>
      <c r="L1970" t="s">
        <v>9190</v>
      </c>
      <c r="M1970">
        <v>4.3654199689626694E-3</v>
      </c>
      <c r="N1970" t="s">
        <v>54</v>
      </c>
      <c r="O1970" t="s">
        <v>53</v>
      </c>
      <c r="P1970" t="s">
        <v>53</v>
      </c>
      <c r="Q1970" t="s">
        <v>53</v>
      </c>
      <c r="R1970" t="s">
        <v>53</v>
      </c>
      <c r="S1970" t="s">
        <v>9211</v>
      </c>
      <c r="T1970" t="s">
        <v>9255</v>
      </c>
      <c r="U1970" t="s">
        <v>54</v>
      </c>
      <c r="V1970" t="s">
        <v>51</v>
      </c>
      <c r="W1970">
        <v>1889332</v>
      </c>
      <c r="X1970" t="s">
        <v>53</v>
      </c>
      <c r="Z1970">
        <v>0</v>
      </c>
      <c r="AA1970">
        <v>0</v>
      </c>
      <c r="AB1970">
        <v>0</v>
      </c>
      <c r="AC1970">
        <v>0</v>
      </c>
      <c r="AD1970">
        <v>0</v>
      </c>
      <c r="AE1970">
        <v>0</v>
      </c>
      <c r="AF1970">
        <v>0</v>
      </c>
      <c r="AG1970">
        <v>1</v>
      </c>
      <c r="AH1970">
        <v>7.0000000298023224E-2</v>
      </c>
      <c r="AI1970">
        <v>1</v>
      </c>
      <c r="AJ1970">
        <v>0</v>
      </c>
      <c r="AK1970" t="s">
        <v>54</v>
      </c>
      <c r="AL1970" t="s">
        <v>53</v>
      </c>
      <c r="AQ1970" t="s">
        <v>53</v>
      </c>
      <c r="AT1970" t="s">
        <v>9280</v>
      </c>
      <c r="AW1970" t="s">
        <v>54</v>
      </c>
      <c r="AZ1970" t="s">
        <v>54</v>
      </c>
      <c r="BA1970" t="s">
        <v>9148</v>
      </c>
    </row>
    <row r="1971" spans="1:53" x14ac:dyDescent="0.25">
      <c r="A1971">
        <v>1966</v>
      </c>
      <c r="B1971" t="s">
        <v>9498</v>
      </c>
      <c r="C1971" t="s">
        <v>9499</v>
      </c>
      <c r="D1971" t="s">
        <v>9500</v>
      </c>
      <c r="E1971">
        <v>12</v>
      </c>
      <c r="F1971" t="s">
        <v>9138</v>
      </c>
      <c r="G1971" t="s">
        <v>9163</v>
      </c>
      <c r="H1971" t="s">
        <v>9268</v>
      </c>
      <c r="I1971" t="s">
        <v>9276</v>
      </c>
      <c r="J1971" t="s">
        <v>9277</v>
      </c>
      <c r="K1971" t="s">
        <v>9278</v>
      </c>
      <c r="L1971" t="s">
        <v>9190</v>
      </c>
      <c r="M1971">
        <v>7.8266099095344543E-2</v>
      </c>
      <c r="N1971" t="s">
        <v>54</v>
      </c>
      <c r="O1971" t="s">
        <v>53</v>
      </c>
      <c r="P1971" t="s">
        <v>53</v>
      </c>
      <c r="Q1971" t="s">
        <v>53</v>
      </c>
      <c r="R1971" t="s">
        <v>53</v>
      </c>
      <c r="S1971" t="s">
        <v>9211</v>
      </c>
      <c r="T1971" t="s">
        <v>9255</v>
      </c>
      <c r="U1971" t="s">
        <v>53</v>
      </c>
      <c r="V1971" t="s">
        <v>138</v>
      </c>
      <c r="W1971">
        <v>10792673</v>
      </c>
      <c r="X1971" t="s">
        <v>53</v>
      </c>
      <c r="Z1971">
        <v>0</v>
      </c>
      <c r="AA1971">
        <v>16</v>
      </c>
      <c r="AB1971">
        <v>14</v>
      </c>
      <c r="AC1971">
        <v>28</v>
      </c>
      <c r="AD1971">
        <v>53</v>
      </c>
      <c r="AE1971">
        <v>53</v>
      </c>
      <c r="AF1971">
        <v>0</v>
      </c>
      <c r="AG1971">
        <v>0</v>
      </c>
      <c r="AH1971">
        <v>0.239999994635582</v>
      </c>
      <c r="AI1971">
        <v>5</v>
      </c>
      <c r="AJ1971">
        <v>0</v>
      </c>
      <c r="AK1971" t="s">
        <v>54</v>
      </c>
      <c r="AL1971" t="s">
        <v>53</v>
      </c>
      <c r="AQ1971" t="s">
        <v>53</v>
      </c>
      <c r="AT1971" t="s">
        <v>9280</v>
      </c>
      <c r="AW1971" t="s">
        <v>54</v>
      </c>
      <c r="AZ1971" t="s">
        <v>54</v>
      </c>
      <c r="BA1971" t="s">
        <v>9148</v>
      </c>
    </row>
    <row r="1972" spans="1:53" x14ac:dyDescent="0.25">
      <c r="A1972">
        <v>1967</v>
      </c>
      <c r="B1972" t="s">
        <v>9501</v>
      </c>
      <c r="C1972" t="s">
        <v>9502</v>
      </c>
      <c r="D1972" t="s">
        <v>9503</v>
      </c>
      <c r="E1972">
        <v>12</v>
      </c>
      <c r="F1972" t="s">
        <v>9138</v>
      </c>
      <c r="G1972" t="s">
        <v>9163</v>
      </c>
      <c r="H1972" t="s">
        <v>9268</v>
      </c>
      <c r="I1972" t="s">
        <v>9276</v>
      </c>
      <c r="J1972" t="s">
        <v>9504</v>
      </c>
      <c r="K1972" t="s">
        <v>9505</v>
      </c>
      <c r="L1972" t="s">
        <v>9308</v>
      </c>
      <c r="M1972">
        <v>0.33679699897766108</v>
      </c>
      <c r="N1972" t="s">
        <v>54</v>
      </c>
      <c r="O1972" t="s">
        <v>53</v>
      </c>
      <c r="P1972" t="s">
        <v>53</v>
      </c>
      <c r="Q1972" t="s">
        <v>53</v>
      </c>
      <c r="R1972" t="s">
        <v>53</v>
      </c>
      <c r="S1972" t="s">
        <v>9211</v>
      </c>
      <c r="T1972" t="s">
        <v>9255</v>
      </c>
      <c r="U1972" t="s">
        <v>54</v>
      </c>
      <c r="V1972" t="s">
        <v>51</v>
      </c>
      <c r="W1972">
        <v>7618557</v>
      </c>
      <c r="X1972" t="s">
        <v>53</v>
      </c>
      <c r="Z1972">
        <v>0</v>
      </c>
      <c r="AA1972">
        <v>7</v>
      </c>
      <c r="AB1972">
        <v>4</v>
      </c>
      <c r="AC1972">
        <v>1</v>
      </c>
      <c r="AD1972">
        <v>3</v>
      </c>
      <c r="AE1972">
        <v>3</v>
      </c>
      <c r="AF1972">
        <v>0</v>
      </c>
      <c r="AG1972">
        <v>0</v>
      </c>
      <c r="AH1972">
        <v>0</v>
      </c>
      <c r="AI1972">
        <v>0</v>
      </c>
      <c r="AJ1972">
        <v>10.35099983215332</v>
      </c>
      <c r="AK1972" t="s">
        <v>53</v>
      </c>
      <c r="AL1972" t="s">
        <v>54</v>
      </c>
      <c r="AQ1972" t="s">
        <v>54</v>
      </c>
      <c r="AT1972" t="s">
        <v>9310</v>
      </c>
      <c r="AW1972" t="s">
        <v>8390</v>
      </c>
      <c r="AZ1972" t="s">
        <v>54</v>
      </c>
      <c r="BA1972" t="s">
        <v>9148</v>
      </c>
    </row>
    <row r="1973" spans="1:53" x14ac:dyDescent="0.25">
      <c r="A1973">
        <v>1968</v>
      </c>
      <c r="B1973" t="s">
        <v>9506</v>
      </c>
      <c r="C1973" t="s">
        <v>9507</v>
      </c>
      <c r="D1973" t="s">
        <v>9508</v>
      </c>
      <c r="E1973">
        <v>12</v>
      </c>
      <c r="F1973" t="s">
        <v>9138</v>
      </c>
      <c r="G1973" t="s">
        <v>9163</v>
      </c>
      <c r="H1973" t="s">
        <v>9268</v>
      </c>
      <c r="I1973" t="s">
        <v>9276</v>
      </c>
      <c r="J1973" t="s">
        <v>9504</v>
      </c>
      <c r="K1973" t="s">
        <v>9505</v>
      </c>
      <c r="L1973" t="s">
        <v>9308</v>
      </c>
      <c r="M1973">
        <v>0.314301997423172</v>
      </c>
      <c r="N1973" t="s">
        <v>54</v>
      </c>
      <c r="O1973" t="s">
        <v>53</v>
      </c>
      <c r="P1973" t="s">
        <v>53</v>
      </c>
      <c r="Q1973" t="s">
        <v>53</v>
      </c>
      <c r="R1973" t="s">
        <v>53</v>
      </c>
      <c r="S1973" t="s">
        <v>9211</v>
      </c>
      <c r="T1973" t="s">
        <v>9255</v>
      </c>
      <c r="U1973" t="s">
        <v>54</v>
      </c>
      <c r="V1973" t="s">
        <v>51</v>
      </c>
      <c r="W1973">
        <v>12536093</v>
      </c>
      <c r="X1973" t="s">
        <v>53</v>
      </c>
      <c r="Z1973">
        <v>0</v>
      </c>
      <c r="AA1973">
        <v>73</v>
      </c>
      <c r="AB1973">
        <v>52</v>
      </c>
      <c r="AC1973">
        <v>237</v>
      </c>
      <c r="AD1973">
        <v>892</v>
      </c>
      <c r="AE1973">
        <v>892</v>
      </c>
      <c r="AF1973">
        <v>0</v>
      </c>
      <c r="AG1973">
        <v>1</v>
      </c>
      <c r="AH1973">
        <v>0.94999998807907104</v>
      </c>
      <c r="AI1973">
        <v>9</v>
      </c>
      <c r="AJ1973">
        <v>0</v>
      </c>
      <c r="AK1973" t="s">
        <v>53</v>
      </c>
      <c r="AL1973" t="s">
        <v>54</v>
      </c>
      <c r="AQ1973" t="s">
        <v>54</v>
      </c>
      <c r="AT1973" t="s">
        <v>9310</v>
      </c>
      <c r="AW1973" t="s">
        <v>54</v>
      </c>
      <c r="AZ1973" t="s">
        <v>54</v>
      </c>
      <c r="BA1973" t="s">
        <v>9148</v>
      </c>
    </row>
    <row r="1974" spans="1:53" x14ac:dyDescent="0.25">
      <c r="A1974">
        <v>1969</v>
      </c>
      <c r="B1974" t="s">
        <v>9509</v>
      </c>
      <c r="C1974" t="s">
        <v>9510</v>
      </c>
      <c r="D1974" t="s">
        <v>9511</v>
      </c>
      <c r="E1974">
        <v>12</v>
      </c>
      <c r="F1974" t="s">
        <v>9138</v>
      </c>
      <c r="G1974" t="s">
        <v>9163</v>
      </c>
      <c r="H1974" t="s">
        <v>9268</v>
      </c>
      <c r="I1974" t="s">
        <v>9276</v>
      </c>
      <c r="J1974" t="s">
        <v>9277</v>
      </c>
      <c r="K1974" t="s">
        <v>9278</v>
      </c>
      <c r="L1974" t="s">
        <v>9190</v>
      </c>
      <c r="M1974">
        <v>0.1193550005555153</v>
      </c>
      <c r="N1974" t="s">
        <v>54</v>
      </c>
      <c r="O1974" t="s">
        <v>53</v>
      </c>
      <c r="P1974" t="s">
        <v>53</v>
      </c>
      <c r="Q1974" t="s">
        <v>53</v>
      </c>
      <c r="R1974" t="s">
        <v>53</v>
      </c>
      <c r="S1974" t="s">
        <v>9211</v>
      </c>
      <c r="T1974" t="s">
        <v>9474</v>
      </c>
      <c r="U1974" t="s">
        <v>54</v>
      </c>
      <c r="V1974" t="s">
        <v>51</v>
      </c>
      <c r="W1974">
        <v>601643</v>
      </c>
      <c r="X1974" t="s">
        <v>53</v>
      </c>
      <c r="Z1974">
        <v>0</v>
      </c>
      <c r="AA1974">
        <v>6</v>
      </c>
      <c r="AB1974">
        <v>4</v>
      </c>
      <c r="AC1974">
        <v>0</v>
      </c>
      <c r="AD1974">
        <v>5</v>
      </c>
      <c r="AE1974">
        <v>5</v>
      </c>
      <c r="AF1974">
        <v>0</v>
      </c>
      <c r="AG1974">
        <v>0</v>
      </c>
      <c r="AH1974">
        <v>1.39999995008111E-3</v>
      </c>
      <c r="AI1974">
        <v>0</v>
      </c>
      <c r="AJ1974">
        <v>0</v>
      </c>
      <c r="AK1974" t="s">
        <v>53</v>
      </c>
      <c r="AL1974" t="s">
        <v>54</v>
      </c>
      <c r="AQ1974" t="s">
        <v>54</v>
      </c>
      <c r="AT1974" t="s">
        <v>9310</v>
      </c>
      <c r="AW1974" t="s">
        <v>54</v>
      </c>
      <c r="AZ1974" t="s">
        <v>54</v>
      </c>
      <c r="BA1974" t="s">
        <v>9148</v>
      </c>
    </row>
    <row r="1975" spans="1:53" x14ac:dyDescent="0.25">
      <c r="A1975">
        <v>1970</v>
      </c>
      <c r="B1975" t="s">
        <v>9512</v>
      </c>
      <c r="C1975" t="s">
        <v>9513</v>
      </c>
      <c r="D1975" t="s">
        <v>9514</v>
      </c>
      <c r="E1975">
        <v>12</v>
      </c>
      <c r="F1975" t="s">
        <v>9138</v>
      </c>
      <c r="G1975" t="s">
        <v>9163</v>
      </c>
      <c r="H1975" t="s">
        <v>9268</v>
      </c>
      <c r="I1975" t="s">
        <v>9276</v>
      </c>
      <c r="J1975" t="s">
        <v>9277</v>
      </c>
      <c r="K1975" t="s">
        <v>9278</v>
      </c>
      <c r="L1975" t="s">
        <v>9190</v>
      </c>
      <c r="M1975">
        <v>4.5530300587415702E-2</v>
      </c>
      <c r="N1975" t="s">
        <v>54</v>
      </c>
      <c r="O1975" t="s">
        <v>53</v>
      </c>
      <c r="P1975" t="s">
        <v>53</v>
      </c>
      <c r="Q1975" t="s">
        <v>53</v>
      </c>
      <c r="R1975" t="s">
        <v>53</v>
      </c>
      <c r="S1975" t="s">
        <v>9211</v>
      </c>
      <c r="T1975" t="s">
        <v>9469</v>
      </c>
      <c r="U1975" t="s">
        <v>53</v>
      </c>
      <c r="V1975" t="s">
        <v>51</v>
      </c>
      <c r="W1975">
        <v>623497</v>
      </c>
      <c r="X1975" t="s">
        <v>53</v>
      </c>
      <c r="Z1975">
        <v>0</v>
      </c>
      <c r="AA1975">
        <v>8</v>
      </c>
      <c r="AB1975">
        <v>8</v>
      </c>
      <c r="AC1975">
        <v>13</v>
      </c>
      <c r="AD1975">
        <v>51</v>
      </c>
      <c r="AE1975">
        <v>51</v>
      </c>
      <c r="AF1975">
        <v>0</v>
      </c>
      <c r="AG1975">
        <v>0</v>
      </c>
      <c r="AH1975">
        <v>0.38899999856948853</v>
      </c>
      <c r="AI1975">
        <v>3</v>
      </c>
      <c r="AJ1975">
        <v>0</v>
      </c>
      <c r="AK1975" t="s">
        <v>53</v>
      </c>
      <c r="AL1975" t="s">
        <v>54</v>
      </c>
      <c r="AQ1975" t="s">
        <v>54</v>
      </c>
      <c r="AT1975" t="s">
        <v>9310</v>
      </c>
      <c r="AW1975" t="s">
        <v>54</v>
      </c>
      <c r="AZ1975" t="s">
        <v>54</v>
      </c>
      <c r="BA1975" t="s">
        <v>9148</v>
      </c>
    </row>
    <row r="1976" spans="1:53" x14ac:dyDescent="0.25">
      <c r="A1976">
        <v>1971</v>
      </c>
      <c r="B1976" t="s">
        <v>9515</v>
      </c>
      <c r="C1976" t="s">
        <v>9516</v>
      </c>
      <c r="D1976" t="s">
        <v>9517</v>
      </c>
      <c r="E1976">
        <v>12</v>
      </c>
      <c r="F1976" t="s">
        <v>9138</v>
      </c>
      <c r="G1976" t="s">
        <v>9163</v>
      </c>
      <c r="H1976" t="s">
        <v>9268</v>
      </c>
      <c r="I1976" t="s">
        <v>9276</v>
      </c>
      <c r="J1976" t="s">
        <v>9314</v>
      </c>
      <c r="K1976" t="s">
        <v>9315</v>
      </c>
      <c r="L1976" t="s">
        <v>9190</v>
      </c>
      <c r="M1976">
        <v>0.54813098907470703</v>
      </c>
      <c r="N1976" t="s">
        <v>54</v>
      </c>
      <c r="O1976" t="s">
        <v>53</v>
      </c>
      <c r="P1976" t="s">
        <v>53</v>
      </c>
      <c r="Q1976" t="s">
        <v>53</v>
      </c>
      <c r="R1976" t="s">
        <v>53</v>
      </c>
      <c r="S1976" t="s">
        <v>9211</v>
      </c>
      <c r="T1976" t="s">
        <v>9255</v>
      </c>
      <c r="U1976" t="s">
        <v>54</v>
      </c>
      <c r="V1976" t="s">
        <v>51</v>
      </c>
      <c r="W1976">
        <v>44414312</v>
      </c>
      <c r="X1976" t="s">
        <v>53</v>
      </c>
      <c r="Z1976">
        <v>0</v>
      </c>
      <c r="AA1976">
        <v>62</v>
      </c>
      <c r="AB1976">
        <v>60</v>
      </c>
      <c r="AC1976">
        <v>88</v>
      </c>
      <c r="AD1976">
        <v>223</v>
      </c>
      <c r="AE1976">
        <v>223</v>
      </c>
      <c r="AF1976">
        <v>1</v>
      </c>
      <c r="AG1976">
        <v>1</v>
      </c>
      <c r="AH1976">
        <v>1.8999999761581421</v>
      </c>
      <c r="AI1976">
        <v>21</v>
      </c>
      <c r="AJ1976">
        <v>6.7382998764514923E-2</v>
      </c>
      <c r="AK1976" t="s">
        <v>53</v>
      </c>
      <c r="AL1976" t="s">
        <v>54</v>
      </c>
      <c r="AQ1976" t="s">
        <v>54</v>
      </c>
      <c r="AT1976" t="s">
        <v>9310</v>
      </c>
      <c r="AW1976" t="s">
        <v>54</v>
      </c>
      <c r="AZ1976" t="s">
        <v>54</v>
      </c>
      <c r="BA1976" t="s">
        <v>9148</v>
      </c>
    </row>
    <row r="1977" spans="1:53" x14ac:dyDescent="0.25">
      <c r="A1977">
        <v>1972</v>
      </c>
      <c r="B1977" t="s">
        <v>9518</v>
      </c>
      <c r="C1977" t="s">
        <v>9519</v>
      </c>
      <c r="D1977" t="s">
        <v>9520</v>
      </c>
      <c r="E1977">
        <v>12</v>
      </c>
      <c r="F1977" t="s">
        <v>9138</v>
      </c>
      <c r="G1977" t="s">
        <v>9163</v>
      </c>
      <c r="H1977" t="s">
        <v>9268</v>
      </c>
      <c r="I1977" t="s">
        <v>9276</v>
      </c>
      <c r="J1977" t="s">
        <v>9314</v>
      </c>
      <c r="K1977" t="s">
        <v>9315</v>
      </c>
      <c r="L1977" t="s">
        <v>9308</v>
      </c>
      <c r="M1977">
        <v>0.65611898899078369</v>
      </c>
      <c r="N1977" t="s">
        <v>54</v>
      </c>
      <c r="O1977" t="s">
        <v>53</v>
      </c>
      <c r="P1977" t="s">
        <v>53</v>
      </c>
      <c r="Q1977" t="s">
        <v>53</v>
      </c>
      <c r="R1977" t="s">
        <v>53</v>
      </c>
      <c r="S1977" t="s">
        <v>9211</v>
      </c>
      <c r="T1977" t="s">
        <v>9255</v>
      </c>
      <c r="U1977" t="s">
        <v>53</v>
      </c>
      <c r="V1977" t="s">
        <v>51</v>
      </c>
      <c r="W1977">
        <v>40552312</v>
      </c>
      <c r="X1977" t="s">
        <v>53</v>
      </c>
      <c r="Z1977">
        <v>0</v>
      </c>
      <c r="AA1977">
        <v>427</v>
      </c>
      <c r="AB1977">
        <v>361</v>
      </c>
      <c r="AC1977">
        <v>987</v>
      </c>
      <c r="AD1977">
        <v>1043</v>
      </c>
      <c r="AE1977">
        <v>1043</v>
      </c>
      <c r="AF1977">
        <v>0</v>
      </c>
      <c r="AG1977">
        <v>0</v>
      </c>
      <c r="AH1977">
        <v>8.3999996185302734</v>
      </c>
      <c r="AI1977">
        <v>29</v>
      </c>
      <c r="AJ1977">
        <v>0</v>
      </c>
      <c r="AK1977" t="s">
        <v>53</v>
      </c>
      <c r="AL1977" t="s">
        <v>54</v>
      </c>
      <c r="AQ1977" t="s">
        <v>54</v>
      </c>
      <c r="AT1977" t="s">
        <v>9310</v>
      </c>
      <c r="AW1977" t="s">
        <v>54</v>
      </c>
      <c r="AZ1977" t="s">
        <v>54</v>
      </c>
      <c r="BA1977" t="s">
        <v>9148</v>
      </c>
    </row>
    <row r="1978" spans="1:53" x14ac:dyDescent="0.25">
      <c r="A1978">
        <v>1973</v>
      </c>
      <c r="B1978" t="s">
        <v>9521</v>
      </c>
      <c r="C1978" t="s">
        <v>9522</v>
      </c>
      <c r="D1978" t="s">
        <v>9523</v>
      </c>
      <c r="E1978">
        <v>12</v>
      </c>
      <c r="F1978" t="s">
        <v>9138</v>
      </c>
      <c r="G1978" t="s">
        <v>9163</v>
      </c>
      <c r="H1978" t="s">
        <v>9268</v>
      </c>
      <c r="I1978" t="s">
        <v>9276</v>
      </c>
      <c r="J1978" t="s">
        <v>9314</v>
      </c>
      <c r="K1978" t="s">
        <v>9315</v>
      </c>
      <c r="L1978" t="s">
        <v>9308</v>
      </c>
      <c r="M1978">
        <v>0.51208400726318359</v>
      </c>
      <c r="N1978" t="s">
        <v>54</v>
      </c>
      <c r="O1978" t="s">
        <v>53</v>
      </c>
      <c r="P1978" t="s">
        <v>53</v>
      </c>
      <c r="Q1978" t="s">
        <v>53</v>
      </c>
      <c r="R1978" t="s">
        <v>53</v>
      </c>
      <c r="S1978" t="s">
        <v>9211</v>
      </c>
      <c r="T1978" t="s">
        <v>9255</v>
      </c>
      <c r="U1978" t="s">
        <v>54</v>
      </c>
      <c r="V1978" t="s">
        <v>51</v>
      </c>
      <c r="W1978">
        <v>14775612</v>
      </c>
      <c r="X1978" t="s">
        <v>53</v>
      </c>
      <c r="Z1978">
        <v>0</v>
      </c>
      <c r="AA1978">
        <v>259</v>
      </c>
      <c r="AB1978">
        <v>249</v>
      </c>
      <c r="AC1978">
        <v>228</v>
      </c>
      <c r="AD1978">
        <v>729</v>
      </c>
      <c r="AE1978">
        <v>729</v>
      </c>
      <c r="AF1978">
        <v>10</v>
      </c>
      <c r="AG1978">
        <v>0</v>
      </c>
      <c r="AH1978">
        <v>3.7000000476837158</v>
      </c>
      <c r="AI1978">
        <v>27</v>
      </c>
      <c r="AJ1978">
        <v>0.44479000568389893</v>
      </c>
      <c r="AK1978" t="s">
        <v>53</v>
      </c>
      <c r="AL1978" t="s">
        <v>54</v>
      </c>
      <c r="AQ1978" t="s">
        <v>54</v>
      </c>
      <c r="AT1978" t="s">
        <v>9310</v>
      </c>
      <c r="AW1978" t="s">
        <v>54</v>
      </c>
      <c r="AZ1978" t="s">
        <v>54</v>
      </c>
      <c r="BA1978" t="s">
        <v>9148</v>
      </c>
    </row>
    <row r="1979" spans="1:53" x14ac:dyDescent="0.25">
      <c r="A1979">
        <v>1974</v>
      </c>
      <c r="B1979" t="s">
        <v>9524</v>
      </c>
      <c r="C1979" t="s">
        <v>9525</v>
      </c>
      <c r="D1979" t="s">
        <v>9526</v>
      </c>
      <c r="E1979">
        <v>12</v>
      </c>
      <c r="F1979" t="s">
        <v>9138</v>
      </c>
      <c r="G1979" t="s">
        <v>9163</v>
      </c>
      <c r="H1979" t="s">
        <v>9268</v>
      </c>
      <c r="I1979" t="s">
        <v>9276</v>
      </c>
      <c r="J1979" t="s">
        <v>9314</v>
      </c>
      <c r="K1979" t="s">
        <v>9315</v>
      </c>
      <c r="L1979" t="s">
        <v>9190</v>
      </c>
      <c r="M1979">
        <v>0.35673299431800842</v>
      </c>
      <c r="N1979" t="s">
        <v>54</v>
      </c>
      <c r="O1979" t="s">
        <v>53</v>
      </c>
      <c r="P1979" t="s">
        <v>53</v>
      </c>
      <c r="Q1979" t="s">
        <v>53</v>
      </c>
      <c r="R1979" t="s">
        <v>53</v>
      </c>
      <c r="S1979" t="s">
        <v>9211</v>
      </c>
      <c r="T1979" t="s">
        <v>9255</v>
      </c>
      <c r="U1979" t="s">
        <v>54</v>
      </c>
      <c r="V1979" t="s">
        <v>51</v>
      </c>
      <c r="W1979">
        <v>65623976</v>
      </c>
      <c r="X1979" t="s">
        <v>53</v>
      </c>
      <c r="Z1979">
        <v>0</v>
      </c>
      <c r="AA1979">
        <v>237</v>
      </c>
      <c r="AB1979">
        <v>168</v>
      </c>
      <c r="AC1979">
        <v>295</v>
      </c>
      <c r="AD1979">
        <v>615</v>
      </c>
      <c r="AE1979">
        <v>615</v>
      </c>
      <c r="AF1979">
        <v>1</v>
      </c>
      <c r="AG1979">
        <v>0</v>
      </c>
      <c r="AH1979">
        <v>3.9000000953674321</v>
      </c>
      <c r="AI1979">
        <v>37</v>
      </c>
      <c r="AJ1979">
        <v>7.921300083398819E-2</v>
      </c>
      <c r="AK1979" t="s">
        <v>53</v>
      </c>
      <c r="AL1979" t="s">
        <v>54</v>
      </c>
      <c r="AQ1979" t="s">
        <v>54</v>
      </c>
      <c r="AT1979" t="s">
        <v>9310</v>
      </c>
      <c r="AW1979" t="s">
        <v>54</v>
      </c>
      <c r="AZ1979" t="s">
        <v>54</v>
      </c>
      <c r="BA1979" t="s">
        <v>9148</v>
      </c>
    </row>
    <row r="1980" spans="1:53" x14ac:dyDescent="0.25">
      <c r="A1980">
        <v>1975</v>
      </c>
      <c r="B1980" t="s">
        <v>9527</v>
      </c>
      <c r="C1980" t="s">
        <v>9528</v>
      </c>
      <c r="D1980" t="s">
        <v>9529</v>
      </c>
      <c r="E1980">
        <v>12</v>
      </c>
      <c r="F1980" t="s">
        <v>9138</v>
      </c>
      <c r="G1980" t="s">
        <v>9163</v>
      </c>
      <c r="H1980" t="s">
        <v>9268</v>
      </c>
      <c r="I1980" t="s">
        <v>9530</v>
      </c>
      <c r="J1980" t="s">
        <v>9531</v>
      </c>
      <c r="K1980" t="s">
        <v>9532</v>
      </c>
      <c r="L1980" t="s">
        <v>9308</v>
      </c>
      <c r="M1980">
        <v>0.35243099927902222</v>
      </c>
      <c r="N1980" t="s">
        <v>54</v>
      </c>
      <c r="O1980" t="s">
        <v>53</v>
      </c>
      <c r="P1980" t="s">
        <v>53</v>
      </c>
      <c r="Q1980" t="s">
        <v>53</v>
      </c>
      <c r="R1980" t="s">
        <v>53</v>
      </c>
      <c r="S1980" t="s">
        <v>9211</v>
      </c>
      <c r="T1980" t="s">
        <v>9255</v>
      </c>
      <c r="U1980" t="s">
        <v>54</v>
      </c>
      <c r="V1980" t="s">
        <v>51</v>
      </c>
      <c r="W1980">
        <v>28756432</v>
      </c>
      <c r="X1980" t="s">
        <v>53</v>
      </c>
      <c r="Z1980">
        <v>0</v>
      </c>
      <c r="AA1980">
        <v>85</v>
      </c>
      <c r="AB1980">
        <v>62</v>
      </c>
      <c r="AC1980">
        <v>553</v>
      </c>
      <c r="AD1980">
        <v>130</v>
      </c>
      <c r="AE1980">
        <v>553</v>
      </c>
      <c r="AF1980">
        <v>1</v>
      </c>
      <c r="AG1980">
        <v>0</v>
      </c>
      <c r="AH1980">
        <v>1.5</v>
      </c>
      <c r="AI1980">
        <v>11</v>
      </c>
      <c r="AJ1980">
        <v>0</v>
      </c>
      <c r="AK1980" t="s">
        <v>53</v>
      </c>
      <c r="AL1980" t="s">
        <v>54</v>
      </c>
      <c r="AQ1980" t="s">
        <v>54</v>
      </c>
      <c r="AT1980" t="s">
        <v>9310</v>
      </c>
      <c r="AW1980" t="s">
        <v>54</v>
      </c>
      <c r="AZ1980" t="s">
        <v>54</v>
      </c>
      <c r="BA1980" t="s">
        <v>9148</v>
      </c>
    </row>
    <row r="1981" spans="1:53" x14ac:dyDescent="0.25">
      <c r="A1981">
        <v>1976</v>
      </c>
      <c r="B1981" t="s">
        <v>9533</v>
      </c>
      <c r="C1981" t="s">
        <v>9534</v>
      </c>
      <c r="D1981" t="s">
        <v>9535</v>
      </c>
      <c r="E1981">
        <v>12</v>
      </c>
      <c r="F1981" t="s">
        <v>9138</v>
      </c>
      <c r="G1981" t="s">
        <v>9163</v>
      </c>
      <c r="H1981" t="s">
        <v>9268</v>
      </c>
      <c r="I1981" t="s">
        <v>9276</v>
      </c>
      <c r="J1981" t="s">
        <v>9314</v>
      </c>
      <c r="K1981" t="s">
        <v>9315</v>
      </c>
      <c r="L1981" t="s">
        <v>9190</v>
      </c>
      <c r="M1981">
        <v>0.1076399981975555</v>
      </c>
      <c r="N1981" t="s">
        <v>54</v>
      </c>
      <c r="O1981" t="s">
        <v>53</v>
      </c>
      <c r="P1981" t="s">
        <v>53</v>
      </c>
      <c r="Q1981" t="s">
        <v>53</v>
      </c>
      <c r="R1981" t="s">
        <v>53</v>
      </c>
      <c r="S1981" t="s">
        <v>9211</v>
      </c>
      <c r="T1981" t="s">
        <v>9255</v>
      </c>
      <c r="U1981" t="s">
        <v>53</v>
      </c>
      <c r="V1981" t="s">
        <v>51</v>
      </c>
      <c r="W1981">
        <v>11852902</v>
      </c>
      <c r="X1981" t="s">
        <v>53</v>
      </c>
      <c r="Z1981">
        <v>0</v>
      </c>
      <c r="AA1981">
        <v>33</v>
      </c>
      <c r="AB1981">
        <v>13</v>
      </c>
      <c r="AC1981">
        <v>275</v>
      </c>
      <c r="AD1981">
        <v>28</v>
      </c>
      <c r="AE1981">
        <v>275</v>
      </c>
      <c r="AF1981">
        <v>0</v>
      </c>
      <c r="AG1981">
        <v>0</v>
      </c>
      <c r="AH1981">
        <v>1.419999957084656</v>
      </c>
      <c r="AI1981">
        <v>14</v>
      </c>
      <c r="AJ1981">
        <v>0</v>
      </c>
      <c r="AK1981" t="s">
        <v>53</v>
      </c>
      <c r="AL1981" t="s">
        <v>54</v>
      </c>
      <c r="AQ1981" t="s">
        <v>54</v>
      </c>
      <c r="AT1981" t="s">
        <v>9310</v>
      </c>
      <c r="AW1981" t="s">
        <v>54</v>
      </c>
      <c r="AZ1981" t="s">
        <v>54</v>
      </c>
      <c r="BA1981" t="s">
        <v>9148</v>
      </c>
    </row>
    <row r="1982" spans="1:53" x14ac:dyDescent="0.25">
      <c r="A1982">
        <v>1977</v>
      </c>
      <c r="B1982" t="s">
        <v>9536</v>
      </c>
      <c r="C1982" t="s">
        <v>9537</v>
      </c>
      <c r="D1982" t="s">
        <v>9538</v>
      </c>
      <c r="E1982">
        <v>12</v>
      </c>
      <c r="F1982" t="s">
        <v>9138</v>
      </c>
      <c r="G1982" t="s">
        <v>9163</v>
      </c>
      <c r="H1982" t="s">
        <v>9268</v>
      </c>
      <c r="I1982" t="s">
        <v>9276</v>
      </c>
      <c r="J1982" t="s">
        <v>9314</v>
      </c>
      <c r="K1982" t="s">
        <v>9315</v>
      </c>
      <c r="L1982" t="s">
        <v>9190</v>
      </c>
      <c r="M1982">
        <v>0.25501900911331182</v>
      </c>
      <c r="N1982" t="s">
        <v>54</v>
      </c>
      <c r="O1982" t="s">
        <v>53</v>
      </c>
      <c r="P1982" t="s">
        <v>53</v>
      </c>
      <c r="Q1982" t="s">
        <v>53</v>
      </c>
      <c r="R1982" t="s">
        <v>53</v>
      </c>
      <c r="S1982" t="s">
        <v>9211</v>
      </c>
      <c r="T1982" t="s">
        <v>9255</v>
      </c>
      <c r="U1982" t="s">
        <v>53</v>
      </c>
      <c r="V1982" t="s">
        <v>51</v>
      </c>
      <c r="W1982">
        <v>66565784</v>
      </c>
      <c r="X1982" t="s">
        <v>53</v>
      </c>
      <c r="Z1982">
        <v>0</v>
      </c>
      <c r="AA1982">
        <v>202</v>
      </c>
      <c r="AB1982">
        <v>192</v>
      </c>
      <c r="AC1982">
        <v>294</v>
      </c>
      <c r="AD1982">
        <v>593</v>
      </c>
      <c r="AE1982">
        <v>593</v>
      </c>
      <c r="AF1982">
        <v>0</v>
      </c>
      <c r="AG1982">
        <v>0</v>
      </c>
      <c r="AH1982">
        <v>2.7300000190734859</v>
      </c>
      <c r="AI1982">
        <v>26</v>
      </c>
      <c r="AJ1982">
        <v>0</v>
      </c>
      <c r="AK1982" t="s">
        <v>53</v>
      </c>
      <c r="AL1982" t="s">
        <v>54</v>
      </c>
      <c r="AQ1982" t="s">
        <v>54</v>
      </c>
      <c r="AT1982" t="s">
        <v>9310</v>
      </c>
      <c r="AW1982" t="s">
        <v>54</v>
      </c>
      <c r="AZ1982" t="s">
        <v>54</v>
      </c>
      <c r="BA1982" t="s">
        <v>9148</v>
      </c>
    </row>
    <row r="1983" spans="1:53" x14ac:dyDescent="0.25">
      <c r="A1983">
        <v>1978</v>
      </c>
      <c r="B1983" t="s">
        <v>9539</v>
      </c>
      <c r="C1983" t="s">
        <v>9540</v>
      </c>
      <c r="D1983" t="s">
        <v>9541</v>
      </c>
      <c r="E1983">
        <v>12</v>
      </c>
      <c r="F1983" t="s">
        <v>9138</v>
      </c>
      <c r="G1983" t="s">
        <v>9163</v>
      </c>
      <c r="H1983" t="s">
        <v>9268</v>
      </c>
      <c r="I1983" t="s">
        <v>9276</v>
      </c>
      <c r="J1983" t="s">
        <v>9277</v>
      </c>
      <c r="K1983" t="s">
        <v>9278</v>
      </c>
      <c r="L1983" t="s">
        <v>9190</v>
      </c>
      <c r="M1983">
        <v>0.87560200691223145</v>
      </c>
      <c r="N1983" t="s">
        <v>54</v>
      </c>
      <c r="O1983" t="s">
        <v>53</v>
      </c>
      <c r="P1983" t="s">
        <v>53</v>
      </c>
      <c r="Q1983" t="s">
        <v>53</v>
      </c>
      <c r="R1983" t="s">
        <v>53</v>
      </c>
      <c r="S1983" t="s">
        <v>9211</v>
      </c>
      <c r="T1983" t="s">
        <v>9542</v>
      </c>
      <c r="U1983" t="s">
        <v>53</v>
      </c>
      <c r="V1983" t="s">
        <v>51</v>
      </c>
      <c r="W1983">
        <v>55615580</v>
      </c>
      <c r="X1983" t="s">
        <v>53</v>
      </c>
      <c r="Z1983">
        <v>0</v>
      </c>
      <c r="AA1983">
        <v>127</v>
      </c>
      <c r="AB1983">
        <v>70</v>
      </c>
      <c r="AC1983">
        <v>1413</v>
      </c>
      <c r="AD1983">
        <v>298</v>
      </c>
      <c r="AE1983">
        <v>1413</v>
      </c>
      <c r="AF1983">
        <v>0</v>
      </c>
      <c r="AG1983">
        <v>0</v>
      </c>
      <c r="AH1983">
        <v>5.4000000953674316</v>
      </c>
      <c r="AI1983">
        <v>44</v>
      </c>
      <c r="AJ1983">
        <v>0</v>
      </c>
      <c r="AK1983" t="s">
        <v>53</v>
      </c>
      <c r="AL1983" t="s">
        <v>54</v>
      </c>
      <c r="AQ1983" t="s">
        <v>54</v>
      </c>
      <c r="AT1983" t="s">
        <v>9310</v>
      </c>
      <c r="AW1983" t="s">
        <v>54</v>
      </c>
      <c r="AZ1983" t="s">
        <v>54</v>
      </c>
      <c r="BA1983" t="s">
        <v>9148</v>
      </c>
    </row>
    <row r="1984" spans="1:53" x14ac:dyDescent="0.25">
      <c r="A1984">
        <v>1979</v>
      </c>
      <c r="B1984" t="s">
        <v>9543</v>
      </c>
      <c r="C1984" t="s">
        <v>9544</v>
      </c>
      <c r="D1984" t="s">
        <v>9545</v>
      </c>
      <c r="E1984">
        <v>12</v>
      </c>
      <c r="F1984" t="s">
        <v>9138</v>
      </c>
      <c r="G1984" t="s">
        <v>9163</v>
      </c>
      <c r="H1984" t="s">
        <v>9268</v>
      </c>
      <c r="I1984" t="s">
        <v>9276</v>
      </c>
      <c r="J1984" t="s">
        <v>9504</v>
      </c>
      <c r="K1984" t="s">
        <v>9505</v>
      </c>
      <c r="L1984" t="s">
        <v>9360</v>
      </c>
      <c r="M1984">
        <v>0.55618900060653687</v>
      </c>
      <c r="N1984" t="s">
        <v>54</v>
      </c>
      <c r="O1984" t="s">
        <v>53</v>
      </c>
      <c r="P1984" t="s">
        <v>53</v>
      </c>
      <c r="Q1984" t="s">
        <v>53</v>
      </c>
      <c r="R1984" t="s">
        <v>53</v>
      </c>
      <c r="S1984" t="s">
        <v>9211</v>
      </c>
      <c r="T1984" t="s">
        <v>9469</v>
      </c>
      <c r="U1984" t="s">
        <v>54</v>
      </c>
      <c r="V1984" t="s">
        <v>138</v>
      </c>
      <c r="W1984">
        <v>20127908</v>
      </c>
      <c r="X1984" t="s">
        <v>53</v>
      </c>
      <c r="Z1984">
        <v>0</v>
      </c>
      <c r="AA1984">
        <v>0</v>
      </c>
      <c r="AB1984">
        <v>0</v>
      </c>
      <c r="AC1984">
        <v>0</v>
      </c>
      <c r="AD1984">
        <v>0</v>
      </c>
      <c r="AE1984">
        <v>0</v>
      </c>
      <c r="AF1984">
        <v>0</v>
      </c>
      <c r="AG1984">
        <v>0</v>
      </c>
      <c r="AH1984">
        <v>0.15000000596046451</v>
      </c>
      <c r="AI1984">
        <v>1</v>
      </c>
      <c r="AJ1984">
        <v>0</v>
      </c>
      <c r="AK1984" t="s">
        <v>53</v>
      </c>
      <c r="AL1984" t="s">
        <v>54</v>
      </c>
      <c r="AQ1984" t="s">
        <v>54</v>
      </c>
      <c r="AT1984" t="s">
        <v>9310</v>
      </c>
      <c r="AW1984" t="s">
        <v>54</v>
      </c>
      <c r="AZ1984" t="s">
        <v>54</v>
      </c>
      <c r="BA1984" t="s">
        <v>9148</v>
      </c>
    </row>
    <row r="1985" spans="1:53" x14ac:dyDescent="0.25">
      <c r="A1985">
        <v>1980</v>
      </c>
      <c r="B1985" t="s">
        <v>9546</v>
      </c>
      <c r="C1985" t="s">
        <v>9547</v>
      </c>
      <c r="D1985" t="s">
        <v>9548</v>
      </c>
      <c r="E1985">
        <v>12</v>
      </c>
      <c r="F1985" t="s">
        <v>9138</v>
      </c>
      <c r="G1985" t="s">
        <v>9163</v>
      </c>
      <c r="H1985" t="s">
        <v>9268</v>
      </c>
      <c r="I1985" t="s">
        <v>9276</v>
      </c>
      <c r="J1985" t="s">
        <v>9504</v>
      </c>
      <c r="K1985" t="s">
        <v>9505</v>
      </c>
      <c r="L1985" t="s">
        <v>9190</v>
      </c>
      <c r="M1985">
        <v>0.25598400831222529</v>
      </c>
      <c r="N1985" t="s">
        <v>54</v>
      </c>
      <c r="O1985" t="s">
        <v>53</v>
      </c>
      <c r="P1985" t="s">
        <v>53</v>
      </c>
      <c r="Q1985" t="s">
        <v>53</v>
      </c>
      <c r="R1985" t="s">
        <v>53</v>
      </c>
      <c r="S1985" t="s">
        <v>9211</v>
      </c>
      <c r="T1985" t="s">
        <v>9255</v>
      </c>
      <c r="U1985" t="s">
        <v>54</v>
      </c>
      <c r="V1985" t="s">
        <v>51</v>
      </c>
      <c r="W1985">
        <v>6041898</v>
      </c>
      <c r="X1985" t="s">
        <v>53</v>
      </c>
      <c r="Z1985">
        <v>0</v>
      </c>
      <c r="AA1985">
        <v>54</v>
      </c>
      <c r="AB1985">
        <v>54</v>
      </c>
      <c r="AC1985">
        <v>39</v>
      </c>
      <c r="AD1985">
        <v>139</v>
      </c>
      <c r="AE1985">
        <v>139</v>
      </c>
      <c r="AF1985">
        <v>0</v>
      </c>
      <c r="AG1985">
        <v>1</v>
      </c>
      <c r="AH1985">
        <v>1.139999985694885</v>
      </c>
      <c r="AI1985">
        <v>8</v>
      </c>
      <c r="AJ1985">
        <v>0</v>
      </c>
      <c r="AK1985" t="s">
        <v>53</v>
      </c>
      <c r="AL1985" t="s">
        <v>54</v>
      </c>
      <c r="AQ1985" t="s">
        <v>54</v>
      </c>
      <c r="AT1985" t="s">
        <v>9310</v>
      </c>
      <c r="AW1985" t="s">
        <v>54</v>
      </c>
      <c r="AZ1985" t="s">
        <v>54</v>
      </c>
      <c r="BA1985" t="s">
        <v>9148</v>
      </c>
    </row>
    <row r="1986" spans="1:53" x14ac:dyDescent="0.25">
      <c r="A1986">
        <v>1981</v>
      </c>
      <c r="B1986" t="s">
        <v>9549</v>
      </c>
      <c r="C1986" t="s">
        <v>9550</v>
      </c>
      <c r="D1986" t="s">
        <v>9551</v>
      </c>
      <c r="E1986">
        <v>12</v>
      </c>
      <c r="F1986" t="s">
        <v>9138</v>
      </c>
      <c r="G1986" t="s">
        <v>413</v>
      </c>
      <c r="H1986" t="s">
        <v>9152</v>
      </c>
      <c r="I1986" t="s">
        <v>9153</v>
      </c>
      <c r="J1986" t="s">
        <v>9154</v>
      </c>
      <c r="K1986" t="s">
        <v>9155</v>
      </c>
      <c r="L1986" t="s">
        <v>9190</v>
      </c>
      <c r="M1986">
        <v>9.2320501804351807E-2</v>
      </c>
      <c r="N1986" t="s">
        <v>54</v>
      </c>
      <c r="O1986" t="s">
        <v>53</v>
      </c>
      <c r="P1986" t="s">
        <v>53</v>
      </c>
      <c r="Q1986" t="s">
        <v>53</v>
      </c>
      <c r="R1986" t="s">
        <v>53</v>
      </c>
      <c r="S1986" t="s">
        <v>415</v>
      </c>
      <c r="T1986" t="s">
        <v>9169</v>
      </c>
      <c r="U1986" t="s">
        <v>53</v>
      </c>
      <c r="V1986" t="s">
        <v>51</v>
      </c>
      <c r="W1986">
        <v>100000</v>
      </c>
      <c r="X1986" t="s">
        <v>53</v>
      </c>
      <c r="Z1986">
        <v>0</v>
      </c>
      <c r="AA1986">
        <v>0</v>
      </c>
      <c r="AB1986">
        <v>0</v>
      </c>
      <c r="AC1986">
        <v>0</v>
      </c>
      <c r="AD1986">
        <v>0</v>
      </c>
      <c r="AE1986">
        <v>0</v>
      </c>
      <c r="AF1986">
        <v>0</v>
      </c>
      <c r="AG1986">
        <v>0</v>
      </c>
      <c r="AH1986">
        <v>3.9999999105930328E-2</v>
      </c>
      <c r="AI1986">
        <v>1</v>
      </c>
      <c r="AJ1986">
        <v>0</v>
      </c>
      <c r="AK1986" t="s">
        <v>54</v>
      </c>
      <c r="AL1986" t="s">
        <v>53</v>
      </c>
      <c r="AQ1986" t="s">
        <v>53</v>
      </c>
      <c r="AT1986" t="s">
        <v>9552</v>
      </c>
      <c r="AW1986" t="s">
        <v>53</v>
      </c>
      <c r="AZ1986" t="s">
        <v>54</v>
      </c>
      <c r="BA1986" t="s">
        <v>9148</v>
      </c>
    </row>
    <row r="1987" spans="1:53" x14ac:dyDescent="0.25">
      <c r="A1987">
        <v>1982</v>
      </c>
      <c r="B1987" t="s">
        <v>9553</v>
      </c>
      <c r="C1987" t="s">
        <v>9554</v>
      </c>
      <c r="D1987" t="s">
        <v>9555</v>
      </c>
      <c r="E1987">
        <v>12</v>
      </c>
      <c r="F1987" t="s">
        <v>9138</v>
      </c>
      <c r="G1987" t="s">
        <v>9556</v>
      </c>
      <c r="H1987" t="s">
        <v>9152</v>
      </c>
      <c r="I1987" t="s">
        <v>9153</v>
      </c>
      <c r="J1987" t="s">
        <v>9557</v>
      </c>
      <c r="K1987" t="s">
        <v>9558</v>
      </c>
      <c r="L1987" t="s">
        <v>9190</v>
      </c>
      <c r="M1987">
        <v>1.0312300175428391E-2</v>
      </c>
      <c r="N1987" t="s">
        <v>54</v>
      </c>
      <c r="O1987" t="s">
        <v>53</v>
      </c>
      <c r="P1987" t="s">
        <v>53</v>
      </c>
      <c r="Q1987" t="s">
        <v>53</v>
      </c>
      <c r="R1987" t="s">
        <v>53</v>
      </c>
      <c r="S1987" t="s">
        <v>415</v>
      </c>
      <c r="T1987" t="s">
        <v>9559</v>
      </c>
      <c r="U1987" t="s">
        <v>54</v>
      </c>
      <c r="V1987" t="s">
        <v>51</v>
      </c>
      <c r="W1987">
        <v>100000</v>
      </c>
      <c r="X1987" t="s">
        <v>53</v>
      </c>
      <c r="Z1987">
        <v>0</v>
      </c>
      <c r="AA1987">
        <v>0</v>
      </c>
      <c r="AB1987">
        <v>0</v>
      </c>
      <c r="AC1987">
        <v>0</v>
      </c>
      <c r="AD1987">
        <v>0</v>
      </c>
      <c r="AE1987">
        <v>0</v>
      </c>
      <c r="AF1987">
        <v>0</v>
      </c>
      <c r="AG1987">
        <v>1</v>
      </c>
      <c r="AH1987">
        <v>0.11599999666213991</v>
      </c>
      <c r="AI1987">
        <v>1</v>
      </c>
      <c r="AJ1987">
        <v>0.25911799073219299</v>
      </c>
      <c r="AK1987" t="s">
        <v>54</v>
      </c>
      <c r="AL1987" t="s">
        <v>53</v>
      </c>
      <c r="AQ1987" t="s">
        <v>53</v>
      </c>
      <c r="AT1987" t="s">
        <v>9552</v>
      </c>
      <c r="AW1987" t="s">
        <v>53</v>
      </c>
      <c r="AZ1987" t="s">
        <v>54</v>
      </c>
      <c r="BA1987" t="s">
        <v>9148</v>
      </c>
    </row>
    <row r="1988" spans="1:53" x14ac:dyDescent="0.25">
      <c r="A1988">
        <v>1983</v>
      </c>
      <c r="B1988" t="s">
        <v>9560</v>
      </c>
      <c r="C1988" t="s">
        <v>9561</v>
      </c>
      <c r="D1988" t="s">
        <v>9562</v>
      </c>
      <c r="E1988">
        <v>12</v>
      </c>
      <c r="F1988" t="s">
        <v>9138</v>
      </c>
      <c r="G1988" t="s">
        <v>9163</v>
      </c>
      <c r="H1988" t="s">
        <v>9268</v>
      </c>
      <c r="I1988" t="s">
        <v>9276</v>
      </c>
      <c r="J1988" t="s">
        <v>9504</v>
      </c>
      <c r="K1988" t="s">
        <v>9505</v>
      </c>
      <c r="L1988" t="s">
        <v>9190</v>
      </c>
      <c r="M1988">
        <v>0.15338799357414251</v>
      </c>
      <c r="N1988" t="s">
        <v>54</v>
      </c>
      <c r="O1988" t="s">
        <v>53</v>
      </c>
      <c r="P1988" t="s">
        <v>53</v>
      </c>
      <c r="Q1988" t="s">
        <v>53</v>
      </c>
      <c r="R1988" t="s">
        <v>53</v>
      </c>
      <c r="S1988" t="s">
        <v>9211</v>
      </c>
      <c r="T1988" t="s">
        <v>9255</v>
      </c>
      <c r="U1988" t="s">
        <v>54</v>
      </c>
      <c r="V1988" t="s">
        <v>138</v>
      </c>
      <c r="W1988">
        <v>150000</v>
      </c>
      <c r="X1988" t="s">
        <v>53</v>
      </c>
      <c r="Z1988">
        <v>0</v>
      </c>
      <c r="AA1988">
        <v>123</v>
      </c>
      <c r="AB1988">
        <v>111</v>
      </c>
      <c r="AC1988">
        <v>77</v>
      </c>
      <c r="AD1988">
        <v>297</v>
      </c>
      <c r="AE1988">
        <v>297</v>
      </c>
      <c r="AF1988">
        <v>2</v>
      </c>
      <c r="AG1988">
        <v>0</v>
      </c>
      <c r="AH1988">
        <v>0.77999997138977051</v>
      </c>
      <c r="AI1988">
        <v>10</v>
      </c>
      <c r="AJ1988">
        <v>0</v>
      </c>
      <c r="AK1988" t="s">
        <v>54</v>
      </c>
      <c r="AL1988" t="s">
        <v>54</v>
      </c>
      <c r="AQ1988" t="s">
        <v>54</v>
      </c>
      <c r="AT1988" t="s">
        <v>9310</v>
      </c>
      <c r="AW1988" t="s">
        <v>54</v>
      </c>
      <c r="AZ1988" t="s">
        <v>54</v>
      </c>
      <c r="BA1988" t="s">
        <v>9148</v>
      </c>
    </row>
    <row r="1989" spans="1:53" x14ac:dyDescent="0.25">
      <c r="A1989">
        <v>1984</v>
      </c>
      <c r="B1989" t="s">
        <v>9563</v>
      </c>
      <c r="C1989" t="s">
        <v>9564</v>
      </c>
      <c r="D1989" t="s">
        <v>9565</v>
      </c>
      <c r="E1989">
        <v>12</v>
      </c>
      <c r="F1989" t="s">
        <v>9138</v>
      </c>
      <c r="G1989" t="s">
        <v>9179</v>
      </c>
      <c r="H1989" t="s">
        <v>9152</v>
      </c>
      <c r="I1989" t="s">
        <v>9235</v>
      </c>
      <c r="J1989" t="s">
        <v>9566</v>
      </c>
      <c r="K1989" t="s">
        <v>9567</v>
      </c>
      <c r="L1989" t="s">
        <v>9156</v>
      </c>
      <c r="M1989">
        <v>4.4851001352071762E-2</v>
      </c>
      <c r="N1989" t="s">
        <v>54</v>
      </c>
      <c r="O1989" t="s">
        <v>53</v>
      </c>
      <c r="P1989" t="s">
        <v>53</v>
      </c>
      <c r="Q1989" t="s">
        <v>53</v>
      </c>
      <c r="R1989" t="s">
        <v>53</v>
      </c>
      <c r="S1989" t="s">
        <v>8626</v>
      </c>
      <c r="T1989" t="s">
        <v>9568</v>
      </c>
      <c r="U1989" t="s">
        <v>54</v>
      </c>
      <c r="V1989" t="s">
        <v>51</v>
      </c>
      <c r="W1989">
        <v>5177276</v>
      </c>
      <c r="X1989" t="s">
        <v>53</v>
      </c>
      <c r="Z1989">
        <v>0</v>
      </c>
      <c r="AA1989">
        <v>0</v>
      </c>
      <c r="AB1989">
        <v>0</v>
      </c>
      <c r="AC1989">
        <v>0</v>
      </c>
      <c r="AD1989">
        <v>0</v>
      </c>
      <c r="AE1989">
        <v>0</v>
      </c>
      <c r="AF1989">
        <v>0</v>
      </c>
      <c r="AG1989">
        <v>2</v>
      </c>
      <c r="AH1989">
        <v>0.69999998807907104</v>
      </c>
      <c r="AI1989">
        <v>1</v>
      </c>
      <c r="AJ1989">
        <v>0.1408060044050217</v>
      </c>
      <c r="AK1989" t="s">
        <v>53</v>
      </c>
      <c r="AL1989" t="s">
        <v>54</v>
      </c>
      <c r="AQ1989" t="s">
        <v>54</v>
      </c>
      <c r="AT1989" t="s">
        <v>9569</v>
      </c>
      <c r="AW1989" t="s">
        <v>53</v>
      </c>
      <c r="AZ1989" t="s">
        <v>54</v>
      </c>
      <c r="BA1989" t="s">
        <v>9148</v>
      </c>
    </row>
    <row r="1990" spans="1:53" x14ac:dyDescent="0.25">
      <c r="A1990">
        <v>1985</v>
      </c>
      <c r="B1990" t="s">
        <v>9570</v>
      </c>
      <c r="C1990" t="s">
        <v>9571</v>
      </c>
      <c r="D1990" t="s">
        <v>9572</v>
      </c>
      <c r="E1990">
        <v>12</v>
      </c>
      <c r="F1990" t="s">
        <v>9138</v>
      </c>
      <c r="G1990" t="s">
        <v>9061</v>
      </c>
      <c r="H1990" t="s">
        <v>9140</v>
      </c>
      <c r="I1990" t="s">
        <v>9354</v>
      </c>
      <c r="J1990" t="s">
        <v>9355</v>
      </c>
      <c r="K1990" t="s">
        <v>9356</v>
      </c>
      <c r="L1990" t="s">
        <v>9180</v>
      </c>
      <c r="M1990">
        <v>3.1811399459838872</v>
      </c>
      <c r="N1990" t="s">
        <v>54</v>
      </c>
      <c r="O1990" t="s">
        <v>53</v>
      </c>
      <c r="P1990" t="s">
        <v>54</v>
      </c>
      <c r="Q1990" t="s">
        <v>53</v>
      </c>
      <c r="R1990" t="s">
        <v>53</v>
      </c>
      <c r="S1990" t="s">
        <v>9201</v>
      </c>
      <c r="T1990" t="s">
        <v>9202</v>
      </c>
      <c r="U1990" t="s">
        <v>54</v>
      </c>
      <c r="V1990" t="s">
        <v>162</v>
      </c>
      <c r="W1990">
        <v>250000</v>
      </c>
      <c r="X1990" t="s">
        <v>53</v>
      </c>
      <c r="Z1990">
        <v>0</v>
      </c>
      <c r="AA1990">
        <v>69</v>
      </c>
      <c r="AB1990">
        <v>50</v>
      </c>
      <c r="AC1990">
        <v>100</v>
      </c>
      <c r="AD1990">
        <v>50</v>
      </c>
      <c r="AE1990">
        <v>150</v>
      </c>
      <c r="AF1990">
        <v>0</v>
      </c>
      <c r="AG1990">
        <v>6</v>
      </c>
      <c r="AH1990">
        <v>1.549999952316284</v>
      </c>
      <c r="AI1990">
        <v>25</v>
      </c>
      <c r="AJ1990">
        <v>11.58290004730225</v>
      </c>
      <c r="AK1990" t="s">
        <v>53</v>
      </c>
      <c r="AL1990" t="s">
        <v>53</v>
      </c>
      <c r="AQ1990" t="s">
        <v>53</v>
      </c>
      <c r="AT1990" t="s">
        <v>9147</v>
      </c>
      <c r="AW1990" t="s">
        <v>8390</v>
      </c>
      <c r="AZ1990" t="s">
        <v>54</v>
      </c>
      <c r="BA1990" t="s">
        <v>9148</v>
      </c>
    </row>
    <row r="1991" spans="1:53" x14ac:dyDescent="0.25">
      <c r="A1991">
        <v>1986</v>
      </c>
      <c r="B1991" t="s">
        <v>9573</v>
      </c>
      <c r="C1991" t="s">
        <v>9574</v>
      </c>
      <c r="D1991" t="s">
        <v>9575</v>
      </c>
      <c r="E1991">
        <v>12</v>
      </c>
      <c r="F1991" t="s">
        <v>9138</v>
      </c>
      <c r="G1991" t="s">
        <v>9163</v>
      </c>
      <c r="H1991" t="s">
        <v>9268</v>
      </c>
      <c r="I1991" t="s">
        <v>9269</v>
      </c>
      <c r="J1991" t="s">
        <v>9576</v>
      </c>
      <c r="K1991" t="s">
        <v>9577</v>
      </c>
      <c r="L1991" t="s">
        <v>9190</v>
      </c>
      <c r="M1991">
        <v>0.1181600019335747</v>
      </c>
      <c r="N1991" t="s">
        <v>54</v>
      </c>
      <c r="O1991" t="s">
        <v>53</v>
      </c>
      <c r="P1991" t="s">
        <v>53</v>
      </c>
      <c r="Q1991" t="s">
        <v>53</v>
      </c>
      <c r="R1991" t="s">
        <v>53</v>
      </c>
      <c r="S1991" t="s">
        <v>9211</v>
      </c>
      <c r="T1991" t="s">
        <v>9469</v>
      </c>
      <c r="U1991" t="s">
        <v>54</v>
      </c>
      <c r="V1991" t="s">
        <v>51</v>
      </c>
      <c r="W1991">
        <v>10973440</v>
      </c>
      <c r="X1991" t="s">
        <v>53</v>
      </c>
      <c r="Z1991">
        <v>0</v>
      </c>
      <c r="AA1991">
        <v>64</v>
      </c>
      <c r="AB1991">
        <v>63</v>
      </c>
      <c r="AC1991">
        <v>61</v>
      </c>
      <c r="AD1991">
        <v>181</v>
      </c>
      <c r="AE1991">
        <v>181</v>
      </c>
      <c r="AF1991">
        <v>0</v>
      </c>
      <c r="AG1991">
        <v>1</v>
      </c>
      <c r="AH1991">
        <v>0.87999999523162842</v>
      </c>
      <c r="AI1991">
        <v>6</v>
      </c>
      <c r="AJ1991">
        <v>0</v>
      </c>
      <c r="AK1991" t="s">
        <v>54</v>
      </c>
      <c r="AL1991" t="s">
        <v>53</v>
      </c>
      <c r="AQ1991" t="s">
        <v>53</v>
      </c>
      <c r="AT1991" t="s">
        <v>9280</v>
      </c>
      <c r="AW1991" t="s">
        <v>54</v>
      </c>
      <c r="AZ1991" t="s">
        <v>54</v>
      </c>
      <c r="BA1991" t="s">
        <v>9148</v>
      </c>
    </row>
    <row r="1992" spans="1:53" x14ac:dyDescent="0.25">
      <c r="A1992">
        <v>1987</v>
      </c>
      <c r="B1992" t="s">
        <v>9578</v>
      </c>
      <c r="C1992" t="s">
        <v>9579</v>
      </c>
      <c r="D1992" t="s">
        <v>9580</v>
      </c>
      <c r="E1992">
        <v>12</v>
      </c>
      <c r="F1992" t="s">
        <v>9138</v>
      </c>
      <c r="G1992" t="s">
        <v>9061</v>
      </c>
      <c r="H1992" t="s">
        <v>9152</v>
      </c>
      <c r="I1992" t="s">
        <v>9217</v>
      </c>
      <c r="J1992" t="s">
        <v>9218</v>
      </c>
      <c r="K1992" t="s">
        <v>9219</v>
      </c>
      <c r="L1992" t="s">
        <v>9246</v>
      </c>
      <c r="M1992">
        <v>1.682929992675781</v>
      </c>
      <c r="N1992" t="s">
        <v>54</v>
      </c>
      <c r="O1992" t="s">
        <v>53</v>
      </c>
      <c r="P1992" t="s">
        <v>54</v>
      </c>
      <c r="Q1992" t="s">
        <v>53</v>
      </c>
      <c r="R1992" t="s">
        <v>53</v>
      </c>
      <c r="S1992" t="s">
        <v>9220</v>
      </c>
      <c r="T1992" t="s">
        <v>9221</v>
      </c>
      <c r="U1992" t="s">
        <v>54</v>
      </c>
      <c r="V1992" t="s">
        <v>51</v>
      </c>
      <c r="W1992">
        <v>2073414</v>
      </c>
      <c r="X1992" t="s">
        <v>53</v>
      </c>
      <c r="Z1992">
        <v>0</v>
      </c>
      <c r="AA1992">
        <v>73</v>
      </c>
      <c r="AB1992">
        <v>44</v>
      </c>
      <c r="AC1992">
        <v>102</v>
      </c>
      <c r="AD1992">
        <v>45</v>
      </c>
      <c r="AE1992">
        <v>102</v>
      </c>
      <c r="AF1992">
        <v>0</v>
      </c>
      <c r="AG1992">
        <v>7</v>
      </c>
      <c r="AH1992">
        <v>1.75</v>
      </c>
      <c r="AI1992">
        <v>22</v>
      </c>
      <c r="AJ1992">
        <v>3.1808099746704102</v>
      </c>
      <c r="AK1992" t="s">
        <v>54</v>
      </c>
      <c r="AL1992" t="s">
        <v>53</v>
      </c>
      <c r="AQ1992" t="s">
        <v>53</v>
      </c>
      <c r="AT1992" t="s">
        <v>9147</v>
      </c>
      <c r="AW1992" t="s">
        <v>8390</v>
      </c>
      <c r="AZ1992" t="s">
        <v>54</v>
      </c>
      <c r="BA1992" t="s">
        <v>9148</v>
      </c>
    </row>
    <row r="1993" spans="1:53" x14ac:dyDescent="0.25">
      <c r="A1993">
        <v>1988</v>
      </c>
      <c r="B1993" t="s">
        <v>9581</v>
      </c>
      <c r="C1993" t="s">
        <v>9582</v>
      </c>
      <c r="D1993" t="s">
        <v>9583</v>
      </c>
      <c r="E1993">
        <v>12</v>
      </c>
      <c r="F1993" t="s">
        <v>9138</v>
      </c>
      <c r="G1993" t="s">
        <v>9163</v>
      </c>
      <c r="H1993" t="s">
        <v>9152</v>
      </c>
      <c r="I1993" t="s">
        <v>9235</v>
      </c>
      <c r="J1993" t="s">
        <v>9584</v>
      </c>
      <c r="K1993" t="s">
        <v>9585</v>
      </c>
      <c r="L1993" t="s">
        <v>9190</v>
      </c>
      <c r="M1993">
        <v>1.794729940593243E-2</v>
      </c>
      <c r="N1993" t="s">
        <v>54</v>
      </c>
      <c r="O1993" t="s">
        <v>53</v>
      </c>
      <c r="P1993" t="s">
        <v>53</v>
      </c>
      <c r="Q1993" t="s">
        <v>53</v>
      </c>
      <c r="R1993" t="s">
        <v>53</v>
      </c>
      <c r="S1993" t="s">
        <v>9211</v>
      </c>
      <c r="T1993" t="s">
        <v>9469</v>
      </c>
      <c r="U1993" t="s">
        <v>53</v>
      </c>
      <c r="V1993" t="s">
        <v>51</v>
      </c>
      <c r="W1993">
        <v>4100856</v>
      </c>
      <c r="X1993" t="s">
        <v>53</v>
      </c>
      <c r="Z1993">
        <v>0</v>
      </c>
      <c r="AA1993">
        <v>18</v>
      </c>
      <c r="AB1993">
        <v>18</v>
      </c>
      <c r="AC1993">
        <v>13</v>
      </c>
      <c r="AD1993">
        <v>51</v>
      </c>
      <c r="AE1993">
        <v>51</v>
      </c>
      <c r="AF1993">
        <v>0</v>
      </c>
      <c r="AG1993">
        <v>0</v>
      </c>
      <c r="AH1993">
        <v>4.0000001899898052E-3</v>
      </c>
      <c r="AI1993">
        <v>1</v>
      </c>
      <c r="AJ1993">
        <v>0</v>
      </c>
      <c r="AK1993" t="s">
        <v>53</v>
      </c>
      <c r="AL1993" t="s">
        <v>54</v>
      </c>
      <c r="AQ1993" t="s">
        <v>53</v>
      </c>
      <c r="AT1993" t="s">
        <v>9569</v>
      </c>
      <c r="AW1993" t="s">
        <v>54</v>
      </c>
      <c r="AZ1993" t="s">
        <v>54</v>
      </c>
      <c r="BA1993" t="s">
        <v>9148</v>
      </c>
    </row>
    <row r="1994" spans="1:53" x14ac:dyDescent="0.25">
      <c r="A1994">
        <v>1989</v>
      </c>
      <c r="B1994" t="s">
        <v>9586</v>
      </c>
      <c r="C1994" t="s">
        <v>9587</v>
      </c>
      <c r="D1994" t="s">
        <v>9588</v>
      </c>
      <c r="E1994">
        <v>12</v>
      </c>
      <c r="F1994" t="s">
        <v>9138</v>
      </c>
      <c r="G1994" t="s">
        <v>9061</v>
      </c>
      <c r="H1994" t="s">
        <v>9140</v>
      </c>
      <c r="I1994" t="s">
        <v>9399</v>
      </c>
      <c r="J1994" t="s">
        <v>9589</v>
      </c>
      <c r="K1994" t="s">
        <v>9590</v>
      </c>
      <c r="L1994" t="s">
        <v>9226</v>
      </c>
      <c r="M1994">
        <v>4.4164899009047083E-5</v>
      </c>
      <c r="N1994" t="s">
        <v>54</v>
      </c>
      <c r="O1994" t="s">
        <v>53</v>
      </c>
      <c r="P1994" t="s">
        <v>53</v>
      </c>
      <c r="Q1994" t="s">
        <v>53</v>
      </c>
      <c r="R1994" t="s">
        <v>53</v>
      </c>
      <c r="S1994" t="s">
        <v>9062</v>
      </c>
      <c r="T1994" t="s">
        <v>9402</v>
      </c>
      <c r="U1994" t="s">
        <v>54</v>
      </c>
      <c r="V1994" t="s">
        <v>51</v>
      </c>
      <c r="W1994">
        <v>100000</v>
      </c>
      <c r="X1994" t="s">
        <v>54</v>
      </c>
      <c r="Z1994">
        <v>0</v>
      </c>
      <c r="AA1994">
        <v>0</v>
      </c>
      <c r="AB1994">
        <v>0</v>
      </c>
      <c r="AC1994">
        <v>0</v>
      </c>
      <c r="AD1994">
        <v>0</v>
      </c>
      <c r="AE1994">
        <v>0</v>
      </c>
      <c r="AF1994">
        <v>0</v>
      </c>
      <c r="AG1994">
        <v>0</v>
      </c>
      <c r="AH1994">
        <v>0</v>
      </c>
      <c r="AI1994">
        <v>0</v>
      </c>
      <c r="AJ1994">
        <v>0</v>
      </c>
      <c r="AK1994" t="s">
        <v>54</v>
      </c>
      <c r="AL1994" t="s">
        <v>53</v>
      </c>
      <c r="AQ1994" t="s">
        <v>54</v>
      </c>
      <c r="AT1994" t="s">
        <v>9203</v>
      </c>
      <c r="AW1994" t="s">
        <v>53</v>
      </c>
      <c r="AZ1994" t="s">
        <v>54</v>
      </c>
      <c r="BA1994" t="s">
        <v>9348</v>
      </c>
    </row>
    <row r="1995" spans="1:53" x14ac:dyDescent="0.25">
      <c r="A1995">
        <v>1990</v>
      </c>
      <c r="B1995" t="s">
        <v>9591</v>
      </c>
      <c r="C1995" t="s">
        <v>9592</v>
      </c>
      <c r="D1995" t="s">
        <v>9588</v>
      </c>
      <c r="E1995">
        <v>12</v>
      </c>
      <c r="F1995" t="s">
        <v>9138</v>
      </c>
      <c r="G1995" t="s">
        <v>9061</v>
      </c>
      <c r="H1995" t="s">
        <v>9140</v>
      </c>
      <c r="I1995" t="s">
        <v>9399</v>
      </c>
      <c r="J1995" t="s">
        <v>9589</v>
      </c>
      <c r="K1995" t="s">
        <v>9590</v>
      </c>
      <c r="L1995" t="s">
        <v>9226</v>
      </c>
      <c r="M1995">
        <v>3.8252601370913908E-5</v>
      </c>
      <c r="N1995" t="s">
        <v>54</v>
      </c>
      <c r="O1995" t="s">
        <v>53</v>
      </c>
      <c r="P1995" t="s">
        <v>53</v>
      </c>
      <c r="Q1995" t="s">
        <v>53</v>
      </c>
      <c r="R1995" t="s">
        <v>53</v>
      </c>
      <c r="S1995" t="s">
        <v>9062</v>
      </c>
      <c r="T1995" t="s">
        <v>9593</v>
      </c>
      <c r="U1995" t="s">
        <v>54</v>
      </c>
      <c r="V1995" t="s">
        <v>51</v>
      </c>
      <c r="W1995">
        <v>100000</v>
      </c>
      <c r="X1995" t="s">
        <v>54</v>
      </c>
      <c r="Z1995">
        <v>0</v>
      </c>
      <c r="AA1995">
        <v>0</v>
      </c>
      <c r="AB1995">
        <v>0</v>
      </c>
      <c r="AC1995">
        <v>0</v>
      </c>
      <c r="AD1995">
        <v>0</v>
      </c>
      <c r="AE1995">
        <v>0</v>
      </c>
      <c r="AF1995">
        <v>0</v>
      </c>
      <c r="AG1995">
        <v>0</v>
      </c>
      <c r="AH1995">
        <v>9.9999997764825821E-3</v>
      </c>
      <c r="AI1995">
        <v>1</v>
      </c>
      <c r="AJ1995">
        <v>0</v>
      </c>
      <c r="AK1995" t="s">
        <v>54</v>
      </c>
      <c r="AL1995" t="s">
        <v>53</v>
      </c>
      <c r="AQ1995" t="s">
        <v>54</v>
      </c>
      <c r="AT1995" t="s">
        <v>9203</v>
      </c>
      <c r="AW1995" t="s">
        <v>53</v>
      </c>
      <c r="AZ1995" t="s">
        <v>54</v>
      </c>
      <c r="BA1995" t="s">
        <v>9348</v>
      </c>
    </row>
    <row r="1996" spans="1:53" x14ac:dyDescent="0.25">
      <c r="A1996">
        <v>1991</v>
      </c>
      <c r="B1996" t="s">
        <v>9594</v>
      </c>
      <c r="C1996" t="s">
        <v>9595</v>
      </c>
      <c r="D1996" t="s">
        <v>9596</v>
      </c>
      <c r="E1996">
        <v>12</v>
      </c>
      <c r="F1996" t="s">
        <v>9138</v>
      </c>
      <c r="G1996" t="s">
        <v>9061</v>
      </c>
      <c r="H1996" t="s">
        <v>9152</v>
      </c>
      <c r="I1996" t="s">
        <v>9217</v>
      </c>
      <c r="J1996" t="s">
        <v>9218</v>
      </c>
      <c r="K1996" t="s">
        <v>9219</v>
      </c>
      <c r="L1996" t="s">
        <v>9597</v>
      </c>
      <c r="M1996">
        <v>3.344829892739654E-3</v>
      </c>
      <c r="N1996" t="s">
        <v>54</v>
      </c>
      <c r="O1996" t="s">
        <v>53</v>
      </c>
      <c r="P1996" t="s">
        <v>53</v>
      </c>
      <c r="Q1996" t="s">
        <v>53</v>
      </c>
      <c r="R1996" t="s">
        <v>53</v>
      </c>
      <c r="S1996" t="s">
        <v>9062</v>
      </c>
      <c r="T1996" t="s">
        <v>9402</v>
      </c>
      <c r="U1996" t="s">
        <v>54</v>
      </c>
      <c r="V1996" t="s">
        <v>51</v>
      </c>
      <c r="W1996">
        <v>100000</v>
      </c>
      <c r="X1996" t="s">
        <v>54</v>
      </c>
      <c r="Z1996">
        <v>0</v>
      </c>
      <c r="AA1996">
        <v>0</v>
      </c>
      <c r="AB1996">
        <v>0</v>
      </c>
      <c r="AC1996">
        <v>0</v>
      </c>
      <c r="AD1996">
        <v>0</v>
      </c>
      <c r="AE1996">
        <v>0</v>
      </c>
      <c r="AF1996">
        <v>0</v>
      </c>
      <c r="AG1996">
        <v>0</v>
      </c>
      <c r="AH1996">
        <v>7.0000000298023224E-2</v>
      </c>
      <c r="AI1996">
        <v>1</v>
      </c>
      <c r="AJ1996">
        <v>0</v>
      </c>
      <c r="AK1996" t="s">
        <v>54</v>
      </c>
      <c r="AL1996" t="s">
        <v>53</v>
      </c>
      <c r="AQ1996" t="s">
        <v>54</v>
      </c>
      <c r="AT1996" t="s">
        <v>9147</v>
      </c>
      <c r="AW1996" t="s">
        <v>53</v>
      </c>
      <c r="AZ1996" t="s">
        <v>54</v>
      </c>
      <c r="BA1996" t="s">
        <v>9348</v>
      </c>
    </row>
    <row r="1997" spans="1:53" x14ac:dyDescent="0.25">
      <c r="A1997">
        <v>1992</v>
      </c>
      <c r="B1997" t="s">
        <v>9598</v>
      </c>
      <c r="C1997" t="s">
        <v>9599</v>
      </c>
      <c r="D1997" t="s">
        <v>9600</v>
      </c>
      <c r="E1997">
        <v>12</v>
      </c>
      <c r="F1997" t="s">
        <v>9138</v>
      </c>
      <c r="G1997" t="s">
        <v>9061</v>
      </c>
      <c r="H1997" t="s">
        <v>9140</v>
      </c>
      <c r="I1997" t="s">
        <v>9197</v>
      </c>
      <c r="J1997" t="s">
        <v>9198</v>
      </c>
      <c r="K1997" t="s">
        <v>9199</v>
      </c>
      <c r="L1997" t="s">
        <v>9226</v>
      </c>
      <c r="M1997">
        <v>4.4107101857662201E-3</v>
      </c>
      <c r="N1997" t="s">
        <v>54</v>
      </c>
      <c r="O1997" t="s">
        <v>53</v>
      </c>
      <c r="P1997" t="s">
        <v>53</v>
      </c>
      <c r="Q1997" t="s">
        <v>53</v>
      </c>
      <c r="R1997" t="s">
        <v>53</v>
      </c>
      <c r="S1997" t="s">
        <v>9062</v>
      </c>
      <c r="T1997" t="s">
        <v>9402</v>
      </c>
      <c r="U1997" t="s">
        <v>54</v>
      </c>
      <c r="V1997" t="s">
        <v>51</v>
      </c>
      <c r="W1997">
        <v>100000</v>
      </c>
      <c r="X1997" t="s">
        <v>54</v>
      </c>
      <c r="Z1997">
        <v>0</v>
      </c>
      <c r="AA1997">
        <v>0</v>
      </c>
      <c r="AB1997">
        <v>0</v>
      </c>
      <c r="AC1997">
        <v>0</v>
      </c>
      <c r="AD1997">
        <v>0</v>
      </c>
      <c r="AE1997">
        <v>0</v>
      </c>
      <c r="AF1997">
        <v>0</v>
      </c>
      <c r="AG1997">
        <v>0</v>
      </c>
      <c r="AH1997">
        <v>0</v>
      </c>
      <c r="AI1997">
        <v>0</v>
      </c>
      <c r="AJ1997">
        <v>0</v>
      </c>
      <c r="AK1997" t="s">
        <v>54</v>
      </c>
      <c r="AL1997" t="s">
        <v>53</v>
      </c>
      <c r="AQ1997" t="s">
        <v>54</v>
      </c>
      <c r="AT1997" t="s">
        <v>9147</v>
      </c>
      <c r="AW1997" t="s">
        <v>53</v>
      </c>
      <c r="AZ1997" t="s">
        <v>54</v>
      </c>
      <c r="BA1997" t="s">
        <v>9348</v>
      </c>
    </row>
    <row r="1998" spans="1:53" x14ac:dyDescent="0.25">
      <c r="A1998">
        <v>1993</v>
      </c>
      <c r="B1998" t="s">
        <v>9601</v>
      </c>
      <c r="C1998" t="s">
        <v>9602</v>
      </c>
      <c r="D1998" t="s">
        <v>9603</v>
      </c>
      <c r="E1998">
        <v>12</v>
      </c>
      <c r="F1998" t="s">
        <v>9138</v>
      </c>
      <c r="G1998" t="s">
        <v>9139</v>
      </c>
      <c r="H1998" t="s">
        <v>9140</v>
      </c>
      <c r="I1998" t="s">
        <v>9604</v>
      </c>
      <c r="J1998" t="s">
        <v>9605</v>
      </c>
      <c r="K1998" t="s">
        <v>9606</v>
      </c>
      <c r="L1998" t="s">
        <v>9226</v>
      </c>
      <c r="M1998">
        <v>1.543430029414594E-3</v>
      </c>
      <c r="N1998" t="s">
        <v>54</v>
      </c>
      <c r="O1998" t="s">
        <v>53</v>
      </c>
      <c r="P1998" t="s">
        <v>53</v>
      </c>
      <c r="Q1998" t="s">
        <v>53</v>
      </c>
      <c r="R1998" t="s">
        <v>53</v>
      </c>
      <c r="S1998" t="s">
        <v>9346</v>
      </c>
      <c r="T1998" t="s">
        <v>9607</v>
      </c>
      <c r="U1998" t="s">
        <v>54</v>
      </c>
      <c r="V1998" t="s">
        <v>51</v>
      </c>
      <c r="W1998">
        <v>500000</v>
      </c>
      <c r="X1998" t="s">
        <v>54</v>
      </c>
      <c r="Z1998">
        <v>0</v>
      </c>
      <c r="AA1998">
        <v>0</v>
      </c>
      <c r="AB1998">
        <v>0</v>
      </c>
      <c r="AC1998">
        <v>0</v>
      </c>
      <c r="AD1998">
        <v>0</v>
      </c>
      <c r="AE1998">
        <v>0</v>
      </c>
      <c r="AF1998">
        <v>0</v>
      </c>
      <c r="AG1998">
        <v>0</v>
      </c>
      <c r="AH1998">
        <v>0</v>
      </c>
      <c r="AI1998">
        <v>0</v>
      </c>
      <c r="AJ1998">
        <v>0</v>
      </c>
      <c r="AK1998" t="s">
        <v>54</v>
      </c>
      <c r="AL1998" t="s">
        <v>53</v>
      </c>
      <c r="AQ1998" t="s">
        <v>54</v>
      </c>
      <c r="AT1998" t="s">
        <v>9147</v>
      </c>
      <c r="AW1998" t="s">
        <v>53</v>
      </c>
      <c r="AZ1998" t="s">
        <v>54</v>
      </c>
      <c r="BA1998" t="s">
        <v>9348</v>
      </c>
    </row>
    <row r="1999" spans="1:53" x14ac:dyDescent="0.25">
      <c r="A1999">
        <v>1994</v>
      </c>
      <c r="B1999" t="s">
        <v>9608</v>
      </c>
      <c r="C1999" t="s">
        <v>9609</v>
      </c>
      <c r="D1999" t="s">
        <v>9610</v>
      </c>
      <c r="E1999">
        <v>12</v>
      </c>
      <c r="F1999" t="s">
        <v>9138</v>
      </c>
      <c r="G1999" t="s">
        <v>9611</v>
      </c>
      <c r="H1999" t="s">
        <v>9207</v>
      </c>
      <c r="I1999" t="s">
        <v>9208</v>
      </c>
      <c r="J1999" t="s">
        <v>9612</v>
      </c>
      <c r="K1999" t="s">
        <v>9613</v>
      </c>
      <c r="L1999" t="s">
        <v>9614</v>
      </c>
      <c r="M1999">
        <v>5.795100212097168</v>
      </c>
      <c r="N1999" t="s">
        <v>54</v>
      </c>
      <c r="O1999" t="s">
        <v>53</v>
      </c>
      <c r="P1999" t="s">
        <v>53</v>
      </c>
      <c r="Q1999" t="s">
        <v>53</v>
      </c>
      <c r="R1999" t="s">
        <v>53</v>
      </c>
      <c r="S1999" t="s">
        <v>9615</v>
      </c>
      <c r="T1999" t="s">
        <v>9616</v>
      </c>
      <c r="U1999" t="s">
        <v>54</v>
      </c>
      <c r="V1999" t="s">
        <v>138</v>
      </c>
      <c r="W1999">
        <v>500000</v>
      </c>
      <c r="X1999" t="s">
        <v>54</v>
      </c>
      <c r="Z1999">
        <v>0</v>
      </c>
      <c r="AA1999">
        <v>44</v>
      </c>
      <c r="AB1999">
        <v>41</v>
      </c>
      <c r="AC1999">
        <v>3</v>
      </c>
      <c r="AD1999">
        <v>29</v>
      </c>
      <c r="AE1999">
        <v>29</v>
      </c>
      <c r="AF1999">
        <v>0</v>
      </c>
      <c r="AG1999">
        <v>0</v>
      </c>
      <c r="AH1999">
        <v>1.070000052452087</v>
      </c>
      <c r="AI1999">
        <v>3</v>
      </c>
      <c r="AJ1999">
        <v>298.27999877929688</v>
      </c>
      <c r="AK1999" t="s">
        <v>54</v>
      </c>
      <c r="AL1999" t="s">
        <v>53</v>
      </c>
      <c r="AQ1999" t="s">
        <v>54</v>
      </c>
      <c r="AT1999" t="s">
        <v>9617</v>
      </c>
      <c r="AW1999" t="s">
        <v>8390</v>
      </c>
      <c r="AZ1999" t="s">
        <v>54</v>
      </c>
      <c r="BA1999" t="s">
        <v>9348</v>
      </c>
    </row>
    <row r="2000" spans="1:53" x14ac:dyDescent="0.25">
      <c r="A2000">
        <v>1995</v>
      </c>
      <c r="B2000" t="s">
        <v>9618</v>
      </c>
      <c r="C2000" t="s">
        <v>9619</v>
      </c>
      <c r="D2000" t="s">
        <v>9620</v>
      </c>
      <c r="E2000">
        <v>12</v>
      </c>
      <c r="F2000" t="s">
        <v>9138</v>
      </c>
      <c r="G2000" t="s">
        <v>9621</v>
      </c>
      <c r="H2000" t="s">
        <v>9140</v>
      </c>
      <c r="I2000" t="s">
        <v>9622</v>
      </c>
      <c r="J2000" t="s">
        <v>9623</v>
      </c>
      <c r="K2000" t="s">
        <v>9624</v>
      </c>
      <c r="L2000" t="s">
        <v>9625</v>
      </c>
      <c r="M2000">
        <v>1.126420032233E-2</v>
      </c>
      <c r="N2000" t="s">
        <v>54</v>
      </c>
      <c r="O2000" t="s">
        <v>53</v>
      </c>
      <c r="P2000" t="s">
        <v>53</v>
      </c>
      <c r="Q2000" t="s">
        <v>53</v>
      </c>
      <c r="R2000" t="s">
        <v>53</v>
      </c>
      <c r="S2000" t="s">
        <v>9626</v>
      </c>
      <c r="T2000" t="s">
        <v>9627</v>
      </c>
      <c r="U2000" t="s">
        <v>53</v>
      </c>
      <c r="V2000" t="s">
        <v>51</v>
      </c>
      <c r="W2000">
        <v>50000</v>
      </c>
      <c r="X2000" t="s">
        <v>54</v>
      </c>
      <c r="Z2000">
        <v>0</v>
      </c>
      <c r="AA2000">
        <v>3</v>
      </c>
      <c r="AB2000">
        <v>2</v>
      </c>
      <c r="AC2000">
        <v>1</v>
      </c>
      <c r="AD2000">
        <v>4</v>
      </c>
      <c r="AE2000">
        <v>4</v>
      </c>
      <c r="AF2000">
        <v>0</v>
      </c>
      <c r="AG2000">
        <v>0</v>
      </c>
      <c r="AH2000">
        <v>5.000000074505806E-2</v>
      </c>
      <c r="AI2000">
        <v>2</v>
      </c>
      <c r="AJ2000">
        <v>0</v>
      </c>
      <c r="AK2000" t="s">
        <v>54</v>
      </c>
      <c r="AL2000" t="s">
        <v>53</v>
      </c>
      <c r="AQ2000" t="s">
        <v>54</v>
      </c>
      <c r="AT2000" t="s">
        <v>9628</v>
      </c>
      <c r="AW2000" t="s">
        <v>54</v>
      </c>
      <c r="AZ2000" t="s">
        <v>54</v>
      </c>
      <c r="BA2000" t="s">
        <v>9348</v>
      </c>
    </row>
    <row r="2001" spans="1:53" x14ac:dyDescent="0.25">
      <c r="A2001">
        <v>1996</v>
      </c>
      <c r="B2001" t="s">
        <v>9629</v>
      </c>
      <c r="C2001" t="s">
        <v>9630</v>
      </c>
      <c r="D2001" t="s">
        <v>9631</v>
      </c>
      <c r="E2001">
        <v>12</v>
      </c>
      <c r="F2001" t="s">
        <v>9138</v>
      </c>
      <c r="G2001" t="s">
        <v>9621</v>
      </c>
      <c r="H2001" t="s">
        <v>9140</v>
      </c>
      <c r="I2001" t="s">
        <v>9622</v>
      </c>
      <c r="J2001" t="s">
        <v>9623</v>
      </c>
      <c r="K2001" t="s">
        <v>9624</v>
      </c>
      <c r="L2001" t="s">
        <v>9632</v>
      </c>
      <c r="M2001">
        <v>2.2330200299620628E-2</v>
      </c>
      <c r="N2001" t="s">
        <v>53</v>
      </c>
      <c r="O2001" t="s">
        <v>53</v>
      </c>
      <c r="P2001" t="s">
        <v>54</v>
      </c>
      <c r="Q2001" t="s">
        <v>53</v>
      </c>
      <c r="R2001" t="s">
        <v>53</v>
      </c>
      <c r="S2001" t="s">
        <v>9626</v>
      </c>
      <c r="T2001" t="s">
        <v>9633</v>
      </c>
      <c r="U2001" t="s">
        <v>53</v>
      </c>
      <c r="V2001" t="s">
        <v>51</v>
      </c>
      <c r="W2001">
        <v>100000</v>
      </c>
      <c r="X2001" t="s">
        <v>54</v>
      </c>
      <c r="Z2001">
        <v>0</v>
      </c>
      <c r="AA2001">
        <v>0</v>
      </c>
      <c r="AB2001">
        <v>0</v>
      </c>
      <c r="AC2001">
        <v>0</v>
      </c>
      <c r="AD2001">
        <v>0</v>
      </c>
      <c r="AE2001">
        <v>0</v>
      </c>
      <c r="AF2001">
        <v>0</v>
      </c>
      <c r="AG2001">
        <v>0</v>
      </c>
      <c r="AH2001">
        <v>0</v>
      </c>
      <c r="AI2001">
        <v>0</v>
      </c>
      <c r="AJ2001">
        <v>0</v>
      </c>
      <c r="AK2001" t="s">
        <v>54</v>
      </c>
      <c r="AL2001" t="s">
        <v>53</v>
      </c>
      <c r="AQ2001" t="s">
        <v>53</v>
      </c>
      <c r="AT2001" t="s">
        <v>9628</v>
      </c>
      <c r="AW2001" t="s">
        <v>53</v>
      </c>
      <c r="AZ2001" t="s">
        <v>54</v>
      </c>
      <c r="BA2001" t="s">
        <v>9348</v>
      </c>
    </row>
    <row r="2002" spans="1:53" x14ac:dyDescent="0.25">
      <c r="A2002">
        <v>1997</v>
      </c>
      <c r="B2002" t="s">
        <v>9634</v>
      </c>
      <c r="C2002" t="s">
        <v>9635</v>
      </c>
      <c r="D2002" t="s">
        <v>9636</v>
      </c>
      <c r="E2002">
        <v>12</v>
      </c>
      <c r="F2002" t="s">
        <v>9138</v>
      </c>
      <c r="G2002" t="s">
        <v>9611</v>
      </c>
      <c r="H2002" t="s">
        <v>9207</v>
      </c>
      <c r="I2002" t="s">
        <v>9208</v>
      </c>
      <c r="J2002" t="s">
        <v>9637</v>
      </c>
      <c r="K2002" t="s">
        <v>9638</v>
      </c>
      <c r="L2002" t="s">
        <v>9614</v>
      </c>
      <c r="M2002">
        <v>4.8698201179504386</v>
      </c>
      <c r="N2002" t="s">
        <v>54</v>
      </c>
      <c r="O2002" t="s">
        <v>53</v>
      </c>
      <c r="P2002" t="s">
        <v>53</v>
      </c>
      <c r="Q2002" t="s">
        <v>53</v>
      </c>
      <c r="R2002" t="s">
        <v>53</v>
      </c>
      <c r="S2002" t="s">
        <v>9615</v>
      </c>
      <c r="T2002" t="s">
        <v>9639</v>
      </c>
      <c r="U2002" t="s">
        <v>54</v>
      </c>
      <c r="V2002" t="s">
        <v>138</v>
      </c>
      <c r="W2002">
        <v>150000</v>
      </c>
      <c r="X2002" t="s">
        <v>54</v>
      </c>
      <c r="Z2002">
        <v>0</v>
      </c>
      <c r="AA2002">
        <v>32</v>
      </c>
      <c r="AB2002">
        <v>18</v>
      </c>
      <c r="AC2002">
        <v>20</v>
      </c>
      <c r="AD2002">
        <v>0</v>
      </c>
      <c r="AE2002">
        <v>20</v>
      </c>
      <c r="AF2002">
        <v>0</v>
      </c>
      <c r="AG2002">
        <v>0</v>
      </c>
      <c r="AH2002">
        <v>2.2400000095367432</v>
      </c>
      <c r="AI2002">
        <v>6</v>
      </c>
      <c r="AJ2002">
        <v>697.6729736328125</v>
      </c>
      <c r="AK2002" t="s">
        <v>54</v>
      </c>
      <c r="AL2002" t="s">
        <v>53</v>
      </c>
      <c r="AQ2002" t="s">
        <v>54</v>
      </c>
      <c r="AT2002" t="s">
        <v>9617</v>
      </c>
      <c r="AW2002" t="s">
        <v>54</v>
      </c>
      <c r="AZ2002" t="s">
        <v>54</v>
      </c>
      <c r="BA2002" t="s">
        <v>9348</v>
      </c>
    </row>
    <row r="2003" spans="1:53" x14ac:dyDescent="0.25">
      <c r="A2003">
        <v>1998</v>
      </c>
      <c r="B2003" t="s">
        <v>9640</v>
      </c>
      <c r="C2003" t="s">
        <v>9641</v>
      </c>
      <c r="D2003" t="s">
        <v>9641</v>
      </c>
      <c r="E2003">
        <v>12</v>
      </c>
      <c r="F2003" t="s">
        <v>9138</v>
      </c>
      <c r="G2003" t="s">
        <v>9642</v>
      </c>
      <c r="H2003" t="s">
        <v>9643</v>
      </c>
      <c r="L2003" t="s">
        <v>9644</v>
      </c>
      <c r="M2003">
        <v>1481.109985351562</v>
      </c>
      <c r="N2003" t="s">
        <v>54</v>
      </c>
      <c r="O2003" t="s">
        <v>54</v>
      </c>
      <c r="P2003" t="s">
        <v>54</v>
      </c>
      <c r="Q2003" t="s">
        <v>53</v>
      </c>
      <c r="R2003" t="s">
        <v>53</v>
      </c>
      <c r="S2003" t="s">
        <v>9191</v>
      </c>
      <c r="T2003" t="s">
        <v>9639</v>
      </c>
      <c r="U2003" t="s">
        <v>54</v>
      </c>
      <c r="V2003" t="s">
        <v>138</v>
      </c>
      <c r="W2003">
        <v>1000000</v>
      </c>
      <c r="X2003" t="s">
        <v>54</v>
      </c>
      <c r="Z2003">
        <v>0</v>
      </c>
      <c r="AA2003">
        <v>1068</v>
      </c>
      <c r="AB2003">
        <v>537</v>
      </c>
      <c r="AC2003">
        <v>790</v>
      </c>
      <c r="AD2003">
        <v>78</v>
      </c>
      <c r="AE2003">
        <v>790</v>
      </c>
      <c r="AF2003">
        <v>0</v>
      </c>
      <c r="AG2003">
        <v>0</v>
      </c>
      <c r="AH2003">
        <v>135.07000732421881</v>
      </c>
      <c r="AI2003">
        <v>1774</v>
      </c>
      <c r="AJ2003">
        <v>31301.30078125</v>
      </c>
      <c r="AK2003" t="s">
        <v>54</v>
      </c>
      <c r="AL2003" t="s">
        <v>53</v>
      </c>
      <c r="AQ2003" t="s">
        <v>54</v>
      </c>
      <c r="AT2003" t="s">
        <v>9645</v>
      </c>
      <c r="AW2003" t="s">
        <v>8390</v>
      </c>
      <c r="AZ2003" t="s">
        <v>54</v>
      </c>
      <c r="BA2003" t="s">
        <v>9348</v>
      </c>
    </row>
    <row r="2004" spans="1:53" x14ac:dyDescent="0.25">
      <c r="A2004">
        <v>1999</v>
      </c>
      <c r="B2004" t="s">
        <v>9646</v>
      </c>
      <c r="C2004" t="s">
        <v>9647</v>
      </c>
      <c r="D2004" t="s">
        <v>9648</v>
      </c>
      <c r="E2004">
        <v>12</v>
      </c>
      <c r="F2004" t="s">
        <v>9138</v>
      </c>
      <c r="G2004" t="s">
        <v>9649</v>
      </c>
      <c r="H2004" t="s">
        <v>9650</v>
      </c>
      <c r="I2004" t="s">
        <v>9651</v>
      </c>
      <c r="J2004" t="s">
        <v>9652</v>
      </c>
      <c r="K2004" t="s">
        <v>9653</v>
      </c>
      <c r="L2004" t="s">
        <v>9226</v>
      </c>
      <c r="M2004">
        <v>6.3769501866772771E-4</v>
      </c>
      <c r="N2004" t="s">
        <v>53</v>
      </c>
      <c r="O2004" t="s">
        <v>53</v>
      </c>
      <c r="P2004" t="s">
        <v>54</v>
      </c>
      <c r="Q2004" t="s">
        <v>53</v>
      </c>
      <c r="R2004" t="s">
        <v>53</v>
      </c>
      <c r="S2004" t="s">
        <v>9654</v>
      </c>
      <c r="T2004" t="s">
        <v>9655</v>
      </c>
      <c r="U2004" t="s">
        <v>53</v>
      </c>
      <c r="V2004" t="s">
        <v>51</v>
      </c>
      <c r="W2004">
        <v>150000</v>
      </c>
      <c r="X2004" t="s">
        <v>54</v>
      </c>
      <c r="Z2004">
        <v>0</v>
      </c>
      <c r="AA2004">
        <v>0</v>
      </c>
      <c r="AB2004">
        <v>0</v>
      </c>
      <c r="AC2004">
        <v>0</v>
      </c>
      <c r="AD2004">
        <v>0</v>
      </c>
      <c r="AE2004">
        <v>0</v>
      </c>
      <c r="AF2004">
        <v>0</v>
      </c>
      <c r="AG2004">
        <v>0</v>
      </c>
      <c r="AH2004">
        <v>0</v>
      </c>
      <c r="AI2004">
        <v>2</v>
      </c>
      <c r="AJ2004">
        <v>0</v>
      </c>
      <c r="AK2004" t="s">
        <v>54</v>
      </c>
      <c r="AL2004" t="s">
        <v>53</v>
      </c>
      <c r="AQ2004" t="s">
        <v>53</v>
      </c>
      <c r="AT2004" t="s">
        <v>9656</v>
      </c>
      <c r="AW2004" t="s">
        <v>53</v>
      </c>
      <c r="AZ2004" t="s">
        <v>54</v>
      </c>
      <c r="BA2004" t="s">
        <v>9348</v>
      </c>
    </row>
    <row r="2005" spans="1:53" x14ac:dyDescent="0.25">
      <c r="A2005">
        <v>2000</v>
      </c>
      <c r="B2005" t="s">
        <v>9657</v>
      </c>
      <c r="C2005" t="s">
        <v>9658</v>
      </c>
      <c r="D2005" t="s">
        <v>9659</v>
      </c>
      <c r="E2005">
        <v>12</v>
      </c>
      <c r="F2005" t="s">
        <v>9138</v>
      </c>
      <c r="G2005" t="s">
        <v>9649</v>
      </c>
      <c r="H2005" t="s">
        <v>9650</v>
      </c>
      <c r="I2005" t="s">
        <v>9651</v>
      </c>
      <c r="J2005" t="s">
        <v>9652</v>
      </c>
      <c r="K2005" t="s">
        <v>9653</v>
      </c>
      <c r="L2005" t="s">
        <v>9226</v>
      </c>
      <c r="M2005">
        <v>2.3110699839889999E-3</v>
      </c>
      <c r="N2005" t="s">
        <v>54</v>
      </c>
      <c r="O2005" t="s">
        <v>53</v>
      </c>
      <c r="P2005" t="s">
        <v>54</v>
      </c>
      <c r="Q2005" t="s">
        <v>53</v>
      </c>
      <c r="R2005" t="s">
        <v>53</v>
      </c>
      <c r="S2005" t="s">
        <v>9654</v>
      </c>
      <c r="T2005" t="s">
        <v>9655</v>
      </c>
      <c r="U2005" t="s">
        <v>53</v>
      </c>
      <c r="V2005" t="s">
        <v>51</v>
      </c>
      <c r="W2005">
        <v>150000</v>
      </c>
      <c r="X2005" t="s">
        <v>54</v>
      </c>
      <c r="Z2005">
        <v>0</v>
      </c>
      <c r="AA2005">
        <v>0</v>
      </c>
      <c r="AB2005">
        <v>0</v>
      </c>
      <c r="AC2005">
        <v>0</v>
      </c>
      <c r="AD2005">
        <v>0</v>
      </c>
      <c r="AE2005">
        <v>0</v>
      </c>
      <c r="AF2005">
        <v>0</v>
      </c>
      <c r="AG2005">
        <v>0</v>
      </c>
      <c r="AH2005">
        <v>9.9999997764825821E-3</v>
      </c>
      <c r="AI2005">
        <v>2</v>
      </c>
      <c r="AJ2005">
        <v>0</v>
      </c>
      <c r="AK2005" t="s">
        <v>54</v>
      </c>
      <c r="AL2005" t="s">
        <v>53</v>
      </c>
      <c r="AQ2005" t="s">
        <v>53</v>
      </c>
      <c r="AT2005" t="s">
        <v>9656</v>
      </c>
      <c r="AW2005" t="s">
        <v>53</v>
      </c>
      <c r="AZ2005" t="s">
        <v>54</v>
      </c>
      <c r="BA2005" t="s">
        <v>9348</v>
      </c>
    </row>
    <row r="2006" spans="1:53" x14ac:dyDescent="0.25">
      <c r="A2006">
        <v>2001</v>
      </c>
      <c r="B2006" t="s">
        <v>9660</v>
      </c>
      <c r="C2006" t="s">
        <v>9661</v>
      </c>
      <c r="D2006" t="s">
        <v>9662</v>
      </c>
      <c r="E2006">
        <v>12</v>
      </c>
      <c r="F2006" t="s">
        <v>9138</v>
      </c>
      <c r="G2006" t="s">
        <v>9649</v>
      </c>
      <c r="H2006" t="s">
        <v>9650</v>
      </c>
      <c r="I2006" t="s">
        <v>9651</v>
      </c>
      <c r="J2006" t="s">
        <v>9652</v>
      </c>
      <c r="K2006" t="s">
        <v>9653</v>
      </c>
      <c r="L2006" t="s">
        <v>9226</v>
      </c>
      <c r="M2006">
        <v>1.2935999780893329E-2</v>
      </c>
      <c r="N2006" t="s">
        <v>54</v>
      </c>
      <c r="O2006" t="s">
        <v>54</v>
      </c>
      <c r="P2006" t="s">
        <v>53</v>
      </c>
      <c r="Q2006" t="s">
        <v>53</v>
      </c>
      <c r="R2006" t="s">
        <v>53</v>
      </c>
      <c r="S2006" t="s">
        <v>9654</v>
      </c>
      <c r="T2006" t="s">
        <v>9663</v>
      </c>
      <c r="U2006" t="s">
        <v>53</v>
      </c>
      <c r="V2006" t="s">
        <v>51</v>
      </c>
      <c r="W2006">
        <v>150000</v>
      </c>
      <c r="X2006" t="s">
        <v>54</v>
      </c>
      <c r="Z2006">
        <v>0</v>
      </c>
      <c r="AA2006">
        <v>0</v>
      </c>
      <c r="AB2006">
        <v>0</v>
      </c>
      <c r="AC2006">
        <v>0</v>
      </c>
      <c r="AD2006">
        <v>0</v>
      </c>
      <c r="AE2006">
        <v>0</v>
      </c>
      <c r="AF2006">
        <v>0</v>
      </c>
      <c r="AG2006">
        <v>0</v>
      </c>
      <c r="AH2006">
        <v>0</v>
      </c>
      <c r="AI2006">
        <v>0</v>
      </c>
      <c r="AJ2006">
        <v>3.0070000793784861E-3</v>
      </c>
      <c r="AK2006" t="s">
        <v>54</v>
      </c>
      <c r="AL2006" t="s">
        <v>53</v>
      </c>
      <c r="AQ2006" t="s">
        <v>53</v>
      </c>
      <c r="AT2006" t="s">
        <v>9656</v>
      </c>
      <c r="AW2006" t="s">
        <v>8390</v>
      </c>
      <c r="AZ2006" t="s">
        <v>54</v>
      </c>
      <c r="BA2006" t="s">
        <v>9348</v>
      </c>
    </row>
    <row r="2007" spans="1:53" x14ac:dyDescent="0.25">
      <c r="A2007">
        <v>2002</v>
      </c>
      <c r="B2007" t="s">
        <v>9664</v>
      </c>
      <c r="C2007" t="s">
        <v>9665</v>
      </c>
      <c r="D2007" t="s">
        <v>9666</v>
      </c>
      <c r="E2007">
        <v>12</v>
      </c>
      <c r="F2007" t="s">
        <v>9138</v>
      </c>
      <c r="G2007" t="s">
        <v>9611</v>
      </c>
      <c r="H2007" t="s">
        <v>9207</v>
      </c>
      <c r="I2007" t="s">
        <v>9208</v>
      </c>
      <c r="J2007" t="s">
        <v>9667</v>
      </c>
      <c r="K2007" t="s">
        <v>9668</v>
      </c>
      <c r="L2007" t="s">
        <v>9614</v>
      </c>
      <c r="M2007">
        <v>0.62901300191879272</v>
      </c>
      <c r="N2007" t="s">
        <v>54</v>
      </c>
      <c r="O2007" t="s">
        <v>53</v>
      </c>
      <c r="P2007" t="s">
        <v>53</v>
      </c>
      <c r="Q2007" t="s">
        <v>53</v>
      </c>
      <c r="R2007" t="s">
        <v>53</v>
      </c>
      <c r="S2007" t="s">
        <v>9669</v>
      </c>
      <c r="T2007" t="s">
        <v>9670</v>
      </c>
      <c r="U2007" t="s">
        <v>54</v>
      </c>
      <c r="V2007" t="s">
        <v>138</v>
      </c>
      <c r="W2007">
        <v>100000</v>
      </c>
      <c r="X2007" t="s">
        <v>54</v>
      </c>
      <c r="Z2007">
        <v>0</v>
      </c>
      <c r="AA2007">
        <v>170</v>
      </c>
      <c r="AB2007">
        <v>133</v>
      </c>
      <c r="AC2007">
        <v>99</v>
      </c>
      <c r="AD2007">
        <v>263</v>
      </c>
      <c r="AE2007">
        <v>263</v>
      </c>
      <c r="AF2007">
        <v>0</v>
      </c>
      <c r="AG2007">
        <v>0</v>
      </c>
      <c r="AH2007">
        <v>4.2199997901916504</v>
      </c>
      <c r="AI2007">
        <v>23</v>
      </c>
      <c r="AJ2007">
        <v>1.400189995765686</v>
      </c>
      <c r="AK2007" t="s">
        <v>54</v>
      </c>
      <c r="AL2007" t="s">
        <v>53</v>
      </c>
      <c r="AQ2007" t="s">
        <v>54</v>
      </c>
      <c r="AT2007" t="s">
        <v>9671</v>
      </c>
      <c r="AW2007" t="s">
        <v>54</v>
      </c>
      <c r="AZ2007" t="s">
        <v>54</v>
      </c>
      <c r="BA2007" t="s">
        <v>9348</v>
      </c>
    </row>
    <row r="2008" spans="1:53" x14ac:dyDescent="0.25">
      <c r="A2008">
        <v>2003</v>
      </c>
      <c r="B2008" t="s">
        <v>9672</v>
      </c>
      <c r="C2008" t="s">
        <v>9673</v>
      </c>
      <c r="D2008" t="s">
        <v>9674</v>
      </c>
      <c r="E2008">
        <v>12</v>
      </c>
      <c r="F2008" t="s">
        <v>9138</v>
      </c>
      <c r="G2008" t="s">
        <v>9675</v>
      </c>
      <c r="H2008" t="s">
        <v>9676</v>
      </c>
      <c r="I2008" t="s">
        <v>9677</v>
      </c>
      <c r="K2008" t="s">
        <v>9678</v>
      </c>
      <c r="L2008" t="s">
        <v>9679</v>
      </c>
      <c r="M2008">
        <v>749.218017578125</v>
      </c>
      <c r="N2008" t="s">
        <v>54</v>
      </c>
      <c r="O2008" t="s">
        <v>53</v>
      </c>
      <c r="P2008" t="s">
        <v>54</v>
      </c>
      <c r="Q2008" t="s">
        <v>53</v>
      </c>
      <c r="R2008" t="s">
        <v>53</v>
      </c>
      <c r="S2008" t="s">
        <v>9346</v>
      </c>
      <c r="T2008" t="s">
        <v>9680</v>
      </c>
      <c r="U2008" t="s">
        <v>53</v>
      </c>
      <c r="V2008" t="s">
        <v>138</v>
      </c>
      <c r="W2008">
        <v>305000</v>
      </c>
      <c r="X2008" t="s">
        <v>54</v>
      </c>
      <c r="Z2008">
        <v>0</v>
      </c>
      <c r="AA2008">
        <v>340</v>
      </c>
      <c r="AB2008">
        <v>161</v>
      </c>
      <c r="AC2008">
        <v>195</v>
      </c>
      <c r="AD2008">
        <v>422</v>
      </c>
      <c r="AE2008">
        <v>422</v>
      </c>
      <c r="AF2008">
        <v>0</v>
      </c>
      <c r="AG2008">
        <v>0</v>
      </c>
      <c r="AH2008">
        <v>58.799999237060547</v>
      </c>
      <c r="AI2008">
        <v>757</v>
      </c>
      <c r="AJ2008">
        <v>16557.19921875</v>
      </c>
      <c r="AK2008" t="s">
        <v>54</v>
      </c>
      <c r="AL2008" t="s">
        <v>53</v>
      </c>
      <c r="AQ2008" t="s">
        <v>54</v>
      </c>
      <c r="AT2008" t="s">
        <v>9147</v>
      </c>
      <c r="AW2008" t="s">
        <v>8390</v>
      </c>
      <c r="AZ2008" t="s">
        <v>54</v>
      </c>
      <c r="BA2008" t="s">
        <v>9348</v>
      </c>
    </row>
    <row r="2009" spans="1:53" x14ac:dyDescent="0.25">
      <c r="A2009">
        <v>2004</v>
      </c>
      <c r="B2009" t="s">
        <v>9681</v>
      </c>
      <c r="C2009" t="s">
        <v>9682</v>
      </c>
      <c r="D2009" t="s">
        <v>9683</v>
      </c>
      <c r="E2009">
        <v>12</v>
      </c>
      <c r="F2009" t="s">
        <v>9138</v>
      </c>
      <c r="G2009" t="s">
        <v>9675</v>
      </c>
      <c r="H2009" t="s">
        <v>9676</v>
      </c>
      <c r="I2009" t="s">
        <v>9677</v>
      </c>
      <c r="K2009" t="s">
        <v>9678</v>
      </c>
      <c r="L2009" t="s">
        <v>9180</v>
      </c>
      <c r="M2009">
        <v>749.218017578125</v>
      </c>
      <c r="N2009" t="s">
        <v>54</v>
      </c>
      <c r="O2009" t="s">
        <v>53</v>
      </c>
      <c r="P2009" t="s">
        <v>54</v>
      </c>
      <c r="Q2009" t="s">
        <v>53</v>
      </c>
      <c r="R2009" t="s">
        <v>53</v>
      </c>
      <c r="S2009" t="s">
        <v>9346</v>
      </c>
      <c r="T2009" t="s">
        <v>9680</v>
      </c>
      <c r="U2009" t="s">
        <v>53</v>
      </c>
      <c r="V2009" t="s">
        <v>51</v>
      </c>
      <c r="W2009">
        <v>150000</v>
      </c>
      <c r="X2009" t="s">
        <v>54</v>
      </c>
      <c r="Z2009">
        <v>0</v>
      </c>
      <c r="AA2009">
        <v>340</v>
      </c>
      <c r="AB2009">
        <v>161</v>
      </c>
      <c r="AC2009">
        <v>195</v>
      </c>
      <c r="AD2009">
        <v>422</v>
      </c>
      <c r="AE2009">
        <v>422</v>
      </c>
      <c r="AF2009">
        <v>0</v>
      </c>
      <c r="AG2009">
        <v>0</v>
      </c>
      <c r="AH2009">
        <v>58.799999237060547</v>
      </c>
      <c r="AI2009">
        <v>757</v>
      </c>
      <c r="AJ2009">
        <v>16557.19921875</v>
      </c>
      <c r="AK2009" t="s">
        <v>54</v>
      </c>
      <c r="AL2009" t="s">
        <v>53</v>
      </c>
      <c r="AQ2009" t="s">
        <v>54</v>
      </c>
      <c r="AT2009" t="s">
        <v>9147</v>
      </c>
      <c r="AW2009" t="s">
        <v>8390</v>
      </c>
      <c r="AZ2009" t="s">
        <v>54</v>
      </c>
      <c r="BA2009" t="s">
        <v>9348</v>
      </c>
    </row>
    <row r="2010" spans="1:53" x14ac:dyDescent="0.25">
      <c r="A2010">
        <v>2005</v>
      </c>
      <c r="B2010" t="s">
        <v>9684</v>
      </c>
      <c r="C2010" t="s">
        <v>9685</v>
      </c>
      <c r="D2010" t="s">
        <v>9588</v>
      </c>
      <c r="E2010">
        <v>12</v>
      </c>
      <c r="F2010" t="s">
        <v>9138</v>
      </c>
      <c r="G2010" t="s">
        <v>9061</v>
      </c>
      <c r="H2010" t="s">
        <v>9140</v>
      </c>
      <c r="I2010" t="s">
        <v>9399</v>
      </c>
      <c r="J2010" t="s">
        <v>9589</v>
      </c>
      <c r="K2010" t="s">
        <v>9590</v>
      </c>
      <c r="L2010" t="s">
        <v>9226</v>
      </c>
      <c r="M2010">
        <v>3.9684302173554897E-3</v>
      </c>
      <c r="N2010" t="s">
        <v>54</v>
      </c>
      <c r="O2010" t="s">
        <v>53</v>
      </c>
      <c r="P2010" t="s">
        <v>53</v>
      </c>
      <c r="Q2010" t="s">
        <v>53</v>
      </c>
      <c r="R2010" t="s">
        <v>53</v>
      </c>
      <c r="S2010" t="s">
        <v>9062</v>
      </c>
      <c r="T2010" t="s">
        <v>9402</v>
      </c>
      <c r="U2010" t="s">
        <v>54</v>
      </c>
      <c r="V2010" t="s">
        <v>51</v>
      </c>
      <c r="W2010">
        <v>100000</v>
      </c>
      <c r="X2010" t="s">
        <v>54</v>
      </c>
      <c r="Z2010">
        <v>0</v>
      </c>
      <c r="AA2010">
        <v>0</v>
      </c>
      <c r="AB2010">
        <v>0</v>
      </c>
      <c r="AC2010">
        <v>0</v>
      </c>
      <c r="AD2010">
        <v>0</v>
      </c>
      <c r="AE2010">
        <v>0</v>
      </c>
      <c r="AF2010">
        <v>0</v>
      </c>
      <c r="AG2010">
        <v>0</v>
      </c>
      <c r="AH2010">
        <v>0.119999997317791</v>
      </c>
      <c r="AI2010">
        <v>1</v>
      </c>
      <c r="AJ2010">
        <v>0</v>
      </c>
      <c r="AK2010" t="s">
        <v>54</v>
      </c>
      <c r="AL2010" t="s">
        <v>53</v>
      </c>
      <c r="AQ2010" t="s">
        <v>54</v>
      </c>
      <c r="AT2010" t="s">
        <v>9203</v>
      </c>
      <c r="AW2010" t="s">
        <v>53</v>
      </c>
      <c r="AZ2010" t="s">
        <v>54</v>
      </c>
      <c r="BA2010" t="s">
        <v>9348</v>
      </c>
    </row>
    <row r="2011" spans="1:53" x14ac:dyDescent="0.25">
      <c r="A2011">
        <v>2006</v>
      </c>
      <c r="B2011" t="s">
        <v>9686</v>
      </c>
      <c r="C2011" t="s">
        <v>9687</v>
      </c>
      <c r="D2011" t="s">
        <v>9688</v>
      </c>
      <c r="E2011">
        <v>12</v>
      </c>
      <c r="F2011" t="s">
        <v>9138</v>
      </c>
      <c r="G2011" t="s">
        <v>9611</v>
      </c>
      <c r="H2011" t="s">
        <v>9207</v>
      </c>
      <c r="I2011" t="s">
        <v>9208</v>
      </c>
      <c r="J2011" t="s">
        <v>9637</v>
      </c>
      <c r="K2011" t="s">
        <v>9638</v>
      </c>
      <c r="L2011" t="s">
        <v>9301</v>
      </c>
      <c r="M2011">
        <v>0.16701400279998779</v>
      </c>
      <c r="N2011" t="s">
        <v>54</v>
      </c>
      <c r="O2011" t="s">
        <v>53</v>
      </c>
      <c r="P2011" t="s">
        <v>53</v>
      </c>
      <c r="Q2011" t="s">
        <v>53</v>
      </c>
      <c r="R2011" t="s">
        <v>53</v>
      </c>
      <c r="S2011" t="s">
        <v>9615</v>
      </c>
      <c r="T2011" t="s">
        <v>9616</v>
      </c>
      <c r="U2011" t="s">
        <v>54</v>
      </c>
      <c r="V2011" t="s">
        <v>51</v>
      </c>
      <c r="W2011">
        <v>300000</v>
      </c>
      <c r="X2011" t="s">
        <v>54</v>
      </c>
      <c r="Z2011">
        <v>0</v>
      </c>
      <c r="AA2011">
        <v>0</v>
      </c>
      <c r="AB2011">
        <v>0</v>
      </c>
      <c r="AC2011">
        <v>0</v>
      </c>
      <c r="AD2011">
        <v>0</v>
      </c>
      <c r="AE2011">
        <v>0</v>
      </c>
      <c r="AF2011">
        <v>0</v>
      </c>
      <c r="AG2011">
        <v>0</v>
      </c>
      <c r="AH2011">
        <v>0</v>
      </c>
      <c r="AI2011">
        <v>0</v>
      </c>
      <c r="AJ2011">
        <v>0</v>
      </c>
      <c r="AK2011" t="s">
        <v>54</v>
      </c>
      <c r="AL2011" t="s">
        <v>54</v>
      </c>
      <c r="AQ2011" t="s">
        <v>54</v>
      </c>
      <c r="AT2011" t="s">
        <v>9689</v>
      </c>
      <c r="AW2011" t="s">
        <v>54</v>
      </c>
      <c r="AZ2011" t="s">
        <v>54</v>
      </c>
      <c r="BA2011" t="s">
        <v>9348</v>
      </c>
    </row>
    <row r="2012" spans="1:53" x14ac:dyDescent="0.25">
      <c r="A2012">
        <v>2007</v>
      </c>
      <c r="B2012" t="s">
        <v>9690</v>
      </c>
      <c r="C2012" t="s">
        <v>9691</v>
      </c>
      <c r="D2012" t="s">
        <v>9692</v>
      </c>
      <c r="E2012">
        <v>12</v>
      </c>
      <c r="F2012" t="s">
        <v>9138</v>
      </c>
      <c r="G2012" t="s">
        <v>9061</v>
      </c>
      <c r="H2012" t="s">
        <v>9152</v>
      </c>
      <c r="I2012" t="s">
        <v>9693</v>
      </c>
      <c r="J2012" t="s">
        <v>9694</v>
      </c>
      <c r="K2012" t="s">
        <v>9695</v>
      </c>
      <c r="L2012" t="s">
        <v>9606</v>
      </c>
      <c r="M2012">
        <v>2.5113699957728389E-2</v>
      </c>
      <c r="N2012" t="s">
        <v>54</v>
      </c>
      <c r="O2012" t="s">
        <v>53</v>
      </c>
      <c r="P2012" t="s">
        <v>53</v>
      </c>
      <c r="Q2012" t="s">
        <v>53</v>
      </c>
      <c r="R2012" t="s">
        <v>53</v>
      </c>
      <c r="S2012" t="s">
        <v>9696</v>
      </c>
      <c r="T2012" t="s">
        <v>9697</v>
      </c>
      <c r="U2012" t="s">
        <v>53</v>
      </c>
      <c r="V2012" t="s">
        <v>51</v>
      </c>
      <c r="W2012">
        <v>150000</v>
      </c>
      <c r="X2012" t="s">
        <v>54</v>
      </c>
      <c r="Z2012">
        <v>0</v>
      </c>
      <c r="AA2012">
        <v>0</v>
      </c>
      <c r="AB2012">
        <v>0</v>
      </c>
      <c r="AC2012">
        <v>0</v>
      </c>
      <c r="AD2012">
        <v>0</v>
      </c>
      <c r="AE2012">
        <v>0</v>
      </c>
      <c r="AF2012">
        <v>0</v>
      </c>
      <c r="AG2012">
        <v>0</v>
      </c>
      <c r="AH2012">
        <v>9.9999997764825821E-3</v>
      </c>
      <c r="AI2012">
        <v>0</v>
      </c>
      <c r="AJ2012">
        <v>1.9913100004196169</v>
      </c>
      <c r="AK2012" t="s">
        <v>53</v>
      </c>
      <c r="AL2012" t="s">
        <v>54</v>
      </c>
      <c r="AQ2012" t="s">
        <v>54</v>
      </c>
      <c r="AT2012" t="s">
        <v>9698</v>
      </c>
      <c r="AW2012" t="s">
        <v>54</v>
      </c>
      <c r="AZ2012" t="s">
        <v>54</v>
      </c>
      <c r="BA2012" t="s">
        <v>9348</v>
      </c>
    </row>
    <row r="2013" spans="1:53" x14ac:dyDescent="0.25">
      <c r="A2013">
        <v>2008</v>
      </c>
      <c r="B2013" t="s">
        <v>9699</v>
      </c>
      <c r="C2013" t="s">
        <v>9700</v>
      </c>
      <c r="D2013" t="s">
        <v>9701</v>
      </c>
      <c r="E2013">
        <v>12</v>
      </c>
      <c r="F2013" t="s">
        <v>9138</v>
      </c>
      <c r="G2013" t="s">
        <v>9061</v>
      </c>
      <c r="H2013" t="s">
        <v>9152</v>
      </c>
      <c r="I2013" t="s">
        <v>9693</v>
      </c>
      <c r="J2013" t="s">
        <v>9694</v>
      </c>
      <c r="K2013" t="s">
        <v>9695</v>
      </c>
      <c r="L2013" t="s">
        <v>9702</v>
      </c>
      <c r="M2013">
        <v>6.9638103246688843E-2</v>
      </c>
      <c r="N2013" t="s">
        <v>54</v>
      </c>
      <c r="O2013" t="s">
        <v>53</v>
      </c>
      <c r="P2013" t="s">
        <v>53</v>
      </c>
      <c r="Q2013" t="s">
        <v>53</v>
      </c>
      <c r="R2013" t="s">
        <v>53</v>
      </c>
      <c r="S2013" t="s">
        <v>9696</v>
      </c>
      <c r="T2013" t="s">
        <v>9697</v>
      </c>
      <c r="U2013" t="s">
        <v>54</v>
      </c>
      <c r="V2013" t="s">
        <v>51</v>
      </c>
      <c r="W2013">
        <v>150000</v>
      </c>
      <c r="X2013" t="s">
        <v>54</v>
      </c>
      <c r="Z2013">
        <v>0</v>
      </c>
      <c r="AA2013">
        <v>2</v>
      </c>
      <c r="AB2013">
        <v>1</v>
      </c>
      <c r="AC2013">
        <v>10</v>
      </c>
      <c r="AD2013">
        <v>14</v>
      </c>
      <c r="AE2013">
        <v>14</v>
      </c>
      <c r="AF2013">
        <v>0</v>
      </c>
      <c r="AG2013">
        <v>0</v>
      </c>
      <c r="AH2013">
        <v>0.31000000238418579</v>
      </c>
      <c r="AI2013">
        <v>3</v>
      </c>
      <c r="AJ2013">
        <v>0</v>
      </c>
      <c r="AK2013" t="s">
        <v>53</v>
      </c>
      <c r="AL2013" t="s">
        <v>54</v>
      </c>
      <c r="AQ2013" t="s">
        <v>53</v>
      </c>
      <c r="AT2013" t="s">
        <v>9698</v>
      </c>
      <c r="AW2013" t="s">
        <v>54</v>
      </c>
      <c r="AZ2013" t="s">
        <v>54</v>
      </c>
      <c r="BA2013" t="s">
        <v>9348</v>
      </c>
    </row>
    <row r="2014" spans="1:53" x14ac:dyDescent="0.25">
      <c r="A2014">
        <v>2009</v>
      </c>
      <c r="B2014" t="s">
        <v>9703</v>
      </c>
      <c r="C2014" t="s">
        <v>9704</v>
      </c>
      <c r="D2014" t="s">
        <v>9705</v>
      </c>
      <c r="E2014">
        <v>12</v>
      </c>
      <c r="F2014" t="s">
        <v>9138</v>
      </c>
      <c r="G2014" t="s">
        <v>9139</v>
      </c>
      <c r="H2014" t="s">
        <v>9140</v>
      </c>
      <c r="I2014" t="s">
        <v>9187</v>
      </c>
      <c r="J2014" t="s">
        <v>9188</v>
      </c>
      <c r="K2014" t="s">
        <v>9189</v>
      </c>
      <c r="L2014" t="s">
        <v>9226</v>
      </c>
      <c r="M2014">
        <v>0.13355499505996701</v>
      </c>
      <c r="N2014" t="s">
        <v>54</v>
      </c>
      <c r="O2014" t="s">
        <v>53</v>
      </c>
      <c r="P2014" t="s">
        <v>53</v>
      </c>
      <c r="Q2014" t="s">
        <v>53</v>
      </c>
      <c r="R2014" t="s">
        <v>53</v>
      </c>
      <c r="S2014" t="s">
        <v>9191</v>
      </c>
      <c r="T2014" t="s">
        <v>9706</v>
      </c>
      <c r="U2014" t="s">
        <v>53</v>
      </c>
      <c r="V2014" t="s">
        <v>51</v>
      </c>
      <c r="W2014">
        <v>300000</v>
      </c>
      <c r="X2014" t="s">
        <v>54</v>
      </c>
      <c r="Z2014">
        <v>0</v>
      </c>
      <c r="AA2014">
        <v>0</v>
      </c>
      <c r="AB2014">
        <v>0</v>
      </c>
      <c r="AC2014">
        <v>0</v>
      </c>
      <c r="AD2014">
        <v>0</v>
      </c>
      <c r="AE2014">
        <v>0</v>
      </c>
      <c r="AF2014">
        <v>0</v>
      </c>
      <c r="AG2014">
        <v>0</v>
      </c>
      <c r="AH2014">
        <v>0</v>
      </c>
      <c r="AI2014">
        <v>0</v>
      </c>
      <c r="AJ2014">
        <v>1.019180059432983</v>
      </c>
      <c r="AK2014" t="s">
        <v>54</v>
      </c>
      <c r="AL2014" t="s">
        <v>53</v>
      </c>
      <c r="AQ2014" t="s">
        <v>54</v>
      </c>
      <c r="AT2014" t="s">
        <v>9645</v>
      </c>
      <c r="AW2014" t="s">
        <v>53</v>
      </c>
      <c r="AZ2014" t="s">
        <v>54</v>
      </c>
      <c r="BA2014" t="s">
        <v>9348</v>
      </c>
    </row>
    <row r="2015" spans="1:53" x14ac:dyDescent="0.25">
      <c r="A2015">
        <v>2010</v>
      </c>
      <c r="B2015" t="s">
        <v>9707</v>
      </c>
      <c r="C2015" t="s">
        <v>9708</v>
      </c>
      <c r="D2015" t="s">
        <v>9709</v>
      </c>
      <c r="E2015">
        <v>12</v>
      </c>
      <c r="F2015" t="s">
        <v>9138</v>
      </c>
      <c r="G2015" t="s">
        <v>9710</v>
      </c>
      <c r="H2015" t="s">
        <v>9643</v>
      </c>
      <c r="I2015" t="s">
        <v>9711</v>
      </c>
      <c r="K2015" t="s">
        <v>9712</v>
      </c>
      <c r="L2015" t="s">
        <v>9226</v>
      </c>
      <c r="M2015">
        <v>805.06097412109375</v>
      </c>
      <c r="N2015" t="s">
        <v>54</v>
      </c>
      <c r="O2015" t="s">
        <v>53</v>
      </c>
      <c r="P2015" t="s">
        <v>54</v>
      </c>
      <c r="Q2015" t="s">
        <v>53</v>
      </c>
      <c r="R2015" t="s">
        <v>53</v>
      </c>
      <c r="S2015" t="s">
        <v>9062</v>
      </c>
      <c r="T2015" t="s">
        <v>9713</v>
      </c>
      <c r="U2015" t="s">
        <v>54</v>
      </c>
      <c r="V2015" t="s">
        <v>138</v>
      </c>
      <c r="W2015">
        <v>300000</v>
      </c>
      <c r="X2015" t="s">
        <v>54</v>
      </c>
      <c r="Z2015">
        <v>0</v>
      </c>
      <c r="AA2015">
        <v>1469</v>
      </c>
      <c r="AB2015">
        <v>1073</v>
      </c>
      <c r="AC2015">
        <v>1457</v>
      </c>
      <c r="AD2015">
        <v>1849</v>
      </c>
      <c r="AE2015">
        <v>1849</v>
      </c>
      <c r="AF2015">
        <v>0</v>
      </c>
      <c r="AG2015">
        <v>0</v>
      </c>
      <c r="AH2015">
        <v>89.05999755859375</v>
      </c>
      <c r="AI2015">
        <v>1646</v>
      </c>
      <c r="AJ2015">
        <v>14071.400390625</v>
      </c>
      <c r="AK2015" t="s">
        <v>54</v>
      </c>
      <c r="AL2015" t="s">
        <v>53</v>
      </c>
      <c r="AQ2015" t="s">
        <v>54</v>
      </c>
      <c r="AT2015" t="s">
        <v>9714</v>
      </c>
      <c r="AW2015" t="s">
        <v>8390</v>
      </c>
      <c r="AZ2015" t="s">
        <v>54</v>
      </c>
      <c r="BA2015" t="s">
        <v>9348</v>
      </c>
    </row>
    <row r="2016" spans="1:53" x14ac:dyDescent="0.25">
      <c r="A2016">
        <v>2011</v>
      </c>
      <c r="B2016" t="s">
        <v>9715</v>
      </c>
      <c r="C2016" t="s">
        <v>9716</v>
      </c>
      <c r="D2016" t="s">
        <v>9717</v>
      </c>
      <c r="E2016">
        <v>12</v>
      </c>
      <c r="F2016" t="s">
        <v>9138</v>
      </c>
      <c r="G2016" t="s">
        <v>9710</v>
      </c>
      <c r="H2016" t="s">
        <v>9643</v>
      </c>
      <c r="I2016" t="s">
        <v>9711</v>
      </c>
      <c r="K2016" t="s">
        <v>9712</v>
      </c>
      <c r="L2016" t="s">
        <v>9718</v>
      </c>
      <c r="M2016">
        <v>805.06097412109375</v>
      </c>
      <c r="N2016" t="s">
        <v>54</v>
      </c>
      <c r="O2016" t="s">
        <v>53</v>
      </c>
      <c r="P2016" t="s">
        <v>54</v>
      </c>
      <c r="Q2016" t="s">
        <v>53</v>
      </c>
      <c r="R2016" t="s">
        <v>53</v>
      </c>
      <c r="S2016" t="s">
        <v>9062</v>
      </c>
      <c r="T2016" t="s">
        <v>9713</v>
      </c>
      <c r="U2016" t="s">
        <v>53</v>
      </c>
      <c r="V2016" t="s">
        <v>51</v>
      </c>
      <c r="W2016">
        <v>100000</v>
      </c>
      <c r="X2016" t="s">
        <v>54</v>
      </c>
      <c r="Z2016">
        <v>0</v>
      </c>
      <c r="AA2016">
        <v>1469</v>
      </c>
      <c r="AB2016">
        <v>1073</v>
      </c>
      <c r="AC2016">
        <v>1457</v>
      </c>
      <c r="AD2016">
        <v>1849</v>
      </c>
      <c r="AE2016">
        <v>1849</v>
      </c>
      <c r="AF2016">
        <v>0</v>
      </c>
      <c r="AG2016">
        <v>0</v>
      </c>
      <c r="AH2016">
        <v>89.05999755859375</v>
      </c>
      <c r="AI2016">
        <v>1646</v>
      </c>
      <c r="AJ2016">
        <v>14071.400390625</v>
      </c>
      <c r="AK2016" t="s">
        <v>54</v>
      </c>
      <c r="AL2016" t="s">
        <v>53</v>
      </c>
      <c r="AQ2016" t="s">
        <v>54</v>
      </c>
      <c r="AT2016" t="s">
        <v>9147</v>
      </c>
      <c r="AW2016" t="s">
        <v>8390</v>
      </c>
      <c r="AZ2016" t="s">
        <v>54</v>
      </c>
      <c r="BA2016" t="s">
        <v>9348</v>
      </c>
    </row>
    <row r="2017" spans="1:53" x14ac:dyDescent="0.25">
      <c r="A2017">
        <v>2012</v>
      </c>
      <c r="B2017" t="s">
        <v>9719</v>
      </c>
      <c r="C2017" t="s">
        <v>9720</v>
      </c>
      <c r="D2017" t="s">
        <v>9721</v>
      </c>
      <c r="E2017">
        <v>12</v>
      </c>
      <c r="F2017" t="s">
        <v>9138</v>
      </c>
      <c r="G2017" t="s">
        <v>9061</v>
      </c>
      <c r="H2017" t="s">
        <v>9140</v>
      </c>
      <c r="I2017" t="s">
        <v>9399</v>
      </c>
      <c r="J2017" t="s">
        <v>9722</v>
      </c>
      <c r="K2017" t="s">
        <v>9723</v>
      </c>
      <c r="L2017" t="s">
        <v>9301</v>
      </c>
      <c r="M2017">
        <v>7.6970601081848136</v>
      </c>
      <c r="N2017" t="s">
        <v>54</v>
      </c>
      <c r="O2017" t="s">
        <v>53</v>
      </c>
      <c r="P2017" t="s">
        <v>54</v>
      </c>
      <c r="Q2017" t="s">
        <v>53</v>
      </c>
      <c r="R2017" t="s">
        <v>53</v>
      </c>
      <c r="S2017" t="s">
        <v>9724</v>
      </c>
      <c r="T2017" t="s">
        <v>9725</v>
      </c>
      <c r="U2017" t="s">
        <v>53</v>
      </c>
      <c r="V2017" t="s">
        <v>138</v>
      </c>
      <c r="W2017">
        <v>100000</v>
      </c>
      <c r="X2017" t="s">
        <v>54</v>
      </c>
      <c r="Z2017">
        <v>0</v>
      </c>
      <c r="AA2017">
        <v>107</v>
      </c>
      <c r="AB2017">
        <v>63</v>
      </c>
      <c r="AC2017">
        <v>161</v>
      </c>
      <c r="AD2017">
        <v>114</v>
      </c>
      <c r="AE2017">
        <v>161</v>
      </c>
      <c r="AF2017">
        <v>0</v>
      </c>
      <c r="AG2017">
        <v>0</v>
      </c>
      <c r="AH2017">
        <v>3.809999942779541</v>
      </c>
      <c r="AI2017">
        <v>26</v>
      </c>
      <c r="AJ2017">
        <v>80.781997680664063</v>
      </c>
      <c r="AK2017" t="s">
        <v>54</v>
      </c>
      <c r="AL2017" t="s">
        <v>53</v>
      </c>
      <c r="AQ2017" t="s">
        <v>54</v>
      </c>
      <c r="AT2017" t="s">
        <v>9617</v>
      </c>
      <c r="AW2017" t="s">
        <v>8390</v>
      </c>
      <c r="AZ2017" t="s">
        <v>54</v>
      </c>
      <c r="BA2017" t="s">
        <v>9348</v>
      </c>
    </row>
    <row r="2018" spans="1:53" x14ac:dyDescent="0.25">
      <c r="A2018">
        <v>2013</v>
      </c>
      <c r="B2018" t="s">
        <v>9726</v>
      </c>
      <c r="C2018" t="s">
        <v>9727</v>
      </c>
      <c r="D2018" t="s">
        <v>9728</v>
      </c>
      <c r="E2018">
        <v>12</v>
      </c>
      <c r="F2018" t="s">
        <v>9138</v>
      </c>
      <c r="G2018" t="s">
        <v>9729</v>
      </c>
      <c r="H2018" t="s">
        <v>9207</v>
      </c>
      <c r="I2018" t="s">
        <v>9730</v>
      </c>
      <c r="J2018" t="s">
        <v>9731</v>
      </c>
      <c r="K2018" t="s">
        <v>9732</v>
      </c>
      <c r="L2018" t="s">
        <v>9226</v>
      </c>
      <c r="M2018">
        <v>4.5085400342941277E-2</v>
      </c>
      <c r="N2018" t="s">
        <v>54</v>
      </c>
      <c r="O2018" t="s">
        <v>53</v>
      </c>
      <c r="P2018" t="s">
        <v>53</v>
      </c>
      <c r="Q2018" t="s">
        <v>53</v>
      </c>
      <c r="R2018" t="s">
        <v>53</v>
      </c>
      <c r="S2018" t="s">
        <v>9733</v>
      </c>
      <c r="T2018" t="s">
        <v>9734</v>
      </c>
      <c r="U2018" t="s">
        <v>54</v>
      </c>
      <c r="V2018" t="s">
        <v>51</v>
      </c>
      <c r="W2018">
        <v>150000</v>
      </c>
      <c r="X2018" t="s">
        <v>54</v>
      </c>
      <c r="Z2018">
        <v>0</v>
      </c>
      <c r="AA2018">
        <v>1</v>
      </c>
      <c r="AB2018">
        <v>0</v>
      </c>
      <c r="AC2018">
        <v>0</v>
      </c>
      <c r="AD2018">
        <v>0</v>
      </c>
      <c r="AE2018">
        <v>0</v>
      </c>
      <c r="AF2018">
        <v>0</v>
      </c>
      <c r="AG2018">
        <v>1</v>
      </c>
      <c r="AH2018">
        <v>0.30000001192092901</v>
      </c>
      <c r="AI2018">
        <v>2</v>
      </c>
      <c r="AJ2018">
        <v>0.11628299951553341</v>
      </c>
      <c r="AK2018" t="s">
        <v>54</v>
      </c>
      <c r="AL2018" t="s">
        <v>53</v>
      </c>
      <c r="AQ2018" t="s">
        <v>54</v>
      </c>
      <c r="AT2018" t="s">
        <v>9735</v>
      </c>
      <c r="AW2018" t="s">
        <v>54</v>
      </c>
      <c r="AZ2018" t="s">
        <v>54</v>
      </c>
      <c r="BA2018" t="s">
        <v>9348</v>
      </c>
    </row>
    <row r="2019" spans="1:53" x14ac:dyDescent="0.25">
      <c r="A2019">
        <v>2014</v>
      </c>
      <c r="B2019" t="s">
        <v>9736</v>
      </c>
      <c r="C2019" t="s">
        <v>9737</v>
      </c>
      <c r="D2019" t="s">
        <v>9738</v>
      </c>
      <c r="E2019">
        <v>12</v>
      </c>
      <c r="F2019" t="s">
        <v>9138</v>
      </c>
      <c r="G2019" t="s">
        <v>9729</v>
      </c>
      <c r="H2019" t="s">
        <v>9207</v>
      </c>
      <c r="I2019" t="s">
        <v>9730</v>
      </c>
      <c r="J2019" t="s">
        <v>9739</v>
      </c>
      <c r="K2019" t="s">
        <v>9740</v>
      </c>
      <c r="L2019" t="s">
        <v>9226</v>
      </c>
      <c r="M2019">
        <v>1.1877600103616709E-2</v>
      </c>
      <c r="N2019" t="s">
        <v>54</v>
      </c>
      <c r="O2019" t="s">
        <v>53</v>
      </c>
      <c r="P2019" t="s">
        <v>53</v>
      </c>
      <c r="Q2019" t="s">
        <v>53</v>
      </c>
      <c r="R2019" t="s">
        <v>53</v>
      </c>
      <c r="S2019" t="s">
        <v>9733</v>
      </c>
      <c r="T2019" t="s">
        <v>9734</v>
      </c>
      <c r="U2019" t="s">
        <v>54</v>
      </c>
      <c r="V2019" t="s">
        <v>51</v>
      </c>
      <c r="W2019">
        <v>150000</v>
      </c>
      <c r="X2019" t="s">
        <v>54</v>
      </c>
      <c r="Z2019">
        <v>0</v>
      </c>
      <c r="AA2019">
        <v>0</v>
      </c>
      <c r="AB2019">
        <v>0</v>
      </c>
      <c r="AC2019">
        <v>0</v>
      </c>
      <c r="AD2019">
        <v>0</v>
      </c>
      <c r="AE2019">
        <v>0</v>
      </c>
      <c r="AF2019">
        <v>0</v>
      </c>
      <c r="AG2019">
        <v>0</v>
      </c>
      <c r="AH2019">
        <v>3.9999999105930328E-2</v>
      </c>
      <c r="AI2019">
        <v>1</v>
      </c>
      <c r="AJ2019">
        <v>0</v>
      </c>
      <c r="AK2019" t="s">
        <v>54</v>
      </c>
      <c r="AL2019" t="s">
        <v>53</v>
      </c>
      <c r="AQ2019" t="s">
        <v>54</v>
      </c>
      <c r="AT2019" t="s">
        <v>9735</v>
      </c>
      <c r="AW2019" t="s">
        <v>8390</v>
      </c>
      <c r="AZ2019" t="s">
        <v>54</v>
      </c>
      <c r="BA2019" t="s">
        <v>9348</v>
      </c>
    </row>
    <row r="2020" spans="1:53" x14ac:dyDescent="0.25">
      <c r="A2020">
        <v>2015</v>
      </c>
      <c r="B2020" t="s">
        <v>9741</v>
      </c>
      <c r="C2020" t="s">
        <v>9742</v>
      </c>
      <c r="D2020" t="s">
        <v>9743</v>
      </c>
      <c r="E2020">
        <v>12</v>
      </c>
      <c r="F2020" t="s">
        <v>9138</v>
      </c>
      <c r="G2020" t="s">
        <v>9729</v>
      </c>
      <c r="H2020" t="s">
        <v>9207</v>
      </c>
      <c r="I2020" t="s">
        <v>9744</v>
      </c>
      <c r="J2020" t="s">
        <v>9745</v>
      </c>
      <c r="K2020" t="s">
        <v>9746</v>
      </c>
      <c r="L2020" t="s">
        <v>9226</v>
      </c>
      <c r="M2020">
        <v>7.2700098156929016E-2</v>
      </c>
      <c r="N2020" t="s">
        <v>54</v>
      </c>
      <c r="O2020" t="s">
        <v>53</v>
      </c>
      <c r="P2020" t="s">
        <v>53</v>
      </c>
      <c r="Q2020" t="s">
        <v>53</v>
      </c>
      <c r="R2020" t="s">
        <v>53</v>
      </c>
      <c r="S2020" t="s">
        <v>9733</v>
      </c>
      <c r="T2020" t="s">
        <v>9734</v>
      </c>
      <c r="U2020" t="s">
        <v>54</v>
      </c>
      <c r="V2020" t="s">
        <v>51</v>
      </c>
      <c r="W2020">
        <v>100000</v>
      </c>
      <c r="X2020" t="s">
        <v>54</v>
      </c>
      <c r="Z2020">
        <v>0</v>
      </c>
      <c r="AA2020">
        <v>0</v>
      </c>
      <c r="AB2020">
        <v>0</v>
      </c>
      <c r="AC2020">
        <v>0</v>
      </c>
      <c r="AD2020">
        <v>0</v>
      </c>
      <c r="AE2020">
        <v>0</v>
      </c>
      <c r="AF2020">
        <v>0</v>
      </c>
      <c r="AG2020">
        <v>0</v>
      </c>
      <c r="AH2020">
        <v>0.34999999403953552</v>
      </c>
      <c r="AI2020">
        <v>1</v>
      </c>
      <c r="AJ2020">
        <v>0.44479000568389893</v>
      </c>
      <c r="AK2020" t="s">
        <v>54</v>
      </c>
      <c r="AL2020" t="s">
        <v>53</v>
      </c>
      <c r="AQ2020" t="s">
        <v>54</v>
      </c>
      <c r="AT2020" t="s">
        <v>9735</v>
      </c>
      <c r="AW2020" t="s">
        <v>54</v>
      </c>
      <c r="AZ2020" t="s">
        <v>54</v>
      </c>
      <c r="BA2020" t="s">
        <v>9348</v>
      </c>
    </row>
    <row r="2021" spans="1:53" x14ac:dyDescent="0.25">
      <c r="A2021">
        <v>2016</v>
      </c>
      <c r="B2021" t="s">
        <v>9747</v>
      </c>
      <c r="C2021" t="s">
        <v>9748</v>
      </c>
      <c r="D2021" t="s">
        <v>9749</v>
      </c>
      <c r="E2021">
        <v>12</v>
      </c>
      <c r="F2021" t="s">
        <v>9138</v>
      </c>
      <c r="G2021" t="s">
        <v>9729</v>
      </c>
      <c r="H2021" t="s">
        <v>9207</v>
      </c>
      <c r="I2021" t="s">
        <v>9750</v>
      </c>
      <c r="J2021" t="s">
        <v>9751</v>
      </c>
      <c r="K2021" t="s">
        <v>9752</v>
      </c>
      <c r="L2021" t="s">
        <v>9226</v>
      </c>
      <c r="M2021">
        <v>0.13608500361442569</v>
      </c>
      <c r="N2021" t="s">
        <v>54</v>
      </c>
      <c r="O2021" t="s">
        <v>53</v>
      </c>
      <c r="P2021" t="s">
        <v>53</v>
      </c>
      <c r="Q2021" t="s">
        <v>53</v>
      </c>
      <c r="R2021" t="s">
        <v>53</v>
      </c>
      <c r="S2021" t="s">
        <v>9733</v>
      </c>
      <c r="T2021" t="s">
        <v>9734</v>
      </c>
      <c r="U2021" t="s">
        <v>54</v>
      </c>
      <c r="V2021" t="s">
        <v>51</v>
      </c>
      <c r="W2021">
        <v>300000</v>
      </c>
      <c r="X2021" t="s">
        <v>54</v>
      </c>
      <c r="Z2021">
        <v>0</v>
      </c>
      <c r="AA2021">
        <v>1</v>
      </c>
      <c r="AB2021">
        <v>0</v>
      </c>
      <c r="AC2021">
        <v>1</v>
      </c>
      <c r="AD2021">
        <v>2</v>
      </c>
      <c r="AE2021">
        <v>2</v>
      </c>
      <c r="AF2021">
        <v>0</v>
      </c>
      <c r="AG2021">
        <v>0</v>
      </c>
      <c r="AH2021">
        <v>0.60000002384185791</v>
      </c>
      <c r="AI2021">
        <v>2</v>
      </c>
      <c r="AJ2021">
        <v>0.469868004322052</v>
      </c>
      <c r="AK2021" t="s">
        <v>54</v>
      </c>
      <c r="AL2021" t="s">
        <v>53</v>
      </c>
      <c r="AQ2021" t="s">
        <v>54</v>
      </c>
      <c r="AT2021" t="s">
        <v>9735</v>
      </c>
      <c r="AW2021" t="s">
        <v>54</v>
      </c>
      <c r="AZ2021" t="s">
        <v>54</v>
      </c>
      <c r="BA2021" t="s">
        <v>9348</v>
      </c>
    </row>
    <row r="2022" spans="1:53" x14ac:dyDescent="0.25">
      <c r="A2022">
        <v>2017</v>
      </c>
      <c r="B2022" t="s">
        <v>9753</v>
      </c>
      <c r="C2022" t="s">
        <v>9754</v>
      </c>
      <c r="D2022" t="s">
        <v>9755</v>
      </c>
      <c r="E2022">
        <v>12</v>
      </c>
      <c r="F2022" t="s">
        <v>9138</v>
      </c>
      <c r="G2022" t="s">
        <v>9729</v>
      </c>
      <c r="H2022" t="s">
        <v>9207</v>
      </c>
      <c r="I2022" t="s">
        <v>9730</v>
      </c>
      <c r="J2022" t="s">
        <v>9756</v>
      </c>
      <c r="K2022" t="s">
        <v>9757</v>
      </c>
      <c r="L2022" t="s">
        <v>9226</v>
      </c>
      <c r="M2022">
        <v>6.7472001537680626E-3</v>
      </c>
      <c r="N2022" t="s">
        <v>54</v>
      </c>
      <c r="O2022" t="s">
        <v>53</v>
      </c>
      <c r="P2022" t="s">
        <v>53</v>
      </c>
      <c r="Q2022" t="s">
        <v>53</v>
      </c>
      <c r="R2022" t="s">
        <v>53</v>
      </c>
      <c r="S2022" t="s">
        <v>9733</v>
      </c>
      <c r="T2022" t="s">
        <v>9734</v>
      </c>
      <c r="U2022" t="s">
        <v>54</v>
      </c>
      <c r="V2022" t="s">
        <v>51</v>
      </c>
      <c r="W2022">
        <v>50000</v>
      </c>
      <c r="X2022" t="s">
        <v>54</v>
      </c>
      <c r="Z2022">
        <v>0</v>
      </c>
      <c r="AA2022">
        <v>1</v>
      </c>
      <c r="AB2022">
        <v>1</v>
      </c>
      <c r="AC2022">
        <v>0</v>
      </c>
      <c r="AD2022">
        <v>0</v>
      </c>
      <c r="AE2022">
        <v>0</v>
      </c>
      <c r="AF2022">
        <v>0</v>
      </c>
      <c r="AG2022">
        <v>0</v>
      </c>
      <c r="AH2022">
        <v>0.15000000596046451</v>
      </c>
      <c r="AI2022">
        <v>1</v>
      </c>
      <c r="AJ2022">
        <v>0.2197050005197525</v>
      </c>
      <c r="AK2022" t="s">
        <v>54</v>
      </c>
      <c r="AL2022" t="s">
        <v>53</v>
      </c>
      <c r="AQ2022" t="s">
        <v>54</v>
      </c>
      <c r="AT2022" t="s">
        <v>9735</v>
      </c>
      <c r="AW2022" t="s">
        <v>54</v>
      </c>
      <c r="AZ2022" t="s">
        <v>54</v>
      </c>
      <c r="BA2022" t="s">
        <v>9348</v>
      </c>
    </row>
    <row r="2023" spans="1:53" x14ac:dyDescent="0.25">
      <c r="A2023">
        <v>2018</v>
      </c>
      <c r="B2023" t="s">
        <v>9758</v>
      </c>
      <c r="C2023" t="s">
        <v>9759</v>
      </c>
      <c r="D2023" t="s">
        <v>9760</v>
      </c>
      <c r="E2023">
        <v>12</v>
      </c>
      <c r="F2023" t="s">
        <v>9138</v>
      </c>
      <c r="G2023" t="s">
        <v>9729</v>
      </c>
      <c r="H2023" t="s">
        <v>9207</v>
      </c>
      <c r="I2023" t="s">
        <v>9730</v>
      </c>
      <c r="J2023" t="s">
        <v>9739</v>
      </c>
      <c r="K2023" t="s">
        <v>9740</v>
      </c>
      <c r="L2023" t="s">
        <v>9226</v>
      </c>
      <c r="M2023">
        <v>1.3917599804699419E-2</v>
      </c>
      <c r="N2023" t="s">
        <v>54</v>
      </c>
      <c r="O2023" t="s">
        <v>53</v>
      </c>
      <c r="P2023" t="s">
        <v>53</v>
      </c>
      <c r="Q2023" t="s">
        <v>53</v>
      </c>
      <c r="R2023" t="s">
        <v>53</v>
      </c>
      <c r="S2023" t="s">
        <v>9733</v>
      </c>
      <c r="T2023" t="s">
        <v>9734</v>
      </c>
      <c r="U2023" t="s">
        <v>54</v>
      </c>
      <c r="V2023" t="s">
        <v>51</v>
      </c>
      <c r="W2023">
        <v>50000</v>
      </c>
      <c r="X2023" t="s">
        <v>54</v>
      </c>
      <c r="Z2023">
        <v>0</v>
      </c>
      <c r="AA2023">
        <v>4</v>
      </c>
      <c r="AB2023">
        <v>4</v>
      </c>
      <c r="AC2023">
        <v>1</v>
      </c>
      <c r="AD2023">
        <v>3</v>
      </c>
      <c r="AE2023">
        <v>3</v>
      </c>
      <c r="AF2023">
        <v>0</v>
      </c>
      <c r="AG2023">
        <v>0</v>
      </c>
      <c r="AH2023">
        <v>0.15000000596046451</v>
      </c>
      <c r="AI2023">
        <v>1</v>
      </c>
      <c r="AJ2023">
        <v>0</v>
      </c>
      <c r="AK2023" t="s">
        <v>54</v>
      </c>
      <c r="AL2023" t="s">
        <v>53</v>
      </c>
      <c r="AQ2023" t="s">
        <v>54</v>
      </c>
      <c r="AT2023" t="s">
        <v>9735</v>
      </c>
      <c r="AW2023" t="s">
        <v>54</v>
      </c>
      <c r="AZ2023" t="s">
        <v>54</v>
      </c>
      <c r="BA2023" t="s">
        <v>9348</v>
      </c>
    </row>
    <row r="2024" spans="1:53" x14ac:dyDescent="0.25">
      <c r="A2024">
        <v>2019</v>
      </c>
      <c r="B2024" t="s">
        <v>9761</v>
      </c>
      <c r="C2024" t="s">
        <v>9762</v>
      </c>
      <c r="D2024" t="s">
        <v>9763</v>
      </c>
      <c r="E2024">
        <v>12</v>
      </c>
      <c r="F2024" t="s">
        <v>9138</v>
      </c>
      <c r="G2024" t="s">
        <v>9729</v>
      </c>
      <c r="H2024" t="s">
        <v>9207</v>
      </c>
      <c r="I2024" t="s">
        <v>9730</v>
      </c>
      <c r="J2024" t="s">
        <v>9764</v>
      </c>
      <c r="K2024" t="s">
        <v>9765</v>
      </c>
      <c r="L2024" t="s">
        <v>9766</v>
      </c>
      <c r="M2024">
        <v>3.1527098268270493E-2</v>
      </c>
      <c r="N2024" t="s">
        <v>54</v>
      </c>
      <c r="O2024" t="s">
        <v>53</v>
      </c>
      <c r="P2024" t="s">
        <v>53</v>
      </c>
      <c r="Q2024" t="s">
        <v>53</v>
      </c>
      <c r="R2024" t="s">
        <v>53</v>
      </c>
      <c r="S2024" t="s">
        <v>9733</v>
      </c>
      <c r="T2024" t="s">
        <v>9767</v>
      </c>
      <c r="U2024" t="s">
        <v>54</v>
      </c>
      <c r="V2024" t="s">
        <v>51</v>
      </c>
      <c r="W2024">
        <v>150000</v>
      </c>
      <c r="X2024" t="s">
        <v>54</v>
      </c>
      <c r="Z2024">
        <v>0</v>
      </c>
      <c r="AA2024">
        <v>2</v>
      </c>
      <c r="AB2024">
        <v>2</v>
      </c>
      <c r="AC2024">
        <v>0</v>
      </c>
      <c r="AD2024">
        <v>0</v>
      </c>
      <c r="AE2024">
        <v>0</v>
      </c>
      <c r="AF2024">
        <v>0</v>
      </c>
      <c r="AG2024">
        <v>0</v>
      </c>
      <c r="AH2024">
        <v>9.9999997764825821E-3</v>
      </c>
      <c r="AI2024">
        <v>2</v>
      </c>
      <c r="AJ2024">
        <v>0.79224199056625366</v>
      </c>
      <c r="AK2024" t="s">
        <v>54</v>
      </c>
      <c r="AL2024" t="s">
        <v>53</v>
      </c>
      <c r="AQ2024" t="s">
        <v>54</v>
      </c>
      <c r="AT2024" t="s">
        <v>9735</v>
      </c>
      <c r="AW2024" t="s">
        <v>54</v>
      </c>
      <c r="AZ2024" t="s">
        <v>54</v>
      </c>
      <c r="BA2024" t="s">
        <v>9348</v>
      </c>
    </row>
    <row r="2025" spans="1:53" x14ac:dyDescent="0.25">
      <c r="A2025">
        <v>2020</v>
      </c>
      <c r="B2025" t="s">
        <v>9768</v>
      </c>
      <c r="C2025" t="s">
        <v>9769</v>
      </c>
      <c r="D2025" t="s">
        <v>9770</v>
      </c>
      <c r="E2025">
        <v>12</v>
      </c>
      <c r="F2025" t="s">
        <v>9138</v>
      </c>
      <c r="G2025" t="s">
        <v>9729</v>
      </c>
      <c r="H2025" t="s">
        <v>9207</v>
      </c>
      <c r="I2025" t="s">
        <v>9730</v>
      </c>
      <c r="J2025" t="s">
        <v>9764</v>
      </c>
      <c r="K2025" t="s">
        <v>9765</v>
      </c>
      <c r="L2025" t="s">
        <v>9226</v>
      </c>
      <c r="M2025">
        <v>2.2805299609899521E-2</v>
      </c>
      <c r="N2025" t="s">
        <v>54</v>
      </c>
      <c r="O2025" t="s">
        <v>53</v>
      </c>
      <c r="P2025" t="s">
        <v>53</v>
      </c>
      <c r="Q2025" t="s">
        <v>53</v>
      </c>
      <c r="R2025" t="s">
        <v>53</v>
      </c>
      <c r="S2025" t="s">
        <v>9733</v>
      </c>
      <c r="T2025" t="s">
        <v>9734</v>
      </c>
      <c r="U2025" t="s">
        <v>54</v>
      </c>
      <c r="V2025" t="s">
        <v>51</v>
      </c>
      <c r="W2025">
        <v>50000</v>
      </c>
      <c r="X2025" t="s">
        <v>54</v>
      </c>
      <c r="Z2025">
        <v>0</v>
      </c>
      <c r="AA2025">
        <v>0</v>
      </c>
      <c r="AB2025">
        <v>0</v>
      </c>
      <c r="AC2025">
        <v>0</v>
      </c>
      <c r="AD2025">
        <v>0</v>
      </c>
      <c r="AE2025">
        <v>0</v>
      </c>
      <c r="AF2025">
        <v>0</v>
      </c>
      <c r="AG2025">
        <v>0</v>
      </c>
      <c r="AH2025">
        <v>0.15000000596046451</v>
      </c>
      <c r="AI2025">
        <v>2</v>
      </c>
      <c r="AJ2025">
        <v>0</v>
      </c>
      <c r="AK2025" t="s">
        <v>54</v>
      </c>
      <c r="AL2025" t="s">
        <v>53</v>
      </c>
      <c r="AQ2025" t="s">
        <v>54</v>
      </c>
      <c r="AT2025" t="s">
        <v>9735</v>
      </c>
      <c r="AW2025" t="s">
        <v>54</v>
      </c>
      <c r="AZ2025" t="s">
        <v>54</v>
      </c>
      <c r="BA2025" t="s">
        <v>9348</v>
      </c>
    </row>
    <row r="2026" spans="1:53" x14ac:dyDescent="0.25">
      <c r="A2026">
        <v>2021</v>
      </c>
      <c r="B2026" t="s">
        <v>9771</v>
      </c>
      <c r="C2026" t="s">
        <v>9772</v>
      </c>
      <c r="D2026" t="s">
        <v>9773</v>
      </c>
      <c r="E2026">
        <v>12</v>
      </c>
      <c r="F2026" t="s">
        <v>9138</v>
      </c>
      <c r="G2026" t="s">
        <v>9729</v>
      </c>
      <c r="H2026" t="s">
        <v>9207</v>
      </c>
      <c r="I2026" t="s">
        <v>9730</v>
      </c>
      <c r="J2026" t="s">
        <v>9764</v>
      </c>
      <c r="K2026" t="s">
        <v>9765</v>
      </c>
      <c r="L2026" t="s">
        <v>9226</v>
      </c>
      <c r="M2026">
        <v>1.479959953576326E-2</v>
      </c>
      <c r="N2026" t="s">
        <v>54</v>
      </c>
      <c r="O2026" t="s">
        <v>53</v>
      </c>
      <c r="P2026" t="s">
        <v>53</v>
      </c>
      <c r="Q2026" t="s">
        <v>53</v>
      </c>
      <c r="R2026" t="s">
        <v>53</v>
      </c>
      <c r="S2026" t="s">
        <v>9733</v>
      </c>
      <c r="T2026" t="s">
        <v>9734</v>
      </c>
      <c r="U2026" t="s">
        <v>54</v>
      </c>
      <c r="V2026" t="s">
        <v>51</v>
      </c>
      <c r="W2026">
        <v>50000</v>
      </c>
      <c r="X2026" t="s">
        <v>54</v>
      </c>
      <c r="Z2026">
        <v>0</v>
      </c>
      <c r="AA2026">
        <v>0</v>
      </c>
      <c r="AB2026">
        <v>0</v>
      </c>
      <c r="AC2026">
        <v>0</v>
      </c>
      <c r="AD2026">
        <v>0</v>
      </c>
      <c r="AE2026">
        <v>0</v>
      </c>
      <c r="AF2026">
        <v>0</v>
      </c>
      <c r="AG2026">
        <v>0</v>
      </c>
      <c r="AH2026">
        <v>0.4699999988079071</v>
      </c>
      <c r="AI2026">
        <v>1</v>
      </c>
      <c r="AJ2026">
        <v>0</v>
      </c>
      <c r="AK2026" t="s">
        <v>54</v>
      </c>
      <c r="AL2026" t="s">
        <v>53</v>
      </c>
      <c r="AQ2026" t="s">
        <v>54</v>
      </c>
      <c r="AT2026" t="s">
        <v>9735</v>
      </c>
      <c r="AW2026" t="s">
        <v>54</v>
      </c>
      <c r="AZ2026" t="s">
        <v>54</v>
      </c>
      <c r="BA2026" t="s">
        <v>9348</v>
      </c>
    </row>
    <row r="2027" spans="1:53" x14ac:dyDescent="0.25">
      <c r="A2027">
        <v>2022</v>
      </c>
      <c r="B2027" t="s">
        <v>9774</v>
      </c>
      <c r="C2027" t="s">
        <v>9775</v>
      </c>
      <c r="D2027" t="s">
        <v>9776</v>
      </c>
      <c r="E2027">
        <v>12</v>
      </c>
      <c r="F2027" t="s">
        <v>9138</v>
      </c>
      <c r="G2027" t="s">
        <v>9777</v>
      </c>
      <c r="H2027" t="s">
        <v>9778</v>
      </c>
      <c r="L2027" t="s">
        <v>9614</v>
      </c>
      <c r="M2027">
        <v>4409.740234375</v>
      </c>
      <c r="N2027" t="s">
        <v>54</v>
      </c>
      <c r="O2027" t="s">
        <v>54</v>
      </c>
      <c r="P2027" t="s">
        <v>54</v>
      </c>
      <c r="Q2027" t="s">
        <v>53</v>
      </c>
      <c r="R2027" t="s">
        <v>53</v>
      </c>
      <c r="S2027" t="s">
        <v>9191</v>
      </c>
      <c r="T2027" t="s">
        <v>9734</v>
      </c>
      <c r="U2027" t="s">
        <v>53</v>
      </c>
      <c r="V2027" t="s">
        <v>138</v>
      </c>
      <c r="W2027">
        <v>300000</v>
      </c>
      <c r="X2027" t="s">
        <v>54</v>
      </c>
      <c r="Z2027">
        <v>0</v>
      </c>
      <c r="AA2027">
        <v>19145</v>
      </c>
      <c r="AB2027">
        <v>13704</v>
      </c>
      <c r="AC2027">
        <v>66191</v>
      </c>
      <c r="AD2027">
        <v>43521</v>
      </c>
      <c r="AE2027">
        <v>66191</v>
      </c>
      <c r="AF2027">
        <v>0</v>
      </c>
      <c r="AG2027">
        <v>0</v>
      </c>
      <c r="AH2027">
        <v>753.04998779296875</v>
      </c>
      <c r="AI2027">
        <v>9511</v>
      </c>
      <c r="AJ2027">
        <v>62646.1015625</v>
      </c>
      <c r="AK2027" t="s">
        <v>53</v>
      </c>
      <c r="AL2027" t="s">
        <v>53</v>
      </c>
      <c r="AQ2027" t="s">
        <v>54</v>
      </c>
      <c r="AT2027" t="s">
        <v>9645</v>
      </c>
      <c r="AW2027" t="s">
        <v>8390</v>
      </c>
      <c r="AZ2027" t="s">
        <v>54</v>
      </c>
      <c r="BA2027" t="s">
        <v>9348</v>
      </c>
    </row>
    <row r="2028" spans="1:53" x14ac:dyDescent="0.25">
      <c r="A2028">
        <v>2023</v>
      </c>
      <c r="B2028" t="s">
        <v>9779</v>
      </c>
      <c r="C2028" t="s">
        <v>9780</v>
      </c>
      <c r="D2028" t="s">
        <v>9781</v>
      </c>
      <c r="E2028">
        <v>12</v>
      </c>
      <c r="F2028" t="s">
        <v>9138</v>
      </c>
      <c r="G2028" t="s">
        <v>9777</v>
      </c>
      <c r="H2028" t="s">
        <v>9778</v>
      </c>
      <c r="L2028" t="s">
        <v>9614</v>
      </c>
      <c r="M2028">
        <v>4409.740234375</v>
      </c>
      <c r="N2028" t="s">
        <v>54</v>
      </c>
      <c r="O2028" t="s">
        <v>54</v>
      </c>
      <c r="P2028" t="s">
        <v>54</v>
      </c>
      <c r="Q2028" t="s">
        <v>53</v>
      </c>
      <c r="R2028" t="s">
        <v>53</v>
      </c>
      <c r="S2028" t="s">
        <v>9191</v>
      </c>
      <c r="T2028" t="s">
        <v>9734</v>
      </c>
      <c r="U2028" t="s">
        <v>54</v>
      </c>
      <c r="V2028" t="s">
        <v>138</v>
      </c>
      <c r="W2028">
        <v>50000</v>
      </c>
      <c r="X2028" t="s">
        <v>54</v>
      </c>
      <c r="Z2028">
        <v>0</v>
      </c>
      <c r="AA2028">
        <v>19145</v>
      </c>
      <c r="AB2028">
        <v>13704</v>
      </c>
      <c r="AC2028">
        <v>66191</v>
      </c>
      <c r="AD2028">
        <v>43521</v>
      </c>
      <c r="AE2028">
        <v>66191</v>
      </c>
      <c r="AF2028">
        <v>0</v>
      </c>
      <c r="AG2028">
        <v>0</v>
      </c>
      <c r="AH2028">
        <v>753.04998779296875</v>
      </c>
      <c r="AI2028">
        <v>9511</v>
      </c>
      <c r="AJ2028">
        <v>62646.1015625</v>
      </c>
      <c r="AK2028" t="s">
        <v>54</v>
      </c>
      <c r="AL2028" t="s">
        <v>53</v>
      </c>
      <c r="AQ2028" t="s">
        <v>54</v>
      </c>
      <c r="AT2028" t="s">
        <v>9645</v>
      </c>
      <c r="AW2028" t="s">
        <v>8390</v>
      </c>
      <c r="AZ2028" t="s">
        <v>54</v>
      </c>
      <c r="BA2028" t="s">
        <v>9348</v>
      </c>
    </row>
    <row r="2029" spans="1:53" x14ac:dyDescent="0.25">
      <c r="A2029">
        <v>2024</v>
      </c>
      <c r="B2029" t="s">
        <v>9782</v>
      </c>
      <c r="C2029" t="s">
        <v>9783</v>
      </c>
      <c r="D2029" t="s">
        <v>9784</v>
      </c>
      <c r="E2029">
        <v>12</v>
      </c>
      <c r="F2029" t="s">
        <v>9138</v>
      </c>
      <c r="G2029" t="s">
        <v>9777</v>
      </c>
      <c r="H2029" t="s">
        <v>9778</v>
      </c>
      <c r="L2029" t="s">
        <v>9301</v>
      </c>
      <c r="M2029">
        <v>4409.740234375</v>
      </c>
      <c r="N2029" t="s">
        <v>54</v>
      </c>
      <c r="O2029" t="s">
        <v>54</v>
      </c>
      <c r="P2029" t="s">
        <v>54</v>
      </c>
      <c r="Q2029" t="s">
        <v>53</v>
      </c>
      <c r="R2029" t="s">
        <v>53</v>
      </c>
      <c r="S2029" t="s">
        <v>9191</v>
      </c>
      <c r="T2029" t="s">
        <v>9734</v>
      </c>
      <c r="U2029" t="s">
        <v>53</v>
      </c>
      <c r="V2029" t="s">
        <v>138</v>
      </c>
      <c r="W2029">
        <v>500000</v>
      </c>
      <c r="X2029" t="s">
        <v>54</v>
      </c>
      <c r="Z2029">
        <v>0</v>
      </c>
      <c r="AA2029">
        <v>19145</v>
      </c>
      <c r="AB2029">
        <v>13704</v>
      </c>
      <c r="AC2029">
        <v>66191</v>
      </c>
      <c r="AD2029">
        <v>43521</v>
      </c>
      <c r="AE2029">
        <v>66191</v>
      </c>
      <c r="AF2029">
        <v>0</v>
      </c>
      <c r="AG2029">
        <v>0</v>
      </c>
      <c r="AH2029">
        <v>753.04998779296875</v>
      </c>
      <c r="AI2029">
        <v>9511</v>
      </c>
      <c r="AJ2029">
        <v>62646.1015625</v>
      </c>
      <c r="AK2029" t="s">
        <v>54</v>
      </c>
      <c r="AL2029" t="s">
        <v>53</v>
      </c>
      <c r="AQ2029" t="s">
        <v>54</v>
      </c>
      <c r="AT2029" t="s">
        <v>9645</v>
      </c>
      <c r="AW2029" t="s">
        <v>8390</v>
      </c>
      <c r="AZ2029" t="s">
        <v>54</v>
      </c>
      <c r="BA2029" t="s">
        <v>9348</v>
      </c>
    </row>
    <row r="2030" spans="1:53" x14ac:dyDescent="0.25">
      <c r="A2030">
        <v>2025</v>
      </c>
      <c r="B2030" t="s">
        <v>9785</v>
      </c>
      <c r="C2030" t="s">
        <v>9786</v>
      </c>
      <c r="D2030" t="s">
        <v>9787</v>
      </c>
      <c r="E2030">
        <v>12</v>
      </c>
      <c r="F2030" t="s">
        <v>9138</v>
      </c>
      <c r="G2030" t="s">
        <v>9163</v>
      </c>
      <c r="H2030" t="s">
        <v>9207</v>
      </c>
      <c r="I2030" t="s">
        <v>9243</v>
      </c>
      <c r="J2030" t="s">
        <v>9467</v>
      </c>
      <c r="K2030" t="s">
        <v>9468</v>
      </c>
      <c r="L2030" t="s">
        <v>9766</v>
      </c>
      <c r="M2030">
        <v>3.4689001739025123E-2</v>
      </c>
      <c r="N2030" t="s">
        <v>53</v>
      </c>
      <c r="O2030" t="s">
        <v>53</v>
      </c>
      <c r="P2030" t="s">
        <v>53</v>
      </c>
      <c r="Q2030" t="s">
        <v>53</v>
      </c>
      <c r="R2030" t="s">
        <v>53</v>
      </c>
      <c r="S2030" t="s">
        <v>9191</v>
      </c>
      <c r="T2030" t="s">
        <v>9255</v>
      </c>
      <c r="U2030" t="s">
        <v>54</v>
      </c>
      <c r="V2030" t="s">
        <v>51</v>
      </c>
      <c r="W2030">
        <v>250000</v>
      </c>
      <c r="X2030" t="s">
        <v>54</v>
      </c>
      <c r="Z2030">
        <v>0</v>
      </c>
      <c r="AA2030">
        <v>0</v>
      </c>
      <c r="AB2030">
        <v>0</v>
      </c>
      <c r="AC2030">
        <v>0</v>
      </c>
      <c r="AD2030">
        <v>0</v>
      </c>
      <c r="AE2030">
        <v>0</v>
      </c>
      <c r="AF2030">
        <v>0</v>
      </c>
      <c r="AG2030">
        <v>0</v>
      </c>
      <c r="AH2030">
        <v>0</v>
      </c>
      <c r="AI2030">
        <v>0</v>
      </c>
      <c r="AJ2030">
        <v>0</v>
      </c>
      <c r="AK2030" t="s">
        <v>54</v>
      </c>
      <c r="AL2030" t="s">
        <v>53</v>
      </c>
      <c r="AQ2030" t="s">
        <v>53</v>
      </c>
      <c r="AT2030" t="s">
        <v>9645</v>
      </c>
      <c r="AW2030" t="s">
        <v>53</v>
      </c>
      <c r="AZ2030" t="s">
        <v>54</v>
      </c>
      <c r="BA2030" t="s">
        <v>9348</v>
      </c>
    </row>
    <row r="2031" spans="1:53" x14ac:dyDescent="0.25">
      <c r="A2031">
        <v>2026</v>
      </c>
      <c r="B2031" t="s">
        <v>9788</v>
      </c>
      <c r="C2031" t="s">
        <v>9789</v>
      </c>
      <c r="D2031" t="s">
        <v>9790</v>
      </c>
      <c r="E2031">
        <v>12</v>
      </c>
      <c r="F2031" t="s">
        <v>9138</v>
      </c>
      <c r="G2031" t="s">
        <v>9777</v>
      </c>
      <c r="H2031" t="s">
        <v>9778</v>
      </c>
      <c r="L2031" t="s">
        <v>9766</v>
      </c>
      <c r="M2031">
        <v>4409.740234375</v>
      </c>
      <c r="N2031" t="s">
        <v>54</v>
      </c>
      <c r="O2031" t="s">
        <v>54</v>
      </c>
      <c r="P2031" t="s">
        <v>54</v>
      </c>
      <c r="Q2031" t="s">
        <v>53</v>
      </c>
      <c r="R2031" t="s">
        <v>53</v>
      </c>
      <c r="S2031" t="s">
        <v>9191</v>
      </c>
      <c r="T2031" t="s">
        <v>9255</v>
      </c>
      <c r="U2031" t="s">
        <v>54</v>
      </c>
      <c r="V2031" t="s">
        <v>51</v>
      </c>
      <c r="W2031">
        <v>600000</v>
      </c>
      <c r="X2031" t="s">
        <v>54</v>
      </c>
      <c r="Z2031">
        <v>0</v>
      </c>
      <c r="AA2031">
        <v>19145</v>
      </c>
      <c r="AB2031">
        <v>13704</v>
      </c>
      <c r="AC2031">
        <v>66191</v>
      </c>
      <c r="AD2031">
        <v>43521</v>
      </c>
      <c r="AE2031">
        <v>66191</v>
      </c>
      <c r="AF2031">
        <v>0</v>
      </c>
      <c r="AG2031">
        <v>0</v>
      </c>
      <c r="AH2031">
        <v>753.04998779296875</v>
      </c>
      <c r="AI2031">
        <v>9511</v>
      </c>
      <c r="AJ2031">
        <v>62646.1015625</v>
      </c>
      <c r="AK2031" t="s">
        <v>54</v>
      </c>
      <c r="AL2031" t="s">
        <v>53</v>
      </c>
      <c r="AQ2031" t="s">
        <v>54</v>
      </c>
      <c r="AT2031" t="s">
        <v>9645</v>
      </c>
      <c r="AW2031" t="s">
        <v>8390</v>
      </c>
      <c r="AZ2031" t="s">
        <v>54</v>
      </c>
      <c r="BA2031" t="s">
        <v>9348</v>
      </c>
    </row>
    <row r="2032" spans="1:53" x14ac:dyDescent="0.25">
      <c r="A2032">
        <v>2027</v>
      </c>
      <c r="B2032" t="s">
        <v>9791</v>
      </c>
      <c r="C2032" t="s">
        <v>9792</v>
      </c>
      <c r="D2032" t="s">
        <v>9793</v>
      </c>
      <c r="E2032">
        <v>12</v>
      </c>
      <c r="F2032" t="s">
        <v>9138</v>
      </c>
      <c r="G2032" t="s">
        <v>9163</v>
      </c>
      <c r="H2032" t="s">
        <v>9207</v>
      </c>
      <c r="I2032" t="s">
        <v>9243</v>
      </c>
      <c r="J2032" t="s">
        <v>9260</v>
      </c>
      <c r="K2032" t="s">
        <v>9261</v>
      </c>
      <c r="L2032" t="s">
        <v>9766</v>
      </c>
      <c r="M2032">
        <v>2.4027701001614328E-3</v>
      </c>
      <c r="N2032" t="s">
        <v>54</v>
      </c>
      <c r="O2032" t="s">
        <v>53</v>
      </c>
      <c r="P2032" t="s">
        <v>53</v>
      </c>
      <c r="Q2032" t="s">
        <v>53</v>
      </c>
      <c r="R2032" t="s">
        <v>53</v>
      </c>
      <c r="S2032" t="s">
        <v>9733</v>
      </c>
      <c r="T2032" t="s">
        <v>9734</v>
      </c>
      <c r="U2032" t="s">
        <v>54</v>
      </c>
      <c r="V2032" t="s">
        <v>51</v>
      </c>
      <c r="W2032">
        <v>150000</v>
      </c>
      <c r="X2032" t="s">
        <v>54</v>
      </c>
      <c r="Z2032">
        <v>0</v>
      </c>
      <c r="AA2032">
        <v>0</v>
      </c>
      <c r="AB2032">
        <v>0</v>
      </c>
      <c r="AC2032">
        <v>0</v>
      </c>
      <c r="AD2032">
        <v>0</v>
      </c>
      <c r="AE2032">
        <v>0</v>
      </c>
      <c r="AF2032">
        <v>0</v>
      </c>
      <c r="AG2032">
        <v>0</v>
      </c>
      <c r="AH2032">
        <v>0</v>
      </c>
      <c r="AI2032">
        <v>0</v>
      </c>
      <c r="AJ2032">
        <v>0.17635899782180789</v>
      </c>
      <c r="AK2032" t="s">
        <v>54</v>
      </c>
      <c r="AL2032" t="s">
        <v>53</v>
      </c>
      <c r="AQ2032" t="s">
        <v>53</v>
      </c>
      <c r="AT2032" t="s">
        <v>9735</v>
      </c>
      <c r="AW2032" t="s">
        <v>53</v>
      </c>
      <c r="AZ2032" t="s">
        <v>54</v>
      </c>
      <c r="BA2032" t="s">
        <v>9348</v>
      </c>
    </row>
    <row r="2033" spans="1:53" x14ac:dyDescent="0.25">
      <c r="A2033">
        <v>2028</v>
      </c>
      <c r="B2033" t="s">
        <v>9794</v>
      </c>
      <c r="C2033" t="s">
        <v>9795</v>
      </c>
      <c r="D2033" t="s">
        <v>9796</v>
      </c>
      <c r="E2033">
        <v>12</v>
      </c>
      <c r="F2033" t="s">
        <v>9138</v>
      </c>
      <c r="G2033" t="s">
        <v>9611</v>
      </c>
      <c r="H2033" t="s">
        <v>9207</v>
      </c>
      <c r="I2033" t="s">
        <v>9208</v>
      </c>
      <c r="J2033" t="s">
        <v>9637</v>
      </c>
      <c r="K2033" t="s">
        <v>9638</v>
      </c>
      <c r="L2033" t="s">
        <v>9226</v>
      </c>
      <c r="M2033">
        <v>1.6882600262761119E-2</v>
      </c>
      <c r="N2033" t="s">
        <v>54</v>
      </c>
      <c r="O2033" t="s">
        <v>53</v>
      </c>
      <c r="P2033" t="s">
        <v>53</v>
      </c>
      <c r="Q2033" t="s">
        <v>53</v>
      </c>
      <c r="R2033" t="s">
        <v>53</v>
      </c>
      <c r="S2033" t="s">
        <v>9615</v>
      </c>
      <c r="T2033" t="s">
        <v>9616</v>
      </c>
      <c r="U2033" t="s">
        <v>53</v>
      </c>
      <c r="V2033" t="s">
        <v>51</v>
      </c>
      <c r="W2033">
        <v>50000</v>
      </c>
      <c r="X2033" t="s">
        <v>54</v>
      </c>
      <c r="Z2033">
        <v>0</v>
      </c>
      <c r="AA2033">
        <v>0</v>
      </c>
      <c r="AB2033">
        <v>0</v>
      </c>
      <c r="AC2033">
        <v>0</v>
      </c>
      <c r="AD2033">
        <v>0</v>
      </c>
      <c r="AE2033">
        <v>0</v>
      </c>
      <c r="AF2033">
        <v>0</v>
      </c>
      <c r="AG2033">
        <v>0</v>
      </c>
      <c r="AH2033">
        <v>5.9999998658895493E-2</v>
      </c>
      <c r="AI2033">
        <v>1</v>
      </c>
      <c r="AJ2033">
        <v>9.2391997575759888E-2</v>
      </c>
      <c r="AK2033" t="s">
        <v>54</v>
      </c>
      <c r="AL2033" t="s">
        <v>53</v>
      </c>
      <c r="AQ2033" t="s">
        <v>53</v>
      </c>
      <c r="AT2033" t="s">
        <v>9689</v>
      </c>
      <c r="AW2033" t="s">
        <v>54</v>
      </c>
      <c r="AZ2033" t="s">
        <v>54</v>
      </c>
      <c r="BA2033" t="s">
        <v>9348</v>
      </c>
    </row>
    <row r="2034" spans="1:53" x14ac:dyDescent="0.25">
      <c r="A2034">
        <v>2029</v>
      </c>
      <c r="B2034" t="s">
        <v>9797</v>
      </c>
      <c r="C2034" t="s">
        <v>9798</v>
      </c>
      <c r="D2034" t="s">
        <v>9799</v>
      </c>
      <c r="E2034">
        <v>12</v>
      </c>
      <c r="F2034" t="s">
        <v>9138</v>
      </c>
      <c r="G2034" t="s">
        <v>9611</v>
      </c>
      <c r="H2034" t="s">
        <v>9207</v>
      </c>
      <c r="I2034" t="s">
        <v>9208</v>
      </c>
      <c r="J2034" t="s">
        <v>9637</v>
      </c>
      <c r="K2034" t="s">
        <v>9638</v>
      </c>
      <c r="L2034" t="s">
        <v>9226</v>
      </c>
      <c r="M2034">
        <v>0.10609400272369381</v>
      </c>
      <c r="N2034" t="s">
        <v>53</v>
      </c>
      <c r="O2034" t="s">
        <v>53</v>
      </c>
      <c r="P2034" t="s">
        <v>53</v>
      </c>
      <c r="Q2034" t="s">
        <v>53</v>
      </c>
      <c r="R2034" t="s">
        <v>53</v>
      </c>
      <c r="S2034" t="s">
        <v>9615</v>
      </c>
      <c r="T2034" t="s">
        <v>9616</v>
      </c>
      <c r="U2034" t="s">
        <v>53</v>
      </c>
      <c r="V2034" t="s">
        <v>51</v>
      </c>
      <c r="W2034">
        <v>50000</v>
      </c>
      <c r="X2034" t="s">
        <v>54</v>
      </c>
      <c r="Z2034">
        <v>0</v>
      </c>
      <c r="AA2034">
        <v>0</v>
      </c>
      <c r="AB2034">
        <v>0</v>
      </c>
      <c r="AC2034">
        <v>0</v>
      </c>
      <c r="AD2034">
        <v>0</v>
      </c>
      <c r="AE2034">
        <v>0</v>
      </c>
      <c r="AF2034">
        <v>0</v>
      </c>
      <c r="AG2034">
        <v>0</v>
      </c>
      <c r="AH2034">
        <v>0</v>
      </c>
      <c r="AI2034">
        <v>0</v>
      </c>
      <c r="AJ2034">
        <v>0</v>
      </c>
      <c r="AK2034" t="s">
        <v>54</v>
      </c>
      <c r="AL2034" t="s">
        <v>53</v>
      </c>
      <c r="AQ2034" t="s">
        <v>53</v>
      </c>
      <c r="AT2034" t="s">
        <v>9689</v>
      </c>
      <c r="AW2034" t="s">
        <v>53</v>
      </c>
      <c r="AZ2034" t="s">
        <v>54</v>
      </c>
      <c r="BA2034" t="s">
        <v>9348</v>
      </c>
    </row>
    <row r="2035" spans="1:53" x14ac:dyDescent="0.25">
      <c r="A2035">
        <v>2030</v>
      </c>
      <c r="B2035" t="s">
        <v>9800</v>
      </c>
      <c r="C2035" t="s">
        <v>9801</v>
      </c>
      <c r="D2035" t="s">
        <v>9802</v>
      </c>
      <c r="E2035">
        <v>12</v>
      </c>
      <c r="F2035" t="s">
        <v>9138</v>
      </c>
      <c r="G2035" t="s">
        <v>9163</v>
      </c>
      <c r="H2035" t="s">
        <v>9207</v>
      </c>
      <c r="I2035" t="s">
        <v>9208</v>
      </c>
      <c r="J2035" t="s">
        <v>9803</v>
      </c>
      <c r="K2035" t="s">
        <v>9804</v>
      </c>
      <c r="L2035" t="s">
        <v>9805</v>
      </c>
      <c r="M2035">
        <v>0.97277098894119263</v>
      </c>
      <c r="N2035" t="s">
        <v>54</v>
      </c>
      <c r="O2035" t="s">
        <v>53</v>
      </c>
      <c r="P2035" t="s">
        <v>53</v>
      </c>
      <c r="Q2035" t="s">
        <v>53</v>
      </c>
      <c r="R2035" t="s">
        <v>53</v>
      </c>
      <c r="S2035" t="s">
        <v>9806</v>
      </c>
      <c r="T2035" t="s">
        <v>9807</v>
      </c>
      <c r="U2035" t="s">
        <v>54</v>
      </c>
      <c r="V2035" t="s">
        <v>51</v>
      </c>
      <c r="W2035">
        <v>150000</v>
      </c>
      <c r="X2035" t="s">
        <v>54</v>
      </c>
      <c r="Z2035">
        <v>0</v>
      </c>
      <c r="AA2035">
        <v>94</v>
      </c>
      <c r="AB2035">
        <v>63</v>
      </c>
      <c r="AC2035">
        <v>100</v>
      </c>
      <c r="AD2035">
        <v>97</v>
      </c>
      <c r="AE2035">
        <v>100</v>
      </c>
      <c r="AF2035">
        <v>0</v>
      </c>
      <c r="AG2035">
        <v>0</v>
      </c>
      <c r="AH2035">
        <v>2.5499999523162842</v>
      </c>
      <c r="AI2035">
        <v>13</v>
      </c>
      <c r="AJ2035">
        <v>7.993445873260498</v>
      </c>
      <c r="AK2035" t="s">
        <v>54</v>
      </c>
      <c r="AL2035" t="s">
        <v>53</v>
      </c>
      <c r="AQ2035" t="s">
        <v>54</v>
      </c>
      <c r="AT2035" t="s">
        <v>9213</v>
      </c>
      <c r="AW2035" t="s">
        <v>54</v>
      </c>
      <c r="AZ2035" t="s">
        <v>54</v>
      </c>
      <c r="BA2035" t="s">
        <v>9348</v>
      </c>
    </row>
    <row r="2036" spans="1:53" x14ac:dyDescent="0.25">
      <c r="A2036">
        <v>2031</v>
      </c>
      <c r="B2036" t="s">
        <v>9808</v>
      </c>
      <c r="C2036" t="s">
        <v>9809</v>
      </c>
      <c r="D2036" t="s">
        <v>9810</v>
      </c>
      <c r="E2036">
        <v>12</v>
      </c>
      <c r="F2036" t="s">
        <v>9138</v>
      </c>
      <c r="G2036" t="s">
        <v>9163</v>
      </c>
      <c r="H2036" t="s">
        <v>9207</v>
      </c>
      <c r="I2036" t="s">
        <v>9208</v>
      </c>
      <c r="J2036" t="s">
        <v>9811</v>
      </c>
      <c r="K2036" t="s">
        <v>9812</v>
      </c>
      <c r="L2036" t="s">
        <v>9805</v>
      </c>
      <c r="M2036">
        <v>3.7666000425815582E-2</v>
      </c>
      <c r="N2036" t="s">
        <v>54</v>
      </c>
      <c r="O2036" t="s">
        <v>53</v>
      </c>
      <c r="P2036" t="s">
        <v>53</v>
      </c>
      <c r="Q2036" t="s">
        <v>53</v>
      </c>
      <c r="R2036" t="s">
        <v>53</v>
      </c>
      <c r="S2036" t="s">
        <v>9806</v>
      </c>
      <c r="T2036" t="s">
        <v>9807</v>
      </c>
      <c r="U2036" t="s">
        <v>54</v>
      </c>
      <c r="V2036" t="s">
        <v>51</v>
      </c>
      <c r="W2036">
        <v>150000</v>
      </c>
      <c r="X2036" t="s">
        <v>54</v>
      </c>
      <c r="Z2036">
        <v>0</v>
      </c>
      <c r="AA2036">
        <v>1</v>
      </c>
      <c r="AB2036">
        <v>0</v>
      </c>
      <c r="AC2036">
        <v>0</v>
      </c>
      <c r="AD2036">
        <v>2</v>
      </c>
      <c r="AE2036">
        <v>2</v>
      </c>
      <c r="AF2036">
        <v>0</v>
      </c>
      <c r="AG2036">
        <v>0</v>
      </c>
      <c r="AH2036">
        <v>0</v>
      </c>
      <c r="AI2036">
        <v>0</v>
      </c>
      <c r="AJ2036">
        <v>0</v>
      </c>
      <c r="AK2036" t="s">
        <v>54</v>
      </c>
      <c r="AL2036" t="s">
        <v>53</v>
      </c>
      <c r="AQ2036" t="s">
        <v>54</v>
      </c>
      <c r="AT2036" t="s">
        <v>9213</v>
      </c>
      <c r="AW2036" t="s">
        <v>54</v>
      </c>
      <c r="AZ2036" t="s">
        <v>54</v>
      </c>
      <c r="BA2036" t="s">
        <v>9348</v>
      </c>
    </row>
    <row r="2037" spans="1:53" x14ac:dyDescent="0.25">
      <c r="A2037">
        <v>2032</v>
      </c>
      <c r="B2037" t="s">
        <v>9813</v>
      </c>
      <c r="C2037" t="s">
        <v>9814</v>
      </c>
      <c r="D2037" t="s">
        <v>9815</v>
      </c>
      <c r="E2037">
        <v>12</v>
      </c>
      <c r="F2037" t="s">
        <v>9138</v>
      </c>
      <c r="G2037" t="s">
        <v>9163</v>
      </c>
      <c r="H2037" t="s">
        <v>9207</v>
      </c>
      <c r="I2037" t="s">
        <v>9208</v>
      </c>
      <c r="J2037" t="s">
        <v>9816</v>
      </c>
      <c r="K2037" t="s">
        <v>9817</v>
      </c>
      <c r="L2037" t="s">
        <v>9805</v>
      </c>
      <c r="M2037">
        <v>0.24549899995326999</v>
      </c>
      <c r="N2037" t="s">
        <v>54</v>
      </c>
      <c r="O2037" t="s">
        <v>53</v>
      </c>
      <c r="P2037" t="s">
        <v>53</v>
      </c>
      <c r="Q2037" t="s">
        <v>53</v>
      </c>
      <c r="R2037" t="s">
        <v>53</v>
      </c>
      <c r="S2037" t="s">
        <v>9806</v>
      </c>
      <c r="T2037" t="s">
        <v>9818</v>
      </c>
      <c r="U2037" t="s">
        <v>54</v>
      </c>
      <c r="V2037" t="s">
        <v>51</v>
      </c>
      <c r="W2037">
        <v>100000</v>
      </c>
      <c r="X2037" t="s">
        <v>54</v>
      </c>
      <c r="Z2037">
        <v>0</v>
      </c>
      <c r="AA2037">
        <v>13</v>
      </c>
      <c r="AB2037">
        <v>9</v>
      </c>
      <c r="AC2037">
        <v>11</v>
      </c>
      <c r="AD2037">
        <v>39</v>
      </c>
      <c r="AE2037">
        <v>39</v>
      </c>
      <c r="AF2037">
        <v>0</v>
      </c>
      <c r="AG2037">
        <v>0</v>
      </c>
      <c r="AH2037">
        <v>0.34999999403953552</v>
      </c>
      <c r="AI2037">
        <v>2</v>
      </c>
      <c r="AJ2037">
        <v>0.27402400970458979</v>
      </c>
      <c r="AK2037" t="s">
        <v>54</v>
      </c>
      <c r="AL2037" t="s">
        <v>53</v>
      </c>
      <c r="AQ2037" t="s">
        <v>54</v>
      </c>
      <c r="AT2037" t="s">
        <v>9213</v>
      </c>
      <c r="AW2037" t="s">
        <v>54</v>
      </c>
      <c r="AZ2037" t="s">
        <v>54</v>
      </c>
      <c r="BA2037" t="s">
        <v>9348</v>
      </c>
    </row>
    <row r="2038" spans="1:53" x14ac:dyDescent="0.25">
      <c r="A2038">
        <v>2033</v>
      </c>
      <c r="B2038" t="s">
        <v>9819</v>
      </c>
      <c r="C2038" t="s">
        <v>9820</v>
      </c>
      <c r="D2038" t="s">
        <v>9821</v>
      </c>
      <c r="E2038">
        <v>12</v>
      </c>
      <c r="F2038" t="s">
        <v>9138</v>
      </c>
      <c r="G2038" t="s">
        <v>9611</v>
      </c>
      <c r="H2038" t="s">
        <v>9207</v>
      </c>
      <c r="I2038" t="s">
        <v>9208</v>
      </c>
      <c r="J2038" t="s">
        <v>9667</v>
      </c>
      <c r="K2038" t="s">
        <v>9668</v>
      </c>
      <c r="L2038" t="s">
        <v>9766</v>
      </c>
      <c r="M2038">
        <v>0.62901300191879272</v>
      </c>
      <c r="N2038" t="s">
        <v>54</v>
      </c>
      <c r="O2038" t="s">
        <v>53</v>
      </c>
      <c r="P2038" t="s">
        <v>53</v>
      </c>
      <c r="Q2038" t="s">
        <v>53</v>
      </c>
      <c r="R2038" t="s">
        <v>53</v>
      </c>
      <c r="S2038" t="s">
        <v>9669</v>
      </c>
      <c r="T2038" t="s">
        <v>9670</v>
      </c>
      <c r="U2038" t="s">
        <v>54</v>
      </c>
      <c r="V2038" t="s">
        <v>51</v>
      </c>
      <c r="W2038">
        <v>50000</v>
      </c>
      <c r="X2038" t="s">
        <v>54</v>
      </c>
      <c r="Z2038">
        <v>0</v>
      </c>
      <c r="AA2038">
        <v>170</v>
      </c>
      <c r="AB2038">
        <v>133</v>
      </c>
      <c r="AC2038">
        <v>99</v>
      </c>
      <c r="AD2038">
        <v>263</v>
      </c>
      <c r="AE2038">
        <v>263</v>
      </c>
      <c r="AF2038">
        <v>0</v>
      </c>
      <c r="AG2038">
        <v>0</v>
      </c>
      <c r="AH2038">
        <v>4.2199997901916504</v>
      </c>
      <c r="AI2038">
        <v>24</v>
      </c>
      <c r="AJ2038">
        <v>1.400189995765686</v>
      </c>
      <c r="AK2038" t="s">
        <v>54</v>
      </c>
      <c r="AL2038" t="s">
        <v>53</v>
      </c>
      <c r="AQ2038" t="s">
        <v>54</v>
      </c>
      <c r="AT2038" t="s">
        <v>9671</v>
      </c>
      <c r="AW2038" t="s">
        <v>54</v>
      </c>
      <c r="AZ2038" t="s">
        <v>54</v>
      </c>
      <c r="BA2038" t="s">
        <v>9348</v>
      </c>
    </row>
    <row r="2039" spans="1:53" x14ac:dyDescent="0.25">
      <c r="A2039">
        <v>2034</v>
      </c>
      <c r="B2039" t="s">
        <v>9822</v>
      </c>
      <c r="C2039" t="s">
        <v>9823</v>
      </c>
      <c r="D2039" t="s">
        <v>9824</v>
      </c>
      <c r="E2039">
        <v>12</v>
      </c>
      <c r="F2039" t="s">
        <v>9138</v>
      </c>
      <c r="G2039" t="s">
        <v>9139</v>
      </c>
      <c r="H2039" t="s">
        <v>9140</v>
      </c>
      <c r="I2039" t="s">
        <v>9187</v>
      </c>
      <c r="J2039" t="s">
        <v>9188</v>
      </c>
      <c r="K2039" t="s">
        <v>9189</v>
      </c>
      <c r="L2039" t="s">
        <v>9825</v>
      </c>
      <c r="M2039">
        <v>3.9684601128101349E-2</v>
      </c>
      <c r="N2039" t="s">
        <v>54</v>
      </c>
      <c r="O2039" t="s">
        <v>53</v>
      </c>
      <c r="P2039" t="s">
        <v>53</v>
      </c>
      <c r="Q2039" t="s">
        <v>53</v>
      </c>
      <c r="R2039" t="s">
        <v>53</v>
      </c>
      <c r="S2039" t="s">
        <v>9346</v>
      </c>
      <c r="T2039" t="s">
        <v>9192</v>
      </c>
      <c r="U2039" t="s">
        <v>54</v>
      </c>
      <c r="V2039" t="s">
        <v>51</v>
      </c>
      <c r="W2039">
        <v>150000</v>
      </c>
      <c r="X2039" t="s">
        <v>54</v>
      </c>
      <c r="Z2039">
        <v>0</v>
      </c>
      <c r="AA2039">
        <v>1</v>
      </c>
      <c r="AB2039">
        <v>0</v>
      </c>
      <c r="AC2039">
        <v>1</v>
      </c>
      <c r="AD2039">
        <v>0</v>
      </c>
      <c r="AE2039">
        <v>1</v>
      </c>
      <c r="AF2039">
        <v>0</v>
      </c>
      <c r="AG2039">
        <v>0</v>
      </c>
      <c r="AH2039">
        <v>9.0000003576278687E-2</v>
      </c>
      <c r="AI2039">
        <v>2</v>
      </c>
      <c r="AJ2039">
        <v>4.3053001165390008E-2</v>
      </c>
      <c r="AK2039" t="s">
        <v>54</v>
      </c>
      <c r="AL2039" t="s">
        <v>53</v>
      </c>
      <c r="AQ2039" t="s">
        <v>54</v>
      </c>
      <c r="AT2039" t="s">
        <v>9628</v>
      </c>
      <c r="AW2039" t="s">
        <v>8390</v>
      </c>
      <c r="AZ2039" t="s">
        <v>54</v>
      </c>
      <c r="BA2039" t="s">
        <v>9348</v>
      </c>
    </row>
    <row r="2040" spans="1:53" x14ac:dyDescent="0.25">
      <c r="A2040">
        <v>2035</v>
      </c>
      <c r="B2040" t="s">
        <v>9826</v>
      </c>
      <c r="C2040" t="s">
        <v>9827</v>
      </c>
      <c r="D2040" t="s">
        <v>9828</v>
      </c>
      <c r="E2040">
        <v>12</v>
      </c>
      <c r="F2040" t="s">
        <v>9138</v>
      </c>
      <c r="G2040" t="s">
        <v>9061</v>
      </c>
      <c r="H2040" t="s">
        <v>9152</v>
      </c>
      <c r="I2040" t="s">
        <v>9693</v>
      </c>
      <c r="J2040" t="s">
        <v>9694</v>
      </c>
      <c r="K2040" t="s">
        <v>9695</v>
      </c>
      <c r="L2040" t="s">
        <v>9766</v>
      </c>
      <c r="M2040">
        <v>2.425320073962212E-2</v>
      </c>
      <c r="N2040" t="s">
        <v>54</v>
      </c>
      <c r="O2040" t="s">
        <v>53</v>
      </c>
      <c r="P2040" t="s">
        <v>53</v>
      </c>
      <c r="Q2040" t="s">
        <v>53</v>
      </c>
      <c r="R2040" t="s">
        <v>53</v>
      </c>
      <c r="S2040" t="s">
        <v>9696</v>
      </c>
      <c r="T2040" t="s">
        <v>9697</v>
      </c>
      <c r="U2040" t="s">
        <v>54</v>
      </c>
      <c r="V2040" t="s">
        <v>51</v>
      </c>
      <c r="W2040">
        <v>150000</v>
      </c>
      <c r="X2040" t="s">
        <v>54</v>
      </c>
      <c r="Z2040">
        <v>0</v>
      </c>
      <c r="AA2040">
        <v>5</v>
      </c>
      <c r="AB2040">
        <v>5</v>
      </c>
      <c r="AC2040">
        <v>2</v>
      </c>
      <c r="AD2040">
        <v>9</v>
      </c>
      <c r="AE2040">
        <v>9</v>
      </c>
      <c r="AF2040">
        <v>0</v>
      </c>
      <c r="AG2040">
        <v>0</v>
      </c>
      <c r="AH2040">
        <v>0.14000000059604639</v>
      </c>
      <c r="AI2040">
        <v>2</v>
      </c>
      <c r="AJ2040">
        <v>2.0121901035308838</v>
      </c>
      <c r="AK2040" t="s">
        <v>54</v>
      </c>
      <c r="AL2040" t="s">
        <v>53</v>
      </c>
      <c r="AQ2040" t="s">
        <v>54</v>
      </c>
      <c r="AT2040" t="s">
        <v>9147</v>
      </c>
      <c r="AW2040" t="s">
        <v>54</v>
      </c>
      <c r="AZ2040" t="s">
        <v>54</v>
      </c>
      <c r="BA2040" t="s">
        <v>9348</v>
      </c>
    </row>
    <row r="2041" spans="1:53" x14ac:dyDescent="0.25">
      <c r="A2041">
        <v>2036</v>
      </c>
      <c r="B2041" t="s">
        <v>9829</v>
      </c>
      <c r="C2041" t="s">
        <v>9830</v>
      </c>
      <c r="D2041" t="s">
        <v>9831</v>
      </c>
      <c r="E2041">
        <v>12</v>
      </c>
      <c r="F2041" t="s">
        <v>9138</v>
      </c>
      <c r="G2041" t="s">
        <v>9061</v>
      </c>
      <c r="H2041" t="s">
        <v>9140</v>
      </c>
      <c r="I2041" t="s">
        <v>9399</v>
      </c>
      <c r="J2041" t="s">
        <v>9589</v>
      </c>
      <c r="K2041" t="s">
        <v>9590</v>
      </c>
      <c r="L2041" t="s">
        <v>9226</v>
      </c>
      <c r="M2041">
        <v>4.9246399430558085E-4</v>
      </c>
      <c r="N2041" t="s">
        <v>54</v>
      </c>
      <c r="O2041" t="s">
        <v>53</v>
      </c>
      <c r="P2041" t="s">
        <v>53</v>
      </c>
      <c r="Q2041" t="s">
        <v>53</v>
      </c>
      <c r="R2041" t="s">
        <v>53</v>
      </c>
      <c r="S2041" t="s">
        <v>9733</v>
      </c>
      <c r="T2041" t="s">
        <v>9402</v>
      </c>
      <c r="U2041" t="s">
        <v>54</v>
      </c>
      <c r="V2041" t="s">
        <v>51</v>
      </c>
      <c r="W2041">
        <v>100000</v>
      </c>
      <c r="X2041" t="s">
        <v>54</v>
      </c>
      <c r="Z2041">
        <v>0</v>
      </c>
      <c r="AA2041">
        <v>0</v>
      </c>
      <c r="AB2041">
        <v>0</v>
      </c>
      <c r="AC2041">
        <v>0</v>
      </c>
      <c r="AD2041">
        <v>0</v>
      </c>
      <c r="AE2041">
        <v>0</v>
      </c>
      <c r="AF2041">
        <v>0</v>
      </c>
      <c r="AG2041">
        <v>0</v>
      </c>
      <c r="AH2041">
        <v>3.9999999105930328E-2</v>
      </c>
      <c r="AI2041">
        <v>1</v>
      </c>
      <c r="AJ2041">
        <v>0</v>
      </c>
      <c r="AK2041" t="s">
        <v>54</v>
      </c>
      <c r="AL2041" t="s">
        <v>53</v>
      </c>
      <c r="AQ2041" t="s">
        <v>54</v>
      </c>
      <c r="AT2041" t="s">
        <v>9203</v>
      </c>
      <c r="AW2041" t="s">
        <v>53</v>
      </c>
      <c r="AZ2041" t="s">
        <v>54</v>
      </c>
      <c r="BA2041" t="s">
        <v>9348</v>
      </c>
    </row>
    <row r="2042" spans="1:53" x14ac:dyDescent="0.25">
      <c r="A2042">
        <v>2037</v>
      </c>
      <c r="B2042" t="s">
        <v>9832</v>
      </c>
      <c r="C2042" t="s">
        <v>9833</v>
      </c>
      <c r="D2042" t="s">
        <v>9833</v>
      </c>
      <c r="E2042">
        <v>12</v>
      </c>
      <c r="F2042" t="s">
        <v>9138</v>
      </c>
      <c r="G2042" t="s">
        <v>9061</v>
      </c>
      <c r="H2042" t="s">
        <v>9140</v>
      </c>
      <c r="I2042" t="s">
        <v>9399</v>
      </c>
      <c r="J2042" t="s">
        <v>9722</v>
      </c>
      <c r="K2042" t="s">
        <v>9723</v>
      </c>
      <c r="L2042" t="s">
        <v>9834</v>
      </c>
      <c r="M2042">
        <v>7.6970601081848136</v>
      </c>
      <c r="N2042" t="s">
        <v>54</v>
      </c>
      <c r="O2042" t="s">
        <v>53</v>
      </c>
      <c r="P2042" t="s">
        <v>54</v>
      </c>
      <c r="Q2042" t="s">
        <v>53</v>
      </c>
      <c r="R2042" t="s">
        <v>53</v>
      </c>
      <c r="S2042" t="s">
        <v>9724</v>
      </c>
      <c r="T2042" t="s">
        <v>9725</v>
      </c>
      <c r="U2042" t="s">
        <v>53</v>
      </c>
      <c r="V2042" t="s">
        <v>51</v>
      </c>
      <c r="W2042">
        <v>1500000</v>
      </c>
      <c r="X2042" t="s">
        <v>54</v>
      </c>
      <c r="Z2042">
        <v>0</v>
      </c>
      <c r="AA2042">
        <v>107</v>
      </c>
      <c r="AB2042">
        <v>63</v>
      </c>
      <c r="AC2042">
        <v>161</v>
      </c>
      <c r="AD2042">
        <v>114</v>
      </c>
      <c r="AE2042">
        <v>161</v>
      </c>
      <c r="AF2042">
        <v>0</v>
      </c>
      <c r="AG2042">
        <v>0</v>
      </c>
      <c r="AH2042">
        <v>3.809999942779541</v>
      </c>
      <c r="AI2042">
        <v>26</v>
      </c>
      <c r="AJ2042">
        <v>80.781997680664063</v>
      </c>
      <c r="AK2042" t="s">
        <v>54</v>
      </c>
      <c r="AL2042" t="s">
        <v>53</v>
      </c>
      <c r="AQ2042" t="s">
        <v>54</v>
      </c>
      <c r="AT2042" t="s">
        <v>9147</v>
      </c>
      <c r="AW2042" t="s">
        <v>8390</v>
      </c>
      <c r="AZ2042" t="s">
        <v>54</v>
      </c>
      <c r="BA2042" t="s">
        <v>9348</v>
      </c>
    </row>
    <row r="2043" spans="1:53" x14ac:dyDescent="0.25">
      <c r="A2043">
        <v>2038</v>
      </c>
      <c r="B2043" t="s">
        <v>9835</v>
      </c>
      <c r="C2043" t="s">
        <v>9836</v>
      </c>
      <c r="D2043" t="s">
        <v>9837</v>
      </c>
      <c r="E2043">
        <v>12</v>
      </c>
      <c r="F2043" t="s">
        <v>9138</v>
      </c>
      <c r="G2043" t="s">
        <v>9061</v>
      </c>
      <c r="H2043" t="s">
        <v>9140</v>
      </c>
      <c r="I2043" t="s">
        <v>9399</v>
      </c>
      <c r="J2043" t="s">
        <v>9838</v>
      </c>
      <c r="K2043" t="s">
        <v>9156</v>
      </c>
      <c r="L2043" t="s">
        <v>9718</v>
      </c>
      <c r="M2043">
        <v>5.353940068744123E-4</v>
      </c>
      <c r="N2043" t="s">
        <v>54</v>
      </c>
      <c r="O2043" t="s">
        <v>53</v>
      </c>
      <c r="P2043" t="s">
        <v>53</v>
      </c>
      <c r="Q2043" t="s">
        <v>53</v>
      </c>
      <c r="R2043" t="s">
        <v>53</v>
      </c>
      <c r="S2043" t="s">
        <v>9724</v>
      </c>
      <c r="T2043" t="s">
        <v>9839</v>
      </c>
      <c r="U2043" t="s">
        <v>53</v>
      </c>
      <c r="V2043" t="s">
        <v>51</v>
      </c>
      <c r="W2043">
        <v>100000</v>
      </c>
      <c r="X2043" t="s">
        <v>54</v>
      </c>
      <c r="Z2043">
        <v>0</v>
      </c>
      <c r="AA2043">
        <v>0</v>
      </c>
      <c r="AB2043">
        <v>0</v>
      </c>
      <c r="AC2043">
        <v>0</v>
      </c>
      <c r="AD2043">
        <v>0</v>
      </c>
      <c r="AE2043">
        <v>0</v>
      </c>
      <c r="AF2043">
        <v>0</v>
      </c>
      <c r="AG2043">
        <v>0</v>
      </c>
      <c r="AH2043">
        <v>0</v>
      </c>
      <c r="AI2043">
        <v>0</v>
      </c>
      <c r="AJ2043">
        <v>0</v>
      </c>
      <c r="AK2043" t="s">
        <v>54</v>
      </c>
      <c r="AL2043" t="s">
        <v>53</v>
      </c>
      <c r="AQ2043" t="s">
        <v>54</v>
      </c>
      <c r="AT2043" t="s">
        <v>9203</v>
      </c>
      <c r="AW2043" t="s">
        <v>53</v>
      </c>
      <c r="AZ2043" t="s">
        <v>54</v>
      </c>
      <c r="BA2043" t="s">
        <v>9348</v>
      </c>
    </row>
    <row r="2044" spans="1:53" x14ac:dyDescent="0.25">
      <c r="A2044">
        <v>2039</v>
      </c>
      <c r="B2044" t="s">
        <v>9840</v>
      </c>
      <c r="C2044" t="s">
        <v>9841</v>
      </c>
      <c r="D2044" t="s">
        <v>9842</v>
      </c>
      <c r="E2044">
        <v>12</v>
      </c>
      <c r="F2044" t="s">
        <v>9138</v>
      </c>
      <c r="G2044" t="s">
        <v>9061</v>
      </c>
      <c r="H2044" t="s">
        <v>9140</v>
      </c>
      <c r="I2044" t="s">
        <v>9399</v>
      </c>
      <c r="J2044" t="s">
        <v>9838</v>
      </c>
      <c r="K2044" t="s">
        <v>9156</v>
      </c>
      <c r="L2044" t="s">
        <v>9226</v>
      </c>
      <c r="M2044">
        <v>0.1310189962387085</v>
      </c>
      <c r="N2044" t="s">
        <v>54</v>
      </c>
      <c r="O2044" t="s">
        <v>53</v>
      </c>
      <c r="P2044" t="s">
        <v>53</v>
      </c>
      <c r="Q2044" t="s">
        <v>53</v>
      </c>
      <c r="R2044" t="s">
        <v>53</v>
      </c>
      <c r="S2044" t="s">
        <v>9724</v>
      </c>
      <c r="T2044" t="s">
        <v>9839</v>
      </c>
      <c r="U2044" t="s">
        <v>54</v>
      </c>
      <c r="V2044" t="s">
        <v>51</v>
      </c>
      <c r="W2044">
        <v>150000</v>
      </c>
      <c r="X2044" t="s">
        <v>54</v>
      </c>
      <c r="Z2044">
        <v>0</v>
      </c>
      <c r="AA2044">
        <v>7</v>
      </c>
      <c r="AB2044">
        <v>2</v>
      </c>
      <c r="AC2044">
        <v>9</v>
      </c>
      <c r="AD2044">
        <v>2</v>
      </c>
      <c r="AE2044">
        <v>9</v>
      </c>
      <c r="AF2044">
        <v>0</v>
      </c>
      <c r="AG2044">
        <v>0</v>
      </c>
      <c r="AH2044">
        <v>0.15000000596046451</v>
      </c>
      <c r="AI2044">
        <v>2</v>
      </c>
      <c r="AJ2044">
        <v>0.73880898952484131</v>
      </c>
      <c r="AK2044" t="s">
        <v>54</v>
      </c>
      <c r="AL2044" t="s">
        <v>54</v>
      </c>
      <c r="AQ2044" t="s">
        <v>54</v>
      </c>
      <c r="AT2044" t="s">
        <v>9203</v>
      </c>
      <c r="AW2044" t="s">
        <v>53</v>
      </c>
      <c r="AZ2044" t="s">
        <v>54</v>
      </c>
      <c r="BA2044" t="s">
        <v>9348</v>
      </c>
    </row>
    <row r="2045" spans="1:53" x14ac:dyDescent="0.25">
      <c r="A2045">
        <v>2040</v>
      </c>
      <c r="B2045" t="s">
        <v>9843</v>
      </c>
      <c r="C2045" t="s">
        <v>9844</v>
      </c>
      <c r="D2045" t="s">
        <v>9845</v>
      </c>
      <c r="E2045">
        <v>12</v>
      </c>
      <c r="F2045" t="s">
        <v>9138</v>
      </c>
      <c r="G2045" t="s">
        <v>9061</v>
      </c>
      <c r="H2045" t="s">
        <v>9152</v>
      </c>
      <c r="I2045" t="s">
        <v>9693</v>
      </c>
      <c r="J2045" t="s">
        <v>9846</v>
      </c>
      <c r="K2045" t="s">
        <v>9847</v>
      </c>
      <c r="L2045" t="s">
        <v>9848</v>
      </c>
      <c r="M2045">
        <v>1.716709971427917</v>
      </c>
      <c r="N2045" t="s">
        <v>54</v>
      </c>
      <c r="O2045" t="s">
        <v>53</v>
      </c>
      <c r="P2045" t="s">
        <v>54</v>
      </c>
      <c r="Q2045" t="s">
        <v>53</v>
      </c>
      <c r="R2045" t="s">
        <v>53</v>
      </c>
      <c r="S2045" t="s">
        <v>9696</v>
      </c>
      <c r="T2045" t="s">
        <v>9849</v>
      </c>
      <c r="U2045" t="s">
        <v>54</v>
      </c>
      <c r="V2045" t="s">
        <v>51</v>
      </c>
      <c r="W2045">
        <v>150000</v>
      </c>
      <c r="X2045" t="s">
        <v>54</v>
      </c>
      <c r="Z2045">
        <v>0</v>
      </c>
      <c r="AA2045">
        <v>153</v>
      </c>
      <c r="AB2045">
        <v>101</v>
      </c>
      <c r="AC2045">
        <v>568</v>
      </c>
      <c r="AD2045">
        <v>199</v>
      </c>
      <c r="AE2045">
        <v>568</v>
      </c>
      <c r="AF2045">
        <v>0</v>
      </c>
      <c r="AG2045">
        <v>0</v>
      </c>
      <c r="AH2045">
        <v>3.6400001049041748</v>
      </c>
      <c r="AI2045">
        <v>20</v>
      </c>
      <c r="AJ2045">
        <v>63.259998321533203</v>
      </c>
      <c r="AK2045" t="s">
        <v>54</v>
      </c>
      <c r="AL2045" t="s">
        <v>53</v>
      </c>
      <c r="AQ2045" t="s">
        <v>54</v>
      </c>
      <c r="AT2045" t="s">
        <v>9147</v>
      </c>
      <c r="AW2045" t="s">
        <v>8390</v>
      </c>
      <c r="AZ2045" t="s">
        <v>54</v>
      </c>
      <c r="BA2045" t="s">
        <v>9348</v>
      </c>
    </row>
    <row r="2046" spans="1:53" x14ac:dyDescent="0.25">
      <c r="A2046">
        <v>2041</v>
      </c>
      <c r="B2046" t="s">
        <v>9850</v>
      </c>
      <c r="C2046" t="s">
        <v>9851</v>
      </c>
      <c r="D2046" t="s">
        <v>9852</v>
      </c>
      <c r="E2046">
        <v>12</v>
      </c>
      <c r="F2046" t="s">
        <v>9138</v>
      </c>
      <c r="G2046" t="s">
        <v>9139</v>
      </c>
      <c r="H2046" t="s">
        <v>9140</v>
      </c>
      <c r="I2046" t="s">
        <v>9187</v>
      </c>
      <c r="J2046" t="s">
        <v>9188</v>
      </c>
      <c r="K2046" t="s">
        <v>9189</v>
      </c>
      <c r="L2046" t="s">
        <v>9718</v>
      </c>
      <c r="M2046">
        <v>1.511050015687943E-2</v>
      </c>
      <c r="N2046" t="s">
        <v>54</v>
      </c>
      <c r="O2046" t="s">
        <v>53</v>
      </c>
      <c r="P2046" t="s">
        <v>53</v>
      </c>
      <c r="Q2046" t="s">
        <v>53</v>
      </c>
      <c r="R2046" t="s">
        <v>53</v>
      </c>
      <c r="S2046" t="s">
        <v>9191</v>
      </c>
      <c r="T2046" t="s">
        <v>9192</v>
      </c>
      <c r="U2046" t="s">
        <v>53</v>
      </c>
      <c r="V2046" t="s">
        <v>51</v>
      </c>
      <c r="W2046">
        <v>1000000</v>
      </c>
      <c r="X2046" t="s">
        <v>54</v>
      </c>
      <c r="Z2046">
        <v>0</v>
      </c>
      <c r="AA2046">
        <v>0</v>
      </c>
      <c r="AB2046">
        <v>0</v>
      </c>
      <c r="AC2046">
        <v>0</v>
      </c>
      <c r="AD2046">
        <v>0</v>
      </c>
      <c r="AE2046">
        <v>0</v>
      </c>
      <c r="AF2046">
        <v>0</v>
      </c>
      <c r="AG2046">
        <v>0</v>
      </c>
      <c r="AH2046">
        <v>9.9999997764825821E-3</v>
      </c>
      <c r="AI2046">
        <v>1</v>
      </c>
      <c r="AJ2046">
        <v>0.10149999707937241</v>
      </c>
      <c r="AK2046" t="s">
        <v>54</v>
      </c>
      <c r="AL2046" t="s">
        <v>53</v>
      </c>
      <c r="AQ2046" t="s">
        <v>54</v>
      </c>
      <c r="AT2046" t="s">
        <v>9645</v>
      </c>
      <c r="AW2046" t="s">
        <v>53</v>
      </c>
      <c r="AZ2046" t="s">
        <v>54</v>
      </c>
      <c r="BA2046" t="s">
        <v>9348</v>
      </c>
    </row>
    <row r="2047" spans="1:53" x14ac:dyDescent="0.25">
      <c r="A2047">
        <v>2042</v>
      </c>
      <c r="B2047" t="s">
        <v>9853</v>
      </c>
      <c r="C2047" t="s">
        <v>9854</v>
      </c>
      <c r="D2047" t="s">
        <v>9855</v>
      </c>
      <c r="E2047">
        <v>12</v>
      </c>
      <c r="F2047" t="s">
        <v>9138</v>
      </c>
      <c r="G2047" t="s">
        <v>9856</v>
      </c>
      <c r="H2047" t="s">
        <v>9857</v>
      </c>
      <c r="I2047" t="s">
        <v>9858</v>
      </c>
      <c r="L2047" t="s">
        <v>9848</v>
      </c>
      <c r="M2047">
        <v>1253.25</v>
      </c>
      <c r="N2047" t="s">
        <v>54</v>
      </c>
      <c r="O2047" t="s">
        <v>53</v>
      </c>
      <c r="P2047" t="s">
        <v>54</v>
      </c>
      <c r="Q2047" t="s">
        <v>53</v>
      </c>
      <c r="R2047" t="s">
        <v>53</v>
      </c>
      <c r="S2047" t="s">
        <v>9859</v>
      </c>
      <c r="T2047" t="s">
        <v>9192</v>
      </c>
      <c r="U2047" t="s">
        <v>53</v>
      </c>
      <c r="V2047" t="s">
        <v>138</v>
      </c>
      <c r="W2047">
        <v>150000</v>
      </c>
      <c r="X2047" t="s">
        <v>54</v>
      </c>
      <c r="Z2047">
        <v>0</v>
      </c>
      <c r="AA2047">
        <v>11261</v>
      </c>
      <c r="AB2047">
        <v>8306</v>
      </c>
      <c r="AC2047">
        <v>52002</v>
      </c>
      <c r="AD2047">
        <v>31087</v>
      </c>
      <c r="AE2047">
        <v>52002</v>
      </c>
      <c r="AF2047">
        <v>0</v>
      </c>
      <c r="AG2047">
        <v>0</v>
      </c>
      <c r="AH2047">
        <v>353.02999877929688</v>
      </c>
      <c r="AI2047">
        <v>4535</v>
      </c>
      <c r="AJ2047">
        <v>7583.35986328125</v>
      </c>
      <c r="AK2047" t="s">
        <v>54</v>
      </c>
      <c r="AL2047" t="s">
        <v>53</v>
      </c>
      <c r="AQ2047" t="s">
        <v>54</v>
      </c>
      <c r="AT2047" t="s">
        <v>9860</v>
      </c>
      <c r="AW2047" t="s">
        <v>8390</v>
      </c>
      <c r="AZ2047" t="s">
        <v>54</v>
      </c>
      <c r="BA2047" t="s">
        <v>9348</v>
      </c>
    </row>
    <row r="2048" spans="1:53" x14ac:dyDescent="0.25">
      <c r="A2048">
        <v>2043</v>
      </c>
      <c r="B2048" t="s">
        <v>9861</v>
      </c>
      <c r="C2048" t="s">
        <v>9862</v>
      </c>
      <c r="D2048" t="s">
        <v>9863</v>
      </c>
      <c r="E2048">
        <v>12</v>
      </c>
      <c r="F2048" t="s">
        <v>9138</v>
      </c>
      <c r="G2048" t="s">
        <v>9856</v>
      </c>
      <c r="H2048" t="s">
        <v>9857</v>
      </c>
      <c r="I2048" t="s">
        <v>9858</v>
      </c>
      <c r="L2048" t="s">
        <v>9848</v>
      </c>
      <c r="M2048">
        <v>1253.25</v>
      </c>
      <c r="N2048" t="s">
        <v>54</v>
      </c>
      <c r="O2048" t="s">
        <v>53</v>
      </c>
      <c r="P2048" t="s">
        <v>54</v>
      </c>
      <c r="Q2048" t="s">
        <v>53</v>
      </c>
      <c r="R2048" t="s">
        <v>53</v>
      </c>
      <c r="S2048" t="s">
        <v>9859</v>
      </c>
      <c r="T2048" t="s">
        <v>9192</v>
      </c>
      <c r="U2048" t="s">
        <v>53</v>
      </c>
      <c r="V2048" t="s">
        <v>138</v>
      </c>
      <c r="W2048">
        <v>150000</v>
      </c>
      <c r="X2048" t="s">
        <v>54</v>
      </c>
      <c r="Z2048">
        <v>0</v>
      </c>
      <c r="AA2048">
        <v>11261</v>
      </c>
      <c r="AB2048">
        <v>8306</v>
      </c>
      <c r="AC2048">
        <v>52002</v>
      </c>
      <c r="AD2048">
        <v>31087</v>
      </c>
      <c r="AE2048">
        <v>52002</v>
      </c>
      <c r="AF2048">
        <v>0</v>
      </c>
      <c r="AG2048">
        <v>0</v>
      </c>
      <c r="AH2048">
        <v>353.02999877929688</v>
      </c>
      <c r="AI2048">
        <v>4535</v>
      </c>
      <c r="AJ2048">
        <v>7583.35986328125</v>
      </c>
      <c r="AK2048" t="s">
        <v>54</v>
      </c>
      <c r="AL2048" t="s">
        <v>53</v>
      </c>
      <c r="AQ2048" t="s">
        <v>54</v>
      </c>
      <c r="AT2048" t="s">
        <v>9860</v>
      </c>
      <c r="AW2048" t="s">
        <v>8390</v>
      </c>
      <c r="AZ2048" t="s">
        <v>54</v>
      </c>
      <c r="BA2048" t="s">
        <v>9348</v>
      </c>
    </row>
    <row r="2049" spans="1:53" x14ac:dyDescent="0.25">
      <c r="A2049">
        <v>2044</v>
      </c>
      <c r="B2049" t="s">
        <v>9864</v>
      </c>
      <c r="C2049" t="s">
        <v>9865</v>
      </c>
      <c r="D2049" t="s">
        <v>9866</v>
      </c>
      <c r="E2049">
        <v>12</v>
      </c>
      <c r="F2049" t="s">
        <v>9138</v>
      </c>
      <c r="G2049" t="s">
        <v>9163</v>
      </c>
      <c r="H2049" t="s">
        <v>9207</v>
      </c>
      <c r="I2049" t="s">
        <v>9243</v>
      </c>
      <c r="J2049" t="s">
        <v>9867</v>
      </c>
      <c r="K2049" t="s">
        <v>9868</v>
      </c>
      <c r="L2049" t="s">
        <v>9226</v>
      </c>
      <c r="M2049">
        <v>0.35719901323318481</v>
      </c>
      <c r="N2049" t="s">
        <v>54</v>
      </c>
      <c r="O2049" t="s">
        <v>53</v>
      </c>
      <c r="P2049" t="s">
        <v>53</v>
      </c>
      <c r="Q2049" t="s">
        <v>53</v>
      </c>
      <c r="R2049" t="s">
        <v>53</v>
      </c>
      <c r="S2049" t="s">
        <v>9859</v>
      </c>
      <c r="T2049" t="s">
        <v>9869</v>
      </c>
      <c r="U2049" t="s">
        <v>54</v>
      </c>
      <c r="V2049" t="s">
        <v>51</v>
      </c>
      <c r="W2049">
        <v>50000</v>
      </c>
      <c r="X2049" t="s">
        <v>54</v>
      </c>
      <c r="Z2049">
        <v>0</v>
      </c>
      <c r="AA2049">
        <v>1</v>
      </c>
      <c r="AB2049">
        <v>0</v>
      </c>
      <c r="AC2049">
        <v>2</v>
      </c>
      <c r="AD2049">
        <v>0</v>
      </c>
      <c r="AE2049">
        <v>2</v>
      </c>
      <c r="AF2049">
        <v>0</v>
      </c>
      <c r="AG2049">
        <v>0</v>
      </c>
      <c r="AH2049">
        <v>0.5</v>
      </c>
      <c r="AI2049">
        <v>9</v>
      </c>
      <c r="AJ2049">
        <v>0.20268599689006811</v>
      </c>
      <c r="AK2049" t="s">
        <v>54</v>
      </c>
      <c r="AL2049" t="s">
        <v>53</v>
      </c>
      <c r="AQ2049" t="s">
        <v>54</v>
      </c>
      <c r="AT2049" t="s">
        <v>9860</v>
      </c>
      <c r="AW2049" t="s">
        <v>54</v>
      </c>
      <c r="AZ2049" t="s">
        <v>54</v>
      </c>
      <c r="BA2049" t="s">
        <v>9348</v>
      </c>
    </row>
    <row r="2050" spans="1:53" x14ac:dyDescent="0.25">
      <c r="A2050">
        <v>2045</v>
      </c>
      <c r="B2050" t="s">
        <v>9870</v>
      </c>
      <c r="C2050" t="s">
        <v>9871</v>
      </c>
      <c r="D2050" t="s">
        <v>9872</v>
      </c>
      <c r="E2050">
        <v>12</v>
      </c>
      <c r="F2050" t="s">
        <v>9138</v>
      </c>
      <c r="G2050" t="s">
        <v>9163</v>
      </c>
      <c r="H2050" t="s">
        <v>9207</v>
      </c>
      <c r="I2050" t="s">
        <v>9243</v>
      </c>
      <c r="J2050" t="s">
        <v>9420</v>
      </c>
      <c r="K2050" t="s">
        <v>9421</v>
      </c>
      <c r="L2050" t="s">
        <v>9226</v>
      </c>
      <c r="M2050">
        <v>8.2700600614771247E-4</v>
      </c>
      <c r="N2050" t="s">
        <v>54</v>
      </c>
      <c r="O2050" t="s">
        <v>53</v>
      </c>
      <c r="P2050" t="s">
        <v>53</v>
      </c>
      <c r="Q2050" t="s">
        <v>53</v>
      </c>
      <c r="R2050" t="s">
        <v>53</v>
      </c>
      <c r="S2050" t="s">
        <v>9859</v>
      </c>
      <c r="T2050" t="s">
        <v>9873</v>
      </c>
      <c r="U2050" t="s">
        <v>53</v>
      </c>
      <c r="V2050" t="s">
        <v>51</v>
      </c>
      <c r="W2050">
        <v>100000</v>
      </c>
      <c r="X2050" t="s">
        <v>54</v>
      </c>
      <c r="Z2050">
        <v>0</v>
      </c>
      <c r="AA2050">
        <v>0</v>
      </c>
      <c r="AB2050">
        <v>0</v>
      </c>
      <c r="AC2050">
        <v>0</v>
      </c>
      <c r="AD2050">
        <v>0</v>
      </c>
      <c r="AE2050">
        <v>0</v>
      </c>
      <c r="AF2050">
        <v>0</v>
      </c>
      <c r="AG2050">
        <v>0</v>
      </c>
      <c r="AH2050">
        <v>3.9999999105930328E-2</v>
      </c>
      <c r="AI2050">
        <v>1</v>
      </c>
      <c r="AJ2050">
        <v>0</v>
      </c>
      <c r="AK2050" t="s">
        <v>54</v>
      </c>
      <c r="AL2050" t="s">
        <v>53</v>
      </c>
      <c r="AQ2050" t="s">
        <v>54</v>
      </c>
      <c r="AT2050" t="s">
        <v>9860</v>
      </c>
      <c r="AW2050" t="s">
        <v>54</v>
      </c>
      <c r="AZ2050" t="s">
        <v>54</v>
      </c>
      <c r="BA2050" t="s">
        <v>9348</v>
      </c>
    </row>
    <row r="2051" spans="1:53" x14ac:dyDescent="0.25">
      <c r="A2051">
        <v>2046</v>
      </c>
      <c r="B2051" t="s">
        <v>9874</v>
      </c>
      <c r="C2051" t="s">
        <v>9875</v>
      </c>
      <c r="D2051" t="s">
        <v>9876</v>
      </c>
      <c r="E2051">
        <v>12</v>
      </c>
      <c r="F2051" t="s">
        <v>9138</v>
      </c>
      <c r="G2051" t="s">
        <v>9163</v>
      </c>
      <c r="H2051" t="s">
        <v>9268</v>
      </c>
      <c r="I2051" t="s">
        <v>9276</v>
      </c>
      <c r="J2051" t="s">
        <v>9504</v>
      </c>
      <c r="K2051" t="s">
        <v>9505</v>
      </c>
      <c r="L2051" t="s">
        <v>9718</v>
      </c>
      <c r="M2051">
        <v>0.13310800492763519</v>
      </c>
      <c r="N2051" t="s">
        <v>54</v>
      </c>
      <c r="O2051" t="s">
        <v>53</v>
      </c>
      <c r="P2051" t="s">
        <v>53</v>
      </c>
      <c r="Q2051" t="s">
        <v>53</v>
      </c>
      <c r="R2051" t="s">
        <v>53</v>
      </c>
      <c r="S2051" t="s">
        <v>9859</v>
      </c>
      <c r="T2051" t="s">
        <v>9255</v>
      </c>
      <c r="U2051" t="s">
        <v>54</v>
      </c>
      <c r="V2051" t="s">
        <v>51</v>
      </c>
      <c r="W2051">
        <v>100000</v>
      </c>
      <c r="X2051" t="s">
        <v>54</v>
      </c>
      <c r="Z2051">
        <v>0</v>
      </c>
      <c r="AA2051">
        <v>120</v>
      </c>
      <c r="AB2051">
        <v>108</v>
      </c>
      <c r="AC2051">
        <v>76</v>
      </c>
      <c r="AD2051">
        <v>293</v>
      </c>
      <c r="AE2051">
        <v>293</v>
      </c>
      <c r="AF2051">
        <v>0</v>
      </c>
      <c r="AG2051">
        <v>0</v>
      </c>
      <c r="AH2051">
        <v>0.76999998092651367</v>
      </c>
      <c r="AI2051">
        <v>10</v>
      </c>
      <c r="AJ2051">
        <v>0</v>
      </c>
      <c r="AK2051" t="s">
        <v>54</v>
      </c>
      <c r="AL2051" t="s">
        <v>53</v>
      </c>
      <c r="AQ2051" t="s">
        <v>54</v>
      </c>
      <c r="AT2051" t="s">
        <v>9860</v>
      </c>
      <c r="AW2051" t="s">
        <v>54</v>
      </c>
      <c r="AZ2051" t="s">
        <v>54</v>
      </c>
      <c r="BA2051" t="s">
        <v>9348</v>
      </c>
    </row>
    <row r="2052" spans="1:53" x14ac:dyDescent="0.25">
      <c r="A2052">
        <v>2047</v>
      </c>
      <c r="B2052" t="s">
        <v>9877</v>
      </c>
      <c r="C2052" t="s">
        <v>9878</v>
      </c>
      <c r="D2052" t="s">
        <v>9879</v>
      </c>
      <c r="E2052">
        <v>12</v>
      </c>
      <c r="F2052" t="s">
        <v>9138</v>
      </c>
      <c r="G2052" t="s">
        <v>9163</v>
      </c>
      <c r="H2052" t="s">
        <v>9152</v>
      </c>
      <c r="I2052" t="s">
        <v>9235</v>
      </c>
      <c r="J2052" t="s">
        <v>9584</v>
      </c>
      <c r="K2052" t="s">
        <v>9585</v>
      </c>
      <c r="L2052" t="s">
        <v>9718</v>
      </c>
      <c r="M2052">
        <v>0.77634698152542114</v>
      </c>
      <c r="N2052" t="s">
        <v>54</v>
      </c>
      <c r="O2052" t="s">
        <v>53</v>
      </c>
      <c r="P2052" t="s">
        <v>53</v>
      </c>
      <c r="Q2052" t="s">
        <v>53</v>
      </c>
      <c r="R2052" t="s">
        <v>53</v>
      </c>
      <c r="S2052" t="s">
        <v>9859</v>
      </c>
      <c r="T2052" t="s">
        <v>9880</v>
      </c>
      <c r="U2052" t="s">
        <v>54</v>
      </c>
      <c r="V2052" t="s">
        <v>51</v>
      </c>
      <c r="W2052">
        <v>100000</v>
      </c>
      <c r="X2052" t="s">
        <v>54</v>
      </c>
      <c r="Z2052">
        <v>0</v>
      </c>
      <c r="AA2052">
        <v>40</v>
      </c>
      <c r="AB2052">
        <v>36</v>
      </c>
      <c r="AC2052">
        <v>45</v>
      </c>
      <c r="AD2052">
        <v>94</v>
      </c>
      <c r="AE2052">
        <v>94</v>
      </c>
      <c r="AF2052">
        <v>0</v>
      </c>
      <c r="AG2052">
        <v>0</v>
      </c>
      <c r="AH2052">
        <v>0.87999999523162842</v>
      </c>
      <c r="AI2052">
        <v>15</v>
      </c>
      <c r="AJ2052">
        <v>1.7114599943161011</v>
      </c>
      <c r="AK2052" t="s">
        <v>54</v>
      </c>
      <c r="AL2052" t="s">
        <v>53</v>
      </c>
      <c r="AQ2052" t="s">
        <v>54</v>
      </c>
      <c r="AT2052" t="s">
        <v>9860</v>
      </c>
      <c r="AW2052" t="s">
        <v>54</v>
      </c>
      <c r="AZ2052" t="s">
        <v>54</v>
      </c>
      <c r="BA2052" t="s">
        <v>9348</v>
      </c>
    </row>
    <row r="2053" spans="1:53" x14ac:dyDescent="0.25">
      <c r="A2053">
        <v>2048</v>
      </c>
      <c r="B2053" t="s">
        <v>9881</v>
      </c>
      <c r="C2053" t="s">
        <v>9882</v>
      </c>
      <c r="D2053" t="s">
        <v>9883</v>
      </c>
      <c r="E2053">
        <v>12</v>
      </c>
      <c r="F2053" t="s">
        <v>9138</v>
      </c>
      <c r="G2053" t="s">
        <v>9856</v>
      </c>
      <c r="H2053" t="s">
        <v>9857</v>
      </c>
      <c r="I2053" t="s">
        <v>9858</v>
      </c>
      <c r="L2053" t="s">
        <v>9226</v>
      </c>
      <c r="M2053">
        <v>1253.25</v>
      </c>
      <c r="N2053" t="s">
        <v>54</v>
      </c>
      <c r="O2053" t="s">
        <v>53</v>
      </c>
      <c r="P2053" t="s">
        <v>54</v>
      </c>
      <c r="Q2053" t="s">
        <v>53</v>
      </c>
      <c r="R2053" t="s">
        <v>53</v>
      </c>
      <c r="S2053" t="s">
        <v>9859</v>
      </c>
      <c r="T2053" t="s">
        <v>9880</v>
      </c>
      <c r="U2053" t="s">
        <v>54</v>
      </c>
      <c r="V2053" t="s">
        <v>51</v>
      </c>
      <c r="W2053">
        <v>300000</v>
      </c>
      <c r="X2053" t="s">
        <v>54</v>
      </c>
      <c r="Z2053">
        <v>0</v>
      </c>
      <c r="AA2053">
        <v>11261</v>
      </c>
      <c r="AB2053">
        <v>8306</v>
      </c>
      <c r="AC2053">
        <v>52002</v>
      </c>
      <c r="AD2053">
        <v>31087</v>
      </c>
      <c r="AE2053">
        <v>52002</v>
      </c>
      <c r="AF2053">
        <v>0</v>
      </c>
      <c r="AG2053">
        <v>0</v>
      </c>
      <c r="AH2053">
        <v>353.02999877929688</v>
      </c>
      <c r="AI2053">
        <v>4535</v>
      </c>
      <c r="AJ2053">
        <v>7583.35986328125</v>
      </c>
      <c r="AK2053" t="s">
        <v>54</v>
      </c>
      <c r="AL2053" t="s">
        <v>53</v>
      </c>
      <c r="AQ2053" t="s">
        <v>54</v>
      </c>
      <c r="AT2053" t="s">
        <v>9860</v>
      </c>
      <c r="AW2053" t="s">
        <v>8390</v>
      </c>
      <c r="AZ2053" t="s">
        <v>54</v>
      </c>
      <c r="BA2053" t="s">
        <v>9348</v>
      </c>
    </row>
    <row r="2054" spans="1:53" x14ac:dyDescent="0.25">
      <c r="A2054">
        <v>2049</v>
      </c>
      <c r="B2054" t="s">
        <v>9884</v>
      </c>
      <c r="C2054" t="s">
        <v>9340</v>
      </c>
      <c r="D2054" t="s">
        <v>9885</v>
      </c>
      <c r="E2054">
        <v>12</v>
      </c>
      <c r="F2054" t="s">
        <v>9138</v>
      </c>
      <c r="G2054" t="s">
        <v>9675</v>
      </c>
      <c r="H2054" t="s">
        <v>9676</v>
      </c>
      <c r="I2054" t="s">
        <v>9677</v>
      </c>
      <c r="K2054" t="s">
        <v>9678</v>
      </c>
      <c r="L2054" t="s">
        <v>9226</v>
      </c>
      <c r="M2054">
        <v>749.218017578125</v>
      </c>
      <c r="N2054" t="s">
        <v>54</v>
      </c>
      <c r="O2054" t="s">
        <v>53</v>
      </c>
      <c r="P2054" t="s">
        <v>54</v>
      </c>
      <c r="Q2054" t="s">
        <v>53</v>
      </c>
      <c r="R2054" t="s">
        <v>53</v>
      </c>
      <c r="S2054" t="s">
        <v>9733</v>
      </c>
      <c r="T2054" t="s">
        <v>9680</v>
      </c>
      <c r="U2054" t="s">
        <v>54</v>
      </c>
      <c r="V2054" t="s">
        <v>51</v>
      </c>
      <c r="W2054">
        <v>100000</v>
      </c>
      <c r="X2054" t="s">
        <v>54</v>
      </c>
      <c r="Z2054">
        <v>0</v>
      </c>
      <c r="AA2054">
        <v>340</v>
      </c>
      <c r="AB2054">
        <v>161</v>
      </c>
      <c r="AC2054">
        <v>195</v>
      </c>
      <c r="AD2054">
        <v>422</v>
      </c>
      <c r="AE2054">
        <v>422</v>
      </c>
      <c r="AF2054">
        <v>0</v>
      </c>
      <c r="AG2054">
        <v>0</v>
      </c>
      <c r="AH2054">
        <v>58.799999237060547</v>
      </c>
      <c r="AI2054">
        <v>757</v>
      </c>
      <c r="AJ2054">
        <v>16557.19921875</v>
      </c>
      <c r="AK2054" t="s">
        <v>54</v>
      </c>
      <c r="AL2054" t="s">
        <v>53</v>
      </c>
      <c r="AQ2054" t="s">
        <v>54</v>
      </c>
      <c r="AT2054" t="s">
        <v>9886</v>
      </c>
      <c r="AW2054" t="s">
        <v>8390</v>
      </c>
      <c r="AZ2054" t="s">
        <v>54</v>
      </c>
      <c r="BA2054" t="s">
        <v>9348</v>
      </c>
    </row>
    <row r="2055" spans="1:53" x14ac:dyDescent="0.25">
      <c r="A2055">
        <v>2050</v>
      </c>
      <c r="B2055" t="s">
        <v>9887</v>
      </c>
      <c r="C2055" t="s">
        <v>9888</v>
      </c>
      <c r="D2055" t="s">
        <v>9889</v>
      </c>
      <c r="E2055">
        <v>12</v>
      </c>
      <c r="F2055" t="s">
        <v>9138</v>
      </c>
      <c r="G2055" t="s">
        <v>9890</v>
      </c>
      <c r="H2055" t="s">
        <v>9857</v>
      </c>
      <c r="I2055" t="s">
        <v>9891</v>
      </c>
      <c r="K2055" t="s">
        <v>9892</v>
      </c>
      <c r="L2055" t="s">
        <v>9301</v>
      </c>
      <c r="M2055">
        <v>505.2030029296875</v>
      </c>
      <c r="N2055" t="s">
        <v>54</v>
      </c>
      <c r="O2055" t="s">
        <v>53</v>
      </c>
      <c r="P2055" t="s">
        <v>54</v>
      </c>
      <c r="Q2055" t="s">
        <v>53</v>
      </c>
      <c r="R2055" t="s">
        <v>53</v>
      </c>
      <c r="S2055" t="s">
        <v>9191</v>
      </c>
      <c r="T2055" t="s">
        <v>9663</v>
      </c>
      <c r="U2055" t="s">
        <v>54</v>
      </c>
      <c r="V2055" t="s">
        <v>138</v>
      </c>
      <c r="W2055">
        <v>2247403</v>
      </c>
      <c r="X2055" t="s">
        <v>54</v>
      </c>
      <c r="Z2055">
        <v>0</v>
      </c>
      <c r="AA2055">
        <v>7156</v>
      </c>
      <c r="AB2055">
        <v>5573</v>
      </c>
      <c r="AC2055">
        <v>41778</v>
      </c>
      <c r="AD2055">
        <v>22283</v>
      </c>
      <c r="AE2055">
        <v>41778</v>
      </c>
      <c r="AF2055">
        <v>0</v>
      </c>
      <c r="AG2055">
        <v>0</v>
      </c>
      <c r="AH2055">
        <v>194.1600036621094</v>
      </c>
      <c r="AI2055">
        <v>2760</v>
      </c>
      <c r="AJ2055">
        <v>1054.410034179688</v>
      </c>
      <c r="AK2055" t="s">
        <v>54</v>
      </c>
      <c r="AL2055" t="s">
        <v>53</v>
      </c>
      <c r="AQ2055" t="s">
        <v>54</v>
      </c>
      <c r="AT2055" t="s">
        <v>9893</v>
      </c>
      <c r="AW2055" t="s">
        <v>8390</v>
      </c>
      <c r="AZ2055" t="s">
        <v>54</v>
      </c>
      <c r="BA2055" t="s">
        <v>9348</v>
      </c>
    </row>
    <row r="2056" spans="1:53" x14ac:dyDescent="0.25">
      <c r="A2056">
        <v>2051</v>
      </c>
      <c r="B2056" t="s">
        <v>9894</v>
      </c>
      <c r="C2056" t="s">
        <v>9895</v>
      </c>
      <c r="D2056" t="s">
        <v>9896</v>
      </c>
      <c r="E2056">
        <v>12</v>
      </c>
      <c r="F2056" t="s">
        <v>9138</v>
      </c>
      <c r="G2056" t="s">
        <v>9163</v>
      </c>
      <c r="H2056" t="s">
        <v>9152</v>
      </c>
      <c r="I2056" t="s">
        <v>9153</v>
      </c>
      <c r="J2056" t="s">
        <v>9154</v>
      </c>
      <c r="K2056" t="s">
        <v>9155</v>
      </c>
      <c r="L2056" t="s">
        <v>9200</v>
      </c>
      <c r="M2056">
        <v>1.534879993414506E-4</v>
      </c>
      <c r="N2056" t="s">
        <v>53</v>
      </c>
      <c r="O2056" t="s">
        <v>53</v>
      </c>
      <c r="P2056" t="s">
        <v>53</v>
      </c>
      <c r="Q2056" t="s">
        <v>53</v>
      </c>
      <c r="R2056" t="s">
        <v>53</v>
      </c>
      <c r="S2056" t="s">
        <v>9211</v>
      </c>
      <c r="T2056" t="s">
        <v>9897</v>
      </c>
      <c r="U2056" t="s">
        <v>53</v>
      </c>
      <c r="V2056" t="s">
        <v>51</v>
      </c>
      <c r="W2056">
        <v>519760</v>
      </c>
      <c r="X2056" t="s">
        <v>53</v>
      </c>
      <c r="Z2056">
        <v>0</v>
      </c>
      <c r="AA2056">
        <v>0</v>
      </c>
      <c r="AB2056">
        <v>0</v>
      </c>
      <c r="AC2056">
        <v>0</v>
      </c>
      <c r="AD2056">
        <v>0</v>
      </c>
      <c r="AE2056">
        <v>0</v>
      </c>
      <c r="AF2056">
        <v>0</v>
      </c>
      <c r="AG2056">
        <v>0</v>
      </c>
      <c r="AH2056">
        <v>0</v>
      </c>
      <c r="AI2056">
        <v>0</v>
      </c>
      <c r="AJ2056">
        <v>0</v>
      </c>
      <c r="AK2056" t="s">
        <v>53</v>
      </c>
      <c r="AL2056" t="s">
        <v>54</v>
      </c>
      <c r="AQ2056" t="s">
        <v>54</v>
      </c>
      <c r="AT2056" t="s">
        <v>9159</v>
      </c>
      <c r="AW2056" t="s">
        <v>53</v>
      </c>
      <c r="AZ2056" t="s">
        <v>54</v>
      </c>
      <c r="BA2056" t="s">
        <v>9148</v>
      </c>
    </row>
    <row r="2057" spans="1:53" x14ac:dyDescent="0.25">
      <c r="A2057">
        <v>2052</v>
      </c>
      <c r="B2057" t="s">
        <v>9898</v>
      </c>
      <c r="C2057" t="s">
        <v>9899</v>
      </c>
      <c r="D2057" t="s">
        <v>9900</v>
      </c>
      <c r="E2057">
        <v>12</v>
      </c>
      <c r="F2057" t="s">
        <v>9138</v>
      </c>
      <c r="G2057" t="s">
        <v>9856</v>
      </c>
      <c r="H2057" t="s">
        <v>9857</v>
      </c>
      <c r="I2057" t="s">
        <v>9858</v>
      </c>
      <c r="L2057" t="s">
        <v>9226</v>
      </c>
      <c r="M2057">
        <v>1253.25</v>
      </c>
      <c r="N2057" t="s">
        <v>54</v>
      </c>
      <c r="O2057" t="s">
        <v>53</v>
      </c>
      <c r="P2057" t="s">
        <v>54</v>
      </c>
      <c r="Q2057" t="s">
        <v>53</v>
      </c>
      <c r="R2057" t="s">
        <v>53</v>
      </c>
      <c r="S2057" t="s">
        <v>9859</v>
      </c>
      <c r="T2057" t="s">
        <v>9880</v>
      </c>
      <c r="U2057" t="s">
        <v>54</v>
      </c>
      <c r="V2057" t="s">
        <v>51</v>
      </c>
      <c r="W2057">
        <v>600000</v>
      </c>
      <c r="X2057" t="s">
        <v>53</v>
      </c>
      <c r="Z2057">
        <v>0</v>
      </c>
      <c r="AA2057">
        <v>11261</v>
      </c>
      <c r="AB2057">
        <v>8306</v>
      </c>
      <c r="AC2057">
        <v>52002</v>
      </c>
      <c r="AD2057">
        <v>31087</v>
      </c>
      <c r="AE2057">
        <v>52002</v>
      </c>
      <c r="AF2057">
        <v>0</v>
      </c>
      <c r="AG2057">
        <v>0</v>
      </c>
      <c r="AH2057">
        <v>353.02999877929688</v>
      </c>
      <c r="AI2057">
        <v>4535</v>
      </c>
      <c r="AJ2057">
        <v>7583.35986328125</v>
      </c>
      <c r="AK2057" t="s">
        <v>54</v>
      </c>
      <c r="AL2057" t="s">
        <v>53</v>
      </c>
      <c r="AQ2057" t="s">
        <v>54</v>
      </c>
      <c r="AT2057" t="s">
        <v>9860</v>
      </c>
      <c r="AW2057" t="s">
        <v>8390</v>
      </c>
      <c r="AZ2057" t="s">
        <v>54</v>
      </c>
      <c r="BA2057" t="s">
        <v>9348</v>
      </c>
    </row>
    <row r="2058" spans="1:53" x14ac:dyDescent="0.25">
      <c r="A2058">
        <v>2053</v>
      </c>
      <c r="B2058" t="s">
        <v>9901</v>
      </c>
      <c r="C2058" t="s">
        <v>9902</v>
      </c>
      <c r="D2058" t="s">
        <v>9903</v>
      </c>
      <c r="E2058">
        <v>13</v>
      </c>
      <c r="F2058" t="s">
        <v>9904</v>
      </c>
      <c r="G2058" t="s">
        <v>9905</v>
      </c>
      <c r="H2058" t="s">
        <v>9906</v>
      </c>
      <c r="I2058" t="s">
        <v>9907</v>
      </c>
      <c r="J2058" t="s">
        <v>9908</v>
      </c>
      <c r="K2058" t="s">
        <v>9909</v>
      </c>
      <c r="L2058" t="s">
        <v>9910</v>
      </c>
      <c r="M2058">
        <v>7.6020174026489258</v>
      </c>
      <c r="N2058" t="s">
        <v>54</v>
      </c>
      <c r="O2058" t="s">
        <v>53</v>
      </c>
      <c r="P2058" t="s">
        <v>54</v>
      </c>
      <c r="Q2058" t="s">
        <v>53</v>
      </c>
      <c r="R2058" t="s">
        <v>53</v>
      </c>
      <c r="S2058" t="s">
        <v>9911</v>
      </c>
      <c r="T2058" t="s">
        <v>9912</v>
      </c>
      <c r="U2058" t="s">
        <v>54</v>
      </c>
      <c r="V2058" t="s">
        <v>51</v>
      </c>
      <c r="W2058">
        <v>79000</v>
      </c>
      <c r="X2058" t="s">
        <v>54</v>
      </c>
      <c r="Y2058" t="s">
        <v>6227</v>
      </c>
      <c r="AA2058">
        <v>464</v>
      </c>
      <c r="AB2058">
        <v>322</v>
      </c>
      <c r="AC2058">
        <v>2226</v>
      </c>
      <c r="AD2058">
        <v>660</v>
      </c>
      <c r="AE2058">
        <v>2226</v>
      </c>
      <c r="AF2058">
        <v>1</v>
      </c>
      <c r="AG2058">
        <v>5</v>
      </c>
      <c r="AH2058">
        <v>15.55598068237305</v>
      </c>
      <c r="AI2058">
        <v>107</v>
      </c>
      <c r="AJ2058">
        <v>7.7421112060546884</v>
      </c>
      <c r="AK2058" t="s">
        <v>54</v>
      </c>
      <c r="AL2058" t="s">
        <v>53</v>
      </c>
      <c r="AQ2058" t="s">
        <v>53</v>
      </c>
      <c r="AT2058" t="s">
        <v>7556</v>
      </c>
      <c r="AW2058" t="s">
        <v>8390</v>
      </c>
      <c r="AZ2058" t="s">
        <v>54</v>
      </c>
      <c r="BA2058" t="s">
        <v>9913</v>
      </c>
    </row>
    <row r="2059" spans="1:53" x14ac:dyDescent="0.25">
      <c r="A2059">
        <v>2054</v>
      </c>
      <c r="B2059" t="s">
        <v>9914</v>
      </c>
      <c r="C2059" t="s">
        <v>9915</v>
      </c>
      <c r="D2059" t="s">
        <v>9915</v>
      </c>
      <c r="E2059">
        <v>13</v>
      </c>
      <c r="F2059" t="s">
        <v>9904</v>
      </c>
      <c r="G2059" t="s">
        <v>9916</v>
      </c>
      <c r="H2059" t="s">
        <v>9917</v>
      </c>
      <c r="I2059" t="s">
        <v>9918</v>
      </c>
      <c r="J2059" t="s">
        <v>9919</v>
      </c>
      <c r="K2059" t="s">
        <v>9920</v>
      </c>
      <c r="L2059" t="s">
        <v>9921</v>
      </c>
      <c r="M2059">
        <v>0.48507905006408691</v>
      </c>
      <c r="N2059" t="s">
        <v>54</v>
      </c>
      <c r="O2059" t="s">
        <v>53</v>
      </c>
      <c r="P2059" t="s">
        <v>54</v>
      </c>
      <c r="Q2059" t="s">
        <v>53</v>
      </c>
      <c r="R2059" t="s">
        <v>53</v>
      </c>
      <c r="S2059" t="s">
        <v>9922</v>
      </c>
      <c r="T2059" t="s">
        <v>9923</v>
      </c>
      <c r="U2059" t="s">
        <v>54</v>
      </c>
      <c r="V2059" t="s">
        <v>51</v>
      </c>
      <c r="W2059">
        <v>250000</v>
      </c>
      <c r="X2059" t="s">
        <v>53</v>
      </c>
      <c r="AA2059">
        <v>36</v>
      </c>
      <c r="AB2059">
        <v>31</v>
      </c>
      <c r="AC2059">
        <v>7</v>
      </c>
      <c r="AD2059">
        <v>25</v>
      </c>
      <c r="AE2059">
        <v>25</v>
      </c>
      <c r="AF2059">
        <v>0</v>
      </c>
      <c r="AG2059">
        <v>0</v>
      </c>
      <c r="AH2059">
        <v>0.77145016193389893</v>
      </c>
      <c r="AI2059">
        <v>10</v>
      </c>
      <c r="AJ2059">
        <v>0</v>
      </c>
      <c r="AK2059" t="s">
        <v>54</v>
      </c>
      <c r="AL2059" t="s">
        <v>53</v>
      </c>
      <c r="AQ2059" t="s">
        <v>53</v>
      </c>
      <c r="AT2059" t="s">
        <v>9924</v>
      </c>
      <c r="AW2059" t="s">
        <v>53</v>
      </c>
      <c r="AZ2059" t="s">
        <v>54</v>
      </c>
      <c r="BA2059" t="s">
        <v>9925</v>
      </c>
    </row>
    <row r="2060" spans="1:53" x14ac:dyDescent="0.25">
      <c r="A2060">
        <v>2055</v>
      </c>
      <c r="B2060" t="s">
        <v>9926</v>
      </c>
      <c r="C2060" t="s">
        <v>9927</v>
      </c>
      <c r="D2060" t="s">
        <v>9927</v>
      </c>
      <c r="E2060">
        <v>13</v>
      </c>
      <c r="F2060" t="s">
        <v>9904</v>
      </c>
      <c r="G2060" t="s">
        <v>9611</v>
      </c>
      <c r="H2060" t="s">
        <v>9928</v>
      </c>
      <c r="I2060" t="s">
        <v>9929</v>
      </c>
      <c r="J2060" t="s">
        <v>9930</v>
      </c>
      <c r="K2060" t="s">
        <v>9931</v>
      </c>
      <c r="L2060" t="s">
        <v>9910</v>
      </c>
      <c r="M2060">
        <v>28.378751754760739</v>
      </c>
      <c r="N2060" t="s">
        <v>54</v>
      </c>
      <c r="O2060" t="s">
        <v>53</v>
      </c>
      <c r="P2060" t="s">
        <v>54</v>
      </c>
      <c r="Q2060" t="s">
        <v>53</v>
      </c>
      <c r="R2060" t="s">
        <v>53</v>
      </c>
      <c r="S2060" t="s">
        <v>9932</v>
      </c>
      <c r="T2060" t="s">
        <v>9933</v>
      </c>
      <c r="U2060" t="s">
        <v>54</v>
      </c>
      <c r="V2060" t="s">
        <v>51</v>
      </c>
      <c r="W2060">
        <v>250000</v>
      </c>
      <c r="X2060" t="s">
        <v>53</v>
      </c>
      <c r="AA2060">
        <v>592</v>
      </c>
      <c r="AB2060">
        <v>425</v>
      </c>
      <c r="AC2060">
        <v>2211</v>
      </c>
      <c r="AD2060">
        <v>1641</v>
      </c>
      <c r="AE2060">
        <v>2211</v>
      </c>
      <c r="AF2060">
        <v>3</v>
      </c>
      <c r="AG2060">
        <v>5</v>
      </c>
      <c r="AH2060">
        <v>15.18857574462891</v>
      </c>
      <c r="AI2060">
        <v>67</v>
      </c>
      <c r="AJ2060">
        <v>1095.853271484375</v>
      </c>
      <c r="AK2060" t="s">
        <v>54</v>
      </c>
      <c r="AL2060" t="s">
        <v>53</v>
      </c>
      <c r="AQ2060" t="s">
        <v>53</v>
      </c>
      <c r="AT2060" t="s">
        <v>9934</v>
      </c>
      <c r="AW2060" t="s">
        <v>8390</v>
      </c>
      <c r="AZ2060" t="s">
        <v>54</v>
      </c>
      <c r="BA2060" t="s">
        <v>9935</v>
      </c>
    </row>
    <row r="2061" spans="1:53" x14ac:dyDescent="0.25">
      <c r="A2061">
        <v>2056</v>
      </c>
      <c r="B2061" t="s">
        <v>9936</v>
      </c>
      <c r="C2061" t="s">
        <v>9937</v>
      </c>
      <c r="D2061" t="s">
        <v>9938</v>
      </c>
      <c r="E2061">
        <v>13</v>
      </c>
      <c r="F2061" t="s">
        <v>9904</v>
      </c>
      <c r="G2061" t="s">
        <v>9611</v>
      </c>
      <c r="H2061" t="s">
        <v>9928</v>
      </c>
      <c r="I2061" t="s">
        <v>9939</v>
      </c>
      <c r="J2061" t="s">
        <v>9940</v>
      </c>
      <c r="K2061" t="s">
        <v>9941</v>
      </c>
      <c r="L2061" t="s">
        <v>9942</v>
      </c>
      <c r="M2061">
        <v>2.7563972473144531</v>
      </c>
      <c r="N2061" t="s">
        <v>54</v>
      </c>
      <c r="O2061" t="s">
        <v>53</v>
      </c>
      <c r="P2061" t="s">
        <v>54</v>
      </c>
      <c r="Q2061" t="s">
        <v>53</v>
      </c>
      <c r="R2061" t="s">
        <v>53</v>
      </c>
      <c r="S2061" t="s">
        <v>9806</v>
      </c>
      <c r="T2061" t="s">
        <v>9943</v>
      </c>
      <c r="U2061" t="s">
        <v>54</v>
      </c>
      <c r="V2061" t="s">
        <v>138</v>
      </c>
      <c r="W2061">
        <v>250000</v>
      </c>
      <c r="X2061" t="s">
        <v>53</v>
      </c>
      <c r="AA2061">
        <v>253</v>
      </c>
      <c r="AB2061">
        <v>154</v>
      </c>
      <c r="AC2061">
        <v>591</v>
      </c>
      <c r="AD2061">
        <v>205</v>
      </c>
      <c r="AE2061">
        <v>591</v>
      </c>
      <c r="AF2061">
        <v>16</v>
      </c>
      <c r="AG2061">
        <v>5</v>
      </c>
      <c r="AH2061">
        <v>15.650216102600099</v>
      </c>
      <c r="AI2061">
        <v>39</v>
      </c>
      <c r="AJ2061">
        <v>404.71774291992188</v>
      </c>
      <c r="AK2061" t="s">
        <v>54</v>
      </c>
      <c r="AL2061" t="s">
        <v>53</v>
      </c>
      <c r="AQ2061" t="s">
        <v>53</v>
      </c>
      <c r="AT2061" t="s">
        <v>9934</v>
      </c>
      <c r="AW2061" t="s">
        <v>8390</v>
      </c>
      <c r="AZ2061" t="s">
        <v>54</v>
      </c>
      <c r="BA2061" t="s">
        <v>9944</v>
      </c>
    </row>
    <row r="2062" spans="1:53" x14ac:dyDescent="0.25">
      <c r="A2062">
        <v>2057</v>
      </c>
      <c r="B2062" t="s">
        <v>9945</v>
      </c>
      <c r="C2062" t="s">
        <v>9946</v>
      </c>
      <c r="D2062" t="s">
        <v>9947</v>
      </c>
      <c r="E2062">
        <v>13</v>
      </c>
      <c r="F2062" t="s">
        <v>9904</v>
      </c>
      <c r="G2062" t="s">
        <v>9611</v>
      </c>
      <c r="H2062" t="s">
        <v>9928</v>
      </c>
      <c r="I2062" t="s">
        <v>9929</v>
      </c>
      <c r="J2062" t="s">
        <v>9930</v>
      </c>
      <c r="K2062" t="s">
        <v>9931</v>
      </c>
      <c r="L2062" t="s">
        <v>9948</v>
      </c>
      <c r="M2062">
        <v>28.378751754760739</v>
      </c>
      <c r="N2062" t="s">
        <v>54</v>
      </c>
      <c r="O2062" t="s">
        <v>53</v>
      </c>
      <c r="P2062" t="s">
        <v>54</v>
      </c>
      <c r="Q2062" t="s">
        <v>53</v>
      </c>
      <c r="R2062" t="s">
        <v>53</v>
      </c>
      <c r="S2062" t="s">
        <v>9932</v>
      </c>
      <c r="T2062" t="s">
        <v>9933</v>
      </c>
      <c r="U2062" t="s">
        <v>54</v>
      </c>
      <c r="V2062" t="s">
        <v>138</v>
      </c>
      <c r="W2062">
        <v>200000</v>
      </c>
      <c r="X2062" t="s">
        <v>53</v>
      </c>
      <c r="AA2062">
        <v>592</v>
      </c>
      <c r="AB2062">
        <v>425</v>
      </c>
      <c r="AC2062">
        <v>2211</v>
      </c>
      <c r="AD2062">
        <v>1641</v>
      </c>
      <c r="AE2062">
        <v>2211</v>
      </c>
      <c r="AF2062">
        <v>3</v>
      </c>
      <c r="AG2062">
        <v>5</v>
      </c>
      <c r="AH2062">
        <v>15.18857574462891</v>
      </c>
      <c r="AI2062">
        <v>67</v>
      </c>
      <c r="AJ2062">
        <v>1095.853271484375</v>
      </c>
      <c r="AK2062" t="s">
        <v>54</v>
      </c>
      <c r="AL2062" t="s">
        <v>53</v>
      </c>
      <c r="AQ2062" t="s">
        <v>53</v>
      </c>
      <c r="AT2062" t="s">
        <v>9934</v>
      </c>
      <c r="AW2062" t="s">
        <v>8390</v>
      </c>
      <c r="AZ2062" t="s">
        <v>54</v>
      </c>
      <c r="BA2062" t="s">
        <v>9935</v>
      </c>
    </row>
    <row r="2063" spans="1:53" x14ac:dyDescent="0.25">
      <c r="A2063">
        <v>2058</v>
      </c>
      <c r="B2063" t="s">
        <v>9949</v>
      </c>
      <c r="C2063" t="s">
        <v>9950</v>
      </c>
      <c r="D2063" t="s">
        <v>9951</v>
      </c>
      <c r="E2063">
        <v>13</v>
      </c>
      <c r="F2063" t="s">
        <v>9904</v>
      </c>
      <c r="G2063" t="s">
        <v>9611</v>
      </c>
      <c r="H2063" t="s">
        <v>9928</v>
      </c>
      <c r="I2063" t="s">
        <v>9929</v>
      </c>
      <c r="J2063" t="s">
        <v>9930</v>
      </c>
      <c r="K2063" t="s">
        <v>9931</v>
      </c>
      <c r="L2063" t="s">
        <v>9942</v>
      </c>
      <c r="M2063">
        <v>28.378751754760739</v>
      </c>
      <c r="N2063" t="s">
        <v>54</v>
      </c>
      <c r="O2063" t="s">
        <v>53</v>
      </c>
      <c r="P2063" t="s">
        <v>54</v>
      </c>
      <c r="Q2063" t="s">
        <v>53</v>
      </c>
      <c r="R2063" t="s">
        <v>53</v>
      </c>
      <c r="S2063" t="s">
        <v>9932</v>
      </c>
      <c r="T2063" t="s">
        <v>9933</v>
      </c>
      <c r="U2063" t="s">
        <v>54</v>
      </c>
      <c r="V2063" t="s">
        <v>138</v>
      </c>
      <c r="W2063">
        <v>523000</v>
      </c>
      <c r="X2063" t="s">
        <v>53</v>
      </c>
      <c r="AA2063">
        <v>592</v>
      </c>
      <c r="AB2063">
        <v>425</v>
      </c>
      <c r="AC2063">
        <v>2211</v>
      </c>
      <c r="AD2063">
        <v>1641</v>
      </c>
      <c r="AE2063">
        <v>2211</v>
      </c>
      <c r="AF2063">
        <v>3</v>
      </c>
      <c r="AG2063">
        <v>5</v>
      </c>
      <c r="AH2063">
        <v>15.18857574462891</v>
      </c>
      <c r="AI2063">
        <v>67</v>
      </c>
      <c r="AJ2063">
        <v>1095.853271484375</v>
      </c>
      <c r="AK2063" t="s">
        <v>54</v>
      </c>
      <c r="AL2063" t="s">
        <v>53</v>
      </c>
      <c r="AQ2063" t="s">
        <v>53</v>
      </c>
      <c r="AT2063" t="s">
        <v>9934</v>
      </c>
      <c r="AW2063" t="s">
        <v>8390</v>
      </c>
      <c r="AZ2063" t="s">
        <v>54</v>
      </c>
      <c r="BA2063" t="s">
        <v>9935</v>
      </c>
    </row>
    <row r="2064" spans="1:53" x14ac:dyDescent="0.25">
      <c r="A2064">
        <v>2059</v>
      </c>
      <c r="B2064" t="s">
        <v>9952</v>
      </c>
      <c r="C2064" t="s">
        <v>9953</v>
      </c>
      <c r="D2064" t="s">
        <v>9954</v>
      </c>
      <c r="E2064">
        <v>13</v>
      </c>
      <c r="F2064" t="s">
        <v>9904</v>
      </c>
      <c r="G2064" t="s">
        <v>9611</v>
      </c>
      <c r="H2064" t="s">
        <v>9928</v>
      </c>
      <c r="I2064" t="s">
        <v>9929</v>
      </c>
      <c r="J2064" t="s">
        <v>9930</v>
      </c>
      <c r="K2064" t="s">
        <v>9931</v>
      </c>
      <c r="L2064" t="s">
        <v>9910</v>
      </c>
      <c r="M2064">
        <v>28.378751754760739</v>
      </c>
      <c r="N2064" t="s">
        <v>54</v>
      </c>
      <c r="O2064" t="s">
        <v>53</v>
      </c>
      <c r="P2064" t="s">
        <v>54</v>
      </c>
      <c r="Q2064" t="s">
        <v>53</v>
      </c>
      <c r="R2064" t="s">
        <v>53</v>
      </c>
      <c r="S2064" t="s">
        <v>9932</v>
      </c>
      <c r="T2064" t="s">
        <v>9933</v>
      </c>
      <c r="U2064" t="s">
        <v>54</v>
      </c>
      <c r="V2064" t="s">
        <v>138</v>
      </c>
      <c r="W2064">
        <v>250000</v>
      </c>
      <c r="X2064" t="s">
        <v>53</v>
      </c>
      <c r="AA2064">
        <v>592</v>
      </c>
      <c r="AB2064">
        <v>425</v>
      </c>
      <c r="AC2064">
        <v>2211</v>
      </c>
      <c r="AD2064">
        <v>1641</v>
      </c>
      <c r="AE2064">
        <v>2211</v>
      </c>
      <c r="AF2064">
        <v>3</v>
      </c>
      <c r="AG2064">
        <v>5</v>
      </c>
      <c r="AH2064">
        <v>15.18857574462891</v>
      </c>
      <c r="AI2064">
        <v>67</v>
      </c>
      <c r="AJ2064">
        <v>1095.853271484375</v>
      </c>
      <c r="AK2064" t="s">
        <v>54</v>
      </c>
      <c r="AL2064" t="s">
        <v>53</v>
      </c>
      <c r="AQ2064" t="s">
        <v>53</v>
      </c>
      <c r="AT2064" t="s">
        <v>9934</v>
      </c>
      <c r="AW2064" t="s">
        <v>8390</v>
      </c>
      <c r="AZ2064" t="s">
        <v>54</v>
      </c>
      <c r="BA2064" t="s">
        <v>9935</v>
      </c>
    </row>
    <row r="2065" spans="1:53" x14ac:dyDescent="0.25">
      <c r="A2065">
        <v>2060</v>
      </c>
      <c r="B2065" t="s">
        <v>9955</v>
      </c>
      <c r="C2065" t="s">
        <v>9956</v>
      </c>
      <c r="D2065" t="s">
        <v>9957</v>
      </c>
      <c r="E2065">
        <v>13</v>
      </c>
      <c r="F2065" t="s">
        <v>9904</v>
      </c>
      <c r="G2065" t="s">
        <v>9611</v>
      </c>
      <c r="H2065" t="s">
        <v>9928</v>
      </c>
      <c r="I2065" t="s">
        <v>9929</v>
      </c>
      <c r="J2065" t="s">
        <v>9930</v>
      </c>
      <c r="K2065" t="s">
        <v>9931</v>
      </c>
      <c r="L2065" t="s">
        <v>9910</v>
      </c>
      <c r="M2065">
        <v>28.378751754760739</v>
      </c>
      <c r="N2065" t="s">
        <v>54</v>
      </c>
      <c r="O2065" t="s">
        <v>53</v>
      </c>
      <c r="P2065" t="s">
        <v>54</v>
      </c>
      <c r="Q2065" t="s">
        <v>53</v>
      </c>
      <c r="R2065" t="s">
        <v>53</v>
      </c>
      <c r="S2065" t="s">
        <v>9932</v>
      </c>
      <c r="T2065" t="s">
        <v>9933</v>
      </c>
      <c r="U2065" t="s">
        <v>54</v>
      </c>
      <c r="V2065" t="s">
        <v>162</v>
      </c>
      <c r="W2065">
        <v>300000</v>
      </c>
      <c r="X2065" t="s">
        <v>53</v>
      </c>
      <c r="AA2065">
        <v>592</v>
      </c>
      <c r="AB2065">
        <v>425</v>
      </c>
      <c r="AC2065">
        <v>2211</v>
      </c>
      <c r="AD2065">
        <v>1641</v>
      </c>
      <c r="AE2065">
        <v>2211</v>
      </c>
      <c r="AF2065">
        <v>3</v>
      </c>
      <c r="AG2065">
        <v>5</v>
      </c>
      <c r="AH2065">
        <v>15.18857574462891</v>
      </c>
      <c r="AI2065">
        <v>67</v>
      </c>
      <c r="AJ2065">
        <v>1095.853271484375</v>
      </c>
      <c r="AK2065" t="s">
        <v>53</v>
      </c>
      <c r="AL2065" t="s">
        <v>53</v>
      </c>
      <c r="AQ2065" t="s">
        <v>53</v>
      </c>
      <c r="AT2065" t="s">
        <v>9934</v>
      </c>
      <c r="AW2065" t="s">
        <v>8390</v>
      </c>
      <c r="AZ2065" t="s">
        <v>54</v>
      </c>
      <c r="BA2065" t="s">
        <v>9935</v>
      </c>
    </row>
    <row r="2066" spans="1:53" x14ac:dyDescent="0.25">
      <c r="A2066">
        <v>2061</v>
      </c>
      <c r="B2066" t="s">
        <v>9958</v>
      </c>
      <c r="C2066" t="s">
        <v>9959</v>
      </c>
      <c r="D2066" t="s">
        <v>9960</v>
      </c>
      <c r="E2066">
        <v>13</v>
      </c>
      <c r="F2066" t="s">
        <v>9904</v>
      </c>
      <c r="G2066" t="s">
        <v>9611</v>
      </c>
      <c r="H2066" t="s">
        <v>9928</v>
      </c>
      <c r="I2066" t="s">
        <v>9929</v>
      </c>
      <c r="J2066" t="s">
        <v>9930</v>
      </c>
      <c r="K2066" t="s">
        <v>9931</v>
      </c>
      <c r="L2066" t="s">
        <v>9910</v>
      </c>
      <c r="M2066">
        <v>28.378751754760739</v>
      </c>
      <c r="N2066" t="s">
        <v>54</v>
      </c>
      <c r="O2066" t="s">
        <v>53</v>
      </c>
      <c r="P2066" t="s">
        <v>54</v>
      </c>
      <c r="Q2066" t="s">
        <v>53</v>
      </c>
      <c r="R2066" t="s">
        <v>53</v>
      </c>
      <c r="S2066" t="s">
        <v>9932</v>
      </c>
      <c r="T2066" t="s">
        <v>9933</v>
      </c>
      <c r="U2066" t="s">
        <v>54</v>
      </c>
      <c r="V2066" t="s">
        <v>51</v>
      </c>
      <c r="W2066">
        <v>250000</v>
      </c>
      <c r="X2066" t="s">
        <v>53</v>
      </c>
      <c r="AA2066">
        <v>592</v>
      </c>
      <c r="AB2066">
        <v>425</v>
      </c>
      <c r="AC2066">
        <v>2211</v>
      </c>
      <c r="AD2066">
        <v>1641</v>
      </c>
      <c r="AE2066">
        <v>2211</v>
      </c>
      <c r="AF2066">
        <v>3</v>
      </c>
      <c r="AG2066">
        <v>5</v>
      </c>
      <c r="AH2066">
        <v>15.18857574462891</v>
      </c>
      <c r="AI2066">
        <v>67</v>
      </c>
      <c r="AJ2066">
        <v>1095.853271484375</v>
      </c>
      <c r="AK2066" t="s">
        <v>54</v>
      </c>
      <c r="AL2066" t="s">
        <v>53</v>
      </c>
      <c r="AQ2066" t="s">
        <v>53</v>
      </c>
      <c r="AT2066" t="s">
        <v>9934</v>
      </c>
      <c r="AW2066" t="s">
        <v>8390</v>
      </c>
      <c r="AZ2066" t="s">
        <v>54</v>
      </c>
      <c r="BA2066" t="s">
        <v>9935</v>
      </c>
    </row>
    <row r="2067" spans="1:53" x14ac:dyDescent="0.25">
      <c r="A2067">
        <v>2062</v>
      </c>
      <c r="B2067" t="s">
        <v>9961</v>
      </c>
      <c r="C2067" t="s">
        <v>9962</v>
      </c>
      <c r="D2067" t="s">
        <v>9963</v>
      </c>
      <c r="E2067">
        <v>13</v>
      </c>
      <c r="F2067" t="s">
        <v>9904</v>
      </c>
      <c r="G2067" t="s">
        <v>9611</v>
      </c>
      <c r="H2067" t="s">
        <v>9964</v>
      </c>
      <c r="I2067" t="s">
        <v>9965</v>
      </c>
      <c r="J2067" t="s">
        <v>9966</v>
      </c>
      <c r="K2067" t="s">
        <v>9967</v>
      </c>
      <c r="L2067" t="s">
        <v>9942</v>
      </c>
      <c r="M2067">
        <v>1.134847164154053</v>
      </c>
      <c r="N2067" t="s">
        <v>54</v>
      </c>
      <c r="O2067" t="s">
        <v>53</v>
      </c>
      <c r="P2067" t="s">
        <v>54</v>
      </c>
      <c r="Q2067" t="s">
        <v>53</v>
      </c>
      <c r="R2067" t="s">
        <v>53</v>
      </c>
      <c r="S2067" t="s">
        <v>9968</v>
      </c>
      <c r="T2067" t="s">
        <v>9969</v>
      </c>
      <c r="U2067" t="s">
        <v>54</v>
      </c>
      <c r="V2067" t="s">
        <v>138</v>
      </c>
      <c r="W2067">
        <v>48000</v>
      </c>
      <c r="X2067" t="s">
        <v>53</v>
      </c>
      <c r="AA2067">
        <v>56</v>
      </c>
      <c r="AB2067">
        <v>31</v>
      </c>
      <c r="AC2067">
        <v>55</v>
      </c>
      <c r="AD2067">
        <v>68</v>
      </c>
      <c r="AE2067">
        <v>68</v>
      </c>
      <c r="AF2067">
        <v>0</v>
      </c>
      <c r="AG2067">
        <v>0</v>
      </c>
      <c r="AH2067">
        <v>1.402095675468445</v>
      </c>
      <c r="AI2067">
        <v>16</v>
      </c>
      <c r="AJ2067">
        <v>1.3182862997055049</v>
      </c>
      <c r="AK2067" t="s">
        <v>54</v>
      </c>
      <c r="AL2067" t="s">
        <v>53</v>
      </c>
      <c r="AQ2067" t="s">
        <v>53</v>
      </c>
      <c r="AT2067" t="s">
        <v>9934</v>
      </c>
      <c r="AW2067" t="s">
        <v>8390</v>
      </c>
      <c r="AZ2067" t="s">
        <v>54</v>
      </c>
      <c r="BA2067" t="s">
        <v>9970</v>
      </c>
    </row>
    <row r="2068" spans="1:53" x14ac:dyDescent="0.25">
      <c r="A2068">
        <v>2063</v>
      </c>
      <c r="B2068" t="s">
        <v>9971</v>
      </c>
      <c r="C2068" t="s">
        <v>9972</v>
      </c>
      <c r="D2068" t="s">
        <v>9972</v>
      </c>
      <c r="E2068">
        <v>13</v>
      </c>
      <c r="F2068" t="s">
        <v>9904</v>
      </c>
      <c r="G2068" t="s">
        <v>9973</v>
      </c>
      <c r="H2068" t="s">
        <v>9974</v>
      </c>
      <c r="I2068" t="s">
        <v>9975</v>
      </c>
      <c r="J2068" t="s">
        <v>9976</v>
      </c>
      <c r="K2068" t="s">
        <v>9977</v>
      </c>
      <c r="L2068" t="s">
        <v>9942</v>
      </c>
      <c r="M2068">
        <v>3.6033449172973628</v>
      </c>
      <c r="N2068" t="s">
        <v>54</v>
      </c>
      <c r="O2068" t="s">
        <v>53</v>
      </c>
      <c r="P2068" t="s">
        <v>54</v>
      </c>
      <c r="Q2068" t="s">
        <v>53</v>
      </c>
      <c r="R2068" t="s">
        <v>53</v>
      </c>
      <c r="S2068" t="s">
        <v>9978</v>
      </c>
      <c r="T2068" t="s">
        <v>9979</v>
      </c>
      <c r="U2068" t="s">
        <v>54</v>
      </c>
      <c r="V2068" t="s">
        <v>138</v>
      </c>
      <c r="W2068">
        <v>250000</v>
      </c>
      <c r="X2068" t="s">
        <v>53</v>
      </c>
      <c r="AA2068">
        <v>772</v>
      </c>
      <c r="AB2068">
        <v>655</v>
      </c>
      <c r="AC2068">
        <v>1610</v>
      </c>
      <c r="AD2068">
        <v>2376</v>
      </c>
      <c r="AE2068">
        <v>2376</v>
      </c>
      <c r="AF2068">
        <v>3</v>
      </c>
      <c r="AG2068">
        <v>0</v>
      </c>
      <c r="AH2068">
        <v>16.1968879699707</v>
      </c>
      <c r="AI2068">
        <v>82</v>
      </c>
      <c r="AJ2068">
        <v>2.9646928310394292</v>
      </c>
      <c r="AK2068" t="s">
        <v>54</v>
      </c>
      <c r="AL2068" t="s">
        <v>53</v>
      </c>
      <c r="AQ2068" t="s">
        <v>53</v>
      </c>
      <c r="AT2068" t="s">
        <v>9980</v>
      </c>
      <c r="AW2068" t="s">
        <v>53</v>
      </c>
      <c r="AZ2068" t="s">
        <v>54</v>
      </c>
      <c r="BA2068" t="s">
        <v>9981</v>
      </c>
    </row>
    <row r="2069" spans="1:53" x14ac:dyDescent="0.25">
      <c r="A2069">
        <v>2064</v>
      </c>
      <c r="B2069" t="s">
        <v>9982</v>
      </c>
      <c r="C2069" t="s">
        <v>9983</v>
      </c>
      <c r="D2069" t="s">
        <v>9984</v>
      </c>
      <c r="E2069">
        <v>13</v>
      </c>
      <c r="F2069" t="s">
        <v>9904</v>
      </c>
      <c r="G2069" t="s">
        <v>9905</v>
      </c>
      <c r="H2069" t="s">
        <v>9906</v>
      </c>
      <c r="I2069" t="s">
        <v>9907</v>
      </c>
      <c r="J2069" t="s">
        <v>9908</v>
      </c>
      <c r="K2069" t="s">
        <v>9909</v>
      </c>
      <c r="L2069" t="s">
        <v>9910</v>
      </c>
      <c r="M2069">
        <v>7.6020174026489258</v>
      </c>
      <c r="N2069" t="s">
        <v>54</v>
      </c>
      <c r="O2069" t="s">
        <v>53</v>
      </c>
      <c r="P2069" t="s">
        <v>54</v>
      </c>
      <c r="Q2069" t="s">
        <v>53</v>
      </c>
      <c r="R2069" t="s">
        <v>53</v>
      </c>
      <c r="S2069" t="s">
        <v>9911</v>
      </c>
      <c r="T2069" t="s">
        <v>9912</v>
      </c>
      <c r="U2069" t="s">
        <v>54</v>
      </c>
      <c r="V2069" t="s">
        <v>51</v>
      </c>
      <c r="W2069">
        <v>3150000</v>
      </c>
      <c r="X2069" t="s">
        <v>53</v>
      </c>
      <c r="AA2069">
        <v>464</v>
      </c>
      <c r="AB2069">
        <v>322</v>
      </c>
      <c r="AC2069">
        <v>2226</v>
      </c>
      <c r="AD2069">
        <v>660</v>
      </c>
      <c r="AE2069">
        <v>2226</v>
      </c>
      <c r="AF2069">
        <v>1</v>
      </c>
      <c r="AG2069">
        <v>5</v>
      </c>
      <c r="AH2069">
        <v>15.55598068237305</v>
      </c>
      <c r="AI2069">
        <v>107</v>
      </c>
      <c r="AJ2069">
        <v>7.7421112060546884</v>
      </c>
      <c r="AK2069" t="s">
        <v>54</v>
      </c>
      <c r="AL2069" t="s">
        <v>53</v>
      </c>
      <c r="AQ2069" t="s">
        <v>53</v>
      </c>
      <c r="AT2069" t="s">
        <v>7556</v>
      </c>
      <c r="AW2069" t="s">
        <v>8390</v>
      </c>
      <c r="AZ2069" t="s">
        <v>54</v>
      </c>
      <c r="BA2069" t="s">
        <v>9913</v>
      </c>
    </row>
    <row r="2070" spans="1:53" x14ac:dyDescent="0.25">
      <c r="A2070">
        <v>2065</v>
      </c>
      <c r="B2070" t="s">
        <v>9985</v>
      </c>
      <c r="C2070" t="s">
        <v>9986</v>
      </c>
      <c r="D2070" t="s">
        <v>9987</v>
      </c>
      <c r="E2070">
        <v>13</v>
      </c>
      <c r="F2070" t="s">
        <v>9904</v>
      </c>
      <c r="G2070" t="s">
        <v>9988</v>
      </c>
      <c r="H2070" t="s">
        <v>9989</v>
      </c>
      <c r="I2070" t="s">
        <v>9990</v>
      </c>
      <c r="L2070" t="s">
        <v>9991</v>
      </c>
      <c r="M2070">
        <v>1162.540893554688</v>
      </c>
      <c r="N2070" t="s">
        <v>54</v>
      </c>
      <c r="O2070" t="s">
        <v>53</v>
      </c>
      <c r="P2070" t="s">
        <v>54</v>
      </c>
      <c r="Q2070" t="s">
        <v>53</v>
      </c>
      <c r="R2070" t="s">
        <v>53</v>
      </c>
      <c r="S2070" t="s">
        <v>9992</v>
      </c>
      <c r="T2070" t="s">
        <v>9993</v>
      </c>
      <c r="U2070" t="s">
        <v>54</v>
      </c>
      <c r="V2070" t="s">
        <v>138</v>
      </c>
      <c r="W2070">
        <v>450000</v>
      </c>
      <c r="X2070" t="s">
        <v>53</v>
      </c>
      <c r="AA2070">
        <v>339</v>
      </c>
      <c r="AB2070">
        <v>90</v>
      </c>
      <c r="AC2070">
        <v>56</v>
      </c>
      <c r="AD2070">
        <v>103</v>
      </c>
      <c r="AE2070">
        <v>103</v>
      </c>
      <c r="AF2070">
        <v>0</v>
      </c>
      <c r="AG2070">
        <v>6</v>
      </c>
      <c r="AH2070">
        <v>39.451866149902337</v>
      </c>
      <c r="AI2070">
        <v>70</v>
      </c>
      <c r="AJ2070">
        <v>2424.652587890625</v>
      </c>
      <c r="AK2070" t="s">
        <v>54</v>
      </c>
      <c r="AL2070" t="s">
        <v>53</v>
      </c>
      <c r="AQ2070" t="s">
        <v>53</v>
      </c>
      <c r="AT2070" t="s">
        <v>7556</v>
      </c>
      <c r="AW2070" t="s">
        <v>8390</v>
      </c>
      <c r="AZ2070" t="s">
        <v>54</v>
      </c>
      <c r="BA2070" t="s">
        <v>9913</v>
      </c>
    </row>
    <row r="2071" spans="1:53" x14ac:dyDescent="0.25">
      <c r="A2071">
        <v>2066</v>
      </c>
      <c r="B2071" t="s">
        <v>9994</v>
      </c>
      <c r="C2071" t="s">
        <v>9995</v>
      </c>
      <c r="D2071" t="s">
        <v>9996</v>
      </c>
      <c r="E2071">
        <v>13</v>
      </c>
      <c r="F2071" t="s">
        <v>9904</v>
      </c>
      <c r="G2071" t="s">
        <v>9988</v>
      </c>
      <c r="H2071" t="s">
        <v>9989</v>
      </c>
      <c r="I2071" t="s">
        <v>9990</v>
      </c>
      <c r="L2071" t="s">
        <v>9997</v>
      </c>
      <c r="M2071">
        <v>1162.540893554688</v>
      </c>
      <c r="N2071" t="s">
        <v>54</v>
      </c>
      <c r="O2071" t="s">
        <v>53</v>
      </c>
      <c r="P2071" t="s">
        <v>54</v>
      </c>
      <c r="Q2071" t="s">
        <v>53</v>
      </c>
      <c r="R2071" t="s">
        <v>53</v>
      </c>
      <c r="S2071" t="s">
        <v>9992</v>
      </c>
      <c r="T2071" t="s">
        <v>9993</v>
      </c>
      <c r="U2071" t="s">
        <v>54</v>
      </c>
      <c r="V2071" t="s">
        <v>51</v>
      </c>
      <c r="W2071">
        <v>50000</v>
      </c>
      <c r="X2071" t="s">
        <v>53</v>
      </c>
      <c r="AA2071">
        <v>339</v>
      </c>
      <c r="AB2071">
        <v>90</v>
      </c>
      <c r="AC2071">
        <v>56</v>
      </c>
      <c r="AD2071">
        <v>103</v>
      </c>
      <c r="AE2071">
        <v>103</v>
      </c>
      <c r="AF2071">
        <v>0</v>
      </c>
      <c r="AG2071">
        <v>6</v>
      </c>
      <c r="AH2071">
        <v>39.451866149902337</v>
      </c>
      <c r="AI2071">
        <v>70</v>
      </c>
      <c r="AJ2071">
        <v>2424.652587890625</v>
      </c>
      <c r="AK2071" t="s">
        <v>54</v>
      </c>
      <c r="AL2071" t="s">
        <v>53</v>
      </c>
      <c r="AQ2071" t="s">
        <v>53</v>
      </c>
      <c r="AT2071" t="s">
        <v>7556</v>
      </c>
      <c r="AW2071" t="s">
        <v>8390</v>
      </c>
      <c r="AZ2071" t="s">
        <v>54</v>
      </c>
      <c r="BA2071" t="s">
        <v>9913</v>
      </c>
    </row>
    <row r="2072" spans="1:53" x14ac:dyDescent="0.25">
      <c r="A2072">
        <v>2067</v>
      </c>
      <c r="B2072" t="s">
        <v>9998</v>
      </c>
      <c r="C2072" t="s">
        <v>9999</v>
      </c>
      <c r="D2072" t="s">
        <v>10000</v>
      </c>
      <c r="E2072">
        <v>13</v>
      </c>
      <c r="F2072" t="s">
        <v>9904</v>
      </c>
      <c r="G2072" t="s">
        <v>9988</v>
      </c>
      <c r="H2072" t="s">
        <v>9989</v>
      </c>
      <c r="I2072" t="s">
        <v>9990</v>
      </c>
      <c r="L2072" t="s">
        <v>9948</v>
      </c>
      <c r="M2072">
        <v>1162.540893554688</v>
      </c>
      <c r="N2072" t="s">
        <v>54</v>
      </c>
      <c r="O2072" t="s">
        <v>53</v>
      </c>
      <c r="P2072" t="s">
        <v>54</v>
      </c>
      <c r="Q2072" t="s">
        <v>53</v>
      </c>
      <c r="R2072" t="s">
        <v>53</v>
      </c>
      <c r="S2072" t="s">
        <v>9992</v>
      </c>
      <c r="T2072" t="s">
        <v>9993</v>
      </c>
      <c r="U2072" t="s">
        <v>54</v>
      </c>
      <c r="V2072" t="s">
        <v>51</v>
      </c>
      <c r="W2072">
        <v>10000</v>
      </c>
      <c r="X2072" t="s">
        <v>53</v>
      </c>
      <c r="AA2072">
        <v>339</v>
      </c>
      <c r="AB2072">
        <v>90</v>
      </c>
      <c r="AC2072">
        <v>56</v>
      </c>
      <c r="AD2072">
        <v>103</v>
      </c>
      <c r="AE2072">
        <v>103</v>
      </c>
      <c r="AF2072">
        <v>0</v>
      </c>
      <c r="AG2072">
        <v>6</v>
      </c>
      <c r="AH2072">
        <v>39.451866149902337</v>
      </c>
      <c r="AI2072">
        <v>70</v>
      </c>
      <c r="AJ2072">
        <v>2424.652587890625</v>
      </c>
      <c r="AK2072" t="s">
        <v>54</v>
      </c>
      <c r="AL2072" t="s">
        <v>53</v>
      </c>
      <c r="AQ2072" t="s">
        <v>53</v>
      </c>
      <c r="AT2072" t="s">
        <v>7556</v>
      </c>
      <c r="AW2072" t="s">
        <v>8390</v>
      </c>
      <c r="AZ2072" t="s">
        <v>54</v>
      </c>
      <c r="BA2072" t="s">
        <v>9913</v>
      </c>
    </row>
    <row r="2073" spans="1:53" x14ac:dyDescent="0.25">
      <c r="A2073">
        <v>2068</v>
      </c>
      <c r="B2073" t="s">
        <v>10001</v>
      </c>
      <c r="C2073" t="s">
        <v>10002</v>
      </c>
      <c r="D2073" t="s">
        <v>10003</v>
      </c>
      <c r="E2073">
        <v>13</v>
      </c>
      <c r="F2073" t="s">
        <v>9904</v>
      </c>
      <c r="G2073" t="s">
        <v>10004</v>
      </c>
      <c r="H2073" t="s">
        <v>10005</v>
      </c>
      <c r="I2073" t="s">
        <v>10006</v>
      </c>
      <c r="L2073" t="s">
        <v>9910</v>
      </c>
      <c r="M2073">
        <v>1214.849731445312</v>
      </c>
      <c r="N2073" t="s">
        <v>54</v>
      </c>
      <c r="O2073" t="s">
        <v>54</v>
      </c>
      <c r="P2073" t="s">
        <v>54</v>
      </c>
      <c r="Q2073" t="s">
        <v>53</v>
      </c>
      <c r="R2073" t="s">
        <v>53</v>
      </c>
      <c r="S2073" t="s">
        <v>10007</v>
      </c>
      <c r="T2073" t="s">
        <v>10008</v>
      </c>
      <c r="U2073" t="s">
        <v>54</v>
      </c>
      <c r="V2073" t="s">
        <v>138</v>
      </c>
      <c r="W2073">
        <v>250000</v>
      </c>
      <c r="X2073" t="s">
        <v>53</v>
      </c>
      <c r="AA2073">
        <v>1947</v>
      </c>
      <c r="AB2073">
        <v>1498</v>
      </c>
      <c r="AC2073">
        <v>3669</v>
      </c>
      <c r="AD2073">
        <v>3442</v>
      </c>
      <c r="AE2073">
        <v>3669</v>
      </c>
      <c r="AF2073">
        <v>1</v>
      </c>
      <c r="AG2073">
        <v>28</v>
      </c>
      <c r="AH2073">
        <v>141.21061706542969</v>
      </c>
      <c r="AI2073">
        <v>570</v>
      </c>
      <c r="AJ2073">
        <v>3068.908447265625</v>
      </c>
      <c r="AK2073" t="s">
        <v>54</v>
      </c>
      <c r="AL2073" t="s">
        <v>53</v>
      </c>
      <c r="AQ2073" t="s">
        <v>53</v>
      </c>
      <c r="AT2073" t="s">
        <v>7556</v>
      </c>
      <c r="AW2073" t="s">
        <v>8390</v>
      </c>
      <c r="AZ2073" t="s">
        <v>54</v>
      </c>
      <c r="BA2073" t="s">
        <v>9913</v>
      </c>
    </row>
    <row r="2074" spans="1:53" x14ac:dyDescent="0.25">
      <c r="A2074">
        <v>2069</v>
      </c>
      <c r="B2074" t="s">
        <v>10009</v>
      </c>
      <c r="C2074" t="s">
        <v>10010</v>
      </c>
      <c r="D2074" t="s">
        <v>10003</v>
      </c>
      <c r="E2074">
        <v>13</v>
      </c>
      <c r="F2074" t="s">
        <v>9904</v>
      </c>
      <c r="G2074" t="s">
        <v>10004</v>
      </c>
      <c r="H2074" t="s">
        <v>10005</v>
      </c>
      <c r="I2074" t="s">
        <v>10006</v>
      </c>
      <c r="L2074" t="s">
        <v>10011</v>
      </c>
      <c r="M2074">
        <v>1214.849731445312</v>
      </c>
      <c r="N2074" t="s">
        <v>54</v>
      </c>
      <c r="O2074" t="s">
        <v>54</v>
      </c>
      <c r="P2074" t="s">
        <v>54</v>
      </c>
      <c r="Q2074" t="s">
        <v>53</v>
      </c>
      <c r="R2074" t="s">
        <v>53</v>
      </c>
      <c r="S2074" t="s">
        <v>10007</v>
      </c>
      <c r="T2074" t="s">
        <v>10008</v>
      </c>
      <c r="U2074" t="s">
        <v>54</v>
      </c>
      <c r="V2074" t="s">
        <v>138</v>
      </c>
      <c r="W2074">
        <v>850000</v>
      </c>
      <c r="X2074" t="s">
        <v>53</v>
      </c>
      <c r="AA2074">
        <v>1947</v>
      </c>
      <c r="AB2074">
        <v>1498</v>
      </c>
      <c r="AC2074">
        <v>3669</v>
      </c>
      <c r="AD2074">
        <v>3442</v>
      </c>
      <c r="AE2074">
        <v>3669</v>
      </c>
      <c r="AF2074">
        <v>1</v>
      </c>
      <c r="AG2074">
        <v>28</v>
      </c>
      <c r="AH2074">
        <v>141.21061706542969</v>
      </c>
      <c r="AI2074">
        <v>570</v>
      </c>
      <c r="AJ2074">
        <v>3068.908447265625</v>
      </c>
      <c r="AK2074" t="s">
        <v>54</v>
      </c>
      <c r="AL2074" t="s">
        <v>53</v>
      </c>
      <c r="AQ2074" t="s">
        <v>53</v>
      </c>
      <c r="AT2074" t="s">
        <v>7556</v>
      </c>
      <c r="AW2074" t="s">
        <v>8390</v>
      </c>
      <c r="AZ2074" t="s">
        <v>54</v>
      </c>
      <c r="BA2074" t="s">
        <v>9913</v>
      </c>
    </row>
    <row r="2075" spans="1:53" x14ac:dyDescent="0.25">
      <c r="A2075">
        <v>2070</v>
      </c>
      <c r="B2075" t="s">
        <v>10012</v>
      </c>
      <c r="C2075" t="s">
        <v>10013</v>
      </c>
      <c r="D2075" t="s">
        <v>10014</v>
      </c>
      <c r="E2075">
        <v>13</v>
      </c>
      <c r="F2075" t="s">
        <v>9904</v>
      </c>
      <c r="G2075" t="s">
        <v>9905</v>
      </c>
      <c r="H2075" t="s">
        <v>10015</v>
      </c>
      <c r="I2075" t="s">
        <v>10016</v>
      </c>
      <c r="J2075" t="s">
        <v>10017</v>
      </c>
      <c r="K2075" t="s">
        <v>10018</v>
      </c>
      <c r="L2075" t="s">
        <v>9910</v>
      </c>
      <c r="M2075">
        <v>1.974855303764343</v>
      </c>
      <c r="N2075" t="s">
        <v>54</v>
      </c>
      <c r="O2075" t="s">
        <v>53</v>
      </c>
      <c r="P2075" t="s">
        <v>54</v>
      </c>
      <c r="Q2075" t="s">
        <v>53</v>
      </c>
      <c r="R2075" t="s">
        <v>53</v>
      </c>
      <c r="S2075" t="s">
        <v>10019</v>
      </c>
      <c r="T2075" t="s">
        <v>10020</v>
      </c>
      <c r="U2075" t="s">
        <v>54</v>
      </c>
      <c r="V2075" t="s">
        <v>51</v>
      </c>
      <c r="W2075">
        <v>350000</v>
      </c>
      <c r="X2075" t="s">
        <v>53</v>
      </c>
      <c r="AA2075">
        <v>3</v>
      </c>
      <c r="AB2075">
        <v>3</v>
      </c>
      <c r="AC2075">
        <v>0</v>
      </c>
      <c r="AD2075">
        <v>4</v>
      </c>
      <c r="AE2075">
        <v>4</v>
      </c>
      <c r="AF2075">
        <v>0</v>
      </c>
      <c r="AG2075">
        <v>0</v>
      </c>
      <c r="AH2075">
        <v>0.17604222893714899</v>
      </c>
      <c r="AI2075">
        <v>10</v>
      </c>
      <c r="AJ2075">
        <v>4.8719469457864761E-2</v>
      </c>
      <c r="AK2075" t="s">
        <v>54</v>
      </c>
      <c r="AL2075" t="s">
        <v>53</v>
      </c>
      <c r="AQ2075" t="s">
        <v>53</v>
      </c>
      <c r="AT2075" t="s">
        <v>7556</v>
      </c>
      <c r="AW2075" t="s">
        <v>53</v>
      </c>
      <c r="AZ2075" t="s">
        <v>54</v>
      </c>
      <c r="BA2075" t="s">
        <v>9913</v>
      </c>
    </row>
    <row r="2076" spans="1:53" x14ac:dyDescent="0.25">
      <c r="A2076">
        <v>2071</v>
      </c>
      <c r="B2076" t="s">
        <v>10021</v>
      </c>
      <c r="C2076" t="s">
        <v>10022</v>
      </c>
      <c r="D2076" t="s">
        <v>10023</v>
      </c>
      <c r="E2076">
        <v>13</v>
      </c>
      <c r="F2076" t="s">
        <v>9904</v>
      </c>
      <c r="G2076" t="s">
        <v>9905</v>
      </c>
      <c r="H2076" t="s">
        <v>9906</v>
      </c>
      <c r="I2076" t="s">
        <v>10024</v>
      </c>
      <c r="J2076" t="s">
        <v>10025</v>
      </c>
      <c r="K2076" t="s">
        <v>10026</v>
      </c>
      <c r="L2076" t="s">
        <v>9910</v>
      </c>
      <c r="M2076">
        <v>1.774067640304565</v>
      </c>
      <c r="N2076" t="s">
        <v>54</v>
      </c>
      <c r="O2076" t="s">
        <v>53</v>
      </c>
      <c r="P2076" t="s">
        <v>54</v>
      </c>
      <c r="Q2076" t="s">
        <v>53</v>
      </c>
      <c r="R2076" t="s">
        <v>53</v>
      </c>
      <c r="S2076" t="s">
        <v>10027</v>
      </c>
      <c r="T2076" t="s">
        <v>10028</v>
      </c>
      <c r="U2076" t="s">
        <v>54</v>
      </c>
      <c r="V2076" t="s">
        <v>51</v>
      </c>
      <c r="W2076">
        <v>350000</v>
      </c>
      <c r="X2076" t="s">
        <v>53</v>
      </c>
      <c r="AA2076">
        <v>15</v>
      </c>
      <c r="AB2076">
        <v>8</v>
      </c>
      <c r="AC2076">
        <v>13</v>
      </c>
      <c r="AD2076">
        <v>10</v>
      </c>
      <c r="AE2076">
        <v>13</v>
      </c>
      <c r="AF2076">
        <v>0</v>
      </c>
      <c r="AG2076">
        <v>0</v>
      </c>
      <c r="AH2076">
        <v>0.78053456544876099</v>
      </c>
      <c r="AI2076">
        <v>18</v>
      </c>
      <c r="AJ2076">
        <v>0</v>
      </c>
      <c r="AK2076" t="s">
        <v>54</v>
      </c>
      <c r="AL2076" t="s">
        <v>53</v>
      </c>
      <c r="AQ2076" t="s">
        <v>53</v>
      </c>
      <c r="AT2076" t="s">
        <v>7556</v>
      </c>
      <c r="AW2076" t="s">
        <v>53</v>
      </c>
      <c r="AZ2076" t="s">
        <v>54</v>
      </c>
      <c r="BA2076" t="s">
        <v>9913</v>
      </c>
    </row>
    <row r="2077" spans="1:53" x14ac:dyDescent="0.25">
      <c r="A2077">
        <v>2072</v>
      </c>
      <c r="B2077" t="s">
        <v>10029</v>
      </c>
      <c r="C2077" t="s">
        <v>10030</v>
      </c>
      <c r="D2077" t="s">
        <v>10031</v>
      </c>
      <c r="E2077">
        <v>13</v>
      </c>
      <c r="F2077" t="s">
        <v>9904</v>
      </c>
      <c r="G2077" t="s">
        <v>9905</v>
      </c>
      <c r="H2077" t="s">
        <v>9906</v>
      </c>
      <c r="I2077" t="s">
        <v>10032</v>
      </c>
      <c r="J2077" t="s">
        <v>10033</v>
      </c>
      <c r="K2077" t="s">
        <v>10034</v>
      </c>
      <c r="L2077" t="s">
        <v>9910</v>
      </c>
      <c r="M2077">
        <v>3.4770641326904301</v>
      </c>
      <c r="N2077" t="s">
        <v>54</v>
      </c>
      <c r="O2077" t="s">
        <v>53</v>
      </c>
      <c r="P2077" t="s">
        <v>54</v>
      </c>
      <c r="Q2077" t="s">
        <v>53</v>
      </c>
      <c r="R2077" t="s">
        <v>53</v>
      </c>
      <c r="S2077" t="s">
        <v>10035</v>
      </c>
      <c r="T2077" t="s">
        <v>10036</v>
      </c>
      <c r="U2077" t="s">
        <v>54</v>
      </c>
      <c r="V2077" t="s">
        <v>51</v>
      </c>
      <c r="W2077">
        <v>225000</v>
      </c>
      <c r="X2077" t="s">
        <v>53</v>
      </c>
      <c r="AA2077">
        <v>18</v>
      </c>
      <c r="AB2077">
        <v>11</v>
      </c>
      <c r="AC2077">
        <v>113</v>
      </c>
      <c r="AD2077">
        <v>72</v>
      </c>
      <c r="AE2077">
        <v>113</v>
      </c>
      <c r="AF2077">
        <v>0</v>
      </c>
      <c r="AG2077">
        <v>0</v>
      </c>
      <c r="AH2077">
        <v>0.96141952276229858</v>
      </c>
      <c r="AI2077">
        <v>25</v>
      </c>
      <c r="AJ2077">
        <v>1.337621808052063</v>
      </c>
      <c r="AK2077" t="s">
        <v>54</v>
      </c>
      <c r="AL2077" t="s">
        <v>53</v>
      </c>
      <c r="AQ2077" t="s">
        <v>53</v>
      </c>
      <c r="AT2077" t="s">
        <v>7556</v>
      </c>
      <c r="AW2077" t="s">
        <v>53</v>
      </c>
      <c r="AZ2077" t="s">
        <v>54</v>
      </c>
      <c r="BA2077" t="s">
        <v>9913</v>
      </c>
    </row>
    <row r="2078" spans="1:53" x14ac:dyDescent="0.25">
      <c r="A2078">
        <v>2073</v>
      </c>
      <c r="B2078" t="s">
        <v>10037</v>
      </c>
      <c r="C2078" t="s">
        <v>10038</v>
      </c>
      <c r="D2078" t="s">
        <v>10039</v>
      </c>
      <c r="E2078">
        <v>13</v>
      </c>
      <c r="F2078" t="s">
        <v>9904</v>
      </c>
      <c r="G2078" t="s">
        <v>10040</v>
      </c>
      <c r="H2078" t="s">
        <v>9906</v>
      </c>
      <c r="I2078" t="s">
        <v>10041</v>
      </c>
      <c r="J2078" t="s">
        <v>10042</v>
      </c>
      <c r="K2078" t="s">
        <v>10043</v>
      </c>
      <c r="L2078" t="s">
        <v>10011</v>
      </c>
      <c r="M2078">
        <v>4.3421144485473633</v>
      </c>
      <c r="N2078" t="s">
        <v>54</v>
      </c>
      <c r="O2078" t="s">
        <v>54</v>
      </c>
      <c r="P2078" t="s">
        <v>54</v>
      </c>
      <c r="Q2078" t="s">
        <v>53</v>
      </c>
      <c r="R2078" t="s">
        <v>53</v>
      </c>
      <c r="S2078" t="s">
        <v>10044</v>
      </c>
      <c r="T2078" t="s">
        <v>10045</v>
      </c>
      <c r="U2078" t="s">
        <v>54</v>
      </c>
      <c r="V2078" t="s">
        <v>51</v>
      </c>
      <c r="W2078">
        <v>750000</v>
      </c>
      <c r="X2078" t="s">
        <v>53</v>
      </c>
      <c r="AA2078">
        <v>112</v>
      </c>
      <c r="AB2078">
        <v>92</v>
      </c>
      <c r="AC2078">
        <v>267</v>
      </c>
      <c r="AD2078">
        <v>288</v>
      </c>
      <c r="AE2078">
        <v>288</v>
      </c>
      <c r="AF2078">
        <v>0</v>
      </c>
      <c r="AG2078">
        <v>9</v>
      </c>
      <c r="AH2078">
        <v>2.9408247470855708</v>
      </c>
      <c r="AI2078">
        <v>29</v>
      </c>
      <c r="AJ2078">
        <v>7.4427151679992676</v>
      </c>
      <c r="AK2078" t="s">
        <v>54</v>
      </c>
      <c r="AL2078" t="s">
        <v>53</v>
      </c>
      <c r="AQ2078" t="s">
        <v>53</v>
      </c>
      <c r="AT2078" t="s">
        <v>7556</v>
      </c>
      <c r="AW2078" t="s">
        <v>8390</v>
      </c>
      <c r="AZ2078" t="s">
        <v>54</v>
      </c>
      <c r="BA2078" t="s">
        <v>9913</v>
      </c>
    </row>
    <row r="2079" spans="1:53" x14ac:dyDescent="0.25">
      <c r="A2079">
        <v>2074</v>
      </c>
      <c r="B2079" t="s">
        <v>10046</v>
      </c>
      <c r="C2079" t="s">
        <v>10047</v>
      </c>
      <c r="D2079" t="s">
        <v>10048</v>
      </c>
      <c r="E2079">
        <v>13</v>
      </c>
      <c r="F2079" t="s">
        <v>9904</v>
      </c>
      <c r="G2079" t="s">
        <v>10040</v>
      </c>
      <c r="H2079" t="s">
        <v>9906</v>
      </c>
      <c r="I2079" t="s">
        <v>10041</v>
      </c>
      <c r="J2079" t="s">
        <v>10042</v>
      </c>
      <c r="K2079" t="s">
        <v>10043</v>
      </c>
      <c r="L2079" t="s">
        <v>9948</v>
      </c>
      <c r="M2079">
        <v>4.3421144485473633</v>
      </c>
      <c r="N2079" t="s">
        <v>54</v>
      </c>
      <c r="O2079" t="s">
        <v>54</v>
      </c>
      <c r="P2079" t="s">
        <v>54</v>
      </c>
      <c r="Q2079" t="s">
        <v>53</v>
      </c>
      <c r="R2079" t="s">
        <v>53</v>
      </c>
      <c r="S2079" t="s">
        <v>10044</v>
      </c>
      <c r="T2079" t="s">
        <v>10045</v>
      </c>
      <c r="U2079" t="s">
        <v>54</v>
      </c>
      <c r="V2079" t="s">
        <v>1973</v>
      </c>
      <c r="W2079">
        <v>30000</v>
      </c>
      <c r="X2079" t="s">
        <v>53</v>
      </c>
      <c r="AA2079">
        <v>112</v>
      </c>
      <c r="AB2079">
        <v>92</v>
      </c>
      <c r="AC2079">
        <v>267</v>
      </c>
      <c r="AD2079">
        <v>288</v>
      </c>
      <c r="AE2079">
        <v>288</v>
      </c>
      <c r="AF2079">
        <v>0</v>
      </c>
      <c r="AG2079">
        <v>9</v>
      </c>
      <c r="AH2079">
        <v>2.9408247470855708</v>
      </c>
      <c r="AI2079">
        <v>29</v>
      </c>
      <c r="AJ2079">
        <v>7.4427151679992676</v>
      </c>
      <c r="AK2079" t="s">
        <v>53</v>
      </c>
      <c r="AL2079" t="s">
        <v>53</v>
      </c>
      <c r="AQ2079" t="s">
        <v>53</v>
      </c>
      <c r="AT2079" t="s">
        <v>7556</v>
      </c>
      <c r="AW2079" t="s">
        <v>8390</v>
      </c>
      <c r="AZ2079" t="s">
        <v>54</v>
      </c>
      <c r="BA2079" t="s">
        <v>9913</v>
      </c>
    </row>
    <row r="2080" spans="1:53" x14ac:dyDescent="0.25">
      <c r="A2080">
        <v>2075</v>
      </c>
      <c r="B2080" t="s">
        <v>10049</v>
      </c>
      <c r="C2080" t="s">
        <v>10050</v>
      </c>
      <c r="D2080" t="s">
        <v>10051</v>
      </c>
      <c r="E2080">
        <v>13</v>
      </c>
      <c r="F2080" t="s">
        <v>9904</v>
      </c>
      <c r="G2080" t="s">
        <v>9905</v>
      </c>
      <c r="H2080" t="s">
        <v>9906</v>
      </c>
      <c r="I2080" t="s">
        <v>9907</v>
      </c>
      <c r="J2080" t="s">
        <v>10052</v>
      </c>
      <c r="K2080" t="s">
        <v>10053</v>
      </c>
      <c r="L2080" t="s">
        <v>9910</v>
      </c>
      <c r="M2080">
        <v>1.6618597507476811</v>
      </c>
      <c r="N2080" t="s">
        <v>54</v>
      </c>
      <c r="O2080" t="s">
        <v>53</v>
      </c>
      <c r="P2080" t="s">
        <v>54</v>
      </c>
      <c r="Q2080" t="s">
        <v>53</v>
      </c>
      <c r="R2080" t="s">
        <v>53</v>
      </c>
      <c r="S2080" t="s">
        <v>10054</v>
      </c>
      <c r="T2080" t="s">
        <v>10055</v>
      </c>
      <c r="U2080" t="s">
        <v>54</v>
      </c>
      <c r="V2080" t="s">
        <v>51</v>
      </c>
      <c r="W2080">
        <v>38000</v>
      </c>
      <c r="X2080" t="s">
        <v>53</v>
      </c>
      <c r="AA2080">
        <v>259</v>
      </c>
      <c r="AB2080">
        <v>224</v>
      </c>
      <c r="AC2080">
        <v>246</v>
      </c>
      <c r="AD2080">
        <v>471</v>
      </c>
      <c r="AE2080">
        <v>471</v>
      </c>
      <c r="AF2080">
        <v>0</v>
      </c>
      <c r="AG2080">
        <v>0</v>
      </c>
      <c r="AH2080">
        <v>4.7368102073669434</v>
      </c>
      <c r="AI2080">
        <v>35</v>
      </c>
      <c r="AJ2080">
        <v>0.75985586643218994</v>
      </c>
      <c r="AK2080" t="s">
        <v>54</v>
      </c>
      <c r="AL2080" t="s">
        <v>53</v>
      </c>
      <c r="AQ2080" t="s">
        <v>53</v>
      </c>
      <c r="AT2080" t="s">
        <v>7556</v>
      </c>
      <c r="AW2080" t="s">
        <v>8390</v>
      </c>
      <c r="AZ2080" t="s">
        <v>54</v>
      </c>
      <c r="BA2080" t="s">
        <v>9913</v>
      </c>
    </row>
    <row r="2081" spans="1:53" x14ac:dyDescent="0.25">
      <c r="A2081">
        <v>2076</v>
      </c>
      <c r="B2081" t="s">
        <v>10056</v>
      </c>
      <c r="C2081" t="s">
        <v>10057</v>
      </c>
      <c r="D2081" t="s">
        <v>10058</v>
      </c>
      <c r="E2081">
        <v>13</v>
      </c>
      <c r="F2081" t="s">
        <v>9904</v>
      </c>
      <c r="G2081" t="s">
        <v>10059</v>
      </c>
      <c r="H2081" t="s">
        <v>10060</v>
      </c>
      <c r="I2081" t="s">
        <v>10061</v>
      </c>
      <c r="J2081" t="s">
        <v>10062</v>
      </c>
      <c r="K2081" t="s">
        <v>10063</v>
      </c>
      <c r="L2081" t="s">
        <v>9910</v>
      </c>
      <c r="M2081">
        <v>2.5740738492459059E-3</v>
      </c>
      <c r="N2081" t="s">
        <v>53</v>
      </c>
      <c r="O2081" t="s">
        <v>53</v>
      </c>
      <c r="P2081" t="s">
        <v>54</v>
      </c>
      <c r="Q2081" t="s">
        <v>53</v>
      </c>
      <c r="R2081" t="s">
        <v>53</v>
      </c>
      <c r="S2081" t="s">
        <v>10064</v>
      </c>
      <c r="T2081" t="s">
        <v>10065</v>
      </c>
      <c r="U2081" t="s">
        <v>54</v>
      </c>
      <c r="V2081" t="s">
        <v>51</v>
      </c>
      <c r="W2081">
        <v>279000</v>
      </c>
      <c r="X2081" t="s">
        <v>53</v>
      </c>
      <c r="AA2081">
        <v>0</v>
      </c>
      <c r="AB2081">
        <v>0</v>
      </c>
      <c r="AC2081">
        <v>0</v>
      </c>
      <c r="AD2081">
        <v>0</v>
      </c>
      <c r="AE2081">
        <v>0</v>
      </c>
      <c r="AF2081">
        <v>0</v>
      </c>
      <c r="AG2081">
        <v>0</v>
      </c>
      <c r="AH2081">
        <v>9.366336464881897E-2</v>
      </c>
      <c r="AI2081">
        <v>1</v>
      </c>
      <c r="AJ2081">
        <v>0</v>
      </c>
      <c r="AK2081" t="s">
        <v>54</v>
      </c>
      <c r="AL2081" t="s">
        <v>53</v>
      </c>
      <c r="AQ2081" t="s">
        <v>53</v>
      </c>
      <c r="AT2081" t="s">
        <v>10066</v>
      </c>
      <c r="AW2081" t="s">
        <v>53</v>
      </c>
      <c r="AZ2081" t="s">
        <v>54</v>
      </c>
      <c r="BA2081" t="s">
        <v>10067</v>
      </c>
    </row>
    <row r="2082" spans="1:53" x14ac:dyDescent="0.25">
      <c r="A2082">
        <v>2077</v>
      </c>
      <c r="B2082" t="s">
        <v>10068</v>
      </c>
      <c r="C2082" t="s">
        <v>10069</v>
      </c>
      <c r="D2082" t="s">
        <v>10070</v>
      </c>
      <c r="E2082">
        <v>13</v>
      </c>
      <c r="F2082" t="s">
        <v>9904</v>
      </c>
      <c r="G2082" t="s">
        <v>10059</v>
      </c>
      <c r="H2082" t="s">
        <v>10060</v>
      </c>
      <c r="I2082" t="s">
        <v>10061</v>
      </c>
      <c r="J2082" t="s">
        <v>10062</v>
      </c>
      <c r="K2082" t="s">
        <v>10063</v>
      </c>
      <c r="L2082" t="s">
        <v>9910</v>
      </c>
      <c r="M2082">
        <v>1.577657647430897E-3</v>
      </c>
      <c r="N2082" t="s">
        <v>53</v>
      </c>
      <c r="O2082" t="s">
        <v>53</v>
      </c>
      <c r="P2082" t="s">
        <v>53</v>
      </c>
      <c r="Q2082" t="s">
        <v>53</v>
      </c>
      <c r="R2082" t="s">
        <v>53</v>
      </c>
      <c r="S2082" t="s">
        <v>10064</v>
      </c>
      <c r="T2082" t="s">
        <v>10065</v>
      </c>
      <c r="U2082" t="s">
        <v>54</v>
      </c>
      <c r="V2082" t="s">
        <v>51</v>
      </c>
      <c r="W2082">
        <v>530000</v>
      </c>
      <c r="X2082" t="s">
        <v>53</v>
      </c>
      <c r="AA2082">
        <v>0</v>
      </c>
      <c r="AB2082">
        <v>0</v>
      </c>
      <c r="AC2082">
        <v>0</v>
      </c>
      <c r="AD2082">
        <v>0</v>
      </c>
      <c r="AE2082">
        <v>0</v>
      </c>
      <c r="AF2082">
        <v>0</v>
      </c>
      <c r="AG2082">
        <v>0</v>
      </c>
      <c r="AH2082">
        <v>0</v>
      </c>
      <c r="AI2082">
        <v>0</v>
      </c>
      <c r="AJ2082">
        <v>0</v>
      </c>
      <c r="AK2082" t="s">
        <v>54</v>
      </c>
      <c r="AL2082" t="s">
        <v>53</v>
      </c>
      <c r="AQ2082" t="s">
        <v>53</v>
      </c>
      <c r="AT2082" t="s">
        <v>10066</v>
      </c>
      <c r="AW2082" t="s">
        <v>53</v>
      </c>
      <c r="AZ2082" t="s">
        <v>54</v>
      </c>
      <c r="BA2082" t="s">
        <v>10067</v>
      </c>
    </row>
    <row r="2083" spans="1:53" x14ac:dyDescent="0.25">
      <c r="A2083">
        <v>2078</v>
      </c>
      <c r="B2083" t="s">
        <v>10071</v>
      </c>
      <c r="C2083" t="s">
        <v>10072</v>
      </c>
      <c r="D2083" t="s">
        <v>10073</v>
      </c>
      <c r="E2083">
        <v>13</v>
      </c>
      <c r="F2083" t="s">
        <v>9904</v>
      </c>
      <c r="G2083" t="s">
        <v>10074</v>
      </c>
      <c r="H2083" t="s">
        <v>10075</v>
      </c>
      <c r="I2083" t="s">
        <v>10076</v>
      </c>
      <c r="J2083" t="s">
        <v>10077</v>
      </c>
      <c r="K2083" t="s">
        <v>10078</v>
      </c>
      <c r="L2083" t="s">
        <v>9910</v>
      </c>
      <c r="M2083">
        <v>12.69940090179443</v>
      </c>
      <c r="N2083" t="s">
        <v>54</v>
      </c>
      <c r="O2083" t="s">
        <v>53</v>
      </c>
      <c r="P2083" t="s">
        <v>54</v>
      </c>
      <c r="Q2083" t="s">
        <v>53</v>
      </c>
      <c r="R2083" t="s">
        <v>53</v>
      </c>
      <c r="S2083" t="s">
        <v>10079</v>
      </c>
      <c r="T2083" t="s">
        <v>10080</v>
      </c>
      <c r="U2083" t="s">
        <v>54</v>
      </c>
      <c r="V2083" t="s">
        <v>51</v>
      </c>
      <c r="W2083">
        <v>159000</v>
      </c>
      <c r="X2083" t="s">
        <v>53</v>
      </c>
      <c r="AA2083">
        <v>893</v>
      </c>
      <c r="AB2083">
        <v>572</v>
      </c>
      <c r="AC2083">
        <v>6681</v>
      </c>
      <c r="AD2083">
        <v>1887</v>
      </c>
      <c r="AE2083">
        <v>6681</v>
      </c>
      <c r="AF2083">
        <v>8</v>
      </c>
      <c r="AG2083">
        <v>4</v>
      </c>
      <c r="AH2083">
        <v>19.297714233398441</v>
      </c>
      <c r="AI2083">
        <v>296</v>
      </c>
      <c r="AJ2083">
        <v>131.8397216796875</v>
      </c>
      <c r="AK2083" t="s">
        <v>54</v>
      </c>
      <c r="AL2083" t="s">
        <v>53</v>
      </c>
      <c r="AQ2083" t="s">
        <v>53</v>
      </c>
      <c r="AT2083" t="s">
        <v>10081</v>
      </c>
      <c r="AW2083" t="s">
        <v>8390</v>
      </c>
      <c r="AZ2083" t="s">
        <v>54</v>
      </c>
      <c r="BA2083" t="s">
        <v>9913</v>
      </c>
    </row>
    <row r="2084" spans="1:53" x14ac:dyDescent="0.25">
      <c r="A2084">
        <v>2079</v>
      </c>
      <c r="B2084" t="s">
        <v>10082</v>
      </c>
      <c r="C2084" t="s">
        <v>10083</v>
      </c>
      <c r="D2084" t="s">
        <v>10084</v>
      </c>
      <c r="E2084">
        <v>13</v>
      </c>
      <c r="F2084" t="s">
        <v>9904</v>
      </c>
      <c r="G2084" t="s">
        <v>10074</v>
      </c>
      <c r="H2084" t="s">
        <v>10075</v>
      </c>
      <c r="I2084" t="s">
        <v>10076</v>
      </c>
      <c r="J2084" t="s">
        <v>10077</v>
      </c>
      <c r="K2084" t="s">
        <v>10078</v>
      </c>
      <c r="L2084" t="s">
        <v>10085</v>
      </c>
      <c r="M2084">
        <v>12.69940090179443</v>
      </c>
      <c r="N2084" t="s">
        <v>54</v>
      </c>
      <c r="O2084" t="s">
        <v>53</v>
      </c>
      <c r="P2084" t="s">
        <v>54</v>
      </c>
      <c r="Q2084" t="s">
        <v>53</v>
      </c>
      <c r="R2084" t="s">
        <v>53</v>
      </c>
      <c r="S2084" t="s">
        <v>10079</v>
      </c>
      <c r="T2084" t="s">
        <v>10080</v>
      </c>
      <c r="U2084" t="s">
        <v>54</v>
      </c>
      <c r="V2084" t="s">
        <v>51</v>
      </c>
      <c r="W2084">
        <v>106000</v>
      </c>
      <c r="X2084" t="s">
        <v>53</v>
      </c>
      <c r="AA2084">
        <v>893</v>
      </c>
      <c r="AB2084">
        <v>572</v>
      </c>
      <c r="AC2084">
        <v>6681</v>
      </c>
      <c r="AD2084">
        <v>1887</v>
      </c>
      <c r="AE2084">
        <v>6681</v>
      </c>
      <c r="AF2084">
        <v>8</v>
      </c>
      <c r="AG2084">
        <v>4</v>
      </c>
      <c r="AH2084">
        <v>19.297714233398441</v>
      </c>
      <c r="AI2084">
        <v>296</v>
      </c>
      <c r="AJ2084">
        <v>131.8397216796875</v>
      </c>
      <c r="AK2084" t="s">
        <v>54</v>
      </c>
      <c r="AL2084" t="s">
        <v>53</v>
      </c>
      <c r="AQ2084" t="s">
        <v>53</v>
      </c>
      <c r="AT2084" t="s">
        <v>10081</v>
      </c>
      <c r="AW2084" t="s">
        <v>8390</v>
      </c>
      <c r="AZ2084" t="s">
        <v>54</v>
      </c>
      <c r="BA2084" t="s">
        <v>9913</v>
      </c>
    </row>
    <row r="2085" spans="1:53" x14ac:dyDescent="0.25">
      <c r="A2085">
        <v>2080</v>
      </c>
      <c r="B2085" t="s">
        <v>10086</v>
      </c>
      <c r="C2085" t="s">
        <v>10087</v>
      </c>
      <c r="D2085" t="s">
        <v>10088</v>
      </c>
      <c r="E2085">
        <v>13</v>
      </c>
      <c r="F2085" t="s">
        <v>9904</v>
      </c>
      <c r="G2085" t="s">
        <v>10074</v>
      </c>
      <c r="H2085" t="s">
        <v>10075</v>
      </c>
      <c r="I2085" t="s">
        <v>10076</v>
      </c>
      <c r="J2085" t="s">
        <v>10077</v>
      </c>
      <c r="K2085" t="s">
        <v>10078</v>
      </c>
      <c r="L2085" t="s">
        <v>10085</v>
      </c>
      <c r="M2085">
        <v>12.69940090179443</v>
      </c>
      <c r="N2085" t="s">
        <v>54</v>
      </c>
      <c r="O2085" t="s">
        <v>53</v>
      </c>
      <c r="P2085" t="s">
        <v>54</v>
      </c>
      <c r="Q2085" t="s">
        <v>53</v>
      </c>
      <c r="R2085" t="s">
        <v>53</v>
      </c>
      <c r="S2085" t="s">
        <v>10079</v>
      </c>
      <c r="T2085" t="s">
        <v>10080</v>
      </c>
      <c r="U2085" t="s">
        <v>54</v>
      </c>
      <c r="V2085" t="s">
        <v>51</v>
      </c>
      <c r="W2085">
        <v>159000</v>
      </c>
      <c r="X2085" t="s">
        <v>53</v>
      </c>
      <c r="AA2085">
        <v>893</v>
      </c>
      <c r="AB2085">
        <v>572</v>
      </c>
      <c r="AC2085">
        <v>6681</v>
      </c>
      <c r="AD2085">
        <v>1887</v>
      </c>
      <c r="AE2085">
        <v>6681</v>
      </c>
      <c r="AF2085">
        <v>8</v>
      </c>
      <c r="AG2085">
        <v>4</v>
      </c>
      <c r="AH2085">
        <v>19.297714233398441</v>
      </c>
      <c r="AI2085">
        <v>296</v>
      </c>
      <c r="AJ2085">
        <v>131.8397216796875</v>
      </c>
      <c r="AK2085" t="s">
        <v>54</v>
      </c>
      <c r="AL2085" t="s">
        <v>53</v>
      </c>
      <c r="AQ2085" t="s">
        <v>53</v>
      </c>
      <c r="AT2085" t="s">
        <v>10081</v>
      </c>
      <c r="AW2085" t="s">
        <v>8390</v>
      </c>
      <c r="AZ2085" t="s">
        <v>54</v>
      </c>
      <c r="BA2085" t="s">
        <v>9913</v>
      </c>
    </row>
    <row r="2086" spans="1:53" x14ac:dyDescent="0.25">
      <c r="A2086">
        <v>2081</v>
      </c>
      <c r="B2086" t="s">
        <v>10089</v>
      </c>
      <c r="C2086" t="s">
        <v>10090</v>
      </c>
      <c r="D2086" t="s">
        <v>10073</v>
      </c>
      <c r="E2086">
        <v>13</v>
      </c>
      <c r="F2086" t="s">
        <v>9904</v>
      </c>
      <c r="G2086" t="s">
        <v>10091</v>
      </c>
      <c r="H2086" t="s">
        <v>10092</v>
      </c>
      <c r="I2086" t="s">
        <v>10093</v>
      </c>
      <c r="L2086" t="s">
        <v>9910</v>
      </c>
      <c r="M2086">
        <v>867.9454345703125</v>
      </c>
      <c r="N2086" t="s">
        <v>54</v>
      </c>
      <c r="O2086" t="s">
        <v>53</v>
      </c>
      <c r="P2086" t="s">
        <v>54</v>
      </c>
      <c r="Q2086" t="s">
        <v>53</v>
      </c>
      <c r="R2086" t="s">
        <v>53</v>
      </c>
      <c r="S2086" t="s">
        <v>10094</v>
      </c>
      <c r="T2086" t="s">
        <v>10095</v>
      </c>
      <c r="U2086" t="s">
        <v>54</v>
      </c>
      <c r="V2086" t="s">
        <v>51</v>
      </c>
      <c r="W2086">
        <v>159000</v>
      </c>
      <c r="X2086" t="s">
        <v>53</v>
      </c>
      <c r="AA2086">
        <v>2398</v>
      </c>
      <c r="AB2086">
        <v>1145</v>
      </c>
      <c r="AC2086">
        <v>8685</v>
      </c>
      <c r="AD2086">
        <v>4584</v>
      </c>
      <c r="AE2086">
        <v>8685</v>
      </c>
      <c r="AF2086">
        <v>9</v>
      </c>
      <c r="AG2086">
        <v>13</v>
      </c>
      <c r="AH2086">
        <v>201.28936767578119</v>
      </c>
      <c r="AI2086">
        <v>624</v>
      </c>
      <c r="AJ2086">
        <v>25815.615234375</v>
      </c>
      <c r="AK2086" t="s">
        <v>54</v>
      </c>
      <c r="AL2086" t="s">
        <v>53</v>
      </c>
      <c r="AQ2086" t="s">
        <v>53</v>
      </c>
      <c r="AT2086" t="s">
        <v>10081</v>
      </c>
      <c r="AW2086" t="s">
        <v>8390</v>
      </c>
      <c r="AZ2086" t="s">
        <v>54</v>
      </c>
      <c r="BA2086" t="s">
        <v>9913</v>
      </c>
    </row>
    <row r="2087" spans="1:53" x14ac:dyDescent="0.25">
      <c r="A2087">
        <v>2082</v>
      </c>
      <c r="B2087" t="s">
        <v>10096</v>
      </c>
      <c r="C2087" t="s">
        <v>10097</v>
      </c>
      <c r="D2087" t="s">
        <v>10098</v>
      </c>
      <c r="E2087">
        <v>13</v>
      </c>
      <c r="F2087" t="s">
        <v>9904</v>
      </c>
      <c r="G2087" t="s">
        <v>10091</v>
      </c>
      <c r="H2087" t="s">
        <v>10092</v>
      </c>
      <c r="I2087" t="s">
        <v>10093</v>
      </c>
      <c r="L2087" t="s">
        <v>9910</v>
      </c>
      <c r="M2087">
        <v>867.9454345703125</v>
      </c>
      <c r="N2087" t="s">
        <v>54</v>
      </c>
      <c r="O2087" t="s">
        <v>53</v>
      </c>
      <c r="P2087" t="s">
        <v>54</v>
      </c>
      <c r="Q2087" t="s">
        <v>53</v>
      </c>
      <c r="R2087" t="s">
        <v>53</v>
      </c>
      <c r="S2087" t="s">
        <v>10094</v>
      </c>
      <c r="T2087" t="s">
        <v>10095</v>
      </c>
      <c r="U2087" t="s">
        <v>54</v>
      </c>
      <c r="V2087" t="s">
        <v>51</v>
      </c>
      <c r="W2087">
        <v>40000</v>
      </c>
      <c r="X2087" t="s">
        <v>53</v>
      </c>
      <c r="AA2087">
        <v>2398</v>
      </c>
      <c r="AB2087">
        <v>1145</v>
      </c>
      <c r="AC2087">
        <v>8685</v>
      </c>
      <c r="AD2087">
        <v>4584</v>
      </c>
      <c r="AE2087">
        <v>8685</v>
      </c>
      <c r="AF2087">
        <v>9</v>
      </c>
      <c r="AG2087">
        <v>13</v>
      </c>
      <c r="AH2087">
        <v>201.28936767578119</v>
      </c>
      <c r="AI2087">
        <v>624</v>
      </c>
      <c r="AJ2087">
        <v>25815.615234375</v>
      </c>
      <c r="AK2087" t="s">
        <v>54</v>
      </c>
      <c r="AL2087" t="s">
        <v>53</v>
      </c>
      <c r="AQ2087" t="s">
        <v>53</v>
      </c>
      <c r="AT2087" t="s">
        <v>10081</v>
      </c>
      <c r="AW2087" t="s">
        <v>8390</v>
      </c>
      <c r="AZ2087" t="s">
        <v>54</v>
      </c>
      <c r="BA2087" t="s">
        <v>9913</v>
      </c>
    </row>
    <row r="2088" spans="1:53" x14ac:dyDescent="0.25">
      <c r="A2088">
        <v>2083</v>
      </c>
      <c r="B2088" t="s">
        <v>10099</v>
      </c>
      <c r="C2088" t="s">
        <v>10100</v>
      </c>
      <c r="D2088" t="s">
        <v>10101</v>
      </c>
      <c r="E2088">
        <v>13</v>
      </c>
      <c r="F2088" t="s">
        <v>9904</v>
      </c>
      <c r="G2088" t="s">
        <v>10091</v>
      </c>
      <c r="H2088" t="s">
        <v>10092</v>
      </c>
      <c r="I2088" t="s">
        <v>10093</v>
      </c>
      <c r="L2088" t="s">
        <v>10085</v>
      </c>
      <c r="M2088">
        <v>867.9454345703125</v>
      </c>
      <c r="N2088" t="s">
        <v>54</v>
      </c>
      <c r="O2088" t="s">
        <v>53</v>
      </c>
      <c r="P2088" t="s">
        <v>54</v>
      </c>
      <c r="Q2088" t="s">
        <v>53</v>
      </c>
      <c r="R2088" t="s">
        <v>53</v>
      </c>
      <c r="S2088" t="s">
        <v>10094</v>
      </c>
      <c r="T2088" t="s">
        <v>10095</v>
      </c>
      <c r="U2088" t="s">
        <v>54</v>
      </c>
      <c r="V2088" t="s">
        <v>51</v>
      </c>
      <c r="W2088">
        <v>689000</v>
      </c>
      <c r="X2088" t="s">
        <v>53</v>
      </c>
      <c r="AA2088">
        <v>2398</v>
      </c>
      <c r="AB2088">
        <v>1145</v>
      </c>
      <c r="AC2088">
        <v>8685</v>
      </c>
      <c r="AD2088">
        <v>4584</v>
      </c>
      <c r="AE2088">
        <v>8685</v>
      </c>
      <c r="AF2088">
        <v>9</v>
      </c>
      <c r="AG2088">
        <v>13</v>
      </c>
      <c r="AH2088">
        <v>201.28936767578119</v>
      </c>
      <c r="AI2088">
        <v>624</v>
      </c>
      <c r="AJ2088">
        <v>25815.615234375</v>
      </c>
      <c r="AK2088" t="s">
        <v>54</v>
      </c>
      <c r="AL2088" t="s">
        <v>53</v>
      </c>
      <c r="AQ2088" t="s">
        <v>53</v>
      </c>
      <c r="AT2088" t="s">
        <v>10081</v>
      </c>
      <c r="AW2088" t="s">
        <v>8390</v>
      </c>
      <c r="AZ2088" t="s">
        <v>54</v>
      </c>
      <c r="BA2088" t="s">
        <v>9913</v>
      </c>
    </row>
    <row r="2089" spans="1:53" x14ac:dyDescent="0.25">
      <c r="A2089">
        <v>2084</v>
      </c>
      <c r="B2089" t="s">
        <v>10102</v>
      </c>
      <c r="C2089" t="s">
        <v>10103</v>
      </c>
      <c r="D2089" t="s">
        <v>10104</v>
      </c>
      <c r="E2089">
        <v>13</v>
      </c>
      <c r="F2089" t="s">
        <v>9904</v>
      </c>
      <c r="G2089" t="s">
        <v>10059</v>
      </c>
      <c r="H2089" t="s">
        <v>10060</v>
      </c>
      <c r="I2089" t="s">
        <v>10061</v>
      </c>
      <c r="J2089" t="s">
        <v>10062</v>
      </c>
      <c r="K2089" t="s">
        <v>10063</v>
      </c>
      <c r="L2089" t="s">
        <v>9910</v>
      </c>
      <c r="M2089">
        <v>4.0381229482591152E-3</v>
      </c>
      <c r="N2089" t="s">
        <v>53</v>
      </c>
      <c r="O2089" t="s">
        <v>53</v>
      </c>
      <c r="P2089" t="s">
        <v>54</v>
      </c>
      <c r="Q2089" t="s">
        <v>53</v>
      </c>
      <c r="R2089" t="s">
        <v>53</v>
      </c>
      <c r="S2089" t="s">
        <v>10064</v>
      </c>
      <c r="T2089" t="s">
        <v>10065</v>
      </c>
      <c r="U2089" t="s">
        <v>54</v>
      </c>
      <c r="V2089" t="s">
        <v>51</v>
      </c>
      <c r="W2089">
        <v>571000</v>
      </c>
      <c r="X2089" t="s">
        <v>53</v>
      </c>
      <c r="AA2089">
        <v>0</v>
      </c>
      <c r="AB2089">
        <v>0</v>
      </c>
      <c r="AC2089">
        <v>0</v>
      </c>
      <c r="AD2089">
        <v>0</v>
      </c>
      <c r="AE2089">
        <v>0</v>
      </c>
      <c r="AF2089">
        <v>0</v>
      </c>
      <c r="AG2089">
        <v>0</v>
      </c>
      <c r="AH2089">
        <v>4.8568490892648697E-2</v>
      </c>
      <c r="AI2089">
        <v>9</v>
      </c>
      <c r="AJ2089">
        <v>0</v>
      </c>
      <c r="AK2089" t="s">
        <v>54</v>
      </c>
      <c r="AL2089" t="s">
        <v>53</v>
      </c>
      <c r="AQ2089" t="s">
        <v>53</v>
      </c>
      <c r="AT2089" t="s">
        <v>10066</v>
      </c>
      <c r="AW2089" t="s">
        <v>53</v>
      </c>
      <c r="AZ2089" t="s">
        <v>54</v>
      </c>
      <c r="BA2089" t="s">
        <v>10067</v>
      </c>
    </row>
    <row r="2090" spans="1:53" x14ac:dyDescent="0.25">
      <c r="A2090">
        <v>2085</v>
      </c>
      <c r="B2090" t="s">
        <v>10105</v>
      </c>
      <c r="C2090" t="s">
        <v>10106</v>
      </c>
      <c r="D2090" t="s">
        <v>10107</v>
      </c>
      <c r="E2090">
        <v>13</v>
      </c>
      <c r="F2090" t="s">
        <v>9904</v>
      </c>
      <c r="G2090" t="s">
        <v>10059</v>
      </c>
      <c r="H2090" t="s">
        <v>10060</v>
      </c>
      <c r="I2090" t="s">
        <v>10061</v>
      </c>
      <c r="J2090" t="s">
        <v>10062</v>
      </c>
      <c r="K2090" t="s">
        <v>10063</v>
      </c>
      <c r="L2090" t="s">
        <v>9910</v>
      </c>
      <c r="M2090">
        <v>7.0332232862710953E-3</v>
      </c>
      <c r="N2090" t="s">
        <v>53</v>
      </c>
      <c r="O2090" t="s">
        <v>53</v>
      </c>
      <c r="P2090" t="s">
        <v>54</v>
      </c>
      <c r="Q2090" t="s">
        <v>53</v>
      </c>
      <c r="R2090" t="s">
        <v>53</v>
      </c>
      <c r="S2090" t="s">
        <v>10064</v>
      </c>
      <c r="T2090" t="s">
        <v>10065</v>
      </c>
      <c r="U2090" t="s">
        <v>54</v>
      </c>
      <c r="V2090" t="s">
        <v>51</v>
      </c>
      <c r="W2090">
        <v>1218000</v>
      </c>
      <c r="X2090" t="s">
        <v>53</v>
      </c>
      <c r="AA2090">
        <v>1</v>
      </c>
      <c r="AB2090">
        <v>0</v>
      </c>
      <c r="AC2090">
        <v>1</v>
      </c>
      <c r="AD2090">
        <v>3</v>
      </c>
      <c r="AE2090">
        <v>3</v>
      </c>
      <c r="AF2090">
        <v>0</v>
      </c>
      <c r="AG2090">
        <v>0</v>
      </c>
      <c r="AH2090">
        <v>4.056946188211441E-2</v>
      </c>
      <c r="AI2090">
        <v>4</v>
      </c>
      <c r="AJ2090">
        <v>0</v>
      </c>
      <c r="AK2090" t="s">
        <v>54</v>
      </c>
      <c r="AL2090" t="s">
        <v>53</v>
      </c>
      <c r="AQ2090" t="s">
        <v>53</v>
      </c>
      <c r="AT2090" t="s">
        <v>10066</v>
      </c>
      <c r="AW2090" t="s">
        <v>53</v>
      </c>
      <c r="AZ2090" t="s">
        <v>54</v>
      </c>
      <c r="BA2090" t="s">
        <v>10067</v>
      </c>
    </row>
    <row r="2091" spans="1:53" x14ac:dyDescent="0.25">
      <c r="A2091">
        <v>2086</v>
      </c>
      <c r="B2091" t="s">
        <v>10108</v>
      </c>
      <c r="C2091" t="s">
        <v>10109</v>
      </c>
      <c r="D2091" t="s">
        <v>10110</v>
      </c>
      <c r="E2091">
        <v>13</v>
      </c>
      <c r="F2091" t="s">
        <v>9904</v>
      </c>
      <c r="G2091" t="s">
        <v>10059</v>
      </c>
      <c r="H2091" t="s">
        <v>10060</v>
      </c>
      <c r="I2091" t="s">
        <v>10061</v>
      </c>
      <c r="J2091" t="s">
        <v>10062</v>
      </c>
      <c r="K2091" t="s">
        <v>10063</v>
      </c>
      <c r="L2091" t="s">
        <v>9910</v>
      </c>
      <c r="M2091">
        <v>1.126213814131916E-3</v>
      </c>
      <c r="N2091" t="s">
        <v>53</v>
      </c>
      <c r="O2091" t="s">
        <v>53</v>
      </c>
      <c r="P2091" t="s">
        <v>54</v>
      </c>
      <c r="Q2091" t="s">
        <v>53</v>
      </c>
      <c r="R2091" t="s">
        <v>53</v>
      </c>
      <c r="S2091" t="s">
        <v>10064</v>
      </c>
      <c r="T2091" t="s">
        <v>10065</v>
      </c>
      <c r="U2091" t="s">
        <v>54</v>
      </c>
      <c r="V2091" t="s">
        <v>51</v>
      </c>
      <c r="W2091">
        <v>86000</v>
      </c>
      <c r="X2091" t="s">
        <v>53</v>
      </c>
      <c r="AA2091">
        <v>1</v>
      </c>
      <c r="AB2091">
        <v>0</v>
      </c>
      <c r="AC2091">
        <v>4</v>
      </c>
      <c r="AD2091">
        <v>1</v>
      </c>
      <c r="AE2091">
        <v>4</v>
      </c>
      <c r="AF2091">
        <v>0</v>
      </c>
      <c r="AG2091">
        <v>0</v>
      </c>
      <c r="AH2091">
        <v>9.2374108731746674E-2</v>
      </c>
      <c r="AI2091">
        <v>3</v>
      </c>
      <c r="AJ2091">
        <v>0</v>
      </c>
      <c r="AK2091" t="s">
        <v>54</v>
      </c>
      <c r="AL2091" t="s">
        <v>53</v>
      </c>
      <c r="AQ2091" t="s">
        <v>53</v>
      </c>
      <c r="AT2091" t="s">
        <v>10066</v>
      </c>
      <c r="AW2091" t="s">
        <v>53</v>
      </c>
      <c r="AZ2091" t="s">
        <v>54</v>
      </c>
      <c r="BA2091" t="s">
        <v>10067</v>
      </c>
    </row>
    <row r="2092" spans="1:53" x14ac:dyDescent="0.25">
      <c r="A2092">
        <v>2087</v>
      </c>
      <c r="B2092" t="s">
        <v>10111</v>
      </c>
      <c r="C2092" t="s">
        <v>10112</v>
      </c>
      <c r="D2092" t="s">
        <v>10113</v>
      </c>
      <c r="E2092">
        <v>13</v>
      </c>
      <c r="F2092" t="s">
        <v>9904</v>
      </c>
      <c r="G2092" t="s">
        <v>10059</v>
      </c>
      <c r="H2092" t="s">
        <v>10060</v>
      </c>
      <c r="I2092" t="s">
        <v>10061</v>
      </c>
      <c r="J2092" t="s">
        <v>10062</v>
      </c>
      <c r="K2092" t="s">
        <v>10063</v>
      </c>
      <c r="L2092" t="s">
        <v>9910</v>
      </c>
      <c r="M2092">
        <v>4.544195719063282E-3</v>
      </c>
      <c r="N2092" t="s">
        <v>53</v>
      </c>
      <c r="O2092" t="s">
        <v>53</v>
      </c>
      <c r="P2092" t="s">
        <v>54</v>
      </c>
      <c r="Q2092" t="s">
        <v>53</v>
      </c>
      <c r="R2092" t="s">
        <v>53</v>
      </c>
      <c r="S2092" t="s">
        <v>10064</v>
      </c>
      <c r="T2092" t="s">
        <v>10065</v>
      </c>
      <c r="U2092" t="s">
        <v>54</v>
      </c>
      <c r="V2092" t="s">
        <v>51</v>
      </c>
      <c r="W2092">
        <v>529000</v>
      </c>
      <c r="X2092" t="s">
        <v>53</v>
      </c>
      <c r="AA2092">
        <v>0</v>
      </c>
      <c r="AB2092">
        <v>0</v>
      </c>
      <c r="AC2092">
        <v>0</v>
      </c>
      <c r="AD2092">
        <v>0</v>
      </c>
      <c r="AE2092">
        <v>0</v>
      </c>
      <c r="AF2092">
        <v>0</v>
      </c>
      <c r="AG2092">
        <v>0</v>
      </c>
      <c r="AH2092">
        <v>2.1449999883770939E-2</v>
      </c>
      <c r="AI2092">
        <v>1</v>
      </c>
      <c r="AJ2092">
        <v>0</v>
      </c>
      <c r="AK2092" t="s">
        <v>54</v>
      </c>
      <c r="AL2092" t="s">
        <v>53</v>
      </c>
      <c r="AQ2092" t="s">
        <v>53</v>
      </c>
      <c r="AT2092" t="s">
        <v>10066</v>
      </c>
      <c r="AW2092" t="s">
        <v>53</v>
      </c>
      <c r="AZ2092" t="s">
        <v>54</v>
      </c>
      <c r="BA2092" t="s">
        <v>10067</v>
      </c>
    </row>
    <row r="2093" spans="1:53" x14ac:dyDescent="0.25">
      <c r="A2093">
        <v>2088</v>
      </c>
      <c r="B2093" t="s">
        <v>10114</v>
      </c>
      <c r="C2093" t="s">
        <v>10115</v>
      </c>
      <c r="D2093" t="s">
        <v>10116</v>
      </c>
      <c r="E2093">
        <v>13</v>
      </c>
      <c r="F2093" t="s">
        <v>9904</v>
      </c>
      <c r="G2093" t="s">
        <v>10059</v>
      </c>
      <c r="H2093" t="s">
        <v>10060</v>
      </c>
      <c r="I2093" t="s">
        <v>10061</v>
      </c>
      <c r="J2093" t="s">
        <v>10117</v>
      </c>
      <c r="K2093" t="s">
        <v>10118</v>
      </c>
      <c r="L2093" t="s">
        <v>9910</v>
      </c>
      <c r="M2093">
        <v>8.2963623572140932E-4</v>
      </c>
      <c r="N2093" t="s">
        <v>53</v>
      </c>
      <c r="O2093" t="s">
        <v>53</v>
      </c>
      <c r="P2093" t="s">
        <v>53</v>
      </c>
      <c r="Q2093" t="s">
        <v>53</v>
      </c>
      <c r="R2093" t="s">
        <v>53</v>
      </c>
      <c r="S2093" t="s">
        <v>10064</v>
      </c>
      <c r="T2093" t="s">
        <v>10065</v>
      </c>
      <c r="U2093" t="s">
        <v>54</v>
      </c>
      <c r="V2093" t="s">
        <v>51</v>
      </c>
      <c r="W2093">
        <v>367000</v>
      </c>
      <c r="X2093" t="s">
        <v>53</v>
      </c>
      <c r="AA2093">
        <v>0</v>
      </c>
      <c r="AB2093">
        <v>0</v>
      </c>
      <c r="AC2093">
        <v>0</v>
      </c>
      <c r="AD2093">
        <v>0</v>
      </c>
      <c r="AE2093">
        <v>0</v>
      </c>
      <c r="AF2093">
        <v>0</v>
      </c>
      <c r="AG2093">
        <v>0</v>
      </c>
      <c r="AH2093">
        <v>0</v>
      </c>
      <c r="AI2093">
        <v>0</v>
      </c>
      <c r="AJ2093">
        <v>0</v>
      </c>
      <c r="AK2093" t="s">
        <v>54</v>
      </c>
      <c r="AL2093" t="s">
        <v>53</v>
      </c>
      <c r="AQ2093" t="s">
        <v>53</v>
      </c>
      <c r="AT2093" t="s">
        <v>10066</v>
      </c>
      <c r="AW2093" t="s">
        <v>53</v>
      </c>
      <c r="AZ2093" t="s">
        <v>54</v>
      </c>
      <c r="BA2093" t="s">
        <v>10067</v>
      </c>
    </row>
    <row r="2094" spans="1:53" x14ac:dyDescent="0.25">
      <c r="A2094">
        <v>2089</v>
      </c>
      <c r="B2094" t="s">
        <v>10119</v>
      </c>
      <c r="C2094" t="s">
        <v>10120</v>
      </c>
      <c r="D2094" t="s">
        <v>10121</v>
      </c>
      <c r="E2094">
        <v>13</v>
      </c>
      <c r="F2094" t="s">
        <v>9904</v>
      </c>
      <c r="G2094" t="s">
        <v>10059</v>
      </c>
      <c r="H2094" t="s">
        <v>10060</v>
      </c>
      <c r="I2094" t="s">
        <v>10061</v>
      </c>
      <c r="J2094" t="s">
        <v>10062</v>
      </c>
      <c r="K2094" t="s">
        <v>10063</v>
      </c>
      <c r="L2094" t="s">
        <v>9910</v>
      </c>
      <c r="M2094">
        <v>1.404091250151396E-3</v>
      </c>
      <c r="N2094" t="s">
        <v>53</v>
      </c>
      <c r="O2094" t="s">
        <v>53</v>
      </c>
      <c r="P2094" t="s">
        <v>54</v>
      </c>
      <c r="Q2094" t="s">
        <v>53</v>
      </c>
      <c r="R2094" t="s">
        <v>53</v>
      </c>
      <c r="S2094" t="s">
        <v>10064</v>
      </c>
      <c r="T2094" t="s">
        <v>10065</v>
      </c>
      <c r="U2094" t="s">
        <v>54</v>
      </c>
      <c r="V2094" t="s">
        <v>51</v>
      </c>
      <c r="W2094">
        <v>233000</v>
      </c>
      <c r="X2094" t="s">
        <v>53</v>
      </c>
      <c r="AA2094">
        <v>0</v>
      </c>
      <c r="AB2094">
        <v>0</v>
      </c>
      <c r="AC2094">
        <v>0</v>
      </c>
      <c r="AD2094">
        <v>0</v>
      </c>
      <c r="AE2094">
        <v>0</v>
      </c>
      <c r="AF2094">
        <v>0</v>
      </c>
      <c r="AG2094">
        <v>0</v>
      </c>
      <c r="AH2094">
        <v>0.17813000082969671</v>
      </c>
      <c r="AI2094">
        <v>6</v>
      </c>
      <c r="AJ2094">
        <v>0</v>
      </c>
      <c r="AK2094" t="s">
        <v>54</v>
      </c>
      <c r="AL2094" t="s">
        <v>53</v>
      </c>
      <c r="AQ2094" t="s">
        <v>53</v>
      </c>
      <c r="AT2094" t="s">
        <v>10066</v>
      </c>
      <c r="AW2094" t="s">
        <v>53</v>
      </c>
      <c r="AZ2094" t="s">
        <v>54</v>
      </c>
      <c r="BA2094" t="s">
        <v>10067</v>
      </c>
    </row>
    <row r="2095" spans="1:53" x14ac:dyDescent="0.25">
      <c r="A2095">
        <v>2090</v>
      </c>
      <c r="B2095" t="s">
        <v>10122</v>
      </c>
      <c r="C2095" t="s">
        <v>10123</v>
      </c>
      <c r="D2095" t="s">
        <v>10124</v>
      </c>
      <c r="E2095">
        <v>13</v>
      </c>
      <c r="F2095" t="s">
        <v>9904</v>
      </c>
      <c r="G2095" t="s">
        <v>10059</v>
      </c>
      <c r="H2095" t="s">
        <v>10060</v>
      </c>
      <c r="I2095" t="s">
        <v>10061</v>
      </c>
      <c r="J2095" t="s">
        <v>10062</v>
      </c>
      <c r="K2095" t="s">
        <v>10063</v>
      </c>
      <c r="L2095" t="s">
        <v>9910</v>
      </c>
      <c r="M2095">
        <v>2.550076320767403E-2</v>
      </c>
      <c r="N2095" t="s">
        <v>53</v>
      </c>
      <c r="O2095" t="s">
        <v>53</v>
      </c>
      <c r="P2095" t="s">
        <v>54</v>
      </c>
      <c r="Q2095" t="s">
        <v>53</v>
      </c>
      <c r="R2095" t="s">
        <v>53</v>
      </c>
      <c r="S2095" t="s">
        <v>10064</v>
      </c>
      <c r="T2095" t="s">
        <v>10065</v>
      </c>
      <c r="U2095" t="s">
        <v>54</v>
      </c>
      <c r="V2095" t="s">
        <v>51</v>
      </c>
      <c r="W2095">
        <v>764000</v>
      </c>
      <c r="X2095" t="s">
        <v>53</v>
      </c>
      <c r="AA2095">
        <v>2</v>
      </c>
      <c r="AB2095">
        <v>2</v>
      </c>
      <c r="AC2095">
        <v>0</v>
      </c>
      <c r="AD2095">
        <v>1</v>
      </c>
      <c r="AE2095">
        <v>1</v>
      </c>
      <c r="AF2095">
        <v>0</v>
      </c>
      <c r="AG2095">
        <v>0</v>
      </c>
      <c r="AH2095">
        <v>4.3037571012973792E-2</v>
      </c>
      <c r="AI2095">
        <v>2</v>
      </c>
      <c r="AJ2095">
        <v>1.277129530906677</v>
      </c>
      <c r="AK2095" t="s">
        <v>54</v>
      </c>
      <c r="AL2095" t="s">
        <v>53</v>
      </c>
      <c r="AQ2095" t="s">
        <v>53</v>
      </c>
      <c r="AT2095" t="s">
        <v>10066</v>
      </c>
      <c r="AW2095" t="s">
        <v>53</v>
      </c>
      <c r="AZ2095" t="s">
        <v>54</v>
      </c>
      <c r="BA2095" t="s">
        <v>10067</v>
      </c>
    </row>
    <row r="2096" spans="1:53" x14ac:dyDescent="0.25">
      <c r="A2096">
        <v>2091</v>
      </c>
      <c r="B2096" t="s">
        <v>10125</v>
      </c>
      <c r="C2096" t="s">
        <v>10126</v>
      </c>
      <c r="D2096" t="s">
        <v>10127</v>
      </c>
      <c r="E2096">
        <v>13</v>
      </c>
      <c r="F2096" t="s">
        <v>9904</v>
      </c>
      <c r="G2096" t="s">
        <v>10059</v>
      </c>
      <c r="H2096" t="s">
        <v>9964</v>
      </c>
      <c r="I2096" t="s">
        <v>10128</v>
      </c>
      <c r="J2096" t="s">
        <v>10129</v>
      </c>
      <c r="K2096" t="s">
        <v>10130</v>
      </c>
      <c r="L2096" t="s">
        <v>9910</v>
      </c>
      <c r="M2096">
        <v>8.4576345980167389E-3</v>
      </c>
      <c r="N2096" t="s">
        <v>53</v>
      </c>
      <c r="O2096" t="s">
        <v>53</v>
      </c>
      <c r="P2096" t="s">
        <v>54</v>
      </c>
      <c r="Q2096" t="s">
        <v>53</v>
      </c>
      <c r="R2096" t="s">
        <v>53</v>
      </c>
      <c r="S2096" t="s">
        <v>10064</v>
      </c>
      <c r="T2096" t="s">
        <v>10065</v>
      </c>
      <c r="U2096" t="s">
        <v>54</v>
      </c>
      <c r="V2096" t="s">
        <v>51</v>
      </c>
      <c r="W2096">
        <v>749000</v>
      </c>
      <c r="X2096" t="s">
        <v>53</v>
      </c>
      <c r="AA2096">
        <v>0</v>
      </c>
      <c r="AB2096">
        <v>0</v>
      </c>
      <c r="AC2096">
        <v>0</v>
      </c>
      <c r="AD2096">
        <v>0</v>
      </c>
      <c r="AE2096">
        <v>0</v>
      </c>
      <c r="AF2096">
        <v>0</v>
      </c>
      <c r="AG2096">
        <v>0</v>
      </c>
      <c r="AH2096">
        <v>7.6520003378391266E-2</v>
      </c>
      <c r="AI2096">
        <v>2</v>
      </c>
      <c r="AJ2096">
        <v>0</v>
      </c>
      <c r="AK2096" t="s">
        <v>54</v>
      </c>
      <c r="AL2096" t="s">
        <v>53</v>
      </c>
      <c r="AQ2096" t="s">
        <v>53</v>
      </c>
      <c r="AT2096" t="s">
        <v>10066</v>
      </c>
      <c r="AW2096" t="s">
        <v>53</v>
      </c>
      <c r="AZ2096" t="s">
        <v>54</v>
      </c>
      <c r="BA2096" t="s">
        <v>10067</v>
      </c>
    </row>
    <row r="2097" spans="1:53" x14ac:dyDescent="0.25">
      <c r="A2097">
        <v>2092</v>
      </c>
      <c r="B2097" t="s">
        <v>10131</v>
      </c>
      <c r="C2097" t="s">
        <v>10132</v>
      </c>
      <c r="D2097" t="s">
        <v>10133</v>
      </c>
      <c r="E2097">
        <v>13</v>
      </c>
      <c r="F2097" t="s">
        <v>9904</v>
      </c>
      <c r="G2097" t="s">
        <v>9905</v>
      </c>
      <c r="H2097" t="s">
        <v>9906</v>
      </c>
      <c r="I2097" t="s">
        <v>10024</v>
      </c>
      <c r="J2097" t="s">
        <v>10134</v>
      </c>
      <c r="K2097" t="s">
        <v>10135</v>
      </c>
      <c r="L2097" t="s">
        <v>9910</v>
      </c>
      <c r="M2097">
        <v>0.1083271279931068</v>
      </c>
      <c r="N2097" t="s">
        <v>54</v>
      </c>
      <c r="O2097" t="s">
        <v>53</v>
      </c>
      <c r="P2097" t="s">
        <v>54</v>
      </c>
      <c r="Q2097" t="s">
        <v>53</v>
      </c>
      <c r="R2097" t="s">
        <v>53</v>
      </c>
      <c r="S2097" t="s">
        <v>10035</v>
      </c>
      <c r="T2097" t="s">
        <v>10036</v>
      </c>
      <c r="U2097" t="s">
        <v>54</v>
      </c>
      <c r="V2097" t="s">
        <v>51</v>
      </c>
      <c r="W2097">
        <v>226000</v>
      </c>
      <c r="X2097" t="s">
        <v>53</v>
      </c>
      <c r="AA2097">
        <v>3</v>
      </c>
      <c r="AB2097">
        <v>3</v>
      </c>
      <c r="AC2097">
        <v>2</v>
      </c>
      <c r="AD2097">
        <v>7</v>
      </c>
      <c r="AE2097">
        <v>7</v>
      </c>
      <c r="AF2097">
        <v>0</v>
      </c>
      <c r="AG2097">
        <v>0</v>
      </c>
      <c r="AH2097">
        <v>0.1763397008180618</v>
      </c>
      <c r="AI2097">
        <v>5</v>
      </c>
      <c r="AJ2097">
        <v>0.14675737917423251</v>
      </c>
      <c r="AK2097" t="s">
        <v>54</v>
      </c>
      <c r="AL2097" t="s">
        <v>53</v>
      </c>
      <c r="AQ2097" t="s">
        <v>53</v>
      </c>
      <c r="AT2097" t="s">
        <v>7556</v>
      </c>
      <c r="AW2097" t="s">
        <v>53</v>
      </c>
      <c r="AZ2097" t="s">
        <v>54</v>
      </c>
      <c r="BA2097" t="s">
        <v>9913</v>
      </c>
    </row>
    <row r="2098" spans="1:53" x14ac:dyDescent="0.25">
      <c r="A2098">
        <v>2093</v>
      </c>
      <c r="B2098" t="s">
        <v>10136</v>
      </c>
      <c r="C2098" t="s">
        <v>10137</v>
      </c>
      <c r="D2098" t="s">
        <v>10138</v>
      </c>
      <c r="E2098">
        <v>13</v>
      </c>
      <c r="F2098" t="s">
        <v>9904</v>
      </c>
      <c r="G2098" t="s">
        <v>10139</v>
      </c>
      <c r="H2098" t="s">
        <v>10075</v>
      </c>
      <c r="I2098" t="s">
        <v>10140</v>
      </c>
      <c r="J2098" t="s">
        <v>10141</v>
      </c>
      <c r="K2098" t="s">
        <v>10142</v>
      </c>
      <c r="L2098" t="s">
        <v>9910</v>
      </c>
      <c r="M2098">
        <v>4.0758094787597656</v>
      </c>
      <c r="N2098" t="s">
        <v>54</v>
      </c>
      <c r="O2098" t="s">
        <v>53</v>
      </c>
      <c r="P2098" t="s">
        <v>54</v>
      </c>
      <c r="Q2098" t="s">
        <v>53</v>
      </c>
      <c r="R2098" t="s">
        <v>53</v>
      </c>
      <c r="S2098" t="s">
        <v>10143</v>
      </c>
      <c r="T2098" t="s">
        <v>10144</v>
      </c>
      <c r="U2098" t="s">
        <v>54</v>
      </c>
      <c r="V2098" t="s">
        <v>51</v>
      </c>
      <c r="W2098">
        <v>150000</v>
      </c>
      <c r="X2098" t="s">
        <v>53</v>
      </c>
      <c r="AA2098">
        <v>89</v>
      </c>
      <c r="AB2098">
        <v>58</v>
      </c>
      <c r="AC2098">
        <v>239</v>
      </c>
      <c r="AD2098">
        <v>36</v>
      </c>
      <c r="AE2098">
        <v>239</v>
      </c>
      <c r="AF2098">
        <v>6</v>
      </c>
      <c r="AG2098">
        <v>0</v>
      </c>
      <c r="AH2098">
        <v>2.5332226753234859</v>
      </c>
      <c r="AI2098">
        <v>23</v>
      </c>
      <c r="AJ2098">
        <v>3.1969995498657231</v>
      </c>
      <c r="AK2098" t="s">
        <v>54</v>
      </c>
      <c r="AL2098" t="s">
        <v>53</v>
      </c>
      <c r="AQ2098" t="s">
        <v>53</v>
      </c>
      <c r="AT2098" t="s">
        <v>9934</v>
      </c>
      <c r="AW2098" t="s">
        <v>8390</v>
      </c>
      <c r="AZ2098" t="s">
        <v>54</v>
      </c>
      <c r="BA2098" t="s">
        <v>9913</v>
      </c>
    </row>
    <row r="2099" spans="1:53" x14ac:dyDescent="0.25">
      <c r="A2099">
        <v>2094</v>
      </c>
      <c r="B2099" t="s">
        <v>10145</v>
      </c>
      <c r="C2099" t="s">
        <v>10146</v>
      </c>
      <c r="D2099" t="s">
        <v>10147</v>
      </c>
      <c r="E2099">
        <v>13</v>
      </c>
      <c r="F2099" t="s">
        <v>9904</v>
      </c>
      <c r="G2099" t="s">
        <v>10139</v>
      </c>
      <c r="H2099" t="s">
        <v>10075</v>
      </c>
      <c r="I2099" t="s">
        <v>10140</v>
      </c>
      <c r="J2099" t="s">
        <v>10141</v>
      </c>
      <c r="K2099" t="s">
        <v>10142</v>
      </c>
      <c r="L2099" t="s">
        <v>9910</v>
      </c>
      <c r="M2099">
        <v>4.0758094787597656</v>
      </c>
      <c r="N2099" t="s">
        <v>54</v>
      </c>
      <c r="O2099" t="s">
        <v>53</v>
      </c>
      <c r="P2099" t="s">
        <v>54</v>
      </c>
      <c r="Q2099" t="s">
        <v>53</v>
      </c>
      <c r="R2099" t="s">
        <v>53</v>
      </c>
      <c r="S2099" t="s">
        <v>10143</v>
      </c>
      <c r="T2099" t="s">
        <v>10144</v>
      </c>
      <c r="U2099" t="s">
        <v>54</v>
      </c>
      <c r="V2099" t="s">
        <v>51</v>
      </c>
      <c r="W2099">
        <v>150000</v>
      </c>
      <c r="X2099" t="s">
        <v>53</v>
      </c>
      <c r="AA2099">
        <v>89</v>
      </c>
      <c r="AB2099">
        <v>58</v>
      </c>
      <c r="AC2099">
        <v>239</v>
      </c>
      <c r="AD2099">
        <v>36</v>
      </c>
      <c r="AE2099">
        <v>239</v>
      </c>
      <c r="AF2099">
        <v>6</v>
      </c>
      <c r="AG2099">
        <v>0</v>
      </c>
      <c r="AH2099">
        <v>2.5332226753234859</v>
      </c>
      <c r="AI2099">
        <v>23</v>
      </c>
      <c r="AJ2099">
        <v>3.1969995498657231</v>
      </c>
      <c r="AK2099" t="s">
        <v>54</v>
      </c>
      <c r="AL2099" t="s">
        <v>53</v>
      </c>
      <c r="AQ2099" t="s">
        <v>53</v>
      </c>
      <c r="AT2099" t="s">
        <v>9934</v>
      </c>
      <c r="AW2099" t="s">
        <v>8390</v>
      </c>
      <c r="AZ2099" t="s">
        <v>54</v>
      </c>
      <c r="BA2099" t="s">
        <v>9913</v>
      </c>
    </row>
    <row r="2100" spans="1:53" x14ac:dyDescent="0.25">
      <c r="A2100">
        <v>2095</v>
      </c>
      <c r="B2100" t="s">
        <v>10148</v>
      </c>
      <c r="C2100" t="s">
        <v>10149</v>
      </c>
      <c r="D2100" t="s">
        <v>10150</v>
      </c>
      <c r="E2100">
        <v>13</v>
      </c>
      <c r="F2100" t="s">
        <v>9904</v>
      </c>
      <c r="G2100" t="s">
        <v>10139</v>
      </c>
      <c r="H2100" t="s">
        <v>10151</v>
      </c>
      <c r="I2100" t="s">
        <v>10152</v>
      </c>
      <c r="J2100" t="s">
        <v>10153</v>
      </c>
      <c r="K2100" t="s">
        <v>10154</v>
      </c>
      <c r="L2100" t="s">
        <v>9910</v>
      </c>
      <c r="M2100">
        <v>5.608098030090332</v>
      </c>
      <c r="N2100" t="s">
        <v>53</v>
      </c>
      <c r="O2100" t="s">
        <v>53</v>
      </c>
      <c r="P2100" t="s">
        <v>54</v>
      </c>
      <c r="Q2100" t="s">
        <v>53</v>
      </c>
      <c r="R2100" t="s">
        <v>53</v>
      </c>
      <c r="S2100" t="s">
        <v>10155</v>
      </c>
      <c r="T2100" t="s">
        <v>10156</v>
      </c>
      <c r="U2100" t="s">
        <v>54</v>
      </c>
      <c r="V2100" t="s">
        <v>51</v>
      </c>
      <c r="W2100">
        <v>80000</v>
      </c>
      <c r="X2100" t="s">
        <v>53</v>
      </c>
      <c r="AA2100">
        <v>124</v>
      </c>
      <c r="AB2100">
        <v>80</v>
      </c>
      <c r="AC2100">
        <v>147</v>
      </c>
      <c r="AD2100">
        <v>175</v>
      </c>
      <c r="AE2100">
        <v>175</v>
      </c>
      <c r="AF2100">
        <v>0</v>
      </c>
      <c r="AG2100">
        <v>0</v>
      </c>
      <c r="AH2100">
        <v>1.906763553619385</v>
      </c>
      <c r="AI2100">
        <v>21</v>
      </c>
      <c r="AJ2100">
        <v>8.3407831192016602</v>
      </c>
      <c r="AK2100" t="s">
        <v>54</v>
      </c>
      <c r="AL2100" t="s">
        <v>53</v>
      </c>
      <c r="AQ2100" t="s">
        <v>53</v>
      </c>
      <c r="AT2100" t="s">
        <v>9934</v>
      </c>
      <c r="AW2100" t="s">
        <v>53</v>
      </c>
      <c r="AZ2100" t="s">
        <v>54</v>
      </c>
      <c r="BA2100" t="s">
        <v>9913</v>
      </c>
    </row>
    <row r="2101" spans="1:53" x14ac:dyDescent="0.25">
      <c r="A2101">
        <v>2096</v>
      </c>
      <c r="B2101" t="s">
        <v>10157</v>
      </c>
      <c r="C2101" t="s">
        <v>10158</v>
      </c>
      <c r="D2101" t="s">
        <v>10159</v>
      </c>
      <c r="E2101">
        <v>13</v>
      </c>
      <c r="F2101" t="s">
        <v>9904</v>
      </c>
      <c r="G2101" t="s">
        <v>10160</v>
      </c>
      <c r="H2101" t="s">
        <v>10075</v>
      </c>
      <c r="I2101" t="s">
        <v>10161</v>
      </c>
      <c r="J2101" t="s">
        <v>10162</v>
      </c>
      <c r="K2101" t="s">
        <v>10163</v>
      </c>
      <c r="L2101" t="s">
        <v>9910</v>
      </c>
      <c r="M2101">
        <v>1.653049111366272</v>
      </c>
      <c r="N2101" t="s">
        <v>54</v>
      </c>
      <c r="O2101" t="s">
        <v>53</v>
      </c>
      <c r="P2101" t="s">
        <v>54</v>
      </c>
      <c r="Q2101" t="s">
        <v>53</v>
      </c>
      <c r="R2101" t="s">
        <v>53</v>
      </c>
      <c r="S2101" t="s">
        <v>10164</v>
      </c>
      <c r="T2101" t="s">
        <v>10165</v>
      </c>
      <c r="U2101" t="s">
        <v>54</v>
      </c>
      <c r="V2101" t="s">
        <v>51</v>
      </c>
      <c r="W2101">
        <v>250000</v>
      </c>
      <c r="X2101" t="s">
        <v>53</v>
      </c>
      <c r="AA2101">
        <v>210</v>
      </c>
      <c r="AB2101">
        <v>176</v>
      </c>
      <c r="AC2101">
        <v>351</v>
      </c>
      <c r="AD2101">
        <v>489</v>
      </c>
      <c r="AE2101">
        <v>489</v>
      </c>
      <c r="AF2101">
        <v>0</v>
      </c>
      <c r="AG2101">
        <v>0</v>
      </c>
      <c r="AH2101">
        <v>5.516350269317627</v>
      </c>
      <c r="AI2101">
        <v>57</v>
      </c>
      <c r="AJ2101">
        <v>0.8096623420715332</v>
      </c>
      <c r="AK2101" t="s">
        <v>54</v>
      </c>
      <c r="AL2101" t="s">
        <v>53</v>
      </c>
      <c r="AQ2101" t="s">
        <v>53</v>
      </c>
      <c r="AT2101" t="s">
        <v>9934</v>
      </c>
      <c r="AW2101" t="s">
        <v>8390</v>
      </c>
      <c r="AZ2101" t="s">
        <v>54</v>
      </c>
      <c r="BA2101" t="s">
        <v>9913</v>
      </c>
    </row>
    <row r="2102" spans="1:53" x14ac:dyDescent="0.25">
      <c r="A2102">
        <v>2097</v>
      </c>
      <c r="B2102" t="s">
        <v>10166</v>
      </c>
      <c r="C2102" t="s">
        <v>10167</v>
      </c>
      <c r="D2102" t="s">
        <v>10168</v>
      </c>
      <c r="E2102">
        <v>13</v>
      </c>
      <c r="F2102" t="s">
        <v>9904</v>
      </c>
      <c r="G2102" t="s">
        <v>10160</v>
      </c>
      <c r="H2102" t="s">
        <v>10075</v>
      </c>
      <c r="I2102" t="s">
        <v>10169</v>
      </c>
      <c r="J2102" t="s">
        <v>10170</v>
      </c>
      <c r="K2102" t="s">
        <v>10171</v>
      </c>
      <c r="L2102" t="s">
        <v>9910</v>
      </c>
      <c r="M2102">
        <v>26.18220138549805</v>
      </c>
      <c r="N2102" t="s">
        <v>54</v>
      </c>
      <c r="O2102" t="s">
        <v>53</v>
      </c>
      <c r="P2102" t="s">
        <v>54</v>
      </c>
      <c r="Q2102" t="s">
        <v>53</v>
      </c>
      <c r="R2102" t="s">
        <v>53</v>
      </c>
      <c r="S2102" t="s">
        <v>10164</v>
      </c>
      <c r="T2102" t="s">
        <v>10165</v>
      </c>
      <c r="U2102" t="s">
        <v>54</v>
      </c>
      <c r="V2102" t="s">
        <v>51</v>
      </c>
      <c r="W2102">
        <v>250000</v>
      </c>
      <c r="X2102" t="s">
        <v>53</v>
      </c>
      <c r="AA2102">
        <v>268</v>
      </c>
      <c r="AB2102">
        <v>199</v>
      </c>
      <c r="AC2102">
        <v>675</v>
      </c>
      <c r="AD2102">
        <v>698</v>
      </c>
      <c r="AE2102">
        <v>698</v>
      </c>
      <c r="AF2102">
        <v>0</v>
      </c>
      <c r="AG2102">
        <v>0</v>
      </c>
      <c r="AH2102">
        <v>11.048420906066889</v>
      </c>
      <c r="AI2102">
        <v>67</v>
      </c>
      <c r="AJ2102">
        <v>69.137687683105469</v>
      </c>
      <c r="AK2102" t="s">
        <v>54</v>
      </c>
      <c r="AL2102" t="s">
        <v>53</v>
      </c>
      <c r="AQ2102" t="s">
        <v>53</v>
      </c>
      <c r="AT2102" t="s">
        <v>9934</v>
      </c>
      <c r="AW2102" t="s">
        <v>8390</v>
      </c>
      <c r="AZ2102" t="s">
        <v>54</v>
      </c>
      <c r="BA2102" t="s">
        <v>9913</v>
      </c>
    </row>
    <row r="2103" spans="1:53" x14ac:dyDescent="0.25">
      <c r="A2103">
        <v>2098</v>
      </c>
      <c r="B2103" t="s">
        <v>10172</v>
      </c>
      <c r="C2103" t="s">
        <v>10173</v>
      </c>
      <c r="D2103" t="s">
        <v>10174</v>
      </c>
      <c r="E2103">
        <v>13</v>
      </c>
      <c r="F2103" t="s">
        <v>9904</v>
      </c>
      <c r="G2103" t="s">
        <v>10139</v>
      </c>
      <c r="H2103" t="s">
        <v>10175</v>
      </c>
      <c r="I2103" t="s">
        <v>10176</v>
      </c>
      <c r="J2103" t="s">
        <v>10177</v>
      </c>
      <c r="K2103" t="s">
        <v>10178</v>
      </c>
      <c r="L2103" t="s">
        <v>9910</v>
      </c>
      <c r="M2103">
        <v>4.6995110511779794</v>
      </c>
      <c r="N2103" t="s">
        <v>54</v>
      </c>
      <c r="O2103" t="s">
        <v>53</v>
      </c>
      <c r="P2103" t="s">
        <v>54</v>
      </c>
      <c r="Q2103" t="s">
        <v>53</v>
      </c>
      <c r="R2103" t="s">
        <v>53</v>
      </c>
      <c r="S2103" t="s">
        <v>10179</v>
      </c>
      <c r="T2103" t="s">
        <v>10180</v>
      </c>
      <c r="U2103" t="s">
        <v>54</v>
      </c>
      <c r="V2103" t="s">
        <v>51</v>
      </c>
      <c r="W2103">
        <v>150000</v>
      </c>
      <c r="X2103" t="s">
        <v>53</v>
      </c>
      <c r="AA2103">
        <v>66</v>
      </c>
      <c r="AB2103">
        <v>27</v>
      </c>
      <c r="AC2103">
        <v>93</v>
      </c>
      <c r="AD2103">
        <v>76</v>
      </c>
      <c r="AE2103">
        <v>93</v>
      </c>
      <c r="AF2103">
        <v>0</v>
      </c>
      <c r="AG2103">
        <v>0</v>
      </c>
      <c r="AH2103">
        <v>2.2502682209014888</v>
      </c>
      <c r="AI2103">
        <v>13</v>
      </c>
      <c r="AJ2103">
        <v>2.2640714645385742</v>
      </c>
      <c r="AK2103" t="s">
        <v>54</v>
      </c>
      <c r="AL2103" t="s">
        <v>53</v>
      </c>
      <c r="AQ2103" t="s">
        <v>53</v>
      </c>
      <c r="AT2103" t="s">
        <v>9934</v>
      </c>
      <c r="AW2103" t="s">
        <v>8390</v>
      </c>
      <c r="AZ2103" t="s">
        <v>54</v>
      </c>
      <c r="BA2103" t="s">
        <v>9913</v>
      </c>
    </row>
    <row r="2104" spans="1:53" x14ac:dyDescent="0.25">
      <c r="A2104">
        <v>2099</v>
      </c>
      <c r="B2104" t="s">
        <v>10181</v>
      </c>
      <c r="C2104" t="s">
        <v>10182</v>
      </c>
      <c r="D2104" t="s">
        <v>10183</v>
      </c>
      <c r="E2104">
        <v>13</v>
      </c>
      <c r="F2104" t="s">
        <v>9904</v>
      </c>
      <c r="G2104" t="s">
        <v>10139</v>
      </c>
      <c r="H2104" t="s">
        <v>10175</v>
      </c>
      <c r="I2104" t="s">
        <v>10184</v>
      </c>
      <c r="J2104" t="s">
        <v>10185</v>
      </c>
      <c r="K2104" t="s">
        <v>10186</v>
      </c>
      <c r="L2104" t="s">
        <v>9910</v>
      </c>
      <c r="M2104">
        <v>4.1490507125854492</v>
      </c>
      <c r="N2104" t="s">
        <v>54</v>
      </c>
      <c r="O2104" t="s">
        <v>53</v>
      </c>
      <c r="P2104" t="s">
        <v>54</v>
      </c>
      <c r="Q2104" t="s">
        <v>53</v>
      </c>
      <c r="R2104" t="s">
        <v>53</v>
      </c>
      <c r="S2104" t="s">
        <v>10179</v>
      </c>
      <c r="T2104" t="s">
        <v>10180</v>
      </c>
      <c r="U2104" t="s">
        <v>54</v>
      </c>
      <c r="V2104" t="s">
        <v>51</v>
      </c>
      <c r="W2104">
        <v>150000</v>
      </c>
      <c r="X2104" t="s">
        <v>53</v>
      </c>
      <c r="AA2104">
        <v>16</v>
      </c>
      <c r="AB2104">
        <v>1</v>
      </c>
      <c r="AC2104">
        <v>1</v>
      </c>
      <c r="AD2104">
        <v>5</v>
      </c>
      <c r="AE2104">
        <v>5</v>
      </c>
      <c r="AF2104">
        <v>0</v>
      </c>
      <c r="AG2104">
        <v>0</v>
      </c>
      <c r="AH2104">
        <v>2.9818398952484131</v>
      </c>
      <c r="AI2104">
        <v>9</v>
      </c>
      <c r="AJ2104">
        <v>17.063089370727539</v>
      </c>
      <c r="AK2104" t="s">
        <v>54</v>
      </c>
      <c r="AL2104" t="s">
        <v>53</v>
      </c>
      <c r="AQ2104" t="s">
        <v>53</v>
      </c>
      <c r="AT2104" t="s">
        <v>9934</v>
      </c>
      <c r="AW2104" t="s">
        <v>8390</v>
      </c>
      <c r="AZ2104" t="s">
        <v>54</v>
      </c>
      <c r="BA2104" t="s">
        <v>9913</v>
      </c>
    </row>
    <row r="2105" spans="1:53" x14ac:dyDescent="0.25">
      <c r="A2105">
        <v>2100</v>
      </c>
      <c r="B2105" t="s">
        <v>10187</v>
      </c>
      <c r="C2105" t="s">
        <v>10188</v>
      </c>
      <c r="D2105" t="s">
        <v>10189</v>
      </c>
      <c r="E2105">
        <v>13</v>
      </c>
      <c r="F2105" t="s">
        <v>9904</v>
      </c>
      <c r="G2105" t="s">
        <v>10160</v>
      </c>
      <c r="H2105" t="s">
        <v>10075</v>
      </c>
      <c r="I2105" t="s">
        <v>10190</v>
      </c>
      <c r="J2105" t="s">
        <v>10191</v>
      </c>
      <c r="K2105" t="s">
        <v>10192</v>
      </c>
      <c r="L2105" t="s">
        <v>9910</v>
      </c>
      <c r="M2105">
        <v>0.1958717554807663</v>
      </c>
      <c r="N2105" t="s">
        <v>54</v>
      </c>
      <c r="O2105" t="s">
        <v>53</v>
      </c>
      <c r="P2105" t="s">
        <v>54</v>
      </c>
      <c r="Q2105" t="s">
        <v>53</v>
      </c>
      <c r="R2105" t="s">
        <v>53</v>
      </c>
      <c r="S2105" t="s">
        <v>10164</v>
      </c>
      <c r="T2105" t="s">
        <v>10165</v>
      </c>
      <c r="U2105" t="s">
        <v>54</v>
      </c>
      <c r="V2105" t="s">
        <v>51</v>
      </c>
      <c r="W2105">
        <v>250000</v>
      </c>
      <c r="X2105" t="s">
        <v>53</v>
      </c>
      <c r="AA2105">
        <v>2</v>
      </c>
      <c r="AB2105">
        <v>0</v>
      </c>
      <c r="AC2105">
        <v>2</v>
      </c>
      <c r="AD2105">
        <v>3</v>
      </c>
      <c r="AE2105">
        <v>3</v>
      </c>
      <c r="AF2105">
        <v>0</v>
      </c>
      <c r="AG2105">
        <v>0</v>
      </c>
      <c r="AH2105">
        <v>2.201654195785522</v>
      </c>
      <c r="AI2105">
        <v>9</v>
      </c>
      <c r="AJ2105">
        <v>0.83927750587463379</v>
      </c>
      <c r="AK2105" t="s">
        <v>54</v>
      </c>
      <c r="AL2105" t="s">
        <v>53</v>
      </c>
      <c r="AQ2105" t="s">
        <v>53</v>
      </c>
      <c r="AT2105" t="s">
        <v>9934</v>
      </c>
      <c r="AW2105" t="s">
        <v>8390</v>
      </c>
      <c r="AZ2105" t="s">
        <v>54</v>
      </c>
      <c r="BA2105" t="s">
        <v>9913</v>
      </c>
    </row>
    <row r="2106" spans="1:53" x14ac:dyDescent="0.25">
      <c r="A2106">
        <v>2101</v>
      </c>
      <c r="B2106" t="s">
        <v>10193</v>
      </c>
      <c r="C2106" t="s">
        <v>10194</v>
      </c>
      <c r="D2106" t="s">
        <v>10195</v>
      </c>
      <c r="E2106">
        <v>13</v>
      </c>
      <c r="F2106" t="s">
        <v>9904</v>
      </c>
      <c r="G2106" t="s">
        <v>10160</v>
      </c>
      <c r="H2106" t="s">
        <v>10075</v>
      </c>
      <c r="I2106" t="s">
        <v>10161</v>
      </c>
      <c r="J2106" t="s">
        <v>10162</v>
      </c>
      <c r="K2106" t="s">
        <v>10163</v>
      </c>
      <c r="L2106" t="s">
        <v>9910</v>
      </c>
      <c r="M2106">
        <v>5.2314300090074539E-2</v>
      </c>
      <c r="N2106" t="s">
        <v>54</v>
      </c>
      <c r="O2106" t="s">
        <v>53</v>
      </c>
      <c r="P2106" t="s">
        <v>53</v>
      </c>
      <c r="Q2106" t="s">
        <v>53</v>
      </c>
      <c r="R2106" t="s">
        <v>53</v>
      </c>
      <c r="S2106" t="s">
        <v>10164</v>
      </c>
      <c r="T2106" t="s">
        <v>10165</v>
      </c>
      <c r="U2106" t="s">
        <v>54</v>
      </c>
      <c r="V2106" t="s">
        <v>51</v>
      </c>
      <c r="W2106">
        <v>250000</v>
      </c>
      <c r="X2106" t="s">
        <v>53</v>
      </c>
      <c r="AA2106">
        <v>2</v>
      </c>
      <c r="AB2106">
        <v>1</v>
      </c>
      <c r="AC2106">
        <v>2</v>
      </c>
      <c r="AD2106">
        <v>1</v>
      </c>
      <c r="AE2106">
        <v>2</v>
      </c>
      <c r="AF2106">
        <v>0</v>
      </c>
      <c r="AG2106">
        <v>0</v>
      </c>
      <c r="AH2106">
        <v>0.1487686634063721</v>
      </c>
      <c r="AI2106">
        <v>4</v>
      </c>
      <c r="AJ2106">
        <v>0.60355603694915771</v>
      </c>
      <c r="AK2106" t="s">
        <v>54</v>
      </c>
      <c r="AL2106" t="s">
        <v>53</v>
      </c>
      <c r="AQ2106" t="s">
        <v>53</v>
      </c>
      <c r="AT2106" t="s">
        <v>9934</v>
      </c>
      <c r="AW2106" t="s">
        <v>54</v>
      </c>
      <c r="AZ2106" t="s">
        <v>54</v>
      </c>
      <c r="BA2106" t="s">
        <v>9913</v>
      </c>
    </row>
    <row r="2107" spans="1:53" x14ac:dyDescent="0.25">
      <c r="A2107">
        <v>2102</v>
      </c>
      <c r="B2107" t="s">
        <v>10196</v>
      </c>
      <c r="C2107" t="s">
        <v>10197</v>
      </c>
      <c r="D2107" t="s">
        <v>10198</v>
      </c>
      <c r="E2107">
        <v>13</v>
      </c>
      <c r="F2107" t="s">
        <v>9904</v>
      </c>
      <c r="G2107" t="s">
        <v>10160</v>
      </c>
      <c r="H2107" t="s">
        <v>10075</v>
      </c>
      <c r="I2107" t="s">
        <v>10169</v>
      </c>
      <c r="J2107" t="s">
        <v>10170</v>
      </c>
      <c r="K2107" t="s">
        <v>10171</v>
      </c>
      <c r="L2107" t="s">
        <v>9910</v>
      </c>
      <c r="M2107">
        <v>26.18220138549805</v>
      </c>
      <c r="N2107" t="s">
        <v>54</v>
      </c>
      <c r="O2107" t="s">
        <v>53</v>
      </c>
      <c r="P2107" t="s">
        <v>54</v>
      </c>
      <c r="Q2107" t="s">
        <v>53</v>
      </c>
      <c r="R2107" t="s">
        <v>53</v>
      </c>
      <c r="S2107" t="s">
        <v>10164</v>
      </c>
      <c r="T2107" t="s">
        <v>10165</v>
      </c>
      <c r="U2107" t="s">
        <v>54</v>
      </c>
      <c r="V2107" t="s">
        <v>51</v>
      </c>
      <c r="W2107">
        <v>250000</v>
      </c>
      <c r="X2107" t="s">
        <v>53</v>
      </c>
      <c r="AA2107">
        <v>268</v>
      </c>
      <c r="AB2107">
        <v>199</v>
      </c>
      <c r="AC2107">
        <v>675</v>
      </c>
      <c r="AD2107">
        <v>698</v>
      </c>
      <c r="AE2107">
        <v>698</v>
      </c>
      <c r="AF2107">
        <v>0</v>
      </c>
      <c r="AG2107">
        <v>0</v>
      </c>
      <c r="AH2107">
        <v>11.048420906066889</v>
      </c>
      <c r="AI2107">
        <v>67</v>
      </c>
      <c r="AJ2107">
        <v>69.137687683105469</v>
      </c>
      <c r="AK2107" t="s">
        <v>54</v>
      </c>
      <c r="AL2107" t="s">
        <v>53</v>
      </c>
      <c r="AQ2107" t="s">
        <v>53</v>
      </c>
      <c r="AT2107" t="s">
        <v>9934</v>
      </c>
      <c r="AW2107" t="s">
        <v>8390</v>
      </c>
      <c r="AZ2107" t="s">
        <v>54</v>
      </c>
      <c r="BA2107" t="s">
        <v>9913</v>
      </c>
    </row>
    <row r="2108" spans="1:53" x14ac:dyDescent="0.25">
      <c r="A2108">
        <v>2103</v>
      </c>
      <c r="B2108" t="s">
        <v>10199</v>
      </c>
      <c r="C2108" t="s">
        <v>10200</v>
      </c>
      <c r="D2108" t="s">
        <v>10201</v>
      </c>
      <c r="E2108">
        <v>13</v>
      </c>
      <c r="F2108" t="s">
        <v>9904</v>
      </c>
      <c r="G2108" t="s">
        <v>10074</v>
      </c>
      <c r="H2108" t="s">
        <v>10075</v>
      </c>
      <c r="I2108" t="s">
        <v>10076</v>
      </c>
      <c r="J2108" t="s">
        <v>10202</v>
      </c>
      <c r="K2108" t="s">
        <v>10203</v>
      </c>
      <c r="L2108" t="s">
        <v>9910</v>
      </c>
      <c r="M2108">
        <v>1.295718312263489</v>
      </c>
      <c r="N2108" t="s">
        <v>54</v>
      </c>
      <c r="O2108" t="s">
        <v>53</v>
      </c>
      <c r="P2108" t="s">
        <v>54</v>
      </c>
      <c r="Q2108" t="s">
        <v>53</v>
      </c>
      <c r="R2108" t="s">
        <v>53</v>
      </c>
      <c r="S2108" t="s">
        <v>10079</v>
      </c>
      <c r="T2108" t="s">
        <v>10080</v>
      </c>
      <c r="U2108" t="s">
        <v>54</v>
      </c>
      <c r="V2108" t="s">
        <v>51</v>
      </c>
      <c r="W2108">
        <v>150000</v>
      </c>
      <c r="X2108" t="s">
        <v>53</v>
      </c>
      <c r="AA2108">
        <v>72</v>
      </c>
      <c r="AB2108">
        <v>33</v>
      </c>
      <c r="AC2108">
        <v>138</v>
      </c>
      <c r="AD2108">
        <v>172</v>
      </c>
      <c r="AE2108">
        <v>172</v>
      </c>
      <c r="AF2108">
        <v>0</v>
      </c>
      <c r="AG2108">
        <v>3</v>
      </c>
      <c r="AH2108">
        <v>2.9282171726226811</v>
      </c>
      <c r="AI2108">
        <v>47</v>
      </c>
      <c r="AJ2108">
        <v>63.021076202392578</v>
      </c>
      <c r="AK2108" t="s">
        <v>54</v>
      </c>
      <c r="AL2108" t="s">
        <v>53</v>
      </c>
      <c r="AQ2108" t="s">
        <v>53</v>
      </c>
      <c r="AT2108" t="s">
        <v>10081</v>
      </c>
      <c r="AW2108" t="s">
        <v>8390</v>
      </c>
      <c r="AZ2108" t="s">
        <v>54</v>
      </c>
      <c r="BA2108" t="s">
        <v>9913</v>
      </c>
    </row>
    <row r="2109" spans="1:53" x14ac:dyDescent="0.25">
      <c r="A2109">
        <v>2104</v>
      </c>
      <c r="B2109" t="s">
        <v>10204</v>
      </c>
      <c r="C2109" t="s">
        <v>10205</v>
      </c>
      <c r="D2109" t="s">
        <v>10206</v>
      </c>
      <c r="E2109">
        <v>13</v>
      </c>
      <c r="F2109" t="s">
        <v>9904</v>
      </c>
      <c r="G2109" t="s">
        <v>9611</v>
      </c>
      <c r="H2109" t="s">
        <v>9964</v>
      </c>
      <c r="I2109" t="s">
        <v>9965</v>
      </c>
      <c r="J2109" t="s">
        <v>10207</v>
      </c>
      <c r="K2109" t="s">
        <v>10208</v>
      </c>
      <c r="L2109" t="s">
        <v>9910</v>
      </c>
      <c r="M2109">
        <v>2.442862652242184E-2</v>
      </c>
      <c r="N2109" t="s">
        <v>54</v>
      </c>
      <c r="O2109" t="s">
        <v>53</v>
      </c>
      <c r="P2109" t="s">
        <v>53</v>
      </c>
      <c r="Q2109" t="s">
        <v>53</v>
      </c>
      <c r="R2109" t="s">
        <v>53</v>
      </c>
      <c r="S2109" t="s">
        <v>10209</v>
      </c>
      <c r="T2109" t="s">
        <v>10210</v>
      </c>
      <c r="U2109" t="s">
        <v>54</v>
      </c>
      <c r="V2109" t="s">
        <v>51</v>
      </c>
      <c r="W2109">
        <v>506000</v>
      </c>
      <c r="X2109" t="s">
        <v>53</v>
      </c>
      <c r="AA2109">
        <v>0</v>
      </c>
      <c r="AB2109">
        <v>0</v>
      </c>
      <c r="AC2109">
        <v>0</v>
      </c>
      <c r="AD2109">
        <v>0</v>
      </c>
      <c r="AE2109">
        <v>0</v>
      </c>
      <c r="AF2109">
        <v>0</v>
      </c>
      <c r="AG2109">
        <v>0</v>
      </c>
      <c r="AH2109">
        <v>0.1015837863087654</v>
      </c>
      <c r="AI2109">
        <v>6</v>
      </c>
      <c r="AJ2109">
        <v>0</v>
      </c>
      <c r="AK2109" t="s">
        <v>54</v>
      </c>
      <c r="AL2109" t="s">
        <v>53</v>
      </c>
      <c r="AQ2109" t="s">
        <v>53</v>
      </c>
      <c r="AT2109" t="s">
        <v>9934</v>
      </c>
      <c r="AW2109" t="s">
        <v>8390</v>
      </c>
      <c r="AZ2109" t="s">
        <v>54</v>
      </c>
      <c r="BA2109" t="s">
        <v>10211</v>
      </c>
    </row>
    <row r="2110" spans="1:53" x14ac:dyDescent="0.25">
      <c r="A2110">
        <v>2105</v>
      </c>
      <c r="B2110" t="s">
        <v>10212</v>
      </c>
      <c r="C2110" t="s">
        <v>10213</v>
      </c>
      <c r="D2110" t="s">
        <v>10214</v>
      </c>
      <c r="E2110">
        <v>13</v>
      </c>
      <c r="F2110" t="s">
        <v>9904</v>
      </c>
      <c r="G2110" t="s">
        <v>10215</v>
      </c>
      <c r="H2110" t="s">
        <v>10060</v>
      </c>
      <c r="I2110" t="s">
        <v>10216</v>
      </c>
      <c r="J2110" t="s">
        <v>10217</v>
      </c>
      <c r="K2110" t="s">
        <v>10218</v>
      </c>
      <c r="L2110" t="s">
        <v>9910</v>
      </c>
      <c r="M2110">
        <v>7.3257770538330078</v>
      </c>
      <c r="N2110" t="s">
        <v>54</v>
      </c>
      <c r="O2110" t="s">
        <v>53</v>
      </c>
      <c r="P2110" t="s">
        <v>54</v>
      </c>
      <c r="Q2110" t="s">
        <v>53</v>
      </c>
      <c r="R2110" t="s">
        <v>53</v>
      </c>
      <c r="S2110" t="s">
        <v>10219</v>
      </c>
      <c r="T2110" t="s">
        <v>10220</v>
      </c>
      <c r="U2110" t="s">
        <v>54</v>
      </c>
      <c r="V2110" t="s">
        <v>138</v>
      </c>
      <c r="W2110">
        <v>250000</v>
      </c>
      <c r="X2110" t="s">
        <v>53</v>
      </c>
      <c r="AA2110">
        <v>176</v>
      </c>
      <c r="AB2110">
        <v>142</v>
      </c>
      <c r="AC2110">
        <v>543</v>
      </c>
      <c r="AD2110">
        <v>374</v>
      </c>
      <c r="AE2110">
        <v>543</v>
      </c>
      <c r="AF2110">
        <v>2</v>
      </c>
      <c r="AG2110">
        <v>6</v>
      </c>
      <c r="AH2110">
        <v>2.8450744152069092</v>
      </c>
      <c r="AI2110">
        <v>38</v>
      </c>
      <c r="AJ2110">
        <v>7.1010441780090332</v>
      </c>
      <c r="AK2110" t="s">
        <v>54</v>
      </c>
      <c r="AL2110" t="s">
        <v>53</v>
      </c>
      <c r="AQ2110" t="s">
        <v>53</v>
      </c>
      <c r="AT2110" t="s">
        <v>10221</v>
      </c>
      <c r="AW2110" t="s">
        <v>8390</v>
      </c>
      <c r="AZ2110" t="s">
        <v>54</v>
      </c>
      <c r="BA2110" t="s">
        <v>10222</v>
      </c>
    </row>
    <row r="2111" spans="1:53" x14ac:dyDescent="0.25">
      <c r="A2111">
        <v>2106</v>
      </c>
      <c r="B2111" t="s">
        <v>10223</v>
      </c>
      <c r="C2111" t="s">
        <v>10224</v>
      </c>
      <c r="D2111" t="s">
        <v>10225</v>
      </c>
      <c r="E2111">
        <v>13</v>
      </c>
      <c r="F2111" t="s">
        <v>9904</v>
      </c>
      <c r="G2111" t="s">
        <v>10059</v>
      </c>
      <c r="H2111" t="s">
        <v>10226</v>
      </c>
      <c r="I2111" t="s">
        <v>10227</v>
      </c>
      <c r="J2111" t="s">
        <v>10228</v>
      </c>
      <c r="K2111" t="s">
        <v>10229</v>
      </c>
      <c r="L2111" t="s">
        <v>9910</v>
      </c>
      <c r="M2111">
        <v>10.101455688476561</v>
      </c>
      <c r="N2111" t="s">
        <v>54</v>
      </c>
      <c r="O2111" t="s">
        <v>53</v>
      </c>
      <c r="P2111" t="s">
        <v>54</v>
      </c>
      <c r="Q2111" t="s">
        <v>53</v>
      </c>
      <c r="R2111" t="s">
        <v>53</v>
      </c>
      <c r="S2111" t="s">
        <v>10230</v>
      </c>
      <c r="T2111" t="s">
        <v>10231</v>
      </c>
      <c r="U2111" t="s">
        <v>54</v>
      </c>
      <c r="V2111" t="s">
        <v>138</v>
      </c>
      <c r="W2111">
        <v>150000</v>
      </c>
      <c r="X2111" t="s">
        <v>53</v>
      </c>
      <c r="AA2111">
        <v>22</v>
      </c>
      <c r="AB2111">
        <v>6</v>
      </c>
      <c r="AC2111">
        <v>20</v>
      </c>
      <c r="AD2111">
        <v>37</v>
      </c>
      <c r="AE2111">
        <v>37</v>
      </c>
      <c r="AF2111">
        <v>0</v>
      </c>
      <c r="AG2111">
        <v>3</v>
      </c>
      <c r="AH2111">
        <v>4.7317218780517578</v>
      </c>
      <c r="AI2111">
        <v>15</v>
      </c>
      <c r="AJ2111">
        <v>283.4073486328125</v>
      </c>
      <c r="AK2111" t="s">
        <v>54</v>
      </c>
      <c r="AL2111" t="s">
        <v>53</v>
      </c>
      <c r="AQ2111" t="s">
        <v>53</v>
      </c>
      <c r="AT2111" t="s">
        <v>10232</v>
      </c>
      <c r="AW2111" t="s">
        <v>53</v>
      </c>
      <c r="AZ2111" t="s">
        <v>54</v>
      </c>
      <c r="BA2111" t="s">
        <v>10222</v>
      </c>
    </row>
    <row r="2112" spans="1:53" x14ac:dyDescent="0.25">
      <c r="A2112">
        <v>2107</v>
      </c>
      <c r="B2112" t="s">
        <v>10233</v>
      </c>
      <c r="C2112" t="s">
        <v>10234</v>
      </c>
      <c r="D2112" t="s">
        <v>10235</v>
      </c>
      <c r="E2112">
        <v>13</v>
      </c>
      <c r="F2112" t="s">
        <v>9904</v>
      </c>
      <c r="G2112" t="s">
        <v>10236</v>
      </c>
      <c r="H2112" t="s">
        <v>10237</v>
      </c>
      <c r="I2112" t="s">
        <v>10238</v>
      </c>
      <c r="J2112" t="s">
        <v>10239</v>
      </c>
      <c r="K2112" t="s">
        <v>10240</v>
      </c>
      <c r="L2112" t="s">
        <v>9910</v>
      </c>
      <c r="M2112">
        <v>2.7812473773956299</v>
      </c>
      <c r="N2112" t="s">
        <v>54</v>
      </c>
      <c r="O2112" t="s">
        <v>53</v>
      </c>
      <c r="P2112" t="s">
        <v>53</v>
      </c>
      <c r="Q2112" t="s">
        <v>53</v>
      </c>
      <c r="R2112" t="s">
        <v>53</v>
      </c>
      <c r="S2112" t="s">
        <v>10241</v>
      </c>
      <c r="T2112" t="s">
        <v>10242</v>
      </c>
      <c r="U2112" t="s">
        <v>54</v>
      </c>
      <c r="V2112" t="s">
        <v>51</v>
      </c>
      <c r="W2112">
        <v>250000</v>
      </c>
      <c r="X2112" t="s">
        <v>53</v>
      </c>
      <c r="AA2112">
        <v>1675</v>
      </c>
      <c r="AB2112">
        <v>1248</v>
      </c>
      <c r="AC2112">
        <v>5071</v>
      </c>
      <c r="AD2112">
        <v>3591</v>
      </c>
      <c r="AE2112">
        <v>5071</v>
      </c>
      <c r="AF2112">
        <v>33</v>
      </c>
      <c r="AG2112">
        <v>2</v>
      </c>
      <c r="AH2112">
        <v>41.330535888671882</v>
      </c>
      <c r="AI2112">
        <v>115</v>
      </c>
      <c r="AJ2112">
        <v>12.35445022583008</v>
      </c>
      <c r="AK2112" t="s">
        <v>54</v>
      </c>
      <c r="AL2112" t="s">
        <v>53</v>
      </c>
      <c r="AQ2112" t="s">
        <v>53</v>
      </c>
      <c r="AT2112" t="s">
        <v>10221</v>
      </c>
      <c r="AW2112" t="s">
        <v>54</v>
      </c>
      <c r="AZ2112" t="s">
        <v>54</v>
      </c>
      <c r="BA2112" t="s">
        <v>10222</v>
      </c>
    </row>
    <row r="2113" spans="1:53" x14ac:dyDescent="0.25">
      <c r="A2113">
        <v>2108</v>
      </c>
      <c r="B2113" t="s">
        <v>10243</v>
      </c>
      <c r="C2113" t="s">
        <v>10244</v>
      </c>
      <c r="D2113" t="s">
        <v>10245</v>
      </c>
      <c r="E2113">
        <v>13</v>
      </c>
      <c r="F2113" t="s">
        <v>9904</v>
      </c>
      <c r="G2113" t="s">
        <v>9904</v>
      </c>
      <c r="H2113" t="s">
        <v>10246</v>
      </c>
      <c r="I2113" t="s">
        <v>10247</v>
      </c>
      <c r="J2113" t="s">
        <v>10248</v>
      </c>
      <c r="K2113" t="s">
        <v>10249</v>
      </c>
      <c r="L2113" t="s">
        <v>9921</v>
      </c>
      <c r="M2113">
        <v>2.351232105866075E-3</v>
      </c>
      <c r="N2113" t="s">
        <v>54</v>
      </c>
      <c r="O2113" t="s">
        <v>53</v>
      </c>
      <c r="P2113" t="s">
        <v>54</v>
      </c>
      <c r="Q2113" t="s">
        <v>53</v>
      </c>
      <c r="R2113" t="s">
        <v>53</v>
      </c>
      <c r="S2113" t="s">
        <v>10250</v>
      </c>
      <c r="T2113" t="s">
        <v>10251</v>
      </c>
      <c r="U2113" t="s">
        <v>54</v>
      </c>
      <c r="V2113" t="s">
        <v>51</v>
      </c>
      <c r="W2113">
        <v>138000</v>
      </c>
      <c r="X2113" t="s">
        <v>53</v>
      </c>
      <c r="AA2113">
        <v>0</v>
      </c>
      <c r="AB2113">
        <v>0</v>
      </c>
      <c r="AC2113">
        <v>0</v>
      </c>
      <c r="AD2113">
        <v>0</v>
      </c>
      <c r="AE2113">
        <v>0</v>
      </c>
      <c r="AF2113">
        <v>0</v>
      </c>
      <c r="AG2113">
        <v>0</v>
      </c>
      <c r="AH2113">
        <v>7.5747394002974033E-3</v>
      </c>
      <c r="AI2113">
        <v>1</v>
      </c>
      <c r="AJ2113">
        <v>4.5623686164617538E-2</v>
      </c>
      <c r="AK2113" t="s">
        <v>54</v>
      </c>
      <c r="AL2113" t="s">
        <v>53</v>
      </c>
      <c r="AQ2113" t="s">
        <v>53</v>
      </c>
      <c r="AT2113" t="s">
        <v>9934</v>
      </c>
      <c r="AW2113" t="s">
        <v>53</v>
      </c>
      <c r="AZ2113" t="s">
        <v>54</v>
      </c>
      <c r="BA2113" t="s">
        <v>9913</v>
      </c>
    </row>
    <row r="2114" spans="1:53" x14ac:dyDescent="0.25">
      <c r="A2114">
        <v>2109</v>
      </c>
      <c r="B2114" t="s">
        <v>10252</v>
      </c>
      <c r="C2114" t="s">
        <v>10253</v>
      </c>
      <c r="D2114" t="s">
        <v>10254</v>
      </c>
      <c r="E2114">
        <v>13</v>
      </c>
      <c r="F2114" t="s">
        <v>9904</v>
      </c>
      <c r="G2114" t="s">
        <v>9904</v>
      </c>
      <c r="H2114" t="s">
        <v>10246</v>
      </c>
      <c r="I2114" t="s">
        <v>10247</v>
      </c>
      <c r="J2114" t="s">
        <v>10248</v>
      </c>
      <c r="K2114" t="s">
        <v>10249</v>
      </c>
      <c r="L2114" t="s">
        <v>10255</v>
      </c>
      <c r="M2114">
        <v>3.8010363932698969E-3</v>
      </c>
      <c r="N2114" t="s">
        <v>54</v>
      </c>
      <c r="O2114" t="s">
        <v>53</v>
      </c>
      <c r="P2114" t="s">
        <v>54</v>
      </c>
      <c r="Q2114" t="s">
        <v>53</v>
      </c>
      <c r="R2114" t="s">
        <v>53</v>
      </c>
      <c r="S2114" t="s">
        <v>10250</v>
      </c>
      <c r="T2114" t="s">
        <v>10251</v>
      </c>
      <c r="U2114" t="s">
        <v>54</v>
      </c>
      <c r="V2114" t="s">
        <v>51</v>
      </c>
      <c r="W2114">
        <v>293000</v>
      </c>
      <c r="X2114" t="s">
        <v>53</v>
      </c>
      <c r="AA2114">
        <v>0</v>
      </c>
      <c r="AB2114">
        <v>0</v>
      </c>
      <c r="AC2114">
        <v>0</v>
      </c>
      <c r="AD2114">
        <v>0</v>
      </c>
      <c r="AE2114">
        <v>0</v>
      </c>
      <c r="AF2114">
        <v>0</v>
      </c>
      <c r="AG2114">
        <v>0</v>
      </c>
      <c r="AH2114">
        <v>7.5723878107964993E-3</v>
      </c>
      <c r="AI2114">
        <v>1</v>
      </c>
      <c r="AJ2114">
        <v>3.3136580139398568E-2</v>
      </c>
      <c r="AK2114" t="s">
        <v>54</v>
      </c>
      <c r="AL2114" t="s">
        <v>53</v>
      </c>
      <c r="AQ2114" t="s">
        <v>53</v>
      </c>
      <c r="AT2114" t="s">
        <v>9934</v>
      </c>
      <c r="AW2114" t="s">
        <v>53</v>
      </c>
      <c r="AZ2114" t="s">
        <v>54</v>
      </c>
      <c r="BA2114" t="s">
        <v>9913</v>
      </c>
    </row>
    <row r="2115" spans="1:53" x14ac:dyDescent="0.25">
      <c r="A2115">
        <v>2110</v>
      </c>
      <c r="B2115" t="s">
        <v>10256</v>
      </c>
      <c r="C2115" t="s">
        <v>10257</v>
      </c>
      <c r="D2115" t="s">
        <v>10258</v>
      </c>
      <c r="E2115">
        <v>13</v>
      </c>
      <c r="F2115" t="s">
        <v>9904</v>
      </c>
      <c r="G2115" t="s">
        <v>10259</v>
      </c>
      <c r="H2115" t="s">
        <v>10260</v>
      </c>
      <c r="I2115" t="s">
        <v>10261</v>
      </c>
      <c r="J2115" t="s">
        <v>10262</v>
      </c>
      <c r="K2115" t="s">
        <v>10263</v>
      </c>
      <c r="L2115" t="s">
        <v>10255</v>
      </c>
      <c r="M2115">
        <v>0.1577997803688049</v>
      </c>
      <c r="N2115" t="s">
        <v>54</v>
      </c>
      <c r="O2115" t="s">
        <v>54</v>
      </c>
      <c r="P2115" t="s">
        <v>53</v>
      </c>
      <c r="Q2115" t="s">
        <v>53</v>
      </c>
      <c r="R2115" t="s">
        <v>53</v>
      </c>
      <c r="S2115" t="s">
        <v>10264</v>
      </c>
      <c r="T2115" t="s">
        <v>10265</v>
      </c>
      <c r="U2115" t="s">
        <v>54</v>
      </c>
      <c r="V2115" t="s">
        <v>51</v>
      </c>
      <c r="W2115">
        <v>1090000</v>
      </c>
      <c r="X2115" t="s">
        <v>53</v>
      </c>
      <c r="AA2115">
        <v>57</v>
      </c>
      <c r="AB2115">
        <v>9</v>
      </c>
      <c r="AC2115">
        <v>195</v>
      </c>
      <c r="AD2115">
        <v>44</v>
      </c>
      <c r="AE2115">
        <v>195</v>
      </c>
      <c r="AF2115">
        <v>0</v>
      </c>
      <c r="AG2115">
        <v>0</v>
      </c>
      <c r="AH2115">
        <v>2.8518245220184331</v>
      </c>
      <c r="AI2115">
        <v>21</v>
      </c>
      <c r="AJ2115">
        <v>0</v>
      </c>
      <c r="AK2115" t="s">
        <v>54</v>
      </c>
      <c r="AL2115" t="s">
        <v>53</v>
      </c>
      <c r="AQ2115" t="s">
        <v>53</v>
      </c>
      <c r="AT2115" t="s">
        <v>10266</v>
      </c>
      <c r="AU2115" s="148">
        <v>43020</v>
      </c>
      <c r="AW2115" t="s">
        <v>54</v>
      </c>
      <c r="AZ2115" t="s">
        <v>54</v>
      </c>
      <c r="BA2115" t="s">
        <v>10267</v>
      </c>
    </row>
    <row r="2116" spans="1:53" x14ac:dyDescent="0.25">
      <c r="A2116">
        <v>2111</v>
      </c>
      <c r="B2116" t="s">
        <v>10268</v>
      </c>
      <c r="C2116" t="s">
        <v>10269</v>
      </c>
      <c r="D2116" t="s">
        <v>10270</v>
      </c>
      <c r="E2116">
        <v>13</v>
      </c>
      <c r="F2116" t="s">
        <v>9904</v>
      </c>
      <c r="G2116" t="s">
        <v>10259</v>
      </c>
      <c r="H2116" t="s">
        <v>10260</v>
      </c>
      <c r="I2116" t="s">
        <v>10261</v>
      </c>
      <c r="J2116" t="s">
        <v>10262</v>
      </c>
      <c r="K2116" t="s">
        <v>10263</v>
      </c>
      <c r="L2116" t="s">
        <v>9942</v>
      </c>
      <c r="M2116">
        <v>3.4112480934709311E-3</v>
      </c>
      <c r="N2116" t="s">
        <v>53</v>
      </c>
      <c r="O2116" t="s">
        <v>54</v>
      </c>
      <c r="P2116" t="s">
        <v>53</v>
      </c>
      <c r="Q2116" t="s">
        <v>53</v>
      </c>
      <c r="R2116" t="s">
        <v>53</v>
      </c>
      <c r="S2116" t="s">
        <v>10264</v>
      </c>
      <c r="T2116" t="s">
        <v>10271</v>
      </c>
      <c r="U2116" t="s">
        <v>54</v>
      </c>
      <c r="V2116" t="s">
        <v>51</v>
      </c>
      <c r="W2116">
        <v>250000</v>
      </c>
      <c r="X2116" t="s">
        <v>53</v>
      </c>
      <c r="AA2116">
        <v>0</v>
      </c>
      <c r="AB2116">
        <v>0</v>
      </c>
      <c r="AC2116">
        <v>0</v>
      </c>
      <c r="AD2116">
        <v>0</v>
      </c>
      <c r="AE2116">
        <v>0</v>
      </c>
      <c r="AF2116">
        <v>0</v>
      </c>
      <c r="AG2116">
        <v>0</v>
      </c>
      <c r="AH2116">
        <v>3.992239385843277E-2</v>
      </c>
      <c r="AI2116">
        <v>2</v>
      </c>
      <c r="AJ2116">
        <v>0</v>
      </c>
      <c r="AK2116" t="s">
        <v>54</v>
      </c>
      <c r="AL2116" t="s">
        <v>53</v>
      </c>
      <c r="AQ2116" t="s">
        <v>53</v>
      </c>
      <c r="AT2116" t="s">
        <v>9934</v>
      </c>
      <c r="AW2116" t="s">
        <v>54</v>
      </c>
      <c r="AZ2116" t="s">
        <v>54</v>
      </c>
      <c r="BA2116" t="s">
        <v>10267</v>
      </c>
    </row>
    <row r="2117" spans="1:53" x14ac:dyDescent="0.25">
      <c r="A2117">
        <v>2112</v>
      </c>
      <c r="B2117" t="s">
        <v>10272</v>
      </c>
      <c r="C2117" t="s">
        <v>10273</v>
      </c>
      <c r="D2117" t="s">
        <v>10274</v>
      </c>
      <c r="E2117">
        <v>13</v>
      </c>
      <c r="F2117" t="s">
        <v>9904</v>
      </c>
      <c r="G2117" t="s">
        <v>10259</v>
      </c>
      <c r="H2117" t="s">
        <v>10260</v>
      </c>
      <c r="I2117" t="s">
        <v>10261</v>
      </c>
      <c r="J2117" t="s">
        <v>10262</v>
      </c>
      <c r="K2117" t="s">
        <v>10263</v>
      </c>
      <c r="L2117" t="s">
        <v>10255</v>
      </c>
      <c r="M2117">
        <v>7.4223503470420837E-2</v>
      </c>
      <c r="N2117" t="s">
        <v>53</v>
      </c>
      <c r="O2117" t="s">
        <v>53</v>
      </c>
      <c r="P2117" t="s">
        <v>54</v>
      </c>
      <c r="Q2117" t="s">
        <v>53</v>
      </c>
      <c r="R2117" t="s">
        <v>53</v>
      </c>
      <c r="S2117" t="s">
        <v>10264</v>
      </c>
      <c r="T2117" t="s">
        <v>10271</v>
      </c>
      <c r="U2117" t="s">
        <v>54</v>
      </c>
      <c r="V2117" t="s">
        <v>51</v>
      </c>
      <c r="W2117">
        <v>62000</v>
      </c>
      <c r="X2117" t="s">
        <v>53</v>
      </c>
      <c r="AA2117">
        <v>2</v>
      </c>
      <c r="AB2117">
        <v>2</v>
      </c>
      <c r="AC2117">
        <v>2</v>
      </c>
      <c r="AD2117">
        <v>7</v>
      </c>
      <c r="AE2117">
        <v>7</v>
      </c>
      <c r="AF2117">
        <v>0</v>
      </c>
      <c r="AG2117">
        <v>0</v>
      </c>
      <c r="AH2117">
        <v>0</v>
      </c>
      <c r="AI2117">
        <v>1</v>
      </c>
      <c r="AJ2117">
        <v>0</v>
      </c>
      <c r="AK2117" t="s">
        <v>54</v>
      </c>
      <c r="AL2117" t="s">
        <v>53</v>
      </c>
      <c r="AQ2117" t="s">
        <v>53</v>
      </c>
      <c r="AT2117" t="s">
        <v>10266</v>
      </c>
      <c r="AU2117" s="148">
        <v>43020</v>
      </c>
      <c r="AW2117" t="s">
        <v>53</v>
      </c>
      <c r="AZ2117" t="s">
        <v>54</v>
      </c>
      <c r="BA2117" t="s">
        <v>9970</v>
      </c>
    </row>
    <row r="2118" spans="1:53" x14ac:dyDescent="0.25">
      <c r="A2118">
        <v>2113</v>
      </c>
      <c r="B2118" t="s">
        <v>10275</v>
      </c>
      <c r="C2118" t="s">
        <v>10276</v>
      </c>
      <c r="D2118" t="s">
        <v>10277</v>
      </c>
      <c r="E2118">
        <v>13</v>
      </c>
      <c r="F2118" t="s">
        <v>9904</v>
      </c>
      <c r="G2118" t="s">
        <v>10278</v>
      </c>
      <c r="H2118" t="s">
        <v>10279</v>
      </c>
      <c r="I2118" t="s">
        <v>10280</v>
      </c>
      <c r="J2118" t="s">
        <v>10281</v>
      </c>
      <c r="K2118" t="s">
        <v>10282</v>
      </c>
      <c r="L2118" t="s">
        <v>10255</v>
      </c>
      <c r="M2118">
        <v>0.16744744777679441</v>
      </c>
      <c r="N2118" t="s">
        <v>54</v>
      </c>
      <c r="O2118" t="s">
        <v>53</v>
      </c>
      <c r="P2118" t="s">
        <v>53</v>
      </c>
      <c r="Q2118" t="s">
        <v>53</v>
      </c>
      <c r="R2118" t="s">
        <v>53</v>
      </c>
      <c r="S2118" t="s">
        <v>10283</v>
      </c>
      <c r="T2118" t="s">
        <v>10284</v>
      </c>
      <c r="U2118" t="s">
        <v>54</v>
      </c>
      <c r="V2118" t="s">
        <v>51</v>
      </c>
      <c r="W2118">
        <v>169000</v>
      </c>
      <c r="X2118" t="s">
        <v>53</v>
      </c>
      <c r="AA2118">
        <v>17</v>
      </c>
      <c r="AB2118">
        <v>4</v>
      </c>
      <c r="AC2118">
        <v>6</v>
      </c>
      <c r="AD2118">
        <v>5</v>
      </c>
      <c r="AE2118">
        <v>6</v>
      </c>
      <c r="AF2118">
        <v>0</v>
      </c>
      <c r="AG2118">
        <v>4</v>
      </c>
      <c r="AH2118">
        <v>0.5017356276512146</v>
      </c>
      <c r="AI2118">
        <v>8</v>
      </c>
      <c r="AJ2118">
        <v>1.3344130516052251</v>
      </c>
      <c r="AK2118" t="s">
        <v>54</v>
      </c>
      <c r="AL2118" t="s">
        <v>53</v>
      </c>
      <c r="AQ2118" t="s">
        <v>53</v>
      </c>
      <c r="AT2118" t="s">
        <v>10285</v>
      </c>
      <c r="AU2118" s="148">
        <v>40969</v>
      </c>
      <c r="AW2118" t="s">
        <v>54</v>
      </c>
      <c r="AZ2118" t="s">
        <v>54</v>
      </c>
      <c r="BA2118" t="s">
        <v>10267</v>
      </c>
    </row>
    <row r="2119" spans="1:53" x14ac:dyDescent="0.25">
      <c r="A2119">
        <v>2114</v>
      </c>
      <c r="B2119" t="s">
        <v>10286</v>
      </c>
      <c r="C2119" t="s">
        <v>10287</v>
      </c>
      <c r="D2119" t="s">
        <v>10288</v>
      </c>
      <c r="E2119">
        <v>13</v>
      </c>
      <c r="F2119" t="s">
        <v>9904</v>
      </c>
      <c r="G2119" t="s">
        <v>10289</v>
      </c>
      <c r="H2119" t="s">
        <v>10290</v>
      </c>
      <c r="I2119" t="s">
        <v>10291</v>
      </c>
      <c r="J2119" t="s">
        <v>10292</v>
      </c>
      <c r="K2119" t="s">
        <v>10293</v>
      </c>
      <c r="L2119" t="s">
        <v>9910</v>
      </c>
      <c r="M2119">
        <v>1.9049882888793949E-2</v>
      </c>
      <c r="N2119" t="s">
        <v>53</v>
      </c>
      <c r="O2119" t="s">
        <v>53</v>
      </c>
      <c r="P2119" t="s">
        <v>54</v>
      </c>
      <c r="Q2119" t="s">
        <v>53</v>
      </c>
      <c r="R2119" t="s">
        <v>53</v>
      </c>
      <c r="S2119" t="s">
        <v>10294</v>
      </c>
      <c r="T2119" t="s">
        <v>10295</v>
      </c>
      <c r="U2119" t="s">
        <v>54</v>
      </c>
      <c r="V2119" t="s">
        <v>51</v>
      </c>
      <c r="W2119">
        <v>750000</v>
      </c>
      <c r="X2119" t="s">
        <v>53</v>
      </c>
      <c r="AA2119">
        <v>4</v>
      </c>
      <c r="AB2119">
        <v>3</v>
      </c>
      <c r="AC2119">
        <v>0</v>
      </c>
      <c r="AD2119">
        <v>4</v>
      </c>
      <c r="AE2119">
        <v>4</v>
      </c>
      <c r="AF2119">
        <v>0</v>
      </c>
      <c r="AG2119">
        <v>0</v>
      </c>
      <c r="AH2119">
        <v>0.11033552885055541</v>
      </c>
      <c r="AI2119">
        <v>3</v>
      </c>
      <c r="AJ2119">
        <v>0.2097935080528259</v>
      </c>
      <c r="AK2119" t="s">
        <v>54</v>
      </c>
      <c r="AL2119" t="s">
        <v>53</v>
      </c>
      <c r="AQ2119" t="s">
        <v>53</v>
      </c>
      <c r="AT2119" t="s">
        <v>10285</v>
      </c>
      <c r="AU2119" s="148">
        <v>40969</v>
      </c>
      <c r="AW2119" t="s">
        <v>53</v>
      </c>
      <c r="AZ2119" t="s">
        <v>54</v>
      </c>
      <c r="BA2119" t="s">
        <v>10296</v>
      </c>
    </row>
    <row r="2120" spans="1:53" x14ac:dyDescent="0.25">
      <c r="A2120">
        <v>2115</v>
      </c>
      <c r="B2120" t="s">
        <v>10297</v>
      </c>
      <c r="C2120" t="s">
        <v>10298</v>
      </c>
      <c r="D2120" t="s">
        <v>10299</v>
      </c>
      <c r="E2120">
        <v>13</v>
      </c>
      <c r="F2120" t="s">
        <v>9904</v>
      </c>
      <c r="G2120" t="s">
        <v>10289</v>
      </c>
      <c r="H2120" t="s">
        <v>10290</v>
      </c>
      <c r="I2120" t="s">
        <v>10291</v>
      </c>
      <c r="J2120" t="s">
        <v>10292</v>
      </c>
      <c r="K2120" t="s">
        <v>10293</v>
      </c>
      <c r="L2120" t="s">
        <v>9910</v>
      </c>
      <c r="M2120">
        <v>4.8959508538246148E-2</v>
      </c>
      <c r="N2120" t="s">
        <v>54</v>
      </c>
      <c r="O2120" t="s">
        <v>53</v>
      </c>
      <c r="P2120" t="s">
        <v>54</v>
      </c>
      <c r="Q2120" t="s">
        <v>53</v>
      </c>
      <c r="R2120" t="s">
        <v>53</v>
      </c>
      <c r="S2120" t="s">
        <v>10294</v>
      </c>
      <c r="T2120" t="s">
        <v>10295</v>
      </c>
      <c r="U2120" t="s">
        <v>54</v>
      </c>
      <c r="V2120" t="s">
        <v>51</v>
      </c>
      <c r="W2120">
        <v>750000</v>
      </c>
      <c r="X2120" t="s">
        <v>53</v>
      </c>
      <c r="AA2120">
        <v>11</v>
      </c>
      <c r="AB2120">
        <v>10</v>
      </c>
      <c r="AC2120">
        <v>45</v>
      </c>
      <c r="AD2120">
        <v>23</v>
      </c>
      <c r="AE2120">
        <v>45</v>
      </c>
      <c r="AF2120">
        <v>0</v>
      </c>
      <c r="AG2120">
        <v>0</v>
      </c>
      <c r="AH2120">
        <v>0.30747348070144648</v>
      </c>
      <c r="AI2120">
        <v>20</v>
      </c>
      <c r="AJ2120">
        <v>0</v>
      </c>
      <c r="AK2120" t="s">
        <v>54</v>
      </c>
      <c r="AL2120" t="s">
        <v>53</v>
      </c>
      <c r="AQ2120" t="s">
        <v>53</v>
      </c>
      <c r="AT2120" t="s">
        <v>9934</v>
      </c>
      <c r="AW2120" t="s">
        <v>8390</v>
      </c>
      <c r="AZ2120" t="s">
        <v>54</v>
      </c>
      <c r="BA2120" t="s">
        <v>10300</v>
      </c>
    </row>
    <row r="2121" spans="1:53" x14ac:dyDescent="0.25">
      <c r="A2121">
        <v>2116</v>
      </c>
      <c r="B2121" t="s">
        <v>10301</v>
      </c>
      <c r="C2121" t="s">
        <v>10302</v>
      </c>
      <c r="D2121" t="s">
        <v>10303</v>
      </c>
      <c r="E2121">
        <v>13</v>
      </c>
      <c r="F2121" t="s">
        <v>9904</v>
      </c>
      <c r="G2121" t="s">
        <v>10289</v>
      </c>
      <c r="H2121" t="s">
        <v>10290</v>
      </c>
      <c r="I2121" t="s">
        <v>10291</v>
      </c>
      <c r="J2121" t="s">
        <v>10292</v>
      </c>
      <c r="K2121" t="s">
        <v>10293</v>
      </c>
      <c r="L2121" t="s">
        <v>10255</v>
      </c>
      <c r="M2121">
        <v>1.499988324940205E-2</v>
      </c>
      <c r="N2121" t="s">
        <v>53</v>
      </c>
      <c r="O2121" t="s">
        <v>53</v>
      </c>
      <c r="P2121" t="s">
        <v>53</v>
      </c>
      <c r="Q2121" t="s">
        <v>53</v>
      </c>
      <c r="R2121" t="s">
        <v>53</v>
      </c>
      <c r="S2121" t="s">
        <v>10294</v>
      </c>
      <c r="T2121" t="s">
        <v>10295</v>
      </c>
      <c r="U2121" t="s">
        <v>54</v>
      </c>
      <c r="V2121" t="s">
        <v>51</v>
      </c>
      <c r="W2121">
        <v>231000</v>
      </c>
      <c r="X2121" t="s">
        <v>53</v>
      </c>
      <c r="AA2121">
        <v>0</v>
      </c>
      <c r="AB2121">
        <v>0</v>
      </c>
      <c r="AC2121">
        <v>0</v>
      </c>
      <c r="AD2121">
        <v>0</v>
      </c>
      <c r="AE2121">
        <v>0</v>
      </c>
      <c r="AF2121">
        <v>0</v>
      </c>
      <c r="AG2121">
        <v>0</v>
      </c>
      <c r="AH2121">
        <v>0</v>
      </c>
      <c r="AI2121">
        <v>0</v>
      </c>
      <c r="AJ2121">
        <v>0</v>
      </c>
      <c r="AK2121" t="s">
        <v>54</v>
      </c>
      <c r="AL2121" t="s">
        <v>53</v>
      </c>
      <c r="AQ2121" t="s">
        <v>53</v>
      </c>
      <c r="AT2121" t="s">
        <v>9934</v>
      </c>
      <c r="AW2121" t="s">
        <v>53</v>
      </c>
      <c r="AZ2121" t="s">
        <v>54</v>
      </c>
      <c r="BA2121" t="s">
        <v>10300</v>
      </c>
    </row>
    <row r="2122" spans="1:53" x14ac:dyDescent="0.25">
      <c r="A2122">
        <v>2117</v>
      </c>
      <c r="B2122" t="s">
        <v>10304</v>
      </c>
      <c r="C2122" t="s">
        <v>10305</v>
      </c>
      <c r="D2122" t="s">
        <v>10306</v>
      </c>
      <c r="E2122">
        <v>13</v>
      </c>
      <c r="F2122" t="s">
        <v>9904</v>
      </c>
      <c r="G2122" t="s">
        <v>10289</v>
      </c>
      <c r="H2122" t="s">
        <v>10260</v>
      </c>
      <c r="I2122" t="s">
        <v>10307</v>
      </c>
      <c r="J2122" t="s">
        <v>10308</v>
      </c>
      <c r="K2122" t="s">
        <v>10309</v>
      </c>
      <c r="L2122" t="s">
        <v>10255</v>
      </c>
      <c r="M2122">
        <v>1.179543603211641E-2</v>
      </c>
      <c r="N2122" t="s">
        <v>54</v>
      </c>
      <c r="O2122" t="s">
        <v>53</v>
      </c>
      <c r="P2122" t="s">
        <v>53</v>
      </c>
      <c r="Q2122" t="s">
        <v>53</v>
      </c>
      <c r="R2122" t="s">
        <v>53</v>
      </c>
      <c r="S2122" t="s">
        <v>10294</v>
      </c>
      <c r="T2122" t="s">
        <v>10295</v>
      </c>
      <c r="U2122" t="s">
        <v>54</v>
      </c>
      <c r="V2122" t="s">
        <v>51</v>
      </c>
      <c r="W2122">
        <v>60000</v>
      </c>
      <c r="X2122" t="s">
        <v>53</v>
      </c>
      <c r="AA2122">
        <v>0</v>
      </c>
      <c r="AB2122">
        <v>0</v>
      </c>
      <c r="AC2122">
        <v>0</v>
      </c>
      <c r="AD2122">
        <v>0</v>
      </c>
      <c r="AE2122">
        <v>0</v>
      </c>
      <c r="AF2122">
        <v>0</v>
      </c>
      <c r="AG2122">
        <v>0</v>
      </c>
      <c r="AH2122">
        <v>0</v>
      </c>
      <c r="AI2122">
        <v>0</v>
      </c>
      <c r="AJ2122">
        <v>5.5116262286901467E-2</v>
      </c>
      <c r="AK2122" t="s">
        <v>54</v>
      </c>
      <c r="AL2122" t="s">
        <v>53</v>
      </c>
      <c r="AQ2122" t="s">
        <v>53</v>
      </c>
      <c r="AT2122" t="s">
        <v>9934</v>
      </c>
      <c r="AW2122" t="s">
        <v>54</v>
      </c>
      <c r="AZ2122" t="s">
        <v>54</v>
      </c>
      <c r="BA2122" t="s">
        <v>10300</v>
      </c>
    </row>
    <row r="2123" spans="1:53" x14ac:dyDescent="0.25">
      <c r="A2123">
        <v>2118</v>
      </c>
      <c r="B2123" t="s">
        <v>10310</v>
      </c>
      <c r="C2123" t="s">
        <v>10311</v>
      </c>
      <c r="D2123" t="s">
        <v>10312</v>
      </c>
      <c r="E2123">
        <v>13</v>
      </c>
      <c r="F2123" t="s">
        <v>9904</v>
      </c>
      <c r="G2123" t="s">
        <v>10313</v>
      </c>
      <c r="H2123" t="s">
        <v>10314</v>
      </c>
      <c r="I2123" t="s">
        <v>10315</v>
      </c>
      <c r="J2123" t="s">
        <v>10316</v>
      </c>
      <c r="K2123" t="s">
        <v>10317</v>
      </c>
      <c r="L2123" t="s">
        <v>10255</v>
      </c>
      <c r="M2123">
        <v>9.0201392769813538E-2</v>
      </c>
      <c r="N2123" t="s">
        <v>54</v>
      </c>
      <c r="O2123" t="s">
        <v>53</v>
      </c>
      <c r="P2123" t="s">
        <v>54</v>
      </c>
      <c r="Q2123" t="s">
        <v>53</v>
      </c>
      <c r="R2123" t="s">
        <v>53</v>
      </c>
      <c r="S2123" t="s">
        <v>10318</v>
      </c>
      <c r="T2123" t="s">
        <v>10319</v>
      </c>
      <c r="U2123" t="s">
        <v>54</v>
      </c>
      <c r="V2123" t="s">
        <v>51</v>
      </c>
      <c r="W2123">
        <v>13000</v>
      </c>
      <c r="X2123" t="s">
        <v>53</v>
      </c>
      <c r="AA2123">
        <v>0</v>
      </c>
      <c r="AB2123">
        <v>0</v>
      </c>
      <c r="AC2123">
        <v>0</v>
      </c>
      <c r="AD2123">
        <v>0</v>
      </c>
      <c r="AE2123">
        <v>0</v>
      </c>
      <c r="AF2123">
        <v>0</v>
      </c>
      <c r="AG2123">
        <v>0</v>
      </c>
      <c r="AH2123">
        <v>0.40890258550643921</v>
      </c>
      <c r="AI2123">
        <v>3</v>
      </c>
      <c r="AJ2123">
        <v>0.104252852499485</v>
      </c>
      <c r="AK2123" t="s">
        <v>54</v>
      </c>
      <c r="AL2123" t="s">
        <v>53</v>
      </c>
      <c r="AQ2123" t="s">
        <v>53</v>
      </c>
      <c r="AT2123" t="s">
        <v>10285</v>
      </c>
      <c r="AU2123" s="148">
        <v>40969</v>
      </c>
      <c r="AW2123" t="s">
        <v>53</v>
      </c>
      <c r="AZ2123" t="s">
        <v>54</v>
      </c>
      <c r="BA2123" t="s">
        <v>10320</v>
      </c>
    </row>
    <row r="2124" spans="1:53" x14ac:dyDescent="0.25">
      <c r="A2124">
        <v>2119</v>
      </c>
      <c r="B2124" t="s">
        <v>10321</v>
      </c>
      <c r="C2124" t="s">
        <v>10322</v>
      </c>
      <c r="D2124" t="s">
        <v>10323</v>
      </c>
      <c r="E2124">
        <v>13</v>
      </c>
      <c r="F2124" t="s">
        <v>9904</v>
      </c>
      <c r="G2124" t="s">
        <v>9649</v>
      </c>
      <c r="H2124" t="s">
        <v>10324</v>
      </c>
      <c r="I2124" t="s">
        <v>10325</v>
      </c>
      <c r="J2124" t="s">
        <v>10326</v>
      </c>
      <c r="K2124" t="s">
        <v>10327</v>
      </c>
      <c r="L2124" t="s">
        <v>9910</v>
      </c>
      <c r="M2124">
        <v>1.269231829792261E-2</v>
      </c>
      <c r="N2124" t="s">
        <v>54</v>
      </c>
      <c r="O2124" t="s">
        <v>53</v>
      </c>
      <c r="P2124" t="s">
        <v>53</v>
      </c>
      <c r="Q2124" t="s">
        <v>53</v>
      </c>
      <c r="R2124" t="s">
        <v>53</v>
      </c>
      <c r="S2124" t="s">
        <v>10328</v>
      </c>
      <c r="T2124" t="s">
        <v>10329</v>
      </c>
      <c r="U2124" t="s">
        <v>54</v>
      </c>
      <c r="V2124" t="s">
        <v>51</v>
      </c>
      <c r="W2124">
        <v>100000</v>
      </c>
      <c r="X2124" t="s">
        <v>53</v>
      </c>
      <c r="AA2124">
        <v>0</v>
      </c>
      <c r="AB2124">
        <v>0</v>
      </c>
      <c r="AC2124">
        <v>0</v>
      </c>
      <c r="AD2124">
        <v>0</v>
      </c>
      <c r="AE2124">
        <v>0</v>
      </c>
      <c r="AF2124">
        <v>0</v>
      </c>
      <c r="AG2124">
        <v>0</v>
      </c>
      <c r="AH2124">
        <v>0.18140999972820279</v>
      </c>
      <c r="AI2124">
        <v>0</v>
      </c>
      <c r="AJ2124">
        <v>0.155930295586586</v>
      </c>
      <c r="AK2124" t="s">
        <v>54</v>
      </c>
      <c r="AL2124" t="s">
        <v>53</v>
      </c>
      <c r="AQ2124" t="s">
        <v>53</v>
      </c>
      <c r="AT2124" t="s">
        <v>9934</v>
      </c>
      <c r="AW2124" t="s">
        <v>54</v>
      </c>
      <c r="AZ2124" t="s">
        <v>54</v>
      </c>
      <c r="BA2124" t="s">
        <v>10296</v>
      </c>
    </row>
    <row r="2125" spans="1:53" x14ac:dyDescent="0.25">
      <c r="A2125">
        <v>2120</v>
      </c>
      <c r="B2125" t="s">
        <v>10330</v>
      </c>
      <c r="C2125" t="s">
        <v>10331</v>
      </c>
      <c r="D2125" t="s">
        <v>10332</v>
      </c>
      <c r="E2125">
        <v>13</v>
      </c>
      <c r="F2125" t="s">
        <v>9904</v>
      </c>
      <c r="G2125" t="s">
        <v>10289</v>
      </c>
      <c r="H2125" t="s">
        <v>10290</v>
      </c>
      <c r="I2125" t="s">
        <v>10291</v>
      </c>
      <c r="J2125" t="s">
        <v>10292</v>
      </c>
      <c r="K2125" t="s">
        <v>10293</v>
      </c>
      <c r="L2125" t="s">
        <v>10255</v>
      </c>
      <c r="M2125">
        <v>5.443752184510231E-2</v>
      </c>
      <c r="N2125" t="s">
        <v>53</v>
      </c>
      <c r="O2125" t="s">
        <v>54</v>
      </c>
      <c r="P2125" t="s">
        <v>54</v>
      </c>
      <c r="Q2125" t="s">
        <v>53</v>
      </c>
      <c r="R2125" t="s">
        <v>53</v>
      </c>
      <c r="S2125" t="s">
        <v>10333</v>
      </c>
      <c r="T2125" t="s">
        <v>10295</v>
      </c>
      <c r="U2125" t="s">
        <v>54</v>
      </c>
      <c r="V2125" t="s">
        <v>51</v>
      </c>
      <c r="W2125">
        <v>281000</v>
      </c>
      <c r="X2125" t="s">
        <v>53</v>
      </c>
      <c r="AA2125">
        <v>0</v>
      </c>
      <c r="AB2125">
        <v>0</v>
      </c>
      <c r="AC2125">
        <v>0</v>
      </c>
      <c r="AD2125">
        <v>0</v>
      </c>
      <c r="AE2125">
        <v>0</v>
      </c>
      <c r="AF2125">
        <v>0</v>
      </c>
      <c r="AG2125">
        <v>0</v>
      </c>
      <c r="AH2125">
        <v>0.2487500011920929</v>
      </c>
      <c r="AI2125">
        <v>1</v>
      </c>
      <c r="AJ2125">
        <v>3.2830879688262939</v>
      </c>
      <c r="AK2125" t="s">
        <v>54</v>
      </c>
      <c r="AL2125" t="s">
        <v>53</v>
      </c>
      <c r="AQ2125" t="s">
        <v>53</v>
      </c>
      <c r="AT2125" t="s">
        <v>9934</v>
      </c>
      <c r="AW2125" t="s">
        <v>8390</v>
      </c>
      <c r="AZ2125" t="s">
        <v>54</v>
      </c>
      <c r="BA2125" t="s">
        <v>10300</v>
      </c>
    </row>
    <row r="2126" spans="1:53" x14ac:dyDescent="0.25">
      <c r="A2126">
        <v>2121</v>
      </c>
      <c r="B2126" t="s">
        <v>10334</v>
      </c>
      <c r="C2126" t="s">
        <v>10335</v>
      </c>
      <c r="D2126" t="s">
        <v>10336</v>
      </c>
      <c r="E2126">
        <v>13</v>
      </c>
      <c r="F2126" t="s">
        <v>9904</v>
      </c>
      <c r="G2126" t="s">
        <v>10289</v>
      </c>
      <c r="H2126" t="s">
        <v>10279</v>
      </c>
      <c r="I2126" t="s">
        <v>10337</v>
      </c>
      <c r="J2126" t="s">
        <v>10338</v>
      </c>
      <c r="K2126" t="s">
        <v>10339</v>
      </c>
      <c r="L2126" t="s">
        <v>10255</v>
      </c>
      <c r="M2126">
        <v>7.9579271376132965E-2</v>
      </c>
      <c r="N2126" t="s">
        <v>54</v>
      </c>
      <c r="O2126" t="s">
        <v>53</v>
      </c>
      <c r="P2126" t="s">
        <v>54</v>
      </c>
      <c r="Q2126" t="s">
        <v>53</v>
      </c>
      <c r="R2126" t="s">
        <v>53</v>
      </c>
      <c r="S2126" t="s">
        <v>10333</v>
      </c>
      <c r="T2126" t="s">
        <v>10340</v>
      </c>
      <c r="U2126" t="s">
        <v>54</v>
      </c>
      <c r="V2126" t="s">
        <v>51</v>
      </c>
      <c r="W2126">
        <v>760000</v>
      </c>
      <c r="X2126" t="s">
        <v>53</v>
      </c>
      <c r="AA2126">
        <v>0</v>
      </c>
      <c r="AB2126">
        <v>0</v>
      </c>
      <c r="AC2126">
        <v>0</v>
      </c>
      <c r="AD2126">
        <v>0</v>
      </c>
      <c r="AE2126">
        <v>0</v>
      </c>
      <c r="AF2126">
        <v>0</v>
      </c>
      <c r="AG2126">
        <v>0</v>
      </c>
      <c r="AH2126">
        <v>6.6698931157588959E-2</v>
      </c>
      <c r="AI2126">
        <v>3</v>
      </c>
      <c r="AJ2126">
        <v>22.5116081237793</v>
      </c>
      <c r="AK2126" t="s">
        <v>54</v>
      </c>
      <c r="AL2126" t="s">
        <v>53</v>
      </c>
      <c r="AQ2126" t="s">
        <v>53</v>
      </c>
      <c r="AT2126" t="s">
        <v>9934</v>
      </c>
      <c r="AW2126" t="s">
        <v>8390</v>
      </c>
      <c r="AZ2126" t="s">
        <v>54</v>
      </c>
      <c r="BA2126" t="s">
        <v>10300</v>
      </c>
    </row>
    <row r="2127" spans="1:53" x14ac:dyDescent="0.25">
      <c r="A2127">
        <v>2122</v>
      </c>
      <c r="B2127" t="s">
        <v>10341</v>
      </c>
      <c r="C2127" t="s">
        <v>10342</v>
      </c>
      <c r="D2127" t="s">
        <v>10343</v>
      </c>
      <c r="E2127">
        <v>13</v>
      </c>
      <c r="F2127" t="s">
        <v>9904</v>
      </c>
      <c r="G2127" t="s">
        <v>10289</v>
      </c>
      <c r="H2127" t="s">
        <v>10344</v>
      </c>
      <c r="I2127" t="s">
        <v>10345</v>
      </c>
      <c r="J2127" t="s">
        <v>10346</v>
      </c>
      <c r="K2127" t="s">
        <v>10347</v>
      </c>
      <c r="L2127" t="s">
        <v>10255</v>
      </c>
      <c r="M2127">
        <v>5.916445329785347E-2</v>
      </c>
      <c r="N2127" t="s">
        <v>54</v>
      </c>
      <c r="O2127" t="s">
        <v>53</v>
      </c>
      <c r="P2127" t="s">
        <v>54</v>
      </c>
      <c r="Q2127" t="s">
        <v>53</v>
      </c>
      <c r="R2127" t="s">
        <v>53</v>
      </c>
      <c r="S2127" t="s">
        <v>10333</v>
      </c>
      <c r="T2127" t="s">
        <v>10348</v>
      </c>
      <c r="U2127" t="s">
        <v>54</v>
      </c>
      <c r="V2127" t="s">
        <v>51</v>
      </c>
      <c r="W2127">
        <v>871000</v>
      </c>
      <c r="X2127" t="s">
        <v>53</v>
      </c>
      <c r="AA2127">
        <v>0</v>
      </c>
      <c r="AB2127">
        <v>0</v>
      </c>
      <c r="AC2127">
        <v>0</v>
      </c>
      <c r="AD2127">
        <v>0</v>
      </c>
      <c r="AE2127">
        <v>0</v>
      </c>
      <c r="AF2127">
        <v>0</v>
      </c>
      <c r="AG2127">
        <v>0</v>
      </c>
      <c r="AH2127">
        <v>0.44659000635147089</v>
      </c>
      <c r="AI2127">
        <v>6</v>
      </c>
      <c r="AJ2127">
        <v>4.9456520080566406</v>
      </c>
      <c r="AK2127" t="s">
        <v>54</v>
      </c>
      <c r="AL2127" t="s">
        <v>53</v>
      </c>
      <c r="AQ2127" t="s">
        <v>53</v>
      </c>
      <c r="AT2127" t="s">
        <v>9934</v>
      </c>
      <c r="AW2127" t="s">
        <v>8390</v>
      </c>
      <c r="AZ2127" t="s">
        <v>54</v>
      </c>
      <c r="BA2127" t="s">
        <v>10300</v>
      </c>
    </row>
    <row r="2128" spans="1:53" x14ac:dyDescent="0.25">
      <c r="A2128">
        <v>2123</v>
      </c>
      <c r="B2128" t="s">
        <v>10349</v>
      </c>
      <c r="C2128" t="s">
        <v>10350</v>
      </c>
      <c r="D2128" t="s">
        <v>10351</v>
      </c>
      <c r="E2128">
        <v>13</v>
      </c>
      <c r="F2128" t="s">
        <v>9904</v>
      </c>
      <c r="G2128" t="s">
        <v>10259</v>
      </c>
      <c r="H2128" t="s">
        <v>10260</v>
      </c>
      <c r="I2128" t="s">
        <v>10352</v>
      </c>
      <c r="J2128" t="s">
        <v>10353</v>
      </c>
      <c r="K2128" t="s">
        <v>10354</v>
      </c>
      <c r="L2128" t="s">
        <v>10255</v>
      </c>
      <c r="M2128">
        <v>1.341729521751404</v>
      </c>
      <c r="N2128" t="s">
        <v>54</v>
      </c>
      <c r="O2128" t="s">
        <v>54</v>
      </c>
      <c r="P2128" t="s">
        <v>54</v>
      </c>
      <c r="Q2128" t="s">
        <v>53</v>
      </c>
      <c r="R2128" t="s">
        <v>53</v>
      </c>
      <c r="S2128" t="s">
        <v>10355</v>
      </c>
      <c r="T2128" t="s">
        <v>10356</v>
      </c>
      <c r="U2128" t="s">
        <v>54</v>
      </c>
      <c r="V2128" t="s">
        <v>138</v>
      </c>
      <c r="W2128">
        <v>188000</v>
      </c>
      <c r="X2128" t="s">
        <v>53</v>
      </c>
      <c r="AA2128">
        <v>83</v>
      </c>
      <c r="AB2128">
        <v>43</v>
      </c>
      <c r="AC2128">
        <v>126</v>
      </c>
      <c r="AD2128">
        <v>60</v>
      </c>
      <c r="AE2128">
        <v>126</v>
      </c>
      <c r="AF2128">
        <v>1</v>
      </c>
      <c r="AG2128">
        <v>0</v>
      </c>
      <c r="AH2128">
        <v>3.6051638126373291</v>
      </c>
      <c r="AI2128">
        <v>34</v>
      </c>
      <c r="AJ2128">
        <v>8.129865862429142E-3</v>
      </c>
      <c r="AK2128" t="s">
        <v>54</v>
      </c>
      <c r="AL2128" t="s">
        <v>53</v>
      </c>
      <c r="AQ2128" t="s">
        <v>53</v>
      </c>
      <c r="AT2128" t="s">
        <v>10285</v>
      </c>
      <c r="AU2128" s="148">
        <v>40969</v>
      </c>
      <c r="AW2128" t="s">
        <v>8390</v>
      </c>
      <c r="AZ2128" t="s">
        <v>54</v>
      </c>
      <c r="BA2128" t="s">
        <v>10357</v>
      </c>
    </row>
    <row r="2129" spans="1:53" x14ac:dyDescent="0.25">
      <c r="A2129">
        <v>2124</v>
      </c>
      <c r="B2129" t="s">
        <v>10358</v>
      </c>
      <c r="C2129" t="s">
        <v>10359</v>
      </c>
      <c r="D2129" t="s">
        <v>10360</v>
      </c>
      <c r="E2129">
        <v>13</v>
      </c>
      <c r="F2129" t="s">
        <v>9904</v>
      </c>
      <c r="G2129" t="s">
        <v>10289</v>
      </c>
      <c r="H2129" t="s">
        <v>10260</v>
      </c>
      <c r="I2129" t="s">
        <v>10261</v>
      </c>
      <c r="J2129" t="s">
        <v>10262</v>
      </c>
      <c r="K2129" t="s">
        <v>10263</v>
      </c>
      <c r="L2129" t="s">
        <v>10361</v>
      </c>
      <c r="M2129">
        <v>9.0472446754574776E-4</v>
      </c>
      <c r="N2129" t="s">
        <v>53</v>
      </c>
      <c r="O2129" t="s">
        <v>54</v>
      </c>
      <c r="P2129" t="s">
        <v>54</v>
      </c>
      <c r="Q2129" t="s">
        <v>53</v>
      </c>
      <c r="R2129" t="s">
        <v>53</v>
      </c>
      <c r="S2129" t="s">
        <v>10362</v>
      </c>
      <c r="T2129" t="s">
        <v>10363</v>
      </c>
      <c r="U2129" t="s">
        <v>54</v>
      </c>
      <c r="V2129" t="s">
        <v>51</v>
      </c>
      <c r="W2129">
        <v>900000</v>
      </c>
      <c r="X2129" t="s">
        <v>53</v>
      </c>
      <c r="AA2129">
        <v>0</v>
      </c>
      <c r="AB2129">
        <v>0</v>
      </c>
      <c r="AC2129">
        <v>0</v>
      </c>
      <c r="AD2129">
        <v>0</v>
      </c>
      <c r="AE2129">
        <v>0</v>
      </c>
      <c r="AF2129">
        <v>0</v>
      </c>
      <c r="AG2129">
        <v>0</v>
      </c>
      <c r="AH2129">
        <v>1.245000027120113E-2</v>
      </c>
      <c r="AI2129">
        <v>0</v>
      </c>
      <c r="AJ2129">
        <v>0</v>
      </c>
      <c r="AK2129" t="s">
        <v>54</v>
      </c>
      <c r="AL2129" t="s">
        <v>53</v>
      </c>
      <c r="AQ2129" t="s">
        <v>53</v>
      </c>
      <c r="AT2129" t="s">
        <v>9934</v>
      </c>
      <c r="AW2129" t="s">
        <v>54</v>
      </c>
      <c r="AZ2129" t="s">
        <v>54</v>
      </c>
      <c r="BA2129" t="s">
        <v>10364</v>
      </c>
    </row>
    <row r="2130" spans="1:53" x14ac:dyDescent="0.25">
      <c r="A2130">
        <v>2125</v>
      </c>
      <c r="B2130" t="s">
        <v>10365</v>
      </c>
      <c r="C2130" t="s">
        <v>10366</v>
      </c>
      <c r="D2130" t="s">
        <v>10367</v>
      </c>
      <c r="E2130">
        <v>13</v>
      </c>
      <c r="F2130" t="s">
        <v>9904</v>
      </c>
      <c r="G2130" t="s">
        <v>10259</v>
      </c>
      <c r="H2130" t="s">
        <v>10260</v>
      </c>
      <c r="I2130" t="s">
        <v>10261</v>
      </c>
      <c r="J2130" t="s">
        <v>10262</v>
      </c>
      <c r="K2130" t="s">
        <v>10263</v>
      </c>
      <c r="L2130" t="s">
        <v>10255</v>
      </c>
      <c r="M2130">
        <v>2.2399553563445809E-4</v>
      </c>
      <c r="N2130" t="s">
        <v>53</v>
      </c>
      <c r="O2130" t="s">
        <v>54</v>
      </c>
      <c r="P2130" t="s">
        <v>53</v>
      </c>
      <c r="Q2130" t="s">
        <v>53</v>
      </c>
      <c r="R2130" t="s">
        <v>53</v>
      </c>
      <c r="S2130" t="s">
        <v>10264</v>
      </c>
      <c r="T2130" t="s">
        <v>10265</v>
      </c>
      <c r="U2130" t="s">
        <v>54</v>
      </c>
      <c r="V2130" t="s">
        <v>51</v>
      </c>
      <c r="W2130">
        <v>327000</v>
      </c>
      <c r="X2130" t="s">
        <v>53</v>
      </c>
      <c r="AA2130">
        <v>0</v>
      </c>
      <c r="AB2130">
        <v>0</v>
      </c>
      <c r="AC2130">
        <v>0</v>
      </c>
      <c r="AD2130">
        <v>0</v>
      </c>
      <c r="AE2130">
        <v>0</v>
      </c>
      <c r="AF2130">
        <v>0</v>
      </c>
      <c r="AG2130">
        <v>0</v>
      </c>
      <c r="AH2130">
        <v>6.7757922224700451E-3</v>
      </c>
      <c r="AI2130">
        <v>2</v>
      </c>
      <c r="AJ2130">
        <v>0</v>
      </c>
      <c r="AK2130" t="s">
        <v>54</v>
      </c>
      <c r="AL2130" t="s">
        <v>53</v>
      </c>
      <c r="AQ2130" t="s">
        <v>53</v>
      </c>
      <c r="AT2130" t="s">
        <v>10266</v>
      </c>
      <c r="AU2130" s="148">
        <v>43020</v>
      </c>
      <c r="AW2130" t="s">
        <v>54</v>
      </c>
      <c r="AZ2130" t="s">
        <v>54</v>
      </c>
      <c r="BA2130" t="s">
        <v>9970</v>
      </c>
    </row>
    <row r="2131" spans="1:53" x14ac:dyDescent="0.25">
      <c r="A2131">
        <v>2126</v>
      </c>
      <c r="B2131" t="s">
        <v>10368</v>
      </c>
      <c r="C2131" t="s">
        <v>10369</v>
      </c>
      <c r="D2131" t="s">
        <v>10370</v>
      </c>
      <c r="E2131">
        <v>13</v>
      </c>
      <c r="F2131" t="s">
        <v>9904</v>
      </c>
      <c r="G2131" t="s">
        <v>9904</v>
      </c>
      <c r="H2131" t="s">
        <v>10246</v>
      </c>
      <c r="I2131" t="s">
        <v>10247</v>
      </c>
      <c r="J2131" t="s">
        <v>10371</v>
      </c>
      <c r="K2131" t="s">
        <v>10372</v>
      </c>
      <c r="L2131" t="s">
        <v>10255</v>
      </c>
      <c r="M2131">
        <v>1.575349092483521</v>
      </c>
      <c r="N2131" t="s">
        <v>54</v>
      </c>
      <c r="O2131" t="s">
        <v>54</v>
      </c>
      <c r="P2131" t="s">
        <v>53</v>
      </c>
      <c r="Q2131" t="s">
        <v>53</v>
      </c>
      <c r="R2131" t="s">
        <v>53</v>
      </c>
      <c r="S2131" t="s">
        <v>10250</v>
      </c>
      <c r="T2131" t="s">
        <v>10251</v>
      </c>
      <c r="U2131" t="s">
        <v>54</v>
      </c>
      <c r="V2131" t="s">
        <v>51</v>
      </c>
      <c r="W2131">
        <v>4751000</v>
      </c>
      <c r="X2131" t="s">
        <v>54</v>
      </c>
      <c r="Y2131" t="s">
        <v>10373</v>
      </c>
      <c r="Z2131">
        <v>4751000</v>
      </c>
      <c r="AA2131">
        <v>3</v>
      </c>
      <c r="AB2131">
        <v>1</v>
      </c>
      <c r="AC2131">
        <v>0</v>
      </c>
      <c r="AD2131">
        <v>2</v>
      </c>
      <c r="AE2131">
        <v>2</v>
      </c>
      <c r="AF2131">
        <v>0</v>
      </c>
      <c r="AG2131">
        <v>0</v>
      </c>
      <c r="AH2131">
        <v>0.22305437922477719</v>
      </c>
      <c r="AI2131">
        <v>3</v>
      </c>
      <c r="AJ2131">
        <v>1.4039207696914671</v>
      </c>
      <c r="AK2131" t="s">
        <v>54</v>
      </c>
      <c r="AL2131" t="s">
        <v>53</v>
      </c>
      <c r="AQ2131" t="s">
        <v>53</v>
      </c>
      <c r="AT2131" t="s">
        <v>9934</v>
      </c>
      <c r="AW2131" t="s">
        <v>53</v>
      </c>
      <c r="AZ2131" t="s">
        <v>54</v>
      </c>
      <c r="BA2131" t="s">
        <v>9935</v>
      </c>
    </row>
    <row r="2132" spans="1:53" x14ac:dyDescent="0.25">
      <c r="A2132">
        <v>2127</v>
      </c>
      <c r="B2132" t="s">
        <v>10374</v>
      </c>
      <c r="C2132" t="s">
        <v>10375</v>
      </c>
      <c r="D2132" t="s">
        <v>10376</v>
      </c>
      <c r="E2132">
        <v>13</v>
      </c>
      <c r="F2132" t="s">
        <v>9904</v>
      </c>
      <c r="G2132" t="s">
        <v>9904</v>
      </c>
      <c r="H2132" t="s">
        <v>10246</v>
      </c>
      <c r="I2132" t="s">
        <v>10377</v>
      </c>
      <c r="J2132" t="s">
        <v>10378</v>
      </c>
      <c r="K2132" t="s">
        <v>10379</v>
      </c>
      <c r="L2132" t="s">
        <v>10380</v>
      </c>
      <c r="M2132">
        <v>3.1526941806077957E-2</v>
      </c>
      <c r="N2132" t="s">
        <v>53</v>
      </c>
      <c r="O2132" t="s">
        <v>54</v>
      </c>
      <c r="P2132" t="s">
        <v>54</v>
      </c>
      <c r="Q2132" t="s">
        <v>53</v>
      </c>
      <c r="R2132" t="s">
        <v>53</v>
      </c>
      <c r="S2132" t="s">
        <v>10250</v>
      </c>
      <c r="T2132" t="s">
        <v>10251</v>
      </c>
      <c r="U2132" t="s">
        <v>54</v>
      </c>
      <c r="V2132" t="s">
        <v>51</v>
      </c>
      <c r="W2132">
        <v>459000</v>
      </c>
      <c r="X2132" t="s">
        <v>53</v>
      </c>
      <c r="AA2132">
        <v>7</v>
      </c>
      <c r="AB2132">
        <v>7</v>
      </c>
      <c r="AC2132">
        <v>6</v>
      </c>
      <c r="AD2132">
        <v>21</v>
      </c>
      <c r="AE2132">
        <v>21</v>
      </c>
      <c r="AF2132">
        <v>0</v>
      </c>
      <c r="AG2132">
        <v>0</v>
      </c>
      <c r="AH2132">
        <v>1.0921832323074341</v>
      </c>
      <c r="AI2132">
        <v>8</v>
      </c>
      <c r="AJ2132">
        <v>3.8535941392183297E-2</v>
      </c>
      <c r="AK2132" t="s">
        <v>54</v>
      </c>
      <c r="AL2132" t="s">
        <v>53</v>
      </c>
      <c r="AQ2132" t="s">
        <v>53</v>
      </c>
      <c r="AT2132" t="s">
        <v>10285</v>
      </c>
      <c r="AU2132" s="148">
        <v>40969</v>
      </c>
      <c r="AW2132" t="s">
        <v>53</v>
      </c>
      <c r="AZ2132" t="s">
        <v>54</v>
      </c>
      <c r="BA2132" t="s">
        <v>10381</v>
      </c>
    </row>
    <row r="2133" spans="1:53" x14ac:dyDescent="0.25">
      <c r="A2133">
        <v>2128</v>
      </c>
      <c r="B2133" t="s">
        <v>10382</v>
      </c>
      <c r="C2133" t="s">
        <v>10383</v>
      </c>
      <c r="D2133" t="s">
        <v>10384</v>
      </c>
      <c r="E2133">
        <v>13</v>
      </c>
      <c r="F2133" t="s">
        <v>9904</v>
      </c>
      <c r="G2133" t="s">
        <v>9904</v>
      </c>
      <c r="H2133" t="s">
        <v>10246</v>
      </c>
      <c r="I2133" t="s">
        <v>10247</v>
      </c>
      <c r="J2133" t="s">
        <v>10385</v>
      </c>
      <c r="K2133" t="s">
        <v>10386</v>
      </c>
      <c r="L2133" t="s">
        <v>9910</v>
      </c>
      <c r="M2133">
        <v>2.718702889978886E-2</v>
      </c>
      <c r="N2133" t="s">
        <v>54</v>
      </c>
      <c r="O2133" t="s">
        <v>53</v>
      </c>
      <c r="P2133" t="s">
        <v>53</v>
      </c>
      <c r="Q2133" t="s">
        <v>53</v>
      </c>
      <c r="R2133" t="s">
        <v>53</v>
      </c>
      <c r="S2133" t="s">
        <v>10250</v>
      </c>
      <c r="T2133" t="s">
        <v>10251</v>
      </c>
      <c r="U2133" t="s">
        <v>54</v>
      </c>
      <c r="V2133" t="s">
        <v>51</v>
      </c>
      <c r="W2133">
        <v>2126000</v>
      </c>
      <c r="X2133" t="s">
        <v>53</v>
      </c>
      <c r="AA2133">
        <v>7</v>
      </c>
      <c r="AB2133">
        <v>0</v>
      </c>
      <c r="AC2133">
        <v>12</v>
      </c>
      <c r="AD2133">
        <v>0</v>
      </c>
      <c r="AE2133">
        <v>12</v>
      </c>
      <c r="AF2133">
        <v>0</v>
      </c>
      <c r="AG2133">
        <v>0</v>
      </c>
      <c r="AH2133">
        <v>0</v>
      </c>
      <c r="AI2133">
        <v>0</v>
      </c>
      <c r="AJ2133">
        <v>5.6839932221919298E-4</v>
      </c>
      <c r="AK2133" t="s">
        <v>54</v>
      </c>
      <c r="AL2133" t="s">
        <v>53</v>
      </c>
      <c r="AQ2133" t="s">
        <v>53</v>
      </c>
      <c r="AT2133" t="s">
        <v>10285</v>
      </c>
      <c r="AU2133" s="148">
        <v>40969</v>
      </c>
      <c r="AW2133" t="s">
        <v>53</v>
      </c>
      <c r="AZ2133" t="s">
        <v>54</v>
      </c>
      <c r="BA2133" t="s">
        <v>9935</v>
      </c>
    </row>
    <row r="2134" spans="1:53" x14ac:dyDescent="0.25">
      <c r="A2134">
        <v>2129</v>
      </c>
      <c r="B2134" t="s">
        <v>10387</v>
      </c>
      <c r="C2134" t="s">
        <v>10388</v>
      </c>
      <c r="D2134" t="s">
        <v>10389</v>
      </c>
      <c r="E2134">
        <v>13</v>
      </c>
      <c r="F2134" t="s">
        <v>9904</v>
      </c>
      <c r="G2134" t="s">
        <v>10390</v>
      </c>
      <c r="H2134" t="s">
        <v>10314</v>
      </c>
      <c r="I2134" t="s">
        <v>10391</v>
      </c>
      <c r="J2134" t="s">
        <v>10392</v>
      </c>
      <c r="K2134" t="s">
        <v>10393</v>
      </c>
      <c r="L2134" t="s">
        <v>10255</v>
      </c>
      <c r="M2134">
        <v>2.98710260540247E-2</v>
      </c>
      <c r="N2134" t="s">
        <v>54</v>
      </c>
      <c r="O2134" t="s">
        <v>53</v>
      </c>
      <c r="P2134" t="s">
        <v>53</v>
      </c>
      <c r="Q2134" t="s">
        <v>53</v>
      </c>
      <c r="R2134" t="s">
        <v>53</v>
      </c>
      <c r="S2134" t="s">
        <v>10250</v>
      </c>
      <c r="T2134" t="s">
        <v>10394</v>
      </c>
      <c r="U2134" t="s">
        <v>54</v>
      </c>
      <c r="V2134" t="s">
        <v>51</v>
      </c>
      <c r="W2134">
        <v>375000</v>
      </c>
      <c r="X2134" t="s">
        <v>53</v>
      </c>
      <c r="AA2134">
        <v>0</v>
      </c>
      <c r="AB2134">
        <v>0</v>
      </c>
      <c r="AC2134">
        <v>0</v>
      </c>
      <c r="AD2134">
        <v>0</v>
      </c>
      <c r="AE2134">
        <v>0</v>
      </c>
      <c r="AF2134">
        <v>0</v>
      </c>
      <c r="AG2134">
        <v>0</v>
      </c>
      <c r="AH2134">
        <v>0</v>
      </c>
      <c r="AI2134">
        <v>0</v>
      </c>
      <c r="AJ2134">
        <v>10.033175468444821</v>
      </c>
      <c r="AK2134" t="s">
        <v>53</v>
      </c>
      <c r="AL2134" t="s">
        <v>53</v>
      </c>
      <c r="AQ2134" t="s">
        <v>53</v>
      </c>
      <c r="AT2134" t="s">
        <v>10285</v>
      </c>
      <c r="AU2134" s="148">
        <v>40969</v>
      </c>
      <c r="AW2134" t="s">
        <v>53</v>
      </c>
      <c r="AZ2134" t="s">
        <v>54</v>
      </c>
      <c r="BA2134" t="s">
        <v>10395</v>
      </c>
    </row>
    <row r="2135" spans="1:53" x14ac:dyDescent="0.25">
      <c r="A2135">
        <v>2130</v>
      </c>
      <c r="B2135" t="s">
        <v>10396</v>
      </c>
      <c r="C2135" t="s">
        <v>10397</v>
      </c>
      <c r="D2135" t="s">
        <v>10398</v>
      </c>
      <c r="E2135">
        <v>13</v>
      </c>
      <c r="F2135" t="s">
        <v>9904</v>
      </c>
      <c r="G2135" t="s">
        <v>9904</v>
      </c>
      <c r="H2135" t="s">
        <v>10246</v>
      </c>
      <c r="I2135" t="s">
        <v>10247</v>
      </c>
      <c r="J2135" t="s">
        <v>10248</v>
      </c>
      <c r="K2135" t="s">
        <v>10399</v>
      </c>
      <c r="L2135" t="s">
        <v>10400</v>
      </c>
      <c r="M2135">
        <v>9.5691060414537787E-4</v>
      </c>
      <c r="N2135" t="s">
        <v>53</v>
      </c>
      <c r="O2135" t="s">
        <v>53</v>
      </c>
      <c r="P2135" t="s">
        <v>53</v>
      </c>
      <c r="Q2135" t="s">
        <v>53</v>
      </c>
      <c r="R2135" t="s">
        <v>54</v>
      </c>
      <c r="S2135" t="s">
        <v>10250</v>
      </c>
      <c r="T2135" t="s">
        <v>10401</v>
      </c>
      <c r="U2135" t="s">
        <v>54</v>
      </c>
      <c r="V2135" t="s">
        <v>51</v>
      </c>
      <c r="W2135">
        <v>7000</v>
      </c>
      <c r="X2135" t="s">
        <v>53</v>
      </c>
      <c r="AA2135">
        <v>1</v>
      </c>
      <c r="AB2135">
        <v>0</v>
      </c>
      <c r="AC2135">
        <v>229</v>
      </c>
      <c r="AD2135">
        <v>0</v>
      </c>
      <c r="AE2135">
        <v>229</v>
      </c>
      <c r="AF2135">
        <v>1</v>
      </c>
      <c r="AG2135">
        <v>0</v>
      </c>
      <c r="AH2135">
        <v>0</v>
      </c>
      <c r="AI2135">
        <v>0</v>
      </c>
      <c r="AJ2135">
        <v>0</v>
      </c>
      <c r="AK2135" t="s">
        <v>53</v>
      </c>
      <c r="AL2135" t="s">
        <v>53</v>
      </c>
      <c r="AQ2135" t="s">
        <v>53</v>
      </c>
      <c r="AT2135" t="s">
        <v>10285</v>
      </c>
      <c r="AU2135" s="148">
        <v>40969</v>
      </c>
      <c r="AW2135" t="s">
        <v>53</v>
      </c>
      <c r="AZ2135" t="s">
        <v>54</v>
      </c>
      <c r="BA2135" t="s">
        <v>10402</v>
      </c>
    </row>
    <row r="2136" spans="1:53" x14ac:dyDescent="0.25">
      <c r="A2136">
        <v>2131</v>
      </c>
      <c r="B2136" t="s">
        <v>10403</v>
      </c>
      <c r="C2136" t="s">
        <v>10404</v>
      </c>
      <c r="D2136" t="s">
        <v>10405</v>
      </c>
      <c r="E2136">
        <v>13</v>
      </c>
      <c r="F2136" t="s">
        <v>9904</v>
      </c>
      <c r="G2136" t="s">
        <v>10259</v>
      </c>
      <c r="H2136" t="s">
        <v>10260</v>
      </c>
      <c r="I2136" t="s">
        <v>10352</v>
      </c>
      <c r="J2136" t="s">
        <v>10353</v>
      </c>
      <c r="K2136" t="s">
        <v>10354</v>
      </c>
      <c r="L2136" t="s">
        <v>9910</v>
      </c>
      <c r="M2136">
        <v>0.61982709169387817</v>
      </c>
      <c r="N2136" t="s">
        <v>53</v>
      </c>
      <c r="O2136" t="s">
        <v>53</v>
      </c>
      <c r="P2136" t="s">
        <v>54</v>
      </c>
      <c r="Q2136" t="s">
        <v>53</v>
      </c>
      <c r="R2136" t="s">
        <v>53</v>
      </c>
      <c r="S2136" t="s">
        <v>10406</v>
      </c>
      <c r="T2136" t="s">
        <v>10271</v>
      </c>
      <c r="U2136" t="s">
        <v>54</v>
      </c>
      <c r="V2136" t="s">
        <v>51</v>
      </c>
      <c r="W2136">
        <v>2000000</v>
      </c>
      <c r="X2136" t="s">
        <v>53</v>
      </c>
      <c r="AA2136">
        <v>5</v>
      </c>
      <c r="AB2136">
        <v>3</v>
      </c>
      <c r="AC2136">
        <v>9</v>
      </c>
      <c r="AD2136">
        <v>3</v>
      </c>
      <c r="AE2136">
        <v>9</v>
      </c>
      <c r="AF2136">
        <v>0</v>
      </c>
      <c r="AG2136">
        <v>0</v>
      </c>
      <c r="AH2136">
        <v>0.25053974986076349</v>
      </c>
      <c r="AI2136">
        <v>5</v>
      </c>
      <c r="AJ2136">
        <v>0.69241458177566528</v>
      </c>
      <c r="AK2136" t="s">
        <v>54</v>
      </c>
      <c r="AL2136" t="s">
        <v>53</v>
      </c>
      <c r="AQ2136" t="s">
        <v>53</v>
      </c>
      <c r="AT2136" t="s">
        <v>9934</v>
      </c>
      <c r="AW2136" t="s">
        <v>53</v>
      </c>
      <c r="AZ2136" t="s">
        <v>54</v>
      </c>
      <c r="BA2136" t="s">
        <v>9970</v>
      </c>
    </row>
    <row r="2137" spans="1:53" x14ac:dyDescent="0.25">
      <c r="A2137">
        <v>2132</v>
      </c>
      <c r="B2137" t="s">
        <v>10407</v>
      </c>
      <c r="C2137" t="s">
        <v>10408</v>
      </c>
      <c r="D2137" t="s">
        <v>10409</v>
      </c>
      <c r="E2137">
        <v>13</v>
      </c>
      <c r="F2137" t="s">
        <v>9904</v>
      </c>
      <c r="G2137" t="s">
        <v>10259</v>
      </c>
      <c r="H2137" t="s">
        <v>10260</v>
      </c>
      <c r="I2137" t="s">
        <v>10261</v>
      </c>
      <c r="J2137" t="s">
        <v>10262</v>
      </c>
      <c r="K2137" t="s">
        <v>10263</v>
      </c>
      <c r="L2137" t="s">
        <v>10255</v>
      </c>
      <c r="M2137">
        <v>1.8680289387702938E-2</v>
      </c>
      <c r="N2137" t="s">
        <v>53</v>
      </c>
      <c r="O2137" t="s">
        <v>53</v>
      </c>
      <c r="P2137" t="s">
        <v>54</v>
      </c>
      <c r="Q2137" t="s">
        <v>53</v>
      </c>
      <c r="R2137" t="s">
        <v>53</v>
      </c>
      <c r="S2137" t="s">
        <v>10406</v>
      </c>
      <c r="T2137" t="s">
        <v>10271</v>
      </c>
      <c r="U2137" t="s">
        <v>54</v>
      </c>
      <c r="V2137" t="s">
        <v>51</v>
      </c>
      <c r="W2137">
        <v>75000</v>
      </c>
      <c r="X2137" t="s">
        <v>53</v>
      </c>
      <c r="AA2137">
        <v>1</v>
      </c>
      <c r="AB2137">
        <v>1</v>
      </c>
      <c r="AC2137">
        <v>0</v>
      </c>
      <c r="AD2137">
        <v>0</v>
      </c>
      <c r="AE2137">
        <v>0</v>
      </c>
      <c r="AF2137">
        <v>0</v>
      </c>
      <c r="AG2137">
        <v>0</v>
      </c>
      <c r="AH2137">
        <v>3.4788183867931373E-2</v>
      </c>
      <c r="AI2137">
        <v>2</v>
      </c>
      <c r="AJ2137">
        <v>0</v>
      </c>
      <c r="AK2137" t="s">
        <v>54</v>
      </c>
      <c r="AL2137" t="s">
        <v>53</v>
      </c>
      <c r="AQ2137" t="s">
        <v>53</v>
      </c>
      <c r="AT2137" t="s">
        <v>9934</v>
      </c>
      <c r="AW2137" t="s">
        <v>53</v>
      </c>
      <c r="AZ2137" t="s">
        <v>54</v>
      </c>
      <c r="BA2137" t="s">
        <v>9970</v>
      </c>
    </row>
    <row r="2138" spans="1:53" x14ac:dyDescent="0.25">
      <c r="A2138">
        <v>2133</v>
      </c>
      <c r="B2138" t="s">
        <v>10410</v>
      </c>
      <c r="C2138" t="s">
        <v>10411</v>
      </c>
      <c r="D2138" t="s">
        <v>10412</v>
      </c>
      <c r="E2138">
        <v>13</v>
      </c>
      <c r="F2138" t="s">
        <v>9904</v>
      </c>
      <c r="G2138" t="s">
        <v>10259</v>
      </c>
      <c r="H2138" t="s">
        <v>10260</v>
      </c>
      <c r="I2138" t="s">
        <v>10307</v>
      </c>
      <c r="J2138" t="s">
        <v>10308</v>
      </c>
      <c r="K2138" t="s">
        <v>10309</v>
      </c>
      <c r="L2138" t="s">
        <v>10413</v>
      </c>
      <c r="M2138">
        <v>4.3689068406820297E-2</v>
      </c>
      <c r="N2138" t="s">
        <v>54</v>
      </c>
      <c r="O2138" t="s">
        <v>54</v>
      </c>
      <c r="P2138" t="s">
        <v>53</v>
      </c>
      <c r="Q2138" t="s">
        <v>53</v>
      </c>
      <c r="R2138" t="s">
        <v>53</v>
      </c>
      <c r="S2138" t="s">
        <v>10406</v>
      </c>
      <c r="T2138" t="s">
        <v>10414</v>
      </c>
      <c r="U2138" t="s">
        <v>54</v>
      </c>
      <c r="V2138" t="s">
        <v>51</v>
      </c>
      <c r="W2138">
        <v>300000</v>
      </c>
      <c r="X2138" t="s">
        <v>53</v>
      </c>
      <c r="AA2138">
        <v>0</v>
      </c>
      <c r="AB2138">
        <v>0</v>
      </c>
      <c r="AC2138">
        <v>0</v>
      </c>
      <c r="AD2138">
        <v>0</v>
      </c>
      <c r="AE2138">
        <v>0</v>
      </c>
      <c r="AF2138">
        <v>0</v>
      </c>
      <c r="AG2138">
        <v>0</v>
      </c>
      <c r="AH2138">
        <v>4.9897907301783562E-3</v>
      </c>
      <c r="AI2138">
        <v>1</v>
      </c>
      <c r="AJ2138">
        <v>8.9495845139026642E-2</v>
      </c>
      <c r="AK2138" t="s">
        <v>54</v>
      </c>
      <c r="AL2138" t="s">
        <v>53</v>
      </c>
      <c r="AQ2138" t="s">
        <v>53</v>
      </c>
      <c r="AT2138" t="s">
        <v>9934</v>
      </c>
      <c r="AW2138" t="s">
        <v>54</v>
      </c>
      <c r="AZ2138" t="s">
        <v>54</v>
      </c>
      <c r="BA2138" t="s">
        <v>9970</v>
      </c>
    </row>
    <row r="2139" spans="1:53" x14ac:dyDescent="0.25">
      <c r="A2139">
        <v>2134</v>
      </c>
      <c r="B2139" t="s">
        <v>10415</v>
      </c>
      <c r="C2139" t="s">
        <v>10416</v>
      </c>
      <c r="D2139" t="s">
        <v>10417</v>
      </c>
      <c r="E2139">
        <v>13</v>
      </c>
      <c r="F2139" t="s">
        <v>9904</v>
      </c>
      <c r="G2139" t="s">
        <v>10259</v>
      </c>
      <c r="H2139" t="s">
        <v>10260</v>
      </c>
      <c r="I2139" t="s">
        <v>10418</v>
      </c>
      <c r="J2139" t="s">
        <v>10419</v>
      </c>
      <c r="K2139" t="s">
        <v>10420</v>
      </c>
      <c r="L2139" t="s">
        <v>10255</v>
      </c>
      <c r="M2139">
        <v>1.0403221473097799E-2</v>
      </c>
      <c r="N2139" t="s">
        <v>54</v>
      </c>
      <c r="O2139" t="s">
        <v>54</v>
      </c>
      <c r="P2139" t="s">
        <v>53</v>
      </c>
      <c r="Q2139" t="s">
        <v>53</v>
      </c>
      <c r="R2139" t="s">
        <v>53</v>
      </c>
      <c r="S2139" t="s">
        <v>10406</v>
      </c>
      <c r="T2139" t="s">
        <v>10421</v>
      </c>
      <c r="U2139" t="s">
        <v>54</v>
      </c>
      <c r="V2139" t="s">
        <v>51</v>
      </c>
      <c r="W2139">
        <v>300000</v>
      </c>
      <c r="X2139" t="s">
        <v>53</v>
      </c>
      <c r="AA2139">
        <v>0</v>
      </c>
      <c r="AB2139">
        <v>0</v>
      </c>
      <c r="AC2139">
        <v>0</v>
      </c>
      <c r="AD2139">
        <v>0</v>
      </c>
      <c r="AE2139">
        <v>0</v>
      </c>
      <c r="AF2139">
        <v>0</v>
      </c>
      <c r="AG2139">
        <v>0</v>
      </c>
      <c r="AH2139">
        <v>0.13283999264240259</v>
      </c>
      <c r="AI2139">
        <v>2</v>
      </c>
      <c r="AJ2139">
        <v>0</v>
      </c>
      <c r="AK2139" t="s">
        <v>54</v>
      </c>
      <c r="AL2139" t="s">
        <v>53</v>
      </c>
      <c r="AQ2139" t="s">
        <v>53</v>
      </c>
      <c r="AT2139" t="s">
        <v>9934</v>
      </c>
      <c r="AW2139" t="s">
        <v>54</v>
      </c>
      <c r="AZ2139" t="s">
        <v>54</v>
      </c>
      <c r="BA2139" t="s">
        <v>9970</v>
      </c>
    </row>
    <row r="2140" spans="1:53" x14ac:dyDescent="0.25">
      <c r="A2140">
        <v>2135</v>
      </c>
      <c r="B2140" t="s">
        <v>10422</v>
      </c>
      <c r="C2140" t="s">
        <v>10423</v>
      </c>
      <c r="D2140" t="s">
        <v>10424</v>
      </c>
      <c r="E2140">
        <v>13</v>
      </c>
      <c r="F2140" t="s">
        <v>9904</v>
      </c>
      <c r="G2140" t="s">
        <v>10259</v>
      </c>
      <c r="H2140" t="s">
        <v>10260</v>
      </c>
      <c r="I2140" t="s">
        <v>10307</v>
      </c>
      <c r="J2140" t="s">
        <v>10308</v>
      </c>
      <c r="K2140" t="s">
        <v>10309</v>
      </c>
      <c r="L2140" t="s">
        <v>10255</v>
      </c>
      <c r="M2140">
        <v>1.0007615201175211E-3</v>
      </c>
      <c r="N2140" t="s">
        <v>54</v>
      </c>
      <c r="O2140" t="s">
        <v>54</v>
      </c>
      <c r="P2140" t="s">
        <v>53</v>
      </c>
      <c r="Q2140" t="s">
        <v>53</v>
      </c>
      <c r="R2140" t="s">
        <v>53</v>
      </c>
      <c r="S2140" t="s">
        <v>10406</v>
      </c>
      <c r="T2140" t="s">
        <v>10414</v>
      </c>
      <c r="U2140" t="s">
        <v>54</v>
      </c>
      <c r="V2140" t="s">
        <v>51</v>
      </c>
      <c r="W2140">
        <v>225000</v>
      </c>
      <c r="X2140" t="s">
        <v>53</v>
      </c>
      <c r="AA2140">
        <v>0</v>
      </c>
      <c r="AB2140">
        <v>0</v>
      </c>
      <c r="AC2140">
        <v>0</v>
      </c>
      <c r="AD2140">
        <v>0</v>
      </c>
      <c r="AE2140">
        <v>0</v>
      </c>
      <c r="AF2140">
        <v>0</v>
      </c>
      <c r="AG2140">
        <v>0</v>
      </c>
      <c r="AH2140">
        <v>1.4709999784827231E-2</v>
      </c>
      <c r="AI2140">
        <v>0</v>
      </c>
      <c r="AJ2140">
        <v>0</v>
      </c>
      <c r="AK2140" t="s">
        <v>54</v>
      </c>
      <c r="AL2140" t="s">
        <v>53</v>
      </c>
      <c r="AQ2140" t="s">
        <v>53</v>
      </c>
      <c r="AT2140" t="s">
        <v>9934</v>
      </c>
      <c r="AW2140" t="s">
        <v>54</v>
      </c>
      <c r="AZ2140" t="s">
        <v>54</v>
      </c>
      <c r="BA2140" t="s">
        <v>9970</v>
      </c>
    </row>
    <row r="2141" spans="1:53" x14ac:dyDescent="0.25">
      <c r="A2141">
        <v>2136</v>
      </c>
      <c r="B2141" t="s">
        <v>10425</v>
      </c>
      <c r="C2141" t="s">
        <v>10426</v>
      </c>
      <c r="D2141" t="s">
        <v>10427</v>
      </c>
      <c r="E2141">
        <v>13</v>
      </c>
      <c r="F2141" t="s">
        <v>9904</v>
      </c>
      <c r="G2141" t="s">
        <v>10259</v>
      </c>
      <c r="H2141" t="s">
        <v>10260</v>
      </c>
      <c r="I2141" t="s">
        <v>10261</v>
      </c>
      <c r="J2141" t="s">
        <v>10262</v>
      </c>
      <c r="K2141" t="s">
        <v>10263</v>
      </c>
      <c r="L2141" t="s">
        <v>10255</v>
      </c>
      <c r="M2141">
        <v>7.7607571147382259E-3</v>
      </c>
      <c r="N2141" t="s">
        <v>54</v>
      </c>
      <c r="O2141" t="s">
        <v>54</v>
      </c>
      <c r="P2141" t="s">
        <v>53</v>
      </c>
      <c r="Q2141" t="s">
        <v>53</v>
      </c>
      <c r="R2141" t="s">
        <v>53</v>
      </c>
      <c r="S2141" t="s">
        <v>10406</v>
      </c>
      <c r="T2141" t="s">
        <v>10414</v>
      </c>
      <c r="U2141" t="s">
        <v>54</v>
      </c>
      <c r="V2141" t="s">
        <v>51</v>
      </c>
      <c r="W2141">
        <v>150000</v>
      </c>
      <c r="X2141" t="s">
        <v>53</v>
      </c>
      <c r="AA2141">
        <v>0</v>
      </c>
      <c r="AB2141">
        <v>0</v>
      </c>
      <c r="AC2141">
        <v>0</v>
      </c>
      <c r="AD2141">
        <v>0</v>
      </c>
      <c r="AE2141">
        <v>0</v>
      </c>
      <c r="AF2141">
        <v>0</v>
      </c>
      <c r="AG2141">
        <v>0</v>
      </c>
      <c r="AH2141">
        <v>0</v>
      </c>
      <c r="AI2141">
        <v>0</v>
      </c>
      <c r="AJ2141">
        <v>0</v>
      </c>
      <c r="AK2141" t="s">
        <v>54</v>
      </c>
      <c r="AL2141" t="s">
        <v>53</v>
      </c>
      <c r="AQ2141" t="s">
        <v>53</v>
      </c>
      <c r="AT2141" t="s">
        <v>9934</v>
      </c>
      <c r="AW2141" t="s">
        <v>54</v>
      </c>
      <c r="AZ2141" t="s">
        <v>54</v>
      </c>
      <c r="BA2141" t="s">
        <v>9970</v>
      </c>
    </row>
    <row r="2142" spans="1:53" x14ac:dyDescent="0.25">
      <c r="A2142">
        <v>2137</v>
      </c>
      <c r="B2142" t="s">
        <v>10428</v>
      </c>
      <c r="C2142" t="s">
        <v>10429</v>
      </c>
      <c r="D2142" t="s">
        <v>10430</v>
      </c>
      <c r="E2142">
        <v>13</v>
      </c>
      <c r="F2142" t="s">
        <v>9904</v>
      </c>
      <c r="G2142" t="s">
        <v>10259</v>
      </c>
      <c r="H2142" t="s">
        <v>10260</v>
      </c>
      <c r="I2142" t="s">
        <v>10261</v>
      </c>
      <c r="J2142" t="s">
        <v>10262</v>
      </c>
      <c r="K2142" t="s">
        <v>10263</v>
      </c>
      <c r="L2142" t="s">
        <v>10255</v>
      </c>
      <c r="M2142">
        <v>1.495992671698332E-2</v>
      </c>
      <c r="N2142" t="s">
        <v>54</v>
      </c>
      <c r="O2142" t="s">
        <v>54</v>
      </c>
      <c r="P2142" t="s">
        <v>53</v>
      </c>
      <c r="Q2142" t="s">
        <v>53</v>
      </c>
      <c r="R2142" t="s">
        <v>53</v>
      </c>
      <c r="S2142" t="s">
        <v>10406</v>
      </c>
      <c r="T2142" t="s">
        <v>10414</v>
      </c>
      <c r="U2142" t="s">
        <v>54</v>
      </c>
      <c r="V2142" t="s">
        <v>51</v>
      </c>
      <c r="W2142">
        <v>300000</v>
      </c>
      <c r="X2142" t="s">
        <v>53</v>
      </c>
      <c r="AA2142">
        <v>0</v>
      </c>
      <c r="AB2142">
        <v>0</v>
      </c>
      <c r="AC2142">
        <v>0</v>
      </c>
      <c r="AD2142">
        <v>0</v>
      </c>
      <c r="AE2142">
        <v>0</v>
      </c>
      <c r="AF2142">
        <v>0</v>
      </c>
      <c r="AG2142">
        <v>0</v>
      </c>
      <c r="AH2142">
        <v>1.8530463799834251E-2</v>
      </c>
      <c r="AI2142">
        <v>1</v>
      </c>
      <c r="AJ2142">
        <v>0.19834247231483459</v>
      </c>
      <c r="AK2142" t="s">
        <v>54</v>
      </c>
      <c r="AL2142" t="s">
        <v>53</v>
      </c>
      <c r="AQ2142" t="s">
        <v>53</v>
      </c>
      <c r="AT2142" t="s">
        <v>9934</v>
      </c>
      <c r="AW2142" t="s">
        <v>54</v>
      </c>
      <c r="AZ2142" t="s">
        <v>54</v>
      </c>
      <c r="BA2142" t="s">
        <v>9970</v>
      </c>
    </row>
    <row r="2143" spans="1:53" x14ac:dyDescent="0.25">
      <c r="A2143">
        <v>2138</v>
      </c>
      <c r="B2143" t="s">
        <v>10431</v>
      </c>
      <c r="C2143" t="s">
        <v>10432</v>
      </c>
      <c r="D2143" t="s">
        <v>10433</v>
      </c>
      <c r="E2143">
        <v>13</v>
      </c>
      <c r="F2143" t="s">
        <v>9904</v>
      </c>
      <c r="G2143" t="s">
        <v>10259</v>
      </c>
      <c r="H2143" t="s">
        <v>10260</v>
      </c>
      <c r="I2143" t="s">
        <v>10261</v>
      </c>
      <c r="J2143" t="s">
        <v>10262</v>
      </c>
      <c r="K2143" t="s">
        <v>10263</v>
      </c>
      <c r="L2143" t="s">
        <v>10255</v>
      </c>
      <c r="M2143">
        <v>1.264793705195189E-2</v>
      </c>
      <c r="N2143" t="s">
        <v>54</v>
      </c>
      <c r="O2143" t="s">
        <v>53</v>
      </c>
      <c r="P2143" t="s">
        <v>53</v>
      </c>
      <c r="Q2143" t="s">
        <v>53</v>
      </c>
      <c r="R2143" t="s">
        <v>53</v>
      </c>
      <c r="S2143" t="s">
        <v>10406</v>
      </c>
      <c r="T2143" t="s">
        <v>10414</v>
      </c>
      <c r="U2143" t="s">
        <v>54</v>
      </c>
      <c r="V2143" t="s">
        <v>51</v>
      </c>
      <c r="W2143">
        <v>150000</v>
      </c>
      <c r="X2143" t="s">
        <v>53</v>
      </c>
      <c r="AA2143">
        <v>0</v>
      </c>
      <c r="AB2143">
        <v>0</v>
      </c>
      <c r="AC2143">
        <v>0</v>
      </c>
      <c r="AD2143">
        <v>0</v>
      </c>
      <c r="AE2143">
        <v>0</v>
      </c>
      <c r="AF2143">
        <v>0</v>
      </c>
      <c r="AG2143">
        <v>0</v>
      </c>
      <c r="AH2143">
        <v>2.350999973714352E-2</v>
      </c>
      <c r="AI2143">
        <v>1</v>
      </c>
      <c r="AJ2143">
        <v>0</v>
      </c>
      <c r="AK2143" t="s">
        <v>54</v>
      </c>
      <c r="AL2143" t="s">
        <v>53</v>
      </c>
      <c r="AQ2143" t="s">
        <v>53</v>
      </c>
      <c r="AT2143" t="s">
        <v>9934</v>
      </c>
      <c r="AW2143" t="s">
        <v>54</v>
      </c>
      <c r="AZ2143" t="s">
        <v>54</v>
      </c>
      <c r="BA2143" t="s">
        <v>9970</v>
      </c>
    </row>
    <row r="2144" spans="1:53" x14ac:dyDescent="0.25">
      <c r="A2144">
        <v>2139</v>
      </c>
      <c r="B2144" t="s">
        <v>10434</v>
      </c>
      <c r="C2144" t="s">
        <v>10435</v>
      </c>
      <c r="D2144" t="s">
        <v>10436</v>
      </c>
      <c r="E2144">
        <v>13</v>
      </c>
      <c r="F2144" t="s">
        <v>9904</v>
      </c>
      <c r="G2144" t="s">
        <v>10259</v>
      </c>
      <c r="H2144" t="s">
        <v>10260</v>
      </c>
      <c r="I2144" t="s">
        <v>10261</v>
      </c>
      <c r="J2144" t="s">
        <v>10262</v>
      </c>
      <c r="K2144" t="s">
        <v>10263</v>
      </c>
      <c r="L2144" t="s">
        <v>10255</v>
      </c>
      <c r="M2144">
        <v>8.1333350390195847E-3</v>
      </c>
      <c r="N2144" t="s">
        <v>54</v>
      </c>
      <c r="O2144" t="s">
        <v>54</v>
      </c>
      <c r="P2144" t="s">
        <v>53</v>
      </c>
      <c r="Q2144" t="s">
        <v>53</v>
      </c>
      <c r="R2144" t="s">
        <v>53</v>
      </c>
      <c r="S2144" t="s">
        <v>10406</v>
      </c>
      <c r="T2144" t="s">
        <v>10414</v>
      </c>
      <c r="U2144" t="s">
        <v>54</v>
      </c>
      <c r="V2144" t="s">
        <v>51</v>
      </c>
      <c r="W2144">
        <v>300000</v>
      </c>
      <c r="X2144" t="s">
        <v>53</v>
      </c>
      <c r="AA2144">
        <v>0</v>
      </c>
      <c r="AB2144">
        <v>0</v>
      </c>
      <c r="AC2144">
        <v>0</v>
      </c>
      <c r="AD2144">
        <v>0</v>
      </c>
      <c r="AE2144">
        <v>0</v>
      </c>
      <c r="AF2144">
        <v>0</v>
      </c>
      <c r="AG2144">
        <v>0</v>
      </c>
      <c r="AH2144">
        <v>1.5308805741369721E-2</v>
      </c>
      <c r="AI2144">
        <v>1</v>
      </c>
      <c r="AJ2144">
        <v>0.21307460963726041</v>
      </c>
      <c r="AK2144" t="s">
        <v>54</v>
      </c>
      <c r="AL2144" t="s">
        <v>53</v>
      </c>
      <c r="AQ2144" t="s">
        <v>53</v>
      </c>
      <c r="AT2144" t="s">
        <v>9934</v>
      </c>
      <c r="AW2144" t="s">
        <v>54</v>
      </c>
      <c r="AZ2144" t="s">
        <v>54</v>
      </c>
      <c r="BA2144" t="s">
        <v>9970</v>
      </c>
    </row>
    <row r="2145" spans="1:53" x14ac:dyDescent="0.25">
      <c r="A2145">
        <v>2140</v>
      </c>
      <c r="B2145" t="s">
        <v>10437</v>
      </c>
      <c r="C2145" t="s">
        <v>10438</v>
      </c>
      <c r="D2145" t="s">
        <v>10439</v>
      </c>
      <c r="E2145">
        <v>13</v>
      </c>
      <c r="F2145" t="s">
        <v>9904</v>
      </c>
      <c r="G2145" t="s">
        <v>10259</v>
      </c>
      <c r="H2145" t="s">
        <v>10260</v>
      </c>
      <c r="I2145" t="s">
        <v>10307</v>
      </c>
      <c r="J2145" t="s">
        <v>10308</v>
      </c>
      <c r="K2145" t="s">
        <v>10309</v>
      </c>
      <c r="L2145" t="s">
        <v>10255</v>
      </c>
      <c r="M2145">
        <v>4.1855167597532272E-2</v>
      </c>
      <c r="N2145" t="s">
        <v>54</v>
      </c>
      <c r="O2145" t="s">
        <v>54</v>
      </c>
      <c r="P2145" t="s">
        <v>53</v>
      </c>
      <c r="Q2145" t="s">
        <v>53</v>
      </c>
      <c r="R2145" t="s">
        <v>53</v>
      </c>
      <c r="S2145" t="s">
        <v>10406</v>
      </c>
      <c r="T2145" t="s">
        <v>10414</v>
      </c>
      <c r="U2145" t="s">
        <v>54</v>
      </c>
      <c r="V2145" t="s">
        <v>51</v>
      </c>
      <c r="W2145">
        <v>225000</v>
      </c>
      <c r="X2145" t="s">
        <v>53</v>
      </c>
      <c r="AA2145">
        <v>0</v>
      </c>
      <c r="AB2145">
        <v>0</v>
      </c>
      <c r="AC2145">
        <v>0</v>
      </c>
      <c r="AD2145">
        <v>0</v>
      </c>
      <c r="AE2145">
        <v>0</v>
      </c>
      <c r="AF2145">
        <v>0</v>
      </c>
      <c r="AG2145">
        <v>0</v>
      </c>
      <c r="AH2145">
        <v>2.3668399080634121E-2</v>
      </c>
      <c r="AI2145">
        <v>2</v>
      </c>
      <c r="AJ2145">
        <v>0.34917458891868591</v>
      </c>
      <c r="AK2145" t="s">
        <v>54</v>
      </c>
      <c r="AL2145" t="s">
        <v>53</v>
      </c>
      <c r="AQ2145" t="s">
        <v>53</v>
      </c>
      <c r="AT2145" t="s">
        <v>9934</v>
      </c>
      <c r="AW2145" t="s">
        <v>54</v>
      </c>
      <c r="AZ2145" t="s">
        <v>54</v>
      </c>
      <c r="BA2145" t="s">
        <v>9970</v>
      </c>
    </row>
    <row r="2146" spans="1:53" x14ac:dyDescent="0.25">
      <c r="A2146">
        <v>2141</v>
      </c>
      <c r="B2146" t="s">
        <v>10440</v>
      </c>
      <c r="C2146" t="s">
        <v>10441</v>
      </c>
      <c r="D2146" t="s">
        <v>10442</v>
      </c>
      <c r="E2146">
        <v>13</v>
      </c>
      <c r="F2146" t="s">
        <v>9904</v>
      </c>
      <c r="G2146" t="s">
        <v>10289</v>
      </c>
      <c r="H2146" t="s">
        <v>10290</v>
      </c>
      <c r="I2146" t="s">
        <v>10291</v>
      </c>
      <c r="J2146" t="s">
        <v>10292</v>
      </c>
      <c r="K2146" t="s">
        <v>10293</v>
      </c>
      <c r="L2146" t="s">
        <v>10255</v>
      </c>
      <c r="M2146">
        <v>4.5869778841733932E-3</v>
      </c>
      <c r="N2146" t="s">
        <v>53</v>
      </c>
      <c r="O2146" t="s">
        <v>53</v>
      </c>
      <c r="P2146" t="s">
        <v>53</v>
      </c>
      <c r="Q2146" t="s">
        <v>53</v>
      </c>
      <c r="R2146" t="s">
        <v>53</v>
      </c>
      <c r="S2146" t="s">
        <v>10443</v>
      </c>
      <c r="T2146" t="s">
        <v>10444</v>
      </c>
      <c r="U2146" t="s">
        <v>54</v>
      </c>
      <c r="V2146" t="s">
        <v>51</v>
      </c>
      <c r="W2146">
        <v>11000</v>
      </c>
      <c r="X2146" t="s">
        <v>53</v>
      </c>
      <c r="AA2146">
        <v>0</v>
      </c>
      <c r="AB2146">
        <v>0</v>
      </c>
      <c r="AC2146">
        <v>0</v>
      </c>
      <c r="AD2146">
        <v>0</v>
      </c>
      <c r="AE2146">
        <v>0</v>
      </c>
      <c r="AF2146">
        <v>0</v>
      </c>
      <c r="AG2146">
        <v>0</v>
      </c>
      <c r="AH2146">
        <v>0</v>
      </c>
      <c r="AI2146">
        <v>0</v>
      </c>
      <c r="AJ2146">
        <v>0</v>
      </c>
      <c r="AK2146" t="s">
        <v>54</v>
      </c>
      <c r="AL2146" t="s">
        <v>53</v>
      </c>
      <c r="AQ2146" t="s">
        <v>53</v>
      </c>
      <c r="AT2146" t="s">
        <v>9934</v>
      </c>
      <c r="AW2146" t="s">
        <v>53</v>
      </c>
      <c r="AZ2146" t="s">
        <v>54</v>
      </c>
      <c r="BA2146" t="s">
        <v>10296</v>
      </c>
    </row>
    <row r="2147" spans="1:53" x14ac:dyDescent="0.25">
      <c r="A2147">
        <v>2142</v>
      </c>
      <c r="B2147" t="s">
        <v>10445</v>
      </c>
      <c r="C2147" t="s">
        <v>10446</v>
      </c>
      <c r="D2147" t="s">
        <v>10447</v>
      </c>
      <c r="E2147">
        <v>13</v>
      </c>
      <c r="F2147" t="s">
        <v>9904</v>
      </c>
      <c r="G2147" t="s">
        <v>10289</v>
      </c>
      <c r="H2147" t="s">
        <v>10290</v>
      </c>
      <c r="I2147" t="s">
        <v>10291</v>
      </c>
      <c r="J2147" t="s">
        <v>10292</v>
      </c>
      <c r="K2147" t="s">
        <v>10293</v>
      </c>
      <c r="L2147" t="s">
        <v>10255</v>
      </c>
      <c r="M2147">
        <v>5.2516660653054714E-3</v>
      </c>
      <c r="N2147" t="s">
        <v>54</v>
      </c>
      <c r="O2147" t="s">
        <v>53</v>
      </c>
      <c r="P2147" t="s">
        <v>54</v>
      </c>
      <c r="Q2147" t="s">
        <v>53</v>
      </c>
      <c r="R2147" t="s">
        <v>53</v>
      </c>
      <c r="S2147" t="s">
        <v>10443</v>
      </c>
      <c r="T2147" t="s">
        <v>10448</v>
      </c>
      <c r="U2147" t="s">
        <v>54</v>
      </c>
      <c r="V2147" t="s">
        <v>51</v>
      </c>
      <c r="W2147">
        <v>7000</v>
      </c>
      <c r="X2147" t="s">
        <v>53</v>
      </c>
      <c r="AA2147">
        <v>1</v>
      </c>
      <c r="AB2147">
        <v>1</v>
      </c>
      <c r="AC2147">
        <v>4</v>
      </c>
      <c r="AD2147">
        <v>1</v>
      </c>
      <c r="AE2147">
        <v>4</v>
      </c>
      <c r="AF2147">
        <v>0</v>
      </c>
      <c r="AG2147">
        <v>0</v>
      </c>
      <c r="AH2147">
        <v>7.2400003671646118E-2</v>
      </c>
      <c r="AI2147">
        <v>2</v>
      </c>
      <c r="AJ2147">
        <v>0</v>
      </c>
      <c r="AK2147" t="s">
        <v>54</v>
      </c>
      <c r="AL2147" t="s">
        <v>53</v>
      </c>
      <c r="AQ2147" t="s">
        <v>53</v>
      </c>
      <c r="AT2147" t="s">
        <v>9934</v>
      </c>
      <c r="AW2147" t="s">
        <v>8390</v>
      </c>
      <c r="AZ2147" t="s">
        <v>54</v>
      </c>
      <c r="BA2147" t="s">
        <v>10296</v>
      </c>
    </row>
    <row r="2148" spans="1:53" x14ac:dyDescent="0.25">
      <c r="A2148">
        <v>2143</v>
      </c>
      <c r="B2148" t="s">
        <v>10449</v>
      </c>
      <c r="C2148" t="s">
        <v>10450</v>
      </c>
      <c r="D2148" t="s">
        <v>10451</v>
      </c>
      <c r="E2148">
        <v>13</v>
      </c>
      <c r="F2148" t="s">
        <v>9904</v>
      </c>
      <c r="G2148" t="s">
        <v>10289</v>
      </c>
      <c r="H2148" t="s">
        <v>10290</v>
      </c>
      <c r="I2148" t="s">
        <v>10291</v>
      </c>
      <c r="J2148" t="s">
        <v>10292</v>
      </c>
      <c r="K2148" t="s">
        <v>10293</v>
      </c>
      <c r="L2148" t="s">
        <v>10255</v>
      </c>
      <c r="M2148">
        <v>7.2591579519212246E-3</v>
      </c>
      <c r="N2148" t="s">
        <v>53</v>
      </c>
      <c r="O2148" t="s">
        <v>53</v>
      </c>
      <c r="P2148" t="s">
        <v>53</v>
      </c>
      <c r="Q2148" t="s">
        <v>53</v>
      </c>
      <c r="R2148" t="s">
        <v>53</v>
      </c>
      <c r="S2148" t="s">
        <v>10443</v>
      </c>
      <c r="T2148" t="s">
        <v>10452</v>
      </c>
      <c r="U2148" t="s">
        <v>54</v>
      </c>
      <c r="V2148" t="s">
        <v>51</v>
      </c>
      <c r="W2148">
        <v>4000</v>
      </c>
      <c r="X2148" t="s">
        <v>53</v>
      </c>
      <c r="AA2148">
        <v>0</v>
      </c>
      <c r="AB2148">
        <v>0</v>
      </c>
      <c r="AC2148">
        <v>0</v>
      </c>
      <c r="AD2148">
        <v>0</v>
      </c>
      <c r="AE2148">
        <v>0</v>
      </c>
      <c r="AF2148">
        <v>0</v>
      </c>
      <c r="AG2148">
        <v>0</v>
      </c>
      <c r="AH2148">
        <v>0</v>
      </c>
      <c r="AI2148">
        <v>0</v>
      </c>
      <c r="AJ2148">
        <v>0</v>
      </c>
      <c r="AK2148" t="s">
        <v>54</v>
      </c>
      <c r="AL2148" t="s">
        <v>53</v>
      </c>
      <c r="AQ2148" t="s">
        <v>53</v>
      </c>
      <c r="AT2148" t="s">
        <v>9934</v>
      </c>
      <c r="AW2148" t="s">
        <v>53</v>
      </c>
      <c r="AZ2148" t="s">
        <v>54</v>
      </c>
      <c r="BA2148" t="s">
        <v>10296</v>
      </c>
    </row>
    <row r="2149" spans="1:53" x14ac:dyDescent="0.25">
      <c r="A2149">
        <v>2144</v>
      </c>
      <c r="B2149" t="s">
        <v>10453</v>
      </c>
      <c r="C2149" t="s">
        <v>10454</v>
      </c>
      <c r="D2149" t="s">
        <v>10455</v>
      </c>
      <c r="E2149">
        <v>13</v>
      </c>
      <c r="F2149" t="s">
        <v>9904</v>
      </c>
      <c r="G2149" t="s">
        <v>10289</v>
      </c>
      <c r="H2149" t="s">
        <v>10290</v>
      </c>
      <c r="I2149" t="s">
        <v>10291</v>
      </c>
      <c r="J2149" t="s">
        <v>10292</v>
      </c>
      <c r="K2149" t="s">
        <v>10293</v>
      </c>
      <c r="L2149" t="s">
        <v>10255</v>
      </c>
      <c r="M2149">
        <v>1.235763635486364E-2</v>
      </c>
      <c r="N2149" t="s">
        <v>53</v>
      </c>
      <c r="O2149" t="s">
        <v>53</v>
      </c>
      <c r="P2149" t="s">
        <v>53</v>
      </c>
      <c r="Q2149" t="s">
        <v>53</v>
      </c>
      <c r="R2149" t="s">
        <v>53</v>
      </c>
      <c r="S2149" t="s">
        <v>10443</v>
      </c>
      <c r="T2149" t="s">
        <v>10452</v>
      </c>
      <c r="U2149" t="s">
        <v>54</v>
      </c>
      <c r="V2149" t="s">
        <v>51</v>
      </c>
      <c r="W2149">
        <v>11000</v>
      </c>
      <c r="X2149" t="s">
        <v>53</v>
      </c>
      <c r="AA2149">
        <v>0</v>
      </c>
      <c r="AB2149">
        <v>0</v>
      </c>
      <c r="AC2149">
        <v>0</v>
      </c>
      <c r="AD2149">
        <v>0</v>
      </c>
      <c r="AE2149">
        <v>0</v>
      </c>
      <c r="AF2149">
        <v>0</v>
      </c>
      <c r="AG2149">
        <v>0</v>
      </c>
      <c r="AH2149">
        <v>0</v>
      </c>
      <c r="AI2149">
        <v>0</v>
      </c>
      <c r="AJ2149">
        <v>0</v>
      </c>
      <c r="AK2149" t="s">
        <v>54</v>
      </c>
      <c r="AL2149" t="s">
        <v>53</v>
      </c>
      <c r="AQ2149" t="s">
        <v>53</v>
      </c>
      <c r="AT2149" t="s">
        <v>9934</v>
      </c>
      <c r="AW2149" t="s">
        <v>53</v>
      </c>
      <c r="AZ2149" t="s">
        <v>54</v>
      </c>
      <c r="BA2149" t="s">
        <v>10296</v>
      </c>
    </row>
    <row r="2150" spans="1:53" x14ac:dyDescent="0.25">
      <c r="A2150">
        <v>2145</v>
      </c>
      <c r="B2150" t="s">
        <v>10456</v>
      </c>
      <c r="C2150" t="s">
        <v>10457</v>
      </c>
      <c r="D2150" t="s">
        <v>10458</v>
      </c>
      <c r="E2150">
        <v>13</v>
      </c>
      <c r="F2150" t="s">
        <v>9904</v>
      </c>
      <c r="G2150" t="s">
        <v>10289</v>
      </c>
      <c r="H2150" t="s">
        <v>10290</v>
      </c>
      <c r="I2150" t="s">
        <v>10291</v>
      </c>
      <c r="J2150" t="s">
        <v>10292</v>
      </c>
      <c r="K2150" t="s">
        <v>10293</v>
      </c>
      <c r="L2150" t="s">
        <v>10255</v>
      </c>
      <c r="M2150">
        <v>2.345743123441935E-3</v>
      </c>
      <c r="N2150" t="s">
        <v>53</v>
      </c>
      <c r="O2150" t="s">
        <v>53</v>
      </c>
      <c r="P2150" t="s">
        <v>53</v>
      </c>
      <c r="Q2150" t="s">
        <v>53</v>
      </c>
      <c r="R2150" t="s">
        <v>53</v>
      </c>
      <c r="S2150" t="s">
        <v>10443</v>
      </c>
      <c r="T2150" t="s">
        <v>10452</v>
      </c>
      <c r="U2150" t="s">
        <v>54</v>
      </c>
      <c r="V2150" t="s">
        <v>51</v>
      </c>
      <c r="W2150">
        <v>12000</v>
      </c>
      <c r="X2150" t="s">
        <v>53</v>
      </c>
      <c r="AA2150">
        <v>0</v>
      </c>
      <c r="AB2150">
        <v>0</v>
      </c>
      <c r="AC2150">
        <v>0</v>
      </c>
      <c r="AD2150">
        <v>0</v>
      </c>
      <c r="AE2150">
        <v>0</v>
      </c>
      <c r="AF2150">
        <v>0</v>
      </c>
      <c r="AG2150">
        <v>0</v>
      </c>
      <c r="AH2150">
        <v>0</v>
      </c>
      <c r="AI2150">
        <v>0</v>
      </c>
      <c r="AJ2150">
        <v>0</v>
      </c>
      <c r="AK2150" t="s">
        <v>54</v>
      </c>
      <c r="AL2150" t="s">
        <v>53</v>
      </c>
      <c r="AQ2150" t="s">
        <v>53</v>
      </c>
      <c r="AT2150" t="s">
        <v>9934</v>
      </c>
      <c r="AW2150" t="s">
        <v>53</v>
      </c>
      <c r="AZ2150" t="s">
        <v>54</v>
      </c>
      <c r="BA2150" t="s">
        <v>10296</v>
      </c>
    </row>
    <row r="2151" spans="1:53" x14ac:dyDescent="0.25">
      <c r="A2151">
        <v>2146</v>
      </c>
      <c r="B2151" t="s">
        <v>10459</v>
      </c>
      <c r="C2151" t="s">
        <v>10460</v>
      </c>
      <c r="D2151" t="s">
        <v>10461</v>
      </c>
      <c r="E2151">
        <v>13</v>
      </c>
      <c r="F2151" t="s">
        <v>9904</v>
      </c>
      <c r="G2151" t="s">
        <v>10289</v>
      </c>
      <c r="H2151" t="s">
        <v>10290</v>
      </c>
      <c r="I2151" t="s">
        <v>10291</v>
      </c>
      <c r="J2151" t="s">
        <v>10292</v>
      </c>
      <c r="K2151" t="s">
        <v>10293</v>
      </c>
      <c r="L2151" t="s">
        <v>10255</v>
      </c>
      <c r="M2151">
        <v>4.0398994460701942E-3</v>
      </c>
      <c r="N2151" t="s">
        <v>53</v>
      </c>
      <c r="O2151" t="s">
        <v>54</v>
      </c>
      <c r="P2151" t="s">
        <v>53</v>
      </c>
      <c r="Q2151" t="s">
        <v>53</v>
      </c>
      <c r="R2151" t="s">
        <v>53</v>
      </c>
      <c r="S2151" t="s">
        <v>10443</v>
      </c>
      <c r="T2151" t="s">
        <v>10452</v>
      </c>
      <c r="U2151" t="s">
        <v>54</v>
      </c>
      <c r="V2151" t="s">
        <v>51</v>
      </c>
      <c r="W2151">
        <v>44000</v>
      </c>
      <c r="X2151" t="s">
        <v>53</v>
      </c>
      <c r="AA2151">
        <v>5</v>
      </c>
      <c r="AB2151">
        <v>5</v>
      </c>
      <c r="AC2151">
        <v>5</v>
      </c>
      <c r="AD2151">
        <v>15</v>
      </c>
      <c r="AE2151">
        <v>15</v>
      </c>
      <c r="AF2151">
        <v>0</v>
      </c>
      <c r="AG2151">
        <v>0</v>
      </c>
      <c r="AH2151">
        <v>0.11037275940179821</v>
      </c>
      <c r="AI2151">
        <v>3</v>
      </c>
      <c r="AJ2151">
        <v>0</v>
      </c>
      <c r="AK2151" t="s">
        <v>54</v>
      </c>
      <c r="AL2151" t="s">
        <v>53</v>
      </c>
      <c r="AQ2151" t="s">
        <v>53</v>
      </c>
      <c r="AT2151" t="s">
        <v>9934</v>
      </c>
      <c r="AW2151" t="s">
        <v>54</v>
      </c>
      <c r="AZ2151" t="s">
        <v>54</v>
      </c>
      <c r="BA2151" t="s">
        <v>10296</v>
      </c>
    </row>
    <row r="2152" spans="1:53" x14ac:dyDescent="0.25">
      <c r="A2152">
        <v>2147</v>
      </c>
      <c r="B2152" t="s">
        <v>10462</v>
      </c>
      <c r="C2152" t="s">
        <v>10463</v>
      </c>
      <c r="D2152" t="s">
        <v>10464</v>
      </c>
      <c r="E2152">
        <v>13</v>
      </c>
      <c r="F2152" t="s">
        <v>9904</v>
      </c>
      <c r="G2152" t="s">
        <v>10289</v>
      </c>
      <c r="H2152" t="s">
        <v>10290</v>
      </c>
      <c r="I2152" t="s">
        <v>10291</v>
      </c>
      <c r="J2152" t="s">
        <v>10465</v>
      </c>
      <c r="K2152" t="s">
        <v>10466</v>
      </c>
      <c r="L2152" t="s">
        <v>10255</v>
      </c>
      <c r="M2152">
        <v>1.7295652069151399E-3</v>
      </c>
      <c r="N2152" t="s">
        <v>53</v>
      </c>
      <c r="O2152" t="s">
        <v>54</v>
      </c>
      <c r="P2152" t="s">
        <v>53</v>
      </c>
      <c r="Q2152" t="s">
        <v>53</v>
      </c>
      <c r="R2152" t="s">
        <v>53</v>
      </c>
      <c r="S2152" t="s">
        <v>10443</v>
      </c>
      <c r="T2152" t="s">
        <v>10467</v>
      </c>
      <c r="U2152" t="s">
        <v>54</v>
      </c>
      <c r="V2152" t="s">
        <v>51</v>
      </c>
      <c r="W2152">
        <v>47000</v>
      </c>
      <c r="X2152" t="s">
        <v>53</v>
      </c>
      <c r="AA2152">
        <v>4</v>
      </c>
      <c r="AB2152">
        <v>4</v>
      </c>
      <c r="AC2152">
        <v>4</v>
      </c>
      <c r="AD2152">
        <v>7</v>
      </c>
      <c r="AE2152">
        <v>7</v>
      </c>
      <c r="AF2152">
        <v>0</v>
      </c>
      <c r="AG2152">
        <v>0</v>
      </c>
      <c r="AH2152">
        <v>6.0680937021970749E-2</v>
      </c>
      <c r="AI2152">
        <v>1</v>
      </c>
      <c r="AJ2152">
        <v>0</v>
      </c>
      <c r="AK2152" t="s">
        <v>54</v>
      </c>
      <c r="AL2152" t="s">
        <v>53</v>
      </c>
      <c r="AQ2152" t="s">
        <v>53</v>
      </c>
      <c r="AT2152" t="s">
        <v>9934</v>
      </c>
      <c r="AW2152" t="s">
        <v>54</v>
      </c>
      <c r="AZ2152" t="s">
        <v>54</v>
      </c>
      <c r="BA2152" t="s">
        <v>10296</v>
      </c>
    </row>
    <row r="2153" spans="1:53" x14ac:dyDescent="0.25">
      <c r="A2153">
        <v>2148</v>
      </c>
      <c r="B2153" t="s">
        <v>10468</v>
      </c>
      <c r="C2153" t="s">
        <v>10469</v>
      </c>
      <c r="D2153" t="s">
        <v>10464</v>
      </c>
      <c r="E2153">
        <v>13</v>
      </c>
      <c r="F2153" t="s">
        <v>9904</v>
      </c>
      <c r="G2153" t="s">
        <v>10289</v>
      </c>
      <c r="H2153" t="s">
        <v>10290</v>
      </c>
      <c r="I2153" t="s">
        <v>10291</v>
      </c>
      <c r="J2153" t="s">
        <v>10465</v>
      </c>
      <c r="K2153" t="s">
        <v>10466</v>
      </c>
      <c r="L2153" t="s">
        <v>10255</v>
      </c>
      <c r="M2153">
        <v>5.0286478362977496E-3</v>
      </c>
      <c r="N2153" t="s">
        <v>53</v>
      </c>
      <c r="O2153" t="s">
        <v>54</v>
      </c>
      <c r="P2153" t="s">
        <v>53</v>
      </c>
      <c r="Q2153" t="s">
        <v>53</v>
      </c>
      <c r="R2153" t="s">
        <v>53</v>
      </c>
      <c r="S2153" t="s">
        <v>10443</v>
      </c>
      <c r="T2153" t="s">
        <v>10470</v>
      </c>
      <c r="U2153" t="s">
        <v>54</v>
      </c>
      <c r="V2153" t="s">
        <v>51</v>
      </c>
      <c r="W2153">
        <v>14000</v>
      </c>
      <c r="X2153" t="s">
        <v>53</v>
      </c>
      <c r="AA2153">
        <v>9</v>
      </c>
      <c r="AB2153">
        <v>9</v>
      </c>
      <c r="AC2153">
        <v>9</v>
      </c>
      <c r="AD2153">
        <v>20</v>
      </c>
      <c r="AE2153">
        <v>20</v>
      </c>
      <c r="AF2153">
        <v>0</v>
      </c>
      <c r="AG2153">
        <v>0</v>
      </c>
      <c r="AH2153">
        <v>0.1082091853022575</v>
      </c>
      <c r="AI2153">
        <v>1</v>
      </c>
      <c r="AJ2153">
        <v>0</v>
      </c>
      <c r="AK2153" t="s">
        <v>54</v>
      </c>
      <c r="AL2153" t="s">
        <v>53</v>
      </c>
      <c r="AQ2153" t="s">
        <v>53</v>
      </c>
      <c r="AT2153" t="s">
        <v>9934</v>
      </c>
      <c r="AW2153" t="s">
        <v>54</v>
      </c>
      <c r="AZ2153" t="s">
        <v>54</v>
      </c>
      <c r="BA2153" t="s">
        <v>10296</v>
      </c>
    </row>
    <row r="2154" spans="1:53" x14ac:dyDescent="0.25">
      <c r="A2154">
        <v>2149</v>
      </c>
      <c r="B2154" t="s">
        <v>10471</v>
      </c>
      <c r="C2154" t="s">
        <v>10472</v>
      </c>
      <c r="D2154" t="s">
        <v>10464</v>
      </c>
      <c r="E2154">
        <v>13</v>
      </c>
      <c r="F2154" t="s">
        <v>9904</v>
      </c>
      <c r="G2154" t="s">
        <v>10289</v>
      </c>
      <c r="H2154" t="s">
        <v>10290</v>
      </c>
      <c r="I2154" t="s">
        <v>10291</v>
      </c>
      <c r="J2154" t="s">
        <v>10292</v>
      </c>
      <c r="K2154" t="s">
        <v>10293</v>
      </c>
      <c r="L2154" t="s">
        <v>10255</v>
      </c>
      <c r="M2154">
        <v>5.020232405513525E-3</v>
      </c>
      <c r="N2154" t="s">
        <v>53</v>
      </c>
      <c r="O2154" t="s">
        <v>54</v>
      </c>
      <c r="P2154" t="s">
        <v>53</v>
      </c>
      <c r="Q2154" t="s">
        <v>53</v>
      </c>
      <c r="R2154" t="s">
        <v>53</v>
      </c>
      <c r="S2154" t="s">
        <v>10443</v>
      </c>
      <c r="T2154" t="s">
        <v>10452</v>
      </c>
      <c r="U2154" t="s">
        <v>54</v>
      </c>
      <c r="V2154" t="s">
        <v>51</v>
      </c>
      <c r="W2154">
        <v>14000</v>
      </c>
      <c r="X2154" t="s">
        <v>53</v>
      </c>
      <c r="AA2154">
        <v>13</v>
      </c>
      <c r="AB2154">
        <v>13</v>
      </c>
      <c r="AC2154">
        <v>10</v>
      </c>
      <c r="AD2154">
        <v>22</v>
      </c>
      <c r="AE2154">
        <v>22</v>
      </c>
      <c r="AF2154">
        <v>0</v>
      </c>
      <c r="AG2154">
        <v>0</v>
      </c>
      <c r="AH2154">
        <v>0.1028803884983063</v>
      </c>
      <c r="AI2154">
        <v>2</v>
      </c>
      <c r="AJ2154">
        <v>0</v>
      </c>
      <c r="AK2154" t="s">
        <v>54</v>
      </c>
      <c r="AL2154" t="s">
        <v>53</v>
      </c>
      <c r="AQ2154" t="s">
        <v>53</v>
      </c>
      <c r="AT2154" t="s">
        <v>9934</v>
      </c>
      <c r="AW2154" t="s">
        <v>54</v>
      </c>
      <c r="AZ2154" t="s">
        <v>54</v>
      </c>
      <c r="BA2154" t="s">
        <v>10296</v>
      </c>
    </row>
    <row r="2155" spans="1:53" x14ac:dyDescent="0.25">
      <c r="A2155">
        <v>2150</v>
      </c>
      <c r="B2155" t="s">
        <v>10473</v>
      </c>
      <c r="C2155" t="s">
        <v>10474</v>
      </c>
      <c r="D2155" t="s">
        <v>10475</v>
      </c>
      <c r="E2155">
        <v>13</v>
      </c>
      <c r="F2155" t="s">
        <v>9904</v>
      </c>
      <c r="G2155" t="s">
        <v>10476</v>
      </c>
      <c r="H2155" t="s">
        <v>10075</v>
      </c>
      <c r="I2155" t="s">
        <v>10477</v>
      </c>
      <c r="J2155" t="s">
        <v>10478</v>
      </c>
      <c r="K2155" t="s">
        <v>10479</v>
      </c>
      <c r="L2155" t="s">
        <v>10480</v>
      </c>
      <c r="M2155">
        <v>4.4500365853309631E-2</v>
      </c>
      <c r="N2155" t="s">
        <v>54</v>
      </c>
      <c r="O2155" t="s">
        <v>53</v>
      </c>
      <c r="P2155" t="s">
        <v>54</v>
      </c>
      <c r="Q2155" t="s">
        <v>53</v>
      </c>
      <c r="R2155" t="s">
        <v>53</v>
      </c>
      <c r="S2155" t="s">
        <v>10481</v>
      </c>
      <c r="T2155" t="s">
        <v>10482</v>
      </c>
      <c r="U2155" t="s">
        <v>54</v>
      </c>
      <c r="V2155" t="s">
        <v>51</v>
      </c>
      <c r="W2155">
        <v>100000</v>
      </c>
      <c r="X2155" t="s">
        <v>53</v>
      </c>
      <c r="AA2155">
        <v>0</v>
      </c>
      <c r="AB2155">
        <v>0</v>
      </c>
      <c r="AC2155">
        <v>0</v>
      </c>
      <c r="AD2155">
        <v>0</v>
      </c>
      <c r="AE2155">
        <v>0</v>
      </c>
      <c r="AF2155">
        <v>0</v>
      </c>
      <c r="AG2155">
        <v>0</v>
      </c>
      <c r="AH2155">
        <v>1.5657957643270489E-2</v>
      </c>
      <c r="AI2155">
        <v>5</v>
      </c>
      <c r="AJ2155">
        <v>0.9344322681427002</v>
      </c>
      <c r="AK2155" t="s">
        <v>54</v>
      </c>
      <c r="AL2155" t="s">
        <v>53</v>
      </c>
      <c r="AQ2155" t="s">
        <v>53</v>
      </c>
      <c r="AT2155" t="s">
        <v>10483</v>
      </c>
      <c r="AW2155" t="s">
        <v>8390</v>
      </c>
      <c r="AZ2155" t="s">
        <v>54</v>
      </c>
      <c r="BA2155" t="s">
        <v>10296</v>
      </c>
    </row>
    <row r="2156" spans="1:53" x14ac:dyDescent="0.25">
      <c r="A2156">
        <v>2151</v>
      </c>
      <c r="B2156" t="s">
        <v>10484</v>
      </c>
      <c r="C2156" t="s">
        <v>10485</v>
      </c>
      <c r="D2156" t="s">
        <v>10486</v>
      </c>
      <c r="E2156">
        <v>13</v>
      </c>
      <c r="F2156" t="s">
        <v>9904</v>
      </c>
      <c r="G2156" t="s">
        <v>10476</v>
      </c>
      <c r="H2156" t="s">
        <v>10075</v>
      </c>
      <c r="I2156" t="s">
        <v>10487</v>
      </c>
      <c r="J2156" t="s">
        <v>10488</v>
      </c>
      <c r="K2156" t="s">
        <v>10489</v>
      </c>
      <c r="L2156" t="s">
        <v>10255</v>
      </c>
      <c r="M2156">
        <v>5.2877254784107208E-3</v>
      </c>
      <c r="N2156" t="s">
        <v>53</v>
      </c>
      <c r="O2156" t="s">
        <v>53</v>
      </c>
      <c r="P2156" t="s">
        <v>54</v>
      </c>
      <c r="Q2156" t="s">
        <v>53</v>
      </c>
      <c r="R2156" t="s">
        <v>53</v>
      </c>
      <c r="S2156" t="s">
        <v>10481</v>
      </c>
      <c r="T2156" t="s">
        <v>10482</v>
      </c>
      <c r="U2156" t="s">
        <v>54</v>
      </c>
      <c r="V2156" t="s">
        <v>51</v>
      </c>
      <c r="W2156">
        <v>100000</v>
      </c>
      <c r="X2156" t="s">
        <v>53</v>
      </c>
      <c r="AA2156">
        <v>0</v>
      </c>
      <c r="AB2156">
        <v>0</v>
      </c>
      <c r="AC2156">
        <v>0</v>
      </c>
      <c r="AD2156">
        <v>0</v>
      </c>
      <c r="AE2156">
        <v>0</v>
      </c>
      <c r="AF2156">
        <v>0</v>
      </c>
      <c r="AG2156">
        <v>0</v>
      </c>
      <c r="AH2156">
        <v>0</v>
      </c>
      <c r="AI2156">
        <v>0</v>
      </c>
      <c r="AJ2156">
        <v>0</v>
      </c>
      <c r="AK2156" t="s">
        <v>54</v>
      </c>
      <c r="AL2156" t="s">
        <v>53</v>
      </c>
      <c r="AQ2156" t="s">
        <v>53</v>
      </c>
      <c r="AT2156" t="s">
        <v>10483</v>
      </c>
      <c r="AW2156" t="s">
        <v>53</v>
      </c>
      <c r="AZ2156" t="s">
        <v>54</v>
      </c>
      <c r="BA2156" t="s">
        <v>10296</v>
      </c>
    </row>
    <row r="2157" spans="1:53" x14ac:dyDescent="0.25">
      <c r="A2157">
        <v>2152</v>
      </c>
      <c r="B2157" t="s">
        <v>10490</v>
      </c>
      <c r="C2157" t="s">
        <v>10491</v>
      </c>
      <c r="D2157" t="s">
        <v>10492</v>
      </c>
      <c r="E2157">
        <v>13</v>
      </c>
      <c r="F2157" t="s">
        <v>9904</v>
      </c>
      <c r="G2157" t="s">
        <v>10289</v>
      </c>
      <c r="H2157" t="s">
        <v>10290</v>
      </c>
      <c r="I2157" t="s">
        <v>10291</v>
      </c>
      <c r="J2157" t="s">
        <v>10493</v>
      </c>
      <c r="K2157" t="s">
        <v>10494</v>
      </c>
      <c r="L2157" t="s">
        <v>10255</v>
      </c>
      <c r="M2157">
        <v>1.161073707044125E-2</v>
      </c>
      <c r="N2157" t="s">
        <v>53</v>
      </c>
      <c r="O2157" t="s">
        <v>54</v>
      </c>
      <c r="P2157" t="s">
        <v>54</v>
      </c>
      <c r="Q2157" t="s">
        <v>53</v>
      </c>
      <c r="R2157" t="s">
        <v>53</v>
      </c>
      <c r="S2157" t="s">
        <v>10495</v>
      </c>
      <c r="T2157" t="s">
        <v>10496</v>
      </c>
      <c r="U2157" t="s">
        <v>54</v>
      </c>
      <c r="V2157" t="s">
        <v>51</v>
      </c>
      <c r="W2157">
        <v>100000</v>
      </c>
      <c r="X2157" t="s">
        <v>53</v>
      </c>
      <c r="AA2157">
        <v>0</v>
      </c>
      <c r="AB2157">
        <v>0</v>
      </c>
      <c r="AC2157">
        <v>0</v>
      </c>
      <c r="AD2157">
        <v>0</v>
      </c>
      <c r="AE2157">
        <v>0</v>
      </c>
      <c r="AF2157">
        <v>0</v>
      </c>
      <c r="AG2157">
        <v>0</v>
      </c>
      <c r="AH2157">
        <v>1.8146226182579991E-2</v>
      </c>
      <c r="AI2157">
        <v>1</v>
      </c>
      <c r="AJ2157">
        <v>0.53704178333282471</v>
      </c>
      <c r="AK2157" t="s">
        <v>54</v>
      </c>
      <c r="AL2157" t="s">
        <v>53</v>
      </c>
      <c r="AQ2157" t="s">
        <v>53</v>
      </c>
      <c r="AT2157" t="s">
        <v>10483</v>
      </c>
      <c r="AW2157" t="s">
        <v>8390</v>
      </c>
      <c r="AZ2157" t="s">
        <v>54</v>
      </c>
      <c r="BA2157" t="s">
        <v>10296</v>
      </c>
    </row>
    <row r="2158" spans="1:53" x14ac:dyDescent="0.25">
      <c r="A2158">
        <v>2153</v>
      </c>
      <c r="B2158" t="s">
        <v>10497</v>
      </c>
      <c r="C2158" t="s">
        <v>10498</v>
      </c>
      <c r="D2158" t="s">
        <v>10499</v>
      </c>
      <c r="E2158">
        <v>13</v>
      </c>
      <c r="F2158" t="s">
        <v>9904</v>
      </c>
      <c r="G2158" t="s">
        <v>10278</v>
      </c>
      <c r="H2158" t="s">
        <v>10279</v>
      </c>
      <c r="I2158" t="s">
        <v>10280</v>
      </c>
      <c r="J2158" t="s">
        <v>10281</v>
      </c>
      <c r="K2158" t="s">
        <v>10282</v>
      </c>
      <c r="L2158" t="s">
        <v>10255</v>
      </c>
      <c r="M2158">
        <v>3.2329183886758978E-4</v>
      </c>
      <c r="N2158" t="s">
        <v>54</v>
      </c>
      <c r="O2158" t="s">
        <v>53</v>
      </c>
      <c r="P2158" t="s">
        <v>53</v>
      </c>
      <c r="Q2158" t="s">
        <v>53</v>
      </c>
      <c r="R2158" t="s">
        <v>53</v>
      </c>
      <c r="S2158" t="s">
        <v>10283</v>
      </c>
      <c r="T2158" t="s">
        <v>10284</v>
      </c>
      <c r="U2158" t="s">
        <v>54</v>
      </c>
      <c r="V2158" t="s">
        <v>51</v>
      </c>
      <c r="W2158">
        <v>192000</v>
      </c>
      <c r="X2158" t="s">
        <v>53</v>
      </c>
      <c r="AA2158">
        <v>0</v>
      </c>
      <c r="AB2158">
        <v>0</v>
      </c>
      <c r="AC2158">
        <v>0</v>
      </c>
      <c r="AD2158">
        <v>0</v>
      </c>
      <c r="AE2158">
        <v>0</v>
      </c>
      <c r="AF2158">
        <v>0</v>
      </c>
      <c r="AG2158">
        <v>1</v>
      </c>
      <c r="AH2158">
        <v>2.4471810087561611E-2</v>
      </c>
      <c r="AI2158">
        <v>1</v>
      </c>
      <c r="AJ2158">
        <v>0</v>
      </c>
      <c r="AK2158" t="s">
        <v>53</v>
      </c>
      <c r="AL2158" t="s">
        <v>53</v>
      </c>
      <c r="AQ2158" t="s">
        <v>53</v>
      </c>
      <c r="AT2158" t="s">
        <v>9934</v>
      </c>
      <c r="AW2158" t="s">
        <v>54</v>
      </c>
      <c r="AZ2158" t="s">
        <v>54</v>
      </c>
      <c r="BA2158" t="s">
        <v>10267</v>
      </c>
    </row>
    <row r="2159" spans="1:53" x14ac:dyDescent="0.25">
      <c r="A2159">
        <v>2154</v>
      </c>
      <c r="B2159" t="s">
        <v>10500</v>
      </c>
      <c r="C2159" t="s">
        <v>10501</v>
      </c>
      <c r="D2159" t="s">
        <v>10502</v>
      </c>
      <c r="E2159">
        <v>13</v>
      </c>
      <c r="F2159" t="s">
        <v>9904</v>
      </c>
      <c r="G2159" t="s">
        <v>9904</v>
      </c>
      <c r="H2159" t="s">
        <v>10075</v>
      </c>
      <c r="I2159" t="s">
        <v>10076</v>
      </c>
      <c r="J2159" t="s">
        <v>10503</v>
      </c>
      <c r="K2159" t="s">
        <v>10504</v>
      </c>
      <c r="L2159" t="s">
        <v>9997</v>
      </c>
      <c r="M2159">
        <v>3.5115160048007972E-2</v>
      </c>
      <c r="N2159" t="s">
        <v>54</v>
      </c>
      <c r="O2159" t="s">
        <v>53</v>
      </c>
      <c r="P2159" t="s">
        <v>53</v>
      </c>
      <c r="Q2159" t="s">
        <v>53</v>
      </c>
      <c r="R2159" t="s">
        <v>53</v>
      </c>
      <c r="S2159" t="s">
        <v>10505</v>
      </c>
      <c r="T2159" t="s">
        <v>10506</v>
      </c>
      <c r="U2159" t="s">
        <v>54</v>
      </c>
      <c r="V2159" t="s">
        <v>51</v>
      </c>
      <c r="W2159">
        <v>100000</v>
      </c>
      <c r="X2159" t="s">
        <v>53</v>
      </c>
      <c r="AA2159">
        <v>0</v>
      </c>
      <c r="AB2159">
        <v>0</v>
      </c>
      <c r="AC2159">
        <v>0</v>
      </c>
      <c r="AD2159">
        <v>0</v>
      </c>
      <c r="AE2159">
        <v>0</v>
      </c>
      <c r="AF2159">
        <v>0</v>
      </c>
      <c r="AG2159">
        <v>0</v>
      </c>
      <c r="AH2159">
        <v>0</v>
      </c>
      <c r="AI2159">
        <v>0</v>
      </c>
      <c r="AJ2159">
        <v>8.8065958023071289</v>
      </c>
      <c r="AK2159" t="s">
        <v>54</v>
      </c>
      <c r="AL2159" t="s">
        <v>53</v>
      </c>
      <c r="AQ2159" t="s">
        <v>53</v>
      </c>
      <c r="AT2159" t="s">
        <v>10285</v>
      </c>
      <c r="AU2159" s="148">
        <v>40969</v>
      </c>
      <c r="AW2159" t="s">
        <v>53</v>
      </c>
      <c r="AZ2159" t="s">
        <v>54</v>
      </c>
      <c r="BA2159" t="s">
        <v>10507</v>
      </c>
    </row>
    <row r="2160" spans="1:53" x14ac:dyDescent="0.25">
      <c r="A2160">
        <v>2155</v>
      </c>
      <c r="B2160" t="s">
        <v>10508</v>
      </c>
      <c r="C2160" t="s">
        <v>10509</v>
      </c>
      <c r="D2160" t="s">
        <v>10510</v>
      </c>
      <c r="E2160">
        <v>13</v>
      </c>
      <c r="F2160" t="s">
        <v>9904</v>
      </c>
      <c r="G2160" t="s">
        <v>9904</v>
      </c>
      <c r="H2160" t="s">
        <v>10511</v>
      </c>
      <c r="I2160" t="s">
        <v>10512</v>
      </c>
      <c r="J2160" t="s">
        <v>10513</v>
      </c>
      <c r="K2160" t="s">
        <v>10514</v>
      </c>
      <c r="L2160" t="s">
        <v>10413</v>
      </c>
      <c r="M2160">
        <v>0.78312605619430542</v>
      </c>
      <c r="N2160" t="s">
        <v>53</v>
      </c>
      <c r="O2160" t="s">
        <v>53</v>
      </c>
      <c r="P2160" t="s">
        <v>54</v>
      </c>
      <c r="Q2160" t="s">
        <v>53</v>
      </c>
      <c r="R2160" t="s">
        <v>53</v>
      </c>
      <c r="S2160" t="s">
        <v>10515</v>
      </c>
      <c r="T2160" t="s">
        <v>10516</v>
      </c>
      <c r="U2160" t="s">
        <v>54</v>
      </c>
      <c r="V2160" t="s">
        <v>138</v>
      </c>
      <c r="W2160">
        <v>250000</v>
      </c>
      <c r="X2160" t="s">
        <v>53</v>
      </c>
      <c r="AA2160">
        <v>30</v>
      </c>
      <c r="AB2160">
        <v>29</v>
      </c>
      <c r="AC2160">
        <v>4</v>
      </c>
      <c r="AD2160">
        <v>31</v>
      </c>
      <c r="AE2160">
        <v>31</v>
      </c>
      <c r="AF2160">
        <v>0</v>
      </c>
      <c r="AG2160">
        <v>0</v>
      </c>
      <c r="AH2160">
        <v>0.5874142050743103</v>
      </c>
      <c r="AI2160">
        <v>5</v>
      </c>
      <c r="AJ2160">
        <v>12.43043422698975</v>
      </c>
      <c r="AK2160" t="s">
        <v>54</v>
      </c>
      <c r="AL2160" t="s">
        <v>53</v>
      </c>
      <c r="AQ2160" t="s">
        <v>53</v>
      </c>
      <c r="AT2160" t="s">
        <v>10517</v>
      </c>
      <c r="AW2160" t="s">
        <v>53</v>
      </c>
      <c r="AZ2160" t="s">
        <v>54</v>
      </c>
      <c r="BA2160" t="s">
        <v>10507</v>
      </c>
    </row>
    <row r="2161" spans="1:53" x14ac:dyDescent="0.25">
      <c r="A2161">
        <v>2156</v>
      </c>
      <c r="B2161" t="s">
        <v>10518</v>
      </c>
      <c r="C2161" t="s">
        <v>10519</v>
      </c>
      <c r="D2161" t="s">
        <v>10520</v>
      </c>
      <c r="E2161">
        <v>13</v>
      </c>
      <c r="F2161" t="s">
        <v>9904</v>
      </c>
      <c r="G2161" t="s">
        <v>10259</v>
      </c>
      <c r="H2161" t="s">
        <v>9650</v>
      </c>
      <c r="I2161" t="s">
        <v>9651</v>
      </c>
      <c r="J2161" t="s">
        <v>9652</v>
      </c>
      <c r="L2161" t="s">
        <v>10255</v>
      </c>
      <c r="M2161">
        <v>0.1191922053694725</v>
      </c>
      <c r="N2161" t="s">
        <v>53</v>
      </c>
      <c r="O2161" t="s">
        <v>53</v>
      </c>
      <c r="P2161" t="s">
        <v>53</v>
      </c>
      <c r="Q2161" t="s">
        <v>53</v>
      </c>
      <c r="R2161" t="s">
        <v>53</v>
      </c>
      <c r="S2161" t="s">
        <v>10521</v>
      </c>
      <c r="T2161" t="s">
        <v>10522</v>
      </c>
      <c r="U2161" t="s">
        <v>54</v>
      </c>
      <c r="V2161" t="s">
        <v>51</v>
      </c>
      <c r="W2161">
        <v>398000</v>
      </c>
      <c r="X2161" t="s">
        <v>53</v>
      </c>
      <c r="AA2161">
        <v>0</v>
      </c>
      <c r="AB2161">
        <v>0</v>
      </c>
      <c r="AC2161">
        <v>0</v>
      </c>
      <c r="AD2161">
        <v>0</v>
      </c>
      <c r="AE2161">
        <v>0</v>
      </c>
      <c r="AF2161">
        <v>0</v>
      </c>
      <c r="AG2161">
        <v>0</v>
      </c>
      <c r="AH2161">
        <v>0</v>
      </c>
      <c r="AI2161">
        <v>0</v>
      </c>
      <c r="AJ2161">
        <v>0</v>
      </c>
      <c r="AK2161" t="s">
        <v>54</v>
      </c>
      <c r="AL2161" t="s">
        <v>53</v>
      </c>
      <c r="AQ2161" t="s">
        <v>53</v>
      </c>
      <c r="AT2161" t="s">
        <v>10523</v>
      </c>
      <c r="AW2161" t="s">
        <v>53</v>
      </c>
      <c r="AZ2161" t="s">
        <v>54</v>
      </c>
      <c r="BA2161" t="s">
        <v>10524</v>
      </c>
    </row>
    <row r="2162" spans="1:53" x14ac:dyDescent="0.25">
      <c r="A2162">
        <v>2157</v>
      </c>
      <c r="B2162" t="s">
        <v>10525</v>
      </c>
      <c r="C2162" t="s">
        <v>10526</v>
      </c>
      <c r="D2162" t="s">
        <v>10527</v>
      </c>
      <c r="E2162">
        <v>13</v>
      </c>
      <c r="F2162" t="s">
        <v>9904</v>
      </c>
      <c r="G2162" t="s">
        <v>10528</v>
      </c>
      <c r="H2162" t="s">
        <v>10290</v>
      </c>
      <c r="I2162" t="s">
        <v>10291</v>
      </c>
      <c r="J2162" t="s">
        <v>10529</v>
      </c>
      <c r="K2162" t="s">
        <v>10530</v>
      </c>
      <c r="L2162" t="s">
        <v>10413</v>
      </c>
      <c r="M2162">
        <v>3.7084635347127907E-2</v>
      </c>
      <c r="N2162" t="s">
        <v>53</v>
      </c>
      <c r="O2162" t="s">
        <v>54</v>
      </c>
      <c r="P2162" t="s">
        <v>53</v>
      </c>
      <c r="Q2162" t="s">
        <v>53</v>
      </c>
      <c r="R2162" t="s">
        <v>53</v>
      </c>
      <c r="S2162" t="s">
        <v>10531</v>
      </c>
      <c r="T2162" t="s">
        <v>10532</v>
      </c>
      <c r="U2162" t="s">
        <v>54</v>
      </c>
      <c r="V2162" t="s">
        <v>51</v>
      </c>
      <c r="W2162">
        <v>536000</v>
      </c>
      <c r="X2162" t="s">
        <v>53</v>
      </c>
      <c r="AA2162">
        <v>0</v>
      </c>
      <c r="AB2162">
        <v>0</v>
      </c>
      <c r="AC2162">
        <v>0</v>
      </c>
      <c r="AD2162">
        <v>0</v>
      </c>
      <c r="AE2162">
        <v>0</v>
      </c>
      <c r="AF2162">
        <v>0</v>
      </c>
      <c r="AG2162">
        <v>0</v>
      </c>
      <c r="AH2162">
        <v>0</v>
      </c>
      <c r="AI2162">
        <v>0</v>
      </c>
      <c r="AJ2162">
        <v>0</v>
      </c>
      <c r="AK2162" t="s">
        <v>54</v>
      </c>
      <c r="AL2162" t="s">
        <v>53</v>
      </c>
      <c r="AQ2162" t="s">
        <v>53</v>
      </c>
      <c r="AT2162" t="s">
        <v>10523</v>
      </c>
      <c r="AW2162" t="s">
        <v>8390</v>
      </c>
      <c r="AZ2162" t="s">
        <v>54</v>
      </c>
      <c r="BA2162" t="s">
        <v>10533</v>
      </c>
    </row>
    <row r="2163" spans="1:53" x14ac:dyDescent="0.25">
      <c r="A2163">
        <v>2158</v>
      </c>
      <c r="B2163" t="s">
        <v>10534</v>
      </c>
      <c r="C2163" t="s">
        <v>10535</v>
      </c>
      <c r="D2163" t="s">
        <v>10536</v>
      </c>
      <c r="E2163">
        <v>13</v>
      </c>
      <c r="F2163" t="s">
        <v>9904</v>
      </c>
      <c r="G2163" t="s">
        <v>10278</v>
      </c>
      <c r="H2163" t="s">
        <v>10279</v>
      </c>
      <c r="I2163" t="s">
        <v>10537</v>
      </c>
      <c r="J2163" t="s">
        <v>10538</v>
      </c>
      <c r="K2163" t="s">
        <v>10539</v>
      </c>
      <c r="L2163" t="s">
        <v>10540</v>
      </c>
      <c r="M2163">
        <v>1.162617045338266E-4</v>
      </c>
      <c r="N2163" t="s">
        <v>54</v>
      </c>
      <c r="O2163" t="s">
        <v>53</v>
      </c>
      <c r="P2163" t="s">
        <v>53</v>
      </c>
      <c r="Q2163" t="s">
        <v>53</v>
      </c>
      <c r="R2163" t="s">
        <v>53</v>
      </c>
      <c r="S2163" t="s">
        <v>10541</v>
      </c>
      <c r="T2163" t="s">
        <v>10542</v>
      </c>
      <c r="U2163" t="s">
        <v>54</v>
      </c>
      <c r="V2163" t="s">
        <v>51</v>
      </c>
      <c r="W2163">
        <v>47000</v>
      </c>
      <c r="X2163" t="s">
        <v>53</v>
      </c>
      <c r="AA2163">
        <v>0</v>
      </c>
      <c r="AB2163">
        <v>0</v>
      </c>
      <c r="AC2163">
        <v>0</v>
      </c>
      <c r="AD2163">
        <v>0</v>
      </c>
      <c r="AE2163">
        <v>0</v>
      </c>
      <c r="AF2163">
        <v>0</v>
      </c>
      <c r="AG2163">
        <v>0</v>
      </c>
      <c r="AH2163">
        <v>2.6502387598156929E-2</v>
      </c>
      <c r="AI2163">
        <v>1</v>
      </c>
      <c r="AJ2163">
        <v>0</v>
      </c>
      <c r="AK2163" t="s">
        <v>54</v>
      </c>
      <c r="AL2163" t="s">
        <v>53</v>
      </c>
      <c r="AQ2163" t="s">
        <v>53</v>
      </c>
      <c r="AT2163" t="s">
        <v>10285</v>
      </c>
      <c r="AU2163" s="148">
        <v>40969</v>
      </c>
      <c r="AW2163" t="s">
        <v>54</v>
      </c>
      <c r="AZ2163" t="s">
        <v>54</v>
      </c>
      <c r="BA2163" t="s">
        <v>10507</v>
      </c>
    </row>
    <row r="2164" spans="1:53" x14ac:dyDescent="0.25">
      <c r="A2164">
        <v>2159</v>
      </c>
      <c r="B2164" t="s">
        <v>10543</v>
      </c>
      <c r="C2164" t="s">
        <v>10544</v>
      </c>
      <c r="D2164" t="s">
        <v>10545</v>
      </c>
      <c r="E2164">
        <v>13</v>
      </c>
      <c r="F2164" t="s">
        <v>9904</v>
      </c>
      <c r="G2164" t="s">
        <v>10528</v>
      </c>
      <c r="H2164" t="s">
        <v>10260</v>
      </c>
      <c r="I2164" t="s">
        <v>10261</v>
      </c>
      <c r="J2164" t="s">
        <v>10262</v>
      </c>
      <c r="K2164" t="s">
        <v>10263</v>
      </c>
      <c r="L2164" t="s">
        <v>10546</v>
      </c>
      <c r="M2164">
        <v>5.7664322853088379</v>
      </c>
      <c r="N2164" t="s">
        <v>54</v>
      </c>
      <c r="O2164" t="s">
        <v>54</v>
      </c>
      <c r="P2164" t="s">
        <v>53</v>
      </c>
      <c r="Q2164" t="s">
        <v>53</v>
      </c>
      <c r="R2164" t="s">
        <v>53</v>
      </c>
      <c r="S2164" t="s">
        <v>10547</v>
      </c>
      <c r="T2164" t="s">
        <v>10548</v>
      </c>
      <c r="U2164" t="s">
        <v>54</v>
      </c>
      <c r="V2164" t="s">
        <v>51</v>
      </c>
      <c r="W2164">
        <v>51613000</v>
      </c>
      <c r="X2164" t="s">
        <v>54</v>
      </c>
      <c r="Y2164" t="s">
        <v>10549</v>
      </c>
      <c r="AA2164">
        <v>0</v>
      </c>
      <c r="AB2164">
        <v>0</v>
      </c>
      <c r="AC2164">
        <v>0</v>
      </c>
      <c r="AD2164">
        <v>0</v>
      </c>
      <c r="AE2164">
        <v>0</v>
      </c>
      <c r="AF2164">
        <v>0</v>
      </c>
      <c r="AG2164">
        <v>0</v>
      </c>
      <c r="AH2164">
        <v>0.87152999639511108</v>
      </c>
      <c r="AI2164">
        <v>0</v>
      </c>
      <c r="AJ2164">
        <v>0</v>
      </c>
      <c r="AK2164" t="s">
        <v>54</v>
      </c>
      <c r="AL2164" t="s">
        <v>53</v>
      </c>
      <c r="AQ2164" t="s">
        <v>53</v>
      </c>
      <c r="AT2164" t="s">
        <v>10550</v>
      </c>
      <c r="AW2164" t="s">
        <v>8390</v>
      </c>
      <c r="AZ2164" t="s">
        <v>54</v>
      </c>
      <c r="BA2164" t="s">
        <v>10524</v>
      </c>
    </row>
    <row r="2165" spans="1:53" x14ac:dyDescent="0.25">
      <c r="A2165">
        <v>2160</v>
      </c>
      <c r="B2165" t="s">
        <v>10551</v>
      </c>
      <c r="C2165" t="s">
        <v>10552</v>
      </c>
      <c r="D2165" t="s">
        <v>10553</v>
      </c>
      <c r="E2165">
        <v>13</v>
      </c>
      <c r="F2165" t="s">
        <v>9904</v>
      </c>
      <c r="G2165" t="s">
        <v>10289</v>
      </c>
      <c r="H2165" t="s">
        <v>10260</v>
      </c>
      <c r="I2165" t="s">
        <v>10261</v>
      </c>
      <c r="J2165" t="s">
        <v>10262</v>
      </c>
      <c r="K2165" t="s">
        <v>10263</v>
      </c>
      <c r="L2165" t="s">
        <v>10554</v>
      </c>
      <c r="M2165">
        <v>2.6845157844945788E-4</v>
      </c>
      <c r="N2165" t="s">
        <v>53</v>
      </c>
      <c r="O2165" t="s">
        <v>54</v>
      </c>
      <c r="P2165" t="s">
        <v>53</v>
      </c>
      <c r="Q2165" t="s">
        <v>53</v>
      </c>
      <c r="R2165" t="s">
        <v>53</v>
      </c>
      <c r="S2165" t="s">
        <v>10362</v>
      </c>
      <c r="T2165" t="s">
        <v>10363</v>
      </c>
      <c r="U2165" t="s">
        <v>54</v>
      </c>
      <c r="V2165" t="s">
        <v>51</v>
      </c>
      <c r="W2165">
        <v>47000</v>
      </c>
      <c r="X2165" t="s">
        <v>53</v>
      </c>
      <c r="AA2165">
        <v>0</v>
      </c>
      <c r="AB2165">
        <v>0</v>
      </c>
      <c r="AC2165">
        <v>0</v>
      </c>
      <c r="AD2165">
        <v>0</v>
      </c>
      <c r="AE2165">
        <v>0</v>
      </c>
      <c r="AF2165">
        <v>0</v>
      </c>
      <c r="AG2165">
        <v>0</v>
      </c>
      <c r="AH2165">
        <v>0</v>
      </c>
      <c r="AI2165">
        <v>0</v>
      </c>
      <c r="AJ2165">
        <v>0</v>
      </c>
      <c r="AK2165" t="s">
        <v>54</v>
      </c>
      <c r="AL2165" t="s">
        <v>53</v>
      </c>
      <c r="AQ2165" t="s">
        <v>53</v>
      </c>
      <c r="AT2165" t="s">
        <v>10285</v>
      </c>
      <c r="AU2165" s="148">
        <v>40969</v>
      </c>
      <c r="AW2165" t="s">
        <v>54</v>
      </c>
      <c r="AZ2165" t="s">
        <v>54</v>
      </c>
      <c r="BA2165" t="s">
        <v>10555</v>
      </c>
    </row>
    <row r="2166" spans="1:53" x14ac:dyDescent="0.25">
      <c r="A2166">
        <v>2161</v>
      </c>
      <c r="B2166" t="s">
        <v>10556</v>
      </c>
      <c r="C2166" t="s">
        <v>10557</v>
      </c>
      <c r="D2166" t="s">
        <v>10558</v>
      </c>
      <c r="E2166">
        <v>13</v>
      </c>
      <c r="F2166" t="s">
        <v>9904</v>
      </c>
      <c r="G2166" t="s">
        <v>9904</v>
      </c>
      <c r="H2166" t="s">
        <v>10246</v>
      </c>
      <c r="I2166" t="s">
        <v>10559</v>
      </c>
      <c r="J2166" t="s">
        <v>10560</v>
      </c>
      <c r="K2166" t="s">
        <v>10561</v>
      </c>
      <c r="L2166" t="s">
        <v>9910</v>
      </c>
      <c r="M2166">
        <v>3.4495022296905522</v>
      </c>
      <c r="N2166" t="s">
        <v>54</v>
      </c>
      <c r="O2166" t="s">
        <v>54</v>
      </c>
      <c r="P2166" t="s">
        <v>53</v>
      </c>
      <c r="Q2166" t="s">
        <v>53</v>
      </c>
      <c r="R2166" t="s">
        <v>53</v>
      </c>
      <c r="S2166" t="s">
        <v>10562</v>
      </c>
      <c r="T2166" t="s">
        <v>10563</v>
      </c>
      <c r="U2166" t="s">
        <v>54</v>
      </c>
      <c r="V2166" t="s">
        <v>51</v>
      </c>
      <c r="W2166">
        <v>680000</v>
      </c>
      <c r="X2166" t="s">
        <v>53</v>
      </c>
      <c r="AA2166">
        <v>1</v>
      </c>
      <c r="AB2166">
        <v>0</v>
      </c>
      <c r="AC2166">
        <v>0</v>
      </c>
      <c r="AD2166">
        <v>0</v>
      </c>
      <c r="AE2166">
        <v>0</v>
      </c>
      <c r="AF2166">
        <v>0</v>
      </c>
      <c r="AG2166">
        <v>0</v>
      </c>
      <c r="AH2166">
        <v>1.6849600076675419</v>
      </c>
      <c r="AI2166">
        <v>0</v>
      </c>
      <c r="AJ2166">
        <v>1.688041687011719</v>
      </c>
      <c r="AK2166" t="s">
        <v>54</v>
      </c>
      <c r="AL2166" t="s">
        <v>53</v>
      </c>
      <c r="AQ2166" t="s">
        <v>53</v>
      </c>
      <c r="AT2166" t="s">
        <v>10523</v>
      </c>
      <c r="AW2166" t="s">
        <v>53</v>
      </c>
      <c r="AZ2166" t="s">
        <v>54</v>
      </c>
      <c r="BA2166" t="s">
        <v>10524</v>
      </c>
    </row>
    <row r="2167" spans="1:53" x14ac:dyDescent="0.25">
      <c r="A2167">
        <v>2162</v>
      </c>
      <c r="B2167" t="s">
        <v>10564</v>
      </c>
      <c r="C2167" t="s">
        <v>10565</v>
      </c>
      <c r="D2167" t="s">
        <v>10566</v>
      </c>
      <c r="E2167">
        <v>13</v>
      </c>
      <c r="F2167" t="s">
        <v>9904</v>
      </c>
      <c r="G2167" t="s">
        <v>10567</v>
      </c>
      <c r="H2167" t="s">
        <v>10260</v>
      </c>
      <c r="I2167" t="s">
        <v>10261</v>
      </c>
      <c r="J2167" t="s">
        <v>10262</v>
      </c>
      <c r="K2167" t="s">
        <v>10263</v>
      </c>
      <c r="L2167" t="s">
        <v>10413</v>
      </c>
      <c r="M2167">
        <v>2.9940156266093251E-2</v>
      </c>
      <c r="N2167" t="s">
        <v>54</v>
      </c>
      <c r="O2167" t="s">
        <v>54</v>
      </c>
      <c r="P2167" t="s">
        <v>53</v>
      </c>
      <c r="Q2167" t="s">
        <v>53</v>
      </c>
      <c r="R2167" t="s">
        <v>53</v>
      </c>
      <c r="S2167" t="s">
        <v>10362</v>
      </c>
      <c r="T2167" t="s">
        <v>10568</v>
      </c>
      <c r="U2167" t="s">
        <v>54</v>
      </c>
      <c r="V2167" t="s">
        <v>51</v>
      </c>
      <c r="W2167">
        <v>164000</v>
      </c>
      <c r="X2167" t="s">
        <v>54</v>
      </c>
      <c r="Y2167" t="s">
        <v>10569</v>
      </c>
      <c r="AA2167">
        <v>6</v>
      </c>
      <c r="AB2167">
        <v>0</v>
      </c>
      <c r="AC2167">
        <v>52</v>
      </c>
      <c r="AD2167">
        <v>0</v>
      </c>
      <c r="AE2167">
        <v>52</v>
      </c>
      <c r="AF2167">
        <v>0</v>
      </c>
      <c r="AG2167">
        <v>0</v>
      </c>
      <c r="AH2167">
        <v>2.511000074446201E-2</v>
      </c>
      <c r="AI2167">
        <v>0</v>
      </c>
      <c r="AJ2167">
        <v>0</v>
      </c>
      <c r="AK2167" t="s">
        <v>53</v>
      </c>
      <c r="AL2167" t="s">
        <v>53</v>
      </c>
      <c r="AQ2167" t="s">
        <v>53</v>
      </c>
      <c r="AT2167" t="s">
        <v>10266</v>
      </c>
      <c r="AU2167" s="148">
        <v>43020</v>
      </c>
      <c r="AW2167" t="s">
        <v>8390</v>
      </c>
      <c r="AZ2167" t="s">
        <v>54</v>
      </c>
      <c r="BA2167" t="s">
        <v>9970</v>
      </c>
    </row>
    <row r="2168" spans="1:53" x14ac:dyDescent="0.25">
      <c r="A2168">
        <v>2163</v>
      </c>
      <c r="B2168" t="s">
        <v>10570</v>
      </c>
      <c r="C2168" t="s">
        <v>10571</v>
      </c>
      <c r="D2168" t="s">
        <v>10572</v>
      </c>
      <c r="E2168">
        <v>13</v>
      </c>
      <c r="F2168" t="s">
        <v>9904</v>
      </c>
      <c r="G2168" t="s">
        <v>10313</v>
      </c>
      <c r="H2168" t="s">
        <v>10573</v>
      </c>
      <c r="I2168" t="s">
        <v>10574</v>
      </c>
      <c r="J2168" t="s">
        <v>10575</v>
      </c>
      <c r="K2168" t="s">
        <v>10576</v>
      </c>
      <c r="L2168" t="s">
        <v>10577</v>
      </c>
      <c r="M2168">
        <v>1.4643446207046511</v>
      </c>
      <c r="N2168" t="s">
        <v>54</v>
      </c>
      <c r="O2168" t="s">
        <v>53</v>
      </c>
      <c r="P2168" t="s">
        <v>54</v>
      </c>
      <c r="Q2168" t="s">
        <v>53</v>
      </c>
      <c r="R2168" t="s">
        <v>53</v>
      </c>
      <c r="S2168" t="s">
        <v>10578</v>
      </c>
      <c r="T2168" t="s">
        <v>10579</v>
      </c>
      <c r="U2168" t="s">
        <v>54</v>
      </c>
      <c r="V2168" t="s">
        <v>138</v>
      </c>
      <c r="W2168">
        <v>250000</v>
      </c>
      <c r="X2168" t="s">
        <v>53</v>
      </c>
      <c r="AA2168">
        <v>5</v>
      </c>
      <c r="AB2168">
        <v>0</v>
      </c>
      <c r="AC2168">
        <v>0</v>
      </c>
      <c r="AD2168">
        <v>0</v>
      </c>
      <c r="AE2168">
        <v>0</v>
      </c>
      <c r="AF2168">
        <v>0</v>
      </c>
      <c r="AG2168">
        <v>0</v>
      </c>
      <c r="AH2168">
        <v>0.1202086955308914</v>
      </c>
      <c r="AI2168">
        <v>87</v>
      </c>
      <c r="AJ2168">
        <v>0.94233864545822144</v>
      </c>
      <c r="AK2168" t="s">
        <v>54</v>
      </c>
      <c r="AL2168" t="s">
        <v>53</v>
      </c>
      <c r="AQ2168" t="s">
        <v>53</v>
      </c>
      <c r="AT2168" t="s">
        <v>10221</v>
      </c>
      <c r="AW2168" t="s">
        <v>53</v>
      </c>
      <c r="AZ2168" t="s">
        <v>54</v>
      </c>
      <c r="BA2168" t="s">
        <v>10580</v>
      </c>
    </row>
    <row r="2169" spans="1:53" x14ac:dyDescent="0.25">
      <c r="A2169">
        <v>2164</v>
      </c>
      <c r="B2169" t="s">
        <v>10581</v>
      </c>
      <c r="C2169" t="s">
        <v>10582</v>
      </c>
      <c r="D2169" t="s">
        <v>10583</v>
      </c>
      <c r="E2169">
        <v>13</v>
      </c>
      <c r="F2169" t="s">
        <v>9904</v>
      </c>
      <c r="G2169" t="s">
        <v>10584</v>
      </c>
      <c r="H2169" t="s">
        <v>10585</v>
      </c>
      <c r="I2169" t="s">
        <v>10586</v>
      </c>
      <c r="L2169" t="s">
        <v>9991</v>
      </c>
      <c r="M2169">
        <v>878.7767333984375</v>
      </c>
      <c r="N2169" t="s">
        <v>54</v>
      </c>
      <c r="O2169" t="s">
        <v>53</v>
      </c>
      <c r="P2169" t="s">
        <v>54</v>
      </c>
      <c r="Q2169" t="s">
        <v>53</v>
      </c>
      <c r="R2169" t="s">
        <v>53</v>
      </c>
      <c r="S2169" t="s">
        <v>10541</v>
      </c>
      <c r="T2169" t="s">
        <v>10587</v>
      </c>
      <c r="U2169" t="s">
        <v>54</v>
      </c>
      <c r="V2169" t="s">
        <v>138</v>
      </c>
      <c r="W2169">
        <v>500000</v>
      </c>
      <c r="X2169" t="s">
        <v>53</v>
      </c>
      <c r="AA2169">
        <v>1617</v>
      </c>
      <c r="AB2169">
        <v>792</v>
      </c>
      <c r="AC2169">
        <v>6275</v>
      </c>
      <c r="AD2169">
        <v>4902</v>
      </c>
      <c r="AE2169">
        <v>6275</v>
      </c>
      <c r="AF2169">
        <v>27</v>
      </c>
      <c r="AG2169">
        <v>34</v>
      </c>
      <c r="AH2169">
        <v>113.08510589599609</v>
      </c>
      <c r="AI2169">
        <v>400</v>
      </c>
      <c r="AJ2169">
        <v>10462.880859375</v>
      </c>
      <c r="AK2169" t="s">
        <v>54</v>
      </c>
      <c r="AL2169" t="s">
        <v>53</v>
      </c>
      <c r="AQ2169" t="s">
        <v>53</v>
      </c>
      <c r="AT2169" t="s">
        <v>10588</v>
      </c>
      <c r="AW2169" t="s">
        <v>8390</v>
      </c>
      <c r="AZ2169" t="s">
        <v>54</v>
      </c>
      <c r="BA2169" t="s">
        <v>10507</v>
      </c>
    </row>
    <row r="2170" spans="1:53" x14ac:dyDescent="0.25">
      <c r="A2170">
        <v>2165</v>
      </c>
      <c r="B2170" t="s">
        <v>10589</v>
      </c>
      <c r="C2170" t="s">
        <v>10590</v>
      </c>
      <c r="D2170" t="s">
        <v>10590</v>
      </c>
      <c r="E2170">
        <v>13</v>
      </c>
      <c r="F2170" t="s">
        <v>9904</v>
      </c>
      <c r="G2170" t="s">
        <v>10278</v>
      </c>
      <c r="H2170" t="s">
        <v>10279</v>
      </c>
      <c r="I2170" t="s">
        <v>10280</v>
      </c>
      <c r="J2170" t="s">
        <v>10591</v>
      </c>
      <c r="K2170" t="s">
        <v>10592</v>
      </c>
      <c r="L2170" t="s">
        <v>9991</v>
      </c>
      <c r="M2170">
        <v>6.3654360771179199</v>
      </c>
      <c r="N2170" t="s">
        <v>54</v>
      </c>
      <c r="O2170" t="s">
        <v>53</v>
      </c>
      <c r="P2170" t="s">
        <v>54</v>
      </c>
      <c r="Q2170" t="s">
        <v>53</v>
      </c>
      <c r="R2170" t="s">
        <v>53</v>
      </c>
      <c r="S2170" t="s">
        <v>10283</v>
      </c>
      <c r="T2170" t="s">
        <v>10284</v>
      </c>
      <c r="U2170" t="s">
        <v>54</v>
      </c>
      <c r="V2170" t="s">
        <v>138</v>
      </c>
      <c r="W2170">
        <v>250000</v>
      </c>
      <c r="X2170" t="s">
        <v>53</v>
      </c>
      <c r="AA2170">
        <v>671</v>
      </c>
      <c r="AB2170">
        <v>477</v>
      </c>
      <c r="AC2170">
        <v>2931</v>
      </c>
      <c r="AD2170">
        <v>1267</v>
      </c>
      <c r="AE2170">
        <v>2931</v>
      </c>
      <c r="AF2170">
        <v>18</v>
      </c>
      <c r="AG2170">
        <v>13</v>
      </c>
      <c r="AH2170">
        <v>13.42814350128174</v>
      </c>
      <c r="AI2170">
        <v>136</v>
      </c>
      <c r="AJ2170">
        <v>13.689279556274411</v>
      </c>
      <c r="AK2170" t="s">
        <v>54</v>
      </c>
      <c r="AL2170" t="s">
        <v>53</v>
      </c>
      <c r="AQ2170" t="s">
        <v>53</v>
      </c>
      <c r="AT2170" t="s">
        <v>9934</v>
      </c>
      <c r="AW2170" t="s">
        <v>8390</v>
      </c>
      <c r="AZ2170" t="s">
        <v>54</v>
      </c>
      <c r="BA2170" t="s">
        <v>10593</v>
      </c>
    </row>
    <row r="2171" spans="1:53" x14ac:dyDescent="0.25">
      <c r="A2171">
        <v>2166</v>
      </c>
      <c r="B2171" t="s">
        <v>10594</v>
      </c>
      <c r="C2171" t="s">
        <v>10595</v>
      </c>
      <c r="D2171" t="s">
        <v>10596</v>
      </c>
      <c r="E2171">
        <v>13</v>
      </c>
      <c r="F2171" t="s">
        <v>9904</v>
      </c>
      <c r="G2171" t="s">
        <v>10597</v>
      </c>
      <c r="H2171" t="s">
        <v>10598</v>
      </c>
      <c r="I2171" t="s">
        <v>10599</v>
      </c>
      <c r="L2171" t="s">
        <v>10600</v>
      </c>
      <c r="M2171">
        <v>704.7862548828125</v>
      </c>
      <c r="N2171" t="s">
        <v>54</v>
      </c>
      <c r="O2171" t="s">
        <v>54</v>
      </c>
      <c r="P2171" t="s">
        <v>54</v>
      </c>
      <c r="Q2171" t="s">
        <v>53</v>
      </c>
      <c r="R2171" t="s">
        <v>53</v>
      </c>
      <c r="S2171" t="s">
        <v>10601</v>
      </c>
      <c r="T2171" t="s">
        <v>10602</v>
      </c>
      <c r="U2171" t="s">
        <v>54</v>
      </c>
      <c r="V2171" t="s">
        <v>51</v>
      </c>
      <c r="W2171">
        <v>250000</v>
      </c>
      <c r="X2171" t="s">
        <v>53</v>
      </c>
      <c r="AA2171">
        <v>5577</v>
      </c>
      <c r="AB2171">
        <v>4182</v>
      </c>
      <c r="AC2171">
        <v>8125</v>
      </c>
      <c r="AD2171">
        <v>10683</v>
      </c>
      <c r="AE2171">
        <v>10683</v>
      </c>
      <c r="AF2171">
        <v>23</v>
      </c>
      <c r="AG2171">
        <v>13</v>
      </c>
      <c r="AH2171">
        <v>287.6025390625</v>
      </c>
      <c r="AI2171">
        <v>914</v>
      </c>
      <c r="AJ2171">
        <v>30916.986328125</v>
      </c>
      <c r="AK2171" t="s">
        <v>54</v>
      </c>
      <c r="AL2171" t="s">
        <v>53</v>
      </c>
      <c r="AQ2171" t="s">
        <v>53</v>
      </c>
      <c r="AT2171" t="s">
        <v>9934</v>
      </c>
      <c r="AW2171" t="s">
        <v>8390</v>
      </c>
      <c r="AZ2171" t="s">
        <v>54</v>
      </c>
      <c r="BA2171" t="s">
        <v>10603</v>
      </c>
    </row>
    <row r="2172" spans="1:53" x14ac:dyDescent="0.25">
      <c r="A2172">
        <v>2167</v>
      </c>
      <c r="B2172" t="s">
        <v>10604</v>
      </c>
      <c r="C2172" t="s">
        <v>10605</v>
      </c>
      <c r="D2172" t="s">
        <v>10606</v>
      </c>
      <c r="E2172">
        <v>13</v>
      </c>
      <c r="F2172" t="s">
        <v>9904</v>
      </c>
      <c r="G2172" t="s">
        <v>10528</v>
      </c>
      <c r="H2172" t="s">
        <v>10607</v>
      </c>
      <c r="I2172" t="s">
        <v>10608</v>
      </c>
      <c r="J2172" t="s">
        <v>10609</v>
      </c>
      <c r="K2172" t="s">
        <v>10610</v>
      </c>
      <c r="L2172" t="s">
        <v>9910</v>
      </c>
      <c r="M2172">
        <v>15.1313591003418</v>
      </c>
      <c r="N2172" t="s">
        <v>54</v>
      </c>
      <c r="O2172" t="s">
        <v>54</v>
      </c>
      <c r="P2172" t="s">
        <v>54</v>
      </c>
      <c r="Q2172" t="s">
        <v>53</v>
      </c>
      <c r="R2172" t="s">
        <v>53</v>
      </c>
      <c r="S2172" t="s">
        <v>10495</v>
      </c>
      <c r="T2172" t="s">
        <v>10611</v>
      </c>
      <c r="U2172" t="s">
        <v>54</v>
      </c>
      <c r="V2172" t="s">
        <v>51</v>
      </c>
      <c r="W2172">
        <v>2000</v>
      </c>
      <c r="X2172" t="s">
        <v>53</v>
      </c>
      <c r="AA2172">
        <v>285</v>
      </c>
      <c r="AB2172">
        <v>251</v>
      </c>
      <c r="AC2172">
        <v>575</v>
      </c>
      <c r="AD2172">
        <v>600</v>
      </c>
      <c r="AE2172">
        <v>600</v>
      </c>
      <c r="AF2172">
        <v>3</v>
      </c>
      <c r="AG2172">
        <v>0</v>
      </c>
      <c r="AH2172">
        <v>19.089162826538089</v>
      </c>
      <c r="AI2172">
        <v>87</v>
      </c>
      <c r="AJ2172">
        <v>267.54840087890619</v>
      </c>
      <c r="AK2172" t="s">
        <v>54</v>
      </c>
      <c r="AL2172" t="s">
        <v>53</v>
      </c>
      <c r="AQ2172" t="s">
        <v>53</v>
      </c>
      <c r="AT2172" t="s">
        <v>10612</v>
      </c>
      <c r="AU2172" s="148">
        <v>43242</v>
      </c>
      <c r="AW2172" t="s">
        <v>8390</v>
      </c>
      <c r="AZ2172" t="s">
        <v>54</v>
      </c>
      <c r="BA2172" t="s">
        <v>10593</v>
      </c>
    </row>
    <row r="2173" spans="1:53" x14ac:dyDescent="0.25">
      <c r="A2173">
        <v>2168</v>
      </c>
      <c r="B2173" t="s">
        <v>10613</v>
      </c>
      <c r="C2173" t="s">
        <v>10614</v>
      </c>
      <c r="D2173" t="s">
        <v>10615</v>
      </c>
      <c r="E2173">
        <v>13</v>
      </c>
      <c r="F2173" t="s">
        <v>9904</v>
      </c>
      <c r="G2173" t="s">
        <v>10289</v>
      </c>
      <c r="H2173" t="s">
        <v>10279</v>
      </c>
      <c r="I2173" t="s">
        <v>10616</v>
      </c>
      <c r="J2173" t="s">
        <v>10617</v>
      </c>
      <c r="K2173" t="s">
        <v>10618</v>
      </c>
      <c r="L2173" t="s">
        <v>10480</v>
      </c>
      <c r="M2173">
        <v>1.6673927307128911</v>
      </c>
      <c r="N2173" t="s">
        <v>54</v>
      </c>
      <c r="O2173" t="s">
        <v>54</v>
      </c>
      <c r="P2173" t="s">
        <v>54</v>
      </c>
      <c r="Q2173" t="s">
        <v>53</v>
      </c>
      <c r="R2173" t="s">
        <v>53</v>
      </c>
      <c r="S2173" t="s">
        <v>10619</v>
      </c>
      <c r="T2173" t="s">
        <v>10340</v>
      </c>
      <c r="U2173" t="s">
        <v>54</v>
      </c>
      <c r="V2173" t="s">
        <v>51</v>
      </c>
      <c r="W2173">
        <v>150000</v>
      </c>
      <c r="X2173" t="s">
        <v>53</v>
      </c>
      <c r="AA2173">
        <v>89</v>
      </c>
      <c r="AB2173">
        <v>81</v>
      </c>
      <c r="AC2173">
        <v>58</v>
      </c>
      <c r="AD2173">
        <v>180</v>
      </c>
      <c r="AE2173">
        <v>180</v>
      </c>
      <c r="AF2173">
        <v>0</v>
      </c>
      <c r="AG2173">
        <v>0</v>
      </c>
      <c r="AH2173">
        <v>1.7205690145492549</v>
      </c>
      <c r="AI2173">
        <v>34</v>
      </c>
      <c r="AJ2173">
        <v>99.318626403808594</v>
      </c>
      <c r="AK2173" t="s">
        <v>54</v>
      </c>
      <c r="AL2173" t="s">
        <v>53</v>
      </c>
      <c r="AQ2173" t="s">
        <v>53</v>
      </c>
      <c r="AT2173" t="s">
        <v>9934</v>
      </c>
      <c r="AW2173" t="s">
        <v>8390</v>
      </c>
      <c r="AZ2173" t="s">
        <v>54</v>
      </c>
      <c r="BA2173" t="s">
        <v>10507</v>
      </c>
    </row>
    <row r="2174" spans="1:53" x14ac:dyDescent="0.25">
      <c r="A2174">
        <v>2169</v>
      </c>
      <c r="B2174" t="s">
        <v>10620</v>
      </c>
      <c r="C2174" t="s">
        <v>10621</v>
      </c>
      <c r="D2174" t="s">
        <v>10622</v>
      </c>
      <c r="E2174">
        <v>13</v>
      </c>
      <c r="F2174" t="s">
        <v>9904</v>
      </c>
      <c r="G2174" t="s">
        <v>10289</v>
      </c>
      <c r="H2174" t="s">
        <v>10279</v>
      </c>
      <c r="I2174" t="s">
        <v>10616</v>
      </c>
      <c r="J2174" t="s">
        <v>10617</v>
      </c>
      <c r="K2174" t="s">
        <v>10618</v>
      </c>
      <c r="L2174" t="s">
        <v>10255</v>
      </c>
      <c r="M2174">
        <v>1.6673927307128911</v>
      </c>
      <c r="N2174" t="s">
        <v>54</v>
      </c>
      <c r="O2174" t="s">
        <v>54</v>
      </c>
      <c r="P2174" t="s">
        <v>54</v>
      </c>
      <c r="Q2174" t="s">
        <v>53</v>
      </c>
      <c r="R2174" t="s">
        <v>53</v>
      </c>
      <c r="S2174" t="s">
        <v>10619</v>
      </c>
      <c r="T2174" t="s">
        <v>10340</v>
      </c>
      <c r="U2174" t="s">
        <v>54</v>
      </c>
      <c r="V2174" t="s">
        <v>138</v>
      </c>
      <c r="W2174">
        <v>82000</v>
      </c>
      <c r="X2174" t="s">
        <v>53</v>
      </c>
      <c r="AA2174">
        <v>89</v>
      </c>
      <c r="AB2174">
        <v>81</v>
      </c>
      <c r="AC2174">
        <v>58</v>
      </c>
      <c r="AD2174">
        <v>180</v>
      </c>
      <c r="AE2174">
        <v>180</v>
      </c>
      <c r="AF2174">
        <v>0</v>
      </c>
      <c r="AG2174">
        <v>0</v>
      </c>
      <c r="AH2174">
        <v>1.7205690145492549</v>
      </c>
      <c r="AI2174">
        <v>34</v>
      </c>
      <c r="AJ2174">
        <v>99.318626403808594</v>
      </c>
      <c r="AK2174" t="s">
        <v>54</v>
      </c>
      <c r="AL2174" t="s">
        <v>53</v>
      </c>
      <c r="AQ2174" t="s">
        <v>53</v>
      </c>
      <c r="AT2174" t="s">
        <v>10612</v>
      </c>
      <c r="AU2174" s="148">
        <v>43242</v>
      </c>
      <c r="AW2174" t="s">
        <v>8390</v>
      </c>
      <c r="AZ2174" t="s">
        <v>54</v>
      </c>
      <c r="BA2174" t="s">
        <v>10507</v>
      </c>
    </row>
    <row r="2175" spans="1:53" x14ac:dyDescent="0.25">
      <c r="A2175">
        <v>2170</v>
      </c>
      <c r="B2175" t="s">
        <v>10623</v>
      </c>
      <c r="C2175" t="s">
        <v>10624</v>
      </c>
      <c r="D2175" t="s">
        <v>10625</v>
      </c>
      <c r="E2175">
        <v>13</v>
      </c>
      <c r="F2175" t="s">
        <v>9904</v>
      </c>
      <c r="G2175" t="s">
        <v>10626</v>
      </c>
      <c r="H2175" t="s">
        <v>10627</v>
      </c>
      <c r="I2175" t="s">
        <v>10628</v>
      </c>
      <c r="J2175" t="s">
        <v>10629</v>
      </c>
      <c r="K2175" t="s">
        <v>10630</v>
      </c>
      <c r="L2175" t="s">
        <v>10631</v>
      </c>
      <c r="M2175">
        <v>5.0524506568908691</v>
      </c>
      <c r="N2175" t="s">
        <v>54</v>
      </c>
      <c r="O2175" t="s">
        <v>53</v>
      </c>
      <c r="P2175" t="s">
        <v>54</v>
      </c>
      <c r="Q2175" t="s">
        <v>53</v>
      </c>
      <c r="R2175" t="s">
        <v>53</v>
      </c>
      <c r="S2175" t="s">
        <v>10632</v>
      </c>
      <c r="T2175" t="s">
        <v>10633</v>
      </c>
      <c r="U2175" t="s">
        <v>54</v>
      </c>
      <c r="V2175" t="s">
        <v>138</v>
      </c>
      <c r="W2175">
        <v>120000</v>
      </c>
      <c r="X2175" t="s">
        <v>53</v>
      </c>
      <c r="AA2175">
        <v>97</v>
      </c>
      <c r="AB2175">
        <v>82</v>
      </c>
      <c r="AC2175">
        <v>2</v>
      </c>
      <c r="AD2175">
        <v>35</v>
      </c>
      <c r="AE2175">
        <v>35</v>
      </c>
      <c r="AF2175">
        <v>0</v>
      </c>
      <c r="AG2175">
        <v>0</v>
      </c>
      <c r="AH2175">
        <v>8.5024290084838867</v>
      </c>
      <c r="AI2175">
        <v>15</v>
      </c>
      <c r="AJ2175">
        <v>0.46323740482330322</v>
      </c>
      <c r="AK2175" t="s">
        <v>54</v>
      </c>
      <c r="AL2175" t="s">
        <v>53</v>
      </c>
      <c r="AQ2175" t="s">
        <v>53</v>
      </c>
      <c r="AT2175" t="s">
        <v>9980</v>
      </c>
      <c r="AW2175" t="s">
        <v>8390</v>
      </c>
      <c r="AZ2175" t="s">
        <v>54</v>
      </c>
      <c r="BA2175" t="s">
        <v>10634</v>
      </c>
    </row>
    <row r="2176" spans="1:53" x14ac:dyDescent="0.25">
      <c r="A2176">
        <v>2171</v>
      </c>
      <c r="B2176" t="s">
        <v>10635</v>
      </c>
      <c r="C2176" t="s">
        <v>10636</v>
      </c>
      <c r="D2176" t="s">
        <v>10637</v>
      </c>
      <c r="E2176">
        <v>13</v>
      </c>
      <c r="F2176" t="s">
        <v>9904</v>
      </c>
      <c r="G2176" t="s">
        <v>10638</v>
      </c>
      <c r="H2176" t="s">
        <v>10639</v>
      </c>
      <c r="I2176" t="s">
        <v>10640</v>
      </c>
      <c r="J2176" t="s">
        <v>10641</v>
      </c>
      <c r="K2176" t="s">
        <v>10642</v>
      </c>
      <c r="L2176" t="s">
        <v>10255</v>
      </c>
      <c r="M2176">
        <v>281.78964233398438</v>
      </c>
      <c r="N2176" t="s">
        <v>54</v>
      </c>
      <c r="O2176" t="s">
        <v>54</v>
      </c>
      <c r="P2176" t="s">
        <v>54</v>
      </c>
      <c r="Q2176" t="s">
        <v>53</v>
      </c>
      <c r="R2176" t="s">
        <v>53</v>
      </c>
      <c r="S2176" t="s">
        <v>10406</v>
      </c>
      <c r="T2176" t="s">
        <v>10643</v>
      </c>
      <c r="U2176" t="s">
        <v>54</v>
      </c>
      <c r="V2176" t="s">
        <v>1973</v>
      </c>
      <c r="W2176">
        <v>50000</v>
      </c>
      <c r="X2176" t="s">
        <v>53</v>
      </c>
      <c r="Y2176" t="s">
        <v>0</v>
      </c>
      <c r="AA2176">
        <v>3334</v>
      </c>
      <c r="AB2176">
        <v>2828</v>
      </c>
      <c r="AC2176">
        <v>4119</v>
      </c>
      <c r="AD2176">
        <v>4790</v>
      </c>
      <c r="AE2176">
        <v>4790</v>
      </c>
      <c r="AF2176">
        <v>4</v>
      </c>
      <c r="AG2176">
        <v>0</v>
      </c>
      <c r="AH2176">
        <v>103.3478622436523</v>
      </c>
      <c r="AI2176">
        <v>548</v>
      </c>
      <c r="AJ2176">
        <v>571.30499267578125</v>
      </c>
      <c r="AK2176" t="s">
        <v>53</v>
      </c>
      <c r="AL2176" t="s">
        <v>53</v>
      </c>
      <c r="AQ2176" t="s">
        <v>53</v>
      </c>
      <c r="AT2176" t="s">
        <v>10266</v>
      </c>
      <c r="AU2176" s="148">
        <v>43020</v>
      </c>
      <c r="AW2176" t="s">
        <v>8390</v>
      </c>
      <c r="AZ2176" t="s">
        <v>54</v>
      </c>
      <c r="BA2176" t="s">
        <v>10593</v>
      </c>
    </row>
    <row r="2177" spans="1:53" x14ac:dyDescent="0.25">
      <c r="A2177">
        <v>2172</v>
      </c>
      <c r="B2177" t="s">
        <v>10644</v>
      </c>
      <c r="C2177" t="s">
        <v>10645</v>
      </c>
      <c r="D2177" t="s">
        <v>10646</v>
      </c>
      <c r="E2177">
        <v>13</v>
      </c>
      <c r="F2177" t="s">
        <v>9904</v>
      </c>
      <c r="G2177" t="s">
        <v>10647</v>
      </c>
      <c r="H2177" t="s">
        <v>10260</v>
      </c>
      <c r="I2177" t="s">
        <v>10261</v>
      </c>
      <c r="J2177" t="s">
        <v>10262</v>
      </c>
      <c r="K2177" t="s">
        <v>10263</v>
      </c>
      <c r="L2177" t="s">
        <v>10648</v>
      </c>
      <c r="M2177">
        <v>0.41986709833145142</v>
      </c>
      <c r="N2177" t="s">
        <v>54</v>
      </c>
      <c r="O2177" t="s">
        <v>54</v>
      </c>
      <c r="P2177" t="s">
        <v>53</v>
      </c>
      <c r="Q2177" t="s">
        <v>53</v>
      </c>
      <c r="R2177" t="s">
        <v>53</v>
      </c>
      <c r="S2177" t="s">
        <v>10362</v>
      </c>
      <c r="T2177" t="s">
        <v>10649</v>
      </c>
      <c r="U2177" t="s">
        <v>54</v>
      </c>
      <c r="V2177" t="s">
        <v>1973</v>
      </c>
      <c r="W2177">
        <v>82000</v>
      </c>
      <c r="X2177" t="s">
        <v>54</v>
      </c>
      <c r="Y2177" t="s">
        <v>10650</v>
      </c>
      <c r="AA2177">
        <v>89</v>
      </c>
      <c r="AB2177">
        <v>26</v>
      </c>
      <c r="AC2177">
        <v>318</v>
      </c>
      <c r="AD2177">
        <v>190</v>
      </c>
      <c r="AE2177">
        <v>318</v>
      </c>
      <c r="AF2177">
        <v>0</v>
      </c>
      <c r="AG2177">
        <v>0</v>
      </c>
      <c r="AH2177">
        <v>4.923062801361084</v>
      </c>
      <c r="AI2177">
        <v>29</v>
      </c>
      <c r="AJ2177">
        <v>0.28557202219963068</v>
      </c>
      <c r="AK2177" t="s">
        <v>54</v>
      </c>
      <c r="AL2177" t="s">
        <v>53</v>
      </c>
      <c r="AQ2177" t="s">
        <v>53</v>
      </c>
      <c r="AT2177" t="s">
        <v>10266</v>
      </c>
      <c r="AU2177" s="148">
        <v>43020</v>
      </c>
      <c r="AW2177" t="s">
        <v>54</v>
      </c>
      <c r="AZ2177" t="s">
        <v>54</v>
      </c>
      <c r="BA2177" t="s">
        <v>9970</v>
      </c>
    </row>
    <row r="2178" spans="1:53" x14ac:dyDescent="0.25">
      <c r="A2178">
        <v>2173</v>
      </c>
      <c r="B2178" t="s">
        <v>10651</v>
      </c>
      <c r="C2178" t="s">
        <v>10652</v>
      </c>
      <c r="D2178" t="s">
        <v>10653</v>
      </c>
      <c r="E2178">
        <v>13</v>
      </c>
      <c r="F2178" t="s">
        <v>9904</v>
      </c>
      <c r="G2178" t="s">
        <v>10597</v>
      </c>
      <c r="H2178" t="s">
        <v>10598</v>
      </c>
      <c r="I2178" t="s">
        <v>10599</v>
      </c>
      <c r="L2178" t="s">
        <v>10413</v>
      </c>
      <c r="M2178">
        <v>704.7862548828125</v>
      </c>
      <c r="N2178" t="s">
        <v>54</v>
      </c>
      <c r="O2178" t="s">
        <v>54</v>
      </c>
      <c r="P2178" t="s">
        <v>54</v>
      </c>
      <c r="Q2178" t="s">
        <v>53</v>
      </c>
      <c r="R2178" t="s">
        <v>53</v>
      </c>
      <c r="S2178" t="s">
        <v>10654</v>
      </c>
      <c r="T2178" t="s">
        <v>10602</v>
      </c>
      <c r="U2178" t="s">
        <v>54</v>
      </c>
      <c r="V2178" t="s">
        <v>1973</v>
      </c>
      <c r="W2178">
        <v>795000</v>
      </c>
      <c r="X2178" t="s">
        <v>53</v>
      </c>
      <c r="AA2178">
        <v>5577</v>
      </c>
      <c r="AB2178">
        <v>4182</v>
      </c>
      <c r="AC2178">
        <v>8125</v>
      </c>
      <c r="AD2178">
        <v>10683</v>
      </c>
      <c r="AE2178">
        <v>10683</v>
      </c>
      <c r="AF2178">
        <v>23</v>
      </c>
      <c r="AG2178">
        <v>13</v>
      </c>
      <c r="AH2178">
        <v>287.6025390625</v>
      </c>
      <c r="AI2178">
        <v>914</v>
      </c>
      <c r="AJ2178">
        <v>30916.986328125</v>
      </c>
      <c r="AK2178" t="s">
        <v>54</v>
      </c>
      <c r="AL2178" t="s">
        <v>53</v>
      </c>
      <c r="AQ2178" t="s">
        <v>53</v>
      </c>
      <c r="AT2178" t="s">
        <v>10612</v>
      </c>
      <c r="AW2178" t="s">
        <v>8390</v>
      </c>
      <c r="AZ2178" t="s">
        <v>54</v>
      </c>
      <c r="BA2178" t="s">
        <v>10507</v>
      </c>
    </row>
    <row r="2179" spans="1:53" x14ac:dyDescent="0.25">
      <c r="A2179">
        <v>2174</v>
      </c>
      <c r="B2179" t="s">
        <v>10655</v>
      </c>
      <c r="C2179" t="s">
        <v>10656</v>
      </c>
      <c r="D2179" t="s">
        <v>10657</v>
      </c>
      <c r="E2179">
        <v>13</v>
      </c>
      <c r="F2179" t="s">
        <v>9904</v>
      </c>
      <c r="G2179" t="s">
        <v>10567</v>
      </c>
      <c r="H2179" t="s">
        <v>10658</v>
      </c>
      <c r="I2179" t="s">
        <v>10659</v>
      </c>
      <c r="J2179" t="s">
        <v>10660</v>
      </c>
      <c r="K2179" t="s">
        <v>10661</v>
      </c>
      <c r="L2179" t="s">
        <v>10011</v>
      </c>
      <c r="M2179">
        <v>52.398677825927727</v>
      </c>
      <c r="N2179" t="s">
        <v>54</v>
      </c>
      <c r="O2179" t="s">
        <v>54</v>
      </c>
      <c r="P2179" t="s">
        <v>54</v>
      </c>
      <c r="Q2179" t="s">
        <v>53</v>
      </c>
      <c r="R2179" t="s">
        <v>53</v>
      </c>
      <c r="S2179" t="s">
        <v>10362</v>
      </c>
      <c r="T2179" t="s">
        <v>10662</v>
      </c>
      <c r="U2179" t="s">
        <v>54</v>
      </c>
      <c r="V2179" t="s">
        <v>1973</v>
      </c>
      <c r="W2179">
        <v>82000</v>
      </c>
      <c r="X2179" t="s">
        <v>54</v>
      </c>
      <c r="Y2179" t="s">
        <v>10663</v>
      </c>
      <c r="AA2179">
        <v>914</v>
      </c>
      <c r="AB2179">
        <v>639</v>
      </c>
      <c r="AC2179">
        <v>1757</v>
      </c>
      <c r="AD2179">
        <v>2022</v>
      </c>
      <c r="AE2179">
        <v>2022</v>
      </c>
      <c r="AF2179">
        <v>0</v>
      </c>
      <c r="AG2179">
        <v>0</v>
      </c>
      <c r="AH2179">
        <v>32.119758605957031</v>
      </c>
      <c r="AI2179">
        <v>138</v>
      </c>
      <c r="AJ2179">
        <v>4.7731661796569824</v>
      </c>
      <c r="AK2179" t="s">
        <v>53</v>
      </c>
      <c r="AL2179" t="s">
        <v>53</v>
      </c>
      <c r="AQ2179" t="s">
        <v>53</v>
      </c>
      <c r="AT2179" t="s">
        <v>10266</v>
      </c>
      <c r="AU2179" s="148">
        <v>43020</v>
      </c>
      <c r="AW2179" t="s">
        <v>8390</v>
      </c>
      <c r="AZ2179" t="s">
        <v>54</v>
      </c>
      <c r="BA2179" t="s">
        <v>9970</v>
      </c>
    </row>
    <row r="2180" spans="1:53" x14ac:dyDescent="0.25">
      <c r="A2180">
        <v>2175</v>
      </c>
      <c r="B2180" t="s">
        <v>10664</v>
      </c>
      <c r="C2180" t="s">
        <v>10665</v>
      </c>
      <c r="D2180" t="s">
        <v>10666</v>
      </c>
      <c r="E2180">
        <v>13</v>
      </c>
      <c r="F2180" t="s">
        <v>9904</v>
      </c>
      <c r="G2180" t="s">
        <v>10289</v>
      </c>
      <c r="H2180" t="s">
        <v>10279</v>
      </c>
      <c r="I2180" t="s">
        <v>10667</v>
      </c>
      <c r="J2180" t="s">
        <v>10668</v>
      </c>
      <c r="K2180" t="s">
        <v>10669</v>
      </c>
      <c r="L2180" t="s">
        <v>10670</v>
      </c>
      <c r="M2180">
        <v>2.9682409763336182</v>
      </c>
      <c r="N2180" t="s">
        <v>54</v>
      </c>
      <c r="O2180" t="s">
        <v>53</v>
      </c>
      <c r="P2180" t="s">
        <v>54</v>
      </c>
      <c r="Q2180" t="s">
        <v>53</v>
      </c>
      <c r="R2180" t="s">
        <v>53</v>
      </c>
      <c r="S2180" t="s">
        <v>10671</v>
      </c>
      <c r="T2180" t="s">
        <v>10672</v>
      </c>
      <c r="U2180" t="s">
        <v>54</v>
      </c>
      <c r="V2180" t="s">
        <v>1973</v>
      </c>
      <c r="W2180">
        <v>159000</v>
      </c>
      <c r="X2180" t="s">
        <v>53</v>
      </c>
      <c r="AA2180">
        <v>762</v>
      </c>
      <c r="AB2180">
        <v>612</v>
      </c>
      <c r="AC2180">
        <v>1823</v>
      </c>
      <c r="AD2180">
        <v>2145</v>
      </c>
      <c r="AE2180">
        <v>2145</v>
      </c>
      <c r="AF2180">
        <v>2</v>
      </c>
      <c r="AG2180">
        <v>0</v>
      </c>
      <c r="AH2180">
        <v>15.066633224487299</v>
      </c>
      <c r="AI2180">
        <v>87</v>
      </c>
      <c r="AJ2180">
        <v>69.114486694335938</v>
      </c>
      <c r="AK2180" t="s">
        <v>54</v>
      </c>
      <c r="AL2180" t="s">
        <v>53</v>
      </c>
      <c r="AQ2180" t="s">
        <v>53</v>
      </c>
      <c r="AT2180" t="s">
        <v>10612</v>
      </c>
      <c r="AU2180" s="148">
        <v>43242</v>
      </c>
      <c r="AW2180" t="s">
        <v>8390</v>
      </c>
      <c r="AZ2180" t="s">
        <v>54</v>
      </c>
      <c r="BA2180" t="s">
        <v>10507</v>
      </c>
    </row>
    <row r="2181" spans="1:53" x14ac:dyDescent="0.25">
      <c r="A2181">
        <v>2176</v>
      </c>
      <c r="B2181" t="s">
        <v>10673</v>
      </c>
      <c r="C2181" t="s">
        <v>10674</v>
      </c>
      <c r="D2181" t="s">
        <v>10675</v>
      </c>
      <c r="E2181">
        <v>13</v>
      </c>
      <c r="F2181" t="s">
        <v>9904</v>
      </c>
      <c r="G2181" t="s">
        <v>10289</v>
      </c>
      <c r="H2181" t="s">
        <v>10260</v>
      </c>
      <c r="I2181" t="s">
        <v>10307</v>
      </c>
      <c r="J2181" t="s">
        <v>10308</v>
      </c>
      <c r="K2181" t="s">
        <v>10309</v>
      </c>
      <c r="L2181" t="s">
        <v>9910</v>
      </c>
      <c r="M2181">
        <v>3.138413280248642E-2</v>
      </c>
      <c r="N2181" t="s">
        <v>54</v>
      </c>
      <c r="O2181" t="s">
        <v>53</v>
      </c>
      <c r="P2181" t="s">
        <v>54</v>
      </c>
      <c r="Q2181" t="s">
        <v>53</v>
      </c>
      <c r="R2181" t="s">
        <v>53</v>
      </c>
      <c r="S2181" t="s">
        <v>10294</v>
      </c>
      <c r="T2181" t="s">
        <v>10295</v>
      </c>
      <c r="U2181" t="s">
        <v>54</v>
      </c>
      <c r="V2181" t="s">
        <v>51</v>
      </c>
      <c r="W2181">
        <v>113000</v>
      </c>
      <c r="X2181" t="s">
        <v>53</v>
      </c>
      <c r="AA2181">
        <v>0</v>
      </c>
      <c r="AB2181">
        <v>0</v>
      </c>
      <c r="AC2181">
        <v>0</v>
      </c>
      <c r="AD2181">
        <v>0</v>
      </c>
      <c r="AE2181">
        <v>0</v>
      </c>
      <c r="AF2181">
        <v>0</v>
      </c>
      <c r="AG2181">
        <v>0</v>
      </c>
      <c r="AH2181">
        <v>0.2662627100944519</v>
      </c>
      <c r="AI2181">
        <v>3</v>
      </c>
      <c r="AJ2181">
        <v>0.34242609143257141</v>
      </c>
      <c r="AK2181" t="s">
        <v>54</v>
      </c>
      <c r="AL2181" t="s">
        <v>53</v>
      </c>
      <c r="AQ2181" t="s">
        <v>53</v>
      </c>
      <c r="AT2181" t="s">
        <v>9934</v>
      </c>
      <c r="AW2181" t="s">
        <v>8390</v>
      </c>
      <c r="AZ2181" t="s">
        <v>54</v>
      </c>
      <c r="BA2181" t="s">
        <v>10300</v>
      </c>
    </row>
    <row r="2182" spans="1:53" x14ac:dyDescent="0.25">
      <c r="A2182">
        <v>2177</v>
      </c>
      <c r="B2182" t="s">
        <v>10676</v>
      </c>
      <c r="C2182" t="s">
        <v>10677</v>
      </c>
      <c r="D2182" t="s">
        <v>10678</v>
      </c>
      <c r="E2182">
        <v>13</v>
      </c>
      <c r="F2182" t="s">
        <v>9904</v>
      </c>
      <c r="G2182" t="s">
        <v>10289</v>
      </c>
      <c r="H2182" t="s">
        <v>10260</v>
      </c>
      <c r="I2182" t="s">
        <v>10352</v>
      </c>
      <c r="J2182" t="s">
        <v>10353</v>
      </c>
      <c r="K2182" t="s">
        <v>10354</v>
      </c>
      <c r="L2182" t="s">
        <v>10255</v>
      </c>
      <c r="M2182">
        <v>2.6585070416331291E-2</v>
      </c>
      <c r="N2182" t="s">
        <v>53</v>
      </c>
      <c r="O2182" t="s">
        <v>53</v>
      </c>
      <c r="P2182" t="s">
        <v>54</v>
      </c>
      <c r="Q2182" t="s">
        <v>53</v>
      </c>
      <c r="R2182" t="s">
        <v>53</v>
      </c>
      <c r="S2182" t="s">
        <v>10294</v>
      </c>
      <c r="T2182" t="s">
        <v>10679</v>
      </c>
      <c r="U2182" t="s">
        <v>54</v>
      </c>
      <c r="V2182" t="s">
        <v>51</v>
      </c>
      <c r="W2182">
        <v>525000</v>
      </c>
      <c r="X2182" t="s">
        <v>53</v>
      </c>
      <c r="AA2182">
        <v>0</v>
      </c>
      <c r="AB2182">
        <v>0</v>
      </c>
      <c r="AC2182">
        <v>0</v>
      </c>
      <c r="AD2182">
        <v>0</v>
      </c>
      <c r="AE2182">
        <v>0</v>
      </c>
      <c r="AF2182">
        <v>0</v>
      </c>
      <c r="AG2182">
        <v>0</v>
      </c>
      <c r="AH2182">
        <v>0.1424390971660614</v>
      </c>
      <c r="AI2182">
        <v>5</v>
      </c>
      <c r="AJ2182">
        <v>8.332923986017704E-3</v>
      </c>
      <c r="AK2182" t="s">
        <v>54</v>
      </c>
      <c r="AL2182" t="s">
        <v>53</v>
      </c>
      <c r="AQ2182" t="s">
        <v>53</v>
      </c>
      <c r="AT2182" t="s">
        <v>9934</v>
      </c>
      <c r="AW2182" t="s">
        <v>53</v>
      </c>
      <c r="AZ2182" t="s">
        <v>54</v>
      </c>
      <c r="BA2182" t="s">
        <v>10300</v>
      </c>
    </row>
    <row r="2183" spans="1:53" x14ac:dyDescent="0.25">
      <c r="A2183">
        <v>2178</v>
      </c>
      <c r="B2183" t="s">
        <v>10680</v>
      </c>
      <c r="C2183" t="s">
        <v>10681</v>
      </c>
      <c r="D2183" t="s">
        <v>10682</v>
      </c>
      <c r="E2183">
        <v>13</v>
      </c>
      <c r="F2183" t="s">
        <v>9904</v>
      </c>
      <c r="G2183" t="s">
        <v>9904</v>
      </c>
      <c r="H2183" t="s">
        <v>10246</v>
      </c>
      <c r="I2183" t="s">
        <v>10559</v>
      </c>
      <c r="J2183" t="s">
        <v>10560</v>
      </c>
      <c r="K2183" t="s">
        <v>10561</v>
      </c>
      <c r="L2183" t="s">
        <v>10255</v>
      </c>
      <c r="M2183">
        <v>0.30333328247070313</v>
      </c>
      <c r="N2183" t="s">
        <v>54</v>
      </c>
      <c r="O2183" t="s">
        <v>54</v>
      </c>
      <c r="P2183" t="s">
        <v>53</v>
      </c>
      <c r="Q2183" t="s">
        <v>53</v>
      </c>
      <c r="R2183" t="s">
        <v>53</v>
      </c>
      <c r="S2183" t="s">
        <v>10683</v>
      </c>
      <c r="T2183" t="s">
        <v>10684</v>
      </c>
      <c r="U2183" t="s">
        <v>54</v>
      </c>
      <c r="V2183" t="s">
        <v>51</v>
      </c>
      <c r="W2183">
        <v>130000</v>
      </c>
      <c r="X2183" t="s">
        <v>53</v>
      </c>
      <c r="AA2183">
        <v>125</v>
      </c>
      <c r="AB2183">
        <v>80</v>
      </c>
      <c r="AC2183">
        <v>228</v>
      </c>
      <c r="AD2183">
        <v>263</v>
      </c>
      <c r="AE2183">
        <v>263</v>
      </c>
      <c r="AF2183">
        <v>0</v>
      </c>
      <c r="AG2183">
        <v>0</v>
      </c>
      <c r="AH2183">
        <v>2.6257610321044922</v>
      </c>
      <c r="AI2183">
        <v>18</v>
      </c>
      <c r="AJ2183">
        <v>0.66718453168869019</v>
      </c>
      <c r="AK2183" t="s">
        <v>54</v>
      </c>
      <c r="AL2183" t="s">
        <v>53</v>
      </c>
      <c r="AQ2183" t="s">
        <v>53</v>
      </c>
      <c r="AT2183" t="s">
        <v>9934</v>
      </c>
      <c r="AW2183" t="s">
        <v>53</v>
      </c>
      <c r="AZ2183" t="s">
        <v>54</v>
      </c>
      <c r="BA2183" t="s">
        <v>10685</v>
      </c>
    </row>
    <row r="2184" spans="1:53" x14ac:dyDescent="0.25">
      <c r="A2184">
        <v>2179</v>
      </c>
      <c r="B2184" t="s">
        <v>10686</v>
      </c>
      <c r="C2184" t="s">
        <v>10687</v>
      </c>
      <c r="D2184" t="s">
        <v>10688</v>
      </c>
      <c r="E2184">
        <v>13</v>
      </c>
      <c r="F2184" t="s">
        <v>9904</v>
      </c>
      <c r="G2184" t="s">
        <v>9904</v>
      </c>
      <c r="H2184" t="s">
        <v>10246</v>
      </c>
      <c r="I2184" t="s">
        <v>10559</v>
      </c>
      <c r="J2184" t="s">
        <v>10560</v>
      </c>
      <c r="K2184" t="s">
        <v>10561</v>
      </c>
      <c r="L2184" t="s">
        <v>10255</v>
      </c>
      <c r="M2184">
        <v>0.37855267524719238</v>
      </c>
      <c r="N2184" t="s">
        <v>54</v>
      </c>
      <c r="O2184" t="s">
        <v>54</v>
      </c>
      <c r="P2184" t="s">
        <v>53</v>
      </c>
      <c r="Q2184" t="s">
        <v>53</v>
      </c>
      <c r="R2184" t="s">
        <v>53</v>
      </c>
      <c r="S2184" t="s">
        <v>10683</v>
      </c>
      <c r="T2184" t="s">
        <v>10684</v>
      </c>
      <c r="U2184" t="s">
        <v>54</v>
      </c>
      <c r="V2184" t="s">
        <v>51</v>
      </c>
      <c r="W2184">
        <v>198000</v>
      </c>
      <c r="X2184" t="s">
        <v>53</v>
      </c>
      <c r="AA2184">
        <v>69</v>
      </c>
      <c r="AB2184">
        <v>45</v>
      </c>
      <c r="AC2184">
        <v>102</v>
      </c>
      <c r="AD2184">
        <v>131</v>
      </c>
      <c r="AE2184">
        <v>131</v>
      </c>
      <c r="AF2184">
        <v>2</v>
      </c>
      <c r="AG2184">
        <v>0</v>
      </c>
      <c r="AH2184">
        <v>2.7879757881164551</v>
      </c>
      <c r="AI2184">
        <v>8</v>
      </c>
      <c r="AJ2184">
        <v>0.9343218207359314</v>
      </c>
      <c r="AK2184" t="s">
        <v>54</v>
      </c>
      <c r="AL2184" t="s">
        <v>53</v>
      </c>
      <c r="AQ2184" t="s">
        <v>53</v>
      </c>
      <c r="AT2184" t="s">
        <v>9934</v>
      </c>
      <c r="AW2184" t="s">
        <v>53</v>
      </c>
      <c r="AZ2184" t="s">
        <v>54</v>
      </c>
      <c r="BA2184" t="s">
        <v>10685</v>
      </c>
    </row>
    <row r="2185" spans="1:53" x14ac:dyDescent="0.25">
      <c r="A2185">
        <v>2180</v>
      </c>
      <c r="B2185" t="s">
        <v>10689</v>
      </c>
      <c r="C2185" t="s">
        <v>10690</v>
      </c>
      <c r="D2185" t="s">
        <v>10691</v>
      </c>
      <c r="E2185">
        <v>13</v>
      </c>
      <c r="F2185" t="s">
        <v>9904</v>
      </c>
      <c r="G2185" t="s">
        <v>9904</v>
      </c>
      <c r="H2185" t="s">
        <v>10246</v>
      </c>
      <c r="I2185" t="s">
        <v>10559</v>
      </c>
      <c r="J2185" t="s">
        <v>10560</v>
      </c>
      <c r="K2185" t="s">
        <v>10561</v>
      </c>
      <c r="L2185" t="s">
        <v>10255</v>
      </c>
      <c r="M2185">
        <v>0.32145628333091741</v>
      </c>
      <c r="N2185" t="s">
        <v>54</v>
      </c>
      <c r="O2185" t="s">
        <v>54</v>
      </c>
      <c r="P2185" t="s">
        <v>53</v>
      </c>
      <c r="Q2185" t="s">
        <v>53</v>
      </c>
      <c r="R2185" t="s">
        <v>53</v>
      </c>
      <c r="S2185" t="s">
        <v>10683</v>
      </c>
      <c r="T2185" t="s">
        <v>10563</v>
      </c>
      <c r="U2185" t="s">
        <v>54</v>
      </c>
      <c r="V2185" t="s">
        <v>51</v>
      </c>
      <c r="W2185">
        <v>12000</v>
      </c>
      <c r="X2185" t="s">
        <v>53</v>
      </c>
      <c r="AA2185">
        <v>32</v>
      </c>
      <c r="AB2185">
        <v>31</v>
      </c>
      <c r="AC2185">
        <v>37</v>
      </c>
      <c r="AD2185">
        <v>53</v>
      </c>
      <c r="AE2185">
        <v>53</v>
      </c>
      <c r="AF2185">
        <v>0</v>
      </c>
      <c r="AG2185">
        <v>0</v>
      </c>
      <c r="AH2185">
        <v>2.248869657516479</v>
      </c>
      <c r="AI2185">
        <v>8</v>
      </c>
      <c r="AJ2185">
        <v>2.0015535354614258</v>
      </c>
      <c r="AK2185" t="s">
        <v>54</v>
      </c>
      <c r="AL2185" t="s">
        <v>53</v>
      </c>
      <c r="AQ2185" t="s">
        <v>53</v>
      </c>
      <c r="AT2185" t="s">
        <v>9934</v>
      </c>
      <c r="AW2185" t="s">
        <v>53</v>
      </c>
      <c r="AZ2185" t="s">
        <v>54</v>
      </c>
      <c r="BA2185" t="s">
        <v>10685</v>
      </c>
    </row>
    <row r="2186" spans="1:53" x14ac:dyDescent="0.25">
      <c r="A2186">
        <v>2181</v>
      </c>
      <c r="B2186" t="s">
        <v>10692</v>
      </c>
      <c r="C2186" t="s">
        <v>10693</v>
      </c>
      <c r="D2186" t="s">
        <v>10694</v>
      </c>
      <c r="E2186">
        <v>13</v>
      </c>
      <c r="F2186" t="s">
        <v>9904</v>
      </c>
      <c r="G2186" t="s">
        <v>9904</v>
      </c>
      <c r="H2186" t="s">
        <v>10246</v>
      </c>
      <c r="I2186" t="s">
        <v>10559</v>
      </c>
      <c r="J2186" t="s">
        <v>10560</v>
      </c>
      <c r="K2186" t="s">
        <v>10561</v>
      </c>
      <c r="L2186" t="s">
        <v>10255</v>
      </c>
      <c r="M2186">
        <v>0.29066947102546692</v>
      </c>
      <c r="N2186" t="s">
        <v>53</v>
      </c>
      <c r="O2186" t="s">
        <v>54</v>
      </c>
      <c r="P2186" t="s">
        <v>53</v>
      </c>
      <c r="Q2186" t="s">
        <v>53</v>
      </c>
      <c r="R2186" t="s">
        <v>53</v>
      </c>
      <c r="S2186" t="s">
        <v>10683</v>
      </c>
      <c r="T2186" t="s">
        <v>10563</v>
      </c>
      <c r="U2186" t="s">
        <v>54</v>
      </c>
      <c r="V2186" t="s">
        <v>51</v>
      </c>
      <c r="W2186">
        <v>48000</v>
      </c>
      <c r="X2186" t="s">
        <v>53</v>
      </c>
      <c r="AA2186">
        <v>0</v>
      </c>
      <c r="AB2186">
        <v>0</v>
      </c>
      <c r="AC2186">
        <v>0</v>
      </c>
      <c r="AD2186">
        <v>0</v>
      </c>
      <c r="AE2186">
        <v>0</v>
      </c>
      <c r="AF2186">
        <v>0</v>
      </c>
      <c r="AG2186">
        <v>0</v>
      </c>
      <c r="AH2186">
        <v>0.38072812557220459</v>
      </c>
      <c r="AI2186">
        <v>1</v>
      </c>
      <c r="AJ2186">
        <v>0.94851970672607422</v>
      </c>
      <c r="AK2186" t="s">
        <v>54</v>
      </c>
      <c r="AL2186" t="s">
        <v>53</v>
      </c>
      <c r="AQ2186" t="s">
        <v>53</v>
      </c>
      <c r="AT2186" t="s">
        <v>9934</v>
      </c>
      <c r="AW2186" t="s">
        <v>53</v>
      </c>
      <c r="AZ2186" t="s">
        <v>54</v>
      </c>
      <c r="BA2186" t="s">
        <v>10685</v>
      </c>
    </row>
    <row r="2187" spans="1:53" x14ac:dyDescent="0.25">
      <c r="A2187">
        <v>2182</v>
      </c>
      <c r="B2187" t="s">
        <v>10695</v>
      </c>
      <c r="C2187" t="s">
        <v>10696</v>
      </c>
      <c r="D2187" t="s">
        <v>10697</v>
      </c>
      <c r="E2187">
        <v>13</v>
      </c>
      <c r="F2187" t="s">
        <v>9904</v>
      </c>
      <c r="G2187" t="s">
        <v>10259</v>
      </c>
      <c r="H2187" t="s">
        <v>10260</v>
      </c>
      <c r="I2187" t="s">
        <v>10261</v>
      </c>
      <c r="J2187" t="s">
        <v>10262</v>
      </c>
      <c r="K2187" t="s">
        <v>10263</v>
      </c>
      <c r="L2187" t="s">
        <v>10255</v>
      </c>
      <c r="M2187">
        <v>0.14328205585479739</v>
      </c>
      <c r="N2187" t="s">
        <v>53</v>
      </c>
      <c r="O2187" t="s">
        <v>53</v>
      </c>
      <c r="P2187" t="s">
        <v>54</v>
      </c>
      <c r="Q2187" t="s">
        <v>53</v>
      </c>
      <c r="R2187" t="s">
        <v>53</v>
      </c>
      <c r="S2187" t="s">
        <v>10355</v>
      </c>
      <c r="T2187" t="s">
        <v>10698</v>
      </c>
      <c r="U2187" t="s">
        <v>54</v>
      </c>
      <c r="V2187" t="s">
        <v>51</v>
      </c>
      <c r="W2187">
        <v>450000</v>
      </c>
      <c r="X2187" t="s">
        <v>53</v>
      </c>
      <c r="AA2187">
        <v>25</v>
      </c>
      <c r="AB2187">
        <v>14</v>
      </c>
      <c r="AC2187">
        <v>45</v>
      </c>
      <c r="AD2187">
        <v>29</v>
      </c>
      <c r="AE2187">
        <v>45</v>
      </c>
      <c r="AF2187">
        <v>1</v>
      </c>
      <c r="AG2187">
        <v>0</v>
      </c>
      <c r="AH2187">
        <v>0.8416939377784729</v>
      </c>
      <c r="AI2187">
        <v>10</v>
      </c>
      <c r="AJ2187">
        <v>0</v>
      </c>
      <c r="AK2187" t="s">
        <v>54</v>
      </c>
      <c r="AL2187" t="s">
        <v>53</v>
      </c>
      <c r="AQ2187" t="s">
        <v>53</v>
      </c>
      <c r="AT2187" t="s">
        <v>9934</v>
      </c>
      <c r="AW2187" t="s">
        <v>53</v>
      </c>
      <c r="AZ2187" t="s">
        <v>54</v>
      </c>
      <c r="BA2187" t="s">
        <v>10267</v>
      </c>
    </row>
    <row r="2188" spans="1:53" x14ac:dyDescent="0.25">
      <c r="A2188">
        <v>2183</v>
      </c>
      <c r="B2188" t="s">
        <v>10699</v>
      </c>
      <c r="C2188" t="s">
        <v>10700</v>
      </c>
      <c r="D2188" t="s">
        <v>10701</v>
      </c>
      <c r="E2188">
        <v>13</v>
      </c>
      <c r="F2188" t="s">
        <v>9904</v>
      </c>
      <c r="G2188" t="s">
        <v>10259</v>
      </c>
      <c r="H2188" t="s">
        <v>10260</v>
      </c>
      <c r="I2188" t="s">
        <v>10261</v>
      </c>
      <c r="J2188" t="s">
        <v>10262</v>
      </c>
      <c r="K2188" t="s">
        <v>10263</v>
      </c>
      <c r="L2188" t="s">
        <v>10255</v>
      </c>
      <c r="M2188">
        <v>0.34807175397872919</v>
      </c>
      <c r="N2188" t="s">
        <v>54</v>
      </c>
      <c r="O2188" t="s">
        <v>54</v>
      </c>
      <c r="P2188" t="s">
        <v>54</v>
      </c>
      <c r="Q2188" t="s">
        <v>53</v>
      </c>
      <c r="R2188" t="s">
        <v>53</v>
      </c>
      <c r="S2188" t="s">
        <v>10355</v>
      </c>
      <c r="T2188" t="s">
        <v>10356</v>
      </c>
      <c r="U2188" t="s">
        <v>54</v>
      </c>
      <c r="V2188" t="s">
        <v>51</v>
      </c>
      <c r="W2188">
        <v>900000</v>
      </c>
      <c r="X2188" t="s">
        <v>53</v>
      </c>
      <c r="AA2188">
        <v>32</v>
      </c>
      <c r="AB2188">
        <v>11</v>
      </c>
      <c r="AC2188">
        <v>56</v>
      </c>
      <c r="AD2188">
        <v>20</v>
      </c>
      <c r="AE2188">
        <v>56</v>
      </c>
      <c r="AF2188">
        <v>0</v>
      </c>
      <c r="AG2188">
        <v>0</v>
      </c>
      <c r="AH2188">
        <v>1.26202917098999</v>
      </c>
      <c r="AI2188">
        <v>22</v>
      </c>
      <c r="AJ2188">
        <v>0</v>
      </c>
      <c r="AK2188" t="s">
        <v>54</v>
      </c>
      <c r="AL2188" t="s">
        <v>53</v>
      </c>
      <c r="AQ2188" t="s">
        <v>53</v>
      </c>
      <c r="AT2188" t="s">
        <v>9934</v>
      </c>
      <c r="AW2188" t="s">
        <v>8390</v>
      </c>
      <c r="AZ2188" t="s">
        <v>54</v>
      </c>
      <c r="BA2188" t="s">
        <v>10267</v>
      </c>
    </row>
    <row r="2189" spans="1:53" x14ac:dyDescent="0.25">
      <c r="A2189">
        <v>2184</v>
      </c>
      <c r="B2189" t="s">
        <v>10702</v>
      </c>
      <c r="C2189" t="s">
        <v>10703</v>
      </c>
      <c r="D2189" t="s">
        <v>10704</v>
      </c>
      <c r="E2189">
        <v>13</v>
      </c>
      <c r="F2189" t="s">
        <v>9904</v>
      </c>
      <c r="G2189" t="s">
        <v>10259</v>
      </c>
      <c r="H2189" t="s">
        <v>10260</v>
      </c>
      <c r="I2189" t="s">
        <v>10261</v>
      </c>
      <c r="J2189" t="s">
        <v>10262</v>
      </c>
      <c r="K2189" t="s">
        <v>10263</v>
      </c>
      <c r="L2189" t="s">
        <v>10255</v>
      </c>
      <c r="M2189">
        <v>0.29950758814811712</v>
      </c>
      <c r="N2189" t="s">
        <v>54</v>
      </c>
      <c r="O2189" t="s">
        <v>54</v>
      </c>
      <c r="P2189" t="s">
        <v>54</v>
      </c>
      <c r="Q2189" t="s">
        <v>53</v>
      </c>
      <c r="R2189" t="s">
        <v>53</v>
      </c>
      <c r="S2189" t="s">
        <v>10355</v>
      </c>
      <c r="T2189" t="s">
        <v>10698</v>
      </c>
      <c r="U2189" t="s">
        <v>54</v>
      </c>
      <c r="V2189" t="s">
        <v>51</v>
      </c>
      <c r="W2189">
        <v>1500000</v>
      </c>
      <c r="X2189" t="s">
        <v>53</v>
      </c>
      <c r="AA2189">
        <v>23</v>
      </c>
      <c r="AB2189">
        <v>15</v>
      </c>
      <c r="AC2189">
        <v>36</v>
      </c>
      <c r="AD2189">
        <v>26</v>
      </c>
      <c r="AE2189">
        <v>36</v>
      </c>
      <c r="AF2189">
        <v>0</v>
      </c>
      <c r="AG2189">
        <v>0</v>
      </c>
      <c r="AH2189">
        <v>0.51121526956558228</v>
      </c>
      <c r="AI2189">
        <v>17</v>
      </c>
      <c r="AJ2189">
        <v>0</v>
      </c>
      <c r="AK2189" t="s">
        <v>54</v>
      </c>
      <c r="AL2189" t="s">
        <v>53</v>
      </c>
      <c r="AQ2189" t="s">
        <v>53</v>
      </c>
      <c r="AT2189" t="s">
        <v>9934</v>
      </c>
      <c r="AW2189" t="s">
        <v>8390</v>
      </c>
      <c r="AZ2189" t="s">
        <v>54</v>
      </c>
      <c r="BA2189" t="s">
        <v>10267</v>
      </c>
    </row>
    <row r="2190" spans="1:53" x14ac:dyDescent="0.25">
      <c r="A2190">
        <v>2185</v>
      </c>
      <c r="B2190" t="s">
        <v>10705</v>
      </c>
      <c r="C2190" t="s">
        <v>10706</v>
      </c>
      <c r="D2190" t="s">
        <v>10707</v>
      </c>
      <c r="E2190">
        <v>13</v>
      </c>
      <c r="F2190" t="s">
        <v>9904</v>
      </c>
      <c r="G2190" t="s">
        <v>9904</v>
      </c>
      <c r="H2190" t="s">
        <v>10246</v>
      </c>
      <c r="I2190" t="s">
        <v>10247</v>
      </c>
      <c r="J2190" t="s">
        <v>10248</v>
      </c>
      <c r="K2190" t="s">
        <v>10708</v>
      </c>
      <c r="L2190" t="s">
        <v>10255</v>
      </c>
      <c r="M2190">
        <v>5.7031953474506736E-4</v>
      </c>
      <c r="N2190" t="s">
        <v>53</v>
      </c>
      <c r="O2190" t="s">
        <v>53</v>
      </c>
      <c r="P2190" t="s">
        <v>54</v>
      </c>
      <c r="Q2190" t="s">
        <v>53</v>
      </c>
      <c r="R2190" t="s">
        <v>53</v>
      </c>
      <c r="S2190" t="s">
        <v>10250</v>
      </c>
      <c r="T2190" t="s">
        <v>10251</v>
      </c>
      <c r="U2190" t="s">
        <v>54</v>
      </c>
      <c r="V2190" t="s">
        <v>51</v>
      </c>
      <c r="W2190">
        <v>117000</v>
      </c>
      <c r="X2190" t="s">
        <v>53</v>
      </c>
      <c r="AA2190">
        <v>2</v>
      </c>
      <c r="AB2190">
        <v>0</v>
      </c>
      <c r="AC2190">
        <v>55</v>
      </c>
      <c r="AD2190">
        <v>0</v>
      </c>
      <c r="AE2190">
        <v>55</v>
      </c>
      <c r="AF2190">
        <v>0</v>
      </c>
      <c r="AG2190">
        <v>0</v>
      </c>
      <c r="AH2190">
        <v>0</v>
      </c>
      <c r="AI2190">
        <v>0</v>
      </c>
      <c r="AJ2190">
        <v>0</v>
      </c>
      <c r="AK2190" t="s">
        <v>54</v>
      </c>
      <c r="AL2190" t="s">
        <v>53</v>
      </c>
      <c r="AQ2190" t="s">
        <v>53</v>
      </c>
      <c r="AT2190" t="s">
        <v>9934</v>
      </c>
      <c r="AW2190" t="s">
        <v>53</v>
      </c>
      <c r="AZ2190" t="s">
        <v>54</v>
      </c>
      <c r="BA2190" t="s">
        <v>10709</v>
      </c>
    </row>
    <row r="2191" spans="1:53" x14ac:dyDescent="0.25">
      <c r="A2191">
        <v>2186</v>
      </c>
      <c r="B2191" t="s">
        <v>10710</v>
      </c>
      <c r="C2191" t="s">
        <v>10711</v>
      </c>
      <c r="D2191" t="s">
        <v>10712</v>
      </c>
      <c r="E2191">
        <v>13</v>
      </c>
      <c r="F2191" t="s">
        <v>9904</v>
      </c>
      <c r="G2191" t="s">
        <v>9904</v>
      </c>
      <c r="H2191" t="s">
        <v>10246</v>
      </c>
      <c r="I2191" t="s">
        <v>10247</v>
      </c>
      <c r="J2191" t="s">
        <v>10248</v>
      </c>
      <c r="K2191" t="s">
        <v>10399</v>
      </c>
      <c r="L2191" t="s">
        <v>10713</v>
      </c>
      <c r="M2191">
        <v>7.9562002792954445E-4</v>
      </c>
      <c r="N2191" t="s">
        <v>53</v>
      </c>
      <c r="O2191" t="s">
        <v>53</v>
      </c>
      <c r="P2191" t="s">
        <v>54</v>
      </c>
      <c r="Q2191" t="s">
        <v>53</v>
      </c>
      <c r="R2191" t="s">
        <v>54</v>
      </c>
      <c r="S2191" t="s">
        <v>10250</v>
      </c>
      <c r="T2191" t="s">
        <v>10251</v>
      </c>
      <c r="U2191" t="s">
        <v>54</v>
      </c>
      <c r="V2191" t="s">
        <v>51</v>
      </c>
      <c r="W2191">
        <v>201000</v>
      </c>
      <c r="X2191" t="s">
        <v>53</v>
      </c>
      <c r="AA2191">
        <v>1</v>
      </c>
      <c r="AB2191">
        <v>0</v>
      </c>
      <c r="AC2191">
        <v>17</v>
      </c>
      <c r="AD2191">
        <v>0</v>
      </c>
      <c r="AE2191">
        <v>17</v>
      </c>
      <c r="AF2191">
        <v>0</v>
      </c>
      <c r="AG2191">
        <v>0</v>
      </c>
      <c r="AH2191">
        <v>0</v>
      </c>
      <c r="AI2191">
        <v>0</v>
      </c>
      <c r="AJ2191">
        <v>0</v>
      </c>
      <c r="AK2191" t="s">
        <v>54</v>
      </c>
      <c r="AL2191" t="s">
        <v>53</v>
      </c>
      <c r="AQ2191" t="s">
        <v>53</v>
      </c>
      <c r="AT2191" t="s">
        <v>9934</v>
      </c>
      <c r="AW2191" t="s">
        <v>53</v>
      </c>
      <c r="AZ2191" t="s">
        <v>54</v>
      </c>
      <c r="BA2191" t="s">
        <v>10709</v>
      </c>
    </row>
    <row r="2192" spans="1:53" x14ac:dyDescent="0.25">
      <c r="A2192">
        <v>2187</v>
      </c>
      <c r="B2192" t="s">
        <v>10714</v>
      </c>
      <c r="C2192" t="s">
        <v>10715</v>
      </c>
      <c r="D2192" t="s">
        <v>10716</v>
      </c>
      <c r="E2192">
        <v>13</v>
      </c>
      <c r="F2192" t="s">
        <v>9904</v>
      </c>
      <c r="G2192" t="s">
        <v>10259</v>
      </c>
      <c r="H2192" t="s">
        <v>10260</v>
      </c>
      <c r="I2192" t="s">
        <v>10717</v>
      </c>
      <c r="J2192" t="s">
        <v>10718</v>
      </c>
      <c r="K2192" t="s">
        <v>10719</v>
      </c>
      <c r="L2192" t="s">
        <v>10713</v>
      </c>
      <c r="M2192">
        <v>4.0395897813141346E-3</v>
      </c>
      <c r="N2192" t="s">
        <v>53</v>
      </c>
      <c r="O2192" t="s">
        <v>53</v>
      </c>
      <c r="P2192" t="s">
        <v>53</v>
      </c>
      <c r="Q2192" t="s">
        <v>53</v>
      </c>
      <c r="R2192" t="s">
        <v>53</v>
      </c>
      <c r="S2192" t="s">
        <v>10250</v>
      </c>
      <c r="T2192" t="s">
        <v>10414</v>
      </c>
      <c r="U2192" t="s">
        <v>54</v>
      </c>
      <c r="V2192" t="s">
        <v>51</v>
      </c>
      <c r="W2192">
        <v>150000</v>
      </c>
      <c r="X2192" t="s">
        <v>53</v>
      </c>
      <c r="AA2192">
        <v>0</v>
      </c>
      <c r="AB2192">
        <v>0</v>
      </c>
      <c r="AC2192">
        <v>0</v>
      </c>
      <c r="AD2192">
        <v>0</v>
      </c>
      <c r="AE2192">
        <v>0</v>
      </c>
      <c r="AF2192">
        <v>0</v>
      </c>
      <c r="AG2192">
        <v>0</v>
      </c>
      <c r="AH2192">
        <v>0</v>
      </c>
      <c r="AI2192">
        <v>0</v>
      </c>
      <c r="AJ2192">
        <v>0</v>
      </c>
      <c r="AK2192" t="s">
        <v>54</v>
      </c>
      <c r="AL2192" t="s">
        <v>53</v>
      </c>
      <c r="AQ2192" t="s">
        <v>53</v>
      </c>
      <c r="AT2192" t="s">
        <v>9934</v>
      </c>
      <c r="AW2192" t="s">
        <v>53</v>
      </c>
      <c r="AZ2192" t="s">
        <v>54</v>
      </c>
      <c r="BA2192" t="s">
        <v>9970</v>
      </c>
    </row>
    <row r="2193" spans="1:53" x14ac:dyDescent="0.25">
      <c r="A2193">
        <v>2188</v>
      </c>
      <c r="B2193" t="s">
        <v>10720</v>
      </c>
      <c r="C2193" t="s">
        <v>10721</v>
      </c>
      <c r="D2193" t="s">
        <v>10722</v>
      </c>
      <c r="E2193">
        <v>13</v>
      </c>
      <c r="F2193" t="s">
        <v>9904</v>
      </c>
      <c r="G2193" t="s">
        <v>10259</v>
      </c>
      <c r="H2193" t="s">
        <v>10260</v>
      </c>
      <c r="I2193" t="s">
        <v>10261</v>
      </c>
      <c r="J2193" t="s">
        <v>10262</v>
      </c>
      <c r="K2193" t="s">
        <v>10263</v>
      </c>
      <c r="L2193" t="s">
        <v>10255</v>
      </c>
      <c r="M2193">
        <v>1.7109137028455731E-2</v>
      </c>
      <c r="N2193" t="s">
        <v>53</v>
      </c>
      <c r="O2193" t="s">
        <v>53</v>
      </c>
      <c r="P2193" t="s">
        <v>54</v>
      </c>
      <c r="Q2193" t="s">
        <v>53</v>
      </c>
      <c r="R2193" t="s">
        <v>53</v>
      </c>
      <c r="S2193" t="s">
        <v>10406</v>
      </c>
      <c r="T2193" t="s">
        <v>10271</v>
      </c>
      <c r="U2193" t="s">
        <v>54</v>
      </c>
      <c r="V2193" t="s">
        <v>51</v>
      </c>
      <c r="W2193">
        <v>176000</v>
      </c>
      <c r="X2193" t="s">
        <v>53</v>
      </c>
      <c r="AA2193">
        <v>0</v>
      </c>
      <c r="AB2193">
        <v>0</v>
      </c>
      <c r="AC2193">
        <v>0</v>
      </c>
      <c r="AD2193">
        <v>0</v>
      </c>
      <c r="AE2193">
        <v>0</v>
      </c>
      <c r="AF2193">
        <v>0</v>
      </c>
      <c r="AG2193">
        <v>0</v>
      </c>
      <c r="AH2193">
        <v>0</v>
      </c>
      <c r="AI2193">
        <v>0</v>
      </c>
      <c r="AJ2193">
        <v>0</v>
      </c>
      <c r="AK2193" t="s">
        <v>54</v>
      </c>
      <c r="AL2193" t="s">
        <v>53</v>
      </c>
      <c r="AQ2193" t="s">
        <v>53</v>
      </c>
      <c r="AT2193" t="s">
        <v>10266</v>
      </c>
      <c r="AU2193" s="148">
        <v>43020</v>
      </c>
      <c r="AW2193" t="s">
        <v>53</v>
      </c>
      <c r="AZ2193" t="s">
        <v>54</v>
      </c>
      <c r="BA2193" t="s">
        <v>10593</v>
      </c>
    </row>
    <row r="2194" spans="1:53" x14ac:dyDescent="0.25">
      <c r="A2194">
        <v>2189</v>
      </c>
      <c r="B2194" t="s">
        <v>10723</v>
      </c>
      <c r="C2194" t="s">
        <v>10724</v>
      </c>
      <c r="D2194" t="s">
        <v>10725</v>
      </c>
      <c r="E2194">
        <v>13</v>
      </c>
      <c r="F2194" t="s">
        <v>9904</v>
      </c>
      <c r="G2194" t="s">
        <v>10289</v>
      </c>
      <c r="H2194" t="s">
        <v>10314</v>
      </c>
      <c r="I2194" t="s">
        <v>10726</v>
      </c>
      <c r="J2194" t="s">
        <v>10727</v>
      </c>
      <c r="K2194" t="s">
        <v>10728</v>
      </c>
      <c r="L2194" t="s">
        <v>10255</v>
      </c>
      <c r="M2194">
        <v>2.0289347171783452</v>
      </c>
      <c r="N2194" t="s">
        <v>54</v>
      </c>
      <c r="O2194" t="s">
        <v>53</v>
      </c>
      <c r="P2194" t="s">
        <v>54</v>
      </c>
      <c r="Q2194" t="s">
        <v>53</v>
      </c>
      <c r="R2194" t="s">
        <v>53</v>
      </c>
      <c r="S2194" t="s">
        <v>10729</v>
      </c>
      <c r="T2194" t="s">
        <v>10730</v>
      </c>
      <c r="U2194" t="s">
        <v>54</v>
      </c>
      <c r="V2194" t="s">
        <v>51</v>
      </c>
      <c r="W2194">
        <v>477000</v>
      </c>
      <c r="X2194" t="s">
        <v>53</v>
      </c>
      <c r="AA2194">
        <v>54</v>
      </c>
      <c r="AB2194">
        <v>48</v>
      </c>
      <c r="AC2194">
        <v>15</v>
      </c>
      <c r="AD2194">
        <v>53</v>
      </c>
      <c r="AE2194">
        <v>53</v>
      </c>
      <c r="AF2194">
        <v>0</v>
      </c>
      <c r="AG2194">
        <v>0</v>
      </c>
      <c r="AH2194">
        <v>1.061133027076721</v>
      </c>
      <c r="AI2194">
        <v>34</v>
      </c>
      <c r="AJ2194">
        <v>16.653665542602539</v>
      </c>
      <c r="AK2194" t="s">
        <v>54</v>
      </c>
      <c r="AL2194" t="s">
        <v>53</v>
      </c>
      <c r="AQ2194" t="s">
        <v>53</v>
      </c>
      <c r="AT2194" t="s">
        <v>10612</v>
      </c>
      <c r="AU2194" s="148">
        <v>43242</v>
      </c>
      <c r="AW2194" t="s">
        <v>8390</v>
      </c>
      <c r="AZ2194" t="s">
        <v>54</v>
      </c>
      <c r="BA2194" t="s">
        <v>10709</v>
      </c>
    </row>
    <row r="2195" spans="1:53" x14ac:dyDescent="0.25">
      <c r="A2195">
        <v>2190</v>
      </c>
      <c r="B2195" t="s">
        <v>10731</v>
      </c>
      <c r="C2195" t="s">
        <v>10732</v>
      </c>
      <c r="D2195" t="s">
        <v>10732</v>
      </c>
      <c r="E2195">
        <v>13</v>
      </c>
      <c r="F2195" t="s">
        <v>9904</v>
      </c>
      <c r="G2195" t="s">
        <v>10259</v>
      </c>
      <c r="H2195" t="s">
        <v>10260</v>
      </c>
      <c r="I2195" t="s">
        <v>10261</v>
      </c>
      <c r="J2195" t="s">
        <v>10262</v>
      </c>
      <c r="K2195" t="s">
        <v>10263</v>
      </c>
      <c r="L2195" t="s">
        <v>9910</v>
      </c>
      <c r="M2195">
        <v>4.8256726004183292E-3</v>
      </c>
      <c r="N2195" t="s">
        <v>54</v>
      </c>
      <c r="O2195" t="s">
        <v>54</v>
      </c>
      <c r="P2195" t="s">
        <v>53</v>
      </c>
      <c r="Q2195" t="s">
        <v>53</v>
      </c>
      <c r="R2195" t="s">
        <v>53</v>
      </c>
      <c r="S2195" t="s">
        <v>10733</v>
      </c>
      <c r="T2195" t="s">
        <v>10734</v>
      </c>
      <c r="U2195" t="s">
        <v>54</v>
      </c>
      <c r="V2195" t="s">
        <v>51</v>
      </c>
      <c r="W2195">
        <v>2453000</v>
      </c>
      <c r="X2195" t="s">
        <v>53</v>
      </c>
      <c r="AA2195">
        <v>1</v>
      </c>
      <c r="AB2195">
        <v>0</v>
      </c>
      <c r="AC2195">
        <v>3</v>
      </c>
      <c r="AD2195">
        <v>0</v>
      </c>
      <c r="AE2195">
        <v>3</v>
      </c>
      <c r="AF2195">
        <v>0</v>
      </c>
      <c r="AG2195">
        <v>0</v>
      </c>
      <c r="AH2195">
        <v>0</v>
      </c>
      <c r="AI2195">
        <v>0</v>
      </c>
      <c r="AJ2195">
        <v>0</v>
      </c>
      <c r="AK2195" t="s">
        <v>53</v>
      </c>
      <c r="AL2195" t="s">
        <v>53</v>
      </c>
      <c r="AQ2195" t="s">
        <v>53</v>
      </c>
      <c r="AT2195" t="s">
        <v>10266</v>
      </c>
      <c r="AU2195" s="148">
        <v>43020</v>
      </c>
      <c r="AW2195" t="s">
        <v>54</v>
      </c>
      <c r="AZ2195" t="s">
        <v>54</v>
      </c>
      <c r="BA2195" t="s">
        <v>10593</v>
      </c>
    </row>
    <row r="2196" spans="1:53" x14ac:dyDescent="0.25">
      <c r="A2196">
        <v>2191</v>
      </c>
      <c r="B2196" t="s">
        <v>10735</v>
      </c>
      <c r="C2196" t="s">
        <v>10736</v>
      </c>
      <c r="D2196" t="s">
        <v>10737</v>
      </c>
      <c r="E2196">
        <v>13</v>
      </c>
      <c r="F2196" t="s">
        <v>9904</v>
      </c>
      <c r="G2196" t="s">
        <v>10476</v>
      </c>
      <c r="H2196" t="s">
        <v>10738</v>
      </c>
      <c r="I2196" t="s">
        <v>10739</v>
      </c>
      <c r="J2196" t="s">
        <v>10740</v>
      </c>
      <c r="K2196" t="s">
        <v>10741</v>
      </c>
      <c r="L2196" t="s">
        <v>10577</v>
      </c>
      <c r="M2196">
        <v>7.7330037951469421E-2</v>
      </c>
      <c r="N2196" t="s">
        <v>54</v>
      </c>
      <c r="O2196" t="s">
        <v>53</v>
      </c>
      <c r="P2196" t="s">
        <v>54</v>
      </c>
      <c r="Q2196" t="s">
        <v>53</v>
      </c>
      <c r="R2196" t="s">
        <v>53</v>
      </c>
      <c r="S2196" t="s">
        <v>10742</v>
      </c>
      <c r="T2196" t="s">
        <v>10482</v>
      </c>
      <c r="U2196" t="s">
        <v>54</v>
      </c>
      <c r="V2196" t="s">
        <v>51</v>
      </c>
      <c r="W2196">
        <v>49000</v>
      </c>
      <c r="X2196" t="s">
        <v>53</v>
      </c>
      <c r="AA2196">
        <v>17</v>
      </c>
      <c r="AB2196">
        <v>17</v>
      </c>
      <c r="AC2196">
        <v>14</v>
      </c>
      <c r="AD2196">
        <v>42</v>
      </c>
      <c r="AE2196">
        <v>42</v>
      </c>
      <c r="AF2196">
        <v>0</v>
      </c>
      <c r="AG2196">
        <v>1</v>
      </c>
      <c r="AH2196">
        <v>0.80595892667770386</v>
      </c>
      <c r="AI2196">
        <v>9</v>
      </c>
      <c r="AJ2196">
        <v>2.5765872001647949</v>
      </c>
      <c r="AK2196" t="s">
        <v>54</v>
      </c>
      <c r="AL2196" t="s">
        <v>53</v>
      </c>
      <c r="AQ2196" t="s">
        <v>53</v>
      </c>
      <c r="AT2196" t="s">
        <v>10285</v>
      </c>
      <c r="AU2196" s="148">
        <v>40969</v>
      </c>
      <c r="AW2196" t="s">
        <v>8390</v>
      </c>
      <c r="AZ2196" t="s">
        <v>54</v>
      </c>
      <c r="BA2196" t="s">
        <v>10507</v>
      </c>
    </row>
    <row r="2197" spans="1:53" x14ac:dyDescent="0.25">
      <c r="A2197">
        <v>2192</v>
      </c>
      <c r="B2197" t="s">
        <v>10743</v>
      </c>
      <c r="C2197" t="s">
        <v>10744</v>
      </c>
      <c r="D2197" t="s">
        <v>10745</v>
      </c>
      <c r="E2197">
        <v>13</v>
      </c>
      <c r="F2197" t="s">
        <v>9904</v>
      </c>
      <c r="G2197" t="s">
        <v>10289</v>
      </c>
      <c r="H2197" t="s">
        <v>10290</v>
      </c>
      <c r="I2197" t="s">
        <v>10291</v>
      </c>
      <c r="J2197" t="s">
        <v>10746</v>
      </c>
      <c r="K2197" t="s">
        <v>10747</v>
      </c>
      <c r="L2197" t="s">
        <v>9910</v>
      </c>
      <c r="M2197">
        <v>6.533490028232336E-3</v>
      </c>
      <c r="N2197" t="s">
        <v>53</v>
      </c>
      <c r="O2197" t="s">
        <v>53</v>
      </c>
      <c r="P2197" t="s">
        <v>53</v>
      </c>
      <c r="Q2197" t="s">
        <v>53</v>
      </c>
      <c r="R2197" t="s">
        <v>53</v>
      </c>
      <c r="S2197" t="s">
        <v>10748</v>
      </c>
      <c r="T2197" t="s">
        <v>10749</v>
      </c>
      <c r="U2197" t="s">
        <v>54</v>
      </c>
      <c r="V2197" t="s">
        <v>51</v>
      </c>
      <c r="W2197">
        <v>100000</v>
      </c>
      <c r="X2197" t="s">
        <v>53</v>
      </c>
      <c r="AA2197">
        <v>0</v>
      </c>
      <c r="AB2197">
        <v>0</v>
      </c>
      <c r="AC2197">
        <v>0</v>
      </c>
      <c r="AD2197">
        <v>0</v>
      </c>
      <c r="AE2197">
        <v>0</v>
      </c>
      <c r="AF2197">
        <v>0</v>
      </c>
      <c r="AG2197">
        <v>0</v>
      </c>
      <c r="AH2197">
        <v>0</v>
      </c>
      <c r="AI2197">
        <v>0</v>
      </c>
      <c r="AJ2197">
        <v>0</v>
      </c>
      <c r="AK2197" t="s">
        <v>54</v>
      </c>
      <c r="AL2197" t="s">
        <v>53</v>
      </c>
      <c r="AQ2197" t="s">
        <v>53</v>
      </c>
      <c r="AT2197" t="s">
        <v>9934</v>
      </c>
      <c r="AW2197" t="s">
        <v>53</v>
      </c>
      <c r="AZ2197" t="s">
        <v>54</v>
      </c>
      <c r="BA2197" t="s">
        <v>10507</v>
      </c>
    </row>
    <row r="2198" spans="1:53" x14ac:dyDescent="0.25">
      <c r="A2198">
        <v>2193</v>
      </c>
      <c r="B2198" t="s">
        <v>10750</v>
      </c>
      <c r="C2198" t="s">
        <v>10751</v>
      </c>
      <c r="D2198" t="s">
        <v>10752</v>
      </c>
      <c r="E2198">
        <v>13</v>
      </c>
      <c r="F2198" t="s">
        <v>9904</v>
      </c>
      <c r="G2198" t="s">
        <v>10289</v>
      </c>
      <c r="H2198" t="s">
        <v>10290</v>
      </c>
      <c r="I2198" t="s">
        <v>10291</v>
      </c>
      <c r="J2198" t="s">
        <v>10746</v>
      </c>
      <c r="K2198" t="s">
        <v>10747</v>
      </c>
      <c r="L2198" t="s">
        <v>10255</v>
      </c>
      <c r="M2198">
        <v>2.4462627246975899E-2</v>
      </c>
      <c r="N2198" t="s">
        <v>54</v>
      </c>
      <c r="O2198" t="s">
        <v>53</v>
      </c>
      <c r="P2198" t="s">
        <v>54</v>
      </c>
      <c r="Q2198" t="s">
        <v>53</v>
      </c>
      <c r="R2198" t="s">
        <v>53</v>
      </c>
      <c r="S2198" t="s">
        <v>10748</v>
      </c>
      <c r="T2198" t="s">
        <v>10749</v>
      </c>
      <c r="U2198" t="s">
        <v>54</v>
      </c>
      <c r="V2198" t="s">
        <v>51</v>
      </c>
      <c r="W2198">
        <v>100000</v>
      </c>
      <c r="X2198" t="s">
        <v>53</v>
      </c>
      <c r="AA2198">
        <v>0</v>
      </c>
      <c r="AB2198">
        <v>0</v>
      </c>
      <c r="AC2198">
        <v>0</v>
      </c>
      <c r="AD2198">
        <v>0</v>
      </c>
      <c r="AE2198">
        <v>0</v>
      </c>
      <c r="AF2198">
        <v>0</v>
      </c>
      <c r="AG2198">
        <v>0</v>
      </c>
      <c r="AH2198">
        <v>0</v>
      </c>
      <c r="AI2198">
        <v>0</v>
      </c>
      <c r="AJ2198">
        <v>5.2267998456954963E-2</v>
      </c>
      <c r="AK2198" t="s">
        <v>54</v>
      </c>
      <c r="AL2198" t="s">
        <v>53</v>
      </c>
      <c r="AQ2198" t="s">
        <v>53</v>
      </c>
      <c r="AT2198" t="s">
        <v>9934</v>
      </c>
      <c r="AW2198" t="s">
        <v>8390</v>
      </c>
      <c r="AZ2198" t="s">
        <v>54</v>
      </c>
      <c r="BA2198" t="s">
        <v>10507</v>
      </c>
    </row>
    <row r="2199" spans="1:53" x14ac:dyDescent="0.25">
      <c r="A2199">
        <v>2194</v>
      </c>
      <c r="B2199" t="s">
        <v>10753</v>
      </c>
      <c r="C2199" t="s">
        <v>10754</v>
      </c>
      <c r="D2199" t="s">
        <v>10755</v>
      </c>
      <c r="E2199">
        <v>13</v>
      </c>
      <c r="F2199" t="s">
        <v>9904</v>
      </c>
      <c r="G2199" t="s">
        <v>10289</v>
      </c>
      <c r="H2199" t="s">
        <v>10290</v>
      </c>
      <c r="I2199" t="s">
        <v>10291</v>
      </c>
      <c r="J2199" t="s">
        <v>10493</v>
      </c>
      <c r="K2199" t="s">
        <v>10494</v>
      </c>
      <c r="L2199" t="s">
        <v>10255</v>
      </c>
      <c r="M2199">
        <v>8.2327775657176971E-2</v>
      </c>
      <c r="N2199" t="s">
        <v>54</v>
      </c>
      <c r="O2199" t="s">
        <v>54</v>
      </c>
      <c r="P2199" t="s">
        <v>54</v>
      </c>
      <c r="Q2199" t="s">
        <v>53</v>
      </c>
      <c r="R2199" t="s">
        <v>53</v>
      </c>
      <c r="S2199" t="s">
        <v>10495</v>
      </c>
      <c r="T2199" t="s">
        <v>10496</v>
      </c>
      <c r="U2199" t="s">
        <v>54</v>
      </c>
      <c r="V2199" t="s">
        <v>51</v>
      </c>
      <c r="W2199">
        <v>100000</v>
      </c>
      <c r="X2199" t="s">
        <v>53</v>
      </c>
      <c r="AA2199">
        <v>5</v>
      </c>
      <c r="AB2199">
        <v>5</v>
      </c>
      <c r="AC2199">
        <v>10</v>
      </c>
      <c r="AD2199">
        <v>6</v>
      </c>
      <c r="AE2199">
        <v>10</v>
      </c>
      <c r="AF2199">
        <v>0</v>
      </c>
      <c r="AG2199">
        <v>0</v>
      </c>
      <c r="AH2199">
        <v>3.7344682961702347E-2</v>
      </c>
      <c r="AI2199">
        <v>1</v>
      </c>
      <c r="AJ2199">
        <v>1.50908287614584E-2</v>
      </c>
      <c r="AK2199" t="s">
        <v>54</v>
      </c>
      <c r="AL2199" t="s">
        <v>53</v>
      </c>
      <c r="AQ2199" t="s">
        <v>53</v>
      </c>
      <c r="AT2199" t="s">
        <v>9934</v>
      </c>
      <c r="AW2199" t="s">
        <v>8390</v>
      </c>
      <c r="AZ2199" t="s">
        <v>54</v>
      </c>
      <c r="BA2199" t="s">
        <v>10593</v>
      </c>
    </row>
    <row r="2200" spans="1:53" x14ac:dyDescent="0.25">
      <c r="A2200">
        <v>2195</v>
      </c>
      <c r="B2200" t="s">
        <v>10756</v>
      </c>
      <c r="C2200" t="s">
        <v>10757</v>
      </c>
      <c r="D2200" t="s">
        <v>10758</v>
      </c>
      <c r="E2200">
        <v>13</v>
      </c>
      <c r="F2200" t="s">
        <v>9904</v>
      </c>
      <c r="G2200" t="s">
        <v>10289</v>
      </c>
      <c r="H2200" t="s">
        <v>10279</v>
      </c>
      <c r="I2200" t="s">
        <v>10667</v>
      </c>
      <c r="J2200" t="s">
        <v>10759</v>
      </c>
      <c r="K2200" t="s">
        <v>10760</v>
      </c>
      <c r="L2200" t="s">
        <v>10255</v>
      </c>
      <c r="M2200">
        <v>1.7030892195180061E-3</v>
      </c>
      <c r="N2200" t="s">
        <v>54</v>
      </c>
      <c r="O2200" t="s">
        <v>53</v>
      </c>
      <c r="P2200" t="s">
        <v>53</v>
      </c>
      <c r="Q2200" t="s">
        <v>53</v>
      </c>
      <c r="R2200" t="s">
        <v>53</v>
      </c>
      <c r="S2200" t="s">
        <v>10671</v>
      </c>
      <c r="T2200" t="s">
        <v>10672</v>
      </c>
      <c r="U2200" t="s">
        <v>54</v>
      </c>
      <c r="V2200" t="s">
        <v>51</v>
      </c>
      <c r="W2200">
        <v>150000</v>
      </c>
      <c r="X2200" t="s">
        <v>53</v>
      </c>
      <c r="AA2200">
        <v>0</v>
      </c>
      <c r="AB2200">
        <v>0</v>
      </c>
      <c r="AC2200">
        <v>0</v>
      </c>
      <c r="AD2200">
        <v>0</v>
      </c>
      <c r="AE2200">
        <v>0</v>
      </c>
      <c r="AF2200">
        <v>0</v>
      </c>
      <c r="AG2200">
        <v>0</v>
      </c>
      <c r="AH2200">
        <v>7.9472266137599945E-2</v>
      </c>
      <c r="AI2200">
        <v>4</v>
      </c>
      <c r="AJ2200">
        <v>0</v>
      </c>
      <c r="AK2200" t="s">
        <v>54</v>
      </c>
      <c r="AL2200" t="s">
        <v>53</v>
      </c>
      <c r="AQ2200" t="s">
        <v>53</v>
      </c>
      <c r="AT2200" t="s">
        <v>9934</v>
      </c>
      <c r="AW2200" t="s">
        <v>54</v>
      </c>
      <c r="AZ2200" t="s">
        <v>54</v>
      </c>
      <c r="BA2200" t="s">
        <v>10507</v>
      </c>
    </row>
    <row r="2201" spans="1:53" x14ac:dyDescent="0.25">
      <c r="A2201">
        <v>2196</v>
      </c>
      <c r="B2201" t="s">
        <v>10761</v>
      </c>
      <c r="C2201" t="s">
        <v>10762</v>
      </c>
      <c r="D2201" t="s">
        <v>10763</v>
      </c>
      <c r="E2201">
        <v>13</v>
      </c>
      <c r="F2201" t="s">
        <v>9904</v>
      </c>
      <c r="G2201" t="s">
        <v>10289</v>
      </c>
      <c r="H2201" t="s">
        <v>10279</v>
      </c>
      <c r="I2201" t="s">
        <v>10667</v>
      </c>
      <c r="J2201" t="s">
        <v>10759</v>
      </c>
      <c r="K2201" t="s">
        <v>10760</v>
      </c>
      <c r="L2201" t="s">
        <v>10255</v>
      </c>
      <c r="M2201">
        <v>9.9972006864845753E-4</v>
      </c>
      <c r="N2201" t="s">
        <v>54</v>
      </c>
      <c r="O2201" t="s">
        <v>53</v>
      </c>
      <c r="P2201" t="s">
        <v>53</v>
      </c>
      <c r="Q2201" t="s">
        <v>53</v>
      </c>
      <c r="R2201" t="s">
        <v>53</v>
      </c>
      <c r="S2201" t="s">
        <v>10671</v>
      </c>
      <c r="T2201" t="s">
        <v>10672</v>
      </c>
      <c r="U2201" t="s">
        <v>54</v>
      </c>
      <c r="V2201" t="s">
        <v>51</v>
      </c>
      <c r="W2201">
        <v>200000</v>
      </c>
      <c r="X2201" t="s">
        <v>53</v>
      </c>
      <c r="AA2201">
        <v>0</v>
      </c>
      <c r="AB2201">
        <v>0</v>
      </c>
      <c r="AC2201">
        <v>0</v>
      </c>
      <c r="AD2201">
        <v>0</v>
      </c>
      <c r="AE2201">
        <v>0</v>
      </c>
      <c r="AF2201">
        <v>0</v>
      </c>
      <c r="AG2201">
        <v>0</v>
      </c>
      <c r="AH2201">
        <v>0</v>
      </c>
      <c r="AI2201">
        <v>0</v>
      </c>
      <c r="AJ2201">
        <v>0</v>
      </c>
      <c r="AK2201" t="s">
        <v>54</v>
      </c>
      <c r="AL2201" t="s">
        <v>53</v>
      </c>
      <c r="AQ2201" t="s">
        <v>53</v>
      </c>
      <c r="AT2201" t="s">
        <v>9934</v>
      </c>
      <c r="AW2201" t="s">
        <v>54</v>
      </c>
      <c r="AZ2201" t="s">
        <v>54</v>
      </c>
      <c r="BA2201" t="s">
        <v>10507</v>
      </c>
    </row>
    <row r="2202" spans="1:53" x14ac:dyDescent="0.25">
      <c r="A2202">
        <v>2197</v>
      </c>
      <c r="B2202" t="s">
        <v>10764</v>
      </c>
      <c r="C2202" t="s">
        <v>10765</v>
      </c>
      <c r="D2202" t="s">
        <v>10766</v>
      </c>
      <c r="E2202">
        <v>13</v>
      </c>
      <c r="F2202" t="s">
        <v>9904</v>
      </c>
      <c r="G2202" t="s">
        <v>10289</v>
      </c>
      <c r="H2202" t="s">
        <v>10279</v>
      </c>
      <c r="I2202" t="s">
        <v>10667</v>
      </c>
      <c r="J2202" t="s">
        <v>10759</v>
      </c>
      <c r="K2202" t="s">
        <v>10760</v>
      </c>
      <c r="L2202" t="s">
        <v>10255</v>
      </c>
      <c r="M2202">
        <v>5.8950118720531457E-2</v>
      </c>
      <c r="N2202" t="s">
        <v>54</v>
      </c>
      <c r="O2202" t="s">
        <v>53</v>
      </c>
      <c r="P2202" t="s">
        <v>53</v>
      </c>
      <c r="Q2202" t="s">
        <v>53</v>
      </c>
      <c r="R2202" t="s">
        <v>53</v>
      </c>
      <c r="S2202" t="s">
        <v>10671</v>
      </c>
      <c r="T2202" t="s">
        <v>10767</v>
      </c>
      <c r="U2202" t="s">
        <v>54</v>
      </c>
      <c r="V2202" t="s">
        <v>51</v>
      </c>
      <c r="W2202">
        <v>150000</v>
      </c>
      <c r="X2202" t="s">
        <v>53</v>
      </c>
      <c r="AA2202">
        <v>0</v>
      </c>
      <c r="AB2202">
        <v>0</v>
      </c>
      <c r="AC2202">
        <v>0</v>
      </c>
      <c r="AD2202">
        <v>0</v>
      </c>
      <c r="AE2202">
        <v>0</v>
      </c>
      <c r="AF2202">
        <v>0</v>
      </c>
      <c r="AG2202">
        <v>0</v>
      </c>
      <c r="AH2202">
        <v>0</v>
      </c>
      <c r="AI2202">
        <v>0</v>
      </c>
      <c r="AJ2202">
        <v>9.4151277542114258</v>
      </c>
      <c r="AK2202" t="s">
        <v>54</v>
      </c>
      <c r="AL2202" t="s">
        <v>53</v>
      </c>
      <c r="AQ2202" t="s">
        <v>53</v>
      </c>
      <c r="AT2202" t="s">
        <v>9934</v>
      </c>
      <c r="AW2202" t="s">
        <v>54</v>
      </c>
      <c r="AZ2202" t="s">
        <v>54</v>
      </c>
      <c r="BA2202" t="s">
        <v>10507</v>
      </c>
    </row>
    <row r="2203" spans="1:53" x14ac:dyDescent="0.25">
      <c r="A2203">
        <v>2198</v>
      </c>
      <c r="B2203" t="s">
        <v>10768</v>
      </c>
      <c r="C2203" t="s">
        <v>10769</v>
      </c>
      <c r="D2203" t="s">
        <v>10770</v>
      </c>
      <c r="E2203">
        <v>13</v>
      </c>
      <c r="F2203" t="s">
        <v>9904</v>
      </c>
      <c r="G2203" t="s">
        <v>10289</v>
      </c>
      <c r="H2203" t="s">
        <v>10279</v>
      </c>
      <c r="I2203" t="s">
        <v>10667</v>
      </c>
      <c r="J2203" t="s">
        <v>10668</v>
      </c>
      <c r="K2203" t="s">
        <v>10669</v>
      </c>
      <c r="L2203" t="s">
        <v>10255</v>
      </c>
      <c r="M2203">
        <v>2.9682409763336182</v>
      </c>
      <c r="N2203" t="s">
        <v>54</v>
      </c>
      <c r="O2203" t="s">
        <v>53</v>
      </c>
      <c r="P2203" t="s">
        <v>54</v>
      </c>
      <c r="Q2203" t="s">
        <v>53</v>
      </c>
      <c r="R2203" t="s">
        <v>53</v>
      </c>
      <c r="S2203" t="s">
        <v>10671</v>
      </c>
      <c r="T2203" t="s">
        <v>10672</v>
      </c>
      <c r="U2203" t="s">
        <v>54</v>
      </c>
      <c r="V2203" t="s">
        <v>51</v>
      </c>
      <c r="W2203">
        <v>477000</v>
      </c>
      <c r="X2203" t="s">
        <v>53</v>
      </c>
      <c r="AA2203">
        <v>762</v>
      </c>
      <c r="AB2203">
        <v>612</v>
      </c>
      <c r="AC2203">
        <v>1823</v>
      </c>
      <c r="AD2203">
        <v>2145</v>
      </c>
      <c r="AE2203">
        <v>2145</v>
      </c>
      <c r="AF2203">
        <v>2</v>
      </c>
      <c r="AG2203">
        <v>0</v>
      </c>
      <c r="AH2203">
        <v>15.066633224487299</v>
      </c>
      <c r="AI2203">
        <v>87</v>
      </c>
      <c r="AJ2203">
        <v>69.114486694335938</v>
      </c>
      <c r="AK2203" t="s">
        <v>54</v>
      </c>
      <c r="AL2203" t="s">
        <v>53</v>
      </c>
      <c r="AQ2203" t="s">
        <v>53</v>
      </c>
      <c r="AT2203" t="s">
        <v>10612</v>
      </c>
      <c r="AU2203" s="148">
        <v>43242</v>
      </c>
      <c r="AW2203" t="s">
        <v>8390</v>
      </c>
      <c r="AZ2203" t="s">
        <v>54</v>
      </c>
      <c r="BA2203" t="s">
        <v>10507</v>
      </c>
    </row>
    <row r="2204" spans="1:53" x14ac:dyDescent="0.25">
      <c r="A2204">
        <v>2199</v>
      </c>
      <c r="B2204" t="s">
        <v>10771</v>
      </c>
      <c r="C2204" t="s">
        <v>10772</v>
      </c>
      <c r="D2204" t="s">
        <v>10772</v>
      </c>
      <c r="E2204">
        <v>13</v>
      </c>
      <c r="F2204" t="s">
        <v>9904</v>
      </c>
      <c r="G2204" t="s">
        <v>10259</v>
      </c>
      <c r="H2204" t="s">
        <v>10260</v>
      </c>
      <c r="I2204" t="s">
        <v>10307</v>
      </c>
      <c r="J2204" t="s">
        <v>10308</v>
      </c>
      <c r="K2204" t="s">
        <v>10309</v>
      </c>
      <c r="L2204" t="s">
        <v>9910</v>
      </c>
      <c r="M2204">
        <v>0.19613036513328549</v>
      </c>
      <c r="N2204" t="s">
        <v>54</v>
      </c>
      <c r="O2204" t="s">
        <v>53</v>
      </c>
      <c r="P2204" t="s">
        <v>54</v>
      </c>
      <c r="Q2204" t="s">
        <v>53</v>
      </c>
      <c r="R2204" t="s">
        <v>53</v>
      </c>
      <c r="S2204" t="s">
        <v>10406</v>
      </c>
      <c r="T2204" t="s">
        <v>10414</v>
      </c>
      <c r="U2204" t="s">
        <v>54</v>
      </c>
      <c r="V2204" t="s">
        <v>51</v>
      </c>
      <c r="W2204">
        <v>97000</v>
      </c>
      <c r="X2204" t="s">
        <v>53</v>
      </c>
      <c r="AA2204">
        <v>0</v>
      </c>
      <c r="AB2204">
        <v>0</v>
      </c>
      <c r="AC2204">
        <v>0</v>
      </c>
      <c r="AD2204">
        <v>0</v>
      </c>
      <c r="AE2204">
        <v>0</v>
      </c>
      <c r="AF2204">
        <v>0</v>
      </c>
      <c r="AG2204">
        <v>0</v>
      </c>
      <c r="AH2204">
        <v>0</v>
      </c>
      <c r="AI2204">
        <v>0</v>
      </c>
      <c r="AJ2204">
        <v>1.876488924026489</v>
      </c>
      <c r="AK2204" t="s">
        <v>54</v>
      </c>
      <c r="AL2204" t="s">
        <v>53</v>
      </c>
      <c r="AQ2204" t="s">
        <v>53</v>
      </c>
      <c r="AT2204" t="s">
        <v>10266</v>
      </c>
      <c r="AU2204" s="148">
        <v>43020</v>
      </c>
      <c r="AW2204" t="s">
        <v>8390</v>
      </c>
      <c r="AZ2204" t="s">
        <v>54</v>
      </c>
      <c r="BA2204" t="s">
        <v>10593</v>
      </c>
    </row>
    <row r="2205" spans="1:53" x14ac:dyDescent="0.25">
      <c r="A2205">
        <v>2200</v>
      </c>
      <c r="B2205" t="s">
        <v>10773</v>
      </c>
      <c r="C2205" t="s">
        <v>10774</v>
      </c>
      <c r="D2205" t="s">
        <v>10775</v>
      </c>
      <c r="E2205">
        <v>13</v>
      </c>
      <c r="F2205" t="s">
        <v>9904</v>
      </c>
      <c r="G2205" t="s">
        <v>10259</v>
      </c>
      <c r="H2205" t="s">
        <v>10260</v>
      </c>
      <c r="I2205" t="s">
        <v>10261</v>
      </c>
      <c r="J2205" t="s">
        <v>10262</v>
      </c>
      <c r="K2205" t="s">
        <v>10263</v>
      </c>
      <c r="L2205" t="s">
        <v>10255</v>
      </c>
      <c r="M2205">
        <v>0.98058789968490601</v>
      </c>
      <c r="N2205" t="s">
        <v>54</v>
      </c>
      <c r="O2205" t="s">
        <v>54</v>
      </c>
      <c r="P2205" t="s">
        <v>54</v>
      </c>
      <c r="Q2205" t="s">
        <v>53</v>
      </c>
      <c r="R2205" t="s">
        <v>53</v>
      </c>
      <c r="S2205" t="s">
        <v>10406</v>
      </c>
      <c r="T2205" t="s">
        <v>10776</v>
      </c>
      <c r="U2205" t="s">
        <v>54</v>
      </c>
      <c r="V2205" t="s">
        <v>51</v>
      </c>
      <c r="W2205">
        <v>27000</v>
      </c>
      <c r="X2205" t="s">
        <v>53</v>
      </c>
      <c r="AA2205">
        <v>1</v>
      </c>
      <c r="AB2205">
        <v>1</v>
      </c>
      <c r="AC2205">
        <v>0</v>
      </c>
      <c r="AD2205">
        <v>1</v>
      </c>
      <c r="AE2205">
        <v>1</v>
      </c>
      <c r="AF2205">
        <v>0</v>
      </c>
      <c r="AG2205">
        <v>0</v>
      </c>
      <c r="AH2205">
        <v>0.712638258934021</v>
      </c>
      <c r="AI2205">
        <v>3</v>
      </c>
      <c r="AJ2205">
        <v>0.65379792451858521</v>
      </c>
      <c r="AK2205" t="s">
        <v>54</v>
      </c>
      <c r="AL2205" t="s">
        <v>53</v>
      </c>
      <c r="AQ2205" t="s">
        <v>53</v>
      </c>
      <c r="AT2205" t="s">
        <v>10266</v>
      </c>
      <c r="AU2205" s="148">
        <v>43020</v>
      </c>
      <c r="AW2205" t="s">
        <v>8390</v>
      </c>
      <c r="AZ2205" t="s">
        <v>54</v>
      </c>
      <c r="BA2205" t="s">
        <v>10593</v>
      </c>
    </row>
    <row r="2206" spans="1:53" x14ac:dyDescent="0.25">
      <c r="A2206">
        <v>2201</v>
      </c>
      <c r="B2206" t="s">
        <v>10777</v>
      </c>
      <c r="C2206" t="s">
        <v>10778</v>
      </c>
      <c r="D2206" t="s">
        <v>10779</v>
      </c>
      <c r="E2206">
        <v>13</v>
      </c>
      <c r="F2206" t="s">
        <v>9904</v>
      </c>
      <c r="G2206" t="s">
        <v>10259</v>
      </c>
      <c r="H2206" t="s">
        <v>10260</v>
      </c>
      <c r="I2206" t="s">
        <v>10780</v>
      </c>
      <c r="J2206" t="s">
        <v>10353</v>
      </c>
      <c r="K2206" t="s">
        <v>10354</v>
      </c>
      <c r="L2206" t="s">
        <v>10255</v>
      </c>
      <c r="M2206">
        <v>3.1928830146789551</v>
      </c>
      <c r="N2206" t="s">
        <v>54</v>
      </c>
      <c r="O2206" t="s">
        <v>54</v>
      </c>
      <c r="P2206" t="s">
        <v>54</v>
      </c>
      <c r="Q2206" t="s">
        <v>53</v>
      </c>
      <c r="R2206" t="s">
        <v>53</v>
      </c>
      <c r="S2206" t="s">
        <v>10406</v>
      </c>
      <c r="T2206" t="s">
        <v>10734</v>
      </c>
      <c r="U2206" t="s">
        <v>54</v>
      </c>
      <c r="V2206" t="s">
        <v>51</v>
      </c>
      <c r="W2206">
        <v>40000</v>
      </c>
      <c r="X2206" t="s">
        <v>53</v>
      </c>
      <c r="AA2206">
        <v>68</v>
      </c>
      <c r="AB2206">
        <v>57</v>
      </c>
      <c r="AC2206">
        <v>37</v>
      </c>
      <c r="AD2206">
        <v>54</v>
      </c>
      <c r="AE2206">
        <v>54</v>
      </c>
      <c r="AF2206">
        <v>0</v>
      </c>
      <c r="AG2206">
        <v>0</v>
      </c>
      <c r="AH2206">
        <v>2.779873132705688</v>
      </c>
      <c r="AI2206">
        <v>26</v>
      </c>
      <c r="AJ2206">
        <v>1.800757050514221</v>
      </c>
      <c r="AK2206" t="s">
        <v>54</v>
      </c>
      <c r="AL2206" t="s">
        <v>53</v>
      </c>
      <c r="AQ2206" t="s">
        <v>53</v>
      </c>
      <c r="AT2206" t="s">
        <v>10266</v>
      </c>
      <c r="AU2206" s="148">
        <v>43020</v>
      </c>
      <c r="AW2206" t="s">
        <v>8390</v>
      </c>
      <c r="AZ2206" t="s">
        <v>54</v>
      </c>
      <c r="BA2206" t="s">
        <v>10593</v>
      </c>
    </row>
    <row r="2207" spans="1:53" x14ac:dyDescent="0.25">
      <c r="A2207">
        <v>2202</v>
      </c>
      <c r="B2207" t="s">
        <v>10781</v>
      </c>
      <c r="C2207" t="s">
        <v>10782</v>
      </c>
      <c r="D2207" t="s">
        <v>10783</v>
      </c>
      <c r="E2207">
        <v>13</v>
      </c>
      <c r="F2207" t="s">
        <v>9904</v>
      </c>
      <c r="G2207" t="s">
        <v>10259</v>
      </c>
      <c r="H2207" t="s">
        <v>10260</v>
      </c>
      <c r="I2207" t="s">
        <v>10780</v>
      </c>
      <c r="J2207" t="s">
        <v>10353</v>
      </c>
      <c r="K2207" t="s">
        <v>10354</v>
      </c>
      <c r="L2207" t="s">
        <v>10255</v>
      </c>
      <c r="M2207">
        <v>0.29290518164634699</v>
      </c>
      <c r="N2207" t="s">
        <v>53</v>
      </c>
      <c r="O2207" t="s">
        <v>53</v>
      </c>
      <c r="P2207" t="s">
        <v>54</v>
      </c>
      <c r="Q2207" t="s">
        <v>53</v>
      </c>
      <c r="R2207" t="s">
        <v>53</v>
      </c>
      <c r="S2207" t="s">
        <v>10406</v>
      </c>
      <c r="T2207" t="s">
        <v>10271</v>
      </c>
      <c r="U2207" t="s">
        <v>54</v>
      </c>
      <c r="V2207" t="s">
        <v>51</v>
      </c>
      <c r="W2207">
        <v>231000</v>
      </c>
      <c r="X2207" t="s">
        <v>53</v>
      </c>
      <c r="AA2207">
        <v>0</v>
      </c>
      <c r="AB2207">
        <v>0</v>
      </c>
      <c r="AC2207">
        <v>0</v>
      </c>
      <c r="AD2207">
        <v>0</v>
      </c>
      <c r="AE2207">
        <v>0</v>
      </c>
      <c r="AF2207">
        <v>0</v>
      </c>
      <c r="AG2207">
        <v>0</v>
      </c>
      <c r="AH2207">
        <v>0</v>
      </c>
      <c r="AI2207">
        <v>0</v>
      </c>
      <c r="AJ2207">
        <v>2.4472806602716449E-2</v>
      </c>
      <c r="AK2207" t="s">
        <v>54</v>
      </c>
      <c r="AL2207" t="s">
        <v>53</v>
      </c>
      <c r="AQ2207" t="s">
        <v>53</v>
      </c>
      <c r="AT2207" t="s">
        <v>10266</v>
      </c>
      <c r="AU2207" s="148">
        <v>43020</v>
      </c>
      <c r="AW2207" t="s">
        <v>53</v>
      </c>
      <c r="AZ2207" t="s">
        <v>54</v>
      </c>
      <c r="BA2207" t="s">
        <v>10593</v>
      </c>
    </row>
    <row r="2208" spans="1:53" x14ac:dyDescent="0.25">
      <c r="A2208">
        <v>2203</v>
      </c>
      <c r="B2208" t="s">
        <v>10784</v>
      </c>
      <c r="C2208" t="s">
        <v>10785</v>
      </c>
      <c r="D2208" t="s">
        <v>10786</v>
      </c>
      <c r="E2208">
        <v>13</v>
      </c>
      <c r="F2208" t="s">
        <v>9904</v>
      </c>
      <c r="G2208" t="s">
        <v>10289</v>
      </c>
      <c r="H2208" t="s">
        <v>10314</v>
      </c>
      <c r="I2208" t="s">
        <v>10787</v>
      </c>
      <c r="J2208" t="s">
        <v>10788</v>
      </c>
      <c r="K2208" t="s">
        <v>10789</v>
      </c>
      <c r="L2208" t="s">
        <v>10255</v>
      </c>
      <c r="M2208">
        <v>22.236078262329102</v>
      </c>
      <c r="N2208" t="s">
        <v>54</v>
      </c>
      <c r="O2208" t="s">
        <v>54</v>
      </c>
      <c r="P2208" t="s">
        <v>53</v>
      </c>
      <c r="Q2208" t="s">
        <v>53</v>
      </c>
      <c r="R2208" t="s">
        <v>53</v>
      </c>
      <c r="S2208" t="s">
        <v>10790</v>
      </c>
      <c r="T2208" t="s">
        <v>10532</v>
      </c>
      <c r="U2208" t="s">
        <v>54</v>
      </c>
      <c r="V2208" t="s">
        <v>1973</v>
      </c>
      <c r="W2208">
        <v>1635000</v>
      </c>
      <c r="X2208" t="s">
        <v>53</v>
      </c>
      <c r="AA2208">
        <v>58</v>
      </c>
      <c r="AB2208">
        <v>52</v>
      </c>
      <c r="AC2208">
        <v>32</v>
      </c>
      <c r="AD2208">
        <v>106</v>
      </c>
      <c r="AE2208">
        <v>106</v>
      </c>
      <c r="AF2208">
        <v>0</v>
      </c>
      <c r="AG2208">
        <v>0</v>
      </c>
      <c r="AH2208">
        <v>5.2231731414794922</v>
      </c>
      <c r="AI2208">
        <v>9</v>
      </c>
      <c r="AJ2208">
        <v>200.81532287597659</v>
      </c>
      <c r="AK2208" t="s">
        <v>53</v>
      </c>
      <c r="AL2208" t="s">
        <v>53</v>
      </c>
      <c r="AQ2208" t="s">
        <v>53</v>
      </c>
      <c r="AT2208" t="s">
        <v>10266</v>
      </c>
      <c r="AU2208" s="148">
        <v>43020</v>
      </c>
      <c r="AW2208" t="s">
        <v>8390</v>
      </c>
      <c r="AZ2208" t="s">
        <v>54</v>
      </c>
      <c r="BA2208" t="s">
        <v>10524</v>
      </c>
    </row>
    <row r="2209" spans="1:53" x14ac:dyDescent="0.25">
      <c r="A2209">
        <v>2204</v>
      </c>
      <c r="B2209" t="s">
        <v>10791</v>
      </c>
      <c r="C2209" t="s">
        <v>10792</v>
      </c>
      <c r="D2209" t="s">
        <v>10793</v>
      </c>
      <c r="E2209">
        <v>13</v>
      </c>
      <c r="F2209" t="s">
        <v>9904</v>
      </c>
      <c r="G2209" t="s">
        <v>10313</v>
      </c>
      <c r="H2209" t="s">
        <v>10314</v>
      </c>
      <c r="I2209" t="s">
        <v>10794</v>
      </c>
      <c r="J2209" t="s">
        <v>10795</v>
      </c>
      <c r="K2209" t="s">
        <v>10796</v>
      </c>
      <c r="L2209" t="s">
        <v>9910</v>
      </c>
      <c r="M2209">
        <v>9.0539770126342773</v>
      </c>
      <c r="N2209" t="s">
        <v>54</v>
      </c>
      <c r="O2209" t="s">
        <v>53</v>
      </c>
      <c r="P2209" t="s">
        <v>54</v>
      </c>
      <c r="Q2209" t="s">
        <v>53</v>
      </c>
      <c r="R2209" t="s">
        <v>53</v>
      </c>
      <c r="S2209" t="s">
        <v>10318</v>
      </c>
      <c r="T2209" t="s">
        <v>10797</v>
      </c>
      <c r="U2209" t="s">
        <v>54</v>
      </c>
      <c r="V2209" t="s">
        <v>51</v>
      </c>
      <c r="W2209">
        <v>65673000</v>
      </c>
      <c r="X2209" t="s">
        <v>53</v>
      </c>
      <c r="AA2209">
        <v>0</v>
      </c>
      <c r="AB2209">
        <v>0</v>
      </c>
      <c r="AC2209">
        <v>0</v>
      </c>
      <c r="AD2209">
        <v>0</v>
      </c>
      <c r="AE2209">
        <v>0</v>
      </c>
      <c r="AF2209">
        <v>0</v>
      </c>
      <c r="AG2209">
        <v>0</v>
      </c>
      <c r="AH2209">
        <v>7.951914519071579E-2</v>
      </c>
      <c r="AI2209">
        <v>2</v>
      </c>
      <c r="AJ2209">
        <v>8.0388402938842773</v>
      </c>
      <c r="AK2209" t="s">
        <v>54</v>
      </c>
      <c r="AL2209" t="s">
        <v>53</v>
      </c>
      <c r="AQ2209" t="s">
        <v>53</v>
      </c>
      <c r="AT2209" t="s">
        <v>10798</v>
      </c>
      <c r="AU2209" s="148">
        <v>44123</v>
      </c>
      <c r="AW2209" t="s">
        <v>53</v>
      </c>
      <c r="AZ2209" t="s">
        <v>54</v>
      </c>
      <c r="BA2209" t="s">
        <v>10799</v>
      </c>
    </row>
    <row r="2210" spans="1:53" x14ac:dyDescent="0.25">
      <c r="A2210">
        <v>2205</v>
      </c>
      <c r="B2210" t="s">
        <v>10800</v>
      </c>
      <c r="C2210" t="s">
        <v>10801</v>
      </c>
      <c r="D2210" t="s">
        <v>10802</v>
      </c>
      <c r="E2210">
        <v>13</v>
      </c>
      <c r="F2210" t="s">
        <v>9904</v>
      </c>
      <c r="G2210" t="s">
        <v>10803</v>
      </c>
      <c r="H2210" t="s">
        <v>10314</v>
      </c>
      <c r="I2210" t="s">
        <v>10804</v>
      </c>
      <c r="J2210" t="s">
        <v>10805</v>
      </c>
      <c r="K2210" t="s">
        <v>10806</v>
      </c>
      <c r="L2210" t="s">
        <v>9910</v>
      </c>
      <c r="M2210">
        <v>31.178680419921879</v>
      </c>
      <c r="N2210" t="s">
        <v>54</v>
      </c>
      <c r="O2210" t="s">
        <v>53</v>
      </c>
      <c r="P2210" t="s">
        <v>53</v>
      </c>
      <c r="Q2210" t="s">
        <v>53</v>
      </c>
      <c r="R2210" t="s">
        <v>53</v>
      </c>
      <c r="S2210" t="s">
        <v>10318</v>
      </c>
      <c r="T2210" t="s">
        <v>10807</v>
      </c>
      <c r="U2210" t="s">
        <v>54</v>
      </c>
      <c r="V2210" t="s">
        <v>51</v>
      </c>
      <c r="W2210">
        <v>2536000</v>
      </c>
      <c r="X2210" t="s">
        <v>53</v>
      </c>
      <c r="AA2210">
        <v>702</v>
      </c>
      <c r="AB2210">
        <v>537</v>
      </c>
      <c r="AC2210">
        <v>167</v>
      </c>
      <c r="AD2210">
        <v>675</v>
      </c>
      <c r="AE2210">
        <v>675</v>
      </c>
      <c r="AF2210">
        <v>0</v>
      </c>
      <c r="AG2210">
        <v>0</v>
      </c>
      <c r="AH2210">
        <v>7.1814799308776864</v>
      </c>
      <c r="AI2210">
        <v>35</v>
      </c>
      <c r="AJ2210">
        <v>227.72674560546881</v>
      </c>
      <c r="AK2210" t="s">
        <v>54</v>
      </c>
      <c r="AL2210" t="s">
        <v>53</v>
      </c>
      <c r="AQ2210" t="s">
        <v>53</v>
      </c>
      <c r="AT2210" t="s">
        <v>10798</v>
      </c>
      <c r="AU2210" s="148">
        <v>44123</v>
      </c>
      <c r="AW2210" t="s">
        <v>53</v>
      </c>
      <c r="AZ2210" t="s">
        <v>54</v>
      </c>
      <c r="BA2210" t="s">
        <v>10799</v>
      </c>
    </row>
    <row r="2211" spans="1:53" x14ac:dyDescent="0.25">
      <c r="A2211">
        <v>2206</v>
      </c>
      <c r="B2211" t="s">
        <v>10808</v>
      </c>
      <c r="C2211" t="s">
        <v>10809</v>
      </c>
      <c r="D2211" t="s">
        <v>10810</v>
      </c>
      <c r="E2211">
        <v>13</v>
      </c>
      <c r="F2211" t="s">
        <v>9904</v>
      </c>
      <c r="G2211" t="s">
        <v>10313</v>
      </c>
      <c r="H2211" t="s">
        <v>10811</v>
      </c>
      <c r="I2211" t="s">
        <v>10812</v>
      </c>
      <c r="J2211" t="s">
        <v>10813</v>
      </c>
      <c r="K2211" t="s">
        <v>10814</v>
      </c>
      <c r="L2211" t="s">
        <v>9910</v>
      </c>
      <c r="M2211">
        <v>7.8656785190105438E-2</v>
      </c>
      <c r="N2211" t="s">
        <v>54</v>
      </c>
      <c r="O2211" t="s">
        <v>53</v>
      </c>
      <c r="P2211" t="s">
        <v>54</v>
      </c>
      <c r="Q2211" t="s">
        <v>53</v>
      </c>
      <c r="R2211" t="s">
        <v>53</v>
      </c>
      <c r="S2211" t="s">
        <v>10318</v>
      </c>
      <c r="T2211" t="s">
        <v>10797</v>
      </c>
      <c r="U2211" t="s">
        <v>54</v>
      </c>
      <c r="V2211" t="s">
        <v>51</v>
      </c>
      <c r="W2211">
        <v>11702000</v>
      </c>
      <c r="X2211" t="s">
        <v>53</v>
      </c>
      <c r="AA2211">
        <v>0</v>
      </c>
      <c r="AB2211">
        <v>0</v>
      </c>
      <c r="AC2211">
        <v>0</v>
      </c>
      <c r="AD2211">
        <v>0</v>
      </c>
      <c r="AE2211">
        <v>0</v>
      </c>
      <c r="AF2211">
        <v>0</v>
      </c>
      <c r="AG2211">
        <v>0</v>
      </c>
      <c r="AH2211">
        <v>2.3811958730220791E-2</v>
      </c>
      <c r="AI2211">
        <v>1</v>
      </c>
      <c r="AJ2211">
        <v>0.32503122091293329</v>
      </c>
      <c r="AK2211" t="s">
        <v>54</v>
      </c>
      <c r="AL2211" t="s">
        <v>53</v>
      </c>
      <c r="AQ2211" t="s">
        <v>53</v>
      </c>
      <c r="AT2211" t="s">
        <v>10815</v>
      </c>
      <c r="AW2211" t="s">
        <v>53</v>
      </c>
      <c r="AZ2211" t="s">
        <v>54</v>
      </c>
      <c r="BA2211" t="s">
        <v>10799</v>
      </c>
    </row>
    <row r="2212" spans="1:53" x14ac:dyDescent="0.25">
      <c r="A2212">
        <v>2207</v>
      </c>
      <c r="B2212" t="s">
        <v>10816</v>
      </c>
      <c r="C2212" t="s">
        <v>10817</v>
      </c>
      <c r="D2212" t="s">
        <v>10818</v>
      </c>
      <c r="E2212">
        <v>13</v>
      </c>
      <c r="F2212" t="s">
        <v>9904</v>
      </c>
      <c r="G2212" t="s">
        <v>10803</v>
      </c>
      <c r="H2212" t="s">
        <v>10819</v>
      </c>
      <c r="I2212" t="s">
        <v>10820</v>
      </c>
      <c r="J2212" t="s">
        <v>10821</v>
      </c>
      <c r="K2212" t="s">
        <v>10822</v>
      </c>
      <c r="L2212" t="s">
        <v>9910</v>
      </c>
      <c r="M2212">
        <v>0.99779576063156128</v>
      </c>
      <c r="N2212" t="s">
        <v>54</v>
      </c>
      <c r="O2212" t="s">
        <v>53</v>
      </c>
      <c r="P2212" t="s">
        <v>54</v>
      </c>
      <c r="Q2212" t="s">
        <v>53</v>
      </c>
      <c r="R2212" t="s">
        <v>53</v>
      </c>
      <c r="S2212" t="s">
        <v>10318</v>
      </c>
      <c r="T2212" t="s">
        <v>10823</v>
      </c>
      <c r="U2212" t="s">
        <v>54</v>
      </c>
      <c r="V2212" t="s">
        <v>51</v>
      </c>
      <c r="W2212">
        <v>40739000</v>
      </c>
      <c r="X2212" t="s">
        <v>53</v>
      </c>
      <c r="AA2212">
        <v>2</v>
      </c>
      <c r="AB2212">
        <v>0</v>
      </c>
      <c r="AC2212">
        <v>24</v>
      </c>
      <c r="AD2212">
        <v>5</v>
      </c>
      <c r="AE2212">
        <v>24</v>
      </c>
      <c r="AF2212">
        <v>0</v>
      </c>
      <c r="AG2212">
        <v>0</v>
      </c>
      <c r="AH2212">
        <v>0.42753133177757258</v>
      </c>
      <c r="AI2212">
        <v>3</v>
      </c>
      <c r="AJ2212">
        <v>1.3750708103179929</v>
      </c>
      <c r="AK2212" t="s">
        <v>54</v>
      </c>
      <c r="AL2212" t="s">
        <v>53</v>
      </c>
      <c r="AQ2212" t="s">
        <v>53</v>
      </c>
      <c r="AT2212" t="s">
        <v>10798</v>
      </c>
      <c r="AU2212" s="148">
        <v>44123</v>
      </c>
      <c r="AW2212" t="s">
        <v>8390</v>
      </c>
      <c r="AZ2212" t="s">
        <v>54</v>
      </c>
      <c r="BA2212" t="s">
        <v>10799</v>
      </c>
    </row>
    <row r="2213" spans="1:53" x14ac:dyDescent="0.25">
      <c r="A2213">
        <v>2208</v>
      </c>
      <c r="B2213" t="s">
        <v>10824</v>
      </c>
      <c r="C2213" t="s">
        <v>10825</v>
      </c>
      <c r="D2213" t="s">
        <v>10826</v>
      </c>
      <c r="E2213">
        <v>13</v>
      </c>
      <c r="F2213" t="s">
        <v>9904</v>
      </c>
      <c r="G2213" t="s">
        <v>10827</v>
      </c>
      <c r="L2213" t="s">
        <v>10828</v>
      </c>
      <c r="M2213">
        <v>24051.7890625</v>
      </c>
      <c r="N2213" t="s">
        <v>54</v>
      </c>
      <c r="O2213" t="s">
        <v>54</v>
      </c>
      <c r="P2213" t="s">
        <v>54</v>
      </c>
      <c r="Q2213" t="s">
        <v>53</v>
      </c>
      <c r="R2213" t="s">
        <v>54</v>
      </c>
      <c r="S2213" t="s">
        <v>10829</v>
      </c>
      <c r="T2213" t="s">
        <v>10830</v>
      </c>
      <c r="U2213" t="s">
        <v>53</v>
      </c>
      <c r="V2213" t="s">
        <v>162</v>
      </c>
      <c r="W2213">
        <v>250000</v>
      </c>
      <c r="X2213" t="s">
        <v>53</v>
      </c>
      <c r="AA2213">
        <v>60967</v>
      </c>
      <c r="AB2213">
        <v>42976</v>
      </c>
      <c r="AC2213">
        <v>136543</v>
      </c>
      <c r="AD2213">
        <v>124916</v>
      </c>
      <c r="AE2213">
        <v>136543</v>
      </c>
      <c r="AF2213">
        <v>445</v>
      </c>
      <c r="AG2213">
        <v>526</v>
      </c>
      <c r="AH2213">
        <v>3214.530517578125</v>
      </c>
      <c r="AI2213">
        <v>7401</v>
      </c>
      <c r="AJ2213">
        <v>251436.96875</v>
      </c>
      <c r="AK2213" t="s">
        <v>53</v>
      </c>
      <c r="AL2213" t="s">
        <v>53</v>
      </c>
      <c r="AQ2213" t="s">
        <v>53</v>
      </c>
      <c r="AT2213" t="s">
        <v>10831</v>
      </c>
      <c r="AW2213" t="s">
        <v>53</v>
      </c>
      <c r="AZ2213" t="s">
        <v>54</v>
      </c>
      <c r="BA2213" t="s">
        <v>10832</v>
      </c>
    </row>
    <row r="2214" spans="1:53" x14ac:dyDescent="0.25">
      <c r="A2214">
        <v>2209</v>
      </c>
      <c r="B2214" t="s">
        <v>10833</v>
      </c>
      <c r="C2214" t="s">
        <v>10834</v>
      </c>
      <c r="D2214" t="s">
        <v>10835</v>
      </c>
      <c r="E2214">
        <v>13</v>
      </c>
      <c r="F2214" t="s">
        <v>9904</v>
      </c>
      <c r="G2214" t="s">
        <v>10827</v>
      </c>
      <c r="L2214" t="s">
        <v>10836</v>
      </c>
      <c r="M2214">
        <v>24051.7890625</v>
      </c>
      <c r="N2214" t="s">
        <v>54</v>
      </c>
      <c r="O2214" t="s">
        <v>54</v>
      </c>
      <c r="P2214" t="s">
        <v>54</v>
      </c>
      <c r="Q2214" t="s">
        <v>53</v>
      </c>
      <c r="R2214" t="s">
        <v>54</v>
      </c>
      <c r="S2214" t="s">
        <v>10829</v>
      </c>
      <c r="T2214" t="s">
        <v>10830</v>
      </c>
      <c r="U2214" t="s">
        <v>53</v>
      </c>
      <c r="V2214" t="s">
        <v>51</v>
      </c>
      <c r="W2214">
        <v>700000</v>
      </c>
      <c r="X2214" t="s">
        <v>53</v>
      </c>
      <c r="AA2214">
        <v>60967</v>
      </c>
      <c r="AB2214">
        <v>42976</v>
      </c>
      <c r="AC2214">
        <v>136543</v>
      </c>
      <c r="AD2214">
        <v>124916</v>
      </c>
      <c r="AE2214">
        <v>136543</v>
      </c>
      <c r="AF2214">
        <v>445</v>
      </c>
      <c r="AG2214">
        <v>526</v>
      </c>
      <c r="AH2214">
        <v>3214.530517578125</v>
      </c>
      <c r="AI2214">
        <v>7401</v>
      </c>
      <c r="AJ2214">
        <v>251436.96875</v>
      </c>
      <c r="AK2214" t="s">
        <v>54</v>
      </c>
      <c r="AL2214" t="s">
        <v>53</v>
      </c>
      <c r="AQ2214" t="s">
        <v>53</v>
      </c>
      <c r="AT2214" t="s">
        <v>10831</v>
      </c>
      <c r="AW2214" t="s">
        <v>53</v>
      </c>
      <c r="AZ2214" t="s">
        <v>54</v>
      </c>
      <c r="BA2214" t="s">
        <v>10837</v>
      </c>
    </row>
    <row r="2215" spans="1:53" x14ac:dyDescent="0.25">
      <c r="A2215">
        <v>2210</v>
      </c>
      <c r="B2215" t="s">
        <v>10838</v>
      </c>
      <c r="C2215" t="s">
        <v>10839</v>
      </c>
      <c r="D2215" t="s">
        <v>10840</v>
      </c>
      <c r="E2215">
        <v>13</v>
      </c>
      <c r="F2215" t="s">
        <v>9904</v>
      </c>
      <c r="G2215" t="s">
        <v>10827</v>
      </c>
      <c r="L2215" t="s">
        <v>10085</v>
      </c>
      <c r="M2215">
        <v>24051.7890625</v>
      </c>
      <c r="N2215" t="s">
        <v>54</v>
      </c>
      <c r="O2215" t="s">
        <v>54</v>
      </c>
      <c r="P2215" t="s">
        <v>54</v>
      </c>
      <c r="Q2215" t="s">
        <v>53</v>
      </c>
      <c r="R2215" t="s">
        <v>54</v>
      </c>
      <c r="S2215" t="s">
        <v>10829</v>
      </c>
      <c r="T2215" t="s">
        <v>10830</v>
      </c>
      <c r="U2215" t="s">
        <v>53</v>
      </c>
      <c r="V2215" t="s">
        <v>51</v>
      </c>
      <c r="W2215">
        <v>1355000</v>
      </c>
      <c r="X2215" t="s">
        <v>53</v>
      </c>
      <c r="AA2215">
        <v>60967</v>
      </c>
      <c r="AB2215">
        <v>42976</v>
      </c>
      <c r="AC2215">
        <v>136543</v>
      </c>
      <c r="AD2215">
        <v>124916</v>
      </c>
      <c r="AE2215">
        <v>136543</v>
      </c>
      <c r="AF2215">
        <v>445</v>
      </c>
      <c r="AG2215">
        <v>526</v>
      </c>
      <c r="AH2215">
        <v>3214.530517578125</v>
      </c>
      <c r="AI2215">
        <v>7401</v>
      </c>
      <c r="AJ2215">
        <v>251436.96875</v>
      </c>
      <c r="AK2215" t="s">
        <v>54</v>
      </c>
      <c r="AL2215" t="s">
        <v>53</v>
      </c>
      <c r="AQ2215" t="s">
        <v>53</v>
      </c>
      <c r="AT2215" t="s">
        <v>10831</v>
      </c>
      <c r="AW2215" t="s">
        <v>53</v>
      </c>
      <c r="AZ2215" t="s">
        <v>54</v>
      </c>
      <c r="BA2215" t="s">
        <v>10841</v>
      </c>
    </row>
    <row r="2216" spans="1:53" x14ac:dyDescent="0.25">
      <c r="A2216">
        <v>2211</v>
      </c>
      <c r="B2216" t="s">
        <v>10842</v>
      </c>
      <c r="C2216" t="s">
        <v>10843</v>
      </c>
      <c r="D2216" t="s">
        <v>10844</v>
      </c>
      <c r="E2216">
        <v>13</v>
      </c>
      <c r="F2216" t="s">
        <v>9904</v>
      </c>
      <c r="G2216" t="s">
        <v>10827</v>
      </c>
      <c r="L2216" t="s">
        <v>10845</v>
      </c>
      <c r="M2216">
        <v>24051.7890625</v>
      </c>
      <c r="N2216" t="s">
        <v>54</v>
      </c>
      <c r="O2216" t="s">
        <v>54</v>
      </c>
      <c r="P2216" t="s">
        <v>54</v>
      </c>
      <c r="Q2216" t="s">
        <v>53</v>
      </c>
      <c r="R2216" t="s">
        <v>54</v>
      </c>
      <c r="S2216" t="s">
        <v>10829</v>
      </c>
      <c r="T2216" t="s">
        <v>10830</v>
      </c>
      <c r="U2216" t="s">
        <v>53</v>
      </c>
      <c r="V2216" t="s">
        <v>1973</v>
      </c>
      <c r="W2216">
        <v>100000</v>
      </c>
      <c r="X2216" t="s">
        <v>53</v>
      </c>
      <c r="AA2216">
        <v>60967</v>
      </c>
      <c r="AB2216">
        <v>42976</v>
      </c>
      <c r="AC2216">
        <v>136543</v>
      </c>
      <c r="AD2216">
        <v>124916</v>
      </c>
      <c r="AE2216">
        <v>136543</v>
      </c>
      <c r="AF2216">
        <v>445</v>
      </c>
      <c r="AG2216">
        <v>526</v>
      </c>
      <c r="AH2216">
        <v>3214.530517578125</v>
      </c>
      <c r="AI2216">
        <v>7401</v>
      </c>
      <c r="AJ2216">
        <v>251436.96875</v>
      </c>
      <c r="AK2216" t="s">
        <v>53</v>
      </c>
      <c r="AL2216" t="s">
        <v>53</v>
      </c>
      <c r="AQ2216" t="s">
        <v>53</v>
      </c>
      <c r="AT2216" t="s">
        <v>10831</v>
      </c>
      <c r="AW2216" t="s">
        <v>53</v>
      </c>
      <c r="AZ2216" t="s">
        <v>54</v>
      </c>
      <c r="BA2216" t="s">
        <v>10846</v>
      </c>
    </row>
    <row r="2217" spans="1:53" x14ac:dyDescent="0.25">
      <c r="A2217">
        <v>2212</v>
      </c>
      <c r="B2217" t="s">
        <v>10847</v>
      </c>
      <c r="C2217" t="s">
        <v>10848</v>
      </c>
      <c r="D2217" t="s">
        <v>10849</v>
      </c>
      <c r="E2217">
        <v>13</v>
      </c>
      <c r="F2217" t="s">
        <v>9904</v>
      </c>
      <c r="G2217" t="s">
        <v>10827</v>
      </c>
      <c r="L2217" t="s">
        <v>10845</v>
      </c>
      <c r="M2217">
        <v>24051.7890625</v>
      </c>
      <c r="N2217" t="s">
        <v>54</v>
      </c>
      <c r="O2217" t="s">
        <v>54</v>
      </c>
      <c r="P2217" t="s">
        <v>54</v>
      </c>
      <c r="Q2217" t="s">
        <v>53</v>
      </c>
      <c r="R2217" t="s">
        <v>54</v>
      </c>
      <c r="S2217" t="s">
        <v>10829</v>
      </c>
      <c r="T2217" t="s">
        <v>10830</v>
      </c>
      <c r="U2217" t="s">
        <v>53</v>
      </c>
      <c r="V2217" t="s">
        <v>1973</v>
      </c>
      <c r="W2217">
        <v>1000000</v>
      </c>
      <c r="X2217" t="s">
        <v>53</v>
      </c>
      <c r="AA2217">
        <v>60967</v>
      </c>
      <c r="AB2217">
        <v>42976</v>
      </c>
      <c r="AC2217">
        <v>136543</v>
      </c>
      <c r="AD2217">
        <v>124916</v>
      </c>
      <c r="AE2217">
        <v>136543</v>
      </c>
      <c r="AF2217">
        <v>445</v>
      </c>
      <c r="AG2217">
        <v>526</v>
      </c>
      <c r="AH2217">
        <v>3214.530517578125</v>
      </c>
      <c r="AI2217">
        <v>7401</v>
      </c>
      <c r="AJ2217">
        <v>251436.96875</v>
      </c>
      <c r="AK2217" t="s">
        <v>53</v>
      </c>
      <c r="AL2217" t="s">
        <v>53</v>
      </c>
      <c r="AQ2217" t="s">
        <v>53</v>
      </c>
      <c r="AT2217" t="s">
        <v>10831</v>
      </c>
      <c r="AW2217" t="s">
        <v>53</v>
      </c>
      <c r="AZ2217" t="s">
        <v>54</v>
      </c>
      <c r="BA2217" t="s">
        <v>10846</v>
      </c>
    </row>
    <row r="2218" spans="1:53" x14ac:dyDescent="0.25">
      <c r="A2218">
        <v>2213</v>
      </c>
      <c r="B2218" t="s">
        <v>10850</v>
      </c>
      <c r="C2218" t="s">
        <v>10851</v>
      </c>
      <c r="D2218" t="s">
        <v>10851</v>
      </c>
      <c r="E2218">
        <v>13</v>
      </c>
      <c r="F2218" t="s">
        <v>9904</v>
      </c>
      <c r="G2218" t="s">
        <v>9904</v>
      </c>
      <c r="H2218" t="s">
        <v>10175</v>
      </c>
      <c r="I2218" t="s">
        <v>10852</v>
      </c>
      <c r="J2218" t="s">
        <v>10853</v>
      </c>
      <c r="K2218" t="s">
        <v>10854</v>
      </c>
      <c r="L2218" t="s">
        <v>10255</v>
      </c>
      <c r="M2218">
        <v>0.44827273488044739</v>
      </c>
      <c r="N2218" t="s">
        <v>53</v>
      </c>
      <c r="O2218" t="s">
        <v>53</v>
      </c>
      <c r="P2218" t="s">
        <v>54</v>
      </c>
      <c r="Q2218" t="s">
        <v>53</v>
      </c>
      <c r="R2218" t="s">
        <v>53</v>
      </c>
      <c r="S2218" t="s">
        <v>10855</v>
      </c>
      <c r="T2218" t="s">
        <v>10856</v>
      </c>
      <c r="U2218" t="s">
        <v>54</v>
      </c>
      <c r="V2218" t="s">
        <v>51</v>
      </c>
      <c r="W2218">
        <v>100000</v>
      </c>
      <c r="X2218" t="s">
        <v>53</v>
      </c>
      <c r="AA2218">
        <v>0</v>
      </c>
      <c r="AB2218">
        <v>0</v>
      </c>
      <c r="AC2218">
        <v>0</v>
      </c>
      <c r="AD2218">
        <v>0</v>
      </c>
      <c r="AE2218">
        <v>0</v>
      </c>
      <c r="AF2218">
        <v>0</v>
      </c>
      <c r="AG2218">
        <v>0</v>
      </c>
      <c r="AH2218">
        <v>0.1723700016736984</v>
      </c>
      <c r="AI2218">
        <v>2</v>
      </c>
      <c r="AJ2218">
        <v>3.0913093090057369</v>
      </c>
      <c r="AK2218" t="s">
        <v>54</v>
      </c>
      <c r="AL2218" t="s">
        <v>53</v>
      </c>
      <c r="AQ2218" t="s">
        <v>53</v>
      </c>
      <c r="AT2218" t="s">
        <v>10517</v>
      </c>
      <c r="AW2218" t="s">
        <v>53</v>
      </c>
      <c r="AZ2218" t="s">
        <v>54</v>
      </c>
      <c r="BA2218" t="s">
        <v>10685</v>
      </c>
    </row>
    <row r="2219" spans="1:53" x14ac:dyDescent="0.25">
      <c r="A2219">
        <v>2214</v>
      </c>
      <c r="B2219" t="s">
        <v>10857</v>
      </c>
      <c r="C2219" t="s">
        <v>10858</v>
      </c>
      <c r="D2219" t="s">
        <v>10859</v>
      </c>
      <c r="E2219">
        <v>13</v>
      </c>
      <c r="F2219" t="s">
        <v>9904</v>
      </c>
      <c r="G2219" t="s">
        <v>9904</v>
      </c>
      <c r="H2219" t="s">
        <v>10175</v>
      </c>
      <c r="I2219" t="s">
        <v>10860</v>
      </c>
      <c r="J2219" t="s">
        <v>10861</v>
      </c>
      <c r="K2219" t="s">
        <v>10862</v>
      </c>
      <c r="L2219" t="s">
        <v>9910</v>
      </c>
      <c r="M2219">
        <v>0.34085902571678162</v>
      </c>
      <c r="N2219" t="s">
        <v>54</v>
      </c>
      <c r="O2219" t="s">
        <v>53</v>
      </c>
      <c r="P2219" t="s">
        <v>54</v>
      </c>
      <c r="Q2219" t="s">
        <v>53</v>
      </c>
      <c r="R2219" t="s">
        <v>53</v>
      </c>
      <c r="S2219" t="s">
        <v>10863</v>
      </c>
      <c r="T2219" t="s">
        <v>10864</v>
      </c>
      <c r="U2219" t="s">
        <v>54</v>
      </c>
      <c r="V2219" t="s">
        <v>51</v>
      </c>
      <c r="W2219">
        <v>250000</v>
      </c>
      <c r="X2219" t="s">
        <v>54</v>
      </c>
      <c r="Y2219" t="s">
        <v>10865</v>
      </c>
      <c r="AA2219">
        <v>213</v>
      </c>
      <c r="AB2219">
        <v>177</v>
      </c>
      <c r="AC2219">
        <v>407</v>
      </c>
      <c r="AD2219">
        <v>390</v>
      </c>
      <c r="AE2219">
        <v>407</v>
      </c>
      <c r="AF2219">
        <v>15</v>
      </c>
      <c r="AG2219">
        <v>0</v>
      </c>
      <c r="AH2219">
        <v>7.302342414855957</v>
      </c>
      <c r="AI2219">
        <v>26</v>
      </c>
      <c r="AJ2219">
        <v>1.085465669631958</v>
      </c>
      <c r="AK2219" t="s">
        <v>54</v>
      </c>
      <c r="AL2219" t="s">
        <v>53</v>
      </c>
      <c r="AQ2219" t="s">
        <v>53</v>
      </c>
      <c r="AT2219" t="s">
        <v>10285</v>
      </c>
      <c r="AU2219" s="148">
        <v>40969</v>
      </c>
      <c r="AW2219" t="s">
        <v>53</v>
      </c>
      <c r="AZ2219" t="s">
        <v>54</v>
      </c>
      <c r="BA2219" t="s">
        <v>9935</v>
      </c>
    </row>
    <row r="2220" spans="1:53" x14ac:dyDescent="0.25">
      <c r="A2220">
        <v>2215</v>
      </c>
      <c r="B2220" t="s">
        <v>10866</v>
      </c>
      <c r="C2220" t="s">
        <v>10867</v>
      </c>
      <c r="D2220" t="s">
        <v>10868</v>
      </c>
      <c r="E2220">
        <v>13</v>
      </c>
      <c r="F2220" t="s">
        <v>9904</v>
      </c>
      <c r="G2220" t="s">
        <v>10827</v>
      </c>
      <c r="L2220" t="s">
        <v>9991</v>
      </c>
      <c r="M2220">
        <v>24051.7890625</v>
      </c>
      <c r="N2220" t="s">
        <v>54</v>
      </c>
      <c r="O2220" t="s">
        <v>54</v>
      </c>
      <c r="P2220" t="s">
        <v>54</v>
      </c>
      <c r="Q2220" t="s">
        <v>53</v>
      </c>
      <c r="R2220" t="s">
        <v>54</v>
      </c>
      <c r="S2220" t="s">
        <v>10829</v>
      </c>
      <c r="T2220" t="s">
        <v>10830</v>
      </c>
      <c r="U2220" t="s">
        <v>53</v>
      </c>
      <c r="V2220" t="s">
        <v>138</v>
      </c>
      <c r="W2220">
        <v>51628000</v>
      </c>
      <c r="X2220" t="s">
        <v>53</v>
      </c>
      <c r="AA2220">
        <v>60967</v>
      </c>
      <c r="AB2220">
        <v>42976</v>
      </c>
      <c r="AC2220">
        <v>136543</v>
      </c>
      <c r="AD2220">
        <v>124916</v>
      </c>
      <c r="AE2220">
        <v>136543</v>
      </c>
      <c r="AF2220">
        <v>445</v>
      </c>
      <c r="AG2220">
        <v>526</v>
      </c>
      <c r="AH2220">
        <v>3214.530517578125</v>
      </c>
      <c r="AI2220">
        <v>4499</v>
      </c>
      <c r="AJ2220">
        <v>251436.96875</v>
      </c>
      <c r="AK2220" t="s">
        <v>54</v>
      </c>
      <c r="AL2220" t="s">
        <v>53</v>
      </c>
      <c r="AQ2220" t="s">
        <v>53</v>
      </c>
      <c r="AT2220" t="s">
        <v>10831</v>
      </c>
      <c r="AW2220" t="s">
        <v>53</v>
      </c>
      <c r="AZ2220" t="s">
        <v>54</v>
      </c>
      <c r="BA2220" t="s">
        <v>10869</v>
      </c>
    </row>
    <row r="2221" spans="1:53" x14ac:dyDescent="0.25">
      <c r="A2221">
        <v>2216</v>
      </c>
      <c r="B2221" t="s">
        <v>10870</v>
      </c>
      <c r="C2221" t="s">
        <v>10871</v>
      </c>
      <c r="D2221" t="s">
        <v>10872</v>
      </c>
      <c r="E2221">
        <v>14</v>
      </c>
      <c r="F2221" t="s">
        <v>10873</v>
      </c>
      <c r="G2221" t="s">
        <v>10874</v>
      </c>
      <c r="H2221" t="s">
        <v>10875</v>
      </c>
      <c r="I2221" t="s">
        <v>32</v>
      </c>
      <c r="J2221" t="s">
        <v>32</v>
      </c>
      <c r="K2221" t="s">
        <v>32</v>
      </c>
      <c r="L2221" t="s">
        <v>10876</v>
      </c>
      <c r="M2221">
        <v>10.184000015258791</v>
      </c>
      <c r="N2221" t="s">
        <v>54</v>
      </c>
      <c r="O2221" t="s">
        <v>53</v>
      </c>
      <c r="P2221" t="s">
        <v>53</v>
      </c>
      <c r="Q2221" t="s">
        <v>53</v>
      </c>
      <c r="R2221" t="s">
        <v>53</v>
      </c>
      <c r="S2221" t="s">
        <v>10877</v>
      </c>
      <c r="T2221" t="s">
        <v>10878</v>
      </c>
      <c r="U2221" t="s">
        <v>53</v>
      </c>
      <c r="V2221" t="s">
        <v>51</v>
      </c>
      <c r="W2221">
        <v>183000</v>
      </c>
      <c r="X2221" t="s">
        <v>54</v>
      </c>
      <c r="Y2221" t="s">
        <v>10879</v>
      </c>
      <c r="Z2221">
        <v>36600</v>
      </c>
      <c r="AA2221">
        <v>760</v>
      </c>
      <c r="AB2221">
        <v>479</v>
      </c>
      <c r="AC2221">
        <v>627</v>
      </c>
      <c r="AD2221">
        <v>168</v>
      </c>
      <c r="AE2221">
        <v>187</v>
      </c>
      <c r="AF2221">
        <v>0</v>
      </c>
      <c r="AG2221">
        <v>0</v>
      </c>
      <c r="AH2221">
        <v>16.26609992980957</v>
      </c>
      <c r="AI2221">
        <v>0</v>
      </c>
      <c r="AJ2221">
        <v>412.2130126953125</v>
      </c>
      <c r="AK2221" t="s">
        <v>54</v>
      </c>
      <c r="AL2221" t="s">
        <v>54</v>
      </c>
      <c r="AM2221" t="s">
        <v>10880</v>
      </c>
      <c r="AN2221" s="148">
        <v>39448</v>
      </c>
      <c r="AO2221" s="148">
        <v>39448</v>
      </c>
      <c r="AQ2221" t="s">
        <v>54</v>
      </c>
      <c r="AR2221" t="s">
        <v>32</v>
      </c>
      <c r="AS2221" s="148">
        <v>31048</v>
      </c>
      <c r="AT2221" t="s">
        <v>10881</v>
      </c>
      <c r="AU2221" s="148">
        <v>31048</v>
      </c>
      <c r="AV2221" t="s">
        <v>32</v>
      </c>
      <c r="AW2221" t="s">
        <v>54</v>
      </c>
      <c r="AX2221" t="s">
        <v>32</v>
      </c>
      <c r="AY2221" s="148">
        <v>0</v>
      </c>
      <c r="AZ2221" t="s">
        <v>54</v>
      </c>
      <c r="BA2221" t="s">
        <v>10882</v>
      </c>
    </row>
    <row r="2222" spans="1:53" x14ac:dyDescent="0.25">
      <c r="A2222">
        <v>2217</v>
      </c>
      <c r="B2222" t="s">
        <v>10883</v>
      </c>
      <c r="C2222" t="s">
        <v>10884</v>
      </c>
      <c r="D2222" t="s">
        <v>10885</v>
      </c>
      <c r="E2222">
        <v>14</v>
      </c>
      <c r="F2222" t="s">
        <v>10873</v>
      </c>
      <c r="G2222" t="s">
        <v>10886</v>
      </c>
      <c r="H2222" t="s">
        <v>10887</v>
      </c>
      <c r="I2222" t="s">
        <v>32</v>
      </c>
      <c r="J2222" t="s">
        <v>32</v>
      </c>
      <c r="K2222" t="s">
        <v>32</v>
      </c>
      <c r="L2222" t="s">
        <v>10888</v>
      </c>
      <c r="M2222">
        <v>5.1465999335050583E-2</v>
      </c>
      <c r="N2222" t="s">
        <v>54</v>
      </c>
      <c r="O2222" t="s">
        <v>53</v>
      </c>
      <c r="P2222" t="s">
        <v>53</v>
      </c>
      <c r="Q2222" t="s">
        <v>53</v>
      </c>
      <c r="R2222" t="s">
        <v>53</v>
      </c>
      <c r="S2222" t="s">
        <v>10889</v>
      </c>
      <c r="T2222" t="s">
        <v>10890</v>
      </c>
      <c r="U2222" t="s">
        <v>53</v>
      </c>
      <c r="V2222" t="s">
        <v>51</v>
      </c>
      <c r="W2222">
        <v>38000</v>
      </c>
      <c r="X2222" t="s">
        <v>54</v>
      </c>
      <c r="Y2222" t="s">
        <v>10891</v>
      </c>
      <c r="Z2222">
        <v>19000</v>
      </c>
      <c r="AA2222">
        <v>0</v>
      </c>
      <c r="AB2222">
        <v>0</v>
      </c>
      <c r="AC2222">
        <v>0</v>
      </c>
      <c r="AD2222">
        <v>2126</v>
      </c>
      <c r="AE2222">
        <v>2126</v>
      </c>
      <c r="AF2222">
        <v>0</v>
      </c>
      <c r="AG2222">
        <v>0</v>
      </c>
      <c r="AH2222">
        <v>0.24706199765205381</v>
      </c>
      <c r="AI2222">
        <v>0</v>
      </c>
      <c r="AJ2222">
        <v>10.934300422668461</v>
      </c>
      <c r="AK2222" t="s">
        <v>54</v>
      </c>
      <c r="AL2222" t="s">
        <v>54</v>
      </c>
      <c r="AM2222" t="s">
        <v>10892</v>
      </c>
      <c r="AN2222" s="148">
        <v>43466</v>
      </c>
      <c r="AO2222" s="148">
        <v>43466</v>
      </c>
      <c r="AQ2222" t="s">
        <v>54</v>
      </c>
      <c r="AR2222" t="s">
        <v>32</v>
      </c>
      <c r="AS2222" s="148">
        <v>43466</v>
      </c>
      <c r="AT2222" t="s">
        <v>10893</v>
      </c>
      <c r="AU2222" s="148">
        <v>43466</v>
      </c>
      <c r="AV2222" t="s">
        <v>32</v>
      </c>
      <c r="AW2222" t="s">
        <v>53</v>
      </c>
      <c r="AX2222" t="s">
        <v>32</v>
      </c>
      <c r="AY2222" s="148">
        <v>0</v>
      </c>
      <c r="AZ2222" t="s">
        <v>54</v>
      </c>
      <c r="BA2222" t="s">
        <v>10882</v>
      </c>
    </row>
    <row r="2223" spans="1:53" x14ac:dyDescent="0.25">
      <c r="A2223">
        <v>2218</v>
      </c>
      <c r="B2223" t="s">
        <v>10894</v>
      </c>
      <c r="C2223" t="s">
        <v>10895</v>
      </c>
      <c r="D2223" t="s">
        <v>10896</v>
      </c>
      <c r="E2223">
        <v>14</v>
      </c>
      <c r="F2223" t="s">
        <v>10873</v>
      </c>
      <c r="G2223" t="s">
        <v>10886</v>
      </c>
      <c r="H2223" t="s">
        <v>10887</v>
      </c>
      <c r="I2223" t="s">
        <v>32</v>
      </c>
      <c r="J2223" t="s">
        <v>32</v>
      </c>
      <c r="K2223" t="s">
        <v>32</v>
      </c>
      <c r="L2223" t="s">
        <v>10897</v>
      </c>
      <c r="M2223">
        <v>5.5937700271606454</v>
      </c>
      <c r="N2223" t="s">
        <v>53</v>
      </c>
      <c r="O2223" t="s">
        <v>53</v>
      </c>
      <c r="P2223" t="s">
        <v>54</v>
      </c>
      <c r="Q2223" t="s">
        <v>53</v>
      </c>
      <c r="R2223" t="s">
        <v>53</v>
      </c>
      <c r="S2223" t="s">
        <v>10898</v>
      </c>
      <c r="T2223" t="s">
        <v>10899</v>
      </c>
      <c r="U2223" t="s">
        <v>53</v>
      </c>
      <c r="V2223" t="s">
        <v>51</v>
      </c>
      <c r="W2223">
        <v>689000</v>
      </c>
      <c r="X2223" t="s">
        <v>54</v>
      </c>
      <c r="Y2223" t="s">
        <v>10891</v>
      </c>
      <c r="Z2223">
        <v>344500</v>
      </c>
      <c r="AA2223">
        <v>375</v>
      </c>
      <c r="AB2223">
        <v>216</v>
      </c>
      <c r="AC2223">
        <v>391</v>
      </c>
      <c r="AD2223">
        <v>75</v>
      </c>
      <c r="AE2223">
        <v>75</v>
      </c>
      <c r="AF2223">
        <v>0</v>
      </c>
      <c r="AG2223">
        <v>0</v>
      </c>
      <c r="AH2223">
        <v>12.458399772644039</v>
      </c>
      <c r="AI2223">
        <v>0</v>
      </c>
      <c r="AJ2223">
        <v>1474.780029296875</v>
      </c>
      <c r="AK2223" t="s">
        <v>54</v>
      </c>
      <c r="AL2223" t="s">
        <v>54</v>
      </c>
      <c r="AM2223" t="s">
        <v>10900</v>
      </c>
      <c r="AN2223" s="148">
        <v>39814</v>
      </c>
      <c r="AO2223" s="148">
        <v>39814</v>
      </c>
      <c r="AQ2223" t="s">
        <v>54</v>
      </c>
      <c r="AR2223" t="s">
        <v>32</v>
      </c>
      <c r="AS2223" s="148">
        <v>43466</v>
      </c>
      <c r="AT2223" t="s">
        <v>10893</v>
      </c>
      <c r="AU2223" s="148">
        <v>43466</v>
      </c>
      <c r="AV2223" t="s">
        <v>32</v>
      </c>
      <c r="AW2223" t="s">
        <v>53</v>
      </c>
      <c r="AX2223" t="s">
        <v>32</v>
      </c>
      <c r="AY2223" s="148">
        <v>0</v>
      </c>
      <c r="AZ2223" t="s">
        <v>54</v>
      </c>
      <c r="BA2223" t="s">
        <v>10882</v>
      </c>
    </row>
    <row r="2224" spans="1:53" x14ac:dyDescent="0.25">
      <c r="A2224">
        <v>2219</v>
      </c>
      <c r="B2224" t="s">
        <v>10901</v>
      </c>
      <c r="C2224" t="s">
        <v>10902</v>
      </c>
      <c r="D2224" t="s">
        <v>10903</v>
      </c>
      <c r="E2224">
        <v>14</v>
      </c>
      <c r="F2224" t="s">
        <v>10873</v>
      </c>
      <c r="G2224" t="s">
        <v>10886</v>
      </c>
      <c r="H2224" t="s">
        <v>10887</v>
      </c>
      <c r="I2224" t="s">
        <v>32</v>
      </c>
      <c r="J2224" t="s">
        <v>32</v>
      </c>
      <c r="K2224" t="s">
        <v>32</v>
      </c>
      <c r="L2224" t="s">
        <v>10904</v>
      </c>
      <c r="M2224">
        <v>7.2598800659179688</v>
      </c>
      <c r="N2224" t="s">
        <v>53</v>
      </c>
      <c r="O2224" t="s">
        <v>53</v>
      </c>
      <c r="P2224" t="s">
        <v>54</v>
      </c>
      <c r="Q2224" t="s">
        <v>53</v>
      </c>
      <c r="R2224" t="s">
        <v>53</v>
      </c>
      <c r="S2224" t="s">
        <v>10905</v>
      </c>
      <c r="T2224" t="s">
        <v>10906</v>
      </c>
      <c r="U2224" t="s">
        <v>53</v>
      </c>
      <c r="V2224" t="s">
        <v>51</v>
      </c>
      <c r="W2224">
        <v>73000</v>
      </c>
      <c r="X2224" t="s">
        <v>54</v>
      </c>
      <c r="Y2224" t="s">
        <v>10907</v>
      </c>
      <c r="Z2224">
        <v>18250</v>
      </c>
      <c r="AA2224">
        <v>641</v>
      </c>
      <c r="AB2224">
        <v>598</v>
      </c>
      <c r="AC2224">
        <v>394</v>
      </c>
      <c r="AD2224">
        <v>3960</v>
      </c>
      <c r="AE2224">
        <v>4364</v>
      </c>
      <c r="AF2224">
        <v>1</v>
      </c>
      <c r="AG2224">
        <v>0</v>
      </c>
      <c r="AH2224">
        <v>10.38809967041016</v>
      </c>
      <c r="AI2224">
        <v>0</v>
      </c>
      <c r="AJ2224">
        <v>1201.380004882812</v>
      </c>
      <c r="AK2224" t="s">
        <v>54</v>
      </c>
      <c r="AL2224" t="s">
        <v>54</v>
      </c>
      <c r="AM2224" t="s">
        <v>10908</v>
      </c>
      <c r="AN2224" s="148">
        <v>43466</v>
      </c>
      <c r="AO2224" s="148">
        <v>43466</v>
      </c>
      <c r="AQ2224" t="s">
        <v>54</v>
      </c>
      <c r="AR2224" t="s">
        <v>32</v>
      </c>
      <c r="AS2224" s="148">
        <v>43466</v>
      </c>
      <c r="AT2224" t="s">
        <v>10893</v>
      </c>
      <c r="AU2224" s="148">
        <v>43466</v>
      </c>
      <c r="AV2224" t="s">
        <v>32</v>
      </c>
      <c r="AW2224" t="s">
        <v>53</v>
      </c>
      <c r="AX2224" t="s">
        <v>32</v>
      </c>
      <c r="AY2224" s="148">
        <v>0</v>
      </c>
      <c r="AZ2224" t="s">
        <v>54</v>
      </c>
      <c r="BA2224" t="s">
        <v>10882</v>
      </c>
    </row>
    <row r="2225" spans="1:53" x14ac:dyDescent="0.25">
      <c r="A2225">
        <v>2220</v>
      </c>
      <c r="B2225" t="s">
        <v>10909</v>
      </c>
      <c r="C2225" t="s">
        <v>10910</v>
      </c>
      <c r="D2225" t="s">
        <v>10911</v>
      </c>
      <c r="E2225">
        <v>14</v>
      </c>
      <c r="F2225" t="s">
        <v>10873</v>
      </c>
      <c r="G2225" t="s">
        <v>10886</v>
      </c>
      <c r="H2225" t="s">
        <v>10887</v>
      </c>
      <c r="I2225" t="s">
        <v>32</v>
      </c>
      <c r="J2225" t="s">
        <v>32</v>
      </c>
      <c r="K2225" t="s">
        <v>32</v>
      </c>
      <c r="L2225" t="s">
        <v>10904</v>
      </c>
      <c r="M2225">
        <v>0.67382001876831055</v>
      </c>
      <c r="N2225" t="s">
        <v>53</v>
      </c>
      <c r="O2225" t="s">
        <v>53</v>
      </c>
      <c r="P2225" t="s">
        <v>54</v>
      </c>
      <c r="Q2225" t="s">
        <v>53</v>
      </c>
      <c r="R2225" t="s">
        <v>53</v>
      </c>
      <c r="S2225" t="s">
        <v>10912</v>
      </c>
      <c r="T2225" t="s">
        <v>10913</v>
      </c>
      <c r="U2225" t="s">
        <v>53</v>
      </c>
      <c r="V2225" t="s">
        <v>51</v>
      </c>
      <c r="W2225">
        <v>30000</v>
      </c>
      <c r="X2225" t="s">
        <v>53</v>
      </c>
      <c r="Y2225" t="s">
        <v>10914</v>
      </c>
      <c r="Z2225">
        <v>0</v>
      </c>
      <c r="AA2225">
        <v>3766</v>
      </c>
      <c r="AB2225">
        <v>2331</v>
      </c>
      <c r="AC2225">
        <v>24444</v>
      </c>
      <c r="AD2225">
        <v>19043</v>
      </c>
      <c r="AE2225">
        <v>24444</v>
      </c>
      <c r="AF2225">
        <v>45</v>
      </c>
      <c r="AG2225">
        <v>2</v>
      </c>
      <c r="AH2225">
        <v>150.69999694824219</v>
      </c>
      <c r="AI2225">
        <v>82</v>
      </c>
      <c r="AJ2225">
        <v>666.0999755859375</v>
      </c>
      <c r="AK2225" t="s">
        <v>54</v>
      </c>
      <c r="AL2225" t="s">
        <v>54</v>
      </c>
      <c r="AM2225" t="s">
        <v>10915</v>
      </c>
      <c r="AN2225" s="148">
        <v>43466</v>
      </c>
      <c r="AO2225" s="148">
        <v>43466</v>
      </c>
      <c r="AQ2225" t="s">
        <v>54</v>
      </c>
      <c r="AR2225" t="s">
        <v>10916</v>
      </c>
      <c r="AS2225" s="148">
        <v>43101</v>
      </c>
      <c r="AT2225" t="s">
        <v>10917</v>
      </c>
      <c r="AU2225" s="148">
        <v>43101</v>
      </c>
      <c r="AV2225" t="s">
        <v>32</v>
      </c>
      <c r="AW2225" t="s">
        <v>54</v>
      </c>
      <c r="AX2225" t="s">
        <v>32</v>
      </c>
      <c r="AY2225" s="148">
        <v>0</v>
      </c>
      <c r="AZ2225" t="s">
        <v>54</v>
      </c>
      <c r="BA2225" t="s">
        <v>10882</v>
      </c>
    </row>
    <row r="2226" spans="1:53" x14ac:dyDescent="0.25">
      <c r="A2226">
        <v>2221</v>
      </c>
      <c r="B2226" t="s">
        <v>10918</v>
      </c>
      <c r="C2226" t="s">
        <v>10919</v>
      </c>
      <c r="D2226" t="s">
        <v>10920</v>
      </c>
      <c r="E2226">
        <v>14</v>
      </c>
      <c r="F2226" t="s">
        <v>10873</v>
      </c>
      <c r="G2226" t="s">
        <v>10921</v>
      </c>
      <c r="H2226" t="s">
        <v>10922</v>
      </c>
      <c r="I2226" t="s">
        <v>32</v>
      </c>
      <c r="J2226" t="s">
        <v>32</v>
      </c>
      <c r="K2226" t="s">
        <v>32</v>
      </c>
      <c r="L2226" t="s">
        <v>10923</v>
      </c>
      <c r="M2226">
        <v>6.1491599082946777</v>
      </c>
      <c r="N2226" t="s">
        <v>54</v>
      </c>
      <c r="O2226" t="s">
        <v>53</v>
      </c>
      <c r="P2226" t="s">
        <v>54</v>
      </c>
      <c r="Q2226" t="s">
        <v>53</v>
      </c>
      <c r="R2226" t="s">
        <v>53</v>
      </c>
      <c r="S2226" t="s">
        <v>10924</v>
      </c>
      <c r="T2226" t="s">
        <v>10925</v>
      </c>
      <c r="U2226" t="s">
        <v>54</v>
      </c>
      <c r="V2226" t="s">
        <v>51</v>
      </c>
      <c r="W2226">
        <v>68000</v>
      </c>
      <c r="X2226" t="s">
        <v>53</v>
      </c>
      <c r="Y2226" t="s">
        <v>0</v>
      </c>
      <c r="Z2226">
        <v>0</v>
      </c>
      <c r="AA2226">
        <v>169</v>
      </c>
      <c r="AB2226">
        <v>111</v>
      </c>
      <c r="AC2226">
        <v>900</v>
      </c>
      <c r="AD2226">
        <v>7825</v>
      </c>
      <c r="AE2226">
        <v>7825</v>
      </c>
      <c r="AF2226">
        <v>2</v>
      </c>
      <c r="AG2226">
        <v>4</v>
      </c>
      <c r="AH2226">
        <v>22.145900726318359</v>
      </c>
      <c r="AI2226">
        <v>27</v>
      </c>
      <c r="AJ2226">
        <v>14.472900390625</v>
      </c>
      <c r="AK2226" t="s">
        <v>54</v>
      </c>
      <c r="AL2226" t="s">
        <v>53</v>
      </c>
      <c r="AM2226" t="s">
        <v>32</v>
      </c>
      <c r="AN2226" s="148">
        <v>0</v>
      </c>
      <c r="AO2226" s="148">
        <v>0</v>
      </c>
      <c r="AQ2226" t="s">
        <v>54</v>
      </c>
      <c r="AR2226" t="s">
        <v>10926</v>
      </c>
      <c r="AS2226" s="148">
        <v>31048</v>
      </c>
      <c r="AT2226" t="s">
        <v>10881</v>
      </c>
      <c r="AU2226" s="148">
        <v>31048</v>
      </c>
      <c r="AV2226" t="s">
        <v>32</v>
      </c>
      <c r="AW2226" t="s">
        <v>54</v>
      </c>
      <c r="AX2226" t="s">
        <v>32</v>
      </c>
      <c r="AY2226" s="148">
        <v>0</v>
      </c>
      <c r="AZ2226" t="s">
        <v>54</v>
      </c>
      <c r="BA2226" t="s">
        <v>10882</v>
      </c>
    </row>
    <row r="2227" spans="1:53" x14ac:dyDescent="0.25">
      <c r="A2227">
        <v>2222</v>
      </c>
      <c r="B2227" t="s">
        <v>10927</v>
      </c>
      <c r="C2227" t="s">
        <v>10928</v>
      </c>
      <c r="D2227" t="s">
        <v>10929</v>
      </c>
      <c r="E2227">
        <v>14</v>
      </c>
      <c r="F2227" t="s">
        <v>10873</v>
      </c>
      <c r="G2227" t="s">
        <v>10930</v>
      </c>
      <c r="H2227" t="s">
        <v>10887</v>
      </c>
      <c r="I2227" t="s">
        <v>32</v>
      </c>
      <c r="J2227" t="s">
        <v>32</v>
      </c>
      <c r="K2227" t="s">
        <v>32</v>
      </c>
      <c r="L2227" t="s">
        <v>10923</v>
      </c>
      <c r="M2227">
        <v>21.950700759887699</v>
      </c>
      <c r="N2227" t="s">
        <v>54</v>
      </c>
      <c r="O2227" t="s">
        <v>53</v>
      </c>
      <c r="P2227" t="s">
        <v>54</v>
      </c>
      <c r="Q2227" t="s">
        <v>53</v>
      </c>
      <c r="R2227" t="s">
        <v>53</v>
      </c>
      <c r="S2227" t="s">
        <v>10931</v>
      </c>
      <c r="T2227" t="s">
        <v>10932</v>
      </c>
      <c r="U2227" t="s">
        <v>54</v>
      </c>
      <c r="V2227" t="s">
        <v>51</v>
      </c>
      <c r="W2227">
        <v>795000</v>
      </c>
      <c r="X2227" t="s">
        <v>53</v>
      </c>
      <c r="Y2227" t="s">
        <v>10933</v>
      </c>
      <c r="Z2227">
        <v>0</v>
      </c>
      <c r="AA2227">
        <v>57</v>
      </c>
      <c r="AB2227">
        <v>0</v>
      </c>
      <c r="AC2227">
        <v>20</v>
      </c>
      <c r="AD2227">
        <v>49786</v>
      </c>
      <c r="AE2227">
        <v>55754</v>
      </c>
      <c r="AF2227">
        <v>0</v>
      </c>
      <c r="AG2227">
        <v>9</v>
      </c>
      <c r="AH2227">
        <v>5.016510009765625</v>
      </c>
      <c r="AI2227">
        <v>9</v>
      </c>
      <c r="AJ2227">
        <v>2482.8701171875</v>
      </c>
      <c r="AK2227" t="s">
        <v>54</v>
      </c>
      <c r="AL2227" t="s">
        <v>53</v>
      </c>
      <c r="AM2227" t="s">
        <v>32</v>
      </c>
      <c r="AN2227" s="148">
        <v>0</v>
      </c>
      <c r="AO2227" s="148">
        <v>0</v>
      </c>
      <c r="AQ2227" t="s">
        <v>54</v>
      </c>
      <c r="AR2227" t="s">
        <v>32</v>
      </c>
      <c r="AS2227" s="148">
        <v>31048</v>
      </c>
      <c r="AT2227" t="s">
        <v>10881</v>
      </c>
      <c r="AU2227" s="148">
        <v>31048</v>
      </c>
      <c r="AV2227" t="s">
        <v>32</v>
      </c>
      <c r="AW2227" t="s">
        <v>54</v>
      </c>
      <c r="AX2227" t="s">
        <v>32</v>
      </c>
      <c r="AY2227" s="148">
        <v>0</v>
      </c>
      <c r="AZ2227" t="s">
        <v>54</v>
      </c>
      <c r="BA2227" t="s">
        <v>10882</v>
      </c>
    </row>
    <row r="2228" spans="1:53" x14ac:dyDescent="0.25">
      <c r="A2228">
        <v>2223</v>
      </c>
      <c r="B2228" t="s">
        <v>10934</v>
      </c>
      <c r="C2228" t="s">
        <v>10935</v>
      </c>
      <c r="D2228" t="s">
        <v>10936</v>
      </c>
      <c r="E2228">
        <v>14</v>
      </c>
      <c r="F2228" t="s">
        <v>10873</v>
      </c>
      <c r="G2228" t="s">
        <v>10886</v>
      </c>
      <c r="H2228" t="s">
        <v>10937</v>
      </c>
      <c r="I2228" t="s">
        <v>32</v>
      </c>
      <c r="J2228" t="s">
        <v>32</v>
      </c>
      <c r="K2228" t="s">
        <v>32</v>
      </c>
      <c r="L2228" t="s">
        <v>10938</v>
      </c>
      <c r="M2228">
        <v>110.74900054931641</v>
      </c>
      <c r="N2228" t="s">
        <v>54</v>
      </c>
      <c r="O2228" t="s">
        <v>53</v>
      </c>
      <c r="P2228" t="s">
        <v>53</v>
      </c>
      <c r="Q2228" t="s">
        <v>53</v>
      </c>
      <c r="R2228" t="s">
        <v>53</v>
      </c>
      <c r="S2228" t="s">
        <v>10898</v>
      </c>
      <c r="T2228" t="s">
        <v>10939</v>
      </c>
      <c r="U2228" t="s">
        <v>53</v>
      </c>
      <c r="V2228" t="s">
        <v>162</v>
      </c>
      <c r="W2228">
        <v>107000</v>
      </c>
      <c r="X2228" t="s">
        <v>54</v>
      </c>
      <c r="Y2228" t="s">
        <v>10891</v>
      </c>
      <c r="Z2228">
        <v>53500</v>
      </c>
      <c r="AA2228">
        <v>12341</v>
      </c>
      <c r="AB2228">
        <v>10696</v>
      </c>
      <c r="AC2228">
        <v>21235</v>
      </c>
      <c r="AD2228">
        <v>34727</v>
      </c>
      <c r="AE2228">
        <v>34727</v>
      </c>
      <c r="AF2228">
        <v>16</v>
      </c>
      <c r="AG2228">
        <v>2</v>
      </c>
      <c r="AH2228">
        <v>228.13099670410159</v>
      </c>
      <c r="AI2228">
        <v>20</v>
      </c>
      <c r="AJ2228">
        <v>26706.900390625</v>
      </c>
      <c r="AK2228" t="s">
        <v>53</v>
      </c>
      <c r="AL2228" t="s">
        <v>54</v>
      </c>
      <c r="AM2228" t="s">
        <v>10940</v>
      </c>
      <c r="AN2228" s="148">
        <v>117610</v>
      </c>
      <c r="AO2228" s="148">
        <v>117610</v>
      </c>
      <c r="AQ2228" t="s">
        <v>54</v>
      </c>
      <c r="AR2228" t="s">
        <v>10941</v>
      </c>
      <c r="AS2228" s="148">
        <v>43466</v>
      </c>
      <c r="AT2228" t="s">
        <v>10893</v>
      </c>
      <c r="AU2228" s="148">
        <v>43466</v>
      </c>
      <c r="AV2228" t="s">
        <v>32</v>
      </c>
      <c r="AW2228" t="s">
        <v>53</v>
      </c>
      <c r="AX2228" t="s">
        <v>32</v>
      </c>
      <c r="AY2228" s="148">
        <v>0</v>
      </c>
      <c r="AZ2228" t="s">
        <v>54</v>
      </c>
      <c r="BA2228" t="s">
        <v>10882</v>
      </c>
    </row>
    <row r="2229" spans="1:53" x14ac:dyDescent="0.25">
      <c r="A2229">
        <v>2224</v>
      </c>
      <c r="B2229" t="s">
        <v>10942</v>
      </c>
      <c r="C2229" t="s">
        <v>10943</v>
      </c>
      <c r="D2229" t="s">
        <v>10944</v>
      </c>
      <c r="E2229">
        <v>14</v>
      </c>
      <c r="F2229" t="s">
        <v>10873</v>
      </c>
      <c r="G2229" t="s">
        <v>10874</v>
      </c>
      <c r="H2229" t="s">
        <v>10945</v>
      </c>
      <c r="I2229" t="s">
        <v>32</v>
      </c>
      <c r="J2229" t="s">
        <v>32</v>
      </c>
      <c r="K2229" t="s">
        <v>32</v>
      </c>
      <c r="L2229" t="s">
        <v>10946</v>
      </c>
      <c r="M2229">
        <v>1621.880004882812</v>
      </c>
      <c r="N2229" t="s">
        <v>54</v>
      </c>
      <c r="O2229" t="s">
        <v>53</v>
      </c>
      <c r="P2229" t="s">
        <v>53</v>
      </c>
      <c r="Q2229" t="s">
        <v>53</v>
      </c>
      <c r="R2229" t="s">
        <v>53</v>
      </c>
      <c r="S2229" t="s">
        <v>10947</v>
      </c>
      <c r="T2229" t="s">
        <v>10948</v>
      </c>
      <c r="U2229" t="s">
        <v>53</v>
      </c>
      <c r="V2229" t="s">
        <v>51</v>
      </c>
      <c r="W2229">
        <v>111000</v>
      </c>
      <c r="X2229" t="s">
        <v>53</v>
      </c>
      <c r="Y2229" t="s">
        <v>0</v>
      </c>
      <c r="Z2229">
        <v>0</v>
      </c>
      <c r="AA2229">
        <v>444</v>
      </c>
      <c r="AB2229">
        <v>173</v>
      </c>
      <c r="AC2229">
        <v>379</v>
      </c>
      <c r="AD2229">
        <v>1599</v>
      </c>
      <c r="AE2229">
        <v>1599</v>
      </c>
      <c r="AF2229">
        <v>0</v>
      </c>
      <c r="AG2229">
        <v>24</v>
      </c>
      <c r="AH2229">
        <v>46.957500457763672</v>
      </c>
      <c r="AI2229">
        <v>132</v>
      </c>
      <c r="AJ2229">
        <v>28207.599609375</v>
      </c>
      <c r="AK2229" t="s">
        <v>54</v>
      </c>
      <c r="AL2229" t="s">
        <v>53</v>
      </c>
      <c r="AM2229" t="s">
        <v>32</v>
      </c>
      <c r="AN2229" s="148">
        <v>0</v>
      </c>
      <c r="AO2229" s="148">
        <v>0</v>
      </c>
      <c r="AQ2229" t="s">
        <v>54</v>
      </c>
      <c r="AR2229" t="s">
        <v>32</v>
      </c>
      <c r="AS2229" s="148">
        <v>31048</v>
      </c>
      <c r="AT2229" t="s">
        <v>10881</v>
      </c>
      <c r="AU2229" s="148">
        <v>31048</v>
      </c>
      <c r="AV2229" t="s">
        <v>32</v>
      </c>
      <c r="AW2229" t="s">
        <v>54</v>
      </c>
      <c r="AX2229" t="s">
        <v>32</v>
      </c>
      <c r="AY2229" s="148">
        <v>0</v>
      </c>
      <c r="AZ2229" t="s">
        <v>54</v>
      </c>
      <c r="BA2229" t="s">
        <v>10882</v>
      </c>
    </row>
    <row r="2230" spans="1:53" x14ac:dyDescent="0.25">
      <c r="A2230">
        <v>2225</v>
      </c>
      <c r="B2230" t="s">
        <v>10949</v>
      </c>
      <c r="C2230" t="s">
        <v>10950</v>
      </c>
      <c r="D2230" t="s">
        <v>10951</v>
      </c>
      <c r="E2230">
        <v>14</v>
      </c>
      <c r="F2230" t="s">
        <v>10873</v>
      </c>
      <c r="G2230" t="s">
        <v>10952</v>
      </c>
      <c r="H2230" t="s">
        <v>10953</v>
      </c>
      <c r="I2230" t="s">
        <v>32</v>
      </c>
      <c r="J2230" t="s">
        <v>32</v>
      </c>
      <c r="K2230" t="s">
        <v>32</v>
      </c>
      <c r="L2230" t="s">
        <v>10923</v>
      </c>
      <c r="M2230">
        <v>23.057100296020511</v>
      </c>
      <c r="N2230" t="s">
        <v>54</v>
      </c>
      <c r="O2230" t="s">
        <v>53</v>
      </c>
      <c r="P2230" t="s">
        <v>54</v>
      </c>
      <c r="Q2230" t="s">
        <v>54</v>
      </c>
      <c r="R2230" t="s">
        <v>53</v>
      </c>
      <c r="S2230" t="s">
        <v>10954</v>
      </c>
      <c r="T2230" t="s">
        <v>10955</v>
      </c>
      <c r="U2230" t="s">
        <v>53</v>
      </c>
      <c r="V2230" t="s">
        <v>51</v>
      </c>
      <c r="W2230">
        <v>92000</v>
      </c>
      <c r="X2230" t="s">
        <v>53</v>
      </c>
      <c r="Y2230" t="s">
        <v>0</v>
      </c>
      <c r="Z2230">
        <v>0</v>
      </c>
      <c r="AA2230">
        <v>2120</v>
      </c>
      <c r="AB2230">
        <v>1240</v>
      </c>
      <c r="AC2230">
        <v>5708</v>
      </c>
      <c r="AD2230">
        <v>2536</v>
      </c>
      <c r="AE2230">
        <v>2536</v>
      </c>
      <c r="AF2230">
        <v>3</v>
      </c>
      <c r="AG2230">
        <v>18</v>
      </c>
      <c r="AH2230">
        <v>89.918502807617188</v>
      </c>
      <c r="AI2230">
        <v>295</v>
      </c>
      <c r="AJ2230">
        <v>536.59600830078125</v>
      </c>
      <c r="AK2230" t="s">
        <v>54</v>
      </c>
      <c r="AL2230" t="s">
        <v>53</v>
      </c>
      <c r="AM2230" t="s">
        <v>32</v>
      </c>
      <c r="AN2230" s="148">
        <v>0</v>
      </c>
      <c r="AO2230" s="148">
        <v>0</v>
      </c>
      <c r="AQ2230" t="s">
        <v>54</v>
      </c>
      <c r="AR2230" t="s">
        <v>10956</v>
      </c>
      <c r="AS2230" s="148">
        <v>31048</v>
      </c>
      <c r="AT2230" t="s">
        <v>10881</v>
      </c>
      <c r="AU2230" s="148">
        <v>31048</v>
      </c>
      <c r="AV2230" t="s">
        <v>32</v>
      </c>
      <c r="AW2230" t="s">
        <v>54</v>
      </c>
      <c r="AX2230" t="s">
        <v>32</v>
      </c>
      <c r="AY2230" s="148">
        <v>0</v>
      </c>
      <c r="AZ2230" t="s">
        <v>54</v>
      </c>
      <c r="BA2230" t="s">
        <v>10882</v>
      </c>
    </row>
    <row r="2231" spans="1:53" x14ac:dyDescent="0.25">
      <c r="A2231">
        <v>2226</v>
      </c>
      <c r="B2231" t="s">
        <v>10957</v>
      </c>
      <c r="C2231" t="s">
        <v>10958</v>
      </c>
      <c r="D2231" t="s">
        <v>10959</v>
      </c>
      <c r="E2231">
        <v>14</v>
      </c>
      <c r="F2231" t="s">
        <v>10873</v>
      </c>
      <c r="G2231" t="s">
        <v>10886</v>
      </c>
      <c r="H2231" t="s">
        <v>10960</v>
      </c>
      <c r="I2231" t="s">
        <v>32</v>
      </c>
      <c r="J2231" t="s">
        <v>32</v>
      </c>
      <c r="K2231" t="s">
        <v>32</v>
      </c>
      <c r="L2231" t="s">
        <v>10961</v>
      </c>
      <c r="M2231">
        <v>1011.049987792969</v>
      </c>
      <c r="N2231" t="s">
        <v>54</v>
      </c>
      <c r="O2231" t="s">
        <v>53</v>
      </c>
      <c r="P2231" t="s">
        <v>53</v>
      </c>
      <c r="Q2231" t="s">
        <v>53</v>
      </c>
      <c r="R2231" t="s">
        <v>53</v>
      </c>
      <c r="S2231" t="s">
        <v>10898</v>
      </c>
      <c r="T2231" t="s">
        <v>10962</v>
      </c>
      <c r="U2231" t="s">
        <v>53</v>
      </c>
      <c r="V2231" t="s">
        <v>162</v>
      </c>
      <c r="W2231">
        <v>70000</v>
      </c>
      <c r="X2231" t="s">
        <v>54</v>
      </c>
      <c r="Y2231" t="s">
        <v>10891</v>
      </c>
      <c r="Z2231">
        <v>35000</v>
      </c>
      <c r="AA2231">
        <v>21373</v>
      </c>
      <c r="AB2231">
        <v>16856</v>
      </c>
      <c r="AC2231">
        <v>68846</v>
      </c>
      <c r="AD2231">
        <v>20411</v>
      </c>
      <c r="AE2231">
        <v>20411</v>
      </c>
      <c r="AF2231">
        <v>37</v>
      </c>
      <c r="AG2231">
        <v>132</v>
      </c>
      <c r="AH2231">
        <v>607.24700927734375</v>
      </c>
      <c r="AI2231">
        <v>841</v>
      </c>
      <c r="AJ2231">
        <v>48551</v>
      </c>
      <c r="AK2231" t="s">
        <v>53</v>
      </c>
      <c r="AL2231" t="s">
        <v>54</v>
      </c>
      <c r="AM2231" t="s">
        <v>32</v>
      </c>
      <c r="AN2231" s="148">
        <v>43466</v>
      </c>
      <c r="AO2231" s="148">
        <v>43466</v>
      </c>
      <c r="AQ2231" t="s">
        <v>54</v>
      </c>
      <c r="AR2231" t="s">
        <v>32</v>
      </c>
      <c r="AS2231" s="148">
        <v>43466</v>
      </c>
      <c r="AT2231" t="s">
        <v>10893</v>
      </c>
      <c r="AU2231" s="148">
        <v>43466</v>
      </c>
      <c r="AV2231" t="s">
        <v>32</v>
      </c>
      <c r="AW2231" t="s">
        <v>53</v>
      </c>
      <c r="AX2231" t="s">
        <v>32</v>
      </c>
      <c r="AY2231" s="148">
        <v>0</v>
      </c>
      <c r="AZ2231" t="s">
        <v>54</v>
      </c>
      <c r="BA2231" t="s">
        <v>10882</v>
      </c>
    </row>
    <row r="2232" spans="1:53" x14ac:dyDescent="0.25">
      <c r="A2232">
        <v>2227</v>
      </c>
      <c r="B2232" t="s">
        <v>10963</v>
      </c>
      <c r="C2232" t="s">
        <v>10964</v>
      </c>
      <c r="D2232" t="s">
        <v>10965</v>
      </c>
      <c r="E2232">
        <v>14</v>
      </c>
      <c r="F2232" t="s">
        <v>10873</v>
      </c>
      <c r="G2232" t="s">
        <v>10886</v>
      </c>
      <c r="H2232" t="s">
        <v>10937</v>
      </c>
      <c r="I2232" t="s">
        <v>32</v>
      </c>
      <c r="J2232" t="s">
        <v>32</v>
      </c>
      <c r="K2232" t="s">
        <v>32</v>
      </c>
      <c r="L2232" t="s">
        <v>10966</v>
      </c>
      <c r="M2232">
        <v>110.74900054931641</v>
      </c>
      <c r="N2232" t="s">
        <v>54</v>
      </c>
      <c r="O2232" t="s">
        <v>53</v>
      </c>
      <c r="P2232" t="s">
        <v>54</v>
      </c>
      <c r="Q2232" t="s">
        <v>53</v>
      </c>
      <c r="R2232" t="s">
        <v>53</v>
      </c>
      <c r="S2232" t="s">
        <v>10967</v>
      </c>
      <c r="T2232" t="s">
        <v>10968</v>
      </c>
      <c r="U2232" t="s">
        <v>53</v>
      </c>
      <c r="V2232" t="s">
        <v>162</v>
      </c>
      <c r="W2232">
        <v>70000</v>
      </c>
      <c r="X2232" t="s">
        <v>53</v>
      </c>
      <c r="Y2232" t="s">
        <v>10914</v>
      </c>
      <c r="Z2232">
        <v>0</v>
      </c>
      <c r="AA2232">
        <v>12341</v>
      </c>
      <c r="AB2232">
        <v>10696</v>
      </c>
      <c r="AC2232">
        <v>21235</v>
      </c>
      <c r="AD2232">
        <v>34914</v>
      </c>
      <c r="AE2232">
        <v>34914</v>
      </c>
      <c r="AF2232">
        <v>16</v>
      </c>
      <c r="AG2232">
        <v>2</v>
      </c>
      <c r="AH2232">
        <v>228.13099670410159</v>
      </c>
      <c r="AI2232">
        <v>20</v>
      </c>
      <c r="AJ2232">
        <v>26706.900390625</v>
      </c>
      <c r="AK2232" t="s">
        <v>53</v>
      </c>
      <c r="AL2232" t="s">
        <v>54</v>
      </c>
      <c r="AM2232" t="s">
        <v>10969</v>
      </c>
      <c r="AN2232" s="148">
        <v>44197</v>
      </c>
      <c r="AO2232" s="148">
        <v>44197</v>
      </c>
      <c r="AQ2232" t="s">
        <v>54</v>
      </c>
      <c r="AR2232" t="s">
        <v>10970</v>
      </c>
      <c r="AS2232" s="148">
        <v>44197</v>
      </c>
      <c r="AT2232" t="s">
        <v>10971</v>
      </c>
      <c r="AU2232" s="148">
        <v>44197</v>
      </c>
      <c r="AV2232" t="s">
        <v>32</v>
      </c>
      <c r="AW2232" t="s">
        <v>53</v>
      </c>
      <c r="AX2232" t="s">
        <v>32</v>
      </c>
      <c r="AY2232" s="148">
        <v>0</v>
      </c>
      <c r="AZ2232" t="s">
        <v>54</v>
      </c>
      <c r="BA2232" t="s">
        <v>10882</v>
      </c>
    </row>
    <row r="2233" spans="1:53" x14ac:dyDescent="0.25">
      <c r="A2233">
        <v>2228</v>
      </c>
      <c r="B2233" t="s">
        <v>10972</v>
      </c>
      <c r="C2233" t="s">
        <v>10973</v>
      </c>
      <c r="D2233" t="s">
        <v>10974</v>
      </c>
      <c r="E2233">
        <v>14</v>
      </c>
      <c r="F2233" t="s">
        <v>10873</v>
      </c>
      <c r="G2233" t="s">
        <v>10886</v>
      </c>
      <c r="H2233" t="s">
        <v>10975</v>
      </c>
      <c r="I2233" t="s">
        <v>32</v>
      </c>
      <c r="J2233" t="s">
        <v>32</v>
      </c>
      <c r="K2233" t="s">
        <v>32</v>
      </c>
      <c r="L2233" t="s">
        <v>10976</v>
      </c>
      <c r="M2233">
        <v>0.2877039909362793</v>
      </c>
      <c r="N2233" t="s">
        <v>53</v>
      </c>
      <c r="O2233" t="s">
        <v>53</v>
      </c>
      <c r="P2233" t="s">
        <v>54</v>
      </c>
      <c r="Q2233" t="s">
        <v>53</v>
      </c>
      <c r="R2233" t="s">
        <v>53</v>
      </c>
      <c r="S2233" t="s">
        <v>10977</v>
      </c>
      <c r="T2233" t="s">
        <v>10978</v>
      </c>
      <c r="U2233" t="s">
        <v>53</v>
      </c>
      <c r="V2233" t="s">
        <v>51</v>
      </c>
      <c r="W2233">
        <v>130000</v>
      </c>
      <c r="X2233" t="s">
        <v>54</v>
      </c>
      <c r="Y2233" t="s">
        <v>10891</v>
      </c>
      <c r="Z2233">
        <v>65000</v>
      </c>
      <c r="AA2233">
        <v>63</v>
      </c>
      <c r="AB2233">
        <v>58</v>
      </c>
      <c r="AC2233">
        <v>187</v>
      </c>
      <c r="AD2233">
        <v>245</v>
      </c>
      <c r="AE2233">
        <v>245</v>
      </c>
      <c r="AF2233">
        <v>0</v>
      </c>
      <c r="AG2233">
        <v>0</v>
      </c>
      <c r="AH2233">
        <v>1.804340004920959</v>
      </c>
      <c r="AI2233">
        <v>0</v>
      </c>
      <c r="AJ2233">
        <v>10.88409996032715</v>
      </c>
      <c r="AK2233" t="s">
        <v>54</v>
      </c>
      <c r="AL2233" t="s">
        <v>54</v>
      </c>
      <c r="AM2233" t="s">
        <v>10979</v>
      </c>
      <c r="AN2233" s="148">
        <v>0</v>
      </c>
      <c r="AO2233" s="148">
        <v>0</v>
      </c>
      <c r="AQ2233" t="s">
        <v>54</v>
      </c>
      <c r="AR2233" t="s">
        <v>10893</v>
      </c>
      <c r="AS2233" s="148">
        <v>43466</v>
      </c>
      <c r="AT2233" t="s">
        <v>10893</v>
      </c>
      <c r="AU2233" s="148">
        <v>43466</v>
      </c>
      <c r="AV2233" t="s">
        <v>32</v>
      </c>
      <c r="AW2233" t="s">
        <v>53</v>
      </c>
      <c r="AX2233" t="s">
        <v>32</v>
      </c>
      <c r="AY2233" s="148">
        <v>0</v>
      </c>
      <c r="AZ2233" t="s">
        <v>54</v>
      </c>
      <c r="BA2233" t="s">
        <v>10882</v>
      </c>
    </row>
    <row r="2234" spans="1:53" x14ac:dyDescent="0.25">
      <c r="A2234">
        <v>2229</v>
      </c>
      <c r="B2234" t="s">
        <v>10980</v>
      </c>
      <c r="C2234" t="s">
        <v>10981</v>
      </c>
      <c r="D2234" t="s">
        <v>10982</v>
      </c>
      <c r="E2234">
        <v>14</v>
      </c>
      <c r="F2234" t="s">
        <v>10873</v>
      </c>
      <c r="G2234" t="s">
        <v>10983</v>
      </c>
      <c r="H2234" t="s">
        <v>10922</v>
      </c>
      <c r="I2234" t="s">
        <v>32</v>
      </c>
      <c r="J2234" t="s">
        <v>32</v>
      </c>
      <c r="K2234" t="s">
        <v>32</v>
      </c>
      <c r="L2234" t="s">
        <v>10923</v>
      </c>
      <c r="M2234">
        <v>2.5057399272918701</v>
      </c>
      <c r="N2234" t="s">
        <v>53</v>
      </c>
      <c r="O2234" t="s">
        <v>53</v>
      </c>
      <c r="P2234" t="s">
        <v>54</v>
      </c>
      <c r="Q2234" t="s">
        <v>54</v>
      </c>
      <c r="R2234" t="s">
        <v>53</v>
      </c>
      <c r="S2234" t="s">
        <v>10984</v>
      </c>
      <c r="T2234" t="s">
        <v>10985</v>
      </c>
      <c r="U2234" t="s">
        <v>53</v>
      </c>
      <c r="V2234" t="s">
        <v>51</v>
      </c>
      <c r="W2234">
        <v>75000</v>
      </c>
      <c r="X2234" t="s">
        <v>53</v>
      </c>
      <c r="Y2234" t="s">
        <v>0</v>
      </c>
      <c r="Z2234">
        <v>0</v>
      </c>
      <c r="AA2234">
        <v>1119</v>
      </c>
      <c r="AB2234">
        <v>916</v>
      </c>
      <c r="AC2234">
        <v>1684</v>
      </c>
      <c r="AD2234">
        <v>2152</v>
      </c>
      <c r="AE2234">
        <v>2152</v>
      </c>
      <c r="AF2234">
        <v>1</v>
      </c>
      <c r="AG2234">
        <v>0</v>
      </c>
      <c r="AH2234">
        <v>31.625600814819339</v>
      </c>
      <c r="AI2234">
        <v>5</v>
      </c>
      <c r="AJ2234">
        <v>2.671740055084229</v>
      </c>
      <c r="AK2234" t="s">
        <v>54</v>
      </c>
      <c r="AL2234" t="s">
        <v>53</v>
      </c>
      <c r="AM2234" t="s">
        <v>32</v>
      </c>
      <c r="AN2234" s="148">
        <v>0</v>
      </c>
      <c r="AO2234" s="148">
        <v>0</v>
      </c>
      <c r="AQ2234" t="s">
        <v>54</v>
      </c>
      <c r="AR2234" t="s">
        <v>10986</v>
      </c>
      <c r="AS2234" s="148">
        <v>27760</v>
      </c>
      <c r="AT2234" t="s">
        <v>10881</v>
      </c>
      <c r="AU2234" s="148">
        <v>27760</v>
      </c>
      <c r="AV2234" t="s">
        <v>32</v>
      </c>
      <c r="AW2234" t="s">
        <v>54</v>
      </c>
      <c r="AX2234" t="s">
        <v>32</v>
      </c>
      <c r="AY2234" s="148">
        <v>0</v>
      </c>
      <c r="AZ2234" t="s">
        <v>54</v>
      </c>
      <c r="BA2234" t="s">
        <v>10882</v>
      </c>
    </row>
    <row r="2235" spans="1:53" x14ac:dyDescent="0.25">
      <c r="A2235">
        <v>2230</v>
      </c>
      <c r="B2235" t="s">
        <v>10987</v>
      </c>
      <c r="C2235" t="s">
        <v>10988</v>
      </c>
      <c r="D2235" t="s">
        <v>10989</v>
      </c>
      <c r="E2235">
        <v>14</v>
      </c>
      <c r="F2235" t="s">
        <v>10873</v>
      </c>
      <c r="G2235" t="s">
        <v>10930</v>
      </c>
      <c r="H2235" t="s">
        <v>10875</v>
      </c>
      <c r="I2235" t="s">
        <v>32</v>
      </c>
      <c r="J2235" t="s">
        <v>32</v>
      </c>
      <c r="K2235" t="s">
        <v>32</v>
      </c>
      <c r="L2235" t="s">
        <v>10923</v>
      </c>
      <c r="M2235">
        <v>4.7617201805114746</v>
      </c>
      <c r="N2235" t="s">
        <v>54</v>
      </c>
      <c r="O2235" t="s">
        <v>53</v>
      </c>
      <c r="P2235" t="s">
        <v>53</v>
      </c>
      <c r="Q2235" t="s">
        <v>53</v>
      </c>
      <c r="R2235" t="s">
        <v>53</v>
      </c>
      <c r="S2235" t="s">
        <v>10931</v>
      </c>
      <c r="T2235" t="s">
        <v>10990</v>
      </c>
      <c r="U2235" t="s">
        <v>53</v>
      </c>
      <c r="V2235" t="s">
        <v>51</v>
      </c>
      <c r="W2235">
        <v>76000</v>
      </c>
      <c r="X2235" t="s">
        <v>53</v>
      </c>
      <c r="Y2235" t="s">
        <v>10933</v>
      </c>
      <c r="Z2235">
        <v>0</v>
      </c>
      <c r="AA2235">
        <v>36</v>
      </c>
      <c r="AB2235">
        <v>13</v>
      </c>
      <c r="AC2235">
        <v>55</v>
      </c>
      <c r="AD2235">
        <v>75</v>
      </c>
      <c r="AE2235">
        <v>75</v>
      </c>
      <c r="AF2235">
        <v>0</v>
      </c>
      <c r="AG2235">
        <v>4</v>
      </c>
      <c r="AH2235">
        <v>7.8068199157714844</v>
      </c>
      <c r="AI2235">
        <v>28</v>
      </c>
      <c r="AJ2235">
        <v>5.5286898612976074</v>
      </c>
      <c r="AK2235" t="s">
        <v>54</v>
      </c>
      <c r="AL2235" t="s">
        <v>53</v>
      </c>
      <c r="AM2235" t="s">
        <v>32</v>
      </c>
      <c r="AN2235" s="148">
        <v>0</v>
      </c>
      <c r="AO2235" s="148">
        <v>0</v>
      </c>
      <c r="AQ2235" t="s">
        <v>54</v>
      </c>
      <c r="AR2235" t="s">
        <v>32</v>
      </c>
      <c r="AS2235" s="148">
        <v>31048</v>
      </c>
      <c r="AT2235" t="s">
        <v>10881</v>
      </c>
      <c r="AU2235" s="148">
        <v>31048</v>
      </c>
      <c r="AV2235" t="s">
        <v>32</v>
      </c>
      <c r="AW2235" t="s">
        <v>54</v>
      </c>
      <c r="AX2235" t="s">
        <v>32</v>
      </c>
      <c r="AY2235" s="148">
        <v>0</v>
      </c>
      <c r="AZ2235" t="s">
        <v>54</v>
      </c>
      <c r="BA2235" t="s">
        <v>10882</v>
      </c>
    </row>
    <row r="2236" spans="1:53" x14ac:dyDescent="0.25">
      <c r="A2236">
        <v>2231</v>
      </c>
      <c r="B2236" t="s">
        <v>10991</v>
      </c>
      <c r="C2236" t="s">
        <v>10992</v>
      </c>
      <c r="D2236" t="s">
        <v>10993</v>
      </c>
      <c r="E2236">
        <v>14</v>
      </c>
      <c r="F2236" t="s">
        <v>10873</v>
      </c>
      <c r="G2236" t="s">
        <v>10994</v>
      </c>
      <c r="H2236" t="s">
        <v>10995</v>
      </c>
      <c r="I2236" t="s">
        <v>32</v>
      </c>
      <c r="J2236" t="s">
        <v>32</v>
      </c>
      <c r="K2236" t="s">
        <v>32</v>
      </c>
      <c r="L2236" t="s">
        <v>10923</v>
      </c>
      <c r="M2236">
        <v>4.7878599166870117</v>
      </c>
      <c r="N2236" t="s">
        <v>54</v>
      </c>
      <c r="O2236" t="s">
        <v>53</v>
      </c>
      <c r="P2236" t="s">
        <v>54</v>
      </c>
      <c r="Q2236" t="s">
        <v>53</v>
      </c>
      <c r="R2236" t="s">
        <v>53</v>
      </c>
      <c r="S2236" t="s">
        <v>10996</v>
      </c>
      <c r="T2236" t="s">
        <v>10997</v>
      </c>
      <c r="U2236" t="s">
        <v>53</v>
      </c>
      <c r="V2236" t="s">
        <v>51</v>
      </c>
      <c r="W2236">
        <v>250000</v>
      </c>
      <c r="X2236" t="s">
        <v>53</v>
      </c>
      <c r="Y2236" t="s">
        <v>0</v>
      </c>
      <c r="Z2236">
        <v>0</v>
      </c>
      <c r="AA2236">
        <v>1640</v>
      </c>
      <c r="AB2236">
        <v>1181</v>
      </c>
      <c r="AC2236">
        <v>4364</v>
      </c>
      <c r="AD2236">
        <v>3970</v>
      </c>
      <c r="AE2236">
        <v>4367</v>
      </c>
      <c r="AF2236">
        <v>6</v>
      </c>
      <c r="AG2236">
        <v>18</v>
      </c>
      <c r="AH2236">
        <v>38.025798797607422</v>
      </c>
      <c r="AI2236">
        <v>199</v>
      </c>
      <c r="AJ2236">
        <v>49.910099029541023</v>
      </c>
      <c r="AK2236" t="s">
        <v>54</v>
      </c>
      <c r="AL2236" t="s">
        <v>53</v>
      </c>
      <c r="AM2236" t="s">
        <v>32</v>
      </c>
      <c r="AN2236" s="148">
        <v>0</v>
      </c>
      <c r="AO2236" s="148">
        <v>0</v>
      </c>
      <c r="AQ2236" t="s">
        <v>54</v>
      </c>
      <c r="AR2236" t="s">
        <v>32</v>
      </c>
      <c r="AS2236" s="148">
        <v>31048</v>
      </c>
      <c r="AT2236" t="s">
        <v>10881</v>
      </c>
      <c r="AU2236" s="148">
        <v>31048</v>
      </c>
      <c r="AV2236" t="s">
        <v>32</v>
      </c>
      <c r="AW2236" t="s">
        <v>54</v>
      </c>
      <c r="AX2236" t="s">
        <v>32</v>
      </c>
      <c r="AY2236" s="148">
        <v>0</v>
      </c>
      <c r="AZ2236" t="s">
        <v>54</v>
      </c>
      <c r="BA2236" t="s">
        <v>10882</v>
      </c>
    </row>
    <row r="2237" spans="1:53" x14ac:dyDescent="0.25">
      <c r="A2237">
        <v>2232</v>
      </c>
      <c r="B2237" t="s">
        <v>10998</v>
      </c>
      <c r="C2237" t="s">
        <v>10999</v>
      </c>
      <c r="D2237" t="s">
        <v>11000</v>
      </c>
      <c r="E2237">
        <v>14</v>
      </c>
      <c r="F2237" t="s">
        <v>10873</v>
      </c>
      <c r="G2237" t="s">
        <v>11001</v>
      </c>
      <c r="H2237" t="s">
        <v>11002</v>
      </c>
      <c r="I2237" t="s">
        <v>32</v>
      </c>
      <c r="J2237" t="s">
        <v>32</v>
      </c>
      <c r="K2237" t="s">
        <v>32</v>
      </c>
      <c r="L2237" t="s">
        <v>10923</v>
      </c>
      <c r="M2237">
        <v>2.208899974822998</v>
      </c>
      <c r="N2237" t="s">
        <v>54</v>
      </c>
      <c r="O2237" t="s">
        <v>53</v>
      </c>
      <c r="P2237" t="s">
        <v>53</v>
      </c>
      <c r="Q2237" t="s">
        <v>53</v>
      </c>
      <c r="R2237" t="s">
        <v>53</v>
      </c>
      <c r="S2237" t="s">
        <v>11003</v>
      </c>
      <c r="T2237" t="s">
        <v>11004</v>
      </c>
      <c r="U2237" t="s">
        <v>54</v>
      </c>
      <c r="V2237" t="s">
        <v>51</v>
      </c>
      <c r="W2237">
        <v>1456000</v>
      </c>
      <c r="X2237" t="s">
        <v>53</v>
      </c>
      <c r="Y2237" t="s">
        <v>0</v>
      </c>
      <c r="Z2237">
        <v>0</v>
      </c>
      <c r="AA2237">
        <v>682</v>
      </c>
      <c r="AB2237">
        <v>419</v>
      </c>
      <c r="AC2237">
        <v>1103</v>
      </c>
      <c r="AD2237">
        <v>957</v>
      </c>
      <c r="AE2237">
        <v>1106</v>
      </c>
      <c r="AF2237">
        <v>2</v>
      </c>
      <c r="AG2237">
        <v>20</v>
      </c>
      <c r="AH2237">
        <v>14.983200073242189</v>
      </c>
      <c r="AI2237">
        <v>97</v>
      </c>
      <c r="AJ2237">
        <v>0.35988599061965942</v>
      </c>
      <c r="AK2237" t="s">
        <v>54</v>
      </c>
      <c r="AL2237" t="s">
        <v>53</v>
      </c>
      <c r="AM2237" t="s">
        <v>32</v>
      </c>
      <c r="AN2237" s="148">
        <v>0</v>
      </c>
      <c r="AO2237" s="148">
        <v>0</v>
      </c>
      <c r="AQ2237" t="s">
        <v>54</v>
      </c>
      <c r="AR2237" t="s">
        <v>11005</v>
      </c>
      <c r="AS2237" s="148">
        <v>32509</v>
      </c>
      <c r="AT2237" t="s">
        <v>10881</v>
      </c>
      <c r="AU2237" s="148">
        <v>32509</v>
      </c>
      <c r="AV2237" t="s">
        <v>32</v>
      </c>
      <c r="AW2237" t="s">
        <v>54</v>
      </c>
      <c r="AX2237" t="s">
        <v>32</v>
      </c>
      <c r="AY2237" s="148">
        <v>0</v>
      </c>
      <c r="AZ2237" t="s">
        <v>54</v>
      </c>
      <c r="BA2237" t="s">
        <v>10882</v>
      </c>
    </row>
    <row r="2238" spans="1:53" x14ac:dyDescent="0.25">
      <c r="A2238">
        <v>2233</v>
      </c>
      <c r="B2238" t="s">
        <v>11006</v>
      </c>
      <c r="C2238" t="s">
        <v>11007</v>
      </c>
      <c r="D2238" t="s">
        <v>11008</v>
      </c>
      <c r="E2238">
        <v>14</v>
      </c>
      <c r="F2238" t="s">
        <v>10873</v>
      </c>
      <c r="G2238" t="s">
        <v>8180</v>
      </c>
      <c r="H2238" t="s">
        <v>11002</v>
      </c>
      <c r="I2238" t="s">
        <v>32</v>
      </c>
      <c r="J2238" t="s">
        <v>32</v>
      </c>
      <c r="K2238" t="s">
        <v>32</v>
      </c>
      <c r="L2238" t="s">
        <v>10923</v>
      </c>
      <c r="M2238">
        <v>4.6457901000976563</v>
      </c>
      <c r="N2238" t="s">
        <v>54</v>
      </c>
      <c r="O2238" t="s">
        <v>53</v>
      </c>
      <c r="P2238" t="s">
        <v>53</v>
      </c>
      <c r="Q2238" t="s">
        <v>53</v>
      </c>
      <c r="R2238" t="s">
        <v>53</v>
      </c>
      <c r="S2238" t="s">
        <v>11009</v>
      </c>
      <c r="T2238" t="s">
        <v>11010</v>
      </c>
      <c r="U2238" t="s">
        <v>54</v>
      </c>
      <c r="V2238" t="s">
        <v>51</v>
      </c>
      <c r="W2238">
        <v>1456000</v>
      </c>
      <c r="X2238" t="s">
        <v>53</v>
      </c>
      <c r="Y2238" t="s">
        <v>0</v>
      </c>
      <c r="Z2238">
        <v>0</v>
      </c>
      <c r="AA2238">
        <v>944</v>
      </c>
      <c r="AB2238">
        <v>661</v>
      </c>
      <c r="AC2238">
        <v>912</v>
      </c>
      <c r="AD2238">
        <v>1599</v>
      </c>
      <c r="AE2238">
        <v>1599</v>
      </c>
      <c r="AF2238">
        <v>4</v>
      </c>
      <c r="AG2238">
        <v>29</v>
      </c>
      <c r="AH2238">
        <v>19.764400482177731</v>
      </c>
      <c r="AI2238">
        <v>144</v>
      </c>
      <c r="AJ2238">
        <v>1.8604500293731689</v>
      </c>
      <c r="AK2238" t="s">
        <v>54</v>
      </c>
      <c r="AL2238" t="s">
        <v>53</v>
      </c>
      <c r="AM2238" t="s">
        <v>32</v>
      </c>
      <c r="AN2238" s="148">
        <v>0</v>
      </c>
      <c r="AO2238" s="148">
        <v>0</v>
      </c>
      <c r="AQ2238" t="s">
        <v>54</v>
      </c>
      <c r="AR2238" t="s">
        <v>11011</v>
      </c>
      <c r="AS2238" s="148">
        <v>26665</v>
      </c>
      <c r="AT2238" t="s">
        <v>10881</v>
      </c>
      <c r="AU2238" s="148">
        <v>26665</v>
      </c>
      <c r="AV2238" t="s">
        <v>32</v>
      </c>
      <c r="AW2238" t="s">
        <v>54</v>
      </c>
      <c r="AX2238" t="s">
        <v>32</v>
      </c>
      <c r="AY2238" s="148">
        <v>0</v>
      </c>
      <c r="AZ2238" t="s">
        <v>54</v>
      </c>
      <c r="BA2238" t="s">
        <v>10882</v>
      </c>
    </row>
    <row r="2239" spans="1:53" x14ac:dyDescent="0.25">
      <c r="A2239">
        <v>2234</v>
      </c>
      <c r="B2239" t="s">
        <v>11012</v>
      </c>
      <c r="C2239" t="s">
        <v>11013</v>
      </c>
      <c r="D2239" t="s">
        <v>11014</v>
      </c>
      <c r="E2239">
        <v>14</v>
      </c>
      <c r="F2239" t="s">
        <v>10873</v>
      </c>
      <c r="G2239" t="s">
        <v>11015</v>
      </c>
      <c r="H2239" t="s">
        <v>10922</v>
      </c>
      <c r="I2239" t="s">
        <v>32</v>
      </c>
      <c r="J2239" t="s">
        <v>32</v>
      </c>
      <c r="K2239" t="s">
        <v>32</v>
      </c>
      <c r="L2239" t="s">
        <v>10923</v>
      </c>
      <c r="M2239">
        <v>36.142398834228523</v>
      </c>
      <c r="N2239" t="s">
        <v>53</v>
      </c>
      <c r="O2239" t="s">
        <v>53</v>
      </c>
      <c r="P2239" t="s">
        <v>54</v>
      </c>
      <c r="Q2239" t="s">
        <v>54</v>
      </c>
      <c r="R2239" t="s">
        <v>53</v>
      </c>
      <c r="S2239" t="s">
        <v>11016</v>
      </c>
      <c r="T2239" t="s">
        <v>11017</v>
      </c>
      <c r="U2239" t="s">
        <v>53</v>
      </c>
      <c r="V2239" t="s">
        <v>51</v>
      </c>
      <c r="W2239">
        <v>104000</v>
      </c>
      <c r="X2239" t="s">
        <v>54</v>
      </c>
      <c r="Y2239" t="s">
        <v>11018</v>
      </c>
      <c r="Z2239">
        <v>10400</v>
      </c>
      <c r="AA2239">
        <v>1222</v>
      </c>
      <c r="AB2239">
        <v>92</v>
      </c>
      <c r="AC2239">
        <v>1629</v>
      </c>
      <c r="AD2239">
        <v>2550</v>
      </c>
      <c r="AE2239">
        <v>2550</v>
      </c>
      <c r="AF2239">
        <v>1</v>
      </c>
      <c r="AG2239">
        <v>0</v>
      </c>
      <c r="AH2239">
        <v>51.267299652099609</v>
      </c>
      <c r="AI2239">
        <v>38</v>
      </c>
      <c r="AJ2239">
        <v>57.443901062011719</v>
      </c>
      <c r="AK2239" t="s">
        <v>54</v>
      </c>
      <c r="AL2239" t="s">
        <v>53</v>
      </c>
      <c r="AM2239" t="s">
        <v>32</v>
      </c>
      <c r="AN2239" s="148">
        <v>0</v>
      </c>
      <c r="AO2239" s="148">
        <v>0</v>
      </c>
      <c r="AQ2239" t="s">
        <v>54</v>
      </c>
      <c r="AR2239" t="s">
        <v>11019</v>
      </c>
      <c r="AS2239" s="148">
        <v>32143</v>
      </c>
      <c r="AT2239" t="s">
        <v>10881</v>
      </c>
      <c r="AU2239" s="148">
        <v>32143</v>
      </c>
      <c r="AV2239" t="s">
        <v>32</v>
      </c>
      <c r="AW2239" t="s">
        <v>54</v>
      </c>
      <c r="AX2239" t="s">
        <v>32</v>
      </c>
      <c r="AY2239" s="148">
        <v>0</v>
      </c>
      <c r="AZ2239" t="s">
        <v>54</v>
      </c>
      <c r="BA2239" t="s">
        <v>10882</v>
      </c>
    </row>
    <row r="2240" spans="1:53" x14ac:dyDescent="0.25">
      <c r="A2240">
        <v>2235</v>
      </c>
      <c r="B2240" t="s">
        <v>11020</v>
      </c>
      <c r="C2240" t="s">
        <v>11021</v>
      </c>
      <c r="D2240" t="s">
        <v>11022</v>
      </c>
      <c r="E2240">
        <v>14</v>
      </c>
      <c r="F2240" t="s">
        <v>10873</v>
      </c>
      <c r="G2240" t="s">
        <v>10886</v>
      </c>
      <c r="H2240" t="s">
        <v>10887</v>
      </c>
      <c r="I2240" t="s">
        <v>32</v>
      </c>
      <c r="J2240" t="s">
        <v>32</v>
      </c>
      <c r="K2240" t="s">
        <v>32</v>
      </c>
      <c r="L2240" t="s">
        <v>11023</v>
      </c>
      <c r="M2240">
        <v>21.877500534057621</v>
      </c>
      <c r="N2240" t="s">
        <v>54</v>
      </c>
      <c r="O2240" t="s">
        <v>53</v>
      </c>
      <c r="P2240" t="s">
        <v>54</v>
      </c>
      <c r="Q2240" t="s">
        <v>53</v>
      </c>
      <c r="R2240" t="s">
        <v>53</v>
      </c>
      <c r="S2240" t="s">
        <v>11024</v>
      </c>
      <c r="T2240" t="s">
        <v>11025</v>
      </c>
      <c r="U2240" t="s">
        <v>53</v>
      </c>
      <c r="V2240" t="s">
        <v>51</v>
      </c>
      <c r="W2240">
        <v>73000</v>
      </c>
      <c r="X2240" t="s">
        <v>54</v>
      </c>
      <c r="Y2240" t="s">
        <v>11026</v>
      </c>
      <c r="Z2240">
        <v>40150</v>
      </c>
      <c r="AA2240">
        <v>2578</v>
      </c>
      <c r="AB2240">
        <v>2267</v>
      </c>
      <c r="AC2240">
        <v>3215</v>
      </c>
      <c r="AD2240">
        <v>7825</v>
      </c>
      <c r="AE2240">
        <v>7825</v>
      </c>
      <c r="AF2240">
        <v>0</v>
      </c>
      <c r="AG2240">
        <v>0</v>
      </c>
      <c r="AH2240">
        <v>43.732101440429688</v>
      </c>
      <c r="AI2240">
        <v>0</v>
      </c>
      <c r="AJ2240">
        <v>3083.5400390625</v>
      </c>
      <c r="AK2240" t="s">
        <v>54</v>
      </c>
      <c r="AL2240" t="s">
        <v>54</v>
      </c>
      <c r="AM2240" t="s">
        <v>10908</v>
      </c>
      <c r="AN2240" s="148">
        <v>43466</v>
      </c>
      <c r="AO2240" s="148">
        <v>43466</v>
      </c>
      <c r="AQ2240" t="s">
        <v>54</v>
      </c>
      <c r="AR2240" t="s">
        <v>32</v>
      </c>
      <c r="AS2240" s="148">
        <v>43466</v>
      </c>
      <c r="AT2240" t="s">
        <v>11027</v>
      </c>
      <c r="AU2240" s="148">
        <v>43466</v>
      </c>
      <c r="AV2240" t="s">
        <v>32</v>
      </c>
      <c r="AW2240" t="s">
        <v>53</v>
      </c>
      <c r="AX2240" t="s">
        <v>32</v>
      </c>
      <c r="AY2240" s="148">
        <v>0</v>
      </c>
      <c r="AZ2240" t="s">
        <v>54</v>
      </c>
      <c r="BA2240" t="s">
        <v>10882</v>
      </c>
    </row>
    <row r="2241" spans="1:53" x14ac:dyDescent="0.25">
      <c r="A2241">
        <v>2236</v>
      </c>
      <c r="B2241" t="s">
        <v>11028</v>
      </c>
      <c r="C2241" t="s">
        <v>11029</v>
      </c>
      <c r="D2241" t="s">
        <v>11030</v>
      </c>
      <c r="E2241">
        <v>14</v>
      </c>
      <c r="F2241" t="s">
        <v>10873</v>
      </c>
      <c r="G2241" t="s">
        <v>10886</v>
      </c>
      <c r="H2241" t="s">
        <v>10960</v>
      </c>
      <c r="I2241" t="s">
        <v>32</v>
      </c>
      <c r="J2241" t="s">
        <v>32</v>
      </c>
      <c r="K2241" t="s">
        <v>32</v>
      </c>
      <c r="L2241" t="s">
        <v>10961</v>
      </c>
      <c r="M2241">
        <v>298.7919921875</v>
      </c>
      <c r="N2241" t="s">
        <v>54</v>
      </c>
      <c r="O2241" t="s">
        <v>53</v>
      </c>
      <c r="P2241" t="s">
        <v>54</v>
      </c>
      <c r="Q2241" t="s">
        <v>53</v>
      </c>
      <c r="R2241" t="s">
        <v>53</v>
      </c>
      <c r="S2241" t="s">
        <v>10912</v>
      </c>
      <c r="T2241" t="s">
        <v>11031</v>
      </c>
      <c r="U2241" t="s">
        <v>53</v>
      </c>
      <c r="V2241" t="s">
        <v>51</v>
      </c>
      <c r="W2241">
        <v>1288000</v>
      </c>
      <c r="X2241" t="s">
        <v>53</v>
      </c>
      <c r="Y2241" t="s">
        <v>10914</v>
      </c>
      <c r="Z2241">
        <v>0</v>
      </c>
      <c r="AA2241">
        <v>13881</v>
      </c>
      <c r="AB2241">
        <v>10736</v>
      </c>
      <c r="AC2241">
        <v>55754</v>
      </c>
      <c r="AD2241">
        <v>49860</v>
      </c>
      <c r="AE2241">
        <v>55807</v>
      </c>
      <c r="AF2241">
        <v>26</v>
      </c>
      <c r="AG2241">
        <v>51</v>
      </c>
      <c r="AH2241">
        <v>374.95401000976563</v>
      </c>
      <c r="AI2241">
        <v>614</v>
      </c>
      <c r="AJ2241">
        <v>6056.93017578125</v>
      </c>
      <c r="AK2241" t="s">
        <v>54</v>
      </c>
      <c r="AL2241" t="s">
        <v>54</v>
      </c>
      <c r="AM2241" t="s">
        <v>10908</v>
      </c>
      <c r="AN2241" s="148">
        <v>43466</v>
      </c>
      <c r="AO2241" s="148">
        <v>43466</v>
      </c>
      <c r="AQ2241" t="s">
        <v>54</v>
      </c>
      <c r="AR2241" t="s">
        <v>32</v>
      </c>
      <c r="AS2241" s="148">
        <v>43466</v>
      </c>
      <c r="AT2241" t="s">
        <v>11027</v>
      </c>
      <c r="AU2241" s="148">
        <v>43466</v>
      </c>
      <c r="AV2241" t="s">
        <v>32</v>
      </c>
      <c r="AW2241" t="s">
        <v>53</v>
      </c>
      <c r="AX2241" t="s">
        <v>32</v>
      </c>
      <c r="AY2241" s="148">
        <v>0</v>
      </c>
      <c r="AZ2241" t="s">
        <v>54</v>
      </c>
      <c r="BA2241" t="s">
        <v>10882</v>
      </c>
    </row>
    <row r="2242" spans="1:53" x14ac:dyDescent="0.25">
      <c r="A2242">
        <v>2237</v>
      </c>
      <c r="B2242" t="s">
        <v>11032</v>
      </c>
      <c r="C2242" t="s">
        <v>11033</v>
      </c>
      <c r="D2242" t="s">
        <v>11034</v>
      </c>
      <c r="E2242">
        <v>14</v>
      </c>
      <c r="F2242" t="s">
        <v>10873</v>
      </c>
      <c r="G2242" t="s">
        <v>10886</v>
      </c>
      <c r="H2242" t="s">
        <v>10960</v>
      </c>
      <c r="I2242" t="s">
        <v>32</v>
      </c>
      <c r="J2242" t="s">
        <v>32</v>
      </c>
      <c r="K2242" t="s">
        <v>32</v>
      </c>
      <c r="L2242" t="s">
        <v>10961</v>
      </c>
      <c r="M2242">
        <v>711.114990234375</v>
      </c>
      <c r="N2242" t="s">
        <v>54</v>
      </c>
      <c r="O2242" t="s">
        <v>53</v>
      </c>
      <c r="P2242" t="s">
        <v>54</v>
      </c>
      <c r="Q2242" t="s">
        <v>53</v>
      </c>
      <c r="R2242" t="s">
        <v>53</v>
      </c>
      <c r="S2242" t="s">
        <v>11035</v>
      </c>
      <c r="T2242" t="s">
        <v>11036</v>
      </c>
      <c r="U2242" t="s">
        <v>53</v>
      </c>
      <c r="V2242" t="s">
        <v>51</v>
      </c>
      <c r="W2242">
        <v>276000</v>
      </c>
      <c r="X2242" t="s">
        <v>54</v>
      </c>
      <c r="Y2242" t="s">
        <v>11037</v>
      </c>
      <c r="Z2242">
        <v>13800</v>
      </c>
      <c r="AA2242">
        <v>7480</v>
      </c>
      <c r="AB2242">
        <v>6117</v>
      </c>
      <c r="AC2242">
        <v>13061</v>
      </c>
      <c r="AD2242">
        <v>20421</v>
      </c>
      <c r="AE2242">
        <v>20421</v>
      </c>
      <c r="AF2242">
        <v>10</v>
      </c>
      <c r="AG2242">
        <v>81</v>
      </c>
      <c r="AH2242">
        <v>228.218994140625</v>
      </c>
      <c r="AI2242">
        <v>224</v>
      </c>
      <c r="AJ2242">
        <v>42408.6015625</v>
      </c>
      <c r="AK2242" t="s">
        <v>54</v>
      </c>
      <c r="AL2242" t="s">
        <v>54</v>
      </c>
      <c r="AM2242" t="s">
        <v>11038</v>
      </c>
      <c r="AN2242" s="148">
        <v>43466</v>
      </c>
      <c r="AO2242" s="148">
        <v>43466</v>
      </c>
      <c r="AQ2242" t="s">
        <v>54</v>
      </c>
      <c r="AR2242" t="s">
        <v>32</v>
      </c>
      <c r="AS2242" s="148">
        <v>44197</v>
      </c>
      <c r="AT2242" t="s">
        <v>11027</v>
      </c>
      <c r="AU2242" s="148">
        <v>44197</v>
      </c>
      <c r="AV2242" t="s">
        <v>32</v>
      </c>
      <c r="AW2242" t="s">
        <v>53</v>
      </c>
      <c r="AX2242" t="s">
        <v>32</v>
      </c>
      <c r="AY2242" s="148">
        <v>0</v>
      </c>
      <c r="AZ2242" t="s">
        <v>54</v>
      </c>
      <c r="BA2242" t="s">
        <v>10882</v>
      </c>
    </row>
    <row r="2243" spans="1:53" x14ac:dyDescent="0.25">
      <c r="A2243">
        <v>2238</v>
      </c>
      <c r="B2243" t="s">
        <v>11039</v>
      </c>
      <c r="C2243" t="s">
        <v>11040</v>
      </c>
      <c r="D2243" t="s">
        <v>11041</v>
      </c>
      <c r="E2243">
        <v>15</v>
      </c>
      <c r="F2243" t="s">
        <v>11042</v>
      </c>
      <c r="G2243" t="s">
        <v>11043</v>
      </c>
      <c r="H2243" t="s">
        <v>11044</v>
      </c>
      <c r="I2243" t="s">
        <v>32</v>
      </c>
      <c r="J2243" t="s">
        <v>11045</v>
      </c>
      <c r="K2243" t="s">
        <v>32</v>
      </c>
      <c r="L2243" t="s">
        <v>11046</v>
      </c>
      <c r="M2243">
        <v>0</v>
      </c>
      <c r="N2243" t="s">
        <v>54</v>
      </c>
      <c r="O2243" t="s">
        <v>53</v>
      </c>
      <c r="P2243" t="s">
        <v>54</v>
      </c>
      <c r="Q2243" t="s">
        <v>53</v>
      </c>
      <c r="R2243" t="s">
        <v>53</v>
      </c>
      <c r="S2243" t="s">
        <v>11047</v>
      </c>
      <c r="T2243" t="s">
        <v>11048</v>
      </c>
      <c r="U2243" t="s">
        <v>54</v>
      </c>
      <c r="V2243" t="s">
        <v>11049</v>
      </c>
      <c r="W2243">
        <v>143550</v>
      </c>
      <c r="X2243" t="s">
        <v>54</v>
      </c>
      <c r="Y2243" t="s">
        <v>32</v>
      </c>
      <c r="Z2243">
        <v>0</v>
      </c>
      <c r="AB2243">
        <v>5</v>
      </c>
      <c r="AC2243">
        <v>4</v>
      </c>
      <c r="AD2243">
        <v>14</v>
      </c>
      <c r="AE2243">
        <v>18</v>
      </c>
      <c r="AF2243">
        <v>0</v>
      </c>
      <c r="AG2243">
        <v>0</v>
      </c>
      <c r="AH2243">
        <v>1.0997200012207029</v>
      </c>
      <c r="AI2243">
        <v>0</v>
      </c>
      <c r="AJ2243">
        <v>0</v>
      </c>
      <c r="AK2243" t="s">
        <v>54</v>
      </c>
      <c r="AL2243" t="s">
        <v>54</v>
      </c>
      <c r="AM2243" t="s">
        <v>32</v>
      </c>
      <c r="AP2243" t="s">
        <v>32</v>
      </c>
      <c r="AQ2243" t="s">
        <v>54</v>
      </c>
      <c r="AR2243" t="s">
        <v>32</v>
      </c>
      <c r="AT2243" t="s">
        <v>2805</v>
      </c>
      <c r="AV2243" t="s">
        <v>32</v>
      </c>
      <c r="AW2243" t="s">
        <v>53</v>
      </c>
      <c r="AX2243" t="s">
        <v>32</v>
      </c>
      <c r="AZ2243" t="s">
        <v>54</v>
      </c>
      <c r="BA2243" t="s">
        <v>11050</v>
      </c>
    </row>
    <row r="2244" spans="1:53" x14ac:dyDescent="0.25">
      <c r="A2244">
        <v>2239</v>
      </c>
      <c r="B2244" t="s">
        <v>11051</v>
      </c>
      <c r="C2244" t="s">
        <v>11052</v>
      </c>
      <c r="D2244" t="s">
        <v>11053</v>
      </c>
      <c r="E2244">
        <v>15</v>
      </c>
      <c r="F2244" t="s">
        <v>11042</v>
      </c>
      <c r="G2244" t="s">
        <v>11043</v>
      </c>
      <c r="H2244" t="s">
        <v>11044</v>
      </c>
      <c r="I2244" t="s">
        <v>32</v>
      </c>
      <c r="J2244" t="s">
        <v>11045</v>
      </c>
      <c r="K2244" t="s">
        <v>32</v>
      </c>
      <c r="L2244" t="s">
        <v>11054</v>
      </c>
      <c r="M2244">
        <v>0</v>
      </c>
      <c r="N2244" t="s">
        <v>54</v>
      </c>
      <c r="O2244" t="s">
        <v>53</v>
      </c>
      <c r="P2244" t="s">
        <v>54</v>
      </c>
      <c r="Q2244" t="s">
        <v>53</v>
      </c>
      <c r="R2244" t="s">
        <v>53</v>
      </c>
      <c r="S2244" t="s">
        <v>11047</v>
      </c>
      <c r="T2244" t="s">
        <v>11048</v>
      </c>
      <c r="U2244" t="s">
        <v>54</v>
      </c>
      <c r="V2244" t="s">
        <v>11049</v>
      </c>
      <c r="W2244">
        <v>53955</v>
      </c>
      <c r="X2244" t="s">
        <v>54</v>
      </c>
      <c r="Y2244" t="s">
        <v>32</v>
      </c>
      <c r="Z2244">
        <v>0</v>
      </c>
      <c r="AB2244">
        <v>3</v>
      </c>
      <c r="AC2244">
        <v>38</v>
      </c>
      <c r="AD2244">
        <v>80</v>
      </c>
      <c r="AE2244">
        <v>118</v>
      </c>
      <c r="AF2244">
        <v>0</v>
      </c>
      <c r="AG2244">
        <v>0</v>
      </c>
      <c r="AH2244">
        <v>1.759130001068115</v>
      </c>
      <c r="AI2244">
        <v>0</v>
      </c>
      <c r="AJ2244">
        <v>0</v>
      </c>
      <c r="AK2244" t="s">
        <v>54</v>
      </c>
      <c r="AL2244" t="s">
        <v>54</v>
      </c>
      <c r="AM2244" t="s">
        <v>32</v>
      </c>
      <c r="AP2244" t="s">
        <v>32</v>
      </c>
      <c r="AQ2244" t="s">
        <v>54</v>
      </c>
      <c r="AR2244" t="s">
        <v>32</v>
      </c>
      <c r="AT2244" t="s">
        <v>2805</v>
      </c>
      <c r="AV2244" t="s">
        <v>32</v>
      </c>
      <c r="AW2244" t="s">
        <v>53</v>
      </c>
      <c r="AX2244" t="s">
        <v>32</v>
      </c>
      <c r="AZ2244" t="s">
        <v>54</v>
      </c>
      <c r="BA2244" t="s">
        <v>11050</v>
      </c>
    </row>
    <row r="2245" spans="1:53" x14ac:dyDescent="0.25">
      <c r="A2245">
        <v>2240</v>
      </c>
      <c r="B2245" t="s">
        <v>11055</v>
      </c>
      <c r="C2245" t="s">
        <v>11056</v>
      </c>
      <c r="D2245" t="s">
        <v>11057</v>
      </c>
      <c r="E2245">
        <v>15</v>
      </c>
      <c r="F2245" t="s">
        <v>11042</v>
      </c>
      <c r="G2245" t="s">
        <v>11043</v>
      </c>
      <c r="H2245" t="s">
        <v>11044</v>
      </c>
      <c r="I2245" t="s">
        <v>32</v>
      </c>
      <c r="J2245" t="s">
        <v>11045</v>
      </c>
      <c r="K2245" t="s">
        <v>32</v>
      </c>
      <c r="L2245" t="s">
        <v>11054</v>
      </c>
      <c r="M2245">
        <v>0</v>
      </c>
      <c r="N2245" t="s">
        <v>54</v>
      </c>
      <c r="O2245" t="s">
        <v>53</v>
      </c>
      <c r="P2245" t="s">
        <v>54</v>
      </c>
      <c r="Q2245" t="s">
        <v>53</v>
      </c>
      <c r="R2245" t="s">
        <v>53</v>
      </c>
      <c r="S2245" t="s">
        <v>11047</v>
      </c>
      <c r="T2245" t="s">
        <v>11048</v>
      </c>
      <c r="U2245" t="s">
        <v>54</v>
      </c>
      <c r="V2245" t="s">
        <v>11049</v>
      </c>
      <c r="W2245">
        <v>7920</v>
      </c>
      <c r="X2245" t="s">
        <v>54</v>
      </c>
      <c r="Y2245" t="s">
        <v>32</v>
      </c>
      <c r="Z2245">
        <v>0</v>
      </c>
      <c r="AB2245">
        <v>0</v>
      </c>
      <c r="AC2245">
        <v>0</v>
      </c>
      <c r="AD2245">
        <v>0</v>
      </c>
      <c r="AE2245">
        <v>0</v>
      </c>
      <c r="AF2245">
        <v>0</v>
      </c>
      <c r="AG2245">
        <v>0</v>
      </c>
      <c r="AH2245">
        <v>2.4047698974609379</v>
      </c>
      <c r="AI2245">
        <v>0</v>
      </c>
      <c r="AJ2245">
        <v>0</v>
      </c>
      <c r="AK2245" t="s">
        <v>54</v>
      </c>
      <c r="AL2245" t="s">
        <v>54</v>
      </c>
      <c r="AM2245" t="s">
        <v>32</v>
      </c>
      <c r="AP2245" t="s">
        <v>32</v>
      </c>
      <c r="AQ2245" t="s">
        <v>54</v>
      </c>
      <c r="AR2245" t="s">
        <v>32</v>
      </c>
      <c r="AT2245" t="s">
        <v>2805</v>
      </c>
      <c r="AV2245" t="s">
        <v>32</v>
      </c>
      <c r="AW2245" t="s">
        <v>53</v>
      </c>
      <c r="AX2245" t="s">
        <v>32</v>
      </c>
      <c r="AZ2245" t="s">
        <v>54</v>
      </c>
      <c r="BA2245" t="s">
        <v>11050</v>
      </c>
    </row>
    <row r="2246" spans="1:53" x14ac:dyDescent="0.25">
      <c r="A2246">
        <v>2241</v>
      </c>
      <c r="B2246" t="s">
        <v>11058</v>
      </c>
      <c r="C2246" t="s">
        <v>11059</v>
      </c>
      <c r="D2246" t="s">
        <v>11060</v>
      </c>
      <c r="E2246">
        <v>15</v>
      </c>
      <c r="F2246" t="s">
        <v>11042</v>
      </c>
      <c r="G2246" t="s">
        <v>11043</v>
      </c>
      <c r="H2246" t="s">
        <v>11044</v>
      </c>
      <c r="I2246" t="s">
        <v>32</v>
      </c>
      <c r="J2246" t="s">
        <v>11045</v>
      </c>
      <c r="K2246" t="s">
        <v>32</v>
      </c>
      <c r="L2246" t="s">
        <v>11054</v>
      </c>
      <c r="M2246">
        <v>0</v>
      </c>
      <c r="N2246" t="s">
        <v>54</v>
      </c>
      <c r="O2246" t="s">
        <v>53</v>
      </c>
      <c r="P2246" t="s">
        <v>54</v>
      </c>
      <c r="Q2246" t="s">
        <v>53</v>
      </c>
      <c r="R2246" t="s">
        <v>53</v>
      </c>
      <c r="S2246" t="s">
        <v>11047</v>
      </c>
      <c r="T2246" t="s">
        <v>11048</v>
      </c>
      <c r="U2246" t="s">
        <v>54</v>
      </c>
      <c r="V2246" t="s">
        <v>11049</v>
      </c>
      <c r="W2246">
        <v>89595</v>
      </c>
      <c r="X2246" t="s">
        <v>54</v>
      </c>
      <c r="Y2246" t="s">
        <v>32</v>
      </c>
      <c r="Z2246">
        <v>0</v>
      </c>
      <c r="AB2246">
        <v>26</v>
      </c>
      <c r="AC2246">
        <v>139</v>
      </c>
      <c r="AD2246">
        <v>129</v>
      </c>
      <c r="AE2246">
        <v>268</v>
      </c>
      <c r="AF2246">
        <v>0</v>
      </c>
      <c r="AG2246">
        <v>0</v>
      </c>
      <c r="AH2246">
        <v>5.1105799674987793</v>
      </c>
      <c r="AI2246">
        <v>0</v>
      </c>
      <c r="AJ2246">
        <v>0</v>
      </c>
      <c r="AK2246" t="s">
        <v>54</v>
      </c>
      <c r="AL2246" t="s">
        <v>54</v>
      </c>
      <c r="AM2246" t="s">
        <v>32</v>
      </c>
      <c r="AP2246" t="s">
        <v>32</v>
      </c>
      <c r="AQ2246" t="s">
        <v>54</v>
      </c>
      <c r="AR2246" t="s">
        <v>32</v>
      </c>
      <c r="AT2246" t="s">
        <v>2805</v>
      </c>
      <c r="AV2246" t="s">
        <v>32</v>
      </c>
      <c r="AW2246" t="s">
        <v>53</v>
      </c>
      <c r="AX2246" t="s">
        <v>32</v>
      </c>
      <c r="AZ2246" t="s">
        <v>54</v>
      </c>
      <c r="BA2246" t="s">
        <v>11050</v>
      </c>
    </row>
    <row r="2247" spans="1:53" x14ac:dyDescent="0.25">
      <c r="A2247">
        <v>2242</v>
      </c>
      <c r="B2247" t="s">
        <v>11061</v>
      </c>
      <c r="C2247" t="s">
        <v>11062</v>
      </c>
      <c r="D2247" t="s">
        <v>11063</v>
      </c>
      <c r="E2247">
        <v>15</v>
      </c>
      <c r="F2247" t="s">
        <v>11042</v>
      </c>
      <c r="G2247" t="s">
        <v>11043</v>
      </c>
      <c r="H2247" t="s">
        <v>11044</v>
      </c>
      <c r="I2247" t="s">
        <v>32</v>
      </c>
      <c r="J2247" t="s">
        <v>11045</v>
      </c>
      <c r="K2247" t="s">
        <v>32</v>
      </c>
      <c r="L2247" t="s">
        <v>11054</v>
      </c>
      <c r="M2247">
        <v>0</v>
      </c>
      <c r="N2247" t="s">
        <v>54</v>
      </c>
      <c r="O2247" t="s">
        <v>53</v>
      </c>
      <c r="P2247" t="s">
        <v>54</v>
      </c>
      <c r="Q2247" t="s">
        <v>53</v>
      </c>
      <c r="R2247" t="s">
        <v>53</v>
      </c>
      <c r="S2247" t="s">
        <v>11047</v>
      </c>
      <c r="T2247" t="s">
        <v>11048</v>
      </c>
      <c r="U2247" t="s">
        <v>54</v>
      </c>
      <c r="V2247" t="s">
        <v>11049</v>
      </c>
      <c r="W2247">
        <v>124245</v>
      </c>
      <c r="X2247" t="s">
        <v>54</v>
      </c>
      <c r="Y2247" t="s">
        <v>32</v>
      </c>
      <c r="Z2247">
        <v>0</v>
      </c>
      <c r="AB2247">
        <v>191</v>
      </c>
      <c r="AC2247">
        <v>730</v>
      </c>
      <c r="AD2247">
        <v>601</v>
      </c>
      <c r="AE2247">
        <v>1331</v>
      </c>
      <c r="AF2247">
        <v>1</v>
      </c>
      <c r="AG2247">
        <v>0</v>
      </c>
      <c r="AH2247">
        <v>5.6693301200866699</v>
      </c>
      <c r="AI2247">
        <v>0</v>
      </c>
      <c r="AJ2247">
        <v>0</v>
      </c>
      <c r="AK2247" t="s">
        <v>54</v>
      </c>
      <c r="AL2247" t="s">
        <v>54</v>
      </c>
      <c r="AM2247" t="s">
        <v>32</v>
      </c>
      <c r="AP2247" t="s">
        <v>32</v>
      </c>
      <c r="AQ2247" t="s">
        <v>54</v>
      </c>
      <c r="AR2247" t="s">
        <v>32</v>
      </c>
      <c r="AT2247" t="s">
        <v>2805</v>
      </c>
      <c r="AV2247" t="s">
        <v>32</v>
      </c>
      <c r="AW2247" t="s">
        <v>53</v>
      </c>
      <c r="AX2247" t="s">
        <v>32</v>
      </c>
      <c r="AZ2247" t="s">
        <v>54</v>
      </c>
      <c r="BA2247" t="s">
        <v>11050</v>
      </c>
    </row>
    <row r="2248" spans="1:53" x14ac:dyDescent="0.25">
      <c r="A2248">
        <v>2243</v>
      </c>
      <c r="B2248" t="s">
        <v>11064</v>
      </c>
      <c r="C2248" t="s">
        <v>11065</v>
      </c>
      <c r="D2248" t="s">
        <v>11066</v>
      </c>
      <c r="E2248">
        <v>15</v>
      </c>
      <c r="F2248" t="s">
        <v>11042</v>
      </c>
      <c r="G2248" t="s">
        <v>11043</v>
      </c>
      <c r="H2248" t="s">
        <v>11044</v>
      </c>
      <c r="I2248" t="s">
        <v>32</v>
      </c>
      <c r="J2248" t="s">
        <v>11045</v>
      </c>
      <c r="K2248" t="s">
        <v>32</v>
      </c>
      <c r="L2248" t="s">
        <v>11054</v>
      </c>
      <c r="M2248">
        <v>0</v>
      </c>
      <c r="N2248" t="s">
        <v>54</v>
      </c>
      <c r="O2248" t="s">
        <v>53</v>
      </c>
      <c r="P2248" t="s">
        <v>54</v>
      </c>
      <c r="Q2248" t="s">
        <v>53</v>
      </c>
      <c r="R2248" t="s">
        <v>53</v>
      </c>
      <c r="S2248" t="s">
        <v>11047</v>
      </c>
      <c r="T2248" t="s">
        <v>11048</v>
      </c>
      <c r="U2248" t="s">
        <v>54</v>
      </c>
      <c r="V2248" t="s">
        <v>11049</v>
      </c>
      <c r="W2248">
        <v>27225</v>
      </c>
      <c r="X2248" t="s">
        <v>54</v>
      </c>
      <c r="Y2248" t="s">
        <v>32</v>
      </c>
      <c r="Z2248">
        <v>0</v>
      </c>
      <c r="AB2248">
        <v>8</v>
      </c>
      <c r="AC2248">
        <v>17</v>
      </c>
      <c r="AD2248">
        <v>33</v>
      </c>
      <c r="AE2248">
        <v>50</v>
      </c>
      <c r="AF2248">
        <v>0</v>
      </c>
      <c r="AG2248">
        <v>0</v>
      </c>
      <c r="AH2248">
        <v>0.25771498680114752</v>
      </c>
      <c r="AI2248">
        <v>0</v>
      </c>
      <c r="AJ2248">
        <v>0</v>
      </c>
      <c r="AK2248" t="s">
        <v>54</v>
      </c>
      <c r="AL2248" t="s">
        <v>54</v>
      </c>
      <c r="AM2248" t="s">
        <v>32</v>
      </c>
      <c r="AP2248" t="s">
        <v>32</v>
      </c>
      <c r="AQ2248" t="s">
        <v>54</v>
      </c>
      <c r="AR2248" t="s">
        <v>32</v>
      </c>
      <c r="AT2248" t="s">
        <v>2805</v>
      </c>
      <c r="AV2248" t="s">
        <v>32</v>
      </c>
      <c r="AW2248" t="s">
        <v>53</v>
      </c>
      <c r="AX2248" t="s">
        <v>32</v>
      </c>
      <c r="AZ2248" t="s">
        <v>54</v>
      </c>
      <c r="BA2248" t="s">
        <v>11050</v>
      </c>
    </row>
    <row r="2249" spans="1:53" x14ac:dyDescent="0.25">
      <c r="A2249">
        <v>2244</v>
      </c>
      <c r="B2249" t="s">
        <v>11067</v>
      </c>
      <c r="C2249" t="s">
        <v>11068</v>
      </c>
      <c r="D2249" t="s">
        <v>11069</v>
      </c>
      <c r="E2249">
        <v>15</v>
      </c>
      <c r="F2249" t="s">
        <v>11042</v>
      </c>
      <c r="G2249" t="s">
        <v>11043</v>
      </c>
      <c r="H2249" t="s">
        <v>11044</v>
      </c>
      <c r="I2249" t="s">
        <v>32</v>
      </c>
      <c r="J2249" t="s">
        <v>11045</v>
      </c>
      <c r="K2249" t="s">
        <v>32</v>
      </c>
      <c r="L2249" t="s">
        <v>11054</v>
      </c>
      <c r="M2249">
        <v>0</v>
      </c>
      <c r="N2249" t="s">
        <v>54</v>
      </c>
      <c r="O2249" t="s">
        <v>53</v>
      </c>
      <c r="P2249" t="s">
        <v>54</v>
      </c>
      <c r="Q2249" t="s">
        <v>53</v>
      </c>
      <c r="R2249" t="s">
        <v>53</v>
      </c>
      <c r="S2249" t="s">
        <v>11047</v>
      </c>
      <c r="T2249" t="s">
        <v>11048</v>
      </c>
      <c r="U2249" t="s">
        <v>54</v>
      </c>
      <c r="V2249" t="s">
        <v>11049</v>
      </c>
      <c r="W2249">
        <v>177870</v>
      </c>
      <c r="X2249" t="s">
        <v>54</v>
      </c>
      <c r="Y2249" t="s">
        <v>32</v>
      </c>
      <c r="Z2249">
        <v>0</v>
      </c>
      <c r="AB2249">
        <v>24</v>
      </c>
      <c r="AC2249">
        <v>24</v>
      </c>
      <c r="AD2249">
        <v>71</v>
      </c>
      <c r="AE2249">
        <v>95</v>
      </c>
      <c r="AF2249">
        <v>0</v>
      </c>
      <c r="AG2249">
        <v>0</v>
      </c>
      <c r="AH2249">
        <v>0.39124000072479248</v>
      </c>
      <c r="AI2249">
        <v>0</v>
      </c>
      <c r="AJ2249">
        <v>0</v>
      </c>
      <c r="AK2249" t="s">
        <v>54</v>
      </c>
      <c r="AL2249" t="s">
        <v>54</v>
      </c>
      <c r="AM2249" t="s">
        <v>32</v>
      </c>
      <c r="AP2249" t="s">
        <v>32</v>
      </c>
      <c r="AQ2249" t="s">
        <v>54</v>
      </c>
      <c r="AR2249" t="s">
        <v>32</v>
      </c>
      <c r="AT2249" t="s">
        <v>2805</v>
      </c>
      <c r="AV2249" t="s">
        <v>32</v>
      </c>
      <c r="AW2249" t="s">
        <v>53</v>
      </c>
      <c r="AX2249" t="s">
        <v>32</v>
      </c>
      <c r="AZ2249" t="s">
        <v>54</v>
      </c>
      <c r="BA2249" t="s">
        <v>11050</v>
      </c>
    </row>
    <row r="2250" spans="1:53" x14ac:dyDescent="0.25">
      <c r="A2250">
        <v>2245</v>
      </c>
      <c r="B2250" t="s">
        <v>11070</v>
      </c>
      <c r="C2250" t="s">
        <v>11071</v>
      </c>
      <c r="D2250" t="s">
        <v>11072</v>
      </c>
      <c r="E2250">
        <v>15</v>
      </c>
      <c r="F2250" t="s">
        <v>11042</v>
      </c>
      <c r="G2250" t="s">
        <v>11043</v>
      </c>
      <c r="H2250" t="s">
        <v>11044</v>
      </c>
      <c r="I2250" t="s">
        <v>32</v>
      </c>
      <c r="J2250" t="s">
        <v>11045</v>
      </c>
      <c r="K2250" t="s">
        <v>32</v>
      </c>
      <c r="L2250" t="s">
        <v>11054</v>
      </c>
      <c r="M2250">
        <v>0</v>
      </c>
      <c r="N2250" t="s">
        <v>54</v>
      </c>
      <c r="O2250" t="s">
        <v>53</v>
      </c>
      <c r="P2250" t="s">
        <v>54</v>
      </c>
      <c r="Q2250" t="s">
        <v>53</v>
      </c>
      <c r="R2250" t="s">
        <v>53</v>
      </c>
      <c r="S2250" t="s">
        <v>11047</v>
      </c>
      <c r="T2250" t="s">
        <v>11048</v>
      </c>
      <c r="U2250" t="s">
        <v>54</v>
      </c>
      <c r="V2250" t="s">
        <v>11049</v>
      </c>
      <c r="W2250">
        <v>136785</v>
      </c>
      <c r="X2250" t="s">
        <v>54</v>
      </c>
      <c r="Y2250" t="s">
        <v>32</v>
      </c>
      <c r="Z2250">
        <v>0</v>
      </c>
      <c r="AB2250">
        <v>16</v>
      </c>
      <c r="AC2250">
        <v>26</v>
      </c>
      <c r="AD2250">
        <v>74</v>
      </c>
      <c r="AE2250">
        <v>100</v>
      </c>
      <c r="AF2250">
        <v>0</v>
      </c>
      <c r="AG2250">
        <v>0</v>
      </c>
      <c r="AH2250">
        <v>0.24021400511264801</v>
      </c>
      <c r="AI2250">
        <v>0</v>
      </c>
      <c r="AJ2250">
        <v>0</v>
      </c>
      <c r="AK2250" t="s">
        <v>54</v>
      </c>
      <c r="AL2250" t="s">
        <v>54</v>
      </c>
      <c r="AM2250" t="s">
        <v>32</v>
      </c>
      <c r="AP2250" t="s">
        <v>32</v>
      </c>
      <c r="AQ2250" t="s">
        <v>54</v>
      </c>
      <c r="AR2250" t="s">
        <v>32</v>
      </c>
      <c r="AT2250" t="s">
        <v>2805</v>
      </c>
      <c r="AV2250" t="s">
        <v>32</v>
      </c>
      <c r="AW2250" t="s">
        <v>53</v>
      </c>
      <c r="AX2250" t="s">
        <v>32</v>
      </c>
      <c r="AZ2250" t="s">
        <v>54</v>
      </c>
      <c r="BA2250" t="s">
        <v>11050</v>
      </c>
    </row>
    <row r="2251" spans="1:53" x14ac:dyDescent="0.25">
      <c r="A2251">
        <v>2246</v>
      </c>
      <c r="B2251" t="s">
        <v>11073</v>
      </c>
      <c r="C2251" t="s">
        <v>11074</v>
      </c>
      <c r="D2251" t="s">
        <v>11075</v>
      </c>
      <c r="E2251">
        <v>15</v>
      </c>
      <c r="F2251" t="s">
        <v>11042</v>
      </c>
      <c r="G2251" t="s">
        <v>11043</v>
      </c>
      <c r="H2251" t="s">
        <v>11044</v>
      </c>
      <c r="I2251" t="s">
        <v>32</v>
      </c>
      <c r="J2251" t="s">
        <v>11045</v>
      </c>
      <c r="K2251" t="s">
        <v>32</v>
      </c>
      <c r="L2251" t="s">
        <v>11054</v>
      </c>
      <c r="M2251">
        <v>0</v>
      </c>
      <c r="N2251" t="s">
        <v>54</v>
      </c>
      <c r="O2251" t="s">
        <v>53</v>
      </c>
      <c r="P2251" t="s">
        <v>54</v>
      </c>
      <c r="Q2251" t="s">
        <v>53</v>
      </c>
      <c r="R2251" t="s">
        <v>53</v>
      </c>
      <c r="S2251" t="s">
        <v>11047</v>
      </c>
      <c r="T2251" t="s">
        <v>11048</v>
      </c>
      <c r="U2251" t="s">
        <v>54</v>
      </c>
      <c r="V2251" t="s">
        <v>11049</v>
      </c>
      <c r="W2251">
        <v>12045</v>
      </c>
      <c r="X2251" t="s">
        <v>54</v>
      </c>
      <c r="Y2251" t="s">
        <v>32</v>
      </c>
      <c r="Z2251">
        <v>0</v>
      </c>
      <c r="AB2251">
        <v>36</v>
      </c>
      <c r="AC2251">
        <v>146</v>
      </c>
      <c r="AD2251">
        <v>143</v>
      </c>
      <c r="AE2251">
        <v>289</v>
      </c>
      <c r="AF2251">
        <v>0</v>
      </c>
      <c r="AG2251">
        <v>0</v>
      </c>
      <c r="AH2251">
        <v>3.6759800910949711</v>
      </c>
      <c r="AI2251">
        <v>0</v>
      </c>
      <c r="AJ2251">
        <v>0</v>
      </c>
      <c r="AK2251" t="s">
        <v>54</v>
      </c>
      <c r="AL2251" t="s">
        <v>54</v>
      </c>
      <c r="AM2251" t="s">
        <v>32</v>
      </c>
      <c r="AP2251" t="s">
        <v>32</v>
      </c>
      <c r="AQ2251" t="s">
        <v>54</v>
      </c>
      <c r="AR2251" t="s">
        <v>32</v>
      </c>
      <c r="AT2251" t="s">
        <v>2805</v>
      </c>
      <c r="AV2251" t="s">
        <v>32</v>
      </c>
      <c r="AW2251" t="s">
        <v>53</v>
      </c>
      <c r="AX2251" t="s">
        <v>32</v>
      </c>
      <c r="AZ2251" t="s">
        <v>54</v>
      </c>
      <c r="BA2251" t="s">
        <v>11050</v>
      </c>
    </row>
    <row r="2252" spans="1:53" x14ac:dyDescent="0.25">
      <c r="A2252">
        <v>2247</v>
      </c>
      <c r="B2252" t="s">
        <v>11076</v>
      </c>
      <c r="C2252" t="s">
        <v>11077</v>
      </c>
      <c r="D2252" t="s">
        <v>11078</v>
      </c>
      <c r="E2252">
        <v>15</v>
      </c>
      <c r="F2252" t="s">
        <v>11042</v>
      </c>
      <c r="G2252" t="s">
        <v>11079</v>
      </c>
      <c r="H2252" t="s">
        <v>11080</v>
      </c>
      <c r="I2252" t="s">
        <v>32</v>
      </c>
      <c r="J2252" t="s">
        <v>32</v>
      </c>
      <c r="K2252" t="s">
        <v>32</v>
      </c>
      <c r="L2252" t="s">
        <v>11081</v>
      </c>
      <c r="M2252">
        <v>0</v>
      </c>
      <c r="N2252" t="s">
        <v>53</v>
      </c>
      <c r="O2252" t="s">
        <v>53</v>
      </c>
      <c r="P2252" t="s">
        <v>53</v>
      </c>
      <c r="Q2252" t="s">
        <v>53</v>
      </c>
      <c r="R2252" t="s">
        <v>53</v>
      </c>
      <c r="S2252" t="s">
        <v>11082</v>
      </c>
      <c r="T2252" t="s">
        <v>11083</v>
      </c>
      <c r="U2252" t="s">
        <v>54</v>
      </c>
      <c r="V2252" t="s">
        <v>11084</v>
      </c>
      <c r="W2252">
        <v>60000</v>
      </c>
      <c r="X2252" t="s">
        <v>54</v>
      </c>
      <c r="Y2252" t="s">
        <v>32</v>
      </c>
      <c r="Z2252">
        <v>0</v>
      </c>
      <c r="AB2252">
        <v>2</v>
      </c>
      <c r="AC2252">
        <v>0</v>
      </c>
      <c r="AD2252">
        <v>0</v>
      </c>
      <c r="AE2252">
        <v>0</v>
      </c>
      <c r="AF2252">
        <v>0</v>
      </c>
      <c r="AG2252">
        <v>0</v>
      </c>
      <c r="AH2252">
        <v>2.1752998828887939</v>
      </c>
      <c r="AI2252">
        <v>0</v>
      </c>
      <c r="AJ2252">
        <v>0</v>
      </c>
      <c r="AK2252" t="s">
        <v>54</v>
      </c>
      <c r="AL2252" t="s">
        <v>53</v>
      </c>
      <c r="AM2252" t="s">
        <v>32</v>
      </c>
      <c r="AP2252" t="s">
        <v>32</v>
      </c>
      <c r="AQ2252" t="s">
        <v>53</v>
      </c>
      <c r="AR2252" t="s">
        <v>32</v>
      </c>
      <c r="AT2252" t="s">
        <v>2805</v>
      </c>
      <c r="AV2252" t="s">
        <v>32</v>
      </c>
      <c r="AW2252" t="s">
        <v>54</v>
      </c>
      <c r="AX2252" t="s">
        <v>32</v>
      </c>
      <c r="AZ2252" t="s">
        <v>54</v>
      </c>
      <c r="BA2252" t="s">
        <v>11050</v>
      </c>
    </row>
    <row r="2253" spans="1:53" x14ac:dyDescent="0.25">
      <c r="A2253">
        <v>2248</v>
      </c>
      <c r="B2253" t="s">
        <v>11085</v>
      </c>
      <c r="C2253" t="s">
        <v>11086</v>
      </c>
      <c r="D2253" t="s">
        <v>11087</v>
      </c>
      <c r="E2253">
        <v>15</v>
      </c>
      <c r="F2253" t="s">
        <v>11042</v>
      </c>
      <c r="G2253" t="s">
        <v>11079</v>
      </c>
      <c r="H2253" t="s">
        <v>11080</v>
      </c>
      <c r="I2253" t="s">
        <v>32</v>
      </c>
      <c r="J2253" t="s">
        <v>32</v>
      </c>
      <c r="K2253" t="s">
        <v>32</v>
      </c>
      <c r="L2253" t="s">
        <v>11081</v>
      </c>
      <c r="M2253">
        <v>0</v>
      </c>
      <c r="N2253" t="s">
        <v>53</v>
      </c>
      <c r="O2253" t="s">
        <v>53</v>
      </c>
      <c r="P2253" t="s">
        <v>53</v>
      </c>
      <c r="Q2253" t="s">
        <v>53</v>
      </c>
      <c r="R2253" t="s">
        <v>53</v>
      </c>
      <c r="S2253" t="s">
        <v>11082</v>
      </c>
      <c r="T2253" t="s">
        <v>11088</v>
      </c>
      <c r="U2253" t="s">
        <v>54</v>
      </c>
      <c r="V2253" t="s">
        <v>11084</v>
      </c>
      <c r="W2253">
        <v>190500</v>
      </c>
      <c r="X2253" t="s">
        <v>54</v>
      </c>
      <c r="Y2253" t="s">
        <v>32</v>
      </c>
      <c r="Z2253">
        <v>0</v>
      </c>
      <c r="AB2253">
        <v>55</v>
      </c>
      <c r="AC2253">
        <v>57</v>
      </c>
      <c r="AD2253">
        <v>188</v>
      </c>
      <c r="AE2253">
        <v>245</v>
      </c>
      <c r="AF2253">
        <v>0</v>
      </c>
      <c r="AG2253">
        <v>0</v>
      </c>
      <c r="AH2253">
        <v>3.2607300281524658</v>
      </c>
      <c r="AI2253">
        <v>0</v>
      </c>
      <c r="AJ2253">
        <v>0</v>
      </c>
      <c r="AK2253" t="s">
        <v>54</v>
      </c>
      <c r="AL2253" t="s">
        <v>53</v>
      </c>
      <c r="AM2253" t="s">
        <v>32</v>
      </c>
      <c r="AP2253" t="s">
        <v>32</v>
      </c>
      <c r="AQ2253" t="s">
        <v>53</v>
      </c>
      <c r="AR2253" t="s">
        <v>32</v>
      </c>
      <c r="AT2253" t="s">
        <v>2805</v>
      </c>
      <c r="AV2253" t="s">
        <v>32</v>
      </c>
      <c r="AW2253" t="s">
        <v>54</v>
      </c>
      <c r="AX2253" t="s">
        <v>32</v>
      </c>
      <c r="AZ2253" t="s">
        <v>54</v>
      </c>
      <c r="BA2253" t="s">
        <v>11050</v>
      </c>
    </row>
    <row r="2254" spans="1:53" x14ac:dyDescent="0.25">
      <c r="A2254">
        <v>2249</v>
      </c>
      <c r="B2254" t="s">
        <v>11089</v>
      </c>
      <c r="C2254" t="s">
        <v>11090</v>
      </c>
      <c r="D2254" t="s">
        <v>11091</v>
      </c>
      <c r="E2254">
        <v>15</v>
      </c>
      <c r="F2254" t="s">
        <v>11042</v>
      </c>
      <c r="G2254" t="s">
        <v>11079</v>
      </c>
      <c r="H2254" t="s">
        <v>11080</v>
      </c>
      <c r="I2254" t="s">
        <v>32</v>
      </c>
      <c r="J2254" t="s">
        <v>32</v>
      </c>
      <c r="K2254" t="s">
        <v>32</v>
      </c>
      <c r="L2254" t="s">
        <v>11081</v>
      </c>
      <c r="M2254">
        <v>0</v>
      </c>
      <c r="N2254" t="s">
        <v>53</v>
      </c>
      <c r="O2254" t="s">
        <v>53</v>
      </c>
      <c r="P2254" t="s">
        <v>53</v>
      </c>
      <c r="Q2254" t="s">
        <v>53</v>
      </c>
      <c r="R2254" t="s">
        <v>53</v>
      </c>
      <c r="S2254" t="s">
        <v>11082</v>
      </c>
      <c r="T2254" t="s">
        <v>11092</v>
      </c>
      <c r="U2254" t="s">
        <v>54</v>
      </c>
      <c r="V2254" t="s">
        <v>11084</v>
      </c>
      <c r="W2254">
        <v>215250</v>
      </c>
      <c r="X2254" t="s">
        <v>54</v>
      </c>
      <c r="Y2254" t="s">
        <v>32</v>
      </c>
      <c r="Z2254">
        <v>0</v>
      </c>
      <c r="AB2254">
        <v>2</v>
      </c>
      <c r="AC2254">
        <v>2</v>
      </c>
      <c r="AD2254">
        <v>7</v>
      </c>
      <c r="AE2254">
        <v>9</v>
      </c>
      <c r="AF2254">
        <v>0</v>
      </c>
      <c r="AG2254">
        <v>0</v>
      </c>
      <c r="AH2254">
        <v>3.6759300231933589</v>
      </c>
      <c r="AI2254">
        <v>0</v>
      </c>
      <c r="AJ2254">
        <v>0</v>
      </c>
      <c r="AK2254" t="s">
        <v>54</v>
      </c>
      <c r="AL2254" t="s">
        <v>53</v>
      </c>
      <c r="AM2254" t="s">
        <v>32</v>
      </c>
      <c r="AP2254" t="s">
        <v>32</v>
      </c>
      <c r="AQ2254" t="s">
        <v>53</v>
      </c>
      <c r="AR2254" t="s">
        <v>32</v>
      </c>
      <c r="AT2254" t="s">
        <v>2805</v>
      </c>
      <c r="AV2254" t="s">
        <v>32</v>
      </c>
      <c r="AW2254" t="s">
        <v>54</v>
      </c>
      <c r="AX2254" t="s">
        <v>32</v>
      </c>
      <c r="AZ2254" t="s">
        <v>54</v>
      </c>
      <c r="BA2254" t="s">
        <v>11050</v>
      </c>
    </row>
    <row r="2255" spans="1:53" x14ac:dyDescent="0.25">
      <c r="A2255">
        <v>2250</v>
      </c>
      <c r="B2255" t="s">
        <v>11093</v>
      </c>
      <c r="C2255" t="s">
        <v>11094</v>
      </c>
      <c r="D2255" t="s">
        <v>11095</v>
      </c>
      <c r="E2255">
        <v>15</v>
      </c>
      <c r="F2255" t="s">
        <v>11042</v>
      </c>
      <c r="G2255" t="s">
        <v>11079</v>
      </c>
      <c r="H2255" t="s">
        <v>11080</v>
      </c>
      <c r="I2255" t="s">
        <v>32</v>
      </c>
      <c r="J2255" t="s">
        <v>32</v>
      </c>
      <c r="K2255" t="s">
        <v>32</v>
      </c>
      <c r="L2255" t="s">
        <v>11081</v>
      </c>
      <c r="M2255">
        <v>0</v>
      </c>
      <c r="N2255" t="s">
        <v>53</v>
      </c>
      <c r="O2255" t="s">
        <v>53</v>
      </c>
      <c r="P2255" t="s">
        <v>53</v>
      </c>
      <c r="Q2255" t="s">
        <v>53</v>
      </c>
      <c r="R2255" t="s">
        <v>53</v>
      </c>
      <c r="S2255" t="s">
        <v>11082</v>
      </c>
      <c r="T2255" t="s">
        <v>11096</v>
      </c>
      <c r="U2255" t="s">
        <v>54</v>
      </c>
      <c r="V2255" t="s">
        <v>11084</v>
      </c>
      <c r="W2255">
        <v>525750</v>
      </c>
      <c r="X2255" t="s">
        <v>54</v>
      </c>
      <c r="Y2255" t="s">
        <v>32</v>
      </c>
      <c r="Z2255">
        <v>0</v>
      </c>
      <c r="AB2255">
        <v>0</v>
      </c>
      <c r="AC2255">
        <v>0</v>
      </c>
      <c r="AD2255">
        <v>0</v>
      </c>
      <c r="AE2255">
        <v>0</v>
      </c>
      <c r="AF2255">
        <v>0</v>
      </c>
      <c r="AG2255">
        <v>0</v>
      </c>
      <c r="AH2255">
        <v>0</v>
      </c>
      <c r="AI2255">
        <v>0</v>
      </c>
      <c r="AJ2255">
        <v>0</v>
      </c>
      <c r="AK2255" t="s">
        <v>54</v>
      </c>
      <c r="AL2255" t="s">
        <v>53</v>
      </c>
      <c r="AM2255" t="s">
        <v>32</v>
      </c>
      <c r="AP2255" t="s">
        <v>32</v>
      </c>
      <c r="AQ2255" t="s">
        <v>53</v>
      </c>
      <c r="AR2255" t="s">
        <v>32</v>
      </c>
      <c r="AT2255" t="s">
        <v>2805</v>
      </c>
      <c r="AV2255" t="s">
        <v>32</v>
      </c>
      <c r="AW2255" t="s">
        <v>54</v>
      </c>
      <c r="AX2255" t="s">
        <v>32</v>
      </c>
      <c r="AZ2255" t="s">
        <v>54</v>
      </c>
      <c r="BA2255" t="s">
        <v>11050</v>
      </c>
    </row>
    <row r="2256" spans="1:53" x14ac:dyDescent="0.25">
      <c r="A2256">
        <v>2251</v>
      </c>
      <c r="B2256" t="s">
        <v>11097</v>
      </c>
      <c r="C2256" t="s">
        <v>11098</v>
      </c>
      <c r="D2256" t="s">
        <v>11099</v>
      </c>
      <c r="E2256">
        <v>15</v>
      </c>
      <c r="F2256" t="s">
        <v>11042</v>
      </c>
      <c r="G2256" t="s">
        <v>11079</v>
      </c>
      <c r="H2256" t="s">
        <v>11080</v>
      </c>
      <c r="I2256" t="s">
        <v>32</v>
      </c>
      <c r="J2256" t="s">
        <v>32</v>
      </c>
      <c r="K2256" t="s">
        <v>32</v>
      </c>
      <c r="L2256" t="s">
        <v>11081</v>
      </c>
      <c r="M2256">
        <v>0</v>
      </c>
      <c r="N2256" t="s">
        <v>53</v>
      </c>
      <c r="O2256" t="s">
        <v>53</v>
      </c>
      <c r="P2256" t="s">
        <v>53</v>
      </c>
      <c r="Q2256" t="s">
        <v>53</v>
      </c>
      <c r="R2256" t="s">
        <v>53</v>
      </c>
      <c r="S2256" t="s">
        <v>11082</v>
      </c>
      <c r="T2256" t="s">
        <v>11100</v>
      </c>
      <c r="U2256" t="s">
        <v>54</v>
      </c>
      <c r="V2256" t="s">
        <v>11084</v>
      </c>
      <c r="W2256">
        <v>107100</v>
      </c>
      <c r="X2256" t="s">
        <v>54</v>
      </c>
      <c r="Y2256" t="s">
        <v>32</v>
      </c>
      <c r="Z2256">
        <v>0</v>
      </c>
      <c r="AB2256">
        <v>157</v>
      </c>
      <c r="AC2256">
        <v>176</v>
      </c>
      <c r="AD2256">
        <v>507</v>
      </c>
      <c r="AE2256">
        <v>683</v>
      </c>
      <c r="AF2256">
        <v>0</v>
      </c>
      <c r="AG2256">
        <v>0</v>
      </c>
      <c r="AH2256">
        <v>1.373970031738281</v>
      </c>
      <c r="AI2256">
        <v>0</v>
      </c>
      <c r="AJ2256">
        <v>0</v>
      </c>
      <c r="AK2256" t="s">
        <v>54</v>
      </c>
      <c r="AL2256" t="s">
        <v>53</v>
      </c>
      <c r="AM2256" t="s">
        <v>32</v>
      </c>
      <c r="AP2256" t="s">
        <v>32</v>
      </c>
      <c r="AQ2256" t="s">
        <v>53</v>
      </c>
      <c r="AR2256" t="s">
        <v>32</v>
      </c>
      <c r="AT2256" t="s">
        <v>2805</v>
      </c>
      <c r="AV2256" t="s">
        <v>32</v>
      </c>
      <c r="AW2256" t="s">
        <v>54</v>
      </c>
      <c r="AX2256" t="s">
        <v>32</v>
      </c>
      <c r="AZ2256" t="s">
        <v>54</v>
      </c>
      <c r="BA2256" t="s">
        <v>11050</v>
      </c>
    </row>
    <row r="2257" spans="1:53" x14ac:dyDescent="0.25">
      <c r="A2257">
        <v>2252</v>
      </c>
      <c r="B2257" t="s">
        <v>11101</v>
      </c>
      <c r="C2257" t="s">
        <v>11102</v>
      </c>
      <c r="D2257" t="s">
        <v>11103</v>
      </c>
      <c r="E2257">
        <v>15</v>
      </c>
      <c r="F2257" t="s">
        <v>11042</v>
      </c>
      <c r="G2257" t="s">
        <v>11079</v>
      </c>
      <c r="H2257" t="s">
        <v>11080</v>
      </c>
      <c r="I2257" t="s">
        <v>32</v>
      </c>
      <c r="J2257" t="s">
        <v>32</v>
      </c>
      <c r="K2257" t="s">
        <v>32</v>
      </c>
      <c r="L2257" t="s">
        <v>11081</v>
      </c>
      <c r="M2257">
        <v>0</v>
      </c>
      <c r="N2257" t="s">
        <v>53</v>
      </c>
      <c r="O2257" t="s">
        <v>53</v>
      </c>
      <c r="P2257" t="s">
        <v>53</v>
      </c>
      <c r="Q2257" t="s">
        <v>53</v>
      </c>
      <c r="R2257" t="s">
        <v>53</v>
      </c>
      <c r="S2257" t="s">
        <v>11082</v>
      </c>
      <c r="T2257" t="s">
        <v>11100</v>
      </c>
      <c r="U2257" t="s">
        <v>54</v>
      </c>
      <c r="V2257" t="s">
        <v>11084</v>
      </c>
      <c r="W2257">
        <v>321000</v>
      </c>
      <c r="X2257" t="s">
        <v>54</v>
      </c>
      <c r="Y2257" t="s">
        <v>32</v>
      </c>
      <c r="Z2257">
        <v>0</v>
      </c>
      <c r="AB2257">
        <v>113</v>
      </c>
      <c r="AC2257">
        <v>122</v>
      </c>
      <c r="AD2257">
        <v>431</v>
      </c>
      <c r="AE2257">
        <v>553</v>
      </c>
      <c r="AF2257">
        <v>0</v>
      </c>
      <c r="AG2257">
        <v>0</v>
      </c>
      <c r="AH2257">
        <v>9.5209798812866211</v>
      </c>
      <c r="AI2257">
        <v>0</v>
      </c>
      <c r="AJ2257">
        <v>0</v>
      </c>
      <c r="AK2257" t="s">
        <v>54</v>
      </c>
      <c r="AL2257" t="s">
        <v>53</v>
      </c>
      <c r="AM2257" t="s">
        <v>32</v>
      </c>
      <c r="AP2257" t="s">
        <v>32</v>
      </c>
      <c r="AQ2257" t="s">
        <v>53</v>
      </c>
      <c r="AR2257" t="s">
        <v>32</v>
      </c>
      <c r="AT2257" t="s">
        <v>2805</v>
      </c>
      <c r="AV2257" t="s">
        <v>32</v>
      </c>
      <c r="AW2257" t="s">
        <v>54</v>
      </c>
      <c r="AX2257" t="s">
        <v>32</v>
      </c>
      <c r="AZ2257" t="s">
        <v>54</v>
      </c>
      <c r="BA2257" t="s">
        <v>11050</v>
      </c>
    </row>
    <row r="2258" spans="1:53" x14ac:dyDescent="0.25">
      <c r="A2258">
        <v>2253</v>
      </c>
      <c r="B2258" t="s">
        <v>11104</v>
      </c>
      <c r="C2258" t="s">
        <v>11105</v>
      </c>
      <c r="D2258" t="s">
        <v>11106</v>
      </c>
      <c r="E2258">
        <v>15</v>
      </c>
      <c r="F2258" t="s">
        <v>11042</v>
      </c>
      <c r="G2258" t="s">
        <v>11079</v>
      </c>
      <c r="H2258" t="s">
        <v>11080</v>
      </c>
      <c r="I2258" t="s">
        <v>32</v>
      </c>
      <c r="J2258" t="s">
        <v>32</v>
      </c>
      <c r="K2258" t="s">
        <v>32</v>
      </c>
      <c r="L2258" t="s">
        <v>11081</v>
      </c>
      <c r="M2258">
        <v>0</v>
      </c>
      <c r="N2258" t="s">
        <v>53</v>
      </c>
      <c r="O2258" t="s">
        <v>53</v>
      </c>
      <c r="P2258" t="s">
        <v>53</v>
      </c>
      <c r="Q2258" t="s">
        <v>53</v>
      </c>
      <c r="R2258" t="s">
        <v>53</v>
      </c>
      <c r="S2258" t="s">
        <v>11082</v>
      </c>
      <c r="T2258" t="s">
        <v>11107</v>
      </c>
      <c r="U2258" t="s">
        <v>54</v>
      </c>
      <c r="V2258" t="s">
        <v>11084</v>
      </c>
      <c r="W2258">
        <v>201000</v>
      </c>
      <c r="X2258" t="s">
        <v>54</v>
      </c>
      <c r="Y2258" t="s">
        <v>32</v>
      </c>
      <c r="Z2258">
        <v>0</v>
      </c>
      <c r="AB2258">
        <v>268</v>
      </c>
      <c r="AC2258">
        <v>248</v>
      </c>
      <c r="AD2258">
        <v>844</v>
      </c>
      <c r="AE2258">
        <v>1092</v>
      </c>
      <c r="AF2258">
        <v>0</v>
      </c>
      <c r="AG2258">
        <v>0</v>
      </c>
      <c r="AH2258">
        <v>20.064800262451168</v>
      </c>
      <c r="AI2258">
        <v>0</v>
      </c>
      <c r="AJ2258">
        <v>0</v>
      </c>
      <c r="AK2258" t="s">
        <v>54</v>
      </c>
      <c r="AL2258" t="s">
        <v>53</v>
      </c>
      <c r="AM2258" t="s">
        <v>32</v>
      </c>
      <c r="AP2258" t="s">
        <v>32</v>
      </c>
      <c r="AQ2258" t="s">
        <v>53</v>
      </c>
      <c r="AR2258" t="s">
        <v>32</v>
      </c>
      <c r="AT2258" t="s">
        <v>2805</v>
      </c>
      <c r="AV2258" t="s">
        <v>32</v>
      </c>
      <c r="AW2258" t="s">
        <v>54</v>
      </c>
      <c r="AX2258" t="s">
        <v>32</v>
      </c>
      <c r="AZ2258" t="s">
        <v>54</v>
      </c>
      <c r="BA2258" t="s">
        <v>11050</v>
      </c>
    </row>
    <row r="2259" spans="1:53" x14ac:dyDescent="0.25">
      <c r="A2259">
        <v>2254</v>
      </c>
      <c r="B2259" t="s">
        <v>11108</v>
      </c>
      <c r="C2259" t="s">
        <v>11109</v>
      </c>
      <c r="D2259" t="s">
        <v>11110</v>
      </c>
      <c r="E2259">
        <v>15</v>
      </c>
      <c r="F2259" t="s">
        <v>11042</v>
      </c>
      <c r="G2259" t="s">
        <v>11079</v>
      </c>
      <c r="H2259" t="s">
        <v>11080</v>
      </c>
      <c r="I2259" t="s">
        <v>32</v>
      </c>
      <c r="J2259" t="s">
        <v>32</v>
      </c>
      <c r="K2259" t="s">
        <v>32</v>
      </c>
      <c r="L2259" t="s">
        <v>11081</v>
      </c>
      <c r="M2259">
        <v>0</v>
      </c>
      <c r="N2259" t="s">
        <v>53</v>
      </c>
      <c r="O2259" t="s">
        <v>53</v>
      </c>
      <c r="P2259" t="s">
        <v>53</v>
      </c>
      <c r="Q2259" t="s">
        <v>53</v>
      </c>
      <c r="R2259" t="s">
        <v>53</v>
      </c>
      <c r="S2259" t="s">
        <v>11082</v>
      </c>
      <c r="T2259" t="s">
        <v>11100</v>
      </c>
      <c r="U2259" t="s">
        <v>54</v>
      </c>
      <c r="V2259" t="s">
        <v>11084</v>
      </c>
      <c r="W2259">
        <v>216600</v>
      </c>
      <c r="X2259" t="s">
        <v>54</v>
      </c>
      <c r="Y2259" t="s">
        <v>32</v>
      </c>
      <c r="Z2259">
        <v>0</v>
      </c>
      <c r="AB2259">
        <v>86</v>
      </c>
      <c r="AC2259">
        <v>84</v>
      </c>
      <c r="AD2259">
        <v>187</v>
      </c>
      <c r="AE2259">
        <v>271</v>
      </c>
      <c r="AF2259">
        <v>0</v>
      </c>
      <c r="AG2259">
        <v>0</v>
      </c>
      <c r="AH2259">
        <v>8.0043296813964844</v>
      </c>
      <c r="AI2259">
        <v>0</v>
      </c>
      <c r="AJ2259">
        <v>0</v>
      </c>
      <c r="AK2259" t="s">
        <v>54</v>
      </c>
      <c r="AL2259" t="s">
        <v>53</v>
      </c>
      <c r="AM2259" t="s">
        <v>32</v>
      </c>
      <c r="AP2259" t="s">
        <v>32</v>
      </c>
      <c r="AQ2259" t="s">
        <v>53</v>
      </c>
      <c r="AR2259" t="s">
        <v>32</v>
      </c>
      <c r="AT2259" t="s">
        <v>2805</v>
      </c>
      <c r="AV2259" t="s">
        <v>32</v>
      </c>
      <c r="AW2259" t="s">
        <v>54</v>
      </c>
      <c r="AX2259" t="s">
        <v>32</v>
      </c>
      <c r="AZ2259" t="s">
        <v>54</v>
      </c>
      <c r="BA2259" t="s">
        <v>11050</v>
      </c>
    </row>
    <row r="2260" spans="1:53" x14ac:dyDescent="0.25">
      <c r="A2260">
        <v>2255</v>
      </c>
      <c r="B2260" t="s">
        <v>11111</v>
      </c>
      <c r="C2260" t="s">
        <v>11112</v>
      </c>
      <c r="D2260" t="s">
        <v>11113</v>
      </c>
      <c r="E2260">
        <v>15</v>
      </c>
      <c r="F2260" t="s">
        <v>11042</v>
      </c>
      <c r="G2260" t="s">
        <v>11079</v>
      </c>
      <c r="H2260" t="s">
        <v>11080</v>
      </c>
      <c r="I2260" t="s">
        <v>32</v>
      </c>
      <c r="J2260" t="s">
        <v>32</v>
      </c>
      <c r="K2260" t="s">
        <v>32</v>
      </c>
      <c r="L2260" t="s">
        <v>11081</v>
      </c>
      <c r="M2260">
        <v>0</v>
      </c>
      <c r="N2260" t="s">
        <v>53</v>
      </c>
      <c r="O2260" t="s">
        <v>53</v>
      </c>
      <c r="P2260" t="s">
        <v>53</v>
      </c>
      <c r="Q2260" t="s">
        <v>53</v>
      </c>
      <c r="R2260" t="s">
        <v>53</v>
      </c>
      <c r="S2260" t="s">
        <v>11082</v>
      </c>
      <c r="T2260" t="s">
        <v>11100</v>
      </c>
      <c r="U2260" t="s">
        <v>54</v>
      </c>
      <c r="V2260" t="s">
        <v>11084</v>
      </c>
      <c r="W2260">
        <v>454050</v>
      </c>
      <c r="X2260" t="s">
        <v>54</v>
      </c>
      <c r="Y2260" t="s">
        <v>32</v>
      </c>
      <c r="Z2260">
        <v>0</v>
      </c>
      <c r="AB2260">
        <v>5</v>
      </c>
      <c r="AC2260">
        <v>3</v>
      </c>
      <c r="AD2260">
        <v>10</v>
      </c>
      <c r="AE2260">
        <v>13</v>
      </c>
      <c r="AF2260">
        <v>0</v>
      </c>
      <c r="AG2260">
        <v>0</v>
      </c>
      <c r="AH2260">
        <v>8.2773399353027344</v>
      </c>
      <c r="AI2260">
        <v>0</v>
      </c>
      <c r="AJ2260">
        <v>0</v>
      </c>
      <c r="AK2260" t="s">
        <v>54</v>
      </c>
      <c r="AL2260" t="s">
        <v>53</v>
      </c>
      <c r="AM2260" t="s">
        <v>32</v>
      </c>
      <c r="AP2260" t="s">
        <v>32</v>
      </c>
      <c r="AQ2260" t="s">
        <v>53</v>
      </c>
      <c r="AR2260" t="s">
        <v>32</v>
      </c>
      <c r="AT2260" t="s">
        <v>2805</v>
      </c>
      <c r="AV2260" t="s">
        <v>32</v>
      </c>
      <c r="AW2260" t="s">
        <v>54</v>
      </c>
      <c r="AX2260" t="s">
        <v>32</v>
      </c>
      <c r="AZ2260" t="s">
        <v>54</v>
      </c>
      <c r="BA2260" t="s">
        <v>11050</v>
      </c>
    </row>
    <row r="2261" spans="1:53" x14ac:dyDescent="0.25">
      <c r="A2261">
        <v>2256</v>
      </c>
      <c r="B2261" t="s">
        <v>11114</v>
      </c>
      <c r="C2261" t="s">
        <v>11115</v>
      </c>
      <c r="D2261" t="s">
        <v>11116</v>
      </c>
      <c r="E2261">
        <v>15</v>
      </c>
      <c r="F2261" t="s">
        <v>11042</v>
      </c>
      <c r="G2261" t="s">
        <v>11079</v>
      </c>
      <c r="H2261" t="s">
        <v>11080</v>
      </c>
      <c r="I2261" t="s">
        <v>32</v>
      </c>
      <c r="J2261" t="s">
        <v>32</v>
      </c>
      <c r="K2261" t="s">
        <v>32</v>
      </c>
      <c r="L2261" t="s">
        <v>11081</v>
      </c>
      <c r="M2261">
        <v>0</v>
      </c>
      <c r="N2261" t="s">
        <v>53</v>
      </c>
      <c r="O2261" t="s">
        <v>53</v>
      </c>
      <c r="P2261" t="s">
        <v>53</v>
      </c>
      <c r="Q2261" t="s">
        <v>53</v>
      </c>
      <c r="R2261" t="s">
        <v>53</v>
      </c>
      <c r="S2261" t="s">
        <v>11082</v>
      </c>
      <c r="T2261" t="s">
        <v>11083</v>
      </c>
      <c r="U2261" t="s">
        <v>54</v>
      </c>
      <c r="V2261" t="s">
        <v>11084</v>
      </c>
      <c r="W2261">
        <v>143550</v>
      </c>
      <c r="X2261" t="s">
        <v>54</v>
      </c>
      <c r="Y2261" t="s">
        <v>32</v>
      </c>
      <c r="Z2261">
        <v>0</v>
      </c>
      <c r="AB2261">
        <v>5</v>
      </c>
      <c r="AC2261">
        <v>3</v>
      </c>
      <c r="AD2261">
        <v>9</v>
      </c>
      <c r="AE2261">
        <v>12</v>
      </c>
      <c r="AF2261">
        <v>0</v>
      </c>
      <c r="AG2261">
        <v>0</v>
      </c>
      <c r="AH2261">
        <v>0</v>
      </c>
      <c r="AI2261">
        <v>0</v>
      </c>
      <c r="AJ2261">
        <v>0</v>
      </c>
      <c r="AK2261" t="s">
        <v>54</v>
      </c>
      <c r="AL2261" t="s">
        <v>53</v>
      </c>
      <c r="AM2261" t="s">
        <v>32</v>
      </c>
      <c r="AP2261" t="s">
        <v>32</v>
      </c>
      <c r="AQ2261" t="s">
        <v>53</v>
      </c>
      <c r="AR2261" t="s">
        <v>32</v>
      </c>
      <c r="AT2261" t="s">
        <v>2805</v>
      </c>
      <c r="AV2261" t="s">
        <v>32</v>
      </c>
      <c r="AW2261" t="s">
        <v>54</v>
      </c>
      <c r="AX2261" t="s">
        <v>32</v>
      </c>
      <c r="AZ2261" t="s">
        <v>54</v>
      </c>
      <c r="BA2261" t="s">
        <v>11050</v>
      </c>
    </row>
    <row r="2262" spans="1:53" x14ac:dyDescent="0.25">
      <c r="A2262">
        <v>2257</v>
      </c>
      <c r="B2262" t="s">
        <v>11117</v>
      </c>
      <c r="C2262" t="s">
        <v>11118</v>
      </c>
      <c r="D2262" t="s">
        <v>11119</v>
      </c>
      <c r="E2262">
        <v>15</v>
      </c>
      <c r="F2262" t="s">
        <v>11042</v>
      </c>
      <c r="G2262" t="s">
        <v>11120</v>
      </c>
      <c r="H2262" t="s">
        <v>11121</v>
      </c>
      <c r="I2262" t="s">
        <v>32</v>
      </c>
      <c r="J2262" t="s">
        <v>11122</v>
      </c>
      <c r="K2262" t="s">
        <v>32</v>
      </c>
      <c r="L2262" t="s">
        <v>11046</v>
      </c>
      <c r="M2262">
        <v>0</v>
      </c>
      <c r="N2262" t="s">
        <v>54</v>
      </c>
      <c r="O2262" t="s">
        <v>53</v>
      </c>
      <c r="P2262" t="s">
        <v>54</v>
      </c>
      <c r="Q2262" t="s">
        <v>53</v>
      </c>
      <c r="R2262" t="s">
        <v>53</v>
      </c>
      <c r="S2262" t="s">
        <v>11123</v>
      </c>
      <c r="T2262" t="s">
        <v>11124</v>
      </c>
      <c r="U2262" t="s">
        <v>54</v>
      </c>
      <c r="V2262" t="s">
        <v>11084</v>
      </c>
      <c r="W2262">
        <v>19800</v>
      </c>
      <c r="X2262" t="s">
        <v>54</v>
      </c>
      <c r="Y2262" t="s">
        <v>32</v>
      </c>
      <c r="Z2262">
        <v>0</v>
      </c>
      <c r="AB2262">
        <v>21</v>
      </c>
      <c r="AC2262">
        <v>159</v>
      </c>
      <c r="AD2262">
        <v>39</v>
      </c>
      <c r="AE2262">
        <v>198</v>
      </c>
      <c r="AF2262">
        <v>0</v>
      </c>
      <c r="AG2262">
        <v>0</v>
      </c>
      <c r="AH2262">
        <v>2.2694399356842041</v>
      </c>
      <c r="AI2262">
        <v>0</v>
      </c>
      <c r="AJ2262">
        <v>0</v>
      </c>
      <c r="AK2262" t="s">
        <v>54</v>
      </c>
      <c r="AL2262" t="s">
        <v>53</v>
      </c>
      <c r="AM2262" t="s">
        <v>32</v>
      </c>
      <c r="AP2262" t="s">
        <v>32</v>
      </c>
      <c r="AQ2262" t="s">
        <v>53</v>
      </c>
      <c r="AR2262" t="s">
        <v>32</v>
      </c>
      <c r="AT2262" t="s">
        <v>2805</v>
      </c>
      <c r="AV2262" t="s">
        <v>32</v>
      </c>
      <c r="AW2262" t="s">
        <v>54</v>
      </c>
      <c r="AX2262" t="s">
        <v>32</v>
      </c>
      <c r="AZ2262" t="s">
        <v>54</v>
      </c>
      <c r="BA2262" t="s">
        <v>11050</v>
      </c>
    </row>
    <row r="2263" spans="1:53" x14ac:dyDescent="0.25">
      <c r="A2263">
        <v>2258</v>
      </c>
      <c r="B2263" t="s">
        <v>11125</v>
      </c>
      <c r="C2263" t="s">
        <v>11126</v>
      </c>
      <c r="D2263" t="s">
        <v>11127</v>
      </c>
      <c r="E2263">
        <v>15</v>
      </c>
      <c r="F2263" t="s">
        <v>11042</v>
      </c>
      <c r="G2263" t="s">
        <v>11120</v>
      </c>
      <c r="H2263" t="s">
        <v>11121</v>
      </c>
      <c r="I2263" t="s">
        <v>32</v>
      </c>
      <c r="J2263" t="s">
        <v>11128</v>
      </c>
      <c r="K2263" t="s">
        <v>32</v>
      </c>
      <c r="L2263" t="s">
        <v>11054</v>
      </c>
      <c r="M2263">
        <v>0</v>
      </c>
      <c r="N2263" t="s">
        <v>54</v>
      </c>
      <c r="O2263" t="s">
        <v>53</v>
      </c>
      <c r="P2263" t="s">
        <v>54</v>
      </c>
      <c r="Q2263" t="s">
        <v>53</v>
      </c>
      <c r="R2263" t="s">
        <v>53</v>
      </c>
      <c r="S2263" t="s">
        <v>11129</v>
      </c>
      <c r="T2263" t="s">
        <v>11130</v>
      </c>
      <c r="U2263" t="s">
        <v>54</v>
      </c>
      <c r="V2263" t="s">
        <v>11084</v>
      </c>
      <c r="W2263">
        <v>92400</v>
      </c>
      <c r="X2263" t="s">
        <v>54</v>
      </c>
      <c r="Y2263" t="s">
        <v>32</v>
      </c>
      <c r="Z2263">
        <v>0</v>
      </c>
      <c r="AB2263">
        <v>38</v>
      </c>
      <c r="AC2263">
        <v>95</v>
      </c>
      <c r="AD2263">
        <v>89</v>
      </c>
      <c r="AE2263">
        <v>184</v>
      </c>
      <c r="AF2263">
        <v>0</v>
      </c>
      <c r="AG2263">
        <v>0</v>
      </c>
      <c r="AH2263">
        <v>6.8506898880004883</v>
      </c>
      <c r="AI2263">
        <v>0</v>
      </c>
      <c r="AJ2263">
        <v>0</v>
      </c>
      <c r="AK2263" t="s">
        <v>54</v>
      </c>
      <c r="AL2263" t="s">
        <v>53</v>
      </c>
      <c r="AM2263" t="s">
        <v>32</v>
      </c>
      <c r="AP2263" t="s">
        <v>32</v>
      </c>
      <c r="AQ2263" t="s">
        <v>53</v>
      </c>
      <c r="AR2263" t="s">
        <v>32</v>
      </c>
      <c r="AT2263" t="s">
        <v>2805</v>
      </c>
      <c r="AV2263" t="s">
        <v>32</v>
      </c>
      <c r="AW2263" t="s">
        <v>54</v>
      </c>
      <c r="AX2263" t="s">
        <v>32</v>
      </c>
      <c r="AZ2263" t="s">
        <v>54</v>
      </c>
      <c r="BA2263" t="s">
        <v>11050</v>
      </c>
    </row>
    <row r="2264" spans="1:53" x14ac:dyDescent="0.25">
      <c r="A2264">
        <v>2259</v>
      </c>
      <c r="B2264" t="s">
        <v>11131</v>
      </c>
      <c r="C2264" t="s">
        <v>11132</v>
      </c>
      <c r="D2264" t="s">
        <v>11133</v>
      </c>
      <c r="E2264">
        <v>15</v>
      </c>
      <c r="F2264" t="s">
        <v>11042</v>
      </c>
      <c r="G2264" t="s">
        <v>11120</v>
      </c>
      <c r="H2264" t="s">
        <v>11121</v>
      </c>
      <c r="I2264" t="s">
        <v>32</v>
      </c>
      <c r="J2264" t="s">
        <v>11128</v>
      </c>
      <c r="K2264" t="s">
        <v>32</v>
      </c>
      <c r="L2264" t="s">
        <v>11054</v>
      </c>
      <c r="M2264">
        <v>0</v>
      </c>
      <c r="N2264" t="s">
        <v>54</v>
      </c>
      <c r="O2264" t="s">
        <v>53</v>
      </c>
      <c r="P2264" t="s">
        <v>54</v>
      </c>
      <c r="Q2264" t="s">
        <v>53</v>
      </c>
      <c r="R2264" t="s">
        <v>53</v>
      </c>
      <c r="S2264" t="s">
        <v>11129</v>
      </c>
      <c r="T2264" t="s">
        <v>11134</v>
      </c>
      <c r="U2264" t="s">
        <v>54</v>
      </c>
      <c r="V2264" t="s">
        <v>11084</v>
      </c>
      <c r="W2264">
        <v>184800</v>
      </c>
      <c r="X2264" t="s">
        <v>54</v>
      </c>
      <c r="Y2264" t="s">
        <v>32</v>
      </c>
      <c r="Z2264">
        <v>0</v>
      </c>
      <c r="AB2264">
        <v>0</v>
      </c>
      <c r="AC2264">
        <v>0</v>
      </c>
      <c r="AD2264">
        <v>0</v>
      </c>
      <c r="AE2264">
        <v>0</v>
      </c>
      <c r="AF2264">
        <v>0</v>
      </c>
      <c r="AG2264">
        <v>0</v>
      </c>
      <c r="AH2264">
        <v>0.1320340037345886</v>
      </c>
      <c r="AI2264">
        <v>0</v>
      </c>
      <c r="AJ2264">
        <v>0</v>
      </c>
      <c r="AK2264" t="s">
        <v>54</v>
      </c>
      <c r="AL2264" t="s">
        <v>53</v>
      </c>
      <c r="AM2264" t="s">
        <v>32</v>
      </c>
      <c r="AP2264" t="s">
        <v>32</v>
      </c>
      <c r="AQ2264" t="s">
        <v>53</v>
      </c>
      <c r="AR2264" t="s">
        <v>32</v>
      </c>
      <c r="AT2264" t="s">
        <v>2805</v>
      </c>
      <c r="AV2264" t="s">
        <v>32</v>
      </c>
      <c r="AW2264" t="s">
        <v>54</v>
      </c>
      <c r="AX2264" t="s">
        <v>32</v>
      </c>
      <c r="AZ2264" t="s">
        <v>54</v>
      </c>
      <c r="BA2264" t="s">
        <v>11050</v>
      </c>
    </row>
    <row r="2265" spans="1:53" x14ac:dyDescent="0.25">
      <c r="A2265">
        <v>2260</v>
      </c>
      <c r="B2265" t="s">
        <v>11135</v>
      </c>
      <c r="C2265" t="s">
        <v>11136</v>
      </c>
      <c r="D2265" t="s">
        <v>11137</v>
      </c>
      <c r="E2265">
        <v>15</v>
      </c>
      <c r="F2265" t="s">
        <v>11042</v>
      </c>
      <c r="G2265" t="s">
        <v>11120</v>
      </c>
      <c r="H2265" t="s">
        <v>11121</v>
      </c>
      <c r="I2265" t="s">
        <v>32</v>
      </c>
      <c r="J2265" t="s">
        <v>11128</v>
      </c>
      <c r="K2265" t="s">
        <v>32</v>
      </c>
      <c r="L2265" t="s">
        <v>11054</v>
      </c>
      <c r="M2265">
        <v>0</v>
      </c>
      <c r="N2265" t="s">
        <v>54</v>
      </c>
      <c r="O2265" t="s">
        <v>53</v>
      </c>
      <c r="P2265" t="s">
        <v>54</v>
      </c>
      <c r="Q2265" t="s">
        <v>53</v>
      </c>
      <c r="R2265" t="s">
        <v>53</v>
      </c>
      <c r="S2265" t="s">
        <v>11129</v>
      </c>
      <c r="T2265" t="s">
        <v>11138</v>
      </c>
      <c r="U2265" t="s">
        <v>54</v>
      </c>
      <c r="V2265" t="s">
        <v>11084</v>
      </c>
      <c r="W2265">
        <v>9240</v>
      </c>
      <c r="X2265" t="s">
        <v>54</v>
      </c>
      <c r="Y2265" t="s">
        <v>32</v>
      </c>
      <c r="Z2265">
        <v>0</v>
      </c>
      <c r="AB2265">
        <v>5</v>
      </c>
      <c r="AC2265">
        <v>5</v>
      </c>
      <c r="AD2265">
        <v>13</v>
      </c>
      <c r="AE2265">
        <v>18</v>
      </c>
      <c r="AF2265">
        <v>0</v>
      </c>
      <c r="AG2265">
        <v>0</v>
      </c>
      <c r="AH2265">
        <v>0.28176799416542048</v>
      </c>
      <c r="AI2265">
        <v>0</v>
      </c>
      <c r="AJ2265">
        <v>0</v>
      </c>
      <c r="AK2265" t="s">
        <v>54</v>
      </c>
      <c r="AL2265" t="s">
        <v>53</v>
      </c>
      <c r="AM2265" t="s">
        <v>32</v>
      </c>
      <c r="AP2265" t="s">
        <v>32</v>
      </c>
      <c r="AQ2265" t="s">
        <v>53</v>
      </c>
      <c r="AR2265" t="s">
        <v>32</v>
      </c>
      <c r="AT2265" t="s">
        <v>2805</v>
      </c>
      <c r="AV2265" t="s">
        <v>32</v>
      </c>
      <c r="AW2265" t="s">
        <v>54</v>
      </c>
      <c r="AX2265" t="s">
        <v>32</v>
      </c>
      <c r="AZ2265" t="s">
        <v>54</v>
      </c>
      <c r="BA2265" t="s">
        <v>11050</v>
      </c>
    </row>
    <row r="2266" spans="1:53" x14ac:dyDescent="0.25">
      <c r="A2266">
        <v>2261</v>
      </c>
      <c r="B2266" t="s">
        <v>11139</v>
      </c>
      <c r="C2266" t="s">
        <v>11140</v>
      </c>
      <c r="D2266" t="s">
        <v>11141</v>
      </c>
      <c r="E2266">
        <v>15</v>
      </c>
      <c r="F2266" t="s">
        <v>11042</v>
      </c>
      <c r="G2266" t="s">
        <v>11120</v>
      </c>
      <c r="H2266" t="s">
        <v>11121</v>
      </c>
      <c r="I2266" t="s">
        <v>32</v>
      </c>
      <c r="J2266" t="s">
        <v>11128</v>
      </c>
      <c r="K2266" t="s">
        <v>32</v>
      </c>
      <c r="L2266" t="s">
        <v>11142</v>
      </c>
      <c r="M2266">
        <v>0</v>
      </c>
      <c r="N2266" t="s">
        <v>54</v>
      </c>
      <c r="O2266" t="s">
        <v>53</v>
      </c>
      <c r="P2266" t="s">
        <v>54</v>
      </c>
      <c r="Q2266" t="s">
        <v>53</v>
      </c>
      <c r="R2266" t="s">
        <v>53</v>
      </c>
      <c r="S2266" t="s">
        <v>11129</v>
      </c>
      <c r="T2266" t="s">
        <v>11143</v>
      </c>
      <c r="U2266" t="s">
        <v>54</v>
      </c>
      <c r="V2266" t="s">
        <v>11084</v>
      </c>
      <c r="W2266">
        <v>27720</v>
      </c>
      <c r="X2266" t="s">
        <v>54</v>
      </c>
      <c r="Y2266" t="s">
        <v>32</v>
      </c>
      <c r="Z2266">
        <v>0</v>
      </c>
      <c r="AB2266">
        <v>9</v>
      </c>
      <c r="AC2266">
        <v>6</v>
      </c>
      <c r="AD2266">
        <v>19</v>
      </c>
      <c r="AE2266">
        <v>25</v>
      </c>
      <c r="AF2266">
        <v>0</v>
      </c>
      <c r="AG2266">
        <v>0</v>
      </c>
      <c r="AH2266">
        <v>0.15513500571250921</v>
      </c>
      <c r="AI2266">
        <v>0</v>
      </c>
      <c r="AJ2266">
        <v>0</v>
      </c>
      <c r="AK2266" t="s">
        <v>54</v>
      </c>
      <c r="AL2266" t="s">
        <v>53</v>
      </c>
      <c r="AM2266" t="s">
        <v>32</v>
      </c>
      <c r="AP2266" t="s">
        <v>32</v>
      </c>
      <c r="AQ2266" t="s">
        <v>53</v>
      </c>
      <c r="AR2266" t="s">
        <v>32</v>
      </c>
      <c r="AT2266" t="s">
        <v>2805</v>
      </c>
      <c r="AV2266" t="s">
        <v>32</v>
      </c>
      <c r="AW2266" t="s">
        <v>54</v>
      </c>
      <c r="AX2266" t="s">
        <v>32</v>
      </c>
      <c r="AZ2266" t="s">
        <v>54</v>
      </c>
      <c r="BA2266" t="s">
        <v>11050</v>
      </c>
    </row>
    <row r="2267" spans="1:53" x14ac:dyDescent="0.25">
      <c r="A2267">
        <v>2262</v>
      </c>
      <c r="B2267" t="s">
        <v>11144</v>
      </c>
      <c r="C2267" t="s">
        <v>11145</v>
      </c>
      <c r="D2267" t="s">
        <v>11146</v>
      </c>
      <c r="E2267">
        <v>15</v>
      </c>
      <c r="F2267" t="s">
        <v>11042</v>
      </c>
      <c r="G2267" t="s">
        <v>11120</v>
      </c>
      <c r="H2267" t="s">
        <v>11121</v>
      </c>
      <c r="I2267" t="s">
        <v>32</v>
      </c>
      <c r="J2267" t="s">
        <v>11122</v>
      </c>
      <c r="K2267" t="s">
        <v>32</v>
      </c>
      <c r="L2267" t="s">
        <v>11054</v>
      </c>
      <c r="M2267">
        <v>0</v>
      </c>
      <c r="N2267" t="s">
        <v>54</v>
      </c>
      <c r="O2267" t="s">
        <v>53</v>
      </c>
      <c r="P2267" t="s">
        <v>54</v>
      </c>
      <c r="Q2267" t="s">
        <v>53</v>
      </c>
      <c r="R2267" t="s">
        <v>53</v>
      </c>
      <c r="S2267" t="s">
        <v>11147</v>
      </c>
      <c r="T2267" t="s">
        <v>11148</v>
      </c>
      <c r="U2267" t="s">
        <v>54</v>
      </c>
      <c r="V2267" t="s">
        <v>11084</v>
      </c>
      <c r="W2267">
        <v>924000</v>
      </c>
      <c r="X2267" t="s">
        <v>54</v>
      </c>
      <c r="Y2267" t="s">
        <v>32</v>
      </c>
      <c r="Z2267">
        <v>0</v>
      </c>
      <c r="AB2267">
        <v>25</v>
      </c>
      <c r="AC2267">
        <v>33</v>
      </c>
      <c r="AD2267">
        <v>50</v>
      </c>
      <c r="AE2267">
        <v>83</v>
      </c>
      <c r="AF2267">
        <v>0</v>
      </c>
      <c r="AG2267">
        <v>0</v>
      </c>
      <c r="AH2267">
        <v>0.45812198519706732</v>
      </c>
      <c r="AI2267">
        <v>0</v>
      </c>
      <c r="AJ2267">
        <v>0</v>
      </c>
      <c r="AK2267" t="s">
        <v>54</v>
      </c>
      <c r="AL2267" t="s">
        <v>53</v>
      </c>
      <c r="AM2267" t="s">
        <v>32</v>
      </c>
      <c r="AP2267" t="s">
        <v>32</v>
      </c>
      <c r="AQ2267" t="s">
        <v>53</v>
      </c>
      <c r="AR2267" t="s">
        <v>32</v>
      </c>
      <c r="AT2267" t="s">
        <v>2805</v>
      </c>
      <c r="AV2267" t="s">
        <v>32</v>
      </c>
      <c r="AW2267" t="s">
        <v>54</v>
      </c>
      <c r="AX2267" t="s">
        <v>32</v>
      </c>
      <c r="AZ2267" t="s">
        <v>54</v>
      </c>
      <c r="BA2267" t="s">
        <v>11050</v>
      </c>
    </row>
    <row r="2268" spans="1:53" x14ac:dyDescent="0.25">
      <c r="A2268">
        <v>2263</v>
      </c>
      <c r="B2268" t="s">
        <v>11149</v>
      </c>
      <c r="C2268" t="s">
        <v>11150</v>
      </c>
      <c r="D2268" t="s">
        <v>11151</v>
      </c>
      <c r="E2268">
        <v>15</v>
      </c>
      <c r="F2268" t="s">
        <v>11042</v>
      </c>
      <c r="G2268" t="s">
        <v>11120</v>
      </c>
      <c r="H2268" t="s">
        <v>11121</v>
      </c>
      <c r="I2268" t="s">
        <v>32</v>
      </c>
      <c r="J2268" t="s">
        <v>11122</v>
      </c>
      <c r="K2268" t="s">
        <v>32</v>
      </c>
      <c r="L2268" t="s">
        <v>11054</v>
      </c>
      <c r="M2268">
        <v>0</v>
      </c>
      <c r="N2268" t="s">
        <v>54</v>
      </c>
      <c r="O2268" t="s">
        <v>53</v>
      </c>
      <c r="P2268" t="s">
        <v>54</v>
      </c>
      <c r="Q2268" t="s">
        <v>53</v>
      </c>
      <c r="R2268" t="s">
        <v>53</v>
      </c>
      <c r="S2268" t="s">
        <v>11147</v>
      </c>
      <c r="T2268" t="s">
        <v>11148</v>
      </c>
      <c r="U2268" t="s">
        <v>54</v>
      </c>
      <c r="V2268" t="s">
        <v>11084</v>
      </c>
      <c r="W2268">
        <v>92400</v>
      </c>
      <c r="X2268" t="s">
        <v>54</v>
      </c>
      <c r="Y2268" t="s">
        <v>32</v>
      </c>
      <c r="Z2268">
        <v>0</v>
      </c>
      <c r="AB2268">
        <v>2</v>
      </c>
      <c r="AC2268">
        <v>3</v>
      </c>
      <c r="AD2268">
        <v>4</v>
      </c>
      <c r="AE2268">
        <v>7</v>
      </c>
      <c r="AF2268">
        <v>0</v>
      </c>
      <c r="AG2268">
        <v>0</v>
      </c>
      <c r="AH2268">
        <v>0.35135200619697571</v>
      </c>
      <c r="AI2268">
        <v>0</v>
      </c>
      <c r="AJ2268">
        <v>0</v>
      </c>
      <c r="AK2268" t="s">
        <v>54</v>
      </c>
      <c r="AL2268" t="s">
        <v>53</v>
      </c>
      <c r="AM2268" t="s">
        <v>32</v>
      </c>
      <c r="AP2268" t="s">
        <v>32</v>
      </c>
      <c r="AQ2268" t="s">
        <v>53</v>
      </c>
      <c r="AR2268" t="s">
        <v>32</v>
      </c>
      <c r="AT2268" t="s">
        <v>2805</v>
      </c>
      <c r="AV2268" t="s">
        <v>32</v>
      </c>
      <c r="AW2268" t="s">
        <v>54</v>
      </c>
      <c r="AX2268" t="s">
        <v>32</v>
      </c>
      <c r="AZ2268" t="s">
        <v>54</v>
      </c>
      <c r="BA2268" t="s">
        <v>11050</v>
      </c>
    </row>
    <row r="2269" spans="1:53" x14ac:dyDescent="0.25">
      <c r="A2269">
        <v>2264</v>
      </c>
      <c r="B2269" t="s">
        <v>11152</v>
      </c>
      <c r="C2269" t="s">
        <v>11153</v>
      </c>
      <c r="D2269" t="s">
        <v>11154</v>
      </c>
      <c r="E2269">
        <v>15</v>
      </c>
      <c r="F2269" t="s">
        <v>11042</v>
      </c>
      <c r="G2269" t="s">
        <v>11120</v>
      </c>
      <c r="H2269" t="s">
        <v>11121</v>
      </c>
      <c r="I2269" t="s">
        <v>32</v>
      </c>
      <c r="J2269" t="s">
        <v>11122</v>
      </c>
      <c r="K2269" t="s">
        <v>32</v>
      </c>
      <c r="L2269" t="s">
        <v>11054</v>
      </c>
      <c r="M2269">
        <v>0</v>
      </c>
      <c r="N2269" t="s">
        <v>54</v>
      </c>
      <c r="O2269" t="s">
        <v>53</v>
      </c>
      <c r="P2269" t="s">
        <v>54</v>
      </c>
      <c r="Q2269" t="s">
        <v>53</v>
      </c>
      <c r="R2269" t="s">
        <v>53</v>
      </c>
      <c r="S2269" t="s">
        <v>11147</v>
      </c>
      <c r="T2269" t="s">
        <v>11148</v>
      </c>
      <c r="U2269" t="s">
        <v>54</v>
      </c>
      <c r="V2269" t="s">
        <v>11084</v>
      </c>
      <c r="W2269">
        <v>92400</v>
      </c>
      <c r="X2269" t="s">
        <v>54</v>
      </c>
      <c r="Y2269" t="s">
        <v>32</v>
      </c>
      <c r="Z2269">
        <v>0</v>
      </c>
      <c r="AB2269">
        <v>1</v>
      </c>
      <c r="AC2269">
        <v>1</v>
      </c>
      <c r="AD2269">
        <v>1</v>
      </c>
      <c r="AE2269">
        <v>2</v>
      </c>
      <c r="AF2269">
        <v>0</v>
      </c>
      <c r="AG2269">
        <v>0</v>
      </c>
      <c r="AH2269">
        <v>0.35135200619697571</v>
      </c>
      <c r="AI2269">
        <v>0</v>
      </c>
      <c r="AJ2269">
        <v>0</v>
      </c>
      <c r="AK2269" t="s">
        <v>54</v>
      </c>
      <c r="AL2269" t="s">
        <v>53</v>
      </c>
      <c r="AM2269" t="s">
        <v>32</v>
      </c>
      <c r="AP2269" t="s">
        <v>32</v>
      </c>
      <c r="AQ2269" t="s">
        <v>53</v>
      </c>
      <c r="AR2269" t="s">
        <v>32</v>
      </c>
      <c r="AT2269" t="s">
        <v>2805</v>
      </c>
      <c r="AV2269" t="s">
        <v>32</v>
      </c>
      <c r="AW2269" t="s">
        <v>54</v>
      </c>
      <c r="AX2269" t="s">
        <v>32</v>
      </c>
      <c r="AZ2269" t="s">
        <v>54</v>
      </c>
      <c r="BA2269" t="s">
        <v>11050</v>
      </c>
    </row>
    <row r="2270" spans="1:53" x14ac:dyDescent="0.25">
      <c r="A2270">
        <v>2265</v>
      </c>
      <c r="B2270" t="s">
        <v>11155</v>
      </c>
      <c r="C2270" t="s">
        <v>11156</v>
      </c>
      <c r="D2270" t="s">
        <v>11157</v>
      </c>
      <c r="E2270">
        <v>15</v>
      </c>
      <c r="F2270" t="s">
        <v>11042</v>
      </c>
      <c r="G2270" t="s">
        <v>11120</v>
      </c>
      <c r="H2270" t="s">
        <v>11121</v>
      </c>
      <c r="I2270" t="s">
        <v>32</v>
      </c>
      <c r="J2270" t="s">
        <v>11122</v>
      </c>
      <c r="K2270" t="s">
        <v>32</v>
      </c>
      <c r="L2270" t="s">
        <v>11054</v>
      </c>
      <c r="M2270">
        <v>0</v>
      </c>
      <c r="N2270" t="s">
        <v>54</v>
      </c>
      <c r="O2270" t="s">
        <v>53</v>
      </c>
      <c r="P2270" t="s">
        <v>54</v>
      </c>
      <c r="Q2270" t="s">
        <v>53</v>
      </c>
      <c r="R2270" t="s">
        <v>53</v>
      </c>
      <c r="S2270" t="s">
        <v>11147</v>
      </c>
      <c r="T2270" t="s">
        <v>11148</v>
      </c>
      <c r="U2270" t="s">
        <v>54</v>
      </c>
      <c r="V2270" t="s">
        <v>11084</v>
      </c>
      <c r="W2270">
        <v>18480</v>
      </c>
      <c r="X2270" t="s">
        <v>54</v>
      </c>
      <c r="Y2270" t="s">
        <v>32</v>
      </c>
      <c r="Z2270">
        <v>0</v>
      </c>
      <c r="AB2270">
        <v>0</v>
      </c>
      <c r="AC2270">
        <v>0</v>
      </c>
      <c r="AD2270">
        <v>0</v>
      </c>
      <c r="AE2270">
        <v>0</v>
      </c>
      <c r="AF2270">
        <v>0</v>
      </c>
      <c r="AG2270">
        <v>0</v>
      </c>
      <c r="AH2270">
        <v>0</v>
      </c>
      <c r="AI2270">
        <v>0</v>
      </c>
      <c r="AJ2270">
        <v>0</v>
      </c>
      <c r="AK2270" t="s">
        <v>54</v>
      </c>
      <c r="AL2270" t="s">
        <v>53</v>
      </c>
      <c r="AM2270" t="s">
        <v>32</v>
      </c>
      <c r="AP2270" t="s">
        <v>32</v>
      </c>
      <c r="AQ2270" t="s">
        <v>53</v>
      </c>
      <c r="AR2270" t="s">
        <v>32</v>
      </c>
      <c r="AT2270" t="s">
        <v>2805</v>
      </c>
      <c r="AV2270" t="s">
        <v>32</v>
      </c>
      <c r="AW2270" t="s">
        <v>54</v>
      </c>
      <c r="AX2270" t="s">
        <v>32</v>
      </c>
      <c r="AZ2270" t="s">
        <v>54</v>
      </c>
      <c r="BA2270" t="s">
        <v>11050</v>
      </c>
    </row>
    <row r="2271" spans="1:53" x14ac:dyDescent="0.25">
      <c r="A2271">
        <v>2266</v>
      </c>
      <c r="B2271" t="s">
        <v>11158</v>
      </c>
      <c r="C2271" t="s">
        <v>11159</v>
      </c>
      <c r="D2271" t="s">
        <v>11160</v>
      </c>
      <c r="E2271">
        <v>15</v>
      </c>
      <c r="F2271" t="s">
        <v>11042</v>
      </c>
      <c r="G2271" t="s">
        <v>11120</v>
      </c>
      <c r="H2271" t="s">
        <v>11121</v>
      </c>
      <c r="I2271" t="s">
        <v>32</v>
      </c>
      <c r="J2271" t="s">
        <v>11122</v>
      </c>
      <c r="K2271" t="s">
        <v>32</v>
      </c>
      <c r="L2271" t="s">
        <v>11054</v>
      </c>
      <c r="M2271">
        <v>0</v>
      </c>
      <c r="N2271" t="s">
        <v>54</v>
      </c>
      <c r="O2271" t="s">
        <v>53</v>
      </c>
      <c r="P2271" t="s">
        <v>54</v>
      </c>
      <c r="Q2271" t="s">
        <v>53</v>
      </c>
      <c r="R2271" t="s">
        <v>53</v>
      </c>
      <c r="S2271" t="s">
        <v>11147</v>
      </c>
      <c r="T2271" t="s">
        <v>11161</v>
      </c>
      <c r="U2271" t="s">
        <v>54</v>
      </c>
      <c r="V2271" t="s">
        <v>11084</v>
      </c>
      <c r="W2271">
        <v>924000</v>
      </c>
      <c r="X2271" t="s">
        <v>54</v>
      </c>
      <c r="Y2271" t="s">
        <v>32</v>
      </c>
      <c r="Z2271">
        <v>0</v>
      </c>
      <c r="AB2271">
        <v>21</v>
      </c>
      <c r="AC2271">
        <v>25</v>
      </c>
      <c r="AD2271">
        <v>40</v>
      </c>
      <c r="AE2271">
        <v>65</v>
      </c>
      <c r="AF2271">
        <v>0</v>
      </c>
      <c r="AG2271">
        <v>0</v>
      </c>
      <c r="AH2271">
        <v>0.45812198519706732</v>
      </c>
      <c r="AI2271">
        <v>0</v>
      </c>
      <c r="AJ2271">
        <v>0</v>
      </c>
      <c r="AK2271" t="s">
        <v>54</v>
      </c>
      <c r="AL2271" t="s">
        <v>53</v>
      </c>
      <c r="AM2271" t="s">
        <v>32</v>
      </c>
      <c r="AP2271" t="s">
        <v>32</v>
      </c>
      <c r="AQ2271" t="s">
        <v>53</v>
      </c>
      <c r="AR2271" t="s">
        <v>32</v>
      </c>
      <c r="AT2271" t="s">
        <v>2805</v>
      </c>
      <c r="AV2271" t="s">
        <v>32</v>
      </c>
      <c r="AW2271" t="s">
        <v>54</v>
      </c>
      <c r="AX2271" t="s">
        <v>32</v>
      </c>
      <c r="AZ2271" t="s">
        <v>54</v>
      </c>
      <c r="BA2271" t="s">
        <v>11050</v>
      </c>
    </row>
    <row r="2272" spans="1:53" x14ac:dyDescent="0.25">
      <c r="A2272">
        <v>2267</v>
      </c>
      <c r="B2272" t="s">
        <v>11162</v>
      </c>
      <c r="C2272" t="s">
        <v>11163</v>
      </c>
      <c r="D2272" t="s">
        <v>11164</v>
      </c>
      <c r="E2272">
        <v>15</v>
      </c>
      <c r="F2272" t="s">
        <v>11042</v>
      </c>
      <c r="G2272" t="s">
        <v>11120</v>
      </c>
      <c r="H2272" t="s">
        <v>11121</v>
      </c>
      <c r="I2272" t="s">
        <v>32</v>
      </c>
      <c r="J2272" t="s">
        <v>11122</v>
      </c>
      <c r="K2272" t="s">
        <v>32</v>
      </c>
      <c r="L2272" t="s">
        <v>11054</v>
      </c>
      <c r="M2272">
        <v>0</v>
      </c>
      <c r="N2272" t="s">
        <v>54</v>
      </c>
      <c r="O2272" t="s">
        <v>53</v>
      </c>
      <c r="P2272" t="s">
        <v>54</v>
      </c>
      <c r="Q2272" t="s">
        <v>53</v>
      </c>
      <c r="R2272" t="s">
        <v>53</v>
      </c>
      <c r="S2272" t="s">
        <v>11147</v>
      </c>
      <c r="T2272" t="s">
        <v>11148</v>
      </c>
      <c r="U2272" t="s">
        <v>54</v>
      </c>
      <c r="V2272" t="s">
        <v>11084</v>
      </c>
      <c r="W2272">
        <v>924000</v>
      </c>
      <c r="X2272" t="s">
        <v>54</v>
      </c>
      <c r="Y2272" t="s">
        <v>32</v>
      </c>
      <c r="Z2272">
        <v>0</v>
      </c>
      <c r="AB2272">
        <v>0</v>
      </c>
      <c r="AC2272">
        <v>0</v>
      </c>
      <c r="AD2272">
        <v>0</v>
      </c>
      <c r="AE2272">
        <v>0</v>
      </c>
      <c r="AF2272">
        <v>0</v>
      </c>
      <c r="AG2272">
        <v>0</v>
      </c>
      <c r="AH2272">
        <v>0</v>
      </c>
      <c r="AI2272">
        <v>0</v>
      </c>
      <c r="AJ2272">
        <v>0</v>
      </c>
      <c r="AK2272" t="s">
        <v>54</v>
      </c>
      <c r="AL2272" t="s">
        <v>53</v>
      </c>
      <c r="AM2272" t="s">
        <v>32</v>
      </c>
      <c r="AP2272" t="s">
        <v>32</v>
      </c>
      <c r="AQ2272" t="s">
        <v>53</v>
      </c>
      <c r="AR2272" t="s">
        <v>32</v>
      </c>
      <c r="AT2272" t="s">
        <v>2805</v>
      </c>
      <c r="AV2272" t="s">
        <v>32</v>
      </c>
      <c r="AW2272" t="s">
        <v>54</v>
      </c>
      <c r="AX2272" t="s">
        <v>32</v>
      </c>
      <c r="AZ2272" t="s">
        <v>54</v>
      </c>
      <c r="BA2272" t="s">
        <v>11050</v>
      </c>
    </row>
    <row r="2273" spans="1:53" x14ac:dyDescent="0.25">
      <c r="A2273">
        <v>2268</v>
      </c>
      <c r="B2273" t="s">
        <v>11165</v>
      </c>
      <c r="C2273" t="s">
        <v>11166</v>
      </c>
      <c r="D2273" t="s">
        <v>11167</v>
      </c>
      <c r="E2273">
        <v>15</v>
      </c>
      <c r="F2273" t="s">
        <v>11042</v>
      </c>
      <c r="G2273" t="s">
        <v>11120</v>
      </c>
      <c r="H2273" t="s">
        <v>11121</v>
      </c>
      <c r="I2273" t="s">
        <v>32</v>
      </c>
      <c r="J2273" t="s">
        <v>11122</v>
      </c>
      <c r="K2273" t="s">
        <v>32</v>
      </c>
      <c r="L2273" t="s">
        <v>11054</v>
      </c>
      <c r="M2273">
        <v>0</v>
      </c>
      <c r="N2273" t="s">
        <v>54</v>
      </c>
      <c r="O2273" t="s">
        <v>53</v>
      </c>
      <c r="P2273" t="s">
        <v>54</v>
      </c>
      <c r="Q2273" t="s">
        <v>53</v>
      </c>
      <c r="R2273" t="s">
        <v>53</v>
      </c>
      <c r="S2273" t="s">
        <v>11147</v>
      </c>
      <c r="T2273" t="s">
        <v>11148</v>
      </c>
      <c r="U2273" t="s">
        <v>54</v>
      </c>
      <c r="V2273" t="s">
        <v>11084</v>
      </c>
      <c r="W2273">
        <v>924000</v>
      </c>
      <c r="X2273" t="s">
        <v>54</v>
      </c>
      <c r="Y2273" t="s">
        <v>32</v>
      </c>
      <c r="Z2273">
        <v>0</v>
      </c>
      <c r="AB2273">
        <v>0</v>
      </c>
      <c r="AC2273">
        <v>0</v>
      </c>
      <c r="AD2273">
        <v>0</v>
      </c>
      <c r="AE2273">
        <v>0</v>
      </c>
      <c r="AF2273">
        <v>0</v>
      </c>
      <c r="AG2273">
        <v>0</v>
      </c>
      <c r="AH2273">
        <v>0</v>
      </c>
      <c r="AI2273">
        <v>0</v>
      </c>
      <c r="AJ2273">
        <v>0</v>
      </c>
      <c r="AK2273" t="s">
        <v>54</v>
      </c>
      <c r="AL2273" t="s">
        <v>53</v>
      </c>
      <c r="AM2273" t="s">
        <v>32</v>
      </c>
      <c r="AP2273" t="s">
        <v>32</v>
      </c>
      <c r="AQ2273" t="s">
        <v>53</v>
      </c>
      <c r="AR2273" t="s">
        <v>32</v>
      </c>
      <c r="AT2273" t="s">
        <v>2805</v>
      </c>
      <c r="AV2273" t="s">
        <v>32</v>
      </c>
      <c r="AW2273" t="s">
        <v>54</v>
      </c>
      <c r="AX2273" t="s">
        <v>32</v>
      </c>
      <c r="AZ2273" t="s">
        <v>54</v>
      </c>
      <c r="BA2273" t="s">
        <v>11050</v>
      </c>
    </row>
    <row r="2274" spans="1:53" x14ac:dyDescent="0.25">
      <c r="A2274">
        <v>2269</v>
      </c>
      <c r="B2274" t="s">
        <v>11168</v>
      </c>
      <c r="C2274" t="s">
        <v>11169</v>
      </c>
      <c r="D2274" t="s">
        <v>11170</v>
      </c>
      <c r="E2274">
        <v>15</v>
      </c>
      <c r="F2274" t="s">
        <v>11042</v>
      </c>
      <c r="G2274" t="s">
        <v>11120</v>
      </c>
      <c r="H2274" t="s">
        <v>11121</v>
      </c>
      <c r="I2274" t="s">
        <v>32</v>
      </c>
      <c r="J2274" t="s">
        <v>11122</v>
      </c>
      <c r="K2274" t="s">
        <v>32</v>
      </c>
      <c r="L2274" t="s">
        <v>11054</v>
      </c>
      <c r="M2274">
        <v>0</v>
      </c>
      <c r="N2274" t="s">
        <v>54</v>
      </c>
      <c r="O2274" t="s">
        <v>53</v>
      </c>
      <c r="P2274" t="s">
        <v>54</v>
      </c>
      <c r="Q2274" t="s">
        <v>53</v>
      </c>
      <c r="R2274" t="s">
        <v>53</v>
      </c>
      <c r="S2274" t="s">
        <v>11147</v>
      </c>
      <c r="T2274" t="s">
        <v>11171</v>
      </c>
      <c r="U2274" t="s">
        <v>54</v>
      </c>
      <c r="V2274" t="s">
        <v>11084</v>
      </c>
      <c r="W2274">
        <v>369600</v>
      </c>
      <c r="X2274" t="s">
        <v>54</v>
      </c>
      <c r="Y2274" t="s">
        <v>32</v>
      </c>
      <c r="Z2274">
        <v>0</v>
      </c>
      <c r="AB2274">
        <v>0</v>
      </c>
      <c r="AC2274">
        <v>0</v>
      </c>
      <c r="AD2274">
        <v>0</v>
      </c>
      <c r="AE2274">
        <v>0</v>
      </c>
      <c r="AF2274">
        <v>0</v>
      </c>
      <c r="AG2274">
        <v>0</v>
      </c>
      <c r="AH2274">
        <v>10.76070022583008</v>
      </c>
      <c r="AI2274">
        <v>0</v>
      </c>
      <c r="AJ2274">
        <v>0</v>
      </c>
      <c r="AK2274" t="s">
        <v>54</v>
      </c>
      <c r="AL2274" t="s">
        <v>53</v>
      </c>
      <c r="AM2274" t="s">
        <v>32</v>
      </c>
      <c r="AP2274" t="s">
        <v>32</v>
      </c>
      <c r="AQ2274" t="s">
        <v>53</v>
      </c>
      <c r="AR2274" t="s">
        <v>32</v>
      </c>
      <c r="AT2274" t="s">
        <v>2805</v>
      </c>
      <c r="AV2274" t="s">
        <v>32</v>
      </c>
      <c r="AW2274" t="s">
        <v>54</v>
      </c>
      <c r="AX2274" t="s">
        <v>32</v>
      </c>
      <c r="AZ2274" t="s">
        <v>54</v>
      </c>
      <c r="BA2274" t="s">
        <v>11050</v>
      </c>
    </row>
    <row r="2275" spans="1:53" x14ac:dyDescent="0.25">
      <c r="A2275">
        <v>2270</v>
      </c>
      <c r="B2275" t="s">
        <v>11172</v>
      </c>
      <c r="C2275" t="s">
        <v>11173</v>
      </c>
      <c r="D2275" t="s">
        <v>11174</v>
      </c>
      <c r="E2275">
        <v>15</v>
      </c>
      <c r="F2275" t="s">
        <v>11042</v>
      </c>
      <c r="G2275" t="s">
        <v>11120</v>
      </c>
      <c r="H2275" t="s">
        <v>11121</v>
      </c>
      <c r="I2275" t="s">
        <v>32</v>
      </c>
      <c r="J2275" t="s">
        <v>11122</v>
      </c>
      <c r="K2275" t="s">
        <v>32</v>
      </c>
      <c r="L2275" t="s">
        <v>11054</v>
      </c>
      <c r="M2275">
        <v>0</v>
      </c>
      <c r="N2275" t="s">
        <v>54</v>
      </c>
      <c r="O2275" t="s">
        <v>53</v>
      </c>
      <c r="P2275" t="s">
        <v>54</v>
      </c>
      <c r="Q2275" t="s">
        <v>53</v>
      </c>
      <c r="R2275" t="s">
        <v>53</v>
      </c>
      <c r="S2275" t="s">
        <v>11147</v>
      </c>
      <c r="T2275" t="s">
        <v>11148</v>
      </c>
      <c r="U2275" t="s">
        <v>54</v>
      </c>
      <c r="V2275" t="s">
        <v>11084</v>
      </c>
      <c r="W2275">
        <v>369600</v>
      </c>
      <c r="X2275" t="s">
        <v>54</v>
      </c>
      <c r="Y2275" t="s">
        <v>32</v>
      </c>
      <c r="Z2275">
        <v>0</v>
      </c>
      <c r="AB2275">
        <v>0</v>
      </c>
      <c r="AC2275">
        <v>0</v>
      </c>
      <c r="AD2275">
        <v>0</v>
      </c>
      <c r="AE2275">
        <v>0</v>
      </c>
      <c r="AF2275">
        <v>0</v>
      </c>
      <c r="AG2275">
        <v>0</v>
      </c>
      <c r="AH2275">
        <v>0</v>
      </c>
      <c r="AI2275">
        <v>0</v>
      </c>
      <c r="AJ2275">
        <v>0</v>
      </c>
      <c r="AK2275" t="s">
        <v>54</v>
      </c>
      <c r="AL2275" t="s">
        <v>53</v>
      </c>
      <c r="AM2275" t="s">
        <v>32</v>
      </c>
      <c r="AP2275" t="s">
        <v>32</v>
      </c>
      <c r="AQ2275" t="s">
        <v>53</v>
      </c>
      <c r="AR2275" t="s">
        <v>32</v>
      </c>
      <c r="AT2275" t="s">
        <v>2805</v>
      </c>
      <c r="AV2275" t="s">
        <v>32</v>
      </c>
      <c r="AW2275" t="s">
        <v>54</v>
      </c>
      <c r="AX2275" t="s">
        <v>32</v>
      </c>
      <c r="AZ2275" t="s">
        <v>54</v>
      </c>
      <c r="BA2275" t="s">
        <v>11050</v>
      </c>
    </row>
    <row r="2276" spans="1:53" x14ac:dyDescent="0.25">
      <c r="A2276">
        <v>2271</v>
      </c>
      <c r="B2276" t="s">
        <v>11175</v>
      </c>
      <c r="C2276" t="s">
        <v>11176</v>
      </c>
      <c r="D2276" t="s">
        <v>11177</v>
      </c>
      <c r="E2276">
        <v>15</v>
      </c>
      <c r="F2276" t="s">
        <v>11042</v>
      </c>
      <c r="G2276" t="s">
        <v>11120</v>
      </c>
      <c r="H2276" t="s">
        <v>11121</v>
      </c>
      <c r="I2276" t="s">
        <v>32</v>
      </c>
      <c r="J2276" t="s">
        <v>11122</v>
      </c>
      <c r="K2276" t="s">
        <v>32</v>
      </c>
      <c r="L2276" t="s">
        <v>11054</v>
      </c>
      <c r="M2276">
        <v>0</v>
      </c>
      <c r="N2276" t="s">
        <v>54</v>
      </c>
      <c r="O2276" t="s">
        <v>53</v>
      </c>
      <c r="P2276" t="s">
        <v>54</v>
      </c>
      <c r="Q2276" t="s">
        <v>53</v>
      </c>
      <c r="R2276" t="s">
        <v>53</v>
      </c>
      <c r="S2276" t="s">
        <v>11147</v>
      </c>
      <c r="T2276" t="s">
        <v>11148</v>
      </c>
      <c r="U2276" t="s">
        <v>54</v>
      </c>
      <c r="V2276" t="s">
        <v>11084</v>
      </c>
      <c r="W2276">
        <v>369600</v>
      </c>
      <c r="X2276" t="s">
        <v>54</v>
      </c>
      <c r="Y2276" t="s">
        <v>32</v>
      </c>
      <c r="Z2276">
        <v>0</v>
      </c>
      <c r="AB2276">
        <v>21</v>
      </c>
      <c r="AC2276">
        <v>30</v>
      </c>
      <c r="AD2276">
        <v>56</v>
      </c>
      <c r="AE2276">
        <v>86</v>
      </c>
      <c r="AF2276">
        <v>0</v>
      </c>
      <c r="AG2276">
        <v>0</v>
      </c>
      <c r="AH2276">
        <v>2.360430002212524</v>
      </c>
      <c r="AI2276">
        <v>0</v>
      </c>
      <c r="AJ2276">
        <v>0</v>
      </c>
      <c r="AK2276" t="s">
        <v>54</v>
      </c>
      <c r="AL2276" t="s">
        <v>53</v>
      </c>
      <c r="AM2276" t="s">
        <v>32</v>
      </c>
      <c r="AP2276" t="s">
        <v>32</v>
      </c>
      <c r="AQ2276" t="s">
        <v>53</v>
      </c>
      <c r="AR2276" t="s">
        <v>32</v>
      </c>
      <c r="AT2276" t="s">
        <v>2805</v>
      </c>
      <c r="AV2276" t="s">
        <v>32</v>
      </c>
      <c r="AW2276" t="s">
        <v>54</v>
      </c>
      <c r="AX2276" t="s">
        <v>32</v>
      </c>
      <c r="AZ2276" t="s">
        <v>54</v>
      </c>
      <c r="BA2276" t="s">
        <v>11050</v>
      </c>
    </row>
    <row r="2277" spans="1:53" x14ac:dyDescent="0.25">
      <c r="A2277">
        <v>2272</v>
      </c>
      <c r="B2277" t="s">
        <v>11178</v>
      </c>
      <c r="C2277" t="s">
        <v>11179</v>
      </c>
      <c r="D2277" t="s">
        <v>11180</v>
      </c>
      <c r="E2277">
        <v>15</v>
      </c>
      <c r="F2277" t="s">
        <v>11042</v>
      </c>
      <c r="G2277" t="s">
        <v>11120</v>
      </c>
      <c r="H2277" t="s">
        <v>11121</v>
      </c>
      <c r="I2277" t="s">
        <v>32</v>
      </c>
      <c r="J2277" t="s">
        <v>11122</v>
      </c>
      <c r="K2277" t="s">
        <v>32</v>
      </c>
      <c r="L2277" t="s">
        <v>11054</v>
      </c>
      <c r="M2277">
        <v>0</v>
      </c>
      <c r="N2277" t="s">
        <v>54</v>
      </c>
      <c r="O2277" t="s">
        <v>53</v>
      </c>
      <c r="P2277" t="s">
        <v>54</v>
      </c>
      <c r="Q2277" t="s">
        <v>53</v>
      </c>
      <c r="R2277" t="s">
        <v>53</v>
      </c>
      <c r="S2277" t="s">
        <v>11147</v>
      </c>
      <c r="T2277" t="s">
        <v>11148</v>
      </c>
      <c r="U2277" t="s">
        <v>54</v>
      </c>
      <c r="V2277" t="s">
        <v>11084</v>
      </c>
      <c r="W2277">
        <v>554400</v>
      </c>
      <c r="X2277" t="s">
        <v>54</v>
      </c>
      <c r="Y2277" t="s">
        <v>32</v>
      </c>
      <c r="Z2277">
        <v>0</v>
      </c>
      <c r="AB2277">
        <v>18</v>
      </c>
      <c r="AC2277">
        <v>31</v>
      </c>
      <c r="AD2277">
        <v>45</v>
      </c>
      <c r="AE2277">
        <v>76</v>
      </c>
      <c r="AF2277">
        <v>0</v>
      </c>
      <c r="AG2277">
        <v>0</v>
      </c>
      <c r="AH2277">
        <v>0.51114499568939209</v>
      </c>
      <c r="AI2277">
        <v>0</v>
      </c>
      <c r="AJ2277">
        <v>0</v>
      </c>
      <c r="AK2277" t="s">
        <v>54</v>
      </c>
      <c r="AL2277" t="s">
        <v>53</v>
      </c>
      <c r="AM2277" t="s">
        <v>32</v>
      </c>
      <c r="AP2277" t="s">
        <v>32</v>
      </c>
      <c r="AQ2277" t="s">
        <v>53</v>
      </c>
      <c r="AR2277" t="s">
        <v>32</v>
      </c>
      <c r="AT2277" t="s">
        <v>2805</v>
      </c>
      <c r="AV2277" t="s">
        <v>32</v>
      </c>
      <c r="AW2277" t="s">
        <v>54</v>
      </c>
      <c r="AX2277" t="s">
        <v>32</v>
      </c>
      <c r="AZ2277" t="s">
        <v>54</v>
      </c>
      <c r="BA2277" t="s">
        <v>11050</v>
      </c>
    </row>
    <row r="2278" spans="1:53" x14ac:dyDescent="0.25">
      <c r="A2278">
        <v>2273</v>
      </c>
      <c r="B2278" t="s">
        <v>11181</v>
      </c>
      <c r="C2278" t="s">
        <v>11182</v>
      </c>
      <c r="D2278" t="s">
        <v>11183</v>
      </c>
      <c r="E2278">
        <v>15</v>
      </c>
      <c r="F2278" t="s">
        <v>11042</v>
      </c>
      <c r="G2278" t="s">
        <v>11120</v>
      </c>
      <c r="H2278" t="s">
        <v>11121</v>
      </c>
      <c r="I2278" t="s">
        <v>32</v>
      </c>
      <c r="J2278" t="s">
        <v>11184</v>
      </c>
      <c r="K2278" t="s">
        <v>32</v>
      </c>
      <c r="L2278" t="s">
        <v>11054</v>
      </c>
      <c r="M2278">
        <v>0</v>
      </c>
      <c r="N2278" t="s">
        <v>54</v>
      </c>
      <c r="O2278" t="s">
        <v>53</v>
      </c>
      <c r="P2278" t="s">
        <v>54</v>
      </c>
      <c r="Q2278" t="s">
        <v>53</v>
      </c>
      <c r="R2278" t="s">
        <v>53</v>
      </c>
      <c r="S2278" t="s">
        <v>11185</v>
      </c>
      <c r="T2278" t="s">
        <v>11134</v>
      </c>
      <c r="U2278" t="s">
        <v>54</v>
      </c>
      <c r="V2278" t="s">
        <v>11084</v>
      </c>
      <c r="W2278">
        <v>1848000</v>
      </c>
      <c r="X2278" t="s">
        <v>54</v>
      </c>
      <c r="Y2278" t="s">
        <v>32</v>
      </c>
      <c r="Z2278">
        <v>0</v>
      </c>
      <c r="AB2278">
        <v>146</v>
      </c>
      <c r="AC2278">
        <v>325</v>
      </c>
      <c r="AD2278">
        <v>355</v>
      </c>
      <c r="AE2278">
        <v>680</v>
      </c>
      <c r="AF2278">
        <v>2</v>
      </c>
      <c r="AG2278">
        <v>0</v>
      </c>
      <c r="AH2278">
        <v>9.7896099090576172</v>
      </c>
      <c r="AI2278">
        <v>0</v>
      </c>
      <c r="AJ2278">
        <v>0</v>
      </c>
      <c r="AK2278" t="s">
        <v>54</v>
      </c>
      <c r="AL2278" t="s">
        <v>53</v>
      </c>
      <c r="AM2278" t="s">
        <v>32</v>
      </c>
      <c r="AP2278" t="s">
        <v>32</v>
      </c>
      <c r="AQ2278" t="s">
        <v>53</v>
      </c>
      <c r="AR2278" t="s">
        <v>32</v>
      </c>
      <c r="AT2278" t="s">
        <v>2805</v>
      </c>
      <c r="AV2278" t="s">
        <v>32</v>
      </c>
      <c r="AW2278" t="s">
        <v>54</v>
      </c>
      <c r="AX2278" t="s">
        <v>32</v>
      </c>
      <c r="AZ2278" t="s">
        <v>54</v>
      </c>
      <c r="BA2278" t="s">
        <v>11050</v>
      </c>
    </row>
    <row r="2279" spans="1:53" x14ac:dyDescent="0.25">
      <c r="A2279">
        <v>2274</v>
      </c>
      <c r="B2279" t="s">
        <v>11186</v>
      </c>
      <c r="C2279" t="s">
        <v>11187</v>
      </c>
      <c r="D2279" t="s">
        <v>11188</v>
      </c>
      <c r="E2279">
        <v>15</v>
      </c>
      <c r="F2279" t="s">
        <v>11042</v>
      </c>
      <c r="G2279" t="s">
        <v>11120</v>
      </c>
      <c r="H2279" t="s">
        <v>11121</v>
      </c>
      <c r="I2279" t="s">
        <v>32</v>
      </c>
      <c r="J2279" t="s">
        <v>11189</v>
      </c>
      <c r="K2279" t="s">
        <v>32</v>
      </c>
      <c r="L2279" t="s">
        <v>11054</v>
      </c>
      <c r="M2279">
        <v>0</v>
      </c>
      <c r="N2279" t="s">
        <v>54</v>
      </c>
      <c r="O2279" t="s">
        <v>53</v>
      </c>
      <c r="P2279" t="s">
        <v>54</v>
      </c>
      <c r="Q2279" t="s">
        <v>53</v>
      </c>
      <c r="R2279" t="s">
        <v>53</v>
      </c>
      <c r="S2279" t="s">
        <v>11190</v>
      </c>
      <c r="T2279" t="s">
        <v>11191</v>
      </c>
      <c r="U2279" t="s">
        <v>54</v>
      </c>
      <c r="V2279" t="s">
        <v>11084</v>
      </c>
      <c r="W2279">
        <v>554400</v>
      </c>
      <c r="X2279" t="s">
        <v>54</v>
      </c>
      <c r="Y2279" t="s">
        <v>32</v>
      </c>
      <c r="Z2279">
        <v>0</v>
      </c>
      <c r="AB2279">
        <v>1398</v>
      </c>
      <c r="AC2279">
        <v>2545</v>
      </c>
      <c r="AD2279">
        <v>1804</v>
      </c>
      <c r="AE2279">
        <v>4349</v>
      </c>
      <c r="AF2279">
        <v>1</v>
      </c>
      <c r="AG2279">
        <v>0</v>
      </c>
      <c r="AH2279">
        <v>38.670200347900391</v>
      </c>
      <c r="AI2279">
        <v>0</v>
      </c>
      <c r="AJ2279">
        <v>0</v>
      </c>
      <c r="AK2279" t="s">
        <v>54</v>
      </c>
      <c r="AL2279" t="s">
        <v>53</v>
      </c>
      <c r="AM2279" t="s">
        <v>32</v>
      </c>
      <c r="AP2279" t="s">
        <v>32</v>
      </c>
      <c r="AQ2279" t="s">
        <v>53</v>
      </c>
      <c r="AR2279" t="s">
        <v>32</v>
      </c>
      <c r="AT2279" t="s">
        <v>2805</v>
      </c>
      <c r="AV2279" t="s">
        <v>32</v>
      </c>
      <c r="AW2279" t="s">
        <v>54</v>
      </c>
      <c r="AX2279" t="s">
        <v>32</v>
      </c>
      <c r="AZ2279" t="s">
        <v>54</v>
      </c>
      <c r="BA2279" t="s">
        <v>11050</v>
      </c>
    </row>
    <row r="2280" spans="1:53" x14ac:dyDescent="0.25">
      <c r="A2280">
        <v>2275</v>
      </c>
      <c r="B2280" t="s">
        <v>11192</v>
      </c>
      <c r="C2280" t="s">
        <v>11193</v>
      </c>
      <c r="D2280" t="s">
        <v>11194</v>
      </c>
      <c r="E2280">
        <v>15</v>
      </c>
      <c r="F2280" t="s">
        <v>11042</v>
      </c>
      <c r="G2280" t="s">
        <v>11120</v>
      </c>
      <c r="H2280" t="s">
        <v>11121</v>
      </c>
      <c r="I2280" t="s">
        <v>32</v>
      </c>
      <c r="J2280" t="s">
        <v>11189</v>
      </c>
      <c r="K2280" t="s">
        <v>32</v>
      </c>
      <c r="L2280" t="s">
        <v>11195</v>
      </c>
      <c r="M2280">
        <v>0</v>
      </c>
      <c r="N2280" t="s">
        <v>54</v>
      </c>
      <c r="O2280" t="s">
        <v>53</v>
      </c>
      <c r="P2280" t="s">
        <v>54</v>
      </c>
      <c r="Q2280" t="s">
        <v>53</v>
      </c>
      <c r="R2280" t="s">
        <v>53</v>
      </c>
      <c r="S2280" t="s">
        <v>11190</v>
      </c>
      <c r="T2280" t="s">
        <v>11191</v>
      </c>
      <c r="U2280" t="s">
        <v>54</v>
      </c>
      <c r="V2280" t="s">
        <v>11084</v>
      </c>
      <c r="W2280">
        <v>1108800</v>
      </c>
      <c r="X2280" t="s">
        <v>54</v>
      </c>
      <c r="Y2280" t="s">
        <v>32</v>
      </c>
      <c r="Z2280">
        <v>0</v>
      </c>
      <c r="AB2280">
        <v>167</v>
      </c>
      <c r="AC2280">
        <v>323</v>
      </c>
      <c r="AD2280">
        <v>379</v>
      </c>
      <c r="AE2280">
        <v>702</v>
      </c>
      <c r="AF2280">
        <v>0</v>
      </c>
      <c r="AG2280">
        <v>0</v>
      </c>
      <c r="AH2280">
        <v>17.228500366210941</v>
      </c>
      <c r="AI2280">
        <v>0</v>
      </c>
      <c r="AJ2280">
        <v>0</v>
      </c>
      <c r="AK2280" t="s">
        <v>54</v>
      </c>
      <c r="AL2280" t="s">
        <v>53</v>
      </c>
      <c r="AM2280" t="s">
        <v>32</v>
      </c>
      <c r="AP2280" t="s">
        <v>32</v>
      </c>
      <c r="AQ2280" t="s">
        <v>53</v>
      </c>
      <c r="AR2280" t="s">
        <v>32</v>
      </c>
      <c r="AT2280" t="s">
        <v>2805</v>
      </c>
      <c r="AV2280" t="s">
        <v>32</v>
      </c>
      <c r="AW2280" t="s">
        <v>54</v>
      </c>
      <c r="AX2280" t="s">
        <v>32</v>
      </c>
      <c r="AZ2280" t="s">
        <v>54</v>
      </c>
      <c r="BA2280" t="s">
        <v>11050</v>
      </c>
    </row>
    <row r="2281" spans="1:53" x14ac:dyDescent="0.25">
      <c r="A2281">
        <v>2276</v>
      </c>
      <c r="B2281" t="s">
        <v>11196</v>
      </c>
      <c r="C2281" t="s">
        <v>11197</v>
      </c>
      <c r="D2281" t="s">
        <v>11198</v>
      </c>
      <c r="E2281">
        <v>15</v>
      </c>
      <c r="F2281" t="s">
        <v>11042</v>
      </c>
      <c r="G2281" t="s">
        <v>11120</v>
      </c>
      <c r="H2281" t="s">
        <v>11121</v>
      </c>
      <c r="I2281" t="s">
        <v>32</v>
      </c>
      <c r="J2281" t="s">
        <v>11199</v>
      </c>
      <c r="K2281" t="s">
        <v>32</v>
      </c>
      <c r="L2281" t="s">
        <v>11200</v>
      </c>
      <c r="M2281">
        <v>0</v>
      </c>
      <c r="N2281" t="s">
        <v>54</v>
      </c>
      <c r="O2281" t="s">
        <v>53</v>
      </c>
      <c r="P2281" t="s">
        <v>54</v>
      </c>
      <c r="Q2281" t="s">
        <v>53</v>
      </c>
      <c r="R2281" t="s">
        <v>53</v>
      </c>
      <c r="S2281" t="s">
        <v>11201</v>
      </c>
      <c r="T2281" t="s">
        <v>11202</v>
      </c>
      <c r="U2281" t="s">
        <v>54</v>
      </c>
      <c r="V2281" t="s">
        <v>11084</v>
      </c>
      <c r="W2281">
        <v>92400</v>
      </c>
      <c r="X2281" t="s">
        <v>54</v>
      </c>
      <c r="Y2281" t="s">
        <v>32</v>
      </c>
      <c r="Z2281">
        <v>0</v>
      </c>
      <c r="AB2281">
        <v>2</v>
      </c>
      <c r="AC2281">
        <v>1</v>
      </c>
      <c r="AD2281">
        <v>3</v>
      </c>
      <c r="AE2281">
        <v>4</v>
      </c>
      <c r="AF2281">
        <v>0</v>
      </c>
      <c r="AG2281">
        <v>0</v>
      </c>
      <c r="AH2281">
        <v>0</v>
      </c>
      <c r="AI2281">
        <v>0</v>
      </c>
      <c r="AJ2281">
        <v>0</v>
      </c>
      <c r="AK2281" t="s">
        <v>54</v>
      </c>
      <c r="AL2281" t="s">
        <v>53</v>
      </c>
      <c r="AM2281" t="s">
        <v>32</v>
      </c>
      <c r="AP2281" t="s">
        <v>32</v>
      </c>
      <c r="AQ2281" t="s">
        <v>53</v>
      </c>
      <c r="AR2281" t="s">
        <v>32</v>
      </c>
      <c r="AT2281" t="s">
        <v>2805</v>
      </c>
      <c r="AV2281" t="s">
        <v>32</v>
      </c>
      <c r="AW2281" t="s">
        <v>54</v>
      </c>
      <c r="AX2281" t="s">
        <v>32</v>
      </c>
      <c r="AZ2281" t="s">
        <v>54</v>
      </c>
      <c r="BA2281" t="s">
        <v>11050</v>
      </c>
    </row>
    <row r="2282" spans="1:53" x14ac:dyDescent="0.25">
      <c r="A2282">
        <v>2277</v>
      </c>
      <c r="B2282" t="s">
        <v>11203</v>
      </c>
      <c r="C2282" t="s">
        <v>11204</v>
      </c>
      <c r="D2282" t="s">
        <v>11205</v>
      </c>
      <c r="E2282">
        <v>15</v>
      </c>
      <c r="F2282" t="s">
        <v>11042</v>
      </c>
      <c r="G2282" t="s">
        <v>11120</v>
      </c>
      <c r="H2282" t="s">
        <v>11121</v>
      </c>
      <c r="I2282" t="s">
        <v>32</v>
      </c>
      <c r="J2282" t="s">
        <v>11206</v>
      </c>
      <c r="K2282" t="s">
        <v>32</v>
      </c>
      <c r="L2282" t="s">
        <v>11054</v>
      </c>
      <c r="M2282">
        <v>0</v>
      </c>
      <c r="N2282" t="s">
        <v>54</v>
      </c>
      <c r="O2282" t="s">
        <v>53</v>
      </c>
      <c r="P2282" t="s">
        <v>54</v>
      </c>
      <c r="Q2282" t="s">
        <v>53</v>
      </c>
      <c r="R2282" t="s">
        <v>53</v>
      </c>
      <c r="S2282" t="s">
        <v>11207</v>
      </c>
      <c r="T2282" t="s">
        <v>11208</v>
      </c>
      <c r="U2282" t="s">
        <v>54</v>
      </c>
      <c r="V2282" t="s">
        <v>11084</v>
      </c>
      <c r="W2282">
        <v>1848000</v>
      </c>
      <c r="X2282" t="s">
        <v>54</v>
      </c>
      <c r="Y2282" t="s">
        <v>32</v>
      </c>
      <c r="Z2282">
        <v>0</v>
      </c>
      <c r="AB2282">
        <v>894</v>
      </c>
      <c r="AC2282">
        <v>2387</v>
      </c>
      <c r="AD2282">
        <v>1168</v>
      </c>
      <c r="AE2282">
        <v>3555</v>
      </c>
      <c r="AF2282">
        <v>3</v>
      </c>
      <c r="AG2282">
        <v>0</v>
      </c>
      <c r="AH2282">
        <v>38.737400054931641</v>
      </c>
      <c r="AI2282">
        <v>0</v>
      </c>
      <c r="AJ2282">
        <v>0</v>
      </c>
      <c r="AK2282" t="s">
        <v>54</v>
      </c>
      <c r="AL2282" t="s">
        <v>53</v>
      </c>
      <c r="AM2282" t="s">
        <v>32</v>
      </c>
      <c r="AP2282" t="s">
        <v>32</v>
      </c>
      <c r="AQ2282" t="s">
        <v>53</v>
      </c>
      <c r="AR2282" t="s">
        <v>32</v>
      </c>
      <c r="AT2282" t="s">
        <v>2805</v>
      </c>
      <c r="AV2282" t="s">
        <v>32</v>
      </c>
      <c r="AW2282" t="s">
        <v>54</v>
      </c>
      <c r="AX2282" t="s">
        <v>32</v>
      </c>
      <c r="AZ2282" t="s">
        <v>54</v>
      </c>
      <c r="BA2282" t="s">
        <v>11050</v>
      </c>
    </row>
    <row r="2283" spans="1:53" x14ac:dyDescent="0.25">
      <c r="A2283">
        <v>2278</v>
      </c>
      <c r="B2283" t="s">
        <v>11209</v>
      </c>
      <c r="C2283" t="s">
        <v>11210</v>
      </c>
      <c r="D2283" t="s">
        <v>11211</v>
      </c>
      <c r="E2283">
        <v>15</v>
      </c>
      <c r="F2283" t="s">
        <v>11042</v>
      </c>
      <c r="G2283" t="s">
        <v>11079</v>
      </c>
      <c r="H2283" t="s">
        <v>11212</v>
      </c>
      <c r="I2283" t="s">
        <v>32</v>
      </c>
      <c r="J2283" t="s">
        <v>11213</v>
      </c>
      <c r="K2283" t="s">
        <v>32</v>
      </c>
      <c r="L2283" t="s">
        <v>11054</v>
      </c>
      <c r="M2283">
        <v>0</v>
      </c>
      <c r="N2283" t="s">
        <v>54</v>
      </c>
      <c r="O2283" t="s">
        <v>53</v>
      </c>
      <c r="P2283" t="s">
        <v>54</v>
      </c>
      <c r="Q2283" t="s">
        <v>53</v>
      </c>
      <c r="R2283" t="s">
        <v>53</v>
      </c>
      <c r="S2283" t="s">
        <v>11214</v>
      </c>
      <c r="T2283" t="s">
        <v>11215</v>
      </c>
      <c r="U2283" t="s">
        <v>54</v>
      </c>
      <c r="V2283" t="s">
        <v>11084</v>
      </c>
      <c r="W2283">
        <v>422690</v>
      </c>
      <c r="X2283" t="s">
        <v>54</v>
      </c>
      <c r="Y2283" t="s">
        <v>32</v>
      </c>
      <c r="Z2283">
        <v>0</v>
      </c>
      <c r="AB2283">
        <v>102</v>
      </c>
      <c r="AC2283">
        <v>100</v>
      </c>
      <c r="AD2283">
        <v>314</v>
      </c>
      <c r="AE2283">
        <v>414</v>
      </c>
      <c r="AF2283">
        <v>0</v>
      </c>
      <c r="AG2283">
        <v>0</v>
      </c>
      <c r="AH2283">
        <v>2.0382800102233891</v>
      </c>
      <c r="AI2283">
        <v>0</v>
      </c>
      <c r="AJ2283">
        <v>0</v>
      </c>
      <c r="AK2283" t="s">
        <v>54</v>
      </c>
      <c r="AL2283" t="s">
        <v>53</v>
      </c>
      <c r="AM2283" t="s">
        <v>32</v>
      </c>
      <c r="AP2283" t="s">
        <v>32</v>
      </c>
      <c r="AQ2283" t="s">
        <v>53</v>
      </c>
      <c r="AR2283" t="s">
        <v>32</v>
      </c>
      <c r="AT2283" t="s">
        <v>2805</v>
      </c>
      <c r="AV2283" t="s">
        <v>32</v>
      </c>
      <c r="AW2283" t="s">
        <v>54</v>
      </c>
      <c r="AX2283" t="s">
        <v>32</v>
      </c>
      <c r="AZ2283" t="s">
        <v>54</v>
      </c>
      <c r="BA2283" t="s">
        <v>11050</v>
      </c>
    </row>
    <row r="2284" spans="1:53" x14ac:dyDescent="0.25">
      <c r="A2284">
        <v>2279</v>
      </c>
      <c r="B2284" t="s">
        <v>11216</v>
      </c>
      <c r="C2284" t="s">
        <v>11217</v>
      </c>
      <c r="D2284" t="s">
        <v>11218</v>
      </c>
      <c r="E2284">
        <v>15</v>
      </c>
      <c r="F2284" t="s">
        <v>11042</v>
      </c>
      <c r="G2284" t="s">
        <v>11079</v>
      </c>
      <c r="H2284" t="s">
        <v>11219</v>
      </c>
      <c r="I2284" t="s">
        <v>32</v>
      </c>
      <c r="J2284" t="s">
        <v>11213</v>
      </c>
      <c r="K2284" t="s">
        <v>32</v>
      </c>
      <c r="L2284" t="s">
        <v>11220</v>
      </c>
      <c r="M2284">
        <v>0</v>
      </c>
      <c r="N2284" t="s">
        <v>54</v>
      </c>
      <c r="O2284" t="s">
        <v>53</v>
      </c>
      <c r="P2284" t="s">
        <v>54</v>
      </c>
      <c r="Q2284" t="s">
        <v>53</v>
      </c>
      <c r="R2284" t="s">
        <v>53</v>
      </c>
      <c r="S2284" t="s">
        <v>11214</v>
      </c>
      <c r="T2284" t="s">
        <v>11221</v>
      </c>
      <c r="U2284" t="s">
        <v>54</v>
      </c>
      <c r="V2284" t="s">
        <v>11084</v>
      </c>
      <c r="W2284">
        <v>249480</v>
      </c>
      <c r="X2284" t="s">
        <v>54</v>
      </c>
      <c r="Y2284" t="s">
        <v>32</v>
      </c>
      <c r="Z2284">
        <v>0</v>
      </c>
      <c r="AB2284">
        <v>98</v>
      </c>
      <c r="AC2284">
        <v>165</v>
      </c>
      <c r="AD2284">
        <v>397</v>
      </c>
      <c r="AE2284">
        <v>562</v>
      </c>
      <c r="AF2284">
        <v>0</v>
      </c>
      <c r="AG2284">
        <v>0</v>
      </c>
      <c r="AH2284">
        <v>5.4585700035095206</v>
      </c>
      <c r="AI2284">
        <v>0</v>
      </c>
      <c r="AJ2284">
        <v>0</v>
      </c>
      <c r="AK2284" t="s">
        <v>54</v>
      </c>
      <c r="AL2284" t="s">
        <v>53</v>
      </c>
      <c r="AM2284" t="s">
        <v>32</v>
      </c>
      <c r="AP2284" t="s">
        <v>32</v>
      </c>
      <c r="AQ2284" t="s">
        <v>53</v>
      </c>
      <c r="AR2284" t="s">
        <v>32</v>
      </c>
      <c r="AT2284" t="s">
        <v>2805</v>
      </c>
      <c r="AV2284" t="s">
        <v>32</v>
      </c>
      <c r="AW2284" t="s">
        <v>54</v>
      </c>
      <c r="AX2284" t="s">
        <v>32</v>
      </c>
      <c r="AZ2284" t="s">
        <v>54</v>
      </c>
      <c r="BA2284" t="s">
        <v>11050</v>
      </c>
    </row>
    <row r="2285" spans="1:53" x14ac:dyDescent="0.25">
      <c r="A2285">
        <v>2280</v>
      </c>
      <c r="B2285" t="s">
        <v>11222</v>
      </c>
      <c r="C2285" t="s">
        <v>11223</v>
      </c>
      <c r="D2285" t="s">
        <v>11224</v>
      </c>
      <c r="E2285">
        <v>15</v>
      </c>
      <c r="F2285" t="s">
        <v>11042</v>
      </c>
      <c r="G2285" t="s">
        <v>11079</v>
      </c>
      <c r="H2285" t="s">
        <v>11225</v>
      </c>
      <c r="I2285" t="s">
        <v>32</v>
      </c>
      <c r="J2285" t="s">
        <v>11226</v>
      </c>
      <c r="K2285" t="s">
        <v>32</v>
      </c>
      <c r="L2285" t="s">
        <v>11200</v>
      </c>
      <c r="M2285">
        <v>0</v>
      </c>
      <c r="N2285" t="s">
        <v>54</v>
      </c>
      <c r="O2285" t="s">
        <v>53</v>
      </c>
      <c r="P2285" t="s">
        <v>54</v>
      </c>
      <c r="Q2285" t="s">
        <v>53</v>
      </c>
      <c r="R2285" t="s">
        <v>53</v>
      </c>
      <c r="S2285" t="s">
        <v>11227</v>
      </c>
      <c r="T2285" t="s">
        <v>11228</v>
      </c>
      <c r="U2285" t="s">
        <v>54</v>
      </c>
      <c r="V2285" t="s">
        <v>11049</v>
      </c>
      <c r="W2285">
        <v>2984850</v>
      </c>
      <c r="X2285" t="s">
        <v>54</v>
      </c>
      <c r="Y2285" t="s">
        <v>32</v>
      </c>
      <c r="Z2285">
        <v>0</v>
      </c>
      <c r="AB2285">
        <v>124</v>
      </c>
      <c r="AC2285">
        <v>115</v>
      </c>
      <c r="AD2285">
        <v>384</v>
      </c>
      <c r="AE2285">
        <v>499</v>
      </c>
      <c r="AF2285">
        <v>0</v>
      </c>
      <c r="AG2285">
        <v>0</v>
      </c>
      <c r="AH2285">
        <v>5.7132501602172852</v>
      </c>
      <c r="AI2285">
        <v>0</v>
      </c>
      <c r="AJ2285">
        <v>0</v>
      </c>
      <c r="AK2285" t="s">
        <v>54</v>
      </c>
      <c r="AL2285" t="s">
        <v>54</v>
      </c>
      <c r="AM2285" t="s">
        <v>32</v>
      </c>
      <c r="AP2285" t="s">
        <v>32</v>
      </c>
      <c r="AQ2285" t="s">
        <v>54</v>
      </c>
      <c r="AR2285" t="s">
        <v>32</v>
      </c>
      <c r="AT2285" t="s">
        <v>2805</v>
      </c>
      <c r="AV2285" t="s">
        <v>32</v>
      </c>
      <c r="AW2285" t="s">
        <v>53</v>
      </c>
      <c r="AX2285" t="s">
        <v>32</v>
      </c>
      <c r="AZ2285" t="s">
        <v>54</v>
      </c>
      <c r="BA2285" t="s">
        <v>11050</v>
      </c>
    </row>
    <row r="2286" spans="1:53" x14ac:dyDescent="0.25">
      <c r="A2286">
        <v>2281</v>
      </c>
      <c r="B2286" t="s">
        <v>11229</v>
      </c>
      <c r="C2286" t="s">
        <v>11230</v>
      </c>
      <c r="D2286" t="s">
        <v>11231</v>
      </c>
      <c r="E2286">
        <v>15</v>
      </c>
      <c r="F2286" t="s">
        <v>11042</v>
      </c>
      <c r="G2286" t="s">
        <v>11079</v>
      </c>
      <c r="H2286" t="s">
        <v>11232</v>
      </c>
      <c r="I2286" t="s">
        <v>32</v>
      </c>
      <c r="J2286" t="s">
        <v>11226</v>
      </c>
      <c r="K2286" t="s">
        <v>32</v>
      </c>
      <c r="L2286" t="s">
        <v>11200</v>
      </c>
      <c r="M2286">
        <v>0</v>
      </c>
      <c r="N2286" t="s">
        <v>54</v>
      </c>
      <c r="O2286" t="s">
        <v>53</v>
      </c>
      <c r="P2286" t="s">
        <v>54</v>
      </c>
      <c r="Q2286" t="s">
        <v>53</v>
      </c>
      <c r="R2286" t="s">
        <v>53</v>
      </c>
      <c r="S2286" t="s">
        <v>11227</v>
      </c>
      <c r="T2286" t="s">
        <v>11233</v>
      </c>
      <c r="U2286" t="s">
        <v>54</v>
      </c>
      <c r="V2286" t="s">
        <v>11049</v>
      </c>
      <c r="W2286">
        <v>4076320</v>
      </c>
      <c r="X2286" t="s">
        <v>54</v>
      </c>
      <c r="Y2286" t="s">
        <v>32</v>
      </c>
      <c r="Z2286">
        <v>0</v>
      </c>
      <c r="AB2286">
        <v>311</v>
      </c>
      <c r="AC2286">
        <v>418</v>
      </c>
      <c r="AD2286">
        <v>1220</v>
      </c>
      <c r="AE2286">
        <v>1638</v>
      </c>
      <c r="AF2286">
        <v>0</v>
      </c>
      <c r="AG2286">
        <v>0</v>
      </c>
      <c r="AH2286">
        <v>18.903999328613281</v>
      </c>
      <c r="AI2286">
        <v>0</v>
      </c>
      <c r="AJ2286">
        <v>0</v>
      </c>
      <c r="AK2286" t="s">
        <v>54</v>
      </c>
      <c r="AL2286" t="s">
        <v>54</v>
      </c>
      <c r="AM2286" t="s">
        <v>32</v>
      </c>
      <c r="AP2286" t="s">
        <v>32</v>
      </c>
      <c r="AQ2286" t="s">
        <v>54</v>
      </c>
      <c r="AR2286" t="s">
        <v>32</v>
      </c>
      <c r="AT2286" t="s">
        <v>2805</v>
      </c>
      <c r="AV2286" t="s">
        <v>32</v>
      </c>
      <c r="AW2286" t="s">
        <v>53</v>
      </c>
      <c r="AX2286" t="s">
        <v>32</v>
      </c>
      <c r="AZ2286" t="s">
        <v>54</v>
      </c>
      <c r="BA2286" t="s">
        <v>11050</v>
      </c>
    </row>
    <row r="2287" spans="1:53" x14ac:dyDescent="0.25">
      <c r="A2287">
        <v>2282</v>
      </c>
      <c r="B2287" t="s">
        <v>11234</v>
      </c>
      <c r="C2287" t="s">
        <v>11235</v>
      </c>
      <c r="D2287" t="s">
        <v>11236</v>
      </c>
      <c r="E2287">
        <v>15</v>
      </c>
      <c r="F2287" t="s">
        <v>11042</v>
      </c>
      <c r="G2287" t="s">
        <v>11079</v>
      </c>
      <c r="H2287" t="s">
        <v>11237</v>
      </c>
      <c r="I2287" t="s">
        <v>32</v>
      </c>
      <c r="J2287" t="s">
        <v>11226</v>
      </c>
      <c r="K2287" t="s">
        <v>32</v>
      </c>
      <c r="L2287" t="s">
        <v>11200</v>
      </c>
      <c r="M2287">
        <v>0</v>
      </c>
      <c r="N2287" t="s">
        <v>54</v>
      </c>
      <c r="O2287" t="s">
        <v>53</v>
      </c>
      <c r="P2287" t="s">
        <v>54</v>
      </c>
      <c r="Q2287" t="s">
        <v>53</v>
      </c>
      <c r="R2287" t="s">
        <v>53</v>
      </c>
      <c r="S2287" t="s">
        <v>11227</v>
      </c>
      <c r="T2287" t="s">
        <v>11238</v>
      </c>
      <c r="U2287" t="s">
        <v>54</v>
      </c>
      <c r="V2287" t="s">
        <v>11049</v>
      </c>
      <c r="W2287">
        <v>1183050</v>
      </c>
      <c r="X2287" t="s">
        <v>54</v>
      </c>
      <c r="Y2287" t="s">
        <v>32</v>
      </c>
      <c r="Z2287">
        <v>0</v>
      </c>
      <c r="AB2287">
        <v>273</v>
      </c>
      <c r="AC2287">
        <v>265</v>
      </c>
      <c r="AD2287">
        <v>902</v>
      </c>
      <c r="AE2287">
        <v>1167</v>
      </c>
      <c r="AF2287">
        <v>0</v>
      </c>
      <c r="AG2287">
        <v>3</v>
      </c>
      <c r="AH2287">
        <v>44.428199768066413</v>
      </c>
      <c r="AI2287">
        <v>0</v>
      </c>
      <c r="AJ2287">
        <v>0</v>
      </c>
      <c r="AK2287" t="s">
        <v>54</v>
      </c>
      <c r="AL2287" t="s">
        <v>54</v>
      </c>
      <c r="AM2287" t="s">
        <v>32</v>
      </c>
      <c r="AP2287" t="s">
        <v>32</v>
      </c>
      <c r="AQ2287" t="s">
        <v>54</v>
      </c>
      <c r="AR2287" t="s">
        <v>32</v>
      </c>
      <c r="AT2287" t="s">
        <v>2805</v>
      </c>
      <c r="AV2287" t="s">
        <v>32</v>
      </c>
      <c r="AW2287" t="s">
        <v>53</v>
      </c>
      <c r="AX2287" t="s">
        <v>32</v>
      </c>
      <c r="AZ2287" t="s">
        <v>54</v>
      </c>
      <c r="BA2287" t="s">
        <v>11050</v>
      </c>
    </row>
    <row r="2288" spans="1:53" x14ac:dyDescent="0.25">
      <c r="A2288">
        <v>2283</v>
      </c>
      <c r="B2288" t="s">
        <v>11239</v>
      </c>
      <c r="C2288" t="s">
        <v>11240</v>
      </c>
      <c r="D2288" t="s">
        <v>11241</v>
      </c>
      <c r="E2288">
        <v>15</v>
      </c>
      <c r="F2288" t="s">
        <v>11042</v>
      </c>
      <c r="G2288" t="s">
        <v>11079</v>
      </c>
      <c r="H2288" t="s">
        <v>11242</v>
      </c>
      <c r="I2288" t="s">
        <v>32</v>
      </c>
      <c r="J2288" t="s">
        <v>11226</v>
      </c>
      <c r="K2288" t="s">
        <v>32</v>
      </c>
      <c r="L2288" t="s">
        <v>11054</v>
      </c>
      <c r="M2288">
        <v>0</v>
      </c>
      <c r="N2288" t="s">
        <v>54</v>
      </c>
      <c r="O2288" t="s">
        <v>53</v>
      </c>
      <c r="P2288" t="s">
        <v>54</v>
      </c>
      <c r="Q2288" t="s">
        <v>53</v>
      </c>
      <c r="R2288" t="s">
        <v>53</v>
      </c>
      <c r="S2288" t="s">
        <v>11227</v>
      </c>
      <c r="T2288" t="s">
        <v>11243</v>
      </c>
      <c r="U2288" t="s">
        <v>54</v>
      </c>
      <c r="V2288" t="s">
        <v>11049</v>
      </c>
      <c r="W2288">
        <v>953700</v>
      </c>
      <c r="X2288" t="s">
        <v>54</v>
      </c>
      <c r="Y2288" t="s">
        <v>32</v>
      </c>
      <c r="Z2288">
        <v>0</v>
      </c>
      <c r="AB2288">
        <v>735</v>
      </c>
      <c r="AC2288">
        <v>3322</v>
      </c>
      <c r="AD2288">
        <v>3364</v>
      </c>
      <c r="AE2288">
        <v>6686</v>
      </c>
      <c r="AF2288">
        <v>1</v>
      </c>
      <c r="AG2288">
        <v>0</v>
      </c>
      <c r="AH2288">
        <v>46.661998748779297</v>
      </c>
      <c r="AI2288">
        <v>0</v>
      </c>
      <c r="AJ2288">
        <v>0</v>
      </c>
      <c r="AK2288" t="s">
        <v>54</v>
      </c>
      <c r="AL2288" t="s">
        <v>54</v>
      </c>
      <c r="AM2288" t="s">
        <v>32</v>
      </c>
      <c r="AP2288" t="s">
        <v>32</v>
      </c>
      <c r="AQ2288" t="s">
        <v>54</v>
      </c>
      <c r="AR2288" t="s">
        <v>32</v>
      </c>
      <c r="AT2288" t="s">
        <v>2805</v>
      </c>
      <c r="AV2288" t="s">
        <v>32</v>
      </c>
      <c r="AW2288" t="s">
        <v>53</v>
      </c>
      <c r="AX2288" t="s">
        <v>32</v>
      </c>
      <c r="AZ2288" t="s">
        <v>54</v>
      </c>
      <c r="BA2288" t="s">
        <v>11050</v>
      </c>
    </row>
    <row r="2289" spans="1:53" x14ac:dyDescent="0.25">
      <c r="A2289">
        <v>2284</v>
      </c>
      <c r="B2289" t="s">
        <v>11244</v>
      </c>
      <c r="C2289" t="s">
        <v>11245</v>
      </c>
      <c r="D2289" t="s">
        <v>11246</v>
      </c>
      <c r="E2289">
        <v>15</v>
      </c>
      <c r="F2289" t="s">
        <v>11042</v>
      </c>
      <c r="G2289" t="s">
        <v>11079</v>
      </c>
      <c r="H2289" t="s">
        <v>11247</v>
      </c>
      <c r="I2289" t="s">
        <v>32</v>
      </c>
      <c r="J2289" t="s">
        <v>11226</v>
      </c>
      <c r="K2289" t="s">
        <v>32</v>
      </c>
      <c r="L2289" t="s">
        <v>11200</v>
      </c>
      <c r="M2289">
        <v>0</v>
      </c>
      <c r="N2289" t="s">
        <v>54</v>
      </c>
      <c r="O2289" t="s">
        <v>53</v>
      </c>
      <c r="P2289" t="s">
        <v>54</v>
      </c>
      <c r="Q2289" t="s">
        <v>53</v>
      </c>
      <c r="R2289" t="s">
        <v>53</v>
      </c>
      <c r="S2289" t="s">
        <v>11227</v>
      </c>
      <c r="T2289" t="s">
        <v>11248</v>
      </c>
      <c r="U2289" t="s">
        <v>54</v>
      </c>
      <c r="V2289" t="s">
        <v>11084</v>
      </c>
      <c r="W2289">
        <v>747450</v>
      </c>
      <c r="X2289" t="s">
        <v>54</v>
      </c>
      <c r="Y2289" t="s">
        <v>32</v>
      </c>
      <c r="Z2289">
        <v>0</v>
      </c>
      <c r="AB2289">
        <v>58</v>
      </c>
      <c r="AC2289">
        <v>77</v>
      </c>
      <c r="AD2289">
        <v>203</v>
      </c>
      <c r="AE2289">
        <v>280</v>
      </c>
      <c r="AF2289">
        <v>0</v>
      </c>
      <c r="AG2289">
        <v>0</v>
      </c>
      <c r="AH2289">
        <v>4.5910201072692871</v>
      </c>
      <c r="AI2289">
        <v>0</v>
      </c>
      <c r="AJ2289">
        <v>0</v>
      </c>
      <c r="AK2289" t="s">
        <v>54</v>
      </c>
      <c r="AL2289" t="s">
        <v>53</v>
      </c>
      <c r="AM2289" t="s">
        <v>32</v>
      </c>
      <c r="AP2289" t="s">
        <v>32</v>
      </c>
      <c r="AQ2289" t="s">
        <v>53</v>
      </c>
      <c r="AR2289" t="s">
        <v>32</v>
      </c>
      <c r="AT2289" t="s">
        <v>2805</v>
      </c>
      <c r="AV2289" t="s">
        <v>32</v>
      </c>
      <c r="AW2289" t="s">
        <v>54</v>
      </c>
      <c r="AX2289" t="s">
        <v>32</v>
      </c>
      <c r="AZ2289" t="s">
        <v>54</v>
      </c>
      <c r="BA2289" t="s">
        <v>11050</v>
      </c>
    </row>
    <row r="2290" spans="1:53" x14ac:dyDescent="0.25">
      <c r="A2290">
        <v>2285</v>
      </c>
      <c r="B2290" t="s">
        <v>11249</v>
      </c>
      <c r="C2290" t="s">
        <v>11250</v>
      </c>
      <c r="D2290" t="s">
        <v>11251</v>
      </c>
      <c r="E2290">
        <v>15</v>
      </c>
      <c r="F2290" t="s">
        <v>11042</v>
      </c>
      <c r="G2290" t="s">
        <v>11079</v>
      </c>
      <c r="H2290" t="s">
        <v>11252</v>
      </c>
      <c r="I2290" t="s">
        <v>32</v>
      </c>
      <c r="J2290" t="s">
        <v>11226</v>
      </c>
      <c r="K2290" t="s">
        <v>32</v>
      </c>
      <c r="L2290" t="s">
        <v>11054</v>
      </c>
      <c r="M2290">
        <v>0</v>
      </c>
      <c r="N2290" t="s">
        <v>54</v>
      </c>
      <c r="O2290" t="s">
        <v>53</v>
      </c>
      <c r="P2290" t="s">
        <v>54</v>
      </c>
      <c r="Q2290" t="s">
        <v>53</v>
      </c>
      <c r="R2290" t="s">
        <v>53</v>
      </c>
      <c r="S2290" t="s">
        <v>11227</v>
      </c>
      <c r="T2290" t="s">
        <v>11243</v>
      </c>
      <c r="U2290" t="s">
        <v>54</v>
      </c>
      <c r="V2290" t="s">
        <v>11049</v>
      </c>
      <c r="W2290">
        <v>1188000</v>
      </c>
      <c r="X2290" t="s">
        <v>54</v>
      </c>
      <c r="Y2290" t="s">
        <v>32</v>
      </c>
      <c r="Z2290">
        <v>0</v>
      </c>
      <c r="AB2290">
        <v>33</v>
      </c>
      <c r="AC2290">
        <v>33</v>
      </c>
      <c r="AD2290">
        <v>122</v>
      </c>
      <c r="AE2290">
        <v>155</v>
      </c>
      <c r="AF2290">
        <v>0</v>
      </c>
      <c r="AG2290">
        <v>0</v>
      </c>
      <c r="AH2290">
        <v>3.256139993667603</v>
      </c>
      <c r="AI2290">
        <v>0</v>
      </c>
      <c r="AJ2290">
        <v>0</v>
      </c>
      <c r="AK2290" t="s">
        <v>54</v>
      </c>
      <c r="AL2290" t="s">
        <v>54</v>
      </c>
      <c r="AM2290" t="s">
        <v>32</v>
      </c>
      <c r="AP2290" t="s">
        <v>32</v>
      </c>
      <c r="AQ2290" t="s">
        <v>54</v>
      </c>
      <c r="AR2290" t="s">
        <v>32</v>
      </c>
      <c r="AT2290" t="s">
        <v>2805</v>
      </c>
      <c r="AV2290" t="s">
        <v>32</v>
      </c>
      <c r="AW2290" t="s">
        <v>53</v>
      </c>
      <c r="AX2290" t="s">
        <v>32</v>
      </c>
      <c r="AZ2290" t="s">
        <v>54</v>
      </c>
      <c r="BA2290" t="s">
        <v>11050</v>
      </c>
    </row>
    <row r="2291" spans="1:53" x14ac:dyDescent="0.25">
      <c r="A2291">
        <v>2286</v>
      </c>
      <c r="B2291" t="s">
        <v>11253</v>
      </c>
      <c r="C2291" t="s">
        <v>11254</v>
      </c>
      <c r="D2291" t="s">
        <v>11255</v>
      </c>
      <c r="E2291">
        <v>15</v>
      </c>
      <c r="F2291" t="s">
        <v>11042</v>
      </c>
      <c r="G2291" t="s">
        <v>11079</v>
      </c>
      <c r="H2291" t="s">
        <v>11256</v>
      </c>
      <c r="I2291" t="s">
        <v>32</v>
      </c>
      <c r="J2291" t="s">
        <v>11226</v>
      </c>
      <c r="K2291" t="s">
        <v>32</v>
      </c>
      <c r="L2291" t="s">
        <v>11054</v>
      </c>
      <c r="M2291">
        <v>0</v>
      </c>
      <c r="N2291" t="s">
        <v>54</v>
      </c>
      <c r="O2291" t="s">
        <v>53</v>
      </c>
      <c r="P2291" t="s">
        <v>54</v>
      </c>
      <c r="Q2291" t="s">
        <v>53</v>
      </c>
      <c r="R2291" t="s">
        <v>53</v>
      </c>
      <c r="S2291" t="s">
        <v>11227</v>
      </c>
      <c r="T2291" t="s">
        <v>11257</v>
      </c>
      <c r="U2291" t="s">
        <v>54</v>
      </c>
      <c r="V2291" t="s">
        <v>11049</v>
      </c>
      <c r="W2291">
        <v>909150</v>
      </c>
      <c r="X2291" t="s">
        <v>54</v>
      </c>
      <c r="Y2291" t="s">
        <v>32</v>
      </c>
      <c r="Z2291">
        <v>0</v>
      </c>
      <c r="AB2291">
        <v>141</v>
      </c>
      <c r="AC2291">
        <v>145</v>
      </c>
      <c r="AD2291">
        <v>447</v>
      </c>
      <c r="AE2291">
        <v>592</v>
      </c>
      <c r="AF2291">
        <v>0</v>
      </c>
      <c r="AG2291">
        <v>0</v>
      </c>
      <c r="AH2291">
        <v>10.15839958190918</v>
      </c>
      <c r="AI2291">
        <v>0</v>
      </c>
      <c r="AJ2291">
        <v>0</v>
      </c>
      <c r="AK2291" t="s">
        <v>54</v>
      </c>
      <c r="AL2291" t="s">
        <v>54</v>
      </c>
      <c r="AM2291" t="s">
        <v>32</v>
      </c>
      <c r="AP2291" t="s">
        <v>32</v>
      </c>
      <c r="AQ2291" t="s">
        <v>54</v>
      </c>
      <c r="AR2291" t="s">
        <v>32</v>
      </c>
      <c r="AT2291" t="s">
        <v>2805</v>
      </c>
      <c r="AV2291" t="s">
        <v>32</v>
      </c>
      <c r="AW2291" t="s">
        <v>53</v>
      </c>
      <c r="AX2291" t="s">
        <v>32</v>
      </c>
      <c r="AZ2291" t="s">
        <v>54</v>
      </c>
      <c r="BA2291" t="s">
        <v>11050</v>
      </c>
    </row>
    <row r="2292" spans="1:53" x14ac:dyDescent="0.25">
      <c r="A2292">
        <v>2287</v>
      </c>
      <c r="B2292" t="s">
        <v>11258</v>
      </c>
      <c r="C2292" t="s">
        <v>11259</v>
      </c>
      <c r="D2292" t="s">
        <v>11260</v>
      </c>
      <c r="E2292">
        <v>15</v>
      </c>
      <c r="F2292" t="s">
        <v>11042</v>
      </c>
      <c r="G2292" t="s">
        <v>11079</v>
      </c>
      <c r="H2292" t="s">
        <v>11261</v>
      </c>
      <c r="I2292" t="s">
        <v>32</v>
      </c>
      <c r="J2292" t="s">
        <v>11226</v>
      </c>
      <c r="K2292" t="s">
        <v>32</v>
      </c>
      <c r="L2292" t="s">
        <v>11054</v>
      </c>
      <c r="M2292">
        <v>0</v>
      </c>
      <c r="N2292" t="s">
        <v>54</v>
      </c>
      <c r="O2292" t="s">
        <v>53</v>
      </c>
      <c r="P2292" t="s">
        <v>54</v>
      </c>
      <c r="Q2292" t="s">
        <v>53</v>
      </c>
      <c r="R2292" t="s">
        <v>53</v>
      </c>
      <c r="S2292" t="s">
        <v>11227</v>
      </c>
      <c r="T2292" t="s">
        <v>11262</v>
      </c>
      <c r="U2292" t="s">
        <v>54</v>
      </c>
      <c r="V2292" t="s">
        <v>11049</v>
      </c>
      <c r="W2292">
        <v>899250</v>
      </c>
      <c r="X2292" t="s">
        <v>54</v>
      </c>
      <c r="Y2292" t="s">
        <v>32</v>
      </c>
      <c r="Z2292">
        <v>0</v>
      </c>
      <c r="AB2292">
        <v>67</v>
      </c>
      <c r="AC2292">
        <v>76</v>
      </c>
      <c r="AD2292">
        <v>278</v>
      </c>
      <c r="AE2292">
        <v>354</v>
      </c>
      <c r="AF2292">
        <v>0</v>
      </c>
      <c r="AG2292">
        <v>2</v>
      </c>
      <c r="AH2292">
        <v>15.44429969787598</v>
      </c>
      <c r="AI2292">
        <v>0</v>
      </c>
      <c r="AJ2292">
        <v>0</v>
      </c>
      <c r="AK2292" t="s">
        <v>54</v>
      </c>
      <c r="AL2292" t="s">
        <v>54</v>
      </c>
      <c r="AM2292" t="s">
        <v>32</v>
      </c>
      <c r="AP2292" t="s">
        <v>32</v>
      </c>
      <c r="AQ2292" t="s">
        <v>54</v>
      </c>
      <c r="AR2292" t="s">
        <v>32</v>
      </c>
      <c r="AT2292" t="s">
        <v>2805</v>
      </c>
      <c r="AV2292" t="s">
        <v>32</v>
      </c>
      <c r="AW2292" t="s">
        <v>53</v>
      </c>
      <c r="AX2292" t="s">
        <v>32</v>
      </c>
      <c r="AZ2292" t="s">
        <v>54</v>
      </c>
      <c r="BA2292" t="s">
        <v>11050</v>
      </c>
    </row>
    <row r="2293" spans="1:53" x14ac:dyDescent="0.25">
      <c r="A2293">
        <v>2288</v>
      </c>
      <c r="B2293" t="s">
        <v>11263</v>
      </c>
      <c r="C2293" t="s">
        <v>11264</v>
      </c>
      <c r="D2293" t="s">
        <v>11265</v>
      </c>
      <c r="E2293">
        <v>15</v>
      </c>
      <c r="F2293" t="s">
        <v>11042</v>
      </c>
      <c r="G2293" t="s">
        <v>11079</v>
      </c>
      <c r="H2293" t="s">
        <v>11266</v>
      </c>
      <c r="I2293" t="s">
        <v>32</v>
      </c>
      <c r="J2293" t="s">
        <v>11226</v>
      </c>
      <c r="K2293" t="s">
        <v>32</v>
      </c>
      <c r="L2293" t="s">
        <v>11054</v>
      </c>
      <c r="M2293">
        <v>0</v>
      </c>
      <c r="N2293" t="s">
        <v>54</v>
      </c>
      <c r="O2293" t="s">
        <v>53</v>
      </c>
      <c r="P2293" t="s">
        <v>54</v>
      </c>
      <c r="Q2293" t="s">
        <v>53</v>
      </c>
      <c r="R2293" t="s">
        <v>53</v>
      </c>
      <c r="S2293" t="s">
        <v>11227</v>
      </c>
      <c r="T2293" t="s">
        <v>11248</v>
      </c>
      <c r="U2293" t="s">
        <v>54</v>
      </c>
      <c r="V2293" t="s">
        <v>11049</v>
      </c>
      <c r="W2293">
        <v>541200</v>
      </c>
      <c r="X2293" t="s">
        <v>54</v>
      </c>
      <c r="Y2293" t="s">
        <v>32</v>
      </c>
      <c r="Z2293">
        <v>0</v>
      </c>
      <c r="AB2293">
        <v>19</v>
      </c>
      <c r="AC2293">
        <v>39</v>
      </c>
      <c r="AD2293">
        <v>105</v>
      </c>
      <c r="AE2293">
        <v>144</v>
      </c>
      <c r="AF2293">
        <v>0</v>
      </c>
      <c r="AG2293">
        <v>0</v>
      </c>
      <c r="AH2293">
        <v>3.7775299549102779</v>
      </c>
      <c r="AI2293">
        <v>0</v>
      </c>
      <c r="AJ2293">
        <v>0</v>
      </c>
      <c r="AK2293" t="s">
        <v>54</v>
      </c>
      <c r="AL2293" t="s">
        <v>54</v>
      </c>
      <c r="AM2293" t="s">
        <v>32</v>
      </c>
      <c r="AP2293" t="s">
        <v>32</v>
      </c>
      <c r="AQ2293" t="s">
        <v>54</v>
      </c>
      <c r="AR2293" t="s">
        <v>32</v>
      </c>
      <c r="AT2293" t="s">
        <v>2805</v>
      </c>
      <c r="AV2293" t="s">
        <v>32</v>
      </c>
      <c r="AW2293" t="s">
        <v>53</v>
      </c>
      <c r="AX2293" t="s">
        <v>32</v>
      </c>
      <c r="AZ2293" t="s">
        <v>54</v>
      </c>
      <c r="BA2293" t="s">
        <v>11050</v>
      </c>
    </row>
    <row r="2294" spans="1:53" x14ac:dyDescent="0.25">
      <c r="A2294">
        <v>2289</v>
      </c>
      <c r="B2294" t="s">
        <v>11267</v>
      </c>
      <c r="C2294" t="s">
        <v>11268</v>
      </c>
      <c r="D2294" t="s">
        <v>11269</v>
      </c>
      <c r="E2294">
        <v>15</v>
      </c>
      <c r="F2294" t="s">
        <v>11042</v>
      </c>
      <c r="G2294" t="s">
        <v>10626</v>
      </c>
      <c r="H2294" t="s">
        <v>11270</v>
      </c>
      <c r="I2294" t="s">
        <v>32</v>
      </c>
      <c r="J2294" t="s">
        <v>11271</v>
      </c>
      <c r="K2294" t="s">
        <v>32</v>
      </c>
      <c r="L2294" t="s">
        <v>11054</v>
      </c>
      <c r="M2294">
        <v>0</v>
      </c>
      <c r="N2294" t="s">
        <v>54</v>
      </c>
      <c r="O2294" t="s">
        <v>53</v>
      </c>
      <c r="P2294" t="s">
        <v>54</v>
      </c>
      <c r="Q2294" t="s">
        <v>53</v>
      </c>
      <c r="R2294" t="s">
        <v>53</v>
      </c>
      <c r="S2294" t="s">
        <v>11272</v>
      </c>
      <c r="T2294" t="s">
        <v>11273</v>
      </c>
      <c r="U2294" t="s">
        <v>54</v>
      </c>
      <c r="V2294" t="s">
        <v>11084</v>
      </c>
      <c r="W2294">
        <v>330000</v>
      </c>
      <c r="X2294" t="s">
        <v>54</v>
      </c>
      <c r="Y2294" t="s">
        <v>32</v>
      </c>
      <c r="Z2294">
        <v>0</v>
      </c>
      <c r="AB2294">
        <v>570</v>
      </c>
      <c r="AC2294">
        <v>1075</v>
      </c>
      <c r="AD2294">
        <v>2632</v>
      </c>
      <c r="AE2294">
        <v>3707</v>
      </c>
      <c r="AF2294">
        <v>1</v>
      </c>
      <c r="AG2294">
        <v>0</v>
      </c>
      <c r="AH2294">
        <v>24.324300765991211</v>
      </c>
      <c r="AI2294">
        <v>0</v>
      </c>
      <c r="AJ2294">
        <v>0</v>
      </c>
      <c r="AK2294" t="s">
        <v>54</v>
      </c>
      <c r="AL2294" t="s">
        <v>53</v>
      </c>
      <c r="AM2294" t="s">
        <v>32</v>
      </c>
      <c r="AP2294" t="s">
        <v>32</v>
      </c>
      <c r="AQ2294" t="s">
        <v>53</v>
      </c>
      <c r="AR2294" t="s">
        <v>32</v>
      </c>
      <c r="AT2294" t="s">
        <v>2805</v>
      </c>
      <c r="AV2294" t="s">
        <v>32</v>
      </c>
      <c r="AW2294" t="s">
        <v>54</v>
      </c>
      <c r="AX2294" t="s">
        <v>32</v>
      </c>
      <c r="AZ2294" t="s">
        <v>54</v>
      </c>
      <c r="BA2294" t="s">
        <v>11050</v>
      </c>
    </row>
    <row r="2295" spans="1:53" x14ac:dyDescent="0.25">
      <c r="A2295">
        <v>2290</v>
      </c>
      <c r="B2295" t="s">
        <v>11274</v>
      </c>
      <c r="C2295" t="s">
        <v>11275</v>
      </c>
      <c r="D2295" t="s">
        <v>11276</v>
      </c>
      <c r="E2295">
        <v>15</v>
      </c>
      <c r="F2295" t="s">
        <v>11042</v>
      </c>
      <c r="G2295" t="s">
        <v>11079</v>
      </c>
      <c r="H2295" t="s">
        <v>11080</v>
      </c>
      <c r="I2295" t="s">
        <v>32</v>
      </c>
      <c r="J2295" t="s">
        <v>32</v>
      </c>
      <c r="K2295" t="s">
        <v>32</v>
      </c>
      <c r="L2295" t="s">
        <v>11081</v>
      </c>
      <c r="M2295">
        <v>0</v>
      </c>
      <c r="N2295" t="s">
        <v>53</v>
      </c>
      <c r="O2295" t="s">
        <v>53</v>
      </c>
      <c r="P2295" t="s">
        <v>53</v>
      </c>
      <c r="Q2295" t="s">
        <v>53</v>
      </c>
      <c r="R2295" t="s">
        <v>53</v>
      </c>
      <c r="S2295" t="s">
        <v>11082</v>
      </c>
      <c r="T2295" t="s">
        <v>11277</v>
      </c>
      <c r="U2295" t="s">
        <v>54</v>
      </c>
      <c r="V2295" t="s">
        <v>11084</v>
      </c>
      <c r="W2295">
        <v>1526550</v>
      </c>
      <c r="X2295" t="s">
        <v>54</v>
      </c>
      <c r="Y2295" t="s">
        <v>32</v>
      </c>
      <c r="Z2295">
        <v>0</v>
      </c>
      <c r="AB2295">
        <v>368</v>
      </c>
      <c r="AC2295">
        <v>417</v>
      </c>
      <c r="AD2295">
        <v>1400</v>
      </c>
      <c r="AE2295">
        <v>1817</v>
      </c>
      <c r="AF2295">
        <v>0</v>
      </c>
      <c r="AG2295">
        <v>0</v>
      </c>
      <c r="AH2295">
        <v>19.46360015869141</v>
      </c>
      <c r="AI2295">
        <v>0</v>
      </c>
      <c r="AJ2295">
        <v>0</v>
      </c>
      <c r="AK2295" t="s">
        <v>54</v>
      </c>
      <c r="AL2295" t="s">
        <v>53</v>
      </c>
      <c r="AM2295" t="s">
        <v>32</v>
      </c>
      <c r="AP2295" t="s">
        <v>32</v>
      </c>
      <c r="AQ2295" t="s">
        <v>53</v>
      </c>
      <c r="AR2295" t="s">
        <v>32</v>
      </c>
      <c r="AT2295" t="s">
        <v>2805</v>
      </c>
      <c r="AV2295" t="s">
        <v>32</v>
      </c>
      <c r="AW2295" t="s">
        <v>54</v>
      </c>
      <c r="AX2295" t="s">
        <v>32</v>
      </c>
      <c r="AZ2295" t="s">
        <v>54</v>
      </c>
      <c r="BA2295" t="s">
        <v>11050</v>
      </c>
    </row>
    <row r="2296" spans="1:53" x14ac:dyDescent="0.25">
      <c r="A2296">
        <v>2291</v>
      </c>
      <c r="B2296" t="s">
        <v>11278</v>
      </c>
      <c r="C2296" t="s">
        <v>11279</v>
      </c>
      <c r="D2296" t="s">
        <v>11280</v>
      </c>
      <c r="E2296">
        <v>15</v>
      </c>
      <c r="F2296" t="s">
        <v>11042</v>
      </c>
      <c r="G2296" t="s">
        <v>11079</v>
      </c>
      <c r="H2296" t="s">
        <v>11080</v>
      </c>
      <c r="I2296" t="s">
        <v>32</v>
      </c>
      <c r="J2296" t="s">
        <v>32</v>
      </c>
      <c r="K2296" t="s">
        <v>32</v>
      </c>
      <c r="L2296" t="s">
        <v>11081</v>
      </c>
      <c r="M2296">
        <v>0</v>
      </c>
      <c r="N2296" t="s">
        <v>53</v>
      </c>
      <c r="O2296" t="s">
        <v>53</v>
      </c>
      <c r="P2296" t="s">
        <v>53</v>
      </c>
      <c r="Q2296" t="s">
        <v>53</v>
      </c>
      <c r="R2296" t="s">
        <v>53</v>
      </c>
      <c r="S2296" t="s">
        <v>11082</v>
      </c>
      <c r="T2296" t="s">
        <v>11281</v>
      </c>
      <c r="U2296" t="s">
        <v>54</v>
      </c>
      <c r="V2296" t="s">
        <v>11084</v>
      </c>
      <c r="W2296">
        <v>1093500</v>
      </c>
      <c r="X2296" t="s">
        <v>54</v>
      </c>
      <c r="Y2296" t="s">
        <v>32</v>
      </c>
      <c r="Z2296">
        <v>0</v>
      </c>
      <c r="AB2296">
        <v>257</v>
      </c>
      <c r="AC2296">
        <v>254</v>
      </c>
      <c r="AD2296">
        <v>355</v>
      </c>
      <c r="AE2296">
        <v>609</v>
      </c>
      <c r="AF2296">
        <v>0</v>
      </c>
      <c r="AG2296">
        <v>0</v>
      </c>
      <c r="AH2296">
        <v>17.548200607299801</v>
      </c>
      <c r="AI2296">
        <v>0</v>
      </c>
      <c r="AJ2296">
        <v>0</v>
      </c>
      <c r="AK2296" t="s">
        <v>54</v>
      </c>
      <c r="AL2296" t="s">
        <v>53</v>
      </c>
      <c r="AM2296" t="s">
        <v>32</v>
      </c>
      <c r="AP2296" t="s">
        <v>32</v>
      </c>
      <c r="AQ2296" t="s">
        <v>53</v>
      </c>
      <c r="AR2296" t="s">
        <v>32</v>
      </c>
      <c r="AT2296" t="s">
        <v>2805</v>
      </c>
      <c r="AV2296" t="s">
        <v>32</v>
      </c>
      <c r="AW2296" t="s">
        <v>54</v>
      </c>
      <c r="AX2296" t="s">
        <v>32</v>
      </c>
      <c r="AZ2296" t="s">
        <v>54</v>
      </c>
      <c r="BA2296" t="s">
        <v>11050</v>
      </c>
    </row>
    <row r="2297" spans="1:53" x14ac:dyDescent="0.25">
      <c r="A2297">
        <v>2292</v>
      </c>
      <c r="B2297" t="s">
        <v>11282</v>
      </c>
      <c r="C2297" t="s">
        <v>11283</v>
      </c>
      <c r="D2297" t="s">
        <v>11284</v>
      </c>
      <c r="E2297">
        <v>15</v>
      </c>
      <c r="F2297" t="s">
        <v>11042</v>
      </c>
      <c r="G2297" t="s">
        <v>11079</v>
      </c>
      <c r="H2297" t="s">
        <v>11080</v>
      </c>
      <c r="I2297" t="s">
        <v>32</v>
      </c>
      <c r="J2297" t="s">
        <v>32</v>
      </c>
      <c r="K2297" t="s">
        <v>32</v>
      </c>
      <c r="L2297" t="s">
        <v>11081</v>
      </c>
      <c r="M2297">
        <v>0</v>
      </c>
      <c r="N2297" t="s">
        <v>53</v>
      </c>
      <c r="O2297" t="s">
        <v>53</v>
      </c>
      <c r="P2297" t="s">
        <v>53</v>
      </c>
      <c r="Q2297" t="s">
        <v>53</v>
      </c>
      <c r="R2297" t="s">
        <v>53</v>
      </c>
      <c r="S2297" t="s">
        <v>11082</v>
      </c>
      <c r="T2297" t="s">
        <v>11281</v>
      </c>
      <c r="U2297" t="s">
        <v>54</v>
      </c>
      <c r="V2297" t="s">
        <v>11084</v>
      </c>
      <c r="W2297">
        <v>570300</v>
      </c>
      <c r="X2297" t="s">
        <v>54</v>
      </c>
      <c r="Y2297" t="s">
        <v>32</v>
      </c>
      <c r="Z2297">
        <v>0</v>
      </c>
      <c r="AB2297">
        <v>112</v>
      </c>
      <c r="AC2297">
        <v>133</v>
      </c>
      <c r="AD2297">
        <v>489</v>
      </c>
      <c r="AE2297">
        <v>622</v>
      </c>
      <c r="AF2297">
        <v>0</v>
      </c>
      <c r="AG2297">
        <v>0</v>
      </c>
      <c r="AH2297">
        <v>11.7987003326416</v>
      </c>
      <c r="AI2297">
        <v>0</v>
      </c>
      <c r="AJ2297">
        <v>0</v>
      </c>
      <c r="AK2297" t="s">
        <v>54</v>
      </c>
      <c r="AL2297" t="s">
        <v>53</v>
      </c>
      <c r="AM2297" t="s">
        <v>32</v>
      </c>
      <c r="AP2297" t="s">
        <v>32</v>
      </c>
      <c r="AQ2297" t="s">
        <v>53</v>
      </c>
      <c r="AR2297" t="s">
        <v>32</v>
      </c>
      <c r="AT2297" t="s">
        <v>2805</v>
      </c>
      <c r="AV2297" t="s">
        <v>32</v>
      </c>
      <c r="AW2297" t="s">
        <v>54</v>
      </c>
      <c r="AX2297" t="s">
        <v>32</v>
      </c>
      <c r="AZ2297" t="s">
        <v>54</v>
      </c>
      <c r="BA2297" t="s">
        <v>11050</v>
      </c>
    </row>
    <row r="2298" spans="1:53" x14ac:dyDescent="0.25">
      <c r="A2298">
        <v>2293</v>
      </c>
      <c r="B2298" t="s">
        <v>11285</v>
      </c>
      <c r="C2298" t="s">
        <v>11286</v>
      </c>
      <c r="D2298" t="s">
        <v>11286</v>
      </c>
      <c r="E2298">
        <v>15</v>
      </c>
      <c r="F2298" t="s">
        <v>11042</v>
      </c>
      <c r="G2298" t="s">
        <v>11079</v>
      </c>
      <c r="H2298" t="s">
        <v>11080</v>
      </c>
      <c r="I2298" t="s">
        <v>32</v>
      </c>
      <c r="J2298" t="s">
        <v>32</v>
      </c>
      <c r="K2298" t="s">
        <v>32</v>
      </c>
      <c r="L2298" t="s">
        <v>11081</v>
      </c>
      <c r="M2298">
        <v>0</v>
      </c>
      <c r="N2298" t="s">
        <v>53</v>
      </c>
      <c r="O2298" t="s">
        <v>53</v>
      </c>
      <c r="P2298" t="s">
        <v>53</v>
      </c>
      <c r="Q2298" t="s">
        <v>53</v>
      </c>
      <c r="R2298" t="s">
        <v>53</v>
      </c>
      <c r="S2298" t="s">
        <v>11082</v>
      </c>
      <c r="T2298" t="s">
        <v>11092</v>
      </c>
      <c r="U2298" t="s">
        <v>54</v>
      </c>
      <c r="V2298" t="s">
        <v>11084</v>
      </c>
      <c r="W2298">
        <v>213000</v>
      </c>
      <c r="X2298" t="s">
        <v>54</v>
      </c>
      <c r="Y2298" t="s">
        <v>32</v>
      </c>
      <c r="Z2298">
        <v>0</v>
      </c>
      <c r="AB2298">
        <v>0</v>
      </c>
      <c r="AC2298">
        <v>0</v>
      </c>
      <c r="AD2298">
        <v>0</v>
      </c>
      <c r="AE2298">
        <v>0</v>
      </c>
      <c r="AF2298">
        <v>0</v>
      </c>
      <c r="AG2298">
        <v>0</v>
      </c>
      <c r="AH2298">
        <v>0</v>
      </c>
      <c r="AI2298">
        <v>0</v>
      </c>
      <c r="AJ2298">
        <v>0</v>
      </c>
      <c r="AK2298" t="s">
        <v>54</v>
      </c>
      <c r="AL2298" t="s">
        <v>53</v>
      </c>
      <c r="AM2298" t="s">
        <v>32</v>
      </c>
      <c r="AP2298" t="s">
        <v>32</v>
      </c>
      <c r="AQ2298" t="s">
        <v>53</v>
      </c>
      <c r="AR2298" t="s">
        <v>32</v>
      </c>
      <c r="AT2298" t="s">
        <v>2805</v>
      </c>
      <c r="AV2298" t="s">
        <v>32</v>
      </c>
      <c r="AW2298" t="s">
        <v>54</v>
      </c>
      <c r="AX2298" t="s">
        <v>32</v>
      </c>
      <c r="AZ2298" t="s">
        <v>54</v>
      </c>
      <c r="BA2298" t="s">
        <v>11050</v>
      </c>
    </row>
    <row r="2299" spans="1:53" x14ac:dyDescent="0.25">
      <c r="A2299">
        <v>2294</v>
      </c>
      <c r="B2299" t="s">
        <v>11287</v>
      </c>
      <c r="C2299" t="s">
        <v>11288</v>
      </c>
      <c r="D2299" t="s">
        <v>11288</v>
      </c>
      <c r="E2299">
        <v>15</v>
      </c>
      <c r="F2299" t="s">
        <v>11042</v>
      </c>
      <c r="G2299" t="s">
        <v>11079</v>
      </c>
      <c r="H2299" t="s">
        <v>11080</v>
      </c>
      <c r="I2299" t="s">
        <v>32</v>
      </c>
      <c r="J2299" t="s">
        <v>32</v>
      </c>
      <c r="K2299" t="s">
        <v>32</v>
      </c>
      <c r="L2299" t="s">
        <v>11081</v>
      </c>
      <c r="M2299">
        <v>0</v>
      </c>
      <c r="N2299" t="s">
        <v>53</v>
      </c>
      <c r="O2299" t="s">
        <v>53</v>
      </c>
      <c r="P2299" t="s">
        <v>53</v>
      </c>
      <c r="Q2299" t="s">
        <v>53</v>
      </c>
      <c r="R2299" t="s">
        <v>53</v>
      </c>
      <c r="S2299" t="s">
        <v>11082</v>
      </c>
      <c r="T2299" t="s">
        <v>11092</v>
      </c>
      <c r="U2299" t="s">
        <v>54</v>
      </c>
      <c r="V2299" t="s">
        <v>11084</v>
      </c>
      <c r="W2299">
        <v>165000</v>
      </c>
      <c r="X2299" t="s">
        <v>54</v>
      </c>
      <c r="Y2299" t="s">
        <v>32</v>
      </c>
      <c r="Z2299">
        <v>0</v>
      </c>
      <c r="AB2299">
        <v>0</v>
      </c>
      <c r="AC2299">
        <v>0</v>
      </c>
      <c r="AD2299">
        <v>0</v>
      </c>
      <c r="AE2299">
        <v>0</v>
      </c>
      <c r="AF2299">
        <v>0</v>
      </c>
      <c r="AG2299">
        <v>0</v>
      </c>
      <c r="AH2299">
        <v>0</v>
      </c>
      <c r="AI2299">
        <v>0</v>
      </c>
      <c r="AJ2299">
        <v>0</v>
      </c>
      <c r="AK2299" t="s">
        <v>54</v>
      </c>
      <c r="AL2299" t="s">
        <v>53</v>
      </c>
      <c r="AM2299" t="s">
        <v>32</v>
      </c>
      <c r="AP2299" t="s">
        <v>32</v>
      </c>
      <c r="AQ2299" t="s">
        <v>53</v>
      </c>
      <c r="AR2299" t="s">
        <v>32</v>
      </c>
      <c r="AT2299" t="s">
        <v>2805</v>
      </c>
      <c r="AV2299" t="s">
        <v>32</v>
      </c>
      <c r="AW2299" t="s">
        <v>54</v>
      </c>
      <c r="AX2299" t="s">
        <v>32</v>
      </c>
      <c r="AZ2299" t="s">
        <v>54</v>
      </c>
      <c r="BA2299" t="s">
        <v>11050</v>
      </c>
    </row>
    <row r="2300" spans="1:53" x14ac:dyDescent="0.25">
      <c r="A2300">
        <v>2295</v>
      </c>
      <c r="B2300" t="s">
        <v>11289</v>
      </c>
      <c r="C2300" t="s">
        <v>11290</v>
      </c>
      <c r="D2300" t="s">
        <v>11290</v>
      </c>
      <c r="E2300">
        <v>15</v>
      </c>
      <c r="F2300" t="s">
        <v>11042</v>
      </c>
      <c r="G2300" t="s">
        <v>11079</v>
      </c>
      <c r="H2300" t="s">
        <v>11080</v>
      </c>
      <c r="I2300" t="s">
        <v>32</v>
      </c>
      <c r="J2300" t="s">
        <v>32</v>
      </c>
      <c r="K2300" t="s">
        <v>32</v>
      </c>
      <c r="L2300" t="s">
        <v>11081</v>
      </c>
      <c r="M2300">
        <v>0</v>
      </c>
      <c r="N2300" t="s">
        <v>53</v>
      </c>
      <c r="O2300" t="s">
        <v>53</v>
      </c>
      <c r="P2300" t="s">
        <v>53</v>
      </c>
      <c r="Q2300" t="s">
        <v>53</v>
      </c>
      <c r="R2300" t="s">
        <v>53</v>
      </c>
      <c r="S2300" t="s">
        <v>11082</v>
      </c>
      <c r="T2300" t="s">
        <v>11083</v>
      </c>
      <c r="U2300" t="s">
        <v>54</v>
      </c>
      <c r="V2300" t="s">
        <v>11084</v>
      </c>
      <c r="W2300">
        <v>124500</v>
      </c>
      <c r="X2300" t="s">
        <v>54</v>
      </c>
      <c r="Y2300" t="s">
        <v>32</v>
      </c>
      <c r="Z2300">
        <v>0</v>
      </c>
      <c r="AB2300">
        <v>0</v>
      </c>
      <c r="AC2300">
        <v>0</v>
      </c>
      <c r="AD2300">
        <v>0</v>
      </c>
      <c r="AE2300">
        <v>0</v>
      </c>
      <c r="AF2300">
        <v>0</v>
      </c>
      <c r="AG2300">
        <v>0</v>
      </c>
      <c r="AH2300">
        <v>0</v>
      </c>
      <c r="AI2300">
        <v>0</v>
      </c>
      <c r="AJ2300">
        <v>0</v>
      </c>
      <c r="AK2300" t="s">
        <v>54</v>
      </c>
      <c r="AL2300" t="s">
        <v>53</v>
      </c>
      <c r="AM2300" t="s">
        <v>32</v>
      </c>
      <c r="AP2300" t="s">
        <v>32</v>
      </c>
      <c r="AQ2300" t="s">
        <v>53</v>
      </c>
      <c r="AR2300" t="s">
        <v>32</v>
      </c>
      <c r="AT2300" t="s">
        <v>2805</v>
      </c>
      <c r="AV2300" t="s">
        <v>32</v>
      </c>
      <c r="AW2300" t="s">
        <v>54</v>
      </c>
      <c r="AX2300" t="s">
        <v>32</v>
      </c>
      <c r="AZ2300" t="s">
        <v>54</v>
      </c>
      <c r="BA2300" t="s">
        <v>11050</v>
      </c>
    </row>
    <row r="2301" spans="1:53" x14ac:dyDescent="0.25">
      <c r="A2301">
        <v>2296</v>
      </c>
      <c r="B2301" t="s">
        <v>11291</v>
      </c>
      <c r="C2301" t="s">
        <v>11292</v>
      </c>
      <c r="D2301" t="s">
        <v>11292</v>
      </c>
      <c r="E2301">
        <v>15</v>
      </c>
      <c r="F2301" t="s">
        <v>11042</v>
      </c>
      <c r="G2301" t="s">
        <v>11079</v>
      </c>
      <c r="H2301" t="s">
        <v>11080</v>
      </c>
      <c r="I2301" t="s">
        <v>32</v>
      </c>
      <c r="J2301" t="s">
        <v>32</v>
      </c>
      <c r="K2301" t="s">
        <v>32</v>
      </c>
      <c r="L2301" t="s">
        <v>11081</v>
      </c>
      <c r="M2301">
        <v>0</v>
      </c>
      <c r="N2301" t="s">
        <v>53</v>
      </c>
      <c r="O2301" t="s">
        <v>53</v>
      </c>
      <c r="P2301" t="s">
        <v>53</v>
      </c>
      <c r="Q2301" t="s">
        <v>53</v>
      </c>
      <c r="R2301" t="s">
        <v>53</v>
      </c>
      <c r="S2301" t="s">
        <v>11082</v>
      </c>
      <c r="T2301" t="s">
        <v>11083</v>
      </c>
      <c r="U2301" t="s">
        <v>54</v>
      </c>
      <c r="V2301" t="s">
        <v>11084</v>
      </c>
      <c r="W2301">
        <v>480000</v>
      </c>
      <c r="X2301" t="s">
        <v>54</v>
      </c>
      <c r="Y2301" t="s">
        <v>32</v>
      </c>
      <c r="Z2301">
        <v>0</v>
      </c>
      <c r="AB2301">
        <v>0</v>
      </c>
      <c r="AC2301">
        <v>0</v>
      </c>
      <c r="AD2301">
        <v>0</v>
      </c>
      <c r="AE2301">
        <v>0</v>
      </c>
      <c r="AF2301">
        <v>0</v>
      </c>
      <c r="AG2301">
        <v>0</v>
      </c>
      <c r="AH2301">
        <v>2.178380012512207</v>
      </c>
      <c r="AI2301">
        <v>0</v>
      </c>
      <c r="AJ2301">
        <v>0</v>
      </c>
      <c r="AK2301" t="s">
        <v>54</v>
      </c>
      <c r="AL2301" t="s">
        <v>53</v>
      </c>
      <c r="AM2301" t="s">
        <v>32</v>
      </c>
      <c r="AP2301" t="s">
        <v>32</v>
      </c>
      <c r="AQ2301" t="s">
        <v>53</v>
      </c>
      <c r="AR2301" t="s">
        <v>32</v>
      </c>
      <c r="AT2301" t="s">
        <v>2805</v>
      </c>
      <c r="AV2301" t="s">
        <v>32</v>
      </c>
      <c r="AW2301" t="s">
        <v>54</v>
      </c>
      <c r="AX2301" t="s">
        <v>32</v>
      </c>
      <c r="AZ2301" t="s">
        <v>54</v>
      </c>
      <c r="BA2301" t="s">
        <v>11050</v>
      </c>
    </row>
    <row r="2302" spans="1:53" x14ac:dyDescent="0.25">
      <c r="A2302">
        <v>2297</v>
      </c>
      <c r="B2302" t="s">
        <v>11293</v>
      </c>
      <c r="C2302" t="s">
        <v>11294</v>
      </c>
      <c r="D2302" t="s">
        <v>11294</v>
      </c>
      <c r="E2302">
        <v>15</v>
      </c>
      <c r="F2302" t="s">
        <v>11042</v>
      </c>
      <c r="G2302" t="s">
        <v>11079</v>
      </c>
      <c r="H2302" t="s">
        <v>11080</v>
      </c>
      <c r="I2302" t="s">
        <v>32</v>
      </c>
      <c r="J2302" t="s">
        <v>32</v>
      </c>
      <c r="K2302" t="s">
        <v>32</v>
      </c>
      <c r="L2302" t="s">
        <v>11081</v>
      </c>
      <c r="M2302">
        <v>0</v>
      </c>
      <c r="N2302" t="s">
        <v>53</v>
      </c>
      <c r="O2302" t="s">
        <v>53</v>
      </c>
      <c r="P2302" t="s">
        <v>53</v>
      </c>
      <c r="Q2302" t="s">
        <v>53</v>
      </c>
      <c r="R2302" t="s">
        <v>53</v>
      </c>
      <c r="S2302" t="s">
        <v>11082</v>
      </c>
      <c r="T2302" t="s">
        <v>11083</v>
      </c>
      <c r="U2302" t="s">
        <v>54</v>
      </c>
      <c r="V2302" t="s">
        <v>11084</v>
      </c>
      <c r="W2302">
        <v>271500</v>
      </c>
      <c r="X2302" t="s">
        <v>54</v>
      </c>
      <c r="Y2302" t="s">
        <v>32</v>
      </c>
      <c r="Z2302">
        <v>0</v>
      </c>
      <c r="AB2302">
        <v>0</v>
      </c>
      <c r="AC2302">
        <v>0</v>
      </c>
      <c r="AD2302">
        <v>0</v>
      </c>
      <c r="AE2302">
        <v>0</v>
      </c>
      <c r="AF2302">
        <v>0</v>
      </c>
      <c r="AG2302">
        <v>0</v>
      </c>
      <c r="AH2302">
        <v>0</v>
      </c>
      <c r="AI2302">
        <v>0</v>
      </c>
      <c r="AJ2302">
        <v>0</v>
      </c>
      <c r="AK2302" t="s">
        <v>54</v>
      </c>
      <c r="AL2302" t="s">
        <v>53</v>
      </c>
      <c r="AM2302" t="s">
        <v>32</v>
      </c>
      <c r="AP2302" t="s">
        <v>32</v>
      </c>
      <c r="AQ2302" t="s">
        <v>53</v>
      </c>
      <c r="AR2302" t="s">
        <v>32</v>
      </c>
      <c r="AT2302" t="s">
        <v>2805</v>
      </c>
      <c r="AV2302" t="s">
        <v>32</v>
      </c>
      <c r="AW2302" t="s">
        <v>54</v>
      </c>
      <c r="AX2302" t="s">
        <v>32</v>
      </c>
      <c r="AZ2302" t="s">
        <v>54</v>
      </c>
      <c r="BA2302" t="s">
        <v>11050</v>
      </c>
    </row>
    <row r="2303" spans="1:53" x14ac:dyDescent="0.25">
      <c r="A2303">
        <v>2298</v>
      </c>
      <c r="B2303" t="s">
        <v>11295</v>
      </c>
      <c r="C2303" t="s">
        <v>11296</v>
      </c>
      <c r="D2303" t="s">
        <v>11296</v>
      </c>
      <c r="E2303">
        <v>15</v>
      </c>
      <c r="F2303" t="s">
        <v>11042</v>
      </c>
      <c r="G2303" t="s">
        <v>11079</v>
      </c>
      <c r="H2303" t="s">
        <v>11080</v>
      </c>
      <c r="I2303" t="s">
        <v>32</v>
      </c>
      <c r="J2303" t="s">
        <v>32</v>
      </c>
      <c r="K2303" t="s">
        <v>32</v>
      </c>
      <c r="L2303" t="s">
        <v>11081</v>
      </c>
      <c r="M2303">
        <v>0</v>
      </c>
      <c r="N2303" t="s">
        <v>53</v>
      </c>
      <c r="O2303" t="s">
        <v>53</v>
      </c>
      <c r="P2303" t="s">
        <v>53</v>
      </c>
      <c r="Q2303" t="s">
        <v>53</v>
      </c>
      <c r="R2303" t="s">
        <v>53</v>
      </c>
      <c r="S2303" t="s">
        <v>11082</v>
      </c>
      <c r="T2303" t="s">
        <v>11083</v>
      </c>
      <c r="U2303" t="s">
        <v>54</v>
      </c>
      <c r="V2303" t="s">
        <v>11084</v>
      </c>
      <c r="W2303">
        <v>217500</v>
      </c>
      <c r="X2303" t="s">
        <v>54</v>
      </c>
      <c r="Y2303" t="s">
        <v>32</v>
      </c>
      <c r="Z2303">
        <v>0</v>
      </c>
      <c r="AB2303">
        <v>0</v>
      </c>
      <c r="AC2303">
        <v>0</v>
      </c>
      <c r="AD2303">
        <v>0</v>
      </c>
      <c r="AE2303">
        <v>0</v>
      </c>
      <c r="AF2303">
        <v>0</v>
      </c>
      <c r="AG2303">
        <v>0</v>
      </c>
      <c r="AH2303">
        <v>0</v>
      </c>
      <c r="AI2303">
        <v>0</v>
      </c>
      <c r="AJ2303">
        <v>0</v>
      </c>
      <c r="AK2303" t="s">
        <v>54</v>
      </c>
      <c r="AL2303" t="s">
        <v>53</v>
      </c>
      <c r="AM2303" t="s">
        <v>32</v>
      </c>
      <c r="AP2303" t="s">
        <v>32</v>
      </c>
      <c r="AQ2303" t="s">
        <v>53</v>
      </c>
      <c r="AR2303" t="s">
        <v>32</v>
      </c>
      <c r="AT2303" t="s">
        <v>2805</v>
      </c>
      <c r="AV2303" t="s">
        <v>32</v>
      </c>
      <c r="AW2303" t="s">
        <v>54</v>
      </c>
      <c r="AX2303" t="s">
        <v>32</v>
      </c>
      <c r="AZ2303" t="s">
        <v>54</v>
      </c>
      <c r="BA2303" t="s">
        <v>11050</v>
      </c>
    </row>
    <row r="2304" spans="1:53" x14ac:dyDescent="0.25">
      <c r="A2304">
        <v>2299</v>
      </c>
      <c r="B2304" t="s">
        <v>11297</v>
      </c>
      <c r="C2304" t="s">
        <v>11298</v>
      </c>
      <c r="D2304" t="s">
        <v>11298</v>
      </c>
      <c r="E2304">
        <v>15</v>
      </c>
      <c r="F2304" t="s">
        <v>11042</v>
      </c>
      <c r="G2304" t="s">
        <v>11079</v>
      </c>
      <c r="H2304" t="s">
        <v>11080</v>
      </c>
      <c r="I2304" t="s">
        <v>32</v>
      </c>
      <c r="J2304" t="s">
        <v>32</v>
      </c>
      <c r="K2304" t="s">
        <v>32</v>
      </c>
      <c r="L2304" t="s">
        <v>11081</v>
      </c>
      <c r="M2304">
        <v>0</v>
      </c>
      <c r="N2304" t="s">
        <v>53</v>
      </c>
      <c r="O2304" t="s">
        <v>53</v>
      </c>
      <c r="P2304" t="s">
        <v>53</v>
      </c>
      <c r="Q2304" t="s">
        <v>53</v>
      </c>
      <c r="R2304" t="s">
        <v>53</v>
      </c>
      <c r="S2304" t="s">
        <v>11082</v>
      </c>
      <c r="T2304" t="s">
        <v>11083</v>
      </c>
      <c r="U2304" t="s">
        <v>54</v>
      </c>
      <c r="V2304" t="s">
        <v>11084</v>
      </c>
      <c r="W2304">
        <v>388500</v>
      </c>
      <c r="X2304" t="s">
        <v>54</v>
      </c>
      <c r="Y2304" t="s">
        <v>32</v>
      </c>
      <c r="Z2304">
        <v>0</v>
      </c>
      <c r="AB2304">
        <v>0</v>
      </c>
      <c r="AC2304">
        <v>0</v>
      </c>
      <c r="AD2304">
        <v>0</v>
      </c>
      <c r="AE2304">
        <v>0</v>
      </c>
      <c r="AF2304">
        <v>0</v>
      </c>
      <c r="AG2304">
        <v>0</v>
      </c>
      <c r="AH2304">
        <v>0</v>
      </c>
      <c r="AI2304">
        <v>0</v>
      </c>
      <c r="AJ2304">
        <v>0</v>
      </c>
      <c r="AK2304" t="s">
        <v>54</v>
      </c>
      <c r="AL2304" t="s">
        <v>53</v>
      </c>
      <c r="AM2304" t="s">
        <v>32</v>
      </c>
      <c r="AP2304" t="s">
        <v>32</v>
      </c>
      <c r="AQ2304" t="s">
        <v>53</v>
      </c>
      <c r="AR2304" t="s">
        <v>32</v>
      </c>
      <c r="AT2304" t="s">
        <v>2805</v>
      </c>
      <c r="AV2304" t="s">
        <v>32</v>
      </c>
      <c r="AW2304" t="s">
        <v>54</v>
      </c>
      <c r="AX2304" t="s">
        <v>32</v>
      </c>
      <c r="AZ2304" t="s">
        <v>54</v>
      </c>
      <c r="BA2304" t="s">
        <v>11050</v>
      </c>
    </row>
    <row r="2305" spans="1:53" x14ac:dyDescent="0.25">
      <c r="A2305">
        <v>2300</v>
      </c>
      <c r="B2305" t="s">
        <v>11299</v>
      </c>
      <c r="C2305" t="s">
        <v>11300</v>
      </c>
      <c r="D2305" t="s">
        <v>11300</v>
      </c>
      <c r="E2305">
        <v>15</v>
      </c>
      <c r="F2305" t="s">
        <v>11042</v>
      </c>
      <c r="G2305" t="s">
        <v>11079</v>
      </c>
      <c r="H2305" t="s">
        <v>11080</v>
      </c>
      <c r="I2305" t="s">
        <v>32</v>
      </c>
      <c r="J2305" t="s">
        <v>32</v>
      </c>
      <c r="K2305" t="s">
        <v>32</v>
      </c>
      <c r="L2305" t="s">
        <v>11081</v>
      </c>
      <c r="M2305">
        <v>0</v>
      </c>
      <c r="N2305" t="s">
        <v>53</v>
      </c>
      <c r="O2305" t="s">
        <v>53</v>
      </c>
      <c r="P2305" t="s">
        <v>53</v>
      </c>
      <c r="Q2305" t="s">
        <v>53</v>
      </c>
      <c r="R2305" t="s">
        <v>53</v>
      </c>
      <c r="S2305" t="s">
        <v>11082</v>
      </c>
      <c r="T2305" t="s">
        <v>11083</v>
      </c>
      <c r="U2305" t="s">
        <v>54</v>
      </c>
      <c r="V2305" t="s">
        <v>11084</v>
      </c>
      <c r="W2305">
        <v>310500</v>
      </c>
      <c r="X2305" t="s">
        <v>54</v>
      </c>
      <c r="Y2305" t="s">
        <v>32</v>
      </c>
      <c r="Z2305">
        <v>0</v>
      </c>
      <c r="AB2305">
        <v>0</v>
      </c>
      <c r="AC2305">
        <v>0</v>
      </c>
      <c r="AD2305">
        <v>0</v>
      </c>
      <c r="AE2305">
        <v>0</v>
      </c>
      <c r="AF2305">
        <v>0</v>
      </c>
      <c r="AG2305">
        <v>0</v>
      </c>
      <c r="AH2305">
        <v>1.5419900417327881</v>
      </c>
      <c r="AI2305">
        <v>0</v>
      </c>
      <c r="AJ2305">
        <v>0</v>
      </c>
      <c r="AK2305" t="s">
        <v>54</v>
      </c>
      <c r="AL2305" t="s">
        <v>53</v>
      </c>
      <c r="AM2305" t="s">
        <v>32</v>
      </c>
      <c r="AP2305" t="s">
        <v>32</v>
      </c>
      <c r="AQ2305" t="s">
        <v>53</v>
      </c>
      <c r="AR2305" t="s">
        <v>32</v>
      </c>
      <c r="AT2305" t="s">
        <v>2805</v>
      </c>
      <c r="AV2305" t="s">
        <v>32</v>
      </c>
      <c r="AW2305" t="s">
        <v>54</v>
      </c>
      <c r="AX2305" t="s">
        <v>32</v>
      </c>
      <c r="AZ2305" t="s">
        <v>54</v>
      </c>
      <c r="BA2305" t="s">
        <v>11050</v>
      </c>
    </row>
    <row r="2306" spans="1:53" x14ac:dyDescent="0.25">
      <c r="A2306">
        <v>2301</v>
      </c>
      <c r="B2306" t="s">
        <v>11301</v>
      </c>
      <c r="C2306" t="s">
        <v>11302</v>
      </c>
      <c r="D2306" t="s">
        <v>11302</v>
      </c>
      <c r="E2306">
        <v>15</v>
      </c>
      <c r="F2306" t="s">
        <v>11042</v>
      </c>
      <c r="G2306" t="s">
        <v>11079</v>
      </c>
      <c r="H2306" t="s">
        <v>11080</v>
      </c>
      <c r="I2306" t="s">
        <v>32</v>
      </c>
      <c r="J2306" t="s">
        <v>32</v>
      </c>
      <c r="K2306" t="s">
        <v>32</v>
      </c>
      <c r="L2306" t="s">
        <v>11081</v>
      </c>
      <c r="M2306">
        <v>0</v>
      </c>
      <c r="N2306" t="s">
        <v>53</v>
      </c>
      <c r="O2306" t="s">
        <v>53</v>
      </c>
      <c r="P2306" t="s">
        <v>53</v>
      </c>
      <c r="Q2306" t="s">
        <v>53</v>
      </c>
      <c r="R2306" t="s">
        <v>53</v>
      </c>
      <c r="S2306" t="s">
        <v>11082</v>
      </c>
      <c r="T2306" t="s">
        <v>11281</v>
      </c>
      <c r="U2306" t="s">
        <v>54</v>
      </c>
      <c r="V2306" t="s">
        <v>11084</v>
      </c>
      <c r="W2306">
        <v>165000</v>
      </c>
      <c r="X2306" t="s">
        <v>54</v>
      </c>
      <c r="Y2306" t="s">
        <v>32</v>
      </c>
      <c r="Z2306">
        <v>0</v>
      </c>
      <c r="AB2306">
        <v>0</v>
      </c>
      <c r="AC2306">
        <v>0</v>
      </c>
      <c r="AD2306">
        <v>0</v>
      </c>
      <c r="AE2306">
        <v>0</v>
      </c>
      <c r="AF2306">
        <v>0</v>
      </c>
      <c r="AG2306">
        <v>0</v>
      </c>
      <c r="AH2306">
        <v>1.676810026168823</v>
      </c>
      <c r="AI2306">
        <v>0</v>
      </c>
      <c r="AJ2306">
        <v>0</v>
      </c>
      <c r="AK2306" t="s">
        <v>54</v>
      </c>
      <c r="AL2306" t="s">
        <v>53</v>
      </c>
      <c r="AM2306" t="s">
        <v>32</v>
      </c>
      <c r="AP2306" t="s">
        <v>32</v>
      </c>
      <c r="AQ2306" t="s">
        <v>53</v>
      </c>
      <c r="AR2306" t="s">
        <v>32</v>
      </c>
      <c r="AT2306" t="s">
        <v>2805</v>
      </c>
      <c r="AV2306" t="s">
        <v>32</v>
      </c>
      <c r="AW2306" t="s">
        <v>54</v>
      </c>
      <c r="AX2306" t="s">
        <v>32</v>
      </c>
      <c r="AZ2306" t="s">
        <v>54</v>
      </c>
      <c r="BA2306" t="s">
        <v>11050</v>
      </c>
    </row>
    <row r="2307" spans="1:53" x14ac:dyDescent="0.25">
      <c r="A2307">
        <v>2302</v>
      </c>
      <c r="B2307" t="s">
        <v>11303</v>
      </c>
      <c r="C2307" t="s">
        <v>11304</v>
      </c>
      <c r="D2307" t="s">
        <v>11304</v>
      </c>
      <c r="E2307">
        <v>15</v>
      </c>
      <c r="F2307" t="s">
        <v>11042</v>
      </c>
      <c r="G2307" t="s">
        <v>11079</v>
      </c>
      <c r="H2307" t="s">
        <v>11080</v>
      </c>
      <c r="I2307" t="s">
        <v>32</v>
      </c>
      <c r="J2307" t="s">
        <v>32</v>
      </c>
      <c r="K2307" t="s">
        <v>32</v>
      </c>
      <c r="L2307" t="s">
        <v>11081</v>
      </c>
      <c r="M2307">
        <v>0</v>
      </c>
      <c r="N2307" t="s">
        <v>53</v>
      </c>
      <c r="O2307" t="s">
        <v>53</v>
      </c>
      <c r="P2307" t="s">
        <v>53</v>
      </c>
      <c r="Q2307" t="s">
        <v>53</v>
      </c>
      <c r="R2307" t="s">
        <v>53</v>
      </c>
      <c r="S2307" t="s">
        <v>11082</v>
      </c>
      <c r="T2307" t="s">
        <v>11083</v>
      </c>
      <c r="U2307" t="s">
        <v>54</v>
      </c>
      <c r="V2307" t="s">
        <v>11084</v>
      </c>
      <c r="W2307">
        <v>165000</v>
      </c>
      <c r="X2307" t="s">
        <v>54</v>
      </c>
      <c r="Y2307" t="s">
        <v>32</v>
      </c>
      <c r="Z2307">
        <v>0</v>
      </c>
      <c r="AB2307">
        <v>0</v>
      </c>
      <c r="AC2307">
        <v>0</v>
      </c>
      <c r="AD2307">
        <v>0</v>
      </c>
      <c r="AE2307">
        <v>0</v>
      </c>
      <c r="AF2307">
        <v>0</v>
      </c>
      <c r="AG2307">
        <v>0</v>
      </c>
      <c r="AH2307">
        <v>0</v>
      </c>
      <c r="AI2307">
        <v>0</v>
      </c>
      <c r="AJ2307">
        <v>0</v>
      </c>
      <c r="AK2307" t="s">
        <v>54</v>
      </c>
      <c r="AL2307" t="s">
        <v>53</v>
      </c>
      <c r="AM2307" t="s">
        <v>32</v>
      </c>
      <c r="AP2307" t="s">
        <v>32</v>
      </c>
      <c r="AQ2307" t="s">
        <v>53</v>
      </c>
      <c r="AR2307" t="s">
        <v>32</v>
      </c>
      <c r="AT2307" t="s">
        <v>2805</v>
      </c>
      <c r="AV2307" t="s">
        <v>32</v>
      </c>
      <c r="AW2307" t="s">
        <v>54</v>
      </c>
      <c r="AX2307" t="s">
        <v>32</v>
      </c>
      <c r="AZ2307" t="s">
        <v>54</v>
      </c>
      <c r="BA2307" t="s">
        <v>11050</v>
      </c>
    </row>
    <row r="2308" spans="1:53" x14ac:dyDescent="0.25">
      <c r="A2308">
        <v>2303</v>
      </c>
      <c r="B2308" t="s">
        <v>11305</v>
      </c>
      <c r="C2308" t="s">
        <v>11306</v>
      </c>
      <c r="D2308" t="s">
        <v>11306</v>
      </c>
      <c r="E2308">
        <v>15</v>
      </c>
      <c r="F2308" t="s">
        <v>11042</v>
      </c>
      <c r="G2308" t="s">
        <v>11079</v>
      </c>
      <c r="H2308" t="s">
        <v>11080</v>
      </c>
      <c r="I2308" t="s">
        <v>32</v>
      </c>
      <c r="J2308" t="s">
        <v>32</v>
      </c>
      <c r="K2308" t="s">
        <v>32</v>
      </c>
      <c r="L2308" t="s">
        <v>11081</v>
      </c>
      <c r="M2308">
        <v>0</v>
      </c>
      <c r="N2308" t="s">
        <v>53</v>
      </c>
      <c r="O2308" t="s">
        <v>53</v>
      </c>
      <c r="P2308" t="s">
        <v>53</v>
      </c>
      <c r="Q2308" t="s">
        <v>53</v>
      </c>
      <c r="R2308" t="s">
        <v>53</v>
      </c>
      <c r="S2308" t="s">
        <v>11082</v>
      </c>
      <c r="T2308" t="s">
        <v>11281</v>
      </c>
      <c r="U2308" t="s">
        <v>54</v>
      </c>
      <c r="V2308" t="s">
        <v>11084</v>
      </c>
      <c r="W2308">
        <v>244500</v>
      </c>
      <c r="X2308" t="s">
        <v>54</v>
      </c>
      <c r="Y2308" t="s">
        <v>32</v>
      </c>
      <c r="Z2308">
        <v>0</v>
      </c>
      <c r="AB2308">
        <v>391</v>
      </c>
      <c r="AC2308">
        <v>391</v>
      </c>
      <c r="AD2308">
        <v>1109</v>
      </c>
      <c r="AE2308">
        <v>1500</v>
      </c>
      <c r="AF2308">
        <v>0</v>
      </c>
      <c r="AG2308">
        <v>0</v>
      </c>
      <c r="AH2308">
        <v>13.297200202941889</v>
      </c>
      <c r="AI2308">
        <v>0</v>
      </c>
      <c r="AJ2308">
        <v>0</v>
      </c>
      <c r="AK2308" t="s">
        <v>54</v>
      </c>
      <c r="AL2308" t="s">
        <v>53</v>
      </c>
      <c r="AM2308" t="s">
        <v>32</v>
      </c>
      <c r="AP2308" t="s">
        <v>32</v>
      </c>
      <c r="AQ2308" t="s">
        <v>53</v>
      </c>
      <c r="AR2308" t="s">
        <v>32</v>
      </c>
      <c r="AT2308" t="s">
        <v>2805</v>
      </c>
      <c r="AV2308" t="s">
        <v>32</v>
      </c>
      <c r="AW2308" t="s">
        <v>54</v>
      </c>
      <c r="AX2308" t="s">
        <v>32</v>
      </c>
      <c r="AZ2308" t="s">
        <v>54</v>
      </c>
      <c r="BA2308" t="s">
        <v>11050</v>
      </c>
    </row>
    <row r="2309" spans="1:53" x14ac:dyDescent="0.25">
      <c r="A2309">
        <v>2304</v>
      </c>
      <c r="B2309" t="s">
        <v>11307</v>
      </c>
      <c r="C2309" t="s">
        <v>11308</v>
      </c>
      <c r="D2309" t="s">
        <v>11309</v>
      </c>
      <c r="E2309">
        <v>15</v>
      </c>
      <c r="F2309" t="s">
        <v>11042</v>
      </c>
      <c r="G2309" t="s">
        <v>11079</v>
      </c>
      <c r="H2309" t="s">
        <v>11080</v>
      </c>
      <c r="I2309" t="s">
        <v>32</v>
      </c>
      <c r="J2309" t="s">
        <v>32</v>
      </c>
      <c r="K2309" t="s">
        <v>32</v>
      </c>
      <c r="L2309" t="s">
        <v>11081</v>
      </c>
      <c r="M2309">
        <v>0</v>
      </c>
      <c r="N2309" t="s">
        <v>53</v>
      </c>
      <c r="O2309" t="s">
        <v>53</v>
      </c>
      <c r="P2309" t="s">
        <v>53</v>
      </c>
      <c r="Q2309" t="s">
        <v>53</v>
      </c>
      <c r="R2309" t="s">
        <v>53</v>
      </c>
      <c r="S2309" t="s">
        <v>11082</v>
      </c>
      <c r="T2309" t="s">
        <v>11281</v>
      </c>
      <c r="U2309" t="s">
        <v>54</v>
      </c>
      <c r="V2309" t="s">
        <v>11084</v>
      </c>
      <c r="W2309">
        <v>375900</v>
      </c>
      <c r="X2309" t="s">
        <v>54</v>
      </c>
      <c r="Y2309" t="s">
        <v>32</v>
      </c>
      <c r="Z2309">
        <v>0</v>
      </c>
      <c r="AB2309">
        <v>405</v>
      </c>
      <c r="AC2309">
        <v>797</v>
      </c>
      <c r="AD2309">
        <v>1679</v>
      </c>
      <c r="AE2309">
        <v>2476</v>
      </c>
      <c r="AF2309">
        <v>0</v>
      </c>
      <c r="AG2309">
        <v>0</v>
      </c>
      <c r="AH2309">
        <v>14.37240028381348</v>
      </c>
      <c r="AI2309">
        <v>0</v>
      </c>
      <c r="AJ2309">
        <v>0</v>
      </c>
      <c r="AK2309" t="s">
        <v>54</v>
      </c>
      <c r="AL2309" t="s">
        <v>53</v>
      </c>
      <c r="AM2309" t="s">
        <v>32</v>
      </c>
      <c r="AP2309" t="s">
        <v>32</v>
      </c>
      <c r="AQ2309" t="s">
        <v>53</v>
      </c>
      <c r="AR2309" t="s">
        <v>32</v>
      </c>
      <c r="AT2309" t="s">
        <v>2805</v>
      </c>
      <c r="AV2309" t="s">
        <v>32</v>
      </c>
      <c r="AW2309" t="s">
        <v>54</v>
      </c>
      <c r="AX2309" t="s">
        <v>32</v>
      </c>
      <c r="AZ2309" t="s">
        <v>54</v>
      </c>
      <c r="BA2309" t="s">
        <v>11050</v>
      </c>
    </row>
    <row r="2310" spans="1:53" x14ac:dyDescent="0.25">
      <c r="A2310">
        <v>2305</v>
      </c>
      <c r="B2310" t="s">
        <v>11310</v>
      </c>
      <c r="C2310" t="s">
        <v>11311</v>
      </c>
      <c r="D2310" t="s">
        <v>11312</v>
      </c>
      <c r="E2310">
        <v>15</v>
      </c>
      <c r="F2310" t="s">
        <v>11042</v>
      </c>
      <c r="G2310" t="s">
        <v>11079</v>
      </c>
      <c r="H2310" t="s">
        <v>11080</v>
      </c>
      <c r="I2310" t="s">
        <v>32</v>
      </c>
      <c r="J2310" t="s">
        <v>32</v>
      </c>
      <c r="K2310" t="s">
        <v>32</v>
      </c>
      <c r="L2310" t="s">
        <v>11081</v>
      </c>
      <c r="M2310">
        <v>0</v>
      </c>
      <c r="N2310" t="s">
        <v>53</v>
      </c>
      <c r="O2310" t="s">
        <v>53</v>
      </c>
      <c r="P2310" t="s">
        <v>53</v>
      </c>
      <c r="Q2310" t="s">
        <v>53</v>
      </c>
      <c r="R2310" t="s">
        <v>53</v>
      </c>
      <c r="S2310" t="s">
        <v>11313</v>
      </c>
      <c r="T2310" t="s">
        <v>11314</v>
      </c>
      <c r="U2310" t="s">
        <v>54</v>
      </c>
      <c r="V2310" t="s">
        <v>11315</v>
      </c>
      <c r="W2310">
        <v>250000</v>
      </c>
      <c r="X2310" t="s">
        <v>54</v>
      </c>
      <c r="Y2310" t="s">
        <v>32</v>
      </c>
      <c r="Z2310">
        <v>0</v>
      </c>
      <c r="AB2310">
        <v>153</v>
      </c>
      <c r="AC2310">
        <v>221</v>
      </c>
      <c r="AD2310">
        <v>633</v>
      </c>
      <c r="AE2310">
        <v>854</v>
      </c>
      <c r="AF2310">
        <v>0</v>
      </c>
      <c r="AG2310">
        <v>0</v>
      </c>
      <c r="AH2310">
        <v>9.6143598556518555</v>
      </c>
      <c r="AI2310">
        <v>0</v>
      </c>
      <c r="AJ2310">
        <v>0</v>
      </c>
      <c r="AK2310" t="s">
        <v>54</v>
      </c>
      <c r="AL2310" t="s">
        <v>53</v>
      </c>
      <c r="AM2310" t="s">
        <v>32</v>
      </c>
      <c r="AP2310" t="s">
        <v>32</v>
      </c>
      <c r="AQ2310" t="s">
        <v>53</v>
      </c>
      <c r="AR2310" t="s">
        <v>32</v>
      </c>
      <c r="AT2310" t="s">
        <v>2805</v>
      </c>
      <c r="AV2310" t="s">
        <v>32</v>
      </c>
      <c r="AW2310" t="s">
        <v>54</v>
      </c>
      <c r="AX2310" t="s">
        <v>32</v>
      </c>
      <c r="AZ2310" t="s">
        <v>54</v>
      </c>
      <c r="BA2310" t="s">
        <v>11050</v>
      </c>
    </row>
    <row r="2311" spans="1:53" x14ac:dyDescent="0.25">
      <c r="A2311">
        <v>2306</v>
      </c>
      <c r="B2311" t="s">
        <v>11316</v>
      </c>
      <c r="C2311" t="s">
        <v>11317</v>
      </c>
      <c r="D2311" t="s">
        <v>11318</v>
      </c>
      <c r="E2311">
        <v>15</v>
      </c>
      <c r="F2311" t="s">
        <v>11042</v>
      </c>
      <c r="G2311" t="s">
        <v>11319</v>
      </c>
      <c r="H2311" t="s">
        <v>11080</v>
      </c>
      <c r="I2311" t="s">
        <v>32</v>
      </c>
      <c r="J2311" t="s">
        <v>32</v>
      </c>
      <c r="K2311" t="s">
        <v>32</v>
      </c>
      <c r="L2311" t="s">
        <v>11081</v>
      </c>
      <c r="M2311">
        <v>0</v>
      </c>
      <c r="N2311" t="s">
        <v>53</v>
      </c>
      <c r="O2311" t="s">
        <v>53</v>
      </c>
      <c r="P2311" t="s">
        <v>53</v>
      </c>
      <c r="Q2311" t="s">
        <v>53</v>
      </c>
      <c r="R2311" t="s">
        <v>53</v>
      </c>
      <c r="S2311" t="s">
        <v>11320</v>
      </c>
      <c r="T2311" t="s">
        <v>11321</v>
      </c>
      <c r="U2311" t="s">
        <v>54</v>
      </c>
      <c r="V2311" t="s">
        <v>11315</v>
      </c>
      <c r="W2311">
        <v>250000</v>
      </c>
      <c r="X2311" t="s">
        <v>54</v>
      </c>
      <c r="Y2311" t="s">
        <v>32</v>
      </c>
      <c r="Z2311">
        <v>0</v>
      </c>
      <c r="AB2311">
        <v>27</v>
      </c>
      <c r="AC2311">
        <v>0</v>
      </c>
      <c r="AD2311">
        <v>9</v>
      </c>
      <c r="AE2311">
        <v>9</v>
      </c>
      <c r="AF2311">
        <v>0</v>
      </c>
      <c r="AG2311">
        <v>6</v>
      </c>
      <c r="AH2311">
        <v>44.976799011230469</v>
      </c>
      <c r="AI2311">
        <v>0</v>
      </c>
      <c r="AJ2311">
        <v>0</v>
      </c>
      <c r="AK2311" t="s">
        <v>54</v>
      </c>
      <c r="AL2311" t="s">
        <v>53</v>
      </c>
      <c r="AM2311" t="s">
        <v>32</v>
      </c>
      <c r="AP2311" t="s">
        <v>32</v>
      </c>
      <c r="AQ2311" t="s">
        <v>53</v>
      </c>
      <c r="AR2311" t="s">
        <v>32</v>
      </c>
      <c r="AT2311" t="s">
        <v>2805</v>
      </c>
      <c r="AV2311" t="s">
        <v>32</v>
      </c>
      <c r="AW2311" t="s">
        <v>54</v>
      </c>
      <c r="AX2311" t="s">
        <v>32</v>
      </c>
      <c r="AZ2311" t="s">
        <v>54</v>
      </c>
      <c r="BA2311" t="s">
        <v>11050</v>
      </c>
    </row>
    <row r="2312" spans="1:53" x14ac:dyDescent="0.25">
      <c r="A2312">
        <v>2307</v>
      </c>
      <c r="B2312" t="s">
        <v>11322</v>
      </c>
      <c r="C2312" t="s">
        <v>11323</v>
      </c>
      <c r="D2312" t="s">
        <v>11324</v>
      </c>
      <c r="E2312">
        <v>15</v>
      </c>
      <c r="F2312" t="s">
        <v>11042</v>
      </c>
      <c r="G2312" t="s">
        <v>11325</v>
      </c>
      <c r="H2312" t="s">
        <v>11080</v>
      </c>
      <c r="I2312" t="s">
        <v>32</v>
      </c>
      <c r="J2312" t="s">
        <v>32</v>
      </c>
      <c r="K2312" t="s">
        <v>32</v>
      </c>
      <c r="L2312" t="s">
        <v>11081</v>
      </c>
      <c r="M2312">
        <v>0</v>
      </c>
      <c r="N2312" t="s">
        <v>53</v>
      </c>
      <c r="O2312" t="s">
        <v>53</v>
      </c>
      <c r="P2312" t="s">
        <v>53</v>
      </c>
      <c r="Q2312" t="s">
        <v>53</v>
      </c>
      <c r="R2312" t="s">
        <v>53</v>
      </c>
      <c r="S2312" t="s">
        <v>11320</v>
      </c>
      <c r="T2312" t="s">
        <v>11326</v>
      </c>
      <c r="U2312" t="s">
        <v>54</v>
      </c>
      <c r="V2312" t="s">
        <v>11315</v>
      </c>
      <c r="W2312">
        <v>250000</v>
      </c>
      <c r="X2312" t="s">
        <v>54</v>
      </c>
      <c r="Y2312" t="s">
        <v>32</v>
      </c>
      <c r="Z2312">
        <v>0</v>
      </c>
      <c r="AB2312">
        <v>3</v>
      </c>
      <c r="AC2312">
        <v>0</v>
      </c>
      <c r="AD2312">
        <v>1</v>
      </c>
      <c r="AE2312">
        <v>1</v>
      </c>
      <c r="AF2312">
        <v>0</v>
      </c>
      <c r="AG2312">
        <v>0</v>
      </c>
      <c r="AH2312">
        <v>86.835800170898438</v>
      </c>
      <c r="AI2312">
        <v>0</v>
      </c>
      <c r="AJ2312">
        <v>0</v>
      </c>
      <c r="AK2312" t="s">
        <v>54</v>
      </c>
      <c r="AL2312" t="s">
        <v>53</v>
      </c>
      <c r="AM2312" t="s">
        <v>32</v>
      </c>
      <c r="AP2312" t="s">
        <v>32</v>
      </c>
      <c r="AQ2312" t="s">
        <v>53</v>
      </c>
      <c r="AR2312" t="s">
        <v>32</v>
      </c>
      <c r="AT2312" t="s">
        <v>2805</v>
      </c>
      <c r="AV2312" t="s">
        <v>32</v>
      </c>
      <c r="AW2312" t="s">
        <v>54</v>
      </c>
      <c r="AX2312" t="s">
        <v>32</v>
      </c>
      <c r="AZ2312" t="s">
        <v>54</v>
      </c>
      <c r="BA2312" t="s">
        <v>11050</v>
      </c>
    </row>
    <row r="2313" spans="1:53" x14ac:dyDescent="0.25">
      <c r="A2313">
        <v>2308</v>
      </c>
      <c r="B2313" t="s">
        <v>11327</v>
      </c>
      <c r="C2313" t="s">
        <v>11328</v>
      </c>
      <c r="D2313" t="s">
        <v>11329</v>
      </c>
      <c r="E2313">
        <v>15</v>
      </c>
      <c r="F2313" t="s">
        <v>11042</v>
      </c>
      <c r="G2313" t="s">
        <v>10236</v>
      </c>
      <c r="H2313" t="s">
        <v>11080</v>
      </c>
      <c r="I2313" t="s">
        <v>32</v>
      </c>
      <c r="J2313" t="s">
        <v>32</v>
      </c>
      <c r="K2313" t="s">
        <v>32</v>
      </c>
      <c r="L2313" t="s">
        <v>11081</v>
      </c>
      <c r="M2313">
        <v>0</v>
      </c>
      <c r="N2313" t="s">
        <v>53</v>
      </c>
      <c r="O2313" t="s">
        <v>53</v>
      </c>
      <c r="P2313" t="s">
        <v>53</v>
      </c>
      <c r="Q2313" t="s">
        <v>53</v>
      </c>
      <c r="R2313" t="s">
        <v>53</v>
      </c>
      <c r="S2313" t="s">
        <v>11330</v>
      </c>
      <c r="T2313" t="s">
        <v>11331</v>
      </c>
      <c r="U2313" t="s">
        <v>54</v>
      </c>
      <c r="V2313" t="s">
        <v>11315</v>
      </c>
      <c r="W2313">
        <v>250000</v>
      </c>
      <c r="X2313" t="s">
        <v>54</v>
      </c>
      <c r="Y2313" t="s">
        <v>32</v>
      </c>
      <c r="Z2313">
        <v>0</v>
      </c>
      <c r="AB2313">
        <v>151</v>
      </c>
      <c r="AC2313">
        <v>14</v>
      </c>
      <c r="AD2313">
        <v>40</v>
      </c>
      <c r="AE2313">
        <v>54</v>
      </c>
      <c r="AF2313">
        <v>0</v>
      </c>
      <c r="AG2313">
        <v>0</v>
      </c>
      <c r="AH2313">
        <v>636.052001953125</v>
      </c>
      <c r="AI2313">
        <v>0</v>
      </c>
      <c r="AJ2313">
        <v>0</v>
      </c>
      <c r="AK2313" t="s">
        <v>54</v>
      </c>
      <c r="AL2313" t="s">
        <v>53</v>
      </c>
      <c r="AM2313" t="s">
        <v>32</v>
      </c>
      <c r="AP2313" t="s">
        <v>32</v>
      </c>
      <c r="AQ2313" t="s">
        <v>53</v>
      </c>
      <c r="AR2313" t="s">
        <v>32</v>
      </c>
      <c r="AT2313" t="s">
        <v>2805</v>
      </c>
      <c r="AV2313" t="s">
        <v>32</v>
      </c>
      <c r="AW2313" t="s">
        <v>54</v>
      </c>
      <c r="AX2313" t="s">
        <v>32</v>
      </c>
      <c r="AZ2313" t="s">
        <v>54</v>
      </c>
      <c r="BA2313" t="s">
        <v>11050</v>
      </c>
    </row>
    <row r="2314" spans="1:53" x14ac:dyDescent="0.25">
      <c r="A2314">
        <v>2309</v>
      </c>
      <c r="B2314" t="s">
        <v>11332</v>
      </c>
      <c r="C2314" t="s">
        <v>11333</v>
      </c>
      <c r="D2314" t="s">
        <v>11334</v>
      </c>
      <c r="E2314">
        <v>15</v>
      </c>
      <c r="F2314" t="s">
        <v>11042</v>
      </c>
      <c r="G2314" t="s">
        <v>11120</v>
      </c>
      <c r="H2314" t="s">
        <v>11121</v>
      </c>
      <c r="I2314" t="s">
        <v>32</v>
      </c>
      <c r="J2314" t="s">
        <v>11184</v>
      </c>
      <c r="K2314" t="s">
        <v>32</v>
      </c>
      <c r="L2314" t="s">
        <v>11054</v>
      </c>
      <c r="M2314">
        <v>0</v>
      </c>
      <c r="N2314" t="s">
        <v>54</v>
      </c>
      <c r="O2314" t="s">
        <v>53</v>
      </c>
      <c r="P2314" t="s">
        <v>54</v>
      </c>
      <c r="Q2314" t="s">
        <v>53</v>
      </c>
      <c r="R2314" t="s">
        <v>53</v>
      </c>
      <c r="S2314" t="s">
        <v>11335</v>
      </c>
      <c r="T2314" t="s">
        <v>11336</v>
      </c>
      <c r="U2314" t="s">
        <v>54</v>
      </c>
      <c r="V2314" t="s">
        <v>11084</v>
      </c>
      <c r="W2314">
        <v>369600</v>
      </c>
      <c r="X2314" t="s">
        <v>54</v>
      </c>
      <c r="Y2314" t="s">
        <v>32</v>
      </c>
      <c r="Z2314">
        <v>0</v>
      </c>
      <c r="AB2314">
        <v>29</v>
      </c>
      <c r="AC2314">
        <v>21</v>
      </c>
      <c r="AD2314">
        <v>63</v>
      </c>
      <c r="AE2314">
        <v>84</v>
      </c>
      <c r="AF2314">
        <v>0</v>
      </c>
      <c r="AG2314">
        <v>0</v>
      </c>
      <c r="AH2314">
        <v>4.5637202262878418</v>
      </c>
      <c r="AI2314">
        <v>0</v>
      </c>
      <c r="AJ2314">
        <v>0</v>
      </c>
      <c r="AK2314" t="s">
        <v>54</v>
      </c>
      <c r="AL2314" t="s">
        <v>53</v>
      </c>
      <c r="AM2314" t="s">
        <v>32</v>
      </c>
      <c r="AP2314" t="s">
        <v>32</v>
      </c>
      <c r="AQ2314" t="s">
        <v>53</v>
      </c>
      <c r="AR2314" t="s">
        <v>32</v>
      </c>
      <c r="AT2314" t="s">
        <v>2805</v>
      </c>
      <c r="AV2314" t="s">
        <v>32</v>
      </c>
      <c r="AW2314" t="s">
        <v>54</v>
      </c>
      <c r="AX2314" t="s">
        <v>32</v>
      </c>
      <c r="AZ2314" t="s">
        <v>54</v>
      </c>
      <c r="BA2314" t="s">
        <v>11050</v>
      </c>
    </row>
    <row r="2315" spans="1:53" x14ac:dyDescent="0.25">
      <c r="A2315">
        <v>2310</v>
      </c>
      <c r="B2315" t="s">
        <v>11337</v>
      </c>
      <c r="C2315" t="s">
        <v>11338</v>
      </c>
      <c r="D2315" t="s">
        <v>11339</v>
      </c>
      <c r="E2315">
        <v>15</v>
      </c>
      <c r="F2315" t="s">
        <v>11042</v>
      </c>
      <c r="G2315" t="s">
        <v>11340</v>
      </c>
      <c r="H2315" t="s">
        <v>11080</v>
      </c>
      <c r="I2315" t="s">
        <v>32</v>
      </c>
      <c r="J2315" t="s">
        <v>32</v>
      </c>
      <c r="K2315" t="s">
        <v>32</v>
      </c>
      <c r="L2315" t="s">
        <v>11081</v>
      </c>
      <c r="M2315">
        <v>0</v>
      </c>
      <c r="N2315" t="s">
        <v>53</v>
      </c>
      <c r="O2315" t="s">
        <v>53</v>
      </c>
      <c r="P2315" t="s">
        <v>53</v>
      </c>
      <c r="Q2315" t="s">
        <v>53</v>
      </c>
      <c r="R2315" t="s">
        <v>53</v>
      </c>
      <c r="S2315" t="s">
        <v>11341</v>
      </c>
      <c r="T2315" t="s">
        <v>11342</v>
      </c>
      <c r="U2315" t="s">
        <v>54</v>
      </c>
      <c r="V2315" t="s">
        <v>11315</v>
      </c>
      <c r="W2315">
        <v>250000</v>
      </c>
      <c r="X2315" t="s">
        <v>54</v>
      </c>
      <c r="Y2315" t="s">
        <v>32</v>
      </c>
      <c r="Z2315">
        <v>0</v>
      </c>
      <c r="AB2315">
        <v>255</v>
      </c>
      <c r="AC2315">
        <v>987</v>
      </c>
      <c r="AD2315">
        <v>1007</v>
      </c>
      <c r="AE2315">
        <v>1994</v>
      </c>
      <c r="AF2315">
        <v>0</v>
      </c>
      <c r="AG2315">
        <v>0</v>
      </c>
      <c r="AH2315">
        <v>8.9883003234863281</v>
      </c>
      <c r="AI2315">
        <v>0</v>
      </c>
      <c r="AJ2315">
        <v>0</v>
      </c>
      <c r="AK2315" t="s">
        <v>54</v>
      </c>
      <c r="AL2315" t="s">
        <v>53</v>
      </c>
      <c r="AM2315" t="s">
        <v>32</v>
      </c>
      <c r="AP2315" t="s">
        <v>32</v>
      </c>
      <c r="AQ2315" t="s">
        <v>53</v>
      </c>
      <c r="AR2315" t="s">
        <v>32</v>
      </c>
      <c r="AT2315" t="s">
        <v>2805</v>
      </c>
      <c r="AV2315" t="s">
        <v>32</v>
      </c>
      <c r="AW2315" t="s">
        <v>54</v>
      </c>
      <c r="AX2315" t="s">
        <v>32</v>
      </c>
      <c r="AZ2315" t="s">
        <v>54</v>
      </c>
      <c r="BA2315" t="s">
        <v>11050</v>
      </c>
    </row>
    <row r="2316" spans="1:53" x14ac:dyDescent="0.25">
      <c r="A2316">
        <v>2311</v>
      </c>
      <c r="B2316" t="s">
        <v>11343</v>
      </c>
      <c r="C2316" t="s">
        <v>11344</v>
      </c>
      <c r="D2316" t="s">
        <v>11345</v>
      </c>
      <c r="E2316">
        <v>15</v>
      </c>
      <c r="F2316" t="s">
        <v>11042</v>
      </c>
      <c r="G2316" t="s">
        <v>10626</v>
      </c>
      <c r="H2316" t="s">
        <v>11080</v>
      </c>
      <c r="I2316" t="s">
        <v>32</v>
      </c>
      <c r="J2316" t="s">
        <v>32</v>
      </c>
      <c r="K2316" t="s">
        <v>32</v>
      </c>
      <c r="L2316" t="s">
        <v>11081</v>
      </c>
      <c r="M2316">
        <v>0</v>
      </c>
      <c r="N2316" t="s">
        <v>53</v>
      </c>
      <c r="O2316" t="s">
        <v>53</v>
      </c>
      <c r="P2316" t="s">
        <v>53</v>
      </c>
      <c r="Q2316" t="s">
        <v>53</v>
      </c>
      <c r="R2316" t="s">
        <v>53</v>
      </c>
      <c r="S2316" t="s">
        <v>11346</v>
      </c>
      <c r="T2316" t="s">
        <v>11347</v>
      </c>
      <c r="U2316" t="s">
        <v>54</v>
      </c>
      <c r="V2316" t="s">
        <v>11315</v>
      </c>
      <c r="W2316">
        <v>250000</v>
      </c>
      <c r="X2316" t="s">
        <v>54</v>
      </c>
      <c r="Y2316" t="s">
        <v>32</v>
      </c>
      <c r="Z2316">
        <v>0</v>
      </c>
      <c r="AB2316">
        <v>16</v>
      </c>
      <c r="AC2316">
        <v>17</v>
      </c>
      <c r="AD2316">
        <v>66</v>
      </c>
      <c r="AE2316">
        <v>83</v>
      </c>
      <c r="AF2316">
        <v>0</v>
      </c>
      <c r="AG2316">
        <v>0</v>
      </c>
      <c r="AH2316">
        <v>1.1154700517654419</v>
      </c>
      <c r="AI2316">
        <v>0</v>
      </c>
      <c r="AJ2316">
        <v>0</v>
      </c>
      <c r="AK2316" t="s">
        <v>54</v>
      </c>
      <c r="AL2316" t="s">
        <v>53</v>
      </c>
      <c r="AM2316" t="s">
        <v>32</v>
      </c>
      <c r="AP2316" t="s">
        <v>32</v>
      </c>
      <c r="AQ2316" t="s">
        <v>53</v>
      </c>
      <c r="AR2316" t="s">
        <v>32</v>
      </c>
      <c r="AT2316" t="s">
        <v>2805</v>
      </c>
      <c r="AV2316" t="s">
        <v>32</v>
      </c>
      <c r="AW2316" t="s">
        <v>54</v>
      </c>
      <c r="AX2316" t="s">
        <v>32</v>
      </c>
      <c r="AZ2316" t="s">
        <v>54</v>
      </c>
      <c r="BA2316" t="s">
        <v>11050</v>
      </c>
    </row>
    <row r="2317" spans="1:53" x14ac:dyDescent="0.25">
      <c r="A2317">
        <v>2312</v>
      </c>
      <c r="B2317" t="s">
        <v>11348</v>
      </c>
      <c r="C2317" t="s">
        <v>11349</v>
      </c>
      <c r="D2317" t="s">
        <v>11350</v>
      </c>
      <c r="E2317">
        <v>15</v>
      </c>
      <c r="F2317" t="s">
        <v>11042</v>
      </c>
      <c r="G2317" t="s">
        <v>11340</v>
      </c>
      <c r="H2317" t="s">
        <v>11080</v>
      </c>
      <c r="I2317" t="s">
        <v>32</v>
      </c>
      <c r="J2317" t="s">
        <v>32</v>
      </c>
      <c r="K2317" t="s">
        <v>32</v>
      </c>
      <c r="L2317" t="s">
        <v>11081</v>
      </c>
      <c r="M2317">
        <v>0</v>
      </c>
      <c r="N2317" t="s">
        <v>53</v>
      </c>
      <c r="O2317" t="s">
        <v>53</v>
      </c>
      <c r="P2317" t="s">
        <v>53</v>
      </c>
      <c r="Q2317" t="s">
        <v>53</v>
      </c>
      <c r="R2317" t="s">
        <v>53</v>
      </c>
      <c r="S2317" t="s">
        <v>11341</v>
      </c>
      <c r="T2317" t="s">
        <v>11351</v>
      </c>
      <c r="U2317" t="s">
        <v>54</v>
      </c>
      <c r="V2317" t="s">
        <v>11315</v>
      </c>
      <c r="W2317">
        <v>250000</v>
      </c>
      <c r="X2317" t="s">
        <v>54</v>
      </c>
      <c r="Y2317" t="s">
        <v>32</v>
      </c>
      <c r="Z2317">
        <v>0</v>
      </c>
      <c r="AB2317">
        <v>28</v>
      </c>
      <c r="AC2317">
        <v>16</v>
      </c>
      <c r="AD2317">
        <v>49</v>
      </c>
      <c r="AE2317">
        <v>65</v>
      </c>
      <c r="AF2317">
        <v>0</v>
      </c>
      <c r="AG2317">
        <v>0</v>
      </c>
      <c r="AH2317">
        <v>3.161639928817749</v>
      </c>
      <c r="AI2317">
        <v>0</v>
      </c>
      <c r="AJ2317">
        <v>0</v>
      </c>
      <c r="AK2317" t="s">
        <v>54</v>
      </c>
      <c r="AL2317" t="s">
        <v>53</v>
      </c>
      <c r="AM2317" t="s">
        <v>32</v>
      </c>
      <c r="AP2317" t="s">
        <v>32</v>
      </c>
      <c r="AQ2317" t="s">
        <v>53</v>
      </c>
      <c r="AR2317" t="s">
        <v>32</v>
      </c>
      <c r="AT2317" t="s">
        <v>2805</v>
      </c>
      <c r="AV2317" t="s">
        <v>32</v>
      </c>
      <c r="AW2317" t="s">
        <v>54</v>
      </c>
      <c r="AX2317" t="s">
        <v>32</v>
      </c>
      <c r="AZ2317" t="s">
        <v>54</v>
      </c>
      <c r="BA2317" t="s">
        <v>11050</v>
      </c>
    </row>
    <row r="2318" spans="1:53" x14ac:dyDescent="0.25">
      <c r="A2318">
        <v>2313</v>
      </c>
      <c r="B2318" t="s">
        <v>11352</v>
      </c>
      <c r="C2318" t="s">
        <v>11353</v>
      </c>
      <c r="D2318" t="s">
        <v>11354</v>
      </c>
      <c r="E2318">
        <v>15</v>
      </c>
      <c r="F2318" t="s">
        <v>11042</v>
      </c>
      <c r="G2318" t="s">
        <v>11340</v>
      </c>
      <c r="H2318" t="s">
        <v>11080</v>
      </c>
      <c r="I2318" t="s">
        <v>32</v>
      </c>
      <c r="J2318" t="s">
        <v>32</v>
      </c>
      <c r="K2318" t="s">
        <v>32</v>
      </c>
      <c r="L2318" t="s">
        <v>11081</v>
      </c>
      <c r="M2318">
        <v>0</v>
      </c>
      <c r="N2318" t="s">
        <v>53</v>
      </c>
      <c r="O2318" t="s">
        <v>53</v>
      </c>
      <c r="P2318" t="s">
        <v>53</v>
      </c>
      <c r="Q2318" t="s">
        <v>53</v>
      </c>
      <c r="R2318" t="s">
        <v>53</v>
      </c>
      <c r="S2318" t="s">
        <v>11341</v>
      </c>
      <c r="T2318" t="s">
        <v>11355</v>
      </c>
      <c r="U2318" t="s">
        <v>54</v>
      </c>
      <c r="V2318" t="s">
        <v>11315</v>
      </c>
      <c r="W2318">
        <v>250000</v>
      </c>
      <c r="X2318" t="s">
        <v>54</v>
      </c>
      <c r="Y2318" t="s">
        <v>32</v>
      </c>
      <c r="Z2318">
        <v>0</v>
      </c>
      <c r="AB2318">
        <v>789</v>
      </c>
      <c r="AC2318">
        <v>2948</v>
      </c>
      <c r="AD2318">
        <v>3087</v>
      </c>
      <c r="AE2318">
        <v>6035</v>
      </c>
      <c r="AF2318">
        <v>3</v>
      </c>
      <c r="AG2318">
        <v>0</v>
      </c>
      <c r="AH2318">
        <v>61.967899322509773</v>
      </c>
      <c r="AI2318">
        <v>0</v>
      </c>
      <c r="AJ2318">
        <v>0</v>
      </c>
      <c r="AK2318" t="s">
        <v>54</v>
      </c>
      <c r="AL2318" t="s">
        <v>53</v>
      </c>
      <c r="AM2318" t="s">
        <v>32</v>
      </c>
      <c r="AP2318" t="s">
        <v>32</v>
      </c>
      <c r="AQ2318" t="s">
        <v>53</v>
      </c>
      <c r="AR2318" t="s">
        <v>32</v>
      </c>
      <c r="AT2318" t="s">
        <v>2805</v>
      </c>
      <c r="AV2318" t="s">
        <v>32</v>
      </c>
      <c r="AW2318" t="s">
        <v>54</v>
      </c>
      <c r="AX2318" t="s">
        <v>32</v>
      </c>
      <c r="AZ2318" t="s">
        <v>54</v>
      </c>
      <c r="BA2318" t="s">
        <v>11050</v>
      </c>
    </row>
    <row r="2319" spans="1:53" x14ac:dyDescent="0.25">
      <c r="A2319">
        <v>2314</v>
      </c>
      <c r="B2319" t="s">
        <v>11356</v>
      </c>
      <c r="C2319" t="s">
        <v>11357</v>
      </c>
      <c r="D2319" t="s">
        <v>11358</v>
      </c>
      <c r="E2319">
        <v>15</v>
      </c>
      <c r="F2319" t="s">
        <v>11042</v>
      </c>
      <c r="G2319" t="s">
        <v>10626</v>
      </c>
      <c r="H2319" t="s">
        <v>11080</v>
      </c>
      <c r="I2319" t="s">
        <v>32</v>
      </c>
      <c r="J2319" t="s">
        <v>32</v>
      </c>
      <c r="K2319" t="s">
        <v>32</v>
      </c>
      <c r="L2319" t="s">
        <v>11081</v>
      </c>
      <c r="M2319">
        <v>0</v>
      </c>
      <c r="N2319" t="s">
        <v>53</v>
      </c>
      <c r="O2319" t="s">
        <v>53</v>
      </c>
      <c r="P2319" t="s">
        <v>53</v>
      </c>
      <c r="Q2319" t="s">
        <v>53</v>
      </c>
      <c r="R2319" t="s">
        <v>53</v>
      </c>
      <c r="S2319" t="s">
        <v>11346</v>
      </c>
      <c r="T2319" t="s">
        <v>11359</v>
      </c>
      <c r="U2319" t="s">
        <v>54</v>
      </c>
      <c r="V2319" t="s">
        <v>11315</v>
      </c>
      <c r="W2319">
        <v>250000</v>
      </c>
      <c r="X2319" t="s">
        <v>54</v>
      </c>
      <c r="Y2319" t="s">
        <v>32</v>
      </c>
      <c r="Z2319">
        <v>0</v>
      </c>
      <c r="AB2319">
        <v>263</v>
      </c>
      <c r="AC2319">
        <v>423</v>
      </c>
      <c r="AD2319">
        <v>1237</v>
      </c>
      <c r="AE2319">
        <v>1660</v>
      </c>
      <c r="AF2319">
        <v>1</v>
      </c>
      <c r="AG2319">
        <v>0</v>
      </c>
      <c r="AH2319">
        <v>7.0324797630310059</v>
      </c>
      <c r="AI2319">
        <v>0</v>
      </c>
      <c r="AJ2319">
        <v>0</v>
      </c>
      <c r="AK2319" t="s">
        <v>54</v>
      </c>
      <c r="AL2319" t="s">
        <v>53</v>
      </c>
      <c r="AM2319" t="s">
        <v>32</v>
      </c>
      <c r="AP2319" t="s">
        <v>32</v>
      </c>
      <c r="AQ2319" t="s">
        <v>53</v>
      </c>
      <c r="AR2319" t="s">
        <v>32</v>
      </c>
      <c r="AT2319" t="s">
        <v>2805</v>
      </c>
      <c r="AV2319" t="s">
        <v>32</v>
      </c>
      <c r="AW2319" t="s">
        <v>54</v>
      </c>
      <c r="AX2319" t="s">
        <v>32</v>
      </c>
      <c r="AZ2319" t="s">
        <v>54</v>
      </c>
      <c r="BA2319" t="s">
        <v>11050</v>
      </c>
    </row>
    <row r="2320" spans="1:53" x14ac:dyDescent="0.25">
      <c r="A2320">
        <v>2315</v>
      </c>
      <c r="B2320" t="s">
        <v>11360</v>
      </c>
      <c r="C2320" t="s">
        <v>11361</v>
      </c>
      <c r="D2320" t="s">
        <v>11362</v>
      </c>
      <c r="E2320">
        <v>15</v>
      </c>
      <c r="F2320" t="s">
        <v>11042</v>
      </c>
      <c r="G2320" t="s">
        <v>11340</v>
      </c>
      <c r="H2320" t="s">
        <v>11080</v>
      </c>
      <c r="I2320" t="s">
        <v>32</v>
      </c>
      <c r="J2320" t="s">
        <v>32</v>
      </c>
      <c r="K2320" t="s">
        <v>32</v>
      </c>
      <c r="L2320" t="s">
        <v>11081</v>
      </c>
      <c r="M2320">
        <v>0</v>
      </c>
      <c r="N2320" t="s">
        <v>53</v>
      </c>
      <c r="O2320" t="s">
        <v>53</v>
      </c>
      <c r="P2320" t="s">
        <v>53</v>
      </c>
      <c r="Q2320" t="s">
        <v>53</v>
      </c>
      <c r="R2320" t="s">
        <v>53</v>
      </c>
      <c r="S2320" t="s">
        <v>11341</v>
      </c>
      <c r="T2320" t="s">
        <v>11342</v>
      </c>
      <c r="U2320" t="s">
        <v>54</v>
      </c>
      <c r="V2320" t="s">
        <v>11315</v>
      </c>
      <c r="W2320">
        <v>250000</v>
      </c>
      <c r="X2320" t="s">
        <v>54</v>
      </c>
      <c r="Y2320" t="s">
        <v>32</v>
      </c>
      <c r="Z2320">
        <v>0</v>
      </c>
      <c r="AB2320">
        <v>1137</v>
      </c>
      <c r="AC2320">
        <v>2356</v>
      </c>
      <c r="AD2320">
        <v>4419</v>
      </c>
      <c r="AE2320">
        <v>6775</v>
      </c>
      <c r="AF2320">
        <v>1</v>
      </c>
      <c r="AG2320">
        <v>0</v>
      </c>
      <c r="AH2320">
        <v>24.482500076293949</v>
      </c>
      <c r="AI2320">
        <v>0</v>
      </c>
      <c r="AJ2320">
        <v>0</v>
      </c>
      <c r="AK2320" t="s">
        <v>54</v>
      </c>
      <c r="AL2320" t="s">
        <v>53</v>
      </c>
      <c r="AM2320" t="s">
        <v>32</v>
      </c>
      <c r="AP2320" t="s">
        <v>32</v>
      </c>
      <c r="AQ2320" t="s">
        <v>53</v>
      </c>
      <c r="AR2320" t="s">
        <v>32</v>
      </c>
      <c r="AT2320" t="s">
        <v>2805</v>
      </c>
      <c r="AV2320" t="s">
        <v>32</v>
      </c>
      <c r="AW2320" t="s">
        <v>54</v>
      </c>
      <c r="AX2320" t="s">
        <v>32</v>
      </c>
      <c r="AZ2320" t="s">
        <v>54</v>
      </c>
      <c r="BA2320" t="s">
        <v>11050</v>
      </c>
    </row>
    <row r="2321" spans="1:53" x14ac:dyDescent="0.25">
      <c r="A2321">
        <v>2316</v>
      </c>
      <c r="B2321" t="s">
        <v>11363</v>
      </c>
      <c r="C2321" t="s">
        <v>11364</v>
      </c>
      <c r="D2321" t="s">
        <v>11365</v>
      </c>
      <c r="E2321">
        <v>15</v>
      </c>
      <c r="F2321" t="s">
        <v>11042</v>
      </c>
      <c r="G2321" t="s">
        <v>11366</v>
      </c>
      <c r="H2321" t="s">
        <v>11080</v>
      </c>
      <c r="I2321" t="s">
        <v>32</v>
      </c>
      <c r="J2321" t="s">
        <v>32</v>
      </c>
      <c r="K2321" t="s">
        <v>32</v>
      </c>
      <c r="L2321" t="s">
        <v>11081</v>
      </c>
      <c r="M2321">
        <v>0</v>
      </c>
      <c r="N2321" t="s">
        <v>53</v>
      </c>
      <c r="O2321" t="s">
        <v>53</v>
      </c>
      <c r="P2321" t="s">
        <v>53</v>
      </c>
      <c r="Q2321" t="s">
        <v>53</v>
      </c>
      <c r="R2321" t="s">
        <v>53</v>
      </c>
      <c r="S2321" t="s">
        <v>11367</v>
      </c>
      <c r="T2321" t="s">
        <v>11368</v>
      </c>
      <c r="U2321" t="s">
        <v>54</v>
      </c>
      <c r="V2321" t="s">
        <v>11315</v>
      </c>
      <c r="W2321">
        <v>250000</v>
      </c>
      <c r="X2321" t="s">
        <v>54</v>
      </c>
      <c r="Y2321" t="s">
        <v>32</v>
      </c>
      <c r="Z2321">
        <v>0</v>
      </c>
      <c r="AB2321">
        <v>42</v>
      </c>
      <c r="AC2321">
        <v>6</v>
      </c>
      <c r="AD2321">
        <v>18</v>
      </c>
      <c r="AE2321">
        <v>24</v>
      </c>
      <c r="AF2321">
        <v>1</v>
      </c>
      <c r="AG2321">
        <v>1</v>
      </c>
      <c r="AH2321">
        <v>147.66099548339841</v>
      </c>
      <c r="AI2321">
        <v>0</v>
      </c>
      <c r="AJ2321">
        <v>0</v>
      </c>
      <c r="AK2321" t="s">
        <v>54</v>
      </c>
      <c r="AL2321" t="s">
        <v>53</v>
      </c>
      <c r="AM2321" t="s">
        <v>32</v>
      </c>
      <c r="AP2321" t="s">
        <v>32</v>
      </c>
      <c r="AQ2321" t="s">
        <v>53</v>
      </c>
      <c r="AR2321" t="s">
        <v>32</v>
      </c>
      <c r="AT2321" t="s">
        <v>2805</v>
      </c>
      <c r="AV2321" t="s">
        <v>32</v>
      </c>
      <c r="AW2321" t="s">
        <v>54</v>
      </c>
      <c r="AX2321" t="s">
        <v>32</v>
      </c>
      <c r="AZ2321" t="s">
        <v>54</v>
      </c>
      <c r="BA2321" t="s">
        <v>11050</v>
      </c>
    </row>
    <row r="2322" spans="1:53" x14ac:dyDescent="0.25">
      <c r="A2322">
        <v>2317</v>
      </c>
      <c r="B2322" t="s">
        <v>11369</v>
      </c>
      <c r="C2322" t="s">
        <v>11370</v>
      </c>
      <c r="D2322" t="s">
        <v>11371</v>
      </c>
      <c r="E2322">
        <v>15</v>
      </c>
      <c r="F2322" t="s">
        <v>11042</v>
      </c>
      <c r="G2322" t="s">
        <v>11372</v>
      </c>
      <c r="H2322" t="s">
        <v>11080</v>
      </c>
      <c r="I2322" t="s">
        <v>32</v>
      </c>
      <c r="J2322" t="s">
        <v>32</v>
      </c>
      <c r="K2322" t="s">
        <v>32</v>
      </c>
      <c r="L2322" t="s">
        <v>11081</v>
      </c>
      <c r="M2322">
        <v>0</v>
      </c>
      <c r="N2322" t="s">
        <v>53</v>
      </c>
      <c r="O2322" t="s">
        <v>53</v>
      </c>
      <c r="P2322" t="s">
        <v>53</v>
      </c>
      <c r="Q2322" t="s">
        <v>53</v>
      </c>
      <c r="R2322" t="s">
        <v>53</v>
      </c>
      <c r="S2322" t="s">
        <v>11373</v>
      </c>
      <c r="T2322" t="s">
        <v>11374</v>
      </c>
      <c r="U2322" t="s">
        <v>54</v>
      </c>
      <c r="V2322" t="s">
        <v>11315</v>
      </c>
      <c r="W2322">
        <v>250000</v>
      </c>
      <c r="X2322" t="s">
        <v>54</v>
      </c>
      <c r="Y2322" t="s">
        <v>32</v>
      </c>
      <c r="Z2322">
        <v>0</v>
      </c>
      <c r="AB2322">
        <v>46</v>
      </c>
      <c r="AC2322">
        <v>28</v>
      </c>
      <c r="AD2322">
        <v>28</v>
      </c>
      <c r="AE2322">
        <v>56</v>
      </c>
      <c r="AF2322">
        <v>0</v>
      </c>
      <c r="AG2322">
        <v>0</v>
      </c>
      <c r="AH2322">
        <v>318.36199951171881</v>
      </c>
      <c r="AI2322">
        <v>0</v>
      </c>
      <c r="AJ2322">
        <v>0</v>
      </c>
      <c r="AK2322" t="s">
        <v>54</v>
      </c>
      <c r="AL2322" t="s">
        <v>53</v>
      </c>
      <c r="AM2322" t="s">
        <v>32</v>
      </c>
      <c r="AP2322" t="s">
        <v>32</v>
      </c>
      <c r="AQ2322" t="s">
        <v>53</v>
      </c>
      <c r="AR2322" t="s">
        <v>32</v>
      </c>
      <c r="AT2322" t="s">
        <v>2805</v>
      </c>
      <c r="AV2322" t="s">
        <v>32</v>
      </c>
      <c r="AW2322" t="s">
        <v>54</v>
      </c>
      <c r="AX2322" t="s">
        <v>32</v>
      </c>
      <c r="AZ2322" t="s">
        <v>54</v>
      </c>
      <c r="BA2322" t="s">
        <v>11050</v>
      </c>
    </row>
    <row r="2323" spans="1:53" x14ac:dyDescent="0.25">
      <c r="A2323">
        <v>2318</v>
      </c>
      <c r="B2323" t="s">
        <v>11375</v>
      </c>
      <c r="C2323" t="s">
        <v>11376</v>
      </c>
      <c r="D2323" t="s">
        <v>11377</v>
      </c>
      <c r="E2323">
        <v>15</v>
      </c>
      <c r="F2323" t="s">
        <v>11042</v>
      </c>
      <c r="G2323" t="s">
        <v>11378</v>
      </c>
      <c r="H2323" t="s">
        <v>11080</v>
      </c>
      <c r="I2323" t="s">
        <v>32</v>
      </c>
      <c r="J2323" t="s">
        <v>32</v>
      </c>
      <c r="K2323" t="s">
        <v>32</v>
      </c>
      <c r="L2323" t="s">
        <v>11081</v>
      </c>
      <c r="M2323">
        <v>0</v>
      </c>
      <c r="N2323" t="s">
        <v>53</v>
      </c>
      <c r="O2323" t="s">
        <v>53</v>
      </c>
      <c r="P2323" t="s">
        <v>53</v>
      </c>
      <c r="Q2323" t="s">
        <v>53</v>
      </c>
      <c r="R2323" t="s">
        <v>53</v>
      </c>
      <c r="S2323" t="s">
        <v>11379</v>
      </c>
      <c r="T2323" t="s">
        <v>11380</v>
      </c>
      <c r="U2323" t="s">
        <v>54</v>
      </c>
      <c r="V2323" t="s">
        <v>11315</v>
      </c>
      <c r="W2323">
        <v>250000</v>
      </c>
      <c r="X2323" t="s">
        <v>54</v>
      </c>
      <c r="Y2323" t="s">
        <v>32</v>
      </c>
      <c r="Z2323">
        <v>0</v>
      </c>
      <c r="AB2323">
        <v>420</v>
      </c>
      <c r="AC2323">
        <v>354</v>
      </c>
      <c r="AD2323">
        <v>449</v>
      </c>
      <c r="AE2323">
        <v>803</v>
      </c>
      <c r="AF2323">
        <v>2</v>
      </c>
      <c r="AG2323">
        <v>44</v>
      </c>
      <c r="AH2323">
        <v>193.156005859375</v>
      </c>
      <c r="AI2323">
        <v>0</v>
      </c>
      <c r="AJ2323">
        <v>0</v>
      </c>
      <c r="AK2323" t="s">
        <v>54</v>
      </c>
      <c r="AL2323" t="s">
        <v>53</v>
      </c>
      <c r="AM2323" t="s">
        <v>32</v>
      </c>
      <c r="AP2323" t="s">
        <v>32</v>
      </c>
      <c r="AQ2323" t="s">
        <v>53</v>
      </c>
      <c r="AR2323" t="s">
        <v>32</v>
      </c>
      <c r="AT2323" t="s">
        <v>2805</v>
      </c>
      <c r="AV2323" t="s">
        <v>32</v>
      </c>
      <c r="AW2323" t="s">
        <v>54</v>
      </c>
      <c r="AX2323" t="s">
        <v>32</v>
      </c>
      <c r="AZ2323" t="s">
        <v>54</v>
      </c>
      <c r="BA2323" t="s">
        <v>11050</v>
      </c>
    </row>
    <row r="2324" spans="1:53" x14ac:dyDescent="0.25">
      <c r="A2324">
        <v>2319</v>
      </c>
      <c r="B2324" t="s">
        <v>11381</v>
      </c>
      <c r="C2324" t="s">
        <v>11382</v>
      </c>
      <c r="D2324" t="s">
        <v>11383</v>
      </c>
      <c r="E2324">
        <v>15</v>
      </c>
      <c r="F2324" t="s">
        <v>11042</v>
      </c>
      <c r="G2324" t="s">
        <v>11043</v>
      </c>
      <c r="H2324" t="s">
        <v>11080</v>
      </c>
      <c r="I2324" t="s">
        <v>32</v>
      </c>
      <c r="J2324" t="s">
        <v>32</v>
      </c>
      <c r="K2324" t="s">
        <v>32</v>
      </c>
      <c r="L2324" t="s">
        <v>11081</v>
      </c>
      <c r="M2324">
        <v>0</v>
      </c>
      <c r="N2324" t="s">
        <v>53</v>
      </c>
      <c r="O2324" t="s">
        <v>53</v>
      </c>
      <c r="P2324" t="s">
        <v>53</v>
      </c>
      <c r="Q2324" t="s">
        <v>53</v>
      </c>
      <c r="R2324" t="s">
        <v>53</v>
      </c>
      <c r="S2324" t="s">
        <v>11384</v>
      </c>
      <c r="T2324" t="s">
        <v>11385</v>
      </c>
      <c r="U2324" t="s">
        <v>54</v>
      </c>
      <c r="V2324" t="s">
        <v>11315</v>
      </c>
      <c r="W2324">
        <v>500000</v>
      </c>
      <c r="X2324" t="s">
        <v>54</v>
      </c>
      <c r="Y2324" t="s">
        <v>32</v>
      </c>
      <c r="Z2324">
        <v>0</v>
      </c>
      <c r="AB2324">
        <v>1832</v>
      </c>
      <c r="AC2324">
        <v>3074</v>
      </c>
      <c r="AD2324">
        <v>5421</v>
      </c>
      <c r="AE2324">
        <v>8495</v>
      </c>
      <c r="AF2324">
        <v>1</v>
      </c>
      <c r="AG2324">
        <v>6</v>
      </c>
      <c r="AH2324">
        <v>239.10699462890619</v>
      </c>
      <c r="AI2324">
        <v>0</v>
      </c>
      <c r="AJ2324">
        <v>0</v>
      </c>
      <c r="AK2324" t="s">
        <v>54</v>
      </c>
      <c r="AL2324" t="s">
        <v>53</v>
      </c>
      <c r="AM2324" t="s">
        <v>32</v>
      </c>
      <c r="AP2324" t="s">
        <v>32</v>
      </c>
      <c r="AQ2324" t="s">
        <v>53</v>
      </c>
      <c r="AR2324" t="s">
        <v>32</v>
      </c>
      <c r="AT2324" t="s">
        <v>2805</v>
      </c>
      <c r="AV2324" t="s">
        <v>32</v>
      </c>
      <c r="AW2324" t="s">
        <v>54</v>
      </c>
      <c r="AX2324" t="s">
        <v>32</v>
      </c>
      <c r="AZ2324" t="s">
        <v>54</v>
      </c>
      <c r="BA2324" t="s">
        <v>11050</v>
      </c>
    </row>
    <row r="2325" spans="1:53" x14ac:dyDescent="0.25">
      <c r="A2325">
        <v>2320</v>
      </c>
      <c r="B2325" t="s">
        <v>11386</v>
      </c>
      <c r="C2325" t="s">
        <v>11387</v>
      </c>
      <c r="D2325" t="s">
        <v>11388</v>
      </c>
      <c r="E2325">
        <v>15</v>
      </c>
      <c r="F2325" t="s">
        <v>11042</v>
      </c>
      <c r="G2325" t="s">
        <v>11340</v>
      </c>
      <c r="H2325" t="s">
        <v>11080</v>
      </c>
      <c r="I2325" t="s">
        <v>32</v>
      </c>
      <c r="J2325" t="s">
        <v>32</v>
      </c>
      <c r="K2325" t="s">
        <v>32</v>
      </c>
      <c r="L2325" t="s">
        <v>11081</v>
      </c>
      <c r="M2325">
        <v>0</v>
      </c>
      <c r="N2325" t="s">
        <v>53</v>
      </c>
      <c r="O2325" t="s">
        <v>53</v>
      </c>
      <c r="P2325" t="s">
        <v>53</v>
      </c>
      <c r="Q2325" t="s">
        <v>53</v>
      </c>
      <c r="R2325" t="s">
        <v>53</v>
      </c>
      <c r="S2325" t="s">
        <v>11341</v>
      </c>
      <c r="T2325" t="s">
        <v>11389</v>
      </c>
      <c r="U2325" t="s">
        <v>54</v>
      </c>
      <c r="V2325" t="s">
        <v>11315</v>
      </c>
      <c r="W2325">
        <v>250000</v>
      </c>
      <c r="X2325" t="s">
        <v>54</v>
      </c>
      <c r="Y2325" t="s">
        <v>32</v>
      </c>
      <c r="Z2325">
        <v>0</v>
      </c>
      <c r="AB2325">
        <v>4521</v>
      </c>
      <c r="AC2325">
        <v>9732</v>
      </c>
      <c r="AD2325">
        <v>15723</v>
      </c>
      <c r="AE2325">
        <v>25455</v>
      </c>
      <c r="AF2325">
        <v>6</v>
      </c>
      <c r="AG2325">
        <v>0</v>
      </c>
      <c r="AH2325">
        <v>793.6729736328125</v>
      </c>
      <c r="AI2325">
        <v>0</v>
      </c>
      <c r="AJ2325">
        <v>0</v>
      </c>
      <c r="AK2325" t="s">
        <v>54</v>
      </c>
      <c r="AL2325" t="s">
        <v>53</v>
      </c>
      <c r="AM2325" t="s">
        <v>32</v>
      </c>
      <c r="AP2325" t="s">
        <v>32</v>
      </c>
      <c r="AQ2325" t="s">
        <v>53</v>
      </c>
      <c r="AR2325" t="s">
        <v>32</v>
      </c>
      <c r="AT2325" t="s">
        <v>2805</v>
      </c>
      <c r="AV2325" t="s">
        <v>32</v>
      </c>
      <c r="AW2325" t="s">
        <v>54</v>
      </c>
      <c r="AX2325" t="s">
        <v>32</v>
      </c>
      <c r="AZ2325" t="s">
        <v>54</v>
      </c>
      <c r="BA2325" t="s">
        <v>11050</v>
      </c>
    </row>
    <row r="2326" spans="1:53" x14ac:dyDescent="0.25">
      <c r="A2326">
        <v>2321</v>
      </c>
      <c r="B2326" t="s">
        <v>11390</v>
      </c>
      <c r="C2326" t="s">
        <v>11391</v>
      </c>
      <c r="D2326" t="s">
        <v>11392</v>
      </c>
      <c r="E2326">
        <v>15</v>
      </c>
      <c r="F2326" t="s">
        <v>11042</v>
      </c>
      <c r="G2326" t="s">
        <v>11340</v>
      </c>
      <c r="H2326" t="s">
        <v>11080</v>
      </c>
      <c r="I2326" t="s">
        <v>32</v>
      </c>
      <c r="J2326" t="s">
        <v>32</v>
      </c>
      <c r="K2326" t="s">
        <v>32</v>
      </c>
      <c r="L2326" t="s">
        <v>11081</v>
      </c>
      <c r="M2326">
        <v>0</v>
      </c>
      <c r="N2326" t="s">
        <v>53</v>
      </c>
      <c r="O2326" t="s">
        <v>53</v>
      </c>
      <c r="P2326" t="s">
        <v>53</v>
      </c>
      <c r="Q2326" t="s">
        <v>53</v>
      </c>
      <c r="R2326" t="s">
        <v>53</v>
      </c>
      <c r="S2326" t="s">
        <v>11341</v>
      </c>
      <c r="T2326" t="s">
        <v>11389</v>
      </c>
      <c r="U2326" t="s">
        <v>54</v>
      </c>
      <c r="V2326" t="s">
        <v>11315</v>
      </c>
      <c r="W2326">
        <v>250000</v>
      </c>
      <c r="X2326" t="s">
        <v>54</v>
      </c>
      <c r="Y2326" t="s">
        <v>32</v>
      </c>
      <c r="Z2326">
        <v>0</v>
      </c>
      <c r="AB2326">
        <v>4521</v>
      </c>
      <c r="AC2326">
        <v>9732</v>
      </c>
      <c r="AD2326">
        <v>15723</v>
      </c>
      <c r="AE2326">
        <v>25455</v>
      </c>
      <c r="AF2326">
        <v>6</v>
      </c>
      <c r="AG2326">
        <v>0</v>
      </c>
      <c r="AH2326">
        <v>794.5040283203125</v>
      </c>
      <c r="AI2326">
        <v>0</v>
      </c>
      <c r="AJ2326">
        <v>0</v>
      </c>
      <c r="AK2326" t="s">
        <v>54</v>
      </c>
      <c r="AL2326" t="s">
        <v>53</v>
      </c>
      <c r="AM2326" t="s">
        <v>32</v>
      </c>
      <c r="AP2326" t="s">
        <v>32</v>
      </c>
      <c r="AQ2326" t="s">
        <v>53</v>
      </c>
      <c r="AR2326" t="s">
        <v>32</v>
      </c>
      <c r="AT2326" t="s">
        <v>2805</v>
      </c>
      <c r="AV2326" t="s">
        <v>32</v>
      </c>
      <c r="AW2326" t="s">
        <v>54</v>
      </c>
      <c r="AX2326" t="s">
        <v>32</v>
      </c>
      <c r="AZ2326" t="s">
        <v>54</v>
      </c>
      <c r="BA2326" t="s">
        <v>11050</v>
      </c>
    </row>
    <row r="2327" spans="1:53" x14ac:dyDescent="0.25">
      <c r="A2327">
        <v>2322</v>
      </c>
      <c r="B2327" t="s">
        <v>11393</v>
      </c>
      <c r="C2327" t="s">
        <v>11394</v>
      </c>
      <c r="D2327" t="s">
        <v>11395</v>
      </c>
      <c r="E2327">
        <v>15</v>
      </c>
      <c r="F2327" t="s">
        <v>11042</v>
      </c>
      <c r="G2327" t="s">
        <v>11396</v>
      </c>
      <c r="H2327" t="s">
        <v>11080</v>
      </c>
      <c r="I2327" t="s">
        <v>32</v>
      </c>
      <c r="J2327" t="s">
        <v>32</v>
      </c>
      <c r="K2327" t="s">
        <v>32</v>
      </c>
      <c r="L2327" t="s">
        <v>11081</v>
      </c>
      <c r="M2327">
        <v>0</v>
      </c>
      <c r="N2327" t="s">
        <v>53</v>
      </c>
      <c r="O2327" t="s">
        <v>53</v>
      </c>
      <c r="P2327" t="s">
        <v>53</v>
      </c>
      <c r="Q2327" t="s">
        <v>53</v>
      </c>
      <c r="R2327" t="s">
        <v>53</v>
      </c>
      <c r="S2327" t="s">
        <v>11397</v>
      </c>
      <c r="T2327" t="s">
        <v>11398</v>
      </c>
      <c r="U2327" t="s">
        <v>54</v>
      </c>
      <c r="V2327" t="s">
        <v>11315</v>
      </c>
      <c r="W2327">
        <v>250000</v>
      </c>
      <c r="X2327" t="s">
        <v>54</v>
      </c>
      <c r="Y2327" t="s">
        <v>32</v>
      </c>
      <c r="Z2327">
        <v>0</v>
      </c>
      <c r="AB2327">
        <v>369</v>
      </c>
      <c r="AC2327">
        <v>525</v>
      </c>
      <c r="AD2327">
        <v>706</v>
      </c>
      <c r="AE2327">
        <v>1231</v>
      </c>
      <c r="AF2327">
        <v>1</v>
      </c>
      <c r="AG2327">
        <v>0</v>
      </c>
      <c r="AH2327">
        <v>196.79899597167969</v>
      </c>
      <c r="AI2327">
        <v>0</v>
      </c>
      <c r="AJ2327">
        <v>0</v>
      </c>
      <c r="AK2327" t="s">
        <v>54</v>
      </c>
      <c r="AL2327" t="s">
        <v>53</v>
      </c>
      <c r="AM2327" t="s">
        <v>32</v>
      </c>
      <c r="AP2327" t="s">
        <v>32</v>
      </c>
      <c r="AQ2327" t="s">
        <v>53</v>
      </c>
      <c r="AR2327" t="s">
        <v>32</v>
      </c>
      <c r="AT2327" t="s">
        <v>2805</v>
      </c>
      <c r="AV2327" t="s">
        <v>32</v>
      </c>
      <c r="AW2327" t="s">
        <v>54</v>
      </c>
      <c r="AX2327" t="s">
        <v>32</v>
      </c>
      <c r="AZ2327" t="s">
        <v>54</v>
      </c>
      <c r="BA2327" t="s">
        <v>11050</v>
      </c>
    </row>
    <row r="2328" spans="1:53" x14ac:dyDescent="0.25">
      <c r="A2328">
        <v>2323</v>
      </c>
      <c r="B2328" t="s">
        <v>11399</v>
      </c>
      <c r="C2328" t="s">
        <v>11400</v>
      </c>
      <c r="D2328" t="s">
        <v>11401</v>
      </c>
      <c r="E2328">
        <v>15</v>
      </c>
      <c r="F2328" t="s">
        <v>11042</v>
      </c>
      <c r="G2328" t="s">
        <v>10626</v>
      </c>
      <c r="H2328" t="s">
        <v>11080</v>
      </c>
      <c r="I2328" t="s">
        <v>32</v>
      </c>
      <c r="J2328" t="s">
        <v>32</v>
      </c>
      <c r="K2328" t="s">
        <v>32</v>
      </c>
      <c r="L2328" t="s">
        <v>11081</v>
      </c>
      <c r="M2328">
        <v>0</v>
      </c>
      <c r="N2328" t="s">
        <v>53</v>
      </c>
      <c r="O2328" t="s">
        <v>53</v>
      </c>
      <c r="P2328" t="s">
        <v>53</v>
      </c>
      <c r="Q2328" t="s">
        <v>53</v>
      </c>
      <c r="R2328" t="s">
        <v>53</v>
      </c>
      <c r="S2328" t="s">
        <v>11346</v>
      </c>
      <c r="T2328" t="s">
        <v>11402</v>
      </c>
      <c r="U2328" t="s">
        <v>54</v>
      </c>
      <c r="V2328" t="s">
        <v>11315</v>
      </c>
      <c r="W2328">
        <v>1000000</v>
      </c>
      <c r="X2328" t="s">
        <v>54</v>
      </c>
      <c r="Y2328" t="s">
        <v>32</v>
      </c>
      <c r="Z2328">
        <v>0</v>
      </c>
      <c r="AB2328">
        <v>68</v>
      </c>
      <c r="AC2328">
        <v>71</v>
      </c>
      <c r="AD2328">
        <v>228</v>
      </c>
      <c r="AE2328">
        <v>299</v>
      </c>
      <c r="AF2328">
        <v>0</v>
      </c>
      <c r="AG2328">
        <v>0</v>
      </c>
      <c r="AH2328">
        <v>10.778300285339361</v>
      </c>
      <c r="AI2328">
        <v>0</v>
      </c>
      <c r="AJ2328">
        <v>0</v>
      </c>
      <c r="AK2328" t="s">
        <v>54</v>
      </c>
      <c r="AL2328" t="s">
        <v>53</v>
      </c>
      <c r="AM2328" t="s">
        <v>32</v>
      </c>
      <c r="AP2328" t="s">
        <v>32</v>
      </c>
      <c r="AQ2328" t="s">
        <v>53</v>
      </c>
      <c r="AR2328" t="s">
        <v>32</v>
      </c>
      <c r="AT2328" t="s">
        <v>2805</v>
      </c>
      <c r="AV2328" t="s">
        <v>32</v>
      </c>
      <c r="AW2328" t="s">
        <v>54</v>
      </c>
      <c r="AX2328" t="s">
        <v>32</v>
      </c>
      <c r="AZ2328" t="s">
        <v>54</v>
      </c>
      <c r="BA2328" t="s">
        <v>11050</v>
      </c>
    </row>
    <row r="2329" spans="1:53" x14ac:dyDescent="0.25">
      <c r="A2329">
        <v>2324</v>
      </c>
      <c r="B2329" t="s">
        <v>11403</v>
      </c>
      <c r="C2329" t="s">
        <v>11404</v>
      </c>
      <c r="D2329" t="s">
        <v>11405</v>
      </c>
      <c r="E2329">
        <v>15</v>
      </c>
      <c r="F2329" t="s">
        <v>11042</v>
      </c>
      <c r="G2329" t="s">
        <v>10626</v>
      </c>
      <c r="H2329" t="s">
        <v>11080</v>
      </c>
      <c r="I2329" t="s">
        <v>32</v>
      </c>
      <c r="J2329" t="s">
        <v>32</v>
      </c>
      <c r="K2329" t="s">
        <v>32</v>
      </c>
      <c r="L2329" t="s">
        <v>11081</v>
      </c>
      <c r="M2329">
        <v>0</v>
      </c>
      <c r="N2329" t="s">
        <v>53</v>
      </c>
      <c r="O2329" t="s">
        <v>53</v>
      </c>
      <c r="P2329" t="s">
        <v>53</v>
      </c>
      <c r="Q2329" t="s">
        <v>53</v>
      </c>
      <c r="R2329" t="s">
        <v>53</v>
      </c>
      <c r="S2329" t="s">
        <v>11346</v>
      </c>
      <c r="T2329" t="s">
        <v>11406</v>
      </c>
      <c r="U2329" t="s">
        <v>54</v>
      </c>
      <c r="V2329" t="s">
        <v>11315</v>
      </c>
      <c r="W2329">
        <v>1000000</v>
      </c>
      <c r="X2329" t="s">
        <v>54</v>
      </c>
      <c r="Y2329" t="s">
        <v>32</v>
      </c>
      <c r="Z2329">
        <v>0</v>
      </c>
      <c r="AB2329">
        <v>9178</v>
      </c>
      <c r="AC2329">
        <v>28358</v>
      </c>
      <c r="AD2329">
        <v>35624</v>
      </c>
      <c r="AE2329">
        <v>63982</v>
      </c>
      <c r="AF2329">
        <v>13</v>
      </c>
      <c r="AG2329">
        <v>26</v>
      </c>
      <c r="AH2329">
        <v>1324.069946289062</v>
      </c>
      <c r="AI2329">
        <v>0</v>
      </c>
      <c r="AJ2329">
        <v>0</v>
      </c>
      <c r="AK2329" t="s">
        <v>54</v>
      </c>
      <c r="AL2329" t="s">
        <v>53</v>
      </c>
      <c r="AM2329" t="s">
        <v>32</v>
      </c>
      <c r="AP2329" t="s">
        <v>32</v>
      </c>
      <c r="AQ2329" t="s">
        <v>53</v>
      </c>
      <c r="AR2329" t="s">
        <v>32</v>
      </c>
      <c r="AT2329" t="s">
        <v>2805</v>
      </c>
      <c r="AV2329" t="s">
        <v>32</v>
      </c>
      <c r="AW2329" t="s">
        <v>54</v>
      </c>
      <c r="AX2329" t="s">
        <v>32</v>
      </c>
      <c r="AZ2329" t="s">
        <v>54</v>
      </c>
      <c r="BA2329" t="s">
        <v>11050</v>
      </c>
    </row>
    <row r="2330" spans="1:53" x14ac:dyDescent="0.25">
      <c r="A2330">
        <v>2325</v>
      </c>
      <c r="B2330" t="s">
        <v>11407</v>
      </c>
      <c r="C2330" t="s">
        <v>11408</v>
      </c>
      <c r="D2330" t="s">
        <v>11409</v>
      </c>
      <c r="E2330">
        <v>15</v>
      </c>
      <c r="F2330" t="s">
        <v>11042</v>
      </c>
      <c r="G2330" t="s">
        <v>11410</v>
      </c>
      <c r="H2330" t="s">
        <v>11080</v>
      </c>
      <c r="I2330" t="s">
        <v>32</v>
      </c>
      <c r="J2330" t="s">
        <v>32</v>
      </c>
      <c r="K2330" t="s">
        <v>32</v>
      </c>
      <c r="L2330" t="s">
        <v>11081</v>
      </c>
      <c r="M2330">
        <v>0</v>
      </c>
      <c r="N2330" t="s">
        <v>53</v>
      </c>
      <c r="O2330" t="s">
        <v>53</v>
      </c>
      <c r="P2330" t="s">
        <v>53</v>
      </c>
      <c r="Q2330" t="s">
        <v>53</v>
      </c>
      <c r="R2330" t="s">
        <v>53</v>
      </c>
      <c r="S2330" t="s">
        <v>11411</v>
      </c>
      <c r="T2330" t="s">
        <v>11412</v>
      </c>
      <c r="U2330" t="s">
        <v>54</v>
      </c>
      <c r="V2330" t="s">
        <v>11315</v>
      </c>
      <c r="W2330">
        <v>500000</v>
      </c>
      <c r="X2330" t="s">
        <v>54</v>
      </c>
      <c r="Y2330" t="s">
        <v>32</v>
      </c>
      <c r="Z2330">
        <v>0</v>
      </c>
      <c r="AB2330">
        <v>1387</v>
      </c>
      <c r="AC2330">
        <v>2575</v>
      </c>
      <c r="AD2330">
        <v>3045</v>
      </c>
      <c r="AE2330">
        <v>5620</v>
      </c>
      <c r="AF2330">
        <v>2</v>
      </c>
      <c r="AG2330">
        <v>25</v>
      </c>
      <c r="AH2330">
        <v>121.3850021362305</v>
      </c>
      <c r="AI2330">
        <v>0</v>
      </c>
      <c r="AJ2330">
        <v>0</v>
      </c>
      <c r="AK2330" t="s">
        <v>54</v>
      </c>
      <c r="AL2330" t="s">
        <v>53</v>
      </c>
      <c r="AM2330" t="s">
        <v>32</v>
      </c>
      <c r="AP2330" t="s">
        <v>32</v>
      </c>
      <c r="AQ2330" t="s">
        <v>53</v>
      </c>
      <c r="AR2330" t="s">
        <v>32</v>
      </c>
      <c r="AT2330" t="s">
        <v>2805</v>
      </c>
      <c r="AV2330" t="s">
        <v>32</v>
      </c>
      <c r="AW2330" t="s">
        <v>54</v>
      </c>
      <c r="AX2330" t="s">
        <v>32</v>
      </c>
      <c r="AZ2330" t="s">
        <v>54</v>
      </c>
      <c r="BA2330" t="s">
        <v>11050</v>
      </c>
    </row>
    <row r="2331" spans="1:53" x14ac:dyDescent="0.25">
      <c r="A2331">
        <v>2326</v>
      </c>
      <c r="B2331" t="s">
        <v>11413</v>
      </c>
      <c r="C2331" t="s">
        <v>11414</v>
      </c>
      <c r="D2331" t="s">
        <v>11415</v>
      </c>
      <c r="E2331">
        <v>15</v>
      </c>
      <c r="F2331" t="s">
        <v>11042</v>
      </c>
      <c r="G2331" t="s">
        <v>11396</v>
      </c>
      <c r="H2331" t="s">
        <v>11080</v>
      </c>
      <c r="I2331" t="s">
        <v>32</v>
      </c>
      <c r="J2331" t="s">
        <v>32</v>
      </c>
      <c r="K2331" t="s">
        <v>32</v>
      </c>
      <c r="L2331" t="s">
        <v>11081</v>
      </c>
      <c r="M2331">
        <v>0</v>
      </c>
      <c r="N2331" t="s">
        <v>53</v>
      </c>
      <c r="O2331" t="s">
        <v>53</v>
      </c>
      <c r="P2331" t="s">
        <v>53</v>
      </c>
      <c r="Q2331" t="s">
        <v>53</v>
      </c>
      <c r="R2331" t="s">
        <v>53</v>
      </c>
      <c r="S2331" t="s">
        <v>11397</v>
      </c>
      <c r="T2331" t="s">
        <v>11416</v>
      </c>
      <c r="U2331" t="s">
        <v>54</v>
      </c>
      <c r="V2331" t="s">
        <v>11315</v>
      </c>
      <c r="W2331">
        <v>250000</v>
      </c>
      <c r="X2331" t="s">
        <v>54</v>
      </c>
      <c r="Y2331" t="s">
        <v>32</v>
      </c>
      <c r="Z2331">
        <v>0</v>
      </c>
      <c r="AB2331">
        <v>118</v>
      </c>
      <c r="AC2331">
        <v>261</v>
      </c>
      <c r="AD2331">
        <v>211</v>
      </c>
      <c r="AE2331">
        <v>472</v>
      </c>
      <c r="AF2331">
        <v>1</v>
      </c>
      <c r="AG2331">
        <v>0</v>
      </c>
      <c r="AH2331">
        <v>5.2522802352905273</v>
      </c>
      <c r="AI2331">
        <v>0</v>
      </c>
      <c r="AJ2331">
        <v>0</v>
      </c>
      <c r="AK2331" t="s">
        <v>54</v>
      </c>
      <c r="AL2331" t="s">
        <v>53</v>
      </c>
      <c r="AM2331" t="s">
        <v>32</v>
      </c>
      <c r="AP2331" t="s">
        <v>32</v>
      </c>
      <c r="AQ2331" t="s">
        <v>53</v>
      </c>
      <c r="AR2331" t="s">
        <v>32</v>
      </c>
      <c r="AT2331" t="s">
        <v>2805</v>
      </c>
      <c r="AV2331" t="s">
        <v>32</v>
      </c>
      <c r="AW2331" t="s">
        <v>54</v>
      </c>
      <c r="AX2331" t="s">
        <v>32</v>
      </c>
      <c r="AZ2331" t="s">
        <v>54</v>
      </c>
      <c r="BA2331" t="s">
        <v>11050</v>
      </c>
    </row>
    <row r="2332" spans="1:53" x14ac:dyDescent="0.25">
      <c r="A2332">
        <v>2327</v>
      </c>
      <c r="B2332" t="s">
        <v>11417</v>
      </c>
      <c r="C2332" t="s">
        <v>11418</v>
      </c>
      <c r="D2332" t="s">
        <v>11419</v>
      </c>
      <c r="E2332">
        <v>15</v>
      </c>
      <c r="F2332" t="s">
        <v>11042</v>
      </c>
      <c r="G2332" t="s">
        <v>11378</v>
      </c>
      <c r="H2332" t="s">
        <v>11080</v>
      </c>
      <c r="I2332" t="s">
        <v>32</v>
      </c>
      <c r="J2332" t="s">
        <v>32</v>
      </c>
      <c r="K2332" t="s">
        <v>32</v>
      </c>
      <c r="L2332" t="s">
        <v>11081</v>
      </c>
      <c r="M2332">
        <v>0</v>
      </c>
      <c r="N2332" t="s">
        <v>53</v>
      </c>
      <c r="O2332" t="s">
        <v>53</v>
      </c>
      <c r="P2332" t="s">
        <v>53</v>
      </c>
      <c r="Q2332" t="s">
        <v>53</v>
      </c>
      <c r="R2332" t="s">
        <v>53</v>
      </c>
      <c r="S2332" t="s">
        <v>11379</v>
      </c>
      <c r="T2332" t="s">
        <v>11420</v>
      </c>
      <c r="U2332" t="s">
        <v>54</v>
      </c>
      <c r="V2332" t="s">
        <v>11315</v>
      </c>
      <c r="W2332">
        <v>250000</v>
      </c>
      <c r="X2332" t="s">
        <v>54</v>
      </c>
      <c r="Y2332" t="s">
        <v>32</v>
      </c>
      <c r="Z2332">
        <v>0</v>
      </c>
      <c r="AB2332">
        <v>88</v>
      </c>
      <c r="AC2332">
        <v>102</v>
      </c>
      <c r="AD2332">
        <v>125</v>
      </c>
      <c r="AE2332">
        <v>227</v>
      </c>
      <c r="AF2332">
        <v>0</v>
      </c>
      <c r="AG2332">
        <v>0</v>
      </c>
      <c r="AH2332">
        <v>0</v>
      </c>
      <c r="AI2332">
        <v>0</v>
      </c>
      <c r="AJ2332">
        <v>0</v>
      </c>
      <c r="AK2332" t="s">
        <v>54</v>
      </c>
      <c r="AL2332" t="s">
        <v>53</v>
      </c>
      <c r="AM2332" t="s">
        <v>32</v>
      </c>
      <c r="AP2332" t="s">
        <v>32</v>
      </c>
      <c r="AQ2332" t="s">
        <v>53</v>
      </c>
      <c r="AR2332" t="s">
        <v>32</v>
      </c>
      <c r="AT2332" t="s">
        <v>2805</v>
      </c>
      <c r="AV2332" t="s">
        <v>32</v>
      </c>
      <c r="AW2332" t="s">
        <v>54</v>
      </c>
      <c r="AX2332" t="s">
        <v>32</v>
      </c>
      <c r="AZ2332" t="s">
        <v>54</v>
      </c>
      <c r="BA2332" t="s">
        <v>11050</v>
      </c>
    </row>
    <row r="2333" spans="1:53" x14ac:dyDescent="0.25">
      <c r="A2333">
        <v>2328</v>
      </c>
      <c r="B2333" t="s">
        <v>11421</v>
      </c>
      <c r="C2333" t="s">
        <v>11422</v>
      </c>
      <c r="D2333" t="s">
        <v>11423</v>
      </c>
      <c r="E2333">
        <v>15</v>
      </c>
      <c r="F2333" t="s">
        <v>11042</v>
      </c>
      <c r="G2333" t="s">
        <v>11079</v>
      </c>
      <c r="H2333" t="s">
        <v>11424</v>
      </c>
      <c r="I2333" t="s">
        <v>32</v>
      </c>
      <c r="J2333" t="s">
        <v>11213</v>
      </c>
      <c r="K2333" t="s">
        <v>32</v>
      </c>
      <c r="L2333" t="s">
        <v>11200</v>
      </c>
      <c r="M2333">
        <v>0</v>
      </c>
      <c r="N2333" t="s">
        <v>54</v>
      </c>
      <c r="O2333" t="s">
        <v>53</v>
      </c>
      <c r="P2333" t="s">
        <v>54</v>
      </c>
      <c r="Q2333" t="s">
        <v>53</v>
      </c>
      <c r="R2333" t="s">
        <v>53</v>
      </c>
      <c r="S2333" t="s">
        <v>11214</v>
      </c>
      <c r="T2333" t="s">
        <v>11425</v>
      </c>
      <c r="U2333" t="s">
        <v>54</v>
      </c>
      <c r="V2333" t="s">
        <v>11084</v>
      </c>
      <c r="W2333">
        <v>322898</v>
      </c>
      <c r="X2333" t="s">
        <v>54</v>
      </c>
      <c r="Y2333" t="s">
        <v>32</v>
      </c>
      <c r="Z2333">
        <v>0</v>
      </c>
      <c r="AB2333">
        <v>574</v>
      </c>
      <c r="AC2333">
        <v>750</v>
      </c>
      <c r="AD2333">
        <v>1936</v>
      </c>
      <c r="AE2333">
        <v>2686</v>
      </c>
      <c r="AF2333">
        <v>0</v>
      </c>
      <c r="AG2333">
        <v>0</v>
      </c>
      <c r="AH2333">
        <v>26.126499176025391</v>
      </c>
      <c r="AI2333">
        <v>0</v>
      </c>
      <c r="AJ2333">
        <v>0</v>
      </c>
      <c r="AK2333" t="s">
        <v>54</v>
      </c>
      <c r="AL2333" t="s">
        <v>53</v>
      </c>
      <c r="AM2333" t="s">
        <v>32</v>
      </c>
      <c r="AP2333" t="s">
        <v>32</v>
      </c>
      <c r="AQ2333" t="s">
        <v>53</v>
      </c>
      <c r="AR2333" t="s">
        <v>32</v>
      </c>
      <c r="AT2333" t="s">
        <v>2805</v>
      </c>
      <c r="AV2333" t="s">
        <v>32</v>
      </c>
      <c r="AW2333" t="s">
        <v>54</v>
      </c>
      <c r="AX2333" t="s">
        <v>32</v>
      </c>
      <c r="AZ2333" t="s">
        <v>54</v>
      </c>
      <c r="BA2333" t="s">
        <v>11050</v>
      </c>
    </row>
    <row r="2334" spans="1:53" x14ac:dyDescent="0.25">
      <c r="A2334">
        <v>2329</v>
      </c>
      <c r="B2334" t="s">
        <v>11426</v>
      </c>
      <c r="C2334" t="s">
        <v>11427</v>
      </c>
      <c r="D2334" t="s">
        <v>11428</v>
      </c>
      <c r="E2334">
        <v>15</v>
      </c>
      <c r="F2334" t="s">
        <v>11042</v>
      </c>
      <c r="G2334" t="s">
        <v>11079</v>
      </c>
      <c r="H2334" t="s">
        <v>11429</v>
      </c>
      <c r="I2334" t="s">
        <v>32</v>
      </c>
      <c r="J2334" t="s">
        <v>11430</v>
      </c>
      <c r="K2334" t="s">
        <v>32</v>
      </c>
      <c r="L2334" t="s">
        <v>11046</v>
      </c>
      <c r="M2334">
        <v>0</v>
      </c>
      <c r="N2334" t="s">
        <v>54</v>
      </c>
      <c r="O2334" t="s">
        <v>53</v>
      </c>
      <c r="P2334" t="s">
        <v>54</v>
      </c>
      <c r="Q2334" t="s">
        <v>53</v>
      </c>
      <c r="R2334" t="s">
        <v>53</v>
      </c>
      <c r="S2334" t="s">
        <v>11431</v>
      </c>
      <c r="T2334" t="s">
        <v>11281</v>
      </c>
      <c r="U2334" t="s">
        <v>54</v>
      </c>
      <c r="V2334" t="s">
        <v>11049</v>
      </c>
      <c r="W2334">
        <v>666151</v>
      </c>
      <c r="X2334" t="s">
        <v>54</v>
      </c>
      <c r="Y2334" t="s">
        <v>32</v>
      </c>
      <c r="Z2334">
        <v>0</v>
      </c>
      <c r="AB2334">
        <v>72</v>
      </c>
      <c r="AC2334">
        <v>195</v>
      </c>
      <c r="AD2334">
        <v>491</v>
      </c>
      <c r="AE2334">
        <v>686</v>
      </c>
      <c r="AF2334">
        <v>0</v>
      </c>
      <c r="AG2334">
        <v>0</v>
      </c>
      <c r="AH2334">
        <v>4.3353500366210938</v>
      </c>
      <c r="AI2334">
        <v>0</v>
      </c>
      <c r="AJ2334">
        <v>0</v>
      </c>
      <c r="AK2334" t="s">
        <v>54</v>
      </c>
      <c r="AL2334" t="s">
        <v>54</v>
      </c>
      <c r="AM2334" t="s">
        <v>32</v>
      </c>
      <c r="AP2334" t="s">
        <v>32</v>
      </c>
      <c r="AQ2334" t="s">
        <v>54</v>
      </c>
      <c r="AR2334" t="s">
        <v>32</v>
      </c>
      <c r="AT2334" t="s">
        <v>2805</v>
      </c>
      <c r="AV2334" t="s">
        <v>32</v>
      </c>
      <c r="AW2334" t="s">
        <v>53</v>
      </c>
      <c r="AX2334" t="s">
        <v>32</v>
      </c>
      <c r="AZ2334" t="s">
        <v>54</v>
      </c>
      <c r="BA2334" t="s">
        <v>11050</v>
      </c>
    </row>
    <row r="2335" spans="1:53" x14ac:dyDescent="0.25">
      <c r="A2335">
        <v>2330</v>
      </c>
      <c r="B2335" t="s">
        <v>11432</v>
      </c>
      <c r="C2335" t="s">
        <v>11433</v>
      </c>
      <c r="D2335" t="s">
        <v>11434</v>
      </c>
      <c r="E2335">
        <v>15</v>
      </c>
      <c r="F2335" t="s">
        <v>11042</v>
      </c>
      <c r="G2335" t="s">
        <v>11079</v>
      </c>
      <c r="H2335" t="s">
        <v>11435</v>
      </c>
      <c r="I2335" t="s">
        <v>32</v>
      </c>
      <c r="J2335" t="s">
        <v>11430</v>
      </c>
      <c r="K2335" t="s">
        <v>32</v>
      </c>
      <c r="L2335" t="s">
        <v>11200</v>
      </c>
      <c r="M2335">
        <v>0</v>
      </c>
      <c r="N2335" t="s">
        <v>54</v>
      </c>
      <c r="O2335" t="s">
        <v>53</v>
      </c>
      <c r="P2335" t="s">
        <v>54</v>
      </c>
      <c r="Q2335" t="s">
        <v>53</v>
      </c>
      <c r="R2335" t="s">
        <v>53</v>
      </c>
      <c r="S2335" t="s">
        <v>11431</v>
      </c>
      <c r="T2335" t="s">
        <v>11281</v>
      </c>
      <c r="U2335" t="s">
        <v>54</v>
      </c>
      <c r="V2335" t="s">
        <v>11049</v>
      </c>
      <c r="W2335">
        <v>1664860</v>
      </c>
      <c r="X2335" t="s">
        <v>54</v>
      </c>
      <c r="Y2335" t="s">
        <v>32</v>
      </c>
      <c r="Z2335">
        <v>0</v>
      </c>
      <c r="AB2335">
        <v>423</v>
      </c>
      <c r="AC2335">
        <v>1195</v>
      </c>
      <c r="AD2335">
        <v>1736</v>
      </c>
      <c r="AE2335">
        <v>2931</v>
      </c>
      <c r="AF2335">
        <v>0</v>
      </c>
      <c r="AG2335">
        <v>0</v>
      </c>
      <c r="AH2335">
        <v>30.152200698852539</v>
      </c>
      <c r="AI2335">
        <v>0</v>
      </c>
      <c r="AJ2335">
        <v>0</v>
      </c>
      <c r="AK2335" t="s">
        <v>54</v>
      </c>
      <c r="AL2335" t="s">
        <v>54</v>
      </c>
      <c r="AM2335" t="s">
        <v>32</v>
      </c>
      <c r="AP2335" t="s">
        <v>32</v>
      </c>
      <c r="AQ2335" t="s">
        <v>54</v>
      </c>
      <c r="AR2335" t="s">
        <v>32</v>
      </c>
      <c r="AT2335" t="s">
        <v>2805</v>
      </c>
      <c r="AV2335" t="s">
        <v>32</v>
      </c>
      <c r="AW2335" t="s">
        <v>53</v>
      </c>
      <c r="AX2335" t="s">
        <v>32</v>
      </c>
      <c r="AZ2335" t="s">
        <v>54</v>
      </c>
      <c r="BA2335" t="s">
        <v>11050</v>
      </c>
    </row>
    <row r="2336" spans="1:53" x14ac:dyDescent="0.25">
      <c r="A2336">
        <v>2331</v>
      </c>
      <c r="B2336" t="s">
        <v>11436</v>
      </c>
      <c r="C2336" t="s">
        <v>11437</v>
      </c>
      <c r="D2336" t="s">
        <v>11438</v>
      </c>
      <c r="E2336">
        <v>15</v>
      </c>
      <c r="F2336" t="s">
        <v>11042</v>
      </c>
      <c r="G2336" t="s">
        <v>11079</v>
      </c>
      <c r="H2336" t="s">
        <v>11439</v>
      </c>
      <c r="I2336" t="s">
        <v>32</v>
      </c>
      <c r="J2336" t="s">
        <v>11430</v>
      </c>
      <c r="K2336" t="s">
        <v>32</v>
      </c>
      <c r="L2336" t="s">
        <v>11200</v>
      </c>
      <c r="M2336">
        <v>0</v>
      </c>
      <c r="N2336" t="s">
        <v>54</v>
      </c>
      <c r="O2336" t="s">
        <v>53</v>
      </c>
      <c r="P2336" t="s">
        <v>54</v>
      </c>
      <c r="Q2336" t="s">
        <v>53</v>
      </c>
      <c r="R2336" t="s">
        <v>53</v>
      </c>
      <c r="S2336" t="s">
        <v>11431</v>
      </c>
      <c r="T2336" t="s">
        <v>11440</v>
      </c>
      <c r="U2336" t="s">
        <v>54</v>
      </c>
      <c r="V2336" t="s">
        <v>11049</v>
      </c>
      <c r="W2336">
        <v>5595880</v>
      </c>
      <c r="X2336" t="s">
        <v>54</v>
      </c>
      <c r="Y2336" t="s">
        <v>32</v>
      </c>
      <c r="Z2336">
        <v>0</v>
      </c>
      <c r="AB2336">
        <v>638</v>
      </c>
      <c r="AC2336">
        <v>1226</v>
      </c>
      <c r="AD2336">
        <v>2394</v>
      </c>
      <c r="AE2336">
        <v>3620</v>
      </c>
      <c r="AF2336">
        <v>1</v>
      </c>
      <c r="AG2336">
        <v>0</v>
      </c>
      <c r="AH2336">
        <v>27.7765998840332</v>
      </c>
      <c r="AI2336">
        <v>0</v>
      </c>
      <c r="AJ2336">
        <v>0</v>
      </c>
      <c r="AK2336" t="s">
        <v>54</v>
      </c>
      <c r="AL2336" t="s">
        <v>54</v>
      </c>
      <c r="AM2336" t="s">
        <v>32</v>
      </c>
      <c r="AP2336" t="s">
        <v>32</v>
      </c>
      <c r="AQ2336" t="s">
        <v>54</v>
      </c>
      <c r="AR2336" t="s">
        <v>32</v>
      </c>
      <c r="AT2336" t="s">
        <v>2805</v>
      </c>
      <c r="AV2336" t="s">
        <v>32</v>
      </c>
      <c r="AW2336" t="s">
        <v>53</v>
      </c>
      <c r="AX2336" t="s">
        <v>32</v>
      </c>
      <c r="AZ2336" t="s">
        <v>54</v>
      </c>
      <c r="BA2336" t="s">
        <v>11050</v>
      </c>
    </row>
    <row r="2337" spans="1:53" x14ac:dyDescent="0.25">
      <c r="A2337">
        <v>2332</v>
      </c>
      <c r="B2337" t="s">
        <v>11441</v>
      </c>
      <c r="C2337" t="s">
        <v>11442</v>
      </c>
      <c r="D2337" t="s">
        <v>11443</v>
      </c>
      <c r="E2337">
        <v>15</v>
      </c>
      <c r="F2337" t="s">
        <v>11042</v>
      </c>
      <c r="G2337" t="s">
        <v>11079</v>
      </c>
      <c r="H2337" t="s">
        <v>11444</v>
      </c>
      <c r="I2337" t="s">
        <v>32</v>
      </c>
      <c r="J2337" t="s">
        <v>11430</v>
      </c>
      <c r="K2337" t="s">
        <v>32</v>
      </c>
      <c r="L2337" t="s">
        <v>11200</v>
      </c>
      <c r="M2337">
        <v>0</v>
      </c>
      <c r="N2337" t="s">
        <v>54</v>
      </c>
      <c r="O2337" t="s">
        <v>53</v>
      </c>
      <c r="P2337" t="s">
        <v>54</v>
      </c>
      <c r="Q2337" t="s">
        <v>53</v>
      </c>
      <c r="R2337" t="s">
        <v>53</v>
      </c>
      <c r="S2337" t="s">
        <v>11431</v>
      </c>
      <c r="T2337" t="s">
        <v>11281</v>
      </c>
      <c r="U2337" t="s">
        <v>54</v>
      </c>
      <c r="V2337" t="s">
        <v>11049</v>
      </c>
      <c r="W2337">
        <v>6597680</v>
      </c>
      <c r="X2337" t="s">
        <v>54</v>
      </c>
      <c r="Y2337" t="s">
        <v>32</v>
      </c>
      <c r="Z2337">
        <v>0</v>
      </c>
      <c r="AB2337">
        <v>667</v>
      </c>
      <c r="AC2337">
        <v>1421</v>
      </c>
      <c r="AD2337">
        <v>978</v>
      </c>
      <c r="AE2337">
        <v>2399</v>
      </c>
      <c r="AF2337">
        <v>0</v>
      </c>
      <c r="AG2337">
        <v>0</v>
      </c>
      <c r="AH2337">
        <v>32.515899658203118</v>
      </c>
      <c r="AI2337">
        <v>0</v>
      </c>
      <c r="AJ2337">
        <v>0</v>
      </c>
      <c r="AK2337" t="s">
        <v>54</v>
      </c>
      <c r="AL2337" t="s">
        <v>54</v>
      </c>
      <c r="AM2337" t="s">
        <v>32</v>
      </c>
      <c r="AP2337" t="s">
        <v>32</v>
      </c>
      <c r="AQ2337" t="s">
        <v>54</v>
      </c>
      <c r="AR2337" t="s">
        <v>32</v>
      </c>
      <c r="AT2337" t="s">
        <v>2805</v>
      </c>
      <c r="AV2337" t="s">
        <v>32</v>
      </c>
      <c r="AW2337" t="s">
        <v>53</v>
      </c>
      <c r="AX2337" t="s">
        <v>32</v>
      </c>
      <c r="AZ2337" t="s">
        <v>54</v>
      </c>
      <c r="BA2337" t="s">
        <v>11050</v>
      </c>
    </row>
    <row r="2338" spans="1:53" x14ac:dyDescent="0.25">
      <c r="A2338">
        <v>2333</v>
      </c>
      <c r="B2338" t="s">
        <v>11445</v>
      </c>
      <c r="C2338" t="s">
        <v>11446</v>
      </c>
      <c r="D2338" t="s">
        <v>11447</v>
      </c>
      <c r="E2338">
        <v>15</v>
      </c>
      <c r="F2338" t="s">
        <v>11042</v>
      </c>
      <c r="G2338" t="s">
        <v>11079</v>
      </c>
      <c r="H2338" t="s">
        <v>11448</v>
      </c>
      <c r="I2338" t="s">
        <v>32</v>
      </c>
      <c r="J2338" t="s">
        <v>11430</v>
      </c>
      <c r="K2338" t="s">
        <v>32</v>
      </c>
      <c r="L2338" t="s">
        <v>11054</v>
      </c>
      <c r="M2338">
        <v>0</v>
      </c>
      <c r="N2338" t="s">
        <v>54</v>
      </c>
      <c r="O2338" t="s">
        <v>53</v>
      </c>
      <c r="P2338" t="s">
        <v>54</v>
      </c>
      <c r="Q2338" t="s">
        <v>53</v>
      </c>
      <c r="R2338" t="s">
        <v>53</v>
      </c>
      <c r="S2338" t="s">
        <v>11431</v>
      </c>
      <c r="T2338" t="s">
        <v>11281</v>
      </c>
      <c r="U2338" t="s">
        <v>54</v>
      </c>
      <c r="V2338" t="s">
        <v>11049</v>
      </c>
      <c r="W2338">
        <v>819390</v>
      </c>
      <c r="X2338" t="s">
        <v>54</v>
      </c>
      <c r="Y2338" t="s">
        <v>32</v>
      </c>
      <c r="Z2338">
        <v>0</v>
      </c>
      <c r="AB2338">
        <v>155</v>
      </c>
      <c r="AC2338">
        <v>2607</v>
      </c>
      <c r="AD2338">
        <v>344</v>
      </c>
      <c r="AE2338">
        <v>2951</v>
      </c>
      <c r="AF2338">
        <v>1</v>
      </c>
      <c r="AG2338">
        <v>0</v>
      </c>
      <c r="AH2338">
        <v>25.121200561523441</v>
      </c>
      <c r="AI2338">
        <v>0</v>
      </c>
      <c r="AJ2338">
        <v>0</v>
      </c>
      <c r="AK2338" t="s">
        <v>54</v>
      </c>
      <c r="AL2338" t="s">
        <v>54</v>
      </c>
      <c r="AM2338" t="s">
        <v>32</v>
      </c>
      <c r="AP2338" t="s">
        <v>32</v>
      </c>
      <c r="AQ2338" t="s">
        <v>54</v>
      </c>
      <c r="AR2338" t="s">
        <v>32</v>
      </c>
      <c r="AT2338" t="s">
        <v>2805</v>
      </c>
      <c r="AV2338" t="s">
        <v>32</v>
      </c>
      <c r="AW2338" t="s">
        <v>53</v>
      </c>
      <c r="AX2338" t="s">
        <v>32</v>
      </c>
      <c r="AZ2338" t="s">
        <v>54</v>
      </c>
      <c r="BA2338" t="s">
        <v>11050</v>
      </c>
    </row>
    <row r="2339" spans="1:53" x14ac:dyDescent="0.25">
      <c r="A2339">
        <v>2334</v>
      </c>
      <c r="B2339" t="s">
        <v>11449</v>
      </c>
      <c r="C2339" t="s">
        <v>11450</v>
      </c>
      <c r="D2339" t="s">
        <v>11451</v>
      </c>
      <c r="E2339">
        <v>15</v>
      </c>
      <c r="F2339" t="s">
        <v>11042</v>
      </c>
      <c r="G2339" t="s">
        <v>11079</v>
      </c>
      <c r="H2339" t="s">
        <v>11452</v>
      </c>
      <c r="I2339" t="s">
        <v>32</v>
      </c>
      <c r="J2339" t="s">
        <v>11430</v>
      </c>
      <c r="K2339" t="s">
        <v>32</v>
      </c>
      <c r="L2339" t="s">
        <v>11054</v>
      </c>
      <c r="M2339">
        <v>0</v>
      </c>
      <c r="N2339" t="s">
        <v>54</v>
      </c>
      <c r="O2339" t="s">
        <v>53</v>
      </c>
      <c r="P2339" t="s">
        <v>54</v>
      </c>
      <c r="Q2339" t="s">
        <v>53</v>
      </c>
      <c r="R2339" t="s">
        <v>53</v>
      </c>
      <c r="S2339" t="s">
        <v>11431</v>
      </c>
      <c r="T2339" t="s">
        <v>11281</v>
      </c>
      <c r="U2339" t="s">
        <v>54</v>
      </c>
      <c r="V2339" t="s">
        <v>11049</v>
      </c>
      <c r="W2339">
        <v>14071.2001953125</v>
      </c>
      <c r="X2339" t="s">
        <v>54</v>
      </c>
      <c r="Y2339" t="s">
        <v>32</v>
      </c>
      <c r="Z2339">
        <v>0</v>
      </c>
      <c r="AB2339">
        <v>183</v>
      </c>
      <c r="AC2339">
        <v>186</v>
      </c>
      <c r="AD2339">
        <v>124</v>
      </c>
      <c r="AE2339">
        <v>310</v>
      </c>
      <c r="AF2339">
        <v>0</v>
      </c>
      <c r="AG2339">
        <v>0</v>
      </c>
      <c r="AH2339">
        <v>4.5475401878356934</v>
      </c>
      <c r="AI2339">
        <v>0</v>
      </c>
      <c r="AJ2339">
        <v>0</v>
      </c>
      <c r="AK2339" t="s">
        <v>54</v>
      </c>
      <c r="AL2339" t="s">
        <v>54</v>
      </c>
      <c r="AM2339" t="s">
        <v>32</v>
      </c>
      <c r="AP2339" t="s">
        <v>32</v>
      </c>
      <c r="AQ2339" t="s">
        <v>54</v>
      </c>
      <c r="AR2339" t="s">
        <v>32</v>
      </c>
      <c r="AT2339" t="s">
        <v>2805</v>
      </c>
      <c r="AV2339" t="s">
        <v>32</v>
      </c>
      <c r="AW2339" t="s">
        <v>53</v>
      </c>
      <c r="AX2339" t="s">
        <v>32</v>
      </c>
      <c r="AZ2339" t="s">
        <v>54</v>
      </c>
      <c r="BA2339" t="s">
        <v>11050</v>
      </c>
    </row>
    <row r="2340" spans="1:53" x14ac:dyDescent="0.25">
      <c r="A2340">
        <v>2335</v>
      </c>
      <c r="B2340" t="s">
        <v>11453</v>
      </c>
      <c r="C2340" t="s">
        <v>11454</v>
      </c>
      <c r="D2340" t="s">
        <v>11455</v>
      </c>
      <c r="E2340">
        <v>15</v>
      </c>
      <c r="F2340" t="s">
        <v>11042</v>
      </c>
      <c r="G2340" t="s">
        <v>11043</v>
      </c>
      <c r="H2340" t="s">
        <v>11044</v>
      </c>
      <c r="I2340" t="s">
        <v>32</v>
      </c>
      <c r="J2340" t="s">
        <v>11045</v>
      </c>
      <c r="K2340" t="s">
        <v>32</v>
      </c>
      <c r="L2340" t="s">
        <v>11054</v>
      </c>
      <c r="M2340">
        <v>0</v>
      </c>
      <c r="N2340" t="s">
        <v>54</v>
      </c>
      <c r="O2340" t="s">
        <v>53</v>
      </c>
      <c r="P2340" t="s">
        <v>54</v>
      </c>
      <c r="Q2340" t="s">
        <v>53</v>
      </c>
      <c r="R2340" t="s">
        <v>53</v>
      </c>
      <c r="S2340" t="s">
        <v>11047</v>
      </c>
      <c r="T2340" t="s">
        <v>11048</v>
      </c>
      <c r="U2340" t="s">
        <v>54</v>
      </c>
      <c r="V2340" t="s">
        <v>11049</v>
      </c>
      <c r="W2340">
        <v>47520</v>
      </c>
      <c r="X2340" t="s">
        <v>54</v>
      </c>
      <c r="Y2340" t="s">
        <v>32</v>
      </c>
      <c r="Z2340">
        <v>0</v>
      </c>
      <c r="AB2340">
        <v>17</v>
      </c>
      <c r="AC2340">
        <v>20</v>
      </c>
      <c r="AD2340">
        <v>59</v>
      </c>
      <c r="AE2340">
        <v>79</v>
      </c>
      <c r="AF2340">
        <v>0</v>
      </c>
      <c r="AG2340">
        <v>0</v>
      </c>
      <c r="AH2340">
        <v>0.55751597881317139</v>
      </c>
      <c r="AI2340">
        <v>0</v>
      </c>
      <c r="AJ2340">
        <v>0</v>
      </c>
      <c r="AK2340" t="s">
        <v>54</v>
      </c>
      <c r="AL2340" t="s">
        <v>54</v>
      </c>
      <c r="AM2340" t="s">
        <v>32</v>
      </c>
      <c r="AP2340" t="s">
        <v>32</v>
      </c>
      <c r="AQ2340" t="s">
        <v>54</v>
      </c>
      <c r="AR2340" t="s">
        <v>32</v>
      </c>
      <c r="AT2340" t="s">
        <v>2805</v>
      </c>
      <c r="AV2340" t="s">
        <v>32</v>
      </c>
      <c r="AW2340" t="s">
        <v>53</v>
      </c>
      <c r="AX2340" t="s">
        <v>32</v>
      </c>
      <c r="AZ2340" t="s">
        <v>54</v>
      </c>
      <c r="BA2340" t="s">
        <v>11050</v>
      </c>
    </row>
    <row r="2341" spans="1:53" x14ac:dyDescent="0.25">
      <c r="A2341">
        <v>2336</v>
      </c>
      <c r="B2341" t="s">
        <v>11456</v>
      </c>
      <c r="C2341" t="s">
        <v>11457</v>
      </c>
      <c r="D2341" t="s">
        <v>11458</v>
      </c>
      <c r="E2341">
        <v>15</v>
      </c>
      <c r="F2341" t="s">
        <v>11042</v>
      </c>
      <c r="G2341" t="s">
        <v>11340</v>
      </c>
      <c r="H2341" t="s">
        <v>11459</v>
      </c>
      <c r="I2341" t="s">
        <v>32</v>
      </c>
      <c r="J2341" t="s">
        <v>11460</v>
      </c>
      <c r="K2341" t="s">
        <v>32</v>
      </c>
      <c r="L2341" t="s">
        <v>11054</v>
      </c>
      <c r="M2341">
        <v>0</v>
      </c>
      <c r="N2341" t="s">
        <v>54</v>
      </c>
      <c r="O2341" t="s">
        <v>53</v>
      </c>
      <c r="P2341" t="s">
        <v>54</v>
      </c>
      <c r="Q2341" t="s">
        <v>53</v>
      </c>
      <c r="R2341" t="s">
        <v>53</v>
      </c>
      <c r="S2341" t="s">
        <v>11341</v>
      </c>
      <c r="T2341" t="s">
        <v>11389</v>
      </c>
      <c r="U2341" t="s">
        <v>54</v>
      </c>
      <c r="V2341" t="s">
        <v>11084</v>
      </c>
      <c r="W2341">
        <v>528000</v>
      </c>
      <c r="X2341" t="s">
        <v>54</v>
      </c>
      <c r="Y2341" t="s">
        <v>32</v>
      </c>
      <c r="Z2341">
        <v>0</v>
      </c>
      <c r="AB2341">
        <v>4521</v>
      </c>
      <c r="AC2341">
        <v>9732</v>
      </c>
      <c r="AD2341">
        <v>15723</v>
      </c>
      <c r="AE2341">
        <v>25455</v>
      </c>
      <c r="AF2341">
        <v>6</v>
      </c>
      <c r="AG2341">
        <v>0</v>
      </c>
      <c r="AH2341">
        <v>793.6729736328125</v>
      </c>
      <c r="AI2341">
        <v>0</v>
      </c>
      <c r="AJ2341">
        <v>0</v>
      </c>
      <c r="AK2341" t="s">
        <v>54</v>
      </c>
      <c r="AL2341" t="s">
        <v>53</v>
      </c>
      <c r="AM2341" t="s">
        <v>32</v>
      </c>
      <c r="AP2341" t="s">
        <v>32</v>
      </c>
      <c r="AQ2341" t="s">
        <v>53</v>
      </c>
      <c r="AR2341" t="s">
        <v>32</v>
      </c>
      <c r="AT2341" t="s">
        <v>2805</v>
      </c>
      <c r="AV2341" t="s">
        <v>32</v>
      </c>
      <c r="AW2341" t="s">
        <v>54</v>
      </c>
      <c r="AX2341" t="s">
        <v>32</v>
      </c>
      <c r="AZ2341" t="s">
        <v>54</v>
      </c>
      <c r="BA2341" t="s">
        <v>11050</v>
      </c>
    </row>
  </sheetData>
  <sheetProtection algorithmName="SHA-512" hashValue="pw17WCEFpKlDMqmqH1bIC5RJxg3s0In1bp/uc1DqQNyklkCxH7jN+hoQcMr56vYNd2wkpcy7XJD8CvX6ptz8Ig==" saltValue="udK/RftQfuDsEyDjz8A6jg==" spinCount="100000" sheet="1" objects="1" scenarios="1" sort="0" autoFilter="0"/>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5955B-727F-4263-B19A-5CCE5903E7ED}">
  <dimension ref="A1:O91"/>
  <sheetViews>
    <sheetView zoomScale="90" zoomScaleNormal="90" workbookViewId="0">
      <selection activeCell="G6" sqref="G6"/>
    </sheetView>
  </sheetViews>
  <sheetFormatPr defaultRowHeight="15" x14ac:dyDescent="0.25"/>
  <cols>
    <col min="1" max="1" width="4.42578125" style="67" customWidth="1"/>
    <col min="2" max="2" width="7.85546875" customWidth="1"/>
    <col min="3" max="3" width="56.7109375" customWidth="1"/>
    <col min="4" max="4" width="18" customWidth="1"/>
    <col min="5" max="5" width="12.5703125" customWidth="1"/>
    <col min="6" max="8" width="15.7109375" customWidth="1"/>
    <col min="9" max="9" width="12.7109375" customWidth="1"/>
    <col min="10" max="11" width="13" customWidth="1"/>
    <col min="12" max="15" width="11.42578125" customWidth="1"/>
    <col min="16" max="17" width="12.5703125" customWidth="1"/>
  </cols>
  <sheetData>
    <row r="1" spans="1:15" x14ac:dyDescent="0.25">
      <c r="A1" s="8" t="s">
        <v>11491</v>
      </c>
      <c r="B1" s="8"/>
    </row>
    <row r="2" spans="1:15" x14ac:dyDescent="0.25">
      <c r="B2" t="s">
        <v>11492</v>
      </c>
    </row>
    <row r="3" spans="1:15" ht="15.75" thickBot="1" x14ac:dyDescent="0.3">
      <c r="B3" t="s">
        <v>11493</v>
      </c>
      <c r="F3" s="68"/>
      <c r="G3" s="68"/>
      <c r="H3" s="68"/>
      <c r="I3" s="69"/>
      <c r="J3" s="68"/>
      <c r="K3" s="68"/>
      <c r="L3" s="68"/>
      <c r="M3" s="9"/>
      <c r="N3" s="9"/>
    </row>
    <row r="4" spans="1:15" s="26" customFormat="1" ht="101.25" customHeight="1" thickBot="1" x14ac:dyDescent="0.3">
      <c r="A4" s="188"/>
      <c r="B4" s="280" t="s">
        <v>2332</v>
      </c>
      <c r="C4" s="281"/>
      <c r="D4" s="12" t="s">
        <v>2348</v>
      </c>
      <c r="E4" s="208" t="s">
        <v>11461</v>
      </c>
      <c r="F4" s="152" t="s">
        <v>2378</v>
      </c>
      <c r="G4" s="153" t="s">
        <v>11464</v>
      </c>
      <c r="H4" s="154" t="s">
        <v>11463</v>
      </c>
      <c r="I4" s="276" t="s">
        <v>11468</v>
      </c>
      <c r="J4" s="277" t="s">
        <v>2400</v>
      </c>
      <c r="K4" s="278" t="s">
        <v>11467</v>
      </c>
      <c r="L4" s="155" t="s">
        <v>2349</v>
      </c>
      <c r="M4" s="156" t="s">
        <v>2350</v>
      </c>
      <c r="N4" s="157" t="s">
        <v>11469</v>
      </c>
      <c r="O4" s="177" t="s">
        <v>2414</v>
      </c>
    </row>
    <row r="5" spans="1:15" ht="16.5" customHeight="1" x14ac:dyDescent="0.25">
      <c r="A5" s="304" t="s">
        <v>11494</v>
      </c>
      <c r="B5" s="181">
        <v>1</v>
      </c>
      <c r="C5" s="143" t="s">
        <v>2379</v>
      </c>
      <c r="D5" s="72" t="s">
        <v>1973</v>
      </c>
      <c r="E5" s="209"/>
      <c r="F5" s="270" t="s">
        <v>53</v>
      </c>
      <c r="G5" s="262">
        <v>0</v>
      </c>
      <c r="H5" s="212"/>
      <c r="I5" s="263" t="s">
        <v>53</v>
      </c>
      <c r="J5" s="264">
        <v>0</v>
      </c>
      <c r="K5" s="218"/>
      <c r="L5" s="224" t="s">
        <v>53</v>
      </c>
      <c r="M5" s="164">
        <v>0</v>
      </c>
      <c r="N5" s="225"/>
      <c r="O5" s="158"/>
    </row>
    <row r="6" spans="1:15" x14ac:dyDescent="0.25">
      <c r="A6" s="304"/>
      <c r="B6" s="182">
        <v>2</v>
      </c>
      <c r="C6" s="151" t="s">
        <v>2380</v>
      </c>
      <c r="D6" s="151" t="s">
        <v>2351</v>
      </c>
      <c r="E6" s="310" t="s">
        <v>11530</v>
      </c>
      <c r="F6" s="271" t="s">
        <v>54</v>
      </c>
      <c r="G6" s="272">
        <v>0.15</v>
      </c>
      <c r="H6" s="318">
        <f>SUM(G6:G10)</f>
        <v>0.8</v>
      </c>
      <c r="I6" s="265" t="s">
        <v>53</v>
      </c>
      <c r="J6" s="266">
        <v>0</v>
      </c>
      <c r="K6" s="321">
        <f>SUM(J6:J10)</f>
        <v>0</v>
      </c>
      <c r="L6" s="195" t="s">
        <v>54</v>
      </c>
      <c r="M6" s="165">
        <v>0.1</v>
      </c>
      <c r="N6" s="323">
        <f>SUM(M6:M10)</f>
        <v>0.44999999999999996</v>
      </c>
      <c r="O6" s="159">
        <v>100</v>
      </c>
    </row>
    <row r="7" spans="1:15" x14ac:dyDescent="0.25">
      <c r="A7" s="304"/>
      <c r="B7" s="182">
        <v>3</v>
      </c>
      <c r="C7" s="151" t="s">
        <v>2381</v>
      </c>
      <c r="D7" s="151" t="s">
        <v>2351</v>
      </c>
      <c r="E7" s="311"/>
      <c r="F7" s="271" t="s">
        <v>54</v>
      </c>
      <c r="G7" s="272">
        <v>0.1</v>
      </c>
      <c r="H7" s="319"/>
      <c r="I7" s="265" t="s">
        <v>53</v>
      </c>
      <c r="J7" s="266">
        <v>0</v>
      </c>
      <c r="K7" s="322"/>
      <c r="L7" s="195" t="s">
        <v>54</v>
      </c>
      <c r="M7" s="165">
        <v>0.05</v>
      </c>
      <c r="N7" s="324"/>
      <c r="O7" s="159">
        <v>100</v>
      </c>
    </row>
    <row r="8" spans="1:15" x14ac:dyDescent="0.25">
      <c r="A8" s="304"/>
      <c r="B8" s="182">
        <f t="shared" ref="B8:B26" si="0">B7+1</f>
        <v>4</v>
      </c>
      <c r="C8" s="151" t="s">
        <v>2382</v>
      </c>
      <c r="D8" s="151" t="s">
        <v>2351</v>
      </c>
      <c r="E8" s="311"/>
      <c r="F8" s="271" t="s">
        <v>54</v>
      </c>
      <c r="G8" s="272">
        <v>0.15</v>
      </c>
      <c r="H8" s="319"/>
      <c r="I8" s="265" t="s">
        <v>53</v>
      </c>
      <c r="J8" s="266">
        <v>0</v>
      </c>
      <c r="K8" s="322"/>
      <c r="L8" s="195" t="s">
        <v>54</v>
      </c>
      <c r="M8" s="165">
        <v>0.1</v>
      </c>
      <c r="N8" s="324"/>
      <c r="O8" s="159">
        <v>100</v>
      </c>
    </row>
    <row r="9" spans="1:15" ht="30" customHeight="1" x14ac:dyDescent="0.25">
      <c r="A9" s="304"/>
      <c r="B9" s="182">
        <f t="shared" si="0"/>
        <v>5</v>
      </c>
      <c r="C9" s="151" t="s">
        <v>2383</v>
      </c>
      <c r="D9" s="151" t="s">
        <v>2351</v>
      </c>
      <c r="E9" s="311"/>
      <c r="F9" s="271" t="s">
        <v>54</v>
      </c>
      <c r="G9" s="272">
        <v>0.2</v>
      </c>
      <c r="H9" s="319"/>
      <c r="I9" s="265" t="s">
        <v>53</v>
      </c>
      <c r="J9" s="266">
        <v>0</v>
      </c>
      <c r="K9" s="322"/>
      <c r="L9" s="195" t="s">
        <v>54</v>
      </c>
      <c r="M9" s="166">
        <v>0.1</v>
      </c>
      <c r="N9" s="324"/>
      <c r="O9" s="159">
        <v>100</v>
      </c>
    </row>
    <row r="10" spans="1:15" ht="15" customHeight="1" x14ac:dyDescent="0.25">
      <c r="A10" s="304"/>
      <c r="B10" s="182">
        <f t="shared" si="0"/>
        <v>6</v>
      </c>
      <c r="C10" s="151" t="s">
        <v>2334</v>
      </c>
      <c r="D10" s="151" t="s">
        <v>2351</v>
      </c>
      <c r="E10" s="312"/>
      <c r="F10" s="271" t="s">
        <v>54</v>
      </c>
      <c r="G10" s="272">
        <v>0.2</v>
      </c>
      <c r="H10" s="319"/>
      <c r="I10" s="265" t="s">
        <v>53</v>
      </c>
      <c r="J10" s="266">
        <v>0</v>
      </c>
      <c r="K10" s="322"/>
      <c r="L10" s="195" t="s">
        <v>54</v>
      </c>
      <c r="M10" s="165">
        <v>0.1</v>
      </c>
      <c r="N10" s="325"/>
      <c r="O10" s="159">
        <v>100</v>
      </c>
    </row>
    <row r="11" spans="1:15" x14ac:dyDescent="0.25">
      <c r="A11" s="304"/>
      <c r="B11" s="182">
        <f t="shared" si="0"/>
        <v>7</v>
      </c>
      <c r="C11" s="151" t="s">
        <v>2335</v>
      </c>
      <c r="D11" s="151" t="s">
        <v>2351</v>
      </c>
      <c r="E11" s="310" t="s">
        <v>11466</v>
      </c>
      <c r="F11" s="271" t="s">
        <v>54</v>
      </c>
      <c r="G11" s="272">
        <v>0.05</v>
      </c>
      <c r="H11" s="318">
        <f>SUM(G11:G12)</f>
        <v>0.15000000000000002</v>
      </c>
      <c r="I11" s="265" t="s">
        <v>53</v>
      </c>
      <c r="J11" s="266">
        <v>0</v>
      </c>
      <c r="K11" s="321">
        <f>SUM(J11:J12)</f>
        <v>0</v>
      </c>
      <c r="L11" s="195" t="s">
        <v>54</v>
      </c>
      <c r="M11" s="165">
        <v>0.05</v>
      </c>
      <c r="N11" s="323">
        <f>SUM(M11:M12)</f>
        <v>0.15000000000000002</v>
      </c>
      <c r="O11" s="159">
        <v>100</v>
      </c>
    </row>
    <row r="12" spans="1:15" x14ac:dyDescent="0.25">
      <c r="A12" s="304"/>
      <c r="B12" s="182">
        <f t="shared" si="0"/>
        <v>8</v>
      </c>
      <c r="C12" s="151" t="s">
        <v>2384</v>
      </c>
      <c r="D12" s="151" t="s">
        <v>2351</v>
      </c>
      <c r="E12" s="312"/>
      <c r="F12" s="271" t="s">
        <v>54</v>
      </c>
      <c r="G12" s="272">
        <v>0.1</v>
      </c>
      <c r="H12" s="320"/>
      <c r="I12" s="265" t="s">
        <v>53</v>
      </c>
      <c r="J12" s="266">
        <v>0</v>
      </c>
      <c r="K12" s="322"/>
      <c r="L12" s="195" t="s">
        <v>54</v>
      </c>
      <c r="M12" s="165">
        <v>0.1</v>
      </c>
      <c r="N12" s="324"/>
      <c r="O12" s="159">
        <v>100</v>
      </c>
    </row>
    <row r="13" spans="1:15" x14ac:dyDescent="0.25">
      <c r="A13" s="304"/>
      <c r="B13" s="182">
        <f t="shared" si="0"/>
        <v>9</v>
      </c>
      <c r="C13" s="151" t="s">
        <v>2385</v>
      </c>
      <c r="D13" s="151" t="s">
        <v>2351</v>
      </c>
      <c r="E13" s="210" t="s">
        <v>11462</v>
      </c>
      <c r="F13" s="271" t="s">
        <v>54</v>
      </c>
      <c r="G13" s="272">
        <v>0.05</v>
      </c>
      <c r="H13" s="213">
        <f>G13</f>
        <v>0.05</v>
      </c>
      <c r="I13" s="265" t="s">
        <v>53</v>
      </c>
      <c r="J13" s="266">
        <v>0</v>
      </c>
      <c r="K13" s="219">
        <f>J13</f>
        <v>0</v>
      </c>
      <c r="L13" s="195" t="s">
        <v>54</v>
      </c>
      <c r="M13" s="165">
        <v>0.05</v>
      </c>
      <c r="N13" s="226">
        <f>M13</f>
        <v>0.05</v>
      </c>
      <c r="O13" s="159">
        <v>100</v>
      </c>
    </row>
    <row r="14" spans="1:15" ht="30" x14ac:dyDescent="0.25">
      <c r="A14" s="304"/>
      <c r="B14" s="183">
        <v>10</v>
      </c>
      <c r="C14" s="144" t="s">
        <v>2377</v>
      </c>
      <c r="D14" s="134" t="s">
        <v>2352</v>
      </c>
      <c r="E14" s="313" t="s">
        <v>11530</v>
      </c>
      <c r="F14" s="205"/>
      <c r="G14" s="77"/>
      <c r="H14" s="326"/>
      <c r="I14" s="265" t="s">
        <v>54</v>
      </c>
      <c r="J14" s="267">
        <v>0.05</v>
      </c>
      <c r="K14" s="293">
        <f>SUM(J14:J20)</f>
        <v>0.5</v>
      </c>
      <c r="L14" s="195" t="s">
        <v>53</v>
      </c>
      <c r="M14" s="166">
        <v>0</v>
      </c>
      <c r="N14" s="301">
        <f>SUM(M14:M20)</f>
        <v>0.2</v>
      </c>
      <c r="O14" s="159">
        <v>100</v>
      </c>
    </row>
    <row r="15" spans="1:15" ht="30" x14ac:dyDescent="0.25">
      <c r="A15" s="304"/>
      <c r="B15" s="184">
        <v>11</v>
      </c>
      <c r="C15" s="145" t="s">
        <v>2402</v>
      </c>
      <c r="D15" s="135" t="s">
        <v>2352</v>
      </c>
      <c r="E15" s="314"/>
      <c r="F15" s="205"/>
      <c r="G15" s="77"/>
      <c r="H15" s="327"/>
      <c r="I15" s="265" t="s">
        <v>54</v>
      </c>
      <c r="J15" s="266">
        <v>0.05</v>
      </c>
      <c r="K15" s="294"/>
      <c r="L15" s="195" t="s">
        <v>54</v>
      </c>
      <c r="M15" s="166">
        <v>0.1</v>
      </c>
      <c r="N15" s="302"/>
      <c r="O15" s="159">
        <v>100</v>
      </c>
    </row>
    <row r="16" spans="1:15" ht="30" x14ac:dyDescent="0.25">
      <c r="A16" s="304"/>
      <c r="B16" s="184">
        <v>12</v>
      </c>
      <c r="C16" s="145" t="s">
        <v>11465</v>
      </c>
      <c r="D16" s="135" t="s">
        <v>2352</v>
      </c>
      <c r="E16" s="314"/>
      <c r="F16" s="205"/>
      <c r="G16" s="77"/>
      <c r="H16" s="327"/>
      <c r="I16" s="265" t="s">
        <v>54</v>
      </c>
      <c r="J16" s="266">
        <v>0.1</v>
      </c>
      <c r="K16" s="294"/>
      <c r="L16" s="205"/>
      <c r="M16" s="163"/>
      <c r="N16" s="302"/>
      <c r="O16" s="159">
        <v>100</v>
      </c>
    </row>
    <row r="17" spans="1:15" ht="30" x14ac:dyDescent="0.25">
      <c r="A17" s="304"/>
      <c r="B17" s="184">
        <v>13</v>
      </c>
      <c r="C17" s="145" t="s">
        <v>2403</v>
      </c>
      <c r="D17" s="135" t="s">
        <v>2352</v>
      </c>
      <c r="E17" s="314"/>
      <c r="F17" s="205"/>
      <c r="G17" s="77"/>
      <c r="H17" s="327"/>
      <c r="I17" s="265" t="s">
        <v>53</v>
      </c>
      <c r="J17" s="266">
        <v>0</v>
      </c>
      <c r="K17" s="294"/>
      <c r="L17" s="195" t="s">
        <v>53</v>
      </c>
      <c r="M17" s="166">
        <v>0</v>
      </c>
      <c r="N17" s="302"/>
      <c r="O17" s="159">
        <v>100</v>
      </c>
    </row>
    <row r="18" spans="1:15" ht="30" x14ac:dyDescent="0.25">
      <c r="A18" s="304"/>
      <c r="B18" s="184">
        <f t="shared" si="0"/>
        <v>14</v>
      </c>
      <c r="C18" s="145" t="s">
        <v>2404</v>
      </c>
      <c r="D18" s="135" t="s">
        <v>2352</v>
      </c>
      <c r="E18" s="314"/>
      <c r="F18" s="205"/>
      <c r="G18" s="77"/>
      <c r="H18" s="327"/>
      <c r="I18" s="265" t="s">
        <v>54</v>
      </c>
      <c r="J18" s="266">
        <v>0.1</v>
      </c>
      <c r="K18" s="294"/>
      <c r="L18" s="195" t="s">
        <v>54</v>
      </c>
      <c r="M18" s="166">
        <v>0.1</v>
      </c>
      <c r="N18" s="302"/>
      <c r="O18" s="159">
        <v>100</v>
      </c>
    </row>
    <row r="19" spans="1:15" ht="30" x14ac:dyDescent="0.25">
      <c r="A19" s="304"/>
      <c r="B19" s="184">
        <f t="shared" si="0"/>
        <v>15</v>
      </c>
      <c r="C19" s="145" t="s">
        <v>2405</v>
      </c>
      <c r="D19" s="135" t="s">
        <v>2352</v>
      </c>
      <c r="E19" s="314"/>
      <c r="F19" s="205"/>
      <c r="G19" s="77"/>
      <c r="H19" s="327"/>
      <c r="I19" s="265" t="s">
        <v>54</v>
      </c>
      <c r="J19" s="266">
        <v>0.1</v>
      </c>
      <c r="K19" s="294"/>
      <c r="L19" s="195" t="s">
        <v>53</v>
      </c>
      <c r="M19" s="166">
        <v>0</v>
      </c>
      <c r="N19" s="302"/>
      <c r="O19" s="159">
        <v>100</v>
      </c>
    </row>
    <row r="20" spans="1:15" ht="30" x14ac:dyDescent="0.25">
      <c r="A20" s="304"/>
      <c r="B20" s="184">
        <f t="shared" si="0"/>
        <v>16</v>
      </c>
      <c r="C20" s="145" t="s">
        <v>2406</v>
      </c>
      <c r="D20" s="135" t="s">
        <v>2352</v>
      </c>
      <c r="E20" s="315"/>
      <c r="F20" s="205"/>
      <c r="G20" s="77"/>
      <c r="H20" s="328"/>
      <c r="I20" s="265" t="s">
        <v>54</v>
      </c>
      <c r="J20" s="266">
        <v>0.1</v>
      </c>
      <c r="K20" s="295"/>
      <c r="L20" s="195" t="s">
        <v>53</v>
      </c>
      <c r="M20" s="166">
        <v>0</v>
      </c>
      <c r="N20" s="303"/>
      <c r="O20" s="159">
        <v>100</v>
      </c>
    </row>
    <row r="21" spans="1:15" ht="30" x14ac:dyDescent="0.25">
      <c r="A21" s="304"/>
      <c r="B21" s="184">
        <f t="shared" si="0"/>
        <v>17</v>
      </c>
      <c r="C21" s="145" t="s">
        <v>2386</v>
      </c>
      <c r="D21" s="135" t="s">
        <v>2352</v>
      </c>
      <c r="E21" s="316" t="s">
        <v>11466</v>
      </c>
      <c r="F21" s="205"/>
      <c r="G21" s="77"/>
      <c r="H21" s="326"/>
      <c r="I21" s="265" t="s">
        <v>53</v>
      </c>
      <c r="J21" s="266">
        <v>0</v>
      </c>
      <c r="K21" s="293">
        <f>SUM(J21:J22)</f>
        <v>0.05</v>
      </c>
      <c r="L21" s="195" t="s">
        <v>53</v>
      </c>
      <c r="M21" s="166">
        <v>0</v>
      </c>
      <c r="N21" s="301">
        <f>SUM(M21:M22)</f>
        <v>0</v>
      </c>
      <c r="O21" s="159">
        <v>100</v>
      </c>
    </row>
    <row r="22" spans="1:15" ht="30" x14ac:dyDescent="0.25">
      <c r="A22" s="304"/>
      <c r="B22" s="184">
        <f t="shared" si="0"/>
        <v>18</v>
      </c>
      <c r="C22" s="145" t="s">
        <v>2407</v>
      </c>
      <c r="D22" s="135" t="s">
        <v>2352</v>
      </c>
      <c r="E22" s="317"/>
      <c r="F22" s="205"/>
      <c r="G22" s="77"/>
      <c r="H22" s="328"/>
      <c r="I22" s="265" t="s">
        <v>54</v>
      </c>
      <c r="J22" s="266">
        <v>0.05</v>
      </c>
      <c r="K22" s="295"/>
      <c r="L22" s="195" t="s">
        <v>53</v>
      </c>
      <c r="M22" s="166">
        <v>0</v>
      </c>
      <c r="N22" s="303"/>
      <c r="O22" s="159">
        <v>100</v>
      </c>
    </row>
    <row r="23" spans="1:15" ht="30" x14ac:dyDescent="0.25">
      <c r="A23" s="304"/>
      <c r="B23" s="184">
        <f t="shared" si="0"/>
        <v>19</v>
      </c>
      <c r="C23" s="145" t="s">
        <v>2408</v>
      </c>
      <c r="D23" s="135" t="s">
        <v>2352</v>
      </c>
      <c r="E23" s="412" t="s">
        <v>11462</v>
      </c>
      <c r="F23" s="205"/>
      <c r="G23" s="77"/>
      <c r="H23" s="214"/>
      <c r="I23" s="265" t="s">
        <v>54</v>
      </c>
      <c r="J23" s="266">
        <v>0.05</v>
      </c>
      <c r="K23" s="220">
        <f>J23</f>
        <v>0.05</v>
      </c>
      <c r="L23" s="195" t="s">
        <v>53</v>
      </c>
      <c r="M23" s="166">
        <v>0</v>
      </c>
      <c r="N23" s="227">
        <f>M23</f>
        <v>0</v>
      </c>
      <c r="O23" s="159">
        <v>100</v>
      </c>
    </row>
    <row r="24" spans="1:15" x14ac:dyDescent="0.25">
      <c r="A24" s="304"/>
      <c r="B24" s="185">
        <f t="shared" si="0"/>
        <v>20</v>
      </c>
      <c r="C24" s="146" t="s">
        <v>2409</v>
      </c>
      <c r="D24" s="136" t="s">
        <v>1973</v>
      </c>
      <c r="E24" s="211"/>
      <c r="F24" s="205"/>
      <c r="G24" s="77"/>
      <c r="H24" s="214"/>
      <c r="I24" s="265" t="s">
        <v>53</v>
      </c>
      <c r="J24" s="266">
        <v>0</v>
      </c>
      <c r="K24" s="221"/>
      <c r="L24" s="195" t="s">
        <v>53</v>
      </c>
      <c r="M24" s="166">
        <v>0</v>
      </c>
      <c r="N24" s="228"/>
      <c r="O24" s="159">
        <v>100</v>
      </c>
    </row>
    <row r="25" spans="1:15" x14ac:dyDescent="0.25">
      <c r="A25" s="304"/>
      <c r="B25" s="185">
        <f t="shared" si="0"/>
        <v>21</v>
      </c>
      <c r="C25" s="146" t="s">
        <v>2387</v>
      </c>
      <c r="D25" s="136" t="s">
        <v>1973</v>
      </c>
      <c r="E25" s="211"/>
      <c r="F25" s="205"/>
      <c r="G25" s="77"/>
      <c r="H25" s="215"/>
      <c r="I25" s="268" t="s">
        <v>54</v>
      </c>
      <c r="J25" s="269">
        <v>2.5000000000000001E-2</v>
      </c>
      <c r="K25" s="222"/>
      <c r="L25" s="195" t="s">
        <v>11470</v>
      </c>
      <c r="M25" s="166">
        <v>0.05</v>
      </c>
      <c r="N25" s="228"/>
      <c r="O25" s="159">
        <v>100</v>
      </c>
    </row>
    <row r="26" spans="1:15" x14ac:dyDescent="0.25">
      <c r="A26" s="304"/>
      <c r="B26" s="185">
        <f t="shared" si="0"/>
        <v>22</v>
      </c>
      <c r="C26" s="146" t="s">
        <v>2388</v>
      </c>
      <c r="D26" s="136" t="s">
        <v>1973</v>
      </c>
      <c r="E26" s="211"/>
      <c r="F26" s="205"/>
      <c r="G26" s="77"/>
      <c r="H26" s="215"/>
      <c r="I26" s="268" t="s">
        <v>54</v>
      </c>
      <c r="J26" s="269">
        <v>2.5000000000000001E-2</v>
      </c>
      <c r="K26" s="222"/>
      <c r="L26" s="205"/>
      <c r="M26" s="163"/>
      <c r="N26" s="214"/>
      <c r="O26" s="159">
        <v>100</v>
      </c>
    </row>
    <row r="27" spans="1:15" ht="15.75" thickBot="1" x14ac:dyDescent="0.3">
      <c r="A27" s="304"/>
      <c r="B27" s="186">
        <v>23</v>
      </c>
      <c r="C27" s="146" t="s">
        <v>2389</v>
      </c>
      <c r="D27" s="136" t="s">
        <v>1973</v>
      </c>
      <c r="E27" s="211"/>
      <c r="F27" s="206"/>
      <c r="G27" s="86"/>
      <c r="H27" s="216"/>
      <c r="I27" s="268" t="s">
        <v>54</v>
      </c>
      <c r="J27" s="269">
        <v>0.05</v>
      </c>
      <c r="K27" s="223"/>
      <c r="L27" s="195" t="s">
        <v>54</v>
      </c>
      <c r="M27" s="167">
        <v>0.1</v>
      </c>
      <c r="N27" s="229"/>
      <c r="O27" s="160">
        <v>100</v>
      </c>
    </row>
    <row r="28" spans="1:15" ht="15.75" thickBot="1" x14ac:dyDescent="0.3">
      <c r="A28" s="305"/>
      <c r="B28" s="187"/>
      <c r="C28" s="169" t="s">
        <v>11471</v>
      </c>
      <c r="D28" s="80"/>
      <c r="E28" s="217"/>
      <c r="F28" s="285">
        <f>SUM(G5:G27)</f>
        <v>1</v>
      </c>
      <c r="G28" s="286"/>
      <c r="H28" s="287"/>
      <c r="I28" s="299">
        <f>SUM(J5:J27)</f>
        <v>0.70000000000000018</v>
      </c>
      <c r="J28" s="300"/>
      <c r="K28" s="300"/>
      <c r="L28" s="296">
        <f>SUM(M5:M27)</f>
        <v>1</v>
      </c>
      <c r="M28" s="297"/>
      <c r="N28" s="298"/>
      <c r="O28" s="189"/>
    </row>
    <row r="29" spans="1:15" ht="15.75" customHeight="1" thickBot="1" x14ac:dyDescent="0.3">
      <c r="A29" s="306"/>
      <c r="B29" s="306"/>
      <c r="C29" s="306"/>
      <c r="D29" s="306"/>
      <c r="E29" s="306"/>
      <c r="F29" s="306"/>
      <c r="G29" s="306"/>
      <c r="H29" s="306"/>
      <c r="I29" s="306"/>
      <c r="J29" s="306"/>
      <c r="K29" s="306"/>
      <c r="L29" s="306"/>
      <c r="M29" s="306"/>
      <c r="N29" s="306"/>
      <c r="O29" s="306"/>
    </row>
    <row r="30" spans="1:15" ht="15" customHeight="1" x14ac:dyDescent="0.25">
      <c r="A30" s="307" t="s">
        <v>11495</v>
      </c>
      <c r="B30" s="70">
        <v>24</v>
      </c>
      <c r="C30" s="71" t="s">
        <v>2353</v>
      </c>
      <c r="D30" s="71" t="s">
        <v>2351</v>
      </c>
      <c r="E30" s="199"/>
      <c r="F30" s="204"/>
      <c r="G30" s="81"/>
      <c r="H30" s="82"/>
      <c r="I30" s="193" t="s">
        <v>54</v>
      </c>
      <c r="J30" s="161">
        <v>0.05</v>
      </c>
      <c r="K30" s="194"/>
      <c r="L30" s="190"/>
      <c r="M30" s="82"/>
      <c r="N30" s="82"/>
      <c r="O30" s="73">
        <v>100</v>
      </c>
    </row>
    <row r="31" spans="1:15" x14ac:dyDescent="0.25">
      <c r="A31" s="308"/>
      <c r="B31" s="74">
        <f>B30+1</f>
        <v>25</v>
      </c>
      <c r="C31" s="23" t="s">
        <v>2354</v>
      </c>
      <c r="D31" s="23" t="s">
        <v>2351</v>
      </c>
      <c r="E31" s="200"/>
      <c r="F31" s="205"/>
      <c r="G31" s="84"/>
      <c r="H31" s="85"/>
      <c r="I31" s="195" t="s">
        <v>53</v>
      </c>
      <c r="J31" s="162">
        <v>0</v>
      </c>
      <c r="K31" s="196"/>
      <c r="L31" s="191"/>
      <c r="M31" s="85"/>
      <c r="N31" s="85"/>
      <c r="O31" s="75">
        <v>100</v>
      </c>
    </row>
    <row r="32" spans="1:15" ht="30" x14ac:dyDescent="0.25">
      <c r="A32" s="308"/>
      <c r="B32" s="74">
        <f t="shared" ref="B32:B45" si="1">B31+1</f>
        <v>26</v>
      </c>
      <c r="C32" s="23" t="s">
        <v>2355</v>
      </c>
      <c r="D32" s="76" t="s">
        <v>2352</v>
      </c>
      <c r="E32" s="201"/>
      <c r="F32" s="205"/>
      <c r="G32" s="84"/>
      <c r="H32" s="85"/>
      <c r="I32" s="195" t="s">
        <v>53</v>
      </c>
      <c r="J32" s="162">
        <v>0</v>
      </c>
      <c r="K32" s="196"/>
      <c r="L32" s="191"/>
      <c r="M32" s="85"/>
      <c r="N32" s="85"/>
      <c r="O32" s="75">
        <v>100</v>
      </c>
    </row>
    <row r="33" spans="1:15" ht="30" x14ac:dyDescent="0.25">
      <c r="A33" s="308"/>
      <c r="B33" s="74">
        <f t="shared" si="1"/>
        <v>27</v>
      </c>
      <c r="C33" s="23" t="s">
        <v>2356</v>
      </c>
      <c r="D33" s="76" t="s">
        <v>2352</v>
      </c>
      <c r="E33" s="201"/>
      <c r="F33" s="205"/>
      <c r="G33" s="84"/>
      <c r="H33" s="85"/>
      <c r="I33" s="195" t="s">
        <v>54</v>
      </c>
      <c r="J33" s="162">
        <v>2.5000000000000001E-2</v>
      </c>
      <c r="K33" s="196"/>
      <c r="L33" s="191"/>
      <c r="M33" s="85"/>
      <c r="N33" s="85"/>
      <c r="O33" s="75">
        <v>100</v>
      </c>
    </row>
    <row r="34" spans="1:15" ht="30" x14ac:dyDescent="0.25">
      <c r="A34" s="308"/>
      <c r="B34" s="74">
        <f t="shared" si="1"/>
        <v>28</v>
      </c>
      <c r="C34" s="23" t="s">
        <v>2328</v>
      </c>
      <c r="D34" s="76" t="s">
        <v>2352</v>
      </c>
      <c r="E34" s="201"/>
      <c r="F34" s="205"/>
      <c r="G34" s="84"/>
      <c r="H34" s="85"/>
      <c r="I34" s="195" t="s">
        <v>53</v>
      </c>
      <c r="J34" s="162">
        <v>0</v>
      </c>
      <c r="K34" s="196"/>
      <c r="L34" s="191"/>
      <c r="M34" s="85"/>
      <c r="N34" s="85"/>
      <c r="O34" s="75">
        <v>100</v>
      </c>
    </row>
    <row r="35" spans="1:15" ht="30" x14ac:dyDescent="0.25">
      <c r="A35" s="308"/>
      <c r="B35" s="74">
        <f t="shared" si="1"/>
        <v>29</v>
      </c>
      <c r="C35" s="23" t="s">
        <v>2357</v>
      </c>
      <c r="D35" s="76" t="s">
        <v>2352</v>
      </c>
      <c r="E35" s="201"/>
      <c r="F35" s="205"/>
      <c r="G35" s="84"/>
      <c r="H35" s="85"/>
      <c r="I35" s="195" t="s">
        <v>54</v>
      </c>
      <c r="J35" s="162">
        <v>0.05</v>
      </c>
      <c r="K35" s="196"/>
      <c r="L35" s="191"/>
      <c r="M35" s="85"/>
      <c r="N35" s="85"/>
      <c r="O35" s="75">
        <v>100</v>
      </c>
    </row>
    <row r="36" spans="1:15" x14ac:dyDescent="0.25">
      <c r="A36" s="308"/>
      <c r="B36" s="74">
        <f t="shared" si="1"/>
        <v>30</v>
      </c>
      <c r="C36" s="23" t="s">
        <v>2326</v>
      </c>
      <c r="D36" s="25" t="s">
        <v>2358</v>
      </c>
      <c r="E36" s="202"/>
      <c r="F36" s="205"/>
      <c r="G36" s="84"/>
      <c r="H36" s="85"/>
      <c r="I36" s="195" t="s">
        <v>54</v>
      </c>
      <c r="J36" s="162">
        <v>0.05</v>
      </c>
      <c r="K36" s="196"/>
      <c r="L36" s="191"/>
      <c r="M36" s="85"/>
      <c r="N36" s="85"/>
      <c r="O36" s="75">
        <v>100</v>
      </c>
    </row>
    <row r="37" spans="1:15" ht="30" x14ac:dyDescent="0.25">
      <c r="A37" s="308"/>
      <c r="B37" s="74">
        <f t="shared" si="1"/>
        <v>31</v>
      </c>
      <c r="C37" s="23" t="s">
        <v>2327</v>
      </c>
      <c r="D37" s="24" t="s">
        <v>2352</v>
      </c>
      <c r="E37" s="202"/>
      <c r="F37" s="205"/>
      <c r="G37" s="84"/>
      <c r="H37" s="85"/>
      <c r="I37" s="195" t="s">
        <v>54</v>
      </c>
      <c r="J37" s="162">
        <v>2.5000000000000001E-2</v>
      </c>
      <c r="K37" s="196"/>
      <c r="L37" s="191"/>
      <c r="M37" s="85"/>
      <c r="N37" s="85"/>
      <c r="O37" s="75">
        <v>100</v>
      </c>
    </row>
    <row r="38" spans="1:15" x14ac:dyDescent="0.25">
      <c r="A38" s="308"/>
      <c r="B38" s="74">
        <f t="shared" si="1"/>
        <v>32</v>
      </c>
      <c r="C38" s="23" t="s">
        <v>2359</v>
      </c>
      <c r="D38" s="25" t="s">
        <v>2358</v>
      </c>
      <c r="E38" s="202"/>
      <c r="F38" s="205"/>
      <c r="G38" s="84"/>
      <c r="H38" s="85"/>
      <c r="I38" s="195" t="s">
        <v>53</v>
      </c>
      <c r="J38" s="162">
        <v>0</v>
      </c>
      <c r="K38" s="196"/>
      <c r="L38" s="191"/>
      <c r="M38" s="85"/>
      <c r="N38" s="85"/>
      <c r="O38" s="75">
        <v>100</v>
      </c>
    </row>
    <row r="39" spans="1:15" x14ac:dyDescent="0.25">
      <c r="A39" s="308"/>
      <c r="B39" s="74">
        <f t="shared" si="1"/>
        <v>33</v>
      </c>
      <c r="C39" s="23" t="s">
        <v>2360</v>
      </c>
      <c r="D39" s="25" t="s">
        <v>2358</v>
      </c>
      <c r="E39" s="202"/>
      <c r="F39" s="205"/>
      <c r="G39" s="84"/>
      <c r="H39" s="85"/>
      <c r="I39" s="195" t="s">
        <v>11470</v>
      </c>
      <c r="J39" s="162">
        <v>2.5000000000000001E-2</v>
      </c>
      <c r="K39" s="196"/>
      <c r="L39" s="191"/>
      <c r="M39" s="85"/>
      <c r="N39" s="85"/>
      <c r="O39" s="75">
        <v>100</v>
      </c>
    </row>
    <row r="40" spans="1:15" x14ac:dyDescent="0.25">
      <c r="A40" s="308"/>
      <c r="B40" s="74">
        <f t="shared" si="1"/>
        <v>34</v>
      </c>
      <c r="C40" s="23" t="s">
        <v>2329</v>
      </c>
      <c r="D40" s="25" t="s">
        <v>1973</v>
      </c>
      <c r="E40" s="202"/>
      <c r="F40" s="205"/>
      <c r="G40" s="84"/>
      <c r="H40" s="85"/>
      <c r="I40" s="195" t="s">
        <v>54</v>
      </c>
      <c r="J40" s="162">
        <v>2.5000000000000001E-2</v>
      </c>
      <c r="K40" s="196"/>
      <c r="L40" s="191"/>
      <c r="M40" s="85"/>
      <c r="N40" s="85"/>
      <c r="O40" s="75">
        <v>100</v>
      </c>
    </row>
    <row r="41" spans="1:15" x14ac:dyDescent="0.25">
      <c r="A41" s="308"/>
      <c r="B41" s="74">
        <f t="shared" si="1"/>
        <v>35</v>
      </c>
      <c r="C41" s="23" t="s">
        <v>2330</v>
      </c>
      <c r="D41" s="25" t="s">
        <v>1973</v>
      </c>
      <c r="E41" s="202"/>
      <c r="F41" s="205"/>
      <c r="G41" s="84"/>
      <c r="H41" s="85"/>
      <c r="I41" s="195" t="s">
        <v>53</v>
      </c>
      <c r="J41" s="162">
        <v>0</v>
      </c>
      <c r="K41" s="196"/>
      <c r="L41" s="191"/>
      <c r="M41" s="85"/>
      <c r="N41" s="85"/>
      <c r="O41" s="75">
        <v>100</v>
      </c>
    </row>
    <row r="42" spans="1:15" x14ac:dyDescent="0.25">
      <c r="A42" s="308"/>
      <c r="B42" s="74">
        <f t="shared" si="1"/>
        <v>36</v>
      </c>
      <c r="C42" s="23" t="s">
        <v>2361</v>
      </c>
      <c r="D42" s="25" t="s">
        <v>2358</v>
      </c>
      <c r="E42" s="202"/>
      <c r="F42" s="205"/>
      <c r="G42" s="84"/>
      <c r="H42" s="85"/>
      <c r="I42" s="195" t="s">
        <v>54</v>
      </c>
      <c r="J42" s="162">
        <v>2.5000000000000001E-2</v>
      </c>
      <c r="K42" s="196"/>
      <c r="L42" s="191"/>
      <c r="M42" s="85"/>
      <c r="N42" s="85"/>
      <c r="O42" s="75">
        <v>100</v>
      </c>
    </row>
    <row r="43" spans="1:15" x14ac:dyDescent="0.25">
      <c r="A43" s="308"/>
      <c r="B43" s="74">
        <f t="shared" si="1"/>
        <v>37</v>
      </c>
      <c r="C43" s="23" t="s">
        <v>2362</v>
      </c>
      <c r="D43" s="25" t="s">
        <v>2358</v>
      </c>
      <c r="E43" s="202"/>
      <c r="F43" s="205"/>
      <c r="G43" s="84"/>
      <c r="H43" s="85"/>
      <c r="I43" s="195" t="s">
        <v>53</v>
      </c>
      <c r="J43" s="162">
        <v>0</v>
      </c>
      <c r="K43" s="196"/>
      <c r="L43" s="191"/>
      <c r="M43" s="85"/>
      <c r="N43" s="85"/>
      <c r="O43" s="75">
        <v>100</v>
      </c>
    </row>
    <row r="44" spans="1:15" x14ac:dyDescent="0.25">
      <c r="A44" s="308"/>
      <c r="B44" s="74">
        <f t="shared" si="1"/>
        <v>38</v>
      </c>
      <c r="C44" s="23" t="s">
        <v>2363</v>
      </c>
      <c r="D44" s="25" t="s">
        <v>2358</v>
      </c>
      <c r="E44" s="202"/>
      <c r="F44" s="205"/>
      <c r="G44" s="84"/>
      <c r="H44" s="85"/>
      <c r="I44" s="195" t="s">
        <v>54</v>
      </c>
      <c r="J44" s="162">
        <v>2.5000000000000001E-2</v>
      </c>
      <c r="K44" s="196"/>
      <c r="L44" s="191"/>
      <c r="M44" s="85"/>
      <c r="N44" s="85"/>
      <c r="O44" s="75">
        <v>100</v>
      </c>
    </row>
    <row r="45" spans="1:15" ht="15.75" thickBot="1" x14ac:dyDescent="0.3">
      <c r="A45" s="308"/>
      <c r="B45" s="78">
        <f t="shared" si="1"/>
        <v>39</v>
      </c>
      <c r="C45" s="172" t="s">
        <v>11472</v>
      </c>
      <c r="D45" s="79" t="s">
        <v>2358</v>
      </c>
      <c r="E45" s="203"/>
      <c r="F45" s="206"/>
      <c r="G45" s="87"/>
      <c r="H45" s="207"/>
      <c r="I45" s="197" t="s">
        <v>53</v>
      </c>
      <c r="J45" s="168">
        <v>0</v>
      </c>
      <c r="K45" s="198"/>
      <c r="L45" s="192"/>
      <c r="M45" s="88"/>
      <c r="N45" s="88"/>
      <c r="O45" s="75">
        <v>100</v>
      </c>
    </row>
    <row r="46" spans="1:15" ht="16.5" thickBot="1" x14ac:dyDescent="0.3">
      <c r="A46" s="309"/>
      <c r="B46" s="89"/>
      <c r="C46" s="170" t="s">
        <v>11471</v>
      </c>
      <c r="D46" s="90"/>
      <c r="E46" s="90"/>
      <c r="F46" s="282">
        <v>0</v>
      </c>
      <c r="G46" s="283"/>
      <c r="H46" s="284"/>
      <c r="I46" s="290">
        <f>SUM(J30:J45)</f>
        <v>0.3</v>
      </c>
      <c r="J46" s="291"/>
      <c r="K46" s="292"/>
      <c r="L46" s="296">
        <v>0</v>
      </c>
      <c r="M46" s="297"/>
      <c r="N46" s="298"/>
      <c r="O46" s="288"/>
    </row>
    <row r="47" spans="1:15" ht="16.5" thickBot="1" x14ac:dyDescent="0.3">
      <c r="A47" s="171"/>
      <c r="B47" s="90"/>
      <c r="C47" s="170" t="s">
        <v>11528</v>
      </c>
      <c r="D47" s="90"/>
      <c r="E47" s="90"/>
      <c r="F47" s="282">
        <f>F46+F28</f>
        <v>1</v>
      </c>
      <c r="G47" s="283"/>
      <c r="H47" s="284"/>
      <c r="I47" s="290">
        <f>I28+I46</f>
        <v>1.0000000000000002</v>
      </c>
      <c r="J47" s="291"/>
      <c r="K47" s="292"/>
      <c r="L47" s="296">
        <f>L28</f>
        <v>1</v>
      </c>
      <c r="M47" s="297"/>
      <c r="N47" s="298"/>
      <c r="O47" s="289"/>
    </row>
    <row r="49" spans="1:14" x14ac:dyDescent="0.25">
      <c r="A49" s="173" t="s">
        <v>11473</v>
      </c>
      <c r="G49" s="150"/>
      <c r="I49" s="174"/>
      <c r="J49" s="174"/>
      <c r="K49" s="150"/>
      <c r="L49" s="150"/>
      <c r="M49" s="150"/>
      <c r="N49" s="150"/>
    </row>
    <row r="50" spans="1:14" x14ac:dyDescent="0.25">
      <c r="A50" s="175" t="s">
        <v>11474</v>
      </c>
      <c r="G50" s="150"/>
      <c r="I50" s="174"/>
      <c r="J50" s="174"/>
      <c r="K50" s="150"/>
      <c r="L50" s="150"/>
      <c r="M50" s="150"/>
      <c r="N50" s="150"/>
    </row>
    <row r="51" spans="1:14" x14ac:dyDescent="0.25">
      <c r="A51" s="176">
        <v>1</v>
      </c>
      <c r="B51" t="s">
        <v>11475</v>
      </c>
      <c r="G51" s="150"/>
      <c r="I51" s="174"/>
      <c r="J51" s="174"/>
      <c r="K51" s="150"/>
      <c r="L51" s="150"/>
      <c r="M51" s="150"/>
      <c r="N51" s="150"/>
    </row>
    <row r="52" spans="1:14" x14ac:dyDescent="0.25">
      <c r="A52" s="176">
        <v>2</v>
      </c>
      <c r="B52" t="s">
        <v>11476</v>
      </c>
      <c r="G52" s="150"/>
      <c r="I52" s="174"/>
      <c r="J52" s="174"/>
      <c r="K52" s="150"/>
      <c r="L52" s="150"/>
      <c r="M52" s="150"/>
      <c r="N52" s="150"/>
    </row>
    <row r="53" spans="1:14" x14ac:dyDescent="0.25">
      <c r="A53" s="176">
        <v>3</v>
      </c>
      <c r="B53" t="s">
        <v>11477</v>
      </c>
      <c r="G53" s="150"/>
      <c r="I53" s="174"/>
      <c r="J53" s="174"/>
      <c r="K53" s="150"/>
      <c r="L53" s="150"/>
      <c r="M53" s="150"/>
      <c r="N53" s="150"/>
    </row>
    <row r="54" spans="1:14" x14ac:dyDescent="0.25">
      <c r="A54" s="176">
        <v>4</v>
      </c>
      <c r="B54" t="s">
        <v>11478</v>
      </c>
      <c r="G54" s="150"/>
      <c r="I54" s="174"/>
      <c r="J54" s="174"/>
      <c r="K54" s="150"/>
      <c r="L54" s="150"/>
      <c r="M54" s="150"/>
      <c r="N54" s="150"/>
    </row>
    <row r="55" spans="1:14" x14ac:dyDescent="0.25">
      <c r="A55" s="176">
        <v>5</v>
      </c>
      <c r="B55" t="s">
        <v>11479</v>
      </c>
      <c r="G55" s="150"/>
      <c r="I55" s="174"/>
      <c r="J55" s="174"/>
      <c r="K55" s="150"/>
      <c r="L55" s="150"/>
      <c r="M55" s="150"/>
      <c r="N55" s="150"/>
    </row>
    <row r="56" spans="1:14" x14ac:dyDescent="0.25">
      <c r="A56" s="176">
        <v>6</v>
      </c>
      <c r="B56" t="s">
        <v>11480</v>
      </c>
      <c r="G56" s="150"/>
      <c r="I56" s="174"/>
      <c r="J56" s="174"/>
      <c r="K56" s="150"/>
      <c r="L56" s="150"/>
      <c r="M56" s="150"/>
      <c r="N56" s="150"/>
    </row>
    <row r="57" spans="1:14" x14ac:dyDescent="0.25">
      <c r="A57" s="176">
        <v>7</v>
      </c>
      <c r="B57" t="s">
        <v>11481</v>
      </c>
      <c r="G57" s="150"/>
      <c r="I57" s="174"/>
      <c r="J57" s="174"/>
      <c r="K57" s="150"/>
      <c r="L57" s="150"/>
      <c r="M57" s="150"/>
      <c r="N57" s="150"/>
    </row>
    <row r="58" spans="1:14" x14ac:dyDescent="0.25">
      <c r="A58" s="176">
        <v>8</v>
      </c>
      <c r="B58" t="s">
        <v>11482</v>
      </c>
      <c r="G58" s="150"/>
      <c r="I58" s="174"/>
      <c r="J58" s="174"/>
      <c r="K58" s="150"/>
      <c r="L58" s="150"/>
      <c r="M58" s="150"/>
      <c r="N58" s="150"/>
    </row>
    <row r="59" spans="1:14" x14ac:dyDescent="0.25">
      <c r="A59" s="176">
        <v>9</v>
      </c>
      <c r="B59" t="s">
        <v>11483</v>
      </c>
      <c r="G59" s="150"/>
      <c r="I59" s="174"/>
      <c r="J59" s="174"/>
      <c r="K59" s="150"/>
      <c r="L59" s="150"/>
      <c r="M59" s="150"/>
      <c r="N59" s="150"/>
    </row>
    <row r="60" spans="1:14" x14ac:dyDescent="0.25">
      <c r="A60" s="176">
        <v>10</v>
      </c>
      <c r="B60" t="s">
        <v>11484</v>
      </c>
      <c r="G60" s="150"/>
      <c r="I60" s="174"/>
      <c r="J60" s="174"/>
      <c r="K60" s="150"/>
      <c r="L60" s="150"/>
      <c r="M60" s="150"/>
      <c r="N60" s="150"/>
    </row>
    <row r="61" spans="1:14" x14ac:dyDescent="0.25">
      <c r="A61" s="176">
        <v>11</v>
      </c>
      <c r="B61" t="s">
        <v>11485</v>
      </c>
      <c r="G61" s="150"/>
      <c r="I61" s="174"/>
      <c r="J61" s="174"/>
      <c r="K61" s="150"/>
      <c r="L61" s="150"/>
      <c r="M61" s="150"/>
      <c r="N61" s="150"/>
    </row>
    <row r="62" spans="1:14" x14ac:dyDescent="0.25">
      <c r="A62" s="176">
        <v>12</v>
      </c>
      <c r="B62" t="s">
        <v>11486</v>
      </c>
      <c r="G62" s="150"/>
      <c r="I62" s="174"/>
      <c r="J62" s="174"/>
      <c r="K62" s="150"/>
      <c r="L62" s="150"/>
      <c r="M62" s="150"/>
      <c r="N62" s="150"/>
    </row>
    <row r="63" spans="1:14" x14ac:dyDescent="0.25">
      <c r="A63" s="176">
        <v>13</v>
      </c>
      <c r="B63" t="s">
        <v>11487</v>
      </c>
      <c r="G63" s="150"/>
      <c r="I63" s="174"/>
      <c r="J63" s="174"/>
      <c r="K63" s="150"/>
      <c r="L63" s="150"/>
      <c r="M63" s="150"/>
      <c r="N63" s="150"/>
    </row>
    <row r="64" spans="1:14" x14ac:dyDescent="0.25">
      <c r="A64" s="176">
        <v>14</v>
      </c>
      <c r="B64" t="s">
        <v>11488</v>
      </c>
      <c r="G64" s="150"/>
      <c r="I64" s="174"/>
      <c r="J64" s="174"/>
      <c r="K64" s="150"/>
      <c r="L64" s="150"/>
      <c r="M64" s="150"/>
      <c r="N64" s="150"/>
    </row>
    <row r="65" spans="1:14" x14ac:dyDescent="0.25">
      <c r="A65" s="176">
        <v>15</v>
      </c>
      <c r="B65" t="s">
        <v>11489</v>
      </c>
      <c r="G65" s="150"/>
      <c r="I65" s="174"/>
      <c r="J65" s="174"/>
      <c r="K65" s="150"/>
      <c r="L65" s="150"/>
      <c r="M65" s="150"/>
      <c r="N65" s="150"/>
    </row>
    <row r="66" spans="1:14" x14ac:dyDescent="0.25">
      <c r="A66" s="176">
        <v>16</v>
      </c>
      <c r="B66" t="s">
        <v>11490</v>
      </c>
      <c r="G66" s="150"/>
      <c r="I66" s="174"/>
      <c r="J66" s="174"/>
      <c r="K66" s="150"/>
      <c r="L66" s="150"/>
      <c r="M66" s="150"/>
      <c r="N66" s="150"/>
    </row>
    <row r="67" spans="1:14" x14ac:dyDescent="0.25">
      <c r="L67" s="83"/>
      <c r="M67" s="83"/>
      <c r="N67" s="150"/>
    </row>
    <row r="68" spans="1:14" x14ac:dyDescent="0.25">
      <c r="L68" s="83"/>
      <c r="M68" s="83"/>
      <c r="N68" s="150"/>
    </row>
    <row r="69" spans="1:14" x14ac:dyDescent="0.25">
      <c r="L69" s="83"/>
      <c r="M69" s="83"/>
      <c r="N69" s="150"/>
    </row>
    <row r="70" spans="1:14" x14ac:dyDescent="0.25">
      <c r="L70" s="83"/>
      <c r="M70" s="83"/>
      <c r="N70" s="150"/>
    </row>
    <row r="71" spans="1:14" x14ac:dyDescent="0.25">
      <c r="L71" s="83"/>
      <c r="M71" s="83"/>
      <c r="N71" s="150"/>
    </row>
    <row r="72" spans="1:14" x14ac:dyDescent="0.25">
      <c r="L72" s="83"/>
      <c r="M72" s="83"/>
      <c r="N72" s="150"/>
    </row>
    <row r="73" spans="1:14" x14ac:dyDescent="0.25">
      <c r="L73" s="83"/>
      <c r="M73" s="83"/>
      <c r="N73" s="150"/>
    </row>
    <row r="74" spans="1:14" x14ac:dyDescent="0.25">
      <c r="L74" s="83"/>
      <c r="M74" s="83"/>
      <c r="N74" s="150"/>
    </row>
    <row r="75" spans="1:14" x14ac:dyDescent="0.25">
      <c r="L75" s="83"/>
      <c r="M75" s="83"/>
      <c r="N75" s="150"/>
    </row>
    <row r="76" spans="1:14" x14ac:dyDescent="0.25">
      <c r="L76" s="83"/>
      <c r="M76" s="83"/>
      <c r="N76" s="150"/>
    </row>
    <row r="77" spans="1:14" x14ac:dyDescent="0.25">
      <c r="L77" s="83"/>
      <c r="M77" s="83"/>
      <c r="N77" s="150"/>
    </row>
    <row r="78" spans="1:14" x14ac:dyDescent="0.25">
      <c r="L78" s="83"/>
      <c r="M78" s="83"/>
      <c r="N78" s="150"/>
    </row>
    <row r="79" spans="1:14" x14ac:dyDescent="0.25">
      <c r="L79" s="83"/>
      <c r="M79" s="83"/>
      <c r="N79" s="150"/>
    </row>
    <row r="80" spans="1:14" x14ac:dyDescent="0.25">
      <c r="L80" s="83"/>
      <c r="M80" s="83"/>
      <c r="N80" s="150"/>
    </row>
    <row r="81" spans="12:14" x14ac:dyDescent="0.25">
      <c r="L81" s="83"/>
      <c r="M81" s="83"/>
      <c r="N81" s="150"/>
    </row>
    <row r="82" spans="12:14" x14ac:dyDescent="0.25">
      <c r="L82" s="83"/>
      <c r="M82" s="83"/>
      <c r="N82" s="150"/>
    </row>
    <row r="83" spans="12:14" x14ac:dyDescent="0.25">
      <c r="L83" s="83"/>
      <c r="M83" s="83"/>
      <c r="N83" s="150"/>
    </row>
    <row r="84" spans="12:14" x14ac:dyDescent="0.25">
      <c r="L84" s="83"/>
      <c r="M84" s="83"/>
      <c r="N84" s="150"/>
    </row>
    <row r="85" spans="12:14" x14ac:dyDescent="0.25">
      <c r="L85" s="83"/>
      <c r="M85" s="83"/>
      <c r="N85" s="150"/>
    </row>
    <row r="86" spans="12:14" x14ac:dyDescent="0.25">
      <c r="L86" s="83"/>
      <c r="M86" s="83"/>
      <c r="N86" s="150"/>
    </row>
    <row r="87" spans="12:14" x14ac:dyDescent="0.25">
      <c r="L87" s="83"/>
      <c r="M87" s="83"/>
      <c r="N87" s="150"/>
    </row>
    <row r="88" spans="12:14" x14ac:dyDescent="0.25">
      <c r="L88" s="83"/>
      <c r="M88" s="83"/>
      <c r="N88" s="150"/>
    </row>
    <row r="89" spans="12:14" x14ac:dyDescent="0.25">
      <c r="L89" s="83"/>
      <c r="M89" s="83"/>
      <c r="N89" s="150"/>
    </row>
    <row r="90" spans="12:14" x14ac:dyDescent="0.25">
      <c r="L90" s="83"/>
      <c r="M90" s="83"/>
      <c r="N90" s="150"/>
    </row>
    <row r="91" spans="12:14" x14ac:dyDescent="0.25">
      <c r="L91" s="83"/>
      <c r="M91" s="83"/>
      <c r="N91" s="150"/>
    </row>
  </sheetData>
  <sheetProtection algorithmName="SHA-512" hashValue="/eWywzsNqwdgUxTyvIv5YWC9KzXavariY+QR85/dA+2wsxp33/qFGXzQvqy7xeB8Tle36yqm8vD3uDYSbKT07Q==" saltValue="TkpZYoTyrFrPGrP0bBhzwg==" spinCount="100000" sheet="1" sort="0" autoFilter="0"/>
  <protectedRanges>
    <protectedRange algorithmName="SHA-512" hashValue="5BTMAcui1HbDolzIc7kDz0VN+VrNt8ikPGGeSbiULVSpRWtzCblavo2tLKqQBefd3CZmDbb1uqXP2abILWVjKQ==" saltValue="J53yhX8XSdMtCDV1ws5vYg==" spinCount="100000" sqref="I49:J66" name="Range1_2"/>
  </protectedRanges>
  <mergeCells count="30">
    <mergeCell ref="A5:A28"/>
    <mergeCell ref="A29:O29"/>
    <mergeCell ref="A30:A46"/>
    <mergeCell ref="E6:E10"/>
    <mergeCell ref="E11:E12"/>
    <mergeCell ref="E14:E20"/>
    <mergeCell ref="E21:E22"/>
    <mergeCell ref="H6:H10"/>
    <mergeCell ref="H11:H12"/>
    <mergeCell ref="K6:K10"/>
    <mergeCell ref="K11:K12"/>
    <mergeCell ref="N6:N10"/>
    <mergeCell ref="L46:N46"/>
    <mergeCell ref="N11:N12"/>
    <mergeCell ref="H14:H20"/>
    <mergeCell ref="H21:H22"/>
    <mergeCell ref="B4:C4"/>
    <mergeCell ref="F46:H46"/>
    <mergeCell ref="F47:H47"/>
    <mergeCell ref="F28:H28"/>
    <mergeCell ref="O46:O47"/>
    <mergeCell ref="I46:K46"/>
    <mergeCell ref="I47:K47"/>
    <mergeCell ref="K14:K20"/>
    <mergeCell ref="K21:K22"/>
    <mergeCell ref="L47:N47"/>
    <mergeCell ref="I28:K28"/>
    <mergeCell ref="L28:N28"/>
    <mergeCell ref="N14:N20"/>
    <mergeCell ref="N21:N22"/>
  </mergeCells>
  <phoneticPr fontId="6" type="noConversion"/>
  <conditionalFormatting sqref="F30:H45 F21:H21 F15:G20 F23:H26 F22:G22">
    <cfRule type="cellIs" dxfId="138" priority="125" operator="equal">
      <formula>"Maybe"</formula>
    </cfRule>
    <cfRule type="cellIs" dxfId="137" priority="126" operator="equal">
      <formula>"No"</formula>
    </cfRule>
    <cfRule type="cellIs" dxfId="136" priority="127" operator="equal">
      <formula>"Yes"</formula>
    </cfRule>
  </conditionalFormatting>
  <conditionalFormatting sqref="F30:H45 F21:H21 F15:G20 F23:H26 F22:G22">
    <cfRule type="cellIs" dxfId="135" priority="114" operator="equal">
      <formula>"Y"</formula>
    </cfRule>
    <cfRule type="cellIs" dxfId="134" priority="115" operator="equal">
      <formula>"N"</formula>
    </cfRule>
  </conditionalFormatting>
  <conditionalFormatting sqref="L5:L15 L27 I5:I27">
    <cfRule type="cellIs" dxfId="133" priority="116" operator="equal">
      <formula>"Yes"</formula>
    </cfRule>
    <cfRule type="cellIs" dxfId="132" priority="117" operator="equal">
      <formula>"No"</formula>
    </cfRule>
  </conditionalFormatting>
  <conditionalFormatting sqref="L24:L25">
    <cfRule type="cellIs" dxfId="131" priority="106" operator="equal">
      <formula>"Yes"</formula>
    </cfRule>
    <cfRule type="cellIs" dxfId="130" priority="107" operator="equal">
      <formula>"No"</formula>
    </cfRule>
  </conditionalFormatting>
  <conditionalFormatting sqref="I31:I45">
    <cfRule type="cellIs" dxfId="129" priority="63" operator="equal">
      <formula>"Yes"</formula>
    </cfRule>
    <cfRule type="cellIs" dxfId="128" priority="64" operator="equal">
      <formula>"No"</formula>
    </cfRule>
  </conditionalFormatting>
  <conditionalFormatting sqref="I30">
    <cfRule type="cellIs" dxfId="127" priority="61" operator="equal">
      <formula>"Yes"</formula>
    </cfRule>
    <cfRule type="cellIs" dxfId="126" priority="62" operator="equal">
      <formula>"No"</formula>
    </cfRule>
  </conditionalFormatting>
  <conditionalFormatting sqref="F27:H27">
    <cfRule type="cellIs" dxfId="125" priority="58" operator="equal">
      <formula>"Maybe"</formula>
    </cfRule>
    <cfRule type="cellIs" dxfId="124" priority="59" operator="equal">
      <formula>"No"</formula>
    </cfRule>
    <cfRule type="cellIs" dxfId="123" priority="60" operator="equal">
      <formula>"Yes"</formula>
    </cfRule>
  </conditionalFormatting>
  <conditionalFormatting sqref="F27:H27">
    <cfRule type="cellIs" dxfId="122" priority="54" operator="equal">
      <formula>"Y"</formula>
    </cfRule>
    <cfRule type="cellIs" dxfId="121" priority="55" operator="equal">
      <formula>"N"</formula>
    </cfRule>
  </conditionalFormatting>
  <conditionalFormatting sqref="F14:H14">
    <cfRule type="cellIs" dxfId="120" priority="46" operator="equal">
      <formula>"Maybe"</formula>
    </cfRule>
    <cfRule type="cellIs" dxfId="119" priority="47" operator="equal">
      <formula>"No"</formula>
    </cfRule>
    <cfRule type="cellIs" dxfId="118" priority="48" operator="equal">
      <formula>"Yes"</formula>
    </cfRule>
  </conditionalFormatting>
  <conditionalFormatting sqref="F14:H14">
    <cfRule type="cellIs" dxfId="117" priority="38" operator="equal">
      <formula>"Y"</formula>
    </cfRule>
    <cfRule type="cellIs" dxfId="116" priority="39" operator="equal">
      <formula>"N"</formula>
    </cfRule>
  </conditionalFormatting>
  <conditionalFormatting sqref="L17:L23">
    <cfRule type="cellIs" dxfId="115" priority="36" operator="equal">
      <formula>"Yes"</formula>
    </cfRule>
    <cfRule type="cellIs" dxfId="114" priority="37" operator="equal">
      <formula>"No"</formula>
    </cfRule>
  </conditionalFormatting>
  <conditionalFormatting sqref="L26:N26">
    <cfRule type="cellIs" dxfId="113" priority="33" operator="equal">
      <formula>"Maybe"</formula>
    </cfRule>
    <cfRule type="cellIs" dxfId="112" priority="34" operator="equal">
      <formula>"No"</formula>
    </cfRule>
    <cfRule type="cellIs" dxfId="111" priority="35" operator="equal">
      <formula>"Yes"</formula>
    </cfRule>
  </conditionalFormatting>
  <conditionalFormatting sqref="L26:N26">
    <cfRule type="cellIs" dxfId="110" priority="31" operator="equal">
      <formula>"Y"</formula>
    </cfRule>
    <cfRule type="cellIs" dxfId="109" priority="32" operator="equal">
      <formula>"N"</formula>
    </cfRule>
  </conditionalFormatting>
  <conditionalFormatting sqref="F6:F13">
    <cfRule type="cellIs" dxfId="108" priority="26" operator="equal">
      <formula>"Yes"</formula>
    </cfRule>
    <cfRule type="cellIs" dxfId="107" priority="27" operator="equal">
      <formula>"No"</formula>
    </cfRule>
  </conditionalFormatting>
  <conditionalFormatting sqref="F6:F13">
    <cfRule type="cellIs" dxfId="106" priority="28" stopIfTrue="1" operator="equal">
      <formula>"Y"</formula>
    </cfRule>
    <cfRule type="cellIs" dxfId="105" priority="29" stopIfTrue="1" operator="equal">
      <formula>"N"</formula>
    </cfRule>
    <cfRule type="colorScale" priority="30">
      <colorScale>
        <cfvo type="min"/>
        <cfvo type="percentile" val="50"/>
        <cfvo type="max"/>
        <color rgb="FF63BE7B"/>
        <color rgb="FFFFEB84"/>
        <color rgb="FFF8696B"/>
      </colorScale>
    </cfRule>
  </conditionalFormatting>
  <conditionalFormatting sqref="F5">
    <cfRule type="cellIs" dxfId="104" priority="21" operator="equal">
      <formula>"Yes"</formula>
    </cfRule>
    <cfRule type="cellIs" dxfId="103" priority="22" operator="equal">
      <formula>"No"</formula>
    </cfRule>
  </conditionalFormatting>
  <conditionalFormatting sqref="F5">
    <cfRule type="cellIs" dxfId="102" priority="23" stopIfTrue="1" operator="equal">
      <formula>"Y"</formula>
    </cfRule>
    <cfRule type="cellIs" dxfId="101" priority="24" stopIfTrue="1" operator="equal">
      <formula>"N"</formula>
    </cfRule>
    <cfRule type="colorScale" priority="25">
      <colorScale>
        <cfvo type="min"/>
        <cfvo type="percentile" val="50"/>
        <cfvo type="max"/>
        <color rgb="FF63BE7B"/>
        <color rgb="FFFFEB84"/>
        <color rgb="FFF8696B"/>
      </colorScale>
    </cfRule>
  </conditionalFormatting>
  <conditionalFormatting sqref="L16:M16">
    <cfRule type="cellIs" dxfId="100" priority="18" operator="equal">
      <formula>"Maybe"</formula>
    </cfRule>
    <cfRule type="cellIs" dxfId="99" priority="19" operator="equal">
      <formula>"No"</formula>
    </cfRule>
    <cfRule type="cellIs" dxfId="98" priority="20" operator="equal">
      <formula>"Yes"</formula>
    </cfRule>
  </conditionalFormatting>
  <conditionalFormatting sqref="L16:M16">
    <cfRule type="cellIs" dxfId="97" priority="16" operator="equal">
      <formula>"Y"</formula>
    </cfRule>
    <cfRule type="cellIs" dxfId="96" priority="17" operator="equal">
      <formula>"N"</formula>
    </cfRule>
  </conditionalFormatting>
  <conditionalFormatting sqref="F47:H47">
    <cfRule type="cellIs" dxfId="95" priority="5" operator="notEqual">
      <formula>1</formula>
    </cfRule>
    <cfRule type="cellIs" dxfId="94" priority="6" operator="equal">
      <formula>1</formula>
    </cfRule>
  </conditionalFormatting>
  <conditionalFormatting sqref="I47:K47">
    <cfRule type="cellIs" dxfId="93" priority="3" operator="notEqual">
      <formula>1</formula>
    </cfRule>
    <cfRule type="cellIs" dxfId="92" priority="4" operator="equal">
      <formula>1</formula>
    </cfRule>
  </conditionalFormatting>
  <conditionalFormatting sqref="L47:N47">
    <cfRule type="cellIs" dxfId="91" priority="1" operator="notEqual">
      <formula>1</formula>
    </cfRule>
    <cfRule type="cellIs" dxfId="90" priority="2" operator="equal">
      <formula>1</formula>
    </cfRule>
  </conditionalFormatting>
  <hyperlinks>
    <hyperlink ref="A50" r:id="rId1" display="https://www.twdb.texas.gov/flood/planning/planningdocu/2023/doc/04_Exhibit_C_TechnicalGuidelines_April2021.pdf" xr:uid="{F82EED9F-B0EC-4BC3-9DE8-706C768E3D2F}"/>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D3328-A077-4435-9B26-0B76B4AC5D69}">
  <dimension ref="A1:AK2341"/>
  <sheetViews>
    <sheetView tabSelected="1" zoomScale="110" zoomScaleNormal="110" workbookViewId="0">
      <pane xSplit="5" ySplit="5" topLeftCell="AD6" activePane="bottomRight" state="frozen"/>
      <selection pane="topRight" activeCell="F1" sqref="F1"/>
      <selection pane="bottomLeft" activeCell="A6" sqref="A6"/>
      <selection pane="bottomRight" activeCell="AG14" sqref="AG14"/>
    </sheetView>
  </sheetViews>
  <sheetFormatPr defaultRowHeight="15" x14ac:dyDescent="0.25"/>
  <cols>
    <col min="1" max="2" width="12.140625" customWidth="1"/>
    <col min="3" max="3" width="59" customWidth="1"/>
    <col min="4" max="4" width="38.140625" customWidth="1"/>
    <col min="5" max="5" width="36" customWidth="1"/>
    <col min="6" max="6" width="12.7109375" customWidth="1"/>
    <col min="7" max="7" width="14.7109375" customWidth="1"/>
    <col min="8" max="9" width="12.7109375" customWidth="1"/>
    <col min="10" max="10" width="15.5703125" bestFit="1" customWidth="1"/>
    <col min="11" max="11" width="15.5703125" customWidth="1"/>
    <col min="12" max="12" width="12.7109375" customWidth="1"/>
    <col min="13" max="13" width="18.5703125" customWidth="1"/>
    <col min="14" max="15" width="12.7109375" customWidth="1"/>
    <col min="16" max="16" width="15.42578125" customWidth="1"/>
    <col min="17" max="18" width="12.7109375" customWidth="1"/>
    <col min="19" max="19" width="18.28515625" customWidth="1"/>
    <col min="20" max="21" width="12.7109375" customWidth="1"/>
    <col min="22" max="22" width="14.42578125" customWidth="1"/>
    <col min="23" max="24" width="12.7109375" customWidth="1"/>
    <col min="25" max="25" width="17.5703125" customWidth="1"/>
    <col min="26" max="26" width="13.85546875" customWidth="1"/>
    <col min="27" max="29" width="12.7109375" customWidth="1"/>
    <col min="30" max="30" width="16.28515625" bestFit="1" customWidth="1"/>
    <col min="31" max="32" width="12.7109375" customWidth="1"/>
    <col min="33" max="33" width="18.42578125" customWidth="1"/>
    <col min="34" max="34" width="18.28515625" customWidth="1"/>
    <col min="35" max="35" width="18.28515625" hidden="1" customWidth="1"/>
    <col min="36" max="36" width="15.140625" hidden="1" customWidth="1"/>
    <col min="37" max="37" width="0" hidden="1" customWidth="1"/>
  </cols>
  <sheetData>
    <row r="1" spans="1:37" s="9" customFormat="1" ht="45" x14ac:dyDescent="0.25">
      <c r="A1" s="363" t="s">
        <v>2399</v>
      </c>
      <c r="B1" s="363"/>
      <c r="C1" s="363"/>
      <c r="D1" s="363"/>
      <c r="E1" s="92" t="s">
        <v>11523</v>
      </c>
      <c r="F1" s="336" t="str">
        <f>Ranking_Criteria!F5</f>
        <v>No</v>
      </c>
      <c r="G1" s="337"/>
      <c r="H1" s="338"/>
      <c r="I1" s="336" t="str">
        <f>Ranking_Criteria!F6</f>
        <v>Yes</v>
      </c>
      <c r="J1" s="337"/>
      <c r="K1" s="338"/>
      <c r="L1" s="336" t="str">
        <f>Ranking_Criteria!F7</f>
        <v>Yes</v>
      </c>
      <c r="M1" s="337"/>
      <c r="N1" s="338"/>
      <c r="O1" s="336" t="str">
        <f>Ranking_Criteria!F8</f>
        <v>Yes</v>
      </c>
      <c r="P1" s="337"/>
      <c r="Q1" s="338"/>
      <c r="R1" s="336" t="str">
        <f>Ranking_Criteria!F9</f>
        <v>Yes</v>
      </c>
      <c r="S1" s="337"/>
      <c r="T1" s="338"/>
      <c r="U1" s="336" t="str">
        <f>Ranking_Criteria!F10</f>
        <v>Yes</v>
      </c>
      <c r="V1" s="337"/>
      <c r="W1" s="338"/>
      <c r="X1" s="336" t="str">
        <f>Ranking_Criteria!F11</f>
        <v>Yes</v>
      </c>
      <c r="Y1" s="337"/>
      <c r="Z1" s="338"/>
      <c r="AA1" s="336" t="str">
        <f>Ranking_Criteria!F12</f>
        <v>Yes</v>
      </c>
      <c r="AB1" s="337"/>
      <c r="AC1" s="338"/>
      <c r="AD1" s="336" t="str">
        <f>Ranking_Criteria!F13</f>
        <v>Yes</v>
      </c>
      <c r="AE1" s="337"/>
      <c r="AF1" s="338"/>
      <c r="AG1"/>
      <c r="AH1"/>
      <c r="AI1"/>
      <c r="AJ1"/>
    </row>
    <row r="2" spans="1:37" ht="45" x14ac:dyDescent="0.25">
      <c r="A2" s="363"/>
      <c r="B2" s="363"/>
      <c r="C2" s="363"/>
      <c r="D2" s="363"/>
      <c r="E2" s="92" t="s">
        <v>11500</v>
      </c>
      <c r="F2" s="360" t="s">
        <v>11496</v>
      </c>
      <c r="G2" s="361"/>
      <c r="H2" s="362"/>
      <c r="I2" s="345">
        <f>MAX(FME_Ranking1[Structures 100 Raw])</f>
        <v>186744</v>
      </c>
      <c r="J2" s="346"/>
      <c r="K2" s="347"/>
      <c r="L2" s="351">
        <f>MAX(FME_Ranking1[Res Structures Raw])</f>
        <v>141182</v>
      </c>
      <c r="M2" s="352"/>
      <c r="N2" s="353"/>
      <c r="O2" s="351">
        <f>MAX(FME_Ranking1[Pop Raw])</f>
        <v>976798</v>
      </c>
      <c r="P2" s="352"/>
      <c r="Q2" s="353"/>
      <c r="R2" s="351">
        <f>MAX(FME_Ranking1[Critical Facilities Raw])</f>
        <v>2332</v>
      </c>
      <c r="S2" s="352"/>
      <c r="T2" s="353"/>
      <c r="U2" s="339">
        <f>MAX(FME_Ranking1[LWC Raw])</f>
        <v>1737</v>
      </c>
      <c r="V2" s="340"/>
      <c r="W2" s="341"/>
      <c r="X2" s="351">
        <f>MAX(FME_Ranking1[Closures Raw])</f>
        <v>9511</v>
      </c>
      <c r="Y2" s="352"/>
      <c r="Z2" s="353"/>
      <c r="AA2" s="339">
        <f>MAX(FME_Ranking1[Miles Raw])</f>
        <v>7605.60009765625</v>
      </c>
      <c r="AB2" s="340"/>
      <c r="AC2" s="341"/>
      <c r="AD2" s="339">
        <f>MAX(FME_Ranking1[Ag Land Raw])</f>
        <v>2425093.5</v>
      </c>
      <c r="AE2" s="340"/>
      <c r="AF2" s="341"/>
    </row>
    <row r="3" spans="1:37" ht="45.75" customHeight="1" x14ac:dyDescent="0.25">
      <c r="A3" s="363"/>
      <c r="B3" s="363"/>
      <c r="C3" s="363"/>
      <c r="D3" s="363"/>
      <c r="E3" s="91" t="s">
        <v>11501</v>
      </c>
      <c r="F3" s="330">
        <f>Ranking_Criteria!$G$5</f>
        <v>0</v>
      </c>
      <c r="G3" s="331"/>
      <c r="H3" s="332"/>
      <c r="I3" s="330">
        <f>Ranking_Criteria!$G$6</f>
        <v>0.15</v>
      </c>
      <c r="J3" s="331"/>
      <c r="K3" s="332"/>
      <c r="L3" s="330">
        <f>Ranking_Criteria!$G$7</f>
        <v>0.1</v>
      </c>
      <c r="M3" s="331"/>
      <c r="N3" s="332"/>
      <c r="O3" s="330">
        <f>Ranking_Criteria!$G$8</f>
        <v>0.15</v>
      </c>
      <c r="P3" s="331"/>
      <c r="Q3" s="332"/>
      <c r="R3" s="330">
        <f>Ranking_Criteria!$G$9</f>
        <v>0.2</v>
      </c>
      <c r="S3" s="331"/>
      <c r="T3" s="332"/>
      <c r="U3" s="330">
        <f>Ranking_Criteria!$G$10</f>
        <v>0.2</v>
      </c>
      <c r="V3" s="331"/>
      <c r="W3" s="332"/>
      <c r="X3" s="330">
        <f>Ranking_Criteria!$G$11</f>
        <v>0.05</v>
      </c>
      <c r="Y3" s="331"/>
      <c r="Z3" s="332"/>
      <c r="AA3" s="330">
        <f>Ranking_Criteria!$G$12</f>
        <v>0.1</v>
      </c>
      <c r="AB3" s="331"/>
      <c r="AC3" s="332"/>
      <c r="AD3" s="330">
        <f>Ranking_Criteria!$G$13</f>
        <v>0.05</v>
      </c>
      <c r="AE3" s="331"/>
      <c r="AF3" s="332"/>
      <c r="AG3" s="408"/>
      <c r="AH3" s="409"/>
    </row>
    <row r="4" spans="1:37" ht="60.75" customHeight="1" thickBot="1" x14ac:dyDescent="0.3">
      <c r="A4" s="363"/>
      <c r="B4" s="363"/>
      <c r="C4" s="363"/>
      <c r="D4" s="363"/>
      <c r="E4" s="91" t="s">
        <v>11499</v>
      </c>
      <c r="F4" s="357" t="s">
        <v>2391</v>
      </c>
      <c r="G4" s="358"/>
      <c r="H4" s="359"/>
      <c r="I4" s="348" t="s">
        <v>11522</v>
      </c>
      <c r="J4" s="349"/>
      <c r="K4" s="350"/>
      <c r="L4" s="354" t="s">
        <v>2381</v>
      </c>
      <c r="M4" s="355"/>
      <c r="N4" s="356"/>
      <c r="O4" s="333" t="s">
        <v>2382</v>
      </c>
      <c r="P4" s="334"/>
      <c r="Q4" s="335"/>
      <c r="R4" s="333" t="s">
        <v>2383</v>
      </c>
      <c r="S4" s="334"/>
      <c r="T4" s="335"/>
      <c r="U4" s="333" t="s">
        <v>2334</v>
      </c>
      <c r="V4" s="334"/>
      <c r="W4" s="335"/>
      <c r="X4" s="364" t="s">
        <v>2335</v>
      </c>
      <c r="Y4" s="365"/>
      <c r="Z4" s="366"/>
      <c r="AA4" s="333" t="s">
        <v>2384</v>
      </c>
      <c r="AB4" s="334"/>
      <c r="AC4" s="335"/>
      <c r="AD4" s="342" t="s">
        <v>2385</v>
      </c>
      <c r="AE4" s="343"/>
      <c r="AF4" s="344"/>
      <c r="AG4" s="410"/>
      <c r="AH4" s="411"/>
      <c r="AI4" s="329" t="s">
        <v>11531</v>
      </c>
      <c r="AJ4" s="329"/>
      <c r="AK4" s="329"/>
    </row>
    <row r="5" spans="1:37" s="9" customFormat="1" ht="57.75" customHeight="1" thickBot="1" x14ac:dyDescent="0.3">
      <c r="A5" s="18" t="s">
        <v>8</v>
      </c>
      <c r="B5" s="142" t="s">
        <v>2401</v>
      </c>
      <c r="C5" s="133" t="s">
        <v>2342</v>
      </c>
      <c r="D5" s="141" t="s">
        <v>2343</v>
      </c>
      <c r="E5" s="141" t="s">
        <v>11520</v>
      </c>
      <c r="F5" s="237" t="s">
        <v>2390</v>
      </c>
      <c r="G5" s="241" t="s">
        <v>11509</v>
      </c>
      <c r="H5" s="242" t="s">
        <v>11498</v>
      </c>
      <c r="I5" s="237" t="s">
        <v>2411</v>
      </c>
      <c r="J5" s="239" t="s">
        <v>11510</v>
      </c>
      <c r="K5" s="240" t="s">
        <v>11497</v>
      </c>
      <c r="L5" s="237" t="s">
        <v>2392</v>
      </c>
      <c r="M5" s="238" t="s">
        <v>11511</v>
      </c>
      <c r="N5" s="243" t="s">
        <v>11505</v>
      </c>
      <c r="O5" s="250" t="s">
        <v>2393</v>
      </c>
      <c r="P5" s="238" t="s">
        <v>11512</v>
      </c>
      <c r="Q5" s="243" t="s">
        <v>11504</v>
      </c>
      <c r="R5" s="138" t="s">
        <v>2394</v>
      </c>
      <c r="S5" s="126" t="s">
        <v>11513</v>
      </c>
      <c r="T5" s="248" t="s">
        <v>11506</v>
      </c>
      <c r="U5" s="139" t="s">
        <v>2395</v>
      </c>
      <c r="V5" s="126" t="s">
        <v>11514</v>
      </c>
      <c r="W5" s="140" t="s">
        <v>11507</v>
      </c>
      <c r="X5" s="112" t="s">
        <v>2396</v>
      </c>
      <c r="Y5" s="251" t="s">
        <v>11515</v>
      </c>
      <c r="Z5" s="249" t="s">
        <v>11508</v>
      </c>
      <c r="AA5" s="117" t="s">
        <v>2397</v>
      </c>
      <c r="AB5" s="126" t="s">
        <v>11516</v>
      </c>
      <c r="AC5" s="140" t="s">
        <v>11517</v>
      </c>
      <c r="AD5" s="261" t="s">
        <v>2398</v>
      </c>
      <c r="AE5" s="232" t="s">
        <v>11518</v>
      </c>
      <c r="AF5" s="260" t="s">
        <v>11519</v>
      </c>
      <c r="AG5" s="259" t="s">
        <v>2412</v>
      </c>
      <c r="AH5" s="259" t="s">
        <v>2413</v>
      </c>
      <c r="AI5" s="27" t="s">
        <v>11502</v>
      </c>
      <c r="AJ5" s="27" t="s">
        <v>11521</v>
      </c>
      <c r="AK5" s="27" t="s">
        <v>11503</v>
      </c>
    </row>
    <row r="6" spans="1:37" ht="12" customHeight="1" x14ac:dyDescent="0.25">
      <c r="A6" t="s">
        <v>5099</v>
      </c>
      <c r="B6">
        <f>_xlfn.XLOOKUP(FME_Ranking1[[#This Row],[FME ID]],FME_Input[FME_ID],FME_Input[RFPG_NUM])</f>
        <v>3</v>
      </c>
      <c r="C6" t="str">
        <f>_xlfn.XLOOKUP(FME_Ranking1[[#This Row],[FME ID]],FME_Input[FME_ID],FME_Input[FME_NAME])</f>
        <v>Predicted Maximum Probable Inundation Map</v>
      </c>
      <c r="D6" t="str">
        <f>_xlfn.XLOOKUP(FME_Ranking1[[#This Row],[FME ID]],FME_Input[FME_ID],FME_Input[DESCR])</f>
        <v xml:space="preserve">Use NWS gage height forecasts from the River Forecast Center to generate a potential floodplain along the main stem of the Trinity River. </v>
      </c>
      <c r="E6" s="256">
        <f>_xlfn.XLOOKUP(FME_Ranking1[[#This Row],[FME ID]],FME_Input[FME_ID],FME_Input[FME_COST])</f>
        <v>2000000</v>
      </c>
      <c r="F6" t="str">
        <f>_xlfn.XLOOKUP(FME_Ranking1[[#This Row],[FME ID]],FME_Input[FME_ID],FME_Input[EMER_NEED])</f>
        <v>No</v>
      </c>
      <c r="G6">
        <f>IF(FME_Ranking!F6="Yes",100,0)</f>
        <v>0</v>
      </c>
      <c r="H6">
        <f>FME_Ranking1[[#This Row],[Emergency Need Score (Normalized, Unweighted)]]*$F$3</f>
        <v>0</v>
      </c>
      <c r="I6" s="246">
        <f>_xlfn.XLOOKUP(FME_Ranking1[[#This Row],[FME ID]],FME_Input[FME_ID],FME_Input[STRUCT_100])</f>
        <v>186744</v>
      </c>
      <c r="J6" s="178">
        <f>(FME_Ranking1[[#This Row],[Structures 100 Raw]]/I$2)*100</f>
        <v>100</v>
      </c>
      <c r="K6" s="178">
        <f>FME_Ranking1[[#This Row],[Structures 100  Score (Normalized, Unweighted)]]*$I$3</f>
        <v>15</v>
      </c>
      <c r="L6" s="245">
        <f>_xlfn.XLOOKUP(FME_Ranking1[[#This Row],[FME ID]],FME_Input[FME_ID],FME_Input[RES_STRUCT100])</f>
        <v>141182</v>
      </c>
      <c r="M6" s="233">
        <f>(FME_Ranking1[[#This Row],[Res Structures Raw]]/L$2)*100</f>
        <v>100</v>
      </c>
      <c r="N6" s="234">
        <f>FME_Ranking1[[#This Row],[Res Structures Score (Normalized, Unweighted)]]*$L$3</f>
        <v>10</v>
      </c>
      <c r="O6" s="244">
        <f>_xlfn.XLOOKUP(FME_Ranking1[[#This Row],[FME ID]],FME_Input[FME_ID],FME_Input[POP100])</f>
        <v>882992</v>
      </c>
      <c r="P6" s="178">
        <f>(FME_Ranking1[[#This Row],[Pop Raw]]/$O$2)*100</f>
        <v>90.396581483582068</v>
      </c>
      <c r="Q6" s="178">
        <f>FME_Ranking1[[#This Row],[Pop Score (Normalized, Unweighted)]]*$O$3</f>
        <v>13.55948722253731</v>
      </c>
      <c r="R6" s="149">
        <f>_xlfn.XLOOKUP(FME_Ranking1[[#This Row],[FME ID]],FME_Input[FME_ID],FME_Input[CRITFAC100])</f>
        <v>981</v>
      </c>
      <c r="S6" s="230">
        <f>(FME_Ranking1[[#This Row],[Critical Facilities Raw]]/$R$2)*100</f>
        <v>42.066895368782156</v>
      </c>
      <c r="T6" s="180">
        <f>FME_Ranking1[[#This Row],[Critical Facilities Score (Normalized, Unweighted)]]*$R$3</f>
        <v>8.4133790737564311</v>
      </c>
      <c r="U6">
        <f>_xlfn.XLOOKUP(FME_Ranking1[[#This Row],[FME ID]],FME_Input[FME_ID],FME_Input[LWC])</f>
        <v>1737</v>
      </c>
      <c r="V6" s="178">
        <f>(FME_Ranking1[[#This Row],[LWC Raw]]/$U$2)*100</f>
        <v>100</v>
      </c>
      <c r="W6" s="178">
        <f>FME_Ranking1[[#This Row],[LWC Score (Normalized, Unweighted)]]*$U$3</f>
        <v>20</v>
      </c>
      <c r="X6" s="252">
        <f>_xlfn.XLOOKUP(FME_Ranking1[[#This Row],[FME ID]],FME_Input[FME_ID],FME_Input[ROADCLS])</f>
        <v>0</v>
      </c>
      <c r="Y6" s="230">
        <f>(FME_Ranking1[[#This Row],[Closures Raw]]/$X$2)*100</f>
        <v>0</v>
      </c>
      <c r="Z6" s="179">
        <f>FME_Ranking1[[#This Row],[Closures Score (Normalized, Unweighted)]]*$X$3</f>
        <v>0</v>
      </c>
      <c r="AA6" s="253">
        <f>_xlfn.XLOOKUP(FME_Ranking1[[#This Row],[FME ID]],FME_Input[FME_ID],FME_Input[ROAD_MILES100])</f>
        <v>7605.60009765625</v>
      </c>
      <c r="AB6" s="178">
        <f>(FME_Ranking1[[#This Row],[Miles Raw]]/$AA$2)*100</f>
        <v>100</v>
      </c>
      <c r="AC6" s="178">
        <f>FME_Ranking1[[#This Row],[Miles Score (Normalized, Unweighted)]]*$AA$3</f>
        <v>10</v>
      </c>
      <c r="AD6" s="254">
        <f>_xlfn.XLOOKUP(FME_Ranking1[[#This Row],[FME ID]],FME_Input[FME_ID],FME_Input[FARMACRE100])</f>
        <v>3629.89990234375</v>
      </c>
      <c r="AE6" s="230">
        <f>(FME_Ranking1[[#This Row],[Ag Land Raw]]/$AD$2)*100</f>
        <v>0.14968082271235109</v>
      </c>
      <c r="AF6" s="231">
        <f>FME_Ranking1[[#This Row],[Ag Land Score (Normalized, Unweighted)]]*$AD$3</f>
        <v>7.4840411356175548E-3</v>
      </c>
      <c r="AG6" s="405">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76.980350337429357</v>
      </c>
      <c r="AH6" s="406">
        <f t="shared" ref="AH6:AH69" si="0">_xlfn.RANK.EQ(AG6,$AG$6:$AG$2341,0)</f>
        <v>1</v>
      </c>
      <c r="AI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76.980350337429357</v>
      </c>
      <c r="AJ6" s="258">
        <f>FME_Ranking1[[#This Row],[Addition check]]-FME_Ranking1[[#This Row],[Weighted Score Based on Normalized Reported Factors]]</f>
        <v>0</v>
      </c>
      <c r="AK6" s="178">
        <f>_xlfn.RANK.EQ(AI6,$AI$6:$AI$2341,0)+COUNTIF($AI$6:AI6,AI6)-1</f>
        <v>1</v>
      </c>
    </row>
    <row r="7" spans="1:37" ht="12" customHeight="1" x14ac:dyDescent="0.25">
      <c r="A7" t="s">
        <v>1344</v>
      </c>
      <c r="B7">
        <f>_xlfn.XLOOKUP(FME_Ranking1[[#This Row],[FME ID]],FME_Input[FME_ID],FME_Input[RFPG_NUM])</f>
        <v>6</v>
      </c>
      <c r="C7" t="str">
        <f>_xlfn.XLOOKUP(FME_Ranking1[[#This Row],[FME ID]],FME_Input[FME_ID],FME_Input[FME_NAME])</f>
        <v>Regional Implementation of Large Diameter Deep Tunnel Systems for Storm Water Management</v>
      </c>
      <c r="D7" t="str">
        <f>_xlfn.XLOOKUP(FME_Ranking1[[#This Row],[FME ID]],FME_Input[FME_ID],FME_Input[DESCR])</f>
        <v>Further study of regional Implementation of Large Diameter Deep Tunnel Systems for Storm Water Management.</v>
      </c>
      <c r="E7" s="256">
        <f>_xlfn.XLOOKUP(FME_Ranking1[[#This Row],[FME ID]],FME_Input[FME_ID],FME_Input[FME_COST])</f>
        <v>20000000</v>
      </c>
      <c r="F7" t="str">
        <f>_xlfn.XLOOKUP(FME_Ranking1[[#This Row],[FME ID]],FME_Input[FME_ID],FME_Input[EMER_NEED])</f>
        <v>No</v>
      </c>
      <c r="G7">
        <f>IF(FME_Ranking!F7="Yes",100,0)</f>
        <v>0</v>
      </c>
      <c r="H7">
        <f>FME_Ranking1[[#This Row],[Emergency Need Score (Normalized, Unweighted)]]*$F$3</f>
        <v>0</v>
      </c>
      <c r="I7" s="246">
        <f>_xlfn.XLOOKUP(FME_Ranking1[[#This Row],[FME ID]],FME_Input[FME_ID],FME_Input[STRUCT_100])</f>
        <v>143642</v>
      </c>
      <c r="J7" s="178">
        <f>(FME_Ranking1[[#This Row],[Structures 100 Raw]]/I$2)*100</f>
        <v>76.919204900826799</v>
      </c>
      <c r="K7" s="178">
        <f>FME_Ranking1[[#This Row],[Structures 100  Score (Normalized, Unweighted)]]*$I$3</f>
        <v>11.53788073512402</v>
      </c>
      <c r="L7" s="246">
        <f>_xlfn.XLOOKUP(FME_Ranking1[[#This Row],[FME ID]],FME_Input[FME_ID],FME_Input[RES_STRUCT100])</f>
        <v>120807</v>
      </c>
      <c r="M7" s="230">
        <f>(FME_Ranking1[[#This Row],[Res Structures Raw]]/L$2)*100</f>
        <v>85.568273575951608</v>
      </c>
      <c r="N7" s="180">
        <f>FME_Ranking1[[#This Row],[Res Structures Score (Normalized, Unweighted)]]*$L$3</f>
        <v>8.5568273575951608</v>
      </c>
      <c r="O7" s="244">
        <f>_xlfn.XLOOKUP(FME_Ranking1[[#This Row],[FME ID]],FME_Input[FME_ID],FME_Input[POP100])</f>
        <v>976798</v>
      </c>
      <c r="P7" s="178">
        <f>(FME_Ranking1[[#This Row],[Pop Raw]]/$O$2)*100</f>
        <v>100</v>
      </c>
      <c r="Q7" s="178">
        <f>FME_Ranking1[[#This Row],[Pop Score (Normalized, Unweighted)]]*$O$3</f>
        <v>15</v>
      </c>
      <c r="R7" s="137">
        <f>_xlfn.XLOOKUP(FME_Ranking1[[#This Row],[FME ID]],FME_Input[FME_ID],FME_Input[CRITFAC100])</f>
        <v>2332</v>
      </c>
      <c r="S7" s="230">
        <f>(FME_Ranking1[[#This Row],[Critical Facilities Raw]]/$R$2)*100</f>
        <v>100</v>
      </c>
      <c r="T7" s="180">
        <f>FME_Ranking1[[#This Row],[Critical Facilities Score (Normalized, Unweighted)]]*$R$3</f>
        <v>20</v>
      </c>
      <c r="U7">
        <f>_xlfn.XLOOKUP(FME_Ranking1[[#This Row],[FME ID]],FME_Input[FME_ID],FME_Input[LWC])</f>
        <v>89</v>
      </c>
      <c r="V7" s="178">
        <f>(FME_Ranking1[[#This Row],[LWC Raw]]/$U$2)*100</f>
        <v>5.1237766263672997</v>
      </c>
      <c r="W7" s="178">
        <f>FME_Ranking1[[#This Row],[LWC Score (Normalized, Unweighted)]]*$U$3</f>
        <v>1.02475532527346</v>
      </c>
      <c r="X7" s="246">
        <f>_xlfn.XLOOKUP(FME_Ranking1[[#This Row],[FME ID]],FME_Input[FME_ID],FME_Input[ROADCLS])</f>
        <v>89</v>
      </c>
      <c r="Y7" s="230">
        <f>(FME_Ranking1[[#This Row],[Closures Raw]]/$X$2)*100</f>
        <v>0.93575859531069283</v>
      </c>
      <c r="Z7" s="180">
        <f>FME_Ranking1[[#This Row],[Closures Score (Normalized, Unweighted)]]*$X$3</f>
        <v>4.6787929765534642E-2</v>
      </c>
      <c r="AA7" s="253">
        <f>_xlfn.XLOOKUP(FME_Ranking1[[#This Row],[FME ID]],FME_Input[FME_ID],FME_Input[ROAD_MILES100])</f>
        <v>2407.733642578125</v>
      </c>
      <c r="AB7" s="178">
        <f>(FME_Ranking1[[#This Row],[Miles Raw]]/$AA$2)*100</f>
        <v>31.657378926879087</v>
      </c>
      <c r="AC7" s="178">
        <f>FME_Ranking1[[#This Row],[Miles Score (Normalized, Unweighted)]]*$AA$3</f>
        <v>3.1657378926879089</v>
      </c>
      <c r="AD7" s="255">
        <f>_xlfn.XLOOKUP(FME_Ranking1[[#This Row],[FME ID]],FME_Input[FME_ID],FME_Input[FARMACRE100])</f>
        <v>5993.46923828125</v>
      </c>
      <c r="AE7" s="230">
        <f>(FME_Ranking1[[#This Row],[Ag Land Raw]]/$AD$2)*100</f>
        <v>0.24714384159956101</v>
      </c>
      <c r="AF7" s="231">
        <f>FME_Ranking1[[#This Row],[Ag Land Score (Normalized, Unweighted)]]*$AD$3</f>
        <v>1.2357192079978051E-2</v>
      </c>
      <c r="AG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59.344346432526059</v>
      </c>
      <c r="AH7" s="406">
        <f t="shared" si="0"/>
        <v>2</v>
      </c>
      <c r="AI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59.344346432526059</v>
      </c>
      <c r="AJ7" s="257">
        <f>FME_Ranking1[[#This Row],[Addition check]]-FME_Ranking1[[#This Row],[Weighted Score Based on Normalized Reported Factors]]</f>
        <v>0</v>
      </c>
      <c r="AK7" s="178">
        <f>_xlfn.RANK.EQ(AI7,$AI$6:$AI$2341,0)+COUNTIF($AI$6:AI7,AI7)-1</f>
        <v>2</v>
      </c>
    </row>
    <row r="8" spans="1:37" ht="12" customHeight="1" x14ac:dyDescent="0.25">
      <c r="A8" t="s">
        <v>1422</v>
      </c>
      <c r="B8">
        <f>_xlfn.XLOOKUP(FME_Ranking1[[#This Row],[FME ID]],FME_Input[FME_ID],FME_Input[RFPG_NUM])</f>
        <v>6</v>
      </c>
      <c r="C8" t="str">
        <f>_xlfn.XLOOKUP(FME_Ranking1[[#This Row],[FME ID]],FME_Input[FME_ID],FME_Input[FME_NAME])</f>
        <v>Harris County Wide - Investigation of City of Houston Properties for Conversion to Stormwater Detention Basins</v>
      </c>
      <c r="D8" t="str">
        <f>_xlfn.XLOOKUP(FME_Ranking1[[#This Row],[FME ID]],FME_Input[FME_ID],FME_Input[DESCR])</f>
        <v>Further study for design and construction of stormwater detention basins on various City of Houston properties could reduce the risk of flooding in the area.</v>
      </c>
      <c r="E8" s="256">
        <f>_xlfn.XLOOKUP(FME_Ranking1[[#This Row],[FME ID]],FME_Input[FME_ID],FME_Input[FME_COST])</f>
        <v>500000</v>
      </c>
      <c r="F8" t="str">
        <f>_xlfn.XLOOKUP(FME_Ranking1[[#This Row],[FME ID]],FME_Input[FME_ID],FME_Input[EMER_NEED])</f>
        <v>No</v>
      </c>
      <c r="G8">
        <f>IF(FME_Ranking!F8="Yes",100,0)</f>
        <v>0</v>
      </c>
      <c r="H8">
        <f>FME_Ranking1[[#This Row],[Emergency Need Score (Normalized, Unweighted)]]*$F$3</f>
        <v>0</v>
      </c>
      <c r="I8" s="246">
        <f>_xlfn.XLOOKUP(FME_Ranking1[[#This Row],[FME ID]],FME_Input[FME_ID],FME_Input[STRUCT_100])</f>
        <v>143642</v>
      </c>
      <c r="J8" s="178">
        <f>(FME_Ranking1[[#This Row],[Structures 100 Raw]]/I$2)*100</f>
        <v>76.919204900826799</v>
      </c>
      <c r="K8" s="178">
        <f>FME_Ranking1[[#This Row],[Structures 100  Score (Normalized, Unweighted)]]*$I$3</f>
        <v>11.53788073512402</v>
      </c>
      <c r="L8" s="246">
        <f>_xlfn.XLOOKUP(FME_Ranking1[[#This Row],[FME ID]],FME_Input[FME_ID],FME_Input[RES_STRUCT100])</f>
        <v>120807</v>
      </c>
      <c r="M8" s="230">
        <f>(FME_Ranking1[[#This Row],[Res Structures Raw]]/L$2)*100</f>
        <v>85.568273575951608</v>
      </c>
      <c r="N8" s="180">
        <f>FME_Ranking1[[#This Row],[Res Structures Score (Normalized, Unweighted)]]*$L$3</f>
        <v>8.5568273575951608</v>
      </c>
      <c r="O8" s="244">
        <f>_xlfn.XLOOKUP(FME_Ranking1[[#This Row],[FME ID]],FME_Input[FME_ID],FME_Input[POP100])</f>
        <v>976798</v>
      </c>
      <c r="P8" s="178">
        <f>(FME_Ranking1[[#This Row],[Pop Raw]]/$O$2)*100</f>
        <v>100</v>
      </c>
      <c r="Q8" s="178">
        <f>FME_Ranking1[[#This Row],[Pop Score (Normalized, Unweighted)]]*$O$3</f>
        <v>15</v>
      </c>
      <c r="R8" s="137">
        <f>_xlfn.XLOOKUP(FME_Ranking1[[#This Row],[FME ID]],FME_Input[FME_ID],FME_Input[CRITFAC100])</f>
        <v>2332</v>
      </c>
      <c r="S8" s="230">
        <f>(FME_Ranking1[[#This Row],[Critical Facilities Raw]]/$R$2)*100</f>
        <v>100</v>
      </c>
      <c r="T8" s="180">
        <f>FME_Ranking1[[#This Row],[Critical Facilities Score (Normalized, Unweighted)]]*$R$3</f>
        <v>20</v>
      </c>
      <c r="U8">
        <f>_xlfn.XLOOKUP(FME_Ranking1[[#This Row],[FME ID]],FME_Input[FME_ID],FME_Input[LWC])</f>
        <v>89</v>
      </c>
      <c r="V8" s="178">
        <f>(FME_Ranking1[[#This Row],[LWC Raw]]/$U$2)*100</f>
        <v>5.1237766263672997</v>
      </c>
      <c r="W8" s="178">
        <f>FME_Ranking1[[#This Row],[LWC Score (Normalized, Unweighted)]]*$U$3</f>
        <v>1.02475532527346</v>
      </c>
      <c r="X8" s="246">
        <f>_xlfn.XLOOKUP(FME_Ranking1[[#This Row],[FME ID]],FME_Input[FME_ID],FME_Input[ROADCLS])</f>
        <v>89</v>
      </c>
      <c r="Y8" s="230">
        <f>(FME_Ranking1[[#This Row],[Closures Raw]]/$X$2)*100</f>
        <v>0.93575859531069283</v>
      </c>
      <c r="Z8" s="180">
        <f>FME_Ranking1[[#This Row],[Closures Score (Normalized, Unweighted)]]*$X$3</f>
        <v>4.6787929765534642E-2</v>
      </c>
      <c r="AA8" s="253">
        <f>_xlfn.XLOOKUP(FME_Ranking1[[#This Row],[FME ID]],FME_Input[FME_ID],FME_Input[ROAD_MILES100])</f>
        <v>2407.733642578125</v>
      </c>
      <c r="AB8" s="178">
        <f>(FME_Ranking1[[#This Row],[Miles Raw]]/$AA$2)*100</f>
        <v>31.657378926879087</v>
      </c>
      <c r="AC8" s="178">
        <f>FME_Ranking1[[#This Row],[Miles Score (Normalized, Unweighted)]]*$AA$3</f>
        <v>3.1657378926879089</v>
      </c>
      <c r="AD8" s="255">
        <f>_xlfn.XLOOKUP(FME_Ranking1[[#This Row],[FME ID]],FME_Input[FME_ID],FME_Input[FARMACRE100])</f>
        <v>5993.46923828125</v>
      </c>
      <c r="AE8" s="230">
        <f>(FME_Ranking1[[#This Row],[Ag Land Raw]]/$AD$2)*100</f>
        <v>0.24714384159956101</v>
      </c>
      <c r="AF8" s="231">
        <f>FME_Ranking1[[#This Row],[Ag Land Score (Normalized, Unweighted)]]*$AD$3</f>
        <v>1.2357192079978051E-2</v>
      </c>
      <c r="AG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59.344346432526059</v>
      </c>
      <c r="AH8" s="406">
        <f t="shared" si="0"/>
        <v>2</v>
      </c>
      <c r="AI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59.344346432526059</v>
      </c>
      <c r="AJ8" s="257">
        <f>FME_Ranking1[[#This Row],[Addition check]]-FME_Ranking1[[#This Row],[Weighted Score Based on Normalized Reported Factors]]</f>
        <v>0</v>
      </c>
      <c r="AK8" s="178">
        <f>_xlfn.RANK.EQ(AI8,$AI$6:$AI$2341,0)+COUNTIF($AI$6:AI8,AI8)-1</f>
        <v>3</v>
      </c>
    </row>
    <row r="9" spans="1:37" ht="12" customHeight="1" x14ac:dyDescent="0.25">
      <c r="A9" t="s">
        <v>590</v>
      </c>
      <c r="B9">
        <f>_xlfn.XLOOKUP(FME_Ranking1[[#This Row],[FME ID]],FME_Input[FME_ID],FME_Input[RFPG_NUM])</f>
        <v>10</v>
      </c>
      <c r="C9" t="str">
        <f>_xlfn.XLOOKUP(FME_Ranking1[[#This Row],[FME ID]],FME_Input[FME_ID],FME_Input[FME_NAME])</f>
        <v>Identify and Assess Flood Risk and Potential Mitigation Solutions for Low SVI Communities</v>
      </c>
      <c r="D9" t="str">
        <f>_xlfn.XLOOKUP(FME_Ranking1[[#This Row],[FME ID]],FME_Input[FME_ID],FME_Input[DESCR])</f>
        <v>Proactively sek out these communities to more fully assess and document their flood risk, consider potential solutions, and lay out a path to implement feasible and appropriate solutions.</v>
      </c>
      <c r="E9" s="256">
        <f>_xlfn.XLOOKUP(FME_Ranking1[[#This Row],[FME ID]],FME_Input[FME_ID],FME_Input[FME_COST])</f>
        <v>150000</v>
      </c>
      <c r="F9" t="str">
        <f>_xlfn.XLOOKUP(FME_Ranking1[[#This Row],[FME ID]],FME_Input[FME_ID],FME_Input[EMER_NEED])</f>
        <v>No</v>
      </c>
      <c r="G9">
        <f>IF(FME_Ranking!F9="Yes",100,0)</f>
        <v>0</v>
      </c>
      <c r="H9">
        <f>FME_Ranking1[[#This Row],[Emergency Need Score (Normalized, Unweighted)]]*$F$3</f>
        <v>0</v>
      </c>
      <c r="I9" s="246">
        <f>_xlfn.XLOOKUP(FME_Ranking1[[#This Row],[FME ID]],FME_Input[FME_ID],FME_Input[STRUCT_100])</f>
        <v>67825</v>
      </c>
      <c r="J9" s="178">
        <f>(FME_Ranking1[[#This Row],[Structures 100 Raw]]/I$2)*100</f>
        <v>36.319774664781733</v>
      </c>
      <c r="K9" s="178">
        <f>FME_Ranking1[[#This Row],[Structures 100  Score (Normalized, Unweighted)]]*$I$3</f>
        <v>5.4479661997172597</v>
      </c>
      <c r="L9" s="246">
        <f>_xlfn.XLOOKUP(FME_Ranking1[[#This Row],[FME ID]],FME_Input[FME_ID],FME_Input[RES_STRUCT100])</f>
        <v>45799</v>
      </c>
      <c r="M9" s="230">
        <f>(FME_Ranking1[[#This Row],[Res Structures Raw]]/L$2)*100</f>
        <v>32.439687778895326</v>
      </c>
      <c r="N9" s="180">
        <f>FME_Ranking1[[#This Row],[Res Structures Score (Normalized, Unweighted)]]*$L$3</f>
        <v>3.243968777889533</v>
      </c>
      <c r="O9" s="244">
        <f>_xlfn.XLOOKUP(FME_Ranking1[[#This Row],[FME ID]],FME_Input[FME_ID],FME_Input[POP100])</f>
        <v>149869</v>
      </c>
      <c r="P9" s="178">
        <f>(FME_Ranking1[[#This Row],[Pop Raw]]/$O$2)*100</f>
        <v>15.342885632443965</v>
      </c>
      <c r="Q9" s="178">
        <f>FME_Ranking1[[#This Row],[Pop Score (Normalized, Unweighted)]]*$O$3</f>
        <v>2.3014328448665946</v>
      </c>
      <c r="R9" s="137">
        <f>_xlfn.XLOOKUP(FME_Ranking1[[#This Row],[FME ID]],FME_Input[FME_ID],FME_Input[CRITFAC100])</f>
        <v>94</v>
      </c>
      <c r="S9" s="230">
        <f>(FME_Ranking1[[#This Row],[Critical Facilities Raw]]/$R$2)*100</f>
        <v>4.0308747855917666</v>
      </c>
      <c r="T9" s="180">
        <f>FME_Ranking1[[#This Row],[Critical Facilities Score (Normalized, Unweighted)]]*$R$3</f>
        <v>0.80617495711835341</v>
      </c>
      <c r="U9">
        <f>_xlfn.XLOOKUP(FME_Ranking1[[#This Row],[FME ID]],FME_Input[FME_ID],FME_Input[LWC])</f>
        <v>1132</v>
      </c>
      <c r="V9" s="178">
        <f>(FME_Ranking1[[#This Row],[LWC Raw]]/$U$2)*100</f>
        <v>65.169833045480715</v>
      </c>
      <c r="W9" s="178">
        <f>FME_Ranking1[[#This Row],[LWC Score (Normalized, Unweighted)]]*$U$3</f>
        <v>13.033966609096144</v>
      </c>
      <c r="X9" s="246">
        <f>_xlfn.XLOOKUP(FME_Ranking1[[#This Row],[FME ID]],FME_Input[FME_ID],FME_Input[ROADCLS])</f>
        <v>0</v>
      </c>
      <c r="Y9" s="230">
        <f>(FME_Ranking1[[#This Row],[Closures Raw]]/$X$2)*100</f>
        <v>0</v>
      </c>
      <c r="Z9" s="180">
        <f>FME_Ranking1[[#This Row],[Closures Score (Normalized, Unweighted)]]*$X$3</f>
        <v>0</v>
      </c>
      <c r="AA9" s="253">
        <f>_xlfn.XLOOKUP(FME_Ranking1[[#This Row],[FME ID]],FME_Input[FME_ID],FME_Input[ROAD_MILES100])</f>
        <v>2373.857177734375</v>
      </c>
      <c r="AB9" s="178">
        <f>(FME_Ranking1[[#This Row],[Miles Raw]]/$AA$2)*100</f>
        <v>31.211964174475931</v>
      </c>
      <c r="AC9" s="178">
        <f>FME_Ranking1[[#This Row],[Miles Score (Normalized, Unweighted)]]*$AA$3</f>
        <v>3.1211964174475932</v>
      </c>
      <c r="AD9" s="255">
        <f>_xlfn.XLOOKUP(FME_Ranking1[[#This Row],[FME ID]],FME_Input[FME_ID],FME_Input[FARMACRE100])</f>
        <v>2268491.5</v>
      </c>
      <c r="AE9" s="230">
        <f>(FME_Ranking1[[#This Row],[Ag Land Raw]]/$AD$2)*100</f>
        <v>93.54243454943078</v>
      </c>
      <c r="AF9" s="231">
        <f>FME_Ranking1[[#This Row],[Ag Land Score (Normalized, Unweighted)]]*$AD$3</f>
        <v>4.6771217274715395</v>
      </c>
      <c r="AG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32.631827533607016</v>
      </c>
      <c r="AH9" s="406">
        <f t="shared" si="0"/>
        <v>4</v>
      </c>
      <c r="AI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32.631827533607016</v>
      </c>
      <c r="AJ9" s="257">
        <f>FME_Ranking1[[#This Row],[Addition check]]-FME_Ranking1[[#This Row],[Weighted Score Based on Normalized Reported Factors]]</f>
        <v>0</v>
      </c>
      <c r="AK9" s="178">
        <f>_xlfn.RANK.EQ(AI9,$AI$6:$AI$2341,0)+COUNTIF($AI$6:AI9,AI9)-1</f>
        <v>4</v>
      </c>
    </row>
    <row r="10" spans="1:37" ht="12" customHeight="1" x14ac:dyDescent="0.25">
      <c r="A10" t="s">
        <v>10824</v>
      </c>
      <c r="B10">
        <f>_xlfn.XLOOKUP(FME_Ranking1[[#This Row],[FME ID]],FME_Input[FME_ID],FME_Input[RFPG_NUM])</f>
        <v>13</v>
      </c>
      <c r="C10" t="str">
        <f>_xlfn.XLOOKUP(FME_Ranking1[[#This Row],[FME ID]],FME_Input[FME_ID],FME_Input[FME_NAME])</f>
        <v>Nueces Basin early flood warning system</v>
      </c>
      <c r="D10" t="str">
        <f>_xlfn.XLOOKUP(FME_Ranking1[[#This Row],[FME ID]],FME_Input[FME_ID],FME_Input[DESCR])</f>
        <v>Develop Flood Preparedness Toolsets Using Streamgaging and Flood Inundation Mapping to develop a basin wide early flood warning system.</v>
      </c>
      <c r="E10" s="256">
        <f>_xlfn.XLOOKUP(FME_Ranking1[[#This Row],[FME ID]],FME_Input[FME_ID],FME_Input[FME_COST])</f>
        <v>250000</v>
      </c>
      <c r="F10" t="str">
        <f>_xlfn.XLOOKUP(FME_Ranking1[[#This Row],[FME ID]],FME_Input[FME_ID],FME_Input[EMER_NEED])</f>
        <v>No</v>
      </c>
      <c r="G10">
        <f>IF(FME_Ranking!F10="Yes",100,0)</f>
        <v>0</v>
      </c>
      <c r="H10">
        <f>FME_Ranking1[[#This Row],[Emergency Need Score (Normalized, Unweighted)]]*$F$3</f>
        <v>0</v>
      </c>
      <c r="I10" s="246">
        <f>_xlfn.XLOOKUP(FME_Ranking1[[#This Row],[FME ID]],FME_Input[FME_ID],FME_Input[STRUCT_100])</f>
        <v>60967</v>
      </c>
      <c r="J10" s="178">
        <f>(FME_Ranking1[[#This Row],[Structures 100 Raw]]/I$2)*100</f>
        <v>32.647367519170629</v>
      </c>
      <c r="K10" s="178">
        <f>FME_Ranking1[[#This Row],[Structures 100  Score (Normalized, Unweighted)]]*$I$3</f>
        <v>4.8971051278755944</v>
      </c>
      <c r="L10" s="246">
        <f>_xlfn.XLOOKUP(FME_Ranking1[[#This Row],[FME ID]],FME_Input[FME_ID],FME_Input[RES_STRUCT100])</f>
        <v>42976</v>
      </c>
      <c r="M10" s="230">
        <f>(FME_Ranking1[[#This Row],[Res Structures Raw]]/L$2)*100</f>
        <v>30.440141094473798</v>
      </c>
      <c r="N10" s="180">
        <f>FME_Ranking1[[#This Row],[Res Structures Score (Normalized, Unweighted)]]*$L$3</f>
        <v>3.0440141094473798</v>
      </c>
      <c r="O10" s="244">
        <f>_xlfn.XLOOKUP(FME_Ranking1[[#This Row],[FME ID]],FME_Input[FME_ID],FME_Input[POP100])</f>
        <v>136543</v>
      </c>
      <c r="P10" s="178">
        <f>(FME_Ranking1[[#This Row],[Pop Raw]]/$O$2)*100</f>
        <v>13.978632224881704</v>
      </c>
      <c r="Q10" s="178">
        <f>FME_Ranking1[[#This Row],[Pop Score (Normalized, Unweighted)]]*$O$3</f>
        <v>2.0967948337322553</v>
      </c>
      <c r="R10" s="137">
        <f>_xlfn.XLOOKUP(FME_Ranking1[[#This Row],[FME ID]],FME_Input[FME_ID],FME_Input[CRITFAC100])</f>
        <v>445</v>
      </c>
      <c r="S10" s="230">
        <f>(FME_Ranking1[[#This Row],[Critical Facilities Raw]]/$R$2)*100</f>
        <v>19.082332761578044</v>
      </c>
      <c r="T10" s="180">
        <f>FME_Ranking1[[#This Row],[Critical Facilities Score (Normalized, Unweighted)]]*$R$3</f>
        <v>3.8164665523156089</v>
      </c>
      <c r="U10">
        <f>_xlfn.XLOOKUP(FME_Ranking1[[#This Row],[FME ID]],FME_Input[FME_ID],FME_Input[LWC])</f>
        <v>526</v>
      </c>
      <c r="V10" s="178">
        <f>(FME_Ranking1[[#This Row],[LWC Raw]]/$U$2)*100</f>
        <v>30.282095567069661</v>
      </c>
      <c r="W10" s="178">
        <f>FME_Ranking1[[#This Row],[LWC Score (Normalized, Unweighted)]]*$U$3</f>
        <v>6.0564191134139325</v>
      </c>
      <c r="X10" s="246">
        <f>_xlfn.XLOOKUP(FME_Ranking1[[#This Row],[FME ID]],FME_Input[FME_ID],FME_Input[ROADCLS])</f>
        <v>7401</v>
      </c>
      <c r="Y10" s="230">
        <f>(FME_Ranking1[[#This Row],[Closures Raw]]/$X$2)*100</f>
        <v>77.815161392072341</v>
      </c>
      <c r="Z10" s="180">
        <f>FME_Ranking1[[#This Row],[Closures Score (Normalized, Unweighted)]]*$X$3</f>
        <v>3.890758069603617</v>
      </c>
      <c r="AA10" s="253">
        <f>_xlfn.XLOOKUP(FME_Ranking1[[#This Row],[FME ID]],FME_Input[FME_ID],FME_Input[ROAD_MILES100])</f>
        <v>3214.530517578125</v>
      </c>
      <c r="AB10" s="178">
        <f>(FME_Ranking1[[#This Row],[Miles Raw]]/$AA$2)*100</f>
        <v>42.265310775000096</v>
      </c>
      <c r="AC10" s="178">
        <f>FME_Ranking1[[#This Row],[Miles Score (Normalized, Unweighted)]]*$AA$3</f>
        <v>4.2265310775000096</v>
      </c>
      <c r="AD10" s="255">
        <f>_xlfn.XLOOKUP(FME_Ranking1[[#This Row],[FME ID]],FME_Input[FME_ID],FME_Input[FARMACRE100])</f>
        <v>251436.96875</v>
      </c>
      <c r="AE10" s="230">
        <f>(FME_Ranking1[[#This Row],[Ag Land Raw]]/$AD$2)*100</f>
        <v>10.368135032731727</v>
      </c>
      <c r="AF10" s="231">
        <f>FME_Ranking1[[#This Row],[Ag Land Score (Normalized, Unweighted)]]*$AD$3</f>
        <v>0.51840675163658634</v>
      </c>
      <c r="AG1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28.546495635524984</v>
      </c>
      <c r="AH10" s="406">
        <f t="shared" si="0"/>
        <v>5</v>
      </c>
      <c r="AI1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28.546495635524984</v>
      </c>
      <c r="AJ10" s="257">
        <f>FME_Ranking1[[#This Row],[Addition check]]-FME_Ranking1[[#This Row],[Weighted Score Based on Normalized Reported Factors]]</f>
        <v>0</v>
      </c>
      <c r="AK10" s="178">
        <f>_xlfn.RANK.EQ(AI10,$AI$6:$AI$2341,0)+COUNTIF($AI$6:AI10,AI10)-1</f>
        <v>5</v>
      </c>
    </row>
    <row r="11" spans="1:37" ht="12" customHeight="1" x14ac:dyDescent="0.25">
      <c r="A11" t="s">
        <v>10833</v>
      </c>
      <c r="B11">
        <f>_xlfn.XLOOKUP(FME_Ranking1[[#This Row],[FME ID]],FME_Input[FME_ID],FME_Input[RFPG_NUM])</f>
        <v>13</v>
      </c>
      <c r="C11" t="str">
        <f>_xlfn.XLOOKUP(FME_Ranking1[[#This Row],[FME ID]],FME_Input[FME_ID],FME_Input[FME_NAME])</f>
        <v>Nueces Basin low water crossing study and upgrade prioritization</v>
      </c>
      <c r="D11" t="str">
        <f>_xlfn.XLOOKUP(FME_Ranking1[[#This Row],[FME ID]],FME_Input[FME_ID],FME_Input[DESCR])</f>
        <v>Conduct an inventory of low water crossings (LWC), characterize risk, and rank low water crossings to prioritize those with high risk. Prepare a large scale public outreach campaign aimed at reducing loss of life. Address top 30% of high risk LWC.</v>
      </c>
      <c r="E11" s="256">
        <f>_xlfn.XLOOKUP(FME_Ranking1[[#This Row],[FME ID]],FME_Input[FME_ID],FME_Input[FME_COST])</f>
        <v>700000</v>
      </c>
      <c r="F11" t="str">
        <f>_xlfn.XLOOKUP(FME_Ranking1[[#This Row],[FME ID]],FME_Input[FME_ID],FME_Input[EMER_NEED])</f>
        <v>No</v>
      </c>
      <c r="G11">
        <f>IF(FME_Ranking!F11="Yes",100,0)</f>
        <v>0</v>
      </c>
      <c r="H11">
        <f>FME_Ranking1[[#This Row],[Emergency Need Score (Normalized, Unweighted)]]*$F$3</f>
        <v>0</v>
      </c>
      <c r="I11" s="246">
        <f>_xlfn.XLOOKUP(FME_Ranking1[[#This Row],[FME ID]],FME_Input[FME_ID],FME_Input[STRUCT_100])</f>
        <v>60967</v>
      </c>
      <c r="J11" s="178">
        <f>(FME_Ranking1[[#This Row],[Structures 100 Raw]]/I$2)*100</f>
        <v>32.647367519170629</v>
      </c>
      <c r="K11" s="178">
        <f>FME_Ranking1[[#This Row],[Structures 100  Score (Normalized, Unweighted)]]*$I$3</f>
        <v>4.8971051278755944</v>
      </c>
      <c r="L11" s="246">
        <f>_xlfn.XLOOKUP(FME_Ranking1[[#This Row],[FME ID]],FME_Input[FME_ID],FME_Input[RES_STRUCT100])</f>
        <v>42976</v>
      </c>
      <c r="M11" s="230">
        <f>(FME_Ranking1[[#This Row],[Res Structures Raw]]/L$2)*100</f>
        <v>30.440141094473798</v>
      </c>
      <c r="N11" s="180">
        <f>FME_Ranking1[[#This Row],[Res Structures Score (Normalized, Unweighted)]]*$L$3</f>
        <v>3.0440141094473798</v>
      </c>
      <c r="O11" s="244">
        <f>_xlfn.XLOOKUP(FME_Ranking1[[#This Row],[FME ID]],FME_Input[FME_ID],FME_Input[POP100])</f>
        <v>136543</v>
      </c>
      <c r="P11" s="178">
        <f>(FME_Ranking1[[#This Row],[Pop Raw]]/$O$2)*100</f>
        <v>13.978632224881704</v>
      </c>
      <c r="Q11" s="178">
        <f>FME_Ranking1[[#This Row],[Pop Score (Normalized, Unweighted)]]*$O$3</f>
        <v>2.0967948337322553</v>
      </c>
      <c r="R11" s="137">
        <f>_xlfn.XLOOKUP(FME_Ranking1[[#This Row],[FME ID]],FME_Input[FME_ID],FME_Input[CRITFAC100])</f>
        <v>445</v>
      </c>
      <c r="S11" s="230">
        <f>(FME_Ranking1[[#This Row],[Critical Facilities Raw]]/$R$2)*100</f>
        <v>19.082332761578044</v>
      </c>
      <c r="T11" s="180">
        <f>FME_Ranking1[[#This Row],[Critical Facilities Score (Normalized, Unweighted)]]*$R$3</f>
        <v>3.8164665523156089</v>
      </c>
      <c r="U11">
        <f>_xlfn.XLOOKUP(FME_Ranking1[[#This Row],[FME ID]],FME_Input[FME_ID],FME_Input[LWC])</f>
        <v>526</v>
      </c>
      <c r="V11" s="178">
        <f>(FME_Ranking1[[#This Row],[LWC Raw]]/$U$2)*100</f>
        <v>30.282095567069661</v>
      </c>
      <c r="W11" s="178">
        <f>FME_Ranking1[[#This Row],[LWC Score (Normalized, Unweighted)]]*$U$3</f>
        <v>6.0564191134139325</v>
      </c>
      <c r="X11" s="246">
        <f>_xlfn.XLOOKUP(FME_Ranking1[[#This Row],[FME ID]],FME_Input[FME_ID],FME_Input[ROADCLS])</f>
        <v>7401</v>
      </c>
      <c r="Y11" s="230">
        <f>(FME_Ranking1[[#This Row],[Closures Raw]]/$X$2)*100</f>
        <v>77.815161392072341</v>
      </c>
      <c r="Z11" s="180">
        <f>FME_Ranking1[[#This Row],[Closures Score (Normalized, Unweighted)]]*$X$3</f>
        <v>3.890758069603617</v>
      </c>
      <c r="AA11" s="253">
        <f>_xlfn.XLOOKUP(FME_Ranking1[[#This Row],[FME ID]],FME_Input[FME_ID],FME_Input[ROAD_MILES100])</f>
        <v>3214.530517578125</v>
      </c>
      <c r="AB11" s="178">
        <f>(FME_Ranking1[[#This Row],[Miles Raw]]/$AA$2)*100</f>
        <v>42.265310775000096</v>
      </c>
      <c r="AC11" s="178">
        <f>FME_Ranking1[[#This Row],[Miles Score (Normalized, Unweighted)]]*$AA$3</f>
        <v>4.2265310775000096</v>
      </c>
      <c r="AD11" s="255">
        <f>_xlfn.XLOOKUP(FME_Ranking1[[#This Row],[FME ID]],FME_Input[FME_ID],FME_Input[FARMACRE100])</f>
        <v>251436.96875</v>
      </c>
      <c r="AE11" s="230">
        <f>(FME_Ranking1[[#This Row],[Ag Land Raw]]/$AD$2)*100</f>
        <v>10.368135032731727</v>
      </c>
      <c r="AF11" s="231">
        <f>FME_Ranking1[[#This Row],[Ag Land Score (Normalized, Unweighted)]]*$AD$3</f>
        <v>0.51840675163658634</v>
      </c>
      <c r="AG1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28.546495635524984</v>
      </c>
      <c r="AH11" s="406">
        <f t="shared" si="0"/>
        <v>5</v>
      </c>
      <c r="AI1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28.546495635524984</v>
      </c>
      <c r="AJ11" s="257">
        <f>FME_Ranking1[[#This Row],[Addition check]]-FME_Ranking1[[#This Row],[Weighted Score Based on Normalized Reported Factors]]</f>
        <v>0</v>
      </c>
      <c r="AK11" s="178">
        <f>_xlfn.RANK.EQ(AI11,$AI$6:$AI$2341,0)+COUNTIF($AI$6:AI11,AI11)-1</f>
        <v>6</v>
      </c>
    </row>
    <row r="12" spans="1:37" ht="12" customHeight="1" x14ac:dyDescent="0.25">
      <c r="A12" t="s">
        <v>10838</v>
      </c>
      <c r="B12">
        <f>_xlfn.XLOOKUP(FME_Ranking1[[#This Row],[FME ID]],FME_Input[FME_ID],FME_Input[RFPG_NUM])</f>
        <v>13</v>
      </c>
      <c r="C12" t="str">
        <f>_xlfn.XLOOKUP(FME_Ranking1[[#This Row],[FME ID]],FME_Input[FME_ID],FME_Input[FME_NAME])</f>
        <v>Nueces Basin High Hazard Dam identification and risk assessment</v>
      </c>
      <c r="D12" t="str">
        <f>_xlfn.XLOOKUP(FME_Ranking1[[#This Row],[FME ID]],FME_Input[FME_ID],FME_Input[DESCR])</f>
        <v>The region currently has 116 TCEQ regulated dams. Of these, 7 are 'non-functional' and 9 are 'deficient'. This study would identify all deficient high hazard dams in the region and recommend the removal or rehabilitation of the most high hazard dams.</v>
      </c>
      <c r="E12" s="256">
        <f>_xlfn.XLOOKUP(FME_Ranking1[[#This Row],[FME ID]],FME_Input[FME_ID],FME_Input[FME_COST])</f>
        <v>1355000</v>
      </c>
      <c r="F12" t="str">
        <f>_xlfn.XLOOKUP(FME_Ranking1[[#This Row],[FME ID]],FME_Input[FME_ID],FME_Input[EMER_NEED])</f>
        <v>No</v>
      </c>
      <c r="G12">
        <f>IF(FME_Ranking!F12="Yes",100,0)</f>
        <v>0</v>
      </c>
      <c r="H12">
        <f>FME_Ranking1[[#This Row],[Emergency Need Score (Normalized, Unweighted)]]*$F$3</f>
        <v>0</v>
      </c>
      <c r="I12" s="246">
        <f>_xlfn.XLOOKUP(FME_Ranking1[[#This Row],[FME ID]],FME_Input[FME_ID],FME_Input[STRUCT_100])</f>
        <v>60967</v>
      </c>
      <c r="J12" s="178">
        <f>(FME_Ranking1[[#This Row],[Structures 100 Raw]]/I$2)*100</f>
        <v>32.647367519170629</v>
      </c>
      <c r="K12" s="178">
        <f>FME_Ranking1[[#This Row],[Structures 100  Score (Normalized, Unweighted)]]*$I$3</f>
        <v>4.8971051278755944</v>
      </c>
      <c r="L12" s="246">
        <f>_xlfn.XLOOKUP(FME_Ranking1[[#This Row],[FME ID]],FME_Input[FME_ID],FME_Input[RES_STRUCT100])</f>
        <v>42976</v>
      </c>
      <c r="M12" s="230">
        <f>(FME_Ranking1[[#This Row],[Res Structures Raw]]/L$2)*100</f>
        <v>30.440141094473798</v>
      </c>
      <c r="N12" s="180">
        <f>FME_Ranking1[[#This Row],[Res Structures Score (Normalized, Unweighted)]]*$L$3</f>
        <v>3.0440141094473798</v>
      </c>
      <c r="O12" s="244">
        <f>_xlfn.XLOOKUP(FME_Ranking1[[#This Row],[FME ID]],FME_Input[FME_ID],FME_Input[POP100])</f>
        <v>136543</v>
      </c>
      <c r="P12" s="178">
        <f>(FME_Ranking1[[#This Row],[Pop Raw]]/$O$2)*100</f>
        <v>13.978632224881704</v>
      </c>
      <c r="Q12" s="178">
        <f>FME_Ranking1[[#This Row],[Pop Score (Normalized, Unweighted)]]*$O$3</f>
        <v>2.0967948337322553</v>
      </c>
      <c r="R12" s="137">
        <f>_xlfn.XLOOKUP(FME_Ranking1[[#This Row],[FME ID]],FME_Input[FME_ID],FME_Input[CRITFAC100])</f>
        <v>445</v>
      </c>
      <c r="S12" s="230">
        <f>(FME_Ranking1[[#This Row],[Critical Facilities Raw]]/$R$2)*100</f>
        <v>19.082332761578044</v>
      </c>
      <c r="T12" s="180">
        <f>FME_Ranking1[[#This Row],[Critical Facilities Score (Normalized, Unweighted)]]*$R$3</f>
        <v>3.8164665523156089</v>
      </c>
      <c r="U12">
        <f>_xlfn.XLOOKUP(FME_Ranking1[[#This Row],[FME ID]],FME_Input[FME_ID],FME_Input[LWC])</f>
        <v>526</v>
      </c>
      <c r="V12" s="178">
        <f>(FME_Ranking1[[#This Row],[LWC Raw]]/$U$2)*100</f>
        <v>30.282095567069661</v>
      </c>
      <c r="W12" s="178">
        <f>FME_Ranking1[[#This Row],[LWC Score (Normalized, Unweighted)]]*$U$3</f>
        <v>6.0564191134139325</v>
      </c>
      <c r="X12" s="246">
        <f>_xlfn.XLOOKUP(FME_Ranking1[[#This Row],[FME ID]],FME_Input[FME_ID],FME_Input[ROADCLS])</f>
        <v>7401</v>
      </c>
      <c r="Y12" s="230">
        <f>(FME_Ranking1[[#This Row],[Closures Raw]]/$X$2)*100</f>
        <v>77.815161392072341</v>
      </c>
      <c r="Z12" s="180">
        <f>FME_Ranking1[[#This Row],[Closures Score (Normalized, Unweighted)]]*$X$3</f>
        <v>3.890758069603617</v>
      </c>
      <c r="AA12" s="253">
        <f>_xlfn.XLOOKUP(FME_Ranking1[[#This Row],[FME ID]],FME_Input[FME_ID],FME_Input[ROAD_MILES100])</f>
        <v>3214.530517578125</v>
      </c>
      <c r="AB12" s="178">
        <f>(FME_Ranking1[[#This Row],[Miles Raw]]/$AA$2)*100</f>
        <v>42.265310775000096</v>
      </c>
      <c r="AC12" s="178">
        <f>FME_Ranking1[[#This Row],[Miles Score (Normalized, Unweighted)]]*$AA$3</f>
        <v>4.2265310775000096</v>
      </c>
      <c r="AD12" s="255">
        <f>_xlfn.XLOOKUP(FME_Ranking1[[#This Row],[FME ID]],FME_Input[FME_ID],FME_Input[FARMACRE100])</f>
        <v>251436.96875</v>
      </c>
      <c r="AE12" s="230">
        <f>(FME_Ranking1[[#This Row],[Ag Land Raw]]/$AD$2)*100</f>
        <v>10.368135032731727</v>
      </c>
      <c r="AF12" s="231">
        <f>FME_Ranking1[[#This Row],[Ag Land Score (Normalized, Unweighted)]]*$AD$3</f>
        <v>0.51840675163658634</v>
      </c>
      <c r="AG1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28.546495635524984</v>
      </c>
      <c r="AH12" s="406">
        <f t="shared" si="0"/>
        <v>5</v>
      </c>
      <c r="AI1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28.546495635524984</v>
      </c>
      <c r="AJ12" s="257">
        <f>FME_Ranking1[[#This Row],[Addition check]]-FME_Ranking1[[#This Row],[Weighted Score Based on Normalized Reported Factors]]</f>
        <v>0</v>
      </c>
      <c r="AK12" s="178">
        <f>_xlfn.RANK.EQ(AI12,$AI$6:$AI$2341,0)+COUNTIF($AI$6:AI12,AI12)-1</f>
        <v>7</v>
      </c>
    </row>
    <row r="13" spans="1:37" ht="12" customHeight="1" x14ac:dyDescent="0.25">
      <c r="A13" t="s">
        <v>10842</v>
      </c>
      <c r="B13">
        <f>_xlfn.XLOOKUP(FME_Ranking1[[#This Row],[FME ID]],FME_Input[FME_ID],FME_Input[RFPG_NUM])</f>
        <v>13</v>
      </c>
      <c r="C13" t="str">
        <f>_xlfn.XLOOKUP(FME_Ranking1[[#This Row],[FME ID]],FME_Input[FME_ID],FME_Input[FME_NAME])</f>
        <v>Nueces Basin Assessment of Flood Mitigation and Performance of Nature-based Solutions (NBS)</v>
      </c>
      <c r="D13" t="str">
        <f>_xlfn.XLOOKUP(FME_Ranking1[[#This Row],[FME ID]],FME_Input[FME_ID],FME_Input[DESCR])</f>
        <v>Basin-wide analysis on the flood mitigation value of select nature-based solutions (NBS) at a variety of scales and land use types, looking for consistent, accurate, and broadly applicable methods to quantify flood mitigation benefits of NBS.</v>
      </c>
      <c r="E13" s="256">
        <f>_xlfn.XLOOKUP(FME_Ranking1[[#This Row],[FME ID]],FME_Input[FME_ID],FME_Input[FME_COST])</f>
        <v>100000</v>
      </c>
      <c r="F13" t="str">
        <f>_xlfn.XLOOKUP(FME_Ranking1[[#This Row],[FME ID]],FME_Input[FME_ID],FME_Input[EMER_NEED])</f>
        <v>No</v>
      </c>
      <c r="G13">
        <f>IF(FME_Ranking!F13="Yes",100,0)</f>
        <v>0</v>
      </c>
      <c r="H13">
        <f>FME_Ranking1[[#This Row],[Emergency Need Score (Normalized, Unweighted)]]*$F$3</f>
        <v>0</v>
      </c>
      <c r="I13" s="246">
        <f>_xlfn.XLOOKUP(FME_Ranking1[[#This Row],[FME ID]],FME_Input[FME_ID],FME_Input[STRUCT_100])</f>
        <v>60967</v>
      </c>
      <c r="J13" s="178">
        <f>(FME_Ranking1[[#This Row],[Structures 100 Raw]]/I$2)*100</f>
        <v>32.647367519170629</v>
      </c>
      <c r="K13" s="178">
        <f>FME_Ranking1[[#This Row],[Structures 100  Score (Normalized, Unweighted)]]*$I$3</f>
        <v>4.8971051278755944</v>
      </c>
      <c r="L13" s="246">
        <f>_xlfn.XLOOKUP(FME_Ranking1[[#This Row],[FME ID]],FME_Input[FME_ID],FME_Input[RES_STRUCT100])</f>
        <v>42976</v>
      </c>
      <c r="M13" s="230">
        <f>(FME_Ranking1[[#This Row],[Res Structures Raw]]/L$2)*100</f>
        <v>30.440141094473798</v>
      </c>
      <c r="N13" s="180">
        <f>FME_Ranking1[[#This Row],[Res Structures Score (Normalized, Unweighted)]]*$L$3</f>
        <v>3.0440141094473798</v>
      </c>
      <c r="O13" s="244">
        <f>_xlfn.XLOOKUP(FME_Ranking1[[#This Row],[FME ID]],FME_Input[FME_ID],FME_Input[POP100])</f>
        <v>136543</v>
      </c>
      <c r="P13" s="178">
        <f>(FME_Ranking1[[#This Row],[Pop Raw]]/$O$2)*100</f>
        <v>13.978632224881704</v>
      </c>
      <c r="Q13" s="178">
        <f>FME_Ranking1[[#This Row],[Pop Score (Normalized, Unweighted)]]*$O$3</f>
        <v>2.0967948337322553</v>
      </c>
      <c r="R13" s="137">
        <f>_xlfn.XLOOKUP(FME_Ranking1[[#This Row],[FME ID]],FME_Input[FME_ID],FME_Input[CRITFAC100])</f>
        <v>445</v>
      </c>
      <c r="S13" s="230">
        <f>(FME_Ranking1[[#This Row],[Critical Facilities Raw]]/$R$2)*100</f>
        <v>19.082332761578044</v>
      </c>
      <c r="T13" s="180">
        <f>FME_Ranking1[[#This Row],[Critical Facilities Score (Normalized, Unweighted)]]*$R$3</f>
        <v>3.8164665523156089</v>
      </c>
      <c r="U13">
        <f>_xlfn.XLOOKUP(FME_Ranking1[[#This Row],[FME ID]],FME_Input[FME_ID],FME_Input[LWC])</f>
        <v>526</v>
      </c>
      <c r="V13" s="178">
        <f>(FME_Ranking1[[#This Row],[LWC Raw]]/$U$2)*100</f>
        <v>30.282095567069661</v>
      </c>
      <c r="W13" s="178">
        <f>FME_Ranking1[[#This Row],[LWC Score (Normalized, Unweighted)]]*$U$3</f>
        <v>6.0564191134139325</v>
      </c>
      <c r="X13" s="246">
        <f>_xlfn.XLOOKUP(FME_Ranking1[[#This Row],[FME ID]],FME_Input[FME_ID],FME_Input[ROADCLS])</f>
        <v>7401</v>
      </c>
      <c r="Y13" s="230">
        <f>(FME_Ranking1[[#This Row],[Closures Raw]]/$X$2)*100</f>
        <v>77.815161392072341</v>
      </c>
      <c r="Z13" s="180">
        <f>FME_Ranking1[[#This Row],[Closures Score (Normalized, Unweighted)]]*$X$3</f>
        <v>3.890758069603617</v>
      </c>
      <c r="AA13" s="253">
        <f>_xlfn.XLOOKUP(FME_Ranking1[[#This Row],[FME ID]],FME_Input[FME_ID],FME_Input[ROAD_MILES100])</f>
        <v>3214.530517578125</v>
      </c>
      <c r="AB13" s="178">
        <f>(FME_Ranking1[[#This Row],[Miles Raw]]/$AA$2)*100</f>
        <v>42.265310775000096</v>
      </c>
      <c r="AC13" s="178">
        <f>FME_Ranking1[[#This Row],[Miles Score (Normalized, Unweighted)]]*$AA$3</f>
        <v>4.2265310775000096</v>
      </c>
      <c r="AD13" s="255">
        <f>_xlfn.XLOOKUP(FME_Ranking1[[#This Row],[FME ID]],FME_Input[FME_ID],FME_Input[FARMACRE100])</f>
        <v>251436.96875</v>
      </c>
      <c r="AE13" s="230">
        <f>(FME_Ranking1[[#This Row],[Ag Land Raw]]/$AD$2)*100</f>
        <v>10.368135032731727</v>
      </c>
      <c r="AF13" s="231">
        <f>FME_Ranking1[[#This Row],[Ag Land Score (Normalized, Unweighted)]]*$AD$3</f>
        <v>0.51840675163658634</v>
      </c>
      <c r="AG1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28.546495635524984</v>
      </c>
      <c r="AH13" s="406">
        <f t="shared" si="0"/>
        <v>5</v>
      </c>
      <c r="AI1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28.546495635524984</v>
      </c>
      <c r="AJ13" s="257">
        <f>FME_Ranking1[[#This Row],[Addition check]]-FME_Ranking1[[#This Row],[Weighted Score Based on Normalized Reported Factors]]</f>
        <v>0</v>
      </c>
      <c r="AK13" s="178">
        <f>_xlfn.RANK.EQ(AI13,$AI$6:$AI$2341,0)+COUNTIF($AI$6:AI13,AI13)-1</f>
        <v>8</v>
      </c>
    </row>
    <row r="14" spans="1:37" ht="12" customHeight="1" x14ac:dyDescent="0.25">
      <c r="A14" t="s">
        <v>10847</v>
      </c>
      <c r="B14">
        <f>_xlfn.XLOOKUP(FME_Ranking1[[#This Row],[FME ID]],FME_Input[FME_ID],FME_Input[RFPG_NUM])</f>
        <v>13</v>
      </c>
      <c r="C14" t="str">
        <f>_xlfn.XLOOKUP(FME_Ranking1[[#This Row],[FME ID]],FME_Input[FME_ID],FME_Input[FME_NAME])</f>
        <v>Scaling Up Nature Based Solutions (NBS) in the Nueces Flood Planning Region to support community resilience and enhance flood and hazard mitigation planning</v>
      </c>
      <c r="D14" t="str">
        <f>_xlfn.XLOOKUP(FME_Ranking1[[#This Row],[FME ID]],FME_Input[FME_ID],FME_Input[DESCR])</f>
        <v>Multi-jurisdictional feasibility analyses will be performed in targeted areas to identify a prioritized portfolio of NBS flood mitigation projects and strategies that consider both risk reduction and ecological benefits.</v>
      </c>
      <c r="E14" s="256">
        <f>_xlfn.XLOOKUP(FME_Ranking1[[#This Row],[FME ID]],FME_Input[FME_ID],FME_Input[FME_COST])</f>
        <v>1000000</v>
      </c>
      <c r="F14" t="str">
        <f>_xlfn.XLOOKUP(FME_Ranking1[[#This Row],[FME ID]],FME_Input[FME_ID],FME_Input[EMER_NEED])</f>
        <v>No</v>
      </c>
      <c r="G14">
        <f>IF(FME_Ranking!F14="Yes",100,0)</f>
        <v>0</v>
      </c>
      <c r="H14">
        <f>FME_Ranking1[[#This Row],[Emergency Need Score (Normalized, Unweighted)]]*$F$3</f>
        <v>0</v>
      </c>
      <c r="I14" s="246">
        <f>_xlfn.XLOOKUP(FME_Ranking1[[#This Row],[FME ID]],FME_Input[FME_ID],FME_Input[STRUCT_100])</f>
        <v>60967</v>
      </c>
      <c r="J14" s="178">
        <f>(FME_Ranking1[[#This Row],[Structures 100 Raw]]/I$2)*100</f>
        <v>32.647367519170629</v>
      </c>
      <c r="K14" s="178">
        <f>FME_Ranking1[[#This Row],[Structures 100  Score (Normalized, Unweighted)]]*$I$3</f>
        <v>4.8971051278755944</v>
      </c>
      <c r="L14" s="246">
        <f>_xlfn.XLOOKUP(FME_Ranking1[[#This Row],[FME ID]],FME_Input[FME_ID],FME_Input[RES_STRUCT100])</f>
        <v>42976</v>
      </c>
      <c r="M14" s="230">
        <f>(FME_Ranking1[[#This Row],[Res Structures Raw]]/L$2)*100</f>
        <v>30.440141094473798</v>
      </c>
      <c r="N14" s="180">
        <f>FME_Ranking1[[#This Row],[Res Structures Score (Normalized, Unweighted)]]*$L$3</f>
        <v>3.0440141094473798</v>
      </c>
      <c r="O14" s="244">
        <f>_xlfn.XLOOKUP(FME_Ranking1[[#This Row],[FME ID]],FME_Input[FME_ID],FME_Input[POP100])</f>
        <v>136543</v>
      </c>
      <c r="P14" s="178">
        <f>(FME_Ranking1[[#This Row],[Pop Raw]]/$O$2)*100</f>
        <v>13.978632224881704</v>
      </c>
      <c r="Q14" s="178">
        <f>FME_Ranking1[[#This Row],[Pop Score (Normalized, Unweighted)]]*$O$3</f>
        <v>2.0967948337322553</v>
      </c>
      <c r="R14" s="137">
        <f>_xlfn.XLOOKUP(FME_Ranking1[[#This Row],[FME ID]],FME_Input[FME_ID],FME_Input[CRITFAC100])</f>
        <v>445</v>
      </c>
      <c r="S14" s="230">
        <f>(FME_Ranking1[[#This Row],[Critical Facilities Raw]]/$R$2)*100</f>
        <v>19.082332761578044</v>
      </c>
      <c r="T14" s="180">
        <f>FME_Ranking1[[#This Row],[Critical Facilities Score (Normalized, Unweighted)]]*$R$3</f>
        <v>3.8164665523156089</v>
      </c>
      <c r="U14">
        <f>_xlfn.XLOOKUP(FME_Ranking1[[#This Row],[FME ID]],FME_Input[FME_ID],FME_Input[LWC])</f>
        <v>526</v>
      </c>
      <c r="V14" s="178">
        <f>(FME_Ranking1[[#This Row],[LWC Raw]]/$U$2)*100</f>
        <v>30.282095567069661</v>
      </c>
      <c r="W14" s="178">
        <f>FME_Ranking1[[#This Row],[LWC Score (Normalized, Unweighted)]]*$U$3</f>
        <v>6.0564191134139325</v>
      </c>
      <c r="X14" s="246">
        <f>_xlfn.XLOOKUP(FME_Ranking1[[#This Row],[FME ID]],FME_Input[FME_ID],FME_Input[ROADCLS])</f>
        <v>7401</v>
      </c>
      <c r="Y14" s="230">
        <f>(FME_Ranking1[[#This Row],[Closures Raw]]/$X$2)*100</f>
        <v>77.815161392072341</v>
      </c>
      <c r="Z14" s="180">
        <f>FME_Ranking1[[#This Row],[Closures Score (Normalized, Unweighted)]]*$X$3</f>
        <v>3.890758069603617</v>
      </c>
      <c r="AA14" s="253">
        <f>_xlfn.XLOOKUP(FME_Ranking1[[#This Row],[FME ID]],FME_Input[FME_ID],FME_Input[ROAD_MILES100])</f>
        <v>3214.530517578125</v>
      </c>
      <c r="AB14" s="178">
        <f>(FME_Ranking1[[#This Row],[Miles Raw]]/$AA$2)*100</f>
        <v>42.265310775000096</v>
      </c>
      <c r="AC14" s="178">
        <f>FME_Ranking1[[#This Row],[Miles Score (Normalized, Unweighted)]]*$AA$3</f>
        <v>4.2265310775000096</v>
      </c>
      <c r="AD14" s="255">
        <f>_xlfn.XLOOKUP(FME_Ranking1[[#This Row],[FME ID]],FME_Input[FME_ID],FME_Input[FARMACRE100])</f>
        <v>251436.96875</v>
      </c>
      <c r="AE14" s="230">
        <f>(FME_Ranking1[[#This Row],[Ag Land Raw]]/$AD$2)*100</f>
        <v>10.368135032731727</v>
      </c>
      <c r="AF14" s="231">
        <f>FME_Ranking1[[#This Row],[Ag Land Score (Normalized, Unweighted)]]*$AD$3</f>
        <v>0.51840675163658634</v>
      </c>
      <c r="AG1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28.546495635524984</v>
      </c>
      <c r="AH14" s="406">
        <f t="shared" si="0"/>
        <v>5</v>
      </c>
      <c r="AI1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28.546495635524984</v>
      </c>
      <c r="AJ14" s="257">
        <f>FME_Ranking1[[#This Row],[Addition check]]-FME_Ranking1[[#This Row],[Weighted Score Based on Normalized Reported Factors]]</f>
        <v>0</v>
      </c>
      <c r="AK14" s="178">
        <f>_xlfn.RANK.EQ(AI14,$AI$6:$AI$2341,0)+COUNTIF($AI$6:AI14,AI14)-1</f>
        <v>9</v>
      </c>
    </row>
    <row r="15" spans="1:37" ht="12" customHeight="1" x14ac:dyDescent="0.25">
      <c r="A15" t="s">
        <v>10866</v>
      </c>
      <c r="B15">
        <f>_xlfn.XLOOKUP(FME_Ranking1[[#This Row],[FME ID]],FME_Input[FME_ID],FME_Input[RFPG_NUM])</f>
        <v>13</v>
      </c>
      <c r="C15" t="str">
        <f>_xlfn.XLOOKUP(FME_Ranking1[[#This Row],[FME ID]],FME_Input[FME_ID],FME_Input[FME_NAME])</f>
        <v>Nueces Basin Floodplain Map Updates</v>
      </c>
      <c r="D15" t="str">
        <f>_xlfn.XLOOKUP(FME_Ranking1[[#This Row],[FME ID]],FME_Input[FME_ID],FME_Input[DESCR])</f>
        <v xml:space="preserve">Develop floodplain maps to NFHL level for HUC 12 watershed areas that have a high flood risk (risk score &gt; 3.0 per the Regional Flood Plan) but do not currently have accurate mapping.  Accurate mapping is defined as NFHL level accuracy. </v>
      </c>
      <c r="E15" s="256">
        <f>_xlfn.XLOOKUP(FME_Ranking1[[#This Row],[FME ID]],FME_Input[FME_ID],FME_Input[FME_COST])</f>
        <v>51628000</v>
      </c>
      <c r="F15" t="str">
        <f>_xlfn.XLOOKUP(FME_Ranking1[[#This Row],[FME ID]],FME_Input[FME_ID],FME_Input[EMER_NEED])</f>
        <v>No</v>
      </c>
      <c r="G15">
        <f>IF(FME_Ranking!F15="Yes",100,0)</f>
        <v>0</v>
      </c>
      <c r="H15">
        <f>FME_Ranking1[[#This Row],[Emergency Need Score (Normalized, Unweighted)]]*$F$3</f>
        <v>0</v>
      </c>
      <c r="I15" s="246">
        <f>_xlfn.XLOOKUP(FME_Ranking1[[#This Row],[FME ID]],FME_Input[FME_ID],FME_Input[STRUCT_100])</f>
        <v>60967</v>
      </c>
      <c r="J15" s="178">
        <f>(FME_Ranking1[[#This Row],[Structures 100 Raw]]/I$2)*100</f>
        <v>32.647367519170629</v>
      </c>
      <c r="K15" s="178">
        <f>FME_Ranking1[[#This Row],[Structures 100  Score (Normalized, Unweighted)]]*$I$3</f>
        <v>4.8971051278755944</v>
      </c>
      <c r="L15" s="246">
        <f>_xlfn.XLOOKUP(FME_Ranking1[[#This Row],[FME ID]],FME_Input[FME_ID],FME_Input[RES_STRUCT100])</f>
        <v>42976</v>
      </c>
      <c r="M15" s="230">
        <f>(FME_Ranking1[[#This Row],[Res Structures Raw]]/L$2)*100</f>
        <v>30.440141094473798</v>
      </c>
      <c r="N15" s="180">
        <f>FME_Ranking1[[#This Row],[Res Structures Score (Normalized, Unweighted)]]*$L$3</f>
        <v>3.0440141094473798</v>
      </c>
      <c r="O15" s="244">
        <f>_xlfn.XLOOKUP(FME_Ranking1[[#This Row],[FME ID]],FME_Input[FME_ID],FME_Input[POP100])</f>
        <v>136543</v>
      </c>
      <c r="P15" s="178">
        <f>(FME_Ranking1[[#This Row],[Pop Raw]]/$O$2)*100</f>
        <v>13.978632224881704</v>
      </c>
      <c r="Q15" s="178">
        <f>FME_Ranking1[[#This Row],[Pop Score (Normalized, Unweighted)]]*$O$3</f>
        <v>2.0967948337322553</v>
      </c>
      <c r="R15" s="137">
        <f>_xlfn.XLOOKUP(FME_Ranking1[[#This Row],[FME ID]],FME_Input[FME_ID],FME_Input[CRITFAC100])</f>
        <v>445</v>
      </c>
      <c r="S15" s="230">
        <f>(FME_Ranking1[[#This Row],[Critical Facilities Raw]]/$R$2)*100</f>
        <v>19.082332761578044</v>
      </c>
      <c r="T15" s="180">
        <f>FME_Ranking1[[#This Row],[Critical Facilities Score (Normalized, Unweighted)]]*$R$3</f>
        <v>3.8164665523156089</v>
      </c>
      <c r="U15">
        <f>_xlfn.XLOOKUP(FME_Ranking1[[#This Row],[FME ID]],FME_Input[FME_ID],FME_Input[LWC])</f>
        <v>526</v>
      </c>
      <c r="V15" s="178">
        <f>(FME_Ranking1[[#This Row],[LWC Raw]]/$U$2)*100</f>
        <v>30.282095567069661</v>
      </c>
      <c r="W15" s="178">
        <f>FME_Ranking1[[#This Row],[LWC Score (Normalized, Unweighted)]]*$U$3</f>
        <v>6.0564191134139325</v>
      </c>
      <c r="X15" s="246">
        <f>_xlfn.XLOOKUP(FME_Ranking1[[#This Row],[FME ID]],FME_Input[FME_ID],FME_Input[ROADCLS])</f>
        <v>4499</v>
      </c>
      <c r="Y15" s="230">
        <f>(FME_Ranking1[[#This Row],[Closures Raw]]/$X$2)*100</f>
        <v>47.303122700031544</v>
      </c>
      <c r="Z15" s="180">
        <f>FME_Ranking1[[#This Row],[Closures Score (Normalized, Unweighted)]]*$X$3</f>
        <v>2.3651561350015773</v>
      </c>
      <c r="AA15" s="253">
        <f>_xlfn.XLOOKUP(FME_Ranking1[[#This Row],[FME ID]],FME_Input[FME_ID],FME_Input[ROAD_MILES100])</f>
        <v>3214.530517578125</v>
      </c>
      <c r="AB15" s="178">
        <f>(FME_Ranking1[[#This Row],[Miles Raw]]/$AA$2)*100</f>
        <v>42.265310775000096</v>
      </c>
      <c r="AC15" s="178">
        <f>FME_Ranking1[[#This Row],[Miles Score (Normalized, Unweighted)]]*$AA$3</f>
        <v>4.2265310775000096</v>
      </c>
      <c r="AD15" s="255">
        <f>_xlfn.XLOOKUP(FME_Ranking1[[#This Row],[FME ID]],FME_Input[FME_ID],FME_Input[FARMACRE100])</f>
        <v>251436.96875</v>
      </c>
      <c r="AE15" s="230">
        <f>(FME_Ranking1[[#This Row],[Ag Land Raw]]/$AD$2)*100</f>
        <v>10.368135032731727</v>
      </c>
      <c r="AF15" s="231">
        <f>FME_Ranking1[[#This Row],[Ag Land Score (Normalized, Unweighted)]]*$AD$3</f>
        <v>0.51840675163658634</v>
      </c>
      <c r="AG1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27.020893700922944</v>
      </c>
      <c r="AH15" s="406">
        <f t="shared" si="0"/>
        <v>10</v>
      </c>
      <c r="AI1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27.020893700922944</v>
      </c>
      <c r="AJ15" s="257">
        <f>FME_Ranking1[[#This Row],[Addition check]]-FME_Ranking1[[#This Row],[Weighted Score Based on Normalized Reported Factors]]</f>
        <v>0</v>
      </c>
      <c r="AK15" s="178">
        <f>_xlfn.RANK.EQ(AI15,$AI$6:$AI$2341,0)+COUNTIF($AI$6:AI15,AI15)-1</f>
        <v>10</v>
      </c>
    </row>
    <row r="16" spans="1:37" ht="12" customHeight="1" x14ac:dyDescent="0.25">
      <c r="A16" t="s">
        <v>2194</v>
      </c>
      <c r="B16">
        <f>_xlfn.XLOOKUP(FME_Ranking1[[#This Row],[FME ID]],FME_Input[FME_ID],FME_Input[RFPG_NUM])</f>
        <v>6</v>
      </c>
      <c r="C16" t="str">
        <f>_xlfn.XLOOKUP(FME_Ranking1[[#This Row],[FME ID]],FME_Input[FME_ID],FME_Input[FME_NAME])</f>
        <v>Greens Bayou, Jackson Bayou, White Oak Bayou, Cypress Creek and San Jacinto River Areas Subdivision Drainage Mitigation Project</v>
      </c>
      <c r="D16" t="str">
        <f>_xlfn.XLOOKUP(FME_Ranking1[[#This Row],[FME ID]],FME_Input[FME_ID],FME_Input[DESCR])</f>
        <v>This proposed solution recommends establishing positive drainage and clear flow lines, which are expected to reduce the water surface elevation in the subdivision to mitigate the structural flood risk for all 1,445 beneficiaries.</v>
      </c>
      <c r="E16" s="256">
        <f>_xlfn.XLOOKUP(FME_Ranking1[[#This Row],[FME ID]],FME_Input[FME_ID],FME_Input[FME_COST])</f>
        <v>30000</v>
      </c>
      <c r="F16" t="str">
        <f>_xlfn.XLOOKUP(FME_Ranking1[[#This Row],[FME ID]],FME_Input[FME_ID],FME_Input[EMER_NEED])</f>
        <v>No</v>
      </c>
      <c r="G16">
        <f>IF(FME_Ranking!F16="Yes",100,0)</f>
        <v>0</v>
      </c>
      <c r="H16">
        <f>FME_Ranking1[[#This Row],[Emergency Need Score (Normalized, Unweighted)]]*$F$3</f>
        <v>0</v>
      </c>
      <c r="I16" s="246">
        <f>_xlfn.XLOOKUP(FME_Ranking1[[#This Row],[FME ID]],FME_Input[FME_ID],FME_Input[STRUCT_100])</f>
        <v>53765</v>
      </c>
      <c r="J16" s="178">
        <f>(FME_Ranking1[[#This Row],[Structures 100 Raw]]/I$2)*100</f>
        <v>28.790750974596239</v>
      </c>
      <c r="K16" s="178">
        <f>FME_Ranking1[[#This Row],[Structures 100  Score (Normalized, Unweighted)]]*$I$3</f>
        <v>4.3186126461894361</v>
      </c>
      <c r="L16" s="246">
        <f>_xlfn.XLOOKUP(FME_Ranking1[[#This Row],[FME ID]],FME_Input[FME_ID],FME_Input[RES_STRUCT100])</f>
        <v>42231</v>
      </c>
      <c r="M16" s="230">
        <f>(FME_Ranking1[[#This Row],[Res Structures Raw]]/L$2)*100</f>
        <v>29.912453428907366</v>
      </c>
      <c r="N16" s="180">
        <f>FME_Ranking1[[#This Row],[Res Structures Score (Normalized, Unweighted)]]*$L$3</f>
        <v>2.9912453428907368</v>
      </c>
      <c r="O16" s="244">
        <f>_xlfn.XLOOKUP(FME_Ranking1[[#This Row],[FME ID]],FME_Input[FME_ID],FME_Input[POP100])</f>
        <v>335950</v>
      </c>
      <c r="P16" s="178">
        <f>(FME_Ranking1[[#This Row],[Pop Raw]]/$O$2)*100</f>
        <v>34.392986062625027</v>
      </c>
      <c r="Q16" s="178">
        <f>FME_Ranking1[[#This Row],[Pop Score (Normalized, Unweighted)]]*$O$3</f>
        <v>5.1589479093937536</v>
      </c>
      <c r="R16" s="137">
        <f>_xlfn.XLOOKUP(FME_Ranking1[[#This Row],[FME ID]],FME_Input[FME_ID],FME_Input[CRITFAC100])</f>
        <v>937</v>
      </c>
      <c r="S16" s="230">
        <f>(FME_Ranking1[[#This Row],[Critical Facilities Raw]]/$R$2)*100</f>
        <v>40.18010291595197</v>
      </c>
      <c r="T16" s="180">
        <f>FME_Ranking1[[#This Row],[Critical Facilities Score (Normalized, Unweighted)]]*$R$3</f>
        <v>8.0360205831903944</v>
      </c>
      <c r="U16">
        <f>_xlfn.XLOOKUP(FME_Ranking1[[#This Row],[FME ID]],FME_Input[FME_ID],FME_Input[LWC])</f>
        <v>47</v>
      </c>
      <c r="V16" s="178">
        <f>(FME_Ranking1[[#This Row],[LWC Raw]]/$U$2)*100</f>
        <v>2.7058146229130684</v>
      </c>
      <c r="W16" s="178">
        <f>FME_Ranking1[[#This Row],[LWC Score (Normalized, Unweighted)]]*$U$3</f>
        <v>0.54116292458261372</v>
      </c>
      <c r="X16" s="246">
        <f>_xlfn.XLOOKUP(FME_Ranking1[[#This Row],[FME ID]],FME_Input[FME_ID],FME_Input[ROADCLS])</f>
        <v>47</v>
      </c>
      <c r="Y16" s="230">
        <f>(FME_Ranking1[[#This Row],[Closures Raw]]/$X$2)*100</f>
        <v>0.49416465145620858</v>
      </c>
      <c r="Z16" s="180">
        <f>FME_Ranking1[[#This Row],[Closures Score (Normalized, Unweighted)]]*$X$3</f>
        <v>2.4708232572810431E-2</v>
      </c>
      <c r="AA16" s="253">
        <f>_xlfn.XLOOKUP(FME_Ranking1[[#This Row],[FME ID]],FME_Input[FME_ID],FME_Input[ROAD_MILES100])</f>
        <v>1051.7412109375</v>
      </c>
      <c r="AB16" s="178">
        <f>(FME_Ranking1[[#This Row],[Miles Raw]]/$AA$2)*100</f>
        <v>13.828510537407897</v>
      </c>
      <c r="AC16" s="178">
        <f>FME_Ranking1[[#This Row],[Miles Score (Normalized, Unweighted)]]*$AA$3</f>
        <v>1.3828510537407899</v>
      </c>
      <c r="AD16" s="255">
        <f>_xlfn.XLOOKUP(FME_Ranking1[[#This Row],[FME ID]],FME_Input[FME_ID],FME_Input[FARMACRE100])</f>
        <v>2742.036865234375</v>
      </c>
      <c r="AE16" s="230">
        <f>(FME_Ranking1[[#This Row],[Ag Land Raw]]/$AD$2)*100</f>
        <v>0.1130693255841218</v>
      </c>
      <c r="AF16" s="231">
        <f>FME_Ranking1[[#This Row],[Ag Land Score (Normalized, Unweighted)]]*$AD$3</f>
        <v>5.6534662792060908E-3</v>
      </c>
      <c r="AG1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22.459202158839744</v>
      </c>
      <c r="AH16" s="406">
        <f t="shared" si="0"/>
        <v>11</v>
      </c>
      <c r="AI1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22.459202158839744</v>
      </c>
      <c r="AJ16" s="257">
        <f>FME_Ranking1[[#This Row],[Addition check]]-FME_Ranking1[[#This Row],[Weighted Score Based on Normalized Reported Factors]]</f>
        <v>0</v>
      </c>
      <c r="AK16" s="178">
        <f>_xlfn.RANK.EQ(AI16,$AI$6:$AI$2341,0)+COUNTIF($AI$6:AI16,AI16)-1</f>
        <v>11</v>
      </c>
    </row>
    <row r="17" spans="1:37" ht="12" customHeight="1" x14ac:dyDescent="0.25">
      <c r="A17" t="s">
        <v>2786</v>
      </c>
      <c r="B17">
        <f>_xlfn.XLOOKUP(FME_Ranking1[[#This Row],[FME ID]],FME_Input[FME_ID],FME_Input[RFPG_NUM])</f>
        <v>1</v>
      </c>
      <c r="C17" t="str">
        <f>_xlfn.XLOOKUP(FME_Ranking1[[#This Row],[FME ID]],FME_Input[FME_ID],FME_Input[FME_NAME])</f>
        <v xml:space="preserve">Region-Wide Dam Safety </v>
      </c>
      <c r="D17" t="str">
        <f>_xlfn.XLOOKUP(FME_Ranking1[[#This Row],[FME ID]],FME_Input[FME_ID],FME_Input[DESCR])</f>
        <v>Coordinate region-wide investigation into current dam safety status; selected based on stakeholder feedback</v>
      </c>
      <c r="E17" s="256">
        <f>_xlfn.XLOOKUP(FME_Ranking1[[#This Row],[FME ID]],FME_Input[FME_ID],FME_Input[FME_COST])</f>
        <v>1718000</v>
      </c>
      <c r="F17" t="str">
        <f>_xlfn.XLOOKUP(FME_Ranking1[[#This Row],[FME ID]],FME_Input[FME_ID],FME_Input[EMER_NEED])</f>
        <v>No</v>
      </c>
      <c r="G17">
        <f>IF(FME_Ranking!F17="Yes",100,0)</f>
        <v>0</v>
      </c>
      <c r="H17">
        <f>FME_Ranking1[[#This Row],[Emergency Need Score (Normalized, Unweighted)]]*$F$3</f>
        <v>0</v>
      </c>
      <c r="I17" s="246">
        <f>_xlfn.XLOOKUP(FME_Ranking1[[#This Row],[FME ID]],FME_Input[FME_ID],FME_Input[STRUCT_100])</f>
        <v>11544</v>
      </c>
      <c r="J17" s="178">
        <f>(FME_Ranking1[[#This Row],[Structures 100 Raw]]/I$2)*100</f>
        <v>6.1817247140470375</v>
      </c>
      <c r="K17" s="178">
        <f>FME_Ranking1[[#This Row],[Structures 100  Score (Normalized, Unweighted)]]*$I$3</f>
        <v>0.9272587071070556</v>
      </c>
      <c r="L17" s="246">
        <f>_xlfn.XLOOKUP(FME_Ranking1[[#This Row],[FME ID]],FME_Input[FME_ID],FME_Input[RES_STRUCT100])</f>
        <v>6885</v>
      </c>
      <c r="M17" s="230">
        <f>(FME_Ranking1[[#This Row],[Res Structures Raw]]/L$2)*100</f>
        <v>4.876683996543469</v>
      </c>
      <c r="N17" s="180">
        <f>FME_Ranking1[[#This Row],[Res Structures Score (Normalized, Unweighted)]]*$L$3</f>
        <v>0.48766839965434694</v>
      </c>
      <c r="O17" s="244">
        <f>_xlfn.XLOOKUP(FME_Ranking1[[#This Row],[FME ID]],FME_Input[FME_ID],FME_Input[POP100])</f>
        <v>41795</v>
      </c>
      <c r="P17" s="178">
        <f>(FME_Ranking1[[#This Row],[Pop Raw]]/$O$2)*100</f>
        <v>4.2787761645703615</v>
      </c>
      <c r="Q17" s="178">
        <f>FME_Ranking1[[#This Row],[Pop Score (Normalized, Unweighted)]]*$O$3</f>
        <v>0.64181642468555422</v>
      </c>
      <c r="R17" s="137">
        <f>_xlfn.XLOOKUP(FME_Ranking1[[#This Row],[FME ID]],FME_Input[FME_ID],FME_Input[CRITFAC100])</f>
        <v>160</v>
      </c>
      <c r="S17" s="230">
        <f>(FME_Ranking1[[#This Row],[Critical Facilities Raw]]/$R$2)*100</f>
        <v>6.8610634648370503</v>
      </c>
      <c r="T17" s="180">
        <f>FME_Ranking1[[#This Row],[Critical Facilities Score (Normalized, Unweighted)]]*$R$3</f>
        <v>1.3722126929674101</v>
      </c>
      <c r="U17">
        <f>_xlfn.XLOOKUP(FME_Ranking1[[#This Row],[FME ID]],FME_Input[FME_ID],FME_Input[LWC])</f>
        <v>791</v>
      </c>
      <c r="V17" s="178">
        <f>(FME_Ranking1[[#This Row],[LWC Raw]]/$U$2)*100</f>
        <v>45.538284398388022</v>
      </c>
      <c r="W17" s="178">
        <f>FME_Ranking1[[#This Row],[LWC Score (Normalized, Unweighted)]]*$U$3</f>
        <v>9.1076568796776041</v>
      </c>
      <c r="X17" s="246">
        <f>_xlfn.XLOOKUP(FME_Ranking1[[#This Row],[FME ID]],FME_Input[FME_ID],FME_Input[ROADCLS])</f>
        <v>1250</v>
      </c>
      <c r="Y17" s="230">
        <f>(FME_Ranking1[[#This Row],[Closures Raw]]/$X$2)*100</f>
        <v>13.142676900431081</v>
      </c>
      <c r="Z17" s="180">
        <f>FME_Ranking1[[#This Row],[Closures Score (Normalized, Unweighted)]]*$X$3</f>
        <v>0.65713384502155403</v>
      </c>
      <c r="AA17" s="253">
        <f>_xlfn.XLOOKUP(FME_Ranking1[[#This Row],[FME ID]],FME_Input[FME_ID],FME_Input[ROAD_MILES100])</f>
        <v>2299.421630859375</v>
      </c>
      <c r="AB17" s="178">
        <f>(FME_Ranking1[[#This Row],[Miles Raw]]/$AA$2)*100</f>
        <v>30.233270239490601</v>
      </c>
      <c r="AC17" s="178">
        <f>FME_Ranking1[[#This Row],[Miles Score (Normalized, Unweighted)]]*$AA$3</f>
        <v>3.0233270239490602</v>
      </c>
      <c r="AD17" s="255">
        <f>_xlfn.XLOOKUP(FME_Ranking1[[#This Row],[FME ID]],FME_Input[FME_ID],FME_Input[FARMACRE100])</f>
        <v>2425093.5</v>
      </c>
      <c r="AE17" s="230">
        <f>(FME_Ranking1[[#This Row],[Ag Land Raw]]/$AD$2)*100</f>
        <v>100</v>
      </c>
      <c r="AF17" s="231">
        <f>FME_Ranking1[[#This Row],[Ag Land Score (Normalized, Unweighted)]]*$AD$3</f>
        <v>5</v>
      </c>
      <c r="AG1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21.217073973062586</v>
      </c>
      <c r="AH17" s="406">
        <f t="shared" si="0"/>
        <v>12</v>
      </c>
      <c r="AI1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21.217073973062586</v>
      </c>
      <c r="AJ17" s="257">
        <f>FME_Ranking1[[#This Row],[Addition check]]-FME_Ranking1[[#This Row],[Weighted Score Based on Normalized Reported Factors]]</f>
        <v>0</v>
      </c>
      <c r="AK17" s="178">
        <f>_xlfn.RANK.EQ(AI17,$AI$6:$AI$2341,0)+COUNTIF($AI$6:AI17,AI17)-1</f>
        <v>12</v>
      </c>
    </row>
    <row r="18" spans="1:37" ht="12" customHeight="1" x14ac:dyDescent="0.25">
      <c r="A18" t="s">
        <v>1371</v>
      </c>
      <c r="B18">
        <f>_xlfn.XLOOKUP(FME_Ranking1[[#This Row],[FME ID]],FME_Input[FME_ID],FME_Input[RFPG_NUM])</f>
        <v>6</v>
      </c>
      <c r="C18" t="str">
        <f>_xlfn.XLOOKUP(FME_Ranking1[[#This Row],[FME ID]],FME_Input[FME_ID],FME_Input[FME_NAME])</f>
        <v>Brays Bayou Watershed Study</v>
      </c>
      <c r="D18" t="str">
        <f>_xlfn.XLOOKUP(FME_Ranking1[[#This Row],[FME ID]],FME_Input[FME_ID],FME_Input[DESCR])</f>
        <v>Watershed wide study using latest data, including MAAPnext models and Atlas 14 rainfall. Study to identify flooding issues within watershed, identify projects to reduce flooding, and provide cost estimates and benefit and cost metrics for each project.</v>
      </c>
      <c r="E18" s="256">
        <f>_xlfn.XLOOKUP(FME_Ranking1[[#This Row],[FME ID]],FME_Input[FME_ID],FME_Input[FME_COST])</f>
        <v>620000</v>
      </c>
      <c r="F18" t="str">
        <f>_xlfn.XLOOKUP(FME_Ranking1[[#This Row],[FME ID]],FME_Input[FME_ID],FME_Input[EMER_NEED])</f>
        <v>Yes</v>
      </c>
      <c r="G18">
        <f>IF(FME_Ranking!F18="Yes",100,0)</f>
        <v>100</v>
      </c>
      <c r="H18">
        <f>FME_Ranking1[[#This Row],[Emergency Need Score (Normalized, Unweighted)]]*$F$3</f>
        <v>0</v>
      </c>
      <c r="I18" s="246">
        <f>_xlfn.XLOOKUP(FME_Ranking1[[#This Row],[FME ID]],FME_Input[FME_ID],FME_Input[STRUCT_100])</f>
        <v>40950</v>
      </c>
      <c r="J18" s="178">
        <f>(FME_Ranking1[[#This Row],[Structures 100 Raw]]/I$2)*100</f>
        <v>21.928415370774964</v>
      </c>
      <c r="K18" s="178">
        <f>FME_Ranking1[[#This Row],[Structures 100  Score (Normalized, Unweighted)]]*$I$3</f>
        <v>3.2892623056162447</v>
      </c>
      <c r="L18" s="246">
        <f>_xlfn.XLOOKUP(FME_Ranking1[[#This Row],[FME ID]],FME_Input[FME_ID],FME_Input[RES_STRUCT100])</f>
        <v>37646</v>
      </c>
      <c r="M18" s="230">
        <f>(FME_Ranking1[[#This Row],[Res Structures Raw]]/L$2)*100</f>
        <v>26.66487229250188</v>
      </c>
      <c r="N18" s="180">
        <f>FME_Ranking1[[#This Row],[Res Structures Score (Normalized, Unweighted)]]*$L$3</f>
        <v>2.6664872292501882</v>
      </c>
      <c r="O18" s="244">
        <f>_xlfn.XLOOKUP(FME_Ranking1[[#This Row],[FME ID]],FME_Input[FME_ID],FME_Input[POP100])</f>
        <v>361848</v>
      </c>
      <c r="P18" s="178">
        <f>(FME_Ranking1[[#This Row],[Pop Raw]]/$O$2)*100</f>
        <v>37.04430189251002</v>
      </c>
      <c r="Q18" s="178">
        <f>FME_Ranking1[[#This Row],[Pop Score (Normalized, Unweighted)]]*$O$3</f>
        <v>5.5566452838765032</v>
      </c>
      <c r="R18" s="137">
        <f>_xlfn.XLOOKUP(FME_Ranking1[[#This Row],[FME ID]],FME_Input[FME_ID],FME_Input[CRITFAC100])</f>
        <v>594</v>
      </c>
      <c r="S18" s="230">
        <f>(FME_Ranking1[[#This Row],[Critical Facilities Raw]]/$R$2)*100</f>
        <v>25.471698113207548</v>
      </c>
      <c r="T18" s="180">
        <f>FME_Ranking1[[#This Row],[Critical Facilities Score (Normalized, Unweighted)]]*$R$3</f>
        <v>5.0943396226415096</v>
      </c>
      <c r="U18">
        <f>_xlfn.XLOOKUP(FME_Ranking1[[#This Row],[FME ID]],FME_Input[FME_ID],FME_Input[LWC])</f>
        <v>2</v>
      </c>
      <c r="V18" s="178">
        <f>(FME_Ranking1[[#This Row],[LWC Raw]]/$U$2)*100</f>
        <v>0.11514104778353484</v>
      </c>
      <c r="W18" s="178">
        <f>FME_Ranking1[[#This Row],[LWC Score (Normalized, Unweighted)]]*$U$3</f>
        <v>2.302820955670697E-2</v>
      </c>
      <c r="X18" s="246">
        <f>_xlfn.XLOOKUP(FME_Ranking1[[#This Row],[FME ID]],FME_Input[FME_ID],FME_Input[ROADCLS])</f>
        <v>2</v>
      </c>
      <c r="Y18" s="230">
        <f>(FME_Ranking1[[#This Row],[Closures Raw]]/$X$2)*100</f>
        <v>2.1028283040689728E-2</v>
      </c>
      <c r="Z18" s="180">
        <f>FME_Ranking1[[#This Row],[Closures Score (Normalized, Unweighted)]]*$X$3</f>
        <v>1.0514141520344864E-3</v>
      </c>
      <c r="AA18" s="253">
        <f>_xlfn.XLOOKUP(FME_Ranking1[[#This Row],[FME ID]],FME_Input[FME_ID],FME_Input[ROAD_MILES100])</f>
        <v>537.13714599609375</v>
      </c>
      <c r="AB18" s="178">
        <f>(FME_Ranking1[[#This Row],[Miles Raw]]/$AA$2)*100</f>
        <v>7.0623900691494228</v>
      </c>
      <c r="AC18" s="178">
        <f>FME_Ranking1[[#This Row],[Miles Score (Normalized, Unweighted)]]*$AA$3</f>
        <v>0.70623900691494235</v>
      </c>
      <c r="AD18" s="255">
        <f>_xlfn.XLOOKUP(FME_Ranking1[[#This Row],[FME ID]],FME_Input[FME_ID],FME_Input[FARMACRE100])</f>
        <v>45.186000823974609</v>
      </c>
      <c r="AE18" s="230">
        <f>(FME_Ranking1[[#This Row],[Ag Land Raw]]/$AD$2)*100</f>
        <v>1.8632683986813132E-3</v>
      </c>
      <c r="AF18" s="231">
        <f>FME_Ranking1[[#This Row],[Ag Land Score (Normalized, Unweighted)]]*$AD$3</f>
        <v>9.3163419934065659E-5</v>
      </c>
      <c r="AG1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17.337146235428062</v>
      </c>
      <c r="AH18" s="406">
        <f t="shared" si="0"/>
        <v>15</v>
      </c>
      <c r="AI1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17.337146235428062</v>
      </c>
      <c r="AJ18" s="257">
        <f>FME_Ranking1[[#This Row],[Addition check]]-FME_Ranking1[[#This Row],[Weighted Score Based on Normalized Reported Factors]]</f>
        <v>0</v>
      </c>
      <c r="AK18" s="178">
        <f>_xlfn.RANK.EQ(AI18,$AI$6:$AI$2341,0)+COUNTIF($AI$6:AI18,AI18)-1</f>
        <v>15</v>
      </c>
    </row>
    <row r="19" spans="1:37" ht="12" customHeight="1" x14ac:dyDescent="0.25">
      <c r="A19" t="s">
        <v>1119</v>
      </c>
      <c r="B19">
        <f>_xlfn.XLOOKUP(FME_Ranking1[[#This Row],[FME ID]],FME_Input[FME_ID],FME_Input[RFPG_NUM])</f>
        <v>6</v>
      </c>
      <c r="C19" t="str">
        <f>_xlfn.XLOOKUP(FME_Ranking1[[#This Row],[FME ID]],FME_Input[FME_ID],FME_Input[FME_NAME])</f>
        <v>Study of Texas City Hurricane Flood Protection Project</v>
      </c>
      <c r="D19" t="str">
        <f>_xlfn.XLOOKUP(FME_Ranking1[[#This Row],[FME ID]],FME_Input[FME_ID],FME_Input[DESCR])</f>
        <v>Corp of Engineers study of the Texas City Hurricane Flood Protection Project to improve the current levee system to provide protection from category 5 storm.</v>
      </c>
      <c r="E19" s="256">
        <f>_xlfn.XLOOKUP(FME_Ranking1[[#This Row],[FME ID]],FME_Input[FME_ID],FME_Input[FME_COST])</f>
        <v>1590000</v>
      </c>
      <c r="F19" t="str">
        <f>_xlfn.XLOOKUP(FME_Ranking1[[#This Row],[FME ID]],FME_Input[FME_ID],FME_Input[EMER_NEED])</f>
        <v>No</v>
      </c>
      <c r="G19">
        <f>IF(FME_Ranking!F19="Yes",100,0)</f>
        <v>0</v>
      </c>
      <c r="H19">
        <f>FME_Ranking1[[#This Row],[Emergency Need Score (Normalized, Unweighted)]]*$F$3</f>
        <v>0</v>
      </c>
      <c r="I19" s="246">
        <f>_xlfn.XLOOKUP(FME_Ranking1[[#This Row],[FME ID]],FME_Input[FME_ID],FME_Input[STRUCT_100])</f>
        <v>48570</v>
      </c>
      <c r="J19" s="178">
        <f>(FME_Ranking1[[#This Row],[Structures 100 Raw]]/I$2)*100</f>
        <v>26.008867754787303</v>
      </c>
      <c r="K19" s="178">
        <f>FME_Ranking1[[#This Row],[Structures 100  Score (Normalized, Unweighted)]]*$I$3</f>
        <v>3.9013301632180952</v>
      </c>
      <c r="L19" s="246">
        <f>_xlfn.XLOOKUP(FME_Ranking1[[#This Row],[FME ID]],FME_Input[FME_ID],FME_Input[RES_STRUCT100])</f>
        <v>42185</v>
      </c>
      <c r="M19" s="230">
        <f>(FME_Ranking1[[#This Row],[Res Structures Raw]]/L$2)*100</f>
        <v>29.87987137170461</v>
      </c>
      <c r="N19" s="180">
        <f>FME_Ranking1[[#This Row],[Res Structures Score (Normalized, Unweighted)]]*$L$3</f>
        <v>2.9879871371704612</v>
      </c>
      <c r="O19" s="244">
        <f>_xlfn.XLOOKUP(FME_Ranking1[[#This Row],[FME ID]],FME_Input[FME_ID],FME_Input[POP100])</f>
        <v>171395</v>
      </c>
      <c r="P19" s="178">
        <f>(FME_Ranking1[[#This Row],[Pop Raw]]/$O$2)*100</f>
        <v>17.546616598314081</v>
      </c>
      <c r="Q19" s="178">
        <f>FME_Ranking1[[#This Row],[Pop Score (Normalized, Unweighted)]]*$O$3</f>
        <v>2.6319924897471121</v>
      </c>
      <c r="R19" s="137">
        <f>_xlfn.XLOOKUP(FME_Ranking1[[#This Row],[FME ID]],FME_Input[FME_ID],FME_Input[CRITFAC100])</f>
        <v>681</v>
      </c>
      <c r="S19" s="230">
        <f>(FME_Ranking1[[#This Row],[Critical Facilities Raw]]/$R$2)*100</f>
        <v>29.202401372212694</v>
      </c>
      <c r="T19" s="180">
        <f>FME_Ranking1[[#This Row],[Critical Facilities Score (Normalized, Unweighted)]]*$R$3</f>
        <v>5.8404802744425393</v>
      </c>
      <c r="U19">
        <f>_xlfn.XLOOKUP(FME_Ranking1[[#This Row],[FME ID]],FME_Input[FME_ID],FME_Input[LWC])</f>
        <v>30</v>
      </c>
      <c r="V19" s="178">
        <f>(FME_Ranking1[[#This Row],[LWC Raw]]/$U$2)*100</f>
        <v>1.7271157167530224</v>
      </c>
      <c r="W19" s="178">
        <f>FME_Ranking1[[#This Row],[LWC Score (Normalized, Unweighted)]]*$U$3</f>
        <v>0.34542314335060453</v>
      </c>
      <c r="X19" s="246">
        <f>_xlfn.XLOOKUP(FME_Ranking1[[#This Row],[FME ID]],FME_Input[FME_ID],FME_Input[ROADCLS])</f>
        <v>30</v>
      </c>
      <c r="Y19" s="230">
        <f>(FME_Ranking1[[#This Row],[Closures Raw]]/$X$2)*100</f>
        <v>0.31542424561034593</v>
      </c>
      <c r="Z19" s="180">
        <f>FME_Ranking1[[#This Row],[Closures Score (Normalized, Unweighted)]]*$X$3</f>
        <v>1.5771212280517297E-2</v>
      </c>
      <c r="AA19" s="253">
        <f>_xlfn.XLOOKUP(FME_Ranking1[[#This Row],[FME ID]],FME_Input[FME_ID],FME_Input[ROAD_MILES100])</f>
        <v>910.35089111328125</v>
      </c>
      <c r="AB19" s="178">
        <f>(FME_Ranking1[[#This Row],[Miles Raw]]/$AA$2)*100</f>
        <v>11.969481427163334</v>
      </c>
      <c r="AC19" s="178">
        <f>FME_Ranking1[[#This Row],[Miles Score (Normalized, Unweighted)]]*$AA$3</f>
        <v>1.1969481427163335</v>
      </c>
      <c r="AD19" s="255">
        <f>_xlfn.XLOOKUP(FME_Ranking1[[#This Row],[FME ID]],FME_Input[FME_ID],FME_Input[FARMACRE100])</f>
        <v>3412.02490234375</v>
      </c>
      <c r="AE19" s="230">
        <f>(FME_Ranking1[[#This Row],[Ag Land Raw]]/$AD$2)*100</f>
        <v>0.14069663303059243</v>
      </c>
      <c r="AF19" s="231">
        <f>FME_Ranking1[[#This Row],[Ag Land Score (Normalized, Unweighted)]]*$AD$3</f>
        <v>7.034831651529622E-3</v>
      </c>
      <c r="AG1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16.926967394577193</v>
      </c>
      <c r="AH19" s="406">
        <f t="shared" si="0"/>
        <v>16</v>
      </c>
      <c r="AI1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16.926967394577193</v>
      </c>
      <c r="AJ19" s="257">
        <f>FME_Ranking1[[#This Row],[Addition check]]-FME_Ranking1[[#This Row],[Weighted Score Based on Normalized Reported Factors]]</f>
        <v>0</v>
      </c>
      <c r="AK19" s="178">
        <f>_xlfn.RANK.EQ(AI19,$AI$6:$AI$2341,0)+COUNTIF($AI$6:AI19,AI19)-1</f>
        <v>16</v>
      </c>
    </row>
    <row r="20" spans="1:37" ht="12" customHeight="1" x14ac:dyDescent="0.25">
      <c r="A20" t="s">
        <v>1139</v>
      </c>
      <c r="B20">
        <f>_xlfn.XLOOKUP(FME_Ranking1[[#This Row],[FME ID]],FME_Input[FME_ID],FME_Input[RFPG_NUM])</f>
        <v>6</v>
      </c>
      <c r="C20" t="str">
        <f>_xlfn.XLOOKUP(FME_Ranking1[[#This Row],[FME ID]],FME_Input[FME_ID],FME_Input[FME_NAME])</f>
        <v>Storm water detention ponds &amp; Widening of drainage systems feasibility study</v>
      </c>
      <c r="D20" t="str">
        <f>_xlfn.XLOOKUP(FME_Ranking1[[#This Row],[FME ID]],FME_Input[FME_ID],FME_Input[DESCR])</f>
        <v>Study of area to identify problem areas and recommend flood mitigation alternatives that consider detention ponds &amp; widening drainage systems.</v>
      </c>
      <c r="E20" s="256">
        <f>_xlfn.XLOOKUP(FME_Ranking1[[#This Row],[FME ID]],FME_Input[FME_ID],FME_Input[FME_COST])</f>
        <v>11000000</v>
      </c>
      <c r="F20" t="str">
        <f>_xlfn.XLOOKUP(FME_Ranking1[[#This Row],[FME ID]],FME_Input[FME_ID],FME_Input[EMER_NEED])</f>
        <v>No</v>
      </c>
      <c r="G20">
        <f>IF(FME_Ranking!F20="Yes",100,0)</f>
        <v>0</v>
      </c>
      <c r="H20">
        <f>FME_Ranking1[[#This Row],[Emergency Need Score (Normalized, Unweighted)]]*$F$3</f>
        <v>0</v>
      </c>
      <c r="I20" s="246">
        <f>_xlfn.XLOOKUP(FME_Ranking1[[#This Row],[FME ID]],FME_Input[FME_ID],FME_Input[STRUCT_100])</f>
        <v>48570</v>
      </c>
      <c r="J20" s="178">
        <f>(FME_Ranking1[[#This Row],[Structures 100 Raw]]/I$2)*100</f>
        <v>26.008867754787303</v>
      </c>
      <c r="K20" s="178">
        <f>FME_Ranking1[[#This Row],[Structures 100  Score (Normalized, Unweighted)]]*$I$3</f>
        <v>3.9013301632180952</v>
      </c>
      <c r="L20" s="246">
        <f>_xlfn.XLOOKUP(FME_Ranking1[[#This Row],[FME ID]],FME_Input[FME_ID],FME_Input[RES_STRUCT100])</f>
        <v>42185</v>
      </c>
      <c r="M20" s="230">
        <f>(FME_Ranking1[[#This Row],[Res Structures Raw]]/L$2)*100</f>
        <v>29.87987137170461</v>
      </c>
      <c r="N20" s="180">
        <f>FME_Ranking1[[#This Row],[Res Structures Score (Normalized, Unweighted)]]*$L$3</f>
        <v>2.9879871371704612</v>
      </c>
      <c r="O20" s="244">
        <f>_xlfn.XLOOKUP(FME_Ranking1[[#This Row],[FME ID]],FME_Input[FME_ID],FME_Input[POP100])</f>
        <v>171395</v>
      </c>
      <c r="P20" s="178">
        <f>(FME_Ranking1[[#This Row],[Pop Raw]]/$O$2)*100</f>
        <v>17.546616598314081</v>
      </c>
      <c r="Q20" s="178">
        <f>FME_Ranking1[[#This Row],[Pop Score (Normalized, Unweighted)]]*$O$3</f>
        <v>2.6319924897471121</v>
      </c>
      <c r="R20" s="137">
        <f>_xlfn.XLOOKUP(FME_Ranking1[[#This Row],[FME ID]],FME_Input[FME_ID],FME_Input[CRITFAC100])</f>
        <v>681</v>
      </c>
      <c r="S20" s="230">
        <f>(FME_Ranking1[[#This Row],[Critical Facilities Raw]]/$R$2)*100</f>
        <v>29.202401372212694</v>
      </c>
      <c r="T20" s="180">
        <f>FME_Ranking1[[#This Row],[Critical Facilities Score (Normalized, Unweighted)]]*$R$3</f>
        <v>5.8404802744425393</v>
      </c>
      <c r="U20">
        <f>_xlfn.XLOOKUP(FME_Ranking1[[#This Row],[FME ID]],FME_Input[FME_ID],FME_Input[LWC])</f>
        <v>30</v>
      </c>
      <c r="V20" s="178">
        <f>(FME_Ranking1[[#This Row],[LWC Raw]]/$U$2)*100</f>
        <v>1.7271157167530224</v>
      </c>
      <c r="W20" s="178">
        <f>FME_Ranking1[[#This Row],[LWC Score (Normalized, Unweighted)]]*$U$3</f>
        <v>0.34542314335060453</v>
      </c>
      <c r="X20" s="246">
        <f>_xlfn.XLOOKUP(FME_Ranking1[[#This Row],[FME ID]],FME_Input[FME_ID],FME_Input[ROADCLS])</f>
        <v>30</v>
      </c>
      <c r="Y20" s="230">
        <f>(FME_Ranking1[[#This Row],[Closures Raw]]/$X$2)*100</f>
        <v>0.31542424561034593</v>
      </c>
      <c r="Z20" s="180">
        <f>FME_Ranking1[[#This Row],[Closures Score (Normalized, Unweighted)]]*$X$3</f>
        <v>1.5771212280517297E-2</v>
      </c>
      <c r="AA20" s="253">
        <f>_xlfn.XLOOKUP(FME_Ranking1[[#This Row],[FME ID]],FME_Input[FME_ID],FME_Input[ROAD_MILES100])</f>
        <v>910.35089111328125</v>
      </c>
      <c r="AB20" s="178">
        <f>(FME_Ranking1[[#This Row],[Miles Raw]]/$AA$2)*100</f>
        <v>11.969481427163334</v>
      </c>
      <c r="AC20" s="178">
        <f>FME_Ranking1[[#This Row],[Miles Score (Normalized, Unweighted)]]*$AA$3</f>
        <v>1.1969481427163335</v>
      </c>
      <c r="AD20" s="255">
        <f>_xlfn.XLOOKUP(FME_Ranking1[[#This Row],[FME ID]],FME_Input[FME_ID],FME_Input[FARMACRE100])</f>
        <v>3412.02490234375</v>
      </c>
      <c r="AE20" s="230">
        <f>(FME_Ranking1[[#This Row],[Ag Land Raw]]/$AD$2)*100</f>
        <v>0.14069663303059243</v>
      </c>
      <c r="AF20" s="231">
        <f>FME_Ranking1[[#This Row],[Ag Land Score (Normalized, Unweighted)]]*$AD$3</f>
        <v>7.034831651529622E-3</v>
      </c>
      <c r="AG2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16.926967394577193</v>
      </c>
      <c r="AH20" s="406">
        <f t="shared" si="0"/>
        <v>16</v>
      </c>
      <c r="AI2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16.926967394577193</v>
      </c>
      <c r="AJ20" s="257">
        <f>FME_Ranking1[[#This Row],[Addition check]]-FME_Ranking1[[#This Row],[Weighted Score Based on Normalized Reported Factors]]</f>
        <v>0</v>
      </c>
      <c r="AK20" s="178">
        <f>_xlfn.RANK.EQ(AI20,$AI$6:$AI$2341,0)+COUNTIF($AI$6:AI20,AI20)-1</f>
        <v>17</v>
      </c>
    </row>
    <row r="21" spans="1:37" ht="12" customHeight="1" x14ac:dyDescent="0.25">
      <c r="A21" t="s">
        <v>1184</v>
      </c>
      <c r="B21">
        <f>_xlfn.XLOOKUP(FME_Ranking1[[#This Row],[FME ID]],FME_Input[FME_ID],FME_Input[RFPG_NUM])</f>
        <v>6</v>
      </c>
      <c r="C21" t="str">
        <f>_xlfn.XLOOKUP(FME_Ranking1[[#This Row],[FME ID]],FME_Input[FME_ID],FME_Input[FME_NAME])</f>
        <v>Corp of Engineers study of the Galveston County Water Reservoir Dam and Levee system</v>
      </c>
      <c r="D21" t="str">
        <f>_xlfn.XLOOKUP(FME_Ranking1[[#This Row],[FME ID]],FME_Input[FME_ID],FME_Input[DESCR])</f>
        <v>Review findings of potential breach to dam/levee system and develop/implement mitigation actions as applicable.</v>
      </c>
      <c r="E21" s="256">
        <f>_xlfn.XLOOKUP(FME_Ranking1[[#This Row],[FME ID]],FME_Input[FME_ID],FME_Input[FME_COST])</f>
        <v>1590000</v>
      </c>
      <c r="F21" t="str">
        <f>_xlfn.XLOOKUP(FME_Ranking1[[#This Row],[FME ID]],FME_Input[FME_ID],FME_Input[EMER_NEED])</f>
        <v>No</v>
      </c>
      <c r="G21">
        <f>IF(FME_Ranking!F21="Yes",100,0)</f>
        <v>0</v>
      </c>
      <c r="H21">
        <f>FME_Ranking1[[#This Row],[Emergency Need Score (Normalized, Unweighted)]]*$F$3</f>
        <v>0</v>
      </c>
      <c r="I21" s="246">
        <f>_xlfn.XLOOKUP(FME_Ranking1[[#This Row],[FME ID]],FME_Input[FME_ID],FME_Input[STRUCT_100])</f>
        <v>48570</v>
      </c>
      <c r="J21" s="178">
        <f>(FME_Ranking1[[#This Row],[Structures 100 Raw]]/I$2)*100</f>
        <v>26.008867754787303</v>
      </c>
      <c r="K21" s="178">
        <f>FME_Ranking1[[#This Row],[Structures 100  Score (Normalized, Unweighted)]]*$I$3</f>
        <v>3.9013301632180952</v>
      </c>
      <c r="L21" s="246">
        <f>_xlfn.XLOOKUP(FME_Ranking1[[#This Row],[FME ID]],FME_Input[FME_ID],FME_Input[RES_STRUCT100])</f>
        <v>42185</v>
      </c>
      <c r="M21" s="230">
        <f>(FME_Ranking1[[#This Row],[Res Structures Raw]]/L$2)*100</f>
        <v>29.87987137170461</v>
      </c>
      <c r="N21" s="180">
        <f>FME_Ranking1[[#This Row],[Res Structures Score (Normalized, Unweighted)]]*$L$3</f>
        <v>2.9879871371704612</v>
      </c>
      <c r="O21" s="244">
        <f>_xlfn.XLOOKUP(FME_Ranking1[[#This Row],[FME ID]],FME_Input[FME_ID],FME_Input[POP100])</f>
        <v>171395</v>
      </c>
      <c r="P21" s="178">
        <f>(FME_Ranking1[[#This Row],[Pop Raw]]/$O$2)*100</f>
        <v>17.546616598314081</v>
      </c>
      <c r="Q21" s="178">
        <f>FME_Ranking1[[#This Row],[Pop Score (Normalized, Unweighted)]]*$O$3</f>
        <v>2.6319924897471121</v>
      </c>
      <c r="R21" s="137">
        <f>_xlfn.XLOOKUP(FME_Ranking1[[#This Row],[FME ID]],FME_Input[FME_ID],FME_Input[CRITFAC100])</f>
        <v>681</v>
      </c>
      <c r="S21" s="230">
        <f>(FME_Ranking1[[#This Row],[Critical Facilities Raw]]/$R$2)*100</f>
        <v>29.202401372212694</v>
      </c>
      <c r="T21" s="180">
        <f>FME_Ranking1[[#This Row],[Critical Facilities Score (Normalized, Unweighted)]]*$R$3</f>
        <v>5.8404802744425393</v>
      </c>
      <c r="U21">
        <f>_xlfn.XLOOKUP(FME_Ranking1[[#This Row],[FME ID]],FME_Input[FME_ID],FME_Input[LWC])</f>
        <v>30</v>
      </c>
      <c r="V21" s="178">
        <f>(FME_Ranking1[[#This Row],[LWC Raw]]/$U$2)*100</f>
        <v>1.7271157167530224</v>
      </c>
      <c r="W21" s="178">
        <f>FME_Ranking1[[#This Row],[LWC Score (Normalized, Unweighted)]]*$U$3</f>
        <v>0.34542314335060453</v>
      </c>
      <c r="X21" s="246">
        <f>_xlfn.XLOOKUP(FME_Ranking1[[#This Row],[FME ID]],FME_Input[FME_ID],FME_Input[ROADCLS])</f>
        <v>30</v>
      </c>
      <c r="Y21" s="230">
        <f>(FME_Ranking1[[#This Row],[Closures Raw]]/$X$2)*100</f>
        <v>0.31542424561034593</v>
      </c>
      <c r="Z21" s="180">
        <f>FME_Ranking1[[#This Row],[Closures Score (Normalized, Unweighted)]]*$X$3</f>
        <v>1.5771212280517297E-2</v>
      </c>
      <c r="AA21" s="253">
        <f>_xlfn.XLOOKUP(FME_Ranking1[[#This Row],[FME ID]],FME_Input[FME_ID],FME_Input[ROAD_MILES100])</f>
        <v>910.35089111328125</v>
      </c>
      <c r="AB21" s="178">
        <f>(FME_Ranking1[[#This Row],[Miles Raw]]/$AA$2)*100</f>
        <v>11.969481427163334</v>
      </c>
      <c r="AC21" s="178">
        <f>FME_Ranking1[[#This Row],[Miles Score (Normalized, Unweighted)]]*$AA$3</f>
        <v>1.1969481427163335</v>
      </c>
      <c r="AD21" s="255">
        <f>_xlfn.XLOOKUP(FME_Ranking1[[#This Row],[FME ID]],FME_Input[FME_ID],FME_Input[FARMACRE100])</f>
        <v>3412.02490234375</v>
      </c>
      <c r="AE21" s="230">
        <f>(FME_Ranking1[[#This Row],[Ag Land Raw]]/$AD$2)*100</f>
        <v>0.14069663303059243</v>
      </c>
      <c r="AF21" s="231">
        <f>FME_Ranking1[[#This Row],[Ag Land Score (Normalized, Unweighted)]]*$AD$3</f>
        <v>7.034831651529622E-3</v>
      </c>
      <c r="AG2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16.926967394577193</v>
      </c>
      <c r="AH21" s="406">
        <f t="shared" si="0"/>
        <v>16</v>
      </c>
      <c r="AI2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16.926967394577193</v>
      </c>
      <c r="AJ21" s="257">
        <f>FME_Ranking1[[#This Row],[Addition check]]-FME_Ranking1[[#This Row],[Weighted Score Based on Normalized Reported Factors]]</f>
        <v>0</v>
      </c>
      <c r="AK21" s="178">
        <f>_xlfn.RANK.EQ(AI21,$AI$6:$AI$2341,0)+COUNTIF($AI$6:AI21,AI21)-1</f>
        <v>18</v>
      </c>
    </row>
    <row r="22" spans="1:37" ht="12" customHeight="1" x14ac:dyDescent="0.25">
      <c r="A22" t="s">
        <v>1266</v>
      </c>
      <c r="B22">
        <f>_xlfn.XLOOKUP(FME_Ranking1[[#This Row],[FME ID]],FME_Input[FME_ID],FME_Input[RFPG_NUM])</f>
        <v>6</v>
      </c>
      <c r="C22" t="str">
        <f>_xlfn.XLOOKUP(FME_Ranking1[[#This Row],[FME ID]],FME_Input[FME_ID],FME_Input[FME_NAME])</f>
        <v>Evaluation of Mitigation Alternatives for Repetietive Flood Claims Properties in Galveston County</v>
      </c>
      <c r="D22" t="str">
        <f>_xlfn.XLOOKUP(FME_Ranking1[[#This Row],[FME ID]],FME_Input[FME_ID],FME_Input[DESCR])</f>
        <v>Evaluate Mitigation Alternatives of Repetitive Flood Claim Properties in Galveston County.</v>
      </c>
      <c r="E22" s="256">
        <f>_xlfn.XLOOKUP(FME_Ranking1[[#This Row],[FME ID]],FME_Input[FME_ID],FME_Input[FME_COST])</f>
        <v>11000000</v>
      </c>
      <c r="F22" t="str">
        <f>_xlfn.XLOOKUP(FME_Ranking1[[#This Row],[FME ID]],FME_Input[FME_ID],FME_Input[EMER_NEED])</f>
        <v>No</v>
      </c>
      <c r="G22">
        <f>IF(FME_Ranking!F22="Yes",100,0)</f>
        <v>0</v>
      </c>
      <c r="H22">
        <f>FME_Ranking1[[#This Row],[Emergency Need Score (Normalized, Unweighted)]]*$F$3</f>
        <v>0</v>
      </c>
      <c r="I22" s="246">
        <f>_xlfn.XLOOKUP(FME_Ranking1[[#This Row],[FME ID]],FME_Input[FME_ID],FME_Input[STRUCT_100])</f>
        <v>48570</v>
      </c>
      <c r="J22" s="178">
        <f>(FME_Ranking1[[#This Row],[Structures 100 Raw]]/I$2)*100</f>
        <v>26.008867754787303</v>
      </c>
      <c r="K22" s="178">
        <f>FME_Ranking1[[#This Row],[Structures 100  Score (Normalized, Unweighted)]]*$I$3</f>
        <v>3.9013301632180952</v>
      </c>
      <c r="L22" s="246">
        <f>_xlfn.XLOOKUP(FME_Ranking1[[#This Row],[FME ID]],FME_Input[FME_ID],FME_Input[RES_STRUCT100])</f>
        <v>42185</v>
      </c>
      <c r="M22" s="230">
        <f>(FME_Ranking1[[#This Row],[Res Structures Raw]]/L$2)*100</f>
        <v>29.87987137170461</v>
      </c>
      <c r="N22" s="180">
        <f>FME_Ranking1[[#This Row],[Res Structures Score (Normalized, Unweighted)]]*$L$3</f>
        <v>2.9879871371704612</v>
      </c>
      <c r="O22" s="244">
        <f>_xlfn.XLOOKUP(FME_Ranking1[[#This Row],[FME ID]],FME_Input[FME_ID],FME_Input[POP100])</f>
        <v>171395</v>
      </c>
      <c r="P22" s="178">
        <f>(FME_Ranking1[[#This Row],[Pop Raw]]/$O$2)*100</f>
        <v>17.546616598314081</v>
      </c>
      <c r="Q22" s="178">
        <f>FME_Ranking1[[#This Row],[Pop Score (Normalized, Unweighted)]]*$O$3</f>
        <v>2.6319924897471121</v>
      </c>
      <c r="R22" s="137">
        <f>_xlfn.XLOOKUP(FME_Ranking1[[#This Row],[FME ID]],FME_Input[FME_ID],FME_Input[CRITFAC100])</f>
        <v>681</v>
      </c>
      <c r="S22" s="230">
        <f>(FME_Ranking1[[#This Row],[Critical Facilities Raw]]/$R$2)*100</f>
        <v>29.202401372212694</v>
      </c>
      <c r="T22" s="180">
        <f>FME_Ranking1[[#This Row],[Critical Facilities Score (Normalized, Unweighted)]]*$R$3</f>
        <v>5.8404802744425393</v>
      </c>
      <c r="U22">
        <f>_xlfn.XLOOKUP(FME_Ranking1[[#This Row],[FME ID]],FME_Input[FME_ID],FME_Input[LWC])</f>
        <v>30</v>
      </c>
      <c r="V22" s="178">
        <f>(FME_Ranking1[[#This Row],[LWC Raw]]/$U$2)*100</f>
        <v>1.7271157167530224</v>
      </c>
      <c r="W22" s="178">
        <f>FME_Ranking1[[#This Row],[LWC Score (Normalized, Unweighted)]]*$U$3</f>
        <v>0.34542314335060453</v>
      </c>
      <c r="X22" s="246">
        <f>_xlfn.XLOOKUP(FME_Ranking1[[#This Row],[FME ID]],FME_Input[FME_ID],FME_Input[ROADCLS])</f>
        <v>30</v>
      </c>
      <c r="Y22" s="230">
        <f>(FME_Ranking1[[#This Row],[Closures Raw]]/$X$2)*100</f>
        <v>0.31542424561034593</v>
      </c>
      <c r="Z22" s="180">
        <f>FME_Ranking1[[#This Row],[Closures Score (Normalized, Unweighted)]]*$X$3</f>
        <v>1.5771212280517297E-2</v>
      </c>
      <c r="AA22" s="253">
        <f>_xlfn.XLOOKUP(FME_Ranking1[[#This Row],[FME ID]],FME_Input[FME_ID],FME_Input[ROAD_MILES100])</f>
        <v>910.35089111328125</v>
      </c>
      <c r="AB22" s="178">
        <f>(FME_Ranking1[[#This Row],[Miles Raw]]/$AA$2)*100</f>
        <v>11.969481427163334</v>
      </c>
      <c r="AC22" s="178">
        <f>FME_Ranking1[[#This Row],[Miles Score (Normalized, Unweighted)]]*$AA$3</f>
        <v>1.1969481427163335</v>
      </c>
      <c r="AD22" s="255">
        <f>_xlfn.XLOOKUP(FME_Ranking1[[#This Row],[FME ID]],FME_Input[FME_ID],FME_Input[FARMACRE100])</f>
        <v>3412.02490234375</v>
      </c>
      <c r="AE22" s="230">
        <f>(FME_Ranking1[[#This Row],[Ag Land Raw]]/$AD$2)*100</f>
        <v>0.14069663303059243</v>
      </c>
      <c r="AF22" s="231">
        <f>FME_Ranking1[[#This Row],[Ag Land Score (Normalized, Unweighted)]]*$AD$3</f>
        <v>7.034831651529622E-3</v>
      </c>
      <c r="AG2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16.926967394577193</v>
      </c>
      <c r="AH22" s="406">
        <f t="shared" si="0"/>
        <v>16</v>
      </c>
      <c r="AI2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16.926967394577193</v>
      </c>
      <c r="AJ22" s="257">
        <f>FME_Ranking1[[#This Row],[Addition check]]-FME_Ranking1[[#This Row],[Weighted Score Based on Normalized Reported Factors]]</f>
        <v>0</v>
      </c>
      <c r="AK22" s="178">
        <f>_xlfn.RANK.EQ(AI22,$AI$6:$AI$2341,0)+COUNTIF($AI$6:AI22,AI22)-1</f>
        <v>19</v>
      </c>
    </row>
    <row r="23" spans="1:37" ht="12" customHeight="1" x14ac:dyDescent="0.25">
      <c r="A23" t="s">
        <v>1301</v>
      </c>
      <c r="B23">
        <f>_xlfn.XLOOKUP(FME_Ranking1[[#This Row],[FME ID]],FME_Input[FME_ID],FME_Input[RFPG_NUM])</f>
        <v>6</v>
      </c>
      <c r="C23" t="str">
        <f>_xlfn.XLOOKUP(FME_Ranking1[[#This Row],[FME ID]],FME_Input[FME_ID],FME_Input[FME_NAME])</f>
        <v>Galveston County Drainage System Improvement Study</v>
      </c>
      <c r="D23" t="str">
        <f>_xlfn.XLOOKUP(FME_Ranking1[[#This Row],[FME ID]],FME_Input[FME_ID],FME_Input[DESCR])</f>
        <v>Further study to widen drainage systems and increase culvert size to accommodate increased water flows. Coordinate efforts with water district.</v>
      </c>
      <c r="E23" s="256">
        <f>_xlfn.XLOOKUP(FME_Ranking1[[#This Row],[FME ID]],FME_Input[FME_ID],FME_Input[FME_COST])</f>
        <v>1590000</v>
      </c>
      <c r="F23" t="str">
        <f>_xlfn.XLOOKUP(FME_Ranking1[[#This Row],[FME ID]],FME_Input[FME_ID],FME_Input[EMER_NEED])</f>
        <v>No</v>
      </c>
      <c r="G23">
        <f>IF(FME_Ranking!F23="Yes",100,0)</f>
        <v>0</v>
      </c>
      <c r="H23">
        <f>FME_Ranking1[[#This Row],[Emergency Need Score (Normalized, Unweighted)]]*$F$3</f>
        <v>0</v>
      </c>
      <c r="I23" s="246">
        <f>_xlfn.XLOOKUP(FME_Ranking1[[#This Row],[FME ID]],FME_Input[FME_ID],FME_Input[STRUCT_100])</f>
        <v>48570</v>
      </c>
      <c r="J23" s="178">
        <f>(FME_Ranking1[[#This Row],[Structures 100 Raw]]/I$2)*100</f>
        <v>26.008867754787303</v>
      </c>
      <c r="K23" s="178">
        <f>FME_Ranking1[[#This Row],[Structures 100  Score (Normalized, Unweighted)]]*$I$3</f>
        <v>3.9013301632180952</v>
      </c>
      <c r="L23" s="246">
        <f>_xlfn.XLOOKUP(FME_Ranking1[[#This Row],[FME ID]],FME_Input[FME_ID],FME_Input[RES_STRUCT100])</f>
        <v>42185</v>
      </c>
      <c r="M23" s="230">
        <f>(FME_Ranking1[[#This Row],[Res Structures Raw]]/L$2)*100</f>
        <v>29.87987137170461</v>
      </c>
      <c r="N23" s="180">
        <f>FME_Ranking1[[#This Row],[Res Structures Score (Normalized, Unweighted)]]*$L$3</f>
        <v>2.9879871371704612</v>
      </c>
      <c r="O23" s="244">
        <f>_xlfn.XLOOKUP(FME_Ranking1[[#This Row],[FME ID]],FME_Input[FME_ID],FME_Input[POP100])</f>
        <v>171395</v>
      </c>
      <c r="P23" s="178">
        <f>(FME_Ranking1[[#This Row],[Pop Raw]]/$O$2)*100</f>
        <v>17.546616598314081</v>
      </c>
      <c r="Q23" s="178">
        <f>FME_Ranking1[[#This Row],[Pop Score (Normalized, Unweighted)]]*$O$3</f>
        <v>2.6319924897471121</v>
      </c>
      <c r="R23" s="137">
        <f>_xlfn.XLOOKUP(FME_Ranking1[[#This Row],[FME ID]],FME_Input[FME_ID],FME_Input[CRITFAC100])</f>
        <v>681</v>
      </c>
      <c r="S23" s="230">
        <f>(FME_Ranking1[[#This Row],[Critical Facilities Raw]]/$R$2)*100</f>
        <v>29.202401372212694</v>
      </c>
      <c r="T23" s="180">
        <f>FME_Ranking1[[#This Row],[Critical Facilities Score (Normalized, Unweighted)]]*$R$3</f>
        <v>5.8404802744425393</v>
      </c>
      <c r="U23">
        <f>_xlfn.XLOOKUP(FME_Ranking1[[#This Row],[FME ID]],FME_Input[FME_ID],FME_Input[LWC])</f>
        <v>30</v>
      </c>
      <c r="V23" s="178">
        <f>(FME_Ranking1[[#This Row],[LWC Raw]]/$U$2)*100</f>
        <v>1.7271157167530224</v>
      </c>
      <c r="W23" s="178">
        <f>FME_Ranking1[[#This Row],[LWC Score (Normalized, Unweighted)]]*$U$3</f>
        <v>0.34542314335060453</v>
      </c>
      <c r="X23" s="246">
        <f>_xlfn.XLOOKUP(FME_Ranking1[[#This Row],[FME ID]],FME_Input[FME_ID],FME_Input[ROADCLS])</f>
        <v>30</v>
      </c>
      <c r="Y23" s="230">
        <f>(FME_Ranking1[[#This Row],[Closures Raw]]/$X$2)*100</f>
        <v>0.31542424561034593</v>
      </c>
      <c r="Z23" s="180">
        <f>FME_Ranking1[[#This Row],[Closures Score (Normalized, Unweighted)]]*$X$3</f>
        <v>1.5771212280517297E-2</v>
      </c>
      <c r="AA23" s="253">
        <f>_xlfn.XLOOKUP(FME_Ranking1[[#This Row],[FME ID]],FME_Input[FME_ID],FME_Input[ROAD_MILES100])</f>
        <v>910.35089111328125</v>
      </c>
      <c r="AB23" s="178">
        <f>(FME_Ranking1[[#This Row],[Miles Raw]]/$AA$2)*100</f>
        <v>11.969481427163334</v>
      </c>
      <c r="AC23" s="178">
        <f>FME_Ranking1[[#This Row],[Miles Score (Normalized, Unweighted)]]*$AA$3</f>
        <v>1.1969481427163335</v>
      </c>
      <c r="AD23" s="255">
        <f>_xlfn.XLOOKUP(FME_Ranking1[[#This Row],[FME ID]],FME_Input[FME_ID],FME_Input[FARMACRE100])</f>
        <v>3412.02490234375</v>
      </c>
      <c r="AE23" s="230">
        <f>(FME_Ranking1[[#This Row],[Ag Land Raw]]/$AD$2)*100</f>
        <v>0.14069663303059243</v>
      </c>
      <c r="AF23" s="231">
        <f>FME_Ranking1[[#This Row],[Ag Land Score (Normalized, Unweighted)]]*$AD$3</f>
        <v>7.034831651529622E-3</v>
      </c>
      <c r="AG2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16.926967394577193</v>
      </c>
      <c r="AH23" s="406">
        <f t="shared" si="0"/>
        <v>16</v>
      </c>
      <c r="AI2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16.926967394577193</v>
      </c>
      <c r="AJ23" s="257">
        <f>FME_Ranking1[[#This Row],[Addition check]]-FME_Ranking1[[#This Row],[Weighted Score Based on Normalized Reported Factors]]</f>
        <v>0</v>
      </c>
      <c r="AK23" s="178">
        <f>_xlfn.RANK.EQ(AI23,$AI$6:$AI$2341,0)+COUNTIF($AI$6:AI23,AI23)-1</f>
        <v>20</v>
      </c>
    </row>
    <row r="24" spans="1:37" ht="12" customHeight="1" x14ac:dyDescent="0.25">
      <c r="A24" t="s">
        <v>1842</v>
      </c>
      <c r="B24">
        <f>_xlfn.XLOOKUP(FME_Ranking1[[#This Row],[FME ID]],FME_Input[FME_ID],FME_Input[RFPG_NUM])</f>
        <v>6</v>
      </c>
      <c r="C24" t="str">
        <f>_xlfn.XLOOKUP(FME_Ranking1[[#This Row],[FME ID]],FME_Input[FME_ID],FME_Input[FME_NAME])</f>
        <v>Galveston Flood Mapping Updates</v>
      </c>
      <c r="D24" t="str">
        <f>_xlfn.XLOOKUP(FME_Ranking1[[#This Row],[FME ID]],FME_Input[FME_ID],FME_Input[DESCR])</f>
        <v>County wide study to produce flood mappping updates including Atlas 14 rainfall.</v>
      </c>
      <c r="E24" s="256">
        <f>_xlfn.XLOOKUP(FME_Ranking1[[#This Row],[FME ID]],FME_Input[FME_ID],FME_Input[FME_COST])</f>
        <v>2960000</v>
      </c>
      <c r="F24" t="str">
        <f>_xlfn.XLOOKUP(FME_Ranking1[[#This Row],[FME ID]],FME_Input[FME_ID],FME_Input[EMER_NEED])</f>
        <v>Yes</v>
      </c>
      <c r="G24">
        <f>IF(FME_Ranking!F24="Yes",100,0)</f>
        <v>100</v>
      </c>
      <c r="H24">
        <f>FME_Ranking1[[#This Row],[Emergency Need Score (Normalized, Unweighted)]]*$F$3</f>
        <v>0</v>
      </c>
      <c r="I24" s="246">
        <f>_xlfn.XLOOKUP(FME_Ranking1[[#This Row],[FME ID]],FME_Input[FME_ID],FME_Input[STRUCT_100])</f>
        <v>48570</v>
      </c>
      <c r="J24" s="178">
        <f>(FME_Ranking1[[#This Row],[Structures 100 Raw]]/I$2)*100</f>
        <v>26.008867754787303</v>
      </c>
      <c r="K24" s="178">
        <f>FME_Ranking1[[#This Row],[Structures 100  Score (Normalized, Unweighted)]]*$I$3</f>
        <v>3.9013301632180952</v>
      </c>
      <c r="L24" s="246">
        <f>_xlfn.XLOOKUP(FME_Ranking1[[#This Row],[FME ID]],FME_Input[FME_ID],FME_Input[RES_STRUCT100])</f>
        <v>42185</v>
      </c>
      <c r="M24" s="230">
        <f>(FME_Ranking1[[#This Row],[Res Structures Raw]]/L$2)*100</f>
        <v>29.87987137170461</v>
      </c>
      <c r="N24" s="180">
        <f>FME_Ranking1[[#This Row],[Res Structures Score (Normalized, Unweighted)]]*$L$3</f>
        <v>2.9879871371704612</v>
      </c>
      <c r="O24" s="244">
        <f>_xlfn.XLOOKUP(FME_Ranking1[[#This Row],[FME ID]],FME_Input[FME_ID],FME_Input[POP100])</f>
        <v>171395</v>
      </c>
      <c r="P24" s="178">
        <f>(FME_Ranking1[[#This Row],[Pop Raw]]/$O$2)*100</f>
        <v>17.546616598314081</v>
      </c>
      <c r="Q24" s="178">
        <f>FME_Ranking1[[#This Row],[Pop Score (Normalized, Unweighted)]]*$O$3</f>
        <v>2.6319924897471121</v>
      </c>
      <c r="R24" s="137">
        <f>_xlfn.XLOOKUP(FME_Ranking1[[#This Row],[FME ID]],FME_Input[FME_ID],FME_Input[CRITFAC100])</f>
        <v>681</v>
      </c>
      <c r="S24" s="230">
        <f>(FME_Ranking1[[#This Row],[Critical Facilities Raw]]/$R$2)*100</f>
        <v>29.202401372212694</v>
      </c>
      <c r="T24" s="180">
        <f>FME_Ranking1[[#This Row],[Critical Facilities Score (Normalized, Unweighted)]]*$R$3</f>
        <v>5.8404802744425393</v>
      </c>
      <c r="U24">
        <f>_xlfn.XLOOKUP(FME_Ranking1[[#This Row],[FME ID]],FME_Input[FME_ID],FME_Input[LWC])</f>
        <v>30</v>
      </c>
      <c r="V24" s="178">
        <f>(FME_Ranking1[[#This Row],[LWC Raw]]/$U$2)*100</f>
        <v>1.7271157167530224</v>
      </c>
      <c r="W24" s="178">
        <f>FME_Ranking1[[#This Row],[LWC Score (Normalized, Unweighted)]]*$U$3</f>
        <v>0.34542314335060453</v>
      </c>
      <c r="X24" s="246">
        <f>_xlfn.XLOOKUP(FME_Ranking1[[#This Row],[FME ID]],FME_Input[FME_ID],FME_Input[ROADCLS])</f>
        <v>30</v>
      </c>
      <c r="Y24" s="230">
        <f>(FME_Ranking1[[#This Row],[Closures Raw]]/$X$2)*100</f>
        <v>0.31542424561034593</v>
      </c>
      <c r="Z24" s="180">
        <f>FME_Ranking1[[#This Row],[Closures Score (Normalized, Unweighted)]]*$X$3</f>
        <v>1.5771212280517297E-2</v>
      </c>
      <c r="AA24" s="253">
        <f>_xlfn.XLOOKUP(FME_Ranking1[[#This Row],[FME ID]],FME_Input[FME_ID],FME_Input[ROAD_MILES100])</f>
        <v>910.35089111328125</v>
      </c>
      <c r="AB24" s="178">
        <f>(FME_Ranking1[[#This Row],[Miles Raw]]/$AA$2)*100</f>
        <v>11.969481427163334</v>
      </c>
      <c r="AC24" s="178">
        <f>FME_Ranking1[[#This Row],[Miles Score (Normalized, Unweighted)]]*$AA$3</f>
        <v>1.1969481427163335</v>
      </c>
      <c r="AD24" s="255">
        <f>_xlfn.XLOOKUP(FME_Ranking1[[#This Row],[FME ID]],FME_Input[FME_ID],FME_Input[FARMACRE100])</f>
        <v>3412.02490234375</v>
      </c>
      <c r="AE24" s="230">
        <f>(FME_Ranking1[[#This Row],[Ag Land Raw]]/$AD$2)*100</f>
        <v>0.14069663303059243</v>
      </c>
      <c r="AF24" s="231">
        <f>FME_Ranking1[[#This Row],[Ag Land Score (Normalized, Unweighted)]]*$AD$3</f>
        <v>7.034831651529622E-3</v>
      </c>
      <c r="AG2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16.926967394577193</v>
      </c>
      <c r="AH24" s="406">
        <f t="shared" si="0"/>
        <v>16</v>
      </c>
      <c r="AI2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16.926967394577193</v>
      </c>
      <c r="AJ24" s="257">
        <f>FME_Ranking1[[#This Row],[Addition check]]-FME_Ranking1[[#This Row],[Weighted Score Based on Normalized Reported Factors]]</f>
        <v>0</v>
      </c>
      <c r="AK24" s="178">
        <f>_xlfn.RANK.EQ(AI24,$AI$6:$AI$2341,0)+COUNTIF($AI$6:AI24,AI24)-1</f>
        <v>21</v>
      </c>
    </row>
    <row r="25" spans="1:37" ht="12" customHeight="1" x14ac:dyDescent="0.25">
      <c r="A25" t="s">
        <v>2199</v>
      </c>
      <c r="B25">
        <f>_xlfn.XLOOKUP(FME_Ranking1[[#This Row],[FME ID]],FME_Input[FME_ID],FME_Input[RFPG_NUM])</f>
        <v>6</v>
      </c>
      <c r="C25" t="str">
        <f>_xlfn.XLOOKUP(FME_Ranking1[[#This Row],[FME ID]],FME_Input[FME_ID],FME_Input[FME_NAME])</f>
        <v>Greens Bayou, White Oak Bayou and Cypress Creek Areas Subdivision Drainage Mitigation Project</v>
      </c>
      <c r="D25" t="str">
        <f>_xlfn.XLOOKUP(FME_Ranking1[[#This Row],[FME ID]],FME_Input[FME_ID],FME_Input[DESCR])</f>
        <v>The mitigation solution for Cypress Creek Estates is to install storm sewer systems along West Shadow Lake, East Shadow Lake, North Shadow Lake and Winding Lane, to re-grade the roadside ditches, and to remove and replace of all driveways and culverts.</v>
      </c>
      <c r="E25" s="256">
        <f>_xlfn.XLOOKUP(FME_Ranking1[[#This Row],[FME ID]],FME_Input[FME_ID],FME_Input[FME_COST])</f>
        <v>30000</v>
      </c>
      <c r="F25" t="str">
        <f>_xlfn.XLOOKUP(FME_Ranking1[[#This Row],[FME ID]],FME_Input[FME_ID],FME_Input[EMER_NEED])</f>
        <v>No</v>
      </c>
      <c r="G25">
        <f>IF(FME_Ranking!F25="Yes",100,0)</f>
        <v>0</v>
      </c>
      <c r="H25">
        <f>FME_Ranking1[[#This Row],[Emergency Need Score (Normalized, Unweighted)]]*$F$3</f>
        <v>0</v>
      </c>
      <c r="I25" s="246">
        <f>_xlfn.XLOOKUP(FME_Ranking1[[#This Row],[FME ID]],FME_Input[FME_ID],FME_Input[STRUCT_100])</f>
        <v>33860</v>
      </c>
      <c r="J25" s="178">
        <f>(FME_Ranking1[[#This Row],[Structures 100 Raw]]/I$2)*100</f>
        <v>18.131773979351411</v>
      </c>
      <c r="K25" s="178">
        <f>FME_Ranking1[[#This Row],[Structures 100  Score (Normalized, Unweighted)]]*$I$3</f>
        <v>2.7197660969027115</v>
      </c>
      <c r="L25" s="246">
        <f>_xlfn.XLOOKUP(FME_Ranking1[[#This Row],[FME ID]],FME_Input[FME_ID],FME_Input[RES_STRUCT100])</f>
        <v>27436</v>
      </c>
      <c r="M25" s="230">
        <f>(FME_Ranking1[[#This Row],[Res Structures Raw]]/L$2)*100</f>
        <v>19.433072204671983</v>
      </c>
      <c r="N25" s="180">
        <f>FME_Ranking1[[#This Row],[Res Structures Score (Normalized, Unweighted)]]*$L$3</f>
        <v>1.9433072204671984</v>
      </c>
      <c r="O25" s="244">
        <f>_xlfn.XLOOKUP(FME_Ranking1[[#This Row],[FME ID]],FME_Input[FME_ID],FME_Input[POP100])</f>
        <v>267186</v>
      </c>
      <c r="P25" s="178">
        <f>(FME_Ranking1[[#This Row],[Pop Raw]]/$O$2)*100</f>
        <v>27.353250109029709</v>
      </c>
      <c r="Q25" s="178">
        <f>FME_Ranking1[[#This Row],[Pop Score (Normalized, Unweighted)]]*$O$3</f>
        <v>4.1029875163544558</v>
      </c>
      <c r="R25" s="137">
        <f>_xlfn.XLOOKUP(FME_Ranking1[[#This Row],[FME ID]],FME_Input[FME_ID],FME_Input[CRITFAC100])</f>
        <v>562</v>
      </c>
      <c r="S25" s="230">
        <f>(FME_Ranking1[[#This Row],[Critical Facilities Raw]]/$R$2)*100</f>
        <v>24.099485420240139</v>
      </c>
      <c r="T25" s="180">
        <f>FME_Ranking1[[#This Row],[Critical Facilities Score (Normalized, Unweighted)]]*$R$3</f>
        <v>4.8198970840480282</v>
      </c>
      <c r="U25">
        <f>_xlfn.XLOOKUP(FME_Ranking1[[#This Row],[FME ID]],FME_Input[FME_ID],FME_Input[LWC])</f>
        <v>32</v>
      </c>
      <c r="V25" s="178">
        <f>(FME_Ranking1[[#This Row],[LWC Raw]]/$U$2)*100</f>
        <v>1.8422567645365575</v>
      </c>
      <c r="W25" s="178">
        <f>FME_Ranking1[[#This Row],[LWC Score (Normalized, Unweighted)]]*$U$3</f>
        <v>0.36845135290731151</v>
      </c>
      <c r="X25" s="246">
        <f>_xlfn.XLOOKUP(FME_Ranking1[[#This Row],[FME ID]],FME_Input[FME_ID],FME_Input[ROADCLS])</f>
        <v>32</v>
      </c>
      <c r="Y25" s="230">
        <f>(FME_Ranking1[[#This Row],[Closures Raw]]/$X$2)*100</f>
        <v>0.33645252865103564</v>
      </c>
      <c r="Z25" s="180">
        <f>FME_Ranking1[[#This Row],[Closures Score (Normalized, Unweighted)]]*$X$3</f>
        <v>1.6822626432551783E-2</v>
      </c>
      <c r="AA25" s="253">
        <f>_xlfn.XLOOKUP(FME_Ranking1[[#This Row],[FME ID]],FME_Input[FME_ID],FME_Input[ROAD_MILES100])</f>
        <v>601.40521240234375</v>
      </c>
      <c r="AB25" s="178">
        <f>(FME_Ranking1[[#This Row],[Miles Raw]]/$AA$2)*100</f>
        <v>7.9073998722030288</v>
      </c>
      <c r="AC25" s="178">
        <f>FME_Ranking1[[#This Row],[Miles Score (Normalized, Unweighted)]]*$AA$3</f>
        <v>0.79073998722030292</v>
      </c>
      <c r="AD25" s="255">
        <f>_xlfn.XLOOKUP(FME_Ranking1[[#This Row],[FME ID]],FME_Input[FME_ID],FME_Input[FARMACRE100])</f>
        <v>1841.856811523438</v>
      </c>
      <c r="AE25" s="230">
        <f>(FME_Ranking1[[#This Row],[Ag Land Raw]]/$AD$2)*100</f>
        <v>7.5949929828414364E-2</v>
      </c>
      <c r="AF25" s="231">
        <f>FME_Ranking1[[#This Row],[Ag Land Score (Normalized, Unweighted)]]*$AD$3</f>
        <v>3.7974964914207184E-3</v>
      </c>
      <c r="AG2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14.765769380823979</v>
      </c>
      <c r="AH25" s="406">
        <f t="shared" si="0"/>
        <v>24</v>
      </c>
      <c r="AI2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14.765769380823979</v>
      </c>
      <c r="AJ25" s="257">
        <f>FME_Ranking1[[#This Row],[Addition check]]-FME_Ranking1[[#This Row],[Weighted Score Based on Normalized Reported Factors]]</f>
        <v>0</v>
      </c>
      <c r="AK25" s="178">
        <f>_xlfn.RANK.EQ(AI25,$AI$6:$AI$2341,0)+COUNTIF($AI$6:AI25,AI25)-1</f>
        <v>24</v>
      </c>
    </row>
    <row r="26" spans="1:37" ht="12" customHeight="1" x14ac:dyDescent="0.25">
      <c r="A26" t="s">
        <v>1890</v>
      </c>
      <c r="B26">
        <f>_xlfn.XLOOKUP(FME_Ranking1[[#This Row],[FME ID]],FME_Input[FME_ID],FME_Input[RFPG_NUM])</f>
        <v>6</v>
      </c>
      <c r="C26" t="str">
        <f>_xlfn.XLOOKUP(FME_Ranking1[[#This Row],[FME ID]],FME_Input[FME_ID],FME_Input[FME_NAME])</f>
        <v>37th Street, Galveston, Drainage Project</v>
      </c>
      <c r="D26" t="str">
        <f>_xlfn.XLOOKUP(FME_Ranking1[[#This Row],[FME ID]],FME_Input[FME_ID],FME_Input[DESCR])</f>
        <v>Further study and FMP development of existing storm sewer system replacement and upgrades using the city’s updated drainage criteria that now require a 25-year storm drainage capacity.</v>
      </c>
      <c r="E26" s="256">
        <f>_xlfn.XLOOKUP(FME_Ranking1[[#This Row],[FME ID]],FME_Input[FME_ID],FME_Input[FME_COST])</f>
        <v>30000</v>
      </c>
      <c r="F26" t="str">
        <f>_xlfn.XLOOKUP(FME_Ranking1[[#This Row],[FME ID]],FME_Input[FME_ID],FME_Input[EMER_NEED])</f>
        <v>No</v>
      </c>
      <c r="G26">
        <f>IF(FME_Ranking!F26="Yes",100,0)</f>
        <v>0</v>
      </c>
      <c r="H26">
        <f>FME_Ranking1[[#This Row],[Emergency Need Score (Normalized, Unweighted)]]*$F$3</f>
        <v>0</v>
      </c>
      <c r="I26" s="246">
        <f>_xlfn.XLOOKUP(FME_Ranking1[[#This Row],[FME ID]],FME_Input[FME_ID],FME_Input[STRUCT_100])</f>
        <v>40153</v>
      </c>
      <c r="J26" s="178">
        <f>(FME_Ranking1[[#This Row],[Structures 100 Raw]]/I$2)*100</f>
        <v>21.501627897014096</v>
      </c>
      <c r="K26" s="178">
        <f>FME_Ranking1[[#This Row],[Structures 100  Score (Normalized, Unweighted)]]*$I$3</f>
        <v>3.2252441845521145</v>
      </c>
      <c r="L26" s="246">
        <f>_xlfn.XLOOKUP(FME_Ranking1[[#This Row],[FME ID]],FME_Input[FME_ID],FME_Input[RES_STRUCT100])</f>
        <v>34123</v>
      </c>
      <c r="M26" s="230">
        <f>(FME_Ranking1[[#This Row],[Res Structures Raw]]/L$2)*100</f>
        <v>24.169511694125315</v>
      </c>
      <c r="N26" s="180">
        <f>FME_Ranking1[[#This Row],[Res Structures Score (Normalized, Unweighted)]]*$L$3</f>
        <v>2.4169511694125316</v>
      </c>
      <c r="O26" s="244">
        <f>_xlfn.XLOOKUP(FME_Ranking1[[#This Row],[FME ID]],FME_Input[FME_ID],FME_Input[POP100])</f>
        <v>150807</v>
      </c>
      <c r="P26" s="178">
        <f>(FME_Ranking1[[#This Row],[Pop Raw]]/$O$2)*100</f>
        <v>15.438913675089424</v>
      </c>
      <c r="Q26" s="178">
        <f>FME_Ranking1[[#This Row],[Pop Score (Normalized, Unweighted)]]*$O$3</f>
        <v>2.3158370512634137</v>
      </c>
      <c r="R26" s="137">
        <f>_xlfn.XLOOKUP(FME_Ranking1[[#This Row],[FME ID]],FME_Input[FME_ID],FME_Input[CRITFAC100])</f>
        <v>648</v>
      </c>
      <c r="S26" s="230">
        <f>(FME_Ranking1[[#This Row],[Critical Facilities Raw]]/$R$2)*100</f>
        <v>27.787307032590054</v>
      </c>
      <c r="T26" s="180">
        <f>FME_Ranking1[[#This Row],[Critical Facilities Score (Normalized, Unweighted)]]*$R$3</f>
        <v>5.5574614065180112</v>
      </c>
      <c r="U26">
        <f>_xlfn.XLOOKUP(FME_Ranking1[[#This Row],[FME ID]],FME_Input[FME_ID],FME_Input[LWC])</f>
        <v>26</v>
      </c>
      <c r="V26" s="178">
        <f>(FME_Ranking1[[#This Row],[LWC Raw]]/$U$2)*100</f>
        <v>1.496833621185953</v>
      </c>
      <c r="W26" s="178">
        <f>FME_Ranking1[[#This Row],[LWC Score (Normalized, Unweighted)]]*$U$3</f>
        <v>0.29936672423719063</v>
      </c>
      <c r="X26" s="246">
        <f>_xlfn.XLOOKUP(FME_Ranking1[[#This Row],[FME ID]],FME_Input[FME_ID],FME_Input[ROADCLS])</f>
        <v>26</v>
      </c>
      <c r="Y26" s="230">
        <f>(FME_Ranking1[[#This Row],[Closures Raw]]/$X$2)*100</f>
        <v>0.27336767952896646</v>
      </c>
      <c r="Z26" s="180">
        <f>FME_Ranking1[[#This Row],[Closures Score (Normalized, Unweighted)]]*$X$3</f>
        <v>1.3668383976448324E-2</v>
      </c>
      <c r="AA26" s="253">
        <f>_xlfn.XLOOKUP(FME_Ranking1[[#This Row],[FME ID]],FME_Input[FME_ID],FME_Input[ROAD_MILES100])</f>
        <v>722.77423095703125</v>
      </c>
      <c r="AB26" s="178">
        <f>(FME_Ranking1[[#This Row],[Miles Raw]]/$AA$2)*100</f>
        <v>9.5031847806429113</v>
      </c>
      <c r="AC26" s="178">
        <f>FME_Ranking1[[#This Row],[Miles Score (Normalized, Unweighted)]]*$AA$3</f>
        <v>0.95031847806429115</v>
      </c>
      <c r="AD26" s="255">
        <f>_xlfn.XLOOKUP(FME_Ranking1[[#This Row],[FME ID]],FME_Input[FME_ID],FME_Input[FARMACRE100])</f>
        <v>2683.213623046875</v>
      </c>
      <c r="AE26" s="230">
        <f>(FME_Ranking1[[#This Row],[Ag Land Raw]]/$AD$2)*100</f>
        <v>0.11064371839876999</v>
      </c>
      <c r="AF26" s="231">
        <f>FME_Ranking1[[#This Row],[Ag Land Score (Normalized, Unweighted)]]*$AD$3</f>
        <v>5.5321859199384997E-3</v>
      </c>
      <c r="AG2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14.78437958394394</v>
      </c>
      <c r="AH26" s="406">
        <f t="shared" si="0"/>
        <v>23</v>
      </c>
      <c r="AI2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14.78437958394394</v>
      </c>
      <c r="AJ26" s="257">
        <f>FME_Ranking1[[#This Row],[Addition check]]-FME_Ranking1[[#This Row],[Weighted Score Based on Normalized Reported Factors]]</f>
        <v>0</v>
      </c>
      <c r="AK26" s="178">
        <f>_xlfn.RANK.EQ(AI26,$AI$6:$AI$2341,0)+COUNTIF($AI$6:AI26,AI26)-1</f>
        <v>23</v>
      </c>
    </row>
    <row r="27" spans="1:37" ht="12" customHeight="1" x14ac:dyDescent="0.25">
      <c r="A27" t="s">
        <v>4038</v>
      </c>
      <c r="B27">
        <f>_xlfn.XLOOKUP(FME_Ranking1[[#This Row],[FME ID]],FME_Input[FME_ID],FME_Input[RFPG_NUM])</f>
        <v>3</v>
      </c>
      <c r="C27" t="str">
        <f>_xlfn.XLOOKUP(FME_Ranking1[[#This Row],[FME ID]],FME_Input[FME_ID],FME_Input[FME_NAME])</f>
        <v>Dallas County Dam Inundation Study</v>
      </c>
      <c r="D27" t="str">
        <f>_xlfn.XLOOKUP(FME_Ranking1[[#This Row],[FME ID]],FME_Input[FME_ID],FME_Input[DESCR])</f>
        <v xml:space="preserve">Conduct studies to develop dam inundation maps and models </v>
      </c>
      <c r="E27" s="256">
        <f>_xlfn.XLOOKUP(FME_Ranking1[[#This Row],[FME ID]],FME_Input[FME_ID],FME_Input[FME_COST])</f>
        <v>587000</v>
      </c>
      <c r="F27" t="str">
        <f>_xlfn.XLOOKUP(FME_Ranking1[[#This Row],[FME ID]],FME_Input[FME_ID],FME_Input[EMER_NEED])</f>
        <v>No</v>
      </c>
      <c r="G27">
        <f>IF(FME_Ranking!F27="Yes",100,0)</f>
        <v>0</v>
      </c>
      <c r="H27">
        <f>FME_Ranking1[[#This Row],[Emergency Need Score (Normalized, Unweighted)]]*$F$3</f>
        <v>0</v>
      </c>
      <c r="I27" s="246">
        <f>_xlfn.XLOOKUP(FME_Ranking1[[#This Row],[FME ID]],FME_Input[FME_ID],FME_Input[STRUCT_100])</f>
        <v>22226</v>
      </c>
      <c r="J27" s="178">
        <f>(FME_Ranking1[[#This Row],[Structures 100 Raw]]/I$2)*100</f>
        <v>11.901854945808166</v>
      </c>
      <c r="K27" s="178">
        <f>FME_Ranking1[[#This Row],[Structures 100  Score (Normalized, Unweighted)]]*$I$3</f>
        <v>1.785278241871225</v>
      </c>
      <c r="L27" s="246">
        <f>_xlfn.XLOOKUP(FME_Ranking1[[#This Row],[FME ID]],FME_Input[FME_ID],FME_Input[RES_STRUCT100])</f>
        <v>20522</v>
      </c>
      <c r="M27" s="230">
        <f>(FME_Ranking1[[#This Row],[Res Structures Raw]]/L$2)*100</f>
        <v>14.535847345978951</v>
      </c>
      <c r="N27" s="180">
        <f>FME_Ranking1[[#This Row],[Res Structures Score (Normalized, Unweighted)]]*$L$3</f>
        <v>1.4535847345978952</v>
      </c>
      <c r="O27" s="244">
        <f>_xlfn.XLOOKUP(FME_Ranking1[[#This Row],[FME ID]],FME_Input[FME_ID],FME_Input[POP100])</f>
        <v>181701</v>
      </c>
      <c r="P27" s="178">
        <f>(FME_Ranking1[[#This Row],[Pop Raw]]/$O$2)*100</f>
        <v>18.601696563670277</v>
      </c>
      <c r="Q27" s="178">
        <f>FME_Ranking1[[#This Row],[Pop Score (Normalized, Unweighted)]]*$O$3</f>
        <v>2.7902544845505415</v>
      </c>
      <c r="R27" s="137">
        <f>_xlfn.XLOOKUP(FME_Ranking1[[#This Row],[FME ID]],FME_Input[FME_ID],FME_Input[CRITFAC100])</f>
        <v>369</v>
      </c>
      <c r="S27" s="230">
        <f>(FME_Ranking1[[#This Row],[Critical Facilities Raw]]/$R$2)*100</f>
        <v>15.823327615780446</v>
      </c>
      <c r="T27" s="180">
        <f>FME_Ranking1[[#This Row],[Critical Facilities Score (Normalized, Unweighted)]]*$R$3</f>
        <v>3.1646655231560894</v>
      </c>
      <c r="U27">
        <f>_xlfn.XLOOKUP(FME_Ranking1[[#This Row],[FME ID]],FME_Input[FME_ID],FME_Input[LWC])</f>
        <v>387</v>
      </c>
      <c r="V27" s="178">
        <f>(FME_Ranking1[[#This Row],[LWC Raw]]/$U$2)*100</f>
        <v>22.279792746113987</v>
      </c>
      <c r="W27" s="178">
        <f>FME_Ranking1[[#This Row],[LWC Score (Normalized, Unweighted)]]*$U$3</f>
        <v>4.4559585492227978</v>
      </c>
      <c r="X27" s="246">
        <f>_xlfn.XLOOKUP(FME_Ranking1[[#This Row],[FME ID]],FME_Input[FME_ID],FME_Input[ROADCLS])</f>
        <v>0</v>
      </c>
      <c r="Y27" s="230">
        <f>(FME_Ranking1[[#This Row],[Closures Raw]]/$X$2)*100</f>
        <v>0</v>
      </c>
      <c r="Z27" s="180">
        <f>FME_Ranking1[[#This Row],[Closures Score (Normalized, Unweighted)]]*$X$3</f>
        <v>0</v>
      </c>
      <c r="AA27" s="253">
        <f>_xlfn.XLOOKUP(FME_Ranking1[[#This Row],[FME ID]],FME_Input[FME_ID],FME_Input[ROAD_MILES100])</f>
        <v>790.8162841796875</v>
      </c>
      <c r="AB27" s="178">
        <f>(FME_Ranking1[[#This Row],[Miles Raw]]/$AA$2)*100</f>
        <v>10.397815741369131</v>
      </c>
      <c r="AC27" s="178">
        <f>FME_Ranking1[[#This Row],[Miles Score (Normalized, Unweighted)]]*$AA$3</f>
        <v>1.0397815741369132</v>
      </c>
      <c r="AD27" s="255">
        <f>_xlfn.XLOOKUP(FME_Ranking1[[#This Row],[FME ID]],FME_Input[FME_ID],FME_Input[FARMACRE100])</f>
        <v>31559.98046875</v>
      </c>
      <c r="AE27" s="230">
        <f>(FME_Ranking1[[#This Row],[Ag Land Raw]]/$AD$2)*100</f>
        <v>1.3013923161622427</v>
      </c>
      <c r="AF27" s="231">
        <f>FME_Ranking1[[#This Row],[Ag Land Score (Normalized, Unweighted)]]*$AD$3</f>
        <v>6.5069615808112144E-2</v>
      </c>
      <c r="AG2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14.754592723343574</v>
      </c>
      <c r="AH27" s="406">
        <f t="shared" si="0"/>
        <v>25</v>
      </c>
      <c r="AI2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14.754592723343574</v>
      </c>
      <c r="AJ27" s="257">
        <f>FME_Ranking1[[#This Row],[Addition check]]-FME_Ranking1[[#This Row],[Weighted Score Based on Normalized Reported Factors]]</f>
        <v>0</v>
      </c>
      <c r="AK27" s="178">
        <f>_xlfn.RANK.EQ(AI27,$AI$6:$AI$2341,0)+COUNTIF($AI$6:AI27,AI27)-1</f>
        <v>25</v>
      </c>
    </row>
    <row r="28" spans="1:37" ht="12" customHeight="1" x14ac:dyDescent="0.25">
      <c r="A28" t="s">
        <v>2050</v>
      </c>
      <c r="B28">
        <f>_xlfn.XLOOKUP(FME_Ranking1[[#This Row],[FME ID]],FME_Input[FME_ID],FME_Input[RFPG_NUM])</f>
        <v>6</v>
      </c>
      <c r="C28" t="str">
        <f>_xlfn.XLOOKUP(FME_Ranking1[[#This Row],[FME ID]],FME_Input[FME_ID],FME_Input[FME_NAME])</f>
        <v>Houston Braeburn Glen Area Flood Mitigation</v>
      </c>
      <c r="D28" t="str">
        <f>_xlfn.XLOOKUP(FME_Ranking1[[#This Row],[FME ID]],FME_Input[FME_ID],FME_Input[DESCR])</f>
        <v xml:space="preserve">Further study of a proposed project that includes upsizing of the existing stormwater system with new pipes, inlets, and manholes. Lateral improvement will be completed on Mahoning Drive and Valley View Lane. </v>
      </c>
      <c r="E28" s="256">
        <f>_xlfn.XLOOKUP(FME_Ranking1[[#This Row],[FME ID]],FME_Input[FME_ID],FME_Input[FME_COST])</f>
        <v>30000</v>
      </c>
      <c r="F28" t="str">
        <f>_xlfn.XLOOKUP(FME_Ranking1[[#This Row],[FME ID]],FME_Input[FME_ID],FME_Input[EMER_NEED])</f>
        <v>No</v>
      </c>
      <c r="G28">
        <f>IF(FME_Ranking!F28="Yes",100,0)</f>
        <v>0</v>
      </c>
      <c r="H28">
        <f>FME_Ranking1[[#This Row],[Emergency Need Score (Normalized, Unweighted)]]*$F$3</f>
        <v>0</v>
      </c>
      <c r="I28" s="246">
        <f>_xlfn.XLOOKUP(FME_Ranking1[[#This Row],[FME ID]],FME_Input[FME_ID],FME_Input[STRUCT_100])</f>
        <v>32129</v>
      </c>
      <c r="J28" s="178">
        <f>(FME_Ranking1[[#This Row],[Structures 100 Raw]]/I$2)*100</f>
        <v>17.204836567707666</v>
      </c>
      <c r="K28" s="178">
        <f>FME_Ranking1[[#This Row],[Structures 100  Score (Normalized, Unweighted)]]*$I$3</f>
        <v>2.5807254851561496</v>
      </c>
      <c r="L28" s="246">
        <f>_xlfn.XLOOKUP(FME_Ranking1[[#This Row],[FME ID]],FME_Input[FME_ID],FME_Input[RES_STRUCT100])</f>
        <v>29534</v>
      </c>
      <c r="M28" s="230">
        <f>(FME_Ranking1[[#This Row],[Res Structures Raw]]/L$2)*100</f>
        <v>20.919097335354365</v>
      </c>
      <c r="N28" s="180">
        <f>FME_Ranking1[[#This Row],[Res Structures Score (Normalized, Unweighted)]]*$L$3</f>
        <v>2.0919097335354366</v>
      </c>
      <c r="O28" s="244">
        <f>_xlfn.XLOOKUP(FME_Ranking1[[#This Row],[FME ID]],FME_Input[FME_ID],FME_Input[POP100])</f>
        <v>267993</v>
      </c>
      <c r="P28" s="178">
        <f>(FME_Ranking1[[#This Row],[Pop Raw]]/$O$2)*100</f>
        <v>27.43586698580464</v>
      </c>
      <c r="Q28" s="178">
        <f>FME_Ranking1[[#This Row],[Pop Score (Normalized, Unweighted)]]*$O$3</f>
        <v>4.1153800478706959</v>
      </c>
      <c r="R28" s="137">
        <f>_xlfn.XLOOKUP(FME_Ranking1[[#This Row],[FME ID]],FME_Input[FME_ID],FME_Input[CRITFAC100])</f>
        <v>448</v>
      </c>
      <c r="S28" s="230">
        <f>(FME_Ranking1[[#This Row],[Critical Facilities Raw]]/$R$2)*100</f>
        <v>19.210977701543737</v>
      </c>
      <c r="T28" s="180">
        <f>FME_Ranking1[[#This Row],[Critical Facilities Score (Normalized, Unweighted)]]*$R$3</f>
        <v>3.8421955403087473</v>
      </c>
      <c r="U28">
        <f>_xlfn.XLOOKUP(FME_Ranking1[[#This Row],[FME ID]],FME_Input[FME_ID],FME_Input[LWC])</f>
        <v>1</v>
      </c>
      <c r="V28" s="178">
        <f>(FME_Ranking1[[#This Row],[LWC Raw]]/$U$2)*100</f>
        <v>5.7570523891767422E-2</v>
      </c>
      <c r="W28" s="178">
        <f>FME_Ranking1[[#This Row],[LWC Score (Normalized, Unweighted)]]*$U$3</f>
        <v>1.1514104778353485E-2</v>
      </c>
      <c r="X28" s="246">
        <f>_xlfn.XLOOKUP(FME_Ranking1[[#This Row],[FME ID]],FME_Input[FME_ID],FME_Input[ROADCLS])</f>
        <v>1</v>
      </c>
      <c r="Y28" s="230">
        <f>(FME_Ranking1[[#This Row],[Closures Raw]]/$X$2)*100</f>
        <v>1.0514141520344864E-2</v>
      </c>
      <c r="Z28" s="180">
        <f>FME_Ranking1[[#This Row],[Closures Score (Normalized, Unweighted)]]*$X$3</f>
        <v>5.2570707601724321E-4</v>
      </c>
      <c r="AA28" s="253">
        <f>_xlfn.XLOOKUP(FME_Ranking1[[#This Row],[FME ID]],FME_Input[FME_ID],FME_Input[ROAD_MILES100])</f>
        <v>412.19985961914063</v>
      </c>
      <c r="AB28" s="178">
        <f>(FME_Ranking1[[#This Row],[Miles Raw]]/$AA$2)*100</f>
        <v>5.4196888388355386</v>
      </c>
      <c r="AC28" s="178">
        <f>FME_Ranking1[[#This Row],[Miles Score (Normalized, Unweighted)]]*$AA$3</f>
        <v>0.54196888388355391</v>
      </c>
      <c r="AD28" s="255">
        <f>_xlfn.XLOOKUP(FME_Ranking1[[#This Row],[FME ID]],FME_Input[FME_ID],FME_Input[FARMACRE100])</f>
        <v>41.825786590576172</v>
      </c>
      <c r="AE28" s="230">
        <f>(FME_Ranking1[[#This Row],[Ag Land Raw]]/$AD$2)*100</f>
        <v>1.7247082057073749E-3</v>
      </c>
      <c r="AF28" s="231">
        <f>FME_Ranking1[[#This Row],[Ag Land Score (Normalized, Unweighted)]]*$AD$3</f>
        <v>8.6235410285368753E-5</v>
      </c>
      <c r="AG2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13.184305738019239</v>
      </c>
      <c r="AH28" s="406">
        <f t="shared" si="0"/>
        <v>26</v>
      </c>
      <c r="AI2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13.184305738019239</v>
      </c>
      <c r="AJ28" s="257">
        <f>FME_Ranking1[[#This Row],[Addition check]]-FME_Ranking1[[#This Row],[Weighted Score Based on Normalized Reported Factors]]</f>
        <v>0</v>
      </c>
      <c r="AK28" s="178">
        <f>_xlfn.RANK.EQ(AI28,$AI$6:$AI$2341,0)+COUNTIF($AI$6:AI28,AI28)-1</f>
        <v>26</v>
      </c>
    </row>
    <row r="29" spans="1:37" ht="12" customHeight="1" x14ac:dyDescent="0.25">
      <c r="A29" t="s">
        <v>2112</v>
      </c>
      <c r="B29">
        <f>_xlfn.XLOOKUP(FME_Ranking1[[#This Row],[FME ID]],FME_Input[FME_ID],FME_Input[RFPG_NUM])</f>
        <v>6</v>
      </c>
      <c r="C29" t="str">
        <f>_xlfn.XLOOKUP(FME_Ranking1[[#This Row],[FME ID]],FME_Input[FME_ID],FME_Input[FME_NAME])</f>
        <v>Houston Huntington Village Area Flood Mitigation</v>
      </c>
      <c r="D29" t="str">
        <f>_xlfn.XLOOKUP(FME_Ranking1[[#This Row],[FME ID]],FME_Input[FME_ID],FME_Input[DESCR])</f>
        <v>Further study to develop this project into a FMP.  The project includes storm sewer improvements in the Huntington Village neighborhood to reduce structural flood loss.</v>
      </c>
      <c r="E29" s="256">
        <f>_xlfn.XLOOKUP(FME_Ranking1[[#This Row],[FME ID]],FME_Input[FME_ID],FME_Input[FME_COST])</f>
        <v>30000</v>
      </c>
      <c r="F29" t="str">
        <f>_xlfn.XLOOKUP(FME_Ranking1[[#This Row],[FME ID]],FME_Input[FME_ID],FME_Input[EMER_NEED])</f>
        <v>No</v>
      </c>
      <c r="G29">
        <f>IF(FME_Ranking!F29="Yes",100,0)</f>
        <v>0</v>
      </c>
      <c r="H29">
        <f>FME_Ranking1[[#This Row],[Emergency Need Score (Normalized, Unweighted)]]*$F$3</f>
        <v>0</v>
      </c>
      <c r="I29" s="246">
        <f>_xlfn.XLOOKUP(FME_Ranking1[[#This Row],[FME ID]],FME_Input[FME_ID],FME_Input[STRUCT_100])</f>
        <v>32129</v>
      </c>
      <c r="J29" s="178">
        <f>(FME_Ranking1[[#This Row],[Structures 100 Raw]]/I$2)*100</f>
        <v>17.204836567707666</v>
      </c>
      <c r="K29" s="178">
        <f>FME_Ranking1[[#This Row],[Structures 100  Score (Normalized, Unweighted)]]*$I$3</f>
        <v>2.5807254851561496</v>
      </c>
      <c r="L29" s="246">
        <f>_xlfn.XLOOKUP(FME_Ranking1[[#This Row],[FME ID]],FME_Input[FME_ID],FME_Input[RES_STRUCT100])</f>
        <v>29534</v>
      </c>
      <c r="M29" s="230">
        <f>(FME_Ranking1[[#This Row],[Res Structures Raw]]/L$2)*100</f>
        <v>20.919097335354365</v>
      </c>
      <c r="N29" s="180">
        <f>FME_Ranking1[[#This Row],[Res Structures Score (Normalized, Unweighted)]]*$L$3</f>
        <v>2.0919097335354366</v>
      </c>
      <c r="O29" s="244">
        <f>_xlfn.XLOOKUP(FME_Ranking1[[#This Row],[FME ID]],FME_Input[FME_ID],FME_Input[POP100])</f>
        <v>267993</v>
      </c>
      <c r="P29" s="178">
        <f>(FME_Ranking1[[#This Row],[Pop Raw]]/$O$2)*100</f>
        <v>27.43586698580464</v>
      </c>
      <c r="Q29" s="178">
        <f>FME_Ranking1[[#This Row],[Pop Score (Normalized, Unweighted)]]*$O$3</f>
        <v>4.1153800478706959</v>
      </c>
      <c r="R29" s="137">
        <f>_xlfn.XLOOKUP(FME_Ranking1[[#This Row],[FME ID]],FME_Input[FME_ID],FME_Input[CRITFAC100])</f>
        <v>448</v>
      </c>
      <c r="S29" s="230">
        <f>(FME_Ranking1[[#This Row],[Critical Facilities Raw]]/$R$2)*100</f>
        <v>19.210977701543737</v>
      </c>
      <c r="T29" s="180">
        <f>FME_Ranking1[[#This Row],[Critical Facilities Score (Normalized, Unweighted)]]*$R$3</f>
        <v>3.8421955403087473</v>
      </c>
      <c r="U29">
        <f>_xlfn.XLOOKUP(FME_Ranking1[[#This Row],[FME ID]],FME_Input[FME_ID],FME_Input[LWC])</f>
        <v>1</v>
      </c>
      <c r="V29" s="178">
        <f>(FME_Ranking1[[#This Row],[LWC Raw]]/$U$2)*100</f>
        <v>5.7570523891767422E-2</v>
      </c>
      <c r="W29" s="178">
        <f>FME_Ranking1[[#This Row],[LWC Score (Normalized, Unweighted)]]*$U$3</f>
        <v>1.1514104778353485E-2</v>
      </c>
      <c r="X29" s="246">
        <f>_xlfn.XLOOKUP(FME_Ranking1[[#This Row],[FME ID]],FME_Input[FME_ID],FME_Input[ROADCLS])</f>
        <v>1</v>
      </c>
      <c r="Y29" s="230">
        <f>(FME_Ranking1[[#This Row],[Closures Raw]]/$X$2)*100</f>
        <v>1.0514141520344864E-2</v>
      </c>
      <c r="Z29" s="180">
        <f>FME_Ranking1[[#This Row],[Closures Score (Normalized, Unweighted)]]*$X$3</f>
        <v>5.2570707601724321E-4</v>
      </c>
      <c r="AA29" s="253">
        <f>_xlfn.XLOOKUP(FME_Ranking1[[#This Row],[FME ID]],FME_Input[FME_ID],FME_Input[ROAD_MILES100])</f>
        <v>412.19985961914063</v>
      </c>
      <c r="AB29" s="178">
        <f>(FME_Ranking1[[#This Row],[Miles Raw]]/$AA$2)*100</f>
        <v>5.4196888388355386</v>
      </c>
      <c r="AC29" s="178">
        <f>FME_Ranking1[[#This Row],[Miles Score (Normalized, Unweighted)]]*$AA$3</f>
        <v>0.54196888388355391</v>
      </c>
      <c r="AD29" s="255">
        <f>_xlfn.XLOOKUP(FME_Ranking1[[#This Row],[FME ID]],FME_Input[FME_ID],FME_Input[FARMACRE100])</f>
        <v>41.825786590576172</v>
      </c>
      <c r="AE29" s="230">
        <f>(FME_Ranking1[[#This Row],[Ag Land Raw]]/$AD$2)*100</f>
        <v>1.7247082057073749E-3</v>
      </c>
      <c r="AF29" s="231">
        <f>FME_Ranking1[[#This Row],[Ag Land Score (Normalized, Unweighted)]]*$AD$3</f>
        <v>8.6235410285368753E-5</v>
      </c>
      <c r="AG2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13.184305738019239</v>
      </c>
      <c r="AH29" s="406">
        <f t="shared" si="0"/>
        <v>26</v>
      </c>
      <c r="AI2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13.184305738019239</v>
      </c>
      <c r="AJ29" s="257">
        <f>FME_Ranking1[[#This Row],[Addition check]]-FME_Ranking1[[#This Row],[Weighted Score Based on Normalized Reported Factors]]</f>
        <v>0</v>
      </c>
      <c r="AK29" s="178">
        <f>_xlfn.RANK.EQ(AI29,$AI$6:$AI$2341,0)+COUNTIF($AI$6:AI29,AI29)-1</f>
        <v>27</v>
      </c>
    </row>
    <row r="30" spans="1:37" ht="12" customHeight="1" x14ac:dyDescent="0.25">
      <c r="A30" t="s">
        <v>8978</v>
      </c>
      <c r="B30">
        <f>_xlfn.XLOOKUP(FME_Ranking1[[#This Row],[FME ID]],FME_Input[FME_ID],FME_Input[RFPG_NUM])</f>
        <v>11</v>
      </c>
      <c r="C30" t="str">
        <f>_xlfn.XLOOKUP(FME_Ranking1[[#This Row],[FME ID]],FME_Input[FME_ID],FME_Input[FME_NAME])</f>
        <v>GBRA FEMA Cooperating Technical Partners (CTP) Modeling and Mapping</v>
      </c>
      <c r="D30" t="str">
        <f>_xlfn.XLOOKUP(FME_Ranking1[[#This Row],[FME ID]],FME_Input[FME_ID],FME_Input[DESCR])</f>
        <v>GBRA has entered into a partnership with FEMA by which GBRA commissions an engineering firm to perform flood inundation modeling and mapping, and dams in series modeling.</v>
      </c>
      <c r="E30" s="256">
        <f>_xlfn.XLOOKUP(FME_Ranking1[[#This Row],[FME ID]],FME_Input[FME_ID],FME_Input[FME_COST])</f>
        <v>250000</v>
      </c>
      <c r="F30" t="str">
        <f>_xlfn.XLOOKUP(FME_Ranking1[[#This Row],[FME ID]],FME_Input[FME_ID],FME_Input[EMER_NEED])</f>
        <v>No</v>
      </c>
      <c r="G30">
        <f>IF(FME_Ranking!F30="Yes",100,0)</f>
        <v>0</v>
      </c>
      <c r="H30">
        <f>FME_Ranking1[[#This Row],[Emergency Need Score (Normalized, Unweighted)]]*$F$3</f>
        <v>0</v>
      </c>
      <c r="I30" s="246">
        <f>_xlfn.XLOOKUP(FME_Ranking1[[#This Row],[FME ID]],FME_Input[FME_ID],FME_Input[STRUCT_100])</f>
        <v>22831</v>
      </c>
      <c r="J30" s="178">
        <f>(FME_Ranking1[[#This Row],[Structures 100 Raw]]/I$2)*100</f>
        <v>12.225827871310457</v>
      </c>
      <c r="K30" s="178">
        <f>FME_Ranking1[[#This Row],[Structures 100  Score (Normalized, Unweighted)]]*$I$3</f>
        <v>1.8338741806965686</v>
      </c>
      <c r="L30" s="246">
        <f>_xlfn.XLOOKUP(FME_Ranking1[[#This Row],[FME ID]],FME_Input[FME_ID],FME_Input[RES_STRUCT100])</f>
        <v>16352</v>
      </c>
      <c r="M30" s="230">
        <f>(FME_Ranking1[[#This Row],[Res Structures Raw]]/L$2)*100</f>
        <v>11.582213029989658</v>
      </c>
      <c r="N30" s="180">
        <f>FME_Ranking1[[#This Row],[Res Structures Score (Normalized, Unweighted)]]*$L$3</f>
        <v>1.1582213029989659</v>
      </c>
      <c r="O30" s="244">
        <f>_xlfn.XLOOKUP(FME_Ranking1[[#This Row],[FME ID]],FME_Input[FME_ID],FME_Input[POP100])</f>
        <v>55779</v>
      </c>
      <c r="P30" s="178">
        <f>(FME_Ranking1[[#This Row],[Pop Raw]]/$O$2)*100</f>
        <v>5.7103925274212273</v>
      </c>
      <c r="Q30" s="178">
        <f>FME_Ranking1[[#This Row],[Pop Score (Normalized, Unweighted)]]*$O$3</f>
        <v>0.85655887911318407</v>
      </c>
      <c r="R30" s="137">
        <f>_xlfn.XLOOKUP(FME_Ranking1[[#This Row],[FME ID]],FME_Input[FME_ID],FME_Input[CRITFAC100])</f>
        <v>126</v>
      </c>
      <c r="S30" s="230">
        <f>(FME_Ranking1[[#This Row],[Critical Facilities Raw]]/$R$2)*100</f>
        <v>5.4030874785591765</v>
      </c>
      <c r="T30" s="180">
        <f>FME_Ranking1[[#This Row],[Critical Facilities Score (Normalized, Unweighted)]]*$R$3</f>
        <v>1.0806174957118353</v>
      </c>
      <c r="U30">
        <f>_xlfn.XLOOKUP(FME_Ranking1[[#This Row],[FME ID]],FME_Input[FME_ID],FME_Input[LWC])</f>
        <v>467</v>
      </c>
      <c r="V30" s="178">
        <f>(FME_Ranking1[[#This Row],[LWC Raw]]/$U$2)*100</f>
        <v>26.885434657455381</v>
      </c>
      <c r="W30" s="178">
        <f>FME_Ranking1[[#This Row],[LWC Score (Normalized, Unweighted)]]*$U$3</f>
        <v>5.3770869314910765</v>
      </c>
      <c r="X30" s="246">
        <f>_xlfn.XLOOKUP(FME_Ranking1[[#This Row],[FME ID]],FME_Input[FME_ID],FME_Input[ROADCLS])</f>
        <v>0</v>
      </c>
      <c r="Y30" s="230">
        <f>(FME_Ranking1[[#This Row],[Closures Raw]]/$X$2)*100</f>
        <v>0</v>
      </c>
      <c r="Z30" s="180">
        <f>FME_Ranking1[[#This Row],[Closures Score (Normalized, Unweighted)]]*$X$3</f>
        <v>0</v>
      </c>
      <c r="AA30" s="253">
        <f>_xlfn.XLOOKUP(FME_Ranking1[[#This Row],[FME ID]],FME_Input[FME_ID],FME_Input[ROAD_MILES100])</f>
        <v>767.491943359375</v>
      </c>
      <c r="AB30" s="178">
        <f>(FME_Ranking1[[#This Row],[Miles Raw]]/$AA$2)*100</f>
        <v>10.091142493751232</v>
      </c>
      <c r="AC30" s="178">
        <f>FME_Ranking1[[#This Row],[Miles Score (Normalized, Unweighted)]]*$AA$3</f>
        <v>1.0091142493751233</v>
      </c>
      <c r="AD30" s="255">
        <f>_xlfn.XLOOKUP(FME_Ranking1[[#This Row],[FME ID]],FME_Input[FME_ID],FME_Input[FARMACRE100])</f>
        <v>304947.21875</v>
      </c>
      <c r="AE30" s="230">
        <f>(FME_Ranking1[[#This Row],[Ag Land Raw]]/$AD$2)*100</f>
        <v>12.57465820390018</v>
      </c>
      <c r="AF30" s="231">
        <f>FME_Ranking1[[#This Row],[Ag Land Score (Normalized, Unweighted)]]*$AD$3</f>
        <v>0.62873291019500899</v>
      </c>
      <c r="AG3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11.944205949581763</v>
      </c>
      <c r="AH30" s="406">
        <f t="shared" si="0"/>
        <v>28</v>
      </c>
      <c r="AI3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11.944205949581763</v>
      </c>
      <c r="AJ30" s="257">
        <f>FME_Ranking1[[#This Row],[Addition check]]-FME_Ranking1[[#This Row],[Weighted Score Based on Normalized Reported Factors]]</f>
        <v>0</v>
      </c>
      <c r="AK30" s="178">
        <f>_xlfn.RANK.EQ(AI30,$AI$6:$AI$2341,0)+COUNTIF($AI$6:AI30,AI30)-1</f>
        <v>28</v>
      </c>
    </row>
    <row r="31" spans="1:37" ht="12" customHeight="1" x14ac:dyDescent="0.25">
      <c r="A31" t="s">
        <v>4071</v>
      </c>
      <c r="B31">
        <f>_xlfn.XLOOKUP(FME_Ranking1[[#This Row],[FME ID]],FME_Input[FME_ID],FME_Input[RFPG_NUM])</f>
        <v>3</v>
      </c>
      <c r="C31" t="str">
        <f>_xlfn.XLOOKUP(FME_Ranking1[[#This Row],[FME ID]],FME_Input[FME_ID],FME_Input[FME_NAME])</f>
        <v>Tarrant County Dam Inundation Study</v>
      </c>
      <c r="D31" t="str">
        <f>_xlfn.XLOOKUP(FME_Ranking1[[#This Row],[FME ID]],FME_Input[FME_ID],FME_Input[DESCR])</f>
        <v xml:space="preserve">Identify and evaluate high hazard dams. </v>
      </c>
      <c r="E31" s="256">
        <f>_xlfn.XLOOKUP(FME_Ranking1[[#This Row],[FME ID]],FME_Input[FME_ID],FME_Input[FME_COST])</f>
        <v>604000</v>
      </c>
      <c r="F31" t="str">
        <f>_xlfn.XLOOKUP(FME_Ranking1[[#This Row],[FME ID]],FME_Input[FME_ID],FME_Input[EMER_NEED])</f>
        <v>No</v>
      </c>
      <c r="G31">
        <f>IF(FME_Ranking!F31="Yes",100,0)</f>
        <v>0</v>
      </c>
      <c r="H31">
        <f>FME_Ranking1[[#This Row],[Emergency Need Score (Normalized, Unweighted)]]*$F$3</f>
        <v>0</v>
      </c>
      <c r="I31" s="246">
        <f>_xlfn.XLOOKUP(FME_Ranking1[[#This Row],[FME ID]],FME_Input[FME_ID],FME_Input[STRUCT_100])</f>
        <v>14855</v>
      </c>
      <c r="J31" s="178">
        <f>(FME_Ranking1[[#This Row],[Structures 100 Raw]]/I$2)*100</f>
        <v>7.9547401790686711</v>
      </c>
      <c r="K31" s="178">
        <f>FME_Ranking1[[#This Row],[Structures 100  Score (Normalized, Unweighted)]]*$I$3</f>
        <v>1.1932110268603007</v>
      </c>
      <c r="L31" s="246">
        <f>_xlfn.XLOOKUP(FME_Ranking1[[#This Row],[FME ID]],FME_Input[FME_ID],FME_Input[RES_STRUCT100])</f>
        <v>12826</v>
      </c>
      <c r="M31" s="230">
        <f>(FME_Ranking1[[#This Row],[Res Structures Raw]]/L$2)*100</f>
        <v>9.0847275148390025</v>
      </c>
      <c r="N31" s="180">
        <f>FME_Ranking1[[#This Row],[Res Structures Score (Normalized, Unweighted)]]*$L$3</f>
        <v>0.90847275148390028</v>
      </c>
      <c r="O31" s="244">
        <f>_xlfn.XLOOKUP(FME_Ranking1[[#This Row],[FME ID]],FME_Input[FME_ID],FME_Input[POP100])</f>
        <v>78228</v>
      </c>
      <c r="P31" s="178">
        <f>(FME_Ranking1[[#This Row],[Pop Raw]]/$O$2)*100</f>
        <v>8.0086159062569742</v>
      </c>
      <c r="Q31" s="178">
        <f>FME_Ranking1[[#This Row],[Pop Score (Normalized, Unweighted)]]*$O$3</f>
        <v>1.201292385938546</v>
      </c>
      <c r="R31" s="137">
        <f>_xlfn.XLOOKUP(FME_Ranking1[[#This Row],[FME ID]],FME_Input[FME_ID],FME_Input[CRITFAC100])</f>
        <v>164</v>
      </c>
      <c r="S31" s="230">
        <f>(FME_Ranking1[[#This Row],[Critical Facilities Raw]]/$R$2)*100</f>
        <v>7.0325900514579764</v>
      </c>
      <c r="T31" s="180">
        <f>FME_Ranking1[[#This Row],[Critical Facilities Score (Normalized, Unweighted)]]*$R$3</f>
        <v>1.4065180102915953</v>
      </c>
      <c r="U31">
        <f>_xlfn.XLOOKUP(FME_Ranking1[[#This Row],[FME ID]],FME_Input[FME_ID],FME_Input[LWC])</f>
        <v>531</v>
      </c>
      <c r="V31" s="178">
        <f>(FME_Ranking1[[#This Row],[LWC Raw]]/$U$2)*100</f>
        <v>30.569948186528496</v>
      </c>
      <c r="W31" s="178">
        <f>FME_Ranking1[[#This Row],[LWC Score (Normalized, Unweighted)]]*$U$3</f>
        <v>6.1139896373056999</v>
      </c>
      <c r="X31" s="246">
        <f>_xlfn.XLOOKUP(FME_Ranking1[[#This Row],[FME ID]],FME_Input[FME_ID],FME_Input[ROADCLS])</f>
        <v>0</v>
      </c>
      <c r="Y31" s="230">
        <f>(FME_Ranking1[[#This Row],[Closures Raw]]/$X$2)*100</f>
        <v>0</v>
      </c>
      <c r="Z31" s="180">
        <f>FME_Ranking1[[#This Row],[Closures Score (Normalized, Unweighted)]]*$X$3</f>
        <v>0</v>
      </c>
      <c r="AA31" s="253">
        <f>_xlfn.XLOOKUP(FME_Ranking1[[#This Row],[FME ID]],FME_Input[FME_ID],FME_Input[ROAD_MILES100])</f>
        <v>467.78640747070313</v>
      </c>
      <c r="AB31" s="178">
        <f>(FME_Ranking1[[#This Row],[Miles Raw]]/$AA$2)*100</f>
        <v>6.1505522439295319</v>
      </c>
      <c r="AC31" s="178">
        <f>FME_Ranking1[[#This Row],[Miles Score (Normalized, Unweighted)]]*$AA$3</f>
        <v>0.61505522439295324</v>
      </c>
      <c r="AD31" s="255">
        <f>_xlfn.XLOOKUP(FME_Ranking1[[#This Row],[FME ID]],FME_Input[FME_ID],FME_Input[FARMACRE100])</f>
        <v>20102</v>
      </c>
      <c r="AE31" s="230">
        <f>(FME_Ranking1[[#This Row],[Ag Land Raw]]/$AD$2)*100</f>
        <v>0.82891649332283468</v>
      </c>
      <c r="AF31" s="231">
        <f>FME_Ranking1[[#This Row],[Ag Land Score (Normalized, Unweighted)]]*$AD$3</f>
        <v>4.1445824666141738E-2</v>
      </c>
      <c r="AG3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11.479984860939137</v>
      </c>
      <c r="AH31" s="406">
        <f t="shared" si="0"/>
        <v>29</v>
      </c>
      <c r="AI3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11.479984860939137</v>
      </c>
      <c r="AJ31" s="257">
        <f>FME_Ranking1[[#This Row],[Addition check]]-FME_Ranking1[[#This Row],[Weighted Score Based on Normalized Reported Factors]]</f>
        <v>0</v>
      </c>
      <c r="AK31" s="178">
        <f>_xlfn.RANK.EQ(AI31,$AI$6:$AI$2341,0)+COUNTIF($AI$6:AI31,AI31)-1</f>
        <v>29</v>
      </c>
    </row>
    <row r="32" spans="1:37" ht="12" customHeight="1" x14ac:dyDescent="0.25">
      <c r="A32" t="s">
        <v>8154</v>
      </c>
      <c r="B32">
        <f>_xlfn.XLOOKUP(FME_Ranking1[[#This Row],[FME ID]],FME_Input[FME_ID],FME_Input[RFPG_NUM])</f>
        <v>9</v>
      </c>
      <c r="C32" t="str">
        <f>_xlfn.XLOOKUP(FME_Ranking1[[#This Row],[FME ID]],FME_Input[FME_ID],FME_Input[FME_NAME])</f>
        <v>Upper Colorado Warning System Outreach and Study</v>
      </c>
      <c r="D32" t="str">
        <f>_xlfn.XLOOKUP(FME_Ranking1[[#This Row],[FME ID]],FME_Input[FME_ID],FME_Input[DESCR])</f>
        <v>Basin-wide Study Program: Improve on Warning signs, lights, or systems.</v>
      </c>
      <c r="E32" s="256">
        <f>_xlfn.XLOOKUP(FME_Ranking1[[#This Row],[FME ID]],FME_Input[FME_ID],FME_Input[FME_COST])</f>
        <v>100000</v>
      </c>
      <c r="F32" t="str">
        <f>_xlfn.XLOOKUP(FME_Ranking1[[#This Row],[FME ID]],FME_Input[FME_ID],FME_Input[EMER_NEED])</f>
        <v>No</v>
      </c>
      <c r="G32">
        <f>IF(FME_Ranking!F32="Yes",100,0)</f>
        <v>0</v>
      </c>
      <c r="H32">
        <f>FME_Ranking1[[#This Row],[Emergency Need Score (Normalized, Unweighted)]]*$F$3</f>
        <v>0</v>
      </c>
      <c r="I32" s="246">
        <f>_xlfn.XLOOKUP(FME_Ranking1[[#This Row],[FME ID]],FME_Input[FME_ID],FME_Input[STRUCT_100])</f>
        <v>36361</v>
      </c>
      <c r="J32" s="178">
        <f>(FME_Ranking1[[#This Row],[Structures 100 Raw]]/I$2)*100</f>
        <v>19.471040568907167</v>
      </c>
      <c r="K32" s="178">
        <f>FME_Ranking1[[#This Row],[Structures 100  Score (Normalized, Unweighted)]]*$I$3</f>
        <v>2.9206560853360748</v>
      </c>
      <c r="L32" s="246">
        <f>_xlfn.XLOOKUP(FME_Ranking1[[#This Row],[FME ID]],FME_Input[FME_ID],FME_Input[RES_STRUCT100])</f>
        <v>23637</v>
      </c>
      <c r="M32" s="230">
        <f>(FME_Ranking1[[#This Row],[Res Structures Raw]]/L$2)*100</f>
        <v>16.742219263078866</v>
      </c>
      <c r="N32" s="180">
        <f>FME_Ranking1[[#This Row],[Res Structures Score (Normalized, Unweighted)]]*$L$3</f>
        <v>1.6742219263078866</v>
      </c>
      <c r="O32" s="244">
        <f>_xlfn.XLOOKUP(FME_Ranking1[[#This Row],[FME ID]],FME_Input[FME_ID],FME_Input[POP100])</f>
        <v>81195</v>
      </c>
      <c r="P32" s="178">
        <f>(FME_Ranking1[[#This Row],[Pop Raw]]/$O$2)*100</f>
        <v>8.3123634569276348</v>
      </c>
      <c r="Q32" s="178">
        <f>FME_Ranking1[[#This Row],[Pop Score (Normalized, Unweighted)]]*$O$3</f>
        <v>1.2468545185391451</v>
      </c>
      <c r="R32" s="137">
        <f>_xlfn.XLOOKUP(FME_Ranking1[[#This Row],[FME ID]],FME_Input[FME_ID],FME_Input[CRITFAC100])</f>
        <v>56</v>
      </c>
      <c r="S32" s="230">
        <f>(FME_Ranking1[[#This Row],[Critical Facilities Raw]]/$R$2)*100</f>
        <v>2.4013722126929671</v>
      </c>
      <c r="T32" s="180">
        <f>FME_Ranking1[[#This Row],[Critical Facilities Score (Normalized, Unweighted)]]*$R$3</f>
        <v>0.48027444253859342</v>
      </c>
      <c r="U32">
        <f>_xlfn.XLOOKUP(FME_Ranking1[[#This Row],[FME ID]],FME_Input[FME_ID],FME_Input[LWC])</f>
        <v>255</v>
      </c>
      <c r="V32" s="178">
        <f>(FME_Ranking1[[#This Row],[LWC Raw]]/$U$2)*100</f>
        <v>14.680483592400693</v>
      </c>
      <c r="W32" s="178">
        <f>FME_Ranking1[[#This Row],[LWC Score (Normalized, Unweighted)]]*$U$3</f>
        <v>2.9360967184801385</v>
      </c>
      <c r="X32" s="246">
        <f>_xlfn.XLOOKUP(FME_Ranking1[[#This Row],[FME ID]],FME_Input[FME_ID],FME_Input[ROADCLS])</f>
        <v>0</v>
      </c>
      <c r="Y32" s="230">
        <f>(FME_Ranking1[[#This Row],[Closures Raw]]/$X$2)*100</f>
        <v>0</v>
      </c>
      <c r="Z32" s="180">
        <f>FME_Ranking1[[#This Row],[Closures Score (Normalized, Unweighted)]]*$X$3</f>
        <v>0</v>
      </c>
      <c r="AA32" s="253">
        <f>_xlfn.XLOOKUP(FME_Ranking1[[#This Row],[FME ID]],FME_Input[FME_ID],FME_Input[ROAD_MILES100])</f>
        <v>4338.38916015625</v>
      </c>
      <c r="AB32" s="178">
        <f>(FME_Ranking1[[#This Row],[Miles Raw]]/$AA$2)*100</f>
        <v>57.04203618979615</v>
      </c>
      <c r="AC32" s="178">
        <f>FME_Ranking1[[#This Row],[Miles Score (Normalized, Unweighted)]]*$AA$3</f>
        <v>5.7042036189796157</v>
      </c>
      <c r="AD32" s="255">
        <f>_xlfn.XLOOKUP(FME_Ranking1[[#This Row],[FME ID]],FME_Input[FME_ID],FME_Input[FARMACRE100])</f>
        <v>719343.0625</v>
      </c>
      <c r="AE32" s="230">
        <f>(FME_Ranking1[[#This Row],[Ag Land Raw]]/$AD$2)*100</f>
        <v>29.662487755626742</v>
      </c>
      <c r="AF32" s="231">
        <f>FME_Ranking1[[#This Row],[Ag Land Score (Normalized, Unweighted)]]*$AD$3</f>
        <v>1.4831243877813372</v>
      </c>
      <c r="AG3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16.445431697962793</v>
      </c>
      <c r="AH32" s="406">
        <f t="shared" si="0"/>
        <v>22</v>
      </c>
      <c r="AI3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16.445431697962793</v>
      </c>
      <c r="AJ32" s="257">
        <f>FME_Ranking1[[#This Row],[Addition check]]-FME_Ranking1[[#This Row],[Weighted Score Based on Normalized Reported Factors]]</f>
        <v>0</v>
      </c>
      <c r="AK32" s="178">
        <f>_xlfn.RANK.EQ(AI32,$AI$6:$AI$2341,0)+COUNTIF($AI$6:AI32,AI32)-1</f>
        <v>22</v>
      </c>
    </row>
    <row r="33" spans="1:37" ht="12" customHeight="1" x14ac:dyDescent="0.25">
      <c r="A33" t="s">
        <v>2208</v>
      </c>
      <c r="B33">
        <f>_xlfn.XLOOKUP(FME_Ranking1[[#This Row],[FME ID]],FME_Input[FME_ID],FME_Input[RFPG_NUM])</f>
        <v>6</v>
      </c>
      <c r="C33" t="str">
        <f>_xlfn.XLOOKUP(FME_Ranking1[[#This Row],[FME ID]],FME_Input[FME_ID],FME_Input[FME_NAME])</f>
        <v>Catalina</v>
      </c>
      <c r="D33" t="str">
        <f>_xlfn.XLOOKUP(FME_Ranking1[[#This Row],[FME ID]],FME_Input[FME_ID],FME_Input[DESCR])</f>
        <v>Study to develop a BCR and other data needed to elevate project to a FMP. FIF application information unavailable.</v>
      </c>
      <c r="E33" s="256">
        <f>_xlfn.XLOOKUP(FME_Ranking1[[#This Row],[FME ID]],FME_Input[FME_ID],FME_Input[FME_COST])</f>
        <v>30000</v>
      </c>
      <c r="F33" t="str">
        <f>_xlfn.XLOOKUP(FME_Ranking1[[#This Row],[FME ID]],FME_Input[FME_ID],FME_Input[EMER_NEED])</f>
        <v>No</v>
      </c>
      <c r="G33">
        <f>IF(FME_Ranking!F33="Yes",100,0)</f>
        <v>0</v>
      </c>
      <c r="H33">
        <f>FME_Ranking1[[#This Row],[Emergency Need Score (Normalized, Unweighted)]]*$F$3</f>
        <v>0</v>
      </c>
      <c r="I33" s="246">
        <f>_xlfn.XLOOKUP(FME_Ranking1[[#This Row],[FME ID]],FME_Input[FME_ID],FME_Input[STRUCT_100])</f>
        <v>33653</v>
      </c>
      <c r="J33" s="178">
        <f>(FME_Ranking1[[#This Row],[Structures 100 Raw]]/I$2)*100</f>
        <v>18.020927044510131</v>
      </c>
      <c r="K33" s="178">
        <f>FME_Ranking1[[#This Row],[Structures 100  Score (Normalized, Unweighted)]]*$I$3</f>
        <v>2.7031390566765197</v>
      </c>
      <c r="L33" s="246">
        <f>_xlfn.XLOOKUP(FME_Ranking1[[#This Row],[FME ID]],FME_Input[FME_ID],FME_Input[RES_STRUCT100])</f>
        <v>28408</v>
      </c>
      <c r="M33" s="230">
        <f>(FME_Ranking1[[#This Row],[Res Structures Raw]]/L$2)*100</f>
        <v>20.12154523947812</v>
      </c>
      <c r="N33" s="180">
        <f>FME_Ranking1[[#This Row],[Res Structures Score (Normalized, Unweighted)]]*$L$3</f>
        <v>2.012154523947812</v>
      </c>
      <c r="O33" s="244">
        <f>_xlfn.XLOOKUP(FME_Ranking1[[#This Row],[FME ID]],FME_Input[FME_ID],FME_Input[POP100])</f>
        <v>155360</v>
      </c>
      <c r="P33" s="178">
        <f>(FME_Ranking1[[#This Row],[Pop Raw]]/$O$2)*100</f>
        <v>15.905028470574264</v>
      </c>
      <c r="Q33" s="178">
        <f>FME_Ranking1[[#This Row],[Pop Score (Normalized, Unweighted)]]*$O$3</f>
        <v>2.3857542705861396</v>
      </c>
      <c r="R33" s="137">
        <f>_xlfn.XLOOKUP(FME_Ranking1[[#This Row],[FME ID]],FME_Input[FME_ID],FME_Input[CRITFAC100])</f>
        <v>395</v>
      </c>
      <c r="S33" s="230">
        <f>(FME_Ranking1[[#This Row],[Critical Facilities Raw]]/$R$2)*100</f>
        <v>16.938250428816467</v>
      </c>
      <c r="T33" s="180">
        <f>FME_Ranking1[[#This Row],[Critical Facilities Score (Normalized, Unweighted)]]*$R$3</f>
        <v>3.3876500857632936</v>
      </c>
      <c r="U33">
        <f>_xlfn.XLOOKUP(FME_Ranking1[[#This Row],[FME ID]],FME_Input[FME_ID],FME_Input[LWC])</f>
        <v>16</v>
      </c>
      <c r="V33" s="178">
        <f>(FME_Ranking1[[#This Row],[LWC Raw]]/$U$2)*100</f>
        <v>0.92112838226827876</v>
      </c>
      <c r="W33" s="178">
        <f>FME_Ranking1[[#This Row],[LWC Score (Normalized, Unweighted)]]*$U$3</f>
        <v>0.18422567645365576</v>
      </c>
      <c r="X33" s="246">
        <f>_xlfn.XLOOKUP(FME_Ranking1[[#This Row],[FME ID]],FME_Input[FME_ID],FME_Input[ROADCLS])</f>
        <v>16</v>
      </c>
      <c r="Y33" s="230">
        <f>(FME_Ranking1[[#This Row],[Closures Raw]]/$X$2)*100</f>
        <v>0.16822626432551782</v>
      </c>
      <c r="Z33" s="180">
        <f>FME_Ranking1[[#This Row],[Closures Score (Normalized, Unweighted)]]*$X$3</f>
        <v>8.4113132162758914E-3</v>
      </c>
      <c r="AA33" s="253">
        <f>_xlfn.XLOOKUP(FME_Ranking1[[#This Row],[FME ID]],FME_Input[FME_ID],FME_Input[ROAD_MILES100])</f>
        <v>578.01934814453125</v>
      </c>
      <c r="AB33" s="178">
        <f>(FME_Ranking1[[#This Row],[Miles Raw]]/$AA$2)*100</f>
        <v>7.5999177017294706</v>
      </c>
      <c r="AC33" s="178">
        <f>FME_Ranking1[[#This Row],[Miles Score (Normalized, Unweighted)]]*$AA$3</f>
        <v>0.75999177017294706</v>
      </c>
      <c r="AD33" s="255">
        <f>_xlfn.XLOOKUP(FME_Ranking1[[#This Row],[FME ID]],FME_Input[FME_ID],FME_Input[FARMACRE100])</f>
        <v>596.686767578125</v>
      </c>
      <c r="AE33" s="230">
        <f>(FME_Ranking1[[#This Row],[Ag Land Raw]]/$AD$2)*100</f>
        <v>2.4604691224405367E-2</v>
      </c>
      <c r="AF33" s="231">
        <f>FME_Ranking1[[#This Row],[Ag Land Score (Normalized, Unweighted)]]*$AD$3</f>
        <v>1.2302345612202684E-3</v>
      </c>
      <c r="AG3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11.442556931377863</v>
      </c>
      <c r="AH33" s="406">
        <f t="shared" si="0"/>
        <v>30</v>
      </c>
      <c r="AI3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11.442556931377863</v>
      </c>
      <c r="AJ33" s="257">
        <f>FME_Ranking1[[#This Row],[Addition check]]-FME_Ranking1[[#This Row],[Weighted Score Based on Normalized Reported Factors]]</f>
        <v>0</v>
      </c>
      <c r="AK33" s="178">
        <f>_xlfn.RANK.EQ(AI33,$AI$6:$AI$2341,0)+COUNTIF($AI$6:AI33,AI33)-1</f>
        <v>30</v>
      </c>
    </row>
    <row r="34" spans="1:37" ht="12" customHeight="1" x14ac:dyDescent="0.25">
      <c r="A34" t="s">
        <v>7154</v>
      </c>
      <c r="B34">
        <f>_xlfn.XLOOKUP(FME_Ranking1[[#This Row],[FME ID]],FME_Input[FME_ID],FME_Input[RFPG_NUM])</f>
        <v>7</v>
      </c>
      <c r="C34" t="str">
        <f>_xlfn.XLOOKUP(FME_Ranking1[[#This Row],[FME ID]],FME_Input[FME_ID],FME_Input[FME_NAME])</f>
        <v>Upper Brazos Industry Flood Losses Inventory Evaluation</v>
      </c>
      <c r="D34" t="str">
        <f>_xlfn.XLOOKUP(FME_Ranking1[[#This Row],[FME ID]],FME_Input[FME_ID],FME_Input[DESCR])</f>
        <v>Reduce the vulnerability of agriculture, ranching, energy and forestry to flood-related losses by establishing a baseline measurement.</v>
      </c>
      <c r="E34" s="256">
        <f>_xlfn.XLOOKUP(FME_Ranking1[[#This Row],[FME ID]],FME_Input[FME_ID],FME_Input[FME_COST])</f>
        <v>100000</v>
      </c>
      <c r="F34" t="str">
        <f>_xlfn.XLOOKUP(FME_Ranking1[[#This Row],[FME ID]],FME_Input[FME_ID],FME_Input[EMER_NEED])</f>
        <v>No</v>
      </c>
      <c r="G34">
        <f>IF(FME_Ranking!F34="Yes",100,0)</f>
        <v>0</v>
      </c>
      <c r="H34">
        <f>FME_Ranking1[[#This Row],[Emergency Need Score (Normalized, Unweighted)]]*$F$3</f>
        <v>0</v>
      </c>
      <c r="I34" s="246">
        <f>_xlfn.XLOOKUP(FME_Ranking1[[#This Row],[FME ID]],FME_Input[FME_ID],FME_Input[STRUCT_100])</f>
        <v>28532</v>
      </c>
      <c r="J34" s="178">
        <f>(FME_Ranking1[[#This Row],[Structures 100 Raw]]/I$2)*100</f>
        <v>15.278670265175856</v>
      </c>
      <c r="K34" s="178">
        <f>FME_Ranking1[[#This Row],[Structures 100  Score (Normalized, Unweighted)]]*$I$3</f>
        <v>2.2918005397763785</v>
      </c>
      <c r="L34" s="246">
        <f>_xlfn.XLOOKUP(FME_Ranking1[[#This Row],[FME ID]],FME_Input[FME_ID],FME_Input[RES_STRUCT100])</f>
        <v>19838</v>
      </c>
      <c r="M34" s="230">
        <f>(FME_Ranking1[[#This Row],[Res Structures Raw]]/L$2)*100</f>
        <v>14.051366321485743</v>
      </c>
      <c r="N34" s="180">
        <f>FME_Ranking1[[#This Row],[Res Structures Score (Normalized, Unweighted)]]*$L$3</f>
        <v>1.4051366321485743</v>
      </c>
      <c r="O34" s="244">
        <f>_xlfn.XLOOKUP(FME_Ranking1[[#This Row],[FME ID]],FME_Input[FME_ID],FME_Input[POP100])</f>
        <v>60299</v>
      </c>
      <c r="P34" s="178">
        <f>(FME_Ranking1[[#This Row],[Pop Raw]]/$O$2)*100</f>
        <v>6.1731289376104375</v>
      </c>
      <c r="Q34" s="178">
        <f>FME_Ranking1[[#This Row],[Pop Score (Normalized, Unweighted)]]*$O$3</f>
        <v>0.92596934064156555</v>
      </c>
      <c r="R34" s="137">
        <f>_xlfn.XLOOKUP(FME_Ranking1[[#This Row],[FME ID]],FME_Input[FME_ID],FME_Input[CRITFAC100])</f>
        <v>44</v>
      </c>
      <c r="S34" s="230">
        <f>(FME_Ranking1[[#This Row],[Critical Facilities Raw]]/$R$2)*100</f>
        <v>1.8867924528301887</v>
      </c>
      <c r="T34" s="180">
        <f>FME_Ranking1[[#This Row],[Critical Facilities Score (Normalized, Unweighted)]]*$R$3</f>
        <v>0.37735849056603776</v>
      </c>
      <c r="U34">
        <f>_xlfn.XLOOKUP(FME_Ranking1[[#This Row],[FME ID]],FME_Input[FME_ID],FME_Input[LWC])</f>
        <v>292</v>
      </c>
      <c r="V34" s="178">
        <f>(FME_Ranking1[[#This Row],[LWC Raw]]/$U$2)*100</f>
        <v>16.810592976396084</v>
      </c>
      <c r="W34" s="178">
        <f>FME_Ranking1[[#This Row],[LWC Score (Normalized, Unweighted)]]*$U$3</f>
        <v>3.3621185952792167</v>
      </c>
      <c r="X34" s="246">
        <f>_xlfn.XLOOKUP(FME_Ranking1[[#This Row],[FME ID]],FME_Input[FME_ID],FME_Input[ROADCLS])</f>
        <v>0</v>
      </c>
      <c r="Y34" s="230">
        <f>(FME_Ranking1[[#This Row],[Closures Raw]]/$X$2)*100</f>
        <v>0</v>
      </c>
      <c r="Z34" s="180">
        <f>FME_Ranking1[[#This Row],[Closures Score (Normalized, Unweighted)]]*$X$3</f>
        <v>0</v>
      </c>
      <c r="AA34" s="253">
        <f>_xlfn.XLOOKUP(FME_Ranking1[[#This Row],[FME ID]],FME_Input[FME_ID],FME_Input[ROAD_MILES100])</f>
        <v>5944.06103515625</v>
      </c>
      <c r="AB34" s="178">
        <f>(FME_Ranking1[[#This Row],[Miles Raw]]/$AA$2)*100</f>
        <v>78.153741438338017</v>
      </c>
      <c r="AC34" s="178">
        <f>FME_Ranking1[[#This Row],[Miles Score (Normalized, Unweighted)]]*$AA$3</f>
        <v>7.815374143833802</v>
      </c>
      <c r="AD34" s="255">
        <f>_xlfn.XLOOKUP(FME_Ranking1[[#This Row],[FME ID]],FME_Input[FME_ID],FME_Input[FARMACRE100])</f>
        <v>869137.9375</v>
      </c>
      <c r="AE34" s="230">
        <f>(FME_Ranking1[[#This Row],[Ag Land Raw]]/$AD$2)*100</f>
        <v>35.839357843316144</v>
      </c>
      <c r="AF34" s="231">
        <f>FME_Ranking1[[#This Row],[Ag Land Score (Normalized, Unweighted)]]*$AD$3</f>
        <v>1.7919678921658073</v>
      </c>
      <c r="AG3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17.969725634411382</v>
      </c>
      <c r="AH34" s="406">
        <f t="shared" si="0"/>
        <v>13</v>
      </c>
      <c r="AI3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17.969725634411382</v>
      </c>
      <c r="AJ34" s="257">
        <f>FME_Ranking1[[#This Row],[Addition check]]-FME_Ranking1[[#This Row],[Weighted Score Based on Normalized Reported Factors]]</f>
        <v>0</v>
      </c>
      <c r="AK34" s="178">
        <f>_xlfn.RANK.EQ(AI34,$AI$6:$AI$2341,0)+COUNTIF($AI$6:AI34,AI34)-1</f>
        <v>13</v>
      </c>
    </row>
    <row r="35" spans="1:37" ht="12" customHeight="1" x14ac:dyDescent="0.25">
      <c r="A35" t="s">
        <v>7163</v>
      </c>
      <c r="B35">
        <f>_xlfn.XLOOKUP(FME_Ranking1[[#This Row],[FME ID]],FME_Input[FME_ID],FME_Input[RFPG_NUM])</f>
        <v>7</v>
      </c>
      <c r="C35" t="str">
        <f>_xlfn.XLOOKUP(FME_Ranking1[[#This Row],[FME ID]],FME_Input[FME_ID],FME_Input[FME_NAME])</f>
        <v>Upper Brazos Dam Inventory Evaluation</v>
      </c>
      <c r="D35" t="str">
        <f>_xlfn.XLOOKUP(FME_Ranking1[[#This Row],[FME ID]],FME_Input[FME_ID],FME_Input[DESCR])</f>
        <v>Develop a baseline understanding of the risks associated with high and significant hazard and NRCS dams within the basin, including coordination with the Texas State Soil &amp; Water Conservation Board dam maintenance plan.</v>
      </c>
      <c r="E35" s="256">
        <f>_xlfn.XLOOKUP(FME_Ranking1[[#This Row],[FME ID]],FME_Input[FME_ID],FME_Input[FME_COST])</f>
        <v>750000</v>
      </c>
      <c r="F35" t="str">
        <f>_xlfn.XLOOKUP(FME_Ranking1[[#This Row],[FME ID]],FME_Input[FME_ID],FME_Input[EMER_NEED])</f>
        <v>No</v>
      </c>
      <c r="G35">
        <f>IF(FME_Ranking!F35="Yes",100,0)</f>
        <v>0</v>
      </c>
      <c r="H35">
        <f>FME_Ranking1[[#This Row],[Emergency Need Score (Normalized, Unweighted)]]*$F$3</f>
        <v>0</v>
      </c>
      <c r="I35" s="246">
        <f>_xlfn.XLOOKUP(FME_Ranking1[[#This Row],[FME ID]],FME_Input[FME_ID],FME_Input[STRUCT_100])</f>
        <v>28532</v>
      </c>
      <c r="J35" s="178">
        <f>(FME_Ranking1[[#This Row],[Structures 100 Raw]]/I$2)*100</f>
        <v>15.278670265175856</v>
      </c>
      <c r="K35" s="178">
        <f>FME_Ranking1[[#This Row],[Structures 100  Score (Normalized, Unweighted)]]*$I$3</f>
        <v>2.2918005397763785</v>
      </c>
      <c r="L35" s="246">
        <f>_xlfn.XLOOKUP(FME_Ranking1[[#This Row],[FME ID]],FME_Input[FME_ID],FME_Input[RES_STRUCT100])</f>
        <v>19838</v>
      </c>
      <c r="M35" s="230">
        <f>(FME_Ranking1[[#This Row],[Res Structures Raw]]/L$2)*100</f>
        <v>14.051366321485743</v>
      </c>
      <c r="N35" s="180">
        <f>FME_Ranking1[[#This Row],[Res Structures Score (Normalized, Unweighted)]]*$L$3</f>
        <v>1.4051366321485743</v>
      </c>
      <c r="O35" s="244">
        <f>_xlfn.XLOOKUP(FME_Ranking1[[#This Row],[FME ID]],FME_Input[FME_ID],FME_Input[POP100])</f>
        <v>60299</v>
      </c>
      <c r="P35" s="178">
        <f>(FME_Ranking1[[#This Row],[Pop Raw]]/$O$2)*100</f>
        <v>6.1731289376104375</v>
      </c>
      <c r="Q35" s="178">
        <f>FME_Ranking1[[#This Row],[Pop Score (Normalized, Unweighted)]]*$O$3</f>
        <v>0.92596934064156555</v>
      </c>
      <c r="R35" s="137">
        <f>_xlfn.XLOOKUP(FME_Ranking1[[#This Row],[FME ID]],FME_Input[FME_ID],FME_Input[CRITFAC100])</f>
        <v>44</v>
      </c>
      <c r="S35" s="230">
        <f>(FME_Ranking1[[#This Row],[Critical Facilities Raw]]/$R$2)*100</f>
        <v>1.8867924528301887</v>
      </c>
      <c r="T35" s="180">
        <f>FME_Ranking1[[#This Row],[Critical Facilities Score (Normalized, Unweighted)]]*$R$3</f>
        <v>0.37735849056603776</v>
      </c>
      <c r="U35">
        <f>_xlfn.XLOOKUP(FME_Ranking1[[#This Row],[FME ID]],FME_Input[FME_ID],FME_Input[LWC])</f>
        <v>292</v>
      </c>
      <c r="V35" s="178">
        <f>(FME_Ranking1[[#This Row],[LWC Raw]]/$U$2)*100</f>
        <v>16.810592976396084</v>
      </c>
      <c r="W35" s="178">
        <f>FME_Ranking1[[#This Row],[LWC Score (Normalized, Unweighted)]]*$U$3</f>
        <v>3.3621185952792167</v>
      </c>
      <c r="X35" s="246">
        <f>_xlfn.XLOOKUP(FME_Ranking1[[#This Row],[FME ID]],FME_Input[FME_ID],FME_Input[ROADCLS])</f>
        <v>0</v>
      </c>
      <c r="Y35" s="230">
        <f>(FME_Ranking1[[#This Row],[Closures Raw]]/$X$2)*100</f>
        <v>0</v>
      </c>
      <c r="Z35" s="180">
        <f>FME_Ranking1[[#This Row],[Closures Score (Normalized, Unweighted)]]*$X$3</f>
        <v>0</v>
      </c>
      <c r="AA35" s="253">
        <f>_xlfn.XLOOKUP(FME_Ranking1[[#This Row],[FME ID]],FME_Input[FME_ID],FME_Input[ROAD_MILES100])</f>
        <v>5944.06103515625</v>
      </c>
      <c r="AB35" s="178">
        <f>(FME_Ranking1[[#This Row],[Miles Raw]]/$AA$2)*100</f>
        <v>78.153741438338017</v>
      </c>
      <c r="AC35" s="178">
        <f>FME_Ranking1[[#This Row],[Miles Score (Normalized, Unweighted)]]*$AA$3</f>
        <v>7.815374143833802</v>
      </c>
      <c r="AD35" s="255">
        <f>_xlfn.XLOOKUP(FME_Ranking1[[#This Row],[FME ID]],FME_Input[FME_ID],FME_Input[FARMACRE100])</f>
        <v>869137.9375</v>
      </c>
      <c r="AE35" s="230">
        <f>(FME_Ranking1[[#This Row],[Ag Land Raw]]/$AD$2)*100</f>
        <v>35.839357843316144</v>
      </c>
      <c r="AF35" s="231">
        <f>FME_Ranking1[[#This Row],[Ag Land Score (Normalized, Unweighted)]]*$AD$3</f>
        <v>1.7919678921658073</v>
      </c>
      <c r="AG3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17.969725634411382</v>
      </c>
      <c r="AH35" s="406">
        <f t="shared" si="0"/>
        <v>13</v>
      </c>
      <c r="AI3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17.969725634411382</v>
      </c>
      <c r="AJ35" s="257">
        <f>FME_Ranking1[[#This Row],[Addition check]]-FME_Ranking1[[#This Row],[Weighted Score Based on Normalized Reported Factors]]</f>
        <v>0</v>
      </c>
      <c r="AK35" s="178">
        <f>_xlfn.RANK.EQ(AI35,$AI$6:$AI$2341,0)+COUNTIF($AI$6:AI35,AI35)-1</f>
        <v>14</v>
      </c>
    </row>
    <row r="36" spans="1:37" ht="12" customHeight="1" x14ac:dyDescent="0.25">
      <c r="A36" t="s">
        <v>2228</v>
      </c>
      <c r="B36">
        <f>_xlfn.XLOOKUP(FME_Ranking1[[#This Row],[FME ID]],FME_Input[FME_ID],FME_Input[RFPG_NUM])</f>
        <v>6</v>
      </c>
      <c r="C36" t="str">
        <f>_xlfn.XLOOKUP(FME_Ranking1[[#This Row],[FME ID]],FME_Input[FME_ID],FME_Input[FME_NAME])</f>
        <v>Upper Greens Bayou Watershed Study</v>
      </c>
      <c r="D36" t="str">
        <f>_xlfn.XLOOKUP(FME_Ranking1[[#This Row],[FME ID]],FME_Input[FME_ID],FME_Input[DESCR])</f>
        <v>Watershed wide study using latest data, including MAAPnext models and Atlas 14 rainfall. Study to identify flooding issues within watershed, identify projects to reduce flooding, and provide cost estimates and benefit and cost metrics for each project.</v>
      </c>
      <c r="E36" s="256">
        <f>_xlfn.XLOOKUP(FME_Ranking1[[#This Row],[FME ID]],FME_Input[FME_ID],FME_Input[FME_COST])</f>
        <v>980000</v>
      </c>
      <c r="F36" t="str">
        <f>_xlfn.XLOOKUP(FME_Ranking1[[#This Row],[FME ID]],FME_Input[FME_ID],FME_Input[EMER_NEED])</f>
        <v>Yes</v>
      </c>
      <c r="G36">
        <f>IF(FME_Ranking!F36="Yes",100,0)</f>
        <v>100</v>
      </c>
      <c r="H36">
        <f>FME_Ranking1[[#This Row],[Emergency Need Score (Normalized, Unweighted)]]*$F$3</f>
        <v>0</v>
      </c>
      <c r="I36" s="246">
        <f>_xlfn.XLOOKUP(FME_Ranking1[[#This Row],[FME ID]],FME_Input[FME_ID],FME_Input[STRUCT_100])</f>
        <v>24236</v>
      </c>
      <c r="J36" s="178">
        <f>(FME_Ranking1[[#This Row],[Structures 100 Raw]]/I$2)*100</f>
        <v>12.978194747890159</v>
      </c>
      <c r="K36" s="178">
        <f>FME_Ranking1[[#This Row],[Structures 100  Score (Normalized, Unweighted)]]*$I$3</f>
        <v>1.9467292121835238</v>
      </c>
      <c r="L36" s="246">
        <f>_xlfn.XLOOKUP(FME_Ranking1[[#This Row],[FME ID]],FME_Input[FME_ID],FME_Input[RES_STRUCT100])</f>
        <v>18993</v>
      </c>
      <c r="M36" s="230">
        <f>(FME_Ranking1[[#This Row],[Res Structures Raw]]/L$2)*100</f>
        <v>13.452848096782876</v>
      </c>
      <c r="N36" s="180">
        <f>FME_Ranking1[[#This Row],[Res Structures Score (Normalized, Unweighted)]]*$L$3</f>
        <v>1.3452848096782877</v>
      </c>
      <c r="O36" s="244">
        <f>_xlfn.XLOOKUP(FME_Ranking1[[#This Row],[FME ID]],FME_Input[FME_ID],FME_Input[POP100])</f>
        <v>155940</v>
      </c>
      <c r="P36" s="178">
        <f>(FME_Ranking1[[#This Row],[Pop Raw]]/$O$2)*100</f>
        <v>15.964406151527747</v>
      </c>
      <c r="Q36" s="178">
        <f>FME_Ranking1[[#This Row],[Pop Score (Normalized, Unweighted)]]*$O$3</f>
        <v>2.394660922729162</v>
      </c>
      <c r="R36" s="137">
        <f>_xlfn.XLOOKUP(FME_Ranking1[[#This Row],[FME ID]],FME_Input[FME_ID],FME_Input[CRITFAC100])</f>
        <v>418</v>
      </c>
      <c r="S36" s="230">
        <f>(FME_Ranking1[[#This Row],[Critical Facilities Raw]]/$R$2)*100</f>
        <v>17.924528301886792</v>
      </c>
      <c r="T36" s="180">
        <f>FME_Ranking1[[#This Row],[Critical Facilities Score (Normalized, Unweighted)]]*$R$3</f>
        <v>3.5849056603773586</v>
      </c>
      <c r="U36">
        <f>_xlfn.XLOOKUP(FME_Ranking1[[#This Row],[FME ID]],FME_Input[FME_ID],FME_Input[LWC])</f>
        <v>17</v>
      </c>
      <c r="V36" s="178">
        <f>(FME_Ranking1[[#This Row],[LWC Raw]]/$U$2)*100</f>
        <v>0.97869890616004607</v>
      </c>
      <c r="W36" s="178">
        <f>FME_Ranking1[[#This Row],[LWC Score (Normalized, Unweighted)]]*$U$3</f>
        <v>0.19573978123200922</v>
      </c>
      <c r="X36" s="246">
        <f>_xlfn.XLOOKUP(FME_Ranking1[[#This Row],[FME ID]],FME_Input[FME_ID],FME_Input[ROADCLS])</f>
        <v>17</v>
      </c>
      <c r="Y36" s="230">
        <f>(FME_Ranking1[[#This Row],[Closures Raw]]/$X$2)*100</f>
        <v>0.17874040584586268</v>
      </c>
      <c r="Z36" s="180">
        <f>FME_Ranking1[[#This Row],[Closures Score (Normalized, Unweighted)]]*$X$3</f>
        <v>8.9370202922931345E-3</v>
      </c>
      <c r="AA36" s="253">
        <f>_xlfn.XLOOKUP(FME_Ranking1[[#This Row],[FME ID]],FME_Input[FME_ID],FME_Input[ROAD_MILES100])</f>
        <v>320.19662475585938</v>
      </c>
      <c r="AB36" s="178">
        <f>(FME_Ranking1[[#This Row],[Miles Raw]]/$AA$2)*100</f>
        <v>4.2100113159319479</v>
      </c>
      <c r="AC36" s="178">
        <f>FME_Ranking1[[#This Row],[Miles Score (Normalized, Unweighted)]]*$AA$3</f>
        <v>0.4210011315931948</v>
      </c>
      <c r="AD36" s="255">
        <f>_xlfn.XLOOKUP(FME_Ranking1[[#This Row],[FME ID]],FME_Input[FME_ID],FME_Input[FARMACRE100])</f>
        <v>161.00321960449219</v>
      </c>
      <c r="AE36" s="230">
        <f>(FME_Ranking1[[#This Row],[Ag Land Raw]]/$AD$2)*100</f>
        <v>6.6390520449826854E-3</v>
      </c>
      <c r="AF36" s="231">
        <f>FME_Ranking1[[#This Row],[Ag Land Score (Normalized, Unweighted)]]*$AD$3</f>
        <v>3.3195260224913429E-4</v>
      </c>
      <c r="AG3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9.8975904906880778</v>
      </c>
      <c r="AH36" s="406">
        <f t="shared" si="0"/>
        <v>31</v>
      </c>
      <c r="AI3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9.8975904906880778</v>
      </c>
      <c r="AJ36" s="257">
        <f>FME_Ranking1[[#This Row],[Addition check]]-FME_Ranking1[[#This Row],[Weighted Score Based on Normalized Reported Factors]]</f>
        <v>0</v>
      </c>
      <c r="AK36" s="178">
        <f>_xlfn.RANK.EQ(AI36,$AI$6:$AI$2341,0)+COUNTIF($AI$6:AI36,AI36)-1</f>
        <v>31</v>
      </c>
    </row>
    <row r="37" spans="1:37" ht="12" customHeight="1" x14ac:dyDescent="0.25">
      <c r="A37" t="s">
        <v>888</v>
      </c>
      <c r="B37">
        <f>_xlfn.XLOOKUP(FME_Ranking1[[#This Row],[FME ID]],FME_Input[FME_ID],FME_Input[RFPG_NUM])</f>
        <v>6</v>
      </c>
      <c r="C37" t="str">
        <f>_xlfn.XLOOKUP(FME_Ranking1[[#This Row],[FME ID]],FME_Input[FME_ID],FME_Input[FME_NAME])</f>
        <v>City of Galveston Master Drainage Study</v>
      </c>
      <c r="D37" t="str">
        <f>_xlfn.XLOOKUP(FME_Ranking1[[#This Row],[FME ID]],FME_Input[FME_ID],FME_Input[DESCR])</f>
        <v>City wide drainage and flood risk reduction planning study of Galveston to include Atlas 14 rainfall.</v>
      </c>
      <c r="E37" s="256">
        <f>_xlfn.XLOOKUP(FME_Ranking1[[#This Row],[FME ID]],FME_Input[FME_ID],FME_Input[FME_COST])</f>
        <v>1000000</v>
      </c>
      <c r="F37" t="str">
        <f>_xlfn.XLOOKUP(FME_Ranking1[[#This Row],[FME ID]],FME_Input[FME_ID],FME_Input[EMER_NEED])</f>
        <v>No</v>
      </c>
      <c r="G37">
        <f>IF(FME_Ranking!F37="Yes",100,0)</f>
        <v>0</v>
      </c>
      <c r="H37">
        <f>FME_Ranking1[[#This Row],[Emergency Need Score (Normalized, Unweighted)]]*$F$3</f>
        <v>0</v>
      </c>
      <c r="I37" s="246">
        <f>_xlfn.XLOOKUP(FME_Ranking1[[#This Row],[FME ID]],FME_Input[FME_ID],FME_Input[STRUCT_100])</f>
        <v>21858</v>
      </c>
      <c r="J37" s="178">
        <f>(FME_Ranking1[[#This Row],[Structures 100 Raw]]/I$2)*100</f>
        <v>11.704793728312556</v>
      </c>
      <c r="K37" s="178">
        <f>FME_Ranking1[[#This Row],[Structures 100  Score (Normalized, Unweighted)]]*$I$3</f>
        <v>1.7557190592468832</v>
      </c>
      <c r="L37" s="246">
        <f>_xlfn.XLOOKUP(FME_Ranking1[[#This Row],[FME ID]],FME_Input[FME_ID],FME_Input[RES_STRUCT100])</f>
        <v>19143</v>
      </c>
      <c r="M37" s="230">
        <f>(FME_Ranking1[[#This Row],[Res Structures Raw]]/L$2)*100</f>
        <v>13.559093935487526</v>
      </c>
      <c r="N37" s="180">
        <f>FME_Ranking1[[#This Row],[Res Structures Score (Normalized, Unweighted)]]*$L$3</f>
        <v>1.3559093935487527</v>
      </c>
      <c r="O37" s="244">
        <f>_xlfn.XLOOKUP(FME_Ranking1[[#This Row],[FME ID]],FME_Input[FME_ID],FME_Input[POP100])</f>
        <v>93583</v>
      </c>
      <c r="P37" s="178">
        <f>(FME_Ranking1[[#This Row],[Pop Raw]]/$O$2)*100</f>
        <v>9.5805888218444348</v>
      </c>
      <c r="Q37" s="178">
        <f>FME_Ranking1[[#This Row],[Pop Score (Normalized, Unweighted)]]*$O$3</f>
        <v>1.4370883232766651</v>
      </c>
      <c r="R37" s="137">
        <f>_xlfn.XLOOKUP(FME_Ranking1[[#This Row],[FME ID]],FME_Input[FME_ID],FME_Input[CRITFAC100])</f>
        <v>509</v>
      </c>
      <c r="S37" s="230">
        <f>(FME_Ranking1[[#This Row],[Critical Facilities Raw]]/$R$2)*100</f>
        <v>21.826758147512866</v>
      </c>
      <c r="T37" s="180">
        <f>FME_Ranking1[[#This Row],[Critical Facilities Score (Normalized, Unweighted)]]*$R$3</f>
        <v>4.3653516295025732</v>
      </c>
      <c r="U37">
        <f>_xlfn.XLOOKUP(FME_Ranking1[[#This Row],[FME ID]],FME_Input[FME_ID],FME_Input[LWC])</f>
        <v>0</v>
      </c>
      <c r="V37" s="178">
        <f>(FME_Ranking1[[#This Row],[LWC Raw]]/$U$2)*100</f>
        <v>0</v>
      </c>
      <c r="W37" s="178">
        <f>FME_Ranking1[[#This Row],[LWC Score (Normalized, Unweighted)]]*$U$3</f>
        <v>0</v>
      </c>
      <c r="X37" s="246">
        <f>_xlfn.XLOOKUP(FME_Ranking1[[#This Row],[FME ID]],FME_Input[FME_ID],FME_Input[ROADCLS])</f>
        <v>0</v>
      </c>
      <c r="Y37" s="230">
        <f>(FME_Ranking1[[#This Row],[Closures Raw]]/$X$2)*100</f>
        <v>0</v>
      </c>
      <c r="Z37" s="180">
        <f>FME_Ranking1[[#This Row],[Closures Score (Normalized, Unweighted)]]*$X$3</f>
        <v>0</v>
      </c>
      <c r="AA37" s="253">
        <f>_xlfn.XLOOKUP(FME_Ranking1[[#This Row],[FME ID]],FME_Input[FME_ID],FME_Input[ROAD_MILES100])</f>
        <v>408.62750244140619</v>
      </c>
      <c r="AB37" s="178">
        <f>(FME_Ranking1[[#This Row],[Miles Raw]]/$AA$2)*100</f>
        <v>5.3727187492717281</v>
      </c>
      <c r="AC37" s="178">
        <f>FME_Ranking1[[#This Row],[Miles Score (Normalized, Unweighted)]]*$AA$3</f>
        <v>0.53727187492717288</v>
      </c>
      <c r="AD37" s="255">
        <f>_xlfn.XLOOKUP(FME_Ranking1[[#This Row],[FME ID]],FME_Input[FME_ID],FME_Input[FARMACRE100])</f>
        <v>260.88226318359381</v>
      </c>
      <c r="AE37" s="230">
        <f>(FME_Ranking1[[#This Row],[Ag Land Raw]]/$AD$2)*100</f>
        <v>1.0757616693277756E-2</v>
      </c>
      <c r="AF37" s="231">
        <f>FME_Ranking1[[#This Row],[Ag Land Score (Normalized, Unweighted)]]*$AD$3</f>
        <v>5.3788083466388783E-4</v>
      </c>
      <c r="AG3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9.45187816133671</v>
      </c>
      <c r="AH37" s="406">
        <f t="shared" si="0"/>
        <v>36</v>
      </c>
      <c r="AI3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9.45187816133671</v>
      </c>
      <c r="AJ37" s="257">
        <f>FME_Ranking1[[#This Row],[Addition check]]-FME_Ranking1[[#This Row],[Weighted Score Based on Normalized Reported Factors]]</f>
        <v>0</v>
      </c>
      <c r="AK37" s="178">
        <f>_xlfn.RANK.EQ(AI37,$AI$6:$AI$2341,0)+COUNTIF($AI$6:AI37,AI37)-1</f>
        <v>36</v>
      </c>
    </row>
    <row r="38" spans="1:37" ht="12" customHeight="1" x14ac:dyDescent="0.25">
      <c r="A38" t="s">
        <v>986</v>
      </c>
      <c r="B38">
        <f>_xlfn.XLOOKUP(FME_Ranking1[[#This Row],[FME ID]],FME_Input[FME_ID],FME_Input[RFPG_NUM])</f>
        <v>6</v>
      </c>
      <c r="C38" t="str">
        <f>_xlfn.XLOOKUP(FME_Ranking1[[#This Row],[FME ID]],FME_Input[FME_ID],FME_Input[FME_NAME])</f>
        <v>City of Galveston Coastal Road Elevation</v>
      </c>
      <c r="D38" t="str">
        <f>_xlfn.XLOOKUP(FME_Ranking1[[#This Row],[FME ID]],FME_Input[FME_ID],FME_Input[DESCR])</f>
        <v>Elevate coastal roads to better protect public during evacuation and to protect the roads from flood damage, where feasible.</v>
      </c>
      <c r="E38" s="256">
        <f>_xlfn.XLOOKUP(FME_Ranking1[[#This Row],[FME ID]],FME_Input[FME_ID],FME_Input[FME_COST])</f>
        <v>1000000</v>
      </c>
      <c r="F38" t="str">
        <f>_xlfn.XLOOKUP(FME_Ranking1[[#This Row],[FME ID]],FME_Input[FME_ID],FME_Input[EMER_NEED])</f>
        <v>No</v>
      </c>
      <c r="G38">
        <f>IF(FME_Ranking!F38="Yes",100,0)</f>
        <v>0</v>
      </c>
      <c r="H38">
        <f>FME_Ranking1[[#This Row],[Emergency Need Score (Normalized, Unweighted)]]*$F$3</f>
        <v>0</v>
      </c>
      <c r="I38" s="246">
        <f>_xlfn.XLOOKUP(FME_Ranking1[[#This Row],[FME ID]],FME_Input[FME_ID],FME_Input[STRUCT_100])</f>
        <v>21858</v>
      </c>
      <c r="J38" s="178">
        <f>(FME_Ranking1[[#This Row],[Structures 100 Raw]]/I$2)*100</f>
        <v>11.704793728312556</v>
      </c>
      <c r="K38" s="178">
        <f>FME_Ranking1[[#This Row],[Structures 100  Score (Normalized, Unweighted)]]*$I$3</f>
        <v>1.7557190592468832</v>
      </c>
      <c r="L38" s="246">
        <f>_xlfn.XLOOKUP(FME_Ranking1[[#This Row],[FME ID]],FME_Input[FME_ID],FME_Input[RES_STRUCT100])</f>
        <v>19143</v>
      </c>
      <c r="M38" s="230">
        <f>(FME_Ranking1[[#This Row],[Res Structures Raw]]/L$2)*100</f>
        <v>13.559093935487526</v>
      </c>
      <c r="N38" s="180">
        <f>FME_Ranking1[[#This Row],[Res Structures Score (Normalized, Unweighted)]]*$L$3</f>
        <v>1.3559093935487527</v>
      </c>
      <c r="O38" s="244">
        <f>_xlfn.XLOOKUP(FME_Ranking1[[#This Row],[FME ID]],FME_Input[FME_ID],FME_Input[POP100])</f>
        <v>93583</v>
      </c>
      <c r="P38" s="178">
        <f>(FME_Ranking1[[#This Row],[Pop Raw]]/$O$2)*100</f>
        <v>9.5805888218444348</v>
      </c>
      <c r="Q38" s="178">
        <f>FME_Ranking1[[#This Row],[Pop Score (Normalized, Unweighted)]]*$O$3</f>
        <v>1.4370883232766651</v>
      </c>
      <c r="R38" s="137">
        <f>_xlfn.XLOOKUP(FME_Ranking1[[#This Row],[FME ID]],FME_Input[FME_ID],FME_Input[CRITFAC100])</f>
        <v>509</v>
      </c>
      <c r="S38" s="230">
        <f>(FME_Ranking1[[#This Row],[Critical Facilities Raw]]/$R$2)*100</f>
        <v>21.826758147512866</v>
      </c>
      <c r="T38" s="180">
        <f>FME_Ranking1[[#This Row],[Critical Facilities Score (Normalized, Unweighted)]]*$R$3</f>
        <v>4.3653516295025732</v>
      </c>
      <c r="U38">
        <f>_xlfn.XLOOKUP(FME_Ranking1[[#This Row],[FME ID]],FME_Input[FME_ID],FME_Input[LWC])</f>
        <v>0</v>
      </c>
      <c r="V38" s="178">
        <f>(FME_Ranking1[[#This Row],[LWC Raw]]/$U$2)*100</f>
        <v>0</v>
      </c>
      <c r="W38" s="178">
        <f>FME_Ranking1[[#This Row],[LWC Score (Normalized, Unweighted)]]*$U$3</f>
        <v>0</v>
      </c>
      <c r="X38" s="246">
        <f>_xlfn.XLOOKUP(FME_Ranking1[[#This Row],[FME ID]],FME_Input[FME_ID],FME_Input[ROADCLS])</f>
        <v>0</v>
      </c>
      <c r="Y38" s="230">
        <f>(FME_Ranking1[[#This Row],[Closures Raw]]/$X$2)*100</f>
        <v>0</v>
      </c>
      <c r="Z38" s="180">
        <f>FME_Ranking1[[#This Row],[Closures Score (Normalized, Unweighted)]]*$X$3</f>
        <v>0</v>
      </c>
      <c r="AA38" s="253">
        <f>_xlfn.XLOOKUP(FME_Ranking1[[#This Row],[FME ID]],FME_Input[FME_ID],FME_Input[ROAD_MILES100])</f>
        <v>408.62750244140619</v>
      </c>
      <c r="AB38" s="178">
        <f>(FME_Ranking1[[#This Row],[Miles Raw]]/$AA$2)*100</f>
        <v>5.3727187492717281</v>
      </c>
      <c r="AC38" s="178">
        <f>FME_Ranking1[[#This Row],[Miles Score (Normalized, Unweighted)]]*$AA$3</f>
        <v>0.53727187492717288</v>
      </c>
      <c r="AD38" s="255">
        <f>_xlfn.XLOOKUP(FME_Ranking1[[#This Row],[FME ID]],FME_Input[FME_ID],FME_Input[FARMACRE100])</f>
        <v>260.88226318359381</v>
      </c>
      <c r="AE38" s="230">
        <f>(FME_Ranking1[[#This Row],[Ag Land Raw]]/$AD$2)*100</f>
        <v>1.0757616693277756E-2</v>
      </c>
      <c r="AF38" s="231">
        <f>FME_Ranking1[[#This Row],[Ag Land Score (Normalized, Unweighted)]]*$AD$3</f>
        <v>5.3788083466388783E-4</v>
      </c>
      <c r="AG3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9.45187816133671</v>
      </c>
      <c r="AH38" s="406">
        <f t="shared" si="0"/>
        <v>36</v>
      </c>
      <c r="AI3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9.45187816133671</v>
      </c>
      <c r="AJ38" s="257">
        <f>FME_Ranking1[[#This Row],[Addition check]]-FME_Ranking1[[#This Row],[Weighted Score Based on Normalized Reported Factors]]</f>
        <v>0</v>
      </c>
      <c r="AK38" s="178">
        <f>_xlfn.RANK.EQ(AI38,$AI$6:$AI$2341,0)+COUNTIF($AI$6:AI38,AI38)-1</f>
        <v>37</v>
      </c>
    </row>
    <row r="39" spans="1:37" ht="12" customHeight="1" x14ac:dyDescent="0.25">
      <c r="A39" t="s">
        <v>990</v>
      </c>
      <c r="B39">
        <f>_xlfn.XLOOKUP(FME_Ranking1[[#This Row],[FME ID]],FME_Input[FME_ID],FME_Input[RFPG_NUM])</f>
        <v>6</v>
      </c>
      <c r="C39" t="str">
        <f>_xlfn.XLOOKUP(FME_Ranking1[[#This Row],[FME ID]],FME_Input[FME_ID],FME_Input[FME_NAME])</f>
        <v>City of Galveston Shoreline Protection</v>
      </c>
      <c r="D39" t="str">
        <f>_xlfn.XLOOKUP(FME_Ranking1[[#This Row],[FME ID]],FME_Input[FME_ID],FME_Input[DESCR])</f>
        <v>Further study and FMP development of a proposed shoreline protection for areas prone to coastal erosion.</v>
      </c>
      <c r="E39" s="256">
        <f>_xlfn.XLOOKUP(FME_Ranking1[[#This Row],[FME ID]],FME_Input[FME_ID],FME_Input[FME_COST])</f>
        <v>50000</v>
      </c>
      <c r="F39" t="str">
        <f>_xlfn.XLOOKUP(FME_Ranking1[[#This Row],[FME ID]],FME_Input[FME_ID],FME_Input[EMER_NEED])</f>
        <v>No</v>
      </c>
      <c r="G39">
        <f>IF(FME_Ranking!F39="Yes",100,0)</f>
        <v>0</v>
      </c>
      <c r="H39">
        <f>FME_Ranking1[[#This Row],[Emergency Need Score (Normalized, Unweighted)]]*$F$3</f>
        <v>0</v>
      </c>
      <c r="I39" s="246">
        <f>_xlfn.XLOOKUP(FME_Ranking1[[#This Row],[FME ID]],FME_Input[FME_ID],FME_Input[STRUCT_100])</f>
        <v>21858</v>
      </c>
      <c r="J39" s="178">
        <f>(FME_Ranking1[[#This Row],[Structures 100 Raw]]/I$2)*100</f>
        <v>11.704793728312556</v>
      </c>
      <c r="K39" s="178">
        <f>FME_Ranking1[[#This Row],[Structures 100  Score (Normalized, Unweighted)]]*$I$3</f>
        <v>1.7557190592468832</v>
      </c>
      <c r="L39" s="246">
        <f>_xlfn.XLOOKUP(FME_Ranking1[[#This Row],[FME ID]],FME_Input[FME_ID],FME_Input[RES_STRUCT100])</f>
        <v>19143</v>
      </c>
      <c r="M39" s="230">
        <f>(FME_Ranking1[[#This Row],[Res Structures Raw]]/L$2)*100</f>
        <v>13.559093935487526</v>
      </c>
      <c r="N39" s="180">
        <f>FME_Ranking1[[#This Row],[Res Structures Score (Normalized, Unweighted)]]*$L$3</f>
        <v>1.3559093935487527</v>
      </c>
      <c r="O39" s="244">
        <f>_xlfn.XLOOKUP(FME_Ranking1[[#This Row],[FME ID]],FME_Input[FME_ID],FME_Input[POP100])</f>
        <v>93583</v>
      </c>
      <c r="P39" s="178">
        <f>(FME_Ranking1[[#This Row],[Pop Raw]]/$O$2)*100</f>
        <v>9.5805888218444348</v>
      </c>
      <c r="Q39" s="178">
        <f>FME_Ranking1[[#This Row],[Pop Score (Normalized, Unweighted)]]*$O$3</f>
        <v>1.4370883232766651</v>
      </c>
      <c r="R39" s="137">
        <f>_xlfn.XLOOKUP(FME_Ranking1[[#This Row],[FME ID]],FME_Input[FME_ID],FME_Input[CRITFAC100])</f>
        <v>509</v>
      </c>
      <c r="S39" s="230">
        <f>(FME_Ranking1[[#This Row],[Critical Facilities Raw]]/$R$2)*100</f>
        <v>21.826758147512866</v>
      </c>
      <c r="T39" s="180">
        <f>FME_Ranking1[[#This Row],[Critical Facilities Score (Normalized, Unweighted)]]*$R$3</f>
        <v>4.3653516295025732</v>
      </c>
      <c r="U39">
        <f>_xlfn.XLOOKUP(FME_Ranking1[[#This Row],[FME ID]],FME_Input[FME_ID],FME_Input[LWC])</f>
        <v>0</v>
      </c>
      <c r="V39" s="178">
        <f>(FME_Ranking1[[#This Row],[LWC Raw]]/$U$2)*100</f>
        <v>0</v>
      </c>
      <c r="W39" s="178">
        <f>FME_Ranking1[[#This Row],[LWC Score (Normalized, Unweighted)]]*$U$3</f>
        <v>0</v>
      </c>
      <c r="X39" s="246">
        <f>_xlfn.XLOOKUP(FME_Ranking1[[#This Row],[FME ID]],FME_Input[FME_ID],FME_Input[ROADCLS])</f>
        <v>0</v>
      </c>
      <c r="Y39" s="230">
        <f>(FME_Ranking1[[#This Row],[Closures Raw]]/$X$2)*100</f>
        <v>0</v>
      </c>
      <c r="Z39" s="180">
        <f>FME_Ranking1[[#This Row],[Closures Score (Normalized, Unweighted)]]*$X$3</f>
        <v>0</v>
      </c>
      <c r="AA39" s="253">
        <f>_xlfn.XLOOKUP(FME_Ranking1[[#This Row],[FME ID]],FME_Input[FME_ID],FME_Input[ROAD_MILES100])</f>
        <v>408.62750244140619</v>
      </c>
      <c r="AB39" s="178">
        <f>(FME_Ranking1[[#This Row],[Miles Raw]]/$AA$2)*100</f>
        <v>5.3727187492717281</v>
      </c>
      <c r="AC39" s="178">
        <f>FME_Ranking1[[#This Row],[Miles Score (Normalized, Unweighted)]]*$AA$3</f>
        <v>0.53727187492717288</v>
      </c>
      <c r="AD39" s="255">
        <f>_xlfn.XLOOKUP(FME_Ranking1[[#This Row],[FME ID]],FME_Input[FME_ID],FME_Input[FARMACRE100])</f>
        <v>260.88226318359381</v>
      </c>
      <c r="AE39" s="230">
        <f>(FME_Ranking1[[#This Row],[Ag Land Raw]]/$AD$2)*100</f>
        <v>1.0757616693277756E-2</v>
      </c>
      <c r="AF39" s="231">
        <f>FME_Ranking1[[#This Row],[Ag Land Score (Normalized, Unweighted)]]*$AD$3</f>
        <v>5.3788083466388783E-4</v>
      </c>
      <c r="AG3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9.45187816133671</v>
      </c>
      <c r="AH39" s="406">
        <f t="shared" si="0"/>
        <v>36</v>
      </c>
      <c r="AI3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9.45187816133671</v>
      </c>
      <c r="AJ39" s="257">
        <f>FME_Ranking1[[#This Row],[Addition check]]-FME_Ranking1[[#This Row],[Weighted Score Based on Normalized Reported Factors]]</f>
        <v>0</v>
      </c>
      <c r="AK39" s="178">
        <f>_xlfn.RANK.EQ(AI39,$AI$6:$AI$2341,0)+COUNTIF($AI$6:AI39,AI39)-1</f>
        <v>38</v>
      </c>
    </row>
    <row r="40" spans="1:37" ht="12" customHeight="1" x14ac:dyDescent="0.25">
      <c r="A40" t="s">
        <v>993</v>
      </c>
      <c r="B40">
        <f>_xlfn.XLOOKUP(FME_Ranking1[[#This Row],[FME ID]],FME_Input[FME_ID],FME_Input[RFPG_NUM])</f>
        <v>6</v>
      </c>
      <c r="C40" t="str">
        <f>_xlfn.XLOOKUP(FME_Ranking1[[#This Row],[FME ID]],FME_Input[FME_ID],FME_Input[FME_NAME])</f>
        <v xml:space="preserve">City of Galveston Dune Restoration </v>
      </c>
      <c r="D40" t="str">
        <f>_xlfn.XLOOKUP(FME_Ranking1[[#This Row],[FME ID]],FME_Input[FME_ID],FME_Input[DESCR])</f>
        <v xml:space="preserve">Study of dune system to determine needs and flood damage reduction potential of restoration. </v>
      </c>
      <c r="E40" s="256">
        <f>_xlfn.XLOOKUP(FME_Ranking1[[#This Row],[FME ID]],FME_Input[FME_ID],FME_Input[FME_COST])</f>
        <v>1000000</v>
      </c>
      <c r="F40" t="str">
        <f>_xlfn.XLOOKUP(FME_Ranking1[[#This Row],[FME ID]],FME_Input[FME_ID],FME_Input[EMER_NEED])</f>
        <v>No</v>
      </c>
      <c r="G40">
        <f>IF(FME_Ranking!F40="Yes",100,0)</f>
        <v>0</v>
      </c>
      <c r="H40">
        <f>FME_Ranking1[[#This Row],[Emergency Need Score (Normalized, Unweighted)]]*$F$3</f>
        <v>0</v>
      </c>
      <c r="I40" s="246">
        <f>_xlfn.XLOOKUP(FME_Ranking1[[#This Row],[FME ID]],FME_Input[FME_ID],FME_Input[STRUCT_100])</f>
        <v>21858</v>
      </c>
      <c r="J40" s="178">
        <f>(FME_Ranking1[[#This Row],[Structures 100 Raw]]/I$2)*100</f>
        <v>11.704793728312556</v>
      </c>
      <c r="K40" s="178">
        <f>FME_Ranking1[[#This Row],[Structures 100  Score (Normalized, Unweighted)]]*$I$3</f>
        <v>1.7557190592468832</v>
      </c>
      <c r="L40" s="246">
        <f>_xlfn.XLOOKUP(FME_Ranking1[[#This Row],[FME ID]],FME_Input[FME_ID],FME_Input[RES_STRUCT100])</f>
        <v>19143</v>
      </c>
      <c r="M40" s="230">
        <f>(FME_Ranking1[[#This Row],[Res Structures Raw]]/L$2)*100</f>
        <v>13.559093935487526</v>
      </c>
      <c r="N40" s="180">
        <f>FME_Ranking1[[#This Row],[Res Structures Score (Normalized, Unweighted)]]*$L$3</f>
        <v>1.3559093935487527</v>
      </c>
      <c r="O40" s="244">
        <f>_xlfn.XLOOKUP(FME_Ranking1[[#This Row],[FME ID]],FME_Input[FME_ID],FME_Input[POP100])</f>
        <v>93583</v>
      </c>
      <c r="P40" s="178">
        <f>(FME_Ranking1[[#This Row],[Pop Raw]]/$O$2)*100</f>
        <v>9.5805888218444348</v>
      </c>
      <c r="Q40" s="178">
        <f>FME_Ranking1[[#This Row],[Pop Score (Normalized, Unweighted)]]*$O$3</f>
        <v>1.4370883232766651</v>
      </c>
      <c r="R40" s="137">
        <f>_xlfn.XLOOKUP(FME_Ranking1[[#This Row],[FME ID]],FME_Input[FME_ID],FME_Input[CRITFAC100])</f>
        <v>509</v>
      </c>
      <c r="S40" s="230">
        <f>(FME_Ranking1[[#This Row],[Critical Facilities Raw]]/$R$2)*100</f>
        <v>21.826758147512866</v>
      </c>
      <c r="T40" s="180">
        <f>FME_Ranking1[[#This Row],[Critical Facilities Score (Normalized, Unweighted)]]*$R$3</f>
        <v>4.3653516295025732</v>
      </c>
      <c r="U40">
        <f>_xlfn.XLOOKUP(FME_Ranking1[[#This Row],[FME ID]],FME_Input[FME_ID],FME_Input[LWC])</f>
        <v>0</v>
      </c>
      <c r="V40" s="178">
        <f>(FME_Ranking1[[#This Row],[LWC Raw]]/$U$2)*100</f>
        <v>0</v>
      </c>
      <c r="W40" s="178">
        <f>FME_Ranking1[[#This Row],[LWC Score (Normalized, Unweighted)]]*$U$3</f>
        <v>0</v>
      </c>
      <c r="X40" s="246">
        <f>_xlfn.XLOOKUP(FME_Ranking1[[#This Row],[FME ID]],FME_Input[FME_ID],FME_Input[ROADCLS])</f>
        <v>0</v>
      </c>
      <c r="Y40" s="230">
        <f>(FME_Ranking1[[#This Row],[Closures Raw]]/$X$2)*100</f>
        <v>0</v>
      </c>
      <c r="Z40" s="180">
        <f>FME_Ranking1[[#This Row],[Closures Score (Normalized, Unweighted)]]*$X$3</f>
        <v>0</v>
      </c>
      <c r="AA40" s="253">
        <f>_xlfn.XLOOKUP(FME_Ranking1[[#This Row],[FME ID]],FME_Input[FME_ID],FME_Input[ROAD_MILES100])</f>
        <v>408.62750244140619</v>
      </c>
      <c r="AB40" s="178">
        <f>(FME_Ranking1[[#This Row],[Miles Raw]]/$AA$2)*100</f>
        <v>5.3727187492717281</v>
      </c>
      <c r="AC40" s="178">
        <f>FME_Ranking1[[#This Row],[Miles Score (Normalized, Unweighted)]]*$AA$3</f>
        <v>0.53727187492717288</v>
      </c>
      <c r="AD40" s="255">
        <f>_xlfn.XLOOKUP(FME_Ranking1[[#This Row],[FME ID]],FME_Input[FME_ID],FME_Input[FARMACRE100])</f>
        <v>260.88226318359381</v>
      </c>
      <c r="AE40" s="230">
        <f>(FME_Ranking1[[#This Row],[Ag Land Raw]]/$AD$2)*100</f>
        <v>1.0757616693277756E-2</v>
      </c>
      <c r="AF40" s="231">
        <f>FME_Ranking1[[#This Row],[Ag Land Score (Normalized, Unweighted)]]*$AD$3</f>
        <v>5.3788083466388783E-4</v>
      </c>
      <c r="AG4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9.45187816133671</v>
      </c>
      <c r="AH40" s="406">
        <f t="shared" si="0"/>
        <v>36</v>
      </c>
      <c r="AI4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9.45187816133671</v>
      </c>
      <c r="AJ40" s="257">
        <f>FME_Ranking1[[#This Row],[Addition check]]-FME_Ranking1[[#This Row],[Weighted Score Based on Normalized Reported Factors]]</f>
        <v>0</v>
      </c>
      <c r="AK40" s="178">
        <f>_xlfn.RANK.EQ(AI40,$AI$6:$AI$2341,0)+COUNTIF($AI$6:AI40,AI40)-1</f>
        <v>39</v>
      </c>
    </row>
    <row r="41" spans="1:37" ht="12" customHeight="1" x14ac:dyDescent="0.25">
      <c r="A41" t="s">
        <v>9774</v>
      </c>
      <c r="B41">
        <f>_xlfn.XLOOKUP(FME_Ranking1[[#This Row],[FME ID]],FME_Input[FME_ID],FME_Input[RFPG_NUM])</f>
        <v>12</v>
      </c>
      <c r="C41" t="str">
        <f>_xlfn.XLOOKUP(FME_Ranking1[[#This Row],[FME ID]],FME_Input[FME_ID],FME_Input[FME_NAME])</f>
        <v>Natural capital inventory</v>
      </c>
      <c r="D41" t="str">
        <f>_xlfn.XLOOKUP(FME_Ranking1[[#This Row],[FME ID]],FME_Input[FME_ID],FME_Input[DESCR])</f>
        <v>Development of a dataset identifying lands under conservation easement. Project includes courthouse and deed records research to identify lands that are protected or have future development restrictions.</v>
      </c>
      <c r="E41" s="256">
        <f>_xlfn.XLOOKUP(FME_Ranking1[[#This Row],[FME ID]],FME_Input[FME_ID],FME_Input[FME_COST])</f>
        <v>300000</v>
      </c>
      <c r="F41" t="str">
        <f>_xlfn.XLOOKUP(FME_Ranking1[[#This Row],[FME ID]],FME_Input[FME_ID],FME_Input[EMER_NEED])</f>
        <v>No</v>
      </c>
      <c r="G41">
        <f>IF(FME_Ranking!F41="Yes",100,0)</f>
        <v>0</v>
      </c>
      <c r="H41">
        <f>FME_Ranking1[[#This Row],[Emergency Need Score (Normalized, Unweighted)]]*$F$3</f>
        <v>0</v>
      </c>
      <c r="I41" s="246">
        <f>_xlfn.XLOOKUP(FME_Ranking1[[#This Row],[FME ID]],FME_Input[FME_ID],FME_Input[STRUCT_100])</f>
        <v>19145</v>
      </c>
      <c r="J41" s="178">
        <f>(FME_Ranking1[[#This Row],[Structures 100 Raw]]/I$2)*100</f>
        <v>10.252002741721288</v>
      </c>
      <c r="K41" s="178">
        <f>FME_Ranking1[[#This Row],[Structures 100  Score (Normalized, Unweighted)]]*$I$3</f>
        <v>1.5378004112581931</v>
      </c>
      <c r="L41" s="246">
        <f>_xlfn.XLOOKUP(FME_Ranking1[[#This Row],[FME ID]],FME_Input[FME_ID],FME_Input[RES_STRUCT100])</f>
        <v>13704</v>
      </c>
      <c r="M41" s="230">
        <f>(FME_Ranking1[[#This Row],[Res Structures Raw]]/L$2)*100</f>
        <v>9.7066198240568902</v>
      </c>
      <c r="N41" s="180">
        <f>FME_Ranking1[[#This Row],[Res Structures Score (Normalized, Unweighted)]]*$L$3</f>
        <v>0.97066198240568902</v>
      </c>
      <c r="O41" s="244">
        <f>_xlfn.XLOOKUP(FME_Ranking1[[#This Row],[FME ID]],FME_Input[FME_ID],FME_Input[POP100])</f>
        <v>66191</v>
      </c>
      <c r="P41" s="178">
        <f>(FME_Ranking1[[#This Row],[Pop Raw]]/$O$2)*100</f>
        <v>6.7763242758482303</v>
      </c>
      <c r="Q41" s="178">
        <f>FME_Ranking1[[#This Row],[Pop Score (Normalized, Unweighted)]]*$O$3</f>
        <v>1.0164486413772345</v>
      </c>
      <c r="R41" s="137">
        <f>_xlfn.XLOOKUP(FME_Ranking1[[#This Row],[FME ID]],FME_Input[FME_ID],FME_Input[CRITFAC100])</f>
        <v>0</v>
      </c>
      <c r="S41" s="230">
        <f>(FME_Ranking1[[#This Row],[Critical Facilities Raw]]/$R$2)*100</f>
        <v>0</v>
      </c>
      <c r="T41" s="180">
        <f>FME_Ranking1[[#This Row],[Critical Facilities Score (Normalized, Unweighted)]]*$R$3</f>
        <v>0</v>
      </c>
      <c r="U41">
        <f>_xlfn.XLOOKUP(FME_Ranking1[[#This Row],[FME ID]],FME_Input[FME_ID],FME_Input[LWC])</f>
        <v>0</v>
      </c>
      <c r="V41" s="178">
        <f>(FME_Ranking1[[#This Row],[LWC Raw]]/$U$2)*100</f>
        <v>0</v>
      </c>
      <c r="W41" s="178">
        <f>FME_Ranking1[[#This Row],[LWC Score (Normalized, Unweighted)]]*$U$3</f>
        <v>0</v>
      </c>
      <c r="X41" s="246">
        <f>_xlfn.XLOOKUP(FME_Ranking1[[#This Row],[FME ID]],FME_Input[FME_ID],FME_Input[ROADCLS])</f>
        <v>9511</v>
      </c>
      <c r="Y41" s="230">
        <f>(FME_Ranking1[[#This Row],[Closures Raw]]/$X$2)*100</f>
        <v>100</v>
      </c>
      <c r="Z41" s="180">
        <f>FME_Ranking1[[#This Row],[Closures Score (Normalized, Unweighted)]]*$X$3</f>
        <v>5</v>
      </c>
      <c r="AA41" s="253">
        <f>_xlfn.XLOOKUP(FME_Ranking1[[#This Row],[FME ID]],FME_Input[FME_ID],FME_Input[ROAD_MILES100])</f>
        <v>753.04998779296875</v>
      </c>
      <c r="AB41" s="178">
        <f>(FME_Ranking1[[#This Row],[Miles Raw]]/$AA$2)*100</f>
        <v>9.9012566809163349</v>
      </c>
      <c r="AC41" s="178">
        <f>FME_Ranking1[[#This Row],[Miles Score (Normalized, Unweighted)]]*$AA$3</f>
        <v>0.99012566809163349</v>
      </c>
      <c r="AD41" s="255">
        <f>_xlfn.XLOOKUP(FME_Ranking1[[#This Row],[FME ID]],FME_Input[FME_ID],FME_Input[FARMACRE100])</f>
        <v>62646.1015625</v>
      </c>
      <c r="AE41" s="230">
        <f>(FME_Ranking1[[#This Row],[Ag Land Raw]]/$AD$2)*100</f>
        <v>2.5832447929327262</v>
      </c>
      <c r="AF41" s="231">
        <f>FME_Ranking1[[#This Row],[Ag Land Score (Normalized, Unweighted)]]*$AD$3</f>
        <v>0.12916223964663631</v>
      </c>
      <c r="AG4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9.6441989427793864</v>
      </c>
      <c r="AH41" s="406">
        <f t="shared" si="0"/>
        <v>32</v>
      </c>
      <c r="AI4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9.6441989427793864</v>
      </c>
      <c r="AJ41" s="257">
        <f>FME_Ranking1[[#This Row],[Addition check]]-FME_Ranking1[[#This Row],[Weighted Score Based on Normalized Reported Factors]]</f>
        <v>0</v>
      </c>
      <c r="AK41" s="178">
        <f>_xlfn.RANK.EQ(AI41,$AI$6:$AI$2341,0)+COUNTIF($AI$6:AI41,AI41)-1</f>
        <v>32</v>
      </c>
    </row>
    <row r="42" spans="1:37" ht="12" customHeight="1" x14ac:dyDescent="0.25">
      <c r="A42" t="s">
        <v>9779</v>
      </c>
      <c r="B42">
        <f>_xlfn.XLOOKUP(FME_Ranking1[[#This Row],[FME ID]],FME_Input[FME_ID],FME_Input[RFPG_NUM])</f>
        <v>12</v>
      </c>
      <c r="C42" t="str">
        <f>_xlfn.XLOOKUP(FME_Ranking1[[#This Row],[FME ID]],FME_Input[FME_ID],FME_Input[FME_NAME])</f>
        <v>Evaluation and prioritization of new gauge locations</v>
      </c>
      <c r="D42" t="str">
        <f>_xlfn.XLOOKUP(FME_Ranking1[[#This Row],[FME ID]],FME_Input[FME_ID],FME_Input[DESCR])</f>
        <v>Study to identify stream gage locations in the San Antonio River Basin and cost effective/resilient monitoring technologies.</v>
      </c>
      <c r="E42" s="256">
        <f>_xlfn.XLOOKUP(FME_Ranking1[[#This Row],[FME ID]],FME_Input[FME_ID],FME_Input[FME_COST])</f>
        <v>50000</v>
      </c>
      <c r="F42" t="str">
        <f>_xlfn.XLOOKUP(FME_Ranking1[[#This Row],[FME ID]],FME_Input[FME_ID],FME_Input[EMER_NEED])</f>
        <v>Yes</v>
      </c>
      <c r="G42">
        <f>IF(FME_Ranking!F42="Yes",100,0)</f>
        <v>100</v>
      </c>
      <c r="H42">
        <f>FME_Ranking1[[#This Row],[Emergency Need Score (Normalized, Unweighted)]]*$F$3</f>
        <v>0</v>
      </c>
      <c r="I42" s="246">
        <f>_xlfn.XLOOKUP(FME_Ranking1[[#This Row],[FME ID]],FME_Input[FME_ID],FME_Input[STRUCT_100])</f>
        <v>19145</v>
      </c>
      <c r="J42" s="178">
        <f>(FME_Ranking1[[#This Row],[Structures 100 Raw]]/I$2)*100</f>
        <v>10.252002741721288</v>
      </c>
      <c r="K42" s="178">
        <f>FME_Ranking1[[#This Row],[Structures 100  Score (Normalized, Unweighted)]]*$I$3</f>
        <v>1.5378004112581931</v>
      </c>
      <c r="L42" s="246">
        <f>_xlfn.XLOOKUP(FME_Ranking1[[#This Row],[FME ID]],FME_Input[FME_ID],FME_Input[RES_STRUCT100])</f>
        <v>13704</v>
      </c>
      <c r="M42" s="230">
        <f>(FME_Ranking1[[#This Row],[Res Structures Raw]]/L$2)*100</f>
        <v>9.7066198240568902</v>
      </c>
      <c r="N42" s="180">
        <f>FME_Ranking1[[#This Row],[Res Structures Score (Normalized, Unweighted)]]*$L$3</f>
        <v>0.97066198240568902</v>
      </c>
      <c r="O42" s="244">
        <f>_xlfn.XLOOKUP(FME_Ranking1[[#This Row],[FME ID]],FME_Input[FME_ID],FME_Input[POP100])</f>
        <v>66191</v>
      </c>
      <c r="P42" s="178">
        <f>(FME_Ranking1[[#This Row],[Pop Raw]]/$O$2)*100</f>
        <v>6.7763242758482303</v>
      </c>
      <c r="Q42" s="178">
        <f>FME_Ranking1[[#This Row],[Pop Score (Normalized, Unweighted)]]*$O$3</f>
        <v>1.0164486413772345</v>
      </c>
      <c r="R42" s="137">
        <f>_xlfn.XLOOKUP(FME_Ranking1[[#This Row],[FME ID]],FME_Input[FME_ID],FME_Input[CRITFAC100])</f>
        <v>0</v>
      </c>
      <c r="S42" s="230">
        <f>(FME_Ranking1[[#This Row],[Critical Facilities Raw]]/$R$2)*100</f>
        <v>0</v>
      </c>
      <c r="T42" s="180">
        <f>FME_Ranking1[[#This Row],[Critical Facilities Score (Normalized, Unweighted)]]*$R$3</f>
        <v>0</v>
      </c>
      <c r="U42">
        <f>_xlfn.XLOOKUP(FME_Ranking1[[#This Row],[FME ID]],FME_Input[FME_ID],FME_Input[LWC])</f>
        <v>0</v>
      </c>
      <c r="V42" s="178">
        <f>(FME_Ranking1[[#This Row],[LWC Raw]]/$U$2)*100</f>
        <v>0</v>
      </c>
      <c r="W42" s="178">
        <f>FME_Ranking1[[#This Row],[LWC Score (Normalized, Unweighted)]]*$U$3</f>
        <v>0</v>
      </c>
      <c r="X42" s="246">
        <f>_xlfn.XLOOKUP(FME_Ranking1[[#This Row],[FME ID]],FME_Input[FME_ID],FME_Input[ROADCLS])</f>
        <v>9511</v>
      </c>
      <c r="Y42" s="230">
        <f>(FME_Ranking1[[#This Row],[Closures Raw]]/$X$2)*100</f>
        <v>100</v>
      </c>
      <c r="Z42" s="180">
        <f>FME_Ranking1[[#This Row],[Closures Score (Normalized, Unweighted)]]*$X$3</f>
        <v>5</v>
      </c>
      <c r="AA42" s="253">
        <f>_xlfn.XLOOKUP(FME_Ranking1[[#This Row],[FME ID]],FME_Input[FME_ID],FME_Input[ROAD_MILES100])</f>
        <v>753.04998779296875</v>
      </c>
      <c r="AB42" s="178">
        <f>(FME_Ranking1[[#This Row],[Miles Raw]]/$AA$2)*100</f>
        <v>9.9012566809163349</v>
      </c>
      <c r="AC42" s="178">
        <f>FME_Ranking1[[#This Row],[Miles Score (Normalized, Unweighted)]]*$AA$3</f>
        <v>0.99012566809163349</v>
      </c>
      <c r="AD42" s="255">
        <f>_xlfn.XLOOKUP(FME_Ranking1[[#This Row],[FME ID]],FME_Input[FME_ID],FME_Input[FARMACRE100])</f>
        <v>62646.1015625</v>
      </c>
      <c r="AE42" s="230">
        <f>(FME_Ranking1[[#This Row],[Ag Land Raw]]/$AD$2)*100</f>
        <v>2.5832447929327262</v>
      </c>
      <c r="AF42" s="231">
        <f>FME_Ranking1[[#This Row],[Ag Land Score (Normalized, Unweighted)]]*$AD$3</f>
        <v>0.12916223964663631</v>
      </c>
      <c r="AG4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9.6441989427793864</v>
      </c>
      <c r="AH42" s="406">
        <f t="shared" si="0"/>
        <v>32</v>
      </c>
      <c r="AI4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9.6441989427793864</v>
      </c>
      <c r="AJ42" s="257">
        <f>FME_Ranking1[[#This Row],[Addition check]]-FME_Ranking1[[#This Row],[Weighted Score Based on Normalized Reported Factors]]</f>
        <v>0</v>
      </c>
      <c r="AK42" s="178">
        <f>_xlfn.RANK.EQ(AI42,$AI$6:$AI$2341,0)+COUNTIF($AI$6:AI42,AI42)-1</f>
        <v>33</v>
      </c>
    </row>
    <row r="43" spans="1:37" ht="12" customHeight="1" x14ac:dyDescent="0.25">
      <c r="A43" t="s">
        <v>9782</v>
      </c>
      <c r="B43">
        <f>_xlfn.XLOOKUP(FME_Ranking1[[#This Row],[FME ID]],FME_Input[FME_ID],FME_Input[RFPG_NUM])</f>
        <v>12</v>
      </c>
      <c r="C43" t="str">
        <f>_xlfn.XLOOKUP(FME_Ranking1[[#This Row],[FME ID]],FME_Input[FME_ID],FME_Input[FME_NAME])</f>
        <v>Future conditions data refinement study</v>
      </c>
      <c r="D43" t="str">
        <f>_xlfn.XLOOKUP(FME_Ranking1[[#This Row],[FME ID]],FME_Input[FME_ID],FME_Input[DESCR])</f>
        <v xml:space="preserve">Future conditions data refinement study,study future landuse and apply to future models
</v>
      </c>
      <c r="E43" s="256">
        <f>_xlfn.XLOOKUP(FME_Ranking1[[#This Row],[FME ID]],FME_Input[FME_ID],FME_Input[FME_COST])</f>
        <v>500000</v>
      </c>
      <c r="F43" t="str">
        <f>_xlfn.XLOOKUP(FME_Ranking1[[#This Row],[FME ID]],FME_Input[FME_ID],FME_Input[EMER_NEED])</f>
        <v>No</v>
      </c>
      <c r="G43">
        <f>IF(FME_Ranking!F43="Yes",100,0)</f>
        <v>0</v>
      </c>
      <c r="H43">
        <f>FME_Ranking1[[#This Row],[Emergency Need Score (Normalized, Unweighted)]]*$F$3</f>
        <v>0</v>
      </c>
      <c r="I43" s="246">
        <f>_xlfn.XLOOKUP(FME_Ranking1[[#This Row],[FME ID]],FME_Input[FME_ID],FME_Input[STRUCT_100])</f>
        <v>19145</v>
      </c>
      <c r="J43" s="178">
        <f>(FME_Ranking1[[#This Row],[Structures 100 Raw]]/I$2)*100</f>
        <v>10.252002741721288</v>
      </c>
      <c r="K43" s="178">
        <f>FME_Ranking1[[#This Row],[Structures 100  Score (Normalized, Unweighted)]]*$I$3</f>
        <v>1.5378004112581931</v>
      </c>
      <c r="L43" s="246">
        <f>_xlfn.XLOOKUP(FME_Ranking1[[#This Row],[FME ID]],FME_Input[FME_ID],FME_Input[RES_STRUCT100])</f>
        <v>13704</v>
      </c>
      <c r="M43" s="230">
        <f>(FME_Ranking1[[#This Row],[Res Structures Raw]]/L$2)*100</f>
        <v>9.7066198240568902</v>
      </c>
      <c r="N43" s="180">
        <f>FME_Ranking1[[#This Row],[Res Structures Score (Normalized, Unweighted)]]*$L$3</f>
        <v>0.97066198240568902</v>
      </c>
      <c r="O43" s="244">
        <f>_xlfn.XLOOKUP(FME_Ranking1[[#This Row],[FME ID]],FME_Input[FME_ID],FME_Input[POP100])</f>
        <v>66191</v>
      </c>
      <c r="P43" s="178">
        <f>(FME_Ranking1[[#This Row],[Pop Raw]]/$O$2)*100</f>
        <v>6.7763242758482303</v>
      </c>
      <c r="Q43" s="178">
        <f>FME_Ranking1[[#This Row],[Pop Score (Normalized, Unweighted)]]*$O$3</f>
        <v>1.0164486413772345</v>
      </c>
      <c r="R43" s="137">
        <f>_xlfn.XLOOKUP(FME_Ranking1[[#This Row],[FME ID]],FME_Input[FME_ID],FME_Input[CRITFAC100])</f>
        <v>0</v>
      </c>
      <c r="S43" s="230">
        <f>(FME_Ranking1[[#This Row],[Critical Facilities Raw]]/$R$2)*100</f>
        <v>0</v>
      </c>
      <c r="T43" s="180">
        <f>FME_Ranking1[[#This Row],[Critical Facilities Score (Normalized, Unweighted)]]*$R$3</f>
        <v>0</v>
      </c>
      <c r="U43">
        <f>_xlfn.XLOOKUP(FME_Ranking1[[#This Row],[FME ID]],FME_Input[FME_ID],FME_Input[LWC])</f>
        <v>0</v>
      </c>
      <c r="V43" s="178">
        <f>(FME_Ranking1[[#This Row],[LWC Raw]]/$U$2)*100</f>
        <v>0</v>
      </c>
      <c r="W43" s="178">
        <f>FME_Ranking1[[#This Row],[LWC Score (Normalized, Unweighted)]]*$U$3</f>
        <v>0</v>
      </c>
      <c r="X43" s="246">
        <f>_xlfn.XLOOKUP(FME_Ranking1[[#This Row],[FME ID]],FME_Input[FME_ID],FME_Input[ROADCLS])</f>
        <v>9511</v>
      </c>
      <c r="Y43" s="230">
        <f>(FME_Ranking1[[#This Row],[Closures Raw]]/$X$2)*100</f>
        <v>100</v>
      </c>
      <c r="Z43" s="180">
        <f>FME_Ranking1[[#This Row],[Closures Score (Normalized, Unweighted)]]*$X$3</f>
        <v>5</v>
      </c>
      <c r="AA43" s="253">
        <f>_xlfn.XLOOKUP(FME_Ranking1[[#This Row],[FME ID]],FME_Input[FME_ID],FME_Input[ROAD_MILES100])</f>
        <v>753.04998779296875</v>
      </c>
      <c r="AB43" s="178">
        <f>(FME_Ranking1[[#This Row],[Miles Raw]]/$AA$2)*100</f>
        <v>9.9012566809163349</v>
      </c>
      <c r="AC43" s="178">
        <f>FME_Ranking1[[#This Row],[Miles Score (Normalized, Unweighted)]]*$AA$3</f>
        <v>0.99012566809163349</v>
      </c>
      <c r="AD43" s="255">
        <f>_xlfn.XLOOKUP(FME_Ranking1[[#This Row],[FME ID]],FME_Input[FME_ID],FME_Input[FARMACRE100])</f>
        <v>62646.1015625</v>
      </c>
      <c r="AE43" s="230">
        <f>(FME_Ranking1[[#This Row],[Ag Land Raw]]/$AD$2)*100</f>
        <v>2.5832447929327262</v>
      </c>
      <c r="AF43" s="231">
        <f>FME_Ranking1[[#This Row],[Ag Land Score (Normalized, Unweighted)]]*$AD$3</f>
        <v>0.12916223964663631</v>
      </c>
      <c r="AG4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9.6441989427793864</v>
      </c>
      <c r="AH43" s="406">
        <f t="shared" si="0"/>
        <v>32</v>
      </c>
      <c r="AI4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9.6441989427793864</v>
      </c>
      <c r="AJ43" s="257">
        <f>FME_Ranking1[[#This Row],[Addition check]]-FME_Ranking1[[#This Row],[Weighted Score Based on Normalized Reported Factors]]</f>
        <v>0</v>
      </c>
      <c r="AK43" s="178">
        <f>_xlfn.RANK.EQ(AI43,$AI$6:$AI$2341,0)+COUNTIF($AI$6:AI43,AI43)-1</f>
        <v>34</v>
      </c>
    </row>
    <row r="44" spans="1:37" ht="12" customHeight="1" x14ac:dyDescent="0.25">
      <c r="A44" t="s">
        <v>9788</v>
      </c>
      <c r="B44">
        <f>_xlfn.XLOOKUP(FME_Ranking1[[#This Row],[FME ID]],FME_Input[FME_ID],FME_Input[RFPG_NUM])</f>
        <v>12</v>
      </c>
      <c r="C44" t="str">
        <f>_xlfn.XLOOKUP(FME_Ranking1[[#This Row],[FME ID]],FME_Input[FME_ID],FME_Input[FME_NAME])</f>
        <v>River Authority WWTP Resilience</v>
      </c>
      <c r="D44" t="str">
        <f>_xlfn.XLOOKUP(FME_Ranking1[[#This Row],[FME ID]],FME_Input[FME_ID],FME_Input[DESCR])</f>
        <v>Study of all River Authority WWTP Resilience, finding alternatives for floodproofing</v>
      </c>
      <c r="E44" s="256">
        <f>_xlfn.XLOOKUP(FME_Ranking1[[#This Row],[FME ID]],FME_Input[FME_ID],FME_Input[FME_COST])</f>
        <v>600000</v>
      </c>
      <c r="F44" t="str">
        <f>_xlfn.XLOOKUP(FME_Ranking1[[#This Row],[FME ID]],FME_Input[FME_ID],FME_Input[EMER_NEED])</f>
        <v>Yes</v>
      </c>
      <c r="G44">
        <f>IF(FME_Ranking!F44="Yes",100,0)</f>
        <v>100</v>
      </c>
      <c r="H44">
        <f>FME_Ranking1[[#This Row],[Emergency Need Score (Normalized, Unweighted)]]*$F$3</f>
        <v>0</v>
      </c>
      <c r="I44" s="246">
        <f>_xlfn.XLOOKUP(FME_Ranking1[[#This Row],[FME ID]],FME_Input[FME_ID],FME_Input[STRUCT_100])</f>
        <v>19145</v>
      </c>
      <c r="J44" s="178">
        <f>(FME_Ranking1[[#This Row],[Structures 100 Raw]]/I$2)*100</f>
        <v>10.252002741721288</v>
      </c>
      <c r="K44" s="178">
        <f>FME_Ranking1[[#This Row],[Structures 100  Score (Normalized, Unweighted)]]*$I$3</f>
        <v>1.5378004112581931</v>
      </c>
      <c r="L44" s="246">
        <f>_xlfn.XLOOKUP(FME_Ranking1[[#This Row],[FME ID]],FME_Input[FME_ID],FME_Input[RES_STRUCT100])</f>
        <v>13704</v>
      </c>
      <c r="M44" s="230">
        <f>(FME_Ranking1[[#This Row],[Res Structures Raw]]/L$2)*100</f>
        <v>9.7066198240568902</v>
      </c>
      <c r="N44" s="180">
        <f>FME_Ranking1[[#This Row],[Res Structures Score (Normalized, Unweighted)]]*$L$3</f>
        <v>0.97066198240568902</v>
      </c>
      <c r="O44" s="244">
        <f>_xlfn.XLOOKUP(FME_Ranking1[[#This Row],[FME ID]],FME_Input[FME_ID],FME_Input[POP100])</f>
        <v>66191</v>
      </c>
      <c r="P44" s="178">
        <f>(FME_Ranking1[[#This Row],[Pop Raw]]/$O$2)*100</f>
        <v>6.7763242758482303</v>
      </c>
      <c r="Q44" s="178">
        <f>FME_Ranking1[[#This Row],[Pop Score (Normalized, Unweighted)]]*$O$3</f>
        <v>1.0164486413772345</v>
      </c>
      <c r="R44" s="137">
        <f>_xlfn.XLOOKUP(FME_Ranking1[[#This Row],[FME ID]],FME_Input[FME_ID],FME_Input[CRITFAC100])</f>
        <v>0</v>
      </c>
      <c r="S44" s="230">
        <f>(FME_Ranking1[[#This Row],[Critical Facilities Raw]]/$R$2)*100</f>
        <v>0</v>
      </c>
      <c r="T44" s="180">
        <f>FME_Ranking1[[#This Row],[Critical Facilities Score (Normalized, Unweighted)]]*$R$3</f>
        <v>0</v>
      </c>
      <c r="U44">
        <f>_xlfn.XLOOKUP(FME_Ranking1[[#This Row],[FME ID]],FME_Input[FME_ID],FME_Input[LWC])</f>
        <v>0</v>
      </c>
      <c r="V44" s="178">
        <f>(FME_Ranking1[[#This Row],[LWC Raw]]/$U$2)*100</f>
        <v>0</v>
      </c>
      <c r="W44" s="178">
        <f>FME_Ranking1[[#This Row],[LWC Score (Normalized, Unweighted)]]*$U$3</f>
        <v>0</v>
      </c>
      <c r="X44" s="246">
        <f>_xlfn.XLOOKUP(FME_Ranking1[[#This Row],[FME ID]],FME_Input[FME_ID],FME_Input[ROADCLS])</f>
        <v>9511</v>
      </c>
      <c r="Y44" s="230">
        <f>(FME_Ranking1[[#This Row],[Closures Raw]]/$X$2)*100</f>
        <v>100</v>
      </c>
      <c r="Z44" s="180">
        <f>FME_Ranking1[[#This Row],[Closures Score (Normalized, Unweighted)]]*$X$3</f>
        <v>5</v>
      </c>
      <c r="AA44" s="253">
        <f>_xlfn.XLOOKUP(FME_Ranking1[[#This Row],[FME ID]],FME_Input[FME_ID],FME_Input[ROAD_MILES100])</f>
        <v>753.04998779296875</v>
      </c>
      <c r="AB44" s="178">
        <f>(FME_Ranking1[[#This Row],[Miles Raw]]/$AA$2)*100</f>
        <v>9.9012566809163349</v>
      </c>
      <c r="AC44" s="178">
        <f>FME_Ranking1[[#This Row],[Miles Score (Normalized, Unweighted)]]*$AA$3</f>
        <v>0.99012566809163349</v>
      </c>
      <c r="AD44" s="255">
        <f>_xlfn.XLOOKUP(FME_Ranking1[[#This Row],[FME ID]],FME_Input[FME_ID],FME_Input[FARMACRE100])</f>
        <v>62646.1015625</v>
      </c>
      <c r="AE44" s="230">
        <f>(FME_Ranking1[[#This Row],[Ag Land Raw]]/$AD$2)*100</f>
        <v>2.5832447929327262</v>
      </c>
      <c r="AF44" s="231">
        <f>FME_Ranking1[[#This Row],[Ag Land Score (Normalized, Unweighted)]]*$AD$3</f>
        <v>0.12916223964663631</v>
      </c>
      <c r="AG4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9.6441989427793864</v>
      </c>
      <c r="AH44" s="406">
        <f t="shared" si="0"/>
        <v>32</v>
      </c>
      <c r="AI4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9.6441989427793864</v>
      </c>
      <c r="AJ44" s="257">
        <f>FME_Ranking1[[#This Row],[Addition check]]-FME_Ranking1[[#This Row],[Weighted Score Based on Normalized Reported Factors]]</f>
        <v>0</v>
      </c>
      <c r="AK44" s="178">
        <f>_xlfn.RANK.EQ(AI44,$AI$6:$AI$2341,0)+COUNTIF($AI$6:AI44,AI44)-1</f>
        <v>35</v>
      </c>
    </row>
    <row r="45" spans="1:37" ht="12" customHeight="1" x14ac:dyDescent="0.25">
      <c r="A45" t="s">
        <v>2141</v>
      </c>
      <c r="B45">
        <f>_xlfn.XLOOKUP(FME_Ranking1[[#This Row],[FME ID]],FME_Input[FME_ID],FME_Input[RFPG_NUM])</f>
        <v>6</v>
      </c>
      <c r="C45" t="str">
        <f>_xlfn.XLOOKUP(FME_Ranking1[[#This Row],[FME ID]],FME_Input[FME_ID],FME_Input[FME_NAME])</f>
        <v>Clear Creek - Hughes Stormwater Detention (SWD) Basin</v>
      </c>
      <c r="D45" t="str">
        <f>_xlfn.XLOOKUP(FME_Ranking1[[#This Row],[FME ID]],FME_Input[FME_ID],FME_Input[DESCR])</f>
        <v>Develop BCA to become a FMP. Project identified in Clear Creek Federal Project study for flood management but did not yield high enough cost benefit ratio for Federal funding. Therefore, Harris and Galveston County have decided to fund this effort.</v>
      </c>
      <c r="E45" s="256">
        <f>_xlfn.XLOOKUP(FME_Ranking1[[#This Row],[FME ID]],FME_Input[FME_ID],FME_Input[FME_COST])</f>
        <v>30000</v>
      </c>
      <c r="F45" t="str">
        <f>_xlfn.XLOOKUP(FME_Ranking1[[#This Row],[FME ID]],FME_Input[FME_ID],FME_Input[EMER_NEED])</f>
        <v>No</v>
      </c>
      <c r="G45">
        <f>IF(FME_Ranking!F45="Yes",100,0)</f>
        <v>0</v>
      </c>
      <c r="H45">
        <f>FME_Ranking1[[#This Row],[Emergency Need Score (Normalized, Unweighted)]]*$F$3</f>
        <v>0</v>
      </c>
      <c r="I45" s="246">
        <f>_xlfn.XLOOKUP(FME_Ranking1[[#This Row],[FME ID]],FME_Input[FME_ID],FME_Input[STRUCT_100])</f>
        <v>27164</v>
      </c>
      <c r="J45" s="178">
        <f>(FME_Ranking1[[#This Row],[Structures 100 Raw]]/I$2)*100</f>
        <v>14.546116608833485</v>
      </c>
      <c r="K45" s="178">
        <f>FME_Ranking1[[#This Row],[Structures 100  Score (Normalized, Unweighted)]]*$I$3</f>
        <v>2.1819174913250228</v>
      </c>
      <c r="L45" s="246">
        <f>_xlfn.XLOOKUP(FME_Ranking1[[#This Row],[FME ID]],FME_Input[FME_ID],FME_Input[RES_STRUCT100])</f>
        <v>22913</v>
      </c>
      <c r="M45" s="230">
        <f>(FME_Ranking1[[#This Row],[Res Structures Raw]]/L$2)*100</f>
        <v>16.229406014931083</v>
      </c>
      <c r="N45" s="180">
        <f>FME_Ranking1[[#This Row],[Res Structures Score (Normalized, Unweighted)]]*$L$3</f>
        <v>1.6229406014931085</v>
      </c>
      <c r="O45" s="244">
        <f>_xlfn.XLOOKUP(FME_Ranking1[[#This Row],[FME ID]],FME_Input[FME_ID],FME_Input[POP100])</f>
        <v>120966</v>
      </c>
      <c r="P45" s="178">
        <f>(FME_Ranking1[[#This Row],[Pop Raw]]/$O$2)*100</f>
        <v>12.383931990032741</v>
      </c>
      <c r="Q45" s="178">
        <f>FME_Ranking1[[#This Row],[Pop Score (Normalized, Unweighted)]]*$O$3</f>
        <v>1.857589798504911</v>
      </c>
      <c r="R45" s="137">
        <f>_xlfn.XLOOKUP(FME_Ranking1[[#This Row],[FME ID]],FME_Input[FME_ID],FME_Input[CRITFAC100])</f>
        <v>233</v>
      </c>
      <c r="S45" s="230">
        <f>(FME_Ranking1[[#This Row],[Critical Facilities Raw]]/$R$2)*100</f>
        <v>9.9914236706689543</v>
      </c>
      <c r="T45" s="180">
        <f>FME_Ranking1[[#This Row],[Critical Facilities Score (Normalized, Unweighted)]]*$R$3</f>
        <v>1.998284734133791</v>
      </c>
      <c r="U45">
        <f>_xlfn.XLOOKUP(FME_Ranking1[[#This Row],[FME ID]],FME_Input[FME_ID],FME_Input[LWC])</f>
        <v>12</v>
      </c>
      <c r="V45" s="178">
        <f>(FME_Ranking1[[#This Row],[LWC Raw]]/$U$2)*100</f>
        <v>0.69084628670120896</v>
      </c>
      <c r="W45" s="178">
        <f>FME_Ranking1[[#This Row],[LWC Score (Normalized, Unweighted)]]*$U$3</f>
        <v>0.1381692573402418</v>
      </c>
      <c r="X45" s="246">
        <f>_xlfn.XLOOKUP(FME_Ranking1[[#This Row],[FME ID]],FME_Input[FME_ID],FME_Input[ROADCLS])</f>
        <v>12</v>
      </c>
      <c r="Y45" s="230">
        <f>(FME_Ranking1[[#This Row],[Closures Raw]]/$X$2)*100</f>
        <v>0.12616969824413837</v>
      </c>
      <c r="Z45" s="180">
        <f>FME_Ranking1[[#This Row],[Closures Score (Normalized, Unweighted)]]*$X$3</f>
        <v>6.308484912206919E-3</v>
      </c>
      <c r="AA45" s="253">
        <f>_xlfn.XLOOKUP(FME_Ranking1[[#This Row],[FME ID]],FME_Input[FME_ID],FME_Input[ROAD_MILES100])</f>
        <v>458.135498046875</v>
      </c>
      <c r="AB45" s="178">
        <f>(FME_Ranking1[[#This Row],[Miles Raw]]/$AA$2)*100</f>
        <v>6.0236600947248666</v>
      </c>
      <c r="AC45" s="178">
        <f>FME_Ranking1[[#This Row],[Miles Score (Normalized, Unweighted)]]*$AA$3</f>
        <v>0.60236600947248675</v>
      </c>
      <c r="AD45" s="255">
        <f>_xlfn.XLOOKUP(FME_Ranking1[[#This Row],[FME ID]],FME_Input[FME_ID],FME_Input[FARMACRE100])</f>
        <v>532.72027587890625</v>
      </c>
      <c r="AE45" s="230">
        <f>(FME_Ranking1[[#This Row],[Ag Land Raw]]/$AD$2)*100</f>
        <v>2.196699945296568E-2</v>
      </c>
      <c r="AF45" s="231">
        <f>FME_Ranking1[[#This Row],[Ag Land Score (Normalized, Unweighted)]]*$AD$3</f>
        <v>1.0983499726482839E-3</v>
      </c>
      <c r="AG4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8.408674727154418</v>
      </c>
      <c r="AH45" s="406">
        <f t="shared" si="0"/>
        <v>40</v>
      </c>
      <c r="AI4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8.408674727154418</v>
      </c>
      <c r="AJ45" s="257">
        <f>FME_Ranking1[[#This Row],[Addition check]]-FME_Ranking1[[#This Row],[Weighted Score Based on Normalized Reported Factors]]</f>
        <v>0</v>
      </c>
      <c r="AK45" s="178">
        <f>_xlfn.RANK.EQ(AI45,$AI$6:$AI$2341,0)+COUNTIF($AI$6:AI45,AI45)-1</f>
        <v>40</v>
      </c>
    </row>
    <row r="46" spans="1:37" ht="12" customHeight="1" x14ac:dyDescent="0.25">
      <c r="A46" t="s">
        <v>1846</v>
      </c>
      <c r="B46">
        <f>_xlfn.XLOOKUP(FME_Ranking1[[#This Row],[FME ID]],FME_Input[FME_ID],FME_Input[RFPG_NUM])</f>
        <v>6</v>
      </c>
      <c r="C46" t="str">
        <f>_xlfn.XLOOKUP(FME_Ranking1[[#This Row],[FME ID]],FME_Input[FME_ID],FME_Input[FME_NAME])</f>
        <v>Montgomery Flood Mapping Updates</v>
      </c>
      <c r="D46" t="str">
        <f>_xlfn.XLOOKUP(FME_Ranking1[[#This Row],[FME ID]],FME_Input[FME_ID],FME_Input[DESCR])</f>
        <v>County wide study to produce flood mappping updates including Atlas 14 rainfall.</v>
      </c>
      <c r="E46" s="256">
        <f>_xlfn.XLOOKUP(FME_Ranking1[[#This Row],[FME ID]],FME_Input[FME_ID],FME_Input[FME_COST])</f>
        <v>4700000</v>
      </c>
      <c r="F46" t="str">
        <f>_xlfn.XLOOKUP(FME_Ranking1[[#This Row],[FME ID]],FME_Input[FME_ID],FME_Input[EMER_NEED])</f>
        <v>Yes</v>
      </c>
      <c r="G46">
        <f>IF(FME_Ranking!F46="Yes",100,0)</f>
        <v>100</v>
      </c>
      <c r="H46">
        <f>FME_Ranking1[[#This Row],[Emergency Need Score (Normalized, Unweighted)]]*$F$3</f>
        <v>0</v>
      </c>
      <c r="I46" s="246">
        <f>_xlfn.XLOOKUP(FME_Ranking1[[#This Row],[FME ID]],FME_Input[FME_ID],FME_Input[STRUCT_100])</f>
        <v>21195</v>
      </c>
      <c r="J46" s="178">
        <f>(FME_Ranking1[[#This Row],[Structures 100 Raw]]/I$2)*100</f>
        <v>11.349762241357151</v>
      </c>
      <c r="K46" s="178">
        <f>FME_Ranking1[[#This Row],[Structures 100  Score (Normalized, Unweighted)]]*$I$3</f>
        <v>1.7024643362035727</v>
      </c>
      <c r="L46" s="246">
        <f>_xlfn.XLOOKUP(FME_Ranking1[[#This Row],[FME ID]],FME_Input[FME_ID],FME_Input[RES_STRUCT100])</f>
        <v>16931</v>
      </c>
      <c r="M46" s="230">
        <f>(FME_Ranking1[[#This Row],[Res Structures Raw]]/L$2)*100</f>
        <v>11.992321967389611</v>
      </c>
      <c r="N46" s="180">
        <f>FME_Ranking1[[#This Row],[Res Structures Score (Normalized, Unweighted)]]*$L$3</f>
        <v>1.1992321967389612</v>
      </c>
      <c r="O46" s="244">
        <f>_xlfn.XLOOKUP(FME_Ranking1[[#This Row],[FME ID]],FME_Input[FME_ID],FME_Input[POP100])</f>
        <v>67706</v>
      </c>
      <c r="P46" s="178">
        <f>(FME_Ranking1[[#This Row],[Pop Raw]]/$O$2)*100</f>
        <v>6.9314228735112078</v>
      </c>
      <c r="Q46" s="178">
        <f>FME_Ranking1[[#This Row],[Pop Score (Normalized, Unweighted)]]*$O$3</f>
        <v>1.0397134310266811</v>
      </c>
      <c r="R46" s="137">
        <f>_xlfn.XLOOKUP(FME_Ranking1[[#This Row],[FME ID]],FME_Input[FME_ID],FME_Input[CRITFAC100])</f>
        <v>125</v>
      </c>
      <c r="S46" s="230">
        <f>(FME_Ranking1[[#This Row],[Critical Facilities Raw]]/$R$2)*100</f>
        <v>5.3602058319039445</v>
      </c>
      <c r="T46" s="180">
        <f>FME_Ranking1[[#This Row],[Critical Facilities Score (Normalized, Unweighted)]]*$R$3</f>
        <v>1.0720411663807889</v>
      </c>
      <c r="U46">
        <f>_xlfn.XLOOKUP(FME_Ranking1[[#This Row],[FME ID]],FME_Input[FME_ID],FME_Input[LWC])</f>
        <v>72</v>
      </c>
      <c r="V46" s="178">
        <f>(FME_Ranking1[[#This Row],[LWC Raw]]/$U$2)*100</f>
        <v>4.1450777202072544</v>
      </c>
      <c r="W46" s="178">
        <f>FME_Ranking1[[#This Row],[LWC Score (Normalized, Unweighted)]]*$U$3</f>
        <v>0.82901554404145095</v>
      </c>
      <c r="X46" s="246">
        <f>_xlfn.XLOOKUP(FME_Ranking1[[#This Row],[FME ID]],FME_Input[FME_ID],FME_Input[ROADCLS])</f>
        <v>72</v>
      </c>
      <c r="Y46" s="230">
        <f>(FME_Ranking1[[#This Row],[Closures Raw]]/$X$2)*100</f>
        <v>0.75701818946483024</v>
      </c>
      <c r="Z46" s="180">
        <f>FME_Ranking1[[#This Row],[Closures Score (Normalized, Unweighted)]]*$X$3</f>
        <v>3.7850909473241517E-2</v>
      </c>
      <c r="AA46" s="253">
        <f>_xlfn.XLOOKUP(FME_Ranking1[[#This Row],[FME ID]],FME_Input[FME_ID],FME_Input[ROAD_MILES100])</f>
        <v>409.33160400390619</v>
      </c>
      <c r="AB46" s="178">
        <f>(FME_Ranking1[[#This Row],[Miles Raw]]/$AA$2)*100</f>
        <v>5.3819764219531638</v>
      </c>
      <c r="AC46" s="178">
        <f>FME_Ranking1[[#This Row],[Miles Score (Normalized, Unweighted)]]*$AA$3</f>
        <v>0.53819764219531641</v>
      </c>
      <c r="AD46" s="255">
        <f>_xlfn.XLOOKUP(FME_Ranking1[[#This Row],[FME ID]],FME_Input[FME_ID],FME_Input[FARMACRE100])</f>
        <v>852.3905029296875</v>
      </c>
      <c r="AE46" s="230">
        <f>(FME_Ranking1[[#This Row],[Ag Land Raw]]/$AD$2)*100</f>
        <v>3.5148768611589096E-2</v>
      </c>
      <c r="AF46" s="231">
        <f>FME_Ranking1[[#This Row],[Ag Land Score (Normalized, Unweighted)]]*$AD$3</f>
        <v>1.757438430579455E-3</v>
      </c>
      <c r="AG4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6.4202726644905921</v>
      </c>
      <c r="AH46" s="406">
        <f t="shared" si="0"/>
        <v>41</v>
      </c>
      <c r="AI4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6.4202726644905921</v>
      </c>
      <c r="AJ46" s="257">
        <f>FME_Ranking1[[#This Row],[Addition check]]-FME_Ranking1[[#This Row],[Weighted Score Based on Normalized Reported Factors]]</f>
        <v>0</v>
      </c>
      <c r="AK46" s="178">
        <f>_xlfn.RANK.EQ(AI46,$AI$6:$AI$2341,0)+COUNTIF($AI$6:AI46,AI46)-1</f>
        <v>41</v>
      </c>
    </row>
    <row r="47" spans="1:37" ht="12" customHeight="1" x14ac:dyDescent="0.25">
      <c r="A47" t="s">
        <v>5677</v>
      </c>
      <c r="B47">
        <f>_xlfn.XLOOKUP(FME_Ranking1[[#This Row],[FME ID]],FME_Input[FME_ID],FME_Input[RFPG_NUM])</f>
        <v>4</v>
      </c>
      <c r="C47" t="str">
        <f>_xlfn.XLOOKUP(FME_Ranking1[[#This Row],[FME ID]],FME_Input[FME_ID],FME_Input[FME_NAME])</f>
        <v xml:space="preserve">Feasibility Assessment and Conceptual Design of Increasing the Size of Culverts and Railroad Trestles on Major Drainage Structures </v>
      </c>
      <c r="D47" t="str">
        <f>_xlfn.XLOOKUP(FME_Ranking1[[#This Row],[FME ID]],FME_Input[FME_ID],FME_Input[DESCR])</f>
        <v xml:space="preserve">H&amp;H Study and Modeling for Determination of Need and Feasibility Assessment for Increase in Size of Culverts and Railroad Trestles on Major Drainage Structures Throughout Orange County </v>
      </c>
      <c r="E47" s="256">
        <f>_xlfn.XLOOKUP(FME_Ranking1[[#This Row],[FME ID]],FME_Input[FME_ID],FME_Input[FME_COST])</f>
        <v>500000</v>
      </c>
      <c r="F47" t="str">
        <f>_xlfn.XLOOKUP(FME_Ranking1[[#This Row],[FME ID]],FME_Input[FME_ID],FME_Input[EMER_NEED])</f>
        <v>Yes</v>
      </c>
      <c r="G47">
        <f>IF(FME_Ranking!F47="Yes",100,0)</f>
        <v>100</v>
      </c>
      <c r="H47">
        <f>FME_Ranking1[[#This Row],[Emergency Need Score (Normalized, Unweighted)]]*$F$3</f>
        <v>0</v>
      </c>
      <c r="I47" s="246">
        <f>_xlfn.XLOOKUP(FME_Ranking1[[#This Row],[FME ID]],FME_Input[FME_ID],FME_Input[STRUCT_100])</f>
        <v>16974</v>
      </c>
      <c r="J47" s="178">
        <f>(FME_Ranking1[[#This Row],[Structures 100 Raw]]/I$2)*100</f>
        <v>9.0894486569849633</v>
      </c>
      <c r="K47" s="178">
        <f>FME_Ranking1[[#This Row],[Structures 100  Score (Normalized, Unweighted)]]*$I$3</f>
        <v>1.3634172985477444</v>
      </c>
      <c r="L47" s="246">
        <f>_xlfn.XLOOKUP(FME_Ranking1[[#This Row],[FME ID]],FME_Input[FME_ID],FME_Input[RES_STRUCT100])</f>
        <v>14040</v>
      </c>
      <c r="M47" s="230">
        <f>(FME_Ranking1[[#This Row],[Res Structures Raw]]/L$2)*100</f>
        <v>9.9446105027553084</v>
      </c>
      <c r="N47" s="180">
        <f>FME_Ranking1[[#This Row],[Res Structures Score (Normalized, Unweighted)]]*$L$3</f>
        <v>0.99446105027553089</v>
      </c>
      <c r="O47" s="244">
        <f>_xlfn.XLOOKUP(FME_Ranking1[[#This Row],[FME ID]],FME_Input[FME_ID],FME_Input[POP100])</f>
        <v>44427</v>
      </c>
      <c r="P47" s="178">
        <f>(FME_Ranking1[[#This Row],[Pop Raw]]/$O$2)*100</f>
        <v>4.548227985724786</v>
      </c>
      <c r="Q47" s="178">
        <f>FME_Ranking1[[#This Row],[Pop Score (Normalized, Unweighted)]]*$O$3</f>
        <v>0.68223419785871786</v>
      </c>
      <c r="R47" s="137">
        <f>_xlfn.XLOOKUP(FME_Ranking1[[#This Row],[FME ID]],FME_Input[FME_ID],FME_Input[CRITFAC100])</f>
        <v>276</v>
      </c>
      <c r="S47" s="230">
        <f>(FME_Ranking1[[#This Row],[Critical Facilities Raw]]/$R$2)*100</f>
        <v>11.83533447684391</v>
      </c>
      <c r="T47" s="180">
        <f>FME_Ranking1[[#This Row],[Critical Facilities Score (Normalized, Unweighted)]]*$R$3</f>
        <v>2.3670668953687821</v>
      </c>
      <c r="U47">
        <f>_xlfn.XLOOKUP(FME_Ranking1[[#This Row],[FME ID]],FME_Input[FME_ID],FME_Input[LWC])</f>
        <v>22</v>
      </c>
      <c r="V47" s="178">
        <f>(FME_Ranking1[[#This Row],[LWC Raw]]/$U$2)*100</f>
        <v>1.2665515256188831</v>
      </c>
      <c r="W47" s="178">
        <f>FME_Ranking1[[#This Row],[LWC Score (Normalized, Unweighted)]]*$U$3</f>
        <v>0.25331030512377661</v>
      </c>
      <c r="X47" s="246">
        <f>_xlfn.XLOOKUP(FME_Ranking1[[#This Row],[FME ID]],FME_Input[FME_ID],FME_Input[ROADCLS])</f>
        <v>22</v>
      </c>
      <c r="Y47" s="230">
        <f>(FME_Ranking1[[#This Row],[Closures Raw]]/$X$2)*100</f>
        <v>0.23131111344758701</v>
      </c>
      <c r="Z47" s="180">
        <f>FME_Ranking1[[#This Row],[Closures Score (Normalized, Unweighted)]]*$X$3</f>
        <v>1.1565555672379352E-2</v>
      </c>
      <c r="AA47" s="253">
        <f>_xlfn.XLOOKUP(FME_Ranking1[[#This Row],[FME ID]],FME_Input[FME_ID],FME_Input[ROAD_MILES100])</f>
        <v>364.498779296875</v>
      </c>
      <c r="AB47" s="178">
        <f>(FME_Ranking1[[#This Row],[Miles Raw]]/$AA$2)*100</f>
        <v>4.7925051885018171</v>
      </c>
      <c r="AC47" s="178">
        <f>FME_Ranking1[[#This Row],[Miles Score (Normalized, Unweighted)]]*$AA$3</f>
        <v>0.47925051885018172</v>
      </c>
      <c r="AD47" s="255">
        <f>_xlfn.XLOOKUP(FME_Ranking1[[#This Row],[FME ID]],FME_Input[FME_ID],FME_Input[FARMACRE100])</f>
        <v>17171.203125</v>
      </c>
      <c r="AE47" s="230">
        <f>(FME_Ranking1[[#This Row],[Ag Land Raw]]/$AD$2)*100</f>
        <v>0.70806354992085874</v>
      </c>
      <c r="AF47" s="231">
        <f>FME_Ranking1[[#This Row],[Ag Land Score (Normalized, Unweighted)]]*$AD$3</f>
        <v>3.5403177496042937E-2</v>
      </c>
      <c r="AG4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6.186708999193157</v>
      </c>
      <c r="AH47" s="406">
        <f t="shared" si="0"/>
        <v>43</v>
      </c>
      <c r="AI4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6.186708999193157</v>
      </c>
      <c r="AJ47" s="257">
        <f>FME_Ranking1[[#This Row],[Addition check]]-FME_Ranking1[[#This Row],[Weighted Score Based on Normalized Reported Factors]]</f>
        <v>0</v>
      </c>
      <c r="AK47" s="178">
        <f>_xlfn.RANK.EQ(AI47,$AI$6:$AI$2341,0)+COUNTIF($AI$6:AI47,AI47)-1</f>
        <v>43</v>
      </c>
    </row>
    <row r="48" spans="1:37" ht="12" customHeight="1" x14ac:dyDescent="0.25">
      <c r="A48" t="s">
        <v>5680</v>
      </c>
      <c r="B48">
        <f>_xlfn.XLOOKUP(FME_Ranking1[[#This Row],[FME ID]],FME_Input[FME_ID],FME_Input[RFPG_NUM])</f>
        <v>4</v>
      </c>
      <c r="C48" t="str">
        <f>_xlfn.XLOOKUP(FME_Ranking1[[#This Row],[FME ID]],FME_Input[FME_ID],FME_Input[FME_NAME])</f>
        <v xml:space="preserve">Feasibility Assessment and Conceptual Design of Increasing Capacity of Drainage Ditches and Channels that Convey Stormwater from Neighborhoods  </v>
      </c>
      <c r="D48" t="str">
        <f>_xlfn.XLOOKUP(FME_Ranking1[[#This Row],[FME ID]],FME_Input[FME_ID],FME_Input[DESCR])</f>
        <v xml:space="preserve">H&amp;H Study and Modeling for Determination of Need and Feasibility Assessment of the Capacity of Drainage Ditches and Channels that Convey Stormwater from Neighborhoods Located Within Orange County  </v>
      </c>
      <c r="E48" s="256">
        <f>_xlfn.XLOOKUP(FME_Ranking1[[#This Row],[FME ID]],FME_Input[FME_ID],FME_Input[FME_COST])</f>
        <v>1000000</v>
      </c>
      <c r="F48" t="str">
        <f>_xlfn.XLOOKUP(FME_Ranking1[[#This Row],[FME ID]],FME_Input[FME_ID],FME_Input[EMER_NEED])</f>
        <v>Yes</v>
      </c>
      <c r="G48">
        <f>IF(FME_Ranking!F48="Yes",100,0)</f>
        <v>100</v>
      </c>
      <c r="H48">
        <f>FME_Ranking1[[#This Row],[Emergency Need Score (Normalized, Unweighted)]]*$F$3</f>
        <v>0</v>
      </c>
      <c r="I48" s="246">
        <f>_xlfn.XLOOKUP(FME_Ranking1[[#This Row],[FME ID]],FME_Input[FME_ID],FME_Input[STRUCT_100])</f>
        <v>16974</v>
      </c>
      <c r="J48" s="178">
        <f>(FME_Ranking1[[#This Row],[Structures 100 Raw]]/I$2)*100</f>
        <v>9.0894486569849633</v>
      </c>
      <c r="K48" s="178">
        <f>FME_Ranking1[[#This Row],[Structures 100  Score (Normalized, Unweighted)]]*$I$3</f>
        <v>1.3634172985477444</v>
      </c>
      <c r="L48" s="246">
        <f>_xlfn.XLOOKUP(FME_Ranking1[[#This Row],[FME ID]],FME_Input[FME_ID],FME_Input[RES_STRUCT100])</f>
        <v>14040</v>
      </c>
      <c r="M48" s="230">
        <f>(FME_Ranking1[[#This Row],[Res Structures Raw]]/L$2)*100</f>
        <v>9.9446105027553084</v>
      </c>
      <c r="N48" s="180">
        <f>FME_Ranking1[[#This Row],[Res Structures Score (Normalized, Unweighted)]]*$L$3</f>
        <v>0.99446105027553089</v>
      </c>
      <c r="O48" s="244">
        <f>_xlfn.XLOOKUP(FME_Ranking1[[#This Row],[FME ID]],FME_Input[FME_ID],FME_Input[POP100])</f>
        <v>44427</v>
      </c>
      <c r="P48" s="178">
        <f>(FME_Ranking1[[#This Row],[Pop Raw]]/$O$2)*100</f>
        <v>4.548227985724786</v>
      </c>
      <c r="Q48" s="178">
        <f>FME_Ranking1[[#This Row],[Pop Score (Normalized, Unweighted)]]*$O$3</f>
        <v>0.68223419785871786</v>
      </c>
      <c r="R48" s="137">
        <f>_xlfn.XLOOKUP(FME_Ranking1[[#This Row],[FME ID]],FME_Input[FME_ID],FME_Input[CRITFAC100])</f>
        <v>276</v>
      </c>
      <c r="S48" s="230">
        <f>(FME_Ranking1[[#This Row],[Critical Facilities Raw]]/$R$2)*100</f>
        <v>11.83533447684391</v>
      </c>
      <c r="T48" s="180">
        <f>FME_Ranking1[[#This Row],[Critical Facilities Score (Normalized, Unweighted)]]*$R$3</f>
        <v>2.3670668953687821</v>
      </c>
      <c r="U48">
        <f>_xlfn.XLOOKUP(FME_Ranking1[[#This Row],[FME ID]],FME_Input[FME_ID],FME_Input[LWC])</f>
        <v>22</v>
      </c>
      <c r="V48" s="178">
        <f>(FME_Ranking1[[#This Row],[LWC Raw]]/$U$2)*100</f>
        <v>1.2665515256188831</v>
      </c>
      <c r="W48" s="178">
        <f>FME_Ranking1[[#This Row],[LWC Score (Normalized, Unweighted)]]*$U$3</f>
        <v>0.25331030512377661</v>
      </c>
      <c r="X48" s="246">
        <f>_xlfn.XLOOKUP(FME_Ranking1[[#This Row],[FME ID]],FME_Input[FME_ID],FME_Input[ROADCLS])</f>
        <v>22</v>
      </c>
      <c r="Y48" s="230">
        <f>(FME_Ranking1[[#This Row],[Closures Raw]]/$X$2)*100</f>
        <v>0.23131111344758701</v>
      </c>
      <c r="Z48" s="180">
        <f>FME_Ranking1[[#This Row],[Closures Score (Normalized, Unweighted)]]*$X$3</f>
        <v>1.1565555672379352E-2</v>
      </c>
      <c r="AA48" s="253">
        <f>_xlfn.XLOOKUP(FME_Ranking1[[#This Row],[FME ID]],FME_Input[FME_ID],FME_Input[ROAD_MILES100])</f>
        <v>364.498779296875</v>
      </c>
      <c r="AB48" s="178">
        <f>(FME_Ranking1[[#This Row],[Miles Raw]]/$AA$2)*100</f>
        <v>4.7925051885018171</v>
      </c>
      <c r="AC48" s="178">
        <f>FME_Ranking1[[#This Row],[Miles Score (Normalized, Unweighted)]]*$AA$3</f>
        <v>0.47925051885018172</v>
      </c>
      <c r="AD48" s="255">
        <f>_xlfn.XLOOKUP(FME_Ranking1[[#This Row],[FME ID]],FME_Input[FME_ID],FME_Input[FARMACRE100])</f>
        <v>17171.203125</v>
      </c>
      <c r="AE48" s="230">
        <f>(FME_Ranking1[[#This Row],[Ag Land Raw]]/$AD$2)*100</f>
        <v>0.70806354992085874</v>
      </c>
      <c r="AF48" s="231">
        <f>FME_Ranking1[[#This Row],[Ag Land Score (Normalized, Unweighted)]]*$AD$3</f>
        <v>3.5403177496042937E-2</v>
      </c>
      <c r="AG4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6.186708999193157</v>
      </c>
      <c r="AH48" s="406">
        <f t="shared" si="0"/>
        <v>43</v>
      </c>
      <c r="AI4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6.186708999193157</v>
      </c>
      <c r="AJ48" s="257">
        <f>FME_Ranking1[[#This Row],[Addition check]]-FME_Ranking1[[#This Row],[Weighted Score Based on Normalized Reported Factors]]</f>
        <v>0</v>
      </c>
      <c r="AK48" s="178">
        <f>_xlfn.RANK.EQ(AI48,$AI$6:$AI$2341,0)+COUNTIF($AI$6:AI48,AI48)-1</f>
        <v>44</v>
      </c>
    </row>
    <row r="49" spans="1:37" ht="12" customHeight="1" x14ac:dyDescent="0.25">
      <c r="A49" t="s">
        <v>5693</v>
      </c>
      <c r="B49">
        <f>_xlfn.XLOOKUP(FME_Ranking1[[#This Row],[FME ID]],FME_Input[FME_ID],FME_Input[RFPG_NUM])</f>
        <v>4</v>
      </c>
      <c r="C49" t="str">
        <f>_xlfn.XLOOKUP(FME_Ranking1[[#This Row],[FME ID]],FME_Input[FME_ID],FME_Input[FME_NAME])</f>
        <v>Orange County Drainage Improvements at Kinard Estates Study</v>
      </c>
      <c r="D49" t="str">
        <f>_xlfn.XLOOKUP(FME_Ranking1[[#This Row],[FME ID]],FME_Input[FME_ID],FME_Input[DESCR])</f>
        <v>First-time sewer service, detention pond, and other drainage improvements to reduce flooding and environmental impacts.</v>
      </c>
      <c r="E49" s="256">
        <f>_xlfn.XLOOKUP(FME_Ranking1[[#This Row],[FME ID]],FME_Input[FME_ID],FME_Input[FME_COST])</f>
        <v>250000</v>
      </c>
      <c r="F49" t="str">
        <f>_xlfn.XLOOKUP(FME_Ranking1[[#This Row],[FME ID]],FME_Input[FME_ID],FME_Input[EMER_NEED])</f>
        <v>Yes</v>
      </c>
      <c r="G49">
        <f>IF(FME_Ranking!F49="Yes",100,0)</f>
        <v>100</v>
      </c>
      <c r="H49">
        <f>FME_Ranking1[[#This Row],[Emergency Need Score (Normalized, Unweighted)]]*$F$3</f>
        <v>0</v>
      </c>
      <c r="I49" s="246">
        <f>_xlfn.XLOOKUP(FME_Ranking1[[#This Row],[FME ID]],FME_Input[FME_ID],FME_Input[STRUCT_100])</f>
        <v>16974</v>
      </c>
      <c r="J49" s="178">
        <f>(FME_Ranking1[[#This Row],[Structures 100 Raw]]/I$2)*100</f>
        <v>9.0894486569849633</v>
      </c>
      <c r="K49" s="178">
        <f>FME_Ranking1[[#This Row],[Structures 100  Score (Normalized, Unweighted)]]*$I$3</f>
        <v>1.3634172985477444</v>
      </c>
      <c r="L49" s="246">
        <f>_xlfn.XLOOKUP(FME_Ranking1[[#This Row],[FME ID]],FME_Input[FME_ID],FME_Input[RES_STRUCT100])</f>
        <v>14040</v>
      </c>
      <c r="M49" s="230">
        <f>(FME_Ranking1[[#This Row],[Res Structures Raw]]/L$2)*100</f>
        <v>9.9446105027553084</v>
      </c>
      <c r="N49" s="180">
        <f>FME_Ranking1[[#This Row],[Res Structures Score (Normalized, Unweighted)]]*$L$3</f>
        <v>0.99446105027553089</v>
      </c>
      <c r="O49" s="244">
        <f>_xlfn.XLOOKUP(FME_Ranking1[[#This Row],[FME ID]],FME_Input[FME_ID],FME_Input[POP100])</f>
        <v>44427</v>
      </c>
      <c r="P49" s="178">
        <f>(FME_Ranking1[[#This Row],[Pop Raw]]/$O$2)*100</f>
        <v>4.548227985724786</v>
      </c>
      <c r="Q49" s="178">
        <f>FME_Ranking1[[#This Row],[Pop Score (Normalized, Unweighted)]]*$O$3</f>
        <v>0.68223419785871786</v>
      </c>
      <c r="R49" s="137">
        <f>_xlfn.XLOOKUP(FME_Ranking1[[#This Row],[FME ID]],FME_Input[FME_ID],FME_Input[CRITFAC100])</f>
        <v>276</v>
      </c>
      <c r="S49" s="230">
        <f>(FME_Ranking1[[#This Row],[Critical Facilities Raw]]/$R$2)*100</f>
        <v>11.83533447684391</v>
      </c>
      <c r="T49" s="180">
        <f>FME_Ranking1[[#This Row],[Critical Facilities Score (Normalized, Unweighted)]]*$R$3</f>
        <v>2.3670668953687821</v>
      </c>
      <c r="U49">
        <f>_xlfn.XLOOKUP(FME_Ranking1[[#This Row],[FME ID]],FME_Input[FME_ID],FME_Input[LWC])</f>
        <v>22</v>
      </c>
      <c r="V49" s="178">
        <f>(FME_Ranking1[[#This Row],[LWC Raw]]/$U$2)*100</f>
        <v>1.2665515256188831</v>
      </c>
      <c r="W49" s="178">
        <f>FME_Ranking1[[#This Row],[LWC Score (Normalized, Unweighted)]]*$U$3</f>
        <v>0.25331030512377661</v>
      </c>
      <c r="X49" s="246">
        <f>_xlfn.XLOOKUP(FME_Ranking1[[#This Row],[FME ID]],FME_Input[FME_ID],FME_Input[ROADCLS])</f>
        <v>22</v>
      </c>
      <c r="Y49" s="230">
        <f>(FME_Ranking1[[#This Row],[Closures Raw]]/$X$2)*100</f>
        <v>0.23131111344758701</v>
      </c>
      <c r="Z49" s="180">
        <f>FME_Ranking1[[#This Row],[Closures Score (Normalized, Unweighted)]]*$X$3</f>
        <v>1.1565555672379352E-2</v>
      </c>
      <c r="AA49" s="253">
        <f>_xlfn.XLOOKUP(FME_Ranking1[[#This Row],[FME ID]],FME_Input[FME_ID],FME_Input[ROAD_MILES100])</f>
        <v>364</v>
      </c>
      <c r="AB49" s="178">
        <f>(FME_Ranking1[[#This Row],[Miles Raw]]/$AA$2)*100</f>
        <v>4.7859471353505771</v>
      </c>
      <c r="AC49" s="178">
        <f>FME_Ranking1[[#This Row],[Miles Score (Normalized, Unweighted)]]*$AA$3</f>
        <v>0.47859471353505773</v>
      </c>
      <c r="AD49" s="255">
        <f>_xlfn.XLOOKUP(FME_Ranking1[[#This Row],[FME ID]],FME_Input[FME_ID],FME_Input[FARMACRE100])</f>
        <v>17171.203125</v>
      </c>
      <c r="AE49" s="230">
        <f>(FME_Ranking1[[#This Row],[Ag Land Raw]]/$AD$2)*100</f>
        <v>0.70806354992085874</v>
      </c>
      <c r="AF49" s="231">
        <f>FME_Ranking1[[#This Row],[Ag Land Score (Normalized, Unweighted)]]*$AD$3</f>
        <v>3.5403177496042937E-2</v>
      </c>
      <c r="AG4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6.186053193878033</v>
      </c>
      <c r="AH49" s="406">
        <f t="shared" si="0"/>
        <v>45</v>
      </c>
      <c r="AI4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6.186053193878033</v>
      </c>
      <c r="AJ49" s="257">
        <f>FME_Ranking1[[#This Row],[Addition check]]-FME_Ranking1[[#This Row],[Weighted Score Based on Normalized Reported Factors]]</f>
        <v>0</v>
      </c>
      <c r="AK49" s="178">
        <f>_xlfn.RANK.EQ(AI49,$AI$6:$AI$2341,0)+COUNTIF($AI$6:AI49,AI49)-1</f>
        <v>45</v>
      </c>
    </row>
    <row r="50" spans="1:37" ht="12" customHeight="1" x14ac:dyDescent="0.25">
      <c r="A50" t="s">
        <v>1395</v>
      </c>
      <c r="B50">
        <f>_xlfn.XLOOKUP(FME_Ranking1[[#This Row],[FME ID]],FME_Input[FME_ID],FME_Input[RFPG_NUM])</f>
        <v>6</v>
      </c>
      <c r="C50" t="str">
        <f>_xlfn.XLOOKUP(FME_Ranking1[[#This Row],[FME ID]],FME_Input[FME_ID],FME_Input[FME_NAME])</f>
        <v>White Oak Bayou Watershed Study</v>
      </c>
      <c r="D50" t="str">
        <f>_xlfn.XLOOKUP(FME_Ranking1[[#This Row],[FME ID]],FME_Input[FME_ID],FME_Input[DESCR])</f>
        <v>Watershed wide study using latest data, including MAAPnext models and Atlas 14 rainfall. Study to identify flooding issues within watershed, identify projects to reduce flooding, and provide cost estimates and benefit and cost metrics for each project.</v>
      </c>
      <c r="E50" s="256">
        <f>_xlfn.XLOOKUP(FME_Ranking1[[#This Row],[FME ID]],FME_Input[FME_ID],FME_Input[FME_COST])</f>
        <v>800000</v>
      </c>
      <c r="F50" t="str">
        <f>_xlfn.XLOOKUP(FME_Ranking1[[#This Row],[FME ID]],FME_Input[FME_ID],FME_Input[EMER_NEED])</f>
        <v>Yes</v>
      </c>
      <c r="G50">
        <f>IF(FME_Ranking!F50="Yes",100,0)</f>
        <v>100</v>
      </c>
      <c r="H50">
        <f>FME_Ranking1[[#This Row],[Emergency Need Score (Normalized, Unweighted)]]*$F$3</f>
        <v>0</v>
      </c>
      <c r="I50" s="246">
        <f>_xlfn.XLOOKUP(FME_Ranking1[[#This Row],[FME ID]],FME_Input[FME_ID],FME_Input[STRUCT_100])</f>
        <v>17103</v>
      </c>
      <c r="J50" s="178">
        <f>(FME_Ranking1[[#This Row],[Structures 100 Raw]]/I$2)*100</f>
        <v>9.1585271815961953</v>
      </c>
      <c r="K50" s="178">
        <f>FME_Ranking1[[#This Row],[Structures 100  Score (Normalized, Unweighted)]]*$I$3</f>
        <v>1.3737790772394292</v>
      </c>
      <c r="L50" s="246">
        <f>_xlfn.XLOOKUP(FME_Ranking1[[#This Row],[FME ID]],FME_Input[FME_ID],FME_Input[RES_STRUCT100])</f>
        <v>14706</v>
      </c>
      <c r="M50" s="230">
        <f>(FME_Ranking1[[#This Row],[Res Structures Raw]]/L$2)*100</f>
        <v>10.416342026603958</v>
      </c>
      <c r="N50" s="180">
        <f>FME_Ranking1[[#This Row],[Res Structures Score (Normalized, Unweighted)]]*$L$3</f>
        <v>1.041634202660396</v>
      </c>
      <c r="O50" s="244">
        <f>_xlfn.XLOOKUP(FME_Ranking1[[#This Row],[FME ID]],FME_Input[FME_ID],FME_Input[POP100])</f>
        <v>127789</v>
      </c>
      <c r="P50" s="178">
        <f>(FME_Ranking1[[#This Row],[Pop Raw]]/$O$2)*100</f>
        <v>13.082438743732073</v>
      </c>
      <c r="Q50" s="178">
        <f>FME_Ranking1[[#This Row],[Pop Score (Normalized, Unweighted)]]*$O$3</f>
        <v>1.9623658115598108</v>
      </c>
      <c r="R50" s="137">
        <f>_xlfn.XLOOKUP(FME_Ranking1[[#This Row],[FME ID]],FME_Input[FME_ID],FME_Input[CRITFAC100])</f>
        <v>149</v>
      </c>
      <c r="S50" s="230">
        <f>(FME_Ranking1[[#This Row],[Critical Facilities Raw]]/$R$2)*100</f>
        <v>6.389365351629503</v>
      </c>
      <c r="T50" s="180">
        <f>FME_Ranking1[[#This Row],[Critical Facilities Score (Normalized, Unweighted)]]*$R$3</f>
        <v>1.2778730703259007</v>
      </c>
      <c r="U50">
        <f>_xlfn.XLOOKUP(FME_Ranking1[[#This Row],[FME ID]],FME_Input[FME_ID],FME_Input[LWC])</f>
        <v>4</v>
      </c>
      <c r="V50" s="178">
        <f>(FME_Ranking1[[#This Row],[LWC Raw]]/$U$2)*100</f>
        <v>0.23028209556706969</v>
      </c>
      <c r="W50" s="178">
        <f>FME_Ranking1[[#This Row],[LWC Score (Normalized, Unweighted)]]*$U$3</f>
        <v>4.6056419113413939E-2</v>
      </c>
      <c r="X50" s="246">
        <f>_xlfn.XLOOKUP(FME_Ranking1[[#This Row],[FME ID]],FME_Input[FME_ID],FME_Input[ROADCLS])</f>
        <v>4</v>
      </c>
      <c r="Y50" s="230">
        <f>(FME_Ranking1[[#This Row],[Closures Raw]]/$X$2)*100</f>
        <v>4.2056566081379455E-2</v>
      </c>
      <c r="Z50" s="180">
        <f>FME_Ranking1[[#This Row],[Closures Score (Normalized, Unweighted)]]*$X$3</f>
        <v>2.1028283040689729E-3</v>
      </c>
      <c r="AA50" s="253">
        <f>_xlfn.XLOOKUP(FME_Ranking1[[#This Row],[FME ID]],FME_Input[FME_ID],FME_Input[ROAD_MILES100])</f>
        <v>280.86917114257813</v>
      </c>
      <c r="AB50" s="178">
        <f>(FME_Ranking1[[#This Row],[Miles Raw]]/$AA$2)*100</f>
        <v>3.6929258380167931</v>
      </c>
      <c r="AC50" s="178">
        <f>FME_Ranking1[[#This Row],[Miles Score (Normalized, Unweighted)]]*$AA$3</f>
        <v>0.36929258380167934</v>
      </c>
      <c r="AD50" s="255">
        <f>_xlfn.XLOOKUP(FME_Ranking1[[#This Row],[FME ID]],FME_Input[FME_ID],FME_Input[FARMACRE100])</f>
        <v>28.36691856384277</v>
      </c>
      <c r="AE50" s="230">
        <f>(FME_Ranking1[[#This Row],[Ag Land Raw]]/$AD$2)*100</f>
        <v>1.1697247369572665E-3</v>
      </c>
      <c r="AF50" s="231">
        <f>FME_Ranking1[[#This Row],[Ag Land Score (Normalized, Unweighted)]]*$AD$3</f>
        <v>5.8486236847863325E-5</v>
      </c>
      <c r="AG5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6.0731624792415468</v>
      </c>
      <c r="AH50" s="406">
        <f t="shared" si="0"/>
        <v>52</v>
      </c>
      <c r="AI5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6.0731624792415468</v>
      </c>
      <c r="AJ50" s="257">
        <f>FME_Ranking1[[#This Row],[Addition check]]-FME_Ranking1[[#This Row],[Weighted Score Based on Normalized Reported Factors]]</f>
        <v>0</v>
      </c>
      <c r="AK50" s="178">
        <f>_xlfn.RANK.EQ(AI50,$AI$6:$AI$2341,0)+COUNTIF($AI$6:AI50,AI50)-1</f>
        <v>52</v>
      </c>
    </row>
    <row r="51" spans="1:37" ht="12" customHeight="1" x14ac:dyDescent="0.25">
      <c r="A51" t="s">
        <v>930</v>
      </c>
      <c r="B51">
        <f>_xlfn.XLOOKUP(FME_Ranking1[[#This Row],[FME ID]],FME_Input[FME_ID],FME_Input[RFPG_NUM])</f>
        <v>6</v>
      </c>
      <c r="C51" t="str">
        <f>_xlfn.XLOOKUP(FME_Ranking1[[#This Row],[FME ID]],FME_Input[FME_ID],FME_Input[FME_NAME])</f>
        <v xml:space="preserve">Brazoria County Costal River Flood Extent Analysis </v>
      </c>
      <c r="D51" t="str">
        <f>_xlfn.XLOOKUP(FME_Ranking1[[#This Row],[FME ID]],FME_Input[FME_ID],FME_Input[DESCR])</f>
        <v>Study to determine flood extents, in Brazoria County, of recent hurricane disasters, by analyzing the post event aerial imagery through a GIS image classification process, and compare the flood extent area to other sources, such as LIDAR.</v>
      </c>
      <c r="E51" s="256">
        <f>_xlfn.XLOOKUP(FME_Ranking1[[#This Row],[FME ID]],FME_Input[FME_ID],FME_Input[FME_COST])</f>
        <v>50000</v>
      </c>
      <c r="F51" t="str">
        <f>_xlfn.XLOOKUP(FME_Ranking1[[#This Row],[FME ID]],FME_Input[FME_ID],FME_Input[EMER_NEED])</f>
        <v>No</v>
      </c>
      <c r="G51">
        <f>IF(FME_Ranking!F51="Yes",100,0)</f>
        <v>0</v>
      </c>
      <c r="H51">
        <f>FME_Ranking1[[#This Row],[Emergency Need Score (Normalized, Unweighted)]]*$F$3</f>
        <v>0</v>
      </c>
      <c r="I51" s="246">
        <f>_xlfn.XLOOKUP(FME_Ranking1[[#This Row],[FME ID]],FME_Input[FME_ID],FME_Input[STRUCT_100])</f>
        <v>18848</v>
      </c>
      <c r="J51" s="178">
        <f>(FME_Ranking1[[#This Row],[Structures 100 Raw]]/I$2)*100</f>
        <v>10.092961487383798</v>
      </c>
      <c r="K51" s="178">
        <f>FME_Ranking1[[#This Row],[Structures 100  Score (Normalized, Unweighted)]]*$I$3</f>
        <v>1.5139442231075697</v>
      </c>
      <c r="L51" s="246">
        <f>_xlfn.XLOOKUP(FME_Ranking1[[#This Row],[FME ID]],FME_Input[FME_ID],FME_Input[RES_STRUCT100])</f>
        <v>14344</v>
      </c>
      <c r="M51" s="230">
        <f>(FME_Ranking1[[#This Row],[Res Structures Raw]]/L$2)*100</f>
        <v>10.159935402530069</v>
      </c>
      <c r="N51" s="180">
        <f>FME_Ranking1[[#This Row],[Res Structures Score (Normalized, Unweighted)]]*$L$3</f>
        <v>1.0159935402530069</v>
      </c>
      <c r="O51" s="244">
        <f>_xlfn.XLOOKUP(FME_Ranking1[[#This Row],[FME ID]],FME_Input[FME_ID],FME_Input[POP100])</f>
        <v>65547</v>
      </c>
      <c r="P51" s="178">
        <f>(FME_Ranking1[[#This Row],[Pop Raw]]/$O$2)*100</f>
        <v>6.7103945749274665</v>
      </c>
      <c r="Q51" s="178">
        <f>FME_Ranking1[[#This Row],[Pop Score (Normalized, Unweighted)]]*$O$3</f>
        <v>1.0065591862391199</v>
      </c>
      <c r="R51" s="137">
        <f>_xlfn.XLOOKUP(FME_Ranking1[[#This Row],[FME ID]],FME_Input[FME_ID],FME_Input[CRITFAC100])</f>
        <v>248</v>
      </c>
      <c r="S51" s="230">
        <f>(FME_Ranking1[[#This Row],[Critical Facilities Raw]]/$R$2)*100</f>
        <v>10.634648370497427</v>
      </c>
      <c r="T51" s="180">
        <f>FME_Ranking1[[#This Row],[Critical Facilities Score (Normalized, Unweighted)]]*$R$3</f>
        <v>2.1269296740994856</v>
      </c>
      <c r="U51">
        <f>_xlfn.XLOOKUP(FME_Ranking1[[#This Row],[FME ID]],FME_Input[FME_ID],FME_Input[LWC])</f>
        <v>0</v>
      </c>
      <c r="V51" s="178">
        <f>(FME_Ranking1[[#This Row],[LWC Raw]]/$U$2)*100</f>
        <v>0</v>
      </c>
      <c r="W51" s="178">
        <f>FME_Ranking1[[#This Row],[LWC Score (Normalized, Unweighted)]]*$U$3</f>
        <v>0</v>
      </c>
      <c r="X51" s="246">
        <f>_xlfn.XLOOKUP(FME_Ranking1[[#This Row],[FME ID]],FME_Input[FME_ID],FME_Input[ROADCLS])</f>
        <v>0</v>
      </c>
      <c r="Y51" s="230">
        <f>(FME_Ranking1[[#This Row],[Closures Raw]]/$X$2)*100</f>
        <v>0</v>
      </c>
      <c r="Z51" s="180">
        <f>FME_Ranking1[[#This Row],[Closures Score (Normalized, Unweighted)]]*$X$3</f>
        <v>0</v>
      </c>
      <c r="AA51" s="253">
        <f>_xlfn.XLOOKUP(FME_Ranking1[[#This Row],[FME ID]],FME_Input[FME_ID],FME_Input[ROAD_MILES100])</f>
        <v>328.06332397460938</v>
      </c>
      <c r="AB51" s="178">
        <f>(FME_Ranking1[[#This Row],[Miles Raw]]/$AA$2)*100</f>
        <v>4.3134443010710717</v>
      </c>
      <c r="AC51" s="178">
        <f>FME_Ranking1[[#This Row],[Miles Score (Normalized, Unweighted)]]*$AA$3</f>
        <v>0.43134443010710721</v>
      </c>
      <c r="AD51" s="255">
        <f>_xlfn.XLOOKUP(FME_Ranking1[[#This Row],[FME ID]],FME_Input[FME_ID],FME_Input[FARMACRE100])</f>
        <v>8584.16015625</v>
      </c>
      <c r="AE51" s="230">
        <f>(FME_Ranking1[[#This Row],[Ag Land Raw]]/$AD$2)*100</f>
        <v>0.35397233781913978</v>
      </c>
      <c r="AF51" s="231">
        <f>FME_Ranking1[[#This Row],[Ag Land Score (Normalized, Unweighted)]]*$AD$3</f>
        <v>1.7698616890956989E-2</v>
      </c>
      <c r="AG5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6.112469670697247</v>
      </c>
      <c r="AH51" s="406">
        <f t="shared" si="0"/>
        <v>46</v>
      </c>
      <c r="AI5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6.112469670697247</v>
      </c>
      <c r="AJ51" s="257">
        <f>FME_Ranking1[[#This Row],[Addition check]]-FME_Ranking1[[#This Row],[Weighted Score Based on Normalized Reported Factors]]</f>
        <v>0</v>
      </c>
      <c r="AK51" s="178">
        <f>_xlfn.RANK.EQ(AI51,$AI$6:$AI$2341,0)+COUNTIF($AI$6:AI51,AI51)-1</f>
        <v>46</v>
      </c>
    </row>
    <row r="52" spans="1:37" ht="12" customHeight="1" x14ac:dyDescent="0.25">
      <c r="A52" t="s">
        <v>968</v>
      </c>
      <c r="B52">
        <f>_xlfn.XLOOKUP(FME_Ranking1[[#This Row],[FME ID]],FME_Input[FME_ID],FME_Input[RFPG_NUM])</f>
        <v>6</v>
      </c>
      <c r="C52" t="str">
        <f>_xlfn.XLOOKUP(FME_Ranking1[[#This Row],[FME ID]],FME_Input[FME_ID],FME_Input[FME_NAME])</f>
        <v xml:space="preserve">Brazoria County Drainage Improvements </v>
      </c>
      <c r="D52" t="str">
        <f>_xlfn.XLOOKUP(FME_Ranking1[[#This Row],[FME ID]],FME_Input[FME_ID],FME_Input[DESCR])</f>
        <v>Drainage study needed and evaluated of alternatives include: Widen and reshape drainage ditches, and upgrade culverts to restore adequate drainage to mitigate flooding.</v>
      </c>
      <c r="E52" s="256">
        <f>_xlfn.XLOOKUP(FME_Ranking1[[#This Row],[FME ID]],FME_Input[FME_ID],FME_Input[FME_COST])</f>
        <v>350000</v>
      </c>
      <c r="F52" t="str">
        <f>_xlfn.XLOOKUP(FME_Ranking1[[#This Row],[FME ID]],FME_Input[FME_ID],FME_Input[EMER_NEED])</f>
        <v>No</v>
      </c>
      <c r="G52">
        <f>IF(FME_Ranking!F52="Yes",100,0)</f>
        <v>0</v>
      </c>
      <c r="H52">
        <f>FME_Ranking1[[#This Row],[Emergency Need Score (Normalized, Unweighted)]]*$F$3</f>
        <v>0</v>
      </c>
      <c r="I52" s="246">
        <f>_xlfn.XLOOKUP(FME_Ranking1[[#This Row],[FME ID]],FME_Input[FME_ID],FME_Input[STRUCT_100])</f>
        <v>18848</v>
      </c>
      <c r="J52" s="178">
        <f>(FME_Ranking1[[#This Row],[Structures 100 Raw]]/I$2)*100</f>
        <v>10.092961487383798</v>
      </c>
      <c r="K52" s="178">
        <f>FME_Ranking1[[#This Row],[Structures 100  Score (Normalized, Unweighted)]]*$I$3</f>
        <v>1.5139442231075697</v>
      </c>
      <c r="L52" s="246">
        <f>_xlfn.XLOOKUP(FME_Ranking1[[#This Row],[FME ID]],FME_Input[FME_ID],FME_Input[RES_STRUCT100])</f>
        <v>14344</v>
      </c>
      <c r="M52" s="230">
        <f>(FME_Ranking1[[#This Row],[Res Structures Raw]]/L$2)*100</f>
        <v>10.159935402530069</v>
      </c>
      <c r="N52" s="180">
        <f>FME_Ranking1[[#This Row],[Res Structures Score (Normalized, Unweighted)]]*$L$3</f>
        <v>1.0159935402530069</v>
      </c>
      <c r="O52" s="244">
        <f>_xlfn.XLOOKUP(FME_Ranking1[[#This Row],[FME ID]],FME_Input[FME_ID],FME_Input[POP100])</f>
        <v>65547</v>
      </c>
      <c r="P52" s="178">
        <f>(FME_Ranking1[[#This Row],[Pop Raw]]/$O$2)*100</f>
        <v>6.7103945749274665</v>
      </c>
      <c r="Q52" s="178">
        <f>FME_Ranking1[[#This Row],[Pop Score (Normalized, Unweighted)]]*$O$3</f>
        <v>1.0065591862391199</v>
      </c>
      <c r="R52" s="137">
        <f>_xlfn.XLOOKUP(FME_Ranking1[[#This Row],[FME ID]],FME_Input[FME_ID],FME_Input[CRITFAC100])</f>
        <v>248</v>
      </c>
      <c r="S52" s="230">
        <f>(FME_Ranking1[[#This Row],[Critical Facilities Raw]]/$R$2)*100</f>
        <v>10.634648370497427</v>
      </c>
      <c r="T52" s="180">
        <f>FME_Ranking1[[#This Row],[Critical Facilities Score (Normalized, Unweighted)]]*$R$3</f>
        <v>2.1269296740994856</v>
      </c>
      <c r="U52">
        <f>_xlfn.XLOOKUP(FME_Ranking1[[#This Row],[FME ID]],FME_Input[FME_ID],FME_Input[LWC])</f>
        <v>0</v>
      </c>
      <c r="V52" s="178">
        <f>(FME_Ranking1[[#This Row],[LWC Raw]]/$U$2)*100</f>
        <v>0</v>
      </c>
      <c r="W52" s="178">
        <f>FME_Ranking1[[#This Row],[LWC Score (Normalized, Unweighted)]]*$U$3</f>
        <v>0</v>
      </c>
      <c r="X52" s="246">
        <f>_xlfn.XLOOKUP(FME_Ranking1[[#This Row],[FME ID]],FME_Input[FME_ID],FME_Input[ROADCLS])</f>
        <v>0</v>
      </c>
      <c r="Y52" s="230">
        <f>(FME_Ranking1[[#This Row],[Closures Raw]]/$X$2)*100</f>
        <v>0</v>
      </c>
      <c r="Z52" s="180">
        <f>FME_Ranking1[[#This Row],[Closures Score (Normalized, Unweighted)]]*$X$3</f>
        <v>0</v>
      </c>
      <c r="AA52" s="253">
        <f>_xlfn.XLOOKUP(FME_Ranking1[[#This Row],[FME ID]],FME_Input[FME_ID],FME_Input[ROAD_MILES100])</f>
        <v>328.06332397460938</v>
      </c>
      <c r="AB52" s="178">
        <f>(FME_Ranking1[[#This Row],[Miles Raw]]/$AA$2)*100</f>
        <v>4.3134443010710717</v>
      </c>
      <c r="AC52" s="178">
        <f>FME_Ranking1[[#This Row],[Miles Score (Normalized, Unweighted)]]*$AA$3</f>
        <v>0.43134443010710721</v>
      </c>
      <c r="AD52" s="255">
        <f>_xlfn.XLOOKUP(FME_Ranking1[[#This Row],[FME ID]],FME_Input[FME_ID],FME_Input[FARMACRE100])</f>
        <v>8584.16015625</v>
      </c>
      <c r="AE52" s="230">
        <f>(FME_Ranking1[[#This Row],[Ag Land Raw]]/$AD$2)*100</f>
        <v>0.35397233781913978</v>
      </c>
      <c r="AF52" s="231">
        <f>FME_Ranking1[[#This Row],[Ag Land Score (Normalized, Unweighted)]]*$AD$3</f>
        <v>1.7698616890956989E-2</v>
      </c>
      <c r="AG5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6.112469670697247</v>
      </c>
      <c r="AH52" s="406">
        <f t="shared" si="0"/>
        <v>46</v>
      </c>
      <c r="AI5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6.112469670697247</v>
      </c>
      <c r="AJ52" s="257">
        <f>FME_Ranking1[[#This Row],[Addition check]]-FME_Ranking1[[#This Row],[Weighted Score Based on Normalized Reported Factors]]</f>
        <v>0</v>
      </c>
      <c r="AK52" s="178">
        <f>_xlfn.RANK.EQ(AI52,$AI$6:$AI$2341,0)+COUNTIF($AI$6:AI52,AI52)-1</f>
        <v>47</v>
      </c>
    </row>
    <row r="53" spans="1:37" ht="12" customHeight="1" x14ac:dyDescent="0.25">
      <c r="A53" t="s">
        <v>971</v>
      </c>
      <c r="B53">
        <f>_xlfn.XLOOKUP(FME_Ranking1[[#This Row],[FME ID]],FME_Input[FME_ID],FME_Input[RFPG_NUM])</f>
        <v>6</v>
      </c>
      <c r="C53" t="str">
        <f>_xlfn.XLOOKUP(FME_Ranking1[[#This Row],[FME ID]],FME_Input[FME_ID],FME_Input[FME_NAME])</f>
        <v>Brazoria County Property Protection</v>
      </c>
      <c r="D53" t="str">
        <f>_xlfn.XLOOKUP(FME_Ranking1[[#This Row],[FME ID]],FME_Input[FME_ID],FME_Input[DESCR])</f>
        <v xml:space="preserve">Further study required to assess alternatives to restore drainage and mitigate flooding throughout the county. </v>
      </c>
      <c r="E53" s="256">
        <f>_xlfn.XLOOKUP(FME_Ranking1[[#This Row],[FME ID]],FME_Input[FME_ID],FME_Input[FME_COST])</f>
        <v>500000</v>
      </c>
      <c r="F53" t="str">
        <f>_xlfn.XLOOKUP(FME_Ranking1[[#This Row],[FME ID]],FME_Input[FME_ID],FME_Input[EMER_NEED])</f>
        <v>No</v>
      </c>
      <c r="G53">
        <f>IF(FME_Ranking!F53="Yes",100,0)</f>
        <v>0</v>
      </c>
      <c r="H53">
        <f>FME_Ranking1[[#This Row],[Emergency Need Score (Normalized, Unweighted)]]*$F$3</f>
        <v>0</v>
      </c>
      <c r="I53" s="246">
        <f>_xlfn.XLOOKUP(FME_Ranking1[[#This Row],[FME ID]],FME_Input[FME_ID],FME_Input[STRUCT_100])</f>
        <v>18848</v>
      </c>
      <c r="J53" s="178">
        <f>(FME_Ranking1[[#This Row],[Structures 100 Raw]]/I$2)*100</f>
        <v>10.092961487383798</v>
      </c>
      <c r="K53" s="178">
        <f>FME_Ranking1[[#This Row],[Structures 100  Score (Normalized, Unweighted)]]*$I$3</f>
        <v>1.5139442231075697</v>
      </c>
      <c r="L53" s="246">
        <f>_xlfn.XLOOKUP(FME_Ranking1[[#This Row],[FME ID]],FME_Input[FME_ID],FME_Input[RES_STRUCT100])</f>
        <v>14344</v>
      </c>
      <c r="M53" s="230">
        <f>(FME_Ranking1[[#This Row],[Res Structures Raw]]/L$2)*100</f>
        <v>10.159935402530069</v>
      </c>
      <c r="N53" s="180">
        <f>FME_Ranking1[[#This Row],[Res Structures Score (Normalized, Unweighted)]]*$L$3</f>
        <v>1.0159935402530069</v>
      </c>
      <c r="O53" s="244">
        <f>_xlfn.XLOOKUP(FME_Ranking1[[#This Row],[FME ID]],FME_Input[FME_ID],FME_Input[POP100])</f>
        <v>65547</v>
      </c>
      <c r="P53" s="178">
        <f>(FME_Ranking1[[#This Row],[Pop Raw]]/$O$2)*100</f>
        <v>6.7103945749274665</v>
      </c>
      <c r="Q53" s="178">
        <f>FME_Ranking1[[#This Row],[Pop Score (Normalized, Unweighted)]]*$O$3</f>
        <v>1.0065591862391199</v>
      </c>
      <c r="R53" s="137">
        <f>_xlfn.XLOOKUP(FME_Ranking1[[#This Row],[FME ID]],FME_Input[FME_ID],FME_Input[CRITFAC100])</f>
        <v>248</v>
      </c>
      <c r="S53" s="230">
        <f>(FME_Ranking1[[#This Row],[Critical Facilities Raw]]/$R$2)*100</f>
        <v>10.634648370497427</v>
      </c>
      <c r="T53" s="180">
        <f>FME_Ranking1[[#This Row],[Critical Facilities Score (Normalized, Unweighted)]]*$R$3</f>
        <v>2.1269296740994856</v>
      </c>
      <c r="U53">
        <f>_xlfn.XLOOKUP(FME_Ranking1[[#This Row],[FME ID]],FME_Input[FME_ID],FME_Input[LWC])</f>
        <v>0</v>
      </c>
      <c r="V53" s="178">
        <f>(FME_Ranking1[[#This Row],[LWC Raw]]/$U$2)*100</f>
        <v>0</v>
      </c>
      <c r="W53" s="178">
        <f>FME_Ranking1[[#This Row],[LWC Score (Normalized, Unweighted)]]*$U$3</f>
        <v>0</v>
      </c>
      <c r="X53" s="246">
        <f>_xlfn.XLOOKUP(FME_Ranking1[[#This Row],[FME ID]],FME_Input[FME_ID],FME_Input[ROADCLS])</f>
        <v>0</v>
      </c>
      <c r="Y53" s="230">
        <f>(FME_Ranking1[[#This Row],[Closures Raw]]/$X$2)*100</f>
        <v>0</v>
      </c>
      <c r="Z53" s="180">
        <f>FME_Ranking1[[#This Row],[Closures Score (Normalized, Unweighted)]]*$X$3</f>
        <v>0</v>
      </c>
      <c r="AA53" s="253">
        <f>_xlfn.XLOOKUP(FME_Ranking1[[#This Row],[FME ID]],FME_Input[FME_ID],FME_Input[ROAD_MILES100])</f>
        <v>328.06332397460938</v>
      </c>
      <c r="AB53" s="178">
        <f>(FME_Ranking1[[#This Row],[Miles Raw]]/$AA$2)*100</f>
        <v>4.3134443010710717</v>
      </c>
      <c r="AC53" s="178">
        <f>FME_Ranking1[[#This Row],[Miles Score (Normalized, Unweighted)]]*$AA$3</f>
        <v>0.43134443010710721</v>
      </c>
      <c r="AD53" s="255">
        <f>_xlfn.XLOOKUP(FME_Ranking1[[#This Row],[FME ID]],FME_Input[FME_ID],FME_Input[FARMACRE100])</f>
        <v>8584.16015625</v>
      </c>
      <c r="AE53" s="230">
        <f>(FME_Ranking1[[#This Row],[Ag Land Raw]]/$AD$2)*100</f>
        <v>0.35397233781913978</v>
      </c>
      <c r="AF53" s="231">
        <f>FME_Ranking1[[#This Row],[Ag Land Score (Normalized, Unweighted)]]*$AD$3</f>
        <v>1.7698616890956989E-2</v>
      </c>
      <c r="AG5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6.112469670697247</v>
      </c>
      <c r="AH53" s="406">
        <f t="shared" si="0"/>
        <v>46</v>
      </c>
      <c r="AI5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6.112469670697247</v>
      </c>
      <c r="AJ53" s="257">
        <f>FME_Ranking1[[#This Row],[Addition check]]-FME_Ranking1[[#This Row],[Weighted Score Based on Normalized Reported Factors]]</f>
        <v>0</v>
      </c>
      <c r="AK53" s="178">
        <f>_xlfn.RANK.EQ(AI53,$AI$6:$AI$2341,0)+COUNTIF($AI$6:AI53,AI53)-1</f>
        <v>48</v>
      </c>
    </row>
    <row r="54" spans="1:37" ht="12" customHeight="1" x14ac:dyDescent="0.25">
      <c r="A54" t="s">
        <v>974</v>
      </c>
      <c r="B54">
        <f>_xlfn.XLOOKUP(FME_Ranking1[[#This Row],[FME ID]],FME_Input[FME_ID],FME_Input[RFPG_NUM])</f>
        <v>6</v>
      </c>
      <c r="C54" t="str">
        <f>_xlfn.XLOOKUP(FME_Ranking1[[#This Row],[FME ID]],FME_Input[FME_ID],FME_Input[FME_NAME])</f>
        <v>Dam and Levee Failure Inundation Map Update</v>
      </c>
      <c r="D54" t="str">
        <f>_xlfn.XLOOKUP(FME_Ranking1[[#This Row],[FME ID]],FME_Input[FME_ID],FME_Input[DESCR])</f>
        <v>Study by each jurisdiction to update their dam and levee failure inundation maps to identify the probability and impact of a dam and levee failures.</v>
      </c>
      <c r="E54" s="256">
        <f>_xlfn.XLOOKUP(FME_Ranking1[[#This Row],[FME ID]],FME_Input[FME_ID],FME_Input[FME_COST])</f>
        <v>2200000</v>
      </c>
      <c r="F54" t="str">
        <f>_xlfn.XLOOKUP(FME_Ranking1[[#This Row],[FME ID]],FME_Input[FME_ID],FME_Input[EMER_NEED])</f>
        <v>No</v>
      </c>
      <c r="G54">
        <f>IF(FME_Ranking!F54="Yes",100,0)</f>
        <v>0</v>
      </c>
      <c r="H54">
        <f>FME_Ranking1[[#This Row],[Emergency Need Score (Normalized, Unweighted)]]*$F$3</f>
        <v>0</v>
      </c>
      <c r="I54" s="246">
        <f>_xlfn.XLOOKUP(FME_Ranking1[[#This Row],[FME ID]],FME_Input[FME_ID],FME_Input[STRUCT_100])</f>
        <v>18848</v>
      </c>
      <c r="J54" s="178">
        <f>(FME_Ranking1[[#This Row],[Structures 100 Raw]]/I$2)*100</f>
        <v>10.092961487383798</v>
      </c>
      <c r="K54" s="178">
        <f>FME_Ranking1[[#This Row],[Structures 100  Score (Normalized, Unweighted)]]*$I$3</f>
        <v>1.5139442231075697</v>
      </c>
      <c r="L54" s="246">
        <f>_xlfn.XLOOKUP(FME_Ranking1[[#This Row],[FME ID]],FME_Input[FME_ID],FME_Input[RES_STRUCT100])</f>
        <v>14344</v>
      </c>
      <c r="M54" s="230">
        <f>(FME_Ranking1[[#This Row],[Res Structures Raw]]/L$2)*100</f>
        <v>10.159935402530069</v>
      </c>
      <c r="N54" s="180">
        <f>FME_Ranking1[[#This Row],[Res Structures Score (Normalized, Unweighted)]]*$L$3</f>
        <v>1.0159935402530069</v>
      </c>
      <c r="O54" s="244">
        <f>_xlfn.XLOOKUP(FME_Ranking1[[#This Row],[FME ID]],FME_Input[FME_ID],FME_Input[POP100])</f>
        <v>65547</v>
      </c>
      <c r="P54" s="178">
        <f>(FME_Ranking1[[#This Row],[Pop Raw]]/$O$2)*100</f>
        <v>6.7103945749274665</v>
      </c>
      <c r="Q54" s="178">
        <f>FME_Ranking1[[#This Row],[Pop Score (Normalized, Unweighted)]]*$O$3</f>
        <v>1.0065591862391199</v>
      </c>
      <c r="R54" s="137">
        <f>_xlfn.XLOOKUP(FME_Ranking1[[#This Row],[FME ID]],FME_Input[FME_ID],FME_Input[CRITFAC100])</f>
        <v>248</v>
      </c>
      <c r="S54" s="230">
        <f>(FME_Ranking1[[#This Row],[Critical Facilities Raw]]/$R$2)*100</f>
        <v>10.634648370497427</v>
      </c>
      <c r="T54" s="180">
        <f>FME_Ranking1[[#This Row],[Critical Facilities Score (Normalized, Unweighted)]]*$R$3</f>
        <v>2.1269296740994856</v>
      </c>
      <c r="U54">
        <f>_xlfn.XLOOKUP(FME_Ranking1[[#This Row],[FME ID]],FME_Input[FME_ID],FME_Input[LWC])</f>
        <v>0</v>
      </c>
      <c r="V54" s="178">
        <f>(FME_Ranking1[[#This Row],[LWC Raw]]/$U$2)*100</f>
        <v>0</v>
      </c>
      <c r="W54" s="178">
        <f>FME_Ranking1[[#This Row],[LWC Score (Normalized, Unweighted)]]*$U$3</f>
        <v>0</v>
      </c>
      <c r="X54" s="246">
        <f>_xlfn.XLOOKUP(FME_Ranking1[[#This Row],[FME ID]],FME_Input[FME_ID],FME_Input[ROADCLS])</f>
        <v>0</v>
      </c>
      <c r="Y54" s="230">
        <f>(FME_Ranking1[[#This Row],[Closures Raw]]/$X$2)*100</f>
        <v>0</v>
      </c>
      <c r="Z54" s="180">
        <f>FME_Ranking1[[#This Row],[Closures Score (Normalized, Unweighted)]]*$X$3</f>
        <v>0</v>
      </c>
      <c r="AA54" s="253">
        <f>_xlfn.XLOOKUP(FME_Ranking1[[#This Row],[FME ID]],FME_Input[FME_ID],FME_Input[ROAD_MILES100])</f>
        <v>328.06332397460938</v>
      </c>
      <c r="AB54" s="178">
        <f>(FME_Ranking1[[#This Row],[Miles Raw]]/$AA$2)*100</f>
        <v>4.3134443010710717</v>
      </c>
      <c r="AC54" s="178">
        <f>FME_Ranking1[[#This Row],[Miles Score (Normalized, Unweighted)]]*$AA$3</f>
        <v>0.43134443010710721</v>
      </c>
      <c r="AD54" s="255">
        <f>_xlfn.XLOOKUP(FME_Ranking1[[#This Row],[FME ID]],FME_Input[FME_ID],FME_Input[FARMACRE100])</f>
        <v>8584.16015625</v>
      </c>
      <c r="AE54" s="230">
        <f>(FME_Ranking1[[#This Row],[Ag Land Raw]]/$AD$2)*100</f>
        <v>0.35397233781913978</v>
      </c>
      <c r="AF54" s="231">
        <f>FME_Ranking1[[#This Row],[Ag Land Score (Normalized, Unweighted)]]*$AD$3</f>
        <v>1.7698616890956989E-2</v>
      </c>
      <c r="AG5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6.112469670697247</v>
      </c>
      <c r="AH54" s="406">
        <f t="shared" si="0"/>
        <v>46</v>
      </c>
      <c r="AI5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6.112469670697247</v>
      </c>
      <c r="AJ54" s="257">
        <f>FME_Ranking1[[#This Row],[Addition check]]-FME_Ranking1[[#This Row],[Weighted Score Based on Normalized Reported Factors]]</f>
        <v>0</v>
      </c>
      <c r="AK54" s="178">
        <f>_xlfn.RANK.EQ(AI54,$AI$6:$AI$2341,0)+COUNTIF($AI$6:AI54,AI54)-1</f>
        <v>49</v>
      </c>
    </row>
    <row r="55" spans="1:37" ht="12" customHeight="1" x14ac:dyDescent="0.25">
      <c r="A55" t="s">
        <v>1836</v>
      </c>
      <c r="B55">
        <f>_xlfn.XLOOKUP(FME_Ranking1[[#This Row],[FME ID]],FME_Input[FME_ID],FME_Input[RFPG_NUM])</f>
        <v>6</v>
      </c>
      <c r="C55" t="str">
        <f>_xlfn.XLOOKUP(FME_Ranking1[[#This Row],[FME ID]],FME_Input[FME_ID],FME_Input[FME_NAME])</f>
        <v>Brazoria Flood Mapping Updates</v>
      </c>
      <c r="D55" t="str">
        <f>_xlfn.XLOOKUP(FME_Ranking1[[#This Row],[FME ID]],FME_Input[FME_ID],FME_Input[DESCR])</f>
        <v>County wide study to produce flood mappping updates including Atlas 14 rainfall.</v>
      </c>
      <c r="E55" s="256">
        <f>_xlfn.XLOOKUP(FME_Ranking1[[#This Row],[FME ID]],FME_Input[FME_ID],FME_Input[FME_COST])</f>
        <v>6440000</v>
      </c>
      <c r="F55" t="str">
        <f>_xlfn.XLOOKUP(FME_Ranking1[[#This Row],[FME ID]],FME_Input[FME_ID],FME_Input[EMER_NEED])</f>
        <v>Yes</v>
      </c>
      <c r="G55">
        <f>IF(FME_Ranking!F55="Yes",100,0)</f>
        <v>100</v>
      </c>
      <c r="H55">
        <f>FME_Ranking1[[#This Row],[Emergency Need Score (Normalized, Unweighted)]]*$F$3</f>
        <v>0</v>
      </c>
      <c r="I55" s="246">
        <f>_xlfn.XLOOKUP(FME_Ranking1[[#This Row],[FME ID]],FME_Input[FME_ID],FME_Input[STRUCT_100])</f>
        <v>18848</v>
      </c>
      <c r="J55" s="178">
        <f>(FME_Ranking1[[#This Row],[Structures 100 Raw]]/I$2)*100</f>
        <v>10.092961487383798</v>
      </c>
      <c r="K55" s="178">
        <f>FME_Ranking1[[#This Row],[Structures 100  Score (Normalized, Unweighted)]]*$I$3</f>
        <v>1.5139442231075697</v>
      </c>
      <c r="L55" s="246">
        <f>_xlfn.XLOOKUP(FME_Ranking1[[#This Row],[FME ID]],FME_Input[FME_ID],FME_Input[RES_STRUCT100])</f>
        <v>14344</v>
      </c>
      <c r="M55" s="230">
        <f>(FME_Ranking1[[#This Row],[Res Structures Raw]]/L$2)*100</f>
        <v>10.159935402530069</v>
      </c>
      <c r="N55" s="180">
        <f>FME_Ranking1[[#This Row],[Res Structures Score (Normalized, Unweighted)]]*$L$3</f>
        <v>1.0159935402530069</v>
      </c>
      <c r="O55" s="244">
        <f>_xlfn.XLOOKUP(FME_Ranking1[[#This Row],[FME ID]],FME_Input[FME_ID],FME_Input[POP100])</f>
        <v>65547</v>
      </c>
      <c r="P55" s="178">
        <f>(FME_Ranking1[[#This Row],[Pop Raw]]/$O$2)*100</f>
        <v>6.7103945749274665</v>
      </c>
      <c r="Q55" s="178">
        <f>FME_Ranking1[[#This Row],[Pop Score (Normalized, Unweighted)]]*$O$3</f>
        <v>1.0065591862391199</v>
      </c>
      <c r="R55" s="137">
        <f>_xlfn.XLOOKUP(FME_Ranking1[[#This Row],[FME ID]],FME_Input[FME_ID],FME_Input[CRITFAC100])</f>
        <v>248</v>
      </c>
      <c r="S55" s="230">
        <f>(FME_Ranking1[[#This Row],[Critical Facilities Raw]]/$R$2)*100</f>
        <v>10.634648370497427</v>
      </c>
      <c r="T55" s="180">
        <f>FME_Ranking1[[#This Row],[Critical Facilities Score (Normalized, Unweighted)]]*$R$3</f>
        <v>2.1269296740994856</v>
      </c>
      <c r="U55">
        <f>_xlfn.XLOOKUP(FME_Ranking1[[#This Row],[FME ID]],FME_Input[FME_ID],FME_Input[LWC])</f>
        <v>0</v>
      </c>
      <c r="V55" s="178">
        <f>(FME_Ranking1[[#This Row],[LWC Raw]]/$U$2)*100</f>
        <v>0</v>
      </c>
      <c r="W55" s="178">
        <f>FME_Ranking1[[#This Row],[LWC Score (Normalized, Unweighted)]]*$U$3</f>
        <v>0</v>
      </c>
      <c r="X55" s="246">
        <f>_xlfn.XLOOKUP(FME_Ranking1[[#This Row],[FME ID]],FME_Input[FME_ID],FME_Input[ROADCLS])</f>
        <v>0</v>
      </c>
      <c r="Y55" s="230">
        <f>(FME_Ranking1[[#This Row],[Closures Raw]]/$X$2)*100</f>
        <v>0</v>
      </c>
      <c r="Z55" s="180">
        <f>FME_Ranking1[[#This Row],[Closures Score (Normalized, Unweighted)]]*$X$3</f>
        <v>0</v>
      </c>
      <c r="AA55" s="253">
        <f>_xlfn.XLOOKUP(FME_Ranking1[[#This Row],[FME ID]],FME_Input[FME_ID],FME_Input[ROAD_MILES100])</f>
        <v>328.06332397460938</v>
      </c>
      <c r="AB55" s="178">
        <f>(FME_Ranking1[[#This Row],[Miles Raw]]/$AA$2)*100</f>
        <v>4.3134443010710717</v>
      </c>
      <c r="AC55" s="178">
        <f>FME_Ranking1[[#This Row],[Miles Score (Normalized, Unweighted)]]*$AA$3</f>
        <v>0.43134443010710721</v>
      </c>
      <c r="AD55" s="255">
        <f>_xlfn.XLOOKUP(FME_Ranking1[[#This Row],[FME ID]],FME_Input[FME_ID],FME_Input[FARMACRE100])</f>
        <v>8584.16015625</v>
      </c>
      <c r="AE55" s="230">
        <f>(FME_Ranking1[[#This Row],[Ag Land Raw]]/$AD$2)*100</f>
        <v>0.35397233781913978</v>
      </c>
      <c r="AF55" s="231">
        <f>FME_Ranking1[[#This Row],[Ag Land Score (Normalized, Unweighted)]]*$AD$3</f>
        <v>1.7698616890956989E-2</v>
      </c>
      <c r="AG5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6.112469670697247</v>
      </c>
      <c r="AH55" s="406">
        <f t="shared" si="0"/>
        <v>46</v>
      </c>
      <c r="AI5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6.112469670697247</v>
      </c>
      <c r="AJ55" s="257">
        <f>FME_Ranking1[[#This Row],[Addition check]]-FME_Ranking1[[#This Row],[Weighted Score Based on Normalized Reported Factors]]</f>
        <v>0</v>
      </c>
      <c r="AK55" s="178">
        <f>_xlfn.RANK.EQ(AI55,$AI$6:$AI$2341,0)+COUNTIF($AI$6:AI55,AI55)-1</f>
        <v>50</v>
      </c>
    </row>
    <row r="56" spans="1:37" ht="12" customHeight="1" x14ac:dyDescent="0.25">
      <c r="A56" t="s">
        <v>2190</v>
      </c>
      <c r="B56">
        <f>_xlfn.XLOOKUP(FME_Ranking1[[#This Row],[FME ID]],FME_Input[FME_ID],FME_Input[RFPG_NUM])</f>
        <v>6</v>
      </c>
      <c r="C56" t="str">
        <f>_xlfn.XLOOKUP(FME_Ranking1[[#This Row],[FME ID]],FME_Input[FME_ID],FME_Input[FME_NAME])</f>
        <v xml:space="preserve">Brazoria County Camp Mohawk County Park Development </v>
      </c>
      <c r="D56" t="str">
        <f>_xlfn.XLOOKUP(FME_Ranking1[[#This Row],[FME ID]],FME_Input[FME_ID],FME_Input[DESCR])</f>
        <v>Develop Benefit Cost Analysis in support of the purchase of approximately 160 acres of flood prone area adjacent to and surrounding Camp Mohawk County Park to be used as open space.</v>
      </c>
      <c r="E56" s="256">
        <f>_xlfn.XLOOKUP(FME_Ranking1[[#This Row],[FME ID]],FME_Input[FME_ID],FME_Input[FME_COST])</f>
        <v>30000</v>
      </c>
      <c r="F56" t="str">
        <f>_xlfn.XLOOKUP(FME_Ranking1[[#This Row],[FME ID]],FME_Input[FME_ID],FME_Input[EMER_NEED])</f>
        <v>No</v>
      </c>
      <c r="G56">
        <f>IF(FME_Ranking!F56="Yes",100,0)</f>
        <v>0</v>
      </c>
      <c r="H56">
        <f>FME_Ranking1[[#This Row],[Emergency Need Score (Normalized, Unweighted)]]*$F$3</f>
        <v>0</v>
      </c>
      <c r="I56" s="246">
        <f>_xlfn.XLOOKUP(FME_Ranking1[[#This Row],[FME ID]],FME_Input[FME_ID],FME_Input[STRUCT_100])</f>
        <v>18848</v>
      </c>
      <c r="J56" s="178">
        <f>(FME_Ranking1[[#This Row],[Structures 100 Raw]]/I$2)*100</f>
        <v>10.092961487383798</v>
      </c>
      <c r="K56" s="178">
        <f>FME_Ranking1[[#This Row],[Structures 100  Score (Normalized, Unweighted)]]*$I$3</f>
        <v>1.5139442231075697</v>
      </c>
      <c r="L56" s="246">
        <f>_xlfn.XLOOKUP(FME_Ranking1[[#This Row],[FME ID]],FME_Input[FME_ID],FME_Input[RES_STRUCT100])</f>
        <v>14344</v>
      </c>
      <c r="M56" s="230">
        <f>(FME_Ranking1[[#This Row],[Res Structures Raw]]/L$2)*100</f>
        <v>10.159935402530069</v>
      </c>
      <c r="N56" s="180">
        <f>FME_Ranking1[[#This Row],[Res Structures Score (Normalized, Unweighted)]]*$L$3</f>
        <v>1.0159935402530069</v>
      </c>
      <c r="O56" s="244">
        <f>_xlfn.XLOOKUP(FME_Ranking1[[#This Row],[FME ID]],FME_Input[FME_ID],FME_Input[POP100])</f>
        <v>65547</v>
      </c>
      <c r="P56" s="178">
        <f>(FME_Ranking1[[#This Row],[Pop Raw]]/$O$2)*100</f>
        <v>6.7103945749274665</v>
      </c>
      <c r="Q56" s="178">
        <f>FME_Ranking1[[#This Row],[Pop Score (Normalized, Unweighted)]]*$O$3</f>
        <v>1.0065591862391199</v>
      </c>
      <c r="R56" s="137">
        <f>_xlfn.XLOOKUP(FME_Ranking1[[#This Row],[FME ID]],FME_Input[FME_ID],FME_Input[CRITFAC100])</f>
        <v>248</v>
      </c>
      <c r="S56" s="230">
        <f>(FME_Ranking1[[#This Row],[Critical Facilities Raw]]/$R$2)*100</f>
        <v>10.634648370497427</v>
      </c>
      <c r="T56" s="180">
        <f>FME_Ranking1[[#This Row],[Critical Facilities Score (Normalized, Unweighted)]]*$R$3</f>
        <v>2.1269296740994856</v>
      </c>
      <c r="U56">
        <f>_xlfn.XLOOKUP(FME_Ranking1[[#This Row],[FME ID]],FME_Input[FME_ID],FME_Input[LWC])</f>
        <v>0</v>
      </c>
      <c r="V56" s="178">
        <f>(FME_Ranking1[[#This Row],[LWC Raw]]/$U$2)*100</f>
        <v>0</v>
      </c>
      <c r="W56" s="178">
        <f>FME_Ranking1[[#This Row],[LWC Score (Normalized, Unweighted)]]*$U$3</f>
        <v>0</v>
      </c>
      <c r="X56" s="246">
        <f>_xlfn.XLOOKUP(FME_Ranking1[[#This Row],[FME ID]],FME_Input[FME_ID],FME_Input[ROADCLS])</f>
        <v>0</v>
      </c>
      <c r="Y56" s="230">
        <f>(FME_Ranking1[[#This Row],[Closures Raw]]/$X$2)*100</f>
        <v>0</v>
      </c>
      <c r="Z56" s="180">
        <f>FME_Ranking1[[#This Row],[Closures Score (Normalized, Unweighted)]]*$X$3</f>
        <v>0</v>
      </c>
      <c r="AA56" s="253">
        <f>_xlfn.XLOOKUP(FME_Ranking1[[#This Row],[FME ID]],FME_Input[FME_ID],FME_Input[ROAD_MILES100])</f>
        <v>328.06332397460938</v>
      </c>
      <c r="AB56" s="178">
        <f>(FME_Ranking1[[#This Row],[Miles Raw]]/$AA$2)*100</f>
        <v>4.3134443010710717</v>
      </c>
      <c r="AC56" s="178">
        <f>FME_Ranking1[[#This Row],[Miles Score (Normalized, Unweighted)]]*$AA$3</f>
        <v>0.43134443010710721</v>
      </c>
      <c r="AD56" s="255">
        <f>_xlfn.XLOOKUP(FME_Ranking1[[#This Row],[FME ID]],FME_Input[FME_ID],FME_Input[FARMACRE100])</f>
        <v>8584.16015625</v>
      </c>
      <c r="AE56" s="230">
        <f>(FME_Ranking1[[#This Row],[Ag Land Raw]]/$AD$2)*100</f>
        <v>0.35397233781913978</v>
      </c>
      <c r="AF56" s="231">
        <f>FME_Ranking1[[#This Row],[Ag Land Score (Normalized, Unweighted)]]*$AD$3</f>
        <v>1.7698616890956989E-2</v>
      </c>
      <c r="AG5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6.112469670697247</v>
      </c>
      <c r="AH56" s="406">
        <f t="shared" si="0"/>
        <v>46</v>
      </c>
      <c r="AI5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6.112469670697247</v>
      </c>
      <c r="AJ56" s="257">
        <f>FME_Ranking1[[#This Row],[Addition check]]-FME_Ranking1[[#This Row],[Weighted Score Based on Normalized Reported Factors]]</f>
        <v>0</v>
      </c>
      <c r="AK56" s="178">
        <f>_xlfn.RANK.EQ(AI56,$AI$6:$AI$2341,0)+COUNTIF($AI$6:AI56,AI56)-1</f>
        <v>51</v>
      </c>
    </row>
    <row r="57" spans="1:37" ht="12" customHeight="1" x14ac:dyDescent="0.25">
      <c r="A57" t="s">
        <v>10957</v>
      </c>
      <c r="B57">
        <f>_xlfn.XLOOKUP(FME_Ranking1[[#This Row],[FME ID]],FME_Input[FME_ID],FME_Input[RFPG_NUM])</f>
        <v>14</v>
      </c>
      <c r="C57" t="str">
        <f>_xlfn.XLOOKUP(FME_Ranking1[[#This Row],[FME ID]],FME_Input[FME_ID],FME_Input[FME_NAME])</f>
        <v>Prioritize arroyos on their likelihood of producing sediment/ debris flows</v>
      </c>
      <c r="D57" t="str">
        <f>_xlfn.XLOOKUP(FME_Ranking1[[#This Row],[FME ID]],FME_Input[FME_ID],FME_Input[DESCR])</f>
        <v>Investigate uncontrolled arroyos that have created flood damages and high maintenance costs. Develop method to estimate relative production of sediment for uncontrolled arroyos and estimate added flood risk associated with drainage conveyance blockage.</v>
      </c>
      <c r="E57" s="256">
        <f>_xlfn.XLOOKUP(FME_Ranking1[[#This Row],[FME ID]],FME_Input[FME_ID],FME_Input[FME_COST])</f>
        <v>70000</v>
      </c>
      <c r="F57" t="str">
        <f>_xlfn.XLOOKUP(FME_Ranking1[[#This Row],[FME ID]],FME_Input[FME_ID],FME_Input[EMER_NEED])</f>
        <v>No</v>
      </c>
      <c r="G57">
        <f>IF(FME_Ranking!F57="Yes",100,0)</f>
        <v>0</v>
      </c>
      <c r="H57">
        <f>FME_Ranking1[[#This Row],[Emergency Need Score (Normalized, Unweighted)]]*$F$3</f>
        <v>0</v>
      </c>
      <c r="I57" s="246">
        <f>_xlfn.XLOOKUP(FME_Ranking1[[#This Row],[FME ID]],FME_Input[FME_ID],FME_Input[STRUCT_100])</f>
        <v>21373</v>
      </c>
      <c r="J57" s="178">
        <f>(FME_Ranking1[[#This Row],[Structures 100 Raw]]/I$2)*100</f>
        <v>11.445079895471876</v>
      </c>
      <c r="K57" s="178">
        <f>FME_Ranking1[[#This Row],[Structures 100  Score (Normalized, Unweighted)]]*$I$3</f>
        <v>1.7167619843207813</v>
      </c>
      <c r="L57" s="246">
        <f>_xlfn.XLOOKUP(FME_Ranking1[[#This Row],[FME ID]],FME_Input[FME_ID],FME_Input[RES_STRUCT100])</f>
        <v>16856</v>
      </c>
      <c r="M57" s="230">
        <f>(FME_Ranking1[[#This Row],[Res Structures Raw]]/L$2)*100</f>
        <v>11.939199048037285</v>
      </c>
      <c r="N57" s="180">
        <f>FME_Ranking1[[#This Row],[Res Structures Score (Normalized, Unweighted)]]*$L$3</f>
        <v>1.1939199048037286</v>
      </c>
      <c r="O57" s="244">
        <f>_xlfn.XLOOKUP(FME_Ranking1[[#This Row],[FME ID]],FME_Input[FME_ID],FME_Input[POP100])</f>
        <v>20411</v>
      </c>
      <c r="P57" s="178">
        <f>(FME_Ranking1[[#This Row],[Pop Raw]]/$O$2)*100</f>
        <v>2.0895824930026472</v>
      </c>
      <c r="Q57" s="178">
        <f>FME_Ranking1[[#This Row],[Pop Score (Normalized, Unweighted)]]*$O$3</f>
        <v>0.31343737395039706</v>
      </c>
      <c r="R57" s="137">
        <f>_xlfn.XLOOKUP(FME_Ranking1[[#This Row],[FME ID]],FME_Input[FME_ID],FME_Input[CRITFAC100])</f>
        <v>37</v>
      </c>
      <c r="S57" s="230">
        <f>(FME_Ranking1[[#This Row],[Critical Facilities Raw]]/$R$2)*100</f>
        <v>1.5866209262435675</v>
      </c>
      <c r="T57" s="180">
        <f>FME_Ranking1[[#This Row],[Critical Facilities Score (Normalized, Unweighted)]]*$R$3</f>
        <v>0.31732418524871353</v>
      </c>
      <c r="U57">
        <f>_xlfn.XLOOKUP(FME_Ranking1[[#This Row],[FME ID]],FME_Input[FME_ID],FME_Input[LWC])</f>
        <v>132</v>
      </c>
      <c r="V57" s="178">
        <f>(FME_Ranking1[[#This Row],[LWC Raw]]/$U$2)*100</f>
        <v>7.5993091537132988</v>
      </c>
      <c r="W57" s="178">
        <f>FME_Ranking1[[#This Row],[LWC Score (Normalized, Unweighted)]]*$U$3</f>
        <v>1.5198618307426599</v>
      </c>
      <c r="X57" s="246">
        <f>_xlfn.XLOOKUP(FME_Ranking1[[#This Row],[FME ID]],FME_Input[FME_ID],FME_Input[ROADCLS])</f>
        <v>841</v>
      </c>
      <c r="Y57" s="230">
        <f>(FME_Ranking1[[#This Row],[Closures Raw]]/$X$2)*100</f>
        <v>8.8423930186100304</v>
      </c>
      <c r="Z57" s="180">
        <f>FME_Ranking1[[#This Row],[Closures Score (Normalized, Unweighted)]]*$X$3</f>
        <v>0.44211965093050154</v>
      </c>
      <c r="AA57" s="253">
        <f>_xlfn.XLOOKUP(FME_Ranking1[[#This Row],[FME ID]],FME_Input[FME_ID],FME_Input[ROAD_MILES100])</f>
        <v>607.24700927734375</v>
      </c>
      <c r="AB57" s="178">
        <f>(FME_Ranking1[[#This Row],[Miles Raw]]/$AA$2)*100</f>
        <v>7.9842090233546941</v>
      </c>
      <c r="AC57" s="178">
        <f>FME_Ranking1[[#This Row],[Miles Score (Normalized, Unweighted)]]*$AA$3</f>
        <v>0.79842090233546947</v>
      </c>
      <c r="AD57" s="255">
        <f>_xlfn.XLOOKUP(FME_Ranking1[[#This Row],[FME ID]],FME_Input[FME_ID],FME_Input[FARMACRE100])</f>
        <v>48551</v>
      </c>
      <c r="AE57" s="230">
        <f>(FME_Ranking1[[#This Row],[Ag Land Raw]]/$AD$2)*100</f>
        <v>2.0020259012693735</v>
      </c>
      <c r="AF57" s="231">
        <f>FME_Ranking1[[#This Row],[Ag Land Score (Normalized, Unweighted)]]*$AD$3</f>
        <v>0.10010129506346868</v>
      </c>
      <c r="AG5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6.4019471273957196</v>
      </c>
      <c r="AH57" s="406">
        <f t="shared" si="0"/>
        <v>42</v>
      </c>
      <c r="AI5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6.4019471273957196</v>
      </c>
      <c r="AJ57" s="257">
        <f>FME_Ranking1[[#This Row],[Addition check]]-FME_Ranking1[[#This Row],[Weighted Score Based on Normalized Reported Factors]]</f>
        <v>0</v>
      </c>
      <c r="AK57" s="178">
        <f>_xlfn.RANK.EQ(AI57,$AI$6:$AI$2341,0)+COUNTIF($AI$6:AI57,AI57)-1</f>
        <v>42</v>
      </c>
    </row>
    <row r="58" spans="1:37" ht="12" customHeight="1" x14ac:dyDescent="0.25">
      <c r="A58" t="s">
        <v>5884</v>
      </c>
      <c r="B58">
        <f>_xlfn.XLOOKUP(FME_Ranking1[[#This Row],[FME ID]],FME_Input[FME_ID],FME_Input[RFPG_NUM])</f>
        <v>5</v>
      </c>
      <c r="C58" t="str">
        <f>_xlfn.XLOOKUP(FME_Ranking1[[#This Row],[FME ID]],FME_Input[FME_ID],FME_Input[FME_NAME])</f>
        <v>Jefferson County Update Flood Hazard Mapping</v>
      </c>
      <c r="D58" t="str">
        <f>_xlfn.XLOOKUP(FME_Ranking1[[#This Row],[FME ID]],FME_Input[FME_ID],FME_Input[DESCR])</f>
        <v>Complete a detailed study within the county extent to delineate an updated flood hazard area, which can be used for regulatory purposes.</v>
      </c>
      <c r="E58" s="256">
        <f>_xlfn.XLOOKUP(FME_Ranking1[[#This Row],[FME ID]],FME_Input[FME_ID],FME_Input[FME_COST])</f>
        <v>1900000</v>
      </c>
      <c r="F58" t="str">
        <f>_xlfn.XLOOKUP(FME_Ranking1[[#This Row],[FME ID]],FME_Input[FME_ID],FME_Input[EMER_NEED])</f>
        <v>Yes</v>
      </c>
      <c r="G58">
        <f>IF(FME_Ranking!F58="Yes",100,0)</f>
        <v>100</v>
      </c>
      <c r="H58">
        <f>FME_Ranking1[[#This Row],[Emergency Need Score (Normalized, Unweighted)]]*$F$3</f>
        <v>0</v>
      </c>
      <c r="I58" s="246">
        <f>_xlfn.XLOOKUP(FME_Ranking1[[#This Row],[FME ID]],FME_Input[FME_ID],FME_Input[STRUCT_100])</f>
        <v>12869</v>
      </c>
      <c r="J58" s="178">
        <f>(FME_Ranking1[[#This Row],[Structures 100 Raw]]/I$2)*100</f>
        <v>6.8912521955189989</v>
      </c>
      <c r="K58" s="178">
        <f>FME_Ranking1[[#This Row],[Structures 100  Score (Normalized, Unweighted)]]*$I$3</f>
        <v>1.0336878293278497</v>
      </c>
      <c r="L58" s="246">
        <f>_xlfn.XLOOKUP(FME_Ranking1[[#This Row],[FME ID]],FME_Input[FME_ID],FME_Input[RES_STRUCT100])</f>
        <v>9726</v>
      </c>
      <c r="M58" s="230">
        <f>(FME_Ranking1[[#This Row],[Res Structures Raw]]/L$2)*100</f>
        <v>6.8889801816095542</v>
      </c>
      <c r="N58" s="180">
        <f>FME_Ranking1[[#This Row],[Res Structures Score (Normalized, Unweighted)]]*$L$3</f>
        <v>0.68889801816095542</v>
      </c>
      <c r="O58" s="244">
        <f>_xlfn.XLOOKUP(FME_Ranking1[[#This Row],[FME ID]],FME_Input[FME_ID],FME_Input[POP100])</f>
        <v>40765</v>
      </c>
      <c r="P58" s="178">
        <f>(FME_Ranking1[[#This Row],[Pop Raw]]/$O$2)*100</f>
        <v>4.1733295932219354</v>
      </c>
      <c r="Q58" s="178">
        <f>FME_Ranking1[[#This Row],[Pop Score (Normalized, Unweighted)]]*$O$3</f>
        <v>0.62599943898329025</v>
      </c>
      <c r="R58" s="137">
        <f>_xlfn.XLOOKUP(FME_Ranking1[[#This Row],[FME ID]],FME_Input[FME_ID],FME_Input[CRITFAC100])</f>
        <v>316</v>
      </c>
      <c r="S58" s="230">
        <f>(FME_Ranking1[[#This Row],[Critical Facilities Raw]]/$R$2)*100</f>
        <v>13.550600343053173</v>
      </c>
      <c r="T58" s="180">
        <f>FME_Ranking1[[#This Row],[Critical Facilities Score (Normalized, Unweighted)]]*$R$3</f>
        <v>2.7101200686106348</v>
      </c>
      <c r="U58">
        <f>_xlfn.XLOOKUP(FME_Ranking1[[#This Row],[FME ID]],FME_Input[FME_ID],FME_Input[LWC])</f>
        <v>22</v>
      </c>
      <c r="V58" s="178">
        <f>(FME_Ranking1[[#This Row],[LWC Raw]]/$U$2)*100</f>
        <v>1.2665515256188831</v>
      </c>
      <c r="W58" s="178">
        <f>FME_Ranking1[[#This Row],[LWC Score (Normalized, Unweighted)]]*$U$3</f>
        <v>0.25331030512377661</v>
      </c>
      <c r="X58" s="246">
        <f>_xlfn.XLOOKUP(FME_Ranking1[[#This Row],[FME ID]],FME_Input[FME_ID],FME_Input[ROADCLS])</f>
        <v>22</v>
      </c>
      <c r="Y58" s="230">
        <f>(FME_Ranking1[[#This Row],[Closures Raw]]/$X$2)*100</f>
        <v>0.23131111344758701</v>
      </c>
      <c r="Z58" s="180">
        <f>FME_Ranking1[[#This Row],[Closures Score (Normalized, Unweighted)]]*$X$3</f>
        <v>1.1565555672379352E-2</v>
      </c>
      <c r="AA58" s="253">
        <f>_xlfn.XLOOKUP(FME_Ranking1[[#This Row],[FME ID]],FME_Input[FME_ID],FME_Input[ROAD_MILES100])</f>
        <v>473.79605102539063</v>
      </c>
      <c r="AB58" s="178">
        <f>(FME_Ranking1[[#This Row],[Miles Raw]]/$AA$2)*100</f>
        <v>6.2295682778719348</v>
      </c>
      <c r="AC58" s="178">
        <f>FME_Ranking1[[#This Row],[Miles Score (Normalized, Unweighted)]]*$AA$3</f>
        <v>0.62295682778719352</v>
      </c>
      <c r="AD58" s="255">
        <f>_xlfn.XLOOKUP(FME_Ranking1[[#This Row],[FME ID]],FME_Input[FME_ID],FME_Input[FARMACRE100])</f>
        <v>33019.37890625</v>
      </c>
      <c r="AE58" s="230">
        <f>(FME_Ranking1[[#This Row],[Ag Land Raw]]/$AD$2)*100</f>
        <v>1.3615713747222531</v>
      </c>
      <c r="AF58" s="231">
        <f>FME_Ranking1[[#This Row],[Ag Land Score (Normalized, Unweighted)]]*$AD$3</f>
        <v>6.8078568736112663E-2</v>
      </c>
      <c r="AG5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6.0146166124021923</v>
      </c>
      <c r="AH58" s="406">
        <f t="shared" si="0"/>
        <v>53</v>
      </c>
      <c r="AI5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6.0146166124021923</v>
      </c>
      <c r="AJ58" s="257">
        <f>FME_Ranking1[[#This Row],[Addition check]]-FME_Ranking1[[#This Row],[Weighted Score Based on Normalized Reported Factors]]</f>
        <v>0</v>
      </c>
      <c r="AK58" s="178">
        <f>_xlfn.RANK.EQ(AI58,$AI$6:$AI$2341,0)+COUNTIF($AI$6:AI58,AI58)-1</f>
        <v>53</v>
      </c>
    </row>
    <row r="59" spans="1:37" ht="12" customHeight="1" x14ac:dyDescent="0.25">
      <c r="A59" t="s">
        <v>6252</v>
      </c>
      <c r="B59">
        <f>_xlfn.XLOOKUP(FME_Ranking1[[#This Row],[FME ID]],FME_Input[FME_ID],FME_Input[RFPG_NUM])</f>
        <v>5</v>
      </c>
      <c r="C59" t="str">
        <f>_xlfn.XLOOKUP(FME_Ranking1[[#This Row],[FME ID]],FME_Input[FME_ID],FME_Input[FME_NAME])</f>
        <v>Jefferson County Master Drainage Plan</v>
      </c>
      <c r="D59"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59" s="256">
        <f>_xlfn.XLOOKUP(FME_Ranking1[[#This Row],[FME ID]],FME_Input[FME_ID],FME_Input[FME_COST])</f>
        <v>1100000</v>
      </c>
      <c r="F59" t="str">
        <f>_xlfn.XLOOKUP(FME_Ranking1[[#This Row],[FME ID]],FME_Input[FME_ID],FME_Input[EMER_NEED])</f>
        <v>Yes</v>
      </c>
      <c r="G59">
        <f>IF(FME_Ranking!F59="Yes",100,0)</f>
        <v>100</v>
      </c>
      <c r="H59">
        <f>FME_Ranking1[[#This Row],[Emergency Need Score (Normalized, Unweighted)]]*$F$3</f>
        <v>0</v>
      </c>
      <c r="I59" s="246">
        <f>_xlfn.XLOOKUP(FME_Ranking1[[#This Row],[FME ID]],FME_Input[FME_ID],FME_Input[STRUCT_100])</f>
        <v>12869</v>
      </c>
      <c r="J59" s="178">
        <f>(FME_Ranking1[[#This Row],[Structures 100 Raw]]/I$2)*100</f>
        <v>6.8912521955189989</v>
      </c>
      <c r="K59" s="178">
        <f>FME_Ranking1[[#This Row],[Structures 100  Score (Normalized, Unweighted)]]*$I$3</f>
        <v>1.0336878293278497</v>
      </c>
      <c r="L59" s="246">
        <f>_xlfn.XLOOKUP(FME_Ranking1[[#This Row],[FME ID]],FME_Input[FME_ID],FME_Input[RES_STRUCT100])</f>
        <v>9726</v>
      </c>
      <c r="M59" s="230">
        <f>(FME_Ranking1[[#This Row],[Res Structures Raw]]/L$2)*100</f>
        <v>6.8889801816095542</v>
      </c>
      <c r="N59" s="180">
        <f>FME_Ranking1[[#This Row],[Res Structures Score (Normalized, Unweighted)]]*$L$3</f>
        <v>0.68889801816095542</v>
      </c>
      <c r="O59" s="244">
        <f>_xlfn.XLOOKUP(FME_Ranking1[[#This Row],[FME ID]],FME_Input[FME_ID],FME_Input[POP100])</f>
        <v>40765</v>
      </c>
      <c r="P59" s="178">
        <f>(FME_Ranking1[[#This Row],[Pop Raw]]/$O$2)*100</f>
        <v>4.1733295932219354</v>
      </c>
      <c r="Q59" s="178">
        <f>FME_Ranking1[[#This Row],[Pop Score (Normalized, Unweighted)]]*$O$3</f>
        <v>0.62599943898329025</v>
      </c>
      <c r="R59" s="137">
        <f>_xlfn.XLOOKUP(FME_Ranking1[[#This Row],[FME ID]],FME_Input[FME_ID],FME_Input[CRITFAC100])</f>
        <v>316</v>
      </c>
      <c r="S59" s="230">
        <f>(FME_Ranking1[[#This Row],[Critical Facilities Raw]]/$R$2)*100</f>
        <v>13.550600343053173</v>
      </c>
      <c r="T59" s="180">
        <f>FME_Ranking1[[#This Row],[Critical Facilities Score (Normalized, Unweighted)]]*$R$3</f>
        <v>2.7101200686106348</v>
      </c>
      <c r="U59">
        <f>_xlfn.XLOOKUP(FME_Ranking1[[#This Row],[FME ID]],FME_Input[FME_ID],FME_Input[LWC])</f>
        <v>22</v>
      </c>
      <c r="V59" s="178">
        <f>(FME_Ranking1[[#This Row],[LWC Raw]]/$U$2)*100</f>
        <v>1.2665515256188831</v>
      </c>
      <c r="W59" s="178">
        <f>FME_Ranking1[[#This Row],[LWC Score (Normalized, Unweighted)]]*$U$3</f>
        <v>0.25331030512377661</v>
      </c>
      <c r="X59" s="246">
        <f>_xlfn.XLOOKUP(FME_Ranking1[[#This Row],[FME ID]],FME_Input[FME_ID],FME_Input[ROADCLS])</f>
        <v>22</v>
      </c>
      <c r="Y59" s="230">
        <f>(FME_Ranking1[[#This Row],[Closures Raw]]/$X$2)*100</f>
        <v>0.23131111344758701</v>
      </c>
      <c r="Z59" s="180">
        <f>FME_Ranking1[[#This Row],[Closures Score (Normalized, Unweighted)]]*$X$3</f>
        <v>1.1565555672379352E-2</v>
      </c>
      <c r="AA59" s="253">
        <f>_xlfn.XLOOKUP(FME_Ranking1[[#This Row],[FME ID]],FME_Input[FME_ID],FME_Input[ROAD_MILES100])</f>
        <v>473.79605102539063</v>
      </c>
      <c r="AB59" s="178">
        <f>(FME_Ranking1[[#This Row],[Miles Raw]]/$AA$2)*100</f>
        <v>6.2295682778719348</v>
      </c>
      <c r="AC59" s="178">
        <f>FME_Ranking1[[#This Row],[Miles Score (Normalized, Unweighted)]]*$AA$3</f>
        <v>0.62295682778719352</v>
      </c>
      <c r="AD59" s="255">
        <f>_xlfn.XLOOKUP(FME_Ranking1[[#This Row],[FME ID]],FME_Input[FME_ID],FME_Input[FARMACRE100])</f>
        <v>33019.37890625</v>
      </c>
      <c r="AE59" s="230">
        <f>(FME_Ranking1[[#This Row],[Ag Land Raw]]/$AD$2)*100</f>
        <v>1.3615713747222531</v>
      </c>
      <c r="AF59" s="231">
        <f>FME_Ranking1[[#This Row],[Ag Land Score (Normalized, Unweighted)]]*$AD$3</f>
        <v>6.8078568736112663E-2</v>
      </c>
      <c r="AG5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6.0146166124021923</v>
      </c>
      <c r="AH59" s="406">
        <f t="shared" si="0"/>
        <v>53</v>
      </c>
      <c r="AI5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6.0146166124021923</v>
      </c>
      <c r="AJ59" s="257">
        <f>FME_Ranking1[[#This Row],[Addition check]]-FME_Ranking1[[#This Row],[Weighted Score Based on Normalized Reported Factors]]</f>
        <v>0</v>
      </c>
      <c r="AK59" s="178">
        <f>_xlfn.RANK.EQ(AI59,$AI$6:$AI$2341,0)+COUNTIF($AI$6:AI59,AI59)-1</f>
        <v>54</v>
      </c>
    </row>
    <row r="60" spans="1:37" ht="12" customHeight="1" x14ac:dyDescent="0.25">
      <c r="A60" t="s">
        <v>4281</v>
      </c>
      <c r="B60">
        <f>_xlfn.XLOOKUP(FME_Ranking1[[#This Row],[FME ID]],FME_Input[FME_ID],FME_Input[RFPG_NUM])</f>
        <v>3</v>
      </c>
      <c r="C60" t="str">
        <f>_xlfn.XLOOKUP(FME_Ranking1[[#This Row],[FME ID]],FME_Input[FME_ID],FME_Input[FME_NAME])</f>
        <v>Johnson County DMP</v>
      </c>
      <c r="D60" t="str">
        <f>_xlfn.XLOOKUP(FME_Ranking1[[#This Row],[FME ID]],FME_Input[FME_ID],FME_Input[DESCR])</f>
        <v>Evaluate County and identify future projects.</v>
      </c>
      <c r="E60" s="256">
        <f>_xlfn.XLOOKUP(FME_Ranking1[[#This Row],[FME ID]],FME_Input[FME_ID],FME_Input[FME_COST])</f>
        <v>500000</v>
      </c>
      <c r="F60" t="str">
        <f>_xlfn.XLOOKUP(FME_Ranking1[[#This Row],[FME ID]],FME_Input[FME_ID],FME_Input[EMER_NEED])</f>
        <v>No</v>
      </c>
      <c r="G60">
        <f>IF(FME_Ranking!F60="Yes",100,0)</f>
        <v>0</v>
      </c>
      <c r="H60">
        <f>FME_Ranking1[[#This Row],[Emergency Need Score (Normalized, Unweighted)]]*$F$3</f>
        <v>0</v>
      </c>
      <c r="I60" s="246">
        <f>_xlfn.XLOOKUP(FME_Ranking1[[#This Row],[FME ID]],FME_Input[FME_ID],FME_Input[STRUCT_100])</f>
        <v>1851</v>
      </c>
      <c r="J60" s="178">
        <f>(FME_Ranking1[[#This Row],[Structures 100 Raw]]/I$2)*100</f>
        <v>0.99119650430535922</v>
      </c>
      <c r="K60" s="178">
        <f>FME_Ranking1[[#This Row],[Structures 100  Score (Normalized, Unweighted)]]*$I$3</f>
        <v>0.14867947564580389</v>
      </c>
      <c r="L60" s="246">
        <f>_xlfn.XLOOKUP(FME_Ranking1[[#This Row],[FME ID]],FME_Input[FME_ID],FME_Input[RES_STRUCT100])</f>
        <v>1555</v>
      </c>
      <c r="M60" s="230">
        <f>(FME_Ranking1[[#This Row],[Res Structures Raw]]/L$2)*100</f>
        <v>1.1014151945715458</v>
      </c>
      <c r="N60" s="180">
        <f>FME_Ranking1[[#This Row],[Res Structures Score (Normalized, Unweighted)]]*$L$3</f>
        <v>0.11014151945715459</v>
      </c>
      <c r="O60" s="244">
        <f>_xlfn.XLOOKUP(FME_Ranking1[[#This Row],[FME ID]],FME_Input[FME_ID],FME_Input[POP100])</f>
        <v>4897</v>
      </c>
      <c r="P60" s="178">
        <f>(FME_Ranking1[[#This Row],[Pop Raw]]/$O$2)*100</f>
        <v>0.50133190280897388</v>
      </c>
      <c r="Q60" s="178">
        <f>FME_Ranking1[[#This Row],[Pop Score (Normalized, Unweighted)]]*$O$3</f>
        <v>7.5199785421346074E-2</v>
      </c>
      <c r="R60" s="137">
        <f>_xlfn.XLOOKUP(FME_Ranking1[[#This Row],[FME ID]],FME_Input[FME_ID],FME_Input[CRITFAC100])</f>
        <v>12</v>
      </c>
      <c r="S60" s="230">
        <f>(FME_Ranking1[[#This Row],[Critical Facilities Raw]]/$R$2)*100</f>
        <v>0.51457975986277882</v>
      </c>
      <c r="T60" s="180">
        <f>FME_Ranking1[[#This Row],[Critical Facilities Score (Normalized, Unweighted)]]*$R$3</f>
        <v>0.10291595197255576</v>
      </c>
      <c r="U60">
        <f>_xlfn.XLOOKUP(FME_Ranking1[[#This Row],[FME ID]],FME_Input[FME_ID],FME_Input[LWC])</f>
        <v>372</v>
      </c>
      <c r="V60" s="178">
        <f>(FME_Ranking1[[#This Row],[LWC Raw]]/$U$2)*100</f>
        <v>21.416234887737478</v>
      </c>
      <c r="W60" s="178">
        <f>FME_Ranking1[[#This Row],[LWC Score (Normalized, Unweighted)]]*$U$3</f>
        <v>4.2832469775474955</v>
      </c>
      <c r="X60" s="246">
        <f>_xlfn.XLOOKUP(FME_Ranking1[[#This Row],[FME ID]],FME_Input[FME_ID],FME_Input[ROADCLS])</f>
        <v>0</v>
      </c>
      <c r="Y60" s="230">
        <f>(FME_Ranking1[[#This Row],[Closures Raw]]/$X$2)*100</f>
        <v>0</v>
      </c>
      <c r="Z60" s="180">
        <f>FME_Ranking1[[#This Row],[Closures Score (Normalized, Unweighted)]]*$X$3</f>
        <v>0</v>
      </c>
      <c r="AA60" s="253">
        <f>_xlfn.XLOOKUP(FME_Ranking1[[#This Row],[FME ID]],FME_Input[FME_ID],FME_Input[ROAD_MILES100])</f>
        <v>61.676521301269531</v>
      </c>
      <c r="AB60" s="178">
        <f>(FME_Ranking1[[#This Row],[Miles Raw]]/$AA$2)*100</f>
        <v>0.81093563307747185</v>
      </c>
      <c r="AC60" s="178">
        <f>FME_Ranking1[[#This Row],[Miles Score (Normalized, Unweighted)]]*$AA$3</f>
        <v>8.1093563307747196E-2</v>
      </c>
      <c r="AD60" s="255">
        <f>_xlfn.XLOOKUP(FME_Ranking1[[#This Row],[FME ID]],FME_Input[FME_ID],FME_Input[FARMACRE100])</f>
        <v>18202.779296875</v>
      </c>
      <c r="AE60" s="230">
        <f>(FME_Ranking1[[#This Row],[Ag Land Raw]]/$AD$2)*100</f>
        <v>0.75060113339444445</v>
      </c>
      <c r="AF60" s="231">
        <f>FME_Ranking1[[#This Row],[Ag Land Score (Normalized, Unweighted)]]*$AD$3</f>
        <v>3.7530056669722228E-2</v>
      </c>
      <c r="AG6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4.8388073300218259</v>
      </c>
      <c r="AH60" s="406">
        <f t="shared" si="0"/>
        <v>63</v>
      </c>
      <c r="AI6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4.8388073300218259</v>
      </c>
      <c r="AJ60" s="257">
        <f>FME_Ranking1[[#This Row],[Addition check]]-FME_Ranking1[[#This Row],[Weighted Score Based on Normalized Reported Factors]]</f>
        <v>0</v>
      </c>
      <c r="AK60" s="178">
        <f>_xlfn.RANK.EQ(AI60,$AI$6:$AI$2341,0)+COUNTIF($AI$6:AI60,AI60)-1</f>
        <v>63</v>
      </c>
    </row>
    <row r="61" spans="1:37" ht="12" customHeight="1" x14ac:dyDescent="0.25">
      <c r="A61" t="s">
        <v>4819</v>
      </c>
      <c r="B61">
        <f>_xlfn.XLOOKUP(FME_Ranking1[[#This Row],[FME ID]],FME_Input[FME_ID],FME_Input[RFPG_NUM])</f>
        <v>3</v>
      </c>
      <c r="C61" t="str">
        <f>_xlfn.XLOOKUP(FME_Ranking1[[#This Row],[FME ID]],FME_Input[FME_ID],FME_Input[FME_NAME])</f>
        <v>Johnson County Low Water Crossings - West Side</v>
      </c>
      <c r="D61" t="str">
        <f>_xlfn.XLOOKUP(FME_Ranking1[[#This Row],[FME ID]],FME_Input[FME_ID],FME_Input[DESCR])</f>
        <v>Hydraulic evaluation to determine how to reduce flooding risk at multiple low water crossings.</v>
      </c>
      <c r="E61" s="256">
        <f>_xlfn.XLOOKUP(FME_Ranking1[[#This Row],[FME ID]],FME_Input[FME_ID],FME_Input[FME_COST])</f>
        <v>250000</v>
      </c>
      <c r="F61" t="str">
        <f>_xlfn.XLOOKUP(FME_Ranking1[[#This Row],[FME ID]],FME_Input[FME_ID],FME_Input[EMER_NEED])</f>
        <v>No</v>
      </c>
      <c r="G61">
        <f>IF(FME_Ranking!F61="Yes",100,0)</f>
        <v>0</v>
      </c>
      <c r="H61">
        <f>FME_Ranking1[[#This Row],[Emergency Need Score (Normalized, Unweighted)]]*$F$3</f>
        <v>0</v>
      </c>
      <c r="I61" s="246">
        <f>_xlfn.XLOOKUP(FME_Ranking1[[#This Row],[FME ID]],FME_Input[FME_ID],FME_Input[STRUCT_100])</f>
        <v>1851</v>
      </c>
      <c r="J61" s="178">
        <f>(FME_Ranking1[[#This Row],[Structures 100 Raw]]/I$2)*100</f>
        <v>0.99119650430535922</v>
      </c>
      <c r="K61" s="178">
        <f>FME_Ranking1[[#This Row],[Structures 100  Score (Normalized, Unweighted)]]*$I$3</f>
        <v>0.14867947564580389</v>
      </c>
      <c r="L61" s="246">
        <f>_xlfn.XLOOKUP(FME_Ranking1[[#This Row],[FME ID]],FME_Input[FME_ID],FME_Input[RES_STRUCT100])</f>
        <v>1555</v>
      </c>
      <c r="M61" s="230">
        <f>(FME_Ranking1[[#This Row],[Res Structures Raw]]/L$2)*100</f>
        <v>1.1014151945715458</v>
      </c>
      <c r="N61" s="180">
        <f>FME_Ranking1[[#This Row],[Res Structures Score (Normalized, Unweighted)]]*$L$3</f>
        <v>0.11014151945715459</v>
      </c>
      <c r="O61" s="244">
        <f>_xlfn.XLOOKUP(FME_Ranking1[[#This Row],[FME ID]],FME_Input[FME_ID],FME_Input[POP100])</f>
        <v>4897</v>
      </c>
      <c r="P61" s="178">
        <f>(FME_Ranking1[[#This Row],[Pop Raw]]/$O$2)*100</f>
        <v>0.50133190280897388</v>
      </c>
      <c r="Q61" s="178">
        <f>FME_Ranking1[[#This Row],[Pop Score (Normalized, Unweighted)]]*$O$3</f>
        <v>7.5199785421346074E-2</v>
      </c>
      <c r="R61" s="137">
        <f>_xlfn.XLOOKUP(FME_Ranking1[[#This Row],[FME ID]],FME_Input[FME_ID],FME_Input[CRITFAC100])</f>
        <v>12</v>
      </c>
      <c r="S61" s="230">
        <f>(FME_Ranking1[[#This Row],[Critical Facilities Raw]]/$R$2)*100</f>
        <v>0.51457975986277882</v>
      </c>
      <c r="T61" s="180">
        <f>FME_Ranking1[[#This Row],[Critical Facilities Score (Normalized, Unweighted)]]*$R$3</f>
        <v>0.10291595197255576</v>
      </c>
      <c r="U61">
        <f>_xlfn.XLOOKUP(FME_Ranking1[[#This Row],[FME ID]],FME_Input[FME_ID],FME_Input[LWC])</f>
        <v>372</v>
      </c>
      <c r="V61" s="178">
        <f>(FME_Ranking1[[#This Row],[LWC Raw]]/$U$2)*100</f>
        <v>21.416234887737478</v>
      </c>
      <c r="W61" s="178">
        <f>FME_Ranking1[[#This Row],[LWC Score (Normalized, Unweighted)]]*$U$3</f>
        <v>4.2832469775474955</v>
      </c>
      <c r="X61" s="246">
        <f>_xlfn.XLOOKUP(FME_Ranking1[[#This Row],[FME ID]],FME_Input[FME_ID],FME_Input[ROADCLS])</f>
        <v>0</v>
      </c>
      <c r="Y61" s="230">
        <f>(FME_Ranking1[[#This Row],[Closures Raw]]/$X$2)*100</f>
        <v>0</v>
      </c>
      <c r="Z61" s="180">
        <f>FME_Ranking1[[#This Row],[Closures Score (Normalized, Unweighted)]]*$X$3</f>
        <v>0</v>
      </c>
      <c r="AA61" s="253">
        <f>_xlfn.XLOOKUP(FME_Ranking1[[#This Row],[FME ID]],FME_Input[FME_ID],FME_Input[ROAD_MILES100])</f>
        <v>61.676521301269531</v>
      </c>
      <c r="AB61" s="178">
        <f>(FME_Ranking1[[#This Row],[Miles Raw]]/$AA$2)*100</f>
        <v>0.81093563307747185</v>
      </c>
      <c r="AC61" s="178">
        <f>FME_Ranking1[[#This Row],[Miles Score (Normalized, Unweighted)]]*$AA$3</f>
        <v>8.1093563307747196E-2</v>
      </c>
      <c r="AD61" s="255">
        <f>_xlfn.XLOOKUP(FME_Ranking1[[#This Row],[FME ID]],FME_Input[FME_ID],FME_Input[FARMACRE100])</f>
        <v>18202.779296875</v>
      </c>
      <c r="AE61" s="230">
        <f>(FME_Ranking1[[#This Row],[Ag Land Raw]]/$AD$2)*100</f>
        <v>0.75060113339444445</v>
      </c>
      <c r="AF61" s="231">
        <f>FME_Ranking1[[#This Row],[Ag Land Score (Normalized, Unweighted)]]*$AD$3</f>
        <v>3.7530056669722228E-2</v>
      </c>
      <c r="AG6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4.8388073300218259</v>
      </c>
      <c r="AH61" s="406">
        <f t="shared" si="0"/>
        <v>63</v>
      </c>
      <c r="AI6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4.8388073300218259</v>
      </c>
      <c r="AJ61" s="257">
        <f>FME_Ranking1[[#This Row],[Addition check]]-FME_Ranking1[[#This Row],[Weighted Score Based on Normalized Reported Factors]]</f>
        <v>0</v>
      </c>
      <c r="AK61" s="178">
        <f>_xlfn.RANK.EQ(AI61,$AI$6:$AI$2341,0)+COUNTIF($AI$6:AI61,AI61)-1</f>
        <v>64</v>
      </c>
    </row>
    <row r="62" spans="1:37" ht="12" customHeight="1" x14ac:dyDescent="0.25">
      <c r="A62" t="s">
        <v>4823</v>
      </c>
      <c r="B62">
        <f>_xlfn.XLOOKUP(FME_Ranking1[[#This Row],[FME ID]],FME_Input[FME_ID],FME_Input[RFPG_NUM])</f>
        <v>3</v>
      </c>
      <c r="C62" t="str">
        <f>_xlfn.XLOOKUP(FME_Ranking1[[#This Row],[FME ID]],FME_Input[FME_ID],FME_Input[FME_NAME])</f>
        <v>Johnson County Low Water Crossings - East Side</v>
      </c>
      <c r="D62" t="str">
        <f>_xlfn.XLOOKUP(FME_Ranking1[[#This Row],[FME ID]],FME_Input[FME_ID],FME_Input[DESCR])</f>
        <v>Hydraulic evaluation to determine how to reduce flooding risk at multiple low water crossings.</v>
      </c>
      <c r="E62" s="256">
        <f>_xlfn.XLOOKUP(FME_Ranking1[[#This Row],[FME ID]],FME_Input[FME_ID],FME_Input[FME_COST])</f>
        <v>250000</v>
      </c>
      <c r="F62" t="str">
        <f>_xlfn.XLOOKUP(FME_Ranking1[[#This Row],[FME ID]],FME_Input[FME_ID],FME_Input[EMER_NEED])</f>
        <v>No</v>
      </c>
      <c r="G62">
        <f>IF(FME_Ranking!F62="Yes",100,0)</f>
        <v>0</v>
      </c>
      <c r="H62">
        <f>FME_Ranking1[[#This Row],[Emergency Need Score (Normalized, Unweighted)]]*$F$3</f>
        <v>0</v>
      </c>
      <c r="I62" s="246">
        <f>_xlfn.XLOOKUP(FME_Ranking1[[#This Row],[FME ID]],FME_Input[FME_ID],FME_Input[STRUCT_100])</f>
        <v>1851</v>
      </c>
      <c r="J62" s="178">
        <f>(FME_Ranking1[[#This Row],[Structures 100 Raw]]/I$2)*100</f>
        <v>0.99119650430535922</v>
      </c>
      <c r="K62" s="178">
        <f>FME_Ranking1[[#This Row],[Structures 100  Score (Normalized, Unweighted)]]*$I$3</f>
        <v>0.14867947564580389</v>
      </c>
      <c r="L62" s="246">
        <f>_xlfn.XLOOKUP(FME_Ranking1[[#This Row],[FME ID]],FME_Input[FME_ID],FME_Input[RES_STRUCT100])</f>
        <v>1555</v>
      </c>
      <c r="M62" s="230">
        <f>(FME_Ranking1[[#This Row],[Res Structures Raw]]/L$2)*100</f>
        <v>1.1014151945715458</v>
      </c>
      <c r="N62" s="180">
        <f>FME_Ranking1[[#This Row],[Res Structures Score (Normalized, Unweighted)]]*$L$3</f>
        <v>0.11014151945715459</v>
      </c>
      <c r="O62" s="244">
        <f>_xlfn.XLOOKUP(FME_Ranking1[[#This Row],[FME ID]],FME_Input[FME_ID],FME_Input[POP100])</f>
        <v>4897</v>
      </c>
      <c r="P62" s="178">
        <f>(FME_Ranking1[[#This Row],[Pop Raw]]/$O$2)*100</f>
        <v>0.50133190280897388</v>
      </c>
      <c r="Q62" s="178">
        <f>FME_Ranking1[[#This Row],[Pop Score (Normalized, Unweighted)]]*$O$3</f>
        <v>7.5199785421346074E-2</v>
      </c>
      <c r="R62" s="137">
        <f>_xlfn.XLOOKUP(FME_Ranking1[[#This Row],[FME ID]],FME_Input[FME_ID],FME_Input[CRITFAC100])</f>
        <v>12</v>
      </c>
      <c r="S62" s="230">
        <f>(FME_Ranking1[[#This Row],[Critical Facilities Raw]]/$R$2)*100</f>
        <v>0.51457975986277882</v>
      </c>
      <c r="T62" s="180">
        <f>FME_Ranking1[[#This Row],[Critical Facilities Score (Normalized, Unweighted)]]*$R$3</f>
        <v>0.10291595197255576</v>
      </c>
      <c r="U62">
        <f>_xlfn.XLOOKUP(FME_Ranking1[[#This Row],[FME ID]],FME_Input[FME_ID],FME_Input[LWC])</f>
        <v>372</v>
      </c>
      <c r="V62" s="178">
        <f>(FME_Ranking1[[#This Row],[LWC Raw]]/$U$2)*100</f>
        <v>21.416234887737478</v>
      </c>
      <c r="W62" s="178">
        <f>FME_Ranking1[[#This Row],[LWC Score (Normalized, Unweighted)]]*$U$3</f>
        <v>4.2832469775474955</v>
      </c>
      <c r="X62" s="246">
        <f>_xlfn.XLOOKUP(FME_Ranking1[[#This Row],[FME ID]],FME_Input[FME_ID],FME_Input[ROADCLS])</f>
        <v>0</v>
      </c>
      <c r="Y62" s="230">
        <f>(FME_Ranking1[[#This Row],[Closures Raw]]/$X$2)*100</f>
        <v>0</v>
      </c>
      <c r="Z62" s="180">
        <f>FME_Ranking1[[#This Row],[Closures Score (Normalized, Unweighted)]]*$X$3</f>
        <v>0</v>
      </c>
      <c r="AA62" s="253">
        <f>_xlfn.XLOOKUP(FME_Ranking1[[#This Row],[FME ID]],FME_Input[FME_ID],FME_Input[ROAD_MILES100])</f>
        <v>61.676521301269531</v>
      </c>
      <c r="AB62" s="178">
        <f>(FME_Ranking1[[#This Row],[Miles Raw]]/$AA$2)*100</f>
        <v>0.81093563307747185</v>
      </c>
      <c r="AC62" s="178">
        <f>FME_Ranking1[[#This Row],[Miles Score (Normalized, Unweighted)]]*$AA$3</f>
        <v>8.1093563307747196E-2</v>
      </c>
      <c r="AD62" s="255">
        <f>_xlfn.XLOOKUP(FME_Ranking1[[#This Row],[FME ID]],FME_Input[FME_ID],FME_Input[FARMACRE100])</f>
        <v>18202.779296875</v>
      </c>
      <c r="AE62" s="230">
        <f>(FME_Ranking1[[#This Row],[Ag Land Raw]]/$AD$2)*100</f>
        <v>0.75060113339444445</v>
      </c>
      <c r="AF62" s="231">
        <f>FME_Ranking1[[#This Row],[Ag Land Score (Normalized, Unweighted)]]*$AD$3</f>
        <v>3.7530056669722228E-2</v>
      </c>
      <c r="AG6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4.8388073300218259</v>
      </c>
      <c r="AH62" s="406">
        <f t="shared" si="0"/>
        <v>63</v>
      </c>
      <c r="AI6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4.8388073300218259</v>
      </c>
      <c r="AJ62" s="257">
        <f>FME_Ranking1[[#This Row],[Addition check]]-FME_Ranking1[[#This Row],[Weighted Score Based on Normalized Reported Factors]]</f>
        <v>0</v>
      </c>
      <c r="AK62" s="178">
        <f>_xlfn.RANK.EQ(AI62,$AI$6:$AI$2341,0)+COUNTIF($AI$6:AI62,AI62)-1</f>
        <v>65</v>
      </c>
    </row>
    <row r="63" spans="1:37" ht="12" customHeight="1" x14ac:dyDescent="0.25">
      <c r="A63" t="s">
        <v>3916</v>
      </c>
      <c r="B63">
        <f>_xlfn.XLOOKUP(FME_Ranking1[[#This Row],[FME ID]],FME_Input[FME_ID],FME_Input[RFPG_NUM])</f>
        <v>3</v>
      </c>
      <c r="C63" t="str">
        <f>_xlfn.XLOOKUP(FME_Ranking1[[#This Row],[FME ID]],FME_Input[FME_ID],FME_Input[FME_NAME])</f>
        <v xml:space="preserve">Johnson County FEMA Mapping </v>
      </c>
      <c r="D63" t="str">
        <f>_xlfn.XLOOKUP(FME_Ranking1[[#This Row],[FME ID]],FME_Input[FME_ID],FME_Input[DESCR])</f>
        <v>Create FEMA mapping in previously unmapped areas and update existing FEMA maps as needed.</v>
      </c>
      <c r="E63" s="256">
        <f>_xlfn.XLOOKUP(FME_Ranking1[[#This Row],[FME ID]],FME_Input[FME_ID],FME_Input[FME_COST])</f>
        <v>977000</v>
      </c>
      <c r="F63" t="str">
        <f>_xlfn.XLOOKUP(FME_Ranking1[[#This Row],[FME ID]],FME_Input[FME_ID],FME_Input[EMER_NEED])</f>
        <v>No</v>
      </c>
      <c r="G63">
        <f>IF(FME_Ranking!F63="Yes",100,0)</f>
        <v>0</v>
      </c>
      <c r="H63">
        <f>FME_Ranking1[[#This Row],[Emergency Need Score (Normalized, Unweighted)]]*$F$3</f>
        <v>0</v>
      </c>
      <c r="I63" s="246">
        <f>_xlfn.XLOOKUP(FME_Ranking1[[#This Row],[FME ID]],FME_Input[FME_ID],FME_Input[STRUCT_100])</f>
        <v>1839</v>
      </c>
      <c r="J63" s="178">
        <f>(FME_Ranking1[[#This Row],[Structures 100 Raw]]/I$2)*100</f>
        <v>0.98477059503919806</v>
      </c>
      <c r="K63" s="178">
        <f>FME_Ranking1[[#This Row],[Structures 100  Score (Normalized, Unweighted)]]*$I$3</f>
        <v>0.14771558925587971</v>
      </c>
      <c r="L63" s="246">
        <f>_xlfn.XLOOKUP(FME_Ranking1[[#This Row],[FME ID]],FME_Input[FME_ID],FME_Input[RES_STRUCT100])</f>
        <v>1544</v>
      </c>
      <c r="M63" s="230">
        <f>(FME_Ranking1[[#This Row],[Res Structures Raw]]/L$2)*100</f>
        <v>1.0936238330665382</v>
      </c>
      <c r="N63" s="180">
        <f>FME_Ranking1[[#This Row],[Res Structures Score (Normalized, Unweighted)]]*$L$3</f>
        <v>0.10936238330665382</v>
      </c>
      <c r="O63" s="244">
        <f>_xlfn.XLOOKUP(FME_Ranking1[[#This Row],[FME ID]],FME_Input[FME_ID],FME_Input[POP100])</f>
        <v>4877</v>
      </c>
      <c r="P63" s="178">
        <f>(FME_Ranking1[[#This Row],[Pop Raw]]/$O$2)*100</f>
        <v>0.4992843965691986</v>
      </c>
      <c r="Q63" s="178">
        <f>FME_Ranking1[[#This Row],[Pop Score (Normalized, Unweighted)]]*$O$3</f>
        <v>7.4892659485379792E-2</v>
      </c>
      <c r="R63" s="137">
        <f>_xlfn.XLOOKUP(FME_Ranking1[[#This Row],[FME ID]],FME_Input[FME_ID],FME_Input[CRITFAC100])</f>
        <v>12</v>
      </c>
      <c r="S63" s="230">
        <f>(FME_Ranking1[[#This Row],[Critical Facilities Raw]]/$R$2)*100</f>
        <v>0.51457975986277882</v>
      </c>
      <c r="T63" s="180">
        <f>FME_Ranking1[[#This Row],[Critical Facilities Score (Normalized, Unweighted)]]*$R$3</f>
        <v>0.10291595197255576</v>
      </c>
      <c r="U63">
        <f>_xlfn.XLOOKUP(FME_Ranking1[[#This Row],[FME ID]],FME_Input[FME_ID],FME_Input[LWC])</f>
        <v>372</v>
      </c>
      <c r="V63" s="178">
        <f>(FME_Ranking1[[#This Row],[LWC Raw]]/$U$2)*100</f>
        <v>21.416234887737478</v>
      </c>
      <c r="W63" s="178">
        <f>FME_Ranking1[[#This Row],[LWC Score (Normalized, Unweighted)]]*$U$3</f>
        <v>4.2832469775474955</v>
      </c>
      <c r="X63" s="246">
        <f>_xlfn.XLOOKUP(FME_Ranking1[[#This Row],[FME ID]],FME_Input[FME_ID],FME_Input[ROADCLS])</f>
        <v>0</v>
      </c>
      <c r="Y63" s="230">
        <f>(FME_Ranking1[[#This Row],[Closures Raw]]/$X$2)*100</f>
        <v>0</v>
      </c>
      <c r="Z63" s="180">
        <f>FME_Ranking1[[#This Row],[Closures Score (Normalized, Unweighted)]]*$X$3</f>
        <v>0</v>
      </c>
      <c r="AA63" s="253">
        <f>_xlfn.XLOOKUP(FME_Ranking1[[#This Row],[FME ID]],FME_Input[FME_ID],FME_Input[ROAD_MILES100])</f>
        <v>61.676521301269531</v>
      </c>
      <c r="AB63" s="178">
        <f>(FME_Ranking1[[#This Row],[Miles Raw]]/$AA$2)*100</f>
        <v>0.81093563307747185</v>
      </c>
      <c r="AC63" s="178">
        <f>FME_Ranking1[[#This Row],[Miles Score (Normalized, Unweighted)]]*$AA$3</f>
        <v>8.1093563307747196E-2</v>
      </c>
      <c r="AD63" s="255">
        <f>_xlfn.XLOOKUP(FME_Ranking1[[#This Row],[FME ID]],FME_Input[FME_ID],FME_Input[FARMACRE100])</f>
        <v>13054.41015625</v>
      </c>
      <c r="AE63" s="230">
        <f>(FME_Ranking1[[#This Row],[Ag Land Raw]]/$AD$2)*100</f>
        <v>0.53830543672852205</v>
      </c>
      <c r="AF63" s="231">
        <f>FME_Ranking1[[#This Row],[Ag Land Score (Normalized, Unweighted)]]*$AD$3</f>
        <v>2.6915271836426103E-2</v>
      </c>
      <c r="AG6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4.8261423967121377</v>
      </c>
      <c r="AH63" s="406">
        <f t="shared" si="0"/>
        <v>66</v>
      </c>
      <c r="AI6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4.8261423967121377</v>
      </c>
      <c r="AJ63" s="257">
        <f>FME_Ranking1[[#This Row],[Addition check]]-FME_Ranking1[[#This Row],[Weighted Score Based on Normalized Reported Factors]]</f>
        <v>0</v>
      </c>
      <c r="AK63" s="178">
        <f>_xlfn.RANK.EQ(AI63,$AI$6:$AI$2341,0)+COUNTIF($AI$6:AI63,AI63)-1</f>
        <v>66</v>
      </c>
    </row>
    <row r="64" spans="1:37" ht="12" customHeight="1" x14ac:dyDescent="0.25">
      <c r="A64" t="s">
        <v>5668</v>
      </c>
      <c r="B64">
        <f>_xlfn.XLOOKUP(FME_Ranking1[[#This Row],[FME ID]],FME_Input[FME_ID],FME_Input[RFPG_NUM])</f>
        <v>4</v>
      </c>
      <c r="C64" t="str">
        <f>_xlfn.XLOOKUP(FME_Ranking1[[#This Row],[FME ID]],FME_Input[FME_ID],FME_Input[FME_NAME])</f>
        <v>Feasibility Assessment and Conceptual Design of Dredging of Segments of Adams Bayou</v>
      </c>
      <c r="D64" t="str">
        <f>_xlfn.XLOOKUP(FME_Ranking1[[#This Row],[FME ID]],FME_Input[FME_ID],FME_Input[DESCR])</f>
        <v xml:space="preserve">H&amp;H Study and Modeling for Feasibility Assessment_x000D_
of Dredging of Segments of Adams Bayou </v>
      </c>
      <c r="E64" s="256">
        <f>_xlfn.XLOOKUP(FME_Ranking1[[#This Row],[FME ID]],FME_Input[FME_ID],FME_Input[FME_COST])</f>
        <v>2000000</v>
      </c>
      <c r="F64" t="str">
        <f>_xlfn.XLOOKUP(FME_Ranking1[[#This Row],[FME ID]],FME_Input[FME_ID],FME_Input[EMER_NEED])</f>
        <v>Yes</v>
      </c>
      <c r="G64">
        <f>IF(FME_Ranking!F64="Yes",100,0)</f>
        <v>100</v>
      </c>
      <c r="H64">
        <f>FME_Ranking1[[#This Row],[Emergency Need Score (Normalized, Unweighted)]]*$F$3</f>
        <v>0</v>
      </c>
      <c r="I64" s="246">
        <f>_xlfn.XLOOKUP(FME_Ranking1[[#This Row],[FME ID]],FME_Input[FME_ID],FME_Input[STRUCT_100])</f>
        <v>10571</v>
      </c>
      <c r="J64" s="178">
        <f>(FME_Ranking1[[#This Row],[Structures 100 Raw]]/I$2)*100</f>
        <v>5.6606905710491366</v>
      </c>
      <c r="K64" s="178">
        <f>FME_Ranking1[[#This Row],[Structures 100  Score (Normalized, Unweighted)]]*$I$3</f>
        <v>0.84910358565737043</v>
      </c>
      <c r="L64" s="246">
        <f>_xlfn.XLOOKUP(FME_Ranking1[[#This Row],[FME ID]],FME_Input[FME_ID],FME_Input[RES_STRUCT100])</f>
        <v>8463</v>
      </c>
      <c r="M64" s="230">
        <f>(FME_Ranking1[[#This Row],[Res Structures Raw]]/L$2)*100</f>
        <v>5.9943902197163945</v>
      </c>
      <c r="N64" s="180">
        <f>FME_Ranking1[[#This Row],[Res Structures Score (Normalized, Unweighted)]]*$L$3</f>
        <v>0.59943902197163945</v>
      </c>
      <c r="O64" s="244">
        <f>_xlfn.XLOOKUP(FME_Ranking1[[#This Row],[FME ID]],FME_Input[FME_ID],FME_Input[POP100])</f>
        <v>29689</v>
      </c>
      <c r="P64" s="178">
        <f>(FME_Ranking1[[#This Row],[Pop Raw]]/$O$2)*100</f>
        <v>3.0394206376343931</v>
      </c>
      <c r="Q64" s="178">
        <f>FME_Ranking1[[#This Row],[Pop Score (Normalized, Unweighted)]]*$O$3</f>
        <v>0.45591309564515892</v>
      </c>
      <c r="R64" s="137">
        <f>_xlfn.XLOOKUP(FME_Ranking1[[#This Row],[FME ID]],FME_Input[FME_ID],FME_Input[CRITFAC100])</f>
        <v>306</v>
      </c>
      <c r="S64" s="230">
        <f>(FME_Ranking1[[#This Row],[Critical Facilities Raw]]/$R$2)*100</f>
        <v>13.121783876500858</v>
      </c>
      <c r="T64" s="180">
        <f>FME_Ranking1[[#This Row],[Critical Facilities Score (Normalized, Unweighted)]]*$R$3</f>
        <v>2.6243567753001718</v>
      </c>
      <c r="U64">
        <f>_xlfn.XLOOKUP(FME_Ranking1[[#This Row],[FME ID]],FME_Input[FME_ID],FME_Input[LWC])</f>
        <v>15</v>
      </c>
      <c r="V64" s="178">
        <f>(FME_Ranking1[[#This Row],[LWC Raw]]/$U$2)*100</f>
        <v>0.86355785837651122</v>
      </c>
      <c r="W64" s="178">
        <f>FME_Ranking1[[#This Row],[LWC Score (Normalized, Unweighted)]]*$U$3</f>
        <v>0.17271157167530227</v>
      </c>
      <c r="X64" s="246">
        <f>_xlfn.XLOOKUP(FME_Ranking1[[#This Row],[FME ID]],FME_Input[FME_ID],FME_Input[ROADCLS])</f>
        <v>15</v>
      </c>
      <c r="Y64" s="230">
        <f>(FME_Ranking1[[#This Row],[Closures Raw]]/$X$2)*100</f>
        <v>0.15771212280517297</v>
      </c>
      <c r="Z64" s="180">
        <f>FME_Ranking1[[#This Row],[Closures Score (Normalized, Unweighted)]]*$X$3</f>
        <v>7.8856061402586483E-3</v>
      </c>
      <c r="AA64" s="253">
        <f>_xlfn.XLOOKUP(FME_Ranking1[[#This Row],[FME ID]],FME_Input[FME_ID],FME_Input[ROAD_MILES100])</f>
        <v>239.6927795410156</v>
      </c>
      <c r="AB64" s="178">
        <f>(FME_Ranking1[[#This Row],[Miles Raw]]/$AA$2)*100</f>
        <v>3.1515301417817061</v>
      </c>
      <c r="AC64" s="178">
        <f>FME_Ranking1[[#This Row],[Miles Score (Normalized, Unweighted)]]*$AA$3</f>
        <v>0.31515301417817065</v>
      </c>
      <c r="AD64" s="255">
        <f>_xlfn.XLOOKUP(FME_Ranking1[[#This Row],[FME ID]],FME_Input[FME_ID],FME_Input[FARMACRE100])</f>
        <v>9260.3798828125</v>
      </c>
      <c r="AE64" s="230">
        <f>(FME_Ranking1[[#This Row],[Ag Land Raw]]/$AD$2)*100</f>
        <v>0.38185661224247641</v>
      </c>
      <c r="AF64" s="231">
        <f>FME_Ranking1[[#This Row],[Ag Land Score (Normalized, Unweighted)]]*$AD$3</f>
        <v>1.9092830612123822E-2</v>
      </c>
      <c r="AG6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5.0436555011801953</v>
      </c>
      <c r="AH64" s="406">
        <f t="shared" si="0"/>
        <v>59</v>
      </c>
      <c r="AI6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5.0436555011801953</v>
      </c>
      <c r="AJ64" s="257">
        <f>FME_Ranking1[[#This Row],[Addition check]]-FME_Ranking1[[#This Row],[Weighted Score Based on Normalized Reported Factors]]</f>
        <v>0</v>
      </c>
      <c r="AK64" s="178">
        <f>_xlfn.RANK.EQ(AI64,$AI$6:$AI$2341,0)+COUNTIF($AI$6:AI64,AI64)-1</f>
        <v>59</v>
      </c>
    </row>
    <row r="65" spans="1:37" ht="12" customHeight="1" x14ac:dyDescent="0.25">
      <c r="A65" t="s">
        <v>5674</v>
      </c>
      <c r="B65">
        <f>_xlfn.XLOOKUP(FME_Ranking1[[#This Row],[FME ID]],FME_Input[FME_ID],FME_Input[RFPG_NUM])</f>
        <v>4</v>
      </c>
      <c r="C65" t="str">
        <f>_xlfn.XLOOKUP(FME_Ranking1[[#This Row],[FME ID]],FME_Input[FME_ID],FME_Input[FME_NAME])</f>
        <v>Feasibility Assessment and Conceptual Design of Dredging of Segments of Little Cypress Bayou</v>
      </c>
      <c r="D65" t="str">
        <f>_xlfn.XLOOKUP(FME_Ranking1[[#This Row],[FME ID]],FME_Input[FME_ID],FME_Input[DESCR])</f>
        <v xml:space="preserve">H&amp;H Study and Modeling for Feasibility Assessment of Dredging of Segments of LIttle Cypress Bayou </v>
      </c>
      <c r="E65" s="256">
        <f>_xlfn.XLOOKUP(FME_Ranking1[[#This Row],[FME ID]],FME_Input[FME_ID],FME_Input[FME_COST])</f>
        <v>1000000</v>
      </c>
      <c r="F65" t="str">
        <f>_xlfn.XLOOKUP(FME_Ranking1[[#This Row],[FME ID]],FME_Input[FME_ID],FME_Input[EMER_NEED])</f>
        <v>Yes</v>
      </c>
      <c r="G65">
        <f>IF(FME_Ranking!F65="Yes",100,0)</f>
        <v>100</v>
      </c>
      <c r="H65">
        <f>FME_Ranking1[[#This Row],[Emergency Need Score (Normalized, Unweighted)]]*$F$3</f>
        <v>0</v>
      </c>
      <c r="I65" s="246">
        <f>_xlfn.XLOOKUP(FME_Ranking1[[#This Row],[FME ID]],FME_Input[FME_ID],FME_Input[STRUCT_100])</f>
        <v>10571</v>
      </c>
      <c r="J65" s="178">
        <f>(FME_Ranking1[[#This Row],[Structures 100 Raw]]/I$2)*100</f>
        <v>5.6606905710491366</v>
      </c>
      <c r="K65" s="178">
        <f>FME_Ranking1[[#This Row],[Structures 100  Score (Normalized, Unweighted)]]*$I$3</f>
        <v>0.84910358565737043</v>
      </c>
      <c r="L65" s="246">
        <f>_xlfn.XLOOKUP(FME_Ranking1[[#This Row],[FME ID]],FME_Input[FME_ID],FME_Input[RES_STRUCT100])</f>
        <v>8463</v>
      </c>
      <c r="M65" s="230">
        <f>(FME_Ranking1[[#This Row],[Res Structures Raw]]/L$2)*100</f>
        <v>5.9943902197163945</v>
      </c>
      <c r="N65" s="180">
        <f>FME_Ranking1[[#This Row],[Res Structures Score (Normalized, Unweighted)]]*$L$3</f>
        <v>0.59943902197163945</v>
      </c>
      <c r="O65" s="244">
        <f>_xlfn.XLOOKUP(FME_Ranking1[[#This Row],[FME ID]],FME_Input[FME_ID],FME_Input[POP100])</f>
        <v>29689</v>
      </c>
      <c r="P65" s="178">
        <f>(FME_Ranking1[[#This Row],[Pop Raw]]/$O$2)*100</f>
        <v>3.0394206376343931</v>
      </c>
      <c r="Q65" s="178">
        <f>FME_Ranking1[[#This Row],[Pop Score (Normalized, Unweighted)]]*$O$3</f>
        <v>0.45591309564515892</v>
      </c>
      <c r="R65" s="137">
        <f>_xlfn.XLOOKUP(FME_Ranking1[[#This Row],[FME ID]],FME_Input[FME_ID],FME_Input[CRITFAC100])</f>
        <v>306</v>
      </c>
      <c r="S65" s="230">
        <f>(FME_Ranking1[[#This Row],[Critical Facilities Raw]]/$R$2)*100</f>
        <v>13.121783876500858</v>
      </c>
      <c r="T65" s="180">
        <f>FME_Ranking1[[#This Row],[Critical Facilities Score (Normalized, Unweighted)]]*$R$3</f>
        <v>2.6243567753001718</v>
      </c>
      <c r="U65">
        <f>_xlfn.XLOOKUP(FME_Ranking1[[#This Row],[FME ID]],FME_Input[FME_ID],FME_Input[LWC])</f>
        <v>15</v>
      </c>
      <c r="V65" s="178">
        <f>(FME_Ranking1[[#This Row],[LWC Raw]]/$U$2)*100</f>
        <v>0.86355785837651122</v>
      </c>
      <c r="W65" s="178">
        <f>FME_Ranking1[[#This Row],[LWC Score (Normalized, Unweighted)]]*$U$3</f>
        <v>0.17271157167530227</v>
      </c>
      <c r="X65" s="246">
        <f>_xlfn.XLOOKUP(FME_Ranking1[[#This Row],[FME ID]],FME_Input[FME_ID],FME_Input[ROADCLS])</f>
        <v>15</v>
      </c>
      <c r="Y65" s="230">
        <f>(FME_Ranking1[[#This Row],[Closures Raw]]/$X$2)*100</f>
        <v>0.15771212280517297</v>
      </c>
      <c r="Z65" s="180">
        <f>FME_Ranking1[[#This Row],[Closures Score (Normalized, Unweighted)]]*$X$3</f>
        <v>7.8856061402586483E-3</v>
      </c>
      <c r="AA65" s="253">
        <f>_xlfn.XLOOKUP(FME_Ranking1[[#This Row],[FME ID]],FME_Input[FME_ID],FME_Input[ROAD_MILES100])</f>
        <v>239.6927795410156</v>
      </c>
      <c r="AB65" s="178">
        <f>(FME_Ranking1[[#This Row],[Miles Raw]]/$AA$2)*100</f>
        <v>3.1515301417817061</v>
      </c>
      <c r="AC65" s="178">
        <f>FME_Ranking1[[#This Row],[Miles Score (Normalized, Unweighted)]]*$AA$3</f>
        <v>0.31515301417817065</v>
      </c>
      <c r="AD65" s="255">
        <f>_xlfn.XLOOKUP(FME_Ranking1[[#This Row],[FME ID]],FME_Input[FME_ID],FME_Input[FARMACRE100])</f>
        <v>9260.3798828125</v>
      </c>
      <c r="AE65" s="230">
        <f>(FME_Ranking1[[#This Row],[Ag Land Raw]]/$AD$2)*100</f>
        <v>0.38185661224247641</v>
      </c>
      <c r="AF65" s="231">
        <f>FME_Ranking1[[#This Row],[Ag Land Score (Normalized, Unweighted)]]*$AD$3</f>
        <v>1.9092830612123822E-2</v>
      </c>
      <c r="AG6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5.0436555011801953</v>
      </c>
      <c r="AH65" s="406">
        <f t="shared" si="0"/>
        <v>59</v>
      </c>
      <c r="AI6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5.0436555011801953</v>
      </c>
      <c r="AJ65" s="257">
        <f>FME_Ranking1[[#This Row],[Addition check]]-FME_Ranking1[[#This Row],[Weighted Score Based on Normalized Reported Factors]]</f>
        <v>0</v>
      </c>
      <c r="AK65" s="178">
        <f>_xlfn.RANK.EQ(AI65,$AI$6:$AI$2341,0)+COUNTIF($AI$6:AI65,AI65)-1</f>
        <v>60</v>
      </c>
    </row>
    <row r="66" spans="1:37" ht="12" customHeight="1" x14ac:dyDescent="0.25">
      <c r="A66" t="s">
        <v>5702</v>
      </c>
      <c r="B66">
        <f>_xlfn.XLOOKUP(FME_Ranking1[[#This Row],[FME ID]],FME_Input[FME_ID],FME_Input[RFPG_NUM])</f>
        <v>4</v>
      </c>
      <c r="C66" t="str">
        <f>_xlfn.XLOOKUP(FME_Ranking1[[#This Row],[FME ID]],FME_Input[FME_ID],FME_Input[FME_NAME])</f>
        <v>Adams Bayou Detention Ponds Study</v>
      </c>
      <c r="D66" t="str">
        <f>_xlfn.XLOOKUP(FME_Ranking1[[#This Row],[FME ID]],FME_Input[FME_ID],FME_Input[DESCR])</f>
        <v>Flood Protection Planning Study Cow Bayou &amp; Adams Bayou Alternative</v>
      </c>
      <c r="E66" s="256">
        <f>_xlfn.XLOOKUP(FME_Ranking1[[#This Row],[FME ID]],FME_Input[FME_ID],FME_Input[FME_COST])</f>
        <v>600000</v>
      </c>
      <c r="F66" t="str">
        <f>_xlfn.XLOOKUP(FME_Ranking1[[#This Row],[FME ID]],FME_Input[FME_ID],FME_Input[EMER_NEED])</f>
        <v>Yes</v>
      </c>
      <c r="G66">
        <f>IF(FME_Ranking!F66="Yes",100,0)</f>
        <v>100</v>
      </c>
      <c r="H66">
        <f>FME_Ranking1[[#This Row],[Emergency Need Score (Normalized, Unweighted)]]*$F$3</f>
        <v>0</v>
      </c>
      <c r="I66" s="246">
        <f>_xlfn.XLOOKUP(FME_Ranking1[[#This Row],[FME ID]],FME_Input[FME_ID],FME_Input[STRUCT_100])</f>
        <v>10571</v>
      </c>
      <c r="J66" s="178">
        <f>(FME_Ranking1[[#This Row],[Structures 100 Raw]]/I$2)*100</f>
        <v>5.6606905710491366</v>
      </c>
      <c r="K66" s="178">
        <f>FME_Ranking1[[#This Row],[Structures 100  Score (Normalized, Unweighted)]]*$I$3</f>
        <v>0.84910358565737043</v>
      </c>
      <c r="L66" s="246">
        <f>_xlfn.XLOOKUP(FME_Ranking1[[#This Row],[FME ID]],FME_Input[FME_ID],FME_Input[RES_STRUCT100])</f>
        <v>8463</v>
      </c>
      <c r="M66" s="230">
        <f>(FME_Ranking1[[#This Row],[Res Structures Raw]]/L$2)*100</f>
        <v>5.9943902197163945</v>
      </c>
      <c r="N66" s="180">
        <f>FME_Ranking1[[#This Row],[Res Structures Score (Normalized, Unweighted)]]*$L$3</f>
        <v>0.59943902197163945</v>
      </c>
      <c r="O66" s="244">
        <f>_xlfn.XLOOKUP(FME_Ranking1[[#This Row],[FME ID]],FME_Input[FME_ID],FME_Input[POP100])</f>
        <v>29689</v>
      </c>
      <c r="P66" s="178">
        <f>(FME_Ranking1[[#This Row],[Pop Raw]]/$O$2)*100</f>
        <v>3.0394206376343931</v>
      </c>
      <c r="Q66" s="178">
        <f>FME_Ranking1[[#This Row],[Pop Score (Normalized, Unweighted)]]*$O$3</f>
        <v>0.45591309564515892</v>
      </c>
      <c r="R66" s="137">
        <f>_xlfn.XLOOKUP(FME_Ranking1[[#This Row],[FME ID]],FME_Input[FME_ID],FME_Input[CRITFAC100])</f>
        <v>306</v>
      </c>
      <c r="S66" s="230">
        <f>(FME_Ranking1[[#This Row],[Critical Facilities Raw]]/$R$2)*100</f>
        <v>13.121783876500858</v>
      </c>
      <c r="T66" s="180">
        <f>FME_Ranking1[[#This Row],[Critical Facilities Score (Normalized, Unweighted)]]*$R$3</f>
        <v>2.6243567753001718</v>
      </c>
      <c r="U66">
        <f>_xlfn.XLOOKUP(FME_Ranking1[[#This Row],[FME ID]],FME_Input[FME_ID],FME_Input[LWC])</f>
        <v>15</v>
      </c>
      <c r="V66" s="178">
        <f>(FME_Ranking1[[#This Row],[LWC Raw]]/$U$2)*100</f>
        <v>0.86355785837651122</v>
      </c>
      <c r="W66" s="178">
        <f>FME_Ranking1[[#This Row],[LWC Score (Normalized, Unweighted)]]*$U$3</f>
        <v>0.17271157167530227</v>
      </c>
      <c r="X66" s="246">
        <f>_xlfn.XLOOKUP(FME_Ranking1[[#This Row],[FME ID]],FME_Input[FME_ID],FME_Input[ROADCLS])</f>
        <v>15</v>
      </c>
      <c r="Y66" s="230">
        <f>(FME_Ranking1[[#This Row],[Closures Raw]]/$X$2)*100</f>
        <v>0.15771212280517297</v>
      </c>
      <c r="Z66" s="180">
        <f>FME_Ranking1[[#This Row],[Closures Score (Normalized, Unweighted)]]*$X$3</f>
        <v>7.8856061402586483E-3</v>
      </c>
      <c r="AA66" s="253">
        <f>_xlfn.XLOOKUP(FME_Ranking1[[#This Row],[FME ID]],FME_Input[FME_ID],FME_Input[ROAD_MILES100])</f>
        <v>239.6927795410156</v>
      </c>
      <c r="AB66" s="178">
        <f>(FME_Ranking1[[#This Row],[Miles Raw]]/$AA$2)*100</f>
        <v>3.1515301417817061</v>
      </c>
      <c r="AC66" s="178">
        <f>FME_Ranking1[[#This Row],[Miles Score (Normalized, Unweighted)]]*$AA$3</f>
        <v>0.31515301417817065</v>
      </c>
      <c r="AD66" s="255">
        <f>_xlfn.XLOOKUP(FME_Ranking1[[#This Row],[FME ID]],FME_Input[FME_ID],FME_Input[FARMACRE100])</f>
        <v>9260.3798828125</v>
      </c>
      <c r="AE66" s="230">
        <f>(FME_Ranking1[[#This Row],[Ag Land Raw]]/$AD$2)*100</f>
        <v>0.38185661224247641</v>
      </c>
      <c r="AF66" s="231">
        <f>FME_Ranking1[[#This Row],[Ag Land Score (Normalized, Unweighted)]]*$AD$3</f>
        <v>1.9092830612123822E-2</v>
      </c>
      <c r="AG6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5.0436555011801953</v>
      </c>
      <c r="AH66" s="406">
        <f t="shared" si="0"/>
        <v>59</v>
      </c>
      <c r="AI6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5.0436555011801953</v>
      </c>
      <c r="AJ66" s="257">
        <f>FME_Ranking1[[#This Row],[Addition check]]-FME_Ranking1[[#This Row],[Weighted Score Based on Normalized Reported Factors]]</f>
        <v>0</v>
      </c>
      <c r="AK66" s="178">
        <f>_xlfn.RANK.EQ(AI66,$AI$6:$AI$2341,0)+COUNTIF($AI$6:AI66,AI66)-1</f>
        <v>61</v>
      </c>
    </row>
    <row r="67" spans="1:37" ht="12" customHeight="1" x14ac:dyDescent="0.25">
      <c r="A67" t="s">
        <v>9853</v>
      </c>
      <c r="B67">
        <f>_xlfn.XLOOKUP(FME_Ranking1[[#This Row],[FME ID]],FME_Input[FME_ID],FME_Input[RFPG_NUM])</f>
        <v>12</v>
      </c>
      <c r="C67" t="str">
        <f>_xlfn.XLOOKUP(FME_Ranking1[[#This Row],[FME ID]],FME_Input[FME_ID],FME_Input[FME_NAME])</f>
        <v>Master Drainage Plan for Bexar County Unincorporated Areas</v>
      </c>
      <c r="D67" t="str">
        <f>_xlfn.XLOOKUP(FME_Ranking1[[#This Row],[FME ID]],FME_Input[FME_ID],FME_Input[DESCR])</f>
        <v>Engineering master plan to assess flood damage centers for Bexar County unincorporated areas.</v>
      </c>
      <c r="E67" s="256">
        <f>_xlfn.XLOOKUP(FME_Ranking1[[#This Row],[FME ID]],FME_Input[FME_ID],FME_Input[FME_COST])</f>
        <v>150000</v>
      </c>
      <c r="F67" t="str">
        <f>_xlfn.XLOOKUP(FME_Ranking1[[#This Row],[FME ID]],FME_Input[FME_ID],FME_Input[EMER_NEED])</f>
        <v>No</v>
      </c>
      <c r="G67">
        <f>IF(FME_Ranking!F67="Yes",100,0)</f>
        <v>0</v>
      </c>
      <c r="H67">
        <f>FME_Ranking1[[#This Row],[Emergency Need Score (Normalized, Unweighted)]]*$F$3</f>
        <v>0</v>
      </c>
      <c r="I67" s="246">
        <f>_xlfn.XLOOKUP(FME_Ranking1[[#This Row],[FME ID]],FME_Input[FME_ID],FME_Input[STRUCT_100])</f>
        <v>11261</v>
      </c>
      <c r="J67" s="178">
        <f>(FME_Ranking1[[#This Row],[Structures 100 Raw]]/I$2)*100</f>
        <v>6.030180353853404</v>
      </c>
      <c r="K67" s="178">
        <f>FME_Ranking1[[#This Row],[Structures 100  Score (Normalized, Unweighted)]]*$I$3</f>
        <v>0.90452705307801051</v>
      </c>
      <c r="L67" s="246">
        <f>_xlfn.XLOOKUP(FME_Ranking1[[#This Row],[FME ID]],FME_Input[FME_ID],FME_Input[RES_STRUCT100])</f>
        <v>8306</v>
      </c>
      <c r="M67" s="230">
        <f>(FME_Ranking1[[#This Row],[Res Structures Raw]]/L$2)*100</f>
        <v>5.8831862418721927</v>
      </c>
      <c r="N67" s="180">
        <f>FME_Ranking1[[#This Row],[Res Structures Score (Normalized, Unweighted)]]*$L$3</f>
        <v>0.58831862418721925</v>
      </c>
      <c r="O67" s="244">
        <f>_xlfn.XLOOKUP(FME_Ranking1[[#This Row],[FME ID]],FME_Input[FME_ID],FME_Input[POP100])</f>
        <v>52002</v>
      </c>
      <c r="P67" s="178">
        <f>(FME_Ranking1[[#This Row],[Pop Raw]]/$O$2)*100</f>
        <v>5.3237209740396683</v>
      </c>
      <c r="Q67" s="178">
        <f>FME_Ranking1[[#This Row],[Pop Score (Normalized, Unweighted)]]*$O$3</f>
        <v>0.79855814610595022</v>
      </c>
      <c r="R67" s="137">
        <f>_xlfn.XLOOKUP(FME_Ranking1[[#This Row],[FME ID]],FME_Input[FME_ID],FME_Input[CRITFAC100])</f>
        <v>0</v>
      </c>
      <c r="S67" s="230">
        <f>(FME_Ranking1[[#This Row],[Critical Facilities Raw]]/$R$2)*100</f>
        <v>0</v>
      </c>
      <c r="T67" s="180">
        <f>FME_Ranking1[[#This Row],[Critical Facilities Score (Normalized, Unweighted)]]*$R$3</f>
        <v>0</v>
      </c>
      <c r="U67">
        <f>_xlfn.XLOOKUP(FME_Ranking1[[#This Row],[FME ID]],FME_Input[FME_ID],FME_Input[LWC])</f>
        <v>0</v>
      </c>
      <c r="V67" s="178">
        <f>(FME_Ranking1[[#This Row],[LWC Raw]]/$U$2)*100</f>
        <v>0</v>
      </c>
      <c r="W67" s="178">
        <f>FME_Ranking1[[#This Row],[LWC Score (Normalized, Unweighted)]]*$U$3</f>
        <v>0</v>
      </c>
      <c r="X67" s="246">
        <f>_xlfn.XLOOKUP(FME_Ranking1[[#This Row],[FME ID]],FME_Input[FME_ID],FME_Input[ROADCLS])</f>
        <v>4535</v>
      </c>
      <c r="Y67" s="230">
        <f>(FME_Ranking1[[#This Row],[Closures Raw]]/$X$2)*100</f>
        <v>47.681631794763959</v>
      </c>
      <c r="Z67" s="180">
        <f>FME_Ranking1[[#This Row],[Closures Score (Normalized, Unweighted)]]*$X$3</f>
        <v>2.3840815897381979</v>
      </c>
      <c r="AA67" s="253">
        <f>_xlfn.XLOOKUP(FME_Ranking1[[#This Row],[FME ID]],FME_Input[FME_ID],FME_Input[ROAD_MILES100])</f>
        <v>353.02999877929688</v>
      </c>
      <c r="AB67" s="178">
        <f>(FME_Ranking1[[#This Row],[Miles Raw]]/$AA$2)*100</f>
        <v>4.6417112949192134</v>
      </c>
      <c r="AC67" s="178">
        <f>FME_Ranking1[[#This Row],[Miles Score (Normalized, Unweighted)]]*$AA$3</f>
        <v>0.46417112949192135</v>
      </c>
      <c r="AD67" s="255">
        <f>_xlfn.XLOOKUP(FME_Ranking1[[#This Row],[FME ID]],FME_Input[FME_ID],FME_Input[FARMACRE100])</f>
        <v>7583.35986328125</v>
      </c>
      <c r="AE67" s="230">
        <f>(FME_Ranking1[[#This Row],[Ag Land Raw]]/$AD$2)*100</f>
        <v>0.31270381382331236</v>
      </c>
      <c r="AF67" s="231">
        <f>FME_Ranking1[[#This Row],[Ag Land Score (Normalized, Unweighted)]]*$AD$3</f>
        <v>1.5635190691165618E-2</v>
      </c>
      <c r="AG6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5.155291733292465</v>
      </c>
      <c r="AH67" s="406">
        <f t="shared" si="0"/>
        <v>55</v>
      </c>
      <c r="AI6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5.155291733292465</v>
      </c>
      <c r="AJ67" s="257">
        <f>FME_Ranking1[[#This Row],[Addition check]]-FME_Ranking1[[#This Row],[Weighted Score Based on Normalized Reported Factors]]</f>
        <v>0</v>
      </c>
      <c r="AK67" s="178">
        <f>_xlfn.RANK.EQ(AI67,$AI$6:$AI$2341,0)+COUNTIF($AI$6:AI67,AI67)-1</f>
        <v>55</v>
      </c>
    </row>
    <row r="68" spans="1:37" ht="12" customHeight="1" x14ac:dyDescent="0.25">
      <c r="A68" t="s">
        <v>9861</v>
      </c>
      <c r="B68">
        <f>_xlfn.XLOOKUP(FME_Ranking1[[#This Row],[FME ID]],FME_Input[FME_ID],FME_Input[RFPG_NUM])</f>
        <v>12</v>
      </c>
      <c r="C68" t="str">
        <f>_xlfn.XLOOKUP(FME_Ranking1[[#This Row],[FME ID]],FME_Input[FME_ID],FME_Input[FME_NAME])</f>
        <v>Master Drainage Plan for Bexar County HALT Low Water</v>
      </c>
      <c r="D68" t="str">
        <f>_xlfn.XLOOKUP(FME_Ranking1[[#This Row],[FME ID]],FME_Input[FME_ID],FME_Input[DESCR])</f>
        <v>Engineering master plan to assess existing HALT sites for drainage improvements.</v>
      </c>
      <c r="E68" s="256">
        <f>_xlfn.XLOOKUP(FME_Ranking1[[#This Row],[FME ID]],FME_Input[FME_ID],FME_Input[FME_COST])</f>
        <v>150000</v>
      </c>
      <c r="F68" t="str">
        <f>_xlfn.XLOOKUP(FME_Ranking1[[#This Row],[FME ID]],FME_Input[FME_ID],FME_Input[EMER_NEED])</f>
        <v>No</v>
      </c>
      <c r="G68">
        <f>IF(FME_Ranking!F68="Yes",100,0)</f>
        <v>0</v>
      </c>
      <c r="H68">
        <f>FME_Ranking1[[#This Row],[Emergency Need Score (Normalized, Unweighted)]]*$F$3</f>
        <v>0</v>
      </c>
      <c r="I68" s="246">
        <f>_xlfn.XLOOKUP(FME_Ranking1[[#This Row],[FME ID]],FME_Input[FME_ID],FME_Input[STRUCT_100])</f>
        <v>11261</v>
      </c>
      <c r="J68" s="178">
        <f>(FME_Ranking1[[#This Row],[Structures 100 Raw]]/I$2)*100</f>
        <v>6.030180353853404</v>
      </c>
      <c r="K68" s="178">
        <f>FME_Ranking1[[#This Row],[Structures 100  Score (Normalized, Unweighted)]]*$I$3</f>
        <v>0.90452705307801051</v>
      </c>
      <c r="L68" s="246">
        <f>_xlfn.XLOOKUP(FME_Ranking1[[#This Row],[FME ID]],FME_Input[FME_ID],FME_Input[RES_STRUCT100])</f>
        <v>8306</v>
      </c>
      <c r="M68" s="230">
        <f>(FME_Ranking1[[#This Row],[Res Structures Raw]]/L$2)*100</f>
        <v>5.8831862418721927</v>
      </c>
      <c r="N68" s="180">
        <f>FME_Ranking1[[#This Row],[Res Structures Score (Normalized, Unweighted)]]*$L$3</f>
        <v>0.58831862418721925</v>
      </c>
      <c r="O68" s="244">
        <f>_xlfn.XLOOKUP(FME_Ranking1[[#This Row],[FME ID]],FME_Input[FME_ID],FME_Input[POP100])</f>
        <v>52002</v>
      </c>
      <c r="P68" s="178">
        <f>(FME_Ranking1[[#This Row],[Pop Raw]]/$O$2)*100</f>
        <v>5.3237209740396683</v>
      </c>
      <c r="Q68" s="178">
        <f>FME_Ranking1[[#This Row],[Pop Score (Normalized, Unweighted)]]*$O$3</f>
        <v>0.79855814610595022</v>
      </c>
      <c r="R68" s="137">
        <f>_xlfn.XLOOKUP(FME_Ranking1[[#This Row],[FME ID]],FME_Input[FME_ID],FME_Input[CRITFAC100])</f>
        <v>0</v>
      </c>
      <c r="S68" s="230">
        <f>(FME_Ranking1[[#This Row],[Critical Facilities Raw]]/$R$2)*100</f>
        <v>0</v>
      </c>
      <c r="T68" s="180">
        <f>FME_Ranking1[[#This Row],[Critical Facilities Score (Normalized, Unweighted)]]*$R$3</f>
        <v>0</v>
      </c>
      <c r="U68">
        <f>_xlfn.XLOOKUP(FME_Ranking1[[#This Row],[FME ID]],FME_Input[FME_ID],FME_Input[LWC])</f>
        <v>0</v>
      </c>
      <c r="V68" s="178">
        <f>(FME_Ranking1[[#This Row],[LWC Raw]]/$U$2)*100</f>
        <v>0</v>
      </c>
      <c r="W68" s="178">
        <f>FME_Ranking1[[#This Row],[LWC Score (Normalized, Unweighted)]]*$U$3</f>
        <v>0</v>
      </c>
      <c r="X68" s="246">
        <f>_xlfn.XLOOKUP(FME_Ranking1[[#This Row],[FME ID]],FME_Input[FME_ID],FME_Input[ROADCLS])</f>
        <v>4535</v>
      </c>
      <c r="Y68" s="230">
        <f>(FME_Ranking1[[#This Row],[Closures Raw]]/$X$2)*100</f>
        <v>47.681631794763959</v>
      </c>
      <c r="Z68" s="180">
        <f>FME_Ranking1[[#This Row],[Closures Score (Normalized, Unweighted)]]*$X$3</f>
        <v>2.3840815897381979</v>
      </c>
      <c r="AA68" s="253">
        <f>_xlfn.XLOOKUP(FME_Ranking1[[#This Row],[FME ID]],FME_Input[FME_ID],FME_Input[ROAD_MILES100])</f>
        <v>353.02999877929688</v>
      </c>
      <c r="AB68" s="178">
        <f>(FME_Ranking1[[#This Row],[Miles Raw]]/$AA$2)*100</f>
        <v>4.6417112949192134</v>
      </c>
      <c r="AC68" s="178">
        <f>FME_Ranking1[[#This Row],[Miles Score (Normalized, Unweighted)]]*$AA$3</f>
        <v>0.46417112949192135</v>
      </c>
      <c r="AD68" s="255">
        <f>_xlfn.XLOOKUP(FME_Ranking1[[#This Row],[FME ID]],FME_Input[FME_ID],FME_Input[FARMACRE100])</f>
        <v>7583.35986328125</v>
      </c>
      <c r="AE68" s="230">
        <f>(FME_Ranking1[[#This Row],[Ag Land Raw]]/$AD$2)*100</f>
        <v>0.31270381382331236</v>
      </c>
      <c r="AF68" s="231">
        <f>FME_Ranking1[[#This Row],[Ag Land Score (Normalized, Unweighted)]]*$AD$3</f>
        <v>1.5635190691165618E-2</v>
      </c>
      <c r="AG6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5.155291733292465</v>
      </c>
      <c r="AH68" s="406">
        <f t="shared" si="0"/>
        <v>55</v>
      </c>
      <c r="AI6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5.155291733292465</v>
      </c>
      <c r="AJ68" s="257">
        <f>FME_Ranking1[[#This Row],[Addition check]]-FME_Ranking1[[#This Row],[Weighted Score Based on Normalized Reported Factors]]</f>
        <v>0</v>
      </c>
      <c r="AK68" s="178">
        <f>_xlfn.RANK.EQ(AI68,$AI$6:$AI$2341,0)+COUNTIF($AI$6:AI68,AI68)-1</f>
        <v>56</v>
      </c>
    </row>
    <row r="69" spans="1:37" ht="12" customHeight="1" x14ac:dyDescent="0.25">
      <c r="A69" t="s">
        <v>9881</v>
      </c>
      <c r="B69">
        <f>_xlfn.XLOOKUP(FME_Ranking1[[#This Row],[FME ID]],FME_Input[FME_ID],FME_Input[RFPG_NUM])</f>
        <v>12</v>
      </c>
      <c r="C69" t="str">
        <f>_xlfn.XLOOKUP(FME_Ranking1[[#This Row],[FME ID]],FME_Input[FME_ID],FME_Input[FME_NAME])</f>
        <v>Bexar County LWC Engineering Study</v>
      </c>
      <c r="D69" t="str">
        <f>_xlfn.XLOOKUP(FME_Ranking1[[#This Row],[FME ID]],FME_Input[FME_ID],FME_Input[DESCR])</f>
        <v>Engineering Study to evaluate seven LWC upgrades.</v>
      </c>
      <c r="E69" s="256">
        <f>_xlfn.XLOOKUP(FME_Ranking1[[#This Row],[FME ID]],FME_Input[FME_ID],FME_Input[FME_COST])</f>
        <v>300000</v>
      </c>
      <c r="F69" t="str">
        <f>_xlfn.XLOOKUP(FME_Ranking1[[#This Row],[FME ID]],FME_Input[FME_ID],FME_Input[EMER_NEED])</f>
        <v>Yes</v>
      </c>
      <c r="G69">
        <f>IF(FME_Ranking!F69="Yes",100,0)</f>
        <v>100</v>
      </c>
      <c r="H69">
        <f>FME_Ranking1[[#This Row],[Emergency Need Score (Normalized, Unweighted)]]*$F$3</f>
        <v>0</v>
      </c>
      <c r="I69" s="246">
        <f>_xlfn.XLOOKUP(FME_Ranking1[[#This Row],[FME ID]],FME_Input[FME_ID],FME_Input[STRUCT_100])</f>
        <v>11261</v>
      </c>
      <c r="J69" s="178">
        <f>(FME_Ranking1[[#This Row],[Structures 100 Raw]]/I$2)*100</f>
        <v>6.030180353853404</v>
      </c>
      <c r="K69" s="178">
        <f>FME_Ranking1[[#This Row],[Structures 100  Score (Normalized, Unweighted)]]*$I$3</f>
        <v>0.90452705307801051</v>
      </c>
      <c r="L69" s="246">
        <f>_xlfn.XLOOKUP(FME_Ranking1[[#This Row],[FME ID]],FME_Input[FME_ID],FME_Input[RES_STRUCT100])</f>
        <v>8306</v>
      </c>
      <c r="M69" s="230">
        <f>(FME_Ranking1[[#This Row],[Res Structures Raw]]/L$2)*100</f>
        <v>5.8831862418721927</v>
      </c>
      <c r="N69" s="180">
        <f>FME_Ranking1[[#This Row],[Res Structures Score (Normalized, Unweighted)]]*$L$3</f>
        <v>0.58831862418721925</v>
      </c>
      <c r="O69" s="244">
        <f>_xlfn.XLOOKUP(FME_Ranking1[[#This Row],[FME ID]],FME_Input[FME_ID],FME_Input[POP100])</f>
        <v>52002</v>
      </c>
      <c r="P69" s="178">
        <f>(FME_Ranking1[[#This Row],[Pop Raw]]/$O$2)*100</f>
        <v>5.3237209740396683</v>
      </c>
      <c r="Q69" s="178">
        <f>FME_Ranking1[[#This Row],[Pop Score (Normalized, Unweighted)]]*$O$3</f>
        <v>0.79855814610595022</v>
      </c>
      <c r="R69" s="137">
        <f>_xlfn.XLOOKUP(FME_Ranking1[[#This Row],[FME ID]],FME_Input[FME_ID],FME_Input[CRITFAC100])</f>
        <v>0</v>
      </c>
      <c r="S69" s="230">
        <f>(FME_Ranking1[[#This Row],[Critical Facilities Raw]]/$R$2)*100</f>
        <v>0</v>
      </c>
      <c r="T69" s="180">
        <f>FME_Ranking1[[#This Row],[Critical Facilities Score (Normalized, Unweighted)]]*$R$3</f>
        <v>0</v>
      </c>
      <c r="U69">
        <f>_xlfn.XLOOKUP(FME_Ranking1[[#This Row],[FME ID]],FME_Input[FME_ID],FME_Input[LWC])</f>
        <v>0</v>
      </c>
      <c r="V69" s="178">
        <f>(FME_Ranking1[[#This Row],[LWC Raw]]/$U$2)*100</f>
        <v>0</v>
      </c>
      <c r="W69" s="178">
        <f>FME_Ranking1[[#This Row],[LWC Score (Normalized, Unweighted)]]*$U$3</f>
        <v>0</v>
      </c>
      <c r="X69" s="246">
        <f>_xlfn.XLOOKUP(FME_Ranking1[[#This Row],[FME ID]],FME_Input[FME_ID],FME_Input[ROADCLS])</f>
        <v>4535</v>
      </c>
      <c r="Y69" s="230">
        <f>(FME_Ranking1[[#This Row],[Closures Raw]]/$X$2)*100</f>
        <v>47.681631794763959</v>
      </c>
      <c r="Z69" s="180">
        <f>FME_Ranking1[[#This Row],[Closures Score (Normalized, Unweighted)]]*$X$3</f>
        <v>2.3840815897381979</v>
      </c>
      <c r="AA69" s="253">
        <f>_xlfn.XLOOKUP(FME_Ranking1[[#This Row],[FME ID]],FME_Input[FME_ID],FME_Input[ROAD_MILES100])</f>
        <v>353.02999877929688</v>
      </c>
      <c r="AB69" s="178">
        <f>(FME_Ranking1[[#This Row],[Miles Raw]]/$AA$2)*100</f>
        <v>4.6417112949192134</v>
      </c>
      <c r="AC69" s="178">
        <f>FME_Ranking1[[#This Row],[Miles Score (Normalized, Unweighted)]]*$AA$3</f>
        <v>0.46417112949192135</v>
      </c>
      <c r="AD69" s="255">
        <f>_xlfn.XLOOKUP(FME_Ranking1[[#This Row],[FME ID]],FME_Input[FME_ID],FME_Input[FARMACRE100])</f>
        <v>7583.35986328125</v>
      </c>
      <c r="AE69" s="230">
        <f>(FME_Ranking1[[#This Row],[Ag Land Raw]]/$AD$2)*100</f>
        <v>0.31270381382331236</v>
      </c>
      <c r="AF69" s="231">
        <f>FME_Ranking1[[#This Row],[Ag Land Score (Normalized, Unweighted)]]*$AD$3</f>
        <v>1.5635190691165618E-2</v>
      </c>
      <c r="AG6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5.155291733292465</v>
      </c>
      <c r="AH69" s="406">
        <f t="shared" si="0"/>
        <v>55</v>
      </c>
      <c r="AI6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5.155291733292465</v>
      </c>
      <c r="AJ69" s="257">
        <f>FME_Ranking1[[#This Row],[Addition check]]-FME_Ranking1[[#This Row],[Weighted Score Based on Normalized Reported Factors]]</f>
        <v>0</v>
      </c>
      <c r="AK69" s="178">
        <f>_xlfn.RANK.EQ(AI69,$AI$6:$AI$2341,0)+COUNTIF($AI$6:AI69,AI69)-1</f>
        <v>57</v>
      </c>
    </row>
    <row r="70" spans="1:37" ht="12" customHeight="1" x14ac:dyDescent="0.25">
      <c r="A70" t="s">
        <v>9898</v>
      </c>
      <c r="B70">
        <f>_xlfn.XLOOKUP(FME_Ranking1[[#This Row],[FME ID]],FME_Input[FME_ID],FME_Input[RFPG_NUM])</f>
        <v>12</v>
      </c>
      <c r="C70" t="str">
        <f>_xlfn.XLOOKUP(FME_Ranking1[[#This Row],[FME ID]],FME_Input[FME_ID],FME_Input[FME_NAME])</f>
        <v>Bexar County Line LWC Engineering Study</v>
      </c>
      <c r="D70" t="str">
        <f>_xlfn.XLOOKUP(FME_Ranking1[[#This Row],[FME ID]],FME_Input[FME_ID],FME_Input[DESCR])</f>
        <v>Engineering Study to evaluate twelve LWC upgrades at county line</v>
      </c>
      <c r="E70" s="256">
        <f>_xlfn.XLOOKUP(FME_Ranking1[[#This Row],[FME ID]],FME_Input[FME_ID],FME_Input[FME_COST])</f>
        <v>600000</v>
      </c>
      <c r="F70" t="str">
        <f>_xlfn.XLOOKUP(FME_Ranking1[[#This Row],[FME ID]],FME_Input[FME_ID],FME_Input[EMER_NEED])</f>
        <v>Yes</v>
      </c>
      <c r="G70">
        <f>IF(FME_Ranking!F70="Yes",100,0)</f>
        <v>100</v>
      </c>
      <c r="H70">
        <f>FME_Ranking1[[#This Row],[Emergency Need Score (Normalized, Unweighted)]]*$F$3</f>
        <v>0</v>
      </c>
      <c r="I70" s="246">
        <f>_xlfn.XLOOKUP(FME_Ranking1[[#This Row],[FME ID]],FME_Input[FME_ID],FME_Input[STRUCT_100])</f>
        <v>11261</v>
      </c>
      <c r="J70" s="178">
        <f>(FME_Ranking1[[#This Row],[Structures 100 Raw]]/I$2)*100</f>
        <v>6.030180353853404</v>
      </c>
      <c r="K70" s="178">
        <f>FME_Ranking1[[#This Row],[Structures 100  Score (Normalized, Unweighted)]]*$I$3</f>
        <v>0.90452705307801051</v>
      </c>
      <c r="L70" s="246">
        <f>_xlfn.XLOOKUP(FME_Ranking1[[#This Row],[FME ID]],FME_Input[FME_ID],FME_Input[RES_STRUCT100])</f>
        <v>8306</v>
      </c>
      <c r="M70" s="230">
        <f>(FME_Ranking1[[#This Row],[Res Structures Raw]]/L$2)*100</f>
        <v>5.8831862418721927</v>
      </c>
      <c r="N70" s="180">
        <f>FME_Ranking1[[#This Row],[Res Structures Score (Normalized, Unweighted)]]*$L$3</f>
        <v>0.58831862418721925</v>
      </c>
      <c r="O70" s="244">
        <f>_xlfn.XLOOKUP(FME_Ranking1[[#This Row],[FME ID]],FME_Input[FME_ID],FME_Input[POP100])</f>
        <v>52002</v>
      </c>
      <c r="P70" s="178">
        <f>(FME_Ranking1[[#This Row],[Pop Raw]]/$O$2)*100</f>
        <v>5.3237209740396683</v>
      </c>
      <c r="Q70" s="178">
        <f>FME_Ranking1[[#This Row],[Pop Score (Normalized, Unweighted)]]*$O$3</f>
        <v>0.79855814610595022</v>
      </c>
      <c r="R70" s="137">
        <f>_xlfn.XLOOKUP(FME_Ranking1[[#This Row],[FME ID]],FME_Input[FME_ID],FME_Input[CRITFAC100])</f>
        <v>0</v>
      </c>
      <c r="S70" s="230">
        <f>(FME_Ranking1[[#This Row],[Critical Facilities Raw]]/$R$2)*100</f>
        <v>0</v>
      </c>
      <c r="T70" s="180">
        <f>FME_Ranking1[[#This Row],[Critical Facilities Score (Normalized, Unweighted)]]*$R$3</f>
        <v>0</v>
      </c>
      <c r="U70">
        <f>_xlfn.XLOOKUP(FME_Ranking1[[#This Row],[FME ID]],FME_Input[FME_ID],FME_Input[LWC])</f>
        <v>0</v>
      </c>
      <c r="V70" s="178">
        <f>(FME_Ranking1[[#This Row],[LWC Raw]]/$U$2)*100</f>
        <v>0</v>
      </c>
      <c r="W70" s="178">
        <f>FME_Ranking1[[#This Row],[LWC Score (Normalized, Unweighted)]]*$U$3</f>
        <v>0</v>
      </c>
      <c r="X70" s="246">
        <f>_xlfn.XLOOKUP(FME_Ranking1[[#This Row],[FME ID]],FME_Input[FME_ID],FME_Input[ROADCLS])</f>
        <v>4535</v>
      </c>
      <c r="Y70" s="230">
        <f>(FME_Ranking1[[#This Row],[Closures Raw]]/$X$2)*100</f>
        <v>47.681631794763959</v>
      </c>
      <c r="Z70" s="180">
        <f>FME_Ranking1[[#This Row],[Closures Score (Normalized, Unweighted)]]*$X$3</f>
        <v>2.3840815897381979</v>
      </c>
      <c r="AA70" s="253">
        <f>_xlfn.XLOOKUP(FME_Ranking1[[#This Row],[FME ID]],FME_Input[FME_ID],FME_Input[ROAD_MILES100])</f>
        <v>353.02999877929688</v>
      </c>
      <c r="AB70" s="178">
        <f>(FME_Ranking1[[#This Row],[Miles Raw]]/$AA$2)*100</f>
        <v>4.6417112949192134</v>
      </c>
      <c r="AC70" s="178">
        <f>FME_Ranking1[[#This Row],[Miles Score (Normalized, Unweighted)]]*$AA$3</f>
        <v>0.46417112949192135</v>
      </c>
      <c r="AD70" s="255">
        <f>_xlfn.XLOOKUP(FME_Ranking1[[#This Row],[FME ID]],FME_Input[FME_ID],FME_Input[FARMACRE100])</f>
        <v>7583.35986328125</v>
      </c>
      <c r="AE70" s="230">
        <f>(FME_Ranking1[[#This Row],[Ag Land Raw]]/$AD$2)*100</f>
        <v>0.31270381382331236</v>
      </c>
      <c r="AF70" s="231">
        <f>FME_Ranking1[[#This Row],[Ag Land Score (Normalized, Unweighted)]]*$AD$3</f>
        <v>1.5635190691165618E-2</v>
      </c>
      <c r="AG7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5.155291733292465</v>
      </c>
      <c r="AH70" s="406">
        <f t="shared" ref="AH70:AH133" si="1">_xlfn.RANK.EQ(AG70,$AG$6:$AG$2341,0)</f>
        <v>55</v>
      </c>
      <c r="AI7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5.155291733292465</v>
      </c>
      <c r="AJ70" s="257">
        <f>FME_Ranking1[[#This Row],[Addition check]]-FME_Ranking1[[#This Row],[Weighted Score Based on Normalized Reported Factors]]</f>
        <v>0</v>
      </c>
      <c r="AK70" s="178">
        <f>_xlfn.RANK.EQ(AI70,$AI$6:$AI$2341,0)+COUNTIF($AI$6:AI70,AI70)-1</f>
        <v>58</v>
      </c>
    </row>
    <row r="71" spans="1:37" ht="12" customHeight="1" x14ac:dyDescent="0.25">
      <c r="A71" t="s">
        <v>2137</v>
      </c>
      <c r="B71">
        <f>_xlfn.XLOOKUP(FME_Ranking1[[#This Row],[FME ID]],FME_Input[FME_ID],FME_Input[RFPG_NUM])</f>
        <v>6</v>
      </c>
      <c r="C71" t="str">
        <f>_xlfn.XLOOKUP(FME_Ranking1[[#This Row],[FME ID]],FME_Input[FME_ID],FME_Input[FME_NAME])</f>
        <v>Clear Creek - Friendswood Detention Basin Near FM 528 in Friendswood</v>
      </c>
      <c r="D71" t="str">
        <f>_xlfn.XLOOKUP(FME_Ranking1[[#This Row],[FME ID]],FME_Input[FME_ID],FME_Input[DESCR])</f>
        <v>Develop BCA to become a FMP. ROW acquisition, design, and construction of 39 ac stormwater detention basin holding 500 ac-ft near FM 528; Additional solutions include buyouts, improving channel conveyance, and tributary detention.</v>
      </c>
      <c r="E71" s="256">
        <f>_xlfn.XLOOKUP(FME_Ranking1[[#This Row],[FME ID]],FME_Input[FME_ID],FME_Input[FME_COST])</f>
        <v>30000</v>
      </c>
      <c r="F71" t="str">
        <f>_xlfn.XLOOKUP(FME_Ranking1[[#This Row],[FME ID]],FME_Input[FME_ID],FME_Input[EMER_NEED])</f>
        <v>No</v>
      </c>
      <c r="G71">
        <f>IF(FME_Ranking!F71="Yes",100,0)</f>
        <v>0</v>
      </c>
      <c r="H71">
        <f>FME_Ranking1[[#This Row],[Emergency Need Score (Normalized, Unweighted)]]*$F$3</f>
        <v>0</v>
      </c>
      <c r="I71" s="246">
        <f>_xlfn.XLOOKUP(FME_Ranking1[[#This Row],[FME ID]],FME_Input[FME_ID],FME_Input[STRUCT_100])</f>
        <v>14917</v>
      </c>
      <c r="J71" s="178">
        <f>(FME_Ranking1[[#This Row],[Structures 100 Raw]]/I$2)*100</f>
        <v>7.9879407102771705</v>
      </c>
      <c r="K71" s="178">
        <f>FME_Ranking1[[#This Row],[Structures 100  Score (Normalized, Unweighted)]]*$I$3</f>
        <v>1.1981911065415756</v>
      </c>
      <c r="L71" s="246">
        <f>_xlfn.XLOOKUP(FME_Ranking1[[#This Row],[FME ID]],FME_Input[FME_ID],FME_Input[RES_STRUCT100])</f>
        <v>13124</v>
      </c>
      <c r="M71" s="230">
        <f>(FME_Ranking1[[#This Row],[Res Structures Raw]]/L$2)*100</f>
        <v>9.2958025810655744</v>
      </c>
      <c r="N71" s="180">
        <f>FME_Ranking1[[#This Row],[Res Structures Score (Normalized, Unweighted)]]*$L$3</f>
        <v>0.92958025810655753</v>
      </c>
      <c r="O71" s="244">
        <f>_xlfn.XLOOKUP(FME_Ranking1[[#This Row],[FME ID]],FME_Input[FME_ID],FME_Input[POP100])</f>
        <v>72758</v>
      </c>
      <c r="P71" s="178">
        <f>(FME_Ranking1[[#This Row],[Pop Raw]]/$O$2)*100</f>
        <v>7.4486229496784393</v>
      </c>
      <c r="Q71" s="178">
        <f>FME_Ranking1[[#This Row],[Pop Score (Normalized, Unweighted)]]*$O$3</f>
        <v>1.1172934424517658</v>
      </c>
      <c r="R71" s="137">
        <f>_xlfn.XLOOKUP(FME_Ranking1[[#This Row],[FME ID]],FME_Input[FME_ID],FME_Input[CRITFAC100])</f>
        <v>155</v>
      </c>
      <c r="S71" s="230">
        <f>(FME_Ranking1[[#This Row],[Critical Facilities Raw]]/$R$2)*100</f>
        <v>6.6466552315608922</v>
      </c>
      <c r="T71" s="180">
        <f>FME_Ranking1[[#This Row],[Critical Facilities Score (Normalized, Unweighted)]]*$R$3</f>
        <v>1.3293310463121786</v>
      </c>
      <c r="U71">
        <f>_xlfn.XLOOKUP(FME_Ranking1[[#This Row],[FME ID]],FME_Input[FME_ID],FME_Input[LWC])</f>
        <v>9</v>
      </c>
      <c r="V71" s="178">
        <f>(FME_Ranking1[[#This Row],[LWC Raw]]/$U$2)*100</f>
        <v>0.5181347150259068</v>
      </c>
      <c r="W71" s="178">
        <f>FME_Ranking1[[#This Row],[LWC Score (Normalized, Unweighted)]]*$U$3</f>
        <v>0.10362694300518137</v>
      </c>
      <c r="X71" s="246">
        <f>_xlfn.XLOOKUP(FME_Ranking1[[#This Row],[FME ID]],FME_Input[FME_ID],FME_Input[ROADCLS])</f>
        <v>9</v>
      </c>
      <c r="Y71" s="230">
        <f>(FME_Ranking1[[#This Row],[Closures Raw]]/$X$2)*100</f>
        <v>9.462727368310378E-2</v>
      </c>
      <c r="Z71" s="180">
        <f>FME_Ranking1[[#This Row],[Closures Score (Normalized, Unweighted)]]*$X$3</f>
        <v>4.7313636841551897E-3</v>
      </c>
      <c r="AA71" s="253">
        <f>_xlfn.XLOOKUP(FME_Ranking1[[#This Row],[FME ID]],FME_Input[FME_ID],FME_Input[ROAD_MILES100])</f>
        <v>264.17852783203119</v>
      </c>
      <c r="AB71" s="178">
        <f>(FME_Ranking1[[#This Row],[Miles Raw]]/$AA$2)*100</f>
        <v>3.4734738145572597</v>
      </c>
      <c r="AC71" s="178">
        <f>FME_Ranking1[[#This Row],[Miles Score (Normalized, Unweighted)]]*$AA$3</f>
        <v>0.34734738145572597</v>
      </c>
      <c r="AD71" s="255">
        <f>_xlfn.XLOOKUP(FME_Ranking1[[#This Row],[FME ID]],FME_Input[FME_ID],FME_Input[FARMACRE100])</f>
        <v>161.8218078613281</v>
      </c>
      <c r="AE71" s="230">
        <f>(FME_Ranking1[[#This Row],[Ag Land Raw]]/$AD$2)*100</f>
        <v>6.6728069602812459E-3</v>
      </c>
      <c r="AF71" s="231">
        <f>FME_Ranking1[[#This Row],[Ag Land Score (Normalized, Unweighted)]]*$AD$3</f>
        <v>3.3364034801406229E-4</v>
      </c>
      <c r="AG7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5.0304351819051547</v>
      </c>
      <c r="AH71" s="406">
        <f t="shared" si="1"/>
        <v>62</v>
      </c>
      <c r="AI7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5.0304351819051547</v>
      </c>
      <c r="AJ71" s="257">
        <f>FME_Ranking1[[#This Row],[Addition check]]-FME_Ranking1[[#This Row],[Weighted Score Based on Normalized Reported Factors]]</f>
        <v>0</v>
      </c>
      <c r="AK71" s="178">
        <f>_xlfn.RANK.EQ(AI71,$AI$6:$AI$2341,0)+COUNTIF($AI$6:AI71,AI71)-1</f>
        <v>62</v>
      </c>
    </row>
    <row r="72" spans="1:37" ht="12" customHeight="1" x14ac:dyDescent="0.25">
      <c r="A72" t="s">
        <v>2278</v>
      </c>
      <c r="B72">
        <f>_xlfn.XLOOKUP(FME_Ranking1[[#This Row],[FME ID]],FME_Input[FME_ID],FME_Input[RFPG_NUM])</f>
        <v>6</v>
      </c>
      <c r="C72" t="str">
        <f>_xlfn.XLOOKUP(FME_Ranking1[[#This Row],[FME ID]],FME_Input[FME_ID],FME_Input[FME_NAME])</f>
        <v>Lower Clear Creek &amp; Dickinson Bayou Flood Mitigation Plan - Dickinson Bayou Alternative 2</v>
      </c>
      <c r="D72" t="str">
        <f>_xlfn.XLOOKUP(FME_Ranking1[[#This Row],[FME ID]],FME_Input[FME_ID],FME_Input[DESCR])</f>
        <v>Further refine the DB Alt. 2 in the LCCDBFMP (2021), including alternative analysis to McFarland Detention Basin, W Cemetery Rd. Detention Basin, Hilton Detention Basin, Magnolia Bayou &amp; Borden Gully Detention Basins, and Diversion Channel at Desel Dr..</v>
      </c>
      <c r="E72" s="256">
        <f>_xlfn.XLOOKUP(FME_Ranking1[[#This Row],[FME ID]],FME_Input[FME_ID],FME_Input[FME_COST])</f>
        <v>1090000</v>
      </c>
      <c r="F72" t="str">
        <f>_xlfn.XLOOKUP(FME_Ranking1[[#This Row],[FME ID]],FME_Input[FME_ID],FME_Input[EMER_NEED])</f>
        <v>No</v>
      </c>
      <c r="G72">
        <f>IF(FME_Ranking!F72="Yes",100,0)</f>
        <v>0</v>
      </c>
      <c r="H72">
        <f>FME_Ranking1[[#This Row],[Emergency Need Score (Normalized, Unweighted)]]*$F$3</f>
        <v>0</v>
      </c>
      <c r="I72" s="246">
        <f>_xlfn.XLOOKUP(FME_Ranking1[[#This Row],[FME ID]],FME_Input[FME_ID],FME_Input[STRUCT_100])</f>
        <v>13029</v>
      </c>
      <c r="J72" s="178">
        <f>(FME_Ranking1[[#This Row],[Structures 100 Raw]]/I$2)*100</f>
        <v>6.976930985734481</v>
      </c>
      <c r="K72" s="178">
        <f>FME_Ranking1[[#This Row],[Structures 100  Score (Normalized, Unweighted)]]*$I$3</f>
        <v>1.0465396478601721</v>
      </c>
      <c r="L72" s="246">
        <f>_xlfn.XLOOKUP(FME_Ranking1[[#This Row],[FME ID]],FME_Input[FME_ID],FME_Input[RES_STRUCT100])</f>
        <v>11413</v>
      </c>
      <c r="M72" s="230">
        <f>(FME_Ranking1[[#This Row],[Res Structures Raw]]/L$2)*100</f>
        <v>8.0838917142411919</v>
      </c>
      <c r="N72" s="180">
        <f>FME_Ranking1[[#This Row],[Res Structures Score (Normalized, Unweighted)]]*$L$3</f>
        <v>0.80838917142411926</v>
      </c>
      <c r="O72" s="244">
        <f>_xlfn.XLOOKUP(FME_Ranking1[[#This Row],[FME ID]],FME_Input[FME_ID],FME_Input[POP100])</f>
        <v>64095</v>
      </c>
      <c r="P72" s="178">
        <f>(FME_Ranking1[[#This Row],[Pop Raw]]/$O$2)*100</f>
        <v>6.5617456219197834</v>
      </c>
      <c r="Q72" s="178">
        <f>FME_Ranking1[[#This Row],[Pop Score (Normalized, Unweighted)]]*$O$3</f>
        <v>0.98426184328796751</v>
      </c>
      <c r="R72" s="137">
        <f>_xlfn.XLOOKUP(FME_Ranking1[[#This Row],[FME ID]],FME_Input[FME_ID],FME_Input[CRITFAC100])</f>
        <v>147</v>
      </c>
      <c r="S72" s="230">
        <f>(FME_Ranking1[[#This Row],[Critical Facilities Raw]]/$R$2)*100</f>
        <v>6.30360205831904</v>
      </c>
      <c r="T72" s="180">
        <f>FME_Ranking1[[#This Row],[Critical Facilities Score (Normalized, Unweighted)]]*$R$3</f>
        <v>1.260720411663808</v>
      </c>
      <c r="U72">
        <f>_xlfn.XLOOKUP(FME_Ranking1[[#This Row],[FME ID]],FME_Input[FME_ID],FME_Input[LWC])</f>
        <v>9</v>
      </c>
      <c r="V72" s="178">
        <f>(FME_Ranking1[[#This Row],[LWC Raw]]/$U$2)*100</f>
        <v>0.5181347150259068</v>
      </c>
      <c r="W72" s="178">
        <f>FME_Ranking1[[#This Row],[LWC Score (Normalized, Unweighted)]]*$U$3</f>
        <v>0.10362694300518137</v>
      </c>
      <c r="X72" s="246">
        <f>_xlfn.XLOOKUP(FME_Ranking1[[#This Row],[FME ID]],FME_Input[FME_ID],FME_Input[ROADCLS])</f>
        <v>9</v>
      </c>
      <c r="Y72" s="230">
        <f>(FME_Ranking1[[#This Row],[Closures Raw]]/$X$2)*100</f>
        <v>9.462727368310378E-2</v>
      </c>
      <c r="Z72" s="180">
        <f>FME_Ranking1[[#This Row],[Closures Score (Normalized, Unweighted)]]*$X$3</f>
        <v>4.7313636841551897E-3</v>
      </c>
      <c r="AA72" s="253">
        <f>_xlfn.XLOOKUP(FME_Ranking1[[#This Row],[FME ID]],FME_Input[FME_ID],FME_Input[ROAD_MILES100])</f>
        <v>240.15098571777341</v>
      </c>
      <c r="AB72" s="178">
        <f>(FME_Ranking1[[#This Row],[Miles Raw]]/$AA$2)*100</f>
        <v>3.1575547311747116</v>
      </c>
      <c r="AC72" s="178">
        <f>FME_Ranking1[[#This Row],[Miles Score (Normalized, Unweighted)]]*$AA$3</f>
        <v>0.31575547311747121</v>
      </c>
      <c r="AD72" s="255">
        <f>_xlfn.XLOOKUP(FME_Ranking1[[#This Row],[FME ID]],FME_Input[FME_ID],FME_Input[FARMACRE100])</f>
        <v>128.52069091796881</v>
      </c>
      <c r="AE72" s="230">
        <f>(FME_Ranking1[[#This Row],[Ag Land Raw]]/$AD$2)*100</f>
        <v>5.2996179701099693E-3</v>
      </c>
      <c r="AF72" s="231">
        <f>FME_Ranking1[[#This Row],[Ag Land Score (Normalized, Unweighted)]]*$AD$3</f>
        <v>2.6498089850549847E-4</v>
      </c>
      <c r="AG7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4.5242898349413796</v>
      </c>
      <c r="AH72" s="406">
        <f t="shared" si="1"/>
        <v>67</v>
      </c>
      <c r="AI7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4.5242898349413796</v>
      </c>
      <c r="AJ72" s="257">
        <f>FME_Ranking1[[#This Row],[Addition check]]-FME_Ranking1[[#This Row],[Weighted Score Based on Normalized Reported Factors]]</f>
        <v>0</v>
      </c>
      <c r="AK72" s="178">
        <f>_xlfn.RANK.EQ(AI72,$AI$6:$AI$2341,0)+COUNTIF($AI$6:AI72,AI72)-1</f>
        <v>67</v>
      </c>
    </row>
    <row r="73" spans="1:37" ht="12" customHeight="1" x14ac:dyDescent="0.25">
      <c r="A73" t="s">
        <v>2116</v>
      </c>
      <c r="B73">
        <f>_xlfn.XLOOKUP(FME_Ranking1[[#This Row],[FME ID]],FME_Input[FME_ID],FME_Input[RFPG_NUM])</f>
        <v>6</v>
      </c>
      <c r="C73" t="str">
        <f>_xlfn.XLOOKUP(FME_Ranking1[[#This Row],[FME ID]],FME_Input[FME_ID],FME_Input[FME_NAME])</f>
        <v>City of Southside Place - Auden Street Drainage Improvement Project</v>
      </c>
      <c r="D73" t="str">
        <f>_xlfn.XLOOKUP(FME_Ranking1[[#This Row],[FME ID]],FME_Input[FME_ID],FME_Input[DESCR])</f>
        <v xml:space="preserve">This project provides for design and construction of a new stormwater conveyance system for the City of Southside Place, that will have the capacity to covey a City standard storm event (2-year storm). </v>
      </c>
      <c r="E73" s="256">
        <f>_xlfn.XLOOKUP(FME_Ranking1[[#This Row],[FME ID]],FME_Input[FME_ID],FME_Input[FME_COST])</f>
        <v>30000</v>
      </c>
      <c r="F73" t="str">
        <f>_xlfn.XLOOKUP(FME_Ranking1[[#This Row],[FME ID]],FME_Input[FME_ID],FME_Input[EMER_NEED])</f>
        <v>No</v>
      </c>
      <c r="G73">
        <f>IF(FME_Ranking!F73="Yes",100,0)</f>
        <v>0</v>
      </c>
      <c r="H73">
        <f>FME_Ranking1[[#This Row],[Emergency Need Score (Normalized, Unweighted)]]*$F$3</f>
        <v>0</v>
      </c>
      <c r="I73" s="246">
        <f>_xlfn.XLOOKUP(FME_Ranking1[[#This Row],[FME ID]],FME_Input[FME_ID],FME_Input[STRUCT_100])</f>
        <v>8855</v>
      </c>
      <c r="J73" s="178">
        <f>(FME_Ranking1[[#This Row],[Structures 100 Raw]]/I$2)*100</f>
        <v>4.7417855459880904</v>
      </c>
      <c r="K73" s="178">
        <f>FME_Ranking1[[#This Row],[Structures 100  Score (Normalized, Unweighted)]]*$I$3</f>
        <v>0.71126783189821352</v>
      </c>
      <c r="L73" s="246">
        <f>_xlfn.XLOOKUP(FME_Ranking1[[#This Row],[FME ID]],FME_Input[FME_ID],FME_Input[RES_STRUCT100])</f>
        <v>8148</v>
      </c>
      <c r="M73" s="230">
        <f>(FME_Ranking1[[#This Row],[Res Structures Raw]]/L$2)*100</f>
        <v>5.7712739584366277</v>
      </c>
      <c r="N73" s="180">
        <f>FME_Ranking1[[#This Row],[Res Structures Score (Normalized, Unweighted)]]*$L$3</f>
        <v>0.57712739584366279</v>
      </c>
      <c r="O73" s="244">
        <f>_xlfn.XLOOKUP(FME_Ranking1[[#This Row],[FME ID]],FME_Input[FME_ID],FME_Input[POP100])</f>
        <v>93959</v>
      </c>
      <c r="P73" s="178">
        <f>(FME_Ranking1[[#This Row],[Pop Raw]]/$O$2)*100</f>
        <v>9.6190819391522098</v>
      </c>
      <c r="Q73" s="178">
        <f>FME_Ranking1[[#This Row],[Pop Score (Normalized, Unweighted)]]*$O$3</f>
        <v>1.4428622908728315</v>
      </c>
      <c r="R73" s="137">
        <f>_xlfn.XLOOKUP(FME_Ranking1[[#This Row],[FME ID]],FME_Input[FME_ID],FME_Input[CRITFAC100])</f>
        <v>146</v>
      </c>
      <c r="S73" s="230">
        <f>(FME_Ranking1[[#This Row],[Critical Facilities Raw]]/$R$2)*100</f>
        <v>6.2607204116638071</v>
      </c>
      <c r="T73" s="180">
        <f>FME_Ranking1[[#This Row],[Critical Facilities Score (Normalized, Unweighted)]]*$R$3</f>
        <v>1.2521440823327614</v>
      </c>
      <c r="U73">
        <f>_xlfn.XLOOKUP(FME_Ranking1[[#This Row],[FME ID]],FME_Input[FME_ID],FME_Input[LWC])</f>
        <v>1</v>
      </c>
      <c r="V73" s="178">
        <f>(FME_Ranking1[[#This Row],[LWC Raw]]/$U$2)*100</f>
        <v>5.7570523891767422E-2</v>
      </c>
      <c r="W73" s="178">
        <f>FME_Ranking1[[#This Row],[LWC Score (Normalized, Unweighted)]]*$U$3</f>
        <v>1.1514104778353485E-2</v>
      </c>
      <c r="X73" s="246">
        <f>_xlfn.XLOOKUP(FME_Ranking1[[#This Row],[FME ID]],FME_Input[FME_ID],FME_Input[ROADCLS])</f>
        <v>1</v>
      </c>
      <c r="Y73" s="230">
        <f>(FME_Ranking1[[#This Row],[Closures Raw]]/$X$2)*100</f>
        <v>1.0514141520344864E-2</v>
      </c>
      <c r="Z73" s="180">
        <f>FME_Ranking1[[#This Row],[Closures Score (Normalized, Unweighted)]]*$X$3</f>
        <v>5.2570707601724321E-4</v>
      </c>
      <c r="AA73" s="253">
        <f>_xlfn.XLOOKUP(FME_Ranking1[[#This Row],[FME ID]],FME_Input[FME_ID],FME_Input[ROAD_MILES100])</f>
        <v>124.9714279174805</v>
      </c>
      <c r="AB73" s="178">
        <f>(FME_Ranking1[[#This Row],[Miles Raw]]/$AA$2)*100</f>
        <v>1.6431501303360903</v>
      </c>
      <c r="AC73" s="178">
        <f>FME_Ranking1[[#This Row],[Miles Score (Normalized, Unweighted)]]*$AA$3</f>
        <v>0.16431501303360904</v>
      </c>
      <c r="AD73" s="255">
        <f>_xlfn.XLOOKUP(FME_Ranking1[[#This Row],[FME ID]],FME_Input[FME_ID],FME_Input[FARMACRE100])</f>
        <v>8.6752443313598633</v>
      </c>
      <c r="AE73" s="230">
        <f>(FME_Ranking1[[#This Row],[Ag Land Raw]]/$AD$2)*100</f>
        <v>3.5772824146202456E-4</v>
      </c>
      <c r="AF73" s="231">
        <f>FME_Ranking1[[#This Row],[Ag Land Score (Normalized, Unweighted)]]*$AD$3</f>
        <v>1.7886412073101229E-5</v>
      </c>
      <c r="AG7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4.1597743122475226</v>
      </c>
      <c r="AH73" s="406">
        <f t="shared" si="1"/>
        <v>69</v>
      </c>
      <c r="AI7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4.1597743122475226</v>
      </c>
      <c r="AJ73" s="257">
        <f>FME_Ranking1[[#This Row],[Addition check]]-FME_Ranking1[[#This Row],[Weighted Score Based on Normalized Reported Factors]]</f>
        <v>0</v>
      </c>
      <c r="AK73" s="178">
        <f>_xlfn.RANK.EQ(AI73,$AI$6:$AI$2341,0)+COUNTIF($AI$6:AI73,AI73)-1</f>
        <v>69</v>
      </c>
    </row>
    <row r="74" spans="1:37" ht="12" customHeight="1" x14ac:dyDescent="0.25">
      <c r="A74" t="s">
        <v>11028</v>
      </c>
      <c r="B74">
        <f>_xlfn.XLOOKUP(FME_Ranking1[[#This Row],[FME ID]],FME_Input[FME_ID],FME_Input[RFPG_NUM])</f>
        <v>14</v>
      </c>
      <c r="C74" t="str">
        <f>_xlfn.XLOOKUP(FME_Ranking1[[#This Row],[FME ID]],FME_Input[FME_ID],FME_Input[FME_NAME])</f>
        <v>Develop FMPs for additional projects in City of El Paso/El Paso Water Stormwater Master Plan</v>
      </c>
      <c r="D74" t="str">
        <f>_xlfn.XLOOKUP(FME_Ranking1[[#This Row],[FME ID]],FME_Input[FME_ID],FME_Input[DESCR])</f>
        <v>Develop all required datasets and models for 52 projects from the City of El Paso/El Paso Water Stormwater Master Plan to be recommended as FMPs in the Regional Flood Plan.</v>
      </c>
      <c r="E74" s="256">
        <f>_xlfn.XLOOKUP(FME_Ranking1[[#This Row],[FME ID]],FME_Input[FME_ID],FME_Input[FME_COST])</f>
        <v>1288000</v>
      </c>
      <c r="F74" t="str">
        <f>_xlfn.XLOOKUP(FME_Ranking1[[#This Row],[FME ID]],FME_Input[FME_ID],FME_Input[EMER_NEED])</f>
        <v>No</v>
      </c>
      <c r="G74">
        <f>IF(FME_Ranking!F74="Yes",100,0)</f>
        <v>0</v>
      </c>
      <c r="H74">
        <f>FME_Ranking1[[#This Row],[Emergency Need Score (Normalized, Unweighted)]]*$F$3</f>
        <v>0</v>
      </c>
      <c r="I74" s="246">
        <f>_xlfn.XLOOKUP(FME_Ranking1[[#This Row],[FME ID]],FME_Input[FME_ID],FME_Input[STRUCT_100])</f>
        <v>13881</v>
      </c>
      <c r="J74" s="178">
        <f>(FME_Ranking1[[#This Row],[Structures 100 Raw]]/I$2)*100</f>
        <v>7.433170543631924</v>
      </c>
      <c r="K74" s="178">
        <f>FME_Ranking1[[#This Row],[Structures 100  Score (Normalized, Unweighted)]]*$I$3</f>
        <v>1.1149755815447886</v>
      </c>
      <c r="L74" s="246">
        <f>_xlfn.XLOOKUP(FME_Ranking1[[#This Row],[FME ID]],FME_Input[FME_ID],FME_Input[RES_STRUCT100])</f>
        <v>10736</v>
      </c>
      <c r="M74" s="230">
        <f>(FME_Ranking1[[#This Row],[Res Structures Raw]]/L$2)*100</f>
        <v>7.6043688288875355</v>
      </c>
      <c r="N74" s="180">
        <f>FME_Ranking1[[#This Row],[Res Structures Score (Normalized, Unweighted)]]*$L$3</f>
        <v>0.76043688288875355</v>
      </c>
      <c r="O74" s="244">
        <f>_xlfn.XLOOKUP(FME_Ranking1[[#This Row],[FME ID]],FME_Input[FME_ID],FME_Input[POP100])</f>
        <v>55807</v>
      </c>
      <c r="P74" s="178">
        <f>(FME_Ranking1[[#This Row],[Pop Raw]]/$O$2)*100</f>
        <v>5.7132590361569129</v>
      </c>
      <c r="Q74" s="178">
        <f>FME_Ranking1[[#This Row],[Pop Score (Normalized, Unweighted)]]*$O$3</f>
        <v>0.85698885542353687</v>
      </c>
      <c r="R74" s="137">
        <f>_xlfn.XLOOKUP(FME_Ranking1[[#This Row],[FME ID]],FME_Input[FME_ID],FME_Input[CRITFAC100])</f>
        <v>26</v>
      </c>
      <c r="S74" s="230">
        <f>(FME_Ranking1[[#This Row],[Critical Facilities Raw]]/$R$2)*100</f>
        <v>1.1149228130360207</v>
      </c>
      <c r="T74" s="180">
        <f>FME_Ranking1[[#This Row],[Critical Facilities Score (Normalized, Unweighted)]]*$R$3</f>
        <v>0.22298456260720415</v>
      </c>
      <c r="U74">
        <f>_xlfn.XLOOKUP(FME_Ranking1[[#This Row],[FME ID]],FME_Input[FME_ID],FME_Input[LWC])</f>
        <v>51</v>
      </c>
      <c r="V74" s="178">
        <f>(FME_Ranking1[[#This Row],[LWC Raw]]/$U$2)*100</f>
        <v>2.9360967184801381</v>
      </c>
      <c r="W74" s="178">
        <f>FME_Ranking1[[#This Row],[LWC Score (Normalized, Unweighted)]]*$U$3</f>
        <v>0.58721934369602768</v>
      </c>
      <c r="X74" s="246">
        <f>_xlfn.XLOOKUP(FME_Ranking1[[#This Row],[FME ID]],FME_Input[FME_ID],FME_Input[ROADCLS])</f>
        <v>614</v>
      </c>
      <c r="Y74" s="230">
        <f>(FME_Ranking1[[#This Row],[Closures Raw]]/$X$2)*100</f>
        <v>6.4556828934917458</v>
      </c>
      <c r="Z74" s="180">
        <f>FME_Ranking1[[#This Row],[Closures Score (Normalized, Unweighted)]]*$X$3</f>
        <v>0.32278414467458733</v>
      </c>
      <c r="AA74" s="253">
        <f>_xlfn.XLOOKUP(FME_Ranking1[[#This Row],[FME ID]],FME_Input[FME_ID],FME_Input[ROAD_MILES100])</f>
        <v>374.95401000976563</v>
      </c>
      <c r="AB74" s="178">
        <f>(FME_Ranking1[[#This Row],[Miles Raw]]/$AA$2)*100</f>
        <v>4.9299727200396966</v>
      </c>
      <c r="AC74" s="178">
        <f>FME_Ranking1[[#This Row],[Miles Score (Normalized, Unweighted)]]*$AA$3</f>
        <v>0.4929972720039697</v>
      </c>
      <c r="AD74" s="255">
        <f>_xlfn.XLOOKUP(FME_Ranking1[[#This Row],[FME ID]],FME_Input[FME_ID],FME_Input[FARMACRE100])</f>
        <v>6056.93017578125</v>
      </c>
      <c r="AE74" s="230">
        <f>(FME_Ranking1[[#This Row],[Ag Land Raw]]/$AD$2)*100</f>
        <v>0.24976068657894013</v>
      </c>
      <c r="AF74" s="231">
        <f>FME_Ranking1[[#This Row],[Ag Land Score (Normalized, Unweighted)]]*$AD$3</f>
        <v>1.2488034328947007E-2</v>
      </c>
      <c r="AG7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4.3708746771678149</v>
      </c>
      <c r="AH74" s="406">
        <f t="shared" si="1"/>
        <v>68</v>
      </c>
      <c r="AI7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4.3708746771678149</v>
      </c>
      <c r="AJ74" s="257">
        <f>FME_Ranking1[[#This Row],[Addition check]]-FME_Ranking1[[#This Row],[Weighted Score Based on Normalized Reported Factors]]</f>
        <v>0</v>
      </c>
      <c r="AK74" s="178">
        <f>_xlfn.RANK.EQ(AI74,$AI$6:$AI$2341,0)+COUNTIF($AI$6:AI74,AI74)-1</f>
        <v>68</v>
      </c>
    </row>
    <row r="75" spans="1:37" ht="12" customHeight="1" x14ac:dyDescent="0.25">
      <c r="A75" t="s">
        <v>1941</v>
      </c>
      <c r="B75">
        <f>_xlfn.XLOOKUP(FME_Ranking1[[#This Row],[FME ID]],FME_Input[FME_ID],FME_Input[RFPG_NUM])</f>
        <v>6</v>
      </c>
      <c r="C75" t="str">
        <f>_xlfn.XLOOKUP(FME_Ranking1[[#This Row],[FME ID]],FME_Input[FME_ID],FME_Input[FME_NAME])</f>
        <v xml:space="preserve">White Oak Bayou - Design and Construction of Woodland Trails Stormwater Detention Basin </v>
      </c>
      <c r="D75" t="str">
        <f>_xlfn.XLOOKUP(FME_Ranking1[[#This Row],[FME ID]],FME_Input[FME_ID],FME_Input[DESCR])</f>
        <v>Study to develop a BCA to become FMP. This stormwater detention basin compliments the federal project on White Oak Bayou which will reduce the risk of flooding for 1,800 structures in an Atlas 14 1% rainfall event.</v>
      </c>
      <c r="E75" s="256">
        <f>_xlfn.XLOOKUP(FME_Ranking1[[#This Row],[FME ID]],FME_Input[FME_ID],FME_Input[FME_COST])</f>
        <v>30000</v>
      </c>
      <c r="F75" t="str">
        <f>_xlfn.XLOOKUP(FME_Ranking1[[#This Row],[FME ID]],FME_Input[FME_ID],FME_Input[EMER_NEED])</f>
        <v>No</v>
      </c>
      <c r="G75">
        <f>IF(FME_Ranking!F75="Yes",100,0)</f>
        <v>0</v>
      </c>
      <c r="H75">
        <f>FME_Ranking1[[#This Row],[Emergency Need Score (Normalized, Unweighted)]]*$F$3</f>
        <v>0</v>
      </c>
      <c r="I75" s="246">
        <f>_xlfn.XLOOKUP(FME_Ranking1[[#This Row],[FME ID]],FME_Input[FME_ID],FME_Input[STRUCT_100])</f>
        <v>11098</v>
      </c>
      <c r="J75" s="178">
        <f>(FME_Ranking1[[#This Row],[Structures 100 Raw]]/I$2)*100</f>
        <v>5.9428950863213812</v>
      </c>
      <c r="K75" s="178">
        <f>FME_Ranking1[[#This Row],[Structures 100  Score (Normalized, Unweighted)]]*$I$3</f>
        <v>0.89143426294820716</v>
      </c>
      <c r="L75" s="246">
        <f>_xlfn.XLOOKUP(FME_Ranking1[[#This Row],[FME ID]],FME_Input[FME_ID],FME_Input[RES_STRUCT100])</f>
        <v>9581</v>
      </c>
      <c r="M75" s="230">
        <f>(FME_Ranking1[[#This Row],[Res Structures Raw]]/L$2)*100</f>
        <v>6.7862758708617239</v>
      </c>
      <c r="N75" s="180">
        <f>FME_Ranking1[[#This Row],[Res Structures Score (Normalized, Unweighted)]]*$L$3</f>
        <v>0.67862758708617243</v>
      </c>
      <c r="O75" s="244">
        <f>_xlfn.XLOOKUP(FME_Ranking1[[#This Row],[FME ID]],FME_Input[FME_ID],FME_Input[POP100])</f>
        <v>90865</v>
      </c>
      <c r="P75" s="178">
        <f>(FME_Ranking1[[#This Row],[Pop Raw]]/$O$2)*100</f>
        <v>9.3023327238589761</v>
      </c>
      <c r="Q75" s="178">
        <f>FME_Ranking1[[#This Row],[Pop Score (Normalized, Unweighted)]]*$O$3</f>
        <v>1.3953499085788463</v>
      </c>
      <c r="R75" s="137">
        <f>_xlfn.XLOOKUP(FME_Ranking1[[#This Row],[FME ID]],FME_Input[FME_ID],FME_Input[CRITFAC100])</f>
        <v>90</v>
      </c>
      <c r="S75" s="230">
        <f>(FME_Ranking1[[#This Row],[Critical Facilities Raw]]/$R$2)*100</f>
        <v>3.8593481989708405</v>
      </c>
      <c r="T75" s="180">
        <f>FME_Ranking1[[#This Row],[Critical Facilities Score (Normalized, Unweighted)]]*$R$3</f>
        <v>0.77186963979416812</v>
      </c>
      <c r="U75">
        <f>_xlfn.XLOOKUP(FME_Ranking1[[#This Row],[FME ID]],FME_Input[FME_ID],FME_Input[LWC])</f>
        <v>0</v>
      </c>
      <c r="V75" s="178">
        <f>(FME_Ranking1[[#This Row],[LWC Raw]]/$U$2)*100</f>
        <v>0</v>
      </c>
      <c r="W75" s="178">
        <f>FME_Ranking1[[#This Row],[LWC Score (Normalized, Unweighted)]]*$U$3</f>
        <v>0</v>
      </c>
      <c r="X75" s="246">
        <f>_xlfn.XLOOKUP(FME_Ranking1[[#This Row],[FME ID]],FME_Input[FME_ID],FME_Input[ROADCLS])</f>
        <v>0</v>
      </c>
      <c r="Y75" s="230">
        <f>(FME_Ranking1[[#This Row],[Closures Raw]]/$X$2)*100</f>
        <v>0</v>
      </c>
      <c r="Z75" s="180">
        <f>FME_Ranking1[[#This Row],[Closures Score (Normalized, Unweighted)]]*$X$3</f>
        <v>0</v>
      </c>
      <c r="AA75" s="253">
        <f>_xlfn.XLOOKUP(FME_Ranking1[[#This Row],[FME ID]],FME_Input[FME_ID],FME_Input[ROAD_MILES100])</f>
        <v>163.8038024902344</v>
      </c>
      <c r="AB75" s="178">
        <f>(FME_Ranking1[[#This Row],[Miles Raw]]/$AA$2)*100</f>
        <v>2.1537262068342558</v>
      </c>
      <c r="AC75" s="178">
        <f>FME_Ranking1[[#This Row],[Miles Score (Normalized, Unweighted)]]*$AA$3</f>
        <v>0.21537262068342558</v>
      </c>
      <c r="AD75" s="255">
        <f>_xlfn.XLOOKUP(FME_Ranking1[[#This Row],[FME ID]],FME_Input[FME_ID],FME_Input[FARMACRE100])</f>
        <v>24.30616569519043</v>
      </c>
      <c r="AE75" s="230">
        <f>(FME_Ranking1[[#This Row],[Ag Land Raw]]/$AD$2)*100</f>
        <v>1.0022774666292426E-3</v>
      </c>
      <c r="AF75" s="231">
        <f>FME_Ranking1[[#This Row],[Ag Land Score (Normalized, Unweighted)]]*$AD$3</f>
        <v>5.0113873331462133E-5</v>
      </c>
      <c r="AG7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3.952704132964151</v>
      </c>
      <c r="AH75" s="406">
        <f t="shared" si="1"/>
        <v>72</v>
      </c>
      <c r="AI7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3.952704132964151</v>
      </c>
      <c r="AJ75" s="257">
        <f>FME_Ranking1[[#This Row],[Addition check]]-FME_Ranking1[[#This Row],[Weighted Score Based on Normalized Reported Factors]]</f>
        <v>0</v>
      </c>
      <c r="AK75" s="178">
        <f>_xlfn.RANK.EQ(AI75,$AI$6:$AI$2341,0)+COUNTIF($AI$6:AI75,AI75)-1</f>
        <v>72</v>
      </c>
    </row>
    <row r="76" spans="1:37" ht="12" customHeight="1" x14ac:dyDescent="0.25">
      <c r="A76" t="s">
        <v>2991</v>
      </c>
      <c r="B76">
        <f>_xlfn.XLOOKUP(FME_Ranking1[[#This Row],[FME ID]],FME_Input[FME_ID],FME_Input[RFPG_NUM])</f>
        <v>1</v>
      </c>
      <c r="C76" t="str">
        <f>_xlfn.XLOOKUP(FME_Ranking1[[#This Row],[FME ID]],FME_Input[FME_ID],FME_Input[FME_NAME])</f>
        <v>Wichita County FIS</v>
      </c>
      <c r="D76" t="str">
        <f>_xlfn.XLOOKUP(FME_Ranking1[[#This Row],[FME ID]],FME_Input[FME_ID],FME_Input[DESCR])</f>
        <v>Update flood insurance study for the county and develop regulatory mapping</v>
      </c>
      <c r="E76" s="256">
        <f>_xlfn.XLOOKUP(FME_Ranking1[[#This Row],[FME ID]],FME_Input[FME_ID],FME_Input[FME_COST])</f>
        <v>643000</v>
      </c>
      <c r="F76" t="str">
        <f>_xlfn.XLOOKUP(FME_Ranking1[[#This Row],[FME ID]],FME_Input[FME_ID],FME_Input[EMER_NEED])</f>
        <v>No</v>
      </c>
      <c r="G76">
        <f>IF(FME_Ranking!F76="Yes",100,0)</f>
        <v>0</v>
      </c>
      <c r="H76">
        <f>FME_Ranking1[[#This Row],[Emergency Need Score (Normalized, Unweighted)]]*$F$3</f>
        <v>0</v>
      </c>
      <c r="I76" s="246">
        <f>_xlfn.XLOOKUP(FME_Ranking1[[#This Row],[FME ID]],FME_Input[FME_ID],FME_Input[STRUCT_100])</f>
        <v>3986</v>
      </c>
      <c r="J76" s="178">
        <f>(FME_Ranking1[[#This Row],[Structures 100 Raw]]/I$2)*100</f>
        <v>2.1344728612431991</v>
      </c>
      <c r="K76" s="178">
        <f>FME_Ranking1[[#This Row],[Structures 100  Score (Normalized, Unweighted)]]*$I$3</f>
        <v>0.32017092918647988</v>
      </c>
      <c r="L76" s="246">
        <f>_xlfn.XLOOKUP(FME_Ranking1[[#This Row],[FME ID]],FME_Input[FME_ID],FME_Input[RES_STRUCT100])</f>
        <v>2926</v>
      </c>
      <c r="M76" s="230">
        <f>(FME_Ranking1[[#This Row],[Res Structures Raw]]/L$2)*100</f>
        <v>2.0725021603320535</v>
      </c>
      <c r="N76" s="180">
        <f>FME_Ranking1[[#This Row],[Res Structures Score (Normalized, Unweighted)]]*$L$3</f>
        <v>0.20725021603320537</v>
      </c>
      <c r="O76" s="244">
        <f>_xlfn.XLOOKUP(FME_Ranking1[[#This Row],[FME ID]],FME_Input[FME_ID],FME_Input[POP100])</f>
        <v>15949</v>
      </c>
      <c r="P76" s="178">
        <f>(FME_Ranking1[[#This Row],[Pop Raw]]/$O$2)*100</f>
        <v>1.6327838509087855</v>
      </c>
      <c r="Q76" s="178">
        <f>FME_Ranking1[[#This Row],[Pop Score (Normalized, Unweighted)]]*$O$3</f>
        <v>0.24491757763631783</v>
      </c>
      <c r="R76" s="137">
        <f>_xlfn.XLOOKUP(FME_Ranking1[[#This Row],[FME ID]],FME_Input[FME_ID],FME_Input[CRITFAC100])</f>
        <v>72</v>
      </c>
      <c r="S76" s="230">
        <f>(FME_Ranking1[[#This Row],[Critical Facilities Raw]]/$R$2)*100</f>
        <v>3.0874785591766725</v>
      </c>
      <c r="T76" s="180">
        <f>FME_Ranking1[[#This Row],[Critical Facilities Score (Normalized, Unweighted)]]*$R$3</f>
        <v>0.61749571183533458</v>
      </c>
      <c r="U76">
        <f>_xlfn.XLOOKUP(FME_Ranking1[[#This Row],[FME ID]],FME_Input[FME_ID],FME_Input[LWC])</f>
        <v>170</v>
      </c>
      <c r="V76" s="178">
        <f>(FME_Ranking1[[#This Row],[LWC Raw]]/$U$2)*100</f>
        <v>9.7869890616004618</v>
      </c>
      <c r="W76" s="178">
        <f>FME_Ranking1[[#This Row],[LWC Score (Normalized, Unweighted)]]*$U$3</f>
        <v>1.9573978123200924</v>
      </c>
      <c r="X76" s="246">
        <f>_xlfn.XLOOKUP(FME_Ranking1[[#This Row],[FME ID]],FME_Input[FME_ID],FME_Input[ROADCLS])</f>
        <v>267</v>
      </c>
      <c r="Y76" s="230">
        <f>(FME_Ranking1[[#This Row],[Closures Raw]]/$X$2)*100</f>
        <v>2.8072757859320783</v>
      </c>
      <c r="Z76" s="180">
        <f>FME_Ranking1[[#This Row],[Closures Score (Normalized, Unweighted)]]*$X$3</f>
        <v>0.14036378929660392</v>
      </c>
      <c r="AA76" s="253">
        <f>_xlfn.XLOOKUP(FME_Ranking1[[#This Row],[FME ID]],FME_Input[FME_ID],FME_Input[ROAD_MILES100])</f>
        <v>193.12413024902341</v>
      </c>
      <c r="AB76" s="178">
        <f>(FME_Ranking1[[#This Row],[Miles Raw]]/$AA$2)*100</f>
        <v>2.5392359283856738</v>
      </c>
      <c r="AC76" s="178">
        <f>FME_Ranking1[[#This Row],[Miles Score (Normalized, Unweighted)]]*$AA$3</f>
        <v>0.25392359283856741</v>
      </c>
      <c r="AD76" s="255">
        <f>_xlfn.XLOOKUP(FME_Ranking1[[#This Row],[FME ID]],FME_Input[FME_ID],FME_Input[FARMACRE100])</f>
        <v>49700.4140625</v>
      </c>
      <c r="AE76" s="230">
        <f>(FME_Ranking1[[#This Row],[Ag Land Raw]]/$AD$2)*100</f>
        <v>2.0494225918505822</v>
      </c>
      <c r="AF76" s="231">
        <f>FME_Ranking1[[#This Row],[Ag Land Score (Normalized, Unweighted)]]*$AD$3</f>
        <v>0.10247112959252912</v>
      </c>
      <c r="AG7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3.8439907587391304</v>
      </c>
      <c r="AH76" s="406">
        <f t="shared" si="1"/>
        <v>73</v>
      </c>
      <c r="AI7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3.8439907587391304</v>
      </c>
      <c r="AJ76" s="257">
        <f>FME_Ranking1[[#This Row],[Addition check]]-FME_Ranking1[[#This Row],[Weighted Score Based on Normalized Reported Factors]]</f>
        <v>0</v>
      </c>
      <c r="AK76" s="178">
        <f>_xlfn.RANK.EQ(AI76,$AI$6:$AI$2341,0)+COUNTIF($AI$6:AI76,AI76)-1</f>
        <v>73</v>
      </c>
    </row>
    <row r="77" spans="1:37" ht="12" customHeight="1" x14ac:dyDescent="0.25">
      <c r="A77" t="s">
        <v>3464</v>
      </c>
      <c r="B77">
        <f>_xlfn.XLOOKUP(FME_Ranking1[[#This Row],[FME ID]],FME_Input[FME_ID],FME_Input[RFPG_NUM])</f>
        <v>1</v>
      </c>
      <c r="C77" t="str">
        <f>_xlfn.XLOOKUP(FME_Ranking1[[#This Row],[FME ID]],FME_Input[FME_ID],FME_Input[FME_NAME])</f>
        <v>Wichita County Drainage Master Plan</v>
      </c>
      <c r="D77" t="str">
        <f>_xlfn.XLOOKUP(FME_Ranking1[[#This Row],[FME ID]],FME_Input[FME_ID],FME_Input[DESCR])</f>
        <v>Perform H&amp;H modeling, develop conceptual alternatives and OPCC, and rank projects; selected based on stakeholder feedback.</v>
      </c>
      <c r="E77" s="256">
        <f>_xlfn.XLOOKUP(FME_Ranking1[[#This Row],[FME ID]],FME_Input[FME_ID],FME_Input[FME_COST])</f>
        <v>500000</v>
      </c>
      <c r="F77" t="str">
        <f>_xlfn.XLOOKUP(FME_Ranking1[[#This Row],[FME ID]],FME_Input[FME_ID],FME_Input[EMER_NEED])</f>
        <v>No</v>
      </c>
      <c r="G77">
        <f>IF(FME_Ranking!F77="Yes",100,0)</f>
        <v>0</v>
      </c>
      <c r="H77">
        <f>FME_Ranking1[[#This Row],[Emergency Need Score (Normalized, Unweighted)]]*$F$3</f>
        <v>0</v>
      </c>
      <c r="I77" s="246">
        <f>_xlfn.XLOOKUP(FME_Ranking1[[#This Row],[FME ID]],FME_Input[FME_ID],FME_Input[STRUCT_100])</f>
        <v>3986</v>
      </c>
      <c r="J77" s="178">
        <f>(FME_Ranking1[[#This Row],[Structures 100 Raw]]/I$2)*100</f>
        <v>2.1344728612431991</v>
      </c>
      <c r="K77" s="178">
        <f>FME_Ranking1[[#This Row],[Structures 100  Score (Normalized, Unweighted)]]*$I$3</f>
        <v>0.32017092918647988</v>
      </c>
      <c r="L77" s="246">
        <f>_xlfn.XLOOKUP(FME_Ranking1[[#This Row],[FME ID]],FME_Input[FME_ID],FME_Input[RES_STRUCT100])</f>
        <v>2926</v>
      </c>
      <c r="M77" s="230">
        <f>(FME_Ranking1[[#This Row],[Res Structures Raw]]/L$2)*100</f>
        <v>2.0725021603320535</v>
      </c>
      <c r="N77" s="180">
        <f>FME_Ranking1[[#This Row],[Res Structures Score (Normalized, Unweighted)]]*$L$3</f>
        <v>0.20725021603320537</v>
      </c>
      <c r="O77" s="244">
        <f>_xlfn.XLOOKUP(FME_Ranking1[[#This Row],[FME ID]],FME_Input[FME_ID],FME_Input[POP100])</f>
        <v>15949</v>
      </c>
      <c r="P77" s="178">
        <f>(FME_Ranking1[[#This Row],[Pop Raw]]/$O$2)*100</f>
        <v>1.6327838509087855</v>
      </c>
      <c r="Q77" s="178">
        <f>FME_Ranking1[[#This Row],[Pop Score (Normalized, Unweighted)]]*$O$3</f>
        <v>0.24491757763631783</v>
      </c>
      <c r="R77" s="137">
        <f>_xlfn.XLOOKUP(FME_Ranking1[[#This Row],[FME ID]],FME_Input[FME_ID],FME_Input[CRITFAC100])</f>
        <v>72</v>
      </c>
      <c r="S77" s="230">
        <f>(FME_Ranking1[[#This Row],[Critical Facilities Raw]]/$R$2)*100</f>
        <v>3.0874785591766725</v>
      </c>
      <c r="T77" s="180">
        <f>FME_Ranking1[[#This Row],[Critical Facilities Score (Normalized, Unweighted)]]*$R$3</f>
        <v>0.61749571183533458</v>
      </c>
      <c r="U77">
        <f>_xlfn.XLOOKUP(FME_Ranking1[[#This Row],[FME ID]],FME_Input[FME_ID],FME_Input[LWC])</f>
        <v>170</v>
      </c>
      <c r="V77" s="178">
        <f>(FME_Ranking1[[#This Row],[LWC Raw]]/$U$2)*100</f>
        <v>9.7869890616004618</v>
      </c>
      <c r="W77" s="178">
        <f>FME_Ranking1[[#This Row],[LWC Score (Normalized, Unweighted)]]*$U$3</f>
        <v>1.9573978123200924</v>
      </c>
      <c r="X77" s="246">
        <f>_xlfn.XLOOKUP(FME_Ranking1[[#This Row],[FME ID]],FME_Input[FME_ID],FME_Input[ROADCLS])</f>
        <v>267</v>
      </c>
      <c r="Y77" s="230">
        <f>(FME_Ranking1[[#This Row],[Closures Raw]]/$X$2)*100</f>
        <v>2.8072757859320783</v>
      </c>
      <c r="Z77" s="180">
        <f>FME_Ranking1[[#This Row],[Closures Score (Normalized, Unweighted)]]*$X$3</f>
        <v>0.14036378929660392</v>
      </c>
      <c r="AA77" s="253">
        <f>_xlfn.XLOOKUP(FME_Ranking1[[#This Row],[FME ID]],FME_Input[FME_ID],FME_Input[ROAD_MILES100])</f>
        <v>193.12413024902341</v>
      </c>
      <c r="AB77" s="178">
        <f>(FME_Ranking1[[#This Row],[Miles Raw]]/$AA$2)*100</f>
        <v>2.5392359283856738</v>
      </c>
      <c r="AC77" s="178">
        <f>FME_Ranking1[[#This Row],[Miles Score (Normalized, Unweighted)]]*$AA$3</f>
        <v>0.25392359283856741</v>
      </c>
      <c r="AD77" s="255">
        <f>_xlfn.XLOOKUP(FME_Ranking1[[#This Row],[FME ID]],FME_Input[FME_ID],FME_Input[FARMACRE100])</f>
        <v>49700.4140625</v>
      </c>
      <c r="AE77" s="230">
        <f>(FME_Ranking1[[#This Row],[Ag Land Raw]]/$AD$2)*100</f>
        <v>2.0494225918505822</v>
      </c>
      <c r="AF77" s="231">
        <f>FME_Ranking1[[#This Row],[Ag Land Score (Normalized, Unweighted)]]*$AD$3</f>
        <v>0.10247112959252912</v>
      </c>
      <c r="AG7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3.8439907587391304</v>
      </c>
      <c r="AH77" s="406">
        <f t="shared" si="1"/>
        <v>73</v>
      </c>
      <c r="AI7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3.8439907587391304</v>
      </c>
      <c r="AJ77" s="257">
        <f>FME_Ranking1[[#This Row],[Addition check]]-FME_Ranking1[[#This Row],[Weighted Score Based on Normalized Reported Factors]]</f>
        <v>0</v>
      </c>
      <c r="AK77" s="178">
        <f>_xlfn.RANK.EQ(AI77,$AI$6:$AI$2341,0)+COUNTIF($AI$6:AI77,AI77)-1</f>
        <v>74</v>
      </c>
    </row>
    <row r="78" spans="1:37" ht="12" customHeight="1" x14ac:dyDescent="0.25">
      <c r="A78" t="s">
        <v>7679</v>
      </c>
      <c r="B78">
        <f>_xlfn.XLOOKUP(FME_Ranking1[[#This Row],[FME ID]],FME_Input[FME_ID],FME_Input[RFPG_NUM])</f>
        <v>8</v>
      </c>
      <c r="C78" t="str">
        <f>_xlfn.XLOOKUP(FME_Ranking1[[#This Row],[FME ID]],FME_Input[FME_ID],FME_Input[FME_NAME])</f>
        <v>FBCDD Drop Structures - Condition Assessments &amp; Upgrades</v>
      </c>
      <c r="D78" t="str">
        <f>_xlfn.XLOOKUP(FME_Ranking1[[#This Row],[FME ID]],FME_Input[FME_ID],FME_Input[DESCR])</f>
        <v>Create inventory of structures and condition, prioritize and design upgrades to structures as needed.</v>
      </c>
      <c r="E78" s="256">
        <f>_xlfn.XLOOKUP(FME_Ranking1[[#This Row],[FME ID]],FME_Input[FME_ID],FME_Input[FME_COST])</f>
        <v>2712000</v>
      </c>
      <c r="F78" t="str">
        <f>_xlfn.XLOOKUP(FME_Ranking1[[#This Row],[FME ID]],FME_Input[FME_ID],FME_Input[EMER_NEED])</f>
        <v>No</v>
      </c>
      <c r="G78">
        <f>IF(FME_Ranking!F78="Yes",100,0)</f>
        <v>0</v>
      </c>
      <c r="H78">
        <f>FME_Ranking1[[#This Row],[Emergency Need Score (Normalized, Unweighted)]]*$F$3</f>
        <v>0</v>
      </c>
      <c r="I78" s="246">
        <f>_xlfn.XLOOKUP(FME_Ranking1[[#This Row],[FME ID]],FME_Input[FME_ID],FME_Input[STRUCT_100])</f>
        <v>14277</v>
      </c>
      <c r="J78" s="178">
        <f>(FME_Ranking1[[#This Row],[Structures 100 Raw]]/I$2)*100</f>
        <v>7.6452255494152421</v>
      </c>
      <c r="K78" s="178">
        <f>FME_Ranking1[[#This Row],[Structures 100  Score (Normalized, Unweighted)]]*$I$3</f>
        <v>1.1467838324122863</v>
      </c>
      <c r="L78" s="246">
        <f>_xlfn.XLOOKUP(FME_Ranking1[[#This Row],[FME ID]],FME_Input[FME_ID],FME_Input[RES_STRUCT100])</f>
        <v>11612</v>
      </c>
      <c r="M78" s="230">
        <f>(FME_Ranking1[[#This Row],[Res Structures Raw]]/L$2)*100</f>
        <v>8.2248445269226949</v>
      </c>
      <c r="N78" s="180">
        <f>FME_Ranking1[[#This Row],[Res Structures Score (Normalized, Unweighted)]]*$L$3</f>
        <v>0.82248445269226955</v>
      </c>
      <c r="O78" s="244">
        <f>_xlfn.XLOOKUP(FME_Ranking1[[#This Row],[FME ID]],FME_Input[FME_ID],FME_Input[POP100])</f>
        <v>34375</v>
      </c>
      <c r="P78" s="178">
        <f>(FME_Ranking1[[#This Row],[Pop Raw]]/$O$2)*100</f>
        <v>3.5191513496137383</v>
      </c>
      <c r="Q78" s="178">
        <f>FME_Ranking1[[#This Row],[Pop Score (Normalized, Unweighted)]]*$O$3</f>
        <v>0.52787270244206075</v>
      </c>
      <c r="R78" s="137">
        <f>_xlfn.XLOOKUP(FME_Ranking1[[#This Row],[FME ID]],FME_Input[FME_ID],FME_Input[CRITFAC100])</f>
        <v>28</v>
      </c>
      <c r="S78" s="230">
        <f>(FME_Ranking1[[#This Row],[Critical Facilities Raw]]/$R$2)*100</f>
        <v>1.2006861063464835</v>
      </c>
      <c r="T78" s="180">
        <f>FME_Ranking1[[#This Row],[Critical Facilities Score (Normalized, Unweighted)]]*$R$3</f>
        <v>0.24013722126929671</v>
      </c>
      <c r="U78">
        <f>_xlfn.XLOOKUP(FME_Ranking1[[#This Row],[FME ID]],FME_Input[FME_ID],FME_Input[LWC])</f>
        <v>2</v>
      </c>
      <c r="V78" s="178">
        <f>(FME_Ranking1[[#This Row],[LWC Raw]]/$U$2)*100</f>
        <v>0.11514104778353484</v>
      </c>
      <c r="W78" s="178">
        <f>FME_Ranking1[[#This Row],[LWC Score (Normalized, Unweighted)]]*$U$3</f>
        <v>2.302820955670697E-2</v>
      </c>
      <c r="X78" s="246">
        <f>_xlfn.XLOOKUP(FME_Ranking1[[#This Row],[FME ID]],FME_Input[FME_ID],FME_Input[ROADCLS])</f>
        <v>1167</v>
      </c>
      <c r="Y78" s="230">
        <f>(FME_Ranking1[[#This Row],[Closures Raw]]/$X$2)*100</f>
        <v>12.270003154242456</v>
      </c>
      <c r="Z78" s="180">
        <f>FME_Ranking1[[#This Row],[Closures Score (Normalized, Unweighted)]]*$X$3</f>
        <v>0.61350015771212285</v>
      </c>
      <c r="AA78" s="253">
        <f>_xlfn.XLOOKUP(FME_Ranking1[[#This Row],[FME ID]],FME_Input[FME_ID],FME_Input[ROAD_MILES100])</f>
        <v>299.89700317382813</v>
      </c>
      <c r="AB78" s="178">
        <f>(FME_Ranking1[[#This Row],[Miles Raw]]/$AA$2)*100</f>
        <v>3.9431077012088069</v>
      </c>
      <c r="AC78" s="178">
        <f>FME_Ranking1[[#This Row],[Miles Score (Normalized, Unweighted)]]*$AA$3</f>
        <v>0.39431077012088073</v>
      </c>
      <c r="AD78" s="255">
        <f>_xlfn.XLOOKUP(FME_Ranking1[[#This Row],[FME ID]],FME_Input[FME_ID],FME_Input[FARMACRE100])</f>
        <v>95253.6015625</v>
      </c>
      <c r="AE78" s="230">
        <f>(FME_Ranking1[[#This Row],[Ag Land Raw]]/$AD$2)*100</f>
        <v>3.9278321253386728</v>
      </c>
      <c r="AF78" s="231">
        <f>FME_Ranking1[[#This Row],[Ag Land Score (Normalized, Unweighted)]]*$AD$3</f>
        <v>0.19639160626693364</v>
      </c>
      <c r="AG7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3.9645089524725581</v>
      </c>
      <c r="AH78" s="406">
        <f t="shared" si="1"/>
        <v>71</v>
      </c>
      <c r="AI7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3.9645089524725581</v>
      </c>
      <c r="AJ78" s="257">
        <f>FME_Ranking1[[#This Row],[Addition check]]-FME_Ranking1[[#This Row],[Weighted Score Based on Normalized Reported Factors]]</f>
        <v>0</v>
      </c>
      <c r="AK78" s="178">
        <f>_xlfn.RANK.EQ(AI78,$AI$6:$AI$2341,0)+COUNTIF($AI$6:AI78,AI78)-1</f>
        <v>71</v>
      </c>
    </row>
    <row r="79" spans="1:37" ht="12" customHeight="1" x14ac:dyDescent="0.25">
      <c r="A79" t="s">
        <v>4086</v>
      </c>
      <c r="B79">
        <f>_xlfn.XLOOKUP(FME_Ranking1[[#This Row],[FME ID]],FME_Input[FME_ID],FME_Input[RFPG_NUM])</f>
        <v>3</v>
      </c>
      <c r="C79" t="str">
        <f>_xlfn.XLOOKUP(FME_Ranking1[[#This Row],[FME ID]],FME_Input[FME_ID],FME_Input[FME_NAME])</f>
        <v>West Fork of the Trinity River Levee Failure Hydrologic Study</v>
      </c>
      <c r="D79" t="str">
        <f>_xlfn.XLOOKUP(FME_Ranking1[[#This Row],[FME ID]],FME_Input[FME_ID],FME_Input[DESCR])</f>
        <v>Hydrologic study to determine threat, risk, and potential impacts of flooding from levee failure along the West Fork of the Trinity River.</v>
      </c>
      <c r="E79" s="256">
        <f>_xlfn.XLOOKUP(FME_Ranking1[[#This Row],[FME ID]],FME_Input[FME_ID],FME_Input[FME_COST])</f>
        <v>2000000</v>
      </c>
      <c r="F79" t="str">
        <f>_xlfn.XLOOKUP(FME_Ranking1[[#This Row],[FME ID]],FME_Input[FME_ID],FME_Input[EMER_NEED])</f>
        <v>No</v>
      </c>
      <c r="G79">
        <f>IF(FME_Ranking!F79="Yes",100,0)</f>
        <v>0</v>
      </c>
      <c r="H79">
        <f>FME_Ranking1[[#This Row],[Emergency Need Score (Normalized, Unweighted)]]*$F$3</f>
        <v>0</v>
      </c>
      <c r="I79" s="246">
        <f>_xlfn.XLOOKUP(FME_Ranking1[[#This Row],[FME ID]],FME_Input[FME_ID],FME_Input[STRUCT_100])</f>
        <v>7235</v>
      </c>
      <c r="J79" s="178">
        <f>(FME_Ranking1[[#This Row],[Structures 100 Raw]]/I$2)*100</f>
        <v>3.8742877950563339</v>
      </c>
      <c r="K79" s="178">
        <f>FME_Ranking1[[#This Row],[Structures 100  Score (Normalized, Unweighted)]]*$I$3</f>
        <v>0.58114316925845011</v>
      </c>
      <c r="L79" s="246">
        <f>_xlfn.XLOOKUP(FME_Ranking1[[#This Row],[FME ID]],FME_Input[FME_ID],FME_Input[RES_STRUCT100])</f>
        <v>5762</v>
      </c>
      <c r="M79" s="230">
        <f>(FME_Ranking1[[#This Row],[Res Structures Raw]]/L$2)*100</f>
        <v>4.0812568174413171</v>
      </c>
      <c r="N79" s="180">
        <f>FME_Ranking1[[#This Row],[Res Structures Score (Normalized, Unweighted)]]*$L$3</f>
        <v>0.40812568174413172</v>
      </c>
      <c r="O79" s="244">
        <f>_xlfn.XLOOKUP(FME_Ranking1[[#This Row],[FME ID]],FME_Input[FME_ID],FME_Input[POP100])</f>
        <v>21593</v>
      </c>
      <c r="P79" s="178">
        <f>(FME_Ranking1[[#This Row],[Pop Raw]]/$O$2)*100</f>
        <v>2.2105901117733655</v>
      </c>
      <c r="Q79" s="178">
        <f>FME_Ranking1[[#This Row],[Pop Score (Normalized, Unweighted)]]*$O$3</f>
        <v>0.33158851676600481</v>
      </c>
      <c r="R79" s="137">
        <f>_xlfn.XLOOKUP(FME_Ranking1[[#This Row],[FME ID]],FME_Input[FME_ID],FME_Input[CRITFAC100])</f>
        <v>64</v>
      </c>
      <c r="S79" s="230">
        <f>(FME_Ranking1[[#This Row],[Critical Facilities Raw]]/$R$2)*100</f>
        <v>2.7444253859348198</v>
      </c>
      <c r="T79" s="180">
        <f>FME_Ranking1[[#This Row],[Critical Facilities Score (Normalized, Unweighted)]]*$R$3</f>
        <v>0.548885077186964</v>
      </c>
      <c r="U79">
        <f>_xlfn.XLOOKUP(FME_Ranking1[[#This Row],[FME ID]],FME_Input[FME_ID],FME_Input[LWC])</f>
        <v>127</v>
      </c>
      <c r="V79" s="178">
        <f>(FME_Ranking1[[#This Row],[LWC Raw]]/$U$2)*100</f>
        <v>7.3114565342544626</v>
      </c>
      <c r="W79" s="178">
        <f>FME_Ranking1[[#This Row],[LWC Score (Normalized, Unweighted)]]*$U$3</f>
        <v>1.4622913068508927</v>
      </c>
      <c r="X79" s="246">
        <f>_xlfn.XLOOKUP(FME_Ranking1[[#This Row],[FME ID]],FME_Input[FME_ID],FME_Input[ROADCLS])</f>
        <v>0</v>
      </c>
      <c r="Y79" s="230">
        <f>(FME_Ranking1[[#This Row],[Closures Raw]]/$X$2)*100</f>
        <v>0</v>
      </c>
      <c r="Z79" s="180">
        <f>FME_Ranking1[[#This Row],[Closures Score (Normalized, Unweighted)]]*$X$3</f>
        <v>0</v>
      </c>
      <c r="AA79" s="253">
        <f>_xlfn.XLOOKUP(FME_Ranking1[[#This Row],[FME ID]],FME_Input[FME_ID],FME_Input[ROAD_MILES100])</f>
        <v>308.15658569335938</v>
      </c>
      <c r="AB79" s="178">
        <f>(FME_Ranking1[[#This Row],[Miles Raw]]/$AA$2)*100</f>
        <v>4.0517063970839224</v>
      </c>
      <c r="AC79" s="178">
        <f>FME_Ranking1[[#This Row],[Miles Score (Normalized, Unweighted)]]*$AA$3</f>
        <v>0.40517063970839229</v>
      </c>
      <c r="AD79" s="255">
        <f>_xlfn.XLOOKUP(FME_Ranking1[[#This Row],[FME ID]],FME_Input[FME_ID],FME_Input[FARMACRE100])</f>
        <v>114016.703125</v>
      </c>
      <c r="AE79" s="230">
        <f>(FME_Ranking1[[#This Row],[Ag Land Raw]]/$AD$2)*100</f>
        <v>4.7015384406828025</v>
      </c>
      <c r="AF79" s="231">
        <f>FME_Ranking1[[#This Row],[Ag Land Score (Normalized, Unweighted)]]*$AD$3</f>
        <v>0.23507692203414013</v>
      </c>
      <c r="AG7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3.9722813135489758</v>
      </c>
      <c r="AH79" s="406">
        <f t="shared" si="1"/>
        <v>70</v>
      </c>
      <c r="AI7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3.9722813135489758</v>
      </c>
      <c r="AJ79" s="257">
        <f>FME_Ranking1[[#This Row],[Addition check]]-FME_Ranking1[[#This Row],[Weighted Score Based on Normalized Reported Factors]]</f>
        <v>0</v>
      </c>
      <c r="AK79" s="178">
        <f>_xlfn.RANK.EQ(AI79,$AI$6:$AI$2341,0)+COUNTIF($AI$6:AI79,AI79)-1</f>
        <v>70</v>
      </c>
    </row>
    <row r="80" spans="1:37" ht="12" customHeight="1" x14ac:dyDescent="0.25">
      <c r="A80" t="s">
        <v>5165</v>
      </c>
      <c r="B80">
        <f>_xlfn.XLOOKUP(FME_Ranking1[[#This Row],[FME ID]],FME_Input[FME_ID],FME_Input[RFPG_NUM])</f>
        <v>3</v>
      </c>
      <c r="C80" t="str">
        <f>_xlfn.XLOOKUP(FME_Ranking1[[#This Row],[FME ID]],FME_Input[FME_ID],FME_Input[FME_NAME])</f>
        <v>East Fork Trinity HUC-8 - East Fork Trinity and Tributaries Flood Risk Identification</v>
      </c>
      <c r="D80" t="str">
        <f>_xlfn.XLOOKUP(FME_Ranking1[[#This Row],[FME ID]],FME_Input[FME_ID],FME_Input[DESCR])</f>
        <v>Create FEMA mapping in previously unmapped areas and update existing FEMA maps as needed.</v>
      </c>
      <c r="E80" s="256">
        <f>_xlfn.XLOOKUP(FME_Ranking1[[#This Row],[FME ID]],FME_Input[FME_ID],FME_Input[FME_COST])</f>
        <v>4582000</v>
      </c>
      <c r="F80" t="str">
        <f>_xlfn.XLOOKUP(FME_Ranking1[[#This Row],[FME ID]],FME_Input[FME_ID],FME_Input[EMER_NEED])</f>
        <v>No</v>
      </c>
      <c r="G80">
        <f>IF(FME_Ranking!F80="Yes",100,0)</f>
        <v>0</v>
      </c>
      <c r="H80">
        <f>FME_Ranking1[[#This Row],[Emergency Need Score (Normalized, Unweighted)]]*$F$3</f>
        <v>0</v>
      </c>
      <c r="I80" s="246">
        <f>_xlfn.XLOOKUP(FME_Ranking1[[#This Row],[FME ID]],FME_Input[FME_ID],FME_Input[STRUCT_100])</f>
        <v>5222</v>
      </c>
      <c r="J80" s="178">
        <f>(FME_Ranking1[[#This Row],[Structures 100 Raw]]/I$2)*100</f>
        <v>2.7963415156577986</v>
      </c>
      <c r="K80" s="178">
        <f>FME_Ranking1[[#This Row],[Structures 100  Score (Normalized, Unweighted)]]*$I$3</f>
        <v>0.4194512273486698</v>
      </c>
      <c r="L80" s="246">
        <f>_xlfn.XLOOKUP(FME_Ranking1[[#This Row],[FME ID]],FME_Input[FME_ID],FME_Input[RES_STRUCT100])</f>
        <v>4603</v>
      </c>
      <c r="M80" s="230">
        <f>(FME_Ranking1[[#This Row],[Res Structures Raw]]/L$2)*100</f>
        <v>3.2603306370500489</v>
      </c>
      <c r="N80" s="180">
        <f>FME_Ranking1[[#This Row],[Res Structures Score (Normalized, Unweighted)]]*$L$3</f>
        <v>0.3260330637050049</v>
      </c>
      <c r="O80" s="244">
        <f>_xlfn.XLOOKUP(FME_Ranking1[[#This Row],[FME ID]],FME_Input[FME_ID],FME_Input[POP100])</f>
        <v>24778</v>
      </c>
      <c r="P80" s="178">
        <f>(FME_Ranking1[[#This Row],[Pop Raw]]/$O$2)*100</f>
        <v>2.5366554804575765</v>
      </c>
      <c r="Q80" s="178">
        <f>FME_Ranking1[[#This Row],[Pop Score (Normalized, Unweighted)]]*$O$3</f>
        <v>0.38049832206863649</v>
      </c>
      <c r="R80" s="137">
        <f>_xlfn.XLOOKUP(FME_Ranking1[[#This Row],[FME ID]],FME_Input[FME_ID],FME_Input[CRITFAC100])</f>
        <v>49</v>
      </c>
      <c r="S80" s="230">
        <f>(FME_Ranking1[[#This Row],[Critical Facilities Raw]]/$R$2)*100</f>
        <v>2.1012006861063464</v>
      </c>
      <c r="T80" s="180">
        <f>FME_Ranking1[[#This Row],[Critical Facilities Score (Normalized, Unweighted)]]*$R$3</f>
        <v>0.42024013722126929</v>
      </c>
      <c r="U80">
        <f>_xlfn.XLOOKUP(FME_Ranking1[[#This Row],[FME ID]],FME_Input[FME_ID],FME_Input[LWC])</f>
        <v>151</v>
      </c>
      <c r="V80" s="178">
        <f>(FME_Ranking1[[#This Row],[LWC Raw]]/$U$2)*100</f>
        <v>8.693149107656879</v>
      </c>
      <c r="W80" s="178">
        <f>FME_Ranking1[[#This Row],[LWC Score (Normalized, Unweighted)]]*$U$3</f>
        <v>1.7386298215313758</v>
      </c>
      <c r="X80" s="246">
        <f>_xlfn.XLOOKUP(FME_Ranking1[[#This Row],[FME ID]],FME_Input[FME_ID],FME_Input[ROADCLS])</f>
        <v>0</v>
      </c>
      <c r="Y80" s="230">
        <f>(FME_Ranking1[[#This Row],[Closures Raw]]/$X$2)*100</f>
        <v>0</v>
      </c>
      <c r="Z80" s="180">
        <f>FME_Ranking1[[#This Row],[Closures Score (Normalized, Unweighted)]]*$X$3</f>
        <v>0</v>
      </c>
      <c r="AA80" s="253">
        <f>_xlfn.XLOOKUP(FME_Ranking1[[#This Row],[FME ID]],FME_Input[FME_ID],FME_Input[ROAD_MILES100])</f>
        <v>273.16970825195313</v>
      </c>
      <c r="AB80" s="178">
        <f>(FME_Ranking1[[#This Row],[Miles Raw]]/$AA$2)*100</f>
        <v>3.591691710640077</v>
      </c>
      <c r="AC80" s="178">
        <f>FME_Ranking1[[#This Row],[Miles Score (Normalized, Unweighted)]]*$AA$3</f>
        <v>0.3591691710640077</v>
      </c>
      <c r="AD80" s="255">
        <f>_xlfn.XLOOKUP(FME_Ranking1[[#This Row],[FME ID]],FME_Input[FME_ID],FME_Input[FARMACRE100])</f>
        <v>60443.33984375</v>
      </c>
      <c r="AE80" s="230">
        <f>(FME_Ranking1[[#This Row],[Ag Land Raw]]/$AD$2)*100</f>
        <v>2.4924127603224369</v>
      </c>
      <c r="AF80" s="231">
        <f>FME_Ranking1[[#This Row],[Ag Land Score (Normalized, Unweighted)]]*$AD$3</f>
        <v>0.12462063801612185</v>
      </c>
      <c r="AG8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3.768642380955086</v>
      </c>
      <c r="AH80" s="406">
        <f t="shared" si="1"/>
        <v>76</v>
      </c>
      <c r="AI8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3.768642380955086</v>
      </c>
      <c r="AJ80" s="257">
        <f>FME_Ranking1[[#This Row],[Addition check]]-FME_Ranking1[[#This Row],[Weighted Score Based on Normalized Reported Factors]]</f>
        <v>0</v>
      </c>
      <c r="AK80" s="178">
        <f>_xlfn.RANK.EQ(AI80,$AI$6:$AI$2341,0)+COUNTIF($AI$6:AI80,AI80)-1</f>
        <v>76</v>
      </c>
    </row>
    <row r="81" spans="1:37" ht="12" customHeight="1" x14ac:dyDescent="0.25">
      <c r="A81" t="s">
        <v>5463</v>
      </c>
      <c r="B81">
        <f>_xlfn.XLOOKUP(FME_Ranking1[[#This Row],[FME ID]],FME_Input[FME_ID],FME_Input[RFPG_NUM])</f>
        <v>4</v>
      </c>
      <c r="C81" t="str">
        <f>_xlfn.XLOOKUP(FME_Ranking1[[#This Row],[FME ID]],FME_Input[FME_ID],FME_Input[FME_NAME])</f>
        <v>Newton County Flood Hazard Mapping</v>
      </c>
      <c r="D81" t="str">
        <f>_xlfn.XLOOKUP(FME_Ranking1[[#This Row],[FME ID]],FME_Input[FME_ID],FME_Input[DESCR])</f>
        <v>Complete a detailed study within the county extent to delineate an updated flood hazard area, which can be used for regulatory purposes.</v>
      </c>
      <c r="E81" s="256">
        <f>_xlfn.XLOOKUP(FME_Ranking1[[#This Row],[FME ID]],FME_Input[FME_ID],FME_Input[FME_COST])</f>
        <v>2340000</v>
      </c>
      <c r="F81" t="str">
        <f>_xlfn.XLOOKUP(FME_Ranking1[[#This Row],[FME ID]],FME_Input[FME_ID],FME_Input[EMER_NEED])</f>
        <v>Yes</v>
      </c>
      <c r="G81">
        <f>IF(FME_Ranking!F81="Yes",100,0)</f>
        <v>100</v>
      </c>
      <c r="H81">
        <f>FME_Ranking1[[#This Row],[Emergency Need Score (Normalized, Unweighted)]]*$F$3</f>
        <v>0</v>
      </c>
      <c r="I81" s="246">
        <f>_xlfn.XLOOKUP(FME_Ranking1[[#This Row],[FME ID]],FME_Input[FME_ID],FME_Input[STRUCT_100])</f>
        <v>3237</v>
      </c>
      <c r="J81" s="178">
        <f>(FME_Ranking1[[#This Row],[Structures 100 Raw]]/I$2)*100</f>
        <v>1.7333890245469732</v>
      </c>
      <c r="K81" s="178">
        <f>FME_Ranking1[[#This Row],[Structures 100  Score (Normalized, Unweighted)]]*$I$3</f>
        <v>0.26000835368204595</v>
      </c>
      <c r="L81" s="246">
        <f>_xlfn.XLOOKUP(FME_Ranking1[[#This Row],[FME ID]],FME_Input[FME_ID],FME_Input[RES_STRUCT100])</f>
        <v>1990</v>
      </c>
      <c r="M81" s="230">
        <f>(FME_Ranking1[[#This Row],[Res Structures Raw]]/L$2)*100</f>
        <v>1.409528126815033</v>
      </c>
      <c r="N81" s="180">
        <f>FME_Ranking1[[#This Row],[Res Structures Score (Normalized, Unweighted)]]*$L$3</f>
        <v>0.14095281268150331</v>
      </c>
      <c r="O81" s="244">
        <f>_xlfn.XLOOKUP(FME_Ranking1[[#This Row],[FME ID]],FME_Input[FME_ID],FME_Input[POP100])</f>
        <v>3373</v>
      </c>
      <c r="P81" s="178">
        <f>(FME_Ranking1[[#This Row],[Pop Raw]]/$O$2)*100</f>
        <v>0.34531192733809857</v>
      </c>
      <c r="Q81" s="178">
        <f>FME_Ranking1[[#This Row],[Pop Score (Normalized, Unweighted)]]*$O$3</f>
        <v>5.1796789100714787E-2</v>
      </c>
      <c r="R81" s="137">
        <f>_xlfn.XLOOKUP(FME_Ranking1[[#This Row],[FME ID]],FME_Input[FME_ID],FME_Input[CRITFAC100])</f>
        <v>324</v>
      </c>
      <c r="S81" s="230">
        <f>(FME_Ranking1[[#This Row],[Critical Facilities Raw]]/$R$2)*100</f>
        <v>13.893653516295027</v>
      </c>
      <c r="T81" s="180">
        <f>FME_Ranking1[[#This Row],[Critical Facilities Score (Normalized, Unweighted)]]*$R$3</f>
        <v>2.7787307032590056</v>
      </c>
      <c r="U81">
        <f>_xlfn.XLOOKUP(FME_Ranking1[[#This Row],[FME ID]],FME_Input[FME_ID],FME_Input[LWC])</f>
        <v>10</v>
      </c>
      <c r="V81" s="178">
        <f>(FME_Ranking1[[#This Row],[LWC Raw]]/$U$2)*100</f>
        <v>0.57570523891767411</v>
      </c>
      <c r="W81" s="178">
        <f>FME_Ranking1[[#This Row],[LWC Score (Normalized, Unweighted)]]*$U$3</f>
        <v>0.11514104778353483</v>
      </c>
      <c r="X81" s="246">
        <f>_xlfn.XLOOKUP(FME_Ranking1[[#This Row],[FME ID]],FME_Input[FME_ID],FME_Input[ROADCLS])</f>
        <v>10</v>
      </c>
      <c r="Y81" s="230">
        <f>(FME_Ranking1[[#This Row],[Closures Raw]]/$X$2)*100</f>
        <v>0.10514141520344865</v>
      </c>
      <c r="Z81" s="180">
        <f>FME_Ranking1[[#This Row],[Closures Score (Normalized, Unweighted)]]*$X$3</f>
        <v>5.2570707601724328E-3</v>
      </c>
      <c r="AA81" s="253">
        <f>_xlfn.XLOOKUP(FME_Ranking1[[#This Row],[FME ID]],FME_Input[FME_ID],FME_Input[ROAD_MILES100])</f>
        <v>152.48277282714841</v>
      </c>
      <c r="AB81" s="178">
        <f>(FME_Ranking1[[#This Row],[Miles Raw]]/$AA$2)*100</f>
        <v>2.0048749719846257</v>
      </c>
      <c r="AC81" s="178">
        <f>FME_Ranking1[[#This Row],[Miles Score (Normalized, Unweighted)]]*$AA$3</f>
        <v>0.20048749719846259</v>
      </c>
      <c r="AD81" s="255">
        <f>_xlfn.XLOOKUP(FME_Ranking1[[#This Row],[FME ID]],FME_Input[FME_ID],FME_Input[FARMACRE100])</f>
        <v>8621.1201171875</v>
      </c>
      <c r="AE81" s="230">
        <f>(FME_Ranking1[[#This Row],[Ag Land Raw]]/$AD$2)*100</f>
        <v>0.35549640115680076</v>
      </c>
      <c r="AF81" s="231">
        <f>FME_Ranking1[[#This Row],[Ag Land Score (Normalized, Unweighted)]]*$AD$3</f>
        <v>1.7774820057840039E-2</v>
      </c>
      <c r="AG8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3.5701490945232797</v>
      </c>
      <c r="AH81" s="406">
        <f t="shared" si="1"/>
        <v>77</v>
      </c>
      <c r="AI8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3.5701490945232797</v>
      </c>
      <c r="AJ81" s="257">
        <f>FME_Ranking1[[#This Row],[Addition check]]-FME_Ranking1[[#This Row],[Weighted Score Based on Normalized Reported Factors]]</f>
        <v>0</v>
      </c>
      <c r="AK81" s="178">
        <f>_xlfn.RANK.EQ(AI81,$AI$6:$AI$2341,0)+COUNTIF($AI$6:AI81,AI81)-1</f>
        <v>77</v>
      </c>
    </row>
    <row r="82" spans="1:37" ht="12" customHeight="1" x14ac:dyDescent="0.25">
      <c r="A82" t="s">
        <v>1968</v>
      </c>
      <c r="B82">
        <f>_xlfn.XLOOKUP(FME_Ranking1[[#This Row],[FME ID]],FME_Input[FME_ID],FME_Input[RFPG_NUM])</f>
        <v>6</v>
      </c>
      <c r="C82" t="str">
        <f>_xlfn.XLOOKUP(FME_Ranking1[[#This Row],[FME ID]],FME_Input[FME_ID],FME_Input[FME_NAME])</f>
        <v>Halls Bayou - Planning, Right-Of-Way, Design and Construction of Halls Bayou Flood Risk Management Project</v>
      </c>
      <c r="D82" t="str">
        <f>_xlfn.XLOOKUP(FME_Ranking1[[#This Row],[FME ID]],FME_Input[FME_ID],FME_Input[DESCR])</f>
        <v>Develop BCA to become a FMP. Projects as part of the Halls Ahead Bond Implementation Program, could reduce the risk of flooding for more than 700 structures in an Atlas 14 1% rainfall event.</v>
      </c>
      <c r="E82" s="256">
        <f>_xlfn.XLOOKUP(FME_Ranking1[[#This Row],[FME ID]],FME_Input[FME_ID],FME_Input[FME_COST])</f>
        <v>30000</v>
      </c>
      <c r="F82" t="str">
        <f>_xlfn.XLOOKUP(FME_Ranking1[[#This Row],[FME ID]],FME_Input[FME_ID],FME_Input[EMER_NEED])</f>
        <v>No</v>
      </c>
      <c r="G82">
        <f>IF(FME_Ranking!F82="Yes",100,0)</f>
        <v>0</v>
      </c>
      <c r="H82">
        <f>FME_Ranking1[[#This Row],[Emergency Need Score (Normalized, Unweighted)]]*$F$3</f>
        <v>0</v>
      </c>
      <c r="I82" s="246">
        <f>_xlfn.XLOOKUP(FME_Ranking1[[#This Row],[FME ID]],FME_Input[FME_ID],FME_Input[STRUCT_100])</f>
        <v>12422</v>
      </c>
      <c r="J82" s="178">
        <f>(FME_Ranking1[[#This Row],[Structures 100 Raw]]/I$2)*100</f>
        <v>6.6518870753544954</v>
      </c>
      <c r="K82" s="178">
        <f>FME_Ranking1[[#This Row],[Structures 100  Score (Normalized, Unweighted)]]*$I$3</f>
        <v>0.99778306130317429</v>
      </c>
      <c r="L82" s="246">
        <f>_xlfn.XLOOKUP(FME_Ranking1[[#This Row],[FME ID]],FME_Input[FME_ID],FME_Input[RES_STRUCT100])</f>
        <v>10065</v>
      </c>
      <c r="M82" s="230">
        <f>(FME_Ranking1[[#This Row],[Res Structures Raw]]/L$2)*100</f>
        <v>7.1290957770820649</v>
      </c>
      <c r="N82" s="180">
        <f>FME_Ranking1[[#This Row],[Res Structures Score (Normalized, Unweighted)]]*$L$3</f>
        <v>0.71290957770820651</v>
      </c>
      <c r="O82" s="244">
        <f>_xlfn.XLOOKUP(FME_Ranking1[[#This Row],[FME ID]],FME_Input[FME_ID],FME_Input[POP100])</f>
        <v>43171</v>
      </c>
      <c r="P82" s="178">
        <f>(FME_Ranking1[[#This Row],[Pop Raw]]/$O$2)*100</f>
        <v>4.4196445938668996</v>
      </c>
      <c r="Q82" s="178">
        <f>FME_Ranking1[[#This Row],[Pop Score (Normalized, Unweighted)]]*$O$3</f>
        <v>0.66294668908003496</v>
      </c>
      <c r="R82" s="137">
        <f>_xlfn.XLOOKUP(FME_Ranking1[[#This Row],[FME ID]],FME_Input[FME_ID],FME_Input[CRITFAC100])</f>
        <v>98</v>
      </c>
      <c r="S82" s="230">
        <f>(FME_Ranking1[[#This Row],[Critical Facilities Raw]]/$R$2)*100</f>
        <v>4.2024013722126927</v>
      </c>
      <c r="T82" s="180">
        <f>FME_Ranking1[[#This Row],[Critical Facilities Score (Normalized, Unweighted)]]*$R$3</f>
        <v>0.84048027444253859</v>
      </c>
      <c r="U82">
        <f>_xlfn.XLOOKUP(FME_Ranking1[[#This Row],[FME ID]],FME_Input[FME_ID],FME_Input[LWC])</f>
        <v>7</v>
      </c>
      <c r="V82" s="178">
        <f>(FME_Ranking1[[#This Row],[LWC Raw]]/$U$2)*100</f>
        <v>0.40299366724237184</v>
      </c>
      <c r="W82" s="178">
        <f>FME_Ranking1[[#This Row],[LWC Score (Normalized, Unweighted)]]*$U$3</f>
        <v>8.0598733448474374E-2</v>
      </c>
      <c r="X82" s="246">
        <f>_xlfn.XLOOKUP(FME_Ranking1[[#This Row],[FME ID]],FME_Input[FME_ID],FME_Input[ROADCLS])</f>
        <v>7</v>
      </c>
      <c r="Y82" s="230">
        <f>(FME_Ranking1[[#This Row],[Closures Raw]]/$X$2)*100</f>
        <v>7.3598990642414042E-2</v>
      </c>
      <c r="Z82" s="180">
        <f>FME_Ranking1[[#This Row],[Closures Score (Normalized, Unweighted)]]*$X$3</f>
        <v>3.6799495321207022E-3</v>
      </c>
      <c r="AA82" s="253">
        <f>_xlfn.XLOOKUP(FME_Ranking1[[#This Row],[FME ID]],FME_Input[FME_ID],FME_Input[ROAD_MILES100])</f>
        <v>121.9914245605469</v>
      </c>
      <c r="AB82" s="178">
        <f>(FME_Ranking1[[#This Row],[Miles Raw]]/$AA$2)*100</f>
        <v>1.6039684310793556</v>
      </c>
      <c r="AC82" s="178">
        <f>FME_Ranking1[[#This Row],[Miles Score (Normalized, Unweighted)]]*$AA$3</f>
        <v>0.16039684310793556</v>
      </c>
      <c r="AD82" s="255">
        <f>_xlfn.XLOOKUP(FME_Ranking1[[#This Row],[FME ID]],FME_Input[FME_ID],FME_Input[FARMACRE100])</f>
        <v>9.6442432403564453</v>
      </c>
      <c r="AE82" s="230">
        <f>(FME_Ranking1[[#This Row],[Ag Land Raw]]/$AD$2)*100</f>
        <v>3.9768541874185239E-4</v>
      </c>
      <c r="AF82" s="231">
        <f>FME_Ranking1[[#This Row],[Ag Land Score (Normalized, Unweighted)]]*$AD$3</f>
        <v>1.9884270937092621E-5</v>
      </c>
      <c r="AG8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3.4588150128934223</v>
      </c>
      <c r="AH82" s="406">
        <f t="shared" si="1"/>
        <v>78</v>
      </c>
      <c r="AI8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3.4588150128934223</v>
      </c>
      <c r="AJ82" s="257">
        <f>FME_Ranking1[[#This Row],[Addition check]]-FME_Ranking1[[#This Row],[Weighted Score Based on Normalized Reported Factors]]</f>
        <v>0</v>
      </c>
      <c r="AK82" s="178">
        <f>_xlfn.RANK.EQ(AI82,$AI$6:$AI$2341,0)+COUNTIF($AI$6:AI82,AI82)-1</f>
        <v>78</v>
      </c>
    </row>
    <row r="83" spans="1:37" ht="12" customHeight="1" x14ac:dyDescent="0.25">
      <c r="A83" t="s">
        <v>2092</v>
      </c>
      <c r="B83">
        <f>_xlfn.XLOOKUP(FME_Ranking1[[#This Row],[FME ID]],FME_Input[FME_ID],FME_Input[RFPG_NUM])</f>
        <v>6</v>
      </c>
      <c r="C83" t="str">
        <f>_xlfn.XLOOKUP(FME_Ranking1[[#This Row],[FME ID]],FME_Input[FME_ID],FME_Input[FME_NAME])</f>
        <v>Halls Bayou - Design and Construction of a Stormwater Detention Basin in Brock Park</v>
      </c>
      <c r="D83" t="str">
        <f>_xlfn.XLOOKUP(FME_Ranking1[[#This Row],[FME ID]],FME_Input[FME_ID],FME_Input[DESCR])</f>
        <v>Develop BCA to become a FMP. Provides additional stormwater detention in support of flood damage reduction as part of the Halls Ahead Bond Implementation Program. The project will be a partnership with the City of Houston.</v>
      </c>
      <c r="E83" s="256">
        <f>_xlfn.XLOOKUP(FME_Ranking1[[#This Row],[FME ID]],FME_Input[FME_ID],FME_Input[FME_COST])</f>
        <v>30000</v>
      </c>
      <c r="F83" t="str">
        <f>_xlfn.XLOOKUP(FME_Ranking1[[#This Row],[FME ID]],FME_Input[FME_ID],FME_Input[EMER_NEED])</f>
        <v>No</v>
      </c>
      <c r="G83">
        <f>IF(FME_Ranking!F83="Yes",100,0)</f>
        <v>0</v>
      </c>
      <c r="H83">
        <f>FME_Ranking1[[#This Row],[Emergency Need Score (Normalized, Unweighted)]]*$F$3</f>
        <v>0</v>
      </c>
      <c r="I83" s="246">
        <f>_xlfn.XLOOKUP(FME_Ranking1[[#This Row],[FME ID]],FME_Input[FME_ID],FME_Input[STRUCT_100])</f>
        <v>12422</v>
      </c>
      <c r="J83" s="178">
        <f>(FME_Ranking1[[#This Row],[Structures 100 Raw]]/I$2)*100</f>
        <v>6.6518870753544954</v>
      </c>
      <c r="K83" s="178">
        <f>FME_Ranking1[[#This Row],[Structures 100  Score (Normalized, Unweighted)]]*$I$3</f>
        <v>0.99778306130317429</v>
      </c>
      <c r="L83" s="246">
        <f>_xlfn.XLOOKUP(FME_Ranking1[[#This Row],[FME ID]],FME_Input[FME_ID],FME_Input[RES_STRUCT100])</f>
        <v>10065</v>
      </c>
      <c r="M83" s="230">
        <f>(FME_Ranking1[[#This Row],[Res Structures Raw]]/L$2)*100</f>
        <v>7.1290957770820649</v>
      </c>
      <c r="N83" s="180">
        <f>FME_Ranking1[[#This Row],[Res Structures Score (Normalized, Unweighted)]]*$L$3</f>
        <v>0.71290957770820651</v>
      </c>
      <c r="O83" s="244">
        <f>_xlfn.XLOOKUP(FME_Ranking1[[#This Row],[FME ID]],FME_Input[FME_ID],FME_Input[POP100])</f>
        <v>43171</v>
      </c>
      <c r="P83" s="178">
        <f>(FME_Ranking1[[#This Row],[Pop Raw]]/$O$2)*100</f>
        <v>4.4196445938668996</v>
      </c>
      <c r="Q83" s="178">
        <f>FME_Ranking1[[#This Row],[Pop Score (Normalized, Unweighted)]]*$O$3</f>
        <v>0.66294668908003496</v>
      </c>
      <c r="R83" s="137">
        <f>_xlfn.XLOOKUP(FME_Ranking1[[#This Row],[FME ID]],FME_Input[FME_ID],FME_Input[CRITFAC100])</f>
        <v>98</v>
      </c>
      <c r="S83" s="230">
        <f>(FME_Ranking1[[#This Row],[Critical Facilities Raw]]/$R$2)*100</f>
        <v>4.2024013722126927</v>
      </c>
      <c r="T83" s="180">
        <f>FME_Ranking1[[#This Row],[Critical Facilities Score (Normalized, Unweighted)]]*$R$3</f>
        <v>0.84048027444253859</v>
      </c>
      <c r="U83">
        <f>_xlfn.XLOOKUP(FME_Ranking1[[#This Row],[FME ID]],FME_Input[FME_ID],FME_Input[LWC])</f>
        <v>7</v>
      </c>
      <c r="V83" s="178">
        <f>(FME_Ranking1[[#This Row],[LWC Raw]]/$U$2)*100</f>
        <v>0.40299366724237184</v>
      </c>
      <c r="W83" s="178">
        <f>FME_Ranking1[[#This Row],[LWC Score (Normalized, Unweighted)]]*$U$3</f>
        <v>8.0598733448474374E-2</v>
      </c>
      <c r="X83" s="246">
        <f>_xlfn.XLOOKUP(FME_Ranking1[[#This Row],[FME ID]],FME_Input[FME_ID],FME_Input[ROADCLS])</f>
        <v>7</v>
      </c>
      <c r="Y83" s="230">
        <f>(FME_Ranking1[[#This Row],[Closures Raw]]/$X$2)*100</f>
        <v>7.3598990642414042E-2</v>
      </c>
      <c r="Z83" s="180">
        <f>FME_Ranking1[[#This Row],[Closures Score (Normalized, Unweighted)]]*$X$3</f>
        <v>3.6799495321207022E-3</v>
      </c>
      <c r="AA83" s="253">
        <f>_xlfn.XLOOKUP(FME_Ranking1[[#This Row],[FME ID]],FME_Input[FME_ID],FME_Input[ROAD_MILES100])</f>
        <v>121.9914245605469</v>
      </c>
      <c r="AB83" s="178">
        <f>(FME_Ranking1[[#This Row],[Miles Raw]]/$AA$2)*100</f>
        <v>1.6039684310793556</v>
      </c>
      <c r="AC83" s="178">
        <f>FME_Ranking1[[#This Row],[Miles Score (Normalized, Unweighted)]]*$AA$3</f>
        <v>0.16039684310793556</v>
      </c>
      <c r="AD83" s="255">
        <f>_xlfn.XLOOKUP(FME_Ranking1[[#This Row],[FME ID]],FME_Input[FME_ID],FME_Input[FARMACRE100])</f>
        <v>9.6442432403564453</v>
      </c>
      <c r="AE83" s="230">
        <f>(FME_Ranking1[[#This Row],[Ag Land Raw]]/$AD$2)*100</f>
        <v>3.9768541874185239E-4</v>
      </c>
      <c r="AF83" s="231">
        <f>FME_Ranking1[[#This Row],[Ag Land Score (Normalized, Unweighted)]]*$AD$3</f>
        <v>1.9884270937092621E-5</v>
      </c>
      <c r="AG8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3.4588150128934223</v>
      </c>
      <c r="AH83" s="406">
        <f t="shared" si="1"/>
        <v>78</v>
      </c>
      <c r="AI8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3.4588150128934223</v>
      </c>
      <c r="AJ83" s="257">
        <f>FME_Ranking1[[#This Row],[Addition check]]-FME_Ranking1[[#This Row],[Weighted Score Based on Normalized Reported Factors]]</f>
        <v>0</v>
      </c>
      <c r="AK83" s="178">
        <f>_xlfn.RANK.EQ(AI83,$AI$6:$AI$2341,0)+COUNTIF($AI$6:AI83,AI83)-1</f>
        <v>79</v>
      </c>
    </row>
    <row r="84" spans="1:37" ht="12" customHeight="1" x14ac:dyDescent="0.25">
      <c r="A84" t="s">
        <v>7424</v>
      </c>
      <c r="B84">
        <f>_xlfn.XLOOKUP(FME_Ranking1[[#This Row],[FME ID]],FME_Input[FME_ID],FME_Input[RFPG_NUM])</f>
        <v>8</v>
      </c>
      <c r="C84" t="str">
        <f>_xlfn.XLOOKUP(FME_Ranking1[[#This Row],[FME ID]],FME_Input[FME_ID],FME_Input[FME_NAME])</f>
        <v>Dam Emergency Action Plan</v>
      </c>
      <c r="D84" t="str">
        <f>_xlfn.XLOOKUP(FME_Ranking1[[#This Row],[FME ID]],FME_Input[FME_ID],FME_Input[DESCR])</f>
        <v>Complete EAPs for Sites 9, 29, 2, 3, 6, 7, 17, 18, and 25 to be in compliance with TCEQ standards.</v>
      </c>
      <c r="E84" s="256">
        <f>_xlfn.XLOOKUP(FME_Ranking1[[#This Row],[FME ID]],FME_Input[FME_ID],FME_Input[FME_COST])</f>
        <v>500000</v>
      </c>
      <c r="F84" t="str">
        <f>_xlfn.XLOOKUP(FME_Ranking1[[#This Row],[FME ID]],FME_Input[FME_ID],FME_Input[EMER_NEED])</f>
        <v>No</v>
      </c>
      <c r="G84">
        <f>IF(FME_Ranking!F84="Yes",100,0)</f>
        <v>0</v>
      </c>
      <c r="H84">
        <f>FME_Ranking1[[#This Row],[Emergency Need Score (Normalized, Unweighted)]]*$F$3</f>
        <v>0</v>
      </c>
      <c r="I84" s="246">
        <f>_xlfn.XLOOKUP(FME_Ranking1[[#This Row],[FME ID]],FME_Input[FME_ID],FME_Input[STRUCT_100])</f>
        <v>3519</v>
      </c>
      <c r="J84" s="178">
        <f>(FME_Ranking1[[#This Row],[Structures 100 Raw]]/I$2)*100</f>
        <v>1.8843978923017608</v>
      </c>
      <c r="K84" s="178">
        <f>FME_Ranking1[[#This Row],[Structures 100  Score (Normalized, Unweighted)]]*$I$3</f>
        <v>0.28265968384526413</v>
      </c>
      <c r="L84" s="246">
        <f>_xlfn.XLOOKUP(FME_Ranking1[[#This Row],[FME ID]],FME_Input[FME_ID],FME_Input[RES_STRUCT100])</f>
        <v>2758</v>
      </c>
      <c r="M84" s="230">
        <f>(FME_Ranking1[[#This Row],[Res Structures Raw]]/L$2)*100</f>
        <v>1.9535068209828448</v>
      </c>
      <c r="N84" s="180">
        <f>FME_Ranking1[[#This Row],[Res Structures Score (Normalized, Unweighted)]]*$L$3</f>
        <v>0.19535068209828449</v>
      </c>
      <c r="O84" s="244">
        <f>_xlfn.XLOOKUP(FME_Ranking1[[#This Row],[FME ID]],FME_Input[FME_ID],FME_Input[POP100])</f>
        <v>10627</v>
      </c>
      <c r="P84" s="178">
        <f>(FME_Ranking1[[#This Row],[Pop Raw]]/$O$2)*100</f>
        <v>1.0879424405045874</v>
      </c>
      <c r="Q84" s="178">
        <f>FME_Ranking1[[#This Row],[Pop Score (Normalized, Unweighted)]]*$O$3</f>
        <v>0.1631913660756881</v>
      </c>
      <c r="R84" s="137">
        <f>_xlfn.XLOOKUP(FME_Ranking1[[#This Row],[FME ID]],FME_Input[FME_ID],FME_Input[CRITFAC100])</f>
        <v>5</v>
      </c>
      <c r="S84" s="230">
        <f>(FME_Ranking1[[#This Row],[Critical Facilities Raw]]/$R$2)*100</f>
        <v>0.21440823327615782</v>
      </c>
      <c r="T84" s="180">
        <f>FME_Ranking1[[#This Row],[Critical Facilities Score (Normalized, Unweighted)]]*$R$3</f>
        <v>4.2881646655231566E-2</v>
      </c>
      <c r="U84">
        <f>_xlfn.XLOOKUP(FME_Ranking1[[#This Row],[FME ID]],FME_Input[FME_ID],FME_Input[LWC])</f>
        <v>167</v>
      </c>
      <c r="V84" s="178">
        <f>(FME_Ranking1[[#This Row],[LWC Raw]]/$U$2)*100</f>
        <v>9.6142774899251577</v>
      </c>
      <c r="W84" s="178">
        <f>FME_Ranking1[[#This Row],[LWC Score (Normalized, Unweighted)]]*$U$3</f>
        <v>1.9228554979850316</v>
      </c>
      <c r="X84" s="246">
        <f>_xlfn.XLOOKUP(FME_Ranking1[[#This Row],[FME ID]],FME_Input[FME_ID],FME_Input[ROADCLS])</f>
        <v>728</v>
      </c>
      <c r="Y84" s="230">
        <f>(FME_Ranking1[[#This Row],[Closures Raw]]/$X$2)*100</f>
        <v>7.6542950268110612</v>
      </c>
      <c r="Z84" s="180">
        <f>FME_Ranking1[[#This Row],[Closures Score (Normalized, Unweighted)]]*$X$3</f>
        <v>0.38271475134055311</v>
      </c>
      <c r="AA84" s="253">
        <f>_xlfn.XLOOKUP(FME_Ranking1[[#This Row],[FME ID]],FME_Input[FME_ID],FME_Input[ROAD_MILES100])</f>
        <v>167.44999694824219</v>
      </c>
      <c r="AB84" s="178">
        <f>(FME_Ranking1[[#This Row],[Miles Raw]]/$AA$2)*100</f>
        <v>2.2016671242002817</v>
      </c>
      <c r="AC84" s="178">
        <f>FME_Ranking1[[#This Row],[Miles Score (Normalized, Unweighted)]]*$AA$3</f>
        <v>0.22016671242002817</v>
      </c>
      <c r="AD84" s="255">
        <f>_xlfn.XLOOKUP(FME_Ranking1[[#This Row],[FME ID]],FME_Input[FME_ID],FME_Input[FARMACRE100])</f>
        <v>67369.6015625</v>
      </c>
      <c r="AE84" s="230">
        <f>(FME_Ranking1[[#This Row],[Ag Land Raw]]/$AD$2)*100</f>
        <v>2.7780207881675492</v>
      </c>
      <c r="AF84" s="231">
        <f>FME_Ranking1[[#This Row],[Ag Land Score (Normalized, Unweighted)]]*$AD$3</f>
        <v>0.13890103940837747</v>
      </c>
      <c r="AG8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3.3487213798284592</v>
      </c>
      <c r="AH84" s="406">
        <f t="shared" si="1"/>
        <v>80</v>
      </c>
      <c r="AI8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3.3487213798284592</v>
      </c>
      <c r="AJ84" s="257">
        <f>FME_Ranking1[[#This Row],[Addition check]]-FME_Ranking1[[#This Row],[Weighted Score Based on Normalized Reported Factors]]</f>
        <v>0</v>
      </c>
      <c r="AK84" s="178">
        <f>_xlfn.RANK.EQ(AI84,$AI$6:$AI$2341,0)+COUNTIF($AI$6:AI84,AI84)-1</f>
        <v>80</v>
      </c>
    </row>
    <row r="85" spans="1:37" ht="12" customHeight="1" x14ac:dyDescent="0.25">
      <c r="A85" t="s">
        <v>9887</v>
      </c>
      <c r="B85">
        <f>_xlfn.XLOOKUP(FME_Ranking1[[#This Row],[FME ID]],FME_Input[FME_ID],FME_Input[RFPG_NUM])</f>
        <v>12</v>
      </c>
      <c r="C85" t="str">
        <f>_xlfn.XLOOKUP(FME_Ranking1[[#This Row],[FME ID]],FME_Input[FME_ID],FME_Input[FME_NAME])</f>
        <v>Holistic Watershed based master planning consistent with Nature Based Solutions</v>
      </c>
      <c r="D85" t="str">
        <f>_xlfn.XLOOKUP(FME_Ranking1[[#This Row],[FME ID]],FME_Input[FME_ID],FME_Input[DESCR])</f>
        <v xml:space="preserve"> This Flood Management Evaluation (FME) will fill the knowledge gap in the region on the benefits of NFMS for floodplains, flood peak attenuation, ecosystem services, groundwater recharge, and recreational value</v>
      </c>
      <c r="E85" s="256">
        <f>_xlfn.XLOOKUP(FME_Ranking1[[#This Row],[FME ID]],FME_Input[FME_ID],FME_Input[FME_COST])</f>
        <v>2247403</v>
      </c>
      <c r="F85" t="str">
        <f>_xlfn.XLOOKUP(FME_Ranking1[[#This Row],[FME ID]],FME_Input[FME_ID],FME_Input[EMER_NEED])</f>
        <v>Yes</v>
      </c>
      <c r="G85">
        <f>IF(FME_Ranking!F85="Yes",100,0)</f>
        <v>100</v>
      </c>
      <c r="H85">
        <f>FME_Ranking1[[#This Row],[Emergency Need Score (Normalized, Unweighted)]]*$F$3</f>
        <v>0</v>
      </c>
      <c r="I85" s="246">
        <f>_xlfn.XLOOKUP(FME_Ranking1[[#This Row],[FME ID]],FME_Input[FME_ID],FME_Input[STRUCT_100])</f>
        <v>7156</v>
      </c>
      <c r="J85" s="178">
        <f>(FME_Ranking1[[#This Row],[Structures 100 Raw]]/I$2)*100</f>
        <v>3.8319838923874396</v>
      </c>
      <c r="K85" s="178">
        <f>FME_Ranking1[[#This Row],[Structures 100  Score (Normalized, Unweighted)]]*$I$3</f>
        <v>0.57479758385811597</v>
      </c>
      <c r="L85" s="246">
        <f>_xlfn.XLOOKUP(FME_Ranking1[[#This Row],[FME ID]],FME_Input[FME_ID],FME_Input[RES_STRUCT100])</f>
        <v>5573</v>
      </c>
      <c r="M85" s="230">
        <f>(FME_Ranking1[[#This Row],[Res Structures Raw]]/L$2)*100</f>
        <v>3.9473870606734565</v>
      </c>
      <c r="N85" s="180">
        <f>FME_Ranking1[[#This Row],[Res Structures Score (Normalized, Unweighted)]]*$L$3</f>
        <v>0.39473870606734568</v>
      </c>
      <c r="O85" s="244">
        <f>_xlfn.XLOOKUP(FME_Ranking1[[#This Row],[FME ID]],FME_Input[FME_ID],FME_Input[POP100])</f>
        <v>41778</v>
      </c>
      <c r="P85" s="178">
        <f>(FME_Ranking1[[#This Row],[Pop Raw]]/$O$2)*100</f>
        <v>4.2770357842665518</v>
      </c>
      <c r="Q85" s="178">
        <f>FME_Ranking1[[#This Row],[Pop Score (Normalized, Unweighted)]]*$O$3</f>
        <v>0.64155536763998278</v>
      </c>
      <c r="R85" s="137">
        <f>_xlfn.XLOOKUP(FME_Ranking1[[#This Row],[FME ID]],FME_Input[FME_ID],FME_Input[CRITFAC100])</f>
        <v>0</v>
      </c>
      <c r="S85" s="230">
        <f>(FME_Ranking1[[#This Row],[Critical Facilities Raw]]/$R$2)*100</f>
        <v>0</v>
      </c>
      <c r="T85" s="180">
        <f>FME_Ranking1[[#This Row],[Critical Facilities Score (Normalized, Unweighted)]]*$R$3</f>
        <v>0</v>
      </c>
      <c r="U85">
        <f>_xlfn.XLOOKUP(FME_Ranking1[[#This Row],[FME ID]],FME_Input[FME_ID],FME_Input[LWC])</f>
        <v>0</v>
      </c>
      <c r="V85" s="178">
        <f>(FME_Ranking1[[#This Row],[LWC Raw]]/$U$2)*100</f>
        <v>0</v>
      </c>
      <c r="W85" s="178">
        <f>FME_Ranking1[[#This Row],[LWC Score (Normalized, Unweighted)]]*$U$3</f>
        <v>0</v>
      </c>
      <c r="X85" s="246">
        <f>_xlfn.XLOOKUP(FME_Ranking1[[#This Row],[FME ID]],FME_Input[FME_ID],FME_Input[ROADCLS])</f>
        <v>2760</v>
      </c>
      <c r="Y85" s="230">
        <f>(FME_Ranking1[[#This Row],[Closures Raw]]/$X$2)*100</f>
        <v>29.019030596151822</v>
      </c>
      <c r="Z85" s="180">
        <f>FME_Ranking1[[#This Row],[Closures Score (Normalized, Unweighted)]]*$X$3</f>
        <v>1.4509515298075912</v>
      </c>
      <c r="AA85" s="253">
        <f>_xlfn.XLOOKUP(FME_Ranking1[[#This Row],[FME ID]],FME_Input[FME_ID],FME_Input[ROAD_MILES100])</f>
        <v>194.1600036621094</v>
      </c>
      <c r="AB85" s="178">
        <f>(FME_Ranking1[[#This Row],[Miles Raw]]/$AA$2)*100</f>
        <v>2.552855805841566</v>
      </c>
      <c r="AC85" s="178">
        <f>FME_Ranking1[[#This Row],[Miles Score (Normalized, Unweighted)]]*$AA$3</f>
        <v>0.25528558058415662</v>
      </c>
      <c r="AD85" s="255">
        <f>_xlfn.XLOOKUP(FME_Ranking1[[#This Row],[FME ID]],FME_Input[FME_ID],FME_Input[FARMACRE100])</f>
        <v>1054.410034179688</v>
      </c>
      <c r="AE85" s="230">
        <f>(FME_Ranking1[[#This Row],[Ag Land Raw]]/$AD$2)*100</f>
        <v>4.3479149739162143E-2</v>
      </c>
      <c r="AF85" s="231">
        <f>FME_Ranking1[[#This Row],[Ag Land Score (Normalized, Unweighted)]]*$AD$3</f>
        <v>2.1739574869581073E-3</v>
      </c>
      <c r="AG8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3.31950272544415</v>
      </c>
      <c r="AH85" s="406">
        <f t="shared" si="1"/>
        <v>81</v>
      </c>
      <c r="AI8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3.31950272544415</v>
      </c>
      <c r="AJ85" s="257">
        <f>FME_Ranking1[[#This Row],[Addition check]]-FME_Ranking1[[#This Row],[Weighted Score Based on Normalized Reported Factors]]</f>
        <v>0</v>
      </c>
      <c r="AK85" s="178">
        <f>_xlfn.RANK.EQ(AI85,$AI$6:$AI$2341,0)+COUNTIF($AI$6:AI85,AI85)-1</f>
        <v>81</v>
      </c>
    </row>
    <row r="86" spans="1:37" ht="12" customHeight="1" x14ac:dyDescent="0.25">
      <c r="A86" t="s">
        <v>530</v>
      </c>
      <c r="B86">
        <f>_xlfn.XLOOKUP(FME_Ranking1[[#This Row],[FME ID]],FME_Input[FME_ID],FME_Input[RFPG_NUM])</f>
        <v>10</v>
      </c>
      <c r="C86" t="str">
        <f>_xlfn.XLOOKUP(FME_Ranking1[[#This Row],[FME ID]],FME_Input[FME_ID],FME_Input[FME_NAME])</f>
        <v>Citywide Storm Drain Infrastructure Modeling</v>
      </c>
      <c r="D86" t="str">
        <f>_xlfn.XLOOKUP(FME_Ranking1[[#This Row],[FME ID]],FME_Input[FME_ID],FME_Input[DESCR])</f>
        <v>The goal of this project is to prepare 1D and 2D storm drain models for the entire City.</v>
      </c>
      <c r="E86" s="256">
        <f>_xlfn.XLOOKUP(FME_Ranking1[[#This Row],[FME ID]],FME_Input[FME_ID],FME_Input[FME_COST])</f>
        <v>12600000</v>
      </c>
      <c r="F86" t="str">
        <f>_xlfn.XLOOKUP(FME_Ranking1[[#This Row],[FME ID]],FME_Input[FME_ID],FME_Input[EMER_NEED])</f>
        <v>No</v>
      </c>
      <c r="G86">
        <f>IF(FME_Ranking!F86="Yes",100,0)</f>
        <v>0</v>
      </c>
      <c r="H86">
        <f>FME_Ranking1[[#This Row],[Emergency Need Score (Normalized, Unweighted)]]*$F$3</f>
        <v>0</v>
      </c>
      <c r="I86" s="246">
        <f>_xlfn.XLOOKUP(FME_Ranking1[[#This Row],[FME ID]],FME_Input[FME_ID],FME_Input[STRUCT_100])</f>
        <v>5694</v>
      </c>
      <c r="J86" s="178">
        <f>(FME_Ranking1[[#This Row],[Structures 100 Raw]]/I$2)*100</f>
        <v>3.0490939467934712</v>
      </c>
      <c r="K86" s="178">
        <f>FME_Ranking1[[#This Row],[Structures 100  Score (Normalized, Unweighted)]]*$I$3</f>
        <v>0.45736409201902067</v>
      </c>
      <c r="L86" s="246">
        <f>_xlfn.XLOOKUP(FME_Ranking1[[#This Row],[FME ID]],FME_Input[FME_ID],FME_Input[RES_STRUCT100])</f>
        <v>4028</v>
      </c>
      <c r="M86" s="230">
        <f>(FME_Ranking1[[#This Row],[Res Structures Raw]]/L$2)*100</f>
        <v>2.8530549220155543</v>
      </c>
      <c r="N86" s="180">
        <f>FME_Ranking1[[#This Row],[Res Structures Score (Normalized, Unweighted)]]*$L$3</f>
        <v>0.28530549220155543</v>
      </c>
      <c r="O86" s="244">
        <f>_xlfn.XLOOKUP(FME_Ranking1[[#This Row],[FME ID]],FME_Input[FME_ID],FME_Input[POP100])</f>
        <v>45817</v>
      </c>
      <c r="P86" s="178">
        <f>(FME_Ranking1[[#This Row],[Pop Raw]]/$O$2)*100</f>
        <v>4.6905296693891669</v>
      </c>
      <c r="Q86" s="178">
        <f>FME_Ranking1[[#This Row],[Pop Score (Normalized, Unweighted)]]*$O$3</f>
        <v>0.703579450408375</v>
      </c>
      <c r="R86" s="137">
        <f>_xlfn.XLOOKUP(FME_Ranking1[[#This Row],[FME ID]],FME_Input[FME_ID],FME_Input[CRITFAC100])</f>
        <v>10</v>
      </c>
      <c r="S86" s="230">
        <f>(FME_Ranking1[[#This Row],[Critical Facilities Raw]]/$R$2)*100</f>
        <v>0.42881646655231564</v>
      </c>
      <c r="T86" s="180">
        <f>FME_Ranking1[[#This Row],[Critical Facilities Score (Normalized, Unweighted)]]*$R$3</f>
        <v>8.5763293310463132E-2</v>
      </c>
      <c r="U86">
        <f>_xlfn.XLOOKUP(FME_Ranking1[[#This Row],[FME ID]],FME_Input[FME_ID],FME_Input[LWC])</f>
        <v>128</v>
      </c>
      <c r="V86" s="178">
        <f>(FME_Ranking1[[#This Row],[LWC Raw]]/$U$2)*100</f>
        <v>7.36902705814623</v>
      </c>
      <c r="W86" s="178">
        <f>FME_Ranking1[[#This Row],[LWC Score (Normalized, Unweighted)]]*$U$3</f>
        <v>1.4738054116292461</v>
      </c>
      <c r="X86" s="246">
        <f>_xlfn.XLOOKUP(FME_Ranking1[[#This Row],[FME ID]],FME_Input[FME_ID],FME_Input[ROADCLS])</f>
        <v>0</v>
      </c>
      <c r="Y86" s="230">
        <f>(FME_Ranking1[[#This Row],[Closures Raw]]/$X$2)*100</f>
        <v>0</v>
      </c>
      <c r="Z86" s="180">
        <f>FME_Ranking1[[#This Row],[Closures Score (Normalized, Unweighted)]]*$X$3</f>
        <v>0</v>
      </c>
      <c r="AA86" s="253">
        <f>_xlfn.XLOOKUP(FME_Ranking1[[#This Row],[FME ID]],FME_Input[FME_ID],FME_Input[ROAD_MILES100])</f>
        <v>111.7577438354492</v>
      </c>
      <c r="AB86" s="178">
        <f>(FME_Ranking1[[#This Row],[Miles Raw]]/$AA$2)*100</f>
        <v>1.469413884512395</v>
      </c>
      <c r="AC86" s="178">
        <f>FME_Ranking1[[#This Row],[Miles Score (Normalized, Unweighted)]]*$AA$3</f>
        <v>0.1469413884512395</v>
      </c>
      <c r="AD86" s="255">
        <f>_xlfn.XLOOKUP(FME_Ranking1[[#This Row],[FME ID]],FME_Input[FME_ID],FME_Input[FARMACRE100])</f>
        <v>7305.66357421875</v>
      </c>
      <c r="AE86" s="230">
        <f>(FME_Ranking1[[#This Row],[Ag Land Raw]]/$AD$2)*100</f>
        <v>0.30125286197083739</v>
      </c>
      <c r="AF86" s="231">
        <f>FME_Ranking1[[#This Row],[Ag Land Score (Normalized, Unweighted)]]*$AD$3</f>
        <v>1.506264309854187E-2</v>
      </c>
      <c r="AG8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3.1678217711184415</v>
      </c>
      <c r="AH86" s="406">
        <f t="shared" si="1"/>
        <v>90</v>
      </c>
      <c r="AI8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3.1678217711184415</v>
      </c>
      <c r="AJ86" s="257">
        <f>FME_Ranking1[[#This Row],[Addition check]]-FME_Ranking1[[#This Row],[Weighted Score Based on Normalized Reported Factors]]</f>
        <v>0</v>
      </c>
      <c r="AK86" s="178">
        <f>_xlfn.RANK.EQ(AI86,$AI$6:$AI$2341,0)+COUNTIF($AI$6:AI86,AI86)-1</f>
        <v>90</v>
      </c>
    </row>
    <row r="87" spans="1:37" ht="12" customHeight="1" x14ac:dyDescent="0.25">
      <c r="A87" t="s">
        <v>6609</v>
      </c>
      <c r="B87">
        <f>_xlfn.XLOOKUP(FME_Ranking1[[#This Row],[FME ID]],FME_Input[FME_ID],FME_Input[RFPG_NUM])</f>
        <v>7</v>
      </c>
      <c r="C87" t="str">
        <f>_xlfn.XLOOKUP(FME_Ranking1[[#This Row],[FME ID]],FME_Input[FME_ID],FME_Input[FME_NAME])</f>
        <v>Taylor County DMP</v>
      </c>
      <c r="D87" t="str">
        <f>_xlfn.XLOOKUP(FME_Ranking1[[#This Row],[FME ID]],FME_Input[FME_ID],FME_Input[DESCR])</f>
        <v>Evaluate county to identify future projects, analyze roads/stream crossing for emergency response vehicles to high hazard areas</v>
      </c>
      <c r="E87" s="256">
        <f>_xlfn.XLOOKUP(FME_Ranking1[[#This Row],[FME ID]],FME_Input[FME_ID],FME_Input[FME_COST])</f>
        <v>500000</v>
      </c>
      <c r="F87" t="str">
        <f>_xlfn.XLOOKUP(FME_Ranking1[[#This Row],[FME ID]],FME_Input[FME_ID],FME_Input[EMER_NEED])</f>
        <v>No</v>
      </c>
      <c r="G87">
        <f>IF(FME_Ranking!F87="Yes",100,0)</f>
        <v>0</v>
      </c>
      <c r="H87">
        <f>FME_Ranking1[[#This Row],[Emergency Need Score (Normalized, Unweighted)]]*$F$3</f>
        <v>0</v>
      </c>
      <c r="I87" s="246">
        <f>_xlfn.XLOOKUP(FME_Ranking1[[#This Row],[FME ID]],FME_Input[FME_ID],FME_Input[STRUCT_100])</f>
        <v>11167</v>
      </c>
      <c r="J87" s="178">
        <f>(FME_Ranking1[[#This Row],[Structures 100 Raw]]/I$2)*100</f>
        <v>5.9798440646018083</v>
      </c>
      <c r="K87" s="178">
        <f>FME_Ranking1[[#This Row],[Structures 100  Score (Normalized, Unweighted)]]*$I$3</f>
        <v>0.89697660969027126</v>
      </c>
      <c r="L87" s="246">
        <f>_xlfn.XLOOKUP(FME_Ranking1[[#This Row],[FME ID]],FME_Input[FME_ID],FME_Input[RES_STRUCT100])</f>
        <v>9822</v>
      </c>
      <c r="M87" s="230">
        <f>(FME_Ranking1[[#This Row],[Res Structures Raw]]/L$2)*100</f>
        <v>6.9569775183805307</v>
      </c>
      <c r="N87" s="180">
        <f>FME_Ranking1[[#This Row],[Res Structures Score (Normalized, Unweighted)]]*$L$3</f>
        <v>0.69569775183805316</v>
      </c>
      <c r="O87" s="244">
        <f>_xlfn.XLOOKUP(FME_Ranking1[[#This Row],[FME ID]],FME_Input[FME_ID],FME_Input[POP100])</f>
        <v>25896</v>
      </c>
      <c r="P87" s="178">
        <f>(FME_Ranking1[[#This Row],[Pop Raw]]/$O$2)*100</f>
        <v>2.651111079261014</v>
      </c>
      <c r="Q87" s="178">
        <f>FME_Ranking1[[#This Row],[Pop Score (Normalized, Unweighted)]]*$O$3</f>
        <v>0.39766666188915206</v>
      </c>
      <c r="R87" s="137">
        <f>_xlfn.XLOOKUP(FME_Ranking1[[#This Row],[FME ID]],FME_Input[FME_ID],FME_Input[CRITFAC100])</f>
        <v>11</v>
      </c>
      <c r="S87" s="230">
        <f>(FME_Ranking1[[#This Row],[Critical Facilities Raw]]/$R$2)*100</f>
        <v>0.47169811320754718</v>
      </c>
      <c r="T87" s="180">
        <f>FME_Ranking1[[#This Row],[Critical Facilities Score (Normalized, Unweighted)]]*$R$3</f>
        <v>9.4339622641509441E-2</v>
      </c>
      <c r="U87">
        <f>_xlfn.XLOOKUP(FME_Ranking1[[#This Row],[FME ID]],FME_Input[FME_ID],FME_Input[LWC])</f>
        <v>72</v>
      </c>
      <c r="V87" s="178">
        <f>(FME_Ranking1[[#This Row],[LWC Raw]]/$U$2)*100</f>
        <v>4.1450777202072544</v>
      </c>
      <c r="W87" s="178">
        <f>FME_Ranking1[[#This Row],[LWC Score (Normalized, Unweighted)]]*$U$3</f>
        <v>0.82901554404145095</v>
      </c>
      <c r="X87" s="246">
        <f>_xlfn.XLOOKUP(FME_Ranking1[[#This Row],[FME ID]],FME_Input[FME_ID],FME_Input[ROADCLS])</f>
        <v>0</v>
      </c>
      <c r="Y87" s="230">
        <f>(FME_Ranking1[[#This Row],[Closures Raw]]/$X$2)*100</f>
        <v>0</v>
      </c>
      <c r="Z87" s="180">
        <f>FME_Ranking1[[#This Row],[Closures Score (Normalized, Unweighted)]]*$X$3</f>
        <v>0</v>
      </c>
      <c r="AA87" s="253">
        <f>_xlfn.XLOOKUP(FME_Ranking1[[#This Row],[FME ID]],FME_Input[FME_ID],FME_Input[ROAD_MILES100])</f>
        <v>244.58934020996091</v>
      </c>
      <c r="AB87" s="178">
        <f>(FME_Ranking1[[#This Row],[Miles Raw]]/$AA$2)*100</f>
        <v>3.2159111321844782</v>
      </c>
      <c r="AC87" s="178">
        <f>FME_Ranking1[[#This Row],[Miles Score (Normalized, Unweighted)]]*$AA$3</f>
        <v>0.32159111321844785</v>
      </c>
      <c r="AD87" s="255">
        <f>_xlfn.XLOOKUP(FME_Ranking1[[#This Row],[FME ID]],FME_Input[FME_ID],FME_Input[FARMACRE100])</f>
        <v>7516.33935546875</v>
      </c>
      <c r="AE87" s="230">
        <f>(FME_Ranking1[[#This Row],[Ag Land Raw]]/$AD$2)*100</f>
        <v>0.30994018809867535</v>
      </c>
      <c r="AF87" s="231">
        <f>FME_Ranking1[[#This Row],[Ag Land Score (Normalized, Unweighted)]]*$AD$3</f>
        <v>1.5497009404933768E-2</v>
      </c>
      <c r="AG8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3.2507843127238183</v>
      </c>
      <c r="AH87" s="406">
        <f t="shared" si="1"/>
        <v>82</v>
      </c>
      <c r="AI8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3.2507843127238183</v>
      </c>
      <c r="AJ87" s="257">
        <f>FME_Ranking1[[#This Row],[Addition check]]-FME_Ranking1[[#This Row],[Weighted Score Based on Normalized Reported Factors]]</f>
        <v>0</v>
      </c>
      <c r="AK87" s="178">
        <f>_xlfn.RANK.EQ(AI87,$AI$6:$AI$2341,0)+COUNTIF($AI$6:AI87,AI87)-1</f>
        <v>82</v>
      </c>
    </row>
    <row r="88" spans="1:37" ht="12" customHeight="1" x14ac:dyDescent="0.25">
      <c r="A88" t="s">
        <v>6617</v>
      </c>
      <c r="B88">
        <f>_xlfn.XLOOKUP(FME_Ranking1[[#This Row],[FME ID]],FME_Input[FME_ID],FME_Input[RFPG_NUM])</f>
        <v>7</v>
      </c>
      <c r="C88" t="str">
        <f>_xlfn.XLOOKUP(FME_Ranking1[[#This Row],[FME ID]],FME_Input[FME_ID],FME_Input[FME_NAME])</f>
        <v>Taylor County GIS Development</v>
      </c>
      <c r="D88" t="str">
        <f>_xlfn.XLOOKUP(FME_Ranking1[[#This Row],[FME ID]],FME_Input[FME_ID],FME_Input[DESCR])</f>
        <v>Develop a GIS inventory of stormwater infrastructure</v>
      </c>
      <c r="E88" s="256">
        <f>_xlfn.XLOOKUP(FME_Ranking1[[#This Row],[FME ID]],FME_Input[FME_ID],FME_Input[FME_COST])</f>
        <v>100000</v>
      </c>
      <c r="F88" t="str">
        <f>_xlfn.XLOOKUP(FME_Ranking1[[#This Row],[FME ID]],FME_Input[FME_ID],FME_Input[EMER_NEED])</f>
        <v>No</v>
      </c>
      <c r="G88">
        <f>IF(FME_Ranking!F88="Yes",100,0)</f>
        <v>0</v>
      </c>
      <c r="H88">
        <f>FME_Ranking1[[#This Row],[Emergency Need Score (Normalized, Unweighted)]]*$F$3</f>
        <v>0</v>
      </c>
      <c r="I88" s="246">
        <f>_xlfn.XLOOKUP(FME_Ranking1[[#This Row],[FME ID]],FME_Input[FME_ID],FME_Input[STRUCT_100])</f>
        <v>11167</v>
      </c>
      <c r="J88" s="178">
        <f>(FME_Ranking1[[#This Row],[Structures 100 Raw]]/I$2)*100</f>
        <v>5.9798440646018083</v>
      </c>
      <c r="K88" s="178">
        <f>FME_Ranking1[[#This Row],[Structures 100  Score (Normalized, Unweighted)]]*$I$3</f>
        <v>0.89697660969027126</v>
      </c>
      <c r="L88" s="246">
        <f>_xlfn.XLOOKUP(FME_Ranking1[[#This Row],[FME ID]],FME_Input[FME_ID],FME_Input[RES_STRUCT100])</f>
        <v>9822</v>
      </c>
      <c r="M88" s="230">
        <f>(FME_Ranking1[[#This Row],[Res Structures Raw]]/L$2)*100</f>
        <v>6.9569775183805307</v>
      </c>
      <c r="N88" s="180">
        <f>FME_Ranking1[[#This Row],[Res Structures Score (Normalized, Unweighted)]]*$L$3</f>
        <v>0.69569775183805316</v>
      </c>
      <c r="O88" s="244">
        <f>_xlfn.XLOOKUP(FME_Ranking1[[#This Row],[FME ID]],FME_Input[FME_ID],FME_Input[POP100])</f>
        <v>25896</v>
      </c>
      <c r="P88" s="178">
        <f>(FME_Ranking1[[#This Row],[Pop Raw]]/$O$2)*100</f>
        <v>2.651111079261014</v>
      </c>
      <c r="Q88" s="178">
        <f>FME_Ranking1[[#This Row],[Pop Score (Normalized, Unweighted)]]*$O$3</f>
        <v>0.39766666188915206</v>
      </c>
      <c r="R88" s="137">
        <f>_xlfn.XLOOKUP(FME_Ranking1[[#This Row],[FME ID]],FME_Input[FME_ID],FME_Input[CRITFAC100])</f>
        <v>11</v>
      </c>
      <c r="S88" s="230">
        <f>(FME_Ranking1[[#This Row],[Critical Facilities Raw]]/$R$2)*100</f>
        <v>0.47169811320754718</v>
      </c>
      <c r="T88" s="180">
        <f>FME_Ranking1[[#This Row],[Critical Facilities Score (Normalized, Unweighted)]]*$R$3</f>
        <v>9.4339622641509441E-2</v>
      </c>
      <c r="U88">
        <f>_xlfn.XLOOKUP(FME_Ranking1[[#This Row],[FME ID]],FME_Input[FME_ID],FME_Input[LWC])</f>
        <v>72</v>
      </c>
      <c r="V88" s="178">
        <f>(FME_Ranking1[[#This Row],[LWC Raw]]/$U$2)*100</f>
        <v>4.1450777202072544</v>
      </c>
      <c r="W88" s="178">
        <f>FME_Ranking1[[#This Row],[LWC Score (Normalized, Unweighted)]]*$U$3</f>
        <v>0.82901554404145095</v>
      </c>
      <c r="X88" s="246">
        <f>_xlfn.XLOOKUP(FME_Ranking1[[#This Row],[FME ID]],FME_Input[FME_ID],FME_Input[ROADCLS])</f>
        <v>0</v>
      </c>
      <c r="Y88" s="230">
        <f>(FME_Ranking1[[#This Row],[Closures Raw]]/$X$2)*100</f>
        <v>0</v>
      </c>
      <c r="Z88" s="180">
        <f>FME_Ranking1[[#This Row],[Closures Score (Normalized, Unweighted)]]*$X$3</f>
        <v>0</v>
      </c>
      <c r="AA88" s="253">
        <f>_xlfn.XLOOKUP(FME_Ranking1[[#This Row],[FME ID]],FME_Input[FME_ID],FME_Input[ROAD_MILES100])</f>
        <v>244.58934020996091</v>
      </c>
      <c r="AB88" s="178">
        <f>(FME_Ranking1[[#This Row],[Miles Raw]]/$AA$2)*100</f>
        <v>3.2159111321844782</v>
      </c>
      <c r="AC88" s="178">
        <f>FME_Ranking1[[#This Row],[Miles Score (Normalized, Unweighted)]]*$AA$3</f>
        <v>0.32159111321844785</v>
      </c>
      <c r="AD88" s="255">
        <f>_xlfn.XLOOKUP(FME_Ranking1[[#This Row],[FME ID]],FME_Input[FME_ID],FME_Input[FARMACRE100])</f>
        <v>7516.33935546875</v>
      </c>
      <c r="AE88" s="230">
        <f>(FME_Ranking1[[#This Row],[Ag Land Raw]]/$AD$2)*100</f>
        <v>0.30994018809867535</v>
      </c>
      <c r="AF88" s="231">
        <f>FME_Ranking1[[#This Row],[Ag Land Score (Normalized, Unweighted)]]*$AD$3</f>
        <v>1.5497009404933768E-2</v>
      </c>
      <c r="AG8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3.2507843127238183</v>
      </c>
      <c r="AH88" s="406">
        <f t="shared" si="1"/>
        <v>82</v>
      </c>
      <c r="AI8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3.2507843127238183</v>
      </c>
      <c r="AJ88" s="257">
        <f>FME_Ranking1[[#This Row],[Addition check]]-FME_Ranking1[[#This Row],[Weighted Score Based on Normalized Reported Factors]]</f>
        <v>0</v>
      </c>
      <c r="AK88" s="178">
        <f>_xlfn.RANK.EQ(AI88,$AI$6:$AI$2341,0)+COUNTIF($AI$6:AI88,AI88)-1</f>
        <v>83</v>
      </c>
    </row>
    <row r="89" spans="1:37" ht="12" customHeight="1" x14ac:dyDescent="0.25">
      <c r="A89" t="s">
        <v>7198</v>
      </c>
      <c r="B89">
        <f>_xlfn.XLOOKUP(FME_Ranking1[[#This Row],[FME ID]],FME_Input[FME_ID],FME_Input[RFPG_NUM])</f>
        <v>7</v>
      </c>
      <c r="C89" t="str">
        <f>_xlfn.XLOOKUP(FME_Ranking1[[#This Row],[FME ID]],FME_Input[FME_ID],FME_Input[FME_NAME])</f>
        <v>Taylor County DCM</v>
      </c>
      <c r="D89" t="str">
        <f>_xlfn.XLOOKUP(FME_Ranking1[[#This Row],[FME ID]],FME_Input[FME_ID],FME_Input[DESCR])</f>
        <v>Consider stormwater criteria for infrastructure and floodplain ordinances to avoid new exposure to flood hazards.</v>
      </c>
      <c r="E89" s="256">
        <f>_xlfn.XLOOKUP(FME_Ranking1[[#This Row],[FME ID]],FME_Input[FME_ID],FME_Input[FME_COST])</f>
        <v>100000</v>
      </c>
      <c r="F89" t="str">
        <f>_xlfn.XLOOKUP(FME_Ranking1[[#This Row],[FME ID]],FME_Input[FME_ID],FME_Input[EMER_NEED])</f>
        <v>No</v>
      </c>
      <c r="G89">
        <f>IF(FME_Ranking!F89="Yes",100,0)</f>
        <v>0</v>
      </c>
      <c r="H89">
        <f>FME_Ranking1[[#This Row],[Emergency Need Score (Normalized, Unweighted)]]*$F$3</f>
        <v>0</v>
      </c>
      <c r="I89" s="246">
        <f>_xlfn.XLOOKUP(FME_Ranking1[[#This Row],[FME ID]],FME_Input[FME_ID],FME_Input[STRUCT_100])</f>
        <v>11167</v>
      </c>
      <c r="J89" s="178">
        <f>(FME_Ranking1[[#This Row],[Structures 100 Raw]]/I$2)*100</f>
        <v>5.9798440646018083</v>
      </c>
      <c r="K89" s="178">
        <f>FME_Ranking1[[#This Row],[Structures 100  Score (Normalized, Unweighted)]]*$I$3</f>
        <v>0.89697660969027126</v>
      </c>
      <c r="L89" s="246">
        <f>_xlfn.XLOOKUP(FME_Ranking1[[#This Row],[FME ID]],FME_Input[FME_ID],FME_Input[RES_STRUCT100])</f>
        <v>9822</v>
      </c>
      <c r="M89" s="230">
        <f>(FME_Ranking1[[#This Row],[Res Structures Raw]]/L$2)*100</f>
        <v>6.9569775183805307</v>
      </c>
      <c r="N89" s="180">
        <f>FME_Ranking1[[#This Row],[Res Structures Score (Normalized, Unweighted)]]*$L$3</f>
        <v>0.69569775183805316</v>
      </c>
      <c r="O89" s="244">
        <f>_xlfn.XLOOKUP(FME_Ranking1[[#This Row],[FME ID]],FME_Input[FME_ID],FME_Input[POP100])</f>
        <v>25896</v>
      </c>
      <c r="P89" s="178">
        <f>(FME_Ranking1[[#This Row],[Pop Raw]]/$O$2)*100</f>
        <v>2.651111079261014</v>
      </c>
      <c r="Q89" s="178">
        <f>FME_Ranking1[[#This Row],[Pop Score (Normalized, Unweighted)]]*$O$3</f>
        <v>0.39766666188915206</v>
      </c>
      <c r="R89" s="137">
        <f>_xlfn.XLOOKUP(FME_Ranking1[[#This Row],[FME ID]],FME_Input[FME_ID],FME_Input[CRITFAC100])</f>
        <v>11</v>
      </c>
      <c r="S89" s="230">
        <f>(FME_Ranking1[[#This Row],[Critical Facilities Raw]]/$R$2)*100</f>
        <v>0.47169811320754718</v>
      </c>
      <c r="T89" s="180">
        <f>FME_Ranking1[[#This Row],[Critical Facilities Score (Normalized, Unweighted)]]*$R$3</f>
        <v>9.4339622641509441E-2</v>
      </c>
      <c r="U89">
        <f>_xlfn.XLOOKUP(FME_Ranking1[[#This Row],[FME ID]],FME_Input[FME_ID],FME_Input[LWC])</f>
        <v>72</v>
      </c>
      <c r="V89" s="178">
        <f>(FME_Ranking1[[#This Row],[LWC Raw]]/$U$2)*100</f>
        <v>4.1450777202072544</v>
      </c>
      <c r="W89" s="178">
        <f>FME_Ranking1[[#This Row],[LWC Score (Normalized, Unweighted)]]*$U$3</f>
        <v>0.82901554404145095</v>
      </c>
      <c r="X89" s="246">
        <f>_xlfn.XLOOKUP(FME_Ranking1[[#This Row],[FME ID]],FME_Input[FME_ID],FME_Input[ROADCLS])</f>
        <v>0</v>
      </c>
      <c r="Y89" s="230">
        <f>(FME_Ranking1[[#This Row],[Closures Raw]]/$X$2)*100</f>
        <v>0</v>
      </c>
      <c r="Z89" s="180">
        <f>FME_Ranking1[[#This Row],[Closures Score (Normalized, Unweighted)]]*$X$3</f>
        <v>0</v>
      </c>
      <c r="AA89" s="253">
        <f>_xlfn.XLOOKUP(FME_Ranking1[[#This Row],[FME ID]],FME_Input[FME_ID],FME_Input[ROAD_MILES100])</f>
        <v>244.58934020996091</v>
      </c>
      <c r="AB89" s="178">
        <f>(FME_Ranking1[[#This Row],[Miles Raw]]/$AA$2)*100</f>
        <v>3.2159111321844782</v>
      </c>
      <c r="AC89" s="178">
        <f>FME_Ranking1[[#This Row],[Miles Score (Normalized, Unweighted)]]*$AA$3</f>
        <v>0.32159111321844785</v>
      </c>
      <c r="AD89" s="255">
        <f>_xlfn.XLOOKUP(FME_Ranking1[[#This Row],[FME ID]],FME_Input[FME_ID],FME_Input[FARMACRE100])</f>
        <v>7516.33935546875</v>
      </c>
      <c r="AE89" s="230">
        <f>(FME_Ranking1[[#This Row],[Ag Land Raw]]/$AD$2)*100</f>
        <v>0.30994018809867535</v>
      </c>
      <c r="AF89" s="231">
        <f>FME_Ranking1[[#This Row],[Ag Land Score (Normalized, Unweighted)]]*$AD$3</f>
        <v>1.5497009404933768E-2</v>
      </c>
      <c r="AG8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3.2507843127238183</v>
      </c>
      <c r="AH89" s="406">
        <f t="shared" si="1"/>
        <v>82</v>
      </c>
      <c r="AI8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3.2507843127238183</v>
      </c>
      <c r="AJ89" s="257">
        <f>FME_Ranking1[[#This Row],[Addition check]]-FME_Ranking1[[#This Row],[Weighted Score Based on Normalized Reported Factors]]</f>
        <v>0</v>
      </c>
      <c r="AK89" s="178">
        <f>_xlfn.RANK.EQ(AI89,$AI$6:$AI$2341,0)+COUNTIF($AI$6:AI89,AI89)-1</f>
        <v>84</v>
      </c>
    </row>
    <row r="90" spans="1:37" ht="12" customHeight="1" x14ac:dyDescent="0.25">
      <c r="A90" t="s">
        <v>7200</v>
      </c>
      <c r="B90">
        <f>_xlfn.XLOOKUP(FME_Ranking1[[#This Row],[FME ID]],FME_Input[FME_ID],FME_Input[RFPG_NUM])</f>
        <v>7</v>
      </c>
      <c r="C90" t="str">
        <f>_xlfn.XLOOKUP(FME_Ranking1[[#This Row],[FME ID]],FME_Input[FME_ID],FME_Input[FME_NAME])</f>
        <v>Taylor County Stream Restoration Program</v>
      </c>
      <c r="D90" t="str">
        <f>_xlfn.XLOOKUP(FME_Ranking1[[#This Row],[FME ID]],FME_Input[FME_ID],FME_Input[DESCR])</f>
        <v>Implement stream restoration / channelization program to ensure adequate drainage / diversion of stormwater.</v>
      </c>
      <c r="E90" s="256">
        <f>_xlfn.XLOOKUP(FME_Ranking1[[#This Row],[FME ID]],FME_Input[FME_ID],FME_Input[FME_COST])</f>
        <v>500000</v>
      </c>
      <c r="F90" t="str">
        <f>_xlfn.XLOOKUP(FME_Ranking1[[#This Row],[FME ID]],FME_Input[FME_ID],FME_Input[EMER_NEED])</f>
        <v>No</v>
      </c>
      <c r="G90">
        <f>IF(FME_Ranking!F90="Yes",100,0)</f>
        <v>0</v>
      </c>
      <c r="H90">
        <f>FME_Ranking1[[#This Row],[Emergency Need Score (Normalized, Unweighted)]]*$F$3</f>
        <v>0</v>
      </c>
      <c r="I90" s="246">
        <f>_xlfn.XLOOKUP(FME_Ranking1[[#This Row],[FME ID]],FME_Input[FME_ID],FME_Input[STRUCT_100])</f>
        <v>11167</v>
      </c>
      <c r="J90" s="178">
        <f>(FME_Ranking1[[#This Row],[Structures 100 Raw]]/I$2)*100</f>
        <v>5.9798440646018083</v>
      </c>
      <c r="K90" s="178">
        <f>FME_Ranking1[[#This Row],[Structures 100  Score (Normalized, Unweighted)]]*$I$3</f>
        <v>0.89697660969027126</v>
      </c>
      <c r="L90" s="246">
        <f>_xlfn.XLOOKUP(FME_Ranking1[[#This Row],[FME ID]],FME_Input[FME_ID],FME_Input[RES_STRUCT100])</f>
        <v>9822</v>
      </c>
      <c r="M90" s="230">
        <f>(FME_Ranking1[[#This Row],[Res Structures Raw]]/L$2)*100</f>
        <v>6.9569775183805307</v>
      </c>
      <c r="N90" s="180">
        <f>FME_Ranking1[[#This Row],[Res Structures Score (Normalized, Unweighted)]]*$L$3</f>
        <v>0.69569775183805316</v>
      </c>
      <c r="O90" s="244">
        <f>_xlfn.XLOOKUP(FME_Ranking1[[#This Row],[FME ID]],FME_Input[FME_ID],FME_Input[POP100])</f>
        <v>25896</v>
      </c>
      <c r="P90" s="178">
        <f>(FME_Ranking1[[#This Row],[Pop Raw]]/$O$2)*100</f>
        <v>2.651111079261014</v>
      </c>
      <c r="Q90" s="178">
        <f>FME_Ranking1[[#This Row],[Pop Score (Normalized, Unweighted)]]*$O$3</f>
        <v>0.39766666188915206</v>
      </c>
      <c r="R90" s="137">
        <f>_xlfn.XLOOKUP(FME_Ranking1[[#This Row],[FME ID]],FME_Input[FME_ID],FME_Input[CRITFAC100])</f>
        <v>11</v>
      </c>
      <c r="S90" s="230">
        <f>(FME_Ranking1[[#This Row],[Critical Facilities Raw]]/$R$2)*100</f>
        <v>0.47169811320754718</v>
      </c>
      <c r="T90" s="180">
        <f>FME_Ranking1[[#This Row],[Critical Facilities Score (Normalized, Unweighted)]]*$R$3</f>
        <v>9.4339622641509441E-2</v>
      </c>
      <c r="U90">
        <f>_xlfn.XLOOKUP(FME_Ranking1[[#This Row],[FME ID]],FME_Input[FME_ID],FME_Input[LWC])</f>
        <v>72</v>
      </c>
      <c r="V90" s="178">
        <f>(FME_Ranking1[[#This Row],[LWC Raw]]/$U$2)*100</f>
        <v>4.1450777202072544</v>
      </c>
      <c r="W90" s="178">
        <f>FME_Ranking1[[#This Row],[LWC Score (Normalized, Unweighted)]]*$U$3</f>
        <v>0.82901554404145095</v>
      </c>
      <c r="X90" s="246">
        <f>_xlfn.XLOOKUP(FME_Ranking1[[#This Row],[FME ID]],FME_Input[FME_ID],FME_Input[ROADCLS])</f>
        <v>0</v>
      </c>
      <c r="Y90" s="230">
        <f>(FME_Ranking1[[#This Row],[Closures Raw]]/$X$2)*100</f>
        <v>0</v>
      </c>
      <c r="Z90" s="180">
        <f>FME_Ranking1[[#This Row],[Closures Score (Normalized, Unweighted)]]*$X$3</f>
        <v>0</v>
      </c>
      <c r="AA90" s="253">
        <f>_xlfn.XLOOKUP(FME_Ranking1[[#This Row],[FME ID]],FME_Input[FME_ID],FME_Input[ROAD_MILES100])</f>
        <v>244.58934020996091</v>
      </c>
      <c r="AB90" s="178">
        <f>(FME_Ranking1[[#This Row],[Miles Raw]]/$AA$2)*100</f>
        <v>3.2159111321844782</v>
      </c>
      <c r="AC90" s="178">
        <f>FME_Ranking1[[#This Row],[Miles Score (Normalized, Unweighted)]]*$AA$3</f>
        <v>0.32159111321844785</v>
      </c>
      <c r="AD90" s="255">
        <f>_xlfn.XLOOKUP(FME_Ranking1[[#This Row],[FME ID]],FME_Input[FME_ID],FME_Input[FARMACRE100])</f>
        <v>7516.33935546875</v>
      </c>
      <c r="AE90" s="230">
        <f>(FME_Ranking1[[#This Row],[Ag Land Raw]]/$AD$2)*100</f>
        <v>0.30994018809867535</v>
      </c>
      <c r="AF90" s="231">
        <f>FME_Ranking1[[#This Row],[Ag Land Score (Normalized, Unweighted)]]*$AD$3</f>
        <v>1.5497009404933768E-2</v>
      </c>
      <c r="AG9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3.2507843127238183</v>
      </c>
      <c r="AH90" s="406">
        <f t="shared" si="1"/>
        <v>82</v>
      </c>
      <c r="AI9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3.2507843127238183</v>
      </c>
      <c r="AJ90" s="257">
        <f>FME_Ranking1[[#This Row],[Addition check]]-FME_Ranking1[[#This Row],[Weighted Score Based on Normalized Reported Factors]]</f>
        <v>0</v>
      </c>
      <c r="AK90" s="178">
        <f>_xlfn.RANK.EQ(AI90,$AI$6:$AI$2341,0)+COUNTIF($AI$6:AI90,AI90)-1</f>
        <v>85</v>
      </c>
    </row>
    <row r="91" spans="1:37" ht="12" customHeight="1" x14ac:dyDescent="0.25">
      <c r="A91" t="s">
        <v>7202</v>
      </c>
      <c r="B91">
        <f>_xlfn.XLOOKUP(FME_Ranking1[[#This Row],[FME ID]],FME_Input[FME_ID],FME_Input[RFPG_NUM])</f>
        <v>7</v>
      </c>
      <c r="C91" t="str">
        <f>_xlfn.XLOOKUP(FME_Ranking1[[#This Row],[FME ID]],FME_Input[FME_ID],FME_Input[FME_NAME])</f>
        <v>Taylor County Dam Inspection Program</v>
      </c>
      <c r="D91" t="str">
        <f>_xlfn.XLOOKUP(FME_Ranking1[[#This Row],[FME ID]],FME_Input[FME_ID],FME_Input[DESCR])</f>
        <v>Annual dam inspection, partner with SWCD to help fund repairs and maintenance, partner with property owners to report new damage or erosion, and patrol for illegal dumping at dams.</v>
      </c>
      <c r="E91" s="256">
        <f>_xlfn.XLOOKUP(FME_Ranking1[[#This Row],[FME ID]],FME_Input[FME_ID],FME_Input[FME_COST])</f>
        <v>100000</v>
      </c>
      <c r="F91" t="str">
        <f>_xlfn.XLOOKUP(FME_Ranking1[[#This Row],[FME ID]],FME_Input[FME_ID],FME_Input[EMER_NEED])</f>
        <v>No</v>
      </c>
      <c r="G91">
        <f>IF(FME_Ranking!F91="Yes",100,0)</f>
        <v>0</v>
      </c>
      <c r="H91">
        <f>FME_Ranking1[[#This Row],[Emergency Need Score (Normalized, Unweighted)]]*$F$3</f>
        <v>0</v>
      </c>
      <c r="I91" s="246">
        <f>_xlfn.XLOOKUP(FME_Ranking1[[#This Row],[FME ID]],FME_Input[FME_ID],FME_Input[STRUCT_100])</f>
        <v>11167</v>
      </c>
      <c r="J91" s="178">
        <f>(FME_Ranking1[[#This Row],[Structures 100 Raw]]/I$2)*100</f>
        <v>5.9798440646018083</v>
      </c>
      <c r="K91" s="178">
        <f>FME_Ranking1[[#This Row],[Structures 100  Score (Normalized, Unweighted)]]*$I$3</f>
        <v>0.89697660969027126</v>
      </c>
      <c r="L91" s="246">
        <f>_xlfn.XLOOKUP(FME_Ranking1[[#This Row],[FME ID]],FME_Input[FME_ID],FME_Input[RES_STRUCT100])</f>
        <v>9822</v>
      </c>
      <c r="M91" s="230">
        <f>(FME_Ranking1[[#This Row],[Res Structures Raw]]/L$2)*100</f>
        <v>6.9569775183805307</v>
      </c>
      <c r="N91" s="180">
        <f>FME_Ranking1[[#This Row],[Res Structures Score (Normalized, Unweighted)]]*$L$3</f>
        <v>0.69569775183805316</v>
      </c>
      <c r="O91" s="244">
        <f>_xlfn.XLOOKUP(FME_Ranking1[[#This Row],[FME ID]],FME_Input[FME_ID],FME_Input[POP100])</f>
        <v>25896</v>
      </c>
      <c r="P91" s="178">
        <f>(FME_Ranking1[[#This Row],[Pop Raw]]/$O$2)*100</f>
        <v>2.651111079261014</v>
      </c>
      <c r="Q91" s="178">
        <f>FME_Ranking1[[#This Row],[Pop Score (Normalized, Unweighted)]]*$O$3</f>
        <v>0.39766666188915206</v>
      </c>
      <c r="R91" s="137">
        <f>_xlfn.XLOOKUP(FME_Ranking1[[#This Row],[FME ID]],FME_Input[FME_ID],FME_Input[CRITFAC100])</f>
        <v>11</v>
      </c>
      <c r="S91" s="230">
        <f>(FME_Ranking1[[#This Row],[Critical Facilities Raw]]/$R$2)*100</f>
        <v>0.47169811320754718</v>
      </c>
      <c r="T91" s="180">
        <f>FME_Ranking1[[#This Row],[Critical Facilities Score (Normalized, Unweighted)]]*$R$3</f>
        <v>9.4339622641509441E-2</v>
      </c>
      <c r="U91">
        <f>_xlfn.XLOOKUP(FME_Ranking1[[#This Row],[FME ID]],FME_Input[FME_ID],FME_Input[LWC])</f>
        <v>72</v>
      </c>
      <c r="V91" s="178">
        <f>(FME_Ranking1[[#This Row],[LWC Raw]]/$U$2)*100</f>
        <v>4.1450777202072544</v>
      </c>
      <c r="W91" s="178">
        <f>FME_Ranking1[[#This Row],[LWC Score (Normalized, Unweighted)]]*$U$3</f>
        <v>0.82901554404145095</v>
      </c>
      <c r="X91" s="246">
        <f>_xlfn.XLOOKUP(FME_Ranking1[[#This Row],[FME ID]],FME_Input[FME_ID],FME_Input[ROADCLS])</f>
        <v>0</v>
      </c>
      <c r="Y91" s="230">
        <f>(FME_Ranking1[[#This Row],[Closures Raw]]/$X$2)*100</f>
        <v>0</v>
      </c>
      <c r="Z91" s="180">
        <f>FME_Ranking1[[#This Row],[Closures Score (Normalized, Unweighted)]]*$X$3</f>
        <v>0</v>
      </c>
      <c r="AA91" s="253">
        <f>_xlfn.XLOOKUP(FME_Ranking1[[#This Row],[FME ID]],FME_Input[FME_ID],FME_Input[ROAD_MILES100])</f>
        <v>244.58934020996091</v>
      </c>
      <c r="AB91" s="178">
        <f>(FME_Ranking1[[#This Row],[Miles Raw]]/$AA$2)*100</f>
        <v>3.2159111321844782</v>
      </c>
      <c r="AC91" s="178">
        <f>FME_Ranking1[[#This Row],[Miles Score (Normalized, Unweighted)]]*$AA$3</f>
        <v>0.32159111321844785</v>
      </c>
      <c r="AD91" s="255">
        <f>_xlfn.XLOOKUP(FME_Ranking1[[#This Row],[FME ID]],FME_Input[FME_ID],FME_Input[FARMACRE100])</f>
        <v>7516.33935546875</v>
      </c>
      <c r="AE91" s="230">
        <f>(FME_Ranking1[[#This Row],[Ag Land Raw]]/$AD$2)*100</f>
        <v>0.30994018809867535</v>
      </c>
      <c r="AF91" s="231">
        <f>FME_Ranking1[[#This Row],[Ag Land Score (Normalized, Unweighted)]]*$AD$3</f>
        <v>1.5497009404933768E-2</v>
      </c>
      <c r="AG9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3.2507843127238183</v>
      </c>
      <c r="AH91" s="406">
        <f t="shared" si="1"/>
        <v>82</v>
      </c>
      <c r="AI9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3.2507843127238183</v>
      </c>
      <c r="AJ91" s="257">
        <f>FME_Ranking1[[#This Row],[Addition check]]-FME_Ranking1[[#This Row],[Weighted Score Based on Normalized Reported Factors]]</f>
        <v>0</v>
      </c>
      <c r="AK91" s="178">
        <f>_xlfn.RANK.EQ(AI91,$AI$6:$AI$2341,0)+COUNTIF($AI$6:AI91,AI91)-1</f>
        <v>86</v>
      </c>
    </row>
    <row r="92" spans="1:37" ht="12" customHeight="1" x14ac:dyDescent="0.25">
      <c r="A92" t="s">
        <v>3838</v>
      </c>
      <c r="B92">
        <f>_xlfn.XLOOKUP(FME_Ranking1[[#This Row],[FME ID]],FME_Input[FME_ID],FME_Input[RFPG_NUM])</f>
        <v>3</v>
      </c>
      <c r="C92" t="str">
        <f>_xlfn.XLOOKUP(FME_Ranking1[[#This Row],[FME ID]],FME_Input[FME_ID],FME_Input[FME_NAME])</f>
        <v>Denton County FEMA Mapping</v>
      </c>
      <c r="D92" t="str">
        <f>_xlfn.XLOOKUP(FME_Ranking1[[#This Row],[FME ID]],FME_Input[FME_ID],FME_Input[DESCR])</f>
        <v>Create FEMA mapping in previously unmapped areas and update existing FEMA maps as needed.</v>
      </c>
      <c r="E92" s="256">
        <f>_xlfn.XLOOKUP(FME_Ranking1[[#This Row],[FME ID]],FME_Input[FME_ID],FME_Input[FME_COST])</f>
        <v>1140000</v>
      </c>
      <c r="F92" t="str">
        <f>_xlfn.XLOOKUP(FME_Ranking1[[#This Row],[FME ID]],FME_Input[FME_ID],FME_Input[EMER_NEED])</f>
        <v>No</v>
      </c>
      <c r="G92">
        <f>IF(FME_Ranking!F92="Yes",100,0)</f>
        <v>0</v>
      </c>
      <c r="H92">
        <f>FME_Ranking1[[#This Row],[Emergency Need Score (Normalized, Unweighted)]]*$F$3</f>
        <v>0</v>
      </c>
      <c r="I92" s="246">
        <f>_xlfn.XLOOKUP(FME_Ranking1[[#This Row],[FME ID]],FME_Input[FME_ID],FME_Input[STRUCT_100])</f>
        <v>4675</v>
      </c>
      <c r="J92" s="178">
        <f>(FME_Ranking1[[#This Row],[Structures 100 Raw]]/I$2)*100</f>
        <v>2.5034271516086193</v>
      </c>
      <c r="K92" s="178">
        <f>FME_Ranking1[[#This Row],[Structures 100  Score (Normalized, Unweighted)]]*$I$3</f>
        <v>0.37551407274129289</v>
      </c>
      <c r="L92" s="246">
        <f>_xlfn.XLOOKUP(FME_Ranking1[[#This Row],[FME ID]],FME_Input[FME_ID],FME_Input[RES_STRUCT100])</f>
        <v>3634</v>
      </c>
      <c r="M92" s="230">
        <f>(FME_Ranking1[[#This Row],[Res Structures Raw]]/L$2)*100</f>
        <v>2.573982519018005</v>
      </c>
      <c r="N92" s="180">
        <f>FME_Ranking1[[#This Row],[Res Structures Score (Normalized, Unweighted)]]*$L$3</f>
        <v>0.25739825190180049</v>
      </c>
      <c r="O92" s="244">
        <f>_xlfn.XLOOKUP(FME_Ranking1[[#This Row],[FME ID]],FME_Input[FME_ID],FME_Input[POP100])</f>
        <v>18656</v>
      </c>
      <c r="P92" s="178">
        <f>(FME_Ranking1[[#This Row],[Pop Raw]]/$O$2)*100</f>
        <v>1.9099138204623678</v>
      </c>
      <c r="Q92" s="178">
        <f>FME_Ranking1[[#This Row],[Pop Score (Normalized, Unweighted)]]*$O$3</f>
        <v>0.28648707306935517</v>
      </c>
      <c r="R92" s="137">
        <f>_xlfn.XLOOKUP(FME_Ranking1[[#This Row],[FME ID]],FME_Input[FME_ID],FME_Input[CRITFAC100])</f>
        <v>89</v>
      </c>
      <c r="S92" s="230">
        <f>(FME_Ranking1[[#This Row],[Critical Facilities Raw]]/$R$2)*100</f>
        <v>3.8164665523156089</v>
      </c>
      <c r="T92" s="180">
        <f>FME_Ranking1[[#This Row],[Critical Facilities Score (Normalized, Unweighted)]]*$R$3</f>
        <v>0.76329331046312188</v>
      </c>
      <c r="U92">
        <f>_xlfn.XLOOKUP(FME_Ranking1[[#This Row],[FME ID]],FME_Input[FME_ID],FME_Input[LWC])</f>
        <v>97</v>
      </c>
      <c r="V92" s="178">
        <f>(FME_Ranking1[[#This Row],[LWC Raw]]/$U$2)*100</f>
        <v>5.58434081750144</v>
      </c>
      <c r="W92" s="178">
        <f>FME_Ranking1[[#This Row],[LWC Score (Normalized, Unweighted)]]*$U$3</f>
        <v>1.1168681635002879</v>
      </c>
      <c r="X92" s="246">
        <f>_xlfn.XLOOKUP(FME_Ranking1[[#This Row],[FME ID]],FME_Input[FME_ID],FME_Input[ROADCLS])</f>
        <v>0</v>
      </c>
      <c r="Y92" s="230">
        <f>(FME_Ranking1[[#This Row],[Closures Raw]]/$X$2)*100</f>
        <v>0</v>
      </c>
      <c r="Z92" s="180">
        <f>FME_Ranking1[[#This Row],[Closures Score (Normalized, Unweighted)]]*$X$3</f>
        <v>0</v>
      </c>
      <c r="AA92" s="253">
        <f>_xlfn.XLOOKUP(FME_Ranking1[[#This Row],[FME ID]],FME_Input[FME_ID],FME_Input[ROAD_MILES100])</f>
        <v>245.06779479980469</v>
      </c>
      <c r="AB92" s="178">
        <f>(FME_Ranking1[[#This Row],[Miles Raw]]/$AA$2)*100</f>
        <v>3.2222019518923304</v>
      </c>
      <c r="AC92" s="178">
        <f>FME_Ranking1[[#This Row],[Miles Score (Normalized, Unweighted)]]*$AA$3</f>
        <v>0.32222019518923306</v>
      </c>
      <c r="AD92" s="255">
        <f>_xlfn.XLOOKUP(FME_Ranking1[[#This Row],[FME ID]],FME_Input[FME_ID],FME_Input[FARMACRE100])</f>
        <v>53344.359375</v>
      </c>
      <c r="AE92" s="230">
        <f>(FME_Ranking1[[#This Row],[Ag Land Raw]]/$AD$2)*100</f>
        <v>2.1996825844034467</v>
      </c>
      <c r="AF92" s="231">
        <f>FME_Ranking1[[#This Row],[Ag Land Score (Normalized, Unweighted)]]*$AD$3</f>
        <v>0.10998412922017234</v>
      </c>
      <c r="AG9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3.2317651960852634</v>
      </c>
      <c r="AH92" s="406">
        <f t="shared" si="1"/>
        <v>87</v>
      </c>
      <c r="AI9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3.2317651960852634</v>
      </c>
      <c r="AJ92" s="257">
        <f>FME_Ranking1[[#This Row],[Addition check]]-FME_Ranking1[[#This Row],[Weighted Score Based on Normalized Reported Factors]]</f>
        <v>0</v>
      </c>
      <c r="AK92" s="178">
        <f>_xlfn.RANK.EQ(AI92,$AI$6:$AI$2341,0)+COUNTIF($AI$6:AI92,AI92)-1</f>
        <v>87</v>
      </c>
    </row>
    <row r="93" spans="1:37" ht="12" customHeight="1" x14ac:dyDescent="0.25">
      <c r="A93" t="s">
        <v>4054</v>
      </c>
      <c r="B93">
        <f>_xlfn.XLOOKUP(FME_Ranking1[[#This Row],[FME ID]],FME_Input[FME_ID],FME_Input[RFPG_NUM])</f>
        <v>3</v>
      </c>
      <c r="C93" t="str">
        <f>_xlfn.XLOOKUP(FME_Ranking1[[#This Row],[FME ID]],FME_Input[FME_ID],FME_Input[FME_NAME])</f>
        <v>Denton County Dam Inundation Study</v>
      </c>
      <c r="D93" t="str">
        <f>_xlfn.XLOOKUP(FME_Ranking1[[#This Row],[FME ID]],FME_Input[FME_ID],FME_Input[DESCR])</f>
        <v>Inundation studies of all high and moderate hazard dams</v>
      </c>
      <c r="E93" s="256">
        <f>_xlfn.XLOOKUP(FME_Ranking1[[#This Row],[FME ID]],FME_Input[FME_ID],FME_Input[FME_COST])</f>
        <v>613000</v>
      </c>
      <c r="F93" t="str">
        <f>_xlfn.XLOOKUP(FME_Ranking1[[#This Row],[FME ID]],FME_Input[FME_ID],FME_Input[EMER_NEED])</f>
        <v>No</v>
      </c>
      <c r="G93">
        <f>IF(FME_Ranking!F93="Yes",100,0)</f>
        <v>0</v>
      </c>
      <c r="H93">
        <f>FME_Ranking1[[#This Row],[Emergency Need Score (Normalized, Unweighted)]]*$F$3</f>
        <v>0</v>
      </c>
      <c r="I93" s="246">
        <f>_xlfn.XLOOKUP(FME_Ranking1[[#This Row],[FME ID]],FME_Input[FME_ID],FME_Input[STRUCT_100])</f>
        <v>4675</v>
      </c>
      <c r="J93" s="178">
        <f>(FME_Ranking1[[#This Row],[Structures 100 Raw]]/I$2)*100</f>
        <v>2.5034271516086193</v>
      </c>
      <c r="K93" s="178">
        <f>FME_Ranking1[[#This Row],[Structures 100  Score (Normalized, Unweighted)]]*$I$3</f>
        <v>0.37551407274129289</v>
      </c>
      <c r="L93" s="246">
        <f>_xlfn.XLOOKUP(FME_Ranking1[[#This Row],[FME ID]],FME_Input[FME_ID],FME_Input[RES_STRUCT100])</f>
        <v>3634</v>
      </c>
      <c r="M93" s="230">
        <f>(FME_Ranking1[[#This Row],[Res Structures Raw]]/L$2)*100</f>
        <v>2.573982519018005</v>
      </c>
      <c r="N93" s="180">
        <f>FME_Ranking1[[#This Row],[Res Structures Score (Normalized, Unweighted)]]*$L$3</f>
        <v>0.25739825190180049</v>
      </c>
      <c r="O93" s="244">
        <f>_xlfn.XLOOKUP(FME_Ranking1[[#This Row],[FME ID]],FME_Input[FME_ID],FME_Input[POP100])</f>
        <v>18656</v>
      </c>
      <c r="P93" s="178">
        <f>(FME_Ranking1[[#This Row],[Pop Raw]]/$O$2)*100</f>
        <v>1.9099138204623678</v>
      </c>
      <c r="Q93" s="178">
        <f>FME_Ranking1[[#This Row],[Pop Score (Normalized, Unweighted)]]*$O$3</f>
        <v>0.28648707306935517</v>
      </c>
      <c r="R93" s="137">
        <f>_xlfn.XLOOKUP(FME_Ranking1[[#This Row],[FME ID]],FME_Input[FME_ID],FME_Input[CRITFAC100])</f>
        <v>89</v>
      </c>
      <c r="S93" s="230">
        <f>(FME_Ranking1[[#This Row],[Critical Facilities Raw]]/$R$2)*100</f>
        <v>3.8164665523156089</v>
      </c>
      <c r="T93" s="180">
        <f>FME_Ranking1[[#This Row],[Critical Facilities Score (Normalized, Unweighted)]]*$R$3</f>
        <v>0.76329331046312188</v>
      </c>
      <c r="U93">
        <f>_xlfn.XLOOKUP(FME_Ranking1[[#This Row],[FME ID]],FME_Input[FME_ID],FME_Input[LWC])</f>
        <v>97</v>
      </c>
      <c r="V93" s="178">
        <f>(FME_Ranking1[[#This Row],[LWC Raw]]/$U$2)*100</f>
        <v>5.58434081750144</v>
      </c>
      <c r="W93" s="178">
        <f>FME_Ranking1[[#This Row],[LWC Score (Normalized, Unweighted)]]*$U$3</f>
        <v>1.1168681635002879</v>
      </c>
      <c r="X93" s="246">
        <f>_xlfn.XLOOKUP(FME_Ranking1[[#This Row],[FME ID]],FME_Input[FME_ID],FME_Input[ROADCLS])</f>
        <v>0</v>
      </c>
      <c r="Y93" s="230">
        <f>(FME_Ranking1[[#This Row],[Closures Raw]]/$X$2)*100</f>
        <v>0</v>
      </c>
      <c r="Z93" s="180">
        <f>FME_Ranking1[[#This Row],[Closures Score (Normalized, Unweighted)]]*$X$3</f>
        <v>0</v>
      </c>
      <c r="AA93" s="253">
        <f>_xlfn.XLOOKUP(FME_Ranking1[[#This Row],[FME ID]],FME_Input[FME_ID],FME_Input[ROAD_MILES100])</f>
        <v>245.06779479980469</v>
      </c>
      <c r="AB93" s="178">
        <f>(FME_Ranking1[[#This Row],[Miles Raw]]/$AA$2)*100</f>
        <v>3.2222019518923304</v>
      </c>
      <c r="AC93" s="178">
        <f>FME_Ranking1[[#This Row],[Miles Score (Normalized, Unweighted)]]*$AA$3</f>
        <v>0.32222019518923306</v>
      </c>
      <c r="AD93" s="255">
        <f>_xlfn.XLOOKUP(FME_Ranking1[[#This Row],[FME ID]],FME_Input[FME_ID],FME_Input[FARMACRE100])</f>
        <v>53344.359375</v>
      </c>
      <c r="AE93" s="230">
        <f>(FME_Ranking1[[#This Row],[Ag Land Raw]]/$AD$2)*100</f>
        <v>2.1996825844034467</v>
      </c>
      <c r="AF93" s="231">
        <f>FME_Ranking1[[#This Row],[Ag Land Score (Normalized, Unweighted)]]*$AD$3</f>
        <v>0.10998412922017234</v>
      </c>
      <c r="AG9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3.2317651960852634</v>
      </c>
      <c r="AH93" s="406">
        <f t="shared" si="1"/>
        <v>87</v>
      </c>
      <c r="AI9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3.2317651960852634</v>
      </c>
      <c r="AJ93" s="257">
        <f>FME_Ranking1[[#This Row],[Addition check]]-FME_Ranking1[[#This Row],[Weighted Score Based on Normalized Reported Factors]]</f>
        <v>0</v>
      </c>
      <c r="AK93" s="178">
        <f>_xlfn.RANK.EQ(AI93,$AI$6:$AI$2341,0)+COUNTIF($AI$6:AI93,AI93)-1</f>
        <v>88</v>
      </c>
    </row>
    <row r="94" spans="1:37" ht="12" customHeight="1" x14ac:dyDescent="0.25">
      <c r="A94" t="s">
        <v>4790</v>
      </c>
      <c r="B94">
        <f>_xlfn.XLOOKUP(FME_Ranking1[[#This Row],[FME ID]],FME_Input[FME_ID],FME_Input[RFPG_NUM])</f>
        <v>3</v>
      </c>
      <c r="C94" t="str">
        <f>_xlfn.XLOOKUP(FME_Ranking1[[#This Row],[FME ID]],FME_Input[FME_ID],FME_Input[FME_NAME])</f>
        <v>Denton County USDA (NRCS) Dam Studies and Rehabilitation</v>
      </c>
      <c r="D94" t="str">
        <f>_xlfn.XLOOKUP(FME_Ranking1[[#This Row],[FME ID]],FME_Input[FME_ID],FME_Input[DESCR])</f>
        <v>USDA (NRCS) Dam Studies and Rehabilitation</v>
      </c>
      <c r="E94" s="256">
        <f>_xlfn.XLOOKUP(FME_Ranking1[[#This Row],[FME ID]],FME_Input[FME_ID],FME_Input[FME_COST])</f>
        <v>2000000</v>
      </c>
      <c r="F94" t="str">
        <f>_xlfn.XLOOKUP(FME_Ranking1[[#This Row],[FME ID]],FME_Input[FME_ID],FME_Input[EMER_NEED])</f>
        <v>No</v>
      </c>
      <c r="G94">
        <f>IF(FME_Ranking!F94="Yes",100,0)</f>
        <v>0</v>
      </c>
      <c r="H94">
        <f>FME_Ranking1[[#This Row],[Emergency Need Score (Normalized, Unweighted)]]*$F$3</f>
        <v>0</v>
      </c>
      <c r="I94" s="246">
        <f>_xlfn.XLOOKUP(FME_Ranking1[[#This Row],[FME ID]],FME_Input[FME_ID],FME_Input[STRUCT_100])</f>
        <v>4675</v>
      </c>
      <c r="J94" s="178">
        <f>(FME_Ranking1[[#This Row],[Structures 100 Raw]]/I$2)*100</f>
        <v>2.5034271516086193</v>
      </c>
      <c r="K94" s="178">
        <f>FME_Ranking1[[#This Row],[Structures 100  Score (Normalized, Unweighted)]]*$I$3</f>
        <v>0.37551407274129289</v>
      </c>
      <c r="L94" s="246">
        <f>_xlfn.XLOOKUP(FME_Ranking1[[#This Row],[FME ID]],FME_Input[FME_ID],FME_Input[RES_STRUCT100])</f>
        <v>3634</v>
      </c>
      <c r="M94" s="230">
        <f>(FME_Ranking1[[#This Row],[Res Structures Raw]]/L$2)*100</f>
        <v>2.573982519018005</v>
      </c>
      <c r="N94" s="180">
        <f>FME_Ranking1[[#This Row],[Res Structures Score (Normalized, Unweighted)]]*$L$3</f>
        <v>0.25739825190180049</v>
      </c>
      <c r="O94" s="244">
        <f>_xlfn.XLOOKUP(FME_Ranking1[[#This Row],[FME ID]],FME_Input[FME_ID],FME_Input[POP100])</f>
        <v>18656</v>
      </c>
      <c r="P94" s="178">
        <f>(FME_Ranking1[[#This Row],[Pop Raw]]/$O$2)*100</f>
        <v>1.9099138204623678</v>
      </c>
      <c r="Q94" s="178">
        <f>FME_Ranking1[[#This Row],[Pop Score (Normalized, Unweighted)]]*$O$3</f>
        <v>0.28648707306935517</v>
      </c>
      <c r="R94" s="137">
        <f>_xlfn.XLOOKUP(FME_Ranking1[[#This Row],[FME ID]],FME_Input[FME_ID],FME_Input[CRITFAC100])</f>
        <v>89</v>
      </c>
      <c r="S94" s="230">
        <f>(FME_Ranking1[[#This Row],[Critical Facilities Raw]]/$R$2)*100</f>
        <v>3.8164665523156089</v>
      </c>
      <c r="T94" s="180">
        <f>FME_Ranking1[[#This Row],[Critical Facilities Score (Normalized, Unweighted)]]*$R$3</f>
        <v>0.76329331046312188</v>
      </c>
      <c r="U94">
        <f>_xlfn.XLOOKUP(FME_Ranking1[[#This Row],[FME ID]],FME_Input[FME_ID],FME_Input[LWC])</f>
        <v>97</v>
      </c>
      <c r="V94" s="178">
        <f>(FME_Ranking1[[#This Row],[LWC Raw]]/$U$2)*100</f>
        <v>5.58434081750144</v>
      </c>
      <c r="W94" s="178">
        <f>FME_Ranking1[[#This Row],[LWC Score (Normalized, Unweighted)]]*$U$3</f>
        <v>1.1168681635002879</v>
      </c>
      <c r="X94" s="246">
        <f>_xlfn.XLOOKUP(FME_Ranking1[[#This Row],[FME ID]],FME_Input[FME_ID],FME_Input[ROADCLS])</f>
        <v>0</v>
      </c>
      <c r="Y94" s="230">
        <f>(FME_Ranking1[[#This Row],[Closures Raw]]/$X$2)*100</f>
        <v>0</v>
      </c>
      <c r="Z94" s="180">
        <f>FME_Ranking1[[#This Row],[Closures Score (Normalized, Unweighted)]]*$X$3</f>
        <v>0</v>
      </c>
      <c r="AA94" s="253">
        <f>_xlfn.XLOOKUP(FME_Ranking1[[#This Row],[FME ID]],FME_Input[FME_ID],FME_Input[ROAD_MILES100])</f>
        <v>245.06779479980469</v>
      </c>
      <c r="AB94" s="178">
        <f>(FME_Ranking1[[#This Row],[Miles Raw]]/$AA$2)*100</f>
        <v>3.2222019518923304</v>
      </c>
      <c r="AC94" s="178">
        <f>FME_Ranking1[[#This Row],[Miles Score (Normalized, Unweighted)]]*$AA$3</f>
        <v>0.32222019518923306</v>
      </c>
      <c r="AD94" s="255">
        <f>_xlfn.XLOOKUP(FME_Ranking1[[#This Row],[FME ID]],FME_Input[FME_ID],FME_Input[FARMACRE100])</f>
        <v>53344.359375</v>
      </c>
      <c r="AE94" s="230">
        <f>(FME_Ranking1[[#This Row],[Ag Land Raw]]/$AD$2)*100</f>
        <v>2.1996825844034467</v>
      </c>
      <c r="AF94" s="231">
        <f>FME_Ranking1[[#This Row],[Ag Land Score (Normalized, Unweighted)]]*$AD$3</f>
        <v>0.10998412922017234</v>
      </c>
      <c r="AG9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3.2317651960852634</v>
      </c>
      <c r="AH94" s="406">
        <f t="shared" si="1"/>
        <v>87</v>
      </c>
      <c r="AI9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3.2317651960852634</v>
      </c>
      <c r="AJ94" s="257">
        <f>FME_Ranking1[[#This Row],[Addition check]]-FME_Ranking1[[#This Row],[Weighted Score Based on Normalized Reported Factors]]</f>
        <v>0</v>
      </c>
      <c r="AK94" s="178">
        <f>_xlfn.RANK.EQ(AI94,$AI$6:$AI$2341,0)+COUNTIF($AI$6:AI94,AI94)-1</f>
        <v>89</v>
      </c>
    </row>
    <row r="95" spans="1:37" ht="12" customHeight="1" x14ac:dyDescent="0.25">
      <c r="A95" t="s">
        <v>3451</v>
      </c>
      <c r="B95">
        <f>_xlfn.XLOOKUP(FME_Ranking1[[#This Row],[FME ID]],FME_Input[FME_ID],FME_Input[RFPG_NUM])</f>
        <v>1</v>
      </c>
      <c r="C95" t="str">
        <f>_xlfn.XLOOKUP(FME_Ranking1[[#This Row],[FME ID]],FME_Input[FME_ID],FME_Input[FME_NAME])</f>
        <v>Detailed Hydrologic and Hydraulic Study of the Wichita River </v>
      </c>
      <c r="D95" t="str">
        <f>_xlfn.XLOOKUP(FME_Ranking1[[#This Row],[FME ID]],FME_Input[FME_ID],FME_Input[DESCR])</f>
        <v>Perform a detailed H&amp;H study of the Wichita River watershed with a focus on the area in and around Wichita Falls; selected based on stakeholder feedback</v>
      </c>
      <c r="E95" s="256">
        <f>_xlfn.XLOOKUP(FME_Ranking1[[#This Row],[FME ID]],FME_Input[FME_ID],FME_Input[FME_COST])</f>
        <v>528000</v>
      </c>
      <c r="F95" t="str">
        <f>_xlfn.XLOOKUP(FME_Ranking1[[#This Row],[FME ID]],FME_Input[FME_ID],FME_Input[EMER_NEED])</f>
        <v>No</v>
      </c>
      <c r="G95">
        <f>IF(FME_Ranking!F95="Yes",100,0)</f>
        <v>0</v>
      </c>
      <c r="H95">
        <f>FME_Ranking1[[#This Row],[Emergency Need Score (Normalized, Unweighted)]]*$F$3</f>
        <v>0</v>
      </c>
      <c r="I95" s="246">
        <f>_xlfn.XLOOKUP(FME_Ranking1[[#This Row],[FME ID]],FME_Input[FME_ID],FME_Input[STRUCT_100])</f>
        <v>2818</v>
      </c>
      <c r="J95" s="178">
        <f>(FME_Ranking1[[#This Row],[Structures 100 Raw]]/I$2)*100</f>
        <v>1.5090176926701795</v>
      </c>
      <c r="K95" s="178">
        <f>FME_Ranking1[[#This Row],[Structures 100  Score (Normalized, Unweighted)]]*$I$3</f>
        <v>0.22635265390052692</v>
      </c>
      <c r="L95" s="246">
        <f>_xlfn.XLOOKUP(FME_Ranking1[[#This Row],[FME ID]],FME_Input[FME_ID],FME_Input[RES_STRUCT100])</f>
        <v>1951</v>
      </c>
      <c r="M95" s="230">
        <f>(FME_Ranking1[[#This Row],[Res Structures Raw]]/L$2)*100</f>
        <v>1.3819042087518238</v>
      </c>
      <c r="N95" s="180">
        <f>FME_Ranking1[[#This Row],[Res Structures Score (Normalized, Unweighted)]]*$L$3</f>
        <v>0.13819042087518238</v>
      </c>
      <c r="O95" s="244">
        <f>_xlfn.XLOOKUP(FME_Ranking1[[#This Row],[FME ID]],FME_Input[FME_ID],FME_Input[POP100])</f>
        <v>10390</v>
      </c>
      <c r="P95" s="178">
        <f>(FME_Ranking1[[#This Row],[Pop Raw]]/$O$2)*100</f>
        <v>1.0636794915632506</v>
      </c>
      <c r="Q95" s="178">
        <f>FME_Ranking1[[#This Row],[Pop Score (Normalized, Unweighted)]]*$O$3</f>
        <v>0.15955192373448759</v>
      </c>
      <c r="R95" s="137">
        <f>_xlfn.XLOOKUP(FME_Ranking1[[#This Row],[FME ID]],FME_Input[FME_ID],FME_Input[CRITFAC100])</f>
        <v>28</v>
      </c>
      <c r="S95" s="230">
        <f>(FME_Ranking1[[#This Row],[Critical Facilities Raw]]/$R$2)*100</f>
        <v>1.2006861063464835</v>
      </c>
      <c r="T95" s="180">
        <f>FME_Ranking1[[#This Row],[Critical Facilities Score (Normalized, Unweighted)]]*$R$3</f>
        <v>0.24013722126929671</v>
      </c>
      <c r="U95">
        <f>_xlfn.XLOOKUP(FME_Ranking1[[#This Row],[FME ID]],FME_Input[FME_ID],FME_Input[LWC])</f>
        <v>123</v>
      </c>
      <c r="V95" s="178">
        <f>(FME_Ranking1[[#This Row],[LWC Raw]]/$U$2)*100</f>
        <v>7.081174438687392</v>
      </c>
      <c r="W95" s="178">
        <f>FME_Ranking1[[#This Row],[LWC Score (Normalized, Unweighted)]]*$U$3</f>
        <v>1.4162348877374784</v>
      </c>
      <c r="X95" s="246">
        <f>_xlfn.XLOOKUP(FME_Ranking1[[#This Row],[FME ID]],FME_Input[FME_ID],FME_Input[ROADCLS])</f>
        <v>178</v>
      </c>
      <c r="Y95" s="230">
        <f>(FME_Ranking1[[#This Row],[Closures Raw]]/$X$2)*100</f>
        <v>1.8715171906213857</v>
      </c>
      <c r="Z95" s="180">
        <f>FME_Ranking1[[#This Row],[Closures Score (Normalized, Unweighted)]]*$X$3</f>
        <v>9.3575859531069283E-2</v>
      </c>
      <c r="AA95" s="253">
        <f>_xlfn.XLOOKUP(FME_Ranking1[[#This Row],[FME ID]],FME_Input[FME_ID],FME_Input[ROAD_MILES100])</f>
        <v>182.03434753417969</v>
      </c>
      <c r="AB95" s="178">
        <f>(FME_Ranking1[[#This Row],[Miles Raw]]/$AA$2)*100</f>
        <v>2.3934251761445569</v>
      </c>
      <c r="AC95" s="178">
        <f>FME_Ranking1[[#This Row],[Miles Score (Normalized, Unweighted)]]*$AA$3</f>
        <v>0.23934251761445569</v>
      </c>
      <c r="AD95" s="255">
        <f>_xlfn.XLOOKUP(FME_Ranking1[[#This Row],[FME ID]],FME_Input[FME_ID],FME_Input[FARMACRE100])</f>
        <v>271232.65625</v>
      </c>
      <c r="AE95" s="230">
        <f>(FME_Ranking1[[#This Row],[Ag Land Raw]]/$AD$2)*100</f>
        <v>11.184420569763599</v>
      </c>
      <c r="AF95" s="231">
        <f>FME_Ranking1[[#This Row],[Ag Land Score (Normalized, Unweighted)]]*$AD$3</f>
        <v>0.55922102848818001</v>
      </c>
      <c r="AG9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3.072606513150677</v>
      </c>
      <c r="AH95" s="406">
        <f t="shared" si="1"/>
        <v>96</v>
      </c>
      <c r="AI9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3.072606513150677</v>
      </c>
      <c r="AJ95" s="257">
        <f>FME_Ranking1[[#This Row],[Addition check]]-FME_Ranking1[[#This Row],[Weighted Score Based on Normalized Reported Factors]]</f>
        <v>0</v>
      </c>
      <c r="AK95" s="178">
        <f>_xlfn.RANK.EQ(AI95,$AI$6:$AI$2341,0)+COUNTIF($AI$6:AI95,AI95)-1</f>
        <v>96</v>
      </c>
    </row>
    <row r="96" spans="1:37" ht="12" customHeight="1" x14ac:dyDescent="0.25">
      <c r="A96" t="s">
        <v>7906</v>
      </c>
      <c r="B96">
        <f>_xlfn.XLOOKUP(FME_Ranking1[[#This Row],[FME ID]],FME_Input[FME_ID],FME_Input[RFPG_NUM])</f>
        <v>9</v>
      </c>
      <c r="C96" t="str">
        <f>_xlfn.XLOOKUP(FME_Ranking1[[#This Row],[FME ID]],FME_Input[FME_ID],FME_Input[FME_NAME])</f>
        <v>Ector County Stormwater Contaminant Study</v>
      </c>
      <c r="D96" t="str">
        <f>_xlfn.XLOOKUP(FME_Ranking1[[#This Row],[FME ID]],FME_Input[FME_ID],FME_Input[DESCR])</f>
        <v>Conduct a study to determine pollutant levels in County areas nearby sewer system for level of contaminants before and after a flood event.</v>
      </c>
      <c r="E96" s="256">
        <f>_xlfn.XLOOKUP(FME_Ranking1[[#This Row],[FME ID]],FME_Input[FME_ID],FME_Input[FME_COST])</f>
        <v>100000</v>
      </c>
      <c r="F96" t="str">
        <f>_xlfn.XLOOKUP(FME_Ranking1[[#This Row],[FME ID]],FME_Input[FME_ID],FME_Input[EMER_NEED])</f>
        <v>No</v>
      </c>
      <c r="G96">
        <f>IF(FME_Ranking!F96="Yes",100,0)</f>
        <v>0</v>
      </c>
      <c r="H96">
        <f>FME_Ranking1[[#This Row],[Emergency Need Score (Normalized, Unweighted)]]*$F$3</f>
        <v>0</v>
      </c>
      <c r="I96" s="246">
        <f>_xlfn.XLOOKUP(FME_Ranking1[[#This Row],[FME ID]],FME_Input[FME_ID],FME_Input[STRUCT_100])</f>
        <v>13045</v>
      </c>
      <c r="J96" s="178">
        <f>(FME_Ranking1[[#This Row],[Structures 100 Raw]]/I$2)*100</f>
        <v>6.9854988647560292</v>
      </c>
      <c r="K96" s="178">
        <f>FME_Ranking1[[#This Row],[Structures 100  Score (Normalized, Unweighted)]]*$I$3</f>
        <v>1.0478248297134043</v>
      </c>
      <c r="L96" s="246">
        <f>_xlfn.XLOOKUP(FME_Ranking1[[#This Row],[FME ID]],FME_Input[FME_ID],FME_Input[RES_STRUCT100])</f>
        <v>10079</v>
      </c>
      <c r="M96" s="230">
        <f>(FME_Ranking1[[#This Row],[Res Structures Raw]]/L$2)*100</f>
        <v>7.1390120553611647</v>
      </c>
      <c r="N96" s="180">
        <f>FME_Ranking1[[#This Row],[Res Structures Score (Normalized, Unweighted)]]*$L$3</f>
        <v>0.71390120553611647</v>
      </c>
      <c r="O96" s="244">
        <f>_xlfn.XLOOKUP(FME_Ranking1[[#This Row],[FME ID]],FME_Input[FME_ID],FME_Input[POP100])</f>
        <v>31733</v>
      </c>
      <c r="P96" s="178">
        <f>(FME_Ranking1[[#This Row],[Pop Raw]]/$O$2)*100</f>
        <v>3.2486757753394255</v>
      </c>
      <c r="Q96" s="178">
        <f>FME_Ranking1[[#This Row],[Pop Score (Normalized, Unweighted)]]*$O$3</f>
        <v>0.48730136630091381</v>
      </c>
      <c r="R96" s="137">
        <f>_xlfn.XLOOKUP(FME_Ranking1[[#This Row],[FME ID]],FME_Input[FME_ID],FME_Input[CRITFAC100])</f>
        <v>13</v>
      </c>
      <c r="S96" s="230">
        <f>(FME_Ranking1[[#This Row],[Critical Facilities Raw]]/$R$2)*100</f>
        <v>0.55746140651801035</v>
      </c>
      <c r="T96" s="180">
        <f>FME_Ranking1[[#This Row],[Critical Facilities Score (Normalized, Unweighted)]]*$R$3</f>
        <v>0.11149228130360207</v>
      </c>
      <c r="U96">
        <f>_xlfn.XLOOKUP(FME_Ranking1[[#This Row],[FME ID]],FME_Input[FME_ID],FME_Input[LWC])</f>
        <v>34</v>
      </c>
      <c r="V96" s="178">
        <f>(FME_Ranking1[[#This Row],[LWC Raw]]/$U$2)*100</f>
        <v>1.9573978123200921</v>
      </c>
      <c r="W96" s="178">
        <f>FME_Ranking1[[#This Row],[LWC Score (Normalized, Unweighted)]]*$U$3</f>
        <v>0.39147956246401844</v>
      </c>
      <c r="X96" s="246">
        <f>_xlfn.XLOOKUP(FME_Ranking1[[#This Row],[FME ID]],FME_Input[FME_ID],FME_Input[ROADCLS])</f>
        <v>0</v>
      </c>
      <c r="Y96" s="230">
        <f>(FME_Ranking1[[#This Row],[Closures Raw]]/$X$2)*100</f>
        <v>0</v>
      </c>
      <c r="Z96" s="180">
        <f>FME_Ranking1[[#This Row],[Closures Score (Normalized, Unweighted)]]*$X$3</f>
        <v>0</v>
      </c>
      <c r="AA96" s="253">
        <f>_xlfn.XLOOKUP(FME_Ranking1[[#This Row],[FME ID]],FME_Input[FME_ID],FME_Input[ROAD_MILES100])</f>
        <v>306.46856689453119</v>
      </c>
      <c r="AB96" s="178">
        <f>(FME_Ranking1[[#This Row],[Miles Raw]]/$AA$2)*100</f>
        <v>4.0295119774831818</v>
      </c>
      <c r="AC96" s="178">
        <f>FME_Ranking1[[#This Row],[Miles Score (Normalized, Unweighted)]]*$AA$3</f>
        <v>0.40295119774831822</v>
      </c>
      <c r="AD96" s="255">
        <f>_xlfn.XLOOKUP(FME_Ranking1[[#This Row],[FME ID]],FME_Input[FME_ID],FME_Input[FARMACRE100])</f>
        <v>168.51422119140619</v>
      </c>
      <c r="AE96" s="230">
        <f>(FME_Ranking1[[#This Row],[Ag Land Raw]]/$AD$2)*100</f>
        <v>6.9487721274007043E-3</v>
      </c>
      <c r="AF96" s="231">
        <f>FME_Ranking1[[#This Row],[Ag Land Score (Normalized, Unweighted)]]*$AD$3</f>
        <v>3.4743860637003523E-4</v>
      </c>
      <c r="AG9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3.1552978816727433</v>
      </c>
      <c r="AH96" s="406">
        <f t="shared" si="1"/>
        <v>91</v>
      </c>
      <c r="AI9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3.1552978816727433</v>
      </c>
      <c r="AJ96" s="257">
        <f>FME_Ranking1[[#This Row],[Addition check]]-FME_Ranking1[[#This Row],[Weighted Score Based on Normalized Reported Factors]]</f>
        <v>0</v>
      </c>
      <c r="AK96" s="178">
        <f>_xlfn.RANK.EQ(AI96,$AI$6:$AI$2341,0)+COUNTIF($AI$6:AI96,AI96)-1</f>
        <v>91</v>
      </c>
    </row>
    <row r="97" spans="1:37" ht="12" customHeight="1" x14ac:dyDescent="0.25">
      <c r="A97" t="s">
        <v>8024</v>
      </c>
      <c r="B97">
        <f>_xlfn.XLOOKUP(FME_Ranking1[[#This Row],[FME ID]],FME_Input[FME_ID],FME_Input[RFPG_NUM])</f>
        <v>9</v>
      </c>
      <c r="C97" t="str">
        <f>_xlfn.XLOOKUP(FME_Ranking1[[#This Row],[FME ID]],FME_Input[FME_ID],FME_Input[FME_NAME])</f>
        <v>Ector County  GIS Development</v>
      </c>
      <c r="D97" t="str">
        <f>_xlfn.XLOOKUP(FME_Ranking1[[#This Row],[FME ID]],FME_Input[FME_ID],FME_Input[DESCR])</f>
        <v>Develop a GIS inventory of stormwater infrastructure</v>
      </c>
      <c r="E97" s="256">
        <f>_xlfn.XLOOKUP(FME_Ranking1[[#This Row],[FME ID]],FME_Input[FME_ID],FME_Input[FME_COST])</f>
        <v>100000</v>
      </c>
      <c r="F97" t="str">
        <f>_xlfn.XLOOKUP(FME_Ranking1[[#This Row],[FME ID]],FME_Input[FME_ID],FME_Input[EMER_NEED])</f>
        <v>No</v>
      </c>
      <c r="G97">
        <f>IF(FME_Ranking!F97="Yes",100,0)</f>
        <v>0</v>
      </c>
      <c r="H97">
        <f>FME_Ranking1[[#This Row],[Emergency Need Score (Normalized, Unweighted)]]*$F$3</f>
        <v>0</v>
      </c>
      <c r="I97" s="246">
        <f>_xlfn.XLOOKUP(FME_Ranking1[[#This Row],[FME ID]],FME_Input[FME_ID],FME_Input[STRUCT_100])</f>
        <v>13045</v>
      </c>
      <c r="J97" s="178">
        <f>(FME_Ranking1[[#This Row],[Structures 100 Raw]]/I$2)*100</f>
        <v>6.9854988647560292</v>
      </c>
      <c r="K97" s="178">
        <f>FME_Ranking1[[#This Row],[Structures 100  Score (Normalized, Unweighted)]]*$I$3</f>
        <v>1.0478248297134043</v>
      </c>
      <c r="L97" s="246">
        <f>_xlfn.XLOOKUP(FME_Ranking1[[#This Row],[FME ID]],FME_Input[FME_ID],FME_Input[RES_STRUCT100])</f>
        <v>10079</v>
      </c>
      <c r="M97" s="230">
        <f>(FME_Ranking1[[#This Row],[Res Structures Raw]]/L$2)*100</f>
        <v>7.1390120553611647</v>
      </c>
      <c r="N97" s="180">
        <f>FME_Ranking1[[#This Row],[Res Structures Score (Normalized, Unweighted)]]*$L$3</f>
        <v>0.71390120553611647</v>
      </c>
      <c r="O97" s="244">
        <f>_xlfn.XLOOKUP(FME_Ranking1[[#This Row],[FME ID]],FME_Input[FME_ID],FME_Input[POP100])</f>
        <v>31733</v>
      </c>
      <c r="P97" s="178">
        <f>(FME_Ranking1[[#This Row],[Pop Raw]]/$O$2)*100</f>
        <v>3.2486757753394255</v>
      </c>
      <c r="Q97" s="178">
        <f>FME_Ranking1[[#This Row],[Pop Score (Normalized, Unweighted)]]*$O$3</f>
        <v>0.48730136630091381</v>
      </c>
      <c r="R97" s="137">
        <f>_xlfn.XLOOKUP(FME_Ranking1[[#This Row],[FME ID]],FME_Input[FME_ID],FME_Input[CRITFAC100])</f>
        <v>13</v>
      </c>
      <c r="S97" s="230">
        <f>(FME_Ranking1[[#This Row],[Critical Facilities Raw]]/$R$2)*100</f>
        <v>0.55746140651801035</v>
      </c>
      <c r="T97" s="180">
        <f>FME_Ranking1[[#This Row],[Critical Facilities Score (Normalized, Unweighted)]]*$R$3</f>
        <v>0.11149228130360207</v>
      </c>
      <c r="U97">
        <f>_xlfn.XLOOKUP(FME_Ranking1[[#This Row],[FME ID]],FME_Input[FME_ID],FME_Input[LWC])</f>
        <v>34</v>
      </c>
      <c r="V97" s="178">
        <f>(FME_Ranking1[[#This Row],[LWC Raw]]/$U$2)*100</f>
        <v>1.9573978123200921</v>
      </c>
      <c r="W97" s="178">
        <f>FME_Ranking1[[#This Row],[LWC Score (Normalized, Unweighted)]]*$U$3</f>
        <v>0.39147956246401844</v>
      </c>
      <c r="X97" s="246">
        <f>_xlfn.XLOOKUP(FME_Ranking1[[#This Row],[FME ID]],FME_Input[FME_ID],FME_Input[ROADCLS])</f>
        <v>0</v>
      </c>
      <c r="Y97" s="230">
        <f>(FME_Ranking1[[#This Row],[Closures Raw]]/$X$2)*100</f>
        <v>0</v>
      </c>
      <c r="Z97" s="180">
        <f>FME_Ranking1[[#This Row],[Closures Score (Normalized, Unweighted)]]*$X$3</f>
        <v>0</v>
      </c>
      <c r="AA97" s="253">
        <f>_xlfn.XLOOKUP(FME_Ranking1[[#This Row],[FME ID]],FME_Input[FME_ID],FME_Input[ROAD_MILES100])</f>
        <v>306.46856689453119</v>
      </c>
      <c r="AB97" s="178">
        <f>(FME_Ranking1[[#This Row],[Miles Raw]]/$AA$2)*100</f>
        <v>4.0295119774831818</v>
      </c>
      <c r="AC97" s="178">
        <f>FME_Ranking1[[#This Row],[Miles Score (Normalized, Unweighted)]]*$AA$3</f>
        <v>0.40295119774831822</v>
      </c>
      <c r="AD97" s="255">
        <f>_xlfn.XLOOKUP(FME_Ranking1[[#This Row],[FME ID]],FME_Input[FME_ID],FME_Input[FARMACRE100])</f>
        <v>168.51422119140619</v>
      </c>
      <c r="AE97" s="230">
        <f>(FME_Ranking1[[#This Row],[Ag Land Raw]]/$AD$2)*100</f>
        <v>6.9487721274007043E-3</v>
      </c>
      <c r="AF97" s="231">
        <f>FME_Ranking1[[#This Row],[Ag Land Score (Normalized, Unweighted)]]*$AD$3</f>
        <v>3.4743860637003523E-4</v>
      </c>
      <c r="AG9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3.1552978816727433</v>
      </c>
      <c r="AH97" s="406">
        <f t="shared" si="1"/>
        <v>91</v>
      </c>
      <c r="AI9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3.1552978816727433</v>
      </c>
      <c r="AJ97" s="257">
        <f>FME_Ranking1[[#This Row],[Addition check]]-FME_Ranking1[[#This Row],[Weighted Score Based on Normalized Reported Factors]]</f>
        <v>0</v>
      </c>
      <c r="AK97" s="178">
        <f>_xlfn.RANK.EQ(AI97,$AI$6:$AI$2341,0)+COUNTIF($AI$6:AI97,AI97)-1</f>
        <v>92</v>
      </c>
    </row>
    <row r="98" spans="1:37" ht="12" customHeight="1" x14ac:dyDescent="0.25">
      <c r="A98" t="s">
        <v>8061</v>
      </c>
      <c r="B98">
        <f>_xlfn.XLOOKUP(FME_Ranking1[[#This Row],[FME ID]],FME_Input[FME_ID],FME_Input[RFPG_NUM])</f>
        <v>9</v>
      </c>
      <c r="C98" t="str">
        <f>_xlfn.XLOOKUP(FME_Ranking1[[#This Row],[FME ID]],FME_Input[FME_ID],FME_Input[FME_NAME])</f>
        <v>Ector County  DMP</v>
      </c>
      <c r="D98" t="str">
        <f>_xlfn.XLOOKUP(FME_Ranking1[[#This Row],[FME ID]],FME_Input[FME_ID],FME_Input[DESCR])</f>
        <v xml:space="preserve">Create Drainage Master Plan, including evaluation of potential mitigation projects. </v>
      </c>
      <c r="E98" s="256">
        <f>_xlfn.XLOOKUP(FME_Ranking1[[#This Row],[FME ID]],FME_Input[FME_ID],FME_Input[FME_COST])</f>
        <v>500000</v>
      </c>
      <c r="F98" t="str">
        <f>_xlfn.XLOOKUP(FME_Ranking1[[#This Row],[FME ID]],FME_Input[FME_ID],FME_Input[EMER_NEED])</f>
        <v>No</v>
      </c>
      <c r="G98">
        <f>IF(FME_Ranking!F98="Yes",100,0)</f>
        <v>0</v>
      </c>
      <c r="H98">
        <f>FME_Ranking1[[#This Row],[Emergency Need Score (Normalized, Unweighted)]]*$F$3</f>
        <v>0</v>
      </c>
      <c r="I98" s="246">
        <f>_xlfn.XLOOKUP(FME_Ranking1[[#This Row],[FME ID]],FME_Input[FME_ID],FME_Input[STRUCT_100])</f>
        <v>13045</v>
      </c>
      <c r="J98" s="178">
        <f>(FME_Ranking1[[#This Row],[Structures 100 Raw]]/I$2)*100</f>
        <v>6.9854988647560292</v>
      </c>
      <c r="K98" s="178">
        <f>FME_Ranking1[[#This Row],[Structures 100  Score (Normalized, Unweighted)]]*$I$3</f>
        <v>1.0478248297134043</v>
      </c>
      <c r="L98" s="246">
        <f>_xlfn.XLOOKUP(FME_Ranking1[[#This Row],[FME ID]],FME_Input[FME_ID],FME_Input[RES_STRUCT100])</f>
        <v>10079</v>
      </c>
      <c r="M98" s="230">
        <f>(FME_Ranking1[[#This Row],[Res Structures Raw]]/L$2)*100</f>
        <v>7.1390120553611647</v>
      </c>
      <c r="N98" s="180">
        <f>FME_Ranking1[[#This Row],[Res Structures Score (Normalized, Unweighted)]]*$L$3</f>
        <v>0.71390120553611647</v>
      </c>
      <c r="O98" s="244">
        <f>_xlfn.XLOOKUP(FME_Ranking1[[#This Row],[FME ID]],FME_Input[FME_ID],FME_Input[POP100])</f>
        <v>31733</v>
      </c>
      <c r="P98" s="178">
        <f>(FME_Ranking1[[#This Row],[Pop Raw]]/$O$2)*100</f>
        <v>3.2486757753394255</v>
      </c>
      <c r="Q98" s="178">
        <f>FME_Ranking1[[#This Row],[Pop Score (Normalized, Unweighted)]]*$O$3</f>
        <v>0.48730136630091381</v>
      </c>
      <c r="R98" s="137">
        <f>_xlfn.XLOOKUP(FME_Ranking1[[#This Row],[FME ID]],FME_Input[FME_ID],FME_Input[CRITFAC100])</f>
        <v>13</v>
      </c>
      <c r="S98" s="230">
        <f>(FME_Ranking1[[#This Row],[Critical Facilities Raw]]/$R$2)*100</f>
        <v>0.55746140651801035</v>
      </c>
      <c r="T98" s="180">
        <f>FME_Ranking1[[#This Row],[Critical Facilities Score (Normalized, Unweighted)]]*$R$3</f>
        <v>0.11149228130360207</v>
      </c>
      <c r="U98">
        <f>_xlfn.XLOOKUP(FME_Ranking1[[#This Row],[FME ID]],FME_Input[FME_ID],FME_Input[LWC])</f>
        <v>34</v>
      </c>
      <c r="V98" s="178">
        <f>(FME_Ranking1[[#This Row],[LWC Raw]]/$U$2)*100</f>
        <v>1.9573978123200921</v>
      </c>
      <c r="W98" s="178">
        <f>FME_Ranking1[[#This Row],[LWC Score (Normalized, Unweighted)]]*$U$3</f>
        <v>0.39147956246401844</v>
      </c>
      <c r="X98" s="246">
        <f>_xlfn.XLOOKUP(FME_Ranking1[[#This Row],[FME ID]],FME_Input[FME_ID],FME_Input[ROADCLS])</f>
        <v>0</v>
      </c>
      <c r="Y98" s="230">
        <f>(FME_Ranking1[[#This Row],[Closures Raw]]/$X$2)*100</f>
        <v>0</v>
      </c>
      <c r="Z98" s="180">
        <f>FME_Ranking1[[#This Row],[Closures Score (Normalized, Unweighted)]]*$X$3</f>
        <v>0</v>
      </c>
      <c r="AA98" s="253">
        <f>_xlfn.XLOOKUP(FME_Ranking1[[#This Row],[FME ID]],FME_Input[FME_ID],FME_Input[ROAD_MILES100])</f>
        <v>306.46856689453119</v>
      </c>
      <c r="AB98" s="178">
        <f>(FME_Ranking1[[#This Row],[Miles Raw]]/$AA$2)*100</f>
        <v>4.0295119774831818</v>
      </c>
      <c r="AC98" s="178">
        <f>FME_Ranking1[[#This Row],[Miles Score (Normalized, Unweighted)]]*$AA$3</f>
        <v>0.40295119774831822</v>
      </c>
      <c r="AD98" s="255">
        <f>_xlfn.XLOOKUP(FME_Ranking1[[#This Row],[FME ID]],FME_Input[FME_ID],FME_Input[FARMACRE100])</f>
        <v>168.51422119140619</v>
      </c>
      <c r="AE98" s="230">
        <f>(FME_Ranking1[[#This Row],[Ag Land Raw]]/$AD$2)*100</f>
        <v>6.9487721274007043E-3</v>
      </c>
      <c r="AF98" s="231">
        <f>FME_Ranking1[[#This Row],[Ag Land Score (Normalized, Unweighted)]]*$AD$3</f>
        <v>3.4743860637003523E-4</v>
      </c>
      <c r="AG9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3.1552978816727433</v>
      </c>
      <c r="AH98" s="406">
        <f t="shared" si="1"/>
        <v>91</v>
      </c>
      <c r="AI9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3.1552978816727433</v>
      </c>
      <c r="AJ98" s="257">
        <f>FME_Ranking1[[#This Row],[Addition check]]-FME_Ranking1[[#This Row],[Weighted Score Based on Normalized Reported Factors]]</f>
        <v>0</v>
      </c>
      <c r="AK98" s="178">
        <f>_xlfn.RANK.EQ(AI98,$AI$6:$AI$2341,0)+COUNTIF($AI$6:AI98,AI98)-1</f>
        <v>93</v>
      </c>
    </row>
    <row r="99" spans="1:37" ht="12" customHeight="1" x14ac:dyDescent="0.25">
      <c r="A99" t="s">
        <v>8188</v>
      </c>
      <c r="B99">
        <f>_xlfn.XLOOKUP(FME_Ranking1[[#This Row],[FME ID]],FME_Input[FME_ID],FME_Input[RFPG_NUM])</f>
        <v>9</v>
      </c>
      <c r="C99" t="str">
        <f>_xlfn.XLOOKUP(FME_Ranking1[[#This Row],[FME ID]],FME_Input[FME_ID],FME_Input[FME_NAME])</f>
        <v>Ector County FEMA Mapping</v>
      </c>
      <c r="D99" t="str">
        <f>_xlfn.XLOOKUP(FME_Ranking1[[#This Row],[FME ID]],FME_Input[FME_ID],FME_Input[DESCR])</f>
        <v>Update existing FEMA Mapping.</v>
      </c>
      <c r="E99" s="256">
        <f>_xlfn.XLOOKUP(FME_Ranking1[[#This Row],[FME ID]],FME_Input[FME_ID],FME_Input[FME_COST])</f>
        <v>857000</v>
      </c>
      <c r="F99" t="str">
        <f>_xlfn.XLOOKUP(FME_Ranking1[[#This Row],[FME ID]],FME_Input[FME_ID],FME_Input[EMER_NEED])</f>
        <v>No</v>
      </c>
      <c r="G99">
        <f>IF(FME_Ranking!F99="Yes",100,0)</f>
        <v>0</v>
      </c>
      <c r="H99">
        <f>FME_Ranking1[[#This Row],[Emergency Need Score (Normalized, Unweighted)]]*$F$3</f>
        <v>0</v>
      </c>
      <c r="I99" s="246">
        <f>_xlfn.XLOOKUP(FME_Ranking1[[#This Row],[FME ID]],FME_Input[FME_ID],FME_Input[STRUCT_100])</f>
        <v>13045</v>
      </c>
      <c r="J99" s="178">
        <f>(FME_Ranking1[[#This Row],[Structures 100 Raw]]/I$2)*100</f>
        <v>6.9854988647560292</v>
      </c>
      <c r="K99" s="178">
        <f>FME_Ranking1[[#This Row],[Structures 100  Score (Normalized, Unweighted)]]*$I$3</f>
        <v>1.0478248297134043</v>
      </c>
      <c r="L99" s="246">
        <f>_xlfn.XLOOKUP(FME_Ranking1[[#This Row],[FME ID]],FME_Input[FME_ID],FME_Input[RES_STRUCT100])</f>
        <v>10079</v>
      </c>
      <c r="M99" s="230">
        <f>(FME_Ranking1[[#This Row],[Res Structures Raw]]/L$2)*100</f>
        <v>7.1390120553611647</v>
      </c>
      <c r="N99" s="180">
        <f>FME_Ranking1[[#This Row],[Res Structures Score (Normalized, Unweighted)]]*$L$3</f>
        <v>0.71390120553611647</v>
      </c>
      <c r="O99" s="244">
        <f>_xlfn.XLOOKUP(FME_Ranking1[[#This Row],[FME ID]],FME_Input[FME_ID],FME_Input[POP100])</f>
        <v>31733</v>
      </c>
      <c r="P99" s="178">
        <f>(FME_Ranking1[[#This Row],[Pop Raw]]/$O$2)*100</f>
        <v>3.2486757753394255</v>
      </c>
      <c r="Q99" s="178">
        <f>FME_Ranking1[[#This Row],[Pop Score (Normalized, Unweighted)]]*$O$3</f>
        <v>0.48730136630091381</v>
      </c>
      <c r="R99" s="137">
        <f>_xlfn.XLOOKUP(FME_Ranking1[[#This Row],[FME ID]],FME_Input[FME_ID],FME_Input[CRITFAC100])</f>
        <v>13</v>
      </c>
      <c r="S99" s="230">
        <f>(FME_Ranking1[[#This Row],[Critical Facilities Raw]]/$R$2)*100</f>
        <v>0.55746140651801035</v>
      </c>
      <c r="T99" s="180">
        <f>FME_Ranking1[[#This Row],[Critical Facilities Score (Normalized, Unweighted)]]*$R$3</f>
        <v>0.11149228130360207</v>
      </c>
      <c r="U99">
        <f>_xlfn.XLOOKUP(FME_Ranking1[[#This Row],[FME ID]],FME_Input[FME_ID],FME_Input[LWC])</f>
        <v>34</v>
      </c>
      <c r="V99" s="178">
        <f>(FME_Ranking1[[#This Row],[LWC Raw]]/$U$2)*100</f>
        <v>1.9573978123200921</v>
      </c>
      <c r="W99" s="178">
        <f>FME_Ranking1[[#This Row],[LWC Score (Normalized, Unweighted)]]*$U$3</f>
        <v>0.39147956246401844</v>
      </c>
      <c r="X99" s="246">
        <f>_xlfn.XLOOKUP(FME_Ranking1[[#This Row],[FME ID]],FME_Input[FME_ID],FME_Input[ROADCLS])</f>
        <v>0</v>
      </c>
      <c r="Y99" s="230">
        <f>(FME_Ranking1[[#This Row],[Closures Raw]]/$X$2)*100</f>
        <v>0</v>
      </c>
      <c r="Z99" s="180">
        <f>FME_Ranking1[[#This Row],[Closures Score (Normalized, Unweighted)]]*$X$3</f>
        <v>0</v>
      </c>
      <c r="AA99" s="253">
        <f>_xlfn.XLOOKUP(FME_Ranking1[[#This Row],[FME ID]],FME_Input[FME_ID],FME_Input[ROAD_MILES100])</f>
        <v>306.46856689453119</v>
      </c>
      <c r="AB99" s="178">
        <f>(FME_Ranking1[[#This Row],[Miles Raw]]/$AA$2)*100</f>
        <v>4.0295119774831818</v>
      </c>
      <c r="AC99" s="178">
        <f>FME_Ranking1[[#This Row],[Miles Score (Normalized, Unweighted)]]*$AA$3</f>
        <v>0.40295119774831822</v>
      </c>
      <c r="AD99" s="255">
        <f>_xlfn.XLOOKUP(FME_Ranking1[[#This Row],[FME ID]],FME_Input[FME_ID],FME_Input[FARMACRE100])</f>
        <v>168.51422119140619</v>
      </c>
      <c r="AE99" s="230">
        <f>(FME_Ranking1[[#This Row],[Ag Land Raw]]/$AD$2)*100</f>
        <v>6.9487721274007043E-3</v>
      </c>
      <c r="AF99" s="231">
        <f>FME_Ranking1[[#This Row],[Ag Land Score (Normalized, Unweighted)]]*$AD$3</f>
        <v>3.4743860637003523E-4</v>
      </c>
      <c r="AG9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3.1552978816727433</v>
      </c>
      <c r="AH99" s="406">
        <f t="shared" si="1"/>
        <v>91</v>
      </c>
      <c r="AI9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3.1552978816727433</v>
      </c>
      <c r="AJ99" s="257">
        <f>FME_Ranking1[[#This Row],[Addition check]]-FME_Ranking1[[#This Row],[Weighted Score Based on Normalized Reported Factors]]</f>
        <v>0</v>
      </c>
      <c r="AK99" s="178">
        <f>_xlfn.RANK.EQ(AI99,$AI$6:$AI$2341,0)+COUNTIF($AI$6:AI99,AI99)-1</f>
        <v>94</v>
      </c>
    </row>
    <row r="100" spans="1:37" ht="12" customHeight="1" x14ac:dyDescent="0.25">
      <c r="A100" t="s">
        <v>8131</v>
      </c>
      <c r="B100">
        <f>_xlfn.XLOOKUP(FME_Ranking1[[#This Row],[FME ID]],FME_Input[FME_ID],FME_Input[RFPG_NUM])</f>
        <v>9</v>
      </c>
      <c r="C100" t="str">
        <f>_xlfn.XLOOKUP(FME_Ranking1[[#This Row],[FME ID]],FME_Input[FME_ID],FME_Input[FME_NAME])</f>
        <v>Ector County Buyout Program Study</v>
      </c>
      <c r="D100" t="str">
        <f>_xlfn.XLOOKUP(FME_Ranking1[[#This Row],[FME ID]],FME_Input[FME_ID],FME_Input[DESCR])</f>
        <v xml:space="preserve">In the area of 61st Street and Benefield, Florida in north western area of county, structures have experienced repetitive losses from flooding. Proposed evaluation of potential mitigation project. </v>
      </c>
      <c r="E100" s="256">
        <f>_xlfn.XLOOKUP(FME_Ranking1[[#This Row],[FME ID]],FME_Input[FME_ID],FME_Input[FME_COST])</f>
        <v>100000</v>
      </c>
      <c r="F100" t="str">
        <f>_xlfn.XLOOKUP(FME_Ranking1[[#This Row],[FME ID]],FME_Input[FME_ID],FME_Input[EMER_NEED])</f>
        <v>Yes</v>
      </c>
      <c r="G100">
        <f>IF(FME_Ranking!F100="Yes",100,0)</f>
        <v>100</v>
      </c>
      <c r="H100">
        <f>FME_Ranking1[[#This Row],[Emergency Need Score (Normalized, Unweighted)]]*$F$3</f>
        <v>0</v>
      </c>
      <c r="I100" s="246">
        <f>_xlfn.XLOOKUP(FME_Ranking1[[#This Row],[FME ID]],FME_Input[FME_ID],FME_Input[STRUCT_100])</f>
        <v>13045</v>
      </c>
      <c r="J100" s="178">
        <f>(FME_Ranking1[[#This Row],[Structures 100 Raw]]/I$2)*100</f>
        <v>6.9854988647560292</v>
      </c>
      <c r="K100" s="178">
        <f>FME_Ranking1[[#This Row],[Structures 100  Score (Normalized, Unweighted)]]*$I$3</f>
        <v>1.0478248297134043</v>
      </c>
      <c r="L100" s="246">
        <f>_xlfn.XLOOKUP(FME_Ranking1[[#This Row],[FME ID]],FME_Input[FME_ID],FME_Input[RES_STRUCT100])</f>
        <v>10079</v>
      </c>
      <c r="M100" s="230">
        <f>(FME_Ranking1[[#This Row],[Res Structures Raw]]/L$2)*100</f>
        <v>7.1390120553611647</v>
      </c>
      <c r="N100" s="180">
        <f>FME_Ranking1[[#This Row],[Res Structures Score (Normalized, Unweighted)]]*$L$3</f>
        <v>0.71390120553611647</v>
      </c>
      <c r="O100" s="244">
        <f>_xlfn.XLOOKUP(FME_Ranking1[[#This Row],[FME ID]],FME_Input[FME_ID],FME_Input[POP100])</f>
        <v>31733</v>
      </c>
      <c r="P100" s="178">
        <f>(FME_Ranking1[[#This Row],[Pop Raw]]/$O$2)*100</f>
        <v>3.2486757753394255</v>
      </c>
      <c r="Q100" s="178">
        <f>FME_Ranking1[[#This Row],[Pop Score (Normalized, Unweighted)]]*$O$3</f>
        <v>0.48730136630091381</v>
      </c>
      <c r="R100" s="137">
        <f>_xlfn.XLOOKUP(FME_Ranking1[[#This Row],[FME ID]],FME_Input[FME_ID],FME_Input[CRITFAC100])</f>
        <v>13</v>
      </c>
      <c r="S100" s="230">
        <f>(FME_Ranking1[[#This Row],[Critical Facilities Raw]]/$R$2)*100</f>
        <v>0.55746140651801035</v>
      </c>
      <c r="T100" s="180">
        <f>FME_Ranking1[[#This Row],[Critical Facilities Score (Normalized, Unweighted)]]*$R$3</f>
        <v>0.11149228130360207</v>
      </c>
      <c r="U100">
        <f>_xlfn.XLOOKUP(FME_Ranking1[[#This Row],[FME ID]],FME_Input[FME_ID],FME_Input[LWC])</f>
        <v>34</v>
      </c>
      <c r="V100" s="178">
        <f>(FME_Ranking1[[#This Row],[LWC Raw]]/$U$2)*100</f>
        <v>1.9573978123200921</v>
      </c>
      <c r="W100" s="178">
        <f>FME_Ranking1[[#This Row],[LWC Score (Normalized, Unweighted)]]*$U$3</f>
        <v>0.39147956246401844</v>
      </c>
      <c r="X100" s="246">
        <f>_xlfn.XLOOKUP(FME_Ranking1[[#This Row],[FME ID]],FME_Input[FME_ID],FME_Input[ROADCLS])</f>
        <v>0</v>
      </c>
      <c r="Y100" s="230">
        <f>(FME_Ranking1[[#This Row],[Closures Raw]]/$X$2)*100</f>
        <v>0</v>
      </c>
      <c r="Z100" s="180">
        <f>FME_Ranking1[[#This Row],[Closures Score (Normalized, Unweighted)]]*$X$3</f>
        <v>0</v>
      </c>
      <c r="AA100" s="253">
        <f>_xlfn.XLOOKUP(FME_Ranking1[[#This Row],[FME ID]],FME_Input[FME_ID],FME_Input[ROAD_MILES100])</f>
        <v>306.45611572265619</v>
      </c>
      <c r="AB100" s="178">
        <f>(FME_Ranking1[[#This Row],[Miles Raw]]/$AA$2)*100</f>
        <v>4.0293482669052514</v>
      </c>
      <c r="AC100" s="178">
        <f>FME_Ranking1[[#This Row],[Miles Score (Normalized, Unweighted)]]*$AA$3</f>
        <v>0.40293482669052516</v>
      </c>
      <c r="AD100" s="255">
        <f>_xlfn.XLOOKUP(FME_Ranking1[[#This Row],[FME ID]],FME_Input[FME_ID],FME_Input[FARMACRE100])</f>
        <v>168.3893127441406</v>
      </c>
      <c r="AE100" s="230">
        <f>(FME_Ranking1[[#This Row],[Ag Land Raw]]/$AD$2)*100</f>
        <v>6.9436214621885952E-3</v>
      </c>
      <c r="AF100" s="231">
        <f>FME_Ranking1[[#This Row],[Ag Land Score (Normalized, Unweighted)]]*$AD$3</f>
        <v>3.4718107310942976E-4</v>
      </c>
      <c r="AG10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3.1552812530816894</v>
      </c>
      <c r="AH100" s="406">
        <f t="shared" si="1"/>
        <v>95</v>
      </c>
      <c r="AI10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3.1552812530816894</v>
      </c>
      <c r="AJ100" s="257">
        <f>FME_Ranking1[[#This Row],[Addition check]]-FME_Ranking1[[#This Row],[Weighted Score Based on Normalized Reported Factors]]</f>
        <v>0</v>
      </c>
      <c r="AK100" s="178">
        <f>_xlfn.RANK.EQ(AI100,$AI$6:$AI$2341,0)+COUNTIF($AI$6:AI100,AI100)-1</f>
        <v>95</v>
      </c>
    </row>
    <row r="101" spans="1:37" ht="12" customHeight="1" x14ac:dyDescent="0.25">
      <c r="A101" t="s">
        <v>8984</v>
      </c>
      <c r="B101">
        <f>_xlfn.XLOOKUP(FME_Ranking1[[#This Row],[FME ID]],FME_Input[FME_ID],FME_Input[RFPG_NUM])</f>
        <v>11</v>
      </c>
      <c r="C101" t="str">
        <f>_xlfn.XLOOKUP(FME_Ranking1[[#This Row],[FME ID]],FME_Input[FME_ID],FME_Input[FME_NAME])</f>
        <v>Guadalupe County Drainage Improvements Study</v>
      </c>
      <c r="D101" t="str">
        <f>_xlfn.XLOOKUP(FME_Ranking1[[#This Row],[FME ID]],FME_Input[FME_ID],FME_Input[DESCR])</f>
        <v>Study of solutions to upgrade undersized stormwater drains and culverts.</v>
      </c>
      <c r="E101" s="256">
        <f>_xlfn.XLOOKUP(FME_Ranking1[[#This Row],[FME ID]],FME_Input[FME_ID],FME_Input[FME_COST])</f>
        <v>3000000</v>
      </c>
      <c r="F101" t="str">
        <f>_xlfn.XLOOKUP(FME_Ranking1[[#This Row],[FME ID]],FME_Input[FME_ID],FME_Input[EMER_NEED])</f>
        <v>No</v>
      </c>
      <c r="G101">
        <f>IF(FME_Ranking!F101="Yes",100,0)</f>
        <v>0</v>
      </c>
      <c r="H101">
        <f>FME_Ranking1[[#This Row],[Emergency Need Score (Normalized, Unweighted)]]*$F$3</f>
        <v>0</v>
      </c>
      <c r="I101" s="246">
        <f>_xlfn.XLOOKUP(FME_Ranking1[[#This Row],[FME ID]],FME_Input[FME_ID],FME_Input[STRUCT_100])</f>
        <v>5822</v>
      </c>
      <c r="J101" s="178">
        <f>(FME_Ranking1[[#This Row],[Structures 100 Raw]]/I$2)*100</f>
        <v>3.1176369789658569</v>
      </c>
      <c r="K101" s="178">
        <f>FME_Ranking1[[#This Row],[Structures 100  Score (Normalized, Unweighted)]]*$I$3</f>
        <v>0.46764554684487852</v>
      </c>
      <c r="L101" s="246">
        <f>_xlfn.XLOOKUP(FME_Ranking1[[#This Row],[FME ID]],FME_Input[FME_ID],FME_Input[RES_STRUCT100])</f>
        <v>4851</v>
      </c>
      <c r="M101" s="230">
        <f>(FME_Ranking1[[#This Row],[Res Structures Raw]]/L$2)*100</f>
        <v>3.4359904237084051</v>
      </c>
      <c r="N101" s="180">
        <f>FME_Ranking1[[#This Row],[Res Structures Score (Normalized, Unweighted)]]*$L$3</f>
        <v>0.34359904237084055</v>
      </c>
      <c r="O101" s="244">
        <f>_xlfn.XLOOKUP(FME_Ranking1[[#This Row],[FME ID]],FME_Input[FME_ID],FME_Input[POP100])</f>
        <v>14109</v>
      </c>
      <c r="P101" s="178">
        <f>(FME_Ranking1[[#This Row],[Pop Raw]]/$O$2)*100</f>
        <v>1.4444132768494611</v>
      </c>
      <c r="Q101" s="178">
        <f>FME_Ranking1[[#This Row],[Pop Score (Normalized, Unweighted)]]*$O$3</f>
        <v>0.21666199152741916</v>
      </c>
      <c r="R101" s="137">
        <f>_xlfn.XLOOKUP(FME_Ranking1[[#This Row],[FME ID]],FME_Input[FME_ID],FME_Input[CRITFAC100])</f>
        <v>14</v>
      </c>
      <c r="S101" s="230">
        <f>(FME_Ranking1[[#This Row],[Critical Facilities Raw]]/$R$2)*100</f>
        <v>0.60034305317324177</v>
      </c>
      <c r="T101" s="180">
        <f>FME_Ranking1[[#This Row],[Critical Facilities Score (Normalized, Unweighted)]]*$R$3</f>
        <v>0.12006861063464835</v>
      </c>
      <c r="U101">
        <f>_xlfn.XLOOKUP(FME_Ranking1[[#This Row],[FME ID]],FME_Input[FME_ID],FME_Input[LWC])</f>
        <v>130</v>
      </c>
      <c r="V101" s="178">
        <f>(FME_Ranking1[[#This Row],[LWC Raw]]/$U$2)*100</f>
        <v>7.484168105929764</v>
      </c>
      <c r="W101" s="178">
        <f>FME_Ranking1[[#This Row],[LWC Score (Normalized, Unweighted)]]*$U$3</f>
        <v>1.496833621185953</v>
      </c>
      <c r="X101" s="246">
        <f>_xlfn.XLOOKUP(FME_Ranking1[[#This Row],[FME ID]],FME_Input[FME_ID],FME_Input[ROADCLS])</f>
        <v>0</v>
      </c>
      <c r="Y101" s="230">
        <f>(FME_Ranking1[[#This Row],[Closures Raw]]/$X$2)*100</f>
        <v>0</v>
      </c>
      <c r="Z101" s="180">
        <f>FME_Ranking1[[#This Row],[Closures Score (Normalized, Unweighted)]]*$X$3</f>
        <v>0</v>
      </c>
      <c r="AA101" s="253">
        <f>_xlfn.XLOOKUP(FME_Ranking1[[#This Row],[FME ID]],FME_Input[FME_ID],FME_Input[ROAD_MILES100])</f>
        <v>116.7411270141602</v>
      </c>
      <c r="AB101" s="178">
        <f>(FME_Ranking1[[#This Row],[Miles Raw]]/$AA$2)*100</f>
        <v>1.534936435195104</v>
      </c>
      <c r="AC101" s="178">
        <f>FME_Ranking1[[#This Row],[Miles Score (Normalized, Unweighted)]]*$AA$3</f>
        <v>0.15349364351951042</v>
      </c>
      <c r="AD101" s="255">
        <f>_xlfn.XLOOKUP(FME_Ranking1[[#This Row],[FME ID]],FME_Input[FME_ID],FME_Input[FARMACRE100])</f>
        <v>25477.205078125</v>
      </c>
      <c r="AE101" s="230">
        <f>(FME_Ranking1[[#This Row],[Ag Land Raw]]/$AD$2)*100</f>
        <v>1.0505658886193461</v>
      </c>
      <c r="AF101" s="231">
        <f>FME_Ranking1[[#This Row],[Ag Land Score (Normalized, Unweighted)]]*$AD$3</f>
        <v>5.2528294430967307E-2</v>
      </c>
      <c r="AG10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2.8508307505142172</v>
      </c>
      <c r="AH101" s="406">
        <f t="shared" si="1"/>
        <v>101</v>
      </c>
      <c r="AI10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2.8508307505142172</v>
      </c>
      <c r="AJ101" s="257">
        <f>FME_Ranking1[[#This Row],[Addition check]]-FME_Ranking1[[#This Row],[Weighted Score Based on Normalized Reported Factors]]</f>
        <v>0</v>
      </c>
      <c r="AK101" s="178">
        <f>_xlfn.RANK.EQ(AI101,$AI$6:$AI$2341,0)+COUNTIF($AI$6:AI101,AI101)-1</f>
        <v>101</v>
      </c>
    </row>
    <row r="102" spans="1:37" ht="12" customHeight="1" x14ac:dyDescent="0.25">
      <c r="A102" t="s">
        <v>8989</v>
      </c>
      <c r="B102">
        <f>_xlfn.XLOOKUP(FME_Ranking1[[#This Row],[FME ID]],FME_Input[FME_ID],FME_Input[RFPG_NUM])</f>
        <v>11</v>
      </c>
      <c r="C102" t="str">
        <f>_xlfn.XLOOKUP(FME_Ranking1[[#This Row],[FME ID]],FME_Input[FME_ID],FME_Input[FME_NAME])</f>
        <v>Guadalupe County Voluntary Buyout Program Project Planning</v>
      </c>
      <c r="D102" t="str">
        <f>_xlfn.XLOOKUP(FME_Ranking1[[#This Row],[FME ID]],FME_Input[FME_ID],FME_Input[DESCR])</f>
        <v>Project planning to develop a land acquisition program in flood hazard areas. Acquire and demolish repetitive loss properties. Acquire high risk vacant land and maintain as open space.</v>
      </c>
      <c r="E102" s="256">
        <f>_xlfn.XLOOKUP(FME_Ranking1[[#This Row],[FME ID]],FME_Input[FME_ID],FME_Input[FME_COST])</f>
        <v>150000</v>
      </c>
      <c r="F102" t="str">
        <f>_xlfn.XLOOKUP(FME_Ranking1[[#This Row],[FME ID]],FME_Input[FME_ID],FME_Input[EMER_NEED])</f>
        <v>No</v>
      </c>
      <c r="G102">
        <f>IF(FME_Ranking!F102="Yes",100,0)</f>
        <v>0</v>
      </c>
      <c r="H102">
        <f>FME_Ranking1[[#This Row],[Emergency Need Score (Normalized, Unweighted)]]*$F$3</f>
        <v>0</v>
      </c>
      <c r="I102" s="246">
        <f>_xlfn.XLOOKUP(FME_Ranking1[[#This Row],[FME ID]],FME_Input[FME_ID],FME_Input[STRUCT_100])</f>
        <v>5822</v>
      </c>
      <c r="J102" s="178">
        <f>(FME_Ranking1[[#This Row],[Structures 100 Raw]]/I$2)*100</f>
        <v>3.1176369789658569</v>
      </c>
      <c r="K102" s="178">
        <f>FME_Ranking1[[#This Row],[Structures 100  Score (Normalized, Unweighted)]]*$I$3</f>
        <v>0.46764554684487852</v>
      </c>
      <c r="L102" s="246">
        <f>_xlfn.XLOOKUP(FME_Ranking1[[#This Row],[FME ID]],FME_Input[FME_ID],FME_Input[RES_STRUCT100])</f>
        <v>4851</v>
      </c>
      <c r="M102" s="230">
        <f>(FME_Ranking1[[#This Row],[Res Structures Raw]]/L$2)*100</f>
        <v>3.4359904237084051</v>
      </c>
      <c r="N102" s="180">
        <f>FME_Ranking1[[#This Row],[Res Structures Score (Normalized, Unweighted)]]*$L$3</f>
        <v>0.34359904237084055</v>
      </c>
      <c r="O102" s="244">
        <f>_xlfn.XLOOKUP(FME_Ranking1[[#This Row],[FME ID]],FME_Input[FME_ID],FME_Input[POP100])</f>
        <v>14109</v>
      </c>
      <c r="P102" s="178">
        <f>(FME_Ranking1[[#This Row],[Pop Raw]]/$O$2)*100</f>
        <v>1.4444132768494611</v>
      </c>
      <c r="Q102" s="178">
        <f>FME_Ranking1[[#This Row],[Pop Score (Normalized, Unweighted)]]*$O$3</f>
        <v>0.21666199152741916</v>
      </c>
      <c r="R102" s="137">
        <f>_xlfn.XLOOKUP(FME_Ranking1[[#This Row],[FME ID]],FME_Input[FME_ID],FME_Input[CRITFAC100])</f>
        <v>14</v>
      </c>
      <c r="S102" s="230">
        <f>(FME_Ranking1[[#This Row],[Critical Facilities Raw]]/$R$2)*100</f>
        <v>0.60034305317324177</v>
      </c>
      <c r="T102" s="180">
        <f>FME_Ranking1[[#This Row],[Critical Facilities Score (Normalized, Unweighted)]]*$R$3</f>
        <v>0.12006861063464835</v>
      </c>
      <c r="U102">
        <f>_xlfn.XLOOKUP(FME_Ranking1[[#This Row],[FME ID]],FME_Input[FME_ID],FME_Input[LWC])</f>
        <v>130</v>
      </c>
      <c r="V102" s="178">
        <f>(FME_Ranking1[[#This Row],[LWC Raw]]/$U$2)*100</f>
        <v>7.484168105929764</v>
      </c>
      <c r="W102" s="178">
        <f>FME_Ranking1[[#This Row],[LWC Score (Normalized, Unweighted)]]*$U$3</f>
        <v>1.496833621185953</v>
      </c>
      <c r="X102" s="246">
        <f>_xlfn.XLOOKUP(FME_Ranking1[[#This Row],[FME ID]],FME_Input[FME_ID],FME_Input[ROADCLS])</f>
        <v>0</v>
      </c>
      <c r="Y102" s="230">
        <f>(FME_Ranking1[[#This Row],[Closures Raw]]/$X$2)*100</f>
        <v>0</v>
      </c>
      <c r="Z102" s="180">
        <f>FME_Ranking1[[#This Row],[Closures Score (Normalized, Unweighted)]]*$X$3</f>
        <v>0</v>
      </c>
      <c r="AA102" s="253">
        <f>_xlfn.XLOOKUP(FME_Ranking1[[#This Row],[FME ID]],FME_Input[FME_ID],FME_Input[ROAD_MILES100])</f>
        <v>116.7411270141602</v>
      </c>
      <c r="AB102" s="178">
        <f>(FME_Ranking1[[#This Row],[Miles Raw]]/$AA$2)*100</f>
        <v>1.534936435195104</v>
      </c>
      <c r="AC102" s="178">
        <f>FME_Ranking1[[#This Row],[Miles Score (Normalized, Unweighted)]]*$AA$3</f>
        <v>0.15349364351951042</v>
      </c>
      <c r="AD102" s="255">
        <f>_xlfn.XLOOKUP(FME_Ranking1[[#This Row],[FME ID]],FME_Input[FME_ID],FME_Input[FARMACRE100])</f>
        <v>25477.205078125</v>
      </c>
      <c r="AE102" s="230">
        <f>(FME_Ranking1[[#This Row],[Ag Land Raw]]/$AD$2)*100</f>
        <v>1.0505658886193461</v>
      </c>
      <c r="AF102" s="231">
        <f>FME_Ranking1[[#This Row],[Ag Land Score (Normalized, Unweighted)]]*$AD$3</f>
        <v>5.2528294430967307E-2</v>
      </c>
      <c r="AG10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2.8508307505142172</v>
      </c>
      <c r="AH102" s="406">
        <f t="shared" si="1"/>
        <v>101</v>
      </c>
      <c r="AI10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2.8508307505142172</v>
      </c>
      <c r="AJ102" s="257">
        <f>FME_Ranking1[[#This Row],[Addition check]]-FME_Ranking1[[#This Row],[Weighted Score Based on Normalized Reported Factors]]</f>
        <v>0</v>
      </c>
      <c r="AK102" s="178">
        <f>_xlfn.RANK.EQ(AI102,$AI$6:$AI$2341,0)+COUNTIF($AI$6:AI102,AI102)-1</f>
        <v>102</v>
      </c>
    </row>
    <row r="103" spans="1:37" ht="12" customHeight="1" x14ac:dyDescent="0.25">
      <c r="A103" t="s">
        <v>8992</v>
      </c>
      <c r="B103">
        <f>_xlfn.XLOOKUP(FME_Ranking1[[#This Row],[FME ID]],FME_Input[FME_ID],FME_Input[RFPG_NUM])</f>
        <v>11</v>
      </c>
      <c r="C103" t="str">
        <f>_xlfn.XLOOKUP(FME_Ranking1[[#This Row],[FME ID]],FME_Input[FME_ID],FME_Input[FME_NAME])</f>
        <v>Guadalupe County LWC Project Planning</v>
      </c>
      <c r="D103" t="str">
        <f>_xlfn.XLOOKUP(FME_Ranking1[[#This Row],[FME ID]],FME_Input[FME_ID],FME_Input[DESCR])</f>
        <v>Project planning for proposed project to mark and place electric gates at low water crossings.</v>
      </c>
      <c r="E103" s="256">
        <f>_xlfn.XLOOKUP(FME_Ranking1[[#This Row],[FME ID]],FME_Input[FME_ID],FME_Input[FME_COST])</f>
        <v>2000000</v>
      </c>
      <c r="F103" t="str">
        <f>_xlfn.XLOOKUP(FME_Ranking1[[#This Row],[FME ID]],FME_Input[FME_ID],FME_Input[EMER_NEED])</f>
        <v>No</v>
      </c>
      <c r="G103">
        <f>IF(FME_Ranking!F103="Yes",100,0)</f>
        <v>0</v>
      </c>
      <c r="H103">
        <f>FME_Ranking1[[#This Row],[Emergency Need Score (Normalized, Unweighted)]]*$F$3</f>
        <v>0</v>
      </c>
      <c r="I103" s="246">
        <f>_xlfn.XLOOKUP(FME_Ranking1[[#This Row],[FME ID]],FME_Input[FME_ID],FME_Input[STRUCT_100])</f>
        <v>5822</v>
      </c>
      <c r="J103" s="178">
        <f>(FME_Ranking1[[#This Row],[Structures 100 Raw]]/I$2)*100</f>
        <v>3.1176369789658569</v>
      </c>
      <c r="K103" s="178">
        <f>FME_Ranking1[[#This Row],[Structures 100  Score (Normalized, Unweighted)]]*$I$3</f>
        <v>0.46764554684487852</v>
      </c>
      <c r="L103" s="246">
        <f>_xlfn.XLOOKUP(FME_Ranking1[[#This Row],[FME ID]],FME_Input[FME_ID],FME_Input[RES_STRUCT100])</f>
        <v>4851</v>
      </c>
      <c r="M103" s="230">
        <f>(FME_Ranking1[[#This Row],[Res Structures Raw]]/L$2)*100</f>
        <v>3.4359904237084051</v>
      </c>
      <c r="N103" s="180">
        <f>FME_Ranking1[[#This Row],[Res Structures Score (Normalized, Unweighted)]]*$L$3</f>
        <v>0.34359904237084055</v>
      </c>
      <c r="O103" s="244">
        <f>_xlfn.XLOOKUP(FME_Ranking1[[#This Row],[FME ID]],FME_Input[FME_ID],FME_Input[POP100])</f>
        <v>14109</v>
      </c>
      <c r="P103" s="178">
        <f>(FME_Ranking1[[#This Row],[Pop Raw]]/$O$2)*100</f>
        <v>1.4444132768494611</v>
      </c>
      <c r="Q103" s="178">
        <f>FME_Ranking1[[#This Row],[Pop Score (Normalized, Unweighted)]]*$O$3</f>
        <v>0.21666199152741916</v>
      </c>
      <c r="R103" s="137">
        <f>_xlfn.XLOOKUP(FME_Ranking1[[#This Row],[FME ID]],FME_Input[FME_ID],FME_Input[CRITFAC100])</f>
        <v>14</v>
      </c>
      <c r="S103" s="230">
        <f>(FME_Ranking1[[#This Row],[Critical Facilities Raw]]/$R$2)*100</f>
        <v>0.60034305317324177</v>
      </c>
      <c r="T103" s="180">
        <f>FME_Ranking1[[#This Row],[Critical Facilities Score (Normalized, Unweighted)]]*$R$3</f>
        <v>0.12006861063464835</v>
      </c>
      <c r="U103">
        <f>_xlfn.XLOOKUP(FME_Ranking1[[#This Row],[FME ID]],FME_Input[FME_ID],FME_Input[LWC])</f>
        <v>130</v>
      </c>
      <c r="V103" s="178">
        <f>(FME_Ranking1[[#This Row],[LWC Raw]]/$U$2)*100</f>
        <v>7.484168105929764</v>
      </c>
      <c r="W103" s="178">
        <f>FME_Ranking1[[#This Row],[LWC Score (Normalized, Unweighted)]]*$U$3</f>
        <v>1.496833621185953</v>
      </c>
      <c r="X103" s="246">
        <f>_xlfn.XLOOKUP(FME_Ranking1[[#This Row],[FME ID]],FME_Input[FME_ID],FME_Input[ROADCLS])</f>
        <v>0</v>
      </c>
      <c r="Y103" s="230">
        <f>(FME_Ranking1[[#This Row],[Closures Raw]]/$X$2)*100</f>
        <v>0</v>
      </c>
      <c r="Z103" s="180">
        <f>FME_Ranking1[[#This Row],[Closures Score (Normalized, Unweighted)]]*$X$3</f>
        <v>0</v>
      </c>
      <c r="AA103" s="253">
        <f>_xlfn.XLOOKUP(FME_Ranking1[[#This Row],[FME ID]],FME_Input[FME_ID],FME_Input[ROAD_MILES100])</f>
        <v>116.7411270141602</v>
      </c>
      <c r="AB103" s="178">
        <f>(FME_Ranking1[[#This Row],[Miles Raw]]/$AA$2)*100</f>
        <v>1.534936435195104</v>
      </c>
      <c r="AC103" s="178">
        <f>FME_Ranking1[[#This Row],[Miles Score (Normalized, Unweighted)]]*$AA$3</f>
        <v>0.15349364351951042</v>
      </c>
      <c r="AD103" s="255">
        <f>_xlfn.XLOOKUP(FME_Ranking1[[#This Row],[FME ID]],FME_Input[FME_ID],FME_Input[FARMACRE100])</f>
        <v>25477.205078125</v>
      </c>
      <c r="AE103" s="230">
        <f>(FME_Ranking1[[#This Row],[Ag Land Raw]]/$AD$2)*100</f>
        <v>1.0505658886193461</v>
      </c>
      <c r="AF103" s="231">
        <f>FME_Ranking1[[#This Row],[Ag Land Score (Normalized, Unweighted)]]*$AD$3</f>
        <v>5.2528294430967307E-2</v>
      </c>
      <c r="AG10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2.8508307505142172</v>
      </c>
      <c r="AH103" s="406">
        <f t="shared" si="1"/>
        <v>101</v>
      </c>
      <c r="AI10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2.8508307505142172</v>
      </c>
      <c r="AJ103" s="257">
        <f>FME_Ranking1[[#This Row],[Addition check]]-FME_Ranking1[[#This Row],[Weighted Score Based on Normalized Reported Factors]]</f>
        <v>0</v>
      </c>
      <c r="AK103" s="178">
        <f>_xlfn.RANK.EQ(AI103,$AI$6:$AI$2341,0)+COUNTIF($AI$6:AI103,AI103)-1</f>
        <v>103</v>
      </c>
    </row>
    <row r="104" spans="1:37" ht="12" customHeight="1" x14ac:dyDescent="0.25">
      <c r="A104" t="s">
        <v>6888</v>
      </c>
      <c r="B104">
        <f>_xlfn.XLOOKUP(FME_Ranking1[[#This Row],[FME ID]],FME_Input[FME_ID],FME_Input[RFPG_NUM])</f>
        <v>7</v>
      </c>
      <c r="C104" t="str">
        <f>_xlfn.XLOOKUP(FME_Ranking1[[#This Row],[FME ID]],FME_Input[FME_ID],FME_Input[FME_NAME])</f>
        <v>City of Abilene Update FEMA Mapping</v>
      </c>
      <c r="D104" t="str">
        <f>_xlfn.XLOOKUP(FME_Ranking1[[#This Row],[FME ID]],FME_Input[FME_ID],FME_Input[DESCR])</f>
        <v>Update City of Abilene models to modern software, update FEMA maps</v>
      </c>
      <c r="E104" s="256">
        <f>_xlfn.XLOOKUP(FME_Ranking1[[#This Row],[FME ID]],FME_Input[FME_ID],FME_Input[FME_COST])</f>
        <v>321000</v>
      </c>
      <c r="F104" t="str">
        <f>_xlfn.XLOOKUP(FME_Ranking1[[#This Row],[FME ID]],FME_Input[FME_ID],FME_Input[EMER_NEED])</f>
        <v>No</v>
      </c>
      <c r="G104">
        <f>IF(FME_Ranking!F104="Yes",100,0)</f>
        <v>0</v>
      </c>
      <c r="H104">
        <f>FME_Ranking1[[#This Row],[Emergency Need Score (Normalized, Unweighted)]]*$F$3</f>
        <v>0</v>
      </c>
      <c r="I104" s="246">
        <f>_xlfn.XLOOKUP(FME_Ranking1[[#This Row],[FME ID]],FME_Input[FME_ID],FME_Input[STRUCT_100])</f>
        <v>10861</v>
      </c>
      <c r="J104" s="178">
        <f>(FME_Ranking1[[#This Row],[Structures 100 Raw]]/I$2)*100</f>
        <v>5.8159833783146979</v>
      </c>
      <c r="K104" s="178">
        <f>FME_Ranking1[[#This Row],[Structures 100  Score (Normalized, Unweighted)]]*$I$3</f>
        <v>0.87239750674720462</v>
      </c>
      <c r="L104" s="246">
        <f>_xlfn.XLOOKUP(FME_Ranking1[[#This Row],[FME ID]],FME_Input[FME_ID],FME_Input[RES_STRUCT100])</f>
        <v>9399</v>
      </c>
      <c r="M104" s="230">
        <f>(FME_Ranking1[[#This Row],[Res Structures Raw]]/L$2)*100</f>
        <v>6.657364253233415</v>
      </c>
      <c r="N104" s="180">
        <f>FME_Ranking1[[#This Row],[Res Structures Score (Normalized, Unweighted)]]*$L$3</f>
        <v>0.66573642532334154</v>
      </c>
      <c r="O104" s="244">
        <f>_xlfn.XLOOKUP(FME_Ranking1[[#This Row],[FME ID]],FME_Input[FME_ID],FME_Input[POP100])</f>
        <v>25333</v>
      </c>
      <c r="P104" s="178">
        <f>(FME_Ranking1[[#This Row],[Pop Raw]]/$O$2)*100</f>
        <v>2.5934737786113402</v>
      </c>
      <c r="Q104" s="178">
        <f>FME_Ranking1[[#This Row],[Pop Score (Normalized, Unweighted)]]*$O$3</f>
        <v>0.38902106679170101</v>
      </c>
      <c r="R104" s="137">
        <f>_xlfn.XLOOKUP(FME_Ranking1[[#This Row],[FME ID]],FME_Input[FME_ID],FME_Input[CRITFAC100])</f>
        <v>10</v>
      </c>
      <c r="S104" s="230">
        <f>(FME_Ranking1[[#This Row],[Critical Facilities Raw]]/$R$2)*100</f>
        <v>0.42881646655231564</v>
      </c>
      <c r="T104" s="180">
        <f>FME_Ranking1[[#This Row],[Critical Facilities Score (Normalized, Unweighted)]]*$R$3</f>
        <v>8.5763293310463132E-2</v>
      </c>
      <c r="U104">
        <f>_xlfn.XLOOKUP(FME_Ranking1[[#This Row],[FME ID]],FME_Input[FME_ID],FME_Input[LWC])</f>
        <v>58</v>
      </c>
      <c r="V104" s="178">
        <f>(FME_Ranking1[[#This Row],[LWC Raw]]/$U$2)*100</f>
        <v>3.3390903857225105</v>
      </c>
      <c r="W104" s="178">
        <f>FME_Ranking1[[#This Row],[LWC Score (Normalized, Unweighted)]]*$U$3</f>
        <v>0.66781807714450214</v>
      </c>
      <c r="X104" s="246">
        <f>_xlfn.XLOOKUP(FME_Ranking1[[#This Row],[FME ID]],FME_Input[FME_ID],FME_Input[ROADCLS])</f>
        <v>0</v>
      </c>
      <c r="Y104" s="230">
        <f>(FME_Ranking1[[#This Row],[Closures Raw]]/$X$2)*100</f>
        <v>0</v>
      </c>
      <c r="Z104" s="180">
        <f>FME_Ranking1[[#This Row],[Closures Score (Normalized, Unweighted)]]*$X$3</f>
        <v>0</v>
      </c>
      <c r="AA104" s="253">
        <f>_xlfn.XLOOKUP(FME_Ranking1[[#This Row],[FME ID]],FME_Input[FME_ID],FME_Input[ROAD_MILES100])</f>
        <v>218.49726867675781</v>
      </c>
      <c r="AB104" s="178">
        <f>(FME_Ranking1[[#This Row],[Miles Raw]]/$AA$2)*100</f>
        <v>2.8728471898501495</v>
      </c>
      <c r="AC104" s="178">
        <f>FME_Ranking1[[#This Row],[Miles Score (Normalized, Unweighted)]]*$AA$3</f>
        <v>0.28728471898501495</v>
      </c>
      <c r="AD104" s="255">
        <f>_xlfn.XLOOKUP(FME_Ranking1[[#This Row],[FME ID]],FME_Input[FME_ID],FME_Input[FARMACRE100])</f>
        <v>1234.783569335938</v>
      </c>
      <c r="AE104" s="230">
        <f>(FME_Ranking1[[#This Row],[Ag Land Raw]]/$AD$2)*100</f>
        <v>5.0916946886210283E-2</v>
      </c>
      <c r="AF104" s="231">
        <f>FME_Ranking1[[#This Row],[Ag Land Score (Normalized, Unweighted)]]*$AD$3</f>
        <v>2.5458473443105145E-3</v>
      </c>
      <c r="AG10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2.9705669356465387</v>
      </c>
      <c r="AH104" s="406">
        <f t="shared" si="1"/>
        <v>97</v>
      </c>
      <c r="AI10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2.9705669356465387</v>
      </c>
      <c r="AJ104" s="257">
        <f>FME_Ranking1[[#This Row],[Addition check]]-FME_Ranking1[[#This Row],[Weighted Score Based on Normalized Reported Factors]]</f>
        <v>0</v>
      </c>
      <c r="AK104" s="178">
        <f>_xlfn.RANK.EQ(AI104,$AI$6:$AI$2341,0)+COUNTIF($AI$6:AI104,AI104)-1</f>
        <v>97</v>
      </c>
    </row>
    <row r="105" spans="1:37" ht="12" customHeight="1" x14ac:dyDescent="0.25">
      <c r="A105" t="s">
        <v>7132</v>
      </c>
      <c r="B105">
        <f>_xlfn.XLOOKUP(FME_Ranking1[[#This Row],[FME ID]],FME_Input[FME_ID],FME_Input[RFPG_NUM])</f>
        <v>7</v>
      </c>
      <c r="C105" t="str">
        <f>_xlfn.XLOOKUP(FME_Ranking1[[#This Row],[FME ID]],FME_Input[FME_ID],FME_Input[FME_NAME])</f>
        <v>City of Abilene Higher Standards Program</v>
      </c>
      <c r="D105" t="str">
        <f>_xlfn.XLOOKUP(FME_Ranking1[[#This Row],[FME ID]],FME_Input[FME_ID],FME_Input[DESCR])</f>
        <v>Adopt higher standards for new construction, increase freeboard requirements for structures in the SFHA; adopt a “no-rise” in BFE in the 100-year floodplain.  Update local flood ordinance to prohibit granting of variance in SFHA; Include “cumulativ</v>
      </c>
      <c r="E105" s="256">
        <f>_xlfn.XLOOKUP(FME_Ranking1[[#This Row],[FME ID]],FME_Input[FME_ID],FME_Input[FME_COST])</f>
        <v>100000</v>
      </c>
      <c r="F105" t="str">
        <f>_xlfn.XLOOKUP(FME_Ranking1[[#This Row],[FME ID]],FME_Input[FME_ID],FME_Input[EMER_NEED])</f>
        <v>No</v>
      </c>
      <c r="G105">
        <f>IF(FME_Ranking!F105="Yes",100,0)</f>
        <v>0</v>
      </c>
      <c r="H105">
        <f>FME_Ranking1[[#This Row],[Emergency Need Score (Normalized, Unweighted)]]*$F$3</f>
        <v>0</v>
      </c>
      <c r="I105" s="246">
        <f>_xlfn.XLOOKUP(FME_Ranking1[[#This Row],[FME ID]],FME_Input[FME_ID],FME_Input[STRUCT_100])</f>
        <v>10861</v>
      </c>
      <c r="J105" s="178">
        <f>(FME_Ranking1[[#This Row],[Structures 100 Raw]]/I$2)*100</f>
        <v>5.8159833783146979</v>
      </c>
      <c r="K105" s="178">
        <f>FME_Ranking1[[#This Row],[Structures 100  Score (Normalized, Unweighted)]]*$I$3</f>
        <v>0.87239750674720462</v>
      </c>
      <c r="L105" s="246">
        <f>_xlfn.XLOOKUP(FME_Ranking1[[#This Row],[FME ID]],FME_Input[FME_ID],FME_Input[RES_STRUCT100])</f>
        <v>9399</v>
      </c>
      <c r="M105" s="230">
        <f>(FME_Ranking1[[#This Row],[Res Structures Raw]]/L$2)*100</f>
        <v>6.657364253233415</v>
      </c>
      <c r="N105" s="180">
        <f>FME_Ranking1[[#This Row],[Res Structures Score (Normalized, Unweighted)]]*$L$3</f>
        <v>0.66573642532334154</v>
      </c>
      <c r="O105" s="244">
        <f>_xlfn.XLOOKUP(FME_Ranking1[[#This Row],[FME ID]],FME_Input[FME_ID],FME_Input[POP100])</f>
        <v>25333</v>
      </c>
      <c r="P105" s="178">
        <f>(FME_Ranking1[[#This Row],[Pop Raw]]/$O$2)*100</f>
        <v>2.5934737786113402</v>
      </c>
      <c r="Q105" s="178">
        <f>FME_Ranking1[[#This Row],[Pop Score (Normalized, Unweighted)]]*$O$3</f>
        <v>0.38902106679170101</v>
      </c>
      <c r="R105" s="137">
        <f>_xlfn.XLOOKUP(FME_Ranking1[[#This Row],[FME ID]],FME_Input[FME_ID],FME_Input[CRITFAC100])</f>
        <v>10</v>
      </c>
      <c r="S105" s="230">
        <f>(FME_Ranking1[[#This Row],[Critical Facilities Raw]]/$R$2)*100</f>
        <v>0.42881646655231564</v>
      </c>
      <c r="T105" s="180">
        <f>FME_Ranking1[[#This Row],[Critical Facilities Score (Normalized, Unweighted)]]*$R$3</f>
        <v>8.5763293310463132E-2</v>
      </c>
      <c r="U105">
        <f>_xlfn.XLOOKUP(FME_Ranking1[[#This Row],[FME ID]],FME_Input[FME_ID],FME_Input[LWC])</f>
        <v>58</v>
      </c>
      <c r="V105" s="178">
        <f>(FME_Ranking1[[#This Row],[LWC Raw]]/$U$2)*100</f>
        <v>3.3390903857225105</v>
      </c>
      <c r="W105" s="178">
        <f>FME_Ranking1[[#This Row],[LWC Score (Normalized, Unweighted)]]*$U$3</f>
        <v>0.66781807714450214</v>
      </c>
      <c r="X105" s="246">
        <f>_xlfn.XLOOKUP(FME_Ranking1[[#This Row],[FME ID]],FME_Input[FME_ID],FME_Input[ROADCLS])</f>
        <v>0</v>
      </c>
      <c r="Y105" s="230">
        <f>(FME_Ranking1[[#This Row],[Closures Raw]]/$X$2)*100</f>
        <v>0</v>
      </c>
      <c r="Z105" s="180">
        <f>FME_Ranking1[[#This Row],[Closures Score (Normalized, Unweighted)]]*$X$3</f>
        <v>0</v>
      </c>
      <c r="AA105" s="253">
        <f>_xlfn.XLOOKUP(FME_Ranking1[[#This Row],[FME ID]],FME_Input[FME_ID],FME_Input[ROAD_MILES100])</f>
        <v>218.49726867675781</v>
      </c>
      <c r="AB105" s="178">
        <f>(FME_Ranking1[[#This Row],[Miles Raw]]/$AA$2)*100</f>
        <v>2.8728471898501495</v>
      </c>
      <c r="AC105" s="178">
        <f>FME_Ranking1[[#This Row],[Miles Score (Normalized, Unweighted)]]*$AA$3</f>
        <v>0.28728471898501495</v>
      </c>
      <c r="AD105" s="255">
        <f>_xlfn.XLOOKUP(FME_Ranking1[[#This Row],[FME ID]],FME_Input[FME_ID],FME_Input[FARMACRE100])</f>
        <v>1234.783569335938</v>
      </c>
      <c r="AE105" s="230">
        <f>(FME_Ranking1[[#This Row],[Ag Land Raw]]/$AD$2)*100</f>
        <v>5.0916946886210283E-2</v>
      </c>
      <c r="AF105" s="231">
        <f>FME_Ranking1[[#This Row],[Ag Land Score (Normalized, Unweighted)]]*$AD$3</f>
        <v>2.5458473443105145E-3</v>
      </c>
      <c r="AG10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2.9705669356465387</v>
      </c>
      <c r="AH105" s="406">
        <f t="shared" si="1"/>
        <v>97</v>
      </c>
      <c r="AI10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2.9705669356465387</v>
      </c>
      <c r="AJ105" s="257">
        <f>FME_Ranking1[[#This Row],[Addition check]]-FME_Ranking1[[#This Row],[Weighted Score Based on Normalized Reported Factors]]</f>
        <v>0</v>
      </c>
      <c r="AK105" s="178">
        <f>_xlfn.RANK.EQ(AI105,$AI$6:$AI$2341,0)+COUNTIF($AI$6:AI105,AI105)-1</f>
        <v>98</v>
      </c>
    </row>
    <row r="106" spans="1:37" ht="12" customHeight="1" x14ac:dyDescent="0.25">
      <c r="A106" t="s">
        <v>11032</v>
      </c>
      <c r="B106">
        <f>_xlfn.XLOOKUP(FME_Ranking1[[#This Row],[FME ID]],FME_Input[FME_ID],FME_Input[RFPG_NUM])</f>
        <v>14</v>
      </c>
      <c r="C106" t="str">
        <f>_xlfn.XLOOKUP(FME_Ranking1[[#This Row],[FME ID]],FME_Input[FME_ID],FME_Input[FME_NAME])</f>
        <v>Develop FMPs for additional projects from the El Paso County Stormwater Master Plan</v>
      </c>
      <c r="D106" t="str">
        <f>_xlfn.XLOOKUP(FME_Ranking1[[#This Row],[FME ID]],FME_Input[FME_ID],FME_Input[DESCR])</f>
        <v>Develop all required datasets and models for 21 projects from the El Paso County Stormwater Master Plan to be considered as FMPs in the Regional Flood Plan.</v>
      </c>
      <c r="E106" s="256">
        <f>_xlfn.XLOOKUP(FME_Ranking1[[#This Row],[FME ID]],FME_Input[FME_ID],FME_Input[FME_COST])</f>
        <v>276000</v>
      </c>
      <c r="F106" t="str">
        <f>_xlfn.XLOOKUP(FME_Ranking1[[#This Row],[FME ID]],FME_Input[FME_ID],FME_Input[EMER_NEED])</f>
        <v>No</v>
      </c>
      <c r="G106">
        <f>IF(FME_Ranking!F106="Yes",100,0)</f>
        <v>0</v>
      </c>
      <c r="H106">
        <f>FME_Ranking1[[#This Row],[Emergency Need Score (Normalized, Unweighted)]]*$F$3</f>
        <v>0</v>
      </c>
      <c r="I106" s="246">
        <f>_xlfn.XLOOKUP(FME_Ranking1[[#This Row],[FME ID]],FME_Input[FME_ID],FME_Input[STRUCT_100])</f>
        <v>7480</v>
      </c>
      <c r="J106" s="178">
        <f>(FME_Ranking1[[#This Row],[Structures 100 Raw]]/I$2)*100</f>
        <v>4.0054834425737909</v>
      </c>
      <c r="K106" s="178">
        <f>FME_Ranking1[[#This Row],[Structures 100  Score (Normalized, Unweighted)]]*$I$3</f>
        <v>0.60082251638606865</v>
      </c>
      <c r="L106" s="246">
        <f>_xlfn.XLOOKUP(FME_Ranking1[[#This Row],[FME ID]],FME_Input[FME_ID],FME_Input[RES_STRUCT100])</f>
        <v>6117</v>
      </c>
      <c r="M106" s="230">
        <f>(FME_Ranking1[[#This Row],[Res Structures Raw]]/L$2)*100</f>
        <v>4.3327053023756568</v>
      </c>
      <c r="N106" s="180">
        <f>FME_Ranking1[[#This Row],[Res Structures Score (Normalized, Unweighted)]]*$L$3</f>
        <v>0.43327053023756568</v>
      </c>
      <c r="O106" s="244">
        <f>_xlfn.XLOOKUP(FME_Ranking1[[#This Row],[FME ID]],FME_Input[FME_ID],FME_Input[POP100])</f>
        <v>20421</v>
      </c>
      <c r="P106" s="178">
        <f>(FME_Ranking1[[#This Row],[Pop Raw]]/$O$2)*100</f>
        <v>2.090606246122535</v>
      </c>
      <c r="Q106" s="178">
        <f>FME_Ranking1[[#This Row],[Pop Score (Normalized, Unweighted)]]*$O$3</f>
        <v>0.31359093691838025</v>
      </c>
      <c r="R106" s="137">
        <f>_xlfn.XLOOKUP(FME_Ranking1[[#This Row],[FME ID]],FME_Input[FME_ID],FME_Input[CRITFAC100])</f>
        <v>10</v>
      </c>
      <c r="S106" s="230">
        <f>(FME_Ranking1[[#This Row],[Critical Facilities Raw]]/$R$2)*100</f>
        <v>0.42881646655231564</v>
      </c>
      <c r="T106" s="180">
        <f>FME_Ranking1[[#This Row],[Critical Facilities Score (Normalized, Unweighted)]]*$R$3</f>
        <v>8.5763293310463132E-2</v>
      </c>
      <c r="U106">
        <f>_xlfn.XLOOKUP(FME_Ranking1[[#This Row],[FME ID]],FME_Input[FME_ID],FME_Input[LWC])</f>
        <v>81</v>
      </c>
      <c r="V106" s="178">
        <f>(FME_Ranking1[[#This Row],[LWC Raw]]/$U$2)*100</f>
        <v>4.6632124352331603</v>
      </c>
      <c r="W106" s="178">
        <f>FME_Ranking1[[#This Row],[LWC Score (Normalized, Unweighted)]]*$U$3</f>
        <v>0.93264248704663211</v>
      </c>
      <c r="X106" s="246">
        <f>_xlfn.XLOOKUP(FME_Ranking1[[#This Row],[FME ID]],FME_Input[FME_ID],FME_Input[ROADCLS])</f>
        <v>224</v>
      </c>
      <c r="Y106" s="230">
        <f>(FME_Ranking1[[#This Row],[Closures Raw]]/$X$2)*100</f>
        <v>2.3551677005572493</v>
      </c>
      <c r="Z106" s="180">
        <f>FME_Ranking1[[#This Row],[Closures Score (Normalized, Unweighted)]]*$X$3</f>
        <v>0.11775838502786247</v>
      </c>
      <c r="AA106" s="253">
        <f>_xlfn.XLOOKUP(FME_Ranking1[[#This Row],[FME ID]],FME_Input[FME_ID],FME_Input[ROAD_MILES100])</f>
        <v>228.218994140625</v>
      </c>
      <c r="AB106" s="178">
        <f>(FME_Ranking1[[#This Row],[Miles Raw]]/$AA$2)*100</f>
        <v>3.0006704429667979</v>
      </c>
      <c r="AC106" s="178">
        <f>FME_Ranking1[[#This Row],[Miles Score (Normalized, Unweighted)]]*$AA$3</f>
        <v>0.3000670442966798</v>
      </c>
      <c r="AD106" s="255">
        <f>_xlfn.XLOOKUP(FME_Ranking1[[#This Row],[FME ID]],FME_Input[FME_ID],FME_Input[FARMACRE100])</f>
        <v>42408.6015625</v>
      </c>
      <c r="AE106" s="230">
        <f>(FME_Ranking1[[#This Row],[Ag Land Raw]]/$AD$2)*100</f>
        <v>1.7487408861761411</v>
      </c>
      <c r="AF106" s="231">
        <f>FME_Ranking1[[#This Row],[Ag Land Score (Normalized, Unweighted)]]*$AD$3</f>
        <v>8.7437044308807055E-2</v>
      </c>
      <c r="AG10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2.8713522375324594</v>
      </c>
      <c r="AH106" s="406">
        <f t="shared" si="1"/>
        <v>100</v>
      </c>
      <c r="AI10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2.8713522375324594</v>
      </c>
      <c r="AJ106" s="257">
        <f>FME_Ranking1[[#This Row],[Addition check]]-FME_Ranking1[[#This Row],[Weighted Score Based on Normalized Reported Factors]]</f>
        <v>0</v>
      </c>
      <c r="AK106" s="178">
        <f>_xlfn.RANK.EQ(AI106,$AI$6:$AI$2341,0)+COUNTIF($AI$6:AI106,AI106)-1</f>
        <v>100</v>
      </c>
    </row>
    <row r="107" spans="1:37" ht="12" customHeight="1" x14ac:dyDescent="0.25">
      <c r="A107" t="s">
        <v>9019</v>
      </c>
      <c r="B107">
        <f>_xlfn.XLOOKUP(FME_Ranking1[[#This Row],[FME ID]],FME_Input[FME_ID],FME_Input[RFPG_NUM])</f>
        <v>11</v>
      </c>
      <c r="C107" t="str">
        <f>_xlfn.XLOOKUP(FME_Ranking1[[#This Row],[FME ID]],FME_Input[FME_ID],FME_Input[FME_NAME])</f>
        <v>Kerr County Center Point Storm Drainage Infrastructure Project Planning</v>
      </c>
      <c r="D107" t="str">
        <f>_xlfn.XLOOKUP(FME_Ranking1[[#This Row],[FME ID]],FME_Input[FME_ID],FME_Input[DESCR])</f>
        <v>Project planning to construct new storm drainage infrastructure to reduce the potential impacts of future flood events.</v>
      </c>
      <c r="E107" s="256">
        <f>_xlfn.XLOOKUP(FME_Ranking1[[#This Row],[FME ID]],FME_Input[FME_ID],FME_Input[FME_COST])</f>
        <v>125000</v>
      </c>
      <c r="F107" t="str">
        <f>_xlfn.XLOOKUP(FME_Ranking1[[#This Row],[FME ID]],FME_Input[FME_ID],FME_Input[EMER_NEED])</f>
        <v>No</v>
      </c>
      <c r="G107">
        <f>IF(FME_Ranking!F107="Yes",100,0)</f>
        <v>0</v>
      </c>
      <c r="H107">
        <f>FME_Ranking1[[#This Row],[Emergency Need Score (Normalized, Unweighted)]]*$F$3</f>
        <v>0</v>
      </c>
      <c r="I107" s="246">
        <f>_xlfn.XLOOKUP(FME_Ranking1[[#This Row],[FME ID]],FME_Input[FME_ID],FME_Input[STRUCT_100])</f>
        <v>3833</v>
      </c>
      <c r="J107" s="178">
        <f>(FME_Ranking1[[#This Row],[Structures 100 Raw]]/I$2)*100</f>
        <v>2.0525425180996444</v>
      </c>
      <c r="K107" s="178">
        <f>FME_Ranking1[[#This Row],[Structures 100  Score (Normalized, Unweighted)]]*$I$3</f>
        <v>0.30788137771494667</v>
      </c>
      <c r="L107" s="246">
        <f>_xlfn.XLOOKUP(FME_Ranking1[[#This Row],[FME ID]],FME_Input[FME_ID],FME_Input[RES_STRUCT100])</f>
        <v>2315</v>
      </c>
      <c r="M107" s="230">
        <f>(FME_Ranking1[[#This Row],[Res Structures Raw]]/L$2)*100</f>
        <v>1.6397274440084431</v>
      </c>
      <c r="N107" s="180">
        <f>FME_Ranking1[[#This Row],[Res Structures Score (Normalized, Unweighted)]]*$L$3</f>
        <v>0.16397274440084431</v>
      </c>
      <c r="O107" s="244">
        <f>_xlfn.XLOOKUP(FME_Ranking1[[#This Row],[FME ID]],FME_Input[FME_ID],FME_Input[POP100])</f>
        <v>7415</v>
      </c>
      <c r="P107" s="178">
        <f>(FME_Ranking1[[#This Row],[Pop Raw]]/$O$2)*100</f>
        <v>0.75911293839667981</v>
      </c>
      <c r="Q107" s="178">
        <f>FME_Ranking1[[#This Row],[Pop Score (Normalized, Unweighted)]]*$O$3</f>
        <v>0.11386694075950196</v>
      </c>
      <c r="R107" s="137">
        <f>_xlfn.XLOOKUP(FME_Ranking1[[#This Row],[FME ID]],FME_Input[FME_ID],FME_Input[CRITFAC100])</f>
        <v>6</v>
      </c>
      <c r="S107" s="230">
        <f>(FME_Ranking1[[#This Row],[Critical Facilities Raw]]/$R$2)*100</f>
        <v>0.25728987993138941</v>
      </c>
      <c r="T107" s="180">
        <f>FME_Ranking1[[#This Row],[Critical Facilities Score (Normalized, Unweighted)]]*$R$3</f>
        <v>5.1457975986277882E-2</v>
      </c>
      <c r="U107">
        <f>_xlfn.XLOOKUP(FME_Ranking1[[#This Row],[FME ID]],FME_Input[FME_ID],FME_Input[LWC])</f>
        <v>158</v>
      </c>
      <c r="V107" s="178">
        <f>(FME_Ranking1[[#This Row],[LWC Raw]]/$U$2)*100</f>
        <v>9.0961427748992527</v>
      </c>
      <c r="W107" s="178">
        <f>FME_Ranking1[[#This Row],[LWC Score (Normalized, Unweighted)]]*$U$3</f>
        <v>1.8192285549798506</v>
      </c>
      <c r="X107" s="246">
        <f>_xlfn.XLOOKUP(FME_Ranking1[[#This Row],[FME ID]],FME_Input[FME_ID],FME_Input[ROADCLS])</f>
        <v>0</v>
      </c>
      <c r="Y107" s="230">
        <f>(FME_Ranking1[[#This Row],[Closures Raw]]/$X$2)*100</f>
        <v>0</v>
      </c>
      <c r="Z107" s="180">
        <f>FME_Ranking1[[#This Row],[Closures Score (Normalized, Unweighted)]]*$X$3</f>
        <v>0</v>
      </c>
      <c r="AA107" s="253">
        <f>_xlfn.XLOOKUP(FME_Ranking1[[#This Row],[FME ID]],FME_Input[FME_ID],FME_Input[ROAD_MILES100])</f>
        <v>124.1244430541992</v>
      </c>
      <c r="AB107" s="178">
        <f>(FME_Ranking1[[#This Row],[Miles Raw]]/$AA$2)*100</f>
        <v>1.6320137985226115</v>
      </c>
      <c r="AC107" s="178">
        <f>FME_Ranking1[[#This Row],[Miles Score (Normalized, Unweighted)]]*$AA$3</f>
        <v>0.16320137985226116</v>
      </c>
      <c r="AD107" s="255">
        <f>_xlfn.XLOOKUP(FME_Ranking1[[#This Row],[FME ID]],FME_Input[FME_ID],FME_Input[FARMACRE100])</f>
        <v>28070.470703125</v>
      </c>
      <c r="AE107" s="230">
        <f>(FME_Ranking1[[#This Row],[Ag Land Raw]]/$AD$2)*100</f>
        <v>1.157500554231208</v>
      </c>
      <c r="AF107" s="231">
        <f>FME_Ranking1[[#This Row],[Ag Land Score (Normalized, Unweighted)]]*$AD$3</f>
        <v>5.7875027711560403E-2</v>
      </c>
      <c r="AG10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2.6774840014052428</v>
      </c>
      <c r="AH107" s="406">
        <f t="shared" si="1"/>
        <v>108</v>
      </c>
      <c r="AI10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2.6774840014052428</v>
      </c>
      <c r="AJ107" s="257">
        <f>FME_Ranking1[[#This Row],[Addition check]]-FME_Ranking1[[#This Row],[Weighted Score Based on Normalized Reported Factors]]</f>
        <v>0</v>
      </c>
      <c r="AK107" s="178">
        <f>_xlfn.RANK.EQ(AI107,$AI$6:$AI$2341,0)+COUNTIF($AI$6:AI107,AI107)-1</f>
        <v>108</v>
      </c>
    </row>
    <row r="108" spans="1:37" ht="12" customHeight="1" x14ac:dyDescent="0.25">
      <c r="A108" t="s">
        <v>9023</v>
      </c>
      <c r="B108">
        <f>_xlfn.XLOOKUP(FME_Ranking1[[#This Row],[FME ID]],FME_Input[FME_ID],FME_Input[RFPG_NUM])</f>
        <v>11</v>
      </c>
      <c r="C108" t="str">
        <f>_xlfn.XLOOKUP(FME_Ranking1[[#This Row],[FME ID]],FME_Input[FME_ID],FME_Input[FME_NAME])</f>
        <v>Kerr County Dam Integrity Study</v>
      </c>
      <c r="D108" t="str">
        <f>_xlfn.XLOOKUP(FME_Ranking1[[#This Row],[FME ID]],FME_Input[FME_ID],FME_Input[DESCR])</f>
        <v xml:space="preserve">Create a dam integrity study and identify repairs to be made to County dams as necessary. </v>
      </c>
      <c r="E108" s="256">
        <f>_xlfn.XLOOKUP(FME_Ranking1[[#This Row],[FME ID]],FME_Input[FME_ID],FME_Input[FME_COST])</f>
        <v>500000</v>
      </c>
      <c r="F108" t="str">
        <f>_xlfn.XLOOKUP(FME_Ranking1[[#This Row],[FME ID]],FME_Input[FME_ID],FME_Input[EMER_NEED])</f>
        <v>No</v>
      </c>
      <c r="G108">
        <f>IF(FME_Ranking!F108="Yes",100,0)</f>
        <v>0</v>
      </c>
      <c r="H108">
        <f>FME_Ranking1[[#This Row],[Emergency Need Score (Normalized, Unweighted)]]*$F$3</f>
        <v>0</v>
      </c>
      <c r="I108" s="246">
        <f>_xlfn.XLOOKUP(FME_Ranking1[[#This Row],[FME ID]],FME_Input[FME_ID],FME_Input[STRUCT_100])</f>
        <v>3833</v>
      </c>
      <c r="J108" s="178">
        <f>(FME_Ranking1[[#This Row],[Structures 100 Raw]]/I$2)*100</f>
        <v>2.0525425180996444</v>
      </c>
      <c r="K108" s="178">
        <f>FME_Ranking1[[#This Row],[Structures 100  Score (Normalized, Unweighted)]]*$I$3</f>
        <v>0.30788137771494667</v>
      </c>
      <c r="L108" s="246">
        <f>_xlfn.XLOOKUP(FME_Ranking1[[#This Row],[FME ID]],FME_Input[FME_ID],FME_Input[RES_STRUCT100])</f>
        <v>2315</v>
      </c>
      <c r="M108" s="230">
        <f>(FME_Ranking1[[#This Row],[Res Structures Raw]]/L$2)*100</f>
        <v>1.6397274440084431</v>
      </c>
      <c r="N108" s="180">
        <f>FME_Ranking1[[#This Row],[Res Structures Score (Normalized, Unweighted)]]*$L$3</f>
        <v>0.16397274440084431</v>
      </c>
      <c r="O108" s="244">
        <f>_xlfn.XLOOKUP(FME_Ranking1[[#This Row],[FME ID]],FME_Input[FME_ID],FME_Input[POP100])</f>
        <v>7415</v>
      </c>
      <c r="P108" s="178">
        <f>(FME_Ranking1[[#This Row],[Pop Raw]]/$O$2)*100</f>
        <v>0.75911293839667981</v>
      </c>
      <c r="Q108" s="178">
        <f>FME_Ranking1[[#This Row],[Pop Score (Normalized, Unweighted)]]*$O$3</f>
        <v>0.11386694075950196</v>
      </c>
      <c r="R108" s="137">
        <f>_xlfn.XLOOKUP(FME_Ranking1[[#This Row],[FME ID]],FME_Input[FME_ID],FME_Input[CRITFAC100])</f>
        <v>6</v>
      </c>
      <c r="S108" s="230">
        <f>(FME_Ranking1[[#This Row],[Critical Facilities Raw]]/$R$2)*100</f>
        <v>0.25728987993138941</v>
      </c>
      <c r="T108" s="180">
        <f>FME_Ranking1[[#This Row],[Critical Facilities Score (Normalized, Unweighted)]]*$R$3</f>
        <v>5.1457975986277882E-2</v>
      </c>
      <c r="U108">
        <f>_xlfn.XLOOKUP(FME_Ranking1[[#This Row],[FME ID]],FME_Input[FME_ID],FME_Input[LWC])</f>
        <v>158</v>
      </c>
      <c r="V108" s="178">
        <f>(FME_Ranking1[[#This Row],[LWC Raw]]/$U$2)*100</f>
        <v>9.0961427748992527</v>
      </c>
      <c r="W108" s="178">
        <f>FME_Ranking1[[#This Row],[LWC Score (Normalized, Unweighted)]]*$U$3</f>
        <v>1.8192285549798506</v>
      </c>
      <c r="X108" s="246">
        <f>_xlfn.XLOOKUP(FME_Ranking1[[#This Row],[FME ID]],FME_Input[FME_ID],FME_Input[ROADCLS])</f>
        <v>0</v>
      </c>
      <c r="Y108" s="230">
        <f>(FME_Ranking1[[#This Row],[Closures Raw]]/$X$2)*100</f>
        <v>0</v>
      </c>
      <c r="Z108" s="180">
        <f>FME_Ranking1[[#This Row],[Closures Score (Normalized, Unweighted)]]*$X$3</f>
        <v>0</v>
      </c>
      <c r="AA108" s="253">
        <f>_xlfn.XLOOKUP(FME_Ranking1[[#This Row],[FME ID]],FME_Input[FME_ID],FME_Input[ROAD_MILES100])</f>
        <v>124.1244430541992</v>
      </c>
      <c r="AB108" s="178">
        <f>(FME_Ranking1[[#This Row],[Miles Raw]]/$AA$2)*100</f>
        <v>1.6320137985226115</v>
      </c>
      <c r="AC108" s="178">
        <f>FME_Ranking1[[#This Row],[Miles Score (Normalized, Unweighted)]]*$AA$3</f>
        <v>0.16320137985226116</v>
      </c>
      <c r="AD108" s="255">
        <f>_xlfn.XLOOKUP(FME_Ranking1[[#This Row],[FME ID]],FME_Input[FME_ID],FME_Input[FARMACRE100])</f>
        <v>28070.470703125</v>
      </c>
      <c r="AE108" s="230">
        <f>(FME_Ranking1[[#This Row],[Ag Land Raw]]/$AD$2)*100</f>
        <v>1.157500554231208</v>
      </c>
      <c r="AF108" s="231">
        <f>FME_Ranking1[[#This Row],[Ag Land Score (Normalized, Unweighted)]]*$AD$3</f>
        <v>5.7875027711560403E-2</v>
      </c>
      <c r="AG10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2.6774840014052428</v>
      </c>
      <c r="AH108" s="406">
        <f t="shared" si="1"/>
        <v>108</v>
      </c>
      <c r="AI10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2.6774840014052428</v>
      </c>
      <c r="AJ108" s="257">
        <f>FME_Ranking1[[#This Row],[Addition check]]-FME_Ranking1[[#This Row],[Weighted Score Based on Normalized Reported Factors]]</f>
        <v>0</v>
      </c>
      <c r="AK108" s="178">
        <f>_xlfn.RANK.EQ(AI108,$AI$6:$AI$2341,0)+COUNTIF($AI$6:AI108,AI108)-1</f>
        <v>109</v>
      </c>
    </row>
    <row r="109" spans="1:37" ht="12" customHeight="1" x14ac:dyDescent="0.25">
      <c r="A109" t="s">
        <v>9030</v>
      </c>
      <c r="B109">
        <f>_xlfn.XLOOKUP(FME_Ranking1[[#This Row],[FME ID]],FME_Input[FME_ID],FME_Input[RFPG_NUM])</f>
        <v>11</v>
      </c>
      <c r="C109" t="str">
        <f>_xlfn.XLOOKUP(FME_Ranking1[[#This Row],[FME ID]],FME_Input[FME_ID],FME_Input[FME_NAME])</f>
        <v>Upper Guadalupe River Authority Evaluation of Water and Sediment Control Facilities</v>
      </c>
      <c r="D109" t="str">
        <f>_xlfn.XLOOKUP(FME_Ranking1[[#This Row],[FME ID]],FME_Input[FME_ID],FME_Input[DESCR])</f>
        <v>Study to evaluate the flood benefits and cost-effectiveness of UGRA’s existing nine Kerr County facilities. Evaluation would include H&amp;H modeling and financial data to determine flood risk reduction. Results could guide decisions on future facilities.</v>
      </c>
      <c r="E109" s="256">
        <f>_xlfn.XLOOKUP(FME_Ranking1[[#This Row],[FME ID]],FME_Input[FME_ID],FME_Input[FME_COST])</f>
        <v>250000</v>
      </c>
      <c r="F109" t="str">
        <f>_xlfn.XLOOKUP(FME_Ranking1[[#This Row],[FME ID]],FME_Input[FME_ID],FME_Input[EMER_NEED])</f>
        <v>No</v>
      </c>
      <c r="G109">
        <f>IF(FME_Ranking!F109="Yes",100,0)</f>
        <v>0</v>
      </c>
      <c r="H109">
        <f>FME_Ranking1[[#This Row],[Emergency Need Score (Normalized, Unweighted)]]*$F$3</f>
        <v>0</v>
      </c>
      <c r="I109" s="246">
        <f>_xlfn.XLOOKUP(FME_Ranking1[[#This Row],[FME ID]],FME_Input[FME_ID],FME_Input[STRUCT_100])</f>
        <v>3833</v>
      </c>
      <c r="J109" s="178">
        <f>(FME_Ranking1[[#This Row],[Structures 100 Raw]]/I$2)*100</f>
        <v>2.0525425180996444</v>
      </c>
      <c r="K109" s="178">
        <f>FME_Ranking1[[#This Row],[Structures 100  Score (Normalized, Unweighted)]]*$I$3</f>
        <v>0.30788137771494667</v>
      </c>
      <c r="L109" s="246">
        <f>_xlfn.XLOOKUP(FME_Ranking1[[#This Row],[FME ID]],FME_Input[FME_ID],FME_Input[RES_STRUCT100])</f>
        <v>2315</v>
      </c>
      <c r="M109" s="230">
        <f>(FME_Ranking1[[#This Row],[Res Structures Raw]]/L$2)*100</f>
        <v>1.6397274440084431</v>
      </c>
      <c r="N109" s="180">
        <f>FME_Ranking1[[#This Row],[Res Structures Score (Normalized, Unweighted)]]*$L$3</f>
        <v>0.16397274440084431</v>
      </c>
      <c r="O109" s="244">
        <f>_xlfn.XLOOKUP(FME_Ranking1[[#This Row],[FME ID]],FME_Input[FME_ID],FME_Input[POP100])</f>
        <v>7415</v>
      </c>
      <c r="P109" s="178">
        <f>(FME_Ranking1[[#This Row],[Pop Raw]]/$O$2)*100</f>
        <v>0.75911293839667981</v>
      </c>
      <c r="Q109" s="178">
        <f>FME_Ranking1[[#This Row],[Pop Score (Normalized, Unweighted)]]*$O$3</f>
        <v>0.11386694075950196</v>
      </c>
      <c r="R109" s="137">
        <f>_xlfn.XLOOKUP(FME_Ranking1[[#This Row],[FME ID]],FME_Input[FME_ID],FME_Input[CRITFAC100])</f>
        <v>6</v>
      </c>
      <c r="S109" s="230">
        <f>(FME_Ranking1[[#This Row],[Critical Facilities Raw]]/$R$2)*100</f>
        <v>0.25728987993138941</v>
      </c>
      <c r="T109" s="180">
        <f>FME_Ranking1[[#This Row],[Critical Facilities Score (Normalized, Unweighted)]]*$R$3</f>
        <v>5.1457975986277882E-2</v>
      </c>
      <c r="U109">
        <f>_xlfn.XLOOKUP(FME_Ranking1[[#This Row],[FME ID]],FME_Input[FME_ID],FME_Input[LWC])</f>
        <v>158</v>
      </c>
      <c r="V109" s="178">
        <f>(FME_Ranking1[[#This Row],[LWC Raw]]/$U$2)*100</f>
        <v>9.0961427748992527</v>
      </c>
      <c r="W109" s="178">
        <f>FME_Ranking1[[#This Row],[LWC Score (Normalized, Unweighted)]]*$U$3</f>
        <v>1.8192285549798506</v>
      </c>
      <c r="X109" s="246">
        <f>_xlfn.XLOOKUP(FME_Ranking1[[#This Row],[FME ID]],FME_Input[FME_ID],FME_Input[ROADCLS])</f>
        <v>0</v>
      </c>
      <c r="Y109" s="230">
        <f>(FME_Ranking1[[#This Row],[Closures Raw]]/$X$2)*100</f>
        <v>0</v>
      </c>
      <c r="Z109" s="180">
        <f>FME_Ranking1[[#This Row],[Closures Score (Normalized, Unweighted)]]*$X$3</f>
        <v>0</v>
      </c>
      <c r="AA109" s="253">
        <f>_xlfn.XLOOKUP(FME_Ranking1[[#This Row],[FME ID]],FME_Input[FME_ID],FME_Input[ROAD_MILES100])</f>
        <v>124.1244430541992</v>
      </c>
      <c r="AB109" s="178">
        <f>(FME_Ranking1[[#This Row],[Miles Raw]]/$AA$2)*100</f>
        <v>1.6320137985226115</v>
      </c>
      <c r="AC109" s="178">
        <f>FME_Ranking1[[#This Row],[Miles Score (Normalized, Unweighted)]]*$AA$3</f>
        <v>0.16320137985226116</v>
      </c>
      <c r="AD109" s="255">
        <f>_xlfn.XLOOKUP(FME_Ranking1[[#This Row],[FME ID]],FME_Input[FME_ID],FME_Input[FARMACRE100])</f>
        <v>28070.470703125</v>
      </c>
      <c r="AE109" s="230">
        <f>(FME_Ranking1[[#This Row],[Ag Land Raw]]/$AD$2)*100</f>
        <v>1.157500554231208</v>
      </c>
      <c r="AF109" s="231">
        <f>FME_Ranking1[[#This Row],[Ag Land Score (Normalized, Unweighted)]]*$AD$3</f>
        <v>5.7875027711560403E-2</v>
      </c>
      <c r="AG10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2.6774840014052428</v>
      </c>
      <c r="AH109" s="406">
        <f t="shared" si="1"/>
        <v>108</v>
      </c>
      <c r="AI10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2.6774840014052428</v>
      </c>
      <c r="AJ109" s="257">
        <f>FME_Ranking1[[#This Row],[Addition check]]-FME_Ranking1[[#This Row],[Weighted Score Based on Normalized Reported Factors]]</f>
        <v>0</v>
      </c>
      <c r="AK109" s="178">
        <f>_xlfn.RANK.EQ(AI109,$AI$6:$AI$2341,0)+COUNTIF($AI$6:AI109,AI109)-1</f>
        <v>110</v>
      </c>
    </row>
    <row r="110" spans="1:37" ht="12" customHeight="1" x14ac:dyDescent="0.25">
      <c r="A110" t="s">
        <v>10963</v>
      </c>
      <c r="B110">
        <f>_xlfn.XLOOKUP(FME_Ranking1[[#This Row],[FME ID]],FME_Input[FME_ID],FME_Input[RFPG_NUM])</f>
        <v>14</v>
      </c>
      <c r="C110" t="str">
        <f>_xlfn.XLOOKUP(FME_Ranking1[[#This Row],[FME ID]],FME_Input[FME_ID],FME_Input[FME_NAME])</f>
        <v>Conduct flood risk assessment at El Paso locations where drainage is controlled by river stage, and there are significant flood risks on the non-river side of the levee.</v>
      </c>
      <c r="D110" t="str">
        <f>_xlfn.XLOOKUP(FME_Ranking1[[#This Row],[FME ID]],FME_Input[FME_ID],FME_Input[DESCR])</f>
        <v>Identify the Rio Grande outfalls that are most susceptible to blockage, and most likely to allow flood damage during periods of high river stage.</v>
      </c>
      <c r="E110" s="256">
        <f>_xlfn.XLOOKUP(FME_Ranking1[[#This Row],[FME ID]],FME_Input[FME_ID],FME_Input[FME_COST])</f>
        <v>70000</v>
      </c>
      <c r="F110" t="str">
        <f>_xlfn.XLOOKUP(FME_Ranking1[[#This Row],[FME ID]],FME_Input[FME_ID],FME_Input[EMER_NEED])</f>
        <v>No</v>
      </c>
      <c r="G110">
        <f>IF(FME_Ranking!F110="Yes",100,0)</f>
        <v>0</v>
      </c>
      <c r="H110">
        <f>FME_Ranking1[[#This Row],[Emergency Need Score (Normalized, Unweighted)]]*$F$3</f>
        <v>0</v>
      </c>
      <c r="I110" s="246">
        <f>_xlfn.XLOOKUP(FME_Ranking1[[#This Row],[FME ID]],FME_Input[FME_ID],FME_Input[STRUCT_100])</f>
        <v>12341</v>
      </c>
      <c r="J110" s="178">
        <f>(FME_Ranking1[[#This Row],[Structures 100 Raw]]/I$2)*100</f>
        <v>6.6085121878079081</v>
      </c>
      <c r="K110" s="178">
        <f>FME_Ranking1[[#This Row],[Structures 100  Score (Normalized, Unweighted)]]*$I$3</f>
        <v>0.99127682817118612</v>
      </c>
      <c r="L110" s="246">
        <f>_xlfn.XLOOKUP(FME_Ranking1[[#This Row],[FME ID]],FME_Input[FME_ID],FME_Input[RES_STRUCT100])</f>
        <v>10696</v>
      </c>
      <c r="M110" s="230">
        <f>(FME_Ranking1[[#This Row],[Res Structures Raw]]/L$2)*100</f>
        <v>7.5760366052329626</v>
      </c>
      <c r="N110" s="180">
        <f>FME_Ranking1[[#This Row],[Res Structures Score (Normalized, Unweighted)]]*$L$3</f>
        <v>0.75760366052329631</v>
      </c>
      <c r="O110" s="244">
        <f>_xlfn.XLOOKUP(FME_Ranking1[[#This Row],[FME ID]],FME_Input[FME_ID],FME_Input[POP100])</f>
        <v>34914</v>
      </c>
      <c r="P110" s="178">
        <f>(FME_Ranking1[[#This Row],[Pop Raw]]/$O$2)*100</f>
        <v>3.5743316427756815</v>
      </c>
      <c r="Q110" s="178">
        <f>FME_Ranking1[[#This Row],[Pop Score (Normalized, Unweighted)]]*$O$3</f>
        <v>0.53614974641635216</v>
      </c>
      <c r="R110" s="137">
        <f>_xlfn.XLOOKUP(FME_Ranking1[[#This Row],[FME ID]],FME_Input[FME_ID],FME_Input[CRITFAC100])</f>
        <v>16</v>
      </c>
      <c r="S110" s="230">
        <f>(FME_Ranking1[[#This Row],[Critical Facilities Raw]]/$R$2)*100</f>
        <v>0.68610634648370494</v>
      </c>
      <c r="T110" s="180">
        <f>FME_Ranking1[[#This Row],[Critical Facilities Score (Normalized, Unweighted)]]*$R$3</f>
        <v>0.137221269296741</v>
      </c>
      <c r="U110">
        <f>_xlfn.XLOOKUP(FME_Ranking1[[#This Row],[FME ID]],FME_Input[FME_ID],FME_Input[LWC])</f>
        <v>2</v>
      </c>
      <c r="V110" s="178">
        <f>(FME_Ranking1[[#This Row],[LWC Raw]]/$U$2)*100</f>
        <v>0.11514104778353484</v>
      </c>
      <c r="W110" s="178">
        <f>FME_Ranking1[[#This Row],[LWC Score (Normalized, Unweighted)]]*$U$3</f>
        <v>2.302820955670697E-2</v>
      </c>
      <c r="X110" s="246">
        <f>_xlfn.XLOOKUP(FME_Ranking1[[#This Row],[FME ID]],FME_Input[FME_ID],FME_Input[ROADCLS])</f>
        <v>20</v>
      </c>
      <c r="Y110" s="230">
        <f>(FME_Ranking1[[#This Row],[Closures Raw]]/$X$2)*100</f>
        <v>0.2102828304068973</v>
      </c>
      <c r="Z110" s="180">
        <f>FME_Ranking1[[#This Row],[Closures Score (Normalized, Unweighted)]]*$X$3</f>
        <v>1.0514141520344866E-2</v>
      </c>
      <c r="AA110" s="253">
        <f>_xlfn.XLOOKUP(FME_Ranking1[[#This Row],[FME ID]],FME_Input[FME_ID],FME_Input[ROAD_MILES100])</f>
        <v>228.13099670410159</v>
      </c>
      <c r="AB110" s="178">
        <f>(FME_Ranking1[[#This Row],[Miles Raw]]/$AA$2)*100</f>
        <v>2.9995134345073269</v>
      </c>
      <c r="AC110" s="178">
        <f>FME_Ranking1[[#This Row],[Miles Score (Normalized, Unweighted)]]*$AA$3</f>
        <v>0.29995134345073271</v>
      </c>
      <c r="AD110" s="255">
        <f>_xlfn.XLOOKUP(FME_Ranking1[[#This Row],[FME ID]],FME_Input[FME_ID],FME_Input[FARMACRE100])</f>
        <v>26706.900390625</v>
      </c>
      <c r="AE110" s="230">
        <f>(FME_Ranking1[[#This Row],[Ag Land Raw]]/$AD$2)*100</f>
        <v>1.1012730185712427</v>
      </c>
      <c r="AF110" s="231">
        <f>FME_Ranking1[[#This Row],[Ag Land Score (Normalized, Unweighted)]]*$AD$3</f>
        <v>5.5063650928562136E-2</v>
      </c>
      <c r="AG11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2.810808849863923</v>
      </c>
      <c r="AH110" s="406">
        <f t="shared" si="1"/>
        <v>104</v>
      </c>
      <c r="AI11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2.810808849863923</v>
      </c>
      <c r="AJ110" s="257">
        <f>FME_Ranking1[[#This Row],[Addition check]]-FME_Ranking1[[#This Row],[Weighted Score Based on Normalized Reported Factors]]</f>
        <v>0</v>
      </c>
      <c r="AK110" s="178">
        <f>_xlfn.RANK.EQ(AI110,$AI$6:$AI$2341,0)+COUNTIF($AI$6:AI110,AI110)-1</f>
        <v>104</v>
      </c>
    </row>
    <row r="111" spans="1:37" ht="12" customHeight="1" x14ac:dyDescent="0.25">
      <c r="A111" t="s">
        <v>10934</v>
      </c>
      <c r="B111">
        <f>_xlfn.XLOOKUP(FME_Ranking1[[#This Row],[FME ID]],FME_Input[FME_ID],FME_Input[RFPG_NUM])</f>
        <v>14</v>
      </c>
      <c r="C111" t="str">
        <f>_xlfn.XLOOKUP(FME_Ranking1[[#This Row],[FME ID]],FME_Input[FME_ID],FME_Input[FME_NAME])</f>
        <v>Develop a plan for a Sediment and Vegetation Control Program in the Rio Grande at El Paso</v>
      </c>
      <c r="D111" t="str">
        <f>_xlfn.XLOOKUP(FME_Ranking1[[#This Row],[FME ID]],FME_Input[FME_ID],FME_Input[DESCR])</f>
        <v>Assess Rio Grande capacity in El Paso County considering updated hydrology, sediment, and vegetation conditions. Establish maintenance program with minimum risk-based channel capacity.  Address maintenance agreements between U.S. and Mexico.</v>
      </c>
      <c r="E111" s="256">
        <f>_xlfn.XLOOKUP(FME_Ranking1[[#This Row],[FME ID]],FME_Input[FME_ID],FME_Input[FME_COST])</f>
        <v>107000</v>
      </c>
      <c r="F111" t="str">
        <f>_xlfn.XLOOKUP(FME_Ranking1[[#This Row],[FME ID]],FME_Input[FME_ID],FME_Input[EMER_NEED])</f>
        <v>No</v>
      </c>
      <c r="G111">
        <f>IF(FME_Ranking!F111="Yes",100,0)</f>
        <v>0</v>
      </c>
      <c r="H111">
        <f>FME_Ranking1[[#This Row],[Emergency Need Score (Normalized, Unweighted)]]*$F$3</f>
        <v>0</v>
      </c>
      <c r="I111" s="246">
        <f>_xlfn.XLOOKUP(FME_Ranking1[[#This Row],[FME ID]],FME_Input[FME_ID],FME_Input[STRUCT_100])</f>
        <v>12341</v>
      </c>
      <c r="J111" s="178">
        <f>(FME_Ranking1[[#This Row],[Structures 100 Raw]]/I$2)*100</f>
        <v>6.6085121878079081</v>
      </c>
      <c r="K111" s="178">
        <f>FME_Ranking1[[#This Row],[Structures 100  Score (Normalized, Unweighted)]]*$I$3</f>
        <v>0.99127682817118612</v>
      </c>
      <c r="L111" s="246">
        <f>_xlfn.XLOOKUP(FME_Ranking1[[#This Row],[FME ID]],FME_Input[FME_ID],FME_Input[RES_STRUCT100])</f>
        <v>10696</v>
      </c>
      <c r="M111" s="230">
        <f>(FME_Ranking1[[#This Row],[Res Structures Raw]]/L$2)*100</f>
        <v>7.5760366052329626</v>
      </c>
      <c r="N111" s="180">
        <f>FME_Ranking1[[#This Row],[Res Structures Score (Normalized, Unweighted)]]*$L$3</f>
        <v>0.75760366052329631</v>
      </c>
      <c r="O111" s="244">
        <f>_xlfn.XLOOKUP(FME_Ranking1[[#This Row],[FME ID]],FME_Input[FME_ID],FME_Input[POP100])</f>
        <v>34727</v>
      </c>
      <c r="P111" s="178">
        <f>(FME_Ranking1[[#This Row],[Pop Raw]]/$O$2)*100</f>
        <v>3.5551874594337827</v>
      </c>
      <c r="Q111" s="178">
        <f>FME_Ranking1[[#This Row],[Pop Score (Normalized, Unweighted)]]*$O$3</f>
        <v>0.53327811891506738</v>
      </c>
      <c r="R111" s="137">
        <f>_xlfn.XLOOKUP(FME_Ranking1[[#This Row],[FME ID]],FME_Input[FME_ID],FME_Input[CRITFAC100])</f>
        <v>16</v>
      </c>
      <c r="S111" s="230">
        <f>(FME_Ranking1[[#This Row],[Critical Facilities Raw]]/$R$2)*100</f>
        <v>0.68610634648370494</v>
      </c>
      <c r="T111" s="180">
        <f>FME_Ranking1[[#This Row],[Critical Facilities Score (Normalized, Unweighted)]]*$R$3</f>
        <v>0.137221269296741</v>
      </c>
      <c r="U111">
        <f>_xlfn.XLOOKUP(FME_Ranking1[[#This Row],[FME ID]],FME_Input[FME_ID],FME_Input[LWC])</f>
        <v>2</v>
      </c>
      <c r="V111" s="178">
        <f>(FME_Ranking1[[#This Row],[LWC Raw]]/$U$2)*100</f>
        <v>0.11514104778353484</v>
      </c>
      <c r="W111" s="178">
        <f>FME_Ranking1[[#This Row],[LWC Score (Normalized, Unweighted)]]*$U$3</f>
        <v>2.302820955670697E-2</v>
      </c>
      <c r="X111" s="246">
        <f>_xlfn.XLOOKUP(FME_Ranking1[[#This Row],[FME ID]],FME_Input[FME_ID],FME_Input[ROADCLS])</f>
        <v>20</v>
      </c>
      <c r="Y111" s="230">
        <f>(FME_Ranking1[[#This Row],[Closures Raw]]/$X$2)*100</f>
        <v>0.2102828304068973</v>
      </c>
      <c r="Z111" s="180">
        <f>FME_Ranking1[[#This Row],[Closures Score (Normalized, Unweighted)]]*$X$3</f>
        <v>1.0514141520344866E-2</v>
      </c>
      <c r="AA111" s="253">
        <f>_xlfn.XLOOKUP(FME_Ranking1[[#This Row],[FME ID]],FME_Input[FME_ID],FME_Input[ROAD_MILES100])</f>
        <v>228.13099670410159</v>
      </c>
      <c r="AB111" s="178">
        <f>(FME_Ranking1[[#This Row],[Miles Raw]]/$AA$2)*100</f>
        <v>2.9995134345073269</v>
      </c>
      <c r="AC111" s="178">
        <f>FME_Ranking1[[#This Row],[Miles Score (Normalized, Unweighted)]]*$AA$3</f>
        <v>0.29995134345073271</v>
      </c>
      <c r="AD111" s="255">
        <f>_xlfn.XLOOKUP(FME_Ranking1[[#This Row],[FME ID]],FME_Input[FME_ID],FME_Input[FARMACRE100])</f>
        <v>26706.900390625</v>
      </c>
      <c r="AE111" s="230">
        <f>(FME_Ranking1[[#This Row],[Ag Land Raw]]/$AD$2)*100</f>
        <v>1.1012730185712427</v>
      </c>
      <c r="AF111" s="231">
        <f>FME_Ranking1[[#This Row],[Ag Land Score (Normalized, Unweighted)]]*$AD$3</f>
        <v>5.5063650928562136E-2</v>
      </c>
      <c r="AG11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2.807937222362638</v>
      </c>
      <c r="AH111" s="406">
        <f t="shared" si="1"/>
        <v>105</v>
      </c>
      <c r="AI11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2.807937222362638</v>
      </c>
      <c r="AJ111" s="257">
        <f>FME_Ranking1[[#This Row],[Addition check]]-FME_Ranking1[[#This Row],[Weighted Score Based on Normalized Reported Factors]]</f>
        <v>0</v>
      </c>
      <c r="AK111" s="178">
        <f>_xlfn.RANK.EQ(AI111,$AI$6:$AI$2341,0)+COUNTIF($AI$6:AI111,AI111)-1</f>
        <v>105</v>
      </c>
    </row>
    <row r="112" spans="1:37" ht="12" customHeight="1" x14ac:dyDescent="0.25">
      <c r="A112" t="s">
        <v>4937</v>
      </c>
      <c r="B112">
        <f>_xlfn.XLOOKUP(FME_Ranking1[[#This Row],[FME ID]],FME_Input[FME_ID],FME_Input[RFPG_NUM])</f>
        <v>3</v>
      </c>
      <c r="C112" t="str">
        <f>_xlfn.XLOOKUP(FME_Ranking1[[#This Row],[FME ID]],FME_Input[FME_ID],FME_Input[FME_NAME])</f>
        <v xml:space="preserve">Liberty County Re-canalization </v>
      </c>
      <c r="D112" t="str">
        <f>_xlfn.XLOOKUP(FME_Ranking1[[#This Row],[FME ID]],FME_Input[FME_ID],FME_Input[DESCR])</f>
        <v>Evaluate alternatives to dechannelize existing feeder creeks that flow from north to south and improve drainage for storm water runoff</v>
      </c>
      <c r="E112" s="256">
        <f>_xlfn.XLOOKUP(FME_Ranking1[[#This Row],[FME ID]],FME_Input[FME_ID],FME_Input[FME_COST])</f>
        <v>500000</v>
      </c>
      <c r="F112" t="str">
        <f>_xlfn.XLOOKUP(FME_Ranking1[[#This Row],[FME ID]],FME_Input[FME_ID],FME_Input[EMER_NEED])</f>
        <v>No</v>
      </c>
      <c r="G112">
        <f>IF(FME_Ranking!F112="Yes",100,0)</f>
        <v>0</v>
      </c>
      <c r="H112">
        <f>FME_Ranking1[[#This Row],[Emergency Need Score (Normalized, Unweighted)]]*$F$3</f>
        <v>0</v>
      </c>
      <c r="I112" s="246">
        <f>_xlfn.XLOOKUP(FME_Ranking1[[#This Row],[FME ID]],FME_Input[FME_ID],FME_Input[STRUCT_100])</f>
        <v>8682</v>
      </c>
      <c r="J112" s="178">
        <f>(FME_Ranking1[[#This Row],[Structures 100 Raw]]/I$2)*100</f>
        <v>4.6491453540676009</v>
      </c>
      <c r="K112" s="178">
        <f>FME_Ranking1[[#This Row],[Structures 100  Score (Normalized, Unweighted)]]*$I$3</f>
        <v>0.69737180311014013</v>
      </c>
      <c r="L112" s="246">
        <f>_xlfn.XLOOKUP(FME_Ranking1[[#This Row],[FME ID]],FME_Input[FME_ID],FME_Input[RES_STRUCT100])</f>
        <v>8049</v>
      </c>
      <c r="M112" s="230">
        <f>(FME_Ranking1[[#This Row],[Res Structures Raw]]/L$2)*100</f>
        <v>5.7011517048915588</v>
      </c>
      <c r="N112" s="180">
        <f>FME_Ranking1[[#This Row],[Res Structures Score (Normalized, Unweighted)]]*$L$3</f>
        <v>0.57011517048915594</v>
      </c>
      <c r="O112" s="244">
        <f>_xlfn.XLOOKUP(FME_Ranking1[[#This Row],[FME ID]],FME_Input[FME_ID],FME_Input[POP100])</f>
        <v>12221</v>
      </c>
      <c r="P112" s="178">
        <f>(FME_Ranking1[[#This Row],[Pop Raw]]/$O$2)*100</f>
        <v>1.2511286878146761</v>
      </c>
      <c r="Q112" s="178">
        <f>FME_Ranking1[[#This Row],[Pop Score (Normalized, Unweighted)]]*$O$3</f>
        <v>0.1876693031722014</v>
      </c>
      <c r="R112" s="137">
        <f>_xlfn.XLOOKUP(FME_Ranking1[[#This Row],[FME ID]],FME_Input[FME_ID],FME_Input[CRITFAC100])</f>
        <v>87</v>
      </c>
      <c r="S112" s="230">
        <f>(FME_Ranking1[[#This Row],[Critical Facilities Raw]]/$R$2)*100</f>
        <v>3.7307032590051454</v>
      </c>
      <c r="T112" s="180">
        <f>FME_Ranking1[[#This Row],[Critical Facilities Score (Normalized, Unweighted)]]*$R$3</f>
        <v>0.74614065180102918</v>
      </c>
      <c r="U112">
        <f>_xlfn.XLOOKUP(FME_Ranking1[[#This Row],[FME ID]],FME_Input[FME_ID],FME_Input[LWC])</f>
        <v>6</v>
      </c>
      <c r="V112" s="178">
        <f>(FME_Ranking1[[#This Row],[LWC Raw]]/$U$2)*100</f>
        <v>0.34542314335060448</v>
      </c>
      <c r="W112" s="178">
        <f>FME_Ranking1[[#This Row],[LWC Score (Normalized, Unweighted)]]*$U$3</f>
        <v>6.9084628670120898E-2</v>
      </c>
      <c r="X112" s="246">
        <f>_xlfn.XLOOKUP(FME_Ranking1[[#This Row],[FME ID]],FME_Input[FME_ID],FME_Input[ROADCLS])</f>
        <v>0</v>
      </c>
      <c r="Y112" s="230">
        <f>(FME_Ranking1[[#This Row],[Closures Raw]]/$X$2)*100</f>
        <v>0</v>
      </c>
      <c r="Z112" s="180">
        <f>FME_Ranking1[[#This Row],[Closures Score (Normalized, Unweighted)]]*$X$3</f>
        <v>0</v>
      </c>
      <c r="AA112" s="253">
        <f>_xlfn.XLOOKUP(FME_Ranking1[[#This Row],[FME ID]],FME_Input[FME_ID],FME_Input[ROAD_MILES100])</f>
        <v>256.54928588867188</v>
      </c>
      <c r="AB112" s="178">
        <f>(FME_Ranking1[[#This Row],[Miles Raw]]/$AA$2)*100</f>
        <v>3.3731629666899048</v>
      </c>
      <c r="AC112" s="178">
        <f>FME_Ranking1[[#This Row],[Miles Score (Normalized, Unweighted)]]*$AA$3</f>
        <v>0.33731629666899049</v>
      </c>
      <c r="AD112" s="255">
        <f>_xlfn.XLOOKUP(FME_Ranking1[[#This Row],[FME ID]],FME_Input[FME_ID],FME_Input[FARMACRE100])</f>
        <v>71161.5234375</v>
      </c>
      <c r="AE112" s="230">
        <f>(FME_Ranking1[[#This Row],[Ag Land Raw]]/$AD$2)*100</f>
        <v>2.9343826717402854</v>
      </c>
      <c r="AF112" s="231">
        <f>FME_Ranking1[[#This Row],[Ag Land Score (Normalized, Unweighted)]]*$AD$3</f>
        <v>0.14671913358701427</v>
      </c>
      <c r="AG11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2.7544169874986526</v>
      </c>
      <c r="AH112" s="406">
        <f t="shared" si="1"/>
        <v>106</v>
      </c>
      <c r="AI11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2.7544169874986526</v>
      </c>
      <c r="AJ112" s="257">
        <f>FME_Ranking1[[#This Row],[Addition check]]-FME_Ranking1[[#This Row],[Weighted Score Based on Normalized Reported Factors]]</f>
        <v>0</v>
      </c>
      <c r="AK112" s="178">
        <f>_xlfn.RANK.EQ(AI112,$AI$6:$AI$2341,0)+COUNTIF($AI$6:AI112,AI112)-1</f>
        <v>106</v>
      </c>
    </row>
    <row r="113" spans="1:37" ht="12" customHeight="1" x14ac:dyDescent="0.25">
      <c r="A113" t="s">
        <v>3936</v>
      </c>
      <c r="B113">
        <f>_xlfn.XLOOKUP(FME_Ranking1[[#This Row],[FME ID]],FME_Input[FME_ID],FME_Input[RFPG_NUM])</f>
        <v>3</v>
      </c>
      <c r="C113" t="str">
        <f>_xlfn.XLOOKUP(FME_Ranking1[[#This Row],[FME ID]],FME_Input[FME_ID],FME_Input[FME_NAME])</f>
        <v xml:space="preserve">Liberty County FEMA Mapping </v>
      </c>
      <c r="D113" t="str">
        <f>_xlfn.XLOOKUP(FME_Ranking1[[#This Row],[FME ID]],FME_Input[FME_ID],FME_Input[DESCR])</f>
        <v>Create FEMA mapping in previously unmapped areas and update existing FEMA maps as needed.</v>
      </c>
      <c r="E113" s="256">
        <f>_xlfn.XLOOKUP(FME_Ranking1[[#This Row],[FME ID]],FME_Input[FME_ID],FME_Input[FME_COST])</f>
        <v>1214000</v>
      </c>
      <c r="F113" t="str">
        <f>_xlfn.XLOOKUP(FME_Ranking1[[#This Row],[FME ID]],FME_Input[FME_ID],FME_Input[EMER_NEED])</f>
        <v>No</v>
      </c>
      <c r="G113">
        <f>IF(FME_Ranking!F113="Yes",100,0)</f>
        <v>0</v>
      </c>
      <c r="H113">
        <f>FME_Ranking1[[#This Row],[Emergency Need Score (Normalized, Unweighted)]]*$F$3</f>
        <v>0</v>
      </c>
      <c r="I113" s="246">
        <f>_xlfn.XLOOKUP(FME_Ranking1[[#This Row],[FME ID]],FME_Input[FME_ID],FME_Input[STRUCT_100])</f>
        <v>8682</v>
      </c>
      <c r="J113" s="178">
        <f>(FME_Ranking1[[#This Row],[Structures 100 Raw]]/I$2)*100</f>
        <v>4.6491453540676009</v>
      </c>
      <c r="K113" s="178">
        <f>FME_Ranking1[[#This Row],[Structures 100  Score (Normalized, Unweighted)]]*$I$3</f>
        <v>0.69737180311014013</v>
      </c>
      <c r="L113" s="246">
        <f>_xlfn.XLOOKUP(FME_Ranking1[[#This Row],[FME ID]],FME_Input[FME_ID],FME_Input[RES_STRUCT100])</f>
        <v>8049</v>
      </c>
      <c r="M113" s="230">
        <f>(FME_Ranking1[[#This Row],[Res Structures Raw]]/L$2)*100</f>
        <v>5.7011517048915588</v>
      </c>
      <c r="N113" s="180">
        <f>FME_Ranking1[[#This Row],[Res Structures Score (Normalized, Unweighted)]]*$L$3</f>
        <v>0.57011517048915594</v>
      </c>
      <c r="O113" s="244">
        <f>_xlfn.XLOOKUP(FME_Ranking1[[#This Row],[FME ID]],FME_Input[FME_ID],FME_Input[POP100])</f>
        <v>12221</v>
      </c>
      <c r="P113" s="178">
        <f>(FME_Ranking1[[#This Row],[Pop Raw]]/$O$2)*100</f>
        <v>1.2511286878146761</v>
      </c>
      <c r="Q113" s="178">
        <f>FME_Ranking1[[#This Row],[Pop Score (Normalized, Unweighted)]]*$O$3</f>
        <v>0.1876693031722014</v>
      </c>
      <c r="R113" s="137">
        <f>_xlfn.XLOOKUP(FME_Ranking1[[#This Row],[FME ID]],FME_Input[FME_ID],FME_Input[CRITFAC100])</f>
        <v>87</v>
      </c>
      <c r="S113" s="230">
        <f>(FME_Ranking1[[#This Row],[Critical Facilities Raw]]/$R$2)*100</f>
        <v>3.7307032590051454</v>
      </c>
      <c r="T113" s="180">
        <f>FME_Ranking1[[#This Row],[Critical Facilities Score (Normalized, Unweighted)]]*$R$3</f>
        <v>0.74614065180102918</v>
      </c>
      <c r="U113">
        <f>_xlfn.XLOOKUP(FME_Ranking1[[#This Row],[FME ID]],FME_Input[FME_ID],FME_Input[LWC])</f>
        <v>6</v>
      </c>
      <c r="V113" s="178">
        <f>(FME_Ranking1[[#This Row],[LWC Raw]]/$U$2)*100</f>
        <v>0.34542314335060448</v>
      </c>
      <c r="W113" s="178">
        <f>FME_Ranking1[[#This Row],[LWC Score (Normalized, Unweighted)]]*$U$3</f>
        <v>6.9084628670120898E-2</v>
      </c>
      <c r="X113" s="246">
        <f>_xlfn.XLOOKUP(FME_Ranking1[[#This Row],[FME ID]],FME_Input[FME_ID],FME_Input[ROADCLS])</f>
        <v>0</v>
      </c>
      <c r="Y113" s="230">
        <f>(FME_Ranking1[[#This Row],[Closures Raw]]/$X$2)*100</f>
        <v>0</v>
      </c>
      <c r="Z113" s="180">
        <f>FME_Ranking1[[#This Row],[Closures Score (Normalized, Unweighted)]]*$X$3</f>
        <v>0</v>
      </c>
      <c r="AA113" s="253">
        <f>_xlfn.XLOOKUP(FME_Ranking1[[#This Row],[FME ID]],FME_Input[FME_ID],FME_Input[ROAD_MILES100])</f>
        <v>256.54928588867188</v>
      </c>
      <c r="AB113" s="178">
        <f>(FME_Ranking1[[#This Row],[Miles Raw]]/$AA$2)*100</f>
        <v>3.3731629666899048</v>
      </c>
      <c r="AC113" s="178">
        <f>FME_Ranking1[[#This Row],[Miles Score (Normalized, Unweighted)]]*$AA$3</f>
        <v>0.33731629666899049</v>
      </c>
      <c r="AD113" s="255">
        <f>_xlfn.XLOOKUP(FME_Ranking1[[#This Row],[FME ID]],FME_Input[FME_ID],FME_Input[FARMACRE100])</f>
        <v>48897.01171875</v>
      </c>
      <c r="AE113" s="230">
        <f>(FME_Ranking1[[#This Row],[Ag Land Raw]]/$AD$2)*100</f>
        <v>2.0162938756278881</v>
      </c>
      <c r="AF113" s="231">
        <f>FME_Ranking1[[#This Row],[Ag Land Score (Normalized, Unweighted)]]*$AD$3</f>
        <v>0.1008146937813944</v>
      </c>
      <c r="AG11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2.7085125476930325</v>
      </c>
      <c r="AH113" s="406">
        <f t="shared" si="1"/>
        <v>107</v>
      </c>
      <c r="AI11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2.7085125476930325</v>
      </c>
      <c r="AJ113" s="257">
        <f>FME_Ranking1[[#This Row],[Addition check]]-FME_Ranking1[[#This Row],[Weighted Score Based on Normalized Reported Factors]]</f>
        <v>0</v>
      </c>
      <c r="AK113" s="178">
        <f>_xlfn.RANK.EQ(AI113,$AI$6:$AI$2341,0)+COUNTIF($AI$6:AI113,AI113)-1</f>
        <v>107</v>
      </c>
    </row>
    <row r="114" spans="1:37" ht="12" customHeight="1" x14ac:dyDescent="0.25">
      <c r="A114" t="s">
        <v>8995</v>
      </c>
      <c r="B114">
        <f>_xlfn.XLOOKUP(FME_Ranking1[[#This Row],[FME ID]],FME_Input[FME_ID],FME_Input[RFPG_NUM])</f>
        <v>11</v>
      </c>
      <c r="C114" t="str">
        <f>_xlfn.XLOOKUP(FME_Ranking1[[#This Row],[FME ID]],FME_Input[FME_ID],FME_Input[FME_NAME])</f>
        <v>Hays County Dam Inundation Maps</v>
      </c>
      <c r="D114" t="str">
        <f>_xlfn.XLOOKUP(FME_Ranking1[[#This Row],[FME ID]],FME_Input[FME_ID],FME_Input[DESCR])</f>
        <v>Conduct study and work with TCEQ to continue to develop inundation maps for all High Hazard dams.</v>
      </c>
      <c r="E114" s="256">
        <f>_xlfn.XLOOKUP(FME_Ranking1[[#This Row],[FME ID]],FME_Input[FME_ID],FME_Input[FME_COST])</f>
        <v>500000</v>
      </c>
      <c r="F114" t="str">
        <f>_xlfn.XLOOKUP(FME_Ranking1[[#This Row],[FME ID]],FME_Input[FME_ID],FME_Input[EMER_NEED])</f>
        <v>No</v>
      </c>
      <c r="G114">
        <f>IF(FME_Ranking!F114="Yes",100,0)</f>
        <v>0</v>
      </c>
      <c r="H114">
        <f>FME_Ranking1[[#This Row],[Emergency Need Score (Normalized, Unweighted)]]*$F$3</f>
        <v>0</v>
      </c>
      <c r="I114" s="246">
        <f>_xlfn.XLOOKUP(FME_Ranking1[[#This Row],[FME ID]],FME_Input[FME_ID],FME_Input[STRUCT_100])</f>
        <v>4359</v>
      </c>
      <c r="J114" s="178">
        <f>(FME_Ranking1[[#This Row],[Structures 100 Raw]]/I$2)*100</f>
        <v>2.3342115409330422</v>
      </c>
      <c r="K114" s="178">
        <f>FME_Ranking1[[#This Row],[Structures 100  Score (Normalized, Unweighted)]]*$I$3</f>
        <v>0.35013173113995633</v>
      </c>
      <c r="L114" s="246">
        <f>_xlfn.XLOOKUP(FME_Ranking1[[#This Row],[FME ID]],FME_Input[FME_ID],FME_Input[RES_STRUCT100])</f>
        <v>3223</v>
      </c>
      <c r="M114" s="230">
        <f>(FME_Ranking1[[#This Row],[Res Structures Raw]]/L$2)*100</f>
        <v>2.2828689209672621</v>
      </c>
      <c r="N114" s="180">
        <f>FME_Ranking1[[#This Row],[Res Structures Score (Normalized, Unweighted)]]*$L$3</f>
        <v>0.22828689209672623</v>
      </c>
      <c r="O114" s="244">
        <f>_xlfn.XLOOKUP(FME_Ranking1[[#This Row],[FME ID]],FME_Input[FME_ID],FME_Input[POP100])</f>
        <v>17721</v>
      </c>
      <c r="P114" s="178">
        <f>(FME_Ranking1[[#This Row],[Pop Raw]]/$O$2)*100</f>
        <v>1.8141929037528741</v>
      </c>
      <c r="Q114" s="178">
        <f>FME_Ranking1[[#This Row],[Pop Score (Normalized, Unweighted)]]*$O$3</f>
        <v>0.27212893556293111</v>
      </c>
      <c r="R114" s="137">
        <f>_xlfn.XLOOKUP(FME_Ranking1[[#This Row],[FME ID]],FME_Input[FME_ID],FME_Input[CRITFAC100])</f>
        <v>15</v>
      </c>
      <c r="S114" s="230">
        <f>(FME_Ranking1[[#This Row],[Critical Facilities Raw]]/$R$2)*100</f>
        <v>0.64322469982847341</v>
      </c>
      <c r="T114" s="180">
        <f>FME_Ranking1[[#This Row],[Critical Facilities Score (Normalized, Unweighted)]]*$R$3</f>
        <v>0.12864493996569468</v>
      </c>
      <c r="U114">
        <f>_xlfn.XLOOKUP(FME_Ranking1[[#This Row],[FME ID]],FME_Input[FME_ID],FME_Input[LWC])</f>
        <v>117</v>
      </c>
      <c r="V114" s="178">
        <f>(FME_Ranking1[[#This Row],[LWC Raw]]/$U$2)*100</f>
        <v>6.7357512953367875</v>
      </c>
      <c r="W114" s="178">
        <f>FME_Ranking1[[#This Row],[LWC Score (Normalized, Unweighted)]]*$U$3</f>
        <v>1.3471502590673576</v>
      </c>
      <c r="X114" s="246">
        <f>_xlfn.XLOOKUP(FME_Ranking1[[#This Row],[FME ID]],FME_Input[FME_ID],FME_Input[ROADCLS])</f>
        <v>0</v>
      </c>
      <c r="Y114" s="230">
        <f>(FME_Ranking1[[#This Row],[Closures Raw]]/$X$2)*100</f>
        <v>0</v>
      </c>
      <c r="Z114" s="180">
        <f>FME_Ranking1[[#This Row],[Closures Score (Normalized, Unweighted)]]*$X$3</f>
        <v>0</v>
      </c>
      <c r="AA114" s="253">
        <f>_xlfn.XLOOKUP(FME_Ranking1[[#This Row],[FME ID]],FME_Input[FME_ID],FME_Input[ROAD_MILES100])</f>
        <v>99.977508544921875</v>
      </c>
      <c r="AB114" s="178">
        <f>(FME_Ranking1[[#This Row],[Miles Raw]]/$AA$2)*100</f>
        <v>1.3145249192858701</v>
      </c>
      <c r="AC114" s="178">
        <f>FME_Ranking1[[#This Row],[Miles Score (Normalized, Unweighted)]]*$AA$3</f>
        <v>0.13145249192858702</v>
      </c>
      <c r="AD114" s="255">
        <f>_xlfn.XLOOKUP(FME_Ranking1[[#This Row],[FME ID]],FME_Input[FME_ID],FME_Input[FARMACRE100])</f>
        <v>10536.763671875</v>
      </c>
      <c r="AE114" s="230">
        <f>(FME_Ranking1[[#This Row],[Ag Land Raw]]/$AD$2)*100</f>
        <v>0.43448896596667302</v>
      </c>
      <c r="AF114" s="231">
        <f>FME_Ranking1[[#This Row],[Ag Land Score (Normalized, Unweighted)]]*$AD$3</f>
        <v>2.1724448298333653E-2</v>
      </c>
      <c r="AG11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2.4795196980595868</v>
      </c>
      <c r="AH114" s="406">
        <f t="shared" si="1"/>
        <v>113</v>
      </c>
      <c r="AI11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2.4795196980595868</v>
      </c>
      <c r="AJ114" s="257">
        <f>FME_Ranking1[[#This Row],[Addition check]]-FME_Ranking1[[#This Row],[Weighted Score Based on Normalized Reported Factors]]</f>
        <v>0</v>
      </c>
      <c r="AK114" s="178">
        <f>_xlfn.RANK.EQ(AI114,$AI$6:$AI$2341,0)+COUNTIF($AI$6:AI114,AI114)-1</f>
        <v>113</v>
      </c>
    </row>
    <row r="115" spans="1:37" ht="12" customHeight="1" x14ac:dyDescent="0.25">
      <c r="A115" t="s">
        <v>9000</v>
      </c>
      <c r="B115">
        <f>_xlfn.XLOOKUP(FME_Ranking1[[#This Row],[FME ID]],FME_Input[FME_ID],FME_Input[RFPG_NUM])</f>
        <v>11</v>
      </c>
      <c r="C115" t="str">
        <f>_xlfn.XLOOKUP(FME_Ranking1[[#This Row],[FME ID]],FME_Input[FME_ID],FME_Input[FME_NAME])</f>
        <v>Hays County Harden Critical Infrastructure Project Planning</v>
      </c>
      <c r="D115" t="str">
        <f>_xlfn.XLOOKUP(FME_Ranking1[[#This Row],[FME ID]],FME_Input[FME_ID],FME_Input[DESCR])</f>
        <v>Project planning to ensure new structures are structurally reinforced against natural hazards. To include, flood-proofing (if needed), freeboard, higher levels of soil compaction and proper perimeter drainage systems.</v>
      </c>
      <c r="E115" s="256">
        <f>_xlfn.XLOOKUP(FME_Ranking1[[#This Row],[FME ID]],FME_Input[FME_ID],FME_Input[FME_COST])</f>
        <v>100000</v>
      </c>
      <c r="F115" t="str">
        <f>_xlfn.XLOOKUP(FME_Ranking1[[#This Row],[FME ID]],FME_Input[FME_ID],FME_Input[EMER_NEED])</f>
        <v>No</v>
      </c>
      <c r="G115">
        <f>IF(FME_Ranking!F115="Yes",100,0)</f>
        <v>0</v>
      </c>
      <c r="H115">
        <f>FME_Ranking1[[#This Row],[Emergency Need Score (Normalized, Unweighted)]]*$F$3</f>
        <v>0</v>
      </c>
      <c r="I115" s="246">
        <f>_xlfn.XLOOKUP(FME_Ranking1[[#This Row],[FME ID]],FME_Input[FME_ID],FME_Input[STRUCT_100])</f>
        <v>4359</v>
      </c>
      <c r="J115" s="178">
        <f>(FME_Ranking1[[#This Row],[Structures 100 Raw]]/I$2)*100</f>
        <v>2.3342115409330422</v>
      </c>
      <c r="K115" s="178">
        <f>FME_Ranking1[[#This Row],[Structures 100  Score (Normalized, Unweighted)]]*$I$3</f>
        <v>0.35013173113995633</v>
      </c>
      <c r="L115" s="246">
        <f>_xlfn.XLOOKUP(FME_Ranking1[[#This Row],[FME ID]],FME_Input[FME_ID],FME_Input[RES_STRUCT100])</f>
        <v>3223</v>
      </c>
      <c r="M115" s="230">
        <f>(FME_Ranking1[[#This Row],[Res Structures Raw]]/L$2)*100</f>
        <v>2.2828689209672621</v>
      </c>
      <c r="N115" s="180">
        <f>FME_Ranking1[[#This Row],[Res Structures Score (Normalized, Unweighted)]]*$L$3</f>
        <v>0.22828689209672623</v>
      </c>
      <c r="O115" s="244">
        <f>_xlfn.XLOOKUP(FME_Ranking1[[#This Row],[FME ID]],FME_Input[FME_ID],FME_Input[POP100])</f>
        <v>17721</v>
      </c>
      <c r="P115" s="178">
        <f>(FME_Ranking1[[#This Row],[Pop Raw]]/$O$2)*100</f>
        <v>1.8141929037528741</v>
      </c>
      <c r="Q115" s="178">
        <f>FME_Ranking1[[#This Row],[Pop Score (Normalized, Unweighted)]]*$O$3</f>
        <v>0.27212893556293111</v>
      </c>
      <c r="R115" s="137">
        <f>_xlfn.XLOOKUP(FME_Ranking1[[#This Row],[FME ID]],FME_Input[FME_ID],FME_Input[CRITFAC100])</f>
        <v>15</v>
      </c>
      <c r="S115" s="230">
        <f>(FME_Ranking1[[#This Row],[Critical Facilities Raw]]/$R$2)*100</f>
        <v>0.64322469982847341</v>
      </c>
      <c r="T115" s="180">
        <f>FME_Ranking1[[#This Row],[Critical Facilities Score (Normalized, Unweighted)]]*$R$3</f>
        <v>0.12864493996569468</v>
      </c>
      <c r="U115">
        <f>_xlfn.XLOOKUP(FME_Ranking1[[#This Row],[FME ID]],FME_Input[FME_ID],FME_Input[LWC])</f>
        <v>117</v>
      </c>
      <c r="V115" s="178">
        <f>(FME_Ranking1[[#This Row],[LWC Raw]]/$U$2)*100</f>
        <v>6.7357512953367875</v>
      </c>
      <c r="W115" s="178">
        <f>FME_Ranking1[[#This Row],[LWC Score (Normalized, Unweighted)]]*$U$3</f>
        <v>1.3471502590673576</v>
      </c>
      <c r="X115" s="246">
        <f>_xlfn.XLOOKUP(FME_Ranking1[[#This Row],[FME ID]],FME_Input[FME_ID],FME_Input[ROADCLS])</f>
        <v>0</v>
      </c>
      <c r="Y115" s="230">
        <f>(FME_Ranking1[[#This Row],[Closures Raw]]/$X$2)*100</f>
        <v>0</v>
      </c>
      <c r="Z115" s="180">
        <f>FME_Ranking1[[#This Row],[Closures Score (Normalized, Unweighted)]]*$X$3</f>
        <v>0</v>
      </c>
      <c r="AA115" s="253">
        <f>_xlfn.XLOOKUP(FME_Ranking1[[#This Row],[FME ID]],FME_Input[FME_ID],FME_Input[ROAD_MILES100])</f>
        <v>99.977508544921875</v>
      </c>
      <c r="AB115" s="178">
        <f>(FME_Ranking1[[#This Row],[Miles Raw]]/$AA$2)*100</f>
        <v>1.3145249192858701</v>
      </c>
      <c r="AC115" s="178">
        <f>FME_Ranking1[[#This Row],[Miles Score (Normalized, Unweighted)]]*$AA$3</f>
        <v>0.13145249192858702</v>
      </c>
      <c r="AD115" s="255">
        <f>_xlfn.XLOOKUP(FME_Ranking1[[#This Row],[FME ID]],FME_Input[FME_ID],FME_Input[FARMACRE100])</f>
        <v>10536.763671875</v>
      </c>
      <c r="AE115" s="230">
        <f>(FME_Ranking1[[#This Row],[Ag Land Raw]]/$AD$2)*100</f>
        <v>0.43448896596667302</v>
      </c>
      <c r="AF115" s="231">
        <f>FME_Ranking1[[#This Row],[Ag Land Score (Normalized, Unweighted)]]*$AD$3</f>
        <v>2.1724448298333653E-2</v>
      </c>
      <c r="AG11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2.4795196980595868</v>
      </c>
      <c r="AH115" s="406">
        <f t="shared" si="1"/>
        <v>113</v>
      </c>
      <c r="AI11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2.4795196980595868</v>
      </c>
      <c r="AJ115" s="257">
        <f>FME_Ranking1[[#This Row],[Addition check]]-FME_Ranking1[[#This Row],[Weighted Score Based on Normalized Reported Factors]]</f>
        <v>0</v>
      </c>
      <c r="AK115" s="178">
        <f>_xlfn.RANK.EQ(AI115,$AI$6:$AI$2341,0)+COUNTIF($AI$6:AI115,AI115)-1</f>
        <v>114</v>
      </c>
    </row>
    <row r="116" spans="1:37" ht="12" customHeight="1" x14ac:dyDescent="0.25">
      <c r="A116" t="s">
        <v>9016</v>
      </c>
      <c r="B116">
        <f>_xlfn.XLOOKUP(FME_Ranking1[[#This Row],[FME ID]],FME_Input[FME_ID],FME_Input[RFPG_NUM])</f>
        <v>11</v>
      </c>
      <c r="C116" t="str">
        <f>_xlfn.XLOOKUP(FME_Ranking1[[#This Row],[FME ID]],FME_Input[FME_ID],FME_Input[FME_NAME])</f>
        <v>Hays County Community Flood Mitigation Project Planning</v>
      </c>
      <c r="D116" t="str">
        <f>_xlfn.XLOOKUP(FME_Ranking1[[#This Row],[FME ID]],FME_Input[FME_ID],FME_Input[DESCR])</f>
        <v>Hays County Community Flood Mitigation Project Planning</v>
      </c>
      <c r="E116" s="256">
        <f>_xlfn.XLOOKUP(FME_Ranking1[[#This Row],[FME ID]],FME_Input[FME_ID],FME_Input[FME_COST])</f>
        <v>238035</v>
      </c>
      <c r="F116" t="str">
        <f>_xlfn.XLOOKUP(FME_Ranking1[[#This Row],[FME ID]],FME_Input[FME_ID],FME_Input[EMER_NEED])</f>
        <v>No</v>
      </c>
      <c r="G116">
        <f>IF(FME_Ranking!F116="Yes",100,0)</f>
        <v>0</v>
      </c>
      <c r="H116">
        <f>FME_Ranking1[[#This Row],[Emergency Need Score (Normalized, Unweighted)]]*$F$3</f>
        <v>0</v>
      </c>
      <c r="I116" s="246">
        <f>_xlfn.XLOOKUP(FME_Ranking1[[#This Row],[FME ID]],FME_Input[FME_ID],FME_Input[STRUCT_100])</f>
        <v>4359</v>
      </c>
      <c r="J116" s="178">
        <f>(FME_Ranking1[[#This Row],[Structures 100 Raw]]/I$2)*100</f>
        <v>2.3342115409330422</v>
      </c>
      <c r="K116" s="178">
        <f>FME_Ranking1[[#This Row],[Structures 100  Score (Normalized, Unweighted)]]*$I$3</f>
        <v>0.35013173113995633</v>
      </c>
      <c r="L116" s="246">
        <f>_xlfn.XLOOKUP(FME_Ranking1[[#This Row],[FME ID]],FME_Input[FME_ID],FME_Input[RES_STRUCT100])</f>
        <v>3223</v>
      </c>
      <c r="M116" s="230">
        <f>(FME_Ranking1[[#This Row],[Res Structures Raw]]/L$2)*100</f>
        <v>2.2828689209672621</v>
      </c>
      <c r="N116" s="180">
        <f>FME_Ranking1[[#This Row],[Res Structures Score (Normalized, Unweighted)]]*$L$3</f>
        <v>0.22828689209672623</v>
      </c>
      <c r="O116" s="244">
        <f>_xlfn.XLOOKUP(FME_Ranking1[[#This Row],[FME ID]],FME_Input[FME_ID],FME_Input[POP100])</f>
        <v>17721</v>
      </c>
      <c r="P116" s="178">
        <f>(FME_Ranking1[[#This Row],[Pop Raw]]/$O$2)*100</f>
        <v>1.8141929037528741</v>
      </c>
      <c r="Q116" s="178">
        <f>FME_Ranking1[[#This Row],[Pop Score (Normalized, Unweighted)]]*$O$3</f>
        <v>0.27212893556293111</v>
      </c>
      <c r="R116" s="137">
        <f>_xlfn.XLOOKUP(FME_Ranking1[[#This Row],[FME ID]],FME_Input[FME_ID],FME_Input[CRITFAC100])</f>
        <v>15</v>
      </c>
      <c r="S116" s="230">
        <f>(FME_Ranking1[[#This Row],[Critical Facilities Raw]]/$R$2)*100</f>
        <v>0.64322469982847341</v>
      </c>
      <c r="T116" s="180">
        <f>FME_Ranking1[[#This Row],[Critical Facilities Score (Normalized, Unweighted)]]*$R$3</f>
        <v>0.12864493996569468</v>
      </c>
      <c r="U116">
        <f>_xlfn.XLOOKUP(FME_Ranking1[[#This Row],[FME ID]],FME_Input[FME_ID],FME_Input[LWC])</f>
        <v>117</v>
      </c>
      <c r="V116" s="178">
        <f>(FME_Ranking1[[#This Row],[LWC Raw]]/$U$2)*100</f>
        <v>6.7357512953367875</v>
      </c>
      <c r="W116" s="178">
        <f>FME_Ranking1[[#This Row],[LWC Score (Normalized, Unweighted)]]*$U$3</f>
        <v>1.3471502590673576</v>
      </c>
      <c r="X116" s="246">
        <f>_xlfn.XLOOKUP(FME_Ranking1[[#This Row],[FME ID]],FME_Input[FME_ID],FME_Input[ROADCLS])</f>
        <v>0</v>
      </c>
      <c r="Y116" s="230">
        <f>(FME_Ranking1[[#This Row],[Closures Raw]]/$X$2)*100</f>
        <v>0</v>
      </c>
      <c r="Z116" s="180">
        <f>FME_Ranking1[[#This Row],[Closures Score (Normalized, Unweighted)]]*$X$3</f>
        <v>0</v>
      </c>
      <c r="AA116" s="253">
        <f>_xlfn.XLOOKUP(FME_Ranking1[[#This Row],[FME ID]],FME_Input[FME_ID],FME_Input[ROAD_MILES100])</f>
        <v>99.977508544921875</v>
      </c>
      <c r="AB116" s="178">
        <f>(FME_Ranking1[[#This Row],[Miles Raw]]/$AA$2)*100</f>
        <v>1.3145249192858701</v>
      </c>
      <c r="AC116" s="178">
        <f>FME_Ranking1[[#This Row],[Miles Score (Normalized, Unweighted)]]*$AA$3</f>
        <v>0.13145249192858702</v>
      </c>
      <c r="AD116" s="255">
        <f>_xlfn.XLOOKUP(FME_Ranking1[[#This Row],[FME ID]],FME_Input[FME_ID],FME_Input[FARMACRE100])</f>
        <v>10536.763671875</v>
      </c>
      <c r="AE116" s="230">
        <f>(FME_Ranking1[[#This Row],[Ag Land Raw]]/$AD$2)*100</f>
        <v>0.43448896596667302</v>
      </c>
      <c r="AF116" s="231">
        <f>FME_Ranking1[[#This Row],[Ag Land Score (Normalized, Unweighted)]]*$AD$3</f>
        <v>2.1724448298333653E-2</v>
      </c>
      <c r="AG11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2.4795196980595868</v>
      </c>
      <c r="AH116" s="406">
        <f t="shared" si="1"/>
        <v>113</v>
      </c>
      <c r="AI11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2.4795196980595868</v>
      </c>
      <c r="AJ116" s="257">
        <f>FME_Ranking1[[#This Row],[Addition check]]-FME_Ranking1[[#This Row],[Weighted Score Based on Normalized Reported Factors]]</f>
        <v>0</v>
      </c>
      <c r="AK116" s="178">
        <f>_xlfn.RANK.EQ(AI116,$AI$6:$AI$2341,0)+COUNTIF($AI$6:AI116,AI116)-1</f>
        <v>115</v>
      </c>
    </row>
    <row r="117" spans="1:37" ht="12" customHeight="1" x14ac:dyDescent="0.25">
      <c r="A117" t="s">
        <v>1383</v>
      </c>
      <c r="B117">
        <f>_xlfn.XLOOKUP(FME_Ranking1[[#This Row],[FME ID]],FME_Input[FME_ID],FME_Input[RFPG_NUM])</f>
        <v>6</v>
      </c>
      <c r="C117" t="str">
        <f>_xlfn.XLOOKUP(FME_Ranking1[[#This Row],[FME ID]],FME_Input[FME_ID],FME_Input[FME_NAME])</f>
        <v>Hunting Bayou Watershed Study</v>
      </c>
      <c r="D117" t="str">
        <f>_xlfn.XLOOKUP(FME_Ranking1[[#This Row],[FME ID]],FME_Input[FME_ID],FME_Input[DESCR])</f>
        <v>Watershed wide study using latest data, including MAAPnext models and Atlas 14 rainfall. Study to identify flooding issues within watershed, identify projects to reduce flooding, and provide cost estimates and benefit and cost metrics for each project.</v>
      </c>
      <c r="E117" s="256">
        <f>_xlfn.XLOOKUP(FME_Ranking1[[#This Row],[FME ID]],FME_Input[FME_ID],FME_Input[FME_COST])</f>
        <v>500000</v>
      </c>
      <c r="F117" t="str">
        <f>_xlfn.XLOOKUP(FME_Ranking1[[#This Row],[FME ID]],FME_Input[FME_ID],FME_Input[EMER_NEED])</f>
        <v>Yes</v>
      </c>
      <c r="G117">
        <f>IF(FME_Ranking!F117="Yes",100,0)</f>
        <v>100</v>
      </c>
      <c r="H117">
        <f>FME_Ranking1[[#This Row],[Emergency Need Score (Normalized, Unweighted)]]*$F$3</f>
        <v>0</v>
      </c>
      <c r="I117" s="246">
        <f>_xlfn.XLOOKUP(FME_Ranking1[[#This Row],[FME ID]],FME_Input[FME_ID],FME_Input[STRUCT_100])</f>
        <v>6244</v>
      </c>
      <c r="J117" s="178">
        <f>(FME_Ranking1[[#This Row],[Structures 100 Raw]]/I$2)*100</f>
        <v>3.3436147881591909</v>
      </c>
      <c r="K117" s="178">
        <f>FME_Ranking1[[#This Row],[Structures 100  Score (Normalized, Unweighted)]]*$I$3</f>
        <v>0.50154221822387857</v>
      </c>
      <c r="L117" s="246">
        <f>_xlfn.XLOOKUP(FME_Ranking1[[#This Row],[FME ID]],FME_Input[FME_ID],FME_Input[RES_STRUCT100])</f>
        <v>5220</v>
      </c>
      <c r="M117" s="230">
        <f>(FME_Ranking1[[#This Row],[Res Structures Raw]]/L$2)*100</f>
        <v>3.6973551869218455</v>
      </c>
      <c r="N117" s="180">
        <f>FME_Ranking1[[#This Row],[Res Structures Score (Normalized, Unweighted)]]*$L$3</f>
        <v>0.36973551869218457</v>
      </c>
      <c r="O117" s="244">
        <f>_xlfn.XLOOKUP(FME_Ranking1[[#This Row],[FME ID]],FME_Input[FME_ID],FME_Input[POP100])</f>
        <v>34523</v>
      </c>
      <c r="P117" s="178">
        <f>(FME_Ranking1[[#This Row],[Pop Raw]]/$O$2)*100</f>
        <v>3.5343028957880751</v>
      </c>
      <c r="Q117" s="178">
        <f>FME_Ranking1[[#This Row],[Pop Score (Normalized, Unweighted)]]*$O$3</f>
        <v>0.53014543436821127</v>
      </c>
      <c r="R117" s="137">
        <f>_xlfn.XLOOKUP(FME_Ranking1[[#This Row],[FME ID]],FME_Input[FME_ID],FME_Input[CRITFAC100])</f>
        <v>98</v>
      </c>
      <c r="S117" s="230">
        <f>(FME_Ranking1[[#This Row],[Critical Facilities Raw]]/$R$2)*100</f>
        <v>4.2024013722126927</v>
      </c>
      <c r="T117" s="180">
        <f>FME_Ranking1[[#This Row],[Critical Facilities Score (Normalized, Unweighted)]]*$R$3</f>
        <v>0.84048027444253859</v>
      </c>
      <c r="U117">
        <f>_xlfn.XLOOKUP(FME_Ranking1[[#This Row],[FME ID]],FME_Input[FME_ID],FME_Input[LWC])</f>
        <v>6</v>
      </c>
      <c r="V117" s="178">
        <f>(FME_Ranking1[[#This Row],[LWC Raw]]/$U$2)*100</f>
        <v>0.34542314335060448</v>
      </c>
      <c r="W117" s="178">
        <f>FME_Ranking1[[#This Row],[LWC Score (Normalized, Unweighted)]]*$U$3</f>
        <v>6.9084628670120898E-2</v>
      </c>
      <c r="X117" s="246">
        <f>_xlfn.XLOOKUP(FME_Ranking1[[#This Row],[FME ID]],FME_Input[FME_ID],FME_Input[ROADCLS])</f>
        <v>6</v>
      </c>
      <c r="Y117" s="230">
        <f>(FME_Ranking1[[#This Row],[Closures Raw]]/$X$2)*100</f>
        <v>6.3084849122069186E-2</v>
      </c>
      <c r="Z117" s="180">
        <f>FME_Ranking1[[#This Row],[Closures Score (Normalized, Unweighted)]]*$X$3</f>
        <v>3.1542424561034595E-3</v>
      </c>
      <c r="AA117" s="253">
        <f>_xlfn.XLOOKUP(FME_Ranking1[[#This Row],[FME ID]],FME_Input[FME_ID],FME_Input[ROAD_MILES100])</f>
        <v>101.51442718505859</v>
      </c>
      <c r="AB117" s="178">
        <f>(FME_Ranking1[[#This Row],[Miles Raw]]/$AA$2)*100</f>
        <v>1.3347326428106756</v>
      </c>
      <c r="AC117" s="178">
        <f>FME_Ranking1[[#This Row],[Miles Score (Normalized, Unweighted)]]*$AA$3</f>
        <v>0.13347326428106757</v>
      </c>
      <c r="AD117" s="255">
        <f>_xlfn.XLOOKUP(FME_Ranking1[[#This Row],[FME ID]],FME_Input[FME_ID],FME_Input[FARMACRE100])</f>
        <v>21.130636215209961</v>
      </c>
      <c r="AE117" s="230">
        <f>(FME_Ranking1[[#This Row],[Ag Land Raw]]/$AD$2)*100</f>
        <v>8.713328461442811E-4</v>
      </c>
      <c r="AF117" s="231">
        <f>FME_Ranking1[[#This Row],[Ag Land Score (Normalized, Unweighted)]]*$AD$3</f>
        <v>4.3566642307214058E-5</v>
      </c>
      <c r="AG11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2.4476591477764122</v>
      </c>
      <c r="AH117" s="406">
        <f t="shared" si="1"/>
        <v>116</v>
      </c>
      <c r="AI11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2.4476591477764122</v>
      </c>
      <c r="AJ117" s="257">
        <f>FME_Ranking1[[#This Row],[Addition check]]-FME_Ranking1[[#This Row],[Weighted Score Based on Normalized Reported Factors]]</f>
        <v>0</v>
      </c>
      <c r="AK117" s="178">
        <f>_xlfn.RANK.EQ(AI117,$AI$6:$AI$2341,0)+COUNTIF($AI$6:AI117,AI117)-1</f>
        <v>116</v>
      </c>
    </row>
    <row r="118" spans="1:37" ht="12" customHeight="1" x14ac:dyDescent="0.25">
      <c r="A118" t="s">
        <v>4285</v>
      </c>
      <c r="B118">
        <f>_xlfn.XLOOKUP(FME_Ranking1[[#This Row],[FME ID]],FME_Input[FME_ID],FME_Input[RFPG_NUM])</f>
        <v>3</v>
      </c>
      <c r="C118" t="str">
        <f>_xlfn.XLOOKUP(FME_Ranking1[[#This Row],[FME ID]],FME_Input[FME_ID],FME_Input[FME_NAME])</f>
        <v>Liberty County DMP</v>
      </c>
      <c r="D118" t="str">
        <f>_xlfn.XLOOKUP(FME_Ranking1[[#This Row],[FME ID]],FME_Input[FME_ID],FME_Input[DESCR])</f>
        <v>Evaluate County and identify future projects.</v>
      </c>
      <c r="E118" s="256">
        <f>_xlfn.XLOOKUP(FME_Ranking1[[#This Row],[FME ID]],FME_Input[FME_ID],FME_Input[FME_COST])</f>
        <v>500000</v>
      </c>
      <c r="F118" t="str">
        <f>_xlfn.XLOOKUP(FME_Ranking1[[#This Row],[FME ID]],FME_Input[FME_ID],FME_Input[EMER_NEED])</f>
        <v>No</v>
      </c>
      <c r="G118">
        <f>IF(FME_Ranking!F118="Yes",100,0)</f>
        <v>0</v>
      </c>
      <c r="H118">
        <f>FME_Ranking1[[#This Row],[Emergency Need Score (Normalized, Unweighted)]]*$F$3</f>
        <v>0</v>
      </c>
      <c r="I118" s="246">
        <f>_xlfn.XLOOKUP(FME_Ranking1[[#This Row],[FME ID]],FME_Input[FME_ID],FME_Input[STRUCT_100])</f>
        <v>7897</v>
      </c>
      <c r="J118" s="178">
        <f>(FME_Ranking1[[#This Row],[Structures 100 Raw]]/I$2)*100</f>
        <v>4.2287837895728906</v>
      </c>
      <c r="K118" s="178">
        <f>FME_Ranking1[[#This Row],[Structures 100  Score (Normalized, Unweighted)]]*$I$3</f>
        <v>0.63431756843593357</v>
      </c>
      <c r="L118" s="246">
        <f>_xlfn.XLOOKUP(FME_Ranking1[[#This Row],[FME ID]],FME_Input[FME_ID],FME_Input[RES_STRUCT100])</f>
        <v>7347</v>
      </c>
      <c r="M118" s="230">
        <f>(FME_Ranking1[[#This Row],[Res Structures Raw]]/L$2)*100</f>
        <v>5.2039211797537925</v>
      </c>
      <c r="N118" s="180">
        <f>FME_Ranking1[[#This Row],[Res Structures Score (Normalized, Unweighted)]]*$L$3</f>
        <v>0.52039211797537932</v>
      </c>
      <c r="O118" s="244">
        <f>_xlfn.XLOOKUP(FME_Ranking1[[#This Row],[FME ID]],FME_Input[FME_ID],FME_Input[POP100])</f>
        <v>11279</v>
      </c>
      <c r="P118" s="178">
        <f>(FME_Ranking1[[#This Row],[Pop Raw]]/$O$2)*100</f>
        <v>1.154691143921261</v>
      </c>
      <c r="Q118" s="178">
        <f>FME_Ranking1[[#This Row],[Pop Score (Normalized, Unweighted)]]*$O$3</f>
        <v>0.17320367158818914</v>
      </c>
      <c r="R118" s="137">
        <f>_xlfn.XLOOKUP(FME_Ranking1[[#This Row],[FME ID]],FME_Input[FME_ID],FME_Input[CRITFAC100])</f>
        <v>87</v>
      </c>
      <c r="S118" s="230">
        <f>(FME_Ranking1[[#This Row],[Critical Facilities Raw]]/$R$2)*100</f>
        <v>3.7307032590051454</v>
      </c>
      <c r="T118" s="180">
        <f>FME_Ranking1[[#This Row],[Critical Facilities Score (Normalized, Unweighted)]]*$R$3</f>
        <v>0.74614065180102918</v>
      </c>
      <c r="U118">
        <f>_xlfn.XLOOKUP(FME_Ranking1[[#This Row],[FME ID]],FME_Input[FME_ID],FME_Input[LWC])</f>
        <v>6</v>
      </c>
      <c r="V118" s="178">
        <f>(FME_Ranking1[[#This Row],[LWC Raw]]/$U$2)*100</f>
        <v>0.34542314335060448</v>
      </c>
      <c r="W118" s="178">
        <f>FME_Ranking1[[#This Row],[LWC Score (Normalized, Unweighted)]]*$U$3</f>
        <v>6.9084628670120898E-2</v>
      </c>
      <c r="X118" s="246">
        <f>_xlfn.XLOOKUP(FME_Ranking1[[#This Row],[FME ID]],FME_Input[FME_ID],FME_Input[ROADCLS])</f>
        <v>0</v>
      </c>
      <c r="Y118" s="230">
        <f>(FME_Ranking1[[#This Row],[Closures Raw]]/$X$2)*100</f>
        <v>0</v>
      </c>
      <c r="Z118" s="180">
        <f>FME_Ranking1[[#This Row],[Closures Score (Normalized, Unweighted)]]*$X$3</f>
        <v>0</v>
      </c>
      <c r="AA118" s="253">
        <f>_xlfn.XLOOKUP(FME_Ranking1[[#This Row],[FME ID]],FME_Input[FME_ID],FME_Input[ROAD_MILES100])</f>
        <v>256.54928588867188</v>
      </c>
      <c r="AB118" s="178">
        <f>(FME_Ranking1[[#This Row],[Miles Raw]]/$AA$2)*100</f>
        <v>3.3731629666899048</v>
      </c>
      <c r="AC118" s="178">
        <f>FME_Ranking1[[#This Row],[Miles Score (Normalized, Unweighted)]]*$AA$3</f>
        <v>0.33731629666899049</v>
      </c>
      <c r="AD118" s="255">
        <f>_xlfn.XLOOKUP(FME_Ranking1[[#This Row],[FME ID]],FME_Input[FME_ID],FME_Input[FARMACRE100])</f>
        <v>69006.0234375</v>
      </c>
      <c r="AE118" s="230">
        <f>(FME_Ranking1[[#This Row],[Ag Land Raw]]/$AD$2)*100</f>
        <v>2.8454995008439883</v>
      </c>
      <c r="AF118" s="231">
        <f>FME_Ranking1[[#This Row],[Ag Land Score (Normalized, Unweighted)]]*$AD$3</f>
        <v>0.14227497504219941</v>
      </c>
      <c r="AG11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2.6227299101818424</v>
      </c>
      <c r="AH118" s="406">
        <f t="shared" si="1"/>
        <v>111</v>
      </c>
      <c r="AI11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2.6227299101818424</v>
      </c>
      <c r="AJ118" s="257">
        <f>FME_Ranking1[[#This Row],[Addition check]]-FME_Ranking1[[#This Row],[Weighted Score Based on Normalized Reported Factors]]</f>
        <v>0</v>
      </c>
      <c r="AK118" s="178">
        <f>_xlfn.RANK.EQ(AI118,$AI$6:$AI$2341,0)+COUNTIF($AI$6:AI118,AI118)-1</f>
        <v>111</v>
      </c>
    </row>
    <row r="119" spans="1:37" ht="12" customHeight="1" x14ac:dyDescent="0.25">
      <c r="A119" t="s">
        <v>782</v>
      </c>
      <c r="B119">
        <f>_xlfn.XLOOKUP(FME_Ranking1[[#This Row],[FME ID]],FME_Input[FME_ID],FME_Input[RFPG_NUM])</f>
        <v>6</v>
      </c>
      <c r="C119" t="str">
        <f>_xlfn.XLOOKUP(FME_Ranking1[[#This Row],[FME ID]],FME_Input[FME_ID],FME_Input[FME_NAME])</f>
        <v xml:space="preserve">Southeast Montgomery County Master Drainage Plan_x000D_
</v>
      </c>
      <c r="D119" t="str">
        <f>_xlfn.XLOOKUP(FME_Ranking1[[#This Row],[FME ID]],FME_Input[FME_ID],FME_Input[DESCR])</f>
        <v>Study to develop Master Drainage Plan using future and existing land use and flood/storm water drainage needs including Atlas 14 rainfall.</v>
      </c>
      <c r="E119" s="256">
        <f>_xlfn.XLOOKUP(FME_Ranking1[[#This Row],[FME ID]],FME_Input[FME_ID],FME_Input[FME_COST])</f>
        <v>1170000</v>
      </c>
      <c r="F119" t="str">
        <f>_xlfn.XLOOKUP(FME_Ranking1[[#This Row],[FME ID]],FME_Input[FME_ID],FME_Input[EMER_NEED])</f>
        <v>No</v>
      </c>
      <c r="G119">
        <f>IF(FME_Ranking!F119="Yes",100,0)</f>
        <v>0</v>
      </c>
      <c r="H119">
        <f>FME_Ranking1[[#This Row],[Emergency Need Score (Normalized, Unweighted)]]*$F$3</f>
        <v>0</v>
      </c>
      <c r="I119" s="246">
        <f>_xlfn.XLOOKUP(FME_Ranking1[[#This Row],[FME ID]],FME_Input[FME_ID],FME_Input[STRUCT_100])</f>
        <v>10021</v>
      </c>
      <c r="J119" s="178">
        <f>(FME_Ranking1[[#This Row],[Structures 100 Raw]]/I$2)*100</f>
        <v>5.366169729683417</v>
      </c>
      <c r="K119" s="178">
        <f>FME_Ranking1[[#This Row],[Structures 100  Score (Normalized, Unweighted)]]*$I$3</f>
        <v>0.80492545945251248</v>
      </c>
      <c r="L119" s="246">
        <f>_xlfn.XLOOKUP(FME_Ranking1[[#This Row],[FME ID]],FME_Input[FME_ID],FME_Input[RES_STRUCT100])</f>
        <v>7836</v>
      </c>
      <c r="M119" s="230">
        <f>(FME_Ranking1[[#This Row],[Res Structures Raw]]/L$2)*100</f>
        <v>5.5502826139309542</v>
      </c>
      <c r="N119" s="180">
        <f>FME_Ranking1[[#This Row],[Res Structures Score (Normalized, Unweighted)]]*$L$3</f>
        <v>0.55502826139309547</v>
      </c>
      <c r="O119" s="244">
        <f>_xlfn.XLOOKUP(FME_Ranking1[[#This Row],[FME ID]],FME_Input[FME_ID],FME_Input[POP100])</f>
        <v>22126</v>
      </c>
      <c r="P119" s="178">
        <f>(FME_Ranking1[[#This Row],[Pop Raw]]/$O$2)*100</f>
        <v>2.2651561530633764</v>
      </c>
      <c r="Q119" s="178">
        <f>FME_Ranking1[[#This Row],[Pop Score (Normalized, Unweighted)]]*$O$3</f>
        <v>0.33977342295950647</v>
      </c>
      <c r="R119" s="137">
        <f>_xlfn.XLOOKUP(FME_Ranking1[[#This Row],[FME ID]],FME_Input[FME_ID],FME_Input[CRITFAC100])</f>
        <v>39</v>
      </c>
      <c r="S119" s="230">
        <f>(FME_Ranking1[[#This Row],[Critical Facilities Raw]]/$R$2)*100</f>
        <v>1.6723842195540308</v>
      </c>
      <c r="T119" s="180">
        <f>FME_Ranking1[[#This Row],[Critical Facilities Score (Normalized, Unweighted)]]*$R$3</f>
        <v>0.33447684391080618</v>
      </c>
      <c r="U119">
        <f>_xlfn.XLOOKUP(FME_Ranking1[[#This Row],[FME ID]],FME_Input[FME_ID],FME_Input[LWC])</f>
        <v>17</v>
      </c>
      <c r="V119" s="178">
        <f>(FME_Ranking1[[#This Row],[LWC Raw]]/$U$2)*100</f>
        <v>0.97869890616004607</v>
      </c>
      <c r="W119" s="178">
        <f>FME_Ranking1[[#This Row],[LWC Score (Normalized, Unweighted)]]*$U$3</f>
        <v>0.19573978123200922</v>
      </c>
      <c r="X119" s="246">
        <f>_xlfn.XLOOKUP(FME_Ranking1[[#This Row],[FME ID]],FME_Input[FME_ID],FME_Input[ROADCLS])</f>
        <v>17</v>
      </c>
      <c r="Y119" s="230">
        <f>(FME_Ranking1[[#This Row],[Closures Raw]]/$X$2)*100</f>
        <v>0.17874040584586268</v>
      </c>
      <c r="Z119" s="180">
        <f>FME_Ranking1[[#This Row],[Closures Score (Normalized, Unweighted)]]*$X$3</f>
        <v>8.9370202922931345E-3</v>
      </c>
      <c r="AA119" s="253">
        <f>_xlfn.XLOOKUP(FME_Ranking1[[#This Row],[FME ID]],FME_Input[FME_ID],FME_Input[ROAD_MILES100])</f>
        <v>212.78666687011719</v>
      </c>
      <c r="AB119" s="178">
        <f>(FME_Ranking1[[#This Row],[Miles Raw]]/$AA$2)*100</f>
        <v>2.7977630185380078</v>
      </c>
      <c r="AC119" s="178">
        <f>FME_Ranking1[[#This Row],[Miles Score (Normalized, Unweighted)]]*$AA$3</f>
        <v>0.27977630185380081</v>
      </c>
      <c r="AD119" s="255">
        <f>_xlfn.XLOOKUP(FME_Ranking1[[#This Row],[FME ID]],FME_Input[FME_ID],FME_Input[FARMACRE100])</f>
        <v>296.6737060546875</v>
      </c>
      <c r="AE119" s="230">
        <f>(FME_Ranking1[[#This Row],[Ag Land Raw]]/$AD$2)*100</f>
        <v>1.2233495576755599E-2</v>
      </c>
      <c r="AF119" s="231">
        <f>FME_Ranking1[[#This Row],[Ag Land Score (Normalized, Unweighted)]]*$AD$3</f>
        <v>6.1167477883777995E-4</v>
      </c>
      <c r="AG11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2.5192687658728619</v>
      </c>
      <c r="AH119" s="406">
        <f t="shared" si="1"/>
        <v>112</v>
      </c>
      <c r="AI11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2.5192687658728619</v>
      </c>
      <c r="AJ119" s="257">
        <f>FME_Ranking1[[#This Row],[Addition check]]-FME_Ranking1[[#This Row],[Weighted Score Based on Normalized Reported Factors]]</f>
        <v>0</v>
      </c>
      <c r="AK119" s="178">
        <f>_xlfn.RANK.EQ(AI119,$AI$6:$AI$2341,0)+COUNTIF($AI$6:AI119,AI119)-1</f>
        <v>112</v>
      </c>
    </row>
    <row r="120" spans="1:37" ht="12" customHeight="1" x14ac:dyDescent="0.25">
      <c r="A120" t="s">
        <v>450</v>
      </c>
      <c r="B120">
        <f>_xlfn.XLOOKUP(FME_Ranking1[[#This Row],[FME ID]],FME_Input[FME_ID],FME_Input[RFPG_NUM])</f>
        <v>10</v>
      </c>
      <c r="C120" t="str">
        <f>_xlfn.XLOOKUP(FME_Ranking1[[#This Row],[FME ID]],FME_Input[FME_ID],FME_Input[FME_NAME])</f>
        <v>Prepare Evacuation Plan</v>
      </c>
      <c r="D120" t="str">
        <f>_xlfn.XLOOKUP(FME_Ranking1[[#This Row],[FME ID]],FME_Input[FME_ID],FME_Input[DESCR])</f>
        <v>Create evacuation plan</v>
      </c>
      <c r="E120" s="256">
        <f>_xlfn.XLOOKUP(FME_Ranking1[[#This Row],[FME ID]],FME_Input[FME_ID],FME_Input[FME_COST])</f>
        <v>25000</v>
      </c>
      <c r="F120" t="str">
        <f>_xlfn.XLOOKUP(FME_Ranking1[[#This Row],[FME ID]],FME_Input[FME_ID],FME_Input[EMER_NEED])</f>
        <v>No</v>
      </c>
      <c r="G120">
        <f>IF(FME_Ranking!F120="Yes",100,0)</f>
        <v>0</v>
      </c>
      <c r="H120">
        <f>FME_Ranking1[[#This Row],[Emergency Need Score (Normalized, Unweighted)]]*$F$3</f>
        <v>0</v>
      </c>
      <c r="I120" s="246">
        <f>_xlfn.XLOOKUP(FME_Ranking1[[#This Row],[FME ID]],FME_Input[FME_ID],FME_Input[STRUCT_100])</f>
        <v>2739</v>
      </c>
      <c r="J120" s="178">
        <f>(FME_Ranking1[[#This Row],[Structures 100 Raw]]/I$2)*100</f>
        <v>1.4667137900012852</v>
      </c>
      <c r="K120" s="178">
        <f>FME_Ranking1[[#This Row],[Structures 100  Score (Normalized, Unweighted)]]*$I$3</f>
        <v>0.22000706850019278</v>
      </c>
      <c r="L120" s="246">
        <f>_xlfn.XLOOKUP(FME_Ranking1[[#This Row],[FME ID]],FME_Input[FME_ID],FME_Input[RES_STRUCT100])</f>
        <v>2078</v>
      </c>
      <c r="M120" s="230">
        <f>(FME_Ranking1[[#This Row],[Res Structures Raw]]/L$2)*100</f>
        <v>1.4718590188550948</v>
      </c>
      <c r="N120" s="180">
        <f>FME_Ranking1[[#This Row],[Res Structures Score (Normalized, Unweighted)]]*$L$3</f>
        <v>0.14718590188550948</v>
      </c>
      <c r="O120" s="244">
        <f>_xlfn.XLOOKUP(FME_Ranking1[[#This Row],[FME ID]],FME_Input[FME_ID],FME_Input[POP100])</f>
        <v>3718</v>
      </c>
      <c r="P120" s="178">
        <f>(FME_Ranking1[[#This Row],[Pop Raw]]/$O$2)*100</f>
        <v>0.3806314099742219</v>
      </c>
      <c r="Q120" s="178">
        <f>FME_Ranking1[[#This Row],[Pop Score (Normalized, Unweighted)]]*$O$3</f>
        <v>5.709471149613328E-2</v>
      </c>
      <c r="R120" s="137">
        <f>_xlfn.XLOOKUP(FME_Ranking1[[#This Row],[FME ID]],FME_Input[FME_ID],FME_Input[CRITFAC100])</f>
        <v>3</v>
      </c>
      <c r="S120" s="230">
        <f>(FME_Ranking1[[#This Row],[Critical Facilities Raw]]/$R$2)*100</f>
        <v>0.1286449399656947</v>
      </c>
      <c r="T120" s="180">
        <f>FME_Ranking1[[#This Row],[Critical Facilities Score (Normalized, Unweighted)]]*$R$3</f>
        <v>2.5728987993138941E-2</v>
      </c>
      <c r="U120">
        <f>_xlfn.XLOOKUP(FME_Ranking1[[#This Row],[FME ID]],FME_Input[FME_ID],FME_Input[LWC])</f>
        <v>142</v>
      </c>
      <c r="V120" s="178">
        <f>(FME_Ranking1[[#This Row],[LWC Raw]]/$U$2)*100</f>
        <v>8.175014392630974</v>
      </c>
      <c r="W120" s="178">
        <f>FME_Ranking1[[#This Row],[LWC Score (Normalized, Unweighted)]]*$U$3</f>
        <v>1.635002878526195</v>
      </c>
      <c r="X120" s="246">
        <f>_xlfn.XLOOKUP(FME_Ranking1[[#This Row],[FME ID]],FME_Input[FME_ID],FME_Input[ROADCLS])</f>
        <v>0</v>
      </c>
      <c r="Y120" s="230">
        <f>(FME_Ranking1[[#This Row],[Closures Raw]]/$X$2)*100</f>
        <v>0</v>
      </c>
      <c r="Z120" s="180">
        <f>FME_Ranking1[[#This Row],[Closures Score (Normalized, Unweighted)]]*$X$3</f>
        <v>0</v>
      </c>
      <c r="AA120" s="253">
        <f>_xlfn.XLOOKUP(FME_Ranking1[[#This Row],[FME ID]],FME_Input[FME_ID],FME_Input[ROAD_MILES100])</f>
        <v>15.171213150024411</v>
      </c>
      <c r="AB120" s="178">
        <f>(FME_Ranking1[[#This Row],[Miles Raw]]/$AA$2)*100</f>
        <v>0.19947424207459433</v>
      </c>
      <c r="AC120" s="178">
        <f>FME_Ranking1[[#This Row],[Miles Score (Normalized, Unweighted)]]*$AA$3</f>
        <v>1.9947424207459433E-2</v>
      </c>
      <c r="AD120" s="255">
        <f>_xlfn.XLOOKUP(FME_Ranking1[[#This Row],[FME ID]],FME_Input[FME_ID],FME_Input[FARMACRE100])</f>
        <v>44594.16796875</v>
      </c>
      <c r="AE120" s="230">
        <f>(FME_Ranking1[[#This Row],[Ag Land Raw]]/$AD$2)*100</f>
        <v>1.8388638610738102</v>
      </c>
      <c r="AF120" s="231">
        <f>FME_Ranking1[[#This Row],[Ag Land Score (Normalized, Unweighted)]]*$AD$3</f>
        <v>9.1943193053690517E-2</v>
      </c>
      <c r="AG12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2.1969101656623193</v>
      </c>
      <c r="AH120" s="406">
        <f t="shared" si="1"/>
        <v>126</v>
      </c>
      <c r="AI12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2.1969101656623193</v>
      </c>
      <c r="AJ120" s="257">
        <f>FME_Ranking1[[#This Row],[Addition check]]-FME_Ranking1[[#This Row],[Weighted Score Based on Normalized Reported Factors]]</f>
        <v>0</v>
      </c>
      <c r="AK120" s="178">
        <f>_xlfn.RANK.EQ(AI120,$AI$6:$AI$2341,0)+COUNTIF($AI$6:AI120,AI120)-1</f>
        <v>126</v>
      </c>
    </row>
    <row r="121" spans="1:37" ht="12" customHeight="1" x14ac:dyDescent="0.25">
      <c r="A121" t="s">
        <v>1389</v>
      </c>
      <c r="B121">
        <f>_xlfn.XLOOKUP(FME_Ranking1[[#This Row],[FME ID]],FME_Input[FME_ID],FME_Input[RFPG_NUM])</f>
        <v>6</v>
      </c>
      <c r="C121" t="str">
        <f>_xlfn.XLOOKUP(FME_Ranking1[[#This Row],[FME ID]],FME_Input[FME_ID],FME_Input[FME_NAME])</f>
        <v>Sims Bayou Watershed Study</v>
      </c>
      <c r="D121" t="str">
        <f>_xlfn.XLOOKUP(FME_Ranking1[[#This Row],[FME ID]],FME_Input[FME_ID],FME_Input[DESCR])</f>
        <v>Watershed wide study using latest data, including MAAPnext models and Atlas 14 rainfall. Study to identify flooding issues within watershed, identify projects to reduce flooding, and provide cost estimates and benefit and cost metrics for each project.</v>
      </c>
      <c r="E121" s="256">
        <f>_xlfn.XLOOKUP(FME_Ranking1[[#This Row],[FME ID]],FME_Input[FME_ID],FME_Input[FME_COST])</f>
        <v>470000</v>
      </c>
      <c r="F121" t="str">
        <f>_xlfn.XLOOKUP(FME_Ranking1[[#This Row],[FME ID]],FME_Input[FME_ID],FME_Input[EMER_NEED])</f>
        <v>Yes</v>
      </c>
      <c r="G121">
        <f>IF(FME_Ranking!F121="Yes",100,0)</f>
        <v>100</v>
      </c>
      <c r="H121">
        <f>FME_Ranking1[[#This Row],[Emergency Need Score (Normalized, Unweighted)]]*$F$3</f>
        <v>0</v>
      </c>
      <c r="I121" s="246">
        <f>_xlfn.XLOOKUP(FME_Ranking1[[#This Row],[FME ID]],FME_Input[FME_ID],FME_Input[STRUCT_100])</f>
        <v>5858</v>
      </c>
      <c r="J121" s="178">
        <f>(FME_Ranking1[[#This Row],[Structures 100 Raw]]/I$2)*100</f>
        <v>3.1369147067643404</v>
      </c>
      <c r="K121" s="178">
        <f>FME_Ranking1[[#This Row],[Structures 100  Score (Normalized, Unweighted)]]*$I$3</f>
        <v>0.47053720601465104</v>
      </c>
      <c r="L121" s="246">
        <f>_xlfn.XLOOKUP(FME_Ranking1[[#This Row],[FME ID]],FME_Input[FME_ID],FME_Input[RES_STRUCT100])</f>
        <v>4884</v>
      </c>
      <c r="M121" s="230">
        <f>(FME_Ranking1[[#This Row],[Res Structures Raw]]/L$2)*100</f>
        <v>3.4593645082234281</v>
      </c>
      <c r="N121" s="180">
        <f>FME_Ranking1[[#This Row],[Res Structures Score (Normalized, Unweighted)]]*$L$3</f>
        <v>0.34593645082234281</v>
      </c>
      <c r="O121" s="244">
        <f>_xlfn.XLOOKUP(FME_Ranking1[[#This Row],[FME ID]],FME_Input[FME_ID],FME_Input[POP100])</f>
        <v>34907</v>
      </c>
      <c r="P121" s="178">
        <f>(FME_Ranking1[[#This Row],[Pop Raw]]/$O$2)*100</f>
        <v>3.5736150155917601</v>
      </c>
      <c r="Q121" s="178">
        <f>FME_Ranking1[[#This Row],[Pop Score (Normalized, Unweighted)]]*$O$3</f>
        <v>0.53604225233876401</v>
      </c>
      <c r="R121" s="137">
        <f>_xlfn.XLOOKUP(FME_Ranking1[[#This Row],[FME ID]],FME_Input[FME_ID],FME_Input[CRITFAC100])</f>
        <v>74</v>
      </c>
      <c r="S121" s="230">
        <f>(FME_Ranking1[[#This Row],[Critical Facilities Raw]]/$R$2)*100</f>
        <v>3.1732418524871351</v>
      </c>
      <c r="T121" s="180">
        <f>FME_Ranking1[[#This Row],[Critical Facilities Score (Normalized, Unweighted)]]*$R$3</f>
        <v>0.63464837049742706</v>
      </c>
      <c r="U121">
        <f>_xlfn.XLOOKUP(FME_Ranking1[[#This Row],[FME ID]],FME_Input[FME_ID],FME_Input[LWC])</f>
        <v>10</v>
      </c>
      <c r="V121" s="178">
        <f>(FME_Ranking1[[#This Row],[LWC Raw]]/$U$2)*100</f>
        <v>0.57570523891767411</v>
      </c>
      <c r="W121" s="178">
        <f>FME_Ranking1[[#This Row],[LWC Score (Normalized, Unweighted)]]*$U$3</f>
        <v>0.11514104778353483</v>
      </c>
      <c r="X121" s="246">
        <f>_xlfn.XLOOKUP(FME_Ranking1[[#This Row],[FME ID]],FME_Input[FME_ID],FME_Input[ROADCLS])</f>
        <v>10</v>
      </c>
      <c r="Y121" s="230">
        <f>(FME_Ranking1[[#This Row],[Closures Raw]]/$X$2)*100</f>
        <v>0.10514141520344865</v>
      </c>
      <c r="Z121" s="180">
        <f>FME_Ranking1[[#This Row],[Closures Score (Normalized, Unweighted)]]*$X$3</f>
        <v>5.2570707601724328E-3</v>
      </c>
      <c r="AA121" s="253">
        <f>_xlfn.XLOOKUP(FME_Ranking1[[#This Row],[FME ID]],FME_Input[FME_ID],FME_Input[ROAD_MILES100])</f>
        <v>102.9738006591797</v>
      </c>
      <c r="AB121" s="178">
        <f>(FME_Ranking1[[#This Row],[Miles Raw]]/$AA$2)*100</f>
        <v>1.3539207864861607</v>
      </c>
      <c r="AC121" s="178">
        <f>FME_Ranking1[[#This Row],[Miles Score (Normalized, Unweighted)]]*$AA$3</f>
        <v>0.13539207864861608</v>
      </c>
      <c r="AD121" s="255">
        <f>_xlfn.XLOOKUP(FME_Ranking1[[#This Row],[FME ID]],FME_Input[FME_ID],FME_Input[FARMACRE100])</f>
        <v>50.513633728027337</v>
      </c>
      <c r="AE121" s="230">
        <f>(FME_Ranking1[[#This Row],[Ag Land Raw]]/$AD$2)*100</f>
        <v>2.0829561304760965E-3</v>
      </c>
      <c r="AF121" s="231">
        <f>FME_Ranking1[[#This Row],[Ag Land Score (Normalized, Unweighted)]]*$AD$3</f>
        <v>1.0414780652380483E-4</v>
      </c>
      <c r="AG12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2.2430586246720319</v>
      </c>
      <c r="AH121" s="406">
        <f t="shared" si="1"/>
        <v>121</v>
      </c>
      <c r="AI12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2.2430586246720319</v>
      </c>
      <c r="AJ121" s="257">
        <f>FME_Ranking1[[#This Row],[Addition check]]-FME_Ranking1[[#This Row],[Weighted Score Based on Normalized Reported Factors]]</f>
        <v>0</v>
      </c>
      <c r="AK121" s="178">
        <f>_xlfn.RANK.EQ(AI121,$AI$6:$AI$2341,0)+COUNTIF($AI$6:AI121,AI121)-1</f>
        <v>121</v>
      </c>
    </row>
    <row r="122" spans="1:37" ht="12" customHeight="1" x14ac:dyDescent="0.25">
      <c r="A122" t="s">
        <v>898</v>
      </c>
      <c r="B122">
        <f>_xlfn.XLOOKUP(FME_Ranking1[[#This Row],[FME ID]],FME_Input[FME_ID],FME_Input[RFPG_NUM])</f>
        <v>6</v>
      </c>
      <c r="C122" t="str">
        <f>_xlfn.XLOOKUP(FME_Ranking1[[#This Row],[FME ID]],FME_Input[FME_ID],FME_Input[FME_NAME])</f>
        <v>City of Bellaire Local Drainage System Asset Management</v>
      </c>
      <c r="D122" t="str">
        <f>_xlfn.XLOOKUP(FME_Ranking1[[#This Row],[FME ID]],FME_Input[FME_ID],FME_Input[DESCR])</f>
        <v xml:space="preserve">Study to develop asset management plan / capital improvement plan to repair/replace local drainage infrastructure over time to ensure it is in good working order and meeting the level of service desired by the City. </v>
      </c>
      <c r="E122" s="256">
        <f>_xlfn.XLOOKUP(FME_Ranking1[[#This Row],[FME ID]],FME_Input[FME_ID],FME_Input[FME_COST])</f>
        <v>300000</v>
      </c>
      <c r="F122" t="str">
        <f>_xlfn.XLOOKUP(FME_Ranking1[[#This Row],[FME ID]],FME_Input[FME_ID],FME_Input[EMER_NEED])</f>
        <v>No</v>
      </c>
      <c r="G122">
        <f>IF(FME_Ranking!F122="Yes",100,0)</f>
        <v>0</v>
      </c>
      <c r="H122">
        <f>FME_Ranking1[[#This Row],[Emergency Need Score (Normalized, Unweighted)]]*$F$3</f>
        <v>0</v>
      </c>
      <c r="I122" s="246">
        <f>_xlfn.XLOOKUP(FME_Ranking1[[#This Row],[FME ID]],FME_Input[FME_ID],FME_Input[STRUCT_100])</f>
        <v>5879</v>
      </c>
      <c r="J122" s="178">
        <f>(FME_Ranking1[[#This Row],[Structures 100 Raw]]/I$2)*100</f>
        <v>3.1481600479801224</v>
      </c>
      <c r="K122" s="178">
        <f>FME_Ranking1[[#This Row],[Structures 100  Score (Normalized, Unweighted)]]*$I$3</f>
        <v>0.47222400719701835</v>
      </c>
      <c r="L122" s="246">
        <f>_xlfn.XLOOKUP(FME_Ranking1[[#This Row],[FME ID]],FME_Input[FME_ID],FME_Input[RES_STRUCT100])</f>
        <v>5539</v>
      </c>
      <c r="M122" s="230">
        <f>(FME_Ranking1[[#This Row],[Res Structures Raw]]/L$2)*100</f>
        <v>3.9233046705670698</v>
      </c>
      <c r="N122" s="180">
        <f>FME_Ranking1[[#This Row],[Res Structures Score (Normalized, Unweighted)]]*$L$3</f>
        <v>0.39233046705670699</v>
      </c>
      <c r="O122" s="244">
        <f>_xlfn.XLOOKUP(FME_Ranking1[[#This Row],[FME ID]],FME_Input[FME_ID],FME_Input[POP100])</f>
        <v>37604</v>
      </c>
      <c r="P122" s="178">
        <f>(FME_Ranking1[[#This Row],[Pop Raw]]/$O$2)*100</f>
        <v>3.8497212320254546</v>
      </c>
      <c r="Q122" s="178">
        <f>FME_Ranking1[[#This Row],[Pop Score (Normalized, Unweighted)]]*$O$3</f>
        <v>0.57745818480381816</v>
      </c>
      <c r="R122" s="137">
        <f>_xlfn.XLOOKUP(FME_Ranking1[[#This Row],[FME ID]],FME_Input[FME_ID],FME_Input[CRITFAC100])</f>
        <v>71</v>
      </c>
      <c r="S122" s="230">
        <f>(FME_Ranking1[[#This Row],[Critical Facilities Raw]]/$R$2)*100</f>
        <v>3.0445969125214409</v>
      </c>
      <c r="T122" s="180">
        <f>FME_Ranking1[[#This Row],[Critical Facilities Score (Normalized, Unweighted)]]*$R$3</f>
        <v>0.60891938250428823</v>
      </c>
      <c r="U122">
        <f>_xlfn.XLOOKUP(FME_Ranking1[[#This Row],[FME ID]],FME_Input[FME_ID],FME_Input[LWC])</f>
        <v>0</v>
      </c>
      <c r="V122" s="178">
        <f>(FME_Ranking1[[#This Row],[LWC Raw]]/$U$2)*100</f>
        <v>0</v>
      </c>
      <c r="W122" s="178">
        <f>FME_Ranking1[[#This Row],[LWC Score (Normalized, Unweighted)]]*$U$3</f>
        <v>0</v>
      </c>
      <c r="X122" s="246">
        <f>_xlfn.XLOOKUP(FME_Ranking1[[#This Row],[FME ID]],FME_Input[FME_ID],FME_Input[ROADCLS])</f>
        <v>0</v>
      </c>
      <c r="Y122" s="230">
        <f>(FME_Ranking1[[#This Row],[Closures Raw]]/$X$2)*100</f>
        <v>0</v>
      </c>
      <c r="Z122" s="180">
        <f>FME_Ranking1[[#This Row],[Closures Score (Normalized, Unweighted)]]*$X$3</f>
        <v>0</v>
      </c>
      <c r="AA122" s="253">
        <f>_xlfn.XLOOKUP(FME_Ranking1[[#This Row],[FME ID]],FME_Input[FME_ID],FME_Input[ROAD_MILES100])</f>
        <v>70.914344787597656</v>
      </c>
      <c r="AB122" s="178">
        <f>(FME_Ranking1[[#This Row],[Miles Raw]]/$AA$2)*100</f>
        <v>0.93239644310842351</v>
      </c>
      <c r="AC122" s="178">
        <f>FME_Ranking1[[#This Row],[Miles Score (Normalized, Unweighted)]]*$AA$3</f>
        <v>9.3239644310842362E-2</v>
      </c>
      <c r="AD122" s="255">
        <f>_xlfn.XLOOKUP(FME_Ranking1[[#This Row],[FME ID]],FME_Input[FME_ID],FME_Input[FARMACRE100])</f>
        <v>0.15173642337322241</v>
      </c>
      <c r="AE122" s="230">
        <f>(FME_Ranking1[[#This Row],[Ag Land Raw]]/$AD$2)*100</f>
        <v>6.256930851252639E-6</v>
      </c>
      <c r="AF122" s="231">
        <f>FME_Ranking1[[#This Row],[Ag Land Score (Normalized, Unweighted)]]*$AD$3</f>
        <v>3.1284654256263195E-7</v>
      </c>
      <c r="AG12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2.1441719987192167</v>
      </c>
      <c r="AH122" s="406">
        <f t="shared" si="1"/>
        <v>129</v>
      </c>
      <c r="AI12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2.1441719987192167</v>
      </c>
      <c r="AJ122" s="257">
        <f>FME_Ranking1[[#This Row],[Addition check]]-FME_Ranking1[[#This Row],[Weighted Score Based on Normalized Reported Factors]]</f>
        <v>0</v>
      </c>
      <c r="AK122" s="178">
        <f>_xlfn.RANK.EQ(AI122,$AI$6:$AI$2341,0)+COUNTIF($AI$6:AI122,AI122)-1</f>
        <v>129</v>
      </c>
    </row>
    <row r="123" spans="1:37" ht="12" customHeight="1" x14ac:dyDescent="0.25">
      <c r="A123" t="s">
        <v>905</v>
      </c>
      <c r="B123">
        <f>_xlfn.XLOOKUP(FME_Ranking1[[#This Row],[FME ID]],FME_Input[FME_ID],FME_Input[RFPG_NUM])</f>
        <v>6</v>
      </c>
      <c r="C123" t="str">
        <f>_xlfn.XLOOKUP(FME_Ranking1[[#This Row],[FME ID]],FME_Input[FME_ID],FME_Input[FME_NAME])</f>
        <v>City of Bellaire Cypress Ditch Drainage Improvements</v>
      </c>
      <c r="D123" t="str">
        <f>_xlfn.XLOOKUP(FME_Ranking1[[#This Row],[FME ID]],FME_Input[FME_ID],FME_Input[DESCR])</f>
        <v xml:space="preserve">Perform engineering services to develop and advance a flood risk reduction project in the Cypress Ditch area, servicing the southern part of the City of Bellaire. </v>
      </c>
      <c r="E123" s="256">
        <f>_xlfn.XLOOKUP(FME_Ranking1[[#This Row],[FME ID]],FME_Input[FME_ID],FME_Input[FME_COST])</f>
        <v>1000000</v>
      </c>
      <c r="F123" t="str">
        <f>_xlfn.XLOOKUP(FME_Ranking1[[#This Row],[FME ID]],FME_Input[FME_ID],FME_Input[EMER_NEED])</f>
        <v>No</v>
      </c>
      <c r="G123">
        <f>IF(FME_Ranking!F123="Yes",100,0)</f>
        <v>0</v>
      </c>
      <c r="H123">
        <f>FME_Ranking1[[#This Row],[Emergency Need Score (Normalized, Unweighted)]]*$F$3</f>
        <v>0</v>
      </c>
      <c r="I123" s="246">
        <f>_xlfn.XLOOKUP(FME_Ranking1[[#This Row],[FME ID]],FME_Input[FME_ID],FME_Input[STRUCT_100])</f>
        <v>5879</v>
      </c>
      <c r="J123" s="178">
        <f>(FME_Ranking1[[#This Row],[Structures 100 Raw]]/I$2)*100</f>
        <v>3.1481600479801224</v>
      </c>
      <c r="K123" s="178">
        <f>FME_Ranking1[[#This Row],[Structures 100  Score (Normalized, Unweighted)]]*$I$3</f>
        <v>0.47222400719701835</v>
      </c>
      <c r="L123" s="246">
        <f>_xlfn.XLOOKUP(FME_Ranking1[[#This Row],[FME ID]],FME_Input[FME_ID],FME_Input[RES_STRUCT100])</f>
        <v>5539</v>
      </c>
      <c r="M123" s="230">
        <f>(FME_Ranking1[[#This Row],[Res Structures Raw]]/L$2)*100</f>
        <v>3.9233046705670698</v>
      </c>
      <c r="N123" s="180">
        <f>FME_Ranking1[[#This Row],[Res Structures Score (Normalized, Unweighted)]]*$L$3</f>
        <v>0.39233046705670699</v>
      </c>
      <c r="O123" s="244">
        <f>_xlfn.XLOOKUP(FME_Ranking1[[#This Row],[FME ID]],FME_Input[FME_ID],FME_Input[POP100])</f>
        <v>37604</v>
      </c>
      <c r="P123" s="178">
        <f>(FME_Ranking1[[#This Row],[Pop Raw]]/$O$2)*100</f>
        <v>3.8497212320254546</v>
      </c>
      <c r="Q123" s="178">
        <f>FME_Ranking1[[#This Row],[Pop Score (Normalized, Unweighted)]]*$O$3</f>
        <v>0.57745818480381816</v>
      </c>
      <c r="R123" s="137">
        <f>_xlfn.XLOOKUP(FME_Ranking1[[#This Row],[FME ID]],FME_Input[FME_ID],FME_Input[CRITFAC100])</f>
        <v>71</v>
      </c>
      <c r="S123" s="230">
        <f>(FME_Ranking1[[#This Row],[Critical Facilities Raw]]/$R$2)*100</f>
        <v>3.0445969125214409</v>
      </c>
      <c r="T123" s="180">
        <f>FME_Ranking1[[#This Row],[Critical Facilities Score (Normalized, Unweighted)]]*$R$3</f>
        <v>0.60891938250428823</v>
      </c>
      <c r="U123">
        <f>_xlfn.XLOOKUP(FME_Ranking1[[#This Row],[FME ID]],FME_Input[FME_ID],FME_Input[LWC])</f>
        <v>0</v>
      </c>
      <c r="V123" s="178">
        <f>(FME_Ranking1[[#This Row],[LWC Raw]]/$U$2)*100</f>
        <v>0</v>
      </c>
      <c r="W123" s="178">
        <f>FME_Ranking1[[#This Row],[LWC Score (Normalized, Unweighted)]]*$U$3</f>
        <v>0</v>
      </c>
      <c r="X123" s="246">
        <f>_xlfn.XLOOKUP(FME_Ranking1[[#This Row],[FME ID]],FME_Input[FME_ID],FME_Input[ROADCLS])</f>
        <v>0</v>
      </c>
      <c r="Y123" s="230">
        <f>(FME_Ranking1[[#This Row],[Closures Raw]]/$X$2)*100</f>
        <v>0</v>
      </c>
      <c r="Z123" s="180">
        <f>FME_Ranking1[[#This Row],[Closures Score (Normalized, Unweighted)]]*$X$3</f>
        <v>0</v>
      </c>
      <c r="AA123" s="253">
        <f>_xlfn.XLOOKUP(FME_Ranking1[[#This Row],[FME ID]],FME_Input[FME_ID],FME_Input[ROAD_MILES100])</f>
        <v>70.914344787597656</v>
      </c>
      <c r="AB123" s="178">
        <f>(FME_Ranking1[[#This Row],[Miles Raw]]/$AA$2)*100</f>
        <v>0.93239644310842351</v>
      </c>
      <c r="AC123" s="178">
        <f>FME_Ranking1[[#This Row],[Miles Score (Normalized, Unweighted)]]*$AA$3</f>
        <v>9.3239644310842362E-2</v>
      </c>
      <c r="AD123" s="255">
        <f>_xlfn.XLOOKUP(FME_Ranking1[[#This Row],[FME ID]],FME_Input[FME_ID],FME_Input[FARMACRE100])</f>
        <v>0.15173642337322241</v>
      </c>
      <c r="AE123" s="230">
        <f>(FME_Ranking1[[#This Row],[Ag Land Raw]]/$AD$2)*100</f>
        <v>6.256930851252639E-6</v>
      </c>
      <c r="AF123" s="231">
        <f>FME_Ranking1[[#This Row],[Ag Land Score (Normalized, Unweighted)]]*$AD$3</f>
        <v>3.1284654256263195E-7</v>
      </c>
      <c r="AG12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2.1441719987192167</v>
      </c>
      <c r="AH123" s="406">
        <f t="shared" si="1"/>
        <v>129</v>
      </c>
      <c r="AI12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2.1441719987192167</v>
      </c>
      <c r="AJ123" s="257">
        <f>FME_Ranking1[[#This Row],[Addition check]]-FME_Ranking1[[#This Row],[Weighted Score Based on Normalized Reported Factors]]</f>
        <v>0</v>
      </c>
      <c r="AK123" s="178">
        <f>_xlfn.RANK.EQ(AI123,$AI$6:$AI$2341,0)+COUNTIF($AI$6:AI123,AI123)-1</f>
        <v>130</v>
      </c>
    </row>
    <row r="124" spans="1:37" ht="12" customHeight="1" x14ac:dyDescent="0.25">
      <c r="A124" t="s">
        <v>1523</v>
      </c>
      <c r="B124">
        <f>_xlfn.XLOOKUP(FME_Ranking1[[#This Row],[FME ID]],FME_Input[FME_ID],FME_Input[RFPG_NUM])</f>
        <v>6</v>
      </c>
      <c r="C124" t="str">
        <f>_xlfn.XLOOKUP(FME_Ranking1[[#This Row],[FME ID]],FME_Input[FME_ID],FME_Input[FME_NAME])</f>
        <v>City of Bellaire Master Drainage Plan</v>
      </c>
      <c r="D124" t="str">
        <f>_xlfn.XLOOKUP(FME_Ranking1[[#This Row],[FME ID]],FME_Input[FME_ID],FME_Input[DESCR])</f>
        <v>Conduct planning study to produce a Master Drainage Plan for the City of Bellaire, identifying and developing specific flood-related capital improvements and implementation plans necessary to acheive a desired level of service / flood protection.</v>
      </c>
      <c r="E124" s="256">
        <f>_xlfn.XLOOKUP(FME_Ranking1[[#This Row],[FME ID]],FME_Input[FME_ID],FME_Input[FME_COST])</f>
        <v>1500000</v>
      </c>
      <c r="F124" t="str">
        <f>_xlfn.XLOOKUP(FME_Ranking1[[#This Row],[FME ID]],FME_Input[FME_ID],FME_Input[EMER_NEED])</f>
        <v>Yes</v>
      </c>
      <c r="G124">
        <f>IF(FME_Ranking!F124="Yes",100,0)</f>
        <v>100</v>
      </c>
      <c r="H124">
        <f>FME_Ranking1[[#This Row],[Emergency Need Score (Normalized, Unweighted)]]*$F$3</f>
        <v>0</v>
      </c>
      <c r="I124" s="246">
        <f>_xlfn.XLOOKUP(FME_Ranking1[[#This Row],[FME ID]],FME_Input[FME_ID],FME_Input[STRUCT_100])</f>
        <v>5879</v>
      </c>
      <c r="J124" s="178">
        <f>(FME_Ranking1[[#This Row],[Structures 100 Raw]]/I$2)*100</f>
        <v>3.1481600479801224</v>
      </c>
      <c r="K124" s="178">
        <f>FME_Ranking1[[#This Row],[Structures 100  Score (Normalized, Unweighted)]]*$I$3</f>
        <v>0.47222400719701835</v>
      </c>
      <c r="L124" s="246">
        <f>_xlfn.XLOOKUP(FME_Ranking1[[#This Row],[FME ID]],FME_Input[FME_ID],FME_Input[RES_STRUCT100])</f>
        <v>5539</v>
      </c>
      <c r="M124" s="230">
        <f>(FME_Ranking1[[#This Row],[Res Structures Raw]]/L$2)*100</f>
        <v>3.9233046705670698</v>
      </c>
      <c r="N124" s="180">
        <f>FME_Ranking1[[#This Row],[Res Structures Score (Normalized, Unweighted)]]*$L$3</f>
        <v>0.39233046705670699</v>
      </c>
      <c r="O124" s="244">
        <f>_xlfn.XLOOKUP(FME_Ranking1[[#This Row],[FME ID]],FME_Input[FME_ID],FME_Input[POP100])</f>
        <v>37604</v>
      </c>
      <c r="P124" s="178">
        <f>(FME_Ranking1[[#This Row],[Pop Raw]]/$O$2)*100</f>
        <v>3.8497212320254546</v>
      </c>
      <c r="Q124" s="178">
        <f>FME_Ranking1[[#This Row],[Pop Score (Normalized, Unweighted)]]*$O$3</f>
        <v>0.57745818480381816</v>
      </c>
      <c r="R124" s="137">
        <f>_xlfn.XLOOKUP(FME_Ranking1[[#This Row],[FME ID]],FME_Input[FME_ID],FME_Input[CRITFAC100])</f>
        <v>71</v>
      </c>
      <c r="S124" s="230">
        <f>(FME_Ranking1[[#This Row],[Critical Facilities Raw]]/$R$2)*100</f>
        <v>3.0445969125214409</v>
      </c>
      <c r="T124" s="180">
        <f>FME_Ranking1[[#This Row],[Critical Facilities Score (Normalized, Unweighted)]]*$R$3</f>
        <v>0.60891938250428823</v>
      </c>
      <c r="U124">
        <f>_xlfn.XLOOKUP(FME_Ranking1[[#This Row],[FME ID]],FME_Input[FME_ID],FME_Input[LWC])</f>
        <v>0</v>
      </c>
      <c r="V124" s="178">
        <f>(FME_Ranking1[[#This Row],[LWC Raw]]/$U$2)*100</f>
        <v>0</v>
      </c>
      <c r="W124" s="178">
        <f>FME_Ranking1[[#This Row],[LWC Score (Normalized, Unweighted)]]*$U$3</f>
        <v>0</v>
      </c>
      <c r="X124" s="246">
        <f>_xlfn.XLOOKUP(FME_Ranking1[[#This Row],[FME ID]],FME_Input[FME_ID],FME_Input[ROADCLS])</f>
        <v>0</v>
      </c>
      <c r="Y124" s="230">
        <f>(FME_Ranking1[[#This Row],[Closures Raw]]/$X$2)*100</f>
        <v>0</v>
      </c>
      <c r="Z124" s="180">
        <f>FME_Ranking1[[#This Row],[Closures Score (Normalized, Unweighted)]]*$X$3</f>
        <v>0</v>
      </c>
      <c r="AA124" s="253">
        <f>_xlfn.XLOOKUP(FME_Ranking1[[#This Row],[FME ID]],FME_Input[FME_ID],FME_Input[ROAD_MILES100])</f>
        <v>70.914344787597656</v>
      </c>
      <c r="AB124" s="178">
        <f>(FME_Ranking1[[#This Row],[Miles Raw]]/$AA$2)*100</f>
        <v>0.93239644310842351</v>
      </c>
      <c r="AC124" s="178">
        <f>FME_Ranking1[[#This Row],[Miles Score (Normalized, Unweighted)]]*$AA$3</f>
        <v>9.3239644310842362E-2</v>
      </c>
      <c r="AD124" s="255">
        <f>_xlfn.XLOOKUP(FME_Ranking1[[#This Row],[FME ID]],FME_Input[FME_ID],FME_Input[FARMACRE100])</f>
        <v>0.15173642337322241</v>
      </c>
      <c r="AE124" s="230">
        <f>(FME_Ranking1[[#This Row],[Ag Land Raw]]/$AD$2)*100</f>
        <v>6.256930851252639E-6</v>
      </c>
      <c r="AF124" s="231">
        <f>FME_Ranking1[[#This Row],[Ag Land Score (Normalized, Unweighted)]]*$AD$3</f>
        <v>3.1284654256263195E-7</v>
      </c>
      <c r="AG12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2.1441719987192167</v>
      </c>
      <c r="AH124" s="406">
        <f t="shared" si="1"/>
        <v>129</v>
      </c>
      <c r="AI12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2.1441719987192167</v>
      </c>
      <c r="AJ124" s="257">
        <f>FME_Ranking1[[#This Row],[Addition check]]-FME_Ranking1[[#This Row],[Weighted Score Based on Normalized Reported Factors]]</f>
        <v>0</v>
      </c>
      <c r="AK124" s="178">
        <f>_xlfn.RANK.EQ(AI124,$AI$6:$AI$2341,0)+COUNTIF($AI$6:AI124,AI124)-1</f>
        <v>131</v>
      </c>
    </row>
    <row r="125" spans="1:37" ht="12" customHeight="1" x14ac:dyDescent="0.25">
      <c r="A125" t="s">
        <v>2189</v>
      </c>
      <c r="B125">
        <f>_xlfn.XLOOKUP(FME_Ranking1[[#This Row],[FME ID]],FME_Input[FME_ID],FME_Input[RFPG_NUM])</f>
        <v>6</v>
      </c>
      <c r="C125" t="str">
        <f>_xlfn.XLOOKUP(FME_Ranking1[[#This Row],[FME ID]],FME_Input[FME_ID],FME_Input[FME_NAME])</f>
        <v>City of Bellaire Regional Detention Facilities Development</v>
      </c>
      <c r="D125" t="str">
        <f>_xlfn.XLOOKUP(FME_Ranking1[[#This Row],[FME ID]],FME_Input[FME_ID],FME_Input[DESCR])</f>
        <v xml:space="preserve">Effort to identify and develop/design regional detention facilities to either provide flood risk reduction or to facilitate the construction of local or regional drainage improvement projects. </v>
      </c>
      <c r="E125" s="256">
        <f>_xlfn.XLOOKUP(FME_Ranking1[[#This Row],[FME ID]],FME_Input[FME_ID],FME_Input[FME_COST])</f>
        <v>1000000</v>
      </c>
      <c r="F125" t="str">
        <f>_xlfn.XLOOKUP(FME_Ranking1[[#This Row],[FME ID]],FME_Input[FME_ID],FME_Input[EMER_NEED])</f>
        <v>No</v>
      </c>
      <c r="G125">
        <f>IF(FME_Ranking!F125="Yes",100,0)</f>
        <v>0</v>
      </c>
      <c r="H125">
        <f>FME_Ranking1[[#This Row],[Emergency Need Score (Normalized, Unweighted)]]*$F$3</f>
        <v>0</v>
      </c>
      <c r="I125" s="246">
        <f>_xlfn.XLOOKUP(FME_Ranking1[[#This Row],[FME ID]],FME_Input[FME_ID],FME_Input[STRUCT_100])</f>
        <v>5879</v>
      </c>
      <c r="J125" s="178">
        <f>(FME_Ranking1[[#This Row],[Structures 100 Raw]]/I$2)*100</f>
        <v>3.1481600479801224</v>
      </c>
      <c r="K125" s="178">
        <f>FME_Ranking1[[#This Row],[Structures 100  Score (Normalized, Unweighted)]]*$I$3</f>
        <v>0.47222400719701835</v>
      </c>
      <c r="L125" s="246">
        <f>_xlfn.XLOOKUP(FME_Ranking1[[#This Row],[FME ID]],FME_Input[FME_ID],FME_Input[RES_STRUCT100])</f>
        <v>5539</v>
      </c>
      <c r="M125" s="230">
        <f>(FME_Ranking1[[#This Row],[Res Structures Raw]]/L$2)*100</f>
        <v>3.9233046705670698</v>
      </c>
      <c r="N125" s="180">
        <f>FME_Ranking1[[#This Row],[Res Structures Score (Normalized, Unweighted)]]*$L$3</f>
        <v>0.39233046705670699</v>
      </c>
      <c r="O125" s="244">
        <f>_xlfn.XLOOKUP(FME_Ranking1[[#This Row],[FME ID]],FME_Input[FME_ID],FME_Input[POP100])</f>
        <v>37604</v>
      </c>
      <c r="P125" s="178">
        <f>(FME_Ranking1[[#This Row],[Pop Raw]]/$O$2)*100</f>
        <v>3.8497212320254546</v>
      </c>
      <c r="Q125" s="178">
        <f>FME_Ranking1[[#This Row],[Pop Score (Normalized, Unweighted)]]*$O$3</f>
        <v>0.57745818480381816</v>
      </c>
      <c r="R125" s="137">
        <f>_xlfn.XLOOKUP(FME_Ranking1[[#This Row],[FME ID]],FME_Input[FME_ID],FME_Input[CRITFAC100])</f>
        <v>71</v>
      </c>
      <c r="S125" s="230">
        <f>(FME_Ranking1[[#This Row],[Critical Facilities Raw]]/$R$2)*100</f>
        <v>3.0445969125214409</v>
      </c>
      <c r="T125" s="180">
        <f>FME_Ranking1[[#This Row],[Critical Facilities Score (Normalized, Unweighted)]]*$R$3</f>
        <v>0.60891938250428823</v>
      </c>
      <c r="U125">
        <f>_xlfn.XLOOKUP(FME_Ranking1[[#This Row],[FME ID]],FME_Input[FME_ID],FME_Input[LWC])</f>
        <v>0</v>
      </c>
      <c r="V125" s="178">
        <f>(FME_Ranking1[[#This Row],[LWC Raw]]/$U$2)*100</f>
        <v>0</v>
      </c>
      <c r="W125" s="178">
        <f>FME_Ranking1[[#This Row],[LWC Score (Normalized, Unweighted)]]*$U$3</f>
        <v>0</v>
      </c>
      <c r="X125" s="246">
        <f>_xlfn.XLOOKUP(FME_Ranking1[[#This Row],[FME ID]],FME_Input[FME_ID],FME_Input[ROADCLS])</f>
        <v>0</v>
      </c>
      <c r="Y125" s="230">
        <f>(FME_Ranking1[[#This Row],[Closures Raw]]/$X$2)*100</f>
        <v>0</v>
      </c>
      <c r="Z125" s="180">
        <f>FME_Ranking1[[#This Row],[Closures Score (Normalized, Unweighted)]]*$X$3</f>
        <v>0</v>
      </c>
      <c r="AA125" s="253">
        <f>_xlfn.XLOOKUP(FME_Ranking1[[#This Row],[FME ID]],FME_Input[FME_ID],FME_Input[ROAD_MILES100])</f>
        <v>70.914344787597656</v>
      </c>
      <c r="AB125" s="178">
        <f>(FME_Ranking1[[#This Row],[Miles Raw]]/$AA$2)*100</f>
        <v>0.93239644310842351</v>
      </c>
      <c r="AC125" s="178">
        <f>FME_Ranking1[[#This Row],[Miles Score (Normalized, Unweighted)]]*$AA$3</f>
        <v>9.3239644310842362E-2</v>
      </c>
      <c r="AD125" s="255">
        <f>_xlfn.XLOOKUP(FME_Ranking1[[#This Row],[FME ID]],FME_Input[FME_ID],FME_Input[FARMACRE100])</f>
        <v>0.15173642337322241</v>
      </c>
      <c r="AE125" s="230">
        <f>(FME_Ranking1[[#This Row],[Ag Land Raw]]/$AD$2)*100</f>
        <v>6.256930851252639E-6</v>
      </c>
      <c r="AF125" s="231">
        <f>FME_Ranking1[[#This Row],[Ag Land Score (Normalized, Unweighted)]]*$AD$3</f>
        <v>3.1284654256263195E-7</v>
      </c>
      <c r="AG12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2.1441719987192167</v>
      </c>
      <c r="AH125" s="406">
        <f t="shared" si="1"/>
        <v>129</v>
      </c>
      <c r="AI12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2.1441719987192167</v>
      </c>
      <c r="AJ125" s="257">
        <f>FME_Ranking1[[#This Row],[Addition check]]-FME_Ranking1[[#This Row],[Weighted Score Based on Normalized Reported Factors]]</f>
        <v>0</v>
      </c>
      <c r="AK125" s="178">
        <f>_xlfn.RANK.EQ(AI125,$AI$6:$AI$2341,0)+COUNTIF($AI$6:AI125,AI125)-1</f>
        <v>132</v>
      </c>
    </row>
    <row r="126" spans="1:37" ht="12" customHeight="1" x14ac:dyDescent="0.25">
      <c r="A126" t="s">
        <v>11403</v>
      </c>
      <c r="B126">
        <f>_xlfn.XLOOKUP(FME_Ranking1[[#This Row],[FME ID]],FME_Input[FME_ID],FME_Input[RFPG_NUM])</f>
        <v>15</v>
      </c>
      <c r="C126" t="str">
        <f>_xlfn.XLOOKUP(FME_Ranking1[[#This Row],[FME ID]],FME_Input[FME_ID],FME_Input[FME_NAME])</f>
        <v>Webb County</v>
      </c>
      <c r="D126" t="str">
        <f>_xlfn.XLOOKUP(FME_Ranking1[[#This Row],[FME ID]],FME_Input[FME_ID],FME_Input[DESCR])</f>
        <v>Develop Flood risk maps for the county of Webb and develop CIP</v>
      </c>
      <c r="E126" s="256">
        <f>_xlfn.XLOOKUP(FME_Ranking1[[#This Row],[FME ID]],FME_Input[FME_ID],FME_Input[FME_COST])</f>
        <v>1000000</v>
      </c>
      <c r="F126" t="str">
        <f>_xlfn.XLOOKUP(FME_Ranking1[[#This Row],[FME ID]],FME_Input[FME_ID],FME_Input[EMER_NEED])</f>
        <v>Yes</v>
      </c>
      <c r="G126">
        <f>IF(FME_Ranking!F126="Yes",100,0)</f>
        <v>100</v>
      </c>
      <c r="H126">
        <f>FME_Ranking1[[#This Row],[Emergency Need Score (Normalized, Unweighted)]]*$F$3</f>
        <v>0</v>
      </c>
      <c r="I126" s="246">
        <f>_xlfn.XLOOKUP(FME_Ranking1[[#This Row],[FME ID]],FME_Input[FME_ID],FME_Input[STRUCT_100])</f>
        <v>0</v>
      </c>
      <c r="J126" s="178">
        <f>(FME_Ranking1[[#This Row],[Structures 100 Raw]]/I$2)*100</f>
        <v>0</v>
      </c>
      <c r="K126" s="178">
        <f>FME_Ranking1[[#This Row],[Structures 100  Score (Normalized, Unweighted)]]*$I$3</f>
        <v>0</v>
      </c>
      <c r="L126" s="246">
        <f>_xlfn.XLOOKUP(FME_Ranking1[[#This Row],[FME ID]],FME_Input[FME_ID],FME_Input[RES_STRUCT100])</f>
        <v>9178</v>
      </c>
      <c r="M126" s="230">
        <f>(FME_Ranking1[[#This Row],[Res Structures Raw]]/L$2)*100</f>
        <v>6.5008287175418973</v>
      </c>
      <c r="N126" s="180">
        <f>FME_Ranking1[[#This Row],[Res Structures Score (Normalized, Unweighted)]]*$L$3</f>
        <v>0.65008287175418977</v>
      </c>
      <c r="O126" s="244">
        <f>_xlfn.XLOOKUP(FME_Ranking1[[#This Row],[FME ID]],FME_Input[FME_ID],FME_Input[POP100])</f>
        <v>63982</v>
      </c>
      <c r="P126" s="178">
        <f>(FME_Ranking1[[#This Row],[Pop Raw]]/$O$2)*100</f>
        <v>6.5501772116650523</v>
      </c>
      <c r="Q126" s="178">
        <f>FME_Ranking1[[#This Row],[Pop Score (Normalized, Unweighted)]]*$O$3</f>
        <v>0.98252658174975782</v>
      </c>
      <c r="R126" s="137">
        <f>_xlfn.XLOOKUP(FME_Ranking1[[#This Row],[FME ID]],FME_Input[FME_ID],FME_Input[CRITFAC100])</f>
        <v>13</v>
      </c>
      <c r="S126" s="230">
        <f>(FME_Ranking1[[#This Row],[Critical Facilities Raw]]/$R$2)*100</f>
        <v>0.55746140651801035</v>
      </c>
      <c r="T126" s="180">
        <f>FME_Ranking1[[#This Row],[Critical Facilities Score (Normalized, Unweighted)]]*$R$3</f>
        <v>0.11149228130360207</v>
      </c>
      <c r="U126">
        <f>_xlfn.XLOOKUP(FME_Ranking1[[#This Row],[FME ID]],FME_Input[FME_ID],FME_Input[LWC])</f>
        <v>26</v>
      </c>
      <c r="V126" s="178">
        <f>(FME_Ranking1[[#This Row],[LWC Raw]]/$U$2)*100</f>
        <v>1.496833621185953</v>
      </c>
      <c r="W126" s="178">
        <f>FME_Ranking1[[#This Row],[LWC Score (Normalized, Unweighted)]]*$U$3</f>
        <v>0.29936672423719063</v>
      </c>
      <c r="X126" s="246">
        <f>_xlfn.XLOOKUP(FME_Ranking1[[#This Row],[FME ID]],FME_Input[FME_ID],FME_Input[ROADCLS])</f>
        <v>0</v>
      </c>
      <c r="Y126" s="230">
        <f>(FME_Ranking1[[#This Row],[Closures Raw]]/$X$2)*100</f>
        <v>0</v>
      </c>
      <c r="Z126" s="180">
        <f>FME_Ranking1[[#This Row],[Closures Score (Normalized, Unweighted)]]*$X$3</f>
        <v>0</v>
      </c>
      <c r="AA126" s="253">
        <f>_xlfn.XLOOKUP(FME_Ranking1[[#This Row],[FME ID]],FME_Input[FME_ID],FME_Input[ROAD_MILES100])</f>
        <v>1324.069946289062</v>
      </c>
      <c r="AB126" s="178">
        <f>(FME_Ranking1[[#This Row],[Miles Raw]]/$AA$2)*100</f>
        <v>17.409144962763541</v>
      </c>
      <c r="AC126" s="178">
        <f>FME_Ranking1[[#This Row],[Miles Score (Normalized, Unweighted)]]*$AA$3</f>
        <v>1.7409144962763543</v>
      </c>
      <c r="AD126" s="255">
        <f>_xlfn.XLOOKUP(FME_Ranking1[[#This Row],[FME ID]],FME_Input[FME_ID],FME_Input[FARMACRE100])</f>
        <v>0</v>
      </c>
      <c r="AE126" s="230">
        <f>(FME_Ranking1[[#This Row],[Ag Land Raw]]/$AD$2)*100</f>
        <v>0</v>
      </c>
      <c r="AF126" s="231">
        <f>FME_Ranking1[[#This Row],[Ag Land Score (Normalized, Unweighted)]]*$AD$3</f>
        <v>0</v>
      </c>
      <c r="AG12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3.7843829553210946</v>
      </c>
      <c r="AH126" s="406">
        <f t="shared" si="1"/>
        <v>75</v>
      </c>
      <c r="AI12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3.7843829553210946</v>
      </c>
      <c r="AJ126" s="257">
        <f>FME_Ranking1[[#This Row],[Addition check]]-FME_Ranking1[[#This Row],[Weighted Score Based on Normalized Reported Factors]]</f>
        <v>0</v>
      </c>
      <c r="AK126" s="178">
        <f>_xlfn.RANK.EQ(AI126,$AI$6:$AI$2341,0)+COUNTIF($AI$6:AI126,AI126)-1</f>
        <v>75</v>
      </c>
    </row>
    <row r="127" spans="1:37" ht="12" customHeight="1" x14ac:dyDescent="0.25">
      <c r="A127" t="s">
        <v>6018</v>
      </c>
      <c r="B127">
        <f>_xlfn.XLOOKUP(FME_Ranking1[[#This Row],[FME ID]],FME_Input[FME_ID],FME_Input[RFPG_NUM])</f>
        <v>5</v>
      </c>
      <c r="C127" t="str">
        <f>_xlfn.XLOOKUP(FME_Ranking1[[#This Row],[FME ID]],FME_Input[FME_ID],FME_Input[FME_NAME])</f>
        <v>Feasibility Assessment of Widening and Deepening Segments of Anderson Gully</v>
      </c>
      <c r="D127" t="str">
        <f>_xlfn.XLOOKUP(FME_Ranking1[[#This Row],[FME ID]],FME_Input[FME_ID],FME_Input[DESCR])</f>
        <v>H&amp;H Study to analyze most efficient alternatives for constructing improvements to segments of Anderson Gully.</v>
      </c>
      <c r="E127" s="256">
        <f>_xlfn.XLOOKUP(FME_Ranking1[[#This Row],[FME ID]],FME_Input[FME_ID],FME_Input[FME_COST])</f>
        <v>325000</v>
      </c>
      <c r="F127" t="str">
        <f>_xlfn.XLOOKUP(FME_Ranking1[[#This Row],[FME ID]],FME_Input[FME_ID],FME_Input[EMER_NEED])</f>
        <v>Yes</v>
      </c>
      <c r="G127">
        <f>IF(FME_Ranking!F127="Yes",100,0)</f>
        <v>100</v>
      </c>
      <c r="H127">
        <f>FME_Ranking1[[#This Row],[Emergency Need Score (Normalized, Unweighted)]]*$F$3</f>
        <v>0</v>
      </c>
      <c r="I127" s="246">
        <f>_xlfn.XLOOKUP(FME_Ranking1[[#This Row],[FME ID]],FME_Input[FME_ID],FME_Input[STRUCT_100])</f>
        <v>1366</v>
      </c>
      <c r="J127" s="178">
        <f>(FME_Ranking1[[#This Row],[Structures 100 Raw]]/I$2)*100</f>
        <v>0.73148267146467882</v>
      </c>
      <c r="K127" s="178">
        <f>FME_Ranking1[[#This Row],[Structures 100  Score (Normalized, Unweighted)]]*$I$3</f>
        <v>0.10972240071970182</v>
      </c>
      <c r="L127" s="246">
        <f>_xlfn.XLOOKUP(FME_Ranking1[[#This Row],[FME ID]],FME_Input[FME_ID],FME_Input[RES_STRUCT100])</f>
        <v>890</v>
      </c>
      <c r="M127" s="230">
        <f>(FME_Ranking1[[#This Row],[Res Structures Raw]]/L$2)*100</f>
        <v>0.63039197631426103</v>
      </c>
      <c r="N127" s="180">
        <f>FME_Ranking1[[#This Row],[Res Structures Score (Normalized, Unweighted)]]*$L$3</f>
        <v>6.3039197631426111E-2</v>
      </c>
      <c r="O127" s="244">
        <f>_xlfn.XLOOKUP(FME_Ranking1[[#This Row],[FME ID]],FME_Input[FME_ID],FME_Input[POP100])</f>
        <v>3566</v>
      </c>
      <c r="P127" s="178">
        <f>(FME_Ranking1[[#This Row],[Pop Raw]]/$O$2)*100</f>
        <v>0.36507036255192987</v>
      </c>
      <c r="Q127" s="178">
        <f>FME_Ranking1[[#This Row],[Pop Score (Normalized, Unweighted)]]*$O$3</f>
        <v>5.4760554382789477E-2</v>
      </c>
      <c r="R127" s="137">
        <f>_xlfn.XLOOKUP(FME_Ranking1[[#This Row],[FME ID]],FME_Input[FME_ID],FME_Input[CRITFAC100])</f>
        <v>194</v>
      </c>
      <c r="S127" s="230">
        <f>(FME_Ranking1[[#This Row],[Critical Facilities Raw]]/$R$2)*100</f>
        <v>8.3190394511149233</v>
      </c>
      <c r="T127" s="180">
        <f>FME_Ranking1[[#This Row],[Critical Facilities Score (Normalized, Unweighted)]]*$R$3</f>
        <v>1.6638078902229847</v>
      </c>
      <c r="U127">
        <f>_xlfn.XLOOKUP(FME_Ranking1[[#This Row],[FME ID]],FME_Input[FME_ID],FME_Input[LWC])</f>
        <v>9</v>
      </c>
      <c r="V127" s="178">
        <f>(FME_Ranking1[[#This Row],[LWC Raw]]/$U$2)*100</f>
        <v>0.5181347150259068</v>
      </c>
      <c r="W127" s="178">
        <f>FME_Ranking1[[#This Row],[LWC Score (Normalized, Unweighted)]]*$U$3</f>
        <v>0.10362694300518137</v>
      </c>
      <c r="X127" s="246">
        <f>_xlfn.XLOOKUP(FME_Ranking1[[#This Row],[FME ID]],FME_Input[FME_ID],FME_Input[ROADCLS])</f>
        <v>9</v>
      </c>
      <c r="Y127" s="230">
        <f>(FME_Ranking1[[#This Row],[Closures Raw]]/$X$2)*100</f>
        <v>9.462727368310378E-2</v>
      </c>
      <c r="Z127" s="180">
        <f>FME_Ranking1[[#This Row],[Closures Score (Normalized, Unweighted)]]*$X$3</f>
        <v>4.7313636841551897E-3</v>
      </c>
      <c r="AA127" s="253">
        <f>_xlfn.XLOOKUP(FME_Ranking1[[#This Row],[FME ID]],FME_Input[FME_ID],FME_Input[ROAD_MILES100])</f>
        <v>35.056068420410163</v>
      </c>
      <c r="AB127" s="178">
        <f>(FME_Ranking1[[#This Row],[Miles Raw]]/$AA$2)*100</f>
        <v>0.46092442371790066</v>
      </c>
      <c r="AC127" s="178">
        <f>FME_Ranking1[[#This Row],[Miles Score (Normalized, Unweighted)]]*$AA$3</f>
        <v>4.6092442371790068E-2</v>
      </c>
      <c r="AD127" s="255">
        <f>_xlfn.XLOOKUP(FME_Ranking1[[#This Row],[FME ID]],FME_Input[FME_ID],FME_Input[FARMACRE100])</f>
        <v>140.05671691894531</v>
      </c>
      <c r="AE127" s="230">
        <f>(FME_Ranking1[[#This Row],[Ag Land Raw]]/$AD$2)*100</f>
        <v>5.7753120413272857E-3</v>
      </c>
      <c r="AF127" s="231">
        <f>FME_Ranking1[[#This Row],[Ag Land Score (Normalized, Unweighted)]]*$AD$3</f>
        <v>2.8876560206636428E-4</v>
      </c>
      <c r="AG12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2.0460695576200951</v>
      </c>
      <c r="AH127" s="406">
        <f t="shared" si="1"/>
        <v>135</v>
      </c>
      <c r="AI12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2.0460695576200951</v>
      </c>
      <c r="AJ127" s="257">
        <f>FME_Ranking1[[#This Row],[Addition check]]-FME_Ranking1[[#This Row],[Weighted Score Based on Normalized Reported Factors]]</f>
        <v>0</v>
      </c>
      <c r="AK127" s="178">
        <f>_xlfn.RANK.EQ(AI127,$AI$6:$AI$2341,0)+COUNTIF($AI$6:AI127,AI127)-1</f>
        <v>135</v>
      </c>
    </row>
    <row r="128" spans="1:37" ht="12" customHeight="1" x14ac:dyDescent="0.25">
      <c r="A128" t="s">
        <v>1459</v>
      </c>
      <c r="B128">
        <f>_xlfn.XLOOKUP(FME_Ranking1[[#This Row],[FME ID]],FME_Input[FME_ID],FME_Input[RFPG_NUM])</f>
        <v>6</v>
      </c>
      <c r="C128" t="str">
        <f>_xlfn.XLOOKUP(FME_Ranking1[[#This Row],[FME ID]],FME_Input[FME_ID],FME_Input[FME_NAME])</f>
        <v xml:space="preserve">Brays Bayou Restore Channel Conveyance Capacity Along D115-00-00 </v>
      </c>
      <c r="D128" t="str">
        <f>_xlfn.XLOOKUP(FME_Ranking1[[#This Row],[FME ID]],FME_Input[FME_ID],FME_Input[DESCR])</f>
        <v>Further study of channel improvements from partnership project to restore channel conveyanve including Atlas 14 rainfalls.</v>
      </c>
      <c r="E128" s="256">
        <f>_xlfn.XLOOKUP(FME_Ranking1[[#This Row],[FME ID]],FME_Input[FME_ID],FME_Input[FME_COST])</f>
        <v>1020000</v>
      </c>
      <c r="F128" t="str">
        <f>_xlfn.XLOOKUP(FME_Ranking1[[#This Row],[FME ID]],FME_Input[FME_ID],FME_Input[EMER_NEED])</f>
        <v>No</v>
      </c>
      <c r="G128">
        <f>IF(FME_Ranking!F128="Yes",100,0)</f>
        <v>0</v>
      </c>
      <c r="H128">
        <f>FME_Ranking1[[#This Row],[Emergency Need Score (Normalized, Unweighted)]]*$F$3</f>
        <v>0</v>
      </c>
      <c r="I128" s="246">
        <f>_xlfn.XLOOKUP(FME_Ranking1[[#This Row],[FME ID]],FME_Input[FME_ID],FME_Input[STRUCT_100])</f>
        <v>5579</v>
      </c>
      <c r="J128" s="178">
        <f>(FME_Ranking1[[#This Row],[Structures 100 Raw]]/I$2)*100</f>
        <v>2.9875123163260935</v>
      </c>
      <c r="K128" s="178">
        <f>FME_Ranking1[[#This Row],[Structures 100  Score (Normalized, Unweighted)]]*$I$3</f>
        <v>0.44812684744891401</v>
      </c>
      <c r="L128" s="246">
        <f>_xlfn.XLOOKUP(FME_Ranking1[[#This Row],[FME ID]],FME_Input[FME_ID],FME_Input[RES_STRUCT100])</f>
        <v>5255</v>
      </c>
      <c r="M128" s="230">
        <f>(FME_Ranking1[[#This Row],[Res Structures Raw]]/L$2)*100</f>
        <v>3.7221458826195972</v>
      </c>
      <c r="N128" s="180">
        <f>FME_Ranking1[[#This Row],[Res Structures Score (Normalized, Unweighted)]]*$L$3</f>
        <v>0.37221458826195974</v>
      </c>
      <c r="O128" s="244">
        <f>_xlfn.XLOOKUP(FME_Ranking1[[#This Row],[FME ID]],FME_Input[FME_ID],FME_Input[POP100])</f>
        <v>34583</v>
      </c>
      <c r="P128" s="178">
        <f>(FME_Ranking1[[#This Row],[Pop Raw]]/$O$2)*100</f>
        <v>3.5404454145074009</v>
      </c>
      <c r="Q128" s="178">
        <f>FME_Ranking1[[#This Row],[Pop Score (Normalized, Unweighted)]]*$O$3</f>
        <v>0.53106681217611007</v>
      </c>
      <c r="R128" s="137">
        <f>_xlfn.XLOOKUP(FME_Ranking1[[#This Row],[FME ID]],FME_Input[FME_ID],FME_Input[CRITFAC100])</f>
        <v>75</v>
      </c>
      <c r="S128" s="230">
        <f>(FME_Ranking1[[#This Row],[Critical Facilities Raw]]/$R$2)*100</f>
        <v>3.2161234991423671</v>
      </c>
      <c r="T128" s="180">
        <f>FME_Ranking1[[#This Row],[Critical Facilities Score (Normalized, Unweighted)]]*$R$3</f>
        <v>0.64322469982847341</v>
      </c>
      <c r="U128">
        <f>_xlfn.XLOOKUP(FME_Ranking1[[#This Row],[FME ID]],FME_Input[FME_ID],FME_Input[LWC])</f>
        <v>0</v>
      </c>
      <c r="V128" s="178">
        <f>(FME_Ranking1[[#This Row],[LWC Raw]]/$U$2)*100</f>
        <v>0</v>
      </c>
      <c r="W128" s="178">
        <f>FME_Ranking1[[#This Row],[LWC Score (Normalized, Unweighted)]]*$U$3</f>
        <v>0</v>
      </c>
      <c r="X128" s="246">
        <f>_xlfn.XLOOKUP(FME_Ranking1[[#This Row],[FME ID]],FME_Input[FME_ID],FME_Input[ROADCLS])</f>
        <v>0</v>
      </c>
      <c r="Y128" s="230">
        <f>(FME_Ranking1[[#This Row],[Closures Raw]]/$X$2)*100</f>
        <v>0</v>
      </c>
      <c r="Z128" s="180">
        <f>FME_Ranking1[[#This Row],[Closures Score (Normalized, Unweighted)]]*$X$3</f>
        <v>0</v>
      </c>
      <c r="AA128" s="253">
        <f>_xlfn.XLOOKUP(FME_Ranking1[[#This Row],[FME ID]],FME_Input[FME_ID],FME_Input[ROAD_MILES100])</f>
        <v>59.06512451171875</v>
      </c>
      <c r="AB128" s="178">
        <f>(FME_Ranking1[[#This Row],[Miles Raw]]/$AA$2)*100</f>
        <v>0.77660044905490522</v>
      </c>
      <c r="AC128" s="178">
        <f>FME_Ranking1[[#This Row],[Miles Score (Normalized, Unweighted)]]*$AA$3</f>
        <v>7.7660044905490527E-2</v>
      </c>
      <c r="AD128" s="255">
        <f>_xlfn.XLOOKUP(FME_Ranking1[[#This Row],[FME ID]],FME_Input[FME_ID],FME_Input[FARMACRE100])</f>
        <v>0.97406774759292603</v>
      </c>
      <c r="AE128" s="230">
        <f>(FME_Ranking1[[#This Row],[Ag Land Raw]]/$AD$2)*100</f>
        <v>4.0166193492866398E-5</v>
      </c>
      <c r="AF128" s="231">
        <f>FME_Ranking1[[#This Row],[Ag Land Score (Normalized, Unweighted)]]*$AD$3</f>
        <v>2.0083096746433199E-6</v>
      </c>
      <c r="AG12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2.0722950009306227</v>
      </c>
      <c r="AH128" s="406">
        <f t="shared" si="1"/>
        <v>134</v>
      </c>
      <c r="AI12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2.0722950009306227</v>
      </c>
      <c r="AJ128" s="257">
        <f>FME_Ranking1[[#This Row],[Addition check]]-FME_Ranking1[[#This Row],[Weighted Score Based on Normalized Reported Factors]]</f>
        <v>0</v>
      </c>
      <c r="AK128" s="178">
        <f>_xlfn.RANK.EQ(AI128,$AI$6:$AI$2341,0)+COUNTIF($AI$6:AI128,AI128)-1</f>
        <v>134</v>
      </c>
    </row>
    <row r="129" spans="1:37" ht="12" customHeight="1" x14ac:dyDescent="0.25">
      <c r="A129" t="s">
        <v>7993</v>
      </c>
      <c r="B129">
        <f>_xlfn.XLOOKUP(FME_Ranking1[[#This Row],[FME ID]],FME_Input[FME_ID],FME_Input[RFPG_NUM])</f>
        <v>9</v>
      </c>
      <c r="C129" t="str">
        <f>_xlfn.XLOOKUP(FME_Ranking1[[#This Row],[FME ID]],FME_Input[FME_ID],FME_Input[FME_NAME])</f>
        <v>Midland County  FEMA Mapping</v>
      </c>
      <c r="D129" t="str">
        <f>_xlfn.XLOOKUP(FME_Ranking1[[#This Row],[FME ID]],FME_Input[FME_ID],FME_Input[DESCR])</f>
        <v>Update existing FEMA Mapping</v>
      </c>
      <c r="E129" s="256">
        <f>_xlfn.XLOOKUP(FME_Ranking1[[#This Row],[FME ID]],FME_Input[FME_ID],FME_Input[FME_COST])</f>
        <v>926000</v>
      </c>
      <c r="F129" t="str">
        <f>_xlfn.XLOOKUP(FME_Ranking1[[#This Row],[FME ID]],FME_Input[FME_ID],FME_Input[EMER_NEED])</f>
        <v>No</v>
      </c>
      <c r="G129">
        <f>IF(FME_Ranking!F129="Yes",100,0)</f>
        <v>0</v>
      </c>
      <c r="H129">
        <f>FME_Ranking1[[#This Row],[Emergency Need Score (Normalized, Unweighted)]]*$F$3</f>
        <v>0</v>
      </c>
      <c r="I129" s="246">
        <f>_xlfn.XLOOKUP(FME_Ranking1[[#This Row],[FME ID]],FME_Input[FME_ID],FME_Input[STRUCT_100])</f>
        <v>8432</v>
      </c>
      <c r="J129" s="178">
        <f>(FME_Ranking1[[#This Row],[Structures 100 Raw]]/I$2)*100</f>
        <v>4.5152722443559101</v>
      </c>
      <c r="K129" s="178">
        <f>FME_Ranking1[[#This Row],[Structures 100  Score (Normalized, Unweighted)]]*$I$3</f>
        <v>0.67729083665338652</v>
      </c>
      <c r="L129" s="246">
        <f>_xlfn.XLOOKUP(FME_Ranking1[[#This Row],[FME ID]],FME_Input[FME_ID],FME_Input[RES_STRUCT100])</f>
        <v>5663</v>
      </c>
      <c r="M129" s="230">
        <f>(FME_Ranking1[[#This Row],[Res Structures Raw]]/L$2)*100</f>
        <v>4.0111345638962472</v>
      </c>
      <c r="N129" s="180">
        <f>FME_Ranking1[[#This Row],[Res Structures Score (Normalized, Unweighted)]]*$L$3</f>
        <v>0.40111345638962476</v>
      </c>
      <c r="O129" s="244">
        <f>_xlfn.XLOOKUP(FME_Ranking1[[#This Row],[FME ID]],FME_Input[FME_ID],FME_Input[POP100])</f>
        <v>23148</v>
      </c>
      <c r="P129" s="178">
        <f>(FME_Ranking1[[#This Row],[Pop Raw]]/$O$2)*100</f>
        <v>2.3697837219158928</v>
      </c>
      <c r="Q129" s="178">
        <f>FME_Ranking1[[#This Row],[Pop Score (Normalized, Unweighted)]]*$O$3</f>
        <v>0.35546755828738391</v>
      </c>
      <c r="R129" s="137">
        <f>_xlfn.XLOOKUP(FME_Ranking1[[#This Row],[FME ID]],FME_Input[FME_ID],FME_Input[CRITFAC100])</f>
        <v>22</v>
      </c>
      <c r="S129" s="230">
        <f>(FME_Ranking1[[#This Row],[Critical Facilities Raw]]/$R$2)*100</f>
        <v>0.94339622641509435</v>
      </c>
      <c r="T129" s="180">
        <f>FME_Ranking1[[#This Row],[Critical Facilities Score (Normalized, Unweighted)]]*$R$3</f>
        <v>0.18867924528301888</v>
      </c>
      <c r="U129">
        <f>_xlfn.XLOOKUP(FME_Ranking1[[#This Row],[FME ID]],FME_Input[FME_ID],FME_Input[LWC])</f>
        <v>28</v>
      </c>
      <c r="V129" s="178">
        <f>(FME_Ranking1[[#This Row],[LWC Raw]]/$U$2)*100</f>
        <v>1.6119746689694874</v>
      </c>
      <c r="W129" s="178">
        <f>FME_Ranking1[[#This Row],[LWC Score (Normalized, Unweighted)]]*$U$3</f>
        <v>0.3223949337938975</v>
      </c>
      <c r="X129" s="246">
        <f>_xlfn.XLOOKUP(FME_Ranking1[[#This Row],[FME ID]],FME_Input[FME_ID],FME_Input[ROADCLS])</f>
        <v>0</v>
      </c>
      <c r="Y129" s="230">
        <f>(FME_Ranking1[[#This Row],[Closures Raw]]/$X$2)*100</f>
        <v>0</v>
      </c>
      <c r="Z129" s="180">
        <f>FME_Ranking1[[#This Row],[Closures Score (Normalized, Unweighted)]]*$X$3</f>
        <v>0</v>
      </c>
      <c r="AA129" s="253">
        <f>_xlfn.XLOOKUP(FME_Ranking1[[#This Row],[FME ID]],FME_Input[FME_ID],FME_Input[ROAD_MILES100])</f>
        <v>289.51742553710938</v>
      </c>
      <c r="AB129" s="178">
        <f>(FME_Ranking1[[#This Row],[Miles Raw]]/$AA$2)*100</f>
        <v>3.8066348719324248</v>
      </c>
      <c r="AC129" s="178">
        <f>FME_Ranking1[[#This Row],[Miles Score (Normalized, Unweighted)]]*$AA$3</f>
        <v>0.3806634871932425</v>
      </c>
      <c r="AD129" s="255">
        <f>_xlfn.XLOOKUP(FME_Ranking1[[#This Row],[FME ID]],FME_Input[FME_ID],FME_Input[FARMACRE100])</f>
        <v>8596.421875</v>
      </c>
      <c r="AE129" s="230">
        <f>(FME_Ranking1[[#This Row],[Ag Land Raw]]/$AD$2)*100</f>
        <v>0.35447795621076056</v>
      </c>
      <c r="AF129" s="231">
        <f>FME_Ranking1[[#This Row],[Ag Land Score (Normalized, Unweighted)]]*$AD$3</f>
        <v>1.7723897810538028E-2</v>
      </c>
      <c r="AG12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2.3433334154110921</v>
      </c>
      <c r="AH129" s="406">
        <f t="shared" si="1"/>
        <v>117</v>
      </c>
      <c r="AI12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2.3433334154110921</v>
      </c>
      <c r="AJ129" s="257">
        <f>FME_Ranking1[[#This Row],[Addition check]]-FME_Ranking1[[#This Row],[Weighted Score Based on Normalized Reported Factors]]</f>
        <v>0</v>
      </c>
      <c r="AK129" s="178">
        <f>_xlfn.RANK.EQ(AI129,$AI$6:$AI$2341,0)+COUNTIF($AI$6:AI129,AI129)-1</f>
        <v>117</v>
      </c>
    </row>
    <row r="130" spans="1:37" ht="12" customHeight="1" x14ac:dyDescent="0.25">
      <c r="A130" t="s">
        <v>8022</v>
      </c>
      <c r="B130">
        <f>_xlfn.XLOOKUP(FME_Ranking1[[#This Row],[FME ID]],FME_Input[FME_ID],FME_Input[RFPG_NUM])</f>
        <v>9</v>
      </c>
      <c r="C130" t="str">
        <f>_xlfn.XLOOKUP(FME_Ranking1[[#This Row],[FME ID]],FME_Input[FME_ID],FME_Input[FME_NAME])</f>
        <v>Midland County  GIS Development</v>
      </c>
      <c r="D130" t="str">
        <f>_xlfn.XLOOKUP(FME_Ranking1[[#This Row],[FME ID]],FME_Input[FME_ID],FME_Input[DESCR])</f>
        <v>Develop a GIS inventory of stormwater infrastructure</v>
      </c>
      <c r="E130" s="256">
        <f>_xlfn.XLOOKUP(FME_Ranking1[[#This Row],[FME ID]],FME_Input[FME_ID],FME_Input[FME_COST])</f>
        <v>100000</v>
      </c>
      <c r="F130" t="str">
        <f>_xlfn.XLOOKUP(FME_Ranking1[[#This Row],[FME ID]],FME_Input[FME_ID],FME_Input[EMER_NEED])</f>
        <v>No</v>
      </c>
      <c r="G130">
        <f>IF(FME_Ranking!F130="Yes",100,0)</f>
        <v>0</v>
      </c>
      <c r="H130">
        <f>FME_Ranking1[[#This Row],[Emergency Need Score (Normalized, Unweighted)]]*$F$3</f>
        <v>0</v>
      </c>
      <c r="I130" s="246">
        <f>_xlfn.XLOOKUP(FME_Ranking1[[#This Row],[FME ID]],FME_Input[FME_ID],FME_Input[STRUCT_100])</f>
        <v>8432</v>
      </c>
      <c r="J130" s="178">
        <f>(FME_Ranking1[[#This Row],[Structures 100 Raw]]/I$2)*100</f>
        <v>4.5152722443559101</v>
      </c>
      <c r="K130" s="178">
        <f>FME_Ranking1[[#This Row],[Structures 100  Score (Normalized, Unweighted)]]*$I$3</f>
        <v>0.67729083665338652</v>
      </c>
      <c r="L130" s="246">
        <f>_xlfn.XLOOKUP(FME_Ranking1[[#This Row],[FME ID]],FME_Input[FME_ID],FME_Input[RES_STRUCT100])</f>
        <v>5663</v>
      </c>
      <c r="M130" s="230">
        <f>(FME_Ranking1[[#This Row],[Res Structures Raw]]/L$2)*100</f>
        <v>4.0111345638962472</v>
      </c>
      <c r="N130" s="180">
        <f>FME_Ranking1[[#This Row],[Res Structures Score (Normalized, Unweighted)]]*$L$3</f>
        <v>0.40111345638962476</v>
      </c>
      <c r="O130" s="244">
        <f>_xlfn.XLOOKUP(FME_Ranking1[[#This Row],[FME ID]],FME_Input[FME_ID],FME_Input[POP100])</f>
        <v>23148</v>
      </c>
      <c r="P130" s="178">
        <f>(FME_Ranking1[[#This Row],[Pop Raw]]/$O$2)*100</f>
        <v>2.3697837219158928</v>
      </c>
      <c r="Q130" s="178">
        <f>FME_Ranking1[[#This Row],[Pop Score (Normalized, Unweighted)]]*$O$3</f>
        <v>0.35546755828738391</v>
      </c>
      <c r="R130" s="137">
        <f>_xlfn.XLOOKUP(FME_Ranking1[[#This Row],[FME ID]],FME_Input[FME_ID],FME_Input[CRITFAC100])</f>
        <v>22</v>
      </c>
      <c r="S130" s="230">
        <f>(FME_Ranking1[[#This Row],[Critical Facilities Raw]]/$R$2)*100</f>
        <v>0.94339622641509435</v>
      </c>
      <c r="T130" s="180">
        <f>FME_Ranking1[[#This Row],[Critical Facilities Score (Normalized, Unweighted)]]*$R$3</f>
        <v>0.18867924528301888</v>
      </c>
      <c r="U130">
        <f>_xlfn.XLOOKUP(FME_Ranking1[[#This Row],[FME ID]],FME_Input[FME_ID],FME_Input[LWC])</f>
        <v>28</v>
      </c>
      <c r="V130" s="178">
        <f>(FME_Ranking1[[#This Row],[LWC Raw]]/$U$2)*100</f>
        <v>1.6119746689694874</v>
      </c>
      <c r="W130" s="178">
        <f>FME_Ranking1[[#This Row],[LWC Score (Normalized, Unweighted)]]*$U$3</f>
        <v>0.3223949337938975</v>
      </c>
      <c r="X130" s="246">
        <f>_xlfn.XLOOKUP(FME_Ranking1[[#This Row],[FME ID]],FME_Input[FME_ID],FME_Input[ROADCLS])</f>
        <v>0</v>
      </c>
      <c r="Y130" s="230">
        <f>(FME_Ranking1[[#This Row],[Closures Raw]]/$X$2)*100</f>
        <v>0</v>
      </c>
      <c r="Z130" s="180">
        <f>FME_Ranking1[[#This Row],[Closures Score (Normalized, Unweighted)]]*$X$3</f>
        <v>0</v>
      </c>
      <c r="AA130" s="253">
        <f>_xlfn.XLOOKUP(FME_Ranking1[[#This Row],[FME ID]],FME_Input[FME_ID],FME_Input[ROAD_MILES100])</f>
        <v>289.51742553710938</v>
      </c>
      <c r="AB130" s="178">
        <f>(FME_Ranking1[[#This Row],[Miles Raw]]/$AA$2)*100</f>
        <v>3.8066348719324248</v>
      </c>
      <c r="AC130" s="178">
        <f>FME_Ranking1[[#This Row],[Miles Score (Normalized, Unweighted)]]*$AA$3</f>
        <v>0.3806634871932425</v>
      </c>
      <c r="AD130" s="255">
        <f>_xlfn.XLOOKUP(FME_Ranking1[[#This Row],[FME ID]],FME_Input[FME_ID],FME_Input[FARMACRE100])</f>
        <v>8596.421875</v>
      </c>
      <c r="AE130" s="230">
        <f>(FME_Ranking1[[#This Row],[Ag Land Raw]]/$AD$2)*100</f>
        <v>0.35447795621076056</v>
      </c>
      <c r="AF130" s="231">
        <f>FME_Ranking1[[#This Row],[Ag Land Score (Normalized, Unweighted)]]*$AD$3</f>
        <v>1.7723897810538028E-2</v>
      </c>
      <c r="AG13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2.3433334154110921</v>
      </c>
      <c r="AH130" s="406">
        <f t="shared" si="1"/>
        <v>117</v>
      </c>
      <c r="AI13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2.3433334154110921</v>
      </c>
      <c r="AJ130" s="257">
        <f>FME_Ranking1[[#This Row],[Addition check]]-FME_Ranking1[[#This Row],[Weighted Score Based on Normalized Reported Factors]]</f>
        <v>0</v>
      </c>
      <c r="AK130" s="178">
        <f>_xlfn.RANK.EQ(AI130,$AI$6:$AI$2341,0)+COUNTIF($AI$6:AI130,AI130)-1</f>
        <v>118</v>
      </c>
    </row>
    <row r="131" spans="1:37" ht="12" customHeight="1" x14ac:dyDescent="0.25">
      <c r="A131" t="s">
        <v>8059</v>
      </c>
      <c r="B131">
        <f>_xlfn.XLOOKUP(FME_Ranking1[[#This Row],[FME ID]],FME_Input[FME_ID],FME_Input[RFPG_NUM])</f>
        <v>9</v>
      </c>
      <c r="C131" t="str">
        <f>_xlfn.XLOOKUP(FME_Ranking1[[#This Row],[FME ID]],FME_Input[FME_ID],FME_Input[FME_NAME])</f>
        <v>Midland County  DMP</v>
      </c>
      <c r="D131" t="str">
        <f>_xlfn.XLOOKUP(FME_Ranking1[[#This Row],[FME ID]],FME_Input[FME_ID],FME_Input[DESCR])</f>
        <v xml:space="preserve">Create Drainage Master Plan, including evaluation of potential mitigation projects. </v>
      </c>
      <c r="E131" s="256">
        <f>_xlfn.XLOOKUP(FME_Ranking1[[#This Row],[FME ID]],FME_Input[FME_ID],FME_Input[FME_COST])</f>
        <v>500000</v>
      </c>
      <c r="F131" t="str">
        <f>_xlfn.XLOOKUP(FME_Ranking1[[#This Row],[FME ID]],FME_Input[FME_ID],FME_Input[EMER_NEED])</f>
        <v>No</v>
      </c>
      <c r="G131">
        <f>IF(FME_Ranking!F131="Yes",100,0)</f>
        <v>0</v>
      </c>
      <c r="H131">
        <f>FME_Ranking1[[#This Row],[Emergency Need Score (Normalized, Unweighted)]]*$F$3</f>
        <v>0</v>
      </c>
      <c r="I131" s="246">
        <f>_xlfn.XLOOKUP(FME_Ranking1[[#This Row],[FME ID]],FME_Input[FME_ID],FME_Input[STRUCT_100])</f>
        <v>8432</v>
      </c>
      <c r="J131" s="178">
        <f>(FME_Ranking1[[#This Row],[Structures 100 Raw]]/I$2)*100</f>
        <v>4.5152722443559101</v>
      </c>
      <c r="K131" s="178">
        <f>FME_Ranking1[[#This Row],[Structures 100  Score (Normalized, Unweighted)]]*$I$3</f>
        <v>0.67729083665338652</v>
      </c>
      <c r="L131" s="246">
        <f>_xlfn.XLOOKUP(FME_Ranking1[[#This Row],[FME ID]],FME_Input[FME_ID],FME_Input[RES_STRUCT100])</f>
        <v>5663</v>
      </c>
      <c r="M131" s="230">
        <f>(FME_Ranking1[[#This Row],[Res Structures Raw]]/L$2)*100</f>
        <v>4.0111345638962472</v>
      </c>
      <c r="N131" s="180">
        <f>FME_Ranking1[[#This Row],[Res Structures Score (Normalized, Unweighted)]]*$L$3</f>
        <v>0.40111345638962476</v>
      </c>
      <c r="O131" s="244">
        <f>_xlfn.XLOOKUP(FME_Ranking1[[#This Row],[FME ID]],FME_Input[FME_ID],FME_Input[POP100])</f>
        <v>23148</v>
      </c>
      <c r="P131" s="178">
        <f>(FME_Ranking1[[#This Row],[Pop Raw]]/$O$2)*100</f>
        <v>2.3697837219158928</v>
      </c>
      <c r="Q131" s="178">
        <f>FME_Ranking1[[#This Row],[Pop Score (Normalized, Unweighted)]]*$O$3</f>
        <v>0.35546755828738391</v>
      </c>
      <c r="R131" s="137">
        <f>_xlfn.XLOOKUP(FME_Ranking1[[#This Row],[FME ID]],FME_Input[FME_ID],FME_Input[CRITFAC100])</f>
        <v>22</v>
      </c>
      <c r="S131" s="230">
        <f>(FME_Ranking1[[#This Row],[Critical Facilities Raw]]/$R$2)*100</f>
        <v>0.94339622641509435</v>
      </c>
      <c r="T131" s="180">
        <f>FME_Ranking1[[#This Row],[Critical Facilities Score (Normalized, Unweighted)]]*$R$3</f>
        <v>0.18867924528301888</v>
      </c>
      <c r="U131">
        <f>_xlfn.XLOOKUP(FME_Ranking1[[#This Row],[FME ID]],FME_Input[FME_ID],FME_Input[LWC])</f>
        <v>28</v>
      </c>
      <c r="V131" s="178">
        <f>(FME_Ranking1[[#This Row],[LWC Raw]]/$U$2)*100</f>
        <v>1.6119746689694874</v>
      </c>
      <c r="W131" s="178">
        <f>FME_Ranking1[[#This Row],[LWC Score (Normalized, Unweighted)]]*$U$3</f>
        <v>0.3223949337938975</v>
      </c>
      <c r="X131" s="246">
        <f>_xlfn.XLOOKUP(FME_Ranking1[[#This Row],[FME ID]],FME_Input[FME_ID],FME_Input[ROADCLS])</f>
        <v>0</v>
      </c>
      <c r="Y131" s="230">
        <f>(FME_Ranking1[[#This Row],[Closures Raw]]/$X$2)*100</f>
        <v>0</v>
      </c>
      <c r="Z131" s="180">
        <f>FME_Ranking1[[#This Row],[Closures Score (Normalized, Unweighted)]]*$X$3</f>
        <v>0</v>
      </c>
      <c r="AA131" s="253">
        <f>_xlfn.XLOOKUP(FME_Ranking1[[#This Row],[FME ID]],FME_Input[FME_ID],FME_Input[ROAD_MILES100])</f>
        <v>289.51742553710938</v>
      </c>
      <c r="AB131" s="178">
        <f>(FME_Ranking1[[#This Row],[Miles Raw]]/$AA$2)*100</f>
        <v>3.8066348719324248</v>
      </c>
      <c r="AC131" s="178">
        <f>FME_Ranking1[[#This Row],[Miles Score (Normalized, Unweighted)]]*$AA$3</f>
        <v>0.3806634871932425</v>
      </c>
      <c r="AD131" s="255">
        <f>_xlfn.XLOOKUP(FME_Ranking1[[#This Row],[FME ID]],FME_Input[FME_ID],FME_Input[FARMACRE100])</f>
        <v>8596.421875</v>
      </c>
      <c r="AE131" s="230">
        <f>(FME_Ranking1[[#This Row],[Ag Land Raw]]/$AD$2)*100</f>
        <v>0.35447795621076056</v>
      </c>
      <c r="AF131" s="231">
        <f>FME_Ranking1[[#This Row],[Ag Land Score (Normalized, Unweighted)]]*$AD$3</f>
        <v>1.7723897810538028E-2</v>
      </c>
      <c r="AG13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2.3433334154110921</v>
      </c>
      <c r="AH131" s="406">
        <f t="shared" si="1"/>
        <v>117</v>
      </c>
      <c r="AI13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2.3433334154110921</v>
      </c>
      <c r="AJ131" s="257">
        <f>FME_Ranking1[[#This Row],[Addition check]]-FME_Ranking1[[#This Row],[Weighted Score Based on Normalized Reported Factors]]</f>
        <v>0</v>
      </c>
      <c r="AK131" s="178">
        <f>_xlfn.RANK.EQ(AI131,$AI$6:$AI$2341,0)+COUNTIF($AI$6:AI131,AI131)-1</f>
        <v>119</v>
      </c>
    </row>
    <row r="132" spans="1:37" ht="12" customHeight="1" x14ac:dyDescent="0.25">
      <c r="A132" t="s">
        <v>4077</v>
      </c>
      <c r="B132">
        <f>_xlfn.XLOOKUP(FME_Ranking1[[#This Row],[FME ID]],FME_Input[FME_ID],FME_Input[RFPG_NUM])</f>
        <v>3</v>
      </c>
      <c r="C132" t="str">
        <f>_xlfn.XLOOKUP(FME_Ranking1[[#This Row],[FME ID]],FME_Input[FME_ID],FME_Input[FME_NAME])</f>
        <v>Irving Levee District Flood Risk Assessment</v>
      </c>
      <c r="D132" t="str">
        <f>_xlfn.XLOOKUP(FME_Ranking1[[#This Row],[FME ID]],FME_Input[FME_ID],FME_Input[DESCR])</f>
        <v>Conduct review of the area in the four levee districts that would be inundated by a levee failure. Analyze all available routes out of the Levee Districts and any new streets that would not be flooded.</v>
      </c>
      <c r="E132" s="256">
        <f>_xlfn.XLOOKUP(FME_Ranking1[[#This Row],[FME ID]],FME_Input[FME_ID],FME_Input[FME_COST])</f>
        <v>250000</v>
      </c>
      <c r="F132" t="str">
        <f>_xlfn.XLOOKUP(FME_Ranking1[[#This Row],[FME ID]],FME_Input[FME_ID],FME_Input[EMER_NEED])</f>
        <v>No</v>
      </c>
      <c r="G132">
        <f>IF(FME_Ranking!F132="Yes",100,0)</f>
        <v>0</v>
      </c>
      <c r="H132">
        <f>FME_Ranking1[[#This Row],[Emergency Need Score (Normalized, Unweighted)]]*$F$3</f>
        <v>0</v>
      </c>
      <c r="I132" s="246">
        <f>_xlfn.XLOOKUP(FME_Ranking1[[#This Row],[FME ID]],FME_Input[FME_ID],FME_Input[STRUCT_100])</f>
        <v>4589</v>
      </c>
      <c r="J132" s="178">
        <f>(FME_Ranking1[[#This Row],[Structures 100 Raw]]/I$2)*100</f>
        <v>2.4573748018677977</v>
      </c>
      <c r="K132" s="178">
        <f>FME_Ranking1[[#This Row],[Structures 100  Score (Normalized, Unweighted)]]*$I$3</f>
        <v>0.36860622028016965</v>
      </c>
      <c r="L132" s="246">
        <f>_xlfn.XLOOKUP(FME_Ranking1[[#This Row],[FME ID]],FME_Input[FME_ID],FME_Input[RES_STRUCT100])</f>
        <v>4495</v>
      </c>
      <c r="M132" s="230">
        <f>(FME_Ranking1[[#This Row],[Res Structures Raw]]/L$2)*100</f>
        <v>3.1838336331827004</v>
      </c>
      <c r="N132" s="180">
        <f>FME_Ranking1[[#This Row],[Res Structures Score (Normalized, Unweighted)]]*$L$3</f>
        <v>0.31838336331827005</v>
      </c>
      <c r="O132" s="244">
        <f>_xlfn.XLOOKUP(FME_Ranking1[[#This Row],[FME ID]],FME_Input[FME_ID],FME_Input[POP100])</f>
        <v>40893</v>
      </c>
      <c r="P132" s="178">
        <f>(FME_Ranking1[[#This Row],[Pop Raw]]/$O$2)*100</f>
        <v>4.1864336331564971</v>
      </c>
      <c r="Q132" s="178">
        <f>FME_Ranking1[[#This Row],[Pop Score (Normalized, Unweighted)]]*$O$3</f>
        <v>0.6279650449734745</v>
      </c>
      <c r="R132" s="137">
        <f>_xlfn.XLOOKUP(FME_Ranking1[[#This Row],[FME ID]],FME_Input[FME_ID],FME_Input[CRITFAC100])</f>
        <v>31</v>
      </c>
      <c r="S132" s="230">
        <f>(FME_Ranking1[[#This Row],[Critical Facilities Raw]]/$R$2)*100</f>
        <v>1.3293310463121784</v>
      </c>
      <c r="T132" s="180">
        <f>FME_Ranking1[[#This Row],[Critical Facilities Score (Normalized, Unweighted)]]*$R$3</f>
        <v>0.2658662092624357</v>
      </c>
      <c r="U132">
        <f>_xlfn.XLOOKUP(FME_Ranking1[[#This Row],[FME ID]],FME_Input[FME_ID],FME_Input[LWC])</f>
        <v>30</v>
      </c>
      <c r="V132" s="178">
        <f>(FME_Ranking1[[#This Row],[LWC Raw]]/$U$2)*100</f>
        <v>1.7271157167530224</v>
      </c>
      <c r="W132" s="178">
        <f>FME_Ranking1[[#This Row],[LWC Score (Normalized, Unweighted)]]*$U$3</f>
        <v>0.34542314335060453</v>
      </c>
      <c r="X132" s="246">
        <f>_xlfn.XLOOKUP(FME_Ranking1[[#This Row],[FME ID]],FME_Input[FME_ID],FME_Input[ROADCLS])</f>
        <v>0</v>
      </c>
      <c r="Y132" s="230">
        <f>(FME_Ranking1[[#This Row],[Closures Raw]]/$X$2)*100</f>
        <v>0</v>
      </c>
      <c r="Z132" s="180">
        <f>FME_Ranking1[[#This Row],[Closures Score (Normalized, Unweighted)]]*$X$3</f>
        <v>0</v>
      </c>
      <c r="AA132" s="253">
        <f>_xlfn.XLOOKUP(FME_Ranking1[[#This Row],[FME ID]],FME_Input[FME_ID],FME_Input[ROAD_MILES100])</f>
        <v>85.327507019042969</v>
      </c>
      <c r="AB132" s="178">
        <f>(FME_Ranking1[[#This Row],[Miles Raw]]/$AA$2)*100</f>
        <v>1.1219036752318543</v>
      </c>
      <c r="AC132" s="178">
        <f>FME_Ranking1[[#This Row],[Miles Score (Normalized, Unweighted)]]*$AA$3</f>
        <v>0.11219036752318544</v>
      </c>
      <c r="AD132" s="255">
        <f>_xlfn.XLOOKUP(FME_Ranking1[[#This Row],[FME ID]],FME_Input[FME_ID],FME_Input[FARMACRE100])</f>
        <v>1397.400024414062</v>
      </c>
      <c r="AE132" s="230">
        <f>(FME_Ranking1[[#This Row],[Ag Land Raw]]/$AD$2)*100</f>
        <v>5.7622521540470997E-2</v>
      </c>
      <c r="AF132" s="231">
        <f>FME_Ranking1[[#This Row],[Ag Land Score (Normalized, Unweighted)]]*$AD$3</f>
        <v>2.8811260770235502E-3</v>
      </c>
      <c r="AG13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2.0413154747851632</v>
      </c>
      <c r="AH132" s="406">
        <f t="shared" si="1"/>
        <v>136</v>
      </c>
      <c r="AI13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2.0413154747851632</v>
      </c>
      <c r="AJ132" s="257">
        <f>FME_Ranking1[[#This Row],[Addition check]]-FME_Ranking1[[#This Row],[Weighted Score Based on Normalized Reported Factors]]</f>
        <v>0</v>
      </c>
      <c r="AK132" s="178">
        <f>_xlfn.RANK.EQ(AI132,$AI$6:$AI$2341,0)+COUNTIF($AI$6:AI132,AI132)-1</f>
        <v>136</v>
      </c>
    </row>
    <row r="133" spans="1:37" ht="12" customHeight="1" x14ac:dyDescent="0.25">
      <c r="A133" t="s">
        <v>5436</v>
      </c>
      <c r="B133">
        <f>_xlfn.XLOOKUP(FME_Ranking1[[#This Row],[FME ID]],FME_Input[FME_ID],FME_Input[RFPG_NUM])</f>
        <v>3</v>
      </c>
      <c r="C133" t="str">
        <f>_xlfn.XLOOKUP(FME_Ranking1[[#This Row],[FME ID]],FME_Input[FME_ID],FME_Input[FME_NAME])</f>
        <v>City of Irving DMP</v>
      </c>
      <c r="D133" t="str">
        <f>_xlfn.XLOOKUP(FME_Ranking1[[#This Row],[FME ID]],FME_Input[FME_ID],FME_Input[DESCR])</f>
        <v>Evaluate city and identify future projects</v>
      </c>
      <c r="E133" s="256">
        <f>_xlfn.XLOOKUP(FME_Ranking1[[#This Row],[FME ID]],FME_Input[FME_ID],FME_Input[FME_COST])</f>
        <v>1000000</v>
      </c>
      <c r="F133" t="str">
        <f>_xlfn.XLOOKUP(FME_Ranking1[[#This Row],[FME ID]],FME_Input[FME_ID],FME_Input[EMER_NEED])</f>
        <v>No</v>
      </c>
      <c r="G133">
        <f>IF(FME_Ranking!F133="Yes",100,0)</f>
        <v>0</v>
      </c>
      <c r="H133">
        <f>FME_Ranking1[[#This Row],[Emergency Need Score (Normalized, Unweighted)]]*$F$3</f>
        <v>0</v>
      </c>
      <c r="I133" s="246">
        <f>_xlfn.XLOOKUP(FME_Ranking1[[#This Row],[FME ID]],FME_Input[FME_ID],FME_Input[STRUCT_100])</f>
        <v>4589</v>
      </c>
      <c r="J133" s="178">
        <f>(FME_Ranking1[[#This Row],[Structures 100 Raw]]/I$2)*100</f>
        <v>2.4573748018677977</v>
      </c>
      <c r="K133" s="178">
        <f>FME_Ranking1[[#This Row],[Structures 100  Score (Normalized, Unweighted)]]*$I$3</f>
        <v>0.36860622028016965</v>
      </c>
      <c r="L133" s="246">
        <f>_xlfn.XLOOKUP(FME_Ranking1[[#This Row],[FME ID]],FME_Input[FME_ID],FME_Input[RES_STRUCT100])</f>
        <v>4495</v>
      </c>
      <c r="M133" s="230">
        <f>(FME_Ranking1[[#This Row],[Res Structures Raw]]/L$2)*100</f>
        <v>3.1838336331827004</v>
      </c>
      <c r="N133" s="180">
        <f>FME_Ranking1[[#This Row],[Res Structures Score (Normalized, Unweighted)]]*$L$3</f>
        <v>0.31838336331827005</v>
      </c>
      <c r="O133" s="244">
        <f>_xlfn.XLOOKUP(FME_Ranking1[[#This Row],[FME ID]],FME_Input[FME_ID],FME_Input[POP100])</f>
        <v>40893</v>
      </c>
      <c r="P133" s="178">
        <f>(FME_Ranking1[[#This Row],[Pop Raw]]/$O$2)*100</f>
        <v>4.1864336331564971</v>
      </c>
      <c r="Q133" s="178">
        <f>FME_Ranking1[[#This Row],[Pop Score (Normalized, Unweighted)]]*$O$3</f>
        <v>0.6279650449734745</v>
      </c>
      <c r="R133" s="137">
        <f>_xlfn.XLOOKUP(FME_Ranking1[[#This Row],[FME ID]],FME_Input[FME_ID],FME_Input[CRITFAC100])</f>
        <v>31</v>
      </c>
      <c r="S133" s="230">
        <f>(FME_Ranking1[[#This Row],[Critical Facilities Raw]]/$R$2)*100</f>
        <v>1.3293310463121784</v>
      </c>
      <c r="T133" s="180">
        <f>FME_Ranking1[[#This Row],[Critical Facilities Score (Normalized, Unweighted)]]*$R$3</f>
        <v>0.2658662092624357</v>
      </c>
      <c r="U133">
        <f>_xlfn.XLOOKUP(FME_Ranking1[[#This Row],[FME ID]],FME_Input[FME_ID],FME_Input[LWC])</f>
        <v>30</v>
      </c>
      <c r="V133" s="178">
        <f>(FME_Ranking1[[#This Row],[LWC Raw]]/$U$2)*100</f>
        <v>1.7271157167530224</v>
      </c>
      <c r="W133" s="178">
        <f>FME_Ranking1[[#This Row],[LWC Score (Normalized, Unweighted)]]*$U$3</f>
        <v>0.34542314335060453</v>
      </c>
      <c r="X133" s="246">
        <f>_xlfn.XLOOKUP(FME_Ranking1[[#This Row],[FME ID]],FME_Input[FME_ID],FME_Input[ROADCLS])</f>
        <v>0</v>
      </c>
      <c r="Y133" s="230">
        <f>(FME_Ranking1[[#This Row],[Closures Raw]]/$X$2)*100</f>
        <v>0</v>
      </c>
      <c r="Z133" s="180">
        <f>FME_Ranking1[[#This Row],[Closures Score (Normalized, Unweighted)]]*$X$3</f>
        <v>0</v>
      </c>
      <c r="AA133" s="253">
        <f>_xlfn.XLOOKUP(FME_Ranking1[[#This Row],[FME ID]],FME_Input[FME_ID],FME_Input[ROAD_MILES100])</f>
        <v>85.327507019042969</v>
      </c>
      <c r="AB133" s="178">
        <f>(FME_Ranking1[[#This Row],[Miles Raw]]/$AA$2)*100</f>
        <v>1.1219036752318543</v>
      </c>
      <c r="AC133" s="178">
        <f>FME_Ranking1[[#This Row],[Miles Score (Normalized, Unweighted)]]*$AA$3</f>
        <v>0.11219036752318544</v>
      </c>
      <c r="AD133" s="255">
        <f>_xlfn.XLOOKUP(FME_Ranking1[[#This Row],[FME ID]],FME_Input[FME_ID],FME_Input[FARMACRE100])</f>
        <v>1397.400024414062</v>
      </c>
      <c r="AE133" s="230">
        <f>(FME_Ranking1[[#This Row],[Ag Land Raw]]/$AD$2)*100</f>
        <v>5.7622521540470997E-2</v>
      </c>
      <c r="AF133" s="231">
        <f>FME_Ranking1[[#This Row],[Ag Land Score (Normalized, Unweighted)]]*$AD$3</f>
        <v>2.8811260770235502E-3</v>
      </c>
      <c r="AG13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2.0413154747851632</v>
      </c>
      <c r="AH133" s="406">
        <f t="shared" si="1"/>
        <v>136</v>
      </c>
      <c r="AI13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2.0413154747851632</v>
      </c>
      <c r="AJ133" s="257">
        <f>FME_Ranking1[[#This Row],[Addition check]]-FME_Ranking1[[#This Row],[Weighted Score Based on Normalized Reported Factors]]</f>
        <v>0</v>
      </c>
      <c r="AK133" s="178">
        <f>_xlfn.RANK.EQ(AI133,$AI$6:$AI$2341,0)+COUNTIF($AI$6:AI133,AI133)-1</f>
        <v>137</v>
      </c>
    </row>
    <row r="134" spans="1:37" ht="12" customHeight="1" x14ac:dyDescent="0.25">
      <c r="A134" t="s">
        <v>1565</v>
      </c>
      <c r="B134">
        <f>_xlfn.XLOOKUP(FME_Ranking1[[#This Row],[FME ID]],FME_Input[FME_ID],FME_Input[RFPG_NUM])</f>
        <v>6</v>
      </c>
      <c r="C134" t="str">
        <f>_xlfn.XLOOKUP(FME_Ranking1[[#This Row],[FME ID]],FME_Input[FME_ID],FME_Input[FME_NAME])</f>
        <v>City of Dickinson  Master Drainage Plan</v>
      </c>
      <c r="D134" t="str">
        <f>_xlfn.XLOOKUP(FME_Ranking1[[#This Row],[FME ID]],FME_Input[FME_ID],FME_Input[DESCR])</f>
        <v>Study to develop Master Drainage Plan using future and existing land use and flood/storm water drainage needs including Atlas 14 rainfall.</v>
      </c>
      <c r="E134" s="256">
        <f>_xlfn.XLOOKUP(FME_Ranking1[[#This Row],[FME ID]],FME_Input[FME_ID],FME_Input[FME_COST])</f>
        <v>320000</v>
      </c>
      <c r="F134" t="str">
        <f>_xlfn.XLOOKUP(FME_Ranking1[[#This Row],[FME ID]],FME_Input[FME_ID],FME_Input[EMER_NEED])</f>
        <v>Yes</v>
      </c>
      <c r="G134">
        <f>IF(FME_Ranking!F134="Yes",100,0)</f>
        <v>100</v>
      </c>
      <c r="H134">
        <f>FME_Ranking1[[#This Row],[Emergency Need Score (Normalized, Unweighted)]]*$F$3</f>
        <v>0</v>
      </c>
      <c r="I134" s="246">
        <f>_xlfn.XLOOKUP(FME_Ranking1[[#This Row],[FME ID]],FME_Input[FME_ID],FME_Input[STRUCT_100])</f>
        <v>5624</v>
      </c>
      <c r="J134" s="178">
        <f>(FME_Ranking1[[#This Row],[Structures 100 Raw]]/I$2)*100</f>
        <v>3.0116094760741978</v>
      </c>
      <c r="K134" s="178">
        <f>FME_Ranking1[[#This Row],[Structures 100  Score (Normalized, Unweighted)]]*$I$3</f>
        <v>0.45174142141112966</v>
      </c>
      <c r="L134" s="246">
        <f>_xlfn.XLOOKUP(FME_Ranking1[[#This Row],[FME ID]],FME_Input[FME_ID],FME_Input[RES_STRUCT100])</f>
        <v>4851</v>
      </c>
      <c r="M134" s="230">
        <f>(FME_Ranking1[[#This Row],[Res Structures Raw]]/L$2)*100</f>
        <v>3.4359904237084051</v>
      </c>
      <c r="N134" s="180">
        <f>FME_Ranking1[[#This Row],[Res Structures Score (Normalized, Unweighted)]]*$L$3</f>
        <v>0.34359904237084055</v>
      </c>
      <c r="O134" s="244">
        <f>_xlfn.XLOOKUP(FME_Ranking1[[#This Row],[FME ID]],FME_Input[FME_ID],FME_Input[POP100])</f>
        <v>22231</v>
      </c>
      <c r="P134" s="178">
        <f>(FME_Ranking1[[#This Row],[Pop Raw]]/$O$2)*100</f>
        <v>2.2759055608221965</v>
      </c>
      <c r="Q134" s="178">
        <f>FME_Ranking1[[#This Row],[Pop Score (Normalized, Unweighted)]]*$O$3</f>
        <v>0.34138583412332946</v>
      </c>
      <c r="R134" s="137">
        <f>_xlfn.XLOOKUP(FME_Ranking1[[#This Row],[FME ID]],FME_Input[FME_ID],FME_Input[CRITFAC100])</f>
        <v>78</v>
      </c>
      <c r="S134" s="230">
        <f>(FME_Ranking1[[#This Row],[Critical Facilities Raw]]/$R$2)*100</f>
        <v>3.3447684391080617</v>
      </c>
      <c r="T134" s="180">
        <f>FME_Ranking1[[#This Row],[Critical Facilities Score (Normalized, Unweighted)]]*$R$3</f>
        <v>0.66895368782161235</v>
      </c>
      <c r="U134">
        <f>_xlfn.XLOOKUP(FME_Ranking1[[#This Row],[FME ID]],FME_Input[FME_ID],FME_Input[LWC])</f>
        <v>10</v>
      </c>
      <c r="V134" s="178">
        <f>(FME_Ranking1[[#This Row],[LWC Raw]]/$U$2)*100</f>
        <v>0.57570523891767411</v>
      </c>
      <c r="W134" s="178">
        <f>FME_Ranking1[[#This Row],[LWC Score (Normalized, Unweighted)]]*$U$3</f>
        <v>0.11514104778353483</v>
      </c>
      <c r="X134" s="246">
        <f>_xlfn.XLOOKUP(FME_Ranking1[[#This Row],[FME ID]],FME_Input[FME_ID],FME_Input[ROADCLS])</f>
        <v>10</v>
      </c>
      <c r="Y134" s="230">
        <f>(FME_Ranking1[[#This Row],[Closures Raw]]/$X$2)*100</f>
        <v>0.10514141520344865</v>
      </c>
      <c r="Z134" s="180">
        <f>FME_Ranking1[[#This Row],[Closures Score (Normalized, Unweighted)]]*$X$3</f>
        <v>5.2570707601724328E-3</v>
      </c>
      <c r="AA134" s="253">
        <f>_xlfn.XLOOKUP(FME_Ranking1[[#This Row],[FME ID]],FME_Input[FME_ID],FME_Input[ROAD_MILES100])</f>
        <v>78.892745971679688</v>
      </c>
      <c r="AB134" s="178">
        <f>(FME_Ranking1[[#This Row],[Miles Raw]]/$AA$2)*100</f>
        <v>1.0372981087447835</v>
      </c>
      <c r="AC134" s="178">
        <f>FME_Ranking1[[#This Row],[Miles Score (Normalized, Unweighted)]]*$AA$3</f>
        <v>0.10372981087447836</v>
      </c>
      <c r="AD134" s="255">
        <f>_xlfn.XLOOKUP(FME_Ranking1[[#This Row],[FME ID]],FME_Input[FME_ID],FME_Input[FARMACRE100])</f>
        <v>37.734699249267578</v>
      </c>
      <c r="AE134" s="230">
        <f>(FME_Ranking1[[#This Row],[Ag Land Raw]]/$AD$2)*100</f>
        <v>1.5560100775193855E-3</v>
      </c>
      <c r="AF134" s="231">
        <f>FME_Ranking1[[#This Row],[Ag Land Score (Normalized, Unweighted)]]*$AD$3</f>
        <v>7.7800503875969276E-5</v>
      </c>
      <c r="AG13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2.029885715648974</v>
      </c>
      <c r="AH134" s="406">
        <f t="shared" ref="AH134:AH197" si="2">_xlfn.RANK.EQ(AG134,$AG$6:$AG$2341,0)</f>
        <v>139</v>
      </c>
      <c r="AI13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2.029885715648974</v>
      </c>
      <c r="AJ134" s="257">
        <f>FME_Ranking1[[#This Row],[Addition check]]-FME_Ranking1[[#This Row],[Weighted Score Based on Normalized Reported Factors]]</f>
        <v>0</v>
      </c>
      <c r="AK134" s="178">
        <f>_xlfn.RANK.EQ(AI134,$AI$6:$AI$2341,0)+COUNTIF($AI$6:AI134,AI134)-1</f>
        <v>139</v>
      </c>
    </row>
    <row r="135" spans="1:37" ht="12" customHeight="1" x14ac:dyDescent="0.25">
      <c r="A135" t="s">
        <v>1377</v>
      </c>
      <c r="B135">
        <f>_xlfn.XLOOKUP(FME_Ranking1[[#This Row],[FME ID]],FME_Input[FME_ID],FME_Input[RFPG_NUM])</f>
        <v>6</v>
      </c>
      <c r="C135" t="str">
        <f>_xlfn.XLOOKUP(FME_Ranking1[[#This Row],[FME ID]],FME_Input[FME_ID],FME_Input[FME_NAME])</f>
        <v>Cypress Creek Watershed Study</v>
      </c>
      <c r="D135" t="str">
        <f>_xlfn.XLOOKUP(FME_Ranking1[[#This Row],[FME ID]],FME_Input[FME_ID],FME_Input[DESCR])</f>
        <v>Watershed wide study using latest data, including MAAPnext models and Atlas 14 rainfall. Study to identify flooding issues within watershed, identify projects to reduce flooding, and provide cost estimates and benefit and cost metrics for each project.</v>
      </c>
      <c r="E135" s="256">
        <f>_xlfn.XLOOKUP(FME_Ranking1[[#This Row],[FME ID]],FME_Input[FME_ID],FME_Input[FME_COST])</f>
        <v>1230000</v>
      </c>
      <c r="F135" t="str">
        <f>_xlfn.XLOOKUP(FME_Ranking1[[#This Row],[FME ID]],FME_Input[FME_ID],FME_Input[EMER_NEED])</f>
        <v>Yes</v>
      </c>
      <c r="G135">
        <f>IF(FME_Ranking!F135="Yes",100,0)</f>
        <v>100</v>
      </c>
      <c r="H135">
        <f>FME_Ranking1[[#This Row],[Emergency Need Score (Normalized, Unweighted)]]*$F$3</f>
        <v>0</v>
      </c>
      <c r="I135" s="246">
        <f>_xlfn.XLOOKUP(FME_Ranking1[[#This Row],[FME ID]],FME_Input[FME_ID],FME_Input[STRUCT_100])</f>
        <v>4162</v>
      </c>
      <c r="J135" s="178">
        <f>(FME_Ranking1[[#This Row],[Structures 100 Raw]]/I$2)*100</f>
        <v>2.2287195304802299</v>
      </c>
      <c r="K135" s="178">
        <f>FME_Ranking1[[#This Row],[Structures 100  Score (Normalized, Unweighted)]]*$I$3</f>
        <v>0.33430792957203448</v>
      </c>
      <c r="L135" s="246">
        <f>_xlfn.XLOOKUP(FME_Ranking1[[#This Row],[FME ID]],FME_Input[FME_ID],FME_Input[RES_STRUCT100])</f>
        <v>3210</v>
      </c>
      <c r="M135" s="230">
        <f>(FME_Ranking1[[#This Row],[Res Structures Raw]]/L$2)*100</f>
        <v>2.2736609482795256</v>
      </c>
      <c r="N135" s="180">
        <f>FME_Ranking1[[#This Row],[Res Structures Score (Normalized, Unweighted)]]*$L$3</f>
        <v>0.22736609482795256</v>
      </c>
      <c r="O135" s="244">
        <f>_xlfn.XLOOKUP(FME_Ranking1[[#This Row],[FME ID]],FME_Input[FME_ID],FME_Input[POP100])</f>
        <v>22497</v>
      </c>
      <c r="P135" s="178">
        <f>(FME_Ranking1[[#This Row],[Pop Raw]]/$O$2)*100</f>
        <v>2.3031373938112076</v>
      </c>
      <c r="Q135" s="178">
        <f>FME_Ranking1[[#This Row],[Pop Score (Normalized, Unweighted)]]*$O$3</f>
        <v>0.34547060907168115</v>
      </c>
      <c r="R135" s="137">
        <f>_xlfn.XLOOKUP(FME_Ranking1[[#This Row],[FME ID]],FME_Input[FME_ID],FME_Input[CRITFAC100])</f>
        <v>89</v>
      </c>
      <c r="S135" s="230">
        <f>(FME_Ranking1[[#This Row],[Critical Facilities Raw]]/$R$2)*100</f>
        <v>3.8164665523156089</v>
      </c>
      <c r="T135" s="180">
        <f>FME_Ranking1[[#This Row],[Critical Facilities Score (Normalized, Unweighted)]]*$R$3</f>
        <v>0.76329331046312188</v>
      </c>
      <c r="U135">
        <f>_xlfn.XLOOKUP(FME_Ranking1[[#This Row],[FME ID]],FME_Input[FME_ID],FME_Input[LWC])</f>
        <v>18</v>
      </c>
      <c r="V135" s="178">
        <f>(FME_Ranking1[[#This Row],[LWC Raw]]/$U$2)*100</f>
        <v>1.0362694300518136</v>
      </c>
      <c r="W135" s="178">
        <f>FME_Ranking1[[#This Row],[LWC Score (Normalized, Unweighted)]]*$U$3</f>
        <v>0.20725388601036274</v>
      </c>
      <c r="X135" s="246">
        <f>_xlfn.XLOOKUP(FME_Ranking1[[#This Row],[FME ID]],FME_Input[FME_ID],FME_Input[ROADCLS])</f>
        <v>18</v>
      </c>
      <c r="Y135" s="230">
        <f>(FME_Ranking1[[#This Row],[Closures Raw]]/$X$2)*100</f>
        <v>0.18925454736620756</v>
      </c>
      <c r="Z135" s="180">
        <f>FME_Ranking1[[#This Row],[Closures Score (Normalized, Unweighted)]]*$X$3</f>
        <v>9.4627273683103794E-3</v>
      </c>
      <c r="AA135" s="253">
        <f>_xlfn.XLOOKUP(FME_Ranking1[[#This Row],[FME ID]],FME_Input[FME_ID],FME_Input[ROAD_MILES100])</f>
        <v>109.47789001464839</v>
      </c>
      <c r="AB135" s="178">
        <f>(FME_Ranking1[[#This Row],[Miles Raw]]/$AA$2)*100</f>
        <v>1.4394378958786596</v>
      </c>
      <c r="AC135" s="178">
        <f>FME_Ranking1[[#This Row],[Miles Score (Normalized, Unweighted)]]*$AA$3</f>
        <v>0.14394378958786597</v>
      </c>
      <c r="AD135" s="255">
        <f>_xlfn.XLOOKUP(FME_Ranking1[[#This Row],[FME ID]],FME_Input[FME_ID],FME_Input[FARMACRE100])</f>
        <v>1659.59765625</v>
      </c>
      <c r="AE135" s="230">
        <f>(FME_Ranking1[[#This Row],[Ag Land Raw]]/$AD$2)*100</f>
        <v>6.8434378148718805E-2</v>
      </c>
      <c r="AF135" s="231">
        <f>FME_Ranking1[[#This Row],[Ag Land Score (Normalized, Unweighted)]]*$AD$3</f>
        <v>3.4217189074359404E-3</v>
      </c>
      <c r="AG13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2.0345200658087652</v>
      </c>
      <c r="AH135" s="406">
        <f t="shared" si="2"/>
        <v>138</v>
      </c>
      <c r="AI13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2.0345200658087652</v>
      </c>
      <c r="AJ135" s="257">
        <f>FME_Ranking1[[#This Row],[Addition check]]-FME_Ranking1[[#This Row],[Weighted Score Based on Normalized Reported Factors]]</f>
        <v>0</v>
      </c>
      <c r="AK135" s="178">
        <f>_xlfn.RANK.EQ(AI135,$AI$6:$AI$2341,0)+COUNTIF($AI$6:AI135,AI135)-1</f>
        <v>138</v>
      </c>
    </row>
    <row r="136" spans="1:37" ht="12" customHeight="1" x14ac:dyDescent="0.25">
      <c r="A136" t="s">
        <v>2176</v>
      </c>
      <c r="B136">
        <f>_xlfn.XLOOKUP(FME_Ranking1[[#This Row],[FME ID]],FME_Input[FME_ID],FME_Input[RFPG_NUM])</f>
        <v>6</v>
      </c>
      <c r="C136" t="str">
        <f>_xlfn.XLOOKUP(FME_Ranking1[[#This Row],[FME ID]],FME_Input[FME_ID],FME_Input[FME_NAME])</f>
        <v>Evaluation of Dredging of Channels that Exit Into Lake Houston</v>
      </c>
      <c r="D136" t="str">
        <f>_xlfn.XLOOKUP(FME_Ranking1[[#This Row],[FME ID]],FME_Input[FME_ID],FME_Input[DESCR])</f>
        <v>Study to develop a Benefit Cost Analysis needed for this project to become a FMP. FIF application information unavailable.</v>
      </c>
      <c r="E136" s="256">
        <f>_xlfn.XLOOKUP(FME_Ranking1[[#This Row],[FME ID]],FME_Input[FME_ID],FME_Input[FME_COST])</f>
        <v>30000</v>
      </c>
      <c r="F136" t="str">
        <f>_xlfn.XLOOKUP(FME_Ranking1[[#This Row],[FME ID]],FME_Input[FME_ID],FME_Input[EMER_NEED])</f>
        <v>No</v>
      </c>
      <c r="G136">
        <f>IF(FME_Ranking!F136="Yes",100,0)</f>
        <v>0</v>
      </c>
      <c r="H136">
        <f>FME_Ranking1[[#This Row],[Emergency Need Score (Normalized, Unweighted)]]*$F$3</f>
        <v>0</v>
      </c>
      <c r="I136" s="246">
        <f>_xlfn.XLOOKUP(FME_Ranking1[[#This Row],[FME ID]],FME_Input[FME_ID],FME_Input[STRUCT_100])</f>
        <v>6662</v>
      </c>
      <c r="J136" s="178">
        <f>(FME_Ranking1[[#This Row],[Structures 100 Raw]]/I$2)*100</f>
        <v>3.5674506275971387</v>
      </c>
      <c r="K136" s="178">
        <f>FME_Ranking1[[#This Row],[Structures 100  Score (Normalized, Unweighted)]]*$I$3</f>
        <v>0.53511759413957083</v>
      </c>
      <c r="L136" s="246">
        <f>_xlfn.XLOOKUP(FME_Ranking1[[#This Row],[FME ID]],FME_Input[FME_ID],FME_Input[RES_STRUCT100])</f>
        <v>5121</v>
      </c>
      <c r="M136" s="230">
        <f>(FME_Ranking1[[#This Row],[Res Structures Raw]]/L$2)*100</f>
        <v>3.6272329333767761</v>
      </c>
      <c r="N136" s="180">
        <f>FME_Ranking1[[#This Row],[Res Structures Score (Normalized, Unweighted)]]*$L$3</f>
        <v>0.36272329333767761</v>
      </c>
      <c r="O136" s="244">
        <f>_xlfn.XLOOKUP(FME_Ranking1[[#This Row],[FME ID]],FME_Input[FME_ID],FME_Input[POP100])</f>
        <v>25574</v>
      </c>
      <c r="P136" s="178">
        <f>(FME_Ranking1[[#This Row],[Pop Raw]]/$O$2)*100</f>
        <v>2.6181462288006321</v>
      </c>
      <c r="Q136" s="178">
        <f>FME_Ranking1[[#This Row],[Pop Score (Normalized, Unweighted)]]*$O$3</f>
        <v>0.39272193432009478</v>
      </c>
      <c r="R136" s="137">
        <f>_xlfn.XLOOKUP(FME_Ranking1[[#This Row],[FME ID]],FME_Input[FME_ID],FME_Input[CRITFAC100])</f>
        <v>64</v>
      </c>
      <c r="S136" s="230">
        <f>(FME_Ranking1[[#This Row],[Critical Facilities Raw]]/$R$2)*100</f>
        <v>2.7444253859348198</v>
      </c>
      <c r="T136" s="180">
        <f>FME_Ranking1[[#This Row],[Critical Facilities Score (Normalized, Unweighted)]]*$R$3</f>
        <v>0.548885077186964</v>
      </c>
      <c r="U136">
        <f>_xlfn.XLOOKUP(FME_Ranking1[[#This Row],[FME ID]],FME_Input[FME_ID],FME_Input[LWC])</f>
        <v>1</v>
      </c>
      <c r="V136" s="178">
        <f>(FME_Ranking1[[#This Row],[LWC Raw]]/$U$2)*100</f>
        <v>5.7570523891767422E-2</v>
      </c>
      <c r="W136" s="178">
        <f>FME_Ranking1[[#This Row],[LWC Score (Normalized, Unweighted)]]*$U$3</f>
        <v>1.1514104778353485E-2</v>
      </c>
      <c r="X136" s="246">
        <f>_xlfn.XLOOKUP(FME_Ranking1[[#This Row],[FME ID]],FME_Input[FME_ID],FME_Input[ROADCLS])</f>
        <v>1</v>
      </c>
      <c r="Y136" s="230">
        <f>(FME_Ranking1[[#This Row],[Closures Raw]]/$X$2)*100</f>
        <v>1.0514141520344864E-2</v>
      </c>
      <c r="Z136" s="180">
        <f>FME_Ranking1[[#This Row],[Closures Score (Normalized, Unweighted)]]*$X$3</f>
        <v>5.2570707601724321E-4</v>
      </c>
      <c r="AA136" s="253">
        <f>_xlfn.XLOOKUP(FME_Ranking1[[#This Row],[FME ID]],FME_Input[FME_ID],FME_Input[ROAD_MILES100])</f>
        <v>169.08082580566409</v>
      </c>
      <c r="AB136" s="178">
        <f>(FME_Ranking1[[#This Row],[Miles Raw]]/$AA$2)*100</f>
        <v>2.2231095986465057</v>
      </c>
      <c r="AC136" s="178">
        <f>FME_Ranking1[[#This Row],[Miles Score (Normalized, Unweighted)]]*$AA$3</f>
        <v>0.22231095986465058</v>
      </c>
      <c r="AD136" s="255">
        <f>_xlfn.XLOOKUP(FME_Ranking1[[#This Row],[FME ID]],FME_Input[FME_ID],FME_Input[FARMACRE100])</f>
        <v>326.65151977539063</v>
      </c>
      <c r="AE136" s="230">
        <f>(FME_Ranking1[[#This Row],[Ag Land Raw]]/$AD$2)*100</f>
        <v>1.3469646418803671E-2</v>
      </c>
      <c r="AF136" s="231">
        <f>FME_Ranking1[[#This Row],[Ag Land Score (Normalized, Unweighted)]]*$AD$3</f>
        <v>6.734823209401836E-4</v>
      </c>
      <c r="AG13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2.0744721530242685</v>
      </c>
      <c r="AH136" s="406">
        <f t="shared" si="2"/>
        <v>133</v>
      </c>
      <c r="AI13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2.0744721530242685</v>
      </c>
      <c r="AJ136" s="257">
        <f>FME_Ranking1[[#This Row],[Addition check]]-FME_Ranking1[[#This Row],[Weighted Score Based on Normalized Reported Factors]]</f>
        <v>0</v>
      </c>
      <c r="AK136" s="178">
        <f>_xlfn.RANK.EQ(AI136,$AI$6:$AI$2341,0)+COUNTIF($AI$6:AI136,AI136)-1</f>
        <v>133</v>
      </c>
    </row>
    <row r="137" spans="1:37" ht="12" customHeight="1" x14ac:dyDescent="0.25">
      <c r="A137" t="s">
        <v>8516</v>
      </c>
      <c r="B137">
        <f>_xlfn.XLOOKUP(FME_Ranking1[[#This Row],[FME ID]],FME_Input[FME_ID],FME_Input[RFPG_NUM])</f>
        <v>10</v>
      </c>
      <c r="C137" t="str">
        <f>_xlfn.XLOOKUP(FME_Ranking1[[#This Row],[FME ID]],FME_Input[FME_ID],FME_Input[FME_NAME])</f>
        <v>Wharton County Drainage Master Plan Update</v>
      </c>
      <c r="D137" t="str">
        <f>_xlfn.XLOOKUP(FME_Ranking1[[#This Row],[FME ID]],FME_Input[FME_ID],FME_Input[DESCR])</f>
        <v>Watershed Study</v>
      </c>
      <c r="E137" s="256">
        <f>_xlfn.XLOOKUP(FME_Ranking1[[#This Row],[FME ID]],FME_Input[FME_ID],FME_Input[FME_COST])</f>
        <v>4000000</v>
      </c>
      <c r="F137" t="str">
        <f>_xlfn.XLOOKUP(FME_Ranking1[[#This Row],[FME ID]],FME_Input[FME_ID],FME_Input[EMER_NEED])</f>
        <v>No</v>
      </c>
      <c r="G137">
        <f>IF(FME_Ranking!F137="Yes",100,0)</f>
        <v>0</v>
      </c>
      <c r="H137">
        <f>FME_Ranking1[[#This Row],[Emergency Need Score (Normalized, Unweighted)]]*$F$3</f>
        <v>0</v>
      </c>
      <c r="I137" s="246">
        <f>_xlfn.XLOOKUP(FME_Ranking1[[#This Row],[FME ID]],FME_Input[FME_ID],FME_Input[STRUCT_100])</f>
        <v>7119</v>
      </c>
      <c r="J137" s="178">
        <f>(FME_Ranking1[[#This Row],[Structures 100 Raw]]/I$2)*100</f>
        <v>3.8121706721501094</v>
      </c>
      <c r="K137" s="178">
        <f>FME_Ranking1[[#This Row],[Structures 100  Score (Normalized, Unweighted)]]*$I$3</f>
        <v>0.57182560082251643</v>
      </c>
      <c r="L137" s="246">
        <f>_xlfn.XLOOKUP(FME_Ranking1[[#This Row],[FME ID]],FME_Input[FME_ID],FME_Input[RES_STRUCT100])</f>
        <v>5091</v>
      </c>
      <c r="M137" s="230">
        <f>(FME_Ranking1[[#This Row],[Res Structures Raw]]/L$2)*100</f>
        <v>3.605983765635846</v>
      </c>
      <c r="N137" s="180">
        <f>FME_Ranking1[[#This Row],[Res Structures Score (Normalized, Unweighted)]]*$L$3</f>
        <v>0.36059837656358462</v>
      </c>
      <c r="O137" s="244">
        <f>_xlfn.XLOOKUP(FME_Ranking1[[#This Row],[FME ID]],FME_Input[FME_ID],FME_Input[POP100])</f>
        <v>15780</v>
      </c>
      <c r="P137" s="178">
        <f>(FME_Ranking1[[#This Row],[Pop Raw]]/$O$2)*100</f>
        <v>1.6154824231826848</v>
      </c>
      <c r="Q137" s="178">
        <f>FME_Ranking1[[#This Row],[Pop Score (Normalized, Unweighted)]]*$O$3</f>
        <v>0.24232236347740271</v>
      </c>
      <c r="R137" s="137">
        <f>_xlfn.XLOOKUP(FME_Ranking1[[#This Row],[FME ID]],FME_Input[FME_ID],FME_Input[CRITFAC100])</f>
        <v>8</v>
      </c>
      <c r="S137" s="230">
        <f>(FME_Ranking1[[#This Row],[Critical Facilities Raw]]/$R$2)*100</f>
        <v>0.34305317324185247</v>
      </c>
      <c r="T137" s="180">
        <f>FME_Ranking1[[#This Row],[Critical Facilities Score (Normalized, Unweighted)]]*$R$3</f>
        <v>6.86106346483705E-2</v>
      </c>
      <c r="U137">
        <f>_xlfn.XLOOKUP(FME_Ranking1[[#This Row],[FME ID]],FME_Input[FME_ID],FME_Input[LWC])</f>
        <v>18</v>
      </c>
      <c r="V137" s="178">
        <f>(FME_Ranking1[[#This Row],[LWC Raw]]/$U$2)*100</f>
        <v>1.0362694300518136</v>
      </c>
      <c r="W137" s="178">
        <f>FME_Ranking1[[#This Row],[LWC Score (Normalized, Unweighted)]]*$U$3</f>
        <v>0.20725388601036274</v>
      </c>
      <c r="X137" s="246">
        <f>_xlfn.XLOOKUP(FME_Ranking1[[#This Row],[FME ID]],FME_Input[FME_ID],FME_Input[ROADCLS])</f>
        <v>0</v>
      </c>
      <c r="Y137" s="230">
        <f>(FME_Ranking1[[#This Row],[Closures Raw]]/$X$2)*100</f>
        <v>0</v>
      </c>
      <c r="Z137" s="180">
        <f>FME_Ranking1[[#This Row],[Closures Score (Normalized, Unweighted)]]*$X$3</f>
        <v>0</v>
      </c>
      <c r="AA137" s="253">
        <f>_xlfn.XLOOKUP(FME_Ranking1[[#This Row],[FME ID]],FME_Input[FME_ID],FME_Input[ROAD_MILES100])</f>
        <v>367.95217895507813</v>
      </c>
      <c r="AB137" s="178">
        <f>(FME_Ranking1[[#This Row],[Miles Raw]]/$AA$2)*100</f>
        <v>4.8379112000441182</v>
      </c>
      <c r="AC137" s="178">
        <f>FME_Ranking1[[#This Row],[Miles Score (Normalized, Unweighted)]]*$AA$3</f>
        <v>0.48379112000441182</v>
      </c>
      <c r="AD137" s="255">
        <f>_xlfn.XLOOKUP(FME_Ranking1[[#This Row],[FME ID]],FME_Input[FME_ID],FME_Input[FARMACRE100])</f>
        <v>177474.015625</v>
      </c>
      <c r="AE137" s="230">
        <f>(FME_Ranking1[[#This Row],[Ag Land Raw]]/$AD$2)*100</f>
        <v>7.3182339412892743</v>
      </c>
      <c r="AF137" s="231">
        <f>FME_Ranking1[[#This Row],[Ag Land Score (Normalized, Unweighted)]]*$AD$3</f>
        <v>0.36591169706446375</v>
      </c>
      <c r="AG13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2.3003136785911127</v>
      </c>
      <c r="AH137" s="406">
        <f t="shared" si="2"/>
        <v>120</v>
      </c>
      <c r="AI13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2.3003136785911127</v>
      </c>
      <c r="AJ137" s="257">
        <f>FME_Ranking1[[#This Row],[Addition check]]-FME_Ranking1[[#This Row],[Weighted Score Based on Normalized Reported Factors]]</f>
        <v>0</v>
      </c>
      <c r="AK137" s="178">
        <f>_xlfn.RANK.EQ(AI137,$AI$6:$AI$2341,0)+COUNTIF($AI$6:AI137,AI137)-1</f>
        <v>120</v>
      </c>
    </row>
    <row r="138" spans="1:37" ht="12" customHeight="1" x14ac:dyDescent="0.25">
      <c r="A138" t="s">
        <v>10594</v>
      </c>
      <c r="B138">
        <f>_xlfn.XLOOKUP(FME_Ranking1[[#This Row],[FME ID]],FME_Input[FME_ID],FME_Input[RFPG_NUM])</f>
        <v>13</v>
      </c>
      <c r="C138" t="str">
        <f>_xlfn.XLOOKUP(FME_Ranking1[[#This Row],[FME ID]],FME_Input[FME_ID],FME_Input[FME_NAME])</f>
        <v>Citywide Stormwater Drainage Improvements - Gregory</v>
      </c>
      <c r="D138" t="str">
        <f>_xlfn.XLOOKUP(FME_Ranking1[[#This Row],[FME ID]],FME_Input[FME_ID],FME_Input[DESCR])</f>
        <v xml:space="preserve">Improving TXDOT road drainage ditches &amp; railroad undercrossings conveyance; armor ditch crossing US-181 and I-35 (South of city); city ditch restoration; expand stormwater network to unserved residential areas; maintenance of curbs, gutters, and inlets  </v>
      </c>
      <c r="E138" s="256">
        <f>_xlfn.XLOOKUP(FME_Ranking1[[#This Row],[FME ID]],FME_Input[FME_ID],FME_Input[FME_COST])</f>
        <v>250000</v>
      </c>
      <c r="F138" t="str">
        <f>_xlfn.XLOOKUP(FME_Ranking1[[#This Row],[FME ID]],FME_Input[FME_ID],FME_Input[EMER_NEED])</f>
        <v>Yes</v>
      </c>
      <c r="G138">
        <f>IF(FME_Ranking!F138="Yes",100,0)</f>
        <v>100</v>
      </c>
      <c r="H138">
        <f>FME_Ranking1[[#This Row],[Emergency Need Score (Normalized, Unweighted)]]*$F$3</f>
        <v>0</v>
      </c>
      <c r="I138" s="246">
        <f>_xlfn.XLOOKUP(FME_Ranking1[[#This Row],[FME ID]],FME_Input[FME_ID],FME_Input[STRUCT_100])</f>
        <v>5577</v>
      </c>
      <c r="J138" s="178">
        <f>(FME_Ranking1[[#This Row],[Structures 100 Raw]]/I$2)*100</f>
        <v>2.9864413314484</v>
      </c>
      <c r="K138" s="178">
        <f>FME_Ranking1[[#This Row],[Structures 100  Score (Normalized, Unweighted)]]*$I$3</f>
        <v>0.44796619971725998</v>
      </c>
      <c r="L138" s="246">
        <f>_xlfn.XLOOKUP(FME_Ranking1[[#This Row],[FME ID]],FME_Input[FME_ID],FME_Input[RES_STRUCT100])</f>
        <v>4182</v>
      </c>
      <c r="M138" s="230">
        <f>(FME_Ranking1[[#This Row],[Res Structures Raw]]/L$2)*100</f>
        <v>2.9621339830856623</v>
      </c>
      <c r="N138" s="180">
        <f>FME_Ranking1[[#This Row],[Res Structures Score (Normalized, Unweighted)]]*$L$3</f>
        <v>0.29621339830856624</v>
      </c>
      <c r="O138" s="244">
        <f>_xlfn.XLOOKUP(FME_Ranking1[[#This Row],[FME ID]],FME_Input[FME_ID],FME_Input[POP100])</f>
        <v>10683</v>
      </c>
      <c r="P138" s="178">
        <f>(FME_Ranking1[[#This Row],[Pop Raw]]/$O$2)*100</f>
        <v>1.0936754579759582</v>
      </c>
      <c r="Q138" s="178">
        <f>FME_Ranking1[[#This Row],[Pop Score (Normalized, Unweighted)]]*$O$3</f>
        <v>0.16405131869639372</v>
      </c>
      <c r="R138" s="137">
        <f>_xlfn.XLOOKUP(FME_Ranking1[[#This Row],[FME ID]],FME_Input[FME_ID],FME_Input[CRITFAC100])</f>
        <v>23</v>
      </c>
      <c r="S138" s="230">
        <f>(FME_Ranking1[[#This Row],[Critical Facilities Raw]]/$R$2)*100</f>
        <v>0.98627787307032588</v>
      </c>
      <c r="T138" s="180">
        <f>FME_Ranking1[[#This Row],[Critical Facilities Score (Normalized, Unweighted)]]*$R$3</f>
        <v>0.19725557461406518</v>
      </c>
      <c r="U138">
        <f>_xlfn.XLOOKUP(FME_Ranking1[[#This Row],[FME ID]],FME_Input[FME_ID],FME_Input[LWC])</f>
        <v>13</v>
      </c>
      <c r="V138" s="178">
        <f>(FME_Ranking1[[#This Row],[LWC Raw]]/$U$2)*100</f>
        <v>0.74841681059297649</v>
      </c>
      <c r="W138" s="178">
        <f>FME_Ranking1[[#This Row],[LWC Score (Normalized, Unweighted)]]*$U$3</f>
        <v>0.14968336211859531</v>
      </c>
      <c r="X138" s="246">
        <f>_xlfn.XLOOKUP(FME_Ranking1[[#This Row],[FME ID]],FME_Input[FME_ID],FME_Input[ROADCLS])</f>
        <v>914</v>
      </c>
      <c r="Y138" s="230">
        <f>(FME_Ranking1[[#This Row],[Closures Raw]]/$X$2)*100</f>
        <v>9.6099253495952048</v>
      </c>
      <c r="Z138" s="180">
        <f>FME_Ranking1[[#This Row],[Closures Score (Normalized, Unweighted)]]*$X$3</f>
        <v>0.48049626747976026</v>
      </c>
      <c r="AA138" s="253">
        <f>_xlfn.XLOOKUP(FME_Ranking1[[#This Row],[FME ID]],FME_Input[FME_ID],FME_Input[ROAD_MILES100])</f>
        <v>287.6025390625</v>
      </c>
      <c r="AB138" s="178">
        <f>(FME_Ranking1[[#This Row],[Miles Raw]]/$AA$2)*100</f>
        <v>3.7814575493014404</v>
      </c>
      <c r="AC138" s="178">
        <f>FME_Ranking1[[#This Row],[Miles Score (Normalized, Unweighted)]]*$AA$3</f>
        <v>0.37814575493014407</v>
      </c>
      <c r="AD138" s="255">
        <f>_xlfn.XLOOKUP(FME_Ranking1[[#This Row],[FME ID]],FME_Input[FME_ID],FME_Input[FARMACRE100])</f>
        <v>30916.986328125</v>
      </c>
      <c r="AE138" s="230">
        <f>(FME_Ranking1[[#This Row],[Ag Land Raw]]/$AD$2)*100</f>
        <v>1.2748781161685108</v>
      </c>
      <c r="AF138" s="231">
        <f>FME_Ranking1[[#This Row],[Ag Land Score (Normalized, Unweighted)]]*$AD$3</f>
        <v>6.3743905808425538E-2</v>
      </c>
      <c r="AG13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2.1775557816732105</v>
      </c>
      <c r="AH138" s="406">
        <f t="shared" si="2"/>
        <v>127</v>
      </c>
      <c r="AI13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2.1775557816732105</v>
      </c>
      <c r="AJ138" s="257">
        <f>FME_Ranking1[[#This Row],[Addition check]]-FME_Ranking1[[#This Row],[Weighted Score Based on Normalized Reported Factors]]</f>
        <v>0</v>
      </c>
      <c r="AK138" s="178">
        <f>_xlfn.RANK.EQ(AI138,$AI$6:$AI$2341,0)+COUNTIF($AI$6:AI138,AI138)-1</f>
        <v>127</v>
      </c>
    </row>
    <row r="139" spans="1:37" ht="12" customHeight="1" x14ac:dyDescent="0.25">
      <c r="A139" t="s">
        <v>10651</v>
      </c>
      <c r="B139">
        <f>_xlfn.XLOOKUP(FME_Ranking1[[#This Row],[FME ID]],FME_Input[FME_ID],FME_Input[RFPG_NUM])</f>
        <v>13</v>
      </c>
      <c r="C139" t="str">
        <f>_xlfn.XLOOKUP(FME_Ranking1[[#This Row],[FME ID]],FME_Input[FME_ID],FME_Input[FME_NAME])</f>
        <v>San Patricio County Repetitive Loss Property Reduction</v>
      </c>
      <c r="D139" t="str">
        <f>_xlfn.XLOOKUP(FME_Ranking1[[#This Row],[FME ID]],FME_Input[FME_ID],FME_Input[DESCR])</f>
        <v>San Patricio County Hazard Mitigation Action Plan - San Patricio County, County Wide, Action #1: Identify and implement actions such as flood proofing, elevation, acquisition, relocation, and retrofitting to reduce risk for repetitive loss properties.</v>
      </c>
      <c r="E139" s="256">
        <f>_xlfn.XLOOKUP(FME_Ranking1[[#This Row],[FME ID]],FME_Input[FME_ID],FME_Input[FME_COST])</f>
        <v>795000</v>
      </c>
      <c r="F139" t="str">
        <f>_xlfn.XLOOKUP(FME_Ranking1[[#This Row],[FME ID]],FME_Input[FME_ID],FME_Input[EMER_NEED])</f>
        <v>Yes</v>
      </c>
      <c r="G139">
        <f>IF(FME_Ranking!F139="Yes",100,0)</f>
        <v>100</v>
      </c>
      <c r="H139">
        <f>FME_Ranking1[[#This Row],[Emergency Need Score (Normalized, Unweighted)]]*$F$3</f>
        <v>0</v>
      </c>
      <c r="I139" s="246">
        <f>_xlfn.XLOOKUP(FME_Ranking1[[#This Row],[FME ID]],FME_Input[FME_ID],FME_Input[STRUCT_100])</f>
        <v>5577</v>
      </c>
      <c r="J139" s="178">
        <f>(FME_Ranking1[[#This Row],[Structures 100 Raw]]/I$2)*100</f>
        <v>2.9864413314484</v>
      </c>
      <c r="K139" s="178">
        <f>FME_Ranking1[[#This Row],[Structures 100  Score (Normalized, Unweighted)]]*$I$3</f>
        <v>0.44796619971725998</v>
      </c>
      <c r="L139" s="246">
        <f>_xlfn.XLOOKUP(FME_Ranking1[[#This Row],[FME ID]],FME_Input[FME_ID],FME_Input[RES_STRUCT100])</f>
        <v>4182</v>
      </c>
      <c r="M139" s="230">
        <f>(FME_Ranking1[[#This Row],[Res Structures Raw]]/L$2)*100</f>
        <v>2.9621339830856623</v>
      </c>
      <c r="N139" s="180">
        <f>FME_Ranking1[[#This Row],[Res Structures Score (Normalized, Unweighted)]]*$L$3</f>
        <v>0.29621339830856624</v>
      </c>
      <c r="O139" s="244">
        <f>_xlfn.XLOOKUP(FME_Ranking1[[#This Row],[FME ID]],FME_Input[FME_ID],FME_Input[POP100])</f>
        <v>10683</v>
      </c>
      <c r="P139" s="178">
        <f>(FME_Ranking1[[#This Row],[Pop Raw]]/$O$2)*100</f>
        <v>1.0936754579759582</v>
      </c>
      <c r="Q139" s="178">
        <f>FME_Ranking1[[#This Row],[Pop Score (Normalized, Unweighted)]]*$O$3</f>
        <v>0.16405131869639372</v>
      </c>
      <c r="R139" s="137">
        <f>_xlfn.XLOOKUP(FME_Ranking1[[#This Row],[FME ID]],FME_Input[FME_ID],FME_Input[CRITFAC100])</f>
        <v>23</v>
      </c>
      <c r="S139" s="230">
        <f>(FME_Ranking1[[#This Row],[Critical Facilities Raw]]/$R$2)*100</f>
        <v>0.98627787307032588</v>
      </c>
      <c r="T139" s="180">
        <f>FME_Ranking1[[#This Row],[Critical Facilities Score (Normalized, Unweighted)]]*$R$3</f>
        <v>0.19725557461406518</v>
      </c>
      <c r="U139">
        <f>_xlfn.XLOOKUP(FME_Ranking1[[#This Row],[FME ID]],FME_Input[FME_ID],FME_Input[LWC])</f>
        <v>13</v>
      </c>
      <c r="V139" s="178">
        <f>(FME_Ranking1[[#This Row],[LWC Raw]]/$U$2)*100</f>
        <v>0.74841681059297649</v>
      </c>
      <c r="W139" s="178">
        <f>FME_Ranking1[[#This Row],[LWC Score (Normalized, Unweighted)]]*$U$3</f>
        <v>0.14968336211859531</v>
      </c>
      <c r="X139" s="246">
        <f>_xlfn.XLOOKUP(FME_Ranking1[[#This Row],[FME ID]],FME_Input[FME_ID],FME_Input[ROADCLS])</f>
        <v>914</v>
      </c>
      <c r="Y139" s="230">
        <f>(FME_Ranking1[[#This Row],[Closures Raw]]/$X$2)*100</f>
        <v>9.6099253495952048</v>
      </c>
      <c r="Z139" s="180">
        <f>FME_Ranking1[[#This Row],[Closures Score (Normalized, Unweighted)]]*$X$3</f>
        <v>0.48049626747976026</v>
      </c>
      <c r="AA139" s="253">
        <f>_xlfn.XLOOKUP(FME_Ranking1[[#This Row],[FME ID]],FME_Input[FME_ID],FME_Input[ROAD_MILES100])</f>
        <v>287.6025390625</v>
      </c>
      <c r="AB139" s="178">
        <f>(FME_Ranking1[[#This Row],[Miles Raw]]/$AA$2)*100</f>
        <v>3.7814575493014404</v>
      </c>
      <c r="AC139" s="178">
        <f>FME_Ranking1[[#This Row],[Miles Score (Normalized, Unweighted)]]*$AA$3</f>
        <v>0.37814575493014407</v>
      </c>
      <c r="AD139" s="255">
        <f>_xlfn.XLOOKUP(FME_Ranking1[[#This Row],[FME ID]],FME_Input[FME_ID],FME_Input[FARMACRE100])</f>
        <v>30916.986328125</v>
      </c>
      <c r="AE139" s="230">
        <f>(FME_Ranking1[[#This Row],[Ag Land Raw]]/$AD$2)*100</f>
        <v>1.2748781161685108</v>
      </c>
      <c r="AF139" s="231">
        <f>FME_Ranking1[[#This Row],[Ag Land Score (Normalized, Unweighted)]]*$AD$3</f>
        <v>6.3743905808425538E-2</v>
      </c>
      <c r="AG13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2.1775557816732105</v>
      </c>
      <c r="AH139" s="406">
        <f t="shared" si="2"/>
        <v>127</v>
      </c>
      <c r="AI13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2.1775557816732105</v>
      </c>
      <c r="AJ139" s="257">
        <f>FME_Ranking1[[#This Row],[Addition check]]-FME_Ranking1[[#This Row],[Weighted Score Based on Normalized Reported Factors]]</f>
        <v>0</v>
      </c>
      <c r="AK139" s="178">
        <f>_xlfn.RANK.EQ(AI139,$AI$6:$AI$2341,0)+COUNTIF($AI$6:AI139,AI139)-1</f>
        <v>128</v>
      </c>
    </row>
    <row r="140" spans="1:37" ht="12" customHeight="1" x14ac:dyDescent="0.25">
      <c r="A140" t="s">
        <v>6834</v>
      </c>
      <c r="B140">
        <f>_xlfn.XLOOKUP(FME_Ranking1[[#This Row],[FME ID]],FME_Input[FME_ID],FME_Input[RFPG_NUM])</f>
        <v>7</v>
      </c>
      <c r="C140" t="str">
        <f>_xlfn.XLOOKUP(FME_Ranking1[[#This Row],[FME ID]],FME_Input[FME_ID],FME_Input[FME_NAME])</f>
        <v>John Montford Dam Evaluation</v>
      </c>
      <c r="D140" t="str">
        <f>_xlfn.XLOOKUP(FME_Ranking1[[#This Row],[FME ID]],FME_Input[FME_ID],FME_Input[DESCR])</f>
        <v>Access the current condition of the intake tower, bridge and structure at John Montford Dam. Evaluate the seepage through the Dam.</v>
      </c>
      <c r="E140" s="256">
        <f>_xlfn.XLOOKUP(FME_Ranking1[[#This Row],[FME ID]],FME_Input[FME_ID],FME_Input[FME_COST])</f>
        <v>417000</v>
      </c>
      <c r="F140" t="str">
        <f>_xlfn.XLOOKUP(FME_Ranking1[[#This Row],[FME ID]],FME_Input[FME_ID],FME_Input[EMER_NEED])</f>
        <v>No</v>
      </c>
      <c r="G140">
        <f>IF(FME_Ranking!F140="Yes",100,0)</f>
        <v>0</v>
      </c>
      <c r="H140">
        <f>FME_Ranking1[[#This Row],[Emergency Need Score (Normalized, Unweighted)]]*$F$3</f>
        <v>0</v>
      </c>
      <c r="I140" s="246">
        <f>_xlfn.XLOOKUP(FME_Ranking1[[#This Row],[FME ID]],FME_Input[FME_ID],FME_Input[STRUCT_100])</f>
        <v>6880</v>
      </c>
      <c r="J140" s="178">
        <f>(FME_Ranking1[[#This Row],[Structures 100 Raw]]/I$2)*100</f>
        <v>3.684187979265733</v>
      </c>
      <c r="K140" s="178">
        <f>FME_Ranking1[[#This Row],[Structures 100  Score (Normalized, Unweighted)]]*$I$3</f>
        <v>0.55262819688985998</v>
      </c>
      <c r="L140" s="246">
        <f>_xlfn.XLOOKUP(FME_Ranking1[[#This Row],[FME ID]],FME_Input[FME_ID],FME_Input[RES_STRUCT100])</f>
        <v>5342</v>
      </c>
      <c r="M140" s="230">
        <f>(FME_Ranking1[[#This Row],[Res Structures Raw]]/L$2)*100</f>
        <v>3.7837684690682951</v>
      </c>
      <c r="N140" s="180">
        <f>FME_Ranking1[[#This Row],[Res Structures Score (Normalized, Unweighted)]]*$L$3</f>
        <v>0.37837684690682954</v>
      </c>
      <c r="O140" s="244">
        <f>_xlfn.XLOOKUP(FME_Ranking1[[#This Row],[FME ID]],FME_Input[FME_ID],FME_Input[POP100])</f>
        <v>20269</v>
      </c>
      <c r="P140" s="178">
        <f>(FME_Ranking1[[#This Row],[Pop Raw]]/$O$2)*100</f>
        <v>2.0750451987002432</v>
      </c>
      <c r="Q140" s="178">
        <f>FME_Ranking1[[#This Row],[Pop Score (Normalized, Unweighted)]]*$O$3</f>
        <v>0.31125677980503647</v>
      </c>
      <c r="R140" s="137">
        <f>_xlfn.XLOOKUP(FME_Ranking1[[#This Row],[FME ID]],FME_Input[FME_ID],FME_Input[CRITFAC100])</f>
        <v>9</v>
      </c>
      <c r="S140" s="230">
        <f>(FME_Ranking1[[#This Row],[Critical Facilities Raw]]/$R$2)*100</f>
        <v>0.38593481989708406</v>
      </c>
      <c r="T140" s="180">
        <f>FME_Ranking1[[#This Row],[Critical Facilities Score (Normalized, Unweighted)]]*$R$3</f>
        <v>7.7186963979416823E-2</v>
      </c>
      <c r="U140">
        <f>_xlfn.XLOOKUP(FME_Ranking1[[#This Row],[FME ID]],FME_Input[FME_ID],FME_Input[LWC])</f>
        <v>29</v>
      </c>
      <c r="V140" s="178">
        <f>(FME_Ranking1[[#This Row],[LWC Raw]]/$U$2)*100</f>
        <v>1.6695451928612552</v>
      </c>
      <c r="W140" s="178">
        <f>FME_Ranking1[[#This Row],[LWC Score (Normalized, Unweighted)]]*$U$3</f>
        <v>0.33390903857225107</v>
      </c>
      <c r="X140" s="246">
        <f>_xlfn.XLOOKUP(FME_Ranking1[[#This Row],[FME ID]],FME_Input[FME_ID],FME_Input[ROADCLS])</f>
        <v>0</v>
      </c>
      <c r="Y140" s="230">
        <f>(FME_Ranking1[[#This Row],[Closures Raw]]/$X$2)*100</f>
        <v>0</v>
      </c>
      <c r="Z140" s="180">
        <f>FME_Ranking1[[#This Row],[Closures Score (Normalized, Unweighted)]]*$X$3</f>
        <v>0</v>
      </c>
      <c r="AA140" s="253">
        <f>_xlfn.XLOOKUP(FME_Ranking1[[#This Row],[FME ID]],FME_Input[FME_ID],FME_Input[ROAD_MILES100])</f>
        <v>357.54483032226563</v>
      </c>
      <c r="AB140" s="178">
        <f>(FME_Ranking1[[#This Row],[Miles Raw]]/$AA$2)*100</f>
        <v>4.7010732319787234</v>
      </c>
      <c r="AC140" s="178">
        <f>FME_Ranking1[[#This Row],[Miles Score (Normalized, Unweighted)]]*$AA$3</f>
        <v>0.47010732319787235</v>
      </c>
      <c r="AD140" s="255">
        <f>_xlfn.XLOOKUP(FME_Ranking1[[#This Row],[FME ID]],FME_Input[FME_ID],FME_Input[FARMACRE100])</f>
        <v>50570.1484375</v>
      </c>
      <c r="AE140" s="230">
        <f>(FME_Ranking1[[#This Row],[Ag Land Raw]]/$AD$2)*100</f>
        <v>2.0852865441064439</v>
      </c>
      <c r="AF140" s="231">
        <f>FME_Ranking1[[#This Row],[Ag Land Score (Normalized, Unweighted)]]*$AD$3</f>
        <v>0.10426432720532219</v>
      </c>
      <c r="AG14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2.2277294765565885</v>
      </c>
      <c r="AH140" s="406">
        <f t="shared" si="2"/>
        <v>122</v>
      </c>
      <c r="AI14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2.2277294765565885</v>
      </c>
      <c r="AJ140" s="257">
        <f>FME_Ranking1[[#This Row],[Addition check]]-FME_Ranking1[[#This Row],[Weighted Score Based on Normalized Reported Factors]]</f>
        <v>0</v>
      </c>
      <c r="AK140" s="178">
        <f>_xlfn.RANK.EQ(AI140,$AI$6:$AI$2341,0)+COUNTIF($AI$6:AI140,AI140)-1</f>
        <v>122</v>
      </c>
    </row>
    <row r="141" spans="1:37" ht="12" customHeight="1" x14ac:dyDescent="0.25">
      <c r="A141" t="s">
        <v>7242</v>
      </c>
      <c r="B141">
        <f>_xlfn.XLOOKUP(FME_Ranking1[[#This Row],[FME ID]],FME_Input[FME_ID],FME_Input[RFPG_NUM])</f>
        <v>7</v>
      </c>
      <c r="C141" t="str">
        <f>_xlfn.XLOOKUP(FME_Ranking1[[#This Row],[FME ID]],FME_Input[FME_ID],FME_Input[FME_NAME])</f>
        <v>Lubbock County DCM</v>
      </c>
      <c r="D141" t="str">
        <f>_xlfn.XLOOKUP(FME_Ranking1[[#This Row],[FME ID]],FME_Input[FME_ID],FME_Input[DESCR])</f>
        <v>Consider stormwater criteria for infrastructure and floodplain ordinances to avoid new exposure to flood hazards.</v>
      </c>
      <c r="E141" s="256">
        <f>_xlfn.XLOOKUP(FME_Ranking1[[#This Row],[FME ID]],FME_Input[FME_ID],FME_Input[FME_COST])</f>
        <v>100000</v>
      </c>
      <c r="F141" t="str">
        <f>_xlfn.XLOOKUP(FME_Ranking1[[#This Row],[FME ID]],FME_Input[FME_ID],FME_Input[EMER_NEED])</f>
        <v>No</v>
      </c>
      <c r="G141">
        <f>IF(FME_Ranking!F141="Yes",100,0)</f>
        <v>0</v>
      </c>
      <c r="H141">
        <f>FME_Ranking1[[#This Row],[Emergency Need Score (Normalized, Unweighted)]]*$F$3</f>
        <v>0</v>
      </c>
      <c r="I141" s="246">
        <f>_xlfn.XLOOKUP(FME_Ranking1[[#This Row],[FME ID]],FME_Input[FME_ID],FME_Input[STRUCT_100])</f>
        <v>6880</v>
      </c>
      <c r="J141" s="178">
        <f>(FME_Ranking1[[#This Row],[Structures 100 Raw]]/I$2)*100</f>
        <v>3.684187979265733</v>
      </c>
      <c r="K141" s="178">
        <f>FME_Ranking1[[#This Row],[Structures 100  Score (Normalized, Unweighted)]]*$I$3</f>
        <v>0.55262819688985998</v>
      </c>
      <c r="L141" s="246">
        <f>_xlfn.XLOOKUP(FME_Ranking1[[#This Row],[FME ID]],FME_Input[FME_ID],FME_Input[RES_STRUCT100])</f>
        <v>5342</v>
      </c>
      <c r="M141" s="230">
        <f>(FME_Ranking1[[#This Row],[Res Structures Raw]]/L$2)*100</f>
        <v>3.7837684690682951</v>
      </c>
      <c r="N141" s="180">
        <f>FME_Ranking1[[#This Row],[Res Structures Score (Normalized, Unweighted)]]*$L$3</f>
        <v>0.37837684690682954</v>
      </c>
      <c r="O141" s="244">
        <f>_xlfn.XLOOKUP(FME_Ranking1[[#This Row],[FME ID]],FME_Input[FME_ID],FME_Input[POP100])</f>
        <v>20269</v>
      </c>
      <c r="P141" s="178">
        <f>(FME_Ranking1[[#This Row],[Pop Raw]]/$O$2)*100</f>
        <v>2.0750451987002432</v>
      </c>
      <c r="Q141" s="178">
        <f>FME_Ranking1[[#This Row],[Pop Score (Normalized, Unweighted)]]*$O$3</f>
        <v>0.31125677980503647</v>
      </c>
      <c r="R141" s="137">
        <f>_xlfn.XLOOKUP(FME_Ranking1[[#This Row],[FME ID]],FME_Input[FME_ID],FME_Input[CRITFAC100])</f>
        <v>9</v>
      </c>
      <c r="S141" s="230">
        <f>(FME_Ranking1[[#This Row],[Critical Facilities Raw]]/$R$2)*100</f>
        <v>0.38593481989708406</v>
      </c>
      <c r="T141" s="180">
        <f>FME_Ranking1[[#This Row],[Critical Facilities Score (Normalized, Unweighted)]]*$R$3</f>
        <v>7.7186963979416823E-2</v>
      </c>
      <c r="U141">
        <f>_xlfn.XLOOKUP(FME_Ranking1[[#This Row],[FME ID]],FME_Input[FME_ID],FME_Input[LWC])</f>
        <v>29</v>
      </c>
      <c r="V141" s="178">
        <f>(FME_Ranking1[[#This Row],[LWC Raw]]/$U$2)*100</f>
        <v>1.6695451928612552</v>
      </c>
      <c r="W141" s="178">
        <f>FME_Ranking1[[#This Row],[LWC Score (Normalized, Unweighted)]]*$U$3</f>
        <v>0.33390903857225107</v>
      </c>
      <c r="X141" s="246">
        <f>_xlfn.XLOOKUP(FME_Ranking1[[#This Row],[FME ID]],FME_Input[FME_ID],FME_Input[ROADCLS])</f>
        <v>0</v>
      </c>
      <c r="Y141" s="230">
        <f>(FME_Ranking1[[#This Row],[Closures Raw]]/$X$2)*100</f>
        <v>0</v>
      </c>
      <c r="Z141" s="180">
        <f>FME_Ranking1[[#This Row],[Closures Score (Normalized, Unweighted)]]*$X$3</f>
        <v>0</v>
      </c>
      <c r="AA141" s="253">
        <f>_xlfn.XLOOKUP(FME_Ranking1[[#This Row],[FME ID]],FME_Input[FME_ID],FME_Input[ROAD_MILES100])</f>
        <v>357.54483032226563</v>
      </c>
      <c r="AB141" s="178">
        <f>(FME_Ranking1[[#This Row],[Miles Raw]]/$AA$2)*100</f>
        <v>4.7010732319787234</v>
      </c>
      <c r="AC141" s="178">
        <f>FME_Ranking1[[#This Row],[Miles Score (Normalized, Unweighted)]]*$AA$3</f>
        <v>0.47010732319787235</v>
      </c>
      <c r="AD141" s="255">
        <f>_xlfn.XLOOKUP(FME_Ranking1[[#This Row],[FME ID]],FME_Input[FME_ID],FME_Input[FARMACRE100])</f>
        <v>50570.1484375</v>
      </c>
      <c r="AE141" s="230">
        <f>(FME_Ranking1[[#This Row],[Ag Land Raw]]/$AD$2)*100</f>
        <v>2.0852865441064439</v>
      </c>
      <c r="AF141" s="231">
        <f>FME_Ranking1[[#This Row],[Ag Land Score (Normalized, Unweighted)]]*$AD$3</f>
        <v>0.10426432720532219</v>
      </c>
      <c r="AG14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2.2277294765565885</v>
      </c>
      <c r="AH141" s="406">
        <f t="shared" si="2"/>
        <v>122</v>
      </c>
      <c r="AI14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2.2277294765565885</v>
      </c>
      <c r="AJ141" s="257">
        <f>FME_Ranking1[[#This Row],[Addition check]]-FME_Ranking1[[#This Row],[Weighted Score Based on Normalized Reported Factors]]</f>
        <v>0</v>
      </c>
      <c r="AK141" s="178">
        <f>_xlfn.RANK.EQ(AI141,$AI$6:$AI$2341,0)+COUNTIF($AI$6:AI141,AI141)-1</f>
        <v>123</v>
      </c>
    </row>
    <row r="142" spans="1:37" ht="12" customHeight="1" x14ac:dyDescent="0.25">
      <c r="A142" t="s">
        <v>7244</v>
      </c>
      <c r="B142">
        <f>_xlfn.XLOOKUP(FME_Ranking1[[#This Row],[FME ID]],FME_Input[FME_ID],FME_Input[RFPG_NUM])</f>
        <v>7</v>
      </c>
      <c r="C142" t="str">
        <f>_xlfn.XLOOKUP(FME_Ranking1[[#This Row],[FME ID]],FME_Input[FME_ID],FME_Input[FME_NAME])</f>
        <v>Lubbock County Floodplain Open Space Program</v>
      </c>
      <c r="D142" t="str">
        <f>_xlfn.XLOOKUP(FME_Ranking1[[#This Row],[FME ID]],FME_Input[FME_ID],FME_Input[DESCR])</f>
        <v>Acquire and preserve open spaces adjacent to floodplain areas. Protect floodplains in their natural state.</v>
      </c>
      <c r="E142" s="256">
        <f>_xlfn.XLOOKUP(FME_Ranking1[[#This Row],[FME ID]],FME_Input[FME_ID],FME_Input[FME_COST])</f>
        <v>1000000</v>
      </c>
      <c r="F142" t="str">
        <f>_xlfn.XLOOKUP(FME_Ranking1[[#This Row],[FME ID]],FME_Input[FME_ID],FME_Input[EMER_NEED])</f>
        <v>No</v>
      </c>
      <c r="G142">
        <f>IF(FME_Ranking!F142="Yes",100,0)</f>
        <v>0</v>
      </c>
      <c r="H142">
        <f>FME_Ranking1[[#This Row],[Emergency Need Score (Normalized, Unweighted)]]*$F$3</f>
        <v>0</v>
      </c>
      <c r="I142" s="246">
        <f>_xlfn.XLOOKUP(FME_Ranking1[[#This Row],[FME ID]],FME_Input[FME_ID],FME_Input[STRUCT_100])</f>
        <v>6880</v>
      </c>
      <c r="J142" s="178">
        <f>(FME_Ranking1[[#This Row],[Structures 100 Raw]]/I$2)*100</f>
        <v>3.684187979265733</v>
      </c>
      <c r="K142" s="178">
        <f>FME_Ranking1[[#This Row],[Structures 100  Score (Normalized, Unweighted)]]*$I$3</f>
        <v>0.55262819688985998</v>
      </c>
      <c r="L142" s="246">
        <f>_xlfn.XLOOKUP(FME_Ranking1[[#This Row],[FME ID]],FME_Input[FME_ID],FME_Input[RES_STRUCT100])</f>
        <v>5342</v>
      </c>
      <c r="M142" s="230">
        <f>(FME_Ranking1[[#This Row],[Res Structures Raw]]/L$2)*100</f>
        <v>3.7837684690682951</v>
      </c>
      <c r="N142" s="180">
        <f>FME_Ranking1[[#This Row],[Res Structures Score (Normalized, Unweighted)]]*$L$3</f>
        <v>0.37837684690682954</v>
      </c>
      <c r="O142" s="244">
        <f>_xlfn.XLOOKUP(FME_Ranking1[[#This Row],[FME ID]],FME_Input[FME_ID],FME_Input[POP100])</f>
        <v>20269</v>
      </c>
      <c r="P142" s="178">
        <f>(FME_Ranking1[[#This Row],[Pop Raw]]/$O$2)*100</f>
        <v>2.0750451987002432</v>
      </c>
      <c r="Q142" s="178">
        <f>FME_Ranking1[[#This Row],[Pop Score (Normalized, Unweighted)]]*$O$3</f>
        <v>0.31125677980503647</v>
      </c>
      <c r="R142" s="137">
        <f>_xlfn.XLOOKUP(FME_Ranking1[[#This Row],[FME ID]],FME_Input[FME_ID],FME_Input[CRITFAC100])</f>
        <v>9</v>
      </c>
      <c r="S142" s="230">
        <f>(FME_Ranking1[[#This Row],[Critical Facilities Raw]]/$R$2)*100</f>
        <v>0.38593481989708406</v>
      </c>
      <c r="T142" s="180">
        <f>FME_Ranking1[[#This Row],[Critical Facilities Score (Normalized, Unweighted)]]*$R$3</f>
        <v>7.7186963979416823E-2</v>
      </c>
      <c r="U142">
        <f>_xlfn.XLOOKUP(FME_Ranking1[[#This Row],[FME ID]],FME_Input[FME_ID],FME_Input[LWC])</f>
        <v>29</v>
      </c>
      <c r="V142" s="178">
        <f>(FME_Ranking1[[#This Row],[LWC Raw]]/$U$2)*100</f>
        <v>1.6695451928612552</v>
      </c>
      <c r="W142" s="178">
        <f>FME_Ranking1[[#This Row],[LWC Score (Normalized, Unweighted)]]*$U$3</f>
        <v>0.33390903857225107</v>
      </c>
      <c r="X142" s="246">
        <f>_xlfn.XLOOKUP(FME_Ranking1[[#This Row],[FME ID]],FME_Input[FME_ID],FME_Input[ROADCLS])</f>
        <v>0</v>
      </c>
      <c r="Y142" s="230">
        <f>(FME_Ranking1[[#This Row],[Closures Raw]]/$X$2)*100</f>
        <v>0</v>
      </c>
      <c r="Z142" s="180">
        <f>FME_Ranking1[[#This Row],[Closures Score (Normalized, Unweighted)]]*$X$3</f>
        <v>0</v>
      </c>
      <c r="AA142" s="253">
        <f>_xlfn.XLOOKUP(FME_Ranking1[[#This Row],[FME ID]],FME_Input[FME_ID],FME_Input[ROAD_MILES100])</f>
        <v>357.54483032226563</v>
      </c>
      <c r="AB142" s="178">
        <f>(FME_Ranking1[[#This Row],[Miles Raw]]/$AA$2)*100</f>
        <v>4.7010732319787234</v>
      </c>
      <c r="AC142" s="178">
        <f>FME_Ranking1[[#This Row],[Miles Score (Normalized, Unweighted)]]*$AA$3</f>
        <v>0.47010732319787235</v>
      </c>
      <c r="AD142" s="255">
        <f>_xlfn.XLOOKUP(FME_Ranking1[[#This Row],[FME ID]],FME_Input[FME_ID],FME_Input[FARMACRE100])</f>
        <v>50570.1484375</v>
      </c>
      <c r="AE142" s="230">
        <f>(FME_Ranking1[[#This Row],[Ag Land Raw]]/$AD$2)*100</f>
        <v>2.0852865441064439</v>
      </c>
      <c r="AF142" s="231">
        <f>FME_Ranking1[[#This Row],[Ag Land Score (Normalized, Unweighted)]]*$AD$3</f>
        <v>0.10426432720532219</v>
      </c>
      <c r="AG14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2.2277294765565885</v>
      </c>
      <c r="AH142" s="406">
        <f t="shared" si="2"/>
        <v>122</v>
      </c>
      <c r="AI14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2.2277294765565885</v>
      </c>
      <c r="AJ142" s="257">
        <f>FME_Ranking1[[#This Row],[Addition check]]-FME_Ranking1[[#This Row],[Weighted Score Based on Normalized Reported Factors]]</f>
        <v>0</v>
      </c>
      <c r="AK142" s="178">
        <f>_xlfn.RANK.EQ(AI142,$AI$6:$AI$2341,0)+COUNTIF($AI$6:AI142,AI142)-1</f>
        <v>124</v>
      </c>
    </row>
    <row r="143" spans="1:37" ht="12" customHeight="1" x14ac:dyDescent="0.25">
      <c r="A143" t="s">
        <v>7350</v>
      </c>
      <c r="B143">
        <f>_xlfn.XLOOKUP(FME_Ranking1[[#This Row],[FME ID]],FME_Input[FME_ID],FME_Input[RFPG_NUM])</f>
        <v>7</v>
      </c>
      <c r="C143" t="str">
        <f>_xlfn.XLOOKUP(FME_Ranking1[[#This Row],[FME ID]],FME_Input[FME_ID],FME_Input[FME_NAME])</f>
        <v>Lubbock County Floodplain Open Space Program</v>
      </c>
      <c r="D143" t="str">
        <f>_xlfn.XLOOKUP(FME_Ranking1[[#This Row],[FME ID]],FME_Input[FME_ID],FME_Input[DESCR])</f>
        <v>Acquire and preserve open spaces adjacent to floodplain areas. Protect floodplains in their natural state.</v>
      </c>
      <c r="E143" s="256">
        <f>_xlfn.XLOOKUP(FME_Ranking1[[#This Row],[FME ID]],FME_Input[FME_ID],FME_Input[FME_COST])</f>
        <v>1000000</v>
      </c>
      <c r="F143" t="str">
        <f>_xlfn.XLOOKUP(FME_Ranking1[[#This Row],[FME ID]],FME_Input[FME_ID],FME_Input[EMER_NEED])</f>
        <v>No</v>
      </c>
      <c r="G143">
        <f>IF(FME_Ranking!F143="Yes",100,0)</f>
        <v>0</v>
      </c>
      <c r="H143">
        <f>FME_Ranking1[[#This Row],[Emergency Need Score (Normalized, Unweighted)]]*$F$3</f>
        <v>0</v>
      </c>
      <c r="I143" s="246">
        <f>_xlfn.XLOOKUP(FME_Ranking1[[#This Row],[FME ID]],FME_Input[FME_ID],FME_Input[STRUCT_100])</f>
        <v>6880</v>
      </c>
      <c r="J143" s="178">
        <f>(FME_Ranking1[[#This Row],[Structures 100 Raw]]/I$2)*100</f>
        <v>3.684187979265733</v>
      </c>
      <c r="K143" s="178">
        <f>FME_Ranking1[[#This Row],[Structures 100  Score (Normalized, Unweighted)]]*$I$3</f>
        <v>0.55262819688985998</v>
      </c>
      <c r="L143" s="246">
        <f>_xlfn.XLOOKUP(FME_Ranking1[[#This Row],[FME ID]],FME_Input[FME_ID],FME_Input[RES_STRUCT100])</f>
        <v>5342</v>
      </c>
      <c r="M143" s="230">
        <f>(FME_Ranking1[[#This Row],[Res Structures Raw]]/L$2)*100</f>
        <v>3.7837684690682951</v>
      </c>
      <c r="N143" s="180">
        <f>FME_Ranking1[[#This Row],[Res Structures Score (Normalized, Unweighted)]]*$L$3</f>
        <v>0.37837684690682954</v>
      </c>
      <c r="O143" s="244">
        <f>_xlfn.XLOOKUP(FME_Ranking1[[#This Row],[FME ID]],FME_Input[FME_ID],FME_Input[POP100])</f>
        <v>20269</v>
      </c>
      <c r="P143" s="178">
        <f>(FME_Ranking1[[#This Row],[Pop Raw]]/$O$2)*100</f>
        <v>2.0750451987002432</v>
      </c>
      <c r="Q143" s="178">
        <f>FME_Ranking1[[#This Row],[Pop Score (Normalized, Unweighted)]]*$O$3</f>
        <v>0.31125677980503647</v>
      </c>
      <c r="R143" s="137">
        <f>_xlfn.XLOOKUP(FME_Ranking1[[#This Row],[FME ID]],FME_Input[FME_ID],FME_Input[CRITFAC100])</f>
        <v>9</v>
      </c>
      <c r="S143" s="230">
        <f>(FME_Ranking1[[#This Row],[Critical Facilities Raw]]/$R$2)*100</f>
        <v>0.38593481989708406</v>
      </c>
      <c r="T143" s="180">
        <f>FME_Ranking1[[#This Row],[Critical Facilities Score (Normalized, Unweighted)]]*$R$3</f>
        <v>7.7186963979416823E-2</v>
      </c>
      <c r="U143">
        <f>_xlfn.XLOOKUP(FME_Ranking1[[#This Row],[FME ID]],FME_Input[FME_ID],FME_Input[LWC])</f>
        <v>29</v>
      </c>
      <c r="V143" s="178">
        <f>(FME_Ranking1[[#This Row],[LWC Raw]]/$U$2)*100</f>
        <v>1.6695451928612552</v>
      </c>
      <c r="W143" s="178">
        <f>FME_Ranking1[[#This Row],[LWC Score (Normalized, Unweighted)]]*$U$3</f>
        <v>0.33390903857225107</v>
      </c>
      <c r="X143" s="246">
        <f>_xlfn.XLOOKUP(FME_Ranking1[[#This Row],[FME ID]],FME_Input[FME_ID],FME_Input[ROADCLS])</f>
        <v>0</v>
      </c>
      <c r="Y143" s="230">
        <f>(FME_Ranking1[[#This Row],[Closures Raw]]/$X$2)*100</f>
        <v>0</v>
      </c>
      <c r="Z143" s="180">
        <f>FME_Ranking1[[#This Row],[Closures Score (Normalized, Unweighted)]]*$X$3</f>
        <v>0</v>
      </c>
      <c r="AA143" s="253">
        <f>_xlfn.XLOOKUP(FME_Ranking1[[#This Row],[FME ID]],FME_Input[FME_ID],FME_Input[ROAD_MILES100])</f>
        <v>357.54483032226563</v>
      </c>
      <c r="AB143" s="178">
        <f>(FME_Ranking1[[#This Row],[Miles Raw]]/$AA$2)*100</f>
        <v>4.7010732319787234</v>
      </c>
      <c r="AC143" s="178">
        <f>FME_Ranking1[[#This Row],[Miles Score (Normalized, Unweighted)]]*$AA$3</f>
        <v>0.47010732319787235</v>
      </c>
      <c r="AD143" s="255">
        <f>_xlfn.XLOOKUP(FME_Ranking1[[#This Row],[FME ID]],FME_Input[FME_ID],FME_Input[FARMACRE100])</f>
        <v>50570.1484375</v>
      </c>
      <c r="AE143" s="230">
        <f>(FME_Ranking1[[#This Row],[Ag Land Raw]]/$AD$2)*100</f>
        <v>2.0852865441064439</v>
      </c>
      <c r="AF143" s="231">
        <f>FME_Ranking1[[#This Row],[Ag Land Score (Normalized, Unweighted)]]*$AD$3</f>
        <v>0.10426432720532219</v>
      </c>
      <c r="AG14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2.2277294765565885</v>
      </c>
      <c r="AH143" s="406">
        <f t="shared" si="2"/>
        <v>122</v>
      </c>
      <c r="AI14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2.2277294765565885</v>
      </c>
      <c r="AJ143" s="257">
        <f>FME_Ranking1[[#This Row],[Addition check]]-FME_Ranking1[[#This Row],[Weighted Score Based on Normalized Reported Factors]]</f>
        <v>0</v>
      </c>
      <c r="AK143" s="178">
        <f>_xlfn.RANK.EQ(AI143,$AI$6:$AI$2341,0)+COUNTIF($AI$6:AI143,AI143)-1</f>
        <v>125</v>
      </c>
    </row>
    <row r="144" spans="1:37" ht="12" customHeight="1" x14ac:dyDescent="0.25">
      <c r="A144" t="s">
        <v>5891</v>
      </c>
      <c r="B144">
        <f>_xlfn.XLOOKUP(FME_Ranking1[[#This Row],[FME ID]],FME_Input[FME_ID],FME_Input[RFPG_NUM])</f>
        <v>5</v>
      </c>
      <c r="C144" t="str">
        <f>_xlfn.XLOOKUP(FME_Ranking1[[#This Row],[FME ID]],FME_Input[FME_ID],FME_Input[FME_NAME])</f>
        <v>Lateral B4A and B4A Ext. Improvements</v>
      </c>
      <c r="D144" t="str">
        <f>_xlfn.XLOOKUP(FME_Ranking1[[#This Row],[FME ID]],FME_Input[FME_ID],FME_Input[DESCR])</f>
        <v>Evaluate project to quantify benefits, evaluate impacts, and begin design. Project consists of widening those channels to increase the runoff capacity – upgrading/enlarging road crossings to reduce out of bank flooding.</v>
      </c>
      <c r="E144" s="256">
        <f>_xlfn.XLOOKUP(FME_Ranking1[[#This Row],[FME ID]],FME_Input[FME_ID],FME_Input[FME_COST])</f>
        <v>225000</v>
      </c>
      <c r="F144" t="str">
        <f>_xlfn.XLOOKUP(FME_Ranking1[[#This Row],[FME ID]],FME_Input[FME_ID],FME_Input[EMER_NEED])</f>
        <v>Yes</v>
      </c>
      <c r="G144">
        <f>IF(FME_Ranking!F144="Yes",100,0)</f>
        <v>100</v>
      </c>
      <c r="H144">
        <f>FME_Ranking1[[#This Row],[Emergency Need Score (Normalized, Unweighted)]]*$F$3</f>
        <v>0</v>
      </c>
      <c r="I144" s="246">
        <f>_xlfn.XLOOKUP(FME_Ranking1[[#This Row],[FME ID]],FME_Input[FME_ID],FME_Input[STRUCT_100])</f>
        <v>5013</v>
      </c>
      <c r="J144" s="178">
        <f>(FME_Ranking1[[#This Row],[Structures 100 Raw]]/I$2)*100</f>
        <v>2.6844235959388252</v>
      </c>
      <c r="K144" s="178">
        <f>FME_Ranking1[[#This Row],[Structures 100  Score (Normalized, Unweighted)]]*$I$3</f>
        <v>0.40266353939082378</v>
      </c>
      <c r="L144" s="246">
        <f>_xlfn.XLOOKUP(FME_Ranking1[[#This Row],[FME ID]],FME_Input[FME_ID],FME_Input[RES_STRUCT100])</f>
        <v>3786</v>
      </c>
      <c r="M144" s="230">
        <f>(FME_Ranking1[[#This Row],[Res Structures Raw]]/L$2)*100</f>
        <v>2.6816449689053843</v>
      </c>
      <c r="N144" s="180">
        <f>FME_Ranking1[[#This Row],[Res Structures Score (Normalized, Unweighted)]]*$L$3</f>
        <v>0.26816449689053845</v>
      </c>
      <c r="O144" s="244">
        <f>_xlfn.XLOOKUP(FME_Ranking1[[#This Row],[FME ID]],FME_Input[FME_ID],FME_Input[POP100])</f>
        <v>18000</v>
      </c>
      <c r="P144" s="178">
        <f>(FME_Ranking1[[#This Row],[Pop Raw]]/$O$2)*100</f>
        <v>1.8427556157977394</v>
      </c>
      <c r="Q144" s="178">
        <f>FME_Ranking1[[#This Row],[Pop Score (Normalized, Unweighted)]]*$O$3</f>
        <v>0.27641334236966092</v>
      </c>
      <c r="R144" s="137">
        <f>_xlfn.XLOOKUP(FME_Ranking1[[#This Row],[FME ID]],FME_Input[FME_ID],FME_Input[CRITFAC100])</f>
        <v>83</v>
      </c>
      <c r="S144" s="230">
        <f>(FME_Ranking1[[#This Row],[Critical Facilities Raw]]/$R$2)*100</f>
        <v>3.5591766723842198</v>
      </c>
      <c r="T144" s="180">
        <f>FME_Ranking1[[#This Row],[Critical Facilities Score (Normalized, Unweighted)]]*$R$3</f>
        <v>0.71183533447684399</v>
      </c>
      <c r="U144">
        <f>_xlfn.XLOOKUP(FME_Ranking1[[#This Row],[FME ID]],FME_Input[FME_ID],FME_Input[LWC])</f>
        <v>3</v>
      </c>
      <c r="V144" s="178">
        <f>(FME_Ranking1[[#This Row],[LWC Raw]]/$U$2)*100</f>
        <v>0.17271157167530224</v>
      </c>
      <c r="W144" s="178">
        <f>FME_Ranking1[[#This Row],[LWC Score (Normalized, Unweighted)]]*$U$3</f>
        <v>3.4542314335060449E-2</v>
      </c>
      <c r="X144" s="246">
        <f>_xlfn.XLOOKUP(FME_Ranking1[[#This Row],[FME ID]],FME_Input[FME_ID],FME_Input[ROADCLS])</f>
        <v>3</v>
      </c>
      <c r="Y144" s="230">
        <f>(FME_Ranking1[[#This Row],[Closures Raw]]/$X$2)*100</f>
        <v>3.1542424561034593E-2</v>
      </c>
      <c r="Z144" s="180">
        <f>FME_Ranking1[[#This Row],[Closures Score (Normalized, Unweighted)]]*$X$3</f>
        <v>1.5771212280517297E-3</v>
      </c>
      <c r="AA144" s="253">
        <f>_xlfn.XLOOKUP(FME_Ranking1[[#This Row],[FME ID]],FME_Input[FME_ID],FME_Input[ROAD_MILES100])</f>
        <v>160.40507507324219</v>
      </c>
      <c r="AB144" s="178">
        <f>(FME_Ranking1[[#This Row],[Miles Raw]]/$AA$2)*100</f>
        <v>2.1090390372046093</v>
      </c>
      <c r="AC144" s="178">
        <f>FME_Ranking1[[#This Row],[Miles Score (Normalized, Unweighted)]]*$AA$3</f>
        <v>0.21090390372046094</v>
      </c>
      <c r="AD144" s="255">
        <f>_xlfn.XLOOKUP(FME_Ranking1[[#This Row],[FME ID]],FME_Input[FME_ID],FME_Input[FARMACRE100])</f>
        <v>9044.30078125</v>
      </c>
      <c r="AE144" s="230">
        <f>(FME_Ranking1[[#This Row],[Ag Land Raw]]/$AD$2)*100</f>
        <v>0.37294647737293429</v>
      </c>
      <c r="AF144" s="231">
        <f>FME_Ranking1[[#This Row],[Ag Land Score (Normalized, Unweighted)]]*$AD$3</f>
        <v>1.8647323868646714E-2</v>
      </c>
      <c r="AG14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1.9247473762800871</v>
      </c>
      <c r="AH144" s="406">
        <f t="shared" si="2"/>
        <v>141</v>
      </c>
      <c r="AI14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1.9247473762800871</v>
      </c>
      <c r="AJ144" s="257">
        <f>FME_Ranking1[[#This Row],[Addition check]]-FME_Ranking1[[#This Row],[Weighted Score Based on Normalized Reported Factors]]</f>
        <v>0</v>
      </c>
      <c r="AK144" s="178">
        <f>_xlfn.RANK.EQ(AI144,$AI$6:$AI$2341,0)+COUNTIF($AI$6:AI144,AI144)-1</f>
        <v>141</v>
      </c>
    </row>
    <row r="145" spans="1:37" ht="12" customHeight="1" x14ac:dyDescent="0.25">
      <c r="A145" t="s">
        <v>5929</v>
      </c>
      <c r="B145">
        <f>_xlfn.XLOOKUP(FME_Ranking1[[#This Row],[FME ID]],FME_Input[FME_ID],FME_Input[RFPG_NUM])</f>
        <v>5</v>
      </c>
      <c r="C145" t="str">
        <f>_xlfn.XLOOKUP(FME_Ranking1[[#This Row],[FME ID]],FME_Input[FME_ID],FME_Input[FME_NAME])</f>
        <v>Rodair Pump Station</v>
      </c>
      <c r="D145" t="str">
        <f>_xlfn.XLOOKUP(FME_Ranking1[[#This Row],[FME ID]],FME_Input[FME_ID],FME_Input[DESCR])</f>
        <v>Evaluate project to quantify benefits, evaluate impacts, and begin design.</v>
      </c>
      <c r="E145" s="256">
        <f>_xlfn.XLOOKUP(FME_Ranking1[[#This Row],[FME ID]],FME_Input[FME_ID],FME_Input[FME_COST])</f>
        <v>2000000</v>
      </c>
      <c r="F145" t="str">
        <f>_xlfn.XLOOKUP(FME_Ranking1[[#This Row],[FME ID]],FME_Input[FME_ID],FME_Input[EMER_NEED])</f>
        <v>Yes</v>
      </c>
      <c r="G145">
        <f>IF(FME_Ranking!F145="Yes",100,0)</f>
        <v>100</v>
      </c>
      <c r="H145">
        <f>FME_Ranking1[[#This Row],[Emergency Need Score (Normalized, Unweighted)]]*$F$3</f>
        <v>0</v>
      </c>
      <c r="I145" s="246">
        <f>_xlfn.XLOOKUP(FME_Ranking1[[#This Row],[FME ID]],FME_Input[FME_ID],FME_Input[STRUCT_100])</f>
        <v>5013</v>
      </c>
      <c r="J145" s="178">
        <f>(FME_Ranking1[[#This Row],[Structures 100 Raw]]/I$2)*100</f>
        <v>2.6844235959388252</v>
      </c>
      <c r="K145" s="178">
        <f>FME_Ranking1[[#This Row],[Structures 100  Score (Normalized, Unweighted)]]*$I$3</f>
        <v>0.40266353939082378</v>
      </c>
      <c r="L145" s="246">
        <f>_xlfn.XLOOKUP(FME_Ranking1[[#This Row],[FME ID]],FME_Input[FME_ID],FME_Input[RES_STRUCT100])</f>
        <v>3786</v>
      </c>
      <c r="M145" s="230">
        <f>(FME_Ranking1[[#This Row],[Res Structures Raw]]/L$2)*100</f>
        <v>2.6816449689053843</v>
      </c>
      <c r="N145" s="180">
        <f>FME_Ranking1[[#This Row],[Res Structures Score (Normalized, Unweighted)]]*$L$3</f>
        <v>0.26816449689053845</v>
      </c>
      <c r="O145" s="244">
        <f>_xlfn.XLOOKUP(FME_Ranking1[[#This Row],[FME ID]],FME_Input[FME_ID],FME_Input[POP100])</f>
        <v>18000</v>
      </c>
      <c r="P145" s="178">
        <f>(FME_Ranking1[[#This Row],[Pop Raw]]/$O$2)*100</f>
        <v>1.8427556157977394</v>
      </c>
      <c r="Q145" s="178">
        <f>FME_Ranking1[[#This Row],[Pop Score (Normalized, Unweighted)]]*$O$3</f>
        <v>0.27641334236966092</v>
      </c>
      <c r="R145" s="137">
        <f>_xlfn.XLOOKUP(FME_Ranking1[[#This Row],[FME ID]],FME_Input[FME_ID],FME_Input[CRITFAC100])</f>
        <v>83</v>
      </c>
      <c r="S145" s="230">
        <f>(FME_Ranking1[[#This Row],[Critical Facilities Raw]]/$R$2)*100</f>
        <v>3.5591766723842198</v>
      </c>
      <c r="T145" s="180">
        <f>FME_Ranking1[[#This Row],[Critical Facilities Score (Normalized, Unweighted)]]*$R$3</f>
        <v>0.71183533447684399</v>
      </c>
      <c r="U145">
        <f>_xlfn.XLOOKUP(FME_Ranking1[[#This Row],[FME ID]],FME_Input[FME_ID],FME_Input[LWC])</f>
        <v>3</v>
      </c>
      <c r="V145" s="178">
        <f>(FME_Ranking1[[#This Row],[LWC Raw]]/$U$2)*100</f>
        <v>0.17271157167530224</v>
      </c>
      <c r="W145" s="178">
        <f>FME_Ranking1[[#This Row],[LWC Score (Normalized, Unweighted)]]*$U$3</f>
        <v>3.4542314335060449E-2</v>
      </c>
      <c r="X145" s="246">
        <f>_xlfn.XLOOKUP(FME_Ranking1[[#This Row],[FME ID]],FME_Input[FME_ID],FME_Input[ROADCLS])</f>
        <v>3</v>
      </c>
      <c r="Y145" s="230">
        <f>(FME_Ranking1[[#This Row],[Closures Raw]]/$X$2)*100</f>
        <v>3.1542424561034593E-2</v>
      </c>
      <c r="Z145" s="180">
        <f>FME_Ranking1[[#This Row],[Closures Score (Normalized, Unweighted)]]*$X$3</f>
        <v>1.5771212280517297E-3</v>
      </c>
      <c r="AA145" s="253">
        <f>_xlfn.XLOOKUP(FME_Ranking1[[#This Row],[FME ID]],FME_Input[FME_ID],FME_Input[ROAD_MILES100])</f>
        <v>160.40507507324219</v>
      </c>
      <c r="AB145" s="178">
        <f>(FME_Ranking1[[#This Row],[Miles Raw]]/$AA$2)*100</f>
        <v>2.1090390372046093</v>
      </c>
      <c r="AC145" s="178">
        <f>FME_Ranking1[[#This Row],[Miles Score (Normalized, Unweighted)]]*$AA$3</f>
        <v>0.21090390372046094</v>
      </c>
      <c r="AD145" s="255">
        <f>_xlfn.XLOOKUP(FME_Ranking1[[#This Row],[FME ID]],FME_Input[FME_ID],FME_Input[FARMACRE100])</f>
        <v>9044.30078125</v>
      </c>
      <c r="AE145" s="230">
        <f>(FME_Ranking1[[#This Row],[Ag Land Raw]]/$AD$2)*100</f>
        <v>0.37294647737293429</v>
      </c>
      <c r="AF145" s="231">
        <f>FME_Ranking1[[#This Row],[Ag Land Score (Normalized, Unweighted)]]*$AD$3</f>
        <v>1.8647323868646714E-2</v>
      </c>
      <c r="AG14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1.9247473762800871</v>
      </c>
      <c r="AH145" s="406">
        <f t="shared" si="2"/>
        <v>141</v>
      </c>
      <c r="AI14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1.9247473762800871</v>
      </c>
      <c r="AJ145" s="257">
        <f>FME_Ranking1[[#This Row],[Addition check]]-FME_Ranking1[[#This Row],[Weighted Score Based on Normalized Reported Factors]]</f>
        <v>0</v>
      </c>
      <c r="AK145" s="178">
        <f>_xlfn.RANK.EQ(AI145,$AI$6:$AI$2341,0)+COUNTIF($AI$6:AI145,AI145)-1</f>
        <v>142</v>
      </c>
    </row>
    <row r="146" spans="1:37" ht="12" customHeight="1" x14ac:dyDescent="0.25">
      <c r="A146" t="s">
        <v>5983</v>
      </c>
      <c r="B146">
        <f>_xlfn.XLOOKUP(FME_Ranking1[[#This Row],[FME ID]],FME_Input[FME_ID],FME_Input[RFPG_NUM])</f>
        <v>5</v>
      </c>
      <c r="C146" t="str">
        <f>_xlfn.XLOOKUP(FME_Ranking1[[#This Row],[FME ID]],FME_Input[FME_ID],FME_Input[FME_NAME])</f>
        <v>Upgrade to Lateral B4B</v>
      </c>
      <c r="D146" t="str">
        <f>_xlfn.XLOOKUP(FME_Ranking1[[#This Row],[FME ID]],FME_Input[FME_ID],FME_Input[DESCR])</f>
        <v xml:space="preserve">Evaluate project to quantify benefits, evaluate impacts, and begin design. Project consists of widening those channels to increase the runoff capacity – upgrading/enlarging road crossings to reduce out of bank flooding.
</v>
      </c>
      <c r="E146" s="256">
        <f>_xlfn.XLOOKUP(FME_Ranking1[[#This Row],[FME ID]],FME_Input[FME_ID],FME_Input[FME_COST])</f>
        <v>50000</v>
      </c>
      <c r="F146" t="str">
        <f>_xlfn.XLOOKUP(FME_Ranking1[[#This Row],[FME ID]],FME_Input[FME_ID],FME_Input[EMER_NEED])</f>
        <v>Yes</v>
      </c>
      <c r="G146">
        <f>IF(FME_Ranking!F146="Yes",100,0)</f>
        <v>100</v>
      </c>
      <c r="H146">
        <f>FME_Ranking1[[#This Row],[Emergency Need Score (Normalized, Unweighted)]]*$F$3</f>
        <v>0</v>
      </c>
      <c r="I146" s="246">
        <f>_xlfn.XLOOKUP(FME_Ranking1[[#This Row],[FME ID]],FME_Input[FME_ID],FME_Input[STRUCT_100])</f>
        <v>5013</v>
      </c>
      <c r="J146" s="178">
        <f>(FME_Ranking1[[#This Row],[Structures 100 Raw]]/I$2)*100</f>
        <v>2.6844235959388252</v>
      </c>
      <c r="K146" s="178">
        <f>FME_Ranking1[[#This Row],[Structures 100  Score (Normalized, Unweighted)]]*$I$3</f>
        <v>0.40266353939082378</v>
      </c>
      <c r="L146" s="246">
        <f>_xlfn.XLOOKUP(FME_Ranking1[[#This Row],[FME ID]],FME_Input[FME_ID],FME_Input[RES_STRUCT100])</f>
        <v>3786</v>
      </c>
      <c r="M146" s="230">
        <f>(FME_Ranking1[[#This Row],[Res Structures Raw]]/L$2)*100</f>
        <v>2.6816449689053843</v>
      </c>
      <c r="N146" s="180">
        <f>FME_Ranking1[[#This Row],[Res Structures Score (Normalized, Unweighted)]]*$L$3</f>
        <v>0.26816449689053845</v>
      </c>
      <c r="O146" s="244">
        <f>_xlfn.XLOOKUP(FME_Ranking1[[#This Row],[FME ID]],FME_Input[FME_ID],FME_Input[POP100])</f>
        <v>18000</v>
      </c>
      <c r="P146" s="178">
        <f>(FME_Ranking1[[#This Row],[Pop Raw]]/$O$2)*100</f>
        <v>1.8427556157977394</v>
      </c>
      <c r="Q146" s="178">
        <f>FME_Ranking1[[#This Row],[Pop Score (Normalized, Unweighted)]]*$O$3</f>
        <v>0.27641334236966092</v>
      </c>
      <c r="R146" s="137">
        <f>_xlfn.XLOOKUP(FME_Ranking1[[#This Row],[FME ID]],FME_Input[FME_ID],FME_Input[CRITFAC100])</f>
        <v>83</v>
      </c>
      <c r="S146" s="230">
        <f>(FME_Ranking1[[#This Row],[Critical Facilities Raw]]/$R$2)*100</f>
        <v>3.5591766723842198</v>
      </c>
      <c r="T146" s="180">
        <f>FME_Ranking1[[#This Row],[Critical Facilities Score (Normalized, Unweighted)]]*$R$3</f>
        <v>0.71183533447684399</v>
      </c>
      <c r="U146">
        <f>_xlfn.XLOOKUP(FME_Ranking1[[#This Row],[FME ID]],FME_Input[FME_ID],FME_Input[LWC])</f>
        <v>3</v>
      </c>
      <c r="V146" s="178">
        <f>(FME_Ranking1[[#This Row],[LWC Raw]]/$U$2)*100</f>
        <v>0.17271157167530224</v>
      </c>
      <c r="W146" s="178">
        <f>FME_Ranking1[[#This Row],[LWC Score (Normalized, Unweighted)]]*$U$3</f>
        <v>3.4542314335060449E-2</v>
      </c>
      <c r="X146" s="246">
        <f>_xlfn.XLOOKUP(FME_Ranking1[[#This Row],[FME ID]],FME_Input[FME_ID],FME_Input[ROADCLS])</f>
        <v>3</v>
      </c>
      <c r="Y146" s="230">
        <f>(FME_Ranking1[[#This Row],[Closures Raw]]/$X$2)*100</f>
        <v>3.1542424561034593E-2</v>
      </c>
      <c r="Z146" s="180">
        <f>FME_Ranking1[[#This Row],[Closures Score (Normalized, Unweighted)]]*$X$3</f>
        <v>1.5771212280517297E-3</v>
      </c>
      <c r="AA146" s="253">
        <f>_xlfn.XLOOKUP(FME_Ranking1[[#This Row],[FME ID]],FME_Input[FME_ID],FME_Input[ROAD_MILES100])</f>
        <v>160.40507507324219</v>
      </c>
      <c r="AB146" s="178">
        <f>(FME_Ranking1[[#This Row],[Miles Raw]]/$AA$2)*100</f>
        <v>2.1090390372046093</v>
      </c>
      <c r="AC146" s="178">
        <f>FME_Ranking1[[#This Row],[Miles Score (Normalized, Unweighted)]]*$AA$3</f>
        <v>0.21090390372046094</v>
      </c>
      <c r="AD146" s="255">
        <f>_xlfn.XLOOKUP(FME_Ranking1[[#This Row],[FME ID]],FME_Input[FME_ID],FME_Input[FARMACRE100])</f>
        <v>9044.30078125</v>
      </c>
      <c r="AE146" s="230">
        <f>(FME_Ranking1[[#This Row],[Ag Land Raw]]/$AD$2)*100</f>
        <v>0.37294647737293429</v>
      </c>
      <c r="AF146" s="231">
        <f>FME_Ranking1[[#This Row],[Ag Land Score (Normalized, Unweighted)]]*$AD$3</f>
        <v>1.8647323868646714E-2</v>
      </c>
      <c r="AG14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1.9247473762800871</v>
      </c>
      <c r="AH146" s="406">
        <f t="shared" si="2"/>
        <v>141</v>
      </c>
      <c r="AI14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1.9247473762800871</v>
      </c>
      <c r="AJ146" s="257">
        <f>FME_Ranking1[[#This Row],[Addition check]]-FME_Ranking1[[#This Row],[Weighted Score Based on Normalized Reported Factors]]</f>
        <v>0</v>
      </c>
      <c r="AK146" s="178">
        <f>_xlfn.RANK.EQ(AI146,$AI$6:$AI$2341,0)+COUNTIF($AI$6:AI146,AI146)-1</f>
        <v>143</v>
      </c>
    </row>
    <row r="147" spans="1:37" ht="12" customHeight="1" x14ac:dyDescent="0.25">
      <c r="A147" t="s">
        <v>7896</v>
      </c>
      <c r="B147">
        <f>_xlfn.XLOOKUP(FME_Ranking1[[#This Row],[FME ID]],FME_Input[FME_ID],FME_Input[RFPG_NUM])</f>
        <v>9</v>
      </c>
      <c r="C147" t="str">
        <f>_xlfn.XLOOKUP(FME_Ranking1[[#This Row],[FME ID]],FME_Input[FME_ID],FME_Input[FME_NAME])</f>
        <v>City of Odessa FEMA Mapping</v>
      </c>
      <c r="D147" t="str">
        <f>_xlfn.XLOOKUP(FME_Ranking1[[#This Row],[FME ID]],FME_Input[FME_ID],FME_Input[DESCR])</f>
        <v xml:space="preserve">Prepare Comprehensive Floodplain and Drainage Study for the City of Odessa. Determine BFE in currently identified A zones on FEMA maps. </v>
      </c>
      <c r="E147" s="256">
        <f>_xlfn.XLOOKUP(FME_Ranking1[[#This Row],[FME ID]],FME_Input[FME_ID],FME_Input[FME_COST])</f>
        <v>192000</v>
      </c>
      <c r="F147" t="str">
        <f>_xlfn.XLOOKUP(FME_Ranking1[[#This Row],[FME ID]],FME_Input[FME_ID],FME_Input[EMER_NEED])</f>
        <v>No</v>
      </c>
      <c r="G147">
        <f>IF(FME_Ranking!F147="Yes",100,0)</f>
        <v>0</v>
      </c>
      <c r="H147">
        <f>FME_Ranking1[[#This Row],[Emergency Need Score (Normalized, Unweighted)]]*$F$3</f>
        <v>0</v>
      </c>
      <c r="I147" s="246">
        <f>_xlfn.XLOOKUP(FME_Ranking1[[#This Row],[FME ID]],FME_Input[FME_ID],FME_Input[STRUCT_100])</f>
        <v>6774</v>
      </c>
      <c r="J147" s="178">
        <f>(FME_Ranking1[[#This Row],[Structures 100 Raw]]/I$2)*100</f>
        <v>3.6274257807479762</v>
      </c>
      <c r="K147" s="178">
        <f>FME_Ranking1[[#This Row],[Structures 100  Score (Normalized, Unweighted)]]*$I$3</f>
        <v>0.54411386711219645</v>
      </c>
      <c r="L147" s="246">
        <f>_xlfn.XLOOKUP(FME_Ranking1[[#This Row],[FME ID]],FME_Input[FME_ID],FME_Input[RES_STRUCT100])</f>
        <v>5481</v>
      </c>
      <c r="M147" s="230">
        <f>(FME_Ranking1[[#This Row],[Res Structures Raw]]/L$2)*100</f>
        <v>3.8822229462679383</v>
      </c>
      <c r="N147" s="180">
        <f>FME_Ranking1[[#This Row],[Res Structures Score (Normalized, Unweighted)]]*$L$3</f>
        <v>0.38822229462679386</v>
      </c>
      <c r="O147" s="244">
        <f>_xlfn.XLOOKUP(FME_Ranking1[[#This Row],[FME ID]],FME_Input[FME_ID],FME_Input[POP100])</f>
        <v>25522</v>
      </c>
      <c r="P147" s="178">
        <f>(FME_Ranking1[[#This Row],[Pop Raw]]/$O$2)*100</f>
        <v>2.6128227125772168</v>
      </c>
      <c r="Q147" s="178">
        <f>FME_Ranking1[[#This Row],[Pop Score (Normalized, Unweighted)]]*$O$3</f>
        <v>0.3919234068865825</v>
      </c>
      <c r="R147" s="137">
        <f>_xlfn.XLOOKUP(FME_Ranking1[[#This Row],[FME ID]],FME_Input[FME_ID],FME_Input[CRITFAC100])</f>
        <v>10</v>
      </c>
      <c r="S147" s="230">
        <f>(FME_Ranking1[[#This Row],[Critical Facilities Raw]]/$R$2)*100</f>
        <v>0.42881646655231564</v>
      </c>
      <c r="T147" s="180">
        <f>FME_Ranking1[[#This Row],[Critical Facilities Score (Normalized, Unweighted)]]*$R$3</f>
        <v>8.5763293310463132E-2</v>
      </c>
      <c r="U147">
        <f>_xlfn.XLOOKUP(FME_Ranking1[[#This Row],[FME ID]],FME_Input[FME_ID],FME_Input[LWC])</f>
        <v>26</v>
      </c>
      <c r="V147" s="178">
        <f>(FME_Ranking1[[#This Row],[LWC Raw]]/$U$2)*100</f>
        <v>1.496833621185953</v>
      </c>
      <c r="W147" s="178">
        <f>FME_Ranking1[[#This Row],[LWC Score (Normalized, Unweighted)]]*$U$3</f>
        <v>0.29936672423719063</v>
      </c>
      <c r="X147" s="246">
        <f>_xlfn.XLOOKUP(FME_Ranking1[[#This Row],[FME ID]],FME_Input[FME_ID],FME_Input[ROADCLS])</f>
        <v>0</v>
      </c>
      <c r="Y147" s="230">
        <f>(FME_Ranking1[[#This Row],[Closures Raw]]/$X$2)*100</f>
        <v>0</v>
      </c>
      <c r="Z147" s="180">
        <f>FME_Ranking1[[#This Row],[Closures Score (Normalized, Unweighted)]]*$X$3</f>
        <v>0</v>
      </c>
      <c r="AA147" s="253">
        <f>_xlfn.XLOOKUP(FME_Ranking1[[#This Row],[FME ID]],FME_Input[FME_ID],FME_Input[ROAD_MILES100])</f>
        <v>167.05210876464841</v>
      </c>
      <c r="AB147" s="178">
        <f>(FME_Ranking1[[#This Row],[Miles Raw]]/$AA$2)*100</f>
        <v>2.196435608231984</v>
      </c>
      <c r="AC147" s="178">
        <f>FME_Ranking1[[#This Row],[Miles Score (Normalized, Unweighted)]]*$AA$3</f>
        <v>0.21964356082319841</v>
      </c>
      <c r="AD147" s="255">
        <f>_xlfn.XLOOKUP(FME_Ranking1[[#This Row],[FME ID]],FME_Input[FME_ID],FME_Input[FARMACRE100])</f>
        <v>46.263008117675781</v>
      </c>
      <c r="AE147" s="230">
        <f>(FME_Ranking1[[#This Row],[Ag Land Raw]]/$AD$2)*100</f>
        <v>1.9076793582464256E-3</v>
      </c>
      <c r="AF147" s="231">
        <f>FME_Ranking1[[#This Row],[Ag Land Score (Normalized, Unweighted)]]*$AD$3</f>
        <v>9.5383967912321288E-5</v>
      </c>
      <c r="AG14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1.9291285309643371</v>
      </c>
      <c r="AH147" s="406">
        <f t="shared" si="2"/>
        <v>140</v>
      </c>
      <c r="AI14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1.9291285309643371</v>
      </c>
      <c r="AJ147" s="257">
        <f>FME_Ranking1[[#This Row],[Addition check]]-FME_Ranking1[[#This Row],[Weighted Score Based on Normalized Reported Factors]]</f>
        <v>0</v>
      </c>
      <c r="AK147" s="178">
        <f>_xlfn.RANK.EQ(AI147,$AI$6:$AI$2341,0)+COUNTIF($AI$6:AI147,AI147)-1</f>
        <v>140</v>
      </c>
    </row>
    <row r="148" spans="1:37" ht="12" customHeight="1" x14ac:dyDescent="0.25">
      <c r="A148" t="s">
        <v>2270</v>
      </c>
      <c r="B148">
        <f>_xlfn.XLOOKUP(FME_Ranking1[[#This Row],[FME ID]],FME_Input[FME_ID],FME_Input[RFPG_NUM])</f>
        <v>6</v>
      </c>
      <c r="C148" t="str">
        <f>_xlfn.XLOOKUP(FME_Ranking1[[#This Row],[FME ID]],FME_Input[FME_ID],FME_Input[FME_NAME])</f>
        <v>Lower Greens Feasibility Study</v>
      </c>
      <c r="D148" t="str">
        <f>_xlfn.XLOOKUP(FME_Ranking1[[#This Row],[FME ID]],FME_Input[FME_ID],FME_Input[DESCR])</f>
        <v>Feasibility study will identify the existing causes of flooding and solutions to reduce the risk of flooding in the lower stretch of Greens Bayou. Potential solutions channel conveyance improvements, detention, or bridge adjustments or replacements.</v>
      </c>
      <c r="E148" s="256">
        <f>_xlfn.XLOOKUP(FME_Ranking1[[#This Row],[FME ID]],FME_Input[FME_ID],FME_Input[FME_COST])</f>
        <v>1000000</v>
      </c>
      <c r="F148" t="str">
        <f>_xlfn.XLOOKUP(FME_Ranking1[[#This Row],[FME ID]],FME_Input[FME_ID],FME_Input[EMER_NEED])</f>
        <v>No</v>
      </c>
      <c r="G148">
        <f>IF(FME_Ranking!F148="Yes",100,0)</f>
        <v>0</v>
      </c>
      <c r="H148">
        <f>FME_Ranking1[[#This Row],[Emergency Need Score (Normalized, Unweighted)]]*$F$3</f>
        <v>0</v>
      </c>
      <c r="I148" s="246">
        <f>_xlfn.XLOOKUP(FME_Ranking1[[#This Row],[FME ID]],FME_Input[FME_ID],FME_Input[STRUCT_100])</f>
        <v>5930</v>
      </c>
      <c r="J148" s="178">
        <f>(FME_Ranking1[[#This Row],[Structures 100 Raw]]/I$2)*100</f>
        <v>3.1754701623613073</v>
      </c>
      <c r="K148" s="178">
        <f>FME_Ranking1[[#This Row],[Structures 100  Score (Normalized, Unweighted)]]*$I$3</f>
        <v>0.47632052435419608</v>
      </c>
      <c r="L148" s="246">
        <f>_xlfn.XLOOKUP(FME_Ranking1[[#This Row],[FME ID]],FME_Input[FME_ID],FME_Input[RES_STRUCT100])</f>
        <v>5094</v>
      </c>
      <c r="M148" s="230">
        <f>(FME_Ranking1[[#This Row],[Res Structures Raw]]/L$2)*100</f>
        <v>3.6081086824099393</v>
      </c>
      <c r="N148" s="180">
        <f>FME_Ranking1[[#This Row],[Res Structures Score (Normalized, Unweighted)]]*$L$3</f>
        <v>0.36081086824099395</v>
      </c>
      <c r="O148" s="244">
        <f>_xlfn.XLOOKUP(FME_Ranking1[[#This Row],[FME ID]],FME_Input[FME_ID],FME_Input[POP100])</f>
        <v>21011</v>
      </c>
      <c r="P148" s="178">
        <f>(FME_Ranking1[[#This Row],[Pop Raw]]/$O$2)*100</f>
        <v>2.1510076801959053</v>
      </c>
      <c r="Q148" s="178">
        <f>FME_Ranking1[[#This Row],[Pop Score (Normalized, Unweighted)]]*$O$3</f>
        <v>0.32265115202938577</v>
      </c>
      <c r="R148" s="137">
        <f>_xlfn.XLOOKUP(FME_Ranking1[[#This Row],[FME ID]],FME_Input[FME_ID],FME_Input[CRITFAC100])</f>
        <v>58</v>
      </c>
      <c r="S148" s="230">
        <f>(FME_Ranking1[[#This Row],[Critical Facilities Raw]]/$R$2)*100</f>
        <v>2.4871355060034306</v>
      </c>
      <c r="T148" s="180">
        <f>FME_Ranking1[[#This Row],[Critical Facilities Score (Normalized, Unweighted)]]*$R$3</f>
        <v>0.49742710120068612</v>
      </c>
      <c r="U148">
        <f>_xlfn.XLOOKUP(FME_Ranking1[[#This Row],[FME ID]],FME_Input[FME_ID],FME_Input[LWC])</f>
        <v>3</v>
      </c>
      <c r="V148" s="178">
        <f>(FME_Ranking1[[#This Row],[LWC Raw]]/$U$2)*100</f>
        <v>0.17271157167530224</v>
      </c>
      <c r="W148" s="178">
        <f>FME_Ranking1[[#This Row],[LWC Score (Normalized, Unweighted)]]*$U$3</f>
        <v>3.4542314335060449E-2</v>
      </c>
      <c r="X148" s="246">
        <f>_xlfn.XLOOKUP(FME_Ranking1[[#This Row],[FME ID]],FME_Input[FME_ID],FME_Input[ROADCLS])</f>
        <v>3</v>
      </c>
      <c r="Y148" s="230">
        <f>(FME_Ranking1[[#This Row],[Closures Raw]]/$X$2)*100</f>
        <v>3.1542424561034593E-2</v>
      </c>
      <c r="Z148" s="180">
        <f>FME_Ranking1[[#This Row],[Closures Score (Normalized, Unweighted)]]*$X$3</f>
        <v>1.5771212280517297E-3</v>
      </c>
      <c r="AA148" s="253">
        <f>_xlfn.XLOOKUP(FME_Ranking1[[#This Row],[FME ID]],FME_Input[FME_ID],FME_Input[ROAD_MILES100])</f>
        <v>68.033332824707031</v>
      </c>
      <c r="AB148" s="178">
        <f>(FME_Ranking1[[#This Row],[Miles Raw]]/$AA$2)*100</f>
        <v>0.89451630313395325</v>
      </c>
      <c r="AC148" s="178">
        <f>FME_Ranking1[[#This Row],[Miles Score (Normalized, Unweighted)]]*$AA$3</f>
        <v>8.9451630313395328E-2</v>
      </c>
      <c r="AD148" s="255">
        <f>_xlfn.XLOOKUP(FME_Ranking1[[#This Row],[FME ID]],FME_Input[FME_ID],FME_Input[FARMACRE100])</f>
        <v>2.3569750785827641</v>
      </c>
      <c r="AE148" s="230">
        <f>(FME_Ranking1[[#This Row],[Ag Land Raw]]/$AD$2)*100</f>
        <v>9.7191101233117983E-5</v>
      </c>
      <c r="AF148" s="231">
        <f>FME_Ranking1[[#This Row],[Ag Land Score (Normalized, Unweighted)]]*$AD$3</f>
        <v>4.8595550616558995E-6</v>
      </c>
      <c r="AG14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1.7827855712568312</v>
      </c>
      <c r="AH148" s="406">
        <f t="shared" si="2"/>
        <v>159</v>
      </c>
      <c r="AI14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1.7827855712568312</v>
      </c>
      <c r="AJ148" s="257">
        <f>FME_Ranking1[[#This Row],[Addition check]]-FME_Ranking1[[#This Row],[Weighted Score Based on Normalized Reported Factors]]</f>
        <v>0</v>
      </c>
      <c r="AK148" s="178">
        <f>_xlfn.RANK.EQ(AI148,$AI$6:$AI$2341,0)+COUNTIF($AI$6:AI148,AI148)-1</f>
        <v>159</v>
      </c>
    </row>
    <row r="149" spans="1:37" ht="12" customHeight="1" x14ac:dyDescent="0.25">
      <c r="A149" t="s">
        <v>8112</v>
      </c>
      <c r="B149">
        <f>_xlfn.XLOOKUP(FME_Ranking1[[#This Row],[FME ID]],FME_Input[FME_ID],FME_Input[RFPG_NUM])</f>
        <v>9</v>
      </c>
      <c r="C149" t="str">
        <f>_xlfn.XLOOKUP(FME_Ranking1[[#This Row],[FME ID]],FME_Input[FME_ID],FME_Input[FME_NAME])</f>
        <v>City of Odessa DMP</v>
      </c>
      <c r="D149" t="str">
        <f>_xlfn.XLOOKUP(FME_Ranking1[[#This Row],[FME ID]],FME_Input[FME_ID],FME_Input[DESCR])</f>
        <v xml:space="preserve">Create Drainage Master Plan, including evaluation of potential mitigation projects. </v>
      </c>
      <c r="E149" s="256">
        <f>_xlfn.XLOOKUP(FME_Ranking1[[#This Row],[FME ID]],FME_Input[FME_ID],FME_Input[FME_COST])</f>
        <v>750000</v>
      </c>
      <c r="F149" t="str">
        <f>_xlfn.XLOOKUP(FME_Ranking1[[#This Row],[FME ID]],FME_Input[FME_ID],FME_Input[EMER_NEED])</f>
        <v>No</v>
      </c>
      <c r="G149">
        <f>IF(FME_Ranking!F149="Yes",100,0)</f>
        <v>0</v>
      </c>
      <c r="H149">
        <f>FME_Ranking1[[#This Row],[Emergency Need Score (Normalized, Unweighted)]]*$F$3</f>
        <v>0</v>
      </c>
      <c r="I149" s="246">
        <f>_xlfn.XLOOKUP(FME_Ranking1[[#This Row],[FME ID]],FME_Input[FME_ID],FME_Input[STRUCT_100])</f>
        <v>6574</v>
      </c>
      <c r="J149" s="178">
        <f>(FME_Ranking1[[#This Row],[Structures 100 Raw]]/I$2)*100</f>
        <v>3.5203272929786236</v>
      </c>
      <c r="K149" s="178">
        <f>FME_Ranking1[[#This Row],[Structures 100  Score (Normalized, Unweighted)]]*$I$3</f>
        <v>0.52804909394679356</v>
      </c>
      <c r="L149" s="246">
        <f>_xlfn.XLOOKUP(FME_Ranking1[[#This Row],[FME ID]],FME_Input[FME_ID],FME_Input[RES_STRUCT100])</f>
        <v>5476</v>
      </c>
      <c r="M149" s="230">
        <f>(FME_Ranking1[[#This Row],[Res Structures Raw]]/L$2)*100</f>
        <v>3.8786814183111162</v>
      </c>
      <c r="N149" s="180">
        <f>FME_Ranking1[[#This Row],[Res Structures Score (Normalized, Unweighted)]]*$L$3</f>
        <v>0.38786814183111162</v>
      </c>
      <c r="O149" s="244">
        <f>_xlfn.XLOOKUP(FME_Ranking1[[#This Row],[FME ID]],FME_Input[FME_ID],FME_Input[POP100])</f>
        <v>24528</v>
      </c>
      <c r="P149" s="178">
        <f>(FME_Ranking1[[#This Row],[Pop Raw]]/$O$2)*100</f>
        <v>2.5110616524603859</v>
      </c>
      <c r="Q149" s="178">
        <f>FME_Ranking1[[#This Row],[Pop Score (Normalized, Unweighted)]]*$O$3</f>
        <v>0.37665924786905786</v>
      </c>
      <c r="R149" s="137">
        <f>_xlfn.XLOOKUP(FME_Ranking1[[#This Row],[FME ID]],FME_Input[FME_ID],FME_Input[CRITFAC100])</f>
        <v>10</v>
      </c>
      <c r="S149" s="230">
        <f>(FME_Ranking1[[#This Row],[Critical Facilities Raw]]/$R$2)*100</f>
        <v>0.42881646655231564</v>
      </c>
      <c r="T149" s="180">
        <f>FME_Ranking1[[#This Row],[Critical Facilities Score (Normalized, Unweighted)]]*$R$3</f>
        <v>8.5763293310463132E-2</v>
      </c>
      <c r="U149">
        <f>_xlfn.XLOOKUP(FME_Ranking1[[#This Row],[FME ID]],FME_Input[FME_ID],FME_Input[LWC])</f>
        <v>26</v>
      </c>
      <c r="V149" s="178">
        <f>(FME_Ranking1[[#This Row],[LWC Raw]]/$U$2)*100</f>
        <v>1.496833621185953</v>
      </c>
      <c r="W149" s="178">
        <f>FME_Ranking1[[#This Row],[LWC Score (Normalized, Unweighted)]]*$U$3</f>
        <v>0.29936672423719063</v>
      </c>
      <c r="X149" s="246">
        <f>_xlfn.XLOOKUP(FME_Ranking1[[#This Row],[FME ID]],FME_Input[FME_ID],FME_Input[ROADCLS])</f>
        <v>0</v>
      </c>
      <c r="Y149" s="230">
        <f>(FME_Ranking1[[#This Row],[Closures Raw]]/$X$2)*100</f>
        <v>0</v>
      </c>
      <c r="Z149" s="180">
        <f>FME_Ranking1[[#This Row],[Closures Score (Normalized, Unweighted)]]*$X$3</f>
        <v>0</v>
      </c>
      <c r="AA149" s="253">
        <f>_xlfn.XLOOKUP(FME_Ranking1[[#This Row],[FME ID]],FME_Input[FME_ID],FME_Input[ROAD_MILES100])</f>
        <v>154.56486511230469</v>
      </c>
      <c r="AB149" s="178">
        <f>(FME_Ranking1[[#This Row],[Miles Raw]]/$AA$2)*100</f>
        <v>2.0322507511266017</v>
      </c>
      <c r="AC149" s="178">
        <f>FME_Ranking1[[#This Row],[Miles Score (Normalized, Unweighted)]]*$AA$3</f>
        <v>0.20322507511266019</v>
      </c>
      <c r="AD149" s="255">
        <f>_xlfn.XLOOKUP(FME_Ranking1[[#This Row],[FME ID]],FME_Input[FME_ID],FME_Input[FARMACRE100])</f>
        <v>26.065326690673832</v>
      </c>
      <c r="AE149" s="230">
        <f>(FME_Ranking1[[#This Row],[Ag Land Raw]]/$AD$2)*100</f>
        <v>1.0748173911922915E-3</v>
      </c>
      <c r="AF149" s="231">
        <f>FME_Ranking1[[#This Row],[Ag Land Score (Normalized, Unweighted)]]*$AD$3</f>
        <v>5.3740869559614578E-5</v>
      </c>
      <c r="AG14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1.8809853171768365</v>
      </c>
      <c r="AH149" s="406">
        <f t="shared" si="2"/>
        <v>146</v>
      </c>
      <c r="AI14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1.8809853171768365</v>
      </c>
      <c r="AJ149" s="257">
        <f>FME_Ranking1[[#This Row],[Addition check]]-FME_Ranking1[[#This Row],[Weighted Score Based on Normalized Reported Factors]]</f>
        <v>0</v>
      </c>
      <c r="AK149" s="178">
        <f>_xlfn.RANK.EQ(AI149,$AI$6:$AI$2341,0)+COUNTIF($AI$6:AI149,AI149)-1</f>
        <v>146</v>
      </c>
    </row>
    <row r="150" spans="1:37" ht="12" customHeight="1" x14ac:dyDescent="0.25">
      <c r="A150" t="s">
        <v>8325</v>
      </c>
      <c r="B150">
        <f>_xlfn.XLOOKUP(FME_Ranking1[[#This Row],[FME ID]],FME_Input[FME_ID],FME_Input[RFPG_NUM])</f>
        <v>9</v>
      </c>
      <c r="C150" t="str">
        <f>_xlfn.XLOOKUP(FME_Ranking1[[#This Row],[FME ID]],FME_Input[FME_ID],FME_Input[FME_NAME])</f>
        <v>City of Odessa Buyout Program Study</v>
      </c>
      <c r="D150" t="str">
        <f>_xlfn.XLOOKUP(FME_Ranking1[[#This Row],[FME ID]],FME_Input[FME_ID],FME_Input[DESCR])</f>
        <v xml:space="preserve">In Muskingum Draw floodplain between 8th Street and University Boulevard, numerous homes and small businesses (approximately 400) are subject to damage from flooding. Proposed evaluation of potential buyout project.  </v>
      </c>
      <c r="E150" s="256">
        <f>_xlfn.XLOOKUP(FME_Ranking1[[#This Row],[FME ID]],FME_Input[FME_ID],FME_Input[FME_COST])</f>
        <v>411700</v>
      </c>
      <c r="F150" t="str">
        <f>_xlfn.XLOOKUP(FME_Ranking1[[#This Row],[FME ID]],FME_Input[FME_ID],FME_Input[EMER_NEED])</f>
        <v>Yes</v>
      </c>
      <c r="G150">
        <f>IF(FME_Ranking!F150="Yes",100,0)</f>
        <v>100</v>
      </c>
      <c r="H150">
        <f>FME_Ranking1[[#This Row],[Emergency Need Score (Normalized, Unweighted)]]*$F$3</f>
        <v>0</v>
      </c>
      <c r="I150" s="246">
        <f>_xlfn.XLOOKUP(FME_Ranking1[[#This Row],[FME ID]],FME_Input[FME_ID],FME_Input[STRUCT_100])</f>
        <v>6574</v>
      </c>
      <c r="J150" s="178">
        <f>(FME_Ranking1[[#This Row],[Structures 100 Raw]]/I$2)*100</f>
        <v>3.5203272929786236</v>
      </c>
      <c r="K150" s="178">
        <f>FME_Ranking1[[#This Row],[Structures 100  Score (Normalized, Unweighted)]]*$I$3</f>
        <v>0.52804909394679356</v>
      </c>
      <c r="L150" s="246">
        <f>_xlfn.XLOOKUP(FME_Ranking1[[#This Row],[FME ID]],FME_Input[FME_ID],FME_Input[RES_STRUCT100])</f>
        <v>5476</v>
      </c>
      <c r="M150" s="230">
        <f>(FME_Ranking1[[#This Row],[Res Structures Raw]]/L$2)*100</f>
        <v>3.8786814183111162</v>
      </c>
      <c r="N150" s="180">
        <f>FME_Ranking1[[#This Row],[Res Structures Score (Normalized, Unweighted)]]*$L$3</f>
        <v>0.38786814183111162</v>
      </c>
      <c r="O150" s="244">
        <f>_xlfn.XLOOKUP(FME_Ranking1[[#This Row],[FME ID]],FME_Input[FME_ID],FME_Input[POP100])</f>
        <v>24528</v>
      </c>
      <c r="P150" s="178">
        <f>(FME_Ranking1[[#This Row],[Pop Raw]]/$O$2)*100</f>
        <v>2.5110616524603859</v>
      </c>
      <c r="Q150" s="178">
        <f>FME_Ranking1[[#This Row],[Pop Score (Normalized, Unweighted)]]*$O$3</f>
        <v>0.37665924786905786</v>
      </c>
      <c r="R150" s="137">
        <f>_xlfn.XLOOKUP(FME_Ranking1[[#This Row],[FME ID]],FME_Input[FME_ID],FME_Input[CRITFAC100])</f>
        <v>10</v>
      </c>
      <c r="S150" s="230">
        <f>(FME_Ranking1[[#This Row],[Critical Facilities Raw]]/$R$2)*100</f>
        <v>0.42881646655231564</v>
      </c>
      <c r="T150" s="180">
        <f>FME_Ranking1[[#This Row],[Critical Facilities Score (Normalized, Unweighted)]]*$R$3</f>
        <v>8.5763293310463132E-2</v>
      </c>
      <c r="U150">
        <f>_xlfn.XLOOKUP(FME_Ranking1[[#This Row],[FME ID]],FME_Input[FME_ID],FME_Input[LWC])</f>
        <v>26</v>
      </c>
      <c r="V150" s="178">
        <f>(FME_Ranking1[[#This Row],[LWC Raw]]/$U$2)*100</f>
        <v>1.496833621185953</v>
      </c>
      <c r="W150" s="178">
        <f>FME_Ranking1[[#This Row],[LWC Score (Normalized, Unweighted)]]*$U$3</f>
        <v>0.29936672423719063</v>
      </c>
      <c r="X150" s="246">
        <f>_xlfn.XLOOKUP(FME_Ranking1[[#This Row],[FME ID]],FME_Input[FME_ID],FME_Input[ROADCLS])</f>
        <v>0</v>
      </c>
      <c r="Y150" s="230">
        <f>(FME_Ranking1[[#This Row],[Closures Raw]]/$X$2)*100</f>
        <v>0</v>
      </c>
      <c r="Z150" s="180">
        <f>FME_Ranking1[[#This Row],[Closures Score (Normalized, Unweighted)]]*$X$3</f>
        <v>0</v>
      </c>
      <c r="AA150" s="253">
        <f>_xlfn.XLOOKUP(FME_Ranking1[[#This Row],[FME ID]],FME_Input[FME_ID],FME_Input[ROAD_MILES100])</f>
        <v>154.56486511230469</v>
      </c>
      <c r="AB150" s="178">
        <f>(FME_Ranking1[[#This Row],[Miles Raw]]/$AA$2)*100</f>
        <v>2.0322507511266017</v>
      </c>
      <c r="AC150" s="178">
        <f>FME_Ranking1[[#This Row],[Miles Score (Normalized, Unweighted)]]*$AA$3</f>
        <v>0.20322507511266019</v>
      </c>
      <c r="AD150" s="255">
        <f>_xlfn.XLOOKUP(FME_Ranking1[[#This Row],[FME ID]],FME_Input[FME_ID],FME_Input[FARMACRE100])</f>
        <v>26.065326690673832</v>
      </c>
      <c r="AE150" s="230">
        <f>(FME_Ranking1[[#This Row],[Ag Land Raw]]/$AD$2)*100</f>
        <v>1.0748173911922915E-3</v>
      </c>
      <c r="AF150" s="231">
        <f>FME_Ranking1[[#This Row],[Ag Land Score (Normalized, Unweighted)]]*$AD$3</f>
        <v>5.3740869559614578E-5</v>
      </c>
      <c r="AG15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1.8809853171768365</v>
      </c>
      <c r="AH150" s="406">
        <f t="shared" si="2"/>
        <v>146</v>
      </c>
      <c r="AI15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1.8809853171768365</v>
      </c>
      <c r="AJ150" s="257">
        <f>FME_Ranking1[[#This Row],[Addition check]]-FME_Ranking1[[#This Row],[Weighted Score Based on Normalized Reported Factors]]</f>
        <v>0</v>
      </c>
      <c r="AK150" s="178">
        <f>_xlfn.RANK.EQ(AI150,$AI$6:$AI$2341,0)+COUNTIF($AI$6:AI150,AI150)-1</f>
        <v>147</v>
      </c>
    </row>
    <row r="151" spans="1:37" ht="12" customHeight="1" x14ac:dyDescent="0.25">
      <c r="A151" t="s">
        <v>6118</v>
      </c>
      <c r="B151">
        <f>_xlfn.XLOOKUP(FME_Ranking1[[#This Row],[FME ID]],FME_Input[FME_ID],FME_Input[RFPG_NUM])</f>
        <v>5</v>
      </c>
      <c r="C151" t="str">
        <f>_xlfn.XLOOKUP(FME_Ranking1[[#This Row],[FME ID]],FME_Input[FME_ID],FME_Input[FME_NAME])</f>
        <v>JCDD7 Hurricane Flood Protection Levee Study</v>
      </c>
      <c r="D151" t="str">
        <f>_xlfn.XLOOKUP(FME_Ranking1[[#This Row],[FME ID]],FME_Input[FME_ID],FME_Input[DESCR])</f>
        <v>Study to identify possible upgrades to levees to help reduce the risk of flooding and to help the District review and update levees in jurisdictional area.</v>
      </c>
      <c r="E151" s="256">
        <f>_xlfn.XLOOKUP(FME_Ranking1[[#This Row],[FME ID]],FME_Input[FME_ID],FME_Input[FME_COST])</f>
        <v>777000</v>
      </c>
      <c r="F151" t="str">
        <f>_xlfn.XLOOKUP(FME_Ranking1[[#This Row],[FME ID]],FME_Input[FME_ID],FME_Input[EMER_NEED])</f>
        <v>Yes</v>
      </c>
      <c r="G151">
        <f>IF(FME_Ranking!F151="Yes",100,0)</f>
        <v>100</v>
      </c>
      <c r="H151">
        <f>FME_Ranking1[[#This Row],[Emergency Need Score (Normalized, Unweighted)]]*$F$3</f>
        <v>0</v>
      </c>
      <c r="I151" s="246">
        <f>_xlfn.XLOOKUP(FME_Ranking1[[#This Row],[FME ID]],FME_Input[FME_ID],FME_Input[STRUCT_100])</f>
        <v>4705</v>
      </c>
      <c r="J151" s="178">
        <f>(FME_Ranking1[[#This Row],[Structures 100 Raw]]/I$2)*100</f>
        <v>2.5194919247740222</v>
      </c>
      <c r="K151" s="178">
        <f>FME_Ranking1[[#This Row],[Structures 100  Score (Normalized, Unweighted)]]*$I$3</f>
        <v>0.37792378871610333</v>
      </c>
      <c r="L151" s="246">
        <f>_xlfn.XLOOKUP(FME_Ranking1[[#This Row],[FME ID]],FME_Input[FME_ID],FME_Input[RES_STRUCT100])</f>
        <v>3668</v>
      </c>
      <c r="M151" s="230">
        <f>(FME_Ranking1[[#This Row],[Res Structures Raw]]/L$2)*100</f>
        <v>2.5980649091243926</v>
      </c>
      <c r="N151" s="180">
        <f>FME_Ranking1[[#This Row],[Res Structures Score (Normalized, Unweighted)]]*$L$3</f>
        <v>0.25980649091243929</v>
      </c>
      <c r="O151" s="244">
        <f>_xlfn.XLOOKUP(FME_Ranking1[[#This Row],[FME ID]],FME_Input[FME_ID],FME_Input[POP100])</f>
        <v>17575</v>
      </c>
      <c r="P151" s="178">
        <f>(FME_Ranking1[[#This Row],[Pop Raw]]/$O$2)*100</f>
        <v>1.7992461082025148</v>
      </c>
      <c r="Q151" s="178">
        <f>FME_Ranking1[[#This Row],[Pop Score (Normalized, Unweighted)]]*$O$3</f>
        <v>0.26988691623037719</v>
      </c>
      <c r="R151" s="137">
        <f>_xlfn.XLOOKUP(FME_Ranking1[[#This Row],[FME ID]],FME_Input[FME_ID],FME_Input[CRITFAC100])</f>
        <v>82</v>
      </c>
      <c r="S151" s="230">
        <f>(FME_Ranking1[[#This Row],[Critical Facilities Raw]]/$R$2)*100</f>
        <v>3.5162950257289882</v>
      </c>
      <c r="T151" s="180">
        <f>FME_Ranking1[[#This Row],[Critical Facilities Score (Normalized, Unweighted)]]*$R$3</f>
        <v>0.70325900514579764</v>
      </c>
      <c r="U151">
        <f>_xlfn.XLOOKUP(FME_Ranking1[[#This Row],[FME ID]],FME_Input[FME_ID],FME_Input[LWC])</f>
        <v>3</v>
      </c>
      <c r="V151" s="178">
        <f>(FME_Ranking1[[#This Row],[LWC Raw]]/$U$2)*100</f>
        <v>0.17271157167530224</v>
      </c>
      <c r="W151" s="178">
        <f>FME_Ranking1[[#This Row],[LWC Score (Normalized, Unweighted)]]*$U$3</f>
        <v>3.4542314335060449E-2</v>
      </c>
      <c r="X151" s="246">
        <f>_xlfn.XLOOKUP(FME_Ranking1[[#This Row],[FME ID]],FME_Input[FME_ID],FME_Input[ROADCLS])</f>
        <v>3</v>
      </c>
      <c r="Y151" s="230">
        <f>(FME_Ranking1[[#This Row],[Closures Raw]]/$X$2)*100</f>
        <v>3.1542424561034593E-2</v>
      </c>
      <c r="Z151" s="180">
        <f>FME_Ranking1[[#This Row],[Closures Score (Normalized, Unweighted)]]*$X$3</f>
        <v>1.5771212280517297E-3</v>
      </c>
      <c r="AA151" s="253">
        <f>_xlfn.XLOOKUP(FME_Ranking1[[#This Row],[FME ID]],FME_Input[FME_ID],FME_Input[ROAD_MILES100])</f>
        <v>94.586105346679688</v>
      </c>
      <c r="AB151" s="178">
        <f>(FME_Ranking1[[#This Row],[Miles Raw]]/$AA$2)*100</f>
        <v>1.2436376371645868</v>
      </c>
      <c r="AC151" s="178">
        <f>FME_Ranking1[[#This Row],[Miles Score (Normalized, Unweighted)]]*$AA$3</f>
        <v>0.12436376371645869</v>
      </c>
      <c r="AD151" s="255">
        <f>_xlfn.XLOOKUP(FME_Ranking1[[#This Row],[FME ID]],FME_Input[FME_ID],FME_Input[FARMACRE100])</f>
        <v>875.97601318359375</v>
      </c>
      <c r="AE151" s="230">
        <f>(FME_Ranking1[[#This Row],[Ag Land Raw]]/$AD$2)*100</f>
        <v>3.6121329473836526E-2</v>
      </c>
      <c r="AF151" s="231">
        <f>FME_Ranking1[[#This Row],[Ag Land Score (Normalized, Unweighted)]]*$AD$3</f>
        <v>1.8060664736918265E-3</v>
      </c>
      <c r="AG15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1.7731654667579804</v>
      </c>
      <c r="AH151" s="406">
        <f t="shared" si="2"/>
        <v>161</v>
      </c>
      <c r="AI15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1.7731654667579804</v>
      </c>
      <c r="AJ151" s="257">
        <f>FME_Ranking1[[#This Row],[Addition check]]-FME_Ranking1[[#This Row],[Weighted Score Based on Normalized Reported Factors]]</f>
        <v>0</v>
      </c>
      <c r="AK151" s="178">
        <f>_xlfn.RANK.EQ(AI151,$AI$6:$AI$2341,0)+COUNTIF($AI$6:AI151,AI151)-1</f>
        <v>161</v>
      </c>
    </row>
    <row r="152" spans="1:37" ht="12" customHeight="1" x14ac:dyDescent="0.25">
      <c r="A152" t="s">
        <v>1415</v>
      </c>
      <c r="B152">
        <f>_xlfn.XLOOKUP(FME_Ranking1[[#This Row],[FME ID]],FME_Input[FME_ID],FME_Input[RFPG_NUM])</f>
        <v>6</v>
      </c>
      <c r="C152" t="str">
        <f>_xlfn.XLOOKUP(FME_Ranking1[[#This Row],[FME ID]],FME_Input[FME_ID],FME_Input[FME_NAME])</f>
        <v>Spring Creek - Construction of a Reservoir along Spring Creek</v>
      </c>
      <c r="D152" t="str">
        <f>_xlfn.XLOOKUP(FME_Ranking1[[#This Row],[FME ID]],FME_Input[FME_ID],FME_Input[DESCR])</f>
        <v>Further study for design and construction of a future flood control dam and reservoir in the Spring Creek watershed.</v>
      </c>
      <c r="E152" s="256">
        <f>_xlfn.XLOOKUP(FME_Ranking1[[#This Row],[FME ID]],FME_Input[FME_ID],FME_Input[FME_COST])</f>
        <v>870000</v>
      </c>
      <c r="F152" t="str">
        <f>_xlfn.XLOOKUP(FME_Ranking1[[#This Row],[FME ID]],FME_Input[FME_ID],FME_Input[EMER_NEED])</f>
        <v>No</v>
      </c>
      <c r="G152">
        <f>IF(FME_Ranking!F152="Yes",100,0)</f>
        <v>0</v>
      </c>
      <c r="H152">
        <f>FME_Ranking1[[#This Row],[Emergency Need Score (Normalized, Unweighted)]]*$F$3</f>
        <v>0</v>
      </c>
      <c r="I152" s="246">
        <f>_xlfn.XLOOKUP(FME_Ranking1[[#This Row],[FME ID]],FME_Input[FME_ID],FME_Input[STRUCT_100])</f>
        <v>4191</v>
      </c>
      <c r="J152" s="178">
        <f>(FME_Ranking1[[#This Row],[Structures 100 Raw]]/I$2)*100</f>
        <v>2.244248811206786</v>
      </c>
      <c r="K152" s="178">
        <f>FME_Ranking1[[#This Row],[Structures 100  Score (Normalized, Unweighted)]]*$I$3</f>
        <v>0.3366373216810179</v>
      </c>
      <c r="L152" s="246">
        <f>_xlfn.XLOOKUP(FME_Ranking1[[#This Row],[FME ID]],FME_Input[FME_ID],FME_Input[RES_STRUCT100])</f>
        <v>3436</v>
      </c>
      <c r="M152" s="230">
        <f>(FME_Ranking1[[#This Row],[Res Structures Raw]]/L$2)*100</f>
        <v>2.4337380119278662</v>
      </c>
      <c r="N152" s="180">
        <f>FME_Ranking1[[#This Row],[Res Structures Score (Normalized, Unweighted)]]*$L$3</f>
        <v>0.24337380119278662</v>
      </c>
      <c r="O152" s="244">
        <f>_xlfn.XLOOKUP(FME_Ranking1[[#This Row],[FME ID]],FME_Input[FME_ID],FME_Input[POP100])</f>
        <v>23627</v>
      </c>
      <c r="P152" s="178">
        <f>(FME_Ranking1[[#This Row],[Pop Raw]]/$O$2)*100</f>
        <v>2.4188214963585102</v>
      </c>
      <c r="Q152" s="178">
        <f>FME_Ranking1[[#This Row],[Pop Score (Normalized, Unweighted)]]*$O$3</f>
        <v>0.36282322445377652</v>
      </c>
      <c r="R152" s="137">
        <f>_xlfn.XLOOKUP(FME_Ranking1[[#This Row],[FME ID]],FME_Input[FME_ID],FME_Input[CRITFAC100])</f>
        <v>44</v>
      </c>
      <c r="S152" s="230">
        <f>(FME_Ranking1[[#This Row],[Critical Facilities Raw]]/$R$2)*100</f>
        <v>1.8867924528301887</v>
      </c>
      <c r="T152" s="180">
        <f>FME_Ranking1[[#This Row],[Critical Facilities Score (Normalized, Unweighted)]]*$R$3</f>
        <v>0.37735849056603776</v>
      </c>
      <c r="U152">
        <f>_xlfn.XLOOKUP(FME_Ranking1[[#This Row],[FME ID]],FME_Input[FME_ID],FME_Input[LWC])</f>
        <v>27</v>
      </c>
      <c r="V152" s="178">
        <f>(FME_Ranking1[[#This Row],[LWC Raw]]/$U$2)*100</f>
        <v>1.5544041450777202</v>
      </c>
      <c r="W152" s="178">
        <f>FME_Ranking1[[#This Row],[LWC Score (Normalized, Unweighted)]]*$U$3</f>
        <v>0.31088082901554404</v>
      </c>
      <c r="X152" s="246">
        <f>_xlfn.XLOOKUP(FME_Ranking1[[#This Row],[FME ID]],FME_Input[FME_ID],FME_Input[ROADCLS])</f>
        <v>27</v>
      </c>
      <c r="Y152" s="230">
        <f>(FME_Ranking1[[#This Row],[Closures Raw]]/$X$2)*100</f>
        <v>0.28388182104931131</v>
      </c>
      <c r="Z152" s="180">
        <f>FME_Ranking1[[#This Row],[Closures Score (Normalized, Unweighted)]]*$X$3</f>
        <v>1.4194091052465566E-2</v>
      </c>
      <c r="AA152" s="253">
        <f>_xlfn.XLOOKUP(FME_Ranking1[[#This Row],[FME ID]],FME_Input[FME_ID],FME_Input[ROAD_MILES100])</f>
        <v>106.1284255981445</v>
      </c>
      <c r="AB152" s="178">
        <f>(FME_Ranking1[[#This Row],[Miles Raw]]/$AA$2)*100</f>
        <v>1.3953984463480948</v>
      </c>
      <c r="AC152" s="178">
        <f>FME_Ranking1[[#This Row],[Miles Score (Normalized, Unweighted)]]*$AA$3</f>
        <v>0.13953984463480948</v>
      </c>
      <c r="AD152" s="255">
        <f>_xlfn.XLOOKUP(FME_Ranking1[[#This Row],[FME ID]],FME_Input[FME_ID],FME_Input[FARMACRE100])</f>
        <v>231.65153503417969</v>
      </c>
      <c r="AE152" s="230">
        <f>(FME_Ranking1[[#This Row],[Ag Land Raw]]/$AD$2)*100</f>
        <v>9.5522723158583244E-3</v>
      </c>
      <c r="AF152" s="231">
        <f>FME_Ranking1[[#This Row],[Ag Land Score (Normalized, Unweighted)]]*$AD$3</f>
        <v>4.7761361579291622E-4</v>
      </c>
      <c r="AG15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1.785285216212231</v>
      </c>
      <c r="AH152" s="406">
        <f t="shared" si="2"/>
        <v>158</v>
      </c>
      <c r="AI15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1.785285216212231</v>
      </c>
      <c r="AJ152" s="257">
        <f>FME_Ranking1[[#This Row],[Addition check]]-FME_Ranking1[[#This Row],[Weighted Score Based on Normalized Reported Factors]]</f>
        <v>0</v>
      </c>
      <c r="AK152" s="178">
        <f>_xlfn.RANK.EQ(AI152,$AI$6:$AI$2341,0)+COUNTIF($AI$6:AI152,AI152)-1</f>
        <v>158</v>
      </c>
    </row>
    <row r="153" spans="1:37" ht="12" customHeight="1" x14ac:dyDescent="0.25">
      <c r="A153" t="s">
        <v>3844</v>
      </c>
      <c r="B153">
        <f>_xlfn.XLOOKUP(FME_Ranking1[[#This Row],[FME ID]],FME_Input[FME_ID],FME_Input[RFPG_NUM])</f>
        <v>3</v>
      </c>
      <c r="C153" t="str">
        <f>_xlfn.XLOOKUP(FME_Ranking1[[#This Row],[FME ID]],FME_Input[FME_ID],FME_Input[FME_NAME])</f>
        <v xml:space="preserve">Ellis County FEMA Mapping </v>
      </c>
      <c r="D153" t="str">
        <f>_xlfn.XLOOKUP(FME_Ranking1[[#This Row],[FME ID]],FME_Input[FME_ID],FME_Input[DESCR])</f>
        <v>Create FEMA mapping in previously unmapped areas and update existing FEMA maps as needed.</v>
      </c>
      <c r="E153" s="256">
        <f>_xlfn.XLOOKUP(FME_Ranking1[[#This Row],[FME ID]],FME_Input[FME_ID],FME_Input[FME_COST])</f>
        <v>1182000</v>
      </c>
      <c r="F153" t="str">
        <f>_xlfn.XLOOKUP(FME_Ranking1[[#This Row],[FME ID]],FME_Input[FME_ID],FME_Input[EMER_NEED])</f>
        <v>No</v>
      </c>
      <c r="G153">
        <f>IF(FME_Ranking!F153="Yes",100,0)</f>
        <v>0</v>
      </c>
      <c r="H153">
        <f>FME_Ranking1[[#This Row],[Emergency Need Score (Normalized, Unweighted)]]*$F$3</f>
        <v>0</v>
      </c>
      <c r="I153" s="246">
        <f>_xlfn.XLOOKUP(FME_Ranking1[[#This Row],[FME ID]],FME_Input[FME_ID],FME_Input[STRUCT_100])</f>
        <v>2712</v>
      </c>
      <c r="J153" s="178">
        <f>(FME_Ranking1[[#This Row],[Structures 100 Raw]]/I$2)*100</f>
        <v>1.4522554941524224</v>
      </c>
      <c r="K153" s="178">
        <f>FME_Ranking1[[#This Row],[Structures 100  Score (Normalized, Unweighted)]]*$I$3</f>
        <v>0.21783832412286336</v>
      </c>
      <c r="L153" s="246">
        <f>_xlfn.XLOOKUP(FME_Ranking1[[#This Row],[FME ID]],FME_Input[FME_ID],FME_Input[RES_STRUCT100])</f>
        <v>2240</v>
      </c>
      <c r="M153" s="230">
        <f>(FME_Ranking1[[#This Row],[Res Structures Raw]]/L$2)*100</f>
        <v>1.5866045246561176</v>
      </c>
      <c r="N153" s="180">
        <f>FME_Ranking1[[#This Row],[Res Structures Score (Normalized, Unweighted)]]*$L$3</f>
        <v>0.15866045246561178</v>
      </c>
      <c r="O153" s="244">
        <f>_xlfn.XLOOKUP(FME_Ranking1[[#This Row],[FME ID]],FME_Input[FME_ID],FME_Input[POP100])</f>
        <v>8472</v>
      </c>
      <c r="P153" s="178">
        <f>(FME_Ranking1[[#This Row],[Pop Raw]]/$O$2)*100</f>
        <v>0.8673236431688025</v>
      </c>
      <c r="Q153" s="178">
        <f>FME_Ranking1[[#This Row],[Pop Score (Normalized, Unweighted)]]*$O$3</f>
        <v>0.13009854647532038</v>
      </c>
      <c r="R153" s="137">
        <f>_xlfn.XLOOKUP(FME_Ranking1[[#This Row],[FME ID]],FME_Input[FME_ID],FME_Input[CRITFAC100])</f>
        <v>32</v>
      </c>
      <c r="S153" s="230">
        <f>(FME_Ranking1[[#This Row],[Critical Facilities Raw]]/$R$2)*100</f>
        <v>1.3722126929674099</v>
      </c>
      <c r="T153" s="180">
        <f>FME_Ranking1[[#This Row],[Critical Facilities Score (Normalized, Unweighted)]]*$R$3</f>
        <v>0.274442538593482</v>
      </c>
      <c r="U153">
        <f>_xlfn.XLOOKUP(FME_Ranking1[[#This Row],[FME ID]],FME_Input[FME_ID],FME_Input[LWC])</f>
        <v>57</v>
      </c>
      <c r="V153" s="178">
        <f>(FME_Ranking1[[#This Row],[LWC Raw]]/$U$2)*100</f>
        <v>3.2815198618307431</v>
      </c>
      <c r="W153" s="178">
        <f>FME_Ranking1[[#This Row],[LWC Score (Normalized, Unweighted)]]*$U$3</f>
        <v>0.65630397236614868</v>
      </c>
      <c r="X153" s="246">
        <f>_xlfn.XLOOKUP(FME_Ranking1[[#This Row],[FME ID]],FME_Input[FME_ID],FME_Input[ROADCLS])</f>
        <v>0</v>
      </c>
      <c r="Y153" s="230">
        <f>(FME_Ranking1[[#This Row],[Closures Raw]]/$X$2)*100</f>
        <v>0</v>
      </c>
      <c r="Z153" s="180">
        <f>FME_Ranking1[[#This Row],[Closures Score (Normalized, Unweighted)]]*$X$3</f>
        <v>0</v>
      </c>
      <c r="AA153" s="253">
        <f>_xlfn.XLOOKUP(FME_Ranking1[[#This Row],[FME ID]],FME_Input[FME_ID],FME_Input[ROAD_MILES100])</f>
        <v>214.41340637207031</v>
      </c>
      <c r="AB153" s="178">
        <f>(FME_Ranking1[[#This Row],[Miles Raw]]/$AA$2)*100</f>
        <v>2.8191517252944207</v>
      </c>
      <c r="AC153" s="178">
        <f>FME_Ranking1[[#This Row],[Miles Score (Normalized, Unweighted)]]*$AA$3</f>
        <v>0.28191517252944209</v>
      </c>
      <c r="AD153" s="255">
        <f>_xlfn.XLOOKUP(FME_Ranking1[[#This Row],[FME ID]],FME_Input[FME_ID],FME_Input[FARMACRE100])</f>
        <v>90231.0390625</v>
      </c>
      <c r="AE153" s="230">
        <f>(FME_Ranking1[[#This Row],[Ag Land Raw]]/$AD$2)*100</f>
        <v>3.7207241313582342</v>
      </c>
      <c r="AF153" s="231">
        <f>FME_Ranking1[[#This Row],[Ag Land Score (Normalized, Unweighted)]]*$AD$3</f>
        <v>0.18603620656791173</v>
      </c>
      <c r="AG15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1.9052952131207799</v>
      </c>
      <c r="AH153" s="406">
        <f t="shared" si="2"/>
        <v>144</v>
      </c>
      <c r="AI15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1.9052952131207799</v>
      </c>
      <c r="AJ153" s="257">
        <f>FME_Ranking1[[#This Row],[Addition check]]-FME_Ranking1[[#This Row],[Weighted Score Based on Normalized Reported Factors]]</f>
        <v>0</v>
      </c>
      <c r="AK153" s="178">
        <f>_xlfn.RANK.EQ(AI153,$AI$6:$AI$2341,0)+COUNTIF($AI$6:AI153,AI153)-1</f>
        <v>144</v>
      </c>
    </row>
    <row r="154" spans="1:37" ht="12" customHeight="1" x14ac:dyDescent="0.25">
      <c r="A154" t="s">
        <v>4056</v>
      </c>
      <c r="B154">
        <f>_xlfn.XLOOKUP(FME_Ranking1[[#This Row],[FME ID]],FME_Input[FME_ID],FME_Input[RFPG_NUM])</f>
        <v>3</v>
      </c>
      <c r="C154" t="str">
        <f>_xlfn.XLOOKUP(FME_Ranking1[[#This Row],[FME ID]],FME_Input[FME_ID],FME_Input[FME_NAME])</f>
        <v>Ellis County Dam Inundation Study</v>
      </c>
      <c r="D154" t="str">
        <f>_xlfn.XLOOKUP(FME_Ranking1[[#This Row],[FME ID]],FME_Input[FME_ID],FME_Input[DESCR])</f>
        <v>Inundation studies of all high and moderate hazard dams</v>
      </c>
      <c r="E154" s="256">
        <f>_xlfn.XLOOKUP(FME_Ranking1[[#This Row],[FME ID]],FME_Input[FME_ID],FME_Input[FME_COST])</f>
        <v>758000</v>
      </c>
      <c r="F154" t="str">
        <f>_xlfn.XLOOKUP(FME_Ranking1[[#This Row],[FME ID]],FME_Input[FME_ID],FME_Input[EMER_NEED])</f>
        <v>No</v>
      </c>
      <c r="G154">
        <f>IF(FME_Ranking!F154="Yes",100,0)</f>
        <v>0</v>
      </c>
      <c r="H154">
        <f>FME_Ranking1[[#This Row],[Emergency Need Score (Normalized, Unweighted)]]*$F$3</f>
        <v>0</v>
      </c>
      <c r="I154" s="246">
        <f>_xlfn.XLOOKUP(FME_Ranking1[[#This Row],[FME ID]],FME_Input[FME_ID],FME_Input[STRUCT_100])</f>
        <v>2712</v>
      </c>
      <c r="J154" s="178">
        <f>(FME_Ranking1[[#This Row],[Structures 100 Raw]]/I$2)*100</f>
        <v>1.4522554941524224</v>
      </c>
      <c r="K154" s="178">
        <f>FME_Ranking1[[#This Row],[Structures 100  Score (Normalized, Unweighted)]]*$I$3</f>
        <v>0.21783832412286336</v>
      </c>
      <c r="L154" s="246">
        <f>_xlfn.XLOOKUP(FME_Ranking1[[#This Row],[FME ID]],FME_Input[FME_ID],FME_Input[RES_STRUCT100])</f>
        <v>2240</v>
      </c>
      <c r="M154" s="230">
        <f>(FME_Ranking1[[#This Row],[Res Structures Raw]]/L$2)*100</f>
        <v>1.5866045246561176</v>
      </c>
      <c r="N154" s="180">
        <f>FME_Ranking1[[#This Row],[Res Structures Score (Normalized, Unweighted)]]*$L$3</f>
        <v>0.15866045246561178</v>
      </c>
      <c r="O154" s="244">
        <f>_xlfn.XLOOKUP(FME_Ranking1[[#This Row],[FME ID]],FME_Input[FME_ID],FME_Input[POP100])</f>
        <v>8472</v>
      </c>
      <c r="P154" s="178">
        <f>(FME_Ranking1[[#This Row],[Pop Raw]]/$O$2)*100</f>
        <v>0.8673236431688025</v>
      </c>
      <c r="Q154" s="178">
        <f>FME_Ranking1[[#This Row],[Pop Score (Normalized, Unweighted)]]*$O$3</f>
        <v>0.13009854647532038</v>
      </c>
      <c r="R154" s="137">
        <f>_xlfn.XLOOKUP(FME_Ranking1[[#This Row],[FME ID]],FME_Input[FME_ID],FME_Input[CRITFAC100])</f>
        <v>32</v>
      </c>
      <c r="S154" s="230">
        <f>(FME_Ranking1[[#This Row],[Critical Facilities Raw]]/$R$2)*100</f>
        <v>1.3722126929674099</v>
      </c>
      <c r="T154" s="180">
        <f>FME_Ranking1[[#This Row],[Critical Facilities Score (Normalized, Unweighted)]]*$R$3</f>
        <v>0.274442538593482</v>
      </c>
      <c r="U154">
        <f>_xlfn.XLOOKUP(FME_Ranking1[[#This Row],[FME ID]],FME_Input[FME_ID],FME_Input[LWC])</f>
        <v>57</v>
      </c>
      <c r="V154" s="178">
        <f>(FME_Ranking1[[#This Row],[LWC Raw]]/$U$2)*100</f>
        <v>3.2815198618307431</v>
      </c>
      <c r="W154" s="178">
        <f>FME_Ranking1[[#This Row],[LWC Score (Normalized, Unweighted)]]*$U$3</f>
        <v>0.65630397236614868</v>
      </c>
      <c r="X154" s="246">
        <f>_xlfn.XLOOKUP(FME_Ranking1[[#This Row],[FME ID]],FME_Input[FME_ID],FME_Input[ROADCLS])</f>
        <v>0</v>
      </c>
      <c r="Y154" s="230">
        <f>(FME_Ranking1[[#This Row],[Closures Raw]]/$X$2)*100</f>
        <v>0</v>
      </c>
      <c r="Z154" s="180">
        <f>FME_Ranking1[[#This Row],[Closures Score (Normalized, Unweighted)]]*$X$3</f>
        <v>0</v>
      </c>
      <c r="AA154" s="253">
        <f>_xlfn.XLOOKUP(FME_Ranking1[[#This Row],[FME ID]],FME_Input[FME_ID],FME_Input[ROAD_MILES100])</f>
        <v>214.41340637207031</v>
      </c>
      <c r="AB154" s="178">
        <f>(FME_Ranking1[[#This Row],[Miles Raw]]/$AA$2)*100</f>
        <v>2.8191517252944207</v>
      </c>
      <c r="AC154" s="178">
        <f>FME_Ranking1[[#This Row],[Miles Score (Normalized, Unweighted)]]*$AA$3</f>
        <v>0.28191517252944209</v>
      </c>
      <c r="AD154" s="255">
        <f>_xlfn.XLOOKUP(FME_Ranking1[[#This Row],[FME ID]],FME_Input[FME_ID],FME_Input[FARMACRE100])</f>
        <v>90231.0390625</v>
      </c>
      <c r="AE154" s="230">
        <f>(FME_Ranking1[[#This Row],[Ag Land Raw]]/$AD$2)*100</f>
        <v>3.7207241313582342</v>
      </c>
      <c r="AF154" s="231">
        <f>FME_Ranking1[[#This Row],[Ag Land Score (Normalized, Unweighted)]]*$AD$3</f>
        <v>0.18603620656791173</v>
      </c>
      <c r="AG15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1.9052952131207799</v>
      </c>
      <c r="AH154" s="406">
        <f t="shared" si="2"/>
        <v>144</v>
      </c>
      <c r="AI15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1.9052952131207799</v>
      </c>
      <c r="AJ154" s="257">
        <f>FME_Ranking1[[#This Row],[Addition check]]-FME_Ranking1[[#This Row],[Weighted Score Based on Normalized Reported Factors]]</f>
        <v>0</v>
      </c>
      <c r="AK154" s="178">
        <f>_xlfn.RANK.EQ(AI154,$AI$6:$AI$2341,0)+COUNTIF($AI$6:AI154,AI154)-1</f>
        <v>145</v>
      </c>
    </row>
    <row r="155" spans="1:37" ht="12" customHeight="1" x14ac:dyDescent="0.25">
      <c r="A155" t="s">
        <v>3177</v>
      </c>
      <c r="B155">
        <f>_xlfn.XLOOKUP(FME_Ranking1[[#This Row],[FME ID]],FME_Input[FME_ID],FME_Input[RFPG_NUM])</f>
        <v>1</v>
      </c>
      <c r="C155" t="str">
        <f>_xlfn.XLOOKUP(FME_Ranking1[[#This Row],[FME ID]],FME_Input[FME_ID],FME_Input[FME_NAME])</f>
        <v>Wichita Falls City Drainage Master Plan</v>
      </c>
      <c r="D155" t="str">
        <f>_xlfn.XLOOKUP(FME_Ranking1[[#This Row],[FME ID]],FME_Input[FME_ID],FME_Input[DESCR])</f>
        <v>Perform H&amp;H modeling, develop conceptual alternatives and OPCC, and rank projects. Update existing drainage mater plan. Selected based on survey responses and needs analysis.</v>
      </c>
      <c r="E155" s="256">
        <f>_xlfn.XLOOKUP(FME_Ranking1[[#This Row],[FME ID]],FME_Input[FME_ID],FME_Input[FME_COST])</f>
        <v>1000000</v>
      </c>
      <c r="F155" t="str">
        <f>_xlfn.XLOOKUP(FME_Ranking1[[#This Row],[FME ID]],FME_Input[FME_ID],FME_Input[EMER_NEED])</f>
        <v>No</v>
      </c>
      <c r="G155">
        <f>IF(FME_Ranking!F155="Yes",100,0)</f>
        <v>0</v>
      </c>
      <c r="H155">
        <f>FME_Ranking1[[#This Row],[Emergency Need Score (Normalized, Unweighted)]]*$F$3</f>
        <v>0</v>
      </c>
      <c r="I155" s="246">
        <f>_xlfn.XLOOKUP(FME_Ranking1[[#This Row],[FME ID]],FME_Input[FME_ID],FME_Input[STRUCT_100])</f>
        <v>3091</v>
      </c>
      <c r="J155" s="178">
        <f>(FME_Ranking1[[#This Row],[Structures 100 Raw]]/I$2)*100</f>
        <v>1.6552071284753458</v>
      </c>
      <c r="K155" s="178">
        <f>FME_Ranking1[[#This Row],[Structures 100  Score (Normalized, Unweighted)]]*$I$3</f>
        <v>0.24828106927130186</v>
      </c>
      <c r="L155" s="246">
        <f>_xlfn.XLOOKUP(FME_Ranking1[[#This Row],[FME ID]],FME_Input[FME_ID],FME_Input[RES_STRUCT100])</f>
        <v>2262</v>
      </c>
      <c r="M155" s="230">
        <f>(FME_Ranking1[[#This Row],[Res Structures Raw]]/L$2)*100</f>
        <v>1.6021872476661332</v>
      </c>
      <c r="N155" s="180">
        <f>FME_Ranking1[[#This Row],[Res Structures Score (Normalized, Unweighted)]]*$L$3</f>
        <v>0.16021872476661334</v>
      </c>
      <c r="O155" s="244">
        <f>_xlfn.XLOOKUP(FME_Ranking1[[#This Row],[FME ID]],FME_Input[FME_ID],FME_Input[POP100])</f>
        <v>14057</v>
      </c>
      <c r="P155" s="178">
        <f>(FME_Ranking1[[#This Row],[Pop Raw]]/$O$2)*100</f>
        <v>1.4390897606260455</v>
      </c>
      <c r="Q155" s="178">
        <f>FME_Ranking1[[#This Row],[Pop Score (Normalized, Unweighted)]]*$O$3</f>
        <v>0.21586346409390683</v>
      </c>
      <c r="R155" s="137">
        <f>_xlfn.XLOOKUP(FME_Ranking1[[#This Row],[FME ID]],FME_Input[FME_ID],FME_Input[CRITFAC100])</f>
        <v>51</v>
      </c>
      <c r="S155" s="230">
        <f>(FME_Ranking1[[#This Row],[Critical Facilities Raw]]/$R$2)*100</f>
        <v>2.1869639794168094</v>
      </c>
      <c r="T155" s="180">
        <f>FME_Ranking1[[#This Row],[Critical Facilities Score (Normalized, Unweighted)]]*$R$3</f>
        <v>0.43739279588336188</v>
      </c>
      <c r="U155">
        <f>_xlfn.XLOOKUP(FME_Ranking1[[#This Row],[FME ID]],FME_Input[FME_ID],FME_Input[LWC])</f>
        <v>46</v>
      </c>
      <c r="V155" s="178">
        <f>(FME_Ranking1[[#This Row],[LWC Raw]]/$U$2)*100</f>
        <v>2.648244099021301</v>
      </c>
      <c r="W155" s="178">
        <f>FME_Ranking1[[#This Row],[LWC Score (Normalized, Unweighted)]]*$U$3</f>
        <v>0.52964881980426026</v>
      </c>
      <c r="X155" s="246">
        <f>_xlfn.XLOOKUP(FME_Ranking1[[#This Row],[FME ID]],FME_Input[FME_ID],FME_Input[ROADCLS])</f>
        <v>53</v>
      </c>
      <c r="Y155" s="230">
        <f>(FME_Ranking1[[#This Row],[Closures Raw]]/$X$2)*100</f>
        <v>0.55724950057827782</v>
      </c>
      <c r="Z155" s="180">
        <f>FME_Ranking1[[#This Row],[Closures Score (Normalized, Unweighted)]]*$X$3</f>
        <v>2.7862475028913893E-2</v>
      </c>
      <c r="AA155" s="253">
        <f>_xlfn.XLOOKUP(FME_Ranking1[[#This Row],[FME ID]],FME_Input[FME_ID],FME_Input[ROAD_MILES100])</f>
        <v>121.3750915527344</v>
      </c>
      <c r="AB155" s="178">
        <f>(FME_Ranking1[[#This Row],[Miles Raw]]/$AA$2)*100</f>
        <v>1.5958647574717673</v>
      </c>
      <c r="AC155" s="178">
        <f>FME_Ranking1[[#This Row],[Miles Score (Normalized, Unweighted)]]*$AA$3</f>
        <v>0.15958647574717674</v>
      </c>
      <c r="AD155" s="255">
        <f>_xlfn.XLOOKUP(FME_Ranking1[[#This Row],[FME ID]],FME_Input[FME_ID],FME_Input[FARMACRE100])</f>
        <v>43.707172393798828</v>
      </c>
      <c r="AE155" s="230">
        <f>(FME_Ranking1[[#This Row],[Ag Land Raw]]/$AD$2)*100</f>
        <v>1.8022881342017875E-3</v>
      </c>
      <c r="AF155" s="231">
        <f>FME_Ranking1[[#This Row],[Ag Land Score (Normalized, Unweighted)]]*$AD$3</f>
        <v>9.0114406710089379E-5</v>
      </c>
      <c r="AG15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1.7789439390022448</v>
      </c>
      <c r="AH155" s="406">
        <f t="shared" si="2"/>
        <v>160</v>
      </c>
      <c r="AI15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1.7789439390022448</v>
      </c>
      <c r="AJ155" s="257">
        <f>FME_Ranking1[[#This Row],[Addition check]]-FME_Ranking1[[#This Row],[Weighted Score Based on Normalized Reported Factors]]</f>
        <v>0</v>
      </c>
      <c r="AK155" s="178">
        <f>_xlfn.RANK.EQ(AI155,$AI$6:$AI$2341,0)+COUNTIF($AI$6:AI155,AI155)-1</f>
        <v>160</v>
      </c>
    </row>
    <row r="156" spans="1:37" ht="12" customHeight="1" x14ac:dyDescent="0.25">
      <c r="A156" t="s">
        <v>854</v>
      </c>
      <c r="B156">
        <f>_xlfn.XLOOKUP(FME_Ranking1[[#This Row],[FME ID]],FME_Input[FME_ID],FME_Input[RFPG_NUM])</f>
        <v>6</v>
      </c>
      <c r="C156" t="str">
        <f>_xlfn.XLOOKUP(FME_Ranking1[[#This Row],[FME ID]],FME_Input[FME_ID],FME_Input[FME_NAME])</f>
        <v>Galveston Bay Watershed Plan- Analysis of PA07 100-year Conveyance Project</v>
      </c>
      <c r="D156" t="str">
        <f>_xlfn.XLOOKUP(FME_Ranking1[[#This Row],[FME ID]],FME_Input[FME_ID],FME_Input[DESCR])</f>
        <v xml:space="preserve">Project recommended by the Galveston Bay Watershed Plan. Modeling required to determine no negative Proposed subdivision drainage improvements to the Battle Ground Estates include replacement of  driveway crossings and widening F101-08. </v>
      </c>
      <c r="E156" s="256">
        <f>_xlfn.XLOOKUP(FME_Ranking1[[#This Row],[FME ID]],FME_Input[FME_ID],FME_Input[FME_COST])</f>
        <v>400000</v>
      </c>
      <c r="F156" t="str">
        <f>_xlfn.XLOOKUP(FME_Ranking1[[#This Row],[FME ID]],FME_Input[FME_ID],FME_Input[EMER_NEED])</f>
        <v>No</v>
      </c>
      <c r="G156">
        <f>IF(FME_Ranking!F156="Yes",100,0)</f>
        <v>0</v>
      </c>
      <c r="H156">
        <f>FME_Ranking1[[#This Row],[Emergency Need Score (Normalized, Unweighted)]]*$F$3</f>
        <v>0</v>
      </c>
      <c r="I156" s="246">
        <f>_xlfn.XLOOKUP(FME_Ranking1[[#This Row],[FME ID]],FME_Input[FME_ID],FME_Input[STRUCT_100])</f>
        <v>3302</v>
      </c>
      <c r="J156" s="178">
        <f>(FME_Ranking1[[#This Row],[Structures 100 Raw]]/I$2)*100</f>
        <v>1.7681960330720132</v>
      </c>
      <c r="K156" s="178">
        <f>FME_Ranking1[[#This Row],[Structures 100  Score (Normalized, Unweighted)]]*$I$3</f>
        <v>0.265229404960802</v>
      </c>
      <c r="L156" s="246">
        <f>_xlfn.XLOOKUP(FME_Ranking1[[#This Row],[FME ID]],FME_Input[FME_ID],FME_Input[RES_STRUCT100])</f>
        <v>2855</v>
      </c>
      <c r="M156" s="230">
        <f>(FME_Ranking1[[#This Row],[Res Structures Raw]]/L$2)*100</f>
        <v>2.0222124633451859</v>
      </c>
      <c r="N156" s="180">
        <f>FME_Ranking1[[#This Row],[Res Structures Score (Normalized, Unweighted)]]*$L$3</f>
        <v>0.2022212463345186</v>
      </c>
      <c r="O156" s="244">
        <f>_xlfn.XLOOKUP(FME_Ranking1[[#This Row],[FME ID]],FME_Input[FME_ID],FME_Input[POP100])</f>
        <v>14150</v>
      </c>
      <c r="P156" s="178">
        <f>(FME_Ranking1[[#This Row],[Pop Raw]]/$O$2)*100</f>
        <v>1.4486106646410006</v>
      </c>
      <c r="Q156" s="178">
        <f>FME_Ranking1[[#This Row],[Pop Score (Normalized, Unweighted)]]*$O$3</f>
        <v>0.21729159969615008</v>
      </c>
      <c r="R156" s="137">
        <f>_xlfn.XLOOKUP(FME_Ranking1[[#This Row],[FME ID]],FME_Input[FME_ID],FME_Input[CRITFAC100])</f>
        <v>108</v>
      </c>
      <c r="S156" s="230">
        <f>(FME_Ranking1[[#This Row],[Critical Facilities Raw]]/$R$2)*100</f>
        <v>4.6312178387650089</v>
      </c>
      <c r="T156" s="180">
        <f>FME_Ranking1[[#This Row],[Critical Facilities Score (Normalized, Unweighted)]]*$R$3</f>
        <v>0.92624356775300187</v>
      </c>
      <c r="U156">
        <f>_xlfn.XLOOKUP(FME_Ranking1[[#This Row],[FME ID]],FME_Input[FME_ID],FME_Input[LWC])</f>
        <v>0</v>
      </c>
      <c r="V156" s="178">
        <f>(FME_Ranking1[[#This Row],[LWC Raw]]/$U$2)*100</f>
        <v>0</v>
      </c>
      <c r="W156" s="178">
        <f>FME_Ranking1[[#This Row],[LWC Score (Normalized, Unweighted)]]*$U$3</f>
        <v>0</v>
      </c>
      <c r="X156" s="246">
        <f>_xlfn.XLOOKUP(FME_Ranking1[[#This Row],[FME ID]],FME_Input[FME_ID],FME_Input[ROADCLS])</f>
        <v>0</v>
      </c>
      <c r="Y156" s="230">
        <f>(FME_Ranking1[[#This Row],[Closures Raw]]/$X$2)*100</f>
        <v>0</v>
      </c>
      <c r="Z156" s="180">
        <f>FME_Ranking1[[#This Row],[Closures Score (Normalized, Unweighted)]]*$X$3</f>
        <v>0</v>
      </c>
      <c r="AA156" s="253">
        <f>_xlfn.XLOOKUP(FME_Ranking1[[#This Row],[FME ID]],FME_Input[FME_ID],FME_Input[ROAD_MILES100])</f>
        <v>55.056369781494141</v>
      </c>
      <c r="AB156" s="178">
        <f>(FME_Ranking1[[#This Row],[Miles Raw]]/$AA$2)*100</f>
        <v>0.72389251439160429</v>
      </c>
      <c r="AC156" s="178">
        <f>FME_Ranking1[[#This Row],[Miles Score (Normalized, Unweighted)]]*$AA$3</f>
        <v>7.2389251439160432E-2</v>
      </c>
      <c r="AD156" s="255">
        <f>_xlfn.XLOOKUP(FME_Ranking1[[#This Row],[FME ID]],FME_Input[FME_ID],FME_Input[FARMACRE100])</f>
        <v>17.817182540893551</v>
      </c>
      <c r="AE156" s="230">
        <f>(FME_Ranking1[[#This Row],[Ag Land Raw]]/$AD$2)*100</f>
        <v>7.3470084930307017E-4</v>
      </c>
      <c r="AF156" s="231">
        <f>FME_Ranking1[[#This Row],[Ag Land Score (Normalized, Unweighted)]]*$AD$3</f>
        <v>3.6735042465153511E-5</v>
      </c>
      <c r="AG15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1.6834118052260982</v>
      </c>
      <c r="AH156" s="406">
        <f t="shared" si="2"/>
        <v>174</v>
      </c>
      <c r="AI15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1.6834118052260982</v>
      </c>
      <c r="AJ156" s="257">
        <f>FME_Ranking1[[#This Row],[Addition check]]-FME_Ranking1[[#This Row],[Weighted Score Based on Normalized Reported Factors]]</f>
        <v>0</v>
      </c>
      <c r="AK156" s="178">
        <f>_xlfn.RANK.EQ(AI156,$AI$6:$AI$2341,0)+COUNTIF($AI$6:AI156,AI156)-1</f>
        <v>174</v>
      </c>
    </row>
    <row r="157" spans="1:37" ht="12" customHeight="1" x14ac:dyDescent="0.25">
      <c r="A157" t="s">
        <v>864</v>
      </c>
      <c r="B157">
        <f>_xlfn.XLOOKUP(FME_Ranking1[[#This Row],[FME ID]],FME_Input[FME_ID],FME_Input[RFPG_NUM])</f>
        <v>6</v>
      </c>
      <c r="C157" t="str">
        <f>_xlfn.XLOOKUP(FME_Ranking1[[#This Row],[FME ID]],FME_Input[FME_ID],FME_Input[FME_NAME])</f>
        <v>Galveston Bay Watershed Plan- Analysis of PA08 100-year Conveyance Project</v>
      </c>
      <c r="D157" t="str">
        <f>_xlfn.XLOOKUP(FME_Ranking1[[#This Row],[FME ID]],FME_Input[FME_ID],FME_Input[DESCR])</f>
        <v>Project recommended by the Galveston Bay Watershed Plan. Modeling required to determine no negative impacts. Storm sewer improvements to Monument Estates, increase roadside ditch capacity, and expand bypass channel outflowing into F101-00-00.</v>
      </c>
      <c r="E157" s="256">
        <f>_xlfn.XLOOKUP(FME_Ranking1[[#This Row],[FME ID]],FME_Input[FME_ID],FME_Input[FME_COST])</f>
        <v>800000</v>
      </c>
      <c r="F157" t="str">
        <f>_xlfn.XLOOKUP(FME_Ranking1[[#This Row],[FME ID]],FME_Input[FME_ID],FME_Input[EMER_NEED])</f>
        <v>No</v>
      </c>
      <c r="G157">
        <f>IF(FME_Ranking!F157="Yes",100,0)</f>
        <v>0</v>
      </c>
      <c r="H157">
        <f>FME_Ranking1[[#This Row],[Emergency Need Score (Normalized, Unweighted)]]*$F$3</f>
        <v>0</v>
      </c>
      <c r="I157" s="246">
        <f>_xlfn.XLOOKUP(FME_Ranking1[[#This Row],[FME ID]],FME_Input[FME_ID],FME_Input[STRUCT_100])</f>
        <v>3302</v>
      </c>
      <c r="J157" s="178">
        <f>(FME_Ranking1[[#This Row],[Structures 100 Raw]]/I$2)*100</f>
        <v>1.7681960330720132</v>
      </c>
      <c r="K157" s="178">
        <f>FME_Ranking1[[#This Row],[Structures 100  Score (Normalized, Unweighted)]]*$I$3</f>
        <v>0.265229404960802</v>
      </c>
      <c r="L157" s="246">
        <f>_xlfn.XLOOKUP(FME_Ranking1[[#This Row],[FME ID]],FME_Input[FME_ID],FME_Input[RES_STRUCT100])</f>
        <v>2855</v>
      </c>
      <c r="M157" s="230">
        <f>(FME_Ranking1[[#This Row],[Res Structures Raw]]/L$2)*100</f>
        <v>2.0222124633451859</v>
      </c>
      <c r="N157" s="180">
        <f>FME_Ranking1[[#This Row],[Res Structures Score (Normalized, Unweighted)]]*$L$3</f>
        <v>0.2022212463345186</v>
      </c>
      <c r="O157" s="244">
        <f>_xlfn.XLOOKUP(FME_Ranking1[[#This Row],[FME ID]],FME_Input[FME_ID],FME_Input[POP100])</f>
        <v>14150</v>
      </c>
      <c r="P157" s="178">
        <f>(FME_Ranking1[[#This Row],[Pop Raw]]/$O$2)*100</f>
        <v>1.4486106646410006</v>
      </c>
      <c r="Q157" s="178">
        <f>FME_Ranking1[[#This Row],[Pop Score (Normalized, Unweighted)]]*$O$3</f>
        <v>0.21729159969615008</v>
      </c>
      <c r="R157" s="137">
        <f>_xlfn.XLOOKUP(FME_Ranking1[[#This Row],[FME ID]],FME_Input[FME_ID],FME_Input[CRITFAC100])</f>
        <v>108</v>
      </c>
      <c r="S157" s="230">
        <f>(FME_Ranking1[[#This Row],[Critical Facilities Raw]]/$R$2)*100</f>
        <v>4.6312178387650089</v>
      </c>
      <c r="T157" s="180">
        <f>FME_Ranking1[[#This Row],[Critical Facilities Score (Normalized, Unweighted)]]*$R$3</f>
        <v>0.92624356775300187</v>
      </c>
      <c r="U157">
        <f>_xlfn.XLOOKUP(FME_Ranking1[[#This Row],[FME ID]],FME_Input[FME_ID],FME_Input[LWC])</f>
        <v>0</v>
      </c>
      <c r="V157" s="178">
        <f>(FME_Ranking1[[#This Row],[LWC Raw]]/$U$2)*100</f>
        <v>0</v>
      </c>
      <c r="W157" s="178">
        <f>FME_Ranking1[[#This Row],[LWC Score (Normalized, Unweighted)]]*$U$3</f>
        <v>0</v>
      </c>
      <c r="X157" s="246">
        <f>_xlfn.XLOOKUP(FME_Ranking1[[#This Row],[FME ID]],FME_Input[FME_ID],FME_Input[ROADCLS])</f>
        <v>0</v>
      </c>
      <c r="Y157" s="230">
        <f>(FME_Ranking1[[#This Row],[Closures Raw]]/$X$2)*100</f>
        <v>0</v>
      </c>
      <c r="Z157" s="180">
        <f>FME_Ranking1[[#This Row],[Closures Score (Normalized, Unweighted)]]*$X$3</f>
        <v>0</v>
      </c>
      <c r="AA157" s="253">
        <f>_xlfn.XLOOKUP(FME_Ranking1[[#This Row],[FME ID]],FME_Input[FME_ID],FME_Input[ROAD_MILES100])</f>
        <v>55.056369781494141</v>
      </c>
      <c r="AB157" s="178">
        <f>(FME_Ranking1[[#This Row],[Miles Raw]]/$AA$2)*100</f>
        <v>0.72389251439160429</v>
      </c>
      <c r="AC157" s="178">
        <f>FME_Ranking1[[#This Row],[Miles Score (Normalized, Unweighted)]]*$AA$3</f>
        <v>7.2389251439160432E-2</v>
      </c>
      <c r="AD157" s="255">
        <f>_xlfn.XLOOKUP(FME_Ranking1[[#This Row],[FME ID]],FME_Input[FME_ID],FME_Input[FARMACRE100])</f>
        <v>17.817182540893551</v>
      </c>
      <c r="AE157" s="230">
        <f>(FME_Ranking1[[#This Row],[Ag Land Raw]]/$AD$2)*100</f>
        <v>7.3470084930307017E-4</v>
      </c>
      <c r="AF157" s="231">
        <f>FME_Ranking1[[#This Row],[Ag Land Score (Normalized, Unweighted)]]*$AD$3</f>
        <v>3.6735042465153511E-5</v>
      </c>
      <c r="AG15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1.6834118052260982</v>
      </c>
      <c r="AH157" s="406">
        <f t="shared" si="2"/>
        <v>174</v>
      </c>
      <c r="AI15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1.6834118052260982</v>
      </c>
      <c r="AJ157" s="257">
        <f>FME_Ranking1[[#This Row],[Addition check]]-FME_Ranking1[[#This Row],[Weighted Score Based on Normalized Reported Factors]]</f>
        <v>0</v>
      </c>
      <c r="AK157" s="178">
        <f>_xlfn.RANK.EQ(AI157,$AI$6:$AI$2341,0)+COUNTIF($AI$6:AI157,AI157)-1</f>
        <v>175</v>
      </c>
    </row>
    <row r="158" spans="1:37" ht="12" customHeight="1" x14ac:dyDescent="0.25">
      <c r="A158" t="s">
        <v>339</v>
      </c>
      <c r="B158">
        <f>_xlfn.XLOOKUP(FME_Ranking1[[#This Row],[FME ID]],FME_Input[FME_ID],FME_Input[RFPG_NUM])</f>
        <v>10</v>
      </c>
      <c r="C158" t="str">
        <f>_xlfn.XLOOKUP(FME_Ranking1[[#This Row],[FME ID]],FME_Input[FME_ID],FME_Input[FME_NAME])</f>
        <v>Countywide Floodplain Map Update</v>
      </c>
      <c r="D158" t="str">
        <f>_xlfn.XLOOKUP(FME_Ranking1[[#This Row],[FME ID]],FME_Input[FME_ID],FME_Input[DESCR])</f>
        <v>Update floodplain maps with Atlas 14 data and provided detailed study</v>
      </c>
      <c r="E158" s="256">
        <f>_xlfn.XLOOKUP(FME_Ranking1[[#This Row],[FME ID]],FME_Input[FME_ID],FME_Input[FME_COST])</f>
        <v>250000</v>
      </c>
      <c r="F158" t="str">
        <f>_xlfn.XLOOKUP(FME_Ranking1[[#This Row],[FME ID]],FME_Input[FME_ID],FME_Input[EMER_NEED])</f>
        <v>No</v>
      </c>
      <c r="G158">
        <f>IF(FME_Ranking!F158="Yes",100,0)</f>
        <v>0</v>
      </c>
      <c r="H158">
        <f>FME_Ranking1[[#This Row],[Emergency Need Score (Normalized, Unweighted)]]*$F$3</f>
        <v>0</v>
      </c>
      <c r="I158" s="246">
        <f>_xlfn.XLOOKUP(FME_Ranking1[[#This Row],[FME ID]],FME_Input[FME_ID],FME_Input[STRUCT_100])</f>
        <v>863</v>
      </c>
      <c r="J158" s="178">
        <f>(FME_Ranking1[[#This Row],[Structures 100 Raw]]/I$2)*100</f>
        <v>0.46212997472475692</v>
      </c>
      <c r="K158" s="178">
        <f>FME_Ranking1[[#This Row],[Structures 100  Score (Normalized, Unweighted)]]*$I$3</f>
        <v>6.9319496208713541E-2</v>
      </c>
      <c r="L158" s="246">
        <f>_xlfn.XLOOKUP(FME_Ranking1[[#This Row],[FME ID]],FME_Input[FME_ID],FME_Input[RES_STRUCT100])</f>
        <v>308</v>
      </c>
      <c r="M158" s="230">
        <f>(FME_Ranking1[[#This Row],[Res Structures Raw]]/L$2)*100</f>
        <v>0.21815812214021618</v>
      </c>
      <c r="N158" s="180">
        <f>FME_Ranking1[[#This Row],[Res Structures Score (Normalized, Unweighted)]]*$L$3</f>
        <v>2.181581221402162E-2</v>
      </c>
      <c r="O158" s="244">
        <f>_xlfn.XLOOKUP(FME_Ranking1[[#This Row],[FME ID]],FME_Input[FME_ID],FME_Input[POP100])</f>
        <v>885</v>
      </c>
      <c r="P158" s="178">
        <f>(FME_Ranking1[[#This Row],[Pop Raw]]/$O$2)*100</f>
        <v>9.0602151110055512E-2</v>
      </c>
      <c r="Q158" s="178">
        <f>FME_Ranking1[[#This Row],[Pop Score (Normalized, Unweighted)]]*$O$3</f>
        <v>1.3590322666508326E-2</v>
      </c>
      <c r="R158" s="137">
        <f>_xlfn.XLOOKUP(FME_Ranking1[[#This Row],[FME ID]],FME_Input[FME_ID],FME_Input[CRITFAC100])</f>
        <v>3</v>
      </c>
      <c r="S158" s="230">
        <f>(FME_Ranking1[[#This Row],[Critical Facilities Raw]]/$R$2)*100</f>
        <v>0.1286449399656947</v>
      </c>
      <c r="T158" s="180">
        <f>FME_Ranking1[[#This Row],[Critical Facilities Score (Normalized, Unweighted)]]*$R$3</f>
        <v>2.5728987993138941E-2</v>
      </c>
      <c r="U158">
        <f>_xlfn.XLOOKUP(FME_Ranking1[[#This Row],[FME ID]],FME_Input[FME_ID],FME_Input[LWC])</f>
        <v>115</v>
      </c>
      <c r="V158" s="178">
        <f>(FME_Ranking1[[#This Row],[LWC Raw]]/$U$2)*100</f>
        <v>6.6206102475532536</v>
      </c>
      <c r="W158" s="178">
        <f>FME_Ranking1[[#This Row],[LWC Score (Normalized, Unweighted)]]*$U$3</f>
        <v>1.3241220495106507</v>
      </c>
      <c r="X158" s="246">
        <f>_xlfn.XLOOKUP(FME_Ranking1[[#This Row],[FME ID]],FME_Input[FME_ID],FME_Input[ROADCLS])</f>
        <v>0</v>
      </c>
      <c r="Y158" s="230">
        <f>(FME_Ranking1[[#This Row],[Closures Raw]]/$X$2)*100</f>
        <v>0</v>
      </c>
      <c r="Z158" s="180">
        <f>FME_Ranking1[[#This Row],[Closures Score (Normalized, Unweighted)]]*$X$3</f>
        <v>0</v>
      </c>
      <c r="AA158" s="253">
        <f>_xlfn.XLOOKUP(FME_Ranking1[[#This Row],[FME ID]],FME_Input[FME_ID],FME_Input[ROAD_MILES100])</f>
        <v>9.930821418762207</v>
      </c>
      <c r="AB158" s="178">
        <f>(FME_Ranking1[[#This Row],[Miles Raw]]/$AA$2)*100</f>
        <v>0.13057248989231632</v>
      </c>
      <c r="AC158" s="178">
        <f>FME_Ranking1[[#This Row],[Miles Score (Normalized, Unweighted)]]*$AA$3</f>
        <v>1.3057248989231633E-2</v>
      </c>
      <c r="AD158" s="255">
        <f>_xlfn.XLOOKUP(FME_Ranking1[[#This Row],[FME ID]],FME_Input[FME_ID],FME_Input[FARMACRE100])</f>
        <v>71866.5703125</v>
      </c>
      <c r="AE158" s="230">
        <f>(FME_Ranking1[[#This Row],[Ag Land Raw]]/$AD$2)*100</f>
        <v>2.9634556487203483</v>
      </c>
      <c r="AF158" s="231">
        <f>FME_Ranking1[[#This Row],[Ag Land Score (Normalized, Unweighted)]]*$AD$3</f>
        <v>0.14817278243601742</v>
      </c>
      <c r="AG15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1.6158067000182823</v>
      </c>
      <c r="AH158" s="406">
        <f t="shared" si="2"/>
        <v>184</v>
      </c>
      <c r="AI15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1.6158067000182823</v>
      </c>
      <c r="AJ158" s="257">
        <f>FME_Ranking1[[#This Row],[Addition check]]-FME_Ranking1[[#This Row],[Weighted Score Based on Normalized Reported Factors]]</f>
        <v>0</v>
      </c>
      <c r="AK158" s="178">
        <f>_xlfn.RANK.EQ(AI158,$AI$6:$AI$2341,0)+COUNTIF($AI$6:AI158,AI158)-1</f>
        <v>184</v>
      </c>
    </row>
    <row r="159" spans="1:37" ht="12" customHeight="1" x14ac:dyDescent="0.25">
      <c r="A159" t="s">
        <v>344</v>
      </c>
      <c r="B159">
        <f>_xlfn.XLOOKUP(FME_Ranking1[[#This Row],[FME ID]],FME_Input[FME_ID],FME_Input[RFPG_NUM])</f>
        <v>10</v>
      </c>
      <c r="C159" t="str">
        <f>_xlfn.XLOOKUP(FME_Ranking1[[#This Row],[FME ID]],FME_Input[FME_ID],FME_Input[FME_NAME])</f>
        <v xml:space="preserve">Low Water Crossings at 4 locations_x000D_
</v>
      </c>
      <c r="D159" t="str">
        <f>_xlfn.XLOOKUP(FME_Ranking1[[#This Row],[FME ID]],FME_Input[FME_ID],FME_Input[DESCR])</f>
        <v>Low water crossings turned into bridges in these areas</v>
      </c>
      <c r="E159" s="256">
        <f>_xlfn.XLOOKUP(FME_Ranking1[[#This Row],[FME ID]],FME_Input[FME_ID],FME_Input[FME_COST])</f>
        <v>200000</v>
      </c>
      <c r="F159" t="str">
        <f>_xlfn.XLOOKUP(FME_Ranking1[[#This Row],[FME ID]],FME_Input[FME_ID],FME_Input[EMER_NEED])</f>
        <v>No</v>
      </c>
      <c r="G159">
        <f>IF(FME_Ranking!F159="Yes",100,0)</f>
        <v>0</v>
      </c>
      <c r="H159">
        <f>FME_Ranking1[[#This Row],[Emergency Need Score (Normalized, Unweighted)]]*$F$3</f>
        <v>0</v>
      </c>
      <c r="I159" s="246">
        <f>_xlfn.XLOOKUP(FME_Ranking1[[#This Row],[FME ID]],FME_Input[FME_ID],FME_Input[STRUCT_100])</f>
        <v>863</v>
      </c>
      <c r="J159" s="178">
        <f>(FME_Ranking1[[#This Row],[Structures 100 Raw]]/I$2)*100</f>
        <v>0.46212997472475692</v>
      </c>
      <c r="K159" s="178">
        <f>FME_Ranking1[[#This Row],[Structures 100  Score (Normalized, Unweighted)]]*$I$3</f>
        <v>6.9319496208713541E-2</v>
      </c>
      <c r="L159" s="246">
        <f>_xlfn.XLOOKUP(FME_Ranking1[[#This Row],[FME ID]],FME_Input[FME_ID],FME_Input[RES_STRUCT100])</f>
        <v>308</v>
      </c>
      <c r="M159" s="230">
        <f>(FME_Ranking1[[#This Row],[Res Structures Raw]]/L$2)*100</f>
        <v>0.21815812214021618</v>
      </c>
      <c r="N159" s="180">
        <f>FME_Ranking1[[#This Row],[Res Structures Score (Normalized, Unweighted)]]*$L$3</f>
        <v>2.181581221402162E-2</v>
      </c>
      <c r="O159" s="244">
        <f>_xlfn.XLOOKUP(FME_Ranking1[[#This Row],[FME ID]],FME_Input[FME_ID],FME_Input[POP100])</f>
        <v>885</v>
      </c>
      <c r="P159" s="178">
        <f>(FME_Ranking1[[#This Row],[Pop Raw]]/$O$2)*100</f>
        <v>9.0602151110055512E-2</v>
      </c>
      <c r="Q159" s="178">
        <f>FME_Ranking1[[#This Row],[Pop Score (Normalized, Unweighted)]]*$O$3</f>
        <v>1.3590322666508326E-2</v>
      </c>
      <c r="R159" s="137">
        <f>_xlfn.XLOOKUP(FME_Ranking1[[#This Row],[FME ID]],FME_Input[FME_ID],FME_Input[CRITFAC100])</f>
        <v>3</v>
      </c>
      <c r="S159" s="230">
        <f>(FME_Ranking1[[#This Row],[Critical Facilities Raw]]/$R$2)*100</f>
        <v>0.1286449399656947</v>
      </c>
      <c r="T159" s="180">
        <f>FME_Ranking1[[#This Row],[Critical Facilities Score (Normalized, Unweighted)]]*$R$3</f>
        <v>2.5728987993138941E-2</v>
      </c>
      <c r="U159">
        <f>_xlfn.XLOOKUP(FME_Ranking1[[#This Row],[FME ID]],FME_Input[FME_ID],FME_Input[LWC])</f>
        <v>115</v>
      </c>
      <c r="V159" s="178">
        <f>(FME_Ranking1[[#This Row],[LWC Raw]]/$U$2)*100</f>
        <v>6.6206102475532536</v>
      </c>
      <c r="W159" s="178">
        <f>FME_Ranking1[[#This Row],[LWC Score (Normalized, Unweighted)]]*$U$3</f>
        <v>1.3241220495106507</v>
      </c>
      <c r="X159" s="246">
        <f>_xlfn.XLOOKUP(FME_Ranking1[[#This Row],[FME ID]],FME_Input[FME_ID],FME_Input[ROADCLS])</f>
        <v>0</v>
      </c>
      <c r="Y159" s="230">
        <f>(FME_Ranking1[[#This Row],[Closures Raw]]/$X$2)*100</f>
        <v>0</v>
      </c>
      <c r="Z159" s="180">
        <f>FME_Ranking1[[#This Row],[Closures Score (Normalized, Unweighted)]]*$X$3</f>
        <v>0</v>
      </c>
      <c r="AA159" s="253">
        <f>_xlfn.XLOOKUP(FME_Ranking1[[#This Row],[FME ID]],FME_Input[FME_ID],FME_Input[ROAD_MILES100])</f>
        <v>9.930821418762207</v>
      </c>
      <c r="AB159" s="178">
        <f>(FME_Ranking1[[#This Row],[Miles Raw]]/$AA$2)*100</f>
        <v>0.13057248989231632</v>
      </c>
      <c r="AC159" s="178">
        <f>FME_Ranking1[[#This Row],[Miles Score (Normalized, Unweighted)]]*$AA$3</f>
        <v>1.3057248989231633E-2</v>
      </c>
      <c r="AD159" s="255">
        <f>_xlfn.XLOOKUP(FME_Ranking1[[#This Row],[FME ID]],FME_Input[FME_ID],FME_Input[FARMACRE100])</f>
        <v>71866.5703125</v>
      </c>
      <c r="AE159" s="230">
        <f>(FME_Ranking1[[#This Row],[Ag Land Raw]]/$AD$2)*100</f>
        <v>2.9634556487203483</v>
      </c>
      <c r="AF159" s="231">
        <f>FME_Ranking1[[#This Row],[Ag Land Score (Normalized, Unweighted)]]*$AD$3</f>
        <v>0.14817278243601742</v>
      </c>
      <c r="AG15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1.6158067000182823</v>
      </c>
      <c r="AH159" s="406">
        <f t="shared" si="2"/>
        <v>184</v>
      </c>
      <c r="AI15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1.6158067000182823</v>
      </c>
      <c r="AJ159" s="257">
        <f>FME_Ranking1[[#This Row],[Addition check]]-FME_Ranking1[[#This Row],[Weighted Score Based on Normalized Reported Factors]]</f>
        <v>0</v>
      </c>
      <c r="AK159" s="178">
        <f>_xlfn.RANK.EQ(AI159,$AI$6:$AI$2341,0)+COUNTIF($AI$6:AI159,AI159)-1</f>
        <v>185</v>
      </c>
    </row>
    <row r="160" spans="1:37" ht="12" customHeight="1" x14ac:dyDescent="0.25">
      <c r="A160" t="s">
        <v>3826</v>
      </c>
      <c r="B160">
        <f>_xlfn.XLOOKUP(FME_Ranking1[[#This Row],[FME ID]],FME_Input[FME_ID],FME_Input[RFPG_NUM])</f>
        <v>3</v>
      </c>
      <c r="C160" t="str">
        <f>_xlfn.XLOOKUP(FME_Ranking1[[#This Row],[FME ID]],FME_Input[FME_ID],FME_Input[FME_NAME])</f>
        <v xml:space="preserve">Collin County FEMA Mapping </v>
      </c>
      <c r="D160" t="str">
        <f>_xlfn.XLOOKUP(FME_Ranking1[[#This Row],[FME ID]],FME_Input[FME_ID],FME_Input[DESCR])</f>
        <v>Create FEMA mapping in previously unmapped areas and update existing FEMA maps as needed.</v>
      </c>
      <c r="E160" s="256">
        <f>_xlfn.XLOOKUP(FME_Ranking1[[#This Row],[FME ID]],FME_Input[FME_ID],FME_Input[FME_COST])</f>
        <v>1041000</v>
      </c>
      <c r="F160" t="str">
        <f>_xlfn.XLOOKUP(FME_Ranking1[[#This Row],[FME ID]],FME_Input[FME_ID],FME_Input[EMER_NEED])</f>
        <v>No</v>
      </c>
      <c r="G160">
        <f>IF(FME_Ranking!F160="Yes",100,0)</f>
        <v>0</v>
      </c>
      <c r="H160">
        <f>FME_Ranking1[[#This Row],[Emergency Need Score (Normalized, Unweighted)]]*$F$3</f>
        <v>0</v>
      </c>
      <c r="I160" s="246">
        <f>_xlfn.XLOOKUP(FME_Ranking1[[#This Row],[FME ID]],FME_Input[FME_ID],FME_Input[STRUCT_100])</f>
        <v>2842</v>
      </c>
      <c r="J160" s="178">
        <f>(FME_Ranking1[[#This Row],[Structures 100 Raw]]/I$2)*100</f>
        <v>1.5218695112025018</v>
      </c>
      <c r="K160" s="178">
        <f>FME_Ranking1[[#This Row],[Structures 100  Score (Normalized, Unweighted)]]*$I$3</f>
        <v>0.22828042668037526</v>
      </c>
      <c r="L160" s="246">
        <f>_xlfn.XLOOKUP(FME_Ranking1[[#This Row],[FME ID]],FME_Input[FME_ID],FME_Input[RES_STRUCT100])</f>
        <v>2401</v>
      </c>
      <c r="M160" s="230">
        <f>(FME_Ranking1[[#This Row],[Res Structures Raw]]/L$2)*100</f>
        <v>1.7006417248657761</v>
      </c>
      <c r="N160" s="180">
        <f>FME_Ranking1[[#This Row],[Res Structures Score (Normalized, Unweighted)]]*$L$3</f>
        <v>0.17006417248657762</v>
      </c>
      <c r="O160" s="244">
        <f>_xlfn.XLOOKUP(FME_Ranking1[[#This Row],[FME ID]],FME_Input[FME_ID],FME_Input[POP100])</f>
        <v>17576</v>
      </c>
      <c r="P160" s="178">
        <f>(FME_Ranking1[[#This Row],[Pop Raw]]/$O$2)*100</f>
        <v>1.7993484835145033</v>
      </c>
      <c r="Q160" s="178">
        <f>FME_Ranking1[[#This Row],[Pop Score (Normalized, Unweighted)]]*$O$3</f>
        <v>0.26990227252717547</v>
      </c>
      <c r="R160" s="137">
        <f>_xlfn.XLOOKUP(FME_Ranking1[[#This Row],[FME ID]],FME_Input[FME_ID],FME_Input[CRITFAC100])</f>
        <v>26</v>
      </c>
      <c r="S160" s="230">
        <f>(FME_Ranking1[[#This Row],[Critical Facilities Raw]]/$R$2)*100</f>
        <v>1.1149228130360207</v>
      </c>
      <c r="T160" s="180">
        <f>FME_Ranking1[[#This Row],[Critical Facilities Score (Normalized, Unweighted)]]*$R$3</f>
        <v>0.22298456260720415</v>
      </c>
      <c r="U160">
        <f>_xlfn.XLOOKUP(FME_Ranking1[[#This Row],[FME ID]],FME_Input[FME_ID],FME_Input[LWC])</f>
        <v>55</v>
      </c>
      <c r="V160" s="178">
        <f>(FME_Ranking1[[#This Row],[LWC Raw]]/$U$2)*100</f>
        <v>3.1663788140472078</v>
      </c>
      <c r="W160" s="178">
        <f>FME_Ranking1[[#This Row],[LWC Score (Normalized, Unweighted)]]*$U$3</f>
        <v>0.63327576280944164</v>
      </c>
      <c r="X160" s="246">
        <f>_xlfn.XLOOKUP(FME_Ranking1[[#This Row],[FME ID]],FME_Input[FME_ID],FME_Input[ROADCLS])</f>
        <v>0</v>
      </c>
      <c r="Y160" s="230">
        <f>(FME_Ranking1[[#This Row],[Closures Raw]]/$X$2)*100</f>
        <v>0</v>
      </c>
      <c r="Z160" s="180">
        <f>FME_Ranking1[[#This Row],[Closures Score (Normalized, Unweighted)]]*$X$3</f>
        <v>0</v>
      </c>
      <c r="AA160" s="253">
        <f>_xlfn.XLOOKUP(FME_Ranking1[[#This Row],[FME ID]],FME_Input[FME_ID],FME_Input[ROAD_MILES100])</f>
        <v>145.78169250488281</v>
      </c>
      <c r="AB160" s="178">
        <f>(FME_Ranking1[[#This Row],[Miles Raw]]/$AA$2)*100</f>
        <v>1.9167677846986337</v>
      </c>
      <c r="AC160" s="178">
        <f>FME_Ranking1[[#This Row],[Miles Score (Normalized, Unweighted)]]*$AA$3</f>
        <v>0.19167677846986339</v>
      </c>
      <c r="AD160" s="255">
        <f>_xlfn.XLOOKUP(FME_Ranking1[[#This Row],[FME ID]],FME_Input[FME_ID],FME_Input[FARMACRE100])</f>
        <v>34153.609375</v>
      </c>
      <c r="AE160" s="230">
        <f>(FME_Ranking1[[#This Row],[Ag Land Raw]]/$AD$2)*100</f>
        <v>1.4083419618666251</v>
      </c>
      <c r="AF160" s="231">
        <f>FME_Ranking1[[#This Row],[Ag Land Score (Normalized, Unweighted)]]*$AD$3</f>
        <v>7.0417098093331257E-2</v>
      </c>
      <c r="AG16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1.7866010736739688</v>
      </c>
      <c r="AH160" s="406">
        <f t="shared" si="2"/>
        <v>154</v>
      </c>
      <c r="AI16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1.7866010736739688</v>
      </c>
      <c r="AJ160" s="257">
        <f>FME_Ranking1[[#This Row],[Addition check]]-FME_Ranking1[[#This Row],[Weighted Score Based on Normalized Reported Factors]]</f>
        <v>0</v>
      </c>
      <c r="AK160" s="178">
        <f>_xlfn.RANK.EQ(AI160,$AI$6:$AI$2341,0)+COUNTIF($AI$6:AI160,AI160)-1</f>
        <v>154</v>
      </c>
    </row>
    <row r="161" spans="1:37" ht="12" customHeight="1" x14ac:dyDescent="0.25">
      <c r="A161" t="s">
        <v>4030</v>
      </c>
      <c r="B161">
        <f>_xlfn.XLOOKUP(FME_Ranking1[[#This Row],[FME ID]],FME_Input[FME_ID],FME_Input[RFPG_NUM])</f>
        <v>3</v>
      </c>
      <c r="C161" t="str">
        <f>_xlfn.XLOOKUP(FME_Ranking1[[#This Row],[FME ID]],FME_Input[FME_ID],FME_Input[FME_NAME])</f>
        <v>Collin County Dam Inundation Study</v>
      </c>
      <c r="D161" t="str">
        <f>_xlfn.XLOOKUP(FME_Ranking1[[#This Row],[FME ID]],FME_Input[FME_ID],FME_Input[DESCR])</f>
        <v>Inundation studies of all high and moderate hazard dams</v>
      </c>
      <c r="E161" s="256">
        <f>_xlfn.XLOOKUP(FME_Ranking1[[#This Row],[FME ID]],FME_Input[FME_ID],FME_Input[FME_COST])</f>
        <v>855000</v>
      </c>
      <c r="F161" t="str">
        <f>_xlfn.XLOOKUP(FME_Ranking1[[#This Row],[FME ID]],FME_Input[FME_ID],FME_Input[EMER_NEED])</f>
        <v>No</v>
      </c>
      <c r="G161">
        <f>IF(FME_Ranking!F161="Yes",100,0)</f>
        <v>0</v>
      </c>
      <c r="H161">
        <f>FME_Ranking1[[#This Row],[Emergency Need Score (Normalized, Unweighted)]]*$F$3</f>
        <v>0</v>
      </c>
      <c r="I161" s="246">
        <f>_xlfn.XLOOKUP(FME_Ranking1[[#This Row],[FME ID]],FME_Input[FME_ID],FME_Input[STRUCT_100])</f>
        <v>2842</v>
      </c>
      <c r="J161" s="178">
        <f>(FME_Ranking1[[#This Row],[Structures 100 Raw]]/I$2)*100</f>
        <v>1.5218695112025018</v>
      </c>
      <c r="K161" s="178">
        <f>FME_Ranking1[[#This Row],[Structures 100  Score (Normalized, Unweighted)]]*$I$3</f>
        <v>0.22828042668037526</v>
      </c>
      <c r="L161" s="246">
        <f>_xlfn.XLOOKUP(FME_Ranking1[[#This Row],[FME ID]],FME_Input[FME_ID],FME_Input[RES_STRUCT100])</f>
        <v>2401</v>
      </c>
      <c r="M161" s="230">
        <f>(FME_Ranking1[[#This Row],[Res Structures Raw]]/L$2)*100</f>
        <v>1.7006417248657761</v>
      </c>
      <c r="N161" s="180">
        <f>FME_Ranking1[[#This Row],[Res Structures Score (Normalized, Unweighted)]]*$L$3</f>
        <v>0.17006417248657762</v>
      </c>
      <c r="O161" s="244">
        <f>_xlfn.XLOOKUP(FME_Ranking1[[#This Row],[FME ID]],FME_Input[FME_ID],FME_Input[POP100])</f>
        <v>17576</v>
      </c>
      <c r="P161" s="178">
        <f>(FME_Ranking1[[#This Row],[Pop Raw]]/$O$2)*100</f>
        <v>1.7993484835145033</v>
      </c>
      <c r="Q161" s="178">
        <f>FME_Ranking1[[#This Row],[Pop Score (Normalized, Unweighted)]]*$O$3</f>
        <v>0.26990227252717547</v>
      </c>
      <c r="R161" s="137">
        <f>_xlfn.XLOOKUP(FME_Ranking1[[#This Row],[FME ID]],FME_Input[FME_ID],FME_Input[CRITFAC100])</f>
        <v>26</v>
      </c>
      <c r="S161" s="230">
        <f>(FME_Ranking1[[#This Row],[Critical Facilities Raw]]/$R$2)*100</f>
        <v>1.1149228130360207</v>
      </c>
      <c r="T161" s="180">
        <f>FME_Ranking1[[#This Row],[Critical Facilities Score (Normalized, Unweighted)]]*$R$3</f>
        <v>0.22298456260720415</v>
      </c>
      <c r="U161">
        <f>_xlfn.XLOOKUP(FME_Ranking1[[#This Row],[FME ID]],FME_Input[FME_ID],FME_Input[LWC])</f>
        <v>55</v>
      </c>
      <c r="V161" s="178">
        <f>(FME_Ranking1[[#This Row],[LWC Raw]]/$U$2)*100</f>
        <v>3.1663788140472078</v>
      </c>
      <c r="W161" s="178">
        <f>FME_Ranking1[[#This Row],[LWC Score (Normalized, Unweighted)]]*$U$3</f>
        <v>0.63327576280944164</v>
      </c>
      <c r="X161" s="246">
        <f>_xlfn.XLOOKUP(FME_Ranking1[[#This Row],[FME ID]],FME_Input[FME_ID],FME_Input[ROADCLS])</f>
        <v>0</v>
      </c>
      <c r="Y161" s="230">
        <f>(FME_Ranking1[[#This Row],[Closures Raw]]/$X$2)*100</f>
        <v>0</v>
      </c>
      <c r="Z161" s="180">
        <f>FME_Ranking1[[#This Row],[Closures Score (Normalized, Unweighted)]]*$X$3</f>
        <v>0</v>
      </c>
      <c r="AA161" s="253">
        <f>_xlfn.XLOOKUP(FME_Ranking1[[#This Row],[FME ID]],FME_Input[FME_ID],FME_Input[ROAD_MILES100])</f>
        <v>145.78169250488281</v>
      </c>
      <c r="AB161" s="178">
        <f>(FME_Ranking1[[#This Row],[Miles Raw]]/$AA$2)*100</f>
        <v>1.9167677846986337</v>
      </c>
      <c r="AC161" s="178">
        <f>FME_Ranking1[[#This Row],[Miles Score (Normalized, Unweighted)]]*$AA$3</f>
        <v>0.19167677846986339</v>
      </c>
      <c r="AD161" s="255">
        <f>_xlfn.XLOOKUP(FME_Ranking1[[#This Row],[FME ID]],FME_Input[FME_ID],FME_Input[FARMACRE100])</f>
        <v>34153.609375</v>
      </c>
      <c r="AE161" s="230">
        <f>(FME_Ranking1[[#This Row],[Ag Land Raw]]/$AD$2)*100</f>
        <v>1.4083419618666251</v>
      </c>
      <c r="AF161" s="231">
        <f>FME_Ranking1[[#This Row],[Ag Land Score (Normalized, Unweighted)]]*$AD$3</f>
        <v>7.0417098093331257E-2</v>
      </c>
      <c r="AG16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1.7866010736739688</v>
      </c>
      <c r="AH161" s="406">
        <f t="shared" si="2"/>
        <v>154</v>
      </c>
      <c r="AI16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1.7866010736739688</v>
      </c>
      <c r="AJ161" s="257">
        <f>FME_Ranking1[[#This Row],[Addition check]]-FME_Ranking1[[#This Row],[Weighted Score Based on Normalized Reported Factors]]</f>
        <v>0</v>
      </c>
      <c r="AK161" s="178">
        <f>_xlfn.RANK.EQ(AI161,$AI$6:$AI$2341,0)+COUNTIF($AI$6:AI161,AI161)-1</f>
        <v>155</v>
      </c>
    </row>
    <row r="162" spans="1:37" ht="12" customHeight="1" x14ac:dyDescent="0.25">
      <c r="A162" t="s">
        <v>4412</v>
      </c>
      <c r="B162">
        <f>_xlfn.XLOOKUP(FME_Ranking1[[#This Row],[FME ID]],FME_Input[FME_ID],FME_Input[RFPG_NUM])</f>
        <v>3</v>
      </c>
      <c r="C162" t="str">
        <f>_xlfn.XLOOKUP(FME_Ranking1[[#This Row],[FME ID]],FME_Input[FME_ID],FME_Input[FME_NAME])</f>
        <v>Collin County Retention Structures Rehabilitation Project</v>
      </c>
      <c r="D162" t="str">
        <f>_xlfn.XLOOKUP(FME_Ranking1[[#This Row],[FME ID]],FME_Input[FME_ID],FME_Input[DESCR])</f>
        <v>Conduct hazard/vulnerability assessment and inundation study on NRCS flood retention structures and rehabilitate structures found to be a high hazard.</v>
      </c>
      <c r="E162" s="256">
        <f>_xlfn.XLOOKUP(FME_Ranking1[[#This Row],[FME ID]],FME_Input[FME_ID],FME_Input[FME_COST])</f>
        <v>500000</v>
      </c>
      <c r="F162" t="str">
        <f>_xlfn.XLOOKUP(FME_Ranking1[[#This Row],[FME ID]],FME_Input[FME_ID],FME_Input[EMER_NEED])</f>
        <v>No</v>
      </c>
      <c r="G162">
        <f>IF(FME_Ranking!F162="Yes",100,0)</f>
        <v>0</v>
      </c>
      <c r="H162">
        <f>FME_Ranking1[[#This Row],[Emergency Need Score (Normalized, Unweighted)]]*$F$3</f>
        <v>0</v>
      </c>
      <c r="I162" s="246">
        <f>_xlfn.XLOOKUP(FME_Ranking1[[#This Row],[FME ID]],FME_Input[FME_ID],FME_Input[STRUCT_100])</f>
        <v>2842</v>
      </c>
      <c r="J162" s="178">
        <f>(FME_Ranking1[[#This Row],[Structures 100 Raw]]/I$2)*100</f>
        <v>1.5218695112025018</v>
      </c>
      <c r="K162" s="178">
        <f>FME_Ranking1[[#This Row],[Structures 100  Score (Normalized, Unweighted)]]*$I$3</f>
        <v>0.22828042668037526</v>
      </c>
      <c r="L162" s="246">
        <f>_xlfn.XLOOKUP(FME_Ranking1[[#This Row],[FME ID]],FME_Input[FME_ID],FME_Input[RES_STRUCT100])</f>
        <v>2401</v>
      </c>
      <c r="M162" s="230">
        <f>(FME_Ranking1[[#This Row],[Res Structures Raw]]/L$2)*100</f>
        <v>1.7006417248657761</v>
      </c>
      <c r="N162" s="180">
        <f>FME_Ranking1[[#This Row],[Res Structures Score (Normalized, Unweighted)]]*$L$3</f>
        <v>0.17006417248657762</v>
      </c>
      <c r="O162" s="244">
        <f>_xlfn.XLOOKUP(FME_Ranking1[[#This Row],[FME ID]],FME_Input[FME_ID],FME_Input[POP100])</f>
        <v>17576</v>
      </c>
      <c r="P162" s="178">
        <f>(FME_Ranking1[[#This Row],[Pop Raw]]/$O$2)*100</f>
        <v>1.7993484835145033</v>
      </c>
      <c r="Q162" s="178">
        <f>FME_Ranking1[[#This Row],[Pop Score (Normalized, Unweighted)]]*$O$3</f>
        <v>0.26990227252717547</v>
      </c>
      <c r="R162" s="137">
        <f>_xlfn.XLOOKUP(FME_Ranking1[[#This Row],[FME ID]],FME_Input[FME_ID],FME_Input[CRITFAC100])</f>
        <v>26</v>
      </c>
      <c r="S162" s="230">
        <f>(FME_Ranking1[[#This Row],[Critical Facilities Raw]]/$R$2)*100</f>
        <v>1.1149228130360207</v>
      </c>
      <c r="T162" s="180">
        <f>FME_Ranking1[[#This Row],[Critical Facilities Score (Normalized, Unweighted)]]*$R$3</f>
        <v>0.22298456260720415</v>
      </c>
      <c r="U162">
        <f>_xlfn.XLOOKUP(FME_Ranking1[[#This Row],[FME ID]],FME_Input[FME_ID],FME_Input[LWC])</f>
        <v>55</v>
      </c>
      <c r="V162" s="178">
        <f>(FME_Ranking1[[#This Row],[LWC Raw]]/$U$2)*100</f>
        <v>3.1663788140472078</v>
      </c>
      <c r="W162" s="178">
        <f>FME_Ranking1[[#This Row],[LWC Score (Normalized, Unweighted)]]*$U$3</f>
        <v>0.63327576280944164</v>
      </c>
      <c r="X162" s="246">
        <f>_xlfn.XLOOKUP(FME_Ranking1[[#This Row],[FME ID]],FME_Input[FME_ID],FME_Input[ROADCLS])</f>
        <v>0</v>
      </c>
      <c r="Y162" s="230">
        <f>(FME_Ranking1[[#This Row],[Closures Raw]]/$X$2)*100</f>
        <v>0</v>
      </c>
      <c r="Z162" s="180">
        <f>FME_Ranking1[[#This Row],[Closures Score (Normalized, Unweighted)]]*$X$3</f>
        <v>0</v>
      </c>
      <c r="AA162" s="253">
        <f>_xlfn.XLOOKUP(FME_Ranking1[[#This Row],[FME ID]],FME_Input[FME_ID],FME_Input[ROAD_MILES100])</f>
        <v>145.78169250488281</v>
      </c>
      <c r="AB162" s="178">
        <f>(FME_Ranking1[[#This Row],[Miles Raw]]/$AA$2)*100</f>
        <v>1.9167677846986337</v>
      </c>
      <c r="AC162" s="178">
        <f>FME_Ranking1[[#This Row],[Miles Score (Normalized, Unweighted)]]*$AA$3</f>
        <v>0.19167677846986339</v>
      </c>
      <c r="AD162" s="255">
        <f>_xlfn.XLOOKUP(FME_Ranking1[[#This Row],[FME ID]],FME_Input[FME_ID],FME_Input[FARMACRE100])</f>
        <v>34153.609375</v>
      </c>
      <c r="AE162" s="230">
        <f>(FME_Ranking1[[#This Row],[Ag Land Raw]]/$AD$2)*100</f>
        <v>1.4083419618666251</v>
      </c>
      <c r="AF162" s="231">
        <f>FME_Ranking1[[#This Row],[Ag Land Score (Normalized, Unweighted)]]*$AD$3</f>
        <v>7.0417098093331257E-2</v>
      </c>
      <c r="AG16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1.7866010736739688</v>
      </c>
      <c r="AH162" s="406">
        <f t="shared" si="2"/>
        <v>154</v>
      </c>
      <c r="AI16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1.7866010736739688</v>
      </c>
      <c r="AJ162" s="257">
        <f>FME_Ranking1[[#This Row],[Addition check]]-FME_Ranking1[[#This Row],[Weighted Score Based on Normalized Reported Factors]]</f>
        <v>0</v>
      </c>
      <c r="AK162" s="178">
        <f>_xlfn.RANK.EQ(AI162,$AI$6:$AI$2341,0)+COUNTIF($AI$6:AI162,AI162)-1</f>
        <v>156</v>
      </c>
    </row>
    <row r="163" spans="1:37" ht="12" customHeight="1" x14ac:dyDescent="0.25">
      <c r="A163" t="s">
        <v>4778</v>
      </c>
      <c r="B163">
        <f>_xlfn.XLOOKUP(FME_Ranking1[[#This Row],[FME ID]],FME_Input[FME_ID],FME_Input[RFPG_NUM])</f>
        <v>3</v>
      </c>
      <c r="C163" t="str">
        <f>_xlfn.XLOOKUP(FME_Ranking1[[#This Row],[FME ID]],FME_Input[FME_ID],FME_Input[FME_NAME])</f>
        <v>Collin County flooding hazard/vulnerability assessment</v>
      </c>
      <c r="D163" t="str">
        <f>_xlfn.XLOOKUP(FME_Ranking1[[#This Row],[FME ID]],FME_Input[FME_ID],FME_Input[DESCR])</f>
        <v>Conduct a hazard/vulnerability assessment for personal properties and structures located in the floodplain.</v>
      </c>
      <c r="E163" s="256">
        <f>_xlfn.XLOOKUP(FME_Ranking1[[#This Row],[FME ID]],FME_Input[FME_ID],FME_Input[FME_COST])</f>
        <v>500000</v>
      </c>
      <c r="F163" t="str">
        <f>_xlfn.XLOOKUP(FME_Ranking1[[#This Row],[FME ID]],FME_Input[FME_ID],FME_Input[EMER_NEED])</f>
        <v>No</v>
      </c>
      <c r="G163">
        <f>IF(FME_Ranking!F163="Yes",100,0)</f>
        <v>0</v>
      </c>
      <c r="H163">
        <f>FME_Ranking1[[#This Row],[Emergency Need Score (Normalized, Unweighted)]]*$F$3</f>
        <v>0</v>
      </c>
      <c r="I163" s="246">
        <f>_xlfn.XLOOKUP(FME_Ranking1[[#This Row],[FME ID]],FME_Input[FME_ID],FME_Input[STRUCT_100])</f>
        <v>2842</v>
      </c>
      <c r="J163" s="178">
        <f>(FME_Ranking1[[#This Row],[Structures 100 Raw]]/I$2)*100</f>
        <v>1.5218695112025018</v>
      </c>
      <c r="K163" s="178">
        <f>FME_Ranking1[[#This Row],[Structures 100  Score (Normalized, Unweighted)]]*$I$3</f>
        <v>0.22828042668037526</v>
      </c>
      <c r="L163" s="246">
        <f>_xlfn.XLOOKUP(FME_Ranking1[[#This Row],[FME ID]],FME_Input[FME_ID],FME_Input[RES_STRUCT100])</f>
        <v>2401</v>
      </c>
      <c r="M163" s="230">
        <f>(FME_Ranking1[[#This Row],[Res Structures Raw]]/L$2)*100</f>
        <v>1.7006417248657761</v>
      </c>
      <c r="N163" s="180">
        <f>FME_Ranking1[[#This Row],[Res Structures Score (Normalized, Unweighted)]]*$L$3</f>
        <v>0.17006417248657762</v>
      </c>
      <c r="O163" s="244">
        <f>_xlfn.XLOOKUP(FME_Ranking1[[#This Row],[FME ID]],FME_Input[FME_ID],FME_Input[POP100])</f>
        <v>17576</v>
      </c>
      <c r="P163" s="178">
        <f>(FME_Ranking1[[#This Row],[Pop Raw]]/$O$2)*100</f>
        <v>1.7993484835145033</v>
      </c>
      <c r="Q163" s="178">
        <f>FME_Ranking1[[#This Row],[Pop Score (Normalized, Unweighted)]]*$O$3</f>
        <v>0.26990227252717547</v>
      </c>
      <c r="R163" s="137">
        <f>_xlfn.XLOOKUP(FME_Ranking1[[#This Row],[FME ID]],FME_Input[FME_ID],FME_Input[CRITFAC100])</f>
        <v>26</v>
      </c>
      <c r="S163" s="230">
        <f>(FME_Ranking1[[#This Row],[Critical Facilities Raw]]/$R$2)*100</f>
        <v>1.1149228130360207</v>
      </c>
      <c r="T163" s="180">
        <f>FME_Ranking1[[#This Row],[Critical Facilities Score (Normalized, Unweighted)]]*$R$3</f>
        <v>0.22298456260720415</v>
      </c>
      <c r="U163">
        <f>_xlfn.XLOOKUP(FME_Ranking1[[#This Row],[FME ID]],FME_Input[FME_ID],FME_Input[LWC])</f>
        <v>55</v>
      </c>
      <c r="V163" s="178">
        <f>(FME_Ranking1[[#This Row],[LWC Raw]]/$U$2)*100</f>
        <v>3.1663788140472078</v>
      </c>
      <c r="W163" s="178">
        <f>FME_Ranking1[[#This Row],[LWC Score (Normalized, Unweighted)]]*$U$3</f>
        <v>0.63327576280944164</v>
      </c>
      <c r="X163" s="246">
        <f>_xlfn.XLOOKUP(FME_Ranking1[[#This Row],[FME ID]],FME_Input[FME_ID],FME_Input[ROADCLS])</f>
        <v>0</v>
      </c>
      <c r="Y163" s="230">
        <f>(FME_Ranking1[[#This Row],[Closures Raw]]/$X$2)*100</f>
        <v>0</v>
      </c>
      <c r="Z163" s="180">
        <f>FME_Ranking1[[#This Row],[Closures Score (Normalized, Unweighted)]]*$X$3</f>
        <v>0</v>
      </c>
      <c r="AA163" s="253">
        <f>_xlfn.XLOOKUP(FME_Ranking1[[#This Row],[FME ID]],FME_Input[FME_ID],FME_Input[ROAD_MILES100])</f>
        <v>145.78169250488281</v>
      </c>
      <c r="AB163" s="178">
        <f>(FME_Ranking1[[#This Row],[Miles Raw]]/$AA$2)*100</f>
        <v>1.9167677846986337</v>
      </c>
      <c r="AC163" s="178">
        <f>FME_Ranking1[[#This Row],[Miles Score (Normalized, Unweighted)]]*$AA$3</f>
        <v>0.19167677846986339</v>
      </c>
      <c r="AD163" s="255">
        <f>_xlfn.XLOOKUP(FME_Ranking1[[#This Row],[FME ID]],FME_Input[FME_ID],FME_Input[FARMACRE100])</f>
        <v>34153.609375</v>
      </c>
      <c r="AE163" s="230">
        <f>(FME_Ranking1[[#This Row],[Ag Land Raw]]/$AD$2)*100</f>
        <v>1.4083419618666251</v>
      </c>
      <c r="AF163" s="231">
        <f>FME_Ranking1[[#This Row],[Ag Land Score (Normalized, Unweighted)]]*$AD$3</f>
        <v>7.0417098093331257E-2</v>
      </c>
      <c r="AG16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1.7866010736739688</v>
      </c>
      <c r="AH163" s="406">
        <f t="shared" si="2"/>
        <v>154</v>
      </c>
      <c r="AI16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1.7866010736739688</v>
      </c>
      <c r="AJ163" s="257">
        <f>FME_Ranking1[[#This Row],[Addition check]]-FME_Ranking1[[#This Row],[Weighted Score Based on Normalized Reported Factors]]</f>
        <v>0</v>
      </c>
      <c r="AK163" s="178">
        <f>_xlfn.RANK.EQ(AI163,$AI$6:$AI$2341,0)+COUNTIF($AI$6:AI163,AI163)-1</f>
        <v>157</v>
      </c>
    </row>
    <row r="164" spans="1:37" ht="12" customHeight="1" x14ac:dyDescent="0.25">
      <c r="A164" t="s">
        <v>8924</v>
      </c>
      <c r="B164">
        <f>_xlfn.XLOOKUP(FME_Ranking1[[#This Row],[FME ID]],FME_Input[FME_ID],FME_Input[RFPG_NUM])</f>
        <v>11</v>
      </c>
      <c r="C164" t="str">
        <f>_xlfn.XLOOKUP(FME_Ranking1[[#This Row],[FME ID]],FME_Input[FME_ID],FME_Input[FME_NAME])</f>
        <v>Comal County Evacuation and Dam Safety Plan</v>
      </c>
      <c r="D164" t="str">
        <f>_xlfn.XLOOKUP(FME_Ranking1[[#This Row],[FME ID]],FME_Input[FME_ID],FME_Input[DESCR])</f>
        <v>Develop evacuation and dam safety plan for coordination with USACE and dam re‐enforcement.</v>
      </c>
      <c r="E164" s="256">
        <f>_xlfn.XLOOKUP(FME_Ranking1[[#This Row],[FME ID]],FME_Input[FME_ID],FME_Input[FME_COST])</f>
        <v>50000</v>
      </c>
      <c r="F164" t="str">
        <f>_xlfn.XLOOKUP(FME_Ranking1[[#This Row],[FME ID]],FME_Input[FME_ID],FME_Input[EMER_NEED])</f>
        <v>No</v>
      </c>
      <c r="G164">
        <f>IF(FME_Ranking!F164="Yes",100,0)</f>
        <v>0</v>
      </c>
      <c r="H164">
        <f>FME_Ranking1[[#This Row],[Emergency Need Score (Normalized, Unweighted)]]*$F$3</f>
        <v>0</v>
      </c>
      <c r="I164" s="246">
        <f>_xlfn.XLOOKUP(FME_Ranking1[[#This Row],[FME ID]],FME_Input[FME_ID],FME_Input[STRUCT_100])</f>
        <v>3677</v>
      </c>
      <c r="J164" s="178">
        <f>(FME_Ranking1[[#This Row],[Structures 100 Raw]]/I$2)*100</f>
        <v>1.9690056976395494</v>
      </c>
      <c r="K164" s="178">
        <f>FME_Ranking1[[#This Row],[Structures 100  Score (Normalized, Unweighted)]]*$I$3</f>
        <v>0.29535085464593241</v>
      </c>
      <c r="L164" s="246">
        <f>_xlfn.XLOOKUP(FME_Ranking1[[#This Row],[FME ID]],FME_Input[FME_ID],FME_Input[RES_STRUCT100])</f>
        <v>2782</v>
      </c>
      <c r="M164" s="230">
        <f>(FME_Ranking1[[#This Row],[Res Structures Raw]]/L$2)*100</f>
        <v>1.9705061551755891</v>
      </c>
      <c r="N164" s="180">
        <f>FME_Ranking1[[#This Row],[Res Structures Score (Normalized, Unweighted)]]*$L$3</f>
        <v>0.19705061551755892</v>
      </c>
      <c r="O164" s="244">
        <f>_xlfn.XLOOKUP(FME_Ranking1[[#This Row],[FME ID]],FME_Input[FME_ID],FME_Input[POP100])</f>
        <v>9129</v>
      </c>
      <c r="P164" s="178">
        <f>(FME_Ranking1[[#This Row],[Pop Raw]]/$O$2)*100</f>
        <v>0.93458422314542</v>
      </c>
      <c r="Q164" s="178">
        <f>FME_Ranking1[[#This Row],[Pop Score (Normalized, Unweighted)]]*$O$3</f>
        <v>0.14018763347181298</v>
      </c>
      <c r="R164" s="137">
        <f>_xlfn.XLOOKUP(FME_Ranking1[[#This Row],[FME ID]],FME_Input[FME_ID],FME_Input[CRITFAC100])</f>
        <v>6</v>
      </c>
      <c r="S164" s="230">
        <f>(FME_Ranking1[[#This Row],[Critical Facilities Raw]]/$R$2)*100</f>
        <v>0.25728987993138941</v>
      </c>
      <c r="T164" s="180">
        <f>FME_Ranking1[[#This Row],[Critical Facilities Score (Normalized, Unweighted)]]*$R$3</f>
        <v>5.1457975986277882E-2</v>
      </c>
      <c r="U164">
        <f>_xlfn.XLOOKUP(FME_Ranking1[[#This Row],[FME ID]],FME_Input[FME_ID],FME_Input[LWC])</f>
        <v>77</v>
      </c>
      <c r="V164" s="178">
        <f>(FME_Ranking1[[#This Row],[LWC Raw]]/$U$2)*100</f>
        <v>4.4329303396660915</v>
      </c>
      <c r="W164" s="178">
        <f>FME_Ranking1[[#This Row],[LWC Score (Normalized, Unweighted)]]*$U$3</f>
        <v>0.88658606793321837</v>
      </c>
      <c r="X164" s="246">
        <f>_xlfn.XLOOKUP(FME_Ranking1[[#This Row],[FME ID]],FME_Input[FME_ID],FME_Input[ROADCLS])</f>
        <v>0</v>
      </c>
      <c r="Y164" s="230">
        <f>(FME_Ranking1[[#This Row],[Closures Raw]]/$X$2)*100</f>
        <v>0</v>
      </c>
      <c r="Z164" s="180">
        <f>FME_Ranking1[[#This Row],[Closures Score (Normalized, Unweighted)]]*$X$3</f>
        <v>0</v>
      </c>
      <c r="AA164" s="253">
        <f>_xlfn.XLOOKUP(FME_Ranking1[[#This Row],[FME ID]],FME_Input[FME_ID],FME_Input[ROAD_MILES100])</f>
        <v>92.6090087890625</v>
      </c>
      <c r="AB164" s="178">
        <f>(FME_Ranking1[[#This Row],[Miles Raw]]/$AA$2)*100</f>
        <v>1.2176423635210718</v>
      </c>
      <c r="AC164" s="178">
        <f>FME_Ranking1[[#This Row],[Miles Score (Normalized, Unweighted)]]*$AA$3</f>
        <v>0.12176423635210719</v>
      </c>
      <c r="AD164" s="255">
        <f>_xlfn.XLOOKUP(FME_Ranking1[[#This Row],[FME ID]],FME_Input[FME_ID],FME_Input[FARMACRE100])</f>
        <v>9463.314453125</v>
      </c>
      <c r="AE164" s="230">
        <f>(FME_Ranking1[[#This Row],[Ag Land Raw]]/$AD$2)*100</f>
        <v>0.39022472548481119</v>
      </c>
      <c r="AF164" s="231">
        <f>FME_Ranking1[[#This Row],[Ag Land Score (Normalized, Unweighted)]]*$AD$3</f>
        <v>1.9511236274240562E-2</v>
      </c>
      <c r="AG16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1.7119086201811484</v>
      </c>
      <c r="AH164" s="406">
        <f t="shared" si="2"/>
        <v>162</v>
      </c>
      <c r="AI16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1.7119086201811484</v>
      </c>
      <c r="AJ164" s="257">
        <f>FME_Ranking1[[#This Row],[Addition check]]-FME_Ranking1[[#This Row],[Weighted Score Based on Normalized Reported Factors]]</f>
        <v>0</v>
      </c>
      <c r="AK164" s="178">
        <f>_xlfn.RANK.EQ(AI164,$AI$6:$AI$2341,0)+COUNTIF($AI$6:AI164,AI164)-1</f>
        <v>162</v>
      </c>
    </row>
    <row r="165" spans="1:37" ht="12" customHeight="1" x14ac:dyDescent="0.25">
      <c r="A165" t="s">
        <v>8931</v>
      </c>
      <c r="B165">
        <f>_xlfn.XLOOKUP(FME_Ranking1[[#This Row],[FME ID]],FME_Input[FME_ID],FME_Input[RFPG_NUM])</f>
        <v>11</v>
      </c>
      <c r="C165" t="str">
        <f>_xlfn.XLOOKUP(FME_Ranking1[[#This Row],[FME ID]],FME_Input[FME_ID],FME_Input[FME_NAME])</f>
        <v>Comal County Low Water Crossing Improvements Project Planning</v>
      </c>
      <c r="D165" t="str">
        <f>_xlfn.XLOOKUP(FME_Ranking1[[#This Row],[FME ID]],FME_Input[FME_ID],FME_Input[DESCR])</f>
        <v>Project planning to upgrade low water crossings with larger culverts and elevated roadways where feasible. Acquire easement and/or right of ways adjacent to River Road for first responder access</v>
      </c>
      <c r="E165" s="256">
        <f>_xlfn.XLOOKUP(FME_Ranking1[[#This Row],[FME ID]],FME_Input[FME_ID],FME_Input[FME_COST])</f>
        <v>150000</v>
      </c>
      <c r="F165" t="str">
        <f>_xlfn.XLOOKUP(FME_Ranking1[[#This Row],[FME ID]],FME_Input[FME_ID],FME_Input[EMER_NEED])</f>
        <v>No</v>
      </c>
      <c r="G165">
        <f>IF(FME_Ranking!F165="Yes",100,0)</f>
        <v>0</v>
      </c>
      <c r="H165">
        <f>FME_Ranking1[[#This Row],[Emergency Need Score (Normalized, Unweighted)]]*$F$3</f>
        <v>0</v>
      </c>
      <c r="I165" s="246">
        <f>_xlfn.XLOOKUP(FME_Ranking1[[#This Row],[FME ID]],FME_Input[FME_ID],FME_Input[STRUCT_100])</f>
        <v>3677</v>
      </c>
      <c r="J165" s="178">
        <f>(FME_Ranking1[[#This Row],[Structures 100 Raw]]/I$2)*100</f>
        <v>1.9690056976395494</v>
      </c>
      <c r="K165" s="178">
        <f>FME_Ranking1[[#This Row],[Structures 100  Score (Normalized, Unweighted)]]*$I$3</f>
        <v>0.29535085464593241</v>
      </c>
      <c r="L165" s="246">
        <f>_xlfn.XLOOKUP(FME_Ranking1[[#This Row],[FME ID]],FME_Input[FME_ID],FME_Input[RES_STRUCT100])</f>
        <v>2782</v>
      </c>
      <c r="M165" s="230">
        <f>(FME_Ranking1[[#This Row],[Res Structures Raw]]/L$2)*100</f>
        <v>1.9705061551755891</v>
      </c>
      <c r="N165" s="180">
        <f>FME_Ranking1[[#This Row],[Res Structures Score (Normalized, Unweighted)]]*$L$3</f>
        <v>0.19705061551755892</v>
      </c>
      <c r="O165" s="244">
        <f>_xlfn.XLOOKUP(FME_Ranking1[[#This Row],[FME ID]],FME_Input[FME_ID],FME_Input[POP100])</f>
        <v>9129</v>
      </c>
      <c r="P165" s="178">
        <f>(FME_Ranking1[[#This Row],[Pop Raw]]/$O$2)*100</f>
        <v>0.93458422314542</v>
      </c>
      <c r="Q165" s="178">
        <f>FME_Ranking1[[#This Row],[Pop Score (Normalized, Unweighted)]]*$O$3</f>
        <v>0.14018763347181298</v>
      </c>
      <c r="R165" s="137">
        <f>_xlfn.XLOOKUP(FME_Ranking1[[#This Row],[FME ID]],FME_Input[FME_ID],FME_Input[CRITFAC100])</f>
        <v>6</v>
      </c>
      <c r="S165" s="230">
        <f>(FME_Ranking1[[#This Row],[Critical Facilities Raw]]/$R$2)*100</f>
        <v>0.25728987993138941</v>
      </c>
      <c r="T165" s="180">
        <f>FME_Ranking1[[#This Row],[Critical Facilities Score (Normalized, Unweighted)]]*$R$3</f>
        <v>5.1457975986277882E-2</v>
      </c>
      <c r="U165">
        <f>_xlfn.XLOOKUP(FME_Ranking1[[#This Row],[FME ID]],FME_Input[FME_ID],FME_Input[LWC])</f>
        <v>77</v>
      </c>
      <c r="V165" s="178">
        <f>(FME_Ranking1[[#This Row],[LWC Raw]]/$U$2)*100</f>
        <v>4.4329303396660915</v>
      </c>
      <c r="W165" s="178">
        <f>FME_Ranking1[[#This Row],[LWC Score (Normalized, Unweighted)]]*$U$3</f>
        <v>0.88658606793321837</v>
      </c>
      <c r="X165" s="246">
        <f>_xlfn.XLOOKUP(FME_Ranking1[[#This Row],[FME ID]],FME_Input[FME_ID],FME_Input[ROADCLS])</f>
        <v>0</v>
      </c>
      <c r="Y165" s="230">
        <f>(FME_Ranking1[[#This Row],[Closures Raw]]/$X$2)*100</f>
        <v>0</v>
      </c>
      <c r="Z165" s="180">
        <f>FME_Ranking1[[#This Row],[Closures Score (Normalized, Unweighted)]]*$X$3</f>
        <v>0</v>
      </c>
      <c r="AA165" s="253">
        <f>_xlfn.XLOOKUP(FME_Ranking1[[#This Row],[FME ID]],FME_Input[FME_ID],FME_Input[ROAD_MILES100])</f>
        <v>92.6090087890625</v>
      </c>
      <c r="AB165" s="178">
        <f>(FME_Ranking1[[#This Row],[Miles Raw]]/$AA$2)*100</f>
        <v>1.2176423635210718</v>
      </c>
      <c r="AC165" s="178">
        <f>FME_Ranking1[[#This Row],[Miles Score (Normalized, Unweighted)]]*$AA$3</f>
        <v>0.12176423635210719</v>
      </c>
      <c r="AD165" s="255">
        <f>_xlfn.XLOOKUP(FME_Ranking1[[#This Row],[FME ID]],FME_Input[FME_ID],FME_Input[FARMACRE100])</f>
        <v>9463.314453125</v>
      </c>
      <c r="AE165" s="230">
        <f>(FME_Ranking1[[#This Row],[Ag Land Raw]]/$AD$2)*100</f>
        <v>0.39022472548481119</v>
      </c>
      <c r="AF165" s="231">
        <f>FME_Ranking1[[#This Row],[Ag Land Score (Normalized, Unweighted)]]*$AD$3</f>
        <v>1.9511236274240562E-2</v>
      </c>
      <c r="AG16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1.7119086201811484</v>
      </c>
      <c r="AH165" s="406">
        <f t="shared" si="2"/>
        <v>162</v>
      </c>
      <c r="AI16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1.7119086201811484</v>
      </c>
      <c r="AJ165" s="257">
        <f>FME_Ranking1[[#This Row],[Addition check]]-FME_Ranking1[[#This Row],[Weighted Score Based on Normalized Reported Factors]]</f>
        <v>0</v>
      </c>
      <c r="AK165" s="178">
        <f>_xlfn.RANK.EQ(AI165,$AI$6:$AI$2341,0)+COUNTIF($AI$6:AI165,AI165)-1</f>
        <v>163</v>
      </c>
    </row>
    <row r="166" spans="1:37" ht="12" customHeight="1" x14ac:dyDescent="0.25">
      <c r="A166" t="s">
        <v>8934</v>
      </c>
      <c r="B166">
        <f>_xlfn.XLOOKUP(FME_Ranking1[[#This Row],[FME ID]],FME_Input[FME_ID],FME_Input[RFPG_NUM])</f>
        <v>11</v>
      </c>
      <c r="C166" t="str">
        <f>_xlfn.XLOOKUP(FME_Ranking1[[#This Row],[FME ID]],FME_Input[FME_ID],FME_Input[FME_NAME])</f>
        <v>Comal County Voluntary Buyout Program Project Planning</v>
      </c>
      <c r="D166" t="str">
        <f>_xlfn.XLOOKUP(FME_Ranking1[[#This Row],[FME ID]],FME_Input[FME_ID],FME_Input[DESCR])</f>
        <v>Project planning to remediate repetitive losses along the Guadalupe River by acquiring flood damaged structures and converting acquired land to open(green)space.</v>
      </c>
      <c r="E166" s="256">
        <f>_xlfn.XLOOKUP(FME_Ranking1[[#This Row],[FME ID]],FME_Input[FME_ID],FME_Input[FME_COST])</f>
        <v>357000</v>
      </c>
      <c r="F166" t="str">
        <f>_xlfn.XLOOKUP(FME_Ranking1[[#This Row],[FME ID]],FME_Input[FME_ID],FME_Input[EMER_NEED])</f>
        <v>No</v>
      </c>
      <c r="G166">
        <f>IF(FME_Ranking!F166="Yes",100,0)</f>
        <v>0</v>
      </c>
      <c r="H166">
        <f>FME_Ranking1[[#This Row],[Emergency Need Score (Normalized, Unweighted)]]*$F$3</f>
        <v>0</v>
      </c>
      <c r="I166" s="246">
        <f>_xlfn.XLOOKUP(FME_Ranking1[[#This Row],[FME ID]],FME_Input[FME_ID],FME_Input[STRUCT_100])</f>
        <v>3677</v>
      </c>
      <c r="J166" s="178">
        <f>(FME_Ranking1[[#This Row],[Structures 100 Raw]]/I$2)*100</f>
        <v>1.9690056976395494</v>
      </c>
      <c r="K166" s="178">
        <f>FME_Ranking1[[#This Row],[Structures 100  Score (Normalized, Unweighted)]]*$I$3</f>
        <v>0.29535085464593241</v>
      </c>
      <c r="L166" s="246">
        <f>_xlfn.XLOOKUP(FME_Ranking1[[#This Row],[FME ID]],FME_Input[FME_ID],FME_Input[RES_STRUCT100])</f>
        <v>2782</v>
      </c>
      <c r="M166" s="230">
        <f>(FME_Ranking1[[#This Row],[Res Structures Raw]]/L$2)*100</f>
        <v>1.9705061551755891</v>
      </c>
      <c r="N166" s="180">
        <f>FME_Ranking1[[#This Row],[Res Structures Score (Normalized, Unweighted)]]*$L$3</f>
        <v>0.19705061551755892</v>
      </c>
      <c r="O166" s="244">
        <f>_xlfn.XLOOKUP(FME_Ranking1[[#This Row],[FME ID]],FME_Input[FME_ID],FME_Input[POP100])</f>
        <v>9129</v>
      </c>
      <c r="P166" s="178">
        <f>(FME_Ranking1[[#This Row],[Pop Raw]]/$O$2)*100</f>
        <v>0.93458422314542</v>
      </c>
      <c r="Q166" s="178">
        <f>FME_Ranking1[[#This Row],[Pop Score (Normalized, Unweighted)]]*$O$3</f>
        <v>0.14018763347181298</v>
      </c>
      <c r="R166" s="137">
        <f>_xlfn.XLOOKUP(FME_Ranking1[[#This Row],[FME ID]],FME_Input[FME_ID],FME_Input[CRITFAC100])</f>
        <v>6</v>
      </c>
      <c r="S166" s="230">
        <f>(FME_Ranking1[[#This Row],[Critical Facilities Raw]]/$R$2)*100</f>
        <v>0.25728987993138941</v>
      </c>
      <c r="T166" s="180">
        <f>FME_Ranking1[[#This Row],[Critical Facilities Score (Normalized, Unweighted)]]*$R$3</f>
        <v>5.1457975986277882E-2</v>
      </c>
      <c r="U166">
        <f>_xlfn.XLOOKUP(FME_Ranking1[[#This Row],[FME ID]],FME_Input[FME_ID],FME_Input[LWC])</f>
        <v>77</v>
      </c>
      <c r="V166" s="178">
        <f>(FME_Ranking1[[#This Row],[LWC Raw]]/$U$2)*100</f>
        <v>4.4329303396660915</v>
      </c>
      <c r="W166" s="178">
        <f>FME_Ranking1[[#This Row],[LWC Score (Normalized, Unweighted)]]*$U$3</f>
        <v>0.88658606793321837</v>
      </c>
      <c r="X166" s="246">
        <f>_xlfn.XLOOKUP(FME_Ranking1[[#This Row],[FME ID]],FME_Input[FME_ID],FME_Input[ROADCLS])</f>
        <v>0</v>
      </c>
      <c r="Y166" s="230">
        <f>(FME_Ranking1[[#This Row],[Closures Raw]]/$X$2)*100</f>
        <v>0</v>
      </c>
      <c r="Z166" s="180">
        <f>FME_Ranking1[[#This Row],[Closures Score (Normalized, Unweighted)]]*$X$3</f>
        <v>0</v>
      </c>
      <c r="AA166" s="253">
        <f>_xlfn.XLOOKUP(FME_Ranking1[[#This Row],[FME ID]],FME_Input[FME_ID],FME_Input[ROAD_MILES100])</f>
        <v>92.6090087890625</v>
      </c>
      <c r="AB166" s="178">
        <f>(FME_Ranking1[[#This Row],[Miles Raw]]/$AA$2)*100</f>
        <v>1.2176423635210718</v>
      </c>
      <c r="AC166" s="178">
        <f>FME_Ranking1[[#This Row],[Miles Score (Normalized, Unweighted)]]*$AA$3</f>
        <v>0.12176423635210719</v>
      </c>
      <c r="AD166" s="255">
        <f>_xlfn.XLOOKUP(FME_Ranking1[[#This Row],[FME ID]],FME_Input[FME_ID],FME_Input[FARMACRE100])</f>
        <v>9463.314453125</v>
      </c>
      <c r="AE166" s="230">
        <f>(FME_Ranking1[[#This Row],[Ag Land Raw]]/$AD$2)*100</f>
        <v>0.39022472548481119</v>
      </c>
      <c r="AF166" s="231">
        <f>FME_Ranking1[[#This Row],[Ag Land Score (Normalized, Unweighted)]]*$AD$3</f>
        <v>1.9511236274240562E-2</v>
      </c>
      <c r="AG16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1.7119086201811484</v>
      </c>
      <c r="AH166" s="406">
        <f t="shared" si="2"/>
        <v>162</v>
      </c>
      <c r="AI16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1.7119086201811484</v>
      </c>
      <c r="AJ166" s="257">
        <f>FME_Ranking1[[#This Row],[Addition check]]-FME_Ranking1[[#This Row],[Weighted Score Based on Normalized Reported Factors]]</f>
        <v>0</v>
      </c>
      <c r="AK166" s="178">
        <f>_xlfn.RANK.EQ(AI166,$AI$6:$AI$2341,0)+COUNTIF($AI$6:AI166,AI166)-1</f>
        <v>164</v>
      </c>
    </row>
    <row r="167" spans="1:37" ht="12" customHeight="1" x14ac:dyDescent="0.25">
      <c r="A167" t="s">
        <v>8938</v>
      </c>
      <c r="B167">
        <f>_xlfn.XLOOKUP(FME_Ranking1[[#This Row],[FME ID]],FME_Input[FME_ID],FME_Input[RFPG_NUM])</f>
        <v>11</v>
      </c>
      <c r="C167" t="str">
        <f>_xlfn.XLOOKUP(FME_Ranking1[[#This Row],[FME ID]],FME_Input[FME_ID],FME_Input[FME_NAME])</f>
        <v>Comal County Retention Dam Project Planning</v>
      </c>
      <c r="D167" t="str">
        <f>_xlfn.XLOOKUP(FME_Ranking1[[#This Row],[FME ID]],FME_Input[FME_ID],FME_Input[DESCR])</f>
        <v>Project planning for proposed project to design and construct 4 retention dams to assist in controlling flash flooding in municipalities and unincorporated areas of the county.</v>
      </c>
      <c r="E167" s="256">
        <f>_xlfn.XLOOKUP(FME_Ranking1[[#This Row],[FME ID]],FME_Input[FME_ID],FME_Input[FME_COST])</f>
        <v>8000000</v>
      </c>
      <c r="F167" t="str">
        <f>_xlfn.XLOOKUP(FME_Ranking1[[#This Row],[FME ID]],FME_Input[FME_ID],FME_Input[EMER_NEED])</f>
        <v>No</v>
      </c>
      <c r="G167">
        <f>IF(FME_Ranking!F167="Yes",100,0)</f>
        <v>0</v>
      </c>
      <c r="H167">
        <f>FME_Ranking1[[#This Row],[Emergency Need Score (Normalized, Unweighted)]]*$F$3</f>
        <v>0</v>
      </c>
      <c r="I167" s="246">
        <f>_xlfn.XLOOKUP(FME_Ranking1[[#This Row],[FME ID]],FME_Input[FME_ID],FME_Input[STRUCT_100])</f>
        <v>3677</v>
      </c>
      <c r="J167" s="178">
        <f>(FME_Ranking1[[#This Row],[Structures 100 Raw]]/I$2)*100</f>
        <v>1.9690056976395494</v>
      </c>
      <c r="K167" s="178">
        <f>FME_Ranking1[[#This Row],[Structures 100  Score (Normalized, Unweighted)]]*$I$3</f>
        <v>0.29535085464593241</v>
      </c>
      <c r="L167" s="246">
        <f>_xlfn.XLOOKUP(FME_Ranking1[[#This Row],[FME ID]],FME_Input[FME_ID],FME_Input[RES_STRUCT100])</f>
        <v>2782</v>
      </c>
      <c r="M167" s="230">
        <f>(FME_Ranking1[[#This Row],[Res Structures Raw]]/L$2)*100</f>
        <v>1.9705061551755891</v>
      </c>
      <c r="N167" s="180">
        <f>FME_Ranking1[[#This Row],[Res Structures Score (Normalized, Unweighted)]]*$L$3</f>
        <v>0.19705061551755892</v>
      </c>
      <c r="O167" s="244">
        <f>_xlfn.XLOOKUP(FME_Ranking1[[#This Row],[FME ID]],FME_Input[FME_ID],FME_Input[POP100])</f>
        <v>9129</v>
      </c>
      <c r="P167" s="178">
        <f>(FME_Ranking1[[#This Row],[Pop Raw]]/$O$2)*100</f>
        <v>0.93458422314542</v>
      </c>
      <c r="Q167" s="178">
        <f>FME_Ranking1[[#This Row],[Pop Score (Normalized, Unweighted)]]*$O$3</f>
        <v>0.14018763347181298</v>
      </c>
      <c r="R167" s="137">
        <f>_xlfn.XLOOKUP(FME_Ranking1[[#This Row],[FME ID]],FME_Input[FME_ID],FME_Input[CRITFAC100])</f>
        <v>6</v>
      </c>
      <c r="S167" s="230">
        <f>(FME_Ranking1[[#This Row],[Critical Facilities Raw]]/$R$2)*100</f>
        <v>0.25728987993138941</v>
      </c>
      <c r="T167" s="180">
        <f>FME_Ranking1[[#This Row],[Critical Facilities Score (Normalized, Unweighted)]]*$R$3</f>
        <v>5.1457975986277882E-2</v>
      </c>
      <c r="U167">
        <f>_xlfn.XLOOKUP(FME_Ranking1[[#This Row],[FME ID]],FME_Input[FME_ID],FME_Input[LWC])</f>
        <v>77</v>
      </c>
      <c r="V167" s="178">
        <f>(FME_Ranking1[[#This Row],[LWC Raw]]/$U$2)*100</f>
        <v>4.4329303396660915</v>
      </c>
      <c r="W167" s="178">
        <f>FME_Ranking1[[#This Row],[LWC Score (Normalized, Unweighted)]]*$U$3</f>
        <v>0.88658606793321837</v>
      </c>
      <c r="X167" s="246">
        <f>_xlfn.XLOOKUP(FME_Ranking1[[#This Row],[FME ID]],FME_Input[FME_ID],FME_Input[ROADCLS])</f>
        <v>0</v>
      </c>
      <c r="Y167" s="230">
        <f>(FME_Ranking1[[#This Row],[Closures Raw]]/$X$2)*100</f>
        <v>0</v>
      </c>
      <c r="Z167" s="180">
        <f>FME_Ranking1[[#This Row],[Closures Score (Normalized, Unweighted)]]*$X$3</f>
        <v>0</v>
      </c>
      <c r="AA167" s="253">
        <f>_xlfn.XLOOKUP(FME_Ranking1[[#This Row],[FME ID]],FME_Input[FME_ID],FME_Input[ROAD_MILES100])</f>
        <v>92.6090087890625</v>
      </c>
      <c r="AB167" s="178">
        <f>(FME_Ranking1[[#This Row],[Miles Raw]]/$AA$2)*100</f>
        <v>1.2176423635210718</v>
      </c>
      <c r="AC167" s="178">
        <f>FME_Ranking1[[#This Row],[Miles Score (Normalized, Unweighted)]]*$AA$3</f>
        <v>0.12176423635210719</v>
      </c>
      <c r="AD167" s="255">
        <f>_xlfn.XLOOKUP(FME_Ranking1[[#This Row],[FME ID]],FME_Input[FME_ID],FME_Input[FARMACRE100])</f>
        <v>9463.314453125</v>
      </c>
      <c r="AE167" s="230">
        <f>(FME_Ranking1[[#This Row],[Ag Land Raw]]/$AD$2)*100</f>
        <v>0.39022472548481119</v>
      </c>
      <c r="AF167" s="231">
        <f>FME_Ranking1[[#This Row],[Ag Land Score (Normalized, Unweighted)]]*$AD$3</f>
        <v>1.9511236274240562E-2</v>
      </c>
      <c r="AG16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1.7119086201811484</v>
      </c>
      <c r="AH167" s="406">
        <f t="shared" si="2"/>
        <v>162</v>
      </c>
      <c r="AI16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1.7119086201811484</v>
      </c>
      <c r="AJ167" s="257">
        <f>FME_Ranking1[[#This Row],[Addition check]]-FME_Ranking1[[#This Row],[Weighted Score Based on Normalized Reported Factors]]</f>
        <v>0</v>
      </c>
      <c r="AK167" s="178">
        <f>_xlfn.RANK.EQ(AI167,$AI$6:$AI$2341,0)+COUNTIF($AI$6:AI167,AI167)-1</f>
        <v>165</v>
      </c>
    </row>
    <row r="168" spans="1:37" ht="12" customHeight="1" x14ac:dyDescent="0.25">
      <c r="A168" t="s">
        <v>1994</v>
      </c>
      <c r="B168">
        <f>_xlfn.XLOOKUP(FME_Ranking1[[#This Row],[FME ID]],FME_Input[FME_ID],FME_Input[RFPG_NUM])</f>
        <v>6</v>
      </c>
      <c r="C168" t="str">
        <f>_xlfn.XLOOKUP(FME_Ranking1[[#This Row],[FME ID]],FME_Input[FME_ID],FME_Input[FME_NAME])</f>
        <v>Cypress Creek Implementation Plan - Various Detention Sites</v>
      </c>
      <c r="D168" t="str">
        <f>_xlfn.XLOOKUP(FME_Ranking1[[#This Row],[FME ID]],FME_Input[FME_ID],FME_Input[DESCR])</f>
        <v>Study to develop a Benefit Cost Analysis needed for this project to become a FMP. The Implementation Plan identifies that approximately 14,000 acre-feet of stormwater detention volume across 23 different sites reducing flooding risk.</v>
      </c>
      <c r="E168" s="256">
        <f>_xlfn.XLOOKUP(FME_Ranking1[[#This Row],[FME ID]],FME_Input[FME_ID],FME_Input[FME_COST])</f>
        <v>30000</v>
      </c>
      <c r="F168" t="str">
        <f>_xlfn.XLOOKUP(FME_Ranking1[[#This Row],[FME ID]],FME_Input[FME_ID],FME_Input[EMER_NEED])</f>
        <v>No</v>
      </c>
      <c r="G168">
        <f>IF(FME_Ranking!F168="Yes",100,0)</f>
        <v>0</v>
      </c>
      <c r="H168">
        <f>FME_Ranking1[[#This Row],[Emergency Need Score (Normalized, Unweighted)]]*$F$3</f>
        <v>0</v>
      </c>
      <c r="I168" s="246">
        <f>_xlfn.XLOOKUP(FME_Ranking1[[#This Row],[FME ID]],FME_Input[FME_ID],FME_Input[STRUCT_100])</f>
        <v>4100</v>
      </c>
      <c r="J168" s="178">
        <f>(FME_Ranking1[[#This Row],[Structures 100 Raw]]/I$2)*100</f>
        <v>2.1955189992717306</v>
      </c>
      <c r="K168" s="178">
        <f>FME_Ranking1[[#This Row],[Structures 100  Score (Normalized, Unweighted)]]*$I$3</f>
        <v>0.32932784989075958</v>
      </c>
      <c r="L168" s="246">
        <f>_xlfn.XLOOKUP(FME_Ranking1[[#This Row],[FME ID]],FME_Input[FME_ID],FME_Input[RES_STRUCT100])</f>
        <v>3398</v>
      </c>
      <c r="M168" s="230">
        <f>(FME_Ranking1[[#This Row],[Res Structures Raw]]/L$2)*100</f>
        <v>2.4068223994560212</v>
      </c>
      <c r="N168" s="180">
        <f>FME_Ranking1[[#This Row],[Res Structures Score (Normalized, Unweighted)]]*$L$3</f>
        <v>0.24068223994560212</v>
      </c>
      <c r="O168" s="244">
        <f>_xlfn.XLOOKUP(FME_Ranking1[[#This Row],[FME ID]],FME_Input[FME_ID],FME_Input[POP100])</f>
        <v>21959</v>
      </c>
      <c r="P168" s="178">
        <f>(FME_Ranking1[[#This Row],[Pop Raw]]/$O$2)*100</f>
        <v>2.2480594759612527</v>
      </c>
      <c r="Q168" s="178">
        <f>FME_Ranking1[[#This Row],[Pop Score (Normalized, Unweighted)]]*$O$3</f>
        <v>0.3372089213941879</v>
      </c>
      <c r="R168" s="137">
        <f>_xlfn.XLOOKUP(FME_Ranking1[[#This Row],[FME ID]],FME_Input[FME_ID],FME_Input[CRITFAC100])</f>
        <v>73</v>
      </c>
      <c r="S168" s="230">
        <f>(FME_Ranking1[[#This Row],[Critical Facilities Raw]]/$R$2)*100</f>
        <v>3.1303602058319036</v>
      </c>
      <c r="T168" s="180">
        <f>FME_Ranking1[[#This Row],[Critical Facilities Score (Normalized, Unweighted)]]*$R$3</f>
        <v>0.62607204116638071</v>
      </c>
      <c r="U168">
        <f>_xlfn.XLOOKUP(FME_Ranking1[[#This Row],[FME ID]],FME_Input[FME_ID],FME_Input[LWC])</f>
        <v>3</v>
      </c>
      <c r="V168" s="178">
        <f>(FME_Ranking1[[#This Row],[LWC Raw]]/$U$2)*100</f>
        <v>0.17271157167530224</v>
      </c>
      <c r="W168" s="178">
        <f>FME_Ranking1[[#This Row],[LWC Score (Normalized, Unweighted)]]*$U$3</f>
        <v>3.4542314335060449E-2</v>
      </c>
      <c r="X168" s="246">
        <f>_xlfn.XLOOKUP(FME_Ranking1[[#This Row],[FME ID]],FME_Input[FME_ID],FME_Input[ROADCLS])</f>
        <v>3</v>
      </c>
      <c r="Y168" s="230">
        <f>(FME_Ranking1[[#This Row],[Closures Raw]]/$X$2)*100</f>
        <v>3.1542424561034593E-2</v>
      </c>
      <c r="Z168" s="180">
        <f>FME_Ranking1[[#This Row],[Closures Score (Normalized, Unweighted)]]*$X$3</f>
        <v>1.5771212280517297E-3</v>
      </c>
      <c r="AA168" s="253">
        <f>_xlfn.XLOOKUP(FME_Ranking1[[#This Row],[FME ID]],FME_Input[FME_ID],FME_Input[ROAD_MILES100])</f>
        <v>80.19732666015625</v>
      </c>
      <c r="AB168" s="178">
        <f>(FME_Ranking1[[#This Row],[Miles Raw]]/$AA$2)*100</f>
        <v>1.0544510049229376</v>
      </c>
      <c r="AC168" s="178">
        <f>FME_Ranking1[[#This Row],[Miles Score (Normalized, Unweighted)]]*$AA$3</f>
        <v>0.10544510049229378</v>
      </c>
      <c r="AD168" s="255">
        <f>_xlfn.XLOOKUP(FME_Ranking1[[#This Row],[FME ID]],FME_Input[FME_ID],FME_Input[FARMACRE100])</f>
        <v>75.164703369140625</v>
      </c>
      <c r="AE168" s="230">
        <f>(FME_Ranking1[[#This Row],[Ag Land Raw]]/$AD$2)*100</f>
        <v>3.0994558918714115E-3</v>
      </c>
      <c r="AF168" s="231">
        <f>FME_Ranking1[[#This Row],[Ag Land Score (Normalized, Unweighted)]]*$AD$3</f>
        <v>1.5497279459357059E-4</v>
      </c>
      <c r="AG16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1.6750105612469299</v>
      </c>
      <c r="AH168" s="406">
        <f t="shared" si="2"/>
        <v>176</v>
      </c>
      <c r="AI16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1.6750105612469299</v>
      </c>
      <c r="AJ168" s="257">
        <f>FME_Ranking1[[#This Row],[Addition check]]-FME_Ranking1[[#This Row],[Weighted Score Based on Normalized Reported Factors]]</f>
        <v>0</v>
      </c>
      <c r="AK168" s="178">
        <f>_xlfn.RANK.EQ(AI168,$AI$6:$AI$2341,0)+COUNTIF($AI$6:AI168,AI168)-1</f>
        <v>176</v>
      </c>
    </row>
    <row r="169" spans="1:37" ht="12" customHeight="1" x14ac:dyDescent="0.25">
      <c r="A169" t="s">
        <v>5953</v>
      </c>
      <c r="B169">
        <f>_xlfn.XLOOKUP(FME_Ranking1[[#This Row],[FME ID]],FME_Input[FME_ID],FME_Input[RFPG_NUM])</f>
        <v>5</v>
      </c>
      <c r="C169" t="str">
        <f>_xlfn.XLOOKUP(FME_Ranking1[[#This Row],[FME ID]],FME_Input[FME_ID],FME_Input[FME_NAME])</f>
        <v>Smith County Update Flood Hazard Mapping</v>
      </c>
      <c r="D169" t="str">
        <f>_xlfn.XLOOKUP(FME_Ranking1[[#This Row],[FME ID]],FME_Input[FME_ID],FME_Input[DESCR])</f>
        <v>Complete a detailed study within the county extent to delineate an updated flood hazard area, which can be used for regulatory purposes.</v>
      </c>
      <c r="E169" s="256">
        <f>_xlfn.XLOOKUP(FME_Ranking1[[#This Row],[FME ID]],FME_Input[FME_ID],FME_Input[FME_COST])</f>
        <v>1225342</v>
      </c>
      <c r="F169" t="str">
        <f>_xlfn.XLOOKUP(FME_Ranking1[[#This Row],[FME ID]],FME_Input[FME_ID],FME_Input[EMER_NEED])</f>
        <v>Yes</v>
      </c>
      <c r="G169">
        <f>IF(FME_Ranking!F169="Yes",100,0)</f>
        <v>100</v>
      </c>
      <c r="H169">
        <f>FME_Ranking1[[#This Row],[Emergency Need Score (Normalized, Unweighted)]]*$F$3</f>
        <v>0</v>
      </c>
      <c r="I169" s="246">
        <f>_xlfn.XLOOKUP(FME_Ranking1[[#This Row],[FME ID]],FME_Input[FME_ID],FME_Input[STRUCT_100])</f>
        <v>2347</v>
      </c>
      <c r="J169" s="178">
        <f>(FME_Ranking1[[#This Row],[Structures 100 Raw]]/I$2)*100</f>
        <v>1.2568007539733539</v>
      </c>
      <c r="K169" s="178">
        <f>FME_Ranking1[[#This Row],[Structures 100  Score (Normalized, Unweighted)]]*$I$3</f>
        <v>0.18852011309600308</v>
      </c>
      <c r="L169" s="246">
        <f>_xlfn.XLOOKUP(FME_Ranking1[[#This Row],[FME ID]],FME_Input[FME_ID],FME_Input[RES_STRUCT100])</f>
        <v>1064</v>
      </c>
      <c r="M169" s="230">
        <f>(FME_Ranking1[[#This Row],[Res Structures Raw]]/L$2)*100</f>
        <v>0.75363714921165581</v>
      </c>
      <c r="N169" s="180">
        <f>FME_Ranking1[[#This Row],[Res Structures Score (Normalized, Unweighted)]]*$L$3</f>
        <v>7.5363714921165587E-2</v>
      </c>
      <c r="O169" s="244">
        <f>_xlfn.XLOOKUP(FME_Ranking1[[#This Row],[FME ID]],FME_Input[FME_ID],FME_Input[POP100])</f>
        <v>8524</v>
      </c>
      <c r="P169" s="178">
        <f>(FME_Ranking1[[#This Row],[Pop Raw]]/$O$2)*100</f>
        <v>0.87264715939221815</v>
      </c>
      <c r="Q169" s="178">
        <f>FME_Ranking1[[#This Row],[Pop Score (Normalized, Unweighted)]]*$O$3</f>
        <v>0.13089707390883271</v>
      </c>
      <c r="R169" s="137">
        <f>_xlfn.XLOOKUP(FME_Ranking1[[#This Row],[FME ID]],FME_Input[FME_ID],FME_Input[CRITFAC100])</f>
        <v>72</v>
      </c>
      <c r="S169" s="230">
        <f>(FME_Ranking1[[#This Row],[Critical Facilities Raw]]/$R$2)*100</f>
        <v>3.0874785591766725</v>
      </c>
      <c r="T169" s="180">
        <f>FME_Ranking1[[#This Row],[Critical Facilities Score (Normalized, Unweighted)]]*$R$3</f>
        <v>0.61749571183533458</v>
      </c>
      <c r="U169">
        <f>_xlfn.XLOOKUP(FME_Ranking1[[#This Row],[FME ID]],FME_Input[FME_ID],FME_Input[LWC])</f>
        <v>42</v>
      </c>
      <c r="V169" s="178">
        <f>(FME_Ranking1[[#This Row],[LWC Raw]]/$U$2)*100</f>
        <v>2.4179620034542317</v>
      </c>
      <c r="W169" s="178">
        <f>FME_Ranking1[[#This Row],[LWC Score (Normalized, Unweighted)]]*$U$3</f>
        <v>0.48359240069084636</v>
      </c>
      <c r="X169" s="246">
        <f>_xlfn.XLOOKUP(FME_Ranking1[[#This Row],[FME ID]],FME_Input[FME_ID],FME_Input[ROADCLS])</f>
        <v>42</v>
      </c>
      <c r="Y169" s="230">
        <f>(FME_Ranking1[[#This Row],[Closures Raw]]/$X$2)*100</f>
        <v>0.44159394385448425</v>
      </c>
      <c r="Z169" s="180">
        <f>FME_Ranking1[[#This Row],[Closures Score (Normalized, Unweighted)]]*$X$3</f>
        <v>2.2079697192724214E-2</v>
      </c>
      <c r="AA169" s="253">
        <f>_xlfn.XLOOKUP(FME_Ranking1[[#This Row],[FME ID]],FME_Input[FME_ID],FME_Input[ROAD_MILES100])</f>
        <v>50.013843536376953</v>
      </c>
      <c r="AB169" s="178">
        <f>(FME_Ranking1[[#This Row],[Miles Raw]]/$AA$2)*100</f>
        <v>0.65759233846372322</v>
      </c>
      <c r="AC169" s="178">
        <f>FME_Ranking1[[#This Row],[Miles Score (Normalized, Unweighted)]]*$AA$3</f>
        <v>6.575923384637232E-2</v>
      </c>
      <c r="AD169" s="255">
        <f>_xlfn.XLOOKUP(FME_Ranking1[[#This Row],[FME ID]],FME_Input[FME_ID],FME_Input[FARMACRE100])</f>
        <v>216.3883361816406</v>
      </c>
      <c r="AE169" s="230">
        <f>(FME_Ranking1[[#This Row],[Ag Land Raw]]/$AD$2)*100</f>
        <v>8.9228863209455875E-3</v>
      </c>
      <c r="AF169" s="231">
        <f>FME_Ranking1[[#This Row],[Ag Land Score (Normalized, Unweighted)]]*$AD$3</f>
        <v>4.4614431604727937E-4</v>
      </c>
      <c r="AG16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1.5841540898073261</v>
      </c>
      <c r="AH169" s="406">
        <f t="shared" si="2"/>
        <v>187</v>
      </c>
      <c r="AI16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1.5841540898073261</v>
      </c>
      <c r="AJ169" s="257">
        <f>FME_Ranking1[[#This Row],[Addition check]]-FME_Ranking1[[#This Row],[Weighted Score Based on Normalized Reported Factors]]</f>
        <v>0</v>
      </c>
      <c r="AK169" s="178">
        <f>_xlfn.RANK.EQ(AI169,$AI$6:$AI$2341,0)+COUNTIF($AI$6:AI169,AI169)-1</f>
        <v>187</v>
      </c>
    </row>
    <row r="170" spans="1:37" ht="12" customHeight="1" x14ac:dyDescent="0.25">
      <c r="A170" t="s">
        <v>5999</v>
      </c>
      <c r="B170">
        <f>_xlfn.XLOOKUP(FME_Ranking1[[#This Row],[FME ID]],FME_Input[FME_ID],FME_Input[RFPG_NUM])</f>
        <v>5</v>
      </c>
      <c r="C170" t="str">
        <f>_xlfn.XLOOKUP(FME_Ranking1[[#This Row],[FME ID]],FME_Input[FME_ID],FME_Input[FME_NAME])</f>
        <v>Smith County Drainage Capacity Upgrades</v>
      </c>
      <c r="D170" t="str">
        <f>_xlfn.XLOOKUP(FME_Ranking1[[#This Row],[FME ID]],FME_Input[FME_ID],FME_Input[DESCR])</f>
        <v xml:space="preserve">Study to evaluate existing culverts within Smith County and identify culverts that need to be upgraded.
</v>
      </c>
      <c r="E170" s="256">
        <f>_xlfn.XLOOKUP(FME_Ranking1[[#This Row],[FME ID]],FME_Input[FME_ID],FME_Input[FME_COST])</f>
        <v>225000</v>
      </c>
      <c r="F170" t="str">
        <f>_xlfn.XLOOKUP(FME_Ranking1[[#This Row],[FME ID]],FME_Input[FME_ID],FME_Input[EMER_NEED])</f>
        <v>Yes</v>
      </c>
      <c r="G170">
        <f>IF(FME_Ranking!F170="Yes",100,0)</f>
        <v>100</v>
      </c>
      <c r="H170">
        <f>FME_Ranking1[[#This Row],[Emergency Need Score (Normalized, Unweighted)]]*$F$3</f>
        <v>0</v>
      </c>
      <c r="I170" s="246">
        <f>_xlfn.XLOOKUP(FME_Ranking1[[#This Row],[FME ID]],FME_Input[FME_ID],FME_Input[STRUCT_100])</f>
        <v>2347</v>
      </c>
      <c r="J170" s="178">
        <f>(FME_Ranking1[[#This Row],[Structures 100 Raw]]/I$2)*100</f>
        <v>1.2568007539733539</v>
      </c>
      <c r="K170" s="178">
        <f>FME_Ranking1[[#This Row],[Structures 100  Score (Normalized, Unweighted)]]*$I$3</f>
        <v>0.18852011309600308</v>
      </c>
      <c r="L170" s="246">
        <f>_xlfn.XLOOKUP(FME_Ranking1[[#This Row],[FME ID]],FME_Input[FME_ID],FME_Input[RES_STRUCT100])</f>
        <v>1064</v>
      </c>
      <c r="M170" s="230">
        <f>(FME_Ranking1[[#This Row],[Res Structures Raw]]/L$2)*100</f>
        <v>0.75363714921165581</v>
      </c>
      <c r="N170" s="180">
        <f>FME_Ranking1[[#This Row],[Res Structures Score (Normalized, Unweighted)]]*$L$3</f>
        <v>7.5363714921165587E-2</v>
      </c>
      <c r="O170" s="244">
        <f>_xlfn.XLOOKUP(FME_Ranking1[[#This Row],[FME ID]],FME_Input[FME_ID],FME_Input[POP100])</f>
        <v>8524</v>
      </c>
      <c r="P170" s="178">
        <f>(FME_Ranking1[[#This Row],[Pop Raw]]/$O$2)*100</f>
        <v>0.87264715939221815</v>
      </c>
      <c r="Q170" s="178">
        <f>FME_Ranking1[[#This Row],[Pop Score (Normalized, Unweighted)]]*$O$3</f>
        <v>0.13089707390883271</v>
      </c>
      <c r="R170" s="137">
        <f>_xlfn.XLOOKUP(FME_Ranking1[[#This Row],[FME ID]],FME_Input[FME_ID],FME_Input[CRITFAC100])</f>
        <v>72</v>
      </c>
      <c r="S170" s="230">
        <f>(FME_Ranking1[[#This Row],[Critical Facilities Raw]]/$R$2)*100</f>
        <v>3.0874785591766725</v>
      </c>
      <c r="T170" s="180">
        <f>FME_Ranking1[[#This Row],[Critical Facilities Score (Normalized, Unweighted)]]*$R$3</f>
        <v>0.61749571183533458</v>
      </c>
      <c r="U170">
        <f>_xlfn.XLOOKUP(FME_Ranking1[[#This Row],[FME ID]],FME_Input[FME_ID],FME_Input[LWC])</f>
        <v>42</v>
      </c>
      <c r="V170" s="178">
        <f>(FME_Ranking1[[#This Row],[LWC Raw]]/$U$2)*100</f>
        <v>2.4179620034542317</v>
      </c>
      <c r="W170" s="178">
        <f>FME_Ranking1[[#This Row],[LWC Score (Normalized, Unweighted)]]*$U$3</f>
        <v>0.48359240069084636</v>
      </c>
      <c r="X170" s="246">
        <f>_xlfn.XLOOKUP(FME_Ranking1[[#This Row],[FME ID]],FME_Input[FME_ID],FME_Input[ROADCLS])</f>
        <v>42</v>
      </c>
      <c r="Y170" s="230">
        <f>(FME_Ranking1[[#This Row],[Closures Raw]]/$X$2)*100</f>
        <v>0.44159394385448425</v>
      </c>
      <c r="Z170" s="180">
        <f>FME_Ranking1[[#This Row],[Closures Score (Normalized, Unweighted)]]*$X$3</f>
        <v>2.2079697192724214E-2</v>
      </c>
      <c r="AA170" s="253">
        <f>_xlfn.XLOOKUP(FME_Ranking1[[#This Row],[FME ID]],FME_Input[FME_ID],FME_Input[ROAD_MILES100])</f>
        <v>50.013843536376953</v>
      </c>
      <c r="AB170" s="178">
        <f>(FME_Ranking1[[#This Row],[Miles Raw]]/$AA$2)*100</f>
        <v>0.65759233846372322</v>
      </c>
      <c r="AC170" s="178">
        <f>FME_Ranking1[[#This Row],[Miles Score (Normalized, Unweighted)]]*$AA$3</f>
        <v>6.575923384637232E-2</v>
      </c>
      <c r="AD170" s="255">
        <f>_xlfn.XLOOKUP(FME_Ranking1[[#This Row],[FME ID]],FME_Input[FME_ID],FME_Input[FARMACRE100])</f>
        <v>216.3883361816406</v>
      </c>
      <c r="AE170" s="230">
        <f>(FME_Ranking1[[#This Row],[Ag Land Raw]]/$AD$2)*100</f>
        <v>8.9228863209455875E-3</v>
      </c>
      <c r="AF170" s="231">
        <f>FME_Ranking1[[#This Row],[Ag Land Score (Normalized, Unweighted)]]*$AD$3</f>
        <v>4.4614431604727937E-4</v>
      </c>
      <c r="AG17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1.5841540898073261</v>
      </c>
      <c r="AH170" s="406">
        <f t="shared" si="2"/>
        <v>187</v>
      </c>
      <c r="AI17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1.5841540898073261</v>
      </c>
      <c r="AJ170" s="257">
        <f>FME_Ranking1[[#This Row],[Addition check]]-FME_Ranking1[[#This Row],[Weighted Score Based on Normalized Reported Factors]]</f>
        <v>0</v>
      </c>
      <c r="AK170" s="178">
        <f>_xlfn.RANK.EQ(AI170,$AI$6:$AI$2341,0)+COUNTIF($AI$6:AI170,AI170)-1</f>
        <v>188</v>
      </c>
    </row>
    <row r="171" spans="1:37" ht="12" customHeight="1" x14ac:dyDescent="0.25">
      <c r="A171" t="s">
        <v>6171</v>
      </c>
      <c r="B171">
        <f>_xlfn.XLOOKUP(FME_Ranking1[[#This Row],[FME ID]],FME_Input[FME_ID],FME_Input[RFPG_NUM])</f>
        <v>5</v>
      </c>
      <c r="C171" t="str">
        <f>_xlfn.XLOOKUP(FME_Ranking1[[#This Row],[FME ID]],FME_Input[FME_ID],FME_Input[FME_NAME])</f>
        <v>Smith County Master Drainage Plan</v>
      </c>
      <c r="D171"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171" s="256">
        <f>_xlfn.XLOOKUP(FME_Ranking1[[#This Row],[FME ID]],FME_Input[FME_ID],FME_Input[FME_COST])</f>
        <v>538612</v>
      </c>
      <c r="F171" t="str">
        <f>_xlfn.XLOOKUP(FME_Ranking1[[#This Row],[FME ID]],FME_Input[FME_ID],FME_Input[EMER_NEED])</f>
        <v>Yes</v>
      </c>
      <c r="G171">
        <f>IF(FME_Ranking!F171="Yes",100,0)</f>
        <v>100</v>
      </c>
      <c r="H171">
        <f>FME_Ranking1[[#This Row],[Emergency Need Score (Normalized, Unweighted)]]*$F$3</f>
        <v>0</v>
      </c>
      <c r="I171" s="246">
        <f>_xlfn.XLOOKUP(FME_Ranking1[[#This Row],[FME ID]],FME_Input[FME_ID],FME_Input[STRUCT_100])</f>
        <v>2347</v>
      </c>
      <c r="J171" s="178">
        <f>(FME_Ranking1[[#This Row],[Structures 100 Raw]]/I$2)*100</f>
        <v>1.2568007539733539</v>
      </c>
      <c r="K171" s="178">
        <f>FME_Ranking1[[#This Row],[Structures 100  Score (Normalized, Unweighted)]]*$I$3</f>
        <v>0.18852011309600308</v>
      </c>
      <c r="L171" s="246">
        <f>_xlfn.XLOOKUP(FME_Ranking1[[#This Row],[FME ID]],FME_Input[FME_ID],FME_Input[RES_STRUCT100])</f>
        <v>1064</v>
      </c>
      <c r="M171" s="230">
        <f>(FME_Ranking1[[#This Row],[Res Structures Raw]]/L$2)*100</f>
        <v>0.75363714921165581</v>
      </c>
      <c r="N171" s="180">
        <f>FME_Ranking1[[#This Row],[Res Structures Score (Normalized, Unweighted)]]*$L$3</f>
        <v>7.5363714921165587E-2</v>
      </c>
      <c r="O171" s="244">
        <f>_xlfn.XLOOKUP(FME_Ranking1[[#This Row],[FME ID]],FME_Input[FME_ID],FME_Input[POP100])</f>
        <v>8524</v>
      </c>
      <c r="P171" s="178">
        <f>(FME_Ranking1[[#This Row],[Pop Raw]]/$O$2)*100</f>
        <v>0.87264715939221815</v>
      </c>
      <c r="Q171" s="178">
        <f>FME_Ranking1[[#This Row],[Pop Score (Normalized, Unweighted)]]*$O$3</f>
        <v>0.13089707390883271</v>
      </c>
      <c r="R171" s="137">
        <f>_xlfn.XLOOKUP(FME_Ranking1[[#This Row],[FME ID]],FME_Input[FME_ID],FME_Input[CRITFAC100])</f>
        <v>72</v>
      </c>
      <c r="S171" s="230">
        <f>(FME_Ranking1[[#This Row],[Critical Facilities Raw]]/$R$2)*100</f>
        <v>3.0874785591766725</v>
      </c>
      <c r="T171" s="180">
        <f>FME_Ranking1[[#This Row],[Critical Facilities Score (Normalized, Unweighted)]]*$R$3</f>
        <v>0.61749571183533458</v>
      </c>
      <c r="U171">
        <f>_xlfn.XLOOKUP(FME_Ranking1[[#This Row],[FME ID]],FME_Input[FME_ID],FME_Input[LWC])</f>
        <v>42</v>
      </c>
      <c r="V171" s="178">
        <f>(FME_Ranking1[[#This Row],[LWC Raw]]/$U$2)*100</f>
        <v>2.4179620034542317</v>
      </c>
      <c r="W171" s="178">
        <f>FME_Ranking1[[#This Row],[LWC Score (Normalized, Unweighted)]]*$U$3</f>
        <v>0.48359240069084636</v>
      </c>
      <c r="X171" s="246">
        <f>_xlfn.XLOOKUP(FME_Ranking1[[#This Row],[FME ID]],FME_Input[FME_ID],FME_Input[ROADCLS])</f>
        <v>42</v>
      </c>
      <c r="Y171" s="230">
        <f>(FME_Ranking1[[#This Row],[Closures Raw]]/$X$2)*100</f>
        <v>0.44159394385448425</v>
      </c>
      <c r="Z171" s="180">
        <f>FME_Ranking1[[#This Row],[Closures Score (Normalized, Unweighted)]]*$X$3</f>
        <v>2.2079697192724214E-2</v>
      </c>
      <c r="AA171" s="253">
        <f>_xlfn.XLOOKUP(FME_Ranking1[[#This Row],[FME ID]],FME_Input[FME_ID],FME_Input[ROAD_MILES100])</f>
        <v>50.013843536376953</v>
      </c>
      <c r="AB171" s="178">
        <f>(FME_Ranking1[[#This Row],[Miles Raw]]/$AA$2)*100</f>
        <v>0.65759233846372322</v>
      </c>
      <c r="AC171" s="178">
        <f>FME_Ranking1[[#This Row],[Miles Score (Normalized, Unweighted)]]*$AA$3</f>
        <v>6.575923384637232E-2</v>
      </c>
      <c r="AD171" s="255">
        <f>_xlfn.XLOOKUP(FME_Ranking1[[#This Row],[FME ID]],FME_Input[FME_ID],FME_Input[FARMACRE100])</f>
        <v>216.3883361816406</v>
      </c>
      <c r="AE171" s="230">
        <f>(FME_Ranking1[[#This Row],[Ag Land Raw]]/$AD$2)*100</f>
        <v>8.9228863209455875E-3</v>
      </c>
      <c r="AF171" s="231">
        <f>FME_Ranking1[[#This Row],[Ag Land Score (Normalized, Unweighted)]]*$AD$3</f>
        <v>4.4614431604727937E-4</v>
      </c>
      <c r="AG17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1.5841540898073261</v>
      </c>
      <c r="AH171" s="406">
        <f t="shared" si="2"/>
        <v>187</v>
      </c>
      <c r="AI17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1.5841540898073261</v>
      </c>
      <c r="AJ171" s="257">
        <f>FME_Ranking1[[#This Row],[Addition check]]-FME_Ranking1[[#This Row],[Weighted Score Based on Normalized Reported Factors]]</f>
        <v>0</v>
      </c>
      <c r="AK171" s="178">
        <f>_xlfn.RANK.EQ(AI171,$AI$6:$AI$2341,0)+COUNTIF($AI$6:AI171,AI171)-1</f>
        <v>189</v>
      </c>
    </row>
    <row r="172" spans="1:37" ht="12" customHeight="1" x14ac:dyDescent="0.25">
      <c r="A172" t="s">
        <v>8302</v>
      </c>
      <c r="B172">
        <f>_xlfn.XLOOKUP(FME_Ranking1[[#This Row],[FME ID]],FME_Input[FME_ID],FME_Input[RFPG_NUM])</f>
        <v>9</v>
      </c>
      <c r="C172" t="str">
        <f>_xlfn.XLOOKUP(FME_Ranking1[[#This Row],[FME ID]],FME_Input[FME_ID],FME_Input[FME_NAME])</f>
        <v>Tom Green County DMP</v>
      </c>
      <c r="D172" t="str">
        <f>_xlfn.XLOOKUP(FME_Ranking1[[#This Row],[FME ID]],FME_Input[FME_ID],FME_Input[DESCR])</f>
        <v xml:space="preserve">Create Drainage Master Plan, including evaluation of potential mitigation projects. </v>
      </c>
      <c r="E172" s="256">
        <f>_xlfn.XLOOKUP(FME_Ranking1[[#This Row],[FME ID]],FME_Input[FME_ID],FME_Input[FME_COST])</f>
        <v>500000</v>
      </c>
      <c r="F172" t="str">
        <f>_xlfn.XLOOKUP(FME_Ranking1[[#This Row],[FME ID]],FME_Input[FME_ID],FME_Input[EMER_NEED])</f>
        <v>No</v>
      </c>
      <c r="G172">
        <f>IF(FME_Ranking!F172="Yes",100,0)</f>
        <v>0</v>
      </c>
      <c r="H172">
        <f>FME_Ranking1[[#This Row],[Emergency Need Score (Normalized, Unweighted)]]*$F$3</f>
        <v>0</v>
      </c>
      <c r="I172" s="246">
        <f>_xlfn.XLOOKUP(FME_Ranking1[[#This Row],[FME ID]],FME_Input[FME_ID],FME_Input[STRUCT_100])</f>
        <v>5166</v>
      </c>
      <c r="J172" s="178">
        <f>(FME_Ranking1[[#This Row],[Structures 100 Raw]]/I$2)*100</f>
        <v>2.7663539390823799</v>
      </c>
      <c r="K172" s="178">
        <f>FME_Ranking1[[#This Row],[Structures 100  Score (Normalized, Unweighted)]]*$I$3</f>
        <v>0.41495309086235699</v>
      </c>
      <c r="L172" s="246">
        <f>_xlfn.XLOOKUP(FME_Ranking1[[#This Row],[FME ID]],FME_Input[FME_ID],FME_Input[RES_STRUCT100])</f>
        <v>3373</v>
      </c>
      <c r="M172" s="230">
        <f>(FME_Ranking1[[#This Row],[Res Structures Raw]]/L$2)*100</f>
        <v>2.3891147596719127</v>
      </c>
      <c r="N172" s="180">
        <f>FME_Ranking1[[#This Row],[Res Structures Score (Normalized, Unweighted)]]*$L$3</f>
        <v>0.23891147596719128</v>
      </c>
      <c r="O172" s="244">
        <f>_xlfn.XLOOKUP(FME_Ranking1[[#This Row],[FME ID]],FME_Input[FME_ID],FME_Input[POP100])</f>
        <v>9987</v>
      </c>
      <c r="P172" s="178">
        <f>(FME_Ranking1[[#This Row],[Pop Raw]]/$O$2)*100</f>
        <v>1.0224222408317789</v>
      </c>
      <c r="Q172" s="178">
        <f>FME_Ranking1[[#This Row],[Pop Score (Normalized, Unweighted)]]*$O$3</f>
        <v>0.15336333612476682</v>
      </c>
      <c r="R172" s="137">
        <f>_xlfn.XLOOKUP(FME_Ranking1[[#This Row],[FME ID]],FME_Input[FME_ID],FME_Input[CRITFAC100])</f>
        <v>7</v>
      </c>
      <c r="S172" s="230">
        <f>(FME_Ranking1[[#This Row],[Critical Facilities Raw]]/$R$2)*100</f>
        <v>0.30017152658662088</v>
      </c>
      <c r="T172" s="180">
        <f>FME_Ranking1[[#This Row],[Critical Facilities Score (Normalized, Unweighted)]]*$R$3</f>
        <v>6.0034305317324177E-2</v>
      </c>
      <c r="U172">
        <f>_xlfn.XLOOKUP(FME_Ranking1[[#This Row],[FME ID]],FME_Input[FME_ID],FME_Input[LWC])</f>
        <v>47</v>
      </c>
      <c r="V172" s="178">
        <f>(FME_Ranking1[[#This Row],[LWC Raw]]/$U$2)*100</f>
        <v>2.7058146229130684</v>
      </c>
      <c r="W172" s="178">
        <f>FME_Ranking1[[#This Row],[LWC Score (Normalized, Unweighted)]]*$U$3</f>
        <v>0.54116292458261372</v>
      </c>
      <c r="X172" s="246">
        <f>_xlfn.XLOOKUP(FME_Ranking1[[#This Row],[FME ID]],FME_Input[FME_ID],FME_Input[ROADCLS])</f>
        <v>0</v>
      </c>
      <c r="Y172" s="230">
        <f>(FME_Ranking1[[#This Row],[Closures Raw]]/$X$2)*100</f>
        <v>0</v>
      </c>
      <c r="Z172" s="180">
        <f>FME_Ranking1[[#This Row],[Closures Score (Normalized, Unweighted)]]*$X$3</f>
        <v>0</v>
      </c>
      <c r="AA172" s="253">
        <f>_xlfn.XLOOKUP(FME_Ranking1[[#This Row],[FME ID]],FME_Input[FME_ID],FME_Input[ROAD_MILES100])</f>
        <v>253.46830749511719</v>
      </c>
      <c r="AB172" s="178">
        <f>(FME_Ranking1[[#This Row],[Miles Raw]]/$AA$2)*100</f>
        <v>3.3326536268088334</v>
      </c>
      <c r="AC172" s="178">
        <f>FME_Ranking1[[#This Row],[Miles Score (Normalized, Unweighted)]]*$AA$3</f>
        <v>0.33326536268088336</v>
      </c>
      <c r="AD172" s="255">
        <f>_xlfn.XLOOKUP(FME_Ranking1[[#This Row],[FME ID]],FME_Input[FME_ID],FME_Input[FARMACRE100])</f>
        <v>48794.71875</v>
      </c>
      <c r="AE172" s="230">
        <f>(FME_Ranking1[[#This Row],[Ag Land Raw]]/$AD$2)*100</f>
        <v>2.0120757715114901</v>
      </c>
      <c r="AF172" s="231">
        <f>FME_Ranking1[[#This Row],[Ag Land Score (Normalized, Unweighted)]]*$AD$3</f>
        <v>0.1006037885755745</v>
      </c>
      <c r="AG17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1.8422942841107108</v>
      </c>
      <c r="AH172" s="406">
        <f t="shared" si="2"/>
        <v>148</v>
      </c>
      <c r="AI17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1.8422942841107108</v>
      </c>
      <c r="AJ172" s="257">
        <f>FME_Ranking1[[#This Row],[Addition check]]-FME_Ranking1[[#This Row],[Weighted Score Based on Normalized Reported Factors]]</f>
        <v>0</v>
      </c>
      <c r="AK172" s="178">
        <f>_xlfn.RANK.EQ(AI172,$AI$6:$AI$2341,0)+COUNTIF($AI$6:AI172,AI172)-1</f>
        <v>148</v>
      </c>
    </row>
    <row r="173" spans="1:37" ht="12" customHeight="1" x14ac:dyDescent="0.25">
      <c r="A173" t="s">
        <v>8304</v>
      </c>
      <c r="B173">
        <f>_xlfn.XLOOKUP(FME_Ranking1[[#This Row],[FME ID]],FME_Input[FME_ID],FME_Input[RFPG_NUM])</f>
        <v>9</v>
      </c>
      <c r="C173" t="str">
        <f>_xlfn.XLOOKUP(FME_Ranking1[[#This Row],[FME ID]],FME_Input[FME_ID],FME_Input[FME_NAME])</f>
        <v>Tom Green County GIS Development</v>
      </c>
      <c r="D173" t="str">
        <f>_xlfn.XLOOKUP(FME_Ranking1[[#This Row],[FME ID]],FME_Input[FME_ID],FME_Input[DESCR])</f>
        <v>Develop a GIS inventory of stormwater infrastructure</v>
      </c>
      <c r="E173" s="256">
        <f>_xlfn.XLOOKUP(FME_Ranking1[[#This Row],[FME ID]],FME_Input[FME_ID],FME_Input[FME_COST])</f>
        <v>100000</v>
      </c>
      <c r="F173" t="str">
        <f>_xlfn.XLOOKUP(FME_Ranking1[[#This Row],[FME ID]],FME_Input[FME_ID],FME_Input[EMER_NEED])</f>
        <v>No</v>
      </c>
      <c r="G173">
        <f>IF(FME_Ranking!F173="Yes",100,0)</f>
        <v>0</v>
      </c>
      <c r="H173">
        <f>FME_Ranking1[[#This Row],[Emergency Need Score (Normalized, Unweighted)]]*$F$3</f>
        <v>0</v>
      </c>
      <c r="I173" s="246">
        <f>_xlfn.XLOOKUP(FME_Ranking1[[#This Row],[FME ID]],FME_Input[FME_ID],FME_Input[STRUCT_100])</f>
        <v>5166</v>
      </c>
      <c r="J173" s="178">
        <f>(FME_Ranking1[[#This Row],[Structures 100 Raw]]/I$2)*100</f>
        <v>2.7663539390823799</v>
      </c>
      <c r="K173" s="178">
        <f>FME_Ranking1[[#This Row],[Structures 100  Score (Normalized, Unweighted)]]*$I$3</f>
        <v>0.41495309086235699</v>
      </c>
      <c r="L173" s="246">
        <f>_xlfn.XLOOKUP(FME_Ranking1[[#This Row],[FME ID]],FME_Input[FME_ID],FME_Input[RES_STRUCT100])</f>
        <v>3373</v>
      </c>
      <c r="M173" s="230">
        <f>(FME_Ranking1[[#This Row],[Res Structures Raw]]/L$2)*100</f>
        <v>2.3891147596719127</v>
      </c>
      <c r="N173" s="180">
        <f>FME_Ranking1[[#This Row],[Res Structures Score (Normalized, Unweighted)]]*$L$3</f>
        <v>0.23891147596719128</v>
      </c>
      <c r="O173" s="244">
        <f>_xlfn.XLOOKUP(FME_Ranking1[[#This Row],[FME ID]],FME_Input[FME_ID],FME_Input[POP100])</f>
        <v>9987</v>
      </c>
      <c r="P173" s="178">
        <f>(FME_Ranking1[[#This Row],[Pop Raw]]/$O$2)*100</f>
        <v>1.0224222408317789</v>
      </c>
      <c r="Q173" s="178">
        <f>FME_Ranking1[[#This Row],[Pop Score (Normalized, Unweighted)]]*$O$3</f>
        <v>0.15336333612476682</v>
      </c>
      <c r="R173" s="137">
        <f>_xlfn.XLOOKUP(FME_Ranking1[[#This Row],[FME ID]],FME_Input[FME_ID],FME_Input[CRITFAC100])</f>
        <v>7</v>
      </c>
      <c r="S173" s="230">
        <f>(FME_Ranking1[[#This Row],[Critical Facilities Raw]]/$R$2)*100</f>
        <v>0.30017152658662088</v>
      </c>
      <c r="T173" s="180">
        <f>FME_Ranking1[[#This Row],[Critical Facilities Score (Normalized, Unweighted)]]*$R$3</f>
        <v>6.0034305317324177E-2</v>
      </c>
      <c r="U173">
        <f>_xlfn.XLOOKUP(FME_Ranking1[[#This Row],[FME ID]],FME_Input[FME_ID],FME_Input[LWC])</f>
        <v>47</v>
      </c>
      <c r="V173" s="178">
        <f>(FME_Ranking1[[#This Row],[LWC Raw]]/$U$2)*100</f>
        <v>2.7058146229130684</v>
      </c>
      <c r="W173" s="178">
        <f>FME_Ranking1[[#This Row],[LWC Score (Normalized, Unweighted)]]*$U$3</f>
        <v>0.54116292458261372</v>
      </c>
      <c r="X173" s="246">
        <f>_xlfn.XLOOKUP(FME_Ranking1[[#This Row],[FME ID]],FME_Input[FME_ID],FME_Input[ROADCLS])</f>
        <v>0</v>
      </c>
      <c r="Y173" s="230">
        <f>(FME_Ranking1[[#This Row],[Closures Raw]]/$X$2)*100</f>
        <v>0</v>
      </c>
      <c r="Z173" s="180">
        <f>FME_Ranking1[[#This Row],[Closures Score (Normalized, Unweighted)]]*$X$3</f>
        <v>0</v>
      </c>
      <c r="AA173" s="253">
        <f>_xlfn.XLOOKUP(FME_Ranking1[[#This Row],[FME ID]],FME_Input[FME_ID],FME_Input[ROAD_MILES100])</f>
        <v>253.46830749511719</v>
      </c>
      <c r="AB173" s="178">
        <f>(FME_Ranking1[[#This Row],[Miles Raw]]/$AA$2)*100</f>
        <v>3.3326536268088334</v>
      </c>
      <c r="AC173" s="178">
        <f>FME_Ranking1[[#This Row],[Miles Score (Normalized, Unweighted)]]*$AA$3</f>
        <v>0.33326536268088336</v>
      </c>
      <c r="AD173" s="255">
        <f>_xlfn.XLOOKUP(FME_Ranking1[[#This Row],[FME ID]],FME_Input[FME_ID],FME_Input[FARMACRE100])</f>
        <v>48794.71875</v>
      </c>
      <c r="AE173" s="230">
        <f>(FME_Ranking1[[#This Row],[Ag Land Raw]]/$AD$2)*100</f>
        <v>2.0120757715114901</v>
      </c>
      <c r="AF173" s="231">
        <f>FME_Ranking1[[#This Row],[Ag Land Score (Normalized, Unweighted)]]*$AD$3</f>
        <v>0.1006037885755745</v>
      </c>
      <c r="AG17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1.8422942841107108</v>
      </c>
      <c r="AH173" s="406">
        <f t="shared" si="2"/>
        <v>148</v>
      </c>
      <c r="AI17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1.8422942841107108</v>
      </c>
      <c r="AJ173" s="257">
        <f>FME_Ranking1[[#This Row],[Addition check]]-FME_Ranking1[[#This Row],[Weighted Score Based on Normalized Reported Factors]]</f>
        <v>0</v>
      </c>
      <c r="AK173" s="178">
        <f>_xlfn.RANK.EQ(AI173,$AI$6:$AI$2341,0)+COUNTIF($AI$6:AI173,AI173)-1</f>
        <v>149</v>
      </c>
    </row>
    <row r="174" spans="1:37" ht="12" customHeight="1" x14ac:dyDescent="0.25">
      <c r="A174" t="s">
        <v>8162</v>
      </c>
      <c r="B174">
        <f>_xlfn.XLOOKUP(FME_Ranking1[[#This Row],[FME ID]],FME_Input[FME_ID],FME_Input[RFPG_NUM])</f>
        <v>9</v>
      </c>
      <c r="C174" t="str">
        <f>_xlfn.XLOOKUP(FME_Ranking1[[#This Row],[FME ID]],FME_Input[FME_ID],FME_Input[FME_NAME])</f>
        <v>Tom Green County FEMA Mapping</v>
      </c>
      <c r="D174" t="str">
        <f>_xlfn.XLOOKUP(FME_Ranking1[[#This Row],[FME ID]],FME_Input[FME_ID],FME_Input[DESCR])</f>
        <v>Update Existing FEMA Mapping</v>
      </c>
      <c r="E174" s="256">
        <f>_xlfn.XLOOKUP(FME_Ranking1[[#This Row],[FME ID]],FME_Input[FME_ID],FME_Input[FME_COST])</f>
        <v>1457000</v>
      </c>
      <c r="F174" t="str">
        <f>_xlfn.XLOOKUP(FME_Ranking1[[#This Row],[FME ID]],FME_Input[FME_ID],FME_Input[EMER_NEED])</f>
        <v>No</v>
      </c>
      <c r="G174">
        <f>IF(FME_Ranking!F174="Yes",100,0)</f>
        <v>0</v>
      </c>
      <c r="H174">
        <f>FME_Ranking1[[#This Row],[Emergency Need Score (Normalized, Unweighted)]]*$F$3</f>
        <v>0</v>
      </c>
      <c r="I174" s="246">
        <f>_xlfn.XLOOKUP(FME_Ranking1[[#This Row],[FME ID]],FME_Input[FME_ID],FME_Input[STRUCT_100])</f>
        <v>5164</v>
      </c>
      <c r="J174" s="178">
        <f>(FME_Ranking1[[#This Row],[Structures 100 Raw]]/I$2)*100</f>
        <v>2.7652829542046864</v>
      </c>
      <c r="K174" s="178">
        <f>FME_Ranking1[[#This Row],[Structures 100  Score (Normalized, Unweighted)]]*$I$3</f>
        <v>0.41479244313070296</v>
      </c>
      <c r="L174" s="246">
        <f>_xlfn.XLOOKUP(FME_Ranking1[[#This Row],[FME ID]],FME_Input[FME_ID],FME_Input[RES_STRUCT100])</f>
        <v>3371</v>
      </c>
      <c r="M174" s="230">
        <f>(FME_Ranking1[[#This Row],[Res Structures Raw]]/L$2)*100</f>
        <v>2.3876981484891839</v>
      </c>
      <c r="N174" s="180">
        <f>FME_Ranking1[[#This Row],[Res Structures Score (Normalized, Unweighted)]]*$L$3</f>
        <v>0.2387698148489184</v>
      </c>
      <c r="O174" s="244">
        <f>_xlfn.XLOOKUP(FME_Ranking1[[#This Row],[FME ID]],FME_Input[FME_ID],FME_Input[POP100])</f>
        <v>9987</v>
      </c>
      <c r="P174" s="178">
        <f>(FME_Ranking1[[#This Row],[Pop Raw]]/$O$2)*100</f>
        <v>1.0224222408317789</v>
      </c>
      <c r="Q174" s="178">
        <f>FME_Ranking1[[#This Row],[Pop Score (Normalized, Unweighted)]]*$O$3</f>
        <v>0.15336333612476682</v>
      </c>
      <c r="R174" s="137">
        <f>_xlfn.XLOOKUP(FME_Ranking1[[#This Row],[FME ID]],FME_Input[FME_ID],FME_Input[CRITFAC100])</f>
        <v>7</v>
      </c>
      <c r="S174" s="230">
        <f>(FME_Ranking1[[#This Row],[Critical Facilities Raw]]/$R$2)*100</f>
        <v>0.30017152658662088</v>
      </c>
      <c r="T174" s="180">
        <f>FME_Ranking1[[#This Row],[Critical Facilities Score (Normalized, Unweighted)]]*$R$3</f>
        <v>6.0034305317324177E-2</v>
      </c>
      <c r="U174">
        <f>_xlfn.XLOOKUP(FME_Ranking1[[#This Row],[FME ID]],FME_Input[FME_ID],FME_Input[LWC])</f>
        <v>46</v>
      </c>
      <c r="V174" s="178">
        <f>(FME_Ranking1[[#This Row],[LWC Raw]]/$U$2)*100</f>
        <v>2.648244099021301</v>
      </c>
      <c r="W174" s="178">
        <f>FME_Ranking1[[#This Row],[LWC Score (Normalized, Unweighted)]]*$U$3</f>
        <v>0.52964881980426026</v>
      </c>
      <c r="X174" s="246">
        <f>_xlfn.XLOOKUP(FME_Ranking1[[#This Row],[FME ID]],FME_Input[FME_ID],FME_Input[ROADCLS])</f>
        <v>0</v>
      </c>
      <c r="Y174" s="230">
        <f>(FME_Ranking1[[#This Row],[Closures Raw]]/$X$2)*100</f>
        <v>0</v>
      </c>
      <c r="Z174" s="180">
        <f>FME_Ranking1[[#This Row],[Closures Score (Normalized, Unweighted)]]*$X$3</f>
        <v>0</v>
      </c>
      <c r="AA174" s="253">
        <f>_xlfn.XLOOKUP(FME_Ranking1[[#This Row],[FME ID]],FME_Input[FME_ID],FME_Input[ROAD_MILES100])</f>
        <v>252.76603698730469</v>
      </c>
      <c r="AB174" s="178">
        <f>(FME_Ranking1[[#This Row],[Miles Raw]]/$AA$2)*100</f>
        <v>3.3234200292123872</v>
      </c>
      <c r="AC174" s="178">
        <f>FME_Ranking1[[#This Row],[Miles Score (Normalized, Unweighted)]]*$AA$3</f>
        <v>0.33234200292123872</v>
      </c>
      <c r="AD174" s="255">
        <f>_xlfn.XLOOKUP(FME_Ranking1[[#This Row],[FME ID]],FME_Input[FME_ID],FME_Input[FARMACRE100])</f>
        <v>48639.625</v>
      </c>
      <c r="AE174" s="230">
        <f>(FME_Ranking1[[#This Row],[Ag Land Raw]]/$AD$2)*100</f>
        <v>2.0056803995392345</v>
      </c>
      <c r="AF174" s="231">
        <f>FME_Ranking1[[#This Row],[Ag Land Score (Normalized, Unweighted)]]*$AD$3</f>
        <v>0.10028401997696174</v>
      </c>
      <c r="AG17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1.829234742124173</v>
      </c>
      <c r="AH174" s="406">
        <f t="shared" si="2"/>
        <v>150</v>
      </c>
      <c r="AI17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1.829234742124173</v>
      </c>
      <c r="AJ174" s="257">
        <f>FME_Ranking1[[#This Row],[Addition check]]-FME_Ranking1[[#This Row],[Weighted Score Based on Normalized Reported Factors]]</f>
        <v>0</v>
      </c>
      <c r="AK174" s="178">
        <f>_xlfn.RANK.EQ(AI174,$AI$6:$AI$2341,0)+COUNTIF($AI$6:AI174,AI174)-1</f>
        <v>150</v>
      </c>
    </row>
    <row r="175" spans="1:37" ht="12" customHeight="1" x14ac:dyDescent="0.25">
      <c r="A175" t="s">
        <v>5705</v>
      </c>
      <c r="B175">
        <f>_xlfn.XLOOKUP(FME_Ranking1[[#This Row],[FME ID]],FME_Input[FME_ID],FME_Input[RFPG_NUM])</f>
        <v>4</v>
      </c>
      <c r="C175" t="str">
        <f>_xlfn.XLOOKUP(FME_Ranking1[[#This Row],[FME ID]],FME_Input[FME_ID],FME_Input[FME_NAME])</f>
        <v>Cole Creek Detention Ponds Study</v>
      </c>
      <c r="D175" t="str">
        <f>_xlfn.XLOOKUP(FME_Ranking1[[#This Row],[FME ID]],FME_Input[FME_ID],FME_Input[DESCR])</f>
        <v>Flood Protection Planning Study Cow Bayou &amp; Adams Bayou Alternative</v>
      </c>
      <c r="E175" s="256">
        <f>_xlfn.XLOOKUP(FME_Ranking1[[#This Row],[FME ID]],FME_Input[FME_ID],FME_Input[FME_COST])</f>
        <v>600000</v>
      </c>
      <c r="F175" t="str">
        <f>_xlfn.XLOOKUP(FME_Ranking1[[#This Row],[FME ID]],FME_Input[FME_ID],FME_Input[EMER_NEED])</f>
        <v>Yes</v>
      </c>
      <c r="G175">
        <f>IF(FME_Ranking!F175="Yes",100,0)</f>
        <v>100</v>
      </c>
      <c r="H175">
        <f>FME_Ranking1[[#This Row],[Emergency Need Score (Normalized, Unweighted)]]*$F$3</f>
        <v>0</v>
      </c>
      <c r="I175" s="246">
        <f>_xlfn.XLOOKUP(FME_Ranking1[[#This Row],[FME ID]],FME_Input[FME_ID],FME_Input[STRUCT_100])</f>
        <v>7655</v>
      </c>
      <c r="J175" s="178">
        <f>(FME_Ranking1[[#This Row],[Structures 100 Raw]]/I$2)*100</f>
        <v>4.0991946193719739</v>
      </c>
      <c r="K175" s="178">
        <f>FME_Ranking1[[#This Row],[Structures 100  Score (Normalized, Unweighted)]]*$I$3</f>
        <v>0.61487919290579607</v>
      </c>
      <c r="L175" s="246">
        <f>_xlfn.XLOOKUP(FME_Ranking1[[#This Row],[FME ID]],FME_Input[FME_ID],FME_Input[RES_STRUCT100])</f>
        <v>6390</v>
      </c>
      <c r="M175" s="230">
        <f>(FME_Ranking1[[#This Row],[Res Structures Raw]]/L$2)*100</f>
        <v>4.5260727288181215</v>
      </c>
      <c r="N175" s="180">
        <f>FME_Ranking1[[#This Row],[Res Structures Score (Normalized, Unweighted)]]*$L$3</f>
        <v>0.45260727288181218</v>
      </c>
      <c r="O175" s="244">
        <f>_xlfn.XLOOKUP(FME_Ranking1[[#This Row],[FME ID]],FME_Input[FME_ID],FME_Input[POP100])</f>
        <v>16257</v>
      </c>
      <c r="P175" s="178">
        <f>(FME_Ranking1[[#This Row],[Pop Raw]]/$O$2)*100</f>
        <v>1.6643154470013248</v>
      </c>
      <c r="Q175" s="178">
        <f>FME_Ranking1[[#This Row],[Pop Score (Normalized, Unweighted)]]*$O$3</f>
        <v>0.24964731705019871</v>
      </c>
      <c r="R175" s="137">
        <f>_xlfn.XLOOKUP(FME_Ranking1[[#This Row],[FME ID]],FME_Input[FME_ID],FME_Input[CRITFAC100])</f>
        <v>7</v>
      </c>
      <c r="S175" s="230">
        <f>(FME_Ranking1[[#This Row],[Critical Facilities Raw]]/$R$2)*100</f>
        <v>0.30017152658662088</v>
      </c>
      <c r="T175" s="180">
        <f>FME_Ranking1[[#This Row],[Critical Facilities Score (Normalized, Unweighted)]]*$R$3</f>
        <v>6.0034305317324177E-2</v>
      </c>
      <c r="U175">
        <f>_xlfn.XLOOKUP(FME_Ranking1[[#This Row],[FME ID]],FME_Input[FME_ID],FME_Input[LWC])</f>
        <v>7</v>
      </c>
      <c r="V175" s="178">
        <f>(FME_Ranking1[[#This Row],[LWC Raw]]/$U$2)*100</f>
        <v>0.40299366724237184</v>
      </c>
      <c r="W175" s="178">
        <f>FME_Ranking1[[#This Row],[LWC Score (Normalized, Unweighted)]]*$U$3</f>
        <v>8.0598733448474374E-2</v>
      </c>
      <c r="X175" s="246">
        <f>_xlfn.XLOOKUP(FME_Ranking1[[#This Row],[FME ID]],FME_Input[FME_ID],FME_Input[ROADCLS])</f>
        <v>7</v>
      </c>
      <c r="Y175" s="230">
        <f>(FME_Ranking1[[#This Row],[Closures Raw]]/$X$2)*100</f>
        <v>7.3598990642414042E-2</v>
      </c>
      <c r="Z175" s="180">
        <f>FME_Ranking1[[#This Row],[Closures Score (Normalized, Unweighted)]]*$X$3</f>
        <v>3.6799495321207022E-3</v>
      </c>
      <c r="AA175" s="253">
        <f>_xlfn.XLOOKUP(FME_Ranking1[[#This Row],[FME ID]],FME_Input[FME_ID],FME_Input[ROAD_MILES100])</f>
        <v>155.51432800292969</v>
      </c>
      <c r="AB175" s="178">
        <f>(FME_Ranking1[[#This Row],[Miles Raw]]/$AA$2)*100</f>
        <v>2.0447344851966793</v>
      </c>
      <c r="AC175" s="178">
        <f>FME_Ranking1[[#This Row],[Miles Score (Normalized, Unweighted)]]*$AA$3</f>
        <v>0.20447344851966795</v>
      </c>
      <c r="AD175" s="255">
        <f>_xlfn.XLOOKUP(FME_Ranking1[[#This Row],[FME ID]],FME_Input[FME_ID],FME_Input[FARMACRE100])</f>
        <v>9437.30078125</v>
      </c>
      <c r="AE175" s="230">
        <f>(FME_Ranking1[[#This Row],[Ag Land Raw]]/$AD$2)*100</f>
        <v>0.38915203810698429</v>
      </c>
      <c r="AF175" s="231">
        <f>FME_Ranking1[[#This Row],[Ag Land Score (Normalized, Unweighted)]]*$AD$3</f>
        <v>1.9457601905349217E-2</v>
      </c>
      <c r="AG17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1.6853778215607433</v>
      </c>
      <c r="AH175" s="406">
        <f t="shared" si="2"/>
        <v>167</v>
      </c>
      <c r="AI17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1.6853778215607433</v>
      </c>
      <c r="AJ175" s="257">
        <f>FME_Ranking1[[#This Row],[Addition check]]-FME_Ranking1[[#This Row],[Weighted Score Based on Normalized Reported Factors]]</f>
        <v>0</v>
      </c>
      <c r="AK175" s="178">
        <f>_xlfn.RANK.EQ(AI175,$AI$6:$AI$2341,0)+COUNTIF($AI$6:AI175,AI175)-1</f>
        <v>167</v>
      </c>
    </row>
    <row r="176" spans="1:37" ht="12" customHeight="1" x14ac:dyDescent="0.25">
      <c r="A176" t="s">
        <v>5708</v>
      </c>
      <c r="B176">
        <f>_xlfn.XLOOKUP(FME_Ranking1[[#This Row],[FME ID]],FME_Input[FME_ID],FME_Input[RFPG_NUM])</f>
        <v>4</v>
      </c>
      <c r="C176" t="str">
        <f>_xlfn.XLOOKUP(FME_Ranking1[[#This Row],[FME ID]],FME_Input[FME_ID],FME_Input[FME_NAME])</f>
        <v>Cow Bayou Detention Ponds Study</v>
      </c>
      <c r="D176" t="str">
        <f>_xlfn.XLOOKUP(FME_Ranking1[[#This Row],[FME ID]],FME_Input[FME_ID],FME_Input[DESCR])</f>
        <v>Flood Protection Planning Study Cow Bayou &amp; Adams Bayou Alternative</v>
      </c>
      <c r="E176" s="256">
        <f>_xlfn.XLOOKUP(FME_Ranking1[[#This Row],[FME ID]],FME_Input[FME_ID],FME_Input[FME_COST])</f>
        <v>600000</v>
      </c>
      <c r="F176" t="str">
        <f>_xlfn.XLOOKUP(FME_Ranking1[[#This Row],[FME ID]],FME_Input[FME_ID],FME_Input[EMER_NEED])</f>
        <v>Yes</v>
      </c>
      <c r="G176">
        <f>IF(FME_Ranking!F176="Yes",100,0)</f>
        <v>100</v>
      </c>
      <c r="H176">
        <f>FME_Ranking1[[#This Row],[Emergency Need Score (Normalized, Unweighted)]]*$F$3</f>
        <v>0</v>
      </c>
      <c r="I176" s="246">
        <f>_xlfn.XLOOKUP(FME_Ranking1[[#This Row],[FME ID]],FME_Input[FME_ID],FME_Input[STRUCT_100])</f>
        <v>7655</v>
      </c>
      <c r="J176" s="178">
        <f>(FME_Ranking1[[#This Row],[Structures 100 Raw]]/I$2)*100</f>
        <v>4.0991946193719739</v>
      </c>
      <c r="K176" s="178">
        <f>FME_Ranking1[[#This Row],[Structures 100  Score (Normalized, Unweighted)]]*$I$3</f>
        <v>0.61487919290579607</v>
      </c>
      <c r="L176" s="246">
        <f>_xlfn.XLOOKUP(FME_Ranking1[[#This Row],[FME ID]],FME_Input[FME_ID],FME_Input[RES_STRUCT100])</f>
        <v>6390</v>
      </c>
      <c r="M176" s="230">
        <f>(FME_Ranking1[[#This Row],[Res Structures Raw]]/L$2)*100</f>
        <v>4.5260727288181215</v>
      </c>
      <c r="N176" s="180">
        <f>FME_Ranking1[[#This Row],[Res Structures Score (Normalized, Unweighted)]]*$L$3</f>
        <v>0.45260727288181218</v>
      </c>
      <c r="O176" s="244">
        <f>_xlfn.XLOOKUP(FME_Ranking1[[#This Row],[FME ID]],FME_Input[FME_ID],FME_Input[POP100])</f>
        <v>16257</v>
      </c>
      <c r="P176" s="178">
        <f>(FME_Ranking1[[#This Row],[Pop Raw]]/$O$2)*100</f>
        <v>1.6643154470013248</v>
      </c>
      <c r="Q176" s="178">
        <f>FME_Ranking1[[#This Row],[Pop Score (Normalized, Unweighted)]]*$O$3</f>
        <v>0.24964731705019871</v>
      </c>
      <c r="R176" s="137">
        <f>_xlfn.XLOOKUP(FME_Ranking1[[#This Row],[FME ID]],FME_Input[FME_ID],FME_Input[CRITFAC100])</f>
        <v>7</v>
      </c>
      <c r="S176" s="230">
        <f>(FME_Ranking1[[#This Row],[Critical Facilities Raw]]/$R$2)*100</f>
        <v>0.30017152658662088</v>
      </c>
      <c r="T176" s="180">
        <f>FME_Ranking1[[#This Row],[Critical Facilities Score (Normalized, Unweighted)]]*$R$3</f>
        <v>6.0034305317324177E-2</v>
      </c>
      <c r="U176">
        <f>_xlfn.XLOOKUP(FME_Ranking1[[#This Row],[FME ID]],FME_Input[FME_ID],FME_Input[LWC])</f>
        <v>7</v>
      </c>
      <c r="V176" s="178">
        <f>(FME_Ranking1[[#This Row],[LWC Raw]]/$U$2)*100</f>
        <v>0.40299366724237184</v>
      </c>
      <c r="W176" s="178">
        <f>FME_Ranking1[[#This Row],[LWC Score (Normalized, Unweighted)]]*$U$3</f>
        <v>8.0598733448474374E-2</v>
      </c>
      <c r="X176" s="246">
        <f>_xlfn.XLOOKUP(FME_Ranking1[[#This Row],[FME ID]],FME_Input[FME_ID],FME_Input[ROADCLS])</f>
        <v>7</v>
      </c>
      <c r="Y176" s="230">
        <f>(FME_Ranking1[[#This Row],[Closures Raw]]/$X$2)*100</f>
        <v>7.3598990642414042E-2</v>
      </c>
      <c r="Z176" s="180">
        <f>FME_Ranking1[[#This Row],[Closures Score (Normalized, Unweighted)]]*$X$3</f>
        <v>3.6799495321207022E-3</v>
      </c>
      <c r="AA176" s="253">
        <f>_xlfn.XLOOKUP(FME_Ranking1[[#This Row],[FME ID]],FME_Input[FME_ID],FME_Input[ROAD_MILES100])</f>
        <v>155.51432800292969</v>
      </c>
      <c r="AB176" s="178">
        <f>(FME_Ranking1[[#This Row],[Miles Raw]]/$AA$2)*100</f>
        <v>2.0447344851966793</v>
      </c>
      <c r="AC176" s="178">
        <f>FME_Ranking1[[#This Row],[Miles Score (Normalized, Unweighted)]]*$AA$3</f>
        <v>0.20447344851966795</v>
      </c>
      <c r="AD176" s="255">
        <f>_xlfn.XLOOKUP(FME_Ranking1[[#This Row],[FME ID]],FME_Input[FME_ID],FME_Input[FARMACRE100])</f>
        <v>9437.30078125</v>
      </c>
      <c r="AE176" s="230">
        <f>(FME_Ranking1[[#This Row],[Ag Land Raw]]/$AD$2)*100</f>
        <v>0.38915203810698429</v>
      </c>
      <c r="AF176" s="231">
        <f>FME_Ranking1[[#This Row],[Ag Land Score (Normalized, Unweighted)]]*$AD$3</f>
        <v>1.9457601905349217E-2</v>
      </c>
      <c r="AG17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1.6853778215607433</v>
      </c>
      <c r="AH176" s="406">
        <f t="shared" si="2"/>
        <v>167</v>
      </c>
      <c r="AI17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1.6853778215607433</v>
      </c>
      <c r="AJ176" s="257">
        <f>FME_Ranking1[[#This Row],[Addition check]]-FME_Ranking1[[#This Row],[Weighted Score Based on Normalized Reported Factors]]</f>
        <v>0</v>
      </c>
      <c r="AK176" s="178">
        <f>_xlfn.RANK.EQ(AI176,$AI$6:$AI$2341,0)+COUNTIF($AI$6:AI176,AI176)-1</f>
        <v>168</v>
      </c>
    </row>
    <row r="177" spans="1:37" ht="12" customHeight="1" x14ac:dyDescent="0.25">
      <c r="A177" t="s">
        <v>5730</v>
      </c>
      <c r="B177">
        <f>_xlfn.XLOOKUP(FME_Ranking1[[#This Row],[FME ID]],FME_Input[FME_ID],FME_Input[RFPG_NUM])</f>
        <v>4</v>
      </c>
      <c r="C177" t="str">
        <f>_xlfn.XLOOKUP(FME_Ranking1[[#This Row],[FME ID]],FME_Input[FME_ID],FME_Input[FME_NAME])</f>
        <v>Feasibility Assessment and Conceptual Design of Dredging of Segments of Cow Bayou</v>
      </c>
      <c r="D177" t="str">
        <f>_xlfn.XLOOKUP(FME_Ranking1[[#This Row],[FME ID]],FME_Input[FME_ID],FME_Input[DESCR])</f>
        <v xml:space="preserve">H&amp;H Study and Modeling for Feasibility Assessment of Dredging of Segments of Cow Bayou </v>
      </c>
      <c r="E177" s="256">
        <f>_xlfn.XLOOKUP(FME_Ranking1[[#This Row],[FME ID]],FME_Input[FME_ID],FME_Input[FME_COST])</f>
        <v>600000</v>
      </c>
      <c r="F177" t="str">
        <f>_xlfn.XLOOKUP(FME_Ranking1[[#This Row],[FME ID]],FME_Input[FME_ID],FME_Input[EMER_NEED])</f>
        <v>Yes</v>
      </c>
      <c r="G177">
        <f>IF(FME_Ranking!F177="Yes",100,0)</f>
        <v>100</v>
      </c>
      <c r="H177">
        <f>FME_Ranking1[[#This Row],[Emergency Need Score (Normalized, Unweighted)]]*$F$3</f>
        <v>0</v>
      </c>
      <c r="I177" s="246">
        <f>_xlfn.XLOOKUP(FME_Ranking1[[#This Row],[FME ID]],FME_Input[FME_ID],FME_Input[STRUCT_100])</f>
        <v>7655</v>
      </c>
      <c r="J177" s="178">
        <f>(FME_Ranking1[[#This Row],[Structures 100 Raw]]/I$2)*100</f>
        <v>4.0991946193719739</v>
      </c>
      <c r="K177" s="178">
        <f>FME_Ranking1[[#This Row],[Structures 100  Score (Normalized, Unweighted)]]*$I$3</f>
        <v>0.61487919290579607</v>
      </c>
      <c r="L177" s="246">
        <f>_xlfn.XLOOKUP(FME_Ranking1[[#This Row],[FME ID]],FME_Input[FME_ID],FME_Input[RES_STRUCT100])</f>
        <v>6390</v>
      </c>
      <c r="M177" s="230">
        <f>(FME_Ranking1[[#This Row],[Res Structures Raw]]/L$2)*100</f>
        <v>4.5260727288181215</v>
      </c>
      <c r="N177" s="180">
        <f>FME_Ranking1[[#This Row],[Res Structures Score (Normalized, Unweighted)]]*$L$3</f>
        <v>0.45260727288181218</v>
      </c>
      <c r="O177" s="244">
        <f>_xlfn.XLOOKUP(FME_Ranking1[[#This Row],[FME ID]],FME_Input[FME_ID],FME_Input[POP100])</f>
        <v>16257</v>
      </c>
      <c r="P177" s="178">
        <f>(FME_Ranking1[[#This Row],[Pop Raw]]/$O$2)*100</f>
        <v>1.6643154470013248</v>
      </c>
      <c r="Q177" s="178">
        <f>FME_Ranking1[[#This Row],[Pop Score (Normalized, Unweighted)]]*$O$3</f>
        <v>0.24964731705019871</v>
      </c>
      <c r="R177" s="137">
        <f>_xlfn.XLOOKUP(FME_Ranking1[[#This Row],[FME ID]],FME_Input[FME_ID],FME_Input[CRITFAC100])</f>
        <v>7</v>
      </c>
      <c r="S177" s="230">
        <f>(FME_Ranking1[[#This Row],[Critical Facilities Raw]]/$R$2)*100</f>
        <v>0.30017152658662088</v>
      </c>
      <c r="T177" s="180">
        <f>FME_Ranking1[[#This Row],[Critical Facilities Score (Normalized, Unweighted)]]*$R$3</f>
        <v>6.0034305317324177E-2</v>
      </c>
      <c r="U177">
        <f>_xlfn.XLOOKUP(FME_Ranking1[[#This Row],[FME ID]],FME_Input[FME_ID],FME_Input[LWC])</f>
        <v>7</v>
      </c>
      <c r="V177" s="178">
        <f>(FME_Ranking1[[#This Row],[LWC Raw]]/$U$2)*100</f>
        <v>0.40299366724237184</v>
      </c>
      <c r="W177" s="178">
        <f>FME_Ranking1[[#This Row],[LWC Score (Normalized, Unweighted)]]*$U$3</f>
        <v>8.0598733448474374E-2</v>
      </c>
      <c r="X177" s="246">
        <f>_xlfn.XLOOKUP(FME_Ranking1[[#This Row],[FME ID]],FME_Input[FME_ID],FME_Input[ROADCLS])</f>
        <v>7</v>
      </c>
      <c r="Y177" s="230">
        <f>(FME_Ranking1[[#This Row],[Closures Raw]]/$X$2)*100</f>
        <v>7.3598990642414042E-2</v>
      </c>
      <c r="Z177" s="180">
        <f>FME_Ranking1[[#This Row],[Closures Score (Normalized, Unweighted)]]*$X$3</f>
        <v>3.6799495321207022E-3</v>
      </c>
      <c r="AA177" s="253">
        <f>_xlfn.XLOOKUP(FME_Ranking1[[#This Row],[FME ID]],FME_Input[FME_ID],FME_Input[ROAD_MILES100])</f>
        <v>155.51432800292969</v>
      </c>
      <c r="AB177" s="178">
        <f>(FME_Ranking1[[#This Row],[Miles Raw]]/$AA$2)*100</f>
        <v>2.0447344851966793</v>
      </c>
      <c r="AC177" s="178">
        <f>FME_Ranking1[[#This Row],[Miles Score (Normalized, Unweighted)]]*$AA$3</f>
        <v>0.20447344851966795</v>
      </c>
      <c r="AD177" s="255">
        <f>_xlfn.XLOOKUP(FME_Ranking1[[#This Row],[FME ID]],FME_Input[FME_ID],FME_Input[FARMACRE100])</f>
        <v>9437.30078125</v>
      </c>
      <c r="AE177" s="230">
        <f>(FME_Ranking1[[#This Row],[Ag Land Raw]]/$AD$2)*100</f>
        <v>0.38915203810698429</v>
      </c>
      <c r="AF177" s="231">
        <f>FME_Ranking1[[#This Row],[Ag Land Score (Normalized, Unweighted)]]*$AD$3</f>
        <v>1.9457601905349217E-2</v>
      </c>
      <c r="AG17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1.6853778215607433</v>
      </c>
      <c r="AH177" s="406">
        <f t="shared" si="2"/>
        <v>167</v>
      </c>
      <c r="AI17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1.6853778215607433</v>
      </c>
      <c r="AJ177" s="257">
        <f>FME_Ranking1[[#This Row],[Addition check]]-FME_Ranking1[[#This Row],[Weighted Score Based on Normalized Reported Factors]]</f>
        <v>0</v>
      </c>
      <c r="AK177" s="178">
        <f>_xlfn.RANK.EQ(AI177,$AI$6:$AI$2341,0)+COUNTIF($AI$6:AI177,AI177)-1</f>
        <v>169</v>
      </c>
    </row>
    <row r="178" spans="1:37" ht="12" customHeight="1" x14ac:dyDescent="0.25">
      <c r="A178" t="s">
        <v>5733</v>
      </c>
      <c r="B178">
        <f>_xlfn.XLOOKUP(FME_Ranking1[[#This Row],[FME ID]],FME_Input[FME_ID],FME_Input[RFPG_NUM])</f>
        <v>4</v>
      </c>
      <c r="C178" t="str">
        <f>_xlfn.XLOOKUP(FME_Ranking1[[#This Row],[FME ID]],FME_Input[FME_ID],FME_Input[FME_NAME])</f>
        <v>Feasibility Assessment and Conceptual Design of Constructing a Stormwater Detention Pond Adjacent to Cow Bayou near Claiborne Park</v>
      </c>
      <c r="D178" t="str">
        <f>_xlfn.XLOOKUP(FME_Ranking1[[#This Row],[FME ID]],FME_Input[FME_ID],FME_Input[DESCR])</f>
        <v>H&amp;H Study and Modeling for Feasibility Assessment of Construction of a Stormwater Detention Pond Adjacent to Cow Bayou near Claiborne Park</v>
      </c>
      <c r="E178" s="256">
        <f>_xlfn.XLOOKUP(FME_Ranking1[[#This Row],[FME ID]],FME_Input[FME_ID],FME_Input[FME_COST])</f>
        <v>600000</v>
      </c>
      <c r="F178" t="str">
        <f>_xlfn.XLOOKUP(FME_Ranking1[[#This Row],[FME ID]],FME_Input[FME_ID],FME_Input[EMER_NEED])</f>
        <v>Yes</v>
      </c>
      <c r="G178">
        <f>IF(FME_Ranking!F178="Yes",100,0)</f>
        <v>100</v>
      </c>
      <c r="H178">
        <f>FME_Ranking1[[#This Row],[Emergency Need Score (Normalized, Unweighted)]]*$F$3</f>
        <v>0</v>
      </c>
      <c r="I178" s="246">
        <f>_xlfn.XLOOKUP(FME_Ranking1[[#This Row],[FME ID]],FME_Input[FME_ID],FME_Input[STRUCT_100])</f>
        <v>7655</v>
      </c>
      <c r="J178" s="178">
        <f>(FME_Ranking1[[#This Row],[Structures 100 Raw]]/I$2)*100</f>
        <v>4.0991946193719739</v>
      </c>
      <c r="K178" s="178">
        <f>FME_Ranking1[[#This Row],[Structures 100  Score (Normalized, Unweighted)]]*$I$3</f>
        <v>0.61487919290579607</v>
      </c>
      <c r="L178" s="246">
        <f>_xlfn.XLOOKUP(FME_Ranking1[[#This Row],[FME ID]],FME_Input[FME_ID],FME_Input[RES_STRUCT100])</f>
        <v>6390</v>
      </c>
      <c r="M178" s="230">
        <f>(FME_Ranking1[[#This Row],[Res Structures Raw]]/L$2)*100</f>
        <v>4.5260727288181215</v>
      </c>
      <c r="N178" s="180">
        <f>FME_Ranking1[[#This Row],[Res Structures Score (Normalized, Unweighted)]]*$L$3</f>
        <v>0.45260727288181218</v>
      </c>
      <c r="O178" s="244">
        <f>_xlfn.XLOOKUP(FME_Ranking1[[#This Row],[FME ID]],FME_Input[FME_ID],FME_Input[POP100])</f>
        <v>16257</v>
      </c>
      <c r="P178" s="178">
        <f>(FME_Ranking1[[#This Row],[Pop Raw]]/$O$2)*100</f>
        <v>1.6643154470013248</v>
      </c>
      <c r="Q178" s="178">
        <f>FME_Ranking1[[#This Row],[Pop Score (Normalized, Unweighted)]]*$O$3</f>
        <v>0.24964731705019871</v>
      </c>
      <c r="R178" s="137">
        <f>_xlfn.XLOOKUP(FME_Ranking1[[#This Row],[FME ID]],FME_Input[FME_ID],FME_Input[CRITFAC100])</f>
        <v>7</v>
      </c>
      <c r="S178" s="230">
        <f>(FME_Ranking1[[#This Row],[Critical Facilities Raw]]/$R$2)*100</f>
        <v>0.30017152658662088</v>
      </c>
      <c r="T178" s="180">
        <f>FME_Ranking1[[#This Row],[Critical Facilities Score (Normalized, Unweighted)]]*$R$3</f>
        <v>6.0034305317324177E-2</v>
      </c>
      <c r="U178">
        <f>_xlfn.XLOOKUP(FME_Ranking1[[#This Row],[FME ID]],FME_Input[FME_ID],FME_Input[LWC])</f>
        <v>7</v>
      </c>
      <c r="V178" s="178">
        <f>(FME_Ranking1[[#This Row],[LWC Raw]]/$U$2)*100</f>
        <v>0.40299366724237184</v>
      </c>
      <c r="W178" s="178">
        <f>FME_Ranking1[[#This Row],[LWC Score (Normalized, Unweighted)]]*$U$3</f>
        <v>8.0598733448474374E-2</v>
      </c>
      <c r="X178" s="246">
        <f>_xlfn.XLOOKUP(FME_Ranking1[[#This Row],[FME ID]],FME_Input[FME_ID],FME_Input[ROADCLS])</f>
        <v>7</v>
      </c>
      <c r="Y178" s="230">
        <f>(FME_Ranking1[[#This Row],[Closures Raw]]/$X$2)*100</f>
        <v>7.3598990642414042E-2</v>
      </c>
      <c r="Z178" s="180">
        <f>FME_Ranking1[[#This Row],[Closures Score (Normalized, Unweighted)]]*$X$3</f>
        <v>3.6799495321207022E-3</v>
      </c>
      <c r="AA178" s="253">
        <f>_xlfn.XLOOKUP(FME_Ranking1[[#This Row],[FME ID]],FME_Input[FME_ID],FME_Input[ROAD_MILES100])</f>
        <v>155.51432800292969</v>
      </c>
      <c r="AB178" s="178">
        <f>(FME_Ranking1[[#This Row],[Miles Raw]]/$AA$2)*100</f>
        <v>2.0447344851966793</v>
      </c>
      <c r="AC178" s="178">
        <f>FME_Ranking1[[#This Row],[Miles Score (Normalized, Unweighted)]]*$AA$3</f>
        <v>0.20447344851966795</v>
      </c>
      <c r="AD178" s="255">
        <f>_xlfn.XLOOKUP(FME_Ranking1[[#This Row],[FME ID]],FME_Input[FME_ID],FME_Input[FARMACRE100])</f>
        <v>9437.30078125</v>
      </c>
      <c r="AE178" s="230">
        <f>(FME_Ranking1[[#This Row],[Ag Land Raw]]/$AD$2)*100</f>
        <v>0.38915203810698429</v>
      </c>
      <c r="AF178" s="231">
        <f>FME_Ranking1[[#This Row],[Ag Land Score (Normalized, Unweighted)]]*$AD$3</f>
        <v>1.9457601905349217E-2</v>
      </c>
      <c r="AG17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1.6853778215607433</v>
      </c>
      <c r="AH178" s="406">
        <f t="shared" si="2"/>
        <v>167</v>
      </c>
      <c r="AI17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1.6853778215607433</v>
      </c>
      <c r="AJ178" s="257">
        <f>FME_Ranking1[[#This Row],[Addition check]]-FME_Ranking1[[#This Row],[Weighted Score Based on Normalized Reported Factors]]</f>
        <v>0</v>
      </c>
      <c r="AK178" s="178">
        <f>_xlfn.RANK.EQ(AI178,$AI$6:$AI$2341,0)+COUNTIF($AI$6:AI178,AI178)-1</f>
        <v>170</v>
      </c>
    </row>
    <row r="179" spans="1:37" ht="12" customHeight="1" x14ac:dyDescent="0.25">
      <c r="A179" t="s">
        <v>5761</v>
      </c>
      <c r="B179">
        <f>_xlfn.XLOOKUP(FME_Ranking1[[#This Row],[FME ID]],FME_Input[FME_ID],FME_Input[RFPG_NUM])</f>
        <v>4</v>
      </c>
      <c r="C179" t="str">
        <f>_xlfn.XLOOKUP(FME_Ranking1[[#This Row],[FME ID]],FME_Input[FME_ID],FME_Input[FME_NAME])</f>
        <v>Diversion Channel Cow Bayou Feasibility Study</v>
      </c>
      <c r="D179" t="str">
        <f>_xlfn.XLOOKUP(FME_Ranking1[[#This Row],[FME ID]],FME_Input[FME_ID],FME_Input[DESCR])</f>
        <v>Diversion Channel Cow Bayou Feasibility Study</v>
      </c>
      <c r="E179" s="256">
        <f>_xlfn.XLOOKUP(FME_Ranking1[[#This Row],[FME ID]],FME_Input[FME_ID],FME_Input[FME_COST])</f>
        <v>5209500</v>
      </c>
      <c r="F179" t="str">
        <f>_xlfn.XLOOKUP(FME_Ranking1[[#This Row],[FME ID]],FME_Input[FME_ID],FME_Input[EMER_NEED])</f>
        <v>Yes</v>
      </c>
      <c r="G179">
        <f>IF(FME_Ranking!F179="Yes",100,0)</f>
        <v>100</v>
      </c>
      <c r="H179">
        <f>FME_Ranking1[[#This Row],[Emergency Need Score (Normalized, Unweighted)]]*$F$3</f>
        <v>0</v>
      </c>
      <c r="I179" s="246">
        <f>_xlfn.XLOOKUP(FME_Ranking1[[#This Row],[FME ID]],FME_Input[FME_ID],FME_Input[STRUCT_100])</f>
        <v>7655</v>
      </c>
      <c r="J179" s="178">
        <f>(FME_Ranking1[[#This Row],[Structures 100 Raw]]/I$2)*100</f>
        <v>4.0991946193719739</v>
      </c>
      <c r="K179" s="178">
        <f>FME_Ranking1[[#This Row],[Structures 100  Score (Normalized, Unweighted)]]*$I$3</f>
        <v>0.61487919290579607</v>
      </c>
      <c r="L179" s="246">
        <f>_xlfn.XLOOKUP(FME_Ranking1[[#This Row],[FME ID]],FME_Input[FME_ID],FME_Input[RES_STRUCT100])</f>
        <v>6390</v>
      </c>
      <c r="M179" s="230">
        <f>(FME_Ranking1[[#This Row],[Res Structures Raw]]/L$2)*100</f>
        <v>4.5260727288181215</v>
      </c>
      <c r="N179" s="180">
        <f>FME_Ranking1[[#This Row],[Res Structures Score (Normalized, Unweighted)]]*$L$3</f>
        <v>0.45260727288181218</v>
      </c>
      <c r="O179" s="244">
        <f>_xlfn.XLOOKUP(FME_Ranking1[[#This Row],[FME ID]],FME_Input[FME_ID],FME_Input[POP100])</f>
        <v>16257</v>
      </c>
      <c r="P179" s="178">
        <f>(FME_Ranking1[[#This Row],[Pop Raw]]/$O$2)*100</f>
        <v>1.6643154470013248</v>
      </c>
      <c r="Q179" s="178">
        <f>FME_Ranking1[[#This Row],[Pop Score (Normalized, Unweighted)]]*$O$3</f>
        <v>0.24964731705019871</v>
      </c>
      <c r="R179" s="137">
        <f>_xlfn.XLOOKUP(FME_Ranking1[[#This Row],[FME ID]],FME_Input[FME_ID],FME_Input[CRITFAC100])</f>
        <v>7</v>
      </c>
      <c r="S179" s="230">
        <f>(FME_Ranking1[[#This Row],[Critical Facilities Raw]]/$R$2)*100</f>
        <v>0.30017152658662088</v>
      </c>
      <c r="T179" s="180">
        <f>FME_Ranking1[[#This Row],[Critical Facilities Score (Normalized, Unweighted)]]*$R$3</f>
        <v>6.0034305317324177E-2</v>
      </c>
      <c r="U179">
        <f>_xlfn.XLOOKUP(FME_Ranking1[[#This Row],[FME ID]],FME_Input[FME_ID],FME_Input[LWC])</f>
        <v>7</v>
      </c>
      <c r="V179" s="178">
        <f>(FME_Ranking1[[#This Row],[LWC Raw]]/$U$2)*100</f>
        <v>0.40299366724237184</v>
      </c>
      <c r="W179" s="178">
        <f>FME_Ranking1[[#This Row],[LWC Score (Normalized, Unweighted)]]*$U$3</f>
        <v>8.0598733448474374E-2</v>
      </c>
      <c r="X179" s="246">
        <f>_xlfn.XLOOKUP(FME_Ranking1[[#This Row],[FME ID]],FME_Input[FME_ID],FME_Input[ROADCLS])</f>
        <v>7</v>
      </c>
      <c r="Y179" s="230">
        <f>(FME_Ranking1[[#This Row],[Closures Raw]]/$X$2)*100</f>
        <v>7.3598990642414042E-2</v>
      </c>
      <c r="Z179" s="180">
        <f>FME_Ranking1[[#This Row],[Closures Score (Normalized, Unweighted)]]*$X$3</f>
        <v>3.6799495321207022E-3</v>
      </c>
      <c r="AA179" s="253">
        <f>_xlfn.XLOOKUP(FME_Ranking1[[#This Row],[FME ID]],FME_Input[FME_ID],FME_Input[ROAD_MILES100])</f>
        <v>155.51432800292969</v>
      </c>
      <c r="AB179" s="178">
        <f>(FME_Ranking1[[#This Row],[Miles Raw]]/$AA$2)*100</f>
        <v>2.0447344851966793</v>
      </c>
      <c r="AC179" s="178">
        <f>FME_Ranking1[[#This Row],[Miles Score (Normalized, Unweighted)]]*$AA$3</f>
        <v>0.20447344851966795</v>
      </c>
      <c r="AD179" s="255">
        <f>_xlfn.XLOOKUP(FME_Ranking1[[#This Row],[FME ID]],FME_Input[FME_ID],FME_Input[FARMACRE100])</f>
        <v>9437.30078125</v>
      </c>
      <c r="AE179" s="230">
        <f>(FME_Ranking1[[#This Row],[Ag Land Raw]]/$AD$2)*100</f>
        <v>0.38915203810698429</v>
      </c>
      <c r="AF179" s="231">
        <f>FME_Ranking1[[#This Row],[Ag Land Score (Normalized, Unweighted)]]*$AD$3</f>
        <v>1.9457601905349217E-2</v>
      </c>
      <c r="AG17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1.6853778215607433</v>
      </c>
      <c r="AH179" s="406">
        <f t="shared" si="2"/>
        <v>167</v>
      </c>
      <c r="AI17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1.6853778215607433</v>
      </c>
      <c r="AJ179" s="257">
        <f>FME_Ranking1[[#This Row],[Addition check]]-FME_Ranking1[[#This Row],[Weighted Score Based on Normalized Reported Factors]]</f>
        <v>0</v>
      </c>
      <c r="AK179" s="178">
        <f>_xlfn.RANK.EQ(AI179,$AI$6:$AI$2341,0)+COUNTIF($AI$6:AI179,AI179)-1</f>
        <v>171</v>
      </c>
    </row>
    <row r="180" spans="1:37" ht="12" customHeight="1" x14ac:dyDescent="0.25">
      <c r="A180" t="s">
        <v>5763</v>
      </c>
      <c r="B180">
        <f>_xlfn.XLOOKUP(FME_Ranking1[[#This Row],[FME ID]],FME_Input[FME_ID],FME_Input[RFPG_NUM])</f>
        <v>4</v>
      </c>
      <c r="C180" t="str">
        <f>_xlfn.XLOOKUP(FME_Ranking1[[#This Row],[FME ID]],FME_Input[FME_ID],FME_Input[FME_NAME])</f>
        <v>Lawrence Road Detention Pond Feasibility Study</v>
      </c>
      <c r="D180" t="str">
        <f>_xlfn.XLOOKUP(FME_Ranking1[[#This Row],[FME ID]],FME_Input[FME_ID],FME_Input[DESCR])</f>
        <v>Lawrence Road Detention Pond Feasibility Study</v>
      </c>
      <c r="E180" s="256">
        <f>_xlfn.XLOOKUP(FME_Ranking1[[#This Row],[FME ID]],FME_Input[FME_ID],FME_Input[FME_COST])</f>
        <v>400000</v>
      </c>
      <c r="F180" t="str">
        <f>_xlfn.XLOOKUP(FME_Ranking1[[#This Row],[FME ID]],FME_Input[FME_ID],FME_Input[EMER_NEED])</f>
        <v>Yes</v>
      </c>
      <c r="G180">
        <f>IF(FME_Ranking!F180="Yes",100,0)</f>
        <v>100</v>
      </c>
      <c r="H180">
        <f>FME_Ranking1[[#This Row],[Emergency Need Score (Normalized, Unweighted)]]*$F$3</f>
        <v>0</v>
      </c>
      <c r="I180" s="246">
        <f>_xlfn.XLOOKUP(FME_Ranking1[[#This Row],[FME ID]],FME_Input[FME_ID],FME_Input[STRUCT_100])</f>
        <v>7655</v>
      </c>
      <c r="J180" s="178">
        <f>(FME_Ranking1[[#This Row],[Structures 100 Raw]]/I$2)*100</f>
        <v>4.0991946193719739</v>
      </c>
      <c r="K180" s="178">
        <f>FME_Ranking1[[#This Row],[Structures 100  Score (Normalized, Unweighted)]]*$I$3</f>
        <v>0.61487919290579607</v>
      </c>
      <c r="L180" s="246">
        <f>_xlfn.XLOOKUP(FME_Ranking1[[#This Row],[FME ID]],FME_Input[FME_ID],FME_Input[RES_STRUCT100])</f>
        <v>6390</v>
      </c>
      <c r="M180" s="230">
        <f>(FME_Ranking1[[#This Row],[Res Structures Raw]]/L$2)*100</f>
        <v>4.5260727288181215</v>
      </c>
      <c r="N180" s="180">
        <f>FME_Ranking1[[#This Row],[Res Structures Score (Normalized, Unweighted)]]*$L$3</f>
        <v>0.45260727288181218</v>
      </c>
      <c r="O180" s="244">
        <f>_xlfn.XLOOKUP(FME_Ranking1[[#This Row],[FME ID]],FME_Input[FME_ID],FME_Input[POP100])</f>
        <v>16257</v>
      </c>
      <c r="P180" s="178">
        <f>(FME_Ranking1[[#This Row],[Pop Raw]]/$O$2)*100</f>
        <v>1.6643154470013248</v>
      </c>
      <c r="Q180" s="178">
        <f>FME_Ranking1[[#This Row],[Pop Score (Normalized, Unweighted)]]*$O$3</f>
        <v>0.24964731705019871</v>
      </c>
      <c r="R180" s="137">
        <f>_xlfn.XLOOKUP(FME_Ranking1[[#This Row],[FME ID]],FME_Input[FME_ID],FME_Input[CRITFAC100])</f>
        <v>7</v>
      </c>
      <c r="S180" s="230">
        <f>(FME_Ranking1[[#This Row],[Critical Facilities Raw]]/$R$2)*100</f>
        <v>0.30017152658662088</v>
      </c>
      <c r="T180" s="180">
        <f>FME_Ranking1[[#This Row],[Critical Facilities Score (Normalized, Unweighted)]]*$R$3</f>
        <v>6.0034305317324177E-2</v>
      </c>
      <c r="U180">
        <f>_xlfn.XLOOKUP(FME_Ranking1[[#This Row],[FME ID]],FME_Input[FME_ID],FME_Input[LWC])</f>
        <v>7</v>
      </c>
      <c r="V180" s="178">
        <f>(FME_Ranking1[[#This Row],[LWC Raw]]/$U$2)*100</f>
        <v>0.40299366724237184</v>
      </c>
      <c r="W180" s="178">
        <f>FME_Ranking1[[#This Row],[LWC Score (Normalized, Unweighted)]]*$U$3</f>
        <v>8.0598733448474374E-2</v>
      </c>
      <c r="X180" s="246">
        <f>_xlfn.XLOOKUP(FME_Ranking1[[#This Row],[FME ID]],FME_Input[FME_ID],FME_Input[ROADCLS])</f>
        <v>7</v>
      </c>
      <c r="Y180" s="230">
        <f>(FME_Ranking1[[#This Row],[Closures Raw]]/$X$2)*100</f>
        <v>7.3598990642414042E-2</v>
      </c>
      <c r="Z180" s="180">
        <f>FME_Ranking1[[#This Row],[Closures Score (Normalized, Unweighted)]]*$X$3</f>
        <v>3.6799495321207022E-3</v>
      </c>
      <c r="AA180" s="253">
        <f>_xlfn.XLOOKUP(FME_Ranking1[[#This Row],[FME ID]],FME_Input[FME_ID],FME_Input[ROAD_MILES100])</f>
        <v>155.51432800292969</v>
      </c>
      <c r="AB180" s="178">
        <f>(FME_Ranking1[[#This Row],[Miles Raw]]/$AA$2)*100</f>
        <v>2.0447344851966793</v>
      </c>
      <c r="AC180" s="178">
        <f>FME_Ranking1[[#This Row],[Miles Score (Normalized, Unweighted)]]*$AA$3</f>
        <v>0.20447344851966795</v>
      </c>
      <c r="AD180" s="255">
        <f>_xlfn.XLOOKUP(FME_Ranking1[[#This Row],[FME ID]],FME_Input[FME_ID],FME_Input[FARMACRE100])</f>
        <v>9437.30078125</v>
      </c>
      <c r="AE180" s="230">
        <f>(FME_Ranking1[[#This Row],[Ag Land Raw]]/$AD$2)*100</f>
        <v>0.38915203810698429</v>
      </c>
      <c r="AF180" s="231">
        <f>FME_Ranking1[[#This Row],[Ag Land Score (Normalized, Unweighted)]]*$AD$3</f>
        <v>1.9457601905349217E-2</v>
      </c>
      <c r="AG18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1.6853778215607433</v>
      </c>
      <c r="AH180" s="406">
        <f t="shared" si="2"/>
        <v>167</v>
      </c>
      <c r="AI18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1.6853778215607433</v>
      </c>
      <c r="AJ180" s="257">
        <f>FME_Ranking1[[#This Row],[Addition check]]-FME_Ranking1[[#This Row],[Weighted Score Based on Normalized Reported Factors]]</f>
        <v>0</v>
      </c>
      <c r="AK180" s="178">
        <f>_xlfn.RANK.EQ(AI180,$AI$6:$AI$2341,0)+COUNTIF($AI$6:AI180,AI180)-1</f>
        <v>172</v>
      </c>
    </row>
    <row r="181" spans="1:37" ht="12" customHeight="1" x14ac:dyDescent="0.25">
      <c r="A181" t="s">
        <v>5765</v>
      </c>
      <c r="B181">
        <f>_xlfn.XLOOKUP(FME_Ranking1[[#This Row],[FME ID]],FME_Input[FME_ID],FME_Input[RFPG_NUM])</f>
        <v>4</v>
      </c>
      <c r="C181" t="str">
        <f>_xlfn.XLOOKUP(FME_Ranking1[[#This Row],[FME ID]],FME_Input[FME_ID],FME_Input[FME_NAME])</f>
        <v>Elevation of Feeder Road Bridge Along IH-10 at Cole Creek Feasibility Study</v>
      </c>
      <c r="D181" t="str">
        <f>_xlfn.XLOOKUP(FME_Ranking1[[#This Row],[FME ID]],FME_Input[FME_ID],FME_Input[DESCR])</f>
        <v>Elevation of Feeder Road Bridge Along IH-10 at Cole Creek Feasibility Study</v>
      </c>
      <c r="E181" s="256">
        <f>_xlfn.XLOOKUP(FME_Ranking1[[#This Row],[FME ID]],FME_Input[FME_ID],FME_Input[FME_COST])</f>
        <v>500000</v>
      </c>
      <c r="F181" t="str">
        <f>_xlfn.XLOOKUP(FME_Ranking1[[#This Row],[FME ID]],FME_Input[FME_ID],FME_Input[EMER_NEED])</f>
        <v>Yes</v>
      </c>
      <c r="G181">
        <f>IF(FME_Ranking!F181="Yes",100,0)</f>
        <v>100</v>
      </c>
      <c r="H181">
        <f>FME_Ranking1[[#This Row],[Emergency Need Score (Normalized, Unweighted)]]*$F$3</f>
        <v>0</v>
      </c>
      <c r="I181" s="246">
        <f>_xlfn.XLOOKUP(FME_Ranking1[[#This Row],[FME ID]],FME_Input[FME_ID],FME_Input[STRUCT_100])</f>
        <v>7655</v>
      </c>
      <c r="J181" s="178">
        <f>(FME_Ranking1[[#This Row],[Structures 100 Raw]]/I$2)*100</f>
        <v>4.0991946193719739</v>
      </c>
      <c r="K181" s="178">
        <f>FME_Ranking1[[#This Row],[Structures 100  Score (Normalized, Unweighted)]]*$I$3</f>
        <v>0.61487919290579607</v>
      </c>
      <c r="L181" s="246">
        <f>_xlfn.XLOOKUP(FME_Ranking1[[#This Row],[FME ID]],FME_Input[FME_ID],FME_Input[RES_STRUCT100])</f>
        <v>6390</v>
      </c>
      <c r="M181" s="230">
        <f>(FME_Ranking1[[#This Row],[Res Structures Raw]]/L$2)*100</f>
        <v>4.5260727288181215</v>
      </c>
      <c r="N181" s="180">
        <f>FME_Ranking1[[#This Row],[Res Structures Score (Normalized, Unweighted)]]*$L$3</f>
        <v>0.45260727288181218</v>
      </c>
      <c r="O181" s="244">
        <f>_xlfn.XLOOKUP(FME_Ranking1[[#This Row],[FME ID]],FME_Input[FME_ID],FME_Input[POP100])</f>
        <v>16257</v>
      </c>
      <c r="P181" s="178">
        <f>(FME_Ranking1[[#This Row],[Pop Raw]]/$O$2)*100</f>
        <v>1.6643154470013248</v>
      </c>
      <c r="Q181" s="178">
        <f>FME_Ranking1[[#This Row],[Pop Score (Normalized, Unweighted)]]*$O$3</f>
        <v>0.24964731705019871</v>
      </c>
      <c r="R181" s="137">
        <f>_xlfn.XLOOKUP(FME_Ranking1[[#This Row],[FME ID]],FME_Input[FME_ID],FME_Input[CRITFAC100])</f>
        <v>7</v>
      </c>
      <c r="S181" s="230">
        <f>(FME_Ranking1[[#This Row],[Critical Facilities Raw]]/$R$2)*100</f>
        <v>0.30017152658662088</v>
      </c>
      <c r="T181" s="180">
        <f>FME_Ranking1[[#This Row],[Critical Facilities Score (Normalized, Unweighted)]]*$R$3</f>
        <v>6.0034305317324177E-2</v>
      </c>
      <c r="U181">
        <f>_xlfn.XLOOKUP(FME_Ranking1[[#This Row],[FME ID]],FME_Input[FME_ID],FME_Input[LWC])</f>
        <v>7</v>
      </c>
      <c r="V181" s="178">
        <f>(FME_Ranking1[[#This Row],[LWC Raw]]/$U$2)*100</f>
        <v>0.40299366724237184</v>
      </c>
      <c r="W181" s="178">
        <f>FME_Ranking1[[#This Row],[LWC Score (Normalized, Unweighted)]]*$U$3</f>
        <v>8.0598733448474374E-2</v>
      </c>
      <c r="X181" s="246">
        <f>_xlfn.XLOOKUP(FME_Ranking1[[#This Row],[FME ID]],FME_Input[FME_ID],FME_Input[ROADCLS])</f>
        <v>7</v>
      </c>
      <c r="Y181" s="230">
        <f>(FME_Ranking1[[#This Row],[Closures Raw]]/$X$2)*100</f>
        <v>7.3598990642414042E-2</v>
      </c>
      <c r="Z181" s="180">
        <f>FME_Ranking1[[#This Row],[Closures Score (Normalized, Unweighted)]]*$X$3</f>
        <v>3.6799495321207022E-3</v>
      </c>
      <c r="AA181" s="253">
        <f>_xlfn.XLOOKUP(FME_Ranking1[[#This Row],[FME ID]],FME_Input[FME_ID],FME_Input[ROAD_MILES100])</f>
        <v>155.51432800292969</v>
      </c>
      <c r="AB181" s="178">
        <f>(FME_Ranking1[[#This Row],[Miles Raw]]/$AA$2)*100</f>
        <v>2.0447344851966793</v>
      </c>
      <c r="AC181" s="178">
        <f>FME_Ranking1[[#This Row],[Miles Score (Normalized, Unweighted)]]*$AA$3</f>
        <v>0.20447344851966795</v>
      </c>
      <c r="AD181" s="255">
        <f>_xlfn.XLOOKUP(FME_Ranking1[[#This Row],[FME ID]],FME_Input[FME_ID],FME_Input[FARMACRE100])</f>
        <v>9437.30078125</v>
      </c>
      <c r="AE181" s="230">
        <f>(FME_Ranking1[[#This Row],[Ag Land Raw]]/$AD$2)*100</f>
        <v>0.38915203810698429</v>
      </c>
      <c r="AF181" s="231">
        <f>FME_Ranking1[[#This Row],[Ag Land Score (Normalized, Unweighted)]]*$AD$3</f>
        <v>1.9457601905349217E-2</v>
      </c>
      <c r="AG18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1.6853778215607433</v>
      </c>
      <c r="AH181" s="406">
        <f t="shared" si="2"/>
        <v>167</v>
      </c>
      <c r="AI18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1.6853778215607433</v>
      </c>
      <c r="AJ181" s="257">
        <f>FME_Ranking1[[#This Row],[Addition check]]-FME_Ranking1[[#This Row],[Weighted Score Based on Normalized Reported Factors]]</f>
        <v>0</v>
      </c>
      <c r="AK181" s="178">
        <f>_xlfn.RANK.EQ(AI181,$AI$6:$AI$2341,0)+COUNTIF($AI$6:AI181,AI181)-1</f>
        <v>173</v>
      </c>
    </row>
    <row r="182" spans="1:37" ht="12" customHeight="1" x14ac:dyDescent="0.25">
      <c r="A182" t="s">
        <v>1699</v>
      </c>
      <c r="B182">
        <f>_xlfn.XLOOKUP(FME_Ranking1[[#This Row],[FME ID]],FME_Input[FME_ID],FME_Input[RFPG_NUM])</f>
        <v>6</v>
      </c>
      <c r="C182" t="str">
        <f>_xlfn.XLOOKUP(FME_Ranking1[[#This Row],[FME ID]],FME_Input[FME_ID],FME_Input[FME_NAME])</f>
        <v>City of Pasadena  Master Drainage Plan</v>
      </c>
      <c r="D182" t="str">
        <f>_xlfn.XLOOKUP(FME_Ranking1[[#This Row],[FME ID]],FME_Input[FME_ID],FME_Input[DESCR])</f>
        <v>Study to develop Master Drainage Plan using future and existing land use and flood/storm water drainage needs including Atlas 14 rainfall.</v>
      </c>
      <c r="E182" s="256">
        <f>_xlfn.XLOOKUP(FME_Ranking1[[#This Row],[FME ID]],FME_Input[FME_ID],FME_Input[FME_COST])</f>
        <v>550000</v>
      </c>
      <c r="F182" t="str">
        <f>_xlfn.XLOOKUP(FME_Ranking1[[#This Row],[FME ID]],FME_Input[FME_ID],FME_Input[EMER_NEED])</f>
        <v>Yes</v>
      </c>
      <c r="G182">
        <f>IF(FME_Ranking!F182="Yes",100,0)</f>
        <v>100</v>
      </c>
      <c r="H182">
        <f>FME_Ranking1[[#This Row],[Emergency Need Score (Normalized, Unweighted)]]*$F$3</f>
        <v>0</v>
      </c>
      <c r="I182" s="246">
        <f>_xlfn.XLOOKUP(FME_Ranking1[[#This Row],[FME ID]],FME_Input[FME_ID],FME_Input[STRUCT_100])</f>
        <v>3591</v>
      </c>
      <c r="J182" s="178">
        <f>(FME_Ranking1[[#This Row],[Structures 100 Raw]]/I$2)*100</f>
        <v>1.9229533478987277</v>
      </c>
      <c r="K182" s="178">
        <f>FME_Ranking1[[#This Row],[Structures 100  Score (Normalized, Unweighted)]]*$I$3</f>
        <v>0.28844300218480917</v>
      </c>
      <c r="L182" s="246">
        <f>_xlfn.XLOOKUP(FME_Ranking1[[#This Row],[FME ID]],FME_Input[FME_ID],FME_Input[RES_STRUCT100])</f>
        <v>2839</v>
      </c>
      <c r="M182" s="230">
        <f>(FME_Ranking1[[#This Row],[Res Structures Raw]]/L$2)*100</f>
        <v>2.010879573883356</v>
      </c>
      <c r="N182" s="180">
        <f>FME_Ranking1[[#This Row],[Res Structures Score (Normalized, Unweighted)]]*$L$3</f>
        <v>0.20108795738833563</v>
      </c>
      <c r="O182" s="244">
        <f>_xlfn.XLOOKUP(FME_Ranking1[[#This Row],[FME ID]],FME_Input[FME_ID],FME_Input[POP100])</f>
        <v>26560</v>
      </c>
      <c r="P182" s="178">
        <f>(FME_Ranking1[[#This Row],[Pop Raw]]/$O$2)*100</f>
        <v>2.7190882864215529</v>
      </c>
      <c r="Q182" s="178">
        <f>FME_Ranking1[[#This Row],[Pop Score (Normalized, Unweighted)]]*$O$3</f>
        <v>0.4078632429632329</v>
      </c>
      <c r="R182" s="137">
        <f>_xlfn.XLOOKUP(FME_Ranking1[[#This Row],[FME ID]],FME_Input[FME_ID],FME_Input[CRITFAC100])</f>
        <v>58</v>
      </c>
      <c r="S182" s="230">
        <f>(FME_Ranking1[[#This Row],[Critical Facilities Raw]]/$R$2)*100</f>
        <v>2.4871355060034306</v>
      </c>
      <c r="T182" s="180">
        <f>FME_Ranking1[[#This Row],[Critical Facilities Score (Normalized, Unweighted)]]*$R$3</f>
        <v>0.49742710120068612</v>
      </c>
      <c r="U182">
        <f>_xlfn.XLOOKUP(FME_Ranking1[[#This Row],[FME ID]],FME_Input[FME_ID],FME_Input[LWC])</f>
        <v>6</v>
      </c>
      <c r="V182" s="178">
        <f>(FME_Ranking1[[#This Row],[LWC Raw]]/$U$2)*100</f>
        <v>0.34542314335060448</v>
      </c>
      <c r="W182" s="178">
        <f>FME_Ranking1[[#This Row],[LWC Score (Normalized, Unweighted)]]*$U$3</f>
        <v>6.9084628670120898E-2</v>
      </c>
      <c r="X182" s="246">
        <f>_xlfn.XLOOKUP(FME_Ranking1[[#This Row],[FME ID]],FME_Input[FME_ID],FME_Input[ROADCLS])</f>
        <v>6</v>
      </c>
      <c r="Y182" s="230">
        <f>(FME_Ranking1[[#This Row],[Closures Raw]]/$X$2)*100</f>
        <v>6.3084849122069186E-2</v>
      </c>
      <c r="Z182" s="180">
        <f>FME_Ranking1[[#This Row],[Closures Score (Normalized, Unweighted)]]*$X$3</f>
        <v>3.1542424561034595E-3</v>
      </c>
      <c r="AA182" s="253">
        <f>_xlfn.XLOOKUP(FME_Ranking1[[#This Row],[FME ID]],FME_Input[FME_ID],FME_Input[ROAD_MILES100])</f>
        <v>73.8465576171875</v>
      </c>
      <c r="AB182" s="178">
        <f>(FME_Ranking1[[#This Row],[Miles Raw]]/$AA$2)*100</f>
        <v>0.97094978264692278</v>
      </c>
      <c r="AC182" s="178">
        <f>FME_Ranking1[[#This Row],[Miles Score (Normalized, Unweighted)]]*$AA$3</f>
        <v>9.709497826469228E-2</v>
      </c>
      <c r="AD182" s="255">
        <f>_xlfn.XLOOKUP(FME_Ranking1[[#This Row],[FME ID]],FME_Input[FME_ID],FME_Input[FARMACRE100])</f>
        <v>81.945533752441406</v>
      </c>
      <c r="AE182" s="230">
        <f>(FME_Ranking1[[#This Row],[Ag Land Raw]]/$AD$2)*100</f>
        <v>3.3790669824665075E-3</v>
      </c>
      <c r="AF182" s="231">
        <f>FME_Ranking1[[#This Row],[Ag Land Score (Normalized, Unweighted)]]*$AD$3</f>
        <v>1.6895334912332539E-4</v>
      </c>
      <c r="AG18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1.5643241064771041</v>
      </c>
      <c r="AH182" s="406">
        <f t="shared" si="2"/>
        <v>191</v>
      </c>
      <c r="AI18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1.5643241064771041</v>
      </c>
      <c r="AJ182" s="257">
        <f>FME_Ranking1[[#This Row],[Addition check]]-FME_Ranking1[[#This Row],[Weighted Score Based on Normalized Reported Factors]]</f>
        <v>0</v>
      </c>
      <c r="AK182" s="178">
        <f>_xlfn.RANK.EQ(AI182,$AI$6:$AI$2341,0)+COUNTIF($AI$6:AI182,AI182)-1</f>
        <v>191</v>
      </c>
    </row>
    <row r="183" spans="1:37" ht="12" customHeight="1" x14ac:dyDescent="0.25">
      <c r="A183" t="s">
        <v>6028</v>
      </c>
      <c r="B183">
        <f>_xlfn.XLOOKUP(FME_Ranking1[[#This Row],[FME ID]],FME_Input[FME_ID],FME_Input[RFPG_NUM])</f>
        <v>5</v>
      </c>
      <c r="C183" t="str">
        <f>_xlfn.XLOOKUP(FME_Ranking1[[#This Row],[FME ID]],FME_Input[FME_ID],FME_Input[FME_NAME])</f>
        <v>Feasibility Assessment for Increase in Size of Culverts and Railroad Trestles on Major Drainage Structures Throughout Orange County</v>
      </c>
      <c r="D183" t="str">
        <f>_xlfn.XLOOKUP(FME_Ranking1[[#This Row],[FME ID]],FME_Input[FME_ID],FME_Input[DESCR])</f>
        <v>H&amp;H Study to analyze most efficient alternatives for dredging, widening, or otherwise improving culverts and railroad trestles within Orange County.</v>
      </c>
      <c r="E183" s="256">
        <f>_xlfn.XLOOKUP(FME_Ranking1[[#This Row],[FME ID]],FME_Input[FME_ID],FME_Input[FME_COST])</f>
        <v>150000</v>
      </c>
      <c r="F183" t="str">
        <f>_xlfn.XLOOKUP(FME_Ranking1[[#This Row],[FME ID]],FME_Input[FME_ID],FME_Input[EMER_NEED])</f>
        <v>Yes</v>
      </c>
      <c r="G183">
        <f>IF(FME_Ranking!F183="Yes",100,0)</f>
        <v>100</v>
      </c>
      <c r="H183">
        <f>FME_Ranking1[[#This Row],[Emergency Need Score (Normalized, Unweighted)]]*$F$3</f>
        <v>0</v>
      </c>
      <c r="I183" s="246">
        <f>_xlfn.XLOOKUP(FME_Ranking1[[#This Row],[FME ID]],FME_Input[FME_ID],FME_Input[STRUCT_100])</f>
        <v>5007</v>
      </c>
      <c r="J183" s="178">
        <f>(FME_Ranking1[[#This Row],[Structures 100 Raw]]/I$2)*100</f>
        <v>2.6812106413057446</v>
      </c>
      <c r="K183" s="178">
        <f>FME_Ranking1[[#This Row],[Structures 100  Score (Normalized, Unweighted)]]*$I$3</f>
        <v>0.40218159619586169</v>
      </c>
      <c r="L183" s="246">
        <f>_xlfn.XLOOKUP(FME_Ranking1[[#This Row],[FME ID]],FME_Input[FME_ID],FME_Input[RES_STRUCT100])</f>
        <v>4273</v>
      </c>
      <c r="M183" s="230">
        <f>(FME_Ranking1[[#This Row],[Res Structures Raw]]/L$2)*100</f>
        <v>3.0265897918998172</v>
      </c>
      <c r="N183" s="180">
        <f>FME_Ranking1[[#This Row],[Res Structures Score (Normalized, Unweighted)]]*$L$3</f>
        <v>0.30265897918998175</v>
      </c>
      <c r="O183" s="244">
        <f>_xlfn.XLOOKUP(FME_Ranking1[[#This Row],[FME ID]],FME_Input[FME_ID],FME_Input[POP100])</f>
        <v>11929</v>
      </c>
      <c r="P183" s="178">
        <f>(FME_Ranking1[[#This Row],[Pop Raw]]/$O$2)*100</f>
        <v>1.2212350967139571</v>
      </c>
      <c r="Q183" s="178">
        <f>FME_Ranking1[[#This Row],[Pop Score (Normalized, Unweighted)]]*$O$3</f>
        <v>0.18318526450709358</v>
      </c>
      <c r="R183" s="137">
        <f>_xlfn.XLOOKUP(FME_Ranking1[[#This Row],[FME ID]],FME_Input[FME_ID],FME_Input[CRITFAC100])</f>
        <v>36</v>
      </c>
      <c r="S183" s="230">
        <f>(FME_Ranking1[[#This Row],[Critical Facilities Raw]]/$R$2)*100</f>
        <v>1.5437392795883362</v>
      </c>
      <c r="T183" s="180">
        <f>FME_Ranking1[[#This Row],[Critical Facilities Score (Normalized, Unweighted)]]*$R$3</f>
        <v>0.30874785591766729</v>
      </c>
      <c r="U183">
        <f>_xlfn.XLOOKUP(FME_Ranking1[[#This Row],[FME ID]],FME_Input[FME_ID],FME_Input[LWC])</f>
        <v>20</v>
      </c>
      <c r="V183" s="178">
        <f>(FME_Ranking1[[#This Row],[LWC Raw]]/$U$2)*100</f>
        <v>1.1514104778353482</v>
      </c>
      <c r="W183" s="178">
        <f>FME_Ranking1[[#This Row],[LWC Score (Normalized, Unweighted)]]*$U$3</f>
        <v>0.23028209556706966</v>
      </c>
      <c r="X183" s="246">
        <f>_xlfn.XLOOKUP(FME_Ranking1[[#This Row],[FME ID]],FME_Input[FME_ID],FME_Input[ROADCLS])</f>
        <v>20</v>
      </c>
      <c r="Y183" s="230">
        <f>(FME_Ranking1[[#This Row],[Closures Raw]]/$X$2)*100</f>
        <v>0.2102828304068973</v>
      </c>
      <c r="Z183" s="180">
        <f>FME_Ranking1[[#This Row],[Closures Score (Normalized, Unweighted)]]*$X$3</f>
        <v>1.0514141520344866E-2</v>
      </c>
      <c r="AA183" s="253">
        <f>_xlfn.XLOOKUP(FME_Ranking1[[#This Row],[FME ID]],FME_Input[FME_ID],FME_Input[ROAD_MILES100])</f>
        <v>136.13397216796881</v>
      </c>
      <c r="AB183" s="178">
        <f>(FME_Ranking1[[#This Row],[Miles Raw]]/$AA$2)*100</f>
        <v>1.7899175662669933</v>
      </c>
      <c r="AC183" s="178">
        <f>FME_Ranking1[[#This Row],[Miles Score (Normalized, Unweighted)]]*$AA$3</f>
        <v>0.17899175662669933</v>
      </c>
      <c r="AD183" s="255">
        <f>_xlfn.XLOOKUP(FME_Ranking1[[#This Row],[FME ID]],FME_Input[FME_ID],FME_Input[FARMACRE100])</f>
        <v>346.02401733398438</v>
      </c>
      <c r="AE183" s="230">
        <f>(FME_Ranking1[[#This Row],[Ag Land Raw]]/$AD$2)*100</f>
        <v>1.4268481497063282E-2</v>
      </c>
      <c r="AF183" s="231">
        <f>FME_Ranking1[[#This Row],[Ag Land Score (Normalized, Unweighted)]]*$AD$3</f>
        <v>7.1342407485316419E-4</v>
      </c>
      <c r="AG18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1.6172751135995715</v>
      </c>
      <c r="AH183" s="406">
        <f t="shared" si="2"/>
        <v>180</v>
      </c>
      <c r="AI18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1.6172751135995715</v>
      </c>
      <c r="AJ183" s="257">
        <f>FME_Ranking1[[#This Row],[Addition check]]-FME_Ranking1[[#This Row],[Weighted Score Based on Normalized Reported Factors]]</f>
        <v>0</v>
      </c>
      <c r="AK183" s="178">
        <f>_xlfn.RANK.EQ(AI183,$AI$6:$AI$2341,0)+COUNTIF($AI$6:AI183,AI183)-1</f>
        <v>180</v>
      </c>
    </row>
    <row r="184" spans="1:37" ht="12" customHeight="1" x14ac:dyDescent="0.25">
      <c r="A184" t="s">
        <v>6033</v>
      </c>
      <c r="B184">
        <f>_xlfn.XLOOKUP(FME_Ranking1[[#This Row],[FME ID]],FME_Input[FME_ID],FME_Input[RFPG_NUM])</f>
        <v>5</v>
      </c>
      <c r="C184" t="str">
        <f>_xlfn.XLOOKUP(FME_Ranking1[[#This Row],[FME ID]],FME_Input[FME_ID],FME_Input[FME_NAME])</f>
        <v>Feasibility Assessment of the Capacity of Drainage Ditches and Channels that Convey Stormwater from Neighborhoods Located Within Orange County</v>
      </c>
      <c r="D184" t="str">
        <f>_xlfn.XLOOKUP(FME_Ranking1[[#This Row],[FME ID]],FME_Input[FME_ID],FME_Input[DESCR])</f>
        <v>H&amp;H Study to analyze most efficient alternatives for improving existing drainage ditches and channels linked to neighborhoods within Orange County.</v>
      </c>
      <c r="E184" s="256">
        <f>_xlfn.XLOOKUP(FME_Ranking1[[#This Row],[FME ID]],FME_Input[FME_ID],FME_Input[FME_COST])</f>
        <v>100000</v>
      </c>
      <c r="F184" t="str">
        <f>_xlfn.XLOOKUP(FME_Ranking1[[#This Row],[FME ID]],FME_Input[FME_ID],FME_Input[EMER_NEED])</f>
        <v>Yes</v>
      </c>
      <c r="G184">
        <f>IF(FME_Ranking!F184="Yes",100,0)</f>
        <v>100</v>
      </c>
      <c r="H184">
        <f>FME_Ranking1[[#This Row],[Emergency Need Score (Normalized, Unweighted)]]*$F$3</f>
        <v>0</v>
      </c>
      <c r="I184" s="246">
        <f>_xlfn.XLOOKUP(FME_Ranking1[[#This Row],[FME ID]],FME_Input[FME_ID],FME_Input[STRUCT_100])</f>
        <v>5007</v>
      </c>
      <c r="J184" s="178">
        <f>(FME_Ranking1[[#This Row],[Structures 100 Raw]]/I$2)*100</f>
        <v>2.6812106413057446</v>
      </c>
      <c r="K184" s="178">
        <f>FME_Ranking1[[#This Row],[Structures 100  Score (Normalized, Unweighted)]]*$I$3</f>
        <v>0.40218159619586169</v>
      </c>
      <c r="L184" s="246">
        <f>_xlfn.XLOOKUP(FME_Ranking1[[#This Row],[FME ID]],FME_Input[FME_ID],FME_Input[RES_STRUCT100])</f>
        <v>4273</v>
      </c>
      <c r="M184" s="230">
        <f>(FME_Ranking1[[#This Row],[Res Structures Raw]]/L$2)*100</f>
        <v>3.0265897918998172</v>
      </c>
      <c r="N184" s="180">
        <f>FME_Ranking1[[#This Row],[Res Structures Score (Normalized, Unweighted)]]*$L$3</f>
        <v>0.30265897918998175</v>
      </c>
      <c r="O184" s="244">
        <f>_xlfn.XLOOKUP(FME_Ranking1[[#This Row],[FME ID]],FME_Input[FME_ID],FME_Input[POP100])</f>
        <v>11929</v>
      </c>
      <c r="P184" s="178">
        <f>(FME_Ranking1[[#This Row],[Pop Raw]]/$O$2)*100</f>
        <v>1.2212350967139571</v>
      </c>
      <c r="Q184" s="178">
        <f>FME_Ranking1[[#This Row],[Pop Score (Normalized, Unweighted)]]*$O$3</f>
        <v>0.18318526450709358</v>
      </c>
      <c r="R184" s="137">
        <f>_xlfn.XLOOKUP(FME_Ranking1[[#This Row],[FME ID]],FME_Input[FME_ID],FME_Input[CRITFAC100])</f>
        <v>36</v>
      </c>
      <c r="S184" s="230">
        <f>(FME_Ranking1[[#This Row],[Critical Facilities Raw]]/$R$2)*100</f>
        <v>1.5437392795883362</v>
      </c>
      <c r="T184" s="180">
        <f>FME_Ranking1[[#This Row],[Critical Facilities Score (Normalized, Unweighted)]]*$R$3</f>
        <v>0.30874785591766729</v>
      </c>
      <c r="U184">
        <f>_xlfn.XLOOKUP(FME_Ranking1[[#This Row],[FME ID]],FME_Input[FME_ID],FME_Input[LWC])</f>
        <v>20</v>
      </c>
      <c r="V184" s="178">
        <f>(FME_Ranking1[[#This Row],[LWC Raw]]/$U$2)*100</f>
        <v>1.1514104778353482</v>
      </c>
      <c r="W184" s="178">
        <f>FME_Ranking1[[#This Row],[LWC Score (Normalized, Unweighted)]]*$U$3</f>
        <v>0.23028209556706966</v>
      </c>
      <c r="X184" s="246">
        <f>_xlfn.XLOOKUP(FME_Ranking1[[#This Row],[FME ID]],FME_Input[FME_ID],FME_Input[ROADCLS])</f>
        <v>20</v>
      </c>
      <c r="Y184" s="230">
        <f>(FME_Ranking1[[#This Row],[Closures Raw]]/$X$2)*100</f>
        <v>0.2102828304068973</v>
      </c>
      <c r="Z184" s="180">
        <f>FME_Ranking1[[#This Row],[Closures Score (Normalized, Unweighted)]]*$X$3</f>
        <v>1.0514141520344866E-2</v>
      </c>
      <c r="AA184" s="253">
        <f>_xlfn.XLOOKUP(FME_Ranking1[[#This Row],[FME ID]],FME_Input[FME_ID],FME_Input[ROAD_MILES100])</f>
        <v>136.13397216796881</v>
      </c>
      <c r="AB184" s="178">
        <f>(FME_Ranking1[[#This Row],[Miles Raw]]/$AA$2)*100</f>
        <v>1.7899175662669933</v>
      </c>
      <c r="AC184" s="178">
        <f>FME_Ranking1[[#This Row],[Miles Score (Normalized, Unweighted)]]*$AA$3</f>
        <v>0.17899175662669933</v>
      </c>
      <c r="AD184" s="255">
        <f>_xlfn.XLOOKUP(FME_Ranking1[[#This Row],[FME ID]],FME_Input[FME_ID],FME_Input[FARMACRE100])</f>
        <v>346.02401733398438</v>
      </c>
      <c r="AE184" s="230">
        <f>(FME_Ranking1[[#This Row],[Ag Land Raw]]/$AD$2)*100</f>
        <v>1.4268481497063282E-2</v>
      </c>
      <c r="AF184" s="231">
        <f>FME_Ranking1[[#This Row],[Ag Land Score (Normalized, Unweighted)]]*$AD$3</f>
        <v>7.1342407485316419E-4</v>
      </c>
      <c r="AG18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1.6172751135995715</v>
      </c>
      <c r="AH184" s="406">
        <f t="shared" si="2"/>
        <v>180</v>
      </c>
      <c r="AI18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1.6172751135995715</v>
      </c>
      <c r="AJ184" s="257">
        <f>FME_Ranking1[[#This Row],[Addition check]]-FME_Ranking1[[#This Row],[Weighted Score Based on Normalized Reported Factors]]</f>
        <v>0</v>
      </c>
      <c r="AK184" s="178">
        <f>_xlfn.RANK.EQ(AI184,$AI$6:$AI$2341,0)+COUNTIF($AI$6:AI184,AI184)-1</f>
        <v>181</v>
      </c>
    </row>
    <row r="185" spans="1:37" ht="12" customHeight="1" x14ac:dyDescent="0.25">
      <c r="A185" t="s">
        <v>6106</v>
      </c>
      <c r="B185">
        <f>_xlfn.XLOOKUP(FME_Ranking1[[#This Row],[FME ID]],FME_Input[FME_ID],FME_Input[RFPG_NUM])</f>
        <v>5</v>
      </c>
      <c r="C185" t="str">
        <f>_xlfn.XLOOKUP(FME_Ranking1[[#This Row],[FME ID]],FME_Input[FME_ID],FME_Input[FME_NAME])</f>
        <v>Orange County DD Harvey Repairs</v>
      </c>
      <c r="D185" t="str">
        <f>_xlfn.XLOOKUP(FME_Ranking1[[#This Row],[FME ID]],FME_Input[FME_ID],FME_Input[DESCR])</f>
        <v xml:space="preserve">Evaluate project to quantify benefits, evaluate impacts, and begin design. Project consists of repairing damage to drainage ditches, crossings, culverts, levees, and right-of-ways caused by Hurricane Harvey to restore pre-flood capacity.
</v>
      </c>
      <c r="E185" s="256">
        <f>_xlfn.XLOOKUP(FME_Ranking1[[#This Row],[FME ID]],FME_Input[FME_ID],FME_Input[FME_COST])</f>
        <v>130000</v>
      </c>
      <c r="F185" t="str">
        <f>_xlfn.XLOOKUP(FME_Ranking1[[#This Row],[FME ID]],FME_Input[FME_ID],FME_Input[EMER_NEED])</f>
        <v>Yes</v>
      </c>
      <c r="G185">
        <f>IF(FME_Ranking!F185="Yes",100,0)</f>
        <v>100</v>
      </c>
      <c r="H185">
        <f>FME_Ranking1[[#This Row],[Emergency Need Score (Normalized, Unweighted)]]*$F$3</f>
        <v>0</v>
      </c>
      <c r="I185" s="246">
        <f>_xlfn.XLOOKUP(FME_Ranking1[[#This Row],[FME ID]],FME_Input[FME_ID],FME_Input[STRUCT_100])</f>
        <v>5007</v>
      </c>
      <c r="J185" s="178">
        <f>(FME_Ranking1[[#This Row],[Structures 100 Raw]]/I$2)*100</f>
        <v>2.6812106413057446</v>
      </c>
      <c r="K185" s="178">
        <f>FME_Ranking1[[#This Row],[Structures 100  Score (Normalized, Unweighted)]]*$I$3</f>
        <v>0.40218159619586169</v>
      </c>
      <c r="L185" s="246">
        <f>_xlfn.XLOOKUP(FME_Ranking1[[#This Row],[FME ID]],FME_Input[FME_ID],FME_Input[RES_STRUCT100])</f>
        <v>4273</v>
      </c>
      <c r="M185" s="230">
        <f>(FME_Ranking1[[#This Row],[Res Structures Raw]]/L$2)*100</f>
        <v>3.0265897918998172</v>
      </c>
      <c r="N185" s="180">
        <f>FME_Ranking1[[#This Row],[Res Structures Score (Normalized, Unweighted)]]*$L$3</f>
        <v>0.30265897918998175</v>
      </c>
      <c r="O185" s="244">
        <f>_xlfn.XLOOKUP(FME_Ranking1[[#This Row],[FME ID]],FME_Input[FME_ID],FME_Input[POP100])</f>
        <v>11929</v>
      </c>
      <c r="P185" s="178">
        <f>(FME_Ranking1[[#This Row],[Pop Raw]]/$O$2)*100</f>
        <v>1.2212350967139571</v>
      </c>
      <c r="Q185" s="178">
        <f>FME_Ranking1[[#This Row],[Pop Score (Normalized, Unweighted)]]*$O$3</f>
        <v>0.18318526450709358</v>
      </c>
      <c r="R185" s="137">
        <f>_xlfn.XLOOKUP(FME_Ranking1[[#This Row],[FME ID]],FME_Input[FME_ID],FME_Input[CRITFAC100])</f>
        <v>36</v>
      </c>
      <c r="S185" s="230">
        <f>(FME_Ranking1[[#This Row],[Critical Facilities Raw]]/$R$2)*100</f>
        <v>1.5437392795883362</v>
      </c>
      <c r="T185" s="180">
        <f>FME_Ranking1[[#This Row],[Critical Facilities Score (Normalized, Unweighted)]]*$R$3</f>
        <v>0.30874785591766729</v>
      </c>
      <c r="U185">
        <f>_xlfn.XLOOKUP(FME_Ranking1[[#This Row],[FME ID]],FME_Input[FME_ID],FME_Input[LWC])</f>
        <v>20</v>
      </c>
      <c r="V185" s="178">
        <f>(FME_Ranking1[[#This Row],[LWC Raw]]/$U$2)*100</f>
        <v>1.1514104778353482</v>
      </c>
      <c r="W185" s="178">
        <f>FME_Ranking1[[#This Row],[LWC Score (Normalized, Unweighted)]]*$U$3</f>
        <v>0.23028209556706966</v>
      </c>
      <c r="X185" s="246">
        <f>_xlfn.XLOOKUP(FME_Ranking1[[#This Row],[FME ID]],FME_Input[FME_ID],FME_Input[ROADCLS])</f>
        <v>20</v>
      </c>
      <c r="Y185" s="230">
        <f>(FME_Ranking1[[#This Row],[Closures Raw]]/$X$2)*100</f>
        <v>0.2102828304068973</v>
      </c>
      <c r="Z185" s="180">
        <f>FME_Ranking1[[#This Row],[Closures Score (Normalized, Unweighted)]]*$X$3</f>
        <v>1.0514141520344866E-2</v>
      </c>
      <c r="AA185" s="253">
        <f>_xlfn.XLOOKUP(FME_Ranking1[[#This Row],[FME ID]],FME_Input[FME_ID],FME_Input[ROAD_MILES100])</f>
        <v>136.13397216796881</v>
      </c>
      <c r="AB185" s="178">
        <f>(FME_Ranking1[[#This Row],[Miles Raw]]/$AA$2)*100</f>
        <v>1.7899175662669933</v>
      </c>
      <c r="AC185" s="178">
        <f>FME_Ranking1[[#This Row],[Miles Score (Normalized, Unweighted)]]*$AA$3</f>
        <v>0.17899175662669933</v>
      </c>
      <c r="AD185" s="255">
        <f>_xlfn.XLOOKUP(FME_Ranking1[[#This Row],[FME ID]],FME_Input[FME_ID],FME_Input[FARMACRE100])</f>
        <v>346.02401733398438</v>
      </c>
      <c r="AE185" s="230">
        <f>(FME_Ranking1[[#This Row],[Ag Land Raw]]/$AD$2)*100</f>
        <v>1.4268481497063282E-2</v>
      </c>
      <c r="AF185" s="231">
        <f>FME_Ranking1[[#This Row],[Ag Land Score (Normalized, Unweighted)]]*$AD$3</f>
        <v>7.1342407485316419E-4</v>
      </c>
      <c r="AG18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1.6172751135995715</v>
      </c>
      <c r="AH185" s="406">
        <f t="shared" si="2"/>
        <v>180</v>
      </c>
      <c r="AI18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1.6172751135995715</v>
      </c>
      <c r="AJ185" s="257">
        <f>FME_Ranking1[[#This Row],[Addition check]]-FME_Ranking1[[#This Row],[Weighted Score Based on Normalized Reported Factors]]</f>
        <v>0</v>
      </c>
      <c r="AK185" s="178">
        <f>_xlfn.RANK.EQ(AI185,$AI$6:$AI$2341,0)+COUNTIF($AI$6:AI185,AI185)-1</f>
        <v>182</v>
      </c>
    </row>
    <row r="186" spans="1:37" ht="12" customHeight="1" x14ac:dyDescent="0.25">
      <c r="A186" t="s">
        <v>6110</v>
      </c>
      <c r="B186">
        <f>_xlfn.XLOOKUP(FME_Ranking1[[#This Row],[FME ID]],FME_Input[FME_ID],FME_Input[RFPG_NUM])</f>
        <v>5</v>
      </c>
      <c r="C186" t="str">
        <f>_xlfn.XLOOKUP(FME_Ranking1[[#This Row],[FME ID]],FME_Input[FME_ID],FME_Input[FME_NAME])</f>
        <v>Orange County DD SW Detention/Retention Facilities</v>
      </c>
      <c r="D186" t="str">
        <f>_xlfn.XLOOKUP(FME_Ranking1[[#This Row],[FME ID]],FME_Input[FME_ID],FME_Input[DESCR])</f>
        <v>Evaluate project to quantify benefits, evaluate impacts, and begin design. Project consists of stormwater detention/retention facilities throughout OCDD.</v>
      </c>
      <c r="E186" s="256">
        <f>_xlfn.XLOOKUP(FME_Ranking1[[#This Row],[FME ID]],FME_Input[FME_ID],FME_Input[FME_COST])</f>
        <v>130000</v>
      </c>
      <c r="F186" t="str">
        <f>_xlfn.XLOOKUP(FME_Ranking1[[#This Row],[FME ID]],FME_Input[FME_ID],FME_Input[EMER_NEED])</f>
        <v>Yes</v>
      </c>
      <c r="G186">
        <f>IF(FME_Ranking!F186="Yes",100,0)</f>
        <v>100</v>
      </c>
      <c r="H186">
        <f>FME_Ranking1[[#This Row],[Emergency Need Score (Normalized, Unweighted)]]*$F$3</f>
        <v>0</v>
      </c>
      <c r="I186" s="246">
        <f>_xlfn.XLOOKUP(FME_Ranking1[[#This Row],[FME ID]],FME_Input[FME_ID],FME_Input[STRUCT_100])</f>
        <v>5007</v>
      </c>
      <c r="J186" s="178">
        <f>(FME_Ranking1[[#This Row],[Structures 100 Raw]]/I$2)*100</f>
        <v>2.6812106413057446</v>
      </c>
      <c r="K186" s="178">
        <f>FME_Ranking1[[#This Row],[Structures 100  Score (Normalized, Unweighted)]]*$I$3</f>
        <v>0.40218159619586169</v>
      </c>
      <c r="L186" s="246">
        <f>_xlfn.XLOOKUP(FME_Ranking1[[#This Row],[FME ID]],FME_Input[FME_ID],FME_Input[RES_STRUCT100])</f>
        <v>4273</v>
      </c>
      <c r="M186" s="230">
        <f>(FME_Ranking1[[#This Row],[Res Structures Raw]]/L$2)*100</f>
        <v>3.0265897918998172</v>
      </c>
      <c r="N186" s="180">
        <f>FME_Ranking1[[#This Row],[Res Structures Score (Normalized, Unweighted)]]*$L$3</f>
        <v>0.30265897918998175</v>
      </c>
      <c r="O186" s="244">
        <f>_xlfn.XLOOKUP(FME_Ranking1[[#This Row],[FME ID]],FME_Input[FME_ID],FME_Input[POP100])</f>
        <v>11929</v>
      </c>
      <c r="P186" s="178">
        <f>(FME_Ranking1[[#This Row],[Pop Raw]]/$O$2)*100</f>
        <v>1.2212350967139571</v>
      </c>
      <c r="Q186" s="178">
        <f>FME_Ranking1[[#This Row],[Pop Score (Normalized, Unweighted)]]*$O$3</f>
        <v>0.18318526450709358</v>
      </c>
      <c r="R186" s="137">
        <f>_xlfn.XLOOKUP(FME_Ranking1[[#This Row],[FME ID]],FME_Input[FME_ID],FME_Input[CRITFAC100])</f>
        <v>36</v>
      </c>
      <c r="S186" s="230">
        <f>(FME_Ranking1[[#This Row],[Critical Facilities Raw]]/$R$2)*100</f>
        <v>1.5437392795883362</v>
      </c>
      <c r="T186" s="180">
        <f>FME_Ranking1[[#This Row],[Critical Facilities Score (Normalized, Unweighted)]]*$R$3</f>
        <v>0.30874785591766729</v>
      </c>
      <c r="U186">
        <f>_xlfn.XLOOKUP(FME_Ranking1[[#This Row],[FME ID]],FME_Input[FME_ID],FME_Input[LWC])</f>
        <v>20</v>
      </c>
      <c r="V186" s="178">
        <f>(FME_Ranking1[[#This Row],[LWC Raw]]/$U$2)*100</f>
        <v>1.1514104778353482</v>
      </c>
      <c r="W186" s="178">
        <f>FME_Ranking1[[#This Row],[LWC Score (Normalized, Unweighted)]]*$U$3</f>
        <v>0.23028209556706966</v>
      </c>
      <c r="X186" s="246">
        <f>_xlfn.XLOOKUP(FME_Ranking1[[#This Row],[FME ID]],FME_Input[FME_ID],FME_Input[ROADCLS])</f>
        <v>20</v>
      </c>
      <c r="Y186" s="230">
        <f>(FME_Ranking1[[#This Row],[Closures Raw]]/$X$2)*100</f>
        <v>0.2102828304068973</v>
      </c>
      <c r="Z186" s="180">
        <f>FME_Ranking1[[#This Row],[Closures Score (Normalized, Unweighted)]]*$X$3</f>
        <v>1.0514141520344866E-2</v>
      </c>
      <c r="AA186" s="253">
        <f>_xlfn.XLOOKUP(FME_Ranking1[[#This Row],[FME ID]],FME_Input[FME_ID],FME_Input[ROAD_MILES100])</f>
        <v>136.13397216796881</v>
      </c>
      <c r="AB186" s="178">
        <f>(FME_Ranking1[[#This Row],[Miles Raw]]/$AA$2)*100</f>
        <v>1.7899175662669933</v>
      </c>
      <c r="AC186" s="178">
        <f>FME_Ranking1[[#This Row],[Miles Score (Normalized, Unweighted)]]*$AA$3</f>
        <v>0.17899175662669933</v>
      </c>
      <c r="AD186" s="255">
        <f>_xlfn.XLOOKUP(FME_Ranking1[[#This Row],[FME ID]],FME_Input[FME_ID],FME_Input[FARMACRE100])</f>
        <v>346.02401733398438</v>
      </c>
      <c r="AE186" s="230">
        <f>(FME_Ranking1[[#This Row],[Ag Land Raw]]/$AD$2)*100</f>
        <v>1.4268481497063282E-2</v>
      </c>
      <c r="AF186" s="231">
        <f>FME_Ranking1[[#This Row],[Ag Land Score (Normalized, Unweighted)]]*$AD$3</f>
        <v>7.1342407485316419E-4</v>
      </c>
      <c r="AG18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1.6172751135995715</v>
      </c>
      <c r="AH186" s="406">
        <f t="shared" si="2"/>
        <v>180</v>
      </c>
      <c r="AI18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1.6172751135995715</v>
      </c>
      <c r="AJ186" s="257">
        <f>FME_Ranking1[[#This Row],[Addition check]]-FME_Ranking1[[#This Row],[Weighted Score Based on Normalized Reported Factors]]</f>
        <v>0</v>
      </c>
      <c r="AK186" s="178">
        <f>_xlfn.RANK.EQ(AI186,$AI$6:$AI$2341,0)+COUNTIF($AI$6:AI186,AI186)-1</f>
        <v>183</v>
      </c>
    </row>
    <row r="187" spans="1:37" ht="12" customHeight="1" x14ac:dyDescent="0.25">
      <c r="A187" t="s">
        <v>5918</v>
      </c>
      <c r="B187">
        <f>_xlfn.XLOOKUP(FME_Ranking1[[#This Row],[FME ID]],FME_Input[FME_ID],FME_Input[RFPG_NUM])</f>
        <v>5</v>
      </c>
      <c r="C187" t="str">
        <f>_xlfn.XLOOKUP(FME_Ranking1[[#This Row],[FME ID]],FME_Input[FME_ID],FME_Input[FME_NAME])</f>
        <v>Orange County Update Flood Hazard Mapping</v>
      </c>
      <c r="D187" t="str">
        <f>_xlfn.XLOOKUP(FME_Ranking1[[#This Row],[FME ID]],FME_Input[FME_ID],FME_Input[DESCR])</f>
        <v>Complete a detailed study within the county extent to delineate an updated flood hazard area, which can be used for regulatory purposes.</v>
      </c>
      <c r="E187" s="256">
        <f>_xlfn.XLOOKUP(FME_Ranking1[[#This Row],[FME ID]],FME_Input[FME_ID],FME_Input[FME_COST])</f>
        <v>760000</v>
      </c>
      <c r="F187" t="str">
        <f>_xlfn.XLOOKUP(FME_Ranking1[[#This Row],[FME ID]],FME_Input[FME_ID],FME_Input[EMER_NEED])</f>
        <v>Yes</v>
      </c>
      <c r="G187">
        <f>IF(FME_Ranking!F187="Yes",100,0)</f>
        <v>100</v>
      </c>
      <c r="H187">
        <f>FME_Ranking1[[#This Row],[Emergency Need Score (Normalized, Unweighted)]]*$F$3</f>
        <v>0</v>
      </c>
      <c r="I187" s="246">
        <f>_xlfn.XLOOKUP(FME_Ranking1[[#This Row],[FME ID]],FME_Input[FME_ID],FME_Input[STRUCT_100])</f>
        <v>5007</v>
      </c>
      <c r="J187" s="178">
        <f>(FME_Ranking1[[#This Row],[Structures 100 Raw]]/I$2)*100</f>
        <v>2.6812106413057446</v>
      </c>
      <c r="K187" s="178">
        <f>FME_Ranking1[[#This Row],[Structures 100  Score (Normalized, Unweighted)]]*$I$3</f>
        <v>0.40218159619586169</v>
      </c>
      <c r="L187" s="246">
        <f>_xlfn.XLOOKUP(FME_Ranking1[[#This Row],[FME ID]],FME_Input[FME_ID],FME_Input[RES_STRUCT100])</f>
        <v>4273</v>
      </c>
      <c r="M187" s="230">
        <f>(FME_Ranking1[[#This Row],[Res Structures Raw]]/L$2)*100</f>
        <v>3.0265897918998172</v>
      </c>
      <c r="N187" s="180">
        <f>FME_Ranking1[[#This Row],[Res Structures Score (Normalized, Unweighted)]]*$L$3</f>
        <v>0.30265897918998175</v>
      </c>
      <c r="O187" s="244">
        <f>_xlfn.XLOOKUP(FME_Ranking1[[#This Row],[FME ID]],FME_Input[FME_ID],FME_Input[POP100])</f>
        <v>11929</v>
      </c>
      <c r="P187" s="178">
        <f>(FME_Ranking1[[#This Row],[Pop Raw]]/$O$2)*100</f>
        <v>1.2212350967139571</v>
      </c>
      <c r="Q187" s="178">
        <f>FME_Ranking1[[#This Row],[Pop Score (Normalized, Unweighted)]]*$O$3</f>
        <v>0.18318526450709358</v>
      </c>
      <c r="R187" s="137">
        <f>_xlfn.XLOOKUP(FME_Ranking1[[#This Row],[FME ID]],FME_Input[FME_ID],FME_Input[CRITFAC100])</f>
        <v>36</v>
      </c>
      <c r="S187" s="230">
        <f>(FME_Ranking1[[#This Row],[Critical Facilities Raw]]/$R$2)*100</f>
        <v>1.5437392795883362</v>
      </c>
      <c r="T187" s="180">
        <f>FME_Ranking1[[#This Row],[Critical Facilities Score (Normalized, Unweighted)]]*$R$3</f>
        <v>0.30874785591766729</v>
      </c>
      <c r="U187">
        <f>_xlfn.XLOOKUP(FME_Ranking1[[#This Row],[FME ID]],FME_Input[FME_ID],FME_Input[LWC])</f>
        <v>20</v>
      </c>
      <c r="V187" s="178">
        <f>(FME_Ranking1[[#This Row],[LWC Raw]]/$U$2)*100</f>
        <v>1.1514104778353482</v>
      </c>
      <c r="W187" s="178">
        <f>FME_Ranking1[[#This Row],[LWC Score (Normalized, Unweighted)]]*$U$3</f>
        <v>0.23028209556706966</v>
      </c>
      <c r="X187" s="246">
        <f>_xlfn.XLOOKUP(FME_Ranking1[[#This Row],[FME ID]],FME_Input[FME_ID],FME_Input[ROADCLS])</f>
        <v>20</v>
      </c>
      <c r="Y187" s="230">
        <f>(FME_Ranking1[[#This Row],[Closures Raw]]/$X$2)*100</f>
        <v>0.2102828304068973</v>
      </c>
      <c r="Z187" s="180">
        <f>FME_Ranking1[[#This Row],[Closures Score (Normalized, Unweighted)]]*$X$3</f>
        <v>1.0514141520344866E-2</v>
      </c>
      <c r="AA187" s="253">
        <f>_xlfn.XLOOKUP(FME_Ranking1[[#This Row],[FME ID]],FME_Input[FME_ID],FME_Input[ROAD_MILES100])</f>
        <v>136.1341247558594</v>
      </c>
      <c r="AB187" s="178">
        <f>(FME_Ranking1[[#This Row],[Miles Raw]]/$AA$2)*100</f>
        <v>1.7899195725240753</v>
      </c>
      <c r="AC187" s="178">
        <f>FME_Ranking1[[#This Row],[Miles Score (Normalized, Unweighted)]]*$AA$3</f>
        <v>0.17899195725240755</v>
      </c>
      <c r="AD187" s="255">
        <f>_xlfn.XLOOKUP(FME_Ranking1[[#This Row],[FME ID]],FME_Input[FME_ID],FME_Input[FARMACRE100])</f>
        <v>346.0234375</v>
      </c>
      <c r="AE187" s="230">
        <f>(FME_Ranking1[[#This Row],[Ag Land Raw]]/$AD$2)*100</f>
        <v>1.4268457587305395E-2</v>
      </c>
      <c r="AF187" s="231">
        <f>FME_Ranking1[[#This Row],[Ag Land Score (Normalized, Unweighted)]]*$AD$3</f>
        <v>7.1342287936526985E-4</v>
      </c>
      <c r="AG18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1.6172753130297917</v>
      </c>
      <c r="AH187" s="406">
        <f t="shared" si="2"/>
        <v>178</v>
      </c>
      <c r="AI18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1.6172753130297917</v>
      </c>
      <c r="AJ187" s="257">
        <f>FME_Ranking1[[#This Row],[Addition check]]-FME_Ranking1[[#This Row],[Weighted Score Based on Normalized Reported Factors]]</f>
        <v>0</v>
      </c>
      <c r="AK187" s="178">
        <f>_xlfn.RANK.EQ(AI187,$AI$6:$AI$2341,0)+COUNTIF($AI$6:AI187,AI187)-1</f>
        <v>178</v>
      </c>
    </row>
    <row r="188" spans="1:37" ht="12" customHeight="1" x14ac:dyDescent="0.25">
      <c r="A188" t="s">
        <v>6158</v>
      </c>
      <c r="B188">
        <f>_xlfn.XLOOKUP(FME_Ranking1[[#This Row],[FME ID]],FME_Input[FME_ID],FME_Input[RFPG_NUM])</f>
        <v>5</v>
      </c>
      <c r="C188" t="str">
        <f>_xlfn.XLOOKUP(FME_Ranking1[[#This Row],[FME ID]],FME_Input[FME_ID],FME_Input[FME_NAME])</f>
        <v>Orange County Master Drainage Plan</v>
      </c>
      <c r="D188"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188" s="256">
        <f>_xlfn.XLOOKUP(FME_Ranking1[[#This Row],[FME ID]],FME_Input[FME_ID],FME_Input[FME_COST])</f>
        <v>450000</v>
      </c>
      <c r="F188" t="str">
        <f>_xlfn.XLOOKUP(FME_Ranking1[[#This Row],[FME ID]],FME_Input[FME_ID],FME_Input[EMER_NEED])</f>
        <v>Yes</v>
      </c>
      <c r="G188">
        <f>IF(FME_Ranking!F188="Yes",100,0)</f>
        <v>100</v>
      </c>
      <c r="H188">
        <f>FME_Ranking1[[#This Row],[Emergency Need Score (Normalized, Unweighted)]]*$F$3</f>
        <v>0</v>
      </c>
      <c r="I188" s="246">
        <f>_xlfn.XLOOKUP(FME_Ranking1[[#This Row],[FME ID]],FME_Input[FME_ID],FME_Input[STRUCT_100])</f>
        <v>5007</v>
      </c>
      <c r="J188" s="178">
        <f>(FME_Ranking1[[#This Row],[Structures 100 Raw]]/I$2)*100</f>
        <v>2.6812106413057446</v>
      </c>
      <c r="K188" s="178">
        <f>FME_Ranking1[[#This Row],[Structures 100  Score (Normalized, Unweighted)]]*$I$3</f>
        <v>0.40218159619586169</v>
      </c>
      <c r="L188" s="246">
        <f>_xlfn.XLOOKUP(FME_Ranking1[[#This Row],[FME ID]],FME_Input[FME_ID],FME_Input[RES_STRUCT100])</f>
        <v>4273</v>
      </c>
      <c r="M188" s="230">
        <f>(FME_Ranking1[[#This Row],[Res Structures Raw]]/L$2)*100</f>
        <v>3.0265897918998172</v>
      </c>
      <c r="N188" s="180">
        <f>FME_Ranking1[[#This Row],[Res Structures Score (Normalized, Unweighted)]]*$L$3</f>
        <v>0.30265897918998175</v>
      </c>
      <c r="O188" s="244">
        <f>_xlfn.XLOOKUP(FME_Ranking1[[#This Row],[FME ID]],FME_Input[FME_ID],FME_Input[POP100])</f>
        <v>11929</v>
      </c>
      <c r="P188" s="178">
        <f>(FME_Ranking1[[#This Row],[Pop Raw]]/$O$2)*100</f>
        <v>1.2212350967139571</v>
      </c>
      <c r="Q188" s="178">
        <f>FME_Ranking1[[#This Row],[Pop Score (Normalized, Unweighted)]]*$O$3</f>
        <v>0.18318526450709358</v>
      </c>
      <c r="R188" s="137">
        <f>_xlfn.XLOOKUP(FME_Ranking1[[#This Row],[FME ID]],FME_Input[FME_ID],FME_Input[CRITFAC100])</f>
        <v>36</v>
      </c>
      <c r="S188" s="230">
        <f>(FME_Ranking1[[#This Row],[Critical Facilities Raw]]/$R$2)*100</f>
        <v>1.5437392795883362</v>
      </c>
      <c r="T188" s="180">
        <f>FME_Ranking1[[#This Row],[Critical Facilities Score (Normalized, Unweighted)]]*$R$3</f>
        <v>0.30874785591766729</v>
      </c>
      <c r="U188">
        <f>_xlfn.XLOOKUP(FME_Ranking1[[#This Row],[FME ID]],FME_Input[FME_ID],FME_Input[LWC])</f>
        <v>20</v>
      </c>
      <c r="V188" s="178">
        <f>(FME_Ranking1[[#This Row],[LWC Raw]]/$U$2)*100</f>
        <v>1.1514104778353482</v>
      </c>
      <c r="W188" s="178">
        <f>FME_Ranking1[[#This Row],[LWC Score (Normalized, Unweighted)]]*$U$3</f>
        <v>0.23028209556706966</v>
      </c>
      <c r="X188" s="246">
        <f>_xlfn.XLOOKUP(FME_Ranking1[[#This Row],[FME ID]],FME_Input[FME_ID],FME_Input[ROADCLS])</f>
        <v>20</v>
      </c>
      <c r="Y188" s="230">
        <f>(FME_Ranking1[[#This Row],[Closures Raw]]/$X$2)*100</f>
        <v>0.2102828304068973</v>
      </c>
      <c r="Z188" s="180">
        <f>FME_Ranking1[[#This Row],[Closures Score (Normalized, Unweighted)]]*$X$3</f>
        <v>1.0514141520344866E-2</v>
      </c>
      <c r="AA188" s="253">
        <f>_xlfn.XLOOKUP(FME_Ranking1[[#This Row],[FME ID]],FME_Input[FME_ID],FME_Input[ROAD_MILES100])</f>
        <v>136.1341247558594</v>
      </c>
      <c r="AB188" s="178">
        <f>(FME_Ranking1[[#This Row],[Miles Raw]]/$AA$2)*100</f>
        <v>1.7899195725240753</v>
      </c>
      <c r="AC188" s="178">
        <f>FME_Ranking1[[#This Row],[Miles Score (Normalized, Unweighted)]]*$AA$3</f>
        <v>0.17899195725240755</v>
      </c>
      <c r="AD188" s="255">
        <f>_xlfn.XLOOKUP(FME_Ranking1[[#This Row],[FME ID]],FME_Input[FME_ID],FME_Input[FARMACRE100])</f>
        <v>346.0234375</v>
      </c>
      <c r="AE188" s="230">
        <f>(FME_Ranking1[[#This Row],[Ag Land Raw]]/$AD$2)*100</f>
        <v>1.4268457587305395E-2</v>
      </c>
      <c r="AF188" s="231">
        <f>FME_Ranking1[[#This Row],[Ag Land Score (Normalized, Unweighted)]]*$AD$3</f>
        <v>7.1342287936526985E-4</v>
      </c>
      <c r="AG18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1.6172753130297917</v>
      </c>
      <c r="AH188" s="406">
        <f t="shared" si="2"/>
        <v>178</v>
      </c>
      <c r="AI18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1.6172753130297917</v>
      </c>
      <c r="AJ188" s="257">
        <f>FME_Ranking1[[#This Row],[Addition check]]-FME_Ranking1[[#This Row],[Weighted Score Based on Normalized Reported Factors]]</f>
        <v>0</v>
      </c>
      <c r="AK188" s="178">
        <f>_xlfn.RANK.EQ(AI188,$AI$6:$AI$2341,0)+COUNTIF($AI$6:AI188,AI188)-1</f>
        <v>179</v>
      </c>
    </row>
    <row r="189" spans="1:37" ht="12" customHeight="1" x14ac:dyDescent="0.25">
      <c r="A189" t="s">
        <v>481</v>
      </c>
      <c r="B189">
        <f>_xlfn.XLOOKUP(FME_Ranking1[[#This Row],[FME ID]],FME_Input[FME_ID],FME_Input[RFPG_NUM])</f>
        <v>10</v>
      </c>
      <c r="C189" t="str">
        <f>_xlfn.XLOOKUP(FME_Ranking1[[#This Row],[FME ID]],FME_Input[FME_ID],FME_Input[FME_NAME])</f>
        <v>Update Flood Insurance Study &amp; Flood Insurance Rate Maps</v>
      </c>
      <c r="D189" t="str">
        <f>_xlfn.XLOOKUP(FME_Ranking1[[#This Row],[FME ID]],FME_Input[FME_ID],FME_Input[DESCR])</f>
        <v xml:space="preserve">Update flood insurance study &amp; FIRMS_x000D_
</v>
      </c>
      <c r="E189" s="256">
        <f>_xlfn.XLOOKUP(FME_Ranking1[[#This Row],[FME ID]],FME_Input[FME_ID],FME_Input[FME_COST])</f>
        <v>250000</v>
      </c>
      <c r="F189" t="str">
        <f>_xlfn.XLOOKUP(FME_Ranking1[[#This Row],[FME ID]],FME_Input[FME_ID],FME_Input[EMER_NEED])</f>
        <v>No</v>
      </c>
      <c r="G189">
        <f>IF(FME_Ranking!F189="Yes",100,0)</f>
        <v>0</v>
      </c>
      <c r="H189">
        <f>FME_Ranking1[[#This Row],[Emergency Need Score (Normalized, Unweighted)]]*$F$3</f>
        <v>0</v>
      </c>
      <c r="I189" s="246">
        <f>_xlfn.XLOOKUP(FME_Ranking1[[#This Row],[FME ID]],FME_Input[FME_ID],FME_Input[STRUCT_100])</f>
        <v>7017</v>
      </c>
      <c r="J189" s="178">
        <f>(FME_Ranking1[[#This Row],[Structures 100 Raw]]/I$2)*100</f>
        <v>3.7575504433877396</v>
      </c>
      <c r="K189" s="178">
        <f>FME_Ranking1[[#This Row],[Structures 100  Score (Normalized, Unweighted)]]*$I$3</f>
        <v>0.56363256650816096</v>
      </c>
      <c r="L189" s="246">
        <f>_xlfn.XLOOKUP(FME_Ranking1[[#This Row],[FME ID]],FME_Input[FME_ID],FME_Input[RES_STRUCT100])</f>
        <v>4945</v>
      </c>
      <c r="M189" s="230">
        <f>(FME_Ranking1[[#This Row],[Res Structures Raw]]/L$2)*100</f>
        <v>3.5025711492966525</v>
      </c>
      <c r="N189" s="180">
        <f>FME_Ranking1[[#This Row],[Res Structures Score (Normalized, Unweighted)]]*$L$3</f>
        <v>0.35025711492966527</v>
      </c>
      <c r="O189" s="244">
        <f>_xlfn.XLOOKUP(FME_Ranking1[[#This Row],[FME ID]],FME_Input[FME_ID],FME_Input[POP100])</f>
        <v>10584</v>
      </c>
      <c r="P189" s="178">
        <f>(FME_Ranking1[[#This Row],[Pop Raw]]/$O$2)*100</f>
        <v>1.0835403020890706</v>
      </c>
      <c r="Q189" s="178">
        <f>FME_Ranking1[[#This Row],[Pop Score (Normalized, Unweighted)]]*$O$3</f>
        <v>0.16253104531336057</v>
      </c>
      <c r="R189" s="137">
        <f>_xlfn.XLOOKUP(FME_Ranking1[[#This Row],[FME ID]],FME_Input[FME_ID],FME_Input[CRITFAC100])</f>
        <v>6</v>
      </c>
      <c r="S189" s="230">
        <f>(FME_Ranking1[[#This Row],[Critical Facilities Raw]]/$R$2)*100</f>
        <v>0.25728987993138941</v>
      </c>
      <c r="T189" s="180">
        <f>FME_Ranking1[[#This Row],[Critical Facilities Score (Normalized, Unweighted)]]*$R$3</f>
        <v>5.1457975986277882E-2</v>
      </c>
      <c r="U189">
        <f>_xlfn.XLOOKUP(FME_Ranking1[[#This Row],[FME ID]],FME_Input[FME_ID],FME_Input[LWC])</f>
        <v>3</v>
      </c>
      <c r="V189" s="178">
        <f>(FME_Ranking1[[#This Row],[LWC Raw]]/$U$2)*100</f>
        <v>0.17271157167530224</v>
      </c>
      <c r="W189" s="178">
        <f>FME_Ranking1[[#This Row],[LWC Score (Normalized, Unweighted)]]*$U$3</f>
        <v>3.4542314335060449E-2</v>
      </c>
      <c r="X189" s="246">
        <f>_xlfn.XLOOKUP(FME_Ranking1[[#This Row],[FME ID]],FME_Input[FME_ID],FME_Input[ROADCLS])</f>
        <v>0</v>
      </c>
      <c r="Y189" s="230">
        <f>(FME_Ranking1[[#This Row],[Closures Raw]]/$X$2)*100</f>
        <v>0</v>
      </c>
      <c r="Z189" s="180">
        <f>FME_Ranking1[[#This Row],[Closures Score (Normalized, Unweighted)]]*$X$3</f>
        <v>0</v>
      </c>
      <c r="AA189" s="253">
        <f>_xlfn.XLOOKUP(FME_Ranking1[[#This Row],[FME ID]],FME_Input[FME_ID],FME_Input[ROAD_MILES100])</f>
        <v>183.22364807128909</v>
      </c>
      <c r="AB189" s="178">
        <f>(FME_Ranking1[[#This Row],[Miles Raw]]/$AA$2)*100</f>
        <v>2.4090623450968911</v>
      </c>
      <c r="AC189" s="178">
        <f>FME_Ranking1[[#This Row],[Miles Score (Normalized, Unweighted)]]*$AA$3</f>
        <v>0.24090623450968912</v>
      </c>
      <c r="AD189" s="255">
        <f>_xlfn.XLOOKUP(FME_Ranking1[[#This Row],[FME ID]],FME_Input[FME_ID],FME_Input[FARMACRE100])</f>
        <v>124178.5234375</v>
      </c>
      <c r="AE189" s="230">
        <f>(FME_Ranking1[[#This Row],[Ag Land Raw]]/$AD$2)*100</f>
        <v>5.1205664209441819</v>
      </c>
      <c r="AF189" s="231">
        <f>FME_Ranking1[[#This Row],[Ag Land Score (Normalized, Unweighted)]]*$AD$3</f>
        <v>0.25602832104720913</v>
      </c>
      <c r="AG18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1.6593555726294233</v>
      </c>
      <c r="AH189" s="406">
        <f t="shared" si="2"/>
        <v>177</v>
      </c>
      <c r="AI18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1.6593555726294233</v>
      </c>
      <c r="AJ189" s="257">
        <f>FME_Ranking1[[#This Row],[Addition check]]-FME_Ranking1[[#This Row],[Weighted Score Based on Normalized Reported Factors]]</f>
        <v>0</v>
      </c>
      <c r="AK189" s="178">
        <f>_xlfn.RANK.EQ(AI189,$AI$6:$AI$2341,0)+COUNTIF($AI$6:AI189,AI189)-1</f>
        <v>177</v>
      </c>
    </row>
    <row r="190" spans="1:37" ht="12" customHeight="1" x14ac:dyDescent="0.25">
      <c r="A190" t="s">
        <v>1449</v>
      </c>
      <c r="B190">
        <f>_xlfn.XLOOKUP(FME_Ranking1[[#This Row],[FME ID]],FME_Input[FME_ID],FME_Input[RFPG_NUM])</f>
        <v>6</v>
      </c>
      <c r="C190" t="str">
        <f>_xlfn.XLOOKUP(FME_Ranking1[[#This Row],[FME ID]],FME_Input[FME_ID],FME_Input[FME_NAME])</f>
        <v>San Jacinto River - G103-46-00</v>
      </c>
      <c r="D190" t="str">
        <f>_xlfn.XLOOKUP(FME_Ranking1[[#This Row],[FME ID]],FME_Input[FME_ID],FME_Input[DESCR])</f>
        <v>Further study of Flood Risk Reduction need identified through the HCFCD 'Watershed Planning Tool' to determine channel modifications needed to restore/improve channel conveyance including Atlas 14 rainfall.</v>
      </c>
      <c r="E190" s="256">
        <f>_xlfn.XLOOKUP(FME_Ranking1[[#This Row],[FME ID]],FME_Input[FME_ID],FME_Input[FME_COST])</f>
        <v>1000000</v>
      </c>
      <c r="F190" t="str">
        <f>_xlfn.XLOOKUP(FME_Ranking1[[#This Row],[FME ID]],FME_Input[FME_ID],FME_Input[EMER_NEED])</f>
        <v>No</v>
      </c>
      <c r="G190">
        <f>IF(FME_Ranking!F190="Yes",100,0)</f>
        <v>0</v>
      </c>
      <c r="H190">
        <f>FME_Ranking1[[#This Row],[Emergency Need Score (Normalized, Unweighted)]]*$F$3</f>
        <v>0</v>
      </c>
      <c r="I190" s="246">
        <f>_xlfn.XLOOKUP(FME_Ranking1[[#This Row],[FME ID]],FME_Input[FME_ID],FME_Input[STRUCT_100])</f>
        <v>3840</v>
      </c>
      <c r="J190" s="178">
        <f>(FME_Ranking1[[#This Row],[Structures 100 Raw]]/I$2)*100</f>
        <v>2.0562909651715717</v>
      </c>
      <c r="K190" s="178">
        <f>FME_Ranking1[[#This Row],[Structures 100  Score (Normalized, Unweighted)]]*$I$3</f>
        <v>0.30844364477573577</v>
      </c>
      <c r="L190" s="246">
        <f>_xlfn.XLOOKUP(FME_Ranking1[[#This Row],[FME ID]],FME_Input[FME_ID],FME_Input[RES_STRUCT100])</f>
        <v>3193</v>
      </c>
      <c r="M190" s="230">
        <f>(FME_Ranking1[[#This Row],[Res Structures Raw]]/L$2)*100</f>
        <v>2.261619753226332</v>
      </c>
      <c r="N190" s="180">
        <f>FME_Ranking1[[#This Row],[Res Structures Score (Normalized, Unweighted)]]*$L$3</f>
        <v>0.22616197532263321</v>
      </c>
      <c r="O190" s="244">
        <f>_xlfn.XLOOKUP(FME_Ranking1[[#This Row],[FME ID]],FME_Input[FME_ID],FME_Input[POP100])</f>
        <v>22355</v>
      </c>
      <c r="P190" s="178">
        <f>(FME_Ranking1[[#This Row],[Pop Raw]]/$O$2)*100</f>
        <v>2.2886000995088032</v>
      </c>
      <c r="Q190" s="178">
        <f>FME_Ranking1[[#This Row],[Pop Score (Normalized, Unweighted)]]*$O$3</f>
        <v>0.34329001492632044</v>
      </c>
      <c r="R190" s="137">
        <f>_xlfn.XLOOKUP(FME_Ranking1[[#This Row],[FME ID]],FME_Input[FME_ID],FME_Input[CRITFAC100])</f>
        <v>61</v>
      </c>
      <c r="S190" s="230">
        <f>(FME_Ranking1[[#This Row],[Critical Facilities Raw]]/$R$2)*100</f>
        <v>2.6157804459691252</v>
      </c>
      <c r="T190" s="180">
        <f>FME_Ranking1[[#This Row],[Critical Facilities Score (Normalized, Unweighted)]]*$R$3</f>
        <v>0.52315608919382506</v>
      </c>
      <c r="U190">
        <f>_xlfn.XLOOKUP(FME_Ranking1[[#This Row],[FME ID]],FME_Input[FME_ID],FME_Input[LWC])</f>
        <v>1</v>
      </c>
      <c r="V190" s="178">
        <f>(FME_Ranking1[[#This Row],[LWC Raw]]/$U$2)*100</f>
        <v>5.7570523891767422E-2</v>
      </c>
      <c r="W190" s="178">
        <f>FME_Ranking1[[#This Row],[LWC Score (Normalized, Unweighted)]]*$U$3</f>
        <v>1.1514104778353485E-2</v>
      </c>
      <c r="X190" s="246">
        <f>_xlfn.XLOOKUP(FME_Ranking1[[#This Row],[FME ID]],FME_Input[FME_ID],FME_Input[ROADCLS])</f>
        <v>1</v>
      </c>
      <c r="Y190" s="230">
        <f>(FME_Ranking1[[#This Row],[Closures Raw]]/$X$2)*100</f>
        <v>1.0514141520344864E-2</v>
      </c>
      <c r="Z190" s="180">
        <f>FME_Ranking1[[#This Row],[Closures Score (Normalized, Unweighted)]]*$X$3</f>
        <v>5.2570707601724321E-4</v>
      </c>
      <c r="AA190" s="253">
        <f>_xlfn.XLOOKUP(FME_Ranking1[[#This Row],[FME ID]],FME_Input[FME_ID],FME_Input[ROAD_MILES100])</f>
        <v>81.045738220214844</v>
      </c>
      <c r="AB190" s="178">
        <f>(FME_Ranking1[[#This Row],[Miles Raw]]/$AA$2)*100</f>
        <v>1.0656060952401374</v>
      </c>
      <c r="AC190" s="178">
        <f>FME_Ranking1[[#This Row],[Miles Score (Normalized, Unweighted)]]*$AA$3</f>
        <v>0.10656060952401375</v>
      </c>
      <c r="AD190" s="255">
        <f>_xlfn.XLOOKUP(FME_Ranking1[[#This Row],[FME ID]],FME_Input[FME_ID],FME_Input[FARMACRE100])</f>
        <v>113.9549865722656</v>
      </c>
      <c r="AE190" s="230">
        <f>(FME_Ranking1[[#This Row],[Ag Land Raw]]/$AD$2)*100</f>
        <v>4.6989935263224121E-3</v>
      </c>
      <c r="AF190" s="231">
        <f>FME_Ranking1[[#This Row],[Ag Land Score (Normalized, Unweighted)]]*$AD$3</f>
        <v>2.3494967631612062E-4</v>
      </c>
      <c r="AG19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1.5198870952732149</v>
      </c>
      <c r="AH190" s="406">
        <f t="shared" si="2"/>
        <v>192</v>
      </c>
      <c r="AI19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1.5198870952732149</v>
      </c>
      <c r="AJ190" s="257">
        <f>FME_Ranking1[[#This Row],[Addition check]]-FME_Ranking1[[#This Row],[Weighted Score Based on Normalized Reported Factors]]</f>
        <v>0</v>
      </c>
      <c r="AK190" s="178">
        <f>_xlfn.RANK.EQ(AI190,$AI$6:$AI$2341,0)+COUNTIF($AI$6:AI190,AI190)-1</f>
        <v>192</v>
      </c>
    </row>
    <row r="191" spans="1:37" ht="12" customHeight="1" x14ac:dyDescent="0.25">
      <c r="A191" t="s">
        <v>1457</v>
      </c>
      <c r="B191">
        <f>_xlfn.XLOOKUP(FME_Ranking1[[#This Row],[FME ID]],FME_Input[FME_ID],FME_Input[RFPG_NUM])</f>
        <v>6</v>
      </c>
      <c r="C191" t="str">
        <f>_xlfn.XLOOKUP(FME_Ranking1[[#This Row],[FME ID]],FME_Input[FME_ID],FME_Input[FME_NAME])</f>
        <v>San Jacinto River - G103-36-00</v>
      </c>
      <c r="D191" t="str">
        <f>_xlfn.XLOOKUP(FME_Ranking1[[#This Row],[FME ID]],FME_Input[FME_ID],FME_Input[DESCR])</f>
        <v>Further study of Flood Risk Reduction need identified through the HCFCD 'Watershed Planning Tool' to determine channel modifications needed to restore/improve channel conveyance including Atlas 14 rainfall.</v>
      </c>
      <c r="E191" s="256">
        <f>_xlfn.XLOOKUP(FME_Ranking1[[#This Row],[FME ID]],FME_Input[FME_ID],FME_Input[FME_COST])</f>
        <v>1000000</v>
      </c>
      <c r="F191" t="str">
        <f>_xlfn.XLOOKUP(FME_Ranking1[[#This Row],[FME ID]],FME_Input[FME_ID],FME_Input[EMER_NEED])</f>
        <v>No</v>
      </c>
      <c r="G191">
        <f>IF(FME_Ranking!F191="Yes",100,0)</f>
        <v>0</v>
      </c>
      <c r="H191">
        <f>FME_Ranking1[[#This Row],[Emergency Need Score (Normalized, Unweighted)]]*$F$3</f>
        <v>0</v>
      </c>
      <c r="I191" s="246">
        <f>_xlfn.XLOOKUP(FME_Ranking1[[#This Row],[FME ID]],FME_Input[FME_ID],FME_Input[STRUCT_100])</f>
        <v>3840</v>
      </c>
      <c r="J191" s="178">
        <f>(FME_Ranking1[[#This Row],[Structures 100 Raw]]/I$2)*100</f>
        <v>2.0562909651715717</v>
      </c>
      <c r="K191" s="178">
        <f>FME_Ranking1[[#This Row],[Structures 100  Score (Normalized, Unweighted)]]*$I$3</f>
        <v>0.30844364477573577</v>
      </c>
      <c r="L191" s="246">
        <f>_xlfn.XLOOKUP(FME_Ranking1[[#This Row],[FME ID]],FME_Input[FME_ID],FME_Input[RES_STRUCT100])</f>
        <v>3193</v>
      </c>
      <c r="M191" s="230">
        <f>(FME_Ranking1[[#This Row],[Res Structures Raw]]/L$2)*100</f>
        <v>2.261619753226332</v>
      </c>
      <c r="N191" s="180">
        <f>FME_Ranking1[[#This Row],[Res Structures Score (Normalized, Unweighted)]]*$L$3</f>
        <v>0.22616197532263321</v>
      </c>
      <c r="O191" s="244">
        <f>_xlfn.XLOOKUP(FME_Ranking1[[#This Row],[FME ID]],FME_Input[FME_ID],FME_Input[POP100])</f>
        <v>22355</v>
      </c>
      <c r="P191" s="178">
        <f>(FME_Ranking1[[#This Row],[Pop Raw]]/$O$2)*100</f>
        <v>2.2886000995088032</v>
      </c>
      <c r="Q191" s="178">
        <f>FME_Ranking1[[#This Row],[Pop Score (Normalized, Unweighted)]]*$O$3</f>
        <v>0.34329001492632044</v>
      </c>
      <c r="R191" s="137">
        <f>_xlfn.XLOOKUP(FME_Ranking1[[#This Row],[FME ID]],FME_Input[FME_ID],FME_Input[CRITFAC100])</f>
        <v>61</v>
      </c>
      <c r="S191" s="230">
        <f>(FME_Ranking1[[#This Row],[Critical Facilities Raw]]/$R$2)*100</f>
        <v>2.6157804459691252</v>
      </c>
      <c r="T191" s="180">
        <f>FME_Ranking1[[#This Row],[Critical Facilities Score (Normalized, Unweighted)]]*$R$3</f>
        <v>0.52315608919382506</v>
      </c>
      <c r="U191">
        <f>_xlfn.XLOOKUP(FME_Ranking1[[#This Row],[FME ID]],FME_Input[FME_ID],FME_Input[LWC])</f>
        <v>1</v>
      </c>
      <c r="V191" s="178">
        <f>(FME_Ranking1[[#This Row],[LWC Raw]]/$U$2)*100</f>
        <v>5.7570523891767422E-2</v>
      </c>
      <c r="W191" s="178">
        <f>FME_Ranking1[[#This Row],[LWC Score (Normalized, Unweighted)]]*$U$3</f>
        <v>1.1514104778353485E-2</v>
      </c>
      <c r="X191" s="246">
        <f>_xlfn.XLOOKUP(FME_Ranking1[[#This Row],[FME ID]],FME_Input[FME_ID],FME_Input[ROADCLS])</f>
        <v>1</v>
      </c>
      <c r="Y191" s="230">
        <f>(FME_Ranking1[[#This Row],[Closures Raw]]/$X$2)*100</f>
        <v>1.0514141520344864E-2</v>
      </c>
      <c r="Z191" s="180">
        <f>FME_Ranking1[[#This Row],[Closures Score (Normalized, Unweighted)]]*$X$3</f>
        <v>5.2570707601724321E-4</v>
      </c>
      <c r="AA191" s="253">
        <f>_xlfn.XLOOKUP(FME_Ranking1[[#This Row],[FME ID]],FME_Input[FME_ID],FME_Input[ROAD_MILES100])</f>
        <v>81.045738220214844</v>
      </c>
      <c r="AB191" s="178">
        <f>(FME_Ranking1[[#This Row],[Miles Raw]]/$AA$2)*100</f>
        <v>1.0656060952401374</v>
      </c>
      <c r="AC191" s="178">
        <f>FME_Ranking1[[#This Row],[Miles Score (Normalized, Unweighted)]]*$AA$3</f>
        <v>0.10656060952401375</v>
      </c>
      <c r="AD191" s="255">
        <f>_xlfn.XLOOKUP(FME_Ranking1[[#This Row],[FME ID]],FME_Input[FME_ID],FME_Input[FARMACRE100])</f>
        <v>113.9549865722656</v>
      </c>
      <c r="AE191" s="230">
        <f>(FME_Ranking1[[#This Row],[Ag Land Raw]]/$AD$2)*100</f>
        <v>4.6989935263224121E-3</v>
      </c>
      <c r="AF191" s="231">
        <f>FME_Ranking1[[#This Row],[Ag Land Score (Normalized, Unweighted)]]*$AD$3</f>
        <v>2.3494967631612062E-4</v>
      </c>
      <c r="AG19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1.5198870952732149</v>
      </c>
      <c r="AH191" s="406">
        <f t="shared" si="2"/>
        <v>192</v>
      </c>
      <c r="AI19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1.5198870952732149</v>
      </c>
      <c r="AJ191" s="257">
        <f>FME_Ranking1[[#This Row],[Addition check]]-FME_Ranking1[[#This Row],[Weighted Score Based on Normalized Reported Factors]]</f>
        <v>0</v>
      </c>
      <c r="AK191" s="178">
        <f>_xlfn.RANK.EQ(AI191,$AI$6:$AI$2341,0)+COUNTIF($AI$6:AI191,AI191)-1</f>
        <v>193</v>
      </c>
    </row>
    <row r="192" spans="1:37" ht="12" customHeight="1" x14ac:dyDescent="0.25">
      <c r="A192" t="s">
        <v>8520</v>
      </c>
      <c r="B192">
        <f>_xlfn.XLOOKUP(FME_Ranking1[[#This Row],[FME ID]],FME_Input[FME_ID],FME_Input[RFPG_NUM])</f>
        <v>10</v>
      </c>
      <c r="C192" t="str">
        <f>_xlfn.XLOOKUP(FME_Ranking1[[#This Row],[FME ID]],FME_Input[FME_ID],FME_Input[FME_NAME])</f>
        <v>West Brazoria County Drainage District #11</v>
      </c>
      <c r="D192" t="str">
        <f>_xlfn.XLOOKUP(FME_Ranking1[[#This Row],[FME ID]],FME_Input[FME_ID],FME_Input[DESCR])</f>
        <v>Watershed Study</v>
      </c>
      <c r="E192" s="256">
        <f>_xlfn.XLOOKUP(FME_Ranking1[[#This Row],[FME ID]],FME_Input[FME_ID],FME_Input[FME_COST])</f>
        <v>990000</v>
      </c>
      <c r="F192" t="str">
        <f>_xlfn.XLOOKUP(FME_Ranking1[[#This Row],[FME ID]],FME_Input[FME_ID],FME_Input[EMER_NEED])</f>
        <v>No</v>
      </c>
      <c r="G192">
        <f>IF(FME_Ranking!F192="Yes",100,0)</f>
        <v>0</v>
      </c>
      <c r="H192">
        <f>FME_Ranking1[[#This Row],[Emergency Need Score (Normalized, Unweighted)]]*$F$3</f>
        <v>0</v>
      </c>
      <c r="I192" s="246">
        <f>_xlfn.XLOOKUP(FME_Ranking1[[#This Row],[FME ID]],FME_Input[FME_ID],FME_Input[STRUCT_100])</f>
        <v>7737</v>
      </c>
      <c r="J192" s="178">
        <f>(FME_Ranking1[[#This Row],[Structures 100 Raw]]/I$2)*100</f>
        <v>4.1431049993574085</v>
      </c>
      <c r="K192" s="178">
        <f>FME_Ranking1[[#This Row],[Structures 100  Score (Normalized, Unweighted)]]*$I$3</f>
        <v>0.62146574990361125</v>
      </c>
      <c r="L192" s="246">
        <f>_xlfn.XLOOKUP(FME_Ranking1[[#This Row],[FME ID]],FME_Input[FME_ID],FME_Input[RES_STRUCT100])</f>
        <v>5901</v>
      </c>
      <c r="M192" s="230">
        <f>(FME_Ranking1[[#This Row],[Res Structures Raw]]/L$2)*100</f>
        <v>4.1797112946409598</v>
      </c>
      <c r="N192" s="180">
        <f>FME_Ranking1[[#This Row],[Res Structures Score (Normalized, Unweighted)]]*$L$3</f>
        <v>0.41797112946409598</v>
      </c>
      <c r="O192" s="244">
        <f>_xlfn.XLOOKUP(FME_Ranking1[[#This Row],[FME ID]],FME_Input[FME_ID],FME_Input[POP100])</f>
        <v>11719</v>
      </c>
      <c r="P192" s="178">
        <f>(FME_Ranking1[[#This Row],[Pop Raw]]/$O$2)*100</f>
        <v>1.199736281196317</v>
      </c>
      <c r="Q192" s="178">
        <f>FME_Ranking1[[#This Row],[Pop Score (Normalized, Unweighted)]]*$O$3</f>
        <v>0.17996044217944754</v>
      </c>
      <c r="R192" s="137">
        <f>_xlfn.XLOOKUP(FME_Ranking1[[#This Row],[FME ID]],FME_Input[FME_ID],FME_Input[CRITFAC100])</f>
        <v>10</v>
      </c>
      <c r="S192" s="230">
        <f>(FME_Ranking1[[#This Row],[Critical Facilities Raw]]/$R$2)*100</f>
        <v>0.42881646655231564</v>
      </c>
      <c r="T192" s="180">
        <f>FME_Ranking1[[#This Row],[Critical Facilities Score (Normalized, Unweighted)]]*$R$3</f>
        <v>8.5763293310463132E-2</v>
      </c>
      <c r="U192">
        <f>_xlfn.XLOOKUP(FME_Ranking1[[#This Row],[FME ID]],FME_Input[FME_ID],FME_Input[LWC])</f>
        <v>2</v>
      </c>
      <c r="V192" s="178">
        <f>(FME_Ranking1[[#This Row],[LWC Raw]]/$U$2)*100</f>
        <v>0.11514104778353484</v>
      </c>
      <c r="W192" s="178">
        <f>FME_Ranking1[[#This Row],[LWC Score (Normalized, Unweighted)]]*$U$3</f>
        <v>2.302820955670697E-2</v>
      </c>
      <c r="X192" s="246">
        <f>_xlfn.XLOOKUP(FME_Ranking1[[#This Row],[FME ID]],FME_Input[FME_ID],FME_Input[ROADCLS])</f>
        <v>0</v>
      </c>
      <c r="Y192" s="230">
        <f>(FME_Ranking1[[#This Row],[Closures Raw]]/$X$2)*100</f>
        <v>0</v>
      </c>
      <c r="Z192" s="180">
        <f>FME_Ranking1[[#This Row],[Closures Score (Normalized, Unweighted)]]*$X$3</f>
        <v>0</v>
      </c>
      <c r="AA192" s="253">
        <f>_xlfn.XLOOKUP(FME_Ranking1[[#This Row],[FME ID]],FME_Input[FME_ID],FME_Input[ROAD_MILES100])</f>
        <v>219.72920227050781</v>
      </c>
      <c r="AB192" s="178">
        <f>(FME_Ranking1[[#This Row],[Miles Raw]]/$AA$2)*100</f>
        <v>2.8890449070313311</v>
      </c>
      <c r="AC192" s="178">
        <f>FME_Ranking1[[#This Row],[Miles Score (Normalized, Unweighted)]]*$AA$3</f>
        <v>0.28890449070313312</v>
      </c>
      <c r="AD192" s="255">
        <f>_xlfn.XLOOKUP(FME_Ranking1[[#This Row],[FME ID]],FME_Input[FME_ID],FME_Input[FARMACRE100])</f>
        <v>37018.33984375</v>
      </c>
      <c r="AE192" s="230">
        <f>(FME_Ranking1[[#This Row],[Ag Land Raw]]/$AD$2)*100</f>
        <v>1.5264706224213622</v>
      </c>
      <c r="AF192" s="231">
        <f>FME_Ranking1[[#This Row],[Ag Land Score (Normalized, Unweighted)]]*$AD$3</f>
        <v>7.6323531121068114E-2</v>
      </c>
      <c r="AG19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1.6934168462385262</v>
      </c>
      <c r="AH192" s="406">
        <f t="shared" si="2"/>
        <v>166</v>
      </c>
      <c r="AI19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1.6934168462385262</v>
      </c>
      <c r="AJ192" s="257">
        <f>FME_Ranking1[[#This Row],[Addition check]]-FME_Ranking1[[#This Row],[Weighted Score Based on Normalized Reported Factors]]</f>
        <v>0</v>
      </c>
      <c r="AK192" s="178">
        <f>_xlfn.RANK.EQ(AI192,$AI$6:$AI$2341,0)+COUNTIF($AI$6:AI192,AI192)-1</f>
        <v>166</v>
      </c>
    </row>
    <row r="193" spans="1:37" ht="12" customHeight="1" x14ac:dyDescent="0.25">
      <c r="A193" t="s">
        <v>1094</v>
      </c>
      <c r="B193">
        <f>_xlfn.XLOOKUP(FME_Ranking1[[#This Row],[FME ID]],FME_Input[FME_ID],FME_Input[RFPG_NUM])</f>
        <v>6</v>
      </c>
      <c r="C193" t="str">
        <f>_xlfn.XLOOKUP(FME_Ranking1[[#This Row],[FME ID]],FME_Input[FME_ID],FME_Input[FME_NAME])</f>
        <v>City of League City - Kansas Street Drainage</v>
      </c>
      <c r="D193" t="str">
        <f>_xlfn.XLOOKUP(FME_Ranking1[[#This Row],[FME ID]],FME_Input[FME_ID],FME_Input[DESCR])</f>
        <v>Further study and FMP development of proposed street drainage modifications to Kansas Street.</v>
      </c>
      <c r="E193" s="256">
        <f>_xlfn.XLOOKUP(FME_Ranking1[[#This Row],[FME ID]],FME_Input[FME_ID],FME_Input[FME_COST])</f>
        <v>580000</v>
      </c>
      <c r="F193" t="str">
        <f>_xlfn.XLOOKUP(FME_Ranking1[[#This Row],[FME ID]],FME_Input[FME_ID],FME_Input[EMER_NEED])</f>
        <v>No</v>
      </c>
      <c r="G193">
        <f>IF(FME_Ranking!F193="Yes",100,0)</f>
        <v>0</v>
      </c>
      <c r="H193">
        <f>FME_Ranking1[[#This Row],[Emergency Need Score (Normalized, Unweighted)]]*$F$3</f>
        <v>0</v>
      </c>
      <c r="I193" s="246">
        <f>_xlfn.XLOOKUP(FME_Ranking1[[#This Row],[FME ID]],FME_Input[FME_ID],FME_Input[STRUCT_100])</f>
        <v>5251</v>
      </c>
      <c r="J193" s="178">
        <f>(FME_Ranking1[[#This Row],[Structures 100 Raw]]/I$2)*100</f>
        <v>2.8118707963843548</v>
      </c>
      <c r="K193" s="178">
        <f>FME_Ranking1[[#This Row],[Structures 100  Score (Normalized, Unweighted)]]*$I$3</f>
        <v>0.42178061945765322</v>
      </c>
      <c r="L193" s="246">
        <f>_xlfn.XLOOKUP(FME_Ranking1[[#This Row],[FME ID]],FME_Input[FME_ID],FME_Input[RES_STRUCT100])</f>
        <v>4835</v>
      </c>
      <c r="M193" s="230">
        <f>(FME_Ranking1[[#This Row],[Res Structures Raw]]/L$2)*100</f>
        <v>3.4246575342465753</v>
      </c>
      <c r="N193" s="180">
        <f>FME_Ranking1[[#This Row],[Res Structures Score (Normalized, Unweighted)]]*$L$3</f>
        <v>0.34246575342465757</v>
      </c>
      <c r="O193" s="244">
        <f>_xlfn.XLOOKUP(FME_Ranking1[[#This Row],[FME ID]],FME_Input[FME_ID],FME_Input[POP100])</f>
        <v>20978</v>
      </c>
      <c r="P193" s="178">
        <f>(FME_Ranking1[[#This Row],[Pop Raw]]/$O$2)*100</f>
        <v>2.1476292949002764</v>
      </c>
      <c r="Q193" s="178">
        <f>FME_Ranking1[[#This Row],[Pop Score (Normalized, Unweighted)]]*$O$3</f>
        <v>0.32214439423504143</v>
      </c>
      <c r="R193" s="137">
        <f>_xlfn.XLOOKUP(FME_Ranking1[[#This Row],[FME ID]],FME_Input[FME_ID],FME_Input[CRITFAC100])</f>
        <v>25</v>
      </c>
      <c r="S193" s="230">
        <f>(FME_Ranking1[[#This Row],[Critical Facilities Raw]]/$R$2)*100</f>
        <v>1.0720411663807889</v>
      </c>
      <c r="T193" s="180">
        <f>FME_Ranking1[[#This Row],[Critical Facilities Score (Normalized, Unweighted)]]*$R$3</f>
        <v>0.21440823327615779</v>
      </c>
      <c r="U193">
        <f>_xlfn.XLOOKUP(FME_Ranking1[[#This Row],[FME ID]],FME_Input[FME_ID],FME_Input[LWC])</f>
        <v>2</v>
      </c>
      <c r="V193" s="178">
        <f>(FME_Ranking1[[#This Row],[LWC Raw]]/$U$2)*100</f>
        <v>0.11514104778353484</v>
      </c>
      <c r="W193" s="178">
        <f>FME_Ranking1[[#This Row],[LWC Score (Normalized, Unweighted)]]*$U$3</f>
        <v>2.302820955670697E-2</v>
      </c>
      <c r="X193" s="246">
        <f>_xlfn.XLOOKUP(FME_Ranking1[[#This Row],[FME ID]],FME_Input[FME_ID],FME_Input[ROADCLS])</f>
        <v>2</v>
      </c>
      <c r="Y193" s="230">
        <f>(FME_Ranking1[[#This Row],[Closures Raw]]/$X$2)*100</f>
        <v>2.1028283040689728E-2</v>
      </c>
      <c r="Z193" s="180">
        <f>FME_Ranking1[[#This Row],[Closures Score (Normalized, Unweighted)]]*$X$3</f>
        <v>1.0514141520344864E-3</v>
      </c>
      <c r="AA193" s="253">
        <f>_xlfn.XLOOKUP(FME_Ranking1[[#This Row],[FME ID]],FME_Input[FME_ID],FME_Input[ROAD_MILES100])</f>
        <v>104.5637283325195</v>
      </c>
      <c r="AB193" s="178">
        <f>(FME_Ranking1[[#This Row],[Miles Raw]]/$AA$2)*100</f>
        <v>1.3748254837214222</v>
      </c>
      <c r="AC193" s="178">
        <f>FME_Ranking1[[#This Row],[Miles Score (Normalized, Unweighted)]]*$AA$3</f>
        <v>0.13748254837214222</v>
      </c>
      <c r="AD193" s="255">
        <f>_xlfn.XLOOKUP(FME_Ranking1[[#This Row],[FME ID]],FME_Input[FME_ID],FME_Input[FARMACRE100])</f>
        <v>1308.191162109375</v>
      </c>
      <c r="AE193" s="230">
        <f>(FME_Ranking1[[#This Row],[Ag Land Raw]]/$AD$2)*100</f>
        <v>5.3943947402826938E-2</v>
      </c>
      <c r="AF193" s="231">
        <f>FME_Ranking1[[#This Row],[Ag Land Score (Normalized, Unweighted)]]*$AD$3</f>
        <v>2.697197370141347E-3</v>
      </c>
      <c r="AG19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1.4650583698445352</v>
      </c>
      <c r="AH193" s="406">
        <f t="shared" si="2"/>
        <v>195</v>
      </c>
      <c r="AI19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1.4650583698445352</v>
      </c>
      <c r="AJ193" s="257">
        <f>FME_Ranking1[[#This Row],[Addition check]]-FME_Ranking1[[#This Row],[Weighted Score Based on Normalized Reported Factors]]</f>
        <v>0</v>
      </c>
      <c r="AK193" s="178">
        <f>_xlfn.RANK.EQ(AI193,$AI$6:$AI$2341,0)+COUNTIF($AI$6:AI193,AI193)-1</f>
        <v>195</v>
      </c>
    </row>
    <row r="194" spans="1:37" ht="12" customHeight="1" x14ac:dyDescent="0.25">
      <c r="A194" t="s">
        <v>1115</v>
      </c>
      <c r="B194">
        <f>_xlfn.XLOOKUP(FME_Ranking1[[#This Row],[FME ID]],FME_Input[FME_ID],FME_Input[RFPG_NUM])</f>
        <v>6</v>
      </c>
      <c r="C194" t="str">
        <f>_xlfn.XLOOKUP(FME_Ranking1[[#This Row],[FME ID]],FME_Input[FME_ID],FME_Input[FME_NAME])</f>
        <v>League City - Stormwater Drainage Improvement- Interurban &amp; Newport ditch</v>
      </c>
      <c r="D194" t="str">
        <f>_xlfn.XLOOKUP(FME_Ranking1[[#This Row],[FME ID]],FME_Input[FME_ID],FME_Input[DESCR])</f>
        <v>Further study of proposed slope paving (concrete lining) improvements.</v>
      </c>
      <c r="E194" s="256">
        <f>_xlfn.XLOOKUP(FME_Ranking1[[#This Row],[FME ID]],FME_Input[FME_ID],FME_Input[FME_COST])</f>
        <v>50000</v>
      </c>
      <c r="F194" t="str">
        <f>_xlfn.XLOOKUP(FME_Ranking1[[#This Row],[FME ID]],FME_Input[FME_ID],FME_Input[EMER_NEED])</f>
        <v>No</v>
      </c>
      <c r="G194">
        <f>IF(FME_Ranking!F194="Yes",100,0)</f>
        <v>0</v>
      </c>
      <c r="H194">
        <f>FME_Ranking1[[#This Row],[Emergency Need Score (Normalized, Unweighted)]]*$F$3</f>
        <v>0</v>
      </c>
      <c r="I194" s="246">
        <f>_xlfn.XLOOKUP(FME_Ranking1[[#This Row],[FME ID]],FME_Input[FME_ID],FME_Input[STRUCT_100])</f>
        <v>5251</v>
      </c>
      <c r="J194" s="178">
        <f>(FME_Ranking1[[#This Row],[Structures 100 Raw]]/I$2)*100</f>
        <v>2.8118707963843548</v>
      </c>
      <c r="K194" s="178">
        <f>FME_Ranking1[[#This Row],[Structures 100  Score (Normalized, Unweighted)]]*$I$3</f>
        <v>0.42178061945765322</v>
      </c>
      <c r="L194" s="246">
        <f>_xlfn.XLOOKUP(FME_Ranking1[[#This Row],[FME ID]],FME_Input[FME_ID],FME_Input[RES_STRUCT100])</f>
        <v>4835</v>
      </c>
      <c r="M194" s="230">
        <f>(FME_Ranking1[[#This Row],[Res Structures Raw]]/L$2)*100</f>
        <v>3.4246575342465753</v>
      </c>
      <c r="N194" s="180">
        <f>FME_Ranking1[[#This Row],[Res Structures Score (Normalized, Unweighted)]]*$L$3</f>
        <v>0.34246575342465757</v>
      </c>
      <c r="O194" s="244">
        <f>_xlfn.XLOOKUP(FME_Ranking1[[#This Row],[FME ID]],FME_Input[FME_ID],FME_Input[POP100])</f>
        <v>20978</v>
      </c>
      <c r="P194" s="178">
        <f>(FME_Ranking1[[#This Row],[Pop Raw]]/$O$2)*100</f>
        <v>2.1476292949002764</v>
      </c>
      <c r="Q194" s="178">
        <f>FME_Ranking1[[#This Row],[Pop Score (Normalized, Unweighted)]]*$O$3</f>
        <v>0.32214439423504143</v>
      </c>
      <c r="R194" s="137">
        <f>_xlfn.XLOOKUP(FME_Ranking1[[#This Row],[FME ID]],FME_Input[FME_ID],FME_Input[CRITFAC100])</f>
        <v>25</v>
      </c>
      <c r="S194" s="230">
        <f>(FME_Ranking1[[#This Row],[Critical Facilities Raw]]/$R$2)*100</f>
        <v>1.0720411663807889</v>
      </c>
      <c r="T194" s="180">
        <f>FME_Ranking1[[#This Row],[Critical Facilities Score (Normalized, Unweighted)]]*$R$3</f>
        <v>0.21440823327615779</v>
      </c>
      <c r="U194">
        <f>_xlfn.XLOOKUP(FME_Ranking1[[#This Row],[FME ID]],FME_Input[FME_ID],FME_Input[LWC])</f>
        <v>2</v>
      </c>
      <c r="V194" s="178">
        <f>(FME_Ranking1[[#This Row],[LWC Raw]]/$U$2)*100</f>
        <v>0.11514104778353484</v>
      </c>
      <c r="W194" s="178">
        <f>FME_Ranking1[[#This Row],[LWC Score (Normalized, Unweighted)]]*$U$3</f>
        <v>2.302820955670697E-2</v>
      </c>
      <c r="X194" s="246">
        <f>_xlfn.XLOOKUP(FME_Ranking1[[#This Row],[FME ID]],FME_Input[FME_ID],FME_Input[ROADCLS])</f>
        <v>2</v>
      </c>
      <c r="Y194" s="230">
        <f>(FME_Ranking1[[#This Row],[Closures Raw]]/$X$2)*100</f>
        <v>2.1028283040689728E-2</v>
      </c>
      <c r="Z194" s="180">
        <f>FME_Ranking1[[#This Row],[Closures Score (Normalized, Unweighted)]]*$X$3</f>
        <v>1.0514141520344864E-3</v>
      </c>
      <c r="AA194" s="253">
        <f>_xlfn.XLOOKUP(FME_Ranking1[[#This Row],[FME ID]],FME_Input[FME_ID],FME_Input[ROAD_MILES100])</f>
        <v>104.5637283325195</v>
      </c>
      <c r="AB194" s="178">
        <f>(FME_Ranking1[[#This Row],[Miles Raw]]/$AA$2)*100</f>
        <v>1.3748254837214222</v>
      </c>
      <c r="AC194" s="178">
        <f>FME_Ranking1[[#This Row],[Miles Score (Normalized, Unweighted)]]*$AA$3</f>
        <v>0.13748254837214222</v>
      </c>
      <c r="AD194" s="255">
        <f>_xlfn.XLOOKUP(FME_Ranking1[[#This Row],[FME ID]],FME_Input[FME_ID],FME_Input[FARMACRE100])</f>
        <v>1308.191162109375</v>
      </c>
      <c r="AE194" s="230">
        <f>(FME_Ranking1[[#This Row],[Ag Land Raw]]/$AD$2)*100</f>
        <v>5.3943947402826938E-2</v>
      </c>
      <c r="AF194" s="231">
        <f>FME_Ranking1[[#This Row],[Ag Land Score (Normalized, Unweighted)]]*$AD$3</f>
        <v>2.697197370141347E-3</v>
      </c>
      <c r="AG19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1.4650583698445352</v>
      </c>
      <c r="AH194" s="406">
        <f t="shared" si="2"/>
        <v>195</v>
      </c>
      <c r="AI19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1.4650583698445352</v>
      </c>
      <c r="AJ194" s="257">
        <f>FME_Ranking1[[#This Row],[Addition check]]-FME_Ranking1[[#This Row],[Weighted Score Based on Normalized Reported Factors]]</f>
        <v>0</v>
      </c>
      <c r="AK194" s="178">
        <f>_xlfn.RANK.EQ(AI194,$AI$6:$AI$2341,0)+COUNTIF($AI$6:AI194,AI194)-1</f>
        <v>196</v>
      </c>
    </row>
    <row r="195" spans="1:37" ht="12" customHeight="1" x14ac:dyDescent="0.25">
      <c r="A195" t="s">
        <v>1131</v>
      </c>
      <c r="B195">
        <f>_xlfn.XLOOKUP(FME_Ranking1[[#This Row],[FME ID]],FME_Input[FME_ID],FME_Input[RFPG_NUM])</f>
        <v>6</v>
      </c>
      <c r="C195" t="str">
        <f>_xlfn.XLOOKUP(FME_Ranking1[[#This Row],[FME ID]],FME_Input[FME_ID],FME_Input[FME_NAME])</f>
        <v>Highland Terrace Drainage</v>
      </c>
      <c r="D195" t="str">
        <f>_xlfn.XLOOKUP(FME_Ranking1[[#This Row],[FME ID]],FME_Input[FME_ID],FME_Input[DESCR])</f>
        <v>Further study of slope paving a portion of the drainage ditch north of FM 518, with probable wetland mitigation and lowering pavement section of Highland Terrace Drive.</v>
      </c>
      <c r="E195" s="256">
        <f>_xlfn.XLOOKUP(FME_Ranking1[[#This Row],[FME ID]],FME_Input[FME_ID],FME_Input[FME_COST])</f>
        <v>190000</v>
      </c>
      <c r="F195" t="str">
        <f>_xlfn.XLOOKUP(FME_Ranking1[[#This Row],[FME ID]],FME_Input[FME_ID],FME_Input[EMER_NEED])</f>
        <v>No</v>
      </c>
      <c r="G195">
        <f>IF(FME_Ranking!F195="Yes",100,0)</f>
        <v>0</v>
      </c>
      <c r="H195">
        <f>FME_Ranking1[[#This Row],[Emergency Need Score (Normalized, Unweighted)]]*$F$3</f>
        <v>0</v>
      </c>
      <c r="I195" s="246">
        <f>_xlfn.XLOOKUP(FME_Ranking1[[#This Row],[FME ID]],FME_Input[FME_ID],FME_Input[STRUCT_100])</f>
        <v>5251</v>
      </c>
      <c r="J195" s="178">
        <f>(FME_Ranking1[[#This Row],[Structures 100 Raw]]/I$2)*100</f>
        <v>2.8118707963843548</v>
      </c>
      <c r="K195" s="178">
        <f>FME_Ranking1[[#This Row],[Structures 100  Score (Normalized, Unweighted)]]*$I$3</f>
        <v>0.42178061945765322</v>
      </c>
      <c r="L195" s="246">
        <f>_xlfn.XLOOKUP(FME_Ranking1[[#This Row],[FME ID]],FME_Input[FME_ID],FME_Input[RES_STRUCT100])</f>
        <v>4835</v>
      </c>
      <c r="M195" s="230">
        <f>(FME_Ranking1[[#This Row],[Res Structures Raw]]/L$2)*100</f>
        <v>3.4246575342465753</v>
      </c>
      <c r="N195" s="180">
        <f>FME_Ranking1[[#This Row],[Res Structures Score (Normalized, Unweighted)]]*$L$3</f>
        <v>0.34246575342465757</v>
      </c>
      <c r="O195" s="244">
        <f>_xlfn.XLOOKUP(FME_Ranking1[[#This Row],[FME ID]],FME_Input[FME_ID],FME_Input[POP100])</f>
        <v>20978</v>
      </c>
      <c r="P195" s="178">
        <f>(FME_Ranking1[[#This Row],[Pop Raw]]/$O$2)*100</f>
        <v>2.1476292949002764</v>
      </c>
      <c r="Q195" s="178">
        <f>FME_Ranking1[[#This Row],[Pop Score (Normalized, Unweighted)]]*$O$3</f>
        <v>0.32214439423504143</v>
      </c>
      <c r="R195" s="137">
        <f>_xlfn.XLOOKUP(FME_Ranking1[[#This Row],[FME ID]],FME_Input[FME_ID],FME_Input[CRITFAC100])</f>
        <v>25</v>
      </c>
      <c r="S195" s="230">
        <f>(FME_Ranking1[[#This Row],[Critical Facilities Raw]]/$R$2)*100</f>
        <v>1.0720411663807889</v>
      </c>
      <c r="T195" s="180">
        <f>FME_Ranking1[[#This Row],[Critical Facilities Score (Normalized, Unweighted)]]*$R$3</f>
        <v>0.21440823327615779</v>
      </c>
      <c r="U195">
        <f>_xlfn.XLOOKUP(FME_Ranking1[[#This Row],[FME ID]],FME_Input[FME_ID],FME_Input[LWC])</f>
        <v>2</v>
      </c>
      <c r="V195" s="178">
        <f>(FME_Ranking1[[#This Row],[LWC Raw]]/$U$2)*100</f>
        <v>0.11514104778353484</v>
      </c>
      <c r="W195" s="178">
        <f>FME_Ranking1[[#This Row],[LWC Score (Normalized, Unweighted)]]*$U$3</f>
        <v>2.302820955670697E-2</v>
      </c>
      <c r="X195" s="246">
        <f>_xlfn.XLOOKUP(FME_Ranking1[[#This Row],[FME ID]],FME_Input[FME_ID],FME_Input[ROADCLS])</f>
        <v>2</v>
      </c>
      <c r="Y195" s="230">
        <f>(FME_Ranking1[[#This Row],[Closures Raw]]/$X$2)*100</f>
        <v>2.1028283040689728E-2</v>
      </c>
      <c r="Z195" s="180">
        <f>FME_Ranking1[[#This Row],[Closures Score (Normalized, Unweighted)]]*$X$3</f>
        <v>1.0514141520344864E-3</v>
      </c>
      <c r="AA195" s="253">
        <f>_xlfn.XLOOKUP(FME_Ranking1[[#This Row],[FME ID]],FME_Input[FME_ID],FME_Input[ROAD_MILES100])</f>
        <v>104.5637283325195</v>
      </c>
      <c r="AB195" s="178">
        <f>(FME_Ranking1[[#This Row],[Miles Raw]]/$AA$2)*100</f>
        <v>1.3748254837214222</v>
      </c>
      <c r="AC195" s="178">
        <f>FME_Ranking1[[#This Row],[Miles Score (Normalized, Unweighted)]]*$AA$3</f>
        <v>0.13748254837214222</v>
      </c>
      <c r="AD195" s="255">
        <f>_xlfn.XLOOKUP(FME_Ranking1[[#This Row],[FME ID]],FME_Input[FME_ID],FME_Input[FARMACRE100])</f>
        <v>1308.191162109375</v>
      </c>
      <c r="AE195" s="230">
        <f>(FME_Ranking1[[#This Row],[Ag Land Raw]]/$AD$2)*100</f>
        <v>5.3943947402826938E-2</v>
      </c>
      <c r="AF195" s="231">
        <f>FME_Ranking1[[#This Row],[Ag Land Score (Normalized, Unweighted)]]*$AD$3</f>
        <v>2.697197370141347E-3</v>
      </c>
      <c r="AG19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1.4650583698445352</v>
      </c>
      <c r="AH195" s="406">
        <f t="shared" si="2"/>
        <v>195</v>
      </c>
      <c r="AI19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1.4650583698445352</v>
      </c>
      <c r="AJ195" s="257">
        <f>FME_Ranking1[[#This Row],[Addition check]]-FME_Ranking1[[#This Row],[Weighted Score Based on Normalized Reported Factors]]</f>
        <v>0</v>
      </c>
      <c r="AK195" s="178">
        <f>_xlfn.RANK.EQ(AI195,$AI$6:$AI$2341,0)+COUNTIF($AI$6:AI195,AI195)-1</f>
        <v>197</v>
      </c>
    </row>
    <row r="196" spans="1:37" ht="12" customHeight="1" x14ac:dyDescent="0.25">
      <c r="A196" t="s">
        <v>1143</v>
      </c>
      <c r="B196">
        <f>_xlfn.XLOOKUP(FME_Ranking1[[#This Row],[FME ID]],FME_Input[FME_ID],FME_Input[RFPG_NUM])</f>
        <v>6</v>
      </c>
      <c r="C196" t="str">
        <f>_xlfn.XLOOKUP(FME_Ranking1[[#This Row],[FME ID]],FME_Input[FME_ID],FME_Input[FME_NAME])</f>
        <v>Stormwater Drainage Improvement- Nottingham ditch</v>
      </c>
      <c r="D196" t="str">
        <f>_xlfn.XLOOKUP(FME_Ranking1[[#This Row],[FME ID]],FME_Input[FME_ID],FME_Input[DESCR])</f>
        <v>Further study of proposed slope paving (concrete lining) improvements. Still in planning, consultant hired. Design complete and pending construction funding.</v>
      </c>
      <c r="E196" s="256">
        <f>_xlfn.XLOOKUP(FME_Ranking1[[#This Row],[FME ID]],FME_Input[FME_ID],FME_Input[FME_COST])</f>
        <v>50000</v>
      </c>
      <c r="F196" t="str">
        <f>_xlfn.XLOOKUP(FME_Ranking1[[#This Row],[FME ID]],FME_Input[FME_ID],FME_Input[EMER_NEED])</f>
        <v>No</v>
      </c>
      <c r="G196">
        <f>IF(FME_Ranking!F196="Yes",100,0)</f>
        <v>0</v>
      </c>
      <c r="H196">
        <f>FME_Ranking1[[#This Row],[Emergency Need Score (Normalized, Unweighted)]]*$F$3</f>
        <v>0</v>
      </c>
      <c r="I196" s="246">
        <f>_xlfn.XLOOKUP(FME_Ranking1[[#This Row],[FME ID]],FME_Input[FME_ID],FME_Input[STRUCT_100])</f>
        <v>5251</v>
      </c>
      <c r="J196" s="178">
        <f>(FME_Ranking1[[#This Row],[Structures 100 Raw]]/I$2)*100</f>
        <v>2.8118707963843548</v>
      </c>
      <c r="K196" s="178">
        <f>FME_Ranking1[[#This Row],[Structures 100  Score (Normalized, Unweighted)]]*$I$3</f>
        <v>0.42178061945765322</v>
      </c>
      <c r="L196" s="246">
        <f>_xlfn.XLOOKUP(FME_Ranking1[[#This Row],[FME ID]],FME_Input[FME_ID],FME_Input[RES_STRUCT100])</f>
        <v>4835</v>
      </c>
      <c r="M196" s="230">
        <f>(FME_Ranking1[[#This Row],[Res Structures Raw]]/L$2)*100</f>
        <v>3.4246575342465753</v>
      </c>
      <c r="N196" s="180">
        <f>FME_Ranking1[[#This Row],[Res Structures Score (Normalized, Unweighted)]]*$L$3</f>
        <v>0.34246575342465757</v>
      </c>
      <c r="O196" s="244">
        <f>_xlfn.XLOOKUP(FME_Ranking1[[#This Row],[FME ID]],FME_Input[FME_ID],FME_Input[POP100])</f>
        <v>20978</v>
      </c>
      <c r="P196" s="178">
        <f>(FME_Ranking1[[#This Row],[Pop Raw]]/$O$2)*100</f>
        <v>2.1476292949002764</v>
      </c>
      <c r="Q196" s="178">
        <f>FME_Ranking1[[#This Row],[Pop Score (Normalized, Unweighted)]]*$O$3</f>
        <v>0.32214439423504143</v>
      </c>
      <c r="R196" s="137">
        <f>_xlfn.XLOOKUP(FME_Ranking1[[#This Row],[FME ID]],FME_Input[FME_ID],FME_Input[CRITFAC100])</f>
        <v>25</v>
      </c>
      <c r="S196" s="230">
        <f>(FME_Ranking1[[#This Row],[Critical Facilities Raw]]/$R$2)*100</f>
        <v>1.0720411663807889</v>
      </c>
      <c r="T196" s="180">
        <f>FME_Ranking1[[#This Row],[Critical Facilities Score (Normalized, Unweighted)]]*$R$3</f>
        <v>0.21440823327615779</v>
      </c>
      <c r="U196">
        <f>_xlfn.XLOOKUP(FME_Ranking1[[#This Row],[FME ID]],FME_Input[FME_ID],FME_Input[LWC])</f>
        <v>2</v>
      </c>
      <c r="V196" s="178">
        <f>(FME_Ranking1[[#This Row],[LWC Raw]]/$U$2)*100</f>
        <v>0.11514104778353484</v>
      </c>
      <c r="W196" s="178">
        <f>FME_Ranking1[[#This Row],[LWC Score (Normalized, Unweighted)]]*$U$3</f>
        <v>2.302820955670697E-2</v>
      </c>
      <c r="X196" s="246">
        <f>_xlfn.XLOOKUP(FME_Ranking1[[#This Row],[FME ID]],FME_Input[FME_ID],FME_Input[ROADCLS])</f>
        <v>2</v>
      </c>
      <c r="Y196" s="230">
        <f>(FME_Ranking1[[#This Row],[Closures Raw]]/$X$2)*100</f>
        <v>2.1028283040689728E-2</v>
      </c>
      <c r="Z196" s="180">
        <f>FME_Ranking1[[#This Row],[Closures Score (Normalized, Unweighted)]]*$X$3</f>
        <v>1.0514141520344864E-3</v>
      </c>
      <c r="AA196" s="253">
        <f>_xlfn.XLOOKUP(FME_Ranking1[[#This Row],[FME ID]],FME_Input[FME_ID],FME_Input[ROAD_MILES100])</f>
        <v>104.5637283325195</v>
      </c>
      <c r="AB196" s="178">
        <f>(FME_Ranking1[[#This Row],[Miles Raw]]/$AA$2)*100</f>
        <v>1.3748254837214222</v>
      </c>
      <c r="AC196" s="178">
        <f>FME_Ranking1[[#This Row],[Miles Score (Normalized, Unweighted)]]*$AA$3</f>
        <v>0.13748254837214222</v>
      </c>
      <c r="AD196" s="255">
        <f>_xlfn.XLOOKUP(FME_Ranking1[[#This Row],[FME ID]],FME_Input[FME_ID],FME_Input[FARMACRE100])</f>
        <v>1308.191162109375</v>
      </c>
      <c r="AE196" s="230">
        <f>(FME_Ranking1[[#This Row],[Ag Land Raw]]/$AD$2)*100</f>
        <v>5.3943947402826938E-2</v>
      </c>
      <c r="AF196" s="231">
        <f>FME_Ranking1[[#This Row],[Ag Land Score (Normalized, Unweighted)]]*$AD$3</f>
        <v>2.697197370141347E-3</v>
      </c>
      <c r="AG19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1.4650583698445352</v>
      </c>
      <c r="AH196" s="406">
        <f t="shared" si="2"/>
        <v>195</v>
      </c>
      <c r="AI19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1.4650583698445352</v>
      </c>
      <c r="AJ196" s="257">
        <f>FME_Ranking1[[#This Row],[Addition check]]-FME_Ranking1[[#This Row],[Weighted Score Based on Normalized Reported Factors]]</f>
        <v>0</v>
      </c>
      <c r="AK196" s="178">
        <f>_xlfn.RANK.EQ(AI196,$AI$6:$AI$2341,0)+COUNTIF($AI$6:AI196,AI196)-1</f>
        <v>198</v>
      </c>
    </row>
    <row r="197" spans="1:37" ht="12" customHeight="1" x14ac:dyDescent="0.25">
      <c r="A197" t="s">
        <v>1149</v>
      </c>
      <c r="B197">
        <f>_xlfn.XLOOKUP(FME_Ranking1[[#This Row],[FME ID]],FME_Input[FME_ID],FME_Input[RFPG_NUM])</f>
        <v>6</v>
      </c>
      <c r="C197" t="str">
        <f>_xlfn.XLOOKUP(FME_Ranking1[[#This Row],[FME ID]],FME_Input[FME_ID],FME_Input[FME_NAME])</f>
        <v>Shellside Drainage Improvements</v>
      </c>
      <c r="D197" t="str">
        <f>_xlfn.XLOOKUP(FME_Ranking1[[#This Row],[FME ID]],FME_Input[FME_ID],FME_Input[DESCR])</f>
        <v>Further study of proposed drainage improvements to Shellside.</v>
      </c>
      <c r="E197" s="256">
        <f>_xlfn.XLOOKUP(FME_Ranking1[[#This Row],[FME ID]],FME_Input[FME_ID],FME_Input[FME_COST])</f>
        <v>580000</v>
      </c>
      <c r="F197" t="str">
        <f>_xlfn.XLOOKUP(FME_Ranking1[[#This Row],[FME ID]],FME_Input[FME_ID],FME_Input[EMER_NEED])</f>
        <v>No</v>
      </c>
      <c r="G197">
        <f>IF(FME_Ranking!F197="Yes",100,0)</f>
        <v>0</v>
      </c>
      <c r="H197">
        <f>FME_Ranking1[[#This Row],[Emergency Need Score (Normalized, Unweighted)]]*$F$3</f>
        <v>0</v>
      </c>
      <c r="I197" s="246">
        <f>_xlfn.XLOOKUP(FME_Ranking1[[#This Row],[FME ID]],FME_Input[FME_ID],FME_Input[STRUCT_100])</f>
        <v>5251</v>
      </c>
      <c r="J197" s="178">
        <f>(FME_Ranking1[[#This Row],[Structures 100 Raw]]/I$2)*100</f>
        <v>2.8118707963843548</v>
      </c>
      <c r="K197" s="178">
        <f>FME_Ranking1[[#This Row],[Structures 100  Score (Normalized, Unweighted)]]*$I$3</f>
        <v>0.42178061945765322</v>
      </c>
      <c r="L197" s="246">
        <f>_xlfn.XLOOKUP(FME_Ranking1[[#This Row],[FME ID]],FME_Input[FME_ID],FME_Input[RES_STRUCT100])</f>
        <v>4835</v>
      </c>
      <c r="M197" s="230">
        <f>(FME_Ranking1[[#This Row],[Res Structures Raw]]/L$2)*100</f>
        <v>3.4246575342465753</v>
      </c>
      <c r="N197" s="180">
        <f>FME_Ranking1[[#This Row],[Res Structures Score (Normalized, Unweighted)]]*$L$3</f>
        <v>0.34246575342465757</v>
      </c>
      <c r="O197" s="244">
        <f>_xlfn.XLOOKUP(FME_Ranking1[[#This Row],[FME ID]],FME_Input[FME_ID],FME_Input[POP100])</f>
        <v>20978</v>
      </c>
      <c r="P197" s="178">
        <f>(FME_Ranking1[[#This Row],[Pop Raw]]/$O$2)*100</f>
        <v>2.1476292949002764</v>
      </c>
      <c r="Q197" s="178">
        <f>FME_Ranking1[[#This Row],[Pop Score (Normalized, Unweighted)]]*$O$3</f>
        <v>0.32214439423504143</v>
      </c>
      <c r="R197" s="137">
        <f>_xlfn.XLOOKUP(FME_Ranking1[[#This Row],[FME ID]],FME_Input[FME_ID],FME_Input[CRITFAC100])</f>
        <v>25</v>
      </c>
      <c r="S197" s="230">
        <f>(FME_Ranking1[[#This Row],[Critical Facilities Raw]]/$R$2)*100</f>
        <v>1.0720411663807889</v>
      </c>
      <c r="T197" s="180">
        <f>FME_Ranking1[[#This Row],[Critical Facilities Score (Normalized, Unweighted)]]*$R$3</f>
        <v>0.21440823327615779</v>
      </c>
      <c r="U197">
        <f>_xlfn.XLOOKUP(FME_Ranking1[[#This Row],[FME ID]],FME_Input[FME_ID],FME_Input[LWC])</f>
        <v>2</v>
      </c>
      <c r="V197" s="178">
        <f>(FME_Ranking1[[#This Row],[LWC Raw]]/$U$2)*100</f>
        <v>0.11514104778353484</v>
      </c>
      <c r="W197" s="178">
        <f>FME_Ranking1[[#This Row],[LWC Score (Normalized, Unweighted)]]*$U$3</f>
        <v>2.302820955670697E-2</v>
      </c>
      <c r="X197" s="246">
        <f>_xlfn.XLOOKUP(FME_Ranking1[[#This Row],[FME ID]],FME_Input[FME_ID],FME_Input[ROADCLS])</f>
        <v>2</v>
      </c>
      <c r="Y197" s="230">
        <f>(FME_Ranking1[[#This Row],[Closures Raw]]/$X$2)*100</f>
        <v>2.1028283040689728E-2</v>
      </c>
      <c r="Z197" s="180">
        <f>FME_Ranking1[[#This Row],[Closures Score (Normalized, Unweighted)]]*$X$3</f>
        <v>1.0514141520344864E-3</v>
      </c>
      <c r="AA197" s="253">
        <f>_xlfn.XLOOKUP(FME_Ranking1[[#This Row],[FME ID]],FME_Input[FME_ID],FME_Input[ROAD_MILES100])</f>
        <v>104.5637283325195</v>
      </c>
      <c r="AB197" s="178">
        <f>(FME_Ranking1[[#This Row],[Miles Raw]]/$AA$2)*100</f>
        <v>1.3748254837214222</v>
      </c>
      <c r="AC197" s="178">
        <f>FME_Ranking1[[#This Row],[Miles Score (Normalized, Unweighted)]]*$AA$3</f>
        <v>0.13748254837214222</v>
      </c>
      <c r="AD197" s="255">
        <f>_xlfn.XLOOKUP(FME_Ranking1[[#This Row],[FME ID]],FME_Input[FME_ID],FME_Input[FARMACRE100])</f>
        <v>1308.191162109375</v>
      </c>
      <c r="AE197" s="230">
        <f>(FME_Ranking1[[#This Row],[Ag Land Raw]]/$AD$2)*100</f>
        <v>5.3943947402826938E-2</v>
      </c>
      <c r="AF197" s="231">
        <f>FME_Ranking1[[#This Row],[Ag Land Score (Normalized, Unweighted)]]*$AD$3</f>
        <v>2.697197370141347E-3</v>
      </c>
      <c r="AG19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1.4650583698445352</v>
      </c>
      <c r="AH197" s="406">
        <f t="shared" si="2"/>
        <v>195</v>
      </c>
      <c r="AI19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1.4650583698445352</v>
      </c>
      <c r="AJ197" s="257">
        <f>FME_Ranking1[[#This Row],[Addition check]]-FME_Ranking1[[#This Row],[Weighted Score Based on Normalized Reported Factors]]</f>
        <v>0</v>
      </c>
      <c r="AK197" s="178">
        <f>_xlfn.RANK.EQ(AI197,$AI$6:$AI$2341,0)+COUNTIF($AI$6:AI197,AI197)-1</f>
        <v>199</v>
      </c>
    </row>
    <row r="198" spans="1:37" ht="12" customHeight="1" x14ac:dyDescent="0.25">
      <c r="A198" t="s">
        <v>1215</v>
      </c>
      <c r="B198">
        <f>_xlfn.XLOOKUP(FME_Ranking1[[#This Row],[FME ID]],FME_Input[FME_ID],FME_Input[RFPG_NUM])</f>
        <v>6</v>
      </c>
      <c r="C198" t="str">
        <f>_xlfn.XLOOKUP(FME_Ranking1[[#This Row],[FME ID]],FME_Input[FME_ID],FME_Input[FME_NAME])</f>
        <v>Stormwater Drainage Improvement- Bradshaw Rd</v>
      </c>
      <c r="D198" t="str">
        <f>_xlfn.XLOOKUP(FME_Ranking1[[#This Row],[FME ID]],FME_Input[FME_ID],FME_Input[DESCR])</f>
        <v>Further study of proposed slope paving (concrete lining) improvements. Southwest from SH 3 to the north line of CCISD's Elem. School #25. Pending Funding.</v>
      </c>
      <c r="E198" s="256">
        <f>_xlfn.XLOOKUP(FME_Ranking1[[#This Row],[FME ID]],FME_Input[FME_ID],FME_Input[FME_COST])</f>
        <v>50000</v>
      </c>
      <c r="F198" t="str">
        <f>_xlfn.XLOOKUP(FME_Ranking1[[#This Row],[FME ID]],FME_Input[FME_ID],FME_Input[EMER_NEED])</f>
        <v>No</v>
      </c>
      <c r="G198">
        <f>IF(FME_Ranking!F198="Yes",100,0)</f>
        <v>0</v>
      </c>
      <c r="H198">
        <f>FME_Ranking1[[#This Row],[Emergency Need Score (Normalized, Unweighted)]]*$F$3</f>
        <v>0</v>
      </c>
      <c r="I198" s="246">
        <f>_xlfn.XLOOKUP(FME_Ranking1[[#This Row],[FME ID]],FME_Input[FME_ID],FME_Input[STRUCT_100])</f>
        <v>5251</v>
      </c>
      <c r="J198" s="178">
        <f>(FME_Ranking1[[#This Row],[Structures 100 Raw]]/I$2)*100</f>
        <v>2.8118707963843548</v>
      </c>
      <c r="K198" s="178">
        <f>FME_Ranking1[[#This Row],[Structures 100  Score (Normalized, Unweighted)]]*$I$3</f>
        <v>0.42178061945765322</v>
      </c>
      <c r="L198" s="246">
        <f>_xlfn.XLOOKUP(FME_Ranking1[[#This Row],[FME ID]],FME_Input[FME_ID],FME_Input[RES_STRUCT100])</f>
        <v>4835</v>
      </c>
      <c r="M198" s="230">
        <f>(FME_Ranking1[[#This Row],[Res Structures Raw]]/L$2)*100</f>
        <v>3.4246575342465753</v>
      </c>
      <c r="N198" s="180">
        <f>FME_Ranking1[[#This Row],[Res Structures Score (Normalized, Unweighted)]]*$L$3</f>
        <v>0.34246575342465757</v>
      </c>
      <c r="O198" s="244">
        <f>_xlfn.XLOOKUP(FME_Ranking1[[#This Row],[FME ID]],FME_Input[FME_ID],FME_Input[POP100])</f>
        <v>20978</v>
      </c>
      <c r="P198" s="178">
        <f>(FME_Ranking1[[#This Row],[Pop Raw]]/$O$2)*100</f>
        <v>2.1476292949002764</v>
      </c>
      <c r="Q198" s="178">
        <f>FME_Ranking1[[#This Row],[Pop Score (Normalized, Unweighted)]]*$O$3</f>
        <v>0.32214439423504143</v>
      </c>
      <c r="R198" s="137">
        <f>_xlfn.XLOOKUP(FME_Ranking1[[#This Row],[FME ID]],FME_Input[FME_ID],FME_Input[CRITFAC100])</f>
        <v>25</v>
      </c>
      <c r="S198" s="230">
        <f>(FME_Ranking1[[#This Row],[Critical Facilities Raw]]/$R$2)*100</f>
        <v>1.0720411663807889</v>
      </c>
      <c r="T198" s="180">
        <f>FME_Ranking1[[#This Row],[Critical Facilities Score (Normalized, Unweighted)]]*$R$3</f>
        <v>0.21440823327615779</v>
      </c>
      <c r="U198">
        <f>_xlfn.XLOOKUP(FME_Ranking1[[#This Row],[FME ID]],FME_Input[FME_ID],FME_Input[LWC])</f>
        <v>2</v>
      </c>
      <c r="V198" s="178">
        <f>(FME_Ranking1[[#This Row],[LWC Raw]]/$U$2)*100</f>
        <v>0.11514104778353484</v>
      </c>
      <c r="W198" s="178">
        <f>FME_Ranking1[[#This Row],[LWC Score (Normalized, Unweighted)]]*$U$3</f>
        <v>2.302820955670697E-2</v>
      </c>
      <c r="X198" s="246">
        <f>_xlfn.XLOOKUP(FME_Ranking1[[#This Row],[FME ID]],FME_Input[FME_ID],FME_Input[ROADCLS])</f>
        <v>2</v>
      </c>
      <c r="Y198" s="230">
        <f>(FME_Ranking1[[#This Row],[Closures Raw]]/$X$2)*100</f>
        <v>2.1028283040689728E-2</v>
      </c>
      <c r="Z198" s="180">
        <f>FME_Ranking1[[#This Row],[Closures Score (Normalized, Unweighted)]]*$X$3</f>
        <v>1.0514141520344864E-3</v>
      </c>
      <c r="AA198" s="253">
        <f>_xlfn.XLOOKUP(FME_Ranking1[[#This Row],[FME ID]],FME_Input[FME_ID],FME_Input[ROAD_MILES100])</f>
        <v>104.5637283325195</v>
      </c>
      <c r="AB198" s="178">
        <f>(FME_Ranking1[[#This Row],[Miles Raw]]/$AA$2)*100</f>
        <v>1.3748254837214222</v>
      </c>
      <c r="AC198" s="178">
        <f>FME_Ranking1[[#This Row],[Miles Score (Normalized, Unweighted)]]*$AA$3</f>
        <v>0.13748254837214222</v>
      </c>
      <c r="AD198" s="255">
        <f>_xlfn.XLOOKUP(FME_Ranking1[[#This Row],[FME ID]],FME_Input[FME_ID],FME_Input[FARMACRE100])</f>
        <v>1308.191162109375</v>
      </c>
      <c r="AE198" s="230">
        <f>(FME_Ranking1[[#This Row],[Ag Land Raw]]/$AD$2)*100</f>
        <v>5.3943947402826938E-2</v>
      </c>
      <c r="AF198" s="231">
        <f>FME_Ranking1[[#This Row],[Ag Land Score (Normalized, Unweighted)]]*$AD$3</f>
        <v>2.697197370141347E-3</v>
      </c>
      <c r="AG19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1.4650583698445352</v>
      </c>
      <c r="AH198" s="406">
        <f t="shared" ref="AH198:AH261" si="3">_xlfn.RANK.EQ(AG198,$AG$6:$AG$2341,0)</f>
        <v>195</v>
      </c>
      <c r="AI19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1.4650583698445352</v>
      </c>
      <c r="AJ198" s="257">
        <f>FME_Ranking1[[#This Row],[Addition check]]-FME_Ranking1[[#This Row],[Weighted Score Based on Normalized Reported Factors]]</f>
        <v>0</v>
      </c>
      <c r="AK198" s="178">
        <f>_xlfn.RANK.EQ(AI198,$AI$6:$AI$2341,0)+COUNTIF($AI$6:AI198,AI198)-1</f>
        <v>200</v>
      </c>
    </row>
    <row r="199" spans="1:37" ht="12" customHeight="1" x14ac:dyDescent="0.25">
      <c r="A199" t="s">
        <v>1641</v>
      </c>
      <c r="B199">
        <f>_xlfn.XLOOKUP(FME_Ranking1[[#This Row],[FME ID]],FME_Input[FME_ID],FME_Input[RFPG_NUM])</f>
        <v>6</v>
      </c>
      <c r="C199" t="str">
        <f>_xlfn.XLOOKUP(FME_Ranking1[[#This Row],[FME ID]],FME_Input[FME_ID],FME_Input[FME_NAME])</f>
        <v>City of League City Master Drainage Plan</v>
      </c>
      <c r="D199" t="str">
        <f>_xlfn.XLOOKUP(FME_Ranking1[[#This Row],[FME ID]],FME_Input[FME_ID],FME_Input[DESCR])</f>
        <v>Study to develop Master Drainage Plan using future and existing land use and flood/storm water drainage needs including Atlas 14 rainfall.</v>
      </c>
      <c r="E199" s="256">
        <f>_xlfn.XLOOKUP(FME_Ranking1[[#This Row],[FME ID]],FME_Input[FME_ID],FME_Input[FME_COST])</f>
        <v>580000</v>
      </c>
      <c r="F199" t="str">
        <f>_xlfn.XLOOKUP(FME_Ranking1[[#This Row],[FME ID]],FME_Input[FME_ID],FME_Input[EMER_NEED])</f>
        <v>Yes</v>
      </c>
      <c r="G199">
        <f>IF(FME_Ranking!F199="Yes",100,0)</f>
        <v>100</v>
      </c>
      <c r="H199">
        <f>FME_Ranking1[[#This Row],[Emergency Need Score (Normalized, Unweighted)]]*$F$3</f>
        <v>0</v>
      </c>
      <c r="I199" s="246">
        <f>_xlfn.XLOOKUP(FME_Ranking1[[#This Row],[FME ID]],FME_Input[FME_ID],FME_Input[STRUCT_100])</f>
        <v>5251</v>
      </c>
      <c r="J199" s="178">
        <f>(FME_Ranking1[[#This Row],[Structures 100 Raw]]/I$2)*100</f>
        <v>2.8118707963843548</v>
      </c>
      <c r="K199" s="178">
        <f>FME_Ranking1[[#This Row],[Structures 100  Score (Normalized, Unweighted)]]*$I$3</f>
        <v>0.42178061945765322</v>
      </c>
      <c r="L199" s="246">
        <f>_xlfn.XLOOKUP(FME_Ranking1[[#This Row],[FME ID]],FME_Input[FME_ID],FME_Input[RES_STRUCT100])</f>
        <v>4835</v>
      </c>
      <c r="M199" s="230">
        <f>(FME_Ranking1[[#This Row],[Res Structures Raw]]/L$2)*100</f>
        <v>3.4246575342465753</v>
      </c>
      <c r="N199" s="180">
        <f>FME_Ranking1[[#This Row],[Res Structures Score (Normalized, Unweighted)]]*$L$3</f>
        <v>0.34246575342465757</v>
      </c>
      <c r="O199" s="244">
        <f>_xlfn.XLOOKUP(FME_Ranking1[[#This Row],[FME ID]],FME_Input[FME_ID],FME_Input[POP100])</f>
        <v>20978</v>
      </c>
      <c r="P199" s="178">
        <f>(FME_Ranking1[[#This Row],[Pop Raw]]/$O$2)*100</f>
        <v>2.1476292949002764</v>
      </c>
      <c r="Q199" s="178">
        <f>FME_Ranking1[[#This Row],[Pop Score (Normalized, Unweighted)]]*$O$3</f>
        <v>0.32214439423504143</v>
      </c>
      <c r="R199" s="137">
        <f>_xlfn.XLOOKUP(FME_Ranking1[[#This Row],[FME ID]],FME_Input[FME_ID],FME_Input[CRITFAC100])</f>
        <v>25</v>
      </c>
      <c r="S199" s="230">
        <f>(FME_Ranking1[[#This Row],[Critical Facilities Raw]]/$R$2)*100</f>
        <v>1.0720411663807889</v>
      </c>
      <c r="T199" s="180">
        <f>FME_Ranking1[[#This Row],[Critical Facilities Score (Normalized, Unweighted)]]*$R$3</f>
        <v>0.21440823327615779</v>
      </c>
      <c r="U199">
        <f>_xlfn.XLOOKUP(FME_Ranking1[[#This Row],[FME ID]],FME_Input[FME_ID],FME_Input[LWC])</f>
        <v>2</v>
      </c>
      <c r="V199" s="178">
        <f>(FME_Ranking1[[#This Row],[LWC Raw]]/$U$2)*100</f>
        <v>0.11514104778353484</v>
      </c>
      <c r="W199" s="178">
        <f>FME_Ranking1[[#This Row],[LWC Score (Normalized, Unweighted)]]*$U$3</f>
        <v>2.302820955670697E-2</v>
      </c>
      <c r="X199" s="246">
        <f>_xlfn.XLOOKUP(FME_Ranking1[[#This Row],[FME ID]],FME_Input[FME_ID],FME_Input[ROADCLS])</f>
        <v>2</v>
      </c>
      <c r="Y199" s="230">
        <f>(FME_Ranking1[[#This Row],[Closures Raw]]/$X$2)*100</f>
        <v>2.1028283040689728E-2</v>
      </c>
      <c r="Z199" s="180">
        <f>FME_Ranking1[[#This Row],[Closures Score (Normalized, Unweighted)]]*$X$3</f>
        <v>1.0514141520344864E-3</v>
      </c>
      <c r="AA199" s="253">
        <f>_xlfn.XLOOKUP(FME_Ranking1[[#This Row],[FME ID]],FME_Input[FME_ID],FME_Input[ROAD_MILES100])</f>
        <v>104.5637283325195</v>
      </c>
      <c r="AB199" s="178">
        <f>(FME_Ranking1[[#This Row],[Miles Raw]]/$AA$2)*100</f>
        <v>1.3748254837214222</v>
      </c>
      <c r="AC199" s="178">
        <f>FME_Ranking1[[#This Row],[Miles Score (Normalized, Unweighted)]]*$AA$3</f>
        <v>0.13748254837214222</v>
      </c>
      <c r="AD199" s="255">
        <f>_xlfn.XLOOKUP(FME_Ranking1[[#This Row],[FME ID]],FME_Input[FME_ID],FME_Input[FARMACRE100])</f>
        <v>1308.191162109375</v>
      </c>
      <c r="AE199" s="230">
        <f>(FME_Ranking1[[#This Row],[Ag Land Raw]]/$AD$2)*100</f>
        <v>5.3943947402826938E-2</v>
      </c>
      <c r="AF199" s="231">
        <f>FME_Ranking1[[#This Row],[Ag Land Score (Normalized, Unweighted)]]*$AD$3</f>
        <v>2.697197370141347E-3</v>
      </c>
      <c r="AG19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1.4650583698445352</v>
      </c>
      <c r="AH199" s="406">
        <f t="shared" si="3"/>
        <v>195</v>
      </c>
      <c r="AI19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1.4650583698445352</v>
      </c>
      <c r="AJ199" s="257">
        <f>FME_Ranking1[[#This Row],[Addition check]]-FME_Ranking1[[#This Row],[Weighted Score Based on Normalized Reported Factors]]</f>
        <v>0</v>
      </c>
      <c r="AK199" s="178">
        <f>_xlfn.RANK.EQ(AI199,$AI$6:$AI$2341,0)+COUNTIF($AI$6:AI199,AI199)-1</f>
        <v>201</v>
      </c>
    </row>
    <row r="200" spans="1:37" ht="12" customHeight="1" x14ac:dyDescent="0.25">
      <c r="A200" t="s">
        <v>4062</v>
      </c>
      <c r="B200">
        <f>_xlfn.XLOOKUP(FME_Ranking1[[#This Row],[FME ID]],FME_Input[FME_ID],FME_Input[RFPG_NUM])</f>
        <v>3</v>
      </c>
      <c r="C200" t="str">
        <f>_xlfn.XLOOKUP(FME_Ranking1[[#This Row],[FME ID]],FME_Input[FME_ID],FME_Input[FME_NAME])</f>
        <v>Navarro County Dam Inundation Study</v>
      </c>
      <c r="D200" t="str">
        <f>_xlfn.XLOOKUP(FME_Ranking1[[#This Row],[FME ID]],FME_Input[FME_ID],FME_Input[DESCR])</f>
        <v>Conduct inundation studies of all high and moderate hazard dams.</v>
      </c>
      <c r="E200" s="256">
        <f>_xlfn.XLOOKUP(FME_Ranking1[[#This Row],[FME ID]],FME_Input[FME_ID],FME_Input[FME_COST])</f>
        <v>744000</v>
      </c>
      <c r="F200" t="str">
        <f>_xlfn.XLOOKUP(FME_Ranking1[[#This Row],[FME ID]],FME_Input[FME_ID],FME_Input[EMER_NEED])</f>
        <v>No</v>
      </c>
      <c r="G200">
        <f>IF(FME_Ranking!F200="Yes",100,0)</f>
        <v>0</v>
      </c>
      <c r="H200">
        <f>FME_Ranking1[[#This Row],[Emergency Need Score (Normalized, Unweighted)]]*$F$3</f>
        <v>0</v>
      </c>
      <c r="I200" s="246">
        <f>_xlfn.XLOOKUP(FME_Ranking1[[#This Row],[FME ID]],FME_Input[FME_ID],FME_Input[STRUCT_100])</f>
        <v>1805</v>
      </c>
      <c r="J200" s="178">
        <f>(FME_Ranking1[[#This Row],[Structures 100 Raw]]/I$2)*100</f>
        <v>0.96656385211840812</v>
      </c>
      <c r="K200" s="178">
        <f>FME_Ranking1[[#This Row],[Structures 100  Score (Normalized, Unweighted)]]*$I$3</f>
        <v>0.14498457781776122</v>
      </c>
      <c r="L200" s="246">
        <f>_xlfn.XLOOKUP(FME_Ranking1[[#This Row],[FME ID]],FME_Input[FME_ID],FME_Input[RES_STRUCT100])</f>
        <v>1017</v>
      </c>
      <c r="M200" s="230">
        <f>(FME_Ranking1[[#This Row],[Res Structures Raw]]/L$2)*100</f>
        <v>0.72034678641753191</v>
      </c>
      <c r="N200" s="180">
        <f>FME_Ranking1[[#This Row],[Res Structures Score (Normalized, Unweighted)]]*$L$3</f>
        <v>7.2034678641753197E-2</v>
      </c>
      <c r="O200" s="244">
        <f>_xlfn.XLOOKUP(FME_Ranking1[[#This Row],[FME ID]],FME_Input[FME_ID],FME_Input[POP100])</f>
        <v>2606</v>
      </c>
      <c r="P200" s="178">
        <f>(FME_Ranking1[[#This Row],[Pop Raw]]/$O$2)*100</f>
        <v>0.26679006304271713</v>
      </c>
      <c r="Q200" s="178">
        <f>FME_Ranking1[[#This Row],[Pop Score (Normalized, Unweighted)]]*$O$3</f>
        <v>4.0018509456407565E-2</v>
      </c>
      <c r="R200" s="137">
        <f>_xlfn.XLOOKUP(FME_Ranking1[[#This Row],[FME ID]],FME_Input[FME_ID],FME_Input[CRITFAC100])</f>
        <v>11</v>
      </c>
      <c r="S200" s="230">
        <f>(FME_Ranking1[[#This Row],[Critical Facilities Raw]]/$R$2)*100</f>
        <v>0.47169811320754718</v>
      </c>
      <c r="T200" s="180">
        <f>FME_Ranking1[[#This Row],[Critical Facilities Score (Normalized, Unweighted)]]*$R$3</f>
        <v>9.4339622641509441E-2</v>
      </c>
      <c r="U200">
        <f>_xlfn.XLOOKUP(FME_Ranking1[[#This Row],[FME ID]],FME_Input[FME_ID],FME_Input[LWC])</f>
        <v>64</v>
      </c>
      <c r="V200" s="178">
        <f>(FME_Ranking1[[#This Row],[LWC Raw]]/$U$2)*100</f>
        <v>3.684513529073115</v>
      </c>
      <c r="W200" s="178">
        <f>FME_Ranking1[[#This Row],[LWC Score (Normalized, Unweighted)]]*$U$3</f>
        <v>0.73690270581462303</v>
      </c>
      <c r="X200" s="246">
        <f>_xlfn.XLOOKUP(FME_Ranking1[[#This Row],[FME ID]],FME_Input[FME_ID],FME_Input[ROADCLS])</f>
        <v>0</v>
      </c>
      <c r="Y200" s="230">
        <f>(FME_Ranking1[[#This Row],[Closures Raw]]/$X$2)*100</f>
        <v>0</v>
      </c>
      <c r="Z200" s="180">
        <f>FME_Ranking1[[#This Row],[Closures Score (Normalized, Unweighted)]]*$X$3</f>
        <v>0</v>
      </c>
      <c r="AA200" s="253">
        <f>_xlfn.XLOOKUP(FME_Ranking1[[#This Row],[FME ID]],FME_Input[FME_ID],FME_Input[ROAD_MILES100])</f>
        <v>211.1390075683594</v>
      </c>
      <c r="AB200" s="178">
        <f>(FME_Ranking1[[#This Row],[Miles Raw]]/$AA$2)*100</f>
        <v>2.7760992539355867</v>
      </c>
      <c r="AC200" s="178">
        <f>FME_Ranking1[[#This Row],[Miles Score (Normalized, Unweighted)]]*$AA$3</f>
        <v>0.27760992539355867</v>
      </c>
      <c r="AD200" s="255">
        <f>_xlfn.XLOOKUP(FME_Ranking1[[#This Row],[FME ID]],FME_Input[FME_ID],FME_Input[FARMACRE100])</f>
        <v>109464.703125</v>
      </c>
      <c r="AE200" s="230">
        <f>(FME_Ranking1[[#This Row],[Ag Land Raw]]/$AD$2)*100</f>
        <v>4.5138343377275971</v>
      </c>
      <c r="AF200" s="231">
        <f>FME_Ranking1[[#This Row],[Ag Land Score (Normalized, Unweighted)]]*$AD$3</f>
        <v>0.22569171688637987</v>
      </c>
      <c r="AG20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1.5915817366519929</v>
      </c>
      <c r="AH200" s="406">
        <f t="shared" si="3"/>
        <v>186</v>
      </c>
      <c r="AI20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1.5915817366519929</v>
      </c>
      <c r="AJ200" s="257">
        <f>FME_Ranking1[[#This Row],[Addition check]]-FME_Ranking1[[#This Row],[Weighted Score Based on Normalized Reported Factors]]</f>
        <v>0</v>
      </c>
      <c r="AK200" s="178">
        <f>_xlfn.RANK.EQ(AI200,$AI$6:$AI$2341,0)+COUNTIF($AI$6:AI200,AI200)-1</f>
        <v>186</v>
      </c>
    </row>
    <row r="201" spans="1:37" ht="12" customHeight="1" x14ac:dyDescent="0.25">
      <c r="A201" t="s">
        <v>7390</v>
      </c>
      <c r="B201">
        <f>_xlfn.XLOOKUP(FME_Ranking1[[#This Row],[FME ID]],FME_Input[FME_ID],FME_Input[RFPG_NUM])</f>
        <v>7</v>
      </c>
      <c r="C201" t="str">
        <f>_xlfn.XLOOKUP(FME_Ranking1[[#This Row],[FME ID]],FME_Input[FME_ID],FME_Input[FME_NAME])</f>
        <v>Mackenzie Park South - Santa Land Rd</v>
      </c>
      <c r="D201" t="str">
        <f>_xlfn.XLOOKUP(FME_Ranking1[[#This Row],[FME ID]],FME_Input[FME_ID],FME_Input[DESCR])</f>
        <v>Mackenzie Park South - Santa Land Rd Area of Interest</v>
      </c>
      <c r="E201" s="256">
        <f>_xlfn.XLOOKUP(FME_Ranking1[[#This Row],[FME ID]],FME_Input[FME_ID],FME_Input[FME_COST])</f>
        <v>100000</v>
      </c>
      <c r="F201" t="str">
        <f>_xlfn.XLOOKUP(FME_Ranking1[[#This Row],[FME ID]],FME_Input[FME_ID],FME_Input[EMER_NEED])</f>
        <v>Yes</v>
      </c>
      <c r="G201">
        <f>IF(FME_Ranking!F201="Yes",100,0)</f>
        <v>100</v>
      </c>
      <c r="H201">
        <f>FME_Ranking1[[#This Row],[Emergency Need Score (Normalized, Unweighted)]]*$F$3</f>
        <v>0</v>
      </c>
      <c r="I201" s="246">
        <f>_xlfn.XLOOKUP(FME_Ranking1[[#This Row],[FME ID]],FME_Input[FME_ID],FME_Input[STRUCT_100])</f>
        <v>1700</v>
      </c>
      <c r="J201" s="178">
        <f>(FME_Ranking1[[#This Row],[Structures 100 Raw]]/I$2)*100</f>
        <v>0.910337146039498</v>
      </c>
      <c r="K201" s="178">
        <f>FME_Ranking1[[#This Row],[Structures 100  Score (Normalized, Unweighted)]]*$I$3</f>
        <v>0.13655057190592471</v>
      </c>
      <c r="L201" s="246">
        <f>_xlfn.XLOOKUP(FME_Ranking1[[#This Row],[FME ID]],FME_Input[FME_ID],FME_Input[RES_STRUCT100])</f>
        <v>693</v>
      </c>
      <c r="M201" s="230">
        <f>(FME_Ranking1[[#This Row],[Res Structures Raw]]/L$2)*100</f>
        <v>0.49085577481548637</v>
      </c>
      <c r="N201" s="180">
        <f>FME_Ranking1[[#This Row],[Res Structures Score (Normalized, Unweighted)]]*$L$3</f>
        <v>4.908557748154864E-2</v>
      </c>
      <c r="O201" s="244">
        <f>_xlfn.XLOOKUP(FME_Ranking1[[#This Row],[FME ID]],FME_Input[FME_ID],FME_Input[POP100])</f>
        <v>3067</v>
      </c>
      <c r="P201" s="178">
        <f>(FME_Ranking1[[#This Row],[Pop Raw]]/$O$2)*100</f>
        <v>0.313985081869537</v>
      </c>
      <c r="Q201" s="178">
        <f>FME_Ranking1[[#This Row],[Pop Score (Normalized, Unweighted)]]*$O$3</f>
        <v>4.7097762280430548E-2</v>
      </c>
      <c r="R201" s="137">
        <f>_xlfn.XLOOKUP(FME_Ranking1[[#This Row],[FME ID]],FME_Input[FME_ID],FME_Input[CRITFAC100])</f>
        <v>6</v>
      </c>
      <c r="S201" s="230">
        <f>(FME_Ranking1[[#This Row],[Critical Facilities Raw]]/$R$2)*100</f>
        <v>0.25728987993138941</v>
      </c>
      <c r="T201" s="180">
        <f>FME_Ranking1[[#This Row],[Critical Facilities Score (Normalized, Unweighted)]]*$R$3</f>
        <v>5.1457975986277882E-2</v>
      </c>
      <c r="U201">
        <f>_xlfn.XLOOKUP(FME_Ranking1[[#This Row],[FME ID]],FME_Input[FME_ID],FME_Input[LWC])</f>
        <v>67</v>
      </c>
      <c r="V201" s="178">
        <f>(FME_Ranking1[[#This Row],[LWC Raw]]/$U$2)*100</f>
        <v>3.8572251007484168</v>
      </c>
      <c r="W201" s="178">
        <f>FME_Ranking1[[#This Row],[LWC Score (Normalized, Unweighted)]]*$U$3</f>
        <v>0.77144502014968341</v>
      </c>
      <c r="X201" s="246">
        <f>_xlfn.XLOOKUP(FME_Ranking1[[#This Row],[FME ID]],FME_Input[FME_ID],FME_Input[ROADCLS])</f>
        <v>0</v>
      </c>
      <c r="Y201" s="230">
        <f>(FME_Ranking1[[#This Row],[Closures Raw]]/$X$2)*100</f>
        <v>0</v>
      </c>
      <c r="Z201" s="180">
        <f>FME_Ranking1[[#This Row],[Closures Score (Normalized, Unweighted)]]*$X$3</f>
        <v>0</v>
      </c>
      <c r="AA201" s="253">
        <f>_xlfn.XLOOKUP(FME_Ranking1[[#This Row],[FME ID]],FME_Input[FME_ID],FME_Input[ROAD_MILES100])</f>
        <v>1255.68017578125</v>
      </c>
      <c r="AB201" s="178">
        <f>(FME_Ranking1[[#This Row],[Miles Raw]]/$AA$2)*100</f>
        <v>16.509942143397755</v>
      </c>
      <c r="AC201" s="178">
        <f>FME_Ranking1[[#This Row],[Miles Score (Normalized, Unweighted)]]*$AA$3</f>
        <v>1.6509942143397756</v>
      </c>
      <c r="AD201" s="255">
        <f>_xlfn.XLOOKUP(FME_Ranking1[[#This Row],[FME ID]],FME_Input[FME_ID],FME_Input[FARMACRE100])</f>
        <v>122194.6640625</v>
      </c>
      <c r="AE201" s="230">
        <f>(FME_Ranking1[[#This Row],[Ag Land Raw]]/$AD$2)*100</f>
        <v>5.0387609410729937</v>
      </c>
      <c r="AF201" s="231">
        <f>FME_Ranking1[[#This Row],[Ag Land Score (Normalized, Unweighted)]]*$AD$3</f>
        <v>0.25193804705364969</v>
      </c>
      <c r="AG20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2.9585691691972906</v>
      </c>
      <c r="AH201" s="406">
        <f t="shared" si="3"/>
        <v>99</v>
      </c>
      <c r="AI20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2.9585691691972906</v>
      </c>
      <c r="AJ201" s="257">
        <f>FME_Ranking1[[#This Row],[Addition check]]-FME_Ranking1[[#This Row],[Weighted Score Based on Normalized Reported Factors]]</f>
        <v>0</v>
      </c>
      <c r="AK201" s="178">
        <f>_xlfn.RANK.EQ(AI201,$AI$6:$AI$2341,0)+COUNTIF($AI$6:AI201,AI201)-1</f>
        <v>99</v>
      </c>
    </row>
    <row r="202" spans="1:37" ht="12" customHeight="1" x14ac:dyDescent="0.25">
      <c r="A202" t="s">
        <v>1470</v>
      </c>
      <c r="B202">
        <f>_xlfn.XLOOKUP(FME_Ranking1[[#This Row],[FME ID]],FME_Input[FME_ID],FME_Input[RFPG_NUM])</f>
        <v>6</v>
      </c>
      <c r="C202" t="str">
        <f>_xlfn.XLOOKUP(FME_Ranking1[[#This Row],[FME ID]],FME_Input[FME_ID],FME_Input[FME_NAME])</f>
        <v>City of Conroe Riverine Study and Mapping Improvements</v>
      </c>
      <c r="D202" t="str">
        <f>_xlfn.XLOOKUP(FME_Ranking1[[#This Row],[FME ID]],FME_Input[FME_ID],FME_Input[DESCR])</f>
        <v>Study and new modeling for moderate to low quality areas and revise the flood maps using the results from the updated modeling.</v>
      </c>
      <c r="E202" s="256">
        <f>_xlfn.XLOOKUP(FME_Ranking1[[#This Row],[FME ID]],FME_Input[FME_ID],FME_Input[FME_COST])</f>
        <v>500000</v>
      </c>
      <c r="F202" t="str">
        <f>_xlfn.XLOOKUP(FME_Ranking1[[#This Row],[FME ID]],FME_Input[FME_ID],FME_Input[EMER_NEED])</f>
        <v>No</v>
      </c>
      <c r="G202">
        <f>IF(FME_Ranking!F202="Yes",100,0)</f>
        <v>0</v>
      </c>
      <c r="H202">
        <f>FME_Ranking1[[#This Row],[Emergency Need Score (Normalized, Unweighted)]]*$F$3</f>
        <v>0</v>
      </c>
      <c r="I202" s="246">
        <f>_xlfn.XLOOKUP(FME_Ranking1[[#This Row],[FME ID]],FME_Input[FME_ID],FME_Input[STRUCT_100])</f>
        <v>3465</v>
      </c>
      <c r="J202" s="178">
        <f>(FME_Ranking1[[#This Row],[Structures 100 Raw]]/I$2)*100</f>
        <v>1.8554813006040356</v>
      </c>
      <c r="K202" s="178">
        <f>FME_Ranking1[[#This Row],[Structures 100  Score (Normalized, Unweighted)]]*$I$3</f>
        <v>0.27832219509060535</v>
      </c>
      <c r="L202" s="246">
        <f>_xlfn.XLOOKUP(FME_Ranking1[[#This Row],[FME ID]],FME_Input[FME_ID],FME_Input[RES_STRUCT100])</f>
        <v>2633</v>
      </c>
      <c r="M202" s="230">
        <f>(FME_Ranking1[[#This Row],[Res Structures Raw]]/L$2)*100</f>
        <v>1.8649686220623025</v>
      </c>
      <c r="N202" s="180">
        <f>FME_Ranking1[[#This Row],[Res Structures Score (Normalized, Unweighted)]]*$L$3</f>
        <v>0.18649686220623027</v>
      </c>
      <c r="O202" s="244">
        <f>_xlfn.XLOOKUP(FME_Ranking1[[#This Row],[FME ID]],FME_Input[FME_ID],FME_Input[POP100])</f>
        <v>14964</v>
      </c>
      <c r="P202" s="178">
        <f>(FME_Ranking1[[#This Row],[Pop Raw]]/$O$2)*100</f>
        <v>1.5319441685998538</v>
      </c>
      <c r="Q202" s="178">
        <f>FME_Ranking1[[#This Row],[Pop Score (Normalized, Unweighted)]]*$O$3</f>
        <v>0.22979162528997807</v>
      </c>
      <c r="R202" s="137">
        <f>_xlfn.XLOOKUP(FME_Ranking1[[#This Row],[FME ID]],FME_Input[FME_ID],FME_Input[CRITFAC100])</f>
        <v>46</v>
      </c>
      <c r="S202" s="230">
        <f>(FME_Ranking1[[#This Row],[Critical Facilities Raw]]/$R$2)*100</f>
        <v>1.9725557461406518</v>
      </c>
      <c r="T202" s="180">
        <f>FME_Ranking1[[#This Row],[Critical Facilities Score (Normalized, Unweighted)]]*$R$3</f>
        <v>0.39451114922813035</v>
      </c>
      <c r="U202">
        <f>_xlfn.XLOOKUP(FME_Ranking1[[#This Row],[FME ID]],FME_Input[FME_ID],FME_Input[LWC])</f>
        <v>18</v>
      </c>
      <c r="V202" s="178">
        <f>(FME_Ranking1[[#This Row],[LWC Raw]]/$U$2)*100</f>
        <v>1.0362694300518136</v>
      </c>
      <c r="W202" s="178">
        <f>FME_Ranking1[[#This Row],[LWC Score (Normalized, Unweighted)]]*$U$3</f>
        <v>0.20725388601036274</v>
      </c>
      <c r="X202" s="246">
        <f>_xlfn.XLOOKUP(FME_Ranking1[[#This Row],[FME ID]],FME_Input[FME_ID],FME_Input[ROADCLS])</f>
        <v>18</v>
      </c>
      <c r="Y202" s="230">
        <f>(FME_Ranking1[[#This Row],[Closures Raw]]/$X$2)*100</f>
        <v>0.18925454736620756</v>
      </c>
      <c r="Z202" s="180">
        <f>FME_Ranking1[[#This Row],[Closures Score (Normalized, Unweighted)]]*$X$3</f>
        <v>9.4627273683103794E-3</v>
      </c>
      <c r="AA202" s="253">
        <f>_xlfn.XLOOKUP(FME_Ranking1[[#This Row],[FME ID]],FME_Input[FME_ID],FME_Input[ROAD_MILES100])</f>
        <v>83.782958984375</v>
      </c>
      <c r="AB202" s="178">
        <f>(FME_Ranking1[[#This Row],[Miles Raw]]/$AA$2)*100</f>
        <v>1.1015956388529242</v>
      </c>
      <c r="AC202" s="178">
        <f>FME_Ranking1[[#This Row],[Miles Score (Normalized, Unweighted)]]*$AA$3</f>
        <v>0.11015956388529242</v>
      </c>
      <c r="AD202" s="255">
        <f>_xlfn.XLOOKUP(FME_Ranking1[[#This Row],[FME ID]],FME_Input[FME_ID],FME_Input[FARMACRE100])</f>
        <v>98.028602600097656</v>
      </c>
      <c r="AE202" s="230">
        <f>(FME_Ranking1[[#This Row],[Ag Land Raw]]/$AD$2)*100</f>
        <v>4.0422607458268167E-3</v>
      </c>
      <c r="AF202" s="231">
        <f>FME_Ranking1[[#This Row],[Ag Land Score (Normalized, Unweighted)]]*$AD$3</f>
        <v>2.0211303729134085E-4</v>
      </c>
      <c r="AG20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1.4162001221162008</v>
      </c>
      <c r="AH202" s="406">
        <f t="shared" si="3"/>
        <v>202</v>
      </c>
      <c r="AI20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1.4162001221162008</v>
      </c>
      <c r="AJ202" s="257">
        <f>FME_Ranking1[[#This Row],[Addition check]]-FME_Ranking1[[#This Row],[Weighted Score Based on Normalized Reported Factors]]</f>
        <v>0</v>
      </c>
      <c r="AK202" s="178">
        <f>_xlfn.RANK.EQ(AI202,$AI$6:$AI$2341,0)+COUNTIF($AI$6:AI202,AI202)-1</f>
        <v>202</v>
      </c>
    </row>
    <row r="203" spans="1:37" ht="12" customHeight="1" x14ac:dyDescent="0.25">
      <c r="A203" t="s">
        <v>1476</v>
      </c>
      <c r="B203">
        <f>_xlfn.XLOOKUP(FME_Ranking1[[#This Row],[FME ID]],FME_Input[FME_ID],FME_Input[RFPG_NUM])</f>
        <v>6</v>
      </c>
      <c r="C203" t="str">
        <f>_xlfn.XLOOKUP(FME_Ranking1[[#This Row],[FME ID]],FME_Input[FME_ID],FME_Input[FME_NAME])</f>
        <v>April Sound Subdivision Evaluation</v>
      </c>
      <c r="D203" t="str">
        <f>_xlfn.XLOOKUP(FME_Ranking1[[#This Row],[FME ID]],FME_Input[FME_ID],FME_Input[DESCR])</f>
        <v>Detailed analysis to be completed for the entire development using detailed storm sewer modeling.</v>
      </c>
      <c r="E203" s="256">
        <f>_xlfn.XLOOKUP(FME_Ranking1[[#This Row],[FME ID]],FME_Input[FME_ID],FME_Input[FME_COST])</f>
        <v>1700000</v>
      </c>
      <c r="F203" t="str">
        <f>_xlfn.XLOOKUP(FME_Ranking1[[#This Row],[FME ID]],FME_Input[FME_ID],FME_Input[EMER_NEED])</f>
        <v>No</v>
      </c>
      <c r="G203">
        <f>IF(FME_Ranking!F203="Yes",100,0)</f>
        <v>0</v>
      </c>
      <c r="H203">
        <f>FME_Ranking1[[#This Row],[Emergency Need Score (Normalized, Unweighted)]]*$F$3</f>
        <v>0</v>
      </c>
      <c r="I203" s="246">
        <f>_xlfn.XLOOKUP(FME_Ranking1[[#This Row],[FME ID]],FME_Input[FME_ID],FME_Input[STRUCT_100])</f>
        <v>3465</v>
      </c>
      <c r="J203" s="178">
        <f>(FME_Ranking1[[#This Row],[Structures 100 Raw]]/I$2)*100</f>
        <v>1.8554813006040356</v>
      </c>
      <c r="K203" s="178">
        <f>FME_Ranking1[[#This Row],[Structures 100  Score (Normalized, Unweighted)]]*$I$3</f>
        <v>0.27832219509060535</v>
      </c>
      <c r="L203" s="246">
        <f>_xlfn.XLOOKUP(FME_Ranking1[[#This Row],[FME ID]],FME_Input[FME_ID],FME_Input[RES_STRUCT100])</f>
        <v>2633</v>
      </c>
      <c r="M203" s="230">
        <f>(FME_Ranking1[[#This Row],[Res Structures Raw]]/L$2)*100</f>
        <v>1.8649686220623025</v>
      </c>
      <c r="N203" s="180">
        <f>FME_Ranking1[[#This Row],[Res Structures Score (Normalized, Unweighted)]]*$L$3</f>
        <v>0.18649686220623027</v>
      </c>
      <c r="O203" s="244">
        <f>_xlfn.XLOOKUP(FME_Ranking1[[#This Row],[FME ID]],FME_Input[FME_ID],FME_Input[POP100])</f>
        <v>14964</v>
      </c>
      <c r="P203" s="178">
        <f>(FME_Ranking1[[#This Row],[Pop Raw]]/$O$2)*100</f>
        <v>1.5319441685998538</v>
      </c>
      <c r="Q203" s="178">
        <f>FME_Ranking1[[#This Row],[Pop Score (Normalized, Unweighted)]]*$O$3</f>
        <v>0.22979162528997807</v>
      </c>
      <c r="R203" s="137">
        <f>_xlfn.XLOOKUP(FME_Ranking1[[#This Row],[FME ID]],FME_Input[FME_ID],FME_Input[CRITFAC100])</f>
        <v>46</v>
      </c>
      <c r="S203" s="230">
        <f>(FME_Ranking1[[#This Row],[Critical Facilities Raw]]/$R$2)*100</f>
        <v>1.9725557461406518</v>
      </c>
      <c r="T203" s="180">
        <f>FME_Ranking1[[#This Row],[Critical Facilities Score (Normalized, Unweighted)]]*$R$3</f>
        <v>0.39451114922813035</v>
      </c>
      <c r="U203">
        <f>_xlfn.XLOOKUP(FME_Ranking1[[#This Row],[FME ID]],FME_Input[FME_ID],FME_Input[LWC])</f>
        <v>18</v>
      </c>
      <c r="V203" s="178">
        <f>(FME_Ranking1[[#This Row],[LWC Raw]]/$U$2)*100</f>
        <v>1.0362694300518136</v>
      </c>
      <c r="W203" s="178">
        <f>FME_Ranking1[[#This Row],[LWC Score (Normalized, Unweighted)]]*$U$3</f>
        <v>0.20725388601036274</v>
      </c>
      <c r="X203" s="246">
        <f>_xlfn.XLOOKUP(FME_Ranking1[[#This Row],[FME ID]],FME_Input[FME_ID],FME_Input[ROADCLS])</f>
        <v>18</v>
      </c>
      <c r="Y203" s="230">
        <f>(FME_Ranking1[[#This Row],[Closures Raw]]/$X$2)*100</f>
        <v>0.18925454736620756</v>
      </c>
      <c r="Z203" s="180">
        <f>FME_Ranking1[[#This Row],[Closures Score (Normalized, Unweighted)]]*$X$3</f>
        <v>9.4627273683103794E-3</v>
      </c>
      <c r="AA203" s="253">
        <f>_xlfn.XLOOKUP(FME_Ranking1[[#This Row],[FME ID]],FME_Input[FME_ID],FME_Input[ROAD_MILES100])</f>
        <v>83.782958984375</v>
      </c>
      <c r="AB203" s="178">
        <f>(FME_Ranking1[[#This Row],[Miles Raw]]/$AA$2)*100</f>
        <v>1.1015956388529242</v>
      </c>
      <c r="AC203" s="178">
        <f>FME_Ranking1[[#This Row],[Miles Score (Normalized, Unweighted)]]*$AA$3</f>
        <v>0.11015956388529242</v>
      </c>
      <c r="AD203" s="255">
        <f>_xlfn.XLOOKUP(FME_Ranking1[[#This Row],[FME ID]],FME_Input[FME_ID],FME_Input[FARMACRE100])</f>
        <v>98.028602600097656</v>
      </c>
      <c r="AE203" s="230">
        <f>(FME_Ranking1[[#This Row],[Ag Land Raw]]/$AD$2)*100</f>
        <v>4.0422607458268167E-3</v>
      </c>
      <c r="AF203" s="231">
        <f>FME_Ranking1[[#This Row],[Ag Land Score (Normalized, Unweighted)]]*$AD$3</f>
        <v>2.0211303729134085E-4</v>
      </c>
      <c r="AG20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1.4162001221162008</v>
      </c>
      <c r="AH203" s="406">
        <f t="shared" si="3"/>
        <v>202</v>
      </c>
      <c r="AI20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1.4162001221162008</v>
      </c>
      <c r="AJ203" s="257">
        <f>FME_Ranking1[[#This Row],[Addition check]]-FME_Ranking1[[#This Row],[Weighted Score Based on Normalized Reported Factors]]</f>
        <v>0</v>
      </c>
      <c r="AK203" s="178">
        <f>_xlfn.RANK.EQ(AI203,$AI$6:$AI$2341,0)+COUNTIF($AI$6:AI203,AI203)-1</f>
        <v>203</v>
      </c>
    </row>
    <row r="204" spans="1:37" ht="12" customHeight="1" x14ac:dyDescent="0.25">
      <c r="A204" t="s">
        <v>1479</v>
      </c>
      <c r="B204">
        <f>_xlfn.XLOOKUP(FME_Ranking1[[#This Row],[FME ID]],FME_Input[FME_ID],FME_Input[RFPG_NUM])</f>
        <v>6</v>
      </c>
      <c r="C204" t="str">
        <f>_xlfn.XLOOKUP(FME_Ranking1[[#This Row],[FME ID]],FME_Input[FME_ID],FME_Input[FME_NAME])</f>
        <v>City of Conroe Downtown Master Drainage Plan</v>
      </c>
      <c r="D204" t="str">
        <f>_xlfn.XLOOKUP(FME_Ranking1[[#This Row],[FME ID]],FME_Input[FME_ID],FME_Input[DESCR])</f>
        <v xml:space="preserve">Full as-built storm sewer intventory survey and a full drainage study recommended. </v>
      </c>
      <c r="E204" s="256">
        <f>_xlfn.XLOOKUP(FME_Ranking1[[#This Row],[FME ID]],FME_Input[FME_ID],FME_Input[FME_COST])</f>
        <v>750000</v>
      </c>
      <c r="F204" t="str">
        <f>_xlfn.XLOOKUP(FME_Ranking1[[#This Row],[FME ID]],FME_Input[FME_ID],FME_Input[EMER_NEED])</f>
        <v>No</v>
      </c>
      <c r="G204">
        <f>IF(FME_Ranking!F204="Yes",100,0)</f>
        <v>0</v>
      </c>
      <c r="H204">
        <f>FME_Ranking1[[#This Row],[Emergency Need Score (Normalized, Unweighted)]]*$F$3</f>
        <v>0</v>
      </c>
      <c r="I204" s="246">
        <f>_xlfn.XLOOKUP(FME_Ranking1[[#This Row],[FME ID]],FME_Input[FME_ID],FME_Input[STRUCT_100])</f>
        <v>3465</v>
      </c>
      <c r="J204" s="178">
        <f>(FME_Ranking1[[#This Row],[Structures 100 Raw]]/I$2)*100</f>
        <v>1.8554813006040356</v>
      </c>
      <c r="K204" s="178">
        <f>FME_Ranking1[[#This Row],[Structures 100  Score (Normalized, Unweighted)]]*$I$3</f>
        <v>0.27832219509060535</v>
      </c>
      <c r="L204" s="246">
        <f>_xlfn.XLOOKUP(FME_Ranking1[[#This Row],[FME ID]],FME_Input[FME_ID],FME_Input[RES_STRUCT100])</f>
        <v>2633</v>
      </c>
      <c r="M204" s="230">
        <f>(FME_Ranking1[[#This Row],[Res Structures Raw]]/L$2)*100</f>
        <v>1.8649686220623025</v>
      </c>
      <c r="N204" s="180">
        <f>FME_Ranking1[[#This Row],[Res Structures Score (Normalized, Unweighted)]]*$L$3</f>
        <v>0.18649686220623027</v>
      </c>
      <c r="O204" s="244">
        <f>_xlfn.XLOOKUP(FME_Ranking1[[#This Row],[FME ID]],FME_Input[FME_ID],FME_Input[POP100])</f>
        <v>14964</v>
      </c>
      <c r="P204" s="178">
        <f>(FME_Ranking1[[#This Row],[Pop Raw]]/$O$2)*100</f>
        <v>1.5319441685998538</v>
      </c>
      <c r="Q204" s="178">
        <f>FME_Ranking1[[#This Row],[Pop Score (Normalized, Unweighted)]]*$O$3</f>
        <v>0.22979162528997807</v>
      </c>
      <c r="R204" s="137">
        <f>_xlfn.XLOOKUP(FME_Ranking1[[#This Row],[FME ID]],FME_Input[FME_ID],FME_Input[CRITFAC100])</f>
        <v>46</v>
      </c>
      <c r="S204" s="230">
        <f>(FME_Ranking1[[#This Row],[Critical Facilities Raw]]/$R$2)*100</f>
        <v>1.9725557461406518</v>
      </c>
      <c r="T204" s="180">
        <f>FME_Ranking1[[#This Row],[Critical Facilities Score (Normalized, Unweighted)]]*$R$3</f>
        <v>0.39451114922813035</v>
      </c>
      <c r="U204">
        <f>_xlfn.XLOOKUP(FME_Ranking1[[#This Row],[FME ID]],FME_Input[FME_ID],FME_Input[LWC])</f>
        <v>18</v>
      </c>
      <c r="V204" s="178">
        <f>(FME_Ranking1[[#This Row],[LWC Raw]]/$U$2)*100</f>
        <v>1.0362694300518136</v>
      </c>
      <c r="W204" s="178">
        <f>FME_Ranking1[[#This Row],[LWC Score (Normalized, Unweighted)]]*$U$3</f>
        <v>0.20725388601036274</v>
      </c>
      <c r="X204" s="246">
        <f>_xlfn.XLOOKUP(FME_Ranking1[[#This Row],[FME ID]],FME_Input[FME_ID],FME_Input[ROADCLS])</f>
        <v>18</v>
      </c>
      <c r="Y204" s="230">
        <f>(FME_Ranking1[[#This Row],[Closures Raw]]/$X$2)*100</f>
        <v>0.18925454736620756</v>
      </c>
      <c r="Z204" s="180">
        <f>FME_Ranking1[[#This Row],[Closures Score (Normalized, Unweighted)]]*$X$3</f>
        <v>9.4627273683103794E-3</v>
      </c>
      <c r="AA204" s="253">
        <f>_xlfn.XLOOKUP(FME_Ranking1[[#This Row],[FME ID]],FME_Input[FME_ID],FME_Input[ROAD_MILES100])</f>
        <v>83.782958984375</v>
      </c>
      <c r="AB204" s="178">
        <f>(FME_Ranking1[[#This Row],[Miles Raw]]/$AA$2)*100</f>
        <v>1.1015956388529242</v>
      </c>
      <c r="AC204" s="178">
        <f>FME_Ranking1[[#This Row],[Miles Score (Normalized, Unweighted)]]*$AA$3</f>
        <v>0.11015956388529242</v>
      </c>
      <c r="AD204" s="255">
        <f>_xlfn.XLOOKUP(FME_Ranking1[[#This Row],[FME ID]],FME_Input[FME_ID],FME_Input[FARMACRE100])</f>
        <v>98.028602600097656</v>
      </c>
      <c r="AE204" s="230">
        <f>(FME_Ranking1[[#This Row],[Ag Land Raw]]/$AD$2)*100</f>
        <v>4.0422607458268167E-3</v>
      </c>
      <c r="AF204" s="231">
        <f>FME_Ranking1[[#This Row],[Ag Land Score (Normalized, Unweighted)]]*$AD$3</f>
        <v>2.0211303729134085E-4</v>
      </c>
      <c r="AG20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1.4162001221162008</v>
      </c>
      <c r="AH204" s="406">
        <f t="shared" si="3"/>
        <v>202</v>
      </c>
      <c r="AI20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1.4162001221162008</v>
      </c>
      <c r="AJ204" s="257">
        <f>FME_Ranking1[[#This Row],[Addition check]]-FME_Ranking1[[#This Row],[Weighted Score Based on Normalized Reported Factors]]</f>
        <v>0</v>
      </c>
      <c r="AK204" s="178">
        <f>_xlfn.RANK.EQ(AI204,$AI$6:$AI$2341,0)+COUNTIF($AI$6:AI204,AI204)-1</f>
        <v>204</v>
      </c>
    </row>
    <row r="205" spans="1:37" ht="12" customHeight="1" x14ac:dyDescent="0.25">
      <c r="A205" t="s">
        <v>3962</v>
      </c>
      <c r="B205">
        <f>_xlfn.XLOOKUP(FME_Ranking1[[#This Row],[FME ID]],FME_Input[FME_ID],FME_Input[RFPG_NUM])</f>
        <v>3</v>
      </c>
      <c r="C205" t="str">
        <f>_xlfn.XLOOKUP(FME_Ranking1[[#This Row],[FME ID]],FME_Input[FME_ID],FME_Input[FME_NAME])</f>
        <v xml:space="preserve">Navarro County FEMA Mapping </v>
      </c>
      <c r="D205" t="str">
        <f>_xlfn.XLOOKUP(FME_Ranking1[[#This Row],[FME ID]],FME_Input[FME_ID],FME_Input[DESCR])</f>
        <v>Create FEMA mapping in previously unmapped areas and update existing FEMA maps as needed.</v>
      </c>
      <c r="E205" s="256">
        <f>_xlfn.XLOOKUP(FME_Ranking1[[#This Row],[FME ID]],FME_Input[FME_ID],FME_Input[FME_COST])</f>
        <v>1482000</v>
      </c>
      <c r="F205" t="str">
        <f>_xlfn.XLOOKUP(FME_Ranking1[[#This Row],[FME ID]],FME_Input[FME_ID],FME_Input[EMER_NEED])</f>
        <v>No</v>
      </c>
      <c r="G205">
        <f>IF(FME_Ranking!F205="Yes",100,0)</f>
        <v>0</v>
      </c>
      <c r="H205">
        <f>FME_Ranking1[[#This Row],[Emergency Need Score (Normalized, Unweighted)]]*$F$3</f>
        <v>0</v>
      </c>
      <c r="I205" s="246">
        <f>_xlfn.XLOOKUP(FME_Ranking1[[#This Row],[FME ID]],FME_Input[FME_ID],FME_Input[STRUCT_100])</f>
        <v>1759</v>
      </c>
      <c r="J205" s="178">
        <f>(FME_Ranking1[[#This Row],[Structures 100 Raw]]/I$2)*100</f>
        <v>0.94193119993145702</v>
      </c>
      <c r="K205" s="178">
        <f>FME_Ranking1[[#This Row],[Structures 100  Score (Normalized, Unweighted)]]*$I$3</f>
        <v>0.14128967998971856</v>
      </c>
      <c r="L205" s="246">
        <f>_xlfn.XLOOKUP(FME_Ranking1[[#This Row],[FME ID]],FME_Input[FME_ID],FME_Input[RES_STRUCT100])</f>
        <v>995</v>
      </c>
      <c r="M205" s="230">
        <f>(FME_Ranking1[[#This Row],[Res Structures Raw]]/L$2)*100</f>
        <v>0.70476406340751652</v>
      </c>
      <c r="N205" s="180">
        <f>FME_Ranking1[[#This Row],[Res Structures Score (Normalized, Unweighted)]]*$L$3</f>
        <v>7.0476406340751654E-2</v>
      </c>
      <c r="O205" s="244">
        <f>_xlfn.XLOOKUP(FME_Ranking1[[#This Row],[FME ID]],FME_Input[FME_ID],FME_Input[POP100])</f>
        <v>2576</v>
      </c>
      <c r="P205" s="178">
        <f>(FME_Ranking1[[#This Row],[Pop Raw]]/$O$2)*100</f>
        <v>0.26371880368305423</v>
      </c>
      <c r="Q205" s="178">
        <f>FME_Ranking1[[#This Row],[Pop Score (Normalized, Unweighted)]]*$O$3</f>
        <v>3.9557820552458135E-2</v>
      </c>
      <c r="R205" s="137">
        <f>_xlfn.XLOOKUP(FME_Ranking1[[#This Row],[FME ID]],FME_Input[FME_ID],FME_Input[CRITFAC100])</f>
        <v>11</v>
      </c>
      <c r="S205" s="230">
        <f>(FME_Ranking1[[#This Row],[Critical Facilities Raw]]/$R$2)*100</f>
        <v>0.47169811320754718</v>
      </c>
      <c r="T205" s="180">
        <f>FME_Ranking1[[#This Row],[Critical Facilities Score (Normalized, Unweighted)]]*$R$3</f>
        <v>9.4339622641509441E-2</v>
      </c>
      <c r="U205">
        <f>_xlfn.XLOOKUP(FME_Ranking1[[#This Row],[FME ID]],FME_Input[FME_ID],FME_Input[LWC])</f>
        <v>64</v>
      </c>
      <c r="V205" s="178">
        <f>(FME_Ranking1[[#This Row],[LWC Raw]]/$U$2)*100</f>
        <v>3.684513529073115</v>
      </c>
      <c r="W205" s="178">
        <f>FME_Ranking1[[#This Row],[LWC Score (Normalized, Unweighted)]]*$U$3</f>
        <v>0.73690270581462303</v>
      </c>
      <c r="X205" s="246">
        <f>_xlfn.XLOOKUP(FME_Ranking1[[#This Row],[FME ID]],FME_Input[FME_ID],FME_Input[ROADCLS])</f>
        <v>0</v>
      </c>
      <c r="Y205" s="230">
        <f>(FME_Ranking1[[#This Row],[Closures Raw]]/$X$2)*100</f>
        <v>0</v>
      </c>
      <c r="Z205" s="180">
        <f>FME_Ranking1[[#This Row],[Closures Score (Normalized, Unweighted)]]*$X$3</f>
        <v>0</v>
      </c>
      <c r="AA205" s="253">
        <f>_xlfn.XLOOKUP(FME_Ranking1[[#This Row],[FME ID]],FME_Input[FME_ID],FME_Input[ROAD_MILES100])</f>
        <v>211.1390075683594</v>
      </c>
      <c r="AB205" s="178">
        <f>(FME_Ranking1[[#This Row],[Miles Raw]]/$AA$2)*100</f>
        <v>2.7760992539355867</v>
      </c>
      <c r="AC205" s="178">
        <f>FME_Ranking1[[#This Row],[Miles Score (Normalized, Unweighted)]]*$AA$3</f>
        <v>0.27760992539355867</v>
      </c>
      <c r="AD205" s="255">
        <f>_xlfn.XLOOKUP(FME_Ranking1[[#This Row],[FME ID]],FME_Input[FME_ID],FME_Input[FARMACRE100])</f>
        <v>106570.296875</v>
      </c>
      <c r="AE205" s="230">
        <f>(FME_Ranking1[[#This Row],[Ag Land Raw]]/$AD$2)*100</f>
        <v>4.3944819807978535</v>
      </c>
      <c r="AF205" s="231">
        <f>FME_Ranking1[[#This Row],[Ag Land Score (Normalized, Unweighted)]]*$AD$3</f>
        <v>0.21972409903989268</v>
      </c>
      <c r="AG20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1.5799002597725122</v>
      </c>
      <c r="AH205" s="406">
        <f t="shared" si="3"/>
        <v>190</v>
      </c>
      <c r="AI20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1.5799002597725122</v>
      </c>
      <c r="AJ205" s="257">
        <f>FME_Ranking1[[#This Row],[Addition check]]-FME_Ranking1[[#This Row],[Weighted Score Based on Normalized Reported Factors]]</f>
        <v>0</v>
      </c>
      <c r="AK205" s="178">
        <f>_xlfn.RANK.EQ(AI205,$AI$6:$AI$2341,0)+COUNTIF($AI$6:AI205,AI205)-1</f>
        <v>190</v>
      </c>
    </row>
    <row r="206" spans="1:37" ht="12" customHeight="1" x14ac:dyDescent="0.25">
      <c r="A206" t="s">
        <v>10909</v>
      </c>
      <c r="B206">
        <f>_xlfn.XLOOKUP(FME_Ranking1[[#This Row],[FME ID]],FME_Input[FME_ID],FME_Input[RFPG_NUM])</f>
        <v>14</v>
      </c>
      <c r="C206" t="str">
        <f>_xlfn.XLOOKUP(FME_Ranking1[[#This Row],[FME ID]],FME_Input[FME_ID],FME_Input[FME_NAME])</f>
        <v>Increase Storage Capacity of Fort Bliss Sump</v>
      </c>
      <c r="D206" t="str">
        <f>_xlfn.XLOOKUP(FME_Ranking1[[#This Row],[FME ID]],FME_Input[FME_ID],FME_Input[DESCR])</f>
        <v>Excavate Fort Bliss Sump while avoiding newly delineated wetland to increase storage capacity of sump.  Requires continued coordination with U.S. Army due to project location on Fort Bliss.</v>
      </c>
      <c r="E206" s="256">
        <f>_xlfn.XLOOKUP(FME_Ranking1[[#This Row],[FME ID]],FME_Input[FME_ID],FME_Input[FME_COST])</f>
        <v>30000</v>
      </c>
      <c r="F206" t="str">
        <f>_xlfn.XLOOKUP(FME_Ranking1[[#This Row],[FME ID]],FME_Input[FME_ID],FME_Input[EMER_NEED])</f>
        <v>No</v>
      </c>
      <c r="G206">
        <f>IF(FME_Ranking!F206="Yes",100,0)</f>
        <v>0</v>
      </c>
      <c r="H206">
        <f>FME_Ranking1[[#This Row],[Emergency Need Score (Normalized, Unweighted)]]*$F$3</f>
        <v>0</v>
      </c>
      <c r="I206" s="246">
        <f>_xlfn.XLOOKUP(FME_Ranking1[[#This Row],[FME ID]],FME_Input[FME_ID],FME_Input[STRUCT_100])</f>
        <v>3766</v>
      </c>
      <c r="J206" s="178">
        <f>(FME_Ranking1[[#This Row],[Structures 100 Raw]]/I$2)*100</f>
        <v>2.0166645246969113</v>
      </c>
      <c r="K206" s="178">
        <f>FME_Ranking1[[#This Row],[Structures 100  Score (Normalized, Unweighted)]]*$I$3</f>
        <v>0.3024996787045367</v>
      </c>
      <c r="L206" s="246">
        <f>_xlfn.XLOOKUP(FME_Ranking1[[#This Row],[FME ID]],FME_Input[FME_ID],FME_Input[RES_STRUCT100])</f>
        <v>2331</v>
      </c>
      <c r="M206" s="230">
        <f>(FME_Ranking1[[#This Row],[Res Structures Raw]]/L$2)*100</f>
        <v>1.6510603334702723</v>
      </c>
      <c r="N206" s="180">
        <f>FME_Ranking1[[#This Row],[Res Structures Score (Normalized, Unweighted)]]*$L$3</f>
        <v>0.16510603334702723</v>
      </c>
      <c r="O206" s="244">
        <f>_xlfn.XLOOKUP(FME_Ranking1[[#This Row],[FME ID]],FME_Input[FME_ID],FME_Input[POP100])</f>
        <v>24444</v>
      </c>
      <c r="P206" s="178">
        <f>(FME_Ranking1[[#This Row],[Pop Raw]]/$O$2)*100</f>
        <v>2.50246212625333</v>
      </c>
      <c r="Q206" s="178">
        <f>FME_Ranking1[[#This Row],[Pop Score (Normalized, Unweighted)]]*$O$3</f>
        <v>0.37536931893799946</v>
      </c>
      <c r="R206" s="137">
        <f>_xlfn.XLOOKUP(FME_Ranking1[[#This Row],[FME ID]],FME_Input[FME_ID],FME_Input[CRITFAC100])</f>
        <v>45</v>
      </c>
      <c r="S206" s="230">
        <f>(FME_Ranking1[[#This Row],[Critical Facilities Raw]]/$R$2)*100</f>
        <v>1.9296740994854202</v>
      </c>
      <c r="T206" s="180">
        <f>FME_Ranking1[[#This Row],[Critical Facilities Score (Normalized, Unweighted)]]*$R$3</f>
        <v>0.38593481989708406</v>
      </c>
      <c r="U206">
        <f>_xlfn.XLOOKUP(FME_Ranking1[[#This Row],[FME ID]],FME_Input[FME_ID],FME_Input[LWC])</f>
        <v>2</v>
      </c>
      <c r="V206" s="178">
        <f>(FME_Ranking1[[#This Row],[LWC Raw]]/$U$2)*100</f>
        <v>0.11514104778353484</v>
      </c>
      <c r="W206" s="178">
        <f>FME_Ranking1[[#This Row],[LWC Score (Normalized, Unweighted)]]*$U$3</f>
        <v>2.302820955670697E-2</v>
      </c>
      <c r="X206" s="246">
        <f>_xlfn.XLOOKUP(FME_Ranking1[[#This Row],[FME ID]],FME_Input[FME_ID],FME_Input[ROADCLS])</f>
        <v>82</v>
      </c>
      <c r="Y206" s="230">
        <f>(FME_Ranking1[[#This Row],[Closures Raw]]/$X$2)*100</f>
        <v>0.86215960466827879</v>
      </c>
      <c r="Z206" s="180">
        <f>FME_Ranking1[[#This Row],[Closures Score (Normalized, Unweighted)]]*$X$3</f>
        <v>4.3107980233413945E-2</v>
      </c>
      <c r="AA206" s="253">
        <f>_xlfn.XLOOKUP(FME_Ranking1[[#This Row],[FME ID]],FME_Input[FME_ID],FME_Input[ROAD_MILES100])</f>
        <v>150.69999694824219</v>
      </c>
      <c r="AB206" s="178">
        <f>(FME_Ranking1[[#This Row],[Miles Raw]]/$AA$2)*100</f>
        <v>1.9814346667356604</v>
      </c>
      <c r="AC206" s="178">
        <f>FME_Ranking1[[#This Row],[Miles Score (Normalized, Unweighted)]]*$AA$3</f>
        <v>0.19814346667356605</v>
      </c>
      <c r="AD206" s="255">
        <f>_xlfn.XLOOKUP(FME_Ranking1[[#This Row],[FME ID]],FME_Input[FME_ID],FME_Input[FARMACRE100])</f>
        <v>666.0999755859375</v>
      </c>
      <c r="AE206" s="230">
        <f>(FME_Ranking1[[#This Row],[Ag Land Raw]]/$AD$2)*100</f>
        <v>2.7466981194165813E-2</v>
      </c>
      <c r="AF206" s="231">
        <f>FME_Ranking1[[#This Row],[Ag Land Score (Normalized, Unweighted)]]*$AD$3</f>
        <v>1.3733490597082907E-3</v>
      </c>
      <c r="AG20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1.4945628564100426</v>
      </c>
      <c r="AH206" s="406">
        <f t="shared" si="3"/>
        <v>194</v>
      </c>
      <c r="AI20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1.4945628564100426</v>
      </c>
      <c r="AJ206" s="257">
        <f>FME_Ranking1[[#This Row],[Addition check]]-FME_Ranking1[[#This Row],[Weighted Score Based on Normalized Reported Factors]]</f>
        <v>0</v>
      </c>
      <c r="AK206" s="178">
        <f>_xlfn.RANK.EQ(AI206,$AI$6:$AI$2341,0)+COUNTIF($AI$6:AI206,AI206)-1</f>
        <v>194</v>
      </c>
    </row>
    <row r="207" spans="1:37" ht="12" customHeight="1" x14ac:dyDescent="0.25">
      <c r="A207" t="s">
        <v>1739</v>
      </c>
      <c r="B207">
        <f>_xlfn.XLOOKUP(FME_Ranking1[[#This Row],[FME ID]],FME_Input[FME_ID],FME_Input[RFPG_NUM])</f>
        <v>6</v>
      </c>
      <c r="C207" t="str">
        <f>_xlfn.XLOOKUP(FME_Ranking1[[#This Row],[FME ID]],FME_Input[FME_ID],FME_Input[FME_NAME])</f>
        <v>City of Seabrook  Master Drainage Plan</v>
      </c>
      <c r="D207" t="str">
        <f>_xlfn.XLOOKUP(FME_Ranking1[[#This Row],[FME ID]],FME_Input[FME_ID],FME_Input[DESCR])</f>
        <v>Study to develop Master Drainage Plan using future and existing land use and flood/storm water drainage needs including Atlas 14 rainfall.</v>
      </c>
      <c r="E207" s="256">
        <f>_xlfn.XLOOKUP(FME_Ranking1[[#This Row],[FME ID]],FME_Input[FME_ID],FME_Input[FME_COST])</f>
        <v>420000</v>
      </c>
      <c r="F207" t="str">
        <f>_xlfn.XLOOKUP(FME_Ranking1[[#This Row],[FME ID]],FME_Input[FME_ID],FME_Input[EMER_NEED])</f>
        <v>Yes</v>
      </c>
      <c r="G207">
        <f>IF(FME_Ranking!F207="Yes",100,0)</f>
        <v>100</v>
      </c>
      <c r="H207">
        <f>FME_Ranking1[[#This Row],[Emergency Need Score (Normalized, Unweighted)]]*$F$3</f>
        <v>0</v>
      </c>
      <c r="I207" s="246">
        <f>_xlfn.XLOOKUP(FME_Ranking1[[#This Row],[FME ID]],FME_Input[FME_ID],FME_Input[STRUCT_100])</f>
        <v>3570</v>
      </c>
      <c r="J207" s="178">
        <f>(FME_Ranking1[[#This Row],[Structures 100 Raw]]/I$2)*100</f>
        <v>1.9117080066829457</v>
      </c>
      <c r="K207" s="178">
        <f>FME_Ranking1[[#This Row],[Structures 100  Score (Normalized, Unweighted)]]*$I$3</f>
        <v>0.28675620100244187</v>
      </c>
      <c r="L207" s="246">
        <f>_xlfn.XLOOKUP(FME_Ranking1[[#This Row],[FME ID]],FME_Input[FME_ID],FME_Input[RES_STRUCT100])</f>
        <v>3177</v>
      </c>
      <c r="M207" s="230">
        <f>(FME_Ranking1[[#This Row],[Res Structures Raw]]/L$2)*100</f>
        <v>2.2502868637645026</v>
      </c>
      <c r="N207" s="180">
        <f>FME_Ranking1[[#This Row],[Res Structures Score (Normalized, Unweighted)]]*$L$3</f>
        <v>0.22502868637645027</v>
      </c>
      <c r="O207" s="244">
        <f>_xlfn.XLOOKUP(FME_Ranking1[[#This Row],[FME ID]],FME_Input[FME_ID],FME_Input[POP100])</f>
        <v>16087</v>
      </c>
      <c r="P207" s="178">
        <f>(FME_Ranking1[[#This Row],[Pop Raw]]/$O$2)*100</f>
        <v>1.646911643963235</v>
      </c>
      <c r="Q207" s="178">
        <f>FME_Ranking1[[#This Row],[Pop Score (Normalized, Unweighted)]]*$O$3</f>
        <v>0.24703674659448524</v>
      </c>
      <c r="R207" s="137">
        <f>_xlfn.XLOOKUP(FME_Ranking1[[#This Row],[FME ID]],FME_Input[FME_ID],FME_Input[CRITFAC100])</f>
        <v>59</v>
      </c>
      <c r="S207" s="230">
        <f>(FME_Ranking1[[#This Row],[Critical Facilities Raw]]/$R$2)*100</f>
        <v>2.5300171526586621</v>
      </c>
      <c r="T207" s="180">
        <f>FME_Ranking1[[#This Row],[Critical Facilities Score (Normalized, Unweighted)]]*$R$3</f>
        <v>0.50600343053173247</v>
      </c>
      <c r="U207">
        <f>_xlfn.XLOOKUP(FME_Ranking1[[#This Row],[FME ID]],FME_Input[FME_ID],FME_Input[LWC])</f>
        <v>0</v>
      </c>
      <c r="V207" s="178">
        <f>(FME_Ranking1[[#This Row],[LWC Raw]]/$U$2)*100</f>
        <v>0</v>
      </c>
      <c r="W207" s="178">
        <f>FME_Ranking1[[#This Row],[LWC Score (Normalized, Unweighted)]]*$U$3</f>
        <v>0</v>
      </c>
      <c r="X207" s="246">
        <f>_xlfn.XLOOKUP(FME_Ranking1[[#This Row],[FME ID]],FME_Input[FME_ID],FME_Input[ROADCLS])</f>
        <v>0</v>
      </c>
      <c r="Y207" s="230">
        <f>(FME_Ranking1[[#This Row],[Closures Raw]]/$X$2)*100</f>
        <v>0</v>
      </c>
      <c r="Z207" s="180">
        <f>FME_Ranking1[[#This Row],[Closures Score (Normalized, Unweighted)]]*$X$3</f>
        <v>0</v>
      </c>
      <c r="AA207" s="253">
        <f>_xlfn.XLOOKUP(FME_Ranking1[[#This Row],[FME ID]],FME_Input[FME_ID],FME_Input[ROAD_MILES100])</f>
        <v>52.05743408203125</v>
      </c>
      <c r="AB207" s="178">
        <f>(FME_Ranking1[[#This Row],[Miles Raw]]/$AA$2)*100</f>
        <v>0.68446188878735981</v>
      </c>
      <c r="AC207" s="178">
        <f>FME_Ranking1[[#This Row],[Miles Score (Normalized, Unweighted)]]*$AA$3</f>
        <v>6.8446188878735978E-2</v>
      </c>
      <c r="AD207" s="255">
        <f>_xlfn.XLOOKUP(FME_Ranking1[[#This Row],[FME ID]],FME_Input[FME_ID],FME_Input[FARMACRE100])</f>
        <v>11.4744987487793</v>
      </c>
      <c r="AE207" s="230">
        <f>(FME_Ranking1[[#This Row],[Ag Land Raw]]/$AD$2)*100</f>
        <v>4.731569627636749E-4</v>
      </c>
      <c r="AF207" s="231">
        <f>FME_Ranking1[[#This Row],[Ag Land Score (Normalized, Unweighted)]]*$AD$3</f>
        <v>2.3657848138183746E-5</v>
      </c>
      <c r="AG20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1.3332949112319841</v>
      </c>
      <c r="AH207" s="406">
        <f t="shared" si="3"/>
        <v>208</v>
      </c>
      <c r="AI20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1.3332949112319841</v>
      </c>
      <c r="AJ207" s="257">
        <f>FME_Ranking1[[#This Row],[Addition check]]-FME_Ranking1[[#This Row],[Weighted Score Based on Normalized Reported Factors]]</f>
        <v>0</v>
      </c>
      <c r="AK207" s="178">
        <f>_xlfn.RANK.EQ(AI207,$AI$6:$AI$2341,0)+COUNTIF($AI$6:AI207,AI207)-1</f>
        <v>208</v>
      </c>
    </row>
    <row r="208" spans="1:37" ht="12" customHeight="1" x14ac:dyDescent="0.25">
      <c r="A208" t="s">
        <v>2005</v>
      </c>
      <c r="B208">
        <f>_xlfn.XLOOKUP(FME_Ranking1[[#This Row],[FME ID]],FME_Input[FME_ID],FME_Input[RFPG_NUM])</f>
        <v>6</v>
      </c>
      <c r="C208" t="str">
        <f>_xlfn.XLOOKUP(FME_Ranking1[[#This Row],[FME ID]],FME_Input[FME_ID],FME_Input[FME_NAME])</f>
        <v>G103-38-00 (Kingwood Diversion Ditch)</v>
      </c>
      <c r="D208" t="str">
        <f>_xlfn.XLOOKUP(FME_Ranking1[[#This Row],[FME ID]],FME_Input[FME_ID],FME_Input[DESCR])</f>
        <v>Study to develop a BCR required for this to become a FMP. Improvements to the Kingwood Diversion Ditch include channel modifications, flow diversion from Bens Branch, bridge replacements, as well as a new outfall to the West Fork San Jacinto River.</v>
      </c>
      <c r="E208" s="256">
        <f>_xlfn.XLOOKUP(FME_Ranking1[[#This Row],[FME ID]],FME_Input[FME_ID],FME_Input[FME_COST])</f>
        <v>30000</v>
      </c>
      <c r="F208" t="str">
        <f>_xlfn.XLOOKUP(FME_Ranking1[[#This Row],[FME ID]],FME_Input[FME_ID],FME_Input[EMER_NEED])</f>
        <v>No</v>
      </c>
      <c r="G208">
        <f>IF(FME_Ranking!F208="Yes",100,0)</f>
        <v>0</v>
      </c>
      <c r="H208">
        <f>FME_Ranking1[[#This Row],[Emergency Need Score (Normalized, Unweighted)]]*$F$3</f>
        <v>0</v>
      </c>
      <c r="I208" s="246">
        <f>_xlfn.XLOOKUP(FME_Ranking1[[#This Row],[FME ID]],FME_Input[FME_ID],FME_Input[STRUCT_100])</f>
        <v>3464</v>
      </c>
      <c r="J208" s="178">
        <f>(FME_Ranking1[[#This Row],[Structures 100 Raw]]/I$2)*100</f>
        <v>1.8549458081651888</v>
      </c>
      <c r="K208" s="178">
        <f>FME_Ranking1[[#This Row],[Structures 100  Score (Normalized, Unweighted)]]*$I$3</f>
        <v>0.27824187122477834</v>
      </c>
      <c r="L208" s="246">
        <f>_xlfn.XLOOKUP(FME_Ranking1[[#This Row],[FME ID]],FME_Input[FME_ID],FME_Input[RES_STRUCT100])</f>
        <v>3027</v>
      </c>
      <c r="M208" s="230">
        <f>(FME_Ranking1[[#This Row],[Res Structures Raw]]/L$2)*100</f>
        <v>2.1440410250598516</v>
      </c>
      <c r="N208" s="180">
        <f>FME_Ranking1[[#This Row],[Res Structures Score (Normalized, Unweighted)]]*$L$3</f>
        <v>0.21440410250598518</v>
      </c>
      <c r="O208" s="244">
        <f>_xlfn.XLOOKUP(FME_Ranking1[[#This Row],[FME ID]],FME_Input[FME_ID],FME_Input[POP100])</f>
        <v>17400</v>
      </c>
      <c r="P208" s="178">
        <f>(FME_Ranking1[[#This Row],[Pop Raw]]/$O$2)*100</f>
        <v>1.7813304286044811</v>
      </c>
      <c r="Q208" s="178">
        <f>FME_Ranking1[[#This Row],[Pop Score (Normalized, Unweighted)]]*$O$3</f>
        <v>0.26719956429067215</v>
      </c>
      <c r="R208" s="137">
        <f>_xlfn.XLOOKUP(FME_Ranking1[[#This Row],[FME ID]],FME_Input[FME_ID],FME_Input[CRITFAC100])</f>
        <v>54</v>
      </c>
      <c r="S208" s="230">
        <f>(FME_Ranking1[[#This Row],[Critical Facilities Raw]]/$R$2)*100</f>
        <v>2.3156089193825045</v>
      </c>
      <c r="T208" s="180">
        <f>FME_Ranking1[[#This Row],[Critical Facilities Score (Normalized, Unweighted)]]*$R$3</f>
        <v>0.46312178387650094</v>
      </c>
      <c r="U208">
        <f>_xlfn.XLOOKUP(FME_Ranking1[[#This Row],[FME ID]],FME_Input[FME_ID],FME_Input[LWC])</f>
        <v>2</v>
      </c>
      <c r="V208" s="178">
        <f>(FME_Ranking1[[#This Row],[LWC Raw]]/$U$2)*100</f>
        <v>0.11514104778353484</v>
      </c>
      <c r="W208" s="178">
        <f>FME_Ranking1[[#This Row],[LWC Score (Normalized, Unweighted)]]*$U$3</f>
        <v>2.302820955670697E-2</v>
      </c>
      <c r="X208" s="246">
        <f>_xlfn.XLOOKUP(FME_Ranking1[[#This Row],[FME ID]],FME_Input[FME_ID],FME_Input[ROADCLS])</f>
        <v>2</v>
      </c>
      <c r="Y208" s="230">
        <f>(FME_Ranking1[[#This Row],[Closures Raw]]/$X$2)*100</f>
        <v>2.1028283040689728E-2</v>
      </c>
      <c r="Z208" s="180">
        <f>FME_Ranking1[[#This Row],[Closures Score (Normalized, Unweighted)]]*$X$3</f>
        <v>1.0514141520344864E-3</v>
      </c>
      <c r="AA208" s="253">
        <f>_xlfn.XLOOKUP(FME_Ranking1[[#This Row],[FME ID]],FME_Input[FME_ID],FME_Input[ROAD_MILES100])</f>
        <v>60.609878540039063</v>
      </c>
      <c r="AB208" s="178">
        <f>(FME_Ranking1[[#This Row],[Miles Raw]]/$AA$2)*100</f>
        <v>0.7969111938808966</v>
      </c>
      <c r="AC208" s="178">
        <f>FME_Ranking1[[#This Row],[Miles Score (Normalized, Unweighted)]]*$AA$3</f>
        <v>7.9691119388089662E-2</v>
      </c>
      <c r="AD208" s="255">
        <f>_xlfn.XLOOKUP(FME_Ranking1[[#This Row],[FME ID]],FME_Input[FME_ID],FME_Input[FARMACRE100])</f>
        <v>9.4893770217895508</v>
      </c>
      <c r="AE208" s="230">
        <f>(FME_Ranking1[[#This Row],[Ag Land Raw]]/$AD$2)*100</f>
        <v>3.9129942914735248E-4</v>
      </c>
      <c r="AF208" s="231">
        <f>FME_Ranking1[[#This Row],[Ag Land Score (Normalized, Unweighted)]]*$AD$3</f>
        <v>1.9564971457367624E-5</v>
      </c>
      <c r="AG20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1.3267576299662251</v>
      </c>
      <c r="AH208" s="406">
        <f t="shared" si="3"/>
        <v>209</v>
      </c>
      <c r="AI20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1.3267576299662251</v>
      </c>
      <c r="AJ208" s="257">
        <f>FME_Ranking1[[#This Row],[Addition check]]-FME_Ranking1[[#This Row],[Weighted Score Based on Normalized Reported Factors]]</f>
        <v>0</v>
      </c>
      <c r="AK208" s="178">
        <f>_xlfn.RANK.EQ(AI208,$AI$6:$AI$2341,0)+COUNTIF($AI$6:AI208,AI208)-1</f>
        <v>209</v>
      </c>
    </row>
    <row r="209" spans="1:37" ht="12" customHeight="1" x14ac:dyDescent="0.25">
      <c r="A209" t="s">
        <v>1365</v>
      </c>
      <c r="B209">
        <f>_xlfn.XLOOKUP(FME_Ranking1[[#This Row],[FME ID]],FME_Input[FME_ID],FME_Input[RFPG_NUM])</f>
        <v>6</v>
      </c>
      <c r="C209" t="str">
        <f>_xlfn.XLOOKUP(FME_Ranking1[[#This Row],[FME ID]],FME_Input[FME_ID],FME_Input[FME_NAME])</f>
        <v>Buffalo Bayou Watershed Study</v>
      </c>
      <c r="D209" t="str">
        <f>_xlfn.XLOOKUP(FME_Ranking1[[#This Row],[FME ID]],FME_Input[FME_ID],FME_Input[DESCR])</f>
        <v>Watershed wide study using latest data, including MAAPnext models and Atlas 14 rainfall. Study to identify flooding issues within watershed, identify projects to reduce flooding, and provide cost estimates and benefit and cost metrics for each project.</v>
      </c>
      <c r="E209" s="256">
        <f>_xlfn.XLOOKUP(FME_Ranking1[[#This Row],[FME ID]],FME_Input[FME_ID],FME_Input[FME_COST])</f>
        <v>500000</v>
      </c>
      <c r="F209" t="str">
        <f>_xlfn.XLOOKUP(FME_Ranking1[[#This Row],[FME ID]],FME_Input[FME_ID],FME_Input[EMER_NEED])</f>
        <v>Yes</v>
      </c>
      <c r="G209">
        <f>IF(FME_Ranking!F209="Yes",100,0)</f>
        <v>100</v>
      </c>
      <c r="H209">
        <f>FME_Ranking1[[#This Row],[Emergency Need Score (Normalized, Unweighted)]]*$F$3</f>
        <v>0</v>
      </c>
      <c r="I209" s="246">
        <f>_xlfn.XLOOKUP(FME_Ranking1[[#This Row],[FME ID]],FME_Input[FME_ID],FME_Input[STRUCT_100])</f>
        <v>1999</v>
      </c>
      <c r="J209" s="178">
        <f>(FME_Ranking1[[#This Row],[Structures 100 Raw]]/I$2)*100</f>
        <v>1.0704493852546801</v>
      </c>
      <c r="K209" s="178">
        <f>FME_Ranking1[[#This Row],[Structures 100  Score (Normalized, Unweighted)]]*$I$3</f>
        <v>0.16056740778820203</v>
      </c>
      <c r="L209" s="246">
        <f>_xlfn.XLOOKUP(FME_Ranking1[[#This Row],[FME ID]],FME_Input[FME_ID],FME_Input[RES_STRUCT100])</f>
        <v>1533</v>
      </c>
      <c r="M209" s="230">
        <f>(FME_Ranking1[[#This Row],[Res Structures Raw]]/L$2)*100</f>
        <v>1.0858324715615306</v>
      </c>
      <c r="N209" s="180">
        <f>FME_Ranking1[[#This Row],[Res Structures Score (Normalized, Unweighted)]]*$L$3</f>
        <v>0.10858324715615307</v>
      </c>
      <c r="O209" s="244">
        <f>_xlfn.XLOOKUP(FME_Ranking1[[#This Row],[FME ID]],FME_Input[FME_ID],FME_Input[POP100])</f>
        <v>44477</v>
      </c>
      <c r="P209" s="178">
        <f>(FME_Ranking1[[#This Row],[Pop Raw]]/$O$2)*100</f>
        <v>4.5533467513242245</v>
      </c>
      <c r="Q209" s="178">
        <f>FME_Ranking1[[#This Row],[Pop Score (Normalized, Unweighted)]]*$O$3</f>
        <v>0.6830020126986337</v>
      </c>
      <c r="R209" s="137">
        <f>_xlfn.XLOOKUP(FME_Ranking1[[#This Row],[FME ID]],FME_Input[FME_ID],FME_Input[CRITFAC100])</f>
        <v>34</v>
      </c>
      <c r="S209" s="230">
        <f>(FME_Ranking1[[#This Row],[Critical Facilities Raw]]/$R$2)*100</f>
        <v>1.4579759862778732</v>
      </c>
      <c r="T209" s="180">
        <f>FME_Ranking1[[#This Row],[Critical Facilities Score (Normalized, Unweighted)]]*$R$3</f>
        <v>0.29159519725557465</v>
      </c>
      <c r="U209">
        <f>_xlfn.XLOOKUP(FME_Ranking1[[#This Row],[FME ID]],FME_Input[FME_ID],FME_Input[LWC])</f>
        <v>0</v>
      </c>
      <c r="V209" s="178">
        <f>(FME_Ranking1[[#This Row],[LWC Raw]]/$U$2)*100</f>
        <v>0</v>
      </c>
      <c r="W209" s="178">
        <f>FME_Ranking1[[#This Row],[LWC Score (Normalized, Unweighted)]]*$U$3</f>
        <v>0</v>
      </c>
      <c r="X209" s="246">
        <f>_xlfn.XLOOKUP(FME_Ranking1[[#This Row],[FME ID]],FME_Input[FME_ID],FME_Input[ROADCLS])</f>
        <v>0</v>
      </c>
      <c r="Y209" s="230">
        <f>(FME_Ranking1[[#This Row],[Closures Raw]]/$X$2)*100</f>
        <v>0</v>
      </c>
      <c r="Z209" s="180">
        <f>FME_Ranking1[[#This Row],[Closures Score (Normalized, Unweighted)]]*$X$3</f>
        <v>0</v>
      </c>
      <c r="AA209" s="253">
        <f>_xlfn.XLOOKUP(FME_Ranking1[[#This Row],[FME ID]],FME_Input[FME_ID],FME_Input[ROAD_MILES100])</f>
        <v>38.711746215820313</v>
      </c>
      <c r="AB209" s="178">
        <f>(FME_Ranking1[[#This Row],[Miles Raw]]/$AA$2)*100</f>
        <v>0.5089900299616037</v>
      </c>
      <c r="AC209" s="178">
        <f>FME_Ranking1[[#This Row],[Miles Score (Normalized, Unweighted)]]*$AA$3</f>
        <v>5.0899002996160375E-2</v>
      </c>
      <c r="AD209" s="255">
        <f>_xlfn.XLOOKUP(FME_Ranking1[[#This Row],[FME ID]],FME_Input[FME_ID],FME_Input[FARMACRE100])</f>
        <v>17.899942398071289</v>
      </c>
      <c r="AE209" s="230">
        <f>(FME_Ranking1[[#This Row],[Ag Land Raw]]/$AD$2)*100</f>
        <v>7.3811349533827418E-4</v>
      </c>
      <c r="AF209" s="231">
        <f>FME_Ranking1[[#This Row],[Ag Land Score (Normalized, Unweighted)]]*$AD$3</f>
        <v>3.690567476691371E-5</v>
      </c>
      <c r="AG20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1.2946837735694907</v>
      </c>
      <c r="AH209" s="406">
        <f t="shared" si="3"/>
        <v>212</v>
      </c>
      <c r="AI20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1.2946837735694907</v>
      </c>
      <c r="AJ209" s="257">
        <f>FME_Ranking1[[#This Row],[Addition check]]-FME_Ranking1[[#This Row],[Weighted Score Based on Normalized Reported Factors]]</f>
        <v>0</v>
      </c>
      <c r="AK209" s="178">
        <f>_xlfn.RANK.EQ(AI209,$AI$6:$AI$2341,0)+COUNTIF($AI$6:AI209,AI209)-1</f>
        <v>212</v>
      </c>
    </row>
    <row r="210" spans="1:37" ht="12" customHeight="1" x14ac:dyDescent="0.25">
      <c r="A210" t="s">
        <v>6075</v>
      </c>
      <c r="B210">
        <f>_xlfn.XLOOKUP(FME_Ranking1[[#This Row],[FME ID]],FME_Input[FME_ID],FME_Input[RFPG_NUM])</f>
        <v>5</v>
      </c>
      <c r="C210" t="str">
        <f>_xlfn.XLOOKUP(FME_Ranking1[[#This Row],[FME ID]],FME_Input[FME_ID],FME_Input[FME_NAME])</f>
        <v>City of Tyler Master Drainage Plan</v>
      </c>
      <c r="D210"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210" s="256">
        <f>_xlfn.XLOOKUP(FME_Ranking1[[#This Row],[FME ID]],FME_Input[FME_ID],FME_Input[FME_COST])</f>
        <v>2200000</v>
      </c>
      <c r="F210" t="str">
        <f>_xlfn.XLOOKUP(FME_Ranking1[[#This Row],[FME ID]],FME_Input[FME_ID],FME_Input[EMER_NEED])</f>
        <v>Yes</v>
      </c>
      <c r="G210">
        <f>IF(FME_Ranking!F210="Yes",100,0)</f>
        <v>100</v>
      </c>
      <c r="H210">
        <f>FME_Ranking1[[#This Row],[Emergency Need Score (Normalized, Unweighted)]]*$F$3</f>
        <v>0</v>
      </c>
      <c r="I210" s="246">
        <f>_xlfn.XLOOKUP(FME_Ranking1[[#This Row],[FME ID]],FME_Input[FME_ID],FME_Input[STRUCT_100])</f>
        <v>1042</v>
      </c>
      <c r="J210" s="178">
        <f>(FME_Ranking1[[#This Row],[Structures 100 Raw]]/I$2)*100</f>
        <v>0.55798312127832761</v>
      </c>
      <c r="K210" s="178">
        <f>FME_Ranking1[[#This Row],[Structures 100  Score (Normalized, Unweighted)]]*$I$3</f>
        <v>8.3697468191749141E-2</v>
      </c>
      <c r="L210" s="246">
        <f>_xlfn.XLOOKUP(FME_Ranking1[[#This Row],[FME ID]],FME_Input[FME_ID],FME_Input[RES_STRUCT100])</f>
        <v>755</v>
      </c>
      <c r="M210" s="230">
        <f>(FME_Ranking1[[#This Row],[Res Structures Raw]]/L$2)*100</f>
        <v>0.53477072148007543</v>
      </c>
      <c r="N210" s="180">
        <f>FME_Ranking1[[#This Row],[Res Structures Score (Normalized, Unweighted)]]*$L$3</f>
        <v>5.3477072148007544E-2</v>
      </c>
      <c r="O210" s="244">
        <f>_xlfn.XLOOKUP(FME_Ranking1[[#This Row],[FME ID]],FME_Input[FME_ID],FME_Input[POP100])</f>
        <v>7482</v>
      </c>
      <c r="P210" s="178">
        <f>(FME_Ranking1[[#This Row],[Pop Raw]]/$O$2)*100</f>
        <v>0.76597208429992691</v>
      </c>
      <c r="Q210" s="178">
        <f>FME_Ranking1[[#This Row],[Pop Score (Normalized, Unweighted)]]*$O$3</f>
        <v>0.11489581264498903</v>
      </c>
      <c r="R210" s="137">
        <f>_xlfn.XLOOKUP(FME_Ranking1[[#This Row],[FME ID]],FME_Input[FME_ID],FME_Input[CRITFAC100])</f>
        <v>72</v>
      </c>
      <c r="S210" s="230">
        <f>(FME_Ranking1[[#This Row],[Critical Facilities Raw]]/$R$2)*100</f>
        <v>3.0874785591766725</v>
      </c>
      <c r="T210" s="180">
        <f>FME_Ranking1[[#This Row],[Critical Facilities Score (Normalized, Unweighted)]]*$R$3</f>
        <v>0.61749571183533458</v>
      </c>
      <c r="U210">
        <f>_xlfn.XLOOKUP(FME_Ranking1[[#This Row],[FME ID]],FME_Input[FME_ID],FME_Input[LWC])</f>
        <v>31</v>
      </c>
      <c r="V210" s="178">
        <f>(FME_Ranking1[[#This Row],[LWC Raw]]/$U$2)*100</f>
        <v>1.7846862406447899</v>
      </c>
      <c r="W210" s="178">
        <f>FME_Ranking1[[#This Row],[LWC Score (Normalized, Unweighted)]]*$U$3</f>
        <v>0.356937248128958</v>
      </c>
      <c r="X210" s="246">
        <f>_xlfn.XLOOKUP(FME_Ranking1[[#This Row],[FME ID]],FME_Input[FME_ID],FME_Input[ROADCLS])</f>
        <v>31</v>
      </c>
      <c r="Y210" s="230">
        <f>(FME_Ranking1[[#This Row],[Closures Raw]]/$X$2)*100</f>
        <v>0.32593838713069079</v>
      </c>
      <c r="Z210" s="180">
        <f>FME_Ranking1[[#This Row],[Closures Score (Normalized, Unweighted)]]*$X$3</f>
        <v>1.6296919356534541E-2</v>
      </c>
      <c r="AA210" s="253">
        <f>_xlfn.XLOOKUP(FME_Ranking1[[#This Row],[FME ID]],FME_Input[FME_ID],FME_Input[ROAD_MILES100])</f>
        <v>23.134172439575199</v>
      </c>
      <c r="AB210" s="178">
        <f>(FME_Ranking1[[#This Row],[Miles Raw]]/$AA$2)*100</f>
        <v>0.3041728744942066</v>
      </c>
      <c r="AC210" s="178">
        <f>FME_Ranking1[[#This Row],[Miles Score (Normalized, Unweighted)]]*$AA$3</f>
        <v>3.0417287449420662E-2</v>
      </c>
      <c r="AD210" s="255">
        <f>_xlfn.XLOOKUP(FME_Ranking1[[#This Row],[FME ID]],FME_Input[FME_ID],FME_Input[FARMACRE100])</f>
        <v>3.937710046768188</v>
      </c>
      <c r="AE210" s="230">
        <f>(FME_Ranking1[[#This Row],[Ag Land Raw]]/$AD$2)*100</f>
        <v>1.6237353515516774E-4</v>
      </c>
      <c r="AF210" s="231">
        <f>FME_Ranking1[[#This Row],[Ag Land Score (Normalized, Unweighted)]]*$AD$3</f>
        <v>8.1186767577583869E-6</v>
      </c>
      <c r="AG21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1.2732256384317513</v>
      </c>
      <c r="AH210" s="406">
        <f t="shared" si="3"/>
        <v>219</v>
      </c>
      <c r="AI21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1.2732256384317513</v>
      </c>
      <c r="AJ210" s="257">
        <f>FME_Ranking1[[#This Row],[Addition check]]-FME_Ranking1[[#This Row],[Weighted Score Based on Normalized Reported Factors]]</f>
        <v>0</v>
      </c>
      <c r="AK210" s="178">
        <f>_xlfn.RANK.EQ(AI210,$AI$6:$AI$2341,0)+COUNTIF($AI$6:AI210,AI210)-1</f>
        <v>219</v>
      </c>
    </row>
    <row r="211" spans="1:37" ht="12" customHeight="1" x14ac:dyDescent="0.25">
      <c r="A211" t="s">
        <v>1957</v>
      </c>
      <c r="B211">
        <f>_xlfn.XLOOKUP(FME_Ranking1[[#This Row],[FME ID]],FME_Input[FME_ID],FME_Input[RFPG_NUM])</f>
        <v>6</v>
      </c>
      <c r="C211" t="str">
        <f>_xlfn.XLOOKUP(FME_Ranking1[[#This Row],[FME ID]],FME_Input[FME_ID],FME_Input[FME_NAME])</f>
        <v>TC Jester Detention Basin</v>
      </c>
      <c r="D211" t="str">
        <f>_xlfn.XLOOKUP(FME_Ranking1[[#This Row],[FME ID]],FME_Input[FME_ID],FME_Input[DESCR])</f>
        <v>Study to develop a Benefit Cost Analysis needed for this project to become a FMP. Construction of a 25 acre stormwater detention basin.  Estimated construction cost is $10,047,910. This application is requesting $10,000,000.00 of these funds.</v>
      </c>
      <c r="E211" s="256">
        <f>_xlfn.XLOOKUP(FME_Ranking1[[#This Row],[FME ID]],FME_Input[FME_ID],FME_Input[FME_COST])</f>
        <v>30000</v>
      </c>
      <c r="F211" t="str">
        <f>_xlfn.XLOOKUP(FME_Ranking1[[#This Row],[FME ID]],FME_Input[FME_ID],FME_Input[EMER_NEED])</f>
        <v>No</v>
      </c>
      <c r="G211">
        <f>IF(FME_Ranking!F211="Yes",100,0)</f>
        <v>0</v>
      </c>
      <c r="H211">
        <f>FME_Ranking1[[#This Row],[Emergency Need Score (Normalized, Unweighted)]]*$F$3</f>
        <v>0</v>
      </c>
      <c r="I211" s="246">
        <f>_xlfn.XLOOKUP(FME_Ranking1[[#This Row],[FME ID]],FME_Input[FME_ID],FME_Input[STRUCT_100])</f>
        <v>2995</v>
      </c>
      <c r="J211" s="178">
        <f>(FME_Ranking1[[#This Row],[Structures 100 Raw]]/I$2)*100</f>
        <v>1.6037998543460565</v>
      </c>
      <c r="K211" s="178">
        <f>FME_Ranking1[[#This Row],[Structures 100  Score (Normalized, Unweighted)]]*$I$3</f>
        <v>0.24056997815190848</v>
      </c>
      <c r="L211" s="246">
        <f>_xlfn.XLOOKUP(FME_Ranking1[[#This Row],[FME ID]],FME_Input[FME_ID],FME_Input[RES_STRUCT100])</f>
        <v>2413</v>
      </c>
      <c r="M211" s="230">
        <f>(FME_Ranking1[[#This Row],[Res Structures Raw]]/L$2)*100</f>
        <v>1.7091413919621483</v>
      </c>
      <c r="N211" s="180">
        <f>FME_Ranking1[[#This Row],[Res Structures Score (Normalized, Unweighted)]]*$L$3</f>
        <v>0.17091413919621484</v>
      </c>
      <c r="O211" s="244">
        <f>_xlfn.XLOOKUP(FME_Ranking1[[#This Row],[FME ID]],FME_Input[FME_ID],FME_Input[POP100])</f>
        <v>18540</v>
      </c>
      <c r="P211" s="178">
        <f>(FME_Ranking1[[#This Row],[Pop Raw]]/$O$2)*100</f>
        <v>1.8980382842716712</v>
      </c>
      <c r="Q211" s="178">
        <f>FME_Ranking1[[#This Row],[Pop Score (Normalized, Unweighted)]]*$O$3</f>
        <v>0.28470574264075066</v>
      </c>
      <c r="R211" s="137">
        <f>_xlfn.XLOOKUP(FME_Ranking1[[#This Row],[FME ID]],FME_Input[FME_ID],FME_Input[CRITFAC100])</f>
        <v>53</v>
      </c>
      <c r="S211" s="230">
        <f>(FME_Ranking1[[#This Row],[Critical Facilities Raw]]/$R$2)*100</f>
        <v>2.2727272727272729</v>
      </c>
      <c r="T211" s="180">
        <f>FME_Ranking1[[#This Row],[Critical Facilities Score (Normalized, Unweighted)]]*$R$3</f>
        <v>0.45454545454545459</v>
      </c>
      <c r="U211">
        <f>_xlfn.XLOOKUP(FME_Ranking1[[#This Row],[FME ID]],FME_Input[FME_ID],FME_Input[LWC])</f>
        <v>4</v>
      </c>
      <c r="V211" s="178">
        <f>(FME_Ranking1[[#This Row],[LWC Raw]]/$U$2)*100</f>
        <v>0.23028209556706969</v>
      </c>
      <c r="W211" s="178">
        <f>FME_Ranking1[[#This Row],[LWC Score (Normalized, Unweighted)]]*$U$3</f>
        <v>4.6056419113413939E-2</v>
      </c>
      <c r="X211" s="246">
        <f>_xlfn.XLOOKUP(FME_Ranking1[[#This Row],[FME ID]],FME_Input[FME_ID],FME_Input[ROADCLS])</f>
        <v>4</v>
      </c>
      <c r="Y211" s="230">
        <f>(FME_Ranking1[[#This Row],[Closures Raw]]/$X$2)*100</f>
        <v>4.2056566081379455E-2</v>
      </c>
      <c r="Z211" s="180">
        <f>FME_Ranking1[[#This Row],[Closures Score (Normalized, Unweighted)]]*$X$3</f>
        <v>2.1028283040689729E-3</v>
      </c>
      <c r="AA211" s="253">
        <f>_xlfn.XLOOKUP(FME_Ranking1[[#This Row],[FME ID]],FME_Input[FME_ID],FME_Input[ROAD_MILES100])</f>
        <v>59.859764099121087</v>
      </c>
      <c r="AB211" s="178">
        <f>(FME_Ranking1[[#This Row],[Miles Raw]]/$AA$2)*100</f>
        <v>0.7870485343762359</v>
      </c>
      <c r="AC211" s="178">
        <f>FME_Ranking1[[#This Row],[Miles Score (Normalized, Unweighted)]]*$AA$3</f>
        <v>7.8704853437623595E-2</v>
      </c>
      <c r="AD211" s="255">
        <f>_xlfn.XLOOKUP(FME_Ranking1[[#This Row],[FME ID]],FME_Input[FME_ID],FME_Input[FARMACRE100])</f>
        <v>44.074214935302727</v>
      </c>
      <c r="AE211" s="230">
        <f>(FME_Ranking1[[#This Row],[Ag Land Raw]]/$AD$2)*100</f>
        <v>1.8174233255461173E-3</v>
      </c>
      <c r="AF211" s="231">
        <f>FME_Ranking1[[#This Row],[Ag Land Score (Normalized, Unweighted)]]*$AD$3</f>
        <v>9.0871166277305866E-5</v>
      </c>
      <c r="AG21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1.277690286555712</v>
      </c>
      <c r="AH211" s="406">
        <f t="shared" si="3"/>
        <v>217</v>
      </c>
      <c r="AI21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1.277690286555712</v>
      </c>
      <c r="AJ211" s="257">
        <f>FME_Ranking1[[#This Row],[Addition check]]-FME_Ranking1[[#This Row],[Weighted Score Based on Normalized Reported Factors]]</f>
        <v>0</v>
      </c>
      <c r="AK211" s="178">
        <f>_xlfn.RANK.EQ(AI211,$AI$6:$AI$2341,0)+COUNTIF($AI$6:AI211,AI211)-1</f>
        <v>217</v>
      </c>
    </row>
    <row r="212" spans="1:37" ht="12" customHeight="1" x14ac:dyDescent="0.25">
      <c r="A212" t="s">
        <v>1991</v>
      </c>
      <c r="B212">
        <f>_xlfn.XLOOKUP(FME_Ranking1[[#This Row],[FME ID]],FME_Input[FME_ID],FME_Input[RFPG_NUM])</f>
        <v>6</v>
      </c>
      <c r="C212" t="str">
        <f>_xlfn.XLOOKUP(FME_Ranking1[[#This Row],[FME ID]],FME_Input[FME_ID],FME_Input[FME_NAME])</f>
        <v>Westador Stormwater Detention Basin</v>
      </c>
      <c r="D212" t="str">
        <f>_xlfn.XLOOKUP(FME_Ranking1[[#This Row],[FME ID]],FME_Input[FME_ID],FME_Input[DESCR])</f>
        <v xml:space="preserve">Study to develop a BCR required for this project to become a FMP. The Westador Detention Basin is a proposed detention mitigation project within the Cypress Creek Watershed and located south of Cypress Creek and east and west of K141‐00‐00. </v>
      </c>
      <c r="E212" s="256">
        <f>_xlfn.XLOOKUP(FME_Ranking1[[#This Row],[FME ID]],FME_Input[FME_ID],FME_Input[FME_COST])</f>
        <v>30000</v>
      </c>
      <c r="F212" t="str">
        <f>_xlfn.XLOOKUP(FME_Ranking1[[#This Row],[FME ID]],FME_Input[FME_ID],FME_Input[EMER_NEED])</f>
        <v>No</v>
      </c>
      <c r="G212">
        <f>IF(FME_Ranking!F212="Yes",100,0)</f>
        <v>0</v>
      </c>
      <c r="H212">
        <f>FME_Ranking1[[#This Row],[Emergency Need Score (Normalized, Unweighted)]]*$F$3</f>
        <v>0</v>
      </c>
      <c r="I212" s="246">
        <f>_xlfn.XLOOKUP(FME_Ranking1[[#This Row],[FME ID]],FME_Input[FME_ID],FME_Input[STRUCT_100])</f>
        <v>2995</v>
      </c>
      <c r="J212" s="178">
        <f>(FME_Ranking1[[#This Row],[Structures 100 Raw]]/I$2)*100</f>
        <v>1.6037998543460565</v>
      </c>
      <c r="K212" s="178">
        <f>FME_Ranking1[[#This Row],[Structures 100  Score (Normalized, Unweighted)]]*$I$3</f>
        <v>0.24056997815190848</v>
      </c>
      <c r="L212" s="246">
        <f>_xlfn.XLOOKUP(FME_Ranking1[[#This Row],[FME ID]],FME_Input[FME_ID],FME_Input[RES_STRUCT100])</f>
        <v>2413</v>
      </c>
      <c r="M212" s="230">
        <f>(FME_Ranking1[[#This Row],[Res Structures Raw]]/L$2)*100</f>
        <v>1.7091413919621483</v>
      </c>
      <c r="N212" s="180">
        <f>FME_Ranking1[[#This Row],[Res Structures Score (Normalized, Unweighted)]]*$L$3</f>
        <v>0.17091413919621484</v>
      </c>
      <c r="O212" s="244">
        <f>_xlfn.XLOOKUP(FME_Ranking1[[#This Row],[FME ID]],FME_Input[FME_ID],FME_Input[POP100])</f>
        <v>18540</v>
      </c>
      <c r="P212" s="178">
        <f>(FME_Ranking1[[#This Row],[Pop Raw]]/$O$2)*100</f>
        <v>1.8980382842716712</v>
      </c>
      <c r="Q212" s="178">
        <f>FME_Ranking1[[#This Row],[Pop Score (Normalized, Unweighted)]]*$O$3</f>
        <v>0.28470574264075066</v>
      </c>
      <c r="R212" s="137">
        <f>_xlfn.XLOOKUP(FME_Ranking1[[#This Row],[FME ID]],FME_Input[FME_ID],FME_Input[CRITFAC100])</f>
        <v>53</v>
      </c>
      <c r="S212" s="230">
        <f>(FME_Ranking1[[#This Row],[Critical Facilities Raw]]/$R$2)*100</f>
        <v>2.2727272727272729</v>
      </c>
      <c r="T212" s="180">
        <f>FME_Ranking1[[#This Row],[Critical Facilities Score (Normalized, Unweighted)]]*$R$3</f>
        <v>0.45454545454545459</v>
      </c>
      <c r="U212">
        <f>_xlfn.XLOOKUP(FME_Ranking1[[#This Row],[FME ID]],FME_Input[FME_ID],FME_Input[LWC])</f>
        <v>4</v>
      </c>
      <c r="V212" s="178">
        <f>(FME_Ranking1[[#This Row],[LWC Raw]]/$U$2)*100</f>
        <v>0.23028209556706969</v>
      </c>
      <c r="W212" s="178">
        <f>FME_Ranking1[[#This Row],[LWC Score (Normalized, Unweighted)]]*$U$3</f>
        <v>4.6056419113413939E-2</v>
      </c>
      <c r="X212" s="246">
        <f>_xlfn.XLOOKUP(FME_Ranking1[[#This Row],[FME ID]],FME_Input[FME_ID],FME_Input[ROADCLS])</f>
        <v>4</v>
      </c>
      <c r="Y212" s="230">
        <f>(FME_Ranking1[[#This Row],[Closures Raw]]/$X$2)*100</f>
        <v>4.2056566081379455E-2</v>
      </c>
      <c r="Z212" s="180">
        <f>FME_Ranking1[[#This Row],[Closures Score (Normalized, Unweighted)]]*$X$3</f>
        <v>2.1028283040689729E-3</v>
      </c>
      <c r="AA212" s="253">
        <f>_xlfn.XLOOKUP(FME_Ranking1[[#This Row],[FME ID]],FME_Input[FME_ID],FME_Input[ROAD_MILES100])</f>
        <v>59.859764099121087</v>
      </c>
      <c r="AB212" s="178">
        <f>(FME_Ranking1[[#This Row],[Miles Raw]]/$AA$2)*100</f>
        <v>0.7870485343762359</v>
      </c>
      <c r="AC212" s="178">
        <f>FME_Ranking1[[#This Row],[Miles Score (Normalized, Unweighted)]]*$AA$3</f>
        <v>7.8704853437623595E-2</v>
      </c>
      <c r="AD212" s="255">
        <f>_xlfn.XLOOKUP(FME_Ranking1[[#This Row],[FME ID]],FME_Input[FME_ID],FME_Input[FARMACRE100])</f>
        <v>44.074214935302727</v>
      </c>
      <c r="AE212" s="230">
        <f>(FME_Ranking1[[#This Row],[Ag Land Raw]]/$AD$2)*100</f>
        <v>1.8174233255461173E-3</v>
      </c>
      <c r="AF212" s="231">
        <f>FME_Ranking1[[#This Row],[Ag Land Score (Normalized, Unweighted)]]*$AD$3</f>
        <v>9.0871166277305866E-5</v>
      </c>
      <c r="AG21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1.277690286555712</v>
      </c>
      <c r="AH212" s="406">
        <f t="shared" si="3"/>
        <v>217</v>
      </c>
      <c r="AI21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1.277690286555712</v>
      </c>
      <c r="AJ212" s="257">
        <f>FME_Ranking1[[#This Row],[Addition check]]-FME_Ranking1[[#This Row],[Weighted Score Based on Normalized Reported Factors]]</f>
        <v>0</v>
      </c>
      <c r="AK212" s="178">
        <f>_xlfn.RANK.EQ(AI212,$AI$6:$AI$2341,0)+COUNTIF($AI$6:AI212,AI212)-1</f>
        <v>218</v>
      </c>
    </row>
    <row r="213" spans="1:37" ht="12" customHeight="1" x14ac:dyDescent="0.25">
      <c r="A213" t="s">
        <v>1401</v>
      </c>
      <c r="B213">
        <f>_xlfn.XLOOKUP(FME_Ranking1[[#This Row],[FME ID]],FME_Input[FME_ID],FME_Input[RFPG_NUM])</f>
        <v>6</v>
      </c>
      <c r="C213" t="str">
        <f>_xlfn.XLOOKUP(FME_Ranking1[[#This Row],[FME ID]],FME_Input[FME_ID],FME_Input[FME_NAME])</f>
        <v>Brays Bayou - Poor Farm Ditch</v>
      </c>
      <c r="D213" t="str">
        <f>_xlfn.XLOOKUP(FME_Ranking1[[#This Row],[FME ID]],FME_Input[FME_ID],FME_Input[DESCR])</f>
        <v>Study to develop a BCR and elevate project to a FMP. Further study of channel improvements from partnership project to restore channel conveyanve including Atlas 14 rainfalls.</v>
      </c>
      <c r="E213" s="256">
        <f>_xlfn.XLOOKUP(FME_Ranking1[[#This Row],[FME ID]],FME_Input[FME_ID],FME_Input[FME_COST])</f>
        <v>690000</v>
      </c>
      <c r="F213" t="str">
        <f>_xlfn.XLOOKUP(FME_Ranking1[[#This Row],[FME ID]],FME_Input[FME_ID],FME_Input[EMER_NEED])</f>
        <v>No</v>
      </c>
      <c r="G213">
        <f>IF(FME_Ranking!F213="Yes",100,0)</f>
        <v>0</v>
      </c>
      <c r="H213">
        <f>FME_Ranking1[[#This Row],[Emergency Need Score (Normalized, Unweighted)]]*$F$3</f>
        <v>0</v>
      </c>
      <c r="I213" s="246">
        <f>_xlfn.XLOOKUP(FME_Ranking1[[#This Row],[FME ID]],FME_Input[FME_ID],FME_Input[STRUCT_100])</f>
        <v>3295</v>
      </c>
      <c r="J213" s="178">
        <f>(FME_Ranking1[[#This Row],[Structures 100 Raw]]/I$2)*100</f>
        <v>1.7644475860000859</v>
      </c>
      <c r="K213" s="178">
        <f>FME_Ranking1[[#This Row],[Structures 100  Score (Normalized, Unweighted)]]*$I$3</f>
        <v>0.26466713790001289</v>
      </c>
      <c r="L213" s="246">
        <f>_xlfn.XLOOKUP(FME_Ranking1[[#This Row],[FME ID]],FME_Input[FME_ID],FME_Input[RES_STRUCT100])</f>
        <v>3096</v>
      </c>
      <c r="M213" s="230">
        <f>(FME_Ranking1[[#This Row],[Res Structures Raw]]/L$2)*100</f>
        <v>2.1929141108639914</v>
      </c>
      <c r="N213" s="180">
        <f>FME_Ranking1[[#This Row],[Res Structures Score (Normalized, Unweighted)]]*$L$3</f>
        <v>0.21929141108639916</v>
      </c>
      <c r="O213" s="244">
        <f>_xlfn.XLOOKUP(FME_Ranking1[[#This Row],[FME ID]],FME_Input[FME_ID],FME_Input[POP100])</f>
        <v>25842</v>
      </c>
      <c r="P213" s="178">
        <f>(FME_Ranking1[[#This Row],[Pop Raw]]/$O$2)*100</f>
        <v>2.6455828124136209</v>
      </c>
      <c r="Q213" s="178">
        <f>FME_Ranking1[[#This Row],[Pop Score (Normalized, Unweighted)]]*$O$3</f>
        <v>0.39683742186204313</v>
      </c>
      <c r="R213" s="137">
        <f>_xlfn.XLOOKUP(FME_Ranking1[[#This Row],[FME ID]],FME_Input[FME_ID],FME_Input[CRITFAC100])</f>
        <v>34</v>
      </c>
      <c r="S213" s="230">
        <f>(FME_Ranking1[[#This Row],[Critical Facilities Raw]]/$R$2)*100</f>
        <v>1.4579759862778732</v>
      </c>
      <c r="T213" s="180">
        <f>FME_Ranking1[[#This Row],[Critical Facilities Score (Normalized, Unweighted)]]*$R$3</f>
        <v>0.29159519725557465</v>
      </c>
      <c r="U213">
        <f>_xlfn.XLOOKUP(FME_Ranking1[[#This Row],[FME ID]],FME_Input[FME_ID],FME_Input[LWC])</f>
        <v>0</v>
      </c>
      <c r="V213" s="178">
        <f>(FME_Ranking1[[#This Row],[LWC Raw]]/$U$2)*100</f>
        <v>0</v>
      </c>
      <c r="W213" s="178">
        <f>FME_Ranking1[[#This Row],[LWC Score (Normalized, Unweighted)]]*$U$3</f>
        <v>0</v>
      </c>
      <c r="X213" s="246">
        <f>_xlfn.XLOOKUP(FME_Ranking1[[#This Row],[FME ID]],FME_Input[FME_ID],FME_Input[ROADCLS])</f>
        <v>0</v>
      </c>
      <c r="Y213" s="230">
        <f>(FME_Ranking1[[#This Row],[Closures Raw]]/$X$2)*100</f>
        <v>0</v>
      </c>
      <c r="Z213" s="180">
        <f>FME_Ranking1[[#This Row],[Closures Score (Normalized, Unweighted)]]*$X$3</f>
        <v>0</v>
      </c>
      <c r="AA213" s="253">
        <f>_xlfn.XLOOKUP(FME_Ranking1[[#This Row],[FME ID]],FME_Input[FME_ID],FME_Input[ROAD_MILES100])</f>
        <v>37.208820343017578</v>
      </c>
      <c r="AB213" s="178">
        <f>(FME_Ranking1[[#This Row],[Miles Raw]]/$AA$2)*100</f>
        <v>0.48922925035834963</v>
      </c>
      <c r="AC213" s="178">
        <f>FME_Ranking1[[#This Row],[Miles Score (Normalized, Unweighted)]]*$AA$3</f>
        <v>4.8922925035834966E-2</v>
      </c>
      <c r="AD213" s="255">
        <f>_xlfn.XLOOKUP(FME_Ranking1[[#This Row],[FME ID]],FME_Input[FME_ID],FME_Input[FARMACRE100])</f>
        <v>0.39104369282722468</v>
      </c>
      <c r="AE213" s="230">
        <f>(FME_Ranking1[[#This Row],[Ag Land Raw]]/$AD$2)*100</f>
        <v>1.612489138366107E-5</v>
      </c>
      <c r="AF213" s="231">
        <f>FME_Ranking1[[#This Row],[Ag Land Score (Normalized, Unweighted)]]*$AD$3</f>
        <v>8.0624456918305356E-7</v>
      </c>
      <c r="AG21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1.2213148993844338</v>
      </c>
      <c r="AH213" s="406">
        <f t="shared" si="3"/>
        <v>228</v>
      </c>
      <c r="AI21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1.2213148993844338</v>
      </c>
      <c r="AJ213" s="257">
        <f>FME_Ranking1[[#This Row],[Addition check]]-FME_Ranking1[[#This Row],[Weighted Score Based on Normalized Reported Factors]]</f>
        <v>0</v>
      </c>
      <c r="AK213" s="178">
        <f>_xlfn.RANK.EQ(AI213,$AI$6:$AI$2341,0)+COUNTIF($AI$6:AI213,AI213)-1</f>
        <v>228</v>
      </c>
    </row>
    <row r="214" spans="1:37" ht="12" customHeight="1" x14ac:dyDescent="0.25">
      <c r="A214" t="s">
        <v>1351</v>
      </c>
      <c r="B214">
        <f>_xlfn.XLOOKUP(FME_Ranking1[[#This Row],[FME ID]],FME_Input[FME_ID],FME_Input[RFPG_NUM])</f>
        <v>6</v>
      </c>
      <c r="C214" t="str">
        <f>_xlfn.XLOOKUP(FME_Ranking1[[#This Row],[FME ID]],FME_Input[FME_ID],FME_Input[FME_NAME])</f>
        <v>Addicks Reservoir Watershed Study</v>
      </c>
      <c r="D214" t="str">
        <f>_xlfn.XLOOKUP(FME_Ranking1[[#This Row],[FME ID]],FME_Input[FME_ID],FME_Input[DESCR])</f>
        <v>Watershed wide study using latest data, including MAAPnext models and Atlas 14 rainfall. Study to identify flooding issues within watershed, identify projects to reduce flooding, and provide cost estimates and benefit and cost metrics for each project.</v>
      </c>
      <c r="E214" s="256">
        <f>_xlfn.XLOOKUP(FME_Ranking1[[#This Row],[FME ID]],FME_Input[FME_ID],FME_Input[FME_COST])</f>
        <v>670000</v>
      </c>
      <c r="F214" t="str">
        <f>_xlfn.XLOOKUP(FME_Ranking1[[#This Row],[FME ID]],FME_Input[FME_ID],FME_Input[EMER_NEED])</f>
        <v>Yes</v>
      </c>
      <c r="G214">
        <f>IF(FME_Ranking!F214="Yes",100,0)</f>
        <v>100</v>
      </c>
      <c r="H214">
        <f>FME_Ranking1[[#This Row],[Emergency Need Score (Normalized, Unweighted)]]*$F$3</f>
        <v>0</v>
      </c>
      <c r="I214" s="246">
        <f>_xlfn.XLOOKUP(FME_Ranking1[[#This Row],[FME ID]],FME_Input[FME_ID],FME_Input[STRUCT_100])</f>
        <v>3746</v>
      </c>
      <c r="J214" s="178">
        <f>(FME_Ranking1[[#This Row],[Structures 100 Raw]]/I$2)*100</f>
        <v>2.005954675919976</v>
      </c>
      <c r="K214" s="178">
        <f>FME_Ranking1[[#This Row],[Structures 100  Score (Normalized, Unweighted)]]*$I$3</f>
        <v>0.30089320138799641</v>
      </c>
      <c r="L214" s="246">
        <f>_xlfn.XLOOKUP(FME_Ranking1[[#This Row],[FME ID]],FME_Input[FME_ID],FME_Input[RES_STRUCT100])</f>
        <v>3076</v>
      </c>
      <c r="M214" s="230">
        <f>(FME_Ranking1[[#This Row],[Res Structures Raw]]/L$2)*100</f>
        <v>2.1787479990367045</v>
      </c>
      <c r="N214" s="180">
        <f>FME_Ranking1[[#This Row],[Res Structures Score (Normalized, Unweighted)]]*$L$3</f>
        <v>0.21787479990367045</v>
      </c>
      <c r="O214" s="244">
        <f>_xlfn.XLOOKUP(FME_Ranking1[[#This Row],[FME ID]],FME_Input[FME_ID],FME_Input[POP100])</f>
        <v>11473</v>
      </c>
      <c r="P214" s="178">
        <f>(FME_Ranking1[[#This Row],[Pop Raw]]/$O$2)*100</f>
        <v>1.174551954447081</v>
      </c>
      <c r="Q214" s="178">
        <f>FME_Ranking1[[#This Row],[Pop Score (Normalized, Unweighted)]]*$O$3</f>
        <v>0.17618279316706215</v>
      </c>
      <c r="R214" s="137">
        <f>_xlfn.XLOOKUP(FME_Ranking1[[#This Row],[FME ID]],FME_Input[FME_ID],FME_Input[CRITFAC100])</f>
        <v>53</v>
      </c>
      <c r="S214" s="230">
        <f>(FME_Ranking1[[#This Row],[Critical Facilities Raw]]/$R$2)*100</f>
        <v>2.2727272727272729</v>
      </c>
      <c r="T214" s="180">
        <f>FME_Ranking1[[#This Row],[Critical Facilities Score (Normalized, Unweighted)]]*$R$3</f>
        <v>0.45454545454545459</v>
      </c>
      <c r="U214">
        <f>_xlfn.XLOOKUP(FME_Ranking1[[#This Row],[FME ID]],FME_Input[FME_ID],FME_Input[LWC])</f>
        <v>0</v>
      </c>
      <c r="V214" s="178">
        <f>(FME_Ranking1[[#This Row],[LWC Raw]]/$U$2)*100</f>
        <v>0</v>
      </c>
      <c r="W214" s="178">
        <f>FME_Ranking1[[#This Row],[LWC Score (Normalized, Unweighted)]]*$U$3</f>
        <v>0</v>
      </c>
      <c r="X214" s="246">
        <f>_xlfn.XLOOKUP(FME_Ranking1[[#This Row],[FME ID]],FME_Input[FME_ID],FME_Input[ROADCLS])</f>
        <v>0</v>
      </c>
      <c r="Y214" s="230">
        <f>(FME_Ranking1[[#This Row],[Closures Raw]]/$X$2)*100</f>
        <v>0</v>
      </c>
      <c r="Z214" s="180">
        <f>FME_Ranking1[[#This Row],[Closures Score (Normalized, Unweighted)]]*$X$3</f>
        <v>0</v>
      </c>
      <c r="AA214" s="253">
        <f>_xlfn.XLOOKUP(FME_Ranking1[[#This Row],[FME ID]],FME_Input[FME_ID],FME_Input[ROAD_MILES100])</f>
        <v>114.0920333862305</v>
      </c>
      <c r="AB214" s="178">
        <f>(FME_Ranking1[[#This Row],[Miles Raw]]/$AA$2)*100</f>
        <v>1.5001056053603083</v>
      </c>
      <c r="AC214" s="178">
        <f>FME_Ranking1[[#This Row],[Miles Score (Normalized, Unweighted)]]*$AA$3</f>
        <v>0.15001056053603085</v>
      </c>
      <c r="AD214" s="255">
        <f>_xlfn.XLOOKUP(FME_Ranking1[[#This Row],[FME ID]],FME_Input[FME_ID],FME_Input[FARMACRE100])</f>
        <v>1607.176391601562</v>
      </c>
      <c r="AE214" s="230">
        <f>(FME_Ranking1[[#This Row],[Ag Land Raw]]/$AD$2)*100</f>
        <v>6.6272759858601815E-2</v>
      </c>
      <c r="AF214" s="231">
        <f>FME_Ranking1[[#This Row],[Ag Land Score (Normalized, Unweighted)]]*$AD$3</f>
        <v>3.3136379929300909E-3</v>
      </c>
      <c r="AG21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1.3028204475331446</v>
      </c>
      <c r="AH214" s="406">
        <f t="shared" si="3"/>
        <v>211</v>
      </c>
      <c r="AI21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1.3028204475331446</v>
      </c>
      <c r="AJ214" s="257">
        <f>FME_Ranking1[[#This Row],[Addition check]]-FME_Ranking1[[#This Row],[Weighted Score Based on Normalized Reported Factors]]</f>
        <v>0</v>
      </c>
      <c r="AK214" s="178">
        <f>_xlfn.RANK.EQ(AI214,$AI$6:$AI$2341,0)+COUNTIF($AI$6:AI214,AI214)-1</f>
        <v>211</v>
      </c>
    </row>
    <row r="215" spans="1:37" ht="12" customHeight="1" x14ac:dyDescent="0.25">
      <c r="A215" t="s">
        <v>2012</v>
      </c>
      <c r="B215">
        <f>_xlfn.XLOOKUP(FME_Ranking1[[#This Row],[FME ID]],FME_Input[FME_ID],FME_Input[RFPG_NUM])</f>
        <v>6</v>
      </c>
      <c r="C215" t="str">
        <f>_xlfn.XLOOKUP(FME_Ranking1[[#This Row],[FME ID]],FME_Input[FME_ID],FME_Input[FME_NAME])</f>
        <v>G103-80-03.1B (Taylor Gully)</v>
      </c>
      <c r="D215" t="str">
        <f>_xlfn.XLOOKUP(FME_Ranking1[[#This Row],[FME ID]],FME_Input[FME_ID],FME_Input[DESCR])</f>
        <v>Study to develop a BCR required for this project to become a FMP. Improvements to Taylor Gully include two miles of channel conveyance improvements to the upper limits of Taylor Gully and a concrete low flow structure.</v>
      </c>
      <c r="E215" s="256">
        <f>_xlfn.XLOOKUP(FME_Ranking1[[#This Row],[FME ID]],FME_Input[FME_ID],FME_Input[FME_COST])</f>
        <v>30000</v>
      </c>
      <c r="F215" t="str">
        <f>_xlfn.XLOOKUP(FME_Ranking1[[#This Row],[FME ID]],FME_Input[FME_ID],FME_Input[EMER_NEED])</f>
        <v>No</v>
      </c>
      <c r="G215">
        <f>IF(FME_Ranking!F215="Yes",100,0)</f>
        <v>0</v>
      </c>
      <c r="H215">
        <f>FME_Ranking1[[#This Row],[Emergency Need Score (Normalized, Unweighted)]]*$F$3</f>
        <v>0</v>
      </c>
      <c r="I215" s="246">
        <f>_xlfn.XLOOKUP(FME_Ranking1[[#This Row],[FME ID]],FME_Input[FME_ID],FME_Input[STRUCT_100])</f>
        <v>3223</v>
      </c>
      <c r="J215" s="178">
        <f>(FME_Ranking1[[#This Row],[Structures 100 Raw]]/I$2)*100</f>
        <v>1.7258921304031185</v>
      </c>
      <c r="K215" s="178">
        <f>FME_Ranking1[[#This Row],[Structures 100  Score (Normalized, Unweighted)]]*$I$3</f>
        <v>0.25888381956046774</v>
      </c>
      <c r="L215" s="246">
        <f>_xlfn.XLOOKUP(FME_Ranking1[[#This Row],[FME ID]],FME_Input[FME_ID],FME_Input[RES_STRUCT100])</f>
        <v>2962</v>
      </c>
      <c r="M215" s="230">
        <f>(FME_Ranking1[[#This Row],[Res Structures Raw]]/L$2)*100</f>
        <v>2.0980011616211698</v>
      </c>
      <c r="N215" s="180">
        <f>FME_Ranking1[[#This Row],[Res Structures Score (Normalized, Unweighted)]]*$L$3</f>
        <v>0.209800116162117</v>
      </c>
      <c r="O215" s="244">
        <f>_xlfn.XLOOKUP(FME_Ranking1[[#This Row],[FME ID]],FME_Input[FME_ID],FME_Input[POP100])</f>
        <v>16230</v>
      </c>
      <c r="P215" s="178">
        <f>(FME_Ranking1[[#This Row],[Pop Raw]]/$O$2)*100</f>
        <v>1.6615513135776281</v>
      </c>
      <c r="Q215" s="178">
        <f>FME_Ranking1[[#This Row],[Pop Score (Normalized, Unweighted)]]*$O$3</f>
        <v>0.24923269703664419</v>
      </c>
      <c r="R215" s="137">
        <f>_xlfn.XLOOKUP(FME_Ranking1[[#This Row],[FME ID]],FME_Input[FME_ID],FME_Input[CRITFAC100])</f>
        <v>47</v>
      </c>
      <c r="S215" s="230">
        <f>(FME_Ranking1[[#This Row],[Critical Facilities Raw]]/$R$2)*100</f>
        <v>2.0154373927958833</v>
      </c>
      <c r="T215" s="180">
        <f>FME_Ranking1[[#This Row],[Critical Facilities Score (Normalized, Unweighted)]]*$R$3</f>
        <v>0.4030874785591767</v>
      </c>
      <c r="U215">
        <f>_xlfn.XLOOKUP(FME_Ranking1[[#This Row],[FME ID]],FME_Input[FME_ID],FME_Input[LWC])</f>
        <v>2</v>
      </c>
      <c r="V215" s="178">
        <f>(FME_Ranking1[[#This Row],[LWC Raw]]/$U$2)*100</f>
        <v>0.11514104778353484</v>
      </c>
      <c r="W215" s="178">
        <f>FME_Ranking1[[#This Row],[LWC Score (Normalized, Unweighted)]]*$U$3</f>
        <v>2.302820955670697E-2</v>
      </c>
      <c r="X215" s="246">
        <f>_xlfn.XLOOKUP(FME_Ranking1[[#This Row],[FME ID]],FME_Input[FME_ID],FME_Input[ROADCLS])</f>
        <v>2</v>
      </c>
      <c r="Y215" s="230">
        <f>(FME_Ranking1[[#This Row],[Closures Raw]]/$X$2)*100</f>
        <v>2.1028283040689728E-2</v>
      </c>
      <c r="Z215" s="180">
        <f>FME_Ranking1[[#This Row],[Closures Score (Normalized, Unweighted)]]*$X$3</f>
        <v>1.0514141520344864E-3</v>
      </c>
      <c r="AA215" s="253">
        <f>_xlfn.XLOOKUP(FME_Ranking1[[#This Row],[FME ID]],FME_Input[FME_ID],FME_Input[ROAD_MILES100])</f>
        <v>57.873943328857422</v>
      </c>
      <c r="AB215" s="178">
        <f>(FME_Ranking1[[#This Row],[Miles Raw]]/$AA$2)*100</f>
        <v>0.76093855298402968</v>
      </c>
      <c r="AC215" s="178">
        <f>FME_Ranking1[[#This Row],[Miles Score (Normalized, Unweighted)]]*$AA$3</f>
        <v>7.6093855298402971E-2</v>
      </c>
      <c r="AD215" s="255">
        <f>_xlfn.XLOOKUP(FME_Ranking1[[#This Row],[FME ID]],FME_Input[FME_ID],FME_Input[FARMACRE100])</f>
        <v>8.8642988204956055</v>
      </c>
      <c r="AE215" s="230">
        <f>(FME_Ranking1[[#This Row],[Ag Land Raw]]/$AD$2)*100</f>
        <v>3.6552400229086448E-4</v>
      </c>
      <c r="AF215" s="231">
        <f>FME_Ranking1[[#This Row],[Ag Land Score (Normalized, Unweighted)]]*$AD$3</f>
        <v>1.8276200114543225E-5</v>
      </c>
      <c r="AG21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1.2211958665256648</v>
      </c>
      <c r="AH215" s="406">
        <f t="shared" si="3"/>
        <v>229</v>
      </c>
      <c r="AI21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1.2211958665256648</v>
      </c>
      <c r="AJ215" s="257">
        <f>FME_Ranking1[[#This Row],[Addition check]]-FME_Ranking1[[#This Row],[Weighted Score Based on Normalized Reported Factors]]</f>
        <v>0</v>
      </c>
      <c r="AK215" s="178">
        <f>_xlfn.RANK.EQ(AI215,$AI$6:$AI$2341,0)+COUNTIF($AI$6:AI215,AI215)-1</f>
        <v>229</v>
      </c>
    </row>
    <row r="216" spans="1:37" ht="12" customHeight="1" x14ac:dyDescent="0.25">
      <c r="A216" t="s">
        <v>3034</v>
      </c>
      <c r="B216">
        <f>_xlfn.XLOOKUP(FME_Ranking1[[#This Row],[FME ID]],FME_Input[FME_ID],FME_Input[RFPG_NUM])</f>
        <v>1</v>
      </c>
      <c r="C216" t="str">
        <f>_xlfn.XLOOKUP(FME_Ranking1[[#This Row],[FME ID]],FME_Input[FME_ID],FME_Input[FME_NAME])</f>
        <v>Archer County Drainage Master Plan</v>
      </c>
      <c r="D216" t="str">
        <f>_xlfn.XLOOKUP(FME_Ranking1[[#This Row],[FME ID]],FME_Input[FME_ID],FME_Input[DESCR])</f>
        <v>Perform H&amp;H modeling, develop conceptual alternatives and OPCC, and rank projects; survey responses report issues with rivers, creeks, tributaries, and functioning floodplains</v>
      </c>
      <c r="E216" s="256">
        <f>_xlfn.XLOOKUP(FME_Ranking1[[#This Row],[FME ID]],FME_Input[FME_ID],FME_Input[FME_COST])</f>
        <v>500000</v>
      </c>
      <c r="F216" t="str">
        <f>_xlfn.XLOOKUP(FME_Ranking1[[#This Row],[FME ID]],FME_Input[FME_ID],FME_Input[EMER_NEED])</f>
        <v>No</v>
      </c>
      <c r="G216">
        <f>IF(FME_Ranking!F216="Yes",100,0)</f>
        <v>0</v>
      </c>
      <c r="H216">
        <f>FME_Ranking1[[#This Row],[Emergency Need Score (Normalized, Unweighted)]]*$F$3</f>
        <v>0</v>
      </c>
      <c r="I216" s="246">
        <f>_xlfn.XLOOKUP(FME_Ranking1[[#This Row],[FME ID]],FME_Input[FME_ID],FME_Input[STRUCT_100])</f>
        <v>188</v>
      </c>
      <c r="J216" s="178">
        <f>(FME_Ranking1[[#This Row],[Structures 100 Raw]]/I$2)*100</f>
        <v>0.10067257850319153</v>
      </c>
      <c r="K216" s="178">
        <f>FME_Ranking1[[#This Row],[Structures 100  Score (Normalized, Unweighted)]]*$I$3</f>
        <v>1.5100886775478729E-2</v>
      </c>
      <c r="L216" s="246">
        <f>_xlfn.XLOOKUP(FME_Ranking1[[#This Row],[FME ID]],FME_Input[FME_ID],FME_Input[RES_STRUCT100])</f>
        <v>68</v>
      </c>
      <c r="M216" s="230">
        <f>(FME_Ranking1[[#This Row],[Res Structures Raw]]/L$2)*100</f>
        <v>4.8164780212774996E-2</v>
      </c>
      <c r="N216" s="180">
        <f>FME_Ranking1[[#This Row],[Res Structures Score (Normalized, Unweighted)]]*$L$3</f>
        <v>4.8164780212774996E-3</v>
      </c>
      <c r="O216" s="244">
        <f>_xlfn.XLOOKUP(FME_Ranking1[[#This Row],[FME ID]],FME_Input[FME_ID],FME_Input[POP100])</f>
        <v>262</v>
      </c>
      <c r="P216" s="178">
        <f>(FME_Ranking1[[#This Row],[Pop Raw]]/$O$2)*100</f>
        <v>2.6822331741055978E-2</v>
      </c>
      <c r="Q216" s="178">
        <f>FME_Ranking1[[#This Row],[Pop Score (Normalized, Unweighted)]]*$O$3</f>
        <v>4.0233497611583966E-3</v>
      </c>
      <c r="R216" s="137">
        <f>_xlfn.XLOOKUP(FME_Ranking1[[#This Row],[FME ID]],FME_Input[FME_ID],FME_Input[CRITFAC100])</f>
        <v>0</v>
      </c>
      <c r="S216" s="230">
        <f>(FME_Ranking1[[#This Row],[Critical Facilities Raw]]/$R$2)*100</f>
        <v>0</v>
      </c>
      <c r="T216" s="180">
        <f>FME_Ranking1[[#This Row],[Critical Facilities Score (Normalized, Unweighted)]]*$R$3</f>
        <v>0</v>
      </c>
      <c r="U216">
        <f>_xlfn.XLOOKUP(FME_Ranking1[[#This Row],[FME ID]],FME_Input[FME_ID],FME_Input[LWC])</f>
        <v>76</v>
      </c>
      <c r="V216" s="178">
        <f>(FME_Ranking1[[#This Row],[LWC Raw]]/$U$2)*100</f>
        <v>4.3753598157743232</v>
      </c>
      <c r="W216" s="178">
        <f>FME_Ranking1[[#This Row],[LWC Score (Normalized, Unweighted)]]*$U$3</f>
        <v>0.87507196315486468</v>
      </c>
      <c r="X216" s="246">
        <f>_xlfn.XLOOKUP(FME_Ranking1[[#This Row],[FME ID]],FME_Input[FME_ID],FME_Input[ROADCLS])</f>
        <v>153</v>
      </c>
      <c r="Y216" s="230">
        <f>(FME_Ranking1[[#This Row],[Closures Raw]]/$X$2)*100</f>
        <v>1.6086636526127642</v>
      </c>
      <c r="Z216" s="180">
        <f>FME_Ranking1[[#This Row],[Closures Score (Normalized, Unweighted)]]*$X$3</f>
        <v>8.0433182630638214E-2</v>
      </c>
      <c r="AA216" s="253">
        <f>_xlfn.XLOOKUP(FME_Ranking1[[#This Row],[FME ID]],FME_Input[FME_ID],FME_Input[ROAD_MILES100])</f>
        <v>36.588230133056641</v>
      </c>
      <c r="AB216" s="178">
        <f>(FME_Ranking1[[#This Row],[Miles Raw]]/$AA$2)*100</f>
        <v>0.48106960217815964</v>
      </c>
      <c r="AC216" s="178">
        <f>FME_Ranking1[[#This Row],[Miles Score (Normalized, Unweighted)]]*$AA$3</f>
        <v>4.8106960217815964E-2</v>
      </c>
      <c r="AD216" s="255">
        <f>_xlfn.XLOOKUP(FME_Ranking1[[#This Row],[FME ID]],FME_Input[FME_ID],FME_Input[FARMACRE100])</f>
        <v>77039.7890625</v>
      </c>
      <c r="AE216" s="230">
        <f>(FME_Ranking1[[#This Row],[Ag Land Raw]]/$AD$2)*100</f>
        <v>3.1767760320375276</v>
      </c>
      <c r="AF216" s="231">
        <f>FME_Ranking1[[#This Row],[Ag Land Score (Normalized, Unweighted)]]*$AD$3</f>
        <v>0.15883880160187638</v>
      </c>
      <c r="AG21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1.1863916221631099</v>
      </c>
      <c r="AH216" s="406">
        <f t="shared" si="3"/>
        <v>240</v>
      </c>
      <c r="AI21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1.1863916221631099</v>
      </c>
      <c r="AJ216" s="257">
        <f>FME_Ranking1[[#This Row],[Addition check]]-FME_Ranking1[[#This Row],[Weighted Score Based on Normalized Reported Factors]]</f>
        <v>0</v>
      </c>
      <c r="AK216" s="178">
        <f>_xlfn.RANK.EQ(AI216,$AI$6:$AI$2341,0)+COUNTIF($AI$6:AI216,AI216)-1</f>
        <v>240</v>
      </c>
    </row>
    <row r="217" spans="1:37" ht="12" customHeight="1" x14ac:dyDescent="0.25">
      <c r="A217" t="s">
        <v>10581</v>
      </c>
      <c r="B217">
        <f>_xlfn.XLOOKUP(FME_Ranking1[[#This Row],[FME ID]],FME_Input[FME_ID],FME_Input[RFPG_NUM])</f>
        <v>13</v>
      </c>
      <c r="C217" t="str">
        <f>_xlfn.XLOOKUP(FME_Ranking1[[#This Row],[FME ID]],FME_Input[FME_ID],FME_Input[FME_NAME])</f>
        <v>County Wide Drainage Master Plan Study</v>
      </c>
      <c r="D217" t="str">
        <f>_xlfn.XLOOKUP(FME_Ranking1[[#This Row],[FME ID]],FME_Input[FME_ID],FME_Input[DESCR])</f>
        <v>Drainage Master Planning Study - Bee County</v>
      </c>
      <c r="E217" s="256">
        <f>_xlfn.XLOOKUP(FME_Ranking1[[#This Row],[FME ID]],FME_Input[FME_ID],FME_Input[FME_COST])</f>
        <v>500000</v>
      </c>
      <c r="F217" t="str">
        <f>_xlfn.XLOOKUP(FME_Ranking1[[#This Row],[FME ID]],FME_Input[FME_ID],FME_Input[EMER_NEED])</f>
        <v>Yes</v>
      </c>
      <c r="G217">
        <f>IF(FME_Ranking!F217="Yes",100,0)</f>
        <v>100</v>
      </c>
      <c r="H217">
        <f>FME_Ranking1[[#This Row],[Emergency Need Score (Normalized, Unweighted)]]*$F$3</f>
        <v>0</v>
      </c>
      <c r="I217" s="246">
        <f>_xlfn.XLOOKUP(FME_Ranking1[[#This Row],[FME ID]],FME_Input[FME_ID],FME_Input[STRUCT_100])</f>
        <v>1617</v>
      </c>
      <c r="J217" s="178">
        <f>(FME_Ranking1[[#This Row],[Structures 100 Raw]]/I$2)*100</f>
        <v>0.86589127361521645</v>
      </c>
      <c r="K217" s="178">
        <f>FME_Ranking1[[#This Row],[Structures 100  Score (Normalized, Unweighted)]]*$I$3</f>
        <v>0.12988369104228245</v>
      </c>
      <c r="L217" s="246">
        <f>_xlfn.XLOOKUP(FME_Ranking1[[#This Row],[FME ID]],FME_Input[FME_ID],FME_Input[RES_STRUCT100])</f>
        <v>792</v>
      </c>
      <c r="M217" s="230">
        <f>(FME_Ranking1[[#This Row],[Res Structures Raw]]/L$2)*100</f>
        <v>0.56097802836055588</v>
      </c>
      <c r="N217" s="180">
        <f>FME_Ranking1[[#This Row],[Res Structures Score (Normalized, Unweighted)]]*$L$3</f>
        <v>5.6097802836055588E-2</v>
      </c>
      <c r="O217" s="244">
        <f>_xlfn.XLOOKUP(FME_Ranking1[[#This Row],[FME ID]],FME_Input[FME_ID],FME_Input[POP100])</f>
        <v>6275</v>
      </c>
      <c r="P217" s="178">
        <f>(FME_Ranking1[[#This Row],[Pop Raw]]/$O$2)*100</f>
        <v>0.6424050827294896</v>
      </c>
      <c r="Q217" s="178">
        <f>FME_Ranking1[[#This Row],[Pop Score (Normalized, Unweighted)]]*$O$3</f>
        <v>9.6360762409423442E-2</v>
      </c>
      <c r="R217" s="137">
        <f>_xlfn.XLOOKUP(FME_Ranking1[[#This Row],[FME ID]],FME_Input[FME_ID],FME_Input[CRITFAC100])</f>
        <v>27</v>
      </c>
      <c r="S217" s="230">
        <f>(FME_Ranking1[[#This Row],[Critical Facilities Raw]]/$R$2)*100</f>
        <v>1.1578044596912522</v>
      </c>
      <c r="T217" s="180">
        <f>FME_Ranking1[[#This Row],[Critical Facilities Score (Normalized, Unweighted)]]*$R$3</f>
        <v>0.23156089193825047</v>
      </c>
      <c r="U217">
        <f>_xlfn.XLOOKUP(FME_Ranking1[[#This Row],[FME ID]],FME_Input[FME_ID],FME_Input[LWC])</f>
        <v>34</v>
      </c>
      <c r="V217" s="178">
        <f>(FME_Ranking1[[#This Row],[LWC Raw]]/$U$2)*100</f>
        <v>1.9573978123200921</v>
      </c>
      <c r="W217" s="178">
        <f>FME_Ranking1[[#This Row],[LWC Score (Normalized, Unweighted)]]*$U$3</f>
        <v>0.39147956246401844</v>
      </c>
      <c r="X217" s="246">
        <f>_xlfn.XLOOKUP(FME_Ranking1[[#This Row],[FME ID]],FME_Input[FME_ID],FME_Input[ROADCLS])</f>
        <v>400</v>
      </c>
      <c r="Y217" s="230">
        <f>(FME_Ranking1[[#This Row],[Closures Raw]]/$X$2)*100</f>
        <v>4.2056566081379456</v>
      </c>
      <c r="Z217" s="180">
        <f>FME_Ranking1[[#This Row],[Closures Score (Normalized, Unweighted)]]*$X$3</f>
        <v>0.2102828304068973</v>
      </c>
      <c r="AA217" s="253">
        <f>_xlfn.XLOOKUP(FME_Ranking1[[#This Row],[FME ID]],FME_Input[FME_ID],FME_Input[ROAD_MILES100])</f>
        <v>113.08510589599609</v>
      </c>
      <c r="AB217" s="178">
        <f>(FME_Ranking1[[#This Row],[Miles Raw]]/$AA$2)*100</f>
        <v>1.4868663148729648</v>
      </c>
      <c r="AC217" s="178">
        <f>FME_Ranking1[[#This Row],[Miles Score (Normalized, Unweighted)]]*$AA$3</f>
        <v>0.14868663148729649</v>
      </c>
      <c r="AD217" s="255">
        <f>_xlfn.XLOOKUP(FME_Ranking1[[#This Row],[FME ID]],FME_Input[FME_ID],FME_Input[FARMACRE100])</f>
        <v>10462.880859375</v>
      </c>
      <c r="AE217" s="230">
        <f>(FME_Ranking1[[#This Row],[Ag Land Raw]]/$AD$2)*100</f>
        <v>0.43144236951585579</v>
      </c>
      <c r="AF217" s="231">
        <f>FME_Ranking1[[#This Row],[Ag Land Score (Normalized, Unweighted)]]*$AD$3</f>
        <v>2.1572118475792792E-2</v>
      </c>
      <c r="AG21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1.285924291060017</v>
      </c>
      <c r="AH217" s="406">
        <f t="shared" si="3"/>
        <v>213</v>
      </c>
      <c r="AI21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1.285924291060017</v>
      </c>
      <c r="AJ217" s="257">
        <f>FME_Ranking1[[#This Row],[Addition check]]-FME_Ranking1[[#This Row],[Weighted Score Based on Normalized Reported Factors]]</f>
        <v>0</v>
      </c>
      <c r="AK217" s="178">
        <f>_xlfn.RANK.EQ(AI217,$AI$6:$AI$2341,0)+COUNTIF($AI$6:AI217,AI217)-1</f>
        <v>213</v>
      </c>
    </row>
    <row r="218" spans="1:37" ht="12" customHeight="1" x14ac:dyDescent="0.25">
      <c r="A218" t="s">
        <v>9640</v>
      </c>
      <c r="B218">
        <f>_xlfn.XLOOKUP(FME_Ranking1[[#This Row],[FME ID]],FME_Input[FME_ID],FME_Input[RFPG_NUM])</f>
        <v>12</v>
      </c>
      <c r="C218" t="str">
        <f>_xlfn.XLOOKUP(FME_Ranking1[[#This Row],[FME ID]],FME_Input[FME_ID],FME_Input[FME_NAME])</f>
        <v>Lower Basin Predictive Flood Model</v>
      </c>
      <c r="D218" t="str">
        <f>_xlfn.XLOOKUP(FME_Ranking1[[#This Row],[FME ID]],FME_Input[FME_ID],FME_Input[DESCR])</f>
        <v>Lower Basin Predictive Flood Model</v>
      </c>
      <c r="E218" s="256">
        <f>_xlfn.XLOOKUP(FME_Ranking1[[#This Row],[FME ID]],FME_Input[FME_ID],FME_Input[FME_COST])</f>
        <v>1000000</v>
      </c>
      <c r="F218" t="str">
        <f>_xlfn.XLOOKUP(FME_Ranking1[[#This Row],[FME ID]],FME_Input[FME_ID],FME_Input[EMER_NEED])</f>
        <v>Yes</v>
      </c>
      <c r="G218">
        <f>IF(FME_Ranking!F218="Yes",100,0)</f>
        <v>100</v>
      </c>
      <c r="H218">
        <f>FME_Ranking1[[#This Row],[Emergency Need Score (Normalized, Unweighted)]]*$F$3</f>
        <v>0</v>
      </c>
      <c r="I218" s="246">
        <f>_xlfn.XLOOKUP(FME_Ranking1[[#This Row],[FME ID]],FME_Input[FME_ID],FME_Input[STRUCT_100])</f>
        <v>1068</v>
      </c>
      <c r="J218" s="178">
        <f>(FME_Ranking1[[#This Row],[Structures 100 Raw]]/I$2)*100</f>
        <v>0.57190592468834345</v>
      </c>
      <c r="K218" s="178">
        <f>FME_Ranking1[[#This Row],[Structures 100  Score (Normalized, Unweighted)]]*$I$3</f>
        <v>8.5785888703251517E-2</v>
      </c>
      <c r="L218" s="246">
        <f>_xlfn.XLOOKUP(FME_Ranking1[[#This Row],[FME ID]],FME_Input[FME_ID],FME_Input[RES_STRUCT100])</f>
        <v>537</v>
      </c>
      <c r="M218" s="230">
        <f>(FME_Ranking1[[#This Row],[Res Structures Raw]]/L$2)*100</f>
        <v>0.38036010256264963</v>
      </c>
      <c r="N218" s="180">
        <f>FME_Ranking1[[#This Row],[Res Structures Score (Normalized, Unweighted)]]*$L$3</f>
        <v>3.8036010256264963E-2</v>
      </c>
      <c r="O218" s="244">
        <f>_xlfn.XLOOKUP(FME_Ranking1[[#This Row],[FME ID]],FME_Input[FME_ID],FME_Input[POP100])</f>
        <v>790</v>
      </c>
      <c r="P218" s="178">
        <f>(FME_Ranking1[[#This Row],[Pop Raw]]/$O$2)*100</f>
        <v>8.0876496471122994E-2</v>
      </c>
      <c r="Q218" s="178">
        <f>FME_Ranking1[[#This Row],[Pop Score (Normalized, Unweighted)]]*$O$3</f>
        <v>1.2131474470668448E-2</v>
      </c>
      <c r="R218" s="137">
        <f>_xlfn.XLOOKUP(FME_Ranking1[[#This Row],[FME ID]],FME_Input[FME_ID],FME_Input[CRITFAC100])</f>
        <v>0</v>
      </c>
      <c r="S218" s="230">
        <f>(FME_Ranking1[[#This Row],[Critical Facilities Raw]]/$R$2)*100</f>
        <v>0</v>
      </c>
      <c r="T218" s="180">
        <f>FME_Ranking1[[#This Row],[Critical Facilities Score (Normalized, Unweighted)]]*$R$3</f>
        <v>0</v>
      </c>
      <c r="U218">
        <f>_xlfn.XLOOKUP(FME_Ranking1[[#This Row],[FME ID]],FME_Input[FME_ID],FME_Input[LWC])</f>
        <v>0</v>
      </c>
      <c r="V218" s="178">
        <f>(FME_Ranking1[[#This Row],[LWC Raw]]/$U$2)*100</f>
        <v>0</v>
      </c>
      <c r="W218" s="178">
        <f>FME_Ranking1[[#This Row],[LWC Score (Normalized, Unweighted)]]*$U$3</f>
        <v>0</v>
      </c>
      <c r="X218" s="246">
        <f>_xlfn.XLOOKUP(FME_Ranking1[[#This Row],[FME ID]],FME_Input[FME_ID],FME_Input[ROADCLS])</f>
        <v>1774</v>
      </c>
      <c r="Y218" s="230">
        <f>(FME_Ranking1[[#This Row],[Closures Raw]]/$X$2)*100</f>
        <v>18.652087057091787</v>
      </c>
      <c r="Z218" s="180">
        <f>FME_Ranking1[[#This Row],[Closures Score (Normalized, Unweighted)]]*$X$3</f>
        <v>0.93260435285458942</v>
      </c>
      <c r="AA218" s="253">
        <f>_xlfn.XLOOKUP(FME_Ranking1[[#This Row],[FME ID]],FME_Input[FME_ID],FME_Input[ROAD_MILES100])</f>
        <v>135.07000732421881</v>
      </c>
      <c r="AB218" s="178">
        <f>(FME_Ranking1[[#This Row],[Miles Raw]]/$AA$2)*100</f>
        <v>1.7759283368822159</v>
      </c>
      <c r="AC218" s="178">
        <f>FME_Ranking1[[#This Row],[Miles Score (Normalized, Unweighted)]]*$AA$3</f>
        <v>0.1775928336882216</v>
      </c>
      <c r="AD218" s="255">
        <f>_xlfn.XLOOKUP(FME_Ranking1[[#This Row],[FME ID]],FME_Input[FME_ID],FME_Input[FARMACRE100])</f>
        <v>31301.30078125</v>
      </c>
      <c r="AE218" s="230">
        <f>(FME_Ranking1[[#This Row],[Ag Land Raw]]/$AD$2)*100</f>
        <v>1.2907255238303181</v>
      </c>
      <c r="AF218" s="231">
        <f>FME_Ranking1[[#This Row],[Ag Land Score (Normalized, Unweighted)]]*$AD$3</f>
        <v>6.4536276191515904E-2</v>
      </c>
      <c r="AG21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1.3106868361645116</v>
      </c>
      <c r="AH218" s="406">
        <f t="shared" si="3"/>
        <v>210</v>
      </c>
      <c r="AI21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1.3106868361645116</v>
      </c>
      <c r="AJ218" s="257">
        <f>FME_Ranking1[[#This Row],[Addition check]]-FME_Ranking1[[#This Row],[Weighted Score Based on Normalized Reported Factors]]</f>
        <v>0</v>
      </c>
      <c r="AK218" s="178">
        <f>_xlfn.RANK.EQ(AI218,$AI$6:$AI$2341,0)+COUNTIF($AI$6:AI218,AI218)-1</f>
        <v>210</v>
      </c>
    </row>
    <row r="219" spans="1:37" ht="12" customHeight="1" x14ac:dyDescent="0.25">
      <c r="A219" t="s">
        <v>9707</v>
      </c>
      <c r="B219">
        <f>_xlfn.XLOOKUP(FME_Ranking1[[#This Row],[FME ID]],FME_Input[FME_ID],FME_Input[RFPG_NUM])</f>
        <v>12</v>
      </c>
      <c r="C219" t="str">
        <f>_xlfn.XLOOKUP(FME_Ranking1[[#This Row],[FME ID]],FME_Input[FME_ID],FME_Input[FME_NAME])</f>
        <v>Wilson County LWC Study</v>
      </c>
      <c r="D219" t="str">
        <f>_xlfn.XLOOKUP(FME_Ranking1[[#This Row],[FME ID]],FME_Input[FME_ID],FME_Input[DESCR])</f>
        <v>Study to evaluate the LWC in Wilson County and recommend alternatives both short term and long term alternatives. Some short term alternatives could include Low Water Signage, Turn Around Don’t Drown, automatic gates. 195 LWC in Wilson County.</v>
      </c>
      <c r="E219" s="256">
        <f>_xlfn.XLOOKUP(FME_Ranking1[[#This Row],[FME ID]],FME_Input[FME_ID],FME_Input[FME_COST])</f>
        <v>300000</v>
      </c>
      <c r="F219" t="str">
        <f>_xlfn.XLOOKUP(FME_Ranking1[[#This Row],[FME ID]],FME_Input[FME_ID],FME_Input[EMER_NEED])</f>
        <v>Yes</v>
      </c>
      <c r="G219">
        <f>IF(FME_Ranking!F219="Yes",100,0)</f>
        <v>100</v>
      </c>
      <c r="H219">
        <f>FME_Ranking1[[#This Row],[Emergency Need Score (Normalized, Unweighted)]]*$F$3</f>
        <v>0</v>
      </c>
      <c r="I219" s="246">
        <f>_xlfn.XLOOKUP(FME_Ranking1[[#This Row],[FME ID]],FME_Input[FME_ID],FME_Input[STRUCT_100])</f>
        <v>1469</v>
      </c>
      <c r="J219" s="178">
        <f>(FME_Ranking1[[#This Row],[Structures 100 Raw]]/I$2)*100</f>
        <v>0.78663839266589553</v>
      </c>
      <c r="K219" s="178">
        <f>FME_Ranking1[[#This Row],[Structures 100  Score (Normalized, Unweighted)]]*$I$3</f>
        <v>0.11799575889988433</v>
      </c>
      <c r="L219" s="246">
        <f>_xlfn.XLOOKUP(FME_Ranking1[[#This Row],[FME ID]],FME_Input[FME_ID],FME_Input[RES_STRUCT100])</f>
        <v>1073</v>
      </c>
      <c r="M219" s="230">
        <f>(FME_Ranking1[[#This Row],[Res Structures Raw]]/L$2)*100</f>
        <v>0.760011899533935</v>
      </c>
      <c r="N219" s="180">
        <f>FME_Ranking1[[#This Row],[Res Structures Score (Normalized, Unweighted)]]*$L$3</f>
        <v>7.60011899533935E-2</v>
      </c>
      <c r="O219" s="244">
        <f>_xlfn.XLOOKUP(FME_Ranking1[[#This Row],[FME ID]],FME_Input[FME_ID],FME_Input[POP100])</f>
        <v>1849</v>
      </c>
      <c r="P219" s="178">
        <f>(FME_Ranking1[[#This Row],[Pop Raw]]/$O$2)*100</f>
        <v>0.18929195186722331</v>
      </c>
      <c r="Q219" s="178">
        <f>FME_Ranking1[[#This Row],[Pop Score (Normalized, Unweighted)]]*$O$3</f>
        <v>2.8393792780083495E-2</v>
      </c>
      <c r="R219" s="137">
        <f>_xlfn.XLOOKUP(FME_Ranking1[[#This Row],[FME ID]],FME_Input[FME_ID],FME_Input[CRITFAC100])</f>
        <v>0</v>
      </c>
      <c r="S219" s="230">
        <f>(FME_Ranking1[[#This Row],[Critical Facilities Raw]]/$R$2)*100</f>
        <v>0</v>
      </c>
      <c r="T219" s="180">
        <f>FME_Ranking1[[#This Row],[Critical Facilities Score (Normalized, Unweighted)]]*$R$3</f>
        <v>0</v>
      </c>
      <c r="U219">
        <f>_xlfn.XLOOKUP(FME_Ranking1[[#This Row],[FME ID]],FME_Input[FME_ID],FME_Input[LWC])</f>
        <v>0</v>
      </c>
      <c r="V219" s="178">
        <f>(FME_Ranking1[[#This Row],[LWC Raw]]/$U$2)*100</f>
        <v>0</v>
      </c>
      <c r="W219" s="178">
        <f>FME_Ranking1[[#This Row],[LWC Score (Normalized, Unweighted)]]*$U$3</f>
        <v>0</v>
      </c>
      <c r="X219" s="246">
        <f>_xlfn.XLOOKUP(FME_Ranking1[[#This Row],[FME ID]],FME_Input[FME_ID],FME_Input[ROADCLS])</f>
        <v>1646</v>
      </c>
      <c r="Y219" s="230">
        <f>(FME_Ranking1[[#This Row],[Closures Raw]]/$X$2)*100</f>
        <v>17.306276942487646</v>
      </c>
      <c r="Z219" s="180">
        <f>FME_Ranking1[[#This Row],[Closures Score (Normalized, Unweighted)]]*$X$3</f>
        <v>0.86531384712438231</v>
      </c>
      <c r="AA219" s="253">
        <f>_xlfn.XLOOKUP(FME_Ranking1[[#This Row],[FME ID]],FME_Input[FME_ID],FME_Input[ROAD_MILES100])</f>
        <v>89.05999755859375</v>
      </c>
      <c r="AB219" s="178">
        <f>(FME_Ranking1[[#This Row],[Miles Raw]]/$AA$2)*100</f>
        <v>1.1709792312908822</v>
      </c>
      <c r="AC219" s="178">
        <f>FME_Ranking1[[#This Row],[Miles Score (Normalized, Unweighted)]]*$AA$3</f>
        <v>0.11709792312908823</v>
      </c>
      <c r="AD219" s="255">
        <f>_xlfn.XLOOKUP(FME_Ranking1[[#This Row],[FME ID]],FME_Input[FME_ID],FME_Input[FARMACRE100])</f>
        <v>14071.400390625</v>
      </c>
      <c r="AE219" s="230">
        <f>(FME_Ranking1[[#This Row],[Ag Land Raw]]/$AD$2)*100</f>
        <v>0.58024156143361072</v>
      </c>
      <c r="AF219" s="231">
        <f>FME_Ranking1[[#This Row],[Ag Land Score (Normalized, Unweighted)]]*$AD$3</f>
        <v>2.9012078071680537E-2</v>
      </c>
      <c r="AG21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1.2338145899585125</v>
      </c>
      <c r="AH219" s="406">
        <f t="shared" si="3"/>
        <v>225</v>
      </c>
      <c r="AI21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1.2338145899585125</v>
      </c>
      <c r="AJ219" s="257">
        <f>FME_Ranking1[[#This Row],[Addition check]]-FME_Ranking1[[#This Row],[Weighted Score Based on Normalized Reported Factors]]</f>
        <v>0</v>
      </c>
      <c r="AK219" s="178">
        <f>_xlfn.RANK.EQ(AI219,$AI$6:$AI$2341,0)+COUNTIF($AI$6:AI219,AI219)-1</f>
        <v>225</v>
      </c>
    </row>
    <row r="220" spans="1:37" ht="12" customHeight="1" x14ac:dyDescent="0.25">
      <c r="A220" t="s">
        <v>9715</v>
      </c>
      <c r="B220">
        <f>_xlfn.XLOOKUP(FME_Ranking1[[#This Row],[FME ID]],FME_Input[FME_ID],FME_Input[RFPG_NUM])</f>
        <v>12</v>
      </c>
      <c r="C220" t="str">
        <f>_xlfn.XLOOKUP(FME_Ranking1[[#This Row],[FME ID]],FME_Input[FME_ID],FME_Input[FME_NAME])</f>
        <v>Wilson 10 - Acquisitions of Flooded Structures</v>
      </c>
      <c r="D220" t="str">
        <f>_xlfn.XLOOKUP(FME_Ranking1[[#This Row],[FME ID]],FME_Input[FME_ID],FME_Input[DESCR])</f>
        <v>Acquire flooded structures to remove them out of the SFHA and restrict future structures from development on the site. Removal of damaged structures that are no longer liveable.</v>
      </c>
      <c r="E220" s="256">
        <f>_xlfn.XLOOKUP(FME_Ranking1[[#This Row],[FME ID]],FME_Input[FME_ID],FME_Input[FME_COST])</f>
        <v>100000</v>
      </c>
      <c r="F220" t="str">
        <f>_xlfn.XLOOKUP(FME_Ranking1[[#This Row],[FME ID]],FME_Input[FME_ID],FME_Input[EMER_NEED])</f>
        <v>No</v>
      </c>
      <c r="G220">
        <f>IF(FME_Ranking!F220="Yes",100,0)</f>
        <v>0</v>
      </c>
      <c r="H220">
        <f>FME_Ranking1[[#This Row],[Emergency Need Score (Normalized, Unweighted)]]*$F$3</f>
        <v>0</v>
      </c>
      <c r="I220" s="246">
        <f>_xlfn.XLOOKUP(FME_Ranking1[[#This Row],[FME ID]],FME_Input[FME_ID],FME_Input[STRUCT_100])</f>
        <v>1469</v>
      </c>
      <c r="J220" s="178">
        <f>(FME_Ranking1[[#This Row],[Structures 100 Raw]]/I$2)*100</f>
        <v>0.78663839266589553</v>
      </c>
      <c r="K220" s="178">
        <f>FME_Ranking1[[#This Row],[Structures 100  Score (Normalized, Unweighted)]]*$I$3</f>
        <v>0.11799575889988433</v>
      </c>
      <c r="L220" s="246">
        <f>_xlfn.XLOOKUP(FME_Ranking1[[#This Row],[FME ID]],FME_Input[FME_ID],FME_Input[RES_STRUCT100])</f>
        <v>1073</v>
      </c>
      <c r="M220" s="230">
        <f>(FME_Ranking1[[#This Row],[Res Structures Raw]]/L$2)*100</f>
        <v>0.760011899533935</v>
      </c>
      <c r="N220" s="180">
        <f>FME_Ranking1[[#This Row],[Res Structures Score (Normalized, Unweighted)]]*$L$3</f>
        <v>7.60011899533935E-2</v>
      </c>
      <c r="O220" s="244">
        <f>_xlfn.XLOOKUP(FME_Ranking1[[#This Row],[FME ID]],FME_Input[FME_ID],FME_Input[POP100])</f>
        <v>1849</v>
      </c>
      <c r="P220" s="178">
        <f>(FME_Ranking1[[#This Row],[Pop Raw]]/$O$2)*100</f>
        <v>0.18929195186722331</v>
      </c>
      <c r="Q220" s="178">
        <f>FME_Ranking1[[#This Row],[Pop Score (Normalized, Unweighted)]]*$O$3</f>
        <v>2.8393792780083495E-2</v>
      </c>
      <c r="R220" s="137">
        <f>_xlfn.XLOOKUP(FME_Ranking1[[#This Row],[FME ID]],FME_Input[FME_ID],FME_Input[CRITFAC100])</f>
        <v>0</v>
      </c>
      <c r="S220" s="230">
        <f>(FME_Ranking1[[#This Row],[Critical Facilities Raw]]/$R$2)*100</f>
        <v>0</v>
      </c>
      <c r="T220" s="180">
        <f>FME_Ranking1[[#This Row],[Critical Facilities Score (Normalized, Unweighted)]]*$R$3</f>
        <v>0</v>
      </c>
      <c r="U220">
        <f>_xlfn.XLOOKUP(FME_Ranking1[[#This Row],[FME ID]],FME_Input[FME_ID],FME_Input[LWC])</f>
        <v>0</v>
      </c>
      <c r="V220" s="178">
        <f>(FME_Ranking1[[#This Row],[LWC Raw]]/$U$2)*100</f>
        <v>0</v>
      </c>
      <c r="W220" s="178">
        <f>FME_Ranking1[[#This Row],[LWC Score (Normalized, Unweighted)]]*$U$3</f>
        <v>0</v>
      </c>
      <c r="X220" s="246">
        <f>_xlfn.XLOOKUP(FME_Ranking1[[#This Row],[FME ID]],FME_Input[FME_ID],FME_Input[ROADCLS])</f>
        <v>1646</v>
      </c>
      <c r="Y220" s="230">
        <f>(FME_Ranking1[[#This Row],[Closures Raw]]/$X$2)*100</f>
        <v>17.306276942487646</v>
      </c>
      <c r="Z220" s="180">
        <f>FME_Ranking1[[#This Row],[Closures Score (Normalized, Unweighted)]]*$X$3</f>
        <v>0.86531384712438231</v>
      </c>
      <c r="AA220" s="253">
        <f>_xlfn.XLOOKUP(FME_Ranking1[[#This Row],[FME ID]],FME_Input[FME_ID],FME_Input[ROAD_MILES100])</f>
        <v>89.05999755859375</v>
      </c>
      <c r="AB220" s="178">
        <f>(FME_Ranking1[[#This Row],[Miles Raw]]/$AA$2)*100</f>
        <v>1.1709792312908822</v>
      </c>
      <c r="AC220" s="178">
        <f>FME_Ranking1[[#This Row],[Miles Score (Normalized, Unweighted)]]*$AA$3</f>
        <v>0.11709792312908823</v>
      </c>
      <c r="AD220" s="255">
        <f>_xlfn.XLOOKUP(FME_Ranking1[[#This Row],[FME ID]],FME_Input[FME_ID],FME_Input[FARMACRE100])</f>
        <v>14071.400390625</v>
      </c>
      <c r="AE220" s="230">
        <f>(FME_Ranking1[[#This Row],[Ag Land Raw]]/$AD$2)*100</f>
        <v>0.58024156143361072</v>
      </c>
      <c r="AF220" s="231">
        <f>FME_Ranking1[[#This Row],[Ag Land Score (Normalized, Unweighted)]]*$AD$3</f>
        <v>2.9012078071680537E-2</v>
      </c>
      <c r="AG22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1.2338145899585125</v>
      </c>
      <c r="AH220" s="406">
        <f t="shared" si="3"/>
        <v>225</v>
      </c>
      <c r="AI22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1.2338145899585125</v>
      </c>
      <c r="AJ220" s="257">
        <f>FME_Ranking1[[#This Row],[Addition check]]-FME_Ranking1[[#This Row],[Weighted Score Based on Normalized Reported Factors]]</f>
        <v>0</v>
      </c>
      <c r="AK220" s="178">
        <f>_xlfn.RANK.EQ(AI220,$AI$6:$AI$2341,0)+COUNTIF($AI$6:AI220,AI220)-1</f>
        <v>226</v>
      </c>
    </row>
    <row r="221" spans="1:37" ht="12" customHeight="1" x14ac:dyDescent="0.25">
      <c r="A221" t="s">
        <v>4623</v>
      </c>
      <c r="B221">
        <f>_xlfn.XLOOKUP(FME_Ranking1[[#This Row],[FME ID]],FME_Input[FME_ID],FME_Input[RFPG_NUM])</f>
        <v>3</v>
      </c>
      <c r="C221" t="str">
        <f>_xlfn.XLOOKUP(FME_Ranking1[[#This Row],[FME ID]],FME_Input[FME_ID],FME_Input[FME_NAME])</f>
        <v xml:space="preserve">Big Bear Creek, Little Bear Creek, and Marshall Branch Stream Bank Erosion Study </v>
      </c>
      <c r="D221" t="str">
        <f>_xlfn.XLOOKUP(FME_Ranking1[[#This Row],[FME ID]],FME_Input[FME_ID],FME_Input[DESCR])</f>
        <v>Study to reduce stream bank erosion impacts along Big Bear Creek, Little Bear Creek, and Marshall Branch to improve drainage within the City of Keller</v>
      </c>
      <c r="E221" s="256">
        <f>_xlfn.XLOOKUP(FME_Ranking1[[#This Row],[FME ID]],FME_Input[FME_ID],FME_Input[FME_COST])</f>
        <v>50000</v>
      </c>
      <c r="F221" t="str">
        <f>_xlfn.XLOOKUP(FME_Ranking1[[#This Row],[FME ID]],FME_Input[FME_ID],FME_Input[EMER_NEED])</f>
        <v>No</v>
      </c>
      <c r="G221">
        <f>IF(FME_Ranking!F221="Yes",100,0)</f>
        <v>0</v>
      </c>
      <c r="H221">
        <f>FME_Ranking1[[#This Row],[Emergency Need Score (Normalized, Unweighted)]]*$F$3</f>
        <v>0</v>
      </c>
      <c r="I221" s="246">
        <f>_xlfn.XLOOKUP(FME_Ranking1[[#This Row],[FME ID]],FME_Input[FME_ID],FME_Input[STRUCT_100])</f>
        <v>1369</v>
      </c>
      <c r="J221" s="178">
        <f>(FME_Ranking1[[#This Row],[Structures 100 Raw]]/I$2)*100</f>
        <v>0.73308914878121922</v>
      </c>
      <c r="K221" s="178">
        <f>FME_Ranking1[[#This Row],[Structures 100  Score (Normalized, Unweighted)]]*$I$3</f>
        <v>0.10996337231718288</v>
      </c>
      <c r="L221" s="246">
        <f>_xlfn.XLOOKUP(FME_Ranking1[[#This Row],[FME ID]],FME_Input[FME_ID],FME_Input[RES_STRUCT100])</f>
        <v>1133</v>
      </c>
      <c r="M221" s="230">
        <f>(FME_Ranking1[[#This Row],[Res Structures Raw]]/L$2)*100</f>
        <v>0.80251023501579521</v>
      </c>
      <c r="N221" s="180">
        <f>FME_Ranking1[[#This Row],[Res Structures Score (Normalized, Unweighted)]]*$L$3</f>
        <v>8.0251023501579533E-2</v>
      </c>
      <c r="O221" s="244">
        <f>_xlfn.XLOOKUP(FME_Ranking1[[#This Row],[FME ID]],FME_Input[FME_ID],FME_Input[POP100])</f>
        <v>8089</v>
      </c>
      <c r="P221" s="178">
        <f>(FME_Ranking1[[#This Row],[Pop Raw]]/$O$2)*100</f>
        <v>0.82811389867710627</v>
      </c>
      <c r="Q221" s="178">
        <f>FME_Ranking1[[#This Row],[Pop Score (Normalized, Unweighted)]]*$O$3</f>
        <v>0.12421708480156593</v>
      </c>
      <c r="R221" s="137">
        <f>_xlfn.XLOOKUP(FME_Ranking1[[#This Row],[FME ID]],FME_Input[FME_ID],FME_Input[CRITFAC100])</f>
        <v>18</v>
      </c>
      <c r="S221" s="230">
        <f>(FME_Ranking1[[#This Row],[Critical Facilities Raw]]/$R$2)*100</f>
        <v>0.77186963979416812</v>
      </c>
      <c r="T221" s="180">
        <f>FME_Ranking1[[#This Row],[Critical Facilities Score (Normalized, Unweighted)]]*$R$3</f>
        <v>0.15437392795883365</v>
      </c>
      <c r="U221">
        <f>_xlfn.XLOOKUP(FME_Ranking1[[#This Row],[FME ID]],FME_Input[FME_ID],FME_Input[LWC])</f>
        <v>50</v>
      </c>
      <c r="V221" s="178">
        <f>(FME_Ranking1[[#This Row],[LWC Raw]]/$U$2)*100</f>
        <v>2.8785261945883707</v>
      </c>
      <c r="W221" s="178">
        <f>FME_Ranking1[[#This Row],[LWC Score (Normalized, Unweighted)]]*$U$3</f>
        <v>0.57570523891767411</v>
      </c>
      <c r="X221" s="246">
        <f>_xlfn.XLOOKUP(FME_Ranking1[[#This Row],[FME ID]],FME_Input[FME_ID],FME_Input[ROADCLS])</f>
        <v>0</v>
      </c>
      <c r="Y221" s="230">
        <f>(FME_Ranking1[[#This Row],[Closures Raw]]/$X$2)*100</f>
        <v>0</v>
      </c>
      <c r="Z221" s="180">
        <f>FME_Ranking1[[#This Row],[Closures Score (Normalized, Unweighted)]]*$X$3</f>
        <v>0</v>
      </c>
      <c r="AA221" s="253">
        <f>_xlfn.XLOOKUP(FME_Ranking1[[#This Row],[FME ID]],FME_Input[FME_ID],FME_Input[ROAD_MILES100])</f>
        <v>91.368782043457031</v>
      </c>
      <c r="AB221" s="178">
        <f>(FME_Ranking1[[#This Row],[Miles Raw]]/$AA$2)*100</f>
        <v>1.2013356062674574</v>
      </c>
      <c r="AC221" s="178">
        <f>FME_Ranking1[[#This Row],[Miles Score (Normalized, Unweighted)]]*$AA$3</f>
        <v>0.12013356062674574</v>
      </c>
      <c r="AD221" s="255">
        <f>_xlfn.XLOOKUP(FME_Ranking1[[#This Row],[FME ID]],FME_Input[FME_ID],FME_Input[FARMACRE100])</f>
        <v>28753.880859375</v>
      </c>
      <c r="AE221" s="230">
        <f>(FME_Ranking1[[#This Row],[Ag Land Raw]]/$AD$2)*100</f>
        <v>1.1856813297868722</v>
      </c>
      <c r="AF221" s="231">
        <f>FME_Ranking1[[#This Row],[Ag Land Score (Normalized, Unweighted)]]*$AD$3</f>
        <v>5.9284066489343618E-2</v>
      </c>
      <c r="AG22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1.2239282746129254</v>
      </c>
      <c r="AH221" s="406">
        <f t="shared" si="3"/>
        <v>227</v>
      </c>
      <c r="AI22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1.2239282746129254</v>
      </c>
      <c r="AJ221" s="257">
        <f>FME_Ranking1[[#This Row],[Addition check]]-FME_Ranking1[[#This Row],[Weighted Score Based on Normalized Reported Factors]]</f>
        <v>0</v>
      </c>
      <c r="AK221" s="178">
        <f>_xlfn.RANK.EQ(AI221,$AI$6:$AI$2341,0)+COUNTIF($AI$6:AI221,AI221)-1</f>
        <v>227</v>
      </c>
    </row>
    <row r="222" spans="1:37" ht="12" customHeight="1" x14ac:dyDescent="0.25">
      <c r="A222" t="s">
        <v>8974</v>
      </c>
      <c r="B222">
        <f>_xlfn.XLOOKUP(FME_Ranking1[[#This Row],[FME ID]],FME_Input[FME_ID],FME_Input[RFPG_NUM])</f>
        <v>11</v>
      </c>
      <c r="C222" t="str">
        <f>_xlfn.XLOOKUP(FME_Ranking1[[#This Row],[FME ID]],FME_Input[FME_ID],FME_Input[FME_NAME])</f>
        <v>Gonzales County Voluntary Buyout Program Project Planning</v>
      </c>
      <c r="D222" t="str">
        <f>_xlfn.XLOOKUP(FME_Ranking1[[#This Row],[FME ID]],FME_Input[FME_ID],FME_Input[DESCR])</f>
        <v>Project planning to develop and implement a program to buyout NFIP repetitive loss properties.</v>
      </c>
      <c r="E222" s="256">
        <f>_xlfn.XLOOKUP(FME_Ranking1[[#This Row],[FME ID]],FME_Input[FME_ID],FME_Input[FME_COST])</f>
        <v>150000</v>
      </c>
      <c r="F222" t="str">
        <f>_xlfn.XLOOKUP(FME_Ranking1[[#This Row],[FME ID]],FME_Input[FME_ID],FME_Input[EMER_NEED])</f>
        <v>No</v>
      </c>
      <c r="G222">
        <f>IF(FME_Ranking!F222="Yes",100,0)</f>
        <v>0</v>
      </c>
      <c r="H222">
        <f>FME_Ranking1[[#This Row],[Emergency Need Score (Normalized, Unweighted)]]*$F$3</f>
        <v>0</v>
      </c>
      <c r="I222" s="246">
        <f>_xlfn.XLOOKUP(FME_Ranking1[[#This Row],[FME ID]],FME_Input[FME_ID],FME_Input[STRUCT_100])</f>
        <v>1649</v>
      </c>
      <c r="J222" s="178">
        <f>(FME_Ranking1[[#This Row],[Structures 100 Raw]]/I$2)*100</f>
        <v>0.88302703165831309</v>
      </c>
      <c r="K222" s="178">
        <f>FME_Ranking1[[#This Row],[Structures 100  Score (Normalized, Unweighted)]]*$I$3</f>
        <v>0.13245405474874697</v>
      </c>
      <c r="L222" s="246">
        <f>_xlfn.XLOOKUP(FME_Ranking1[[#This Row],[FME ID]],FME_Input[FME_ID],FME_Input[RES_STRUCT100])</f>
        <v>760</v>
      </c>
      <c r="M222" s="230">
        <f>(FME_Ranking1[[#This Row],[Res Structures Raw]]/L$2)*100</f>
        <v>0.53831224943689704</v>
      </c>
      <c r="N222" s="180">
        <f>FME_Ranking1[[#This Row],[Res Structures Score (Normalized, Unweighted)]]*$L$3</f>
        <v>5.3831224943689707E-2</v>
      </c>
      <c r="O222" s="244">
        <f>_xlfn.XLOOKUP(FME_Ranking1[[#This Row],[FME ID]],FME_Input[FME_ID],FME_Input[POP100])</f>
        <v>2086</v>
      </c>
      <c r="P222" s="178">
        <f>(FME_Ranking1[[#This Row],[Pop Raw]]/$O$2)*100</f>
        <v>0.21355490080856021</v>
      </c>
      <c r="Q222" s="178">
        <f>FME_Ranking1[[#This Row],[Pop Score (Normalized, Unweighted)]]*$O$3</f>
        <v>3.2033235121284032E-2</v>
      </c>
      <c r="R222" s="137">
        <f>_xlfn.XLOOKUP(FME_Ranking1[[#This Row],[FME ID]],FME_Input[FME_ID],FME_Input[CRITFAC100])</f>
        <v>4</v>
      </c>
      <c r="S222" s="230">
        <f>(FME_Ranking1[[#This Row],[Critical Facilities Raw]]/$R$2)*100</f>
        <v>0.17152658662092624</v>
      </c>
      <c r="T222" s="180">
        <f>FME_Ranking1[[#This Row],[Critical Facilities Score (Normalized, Unweighted)]]*$R$3</f>
        <v>3.430531732418525E-2</v>
      </c>
      <c r="U222">
        <f>_xlfn.XLOOKUP(FME_Ranking1[[#This Row],[FME ID]],FME_Input[FME_ID],FME_Input[LWC])</f>
        <v>55</v>
      </c>
      <c r="V222" s="178">
        <f>(FME_Ranking1[[#This Row],[LWC Raw]]/$U$2)*100</f>
        <v>3.1663788140472078</v>
      </c>
      <c r="W222" s="178">
        <f>FME_Ranking1[[#This Row],[LWC Score (Normalized, Unweighted)]]*$U$3</f>
        <v>0.63327576280944164</v>
      </c>
      <c r="X222" s="246">
        <f>_xlfn.XLOOKUP(FME_Ranking1[[#This Row],[FME ID]],FME_Input[FME_ID],FME_Input[ROADCLS])</f>
        <v>0</v>
      </c>
      <c r="Y222" s="230">
        <f>(FME_Ranking1[[#This Row],[Closures Raw]]/$X$2)*100</f>
        <v>0</v>
      </c>
      <c r="Z222" s="180">
        <f>FME_Ranking1[[#This Row],[Closures Score (Normalized, Unweighted)]]*$X$3</f>
        <v>0</v>
      </c>
      <c r="AA222" s="253">
        <f>_xlfn.XLOOKUP(FME_Ranking1[[#This Row],[FME ID]],FME_Input[FME_ID],FME_Input[ROAD_MILES100])</f>
        <v>123.7353897094727</v>
      </c>
      <c r="AB222" s="178">
        <f>(FME_Ranking1[[#This Row],[Miles Raw]]/$AA$2)*100</f>
        <v>1.6268984448393906</v>
      </c>
      <c r="AC222" s="178">
        <f>FME_Ranking1[[#This Row],[Miles Score (Normalized, Unweighted)]]*$AA$3</f>
        <v>0.16268984448393908</v>
      </c>
      <c r="AD222" s="255">
        <f>_xlfn.XLOOKUP(FME_Ranking1[[#This Row],[FME ID]],FME_Input[FME_ID],FME_Input[FARMACRE100])</f>
        <v>101450.453125</v>
      </c>
      <c r="AE222" s="230">
        <f>(FME_Ranking1[[#This Row],[Ag Land Raw]]/$AD$2)*100</f>
        <v>4.1833625435472896</v>
      </c>
      <c r="AF222" s="231">
        <f>FME_Ranking1[[#This Row],[Ag Land Score (Normalized, Unweighted)]]*$AD$3</f>
        <v>0.20916812717736449</v>
      </c>
      <c r="AG22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1.2577575666086511</v>
      </c>
      <c r="AH222" s="406">
        <f t="shared" si="3"/>
        <v>224</v>
      </c>
      <c r="AI22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1.2577575666086511</v>
      </c>
      <c r="AJ222" s="257">
        <f>FME_Ranking1[[#This Row],[Addition check]]-FME_Ranking1[[#This Row],[Weighted Score Based on Normalized Reported Factors]]</f>
        <v>0</v>
      </c>
      <c r="AK222" s="178">
        <f>_xlfn.RANK.EQ(AI222,$AI$6:$AI$2341,0)+COUNTIF($AI$6:AI222,AI222)-1</f>
        <v>224</v>
      </c>
    </row>
    <row r="223" spans="1:37" ht="12" customHeight="1" x14ac:dyDescent="0.25">
      <c r="A223" t="s">
        <v>1327</v>
      </c>
      <c r="B223">
        <f>_xlfn.XLOOKUP(FME_Ranking1[[#This Row],[FME ID]],FME_Input[FME_ID],FME_Input[RFPG_NUM])</f>
        <v>6</v>
      </c>
      <c r="C223" t="str">
        <f>_xlfn.XLOOKUP(FME_Ranking1[[#This Row],[FME ID]],FME_Input[FME_ID],FME_Input[FME_NAME])</f>
        <v>San Jacinto Watershed and Tributary Barrier and Flood Mitigation - West County Project</v>
      </c>
      <c r="D223" t="str">
        <f>_xlfn.XLOOKUP(FME_Ranking1[[#This Row],[FME ID]],FME_Input[FME_ID],FME_Input[DESCR])</f>
        <v>H&amp;H study, design, tributary barrier removal, and environmental assessments for the 96.2 miles of the San Jacinto Watershed and Tributary Barrier and Flood Mitigation-West County project area.</v>
      </c>
      <c r="E223" s="256">
        <f>_xlfn.XLOOKUP(FME_Ranking1[[#This Row],[FME ID]],FME_Input[FME_ID],FME_Input[FME_COST])</f>
        <v>1110000</v>
      </c>
      <c r="F223" t="str">
        <f>_xlfn.XLOOKUP(FME_Ranking1[[#This Row],[FME ID]],FME_Input[FME_ID],FME_Input[EMER_NEED])</f>
        <v>No</v>
      </c>
      <c r="G223">
        <f>IF(FME_Ranking!F223="Yes",100,0)</f>
        <v>0</v>
      </c>
      <c r="H223">
        <f>FME_Ranking1[[#This Row],[Emergency Need Score (Normalized, Unweighted)]]*$F$3</f>
        <v>0</v>
      </c>
      <c r="I223" s="246">
        <f>_xlfn.XLOOKUP(FME_Ranking1[[#This Row],[FME ID]],FME_Input[FME_ID],FME_Input[STRUCT_100])</f>
        <v>3634</v>
      </c>
      <c r="J223" s="178">
        <f>(FME_Ranking1[[#This Row],[Structures 100 Raw]]/I$2)*100</f>
        <v>1.9459795227691385</v>
      </c>
      <c r="K223" s="178">
        <f>FME_Ranking1[[#This Row],[Structures 100  Score (Normalized, Unweighted)]]*$I$3</f>
        <v>0.29189692841537079</v>
      </c>
      <c r="L223" s="246">
        <f>_xlfn.XLOOKUP(FME_Ranking1[[#This Row],[FME ID]],FME_Input[FME_ID],FME_Input[RES_STRUCT100])</f>
        <v>2863</v>
      </c>
      <c r="M223" s="230">
        <f>(FME_Ranking1[[#This Row],[Res Structures Raw]]/L$2)*100</f>
        <v>2.0278789080761004</v>
      </c>
      <c r="N223" s="180">
        <f>FME_Ranking1[[#This Row],[Res Structures Score (Normalized, Unweighted)]]*$L$3</f>
        <v>0.20278789080761006</v>
      </c>
      <c r="O223" s="244">
        <f>_xlfn.XLOOKUP(FME_Ranking1[[#This Row],[FME ID]],FME_Input[FME_ID],FME_Input[POP100])</f>
        <v>12814</v>
      </c>
      <c r="P223" s="178">
        <f>(FME_Ranking1[[#This Row],[Pop Raw]]/$O$2)*100</f>
        <v>1.3118372478240128</v>
      </c>
      <c r="Q223" s="178">
        <f>FME_Ranking1[[#This Row],[Pop Score (Normalized, Unweighted)]]*$O$3</f>
        <v>0.19677558717360191</v>
      </c>
      <c r="R223" s="137">
        <f>_xlfn.XLOOKUP(FME_Ranking1[[#This Row],[FME ID]],FME_Input[FME_ID],FME_Input[CRITFAC100])</f>
        <v>34</v>
      </c>
      <c r="S223" s="230">
        <f>(FME_Ranking1[[#This Row],[Critical Facilities Raw]]/$R$2)*100</f>
        <v>1.4579759862778732</v>
      </c>
      <c r="T223" s="180">
        <f>FME_Ranking1[[#This Row],[Critical Facilities Score (Normalized, Unweighted)]]*$R$3</f>
        <v>0.29159519725557465</v>
      </c>
      <c r="U223">
        <f>_xlfn.XLOOKUP(FME_Ranking1[[#This Row],[FME ID]],FME_Input[FME_ID],FME_Input[LWC])</f>
        <v>8</v>
      </c>
      <c r="V223" s="178">
        <f>(FME_Ranking1[[#This Row],[LWC Raw]]/$U$2)*100</f>
        <v>0.46056419113413938</v>
      </c>
      <c r="W223" s="178">
        <f>FME_Ranking1[[#This Row],[LWC Score (Normalized, Unweighted)]]*$U$3</f>
        <v>9.2112838226827878E-2</v>
      </c>
      <c r="X223" s="246">
        <f>_xlfn.XLOOKUP(FME_Ranking1[[#This Row],[FME ID]],FME_Input[FME_ID],FME_Input[ROADCLS])</f>
        <v>8</v>
      </c>
      <c r="Y223" s="230">
        <f>(FME_Ranking1[[#This Row],[Closures Raw]]/$X$2)*100</f>
        <v>8.4113132162758911E-2</v>
      </c>
      <c r="Z223" s="180">
        <f>FME_Ranking1[[#This Row],[Closures Score (Normalized, Unweighted)]]*$X$3</f>
        <v>4.2056566081379457E-3</v>
      </c>
      <c r="AA223" s="253">
        <f>_xlfn.XLOOKUP(FME_Ranking1[[#This Row],[FME ID]],FME_Input[FME_ID],FME_Input[ROAD_MILES100])</f>
        <v>89.206169128417969</v>
      </c>
      <c r="AB223" s="178">
        <f>(FME_Ranking1[[#This Row],[Miles Raw]]/$AA$2)*100</f>
        <v>1.1729011252630523</v>
      </c>
      <c r="AC223" s="178">
        <f>FME_Ranking1[[#This Row],[Miles Score (Normalized, Unweighted)]]*$AA$3</f>
        <v>0.11729011252630524</v>
      </c>
      <c r="AD223" s="255">
        <f>_xlfn.XLOOKUP(FME_Ranking1[[#This Row],[FME ID]],FME_Input[FME_ID],FME_Input[FARMACRE100])</f>
        <v>278.88983154296881</v>
      </c>
      <c r="AE223" s="230">
        <f>(FME_Ranking1[[#This Row],[Ag Land Raw]]/$AD$2)*100</f>
        <v>1.1500168201472183E-2</v>
      </c>
      <c r="AF223" s="231">
        <f>FME_Ranking1[[#This Row],[Ag Land Score (Normalized, Unweighted)]]*$AD$3</f>
        <v>5.7500841007360919E-4</v>
      </c>
      <c r="AG22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1.197239219423502</v>
      </c>
      <c r="AH223" s="406">
        <f t="shared" si="3"/>
        <v>230</v>
      </c>
      <c r="AI22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1.197239219423502</v>
      </c>
      <c r="AJ223" s="257">
        <f>FME_Ranking1[[#This Row],[Addition check]]-FME_Ranking1[[#This Row],[Weighted Score Based on Normalized Reported Factors]]</f>
        <v>0</v>
      </c>
      <c r="AK223" s="178">
        <f>_xlfn.RANK.EQ(AI223,$AI$6:$AI$2341,0)+COUNTIF($AI$6:AI223,AI223)-1</f>
        <v>230</v>
      </c>
    </row>
    <row r="224" spans="1:37" ht="12" customHeight="1" x14ac:dyDescent="0.25">
      <c r="A224" t="s">
        <v>1886</v>
      </c>
      <c r="B224">
        <f>_xlfn.XLOOKUP(FME_Ranking1[[#This Row],[FME ID]],FME_Input[FME_ID],FME_Input[RFPG_NUM])</f>
        <v>6</v>
      </c>
      <c r="C224" t="str">
        <f>_xlfn.XLOOKUP(FME_Ranking1[[#This Row],[FME ID]],FME_Input[FME_ID],FME_Input[FME_NAME])</f>
        <v>Brays Bayou - Keegans  Bayou (D118-00-00) Flood Risk Reduction</v>
      </c>
      <c r="D224" t="str">
        <f>_xlfn.XLOOKUP(FME_Ranking1[[#This Row],[FME ID]],FME_Input[FME_ID],FME_Input[DESCR])</f>
        <v>Study to develop a BCR required for this project to become a FMP.  A project could reduce the risk flooding for over 2,500 structures and could reduce the frequency and duration of flooding along about 100 miles of roadway.</v>
      </c>
      <c r="E224" s="256">
        <f>_xlfn.XLOOKUP(FME_Ranking1[[#This Row],[FME ID]],FME_Input[FME_ID],FME_Input[FME_COST])</f>
        <v>30000</v>
      </c>
      <c r="F224" t="str">
        <f>_xlfn.XLOOKUP(FME_Ranking1[[#This Row],[FME ID]],FME_Input[FME_ID],FME_Input[EMER_NEED])</f>
        <v>No</v>
      </c>
      <c r="G224">
        <f>IF(FME_Ranking!F224="Yes",100,0)</f>
        <v>0</v>
      </c>
      <c r="H224">
        <f>FME_Ranking1[[#This Row],[Emergency Need Score (Normalized, Unweighted)]]*$F$3</f>
        <v>0</v>
      </c>
      <c r="I224" s="246">
        <f>_xlfn.XLOOKUP(FME_Ranking1[[#This Row],[FME ID]],FME_Input[FME_ID],FME_Input[STRUCT_100])</f>
        <v>2549</v>
      </c>
      <c r="J224" s="178">
        <f>(FME_Ranking1[[#This Row],[Structures 100 Raw]]/I$2)*100</f>
        <v>1.3649702266204</v>
      </c>
      <c r="K224" s="178">
        <f>FME_Ranking1[[#This Row],[Structures 100  Score (Normalized, Unweighted)]]*$I$3</f>
        <v>0.20474553399306</v>
      </c>
      <c r="L224" s="246">
        <f>_xlfn.XLOOKUP(FME_Ranking1[[#This Row],[FME ID]],FME_Input[FME_ID],FME_Input[RES_STRUCT100])</f>
        <v>2257</v>
      </c>
      <c r="M224" s="230">
        <f>(FME_Ranking1[[#This Row],[Res Structures Raw]]/L$2)*100</f>
        <v>1.5986457197093116</v>
      </c>
      <c r="N224" s="180">
        <f>FME_Ranking1[[#This Row],[Res Structures Score (Normalized, Unweighted)]]*$L$3</f>
        <v>0.15986457197093118</v>
      </c>
      <c r="O224" s="244">
        <f>_xlfn.XLOOKUP(FME_Ranking1[[#This Row],[FME ID]],FME_Input[FME_ID],FME_Input[POP100])</f>
        <v>30383</v>
      </c>
      <c r="P224" s="178">
        <f>(FME_Ranking1[[#This Row],[Pop Raw]]/$O$2)*100</f>
        <v>3.1104691041545949</v>
      </c>
      <c r="Q224" s="178">
        <f>FME_Ranking1[[#This Row],[Pop Score (Normalized, Unweighted)]]*$O$3</f>
        <v>0.46657036562318921</v>
      </c>
      <c r="R224" s="137">
        <f>_xlfn.XLOOKUP(FME_Ranking1[[#This Row],[FME ID]],FME_Input[FME_ID],FME_Input[CRITFAC100])</f>
        <v>27</v>
      </c>
      <c r="S224" s="230">
        <f>(FME_Ranking1[[#This Row],[Critical Facilities Raw]]/$R$2)*100</f>
        <v>1.1578044596912522</v>
      </c>
      <c r="T224" s="180">
        <f>FME_Ranking1[[#This Row],[Critical Facilities Score (Normalized, Unweighted)]]*$R$3</f>
        <v>0.23156089193825047</v>
      </c>
      <c r="U224">
        <f>_xlfn.XLOOKUP(FME_Ranking1[[#This Row],[FME ID]],FME_Input[FME_ID],FME_Input[LWC])</f>
        <v>0</v>
      </c>
      <c r="V224" s="178">
        <f>(FME_Ranking1[[#This Row],[LWC Raw]]/$U$2)*100</f>
        <v>0</v>
      </c>
      <c r="W224" s="178">
        <f>FME_Ranking1[[#This Row],[LWC Score (Normalized, Unweighted)]]*$U$3</f>
        <v>0</v>
      </c>
      <c r="X224" s="246">
        <f>_xlfn.XLOOKUP(FME_Ranking1[[#This Row],[FME ID]],FME_Input[FME_ID],FME_Input[ROADCLS])</f>
        <v>0</v>
      </c>
      <c r="Y224" s="230">
        <f>(FME_Ranking1[[#This Row],[Closures Raw]]/$X$2)*100</f>
        <v>0</v>
      </c>
      <c r="Z224" s="180">
        <f>FME_Ranking1[[#This Row],[Closures Score (Normalized, Unweighted)]]*$X$3</f>
        <v>0</v>
      </c>
      <c r="AA224" s="253">
        <f>_xlfn.XLOOKUP(FME_Ranking1[[#This Row],[FME ID]],FME_Input[FME_ID],FME_Input[ROAD_MILES100])</f>
        <v>39.289417266845703</v>
      </c>
      <c r="AB224" s="178">
        <f>(FME_Ranking1[[#This Row],[Miles Raw]]/$AA$2)*100</f>
        <v>0.51658536818091683</v>
      </c>
      <c r="AC224" s="178">
        <f>FME_Ranking1[[#This Row],[Miles Score (Normalized, Unweighted)]]*$AA$3</f>
        <v>5.1658536818091683E-2</v>
      </c>
      <c r="AD224" s="255">
        <f>_xlfn.XLOOKUP(FME_Ranking1[[#This Row],[FME ID]],FME_Input[FME_ID],FME_Input[FARMACRE100])</f>
        <v>3.389466285705566</v>
      </c>
      <c r="AE224" s="230">
        <f>(FME_Ranking1[[#This Row],[Ag Land Raw]]/$AD$2)*100</f>
        <v>1.3976641666416434E-4</v>
      </c>
      <c r="AF224" s="231">
        <f>FME_Ranking1[[#This Row],[Ag Land Score (Normalized, Unweighted)]]*$AD$3</f>
        <v>6.9883208332082178E-6</v>
      </c>
      <c r="AG22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1.1144068886643559</v>
      </c>
      <c r="AH224" s="406">
        <f t="shared" si="3"/>
        <v>247</v>
      </c>
      <c r="AI22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1.1144068886643559</v>
      </c>
      <c r="AJ224" s="257">
        <f>FME_Ranking1[[#This Row],[Addition check]]-FME_Ranking1[[#This Row],[Weighted Score Based on Normalized Reported Factors]]</f>
        <v>0</v>
      </c>
      <c r="AK224" s="178">
        <f>_xlfn.RANK.EQ(AI224,$AI$6:$AI$2341,0)+COUNTIF($AI$6:AI224,AI224)-1</f>
        <v>247</v>
      </c>
    </row>
    <row r="225" spans="1:37" ht="12" customHeight="1" x14ac:dyDescent="0.25">
      <c r="A225" t="s">
        <v>6422</v>
      </c>
      <c r="B225">
        <f>_xlfn.XLOOKUP(FME_Ranking1[[#This Row],[FME ID]],FME_Input[FME_ID],FME_Input[RFPG_NUM])</f>
        <v>5</v>
      </c>
      <c r="C225" t="str">
        <f>_xlfn.XLOOKUP(FME_Ranking1[[#This Row],[FME ID]],FME_Input[FME_ID],FME_Input[FME_NAME])</f>
        <v>Hardin County SE Area Drainage System</v>
      </c>
      <c r="D225" t="str">
        <f>_xlfn.XLOOKUP(FME_Ranking1[[#This Row],[FME ID]],FME_Input[FME_ID],FME_Input[DESCR])</f>
        <v>H&amp;H study to identify alternatives for developing a large drainage system to drain Lumberton directly into the Neches River, instead of Pine Island Bayou.</v>
      </c>
      <c r="E225" s="256">
        <f>_xlfn.XLOOKUP(FME_Ranking1[[#This Row],[FME ID]],FME_Input[FME_ID],FME_Input[FME_COST])</f>
        <v>1250000</v>
      </c>
      <c r="F225" t="str">
        <f>_xlfn.XLOOKUP(FME_Ranking1[[#This Row],[FME ID]],FME_Input[FME_ID],FME_Input[EMER_NEED])</f>
        <v>Yes</v>
      </c>
      <c r="G225">
        <f>IF(FME_Ranking!F225="Yes",100,0)</f>
        <v>100</v>
      </c>
      <c r="H225">
        <f>FME_Ranking1[[#This Row],[Emergency Need Score (Normalized, Unweighted)]]*$F$3</f>
        <v>0</v>
      </c>
      <c r="I225" s="246">
        <f>_xlfn.XLOOKUP(FME_Ranking1[[#This Row],[FME ID]],FME_Input[FME_ID],FME_Input[STRUCT_100])</f>
        <v>3678</v>
      </c>
      <c r="J225" s="178">
        <f>(FME_Ranking1[[#This Row],[Structures 100 Raw]]/I$2)*100</f>
        <v>1.9695411900783961</v>
      </c>
      <c r="K225" s="178">
        <f>FME_Ranking1[[#This Row],[Structures 100  Score (Normalized, Unweighted)]]*$I$3</f>
        <v>0.29543117851175943</v>
      </c>
      <c r="L225" s="246">
        <f>_xlfn.XLOOKUP(FME_Ranking1[[#This Row],[FME ID]],FME_Input[FME_ID],FME_Input[RES_STRUCT100])</f>
        <v>2638</v>
      </c>
      <c r="M225" s="230">
        <f>(FME_Ranking1[[#This Row],[Res Structures Raw]]/L$2)*100</f>
        <v>1.8685101500191241</v>
      </c>
      <c r="N225" s="180">
        <f>FME_Ranking1[[#This Row],[Res Structures Score (Normalized, Unweighted)]]*$L$3</f>
        <v>0.18685101500191242</v>
      </c>
      <c r="O225" s="244">
        <f>_xlfn.XLOOKUP(FME_Ranking1[[#This Row],[FME ID]],FME_Input[FME_ID],FME_Input[POP100])</f>
        <v>10528</v>
      </c>
      <c r="P225" s="178">
        <f>(FME_Ranking1[[#This Row],[Pop Raw]]/$O$2)*100</f>
        <v>1.0778072846176998</v>
      </c>
      <c r="Q225" s="178">
        <f>FME_Ranking1[[#This Row],[Pop Score (Normalized, Unweighted)]]*$O$3</f>
        <v>0.16167109269265498</v>
      </c>
      <c r="R225" s="137">
        <f>_xlfn.XLOOKUP(FME_Ranking1[[#This Row],[FME ID]],FME_Input[FME_ID],FME_Input[CRITFAC100])</f>
        <v>25</v>
      </c>
      <c r="S225" s="230">
        <f>(FME_Ranking1[[#This Row],[Critical Facilities Raw]]/$R$2)*100</f>
        <v>1.0720411663807889</v>
      </c>
      <c r="T225" s="180">
        <f>FME_Ranking1[[#This Row],[Critical Facilities Score (Normalized, Unweighted)]]*$R$3</f>
        <v>0.21440823327615779</v>
      </c>
      <c r="U225">
        <f>_xlfn.XLOOKUP(FME_Ranking1[[#This Row],[FME ID]],FME_Input[FME_ID],FME_Input[LWC])</f>
        <v>13</v>
      </c>
      <c r="V225" s="178">
        <f>(FME_Ranking1[[#This Row],[LWC Raw]]/$U$2)*100</f>
        <v>0.74841681059297649</v>
      </c>
      <c r="W225" s="178">
        <f>FME_Ranking1[[#This Row],[LWC Score (Normalized, Unweighted)]]*$U$3</f>
        <v>0.14968336211859531</v>
      </c>
      <c r="X225" s="246">
        <f>_xlfn.XLOOKUP(FME_Ranking1[[#This Row],[FME ID]],FME_Input[FME_ID],FME_Input[ROADCLS])</f>
        <v>13</v>
      </c>
      <c r="Y225" s="230">
        <f>(FME_Ranking1[[#This Row],[Closures Raw]]/$X$2)*100</f>
        <v>0.13668383976448323</v>
      </c>
      <c r="Z225" s="180">
        <f>FME_Ranking1[[#This Row],[Closures Score (Normalized, Unweighted)]]*$X$3</f>
        <v>6.8341919882241621E-3</v>
      </c>
      <c r="AA225" s="253">
        <f>_xlfn.XLOOKUP(FME_Ranking1[[#This Row],[FME ID]],FME_Input[FME_ID],FME_Input[ROAD_MILES100])</f>
        <v>135.78819274902341</v>
      </c>
      <c r="AB225" s="178">
        <f>(FME_Ranking1[[#This Row],[Miles Raw]]/$AA$2)*100</f>
        <v>1.7853711870923643</v>
      </c>
      <c r="AC225" s="178">
        <f>FME_Ranking1[[#This Row],[Miles Score (Normalized, Unweighted)]]*$AA$3</f>
        <v>0.17853711870923644</v>
      </c>
      <c r="AD225" s="255">
        <f>_xlfn.XLOOKUP(FME_Ranking1[[#This Row],[FME ID]],FME_Input[FME_ID],FME_Input[FARMACRE100])</f>
        <v>743.46661376953125</v>
      </c>
      <c r="AE225" s="230">
        <f>(FME_Ranking1[[#This Row],[Ag Land Raw]]/$AD$2)*100</f>
        <v>3.0657235020815948E-2</v>
      </c>
      <c r="AF225" s="231">
        <f>FME_Ranking1[[#This Row],[Ag Land Score (Normalized, Unweighted)]]*$AD$3</f>
        <v>1.5328617510407974E-3</v>
      </c>
      <c r="AG22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1.1949490540495813</v>
      </c>
      <c r="AH225" s="406">
        <f t="shared" si="3"/>
        <v>233</v>
      </c>
      <c r="AI22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1.1949490540495813</v>
      </c>
      <c r="AJ225" s="257">
        <f>FME_Ranking1[[#This Row],[Addition check]]-FME_Ranking1[[#This Row],[Weighted Score Based on Normalized Reported Factors]]</f>
        <v>0</v>
      </c>
      <c r="AK225" s="178">
        <f>_xlfn.RANK.EQ(AI225,$AI$6:$AI$2341,0)+COUNTIF($AI$6:AI225,AI225)-1</f>
        <v>233</v>
      </c>
    </row>
    <row r="226" spans="1:37" ht="12" customHeight="1" x14ac:dyDescent="0.25">
      <c r="A226" t="s">
        <v>5869</v>
      </c>
      <c r="B226">
        <f>_xlfn.XLOOKUP(FME_Ranking1[[#This Row],[FME ID]],FME_Input[FME_ID],FME_Input[RFPG_NUM])</f>
        <v>5</v>
      </c>
      <c r="C226" t="str">
        <f>_xlfn.XLOOKUP(FME_Ranking1[[#This Row],[FME ID]],FME_Input[FME_ID],FME_Input[FME_NAME])</f>
        <v>Hardin County Update Flood Hazard Mapping</v>
      </c>
      <c r="D226" t="str">
        <f>_xlfn.XLOOKUP(FME_Ranking1[[#This Row],[FME ID]],FME_Input[FME_ID],FME_Input[DESCR])</f>
        <v>Complete a detailed study within the county extent to delineate an updated flood hazard area, which can be used for regulatory purposes.</v>
      </c>
      <c r="E226" s="256">
        <f>_xlfn.XLOOKUP(FME_Ranking1[[#This Row],[FME ID]],FME_Input[FME_ID],FME_Input[FME_COST])</f>
        <v>1800000</v>
      </c>
      <c r="F226" t="str">
        <f>_xlfn.XLOOKUP(FME_Ranking1[[#This Row],[FME ID]],FME_Input[FME_ID],FME_Input[EMER_NEED])</f>
        <v>Yes</v>
      </c>
      <c r="G226">
        <f>IF(FME_Ranking!F226="Yes",100,0)</f>
        <v>100</v>
      </c>
      <c r="H226">
        <f>FME_Ranking1[[#This Row],[Emergency Need Score (Normalized, Unweighted)]]*$F$3</f>
        <v>0</v>
      </c>
      <c r="I226" s="246">
        <f>_xlfn.XLOOKUP(FME_Ranking1[[#This Row],[FME ID]],FME_Input[FME_ID],FME_Input[STRUCT_100])</f>
        <v>3678</v>
      </c>
      <c r="J226" s="178">
        <f>(FME_Ranking1[[#This Row],[Structures 100 Raw]]/I$2)*100</f>
        <v>1.9695411900783961</v>
      </c>
      <c r="K226" s="178">
        <f>FME_Ranking1[[#This Row],[Structures 100  Score (Normalized, Unweighted)]]*$I$3</f>
        <v>0.29543117851175943</v>
      </c>
      <c r="L226" s="246">
        <f>_xlfn.XLOOKUP(FME_Ranking1[[#This Row],[FME ID]],FME_Input[FME_ID],FME_Input[RES_STRUCT100])</f>
        <v>2638</v>
      </c>
      <c r="M226" s="230">
        <f>(FME_Ranking1[[#This Row],[Res Structures Raw]]/L$2)*100</f>
        <v>1.8685101500191241</v>
      </c>
      <c r="N226" s="180">
        <f>FME_Ranking1[[#This Row],[Res Structures Score (Normalized, Unweighted)]]*$L$3</f>
        <v>0.18685101500191242</v>
      </c>
      <c r="O226" s="244">
        <f>_xlfn.XLOOKUP(FME_Ranking1[[#This Row],[FME ID]],FME_Input[FME_ID],FME_Input[POP100])</f>
        <v>10528</v>
      </c>
      <c r="P226" s="178">
        <f>(FME_Ranking1[[#This Row],[Pop Raw]]/$O$2)*100</f>
        <v>1.0778072846176998</v>
      </c>
      <c r="Q226" s="178">
        <f>FME_Ranking1[[#This Row],[Pop Score (Normalized, Unweighted)]]*$O$3</f>
        <v>0.16167109269265498</v>
      </c>
      <c r="R226" s="137">
        <f>_xlfn.XLOOKUP(FME_Ranking1[[#This Row],[FME ID]],FME_Input[FME_ID],FME_Input[CRITFAC100])</f>
        <v>25</v>
      </c>
      <c r="S226" s="230">
        <f>(FME_Ranking1[[#This Row],[Critical Facilities Raw]]/$R$2)*100</f>
        <v>1.0720411663807889</v>
      </c>
      <c r="T226" s="180">
        <f>FME_Ranking1[[#This Row],[Critical Facilities Score (Normalized, Unweighted)]]*$R$3</f>
        <v>0.21440823327615779</v>
      </c>
      <c r="U226">
        <f>_xlfn.XLOOKUP(FME_Ranking1[[#This Row],[FME ID]],FME_Input[FME_ID],FME_Input[LWC])</f>
        <v>13</v>
      </c>
      <c r="V226" s="178">
        <f>(FME_Ranking1[[#This Row],[LWC Raw]]/$U$2)*100</f>
        <v>0.74841681059297649</v>
      </c>
      <c r="W226" s="178">
        <f>FME_Ranking1[[#This Row],[LWC Score (Normalized, Unweighted)]]*$U$3</f>
        <v>0.14968336211859531</v>
      </c>
      <c r="X226" s="246">
        <f>_xlfn.XLOOKUP(FME_Ranking1[[#This Row],[FME ID]],FME_Input[FME_ID],FME_Input[ROADCLS])</f>
        <v>13</v>
      </c>
      <c r="Y226" s="230">
        <f>(FME_Ranking1[[#This Row],[Closures Raw]]/$X$2)*100</f>
        <v>0.13668383976448323</v>
      </c>
      <c r="Z226" s="180">
        <f>FME_Ranking1[[#This Row],[Closures Score (Normalized, Unweighted)]]*$X$3</f>
        <v>6.8341919882241621E-3</v>
      </c>
      <c r="AA226" s="253">
        <f>_xlfn.XLOOKUP(FME_Ranking1[[#This Row],[FME ID]],FME_Input[FME_ID],FME_Input[ROAD_MILES100])</f>
        <v>135.7959899902344</v>
      </c>
      <c r="AB226" s="178">
        <f>(FME_Ranking1[[#This Row],[Miles Raw]]/$AA$2)*100</f>
        <v>1.7854737068292801</v>
      </c>
      <c r="AC226" s="178">
        <f>FME_Ranking1[[#This Row],[Miles Score (Normalized, Unweighted)]]*$AA$3</f>
        <v>0.17854737068292803</v>
      </c>
      <c r="AD226" s="255">
        <f>_xlfn.XLOOKUP(FME_Ranking1[[#This Row],[FME ID]],FME_Input[FME_ID],FME_Input[FARMACRE100])</f>
        <v>743.241455078125</v>
      </c>
      <c r="AE226" s="230">
        <f>(FME_Ranking1[[#This Row],[Ag Land Raw]]/$AD$2)*100</f>
        <v>3.0647950484306071E-2</v>
      </c>
      <c r="AF226" s="231">
        <f>FME_Ranking1[[#This Row],[Ag Land Score (Normalized, Unweighted)]]*$AD$3</f>
        <v>1.5323975242153036E-3</v>
      </c>
      <c r="AG22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1.1949588417964474</v>
      </c>
      <c r="AH226" s="406">
        <f t="shared" si="3"/>
        <v>231</v>
      </c>
      <c r="AI22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1.1949588417964474</v>
      </c>
      <c r="AJ226" s="257">
        <f>FME_Ranking1[[#This Row],[Addition check]]-FME_Ranking1[[#This Row],[Weighted Score Based on Normalized Reported Factors]]</f>
        <v>0</v>
      </c>
      <c r="AK226" s="178">
        <f>_xlfn.RANK.EQ(AI226,$AI$6:$AI$2341,0)+COUNTIF($AI$6:AI226,AI226)-1</f>
        <v>231</v>
      </c>
    </row>
    <row r="227" spans="1:37" ht="12" customHeight="1" x14ac:dyDescent="0.25">
      <c r="A227" t="s">
        <v>6148</v>
      </c>
      <c r="B227">
        <f>_xlfn.XLOOKUP(FME_Ranking1[[#This Row],[FME ID]],FME_Input[FME_ID],FME_Input[RFPG_NUM])</f>
        <v>5</v>
      </c>
      <c r="C227" t="str">
        <f>_xlfn.XLOOKUP(FME_Ranking1[[#This Row],[FME ID]],FME_Input[FME_ID],FME_Input[FME_NAME])</f>
        <v>Hardin County Master Drainage Plan</v>
      </c>
      <c r="D227"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227" s="256">
        <f>_xlfn.XLOOKUP(FME_Ranking1[[#This Row],[FME ID]],FME_Input[FME_ID],FME_Input[FME_COST])</f>
        <v>1000000</v>
      </c>
      <c r="F227" t="str">
        <f>_xlfn.XLOOKUP(FME_Ranking1[[#This Row],[FME ID]],FME_Input[FME_ID],FME_Input[EMER_NEED])</f>
        <v>Yes</v>
      </c>
      <c r="G227">
        <f>IF(FME_Ranking!F227="Yes",100,0)</f>
        <v>100</v>
      </c>
      <c r="H227">
        <f>FME_Ranking1[[#This Row],[Emergency Need Score (Normalized, Unweighted)]]*$F$3</f>
        <v>0</v>
      </c>
      <c r="I227" s="246">
        <f>_xlfn.XLOOKUP(FME_Ranking1[[#This Row],[FME ID]],FME_Input[FME_ID],FME_Input[STRUCT_100])</f>
        <v>3678</v>
      </c>
      <c r="J227" s="178">
        <f>(FME_Ranking1[[#This Row],[Structures 100 Raw]]/I$2)*100</f>
        <v>1.9695411900783961</v>
      </c>
      <c r="K227" s="178">
        <f>FME_Ranking1[[#This Row],[Structures 100  Score (Normalized, Unweighted)]]*$I$3</f>
        <v>0.29543117851175943</v>
      </c>
      <c r="L227" s="246">
        <f>_xlfn.XLOOKUP(FME_Ranking1[[#This Row],[FME ID]],FME_Input[FME_ID],FME_Input[RES_STRUCT100])</f>
        <v>2638</v>
      </c>
      <c r="M227" s="230">
        <f>(FME_Ranking1[[#This Row],[Res Structures Raw]]/L$2)*100</f>
        <v>1.8685101500191241</v>
      </c>
      <c r="N227" s="180">
        <f>FME_Ranking1[[#This Row],[Res Structures Score (Normalized, Unweighted)]]*$L$3</f>
        <v>0.18685101500191242</v>
      </c>
      <c r="O227" s="244">
        <f>_xlfn.XLOOKUP(FME_Ranking1[[#This Row],[FME ID]],FME_Input[FME_ID],FME_Input[POP100])</f>
        <v>10528</v>
      </c>
      <c r="P227" s="178">
        <f>(FME_Ranking1[[#This Row],[Pop Raw]]/$O$2)*100</f>
        <v>1.0778072846176998</v>
      </c>
      <c r="Q227" s="178">
        <f>FME_Ranking1[[#This Row],[Pop Score (Normalized, Unweighted)]]*$O$3</f>
        <v>0.16167109269265498</v>
      </c>
      <c r="R227" s="137">
        <f>_xlfn.XLOOKUP(FME_Ranking1[[#This Row],[FME ID]],FME_Input[FME_ID],FME_Input[CRITFAC100])</f>
        <v>25</v>
      </c>
      <c r="S227" s="230">
        <f>(FME_Ranking1[[#This Row],[Critical Facilities Raw]]/$R$2)*100</f>
        <v>1.0720411663807889</v>
      </c>
      <c r="T227" s="180">
        <f>FME_Ranking1[[#This Row],[Critical Facilities Score (Normalized, Unweighted)]]*$R$3</f>
        <v>0.21440823327615779</v>
      </c>
      <c r="U227">
        <f>_xlfn.XLOOKUP(FME_Ranking1[[#This Row],[FME ID]],FME_Input[FME_ID],FME_Input[LWC])</f>
        <v>13</v>
      </c>
      <c r="V227" s="178">
        <f>(FME_Ranking1[[#This Row],[LWC Raw]]/$U$2)*100</f>
        <v>0.74841681059297649</v>
      </c>
      <c r="W227" s="178">
        <f>FME_Ranking1[[#This Row],[LWC Score (Normalized, Unweighted)]]*$U$3</f>
        <v>0.14968336211859531</v>
      </c>
      <c r="X227" s="246">
        <f>_xlfn.XLOOKUP(FME_Ranking1[[#This Row],[FME ID]],FME_Input[FME_ID],FME_Input[ROADCLS])</f>
        <v>13</v>
      </c>
      <c r="Y227" s="230">
        <f>(FME_Ranking1[[#This Row],[Closures Raw]]/$X$2)*100</f>
        <v>0.13668383976448323</v>
      </c>
      <c r="Z227" s="180">
        <f>FME_Ranking1[[#This Row],[Closures Score (Normalized, Unweighted)]]*$X$3</f>
        <v>6.8341919882241621E-3</v>
      </c>
      <c r="AA227" s="253">
        <f>_xlfn.XLOOKUP(FME_Ranking1[[#This Row],[FME ID]],FME_Input[FME_ID],FME_Input[ROAD_MILES100])</f>
        <v>135.7959899902344</v>
      </c>
      <c r="AB227" s="178">
        <f>(FME_Ranking1[[#This Row],[Miles Raw]]/$AA$2)*100</f>
        <v>1.7854737068292801</v>
      </c>
      <c r="AC227" s="178">
        <f>FME_Ranking1[[#This Row],[Miles Score (Normalized, Unweighted)]]*$AA$3</f>
        <v>0.17854737068292803</v>
      </c>
      <c r="AD227" s="255">
        <f>_xlfn.XLOOKUP(FME_Ranking1[[#This Row],[FME ID]],FME_Input[FME_ID],FME_Input[FARMACRE100])</f>
        <v>743.241455078125</v>
      </c>
      <c r="AE227" s="230">
        <f>(FME_Ranking1[[#This Row],[Ag Land Raw]]/$AD$2)*100</f>
        <v>3.0647950484306071E-2</v>
      </c>
      <c r="AF227" s="231">
        <f>FME_Ranking1[[#This Row],[Ag Land Score (Normalized, Unweighted)]]*$AD$3</f>
        <v>1.5323975242153036E-3</v>
      </c>
      <c r="AG22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1.1949588417964474</v>
      </c>
      <c r="AH227" s="406">
        <f t="shared" si="3"/>
        <v>231</v>
      </c>
      <c r="AI22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1.1949588417964474</v>
      </c>
      <c r="AJ227" s="257">
        <f>FME_Ranking1[[#This Row],[Addition check]]-FME_Ranking1[[#This Row],[Weighted Score Based on Normalized Reported Factors]]</f>
        <v>0</v>
      </c>
      <c r="AK227" s="178">
        <f>_xlfn.RANK.EQ(AI227,$AI$6:$AI$2341,0)+COUNTIF($AI$6:AI227,AI227)-1</f>
        <v>232</v>
      </c>
    </row>
    <row r="228" spans="1:37" ht="12" customHeight="1" x14ac:dyDescent="0.25">
      <c r="A228" t="s">
        <v>6419</v>
      </c>
      <c r="B228">
        <f>_xlfn.XLOOKUP(FME_Ranking1[[#This Row],[FME ID]],FME_Input[FME_ID],FME_Input[RFPG_NUM])</f>
        <v>5</v>
      </c>
      <c r="C228" t="str">
        <f>_xlfn.XLOOKUP(FME_Ranking1[[#This Row],[FME ID]],FME_Input[FME_ID],FME_Input[FME_NAME])</f>
        <v>Hardin County South Area Drainage System</v>
      </c>
      <c r="D228" t="str">
        <f>_xlfn.XLOOKUP(FME_Ranking1[[#This Row],[FME ID]],FME_Input[FME_ID],FME_Input[DESCR])</f>
        <v xml:space="preserve">H&amp;H study to identify alternatives for developing a drainage system to drain / retain flood waters around the communities of Pinewood, Countrywood, Bevil Oaks, and Rose Hill </v>
      </c>
      <c r="E228" s="256">
        <f>_xlfn.XLOOKUP(FME_Ranking1[[#This Row],[FME ID]],FME_Input[FME_ID],FME_Input[FME_COST])</f>
        <v>1000000</v>
      </c>
      <c r="F228" t="str">
        <f>_xlfn.XLOOKUP(FME_Ranking1[[#This Row],[FME ID]],FME_Input[FME_ID],FME_Input[EMER_NEED])</f>
        <v>Yes</v>
      </c>
      <c r="G228">
        <f>IF(FME_Ranking!F228="Yes",100,0)</f>
        <v>100</v>
      </c>
      <c r="H228">
        <f>FME_Ranking1[[#This Row],[Emergency Need Score (Normalized, Unweighted)]]*$F$3</f>
        <v>0</v>
      </c>
      <c r="I228" s="246">
        <f>_xlfn.XLOOKUP(FME_Ranking1[[#This Row],[FME ID]],FME_Input[FME_ID],FME_Input[STRUCT_100])</f>
        <v>3676</v>
      </c>
      <c r="J228" s="178">
        <f>(FME_Ranking1[[#This Row],[Structures 100 Raw]]/I$2)*100</f>
        <v>1.9684702052007026</v>
      </c>
      <c r="K228" s="178">
        <f>FME_Ranking1[[#This Row],[Structures 100  Score (Normalized, Unweighted)]]*$I$3</f>
        <v>0.2952705307801054</v>
      </c>
      <c r="L228" s="246">
        <f>_xlfn.XLOOKUP(FME_Ranking1[[#This Row],[FME ID]],FME_Input[FME_ID],FME_Input[RES_STRUCT100])</f>
        <v>2636</v>
      </c>
      <c r="M228" s="230">
        <f>(FME_Ranking1[[#This Row],[Res Structures Raw]]/L$2)*100</f>
        <v>1.8670935388363956</v>
      </c>
      <c r="N228" s="180">
        <f>FME_Ranking1[[#This Row],[Res Structures Score (Normalized, Unweighted)]]*$L$3</f>
        <v>0.18670935388363957</v>
      </c>
      <c r="O228" s="244">
        <f>_xlfn.XLOOKUP(FME_Ranking1[[#This Row],[FME ID]],FME_Input[FME_ID],FME_Input[POP100])</f>
        <v>10526</v>
      </c>
      <c r="P228" s="178">
        <f>(FME_Ranking1[[#This Row],[Pop Raw]]/$O$2)*100</f>
        <v>1.0776025339937223</v>
      </c>
      <c r="Q228" s="178">
        <f>FME_Ranking1[[#This Row],[Pop Score (Normalized, Unweighted)]]*$O$3</f>
        <v>0.16164038009905835</v>
      </c>
      <c r="R228" s="137">
        <f>_xlfn.XLOOKUP(FME_Ranking1[[#This Row],[FME ID]],FME_Input[FME_ID],FME_Input[CRITFAC100])</f>
        <v>25</v>
      </c>
      <c r="S228" s="230">
        <f>(FME_Ranking1[[#This Row],[Critical Facilities Raw]]/$R$2)*100</f>
        <v>1.0720411663807889</v>
      </c>
      <c r="T228" s="180">
        <f>FME_Ranking1[[#This Row],[Critical Facilities Score (Normalized, Unweighted)]]*$R$3</f>
        <v>0.21440823327615779</v>
      </c>
      <c r="U228">
        <f>_xlfn.XLOOKUP(FME_Ranking1[[#This Row],[FME ID]],FME_Input[FME_ID],FME_Input[LWC])</f>
        <v>13</v>
      </c>
      <c r="V228" s="178">
        <f>(FME_Ranking1[[#This Row],[LWC Raw]]/$U$2)*100</f>
        <v>0.74841681059297649</v>
      </c>
      <c r="W228" s="178">
        <f>FME_Ranking1[[#This Row],[LWC Score (Normalized, Unweighted)]]*$U$3</f>
        <v>0.14968336211859531</v>
      </c>
      <c r="X228" s="246">
        <f>_xlfn.XLOOKUP(FME_Ranking1[[#This Row],[FME ID]],FME_Input[FME_ID],FME_Input[ROADCLS])</f>
        <v>13</v>
      </c>
      <c r="Y228" s="230">
        <f>(FME_Ranking1[[#This Row],[Closures Raw]]/$X$2)*100</f>
        <v>0.13668383976448323</v>
      </c>
      <c r="Z228" s="180">
        <f>FME_Ranking1[[#This Row],[Closures Score (Normalized, Unweighted)]]*$X$3</f>
        <v>6.8341919882241621E-3</v>
      </c>
      <c r="AA228" s="253">
        <f>_xlfn.XLOOKUP(FME_Ranking1[[#This Row],[FME ID]],FME_Input[FME_ID],FME_Input[ROAD_MILES100])</f>
        <v>135.74409484863281</v>
      </c>
      <c r="AB228" s="178">
        <f>(FME_Ranking1[[#This Row],[Miles Raw]]/$AA$2)*100</f>
        <v>1.7847913787955254</v>
      </c>
      <c r="AC228" s="178">
        <f>FME_Ranking1[[#This Row],[Miles Score (Normalized, Unweighted)]]*$AA$3</f>
        <v>0.17847913787955255</v>
      </c>
      <c r="AD228" s="255">
        <f>_xlfn.XLOOKUP(FME_Ranking1[[#This Row],[FME ID]],FME_Input[FME_ID],FME_Input[FARMACRE100])</f>
        <v>743.46661376953125</v>
      </c>
      <c r="AE228" s="230">
        <f>(FME_Ranking1[[#This Row],[Ag Land Raw]]/$AD$2)*100</f>
        <v>3.0657235020815948E-2</v>
      </c>
      <c r="AF228" s="231">
        <f>FME_Ranking1[[#This Row],[Ag Land Score (Normalized, Unweighted)]]*$AD$3</f>
        <v>1.5328617510407974E-3</v>
      </c>
      <c r="AG22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1.1945580517763739</v>
      </c>
      <c r="AH228" s="406">
        <f t="shared" si="3"/>
        <v>234</v>
      </c>
      <c r="AI22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1.1945580517763739</v>
      </c>
      <c r="AJ228" s="257">
        <f>FME_Ranking1[[#This Row],[Addition check]]-FME_Ranking1[[#This Row],[Weighted Score Based on Normalized Reported Factors]]</f>
        <v>0</v>
      </c>
      <c r="AK228" s="178">
        <f>_xlfn.RANK.EQ(AI228,$AI$6:$AI$2341,0)+COUNTIF($AI$6:AI228,AI228)-1</f>
        <v>234</v>
      </c>
    </row>
    <row r="229" spans="1:37" ht="12" customHeight="1" x14ac:dyDescent="0.25">
      <c r="A229" t="s">
        <v>10089</v>
      </c>
      <c r="B229">
        <f>_xlfn.XLOOKUP(FME_Ranking1[[#This Row],[FME ID]],FME_Input[FME_ID],FME_Input[RFPG_NUM])</f>
        <v>13</v>
      </c>
      <c r="C229" t="str">
        <f>_xlfn.XLOOKUP(FME_Ranking1[[#This Row],[FME ID]],FME_Input[FME_ID],FME_Input[FME_NAME])</f>
        <v>City of Alice &amp; Jim Wells County Multi-Hazard Mitigation Plan - Construct Storm Drainage Infrastructure (Jim Wells County)</v>
      </c>
      <c r="D229" t="str">
        <f>_xlfn.XLOOKUP(FME_Ranking1[[#This Row],[FME ID]],FME_Input[FME_ID],FME_Input[DESCR])</f>
        <v xml:space="preserve">This action proposes constructing new storm drainage infrastructure to reduce the potential impacts of future flood events. </v>
      </c>
      <c r="E229" s="256">
        <f>_xlfn.XLOOKUP(FME_Ranking1[[#This Row],[FME ID]],FME_Input[FME_ID],FME_Input[FME_COST])</f>
        <v>159000</v>
      </c>
      <c r="F229" t="str">
        <f>_xlfn.XLOOKUP(FME_Ranking1[[#This Row],[FME ID]],FME_Input[FME_ID],FME_Input[EMER_NEED])</f>
        <v>Yes</v>
      </c>
      <c r="G229">
        <f>IF(FME_Ranking!F229="Yes",100,0)</f>
        <v>100</v>
      </c>
      <c r="H229">
        <f>FME_Ranking1[[#This Row],[Emergency Need Score (Normalized, Unweighted)]]*$F$3</f>
        <v>0</v>
      </c>
      <c r="I229" s="246">
        <f>_xlfn.XLOOKUP(FME_Ranking1[[#This Row],[FME ID]],FME_Input[FME_ID],FME_Input[STRUCT_100])</f>
        <v>2398</v>
      </c>
      <c r="J229" s="178">
        <f>(FME_Ranking1[[#This Row],[Structures 100 Raw]]/I$2)*100</f>
        <v>1.2841108683545388</v>
      </c>
      <c r="K229" s="178">
        <f>FME_Ranking1[[#This Row],[Structures 100  Score (Normalized, Unweighted)]]*$I$3</f>
        <v>0.19261663025318082</v>
      </c>
      <c r="L229" s="246">
        <f>_xlfn.XLOOKUP(FME_Ranking1[[#This Row],[FME ID]],FME_Input[FME_ID],FME_Input[RES_STRUCT100])</f>
        <v>1145</v>
      </c>
      <c r="M229" s="230">
        <f>(FME_Ranking1[[#This Row],[Res Structures Raw]]/L$2)*100</f>
        <v>0.81100990211216728</v>
      </c>
      <c r="N229" s="180">
        <f>FME_Ranking1[[#This Row],[Res Structures Score (Normalized, Unweighted)]]*$L$3</f>
        <v>8.1100990211216736E-2</v>
      </c>
      <c r="O229" s="244">
        <f>_xlfn.XLOOKUP(FME_Ranking1[[#This Row],[FME ID]],FME_Input[FME_ID],FME_Input[POP100])</f>
        <v>8685</v>
      </c>
      <c r="P229" s="178">
        <f>(FME_Ranking1[[#This Row],[Pop Raw]]/$O$2)*100</f>
        <v>0.8891295846224091</v>
      </c>
      <c r="Q229" s="178">
        <f>FME_Ranking1[[#This Row],[Pop Score (Normalized, Unweighted)]]*$O$3</f>
        <v>0.13336943769336135</v>
      </c>
      <c r="R229" s="137">
        <f>_xlfn.XLOOKUP(FME_Ranking1[[#This Row],[FME ID]],FME_Input[FME_ID],FME_Input[CRITFAC100])</f>
        <v>9</v>
      </c>
      <c r="S229" s="230">
        <f>(FME_Ranking1[[#This Row],[Critical Facilities Raw]]/$R$2)*100</f>
        <v>0.38593481989708406</v>
      </c>
      <c r="T229" s="180">
        <f>FME_Ranking1[[#This Row],[Critical Facilities Score (Normalized, Unweighted)]]*$R$3</f>
        <v>7.7186963979416823E-2</v>
      </c>
      <c r="U229">
        <f>_xlfn.XLOOKUP(FME_Ranking1[[#This Row],[FME ID]],FME_Input[FME_ID],FME_Input[LWC])</f>
        <v>13</v>
      </c>
      <c r="V229" s="178">
        <f>(FME_Ranking1[[#This Row],[LWC Raw]]/$U$2)*100</f>
        <v>0.74841681059297649</v>
      </c>
      <c r="W229" s="178">
        <f>FME_Ranking1[[#This Row],[LWC Score (Normalized, Unweighted)]]*$U$3</f>
        <v>0.14968336211859531</v>
      </c>
      <c r="X229" s="246">
        <f>_xlfn.XLOOKUP(FME_Ranking1[[#This Row],[FME ID]],FME_Input[FME_ID],FME_Input[ROADCLS])</f>
        <v>624</v>
      </c>
      <c r="Y229" s="230">
        <f>(FME_Ranking1[[#This Row],[Closures Raw]]/$X$2)*100</f>
        <v>6.5608243086951958</v>
      </c>
      <c r="Z229" s="180">
        <f>FME_Ranking1[[#This Row],[Closures Score (Normalized, Unweighted)]]*$X$3</f>
        <v>0.32804121543475984</v>
      </c>
      <c r="AA229" s="253">
        <f>_xlfn.XLOOKUP(FME_Ranking1[[#This Row],[FME ID]],FME_Input[FME_ID],FME_Input[ROAD_MILES100])</f>
        <v>201.28936767578119</v>
      </c>
      <c r="AB229" s="178">
        <f>(FME_Ranking1[[#This Row],[Miles Raw]]/$AA$2)*100</f>
        <v>2.646594155506687</v>
      </c>
      <c r="AC229" s="178">
        <f>FME_Ranking1[[#This Row],[Miles Score (Normalized, Unweighted)]]*$AA$3</f>
        <v>0.26465941555066869</v>
      </c>
      <c r="AD229" s="255">
        <f>_xlfn.XLOOKUP(FME_Ranking1[[#This Row],[FME ID]],FME_Input[FME_ID],FME_Input[FARMACRE100])</f>
        <v>25815.615234375</v>
      </c>
      <c r="AE229" s="230">
        <f>(FME_Ranking1[[#This Row],[Ag Land Raw]]/$AD$2)*100</f>
        <v>1.0645204085687829</v>
      </c>
      <c r="AF229" s="231">
        <f>FME_Ranking1[[#This Row],[Ag Land Score (Normalized, Unweighted)]]*$AD$3</f>
        <v>5.3226020428439151E-2</v>
      </c>
      <c r="AG22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1.2798840356696388</v>
      </c>
      <c r="AH229" s="406">
        <f t="shared" si="3"/>
        <v>214</v>
      </c>
      <c r="AI22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1.2798840356696388</v>
      </c>
      <c r="AJ229" s="257">
        <f>FME_Ranking1[[#This Row],[Addition check]]-FME_Ranking1[[#This Row],[Weighted Score Based on Normalized Reported Factors]]</f>
        <v>0</v>
      </c>
      <c r="AK229" s="178">
        <f>_xlfn.RANK.EQ(AI229,$AI$6:$AI$2341,0)+COUNTIF($AI$6:AI229,AI229)-1</f>
        <v>214</v>
      </c>
    </row>
    <row r="230" spans="1:37" ht="12" customHeight="1" x14ac:dyDescent="0.25">
      <c r="A230" t="s">
        <v>10096</v>
      </c>
      <c r="B230">
        <f>_xlfn.XLOOKUP(FME_Ranking1[[#This Row],[FME ID]],FME_Input[FME_ID],FME_Input[RFPG_NUM])</f>
        <v>13</v>
      </c>
      <c r="C230" t="str">
        <f>_xlfn.XLOOKUP(FME_Ranking1[[#This Row],[FME ID]],FME_Input[FME_ID],FME_Input[FME_NAME])</f>
        <v>City of Alice &amp; Jim Wells County Multi-Hazard Mitigation Plan - Purchase Portable Pumps</v>
      </c>
      <c r="D230" t="str">
        <f>_xlfn.XLOOKUP(FME_Ranking1[[#This Row],[FME ID]],FME_Input[FME_ID],FME_Input[DESCR])</f>
        <v>This action proposes purchasing portable pumps that can be deployed as needed to reduce the potential impacts of future flood events.</v>
      </c>
      <c r="E230" s="256">
        <f>_xlfn.XLOOKUP(FME_Ranking1[[#This Row],[FME ID]],FME_Input[FME_ID],FME_Input[FME_COST])</f>
        <v>40000</v>
      </c>
      <c r="F230" t="str">
        <f>_xlfn.XLOOKUP(FME_Ranking1[[#This Row],[FME ID]],FME_Input[FME_ID],FME_Input[EMER_NEED])</f>
        <v>Yes</v>
      </c>
      <c r="G230">
        <f>IF(FME_Ranking!F230="Yes",100,0)</f>
        <v>100</v>
      </c>
      <c r="H230">
        <f>FME_Ranking1[[#This Row],[Emergency Need Score (Normalized, Unweighted)]]*$F$3</f>
        <v>0</v>
      </c>
      <c r="I230" s="246">
        <f>_xlfn.XLOOKUP(FME_Ranking1[[#This Row],[FME ID]],FME_Input[FME_ID],FME_Input[STRUCT_100])</f>
        <v>2398</v>
      </c>
      <c r="J230" s="178">
        <f>(FME_Ranking1[[#This Row],[Structures 100 Raw]]/I$2)*100</f>
        <v>1.2841108683545388</v>
      </c>
      <c r="K230" s="178">
        <f>FME_Ranking1[[#This Row],[Structures 100  Score (Normalized, Unweighted)]]*$I$3</f>
        <v>0.19261663025318082</v>
      </c>
      <c r="L230" s="246">
        <f>_xlfn.XLOOKUP(FME_Ranking1[[#This Row],[FME ID]],FME_Input[FME_ID],FME_Input[RES_STRUCT100])</f>
        <v>1145</v>
      </c>
      <c r="M230" s="230">
        <f>(FME_Ranking1[[#This Row],[Res Structures Raw]]/L$2)*100</f>
        <v>0.81100990211216728</v>
      </c>
      <c r="N230" s="180">
        <f>FME_Ranking1[[#This Row],[Res Structures Score (Normalized, Unweighted)]]*$L$3</f>
        <v>8.1100990211216736E-2</v>
      </c>
      <c r="O230" s="244">
        <f>_xlfn.XLOOKUP(FME_Ranking1[[#This Row],[FME ID]],FME_Input[FME_ID],FME_Input[POP100])</f>
        <v>8685</v>
      </c>
      <c r="P230" s="178">
        <f>(FME_Ranking1[[#This Row],[Pop Raw]]/$O$2)*100</f>
        <v>0.8891295846224091</v>
      </c>
      <c r="Q230" s="178">
        <f>FME_Ranking1[[#This Row],[Pop Score (Normalized, Unweighted)]]*$O$3</f>
        <v>0.13336943769336135</v>
      </c>
      <c r="R230" s="137">
        <f>_xlfn.XLOOKUP(FME_Ranking1[[#This Row],[FME ID]],FME_Input[FME_ID],FME_Input[CRITFAC100])</f>
        <v>9</v>
      </c>
      <c r="S230" s="230">
        <f>(FME_Ranking1[[#This Row],[Critical Facilities Raw]]/$R$2)*100</f>
        <v>0.38593481989708406</v>
      </c>
      <c r="T230" s="180">
        <f>FME_Ranking1[[#This Row],[Critical Facilities Score (Normalized, Unweighted)]]*$R$3</f>
        <v>7.7186963979416823E-2</v>
      </c>
      <c r="U230">
        <f>_xlfn.XLOOKUP(FME_Ranking1[[#This Row],[FME ID]],FME_Input[FME_ID],FME_Input[LWC])</f>
        <v>13</v>
      </c>
      <c r="V230" s="178">
        <f>(FME_Ranking1[[#This Row],[LWC Raw]]/$U$2)*100</f>
        <v>0.74841681059297649</v>
      </c>
      <c r="W230" s="178">
        <f>FME_Ranking1[[#This Row],[LWC Score (Normalized, Unweighted)]]*$U$3</f>
        <v>0.14968336211859531</v>
      </c>
      <c r="X230" s="246">
        <f>_xlfn.XLOOKUP(FME_Ranking1[[#This Row],[FME ID]],FME_Input[FME_ID],FME_Input[ROADCLS])</f>
        <v>624</v>
      </c>
      <c r="Y230" s="230">
        <f>(FME_Ranking1[[#This Row],[Closures Raw]]/$X$2)*100</f>
        <v>6.5608243086951958</v>
      </c>
      <c r="Z230" s="180">
        <f>FME_Ranking1[[#This Row],[Closures Score (Normalized, Unweighted)]]*$X$3</f>
        <v>0.32804121543475984</v>
      </c>
      <c r="AA230" s="253">
        <f>_xlfn.XLOOKUP(FME_Ranking1[[#This Row],[FME ID]],FME_Input[FME_ID],FME_Input[ROAD_MILES100])</f>
        <v>201.28936767578119</v>
      </c>
      <c r="AB230" s="178">
        <f>(FME_Ranking1[[#This Row],[Miles Raw]]/$AA$2)*100</f>
        <v>2.646594155506687</v>
      </c>
      <c r="AC230" s="178">
        <f>FME_Ranking1[[#This Row],[Miles Score (Normalized, Unweighted)]]*$AA$3</f>
        <v>0.26465941555066869</v>
      </c>
      <c r="AD230" s="255">
        <f>_xlfn.XLOOKUP(FME_Ranking1[[#This Row],[FME ID]],FME_Input[FME_ID],FME_Input[FARMACRE100])</f>
        <v>25815.615234375</v>
      </c>
      <c r="AE230" s="230">
        <f>(FME_Ranking1[[#This Row],[Ag Land Raw]]/$AD$2)*100</f>
        <v>1.0645204085687829</v>
      </c>
      <c r="AF230" s="231">
        <f>FME_Ranking1[[#This Row],[Ag Land Score (Normalized, Unweighted)]]*$AD$3</f>
        <v>5.3226020428439151E-2</v>
      </c>
      <c r="AG23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1.2798840356696388</v>
      </c>
      <c r="AH230" s="406">
        <f t="shared" si="3"/>
        <v>214</v>
      </c>
      <c r="AI23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1.2798840356696388</v>
      </c>
      <c r="AJ230" s="257">
        <f>FME_Ranking1[[#This Row],[Addition check]]-FME_Ranking1[[#This Row],[Weighted Score Based on Normalized Reported Factors]]</f>
        <v>0</v>
      </c>
      <c r="AK230" s="178">
        <f>_xlfn.RANK.EQ(AI230,$AI$6:$AI$2341,0)+COUNTIF($AI$6:AI230,AI230)-1</f>
        <v>215</v>
      </c>
    </row>
    <row r="231" spans="1:37" ht="12" customHeight="1" x14ac:dyDescent="0.25">
      <c r="A231" t="s">
        <v>10099</v>
      </c>
      <c r="B231">
        <f>_xlfn.XLOOKUP(FME_Ranking1[[#This Row],[FME ID]],FME_Input[FME_ID],FME_Input[RFPG_NUM])</f>
        <v>13</v>
      </c>
      <c r="C231" t="str">
        <f>_xlfn.XLOOKUP(FME_Ranking1[[#This Row],[FME ID]],FME_Input[FME_ID],FME_Input[FME_NAME])</f>
        <v>City of Alice &amp; Jim Wells County Multi-Hazard Mitigation Plan - Conduct Dam / Levee Failure Studies (Jim Wells County)</v>
      </c>
      <c r="D231" t="str">
        <f>_xlfn.XLOOKUP(FME_Ranking1[[#This Row],[FME ID]],FME_Input[FME_ID],FME_Input[DESCR])</f>
        <v xml:space="preserve">Jim Wells County will work with local dam / levee owners to conduct relevant studies to identify peak flow rates and expected inundations in the event of local dam failures. </v>
      </c>
      <c r="E231" s="256">
        <f>_xlfn.XLOOKUP(FME_Ranking1[[#This Row],[FME ID]],FME_Input[FME_ID],FME_Input[FME_COST])</f>
        <v>689000</v>
      </c>
      <c r="F231" t="str">
        <f>_xlfn.XLOOKUP(FME_Ranking1[[#This Row],[FME ID]],FME_Input[FME_ID],FME_Input[EMER_NEED])</f>
        <v>Yes</v>
      </c>
      <c r="G231">
        <f>IF(FME_Ranking!F231="Yes",100,0)</f>
        <v>100</v>
      </c>
      <c r="H231">
        <f>FME_Ranking1[[#This Row],[Emergency Need Score (Normalized, Unweighted)]]*$F$3</f>
        <v>0</v>
      </c>
      <c r="I231" s="246">
        <f>_xlfn.XLOOKUP(FME_Ranking1[[#This Row],[FME ID]],FME_Input[FME_ID],FME_Input[STRUCT_100])</f>
        <v>2398</v>
      </c>
      <c r="J231" s="178">
        <f>(FME_Ranking1[[#This Row],[Structures 100 Raw]]/I$2)*100</f>
        <v>1.2841108683545388</v>
      </c>
      <c r="K231" s="178">
        <f>FME_Ranking1[[#This Row],[Structures 100  Score (Normalized, Unweighted)]]*$I$3</f>
        <v>0.19261663025318082</v>
      </c>
      <c r="L231" s="246">
        <f>_xlfn.XLOOKUP(FME_Ranking1[[#This Row],[FME ID]],FME_Input[FME_ID],FME_Input[RES_STRUCT100])</f>
        <v>1145</v>
      </c>
      <c r="M231" s="230">
        <f>(FME_Ranking1[[#This Row],[Res Structures Raw]]/L$2)*100</f>
        <v>0.81100990211216728</v>
      </c>
      <c r="N231" s="180">
        <f>FME_Ranking1[[#This Row],[Res Structures Score (Normalized, Unweighted)]]*$L$3</f>
        <v>8.1100990211216736E-2</v>
      </c>
      <c r="O231" s="244">
        <f>_xlfn.XLOOKUP(FME_Ranking1[[#This Row],[FME ID]],FME_Input[FME_ID],FME_Input[POP100])</f>
        <v>8685</v>
      </c>
      <c r="P231" s="178">
        <f>(FME_Ranking1[[#This Row],[Pop Raw]]/$O$2)*100</f>
        <v>0.8891295846224091</v>
      </c>
      <c r="Q231" s="178">
        <f>FME_Ranking1[[#This Row],[Pop Score (Normalized, Unweighted)]]*$O$3</f>
        <v>0.13336943769336135</v>
      </c>
      <c r="R231" s="137">
        <f>_xlfn.XLOOKUP(FME_Ranking1[[#This Row],[FME ID]],FME_Input[FME_ID],FME_Input[CRITFAC100])</f>
        <v>9</v>
      </c>
      <c r="S231" s="230">
        <f>(FME_Ranking1[[#This Row],[Critical Facilities Raw]]/$R$2)*100</f>
        <v>0.38593481989708406</v>
      </c>
      <c r="T231" s="180">
        <f>FME_Ranking1[[#This Row],[Critical Facilities Score (Normalized, Unweighted)]]*$R$3</f>
        <v>7.7186963979416823E-2</v>
      </c>
      <c r="U231">
        <f>_xlfn.XLOOKUP(FME_Ranking1[[#This Row],[FME ID]],FME_Input[FME_ID],FME_Input[LWC])</f>
        <v>13</v>
      </c>
      <c r="V231" s="178">
        <f>(FME_Ranking1[[#This Row],[LWC Raw]]/$U$2)*100</f>
        <v>0.74841681059297649</v>
      </c>
      <c r="W231" s="178">
        <f>FME_Ranking1[[#This Row],[LWC Score (Normalized, Unweighted)]]*$U$3</f>
        <v>0.14968336211859531</v>
      </c>
      <c r="X231" s="246">
        <f>_xlfn.XLOOKUP(FME_Ranking1[[#This Row],[FME ID]],FME_Input[FME_ID],FME_Input[ROADCLS])</f>
        <v>624</v>
      </c>
      <c r="Y231" s="230">
        <f>(FME_Ranking1[[#This Row],[Closures Raw]]/$X$2)*100</f>
        <v>6.5608243086951958</v>
      </c>
      <c r="Z231" s="180">
        <f>FME_Ranking1[[#This Row],[Closures Score (Normalized, Unweighted)]]*$X$3</f>
        <v>0.32804121543475984</v>
      </c>
      <c r="AA231" s="253">
        <f>_xlfn.XLOOKUP(FME_Ranking1[[#This Row],[FME ID]],FME_Input[FME_ID],FME_Input[ROAD_MILES100])</f>
        <v>201.28936767578119</v>
      </c>
      <c r="AB231" s="178">
        <f>(FME_Ranking1[[#This Row],[Miles Raw]]/$AA$2)*100</f>
        <v>2.646594155506687</v>
      </c>
      <c r="AC231" s="178">
        <f>FME_Ranking1[[#This Row],[Miles Score (Normalized, Unweighted)]]*$AA$3</f>
        <v>0.26465941555066869</v>
      </c>
      <c r="AD231" s="255">
        <f>_xlfn.XLOOKUP(FME_Ranking1[[#This Row],[FME ID]],FME_Input[FME_ID],FME_Input[FARMACRE100])</f>
        <v>25815.615234375</v>
      </c>
      <c r="AE231" s="230">
        <f>(FME_Ranking1[[#This Row],[Ag Land Raw]]/$AD$2)*100</f>
        <v>1.0645204085687829</v>
      </c>
      <c r="AF231" s="231">
        <f>FME_Ranking1[[#This Row],[Ag Land Score (Normalized, Unweighted)]]*$AD$3</f>
        <v>5.3226020428439151E-2</v>
      </c>
      <c r="AG23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1.2798840356696388</v>
      </c>
      <c r="AH231" s="406">
        <f t="shared" si="3"/>
        <v>214</v>
      </c>
      <c r="AI23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1.2798840356696388</v>
      </c>
      <c r="AJ231" s="257">
        <f>FME_Ranking1[[#This Row],[Addition check]]-FME_Ranking1[[#This Row],[Weighted Score Based on Normalized Reported Factors]]</f>
        <v>0</v>
      </c>
      <c r="AK231" s="178">
        <f>_xlfn.RANK.EQ(AI231,$AI$6:$AI$2341,0)+COUNTIF($AI$6:AI231,AI231)-1</f>
        <v>216</v>
      </c>
    </row>
    <row r="232" spans="1:37" ht="12" customHeight="1" x14ac:dyDescent="0.25">
      <c r="A232" t="s">
        <v>2792</v>
      </c>
      <c r="B232">
        <f>_xlfn.XLOOKUP(FME_Ranking1[[#This Row],[FME ID]],FME_Input[FME_ID],FME_Input[RFPG_NUM])</f>
        <v>1</v>
      </c>
      <c r="C232" t="str">
        <f>_xlfn.XLOOKUP(FME_Ranking1[[#This Row],[FME ID]],FME_Input[FME_ID],FME_Input[FME_NAME])</f>
        <v>Clay County Drainage Master Plan</v>
      </c>
      <c r="D232" t="str">
        <f>_xlfn.XLOOKUP(FME_Ranking1[[#This Row],[FME ID]],FME_Input[FME_ID],FME_Input[DESCR])</f>
        <v>Perform H&amp;H modeling, develop conceptual alternatives and OPCC, and rank projects; selected based on HMAPs</v>
      </c>
      <c r="E232" s="256">
        <f>_xlfn.XLOOKUP(FME_Ranking1[[#This Row],[FME ID]],FME_Input[FME_ID],FME_Input[FME_COST])</f>
        <v>500000</v>
      </c>
      <c r="F232" t="str">
        <f>_xlfn.XLOOKUP(FME_Ranking1[[#This Row],[FME ID]],FME_Input[FME_ID],FME_Input[EMER_NEED])</f>
        <v>No</v>
      </c>
      <c r="G232">
        <f>IF(FME_Ranking!F232="Yes",100,0)</f>
        <v>0</v>
      </c>
      <c r="H232">
        <f>FME_Ranking1[[#This Row],[Emergency Need Score (Normalized, Unweighted)]]*$F$3</f>
        <v>0</v>
      </c>
      <c r="I232" s="246">
        <f>_xlfn.XLOOKUP(FME_Ranking1[[#This Row],[FME ID]],FME_Input[FME_ID],FME_Input[STRUCT_100])</f>
        <v>128</v>
      </c>
      <c r="J232" s="178">
        <f>(FME_Ranking1[[#This Row],[Structures 100 Raw]]/I$2)*100</f>
        <v>6.8543032172385734E-2</v>
      </c>
      <c r="K232" s="178">
        <f>FME_Ranking1[[#This Row],[Structures 100  Score (Normalized, Unweighted)]]*$I$3</f>
        <v>1.028145482585786E-2</v>
      </c>
      <c r="L232" s="246">
        <f>_xlfn.XLOOKUP(FME_Ranking1[[#This Row],[FME ID]],FME_Input[FME_ID],FME_Input[RES_STRUCT100])</f>
        <v>0</v>
      </c>
      <c r="M232" s="230">
        <f>(FME_Ranking1[[#This Row],[Res Structures Raw]]/L$2)*100</f>
        <v>0</v>
      </c>
      <c r="N232" s="180">
        <f>FME_Ranking1[[#This Row],[Res Structures Score (Normalized, Unweighted)]]*$L$3</f>
        <v>0</v>
      </c>
      <c r="O232" s="244">
        <f>_xlfn.XLOOKUP(FME_Ranking1[[#This Row],[FME ID]],FME_Input[FME_ID],FME_Input[POP100])</f>
        <v>315</v>
      </c>
      <c r="P232" s="178">
        <f>(FME_Ranking1[[#This Row],[Pop Raw]]/$O$2)*100</f>
        <v>3.224822327646043E-2</v>
      </c>
      <c r="Q232" s="178">
        <f>FME_Ranking1[[#This Row],[Pop Score (Normalized, Unweighted)]]*$O$3</f>
        <v>4.837233491469064E-3</v>
      </c>
      <c r="R232" s="137">
        <f>_xlfn.XLOOKUP(FME_Ranking1[[#This Row],[FME ID]],FME_Input[FME_ID],FME_Input[CRITFAC100])</f>
        <v>0</v>
      </c>
      <c r="S232" s="230">
        <f>(FME_Ranking1[[#This Row],[Critical Facilities Raw]]/$R$2)*100</f>
        <v>0</v>
      </c>
      <c r="T232" s="180">
        <f>FME_Ranking1[[#This Row],[Critical Facilities Score (Normalized, Unweighted)]]*$R$3</f>
        <v>0</v>
      </c>
      <c r="U232">
        <f>_xlfn.XLOOKUP(FME_Ranking1[[#This Row],[FME ID]],FME_Input[FME_ID],FME_Input[LWC])</f>
        <v>64</v>
      </c>
      <c r="V232" s="178">
        <f>(FME_Ranking1[[#This Row],[LWC Raw]]/$U$2)*100</f>
        <v>3.684513529073115</v>
      </c>
      <c r="W232" s="178">
        <f>FME_Ranking1[[#This Row],[LWC Score (Normalized, Unweighted)]]*$U$3</f>
        <v>0.73690270581462303</v>
      </c>
      <c r="X232" s="246">
        <f>_xlfn.XLOOKUP(FME_Ranking1[[#This Row],[FME ID]],FME_Input[FME_ID],FME_Input[ROADCLS])</f>
        <v>122</v>
      </c>
      <c r="Y232" s="230">
        <f>(FME_Ranking1[[#This Row],[Closures Raw]]/$X$2)*100</f>
        <v>1.2827252654820733</v>
      </c>
      <c r="Z232" s="180">
        <f>FME_Ranking1[[#This Row],[Closures Score (Normalized, Unweighted)]]*$X$3</f>
        <v>6.4136263274103669E-2</v>
      </c>
      <c r="AA232" s="253">
        <f>_xlfn.XLOOKUP(FME_Ranking1[[#This Row],[FME ID]],FME_Input[FME_ID],FME_Input[ROAD_MILES100])</f>
        <v>63.884857177734382</v>
      </c>
      <c r="AB232" s="178">
        <f>(FME_Ranking1[[#This Row],[Miles Raw]]/$AA$2)*100</f>
        <v>0.83997128901664464</v>
      </c>
      <c r="AC232" s="178">
        <f>FME_Ranking1[[#This Row],[Miles Score (Normalized, Unweighted)]]*$AA$3</f>
        <v>8.399712890166447E-2</v>
      </c>
      <c r="AD232" s="255">
        <f>_xlfn.XLOOKUP(FME_Ranking1[[#This Row],[FME ID]],FME_Input[FME_ID],FME_Input[FARMACRE100])</f>
        <v>94917.5703125</v>
      </c>
      <c r="AE232" s="230">
        <f>(FME_Ranking1[[#This Row],[Ag Land Raw]]/$AD$2)*100</f>
        <v>3.9139757008338028</v>
      </c>
      <c r="AF232" s="231">
        <f>FME_Ranking1[[#This Row],[Ag Land Score (Normalized, Unweighted)]]*$AD$3</f>
        <v>0.19569878504169014</v>
      </c>
      <c r="AG23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1.0958535713494082</v>
      </c>
      <c r="AH232" s="406">
        <f t="shared" si="3"/>
        <v>248</v>
      </c>
      <c r="AI23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1.0958535713494082</v>
      </c>
      <c r="AJ232" s="257">
        <f>FME_Ranking1[[#This Row],[Addition check]]-FME_Ranking1[[#This Row],[Weighted Score Based on Normalized Reported Factors]]</f>
        <v>0</v>
      </c>
      <c r="AK232" s="178">
        <f>_xlfn.RANK.EQ(AI232,$AI$6:$AI$2341,0)+COUNTIF($AI$6:AI232,AI232)-1</f>
        <v>248</v>
      </c>
    </row>
    <row r="233" spans="1:37" ht="12" customHeight="1" x14ac:dyDescent="0.25">
      <c r="A233" t="s">
        <v>2801</v>
      </c>
      <c r="B233">
        <f>_xlfn.XLOOKUP(FME_Ranking1[[#This Row],[FME ID]],FME_Input[FME_ID],FME_Input[RFPG_NUM])</f>
        <v>1</v>
      </c>
      <c r="C233" t="str">
        <f>_xlfn.XLOOKUP(FME_Ranking1[[#This Row],[FME ID]],FME_Input[FME_ID],FME_Input[FME_NAME])</f>
        <v>Clay County FIS</v>
      </c>
      <c r="D233" t="str">
        <f>_xlfn.XLOOKUP(FME_Ranking1[[#This Row],[FME ID]],FME_Input[FME_ID],FME_Input[DESCR])</f>
        <v>Perform flood insurance study for the county and develop regulatory mapping</v>
      </c>
      <c r="E233" s="256">
        <f>_xlfn.XLOOKUP(FME_Ranking1[[#This Row],[FME ID]],FME_Input[FME_ID],FME_Input[FME_COST])</f>
        <v>1169000</v>
      </c>
      <c r="F233" t="str">
        <f>_xlfn.XLOOKUP(FME_Ranking1[[#This Row],[FME ID]],FME_Input[FME_ID],FME_Input[EMER_NEED])</f>
        <v>No</v>
      </c>
      <c r="G233">
        <f>IF(FME_Ranking!F233="Yes",100,0)</f>
        <v>0</v>
      </c>
      <c r="H233">
        <f>FME_Ranking1[[#This Row],[Emergency Need Score (Normalized, Unweighted)]]*$F$3</f>
        <v>0</v>
      </c>
      <c r="I233" s="246">
        <f>_xlfn.XLOOKUP(FME_Ranking1[[#This Row],[FME ID]],FME_Input[FME_ID],FME_Input[STRUCT_100])</f>
        <v>128</v>
      </c>
      <c r="J233" s="178">
        <f>(FME_Ranking1[[#This Row],[Structures 100 Raw]]/I$2)*100</f>
        <v>6.8543032172385734E-2</v>
      </c>
      <c r="K233" s="178">
        <f>FME_Ranking1[[#This Row],[Structures 100  Score (Normalized, Unweighted)]]*$I$3</f>
        <v>1.028145482585786E-2</v>
      </c>
      <c r="L233" s="246">
        <f>_xlfn.XLOOKUP(FME_Ranking1[[#This Row],[FME ID]],FME_Input[FME_ID],FME_Input[RES_STRUCT100])</f>
        <v>0</v>
      </c>
      <c r="M233" s="230">
        <f>(FME_Ranking1[[#This Row],[Res Structures Raw]]/L$2)*100</f>
        <v>0</v>
      </c>
      <c r="N233" s="180">
        <f>FME_Ranking1[[#This Row],[Res Structures Score (Normalized, Unweighted)]]*$L$3</f>
        <v>0</v>
      </c>
      <c r="O233" s="244">
        <f>_xlfn.XLOOKUP(FME_Ranking1[[#This Row],[FME ID]],FME_Input[FME_ID],FME_Input[POP100])</f>
        <v>315</v>
      </c>
      <c r="P233" s="178">
        <f>(FME_Ranking1[[#This Row],[Pop Raw]]/$O$2)*100</f>
        <v>3.224822327646043E-2</v>
      </c>
      <c r="Q233" s="178">
        <f>FME_Ranking1[[#This Row],[Pop Score (Normalized, Unweighted)]]*$O$3</f>
        <v>4.837233491469064E-3</v>
      </c>
      <c r="R233" s="137">
        <f>_xlfn.XLOOKUP(FME_Ranking1[[#This Row],[FME ID]],FME_Input[FME_ID],FME_Input[CRITFAC100])</f>
        <v>0</v>
      </c>
      <c r="S233" s="230">
        <f>(FME_Ranking1[[#This Row],[Critical Facilities Raw]]/$R$2)*100</f>
        <v>0</v>
      </c>
      <c r="T233" s="180">
        <f>FME_Ranking1[[#This Row],[Critical Facilities Score (Normalized, Unweighted)]]*$R$3</f>
        <v>0</v>
      </c>
      <c r="U233">
        <f>_xlfn.XLOOKUP(FME_Ranking1[[#This Row],[FME ID]],FME_Input[FME_ID],FME_Input[LWC])</f>
        <v>64</v>
      </c>
      <c r="V233" s="178">
        <f>(FME_Ranking1[[#This Row],[LWC Raw]]/$U$2)*100</f>
        <v>3.684513529073115</v>
      </c>
      <c r="W233" s="178">
        <f>FME_Ranking1[[#This Row],[LWC Score (Normalized, Unweighted)]]*$U$3</f>
        <v>0.73690270581462303</v>
      </c>
      <c r="X233" s="246">
        <f>_xlfn.XLOOKUP(FME_Ranking1[[#This Row],[FME ID]],FME_Input[FME_ID],FME_Input[ROADCLS])</f>
        <v>122</v>
      </c>
      <c r="Y233" s="230">
        <f>(FME_Ranking1[[#This Row],[Closures Raw]]/$X$2)*100</f>
        <v>1.2827252654820733</v>
      </c>
      <c r="Z233" s="180">
        <f>FME_Ranking1[[#This Row],[Closures Score (Normalized, Unweighted)]]*$X$3</f>
        <v>6.4136263274103669E-2</v>
      </c>
      <c r="AA233" s="253">
        <f>_xlfn.XLOOKUP(FME_Ranking1[[#This Row],[FME ID]],FME_Input[FME_ID],FME_Input[ROAD_MILES100])</f>
        <v>63.884857177734382</v>
      </c>
      <c r="AB233" s="178">
        <f>(FME_Ranking1[[#This Row],[Miles Raw]]/$AA$2)*100</f>
        <v>0.83997128901664464</v>
      </c>
      <c r="AC233" s="178">
        <f>FME_Ranking1[[#This Row],[Miles Score (Normalized, Unweighted)]]*$AA$3</f>
        <v>8.399712890166447E-2</v>
      </c>
      <c r="AD233" s="255">
        <f>_xlfn.XLOOKUP(FME_Ranking1[[#This Row],[FME ID]],FME_Input[FME_ID],FME_Input[FARMACRE100])</f>
        <v>94917.5703125</v>
      </c>
      <c r="AE233" s="230">
        <f>(FME_Ranking1[[#This Row],[Ag Land Raw]]/$AD$2)*100</f>
        <v>3.9139757008338028</v>
      </c>
      <c r="AF233" s="231">
        <f>FME_Ranking1[[#This Row],[Ag Land Score (Normalized, Unweighted)]]*$AD$3</f>
        <v>0.19569878504169014</v>
      </c>
      <c r="AG23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1.0958535713494082</v>
      </c>
      <c r="AH233" s="406">
        <f t="shared" si="3"/>
        <v>248</v>
      </c>
      <c r="AI23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1.0958535713494082</v>
      </c>
      <c r="AJ233" s="257">
        <f>FME_Ranking1[[#This Row],[Addition check]]-FME_Ranking1[[#This Row],[Weighted Score Based on Normalized Reported Factors]]</f>
        <v>0</v>
      </c>
      <c r="AK233" s="178">
        <f>_xlfn.RANK.EQ(AI233,$AI$6:$AI$2341,0)+COUNTIF($AI$6:AI233,AI233)-1</f>
        <v>249</v>
      </c>
    </row>
    <row r="234" spans="1:37" ht="12" customHeight="1" x14ac:dyDescent="0.25">
      <c r="A234" t="s">
        <v>2251</v>
      </c>
      <c r="B234">
        <f>_xlfn.XLOOKUP(FME_Ranking1[[#This Row],[FME ID]],FME_Input[FME_ID],FME_Input[RFPG_NUM])</f>
        <v>6</v>
      </c>
      <c r="C234" t="str">
        <f>_xlfn.XLOOKUP(FME_Ranking1[[#This Row],[FME ID]],FME_Input[FME_ID],FME_Input[FME_NAME])</f>
        <v xml:space="preserve">Halls Bayou - Right-Of-Way, Design, and Construction of Channel Conveyance Improvements on P118-21-00 </v>
      </c>
      <c r="D234" t="str">
        <f>_xlfn.XLOOKUP(FME_Ranking1[[#This Row],[FME ID]],FME_Input[FME_ID],FME_Input[DESCR])</f>
        <v>Develop BCA to become a FMP. Part of Halls Ahead Bond Implementation Program, could reduce flood risk for 60+ structures &amp; floodplain by 40+ acres.</v>
      </c>
      <c r="E234" s="256">
        <f>_xlfn.XLOOKUP(FME_Ranking1[[#This Row],[FME ID]],FME_Input[FME_ID],FME_Input[FME_COST])</f>
        <v>30000</v>
      </c>
      <c r="F234" t="str">
        <f>_xlfn.XLOOKUP(FME_Ranking1[[#This Row],[FME ID]],FME_Input[FME_ID],FME_Input[EMER_NEED])</f>
        <v>No</v>
      </c>
      <c r="G234">
        <f>IF(FME_Ranking!F234="Yes",100,0)</f>
        <v>0</v>
      </c>
      <c r="H234">
        <f>FME_Ranking1[[#This Row],[Emergency Need Score (Normalized, Unweighted)]]*$F$3</f>
        <v>0</v>
      </c>
      <c r="I234" s="246">
        <f>_xlfn.XLOOKUP(FME_Ranking1[[#This Row],[FME ID]],FME_Input[FME_ID],FME_Input[STRUCT_100])</f>
        <v>3555</v>
      </c>
      <c r="J234" s="178">
        <f>(FME_Ranking1[[#This Row],[Structures 100 Raw]]/I$2)*100</f>
        <v>1.9036756201002443</v>
      </c>
      <c r="K234" s="178">
        <f>FME_Ranking1[[#This Row],[Structures 100  Score (Normalized, Unweighted)]]*$I$3</f>
        <v>0.28555134301503665</v>
      </c>
      <c r="L234" s="246">
        <f>_xlfn.XLOOKUP(FME_Ranking1[[#This Row],[FME ID]],FME_Input[FME_ID],FME_Input[RES_STRUCT100])</f>
        <v>3132</v>
      </c>
      <c r="M234" s="230">
        <f>(FME_Ranking1[[#This Row],[Res Structures Raw]]/L$2)*100</f>
        <v>2.2184131121531072</v>
      </c>
      <c r="N234" s="180">
        <f>FME_Ranking1[[#This Row],[Res Structures Score (Normalized, Unweighted)]]*$L$3</f>
        <v>0.22184131121531073</v>
      </c>
      <c r="O234" s="244">
        <f>_xlfn.XLOOKUP(FME_Ranking1[[#This Row],[FME ID]],FME_Input[FME_ID],FME_Input[POP100])</f>
        <v>12360</v>
      </c>
      <c r="P234" s="178">
        <f>(FME_Ranking1[[#This Row],[Pop Raw]]/$O$2)*100</f>
        <v>1.2653588561811142</v>
      </c>
      <c r="Q234" s="178">
        <f>FME_Ranking1[[#This Row],[Pop Score (Normalized, Unweighted)]]*$O$3</f>
        <v>0.18980382842716712</v>
      </c>
      <c r="R234" s="137">
        <f>_xlfn.XLOOKUP(FME_Ranking1[[#This Row],[FME ID]],FME_Input[FME_ID],FME_Input[CRITFAC100])</f>
        <v>35</v>
      </c>
      <c r="S234" s="230">
        <f>(FME_Ranking1[[#This Row],[Critical Facilities Raw]]/$R$2)*100</f>
        <v>1.5008576329331047</v>
      </c>
      <c r="T234" s="180">
        <f>FME_Ranking1[[#This Row],[Critical Facilities Score (Normalized, Unweighted)]]*$R$3</f>
        <v>0.30017152658662094</v>
      </c>
      <c r="U234">
        <f>_xlfn.XLOOKUP(FME_Ranking1[[#This Row],[FME ID]],FME_Input[FME_ID],FME_Input[LWC])</f>
        <v>1</v>
      </c>
      <c r="V234" s="178">
        <f>(FME_Ranking1[[#This Row],[LWC Raw]]/$U$2)*100</f>
        <v>5.7570523891767422E-2</v>
      </c>
      <c r="W234" s="178">
        <f>FME_Ranking1[[#This Row],[LWC Score (Normalized, Unweighted)]]*$U$3</f>
        <v>1.1514104778353485E-2</v>
      </c>
      <c r="X234" s="246">
        <f>_xlfn.XLOOKUP(FME_Ranking1[[#This Row],[FME ID]],FME_Input[FME_ID],FME_Input[ROADCLS])</f>
        <v>1</v>
      </c>
      <c r="Y234" s="230">
        <f>(FME_Ranking1[[#This Row],[Closures Raw]]/$X$2)*100</f>
        <v>1.0514141520344864E-2</v>
      </c>
      <c r="Z234" s="180">
        <f>FME_Ranking1[[#This Row],[Closures Score (Normalized, Unweighted)]]*$X$3</f>
        <v>5.2570707601724321E-4</v>
      </c>
      <c r="AA234" s="253">
        <f>_xlfn.XLOOKUP(FME_Ranking1[[#This Row],[FME ID]],FME_Input[FME_ID],FME_Input[ROAD_MILES100])</f>
        <v>29.311786651611332</v>
      </c>
      <c r="AB234" s="178">
        <f>(FME_Ranking1[[#This Row],[Miles Raw]]/$AA$2)*100</f>
        <v>0.38539742131122673</v>
      </c>
      <c r="AC234" s="178">
        <f>FME_Ranking1[[#This Row],[Miles Score (Normalized, Unweighted)]]*$AA$3</f>
        <v>3.8539742131122677E-2</v>
      </c>
      <c r="AD234" s="255">
        <f>_xlfn.XLOOKUP(FME_Ranking1[[#This Row],[FME ID]],FME_Input[FME_ID],FME_Input[FARMACRE100])</f>
        <v>1.6732833385467529</v>
      </c>
      <c r="AE234" s="230">
        <f>(FME_Ranking1[[#This Row],[Ag Land Raw]]/$AD$2)*100</f>
        <v>6.8998714422629595E-5</v>
      </c>
      <c r="AF234" s="231">
        <f>FME_Ranking1[[#This Row],[Ag Land Score (Normalized, Unweighted)]]*$AD$3</f>
        <v>3.4499357211314799E-6</v>
      </c>
      <c r="AG23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1.04795101316535</v>
      </c>
      <c r="AH234" s="406">
        <f t="shared" si="3"/>
        <v>260</v>
      </c>
      <c r="AI23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1.04795101316535</v>
      </c>
      <c r="AJ234" s="257">
        <f>FME_Ranking1[[#This Row],[Addition check]]-FME_Ranking1[[#This Row],[Weighted Score Based on Normalized Reported Factors]]</f>
        <v>0</v>
      </c>
      <c r="AK234" s="178">
        <f>_xlfn.RANK.EQ(AI234,$AI$6:$AI$2341,0)+COUNTIF($AI$6:AI234,AI234)-1</f>
        <v>260</v>
      </c>
    </row>
    <row r="235" spans="1:37" ht="12" customHeight="1" x14ac:dyDescent="0.25">
      <c r="A235" t="s">
        <v>2511</v>
      </c>
      <c r="B235">
        <f>_xlfn.XLOOKUP(FME_Ranking1[[#This Row],[FME ID]],FME_Input[FME_ID],FME_Input[RFPG_NUM])</f>
        <v>1</v>
      </c>
      <c r="C235" t="str">
        <f>_xlfn.XLOOKUP(FME_Ranking1[[#This Row],[FME ID]],FME_Input[FME_ID],FME_Input[FME_NAME])</f>
        <v>Hartley County Drainage Master Plan</v>
      </c>
      <c r="D235" t="str">
        <f>_xlfn.XLOOKUP(FME_Ranking1[[#This Row],[FME ID]],FME_Input[FME_ID],FME_Input[DESCR])</f>
        <v>Perform H&amp;H modeling, develop conceptual alternatives and OPCC, and rank projects; selected based on HMAPs</v>
      </c>
      <c r="E235" s="256">
        <f>_xlfn.XLOOKUP(FME_Ranking1[[#This Row],[FME ID]],FME_Input[FME_ID],FME_Input[FME_COST])</f>
        <v>500000</v>
      </c>
      <c r="F235" t="str">
        <f>_xlfn.XLOOKUP(FME_Ranking1[[#This Row],[FME ID]],FME_Input[FME_ID],FME_Input[EMER_NEED])</f>
        <v>No</v>
      </c>
      <c r="G235">
        <f>IF(FME_Ranking!F235="Yes",100,0)</f>
        <v>0</v>
      </c>
      <c r="H235">
        <f>FME_Ranking1[[#This Row],[Emergency Need Score (Normalized, Unweighted)]]*$F$3</f>
        <v>0</v>
      </c>
      <c r="I235" s="246">
        <f>_xlfn.XLOOKUP(FME_Ranking1[[#This Row],[FME ID]],FME_Input[FME_ID],FME_Input[STRUCT_100])</f>
        <v>111</v>
      </c>
      <c r="J235" s="178">
        <f>(FME_Ranking1[[#This Row],[Structures 100 Raw]]/I$2)*100</f>
        <v>5.9439660711990749E-2</v>
      </c>
      <c r="K235" s="178">
        <f>FME_Ranking1[[#This Row],[Structures 100  Score (Normalized, Unweighted)]]*$I$3</f>
        <v>8.9159491067986128E-3</v>
      </c>
      <c r="L235" s="246">
        <f>_xlfn.XLOOKUP(FME_Ranking1[[#This Row],[FME ID]],FME_Input[FME_ID],FME_Input[RES_STRUCT100])</f>
        <v>65</v>
      </c>
      <c r="M235" s="230">
        <f>(FME_Ranking1[[#This Row],[Res Structures Raw]]/L$2)*100</f>
        <v>4.6039863438681987E-2</v>
      </c>
      <c r="N235" s="180">
        <f>FME_Ranking1[[#This Row],[Res Structures Score (Normalized, Unweighted)]]*$L$3</f>
        <v>4.6039863438681987E-3</v>
      </c>
      <c r="O235" s="244">
        <f>_xlfn.XLOOKUP(FME_Ranking1[[#This Row],[FME ID]],FME_Input[FME_ID],FME_Input[POP100])</f>
        <v>281</v>
      </c>
      <c r="P235" s="178">
        <f>(FME_Ranking1[[#This Row],[Pop Raw]]/$O$2)*100</f>
        <v>2.8767462668842482E-2</v>
      </c>
      <c r="Q235" s="178">
        <f>FME_Ranking1[[#This Row],[Pop Score (Normalized, Unweighted)]]*$O$3</f>
        <v>4.315119400326372E-3</v>
      </c>
      <c r="R235" s="137">
        <f>_xlfn.XLOOKUP(FME_Ranking1[[#This Row],[FME ID]],FME_Input[FME_ID],FME_Input[CRITFAC100])</f>
        <v>5</v>
      </c>
      <c r="S235" s="230">
        <f>(FME_Ranking1[[#This Row],[Critical Facilities Raw]]/$R$2)*100</f>
        <v>0.21440823327615782</v>
      </c>
      <c r="T235" s="180">
        <f>FME_Ranking1[[#This Row],[Critical Facilities Score (Normalized, Unweighted)]]*$R$3</f>
        <v>4.2881646655231566E-2</v>
      </c>
      <c r="U235">
        <f>_xlfn.XLOOKUP(FME_Ranking1[[#This Row],[FME ID]],FME_Input[FME_ID],FME_Input[LWC])</f>
        <v>61</v>
      </c>
      <c r="V235" s="178">
        <f>(FME_Ranking1[[#This Row],[LWC Raw]]/$U$2)*100</f>
        <v>3.5118019573978123</v>
      </c>
      <c r="W235" s="178">
        <f>FME_Ranking1[[#This Row],[LWC Score (Normalized, Unweighted)]]*$U$3</f>
        <v>0.70236039147956253</v>
      </c>
      <c r="X235" s="246">
        <f>_xlfn.XLOOKUP(FME_Ranking1[[#This Row],[FME ID]],FME_Input[FME_ID],FME_Input[ROADCLS])</f>
        <v>63</v>
      </c>
      <c r="Y235" s="230">
        <f>(FME_Ranking1[[#This Row],[Closures Raw]]/$X$2)*100</f>
        <v>0.66239091578172649</v>
      </c>
      <c r="Z235" s="180">
        <f>FME_Ranking1[[#This Row],[Closures Score (Normalized, Unweighted)]]*$X$3</f>
        <v>3.3119545789086324E-2</v>
      </c>
      <c r="AA235" s="253">
        <f>_xlfn.XLOOKUP(FME_Ranking1[[#This Row],[FME ID]],FME_Input[FME_ID],FME_Input[ROAD_MILES100])</f>
        <v>83.215591430664063</v>
      </c>
      <c r="AB235" s="178">
        <f>(FME_Ranking1[[#This Row],[Miles Raw]]/$AA$2)*100</f>
        <v>1.0941357731431063</v>
      </c>
      <c r="AC235" s="178">
        <f>FME_Ranking1[[#This Row],[Miles Score (Normalized, Unweighted)]]*$AA$3</f>
        <v>0.10941357731431063</v>
      </c>
      <c r="AD235" s="255">
        <f>_xlfn.XLOOKUP(FME_Ranking1[[#This Row],[FME ID]],FME_Input[FME_ID],FME_Input[FARMACRE100])</f>
        <v>91162.8671875</v>
      </c>
      <c r="AE235" s="230">
        <f>(FME_Ranking1[[#This Row],[Ag Land Raw]]/$AD$2)*100</f>
        <v>3.7591485519011947</v>
      </c>
      <c r="AF235" s="231">
        <f>FME_Ranking1[[#This Row],[Ag Land Score (Normalized, Unweighted)]]*$AD$3</f>
        <v>0.18795742759505973</v>
      </c>
      <c r="AG23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1.0935676436842439</v>
      </c>
      <c r="AH235" s="406">
        <f t="shared" si="3"/>
        <v>250</v>
      </c>
      <c r="AI23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1.0935676436842439</v>
      </c>
      <c r="AJ235" s="257">
        <f>FME_Ranking1[[#This Row],[Addition check]]-FME_Ranking1[[#This Row],[Weighted Score Based on Normalized Reported Factors]]</f>
        <v>0</v>
      </c>
      <c r="AK235" s="178">
        <f>_xlfn.RANK.EQ(AI235,$AI$6:$AI$2341,0)+COUNTIF($AI$6:AI235,AI235)-1</f>
        <v>250</v>
      </c>
    </row>
    <row r="236" spans="1:37" ht="12" customHeight="1" x14ac:dyDescent="0.25">
      <c r="A236" t="s">
        <v>2873</v>
      </c>
      <c r="B236">
        <f>_xlfn.XLOOKUP(FME_Ranking1[[#This Row],[FME ID]],FME_Input[FME_ID],FME_Input[RFPG_NUM])</f>
        <v>1</v>
      </c>
      <c r="C236" t="str">
        <f>_xlfn.XLOOKUP(FME_Ranking1[[#This Row],[FME ID]],FME_Input[FME_ID],FME_Input[FME_NAME])</f>
        <v>Hartley County FIS</v>
      </c>
      <c r="D236" t="str">
        <f>_xlfn.XLOOKUP(FME_Ranking1[[#This Row],[FME ID]],FME_Input[FME_ID],FME_Input[DESCR])</f>
        <v>Perform flood insurance study for the county and develop regulatory mapping</v>
      </c>
      <c r="E236" s="256">
        <f>_xlfn.XLOOKUP(FME_Ranking1[[#This Row],[FME ID]],FME_Input[FME_ID],FME_Input[FME_COST])</f>
        <v>1361000</v>
      </c>
      <c r="F236" t="str">
        <f>_xlfn.XLOOKUP(FME_Ranking1[[#This Row],[FME ID]],FME_Input[FME_ID],FME_Input[EMER_NEED])</f>
        <v>No</v>
      </c>
      <c r="G236">
        <f>IF(FME_Ranking!F236="Yes",100,0)</f>
        <v>0</v>
      </c>
      <c r="H236">
        <f>FME_Ranking1[[#This Row],[Emergency Need Score (Normalized, Unweighted)]]*$F$3</f>
        <v>0</v>
      </c>
      <c r="I236" s="246">
        <f>_xlfn.XLOOKUP(FME_Ranking1[[#This Row],[FME ID]],FME_Input[FME_ID],FME_Input[STRUCT_100])</f>
        <v>111</v>
      </c>
      <c r="J236" s="178">
        <f>(FME_Ranking1[[#This Row],[Structures 100 Raw]]/I$2)*100</f>
        <v>5.9439660711990749E-2</v>
      </c>
      <c r="K236" s="178">
        <f>FME_Ranking1[[#This Row],[Structures 100  Score (Normalized, Unweighted)]]*$I$3</f>
        <v>8.9159491067986128E-3</v>
      </c>
      <c r="L236" s="246">
        <f>_xlfn.XLOOKUP(FME_Ranking1[[#This Row],[FME ID]],FME_Input[FME_ID],FME_Input[RES_STRUCT100])</f>
        <v>65</v>
      </c>
      <c r="M236" s="230">
        <f>(FME_Ranking1[[#This Row],[Res Structures Raw]]/L$2)*100</f>
        <v>4.6039863438681987E-2</v>
      </c>
      <c r="N236" s="180">
        <f>FME_Ranking1[[#This Row],[Res Structures Score (Normalized, Unweighted)]]*$L$3</f>
        <v>4.6039863438681987E-3</v>
      </c>
      <c r="O236" s="244">
        <f>_xlfn.XLOOKUP(FME_Ranking1[[#This Row],[FME ID]],FME_Input[FME_ID],FME_Input[POP100])</f>
        <v>281</v>
      </c>
      <c r="P236" s="178">
        <f>(FME_Ranking1[[#This Row],[Pop Raw]]/$O$2)*100</f>
        <v>2.8767462668842482E-2</v>
      </c>
      <c r="Q236" s="178">
        <f>FME_Ranking1[[#This Row],[Pop Score (Normalized, Unweighted)]]*$O$3</f>
        <v>4.315119400326372E-3</v>
      </c>
      <c r="R236" s="137">
        <f>_xlfn.XLOOKUP(FME_Ranking1[[#This Row],[FME ID]],FME_Input[FME_ID],FME_Input[CRITFAC100])</f>
        <v>5</v>
      </c>
      <c r="S236" s="230">
        <f>(FME_Ranking1[[#This Row],[Critical Facilities Raw]]/$R$2)*100</f>
        <v>0.21440823327615782</v>
      </c>
      <c r="T236" s="180">
        <f>FME_Ranking1[[#This Row],[Critical Facilities Score (Normalized, Unweighted)]]*$R$3</f>
        <v>4.2881646655231566E-2</v>
      </c>
      <c r="U236">
        <f>_xlfn.XLOOKUP(FME_Ranking1[[#This Row],[FME ID]],FME_Input[FME_ID],FME_Input[LWC])</f>
        <v>61</v>
      </c>
      <c r="V236" s="178">
        <f>(FME_Ranking1[[#This Row],[LWC Raw]]/$U$2)*100</f>
        <v>3.5118019573978123</v>
      </c>
      <c r="W236" s="178">
        <f>FME_Ranking1[[#This Row],[LWC Score (Normalized, Unweighted)]]*$U$3</f>
        <v>0.70236039147956253</v>
      </c>
      <c r="X236" s="246">
        <f>_xlfn.XLOOKUP(FME_Ranking1[[#This Row],[FME ID]],FME_Input[FME_ID],FME_Input[ROADCLS])</f>
        <v>63</v>
      </c>
      <c r="Y236" s="230">
        <f>(FME_Ranking1[[#This Row],[Closures Raw]]/$X$2)*100</f>
        <v>0.66239091578172649</v>
      </c>
      <c r="Z236" s="180">
        <f>FME_Ranking1[[#This Row],[Closures Score (Normalized, Unweighted)]]*$X$3</f>
        <v>3.3119545789086324E-2</v>
      </c>
      <c r="AA236" s="253">
        <f>_xlfn.XLOOKUP(FME_Ranking1[[#This Row],[FME ID]],FME_Input[FME_ID],FME_Input[ROAD_MILES100])</f>
        <v>83.215591430664063</v>
      </c>
      <c r="AB236" s="178">
        <f>(FME_Ranking1[[#This Row],[Miles Raw]]/$AA$2)*100</f>
        <v>1.0941357731431063</v>
      </c>
      <c r="AC236" s="178">
        <f>FME_Ranking1[[#This Row],[Miles Score (Normalized, Unweighted)]]*$AA$3</f>
        <v>0.10941357731431063</v>
      </c>
      <c r="AD236" s="255">
        <f>_xlfn.XLOOKUP(FME_Ranking1[[#This Row],[FME ID]],FME_Input[FME_ID],FME_Input[FARMACRE100])</f>
        <v>91162.8671875</v>
      </c>
      <c r="AE236" s="230">
        <f>(FME_Ranking1[[#This Row],[Ag Land Raw]]/$AD$2)*100</f>
        <v>3.7591485519011947</v>
      </c>
      <c r="AF236" s="231">
        <f>FME_Ranking1[[#This Row],[Ag Land Score (Normalized, Unweighted)]]*$AD$3</f>
        <v>0.18795742759505973</v>
      </c>
      <c r="AG23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1.0935676436842439</v>
      </c>
      <c r="AH236" s="406">
        <f t="shared" si="3"/>
        <v>250</v>
      </c>
      <c r="AI23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1.0935676436842439</v>
      </c>
      <c r="AJ236" s="257">
        <f>FME_Ranking1[[#This Row],[Addition check]]-FME_Ranking1[[#This Row],[Weighted Score Based on Normalized Reported Factors]]</f>
        <v>0</v>
      </c>
      <c r="AK236" s="178">
        <f>_xlfn.RANK.EQ(AI236,$AI$6:$AI$2341,0)+COUNTIF($AI$6:AI236,AI236)-1</f>
        <v>251</v>
      </c>
    </row>
    <row r="237" spans="1:37" ht="12" customHeight="1" x14ac:dyDescent="0.25">
      <c r="A237" t="s">
        <v>10927</v>
      </c>
      <c r="B237">
        <f>_xlfn.XLOOKUP(FME_Ranking1[[#This Row],[FME ID]],FME_Input[FME_ID],FME_Input[RFPG_NUM])</f>
        <v>14</v>
      </c>
      <c r="C237" t="str">
        <f>_xlfn.XLOOKUP(FME_Ranking1[[#This Row],[FME ID]],FME_Input[FME_ID],FME_Input[FME_NAME])</f>
        <v>Develop a Colonia-wide Drainage System at Fort Hancock</v>
      </c>
      <c r="D237" t="str">
        <f>_xlfn.XLOOKUP(FME_Ranking1[[#This Row],[FME ID]],FME_Input[FME_ID],FME_Input[DESCR])</f>
        <v>Conduct surveys and drainage study to define flood areas, size 5th St crossing structures, develop H&amp;H models, and propose FMPs.  Address flooding at Hwy 20, Mustang Rd, and complete Supplemental Watershed Plans for Camp Rice Dam 1, Alamo Dam 3.</v>
      </c>
      <c r="E237" s="256">
        <f>_xlfn.XLOOKUP(FME_Ranking1[[#This Row],[FME ID]],FME_Input[FME_ID],FME_Input[FME_COST])</f>
        <v>795000</v>
      </c>
      <c r="F237" t="str">
        <f>_xlfn.XLOOKUP(FME_Ranking1[[#This Row],[FME ID]],FME_Input[FME_ID],FME_Input[EMER_NEED])</f>
        <v>Yes</v>
      </c>
      <c r="G237">
        <f>IF(FME_Ranking!F237="Yes",100,0)</f>
        <v>100</v>
      </c>
      <c r="H237">
        <f>FME_Ranking1[[#This Row],[Emergency Need Score (Normalized, Unweighted)]]*$F$3</f>
        <v>0</v>
      </c>
      <c r="I237" s="246">
        <f>_xlfn.XLOOKUP(FME_Ranking1[[#This Row],[FME ID]],FME_Input[FME_ID],FME_Input[STRUCT_100])</f>
        <v>57</v>
      </c>
      <c r="J237" s="178">
        <f>(FME_Ranking1[[#This Row],[Structures 100 Raw]]/I$2)*100</f>
        <v>3.0523069014265519E-2</v>
      </c>
      <c r="K237" s="178">
        <f>FME_Ranking1[[#This Row],[Structures 100  Score (Normalized, Unweighted)]]*$I$3</f>
        <v>4.5784603521398281E-3</v>
      </c>
      <c r="L237" s="246">
        <f>_xlfn.XLOOKUP(FME_Ranking1[[#This Row],[FME ID]],FME_Input[FME_ID],FME_Input[RES_STRUCT100])</f>
        <v>0</v>
      </c>
      <c r="M237" s="230">
        <f>(FME_Ranking1[[#This Row],[Res Structures Raw]]/L$2)*100</f>
        <v>0</v>
      </c>
      <c r="N237" s="180">
        <f>FME_Ranking1[[#This Row],[Res Structures Score (Normalized, Unweighted)]]*$L$3</f>
        <v>0</v>
      </c>
      <c r="O237" s="244">
        <f>_xlfn.XLOOKUP(FME_Ranking1[[#This Row],[FME ID]],FME_Input[FME_ID],FME_Input[POP100])</f>
        <v>55754</v>
      </c>
      <c r="P237" s="178">
        <f>(FME_Ranking1[[#This Row],[Pop Raw]]/$O$2)*100</f>
        <v>5.7078331446215085</v>
      </c>
      <c r="Q237" s="178">
        <f>FME_Ranking1[[#This Row],[Pop Score (Normalized, Unweighted)]]*$O$3</f>
        <v>0.85617497169322621</v>
      </c>
      <c r="R237" s="137">
        <f>_xlfn.XLOOKUP(FME_Ranking1[[#This Row],[FME ID]],FME_Input[FME_ID],FME_Input[CRITFAC100])</f>
        <v>0</v>
      </c>
      <c r="S237" s="230">
        <f>(FME_Ranking1[[#This Row],[Critical Facilities Raw]]/$R$2)*100</f>
        <v>0</v>
      </c>
      <c r="T237" s="180">
        <f>FME_Ranking1[[#This Row],[Critical Facilities Score (Normalized, Unweighted)]]*$R$3</f>
        <v>0</v>
      </c>
      <c r="U237">
        <f>_xlfn.XLOOKUP(FME_Ranking1[[#This Row],[FME ID]],FME_Input[FME_ID],FME_Input[LWC])</f>
        <v>9</v>
      </c>
      <c r="V237" s="178">
        <f>(FME_Ranking1[[#This Row],[LWC Raw]]/$U$2)*100</f>
        <v>0.5181347150259068</v>
      </c>
      <c r="W237" s="178">
        <f>FME_Ranking1[[#This Row],[LWC Score (Normalized, Unweighted)]]*$U$3</f>
        <v>0.10362694300518137</v>
      </c>
      <c r="X237" s="246">
        <f>_xlfn.XLOOKUP(FME_Ranking1[[#This Row],[FME ID]],FME_Input[FME_ID],FME_Input[ROADCLS])</f>
        <v>9</v>
      </c>
      <c r="Y237" s="230">
        <f>(FME_Ranking1[[#This Row],[Closures Raw]]/$X$2)*100</f>
        <v>9.462727368310378E-2</v>
      </c>
      <c r="Z237" s="180">
        <f>FME_Ranking1[[#This Row],[Closures Score (Normalized, Unweighted)]]*$X$3</f>
        <v>4.7313636841551897E-3</v>
      </c>
      <c r="AA237" s="253">
        <f>_xlfn.XLOOKUP(FME_Ranking1[[#This Row],[FME ID]],FME_Input[FME_ID],FME_Input[ROAD_MILES100])</f>
        <v>5.016510009765625</v>
      </c>
      <c r="AB237" s="178">
        <f>(FME_Ranking1[[#This Row],[Miles Raw]]/$AA$2)*100</f>
        <v>6.5958109095316728E-2</v>
      </c>
      <c r="AC237" s="178">
        <f>FME_Ranking1[[#This Row],[Miles Score (Normalized, Unweighted)]]*$AA$3</f>
        <v>6.5958109095316728E-3</v>
      </c>
      <c r="AD237" s="255">
        <f>_xlfn.XLOOKUP(FME_Ranking1[[#This Row],[FME ID]],FME_Input[FME_ID],FME_Input[FARMACRE100])</f>
        <v>2482.8701171875</v>
      </c>
      <c r="AE237" s="230">
        <f>(FME_Ranking1[[#This Row],[Ag Land Raw]]/$AD$2)*100</f>
        <v>0.10238244905557249</v>
      </c>
      <c r="AF237" s="231">
        <f>FME_Ranking1[[#This Row],[Ag Land Score (Normalized, Unweighted)]]*$AD$3</f>
        <v>5.1191224527786247E-3</v>
      </c>
      <c r="AG23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0.98082667209701291</v>
      </c>
      <c r="AH237" s="406">
        <f t="shared" si="3"/>
        <v>284</v>
      </c>
      <c r="AI23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0.98082667209701291</v>
      </c>
      <c r="AJ237" s="257">
        <f>FME_Ranking1[[#This Row],[Addition check]]-FME_Ranking1[[#This Row],[Weighted Score Based on Normalized Reported Factors]]</f>
        <v>0</v>
      </c>
      <c r="AK237" s="178">
        <f>_xlfn.RANK.EQ(AI237,$AI$6:$AI$2341,0)+COUNTIF($AI$6:AI237,AI237)-1</f>
        <v>284</v>
      </c>
    </row>
    <row r="238" spans="1:37" ht="12" customHeight="1" x14ac:dyDescent="0.25">
      <c r="A238" t="s">
        <v>2066</v>
      </c>
      <c r="B238">
        <f>_xlfn.XLOOKUP(FME_Ranking1[[#This Row],[FME ID]],FME_Input[FME_ID],FME_Input[RFPG_NUM])</f>
        <v>6</v>
      </c>
      <c r="C238" t="str">
        <f>_xlfn.XLOOKUP(FME_Ranking1[[#This Row],[FME ID]],FME_Input[FME_ID],FME_Input[FME_NAME])</f>
        <v>Spring Gully Watershed Planning Project Near-Term Planning Project: PA03</v>
      </c>
      <c r="D238" t="str">
        <f>_xlfn.XLOOKUP(FME_Ranking1[[#This Row],[FME ID]],FME_Input[FME_ID],FME_Input[DESCR])</f>
        <v xml:space="preserve">Planning-level study needed. PA03 warrented a near-term solution. Flooded structures centralized in a short reach along the main stem O200-00-00 which the best strategy for the area was buyouts. </v>
      </c>
      <c r="E238" s="256">
        <f>_xlfn.XLOOKUP(FME_Ranking1[[#This Row],[FME ID]],FME_Input[FME_ID],FME_Input[FME_COST])</f>
        <v>600000</v>
      </c>
      <c r="F238" t="str">
        <f>_xlfn.XLOOKUP(FME_Ranking1[[#This Row],[FME ID]],FME_Input[FME_ID],FME_Input[EMER_NEED])</f>
        <v>No</v>
      </c>
      <c r="G238">
        <f>IF(FME_Ranking!F238="Yes",100,0)</f>
        <v>0</v>
      </c>
      <c r="H238">
        <f>FME_Ranking1[[#This Row],[Emergency Need Score (Normalized, Unweighted)]]*$F$3</f>
        <v>0</v>
      </c>
      <c r="I238" s="246">
        <f>_xlfn.XLOOKUP(FME_Ranking1[[#This Row],[FME ID]],FME_Input[FME_ID],FME_Input[STRUCT_100])</f>
        <v>1883</v>
      </c>
      <c r="J238" s="178">
        <f>(FME_Ranking1[[#This Row],[Structures 100 Raw]]/I$2)*100</f>
        <v>1.0083322623484556</v>
      </c>
      <c r="K238" s="178">
        <f>FME_Ranking1[[#This Row],[Structures 100  Score (Normalized, Unweighted)]]*$I$3</f>
        <v>0.15124983935226835</v>
      </c>
      <c r="L238" s="246">
        <f>_xlfn.XLOOKUP(FME_Ranking1[[#This Row],[FME ID]],FME_Input[FME_ID],FME_Input[RES_STRUCT100])</f>
        <v>1509</v>
      </c>
      <c r="M238" s="230">
        <f>(FME_Ranking1[[#This Row],[Res Structures Raw]]/L$2)*100</f>
        <v>1.0688331373687865</v>
      </c>
      <c r="N238" s="180">
        <f>FME_Ranking1[[#This Row],[Res Structures Score (Normalized, Unweighted)]]*$L$3</f>
        <v>0.10688331373687865</v>
      </c>
      <c r="O238" s="244">
        <f>_xlfn.XLOOKUP(FME_Ranking1[[#This Row],[FME ID]],FME_Input[FME_ID],FME_Input[POP100])</f>
        <v>9371</v>
      </c>
      <c r="P238" s="178">
        <f>(FME_Ranking1[[#This Row],[Pop Raw]]/$O$2)*100</f>
        <v>0.95935904864670085</v>
      </c>
      <c r="Q238" s="178">
        <f>FME_Ranking1[[#This Row],[Pop Score (Normalized, Unweighted)]]*$O$3</f>
        <v>0.14390385729700511</v>
      </c>
      <c r="R238" s="137">
        <f>_xlfn.XLOOKUP(FME_Ranking1[[#This Row],[FME ID]],FME_Input[FME_ID],FME_Input[CRITFAC100])</f>
        <v>64</v>
      </c>
      <c r="S238" s="230">
        <f>(FME_Ranking1[[#This Row],[Critical Facilities Raw]]/$R$2)*100</f>
        <v>2.7444253859348198</v>
      </c>
      <c r="T238" s="180">
        <f>FME_Ranking1[[#This Row],[Critical Facilities Score (Normalized, Unweighted)]]*$R$3</f>
        <v>0.548885077186964</v>
      </c>
      <c r="U238">
        <f>_xlfn.XLOOKUP(FME_Ranking1[[#This Row],[FME ID]],FME_Input[FME_ID],FME_Input[LWC])</f>
        <v>1</v>
      </c>
      <c r="V238" s="178">
        <f>(FME_Ranking1[[#This Row],[LWC Raw]]/$U$2)*100</f>
        <v>5.7570523891767422E-2</v>
      </c>
      <c r="W238" s="178">
        <f>FME_Ranking1[[#This Row],[LWC Score (Normalized, Unweighted)]]*$U$3</f>
        <v>1.1514104778353485E-2</v>
      </c>
      <c r="X238" s="246">
        <f>_xlfn.XLOOKUP(FME_Ranking1[[#This Row],[FME ID]],FME_Input[FME_ID],FME_Input[ROADCLS])</f>
        <v>1</v>
      </c>
      <c r="Y238" s="230">
        <f>(FME_Ranking1[[#This Row],[Closures Raw]]/$X$2)*100</f>
        <v>1.0514141520344864E-2</v>
      </c>
      <c r="Z238" s="180">
        <f>FME_Ranking1[[#This Row],[Closures Score (Normalized, Unweighted)]]*$X$3</f>
        <v>5.2570707601724321E-4</v>
      </c>
      <c r="AA238" s="253">
        <f>_xlfn.XLOOKUP(FME_Ranking1[[#This Row],[FME ID]],FME_Input[FME_ID],FME_Input[ROAD_MILES100])</f>
        <v>32.824069976806641</v>
      </c>
      <c r="AB238" s="178">
        <f>(FME_Ranking1[[#This Row],[Miles Raw]]/$AA$2)*100</f>
        <v>0.43157764746166111</v>
      </c>
      <c r="AC238" s="178">
        <f>FME_Ranking1[[#This Row],[Miles Score (Normalized, Unweighted)]]*$AA$3</f>
        <v>4.3157764746166116E-2</v>
      </c>
      <c r="AD238" s="255">
        <f>_xlfn.XLOOKUP(FME_Ranking1[[#This Row],[FME ID]],FME_Input[FME_ID],FME_Input[FARMACRE100])</f>
        <v>73.12799072265625</v>
      </c>
      <c r="AE238" s="230">
        <f>(FME_Ranking1[[#This Row],[Ag Land Raw]]/$AD$2)*100</f>
        <v>3.0154709796820721E-3</v>
      </c>
      <c r="AF238" s="231">
        <f>FME_Ranking1[[#This Row],[Ag Land Score (Normalized, Unweighted)]]*$AD$3</f>
        <v>1.5077354898410361E-4</v>
      </c>
      <c r="AG23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1.006270437722637</v>
      </c>
      <c r="AH238" s="406">
        <f t="shared" si="3"/>
        <v>280</v>
      </c>
      <c r="AI23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1.006270437722637</v>
      </c>
      <c r="AJ238" s="257">
        <f>FME_Ranking1[[#This Row],[Addition check]]-FME_Ranking1[[#This Row],[Weighted Score Based on Normalized Reported Factors]]</f>
        <v>0</v>
      </c>
      <c r="AK238" s="178">
        <f>_xlfn.RANK.EQ(AI238,$AI$6:$AI$2341,0)+COUNTIF($AI$6:AI238,AI238)-1</f>
        <v>280</v>
      </c>
    </row>
    <row r="239" spans="1:37" ht="12" customHeight="1" x14ac:dyDescent="0.25">
      <c r="A239" t="s">
        <v>2073</v>
      </c>
      <c r="B239">
        <f>_xlfn.XLOOKUP(FME_Ranking1[[#This Row],[FME ID]],FME_Input[FME_ID],FME_Input[RFPG_NUM])</f>
        <v>6</v>
      </c>
      <c r="C239" t="str">
        <f>_xlfn.XLOOKUP(FME_Ranking1[[#This Row],[FME ID]],FME_Input[FME_ID],FME_Input[FME_NAME])</f>
        <v>Spring Gully Watershed Planning Project- Near-term Planning Project: PA04</v>
      </c>
      <c r="D239" t="str">
        <f>_xlfn.XLOOKUP(FME_Ranking1[[#This Row],[FME ID]],FME_Input[FME_ID],FME_Input[DESCR])</f>
        <v>Planning-level study. Lowering WSEL in O203-00-00 to around 29 feet MSL. Most benefit when O203-00-00 and Thompson Road Storm drain system upsized, but Thompson road storm drain design.</v>
      </c>
      <c r="E239" s="256">
        <f>_xlfn.XLOOKUP(FME_Ranking1[[#This Row],[FME ID]],FME_Input[FME_ID],FME_Input[FME_COST])</f>
        <v>210000</v>
      </c>
      <c r="F239" t="str">
        <f>_xlfn.XLOOKUP(FME_Ranking1[[#This Row],[FME ID]],FME_Input[FME_ID],FME_Input[EMER_NEED])</f>
        <v>No</v>
      </c>
      <c r="G239">
        <f>IF(FME_Ranking!F239="Yes",100,0)</f>
        <v>0</v>
      </c>
      <c r="H239">
        <f>FME_Ranking1[[#This Row],[Emergency Need Score (Normalized, Unweighted)]]*$F$3</f>
        <v>0</v>
      </c>
      <c r="I239" s="246">
        <f>_xlfn.XLOOKUP(FME_Ranking1[[#This Row],[FME ID]],FME_Input[FME_ID],FME_Input[STRUCT_100])</f>
        <v>1883</v>
      </c>
      <c r="J239" s="178">
        <f>(FME_Ranking1[[#This Row],[Structures 100 Raw]]/I$2)*100</f>
        <v>1.0083322623484556</v>
      </c>
      <c r="K239" s="178">
        <f>FME_Ranking1[[#This Row],[Structures 100  Score (Normalized, Unweighted)]]*$I$3</f>
        <v>0.15124983935226835</v>
      </c>
      <c r="L239" s="246">
        <f>_xlfn.XLOOKUP(FME_Ranking1[[#This Row],[FME ID]],FME_Input[FME_ID],FME_Input[RES_STRUCT100])</f>
        <v>1509</v>
      </c>
      <c r="M239" s="230">
        <f>(FME_Ranking1[[#This Row],[Res Structures Raw]]/L$2)*100</f>
        <v>1.0688331373687865</v>
      </c>
      <c r="N239" s="180">
        <f>FME_Ranking1[[#This Row],[Res Structures Score (Normalized, Unweighted)]]*$L$3</f>
        <v>0.10688331373687865</v>
      </c>
      <c r="O239" s="244">
        <f>_xlfn.XLOOKUP(FME_Ranking1[[#This Row],[FME ID]],FME_Input[FME_ID],FME_Input[POP100])</f>
        <v>9371</v>
      </c>
      <c r="P239" s="178">
        <f>(FME_Ranking1[[#This Row],[Pop Raw]]/$O$2)*100</f>
        <v>0.95935904864670085</v>
      </c>
      <c r="Q239" s="178">
        <f>FME_Ranking1[[#This Row],[Pop Score (Normalized, Unweighted)]]*$O$3</f>
        <v>0.14390385729700511</v>
      </c>
      <c r="R239" s="137">
        <f>_xlfn.XLOOKUP(FME_Ranking1[[#This Row],[FME ID]],FME_Input[FME_ID],FME_Input[CRITFAC100])</f>
        <v>64</v>
      </c>
      <c r="S239" s="230">
        <f>(FME_Ranking1[[#This Row],[Critical Facilities Raw]]/$R$2)*100</f>
        <v>2.7444253859348198</v>
      </c>
      <c r="T239" s="180">
        <f>FME_Ranking1[[#This Row],[Critical Facilities Score (Normalized, Unweighted)]]*$R$3</f>
        <v>0.548885077186964</v>
      </c>
      <c r="U239">
        <f>_xlfn.XLOOKUP(FME_Ranking1[[#This Row],[FME ID]],FME_Input[FME_ID],FME_Input[LWC])</f>
        <v>1</v>
      </c>
      <c r="V239" s="178">
        <f>(FME_Ranking1[[#This Row],[LWC Raw]]/$U$2)*100</f>
        <v>5.7570523891767422E-2</v>
      </c>
      <c r="W239" s="178">
        <f>FME_Ranking1[[#This Row],[LWC Score (Normalized, Unweighted)]]*$U$3</f>
        <v>1.1514104778353485E-2</v>
      </c>
      <c r="X239" s="246">
        <f>_xlfn.XLOOKUP(FME_Ranking1[[#This Row],[FME ID]],FME_Input[FME_ID],FME_Input[ROADCLS])</f>
        <v>1</v>
      </c>
      <c r="Y239" s="230">
        <f>(FME_Ranking1[[#This Row],[Closures Raw]]/$X$2)*100</f>
        <v>1.0514141520344864E-2</v>
      </c>
      <c r="Z239" s="180">
        <f>FME_Ranking1[[#This Row],[Closures Score (Normalized, Unweighted)]]*$X$3</f>
        <v>5.2570707601724321E-4</v>
      </c>
      <c r="AA239" s="253">
        <f>_xlfn.XLOOKUP(FME_Ranking1[[#This Row],[FME ID]],FME_Input[FME_ID],FME_Input[ROAD_MILES100])</f>
        <v>32.824069976806641</v>
      </c>
      <c r="AB239" s="178">
        <f>(FME_Ranking1[[#This Row],[Miles Raw]]/$AA$2)*100</f>
        <v>0.43157764746166111</v>
      </c>
      <c r="AC239" s="178">
        <f>FME_Ranking1[[#This Row],[Miles Score (Normalized, Unweighted)]]*$AA$3</f>
        <v>4.3157764746166116E-2</v>
      </c>
      <c r="AD239" s="255">
        <f>_xlfn.XLOOKUP(FME_Ranking1[[#This Row],[FME ID]],FME_Input[FME_ID],FME_Input[FARMACRE100])</f>
        <v>73.12799072265625</v>
      </c>
      <c r="AE239" s="230">
        <f>(FME_Ranking1[[#This Row],[Ag Land Raw]]/$AD$2)*100</f>
        <v>3.0154709796820721E-3</v>
      </c>
      <c r="AF239" s="231">
        <f>FME_Ranking1[[#This Row],[Ag Land Score (Normalized, Unweighted)]]*$AD$3</f>
        <v>1.5077354898410361E-4</v>
      </c>
      <c r="AG23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1.006270437722637</v>
      </c>
      <c r="AH239" s="406">
        <f t="shared" si="3"/>
        <v>280</v>
      </c>
      <c r="AI23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1.006270437722637</v>
      </c>
      <c r="AJ239" s="257">
        <f>FME_Ranking1[[#This Row],[Addition check]]-FME_Ranking1[[#This Row],[Weighted Score Based on Normalized Reported Factors]]</f>
        <v>0</v>
      </c>
      <c r="AK239" s="178">
        <f>_xlfn.RANK.EQ(AI239,$AI$6:$AI$2341,0)+COUNTIF($AI$6:AI239,AI239)-1</f>
        <v>281</v>
      </c>
    </row>
    <row r="240" spans="1:37" ht="12" customHeight="1" x14ac:dyDescent="0.25">
      <c r="A240" t="s">
        <v>2076</v>
      </c>
      <c r="B240">
        <f>_xlfn.XLOOKUP(FME_Ranking1[[#This Row],[FME ID]],FME_Input[FME_ID],FME_Input[RFPG_NUM])</f>
        <v>6</v>
      </c>
      <c r="C240" t="str">
        <f>_xlfn.XLOOKUP(FME_Ranking1[[#This Row],[FME ID]],FME_Input[FME_ID],FME_Input[FME_NAME])</f>
        <v>Spring Gully Watershed Planning Project - Near-term planning project: PA05</v>
      </c>
      <c r="D240" t="str">
        <f>_xlfn.XLOOKUP(FME_Ranking1[[#This Row],[FME ID]],FME_Input[FME_ID],FME_Input[DESCR])</f>
        <v>Planning-level study needed. A stormwater detention basin near confluence of O207-00-00 nd O207-01-00 reuired to lower WSEl . Reduced flow rates only after relief channel in Phase III implemented.</v>
      </c>
      <c r="E240" s="256">
        <f>_xlfn.XLOOKUP(FME_Ranking1[[#This Row],[FME ID]],FME_Input[FME_ID],FME_Input[FME_COST])</f>
        <v>170000</v>
      </c>
      <c r="F240" t="str">
        <f>_xlfn.XLOOKUP(FME_Ranking1[[#This Row],[FME ID]],FME_Input[FME_ID],FME_Input[EMER_NEED])</f>
        <v>No</v>
      </c>
      <c r="G240">
        <f>IF(FME_Ranking!F240="Yes",100,0)</f>
        <v>0</v>
      </c>
      <c r="H240">
        <f>FME_Ranking1[[#This Row],[Emergency Need Score (Normalized, Unweighted)]]*$F$3</f>
        <v>0</v>
      </c>
      <c r="I240" s="246">
        <f>_xlfn.XLOOKUP(FME_Ranking1[[#This Row],[FME ID]],FME_Input[FME_ID],FME_Input[STRUCT_100])</f>
        <v>1883</v>
      </c>
      <c r="J240" s="178">
        <f>(FME_Ranking1[[#This Row],[Structures 100 Raw]]/I$2)*100</f>
        <v>1.0083322623484556</v>
      </c>
      <c r="K240" s="178">
        <f>FME_Ranking1[[#This Row],[Structures 100  Score (Normalized, Unweighted)]]*$I$3</f>
        <v>0.15124983935226835</v>
      </c>
      <c r="L240" s="246">
        <f>_xlfn.XLOOKUP(FME_Ranking1[[#This Row],[FME ID]],FME_Input[FME_ID],FME_Input[RES_STRUCT100])</f>
        <v>1509</v>
      </c>
      <c r="M240" s="230">
        <f>(FME_Ranking1[[#This Row],[Res Structures Raw]]/L$2)*100</f>
        <v>1.0688331373687865</v>
      </c>
      <c r="N240" s="180">
        <f>FME_Ranking1[[#This Row],[Res Structures Score (Normalized, Unweighted)]]*$L$3</f>
        <v>0.10688331373687865</v>
      </c>
      <c r="O240" s="244">
        <f>_xlfn.XLOOKUP(FME_Ranking1[[#This Row],[FME ID]],FME_Input[FME_ID],FME_Input[POP100])</f>
        <v>9371</v>
      </c>
      <c r="P240" s="178">
        <f>(FME_Ranking1[[#This Row],[Pop Raw]]/$O$2)*100</f>
        <v>0.95935904864670085</v>
      </c>
      <c r="Q240" s="178">
        <f>FME_Ranking1[[#This Row],[Pop Score (Normalized, Unweighted)]]*$O$3</f>
        <v>0.14390385729700511</v>
      </c>
      <c r="R240" s="137">
        <f>_xlfn.XLOOKUP(FME_Ranking1[[#This Row],[FME ID]],FME_Input[FME_ID],FME_Input[CRITFAC100])</f>
        <v>64</v>
      </c>
      <c r="S240" s="230">
        <f>(FME_Ranking1[[#This Row],[Critical Facilities Raw]]/$R$2)*100</f>
        <v>2.7444253859348198</v>
      </c>
      <c r="T240" s="180">
        <f>FME_Ranking1[[#This Row],[Critical Facilities Score (Normalized, Unweighted)]]*$R$3</f>
        <v>0.548885077186964</v>
      </c>
      <c r="U240">
        <f>_xlfn.XLOOKUP(FME_Ranking1[[#This Row],[FME ID]],FME_Input[FME_ID],FME_Input[LWC])</f>
        <v>1</v>
      </c>
      <c r="V240" s="178">
        <f>(FME_Ranking1[[#This Row],[LWC Raw]]/$U$2)*100</f>
        <v>5.7570523891767422E-2</v>
      </c>
      <c r="W240" s="178">
        <f>FME_Ranking1[[#This Row],[LWC Score (Normalized, Unweighted)]]*$U$3</f>
        <v>1.1514104778353485E-2</v>
      </c>
      <c r="X240" s="246">
        <f>_xlfn.XLOOKUP(FME_Ranking1[[#This Row],[FME ID]],FME_Input[FME_ID],FME_Input[ROADCLS])</f>
        <v>1</v>
      </c>
      <c r="Y240" s="230">
        <f>(FME_Ranking1[[#This Row],[Closures Raw]]/$X$2)*100</f>
        <v>1.0514141520344864E-2</v>
      </c>
      <c r="Z240" s="180">
        <f>FME_Ranking1[[#This Row],[Closures Score (Normalized, Unweighted)]]*$X$3</f>
        <v>5.2570707601724321E-4</v>
      </c>
      <c r="AA240" s="253">
        <f>_xlfn.XLOOKUP(FME_Ranking1[[#This Row],[FME ID]],FME_Input[FME_ID],FME_Input[ROAD_MILES100])</f>
        <v>32.824069976806641</v>
      </c>
      <c r="AB240" s="178">
        <f>(FME_Ranking1[[#This Row],[Miles Raw]]/$AA$2)*100</f>
        <v>0.43157764746166111</v>
      </c>
      <c r="AC240" s="178">
        <f>FME_Ranking1[[#This Row],[Miles Score (Normalized, Unweighted)]]*$AA$3</f>
        <v>4.3157764746166116E-2</v>
      </c>
      <c r="AD240" s="255">
        <f>_xlfn.XLOOKUP(FME_Ranking1[[#This Row],[FME ID]],FME_Input[FME_ID],FME_Input[FARMACRE100])</f>
        <v>73.12799072265625</v>
      </c>
      <c r="AE240" s="230">
        <f>(FME_Ranking1[[#This Row],[Ag Land Raw]]/$AD$2)*100</f>
        <v>3.0154709796820721E-3</v>
      </c>
      <c r="AF240" s="231">
        <f>FME_Ranking1[[#This Row],[Ag Land Score (Normalized, Unweighted)]]*$AD$3</f>
        <v>1.5077354898410361E-4</v>
      </c>
      <c r="AG24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1.006270437722637</v>
      </c>
      <c r="AH240" s="406">
        <f t="shared" si="3"/>
        <v>280</v>
      </c>
      <c r="AI24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1.006270437722637</v>
      </c>
      <c r="AJ240" s="257">
        <f>FME_Ranking1[[#This Row],[Addition check]]-FME_Ranking1[[#This Row],[Weighted Score Based on Normalized Reported Factors]]</f>
        <v>0</v>
      </c>
      <c r="AK240" s="178">
        <f>_xlfn.RANK.EQ(AI240,$AI$6:$AI$2341,0)+COUNTIF($AI$6:AI240,AI240)-1</f>
        <v>282</v>
      </c>
    </row>
    <row r="241" spans="1:37" ht="12" customHeight="1" x14ac:dyDescent="0.25">
      <c r="A241" t="s">
        <v>2283</v>
      </c>
      <c r="B241">
        <f>_xlfn.XLOOKUP(FME_Ranking1[[#This Row],[FME ID]],FME_Input[FME_ID],FME_Input[RFPG_NUM])</f>
        <v>6</v>
      </c>
      <c r="C241" t="str">
        <f>_xlfn.XLOOKUP(FME_Ranking1[[#This Row],[FME ID]],FME_Input[FME_ID],FME_Input[FME_NAME])</f>
        <v>Goose Creek Flood Risk Reduction Phase 1</v>
      </c>
      <c r="D241" t="str">
        <f>_xlfn.XLOOKUP(FME_Ranking1[[#This Row],[FME ID]],FME_Input[FME_ID],FME_Input[DESCR])</f>
        <v>Study to develop a Benefit Cost Analysis needed for this project to become a FMP. 1.65 Miles of Goose Creek channel modifications (Downstream of IH 10) with proposed detention basin "J".</v>
      </c>
      <c r="E241" s="256">
        <f>_xlfn.XLOOKUP(FME_Ranking1[[#This Row],[FME ID]],FME_Input[FME_ID],FME_Input[FME_COST])</f>
        <v>30000</v>
      </c>
      <c r="F241" t="str">
        <f>_xlfn.XLOOKUP(FME_Ranking1[[#This Row],[FME ID]],FME_Input[FME_ID],FME_Input[EMER_NEED])</f>
        <v>No</v>
      </c>
      <c r="G241">
        <f>IF(FME_Ranking!F241="Yes",100,0)</f>
        <v>0</v>
      </c>
      <c r="H241">
        <f>FME_Ranking1[[#This Row],[Emergency Need Score (Normalized, Unweighted)]]*$F$3</f>
        <v>0</v>
      </c>
      <c r="I241" s="246">
        <f>_xlfn.XLOOKUP(FME_Ranking1[[#This Row],[FME ID]],FME_Input[FME_ID],FME_Input[STRUCT_100])</f>
        <v>1883</v>
      </c>
      <c r="J241" s="178">
        <f>(FME_Ranking1[[#This Row],[Structures 100 Raw]]/I$2)*100</f>
        <v>1.0083322623484556</v>
      </c>
      <c r="K241" s="178">
        <f>FME_Ranking1[[#This Row],[Structures 100  Score (Normalized, Unweighted)]]*$I$3</f>
        <v>0.15124983935226835</v>
      </c>
      <c r="L241" s="246">
        <f>_xlfn.XLOOKUP(FME_Ranking1[[#This Row],[FME ID]],FME_Input[FME_ID],FME_Input[RES_STRUCT100])</f>
        <v>1509</v>
      </c>
      <c r="M241" s="230">
        <f>(FME_Ranking1[[#This Row],[Res Structures Raw]]/L$2)*100</f>
        <v>1.0688331373687865</v>
      </c>
      <c r="N241" s="180">
        <f>FME_Ranking1[[#This Row],[Res Structures Score (Normalized, Unweighted)]]*$L$3</f>
        <v>0.10688331373687865</v>
      </c>
      <c r="O241" s="244">
        <f>_xlfn.XLOOKUP(FME_Ranking1[[#This Row],[FME ID]],FME_Input[FME_ID],FME_Input[POP100])</f>
        <v>9371</v>
      </c>
      <c r="P241" s="178">
        <f>(FME_Ranking1[[#This Row],[Pop Raw]]/$O$2)*100</f>
        <v>0.95935904864670085</v>
      </c>
      <c r="Q241" s="178">
        <f>FME_Ranking1[[#This Row],[Pop Score (Normalized, Unweighted)]]*$O$3</f>
        <v>0.14390385729700511</v>
      </c>
      <c r="R241" s="137">
        <f>_xlfn.XLOOKUP(FME_Ranking1[[#This Row],[FME ID]],FME_Input[FME_ID],FME_Input[CRITFAC100])</f>
        <v>64</v>
      </c>
      <c r="S241" s="230">
        <f>(FME_Ranking1[[#This Row],[Critical Facilities Raw]]/$R$2)*100</f>
        <v>2.7444253859348198</v>
      </c>
      <c r="T241" s="180">
        <f>FME_Ranking1[[#This Row],[Critical Facilities Score (Normalized, Unweighted)]]*$R$3</f>
        <v>0.548885077186964</v>
      </c>
      <c r="U241">
        <f>_xlfn.XLOOKUP(FME_Ranking1[[#This Row],[FME ID]],FME_Input[FME_ID],FME_Input[LWC])</f>
        <v>1</v>
      </c>
      <c r="V241" s="178">
        <f>(FME_Ranking1[[#This Row],[LWC Raw]]/$U$2)*100</f>
        <v>5.7570523891767422E-2</v>
      </c>
      <c r="W241" s="178">
        <f>FME_Ranking1[[#This Row],[LWC Score (Normalized, Unweighted)]]*$U$3</f>
        <v>1.1514104778353485E-2</v>
      </c>
      <c r="X241" s="246">
        <f>_xlfn.XLOOKUP(FME_Ranking1[[#This Row],[FME ID]],FME_Input[FME_ID],FME_Input[ROADCLS])</f>
        <v>1</v>
      </c>
      <c r="Y241" s="230">
        <f>(FME_Ranking1[[#This Row],[Closures Raw]]/$X$2)*100</f>
        <v>1.0514141520344864E-2</v>
      </c>
      <c r="Z241" s="180">
        <f>FME_Ranking1[[#This Row],[Closures Score (Normalized, Unweighted)]]*$X$3</f>
        <v>5.2570707601724321E-4</v>
      </c>
      <c r="AA241" s="253">
        <f>_xlfn.XLOOKUP(FME_Ranking1[[#This Row],[FME ID]],FME_Input[FME_ID],FME_Input[ROAD_MILES100])</f>
        <v>32.824111938476563</v>
      </c>
      <c r="AB241" s="178">
        <f>(FME_Ranking1[[#This Row],[Miles Raw]]/$AA$2)*100</f>
        <v>0.43157819918235873</v>
      </c>
      <c r="AC241" s="178">
        <f>FME_Ranking1[[#This Row],[Miles Score (Normalized, Unweighted)]]*$AA$3</f>
        <v>4.3157819918235876E-2</v>
      </c>
      <c r="AD241" s="255">
        <f>_xlfn.XLOOKUP(FME_Ranking1[[#This Row],[FME ID]],FME_Input[FME_ID],FME_Input[FARMACRE100])</f>
        <v>73.12799072265625</v>
      </c>
      <c r="AE241" s="230">
        <f>(FME_Ranking1[[#This Row],[Ag Land Raw]]/$AD$2)*100</f>
        <v>3.0154709796820721E-3</v>
      </c>
      <c r="AF241" s="231">
        <f>FME_Ranking1[[#This Row],[Ag Land Score (Normalized, Unweighted)]]*$AD$3</f>
        <v>1.5077354898410361E-4</v>
      </c>
      <c r="AG24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1.0062704928947068</v>
      </c>
      <c r="AH241" s="406">
        <f t="shared" si="3"/>
        <v>277</v>
      </c>
      <c r="AI24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1.0062704928947068</v>
      </c>
      <c r="AJ241" s="257">
        <f>FME_Ranking1[[#This Row],[Addition check]]-FME_Ranking1[[#This Row],[Weighted Score Based on Normalized Reported Factors]]</f>
        <v>0</v>
      </c>
      <c r="AK241" s="178">
        <f>_xlfn.RANK.EQ(AI241,$AI$6:$AI$2341,0)+COUNTIF($AI$6:AI241,AI241)-1</f>
        <v>277</v>
      </c>
    </row>
    <row r="242" spans="1:37" ht="12" customHeight="1" x14ac:dyDescent="0.25">
      <c r="A242" t="s">
        <v>2288</v>
      </c>
      <c r="B242">
        <f>_xlfn.XLOOKUP(FME_Ranking1[[#This Row],[FME ID]],FME_Input[FME_ID],FME_Input[RFPG_NUM])</f>
        <v>6</v>
      </c>
      <c r="C242" t="str">
        <f>_xlfn.XLOOKUP(FME_Ranking1[[#This Row],[FME ID]],FME_Input[FME_ID],FME_Input[FME_NAME])</f>
        <v>Goose Creek Flood Risk Reduction Phase 2</v>
      </c>
      <c r="D242" t="str">
        <f>_xlfn.XLOOKUP(FME_Ranking1[[#This Row],[FME ID]],FME_Input[FME_ID],FME_Input[DESCR])</f>
        <v>Study to develop a Benefit Cost Analysis needed for this project to become a FMP. 1.00 Mile of Goose Creek channel modifications (Upstream of IH 10) with proposed detention basin "I".</v>
      </c>
      <c r="E242" s="256">
        <f>_xlfn.XLOOKUP(FME_Ranking1[[#This Row],[FME ID]],FME_Input[FME_ID],FME_Input[FME_COST])</f>
        <v>30000</v>
      </c>
      <c r="F242" t="str">
        <f>_xlfn.XLOOKUP(FME_Ranking1[[#This Row],[FME ID]],FME_Input[FME_ID],FME_Input[EMER_NEED])</f>
        <v>No</v>
      </c>
      <c r="G242">
        <f>IF(FME_Ranking!F242="Yes",100,0)</f>
        <v>0</v>
      </c>
      <c r="H242">
        <f>FME_Ranking1[[#This Row],[Emergency Need Score (Normalized, Unweighted)]]*$F$3</f>
        <v>0</v>
      </c>
      <c r="I242" s="246">
        <f>_xlfn.XLOOKUP(FME_Ranking1[[#This Row],[FME ID]],FME_Input[FME_ID],FME_Input[STRUCT_100])</f>
        <v>1883</v>
      </c>
      <c r="J242" s="178">
        <f>(FME_Ranking1[[#This Row],[Structures 100 Raw]]/I$2)*100</f>
        <v>1.0083322623484556</v>
      </c>
      <c r="K242" s="178">
        <f>FME_Ranking1[[#This Row],[Structures 100  Score (Normalized, Unweighted)]]*$I$3</f>
        <v>0.15124983935226835</v>
      </c>
      <c r="L242" s="246">
        <f>_xlfn.XLOOKUP(FME_Ranking1[[#This Row],[FME ID]],FME_Input[FME_ID],FME_Input[RES_STRUCT100])</f>
        <v>1509</v>
      </c>
      <c r="M242" s="230">
        <f>(FME_Ranking1[[#This Row],[Res Structures Raw]]/L$2)*100</f>
        <v>1.0688331373687865</v>
      </c>
      <c r="N242" s="180">
        <f>FME_Ranking1[[#This Row],[Res Structures Score (Normalized, Unweighted)]]*$L$3</f>
        <v>0.10688331373687865</v>
      </c>
      <c r="O242" s="244">
        <f>_xlfn.XLOOKUP(FME_Ranking1[[#This Row],[FME ID]],FME_Input[FME_ID],FME_Input[POP100])</f>
        <v>9371</v>
      </c>
      <c r="P242" s="178">
        <f>(FME_Ranking1[[#This Row],[Pop Raw]]/$O$2)*100</f>
        <v>0.95935904864670085</v>
      </c>
      <c r="Q242" s="178">
        <f>FME_Ranking1[[#This Row],[Pop Score (Normalized, Unweighted)]]*$O$3</f>
        <v>0.14390385729700511</v>
      </c>
      <c r="R242" s="137">
        <f>_xlfn.XLOOKUP(FME_Ranking1[[#This Row],[FME ID]],FME_Input[FME_ID],FME_Input[CRITFAC100])</f>
        <v>64</v>
      </c>
      <c r="S242" s="230">
        <f>(FME_Ranking1[[#This Row],[Critical Facilities Raw]]/$R$2)*100</f>
        <v>2.7444253859348198</v>
      </c>
      <c r="T242" s="180">
        <f>FME_Ranking1[[#This Row],[Critical Facilities Score (Normalized, Unweighted)]]*$R$3</f>
        <v>0.548885077186964</v>
      </c>
      <c r="U242">
        <f>_xlfn.XLOOKUP(FME_Ranking1[[#This Row],[FME ID]],FME_Input[FME_ID],FME_Input[LWC])</f>
        <v>1</v>
      </c>
      <c r="V242" s="178">
        <f>(FME_Ranking1[[#This Row],[LWC Raw]]/$U$2)*100</f>
        <v>5.7570523891767422E-2</v>
      </c>
      <c r="W242" s="178">
        <f>FME_Ranking1[[#This Row],[LWC Score (Normalized, Unweighted)]]*$U$3</f>
        <v>1.1514104778353485E-2</v>
      </c>
      <c r="X242" s="246">
        <f>_xlfn.XLOOKUP(FME_Ranking1[[#This Row],[FME ID]],FME_Input[FME_ID],FME_Input[ROADCLS])</f>
        <v>1</v>
      </c>
      <c r="Y242" s="230">
        <f>(FME_Ranking1[[#This Row],[Closures Raw]]/$X$2)*100</f>
        <v>1.0514141520344864E-2</v>
      </c>
      <c r="Z242" s="180">
        <f>FME_Ranking1[[#This Row],[Closures Score (Normalized, Unweighted)]]*$X$3</f>
        <v>5.2570707601724321E-4</v>
      </c>
      <c r="AA242" s="253">
        <f>_xlfn.XLOOKUP(FME_Ranking1[[#This Row],[FME ID]],FME_Input[FME_ID],FME_Input[ROAD_MILES100])</f>
        <v>32.824111938476563</v>
      </c>
      <c r="AB242" s="178">
        <f>(FME_Ranking1[[#This Row],[Miles Raw]]/$AA$2)*100</f>
        <v>0.43157819918235873</v>
      </c>
      <c r="AC242" s="178">
        <f>FME_Ranking1[[#This Row],[Miles Score (Normalized, Unweighted)]]*$AA$3</f>
        <v>4.3157819918235876E-2</v>
      </c>
      <c r="AD242" s="255">
        <f>_xlfn.XLOOKUP(FME_Ranking1[[#This Row],[FME ID]],FME_Input[FME_ID],FME_Input[FARMACRE100])</f>
        <v>73.12799072265625</v>
      </c>
      <c r="AE242" s="230">
        <f>(FME_Ranking1[[#This Row],[Ag Land Raw]]/$AD$2)*100</f>
        <v>3.0154709796820721E-3</v>
      </c>
      <c r="AF242" s="231">
        <f>FME_Ranking1[[#This Row],[Ag Land Score (Normalized, Unweighted)]]*$AD$3</f>
        <v>1.5077354898410361E-4</v>
      </c>
      <c r="AG24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1.0062704928947068</v>
      </c>
      <c r="AH242" s="406">
        <f t="shared" si="3"/>
        <v>277</v>
      </c>
      <c r="AI24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1.0062704928947068</v>
      </c>
      <c r="AJ242" s="257">
        <f>FME_Ranking1[[#This Row],[Addition check]]-FME_Ranking1[[#This Row],[Weighted Score Based on Normalized Reported Factors]]</f>
        <v>0</v>
      </c>
      <c r="AK242" s="178">
        <f>_xlfn.RANK.EQ(AI242,$AI$6:$AI$2341,0)+COUNTIF($AI$6:AI242,AI242)-1</f>
        <v>278</v>
      </c>
    </row>
    <row r="243" spans="1:37" ht="12" customHeight="1" x14ac:dyDescent="0.25">
      <c r="A243" t="s">
        <v>2291</v>
      </c>
      <c r="B243">
        <f>_xlfn.XLOOKUP(FME_Ranking1[[#This Row],[FME ID]],FME_Input[FME_ID],FME_Input[RFPG_NUM])</f>
        <v>6</v>
      </c>
      <c r="C243" t="str">
        <f>_xlfn.XLOOKUP(FME_Ranking1[[#This Row],[FME ID]],FME_Input[FME_ID],FME_Input[FME_NAME])</f>
        <v>Goose Creek Flood Risk Reduction Phase 3</v>
      </c>
      <c r="D243" t="str">
        <f>_xlfn.XLOOKUP(FME_Ranking1[[#This Row],[FME ID]],FME_Input[FME_ID],FME_Input[DESCR])</f>
        <v>Study to develop a Benefit Cost Analysis needed for this project to become a FMP.  Local channel modifications and crossing structure improvements along O117 and O126.</v>
      </c>
      <c r="E243" s="256">
        <f>_xlfn.XLOOKUP(FME_Ranking1[[#This Row],[FME ID]],FME_Input[FME_ID],FME_Input[FME_COST])</f>
        <v>30000</v>
      </c>
      <c r="F243" t="str">
        <f>_xlfn.XLOOKUP(FME_Ranking1[[#This Row],[FME ID]],FME_Input[FME_ID],FME_Input[EMER_NEED])</f>
        <v>No</v>
      </c>
      <c r="G243">
        <f>IF(FME_Ranking!F243="Yes",100,0)</f>
        <v>0</v>
      </c>
      <c r="H243">
        <f>FME_Ranking1[[#This Row],[Emergency Need Score (Normalized, Unweighted)]]*$F$3</f>
        <v>0</v>
      </c>
      <c r="I243" s="246">
        <f>_xlfn.XLOOKUP(FME_Ranking1[[#This Row],[FME ID]],FME_Input[FME_ID],FME_Input[STRUCT_100])</f>
        <v>1883</v>
      </c>
      <c r="J243" s="178">
        <f>(FME_Ranking1[[#This Row],[Structures 100 Raw]]/I$2)*100</f>
        <v>1.0083322623484556</v>
      </c>
      <c r="K243" s="178">
        <f>FME_Ranking1[[#This Row],[Structures 100  Score (Normalized, Unweighted)]]*$I$3</f>
        <v>0.15124983935226835</v>
      </c>
      <c r="L243" s="246">
        <f>_xlfn.XLOOKUP(FME_Ranking1[[#This Row],[FME ID]],FME_Input[FME_ID],FME_Input[RES_STRUCT100])</f>
        <v>1509</v>
      </c>
      <c r="M243" s="230">
        <f>(FME_Ranking1[[#This Row],[Res Structures Raw]]/L$2)*100</f>
        <v>1.0688331373687865</v>
      </c>
      <c r="N243" s="180">
        <f>FME_Ranking1[[#This Row],[Res Structures Score (Normalized, Unweighted)]]*$L$3</f>
        <v>0.10688331373687865</v>
      </c>
      <c r="O243" s="244">
        <f>_xlfn.XLOOKUP(FME_Ranking1[[#This Row],[FME ID]],FME_Input[FME_ID],FME_Input[POP100])</f>
        <v>9371</v>
      </c>
      <c r="P243" s="178">
        <f>(FME_Ranking1[[#This Row],[Pop Raw]]/$O$2)*100</f>
        <v>0.95935904864670085</v>
      </c>
      <c r="Q243" s="178">
        <f>FME_Ranking1[[#This Row],[Pop Score (Normalized, Unweighted)]]*$O$3</f>
        <v>0.14390385729700511</v>
      </c>
      <c r="R243" s="137">
        <f>_xlfn.XLOOKUP(FME_Ranking1[[#This Row],[FME ID]],FME_Input[FME_ID],FME_Input[CRITFAC100])</f>
        <v>64</v>
      </c>
      <c r="S243" s="230">
        <f>(FME_Ranking1[[#This Row],[Critical Facilities Raw]]/$R$2)*100</f>
        <v>2.7444253859348198</v>
      </c>
      <c r="T243" s="180">
        <f>FME_Ranking1[[#This Row],[Critical Facilities Score (Normalized, Unweighted)]]*$R$3</f>
        <v>0.548885077186964</v>
      </c>
      <c r="U243">
        <f>_xlfn.XLOOKUP(FME_Ranking1[[#This Row],[FME ID]],FME_Input[FME_ID],FME_Input[LWC])</f>
        <v>1</v>
      </c>
      <c r="V243" s="178">
        <f>(FME_Ranking1[[#This Row],[LWC Raw]]/$U$2)*100</f>
        <v>5.7570523891767422E-2</v>
      </c>
      <c r="W243" s="178">
        <f>FME_Ranking1[[#This Row],[LWC Score (Normalized, Unweighted)]]*$U$3</f>
        <v>1.1514104778353485E-2</v>
      </c>
      <c r="X243" s="246">
        <f>_xlfn.XLOOKUP(FME_Ranking1[[#This Row],[FME ID]],FME_Input[FME_ID],FME_Input[ROADCLS])</f>
        <v>1</v>
      </c>
      <c r="Y243" s="230">
        <f>(FME_Ranking1[[#This Row],[Closures Raw]]/$X$2)*100</f>
        <v>1.0514141520344864E-2</v>
      </c>
      <c r="Z243" s="180">
        <f>FME_Ranking1[[#This Row],[Closures Score (Normalized, Unweighted)]]*$X$3</f>
        <v>5.2570707601724321E-4</v>
      </c>
      <c r="AA243" s="253">
        <f>_xlfn.XLOOKUP(FME_Ranking1[[#This Row],[FME ID]],FME_Input[FME_ID],FME_Input[ROAD_MILES100])</f>
        <v>32.824111938476563</v>
      </c>
      <c r="AB243" s="178">
        <f>(FME_Ranking1[[#This Row],[Miles Raw]]/$AA$2)*100</f>
        <v>0.43157819918235873</v>
      </c>
      <c r="AC243" s="178">
        <f>FME_Ranking1[[#This Row],[Miles Score (Normalized, Unweighted)]]*$AA$3</f>
        <v>4.3157819918235876E-2</v>
      </c>
      <c r="AD243" s="255">
        <f>_xlfn.XLOOKUP(FME_Ranking1[[#This Row],[FME ID]],FME_Input[FME_ID],FME_Input[FARMACRE100])</f>
        <v>73.12799072265625</v>
      </c>
      <c r="AE243" s="230">
        <f>(FME_Ranking1[[#This Row],[Ag Land Raw]]/$AD$2)*100</f>
        <v>3.0154709796820721E-3</v>
      </c>
      <c r="AF243" s="231">
        <f>FME_Ranking1[[#This Row],[Ag Land Score (Normalized, Unweighted)]]*$AD$3</f>
        <v>1.5077354898410361E-4</v>
      </c>
      <c r="AG24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1.0062704928947068</v>
      </c>
      <c r="AH243" s="406">
        <f t="shared" si="3"/>
        <v>277</v>
      </c>
      <c r="AI24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1.0062704928947068</v>
      </c>
      <c r="AJ243" s="257">
        <f>FME_Ranking1[[#This Row],[Addition check]]-FME_Ranking1[[#This Row],[Weighted Score Based on Normalized Reported Factors]]</f>
        <v>0</v>
      </c>
      <c r="AK243" s="178">
        <f>_xlfn.RANK.EQ(AI243,$AI$6:$AI$2341,0)+COUNTIF($AI$6:AI243,AI243)-1</f>
        <v>279</v>
      </c>
    </row>
    <row r="244" spans="1:37" ht="12" customHeight="1" x14ac:dyDescent="0.25">
      <c r="A244" t="s">
        <v>10001</v>
      </c>
      <c r="B244">
        <f>_xlfn.XLOOKUP(FME_Ranking1[[#This Row],[FME ID]],FME_Input[FME_ID],FME_Input[RFPG_NUM])</f>
        <v>13</v>
      </c>
      <c r="C244" t="str">
        <f>_xlfn.XLOOKUP(FME_Ranking1[[#This Row],[FME ID]],FME_Input[FME_ID],FME_Input[FME_NAME])</f>
        <v>Atascosa McMullen Hazard Mitigation Plan - Atascosa County Action #9</v>
      </c>
      <c r="D244" t="str">
        <f>_xlfn.XLOOKUP(FME_Ranking1[[#This Row],[FME ID]],FME_Input[FME_ID],FME_Input[DESCR])</f>
        <v>Upgrade existing floodplain maps. Add new Atlas 14 rainfall frequency data.</v>
      </c>
      <c r="E244" s="256">
        <f>_xlfn.XLOOKUP(FME_Ranking1[[#This Row],[FME ID]],FME_Input[FME_ID],FME_Input[FME_COST])</f>
        <v>250000</v>
      </c>
      <c r="F244" t="str">
        <f>_xlfn.XLOOKUP(FME_Ranking1[[#This Row],[FME ID]],FME_Input[FME_ID],FME_Input[EMER_NEED])</f>
        <v>Yes</v>
      </c>
      <c r="G244">
        <f>IF(FME_Ranking!F244="Yes",100,0)</f>
        <v>100</v>
      </c>
      <c r="H244">
        <f>FME_Ranking1[[#This Row],[Emergency Need Score (Normalized, Unweighted)]]*$F$3</f>
        <v>0</v>
      </c>
      <c r="I244" s="246">
        <f>_xlfn.XLOOKUP(FME_Ranking1[[#This Row],[FME ID]],FME_Input[FME_ID],FME_Input[STRUCT_100])</f>
        <v>1947</v>
      </c>
      <c r="J244" s="178">
        <f>(FME_Ranking1[[#This Row],[Structures 100 Raw]]/I$2)*100</f>
        <v>1.0426037784346485</v>
      </c>
      <c r="K244" s="178">
        <f>FME_Ranking1[[#This Row],[Structures 100  Score (Normalized, Unweighted)]]*$I$3</f>
        <v>0.15639056676519728</v>
      </c>
      <c r="L244" s="246">
        <f>_xlfn.XLOOKUP(FME_Ranking1[[#This Row],[FME ID]],FME_Input[FME_ID],FME_Input[RES_STRUCT100])</f>
        <v>1498</v>
      </c>
      <c r="M244" s="230">
        <f>(FME_Ranking1[[#This Row],[Res Structures Raw]]/L$2)*100</f>
        <v>1.0610417758637787</v>
      </c>
      <c r="N244" s="180">
        <f>FME_Ranking1[[#This Row],[Res Structures Score (Normalized, Unweighted)]]*$L$3</f>
        <v>0.10610417758637787</v>
      </c>
      <c r="O244" s="244">
        <f>_xlfn.XLOOKUP(FME_Ranking1[[#This Row],[FME ID]],FME_Input[FME_ID],FME_Input[POP100])</f>
        <v>3669</v>
      </c>
      <c r="P244" s="178">
        <f>(FME_Ranking1[[#This Row],[Pop Raw]]/$O$2)*100</f>
        <v>0.37561501968677252</v>
      </c>
      <c r="Q244" s="178">
        <f>FME_Ranking1[[#This Row],[Pop Score (Normalized, Unweighted)]]*$O$3</f>
        <v>5.6342252953015877E-2</v>
      </c>
      <c r="R244" s="137">
        <f>_xlfn.XLOOKUP(FME_Ranking1[[#This Row],[FME ID]],FME_Input[FME_ID],FME_Input[CRITFAC100])</f>
        <v>1</v>
      </c>
      <c r="S244" s="230">
        <f>(FME_Ranking1[[#This Row],[Critical Facilities Raw]]/$R$2)*100</f>
        <v>4.2881646655231559E-2</v>
      </c>
      <c r="T244" s="180">
        <f>FME_Ranking1[[#This Row],[Critical Facilities Score (Normalized, Unweighted)]]*$R$3</f>
        <v>8.5763293310463125E-3</v>
      </c>
      <c r="U244">
        <f>_xlfn.XLOOKUP(FME_Ranking1[[#This Row],[FME ID]],FME_Input[FME_ID],FME_Input[LWC])</f>
        <v>28</v>
      </c>
      <c r="V244" s="178">
        <f>(FME_Ranking1[[#This Row],[LWC Raw]]/$U$2)*100</f>
        <v>1.6119746689694874</v>
      </c>
      <c r="W244" s="178">
        <f>FME_Ranking1[[#This Row],[LWC Score (Normalized, Unweighted)]]*$U$3</f>
        <v>0.3223949337938975</v>
      </c>
      <c r="X244" s="246">
        <f>_xlfn.XLOOKUP(FME_Ranking1[[#This Row],[FME ID]],FME_Input[FME_ID],FME_Input[ROADCLS])</f>
        <v>570</v>
      </c>
      <c r="Y244" s="230">
        <f>(FME_Ranking1[[#This Row],[Closures Raw]]/$X$2)*100</f>
        <v>5.9930606665965724</v>
      </c>
      <c r="Z244" s="180">
        <f>FME_Ranking1[[#This Row],[Closures Score (Normalized, Unweighted)]]*$X$3</f>
        <v>0.29965303332982862</v>
      </c>
      <c r="AA244" s="253">
        <f>_xlfn.XLOOKUP(FME_Ranking1[[#This Row],[FME ID]],FME_Input[FME_ID],FME_Input[ROAD_MILES100])</f>
        <v>141.21061706542969</v>
      </c>
      <c r="AB244" s="178">
        <f>(FME_Ranking1[[#This Row],[Miles Raw]]/$AA$2)*100</f>
        <v>1.8566663412785178</v>
      </c>
      <c r="AC244" s="178">
        <f>FME_Ranking1[[#This Row],[Miles Score (Normalized, Unweighted)]]*$AA$3</f>
        <v>0.18566663412785178</v>
      </c>
      <c r="AD244" s="255">
        <f>_xlfn.XLOOKUP(FME_Ranking1[[#This Row],[FME ID]],FME_Input[FME_ID],FME_Input[FARMACRE100])</f>
        <v>3068.908447265625</v>
      </c>
      <c r="AE244" s="230">
        <f>(FME_Ranking1[[#This Row],[Ag Land Raw]]/$AD$2)*100</f>
        <v>0.12654804638524761</v>
      </c>
      <c r="AF244" s="231">
        <f>FME_Ranking1[[#This Row],[Ag Land Score (Normalized, Unweighted)]]*$AD$3</f>
        <v>6.3274023192623806E-3</v>
      </c>
      <c r="AG24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1.1414553302064776</v>
      </c>
      <c r="AH244" s="406">
        <f t="shared" si="3"/>
        <v>244</v>
      </c>
      <c r="AI24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1.1414553302064776</v>
      </c>
      <c r="AJ244" s="257">
        <f>FME_Ranking1[[#This Row],[Addition check]]-FME_Ranking1[[#This Row],[Weighted Score Based on Normalized Reported Factors]]</f>
        <v>0</v>
      </c>
      <c r="AK244" s="178">
        <f>_xlfn.RANK.EQ(AI244,$AI$6:$AI$2341,0)+COUNTIF($AI$6:AI244,AI244)-1</f>
        <v>244</v>
      </c>
    </row>
    <row r="245" spans="1:37" ht="12" customHeight="1" x14ac:dyDescent="0.25">
      <c r="A245" t="s">
        <v>10009</v>
      </c>
      <c r="B245">
        <f>_xlfn.XLOOKUP(FME_Ranking1[[#This Row],[FME ID]],FME_Input[FME_ID],FME_Input[RFPG_NUM])</f>
        <v>13</v>
      </c>
      <c r="C245" t="str">
        <f>_xlfn.XLOOKUP(FME_Ranking1[[#This Row],[FME ID]],FME_Input[FME_ID],FME_Input[FME_NAME])</f>
        <v>Atascosa McMullen Hazard Mitigation Plan - Atascosa County Action #10</v>
      </c>
      <c r="D245" t="str">
        <f>_xlfn.XLOOKUP(FME_Ranking1[[#This Row],[FME ID]],FME_Input[FME_ID],FME_Input[DESCR])</f>
        <v>Upgrade existing floodplain maps. Add new Atlas 14 rainfall frequency data.</v>
      </c>
      <c r="E245" s="256">
        <f>_xlfn.XLOOKUP(FME_Ranking1[[#This Row],[FME ID]],FME_Input[FME_ID],FME_Input[FME_COST])</f>
        <v>850000</v>
      </c>
      <c r="F245" t="str">
        <f>_xlfn.XLOOKUP(FME_Ranking1[[#This Row],[FME ID]],FME_Input[FME_ID],FME_Input[EMER_NEED])</f>
        <v>Yes</v>
      </c>
      <c r="G245">
        <f>IF(FME_Ranking!F245="Yes",100,0)</f>
        <v>100</v>
      </c>
      <c r="H245">
        <f>FME_Ranking1[[#This Row],[Emergency Need Score (Normalized, Unweighted)]]*$F$3</f>
        <v>0</v>
      </c>
      <c r="I245" s="246">
        <f>_xlfn.XLOOKUP(FME_Ranking1[[#This Row],[FME ID]],FME_Input[FME_ID],FME_Input[STRUCT_100])</f>
        <v>1947</v>
      </c>
      <c r="J245" s="178">
        <f>(FME_Ranking1[[#This Row],[Structures 100 Raw]]/I$2)*100</f>
        <v>1.0426037784346485</v>
      </c>
      <c r="K245" s="178">
        <f>FME_Ranking1[[#This Row],[Structures 100  Score (Normalized, Unweighted)]]*$I$3</f>
        <v>0.15639056676519728</v>
      </c>
      <c r="L245" s="246">
        <f>_xlfn.XLOOKUP(FME_Ranking1[[#This Row],[FME ID]],FME_Input[FME_ID],FME_Input[RES_STRUCT100])</f>
        <v>1498</v>
      </c>
      <c r="M245" s="230">
        <f>(FME_Ranking1[[#This Row],[Res Structures Raw]]/L$2)*100</f>
        <v>1.0610417758637787</v>
      </c>
      <c r="N245" s="180">
        <f>FME_Ranking1[[#This Row],[Res Structures Score (Normalized, Unweighted)]]*$L$3</f>
        <v>0.10610417758637787</v>
      </c>
      <c r="O245" s="244">
        <f>_xlfn.XLOOKUP(FME_Ranking1[[#This Row],[FME ID]],FME_Input[FME_ID],FME_Input[POP100])</f>
        <v>3669</v>
      </c>
      <c r="P245" s="178">
        <f>(FME_Ranking1[[#This Row],[Pop Raw]]/$O$2)*100</f>
        <v>0.37561501968677252</v>
      </c>
      <c r="Q245" s="178">
        <f>FME_Ranking1[[#This Row],[Pop Score (Normalized, Unweighted)]]*$O$3</f>
        <v>5.6342252953015877E-2</v>
      </c>
      <c r="R245" s="137">
        <f>_xlfn.XLOOKUP(FME_Ranking1[[#This Row],[FME ID]],FME_Input[FME_ID],FME_Input[CRITFAC100])</f>
        <v>1</v>
      </c>
      <c r="S245" s="230">
        <f>(FME_Ranking1[[#This Row],[Critical Facilities Raw]]/$R$2)*100</f>
        <v>4.2881646655231559E-2</v>
      </c>
      <c r="T245" s="180">
        <f>FME_Ranking1[[#This Row],[Critical Facilities Score (Normalized, Unweighted)]]*$R$3</f>
        <v>8.5763293310463125E-3</v>
      </c>
      <c r="U245">
        <f>_xlfn.XLOOKUP(FME_Ranking1[[#This Row],[FME ID]],FME_Input[FME_ID],FME_Input[LWC])</f>
        <v>28</v>
      </c>
      <c r="V245" s="178">
        <f>(FME_Ranking1[[#This Row],[LWC Raw]]/$U$2)*100</f>
        <v>1.6119746689694874</v>
      </c>
      <c r="W245" s="178">
        <f>FME_Ranking1[[#This Row],[LWC Score (Normalized, Unweighted)]]*$U$3</f>
        <v>0.3223949337938975</v>
      </c>
      <c r="X245" s="246">
        <f>_xlfn.XLOOKUP(FME_Ranking1[[#This Row],[FME ID]],FME_Input[FME_ID],FME_Input[ROADCLS])</f>
        <v>570</v>
      </c>
      <c r="Y245" s="230">
        <f>(FME_Ranking1[[#This Row],[Closures Raw]]/$X$2)*100</f>
        <v>5.9930606665965724</v>
      </c>
      <c r="Z245" s="180">
        <f>FME_Ranking1[[#This Row],[Closures Score (Normalized, Unweighted)]]*$X$3</f>
        <v>0.29965303332982862</v>
      </c>
      <c r="AA245" s="253">
        <f>_xlfn.XLOOKUP(FME_Ranking1[[#This Row],[FME ID]],FME_Input[FME_ID],FME_Input[ROAD_MILES100])</f>
        <v>141.21061706542969</v>
      </c>
      <c r="AB245" s="178">
        <f>(FME_Ranking1[[#This Row],[Miles Raw]]/$AA$2)*100</f>
        <v>1.8566663412785178</v>
      </c>
      <c r="AC245" s="178">
        <f>FME_Ranking1[[#This Row],[Miles Score (Normalized, Unweighted)]]*$AA$3</f>
        <v>0.18566663412785178</v>
      </c>
      <c r="AD245" s="255">
        <f>_xlfn.XLOOKUP(FME_Ranking1[[#This Row],[FME ID]],FME_Input[FME_ID],FME_Input[FARMACRE100])</f>
        <v>3068.908447265625</v>
      </c>
      <c r="AE245" s="230">
        <f>(FME_Ranking1[[#This Row],[Ag Land Raw]]/$AD$2)*100</f>
        <v>0.12654804638524761</v>
      </c>
      <c r="AF245" s="231">
        <f>FME_Ranking1[[#This Row],[Ag Land Score (Normalized, Unweighted)]]*$AD$3</f>
        <v>6.3274023192623806E-3</v>
      </c>
      <c r="AG24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1.1414553302064776</v>
      </c>
      <c r="AH245" s="406">
        <f t="shared" si="3"/>
        <v>244</v>
      </c>
      <c r="AI24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1.1414553302064776</v>
      </c>
      <c r="AJ245" s="257">
        <f>FME_Ranking1[[#This Row],[Addition check]]-FME_Ranking1[[#This Row],[Weighted Score Based on Normalized Reported Factors]]</f>
        <v>0</v>
      </c>
      <c r="AK245" s="178">
        <f>_xlfn.RANK.EQ(AI245,$AI$6:$AI$2341,0)+COUNTIF($AI$6:AI245,AI245)-1</f>
        <v>245</v>
      </c>
    </row>
    <row r="246" spans="1:37" ht="12" customHeight="1" x14ac:dyDescent="0.25">
      <c r="A246" t="s">
        <v>867</v>
      </c>
      <c r="B246">
        <f>_xlfn.XLOOKUP(FME_Ranking1[[#This Row],[FME ID]],FME_Input[FME_ID],FME_Input[RFPG_NUM])</f>
        <v>6</v>
      </c>
      <c r="C246" t="str">
        <f>_xlfn.XLOOKUP(FME_Ranking1[[#This Row],[FME ID]],FME_Input[FME_ID],FME_Input[FME_NAME])</f>
        <v>City of Alvin Flood Gauges</v>
      </c>
      <c r="D246" t="str">
        <f>_xlfn.XLOOKUP(FME_Ranking1[[#This Row],[FME ID]],FME_Input[FME_ID],FME_Input[DESCR])</f>
        <v>Study to identify areas where best to purchase additional flood gauges to be placed at bayous and key high water areas within City of Alvin.</v>
      </c>
      <c r="E246" s="256">
        <f>_xlfn.XLOOKUP(FME_Ranking1[[#This Row],[FME ID]],FME_Input[FME_ID],FME_Input[FME_COST])</f>
        <v>50000</v>
      </c>
      <c r="F246" t="str">
        <f>_xlfn.XLOOKUP(FME_Ranking1[[#This Row],[FME ID]],FME_Input[FME_ID],FME_Input[EMER_NEED])</f>
        <v>No</v>
      </c>
      <c r="G246">
        <f>IF(FME_Ranking!F246="Yes",100,0)</f>
        <v>0</v>
      </c>
      <c r="H246">
        <f>FME_Ranking1[[#This Row],[Emergency Need Score (Normalized, Unweighted)]]*$F$3</f>
        <v>0</v>
      </c>
      <c r="I246" s="246">
        <f>_xlfn.XLOOKUP(FME_Ranking1[[#This Row],[FME ID]],FME_Input[FME_ID],FME_Input[STRUCT_100])</f>
        <v>3445</v>
      </c>
      <c r="J246" s="178">
        <f>(FME_Ranking1[[#This Row],[Structures 100 Raw]]/I$2)*100</f>
        <v>1.8447714518271003</v>
      </c>
      <c r="K246" s="178">
        <f>FME_Ranking1[[#This Row],[Structures 100  Score (Normalized, Unweighted)]]*$I$3</f>
        <v>0.27671571777406506</v>
      </c>
      <c r="L246" s="246">
        <f>_xlfn.XLOOKUP(FME_Ranking1[[#This Row],[FME ID]],FME_Input[FME_ID],FME_Input[RES_STRUCT100])</f>
        <v>2605</v>
      </c>
      <c r="M246" s="230">
        <f>(FME_Ranking1[[#This Row],[Res Structures Raw]]/L$2)*100</f>
        <v>1.8451360655041011</v>
      </c>
      <c r="N246" s="180">
        <f>FME_Ranking1[[#This Row],[Res Structures Score (Normalized, Unweighted)]]*$L$3</f>
        <v>0.18451360655041013</v>
      </c>
      <c r="O246" s="244">
        <f>_xlfn.XLOOKUP(FME_Ranking1[[#This Row],[FME ID]],FME_Input[FME_ID],FME_Input[POP100])</f>
        <v>21569</v>
      </c>
      <c r="P246" s="178">
        <f>(FME_Ranking1[[#This Row],[Pop Raw]]/$O$2)*100</f>
        <v>2.2081331042856354</v>
      </c>
      <c r="Q246" s="178">
        <f>FME_Ranking1[[#This Row],[Pop Score (Normalized, Unweighted)]]*$O$3</f>
        <v>0.33121996564284528</v>
      </c>
      <c r="R246" s="137">
        <f>_xlfn.XLOOKUP(FME_Ranking1[[#This Row],[FME ID]],FME_Input[FME_ID],FME_Input[CRITFAC100])</f>
        <v>18</v>
      </c>
      <c r="S246" s="230">
        <f>(FME_Ranking1[[#This Row],[Critical Facilities Raw]]/$R$2)*100</f>
        <v>0.77186963979416812</v>
      </c>
      <c r="T246" s="180">
        <f>FME_Ranking1[[#This Row],[Critical Facilities Score (Normalized, Unweighted)]]*$R$3</f>
        <v>0.15437392795883365</v>
      </c>
      <c r="U246">
        <f>_xlfn.XLOOKUP(FME_Ranking1[[#This Row],[FME ID]],FME_Input[FME_ID],FME_Input[LWC])</f>
        <v>0</v>
      </c>
      <c r="V246" s="178">
        <f>(FME_Ranking1[[#This Row],[LWC Raw]]/$U$2)*100</f>
        <v>0</v>
      </c>
      <c r="W246" s="178">
        <f>FME_Ranking1[[#This Row],[LWC Score (Normalized, Unweighted)]]*$U$3</f>
        <v>0</v>
      </c>
      <c r="X246" s="246">
        <f>_xlfn.XLOOKUP(FME_Ranking1[[#This Row],[FME ID]],FME_Input[FME_ID],FME_Input[ROADCLS])</f>
        <v>0</v>
      </c>
      <c r="Y246" s="230">
        <f>(FME_Ranking1[[#This Row],[Closures Raw]]/$X$2)*100</f>
        <v>0</v>
      </c>
      <c r="Z246" s="180">
        <f>FME_Ranking1[[#This Row],[Closures Score (Normalized, Unweighted)]]*$X$3</f>
        <v>0</v>
      </c>
      <c r="AA246" s="253">
        <f>_xlfn.XLOOKUP(FME_Ranking1[[#This Row],[FME ID]],FME_Input[FME_ID],FME_Input[ROAD_MILES100])</f>
        <v>56.80682373046875</v>
      </c>
      <c r="AB246" s="178">
        <f>(FME_Ranking1[[#This Row],[Miles Raw]]/$AA$2)*100</f>
        <v>0.74690784423407175</v>
      </c>
      <c r="AC246" s="178">
        <f>FME_Ranking1[[#This Row],[Miles Score (Normalized, Unweighted)]]*$AA$3</f>
        <v>7.469078442340718E-2</v>
      </c>
      <c r="AD246" s="255">
        <f>_xlfn.XLOOKUP(FME_Ranking1[[#This Row],[FME ID]],FME_Input[FME_ID],FME_Input[FARMACRE100])</f>
        <v>262.29559326171881</v>
      </c>
      <c r="AE246" s="230">
        <f>(FME_Ranking1[[#This Row],[Ag Land Raw]]/$AD$2)*100</f>
        <v>1.0815896098922322E-2</v>
      </c>
      <c r="AF246" s="231">
        <f>FME_Ranking1[[#This Row],[Ag Land Score (Normalized, Unweighted)]]*$AD$3</f>
        <v>5.407948049461161E-4</v>
      </c>
      <c r="AG24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1.0220547971545073</v>
      </c>
      <c r="AH246" s="406">
        <f t="shared" si="3"/>
        <v>271</v>
      </c>
      <c r="AI24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1.0220547971545073</v>
      </c>
      <c r="AJ246" s="257">
        <f>FME_Ranking1[[#This Row],[Addition check]]-FME_Ranking1[[#This Row],[Weighted Score Based on Normalized Reported Factors]]</f>
        <v>0</v>
      </c>
      <c r="AK246" s="178">
        <f>_xlfn.RANK.EQ(AI246,$AI$6:$AI$2341,0)+COUNTIF($AI$6:AI246,AI246)-1</f>
        <v>271</v>
      </c>
    </row>
    <row r="247" spans="1:37" ht="12" customHeight="1" x14ac:dyDescent="0.25">
      <c r="A247" t="s">
        <v>880</v>
      </c>
      <c r="B247">
        <f>_xlfn.XLOOKUP(FME_Ranking1[[#This Row],[FME ID]],FME_Input[FME_ID],FME_Input[RFPG_NUM])</f>
        <v>6</v>
      </c>
      <c r="C247" t="str">
        <f>_xlfn.XLOOKUP(FME_Ranking1[[#This Row],[FME ID]],FME_Input[FME_ID],FME_Input[FME_NAME])</f>
        <v xml:space="preserve">City of Alvin Open Space Preservation </v>
      </c>
      <c r="D247" t="str">
        <f>_xlfn.XLOOKUP(FME_Ranking1[[#This Row],[FME ID]],FME_Input[FME_ID],FME_Input[DESCR])</f>
        <v>Study for open space preservation within adjacent development, dedication of conservation easements or fee simple acquisition of land along Mustang Bayou.</v>
      </c>
      <c r="E247" s="256">
        <f>_xlfn.XLOOKUP(FME_Ranking1[[#This Row],[FME ID]],FME_Input[FME_ID],FME_Input[FME_COST])</f>
        <v>500000</v>
      </c>
      <c r="F247" t="str">
        <f>_xlfn.XLOOKUP(FME_Ranking1[[#This Row],[FME ID]],FME_Input[FME_ID],FME_Input[EMER_NEED])</f>
        <v>No</v>
      </c>
      <c r="G247">
        <f>IF(FME_Ranking!F247="Yes",100,0)</f>
        <v>0</v>
      </c>
      <c r="H247">
        <f>FME_Ranking1[[#This Row],[Emergency Need Score (Normalized, Unweighted)]]*$F$3</f>
        <v>0</v>
      </c>
      <c r="I247" s="246">
        <f>_xlfn.XLOOKUP(FME_Ranking1[[#This Row],[FME ID]],FME_Input[FME_ID],FME_Input[STRUCT_100])</f>
        <v>3445</v>
      </c>
      <c r="J247" s="178">
        <f>(FME_Ranking1[[#This Row],[Structures 100 Raw]]/I$2)*100</f>
        <v>1.8447714518271003</v>
      </c>
      <c r="K247" s="178">
        <f>FME_Ranking1[[#This Row],[Structures 100  Score (Normalized, Unweighted)]]*$I$3</f>
        <v>0.27671571777406506</v>
      </c>
      <c r="L247" s="246">
        <f>_xlfn.XLOOKUP(FME_Ranking1[[#This Row],[FME ID]],FME_Input[FME_ID],FME_Input[RES_STRUCT100])</f>
        <v>2605</v>
      </c>
      <c r="M247" s="230">
        <f>(FME_Ranking1[[#This Row],[Res Structures Raw]]/L$2)*100</f>
        <v>1.8451360655041011</v>
      </c>
      <c r="N247" s="180">
        <f>FME_Ranking1[[#This Row],[Res Structures Score (Normalized, Unweighted)]]*$L$3</f>
        <v>0.18451360655041013</v>
      </c>
      <c r="O247" s="244">
        <f>_xlfn.XLOOKUP(FME_Ranking1[[#This Row],[FME ID]],FME_Input[FME_ID],FME_Input[POP100])</f>
        <v>21569</v>
      </c>
      <c r="P247" s="178">
        <f>(FME_Ranking1[[#This Row],[Pop Raw]]/$O$2)*100</f>
        <v>2.2081331042856354</v>
      </c>
      <c r="Q247" s="178">
        <f>FME_Ranking1[[#This Row],[Pop Score (Normalized, Unweighted)]]*$O$3</f>
        <v>0.33121996564284528</v>
      </c>
      <c r="R247" s="137">
        <f>_xlfn.XLOOKUP(FME_Ranking1[[#This Row],[FME ID]],FME_Input[FME_ID],FME_Input[CRITFAC100])</f>
        <v>18</v>
      </c>
      <c r="S247" s="230">
        <f>(FME_Ranking1[[#This Row],[Critical Facilities Raw]]/$R$2)*100</f>
        <v>0.77186963979416812</v>
      </c>
      <c r="T247" s="180">
        <f>FME_Ranking1[[#This Row],[Critical Facilities Score (Normalized, Unweighted)]]*$R$3</f>
        <v>0.15437392795883365</v>
      </c>
      <c r="U247">
        <f>_xlfn.XLOOKUP(FME_Ranking1[[#This Row],[FME ID]],FME_Input[FME_ID],FME_Input[LWC])</f>
        <v>0</v>
      </c>
      <c r="V247" s="178">
        <f>(FME_Ranking1[[#This Row],[LWC Raw]]/$U$2)*100</f>
        <v>0</v>
      </c>
      <c r="W247" s="178">
        <f>FME_Ranking1[[#This Row],[LWC Score (Normalized, Unweighted)]]*$U$3</f>
        <v>0</v>
      </c>
      <c r="X247" s="246">
        <f>_xlfn.XLOOKUP(FME_Ranking1[[#This Row],[FME ID]],FME_Input[FME_ID],FME_Input[ROADCLS])</f>
        <v>0</v>
      </c>
      <c r="Y247" s="230">
        <f>(FME_Ranking1[[#This Row],[Closures Raw]]/$X$2)*100</f>
        <v>0</v>
      </c>
      <c r="Z247" s="180">
        <f>FME_Ranking1[[#This Row],[Closures Score (Normalized, Unweighted)]]*$X$3</f>
        <v>0</v>
      </c>
      <c r="AA247" s="253">
        <f>_xlfn.XLOOKUP(FME_Ranking1[[#This Row],[FME ID]],FME_Input[FME_ID],FME_Input[ROAD_MILES100])</f>
        <v>56.80682373046875</v>
      </c>
      <c r="AB247" s="178">
        <f>(FME_Ranking1[[#This Row],[Miles Raw]]/$AA$2)*100</f>
        <v>0.74690784423407175</v>
      </c>
      <c r="AC247" s="178">
        <f>FME_Ranking1[[#This Row],[Miles Score (Normalized, Unweighted)]]*$AA$3</f>
        <v>7.469078442340718E-2</v>
      </c>
      <c r="AD247" s="255">
        <f>_xlfn.XLOOKUP(FME_Ranking1[[#This Row],[FME ID]],FME_Input[FME_ID],FME_Input[FARMACRE100])</f>
        <v>262.29559326171881</v>
      </c>
      <c r="AE247" s="230">
        <f>(FME_Ranking1[[#This Row],[Ag Land Raw]]/$AD$2)*100</f>
        <v>1.0815896098922322E-2</v>
      </c>
      <c r="AF247" s="231">
        <f>FME_Ranking1[[#This Row],[Ag Land Score (Normalized, Unweighted)]]*$AD$3</f>
        <v>5.407948049461161E-4</v>
      </c>
      <c r="AG24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1.0220547971545073</v>
      </c>
      <c r="AH247" s="406">
        <f t="shared" si="3"/>
        <v>271</v>
      </c>
      <c r="AI24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1.0220547971545073</v>
      </c>
      <c r="AJ247" s="257">
        <f>FME_Ranking1[[#This Row],[Addition check]]-FME_Ranking1[[#This Row],[Weighted Score Based on Normalized Reported Factors]]</f>
        <v>0</v>
      </c>
      <c r="AK247" s="178">
        <f>_xlfn.RANK.EQ(AI247,$AI$6:$AI$2341,0)+COUNTIF($AI$6:AI247,AI247)-1</f>
        <v>272</v>
      </c>
    </row>
    <row r="248" spans="1:37" ht="12" customHeight="1" x14ac:dyDescent="0.25">
      <c r="A248" t="s">
        <v>876</v>
      </c>
      <c r="B248">
        <f>_xlfn.XLOOKUP(FME_Ranking1[[#This Row],[FME ID]],FME_Input[FME_ID],FME_Input[RFPG_NUM])</f>
        <v>6</v>
      </c>
      <c r="C248" t="str">
        <f>_xlfn.XLOOKUP(FME_Ranking1[[#This Row],[FME ID]],FME_Input[FME_ID],FME_Input[FME_NAME])</f>
        <v xml:space="preserve">City of Alvin Master Drainage Plan </v>
      </c>
      <c r="D248" t="str">
        <f>_xlfn.XLOOKUP(FME_Ranking1[[#This Row],[FME ID]],FME_Input[FME_ID],FME_Input[DESCR])</f>
        <v>Comprehensive review of current drainage, studies and recommendations for future projects and studies to create a Master Drainage Plan for the City of Alvin.</v>
      </c>
      <c r="E248" s="256">
        <f>_xlfn.XLOOKUP(FME_Ranking1[[#This Row],[FME ID]],FME_Input[FME_ID],FME_Input[FME_COST])</f>
        <v>100000</v>
      </c>
      <c r="F248" t="str">
        <f>_xlfn.XLOOKUP(FME_Ranking1[[#This Row],[FME ID]],FME_Input[FME_ID],FME_Input[EMER_NEED])</f>
        <v>No</v>
      </c>
      <c r="G248">
        <f>IF(FME_Ranking!F248="Yes",100,0)</f>
        <v>0</v>
      </c>
      <c r="H248">
        <f>FME_Ranking1[[#This Row],[Emergency Need Score (Normalized, Unweighted)]]*$F$3</f>
        <v>0</v>
      </c>
      <c r="I248" s="246">
        <f>_xlfn.XLOOKUP(FME_Ranking1[[#This Row],[FME ID]],FME_Input[FME_ID],FME_Input[STRUCT_100])</f>
        <v>3445</v>
      </c>
      <c r="J248" s="178">
        <f>(FME_Ranking1[[#This Row],[Structures 100 Raw]]/I$2)*100</f>
        <v>1.8447714518271003</v>
      </c>
      <c r="K248" s="178">
        <f>FME_Ranking1[[#This Row],[Structures 100  Score (Normalized, Unweighted)]]*$I$3</f>
        <v>0.27671571777406506</v>
      </c>
      <c r="L248" s="246">
        <f>_xlfn.XLOOKUP(FME_Ranking1[[#This Row],[FME ID]],FME_Input[FME_ID],FME_Input[RES_STRUCT100])</f>
        <v>2605</v>
      </c>
      <c r="M248" s="230">
        <f>(FME_Ranking1[[#This Row],[Res Structures Raw]]/L$2)*100</f>
        <v>1.8451360655041011</v>
      </c>
      <c r="N248" s="180">
        <f>FME_Ranking1[[#This Row],[Res Structures Score (Normalized, Unweighted)]]*$L$3</f>
        <v>0.18451360655041013</v>
      </c>
      <c r="O248" s="244">
        <f>_xlfn.XLOOKUP(FME_Ranking1[[#This Row],[FME ID]],FME_Input[FME_ID],FME_Input[POP100])</f>
        <v>21569</v>
      </c>
      <c r="P248" s="178">
        <f>(FME_Ranking1[[#This Row],[Pop Raw]]/$O$2)*100</f>
        <v>2.2081331042856354</v>
      </c>
      <c r="Q248" s="178">
        <f>FME_Ranking1[[#This Row],[Pop Score (Normalized, Unweighted)]]*$O$3</f>
        <v>0.33121996564284528</v>
      </c>
      <c r="R248" s="137">
        <f>_xlfn.XLOOKUP(FME_Ranking1[[#This Row],[FME ID]],FME_Input[FME_ID],FME_Input[CRITFAC100])</f>
        <v>18</v>
      </c>
      <c r="S248" s="230">
        <f>(FME_Ranking1[[#This Row],[Critical Facilities Raw]]/$R$2)*100</f>
        <v>0.77186963979416812</v>
      </c>
      <c r="T248" s="180">
        <f>FME_Ranking1[[#This Row],[Critical Facilities Score (Normalized, Unweighted)]]*$R$3</f>
        <v>0.15437392795883365</v>
      </c>
      <c r="U248">
        <f>_xlfn.XLOOKUP(FME_Ranking1[[#This Row],[FME ID]],FME_Input[FME_ID],FME_Input[LWC])</f>
        <v>0</v>
      </c>
      <c r="V248" s="178">
        <f>(FME_Ranking1[[#This Row],[LWC Raw]]/$U$2)*100</f>
        <v>0</v>
      </c>
      <c r="W248" s="178">
        <f>FME_Ranking1[[#This Row],[LWC Score (Normalized, Unweighted)]]*$U$3</f>
        <v>0</v>
      </c>
      <c r="X248" s="246">
        <f>_xlfn.XLOOKUP(FME_Ranking1[[#This Row],[FME ID]],FME_Input[FME_ID],FME_Input[ROADCLS])</f>
        <v>0</v>
      </c>
      <c r="Y248" s="230">
        <f>(FME_Ranking1[[#This Row],[Closures Raw]]/$X$2)*100</f>
        <v>0</v>
      </c>
      <c r="Z248" s="180">
        <f>FME_Ranking1[[#This Row],[Closures Score (Normalized, Unweighted)]]*$X$3</f>
        <v>0</v>
      </c>
      <c r="AA248" s="253">
        <f>_xlfn.XLOOKUP(FME_Ranking1[[#This Row],[FME ID]],FME_Input[FME_ID],FME_Input[ROAD_MILES100])</f>
        <v>56.80682373046875</v>
      </c>
      <c r="AB248" s="178">
        <f>(FME_Ranking1[[#This Row],[Miles Raw]]/$AA$2)*100</f>
        <v>0.74690784423407175</v>
      </c>
      <c r="AC248" s="178">
        <f>FME_Ranking1[[#This Row],[Miles Score (Normalized, Unweighted)]]*$AA$3</f>
        <v>7.469078442340718E-2</v>
      </c>
      <c r="AD248" s="255">
        <f>_xlfn.XLOOKUP(FME_Ranking1[[#This Row],[FME ID]],FME_Input[FME_ID],FME_Input[FARMACRE100])</f>
        <v>262.29559326171881</v>
      </c>
      <c r="AE248" s="230">
        <f>(FME_Ranking1[[#This Row],[Ag Land Raw]]/$AD$2)*100</f>
        <v>1.0815896098922322E-2</v>
      </c>
      <c r="AF248" s="231">
        <f>FME_Ranking1[[#This Row],[Ag Land Score (Normalized, Unweighted)]]*$AD$3</f>
        <v>5.407948049461161E-4</v>
      </c>
      <c r="AG24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1.0220547971545073</v>
      </c>
      <c r="AH248" s="406">
        <f t="shared" si="3"/>
        <v>271</v>
      </c>
      <c r="AI24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1.0220547971545073</v>
      </c>
      <c r="AJ248" s="257">
        <f>FME_Ranking1[[#This Row],[Addition check]]-FME_Ranking1[[#This Row],[Weighted Score Based on Normalized Reported Factors]]</f>
        <v>0</v>
      </c>
      <c r="AK248" s="178">
        <f>_xlfn.RANK.EQ(AI248,$AI$6:$AI$2341,0)+COUNTIF($AI$6:AI248,AI248)-1</f>
        <v>273</v>
      </c>
    </row>
    <row r="249" spans="1:37" ht="12" customHeight="1" x14ac:dyDescent="0.25">
      <c r="A249" t="s">
        <v>954</v>
      </c>
      <c r="B249">
        <f>_xlfn.XLOOKUP(FME_Ranking1[[#This Row],[FME ID]],FME_Input[FME_ID],FME_Input[RFPG_NUM])</f>
        <v>6</v>
      </c>
      <c r="C249" t="str">
        <f>_xlfn.XLOOKUP(FME_Ranking1[[#This Row],[FME ID]],FME_Input[FME_ID],FME_Input[FME_NAME])</f>
        <v xml:space="preserve">City of Alvin Detention Pond Construction - Mustang and Dickinson Bayou </v>
      </c>
      <c r="D249" t="str">
        <f>_xlfn.XLOOKUP(FME_Ranking1[[#This Row],[FME ID]],FME_Input[FME_ID],FME_Input[DESCR])</f>
        <v>Further assessment and design of detention ponds needed along Mustang and Dickinson Bayous to reduce flood risk in the City of Alvin.</v>
      </c>
      <c r="E249" s="256">
        <f>_xlfn.XLOOKUP(FME_Ranking1[[#This Row],[FME ID]],FME_Input[FME_ID],FME_Input[FME_COST])</f>
        <v>200000</v>
      </c>
      <c r="F249" t="str">
        <f>_xlfn.XLOOKUP(FME_Ranking1[[#This Row],[FME ID]],FME_Input[FME_ID],FME_Input[EMER_NEED])</f>
        <v>No</v>
      </c>
      <c r="G249">
        <f>IF(FME_Ranking!F249="Yes",100,0)</f>
        <v>0</v>
      </c>
      <c r="H249">
        <f>FME_Ranking1[[#This Row],[Emergency Need Score (Normalized, Unweighted)]]*$F$3</f>
        <v>0</v>
      </c>
      <c r="I249" s="246">
        <f>_xlfn.XLOOKUP(FME_Ranking1[[#This Row],[FME ID]],FME_Input[FME_ID],FME_Input[STRUCT_100])</f>
        <v>3445</v>
      </c>
      <c r="J249" s="178">
        <f>(FME_Ranking1[[#This Row],[Structures 100 Raw]]/I$2)*100</f>
        <v>1.8447714518271003</v>
      </c>
      <c r="K249" s="178">
        <f>FME_Ranking1[[#This Row],[Structures 100  Score (Normalized, Unweighted)]]*$I$3</f>
        <v>0.27671571777406506</v>
      </c>
      <c r="L249" s="246">
        <f>_xlfn.XLOOKUP(FME_Ranking1[[#This Row],[FME ID]],FME_Input[FME_ID],FME_Input[RES_STRUCT100])</f>
        <v>2605</v>
      </c>
      <c r="M249" s="230">
        <f>(FME_Ranking1[[#This Row],[Res Structures Raw]]/L$2)*100</f>
        <v>1.8451360655041011</v>
      </c>
      <c r="N249" s="180">
        <f>FME_Ranking1[[#This Row],[Res Structures Score (Normalized, Unweighted)]]*$L$3</f>
        <v>0.18451360655041013</v>
      </c>
      <c r="O249" s="244">
        <f>_xlfn.XLOOKUP(FME_Ranking1[[#This Row],[FME ID]],FME_Input[FME_ID],FME_Input[POP100])</f>
        <v>21569</v>
      </c>
      <c r="P249" s="178">
        <f>(FME_Ranking1[[#This Row],[Pop Raw]]/$O$2)*100</f>
        <v>2.2081331042856354</v>
      </c>
      <c r="Q249" s="178">
        <f>FME_Ranking1[[#This Row],[Pop Score (Normalized, Unweighted)]]*$O$3</f>
        <v>0.33121996564284528</v>
      </c>
      <c r="R249" s="137">
        <f>_xlfn.XLOOKUP(FME_Ranking1[[#This Row],[FME ID]],FME_Input[FME_ID],FME_Input[CRITFAC100])</f>
        <v>18</v>
      </c>
      <c r="S249" s="230">
        <f>(FME_Ranking1[[#This Row],[Critical Facilities Raw]]/$R$2)*100</f>
        <v>0.77186963979416812</v>
      </c>
      <c r="T249" s="180">
        <f>FME_Ranking1[[#This Row],[Critical Facilities Score (Normalized, Unweighted)]]*$R$3</f>
        <v>0.15437392795883365</v>
      </c>
      <c r="U249">
        <f>_xlfn.XLOOKUP(FME_Ranking1[[#This Row],[FME ID]],FME_Input[FME_ID],FME_Input[LWC])</f>
        <v>0</v>
      </c>
      <c r="V249" s="178">
        <f>(FME_Ranking1[[#This Row],[LWC Raw]]/$U$2)*100</f>
        <v>0</v>
      </c>
      <c r="W249" s="178">
        <f>FME_Ranking1[[#This Row],[LWC Score (Normalized, Unweighted)]]*$U$3</f>
        <v>0</v>
      </c>
      <c r="X249" s="246">
        <f>_xlfn.XLOOKUP(FME_Ranking1[[#This Row],[FME ID]],FME_Input[FME_ID],FME_Input[ROADCLS])</f>
        <v>0</v>
      </c>
      <c r="Y249" s="230">
        <f>(FME_Ranking1[[#This Row],[Closures Raw]]/$X$2)*100</f>
        <v>0</v>
      </c>
      <c r="Z249" s="180">
        <f>FME_Ranking1[[#This Row],[Closures Score (Normalized, Unweighted)]]*$X$3</f>
        <v>0</v>
      </c>
      <c r="AA249" s="253">
        <f>_xlfn.XLOOKUP(FME_Ranking1[[#This Row],[FME ID]],FME_Input[FME_ID],FME_Input[ROAD_MILES100])</f>
        <v>56.80682373046875</v>
      </c>
      <c r="AB249" s="178">
        <f>(FME_Ranking1[[#This Row],[Miles Raw]]/$AA$2)*100</f>
        <v>0.74690784423407175</v>
      </c>
      <c r="AC249" s="178">
        <f>FME_Ranking1[[#This Row],[Miles Score (Normalized, Unweighted)]]*$AA$3</f>
        <v>7.469078442340718E-2</v>
      </c>
      <c r="AD249" s="255">
        <f>_xlfn.XLOOKUP(FME_Ranking1[[#This Row],[FME ID]],FME_Input[FME_ID],FME_Input[FARMACRE100])</f>
        <v>262.29559326171881</v>
      </c>
      <c r="AE249" s="230">
        <f>(FME_Ranking1[[#This Row],[Ag Land Raw]]/$AD$2)*100</f>
        <v>1.0815896098922322E-2</v>
      </c>
      <c r="AF249" s="231">
        <f>FME_Ranking1[[#This Row],[Ag Land Score (Normalized, Unweighted)]]*$AD$3</f>
        <v>5.407948049461161E-4</v>
      </c>
      <c r="AG24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1.0220547971545073</v>
      </c>
      <c r="AH249" s="406">
        <f t="shared" si="3"/>
        <v>271</v>
      </c>
      <c r="AI24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1.0220547971545073</v>
      </c>
      <c r="AJ249" s="257">
        <f>FME_Ranking1[[#This Row],[Addition check]]-FME_Ranking1[[#This Row],[Weighted Score Based on Normalized Reported Factors]]</f>
        <v>0</v>
      </c>
      <c r="AK249" s="178">
        <f>_xlfn.RANK.EQ(AI249,$AI$6:$AI$2341,0)+COUNTIF($AI$6:AI249,AI249)-1</f>
        <v>274</v>
      </c>
    </row>
    <row r="250" spans="1:37" ht="12" customHeight="1" x14ac:dyDescent="0.25">
      <c r="A250" t="s">
        <v>956</v>
      </c>
      <c r="B250">
        <f>_xlfn.XLOOKUP(FME_Ranking1[[#This Row],[FME ID]],FME_Input[FME_ID],FME_Input[RFPG_NUM])</f>
        <v>6</v>
      </c>
      <c r="C250" t="str">
        <f>_xlfn.XLOOKUP(FME_Ranking1[[#This Row],[FME ID]],FME_Input[FME_ID],FME_Input[FME_NAME])</f>
        <v xml:space="preserve">City of Alvin Dickinson Bayou Watershed Study </v>
      </c>
      <c r="D250" t="str">
        <f>_xlfn.XLOOKUP(FME_Ranking1[[#This Row],[FME ID]],FME_Input[FME_ID],FME_Input[DESCR])</f>
        <v>Study of Dickinson Bayou Watershed to determine drainage improvement alternatives.</v>
      </c>
      <c r="E250" s="256">
        <f>_xlfn.XLOOKUP(FME_Ranking1[[#This Row],[FME ID]],FME_Input[FME_ID],FME_Input[FME_COST])</f>
        <v>500000</v>
      </c>
      <c r="F250" t="str">
        <f>_xlfn.XLOOKUP(FME_Ranking1[[#This Row],[FME ID]],FME_Input[FME_ID],FME_Input[EMER_NEED])</f>
        <v>No</v>
      </c>
      <c r="G250">
        <f>IF(FME_Ranking!F250="Yes",100,0)</f>
        <v>0</v>
      </c>
      <c r="H250">
        <f>FME_Ranking1[[#This Row],[Emergency Need Score (Normalized, Unweighted)]]*$F$3</f>
        <v>0</v>
      </c>
      <c r="I250" s="246">
        <f>_xlfn.XLOOKUP(FME_Ranking1[[#This Row],[FME ID]],FME_Input[FME_ID],FME_Input[STRUCT_100])</f>
        <v>3445</v>
      </c>
      <c r="J250" s="178">
        <f>(FME_Ranking1[[#This Row],[Structures 100 Raw]]/I$2)*100</f>
        <v>1.8447714518271003</v>
      </c>
      <c r="K250" s="178">
        <f>FME_Ranking1[[#This Row],[Structures 100  Score (Normalized, Unweighted)]]*$I$3</f>
        <v>0.27671571777406506</v>
      </c>
      <c r="L250" s="246">
        <f>_xlfn.XLOOKUP(FME_Ranking1[[#This Row],[FME ID]],FME_Input[FME_ID],FME_Input[RES_STRUCT100])</f>
        <v>2605</v>
      </c>
      <c r="M250" s="230">
        <f>(FME_Ranking1[[#This Row],[Res Structures Raw]]/L$2)*100</f>
        <v>1.8451360655041011</v>
      </c>
      <c r="N250" s="180">
        <f>FME_Ranking1[[#This Row],[Res Structures Score (Normalized, Unweighted)]]*$L$3</f>
        <v>0.18451360655041013</v>
      </c>
      <c r="O250" s="244">
        <f>_xlfn.XLOOKUP(FME_Ranking1[[#This Row],[FME ID]],FME_Input[FME_ID],FME_Input[POP100])</f>
        <v>21569</v>
      </c>
      <c r="P250" s="178">
        <f>(FME_Ranking1[[#This Row],[Pop Raw]]/$O$2)*100</f>
        <v>2.2081331042856354</v>
      </c>
      <c r="Q250" s="178">
        <f>FME_Ranking1[[#This Row],[Pop Score (Normalized, Unweighted)]]*$O$3</f>
        <v>0.33121996564284528</v>
      </c>
      <c r="R250" s="137">
        <f>_xlfn.XLOOKUP(FME_Ranking1[[#This Row],[FME ID]],FME_Input[FME_ID],FME_Input[CRITFAC100])</f>
        <v>18</v>
      </c>
      <c r="S250" s="230">
        <f>(FME_Ranking1[[#This Row],[Critical Facilities Raw]]/$R$2)*100</f>
        <v>0.77186963979416812</v>
      </c>
      <c r="T250" s="180">
        <f>FME_Ranking1[[#This Row],[Critical Facilities Score (Normalized, Unweighted)]]*$R$3</f>
        <v>0.15437392795883365</v>
      </c>
      <c r="U250">
        <f>_xlfn.XLOOKUP(FME_Ranking1[[#This Row],[FME ID]],FME_Input[FME_ID],FME_Input[LWC])</f>
        <v>0</v>
      </c>
      <c r="V250" s="178">
        <f>(FME_Ranking1[[#This Row],[LWC Raw]]/$U$2)*100</f>
        <v>0</v>
      </c>
      <c r="W250" s="178">
        <f>FME_Ranking1[[#This Row],[LWC Score (Normalized, Unweighted)]]*$U$3</f>
        <v>0</v>
      </c>
      <c r="X250" s="246">
        <f>_xlfn.XLOOKUP(FME_Ranking1[[#This Row],[FME ID]],FME_Input[FME_ID],FME_Input[ROADCLS])</f>
        <v>0</v>
      </c>
      <c r="Y250" s="230">
        <f>(FME_Ranking1[[#This Row],[Closures Raw]]/$X$2)*100</f>
        <v>0</v>
      </c>
      <c r="Z250" s="180">
        <f>FME_Ranking1[[#This Row],[Closures Score (Normalized, Unweighted)]]*$X$3</f>
        <v>0</v>
      </c>
      <c r="AA250" s="253">
        <f>_xlfn.XLOOKUP(FME_Ranking1[[#This Row],[FME ID]],FME_Input[FME_ID],FME_Input[ROAD_MILES100])</f>
        <v>56.80682373046875</v>
      </c>
      <c r="AB250" s="178">
        <f>(FME_Ranking1[[#This Row],[Miles Raw]]/$AA$2)*100</f>
        <v>0.74690784423407175</v>
      </c>
      <c r="AC250" s="178">
        <f>FME_Ranking1[[#This Row],[Miles Score (Normalized, Unweighted)]]*$AA$3</f>
        <v>7.469078442340718E-2</v>
      </c>
      <c r="AD250" s="255">
        <f>_xlfn.XLOOKUP(FME_Ranking1[[#This Row],[FME ID]],FME_Input[FME_ID],FME_Input[FARMACRE100])</f>
        <v>262.29559326171881</v>
      </c>
      <c r="AE250" s="230">
        <f>(FME_Ranking1[[#This Row],[Ag Land Raw]]/$AD$2)*100</f>
        <v>1.0815896098922322E-2</v>
      </c>
      <c r="AF250" s="231">
        <f>FME_Ranking1[[#This Row],[Ag Land Score (Normalized, Unweighted)]]*$AD$3</f>
        <v>5.407948049461161E-4</v>
      </c>
      <c r="AG25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1.0220547971545073</v>
      </c>
      <c r="AH250" s="406">
        <f t="shared" si="3"/>
        <v>271</v>
      </c>
      <c r="AI25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1.0220547971545073</v>
      </c>
      <c r="AJ250" s="257">
        <f>FME_Ranking1[[#This Row],[Addition check]]-FME_Ranking1[[#This Row],[Weighted Score Based on Normalized Reported Factors]]</f>
        <v>0</v>
      </c>
      <c r="AK250" s="178">
        <f>_xlfn.RANK.EQ(AI250,$AI$6:$AI$2341,0)+COUNTIF($AI$6:AI250,AI250)-1</f>
        <v>275</v>
      </c>
    </row>
    <row r="251" spans="1:37" ht="12" customHeight="1" x14ac:dyDescent="0.25">
      <c r="A251" t="s">
        <v>9034</v>
      </c>
      <c r="B251">
        <f>_xlfn.XLOOKUP(FME_Ranking1[[#This Row],[FME ID]],FME_Input[FME_ID],FME_Input[RFPG_NUM])</f>
        <v>11</v>
      </c>
      <c r="C251" t="str">
        <f>_xlfn.XLOOKUP(FME_Ranking1[[#This Row],[FME ID]],FME_Input[FME_ID],FME_Input[FME_NAME])</f>
        <v>Victoria County Planning and Development Standards Study</v>
      </c>
      <c r="D251" t="str">
        <f>_xlfn.XLOOKUP(FME_Ranking1[[#This Row],[FME ID]],FME_Input[FME_ID],FME_Input[DESCR])</f>
        <v xml:space="preserve">Conduct study for the development and implementation of county wide planning &amp; development standards, sub-division rules, infrastructure rules and building / construction codes. </v>
      </c>
      <c r="E251" s="256">
        <f>_xlfn.XLOOKUP(FME_Ranking1[[#This Row],[FME ID]],FME_Input[FME_ID],FME_Input[FME_COST])</f>
        <v>100000</v>
      </c>
      <c r="F251" t="str">
        <f>_xlfn.XLOOKUP(FME_Ranking1[[#This Row],[FME ID]],FME_Input[FME_ID],FME_Input[EMER_NEED])</f>
        <v>No</v>
      </c>
      <c r="G251">
        <f>IF(FME_Ranking!F251="Yes",100,0)</f>
        <v>0</v>
      </c>
      <c r="H251">
        <f>FME_Ranking1[[#This Row],[Emergency Need Score (Normalized, Unweighted)]]*$F$3</f>
        <v>0</v>
      </c>
      <c r="I251" s="246">
        <f>_xlfn.XLOOKUP(FME_Ranking1[[#This Row],[FME ID]],FME_Input[FME_ID],FME_Input[STRUCT_100])</f>
        <v>1808</v>
      </c>
      <c r="J251" s="178">
        <f>(FME_Ranking1[[#This Row],[Structures 100 Raw]]/I$2)*100</f>
        <v>0.96817032943494841</v>
      </c>
      <c r="K251" s="178">
        <f>FME_Ranking1[[#This Row],[Structures 100  Score (Normalized, Unweighted)]]*$I$3</f>
        <v>0.14522554941524227</v>
      </c>
      <c r="L251" s="246">
        <f>_xlfn.XLOOKUP(FME_Ranking1[[#This Row],[FME ID]],FME_Input[FME_ID],FME_Input[RES_STRUCT100])</f>
        <v>1382</v>
      </c>
      <c r="M251" s="230">
        <f>(FME_Ranking1[[#This Row],[Res Structures Raw]]/L$2)*100</f>
        <v>0.97887832726551538</v>
      </c>
      <c r="N251" s="180">
        <f>FME_Ranking1[[#This Row],[Res Structures Score (Normalized, Unweighted)]]*$L$3</f>
        <v>9.7887832726551549E-2</v>
      </c>
      <c r="O251" s="244">
        <f>_xlfn.XLOOKUP(FME_Ranking1[[#This Row],[FME ID]],FME_Input[FME_ID],FME_Input[POP100])</f>
        <v>4019</v>
      </c>
      <c r="P251" s="178">
        <f>(FME_Ranking1[[#This Row],[Pop Raw]]/$O$2)*100</f>
        <v>0.41144637888283964</v>
      </c>
      <c r="Q251" s="178">
        <f>FME_Ranking1[[#This Row],[Pop Score (Normalized, Unweighted)]]*$O$3</f>
        <v>6.1716956832425944E-2</v>
      </c>
      <c r="R251" s="137">
        <f>_xlfn.XLOOKUP(FME_Ranking1[[#This Row],[FME ID]],FME_Input[FME_ID],FME_Input[CRITFAC100])</f>
        <v>60</v>
      </c>
      <c r="S251" s="230">
        <f>(FME_Ranking1[[#This Row],[Critical Facilities Raw]]/$R$2)*100</f>
        <v>2.5728987993138936</v>
      </c>
      <c r="T251" s="180">
        <f>FME_Ranking1[[#This Row],[Critical Facilities Score (Normalized, Unweighted)]]*$R$3</f>
        <v>0.51457975986277871</v>
      </c>
      <c r="U251">
        <f>_xlfn.XLOOKUP(FME_Ranking1[[#This Row],[FME ID]],FME_Input[FME_ID],FME_Input[LWC])</f>
        <v>5</v>
      </c>
      <c r="V251" s="178">
        <f>(FME_Ranking1[[#This Row],[LWC Raw]]/$U$2)*100</f>
        <v>0.28785261945883706</v>
      </c>
      <c r="W251" s="178">
        <f>FME_Ranking1[[#This Row],[LWC Score (Normalized, Unweighted)]]*$U$3</f>
        <v>5.7570523891767415E-2</v>
      </c>
      <c r="X251" s="246">
        <f>_xlfn.XLOOKUP(FME_Ranking1[[#This Row],[FME ID]],FME_Input[FME_ID],FME_Input[ROADCLS])</f>
        <v>0</v>
      </c>
      <c r="Y251" s="230">
        <f>(FME_Ranking1[[#This Row],[Closures Raw]]/$X$2)*100</f>
        <v>0</v>
      </c>
      <c r="Z251" s="180">
        <f>FME_Ranking1[[#This Row],[Closures Score (Normalized, Unweighted)]]*$X$3</f>
        <v>0</v>
      </c>
      <c r="AA251" s="253">
        <f>_xlfn.XLOOKUP(FME_Ranking1[[#This Row],[FME ID]],FME_Input[FME_ID],FME_Input[ROAD_MILES100])</f>
        <v>98.505653381347656</v>
      </c>
      <c r="AB251" s="178">
        <f>(FME_Ranking1[[#This Row],[Miles Raw]]/$AA$2)*100</f>
        <v>1.2951726637810377</v>
      </c>
      <c r="AC251" s="178">
        <f>FME_Ranking1[[#This Row],[Miles Score (Normalized, Unweighted)]]*$AA$3</f>
        <v>0.12951726637810376</v>
      </c>
      <c r="AD251" s="255">
        <f>_xlfn.XLOOKUP(FME_Ranking1[[#This Row],[FME ID]],FME_Input[FME_ID],FME_Input[FARMACRE100])</f>
        <v>33695.70703125</v>
      </c>
      <c r="AE251" s="230">
        <f>(FME_Ranking1[[#This Row],[Ag Land Raw]]/$AD$2)*100</f>
        <v>1.389460119011906</v>
      </c>
      <c r="AF251" s="231">
        <f>FME_Ranking1[[#This Row],[Ag Land Score (Normalized, Unweighted)]]*$AD$3</f>
        <v>6.9473005950595301E-2</v>
      </c>
      <c r="AG25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1.0759708950574649</v>
      </c>
      <c r="AH251" s="406">
        <f t="shared" si="3"/>
        <v>252</v>
      </c>
      <c r="AI25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1.0759708950574649</v>
      </c>
      <c r="AJ251" s="257">
        <f>FME_Ranking1[[#This Row],[Addition check]]-FME_Ranking1[[#This Row],[Weighted Score Based on Normalized Reported Factors]]</f>
        <v>0</v>
      </c>
      <c r="AK251" s="178">
        <f>_xlfn.RANK.EQ(AI251,$AI$6:$AI$2341,0)+COUNTIF($AI$6:AI251,AI251)-1</f>
        <v>252</v>
      </c>
    </row>
    <row r="252" spans="1:37" ht="12" customHeight="1" x14ac:dyDescent="0.25">
      <c r="A252" t="s">
        <v>9041</v>
      </c>
      <c r="B252">
        <f>_xlfn.XLOOKUP(FME_Ranking1[[#This Row],[FME ID]],FME_Input[FME_ID],FME_Input[RFPG_NUM])</f>
        <v>11</v>
      </c>
      <c r="C252" t="str">
        <f>_xlfn.XLOOKUP(FME_Ranking1[[#This Row],[FME ID]],FME_Input[FME_ID],FME_Input[FME_NAME])</f>
        <v>Victoria County Drainage Improvements Study</v>
      </c>
      <c r="D252" t="str">
        <f>_xlfn.XLOOKUP(FME_Ranking1[[#This Row],[FME ID]],FME_Input[FME_ID],FME_Input[DESCR])</f>
        <v>Study of solutions to increase dimensions of drainage culverts in areas prone to flooding and/or drainage problems, in various county locations.</v>
      </c>
      <c r="E252" s="256">
        <f>_xlfn.XLOOKUP(FME_Ranking1[[#This Row],[FME ID]],FME_Input[FME_ID],FME_Input[FME_COST])</f>
        <v>150000</v>
      </c>
      <c r="F252" t="str">
        <f>_xlfn.XLOOKUP(FME_Ranking1[[#This Row],[FME ID]],FME_Input[FME_ID],FME_Input[EMER_NEED])</f>
        <v>No</v>
      </c>
      <c r="G252">
        <f>IF(FME_Ranking!F252="Yes",100,0)</f>
        <v>0</v>
      </c>
      <c r="H252">
        <f>FME_Ranking1[[#This Row],[Emergency Need Score (Normalized, Unweighted)]]*$F$3</f>
        <v>0</v>
      </c>
      <c r="I252" s="246">
        <f>_xlfn.XLOOKUP(FME_Ranking1[[#This Row],[FME ID]],FME_Input[FME_ID],FME_Input[STRUCT_100])</f>
        <v>1808</v>
      </c>
      <c r="J252" s="178">
        <f>(FME_Ranking1[[#This Row],[Structures 100 Raw]]/I$2)*100</f>
        <v>0.96817032943494841</v>
      </c>
      <c r="K252" s="178">
        <f>FME_Ranking1[[#This Row],[Structures 100  Score (Normalized, Unweighted)]]*$I$3</f>
        <v>0.14522554941524227</v>
      </c>
      <c r="L252" s="246">
        <f>_xlfn.XLOOKUP(FME_Ranking1[[#This Row],[FME ID]],FME_Input[FME_ID],FME_Input[RES_STRUCT100])</f>
        <v>1382</v>
      </c>
      <c r="M252" s="230">
        <f>(FME_Ranking1[[#This Row],[Res Structures Raw]]/L$2)*100</f>
        <v>0.97887832726551538</v>
      </c>
      <c r="N252" s="180">
        <f>FME_Ranking1[[#This Row],[Res Structures Score (Normalized, Unweighted)]]*$L$3</f>
        <v>9.7887832726551549E-2</v>
      </c>
      <c r="O252" s="244">
        <f>_xlfn.XLOOKUP(FME_Ranking1[[#This Row],[FME ID]],FME_Input[FME_ID],FME_Input[POP100])</f>
        <v>4019</v>
      </c>
      <c r="P252" s="178">
        <f>(FME_Ranking1[[#This Row],[Pop Raw]]/$O$2)*100</f>
        <v>0.41144637888283964</v>
      </c>
      <c r="Q252" s="178">
        <f>FME_Ranking1[[#This Row],[Pop Score (Normalized, Unweighted)]]*$O$3</f>
        <v>6.1716956832425944E-2</v>
      </c>
      <c r="R252" s="137">
        <f>_xlfn.XLOOKUP(FME_Ranking1[[#This Row],[FME ID]],FME_Input[FME_ID],FME_Input[CRITFAC100])</f>
        <v>60</v>
      </c>
      <c r="S252" s="230">
        <f>(FME_Ranking1[[#This Row],[Critical Facilities Raw]]/$R$2)*100</f>
        <v>2.5728987993138936</v>
      </c>
      <c r="T252" s="180">
        <f>FME_Ranking1[[#This Row],[Critical Facilities Score (Normalized, Unweighted)]]*$R$3</f>
        <v>0.51457975986277871</v>
      </c>
      <c r="U252">
        <f>_xlfn.XLOOKUP(FME_Ranking1[[#This Row],[FME ID]],FME_Input[FME_ID],FME_Input[LWC])</f>
        <v>5</v>
      </c>
      <c r="V252" s="178">
        <f>(FME_Ranking1[[#This Row],[LWC Raw]]/$U$2)*100</f>
        <v>0.28785261945883706</v>
      </c>
      <c r="W252" s="178">
        <f>FME_Ranking1[[#This Row],[LWC Score (Normalized, Unweighted)]]*$U$3</f>
        <v>5.7570523891767415E-2</v>
      </c>
      <c r="X252" s="246">
        <f>_xlfn.XLOOKUP(FME_Ranking1[[#This Row],[FME ID]],FME_Input[FME_ID],FME_Input[ROADCLS])</f>
        <v>0</v>
      </c>
      <c r="Y252" s="230">
        <f>(FME_Ranking1[[#This Row],[Closures Raw]]/$X$2)*100</f>
        <v>0</v>
      </c>
      <c r="Z252" s="180">
        <f>FME_Ranking1[[#This Row],[Closures Score (Normalized, Unweighted)]]*$X$3</f>
        <v>0</v>
      </c>
      <c r="AA252" s="253">
        <f>_xlfn.XLOOKUP(FME_Ranking1[[#This Row],[FME ID]],FME_Input[FME_ID],FME_Input[ROAD_MILES100])</f>
        <v>98.505653381347656</v>
      </c>
      <c r="AB252" s="178">
        <f>(FME_Ranking1[[#This Row],[Miles Raw]]/$AA$2)*100</f>
        <v>1.2951726637810377</v>
      </c>
      <c r="AC252" s="178">
        <f>FME_Ranking1[[#This Row],[Miles Score (Normalized, Unweighted)]]*$AA$3</f>
        <v>0.12951726637810376</v>
      </c>
      <c r="AD252" s="255">
        <f>_xlfn.XLOOKUP(FME_Ranking1[[#This Row],[FME ID]],FME_Input[FME_ID],FME_Input[FARMACRE100])</f>
        <v>33695.70703125</v>
      </c>
      <c r="AE252" s="230">
        <f>(FME_Ranking1[[#This Row],[Ag Land Raw]]/$AD$2)*100</f>
        <v>1.389460119011906</v>
      </c>
      <c r="AF252" s="231">
        <f>FME_Ranking1[[#This Row],[Ag Land Score (Normalized, Unweighted)]]*$AD$3</f>
        <v>6.9473005950595301E-2</v>
      </c>
      <c r="AG25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1.0759708950574649</v>
      </c>
      <c r="AH252" s="406">
        <f t="shared" si="3"/>
        <v>252</v>
      </c>
      <c r="AI25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1.0759708950574649</v>
      </c>
      <c r="AJ252" s="257">
        <f>FME_Ranking1[[#This Row],[Addition check]]-FME_Ranking1[[#This Row],[Weighted Score Based on Normalized Reported Factors]]</f>
        <v>0</v>
      </c>
      <c r="AK252" s="178">
        <f>_xlfn.RANK.EQ(AI252,$AI$6:$AI$2341,0)+COUNTIF($AI$6:AI252,AI252)-1</f>
        <v>253</v>
      </c>
    </row>
    <row r="253" spans="1:37" ht="12" customHeight="1" x14ac:dyDescent="0.25">
      <c r="A253" t="s">
        <v>9044</v>
      </c>
      <c r="B253">
        <f>_xlfn.XLOOKUP(FME_Ranking1[[#This Row],[FME ID]],FME_Input[FME_ID],FME_Input[RFPG_NUM])</f>
        <v>11</v>
      </c>
      <c r="C253" t="str">
        <f>_xlfn.XLOOKUP(FME_Ranking1[[#This Row],[FME ID]],FME_Input[FME_ID],FME_Input[FME_NAME])</f>
        <v>Victoria County FIRMs</v>
      </c>
      <c r="D253" t="str">
        <f>_xlfn.XLOOKUP(FME_Ranking1[[#This Row],[FME ID]],FME_Input[FME_ID],FME_Input[DESCR])</f>
        <v xml:space="preserve">Engineering Studies to revise Flood Insurance Rate Maps (FIRMs) throughout the County to establish Base Flood Elevations (BFE) in areas that are currently identified as unstudied Zone As. </v>
      </c>
      <c r="E253" s="256">
        <f>_xlfn.XLOOKUP(FME_Ranking1[[#This Row],[FME ID]],FME_Input[FME_ID],FME_Input[FME_COST])</f>
        <v>500000</v>
      </c>
      <c r="F253" t="str">
        <f>_xlfn.XLOOKUP(FME_Ranking1[[#This Row],[FME ID]],FME_Input[FME_ID],FME_Input[EMER_NEED])</f>
        <v>No</v>
      </c>
      <c r="G253">
        <f>IF(FME_Ranking!F253="Yes",100,0)</f>
        <v>0</v>
      </c>
      <c r="H253">
        <f>FME_Ranking1[[#This Row],[Emergency Need Score (Normalized, Unweighted)]]*$F$3</f>
        <v>0</v>
      </c>
      <c r="I253" s="246">
        <f>_xlfn.XLOOKUP(FME_Ranking1[[#This Row],[FME ID]],FME_Input[FME_ID],FME_Input[STRUCT_100])</f>
        <v>1808</v>
      </c>
      <c r="J253" s="178">
        <f>(FME_Ranking1[[#This Row],[Structures 100 Raw]]/I$2)*100</f>
        <v>0.96817032943494841</v>
      </c>
      <c r="K253" s="178">
        <f>FME_Ranking1[[#This Row],[Structures 100  Score (Normalized, Unweighted)]]*$I$3</f>
        <v>0.14522554941524227</v>
      </c>
      <c r="L253" s="246">
        <f>_xlfn.XLOOKUP(FME_Ranking1[[#This Row],[FME ID]],FME_Input[FME_ID],FME_Input[RES_STRUCT100])</f>
        <v>1382</v>
      </c>
      <c r="M253" s="230">
        <f>(FME_Ranking1[[#This Row],[Res Structures Raw]]/L$2)*100</f>
        <v>0.97887832726551538</v>
      </c>
      <c r="N253" s="180">
        <f>FME_Ranking1[[#This Row],[Res Structures Score (Normalized, Unweighted)]]*$L$3</f>
        <v>9.7887832726551549E-2</v>
      </c>
      <c r="O253" s="244">
        <f>_xlfn.XLOOKUP(FME_Ranking1[[#This Row],[FME ID]],FME_Input[FME_ID],FME_Input[POP100])</f>
        <v>4019</v>
      </c>
      <c r="P253" s="178">
        <f>(FME_Ranking1[[#This Row],[Pop Raw]]/$O$2)*100</f>
        <v>0.41144637888283964</v>
      </c>
      <c r="Q253" s="178">
        <f>FME_Ranking1[[#This Row],[Pop Score (Normalized, Unweighted)]]*$O$3</f>
        <v>6.1716956832425944E-2</v>
      </c>
      <c r="R253" s="137">
        <f>_xlfn.XLOOKUP(FME_Ranking1[[#This Row],[FME ID]],FME_Input[FME_ID],FME_Input[CRITFAC100])</f>
        <v>60</v>
      </c>
      <c r="S253" s="230">
        <f>(FME_Ranking1[[#This Row],[Critical Facilities Raw]]/$R$2)*100</f>
        <v>2.5728987993138936</v>
      </c>
      <c r="T253" s="180">
        <f>FME_Ranking1[[#This Row],[Critical Facilities Score (Normalized, Unweighted)]]*$R$3</f>
        <v>0.51457975986277871</v>
      </c>
      <c r="U253">
        <f>_xlfn.XLOOKUP(FME_Ranking1[[#This Row],[FME ID]],FME_Input[FME_ID],FME_Input[LWC])</f>
        <v>5</v>
      </c>
      <c r="V253" s="178">
        <f>(FME_Ranking1[[#This Row],[LWC Raw]]/$U$2)*100</f>
        <v>0.28785261945883706</v>
      </c>
      <c r="W253" s="178">
        <f>FME_Ranking1[[#This Row],[LWC Score (Normalized, Unweighted)]]*$U$3</f>
        <v>5.7570523891767415E-2</v>
      </c>
      <c r="X253" s="246">
        <f>_xlfn.XLOOKUP(FME_Ranking1[[#This Row],[FME ID]],FME_Input[FME_ID],FME_Input[ROADCLS])</f>
        <v>0</v>
      </c>
      <c r="Y253" s="230">
        <f>(FME_Ranking1[[#This Row],[Closures Raw]]/$X$2)*100</f>
        <v>0</v>
      </c>
      <c r="Z253" s="180">
        <f>FME_Ranking1[[#This Row],[Closures Score (Normalized, Unweighted)]]*$X$3</f>
        <v>0</v>
      </c>
      <c r="AA253" s="253">
        <f>_xlfn.XLOOKUP(FME_Ranking1[[#This Row],[FME ID]],FME_Input[FME_ID],FME_Input[ROAD_MILES100])</f>
        <v>98.505653381347656</v>
      </c>
      <c r="AB253" s="178">
        <f>(FME_Ranking1[[#This Row],[Miles Raw]]/$AA$2)*100</f>
        <v>1.2951726637810377</v>
      </c>
      <c r="AC253" s="178">
        <f>FME_Ranking1[[#This Row],[Miles Score (Normalized, Unweighted)]]*$AA$3</f>
        <v>0.12951726637810376</v>
      </c>
      <c r="AD253" s="255">
        <f>_xlfn.XLOOKUP(FME_Ranking1[[#This Row],[FME ID]],FME_Input[FME_ID],FME_Input[FARMACRE100])</f>
        <v>33695.70703125</v>
      </c>
      <c r="AE253" s="230">
        <f>(FME_Ranking1[[#This Row],[Ag Land Raw]]/$AD$2)*100</f>
        <v>1.389460119011906</v>
      </c>
      <c r="AF253" s="231">
        <f>FME_Ranking1[[#This Row],[Ag Land Score (Normalized, Unweighted)]]*$AD$3</f>
        <v>6.9473005950595301E-2</v>
      </c>
      <c r="AG25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1.0759708950574649</v>
      </c>
      <c r="AH253" s="406">
        <f t="shared" si="3"/>
        <v>252</v>
      </c>
      <c r="AI25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1.0759708950574649</v>
      </c>
      <c r="AJ253" s="257">
        <f>FME_Ranking1[[#This Row],[Addition check]]-FME_Ranking1[[#This Row],[Weighted Score Based on Normalized Reported Factors]]</f>
        <v>0</v>
      </c>
      <c r="AK253" s="178">
        <f>_xlfn.RANK.EQ(AI253,$AI$6:$AI$2341,0)+COUNTIF($AI$6:AI253,AI253)-1</f>
        <v>254</v>
      </c>
    </row>
    <row r="254" spans="1:37" ht="12" customHeight="1" x14ac:dyDescent="0.25">
      <c r="A254" t="s">
        <v>9052</v>
      </c>
      <c r="B254">
        <f>_xlfn.XLOOKUP(FME_Ranking1[[#This Row],[FME ID]],FME_Input[FME_ID],FME_Input[RFPG_NUM])</f>
        <v>11</v>
      </c>
      <c r="C254" t="str">
        <f>_xlfn.XLOOKUP(FME_Ranking1[[#This Row],[FME ID]],FME_Input[FME_ID],FME_Input[FME_NAME])</f>
        <v>Victoria County Bridge Improvements Project Planning</v>
      </c>
      <c r="D254" t="str">
        <f>_xlfn.XLOOKUP(FME_Ranking1[[#This Row],[FME ID]],FME_Input[FME_ID],FME_Input[DESCR])</f>
        <v xml:space="preserve">Project planning to raise various County bridges above current Base Flood Elevation (BFE) levels to include such improvements as: box culverts, wingback walls, rip rap, channelization, and road base improvement. </v>
      </c>
      <c r="E254" s="256">
        <f>_xlfn.XLOOKUP(FME_Ranking1[[#This Row],[FME ID]],FME_Input[FME_ID],FME_Input[FME_COST])</f>
        <v>500000</v>
      </c>
      <c r="F254" t="str">
        <f>_xlfn.XLOOKUP(FME_Ranking1[[#This Row],[FME ID]],FME_Input[FME_ID],FME_Input[EMER_NEED])</f>
        <v>No</v>
      </c>
      <c r="G254">
        <f>IF(FME_Ranking!F254="Yes",100,0)</f>
        <v>0</v>
      </c>
      <c r="H254">
        <f>FME_Ranking1[[#This Row],[Emergency Need Score (Normalized, Unweighted)]]*$F$3</f>
        <v>0</v>
      </c>
      <c r="I254" s="246">
        <f>_xlfn.XLOOKUP(FME_Ranking1[[#This Row],[FME ID]],FME_Input[FME_ID],FME_Input[STRUCT_100])</f>
        <v>1808</v>
      </c>
      <c r="J254" s="178">
        <f>(FME_Ranking1[[#This Row],[Structures 100 Raw]]/I$2)*100</f>
        <v>0.96817032943494841</v>
      </c>
      <c r="K254" s="178">
        <f>FME_Ranking1[[#This Row],[Structures 100  Score (Normalized, Unweighted)]]*$I$3</f>
        <v>0.14522554941524227</v>
      </c>
      <c r="L254" s="246">
        <f>_xlfn.XLOOKUP(FME_Ranking1[[#This Row],[FME ID]],FME_Input[FME_ID],FME_Input[RES_STRUCT100])</f>
        <v>1382</v>
      </c>
      <c r="M254" s="230">
        <f>(FME_Ranking1[[#This Row],[Res Structures Raw]]/L$2)*100</f>
        <v>0.97887832726551538</v>
      </c>
      <c r="N254" s="180">
        <f>FME_Ranking1[[#This Row],[Res Structures Score (Normalized, Unweighted)]]*$L$3</f>
        <v>9.7887832726551549E-2</v>
      </c>
      <c r="O254" s="244">
        <f>_xlfn.XLOOKUP(FME_Ranking1[[#This Row],[FME ID]],FME_Input[FME_ID],FME_Input[POP100])</f>
        <v>4019</v>
      </c>
      <c r="P254" s="178">
        <f>(FME_Ranking1[[#This Row],[Pop Raw]]/$O$2)*100</f>
        <v>0.41144637888283964</v>
      </c>
      <c r="Q254" s="178">
        <f>FME_Ranking1[[#This Row],[Pop Score (Normalized, Unweighted)]]*$O$3</f>
        <v>6.1716956832425944E-2</v>
      </c>
      <c r="R254" s="137">
        <f>_xlfn.XLOOKUP(FME_Ranking1[[#This Row],[FME ID]],FME_Input[FME_ID],FME_Input[CRITFAC100])</f>
        <v>60</v>
      </c>
      <c r="S254" s="230">
        <f>(FME_Ranking1[[#This Row],[Critical Facilities Raw]]/$R$2)*100</f>
        <v>2.5728987993138936</v>
      </c>
      <c r="T254" s="180">
        <f>FME_Ranking1[[#This Row],[Critical Facilities Score (Normalized, Unweighted)]]*$R$3</f>
        <v>0.51457975986277871</v>
      </c>
      <c r="U254">
        <f>_xlfn.XLOOKUP(FME_Ranking1[[#This Row],[FME ID]],FME_Input[FME_ID],FME_Input[LWC])</f>
        <v>5</v>
      </c>
      <c r="V254" s="178">
        <f>(FME_Ranking1[[#This Row],[LWC Raw]]/$U$2)*100</f>
        <v>0.28785261945883706</v>
      </c>
      <c r="W254" s="178">
        <f>FME_Ranking1[[#This Row],[LWC Score (Normalized, Unweighted)]]*$U$3</f>
        <v>5.7570523891767415E-2</v>
      </c>
      <c r="X254" s="246">
        <f>_xlfn.XLOOKUP(FME_Ranking1[[#This Row],[FME ID]],FME_Input[FME_ID],FME_Input[ROADCLS])</f>
        <v>0</v>
      </c>
      <c r="Y254" s="230">
        <f>(FME_Ranking1[[#This Row],[Closures Raw]]/$X$2)*100</f>
        <v>0</v>
      </c>
      <c r="Z254" s="180">
        <f>FME_Ranking1[[#This Row],[Closures Score (Normalized, Unweighted)]]*$X$3</f>
        <v>0</v>
      </c>
      <c r="AA254" s="253">
        <f>_xlfn.XLOOKUP(FME_Ranking1[[#This Row],[FME ID]],FME_Input[FME_ID],FME_Input[ROAD_MILES100])</f>
        <v>98.505653381347656</v>
      </c>
      <c r="AB254" s="178">
        <f>(FME_Ranking1[[#This Row],[Miles Raw]]/$AA$2)*100</f>
        <v>1.2951726637810377</v>
      </c>
      <c r="AC254" s="178">
        <f>FME_Ranking1[[#This Row],[Miles Score (Normalized, Unweighted)]]*$AA$3</f>
        <v>0.12951726637810376</v>
      </c>
      <c r="AD254" s="255">
        <f>_xlfn.XLOOKUP(FME_Ranking1[[#This Row],[FME ID]],FME_Input[FME_ID],FME_Input[FARMACRE100])</f>
        <v>33695.70703125</v>
      </c>
      <c r="AE254" s="230">
        <f>(FME_Ranking1[[#This Row],[Ag Land Raw]]/$AD$2)*100</f>
        <v>1.389460119011906</v>
      </c>
      <c r="AF254" s="231">
        <f>FME_Ranking1[[#This Row],[Ag Land Score (Normalized, Unweighted)]]*$AD$3</f>
        <v>6.9473005950595301E-2</v>
      </c>
      <c r="AG25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1.0759708950574649</v>
      </c>
      <c r="AH254" s="406">
        <f t="shared" si="3"/>
        <v>252</v>
      </c>
      <c r="AI25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1.0759708950574649</v>
      </c>
      <c r="AJ254" s="257">
        <f>FME_Ranking1[[#This Row],[Addition check]]-FME_Ranking1[[#This Row],[Weighted Score Based on Normalized Reported Factors]]</f>
        <v>0</v>
      </c>
      <c r="AK254" s="178">
        <f>_xlfn.RANK.EQ(AI254,$AI$6:$AI$2341,0)+COUNTIF($AI$6:AI254,AI254)-1</f>
        <v>255</v>
      </c>
    </row>
    <row r="255" spans="1:37" ht="12" customHeight="1" x14ac:dyDescent="0.25">
      <c r="A255" t="s">
        <v>9056</v>
      </c>
      <c r="B255">
        <f>_xlfn.XLOOKUP(FME_Ranking1[[#This Row],[FME ID]],FME_Input[FME_ID],FME_Input[RFPG_NUM])</f>
        <v>11</v>
      </c>
      <c r="C255" t="str">
        <f>_xlfn.XLOOKUP(FME_Ranking1[[#This Row],[FME ID]],FME_Input[FME_ID],FME_Input[FME_NAME])</f>
        <v>Victoria County Voluntary Buyout Program Project Planning</v>
      </c>
      <c r="D255" t="str">
        <f>_xlfn.XLOOKUP(FME_Ranking1[[#This Row],[FME ID]],FME_Input[FME_ID],FME_Input[DESCR])</f>
        <v>Project planning to implement a voluntary acquisition program for repetitive flood properties.</v>
      </c>
      <c r="E255" s="256">
        <f>_xlfn.XLOOKUP(FME_Ranking1[[#This Row],[FME ID]],FME_Input[FME_ID],FME_Input[FME_COST])</f>
        <v>300000</v>
      </c>
      <c r="F255" t="str">
        <f>_xlfn.XLOOKUP(FME_Ranking1[[#This Row],[FME ID]],FME_Input[FME_ID],FME_Input[EMER_NEED])</f>
        <v>No</v>
      </c>
      <c r="G255">
        <f>IF(FME_Ranking!F255="Yes",100,0)</f>
        <v>0</v>
      </c>
      <c r="H255">
        <f>FME_Ranking1[[#This Row],[Emergency Need Score (Normalized, Unweighted)]]*$F$3</f>
        <v>0</v>
      </c>
      <c r="I255" s="246">
        <f>_xlfn.XLOOKUP(FME_Ranking1[[#This Row],[FME ID]],FME_Input[FME_ID],FME_Input[STRUCT_100])</f>
        <v>1808</v>
      </c>
      <c r="J255" s="178">
        <f>(FME_Ranking1[[#This Row],[Structures 100 Raw]]/I$2)*100</f>
        <v>0.96817032943494841</v>
      </c>
      <c r="K255" s="178">
        <f>FME_Ranking1[[#This Row],[Structures 100  Score (Normalized, Unweighted)]]*$I$3</f>
        <v>0.14522554941524227</v>
      </c>
      <c r="L255" s="246">
        <f>_xlfn.XLOOKUP(FME_Ranking1[[#This Row],[FME ID]],FME_Input[FME_ID],FME_Input[RES_STRUCT100])</f>
        <v>1382</v>
      </c>
      <c r="M255" s="230">
        <f>(FME_Ranking1[[#This Row],[Res Structures Raw]]/L$2)*100</f>
        <v>0.97887832726551538</v>
      </c>
      <c r="N255" s="180">
        <f>FME_Ranking1[[#This Row],[Res Structures Score (Normalized, Unweighted)]]*$L$3</f>
        <v>9.7887832726551549E-2</v>
      </c>
      <c r="O255" s="244">
        <f>_xlfn.XLOOKUP(FME_Ranking1[[#This Row],[FME ID]],FME_Input[FME_ID],FME_Input[POP100])</f>
        <v>4019</v>
      </c>
      <c r="P255" s="178">
        <f>(FME_Ranking1[[#This Row],[Pop Raw]]/$O$2)*100</f>
        <v>0.41144637888283964</v>
      </c>
      <c r="Q255" s="178">
        <f>FME_Ranking1[[#This Row],[Pop Score (Normalized, Unweighted)]]*$O$3</f>
        <v>6.1716956832425944E-2</v>
      </c>
      <c r="R255" s="137">
        <f>_xlfn.XLOOKUP(FME_Ranking1[[#This Row],[FME ID]],FME_Input[FME_ID],FME_Input[CRITFAC100])</f>
        <v>60</v>
      </c>
      <c r="S255" s="230">
        <f>(FME_Ranking1[[#This Row],[Critical Facilities Raw]]/$R$2)*100</f>
        <v>2.5728987993138936</v>
      </c>
      <c r="T255" s="180">
        <f>FME_Ranking1[[#This Row],[Critical Facilities Score (Normalized, Unweighted)]]*$R$3</f>
        <v>0.51457975986277871</v>
      </c>
      <c r="U255">
        <f>_xlfn.XLOOKUP(FME_Ranking1[[#This Row],[FME ID]],FME_Input[FME_ID],FME_Input[LWC])</f>
        <v>5</v>
      </c>
      <c r="V255" s="178">
        <f>(FME_Ranking1[[#This Row],[LWC Raw]]/$U$2)*100</f>
        <v>0.28785261945883706</v>
      </c>
      <c r="W255" s="178">
        <f>FME_Ranking1[[#This Row],[LWC Score (Normalized, Unweighted)]]*$U$3</f>
        <v>5.7570523891767415E-2</v>
      </c>
      <c r="X255" s="246">
        <f>_xlfn.XLOOKUP(FME_Ranking1[[#This Row],[FME ID]],FME_Input[FME_ID],FME_Input[ROADCLS])</f>
        <v>0</v>
      </c>
      <c r="Y255" s="230">
        <f>(FME_Ranking1[[#This Row],[Closures Raw]]/$X$2)*100</f>
        <v>0</v>
      </c>
      <c r="Z255" s="180">
        <f>FME_Ranking1[[#This Row],[Closures Score (Normalized, Unweighted)]]*$X$3</f>
        <v>0</v>
      </c>
      <c r="AA255" s="253">
        <f>_xlfn.XLOOKUP(FME_Ranking1[[#This Row],[FME ID]],FME_Input[FME_ID],FME_Input[ROAD_MILES100])</f>
        <v>98.505653381347656</v>
      </c>
      <c r="AB255" s="178">
        <f>(FME_Ranking1[[#This Row],[Miles Raw]]/$AA$2)*100</f>
        <v>1.2951726637810377</v>
      </c>
      <c r="AC255" s="178">
        <f>FME_Ranking1[[#This Row],[Miles Score (Normalized, Unweighted)]]*$AA$3</f>
        <v>0.12951726637810376</v>
      </c>
      <c r="AD255" s="255">
        <f>_xlfn.XLOOKUP(FME_Ranking1[[#This Row],[FME ID]],FME_Input[FME_ID],FME_Input[FARMACRE100])</f>
        <v>33695.70703125</v>
      </c>
      <c r="AE255" s="230">
        <f>(FME_Ranking1[[#This Row],[Ag Land Raw]]/$AD$2)*100</f>
        <v>1.389460119011906</v>
      </c>
      <c r="AF255" s="231">
        <f>FME_Ranking1[[#This Row],[Ag Land Score (Normalized, Unweighted)]]*$AD$3</f>
        <v>6.9473005950595301E-2</v>
      </c>
      <c r="AG25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1.0759708950574649</v>
      </c>
      <c r="AH255" s="406">
        <f t="shared" si="3"/>
        <v>252</v>
      </c>
      <c r="AI25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1.0759708950574649</v>
      </c>
      <c r="AJ255" s="257">
        <f>FME_Ranking1[[#This Row],[Addition check]]-FME_Ranking1[[#This Row],[Weighted Score Based on Normalized Reported Factors]]</f>
        <v>0</v>
      </c>
      <c r="AK255" s="178">
        <f>_xlfn.RANK.EQ(AI255,$AI$6:$AI$2341,0)+COUNTIF($AI$6:AI255,AI255)-1</f>
        <v>256</v>
      </c>
    </row>
    <row r="256" spans="1:37" ht="12" customHeight="1" x14ac:dyDescent="0.25">
      <c r="A256" t="s">
        <v>8463</v>
      </c>
      <c r="B256">
        <f>_xlfn.XLOOKUP(FME_Ranking1[[#This Row],[FME ID]],FME_Input[FME_ID],FME_Input[RFPG_NUM])</f>
        <v>10</v>
      </c>
      <c r="C256" t="str">
        <f>_xlfn.XLOOKUP(FME_Ranking1[[#This Row],[FME ID]],FME_Input[FME_ID],FME_Input[FME_NAME])</f>
        <v xml:space="preserve">Hays County Buyout Project Planning
</v>
      </c>
      <c r="D256" t="str">
        <f>_xlfn.XLOOKUP(FME_Ranking1[[#This Row],[FME ID]],FME_Input[FME_ID],FME_Input[DESCR])</f>
        <v xml:space="preserve">Project planning for action to mitigate 38 identified properties. Develop technical data required for FMP.
</v>
      </c>
      <c r="E256" s="256">
        <f>_xlfn.XLOOKUP(FME_Ranking1[[#This Row],[FME ID]],FME_Input[FME_ID],FME_Input[FME_COST])</f>
        <v>500000</v>
      </c>
      <c r="F256" t="str">
        <f>_xlfn.XLOOKUP(FME_Ranking1[[#This Row],[FME ID]],FME_Input[FME_ID],FME_Input[EMER_NEED])</f>
        <v>No</v>
      </c>
      <c r="G256">
        <f>IF(FME_Ranking!F256="Yes",100,0)</f>
        <v>0</v>
      </c>
      <c r="H256">
        <f>FME_Ranking1[[#This Row],[Emergency Need Score (Normalized, Unweighted)]]*$F$3</f>
        <v>0</v>
      </c>
      <c r="I256" s="246">
        <f>_xlfn.XLOOKUP(FME_Ranking1[[#This Row],[FME ID]],FME_Input[FME_ID],FME_Input[STRUCT_100])</f>
        <v>581</v>
      </c>
      <c r="J256" s="178">
        <f>(FME_Ranking1[[#This Row],[Structures 100 Raw]]/I$2)*100</f>
        <v>0.31112110696996959</v>
      </c>
      <c r="K256" s="178">
        <f>FME_Ranking1[[#This Row],[Structures 100  Score (Normalized, Unweighted)]]*$I$3</f>
        <v>4.6668166045495438E-2</v>
      </c>
      <c r="L256" s="246">
        <f>_xlfn.XLOOKUP(FME_Ranking1[[#This Row],[FME ID]],FME_Input[FME_ID],FME_Input[RES_STRUCT100])</f>
        <v>377</v>
      </c>
      <c r="M256" s="230">
        <f>(FME_Ranking1[[#This Row],[Res Structures Raw]]/L$2)*100</f>
        <v>0.26703120794435553</v>
      </c>
      <c r="N256" s="180">
        <f>FME_Ranking1[[#This Row],[Res Structures Score (Normalized, Unweighted)]]*$L$3</f>
        <v>2.6703120794435556E-2</v>
      </c>
      <c r="O256" s="244">
        <f>_xlfn.XLOOKUP(FME_Ranking1[[#This Row],[FME ID]],FME_Input[FME_ID],FME_Input[POP100])</f>
        <v>1437</v>
      </c>
      <c r="P256" s="178">
        <f>(FME_Ranking1[[#This Row],[Pop Raw]]/$O$2)*100</f>
        <v>0.14711332332785285</v>
      </c>
      <c r="Q256" s="178">
        <f>FME_Ranking1[[#This Row],[Pop Score (Normalized, Unweighted)]]*$O$3</f>
        <v>2.2066998499177926E-2</v>
      </c>
      <c r="R256" s="137">
        <f>_xlfn.XLOOKUP(FME_Ranking1[[#This Row],[FME ID]],FME_Input[FME_ID],FME_Input[CRITFAC100])</f>
        <v>2</v>
      </c>
      <c r="S256" s="230">
        <f>(FME_Ranking1[[#This Row],[Critical Facilities Raw]]/$R$2)*100</f>
        <v>8.5763293310463118E-2</v>
      </c>
      <c r="T256" s="180">
        <f>FME_Ranking1[[#This Row],[Critical Facilities Score (Normalized, Unweighted)]]*$R$3</f>
        <v>1.7152658662092625E-2</v>
      </c>
      <c r="U256">
        <f>_xlfn.XLOOKUP(FME_Ranking1[[#This Row],[FME ID]],FME_Input[FME_ID],FME_Input[LWC])</f>
        <v>68</v>
      </c>
      <c r="V256" s="178">
        <f>(FME_Ranking1[[#This Row],[LWC Raw]]/$U$2)*100</f>
        <v>3.9147956246401843</v>
      </c>
      <c r="W256" s="178">
        <f>FME_Ranking1[[#This Row],[LWC Score (Normalized, Unweighted)]]*$U$3</f>
        <v>0.78295912492803688</v>
      </c>
      <c r="X256" s="246">
        <f>_xlfn.XLOOKUP(FME_Ranking1[[#This Row],[FME ID]],FME_Input[FME_ID],FME_Input[ROADCLS])</f>
        <v>0</v>
      </c>
      <c r="Y256" s="230">
        <f>(FME_Ranking1[[#This Row],[Closures Raw]]/$X$2)*100</f>
        <v>0</v>
      </c>
      <c r="Z256" s="180">
        <f>FME_Ranking1[[#This Row],[Closures Score (Normalized, Unweighted)]]*$X$3</f>
        <v>0</v>
      </c>
      <c r="AA256" s="253">
        <f>_xlfn.XLOOKUP(FME_Ranking1[[#This Row],[FME ID]],FME_Input[FME_ID],FME_Input[ROAD_MILES100])</f>
        <v>15.60885524749756</v>
      </c>
      <c r="AB256" s="178">
        <f>(FME_Ranking1[[#This Row],[Miles Raw]]/$AA$2)*100</f>
        <v>0.20522845070841422</v>
      </c>
      <c r="AC256" s="178">
        <f>FME_Ranking1[[#This Row],[Miles Score (Normalized, Unweighted)]]*$AA$3</f>
        <v>2.0522845070841424E-2</v>
      </c>
      <c r="AD256" s="255">
        <f>_xlfn.XLOOKUP(FME_Ranking1[[#This Row],[FME ID]],FME_Input[FME_ID],FME_Input[FARMACRE100])</f>
        <v>11874.7119140625</v>
      </c>
      <c r="AE256" s="230">
        <f>(FME_Ranking1[[#This Row],[Ag Land Raw]]/$AD$2)*100</f>
        <v>0.48965996214424312</v>
      </c>
      <c r="AF256" s="231">
        <f>FME_Ranking1[[#This Row],[Ag Land Score (Normalized, Unweighted)]]*$AD$3</f>
        <v>2.4482998107212158E-2</v>
      </c>
      <c r="AG25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0.94055591210729195</v>
      </c>
      <c r="AH256" s="406">
        <f t="shared" si="3"/>
        <v>289</v>
      </c>
      <c r="AI25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0.94055591210729195</v>
      </c>
      <c r="AJ256" s="257">
        <f>FME_Ranking1[[#This Row],[Addition check]]-FME_Ranking1[[#This Row],[Weighted Score Based on Normalized Reported Factors]]</f>
        <v>0</v>
      </c>
      <c r="AK256" s="178">
        <f>_xlfn.RANK.EQ(AI256,$AI$6:$AI$2341,0)+COUNTIF($AI$6:AI256,AI256)-1</f>
        <v>289</v>
      </c>
    </row>
    <row r="257" spans="1:37" ht="12" customHeight="1" x14ac:dyDescent="0.25">
      <c r="A257" t="s">
        <v>3975</v>
      </c>
      <c r="B257">
        <f>_xlfn.XLOOKUP(FME_Ranking1[[#This Row],[FME ID]],FME_Input[FME_ID],FME_Input[RFPG_NUM])</f>
        <v>3</v>
      </c>
      <c r="C257" t="str">
        <f>_xlfn.XLOOKUP(FME_Ranking1[[#This Row],[FME ID]],FME_Input[FME_ID],FME_Input[FME_NAME])</f>
        <v xml:space="preserve">Polk County FEMA Mapping </v>
      </c>
      <c r="D257" t="str">
        <f>_xlfn.XLOOKUP(FME_Ranking1[[#This Row],[FME ID]],FME_Input[FME_ID],FME_Input[DESCR])</f>
        <v>Create FEMA mapping in previously unmapped areas and update existing FEMA maps as needed.</v>
      </c>
      <c r="E257" s="256">
        <f>_xlfn.XLOOKUP(FME_Ranking1[[#This Row],[FME ID]],FME_Input[FME_ID],FME_Input[FME_COST])</f>
        <v>1560000</v>
      </c>
      <c r="F257" t="str">
        <f>_xlfn.XLOOKUP(FME_Ranking1[[#This Row],[FME ID]],FME_Input[FME_ID],FME_Input[EMER_NEED])</f>
        <v>No</v>
      </c>
      <c r="G257">
        <f>IF(FME_Ranking!F257="Yes",100,0)</f>
        <v>0</v>
      </c>
      <c r="H257">
        <f>FME_Ranking1[[#This Row],[Emergency Need Score (Normalized, Unweighted)]]*$F$3</f>
        <v>0</v>
      </c>
      <c r="I257" s="246">
        <f>_xlfn.XLOOKUP(FME_Ranking1[[#This Row],[FME ID]],FME_Input[FME_ID],FME_Input[STRUCT_100])</f>
        <v>3485</v>
      </c>
      <c r="J257" s="178">
        <f>(FME_Ranking1[[#This Row],[Structures 100 Raw]]/I$2)*100</f>
        <v>1.8661911493809709</v>
      </c>
      <c r="K257" s="178">
        <f>FME_Ranking1[[#This Row],[Structures 100  Score (Normalized, Unweighted)]]*$I$3</f>
        <v>0.27992867240714564</v>
      </c>
      <c r="L257" s="246">
        <f>_xlfn.XLOOKUP(FME_Ranking1[[#This Row],[FME ID]],FME_Input[FME_ID],FME_Input[RES_STRUCT100])</f>
        <v>3119</v>
      </c>
      <c r="M257" s="230">
        <f>(FME_Ranking1[[#This Row],[Res Structures Raw]]/L$2)*100</f>
        <v>2.2092051394653711</v>
      </c>
      <c r="N257" s="180">
        <f>FME_Ranking1[[#This Row],[Res Structures Score (Normalized, Unweighted)]]*$L$3</f>
        <v>0.22092051394653711</v>
      </c>
      <c r="O257" s="244">
        <f>_xlfn.XLOOKUP(FME_Ranking1[[#This Row],[FME ID]],FME_Input[FME_ID],FME_Input[POP100])</f>
        <v>5167</v>
      </c>
      <c r="P257" s="178">
        <f>(FME_Ranking1[[#This Row],[Pop Raw]]/$O$2)*100</f>
        <v>0.5289732370459399</v>
      </c>
      <c r="Q257" s="178">
        <f>FME_Ranking1[[#This Row],[Pop Score (Normalized, Unweighted)]]*$O$3</f>
        <v>7.9345985556890986E-2</v>
      </c>
      <c r="R257" s="137">
        <f>_xlfn.XLOOKUP(FME_Ranking1[[#This Row],[FME ID]],FME_Input[FME_ID],FME_Input[CRITFAC100])</f>
        <v>31</v>
      </c>
      <c r="S257" s="230">
        <f>(FME_Ranking1[[#This Row],[Critical Facilities Raw]]/$R$2)*100</f>
        <v>1.3293310463121784</v>
      </c>
      <c r="T257" s="180">
        <f>FME_Ranking1[[#This Row],[Critical Facilities Score (Normalized, Unweighted)]]*$R$3</f>
        <v>0.2658662092624357</v>
      </c>
      <c r="U257">
        <f>_xlfn.XLOOKUP(FME_Ranking1[[#This Row],[FME ID]],FME_Input[FME_ID],FME_Input[LWC])</f>
        <v>3</v>
      </c>
      <c r="V257" s="178">
        <f>(FME_Ranking1[[#This Row],[LWC Raw]]/$U$2)*100</f>
        <v>0.17271157167530224</v>
      </c>
      <c r="W257" s="178">
        <f>FME_Ranking1[[#This Row],[LWC Score (Normalized, Unweighted)]]*$U$3</f>
        <v>3.4542314335060449E-2</v>
      </c>
      <c r="X257" s="246">
        <f>_xlfn.XLOOKUP(FME_Ranking1[[#This Row],[FME ID]],FME_Input[FME_ID],FME_Input[ROADCLS])</f>
        <v>0</v>
      </c>
      <c r="Y257" s="230">
        <f>(FME_Ranking1[[#This Row],[Closures Raw]]/$X$2)*100</f>
        <v>0</v>
      </c>
      <c r="Z257" s="180">
        <f>FME_Ranking1[[#This Row],[Closures Score (Normalized, Unweighted)]]*$X$3</f>
        <v>0</v>
      </c>
      <c r="AA257" s="253">
        <f>_xlfn.XLOOKUP(FME_Ranking1[[#This Row],[FME ID]],FME_Input[FME_ID],FME_Input[ROAD_MILES100])</f>
        <v>92.367301940917969</v>
      </c>
      <c r="AB257" s="178">
        <f>(FME_Ranking1[[#This Row],[Miles Raw]]/$AA$2)*100</f>
        <v>1.2144643519895553</v>
      </c>
      <c r="AC257" s="178">
        <f>FME_Ranking1[[#This Row],[Miles Score (Normalized, Unweighted)]]*$AA$3</f>
        <v>0.12144643519895554</v>
      </c>
      <c r="AD257" s="255">
        <f>_xlfn.XLOOKUP(FME_Ranking1[[#This Row],[FME ID]],FME_Input[FME_ID],FME_Input[FARMACRE100])</f>
        <v>15993.650390625</v>
      </c>
      <c r="AE257" s="230">
        <f>(FME_Ranking1[[#This Row],[Ag Land Raw]]/$AD$2)*100</f>
        <v>0.65950654647439366</v>
      </c>
      <c r="AF257" s="231">
        <f>FME_Ranking1[[#This Row],[Ag Land Score (Normalized, Unweighted)]]*$AD$3</f>
        <v>3.2975327323719682E-2</v>
      </c>
      <c r="AG25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1.0350254580307452</v>
      </c>
      <c r="AH257" s="406">
        <f t="shared" si="3"/>
        <v>264</v>
      </c>
      <c r="AI25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1.0350254580307452</v>
      </c>
      <c r="AJ257" s="257">
        <f>FME_Ranking1[[#This Row],[Addition check]]-FME_Ranking1[[#This Row],[Weighted Score Based on Normalized Reported Factors]]</f>
        <v>0</v>
      </c>
      <c r="AK257" s="178">
        <f>_xlfn.RANK.EQ(AI257,$AI$6:$AI$2341,0)+COUNTIF($AI$6:AI257,AI257)-1</f>
        <v>264</v>
      </c>
    </row>
    <row r="258" spans="1:37" ht="12" customHeight="1" x14ac:dyDescent="0.25">
      <c r="A258" t="s">
        <v>4291</v>
      </c>
      <c r="B258">
        <f>_xlfn.XLOOKUP(FME_Ranking1[[#This Row],[FME ID]],FME_Input[FME_ID],FME_Input[RFPG_NUM])</f>
        <v>3</v>
      </c>
      <c r="C258" t="str">
        <f>_xlfn.XLOOKUP(FME_Ranking1[[#This Row],[FME ID]],FME_Input[FME_ID],FME_Input[FME_NAME])</f>
        <v>Polk County DMP</v>
      </c>
      <c r="D258" t="str">
        <f>_xlfn.XLOOKUP(FME_Ranking1[[#This Row],[FME ID]],FME_Input[FME_ID],FME_Input[DESCR])</f>
        <v>Evaluate County and identify future projects.</v>
      </c>
      <c r="E258" s="256">
        <f>_xlfn.XLOOKUP(FME_Ranking1[[#This Row],[FME ID]],FME_Input[FME_ID],FME_Input[FME_COST])</f>
        <v>500000</v>
      </c>
      <c r="F258" t="str">
        <f>_xlfn.XLOOKUP(FME_Ranking1[[#This Row],[FME ID]],FME_Input[FME_ID],FME_Input[EMER_NEED])</f>
        <v>No</v>
      </c>
      <c r="G258">
        <f>IF(FME_Ranking!F258="Yes",100,0)</f>
        <v>0</v>
      </c>
      <c r="H258">
        <f>FME_Ranking1[[#This Row],[Emergency Need Score (Normalized, Unweighted)]]*$F$3</f>
        <v>0</v>
      </c>
      <c r="I258" s="246">
        <f>_xlfn.XLOOKUP(FME_Ranking1[[#This Row],[FME ID]],FME_Input[FME_ID],FME_Input[STRUCT_100])</f>
        <v>3485</v>
      </c>
      <c r="J258" s="178">
        <f>(FME_Ranking1[[#This Row],[Structures 100 Raw]]/I$2)*100</f>
        <v>1.8661911493809709</v>
      </c>
      <c r="K258" s="178">
        <f>FME_Ranking1[[#This Row],[Structures 100  Score (Normalized, Unweighted)]]*$I$3</f>
        <v>0.27992867240714564</v>
      </c>
      <c r="L258" s="246">
        <f>_xlfn.XLOOKUP(FME_Ranking1[[#This Row],[FME ID]],FME_Input[FME_ID],FME_Input[RES_STRUCT100])</f>
        <v>3119</v>
      </c>
      <c r="M258" s="230">
        <f>(FME_Ranking1[[#This Row],[Res Structures Raw]]/L$2)*100</f>
        <v>2.2092051394653711</v>
      </c>
      <c r="N258" s="180">
        <f>FME_Ranking1[[#This Row],[Res Structures Score (Normalized, Unweighted)]]*$L$3</f>
        <v>0.22092051394653711</v>
      </c>
      <c r="O258" s="244">
        <f>_xlfn.XLOOKUP(FME_Ranking1[[#This Row],[FME ID]],FME_Input[FME_ID],FME_Input[POP100])</f>
        <v>5167</v>
      </c>
      <c r="P258" s="178">
        <f>(FME_Ranking1[[#This Row],[Pop Raw]]/$O$2)*100</f>
        <v>0.5289732370459399</v>
      </c>
      <c r="Q258" s="178">
        <f>FME_Ranking1[[#This Row],[Pop Score (Normalized, Unweighted)]]*$O$3</f>
        <v>7.9345985556890986E-2</v>
      </c>
      <c r="R258" s="137">
        <f>_xlfn.XLOOKUP(FME_Ranking1[[#This Row],[FME ID]],FME_Input[FME_ID],FME_Input[CRITFAC100])</f>
        <v>31</v>
      </c>
      <c r="S258" s="230">
        <f>(FME_Ranking1[[#This Row],[Critical Facilities Raw]]/$R$2)*100</f>
        <v>1.3293310463121784</v>
      </c>
      <c r="T258" s="180">
        <f>FME_Ranking1[[#This Row],[Critical Facilities Score (Normalized, Unweighted)]]*$R$3</f>
        <v>0.2658662092624357</v>
      </c>
      <c r="U258">
        <f>_xlfn.XLOOKUP(FME_Ranking1[[#This Row],[FME ID]],FME_Input[FME_ID],FME_Input[LWC])</f>
        <v>3</v>
      </c>
      <c r="V258" s="178">
        <f>(FME_Ranking1[[#This Row],[LWC Raw]]/$U$2)*100</f>
        <v>0.17271157167530224</v>
      </c>
      <c r="W258" s="178">
        <f>FME_Ranking1[[#This Row],[LWC Score (Normalized, Unweighted)]]*$U$3</f>
        <v>3.4542314335060449E-2</v>
      </c>
      <c r="X258" s="246">
        <f>_xlfn.XLOOKUP(FME_Ranking1[[#This Row],[FME ID]],FME_Input[FME_ID],FME_Input[ROADCLS])</f>
        <v>0</v>
      </c>
      <c r="Y258" s="230">
        <f>(FME_Ranking1[[#This Row],[Closures Raw]]/$X$2)*100</f>
        <v>0</v>
      </c>
      <c r="Z258" s="180">
        <f>FME_Ranking1[[#This Row],[Closures Score (Normalized, Unweighted)]]*$X$3</f>
        <v>0</v>
      </c>
      <c r="AA258" s="253">
        <f>_xlfn.XLOOKUP(FME_Ranking1[[#This Row],[FME ID]],FME_Input[FME_ID],FME_Input[ROAD_MILES100])</f>
        <v>92.367301940917969</v>
      </c>
      <c r="AB258" s="178">
        <f>(FME_Ranking1[[#This Row],[Miles Raw]]/$AA$2)*100</f>
        <v>1.2144643519895553</v>
      </c>
      <c r="AC258" s="178">
        <f>FME_Ranking1[[#This Row],[Miles Score (Normalized, Unweighted)]]*$AA$3</f>
        <v>0.12144643519895554</v>
      </c>
      <c r="AD258" s="255">
        <f>_xlfn.XLOOKUP(FME_Ranking1[[#This Row],[FME ID]],FME_Input[FME_ID],FME_Input[FARMACRE100])</f>
        <v>15993.650390625</v>
      </c>
      <c r="AE258" s="230">
        <f>(FME_Ranking1[[#This Row],[Ag Land Raw]]/$AD$2)*100</f>
        <v>0.65950654647439366</v>
      </c>
      <c r="AF258" s="231">
        <f>FME_Ranking1[[#This Row],[Ag Land Score (Normalized, Unweighted)]]*$AD$3</f>
        <v>3.2975327323719682E-2</v>
      </c>
      <c r="AG25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1.0350254580307452</v>
      </c>
      <c r="AH258" s="406">
        <f t="shared" si="3"/>
        <v>264</v>
      </c>
      <c r="AI25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1.0350254580307452</v>
      </c>
      <c r="AJ258" s="257">
        <f>FME_Ranking1[[#This Row],[Addition check]]-FME_Ranking1[[#This Row],[Weighted Score Based on Normalized Reported Factors]]</f>
        <v>0</v>
      </c>
      <c r="AK258" s="178">
        <f>_xlfn.RANK.EQ(AI258,$AI$6:$AI$2341,0)+COUNTIF($AI$6:AI258,AI258)-1</f>
        <v>265</v>
      </c>
    </row>
    <row r="259" spans="1:37" ht="12" customHeight="1" x14ac:dyDescent="0.25">
      <c r="A259" t="s">
        <v>4885</v>
      </c>
      <c r="B259">
        <f>_xlfn.XLOOKUP(FME_Ranking1[[#This Row],[FME ID]],FME_Input[FME_ID],FME_Input[RFPG_NUM])</f>
        <v>3</v>
      </c>
      <c r="C259" t="str">
        <f>_xlfn.XLOOKUP(FME_Ranking1[[#This Row],[FME ID]],FME_Input[FME_ID],FME_Input[FME_NAME])</f>
        <v xml:space="preserve">Polk County Road and Drainage Improvements </v>
      </c>
      <c r="D259" t="str">
        <f>_xlfn.XLOOKUP(FME_Ranking1[[#This Row],[FME ID]],FME_Input[FME_ID],FME_Input[DESCR])</f>
        <v>Evaluate road elevation and drainage improvements.</v>
      </c>
      <c r="E259" s="256">
        <f>_xlfn.XLOOKUP(FME_Ranking1[[#This Row],[FME ID]],FME_Input[FME_ID],FME_Input[FME_COST])</f>
        <v>500000</v>
      </c>
      <c r="F259" t="str">
        <f>_xlfn.XLOOKUP(FME_Ranking1[[#This Row],[FME ID]],FME_Input[FME_ID],FME_Input[EMER_NEED])</f>
        <v>No</v>
      </c>
      <c r="G259">
        <f>IF(FME_Ranking!F259="Yes",100,0)</f>
        <v>0</v>
      </c>
      <c r="H259">
        <f>FME_Ranking1[[#This Row],[Emergency Need Score (Normalized, Unweighted)]]*$F$3</f>
        <v>0</v>
      </c>
      <c r="I259" s="246">
        <f>_xlfn.XLOOKUP(FME_Ranking1[[#This Row],[FME ID]],FME_Input[FME_ID],FME_Input[STRUCT_100])</f>
        <v>3485</v>
      </c>
      <c r="J259" s="178">
        <f>(FME_Ranking1[[#This Row],[Structures 100 Raw]]/I$2)*100</f>
        <v>1.8661911493809709</v>
      </c>
      <c r="K259" s="178">
        <f>FME_Ranking1[[#This Row],[Structures 100  Score (Normalized, Unweighted)]]*$I$3</f>
        <v>0.27992867240714564</v>
      </c>
      <c r="L259" s="246">
        <f>_xlfn.XLOOKUP(FME_Ranking1[[#This Row],[FME ID]],FME_Input[FME_ID],FME_Input[RES_STRUCT100])</f>
        <v>3119</v>
      </c>
      <c r="M259" s="230">
        <f>(FME_Ranking1[[#This Row],[Res Structures Raw]]/L$2)*100</f>
        <v>2.2092051394653711</v>
      </c>
      <c r="N259" s="180">
        <f>FME_Ranking1[[#This Row],[Res Structures Score (Normalized, Unweighted)]]*$L$3</f>
        <v>0.22092051394653711</v>
      </c>
      <c r="O259" s="244">
        <f>_xlfn.XLOOKUP(FME_Ranking1[[#This Row],[FME ID]],FME_Input[FME_ID],FME_Input[POP100])</f>
        <v>5167</v>
      </c>
      <c r="P259" s="178">
        <f>(FME_Ranking1[[#This Row],[Pop Raw]]/$O$2)*100</f>
        <v>0.5289732370459399</v>
      </c>
      <c r="Q259" s="178">
        <f>FME_Ranking1[[#This Row],[Pop Score (Normalized, Unweighted)]]*$O$3</f>
        <v>7.9345985556890986E-2</v>
      </c>
      <c r="R259" s="137">
        <f>_xlfn.XLOOKUP(FME_Ranking1[[#This Row],[FME ID]],FME_Input[FME_ID],FME_Input[CRITFAC100])</f>
        <v>31</v>
      </c>
      <c r="S259" s="230">
        <f>(FME_Ranking1[[#This Row],[Critical Facilities Raw]]/$R$2)*100</f>
        <v>1.3293310463121784</v>
      </c>
      <c r="T259" s="180">
        <f>FME_Ranking1[[#This Row],[Critical Facilities Score (Normalized, Unweighted)]]*$R$3</f>
        <v>0.2658662092624357</v>
      </c>
      <c r="U259">
        <f>_xlfn.XLOOKUP(FME_Ranking1[[#This Row],[FME ID]],FME_Input[FME_ID],FME_Input[LWC])</f>
        <v>3</v>
      </c>
      <c r="V259" s="178">
        <f>(FME_Ranking1[[#This Row],[LWC Raw]]/$U$2)*100</f>
        <v>0.17271157167530224</v>
      </c>
      <c r="W259" s="178">
        <f>FME_Ranking1[[#This Row],[LWC Score (Normalized, Unweighted)]]*$U$3</f>
        <v>3.4542314335060449E-2</v>
      </c>
      <c r="X259" s="246">
        <f>_xlfn.XLOOKUP(FME_Ranking1[[#This Row],[FME ID]],FME_Input[FME_ID],FME_Input[ROADCLS])</f>
        <v>0</v>
      </c>
      <c r="Y259" s="230">
        <f>(FME_Ranking1[[#This Row],[Closures Raw]]/$X$2)*100</f>
        <v>0</v>
      </c>
      <c r="Z259" s="180">
        <f>FME_Ranking1[[#This Row],[Closures Score (Normalized, Unweighted)]]*$X$3</f>
        <v>0</v>
      </c>
      <c r="AA259" s="253">
        <f>_xlfn.XLOOKUP(FME_Ranking1[[#This Row],[FME ID]],FME_Input[FME_ID],FME_Input[ROAD_MILES100])</f>
        <v>92.367301940917969</v>
      </c>
      <c r="AB259" s="178">
        <f>(FME_Ranking1[[#This Row],[Miles Raw]]/$AA$2)*100</f>
        <v>1.2144643519895553</v>
      </c>
      <c r="AC259" s="178">
        <f>FME_Ranking1[[#This Row],[Miles Score (Normalized, Unweighted)]]*$AA$3</f>
        <v>0.12144643519895554</v>
      </c>
      <c r="AD259" s="255">
        <f>_xlfn.XLOOKUP(FME_Ranking1[[#This Row],[FME ID]],FME_Input[FME_ID],FME_Input[FARMACRE100])</f>
        <v>15993.650390625</v>
      </c>
      <c r="AE259" s="230">
        <f>(FME_Ranking1[[#This Row],[Ag Land Raw]]/$AD$2)*100</f>
        <v>0.65950654647439366</v>
      </c>
      <c r="AF259" s="231">
        <f>FME_Ranking1[[#This Row],[Ag Land Score (Normalized, Unweighted)]]*$AD$3</f>
        <v>3.2975327323719682E-2</v>
      </c>
      <c r="AG25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1.0350254580307452</v>
      </c>
      <c r="AH259" s="406">
        <f t="shared" si="3"/>
        <v>264</v>
      </c>
      <c r="AI25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1.0350254580307452</v>
      </c>
      <c r="AJ259" s="257">
        <f>FME_Ranking1[[#This Row],[Addition check]]-FME_Ranking1[[#This Row],[Weighted Score Based on Normalized Reported Factors]]</f>
        <v>0</v>
      </c>
      <c r="AK259" s="178">
        <f>_xlfn.RANK.EQ(AI259,$AI$6:$AI$2341,0)+COUNTIF($AI$6:AI259,AI259)-1</f>
        <v>266</v>
      </c>
    </row>
    <row r="260" spans="1:37" ht="12" customHeight="1" x14ac:dyDescent="0.25">
      <c r="A260" t="s">
        <v>8593</v>
      </c>
      <c r="B260">
        <f>_xlfn.XLOOKUP(FME_Ranking1[[#This Row],[FME ID]],FME_Input[FME_ID],FME_Input[RFPG_NUM])</f>
        <v>11</v>
      </c>
      <c r="C260" t="str">
        <f>_xlfn.XLOOKUP(FME_Ranking1[[#This Row],[FME ID]],FME_Input[FME_ID],FME_Input[FME_NAME])</f>
        <v>Kerr ISD Storm Drainage Infrastructure Project Planning</v>
      </c>
      <c r="D260" t="str">
        <f>_xlfn.XLOOKUP(FME_Ranking1[[#This Row],[FME ID]],FME_Input[FME_ID],FME_Input[DESCR])</f>
        <v>Project planning for proposed project to construct new storm drainage infrastructure to reduce the potential impacts of future flood events.</v>
      </c>
      <c r="E260" s="256">
        <f>_xlfn.XLOOKUP(FME_Ranking1[[#This Row],[FME ID]],FME_Input[FME_ID],FME_Input[FME_COST])</f>
        <v>100000</v>
      </c>
      <c r="F260" t="str">
        <f>_xlfn.XLOOKUP(FME_Ranking1[[#This Row],[FME ID]],FME_Input[FME_ID],FME_Input[EMER_NEED])</f>
        <v>No</v>
      </c>
      <c r="G260">
        <f>IF(FME_Ranking!F260="Yes",100,0)</f>
        <v>0</v>
      </c>
      <c r="H260">
        <f>FME_Ranking1[[#This Row],[Emergency Need Score (Normalized, Unweighted)]]*$F$3</f>
        <v>0</v>
      </c>
      <c r="I260" s="246">
        <f>_xlfn.XLOOKUP(FME_Ranking1[[#This Row],[FME ID]],FME_Input[FME_ID],FME_Input[STRUCT_100])</f>
        <v>1968</v>
      </c>
      <c r="J260" s="178">
        <f>(FME_Ranking1[[#This Row],[Structures 100 Raw]]/I$2)*100</f>
        <v>1.0538491196504305</v>
      </c>
      <c r="K260" s="178">
        <f>FME_Ranking1[[#This Row],[Structures 100  Score (Normalized, Unweighted)]]*$I$3</f>
        <v>0.15807736794756458</v>
      </c>
      <c r="L260" s="246">
        <f>_xlfn.XLOOKUP(FME_Ranking1[[#This Row],[FME ID]],FME_Input[FME_ID],FME_Input[RES_STRUCT100])</f>
        <v>1348</v>
      </c>
      <c r="M260" s="230">
        <f>(FME_Ranking1[[#This Row],[Res Structures Raw]]/L$2)*100</f>
        <v>0.95479593715912781</v>
      </c>
      <c r="N260" s="180">
        <f>FME_Ranking1[[#This Row],[Res Structures Score (Normalized, Unweighted)]]*$L$3</f>
        <v>9.5479593715912789E-2</v>
      </c>
      <c r="O260" s="244">
        <f>_xlfn.XLOOKUP(FME_Ranking1[[#This Row],[FME ID]],FME_Input[FME_ID],FME_Input[POP100])</f>
        <v>6355</v>
      </c>
      <c r="P260" s="178">
        <f>(FME_Ranking1[[#This Row],[Pop Raw]]/$O$2)*100</f>
        <v>0.65059510768859063</v>
      </c>
      <c r="Q260" s="178">
        <f>FME_Ranking1[[#This Row],[Pop Score (Normalized, Unweighted)]]*$O$3</f>
        <v>9.7589266153288598E-2</v>
      </c>
      <c r="R260" s="137">
        <f>_xlfn.XLOOKUP(FME_Ranking1[[#This Row],[FME ID]],FME_Input[FME_ID],FME_Input[CRITFAC100])</f>
        <v>4</v>
      </c>
      <c r="S260" s="230">
        <f>(FME_Ranking1[[#This Row],[Critical Facilities Raw]]/$R$2)*100</f>
        <v>0.17152658662092624</v>
      </c>
      <c r="T260" s="180">
        <f>FME_Ranking1[[#This Row],[Critical Facilities Score (Normalized, Unweighted)]]*$R$3</f>
        <v>3.430531732418525E-2</v>
      </c>
      <c r="U260">
        <f>_xlfn.XLOOKUP(FME_Ranking1[[#This Row],[FME ID]],FME_Input[FME_ID],FME_Input[LWC])</f>
        <v>43</v>
      </c>
      <c r="V260" s="178">
        <f>(FME_Ranking1[[#This Row],[LWC Raw]]/$U$2)*100</f>
        <v>2.4755325273459987</v>
      </c>
      <c r="W260" s="178">
        <f>FME_Ranking1[[#This Row],[LWC Score (Normalized, Unweighted)]]*$U$3</f>
        <v>0.49510650546919976</v>
      </c>
      <c r="X260" s="246">
        <f>_xlfn.XLOOKUP(FME_Ranking1[[#This Row],[FME ID]],FME_Input[FME_ID],FME_Input[ROADCLS])</f>
        <v>0</v>
      </c>
      <c r="Y260" s="230">
        <f>(FME_Ranking1[[#This Row],[Closures Raw]]/$X$2)*100</f>
        <v>0</v>
      </c>
      <c r="Z260" s="180">
        <f>FME_Ranking1[[#This Row],[Closures Score (Normalized, Unweighted)]]*$X$3</f>
        <v>0</v>
      </c>
      <c r="AA260" s="253">
        <f>_xlfn.XLOOKUP(FME_Ranking1[[#This Row],[FME ID]],FME_Input[FME_ID],FME_Input[ROAD_MILES100])</f>
        <v>41.134723663330078</v>
      </c>
      <c r="AB260" s="178">
        <f>(FME_Ranking1[[#This Row],[Miles Raw]]/$AA$2)*100</f>
        <v>0.54084783758228616</v>
      </c>
      <c r="AC260" s="178">
        <f>FME_Ranking1[[#This Row],[Miles Score (Normalized, Unweighted)]]*$AA$3</f>
        <v>5.4084783758228616E-2</v>
      </c>
      <c r="AD260" s="255">
        <f>_xlfn.XLOOKUP(FME_Ranking1[[#This Row],[FME ID]],FME_Input[FME_ID],FME_Input[FARMACRE100])</f>
        <v>2781.7548828125</v>
      </c>
      <c r="AE260" s="230">
        <f>(FME_Ranking1[[#This Row],[Ag Land Raw]]/$AD$2)*100</f>
        <v>0.11470711883119146</v>
      </c>
      <c r="AF260" s="231">
        <f>FME_Ranking1[[#This Row],[Ag Land Score (Normalized, Unweighted)]]*$AD$3</f>
        <v>5.7353559415595735E-3</v>
      </c>
      <c r="AG26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0.94037819030993908</v>
      </c>
      <c r="AH260" s="406">
        <f t="shared" si="3"/>
        <v>290</v>
      </c>
      <c r="AI26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0.94037819030993908</v>
      </c>
      <c r="AJ260" s="257">
        <f>FME_Ranking1[[#This Row],[Addition check]]-FME_Ranking1[[#This Row],[Weighted Score Based on Normalized Reported Factors]]</f>
        <v>0</v>
      </c>
      <c r="AK260" s="178">
        <f>_xlfn.RANK.EQ(AI260,$AI$6:$AI$2341,0)+COUNTIF($AI$6:AI260,AI260)-1</f>
        <v>290</v>
      </c>
    </row>
    <row r="261" spans="1:37" ht="12" customHeight="1" x14ac:dyDescent="0.25">
      <c r="A261" t="s">
        <v>5440</v>
      </c>
      <c r="B261">
        <f>_xlfn.XLOOKUP(FME_Ranking1[[#This Row],[FME ID]],FME_Input[FME_ID],FME_Input[RFPG_NUM])</f>
        <v>4</v>
      </c>
      <c r="C261" t="str">
        <f>_xlfn.XLOOKUP(FME_Ranking1[[#This Row],[FME ID]],FME_Input[FME_ID],FME_Input[FME_NAME])</f>
        <v>Hunt County Flood Hazard Mapping</v>
      </c>
      <c r="D261" t="str">
        <f>_xlfn.XLOOKUP(FME_Ranking1[[#This Row],[FME ID]],FME_Input[FME_ID],FME_Input[DESCR])</f>
        <v>Complete a detailed study within the county extent to delineate an updated flood hazard area, which can be used for regulatory purposes.</v>
      </c>
      <c r="E261" s="256">
        <f>_xlfn.XLOOKUP(FME_Ranking1[[#This Row],[FME ID]],FME_Input[FME_ID],FME_Input[FME_COST])</f>
        <v>4000000</v>
      </c>
      <c r="F261" t="str">
        <f>_xlfn.XLOOKUP(FME_Ranking1[[#This Row],[FME ID]],FME_Input[FME_ID],FME_Input[EMER_NEED])</f>
        <v>Yes</v>
      </c>
      <c r="G261">
        <f>IF(FME_Ranking!F261="Yes",100,0)</f>
        <v>100</v>
      </c>
      <c r="H261">
        <f>FME_Ranking1[[#This Row],[Emergency Need Score (Normalized, Unweighted)]]*$F$3</f>
        <v>0</v>
      </c>
      <c r="I261" s="246">
        <f>_xlfn.XLOOKUP(FME_Ranking1[[#This Row],[FME ID]],FME_Input[FME_ID],FME_Input[STRUCT_100])</f>
        <v>2297</v>
      </c>
      <c r="J261" s="178">
        <f>(FME_Ranking1[[#This Row],[Structures 100 Raw]]/I$2)*100</f>
        <v>1.2300261320310157</v>
      </c>
      <c r="K261" s="178">
        <f>FME_Ranking1[[#This Row],[Structures 100  Score (Normalized, Unweighted)]]*$I$3</f>
        <v>0.18450391980465236</v>
      </c>
      <c r="L261" s="246">
        <f>_xlfn.XLOOKUP(FME_Ranking1[[#This Row],[FME ID]],FME_Input[FME_ID],FME_Input[RES_STRUCT100])</f>
        <v>1325</v>
      </c>
      <c r="M261" s="230">
        <f>(FME_Ranking1[[#This Row],[Res Structures Raw]]/L$2)*100</f>
        <v>0.93850490855774815</v>
      </c>
      <c r="N261" s="180">
        <f>FME_Ranking1[[#This Row],[Res Structures Score (Normalized, Unweighted)]]*$L$3</f>
        <v>9.3850490855774821E-2</v>
      </c>
      <c r="O261" s="244">
        <f>_xlfn.XLOOKUP(FME_Ranking1[[#This Row],[FME ID]],FME_Input[FME_ID],FME_Input[POP100])</f>
        <v>5968</v>
      </c>
      <c r="P261" s="178">
        <f>(FME_Ranking1[[#This Row],[Pop Raw]]/$O$2)*100</f>
        <v>0.61097586194893927</v>
      </c>
      <c r="Q261" s="178">
        <f>FME_Ranking1[[#This Row],[Pop Score (Normalized, Unweighted)]]*$O$3</f>
        <v>9.1646379292340888E-2</v>
      </c>
      <c r="R261" s="137">
        <f>_xlfn.XLOOKUP(FME_Ranking1[[#This Row],[FME ID]],FME_Input[FME_ID],FME_Input[CRITFAC100])</f>
        <v>45</v>
      </c>
      <c r="S261" s="230">
        <f>(FME_Ranking1[[#This Row],[Critical Facilities Raw]]/$R$2)*100</f>
        <v>1.9296740994854202</v>
      </c>
      <c r="T261" s="180">
        <f>FME_Ranking1[[#This Row],[Critical Facilities Score (Normalized, Unweighted)]]*$R$3</f>
        <v>0.38593481989708406</v>
      </c>
      <c r="U261">
        <f>_xlfn.XLOOKUP(FME_Ranking1[[#This Row],[FME ID]],FME_Input[FME_ID],FME_Input[LWC])</f>
        <v>10</v>
      </c>
      <c r="V261" s="178">
        <f>(FME_Ranking1[[#This Row],[LWC Raw]]/$U$2)*100</f>
        <v>0.57570523891767411</v>
      </c>
      <c r="W261" s="178">
        <f>FME_Ranking1[[#This Row],[LWC Score (Normalized, Unweighted)]]*$U$3</f>
        <v>0.11514104778353483</v>
      </c>
      <c r="X261" s="246">
        <f>_xlfn.XLOOKUP(FME_Ranking1[[#This Row],[FME ID]],FME_Input[FME_ID],FME_Input[ROADCLS])</f>
        <v>10</v>
      </c>
      <c r="Y261" s="230">
        <f>(FME_Ranking1[[#This Row],[Closures Raw]]/$X$2)*100</f>
        <v>0.10514141520344865</v>
      </c>
      <c r="Z261" s="180">
        <f>FME_Ranking1[[#This Row],[Closures Score (Normalized, Unweighted)]]*$X$3</f>
        <v>5.2570707601724328E-3</v>
      </c>
      <c r="AA261" s="253">
        <f>_xlfn.XLOOKUP(FME_Ranking1[[#This Row],[FME ID]],FME_Input[FME_ID],FME_Input[ROAD_MILES100])</f>
        <v>137.46000671386719</v>
      </c>
      <c r="AB261" s="178">
        <f>(FME_Ranking1[[#This Row],[Miles Raw]]/$AA$2)*100</f>
        <v>1.8073525421909444</v>
      </c>
      <c r="AC261" s="178">
        <f>FME_Ranking1[[#This Row],[Miles Score (Normalized, Unweighted)]]*$AA$3</f>
        <v>0.18073525421909445</v>
      </c>
      <c r="AD261" s="255">
        <f>_xlfn.XLOOKUP(FME_Ranking1[[#This Row],[FME ID]],FME_Input[FME_ID],FME_Input[FARMACRE100])</f>
        <v>5.630000114440918</v>
      </c>
      <c r="AE261" s="230">
        <f>(FME_Ranking1[[#This Row],[Ag Land Raw]]/$AD$2)*100</f>
        <v>2.3215600200325956E-4</v>
      </c>
      <c r="AF261" s="231">
        <f>FME_Ranking1[[#This Row],[Ag Land Score (Normalized, Unweighted)]]*$AD$3</f>
        <v>1.1607800100162978E-5</v>
      </c>
      <c r="AG26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1.0570805904127543</v>
      </c>
      <c r="AH261" s="406">
        <f t="shared" si="3"/>
        <v>257</v>
      </c>
      <c r="AI26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1.0570805904127543</v>
      </c>
      <c r="AJ261" s="257">
        <f>FME_Ranking1[[#This Row],[Addition check]]-FME_Ranking1[[#This Row],[Weighted Score Based on Normalized Reported Factors]]</f>
        <v>0</v>
      </c>
      <c r="AK261" s="178">
        <f>_xlfn.RANK.EQ(AI261,$AI$6:$AI$2341,0)+COUNTIF($AI$6:AI261,AI261)-1</f>
        <v>257</v>
      </c>
    </row>
    <row r="262" spans="1:37" ht="12" customHeight="1" x14ac:dyDescent="0.25">
      <c r="A262" t="s">
        <v>10635</v>
      </c>
      <c r="B262">
        <f>_xlfn.XLOOKUP(FME_Ranking1[[#This Row],[FME ID]],FME_Input[FME_ID],FME_Input[RFPG_NUM])</f>
        <v>13</v>
      </c>
      <c r="C262" t="str">
        <f>_xlfn.XLOOKUP(FME_Ranking1[[#This Row],[FME ID]],FME_Input[FME_ID],FME_Input[FME_NAME])</f>
        <v>Aransas County Flood Response Plan</v>
      </c>
      <c r="D262" t="str">
        <f>_xlfn.XLOOKUP(FME_Ranking1[[#This Row],[FME ID]],FME_Input[FME_ID],FME_Input[DESCR])</f>
        <v>Aransas County Multi-Jurisdictional Floodplain Management Plan - Action 3.1.f: A flood response plan that will identify outreach projects that can be utilized to implement a flood information program.</v>
      </c>
      <c r="E262" s="256">
        <f>_xlfn.XLOOKUP(FME_Ranking1[[#This Row],[FME ID]],FME_Input[FME_ID],FME_Input[FME_COST])</f>
        <v>50000</v>
      </c>
      <c r="F262" t="str">
        <f>_xlfn.XLOOKUP(FME_Ranking1[[#This Row],[FME ID]],FME_Input[FME_ID],FME_Input[EMER_NEED])</f>
        <v>Yes</v>
      </c>
      <c r="G262">
        <f>IF(FME_Ranking!F262="Yes",100,0)</f>
        <v>100</v>
      </c>
      <c r="H262">
        <f>FME_Ranking1[[#This Row],[Emergency Need Score (Normalized, Unweighted)]]*$F$3</f>
        <v>0</v>
      </c>
      <c r="I262" s="246">
        <f>_xlfn.XLOOKUP(FME_Ranking1[[#This Row],[FME ID]],FME_Input[FME_ID],FME_Input[STRUCT_100])</f>
        <v>3334</v>
      </c>
      <c r="J262" s="178">
        <f>(FME_Ranking1[[#This Row],[Structures 100 Raw]]/I$2)*100</f>
        <v>1.7853317911151096</v>
      </c>
      <c r="K262" s="178">
        <f>FME_Ranking1[[#This Row],[Structures 100  Score (Normalized, Unweighted)]]*$I$3</f>
        <v>0.26779976866726646</v>
      </c>
      <c r="L262" s="246">
        <f>_xlfn.XLOOKUP(FME_Ranking1[[#This Row],[FME ID]],FME_Input[FME_ID],FME_Input[RES_STRUCT100])</f>
        <v>2828</v>
      </c>
      <c r="M262" s="230">
        <f>(FME_Ranking1[[#This Row],[Res Structures Raw]]/L$2)*100</f>
        <v>2.0030882123783487</v>
      </c>
      <c r="N262" s="180">
        <f>FME_Ranking1[[#This Row],[Res Structures Score (Normalized, Unweighted)]]*$L$3</f>
        <v>0.20030882123783489</v>
      </c>
      <c r="O262" s="244">
        <f>_xlfn.XLOOKUP(FME_Ranking1[[#This Row],[FME ID]],FME_Input[FME_ID],FME_Input[POP100])</f>
        <v>4790</v>
      </c>
      <c r="P262" s="178">
        <f>(FME_Ranking1[[#This Row],[Pop Raw]]/$O$2)*100</f>
        <v>0.49037774442617615</v>
      </c>
      <c r="Q262" s="178">
        <f>FME_Ranking1[[#This Row],[Pop Score (Normalized, Unweighted)]]*$O$3</f>
        <v>7.3556661663926423E-2</v>
      </c>
      <c r="R262" s="137">
        <f>_xlfn.XLOOKUP(FME_Ranking1[[#This Row],[FME ID]],FME_Input[FME_ID],FME_Input[CRITFAC100])</f>
        <v>4</v>
      </c>
      <c r="S262" s="230">
        <f>(FME_Ranking1[[#This Row],[Critical Facilities Raw]]/$R$2)*100</f>
        <v>0.17152658662092624</v>
      </c>
      <c r="T262" s="180">
        <f>FME_Ranking1[[#This Row],[Critical Facilities Score (Normalized, Unweighted)]]*$R$3</f>
        <v>3.430531732418525E-2</v>
      </c>
      <c r="U262">
        <f>_xlfn.XLOOKUP(FME_Ranking1[[#This Row],[FME ID]],FME_Input[FME_ID],FME_Input[LWC])</f>
        <v>0</v>
      </c>
      <c r="V262" s="178">
        <f>(FME_Ranking1[[#This Row],[LWC Raw]]/$U$2)*100</f>
        <v>0</v>
      </c>
      <c r="W262" s="178">
        <f>FME_Ranking1[[#This Row],[LWC Score (Normalized, Unweighted)]]*$U$3</f>
        <v>0</v>
      </c>
      <c r="X262" s="246">
        <f>_xlfn.XLOOKUP(FME_Ranking1[[#This Row],[FME ID]],FME_Input[FME_ID],FME_Input[ROADCLS])</f>
        <v>548</v>
      </c>
      <c r="Y262" s="230">
        <f>(FME_Ranking1[[#This Row],[Closures Raw]]/$X$2)*100</f>
        <v>5.7617495531489853</v>
      </c>
      <c r="Z262" s="180">
        <f>FME_Ranking1[[#This Row],[Closures Score (Normalized, Unweighted)]]*$X$3</f>
        <v>0.2880874776574493</v>
      </c>
      <c r="AA262" s="253">
        <f>_xlfn.XLOOKUP(FME_Ranking1[[#This Row],[FME ID]],FME_Input[FME_ID],FME_Input[ROAD_MILES100])</f>
        <v>103.3478622436523</v>
      </c>
      <c r="AB262" s="178">
        <f>(FME_Ranking1[[#This Row],[Miles Raw]]/$AA$2)*100</f>
        <v>1.358839025411027</v>
      </c>
      <c r="AC262" s="178">
        <f>FME_Ranking1[[#This Row],[Miles Score (Normalized, Unweighted)]]*$AA$3</f>
        <v>0.13588390254110269</v>
      </c>
      <c r="AD262" s="255">
        <f>_xlfn.XLOOKUP(FME_Ranking1[[#This Row],[FME ID]],FME_Input[FME_ID],FME_Input[FARMACRE100])</f>
        <v>571.30499267578125</v>
      </c>
      <c r="AE262" s="230">
        <f>(FME_Ranking1[[#This Row],[Ag Land Raw]]/$AD$2)*100</f>
        <v>2.3558060449041709E-2</v>
      </c>
      <c r="AF262" s="231">
        <f>FME_Ranking1[[#This Row],[Ag Land Score (Normalized, Unweighted)]]*$AD$3</f>
        <v>1.1779030224520854E-3</v>
      </c>
      <c r="AG26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1.0011198521142173</v>
      </c>
      <c r="AH262" s="406">
        <f t="shared" ref="AH262:AH325" si="4">_xlfn.RANK.EQ(AG262,$AG$6:$AG$2341,0)</f>
        <v>283</v>
      </c>
      <c r="AI26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1.0011198521142173</v>
      </c>
      <c r="AJ262" s="257">
        <f>FME_Ranking1[[#This Row],[Addition check]]-FME_Ranking1[[#This Row],[Weighted Score Based on Normalized Reported Factors]]</f>
        <v>0</v>
      </c>
      <c r="AK262" s="178">
        <f>_xlfn.RANK.EQ(AI262,$AI$6:$AI$2341,0)+COUNTIF($AI$6:AI262,AI262)-1</f>
        <v>283</v>
      </c>
    </row>
    <row r="263" spans="1:37" ht="12" customHeight="1" x14ac:dyDescent="0.25">
      <c r="A263" t="s">
        <v>5844</v>
      </c>
      <c r="B263">
        <f>_xlfn.XLOOKUP(FME_Ranking1[[#This Row],[FME ID]],FME_Input[FME_ID],FME_Input[RFPG_NUM])</f>
        <v>5</v>
      </c>
      <c r="C263" t="str">
        <f>_xlfn.XLOOKUP(FME_Ranking1[[#This Row],[FME ID]],FME_Input[FME_ID],FME_Input[FME_NAME])</f>
        <v>Ditch 100 A (East Caldwood) Improvements</v>
      </c>
      <c r="D263" t="str">
        <f>_xlfn.XLOOKUP(FME_Ranking1[[#This Row],[FME ID]],FME_Input[FME_ID],FME_Input[DESCR])</f>
        <v>Evaluate project to quantify benefits, evaluate impacts, and begin design. Project consists of 2,200 ft of channel to be retrofitted with an underground culvert to allow for shaping and resizing the ditch to allow for continued maintenance.</v>
      </c>
      <c r="E263" s="256">
        <f>_xlfn.XLOOKUP(FME_Ranking1[[#This Row],[FME ID]],FME_Input[FME_ID],FME_Input[FME_COST])</f>
        <v>75000</v>
      </c>
      <c r="F263" t="str">
        <f>_xlfn.XLOOKUP(FME_Ranking1[[#This Row],[FME ID]],FME_Input[FME_ID],FME_Input[EMER_NEED])</f>
        <v>Yes</v>
      </c>
      <c r="G263">
        <f>IF(FME_Ranking!F263="Yes",100,0)</f>
        <v>100</v>
      </c>
      <c r="H263">
        <f>FME_Ranking1[[#This Row],[Emergency Need Score (Normalized, Unweighted)]]*$F$3</f>
        <v>0</v>
      </c>
      <c r="I263" s="246">
        <f>_xlfn.XLOOKUP(FME_Ranking1[[#This Row],[FME ID]],FME_Input[FME_ID],FME_Input[STRUCT_100])</f>
        <v>2893</v>
      </c>
      <c r="J263" s="178">
        <f>(FME_Ranking1[[#This Row],[Structures 100 Raw]]/I$2)*100</f>
        <v>1.5491796255836867</v>
      </c>
      <c r="K263" s="178">
        <f>FME_Ranking1[[#This Row],[Structures 100  Score (Normalized, Unweighted)]]*$I$3</f>
        <v>0.232376943837553</v>
      </c>
      <c r="L263" s="246">
        <f>_xlfn.XLOOKUP(FME_Ranking1[[#This Row],[FME ID]],FME_Input[FME_ID],FME_Input[RES_STRUCT100])</f>
        <v>2271</v>
      </c>
      <c r="M263" s="230">
        <f>(FME_Ranking1[[#This Row],[Res Structures Raw]]/L$2)*100</f>
        <v>1.608561997988412</v>
      </c>
      <c r="N263" s="180">
        <f>FME_Ranking1[[#This Row],[Res Structures Score (Normalized, Unweighted)]]*$L$3</f>
        <v>0.16085619979884122</v>
      </c>
      <c r="O263" s="244">
        <f>_xlfn.XLOOKUP(FME_Ranking1[[#This Row],[FME ID]],FME_Input[FME_ID],FME_Input[POP100])</f>
        <v>13665</v>
      </c>
      <c r="P263" s="178">
        <f>(FME_Ranking1[[#This Row],[Pop Raw]]/$O$2)*100</f>
        <v>1.3989586383264503</v>
      </c>
      <c r="Q263" s="178">
        <f>FME_Ranking1[[#This Row],[Pop Score (Normalized, Unweighted)]]*$O$3</f>
        <v>0.20984379574896753</v>
      </c>
      <c r="R263" s="137">
        <f>_xlfn.XLOOKUP(FME_Ranking1[[#This Row],[FME ID]],FME_Input[FME_ID],FME_Input[CRITFAC100])</f>
        <v>22</v>
      </c>
      <c r="S263" s="230">
        <f>(FME_Ranking1[[#This Row],[Critical Facilities Raw]]/$R$2)*100</f>
        <v>0.94339622641509435</v>
      </c>
      <c r="T263" s="180">
        <f>FME_Ranking1[[#This Row],[Critical Facilities Score (Normalized, Unweighted)]]*$R$3</f>
        <v>0.18867924528301888</v>
      </c>
      <c r="U263">
        <f>_xlfn.XLOOKUP(FME_Ranking1[[#This Row],[FME ID]],FME_Input[FME_ID],FME_Input[LWC])</f>
        <v>5</v>
      </c>
      <c r="V263" s="178">
        <f>(FME_Ranking1[[#This Row],[LWC Raw]]/$U$2)*100</f>
        <v>0.28785261945883706</v>
      </c>
      <c r="W263" s="178">
        <f>FME_Ranking1[[#This Row],[LWC Score (Normalized, Unweighted)]]*$U$3</f>
        <v>5.7570523891767415E-2</v>
      </c>
      <c r="X263" s="246">
        <f>_xlfn.XLOOKUP(FME_Ranking1[[#This Row],[FME ID]],FME_Input[FME_ID],FME_Input[ROADCLS])</f>
        <v>5</v>
      </c>
      <c r="Y263" s="230">
        <f>(FME_Ranking1[[#This Row],[Closures Raw]]/$X$2)*100</f>
        <v>5.2570707601724324E-2</v>
      </c>
      <c r="Z263" s="180">
        <f>FME_Ranking1[[#This Row],[Closures Score (Normalized, Unweighted)]]*$X$3</f>
        <v>2.6285353800862164E-3</v>
      </c>
      <c r="AA263" s="253">
        <f>_xlfn.XLOOKUP(FME_Ranking1[[#This Row],[FME ID]],FME_Input[FME_ID],FME_Input[ROAD_MILES100])</f>
        <v>70.394691467285156</v>
      </c>
      <c r="AB263" s="178">
        <f>(FME_Ranking1[[#This Row],[Miles Raw]]/$AA$2)*100</f>
        <v>0.92556393398829984</v>
      </c>
      <c r="AC263" s="178">
        <f>FME_Ranking1[[#This Row],[Miles Score (Normalized, Unweighted)]]*$AA$3</f>
        <v>9.2556393398829984E-2</v>
      </c>
      <c r="AD263" s="255">
        <f>_xlfn.XLOOKUP(FME_Ranking1[[#This Row],[FME ID]],FME_Input[FME_ID],FME_Input[FARMACRE100])</f>
        <v>4386.23291015625</v>
      </c>
      <c r="AE263" s="230">
        <f>(FME_Ranking1[[#This Row],[Ag Land Raw]]/$AD$2)*100</f>
        <v>0.18086861022703868</v>
      </c>
      <c r="AF263" s="231">
        <f>FME_Ranking1[[#This Row],[Ag Land Score (Normalized, Unweighted)]]*$AD$3</f>
        <v>9.0434305113519346E-3</v>
      </c>
      <c r="AG26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0.95355506785041622</v>
      </c>
      <c r="AH263" s="406">
        <f t="shared" si="4"/>
        <v>285</v>
      </c>
      <c r="AI26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0.95355506785041622</v>
      </c>
      <c r="AJ263" s="257">
        <f>FME_Ranking1[[#This Row],[Addition check]]-FME_Ranking1[[#This Row],[Weighted Score Based on Normalized Reported Factors]]</f>
        <v>0</v>
      </c>
      <c r="AK263" s="178">
        <f>_xlfn.RANK.EQ(AI263,$AI$6:$AI$2341,0)+COUNTIF($AI$6:AI263,AI263)-1</f>
        <v>285</v>
      </c>
    </row>
    <row r="264" spans="1:37" ht="12" customHeight="1" x14ac:dyDescent="0.25">
      <c r="A264" t="s">
        <v>5856</v>
      </c>
      <c r="B264">
        <f>_xlfn.XLOOKUP(FME_Ranking1[[#This Row],[FME ID]],FME_Input[FME_ID],FME_Input[RFPG_NUM])</f>
        <v>5</v>
      </c>
      <c r="C264" t="str">
        <f>_xlfn.XLOOKUP(FME_Ranking1[[#This Row],[FME ID]],FME_Input[FME_ID],FME_Input[FME_NAME])</f>
        <v>Ditch 119 Crossings at Yount and Edson</v>
      </c>
      <c r="D264" t="str">
        <f>_xlfn.XLOOKUP(FME_Ranking1[[#This Row],[FME ID]],FME_Input[FME_ID],FME_Input[DESCR])</f>
        <v>Evaluate project to quantify benefits, evaluate impacts, and begin design. Project consists of crossing improvements that will protect about 50 homes and mitigate flood risk on a historically flood prone road.</v>
      </c>
      <c r="E264" s="256">
        <f>_xlfn.XLOOKUP(FME_Ranking1[[#This Row],[FME ID]],FME_Input[FME_ID],FME_Input[FME_COST])</f>
        <v>50000</v>
      </c>
      <c r="F264" t="str">
        <f>_xlfn.XLOOKUP(FME_Ranking1[[#This Row],[FME ID]],FME_Input[FME_ID],FME_Input[EMER_NEED])</f>
        <v>Yes</v>
      </c>
      <c r="G264">
        <f>IF(FME_Ranking!F264="Yes",100,0)</f>
        <v>100</v>
      </c>
      <c r="H264">
        <f>FME_Ranking1[[#This Row],[Emergency Need Score (Normalized, Unweighted)]]*$F$3</f>
        <v>0</v>
      </c>
      <c r="I264" s="246">
        <f>_xlfn.XLOOKUP(FME_Ranking1[[#This Row],[FME ID]],FME_Input[FME_ID],FME_Input[STRUCT_100])</f>
        <v>2893</v>
      </c>
      <c r="J264" s="178">
        <f>(FME_Ranking1[[#This Row],[Structures 100 Raw]]/I$2)*100</f>
        <v>1.5491796255836867</v>
      </c>
      <c r="K264" s="178">
        <f>FME_Ranking1[[#This Row],[Structures 100  Score (Normalized, Unweighted)]]*$I$3</f>
        <v>0.232376943837553</v>
      </c>
      <c r="L264" s="246">
        <f>_xlfn.XLOOKUP(FME_Ranking1[[#This Row],[FME ID]],FME_Input[FME_ID],FME_Input[RES_STRUCT100])</f>
        <v>2271</v>
      </c>
      <c r="M264" s="230">
        <f>(FME_Ranking1[[#This Row],[Res Structures Raw]]/L$2)*100</f>
        <v>1.608561997988412</v>
      </c>
      <c r="N264" s="180">
        <f>FME_Ranking1[[#This Row],[Res Structures Score (Normalized, Unweighted)]]*$L$3</f>
        <v>0.16085619979884122</v>
      </c>
      <c r="O264" s="244">
        <f>_xlfn.XLOOKUP(FME_Ranking1[[#This Row],[FME ID]],FME_Input[FME_ID],FME_Input[POP100])</f>
        <v>13665</v>
      </c>
      <c r="P264" s="178">
        <f>(FME_Ranking1[[#This Row],[Pop Raw]]/$O$2)*100</f>
        <v>1.3989586383264503</v>
      </c>
      <c r="Q264" s="178">
        <f>FME_Ranking1[[#This Row],[Pop Score (Normalized, Unweighted)]]*$O$3</f>
        <v>0.20984379574896753</v>
      </c>
      <c r="R264" s="137">
        <f>_xlfn.XLOOKUP(FME_Ranking1[[#This Row],[FME ID]],FME_Input[FME_ID],FME_Input[CRITFAC100])</f>
        <v>22</v>
      </c>
      <c r="S264" s="230">
        <f>(FME_Ranking1[[#This Row],[Critical Facilities Raw]]/$R$2)*100</f>
        <v>0.94339622641509435</v>
      </c>
      <c r="T264" s="180">
        <f>FME_Ranking1[[#This Row],[Critical Facilities Score (Normalized, Unweighted)]]*$R$3</f>
        <v>0.18867924528301888</v>
      </c>
      <c r="U264">
        <f>_xlfn.XLOOKUP(FME_Ranking1[[#This Row],[FME ID]],FME_Input[FME_ID],FME_Input[LWC])</f>
        <v>5</v>
      </c>
      <c r="V264" s="178">
        <f>(FME_Ranking1[[#This Row],[LWC Raw]]/$U$2)*100</f>
        <v>0.28785261945883706</v>
      </c>
      <c r="W264" s="178">
        <f>FME_Ranking1[[#This Row],[LWC Score (Normalized, Unweighted)]]*$U$3</f>
        <v>5.7570523891767415E-2</v>
      </c>
      <c r="X264" s="246">
        <f>_xlfn.XLOOKUP(FME_Ranking1[[#This Row],[FME ID]],FME_Input[FME_ID],FME_Input[ROADCLS])</f>
        <v>5</v>
      </c>
      <c r="Y264" s="230">
        <f>(FME_Ranking1[[#This Row],[Closures Raw]]/$X$2)*100</f>
        <v>5.2570707601724324E-2</v>
      </c>
      <c r="Z264" s="180">
        <f>FME_Ranking1[[#This Row],[Closures Score (Normalized, Unweighted)]]*$X$3</f>
        <v>2.6285353800862164E-3</v>
      </c>
      <c r="AA264" s="253">
        <f>_xlfn.XLOOKUP(FME_Ranking1[[#This Row],[FME ID]],FME_Input[FME_ID],FME_Input[ROAD_MILES100])</f>
        <v>70.394691467285156</v>
      </c>
      <c r="AB264" s="178">
        <f>(FME_Ranking1[[#This Row],[Miles Raw]]/$AA$2)*100</f>
        <v>0.92556393398829984</v>
      </c>
      <c r="AC264" s="178">
        <f>FME_Ranking1[[#This Row],[Miles Score (Normalized, Unweighted)]]*$AA$3</f>
        <v>9.2556393398829984E-2</v>
      </c>
      <c r="AD264" s="255">
        <f>_xlfn.XLOOKUP(FME_Ranking1[[#This Row],[FME ID]],FME_Input[FME_ID],FME_Input[FARMACRE100])</f>
        <v>4386.23291015625</v>
      </c>
      <c r="AE264" s="230">
        <f>(FME_Ranking1[[#This Row],[Ag Land Raw]]/$AD$2)*100</f>
        <v>0.18086861022703868</v>
      </c>
      <c r="AF264" s="231">
        <f>FME_Ranking1[[#This Row],[Ag Land Score (Normalized, Unweighted)]]*$AD$3</f>
        <v>9.0434305113519346E-3</v>
      </c>
      <c r="AG26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0.95355506785041622</v>
      </c>
      <c r="AH264" s="406">
        <f t="shared" si="4"/>
        <v>285</v>
      </c>
      <c r="AI26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0.95355506785041622</v>
      </c>
      <c r="AJ264" s="257">
        <f>FME_Ranking1[[#This Row],[Addition check]]-FME_Ranking1[[#This Row],[Weighted Score Based on Normalized Reported Factors]]</f>
        <v>0</v>
      </c>
      <c r="AK264" s="178">
        <f>_xlfn.RANK.EQ(AI264,$AI$6:$AI$2341,0)+COUNTIF($AI$6:AI264,AI264)-1</f>
        <v>286</v>
      </c>
    </row>
    <row r="265" spans="1:37" ht="12" customHeight="1" x14ac:dyDescent="0.25">
      <c r="A265" t="s">
        <v>3016</v>
      </c>
      <c r="B265">
        <f>_xlfn.XLOOKUP(FME_Ranking1[[#This Row],[FME ID]],FME_Input[FME_ID],FME_Input[RFPG_NUM])</f>
        <v>1</v>
      </c>
      <c r="C265" t="str">
        <f>_xlfn.XLOOKUP(FME_Ranking1[[#This Row],[FME ID]],FME_Input[FME_ID],FME_Input[FME_NAME])</f>
        <v>Randall County FIS</v>
      </c>
      <c r="D265" t="str">
        <f>_xlfn.XLOOKUP(FME_Ranking1[[#This Row],[FME ID]],FME_Input[FME_ID],FME_Input[DESCR])</f>
        <v>Update flood insurance study for the county and develop regulatory mapping</v>
      </c>
      <c r="E265" s="256">
        <f>_xlfn.XLOOKUP(FME_Ranking1[[#This Row],[FME ID]],FME_Input[FME_ID],FME_Input[FME_COST])</f>
        <v>872000</v>
      </c>
      <c r="F265" t="str">
        <f>_xlfn.XLOOKUP(FME_Ranking1[[#This Row],[FME ID]],FME_Input[FME_ID],FME_Input[EMER_NEED])</f>
        <v>No</v>
      </c>
      <c r="G265">
        <f>IF(FME_Ranking!F265="Yes",100,0)</f>
        <v>0</v>
      </c>
      <c r="H265">
        <f>FME_Ranking1[[#This Row],[Emergency Need Score (Normalized, Unweighted)]]*$F$3</f>
        <v>0</v>
      </c>
      <c r="I265" s="246">
        <f>_xlfn.XLOOKUP(FME_Ranking1[[#This Row],[FME ID]],FME_Input[FME_ID],FME_Input[STRUCT_100])</f>
        <v>1781</v>
      </c>
      <c r="J265" s="178">
        <f>(FME_Ranking1[[#This Row],[Structures 100 Raw]]/I$2)*100</f>
        <v>0.95371203358608581</v>
      </c>
      <c r="K265" s="178">
        <f>FME_Ranking1[[#This Row],[Structures 100  Score (Normalized, Unweighted)]]*$I$3</f>
        <v>0.14305680503791288</v>
      </c>
      <c r="L265" s="246">
        <f>_xlfn.XLOOKUP(FME_Ranking1[[#This Row],[FME ID]],FME_Input[FME_ID],FME_Input[RES_STRUCT100])</f>
        <v>1476</v>
      </c>
      <c r="M265" s="230">
        <f>(FME_Ranking1[[#This Row],[Res Structures Raw]]/L$2)*100</f>
        <v>1.0454590528537633</v>
      </c>
      <c r="N265" s="180">
        <f>FME_Ranking1[[#This Row],[Res Structures Score (Normalized, Unweighted)]]*$L$3</f>
        <v>0.10454590528537633</v>
      </c>
      <c r="O265" s="244">
        <f>_xlfn.XLOOKUP(FME_Ranking1[[#This Row],[FME ID]],FME_Input[FME_ID],FME_Input[POP100])</f>
        <v>6820</v>
      </c>
      <c r="P265" s="178">
        <f>(FME_Ranking1[[#This Row],[Pop Raw]]/$O$2)*100</f>
        <v>0.69819962776336564</v>
      </c>
      <c r="Q265" s="178">
        <f>FME_Ranking1[[#This Row],[Pop Score (Normalized, Unweighted)]]*$O$3</f>
        <v>0.10472994416450485</v>
      </c>
      <c r="R265" s="137">
        <f>_xlfn.XLOOKUP(FME_Ranking1[[#This Row],[FME ID]],FME_Input[FME_ID],FME_Input[CRITFAC100])</f>
        <v>21</v>
      </c>
      <c r="S265" s="230">
        <f>(FME_Ranking1[[#This Row],[Critical Facilities Raw]]/$R$2)*100</f>
        <v>0.90051457975986282</v>
      </c>
      <c r="T265" s="180">
        <f>FME_Ranking1[[#This Row],[Critical Facilities Score (Normalized, Unweighted)]]*$R$3</f>
        <v>0.18010291595197259</v>
      </c>
      <c r="U265">
        <f>_xlfn.XLOOKUP(FME_Ranking1[[#This Row],[FME ID]],FME_Input[FME_ID],FME_Input[LWC])</f>
        <v>20</v>
      </c>
      <c r="V265" s="178">
        <f>(FME_Ranking1[[#This Row],[LWC Raw]]/$U$2)*100</f>
        <v>1.1514104778353482</v>
      </c>
      <c r="W265" s="178">
        <f>FME_Ranking1[[#This Row],[LWC Score (Normalized, Unweighted)]]*$U$3</f>
        <v>0.23028209556706966</v>
      </c>
      <c r="X265" s="246">
        <f>_xlfn.XLOOKUP(FME_Ranking1[[#This Row],[FME ID]],FME_Input[FME_ID],FME_Input[ROADCLS])</f>
        <v>20</v>
      </c>
      <c r="Y265" s="230">
        <f>(FME_Ranking1[[#This Row],[Closures Raw]]/$X$2)*100</f>
        <v>0.2102828304068973</v>
      </c>
      <c r="Z265" s="180">
        <f>FME_Ranking1[[#This Row],[Closures Score (Normalized, Unweighted)]]*$X$3</f>
        <v>1.0514141520344866E-2</v>
      </c>
      <c r="AA265" s="253">
        <f>_xlfn.XLOOKUP(FME_Ranking1[[#This Row],[FME ID]],FME_Input[FME_ID],FME_Input[ROAD_MILES100])</f>
        <v>152.68418884277341</v>
      </c>
      <c r="AB265" s="178">
        <f>(FME_Ranking1[[#This Row],[Miles Raw]]/$AA$2)*100</f>
        <v>2.007523231333511</v>
      </c>
      <c r="AC265" s="178">
        <f>FME_Ranking1[[#This Row],[Miles Score (Normalized, Unweighted)]]*$AA$3</f>
        <v>0.20075232313335112</v>
      </c>
      <c r="AD265" s="255">
        <f>_xlfn.XLOOKUP(FME_Ranking1[[#This Row],[FME ID]],FME_Input[FME_ID],FME_Input[FARMACRE100])</f>
        <v>32847.9296875</v>
      </c>
      <c r="AE265" s="230">
        <f>(FME_Ranking1[[#This Row],[Ag Land Raw]]/$AD$2)*100</f>
        <v>1.3545015764340633</v>
      </c>
      <c r="AF265" s="231">
        <f>FME_Ranking1[[#This Row],[Ag Land Score (Normalized, Unweighted)]]*$AD$3</f>
        <v>6.7725078821703172E-2</v>
      </c>
      <c r="AG26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1.0417092094822356</v>
      </c>
      <c r="AH265" s="406">
        <f t="shared" si="4"/>
        <v>261</v>
      </c>
      <c r="AI26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1.0417092094822356</v>
      </c>
      <c r="AJ265" s="257">
        <f>FME_Ranking1[[#This Row],[Addition check]]-FME_Ranking1[[#This Row],[Weighted Score Based on Normalized Reported Factors]]</f>
        <v>0</v>
      </c>
      <c r="AK265" s="178">
        <f>_xlfn.RANK.EQ(AI265,$AI$6:$AI$2341,0)+COUNTIF($AI$6:AI265,AI265)-1</f>
        <v>261</v>
      </c>
    </row>
    <row r="266" spans="1:37" ht="12" customHeight="1" x14ac:dyDescent="0.25">
      <c r="A266" t="s">
        <v>3044</v>
      </c>
      <c r="B266">
        <f>_xlfn.XLOOKUP(FME_Ranking1[[#This Row],[FME ID]],FME_Input[FME_ID],FME_Input[RFPG_NUM])</f>
        <v>1</v>
      </c>
      <c r="C266" t="str">
        <f>_xlfn.XLOOKUP(FME_Ranking1[[#This Row],[FME ID]],FME_Input[FME_ID],FME_Input[FME_NAME])</f>
        <v>Randall County Drainage Master Plan</v>
      </c>
      <c r="D266" t="str">
        <f>_xlfn.XLOOKUP(FME_Ranking1[[#This Row],[FME ID]],FME_Input[FME_ID],FME_Input[DESCR])</f>
        <v>Perform H&amp;H modeling, develop conceptual alternatives and OPCC, and rank projects; selected based on HMAPs</v>
      </c>
      <c r="E266" s="256">
        <f>_xlfn.XLOOKUP(FME_Ranking1[[#This Row],[FME ID]],FME_Input[FME_ID],FME_Input[FME_COST])</f>
        <v>500000</v>
      </c>
      <c r="F266" t="str">
        <f>_xlfn.XLOOKUP(FME_Ranking1[[#This Row],[FME ID]],FME_Input[FME_ID],FME_Input[EMER_NEED])</f>
        <v>No</v>
      </c>
      <c r="G266">
        <f>IF(FME_Ranking!F266="Yes",100,0)</f>
        <v>0</v>
      </c>
      <c r="H266">
        <f>FME_Ranking1[[#This Row],[Emergency Need Score (Normalized, Unweighted)]]*$F$3</f>
        <v>0</v>
      </c>
      <c r="I266" s="246">
        <f>_xlfn.XLOOKUP(FME_Ranking1[[#This Row],[FME ID]],FME_Input[FME_ID],FME_Input[STRUCT_100])</f>
        <v>1781</v>
      </c>
      <c r="J266" s="178">
        <f>(FME_Ranking1[[#This Row],[Structures 100 Raw]]/I$2)*100</f>
        <v>0.95371203358608581</v>
      </c>
      <c r="K266" s="178">
        <f>FME_Ranking1[[#This Row],[Structures 100  Score (Normalized, Unweighted)]]*$I$3</f>
        <v>0.14305680503791288</v>
      </c>
      <c r="L266" s="246">
        <f>_xlfn.XLOOKUP(FME_Ranking1[[#This Row],[FME ID]],FME_Input[FME_ID],FME_Input[RES_STRUCT100])</f>
        <v>1476</v>
      </c>
      <c r="M266" s="230">
        <f>(FME_Ranking1[[#This Row],[Res Structures Raw]]/L$2)*100</f>
        <v>1.0454590528537633</v>
      </c>
      <c r="N266" s="180">
        <f>FME_Ranking1[[#This Row],[Res Structures Score (Normalized, Unweighted)]]*$L$3</f>
        <v>0.10454590528537633</v>
      </c>
      <c r="O266" s="244">
        <f>_xlfn.XLOOKUP(FME_Ranking1[[#This Row],[FME ID]],FME_Input[FME_ID],FME_Input[POP100])</f>
        <v>6820</v>
      </c>
      <c r="P266" s="178">
        <f>(FME_Ranking1[[#This Row],[Pop Raw]]/$O$2)*100</f>
        <v>0.69819962776336564</v>
      </c>
      <c r="Q266" s="178">
        <f>FME_Ranking1[[#This Row],[Pop Score (Normalized, Unweighted)]]*$O$3</f>
        <v>0.10472994416450485</v>
      </c>
      <c r="R266" s="137">
        <f>_xlfn.XLOOKUP(FME_Ranking1[[#This Row],[FME ID]],FME_Input[FME_ID],FME_Input[CRITFAC100])</f>
        <v>21</v>
      </c>
      <c r="S266" s="230">
        <f>(FME_Ranking1[[#This Row],[Critical Facilities Raw]]/$R$2)*100</f>
        <v>0.90051457975986282</v>
      </c>
      <c r="T266" s="180">
        <f>FME_Ranking1[[#This Row],[Critical Facilities Score (Normalized, Unweighted)]]*$R$3</f>
        <v>0.18010291595197259</v>
      </c>
      <c r="U266">
        <f>_xlfn.XLOOKUP(FME_Ranking1[[#This Row],[FME ID]],FME_Input[FME_ID],FME_Input[LWC])</f>
        <v>20</v>
      </c>
      <c r="V266" s="178">
        <f>(FME_Ranking1[[#This Row],[LWC Raw]]/$U$2)*100</f>
        <v>1.1514104778353482</v>
      </c>
      <c r="W266" s="178">
        <f>FME_Ranking1[[#This Row],[LWC Score (Normalized, Unweighted)]]*$U$3</f>
        <v>0.23028209556706966</v>
      </c>
      <c r="X266" s="246">
        <f>_xlfn.XLOOKUP(FME_Ranking1[[#This Row],[FME ID]],FME_Input[FME_ID],FME_Input[ROADCLS])</f>
        <v>20</v>
      </c>
      <c r="Y266" s="230">
        <f>(FME_Ranking1[[#This Row],[Closures Raw]]/$X$2)*100</f>
        <v>0.2102828304068973</v>
      </c>
      <c r="Z266" s="180">
        <f>FME_Ranking1[[#This Row],[Closures Score (Normalized, Unweighted)]]*$X$3</f>
        <v>1.0514141520344866E-2</v>
      </c>
      <c r="AA266" s="253">
        <f>_xlfn.XLOOKUP(FME_Ranking1[[#This Row],[FME ID]],FME_Input[FME_ID],FME_Input[ROAD_MILES100])</f>
        <v>152.68418884277341</v>
      </c>
      <c r="AB266" s="178">
        <f>(FME_Ranking1[[#This Row],[Miles Raw]]/$AA$2)*100</f>
        <v>2.007523231333511</v>
      </c>
      <c r="AC266" s="178">
        <f>FME_Ranking1[[#This Row],[Miles Score (Normalized, Unweighted)]]*$AA$3</f>
        <v>0.20075232313335112</v>
      </c>
      <c r="AD266" s="255">
        <f>_xlfn.XLOOKUP(FME_Ranking1[[#This Row],[FME ID]],FME_Input[FME_ID],FME_Input[FARMACRE100])</f>
        <v>32847.9296875</v>
      </c>
      <c r="AE266" s="230">
        <f>(FME_Ranking1[[#This Row],[Ag Land Raw]]/$AD$2)*100</f>
        <v>1.3545015764340633</v>
      </c>
      <c r="AF266" s="231">
        <f>FME_Ranking1[[#This Row],[Ag Land Score (Normalized, Unweighted)]]*$AD$3</f>
        <v>6.7725078821703172E-2</v>
      </c>
      <c r="AG26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1.0417092094822356</v>
      </c>
      <c r="AH266" s="406">
        <f t="shared" si="4"/>
        <v>261</v>
      </c>
      <c r="AI26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1.0417092094822356</v>
      </c>
      <c r="AJ266" s="257">
        <f>FME_Ranking1[[#This Row],[Addition check]]-FME_Ranking1[[#This Row],[Weighted Score Based on Normalized Reported Factors]]</f>
        <v>0</v>
      </c>
      <c r="AK266" s="178">
        <f>_xlfn.RANK.EQ(AI266,$AI$6:$AI$2341,0)+COUNTIF($AI$6:AI266,AI266)-1</f>
        <v>262</v>
      </c>
    </row>
    <row r="267" spans="1:37" ht="12" customHeight="1" x14ac:dyDescent="0.25">
      <c r="A267" t="s">
        <v>3467</v>
      </c>
      <c r="B267">
        <f>_xlfn.XLOOKUP(FME_Ranking1[[#This Row],[FME ID]],FME_Input[FME_ID],FME_Input[RFPG_NUM])</f>
        <v>1</v>
      </c>
      <c r="C267" t="str">
        <f>_xlfn.XLOOKUP(FME_Ranking1[[#This Row],[FME ID]],FME_Input[FME_ID],FME_Input[FME_NAME])</f>
        <v>Randall County Culvert Evaluations</v>
      </c>
      <c r="D267" t="str">
        <f>_xlfn.XLOOKUP(FME_Ranking1[[#This Row],[FME ID]],FME_Input[FME_ID],FME_Input[DESCR])</f>
        <v>Evaluate culverts and low water crossings for capacity and recommend alternatives for improvements. Locations specified by the county; selected based on stakeholder feedback.</v>
      </c>
      <c r="E267" s="256">
        <f>_xlfn.XLOOKUP(FME_Ranking1[[#This Row],[FME ID]],FME_Input[FME_ID],FME_Input[FME_COST])</f>
        <v>120000</v>
      </c>
      <c r="F267" t="str">
        <f>_xlfn.XLOOKUP(FME_Ranking1[[#This Row],[FME ID]],FME_Input[FME_ID],FME_Input[EMER_NEED])</f>
        <v>No</v>
      </c>
      <c r="G267">
        <f>IF(FME_Ranking!F267="Yes",100,0)</f>
        <v>0</v>
      </c>
      <c r="H267">
        <f>FME_Ranking1[[#This Row],[Emergency Need Score (Normalized, Unweighted)]]*$F$3</f>
        <v>0</v>
      </c>
      <c r="I267" s="246">
        <f>_xlfn.XLOOKUP(FME_Ranking1[[#This Row],[FME ID]],FME_Input[FME_ID],FME_Input[STRUCT_100])</f>
        <v>1781</v>
      </c>
      <c r="J267" s="178">
        <f>(FME_Ranking1[[#This Row],[Structures 100 Raw]]/I$2)*100</f>
        <v>0.95371203358608581</v>
      </c>
      <c r="K267" s="178">
        <f>FME_Ranking1[[#This Row],[Structures 100  Score (Normalized, Unweighted)]]*$I$3</f>
        <v>0.14305680503791288</v>
      </c>
      <c r="L267" s="246">
        <f>_xlfn.XLOOKUP(FME_Ranking1[[#This Row],[FME ID]],FME_Input[FME_ID],FME_Input[RES_STRUCT100])</f>
        <v>1476</v>
      </c>
      <c r="M267" s="230">
        <f>(FME_Ranking1[[#This Row],[Res Structures Raw]]/L$2)*100</f>
        <v>1.0454590528537633</v>
      </c>
      <c r="N267" s="180">
        <f>FME_Ranking1[[#This Row],[Res Structures Score (Normalized, Unweighted)]]*$L$3</f>
        <v>0.10454590528537633</v>
      </c>
      <c r="O267" s="244">
        <f>_xlfn.XLOOKUP(FME_Ranking1[[#This Row],[FME ID]],FME_Input[FME_ID],FME_Input[POP100])</f>
        <v>6820</v>
      </c>
      <c r="P267" s="178">
        <f>(FME_Ranking1[[#This Row],[Pop Raw]]/$O$2)*100</f>
        <v>0.69819962776336564</v>
      </c>
      <c r="Q267" s="178">
        <f>FME_Ranking1[[#This Row],[Pop Score (Normalized, Unweighted)]]*$O$3</f>
        <v>0.10472994416450485</v>
      </c>
      <c r="R267" s="137">
        <f>_xlfn.XLOOKUP(FME_Ranking1[[#This Row],[FME ID]],FME_Input[FME_ID],FME_Input[CRITFAC100])</f>
        <v>21</v>
      </c>
      <c r="S267" s="230">
        <f>(FME_Ranking1[[#This Row],[Critical Facilities Raw]]/$R$2)*100</f>
        <v>0.90051457975986282</v>
      </c>
      <c r="T267" s="180">
        <f>FME_Ranking1[[#This Row],[Critical Facilities Score (Normalized, Unweighted)]]*$R$3</f>
        <v>0.18010291595197259</v>
      </c>
      <c r="U267">
        <f>_xlfn.XLOOKUP(FME_Ranking1[[#This Row],[FME ID]],FME_Input[FME_ID],FME_Input[LWC])</f>
        <v>20</v>
      </c>
      <c r="V267" s="178">
        <f>(FME_Ranking1[[#This Row],[LWC Raw]]/$U$2)*100</f>
        <v>1.1514104778353482</v>
      </c>
      <c r="W267" s="178">
        <f>FME_Ranking1[[#This Row],[LWC Score (Normalized, Unweighted)]]*$U$3</f>
        <v>0.23028209556706966</v>
      </c>
      <c r="X267" s="246">
        <f>_xlfn.XLOOKUP(FME_Ranking1[[#This Row],[FME ID]],FME_Input[FME_ID],FME_Input[ROADCLS])</f>
        <v>20</v>
      </c>
      <c r="Y267" s="230">
        <f>(FME_Ranking1[[#This Row],[Closures Raw]]/$X$2)*100</f>
        <v>0.2102828304068973</v>
      </c>
      <c r="Z267" s="180">
        <f>FME_Ranking1[[#This Row],[Closures Score (Normalized, Unweighted)]]*$X$3</f>
        <v>1.0514141520344866E-2</v>
      </c>
      <c r="AA267" s="253">
        <f>_xlfn.XLOOKUP(FME_Ranking1[[#This Row],[FME ID]],FME_Input[FME_ID],FME_Input[ROAD_MILES100])</f>
        <v>152.68418884277341</v>
      </c>
      <c r="AB267" s="178">
        <f>(FME_Ranking1[[#This Row],[Miles Raw]]/$AA$2)*100</f>
        <v>2.007523231333511</v>
      </c>
      <c r="AC267" s="178">
        <f>FME_Ranking1[[#This Row],[Miles Score (Normalized, Unweighted)]]*$AA$3</f>
        <v>0.20075232313335112</v>
      </c>
      <c r="AD267" s="255">
        <f>_xlfn.XLOOKUP(FME_Ranking1[[#This Row],[FME ID]],FME_Input[FME_ID],FME_Input[FARMACRE100])</f>
        <v>32847.9296875</v>
      </c>
      <c r="AE267" s="230">
        <f>(FME_Ranking1[[#This Row],[Ag Land Raw]]/$AD$2)*100</f>
        <v>1.3545015764340633</v>
      </c>
      <c r="AF267" s="231">
        <f>FME_Ranking1[[#This Row],[Ag Land Score (Normalized, Unweighted)]]*$AD$3</f>
        <v>6.7725078821703172E-2</v>
      </c>
      <c r="AG26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1.0417092094822356</v>
      </c>
      <c r="AH267" s="406">
        <f t="shared" si="4"/>
        <v>261</v>
      </c>
      <c r="AI26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1.0417092094822356</v>
      </c>
      <c r="AJ267" s="257">
        <f>FME_Ranking1[[#This Row],[Addition check]]-FME_Ranking1[[#This Row],[Weighted Score Based on Normalized Reported Factors]]</f>
        <v>0</v>
      </c>
      <c r="AK267" s="178">
        <f>_xlfn.RANK.EQ(AI267,$AI$6:$AI$2341,0)+COUNTIF($AI$6:AI267,AI267)-1</f>
        <v>263</v>
      </c>
    </row>
    <row r="268" spans="1:37" ht="12" customHeight="1" x14ac:dyDescent="0.25">
      <c r="A268" t="s">
        <v>7737</v>
      </c>
      <c r="B268">
        <f>_xlfn.XLOOKUP(FME_Ranking1[[#This Row],[FME ID]],FME_Input[FME_ID],FME_Input[RFPG_NUM])</f>
        <v>8</v>
      </c>
      <c r="C268" t="str">
        <f>_xlfn.XLOOKUP(FME_Ranking1[[#This Row],[FME ID]],FME_Input[FME_ID],FME_Input[FME_NAME])</f>
        <v>Carters Creek</v>
      </c>
      <c r="D268" t="str">
        <f>_xlfn.XLOOKUP(FME_Ranking1[[#This Row],[FME ID]],FME_Input[FME_ID],FME_Input[DESCR])</f>
        <v>Study to determine flood risk across the watershed.</v>
      </c>
      <c r="E268" s="256">
        <f>_xlfn.XLOOKUP(FME_Ranking1[[#This Row],[FME ID]],FME_Input[FME_ID],FME_Input[FME_COST])</f>
        <v>304000</v>
      </c>
      <c r="F268" t="str">
        <f>_xlfn.XLOOKUP(FME_Ranking1[[#This Row],[FME ID]],FME_Input[FME_ID],FME_Input[EMER_NEED])</f>
        <v>No</v>
      </c>
      <c r="G268">
        <f>IF(FME_Ranking!F268="Yes",100,0)</f>
        <v>0</v>
      </c>
      <c r="H268">
        <f>FME_Ranking1[[#This Row],[Emergency Need Score (Normalized, Unweighted)]]*$F$3</f>
        <v>0</v>
      </c>
      <c r="I268" s="246">
        <f>_xlfn.XLOOKUP(FME_Ranking1[[#This Row],[FME ID]],FME_Input[FME_ID],FME_Input[STRUCT_100])</f>
        <v>849</v>
      </c>
      <c r="J268" s="178">
        <f>(FME_Ranking1[[#This Row],[Structures 100 Raw]]/I$2)*100</f>
        <v>0.45463308058090224</v>
      </c>
      <c r="K268" s="178">
        <f>FME_Ranking1[[#This Row],[Structures 100  Score (Normalized, Unweighted)]]*$I$3</f>
        <v>6.8194962087135338E-2</v>
      </c>
      <c r="L268" s="246">
        <f>_xlfn.XLOOKUP(FME_Ranking1[[#This Row],[FME ID]],FME_Input[FME_ID],FME_Input[RES_STRUCT100])</f>
        <v>646</v>
      </c>
      <c r="M268" s="230">
        <f>(FME_Ranking1[[#This Row],[Res Structures Raw]]/L$2)*100</f>
        <v>0.45756541202136247</v>
      </c>
      <c r="N268" s="180">
        <f>FME_Ranking1[[#This Row],[Res Structures Score (Normalized, Unweighted)]]*$L$3</f>
        <v>4.575654120213625E-2</v>
      </c>
      <c r="O268" s="244">
        <f>_xlfn.XLOOKUP(FME_Ranking1[[#This Row],[FME ID]],FME_Input[FME_ID],FME_Input[POP100])</f>
        <v>4897</v>
      </c>
      <c r="P268" s="178">
        <f>(FME_Ranking1[[#This Row],[Pop Raw]]/$O$2)*100</f>
        <v>0.50133190280897388</v>
      </c>
      <c r="Q268" s="178">
        <f>FME_Ranking1[[#This Row],[Pop Score (Normalized, Unweighted)]]*$O$3</f>
        <v>7.5199785421346074E-2</v>
      </c>
      <c r="R268" s="137">
        <f>_xlfn.XLOOKUP(FME_Ranking1[[#This Row],[FME ID]],FME_Input[FME_ID],FME_Input[CRITFAC100])</f>
        <v>8</v>
      </c>
      <c r="S268" s="230">
        <f>(FME_Ranking1[[#This Row],[Critical Facilities Raw]]/$R$2)*100</f>
        <v>0.34305317324185247</v>
      </c>
      <c r="T268" s="180">
        <f>FME_Ranking1[[#This Row],[Critical Facilities Score (Normalized, Unweighted)]]*$R$3</f>
        <v>6.86106346483705E-2</v>
      </c>
      <c r="U268">
        <f>_xlfn.XLOOKUP(FME_Ranking1[[#This Row],[FME ID]],FME_Input[FME_ID],FME_Input[LWC])</f>
        <v>43</v>
      </c>
      <c r="V268" s="178">
        <f>(FME_Ranking1[[#This Row],[LWC Raw]]/$U$2)*100</f>
        <v>2.4755325273459987</v>
      </c>
      <c r="W268" s="178">
        <f>FME_Ranking1[[#This Row],[LWC Score (Normalized, Unweighted)]]*$U$3</f>
        <v>0.49510650546919976</v>
      </c>
      <c r="X268" s="246">
        <f>_xlfn.XLOOKUP(FME_Ranking1[[#This Row],[FME ID]],FME_Input[FME_ID],FME_Input[ROADCLS])</f>
        <v>152</v>
      </c>
      <c r="Y268" s="230">
        <f>(FME_Ranking1[[#This Row],[Closures Raw]]/$X$2)*100</f>
        <v>1.5981495110924191</v>
      </c>
      <c r="Z268" s="180">
        <f>FME_Ranking1[[#This Row],[Closures Score (Normalized, Unweighted)]]*$X$3</f>
        <v>7.9907475554620966E-2</v>
      </c>
      <c r="AA268" s="253">
        <f>_xlfn.XLOOKUP(FME_Ranking1[[#This Row],[FME ID]],FME_Input[FME_ID],FME_Input[ROAD_MILES100])</f>
        <v>17.11459922790527</v>
      </c>
      <c r="AB268" s="178">
        <f>(FME_Ranking1[[#This Row],[Miles Raw]]/$AA$2)*100</f>
        <v>0.22502628337216052</v>
      </c>
      <c r="AC268" s="178">
        <f>FME_Ranking1[[#This Row],[Miles Score (Normalized, Unweighted)]]*$AA$3</f>
        <v>2.2502628337216054E-2</v>
      </c>
      <c r="AD268" s="255">
        <f>_xlfn.XLOOKUP(FME_Ranking1[[#This Row],[FME ID]],FME_Input[FME_ID],FME_Input[FARMACRE100])</f>
        <v>1274.5</v>
      </c>
      <c r="AE268" s="230">
        <f>(FME_Ranking1[[#This Row],[Ag Land Raw]]/$AD$2)*100</f>
        <v>5.2554674696047805E-2</v>
      </c>
      <c r="AF268" s="231">
        <f>FME_Ranking1[[#This Row],[Ag Land Score (Normalized, Unweighted)]]*$AD$3</f>
        <v>2.6277337348023905E-3</v>
      </c>
      <c r="AG26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0.85790626645482737</v>
      </c>
      <c r="AH268" s="406">
        <f t="shared" si="4"/>
        <v>309</v>
      </c>
      <c r="AI26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0.85790626645482737</v>
      </c>
      <c r="AJ268" s="257">
        <f>FME_Ranking1[[#This Row],[Addition check]]-FME_Ranking1[[#This Row],[Weighted Score Based on Normalized Reported Factors]]</f>
        <v>0</v>
      </c>
      <c r="AK268" s="178">
        <f>_xlfn.RANK.EQ(AI268,$AI$6:$AI$2341,0)+COUNTIF($AI$6:AI268,AI268)-1</f>
        <v>309</v>
      </c>
    </row>
    <row r="269" spans="1:37" ht="12" customHeight="1" x14ac:dyDescent="0.25">
      <c r="A269" t="s">
        <v>3491</v>
      </c>
      <c r="B269">
        <f>_xlfn.XLOOKUP(FME_Ranking1[[#This Row],[FME ID]],FME_Input[FME_ID],FME_Input[RFPG_NUM])</f>
        <v>2</v>
      </c>
      <c r="C269" t="str">
        <f>_xlfn.XLOOKUP(FME_Ranking1[[#This Row],[FME ID]],FME_Input[FME_ID],FME_Input[FME_NAME])</f>
        <v>Lamar County FIS</v>
      </c>
      <c r="D269" t="str">
        <f>_xlfn.XLOOKUP(FME_Ranking1[[#This Row],[FME ID]],FME_Input[FME_ID],FME_Input[DESCR])</f>
        <v>Update County maps to Zone AE</v>
      </c>
      <c r="E269" s="256">
        <f>_xlfn.XLOOKUP(FME_Ranking1[[#This Row],[FME ID]],FME_Input[FME_ID],FME_Input[FME_COST])</f>
        <v>2465000</v>
      </c>
      <c r="F269" t="str">
        <f>_xlfn.XLOOKUP(FME_Ranking1[[#This Row],[FME ID]],FME_Input[FME_ID],FME_Input[EMER_NEED])</f>
        <v>No</v>
      </c>
      <c r="G269">
        <f>IF(FME_Ranking!F269="Yes",100,0)</f>
        <v>0</v>
      </c>
      <c r="H269">
        <f>FME_Ranking1[[#This Row],[Emergency Need Score (Normalized, Unweighted)]]*$F$3</f>
        <v>0</v>
      </c>
      <c r="I269" s="246">
        <f>_xlfn.XLOOKUP(FME_Ranking1[[#This Row],[FME ID]],FME_Input[FME_ID],FME_Input[STRUCT_100])</f>
        <v>1644</v>
      </c>
      <c r="J269" s="178">
        <f>(FME_Ranking1[[#This Row],[Structures 100 Raw]]/I$2)*100</f>
        <v>0.88034956946407927</v>
      </c>
      <c r="K269" s="178">
        <f>FME_Ranking1[[#This Row],[Structures 100  Score (Normalized, Unweighted)]]*$I$3</f>
        <v>0.1320524354196119</v>
      </c>
      <c r="L269" s="246">
        <f>_xlfn.XLOOKUP(FME_Ranking1[[#This Row],[FME ID]],FME_Input[FME_ID],FME_Input[RES_STRUCT100])</f>
        <v>1013</v>
      </c>
      <c r="M269" s="230">
        <f>(FME_Ranking1[[#This Row],[Res Structures Raw]]/L$2)*100</f>
        <v>0.71751356405207456</v>
      </c>
      <c r="N269" s="180">
        <f>FME_Ranking1[[#This Row],[Res Structures Score (Normalized, Unweighted)]]*$L$3</f>
        <v>7.1751356405207453E-2</v>
      </c>
      <c r="O269" s="244">
        <f>_xlfn.XLOOKUP(FME_Ranking1[[#This Row],[FME ID]],FME_Input[FME_ID],FME_Input[POP100])</f>
        <v>5441</v>
      </c>
      <c r="P269" s="178">
        <f>(FME_Ranking1[[#This Row],[Pop Raw]]/$O$2)*100</f>
        <v>0.55702407253086106</v>
      </c>
      <c r="Q269" s="178">
        <f>FME_Ranking1[[#This Row],[Pop Score (Normalized, Unweighted)]]*$O$3</f>
        <v>8.3553610879629162E-2</v>
      </c>
      <c r="R269" s="137">
        <f>_xlfn.XLOOKUP(FME_Ranking1[[#This Row],[FME ID]],FME_Input[FME_ID],FME_Input[CRITFAC100])</f>
        <v>33</v>
      </c>
      <c r="S269" s="230">
        <f>(FME_Ranking1[[#This Row],[Critical Facilities Raw]]/$R$2)*100</f>
        <v>1.4150943396226416</v>
      </c>
      <c r="T269" s="180">
        <f>FME_Ranking1[[#This Row],[Critical Facilities Score (Normalized, Unweighted)]]*$R$3</f>
        <v>0.28301886792452835</v>
      </c>
      <c r="U269">
        <f>_xlfn.XLOOKUP(FME_Ranking1[[#This Row],[FME ID]],FME_Input[FME_ID],FME_Input[LWC])</f>
        <v>15</v>
      </c>
      <c r="V269" s="178">
        <f>(FME_Ranking1[[#This Row],[LWC Raw]]/$U$2)*100</f>
        <v>0.86355785837651122</v>
      </c>
      <c r="W269" s="178">
        <f>FME_Ranking1[[#This Row],[LWC Score (Normalized, Unweighted)]]*$U$3</f>
        <v>0.17271157167530227</v>
      </c>
      <c r="X269" s="246">
        <f>_xlfn.XLOOKUP(FME_Ranking1[[#This Row],[FME ID]],FME_Input[FME_ID],FME_Input[ROADCLS])</f>
        <v>0</v>
      </c>
      <c r="Y269" s="230">
        <f>(FME_Ranking1[[#This Row],[Closures Raw]]/$X$2)*100</f>
        <v>0</v>
      </c>
      <c r="Z269" s="180">
        <f>FME_Ranking1[[#This Row],[Closures Score (Normalized, Unweighted)]]*$X$3</f>
        <v>0</v>
      </c>
      <c r="AA269" s="253">
        <f>_xlfn.XLOOKUP(FME_Ranking1[[#This Row],[FME ID]],FME_Input[FME_ID],FME_Input[ROAD_MILES100])</f>
        <v>221.51518249511719</v>
      </c>
      <c r="AB269" s="178">
        <f>(FME_Ranking1[[#This Row],[Miles Raw]]/$AA$2)*100</f>
        <v>2.9125273436790287</v>
      </c>
      <c r="AC269" s="178">
        <f>FME_Ranking1[[#This Row],[Miles Score (Normalized, Unweighted)]]*$AA$3</f>
        <v>0.29125273436790289</v>
      </c>
      <c r="AD269" s="255">
        <f>_xlfn.XLOOKUP(FME_Ranking1[[#This Row],[FME ID]],FME_Input[FME_ID],FME_Input[FARMACRE100])</f>
        <v>42825.2734375</v>
      </c>
      <c r="AE269" s="230">
        <f>(FME_Ranking1[[#This Row],[Ag Land Raw]]/$AD$2)*100</f>
        <v>1.7659225690679556</v>
      </c>
      <c r="AF269" s="231">
        <f>FME_Ranking1[[#This Row],[Ag Land Score (Normalized, Unweighted)]]*$AD$3</f>
        <v>8.8296128453397793E-2</v>
      </c>
      <c r="AG26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1.1226367051255797</v>
      </c>
      <c r="AH269" s="406">
        <f t="shared" si="4"/>
        <v>246</v>
      </c>
      <c r="AI26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1.1226367051255797</v>
      </c>
      <c r="AJ269" s="257">
        <f>FME_Ranking1[[#This Row],[Addition check]]-FME_Ranking1[[#This Row],[Weighted Score Based on Normalized Reported Factors]]</f>
        <v>0</v>
      </c>
      <c r="AK269" s="178">
        <f>_xlfn.RANK.EQ(AI269,$AI$6:$AI$2341,0)+COUNTIF($AI$6:AI269,AI269)-1</f>
        <v>246</v>
      </c>
    </row>
    <row r="270" spans="1:37" ht="12" customHeight="1" x14ac:dyDescent="0.25">
      <c r="A270" t="s">
        <v>3923</v>
      </c>
      <c r="B270">
        <f>_xlfn.XLOOKUP(FME_Ranking1[[#This Row],[FME ID]],FME_Input[FME_ID],FME_Input[RFPG_NUM])</f>
        <v>3</v>
      </c>
      <c r="C270" t="str">
        <f>_xlfn.XLOOKUP(FME_Ranking1[[#This Row],[FME ID]],FME_Input[FME_ID],FME_Input[FME_NAME])</f>
        <v xml:space="preserve">Kaufman County FEMA Mapping </v>
      </c>
      <c r="D270" t="str">
        <f>_xlfn.XLOOKUP(FME_Ranking1[[#This Row],[FME ID]],FME_Input[FME_ID],FME_Input[DESCR])</f>
        <v>Create FEMA mapping in previously unmapped areas and update existing FEMA maps as needed.</v>
      </c>
      <c r="E270" s="256">
        <f>_xlfn.XLOOKUP(FME_Ranking1[[#This Row],[FME ID]],FME_Input[FME_ID],FME_Input[FME_COST])</f>
        <v>985000</v>
      </c>
      <c r="F270" t="str">
        <f>_xlfn.XLOOKUP(FME_Ranking1[[#This Row],[FME ID]],FME_Input[FME_ID],FME_Input[EMER_NEED])</f>
        <v>No</v>
      </c>
      <c r="G270">
        <f>IF(FME_Ranking!F270="Yes",100,0)</f>
        <v>0</v>
      </c>
      <c r="H270">
        <f>FME_Ranking1[[#This Row],[Emergency Need Score (Normalized, Unweighted)]]*$F$3</f>
        <v>0</v>
      </c>
      <c r="I270" s="246">
        <f>_xlfn.XLOOKUP(FME_Ranking1[[#This Row],[FME ID]],FME_Input[FME_ID],FME_Input[STRUCT_100])</f>
        <v>2086</v>
      </c>
      <c r="J270" s="178">
        <f>(FME_Ranking1[[#This Row],[Structures 100 Raw]]/I$2)*100</f>
        <v>1.1170372274343487</v>
      </c>
      <c r="K270" s="178">
        <f>FME_Ranking1[[#This Row],[Structures 100  Score (Normalized, Unweighted)]]*$I$3</f>
        <v>0.16755558411515231</v>
      </c>
      <c r="L270" s="246">
        <f>_xlfn.XLOOKUP(FME_Ranking1[[#This Row],[FME ID]],FME_Input[FME_ID],FME_Input[RES_STRUCT100])</f>
        <v>1672</v>
      </c>
      <c r="M270" s="230">
        <f>(FME_Ranking1[[#This Row],[Res Structures Raw]]/L$2)*100</f>
        <v>1.1842869487611734</v>
      </c>
      <c r="N270" s="180">
        <f>FME_Ranking1[[#This Row],[Res Structures Score (Normalized, Unweighted)]]*$L$3</f>
        <v>0.11842869487611735</v>
      </c>
      <c r="O270" s="244">
        <f>_xlfn.XLOOKUP(FME_Ranking1[[#This Row],[FME ID]],FME_Input[FME_ID],FME_Input[POP100])</f>
        <v>4193</v>
      </c>
      <c r="P270" s="178">
        <f>(FME_Ranking1[[#This Row],[Pop Raw]]/$O$2)*100</f>
        <v>0.42925968316888446</v>
      </c>
      <c r="Q270" s="178">
        <f>FME_Ranking1[[#This Row],[Pop Score (Normalized, Unweighted)]]*$O$3</f>
        <v>6.4388952475332661E-2</v>
      </c>
      <c r="R270" s="137">
        <f>_xlfn.XLOOKUP(FME_Ranking1[[#This Row],[FME ID]],FME_Input[FME_ID],FME_Input[CRITFAC100])</f>
        <v>13</v>
      </c>
      <c r="S270" s="230">
        <f>(FME_Ranking1[[#This Row],[Critical Facilities Raw]]/$R$2)*100</f>
        <v>0.55746140651801035</v>
      </c>
      <c r="T270" s="180">
        <f>FME_Ranking1[[#This Row],[Critical Facilities Score (Normalized, Unweighted)]]*$R$3</f>
        <v>0.11149228130360207</v>
      </c>
      <c r="U270">
        <f>_xlfn.XLOOKUP(FME_Ranking1[[#This Row],[FME ID]],FME_Input[FME_ID],FME_Input[LWC])</f>
        <v>16</v>
      </c>
      <c r="V270" s="178">
        <f>(FME_Ranking1[[#This Row],[LWC Raw]]/$U$2)*100</f>
        <v>0.92112838226827876</v>
      </c>
      <c r="W270" s="178">
        <f>FME_Ranking1[[#This Row],[LWC Score (Normalized, Unweighted)]]*$U$3</f>
        <v>0.18422567645365576</v>
      </c>
      <c r="X270" s="246">
        <f>_xlfn.XLOOKUP(FME_Ranking1[[#This Row],[FME ID]],FME_Input[FME_ID],FME_Input[ROADCLS])</f>
        <v>0</v>
      </c>
      <c r="Y270" s="230">
        <f>(FME_Ranking1[[#This Row],[Closures Raw]]/$X$2)*100</f>
        <v>0</v>
      </c>
      <c r="Z270" s="180">
        <f>FME_Ranking1[[#This Row],[Closures Score (Normalized, Unweighted)]]*$X$3</f>
        <v>0</v>
      </c>
      <c r="AA270" s="253">
        <f>_xlfn.XLOOKUP(FME_Ranking1[[#This Row],[FME ID]],FME_Input[FME_ID],FME_Input[ROAD_MILES100])</f>
        <v>148.13270568847659</v>
      </c>
      <c r="AB270" s="178">
        <f>(FME_Ranking1[[#This Row],[Miles Raw]]/$AA$2)*100</f>
        <v>1.9476793913227879</v>
      </c>
      <c r="AC270" s="178">
        <f>FME_Ranking1[[#This Row],[Miles Score (Normalized, Unweighted)]]*$AA$3</f>
        <v>0.1947679391322788</v>
      </c>
      <c r="AD270" s="255">
        <f>_xlfn.XLOOKUP(FME_Ranking1[[#This Row],[FME ID]],FME_Input[FME_ID],FME_Input[FARMACRE100])</f>
        <v>88118.046875</v>
      </c>
      <c r="AE270" s="230">
        <f>(FME_Ranking1[[#This Row],[Ag Land Raw]]/$AD$2)*100</f>
        <v>3.6335937923630572</v>
      </c>
      <c r="AF270" s="231">
        <f>FME_Ranking1[[#This Row],[Ag Land Score (Normalized, Unweighted)]]*$AD$3</f>
        <v>0.18167968961815287</v>
      </c>
      <c r="AG27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1.0225388179742918</v>
      </c>
      <c r="AH270" s="406">
        <f t="shared" si="4"/>
        <v>270</v>
      </c>
      <c r="AI27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1.0225388179742918</v>
      </c>
      <c r="AJ270" s="257">
        <f>FME_Ranking1[[#This Row],[Addition check]]-FME_Ranking1[[#This Row],[Weighted Score Based on Normalized Reported Factors]]</f>
        <v>0</v>
      </c>
      <c r="AK270" s="178">
        <f>_xlfn.RANK.EQ(AI270,$AI$6:$AI$2341,0)+COUNTIF($AI$6:AI270,AI270)-1</f>
        <v>270</v>
      </c>
    </row>
    <row r="271" spans="1:37" ht="12" customHeight="1" x14ac:dyDescent="0.25">
      <c r="A271" t="s">
        <v>3968</v>
      </c>
      <c r="B271">
        <f>_xlfn.XLOOKUP(FME_Ranking1[[#This Row],[FME ID]],FME_Input[FME_ID],FME_Input[RFPG_NUM])</f>
        <v>3</v>
      </c>
      <c r="C271" t="str">
        <f>_xlfn.XLOOKUP(FME_Ranking1[[#This Row],[FME ID]],FME_Input[FME_ID],FME_Input[FME_NAME])</f>
        <v xml:space="preserve">Parker County FEMA Mapping </v>
      </c>
      <c r="D271" t="str">
        <f>_xlfn.XLOOKUP(FME_Ranking1[[#This Row],[FME ID]],FME_Input[FME_ID],FME_Input[DESCR])</f>
        <v>Create FEMA mapping in previously unmapped areas and update existing FEMA maps as needed.</v>
      </c>
      <c r="E271" s="256">
        <f>_xlfn.XLOOKUP(FME_Ranking1[[#This Row],[FME ID]],FME_Input[FME_ID],FME_Input[FME_COST])</f>
        <v>1144000</v>
      </c>
      <c r="F271" t="str">
        <f>_xlfn.XLOOKUP(FME_Ranking1[[#This Row],[FME ID]],FME_Input[FME_ID],FME_Input[EMER_NEED])</f>
        <v>No</v>
      </c>
      <c r="G271">
        <f>IF(FME_Ranking!F271="Yes",100,0)</f>
        <v>0</v>
      </c>
      <c r="H271">
        <f>FME_Ranking1[[#This Row],[Emergency Need Score (Normalized, Unweighted)]]*$F$3</f>
        <v>0</v>
      </c>
      <c r="I271" s="246">
        <f>_xlfn.XLOOKUP(FME_Ranking1[[#This Row],[FME ID]],FME_Input[FME_ID],FME_Input[STRUCT_100])</f>
        <v>1953</v>
      </c>
      <c r="J271" s="178">
        <f>(FME_Ranking1[[#This Row],[Structures 100 Raw]]/I$2)*100</f>
        <v>1.045816733067729</v>
      </c>
      <c r="K271" s="178">
        <f>FME_Ranking1[[#This Row],[Structures 100  Score (Normalized, Unweighted)]]*$I$3</f>
        <v>0.15687250996015936</v>
      </c>
      <c r="L271" s="246">
        <f>_xlfn.XLOOKUP(FME_Ranking1[[#This Row],[FME ID]],FME_Input[FME_ID],FME_Input[RES_STRUCT100])</f>
        <v>1485</v>
      </c>
      <c r="M271" s="230">
        <f>(FME_Ranking1[[#This Row],[Res Structures Raw]]/L$2)*100</f>
        <v>1.0518338031760424</v>
      </c>
      <c r="N271" s="180">
        <f>FME_Ranking1[[#This Row],[Res Structures Score (Normalized, Unweighted)]]*$L$3</f>
        <v>0.10518338031760424</v>
      </c>
      <c r="O271" s="244">
        <f>_xlfn.XLOOKUP(FME_Ranking1[[#This Row],[FME ID]],FME_Input[FME_ID],FME_Input[POP100])</f>
        <v>6748</v>
      </c>
      <c r="P271" s="178">
        <f>(FME_Ranking1[[#This Row],[Pop Raw]]/$O$2)*100</f>
        <v>0.69082860530017465</v>
      </c>
      <c r="Q271" s="178">
        <f>FME_Ranking1[[#This Row],[Pop Score (Normalized, Unweighted)]]*$O$3</f>
        <v>0.10362429079502619</v>
      </c>
      <c r="R271" s="137">
        <f>_xlfn.XLOOKUP(FME_Ranking1[[#This Row],[FME ID]],FME_Input[FME_ID],FME_Input[CRITFAC100])</f>
        <v>18</v>
      </c>
      <c r="S271" s="230">
        <f>(FME_Ranking1[[#This Row],[Critical Facilities Raw]]/$R$2)*100</f>
        <v>0.77186963979416812</v>
      </c>
      <c r="T271" s="180">
        <f>FME_Ranking1[[#This Row],[Critical Facilities Score (Normalized, Unweighted)]]*$R$3</f>
        <v>0.15437392795883365</v>
      </c>
      <c r="U271">
        <f>_xlfn.XLOOKUP(FME_Ranking1[[#This Row],[FME ID]],FME_Input[FME_ID],FME_Input[LWC])</f>
        <v>22</v>
      </c>
      <c r="V271" s="178">
        <f>(FME_Ranking1[[#This Row],[LWC Raw]]/$U$2)*100</f>
        <v>1.2665515256188831</v>
      </c>
      <c r="W271" s="178">
        <f>FME_Ranking1[[#This Row],[LWC Score (Normalized, Unweighted)]]*$U$3</f>
        <v>0.25331030512377661</v>
      </c>
      <c r="X271" s="246">
        <f>_xlfn.XLOOKUP(FME_Ranking1[[#This Row],[FME ID]],FME_Input[FME_ID],FME_Input[ROADCLS])</f>
        <v>0</v>
      </c>
      <c r="Y271" s="230">
        <f>(FME_Ranking1[[#This Row],[Closures Raw]]/$X$2)*100</f>
        <v>0</v>
      </c>
      <c r="Z271" s="180">
        <f>FME_Ranking1[[#This Row],[Closures Score (Normalized, Unweighted)]]*$X$3</f>
        <v>0</v>
      </c>
      <c r="AA271" s="253">
        <f>_xlfn.XLOOKUP(FME_Ranking1[[#This Row],[FME ID]],FME_Input[FME_ID],FME_Input[ROAD_MILES100])</f>
        <v>60.730381011962891</v>
      </c>
      <c r="AB271" s="178">
        <f>(FME_Ranking1[[#This Row],[Miles Raw]]/$AA$2)*100</f>
        <v>0.79849558525536513</v>
      </c>
      <c r="AC271" s="178">
        <f>FME_Ranking1[[#This Row],[Miles Score (Normalized, Unweighted)]]*$AA$3</f>
        <v>7.9849558525536518E-2</v>
      </c>
      <c r="AD271" s="255">
        <f>_xlfn.XLOOKUP(FME_Ranking1[[#This Row],[FME ID]],FME_Input[FME_ID],FME_Input[FARMACRE100])</f>
        <v>25497.33984375</v>
      </c>
      <c r="AE271" s="230">
        <f>(FME_Ranking1[[#This Row],[Ag Land Raw]]/$AD$2)*100</f>
        <v>1.0513961562203684</v>
      </c>
      <c r="AF271" s="231">
        <f>FME_Ranking1[[#This Row],[Ag Land Score (Normalized, Unweighted)]]*$AD$3</f>
        <v>5.2569807811018422E-2</v>
      </c>
      <c r="AG27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0.90578378049195496</v>
      </c>
      <c r="AH271" s="406">
        <f t="shared" si="4"/>
        <v>296</v>
      </c>
      <c r="AI27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0.90578378049195496</v>
      </c>
      <c r="AJ271" s="257">
        <f>FME_Ranking1[[#This Row],[Addition check]]-FME_Ranking1[[#This Row],[Weighted Score Based on Normalized Reported Factors]]</f>
        <v>0</v>
      </c>
      <c r="AK271" s="178">
        <f>_xlfn.RANK.EQ(AI271,$AI$6:$AI$2341,0)+COUNTIF($AI$6:AI271,AI271)-1</f>
        <v>296</v>
      </c>
    </row>
    <row r="272" spans="1:37" ht="12" customHeight="1" x14ac:dyDescent="0.25">
      <c r="A272" t="s">
        <v>4067</v>
      </c>
      <c r="B272">
        <f>_xlfn.XLOOKUP(FME_Ranking1[[#This Row],[FME ID]],FME_Input[FME_ID],FME_Input[RFPG_NUM])</f>
        <v>3</v>
      </c>
      <c r="C272" t="str">
        <f>_xlfn.XLOOKUP(FME_Ranking1[[#This Row],[FME ID]],FME_Input[FME_ID],FME_Input[FME_NAME])</f>
        <v>Parker County Dam Inundation Study</v>
      </c>
      <c r="D272" t="str">
        <f>_xlfn.XLOOKUP(FME_Ranking1[[#This Row],[FME ID]],FME_Input[FME_ID],FME_Input[DESCR])</f>
        <v>Conduct a dam inundation study</v>
      </c>
      <c r="E272" s="256">
        <f>_xlfn.XLOOKUP(FME_Ranking1[[#This Row],[FME ID]],FME_Input[FME_ID],FME_Input[FME_COST])</f>
        <v>569000</v>
      </c>
      <c r="F272" t="str">
        <f>_xlfn.XLOOKUP(FME_Ranking1[[#This Row],[FME ID]],FME_Input[FME_ID],FME_Input[EMER_NEED])</f>
        <v>No</v>
      </c>
      <c r="G272">
        <f>IF(FME_Ranking!F272="Yes",100,0)</f>
        <v>0</v>
      </c>
      <c r="H272">
        <f>FME_Ranking1[[#This Row],[Emergency Need Score (Normalized, Unweighted)]]*$F$3</f>
        <v>0</v>
      </c>
      <c r="I272" s="246">
        <f>_xlfn.XLOOKUP(FME_Ranking1[[#This Row],[FME ID]],FME_Input[FME_ID],FME_Input[STRUCT_100])</f>
        <v>1953</v>
      </c>
      <c r="J272" s="178">
        <f>(FME_Ranking1[[#This Row],[Structures 100 Raw]]/I$2)*100</f>
        <v>1.045816733067729</v>
      </c>
      <c r="K272" s="178">
        <f>FME_Ranking1[[#This Row],[Structures 100  Score (Normalized, Unweighted)]]*$I$3</f>
        <v>0.15687250996015936</v>
      </c>
      <c r="L272" s="246">
        <f>_xlfn.XLOOKUP(FME_Ranking1[[#This Row],[FME ID]],FME_Input[FME_ID],FME_Input[RES_STRUCT100])</f>
        <v>1485</v>
      </c>
      <c r="M272" s="230">
        <f>(FME_Ranking1[[#This Row],[Res Structures Raw]]/L$2)*100</f>
        <v>1.0518338031760424</v>
      </c>
      <c r="N272" s="180">
        <f>FME_Ranking1[[#This Row],[Res Structures Score (Normalized, Unweighted)]]*$L$3</f>
        <v>0.10518338031760424</v>
      </c>
      <c r="O272" s="244">
        <f>_xlfn.XLOOKUP(FME_Ranking1[[#This Row],[FME ID]],FME_Input[FME_ID],FME_Input[POP100])</f>
        <v>6748</v>
      </c>
      <c r="P272" s="178">
        <f>(FME_Ranking1[[#This Row],[Pop Raw]]/$O$2)*100</f>
        <v>0.69082860530017465</v>
      </c>
      <c r="Q272" s="178">
        <f>FME_Ranking1[[#This Row],[Pop Score (Normalized, Unweighted)]]*$O$3</f>
        <v>0.10362429079502619</v>
      </c>
      <c r="R272" s="137">
        <f>_xlfn.XLOOKUP(FME_Ranking1[[#This Row],[FME ID]],FME_Input[FME_ID],FME_Input[CRITFAC100])</f>
        <v>18</v>
      </c>
      <c r="S272" s="230">
        <f>(FME_Ranking1[[#This Row],[Critical Facilities Raw]]/$R$2)*100</f>
        <v>0.77186963979416812</v>
      </c>
      <c r="T272" s="180">
        <f>FME_Ranking1[[#This Row],[Critical Facilities Score (Normalized, Unweighted)]]*$R$3</f>
        <v>0.15437392795883365</v>
      </c>
      <c r="U272">
        <f>_xlfn.XLOOKUP(FME_Ranking1[[#This Row],[FME ID]],FME_Input[FME_ID],FME_Input[LWC])</f>
        <v>22</v>
      </c>
      <c r="V272" s="178">
        <f>(FME_Ranking1[[#This Row],[LWC Raw]]/$U$2)*100</f>
        <v>1.2665515256188831</v>
      </c>
      <c r="W272" s="178">
        <f>FME_Ranking1[[#This Row],[LWC Score (Normalized, Unweighted)]]*$U$3</f>
        <v>0.25331030512377661</v>
      </c>
      <c r="X272" s="246">
        <f>_xlfn.XLOOKUP(FME_Ranking1[[#This Row],[FME ID]],FME_Input[FME_ID],FME_Input[ROADCLS])</f>
        <v>0</v>
      </c>
      <c r="Y272" s="230">
        <f>(FME_Ranking1[[#This Row],[Closures Raw]]/$X$2)*100</f>
        <v>0</v>
      </c>
      <c r="Z272" s="180">
        <f>FME_Ranking1[[#This Row],[Closures Score (Normalized, Unweighted)]]*$X$3</f>
        <v>0</v>
      </c>
      <c r="AA272" s="253">
        <f>_xlfn.XLOOKUP(FME_Ranking1[[#This Row],[FME ID]],FME_Input[FME_ID],FME_Input[ROAD_MILES100])</f>
        <v>60.730381011962891</v>
      </c>
      <c r="AB272" s="178">
        <f>(FME_Ranking1[[#This Row],[Miles Raw]]/$AA$2)*100</f>
        <v>0.79849558525536513</v>
      </c>
      <c r="AC272" s="178">
        <f>FME_Ranking1[[#This Row],[Miles Score (Normalized, Unweighted)]]*$AA$3</f>
        <v>7.9849558525536518E-2</v>
      </c>
      <c r="AD272" s="255">
        <f>_xlfn.XLOOKUP(FME_Ranking1[[#This Row],[FME ID]],FME_Input[FME_ID],FME_Input[FARMACRE100])</f>
        <v>25497.33984375</v>
      </c>
      <c r="AE272" s="230">
        <f>(FME_Ranking1[[#This Row],[Ag Land Raw]]/$AD$2)*100</f>
        <v>1.0513961562203684</v>
      </c>
      <c r="AF272" s="231">
        <f>FME_Ranking1[[#This Row],[Ag Land Score (Normalized, Unweighted)]]*$AD$3</f>
        <v>5.2569807811018422E-2</v>
      </c>
      <c r="AG27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0.90578378049195496</v>
      </c>
      <c r="AH272" s="406">
        <f t="shared" si="4"/>
        <v>296</v>
      </c>
      <c r="AI27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0.90578378049195496</v>
      </c>
      <c r="AJ272" s="257">
        <f>FME_Ranking1[[#This Row],[Addition check]]-FME_Ranking1[[#This Row],[Weighted Score Based on Normalized Reported Factors]]</f>
        <v>0</v>
      </c>
      <c r="AK272" s="178">
        <f>_xlfn.RANK.EQ(AI272,$AI$6:$AI$2341,0)+COUNTIF($AI$6:AI272,AI272)-1</f>
        <v>297</v>
      </c>
    </row>
    <row r="273" spans="1:37" ht="12" customHeight="1" x14ac:dyDescent="0.25">
      <c r="A273" t="s">
        <v>4289</v>
      </c>
      <c r="B273">
        <f>_xlfn.XLOOKUP(FME_Ranking1[[#This Row],[FME ID]],FME_Input[FME_ID],FME_Input[RFPG_NUM])</f>
        <v>3</v>
      </c>
      <c r="C273" t="str">
        <f>_xlfn.XLOOKUP(FME_Ranking1[[#This Row],[FME ID]],FME_Input[FME_ID],FME_Input[FME_NAME])</f>
        <v>Parker County DMP</v>
      </c>
      <c r="D273" t="str">
        <f>_xlfn.XLOOKUP(FME_Ranking1[[#This Row],[FME ID]],FME_Input[FME_ID],FME_Input[DESCR])</f>
        <v>Evaluate County and identify future projects.</v>
      </c>
      <c r="E273" s="256">
        <f>_xlfn.XLOOKUP(FME_Ranking1[[#This Row],[FME ID]],FME_Input[FME_ID],FME_Input[FME_COST])</f>
        <v>500000</v>
      </c>
      <c r="F273" t="str">
        <f>_xlfn.XLOOKUP(FME_Ranking1[[#This Row],[FME ID]],FME_Input[FME_ID],FME_Input[EMER_NEED])</f>
        <v>No</v>
      </c>
      <c r="G273">
        <f>IF(FME_Ranking!F273="Yes",100,0)</f>
        <v>0</v>
      </c>
      <c r="H273">
        <f>FME_Ranking1[[#This Row],[Emergency Need Score (Normalized, Unweighted)]]*$F$3</f>
        <v>0</v>
      </c>
      <c r="I273" s="246">
        <f>_xlfn.XLOOKUP(FME_Ranking1[[#This Row],[FME ID]],FME_Input[FME_ID],FME_Input[STRUCT_100])</f>
        <v>1953</v>
      </c>
      <c r="J273" s="178">
        <f>(FME_Ranking1[[#This Row],[Structures 100 Raw]]/I$2)*100</f>
        <v>1.045816733067729</v>
      </c>
      <c r="K273" s="178">
        <f>FME_Ranking1[[#This Row],[Structures 100  Score (Normalized, Unweighted)]]*$I$3</f>
        <v>0.15687250996015936</v>
      </c>
      <c r="L273" s="246">
        <f>_xlfn.XLOOKUP(FME_Ranking1[[#This Row],[FME ID]],FME_Input[FME_ID],FME_Input[RES_STRUCT100])</f>
        <v>1485</v>
      </c>
      <c r="M273" s="230">
        <f>(FME_Ranking1[[#This Row],[Res Structures Raw]]/L$2)*100</f>
        <v>1.0518338031760424</v>
      </c>
      <c r="N273" s="180">
        <f>FME_Ranking1[[#This Row],[Res Structures Score (Normalized, Unweighted)]]*$L$3</f>
        <v>0.10518338031760424</v>
      </c>
      <c r="O273" s="244">
        <f>_xlfn.XLOOKUP(FME_Ranking1[[#This Row],[FME ID]],FME_Input[FME_ID],FME_Input[POP100])</f>
        <v>6748</v>
      </c>
      <c r="P273" s="178">
        <f>(FME_Ranking1[[#This Row],[Pop Raw]]/$O$2)*100</f>
        <v>0.69082860530017465</v>
      </c>
      <c r="Q273" s="178">
        <f>FME_Ranking1[[#This Row],[Pop Score (Normalized, Unweighted)]]*$O$3</f>
        <v>0.10362429079502619</v>
      </c>
      <c r="R273" s="137">
        <f>_xlfn.XLOOKUP(FME_Ranking1[[#This Row],[FME ID]],FME_Input[FME_ID],FME_Input[CRITFAC100])</f>
        <v>18</v>
      </c>
      <c r="S273" s="230">
        <f>(FME_Ranking1[[#This Row],[Critical Facilities Raw]]/$R$2)*100</f>
        <v>0.77186963979416812</v>
      </c>
      <c r="T273" s="180">
        <f>FME_Ranking1[[#This Row],[Critical Facilities Score (Normalized, Unweighted)]]*$R$3</f>
        <v>0.15437392795883365</v>
      </c>
      <c r="U273">
        <f>_xlfn.XLOOKUP(FME_Ranking1[[#This Row],[FME ID]],FME_Input[FME_ID],FME_Input[LWC])</f>
        <v>22</v>
      </c>
      <c r="V273" s="178">
        <f>(FME_Ranking1[[#This Row],[LWC Raw]]/$U$2)*100</f>
        <v>1.2665515256188831</v>
      </c>
      <c r="W273" s="178">
        <f>FME_Ranking1[[#This Row],[LWC Score (Normalized, Unweighted)]]*$U$3</f>
        <v>0.25331030512377661</v>
      </c>
      <c r="X273" s="246">
        <f>_xlfn.XLOOKUP(FME_Ranking1[[#This Row],[FME ID]],FME_Input[FME_ID],FME_Input[ROADCLS])</f>
        <v>0</v>
      </c>
      <c r="Y273" s="230">
        <f>(FME_Ranking1[[#This Row],[Closures Raw]]/$X$2)*100</f>
        <v>0</v>
      </c>
      <c r="Z273" s="180">
        <f>FME_Ranking1[[#This Row],[Closures Score (Normalized, Unweighted)]]*$X$3</f>
        <v>0</v>
      </c>
      <c r="AA273" s="253">
        <f>_xlfn.XLOOKUP(FME_Ranking1[[#This Row],[FME ID]],FME_Input[FME_ID],FME_Input[ROAD_MILES100])</f>
        <v>60.730381011962891</v>
      </c>
      <c r="AB273" s="178">
        <f>(FME_Ranking1[[#This Row],[Miles Raw]]/$AA$2)*100</f>
        <v>0.79849558525536513</v>
      </c>
      <c r="AC273" s="178">
        <f>FME_Ranking1[[#This Row],[Miles Score (Normalized, Unweighted)]]*$AA$3</f>
        <v>7.9849558525536518E-2</v>
      </c>
      <c r="AD273" s="255">
        <f>_xlfn.XLOOKUP(FME_Ranking1[[#This Row],[FME ID]],FME_Input[FME_ID],FME_Input[FARMACRE100])</f>
        <v>25497.33984375</v>
      </c>
      <c r="AE273" s="230">
        <f>(FME_Ranking1[[#This Row],[Ag Land Raw]]/$AD$2)*100</f>
        <v>1.0513961562203684</v>
      </c>
      <c r="AF273" s="231">
        <f>FME_Ranking1[[#This Row],[Ag Land Score (Normalized, Unweighted)]]*$AD$3</f>
        <v>5.2569807811018422E-2</v>
      </c>
      <c r="AG27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0.90578378049195496</v>
      </c>
      <c r="AH273" s="406">
        <f t="shared" si="4"/>
        <v>296</v>
      </c>
      <c r="AI27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0.90578378049195496</v>
      </c>
      <c r="AJ273" s="257">
        <f>FME_Ranking1[[#This Row],[Addition check]]-FME_Ranking1[[#This Row],[Weighted Score Based on Normalized Reported Factors]]</f>
        <v>0</v>
      </c>
      <c r="AK273" s="178">
        <f>_xlfn.RANK.EQ(AI273,$AI$6:$AI$2341,0)+COUNTIF($AI$6:AI273,AI273)-1</f>
        <v>298</v>
      </c>
    </row>
    <row r="274" spans="1:37" ht="12" customHeight="1" x14ac:dyDescent="0.25">
      <c r="A274" t="s">
        <v>8115</v>
      </c>
      <c r="B274">
        <f>_xlfn.XLOOKUP(FME_Ranking1[[#This Row],[FME ID]],FME_Input[FME_ID],FME_Input[RFPG_NUM])</f>
        <v>9</v>
      </c>
      <c r="C274" t="str">
        <f>_xlfn.XLOOKUP(FME_Ranking1[[#This Row],[FME ID]],FME_Input[FME_ID],FME_Input[FME_NAME])</f>
        <v>San Angelo Street Flooding 11</v>
      </c>
      <c r="D274" t="str">
        <f>_xlfn.XLOOKUP(FME_Ranking1[[#This Row],[FME ID]],FME_Input[FME_ID],FME_Input[DESCR])</f>
        <v xml:space="preserve">Upgrade, improve, and expand drainage systems throughout the city. Implementation of sediment and scour control measures. </v>
      </c>
      <c r="E274" s="256">
        <f>_xlfn.XLOOKUP(FME_Ranking1[[#This Row],[FME ID]],FME_Input[FME_ID],FME_Input[FME_COST])</f>
        <v>25000</v>
      </c>
      <c r="F274" t="str">
        <f>_xlfn.XLOOKUP(FME_Ranking1[[#This Row],[FME ID]],FME_Input[FME_ID],FME_Input[EMER_NEED])</f>
        <v>Yes</v>
      </c>
      <c r="G274">
        <f>IF(FME_Ranking!F274="Yes",100,0)</f>
        <v>100</v>
      </c>
      <c r="H274">
        <f>FME_Ranking1[[#This Row],[Emergency Need Score (Normalized, Unweighted)]]*$F$3</f>
        <v>0</v>
      </c>
      <c r="I274" s="246">
        <f>_xlfn.XLOOKUP(FME_Ranking1[[#This Row],[FME ID]],FME_Input[FME_ID],FME_Input[STRUCT_100])</f>
        <v>2587</v>
      </c>
      <c r="J274" s="178">
        <f>(FME_Ranking1[[#This Row],[Structures 100 Raw]]/I$2)*100</f>
        <v>1.385318939296577</v>
      </c>
      <c r="K274" s="178">
        <f>FME_Ranking1[[#This Row],[Structures 100  Score (Normalized, Unweighted)]]*$I$3</f>
        <v>0.20779784089448655</v>
      </c>
      <c r="L274" s="246">
        <f>_xlfn.XLOOKUP(FME_Ranking1[[#This Row],[FME ID]],FME_Input[FME_ID],FME_Input[RES_STRUCT100])</f>
        <v>1821</v>
      </c>
      <c r="M274" s="230">
        <f>(FME_Ranking1[[#This Row],[Res Structures Raw]]/L$2)*100</f>
        <v>1.28982448187446</v>
      </c>
      <c r="N274" s="180">
        <f>FME_Ranking1[[#This Row],[Res Structures Score (Normalized, Unweighted)]]*$L$3</f>
        <v>0.128982448187446</v>
      </c>
      <c r="O274" s="244">
        <f>_xlfn.XLOOKUP(FME_Ranking1[[#This Row],[FME ID]],FME_Input[FME_ID],FME_Input[POP100])</f>
        <v>8034</v>
      </c>
      <c r="P274" s="178">
        <f>(FME_Ranking1[[#This Row],[Pop Raw]]/$O$2)*100</f>
        <v>0.82248325651772436</v>
      </c>
      <c r="Q274" s="178">
        <f>FME_Ranking1[[#This Row],[Pop Score (Normalized, Unweighted)]]*$O$3</f>
        <v>0.12337248847765865</v>
      </c>
      <c r="R274" s="137">
        <f>_xlfn.XLOOKUP(FME_Ranking1[[#This Row],[FME ID]],FME_Input[FME_ID],FME_Input[CRITFAC100])</f>
        <v>6</v>
      </c>
      <c r="S274" s="230">
        <f>(FME_Ranking1[[#This Row],[Critical Facilities Raw]]/$R$2)*100</f>
        <v>0.25728987993138941</v>
      </c>
      <c r="T274" s="180">
        <f>FME_Ranking1[[#This Row],[Critical Facilities Score (Normalized, Unweighted)]]*$R$3</f>
        <v>5.1457975986277882E-2</v>
      </c>
      <c r="U274">
        <f>_xlfn.XLOOKUP(FME_Ranking1[[#This Row],[FME ID]],FME_Input[FME_ID],FME_Input[LWC])</f>
        <v>27</v>
      </c>
      <c r="V274" s="178">
        <f>(FME_Ranking1[[#This Row],[LWC Raw]]/$U$2)*100</f>
        <v>1.5544041450777202</v>
      </c>
      <c r="W274" s="178">
        <f>FME_Ranking1[[#This Row],[LWC Score (Normalized, Unweighted)]]*$U$3</f>
        <v>0.31088082901554404</v>
      </c>
      <c r="X274" s="246">
        <f>_xlfn.XLOOKUP(FME_Ranking1[[#This Row],[FME ID]],FME_Input[FME_ID],FME_Input[ROADCLS])</f>
        <v>0</v>
      </c>
      <c r="Y274" s="230">
        <f>(FME_Ranking1[[#This Row],[Closures Raw]]/$X$2)*100</f>
        <v>0</v>
      </c>
      <c r="Z274" s="180">
        <f>FME_Ranking1[[#This Row],[Closures Score (Normalized, Unweighted)]]*$X$3</f>
        <v>0</v>
      </c>
      <c r="AA274" s="253">
        <f>_xlfn.XLOOKUP(FME_Ranking1[[#This Row],[FME ID]],FME_Input[FME_ID],FME_Input[ROAD_MILES100])</f>
        <v>93.645278930664063</v>
      </c>
      <c r="AB274" s="178">
        <f>(FME_Ranking1[[#This Row],[Miles Raw]]/$AA$2)*100</f>
        <v>1.2312674572453777</v>
      </c>
      <c r="AC274" s="178">
        <f>FME_Ranking1[[#This Row],[Miles Score (Normalized, Unweighted)]]*$AA$3</f>
        <v>0.12312674572453777</v>
      </c>
      <c r="AD274" s="255">
        <f>_xlfn.XLOOKUP(FME_Ranking1[[#This Row],[FME ID]],FME_Input[FME_ID],FME_Input[FARMACRE100])</f>
        <v>558.4952392578125</v>
      </c>
      <c r="AE274" s="230">
        <f>(FME_Ranking1[[#This Row],[Ag Land Raw]]/$AD$2)*100</f>
        <v>2.3029843560993111E-2</v>
      </c>
      <c r="AF274" s="231">
        <f>FME_Ranking1[[#This Row],[Ag Land Score (Normalized, Unweighted)]]*$AD$3</f>
        <v>1.1514921780496556E-3</v>
      </c>
      <c r="AG27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0.9467698204640006</v>
      </c>
      <c r="AH274" s="406">
        <f t="shared" si="4"/>
        <v>287</v>
      </c>
      <c r="AI27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0.9467698204640006</v>
      </c>
      <c r="AJ274" s="257">
        <f>FME_Ranking1[[#This Row],[Addition check]]-FME_Ranking1[[#This Row],[Weighted Score Based on Normalized Reported Factors]]</f>
        <v>0</v>
      </c>
      <c r="AK274" s="178">
        <f>_xlfn.RANK.EQ(AI274,$AI$6:$AI$2341,0)+COUNTIF($AI$6:AI274,AI274)-1</f>
        <v>287</v>
      </c>
    </row>
    <row r="275" spans="1:37" ht="12" customHeight="1" x14ac:dyDescent="0.25">
      <c r="A275" t="s">
        <v>8329</v>
      </c>
      <c r="B275">
        <f>_xlfn.XLOOKUP(FME_Ranking1[[#This Row],[FME ID]],FME_Input[FME_ID],FME_Input[RFPG_NUM])</f>
        <v>9</v>
      </c>
      <c r="C275" t="str">
        <f>_xlfn.XLOOKUP(FME_Ranking1[[#This Row],[FME ID]],FME_Input[FME_ID],FME_Input[FME_NAME])</f>
        <v>San Angelo Street Flooding 13</v>
      </c>
      <c r="D275" t="str">
        <f>_xlfn.XLOOKUP(FME_Ranking1[[#This Row],[FME ID]],FME_Input[FME_ID],FME_Input[DESCR])</f>
        <v>Heavy street flow. 23rd at Armstrong</v>
      </c>
      <c r="E275" s="256">
        <f>_xlfn.XLOOKUP(FME_Ranking1[[#This Row],[FME ID]],FME_Input[FME_ID],FME_Input[FME_COST])</f>
        <v>25000</v>
      </c>
      <c r="F275" t="str">
        <f>_xlfn.XLOOKUP(FME_Ranking1[[#This Row],[FME ID]],FME_Input[FME_ID],FME_Input[EMER_NEED])</f>
        <v>Yes</v>
      </c>
      <c r="G275">
        <f>IF(FME_Ranking!F275="Yes",100,0)</f>
        <v>100</v>
      </c>
      <c r="H275">
        <f>FME_Ranking1[[#This Row],[Emergency Need Score (Normalized, Unweighted)]]*$F$3</f>
        <v>0</v>
      </c>
      <c r="I275" s="246">
        <f>_xlfn.XLOOKUP(FME_Ranking1[[#This Row],[FME ID]],FME_Input[FME_ID],FME_Input[STRUCT_100])</f>
        <v>2587</v>
      </c>
      <c r="J275" s="178">
        <f>(FME_Ranking1[[#This Row],[Structures 100 Raw]]/I$2)*100</f>
        <v>1.385318939296577</v>
      </c>
      <c r="K275" s="178">
        <f>FME_Ranking1[[#This Row],[Structures 100  Score (Normalized, Unweighted)]]*$I$3</f>
        <v>0.20779784089448655</v>
      </c>
      <c r="L275" s="246">
        <f>_xlfn.XLOOKUP(FME_Ranking1[[#This Row],[FME ID]],FME_Input[FME_ID],FME_Input[RES_STRUCT100])</f>
        <v>1821</v>
      </c>
      <c r="M275" s="230">
        <f>(FME_Ranking1[[#This Row],[Res Structures Raw]]/L$2)*100</f>
        <v>1.28982448187446</v>
      </c>
      <c r="N275" s="180">
        <f>FME_Ranking1[[#This Row],[Res Structures Score (Normalized, Unweighted)]]*$L$3</f>
        <v>0.128982448187446</v>
      </c>
      <c r="O275" s="244">
        <f>_xlfn.XLOOKUP(FME_Ranking1[[#This Row],[FME ID]],FME_Input[FME_ID],FME_Input[POP100])</f>
        <v>8034</v>
      </c>
      <c r="P275" s="178">
        <f>(FME_Ranking1[[#This Row],[Pop Raw]]/$O$2)*100</f>
        <v>0.82248325651772436</v>
      </c>
      <c r="Q275" s="178">
        <f>FME_Ranking1[[#This Row],[Pop Score (Normalized, Unweighted)]]*$O$3</f>
        <v>0.12337248847765865</v>
      </c>
      <c r="R275" s="137">
        <f>_xlfn.XLOOKUP(FME_Ranking1[[#This Row],[FME ID]],FME_Input[FME_ID],FME_Input[CRITFAC100])</f>
        <v>6</v>
      </c>
      <c r="S275" s="230">
        <f>(FME_Ranking1[[#This Row],[Critical Facilities Raw]]/$R$2)*100</f>
        <v>0.25728987993138941</v>
      </c>
      <c r="T275" s="180">
        <f>FME_Ranking1[[#This Row],[Critical Facilities Score (Normalized, Unweighted)]]*$R$3</f>
        <v>5.1457975986277882E-2</v>
      </c>
      <c r="U275">
        <f>_xlfn.XLOOKUP(FME_Ranking1[[#This Row],[FME ID]],FME_Input[FME_ID],FME_Input[LWC])</f>
        <v>27</v>
      </c>
      <c r="V275" s="178">
        <f>(FME_Ranking1[[#This Row],[LWC Raw]]/$U$2)*100</f>
        <v>1.5544041450777202</v>
      </c>
      <c r="W275" s="178">
        <f>FME_Ranking1[[#This Row],[LWC Score (Normalized, Unweighted)]]*$U$3</f>
        <v>0.31088082901554404</v>
      </c>
      <c r="X275" s="246">
        <f>_xlfn.XLOOKUP(FME_Ranking1[[#This Row],[FME ID]],FME_Input[FME_ID],FME_Input[ROADCLS])</f>
        <v>0</v>
      </c>
      <c r="Y275" s="230">
        <f>(FME_Ranking1[[#This Row],[Closures Raw]]/$X$2)*100</f>
        <v>0</v>
      </c>
      <c r="Z275" s="180">
        <f>FME_Ranking1[[#This Row],[Closures Score (Normalized, Unweighted)]]*$X$3</f>
        <v>0</v>
      </c>
      <c r="AA275" s="253">
        <f>_xlfn.XLOOKUP(FME_Ranking1[[#This Row],[FME ID]],FME_Input[FME_ID],FME_Input[ROAD_MILES100])</f>
        <v>93.645278930664063</v>
      </c>
      <c r="AB275" s="178">
        <f>(FME_Ranking1[[#This Row],[Miles Raw]]/$AA$2)*100</f>
        <v>1.2312674572453777</v>
      </c>
      <c r="AC275" s="178">
        <f>FME_Ranking1[[#This Row],[Miles Score (Normalized, Unweighted)]]*$AA$3</f>
        <v>0.12312674572453777</v>
      </c>
      <c r="AD275" s="255">
        <f>_xlfn.XLOOKUP(FME_Ranking1[[#This Row],[FME ID]],FME_Input[FME_ID],FME_Input[FARMACRE100])</f>
        <v>558.4952392578125</v>
      </c>
      <c r="AE275" s="230">
        <f>(FME_Ranking1[[#This Row],[Ag Land Raw]]/$AD$2)*100</f>
        <v>2.3029843560993111E-2</v>
      </c>
      <c r="AF275" s="231">
        <f>FME_Ranking1[[#This Row],[Ag Land Score (Normalized, Unweighted)]]*$AD$3</f>
        <v>1.1514921780496556E-3</v>
      </c>
      <c r="AG27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0.9467698204640006</v>
      </c>
      <c r="AH275" s="406">
        <f t="shared" si="4"/>
        <v>287</v>
      </c>
      <c r="AI27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0.9467698204640006</v>
      </c>
      <c r="AJ275" s="257">
        <f>FME_Ranking1[[#This Row],[Addition check]]-FME_Ranking1[[#This Row],[Weighted Score Based on Normalized Reported Factors]]</f>
        <v>0</v>
      </c>
      <c r="AK275" s="178">
        <f>_xlfn.RANK.EQ(AI275,$AI$6:$AI$2341,0)+COUNTIF($AI$6:AI275,AI275)-1</f>
        <v>288</v>
      </c>
    </row>
    <row r="276" spans="1:37" ht="12" customHeight="1" x14ac:dyDescent="0.25">
      <c r="A276" t="s">
        <v>2981</v>
      </c>
      <c r="B276">
        <f>_xlfn.XLOOKUP(FME_Ranking1[[#This Row],[FME ID]],FME_Input[FME_ID],FME_Input[RFPG_NUM])</f>
        <v>1</v>
      </c>
      <c r="C276" t="str">
        <f>_xlfn.XLOOKUP(FME_Ranking1[[#This Row],[FME ID]],FME_Input[FME_ID],FME_Input[FME_NAME])</f>
        <v xml:space="preserve">Montague County FIS </v>
      </c>
      <c r="D276" t="str">
        <f>_xlfn.XLOOKUP(FME_Ranking1[[#This Row],[FME ID]],FME_Input[FME_ID],FME_Input[DESCR])</f>
        <v>Update flood insurance study for the county and develop regulatory mapping</v>
      </c>
      <c r="E276" s="256">
        <f>_xlfn.XLOOKUP(FME_Ranking1[[#This Row],[FME ID]],FME_Input[FME_ID],FME_Input[FME_COST])</f>
        <v>981000</v>
      </c>
      <c r="F276" t="str">
        <f>_xlfn.XLOOKUP(FME_Ranking1[[#This Row],[FME ID]],FME_Input[FME_ID],FME_Input[EMER_NEED])</f>
        <v>No</v>
      </c>
      <c r="G276">
        <f>IF(FME_Ranking!F276="Yes",100,0)</f>
        <v>0</v>
      </c>
      <c r="H276">
        <f>FME_Ranking1[[#This Row],[Emergency Need Score (Normalized, Unweighted)]]*$F$3</f>
        <v>0</v>
      </c>
      <c r="I276" s="246">
        <f>_xlfn.XLOOKUP(FME_Ranking1[[#This Row],[FME ID]],FME_Input[FME_ID],FME_Input[STRUCT_100])</f>
        <v>255</v>
      </c>
      <c r="J276" s="178">
        <f>(FME_Ranking1[[#This Row],[Structures 100 Raw]]/I$2)*100</f>
        <v>0.13655057190592471</v>
      </c>
      <c r="K276" s="178">
        <f>FME_Ranking1[[#This Row],[Structures 100  Score (Normalized, Unweighted)]]*$I$3</f>
        <v>2.0482585785888706E-2</v>
      </c>
      <c r="L276" s="246">
        <f>_xlfn.XLOOKUP(FME_Ranking1[[#This Row],[FME ID]],FME_Input[FME_ID],FME_Input[RES_STRUCT100])</f>
        <v>150</v>
      </c>
      <c r="M276" s="230">
        <f>(FME_Ranking1[[#This Row],[Res Structures Raw]]/L$2)*100</f>
        <v>0.10624583870465074</v>
      </c>
      <c r="N276" s="180">
        <f>FME_Ranking1[[#This Row],[Res Structures Score (Normalized, Unweighted)]]*$L$3</f>
        <v>1.0624583870465075E-2</v>
      </c>
      <c r="O276" s="244">
        <f>_xlfn.XLOOKUP(FME_Ranking1[[#This Row],[FME ID]],FME_Input[FME_ID],FME_Input[POP100])</f>
        <v>394</v>
      </c>
      <c r="P276" s="178">
        <f>(FME_Ranking1[[#This Row],[Pop Raw]]/$O$2)*100</f>
        <v>4.0335872923572734E-2</v>
      </c>
      <c r="Q276" s="178">
        <f>FME_Ranking1[[#This Row],[Pop Score (Normalized, Unweighted)]]*$O$3</f>
        <v>6.0503809385359097E-3</v>
      </c>
      <c r="R276" s="137">
        <f>_xlfn.XLOOKUP(FME_Ranking1[[#This Row],[FME ID]],FME_Input[FME_ID],FME_Input[CRITFAC100])</f>
        <v>0</v>
      </c>
      <c r="S276" s="230">
        <f>(FME_Ranking1[[#This Row],[Critical Facilities Raw]]/$R$2)*100</f>
        <v>0</v>
      </c>
      <c r="T276" s="180">
        <f>FME_Ranking1[[#This Row],[Critical Facilities Score (Normalized, Unweighted)]]*$R$3</f>
        <v>0</v>
      </c>
      <c r="U276">
        <f>_xlfn.XLOOKUP(FME_Ranking1[[#This Row],[FME ID]],FME_Input[FME_ID],FME_Input[LWC])</f>
        <v>53</v>
      </c>
      <c r="V276" s="178">
        <f>(FME_Ranking1[[#This Row],[LWC Raw]]/$U$2)*100</f>
        <v>3.0512377662636729</v>
      </c>
      <c r="W276" s="178">
        <f>FME_Ranking1[[#This Row],[LWC Score (Normalized, Unweighted)]]*$U$3</f>
        <v>0.61024755325273461</v>
      </c>
      <c r="X276" s="246">
        <f>_xlfn.XLOOKUP(FME_Ranking1[[#This Row],[FME ID]],FME_Input[FME_ID],FME_Input[ROADCLS])</f>
        <v>136</v>
      </c>
      <c r="Y276" s="230">
        <f>(FME_Ranking1[[#This Row],[Closures Raw]]/$X$2)*100</f>
        <v>1.4299232467669014</v>
      </c>
      <c r="Z276" s="180">
        <f>FME_Ranking1[[#This Row],[Closures Score (Normalized, Unweighted)]]*$X$3</f>
        <v>7.1496162338345076E-2</v>
      </c>
      <c r="AA276" s="253">
        <f>_xlfn.XLOOKUP(FME_Ranking1[[#This Row],[FME ID]],FME_Input[FME_ID],FME_Input[ROAD_MILES100])</f>
        <v>36.572376251220703</v>
      </c>
      <c r="AB276" s="178">
        <f>(FME_Ranking1[[#This Row],[Miles Raw]]/$AA$2)*100</f>
        <v>0.48086115206728902</v>
      </c>
      <c r="AC276" s="178">
        <f>FME_Ranking1[[#This Row],[Miles Score (Normalized, Unweighted)]]*$AA$3</f>
        <v>4.8086115206728904E-2</v>
      </c>
      <c r="AD276" s="255">
        <f>_xlfn.XLOOKUP(FME_Ranking1[[#This Row],[FME ID]],FME_Input[FME_ID],FME_Input[FARMACRE100])</f>
        <v>49720.953125</v>
      </c>
      <c r="AE276" s="230">
        <f>(FME_Ranking1[[#This Row],[Ag Land Raw]]/$AD$2)*100</f>
        <v>2.0502695308448931</v>
      </c>
      <c r="AF276" s="231">
        <f>FME_Ranking1[[#This Row],[Ag Land Score (Normalized, Unweighted)]]*$AD$3</f>
        <v>0.10251347654224466</v>
      </c>
      <c r="AG27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0.86950085793494292</v>
      </c>
      <c r="AH276" s="406">
        <f t="shared" si="4"/>
        <v>306</v>
      </c>
      <c r="AI27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0.86950085793494292</v>
      </c>
      <c r="AJ276" s="257">
        <f>FME_Ranking1[[#This Row],[Addition check]]-FME_Ranking1[[#This Row],[Weighted Score Based on Normalized Reported Factors]]</f>
        <v>0</v>
      </c>
      <c r="AK276" s="178">
        <f>_xlfn.RANK.EQ(AI276,$AI$6:$AI$2341,0)+COUNTIF($AI$6:AI276,AI276)-1</f>
        <v>306</v>
      </c>
    </row>
    <row r="277" spans="1:37" ht="12" customHeight="1" x14ac:dyDescent="0.25">
      <c r="A277" t="s">
        <v>3032</v>
      </c>
      <c r="B277">
        <f>_xlfn.XLOOKUP(FME_Ranking1[[#This Row],[FME ID]],FME_Input[FME_ID],FME_Input[RFPG_NUM])</f>
        <v>1</v>
      </c>
      <c r="C277" t="str">
        <f>_xlfn.XLOOKUP(FME_Ranking1[[#This Row],[FME ID]],FME_Input[FME_ID],FME_Input[FME_NAME])</f>
        <v>Montague County Drainage Master Plan</v>
      </c>
      <c r="D277" t="str">
        <f>_xlfn.XLOOKUP(FME_Ranking1[[#This Row],[FME ID]],FME_Input[FME_ID],FME_Input[DESCR])</f>
        <v>Perform H&amp;H modeling, develop conceptual alternatives and OPCC, and rank projects; selected based on HMAPs</v>
      </c>
      <c r="E277" s="256">
        <f>_xlfn.XLOOKUP(FME_Ranking1[[#This Row],[FME ID]],FME_Input[FME_ID],FME_Input[FME_COST])</f>
        <v>500000</v>
      </c>
      <c r="F277" t="str">
        <f>_xlfn.XLOOKUP(FME_Ranking1[[#This Row],[FME ID]],FME_Input[FME_ID],FME_Input[EMER_NEED])</f>
        <v>No</v>
      </c>
      <c r="G277">
        <f>IF(FME_Ranking!F277="Yes",100,0)</f>
        <v>0</v>
      </c>
      <c r="H277">
        <f>FME_Ranking1[[#This Row],[Emergency Need Score (Normalized, Unweighted)]]*$F$3</f>
        <v>0</v>
      </c>
      <c r="I277" s="246">
        <f>_xlfn.XLOOKUP(FME_Ranking1[[#This Row],[FME ID]],FME_Input[FME_ID],FME_Input[STRUCT_100])</f>
        <v>255</v>
      </c>
      <c r="J277" s="178">
        <f>(FME_Ranking1[[#This Row],[Structures 100 Raw]]/I$2)*100</f>
        <v>0.13655057190592471</v>
      </c>
      <c r="K277" s="178">
        <f>FME_Ranking1[[#This Row],[Structures 100  Score (Normalized, Unweighted)]]*$I$3</f>
        <v>2.0482585785888706E-2</v>
      </c>
      <c r="L277" s="246">
        <f>_xlfn.XLOOKUP(FME_Ranking1[[#This Row],[FME ID]],FME_Input[FME_ID],FME_Input[RES_STRUCT100])</f>
        <v>150</v>
      </c>
      <c r="M277" s="230">
        <f>(FME_Ranking1[[#This Row],[Res Structures Raw]]/L$2)*100</f>
        <v>0.10624583870465074</v>
      </c>
      <c r="N277" s="180">
        <f>FME_Ranking1[[#This Row],[Res Structures Score (Normalized, Unweighted)]]*$L$3</f>
        <v>1.0624583870465075E-2</v>
      </c>
      <c r="O277" s="244">
        <f>_xlfn.XLOOKUP(FME_Ranking1[[#This Row],[FME ID]],FME_Input[FME_ID],FME_Input[POP100])</f>
        <v>394</v>
      </c>
      <c r="P277" s="178">
        <f>(FME_Ranking1[[#This Row],[Pop Raw]]/$O$2)*100</f>
        <v>4.0335872923572734E-2</v>
      </c>
      <c r="Q277" s="178">
        <f>FME_Ranking1[[#This Row],[Pop Score (Normalized, Unweighted)]]*$O$3</f>
        <v>6.0503809385359097E-3</v>
      </c>
      <c r="R277" s="137">
        <f>_xlfn.XLOOKUP(FME_Ranking1[[#This Row],[FME ID]],FME_Input[FME_ID],FME_Input[CRITFAC100])</f>
        <v>0</v>
      </c>
      <c r="S277" s="230">
        <f>(FME_Ranking1[[#This Row],[Critical Facilities Raw]]/$R$2)*100</f>
        <v>0</v>
      </c>
      <c r="T277" s="180">
        <f>FME_Ranking1[[#This Row],[Critical Facilities Score (Normalized, Unweighted)]]*$R$3</f>
        <v>0</v>
      </c>
      <c r="U277">
        <f>_xlfn.XLOOKUP(FME_Ranking1[[#This Row],[FME ID]],FME_Input[FME_ID],FME_Input[LWC])</f>
        <v>53</v>
      </c>
      <c r="V277" s="178">
        <f>(FME_Ranking1[[#This Row],[LWC Raw]]/$U$2)*100</f>
        <v>3.0512377662636729</v>
      </c>
      <c r="W277" s="178">
        <f>FME_Ranking1[[#This Row],[LWC Score (Normalized, Unweighted)]]*$U$3</f>
        <v>0.61024755325273461</v>
      </c>
      <c r="X277" s="246">
        <f>_xlfn.XLOOKUP(FME_Ranking1[[#This Row],[FME ID]],FME_Input[FME_ID],FME_Input[ROADCLS])</f>
        <v>136</v>
      </c>
      <c r="Y277" s="230">
        <f>(FME_Ranking1[[#This Row],[Closures Raw]]/$X$2)*100</f>
        <v>1.4299232467669014</v>
      </c>
      <c r="Z277" s="180">
        <f>FME_Ranking1[[#This Row],[Closures Score (Normalized, Unweighted)]]*$X$3</f>
        <v>7.1496162338345076E-2</v>
      </c>
      <c r="AA277" s="253">
        <f>_xlfn.XLOOKUP(FME_Ranking1[[#This Row],[FME ID]],FME_Input[FME_ID],FME_Input[ROAD_MILES100])</f>
        <v>36.572376251220703</v>
      </c>
      <c r="AB277" s="178">
        <f>(FME_Ranking1[[#This Row],[Miles Raw]]/$AA$2)*100</f>
        <v>0.48086115206728902</v>
      </c>
      <c r="AC277" s="178">
        <f>FME_Ranking1[[#This Row],[Miles Score (Normalized, Unweighted)]]*$AA$3</f>
        <v>4.8086115206728904E-2</v>
      </c>
      <c r="AD277" s="255">
        <f>_xlfn.XLOOKUP(FME_Ranking1[[#This Row],[FME ID]],FME_Input[FME_ID],FME_Input[FARMACRE100])</f>
        <v>49720.953125</v>
      </c>
      <c r="AE277" s="230">
        <f>(FME_Ranking1[[#This Row],[Ag Land Raw]]/$AD$2)*100</f>
        <v>2.0502695308448931</v>
      </c>
      <c r="AF277" s="231">
        <f>FME_Ranking1[[#This Row],[Ag Land Score (Normalized, Unweighted)]]*$AD$3</f>
        <v>0.10251347654224466</v>
      </c>
      <c r="AG27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0.86950085793494292</v>
      </c>
      <c r="AH277" s="406">
        <f t="shared" si="4"/>
        <v>306</v>
      </c>
      <c r="AI27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0.86950085793494292</v>
      </c>
      <c r="AJ277" s="257">
        <f>FME_Ranking1[[#This Row],[Addition check]]-FME_Ranking1[[#This Row],[Weighted Score Based on Normalized Reported Factors]]</f>
        <v>0</v>
      </c>
      <c r="AK277" s="178">
        <f>_xlfn.RANK.EQ(AI277,$AI$6:$AI$2341,0)+COUNTIF($AI$6:AI277,AI277)-1</f>
        <v>307</v>
      </c>
    </row>
    <row r="278" spans="1:37" ht="12" customHeight="1" x14ac:dyDescent="0.25">
      <c r="A278" t="s">
        <v>5863</v>
      </c>
      <c r="B278">
        <f>_xlfn.XLOOKUP(FME_Ranking1[[#This Row],[FME ID]],FME_Input[FME_ID],FME_Input[RFPG_NUM])</f>
        <v>5</v>
      </c>
      <c r="C278" t="str">
        <f>_xlfn.XLOOKUP(FME_Ranking1[[#This Row],[FME ID]],FME_Input[FME_ID],FME_Input[FME_NAME])</f>
        <v>Galveston County Update Flood Hazard Mapping</v>
      </c>
      <c r="D278" t="str">
        <f>_xlfn.XLOOKUP(FME_Ranking1[[#This Row],[FME ID]],FME_Input[FME_ID],FME_Input[DESCR])</f>
        <v>Complete a detailed study within the county extent to delineate an updated flood hazard area, which can be used for regulatory purposes.</v>
      </c>
      <c r="E278" s="256">
        <f>_xlfn.XLOOKUP(FME_Ranking1[[#This Row],[FME ID]],FME_Input[FME_ID],FME_Input[FME_COST])</f>
        <v>68502</v>
      </c>
      <c r="F278" t="str">
        <f>_xlfn.XLOOKUP(FME_Ranking1[[#This Row],[FME ID]],FME_Input[FME_ID],FME_Input[EMER_NEED])</f>
        <v>Yes</v>
      </c>
      <c r="G278">
        <f>IF(FME_Ranking!F278="Yes",100,0)</f>
        <v>100</v>
      </c>
      <c r="H278">
        <f>FME_Ranking1[[#This Row],[Emergency Need Score (Normalized, Unweighted)]]*$F$3</f>
        <v>0</v>
      </c>
      <c r="I278" s="246">
        <f>_xlfn.XLOOKUP(FME_Ranking1[[#This Row],[FME ID]],FME_Input[FME_ID],FME_Input[STRUCT_100])</f>
        <v>4937</v>
      </c>
      <c r="J278" s="178">
        <f>(FME_Ranking1[[#This Row],[Structures 100 Raw]]/I$2)*100</f>
        <v>2.6437261705864712</v>
      </c>
      <c r="K278" s="178">
        <f>FME_Ranking1[[#This Row],[Structures 100  Score (Normalized, Unweighted)]]*$I$3</f>
        <v>0.39655892558797068</v>
      </c>
      <c r="L278" s="246">
        <f>_xlfn.XLOOKUP(FME_Ranking1[[#This Row],[FME ID]],FME_Input[FME_ID],FME_Input[RES_STRUCT100])</f>
        <v>4476</v>
      </c>
      <c r="M278" s="230">
        <f>(FME_Ranking1[[#This Row],[Res Structures Raw]]/L$2)*100</f>
        <v>3.1703758269467781</v>
      </c>
      <c r="N278" s="180">
        <f>FME_Ranking1[[#This Row],[Res Structures Score (Normalized, Unweighted)]]*$L$3</f>
        <v>0.31703758269467786</v>
      </c>
      <c r="O278" s="244">
        <f>_xlfn.XLOOKUP(FME_Ranking1[[#This Row],[FME ID]],FME_Input[FME_ID],FME_Input[POP100])</f>
        <v>2373</v>
      </c>
      <c r="P278" s="178">
        <f>(FME_Ranking1[[#This Row],[Pop Raw]]/$O$2)*100</f>
        <v>0.24293661534933528</v>
      </c>
      <c r="Q278" s="178">
        <f>FME_Ranking1[[#This Row],[Pop Score (Normalized, Unweighted)]]*$O$3</f>
        <v>3.644049230240029E-2</v>
      </c>
      <c r="R278" s="137">
        <f>_xlfn.XLOOKUP(FME_Ranking1[[#This Row],[FME ID]],FME_Input[FME_ID],FME_Input[CRITFAC100])</f>
        <v>8</v>
      </c>
      <c r="S278" s="230">
        <f>(FME_Ranking1[[#This Row],[Critical Facilities Raw]]/$R$2)*100</f>
        <v>0.34305317324185247</v>
      </c>
      <c r="T278" s="180">
        <f>FME_Ranking1[[#This Row],[Critical Facilities Score (Normalized, Unweighted)]]*$R$3</f>
        <v>6.86106346483705E-2</v>
      </c>
      <c r="U278">
        <f>_xlfn.XLOOKUP(FME_Ranking1[[#This Row],[FME ID]],FME_Input[FME_ID],FME_Input[LWC])</f>
        <v>0</v>
      </c>
      <c r="V278" s="178">
        <f>(FME_Ranking1[[#This Row],[LWC Raw]]/$U$2)*100</f>
        <v>0</v>
      </c>
      <c r="W278" s="178">
        <f>FME_Ranking1[[#This Row],[LWC Score (Normalized, Unweighted)]]*$U$3</f>
        <v>0</v>
      </c>
      <c r="X278" s="246">
        <f>_xlfn.XLOOKUP(FME_Ranking1[[#This Row],[FME ID]],FME_Input[FME_ID],FME_Input[ROADCLS])</f>
        <v>0</v>
      </c>
      <c r="Y278" s="230">
        <f>(FME_Ranking1[[#This Row],[Closures Raw]]/$X$2)*100</f>
        <v>0</v>
      </c>
      <c r="Z278" s="180">
        <f>FME_Ranking1[[#This Row],[Closures Score (Normalized, Unweighted)]]*$X$3</f>
        <v>0</v>
      </c>
      <c r="AA278" s="253">
        <f>_xlfn.XLOOKUP(FME_Ranking1[[#This Row],[FME ID]],FME_Input[FME_ID],FME_Input[ROAD_MILES100])</f>
        <v>142.5940246582031</v>
      </c>
      <c r="AB278" s="178">
        <f>(FME_Ranking1[[#This Row],[Miles Raw]]/$AA$2)*100</f>
        <v>1.8748556698654852</v>
      </c>
      <c r="AC278" s="178">
        <f>FME_Ranking1[[#This Row],[Miles Score (Normalized, Unweighted)]]*$AA$3</f>
        <v>0.18748556698654853</v>
      </c>
      <c r="AD278" s="255">
        <f>_xlfn.XLOOKUP(FME_Ranking1[[#This Row],[FME ID]],FME_Input[FME_ID],FME_Input[FARMACRE100])</f>
        <v>330.2083740234375</v>
      </c>
      <c r="AE278" s="230">
        <f>(FME_Ranking1[[#This Row],[Ag Land Raw]]/$AD$2)*100</f>
        <v>1.3616315165721959E-2</v>
      </c>
      <c r="AF278" s="231">
        <f>FME_Ranking1[[#This Row],[Ag Land Score (Normalized, Unweighted)]]*$AD$3</f>
        <v>6.8081575828609795E-4</v>
      </c>
      <c r="AG27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1.0068140179782539</v>
      </c>
      <c r="AH278" s="406">
        <f t="shared" si="4"/>
        <v>276</v>
      </c>
      <c r="AI27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1.0068140179782539</v>
      </c>
      <c r="AJ278" s="257">
        <f>FME_Ranking1[[#This Row],[Addition check]]-FME_Ranking1[[#This Row],[Weighted Score Based on Normalized Reported Factors]]</f>
        <v>0</v>
      </c>
      <c r="AK278" s="178">
        <f>_xlfn.RANK.EQ(AI278,$AI$6:$AI$2341,0)+COUNTIF($AI$6:AI278,AI278)-1</f>
        <v>276</v>
      </c>
    </row>
    <row r="279" spans="1:37" ht="12" customHeight="1" x14ac:dyDescent="0.25">
      <c r="A279" t="s">
        <v>3470</v>
      </c>
      <c r="B279">
        <f>_xlfn.XLOOKUP(FME_Ranking1[[#This Row],[FME ID]],FME_Input[FME_ID],FME_Input[RFPG_NUM])</f>
        <v>2</v>
      </c>
      <c r="C279" t="str">
        <f>_xlfn.XLOOKUP(FME_Ranking1[[#This Row],[FME ID]],FME_Input[FME_ID],FME_Input[FME_NAME])</f>
        <v>Grayson County FIS</v>
      </c>
      <c r="D279" t="str">
        <f>_xlfn.XLOOKUP(FME_Ranking1[[#This Row],[FME ID]],FME_Input[FME_ID],FME_Input[DESCR])</f>
        <v>Update or improve County to Zone AE</v>
      </c>
      <c r="E279" s="256">
        <f>_xlfn.XLOOKUP(FME_Ranking1[[#This Row],[FME ID]],FME_Input[FME_ID],FME_Input[FME_COST])</f>
        <v>2313000</v>
      </c>
      <c r="F279" t="str">
        <f>_xlfn.XLOOKUP(FME_Ranking1[[#This Row],[FME ID]],FME_Input[FME_ID],FME_Input[EMER_NEED])</f>
        <v>No</v>
      </c>
      <c r="G279">
        <f>IF(FME_Ranking!F279="Yes",100,0)</f>
        <v>0</v>
      </c>
      <c r="H279">
        <f>FME_Ranking1[[#This Row],[Emergency Need Score (Normalized, Unweighted)]]*$F$3</f>
        <v>0</v>
      </c>
      <c r="I279" s="246">
        <f>_xlfn.XLOOKUP(FME_Ranking1[[#This Row],[FME ID]],FME_Input[FME_ID],FME_Input[STRUCT_100])</f>
        <v>2569</v>
      </c>
      <c r="J279" s="178">
        <f>(FME_Ranking1[[#This Row],[Structures 100 Raw]]/I$2)*100</f>
        <v>1.3756800753973353</v>
      </c>
      <c r="K279" s="178">
        <f>FME_Ranking1[[#This Row],[Structures 100  Score (Normalized, Unweighted)]]*$I$3</f>
        <v>0.20635201130960029</v>
      </c>
      <c r="L279" s="246">
        <f>_xlfn.XLOOKUP(FME_Ranking1[[#This Row],[FME ID]],FME_Input[FME_ID],FME_Input[RES_STRUCT100])</f>
        <v>1511</v>
      </c>
      <c r="M279" s="230">
        <f>(FME_Ranking1[[#This Row],[Res Structures Raw]]/L$2)*100</f>
        <v>1.070249748551515</v>
      </c>
      <c r="N279" s="180">
        <f>FME_Ranking1[[#This Row],[Res Structures Score (Normalized, Unweighted)]]*$L$3</f>
        <v>0.1070249748551515</v>
      </c>
      <c r="O279" s="244">
        <f>_xlfn.XLOOKUP(FME_Ranking1[[#This Row],[FME ID]],FME_Input[FME_ID],FME_Input[POP100])</f>
        <v>12470</v>
      </c>
      <c r="P279" s="178">
        <f>(FME_Ranking1[[#This Row],[Pop Raw]]/$O$2)*100</f>
        <v>1.2766201404998783</v>
      </c>
      <c r="Q279" s="178">
        <f>FME_Ranking1[[#This Row],[Pop Score (Normalized, Unweighted)]]*$O$3</f>
        <v>0.19149302107498173</v>
      </c>
      <c r="R279" s="137">
        <f>_xlfn.XLOOKUP(FME_Ranking1[[#This Row],[FME ID]],FME_Input[FME_ID],FME_Input[CRITFAC100])</f>
        <v>23</v>
      </c>
      <c r="S279" s="230">
        <f>(FME_Ranking1[[#This Row],[Critical Facilities Raw]]/$R$2)*100</f>
        <v>0.98627787307032588</v>
      </c>
      <c r="T279" s="180">
        <f>FME_Ranking1[[#This Row],[Critical Facilities Score (Normalized, Unweighted)]]*$R$3</f>
        <v>0.19725557461406518</v>
      </c>
      <c r="U279">
        <f>_xlfn.XLOOKUP(FME_Ranking1[[#This Row],[FME ID]],FME_Input[FME_ID],FME_Input[LWC])</f>
        <v>8</v>
      </c>
      <c r="V279" s="178">
        <f>(FME_Ranking1[[#This Row],[LWC Raw]]/$U$2)*100</f>
        <v>0.46056419113413938</v>
      </c>
      <c r="W279" s="178">
        <f>FME_Ranking1[[#This Row],[LWC Score (Normalized, Unweighted)]]*$U$3</f>
        <v>9.2112838226827878E-2</v>
      </c>
      <c r="X279" s="246">
        <f>_xlfn.XLOOKUP(FME_Ranking1[[#This Row],[FME ID]],FME_Input[FME_ID],FME_Input[ROADCLS])</f>
        <v>0</v>
      </c>
      <c r="Y279" s="230">
        <f>(FME_Ranking1[[#This Row],[Closures Raw]]/$X$2)*100</f>
        <v>0</v>
      </c>
      <c r="Z279" s="180">
        <f>FME_Ranking1[[#This Row],[Closures Score (Normalized, Unweighted)]]*$X$3</f>
        <v>0</v>
      </c>
      <c r="AA279" s="253">
        <f>_xlfn.XLOOKUP(FME_Ranking1[[#This Row],[FME ID]],FME_Input[FME_ID],FME_Input[ROAD_MILES100])</f>
        <v>180.74037170410159</v>
      </c>
      <c r="AB279" s="178">
        <f>(FME_Ranking1[[#This Row],[Miles Raw]]/$AA$2)*100</f>
        <v>2.3764117148336363</v>
      </c>
      <c r="AC279" s="178">
        <f>FME_Ranking1[[#This Row],[Miles Score (Normalized, Unweighted)]]*$AA$3</f>
        <v>0.23764117148336364</v>
      </c>
      <c r="AD279" s="255">
        <f>_xlfn.XLOOKUP(FME_Ranking1[[#This Row],[FME ID]],FME_Input[FME_ID],FME_Input[FARMACRE100])</f>
        <v>10335.2744140625</v>
      </c>
      <c r="AE279" s="230">
        <f>(FME_Ranking1[[#This Row],[Ag Land Raw]]/$AD$2)*100</f>
        <v>0.4261804509418915</v>
      </c>
      <c r="AF279" s="231">
        <f>FME_Ranking1[[#This Row],[Ag Land Score (Normalized, Unweighted)]]*$AD$3</f>
        <v>2.1309022547094575E-2</v>
      </c>
      <c r="AG27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1.0531886141110849</v>
      </c>
      <c r="AH279" s="406">
        <f t="shared" si="4"/>
        <v>259</v>
      </c>
      <c r="AI27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1.0531886141110849</v>
      </c>
      <c r="AJ279" s="257">
        <f>FME_Ranking1[[#This Row],[Addition check]]-FME_Ranking1[[#This Row],[Weighted Score Based on Normalized Reported Factors]]</f>
        <v>0</v>
      </c>
      <c r="AK279" s="178">
        <f>_xlfn.RANK.EQ(AI279,$AI$6:$AI$2341,0)+COUNTIF($AI$6:AI279,AI279)-1</f>
        <v>259</v>
      </c>
    </row>
    <row r="280" spans="1:37" ht="12" customHeight="1" x14ac:dyDescent="0.25">
      <c r="A280" t="s">
        <v>3646</v>
      </c>
      <c r="B280">
        <f>_xlfn.XLOOKUP(FME_Ranking1[[#This Row],[FME ID]],FME_Input[FME_ID],FME_Input[RFPG_NUM])</f>
        <v>2</v>
      </c>
      <c r="C280" t="str">
        <f>_xlfn.XLOOKUP(FME_Ranking1[[#This Row],[FME ID]],FME_Input[FME_ID],FME_Input[FME_NAME])</f>
        <v>Grayson County Buyout of Repetitive Flood Properties</v>
      </c>
      <c r="D280" t="str">
        <f>_xlfn.XLOOKUP(FME_Ranking1[[#This Row],[FME ID]],FME_Input[FME_ID],FME_Input[DESCR])</f>
        <v>Work with local jurisdiction in the buy-out of repetitive flood properties. This includes any structures found to be located in flood areas that are in incorporated and unincorporated areas.</v>
      </c>
      <c r="E280" s="256">
        <f>_xlfn.XLOOKUP(FME_Ranking1[[#This Row],[FME ID]],FME_Input[FME_ID],FME_Input[FME_COST])</f>
        <v>250000</v>
      </c>
      <c r="F280" t="str">
        <f>_xlfn.XLOOKUP(FME_Ranking1[[#This Row],[FME ID]],FME_Input[FME_ID],FME_Input[EMER_NEED])</f>
        <v>No</v>
      </c>
      <c r="G280">
        <f>IF(FME_Ranking!F280="Yes",100,0)</f>
        <v>0</v>
      </c>
      <c r="H280">
        <f>FME_Ranking1[[#This Row],[Emergency Need Score (Normalized, Unweighted)]]*$F$3</f>
        <v>0</v>
      </c>
      <c r="I280" s="246">
        <f>_xlfn.XLOOKUP(FME_Ranking1[[#This Row],[FME ID]],FME_Input[FME_ID],FME_Input[STRUCT_100])</f>
        <v>2569</v>
      </c>
      <c r="J280" s="178">
        <f>(FME_Ranking1[[#This Row],[Structures 100 Raw]]/I$2)*100</f>
        <v>1.3756800753973353</v>
      </c>
      <c r="K280" s="178">
        <f>FME_Ranking1[[#This Row],[Structures 100  Score (Normalized, Unweighted)]]*$I$3</f>
        <v>0.20635201130960029</v>
      </c>
      <c r="L280" s="246">
        <f>_xlfn.XLOOKUP(FME_Ranking1[[#This Row],[FME ID]],FME_Input[FME_ID],FME_Input[RES_STRUCT100])</f>
        <v>1511</v>
      </c>
      <c r="M280" s="230">
        <f>(FME_Ranking1[[#This Row],[Res Structures Raw]]/L$2)*100</f>
        <v>1.070249748551515</v>
      </c>
      <c r="N280" s="180">
        <f>FME_Ranking1[[#This Row],[Res Structures Score (Normalized, Unweighted)]]*$L$3</f>
        <v>0.1070249748551515</v>
      </c>
      <c r="O280" s="244">
        <f>_xlfn.XLOOKUP(FME_Ranking1[[#This Row],[FME ID]],FME_Input[FME_ID],FME_Input[POP100])</f>
        <v>12470</v>
      </c>
      <c r="P280" s="178">
        <f>(FME_Ranking1[[#This Row],[Pop Raw]]/$O$2)*100</f>
        <v>1.2766201404998783</v>
      </c>
      <c r="Q280" s="178">
        <f>FME_Ranking1[[#This Row],[Pop Score (Normalized, Unweighted)]]*$O$3</f>
        <v>0.19149302107498173</v>
      </c>
      <c r="R280" s="137">
        <f>_xlfn.XLOOKUP(FME_Ranking1[[#This Row],[FME ID]],FME_Input[FME_ID],FME_Input[CRITFAC100])</f>
        <v>23</v>
      </c>
      <c r="S280" s="230">
        <f>(FME_Ranking1[[#This Row],[Critical Facilities Raw]]/$R$2)*100</f>
        <v>0.98627787307032588</v>
      </c>
      <c r="T280" s="180">
        <f>FME_Ranking1[[#This Row],[Critical Facilities Score (Normalized, Unweighted)]]*$R$3</f>
        <v>0.19725557461406518</v>
      </c>
      <c r="U280">
        <f>_xlfn.XLOOKUP(FME_Ranking1[[#This Row],[FME ID]],FME_Input[FME_ID],FME_Input[LWC])</f>
        <v>8</v>
      </c>
      <c r="V280" s="178">
        <f>(FME_Ranking1[[#This Row],[LWC Raw]]/$U$2)*100</f>
        <v>0.46056419113413938</v>
      </c>
      <c r="W280" s="178">
        <f>FME_Ranking1[[#This Row],[LWC Score (Normalized, Unweighted)]]*$U$3</f>
        <v>9.2112838226827878E-2</v>
      </c>
      <c r="X280" s="246">
        <f>_xlfn.XLOOKUP(FME_Ranking1[[#This Row],[FME ID]],FME_Input[FME_ID],FME_Input[ROADCLS])</f>
        <v>0</v>
      </c>
      <c r="Y280" s="230">
        <f>(FME_Ranking1[[#This Row],[Closures Raw]]/$X$2)*100</f>
        <v>0</v>
      </c>
      <c r="Z280" s="180">
        <f>FME_Ranking1[[#This Row],[Closures Score (Normalized, Unweighted)]]*$X$3</f>
        <v>0</v>
      </c>
      <c r="AA280" s="253">
        <f>_xlfn.XLOOKUP(FME_Ranking1[[#This Row],[FME ID]],FME_Input[FME_ID],FME_Input[ROAD_MILES100])</f>
        <v>180.74089050292969</v>
      </c>
      <c r="AB280" s="178">
        <f>(FME_Ranking1[[#This Row],[Miles Raw]]/$AA$2)*100</f>
        <v>2.3764185361077161</v>
      </c>
      <c r="AC280" s="178">
        <f>FME_Ranking1[[#This Row],[Miles Score (Normalized, Unweighted)]]*$AA$3</f>
        <v>0.23764185361077161</v>
      </c>
      <c r="AD280" s="255">
        <f>_xlfn.XLOOKUP(FME_Ranking1[[#This Row],[FME ID]],FME_Input[FME_ID],FME_Input[FARMACRE100])</f>
        <v>10335.0703125</v>
      </c>
      <c r="AE280" s="230">
        <f>(FME_Ranking1[[#This Row],[Ag Land Raw]]/$AD$2)*100</f>
        <v>0.4261720347071154</v>
      </c>
      <c r="AF280" s="231">
        <f>FME_Ranking1[[#This Row],[Ag Land Score (Normalized, Unweighted)]]*$AD$3</f>
        <v>2.1308601735355773E-2</v>
      </c>
      <c r="AG28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1.053188875426754</v>
      </c>
      <c r="AH280" s="406">
        <f t="shared" si="4"/>
        <v>258</v>
      </c>
      <c r="AI28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1.053188875426754</v>
      </c>
      <c r="AJ280" s="257">
        <f>FME_Ranking1[[#This Row],[Addition check]]-FME_Ranking1[[#This Row],[Weighted Score Based on Normalized Reported Factors]]</f>
        <v>0</v>
      </c>
      <c r="AK280" s="178">
        <f>_xlfn.RANK.EQ(AI280,$AI$6:$AI$2341,0)+COUNTIF($AI$6:AI280,AI280)-1</f>
        <v>258</v>
      </c>
    </row>
    <row r="281" spans="1:37" ht="12" customHeight="1" x14ac:dyDescent="0.25">
      <c r="A281" t="s">
        <v>1638</v>
      </c>
      <c r="B281">
        <f>_xlfn.XLOOKUP(FME_Ranking1[[#This Row],[FME ID]],FME_Input[FME_ID],FME_Input[RFPG_NUM])</f>
        <v>6</v>
      </c>
      <c r="C281" t="str">
        <f>_xlfn.XLOOKUP(FME_Ranking1[[#This Row],[FME ID]],FME_Input[FME_ID],FME_Input[FME_NAME])</f>
        <v>City of La Porte  Master Drainage Plan</v>
      </c>
      <c r="D281" t="str">
        <f>_xlfn.XLOOKUP(FME_Ranking1[[#This Row],[FME ID]],FME_Input[FME_ID],FME_Input[DESCR])</f>
        <v>Study to develop Master Drainage Plan using future and existing land use and flood/storm water drainage needs including Atlas 14 rainfall.</v>
      </c>
      <c r="E281" s="256">
        <f>_xlfn.XLOOKUP(FME_Ranking1[[#This Row],[FME ID]],FME_Input[FME_ID],FME_Input[FME_COST])</f>
        <v>410000</v>
      </c>
      <c r="F281" t="str">
        <f>_xlfn.XLOOKUP(FME_Ranking1[[#This Row],[FME ID]],FME_Input[FME_ID],FME_Input[EMER_NEED])</f>
        <v>Yes</v>
      </c>
      <c r="G281">
        <f>IF(FME_Ranking!F281="Yes",100,0)</f>
        <v>100</v>
      </c>
      <c r="H281">
        <f>FME_Ranking1[[#This Row],[Emergency Need Score (Normalized, Unweighted)]]*$F$3</f>
        <v>0</v>
      </c>
      <c r="I281" s="246">
        <f>_xlfn.XLOOKUP(FME_Ranking1[[#This Row],[FME ID]],FME_Input[FME_ID],FME_Input[STRUCT_100])</f>
        <v>2533</v>
      </c>
      <c r="J281" s="178">
        <f>(FME_Ranking1[[#This Row],[Structures 100 Raw]]/I$2)*100</f>
        <v>1.3564023475988518</v>
      </c>
      <c r="K281" s="178">
        <f>FME_Ranking1[[#This Row],[Structures 100  Score (Normalized, Unweighted)]]*$I$3</f>
        <v>0.20346035213982777</v>
      </c>
      <c r="L281" s="246">
        <f>_xlfn.XLOOKUP(FME_Ranking1[[#This Row],[FME ID]],FME_Input[FME_ID],FME_Input[RES_STRUCT100])</f>
        <v>2250</v>
      </c>
      <c r="M281" s="230">
        <f>(FME_Ranking1[[#This Row],[Res Structures Raw]]/L$2)*100</f>
        <v>1.5936875805697608</v>
      </c>
      <c r="N281" s="180">
        <f>FME_Ranking1[[#This Row],[Res Structures Score (Normalized, Unweighted)]]*$L$3</f>
        <v>0.15936875805697609</v>
      </c>
      <c r="O281" s="244">
        <f>_xlfn.XLOOKUP(FME_Ranking1[[#This Row],[FME ID]],FME_Input[FME_ID],FME_Input[POP100])</f>
        <v>10336</v>
      </c>
      <c r="P281" s="178">
        <f>(FME_Ranking1[[#This Row],[Pop Raw]]/$O$2)*100</f>
        <v>1.0581512247158573</v>
      </c>
      <c r="Q281" s="178">
        <f>FME_Ranking1[[#This Row],[Pop Score (Normalized, Unweighted)]]*$O$3</f>
        <v>0.1587226837073786</v>
      </c>
      <c r="R281" s="137">
        <f>_xlfn.XLOOKUP(FME_Ranking1[[#This Row],[FME ID]],FME_Input[FME_ID],FME_Input[CRITFAC100])</f>
        <v>32</v>
      </c>
      <c r="S281" s="230">
        <f>(FME_Ranking1[[#This Row],[Critical Facilities Raw]]/$R$2)*100</f>
        <v>1.3722126929674099</v>
      </c>
      <c r="T281" s="180">
        <f>FME_Ranking1[[#This Row],[Critical Facilities Score (Normalized, Unweighted)]]*$R$3</f>
        <v>0.274442538593482</v>
      </c>
      <c r="U281">
        <f>_xlfn.XLOOKUP(FME_Ranking1[[#This Row],[FME ID]],FME_Input[FME_ID],FME_Input[LWC])</f>
        <v>0</v>
      </c>
      <c r="V281" s="178">
        <f>(FME_Ranking1[[#This Row],[LWC Raw]]/$U$2)*100</f>
        <v>0</v>
      </c>
      <c r="W281" s="178">
        <f>FME_Ranking1[[#This Row],[LWC Score (Normalized, Unweighted)]]*$U$3</f>
        <v>0</v>
      </c>
      <c r="X281" s="246">
        <f>_xlfn.XLOOKUP(FME_Ranking1[[#This Row],[FME ID]],FME_Input[FME_ID],FME_Input[ROADCLS])</f>
        <v>0</v>
      </c>
      <c r="Y281" s="230">
        <f>(FME_Ranking1[[#This Row],[Closures Raw]]/$X$2)*100</f>
        <v>0</v>
      </c>
      <c r="Z281" s="180">
        <f>FME_Ranking1[[#This Row],[Closures Score (Normalized, Unweighted)]]*$X$3</f>
        <v>0</v>
      </c>
      <c r="AA281" s="253">
        <f>_xlfn.XLOOKUP(FME_Ranking1[[#This Row],[FME ID]],FME_Input[FME_ID],FME_Input[ROAD_MILES100])</f>
        <v>54.135520935058587</v>
      </c>
      <c r="AB281" s="178">
        <f>(FME_Ranking1[[#This Row],[Miles Raw]]/$AA$2)*100</f>
        <v>0.7117850036809199</v>
      </c>
      <c r="AC281" s="178">
        <f>FME_Ranking1[[#This Row],[Miles Score (Normalized, Unweighted)]]*$AA$3</f>
        <v>7.1178500368091993E-2</v>
      </c>
      <c r="AD281" s="255">
        <f>_xlfn.XLOOKUP(FME_Ranking1[[#This Row],[FME ID]],FME_Input[FME_ID],FME_Input[FARMACRE100])</f>
        <v>15.26534366607666</v>
      </c>
      <c r="AE281" s="230">
        <f>(FME_Ranking1[[#This Row],[Ag Land Raw]]/$AD$2)*100</f>
        <v>6.2947443742175961E-4</v>
      </c>
      <c r="AF281" s="231">
        <f>FME_Ranking1[[#This Row],[Ag Land Score (Normalized, Unweighted)]]*$AD$3</f>
        <v>3.1473721871087979E-5</v>
      </c>
      <c r="AG28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0.86720430658762759</v>
      </c>
      <c r="AH281" s="406">
        <f t="shared" si="4"/>
        <v>308</v>
      </c>
      <c r="AI28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0.86720430658762759</v>
      </c>
      <c r="AJ281" s="257">
        <f>FME_Ranking1[[#This Row],[Addition check]]-FME_Ranking1[[#This Row],[Weighted Score Based on Normalized Reported Factors]]</f>
        <v>0</v>
      </c>
      <c r="AK281" s="178">
        <f>_xlfn.RANK.EQ(AI281,$AI$6:$AI$2341,0)+COUNTIF($AI$6:AI281,AI281)-1</f>
        <v>308</v>
      </c>
    </row>
    <row r="282" spans="1:37" ht="12" customHeight="1" x14ac:dyDescent="0.25">
      <c r="A282" t="s">
        <v>4470</v>
      </c>
      <c r="B282">
        <f>_xlfn.XLOOKUP(FME_Ranking1[[#This Row],[FME ID]],FME_Input[FME_ID],FME_Input[RFPG_NUM])</f>
        <v>3</v>
      </c>
      <c r="C282" t="str">
        <f>_xlfn.XLOOKUP(FME_Ranking1[[#This Row],[FME ID]],FME_Input[FME_ID],FME_Input[FME_NAME])</f>
        <v>Ten Mile Creek Channel Expansion Study</v>
      </c>
      <c r="D282" t="str">
        <f>_xlfn.XLOOKUP(FME_Ranking1[[#This Row],[FME ID]],FME_Input[FME_ID],FME_Input[DESCR])</f>
        <v>Study to improve and increase the capacity of storm water system by expanding the Ten Mile Creek downstream channel to prevent flooding in flood prone areas to include structural stormwater management projects</v>
      </c>
      <c r="E282" s="256">
        <f>_xlfn.XLOOKUP(FME_Ranking1[[#This Row],[FME ID]],FME_Input[FME_ID],FME_Input[FME_COST])</f>
        <v>500000</v>
      </c>
      <c r="F282" t="str">
        <f>_xlfn.XLOOKUP(FME_Ranking1[[#This Row],[FME ID]],FME_Input[FME_ID],FME_Input[EMER_NEED])</f>
        <v>No</v>
      </c>
      <c r="G282">
        <f>IF(FME_Ranking!F282="Yes",100,0)</f>
        <v>0</v>
      </c>
      <c r="H282">
        <f>FME_Ranking1[[#This Row],[Emergency Need Score (Normalized, Unweighted)]]*$F$3</f>
        <v>0</v>
      </c>
      <c r="I282" s="246">
        <f>_xlfn.XLOOKUP(FME_Ranking1[[#This Row],[FME ID]],FME_Input[FME_ID],FME_Input[STRUCT_100])</f>
        <v>1268</v>
      </c>
      <c r="J282" s="178">
        <f>(FME_Ranking1[[#This Row],[Structures 100 Raw]]/I$2)*100</f>
        <v>0.67900441245769605</v>
      </c>
      <c r="K282" s="178">
        <f>FME_Ranking1[[#This Row],[Structures 100  Score (Normalized, Unweighted)]]*$I$3</f>
        <v>0.10185066186865441</v>
      </c>
      <c r="L282" s="246">
        <f>_xlfn.XLOOKUP(FME_Ranking1[[#This Row],[FME ID]],FME_Input[FME_ID],FME_Input[RES_STRUCT100])</f>
        <v>1197</v>
      </c>
      <c r="M282" s="230">
        <f>(FME_Ranking1[[#This Row],[Res Structures Raw]]/L$2)*100</f>
        <v>0.8478417928631129</v>
      </c>
      <c r="N282" s="180">
        <f>FME_Ranking1[[#This Row],[Res Structures Score (Normalized, Unweighted)]]*$L$3</f>
        <v>8.4784179286311295E-2</v>
      </c>
      <c r="O282" s="244">
        <f>_xlfn.XLOOKUP(FME_Ranking1[[#This Row],[FME ID]],FME_Input[FME_ID],FME_Input[POP100])</f>
        <v>9136</v>
      </c>
      <c r="P282" s="178">
        <f>(FME_Ranking1[[#This Row],[Pop Raw]]/$O$2)*100</f>
        <v>0.93530085032934129</v>
      </c>
      <c r="Q282" s="178">
        <f>FME_Ranking1[[#This Row],[Pop Score (Normalized, Unweighted)]]*$O$3</f>
        <v>0.14029512754940118</v>
      </c>
      <c r="R282" s="137">
        <f>_xlfn.XLOOKUP(FME_Ranking1[[#This Row],[FME ID]],FME_Input[FME_ID],FME_Input[CRITFAC100])</f>
        <v>9</v>
      </c>
      <c r="S282" s="230">
        <f>(FME_Ranking1[[#This Row],[Critical Facilities Raw]]/$R$2)*100</f>
        <v>0.38593481989708406</v>
      </c>
      <c r="T282" s="180">
        <f>FME_Ranking1[[#This Row],[Critical Facilities Score (Normalized, Unweighted)]]*$R$3</f>
        <v>7.7186963979416823E-2</v>
      </c>
      <c r="U282">
        <f>_xlfn.XLOOKUP(FME_Ranking1[[#This Row],[FME ID]],FME_Input[FME_ID],FME_Input[LWC])</f>
        <v>33</v>
      </c>
      <c r="V282" s="178">
        <f>(FME_Ranking1[[#This Row],[LWC Raw]]/$U$2)*100</f>
        <v>1.8998272884283247</v>
      </c>
      <c r="W282" s="178">
        <f>FME_Ranking1[[#This Row],[LWC Score (Normalized, Unweighted)]]*$U$3</f>
        <v>0.37996545768566498</v>
      </c>
      <c r="X282" s="246">
        <f>_xlfn.XLOOKUP(FME_Ranking1[[#This Row],[FME ID]],FME_Input[FME_ID],FME_Input[ROADCLS])</f>
        <v>0</v>
      </c>
      <c r="Y282" s="230">
        <f>(FME_Ranking1[[#This Row],[Closures Raw]]/$X$2)*100</f>
        <v>0</v>
      </c>
      <c r="Z282" s="180">
        <f>FME_Ranking1[[#This Row],[Closures Score (Normalized, Unweighted)]]*$X$3</f>
        <v>0</v>
      </c>
      <c r="AA282" s="253">
        <f>_xlfn.XLOOKUP(FME_Ranking1[[#This Row],[FME ID]],FME_Input[FME_ID],FME_Input[ROAD_MILES100])</f>
        <v>39.532661437988281</v>
      </c>
      <c r="AB282" s="178">
        <f>(FME_Ranking1[[#This Row],[Miles Raw]]/$AA$2)*100</f>
        <v>0.51978359275253916</v>
      </c>
      <c r="AC282" s="178">
        <f>FME_Ranking1[[#This Row],[Miles Score (Normalized, Unweighted)]]*$AA$3</f>
        <v>5.1978359275253919E-2</v>
      </c>
      <c r="AD282" s="255">
        <f>_xlfn.XLOOKUP(FME_Ranking1[[#This Row],[FME ID]],FME_Input[FME_ID],FME_Input[FARMACRE100])</f>
        <v>2245.93603515625</v>
      </c>
      <c r="AE282" s="230">
        <f>(FME_Ranking1[[#This Row],[Ag Land Raw]]/$AD$2)*100</f>
        <v>9.2612348148896115E-2</v>
      </c>
      <c r="AF282" s="231">
        <f>FME_Ranking1[[#This Row],[Ag Land Score (Normalized, Unweighted)]]*$AD$3</f>
        <v>4.6306174074448063E-3</v>
      </c>
      <c r="AG28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0.84069136705214753</v>
      </c>
      <c r="AH282" s="406">
        <f t="shared" si="4"/>
        <v>315</v>
      </c>
      <c r="AI28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0.84069136705214753</v>
      </c>
      <c r="AJ282" s="257">
        <f>FME_Ranking1[[#This Row],[Addition check]]-FME_Ranking1[[#This Row],[Weighted Score Based on Normalized Reported Factors]]</f>
        <v>0</v>
      </c>
      <c r="AK282" s="178">
        <f>_xlfn.RANK.EQ(AI282,$AI$6:$AI$2341,0)+COUNTIF($AI$6:AI282,AI282)-1</f>
        <v>315</v>
      </c>
    </row>
    <row r="283" spans="1:37" ht="12" customHeight="1" x14ac:dyDescent="0.25">
      <c r="A283" t="s">
        <v>6127</v>
      </c>
      <c r="B283">
        <f>_xlfn.XLOOKUP(FME_Ranking1[[#This Row],[FME ID]],FME_Input[FME_ID],FME_Input[RFPG_NUM])</f>
        <v>5</v>
      </c>
      <c r="C283" t="str">
        <f>_xlfn.XLOOKUP(FME_Ranking1[[#This Row],[FME ID]],FME_Input[FME_ID],FME_Input[FME_NAME])</f>
        <v>Hardin County Municipal Storm Drain Project</v>
      </c>
      <c r="D283" t="str">
        <f>_xlfn.XLOOKUP(FME_Ranking1[[#This Row],[FME ID]],FME_Input[FME_ID],FME_Input[DESCR])</f>
        <v xml:space="preserve">Evaluate project to quantify benefits, evaluate impacts, and begin design.
</v>
      </c>
      <c r="E283" s="256">
        <f>_xlfn.XLOOKUP(FME_Ranking1[[#This Row],[FME ID]],FME_Input[FME_ID],FME_Input[FME_COST])</f>
        <v>2000000</v>
      </c>
      <c r="F283" t="str">
        <f>_xlfn.XLOOKUP(FME_Ranking1[[#This Row],[FME ID]],FME_Input[FME_ID],FME_Input[EMER_NEED])</f>
        <v>Yes</v>
      </c>
      <c r="G283">
        <f>IF(FME_Ranking!F283="Yes",100,0)</f>
        <v>100</v>
      </c>
      <c r="H283">
        <f>FME_Ranking1[[#This Row],[Emergency Need Score (Normalized, Unweighted)]]*$F$3</f>
        <v>0</v>
      </c>
      <c r="I283" s="246">
        <f>_xlfn.XLOOKUP(FME_Ranking1[[#This Row],[FME ID]],FME_Input[FME_ID],FME_Input[STRUCT_100])</f>
        <v>3487</v>
      </c>
      <c r="J283" s="178">
        <f>(FME_Ranking1[[#This Row],[Structures 100 Raw]]/I$2)*100</f>
        <v>1.8672621342586644</v>
      </c>
      <c r="K283" s="178">
        <f>FME_Ranking1[[#This Row],[Structures 100  Score (Normalized, Unweighted)]]*$I$3</f>
        <v>0.28008932013879967</v>
      </c>
      <c r="L283" s="246">
        <f>_xlfn.XLOOKUP(FME_Ranking1[[#This Row],[FME ID]],FME_Input[FME_ID],FME_Input[RES_STRUCT100])</f>
        <v>2863</v>
      </c>
      <c r="M283" s="230">
        <f>(FME_Ranking1[[#This Row],[Res Structures Raw]]/L$2)*100</f>
        <v>2.0278789080761004</v>
      </c>
      <c r="N283" s="180">
        <f>FME_Ranking1[[#This Row],[Res Structures Score (Normalized, Unweighted)]]*$L$3</f>
        <v>0.20278789080761006</v>
      </c>
      <c r="O283" s="244">
        <f>_xlfn.XLOOKUP(FME_Ranking1[[#This Row],[FME ID]],FME_Input[FME_ID],FME_Input[POP100])</f>
        <v>10916</v>
      </c>
      <c r="P283" s="178">
        <f>(FME_Ranking1[[#This Row],[Pop Raw]]/$O$2)*100</f>
        <v>1.11752890566934</v>
      </c>
      <c r="Q283" s="178">
        <f>FME_Ranking1[[#This Row],[Pop Score (Normalized, Unweighted)]]*$O$3</f>
        <v>0.16762933585040099</v>
      </c>
      <c r="R283" s="137">
        <f>_xlfn.XLOOKUP(FME_Ranking1[[#This Row],[FME ID]],FME_Input[FME_ID],FME_Input[CRITFAC100])</f>
        <v>8</v>
      </c>
      <c r="S283" s="230">
        <f>(FME_Ranking1[[#This Row],[Critical Facilities Raw]]/$R$2)*100</f>
        <v>0.34305317324185247</v>
      </c>
      <c r="T283" s="180">
        <f>FME_Ranking1[[#This Row],[Critical Facilities Score (Normalized, Unweighted)]]*$R$3</f>
        <v>6.86106346483705E-2</v>
      </c>
      <c r="U283">
        <f>_xlfn.XLOOKUP(FME_Ranking1[[#This Row],[FME ID]],FME_Input[FME_ID],FME_Input[LWC])</f>
        <v>5</v>
      </c>
      <c r="V283" s="178">
        <f>(FME_Ranking1[[#This Row],[LWC Raw]]/$U$2)*100</f>
        <v>0.28785261945883706</v>
      </c>
      <c r="W283" s="178">
        <f>FME_Ranking1[[#This Row],[LWC Score (Normalized, Unweighted)]]*$U$3</f>
        <v>5.7570523891767415E-2</v>
      </c>
      <c r="X283" s="246">
        <f>_xlfn.XLOOKUP(FME_Ranking1[[#This Row],[FME ID]],FME_Input[FME_ID],FME_Input[ROADCLS])</f>
        <v>5</v>
      </c>
      <c r="Y283" s="230">
        <f>(FME_Ranking1[[#This Row],[Closures Raw]]/$X$2)*100</f>
        <v>5.2570707601724324E-2</v>
      </c>
      <c r="Z283" s="180">
        <f>FME_Ranking1[[#This Row],[Closures Score (Normalized, Unweighted)]]*$X$3</f>
        <v>2.6285353800862164E-3</v>
      </c>
      <c r="AA283" s="253">
        <f>_xlfn.XLOOKUP(FME_Ranking1[[#This Row],[FME ID]],FME_Input[FME_ID],FME_Input[ROAD_MILES100])</f>
        <v>75.097114562988281</v>
      </c>
      <c r="AB283" s="178">
        <f>(FME_Ranking1[[#This Row],[Miles Raw]]/$AA$2)*100</f>
        <v>0.98739236350502169</v>
      </c>
      <c r="AC283" s="178">
        <f>FME_Ranking1[[#This Row],[Miles Score (Normalized, Unweighted)]]*$AA$3</f>
        <v>9.8739236350502177E-2</v>
      </c>
      <c r="AD283" s="255">
        <f>_xlfn.XLOOKUP(FME_Ranking1[[#This Row],[FME ID]],FME_Input[FME_ID],FME_Input[FARMACRE100])</f>
        <v>395.453125</v>
      </c>
      <c r="AE283" s="230">
        <f>(FME_Ranking1[[#This Row],[Ag Land Raw]]/$AD$2)*100</f>
        <v>1.6306716627626935E-2</v>
      </c>
      <c r="AF283" s="231">
        <f>FME_Ranking1[[#This Row],[Ag Land Score (Normalized, Unweighted)]]*$AD$3</f>
        <v>8.1533583138134684E-4</v>
      </c>
      <c r="AG28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0.87887081289891844</v>
      </c>
      <c r="AH283" s="406">
        <f t="shared" si="4"/>
        <v>299</v>
      </c>
      <c r="AI28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0.87887081289891844</v>
      </c>
      <c r="AJ283" s="257">
        <f>FME_Ranking1[[#This Row],[Addition check]]-FME_Ranking1[[#This Row],[Weighted Score Based on Normalized Reported Factors]]</f>
        <v>0</v>
      </c>
      <c r="AK283" s="178">
        <f>_xlfn.RANK.EQ(AI283,$AI$6:$AI$2341,0)+COUNTIF($AI$6:AI283,AI283)-1</f>
        <v>299</v>
      </c>
    </row>
    <row r="284" spans="1:37" ht="12" customHeight="1" x14ac:dyDescent="0.25">
      <c r="A284" t="s">
        <v>3578</v>
      </c>
      <c r="B284">
        <f>_xlfn.XLOOKUP(FME_Ranking1[[#This Row],[FME ID]],FME_Input[FME_ID],FME_Input[RFPG_NUM])</f>
        <v>2</v>
      </c>
      <c r="C284" t="str">
        <f>_xlfn.XLOOKUP(FME_Ranking1[[#This Row],[FME ID]],FME_Input[FME_ID],FME_Input[FME_NAME])</f>
        <v>Bowie County FIS</v>
      </c>
      <c r="D284" t="str">
        <f>_xlfn.XLOOKUP(FME_Ranking1[[#This Row],[FME ID]],FME_Input[FME_ID],FME_Input[DESCR])</f>
        <v>Update County maps to Zone AE</v>
      </c>
      <c r="E284" s="256">
        <f>_xlfn.XLOOKUP(FME_Ranking1[[#This Row],[FME ID]],FME_Input[FME_ID],FME_Input[FME_COST])</f>
        <v>2282000</v>
      </c>
      <c r="F284" t="str">
        <f>_xlfn.XLOOKUP(FME_Ranking1[[#This Row],[FME ID]],FME_Input[FME_ID],FME_Input[EMER_NEED])</f>
        <v>No</v>
      </c>
      <c r="G284">
        <f>IF(FME_Ranking!F284="Yes",100,0)</f>
        <v>0</v>
      </c>
      <c r="H284">
        <f>FME_Ranking1[[#This Row],[Emergency Need Score (Normalized, Unweighted)]]*$F$3</f>
        <v>0</v>
      </c>
      <c r="I284" s="246">
        <f>_xlfn.XLOOKUP(FME_Ranking1[[#This Row],[FME ID]],FME_Input[FME_ID],FME_Input[STRUCT_100])</f>
        <v>2657</v>
      </c>
      <c r="J284" s="178">
        <f>(FME_Ranking1[[#This Row],[Structures 100 Raw]]/I$2)*100</f>
        <v>1.4228034100158504</v>
      </c>
      <c r="K284" s="178">
        <f>FME_Ranking1[[#This Row],[Structures 100  Score (Normalized, Unweighted)]]*$I$3</f>
        <v>0.21342051150237756</v>
      </c>
      <c r="L284" s="246">
        <f>_xlfn.XLOOKUP(FME_Ranking1[[#This Row],[FME ID]],FME_Input[FME_ID],FME_Input[RES_STRUCT100])</f>
        <v>1546</v>
      </c>
      <c r="M284" s="230">
        <f>(FME_Ranking1[[#This Row],[Res Structures Raw]]/L$2)*100</f>
        <v>1.0950404442492669</v>
      </c>
      <c r="N284" s="180">
        <f>FME_Ranking1[[#This Row],[Res Structures Score (Normalized, Unweighted)]]*$L$3</f>
        <v>0.1095040444249267</v>
      </c>
      <c r="O284" s="244">
        <f>_xlfn.XLOOKUP(FME_Ranking1[[#This Row],[FME ID]],FME_Input[FME_ID],FME_Input[POP100])</f>
        <v>9746</v>
      </c>
      <c r="P284" s="178">
        <f>(FME_Ranking1[[#This Row],[Pop Raw]]/$O$2)*100</f>
        <v>0.99774979064248692</v>
      </c>
      <c r="Q284" s="178">
        <f>FME_Ranking1[[#This Row],[Pop Score (Normalized, Unweighted)]]*$O$3</f>
        <v>0.14966246859637303</v>
      </c>
      <c r="R284" s="137">
        <f>_xlfn.XLOOKUP(FME_Ranking1[[#This Row],[FME ID]],FME_Input[FME_ID],FME_Input[CRITFAC100])</f>
        <v>19</v>
      </c>
      <c r="S284" s="230">
        <f>(FME_Ranking1[[#This Row],[Critical Facilities Raw]]/$R$2)*100</f>
        <v>0.81475128644939965</v>
      </c>
      <c r="T284" s="180">
        <f>FME_Ranking1[[#This Row],[Critical Facilities Score (Normalized, Unweighted)]]*$R$3</f>
        <v>0.16295025728987994</v>
      </c>
      <c r="U284">
        <f>_xlfn.XLOOKUP(FME_Ranking1[[#This Row],[FME ID]],FME_Input[FME_ID],FME_Input[LWC])</f>
        <v>7</v>
      </c>
      <c r="V284" s="178">
        <f>(FME_Ranking1[[#This Row],[LWC Raw]]/$U$2)*100</f>
        <v>0.40299366724237184</v>
      </c>
      <c r="W284" s="178">
        <f>FME_Ranking1[[#This Row],[LWC Score (Normalized, Unweighted)]]*$U$3</f>
        <v>8.0598733448474374E-2</v>
      </c>
      <c r="X284" s="246">
        <f>_xlfn.XLOOKUP(FME_Ranking1[[#This Row],[FME ID]],FME_Input[FME_ID],FME_Input[ROADCLS])</f>
        <v>0</v>
      </c>
      <c r="Y284" s="230">
        <f>(FME_Ranking1[[#This Row],[Closures Raw]]/$X$2)*100</f>
        <v>0</v>
      </c>
      <c r="Z284" s="180">
        <f>FME_Ranking1[[#This Row],[Closures Score (Normalized, Unweighted)]]*$X$3</f>
        <v>0</v>
      </c>
      <c r="AA284" s="253">
        <f>_xlfn.XLOOKUP(FME_Ranking1[[#This Row],[FME ID]],FME_Input[FME_ID],FME_Input[ROAD_MILES100])</f>
        <v>313.55148315429688</v>
      </c>
      <c r="AB284" s="178">
        <f>(FME_Ranking1[[#This Row],[Miles Raw]]/$AA$2)*100</f>
        <v>4.1226396224923949</v>
      </c>
      <c r="AC284" s="178">
        <f>FME_Ranking1[[#This Row],[Miles Score (Normalized, Unweighted)]]*$AA$3</f>
        <v>0.4122639622492395</v>
      </c>
      <c r="AD284" s="255">
        <f>_xlfn.XLOOKUP(FME_Ranking1[[#This Row],[FME ID]],FME_Input[FME_ID],FME_Input[FARMACRE100])</f>
        <v>30919.447265625</v>
      </c>
      <c r="AE284" s="230">
        <f>(FME_Ranking1[[#This Row],[Ag Land Raw]]/$AD$2)*100</f>
        <v>1.2749795942146149</v>
      </c>
      <c r="AF284" s="231">
        <f>FME_Ranking1[[#This Row],[Ag Land Score (Normalized, Unweighted)]]*$AD$3</f>
        <v>6.3748979710730749E-2</v>
      </c>
      <c r="AG28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1.1921489572220016</v>
      </c>
      <c r="AH284" s="406">
        <f t="shared" si="4"/>
        <v>238</v>
      </c>
      <c r="AI28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1.1921489572220016</v>
      </c>
      <c r="AJ284" s="257">
        <f>FME_Ranking1[[#This Row],[Addition check]]-FME_Ranking1[[#This Row],[Weighted Score Based on Normalized Reported Factors]]</f>
        <v>0</v>
      </c>
      <c r="AK284" s="178">
        <f>_xlfn.RANK.EQ(AI284,$AI$6:$AI$2341,0)+COUNTIF($AI$6:AI284,AI284)-1</f>
        <v>238</v>
      </c>
    </row>
    <row r="285" spans="1:37" ht="12" customHeight="1" x14ac:dyDescent="0.25">
      <c r="A285" t="s">
        <v>3621</v>
      </c>
      <c r="B285">
        <f>_xlfn.XLOOKUP(FME_Ranking1[[#This Row],[FME ID]],FME_Input[FME_ID],FME_Input[RFPG_NUM])</f>
        <v>2</v>
      </c>
      <c r="C285" t="str">
        <f>_xlfn.XLOOKUP(FME_Ranking1[[#This Row],[FME ID]],FME_Input[FME_ID],FME_Input[FME_NAME])</f>
        <v>City of Texarkana Buyout Study</v>
      </c>
      <c r="D285" t="str">
        <f>_xlfn.XLOOKUP(FME_Ranking1[[#This Row],[FME ID]],FME_Input[FME_ID],FME_Input[DESCR])</f>
        <v>Study to prepare a strategy and develop a program for voluntary purchase of at-risk properties</v>
      </c>
      <c r="E285" s="256">
        <f>_xlfn.XLOOKUP(FME_Ranking1[[#This Row],[FME ID]],FME_Input[FME_ID],FME_Input[FME_COST])</f>
        <v>250000</v>
      </c>
      <c r="F285" t="str">
        <f>_xlfn.XLOOKUP(FME_Ranking1[[#This Row],[FME ID]],FME_Input[FME_ID],FME_Input[EMER_NEED])</f>
        <v>No</v>
      </c>
      <c r="G285">
        <f>IF(FME_Ranking!F285="Yes",100,0)</f>
        <v>0</v>
      </c>
      <c r="H285">
        <f>FME_Ranking1[[#This Row],[Emergency Need Score (Normalized, Unweighted)]]*$F$3</f>
        <v>0</v>
      </c>
      <c r="I285" s="246">
        <f>_xlfn.XLOOKUP(FME_Ranking1[[#This Row],[FME ID]],FME_Input[FME_ID],FME_Input[STRUCT_100])</f>
        <v>2657</v>
      </c>
      <c r="J285" s="178">
        <f>(FME_Ranking1[[#This Row],[Structures 100 Raw]]/I$2)*100</f>
        <v>1.4228034100158504</v>
      </c>
      <c r="K285" s="178">
        <f>FME_Ranking1[[#This Row],[Structures 100  Score (Normalized, Unweighted)]]*$I$3</f>
        <v>0.21342051150237756</v>
      </c>
      <c r="L285" s="246">
        <f>_xlfn.XLOOKUP(FME_Ranking1[[#This Row],[FME ID]],FME_Input[FME_ID],FME_Input[RES_STRUCT100])</f>
        <v>1546</v>
      </c>
      <c r="M285" s="230">
        <f>(FME_Ranking1[[#This Row],[Res Structures Raw]]/L$2)*100</f>
        <v>1.0950404442492669</v>
      </c>
      <c r="N285" s="180">
        <f>FME_Ranking1[[#This Row],[Res Structures Score (Normalized, Unweighted)]]*$L$3</f>
        <v>0.1095040444249267</v>
      </c>
      <c r="O285" s="244">
        <f>_xlfn.XLOOKUP(FME_Ranking1[[#This Row],[FME ID]],FME_Input[FME_ID],FME_Input[POP100])</f>
        <v>9746</v>
      </c>
      <c r="P285" s="178">
        <f>(FME_Ranking1[[#This Row],[Pop Raw]]/$O$2)*100</f>
        <v>0.99774979064248692</v>
      </c>
      <c r="Q285" s="178">
        <f>FME_Ranking1[[#This Row],[Pop Score (Normalized, Unweighted)]]*$O$3</f>
        <v>0.14966246859637303</v>
      </c>
      <c r="R285" s="137">
        <f>_xlfn.XLOOKUP(FME_Ranking1[[#This Row],[FME ID]],FME_Input[FME_ID],FME_Input[CRITFAC100])</f>
        <v>19</v>
      </c>
      <c r="S285" s="230">
        <f>(FME_Ranking1[[#This Row],[Critical Facilities Raw]]/$R$2)*100</f>
        <v>0.81475128644939965</v>
      </c>
      <c r="T285" s="180">
        <f>FME_Ranking1[[#This Row],[Critical Facilities Score (Normalized, Unweighted)]]*$R$3</f>
        <v>0.16295025728987994</v>
      </c>
      <c r="U285">
        <f>_xlfn.XLOOKUP(FME_Ranking1[[#This Row],[FME ID]],FME_Input[FME_ID],FME_Input[LWC])</f>
        <v>7</v>
      </c>
      <c r="V285" s="178">
        <f>(FME_Ranking1[[#This Row],[LWC Raw]]/$U$2)*100</f>
        <v>0.40299366724237184</v>
      </c>
      <c r="W285" s="178">
        <f>FME_Ranking1[[#This Row],[LWC Score (Normalized, Unweighted)]]*$U$3</f>
        <v>8.0598733448474374E-2</v>
      </c>
      <c r="X285" s="246">
        <f>_xlfn.XLOOKUP(FME_Ranking1[[#This Row],[FME ID]],FME_Input[FME_ID],FME_Input[ROADCLS])</f>
        <v>0</v>
      </c>
      <c r="Y285" s="230">
        <f>(FME_Ranking1[[#This Row],[Closures Raw]]/$X$2)*100</f>
        <v>0</v>
      </c>
      <c r="Z285" s="180">
        <f>FME_Ranking1[[#This Row],[Closures Score (Normalized, Unweighted)]]*$X$3</f>
        <v>0</v>
      </c>
      <c r="AA285" s="253">
        <f>_xlfn.XLOOKUP(FME_Ranking1[[#This Row],[FME ID]],FME_Input[FME_ID],FME_Input[ROAD_MILES100])</f>
        <v>313.55148315429688</v>
      </c>
      <c r="AB285" s="178">
        <f>(FME_Ranking1[[#This Row],[Miles Raw]]/$AA$2)*100</f>
        <v>4.1226396224923949</v>
      </c>
      <c r="AC285" s="178">
        <f>FME_Ranking1[[#This Row],[Miles Score (Normalized, Unweighted)]]*$AA$3</f>
        <v>0.4122639622492395</v>
      </c>
      <c r="AD285" s="255">
        <f>_xlfn.XLOOKUP(FME_Ranking1[[#This Row],[FME ID]],FME_Input[FME_ID],FME_Input[FARMACRE100])</f>
        <v>30919.447265625</v>
      </c>
      <c r="AE285" s="230">
        <f>(FME_Ranking1[[#This Row],[Ag Land Raw]]/$AD$2)*100</f>
        <v>1.2749795942146149</v>
      </c>
      <c r="AF285" s="231">
        <f>FME_Ranking1[[#This Row],[Ag Land Score (Normalized, Unweighted)]]*$AD$3</f>
        <v>6.3748979710730749E-2</v>
      </c>
      <c r="AG28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1.1921489572220016</v>
      </c>
      <c r="AH285" s="406">
        <f t="shared" si="4"/>
        <v>238</v>
      </c>
      <c r="AI28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1.1921489572220016</v>
      </c>
      <c r="AJ285" s="257">
        <f>FME_Ranking1[[#This Row],[Addition check]]-FME_Ranking1[[#This Row],[Weighted Score Based on Normalized Reported Factors]]</f>
        <v>0</v>
      </c>
      <c r="AK285" s="178">
        <f>_xlfn.RANK.EQ(AI285,$AI$6:$AI$2341,0)+COUNTIF($AI$6:AI285,AI285)-1</f>
        <v>239</v>
      </c>
    </row>
    <row r="286" spans="1:37" ht="12" customHeight="1" x14ac:dyDescent="0.25">
      <c r="A286" t="s">
        <v>4479</v>
      </c>
      <c r="B286">
        <f>_xlfn.XLOOKUP(FME_Ranking1[[#This Row],[FME ID]],FME_Input[FME_ID],FME_Input[RFPG_NUM])</f>
        <v>3</v>
      </c>
      <c r="C286" t="str">
        <f>_xlfn.XLOOKUP(FME_Ranking1[[#This Row],[FME ID]],FME_Input[FME_ID],FME_Input[FME_NAME])</f>
        <v>Carrollton Flood Warning Barrier System Study</v>
      </c>
      <c r="D286" t="str">
        <f>_xlfn.XLOOKUP(FME_Ranking1[[#This Row],[FME ID]],FME_Input[FME_ID],FME_Input[DESCR])</f>
        <v>Procure and install flood warning barrier system to prevent motorists from driving into flooded areas.</v>
      </c>
      <c r="E286" s="256">
        <f>_xlfn.XLOOKUP(FME_Ranking1[[#This Row],[FME ID]],FME_Input[FME_ID],FME_Input[FME_COST])</f>
        <v>300000</v>
      </c>
      <c r="F286" t="str">
        <f>_xlfn.XLOOKUP(FME_Ranking1[[#This Row],[FME ID]],FME_Input[FME_ID],FME_Input[EMER_NEED])</f>
        <v>No</v>
      </c>
      <c r="G286">
        <f>IF(FME_Ranking!F286="Yes",100,0)</f>
        <v>0</v>
      </c>
      <c r="H286">
        <f>FME_Ranking1[[#This Row],[Emergency Need Score (Normalized, Unweighted)]]*$F$3</f>
        <v>0</v>
      </c>
      <c r="I286" s="246">
        <f>_xlfn.XLOOKUP(FME_Ranking1[[#This Row],[FME ID]],FME_Input[FME_ID],FME_Input[STRUCT_100])</f>
        <v>1068</v>
      </c>
      <c r="J286" s="178">
        <f>(FME_Ranking1[[#This Row],[Structures 100 Raw]]/I$2)*100</f>
        <v>0.57190592468834345</v>
      </c>
      <c r="K286" s="178">
        <f>FME_Ranking1[[#This Row],[Structures 100  Score (Normalized, Unweighted)]]*$I$3</f>
        <v>8.5785888703251517E-2</v>
      </c>
      <c r="L286" s="246">
        <f>_xlfn.XLOOKUP(FME_Ranking1[[#This Row],[FME ID]],FME_Input[FME_ID],FME_Input[RES_STRUCT100])</f>
        <v>930</v>
      </c>
      <c r="M286" s="230">
        <f>(FME_Ranking1[[#This Row],[Res Structures Raw]]/L$2)*100</f>
        <v>0.65872419996883458</v>
      </c>
      <c r="N286" s="180">
        <f>FME_Ranking1[[#This Row],[Res Structures Score (Normalized, Unweighted)]]*$L$3</f>
        <v>6.5872419996883466E-2</v>
      </c>
      <c r="O286" s="244">
        <f>_xlfn.XLOOKUP(FME_Ranking1[[#This Row],[FME ID]],FME_Input[FME_ID],FME_Input[POP100])</f>
        <v>15723</v>
      </c>
      <c r="P286" s="178">
        <f>(FME_Ranking1[[#This Row],[Pop Raw]]/$O$2)*100</f>
        <v>1.6096470303993253</v>
      </c>
      <c r="Q286" s="178">
        <f>FME_Ranking1[[#This Row],[Pop Score (Normalized, Unweighted)]]*$O$3</f>
        <v>0.24144705455989879</v>
      </c>
      <c r="R286" s="137">
        <f>_xlfn.XLOOKUP(FME_Ranking1[[#This Row],[FME ID]],FME_Input[FME_ID],FME_Input[CRITFAC100])</f>
        <v>18</v>
      </c>
      <c r="S286" s="230">
        <f>(FME_Ranking1[[#This Row],[Critical Facilities Raw]]/$R$2)*100</f>
        <v>0.77186963979416812</v>
      </c>
      <c r="T286" s="180">
        <f>FME_Ranking1[[#This Row],[Critical Facilities Score (Normalized, Unweighted)]]*$R$3</f>
        <v>0.15437392795883365</v>
      </c>
      <c r="U286">
        <f>_xlfn.XLOOKUP(FME_Ranking1[[#This Row],[FME ID]],FME_Input[FME_ID],FME_Input[LWC])</f>
        <v>19</v>
      </c>
      <c r="V286" s="178">
        <f>(FME_Ranking1[[#This Row],[LWC Raw]]/$U$2)*100</f>
        <v>1.0938399539435808</v>
      </c>
      <c r="W286" s="178">
        <f>FME_Ranking1[[#This Row],[LWC Score (Normalized, Unweighted)]]*$U$3</f>
        <v>0.21876799078871617</v>
      </c>
      <c r="X286" s="246">
        <f>_xlfn.XLOOKUP(FME_Ranking1[[#This Row],[FME ID]],FME_Input[FME_ID],FME_Input[ROADCLS])</f>
        <v>0</v>
      </c>
      <c r="Y286" s="230">
        <f>(FME_Ranking1[[#This Row],[Closures Raw]]/$X$2)*100</f>
        <v>0</v>
      </c>
      <c r="Z286" s="180">
        <f>FME_Ranking1[[#This Row],[Closures Score (Normalized, Unweighted)]]*$X$3</f>
        <v>0</v>
      </c>
      <c r="AA286" s="253">
        <f>_xlfn.XLOOKUP(FME_Ranking1[[#This Row],[FME ID]],FME_Input[FME_ID],FME_Input[ROAD_MILES100])</f>
        <v>48.359359741210938</v>
      </c>
      <c r="AB286" s="178">
        <f>(FME_Ranking1[[#This Row],[Miles Raw]]/$AA$2)*100</f>
        <v>0.63583884401328716</v>
      </c>
      <c r="AC286" s="178">
        <f>FME_Ranking1[[#This Row],[Miles Score (Normalized, Unweighted)]]*$AA$3</f>
        <v>6.3583884401328714E-2</v>
      </c>
      <c r="AD286" s="255">
        <f>_xlfn.XLOOKUP(FME_Ranking1[[#This Row],[FME ID]],FME_Input[FME_ID],FME_Input[FARMACRE100])</f>
        <v>617.09588623046875</v>
      </c>
      <c r="AE286" s="230">
        <f>(FME_Ranking1[[#This Row],[Ag Land Raw]]/$AD$2)*100</f>
        <v>2.5446271916133082E-2</v>
      </c>
      <c r="AF286" s="231">
        <f>FME_Ranking1[[#This Row],[Ag Land Score (Normalized, Unweighted)]]*$AD$3</f>
        <v>1.2723135958066542E-3</v>
      </c>
      <c r="AG28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0.83110348000471901</v>
      </c>
      <c r="AH286" s="406">
        <f t="shared" si="4"/>
        <v>318</v>
      </c>
      <c r="AI28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0.83110348000471901</v>
      </c>
      <c r="AJ286" s="257">
        <f>FME_Ranking1[[#This Row],[Addition check]]-FME_Ranking1[[#This Row],[Weighted Score Based on Normalized Reported Factors]]</f>
        <v>0</v>
      </c>
      <c r="AK286" s="178">
        <f>_xlfn.RANK.EQ(AI286,$AI$6:$AI$2341,0)+COUNTIF($AI$6:AI286,AI286)-1</f>
        <v>318</v>
      </c>
    </row>
    <row r="287" spans="1:37" ht="12" customHeight="1" x14ac:dyDescent="0.25">
      <c r="A287" t="s">
        <v>4498</v>
      </c>
      <c r="B287">
        <f>_xlfn.XLOOKUP(FME_Ranking1[[#This Row],[FME ID]],FME_Input[FME_ID],FME_Input[RFPG_NUM])</f>
        <v>3</v>
      </c>
      <c r="C287" t="str">
        <f>_xlfn.XLOOKUP(FME_Ranking1[[#This Row],[FME ID]],FME_Input[FME_ID],FME_Input[FME_NAME])</f>
        <v>Carrollton Drainage Upgrades</v>
      </c>
      <c r="D287" t="str">
        <f>_xlfn.XLOOKUP(FME_Ranking1[[#This Row],[FME ID]],FME_Input[FME_ID],FME_Input[DESCR])</f>
        <v xml:space="preserve">Evaluate upgrades to drainage and targeted regrading of streets and properties. Add additional drains and supporting infrastructure in older neighborhoods to increase offloading of flash flood waters. </v>
      </c>
      <c r="E287" s="256">
        <f>_xlfn.XLOOKUP(FME_Ranking1[[#This Row],[FME ID]],FME_Input[FME_ID],FME_Input[FME_COST])</f>
        <v>1000000</v>
      </c>
      <c r="F287" t="str">
        <f>_xlfn.XLOOKUP(FME_Ranking1[[#This Row],[FME ID]],FME_Input[FME_ID],FME_Input[EMER_NEED])</f>
        <v>No</v>
      </c>
      <c r="G287">
        <f>IF(FME_Ranking!F287="Yes",100,0)</f>
        <v>0</v>
      </c>
      <c r="H287">
        <f>FME_Ranking1[[#This Row],[Emergency Need Score (Normalized, Unweighted)]]*$F$3</f>
        <v>0</v>
      </c>
      <c r="I287" s="246">
        <f>_xlfn.XLOOKUP(FME_Ranking1[[#This Row],[FME ID]],FME_Input[FME_ID],FME_Input[STRUCT_100])</f>
        <v>1068</v>
      </c>
      <c r="J287" s="178">
        <f>(FME_Ranking1[[#This Row],[Structures 100 Raw]]/I$2)*100</f>
        <v>0.57190592468834345</v>
      </c>
      <c r="K287" s="178">
        <f>FME_Ranking1[[#This Row],[Structures 100  Score (Normalized, Unweighted)]]*$I$3</f>
        <v>8.5785888703251517E-2</v>
      </c>
      <c r="L287" s="246">
        <f>_xlfn.XLOOKUP(FME_Ranking1[[#This Row],[FME ID]],FME_Input[FME_ID],FME_Input[RES_STRUCT100])</f>
        <v>930</v>
      </c>
      <c r="M287" s="230">
        <f>(FME_Ranking1[[#This Row],[Res Structures Raw]]/L$2)*100</f>
        <v>0.65872419996883458</v>
      </c>
      <c r="N287" s="180">
        <f>FME_Ranking1[[#This Row],[Res Structures Score (Normalized, Unweighted)]]*$L$3</f>
        <v>6.5872419996883466E-2</v>
      </c>
      <c r="O287" s="244">
        <f>_xlfn.XLOOKUP(FME_Ranking1[[#This Row],[FME ID]],FME_Input[FME_ID],FME_Input[POP100])</f>
        <v>15723</v>
      </c>
      <c r="P287" s="178">
        <f>(FME_Ranking1[[#This Row],[Pop Raw]]/$O$2)*100</f>
        <v>1.6096470303993253</v>
      </c>
      <c r="Q287" s="178">
        <f>FME_Ranking1[[#This Row],[Pop Score (Normalized, Unweighted)]]*$O$3</f>
        <v>0.24144705455989879</v>
      </c>
      <c r="R287" s="137">
        <f>_xlfn.XLOOKUP(FME_Ranking1[[#This Row],[FME ID]],FME_Input[FME_ID],FME_Input[CRITFAC100])</f>
        <v>18</v>
      </c>
      <c r="S287" s="230">
        <f>(FME_Ranking1[[#This Row],[Critical Facilities Raw]]/$R$2)*100</f>
        <v>0.77186963979416812</v>
      </c>
      <c r="T287" s="180">
        <f>FME_Ranking1[[#This Row],[Critical Facilities Score (Normalized, Unweighted)]]*$R$3</f>
        <v>0.15437392795883365</v>
      </c>
      <c r="U287">
        <f>_xlfn.XLOOKUP(FME_Ranking1[[#This Row],[FME ID]],FME_Input[FME_ID],FME_Input[LWC])</f>
        <v>19</v>
      </c>
      <c r="V287" s="178">
        <f>(FME_Ranking1[[#This Row],[LWC Raw]]/$U$2)*100</f>
        <v>1.0938399539435808</v>
      </c>
      <c r="W287" s="178">
        <f>FME_Ranking1[[#This Row],[LWC Score (Normalized, Unweighted)]]*$U$3</f>
        <v>0.21876799078871617</v>
      </c>
      <c r="X287" s="246">
        <f>_xlfn.XLOOKUP(FME_Ranking1[[#This Row],[FME ID]],FME_Input[FME_ID],FME_Input[ROADCLS])</f>
        <v>0</v>
      </c>
      <c r="Y287" s="230">
        <f>(FME_Ranking1[[#This Row],[Closures Raw]]/$X$2)*100</f>
        <v>0</v>
      </c>
      <c r="Z287" s="180">
        <f>FME_Ranking1[[#This Row],[Closures Score (Normalized, Unweighted)]]*$X$3</f>
        <v>0</v>
      </c>
      <c r="AA287" s="253">
        <f>_xlfn.XLOOKUP(FME_Ranking1[[#This Row],[FME ID]],FME_Input[FME_ID],FME_Input[ROAD_MILES100])</f>
        <v>48.359359741210938</v>
      </c>
      <c r="AB287" s="178">
        <f>(FME_Ranking1[[#This Row],[Miles Raw]]/$AA$2)*100</f>
        <v>0.63583884401328716</v>
      </c>
      <c r="AC287" s="178">
        <f>FME_Ranking1[[#This Row],[Miles Score (Normalized, Unweighted)]]*$AA$3</f>
        <v>6.3583884401328714E-2</v>
      </c>
      <c r="AD287" s="255">
        <f>_xlfn.XLOOKUP(FME_Ranking1[[#This Row],[FME ID]],FME_Input[FME_ID],FME_Input[FARMACRE100])</f>
        <v>617.09588623046875</v>
      </c>
      <c r="AE287" s="230">
        <f>(FME_Ranking1[[#This Row],[Ag Land Raw]]/$AD$2)*100</f>
        <v>2.5446271916133082E-2</v>
      </c>
      <c r="AF287" s="231">
        <f>FME_Ranking1[[#This Row],[Ag Land Score (Normalized, Unweighted)]]*$AD$3</f>
        <v>1.2723135958066542E-3</v>
      </c>
      <c r="AG28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0.83110348000471901</v>
      </c>
      <c r="AH287" s="406">
        <f t="shared" si="4"/>
        <v>318</v>
      </c>
      <c r="AI28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0.83110348000471901</v>
      </c>
      <c r="AJ287" s="257">
        <f>FME_Ranking1[[#This Row],[Addition check]]-FME_Ranking1[[#This Row],[Weighted Score Based on Normalized Reported Factors]]</f>
        <v>0</v>
      </c>
      <c r="AK287" s="178">
        <f>_xlfn.RANK.EQ(AI287,$AI$6:$AI$2341,0)+COUNTIF($AI$6:AI287,AI287)-1</f>
        <v>319</v>
      </c>
    </row>
    <row r="288" spans="1:37" ht="12" customHeight="1" x14ac:dyDescent="0.25">
      <c r="A288" t="s">
        <v>5171</v>
      </c>
      <c r="B288">
        <f>_xlfn.XLOOKUP(FME_Ranking1[[#This Row],[FME ID]],FME_Input[FME_ID],FME_Input[RFPG_NUM])</f>
        <v>3</v>
      </c>
      <c r="C288" t="str">
        <f>_xlfn.XLOOKUP(FME_Ranking1[[#This Row],[FME ID]],FME_Input[FME_ID],FME_Input[FME_NAME])</f>
        <v>Denton HUC-8 - Hog Branch Flood Risk Identification</v>
      </c>
      <c r="D288" t="str">
        <f>_xlfn.XLOOKUP(FME_Ranking1[[#This Row],[FME ID]],FME_Input[FME_ID],FME_Input[DESCR])</f>
        <v>Create FEMA mapping in previously unmapped areas and update existing FEMA maps as needed.</v>
      </c>
      <c r="E288" s="256">
        <f>_xlfn.XLOOKUP(FME_Ranking1[[#This Row],[FME ID]],FME_Input[FME_ID],FME_Input[FME_COST])</f>
        <v>1115000</v>
      </c>
      <c r="F288" t="str">
        <f>_xlfn.XLOOKUP(FME_Ranking1[[#This Row],[FME ID]],FME_Input[FME_ID],FME_Input[EMER_NEED])</f>
        <v>No</v>
      </c>
      <c r="G288">
        <f>IF(FME_Ranking!F288="Yes",100,0)</f>
        <v>0</v>
      </c>
      <c r="H288">
        <f>FME_Ranking1[[#This Row],[Emergency Need Score (Normalized, Unweighted)]]*$F$3</f>
        <v>0</v>
      </c>
      <c r="I288" s="246">
        <f>_xlfn.XLOOKUP(FME_Ranking1[[#This Row],[FME ID]],FME_Input[FME_ID],FME_Input[STRUCT_100])</f>
        <v>1002</v>
      </c>
      <c r="J288" s="178">
        <f>(FME_Ranking1[[#This Row],[Structures 100 Raw]]/I$2)*100</f>
        <v>0.53656342372445698</v>
      </c>
      <c r="K288" s="178">
        <f>FME_Ranking1[[#This Row],[Structures 100  Score (Normalized, Unweighted)]]*$I$3</f>
        <v>8.048451355866855E-2</v>
      </c>
      <c r="L288" s="246">
        <f>_xlfn.XLOOKUP(FME_Ranking1[[#This Row],[FME ID]],FME_Input[FME_ID],FME_Input[RES_STRUCT100])</f>
        <v>752</v>
      </c>
      <c r="M288" s="230">
        <f>(FME_Ranking1[[#This Row],[Res Structures Raw]]/L$2)*100</f>
        <v>0.53264580470598233</v>
      </c>
      <c r="N288" s="180">
        <f>FME_Ranking1[[#This Row],[Res Structures Score (Normalized, Unweighted)]]*$L$3</f>
        <v>5.3264580470598233E-2</v>
      </c>
      <c r="O288" s="244">
        <f>_xlfn.XLOOKUP(FME_Ranking1[[#This Row],[FME ID]],FME_Input[FME_ID],FME_Input[POP100])</f>
        <v>4043</v>
      </c>
      <c r="P288" s="178">
        <f>(FME_Ranking1[[#This Row],[Pop Raw]]/$O$2)*100</f>
        <v>0.41390338637056995</v>
      </c>
      <c r="Q288" s="178">
        <f>FME_Ranking1[[#This Row],[Pop Score (Normalized, Unweighted)]]*$O$3</f>
        <v>6.2085507955585491E-2</v>
      </c>
      <c r="R288" s="137">
        <f>_xlfn.XLOOKUP(FME_Ranking1[[#This Row],[FME ID]],FME_Input[FME_ID],FME_Input[CRITFAC100])</f>
        <v>19</v>
      </c>
      <c r="S288" s="230">
        <f>(FME_Ranking1[[#This Row],[Critical Facilities Raw]]/$R$2)*100</f>
        <v>0.81475128644939965</v>
      </c>
      <c r="T288" s="180">
        <f>FME_Ranking1[[#This Row],[Critical Facilities Score (Normalized, Unweighted)]]*$R$3</f>
        <v>0.16295025728987994</v>
      </c>
      <c r="U288">
        <f>_xlfn.XLOOKUP(FME_Ranking1[[#This Row],[FME ID]],FME_Input[FME_ID],FME_Input[LWC])</f>
        <v>30</v>
      </c>
      <c r="V288" s="178">
        <f>(FME_Ranking1[[#This Row],[LWC Raw]]/$U$2)*100</f>
        <v>1.7271157167530224</v>
      </c>
      <c r="W288" s="178">
        <f>FME_Ranking1[[#This Row],[LWC Score (Normalized, Unweighted)]]*$U$3</f>
        <v>0.34542314335060453</v>
      </c>
      <c r="X288" s="246">
        <f>_xlfn.XLOOKUP(FME_Ranking1[[#This Row],[FME ID]],FME_Input[FME_ID],FME_Input[ROADCLS])</f>
        <v>0</v>
      </c>
      <c r="Y288" s="230">
        <f>(FME_Ranking1[[#This Row],[Closures Raw]]/$X$2)*100</f>
        <v>0</v>
      </c>
      <c r="Z288" s="180">
        <f>FME_Ranking1[[#This Row],[Closures Score (Normalized, Unweighted)]]*$X$3</f>
        <v>0</v>
      </c>
      <c r="AA288" s="253">
        <f>_xlfn.XLOOKUP(FME_Ranking1[[#This Row],[FME ID]],FME_Input[FME_ID],FME_Input[ROAD_MILES100])</f>
        <v>107.249397277832</v>
      </c>
      <c r="AB288" s="178">
        <f>(FME_Ranking1[[#This Row],[Miles Raw]]/$AA$2)*100</f>
        <v>1.4101372133788903</v>
      </c>
      <c r="AC288" s="178">
        <f>FME_Ranking1[[#This Row],[Miles Score (Normalized, Unweighted)]]*$AA$3</f>
        <v>0.14101372133788903</v>
      </c>
      <c r="AD288" s="255">
        <f>_xlfn.XLOOKUP(FME_Ranking1[[#This Row],[FME ID]],FME_Input[FME_ID],FME_Input[FARMACRE100])</f>
        <v>30212.2109375</v>
      </c>
      <c r="AE288" s="230">
        <f>(FME_Ranking1[[#This Row],[Ag Land Raw]]/$AD$2)*100</f>
        <v>1.245816333988772</v>
      </c>
      <c r="AF288" s="231">
        <f>FME_Ranking1[[#This Row],[Ag Land Score (Normalized, Unweighted)]]*$AD$3</f>
        <v>6.2290816699438603E-2</v>
      </c>
      <c r="AG28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0.9075125406626644</v>
      </c>
      <c r="AH288" s="406">
        <f t="shared" si="4"/>
        <v>295</v>
      </c>
      <c r="AI28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0.9075125406626644</v>
      </c>
      <c r="AJ288" s="257">
        <f>FME_Ranking1[[#This Row],[Addition check]]-FME_Ranking1[[#This Row],[Weighted Score Based on Normalized Reported Factors]]</f>
        <v>0</v>
      </c>
      <c r="AK288" s="178">
        <f>_xlfn.RANK.EQ(AI288,$AI$6:$AI$2341,0)+COUNTIF($AI$6:AI288,AI288)-1</f>
        <v>295</v>
      </c>
    </row>
    <row r="289" spans="1:37" ht="12" customHeight="1" x14ac:dyDescent="0.25">
      <c r="A289" t="s">
        <v>11386</v>
      </c>
      <c r="B289">
        <f>_xlfn.XLOOKUP(FME_Ranking1[[#This Row],[FME ID]],FME_Input[FME_ID],FME_Input[RFPG_NUM])</f>
        <v>15</v>
      </c>
      <c r="C289" t="str">
        <f>_xlfn.XLOOKUP(FME_Ranking1[[#This Row],[FME ID]],FME_Input[FME_ID],FME_Input[FME_NAME])</f>
        <v>Starr County</v>
      </c>
      <c r="D289" t="str">
        <f>_xlfn.XLOOKUP(FME_Ranking1[[#This Row],[FME ID]],FME_Input[FME_ID],FME_Input[DESCR])</f>
        <v>Develop Flood risk maps for the county of Starr and develop CIP</v>
      </c>
      <c r="E289" s="256">
        <f>_xlfn.XLOOKUP(FME_Ranking1[[#This Row],[FME ID]],FME_Input[FME_ID],FME_Input[FME_COST])</f>
        <v>250000</v>
      </c>
      <c r="F289" t="str">
        <f>_xlfn.XLOOKUP(FME_Ranking1[[#This Row],[FME ID]],FME_Input[FME_ID],FME_Input[EMER_NEED])</f>
        <v>Yes</v>
      </c>
      <c r="G289">
        <f>IF(FME_Ranking!F289="Yes",100,0)</f>
        <v>100</v>
      </c>
      <c r="H289">
        <f>FME_Ranking1[[#This Row],[Emergency Need Score (Normalized, Unweighted)]]*$F$3</f>
        <v>0</v>
      </c>
      <c r="I289" s="246">
        <f>_xlfn.XLOOKUP(FME_Ranking1[[#This Row],[FME ID]],FME_Input[FME_ID],FME_Input[STRUCT_100])</f>
        <v>0</v>
      </c>
      <c r="J289" s="178">
        <f>(FME_Ranking1[[#This Row],[Structures 100 Raw]]/I$2)*100</f>
        <v>0</v>
      </c>
      <c r="K289" s="178">
        <f>FME_Ranking1[[#This Row],[Structures 100  Score (Normalized, Unweighted)]]*$I$3</f>
        <v>0</v>
      </c>
      <c r="L289" s="246">
        <f>_xlfn.XLOOKUP(FME_Ranking1[[#This Row],[FME ID]],FME_Input[FME_ID],FME_Input[RES_STRUCT100])</f>
        <v>4521</v>
      </c>
      <c r="M289" s="230">
        <f>(FME_Ranking1[[#This Row],[Res Structures Raw]]/L$2)*100</f>
        <v>3.202249578558173</v>
      </c>
      <c r="N289" s="180">
        <f>FME_Ranking1[[#This Row],[Res Structures Score (Normalized, Unweighted)]]*$L$3</f>
        <v>0.32022495785581734</v>
      </c>
      <c r="O289" s="244">
        <f>_xlfn.XLOOKUP(FME_Ranking1[[#This Row],[FME ID]],FME_Input[FME_ID],FME_Input[POP100])</f>
        <v>25455</v>
      </c>
      <c r="P289" s="178">
        <f>(FME_Ranking1[[#This Row],[Pop Raw]]/$O$2)*100</f>
        <v>2.6059635666739696</v>
      </c>
      <c r="Q289" s="178">
        <f>FME_Ranking1[[#This Row],[Pop Score (Normalized, Unweighted)]]*$O$3</f>
        <v>0.39089453500109544</v>
      </c>
      <c r="R289" s="137">
        <f>_xlfn.XLOOKUP(FME_Ranking1[[#This Row],[FME ID]],FME_Input[FME_ID],FME_Input[CRITFAC100])</f>
        <v>6</v>
      </c>
      <c r="S289" s="230">
        <f>(FME_Ranking1[[#This Row],[Critical Facilities Raw]]/$R$2)*100</f>
        <v>0.25728987993138941</v>
      </c>
      <c r="T289" s="180">
        <f>FME_Ranking1[[#This Row],[Critical Facilities Score (Normalized, Unweighted)]]*$R$3</f>
        <v>5.1457975986277882E-2</v>
      </c>
      <c r="U289">
        <f>_xlfn.XLOOKUP(FME_Ranking1[[#This Row],[FME ID]],FME_Input[FME_ID],FME_Input[LWC])</f>
        <v>0</v>
      </c>
      <c r="V289" s="178">
        <f>(FME_Ranking1[[#This Row],[LWC Raw]]/$U$2)*100</f>
        <v>0</v>
      </c>
      <c r="W289" s="178">
        <f>FME_Ranking1[[#This Row],[LWC Score (Normalized, Unweighted)]]*$U$3</f>
        <v>0</v>
      </c>
      <c r="X289" s="246">
        <f>_xlfn.XLOOKUP(FME_Ranking1[[#This Row],[FME ID]],FME_Input[FME_ID],FME_Input[ROADCLS])</f>
        <v>0</v>
      </c>
      <c r="Y289" s="230">
        <f>(FME_Ranking1[[#This Row],[Closures Raw]]/$X$2)*100</f>
        <v>0</v>
      </c>
      <c r="Z289" s="180">
        <f>FME_Ranking1[[#This Row],[Closures Score (Normalized, Unweighted)]]*$X$3</f>
        <v>0</v>
      </c>
      <c r="AA289" s="253">
        <f>_xlfn.XLOOKUP(FME_Ranking1[[#This Row],[FME ID]],FME_Input[FME_ID],FME_Input[ROAD_MILES100])</f>
        <v>793.6729736328125</v>
      </c>
      <c r="AB289" s="178">
        <f>(FME_Ranking1[[#This Row],[Miles Raw]]/$AA$2)*100</f>
        <v>10.435376083964652</v>
      </c>
      <c r="AC289" s="178">
        <f>FME_Ranking1[[#This Row],[Miles Score (Normalized, Unweighted)]]*$AA$3</f>
        <v>1.0435376083964651</v>
      </c>
      <c r="AD289" s="255">
        <f>_xlfn.XLOOKUP(FME_Ranking1[[#This Row],[FME ID]],FME_Input[FME_ID],FME_Input[FARMACRE100])</f>
        <v>0</v>
      </c>
      <c r="AE289" s="230">
        <f>(FME_Ranking1[[#This Row],[Ag Land Raw]]/$AD$2)*100</f>
        <v>0</v>
      </c>
      <c r="AF289" s="231">
        <f>FME_Ranking1[[#This Row],[Ag Land Score (Normalized, Unweighted)]]*$AD$3</f>
        <v>0</v>
      </c>
      <c r="AG28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1.8061150772396557</v>
      </c>
      <c r="AH289" s="406">
        <f t="shared" si="4"/>
        <v>152</v>
      </c>
      <c r="AI28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1.8061150772396557</v>
      </c>
      <c r="AJ289" s="257">
        <f>FME_Ranking1[[#This Row],[Addition check]]-FME_Ranking1[[#This Row],[Weighted Score Based on Normalized Reported Factors]]</f>
        <v>0</v>
      </c>
      <c r="AK289" s="178">
        <f>_xlfn.RANK.EQ(AI289,$AI$6:$AI$2341,0)+COUNTIF($AI$6:AI289,AI289)-1</f>
        <v>152</v>
      </c>
    </row>
    <row r="290" spans="1:37" ht="12" customHeight="1" x14ac:dyDescent="0.25">
      <c r="A290" t="s">
        <v>11390</v>
      </c>
      <c r="B290">
        <f>_xlfn.XLOOKUP(FME_Ranking1[[#This Row],[FME ID]],FME_Input[FME_ID],FME_Input[RFPG_NUM])</f>
        <v>15</v>
      </c>
      <c r="C290" t="str">
        <f>_xlfn.XLOOKUP(FME_Ranking1[[#This Row],[FME ID]],FME_Input[FME_ID],FME_Input[FME_NAME])</f>
        <v>Starr County Drainage District</v>
      </c>
      <c r="D290" t="str">
        <f>_xlfn.XLOOKUP(FME_Ranking1[[#This Row],[FME ID]],FME_Input[FME_ID],FME_Input[DESCR])</f>
        <v>Develop Flood risk maps for the Starr County Drainage District and develop CIP</v>
      </c>
      <c r="E290" s="256">
        <f>_xlfn.XLOOKUP(FME_Ranking1[[#This Row],[FME ID]],FME_Input[FME_ID],FME_Input[FME_COST])</f>
        <v>250000</v>
      </c>
      <c r="F290" t="str">
        <f>_xlfn.XLOOKUP(FME_Ranking1[[#This Row],[FME ID]],FME_Input[FME_ID],FME_Input[EMER_NEED])</f>
        <v>Yes</v>
      </c>
      <c r="G290">
        <f>IF(FME_Ranking!F290="Yes",100,0)</f>
        <v>100</v>
      </c>
      <c r="H290">
        <f>FME_Ranking1[[#This Row],[Emergency Need Score (Normalized, Unweighted)]]*$F$3</f>
        <v>0</v>
      </c>
      <c r="I290" s="246">
        <f>_xlfn.XLOOKUP(FME_Ranking1[[#This Row],[FME ID]],FME_Input[FME_ID],FME_Input[STRUCT_100])</f>
        <v>0</v>
      </c>
      <c r="J290" s="178">
        <f>(FME_Ranking1[[#This Row],[Structures 100 Raw]]/I$2)*100</f>
        <v>0</v>
      </c>
      <c r="K290" s="178">
        <f>FME_Ranking1[[#This Row],[Structures 100  Score (Normalized, Unweighted)]]*$I$3</f>
        <v>0</v>
      </c>
      <c r="L290" s="246">
        <f>_xlfn.XLOOKUP(FME_Ranking1[[#This Row],[FME ID]],FME_Input[FME_ID],FME_Input[RES_STRUCT100])</f>
        <v>4521</v>
      </c>
      <c r="M290" s="230">
        <f>(FME_Ranking1[[#This Row],[Res Structures Raw]]/L$2)*100</f>
        <v>3.202249578558173</v>
      </c>
      <c r="N290" s="180">
        <f>FME_Ranking1[[#This Row],[Res Structures Score (Normalized, Unweighted)]]*$L$3</f>
        <v>0.32022495785581734</v>
      </c>
      <c r="O290" s="244">
        <f>_xlfn.XLOOKUP(FME_Ranking1[[#This Row],[FME ID]],FME_Input[FME_ID],FME_Input[POP100])</f>
        <v>25455</v>
      </c>
      <c r="P290" s="178">
        <f>(FME_Ranking1[[#This Row],[Pop Raw]]/$O$2)*100</f>
        <v>2.6059635666739696</v>
      </c>
      <c r="Q290" s="178">
        <f>FME_Ranking1[[#This Row],[Pop Score (Normalized, Unweighted)]]*$O$3</f>
        <v>0.39089453500109544</v>
      </c>
      <c r="R290" s="137">
        <f>_xlfn.XLOOKUP(FME_Ranking1[[#This Row],[FME ID]],FME_Input[FME_ID],FME_Input[CRITFAC100])</f>
        <v>6</v>
      </c>
      <c r="S290" s="230">
        <f>(FME_Ranking1[[#This Row],[Critical Facilities Raw]]/$R$2)*100</f>
        <v>0.25728987993138941</v>
      </c>
      <c r="T290" s="180">
        <f>FME_Ranking1[[#This Row],[Critical Facilities Score (Normalized, Unweighted)]]*$R$3</f>
        <v>5.1457975986277882E-2</v>
      </c>
      <c r="U290">
        <f>_xlfn.XLOOKUP(FME_Ranking1[[#This Row],[FME ID]],FME_Input[FME_ID],FME_Input[LWC])</f>
        <v>0</v>
      </c>
      <c r="V290" s="178">
        <f>(FME_Ranking1[[#This Row],[LWC Raw]]/$U$2)*100</f>
        <v>0</v>
      </c>
      <c r="W290" s="178">
        <f>FME_Ranking1[[#This Row],[LWC Score (Normalized, Unweighted)]]*$U$3</f>
        <v>0</v>
      </c>
      <c r="X290" s="246">
        <f>_xlfn.XLOOKUP(FME_Ranking1[[#This Row],[FME ID]],FME_Input[FME_ID],FME_Input[ROADCLS])</f>
        <v>0</v>
      </c>
      <c r="Y290" s="230">
        <f>(FME_Ranking1[[#This Row],[Closures Raw]]/$X$2)*100</f>
        <v>0</v>
      </c>
      <c r="Z290" s="180">
        <f>FME_Ranking1[[#This Row],[Closures Score (Normalized, Unweighted)]]*$X$3</f>
        <v>0</v>
      </c>
      <c r="AA290" s="253">
        <f>_xlfn.XLOOKUP(FME_Ranking1[[#This Row],[FME ID]],FME_Input[FME_ID],FME_Input[ROAD_MILES100])</f>
        <v>794.5040283203125</v>
      </c>
      <c r="AB290" s="178">
        <f>(FME_Ranking1[[#This Row],[Miles Raw]]/$AA$2)*100</f>
        <v>10.446302962538718</v>
      </c>
      <c r="AC290" s="178">
        <f>FME_Ranking1[[#This Row],[Miles Score (Normalized, Unweighted)]]*$AA$3</f>
        <v>1.0446302962538718</v>
      </c>
      <c r="AD290" s="255">
        <f>_xlfn.XLOOKUP(FME_Ranking1[[#This Row],[FME ID]],FME_Input[FME_ID],FME_Input[FARMACRE100])</f>
        <v>0</v>
      </c>
      <c r="AE290" s="230">
        <f>(FME_Ranking1[[#This Row],[Ag Land Raw]]/$AD$2)*100</f>
        <v>0</v>
      </c>
      <c r="AF290" s="231">
        <f>FME_Ranking1[[#This Row],[Ag Land Score (Normalized, Unweighted)]]*$AD$3</f>
        <v>0</v>
      </c>
      <c r="AG29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1.8072077650970626</v>
      </c>
      <c r="AH290" s="406">
        <f t="shared" si="4"/>
        <v>151</v>
      </c>
      <c r="AI29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1.8072077650970626</v>
      </c>
      <c r="AJ290" s="257">
        <f>FME_Ranking1[[#This Row],[Addition check]]-FME_Ranking1[[#This Row],[Weighted Score Based on Normalized Reported Factors]]</f>
        <v>0</v>
      </c>
      <c r="AK290" s="178">
        <f>_xlfn.RANK.EQ(AI290,$AI$6:$AI$2341,0)+COUNTIF($AI$6:AI290,AI290)-1</f>
        <v>151</v>
      </c>
    </row>
    <row r="291" spans="1:37" ht="12" customHeight="1" x14ac:dyDescent="0.25">
      <c r="A291" t="s">
        <v>11456</v>
      </c>
      <c r="B291">
        <f>_xlfn.XLOOKUP(FME_Ranking1[[#This Row],[FME ID]],FME_Input[FME_ID],FME_Input[RFPG_NUM])</f>
        <v>15</v>
      </c>
      <c r="C291" t="str">
        <f>_xlfn.XLOOKUP(FME_Ranking1[[#This Row],[FME ID]],FME_Input[FME_ID],FME_Input[FME_NAME])</f>
        <v>Rgc Public Works, Escobares City, And Starr Public Works Roadway Improvements</v>
      </c>
      <c r="D291" t="str">
        <f>_xlfn.XLOOKUP(FME_Ranking1[[#This Row],[FME ID]],FME_Input[FME_ID],FME_Input[DESCR])</f>
        <v>Improve Roadways, By Widening And Raising, And Create Drainage Culverts Or Bridges.  (Morenos Creek And Garceno Creek)(Kelsey Creek, Rio Grande City)</v>
      </c>
      <c r="E291" s="256">
        <f>_xlfn.XLOOKUP(FME_Ranking1[[#This Row],[FME ID]],FME_Input[FME_ID],FME_Input[FME_COST])</f>
        <v>528000</v>
      </c>
      <c r="F291" t="str">
        <f>_xlfn.XLOOKUP(FME_Ranking1[[#This Row],[FME ID]],FME_Input[FME_ID],FME_Input[EMER_NEED])</f>
        <v>Yes</v>
      </c>
      <c r="G291">
        <f>IF(FME_Ranking!F291="Yes",100,0)</f>
        <v>100</v>
      </c>
      <c r="H291">
        <f>FME_Ranking1[[#This Row],[Emergency Need Score (Normalized, Unweighted)]]*$F$3</f>
        <v>0</v>
      </c>
      <c r="I291" s="246">
        <f>_xlfn.XLOOKUP(FME_Ranking1[[#This Row],[FME ID]],FME_Input[FME_ID],FME_Input[STRUCT_100])</f>
        <v>0</v>
      </c>
      <c r="J291" s="178">
        <f>(FME_Ranking1[[#This Row],[Structures 100 Raw]]/I$2)*100</f>
        <v>0</v>
      </c>
      <c r="K291" s="178">
        <f>FME_Ranking1[[#This Row],[Structures 100  Score (Normalized, Unweighted)]]*$I$3</f>
        <v>0</v>
      </c>
      <c r="L291" s="246">
        <f>_xlfn.XLOOKUP(FME_Ranking1[[#This Row],[FME ID]],FME_Input[FME_ID],FME_Input[RES_STRUCT100])</f>
        <v>4521</v>
      </c>
      <c r="M291" s="230">
        <f>(FME_Ranking1[[#This Row],[Res Structures Raw]]/L$2)*100</f>
        <v>3.202249578558173</v>
      </c>
      <c r="N291" s="180">
        <f>FME_Ranking1[[#This Row],[Res Structures Score (Normalized, Unweighted)]]*$L$3</f>
        <v>0.32022495785581734</v>
      </c>
      <c r="O291" s="244">
        <f>_xlfn.XLOOKUP(FME_Ranking1[[#This Row],[FME ID]],FME_Input[FME_ID],FME_Input[POP100])</f>
        <v>25455</v>
      </c>
      <c r="P291" s="178">
        <f>(FME_Ranking1[[#This Row],[Pop Raw]]/$O$2)*100</f>
        <v>2.6059635666739696</v>
      </c>
      <c r="Q291" s="178">
        <f>FME_Ranking1[[#This Row],[Pop Score (Normalized, Unweighted)]]*$O$3</f>
        <v>0.39089453500109544</v>
      </c>
      <c r="R291" s="137">
        <f>_xlfn.XLOOKUP(FME_Ranking1[[#This Row],[FME ID]],FME_Input[FME_ID],FME_Input[CRITFAC100])</f>
        <v>6</v>
      </c>
      <c r="S291" s="230">
        <f>(FME_Ranking1[[#This Row],[Critical Facilities Raw]]/$R$2)*100</f>
        <v>0.25728987993138941</v>
      </c>
      <c r="T291" s="180">
        <f>FME_Ranking1[[#This Row],[Critical Facilities Score (Normalized, Unweighted)]]*$R$3</f>
        <v>5.1457975986277882E-2</v>
      </c>
      <c r="U291">
        <f>_xlfn.XLOOKUP(FME_Ranking1[[#This Row],[FME ID]],FME_Input[FME_ID],FME_Input[LWC])</f>
        <v>0</v>
      </c>
      <c r="V291" s="178">
        <f>(FME_Ranking1[[#This Row],[LWC Raw]]/$U$2)*100</f>
        <v>0</v>
      </c>
      <c r="W291" s="178">
        <f>FME_Ranking1[[#This Row],[LWC Score (Normalized, Unweighted)]]*$U$3</f>
        <v>0</v>
      </c>
      <c r="X291" s="246">
        <f>_xlfn.XLOOKUP(FME_Ranking1[[#This Row],[FME ID]],FME_Input[FME_ID],FME_Input[ROADCLS])</f>
        <v>0</v>
      </c>
      <c r="Y291" s="230">
        <f>(FME_Ranking1[[#This Row],[Closures Raw]]/$X$2)*100</f>
        <v>0</v>
      </c>
      <c r="Z291" s="180">
        <f>FME_Ranking1[[#This Row],[Closures Score (Normalized, Unweighted)]]*$X$3</f>
        <v>0</v>
      </c>
      <c r="AA291" s="253">
        <f>_xlfn.XLOOKUP(FME_Ranking1[[#This Row],[FME ID]],FME_Input[FME_ID],FME_Input[ROAD_MILES100])</f>
        <v>793.6729736328125</v>
      </c>
      <c r="AB291" s="178">
        <f>(FME_Ranking1[[#This Row],[Miles Raw]]/$AA$2)*100</f>
        <v>10.435376083964652</v>
      </c>
      <c r="AC291" s="178">
        <f>FME_Ranking1[[#This Row],[Miles Score (Normalized, Unweighted)]]*$AA$3</f>
        <v>1.0435376083964651</v>
      </c>
      <c r="AD291" s="255">
        <f>_xlfn.XLOOKUP(FME_Ranking1[[#This Row],[FME ID]],FME_Input[FME_ID],FME_Input[FARMACRE100])</f>
        <v>0</v>
      </c>
      <c r="AE291" s="230">
        <f>(FME_Ranking1[[#This Row],[Ag Land Raw]]/$AD$2)*100</f>
        <v>0</v>
      </c>
      <c r="AF291" s="231">
        <f>FME_Ranking1[[#This Row],[Ag Land Score (Normalized, Unweighted)]]*$AD$3</f>
        <v>0</v>
      </c>
      <c r="AG29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1.8061150772396557</v>
      </c>
      <c r="AH291" s="406">
        <f t="shared" si="4"/>
        <v>152</v>
      </c>
      <c r="AI29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1.8061150772396557</v>
      </c>
      <c r="AJ291" s="257">
        <f>FME_Ranking1[[#This Row],[Addition check]]-FME_Ranking1[[#This Row],[Weighted Score Based on Normalized Reported Factors]]</f>
        <v>0</v>
      </c>
      <c r="AK291" s="178">
        <f>_xlfn.RANK.EQ(AI291,$AI$6:$AI$2341,0)+COUNTIF($AI$6:AI291,AI291)-1</f>
        <v>153</v>
      </c>
    </row>
    <row r="292" spans="1:37" ht="12" customHeight="1" x14ac:dyDescent="0.25">
      <c r="A292" t="s">
        <v>8769</v>
      </c>
      <c r="B292">
        <f>_xlfn.XLOOKUP(FME_Ranking1[[#This Row],[FME ID]],FME_Input[FME_ID],FME_Input[RFPG_NUM])</f>
        <v>11</v>
      </c>
      <c r="C292" t="str">
        <f>_xlfn.XLOOKUP(FME_Ranking1[[#This Row],[FME ID]],FME_Input[FME_ID],FME_Input[FME_NAME])</f>
        <v>City of San Marcos Regional Detention Study</v>
      </c>
      <c r="D292" t="str">
        <f>_xlfn.XLOOKUP(FME_Ranking1[[#This Row],[FME ID]],FME_Input[FME_ID],FME_Input[DESCR])</f>
        <v xml:space="preserve">Study of solutions for regional detention and water quality strategies. </v>
      </c>
      <c r="E292" s="256">
        <f>_xlfn.XLOOKUP(FME_Ranking1[[#This Row],[FME ID]],FME_Input[FME_ID],FME_Input[FME_COST])</f>
        <v>200000</v>
      </c>
      <c r="F292" t="str">
        <f>_xlfn.XLOOKUP(FME_Ranking1[[#This Row],[FME ID]],FME_Input[FME_ID],FME_Input[EMER_NEED])</f>
        <v>No</v>
      </c>
      <c r="G292">
        <f>IF(FME_Ranking!F292="Yes",100,0)</f>
        <v>0</v>
      </c>
      <c r="H292">
        <f>FME_Ranking1[[#This Row],[Emergency Need Score (Normalized, Unweighted)]]*$F$3</f>
        <v>0</v>
      </c>
      <c r="I292" s="246">
        <f>_xlfn.XLOOKUP(FME_Ranking1[[#This Row],[FME ID]],FME_Input[FME_ID],FME_Input[STRUCT_100])</f>
        <v>2270</v>
      </c>
      <c r="J292" s="178">
        <f>(FME_Ranking1[[#This Row],[Structures 100 Raw]]/I$2)*100</f>
        <v>1.2155678361821531</v>
      </c>
      <c r="K292" s="178">
        <f>FME_Ranking1[[#This Row],[Structures 100  Score (Normalized, Unweighted)]]*$I$3</f>
        <v>0.18233517542732297</v>
      </c>
      <c r="L292" s="246">
        <f>_xlfn.XLOOKUP(FME_Ranking1[[#This Row],[FME ID]],FME_Input[FME_ID],FME_Input[RES_STRUCT100])</f>
        <v>1626</v>
      </c>
      <c r="M292" s="230">
        <f>(FME_Ranking1[[#This Row],[Res Structures Raw]]/L$2)*100</f>
        <v>1.151704891558414</v>
      </c>
      <c r="N292" s="180">
        <f>FME_Ranking1[[#This Row],[Res Structures Score (Normalized, Unweighted)]]*$L$3</f>
        <v>0.11517048915584141</v>
      </c>
      <c r="O292" s="244">
        <f>_xlfn.XLOOKUP(FME_Ranking1[[#This Row],[FME ID]],FME_Input[FME_ID],FME_Input[POP100])</f>
        <v>12650</v>
      </c>
      <c r="P292" s="178">
        <f>(FME_Ranking1[[#This Row],[Pop Raw]]/$O$2)*100</f>
        <v>1.2950476966578557</v>
      </c>
      <c r="Q292" s="178">
        <f>FME_Ranking1[[#This Row],[Pop Score (Normalized, Unweighted)]]*$O$3</f>
        <v>0.19425715449867834</v>
      </c>
      <c r="R292" s="137">
        <f>_xlfn.XLOOKUP(FME_Ranking1[[#This Row],[FME ID]],FME_Input[FME_ID],FME_Input[CRITFAC100])</f>
        <v>14</v>
      </c>
      <c r="S292" s="230">
        <f>(FME_Ranking1[[#This Row],[Critical Facilities Raw]]/$R$2)*100</f>
        <v>0.60034305317324177</v>
      </c>
      <c r="T292" s="180">
        <f>FME_Ranking1[[#This Row],[Critical Facilities Score (Normalized, Unweighted)]]*$R$3</f>
        <v>0.12006861063464835</v>
      </c>
      <c r="U292">
        <f>_xlfn.XLOOKUP(FME_Ranking1[[#This Row],[FME ID]],FME_Input[FME_ID],FME_Input[LWC])</f>
        <v>12</v>
      </c>
      <c r="V292" s="178">
        <f>(FME_Ranking1[[#This Row],[LWC Raw]]/$U$2)*100</f>
        <v>0.69084628670120896</v>
      </c>
      <c r="W292" s="178">
        <f>FME_Ranking1[[#This Row],[LWC Score (Normalized, Unweighted)]]*$U$3</f>
        <v>0.1381692573402418</v>
      </c>
      <c r="X292" s="246">
        <f>_xlfn.XLOOKUP(FME_Ranking1[[#This Row],[FME ID]],FME_Input[FME_ID],FME_Input[ROADCLS])</f>
        <v>0</v>
      </c>
      <c r="Y292" s="230">
        <f>(FME_Ranking1[[#This Row],[Closures Raw]]/$X$2)*100</f>
        <v>0</v>
      </c>
      <c r="Z292" s="180">
        <f>FME_Ranking1[[#This Row],[Closures Score (Normalized, Unweighted)]]*$X$3</f>
        <v>0</v>
      </c>
      <c r="AA292" s="253">
        <f>_xlfn.XLOOKUP(FME_Ranking1[[#This Row],[FME ID]],FME_Input[FME_ID],FME_Input[ROAD_MILES100])</f>
        <v>48.122703552246087</v>
      </c>
      <c r="AB292" s="178">
        <f>(FME_Ranking1[[#This Row],[Miles Raw]]/$AA$2)*100</f>
        <v>0.63272723959120103</v>
      </c>
      <c r="AC292" s="178">
        <f>FME_Ranking1[[#This Row],[Miles Score (Normalized, Unweighted)]]*$AA$3</f>
        <v>6.3272723959120106E-2</v>
      </c>
      <c r="AD292" s="255">
        <f>_xlfn.XLOOKUP(FME_Ranking1[[#This Row],[FME ID]],FME_Input[FME_ID],FME_Input[FARMACRE100])</f>
        <v>822.42315673828125</v>
      </c>
      <c r="AE292" s="230">
        <f>(FME_Ranking1[[#This Row],[Ag Land Raw]]/$AD$2)*100</f>
        <v>3.39130494035913E-2</v>
      </c>
      <c r="AF292" s="231">
        <f>FME_Ranking1[[#This Row],[Ag Land Score (Normalized, Unweighted)]]*$AD$3</f>
        <v>1.6956524701795652E-3</v>
      </c>
      <c r="AG29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0.81496906348603249</v>
      </c>
      <c r="AH292" s="406">
        <f t="shared" si="4"/>
        <v>328</v>
      </c>
      <c r="AI29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0.81496906348603249</v>
      </c>
      <c r="AJ292" s="257">
        <f>FME_Ranking1[[#This Row],[Addition check]]-FME_Ranking1[[#This Row],[Weighted Score Based on Normalized Reported Factors]]</f>
        <v>0</v>
      </c>
      <c r="AK292" s="178">
        <f>_xlfn.RANK.EQ(AI292,$AI$6:$AI$2341,0)+COUNTIF($AI$6:AI292,AI292)-1</f>
        <v>328</v>
      </c>
    </row>
    <row r="293" spans="1:37" ht="12" customHeight="1" x14ac:dyDescent="0.25">
      <c r="A293" t="s">
        <v>8609</v>
      </c>
      <c r="B293">
        <f>_xlfn.XLOOKUP(FME_Ranking1[[#This Row],[FME ID]],FME_Input[FME_ID],FME_Input[RFPG_NUM])</f>
        <v>11</v>
      </c>
      <c r="C293" t="str">
        <f>_xlfn.XLOOKUP(FME_Ranking1[[#This Row],[FME ID]],FME_Input[FME_ID],FME_Input[FME_NAME])</f>
        <v>Caldwell County Bridge Improvements Project Planning</v>
      </c>
      <c r="D293" t="str">
        <f>_xlfn.XLOOKUP(FME_Ranking1[[#This Row],[FME ID]],FME_Input[FME_ID],FME_Input[DESCR])</f>
        <v>Project planning for proposed project to replace antiquated bridges built before 1950. These bridges cannot support the weight of emergency vehicles. In addition, upgraded bridge infrastructure would reduce backwater flooding at undersized crossings.</v>
      </c>
      <c r="E293" s="256">
        <f>_xlfn.XLOOKUP(FME_Ranking1[[#This Row],[FME ID]],FME_Input[FME_ID],FME_Input[FME_COST])</f>
        <v>256000</v>
      </c>
      <c r="F293" t="str">
        <f>_xlfn.XLOOKUP(FME_Ranking1[[#This Row],[FME ID]],FME_Input[FME_ID],FME_Input[EMER_NEED])</f>
        <v>No</v>
      </c>
      <c r="G293">
        <f>IF(FME_Ranking!F293="Yes",100,0)</f>
        <v>0</v>
      </c>
      <c r="H293">
        <f>FME_Ranking1[[#This Row],[Emergency Need Score (Normalized, Unweighted)]]*$F$3</f>
        <v>0</v>
      </c>
      <c r="I293" s="246">
        <f>_xlfn.XLOOKUP(FME_Ranking1[[#This Row],[FME ID]],FME_Input[FME_ID],FME_Input[STRUCT_100])</f>
        <v>937</v>
      </c>
      <c r="J293" s="178">
        <f>(FME_Ranking1[[#This Row],[Structures 100 Raw]]/I$2)*100</f>
        <v>0.50175641519941738</v>
      </c>
      <c r="K293" s="178">
        <f>FME_Ranking1[[#This Row],[Structures 100  Score (Normalized, Unweighted)]]*$I$3</f>
        <v>7.526346227991261E-2</v>
      </c>
      <c r="L293" s="246">
        <f>_xlfn.XLOOKUP(FME_Ranking1[[#This Row],[FME ID]],FME_Input[FME_ID],FME_Input[RES_STRUCT100])</f>
        <v>635</v>
      </c>
      <c r="M293" s="230">
        <f>(FME_Ranking1[[#This Row],[Res Structures Raw]]/L$2)*100</f>
        <v>0.44977405051635472</v>
      </c>
      <c r="N293" s="180">
        <f>FME_Ranking1[[#This Row],[Res Structures Score (Normalized, Unweighted)]]*$L$3</f>
        <v>4.4977405051635472E-2</v>
      </c>
      <c r="O293" s="244">
        <f>_xlfn.XLOOKUP(FME_Ranking1[[#This Row],[FME ID]],FME_Input[FME_ID],FME_Input[POP100])</f>
        <v>2190</v>
      </c>
      <c r="P293" s="178">
        <f>(FME_Ranking1[[#This Row],[Pop Raw]]/$O$2)*100</f>
        <v>0.22420193325539159</v>
      </c>
      <c r="Q293" s="178">
        <f>FME_Ranking1[[#This Row],[Pop Score (Normalized, Unweighted)]]*$O$3</f>
        <v>3.3630289988308734E-2</v>
      </c>
      <c r="R293" s="137">
        <f>_xlfn.XLOOKUP(FME_Ranking1[[#This Row],[FME ID]],FME_Input[FME_ID],FME_Input[CRITFAC100])</f>
        <v>7</v>
      </c>
      <c r="S293" s="230">
        <f>(FME_Ranking1[[#This Row],[Critical Facilities Raw]]/$R$2)*100</f>
        <v>0.30017152658662088</v>
      </c>
      <c r="T293" s="180">
        <f>FME_Ranking1[[#This Row],[Critical Facilities Score (Normalized, Unweighted)]]*$R$3</f>
        <v>6.0034305317324177E-2</v>
      </c>
      <c r="U293">
        <f>_xlfn.XLOOKUP(FME_Ranking1[[#This Row],[FME ID]],FME_Input[FME_ID],FME_Input[LWC])</f>
        <v>40</v>
      </c>
      <c r="V293" s="178">
        <f>(FME_Ranking1[[#This Row],[LWC Raw]]/$U$2)*100</f>
        <v>2.3028209556706964</v>
      </c>
      <c r="W293" s="178">
        <f>FME_Ranking1[[#This Row],[LWC Score (Normalized, Unweighted)]]*$U$3</f>
        <v>0.46056419113413932</v>
      </c>
      <c r="X293" s="246">
        <f>_xlfn.XLOOKUP(FME_Ranking1[[#This Row],[FME ID]],FME_Input[FME_ID],FME_Input[ROADCLS])</f>
        <v>0</v>
      </c>
      <c r="Y293" s="230">
        <f>(FME_Ranking1[[#This Row],[Closures Raw]]/$X$2)*100</f>
        <v>0</v>
      </c>
      <c r="Z293" s="180">
        <f>FME_Ranking1[[#This Row],[Closures Score (Normalized, Unweighted)]]*$X$3</f>
        <v>0</v>
      </c>
      <c r="AA293" s="253">
        <f>_xlfn.XLOOKUP(FME_Ranking1[[#This Row],[FME ID]],FME_Input[FME_ID],FME_Input[ROAD_MILES100])</f>
        <v>71.180534362792969</v>
      </c>
      <c r="AB293" s="178">
        <f>(FME_Ranking1[[#This Row],[Miles Raw]]/$AA$2)*100</f>
        <v>0.93589635858882503</v>
      </c>
      <c r="AC293" s="178">
        <f>FME_Ranking1[[#This Row],[Miles Score (Normalized, Unweighted)]]*$AA$3</f>
        <v>9.3589635858882511E-2</v>
      </c>
      <c r="AD293" s="255">
        <f>_xlfn.XLOOKUP(FME_Ranking1[[#This Row],[FME ID]],FME_Input[FME_ID],FME_Input[FARMACRE100])</f>
        <v>35718.5</v>
      </c>
      <c r="AE293" s="230">
        <f>(FME_Ranking1[[#This Row],[Ag Land Raw]]/$AD$2)*100</f>
        <v>1.4728710460029686</v>
      </c>
      <c r="AF293" s="231">
        <f>FME_Ranking1[[#This Row],[Ag Land Score (Normalized, Unweighted)]]*$AD$3</f>
        <v>7.3643552300148435E-2</v>
      </c>
      <c r="AG29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0.84170284193035116</v>
      </c>
      <c r="AH293" s="406">
        <f t="shared" si="4"/>
        <v>314</v>
      </c>
      <c r="AI29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0.84170284193035116</v>
      </c>
      <c r="AJ293" s="257">
        <f>FME_Ranking1[[#This Row],[Addition check]]-FME_Ranking1[[#This Row],[Weighted Score Based on Normalized Reported Factors]]</f>
        <v>0</v>
      </c>
      <c r="AK293" s="178">
        <f>_xlfn.RANK.EQ(AI293,$AI$6:$AI$2341,0)+COUNTIF($AI$6:AI293,AI293)-1</f>
        <v>314</v>
      </c>
    </row>
    <row r="294" spans="1:37" ht="12" customHeight="1" x14ac:dyDescent="0.25">
      <c r="A294" t="s">
        <v>6243</v>
      </c>
      <c r="B294">
        <f>_xlfn.XLOOKUP(FME_Ranking1[[#This Row],[FME ID]],FME_Input[FME_ID],FME_Input[RFPG_NUM])</f>
        <v>5</v>
      </c>
      <c r="C294" t="str">
        <f>_xlfn.XLOOKUP(FME_Ranking1[[#This Row],[FME ID]],FME_Input[FME_ID],FME_Input[FME_NAME])</f>
        <v>City of Beaumont Master Drainage Plan</v>
      </c>
      <c r="D294"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294" s="256">
        <f>_xlfn.XLOOKUP(FME_Ranking1[[#This Row],[FME ID]],FME_Input[FME_ID],FME_Input[FME_COST])</f>
        <v>600000</v>
      </c>
      <c r="F294" t="str">
        <f>_xlfn.XLOOKUP(FME_Ranking1[[#This Row],[FME ID]],FME_Input[FME_ID],FME_Input[EMER_NEED])</f>
        <v>Yes</v>
      </c>
      <c r="G294">
        <f>IF(FME_Ranking!F294="Yes",100,0)</f>
        <v>100</v>
      </c>
      <c r="H294">
        <f>FME_Ranking1[[#This Row],[Emergency Need Score (Normalized, Unweighted)]]*$F$3</f>
        <v>0</v>
      </c>
      <c r="I294" s="246">
        <f>_xlfn.XLOOKUP(FME_Ranking1[[#This Row],[FME ID]],FME_Input[FME_ID],FME_Input[STRUCT_100])</f>
        <v>2546</v>
      </c>
      <c r="J294" s="178">
        <f>(FME_Ranking1[[#This Row],[Structures 100 Raw]]/I$2)*100</f>
        <v>1.3633637493038597</v>
      </c>
      <c r="K294" s="178">
        <f>FME_Ranking1[[#This Row],[Structures 100  Score (Normalized, Unweighted)]]*$I$3</f>
        <v>0.20450456239557896</v>
      </c>
      <c r="L294" s="246">
        <f>_xlfn.XLOOKUP(FME_Ranking1[[#This Row],[FME ID]],FME_Input[FME_ID],FME_Input[RES_STRUCT100])</f>
        <v>2102</v>
      </c>
      <c r="M294" s="230">
        <f>(FME_Ranking1[[#This Row],[Res Structures Raw]]/L$2)*100</f>
        <v>1.488858353047839</v>
      </c>
      <c r="N294" s="180">
        <f>FME_Ranking1[[#This Row],[Res Structures Score (Normalized, Unweighted)]]*$L$3</f>
        <v>0.14888583530478391</v>
      </c>
      <c r="O294" s="244">
        <f>_xlfn.XLOOKUP(FME_Ranking1[[#This Row],[FME ID]],FME_Input[FME_ID],FME_Input[POP100])</f>
        <v>12713</v>
      </c>
      <c r="P294" s="178">
        <f>(FME_Ranking1[[#This Row],[Pop Raw]]/$O$2)*100</f>
        <v>1.3014973413131476</v>
      </c>
      <c r="Q294" s="178">
        <f>FME_Ranking1[[#This Row],[Pop Score (Normalized, Unweighted)]]*$O$3</f>
        <v>0.19522460119697213</v>
      </c>
      <c r="R294" s="137">
        <f>_xlfn.XLOOKUP(FME_Ranking1[[#This Row],[FME ID]],FME_Input[FME_ID],FME_Input[CRITFAC100])</f>
        <v>16</v>
      </c>
      <c r="S294" s="230">
        <f>(FME_Ranking1[[#This Row],[Critical Facilities Raw]]/$R$2)*100</f>
        <v>0.68610634648370494</v>
      </c>
      <c r="T294" s="180">
        <f>FME_Ranking1[[#This Row],[Critical Facilities Score (Normalized, Unweighted)]]*$R$3</f>
        <v>0.137221269296741</v>
      </c>
      <c r="U294">
        <f>_xlfn.XLOOKUP(FME_Ranking1[[#This Row],[FME ID]],FME_Input[FME_ID],FME_Input[LWC])</f>
        <v>4</v>
      </c>
      <c r="V294" s="178">
        <f>(FME_Ranking1[[#This Row],[LWC Raw]]/$U$2)*100</f>
        <v>0.23028209556706969</v>
      </c>
      <c r="W294" s="178">
        <f>FME_Ranking1[[#This Row],[LWC Score (Normalized, Unweighted)]]*$U$3</f>
        <v>4.6056419113413939E-2</v>
      </c>
      <c r="X294" s="246">
        <f>_xlfn.XLOOKUP(FME_Ranking1[[#This Row],[FME ID]],FME_Input[FME_ID],FME_Input[ROADCLS])</f>
        <v>4</v>
      </c>
      <c r="Y294" s="230">
        <f>(FME_Ranking1[[#This Row],[Closures Raw]]/$X$2)*100</f>
        <v>4.2056566081379455E-2</v>
      </c>
      <c r="Z294" s="180">
        <f>FME_Ranking1[[#This Row],[Closures Score (Normalized, Unweighted)]]*$X$3</f>
        <v>2.1028283040689729E-3</v>
      </c>
      <c r="AA294" s="253">
        <f>_xlfn.XLOOKUP(FME_Ranking1[[#This Row],[FME ID]],FME_Input[FME_ID],FME_Input[ROAD_MILES100])</f>
        <v>55.206886291503913</v>
      </c>
      <c r="AB294" s="178">
        <f>(FME_Ranking1[[#This Row],[Miles Raw]]/$AA$2)*100</f>
        <v>0.72587153653419834</v>
      </c>
      <c r="AC294" s="178">
        <f>FME_Ranking1[[#This Row],[Miles Score (Normalized, Unweighted)]]*$AA$3</f>
        <v>7.2587153653419834E-2</v>
      </c>
      <c r="AD294" s="255">
        <f>_xlfn.XLOOKUP(FME_Ranking1[[#This Row],[FME ID]],FME_Input[FME_ID],FME_Input[FARMACRE100])</f>
        <v>120.3588943481445</v>
      </c>
      <c r="AE294" s="230">
        <f>(FME_Ranking1[[#This Row],[Ag Land Raw]]/$AD$2)*100</f>
        <v>4.9630620158828721E-3</v>
      </c>
      <c r="AF294" s="231">
        <f>FME_Ranking1[[#This Row],[Ag Land Score (Normalized, Unweighted)]]*$AD$3</f>
        <v>2.4815310079414363E-4</v>
      </c>
      <c r="AG29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0.80683082236577286</v>
      </c>
      <c r="AH294" s="406">
        <f t="shared" si="4"/>
        <v>330</v>
      </c>
      <c r="AI29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0.80683082236577286</v>
      </c>
      <c r="AJ294" s="257">
        <f>FME_Ranking1[[#This Row],[Addition check]]-FME_Ranking1[[#This Row],[Weighted Score Based on Normalized Reported Factors]]</f>
        <v>0</v>
      </c>
      <c r="AK294" s="178">
        <f>_xlfn.RANK.EQ(AI294,$AI$6:$AI$2341,0)+COUNTIF($AI$6:AI294,AI294)-1</f>
        <v>330</v>
      </c>
    </row>
    <row r="295" spans="1:37" ht="12" customHeight="1" x14ac:dyDescent="0.25">
      <c r="A295" t="s">
        <v>2485</v>
      </c>
      <c r="B295">
        <f>_xlfn.XLOOKUP(FME_Ranking1[[#This Row],[FME ID]],FME_Input[FME_ID],FME_Input[RFPG_NUM])</f>
        <v>1</v>
      </c>
      <c r="C295" t="str">
        <f>_xlfn.XLOOKUP(FME_Ranking1[[#This Row],[FME ID]],FME_Input[FME_ID],FME_Input[FME_NAME])</f>
        <v>Wilbarger County Drainage Master Plan</v>
      </c>
      <c r="D295" t="str">
        <f>_xlfn.XLOOKUP(FME_Ranking1[[#This Row],[FME ID]],FME_Input[FME_ID],FME_Input[DESCR])</f>
        <v>Perform H&amp;H modeling, develop conceptual alternatives and OPCC, and rank projects; selected based on HMAPs</v>
      </c>
      <c r="E295" s="256">
        <f>_xlfn.XLOOKUP(FME_Ranking1[[#This Row],[FME ID]],FME_Input[FME_ID],FME_Input[FME_COST])</f>
        <v>500000</v>
      </c>
      <c r="F295" t="str">
        <f>_xlfn.XLOOKUP(FME_Ranking1[[#This Row],[FME ID]],FME_Input[FME_ID],FME_Input[EMER_NEED])</f>
        <v>No</v>
      </c>
      <c r="G295">
        <f>IF(FME_Ranking!F295="Yes",100,0)</f>
        <v>0</v>
      </c>
      <c r="H295">
        <f>FME_Ranking1[[#This Row],[Emergency Need Score (Normalized, Unweighted)]]*$F$3</f>
        <v>0</v>
      </c>
      <c r="I295" s="246">
        <f>_xlfn.XLOOKUP(FME_Ranking1[[#This Row],[FME ID]],FME_Input[FME_ID],FME_Input[STRUCT_100])</f>
        <v>132</v>
      </c>
      <c r="J295" s="178">
        <f>(FME_Ranking1[[#This Row],[Structures 100 Raw]]/I$2)*100</f>
        <v>7.0685001927772786E-2</v>
      </c>
      <c r="K295" s="178">
        <f>FME_Ranking1[[#This Row],[Structures 100  Score (Normalized, Unweighted)]]*$I$3</f>
        <v>1.0602750289165918E-2</v>
      </c>
      <c r="L295" s="246">
        <f>_xlfn.XLOOKUP(FME_Ranking1[[#This Row],[FME ID]],FME_Input[FME_ID],FME_Input[RES_STRUCT100])</f>
        <v>29</v>
      </c>
      <c r="M295" s="230">
        <f>(FME_Ranking1[[#This Row],[Res Structures Raw]]/L$2)*100</f>
        <v>2.0540862149565808E-2</v>
      </c>
      <c r="N295" s="180">
        <f>FME_Ranking1[[#This Row],[Res Structures Score (Normalized, Unweighted)]]*$L$3</f>
        <v>2.0540862149565809E-3</v>
      </c>
      <c r="O295" s="244">
        <f>_xlfn.XLOOKUP(FME_Ranking1[[#This Row],[FME ID]],FME_Input[FME_ID],FME_Input[POP100])</f>
        <v>583</v>
      </c>
      <c r="P295" s="178">
        <f>(FME_Ranking1[[#This Row],[Pop Raw]]/$O$2)*100</f>
        <v>5.9684806889448994E-2</v>
      </c>
      <c r="Q295" s="178">
        <f>FME_Ranking1[[#This Row],[Pop Score (Normalized, Unweighted)]]*$O$3</f>
        <v>8.952721033417349E-3</v>
      </c>
      <c r="R295" s="137">
        <f>_xlfn.XLOOKUP(FME_Ranking1[[#This Row],[FME ID]],FME_Input[FME_ID],FME_Input[CRITFAC100])</f>
        <v>2</v>
      </c>
      <c r="S295" s="230">
        <f>(FME_Ranking1[[#This Row],[Critical Facilities Raw]]/$R$2)*100</f>
        <v>8.5763293310463118E-2</v>
      </c>
      <c r="T295" s="180">
        <f>FME_Ranking1[[#This Row],[Critical Facilities Score (Normalized, Unweighted)]]*$R$3</f>
        <v>1.7152658662092625E-2</v>
      </c>
      <c r="U295">
        <f>_xlfn.XLOOKUP(FME_Ranking1[[#This Row],[FME ID]],FME_Input[FME_ID],FME_Input[LWC])</f>
        <v>39</v>
      </c>
      <c r="V295" s="178">
        <f>(FME_Ranking1[[#This Row],[LWC Raw]]/$U$2)*100</f>
        <v>2.2452504317789295</v>
      </c>
      <c r="W295" s="178">
        <f>FME_Ranking1[[#This Row],[LWC Score (Normalized, Unweighted)]]*$U$3</f>
        <v>0.44905008635578592</v>
      </c>
      <c r="X295" s="246">
        <f>_xlfn.XLOOKUP(FME_Ranking1[[#This Row],[FME ID]],FME_Input[FME_ID],FME_Input[ROADCLS])</f>
        <v>45</v>
      </c>
      <c r="Y295" s="230">
        <f>(FME_Ranking1[[#This Row],[Closures Raw]]/$X$2)*100</f>
        <v>0.47313636841551887</v>
      </c>
      <c r="Z295" s="180">
        <f>FME_Ranking1[[#This Row],[Closures Score (Normalized, Unweighted)]]*$X$3</f>
        <v>2.3656818420775945E-2</v>
      </c>
      <c r="AA295" s="253">
        <f>_xlfn.XLOOKUP(FME_Ranking1[[#This Row],[FME ID]],FME_Input[FME_ID],FME_Input[ROAD_MILES100])</f>
        <v>87.621780395507813</v>
      </c>
      <c r="AB295" s="178">
        <f>(FME_Ranking1[[#This Row],[Miles Raw]]/$AA$2)*100</f>
        <v>1.1520692551598846</v>
      </c>
      <c r="AC295" s="178">
        <f>FME_Ranking1[[#This Row],[Miles Score (Normalized, Unweighted)]]*$AA$3</f>
        <v>0.11520692551598846</v>
      </c>
      <c r="AD295" s="255">
        <f>_xlfn.XLOOKUP(FME_Ranking1[[#This Row],[FME ID]],FME_Input[FME_ID],FME_Input[FARMACRE100])</f>
        <v>101721.125</v>
      </c>
      <c r="AE295" s="230">
        <f>(FME_Ranking1[[#This Row],[Ag Land Raw]]/$AD$2)*100</f>
        <v>4.1945238400086433</v>
      </c>
      <c r="AF295" s="231">
        <f>FME_Ranking1[[#This Row],[Ag Land Score (Normalized, Unweighted)]]*$AD$3</f>
        <v>0.20972619200043219</v>
      </c>
      <c r="AG29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0.83640223849261497</v>
      </c>
      <c r="AH295" s="406">
        <f t="shared" si="4"/>
        <v>316</v>
      </c>
      <c r="AI29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0.83640223849261497</v>
      </c>
      <c r="AJ295" s="257">
        <f>FME_Ranking1[[#This Row],[Addition check]]-FME_Ranking1[[#This Row],[Weighted Score Based on Normalized Reported Factors]]</f>
        <v>0</v>
      </c>
      <c r="AK295" s="178">
        <f>_xlfn.RANK.EQ(AI295,$AI$6:$AI$2341,0)+COUNTIF($AI$6:AI295,AI295)-1</f>
        <v>316</v>
      </c>
    </row>
    <row r="296" spans="1:37" ht="12" customHeight="1" x14ac:dyDescent="0.25">
      <c r="A296" t="s">
        <v>2828</v>
      </c>
      <c r="B296">
        <f>_xlfn.XLOOKUP(FME_Ranking1[[#This Row],[FME ID]],FME_Input[FME_ID],FME_Input[RFPG_NUM])</f>
        <v>1</v>
      </c>
      <c r="C296" t="str">
        <f>_xlfn.XLOOKUP(FME_Ranking1[[#This Row],[FME ID]],FME_Input[FME_ID],FME_Input[FME_NAME])</f>
        <v>Wilbarger County FIS</v>
      </c>
      <c r="D296" t="str">
        <f>_xlfn.XLOOKUP(FME_Ranking1[[#This Row],[FME ID]],FME_Input[FME_ID],FME_Input[DESCR])</f>
        <v>Perform flood insurance study for the county and develop regulatory mapping</v>
      </c>
      <c r="E296" s="256">
        <f>_xlfn.XLOOKUP(FME_Ranking1[[#This Row],[FME ID]],FME_Input[FME_ID],FME_Input[FME_COST])</f>
        <v>983000</v>
      </c>
      <c r="F296" t="str">
        <f>_xlfn.XLOOKUP(FME_Ranking1[[#This Row],[FME ID]],FME_Input[FME_ID],FME_Input[EMER_NEED])</f>
        <v>No</v>
      </c>
      <c r="G296">
        <f>IF(FME_Ranking!F296="Yes",100,0)</f>
        <v>0</v>
      </c>
      <c r="H296">
        <f>FME_Ranking1[[#This Row],[Emergency Need Score (Normalized, Unweighted)]]*$F$3</f>
        <v>0</v>
      </c>
      <c r="I296" s="246">
        <f>_xlfn.XLOOKUP(FME_Ranking1[[#This Row],[FME ID]],FME_Input[FME_ID],FME_Input[STRUCT_100])</f>
        <v>132</v>
      </c>
      <c r="J296" s="178">
        <f>(FME_Ranking1[[#This Row],[Structures 100 Raw]]/I$2)*100</f>
        <v>7.0685001927772786E-2</v>
      </c>
      <c r="K296" s="178">
        <f>FME_Ranking1[[#This Row],[Structures 100  Score (Normalized, Unweighted)]]*$I$3</f>
        <v>1.0602750289165918E-2</v>
      </c>
      <c r="L296" s="246">
        <f>_xlfn.XLOOKUP(FME_Ranking1[[#This Row],[FME ID]],FME_Input[FME_ID],FME_Input[RES_STRUCT100])</f>
        <v>29</v>
      </c>
      <c r="M296" s="230">
        <f>(FME_Ranking1[[#This Row],[Res Structures Raw]]/L$2)*100</f>
        <v>2.0540862149565808E-2</v>
      </c>
      <c r="N296" s="180">
        <f>FME_Ranking1[[#This Row],[Res Structures Score (Normalized, Unweighted)]]*$L$3</f>
        <v>2.0540862149565809E-3</v>
      </c>
      <c r="O296" s="244">
        <f>_xlfn.XLOOKUP(FME_Ranking1[[#This Row],[FME ID]],FME_Input[FME_ID],FME_Input[POP100])</f>
        <v>583</v>
      </c>
      <c r="P296" s="178">
        <f>(FME_Ranking1[[#This Row],[Pop Raw]]/$O$2)*100</f>
        <v>5.9684806889448994E-2</v>
      </c>
      <c r="Q296" s="178">
        <f>FME_Ranking1[[#This Row],[Pop Score (Normalized, Unweighted)]]*$O$3</f>
        <v>8.952721033417349E-3</v>
      </c>
      <c r="R296" s="137">
        <f>_xlfn.XLOOKUP(FME_Ranking1[[#This Row],[FME ID]],FME_Input[FME_ID],FME_Input[CRITFAC100])</f>
        <v>2</v>
      </c>
      <c r="S296" s="230">
        <f>(FME_Ranking1[[#This Row],[Critical Facilities Raw]]/$R$2)*100</f>
        <v>8.5763293310463118E-2</v>
      </c>
      <c r="T296" s="180">
        <f>FME_Ranking1[[#This Row],[Critical Facilities Score (Normalized, Unweighted)]]*$R$3</f>
        <v>1.7152658662092625E-2</v>
      </c>
      <c r="U296">
        <f>_xlfn.XLOOKUP(FME_Ranking1[[#This Row],[FME ID]],FME_Input[FME_ID],FME_Input[LWC])</f>
        <v>39</v>
      </c>
      <c r="V296" s="178">
        <f>(FME_Ranking1[[#This Row],[LWC Raw]]/$U$2)*100</f>
        <v>2.2452504317789295</v>
      </c>
      <c r="W296" s="178">
        <f>FME_Ranking1[[#This Row],[LWC Score (Normalized, Unweighted)]]*$U$3</f>
        <v>0.44905008635578592</v>
      </c>
      <c r="X296" s="246">
        <f>_xlfn.XLOOKUP(FME_Ranking1[[#This Row],[FME ID]],FME_Input[FME_ID],FME_Input[ROADCLS])</f>
        <v>45</v>
      </c>
      <c r="Y296" s="230">
        <f>(FME_Ranking1[[#This Row],[Closures Raw]]/$X$2)*100</f>
        <v>0.47313636841551887</v>
      </c>
      <c r="Z296" s="180">
        <f>FME_Ranking1[[#This Row],[Closures Score (Normalized, Unweighted)]]*$X$3</f>
        <v>2.3656818420775945E-2</v>
      </c>
      <c r="AA296" s="253">
        <f>_xlfn.XLOOKUP(FME_Ranking1[[#This Row],[FME ID]],FME_Input[FME_ID],FME_Input[ROAD_MILES100])</f>
        <v>87.621780395507813</v>
      </c>
      <c r="AB296" s="178">
        <f>(FME_Ranking1[[#This Row],[Miles Raw]]/$AA$2)*100</f>
        <v>1.1520692551598846</v>
      </c>
      <c r="AC296" s="178">
        <f>FME_Ranking1[[#This Row],[Miles Score (Normalized, Unweighted)]]*$AA$3</f>
        <v>0.11520692551598846</v>
      </c>
      <c r="AD296" s="255">
        <f>_xlfn.XLOOKUP(FME_Ranking1[[#This Row],[FME ID]],FME_Input[FME_ID],FME_Input[FARMACRE100])</f>
        <v>101721.125</v>
      </c>
      <c r="AE296" s="230">
        <f>(FME_Ranking1[[#This Row],[Ag Land Raw]]/$AD$2)*100</f>
        <v>4.1945238400086433</v>
      </c>
      <c r="AF296" s="231">
        <f>FME_Ranking1[[#This Row],[Ag Land Score (Normalized, Unweighted)]]*$AD$3</f>
        <v>0.20972619200043219</v>
      </c>
      <c r="AG29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0.83640223849261497</v>
      </c>
      <c r="AH296" s="406">
        <f t="shared" si="4"/>
        <v>316</v>
      </c>
      <c r="AI29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0.83640223849261497</v>
      </c>
      <c r="AJ296" s="257">
        <f>FME_Ranking1[[#This Row],[Addition check]]-FME_Ranking1[[#This Row],[Weighted Score Based on Normalized Reported Factors]]</f>
        <v>0</v>
      </c>
      <c r="AK296" s="178">
        <f>_xlfn.RANK.EQ(AI296,$AI$6:$AI$2341,0)+COUNTIF($AI$6:AI296,AI296)-1</f>
        <v>317</v>
      </c>
    </row>
    <row r="297" spans="1:37" ht="12" customHeight="1" x14ac:dyDescent="0.25">
      <c r="A297" t="s">
        <v>487</v>
      </c>
      <c r="B297">
        <f>_xlfn.XLOOKUP(FME_Ranking1[[#This Row],[FME ID]],FME_Input[FME_ID],FME_Input[RFPG_NUM])</f>
        <v>10</v>
      </c>
      <c r="C297" t="str">
        <f>_xlfn.XLOOKUP(FME_Ranking1[[#This Row],[FME ID]],FME_Input[FME_ID],FME_Input[FME_NAME])</f>
        <v>Countywide Floodplain Map Update</v>
      </c>
      <c r="D297" t="str">
        <f>_xlfn.XLOOKUP(FME_Ranking1[[#This Row],[FME ID]],FME_Input[FME_ID],FME_Input[DESCR])</f>
        <v>Update floodplain maps with Atlas 14 data and provided detailed study</v>
      </c>
      <c r="E297" s="256">
        <f>_xlfn.XLOOKUP(FME_Ranking1[[#This Row],[FME ID]],FME_Input[FME_ID],FME_Input[FME_COST])</f>
        <v>250000</v>
      </c>
      <c r="F297" t="str">
        <f>_xlfn.XLOOKUP(FME_Ranking1[[#This Row],[FME ID]],FME_Input[FME_ID],FME_Input[EMER_NEED])</f>
        <v>No</v>
      </c>
      <c r="G297">
        <f>IF(FME_Ranking!F297="Yes",100,0)</f>
        <v>0</v>
      </c>
      <c r="H297">
        <f>FME_Ranking1[[#This Row],[Emergency Need Score (Normalized, Unweighted)]]*$F$3</f>
        <v>0</v>
      </c>
      <c r="I297" s="246">
        <f>_xlfn.XLOOKUP(FME_Ranking1[[#This Row],[FME ID]],FME_Input[FME_ID],FME_Input[STRUCT_100])</f>
        <v>896</v>
      </c>
      <c r="J297" s="178">
        <f>(FME_Ranking1[[#This Row],[Structures 100 Raw]]/I$2)*100</f>
        <v>0.4798012252067001</v>
      </c>
      <c r="K297" s="178">
        <f>FME_Ranking1[[#This Row],[Structures 100  Score (Normalized, Unweighted)]]*$I$3</f>
        <v>7.1970183781005018E-2</v>
      </c>
      <c r="L297" s="246">
        <f>_xlfn.XLOOKUP(FME_Ranking1[[#This Row],[FME ID]],FME_Input[FME_ID],FME_Input[RES_STRUCT100])</f>
        <v>450</v>
      </c>
      <c r="M297" s="230">
        <f>(FME_Ranking1[[#This Row],[Res Structures Raw]]/L$2)*100</f>
        <v>0.31873751611395218</v>
      </c>
      <c r="N297" s="180">
        <f>FME_Ranking1[[#This Row],[Res Structures Score (Normalized, Unweighted)]]*$L$3</f>
        <v>3.1873751611395218E-2</v>
      </c>
      <c r="O297" s="244">
        <f>_xlfn.XLOOKUP(FME_Ranking1[[#This Row],[FME ID]],FME_Input[FME_ID],FME_Input[POP100])</f>
        <v>1256</v>
      </c>
      <c r="P297" s="178">
        <f>(FME_Ranking1[[#This Row],[Pop Raw]]/$O$2)*100</f>
        <v>0.1285833918578867</v>
      </c>
      <c r="Q297" s="178">
        <f>FME_Ranking1[[#This Row],[Pop Score (Normalized, Unweighted)]]*$O$3</f>
        <v>1.9287508778683005E-2</v>
      </c>
      <c r="R297" s="137">
        <f>_xlfn.XLOOKUP(FME_Ranking1[[#This Row],[FME ID]],FME_Input[FME_ID],FME_Input[CRITFAC100])</f>
        <v>5</v>
      </c>
      <c r="S297" s="230">
        <f>(FME_Ranking1[[#This Row],[Critical Facilities Raw]]/$R$2)*100</f>
        <v>0.21440823327615782</v>
      </c>
      <c r="T297" s="180">
        <f>FME_Ranking1[[#This Row],[Critical Facilities Score (Normalized, Unweighted)]]*$R$3</f>
        <v>4.2881646655231566E-2</v>
      </c>
      <c r="U297">
        <f>_xlfn.XLOOKUP(FME_Ranking1[[#This Row],[FME ID]],FME_Input[FME_ID],FME_Input[LWC])</f>
        <v>31</v>
      </c>
      <c r="V297" s="178">
        <f>(FME_Ranking1[[#This Row],[LWC Raw]]/$U$2)*100</f>
        <v>1.7846862406447899</v>
      </c>
      <c r="W297" s="178">
        <f>FME_Ranking1[[#This Row],[LWC Score (Normalized, Unweighted)]]*$U$3</f>
        <v>0.356937248128958</v>
      </c>
      <c r="X297" s="246">
        <f>_xlfn.XLOOKUP(FME_Ranking1[[#This Row],[FME ID]],FME_Input[FME_ID],FME_Input[ROADCLS])</f>
        <v>0</v>
      </c>
      <c r="Y297" s="230">
        <f>(FME_Ranking1[[#This Row],[Closures Raw]]/$X$2)*100</f>
        <v>0</v>
      </c>
      <c r="Z297" s="180">
        <f>FME_Ranking1[[#This Row],[Closures Score (Normalized, Unweighted)]]*$X$3</f>
        <v>0</v>
      </c>
      <c r="AA297" s="253">
        <f>_xlfn.XLOOKUP(FME_Ranking1[[#This Row],[FME ID]],FME_Input[FME_ID],FME_Input[ROAD_MILES100])</f>
        <v>12.154731750488279</v>
      </c>
      <c r="AB297" s="178">
        <f>(FME_Ranking1[[#This Row],[Miles Raw]]/$AA$2)*100</f>
        <v>0.15981292198407718</v>
      </c>
      <c r="AC297" s="178">
        <f>FME_Ranking1[[#This Row],[Miles Score (Normalized, Unweighted)]]*$AA$3</f>
        <v>1.5981292198407718E-2</v>
      </c>
      <c r="AD297" s="255">
        <f>_xlfn.XLOOKUP(FME_Ranking1[[#This Row],[FME ID]],FME_Input[FME_ID],FME_Input[FARMACRE100])</f>
        <v>93034.9765625</v>
      </c>
      <c r="AE297" s="230">
        <f>(FME_Ranking1[[#This Row],[Ag Land Raw]]/$AD$2)*100</f>
        <v>3.8363459620216709</v>
      </c>
      <c r="AF297" s="231">
        <f>FME_Ranking1[[#This Row],[Ag Land Score (Normalized, Unweighted)]]*$AD$3</f>
        <v>0.19181729810108356</v>
      </c>
      <c r="AG29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0.73074892925476398</v>
      </c>
      <c r="AH297" s="406">
        <f t="shared" si="4"/>
        <v>345</v>
      </c>
      <c r="AI29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0.73074892925476398</v>
      </c>
      <c r="AJ297" s="257">
        <f>FME_Ranking1[[#This Row],[Addition check]]-FME_Ranking1[[#This Row],[Weighted Score Based on Normalized Reported Factors]]</f>
        <v>0</v>
      </c>
      <c r="AK297" s="178">
        <f>_xlfn.RANK.EQ(AI297,$AI$6:$AI$2341,0)+COUNTIF($AI$6:AI297,AI297)-1</f>
        <v>345</v>
      </c>
    </row>
    <row r="298" spans="1:37" ht="12" customHeight="1" x14ac:dyDescent="0.25">
      <c r="A298" t="s">
        <v>3482</v>
      </c>
      <c r="B298">
        <f>_xlfn.XLOOKUP(FME_Ranking1[[#This Row],[FME ID]],FME_Input[FME_ID],FME_Input[RFPG_NUM])</f>
        <v>2</v>
      </c>
      <c r="C298" t="str">
        <f>_xlfn.XLOOKUP(FME_Ranking1[[#This Row],[FME ID]],FME_Input[FME_ID],FME_Input[FME_NAME])</f>
        <v>Fannin County FIS</v>
      </c>
      <c r="D298" t="str">
        <f>_xlfn.XLOOKUP(FME_Ranking1[[#This Row],[FME ID]],FME_Input[FME_ID],FME_Input[DESCR])</f>
        <v>Update County maps to Zone AE</v>
      </c>
      <c r="E298" s="256">
        <f>_xlfn.XLOOKUP(FME_Ranking1[[#This Row],[FME ID]],FME_Input[FME_ID],FME_Input[FME_COST])</f>
        <v>2471000</v>
      </c>
      <c r="F298" t="str">
        <f>_xlfn.XLOOKUP(FME_Ranking1[[#This Row],[FME ID]],FME_Input[FME_ID],FME_Input[EMER_NEED])</f>
        <v>No</v>
      </c>
      <c r="G298">
        <f>IF(FME_Ranking!F298="Yes",100,0)</f>
        <v>0</v>
      </c>
      <c r="H298">
        <f>FME_Ranking1[[#This Row],[Emergency Need Score (Normalized, Unweighted)]]*$F$3</f>
        <v>0</v>
      </c>
      <c r="I298" s="246">
        <f>_xlfn.XLOOKUP(FME_Ranking1[[#This Row],[FME ID]],FME_Input[FME_ID],FME_Input[STRUCT_100])</f>
        <v>1077</v>
      </c>
      <c r="J298" s="178">
        <f>(FME_Ranking1[[#This Row],[Structures 100 Raw]]/I$2)*100</f>
        <v>0.57672535663796431</v>
      </c>
      <c r="K298" s="178">
        <f>FME_Ranking1[[#This Row],[Structures 100  Score (Normalized, Unweighted)]]*$I$3</f>
        <v>8.6508803495694647E-2</v>
      </c>
      <c r="L298" s="246">
        <f>_xlfn.XLOOKUP(FME_Ranking1[[#This Row],[FME ID]],FME_Input[FME_ID],FME_Input[RES_STRUCT100])</f>
        <v>709</v>
      </c>
      <c r="M298" s="230">
        <f>(FME_Ranking1[[#This Row],[Res Structures Raw]]/L$2)*100</f>
        <v>0.50218866427731579</v>
      </c>
      <c r="N298" s="180">
        <f>FME_Ranking1[[#This Row],[Res Structures Score (Normalized, Unweighted)]]*$L$3</f>
        <v>5.021886642773158E-2</v>
      </c>
      <c r="O298" s="244">
        <f>_xlfn.XLOOKUP(FME_Ranking1[[#This Row],[FME ID]],FME_Input[FME_ID],FME_Input[POP100])</f>
        <v>3040</v>
      </c>
      <c r="P298" s="178">
        <f>(FME_Ranking1[[#This Row],[Pop Raw]]/$O$2)*100</f>
        <v>0.31122094844584036</v>
      </c>
      <c r="Q298" s="178">
        <f>FME_Ranking1[[#This Row],[Pop Score (Normalized, Unweighted)]]*$O$3</f>
        <v>4.6683142266876053E-2</v>
      </c>
      <c r="R298" s="137">
        <f>_xlfn.XLOOKUP(FME_Ranking1[[#This Row],[FME ID]],FME_Input[FME_ID],FME_Input[CRITFAC100])</f>
        <v>18</v>
      </c>
      <c r="S298" s="230">
        <f>(FME_Ranking1[[#This Row],[Critical Facilities Raw]]/$R$2)*100</f>
        <v>0.77186963979416812</v>
      </c>
      <c r="T298" s="180">
        <f>FME_Ranking1[[#This Row],[Critical Facilities Score (Normalized, Unweighted)]]*$R$3</f>
        <v>0.15437392795883365</v>
      </c>
      <c r="U298">
        <f>_xlfn.XLOOKUP(FME_Ranking1[[#This Row],[FME ID]],FME_Input[FME_ID],FME_Input[LWC])</f>
        <v>26</v>
      </c>
      <c r="V298" s="178">
        <f>(FME_Ranking1[[#This Row],[LWC Raw]]/$U$2)*100</f>
        <v>1.496833621185953</v>
      </c>
      <c r="W298" s="178">
        <f>FME_Ranking1[[#This Row],[LWC Score (Normalized, Unweighted)]]*$U$3</f>
        <v>0.29936672423719063</v>
      </c>
      <c r="X298" s="246">
        <f>_xlfn.XLOOKUP(FME_Ranking1[[#This Row],[FME ID]],FME_Input[FME_ID],FME_Input[ROADCLS])</f>
        <v>0</v>
      </c>
      <c r="Y298" s="230">
        <f>(FME_Ranking1[[#This Row],[Closures Raw]]/$X$2)*100</f>
        <v>0</v>
      </c>
      <c r="Z298" s="180">
        <f>FME_Ranking1[[#This Row],[Closures Score (Normalized, Unweighted)]]*$X$3</f>
        <v>0</v>
      </c>
      <c r="AA298" s="253">
        <f>_xlfn.XLOOKUP(FME_Ranking1[[#This Row],[FME ID]],FME_Input[FME_ID],FME_Input[ROAD_MILES100])</f>
        <v>170.2735900878906</v>
      </c>
      <c r="AB298" s="178">
        <f>(FME_Ranking1[[#This Row],[Miles Raw]]/$AA$2)*100</f>
        <v>2.2387923096346114</v>
      </c>
      <c r="AC298" s="178">
        <f>FME_Ranking1[[#This Row],[Miles Score (Normalized, Unweighted)]]*$AA$3</f>
        <v>0.22387923096346116</v>
      </c>
      <c r="AD298" s="255">
        <f>_xlfn.XLOOKUP(FME_Ranking1[[#This Row],[FME ID]],FME_Input[FME_ID],FME_Input[FARMACRE100])</f>
        <v>37510.6953125</v>
      </c>
      <c r="AE298" s="230">
        <f>(FME_Ranking1[[#This Row],[Ag Land Raw]]/$AD$2)*100</f>
        <v>1.54677315792154</v>
      </c>
      <c r="AF298" s="231">
        <f>FME_Ranking1[[#This Row],[Ag Land Score (Normalized, Unweighted)]]*$AD$3</f>
        <v>7.7338657896077009E-2</v>
      </c>
      <c r="AG29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0.93836935324586468</v>
      </c>
      <c r="AH298" s="406">
        <f t="shared" si="4"/>
        <v>291</v>
      </c>
      <c r="AI29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0.93836935324586468</v>
      </c>
      <c r="AJ298" s="257">
        <f>FME_Ranking1[[#This Row],[Addition check]]-FME_Ranking1[[#This Row],[Weighted Score Based on Normalized Reported Factors]]</f>
        <v>0</v>
      </c>
      <c r="AK298" s="178">
        <f>_xlfn.RANK.EQ(AI298,$AI$6:$AI$2341,0)+COUNTIF($AI$6:AI298,AI298)-1</f>
        <v>291</v>
      </c>
    </row>
    <row r="299" spans="1:37" ht="12" customHeight="1" x14ac:dyDescent="0.25">
      <c r="A299" t="s">
        <v>3832</v>
      </c>
      <c r="B299">
        <f>_xlfn.XLOOKUP(FME_Ranking1[[#This Row],[FME ID]],FME_Input[FME_ID],FME_Input[RFPG_NUM])</f>
        <v>3</v>
      </c>
      <c r="C299" t="str">
        <f>_xlfn.XLOOKUP(FME_Ranking1[[#This Row],[FME ID]],FME_Input[FME_ID],FME_Input[FME_NAME])</f>
        <v xml:space="preserve">Cooke County FEMA Mapping </v>
      </c>
      <c r="D299" t="str">
        <f>_xlfn.XLOOKUP(FME_Ranking1[[#This Row],[FME ID]],FME_Input[FME_ID],FME_Input[DESCR])</f>
        <v>Create FEMA mapping in previously unmapped areas and update existing FEMA maps as needed.</v>
      </c>
      <c r="E299" s="256">
        <f>_xlfn.XLOOKUP(FME_Ranking1[[#This Row],[FME ID]],FME_Input[FME_ID],FME_Input[FME_COST])</f>
        <v>1133000</v>
      </c>
      <c r="F299" t="str">
        <f>_xlfn.XLOOKUP(FME_Ranking1[[#This Row],[FME ID]],FME_Input[FME_ID],FME_Input[EMER_NEED])</f>
        <v>No</v>
      </c>
      <c r="G299">
        <f>IF(FME_Ranking!F299="Yes",100,0)</f>
        <v>0</v>
      </c>
      <c r="H299">
        <f>FME_Ranking1[[#This Row],[Emergency Need Score (Normalized, Unweighted)]]*$F$3</f>
        <v>0</v>
      </c>
      <c r="I299" s="246">
        <f>_xlfn.XLOOKUP(FME_Ranking1[[#This Row],[FME ID]],FME_Input[FME_ID],FME_Input[STRUCT_100])</f>
        <v>1328</v>
      </c>
      <c r="J299" s="178">
        <f>(FME_Ranking1[[#This Row],[Structures 100 Raw]]/I$2)*100</f>
        <v>0.71113395878850183</v>
      </c>
      <c r="K299" s="178">
        <f>FME_Ranking1[[#This Row],[Structures 100  Score (Normalized, Unweighted)]]*$I$3</f>
        <v>0.10667009381827527</v>
      </c>
      <c r="L299" s="246">
        <f>_xlfn.XLOOKUP(FME_Ranking1[[#This Row],[FME ID]],FME_Input[FME_ID],FME_Input[RES_STRUCT100])</f>
        <v>964</v>
      </c>
      <c r="M299" s="230">
        <f>(FME_Ranking1[[#This Row],[Res Structures Raw]]/L$2)*100</f>
        <v>0.68280659007522204</v>
      </c>
      <c r="N299" s="180">
        <f>FME_Ranking1[[#This Row],[Res Structures Score (Normalized, Unweighted)]]*$L$3</f>
        <v>6.8280659007522213E-2</v>
      </c>
      <c r="O299" s="244">
        <f>_xlfn.XLOOKUP(FME_Ranking1[[#This Row],[FME ID]],FME_Input[FME_ID],FME_Input[POP100])</f>
        <v>2077</v>
      </c>
      <c r="P299" s="178">
        <f>(FME_Ranking1[[#This Row],[Pop Raw]]/$O$2)*100</f>
        <v>0.21263352300066135</v>
      </c>
      <c r="Q299" s="178">
        <f>FME_Ranking1[[#This Row],[Pop Score (Normalized, Unweighted)]]*$O$3</f>
        <v>3.18950284500992E-2</v>
      </c>
      <c r="R299" s="137">
        <f>_xlfn.XLOOKUP(FME_Ranking1[[#This Row],[FME ID]],FME_Input[FME_ID],FME_Input[CRITFAC100])</f>
        <v>6</v>
      </c>
      <c r="S299" s="230">
        <f>(FME_Ranking1[[#This Row],[Critical Facilities Raw]]/$R$2)*100</f>
        <v>0.25728987993138941</v>
      </c>
      <c r="T299" s="180">
        <f>FME_Ranking1[[#This Row],[Critical Facilities Score (Normalized, Unweighted)]]*$R$3</f>
        <v>5.1457975986277882E-2</v>
      </c>
      <c r="U299">
        <f>_xlfn.XLOOKUP(FME_Ranking1[[#This Row],[FME ID]],FME_Input[FME_ID],FME_Input[LWC])</f>
        <v>32</v>
      </c>
      <c r="V299" s="178">
        <f>(FME_Ranking1[[#This Row],[LWC Raw]]/$U$2)*100</f>
        <v>1.8422567645365575</v>
      </c>
      <c r="W299" s="178">
        <f>FME_Ranking1[[#This Row],[LWC Score (Normalized, Unweighted)]]*$U$3</f>
        <v>0.36845135290731151</v>
      </c>
      <c r="X299" s="246">
        <f>_xlfn.XLOOKUP(FME_Ranking1[[#This Row],[FME ID]],FME_Input[FME_ID],FME_Input[ROADCLS])</f>
        <v>0</v>
      </c>
      <c r="Y299" s="230">
        <f>(FME_Ranking1[[#This Row],[Closures Raw]]/$X$2)*100</f>
        <v>0</v>
      </c>
      <c r="Z299" s="180">
        <f>FME_Ranking1[[#This Row],[Closures Score (Normalized, Unweighted)]]*$X$3</f>
        <v>0</v>
      </c>
      <c r="AA299" s="253">
        <f>_xlfn.XLOOKUP(FME_Ranking1[[#This Row],[FME ID]],FME_Input[FME_ID],FME_Input[ROAD_MILES100])</f>
        <v>81.361366271972656</v>
      </c>
      <c r="AB299" s="178">
        <f>(FME_Ranking1[[#This Row],[Miles Raw]]/$AA$2)*100</f>
        <v>1.0697560380152655</v>
      </c>
      <c r="AC299" s="178">
        <f>FME_Ranking1[[#This Row],[Miles Score (Normalized, Unweighted)]]*$AA$3</f>
        <v>0.10697560380152656</v>
      </c>
      <c r="AD299" s="255">
        <f>_xlfn.XLOOKUP(FME_Ranking1[[#This Row],[FME ID]],FME_Input[FME_ID],FME_Input[FARMACRE100])</f>
        <v>40870.1796875</v>
      </c>
      <c r="AE299" s="230">
        <f>(FME_Ranking1[[#This Row],[Ag Land Raw]]/$AD$2)*100</f>
        <v>1.6853032548023406</v>
      </c>
      <c r="AF299" s="231">
        <f>FME_Ranking1[[#This Row],[Ag Land Score (Normalized, Unweighted)]]*$AD$3</f>
        <v>8.4265162740117028E-2</v>
      </c>
      <c r="AG29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0.81799587671112972</v>
      </c>
      <c r="AH299" s="406">
        <f t="shared" si="4"/>
        <v>325</v>
      </c>
      <c r="AI29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0.81799587671112972</v>
      </c>
      <c r="AJ299" s="257">
        <f>FME_Ranking1[[#This Row],[Addition check]]-FME_Ranking1[[#This Row],[Weighted Score Based on Normalized Reported Factors]]</f>
        <v>0</v>
      </c>
      <c r="AK299" s="178">
        <f>_xlfn.RANK.EQ(AI299,$AI$6:$AI$2341,0)+COUNTIF($AI$6:AI299,AI299)-1</f>
        <v>325</v>
      </c>
    </row>
    <row r="300" spans="1:37" ht="12" customHeight="1" x14ac:dyDescent="0.25">
      <c r="A300" t="s">
        <v>4268</v>
      </c>
      <c r="B300">
        <f>_xlfn.XLOOKUP(FME_Ranking1[[#This Row],[FME ID]],FME_Input[FME_ID],FME_Input[RFPG_NUM])</f>
        <v>3</v>
      </c>
      <c r="C300" t="str">
        <f>_xlfn.XLOOKUP(FME_Ranking1[[#This Row],[FME ID]],FME_Input[FME_ID],FME_Input[FME_NAME])</f>
        <v>Cooke County DMP</v>
      </c>
      <c r="D300" t="str">
        <f>_xlfn.XLOOKUP(FME_Ranking1[[#This Row],[FME ID]],FME_Input[FME_ID],FME_Input[DESCR])</f>
        <v>Evaluate County to identify future projects.</v>
      </c>
      <c r="E300" s="256">
        <f>_xlfn.XLOOKUP(FME_Ranking1[[#This Row],[FME ID]],FME_Input[FME_ID],FME_Input[FME_COST])</f>
        <v>500000</v>
      </c>
      <c r="F300" t="str">
        <f>_xlfn.XLOOKUP(FME_Ranking1[[#This Row],[FME ID]],FME_Input[FME_ID],FME_Input[EMER_NEED])</f>
        <v>No</v>
      </c>
      <c r="G300">
        <f>IF(FME_Ranking!F300="Yes",100,0)</f>
        <v>0</v>
      </c>
      <c r="H300">
        <f>FME_Ranking1[[#This Row],[Emergency Need Score (Normalized, Unweighted)]]*$F$3</f>
        <v>0</v>
      </c>
      <c r="I300" s="246">
        <f>_xlfn.XLOOKUP(FME_Ranking1[[#This Row],[FME ID]],FME_Input[FME_ID],FME_Input[STRUCT_100])</f>
        <v>1328</v>
      </c>
      <c r="J300" s="178">
        <f>(FME_Ranking1[[#This Row],[Structures 100 Raw]]/I$2)*100</f>
        <v>0.71113395878850183</v>
      </c>
      <c r="K300" s="178">
        <f>FME_Ranking1[[#This Row],[Structures 100  Score (Normalized, Unweighted)]]*$I$3</f>
        <v>0.10667009381827527</v>
      </c>
      <c r="L300" s="246">
        <f>_xlfn.XLOOKUP(FME_Ranking1[[#This Row],[FME ID]],FME_Input[FME_ID],FME_Input[RES_STRUCT100])</f>
        <v>964</v>
      </c>
      <c r="M300" s="230">
        <f>(FME_Ranking1[[#This Row],[Res Structures Raw]]/L$2)*100</f>
        <v>0.68280659007522204</v>
      </c>
      <c r="N300" s="180">
        <f>FME_Ranking1[[#This Row],[Res Structures Score (Normalized, Unweighted)]]*$L$3</f>
        <v>6.8280659007522213E-2</v>
      </c>
      <c r="O300" s="244">
        <f>_xlfn.XLOOKUP(FME_Ranking1[[#This Row],[FME ID]],FME_Input[FME_ID],FME_Input[POP100])</f>
        <v>2077</v>
      </c>
      <c r="P300" s="178">
        <f>(FME_Ranking1[[#This Row],[Pop Raw]]/$O$2)*100</f>
        <v>0.21263352300066135</v>
      </c>
      <c r="Q300" s="178">
        <f>FME_Ranking1[[#This Row],[Pop Score (Normalized, Unweighted)]]*$O$3</f>
        <v>3.18950284500992E-2</v>
      </c>
      <c r="R300" s="137">
        <f>_xlfn.XLOOKUP(FME_Ranking1[[#This Row],[FME ID]],FME_Input[FME_ID],FME_Input[CRITFAC100])</f>
        <v>6</v>
      </c>
      <c r="S300" s="230">
        <f>(FME_Ranking1[[#This Row],[Critical Facilities Raw]]/$R$2)*100</f>
        <v>0.25728987993138941</v>
      </c>
      <c r="T300" s="180">
        <f>FME_Ranking1[[#This Row],[Critical Facilities Score (Normalized, Unweighted)]]*$R$3</f>
        <v>5.1457975986277882E-2</v>
      </c>
      <c r="U300">
        <f>_xlfn.XLOOKUP(FME_Ranking1[[#This Row],[FME ID]],FME_Input[FME_ID],FME_Input[LWC])</f>
        <v>32</v>
      </c>
      <c r="V300" s="178">
        <f>(FME_Ranking1[[#This Row],[LWC Raw]]/$U$2)*100</f>
        <v>1.8422567645365575</v>
      </c>
      <c r="W300" s="178">
        <f>FME_Ranking1[[#This Row],[LWC Score (Normalized, Unweighted)]]*$U$3</f>
        <v>0.36845135290731151</v>
      </c>
      <c r="X300" s="246">
        <f>_xlfn.XLOOKUP(FME_Ranking1[[#This Row],[FME ID]],FME_Input[FME_ID],FME_Input[ROADCLS])</f>
        <v>0</v>
      </c>
      <c r="Y300" s="230">
        <f>(FME_Ranking1[[#This Row],[Closures Raw]]/$X$2)*100</f>
        <v>0</v>
      </c>
      <c r="Z300" s="180">
        <f>FME_Ranking1[[#This Row],[Closures Score (Normalized, Unweighted)]]*$X$3</f>
        <v>0</v>
      </c>
      <c r="AA300" s="253">
        <f>_xlfn.XLOOKUP(FME_Ranking1[[#This Row],[FME ID]],FME_Input[FME_ID],FME_Input[ROAD_MILES100])</f>
        <v>81.361366271972656</v>
      </c>
      <c r="AB300" s="178">
        <f>(FME_Ranking1[[#This Row],[Miles Raw]]/$AA$2)*100</f>
        <v>1.0697560380152655</v>
      </c>
      <c r="AC300" s="178">
        <f>FME_Ranking1[[#This Row],[Miles Score (Normalized, Unweighted)]]*$AA$3</f>
        <v>0.10697560380152656</v>
      </c>
      <c r="AD300" s="255">
        <f>_xlfn.XLOOKUP(FME_Ranking1[[#This Row],[FME ID]],FME_Input[FME_ID],FME_Input[FARMACRE100])</f>
        <v>40870.1796875</v>
      </c>
      <c r="AE300" s="230">
        <f>(FME_Ranking1[[#This Row],[Ag Land Raw]]/$AD$2)*100</f>
        <v>1.6853032548023406</v>
      </c>
      <c r="AF300" s="231">
        <f>FME_Ranking1[[#This Row],[Ag Land Score (Normalized, Unweighted)]]*$AD$3</f>
        <v>8.4265162740117028E-2</v>
      </c>
      <c r="AG30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0.81799587671112972</v>
      </c>
      <c r="AH300" s="406">
        <f t="shared" si="4"/>
        <v>325</v>
      </c>
      <c r="AI30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0.81799587671112972</v>
      </c>
      <c r="AJ300" s="257">
        <f>FME_Ranking1[[#This Row],[Addition check]]-FME_Ranking1[[#This Row],[Weighted Score Based on Normalized Reported Factors]]</f>
        <v>0</v>
      </c>
      <c r="AK300" s="178">
        <f>_xlfn.RANK.EQ(AI300,$AI$6:$AI$2341,0)+COUNTIF($AI$6:AI300,AI300)-1</f>
        <v>326</v>
      </c>
    </row>
    <row r="301" spans="1:37" ht="12" customHeight="1" x14ac:dyDescent="0.25">
      <c r="A301" t="s">
        <v>4416</v>
      </c>
      <c r="B301">
        <f>_xlfn.XLOOKUP(FME_Ranking1[[#This Row],[FME ID]],FME_Input[FME_ID],FME_Input[RFPG_NUM])</f>
        <v>3</v>
      </c>
      <c r="C301" t="str">
        <f>_xlfn.XLOOKUP(FME_Ranking1[[#This Row],[FME ID]],FME_Input[FME_ID],FME_Input[FME_NAME])</f>
        <v>Cooke County Low-Water Crossing Barriers Evaluation</v>
      </c>
      <c r="D301" t="str">
        <f>_xlfn.XLOOKUP(FME_Ranking1[[#This Row],[FME ID]],FME_Input[FME_ID],FME_Input[DESCR])</f>
        <v>Evaluate installation of automatic flood crossing barriers at low water crossing to prevent automobiles from driving through high water.</v>
      </c>
      <c r="E301" s="256">
        <f>_xlfn.XLOOKUP(FME_Ranking1[[#This Row],[FME ID]],FME_Input[FME_ID],FME_Input[FME_COST])</f>
        <v>500000</v>
      </c>
      <c r="F301" t="str">
        <f>_xlfn.XLOOKUP(FME_Ranking1[[#This Row],[FME ID]],FME_Input[FME_ID],FME_Input[EMER_NEED])</f>
        <v>No</v>
      </c>
      <c r="G301">
        <f>IF(FME_Ranking!F301="Yes",100,0)</f>
        <v>0</v>
      </c>
      <c r="H301">
        <f>FME_Ranking1[[#This Row],[Emergency Need Score (Normalized, Unweighted)]]*$F$3</f>
        <v>0</v>
      </c>
      <c r="I301" s="246">
        <f>_xlfn.XLOOKUP(FME_Ranking1[[#This Row],[FME ID]],FME_Input[FME_ID],FME_Input[STRUCT_100])</f>
        <v>1328</v>
      </c>
      <c r="J301" s="178">
        <f>(FME_Ranking1[[#This Row],[Structures 100 Raw]]/I$2)*100</f>
        <v>0.71113395878850183</v>
      </c>
      <c r="K301" s="178">
        <f>FME_Ranking1[[#This Row],[Structures 100  Score (Normalized, Unweighted)]]*$I$3</f>
        <v>0.10667009381827527</v>
      </c>
      <c r="L301" s="246">
        <f>_xlfn.XLOOKUP(FME_Ranking1[[#This Row],[FME ID]],FME_Input[FME_ID],FME_Input[RES_STRUCT100])</f>
        <v>964</v>
      </c>
      <c r="M301" s="230">
        <f>(FME_Ranking1[[#This Row],[Res Structures Raw]]/L$2)*100</f>
        <v>0.68280659007522204</v>
      </c>
      <c r="N301" s="180">
        <f>FME_Ranking1[[#This Row],[Res Structures Score (Normalized, Unweighted)]]*$L$3</f>
        <v>6.8280659007522213E-2</v>
      </c>
      <c r="O301" s="244">
        <f>_xlfn.XLOOKUP(FME_Ranking1[[#This Row],[FME ID]],FME_Input[FME_ID],FME_Input[POP100])</f>
        <v>2077</v>
      </c>
      <c r="P301" s="178">
        <f>(FME_Ranking1[[#This Row],[Pop Raw]]/$O$2)*100</f>
        <v>0.21263352300066135</v>
      </c>
      <c r="Q301" s="178">
        <f>FME_Ranking1[[#This Row],[Pop Score (Normalized, Unweighted)]]*$O$3</f>
        <v>3.18950284500992E-2</v>
      </c>
      <c r="R301" s="137">
        <f>_xlfn.XLOOKUP(FME_Ranking1[[#This Row],[FME ID]],FME_Input[FME_ID],FME_Input[CRITFAC100])</f>
        <v>6</v>
      </c>
      <c r="S301" s="230">
        <f>(FME_Ranking1[[#This Row],[Critical Facilities Raw]]/$R$2)*100</f>
        <v>0.25728987993138941</v>
      </c>
      <c r="T301" s="180">
        <f>FME_Ranking1[[#This Row],[Critical Facilities Score (Normalized, Unweighted)]]*$R$3</f>
        <v>5.1457975986277882E-2</v>
      </c>
      <c r="U301">
        <f>_xlfn.XLOOKUP(FME_Ranking1[[#This Row],[FME ID]],FME_Input[FME_ID],FME_Input[LWC])</f>
        <v>32</v>
      </c>
      <c r="V301" s="178">
        <f>(FME_Ranking1[[#This Row],[LWC Raw]]/$U$2)*100</f>
        <v>1.8422567645365575</v>
      </c>
      <c r="W301" s="178">
        <f>FME_Ranking1[[#This Row],[LWC Score (Normalized, Unweighted)]]*$U$3</f>
        <v>0.36845135290731151</v>
      </c>
      <c r="X301" s="246">
        <f>_xlfn.XLOOKUP(FME_Ranking1[[#This Row],[FME ID]],FME_Input[FME_ID],FME_Input[ROADCLS])</f>
        <v>0</v>
      </c>
      <c r="Y301" s="230">
        <f>(FME_Ranking1[[#This Row],[Closures Raw]]/$X$2)*100</f>
        <v>0</v>
      </c>
      <c r="Z301" s="180">
        <f>FME_Ranking1[[#This Row],[Closures Score (Normalized, Unweighted)]]*$X$3</f>
        <v>0</v>
      </c>
      <c r="AA301" s="253">
        <f>_xlfn.XLOOKUP(FME_Ranking1[[#This Row],[FME ID]],FME_Input[FME_ID],FME_Input[ROAD_MILES100])</f>
        <v>81.361366271972656</v>
      </c>
      <c r="AB301" s="178">
        <f>(FME_Ranking1[[#This Row],[Miles Raw]]/$AA$2)*100</f>
        <v>1.0697560380152655</v>
      </c>
      <c r="AC301" s="178">
        <f>FME_Ranking1[[#This Row],[Miles Score (Normalized, Unweighted)]]*$AA$3</f>
        <v>0.10697560380152656</v>
      </c>
      <c r="AD301" s="255">
        <f>_xlfn.XLOOKUP(FME_Ranking1[[#This Row],[FME ID]],FME_Input[FME_ID],FME_Input[FARMACRE100])</f>
        <v>40870.1796875</v>
      </c>
      <c r="AE301" s="230">
        <f>(FME_Ranking1[[#This Row],[Ag Land Raw]]/$AD$2)*100</f>
        <v>1.6853032548023406</v>
      </c>
      <c r="AF301" s="231">
        <f>FME_Ranking1[[#This Row],[Ag Land Score (Normalized, Unweighted)]]*$AD$3</f>
        <v>8.4265162740117028E-2</v>
      </c>
      <c r="AG30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0.81799587671112972</v>
      </c>
      <c r="AH301" s="406">
        <f t="shared" si="4"/>
        <v>325</v>
      </c>
      <c r="AI30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0.81799587671112972</v>
      </c>
      <c r="AJ301" s="257">
        <f>FME_Ranking1[[#This Row],[Addition check]]-FME_Ranking1[[#This Row],[Weighted Score Based on Normalized Reported Factors]]</f>
        <v>0</v>
      </c>
      <c r="AK301" s="178">
        <f>_xlfn.RANK.EQ(AI301,$AI$6:$AI$2341,0)+COUNTIF($AI$6:AI301,AI301)-1</f>
        <v>327</v>
      </c>
    </row>
    <row r="302" spans="1:37" ht="12" customHeight="1" x14ac:dyDescent="0.25">
      <c r="A302" t="s">
        <v>2257</v>
      </c>
      <c r="B302">
        <f>_xlfn.XLOOKUP(FME_Ranking1[[#This Row],[FME ID]],FME_Input[FME_ID],FME_Input[RFPG_NUM])</f>
        <v>6</v>
      </c>
      <c r="C302" t="str">
        <f>_xlfn.XLOOKUP(FME_Ranking1[[#This Row],[FME ID]],FME_Input[FME_ID],FME_Input[FME_NAME])</f>
        <v>Halls Bayou - Right-Of-Way, Design, and Construction of Channel Conveyance Improvements on P118-25-00 &amp; P118-25-01</v>
      </c>
      <c r="D302" t="str">
        <f>_xlfn.XLOOKUP(FME_Ranking1[[#This Row],[FME ID]],FME_Input[FME_ID],FME_Input[DESCR])</f>
        <v>Study to develop a BCR required for this project to become a FMP. Would reduce flood risk for 600+ structures. Facilitates future drainage projects by more outfall depth.</v>
      </c>
      <c r="E302" s="256">
        <f>_xlfn.XLOOKUP(FME_Ranking1[[#This Row],[FME ID]],FME_Input[FME_ID],FME_Input[FME_COST])</f>
        <v>30000</v>
      </c>
      <c r="F302" t="str">
        <f>_xlfn.XLOOKUP(FME_Ranking1[[#This Row],[FME ID]],FME_Input[FME_ID],FME_Input[EMER_NEED])</f>
        <v>No</v>
      </c>
      <c r="G302">
        <f>IF(FME_Ranking!F302="Yes",100,0)</f>
        <v>0</v>
      </c>
      <c r="H302">
        <f>FME_Ranking1[[#This Row],[Emergency Need Score (Normalized, Unweighted)]]*$F$3</f>
        <v>0</v>
      </c>
      <c r="I302" s="246">
        <f>_xlfn.XLOOKUP(FME_Ranking1[[#This Row],[FME ID]],FME_Input[FME_ID],FME_Input[STRUCT_100])</f>
        <v>3188</v>
      </c>
      <c r="J302" s="178">
        <f>(FME_Ranking1[[#This Row],[Structures 100 Raw]]/I$2)*100</f>
        <v>1.7071498950434818</v>
      </c>
      <c r="K302" s="178">
        <f>FME_Ranking1[[#This Row],[Structures 100  Score (Normalized, Unweighted)]]*$I$3</f>
        <v>0.25607248425652224</v>
      </c>
      <c r="L302" s="246">
        <f>_xlfn.XLOOKUP(FME_Ranking1[[#This Row],[FME ID]],FME_Input[FME_ID],FME_Input[RES_STRUCT100])</f>
        <v>2296</v>
      </c>
      <c r="M302" s="230">
        <f>(FME_Ranking1[[#This Row],[Res Structures Raw]]/L$2)*100</f>
        <v>1.6262696377725205</v>
      </c>
      <c r="N302" s="180">
        <f>FME_Ranking1[[#This Row],[Res Structures Score (Normalized, Unweighted)]]*$L$3</f>
        <v>0.16262696377725205</v>
      </c>
      <c r="O302" s="244">
        <f>_xlfn.XLOOKUP(FME_Ranking1[[#This Row],[FME ID]],FME_Input[FME_ID],FME_Input[POP100])</f>
        <v>10940</v>
      </c>
      <c r="P302" s="178">
        <f>(FME_Ranking1[[#This Row],[Pop Raw]]/$O$2)*100</f>
        <v>1.1199859131570704</v>
      </c>
      <c r="Q302" s="178">
        <f>FME_Ranking1[[#This Row],[Pop Score (Normalized, Unweighted)]]*$O$3</f>
        <v>0.16799788697356055</v>
      </c>
      <c r="R302" s="137">
        <f>_xlfn.XLOOKUP(FME_Ranking1[[#This Row],[FME ID]],FME_Input[FME_ID],FME_Input[CRITFAC100])</f>
        <v>13</v>
      </c>
      <c r="S302" s="230">
        <f>(FME_Ranking1[[#This Row],[Critical Facilities Raw]]/$R$2)*100</f>
        <v>0.55746140651801035</v>
      </c>
      <c r="T302" s="180">
        <f>FME_Ranking1[[#This Row],[Critical Facilities Score (Normalized, Unweighted)]]*$R$3</f>
        <v>0.11149228130360207</v>
      </c>
      <c r="U302">
        <f>_xlfn.XLOOKUP(FME_Ranking1[[#This Row],[FME ID]],FME_Input[FME_ID],FME_Input[LWC])</f>
        <v>1</v>
      </c>
      <c r="V302" s="178">
        <f>(FME_Ranking1[[#This Row],[LWC Raw]]/$U$2)*100</f>
        <v>5.7570523891767422E-2</v>
      </c>
      <c r="W302" s="178">
        <f>FME_Ranking1[[#This Row],[LWC Score (Normalized, Unweighted)]]*$U$3</f>
        <v>1.1514104778353485E-2</v>
      </c>
      <c r="X302" s="246">
        <f>_xlfn.XLOOKUP(FME_Ranking1[[#This Row],[FME ID]],FME_Input[FME_ID],FME_Input[ROADCLS])</f>
        <v>1</v>
      </c>
      <c r="Y302" s="230">
        <f>(FME_Ranking1[[#This Row],[Closures Raw]]/$X$2)*100</f>
        <v>1.0514141520344864E-2</v>
      </c>
      <c r="Z302" s="180">
        <f>FME_Ranking1[[#This Row],[Closures Score (Normalized, Unweighted)]]*$X$3</f>
        <v>5.2570707601724321E-4</v>
      </c>
      <c r="AA302" s="253">
        <f>_xlfn.XLOOKUP(FME_Ranking1[[#This Row],[FME ID]],FME_Input[FME_ID],FME_Input[ROAD_MILES100])</f>
        <v>31.838775634765621</v>
      </c>
      <c r="AB302" s="178">
        <f>(FME_Ranking1[[#This Row],[Miles Raw]]/$AA$2)*100</f>
        <v>0.41862279407218761</v>
      </c>
      <c r="AC302" s="178">
        <f>FME_Ranking1[[#This Row],[Miles Score (Normalized, Unweighted)]]*$AA$3</f>
        <v>4.1862279407218761E-2</v>
      </c>
      <c r="AD302" s="255">
        <f>_xlfn.XLOOKUP(FME_Ranking1[[#This Row],[FME ID]],FME_Input[FME_ID],FME_Input[FARMACRE100])</f>
        <v>0.22157217562198639</v>
      </c>
      <c r="AE302" s="230">
        <f>(FME_Ranking1[[#This Row],[Ag Land Raw]]/$AD$2)*100</f>
        <v>9.1366446539890685E-6</v>
      </c>
      <c r="AF302" s="231">
        <f>FME_Ranking1[[#This Row],[Ag Land Score (Normalized, Unweighted)]]*$AD$3</f>
        <v>4.5683223269945344E-7</v>
      </c>
      <c r="AG30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0.75209216440475912</v>
      </c>
      <c r="AH302" s="406">
        <f t="shared" si="4"/>
        <v>339</v>
      </c>
      <c r="AI30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0.75209216440475912</v>
      </c>
      <c r="AJ302" s="257">
        <f>FME_Ranking1[[#This Row],[Addition check]]-FME_Ranking1[[#This Row],[Weighted Score Based on Normalized Reported Factors]]</f>
        <v>0</v>
      </c>
      <c r="AK302" s="178">
        <f>_xlfn.RANK.EQ(AI302,$AI$6:$AI$2341,0)+COUNTIF($AI$6:AI302,AI302)-1</f>
        <v>339</v>
      </c>
    </row>
    <row r="303" spans="1:37" ht="12" customHeight="1" x14ac:dyDescent="0.25">
      <c r="A303" t="s">
        <v>2260</v>
      </c>
      <c r="B303">
        <f>_xlfn.XLOOKUP(FME_Ranking1[[#This Row],[FME ID]],FME_Input[FME_ID],FME_Input[RFPG_NUM])</f>
        <v>6</v>
      </c>
      <c r="C303" t="str">
        <f>_xlfn.XLOOKUP(FME_Ranking1[[#This Row],[FME ID]],FME_Input[FME_ID],FME_Input[FME_NAME])</f>
        <v xml:space="preserve">Halls Bayou - Right-Of-Way, Design, and Construction of Channel Conveyance Improvements on P118-27-00 </v>
      </c>
      <c r="D303" t="str">
        <f>_xlfn.XLOOKUP(FME_Ranking1[[#This Row],[FME ID]],FME_Input[FME_ID],FME_Input[DESCR])</f>
        <v>Develop BCA to become a FMP. Part of Halls Ahead Bond Implementation Program, could reduce flood risk for 150+ structures, size of the floodplain by 90+ acres, frequency &amp; duration of flooding along 3+ miles of roadway in an Atlas 14 1% event.</v>
      </c>
      <c r="E303" s="256">
        <f>_xlfn.XLOOKUP(FME_Ranking1[[#This Row],[FME ID]],FME_Input[FME_ID],FME_Input[FME_COST])</f>
        <v>30000</v>
      </c>
      <c r="F303" t="str">
        <f>_xlfn.XLOOKUP(FME_Ranking1[[#This Row],[FME ID]],FME_Input[FME_ID],FME_Input[EMER_NEED])</f>
        <v>No</v>
      </c>
      <c r="G303">
        <f>IF(FME_Ranking!F303="Yes",100,0)</f>
        <v>0</v>
      </c>
      <c r="H303">
        <f>FME_Ranking1[[#This Row],[Emergency Need Score (Normalized, Unweighted)]]*$F$3</f>
        <v>0</v>
      </c>
      <c r="I303" s="246">
        <f>_xlfn.XLOOKUP(FME_Ranking1[[#This Row],[FME ID]],FME_Input[FME_ID],FME_Input[STRUCT_100])</f>
        <v>3188</v>
      </c>
      <c r="J303" s="178">
        <f>(FME_Ranking1[[#This Row],[Structures 100 Raw]]/I$2)*100</f>
        <v>1.7071498950434818</v>
      </c>
      <c r="K303" s="178">
        <f>FME_Ranking1[[#This Row],[Structures 100  Score (Normalized, Unweighted)]]*$I$3</f>
        <v>0.25607248425652224</v>
      </c>
      <c r="L303" s="246">
        <f>_xlfn.XLOOKUP(FME_Ranking1[[#This Row],[FME ID]],FME_Input[FME_ID],FME_Input[RES_STRUCT100])</f>
        <v>2296</v>
      </c>
      <c r="M303" s="230">
        <f>(FME_Ranking1[[#This Row],[Res Structures Raw]]/L$2)*100</f>
        <v>1.6262696377725205</v>
      </c>
      <c r="N303" s="180">
        <f>FME_Ranking1[[#This Row],[Res Structures Score (Normalized, Unweighted)]]*$L$3</f>
        <v>0.16262696377725205</v>
      </c>
      <c r="O303" s="244">
        <f>_xlfn.XLOOKUP(FME_Ranking1[[#This Row],[FME ID]],FME_Input[FME_ID],FME_Input[POP100])</f>
        <v>10940</v>
      </c>
      <c r="P303" s="178">
        <f>(FME_Ranking1[[#This Row],[Pop Raw]]/$O$2)*100</f>
        <v>1.1199859131570704</v>
      </c>
      <c r="Q303" s="178">
        <f>FME_Ranking1[[#This Row],[Pop Score (Normalized, Unweighted)]]*$O$3</f>
        <v>0.16799788697356055</v>
      </c>
      <c r="R303" s="137">
        <f>_xlfn.XLOOKUP(FME_Ranking1[[#This Row],[FME ID]],FME_Input[FME_ID],FME_Input[CRITFAC100])</f>
        <v>13</v>
      </c>
      <c r="S303" s="230">
        <f>(FME_Ranking1[[#This Row],[Critical Facilities Raw]]/$R$2)*100</f>
        <v>0.55746140651801035</v>
      </c>
      <c r="T303" s="180">
        <f>FME_Ranking1[[#This Row],[Critical Facilities Score (Normalized, Unweighted)]]*$R$3</f>
        <v>0.11149228130360207</v>
      </c>
      <c r="U303">
        <f>_xlfn.XLOOKUP(FME_Ranking1[[#This Row],[FME ID]],FME_Input[FME_ID],FME_Input[LWC])</f>
        <v>1</v>
      </c>
      <c r="V303" s="178">
        <f>(FME_Ranking1[[#This Row],[LWC Raw]]/$U$2)*100</f>
        <v>5.7570523891767422E-2</v>
      </c>
      <c r="W303" s="178">
        <f>FME_Ranking1[[#This Row],[LWC Score (Normalized, Unweighted)]]*$U$3</f>
        <v>1.1514104778353485E-2</v>
      </c>
      <c r="X303" s="246">
        <f>_xlfn.XLOOKUP(FME_Ranking1[[#This Row],[FME ID]],FME_Input[FME_ID],FME_Input[ROADCLS])</f>
        <v>1</v>
      </c>
      <c r="Y303" s="230">
        <f>(FME_Ranking1[[#This Row],[Closures Raw]]/$X$2)*100</f>
        <v>1.0514141520344864E-2</v>
      </c>
      <c r="Z303" s="180">
        <f>FME_Ranking1[[#This Row],[Closures Score (Normalized, Unweighted)]]*$X$3</f>
        <v>5.2570707601724321E-4</v>
      </c>
      <c r="AA303" s="253">
        <f>_xlfn.XLOOKUP(FME_Ranking1[[#This Row],[FME ID]],FME_Input[FME_ID],FME_Input[ROAD_MILES100])</f>
        <v>31.838775634765621</v>
      </c>
      <c r="AB303" s="178">
        <f>(FME_Ranking1[[#This Row],[Miles Raw]]/$AA$2)*100</f>
        <v>0.41862279407218761</v>
      </c>
      <c r="AC303" s="178">
        <f>FME_Ranking1[[#This Row],[Miles Score (Normalized, Unweighted)]]*$AA$3</f>
        <v>4.1862279407218761E-2</v>
      </c>
      <c r="AD303" s="255">
        <f>_xlfn.XLOOKUP(FME_Ranking1[[#This Row],[FME ID]],FME_Input[FME_ID],FME_Input[FARMACRE100])</f>
        <v>0.22157217562198639</v>
      </c>
      <c r="AE303" s="230">
        <f>(FME_Ranking1[[#This Row],[Ag Land Raw]]/$AD$2)*100</f>
        <v>9.1366446539890685E-6</v>
      </c>
      <c r="AF303" s="231">
        <f>FME_Ranking1[[#This Row],[Ag Land Score (Normalized, Unweighted)]]*$AD$3</f>
        <v>4.5683223269945344E-7</v>
      </c>
      <c r="AG30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0.75209216440475912</v>
      </c>
      <c r="AH303" s="406">
        <f t="shared" si="4"/>
        <v>339</v>
      </c>
      <c r="AI30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0.75209216440475912</v>
      </c>
      <c r="AJ303" s="257">
        <f>FME_Ranking1[[#This Row],[Addition check]]-FME_Ranking1[[#This Row],[Weighted Score Based on Normalized Reported Factors]]</f>
        <v>0</v>
      </c>
      <c r="AK303" s="178">
        <f>_xlfn.RANK.EQ(AI303,$AI$6:$AI$2341,0)+COUNTIF($AI$6:AI303,AI303)-1</f>
        <v>340</v>
      </c>
    </row>
    <row r="304" spans="1:37" ht="12" customHeight="1" x14ac:dyDescent="0.25">
      <c r="A304" t="s">
        <v>2303</v>
      </c>
      <c r="B304">
        <f>_xlfn.XLOOKUP(FME_Ranking1[[#This Row],[FME ID]],FME_Input[FME_ID],FME_Input[RFPG_NUM])</f>
        <v>6</v>
      </c>
      <c r="C304" t="str">
        <f>_xlfn.XLOOKUP(FME_Ranking1[[#This Row],[FME ID]],FME_Input[FME_ID],FME_Input[FME_NAME])</f>
        <v>Halls Bayou Drainage Project Bond C-01</v>
      </c>
      <c r="D304" t="str">
        <f>_xlfn.XLOOKUP(FME_Ranking1[[#This Row],[FME ID]],FME_Input[FME_ID],FME_Input[DESCR])</f>
        <v>Study to develop a Benefit Cost Analysis needed for this project to become a FMP. FIF application information unavailable.</v>
      </c>
      <c r="E304" s="256">
        <f>_xlfn.XLOOKUP(FME_Ranking1[[#This Row],[FME ID]],FME_Input[FME_ID],FME_Input[FME_COST])</f>
        <v>30000</v>
      </c>
      <c r="F304" t="str">
        <f>_xlfn.XLOOKUP(FME_Ranking1[[#This Row],[FME ID]],FME_Input[FME_ID],FME_Input[EMER_NEED])</f>
        <v>No</v>
      </c>
      <c r="G304">
        <f>IF(FME_Ranking!F304="Yes",100,0)</f>
        <v>0</v>
      </c>
      <c r="H304">
        <f>FME_Ranking1[[#This Row],[Emergency Need Score (Normalized, Unweighted)]]*$F$3</f>
        <v>0</v>
      </c>
      <c r="I304" s="246">
        <f>_xlfn.XLOOKUP(FME_Ranking1[[#This Row],[FME ID]],FME_Input[FME_ID],FME_Input[STRUCT_100])</f>
        <v>3188</v>
      </c>
      <c r="J304" s="178">
        <f>(FME_Ranking1[[#This Row],[Structures 100 Raw]]/I$2)*100</f>
        <v>1.7071498950434818</v>
      </c>
      <c r="K304" s="178">
        <f>FME_Ranking1[[#This Row],[Structures 100  Score (Normalized, Unweighted)]]*$I$3</f>
        <v>0.25607248425652224</v>
      </c>
      <c r="L304" s="246">
        <f>_xlfn.XLOOKUP(FME_Ranking1[[#This Row],[FME ID]],FME_Input[FME_ID],FME_Input[RES_STRUCT100])</f>
        <v>2296</v>
      </c>
      <c r="M304" s="230">
        <f>(FME_Ranking1[[#This Row],[Res Structures Raw]]/L$2)*100</f>
        <v>1.6262696377725205</v>
      </c>
      <c r="N304" s="180">
        <f>FME_Ranking1[[#This Row],[Res Structures Score (Normalized, Unweighted)]]*$L$3</f>
        <v>0.16262696377725205</v>
      </c>
      <c r="O304" s="244">
        <f>_xlfn.XLOOKUP(FME_Ranking1[[#This Row],[FME ID]],FME_Input[FME_ID],FME_Input[POP100])</f>
        <v>10940</v>
      </c>
      <c r="P304" s="178">
        <f>(FME_Ranking1[[#This Row],[Pop Raw]]/$O$2)*100</f>
        <v>1.1199859131570704</v>
      </c>
      <c r="Q304" s="178">
        <f>FME_Ranking1[[#This Row],[Pop Score (Normalized, Unweighted)]]*$O$3</f>
        <v>0.16799788697356055</v>
      </c>
      <c r="R304" s="137">
        <f>_xlfn.XLOOKUP(FME_Ranking1[[#This Row],[FME ID]],FME_Input[FME_ID],FME_Input[CRITFAC100])</f>
        <v>13</v>
      </c>
      <c r="S304" s="230">
        <f>(FME_Ranking1[[#This Row],[Critical Facilities Raw]]/$R$2)*100</f>
        <v>0.55746140651801035</v>
      </c>
      <c r="T304" s="180">
        <f>FME_Ranking1[[#This Row],[Critical Facilities Score (Normalized, Unweighted)]]*$R$3</f>
        <v>0.11149228130360207</v>
      </c>
      <c r="U304">
        <f>_xlfn.XLOOKUP(FME_Ranking1[[#This Row],[FME ID]],FME_Input[FME_ID],FME_Input[LWC])</f>
        <v>1</v>
      </c>
      <c r="V304" s="178">
        <f>(FME_Ranking1[[#This Row],[LWC Raw]]/$U$2)*100</f>
        <v>5.7570523891767422E-2</v>
      </c>
      <c r="W304" s="178">
        <f>FME_Ranking1[[#This Row],[LWC Score (Normalized, Unweighted)]]*$U$3</f>
        <v>1.1514104778353485E-2</v>
      </c>
      <c r="X304" s="246">
        <f>_xlfn.XLOOKUP(FME_Ranking1[[#This Row],[FME ID]],FME_Input[FME_ID],FME_Input[ROADCLS])</f>
        <v>1</v>
      </c>
      <c r="Y304" s="230">
        <f>(FME_Ranking1[[#This Row],[Closures Raw]]/$X$2)*100</f>
        <v>1.0514141520344864E-2</v>
      </c>
      <c r="Z304" s="180">
        <f>FME_Ranking1[[#This Row],[Closures Score (Normalized, Unweighted)]]*$X$3</f>
        <v>5.2570707601724321E-4</v>
      </c>
      <c r="AA304" s="253">
        <f>_xlfn.XLOOKUP(FME_Ranking1[[#This Row],[FME ID]],FME_Input[FME_ID],FME_Input[ROAD_MILES100])</f>
        <v>31.838775634765621</v>
      </c>
      <c r="AB304" s="178">
        <f>(FME_Ranking1[[#This Row],[Miles Raw]]/$AA$2)*100</f>
        <v>0.41862279407218761</v>
      </c>
      <c r="AC304" s="178">
        <f>FME_Ranking1[[#This Row],[Miles Score (Normalized, Unweighted)]]*$AA$3</f>
        <v>4.1862279407218761E-2</v>
      </c>
      <c r="AD304" s="255">
        <f>_xlfn.XLOOKUP(FME_Ranking1[[#This Row],[FME ID]],FME_Input[FME_ID],FME_Input[FARMACRE100])</f>
        <v>0.22157217562198639</v>
      </c>
      <c r="AE304" s="230">
        <f>(FME_Ranking1[[#This Row],[Ag Land Raw]]/$AD$2)*100</f>
        <v>9.1366446539890685E-6</v>
      </c>
      <c r="AF304" s="231">
        <f>FME_Ranking1[[#This Row],[Ag Land Score (Normalized, Unweighted)]]*$AD$3</f>
        <v>4.5683223269945344E-7</v>
      </c>
      <c r="AG30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0.75209216440475912</v>
      </c>
      <c r="AH304" s="406">
        <f t="shared" si="4"/>
        <v>339</v>
      </c>
      <c r="AI30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0.75209216440475912</v>
      </c>
      <c r="AJ304" s="257">
        <f>FME_Ranking1[[#This Row],[Addition check]]-FME_Ranking1[[#This Row],[Weighted Score Based on Normalized Reported Factors]]</f>
        <v>0</v>
      </c>
      <c r="AK304" s="178">
        <f>_xlfn.RANK.EQ(AI304,$AI$6:$AI$2341,0)+COUNTIF($AI$6:AI304,AI304)-1</f>
        <v>341</v>
      </c>
    </row>
    <row r="305" spans="1:37" ht="12" customHeight="1" x14ac:dyDescent="0.25">
      <c r="A305" t="s">
        <v>7774</v>
      </c>
      <c r="B305">
        <f>_xlfn.XLOOKUP(FME_Ranking1[[#This Row],[FME ID]],FME_Input[FME_ID],FME_Input[RFPG_NUM])</f>
        <v>8</v>
      </c>
      <c r="C305" t="str">
        <f>_xlfn.XLOOKUP(FME_Ranking1[[#This Row],[FME ID]],FME_Input[FME_ID],FME_Input[FME_NAME])</f>
        <v>Citywide FEMA Flood Study</v>
      </c>
      <c r="D305" t="str">
        <f>_xlfn.XLOOKUP(FME_Ranking1[[#This Row],[FME ID]],FME_Input[FME_ID],FME_Input[DESCR])</f>
        <v>City wide updates to floodplain mapping.</v>
      </c>
      <c r="E305" s="256">
        <f>_xlfn.XLOOKUP(FME_Ranking1[[#This Row],[FME ID]],FME_Input[FME_ID],FME_Input[FME_COST])</f>
        <v>241000</v>
      </c>
      <c r="F305" t="str">
        <f>_xlfn.XLOOKUP(FME_Ranking1[[#This Row],[FME ID]],FME_Input[FME_ID],FME_Input[EMER_NEED])</f>
        <v>No</v>
      </c>
      <c r="G305">
        <f>IF(FME_Ranking!F305="Yes",100,0)</f>
        <v>0</v>
      </c>
      <c r="H305">
        <f>FME_Ranking1[[#This Row],[Emergency Need Score (Normalized, Unweighted)]]*$F$3</f>
        <v>0</v>
      </c>
      <c r="I305" s="246">
        <f>_xlfn.XLOOKUP(FME_Ranking1[[#This Row],[FME ID]],FME_Input[FME_ID],FME_Input[STRUCT_100])</f>
        <v>1120</v>
      </c>
      <c r="J305" s="178">
        <f>(FME_Ranking1[[#This Row],[Structures 100 Raw]]/I$2)*100</f>
        <v>0.59975153150837512</v>
      </c>
      <c r="K305" s="178">
        <f>FME_Ranking1[[#This Row],[Structures 100  Score (Normalized, Unweighted)]]*$I$3</f>
        <v>8.9962729726256269E-2</v>
      </c>
      <c r="L305" s="246">
        <f>_xlfn.XLOOKUP(FME_Ranking1[[#This Row],[FME ID]],FME_Input[FME_ID],FME_Input[RES_STRUCT100])</f>
        <v>870</v>
      </c>
      <c r="M305" s="230">
        <f>(FME_Ranking1[[#This Row],[Res Structures Raw]]/L$2)*100</f>
        <v>0.61622586448697425</v>
      </c>
      <c r="N305" s="180">
        <f>FME_Ranking1[[#This Row],[Res Structures Score (Normalized, Unweighted)]]*$L$3</f>
        <v>6.1622586448697426E-2</v>
      </c>
      <c r="O305" s="244">
        <f>_xlfn.XLOOKUP(FME_Ranking1[[#This Row],[FME ID]],FME_Input[FME_ID],FME_Input[POP100])</f>
        <v>3337</v>
      </c>
      <c r="P305" s="178">
        <f>(FME_Ranking1[[#This Row],[Pop Raw]]/$O$2)*100</f>
        <v>0.34162641610650307</v>
      </c>
      <c r="Q305" s="178">
        <f>FME_Ranking1[[#This Row],[Pop Score (Normalized, Unweighted)]]*$O$3</f>
        <v>5.1243962415975459E-2</v>
      </c>
      <c r="R305" s="137">
        <f>_xlfn.XLOOKUP(FME_Ranking1[[#This Row],[FME ID]],FME_Input[FME_ID],FME_Input[CRITFAC100])</f>
        <v>3</v>
      </c>
      <c r="S305" s="230">
        <f>(FME_Ranking1[[#This Row],[Critical Facilities Raw]]/$R$2)*100</f>
        <v>0.1286449399656947</v>
      </c>
      <c r="T305" s="180">
        <f>FME_Ranking1[[#This Row],[Critical Facilities Score (Normalized, Unweighted)]]*$R$3</f>
        <v>2.5728987993138941E-2</v>
      </c>
      <c r="U305">
        <f>_xlfn.XLOOKUP(FME_Ranking1[[#This Row],[FME ID]],FME_Input[FME_ID],FME_Input[LWC])</f>
        <v>36</v>
      </c>
      <c r="V305" s="178">
        <f>(FME_Ranking1[[#This Row],[LWC Raw]]/$U$2)*100</f>
        <v>2.0725388601036272</v>
      </c>
      <c r="W305" s="178">
        <f>FME_Ranking1[[#This Row],[LWC Score (Normalized, Unweighted)]]*$U$3</f>
        <v>0.41450777202072547</v>
      </c>
      <c r="X305" s="246">
        <f>_xlfn.XLOOKUP(FME_Ranking1[[#This Row],[FME ID]],FME_Input[FME_ID],FME_Input[ROADCLS])</f>
        <v>94</v>
      </c>
      <c r="Y305" s="230">
        <f>(FME_Ranking1[[#This Row],[Closures Raw]]/$X$2)*100</f>
        <v>0.98832930291241716</v>
      </c>
      <c r="Z305" s="180">
        <f>FME_Ranking1[[#This Row],[Closures Score (Normalized, Unweighted)]]*$X$3</f>
        <v>4.9416465145620862E-2</v>
      </c>
      <c r="AA305" s="253">
        <f>_xlfn.XLOOKUP(FME_Ranking1[[#This Row],[FME ID]],FME_Input[FME_ID],FME_Input[ROAD_MILES100])</f>
        <v>37.156101226806641</v>
      </c>
      <c r="AB305" s="178">
        <f>(FME_Ranking1[[#This Row],[Miles Raw]]/$AA$2)*100</f>
        <v>0.48853608853634978</v>
      </c>
      <c r="AC305" s="178">
        <f>FME_Ranking1[[#This Row],[Miles Score (Normalized, Unweighted)]]*$AA$3</f>
        <v>4.8853608853634982E-2</v>
      </c>
      <c r="AD305" s="255">
        <f>_xlfn.XLOOKUP(FME_Ranking1[[#This Row],[FME ID]],FME_Input[FME_ID],FME_Input[FARMACRE100])</f>
        <v>4193.56005859375</v>
      </c>
      <c r="AE305" s="230">
        <f>(FME_Ranking1[[#This Row],[Ag Land Raw]]/$AD$2)*100</f>
        <v>0.17292364432933202</v>
      </c>
      <c r="AF305" s="231">
        <f>FME_Ranking1[[#This Row],[Ag Land Score (Normalized, Unweighted)]]*$AD$3</f>
        <v>8.6461822164666021E-3</v>
      </c>
      <c r="AG30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0.74998229482051593</v>
      </c>
      <c r="AH305" s="406">
        <f t="shared" si="4"/>
        <v>342</v>
      </c>
      <c r="AI30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0.74998229482051593</v>
      </c>
      <c r="AJ305" s="257">
        <f>FME_Ranking1[[#This Row],[Addition check]]-FME_Ranking1[[#This Row],[Weighted Score Based on Normalized Reported Factors]]</f>
        <v>0</v>
      </c>
      <c r="AK305" s="178">
        <f>_xlfn.RANK.EQ(AI305,$AI$6:$AI$2341,0)+COUNTIF($AI$6:AI305,AI305)-1</f>
        <v>342</v>
      </c>
    </row>
    <row r="306" spans="1:37" ht="12" customHeight="1" x14ac:dyDescent="0.25">
      <c r="A306" t="s">
        <v>8357</v>
      </c>
      <c r="B306">
        <f>_xlfn.XLOOKUP(FME_Ranking1[[#This Row],[FME ID]],FME_Input[FME_ID],FME_Input[RFPG_NUM])</f>
        <v>9</v>
      </c>
      <c r="C306" t="str">
        <f>_xlfn.XLOOKUP(FME_Ranking1[[#This Row],[FME ID]],FME_Input[FME_ID],FME_Input[FME_NAME])</f>
        <v>Spaulding St Storm Drain</v>
      </c>
      <c r="D306" t="str">
        <f>_xlfn.XLOOKUP(FME_Ranking1[[#This Row],[FME ID]],FME_Input[FME_ID],FME_Input[DESCR])</f>
        <v xml:space="preserve">Raise Spaulding St. at East Angelo Draw by 5.4 feet and install (4) 9 x 8’ box culverts 
under Spaulding; raise Bell St. at East Angelo Draw by 2.4 feet and install (4) 9 x8’ 
culverts. </v>
      </c>
      <c r="E306" s="256">
        <f>_xlfn.XLOOKUP(FME_Ranking1[[#This Row],[FME ID]],FME_Input[FME_ID],FME_Input[FME_COST])</f>
        <v>25000</v>
      </c>
      <c r="F306" t="str">
        <f>_xlfn.XLOOKUP(FME_Ranking1[[#This Row],[FME ID]],FME_Input[FME_ID],FME_Input[EMER_NEED])</f>
        <v>No</v>
      </c>
      <c r="G306">
        <f>IF(FME_Ranking!F306="Yes",100,0)</f>
        <v>0</v>
      </c>
      <c r="H306">
        <f>FME_Ranking1[[#This Row],[Emergency Need Score (Normalized, Unweighted)]]*$F$3</f>
        <v>0</v>
      </c>
      <c r="I306" s="246">
        <f>_xlfn.XLOOKUP(FME_Ranking1[[#This Row],[FME ID]],FME_Input[FME_ID],FME_Input[STRUCT_100])</f>
        <v>2587</v>
      </c>
      <c r="J306" s="178">
        <f>(FME_Ranking1[[#This Row],[Structures 100 Raw]]/I$2)*100</f>
        <v>1.385318939296577</v>
      </c>
      <c r="K306" s="178">
        <f>FME_Ranking1[[#This Row],[Structures 100  Score (Normalized, Unweighted)]]*$I$3</f>
        <v>0.20779784089448655</v>
      </c>
      <c r="L306" s="246">
        <f>_xlfn.XLOOKUP(FME_Ranking1[[#This Row],[FME ID]],FME_Input[FME_ID],FME_Input[RES_STRUCT100])</f>
        <v>1821</v>
      </c>
      <c r="M306" s="230">
        <f>(FME_Ranking1[[#This Row],[Res Structures Raw]]/L$2)*100</f>
        <v>1.28982448187446</v>
      </c>
      <c r="N306" s="180">
        <f>FME_Ranking1[[#This Row],[Res Structures Score (Normalized, Unweighted)]]*$L$3</f>
        <v>0.128982448187446</v>
      </c>
      <c r="O306" s="244">
        <f>_xlfn.XLOOKUP(FME_Ranking1[[#This Row],[FME ID]],FME_Input[FME_ID],FME_Input[POP100])</f>
        <v>0</v>
      </c>
      <c r="P306" s="178">
        <f>(FME_Ranking1[[#This Row],[Pop Raw]]/$O$2)*100</f>
        <v>0</v>
      </c>
      <c r="Q306" s="178">
        <f>FME_Ranking1[[#This Row],[Pop Score (Normalized, Unweighted)]]*$O$3</f>
        <v>0</v>
      </c>
      <c r="R306" s="137">
        <f>_xlfn.XLOOKUP(FME_Ranking1[[#This Row],[FME ID]],FME_Input[FME_ID],FME_Input[CRITFAC100])</f>
        <v>6</v>
      </c>
      <c r="S306" s="230">
        <f>(FME_Ranking1[[#This Row],[Critical Facilities Raw]]/$R$2)*100</f>
        <v>0.25728987993138941</v>
      </c>
      <c r="T306" s="180">
        <f>FME_Ranking1[[#This Row],[Critical Facilities Score (Normalized, Unweighted)]]*$R$3</f>
        <v>5.1457975986277882E-2</v>
      </c>
      <c r="U306">
        <f>_xlfn.XLOOKUP(FME_Ranking1[[#This Row],[FME ID]],FME_Input[FME_ID],FME_Input[LWC])</f>
        <v>27</v>
      </c>
      <c r="V306" s="178">
        <f>(FME_Ranking1[[#This Row],[LWC Raw]]/$U$2)*100</f>
        <v>1.5544041450777202</v>
      </c>
      <c r="W306" s="178">
        <f>FME_Ranking1[[#This Row],[LWC Score (Normalized, Unweighted)]]*$U$3</f>
        <v>0.31088082901554404</v>
      </c>
      <c r="X306" s="246">
        <f>_xlfn.XLOOKUP(FME_Ranking1[[#This Row],[FME ID]],FME_Input[FME_ID],FME_Input[ROADCLS])</f>
        <v>0</v>
      </c>
      <c r="Y306" s="230">
        <f>(FME_Ranking1[[#This Row],[Closures Raw]]/$X$2)*100</f>
        <v>0</v>
      </c>
      <c r="Z306" s="180">
        <f>FME_Ranking1[[#This Row],[Closures Score (Normalized, Unweighted)]]*$X$3</f>
        <v>0</v>
      </c>
      <c r="AA306" s="253">
        <f>_xlfn.XLOOKUP(FME_Ranking1[[#This Row],[FME ID]],FME_Input[FME_ID],FME_Input[ROAD_MILES100])</f>
        <v>0</v>
      </c>
      <c r="AB306" s="178">
        <f>(FME_Ranking1[[#This Row],[Miles Raw]]/$AA$2)*100</f>
        <v>0</v>
      </c>
      <c r="AC306" s="178">
        <f>FME_Ranking1[[#This Row],[Miles Score (Normalized, Unweighted)]]*$AA$3</f>
        <v>0</v>
      </c>
      <c r="AD306" s="255">
        <f>_xlfn.XLOOKUP(FME_Ranking1[[#This Row],[FME ID]],FME_Input[FME_ID],FME_Input[FARMACRE100])</f>
        <v>558.4952392578125</v>
      </c>
      <c r="AE306" s="230">
        <f>(FME_Ranking1[[#This Row],[Ag Land Raw]]/$AD$2)*100</f>
        <v>2.3029843560993111E-2</v>
      </c>
      <c r="AF306" s="231">
        <f>FME_Ranking1[[#This Row],[Ag Land Score (Normalized, Unweighted)]]*$AD$3</f>
        <v>1.1514921780496556E-3</v>
      </c>
      <c r="AG30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0.70027058626180416</v>
      </c>
      <c r="AH306" s="406">
        <f t="shared" si="4"/>
        <v>348</v>
      </c>
      <c r="AI30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0.70027058626180416</v>
      </c>
      <c r="AJ306" s="257">
        <f>FME_Ranking1[[#This Row],[Addition check]]-FME_Ranking1[[#This Row],[Weighted Score Based on Normalized Reported Factors]]</f>
        <v>0</v>
      </c>
      <c r="AK306" s="178">
        <f>_xlfn.RANK.EQ(AI306,$AI$6:$AI$2341,0)+COUNTIF($AI$6:AI306,AI306)-1</f>
        <v>348</v>
      </c>
    </row>
    <row r="307" spans="1:37" ht="12" customHeight="1" x14ac:dyDescent="0.25">
      <c r="A307" t="s">
        <v>256</v>
      </c>
      <c r="B307">
        <f>_xlfn.XLOOKUP(FME_Ranking1[[#This Row],[FME ID]],FME_Input[FME_ID],FME_Input[RFPG_NUM])</f>
        <v>10</v>
      </c>
      <c r="C307" t="str">
        <f>_xlfn.XLOOKUP(FME_Ranking1[[#This Row],[FME ID]],FME_Input[FME_ID],FME_Input[FME_NAME])</f>
        <v>Sandy Oaks Subdivision</v>
      </c>
      <c r="D307" t="str">
        <f>_xlfn.XLOOKUP(FME_Ranking1[[#This Row],[FME ID]],FME_Input[FME_ID],FME_Input[DESCR])</f>
        <v>Sandy Oaks Subdivision</v>
      </c>
      <c r="E307" s="256">
        <f>_xlfn.XLOOKUP(FME_Ranking1[[#This Row],[FME ID]],FME_Input[FME_ID],FME_Input[FME_COST])</f>
        <v>100000</v>
      </c>
      <c r="F307" t="str">
        <f>_xlfn.XLOOKUP(FME_Ranking1[[#This Row],[FME ID]],FME_Input[FME_ID],FME_Input[EMER_NEED])</f>
        <v>No</v>
      </c>
      <c r="G307">
        <f>IF(FME_Ranking!F307="Yes",100,0)</f>
        <v>0</v>
      </c>
      <c r="H307">
        <f>FME_Ranking1[[#This Row],[Emergency Need Score (Normalized, Unweighted)]]*$F$3</f>
        <v>0</v>
      </c>
      <c r="I307" s="246">
        <f>_xlfn.XLOOKUP(FME_Ranking1[[#This Row],[FME ID]],FME_Input[FME_ID],FME_Input[STRUCT_100])</f>
        <v>2103</v>
      </c>
      <c r="J307" s="178">
        <f>(FME_Ranking1[[#This Row],[Structures 100 Raw]]/I$2)*100</f>
        <v>1.1261405988947437</v>
      </c>
      <c r="K307" s="178">
        <f>FME_Ranking1[[#This Row],[Structures 100  Score (Normalized, Unweighted)]]*$I$3</f>
        <v>0.16892108983421156</v>
      </c>
      <c r="L307" s="246">
        <f>_xlfn.XLOOKUP(FME_Ranking1[[#This Row],[FME ID]],FME_Input[FME_ID],FME_Input[RES_STRUCT100])</f>
        <v>1079</v>
      </c>
      <c r="M307" s="230">
        <f>(FME_Ranking1[[#This Row],[Res Structures Raw]]/L$2)*100</f>
        <v>0.76426173308212098</v>
      </c>
      <c r="N307" s="180">
        <f>FME_Ranking1[[#This Row],[Res Structures Score (Normalized, Unweighted)]]*$L$3</f>
        <v>7.6426173308212109E-2</v>
      </c>
      <c r="O307" s="244">
        <f>_xlfn.XLOOKUP(FME_Ranking1[[#This Row],[FME ID]],FME_Input[FME_ID],FME_Input[POP100])</f>
        <v>3616</v>
      </c>
      <c r="P307" s="178">
        <f>(FME_Ranking1[[#This Row],[Pop Raw]]/$O$2)*100</f>
        <v>0.37018912815136806</v>
      </c>
      <c r="Q307" s="178">
        <f>FME_Ranking1[[#This Row],[Pop Score (Normalized, Unweighted)]]*$O$3</f>
        <v>5.5528369222705209E-2</v>
      </c>
      <c r="R307" s="137">
        <f>_xlfn.XLOOKUP(FME_Ranking1[[#This Row],[FME ID]],FME_Input[FME_ID],FME_Input[CRITFAC100])</f>
        <v>6</v>
      </c>
      <c r="S307" s="230">
        <f>(FME_Ranking1[[#This Row],[Critical Facilities Raw]]/$R$2)*100</f>
        <v>0.25728987993138941</v>
      </c>
      <c r="T307" s="180">
        <f>FME_Ranking1[[#This Row],[Critical Facilities Score (Normalized, Unweighted)]]*$R$3</f>
        <v>5.1457975986277882E-2</v>
      </c>
      <c r="U307">
        <f>_xlfn.XLOOKUP(FME_Ranking1[[#This Row],[FME ID]],FME_Input[FME_ID],FME_Input[LWC])</f>
        <v>11</v>
      </c>
      <c r="V307" s="178">
        <f>(FME_Ranking1[[#This Row],[LWC Raw]]/$U$2)*100</f>
        <v>0.63327576280944153</v>
      </c>
      <c r="W307" s="178">
        <f>FME_Ranking1[[#This Row],[LWC Score (Normalized, Unweighted)]]*$U$3</f>
        <v>0.12665515256188831</v>
      </c>
      <c r="X307" s="246">
        <f>_xlfn.XLOOKUP(FME_Ranking1[[#This Row],[FME ID]],FME_Input[FME_ID],FME_Input[ROADCLS])</f>
        <v>0</v>
      </c>
      <c r="Y307" s="230">
        <f>(FME_Ranking1[[#This Row],[Closures Raw]]/$X$2)*100</f>
        <v>0</v>
      </c>
      <c r="Z307" s="180">
        <f>FME_Ranking1[[#This Row],[Closures Score (Normalized, Unweighted)]]*$X$3</f>
        <v>0</v>
      </c>
      <c r="AA307" s="253">
        <f>_xlfn.XLOOKUP(FME_Ranking1[[#This Row],[FME ID]],FME_Input[FME_ID],FME_Input[ROAD_MILES100])</f>
        <v>118.81032562255859</v>
      </c>
      <c r="AB307" s="178">
        <f>(FME_Ranking1[[#This Row],[Miles Raw]]/$AA$2)*100</f>
        <v>1.5621426856136089</v>
      </c>
      <c r="AC307" s="178">
        <f>FME_Ranking1[[#This Row],[Miles Score (Normalized, Unweighted)]]*$AA$3</f>
        <v>0.15621426856136089</v>
      </c>
      <c r="AD307" s="255">
        <f>_xlfn.XLOOKUP(FME_Ranking1[[#This Row],[FME ID]],FME_Input[FME_ID],FME_Input[FARMACRE100])</f>
        <v>105661.765625</v>
      </c>
      <c r="AE307" s="230">
        <f>(FME_Ranking1[[#This Row],[Ag Land Raw]]/$AD$2)*100</f>
        <v>4.357018219091346</v>
      </c>
      <c r="AF307" s="231">
        <f>FME_Ranking1[[#This Row],[Ag Land Score (Normalized, Unweighted)]]*$AD$3</f>
        <v>0.21785091095456732</v>
      </c>
      <c r="AG30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0.85305394042922333</v>
      </c>
      <c r="AH307" s="406">
        <f t="shared" si="4"/>
        <v>310</v>
      </c>
      <c r="AI30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0.85305394042922333</v>
      </c>
      <c r="AJ307" s="257">
        <f>FME_Ranking1[[#This Row],[Addition check]]-FME_Ranking1[[#This Row],[Weighted Score Based on Normalized Reported Factors]]</f>
        <v>0</v>
      </c>
      <c r="AK307" s="178">
        <f>_xlfn.RANK.EQ(AI307,$AI$6:$AI$2341,0)+COUNTIF($AI$6:AI307,AI307)-1</f>
        <v>310</v>
      </c>
    </row>
    <row r="308" spans="1:37" ht="12" customHeight="1" x14ac:dyDescent="0.25">
      <c r="A308" t="s">
        <v>5724</v>
      </c>
      <c r="B308">
        <f>_xlfn.XLOOKUP(FME_Ranking1[[#This Row],[FME ID]],FME_Input[FME_ID],FME_Input[RFPG_NUM])</f>
        <v>4</v>
      </c>
      <c r="C308" t="str">
        <f>_xlfn.XLOOKUP(FME_Ranking1[[#This Row],[FME ID]],FME_Input[FME_ID],FME_Input[FME_NAME])</f>
        <v>Gregg County Flood Hazard Mapping</v>
      </c>
      <c r="D308" t="str">
        <f>_xlfn.XLOOKUP(FME_Ranking1[[#This Row],[FME ID]],FME_Input[FME_ID],FME_Input[DESCR])</f>
        <v>Complete a detailed study within the county extent to delineate an updated flood hazard area, which can be used for regulatory purposes.</v>
      </c>
      <c r="E308" s="256">
        <f>_xlfn.XLOOKUP(FME_Ranking1[[#This Row],[FME ID]],FME_Input[FME_ID],FME_Input[FME_COST])</f>
        <v>2200000</v>
      </c>
      <c r="F308" t="str">
        <f>_xlfn.XLOOKUP(FME_Ranking1[[#This Row],[FME ID]],FME_Input[FME_ID],FME_Input[EMER_NEED])</f>
        <v>No</v>
      </c>
      <c r="G308">
        <f>IF(FME_Ranking!F308="Yes",100,0)</f>
        <v>0</v>
      </c>
      <c r="H308">
        <f>FME_Ranking1[[#This Row],[Emergency Need Score (Normalized, Unweighted)]]*$F$3</f>
        <v>0</v>
      </c>
      <c r="I308" s="246">
        <f>_xlfn.XLOOKUP(FME_Ranking1[[#This Row],[FME ID]],FME_Input[FME_ID],FME_Input[STRUCT_100])</f>
        <v>2182</v>
      </c>
      <c r="J308" s="178">
        <f>(FME_Ranking1[[#This Row],[Structures 100 Raw]]/I$2)*100</f>
        <v>1.168444501563638</v>
      </c>
      <c r="K308" s="178">
        <f>FME_Ranking1[[#This Row],[Structures 100  Score (Normalized, Unweighted)]]*$I$3</f>
        <v>0.1752666752345457</v>
      </c>
      <c r="L308" s="246">
        <f>_xlfn.XLOOKUP(FME_Ranking1[[#This Row],[FME ID]],FME_Input[FME_ID],FME_Input[RES_STRUCT100])</f>
        <v>1544</v>
      </c>
      <c r="M308" s="230">
        <f>(FME_Ranking1[[#This Row],[Res Structures Raw]]/L$2)*100</f>
        <v>1.0936238330665382</v>
      </c>
      <c r="N308" s="180">
        <f>FME_Ranking1[[#This Row],[Res Structures Score (Normalized, Unweighted)]]*$L$3</f>
        <v>0.10936238330665382</v>
      </c>
      <c r="O308" s="244">
        <f>_xlfn.XLOOKUP(FME_Ranking1[[#This Row],[FME ID]],FME_Input[FME_ID],FME_Input[POP100])</f>
        <v>11464</v>
      </c>
      <c r="P308" s="178">
        <f>(FME_Ranking1[[#This Row],[Pop Raw]]/$O$2)*100</f>
        <v>1.1736305766391821</v>
      </c>
      <c r="Q308" s="178">
        <f>FME_Ranking1[[#This Row],[Pop Score (Normalized, Unweighted)]]*$O$3</f>
        <v>0.17604458649587731</v>
      </c>
      <c r="R308" s="137">
        <f>_xlfn.XLOOKUP(FME_Ranking1[[#This Row],[FME ID]],FME_Input[FME_ID],FME_Input[CRITFAC100])</f>
        <v>26</v>
      </c>
      <c r="S308" s="230">
        <f>(FME_Ranking1[[#This Row],[Critical Facilities Raw]]/$R$2)*100</f>
        <v>1.1149228130360207</v>
      </c>
      <c r="T308" s="180">
        <f>FME_Ranking1[[#This Row],[Critical Facilities Score (Normalized, Unweighted)]]*$R$3</f>
        <v>0.22298456260720415</v>
      </c>
      <c r="U308">
        <f>_xlfn.XLOOKUP(FME_Ranking1[[#This Row],[FME ID]],FME_Input[FME_ID],FME_Input[LWC])</f>
        <v>1</v>
      </c>
      <c r="V308" s="178">
        <f>(FME_Ranking1[[#This Row],[LWC Raw]]/$U$2)*100</f>
        <v>5.7570523891767422E-2</v>
      </c>
      <c r="W308" s="178">
        <f>FME_Ranking1[[#This Row],[LWC Score (Normalized, Unweighted)]]*$U$3</f>
        <v>1.1514104778353485E-2</v>
      </c>
      <c r="X308" s="246">
        <f>_xlfn.XLOOKUP(FME_Ranking1[[#This Row],[FME ID]],FME_Input[FME_ID],FME_Input[ROADCLS])</f>
        <v>1</v>
      </c>
      <c r="Y308" s="230">
        <f>(FME_Ranking1[[#This Row],[Closures Raw]]/$X$2)*100</f>
        <v>1.0514141520344864E-2</v>
      </c>
      <c r="Z308" s="180">
        <f>FME_Ranking1[[#This Row],[Closures Score (Normalized, Unweighted)]]*$X$3</f>
        <v>5.2570707601724321E-4</v>
      </c>
      <c r="AA308" s="253">
        <f>_xlfn.XLOOKUP(FME_Ranking1[[#This Row],[FME ID]],FME_Input[FME_ID],FME_Input[ROAD_MILES100])</f>
        <v>85.94000244140625</v>
      </c>
      <c r="AB308" s="178">
        <f>(FME_Ranking1[[#This Row],[Miles Raw]]/$AA$2)*100</f>
        <v>1.1299568914738183</v>
      </c>
      <c r="AC308" s="178">
        <f>FME_Ranking1[[#This Row],[Miles Score (Normalized, Unweighted)]]*$AA$3</f>
        <v>0.11299568914738184</v>
      </c>
      <c r="AD308" s="255">
        <f>_xlfn.XLOOKUP(FME_Ranking1[[#This Row],[FME ID]],FME_Input[FME_ID],FME_Input[FARMACRE100])</f>
        <v>0.75</v>
      </c>
      <c r="AE308" s="230">
        <f>(FME_Ranking1[[#This Row],[Ag Land Raw]]/$AD$2)*100</f>
        <v>3.0926642622232915E-5</v>
      </c>
      <c r="AF308" s="231">
        <f>FME_Ranking1[[#This Row],[Ag Land Score (Normalized, Unweighted)]]*$AD$3</f>
        <v>1.5463321311116458E-6</v>
      </c>
      <c r="AG30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0.80869525497816463</v>
      </c>
      <c r="AH308" s="406">
        <f t="shared" si="4"/>
        <v>329</v>
      </c>
      <c r="AI30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0.80869525497816463</v>
      </c>
      <c r="AJ308" s="257">
        <f>FME_Ranking1[[#This Row],[Addition check]]-FME_Ranking1[[#This Row],[Weighted Score Based on Normalized Reported Factors]]</f>
        <v>0</v>
      </c>
      <c r="AK308" s="178">
        <f>_xlfn.RANK.EQ(AI308,$AI$6:$AI$2341,0)+COUNTIF($AI$6:AI308,AI308)-1</f>
        <v>329</v>
      </c>
    </row>
    <row r="309" spans="1:37" ht="12" customHeight="1" x14ac:dyDescent="0.25">
      <c r="A309" t="s">
        <v>3874</v>
      </c>
      <c r="B309">
        <f>_xlfn.XLOOKUP(FME_Ranking1[[#This Row],[FME ID]],FME_Input[FME_ID],FME_Input[RFPG_NUM])</f>
        <v>3</v>
      </c>
      <c r="C309" t="str">
        <f>_xlfn.XLOOKUP(FME_Ranking1[[#This Row],[FME ID]],FME_Input[FME_ID],FME_Input[FME_NAME])</f>
        <v xml:space="preserve">Henderson County FEMA Mapping </v>
      </c>
      <c r="D309" t="str">
        <f>_xlfn.XLOOKUP(FME_Ranking1[[#This Row],[FME ID]],FME_Input[FME_ID],FME_Input[DESCR])</f>
        <v>Create FEMA mapping in previously unmapped areas and update existing FEMA maps as needed.</v>
      </c>
      <c r="E309" s="256">
        <f>_xlfn.XLOOKUP(FME_Ranking1[[#This Row],[FME ID]],FME_Input[FME_ID],FME_Input[FME_COST])</f>
        <v>1295000</v>
      </c>
      <c r="F309" t="str">
        <f>_xlfn.XLOOKUP(FME_Ranking1[[#This Row],[FME ID]],FME_Input[FME_ID],FME_Input[EMER_NEED])</f>
        <v>No</v>
      </c>
      <c r="G309">
        <f>IF(FME_Ranking!F309="Yes",100,0)</f>
        <v>0</v>
      </c>
      <c r="H309">
        <f>FME_Ranking1[[#This Row],[Emergency Need Score (Normalized, Unweighted)]]*$F$3</f>
        <v>0</v>
      </c>
      <c r="I309" s="246">
        <f>_xlfn.XLOOKUP(FME_Ranking1[[#This Row],[FME ID]],FME_Input[FME_ID],FME_Input[STRUCT_100])</f>
        <v>2066</v>
      </c>
      <c r="J309" s="178">
        <f>(FME_Ranking1[[#This Row],[Structures 100 Raw]]/I$2)*100</f>
        <v>1.1063273786574135</v>
      </c>
      <c r="K309" s="178">
        <f>FME_Ranking1[[#This Row],[Structures 100  Score (Normalized, Unweighted)]]*$I$3</f>
        <v>0.16594910679861202</v>
      </c>
      <c r="L309" s="246">
        <f>_xlfn.XLOOKUP(FME_Ranking1[[#This Row],[FME ID]],FME_Input[FME_ID],FME_Input[RES_STRUCT100])</f>
        <v>1602</v>
      </c>
      <c r="M309" s="230">
        <f>(FME_Ranking1[[#This Row],[Res Structures Raw]]/L$2)*100</f>
        <v>1.1347055573656699</v>
      </c>
      <c r="N309" s="180">
        <f>FME_Ranking1[[#This Row],[Res Structures Score (Normalized, Unweighted)]]*$L$3</f>
        <v>0.113470555736567</v>
      </c>
      <c r="O309" s="244">
        <f>_xlfn.XLOOKUP(FME_Ranking1[[#This Row],[FME ID]],FME_Input[FME_ID],FME_Input[POP100])</f>
        <v>5064</v>
      </c>
      <c r="P309" s="178">
        <f>(FME_Ranking1[[#This Row],[Pop Raw]]/$O$2)*100</f>
        <v>0.51842857991109725</v>
      </c>
      <c r="Q309" s="178">
        <f>FME_Ranking1[[#This Row],[Pop Score (Normalized, Unweighted)]]*$O$3</f>
        <v>7.7764286986664585E-2</v>
      </c>
      <c r="R309" s="137">
        <f>_xlfn.XLOOKUP(FME_Ranking1[[#This Row],[FME ID]],FME_Input[FME_ID],FME_Input[CRITFAC100])</f>
        <v>15</v>
      </c>
      <c r="S309" s="230">
        <f>(FME_Ranking1[[#This Row],[Critical Facilities Raw]]/$R$2)*100</f>
        <v>0.64322469982847341</v>
      </c>
      <c r="T309" s="180">
        <f>FME_Ranking1[[#This Row],[Critical Facilities Score (Normalized, Unweighted)]]*$R$3</f>
        <v>0.12864493996569468</v>
      </c>
      <c r="U309">
        <f>_xlfn.XLOOKUP(FME_Ranking1[[#This Row],[FME ID]],FME_Input[FME_ID],FME_Input[LWC])</f>
        <v>11</v>
      </c>
      <c r="V309" s="178">
        <f>(FME_Ranking1[[#This Row],[LWC Raw]]/$U$2)*100</f>
        <v>0.63327576280944153</v>
      </c>
      <c r="W309" s="178">
        <f>FME_Ranking1[[#This Row],[LWC Score (Normalized, Unweighted)]]*$U$3</f>
        <v>0.12665515256188831</v>
      </c>
      <c r="X309" s="246">
        <f>_xlfn.XLOOKUP(FME_Ranking1[[#This Row],[FME ID]],FME_Input[FME_ID],FME_Input[ROADCLS])</f>
        <v>0</v>
      </c>
      <c r="Y309" s="230">
        <f>(FME_Ranking1[[#This Row],[Closures Raw]]/$X$2)*100</f>
        <v>0</v>
      </c>
      <c r="Z309" s="180">
        <f>FME_Ranking1[[#This Row],[Closures Score (Normalized, Unweighted)]]*$X$3</f>
        <v>0</v>
      </c>
      <c r="AA309" s="253">
        <f>_xlfn.XLOOKUP(FME_Ranking1[[#This Row],[FME ID]],FME_Input[FME_ID],FME_Input[ROAD_MILES100])</f>
        <v>74.634658813476563</v>
      </c>
      <c r="AB309" s="178">
        <f>(FME_Ranking1[[#This Row],[Miles Raw]]/$AA$2)*100</f>
        <v>0.98131189985226885</v>
      </c>
      <c r="AC309" s="178">
        <f>FME_Ranking1[[#This Row],[Miles Score (Normalized, Unweighted)]]*$AA$3</f>
        <v>9.8131189985226894E-2</v>
      </c>
      <c r="AD309" s="255">
        <f>_xlfn.XLOOKUP(FME_Ranking1[[#This Row],[FME ID]],FME_Input[FME_ID],FME_Input[FARMACRE100])</f>
        <v>40351.01953125</v>
      </c>
      <c r="AE309" s="230">
        <f>(FME_Ranking1[[#This Row],[Ag Land Raw]]/$AD$2)*100</f>
        <v>1.6638954139809452</v>
      </c>
      <c r="AF309" s="231">
        <f>FME_Ranking1[[#This Row],[Ag Land Score (Normalized, Unweighted)]]*$AD$3</f>
        <v>8.3194770699047266E-2</v>
      </c>
      <c r="AG30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0.79381000273370073</v>
      </c>
      <c r="AH309" s="406">
        <f t="shared" si="4"/>
        <v>335</v>
      </c>
      <c r="AI30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0.79381000273370073</v>
      </c>
      <c r="AJ309" s="257">
        <f>FME_Ranking1[[#This Row],[Addition check]]-FME_Ranking1[[#This Row],[Weighted Score Based on Normalized Reported Factors]]</f>
        <v>0</v>
      </c>
      <c r="AK309" s="178">
        <f>_xlfn.RANK.EQ(AI309,$AI$6:$AI$2341,0)+COUNTIF($AI$6:AI309,AI309)-1</f>
        <v>335</v>
      </c>
    </row>
    <row r="310" spans="1:37" ht="12" customHeight="1" x14ac:dyDescent="0.25">
      <c r="A310" t="s">
        <v>4141</v>
      </c>
      <c r="B310">
        <f>_xlfn.XLOOKUP(FME_Ranking1[[#This Row],[FME ID]],FME_Input[FME_ID],FME_Input[RFPG_NUM])</f>
        <v>3</v>
      </c>
      <c r="C310" t="str">
        <f>_xlfn.XLOOKUP(FME_Ranking1[[#This Row],[FME ID]],FME_Input[FME_ID],FME_Input[FME_NAME])</f>
        <v>City of Denton DMP</v>
      </c>
      <c r="D310" t="str">
        <f>_xlfn.XLOOKUP(FME_Ranking1[[#This Row],[FME ID]],FME_Input[FME_ID],FME_Input[DESCR])</f>
        <v>Evaluate City and identify future projects.</v>
      </c>
      <c r="E310" s="256">
        <f>_xlfn.XLOOKUP(FME_Ranking1[[#This Row],[FME ID]],FME_Input[FME_ID],FME_Input[FME_COST])</f>
        <v>1000000</v>
      </c>
      <c r="F310" t="str">
        <f>_xlfn.XLOOKUP(FME_Ranking1[[#This Row],[FME ID]],FME_Input[FME_ID],FME_Input[EMER_NEED])</f>
        <v>No</v>
      </c>
      <c r="G310">
        <f>IF(FME_Ranking!F310="Yes",100,0)</f>
        <v>0</v>
      </c>
      <c r="H310">
        <f>FME_Ranking1[[#This Row],[Emergency Need Score (Normalized, Unweighted)]]*$F$3</f>
        <v>0</v>
      </c>
      <c r="I310" s="246">
        <f>_xlfn.XLOOKUP(FME_Ranking1[[#This Row],[FME ID]],FME_Input[FME_ID],FME_Input[STRUCT_100])</f>
        <v>935</v>
      </c>
      <c r="J310" s="178">
        <f>(FME_Ranking1[[#This Row],[Structures 100 Raw]]/I$2)*100</f>
        <v>0.50068543032172386</v>
      </c>
      <c r="K310" s="178">
        <f>FME_Ranking1[[#This Row],[Structures 100  Score (Normalized, Unweighted)]]*$I$3</f>
        <v>7.5102814548258581E-2</v>
      </c>
      <c r="L310" s="246">
        <f>_xlfn.XLOOKUP(FME_Ranking1[[#This Row],[FME ID]],FME_Input[FME_ID],FME_Input[RES_STRUCT100])</f>
        <v>740</v>
      </c>
      <c r="M310" s="230">
        <f>(FME_Ranking1[[#This Row],[Res Structures Raw]]/L$2)*100</f>
        <v>0.52414613760961037</v>
      </c>
      <c r="N310" s="180">
        <f>FME_Ranking1[[#This Row],[Res Structures Score (Normalized, Unweighted)]]*$L$3</f>
        <v>5.2414613760961043E-2</v>
      </c>
      <c r="O310" s="244">
        <f>_xlfn.XLOOKUP(FME_Ranking1[[#This Row],[FME ID]],FME_Input[FME_ID],FME_Input[POP100])</f>
        <v>2088</v>
      </c>
      <c r="P310" s="178">
        <f>(FME_Ranking1[[#This Row],[Pop Raw]]/$O$2)*100</f>
        <v>0.21375965143253772</v>
      </c>
      <c r="Q310" s="178">
        <f>FME_Ranking1[[#This Row],[Pop Score (Normalized, Unweighted)]]*$O$3</f>
        <v>3.2063947714880657E-2</v>
      </c>
      <c r="R310" s="137">
        <f>_xlfn.XLOOKUP(FME_Ranking1[[#This Row],[FME ID]],FME_Input[FME_ID],FME_Input[CRITFAC100])</f>
        <v>9</v>
      </c>
      <c r="S310" s="230">
        <f>(FME_Ranking1[[#This Row],[Critical Facilities Raw]]/$R$2)*100</f>
        <v>0.38593481989708406</v>
      </c>
      <c r="T310" s="180">
        <f>FME_Ranking1[[#This Row],[Critical Facilities Score (Normalized, Unweighted)]]*$R$3</f>
        <v>7.7186963979416823E-2</v>
      </c>
      <c r="U310">
        <f>_xlfn.XLOOKUP(FME_Ranking1[[#This Row],[FME ID]],FME_Input[FME_ID],FME_Input[LWC])</f>
        <v>39</v>
      </c>
      <c r="V310" s="178">
        <f>(FME_Ranking1[[#This Row],[LWC Raw]]/$U$2)*100</f>
        <v>2.2452504317789295</v>
      </c>
      <c r="W310" s="178">
        <f>FME_Ranking1[[#This Row],[LWC Score (Normalized, Unweighted)]]*$U$3</f>
        <v>0.44905008635578592</v>
      </c>
      <c r="X310" s="246">
        <f>_xlfn.XLOOKUP(FME_Ranking1[[#This Row],[FME ID]],FME_Input[FME_ID],FME_Input[ROADCLS])</f>
        <v>0</v>
      </c>
      <c r="Y310" s="230">
        <f>(FME_Ranking1[[#This Row],[Closures Raw]]/$X$2)*100</f>
        <v>0</v>
      </c>
      <c r="Z310" s="180">
        <f>FME_Ranking1[[#This Row],[Closures Score (Normalized, Unweighted)]]*$X$3</f>
        <v>0</v>
      </c>
      <c r="AA310" s="253">
        <f>_xlfn.XLOOKUP(FME_Ranking1[[#This Row],[FME ID]],FME_Input[FME_ID],FME_Input[ROAD_MILES100])</f>
        <v>33.96636962890625</v>
      </c>
      <c r="AB310" s="178">
        <f>(FME_Ranking1[[#This Row],[Miles Raw]]/$AA$2)*100</f>
        <v>0.44659683907616132</v>
      </c>
      <c r="AC310" s="178">
        <f>FME_Ranking1[[#This Row],[Miles Score (Normalized, Unweighted)]]*$AA$3</f>
        <v>4.4659683907616134E-2</v>
      </c>
      <c r="AD310" s="255">
        <f>_xlfn.XLOOKUP(FME_Ranking1[[#This Row],[FME ID]],FME_Input[FME_ID],FME_Input[FARMACRE100])</f>
        <v>3799.85400390625</v>
      </c>
      <c r="AE310" s="230">
        <f>(FME_Ranking1[[#This Row],[Ag Land Raw]]/$AD$2)*100</f>
        <v>0.1566889690606259</v>
      </c>
      <c r="AF310" s="231">
        <f>FME_Ranking1[[#This Row],[Ag Land Score (Normalized, Unweighted)]]*$AD$3</f>
        <v>7.8344484530312956E-3</v>
      </c>
      <c r="AG31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0.73831255871995038</v>
      </c>
      <c r="AH310" s="406">
        <f t="shared" si="4"/>
        <v>344</v>
      </c>
      <c r="AI31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0.73831255871995038</v>
      </c>
      <c r="AJ310" s="257">
        <f>FME_Ranking1[[#This Row],[Addition check]]-FME_Ranking1[[#This Row],[Weighted Score Based on Normalized Reported Factors]]</f>
        <v>0</v>
      </c>
      <c r="AK310" s="178">
        <f>_xlfn.RANK.EQ(AI310,$AI$6:$AI$2341,0)+COUNTIF($AI$6:AI310,AI310)-1</f>
        <v>344</v>
      </c>
    </row>
    <row r="311" spans="1:37" ht="12" customHeight="1" x14ac:dyDescent="0.25">
      <c r="A311" t="s">
        <v>10949</v>
      </c>
      <c r="B311">
        <f>_xlfn.XLOOKUP(FME_Ranking1[[#This Row],[FME ID]],FME_Input[FME_ID],FME_Input[RFPG_NUM])</f>
        <v>14</v>
      </c>
      <c r="C311" t="str">
        <f>_xlfn.XLOOKUP(FME_Ranking1[[#This Row],[FME ID]],FME_Input[FME_ID],FME_Input[FME_NAME])</f>
        <v>Develop city-wide drainage study and stormwater master plan for Pecos</v>
      </c>
      <c r="D311" t="str">
        <f>_xlfn.XLOOKUP(FME_Ranking1[[#This Row],[FME ID]],FME_Input[FME_ID],FME_Input[DESCR])</f>
        <v>Develop city-wide drainage study and stormwater master plan for City of Pecos and adjacent Lindsay Census Designated Place.  Develop detailed H&amp;H models and floodplain maps.  Evaluate FMP alternatives.</v>
      </c>
      <c r="E311" s="256">
        <f>_xlfn.XLOOKUP(FME_Ranking1[[#This Row],[FME ID]],FME_Input[FME_ID],FME_Input[FME_COST])</f>
        <v>92000</v>
      </c>
      <c r="F311" t="str">
        <f>_xlfn.XLOOKUP(FME_Ranking1[[#This Row],[FME ID]],FME_Input[FME_ID],FME_Input[EMER_NEED])</f>
        <v>No</v>
      </c>
      <c r="G311">
        <f>IF(FME_Ranking!F311="Yes",100,0)</f>
        <v>0</v>
      </c>
      <c r="H311">
        <f>FME_Ranking1[[#This Row],[Emergency Need Score (Normalized, Unweighted)]]*$F$3</f>
        <v>0</v>
      </c>
      <c r="I311" s="246">
        <f>_xlfn.XLOOKUP(FME_Ranking1[[#This Row],[FME ID]],FME_Input[FME_ID],FME_Input[STRUCT_100])</f>
        <v>2120</v>
      </c>
      <c r="J311" s="178">
        <f>(FME_Ranking1[[#This Row],[Structures 100 Raw]]/I$2)*100</f>
        <v>1.1352439703551387</v>
      </c>
      <c r="K311" s="178">
        <f>FME_Ranking1[[#This Row],[Structures 100  Score (Normalized, Unweighted)]]*$I$3</f>
        <v>0.1702865955532708</v>
      </c>
      <c r="L311" s="246">
        <f>_xlfn.XLOOKUP(FME_Ranking1[[#This Row],[FME ID]],FME_Input[FME_ID],FME_Input[RES_STRUCT100])</f>
        <v>1240</v>
      </c>
      <c r="M311" s="230">
        <f>(FME_Ranking1[[#This Row],[Res Structures Raw]]/L$2)*100</f>
        <v>0.87829893329177933</v>
      </c>
      <c r="N311" s="180">
        <f>FME_Ranking1[[#This Row],[Res Structures Score (Normalized, Unweighted)]]*$L$3</f>
        <v>8.7829893329177941E-2</v>
      </c>
      <c r="O311" s="244">
        <f>_xlfn.XLOOKUP(FME_Ranking1[[#This Row],[FME ID]],FME_Input[FME_ID],FME_Input[POP100])</f>
        <v>2536</v>
      </c>
      <c r="P311" s="178">
        <f>(FME_Ranking1[[#This Row],[Pop Raw]]/$O$2)*100</f>
        <v>0.25962379120350371</v>
      </c>
      <c r="Q311" s="178">
        <f>FME_Ranking1[[#This Row],[Pop Score (Normalized, Unweighted)]]*$O$3</f>
        <v>3.8943568680525557E-2</v>
      </c>
      <c r="R311" s="137">
        <f>_xlfn.XLOOKUP(FME_Ranking1[[#This Row],[FME ID]],FME_Input[FME_ID],FME_Input[CRITFAC100])</f>
        <v>3</v>
      </c>
      <c r="S311" s="230">
        <f>(FME_Ranking1[[#This Row],[Critical Facilities Raw]]/$R$2)*100</f>
        <v>0.1286449399656947</v>
      </c>
      <c r="T311" s="180">
        <f>FME_Ranking1[[#This Row],[Critical Facilities Score (Normalized, Unweighted)]]*$R$3</f>
        <v>2.5728987993138941E-2</v>
      </c>
      <c r="U311">
        <f>_xlfn.XLOOKUP(FME_Ranking1[[#This Row],[FME ID]],FME_Input[FME_ID],FME_Input[LWC])</f>
        <v>18</v>
      </c>
      <c r="V311" s="178">
        <f>(FME_Ranking1[[#This Row],[LWC Raw]]/$U$2)*100</f>
        <v>1.0362694300518136</v>
      </c>
      <c r="W311" s="178">
        <f>FME_Ranking1[[#This Row],[LWC Score (Normalized, Unweighted)]]*$U$3</f>
        <v>0.20725388601036274</v>
      </c>
      <c r="X311" s="246">
        <f>_xlfn.XLOOKUP(FME_Ranking1[[#This Row],[FME ID]],FME_Input[FME_ID],FME_Input[ROADCLS])</f>
        <v>295</v>
      </c>
      <c r="Y311" s="230">
        <f>(FME_Ranking1[[#This Row],[Closures Raw]]/$X$2)*100</f>
        <v>3.1016717485017349</v>
      </c>
      <c r="Z311" s="180">
        <f>FME_Ranking1[[#This Row],[Closures Score (Normalized, Unweighted)]]*$X$3</f>
        <v>0.15508358742508677</v>
      </c>
      <c r="AA311" s="253">
        <f>_xlfn.XLOOKUP(FME_Ranking1[[#This Row],[FME ID]],FME_Input[FME_ID],FME_Input[ROAD_MILES100])</f>
        <v>89.918502807617188</v>
      </c>
      <c r="AB311" s="178">
        <f>(FME_Ranking1[[#This Row],[Miles Raw]]/$AA$2)*100</f>
        <v>1.1822670355140887</v>
      </c>
      <c r="AC311" s="178">
        <f>FME_Ranking1[[#This Row],[Miles Score (Normalized, Unweighted)]]*$AA$3</f>
        <v>0.11822670355140888</v>
      </c>
      <c r="AD311" s="255">
        <f>_xlfn.XLOOKUP(FME_Ranking1[[#This Row],[FME ID]],FME_Input[FME_ID],FME_Input[FARMACRE100])</f>
        <v>536.59600830078125</v>
      </c>
      <c r="AE311" s="230">
        <f>(FME_Ranking1[[#This Row],[Ag Land Raw]]/$AD$2)*100</f>
        <v>2.2126817308313319E-2</v>
      </c>
      <c r="AF311" s="231">
        <f>FME_Ranking1[[#This Row],[Ag Land Score (Normalized, Unweighted)]]*$AD$3</f>
        <v>1.1063408654156659E-3</v>
      </c>
      <c r="AG31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0.8044595634083872</v>
      </c>
      <c r="AH311" s="406">
        <f t="shared" si="4"/>
        <v>331</v>
      </c>
      <c r="AI31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0.8044595634083872</v>
      </c>
      <c r="AJ311" s="257">
        <f>FME_Ranking1[[#This Row],[Addition check]]-FME_Ranking1[[#This Row],[Weighted Score Based on Normalized Reported Factors]]</f>
        <v>0</v>
      </c>
      <c r="AK311" s="178">
        <f>_xlfn.RANK.EQ(AI311,$AI$6:$AI$2341,0)+COUNTIF($AI$6:AI311,AI311)-1</f>
        <v>331</v>
      </c>
    </row>
    <row r="312" spans="1:37" ht="12" customHeight="1" x14ac:dyDescent="0.25">
      <c r="A312" t="s">
        <v>1056</v>
      </c>
      <c r="B312">
        <f>_xlfn.XLOOKUP(FME_Ranking1[[#This Row],[FME ID]],FME_Input[FME_ID],FME_Input[RFPG_NUM])</f>
        <v>6</v>
      </c>
      <c r="C312" t="str">
        <f>_xlfn.XLOOKUP(FME_Ranking1[[#This Row],[FME ID]],FME_Input[FME_ID],FME_Input[FME_NAME])</f>
        <v>Liberty County Drainage Projects</v>
      </c>
      <c r="D312" t="str">
        <f>_xlfn.XLOOKUP(FME_Ranking1[[#This Row],[FME ID]],FME_Input[FME_ID],FME_Input[DESCR])</f>
        <v>Further study of proposed drainage projects throughout the county- including adding ditches, detention ponds and detention basins in identified locations throughout the county in order to improve drainage.</v>
      </c>
      <c r="E312" s="256">
        <f>_xlfn.XLOOKUP(FME_Ranking1[[#This Row],[FME ID]],FME_Input[FME_ID],FME_Input[FME_COST])</f>
        <v>2000000</v>
      </c>
      <c r="F312" t="str">
        <f>_xlfn.XLOOKUP(FME_Ranking1[[#This Row],[FME ID]],FME_Input[FME_ID],FME_Input[EMER_NEED])</f>
        <v>No</v>
      </c>
      <c r="G312">
        <f>IF(FME_Ranking!F312="Yes",100,0)</f>
        <v>0</v>
      </c>
      <c r="H312">
        <f>FME_Ranking1[[#This Row],[Emergency Need Score (Normalized, Unweighted)]]*$F$3</f>
        <v>0</v>
      </c>
      <c r="I312" s="246">
        <f>_xlfn.XLOOKUP(FME_Ranking1[[#This Row],[FME ID]],FME_Input[FME_ID],FME_Input[STRUCT_100])</f>
        <v>3618</v>
      </c>
      <c r="J312" s="178">
        <f>(FME_Ranking1[[#This Row],[Structures 100 Raw]]/I$2)*100</f>
        <v>1.9374116437475903</v>
      </c>
      <c r="K312" s="178">
        <f>FME_Ranking1[[#This Row],[Structures 100  Score (Normalized, Unweighted)]]*$I$3</f>
        <v>0.29061174656213856</v>
      </c>
      <c r="L312" s="246">
        <f>_xlfn.XLOOKUP(FME_Ranking1[[#This Row],[FME ID]],FME_Input[FME_ID],FME_Input[RES_STRUCT100])</f>
        <v>2271</v>
      </c>
      <c r="M312" s="230">
        <f>(FME_Ranking1[[#This Row],[Res Structures Raw]]/L$2)*100</f>
        <v>1.608561997988412</v>
      </c>
      <c r="N312" s="180">
        <f>FME_Ranking1[[#This Row],[Res Structures Score (Normalized, Unweighted)]]*$L$3</f>
        <v>0.16085619979884122</v>
      </c>
      <c r="O312" s="244">
        <f>_xlfn.XLOOKUP(FME_Ranking1[[#This Row],[FME ID]],FME_Input[FME_ID],FME_Input[POP100])</f>
        <v>4854</v>
      </c>
      <c r="P312" s="178">
        <f>(FME_Ranking1[[#This Row],[Pop Raw]]/$O$2)*100</f>
        <v>0.49692976439345699</v>
      </c>
      <c r="Q312" s="178">
        <f>FME_Ranking1[[#This Row],[Pop Score (Normalized, Unweighted)]]*$O$3</f>
        <v>7.4539464659018548E-2</v>
      </c>
      <c r="R312" s="137">
        <f>_xlfn.XLOOKUP(FME_Ranking1[[#This Row],[FME ID]],FME_Input[FME_ID],FME_Input[CRITFAC100])</f>
        <v>8</v>
      </c>
      <c r="S312" s="230">
        <f>(FME_Ranking1[[#This Row],[Critical Facilities Raw]]/$R$2)*100</f>
        <v>0.34305317324185247</v>
      </c>
      <c r="T312" s="180">
        <f>FME_Ranking1[[#This Row],[Critical Facilities Score (Normalized, Unweighted)]]*$R$3</f>
        <v>6.86106346483705E-2</v>
      </c>
      <c r="U312">
        <f>_xlfn.XLOOKUP(FME_Ranking1[[#This Row],[FME ID]],FME_Input[FME_ID],FME_Input[LWC])</f>
        <v>7</v>
      </c>
      <c r="V312" s="178">
        <f>(FME_Ranking1[[#This Row],[LWC Raw]]/$U$2)*100</f>
        <v>0.40299366724237184</v>
      </c>
      <c r="W312" s="178">
        <f>FME_Ranking1[[#This Row],[LWC Score (Normalized, Unweighted)]]*$U$3</f>
        <v>8.0598733448474374E-2</v>
      </c>
      <c r="X312" s="246">
        <f>_xlfn.XLOOKUP(FME_Ranking1[[#This Row],[FME ID]],FME_Input[FME_ID],FME_Input[ROADCLS])</f>
        <v>7</v>
      </c>
      <c r="Y312" s="230">
        <f>(FME_Ranking1[[#This Row],[Closures Raw]]/$X$2)*100</f>
        <v>7.3598990642414042E-2</v>
      </c>
      <c r="Z312" s="180">
        <f>FME_Ranking1[[#This Row],[Closures Score (Normalized, Unweighted)]]*$X$3</f>
        <v>3.6799495321207022E-3</v>
      </c>
      <c r="AA312" s="253">
        <f>_xlfn.XLOOKUP(FME_Ranking1[[#This Row],[FME ID]],FME_Input[FME_ID],FME_Input[ROAD_MILES100])</f>
        <v>144.16850280761719</v>
      </c>
      <c r="AB312" s="178">
        <f>(FME_Ranking1[[#This Row],[Miles Raw]]/$AA$2)*100</f>
        <v>1.8955572335711459</v>
      </c>
      <c r="AC312" s="178">
        <f>FME_Ranking1[[#This Row],[Miles Score (Normalized, Unweighted)]]*$AA$3</f>
        <v>0.1895557233571146</v>
      </c>
      <c r="AD312" s="255">
        <f>_xlfn.XLOOKUP(FME_Ranking1[[#This Row],[FME ID]],FME_Input[FME_ID],FME_Input[FARMACRE100])</f>
        <v>1379.477294921875</v>
      </c>
      <c r="AE312" s="230">
        <f>(FME_Ranking1[[#This Row],[Ag Land Raw]]/$AD$2)*100</f>
        <v>5.6883468407377902E-2</v>
      </c>
      <c r="AF312" s="231">
        <f>FME_Ranking1[[#This Row],[Ag Land Score (Normalized, Unweighted)]]*$AD$3</f>
        <v>2.8441734203688953E-3</v>
      </c>
      <c r="AG31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0.87129662542644726</v>
      </c>
      <c r="AH312" s="406">
        <f t="shared" si="4"/>
        <v>300</v>
      </c>
      <c r="AI31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0.87129662542644726</v>
      </c>
      <c r="AJ312" s="257">
        <f>FME_Ranking1[[#This Row],[Addition check]]-FME_Ranking1[[#This Row],[Weighted Score Based on Normalized Reported Factors]]</f>
        <v>0</v>
      </c>
      <c r="AK312" s="178">
        <f>_xlfn.RANK.EQ(AI312,$AI$6:$AI$2341,0)+COUNTIF($AI$6:AI312,AI312)-1</f>
        <v>300</v>
      </c>
    </row>
    <row r="313" spans="1:37" ht="12" customHeight="1" x14ac:dyDescent="0.25">
      <c r="A313" t="s">
        <v>1187</v>
      </c>
      <c r="B313">
        <f>_xlfn.XLOOKUP(FME_Ranking1[[#This Row],[FME ID]],FME_Input[FME_ID],FME_Input[RFPG_NUM])</f>
        <v>6</v>
      </c>
      <c r="C313" t="str">
        <f>_xlfn.XLOOKUP(FME_Ranking1[[#This Row],[FME ID]],FME_Input[FME_ID],FME_Input[FME_NAME])</f>
        <v>Recanalization Feasibility Study</v>
      </c>
      <c r="D313" t="str">
        <f>_xlfn.XLOOKUP(FME_Ranking1[[#This Row],[FME ID]],FME_Input[FME_ID],FME_Input[DESCR])</f>
        <v>Dechannelize existing feeder creeks that flow from north to south and improve drainage for strom water runoff.</v>
      </c>
      <c r="E313" s="256">
        <f>_xlfn.XLOOKUP(FME_Ranking1[[#This Row],[FME ID]],FME_Input[FME_ID],FME_Input[FME_COST])</f>
        <v>486000</v>
      </c>
      <c r="F313" t="str">
        <f>_xlfn.XLOOKUP(FME_Ranking1[[#This Row],[FME ID]],FME_Input[FME_ID],FME_Input[EMER_NEED])</f>
        <v>No</v>
      </c>
      <c r="G313">
        <f>IF(FME_Ranking!F313="Yes",100,0)</f>
        <v>0</v>
      </c>
      <c r="H313">
        <f>FME_Ranking1[[#This Row],[Emergency Need Score (Normalized, Unweighted)]]*$F$3</f>
        <v>0</v>
      </c>
      <c r="I313" s="246">
        <f>_xlfn.XLOOKUP(FME_Ranking1[[#This Row],[FME ID]],FME_Input[FME_ID],FME_Input[STRUCT_100])</f>
        <v>3618</v>
      </c>
      <c r="J313" s="178">
        <f>(FME_Ranking1[[#This Row],[Structures 100 Raw]]/I$2)*100</f>
        <v>1.9374116437475903</v>
      </c>
      <c r="K313" s="178">
        <f>FME_Ranking1[[#This Row],[Structures 100  Score (Normalized, Unweighted)]]*$I$3</f>
        <v>0.29061174656213856</v>
      </c>
      <c r="L313" s="246">
        <f>_xlfn.XLOOKUP(FME_Ranking1[[#This Row],[FME ID]],FME_Input[FME_ID],FME_Input[RES_STRUCT100])</f>
        <v>2271</v>
      </c>
      <c r="M313" s="230">
        <f>(FME_Ranking1[[#This Row],[Res Structures Raw]]/L$2)*100</f>
        <v>1.608561997988412</v>
      </c>
      <c r="N313" s="180">
        <f>FME_Ranking1[[#This Row],[Res Structures Score (Normalized, Unweighted)]]*$L$3</f>
        <v>0.16085619979884122</v>
      </c>
      <c r="O313" s="244">
        <f>_xlfn.XLOOKUP(FME_Ranking1[[#This Row],[FME ID]],FME_Input[FME_ID],FME_Input[POP100])</f>
        <v>4854</v>
      </c>
      <c r="P313" s="178">
        <f>(FME_Ranking1[[#This Row],[Pop Raw]]/$O$2)*100</f>
        <v>0.49692976439345699</v>
      </c>
      <c r="Q313" s="178">
        <f>FME_Ranking1[[#This Row],[Pop Score (Normalized, Unweighted)]]*$O$3</f>
        <v>7.4539464659018548E-2</v>
      </c>
      <c r="R313" s="137">
        <f>_xlfn.XLOOKUP(FME_Ranking1[[#This Row],[FME ID]],FME_Input[FME_ID],FME_Input[CRITFAC100])</f>
        <v>8</v>
      </c>
      <c r="S313" s="230">
        <f>(FME_Ranking1[[#This Row],[Critical Facilities Raw]]/$R$2)*100</f>
        <v>0.34305317324185247</v>
      </c>
      <c r="T313" s="180">
        <f>FME_Ranking1[[#This Row],[Critical Facilities Score (Normalized, Unweighted)]]*$R$3</f>
        <v>6.86106346483705E-2</v>
      </c>
      <c r="U313">
        <f>_xlfn.XLOOKUP(FME_Ranking1[[#This Row],[FME ID]],FME_Input[FME_ID],FME_Input[LWC])</f>
        <v>7</v>
      </c>
      <c r="V313" s="178">
        <f>(FME_Ranking1[[#This Row],[LWC Raw]]/$U$2)*100</f>
        <v>0.40299366724237184</v>
      </c>
      <c r="W313" s="178">
        <f>FME_Ranking1[[#This Row],[LWC Score (Normalized, Unweighted)]]*$U$3</f>
        <v>8.0598733448474374E-2</v>
      </c>
      <c r="X313" s="246">
        <f>_xlfn.XLOOKUP(FME_Ranking1[[#This Row],[FME ID]],FME_Input[FME_ID],FME_Input[ROADCLS])</f>
        <v>7</v>
      </c>
      <c r="Y313" s="230">
        <f>(FME_Ranking1[[#This Row],[Closures Raw]]/$X$2)*100</f>
        <v>7.3598990642414042E-2</v>
      </c>
      <c r="Z313" s="180">
        <f>FME_Ranking1[[#This Row],[Closures Score (Normalized, Unweighted)]]*$X$3</f>
        <v>3.6799495321207022E-3</v>
      </c>
      <c r="AA313" s="253">
        <f>_xlfn.XLOOKUP(FME_Ranking1[[#This Row],[FME ID]],FME_Input[FME_ID],FME_Input[ROAD_MILES100])</f>
        <v>144.16850280761719</v>
      </c>
      <c r="AB313" s="178">
        <f>(FME_Ranking1[[#This Row],[Miles Raw]]/$AA$2)*100</f>
        <v>1.8955572335711459</v>
      </c>
      <c r="AC313" s="178">
        <f>FME_Ranking1[[#This Row],[Miles Score (Normalized, Unweighted)]]*$AA$3</f>
        <v>0.1895557233571146</v>
      </c>
      <c r="AD313" s="255">
        <f>_xlfn.XLOOKUP(FME_Ranking1[[#This Row],[FME ID]],FME_Input[FME_ID],FME_Input[FARMACRE100])</f>
        <v>1379.477294921875</v>
      </c>
      <c r="AE313" s="230">
        <f>(FME_Ranking1[[#This Row],[Ag Land Raw]]/$AD$2)*100</f>
        <v>5.6883468407377902E-2</v>
      </c>
      <c r="AF313" s="231">
        <f>FME_Ranking1[[#This Row],[Ag Land Score (Normalized, Unweighted)]]*$AD$3</f>
        <v>2.8441734203688953E-3</v>
      </c>
      <c r="AG31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0.87129662542644726</v>
      </c>
      <c r="AH313" s="406">
        <f t="shared" si="4"/>
        <v>300</v>
      </c>
      <c r="AI31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0.87129662542644726</v>
      </c>
      <c r="AJ313" s="257">
        <f>FME_Ranking1[[#This Row],[Addition check]]-FME_Ranking1[[#This Row],[Weighted Score Based on Normalized Reported Factors]]</f>
        <v>0</v>
      </c>
      <c r="AK313" s="178">
        <f>_xlfn.RANK.EQ(AI313,$AI$6:$AI$2341,0)+COUNTIF($AI$6:AI313,AI313)-1</f>
        <v>301</v>
      </c>
    </row>
    <row r="314" spans="1:37" ht="12" customHeight="1" x14ac:dyDescent="0.25">
      <c r="A314" t="s">
        <v>1263</v>
      </c>
      <c r="B314">
        <f>_xlfn.XLOOKUP(FME_Ranking1[[#This Row],[FME ID]],FME_Input[FME_ID],FME_Input[RFPG_NUM])</f>
        <v>6</v>
      </c>
      <c r="C314" t="str">
        <f>_xlfn.XLOOKUP(FME_Ranking1[[#This Row],[FME ID]],FME_Input[FME_ID],FME_Input[FME_NAME])</f>
        <v>Liberty County Culvert Replacement Project</v>
      </c>
      <c r="D314" t="str">
        <f>_xlfn.XLOOKUP(FME_Ranking1[[#This Row],[FME ID]],FME_Input[FME_ID],FME_Input[DESCR])</f>
        <v>Increase culvert size in identified flood hazard problem areas within Liberty County.</v>
      </c>
      <c r="E314" s="256">
        <f>_xlfn.XLOOKUP(FME_Ranking1[[#This Row],[FME ID]],FME_Input[FME_ID],FME_Input[FME_COST])</f>
        <v>120000</v>
      </c>
      <c r="F314" t="str">
        <f>_xlfn.XLOOKUP(FME_Ranking1[[#This Row],[FME ID]],FME_Input[FME_ID],FME_Input[EMER_NEED])</f>
        <v>No</v>
      </c>
      <c r="G314">
        <f>IF(FME_Ranking!F314="Yes",100,0)</f>
        <v>0</v>
      </c>
      <c r="H314">
        <f>FME_Ranking1[[#This Row],[Emergency Need Score (Normalized, Unweighted)]]*$F$3</f>
        <v>0</v>
      </c>
      <c r="I314" s="246">
        <f>_xlfn.XLOOKUP(FME_Ranking1[[#This Row],[FME ID]],FME_Input[FME_ID],FME_Input[STRUCT_100])</f>
        <v>3618</v>
      </c>
      <c r="J314" s="178">
        <f>(FME_Ranking1[[#This Row],[Structures 100 Raw]]/I$2)*100</f>
        <v>1.9374116437475903</v>
      </c>
      <c r="K314" s="178">
        <f>FME_Ranking1[[#This Row],[Structures 100  Score (Normalized, Unweighted)]]*$I$3</f>
        <v>0.29061174656213856</v>
      </c>
      <c r="L314" s="246">
        <f>_xlfn.XLOOKUP(FME_Ranking1[[#This Row],[FME ID]],FME_Input[FME_ID],FME_Input[RES_STRUCT100])</f>
        <v>2271</v>
      </c>
      <c r="M314" s="230">
        <f>(FME_Ranking1[[#This Row],[Res Structures Raw]]/L$2)*100</f>
        <v>1.608561997988412</v>
      </c>
      <c r="N314" s="180">
        <f>FME_Ranking1[[#This Row],[Res Structures Score (Normalized, Unweighted)]]*$L$3</f>
        <v>0.16085619979884122</v>
      </c>
      <c r="O314" s="244">
        <f>_xlfn.XLOOKUP(FME_Ranking1[[#This Row],[FME ID]],FME_Input[FME_ID],FME_Input[POP100])</f>
        <v>4854</v>
      </c>
      <c r="P314" s="178">
        <f>(FME_Ranking1[[#This Row],[Pop Raw]]/$O$2)*100</f>
        <v>0.49692976439345699</v>
      </c>
      <c r="Q314" s="178">
        <f>FME_Ranking1[[#This Row],[Pop Score (Normalized, Unweighted)]]*$O$3</f>
        <v>7.4539464659018548E-2</v>
      </c>
      <c r="R314" s="137">
        <f>_xlfn.XLOOKUP(FME_Ranking1[[#This Row],[FME ID]],FME_Input[FME_ID],FME_Input[CRITFAC100])</f>
        <v>8</v>
      </c>
      <c r="S314" s="230">
        <f>(FME_Ranking1[[#This Row],[Critical Facilities Raw]]/$R$2)*100</f>
        <v>0.34305317324185247</v>
      </c>
      <c r="T314" s="180">
        <f>FME_Ranking1[[#This Row],[Critical Facilities Score (Normalized, Unweighted)]]*$R$3</f>
        <v>6.86106346483705E-2</v>
      </c>
      <c r="U314">
        <f>_xlfn.XLOOKUP(FME_Ranking1[[#This Row],[FME ID]],FME_Input[FME_ID],FME_Input[LWC])</f>
        <v>7</v>
      </c>
      <c r="V314" s="178">
        <f>(FME_Ranking1[[#This Row],[LWC Raw]]/$U$2)*100</f>
        <v>0.40299366724237184</v>
      </c>
      <c r="W314" s="178">
        <f>FME_Ranking1[[#This Row],[LWC Score (Normalized, Unweighted)]]*$U$3</f>
        <v>8.0598733448474374E-2</v>
      </c>
      <c r="X314" s="246">
        <f>_xlfn.XLOOKUP(FME_Ranking1[[#This Row],[FME ID]],FME_Input[FME_ID],FME_Input[ROADCLS])</f>
        <v>7</v>
      </c>
      <c r="Y314" s="230">
        <f>(FME_Ranking1[[#This Row],[Closures Raw]]/$X$2)*100</f>
        <v>7.3598990642414042E-2</v>
      </c>
      <c r="Z314" s="180">
        <f>FME_Ranking1[[#This Row],[Closures Score (Normalized, Unweighted)]]*$X$3</f>
        <v>3.6799495321207022E-3</v>
      </c>
      <c r="AA314" s="253">
        <f>_xlfn.XLOOKUP(FME_Ranking1[[#This Row],[FME ID]],FME_Input[FME_ID],FME_Input[ROAD_MILES100])</f>
        <v>144.16850280761719</v>
      </c>
      <c r="AB314" s="178">
        <f>(FME_Ranking1[[#This Row],[Miles Raw]]/$AA$2)*100</f>
        <v>1.8955572335711459</v>
      </c>
      <c r="AC314" s="178">
        <f>FME_Ranking1[[#This Row],[Miles Score (Normalized, Unweighted)]]*$AA$3</f>
        <v>0.1895557233571146</v>
      </c>
      <c r="AD314" s="255">
        <f>_xlfn.XLOOKUP(FME_Ranking1[[#This Row],[FME ID]],FME_Input[FME_ID],FME_Input[FARMACRE100])</f>
        <v>1379.477294921875</v>
      </c>
      <c r="AE314" s="230">
        <f>(FME_Ranking1[[#This Row],[Ag Land Raw]]/$AD$2)*100</f>
        <v>5.6883468407377902E-2</v>
      </c>
      <c r="AF314" s="231">
        <f>FME_Ranking1[[#This Row],[Ag Land Score (Normalized, Unweighted)]]*$AD$3</f>
        <v>2.8441734203688953E-3</v>
      </c>
      <c r="AG31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0.87129662542644726</v>
      </c>
      <c r="AH314" s="406">
        <f t="shared" si="4"/>
        <v>300</v>
      </c>
      <c r="AI31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0.87129662542644726</v>
      </c>
      <c r="AJ314" s="257">
        <f>FME_Ranking1[[#This Row],[Addition check]]-FME_Ranking1[[#This Row],[Weighted Score Based on Normalized Reported Factors]]</f>
        <v>0</v>
      </c>
      <c r="AK314" s="178">
        <f>_xlfn.RANK.EQ(AI314,$AI$6:$AI$2341,0)+COUNTIF($AI$6:AI314,AI314)-1</f>
        <v>302</v>
      </c>
    </row>
    <row r="315" spans="1:37" ht="12" customHeight="1" x14ac:dyDescent="0.25">
      <c r="A315" t="s">
        <v>1292</v>
      </c>
      <c r="B315">
        <f>_xlfn.XLOOKUP(FME_Ranking1[[#This Row],[FME ID]],FME_Input[FME_ID],FME_Input[RFPG_NUM])</f>
        <v>6</v>
      </c>
      <c r="C315" t="str">
        <f>_xlfn.XLOOKUP(FME_Ranking1[[#This Row],[FME ID]],FME_Input[FME_ID],FME_Input[FME_NAME])</f>
        <v>Liberty County Regional Flood Drainage Plan</v>
      </c>
      <c r="D315" t="str">
        <f>_xlfn.XLOOKUP(FME_Ranking1[[#This Row],[FME ID]],FME_Input[FME_ID],FME_Input[DESCR])</f>
        <v>Regional drainage study to establish a county wide drainage plan including atlas 14 rainfall.</v>
      </c>
      <c r="E315" s="256">
        <f>_xlfn.XLOOKUP(FME_Ranking1[[#This Row],[FME ID]],FME_Input[FME_ID],FME_Input[FME_COST])</f>
        <v>486000</v>
      </c>
      <c r="F315" t="str">
        <f>_xlfn.XLOOKUP(FME_Ranking1[[#This Row],[FME ID]],FME_Input[FME_ID],FME_Input[EMER_NEED])</f>
        <v>No</v>
      </c>
      <c r="G315">
        <f>IF(FME_Ranking!F315="Yes",100,0)</f>
        <v>0</v>
      </c>
      <c r="H315">
        <f>FME_Ranking1[[#This Row],[Emergency Need Score (Normalized, Unweighted)]]*$F$3</f>
        <v>0</v>
      </c>
      <c r="I315" s="246">
        <f>_xlfn.XLOOKUP(FME_Ranking1[[#This Row],[FME ID]],FME_Input[FME_ID],FME_Input[STRUCT_100])</f>
        <v>3618</v>
      </c>
      <c r="J315" s="178">
        <f>(FME_Ranking1[[#This Row],[Structures 100 Raw]]/I$2)*100</f>
        <v>1.9374116437475903</v>
      </c>
      <c r="K315" s="178">
        <f>FME_Ranking1[[#This Row],[Structures 100  Score (Normalized, Unweighted)]]*$I$3</f>
        <v>0.29061174656213856</v>
      </c>
      <c r="L315" s="246">
        <f>_xlfn.XLOOKUP(FME_Ranking1[[#This Row],[FME ID]],FME_Input[FME_ID],FME_Input[RES_STRUCT100])</f>
        <v>2271</v>
      </c>
      <c r="M315" s="230">
        <f>(FME_Ranking1[[#This Row],[Res Structures Raw]]/L$2)*100</f>
        <v>1.608561997988412</v>
      </c>
      <c r="N315" s="180">
        <f>FME_Ranking1[[#This Row],[Res Structures Score (Normalized, Unweighted)]]*$L$3</f>
        <v>0.16085619979884122</v>
      </c>
      <c r="O315" s="244">
        <f>_xlfn.XLOOKUP(FME_Ranking1[[#This Row],[FME ID]],FME_Input[FME_ID],FME_Input[POP100])</f>
        <v>4854</v>
      </c>
      <c r="P315" s="178">
        <f>(FME_Ranking1[[#This Row],[Pop Raw]]/$O$2)*100</f>
        <v>0.49692976439345699</v>
      </c>
      <c r="Q315" s="178">
        <f>FME_Ranking1[[#This Row],[Pop Score (Normalized, Unweighted)]]*$O$3</f>
        <v>7.4539464659018548E-2</v>
      </c>
      <c r="R315" s="137">
        <f>_xlfn.XLOOKUP(FME_Ranking1[[#This Row],[FME ID]],FME_Input[FME_ID],FME_Input[CRITFAC100])</f>
        <v>8</v>
      </c>
      <c r="S315" s="230">
        <f>(FME_Ranking1[[#This Row],[Critical Facilities Raw]]/$R$2)*100</f>
        <v>0.34305317324185247</v>
      </c>
      <c r="T315" s="180">
        <f>FME_Ranking1[[#This Row],[Critical Facilities Score (Normalized, Unweighted)]]*$R$3</f>
        <v>6.86106346483705E-2</v>
      </c>
      <c r="U315">
        <f>_xlfn.XLOOKUP(FME_Ranking1[[#This Row],[FME ID]],FME_Input[FME_ID],FME_Input[LWC])</f>
        <v>7</v>
      </c>
      <c r="V315" s="178">
        <f>(FME_Ranking1[[#This Row],[LWC Raw]]/$U$2)*100</f>
        <v>0.40299366724237184</v>
      </c>
      <c r="W315" s="178">
        <f>FME_Ranking1[[#This Row],[LWC Score (Normalized, Unweighted)]]*$U$3</f>
        <v>8.0598733448474374E-2</v>
      </c>
      <c r="X315" s="246">
        <f>_xlfn.XLOOKUP(FME_Ranking1[[#This Row],[FME ID]],FME_Input[FME_ID],FME_Input[ROADCLS])</f>
        <v>7</v>
      </c>
      <c r="Y315" s="230">
        <f>(FME_Ranking1[[#This Row],[Closures Raw]]/$X$2)*100</f>
        <v>7.3598990642414042E-2</v>
      </c>
      <c r="Z315" s="180">
        <f>FME_Ranking1[[#This Row],[Closures Score (Normalized, Unweighted)]]*$X$3</f>
        <v>3.6799495321207022E-3</v>
      </c>
      <c r="AA315" s="253">
        <f>_xlfn.XLOOKUP(FME_Ranking1[[#This Row],[FME ID]],FME_Input[FME_ID],FME_Input[ROAD_MILES100])</f>
        <v>144.16850280761719</v>
      </c>
      <c r="AB315" s="178">
        <f>(FME_Ranking1[[#This Row],[Miles Raw]]/$AA$2)*100</f>
        <v>1.8955572335711459</v>
      </c>
      <c r="AC315" s="178">
        <f>FME_Ranking1[[#This Row],[Miles Score (Normalized, Unweighted)]]*$AA$3</f>
        <v>0.1895557233571146</v>
      </c>
      <c r="AD315" s="255">
        <f>_xlfn.XLOOKUP(FME_Ranking1[[#This Row],[FME ID]],FME_Input[FME_ID],FME_Input[FARMACRE100])</f>
        <v>1379.477294921875</v>
      </c>
      <c r="AE315" s="230">
        <f>(FME_Ranking1[[#This Row],[Ag Land Raw]]/$AD$2)*100</f>
        <v>5.6883468407377902E-2</v>
      </c>
      <c r="AF315" s="231">
        <f>FME_Ranking1[[#This Row],[Ag Land Score (Normalized, Unweighted)]]*$AD$3</f>
        <v>2.8441734203688953E-3</v>
      </c>
      <c r="AG31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0.87129662542644726</v>
      </c>
      <c r="AH315" s="406">
        <f t="shared" si="4"/>
        <v>300</v>
      </c>
      <c r="AI31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0.87129662542644726</v>
      </c>
      <c r="AJ315" s="257">
        <f>FME_Ranking1[[#This Row],[Addition check]]-FME_Ranking1[[#This Row],[Weighted Score Based on Normalized Reported Factors]]</f>
        <v>0</v>
      </c>
      <c r="AK315" s="178">
        <f>_xlfn.RANK.EQ(AI315,$AI$6:$AI$2341,0)+COUNTIF($AI$6:AI315,AI315)-1</f>
        <v>303</v>
      </c>
    </row>
    <row r="316" spans="1:37" ht="12" customHeight="1" x14ac:dyDescent="0.25">
      <c r="A316" t="s">
        <v>1334</v>
      </c>
      <c r="B316">
        <f>_xlfn.XLOOKUP(FME_Ranking1[[#This Row],[FME ID]],FME_Input[FME_ID],FME_Input[RFPG_NUM])</f>
        <v>6</v>
      </c>
      <c r="C316" t="str">
        <f>_xlfn.XLOOKUP(FME_Ranking1[[#This Row],[FME ID]],FME_Input[FME_ID],FME_Input[FME_NAME])</f>
        <v>Update Liberty County FIRMs to Include Bench Marks</v>
      </c>
      <c r="D316" t="str">
        <f>_xlfn.XLOOKUP(FME_Ranking1[[#This Row],[FME ID]],FME_Input[FME_ID],FME_Input[DESCR])</f>
        <v>Add bench marks to updated Flood Insurance Rate Maps.</v>
      </c>
      <c r="E316" s="256">
        <f>_xlfn.XLOOKUP(FME_Ranking1[[#This Row],[FME ID]],FME_Input[FME_ID],FME_Input[FME_COST])</f>
        <v>50000</v>
      </c>
      <c r="F316" t="str">
        <f>_xlfn.XLOOKUP(FME_Ranking1[[#This Row],[FME ID]],FME_Input[FME_ID],FME_Input[EMER_NEED])</f>
        <v>No</v>
      </c>
      <c r="G316">
        <f>IF(FME_Ranking!F316="Yes",100,0)</f>
        <v>0</v>
      </c>
      <c r="H316">
        <f>FME_Ranking1[[#This Row],[Emergency Need Score (Normalized, Unweighted)]]*$F$3</f>
        <v>0</v>
      </c>
      <c r="I316" s="246">
        <f>_xlfn.XLOOKUP(FME_Ranking1[[#This Row],[FME ID]],FME_Input[FME_ID],FME_Input[STRUCT_100])</f>
        <v>3618</v>
      </c>
      <c r="J316" s="178">
        <f>(FME_Ranking1[[#This Row],[Structures 100 Raw]]/I$2)*100</f>
        <v>1.9374116437475903</v>
      </c>
      <c r="K316" s="178">
        <f>FME_Ranking1[[#This Row],[Structures 100  Score (Normalized, Unweighted)]]*$I$3</f>
        <v>0.29061174656213856</v>
      </c>
      <c r="L316" s="246">
        <f>_xlfn.XLOOKUP(FME_Ranking1[[#This Row],[FME ID]],FME_Input[FME_ID],FME_Input[RES_STRUCT100])</f>
        <v>2271</v>
      </c>
      <c r="M316" s="230">
        <f>(FME_Ranking1[[#This Row],[Res Structures Raw]]/L$2)*100</f>
        <v>1.608561997988412</v>
      </c>
      <c r="N316" s="180">
        <f>FME_Ranking1[[#This Row],[Res Structures Score (Normalized, Unweighted)]]*$L$3</f>
        <v>0.16085619979884122</v>
      </c>
      <c r="O316" s="244">
        <f>_xlfn.XLOOKUP(FME_Ranking1[[#This Row],[FME ID]],FME_Input[FME_ID],FME_Input[POP100])</f>
        <v>4854</v>
      </c>
      <c r="P316" s="178">
        <f>(FME_Ranking1[[#This Row],[Pop Raw]]/$O$2)*100</f>
        <v>0.49692976439345699</v>
      </c>
      <c r="Q316" s="178">
        <f>FME_Ranking1[[#This Row],[Pop Score (Normalized, Unweighted)]]*$O$3</f>
        <v>7.4539464659018548E-2</v>
      </c>
      <c r="R316" s="137">
        <f>_xlfn.XLOOKUP(FME_Ranking1[[#This Row],[FME ID]],FME_Input[FME_ID],FME_Input[CRITFAC100])</f>
        <v>8</v>
      </c>
      <c r="S316" s="230">
        <f>(FME_Ranking1[[#This Row],[Critical Facilities Raw]]/$R$2)*100</f>
        <v>0.34305317324185247</v>
      </c>
      <c r="T316" s="180">
        <f>FME_Ranking1[[#This Row],[Critical Facilities Score (Normalized, Unweighted)]]*$R$3</f>
        <v>6.86106346483705E-2</v>
      </c>
      <c r="U316">
        <f>_xlfn.XLOOKUP(FME_Ranking1[[#This Row],[FME ID]],FME_Input[FME_ID],FME_Input[LWC])</f>
        <v>7</v>
      </c>
      <c r="V316" s="178">
        <f>(FME_Ranking1[[#This Row],[LWC Raw]]/$U$2)*100</f>
        <v>0.40299366724237184</v>
      </c>
      <c r="W316" s="178">
        <f>FME_Ranking1[[#This Row],[LWC Score (Normalized, Unweighted)]]*$U$3</f>
        <v>8.0598733448474374E-2</v>
      </c>
      <c r="X316" s="246">
        <f>_xlfn.XLOOKUP(FME_Ranking1[[#This Row],[FME ID]],FME_Input[FME_ID],FME_Input[ROADCLS])</f>
        <v>7</v>
      </c>
      <c r="Y316" s="230">
        <f>(FME_Ranking1[[#This Row],[Closures Raw]]/$X$2)*100</f>
        <v>7.3598990642414042E-2</v>
      </c>
      <c r="Z316" s="180">
        <f>FME_Ranking1[[#This Row],[Closures Score (Normalized, Unweighted)]]*$X$3</f>
        <v>3.6799495321207022E-3</v>
      </c>
      <c r="AA316" s="253">
        <f>_xlfn.XLOOKUP(FME_Ranking1[[#This Row],[FME ID]],FME_Input[FME_ID],FME_Input[ROAD_MILES100])</f>
        <v>144.16850280761719</v>
      </c>
      <c r="AB316" s="178">
        <f>(FME_Ranking1[[#This Row],[Miles Raw]]/$AA$2)*100</f>
        <v>1.8955572335711459</v>
      </c>
      <c r="AC316" s="178">
        <f>FME_Ranking1[[#This Row],[Miles Score (Normalized, Unweighted)]]*$AA$3</f>
        <v>0.1895557233571146</v>
      </c>
      <c r="AD316" s="255">
        <f>_xlfn.XLOOKUP(FME_Ranking1[[#This Row],[FME ID]],FME_Input[FME_ID],FME_Input[FARMACRE100])</f>
        <v>1379.477294921875</v>
      </c>
      <c r="AE316" s="230">
        <f>(FME_Ranking1[[#This Row],[Ag Land Raw]]/$AD$2)*100</f>
        <v>5.6883468407377902E-2</v>
      </c>
      <c r="AF316" s="231">
        <f>FME_Ranking1[[#This Row],[Ag Land Score (Normalized, Unweighted)]]*$AD$3</f>
        <v>2.8441734203688953E-3</v>
      </c>
      <c r="AG31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0.87129662542644726</v>
      </c>
      <c r="AH316" s="406">
        <f t="shared" si="4"/>
        <v>300</v>
      </c>
      <c r="AI31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0.87129662542644726</v>
      </c>
      <c r="AJ316" s="257">
        <f>FME_Ranking1[[#This Row],[Addition check]]-FME_Ranking1[[#This Row],[Weighted Score Based on Normalized Reported Factors]]</f>
        <v>0</v>
      </c>
      <c r="AK316" s="178">
        <f>_xlfn.RANK.EQ(AI316,$AI$6:$AI$2341,0)+COUNTIF($AI$6:AI316,AI316)-1</f>
        <v>304</v>
      </c>
    </row>
    <row r="317" spans="1:37" ht="12" customHeight="1" x14ac:dyDescent="0.25">
      <c r="A317" t="s">
        <v>2305</v>
      </c>
      <c r="B317">
        <f>_xlfn.XLOOKUP(FME_Ranking1[[#This Row],[FME ID]],FME_Input[FME_ID],FME_Input[RFPG_NUM])</f>
        <v>6</v>
      </c>
      <c r="C317" t="str">
        <f>_xlfn.XLOOKUP(FME_Ranking1[[#This Row],[FME ID]],FME_Input[FME_ID],FME_Input[FME_NAME])</f>
        <v>Update Liberty County Floodplain Maps</v>
      </c>
      <c r="D317" t="str">
        <f>_xlfn.XLOOKUP(FME_Ranking1[[#This Row],[FME ID]],FME_Input[FME_ID],FME_Input[DESCR])</f>
        <v>Study by participating jurisdictions to update floodway maps throughout the county, including Atlas 14 rainfalls.</v>
      </c>
      <c r="E317" s="256">
        <f>_xlfn.XLOOKUP(FME_Ranking1[[#This Row],[FME ID]],FME_Input[FME_ID],FME_Input[FME_COST])</f>
        <v>1243000</v>
      </c>
      <c r="F317" t="str">
        <f>_xlfn.XLOOKUP(FME_Ranking1[[#This Row],[FME ID]],FME_Input[FME_ID],FME_Input[EMER_NEED])</f>
        <v>No</v>
      </c>
      <c r="G317">
        <f>IF(FME_Ranking!F317="Yes",100,0)</f>
        <v>0</v>
      </c>
      <c r="H317">
        <f>FME_Ranking1[[#This Row],[Emergency Need Score (Normalized, Unweighted)]]*$F$3</f>
        <v>0</v>
      </c>
      <c r="I317" s="246">
        <f>_xlfn.XLOOKUP(FME_Ranking1[[#This Row],[FME ID]],FME_Input[FME_ID],FME_Input[STRUCT_100])</f>
        <v>3618</v>
      </c>
      <c r="J317" s="178">
        <f>(FME_Ranking1[[#This Row],[Structures 100 Raw]]/I$2)*100</f>
        <v>1.9374116437475903</v>
      </c>
      <c r="K317" s="178">
        <f>FME_Ranking1[[#This Row],[Structures 100  Score (Normalized, Unweighted)]]*$I$3</f>
        <v>0.29061174656213856</v>
      </c>
      <c r="L317" s="246">
        <f>_xlfn.XLOOKUP(FME_Ranking1[[#This Row],[FME ID]],FME_Input[FME_ID],FME_Input[RES_STRUCT100])</f>
        <v>2271</v>
      </c>
      <c r="M317" s="230">
        <f>(FME_Ranking1[[#This Row],[Res Structures Raw]]/L$2)*100</f>
        <v>1.608561997988412</v>
      </c>
      <c r="N317" s="180">
        <f>FME_Ranking1[[#This Row],[Res Structures Score (Normalized, Unweighted)]]*$L$3</f>
        <v>0.16085619979884122</v>
      </c>
      <c r="O317" s="244">
        <f>_xlfn.XLOOKUP(FME_Ranking1[[#This Row],[FME ID]],FME_Input[FME_ID],FME_Input[POP100])</f>
        <v>4854</v>
      </c>
      <c r="P317" s="178">
        <f>(FME_Ranking1[[#This Row],[Pop Raw]]/$O$2)*100</f>
        <v>0.49692976439345699</v>
      </c>
      <c r="Q317" s="178">
        <f>FME_Ranking1[[#This Row],[Pop Score (Normalized, Unweighted)]]*$O$3</f>
        <v>7.4539464659018548E-2</v>
      </c>
      <c r="R317" s="137">
        <f>_xlfn.XLOOKUP(FME_Ranking1[[#This Row],[FME ID]],FME_Input[FME_ID],FME_Input[CRITFAC100])</f>
        <v>8</v>
      </c>
      <c r="S317" s="230">
        <f>(FME_Ranking1[[#This Row],[Critical Facilities Raw]]/$R$2)*100</f>
        <v>0.34305317324185247</v>
      </c>
      <c r="T317" s="180">
        <f>FME_Ranking1[[#This Row],[Critical Facilities Score (Normalized, Unweighted)]]*$R$3</f>
        <v>6.86106346483705E-2</v>
      </c>
      <c r="U317">
        <f>_xlfn.XLOOKUP(FME_Ranking1[[#This Row],[FME ID]],FME_Input[FME_ID],FME_Input[LWC])</f>
        <v>7</v>
      </c>
      <c r="V317" s="178">
        <f>(FME_Ranking1[[#This Row],[LWC Raw]]/$U$2)*100</f>
        <v>0.40299366724237184</v>
      </c>
      <c r="W317" s="178">
        <f>FME_Ranking1[[#This Row],[LWC Score (Normalized, Unweighted)]]*$U$3</f>
        <v>8.0598733448474374E-2</v>
      </c>
      <c r="X317" s="246">
        <f>_xlfn.XLOOKUP(FME_Ranking1[[#This Row],[FME ID]],FME_Input[FME_ID],FME_Input[ROADCLS])</f>
        <v>7</v>
      </c>
      <c r="Y317" s="230">
        <f>(FME_Ranking1[[#This Row],[Closures Raw]]/$X$2)*100</f>
        <v>7.3598990642414042E-2</v>
      </c>
      <c r="Z317" s="180">
        <f>FME_Ranking1[[#This Row],[Closures Score (Normalized, Unweighted)]]*$X$3</f>
        <v>3.6799495321207022E-3</v>
      </c>
      <c r="AA317" s="253">
        <f>_xlfn.XLOOKUP(FME_Ranking1[[#This Row],[FME ID]],FME_Input[FME_ID],FME_Input[ROAD_MILES100])</f>
        <v>144.16850280761719</v>
      </c>
      <c r="AB317" s="178">
        <f>(FME_Ranking1[[#This Row],[Miles Raw]]/$AA$2)*100</f>
        <v>1.8955572335711459</v>
      </c>
      <c r="AC317" s="178">
        <f>FME_Ranking1[[#This Row],[Miles Score (Normalized, Unweighted)]]*$AA$3</f>
        <v>0.1895557233571146</v>
      </c>
      <c r="AD317" s="255">
        <f>_xlfn.XLOOKUP(FME_Ranking1[[#This Row],[FME ID]],FME_Input[FME_ID],FME_Input[FARMACRE100])</f>
        <v>1379.477294921875</v>
      </c>
      <c r="AE317" s="230">
        <f>(FME_Ranking1[[#This Row],[Ag Land Raw]]/$AD$2)*100</f>
        <v>5.6883468407377902E-2</v>
      </c>
      <c r="AF317" s="231">
        <f>FME_Ranking1[[#This Row],[Ag Land Score (Normalized, Unweighted)]]*$AD$3</f>
        <v>2.8441734203688953E-3</v>
      </c>
      <c r="AG31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0.87129662542644726</v>
      </c>
      <c r="AH317" s="406">
        <f t="shared" si="4"/>
        <v>300</v>
      </c>
      <c r="AI31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0.87129662542644726</v>
      </c>
      <c r="AJ317" s="257">
        <f>FME_Ranking1[[#This Row],[Addition check]]-FME_Ranking1[[#This Row],[Weighted Score Based on Normalized Reported Factors]]</f>
        <v>0</v>
      </c>
      <c r="AK317" s="178">
        <f>_xlfn.RANK.EQ(AI317,$AI$6:$AI$2341,0)+COUNTIF($AI$6:AI317,AI317)-1</f>
        <v>305</v>
      </c>
    </row>
    <row r="318" spans="1:37" ht="12" customHeight="1" x14ac:dyDescent="0.25">
      <c r="A318" t="s">
        <v>4034</v>
      </c>
      <c r="B318">
        <f>_xlfn.XLOOKUP(FME_Ranking1[[#This Row],[FME ID]],FME_Input[FME_ID],FME_Input[RFPG_NUM])</f>
        <v>3</v>
      </c>
      <c r="C318" t="str">
        <f>_xlfn.XLOOKUP(FME_Ranking1[[#This Row],[FME ID]],FME_Input[FME_ID],FME_Input[FME_NAME])</f>
        <v>Chambers County Dam/Levee Failure Inundation Map Updates</v>
      </c>
      <c r="D318" t="str">
        <f>_xlfn.XLOOKUP(FME_Ranking1[[#This Row],[FME ID]],FME_Input[FME_ID],FME_Input[DESCR])</f>
        <v>Update dam and levee failure inundation maps.</v>
      </c>
      <c r="E318" s="256">
        <f>_xlfn.XLOOKUP(FME_Ranking1[[#This Row],[FME ID]],FME_Input[FME_ID],FME_Input[FME_COST])</f>
        <v>462000</v>
      </c>
      <c r="F318" t="str">
        <f>_xlfn.XLOOKUP(FME_Ranking1[[#This Row],[FME ID]],FME_Input[FME_ID],FME_Input[EMER_NEED])</f>
        <v>No</v>
      </c>
      <c r="G318">
        <f>IF(FME_Ranking!F318="Yes",100,0)</f>
        <v>0</v>
      </c>
      <c r="H318">
        <f>FME_Ranking1[[#This Row],[Emergency Need Score (Normalized, Unweighted)]]*$F$3</f>
        <v>0</v>
      </c>
      <c r="I318" s="246">
        <f>_xlfn.XLOOKUP(FME_Ranking1[[#This Row],[FME ID]],FME_Input[FME_ID],FME_Input[STRUCT_100])</f>
        <v>2452</v>
      </c>
      <c r="J318" s="178">
        <f>(FME_Ranking1[[#This Row],[Structures 100 Raw]]/I$2)*100</f>
        <v>1.313027460052264</v>
      </c>
      <c r="K318" s="178">
        <f>FME_Ranking1[[#This Row],[Structures 100  Score (Normalized, Unweighted)]]*$I$3</f>
        <v>0.1969541190078396</v>
      </c>
      <c r="L318" s="246">
        <f>_xlfn.XLOOKUP(FME_Ranking1[[#This Row],[FME ID]],FME_Input[FME_ID],FME_Input[RES_STRUCT100])</f>
        <v>1807</v>
      </c>
      <c r="M318" s="230">
        <f>(FME_Ranking1[[#This Row],[Res Structures Raw]]/L$2)*100</f>
        <v>1.2799082035953593</v>
      </c>
      <c r="N318" s="180">
        <f>FME_Ranking1[[#This Row],[Res Structures Score (Normalized, Unweighted)]]*$L$3</f>
        <v>0.12799082035953593</v>
      </c>
      <c r="O318" s="244">
        <f>_xlfn.XLOOKUP(FME_Ranking1[[#This Row],[FME ID]],FME_Input[FME_ID],FME_Input[POP100])</f>
        <v>7348</v>
      </c>
      <c r="P318" s="178">
        <f>(FME_Ranking1[[#This Row],[Pop Raw]]/$O$2)*100</f>
        <v>0.7522537924934326</v>
      </c>
      <c r="Q318" s="178">
        <f>FME_Ranking1[[#This Row],[Pop Score (Normalized, Unweighted)]]*$O$3</f>
        <v>0.11283806887401489</v>
      </c>
      <c r="R318" s="137">
        <f>_xlfn.XLOOKUP(FME_Ranking1[[#This Row],[FME ID]],FME_Input[FME_ID],FME_Input[CRITFAC100])</f>
        <v>26</v>
      </c>
      <c r="S318" s="230">
        <f>(FME_Ranking1[[#This Row],[Critical Facilities Raw]]/$R$2)*100</f>
        <v>1.1149228130360207</v>
      </c>
      <c r="T318" s="180">
        <f>FME_Ranking1[[#This Row],[Critical Facilities Score (Normalized, Unweighted)]]*$R$3</f>
        <v>0.22298456260720415</v>
      </c>
      <c r="U318">
        <f>_xlfn.XLOOKUP(FME_Ranking1[[#This Row],[FME ID]],FME_Input[FME_ID],FME_Input[LWC])</f>
        <v>0</v>
      </c>
      <c r="V318" s="178">
        <f>(FME_Ranking1[[#This Row],[LWC Raw]]/$U$2)*100</f>
        <v>0</v>
      </c>
      <c r="W318" s="178">
        <f>FME_Ranking1[[#This Row],[LWC Score (Normalized, Unweighted)]]*$U$3</f>
        <v>0</v>
      </c>
      <c r="X318" s="246">
        <f>_xlfn.XLOOKUP(FME_Ranking1[[#This Row],[FME ID]],FME_Input[FME_ID],FME_Input[ROADCLS])</f>
        <v>0</v>
      </c>
      <c r="Y318" s="230">
        <f>(FME_Ranking1[[#This Row],[Closures Raw]]/$X$2)*100</f>
        <v>0</v>
      </c>
      <c r="Z318" s="180">
        <f>FME_Ranking1[[#This Row],[Closures Score (Normalized, Unweighted)]]*$X$3</f>
        <v>0</v>
      </c>
      <c r="AA318" s="253">
        <f>_xlfn.XLOOKUP(FME_Ranking1[[#This Row],[FME ID]],FME_Input[FME_ID],FME_Input[ROAD_MILES100])</f>
        <v>53.151050567626953</v>
      </c>
      <c r="AB318" s="178">
        <f>(FME_Ranking1[[#This Row],[Miles Raw]]/$AA$2)*100</f>
        <v>0.69884098407969197</v>
      </c>
      <c r="AC318" s="178">
        <f>FME_Ranking1[[#This Row],[Miles Score (Normalized, Unweighted)]]*$AA$3</f>
        <v>6.9884098407969206E-2</v>
      </c>
      <c r="AD318" s="255">
        <f>_xlfn.XLOOKUP(FME_Ranking1[[#This Row],[FME ID]],FME_Input[FME_ID],FME_Input[FARMACRE100])</f>
        <v>9200.4775390625</v>
      </c>
      <c r="AE318" s="230">
        <f>(FME_Ranking1[[#This Row],[Ag Land Raw]]/$AD$2)*100</f>
        <v>0.37938650773928922</v>
      </c>
      <c r="AF318" s="231">
        <f>FME_Ranking1[[#This Row],[Ag Land Score (Normalized, Unweighted)]]*$AD$3</f>
        <v>1.8969325386964463E-2</v>
      </c>
      <c r="AG31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0.74962099464352827</v>
      </c>
      <c r="AH318" s="406">
        <f t="shared" si="4"/>
        <v>343</v>
      </c>
      <c r="AI31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0.74962099464352827</v>
      </c>
      <c r="AJ318" s="257">
        <f>FME_Ranking1[[#This Row],[Addition check]]-FME_Ranking1[[#This Row],[Weighted Score Based on Normalized Reported Factors]]</f>
        <v>0</v>
      </c>
      <c r="AK318" s="178">
        <f>_xlfn.RANK.EQ(AI318,$AI$6:$AI$2341,0)+COUNTIF($AI$6:AI318,AI318)-1</f>
        <v>343</v>
      </c>
    </row>
    <row r="319" spans="1:37" ht="12" customHeight="1" x14ac:dyDescent="0.25">
      <c r="A319" t="s">
        <v>3008</v>
      </c>
      <c r="B319">
        <f>_xlfn.XLOOKUP(FME_Ranking1[[#This Row],[FME ID]],FME_Input[FME_ID],FME_Input[RFPG_NUM])</f>
        <v>1</v>
      </c>
      <c r="C319" t="str">
        <f>_xlfn.XLOOKUP(FME_Ranking1[[#This Row],[FME ID]],FME_Input[FME_ID],FME_Input[FME_NAME])</f>
        <v>Potter County FIS</v>
      </c>
      <c r="D319" t="str">
        <f>_xlfn.XLOOKUP(FME_Ranking1[[#This Row],[FME ID]],FME_Input[FME_ID],FME_Input[DESCR])</f>
        <v>Update flood insurance study for the county and develop regulatory mapping</v>
      </c>
      <c r="E319" s="256">
        <f>_xlfn.XLOOKUP(FME_Ranking1[[#This Row],[FME ID]],FME_Input[FME_ID],FME_Input[FME_COST])</f>
        <v>929000</v>
      </c>
      <c r="F319" t="str">
        <f>_xlfn.XLOOKUP(FME_Ranking1[[#This Row],[FME ID]],FME_Input[FME_ID],FME_Input[EMER_NEED])</f>
        <v>No</v>
      </c>
      <c r="G319">
        <f>IF(FME_Ranking!F319="Yes",100,0)</f>
        <v>0</v>
      </c>
      <c r="H319">
        <f>FME_Ranking1[[#This Row],[Emergency Need Score (Normalized, Unweighted)]]*$F$3</f>
        <v>0</v>
      </c>
      <c r="I319" s="246">
        <f>_xlfn.XLOOKUP(FME_Ranking1[[#This Row],[FME ID]],FME_Input[FME_ID],FME_Input[STRUCT_100])</f>
        <v>1083</v>
      </c>
      <c r="J319" s="178">
        <f>(FME_Ranking1[[#This Row],[Structures 100 Raw]]/I$2)*100</f>
        <v>0.57993831127104489</v>
      </c>
      <c r="K319" s="178">
        <f>FME_Ranking1[[#This Row],[Structures 100  Score (Normalized, Unweighted)]]*$I$3</f>
        <v>8.6990746690656734E-2</v>
      </c>
      <c r="L319" s="246">
        <f>_xlfn.XLOOKUP(FME_Ranking1[[#This Row],[FME ID]],FME_Input[FME_ID],FME_Input[RES_STRUCT100])</f>
        <v>812</v>
      </c>
      <c r="M319" s="230">
        <f>(FME_Ranking1[[#This Row],[Res Structures Raw]]/L$2)*100</f>
        <v>0.57514414018784266</v>
      </c>
      <c r="N319" s="180">
        <f>FME_Ranking1[[#This Row],[Res Structures Score (Normalized, Unweighted)]]*$L$3</f>
        <v>5.7514414018784266E-2</v>
      </c>
      <c r="O319" s="244">
        <f>_xlfn.XLOOKUP(FME_Ranking1[[#This Row],[FME ID]],FME_Input[FME_ID],FME_Input[POP100])</f>
        <v>8889</v>
      </c>
      <c r="P319" s="178">
        <f>(FME_Ranking1[[#This Row],[Pop Raw]]/$O$2)*100</f>
        <v>0.91001414826811688</v>
      </c>
      <c r="Q319" s="178">
        <f>FME_Ranking1[[#This Row],[Pop Score (Normalized, Unweighted)]]*$O$3</f>
        <v>0.13650212224021752</v>
      </c>
      <c r="R319" s="137">
        <f>_xlfn.XLOOKUP(FME_Ranking1[[#This Row],[FME ID]],FME_Input[FME_ID],FME_Input[CRITFAC100])</f>
        <v>13</v>
      </c>
      <c r="S319" s="230">
        <f>(FME_Ranking1[[#This Row],[Critical Facilities Raw]]/$R$2)*100</f>
        <v>0.55746140651801035</v>
      </c>
      <c r="T319" s="180">
        <f>FME_Ranking1[[#This Row],[Critical Facilities Score (Normalized, Unweighted)]]*$R$3</f>
        <v>0.11149228130360207</v>
      </c>
      <c r="U319">
        <f>_xlfn.XLOOKUP(FME_Ranking1[[#This Row],[FME ID]],FME_Input[FME_ID],FME_Input[LWC])</f>
        <v>14</v>
      </c>
      <c r="V319" s="178">
        <f>(FME_Ranking1[[#This Row],[LWC Raw]]/$U$2)*100</f>
        <v>0.80598733448474369</v>
      </c>
      <c r="W319" s="178">
        <f>FME_Ranking1[[#This Row],[LWC Score (Normalized, Unweighted)]]*$U$3</f>
        <v>0.16119746689694875</v>
      </c>
      <c r="X319" s="246">
        <f>_xlfn.XLOOKUP(FME_Ranking1[[#This Row],[FME ID]],FME_Input[FME_ID],FME_Input[ROADCLS])</f>
        <v>14</v>
      </c>
      <c r="Y319" s="230">
        <f>(FME_Ranking1[[#This Row],[Closures Raw]]/$X$2)*100</f>
        <v>0.14719798128482808</v>
      </c>
      <c r="Z319" s="180">
        <f>FME_Ranking1[[#This Row],[Closures Score (Normalized, Unweighted)]]*$X$3</f>
        <v>7.3598990642414043E-3</v>
      </c>
      <c r="AA319" s="253">
        <f>_xlfn.XLOOKUP(FME_Ranking1[[#This Row],[FME ID]],FME_Input[FME_ID],FME_Input[ROAD_MILES100])</f>
        <v>78.978248596191406</v>
      </c>
      <c r="AB319" s="178">
        <f>(FME_Ranking1[[#This Row],[Miles Raw]]/$AA$2)*100</f>
        <v>1.0384223149009562</v>
      </c>
      <c r="AC319" s="178">
        <f>FME_Ranking1[[#This Row],[Miles Score (Normalized, Unweighted)]]*$AA$3</f>
        <v>0.10384223149009562</v>
      </c>
      <c r="AD319" s="255">
        <f>_xlfn.XLOOKUP(FME_Ranking1[[#This Row],[FME ID]],FME_Input[FME_ID],FME_Input[FARMACRE100])</f>
        <v>53184.33203125</v>
      </c>
      <c r="AE319" s="230">
        <f>(FME_Ranking1[[#This Row],[Ag Land Raw]]/$AD$2)*100</f>
        <v>2.1930837731101915</v>
      </c>
      <c r="AF319" s="231">
        <f>FME_Ranking1[[#This Row],[Ag Land Score (Normalized, Unweighted)]]*$AD$3</f>
        <v>0.10965418865550958</v>
      </c>
      <c r="AG31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0.7745533503600559</v>
      </c>
      <c r="AH319" s="406">
        <f t="shared" si="4"/>
        <v>336</v>
      </c>
      <c r="AI31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0.7745533503600559</v>
      </c>
      <c r="AJ319" s="257">
        <f>FME_Ranking1[[#This Row],[Addition check]]-FME_Ranking1[[#This Row],[Weighted Score Based on Normalized Reported Factors]]</f>
        <v>0</v>
      </c>
      <c r="AK319" s="178">
        <f>_xlfn.RANK.EQ(AI319,$AI$6:$AI$2341,0)+COUNTIF($AI$6:AI319,AI319)-1</f>
        <v>336</v>
      </c>
    </row>
    <row r="320" spans="1:37" ht="12" customHeight="1" x14ac:dyDescent="0.25">
      <c r="A320" t="s">
        <v>3042</v>
      </c>
      <c r="B320">
        <f>_xlfn.XLOOKUP(FME_Ranking1[[#This Row],[FME ID]],FME_Input[FME_ID],FME_Input[RFPG_NUM])</f>
        <v>1</v>
      </c>
      <c r="C320" t="str">
        <f>_xlfn.XLOOKUP(FME_Ranking1[[#This Row],[FME ID]],FME_Input[FME_ID],FME_Input[FME_NAME])</f>
        <v>Potter County Drainage Master Plan</v>
      </c>
      <c r="D320" t="str">
        <f>_xlfn.XLOOKUP(FME_Ranking1[[#This Row],[FME ID]],FME_Input[FME_ID],FME_Input[DESCR])</f>
        <v>Perform H&amp;H modeling, develop conceptual alternatives and OPCC, and rank projects; selected based on HMAPs</v>
      </c>
      <c r="E320" s="256">
        <f>_xlfn.XLOOKUP(FME_Ranking1[[#This Row],[FME ID]],FME_Input[FME_ID],FME_Input[FME_COST])</f>
        <v>500000</v>
      </c>
      <c r="F320" t="str">
        <f>_xlfn.XLOOKUP(FME_Ranking1[[#This Row],[FME ID]],FME_Input[FME_ID],FME_Input[EMER_NEED])</f>
        <v>No</v>
      </c>
      <c r="G320">
        <f>IF(FME_Ranking!F320="Yes",100,0)</f>
        <v>0</v>
      </c>
      <c r="H320">
        <f>FME_Ranking1[[#This Row],[Emergency Need Score (Normalized, Unweighted)]]*$F$3</f>
        <v>0</v>
      </c>
      <c r="I320" s="246">
        <f>_xlfn.XLOOKUP(FME_Ranking1[[#This Row],[FME ID]],FME_Input[FME_ID],FME_Input[STRUCT_100])</f>
        <v>1083</v>
      </c>
      <c r="J320" s="178">
        <f>(FME_Ranking1[[#This Row],[Structures 100 Raw]]/I$2)*100</f>
        <v>0.57993831127104489</v>
      </c>
      <c r="K320" s="178">
        <f>FME_Ranking1[[#This Row],[Structures 100  Score (Normalized, Unweighted)]]*$I$3</f>
        <v>8.6990746690656734E-2</v>
      </c>
      <c r="L320" s="246">
        <f>_xlfn.XLOOKUP(FME_Ranking1[[#This Row],[FME ID]],FME_Input[FME_ID],FME_Input[RES_STRUCT100])</f>
        <v>812</v>
      </c>
      <c r="M320" s="230">
        <f>(FME_Ranking1[[#This Row],[Res Structures Raw]]/L$2)*100</f>
        <v>0.57514414018784266</v>
      </c>
      <c r="N320" s="180">
        <f>FME_Ranking1[[#This Row],[Res Structures Score (Normalized, Unweighted)]]*$L$3</f>
        <v>5.7514414018784266E-2</v>
      </c>
      <c r="O320" s="244">
        <f>_xlfn.XLOOKUP(FME_Ranking1[[#This Row],[FME ID]],FME_Input[FME_ID],FME_Input[POP100])</f>
        <v>8889</v>
      </c>
      <c r="P320" s="178">
        <f>(FME_Ranking1[[#This Row],[Pop Raw]]/$O$2)*100</f>
        <v>0.91001414826811688</v>
      </c>
      <c r="Q320" s="178">
        <f>FME_Ranking1[[#This Row],[Pop Score (Normalized, Unweighted)]]*$O$3</f>
        <v>0.13650212224021752</v>
      </c>
      <c r="R320" s="137">
        <f>_xlfn.XLOOKUP(FME_Ranking1[[#This Row],[FME ID]],FME_Input[FME_ID],FME_Input[CRITFAC100])</f>
        <v>13</v>
      </c>
      <c r="S320" s="230">
        <f>(FME_Ranking1[[#This Row],[Critical Facilities Raw]]/$R$2)*100</f>
        <v>0.55746140651801035</v>
      </c>
      <c r="T320" s="180">
        <f>FME_Ranking1[[#This Row],[Critical Facilities Score (Normalized, Unweighted)]]*$R$3</f>
        <v>0.11149228130360207</v>
      </c>
      <c r="U320">
        <f>_xlfn.XLOOKUP(FME_Ranking1[[#This Row],[FME ID]],FME_Input[FME_ID],FME_Input[LWC])</f>
        <v>14</v>
      </c>
      <c r="V320" s="178">
        <f>(FME_Ranking1[[#This Row],[LWC Raw]]/$U$2)*100</f>
        <v>0.80598733448474369</v>
      </c>
      <c r="W320" s="178">
        <f>FME_Ranking1[[#This Row],[LWC Score (Normalized, Unweighted)]]*$U$3</f>
        <v>0.16119746689694875</v>
      </c>
      <c r="X320" s="246">
        <f>_xlfn.XLOOKUP(FME_Ranking1[[#This Row],[FME ID]],FME_Input[FME_ID],FME_Input[ROADCLS])</f>
        <v>14</v>
      </c>
      <c r="Y320" s="230">
        <f>(FME_Ranking1[[#This Row],[Closures Raw]]/$X$2)*100</f>
        <v>0.14719798128482808</v>
      </c>
      <c r="Z320" s="180">
        <f>FME_Ranking1[[#This Row],[Closures Score (Normalized, Unweighted)]]*$X$3</f>
        <v>7.3598990642414043E-3</v>
      </c>
      <c r="AA320" s="253">
        <f>_xlfn.XLOOKUP(FME_Ranking1[[#This Row],[FME ID]],FME_Input[FME_ID],FME_Input[ROAD_MILES100])</f>
        <v>78.978248596191406</v>
      </c>
      <c r="AB320" s="178">
        <f>(FME_Ranking1[[#This Row],[Miles Raw]]/$AA$2)*100</f>
        <v>1.0384223149009562</v>
      </c>
      <c r="AC320" s="178">
        <f>FME_Ranking1[[#This Row],[Miles Score (Normalized, Unweighted)]]*$AA$3</f>
        <v>0.10384223149009562</v>
      </c>
      <c r="AD320" s="255">
        <f>_xlfn.XLOOKUP(FME_Ranking1[[#This Row],[FME ID]],FME_Input[FME_ID],FME_Input[FARMACRE100])</f>
        <v>53184.33203125</v>
      </c>
      <c r="AE320" s="230">
        <f>(FME_Ranking1[[#This Row],[Ag Land Raw]]/$AD$2)*100</f>
        <v>2.1930837731101915</v>
      </c>
      <c r="AF320" s="231">
        <f>FME_Ranking1[[#This Row],[Ag Land Score (Normalized, Unweighted)]]*$AD$3</f>
        <v>0.10965418865550958</v>
      </c>
      <c r="AG32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0.7745533503600559</v>
      </c>
      <c r="AH320" s="406">
        <f t="shared" si="4"/>
        <v>336</v>
      </c>
      <c r="AI32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0.7745533503600559</v>
      </c>
      <c r="AJ320" s="257">
        <f>FME_Ranking1[[#This Row],[Addition check]]-FME_Ranking1[[#This Row],[Weighted Score Based on Normalized Reported Factors]]</f>
        <v>0</v>
      </c>
      <c r="AK320" s="178">
        <f>_xlfn.RANK.EQ(AI320,$AI$6:$AI$2341,0)+COUNTIF($AI$6:AI320,AI320)-1</f>
        <v>337</v>
      </c>
    </row>
    <row r="321" spans="1:37" ht="12" customHeight="1" x14ac:dyDescent="0.25">
      <c r="A321" t="s">
        <v>3189</v>
      </c>
      <c r="B321">
        <f>_xlfn.XLOOKUP(FME_Ranking1[[#This Row],[FME ID]],FME_Input[FME_ID],FME_Input[RFPG_NUM])</f>
        <v>1</v>
      </c>
      <c r="C321" t="str">
        <f>_xlfn.XLOOKUP(FME_Ranking1[[#This Row],[FME ID]],FME_Input[FME_ID],FME_Input[FME_NAME])</f>
        <v>Potter County GIS Development</v>
      </c>
      <c r="D321" t="str">
        <f>_xlfn.XLOOKUP(FME_Ranking1[[#This Row],[FME ID]],FME_Input[FME_ID],FME_Input[DESCR])</f>
        <v>Develop GIS inventory and condition assessment for flood infrastructure; selected based on survey response</v>
      </c>
      <c r="E321" s="256">
        <f>_xlfn.XLOOKUP(FME_Ranking1[[#This Row],[FME ID]],FME_Input[FME_ID],FME_Input[FME_COST])</f>
        <v>50000</v>
      </c>
      <c r="F321" t="str">
        <f>_xlfn.XLOOKUP(FME_Ranking1[[#This Row],[FME ID]],FME_Input[FME_ID],FME_Input[EMER_NEED])</f>
        <v>No</v>
      </c>
      <c r="G321">
        <f>IF(FME_Ranking!F321="Yes",100,0)</f>
        <v>0</v>
      </c>
      <c r="H321">
        <f>FME_Ranking1[[#This Row],[Emergency Need Score (Normalized, Unweighted)]]*$F$3</f>
        <v>0</v>
      </c>
      <c r="I321" s="246">
        <f>_xlfn.XLOOKUP(FME_Ranking1[[#This Row],[FME ID]],FME_Input[FME_ID],FME_Input[STRUCT_100])</f>
        <v>1083</v>
      </c>
      <c r="J321" s="178">
        <f>(FME_Ranking1[[#This Row],[Structures 100 Raw]]/I$2)*100</f>
        <v>0.57993831127104489</v>
      </c>
      <c r="K321" s="178">
        <f>FME_Ranking1[[#This Row],[Structures 100  Score (Normalized, Unweighted)]]*$I$3</f>
        <v>8.6990746690656734E-2</v>
      </c>
      <c r="L321" s="246">
        <f>_xlfn.XLOOKUP(FME_Ranking1[[#This Row],[FME ID]],FME_Input[FME_ID],FME_Input[RES_STRUCT100])</f>
        <v>812</v>
      </c>
      <c r="M321" s="230">
        <f>(FME_Ranking1[[#This Row],[Res Structures Raw]]/L$2)*100</f>
        <v>0.57514414018784266</v>
      </c>
      <c r="N321" s="180">
        <f>FME_Ranking1[[#This Row],[Res Structures Score (Normalized, Unweighted)]]*$L$3</f>
        <v>5.7514414018784266E-2</v>
      </c>
      <c r="O321" s="244">
        <f>_xlfn.XLOOKUP(FME_Ranking1[[#This Row],[FME ID]],FME_Input[FME_ID],FME_Input[POP100])</f>
        <v>8889</v>
      </c>
      <c r="P321" s="178">
        <f>(FME_Ranking1[[#This Row],[Pop Raw]]/$O$2)*100</f>
        <v>0.91001414826811688</v>
      </c>
      <c r="Q321" s="178">
        <f>FME_Ranking1[[#This Row],[Pop Score (Normalized, Unweighted)]]*$O$3</f>
        <v>0.13650212224021752</v>
      </c>
      <c r="R321" s="137">
        <f>_xlfn.XLOOKUP(FME_Ranking1[[#This Row],[FME ID]],FME_Input[FME_ID],FME_Input[CRITFAC100])</f>
        <v>13</v>
      </c>
      <c r="S321" s="230">
        <f>(FME_Ranking1[[#This Row],[Critical Facilities Raw]]/$R$2)*100</f>
        <v>0.55746140651801035</v>
      </c>
      <c r="T321" s="180">
        <f>FME_Ranking1[[#This Row],[Critical Facilities Score (Normalized, Unweighted)]]*$R$3</f>
        <v>0.11149228130360207</v>
      </c>
      <c r="U321">
        <f>_xlfn.XLOOKUP(FME_Ranking1[[#This Row],[FME ID]],FME_Input[FME_ID],FME_Input[LWC])</f>
        <v>14</v>
      </c>
      <c r="V321" s="178">
        <f>(FME_Ranking1[[#This Row],[LWC Raw]]/$U$2)*100</f>
        <v>0.80598733448474369</v>
      </c>
      <c r="W321" s="178">
        <f>FME_Ranking1[[#This Row],[LWC Score (Normalized, Unweighted)]]*$U$3</f>
        <v>0.16119746689694875</v>
      </c>
      <c r="X321" s="246">
        <f>_xlfn.XLOOKUP(FME_Ranking1[[#This Row],[FME ID]],FME_Input[FME_ID],FME_Input[ROADCLS])</f>
        <v>14</v>
      </c>
      <c r="Y321" s="230">
        <f>(FME_Ranking1[[#This Row],[Closures Raw]]/$X$2)*100</f>
        <v>0.14719798128482808</v>
      </c>
      <c r="Z321" s="180">
        <f>FME_Ranking1[[#This Row],[Closures Score (Normalized, Unweighted)]]*$X$3</f>
        <v>7.3598990642414043E-3</v>
      </c>
      <c r="AA321" s="253">
        <f>_xlfn.XLOOKUP(FME_Ranking1[[#This Row],[FME ID]],FME_Input[FME_ID],FME_Input[ROAD_MILES100])</f>
        <v>78.978248596191406</v>
      </c>
      <c r="AB321" s="178">
        <f>(FME_Ranking1[[#This Row],[Miles Raw]]/$AA$2)*100</f>
        <v>1.0384223149009562</v>
      </c>
      <c r="AC321" s="178">
        <f>FME_Ranking1[[#This Row],[Miles Score (Normalized, Unweighted)]]*$AA$3</f>
        <v>0.10384223149009562</v>
      </c>
      <c r="AD321" s="255">
        <f>_xlfn.XLOOKUP(FME_Ranking1[[#This Row],[FME ID]],FME_Input[FME_ID],FME_Input[FARMACRE100])</f>
        <v>53184.33203125</v>
      </c>
      <c r="AE321" s="230">
        <f>(FME_Ranking1[[#This Row],[Ag Land Raw]]/$AD$2)*100</f>
        <v>2.1930837731101915</v>
      </c>
      <c r="AF321" s="231">
        <f>FME_Ranking1[[#This Row],[Ag Land Score (Normalized, Unweighted)]]*$AD$3</f>
        <v>0.10965418865550958</v>
      </c>
      <c r="AG32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0.7745533503600559</v>
      </c>
      <c r="AH321" s="406">
        <f t="shared" si="4"/>
        <v>336</v>
      </c>
      <c r="AI32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0.7745533503600559</v>
      </c>
      <c r="AJ321" s="257">
        <f>FME_Ranking1[[#This Row],[Addition check]]-FME_Ranking1[[#This Row],[Weighted Score Based on Normalized Reported Factors]]</f>
        <v>0</v>
      </c>
      <c r="AK321" s="178">
        <f>_xlfn.RANK.EQ(AI321,$AI$6:$AI$2341,0)+COUNTIF($AI$6:AI321,AI321)-1</f>
        <v>338</v>
      </c>
    </row>
    <row r="322" spans="1:37" ht="12" customHeight="1" x14ac:dyDescent="0.25">
      <c r="A322" t="s">
        <v>10233</v>
      </c>
      <c r="B322">
        <f>_xlfn.XLOOKUP(FME_Ranking1[[#This Row],[FME ID]],FME_Input[FME_ID],FME_Input[RFPG_NUM])</f>
        <v>13</v>
      </c>
      <c r="C322" t="str">
        <f>_xlfn.XLOOKUP(FME_Ranking1[[#This Row],[FME ID]],FME_Input[FME_ID],FME_Input[FME_NAME])</f>
        <v>City of Falfurrias City-Wide Flood Study</v>
      </c>
      <c r="D322" t="str">
        <f>_xlfn.XLOOKUP(FME_Ranking1[[#This Row],[FME ID]],FME_Input[FME_ID],FME_Input[DESCR])</f>
        <v xml:space="preserve">City wide flood study to evaluate floodplain is required in the City of Falfurrias. </v>
      </c>
      <c r="E322" s="256">
        <f>_xlfn.XLOOKUP(FME_Ranking1[[#This Row],[FME ID]],FME_Input[FME_ID],FME_Input[FME_COST])</f>
        <v>250000</v>
      </c>
      <c r="F322" t="str">
        <f>_xlfn.XLOOKUP(FME_Ranking1[[#This Row],[FME ID]],FME_Input[FME_ID],FME_Input[EMER_NEED])</f>
        <v>Yes</v>
      </c>
      <c r="G322">
        <f>IF(FME_Ranking!F322="Yes",100,0)</f>
        <v>100</v>
      </c>
      <c r="H322">
        <f>FME_Ranking1[[#This Row],[Emergency Need Score (Normalized, Unweighted)]]*$F$3</f>
        <v>0</v>
      </c>
      <c r="I322" s="246">
        <f>_xlfn.XLOOKUP(FME_Ranking1[[#This Row],[FME ID]],FME_Input[FME_ID],FME_Input[STRUCT_100])</f>
        <v>1675</v>
      </c>
      <c r="J322" s="178">
        <f>(FME_Ranking1[[#This Row],[Structures 100 Raw]]/I$2)*100</f>
        <v>0.89694983506832893</v>
      </c>
      <c r="K322" s="178">
        <f>FME_Ranking1[[#This Row],[Structures 100  Score (Normalized, Unweighted)]]*$I$3</f>
        <v>0.13454247526024934</v>
      </c>
      <c r="L322" s="246">
        <f>_xlfn.XLOOKUP(FME_Ranking1[[#This Row],[FME ID]],FME_Input[FME_ID],FME_Input[RES_STRUCT100])</f>
        <v>1248</v>
      </c>
      <c r="M322" s="230">
        <f>(FME_Ranking1[[#This Row],[Res Structures Raw]]/L$2)*100</f>
        <v>0.88396537802269415</v>
      </c>
      <c r="N322" s="180">
        <f>FME_Ranking1[[#This Row],[Res Structures Score (Normalized, Unweighted)]]*$L$3</f>
        <v>8.8396537802269415E-2</v>
      </c>
      <c r="O322" s="244">
        <f>_xlfn.XLOOKUP(FME_Ranking1[[#This Row],[FME ID]],FME_Input[FME_ID],FME_Input[POP100])</f>
        <v>5071</v>
      </c>
      <c r="P322" s="178">
        <f>(FME_Ranking1[[#This Row],[Pop Raw]]/$O$2)*100</f>
        <v>0.51914520709501855</v>
      </c>
      <c r="Q322" s="178">
        <f>FME_Ranking1[[#This Row],[Pop Score (Normalized, Unweighted)]]*$O$3</f>
        <v>7.7871781064252785E-2</v>
      </c>
      <c r="R322" s="137">
        <f>_xlfn.XLOOKUP(FME_Ranking1[[#This Row],[FME ID]],FME_Input[FME_ID],FME_Input[CRITFAC100])</f>
        <v>33</v>
      </c>
      <c r="S322" s="230">
        <f>(FME_Ranking1[[#This Row],[Critical Facilities Raw]]/$R$2)*100</f>
        <v>1.4150943396226416</v>
      </c>
      <c r="T322" s="180">
        <f>FME_Ranking1[[#This Row],[Critical Facilities Score (Normalized, Unweighted)]]*$R$3</f>
        <v>0.28301886792452835</v>
      </c>
      <c r="U322">
        <f>_xlfn.XLOOKUP(FME_Ranking1[[#This Row],[FME ID]],FME_Input[FME_ID],FME_Input[LWC])</f>
        <v>2</v>
      </c>
      <c r="V322" s="178">
        <f>(FME_Ranking1[[#This Row],[LWC Raw]]/$U$2)*100</f>
        <v>0.11514104778353484</v>
      </c>
      <c r="W322" s="178">
        <f>FME_Ranking1[[#This Row],[LWC Score (Normalized, Unweighted)]]*$U$3</f>
        <v>2.302820955670697E-2</v>
      </c>
      <c r="X322" s="246">
        <f>_xlfn.XLOOKUP(FME_Ranking1[[#This Row],[FME ID]],FME_Input[FME_ID],FME_Input[ROADCLS])</f>
        <v>115</v>
      </c>
      <c r="Y322" s="230">
        <f>(FME_Ranking1[[#This Row],[Closures Raw]]/$X$2)*100</f>
        <v>1.2091262748396594</v>
      </c>
      <c r="Z322" s="180">
        <f>FME_Ranking1[[#This Row],[Closures Score (Normalized, Unweighted)]]*$X$3</f>
        <v>6.0456313741982973E-2</v>
      </c>
      <c r="AA322" s="253">
        <f>_xlfn.XLOOKUP(FME_Ranking1[[#This Row],[FME ID]],FME_Input[FME_ID],FME_Input[ROAD_MILES100])</f>
        <v>41.330535888671882</v>
      </c>
      <c r="AB322" s="178">
        <f>(FME_Ranking1[[#This Row],[Miles Raw]]/$AA$2)*100</f>
        <v>0.54342241713981709</v>
      </c>
      <c r="AC322" s="178">
        <f>FME_Ranking1[[#This Row],[Miles Score (Normalized, Unweighted)]]*$AA$3</f>
        <v>5.4342241713981713E-2</v>
      </c>
      <c r="AD322" s="255">
        <f>_xlfn.XLOOKUP(FME_Ranking1[[#This Row],[FME ID]],FME_Input[FME_ID],FME_Input[FARMACRE100])</f>
        <v>12.35445022583008</v>
      </c>
      <c r="AE322" s="230">
        <f>(FME_Ranking1[[#This Row],[Ag Land Raw]]/$AD$2)*100</f>
        <v>5.0944222257121551E-4</v>
      </c>
      <c r="AF322" s="231">
        <f>FME_Ranking1[[#This Row],[Ag Land Score (Normalized, Unweighted)]]*$AD$3</f>
        <v>2.5472111128560777E-5</v>
      </c>
      <c r="AG32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0.72168189917510017</v>
      </c>
      <c r="AH322" s="406">
        <f t="shared" si="4"/>
        <v>346</v>
      </c>
      <c r="AI32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0.72168189917510017</v>
      </c>
      <c r="AJ322" s="257">
        <f>FME_Ranking1[[#This Row],[Addition check]]-FME_Ranking1[[#This Row],[Weighted Score Based on Normalized Reported Factors]]</f>
        <v>0</v>
      </c>
      <c r="AK322" s="178">
        <f>_xlfn.RANK.EQ(AI322,$AI$6:$AI$2341,0)+COUNTIF($AI$6:AI322,AI322)-1</f>
        <v>346</v>
      </c>
    </row>
    <row r="323" spans="1:37" ht="12" customHeight="1" x14ac:dyDescent="0.25">
      <c r="A323" t="s">
        <v>10991</v>
      </c>
      <c r="B323">
        <f>_xlfn.XLOOKUP(FME_Ranking1[[#This Row],[FME ID]],FME_Input[FME_ID],FME_Input[RFPG_NUM])</f>
        <v>14</v>
      </c>
      <c r="C323" t="str">
        <f>_xlfn.XLOOKUP(FME_Ranking1[[#This Row],[FME ID]],FME_Input[FME_ID],FME_Input[FME_NAME])</f>
        <v>Develop city-wide drainage study and stormwater master plan for Alpine</v>
      </c>
      <c r="D323" t="str">
        <f>_xlfn.XLOOKUP(FME_Ranking1[[#This Row],[FME ID]],FME_Input[FME_ID],FME_Input[DESCR])</f>
        <v>Develop city-wide drainage study and stormwater master plan for Alpine.  Develop detailed H&amp;H models and floodplain maps.  Evaluate FMP alternatives.</v>
      </c>
      <c r="E323" s="256">
        <f>_xlfn.XLOOKUP(FME_Ranking1[[#This Row],[FME ID]],FME_Input[FME_ID],FME_Input[FME_COST])</f>
        <v>250000</v>
      </c>
      <c r="F323" t="str">
        <f>_xlfn.XLOOKUP(FME_Ranking1[[#This Row],[FME ID]],FME_Input[FME_ID],FME_Input[EMER_NEED])</f>
        <v>No</v>
      </c>
      <c r="G323">
        <f>IF(FME_Ranking!F323="Yes",100,0)</f>
        <v>0</v>
      </c>
      <c r="H323">
        <f>FME_Ranking1[[#This Row],[Emergency Need Score (Normalized, Unweighted)]]*$F$3</f>
        <v>0</v>
      </c>
      <c r="I323" s="246">
        <f>_xlfn.XLOOKUP(FME_Ranking1[[#This Row],[FME ID]],FME_Input[FME_ID],FME_Input[STRUCT_100])</f>
        <v>1640</v>
      </c>
      <c r="J323" s="178">
        <f>(FME_Ranking1[[#This Row],[Structures 100 Raw]]/I$2)*100</f>
        <v>0.878207599708692</v>
      </c>
      <c r="K323" s="178">
        <f>FME_Ranking1[[#This Row],[Structures 100  Score (Normalized, Unweighted)]]*$I$3</f>
        <v>0.13173113995630378</v>
      </c>
      <c r="L323" s="246">
        <f>_xlfn.XLOOKUP(FME_Ranking1[[#This Row],[FME ID]],FME_Input[FME_ID],FME_Input[RES_STRUCT100])</f>
        <v>1181</v>
      </c>
      <c r="M323" s="230">
        <f>(FME_Ranking1[[#This Row],[Res Structures Raw]]/L$2)*100</f>
        <v>0.83650890340128348</v>
      </c>
      <c r="N323" s="180">
        <f>FME_Ranking1[[#This Row],[Res Structures Score (Normalized, Unweighted)]]*$L$3</f>
        <v>8.3650890340128348E-2</v>
      </c>
      <c r="O323" s="244">
        <f>_xlfn.XLOOKUP(FME_Ranking1[[#This Row],[FME ID]],FME_Input[FME_ID],FME_Input[POP100])</f>
        <v>4367</v>
      </c>
      <c r="P323" s="178">
        <f>(FME_Ranking1[[#This Row],[Pop Raw]]/$O$2)*100</f>
        <v>0.44707298745492929</v>
      </c>
      <c r="Q323" s="178">
        <f>FME_Ranking1[[#This Row],[Pop Score (Normalized, Unweighted)]]*$O$3</f>
        <v>6.7060948118239386E-2</v>
      </c>
      <c r="R323" s="137">
        <f>_xlfn.XLOOKUP(FME_Ranking1[[#This Row],[FME ID]],FME_Input[FME_ID],FME_Input[CRITFAC100])</f>
        <v>6</v>
      </c>
      <c r="S323" s="230">
        <f>(FME_Ranking1[[#This Row],[Critical Facilities Raw]]/$R$2)*100</f>
        <v>0.25728987993138941</v>
      </c>
      <c r="T323" s="180">
        <f>FME_Ranking1[[#This Row],[Critical Facilities Score (Normalized, Unweighted)]]*$R$3</f>
        <v>5.1457975986277882E-2</v>
      </c>
      <c r="U323">
        <f>_xlfn.XLOOKUP(FME_Ranking1[[#This Row],[FME ID]],FME_Input[FME_ID],FME_Input[LWC])</f>
        <v>18</v>
      </c>
      <c r="V323" s="178">
        <f>(FME_Ranking1[[#This Row],[LWC Raw]]/$U$2)*100</f>
        <v>1.0362694300518136</v>
      </c>
      <c r="W323" s="178">
        <f>FME_Ranking1[[#This Row],[LWC Score (Normalized, Unweighted)]]*$U$3</f>
        <v>0.20725388601036274</v>
      </c>
      <c r="X323" s="246">
        <f>_xlfn.XLOOKUP(FME_Ranking1[[#This Row],[FME ID]],FME_Input[FME_ID],FME_Input[ROADCLS])</f>
        <v>199</v>
      </c>
      <c r="Y323" s="230">
        <f>(FME_Ranking1[[#This Row],[Closures Raw]]/$X$2)*100</f>
        <v>2.0923141625486279</v>
      </c>
      <c r="Z323" s="180">
        <f>FME_Ranking1[[#This Row],[Closures Score (Normalized, Unweighted)]]*$X$3</f>
        <v>0.1046157081274314</v>
      </c>
      <c r="AA323" s="253">
        <f>_xlfn.XLOOKUP(FME_Ranking1[[#This Row],[FME ID]],FME_Input[FME_ID],FME_Input[ROAD_MILES100])</f>
        <v>38.025798797607422</v>
      </c>
      <c r="AB323" s="178">
        <f>(FME_Ranking1[[#This Row],[Miles Raw]]/$AA$2)*100</f>
        <v>0.49997105171655676</v>
      </c>
      <c r="AC323" s="178">
        <f>FME_Ranking1[[#This Row],[Miles Score (Normalized, Unweighted)]]*$AA$3</f>
        <v>4.9997105171655676E-2</v>
      </c>
      <c r="AD323" s="255">
        <f>_xlfn.XLOOKUP(FME_Ranking1[[#This Row],[FME ID]],FME_Input[FME_ID],FME_Input[FARMACRE100])</f>
        <v>49.910099029541023</v>
      </c>
      <c r="AE323" s="230">
        <f>(FME_Ranking1[[#This Row],[Ag Land Raw]]/$AD$2)*100</f>
        <v>2.0580690612358255E-3</v>
      </c>
      <c r="AF323" s="231">
        <f>FME_Ranking1[[#This Row],[Ag Land Score (Normalized, Unweighted)]]*$AD$3</f>
        <v>1.0290345306179128E-4</v>
      </c>
      <c r="AG32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0.69587055716346091</v>
      </c>
      <c r="AH323" s="406">
        <f t="shared" si="4"/>
        <v>353</v>
      </c>
      <c r="AI32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0.69587055716346091</v>
      </c>
      <c r="AJ323" s="257">
        <f>FME_Ranking1[[#This Row],[Addition check]]-FME_Ranking1[[#This Row],[Weighted Score Based on Normalized Reported Factors]]</f>
        <v>0</v>
      </c>
      <c r="AK323" s="178">
        <f>_xlfn.RANK.EQ(AI323,$AI$6:$AI$2341,0)+COUNTIF($AI$6:AI323,AI323)-1</f>
        <v>353</v>
      </c>
    </row>
    <row r="324" spans="1:37" ht="12" customHeight="1" x14ac:dyDescent="0.25">
      <c r="A324" t="s">
        <v>3812</v>
      </c>
      <c r="B324">
        <f>_xlfn.XLOOKUP(FME_Ranking1[[#This Row],[FME ID]],FME_Input[FME_ID],FME_Input[RFPG_NUM])</f>
        <v>3</v>
      </c>
      <c r="C324" t="str">
        <f>_xlfn.XLOOKUP(FME_Ranking1[[#This Row],[FME ID]],FME_Input[FME_ID],FME_Input[FME_NAME])</f>
        <v xml:space="preserve">Chambers County FEMA Mapping </v>
      </c>
      <c r="D324" t="str">
        <f>_xlfn.XLOOKUP(FME_Ranking1[[#This Row],[FME ID]],FME_Input[FME_ID],FME_Input[DESCR])</f>
        <v>Create FEMA mapping in previously unmapped areas and update existing FEMA maps as needed.</v>
      </c>
      <c r="E324" s="256">
        <f>_xlfn.XLOOKUP(FME_Ranking1[[#This Row],[FME ID]],FME_Input[FME_ID],FME_Input[FME_COST])</f>
        <v>874000</v>
      </c>
      <c r="F324" t="str">
        <f>_xlfn.XLOOKUP(FME_Ranking1[[#This Row],[FME ID]],FME_Input[FME_ID],FME_Input[EMER_NEED])</f>
        <v>No</v>
      </c>
      <c r="G324">
        <f>IF(FME_Ranking!F324="Yes",100,0)</f>
        <v>0</v>
      </c>
      <c r="H324">
        <f>FME_Ranking1[[#This Row],[Emergency Need Score (Normalized, Unweighted)]]*$F$3</f>
        <v>0</v>
      </c>
      <c r="I324" s="246">
        <f>_xlfn.XLOOKUP(FME_Ranking1[[#This Row],[FME ID]],FME_Input[FME_ID],FME_Input[STRUCT_100])</f>
        <v>2225</v>
      </c>
      <c r="J324" s="178">
        <f>(FME_Ranking1[[#This Row],[Structures 100 Raw]]/I$2)*100</f>
        <v>1.1914706764340488</v>
      </c>
      <c r="K324" s="178">
        <f>FME_Ranking1[[#This Row],[Structures 100  Score (Normalized, Unweighted)]]*$I$3</f>
        <v>0.17872060146510732</v>
      </c>
      <c r="L324" s="246">
        <f>_xlfn.XLOOKUP(FME_Ranking1[[#This Row],[FME ID]],FME_Input[FME_ID],FME_Input[RES_STRUCT100])</f>
        <v>1698</v>
      </c>
      <c r="M324" s="230">
        <f>(FME_Ranking1[[#This Row],[Res Structures Raw]]/L$2)*100</f>
        <v>1.2027028941366462</v>
      </c>
      <c r="N324" s="180">
        <f>FME_Ranking1[[#This Row],[Res Structures Score (Normalized, Unweighted)]]*$L$3</f>
        <v>0.12027028941366463</v>
      </c>
      <c r="O324" s="244">
        <f>_xlfn.XLOOKUP(FME_Ranking1[[#This Row],[FME ID]],FME_Input[FME_ID],FME_Input[POP100])</f>
        <v>7117</v>
      </c>
      <c r="P324" s="178">
        <f>(FME_Ranking1[[#This Row],[Pop Raw]]/$O$2)*100</f>
        <v>0.72860509542402829</v>
      </c>
      <c r="Q324" s="178">
        <f>FME_Ranking1[[#This Row],[Pop Score (Normalized, Unweighted)]]*$O$3</f>
        <v>0.10929076431360424</v>
      </c>
      <c r="R324" s="137">
        <f>_xlfn.XLOOKUP(FME_Ranking1[[#This Row],[FME ID]],FME_Input[FME_ID],FME_Input[CRITFAC100])</f>
        <v>26</v>
      </c>
      <c r="S324" s="230">
        <f>(FME_Ranking1[[#This Row],[Critical Facilities Raw]]/$R$2)*100</f>
        <v>1.1149228130360207</v>
      </c>
      <c r="T324" s="180">
        <f>FME_Ranking1[[#This Row],[Critical Facilities Score (Normalized, Unweighted)]]*$R$3</f>
        <v>0.22298456260720415</v>
      </c>
      <c r="U324">
        <f>_xlfn.XLOOKUP(FME_Ranking1[[#This Row],[FME ID]],FME_Input[FME_ID],FME_Input[LWC])</f>
        <v>0</v>
      </c>
      <c r="V324" s="178">
        <f>(FME_Ranking1[[#This Row],[LWC Raw]]/$U$2)*100</f>
        <v>0</v>
      </c>
      <c r="W324" s="178">
        <f>FME_Ranking1[[#This Row],[LWC Score (Normalized, Unweighted)]]*$U$3</f>
        <v>0</v>
      </c>
      <c r="X324" s="246">
        <f>_xlfn.XLOOKUP(FME_Ranking1[[#This Row],[FME ID]],FME_Input[FME_ID],FME_Input[ROADCLS])</f>
        <v>0</v>
      </c>
      <c r="Y324" s="230">
        <f>(FME_Ranking1[[#This Row],[Closures Raw]]/$X$2)*100</f>
        <v>0</v>
      </c>
      <c r="Z324" s="180">
        <f>FME_Ranking1[[#This Row],[Closures Score (Normalized, Unweighted)]]*$X$3</f>
        <v>0</v>
      </c>
      <c r="AA324" s="253">
        <f>_xlfn.XLOOKUP(FME_Ranking1[[#This Row],[FME ID]],FME_Input[FME_ID],FME_Input[ROAD_MILES100])</f>
        <v>53.151050567626953</v>
      </c>
      <c r="AB324" s="178">
        <f>(FME_Ranking1[[#This Row],[Miles Raw]]/$AA$2)*100</f>
        <v>0.69884098407969197</v>
      </c>
      <c r="AC324" s="178">
        <f>FME_Ranking1[[#This Row],[Miles Score (Normalized, Unweighted)]]*$AA$3</f>
        <v>6.9884098407969206E-2</v>
      </c>
      <c r="AD324" s="255">
        <f>_xlfn.XLOOKUP(FME_Ranking1[[#This Row],[FME ID]],FME_Input[FME_ID],FME_Input[FARMACRE100])</f>
        <v>4747.4560546875</v>
      </c>
      <c r="AE324" s="230">
        <f>(FME_Ranking1[[#This Row],[Ag Land Raw]]/$AD$2)*100</f>
        <v>0.19576383569076822</v>
      </c>
      <c r="AF324" s="231">
        <f>FME_Ranking1[[#This Row],[Ag Land Score (Normalized, Unweighted)]]*$AD$3</f>
        <v>9.7881917845384116E-3</v>
      </c>
      <c r="AG32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0.71093850799208791</v>
      </c>
      <c r="AH324" s="406">
        <f t="shared" si="4"/>
        <v>347</v>
      </c>
      <c r="AI32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0.71093850799208791</v>
      </c>
      <c r="AJ324" s="257">
        <f>FME_Ranking1[[#This Row],[Addition check]]-FME_Ranking1[[#This Row],[Weighted Score Based on Normalized Reported Factors]]</f>
        <v>0</v>
      </c>
      <c r="AK324" s="178">
        <f>_xlfn.RANK.EQ(AI324,$AI$6:$AI$2341,0)+COUNTIF($AI$6:AI324,AI324)-1</f>
        <v>347</v>
      </c>
    </row>
    <row r="325" spans="1:37" ht="12" customHeight="1" x14ac:dyDescent="0.25">
      <c r="A325" t="s">
        <v>8015</v>
      </c>
      <c r="B325">
        <f>_xlfn.XLOOKUP(FME_Ranking1[[#This Row],[FME ID]],FME_Input[FME_ID],FME_Input[RFPG_NUM])</f>
        <v>9</v>
      </c>
      <c r="C325" t="str">
        <f>_xlfn.XLOOKUP(FME_Ranking1[[#This Row],[FME ID]],FME_Input[FME_ID],FME_Input[FME_NAME])</f>
        <v>Gaines County  GIS Development</v>
      </c>
      <c r="D325" t="str">
        <f>_xlfn.XLOOKUP(FME_Ranking1[[#This Row],[FME ID]],FME_Input[FME_ID],FME_Input[DESCR])</f>
        <v>Develop a GIS inventory of stormwater infrastructure</v>
      </c>
      <c r="E325" s="256">
        <f>_xlfn.XLOOKUP(FME_Ranking1[[#This Row],[FME ID]],FME_Input[FME_ID],FME_Input[FME_COST])</f>
        <v>100000</v>
      </c>
      <c r="F325" t="str">
        <f>_xlfn.XLOOKUP(FME_Ranking1[[#This Row],[FME ID]],FME_Input[FME_ID],FME_Input[EMER_NEED])</f>
        <v>No</v>
      </c>
      <c r="G325">
        <f>IF(FME_Ranking!F325="Yes",100,0)</f>
        <v>0</v>
      </c>
      <c r="H325">
        <f>FME_Ranking1[[#This Row],[Emergency Need Score (Normalized, Unweighted)]]*$F$3</f>
        <v>0</v>
      </c>
      <c r="I325" s="246">
        <f>_xlfn.XLOOKUP(FME_Ranking1[[#This Row],[FME ID]],FME_Input[FME_ID],FME_Input[STRUCT_100])</f>
        <v>1890</v>
      </c>
      <c r="J325" s="178">
        <f>(FME_Ranking1[[#This Row],[Structures 100 Raw]]/I$2)*100</f>
        <v>1.012080709420383</v>
      </c>
      <c r="K325" s="178">
        <f>FME_Ranking1[[#This Row],[Structures 100  Score (Normalized, Unweighted)]]*$I$3</f>
        <v>0.15181210641305745</v>
      </c>
      <c r="L325" s="246">
        <f>_xlfn.XLOOKUP(FME_Ranking1[[#This Row],[FME ID]],FME_Input[FME_ID],FME_Input[RES_STRUCT100])</f>
        <v>814</v>
      </c>
      <c r="M325" s="230">
        <f>(FME_Ranking1[[#This Row],[Res Structures Raw]]/L$2)*100</f>
        <v>0.57656075137057128</v>
      </c>
      <c r="N325" s="180">
        <f>FME_Ranking1[[#This Row],[Res Structures Score (Normalized, Unweighted)]]*$L$3</f>
        <v>5.7656075137057131E-2</v>
      </c>
      <c r="O325" s="244">
        <f>_xlfn.XLOOKUP(FME_Ranking1[[#This Row],[FME ID]],FME_Input[FME_ID],FME_Input[POP100])</f>
        <v>2654</v>
      </c>
      <c r="P325" s="178">
        <f>(FME_Ranking1[[#This Row],[Pop Raw]]/$O$2)*100</f>
        <v>0.27170407801817775</v>
      </c>
      <c r="Q325" s="178">
        <f>FME_Ranking1[[#This Row],[Pop Score (Normalized, Unweighted)]]*$O$3</f>
        <v>4.0755611702726659E-2</v>
      </c>
      <c r="R325" s="137">
        <f>_xlfn.XLOOKUP(FME_Ranking1[[#This Row],[FME ID]],FME_Input[FME_ID],FME_Input[CRITFAC100])</f>
        <v>1</v>
      </c>
      <c r="S325" s="230">
        <f>(FME_Ranking1[[#This Row],[Critical Facilities Raw]]/$R$2)*100</f>
        <v>4.2881646655231559E-2</v>
      </c>
      <c r="T325" s="180">
        <f>FME_Ranking1[[#This Row],[Critical Facilities Score (Normalized, Unweighted)]]*$R$3</f>
        <v>8.5763293310463125E-3</v>
      </c>
      <c r="U325">
        <f>_xlfn.XLOOKUP(FME_Ranking1[[#This Row],[FME ID]],FME_Input[FME_ID],FME_Input[LWC])</f>
        <v>5</v>
      </c>
      <c r="V325" s="178">
        <f>(FME_Ranking1[[#This Row],[LWC Raw]]/$U$2)*100</f>
        <v>0.28785261945883706</v>
      </c>
      <c r="W325" s="178">
        <f>FME_Ranking1[[#This Row],[LWC Score (Normalized, Unweighted)]]*$U$3</f>
        <v>5.7570523891767415E-2</v>
      </c>
      <c r="X325" s="246">
        <f>_xlfn.XLOOKUP(FME_Ranking1[[#This Row],[FME ID]],FME_Input[FME_ID],FME_Input[ROADCLS])</f>
        <v>0</v>
      </c>
      <c r="Y325" s="230">
        <f>(FME_Ranking1[[#This Row],[Closures Raw]]/$X$2)*100</f>
        <v>0</v>
      </c>
      <c r="Z325" s="180">
        <f>FME_Ranking1[[#This Row],[Closures Score (Normalized, Unweighted)]]*$X$3</f>
        <v>0</v>
      </c>
      <c r="AA325" s="253">
        <f>_xlfn.XLOOKUP(FME_Ranking1[[#This Row],[FME ID]],FME_Input[FME_ID],FME_Input[ROAD_MILES100])</f>
        <v>434.30465698242188</v>
      </c>
      <c r="AB325" s="178">
        <f>(FME_Ranking1[[#This Row],[Miles Raw]]/$AA$2)*100</f>
        <v>5.7103272773473543</v>
      </c>
      <c r="AC325" s="178">
        <f>FME_Ranking1[[#This Row],[Miles Score (Normalized, Unweighted)]]*$AA$3</f>
        <v>0.57103272773473546</v>
      </c>
      <c r="AD325" s="255">
        <f>_xlfn.XLOOKUP(FME_Ranking1[[#This Row],[FME ID]],FME_Input[FME_ID],FME_Input[FARMACRE100])</f>
        <v>147852.421875</v>
      </c>
      <c r="AE325" s="230">
        <f>(FME_Ranking1[[#This Row],[Ag Land Raw]]/$AD$2)*100</f>
        <v>6.0967720162129835</v>
      </c>
      <c r="AF325" s="231">
        <f>FME_Ranking1[[#This Row],[Ag Land Score (Normalized, Unweighted)]]*$AD$3</f>
        <v>0.30483860081064917</v>
      </c>
      <c r="AG32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1.1922419750210396</v>
      </c>
      <c r="AH325" s="406">
        <f t="shared" si="4"/>
        <v>235</v>
      </c>
      <c r="AI32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1.1922419750210396</v>
      </c>
      <c r="AJ325" s="257">
        <f>FME_Ranking1[[#This Row],[Addition check]]-FME_Ranking1[[#This Row],[Weighted Score Based on Normalized Reported Factors]]</f>
        <v>0</v>
      </c>
      <c r="AK325" s="178">
        <f>_xlfn.RANK.EQ(AI325,$AI$6:$AI$2341,0)+COUNTIF($AI$6:AI325,AI325)-1</f>
        <v>235</v>
      </c>
    </row>
    <row r="326" spans="1:37" ht="12" customHeight="1" x14ac:dyDescent="0.25">
      <c r="A326" t="s">
        <v>8057</v>
      </c>
      <c r="B326">
        <f>_xlfn.XLOOKUP(FME_Ranking1[[#This Row],[FME ID]],FME_Input[FME_ID],FME_Input[RFPG_NUM])</f>
        <v>9</v>
      </c>
      <c r="C326" t="str">
        <f>_xlfn.XLOOKUP(FME_Ranking1[[#This Row],[FME ID]],FME_Input[FME_ID],FME_Input[FME_NAME])</f>
        <v>Gaines County  DMP</v>
      </c>
      <c r="D326" t="str">
        <f>_xlfn.XLOOKUP(FME_Ranking1[[#This Row],[FME ID]],FME_Input[FME_ID],FME_Input[DESCR])</f>
        <v xml:space="preserve">Create Drainage Master Plan, including evaluation of potential mitigation projects. </v>
      </c>
      <c r="E326" s="256">
        <f>_xlfn.XLOOKUP(FME_Ranking1[[#This Row],[FME ID]],FME_Input[FME_ID],FME_Input[FME_COST])</f>
        <v>500000</v>
      </c>
      <c r="F326" t="str">
        <f>_xlfn.XLOOKUP(FME_Ranking1[[#This Row],[FME ID]],FME_Input[FME_ID],FME_Input[EMER_NEED])</f>
        <v>No</v>
      </c>
      <c r="G326">
        <f>IF(FME_Ranking!F326="Yes",100,0)</f>
        <v>0</v>
      </c>
      <c r="H326">
        <f>FME_Ranking1[[#This Row],[Emergency Need Score (Normalized, Unweighted)]]*$F$3</f>
        <v>0</v>
      </c>
      <c r="I326" s="246">
        <f>_xlfn.XLOOKUP(FME_Ranking1[[#This Row],[FME ID]],FME_Input[FME_ID],FME_Input[STRUCT_100])</f>
        <v>1890</v>
      </c>
      <c r="J326" s="178">
        <f>(FME_Ranking1[[#This Row],[Structures 100 Raw]]/I$2)*100</f>
        <v>1.012080709420383</v>
      </c>
      <c r="K326" s="178">
        <f>FME_Ranking1[[#This Row],[Structures 100  Score (Normalized, Unweighted)]]*$I$3</f>
        <v>0.15181210641305745</v>
      </c>
      <c r="L326" s="246">
        <f>_xlfn.XLOOKUP(FME_Ranking1[[#This Row],[FME ID]],FME_Input[FME_ID],FME_Input[RES_STRUCT100])</f>
        <v>814</v>
      </c>
      <c r="M326" s="230">
        <f>(FME_Ranking1[[#This Row],[Res Structures Raw]]/L$2)*100</f>
        <v>0.57656075137057128</v>
      </c>
      <c r="N326" s="180">
        <f>FME_Ranking1[[#This Row],[Res Structures Score (Normalized, Unweighted)]]*$L$3</f>
        <v>5.7656075137057131E-2</v>
      </c>
      <c r="O326" s="244">
        <f>_xlfn.XLOOKUP(FME_Ranking1[[#This Row],[FME ID]],FME_Input[FME_ID],FME_Input[POP100])</f>
        <v>2654</v>
      </c>
      <c r="P326" s="178">
        <f>(FME_Ranking1[[#This Row],[Pop Raw]]/$O$2)*100</f>
        <v>0.27170407801817775</v>
      </c>
      <c r="Q326" s="178">
        <f>FME_Ranking1[[#This Row],[Pop Score (Normalized, Unweighted)]]*$O$3</f>
        <v>4.0755611702726659E-2</v>
      </c>
      <c r="R326" s="137">
        <f>_xlfn.XLOOKUP(FME_Ranking1[[#This Row],[FME ID]],FME_Input[FME_ID],FME_Input[CRITFAC100])</f>
        <v>1</v>
      </c>
      <c r="S326" s="230">
        <f>(FME_Ranking1[[#This Row],[Critical Facilities Raw]]/$R$2)*100</f>
        <v>4.2881646655231559E-2</v>
      </c>
      <c r="T326" s="180">
        <f>FME_Ranking1[[#This Row],[Critical Facilities Score (Normalized, Unweighted)]]*$R$3</f>
        <v>8.5763293310463125E-3</v>
      </c>
      <c r="U326">
        <f>_xlfn.XLOOKUP(FME_Ranking1[[#This Row],[FME ID]],FME_Input[FME_ID],FME_Input[LWC])</f>
        <v>5</v>
      </c>
      <c r="V326" s="178">
        <f>(FME_Ranking1[[#This Row],[LWC Raw]]/$U$2)*100</f>
        <v>0.28785261945883706</v>
      </c>
      <c r="W326" s="178">
        <f>FME_Ranking1[[#This Row],[LWC Score (Normalized, Unweighted)]]*$U$3</f>
        <v>5.7570523891767415E-2</v>
      </c>
      <c r="X326" s="246">
        <f>_xlfn.XLOOKUP(FME_Ranking1[[#This Row],[FME ID]],FME_Input[FME_ID],FME_Input[ROADCLS])</f>
        <v>0</v>
      </c>
      <c r="Y326" s="230">
        <f>(FME_Ranking1[[#This Row],[Closures Raw]]/$X$2)*100</f>
        <v>0</v>
      </c>
      <c r="Z326" s="180">
        <f>FME_Ranking1[[#This Row],[Closures Score (Normalized, Unweighted)]]*$X$3</f>
        <v>0</v>
      </c>
      <c r="AA326" s="253">
        <f>_xlfn.XLOOKUP(FME_Ranking1[[#This Row],[FME ID]],FME_Input[FME_ID],FME_Input[ROAD_MILES100])</f>
        <v>434.30465698242188</v>
      </c>
      <c r="AB326" s="178">
        <f>(FME_Ranking1[[#This Row],[Miles Raw]]/$AA$2)*100</f>
        <v>5.7103272773473543</v>
      </c>
      <c r="AC326" s="178">
        <f>FME_Ranking1[[#This Row],[Miles Score (Normalized, Unweighted)]]*$AA$3</f>
        <v>0.57103272773473546</v>
      </c>
      <c r="AD326" s="255">
        <f>_xlfn.XLOOKUP(FME_Ranking1[[#This Row],[FME ID]],FME_Input[FME_ID],FME_Input[FARMACRE100])</f>
        <v>147852.421875</v>
      </c>
      <c r="AE326" s="230">
        <f>(FME_Ranking1[[#This Row],[Ag Land Raw]]/$AD$2)*100</f>
        <v>6.0967720162129835</v>
      </c>
      <c r="AF326" s="231">
        <f>FME_Ranking1[[#This Row],[Ag Land Score (Normalized, Unweighted)]]*$AD$3</f>
        <v>0.30483860081064917</v>
      </c>
      <c r="AG32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1.1922419750210396</v>
      </c>
      <c r="AH326" s="406">
        <f t="shared" ref="AH326:AH389" si="5">_xlfn.RANK.EQ(AG326,$AG$6:$AG$2341,0)</f>
        <v>235</v>
      </c>
      <c r="AI32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1.1922419750210396</v>
      </c>
      <c r="AJ326" s="257">
        <f>FME_Ranking1[[#This Row],[Addition check]]-FME_Ranking1[[#This Row],[Weighted Score Based on Normalized Reported Factors]]</f>
        <v>0</v>
      </c>
      <c r="AK326" s="178">
        <f>_xlfn.RANK.EQ(AI326,$AI$6:$AI$2341,0)+COUNTIF($AI$6:AI326,AI326)-1</f>
        <v>236</v>
      </c>
    </row>
    <row r="327" spans="1:37" ht="12" customHeight="1" x14ac:dyDescent="0.25">
      <c r="A327" t="s">
        <v>8198</v>
      </c>
      <c r="B327">
        <f>_xlfn.XLOOKUP(FME_Ranking1[[#This Row],[FME ID]],FME_Input[FME_ID],FME_Input[RFPG_NUM])</f>
        <v>9</v>
      </c>
      <c r="C327" t="str">
        <f>_xlfn.XLOOKUP(FME_Ranking1[[#This Row],[FME ID]],FME_Input[FME_ID],FME_Input[FME_NAME])</f>
        <v>Gaines County FEMA Mapping</v>
      </c>
      <c r="D327" t="str">
        <f>_xlfn.XLOOKUP(FME_Ranking1[[#This Row],[FME ID]],FME_Input[FME_ID],FME_Input[DESCR])</f>
        <v>Create FEMA Mapping in previously unmapped areas</v>
      </c>
      <c r="E327" s="256">
        <f>_xlfn.XLOOKUP(FME_Ranking1[[#This Row],[FME ID]],FME_Input[FME_ID],FME_Input[FME_COST])</f>
        <v>1272000</v>
      </c>
      <c r="F327" t="str">
        <f>_xlfn.XLOOKUP(FME_Ranking1[[#This Row],[FME ID]],FME_Input[FME_ID],FME_Input[EMER_NEED])</f>
        <v>No</v>
      </c>
      <c r="G327">
        <f>IF(FME_Ranking!F327="Yes",100,0)</f>
        <v>0</v>
      </c>
      <c r="H327">
        <f>FME_Ranking1[[#This Row],[Emergency Need Score (Normalized, Unweighted)]]*$F$3</f>
        <v>0</v>
      </c>
      <c r="I327" s="246">
        <f>_xlfn.XLOOKUP(FME_Ranking1[[#This Row],[FME ID]],FME_Input[FME_ID],FME_Input[STRUCT_100])</f>
        <v>1890</v>
      </c>
      <c r="J327" s="178">
        <f>(FME_Ranking1[[#This Row],[Structures 100 Raw]]/I$2)*100</f>
        <v>1.012080709420383</v>
      </c>
      <c r="K327" s="178">
        <f>FME_Ranking1[[#This Row],[Structures 100  Score (Normalized, Unweighted)]]*$I$3</f>
        <v>0.15181210641305745</v>
      </c>
      <c r="L327" s="246">
        <f>_xlfn.XLOOKUP(FME_Ranking1[[#This Row],[FME ID]],FME_Input[FME_ID],FME_Input[RES_STRUCT100])</f>
        <v>814</v>
      </c>
      <c r="M327" s="230">
        <f>(FME_Ranking1[[#This Row],[Res Structures Raw]]/L$2)*100</f>
        <v>0.57656075137057128</v>
      </c>
      <c r="N327" s="180">
        <f>FME_Ranking1[[#This Row],[Res Structures Score (Normalized, Unweighted)]]*$L$3</f>
        <v>5.7656075137057131E-2</v>
      </c>
      <c r="O327" s="244">
        <f>_xlfn.XLOOKUP(FME_Ranking1[[#This Row],[FME ID]],FME_Input[FME_ID],FME_Input[POP100])</f>
        <v>2654</v>
      </c>
      <c r="P327" s="178">
        <f>(FME_Ranking1[[#This Row],[Pop Raw]]/$O$2)*100</f>
        <v>0.27170407801817775</v>
      </c>
      <c r="Q327" s="178">
        <f>FME_Ranking1[[#This Row],[Pop Score (Normalized, Unweighted)]]*$O$3</f>
        <v>4.0755611702726659E-2</v>
      </c>
      <c r="R327" s="137">
        <f>_xlfn.XLOOKUP(FME_Ranking1[[#This Row],[FME ID]],FME_Input[FME_ID],FME_Input[CRITFAC100])</f>
        <v>1</v>
      </c>
      <c r="S327" s="230">
        <f>(FME_Ranking1[[#This Row],[Critical Facilities Raw]]/$R$2)*100</f>
        <v>4.2881646655231559E-2</v>
      </c>
      <c r="T327" s="180">
        <f>FME_Ranking1[[#This Row],[Critical Facilities Score (Normalized, Unweighted)]]*$R$3</f>
        <v>8.5763293310463125E-3</v>
      </c>
      <c r="U327">
        <f>_xlfn.XLOOKUP(FME_Ranking1[[#This Row],[FME ID]],FME_Input[FME_ID],FME_Input[LWC])</f>
        <v>5</v>
      </c>
      <c r="V327" s="178">
        <f>(FME_Ranking1[[#This Row],[LWC Raw]]/$U$2)*100</f>
        <v>0.28785261945883706</v>
      </c>
      <c r="W327" s="178">
        <f>FME_Ranking1[[#This Row],[LWC Score (Normalized, Unweighted)]]*$U$3</f>
        <v>5.7570523891767415E-2</v>
      </c>
      <c r="X327" s="246">
        <f>_xlfn.XLOOKUP(FME_Ranking1[[#This Row],[FME ID]],FME_Input[FME_ID],FME_Input[ROADCLS])</f>
        <v>0</v>
      </c>
      <c r="Y327" s="230">
        <f>(FME_Ranking1[[#This Row],[Closures Raw]]/$X$2)*100</f>
        <v>0</v>
      </c>
      <c r="Z327" s="180">
        <f>FME_Ranking1[[#This Row],[Closures Score (Normalized, Unweighted)]]*$X$3</f>
        <v>0</v>
      </c>
      <c r="AA327" s="253">
        <f>_xlfn.XLOOKUP(FME_Ranking1[[#This Row],[FME ID]],FME_Input[FME_ID],FME_Input[ROAD_MILES100])</f>
        <v>434.30465698242188</v>
      </c>
      <c r="AB327" s="178">
        <f>(FME_Ranking1[[#This Row],[Miles Raw]]/$AA$2)*100</f>
        <v>5.7103272773473543</v>
      </c>
      <c r="AC327" s="178">
        <f>FME_Ranking1[[#This Row],[Miles Score (Normalized, Unweighted)]]*$AA$3</f>
        <v>0.57103272773473546</v>
      </c>
      <c r="AD327" s="255">
        <f>_xlfn.XLOOKUP(FME_Ranking1[[#This Row],[FME ID]],FME_Input[FME_ID],FME_Input[FARMACRE100])</f>
        <v>147852.421875</v>
      </c>
      <c r="AE327" s="230">
        <f>(FME_Ranking1[[#This Row],[Ag Land Raw]]/$AD$2)*100</f>
        <v>6.0967720162129835</v>
      </c>
      <c r="AF327" s="231">
        <f>FME_Ranking1[[#This Row],[Ag Land Score (Normalized, Unweighted)]]*$AD$3</f>
        <v>0.30483860081064917</v>
      </c>
      <c r="AG32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1.1922419750210396</v>
      </c>
      <c r="AH327" s="406">
        <f t="shared" si="5"/>
        <v>235</v>
      </c>
      <c r="AI32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1.1922419750210396</v>
      </c>
      <c r="AJ327" s="257">
        <f>FME_Ranking1[[#This Row],[Addition check]]-FME_Ranking1[[#This Row],[Weighted Score Based on Normalized Reported Factors]]</f>
        <v>0</v>
      </c>
      <c r="AK327" s="178">
        <f>_xlfn.RANK.EQ(AI327,$AI$6:$AI$2341,0)+COUNTIF($AI$6:AI327,AI327)-1</f>
        <v>237</v>
      </c>
    </row>
    <row r="328" spans="1:37" ht="12" customHeight="1" x14ac:dyDescent="0.25">
      <c r="A328" t="s">
        <v>2547</v>
      </c>
      <c r="B328">
        <f>_xlfn.XLOOKUP(FME_Ranking1[[#This Row],[FME ID]],FME_Input[FME_ID],FME_Input[RFPG_NUM])</f>
        <v>1</v>
      </c>
      <c r="C328" t="str">
        <f>_xlfn.XLOOKUP(FME_Ranking1[[#This Row],[FME ID]],FME_Input[FME_ID],FME_Input[FME_NAME])</f>
        <v>Dallam County Drainage Master Plan</v>
      </c>
      <c r="D328" t="str">
        <f>_xlfn.XLOOKUP(FME_Ranking1[[#This Row],[FME ID]],FME_Input[FME_ID],FME_Input[DESCR])</f>
        <v>Perform H&amp;H modeling, develop conceptual alternatives and OPCC, and rank projects; selected based on HMAPs</v>
      </c>
      <c r="E328" s="256">
        <f>_xlfn.XLOOKUP(FME_Ranking1[[#This Row],[FME ID]],FME_Input[FME_ID],FME_Input[FME_COST])</f>
        <v>500000</v>
      </c>
      <c r="F328" t="str">
        <f>_xlfn.XLOOKUP(FME_Ranking1[[#This Row],[FME ID]],FME_Input[FME_ID],FME_Input[EMER_NEED])</f>
        <v>No</v>
      </c>
      <c r="G328">
        <f>IF(FME_Ranking!F328="Yes",100,0)</f>
        <v>0</v>
      </c>
      <c r="H328">
        <f>FME_Ranking1[[#This Row],[Emergency Need Score (Normalized, Unweighted)]]*$F$3</f>
        <v>0</v>
      </c>
      <c r="I328" s="246">
        <f>_xlfn.XLOOKUP(FME_Ranking1[[#This Row],[FME ID]],FME_Input[FME_ID],FME_Input[STRUCT_100])</f>
        <v>890</v>
      </c>
      <c r="J328" s="178">
        <f>(FME_Ranking1[[#This Row],[Structures 100 Raw]]/I$2)*100</f>
        <v>0.47658827057361952</v>
      </c>
      <c r="K328" s="178">
        <f>FME_Ranking1[[#This Row],[Structures 100  Score (Normalized, Unweighted)]]*$I$3</f>
        <v>7.1488240586042931E-2</v>
      </c>
      <c r="L328" s="246">
        <f>_xlfn.XLOOKUP(FME_Ranking1[[#This Row],[FME ID]],FME_Input[FME_ID],FME_Input[RES_STRUCT100])</f>
        <v>656</v>
      </c>
      <c r="M328" s="230">
        <f>(FME_Ranking1[[#This Row],[Res Structures Raw]]/L$2)*100</f>
        <v>0.46464846793500592</v>
      </c>
      <c r="N328" s="180">
        <f>FME_Ranking1[[#This Row],[Res Structures Score (Normalized, Unweighted)]]*$L$3</f>
        <v>4.6464846793500596E-2</v>
      </c>
      <c r="O328" s="244">
        <f>_xlfn.XLOOKUP(FME_Ranking1[[#This Row],[FME ID]],FME_Input[FME_ID],FME_Input[POP100])</f>
        <v>1951</v>
      </c>
      <c r="P328" s="178">
        <f>(FME_Ranking1[[#This Row],[Pop Raw]]/$O$2)*100</f>
        <v>0.19973423369007717</v>
      </c>
      <c r="Q328" s="178">
        <f>FME_Ranking1[[#This Row],[Pop Score (Normalized, Unweighted)]]*$O$3</f>
        <v>2.9960135053511576E-2</v>
      </c>
      <c r="R328" s="137">
        <f>_xlfn.XLOOKUP(FME_Ranking1[[#This Row],[FME ID]],FME_Input[FME_ID],FME_Input[CRITFAC100])</f>
        <v>2</v>
      </c>
      <c r="S328" s="230">
        <f>(FME_Ranking1[[#This Row],[Critical Facilities Raw]]/$R$2)*100</f>
        <v>8.5763293310463118E-2</v>
      </c>
      <c r="T328" s="180">
        <f>FME_Ranking1[[#This Row],[Critical Facilities Score (Normalized, Unweighted)]]*$R$3</f>
        <v>1.7152658662092625E-2</v>
      </c>
      <c r="U328">
        <f>_xlfn.XLOOKUP(FME_Ranking1[[#This Row],[FME ID]],FME_Input[FME_ID],FME_Input[LWC])</f>
        <v>22</v>
      </c>
      <c r="V328" s="178">
        <f>(FME_Ranking1[[#This Row],[LWC Raw]]/$U$2)*100</f>
        <v>1.2665515256188831</v>
      </c>
      <c r="W328" s="178">
        <f>FME_Ranking1[[#This Row],[LWC Score (Normalized, Unweighted)]]*$U$3</f>
        <v>0.25331030512377661</v>
      </c>
      <c r="X328" s="246">
        <f>_xlfn.XLOOKUP(FME_Ranking1[[#This Row],[FME ID]],FME_Input[FME_ID],FME_Input[ROADCLS])</f>
        <v>22</v>
      </c>
      <c r="Y328" s="230">
        <f>(FME_Ranking1[[#This Row],[Closures Raw]]/$X$2)*100</f>
        <v>0.23131111344758701</v>
      </c>
      <c r="Z328" s="180">
        <f>FME_Ranking1[[#This Row],[Closures Score (Normalized, Unweighted)]]*$X$3</f>
        <v>1.1565555672379352E-2</v>
      </c>
      <c r="AA328" s="253">
        <f>_xlfn.XLOOKUP(FME_Ranking1[[#This Row],[FME ID]],FME_Input[FME_ID],FME_Input[ROAD_MILES100])</f>
        <v>177.9454040527344</v>
      </c>
      <c r="AB328" s="178">
        <f>(FME_Ranking1[[#This Row],[Miles Raw]]/$AA$2)*100</f>
        <v>2.3396629032279814</v>
      </c>
      <c r="AC328" s="178">
        <f>FME_Ranking1[[#This Row],[Miles Score (Normalized, Unweighted)]]*$AA$3</f>
        <v>0.23396629032279814</v>
      </c>
      <c r="AD328" s="255">
        <f>_xlfn.XLOOKUP(FME_Ranking1[[#This Row],[FME ID]],FME_Input[FME_ID],FME_Input[FARMACRE100])</f>
        <v>91033.7890625</v>
      </c>
      <c r="AE328" s="230">
        <f>(FME_Ranking1[[#This Row],[Ag Land Raw]]/$AD$2)*100</f>
        <v>3.7538259478448972</v>
      </c>
      <c r="AF328" s="231">
        <f>FME_Ranking1[[#This Row],[Ag Land Score (Normalized, Unweighted)]]*$AD$3</f>
        <v>0.18769129739224488</v>
      </c>
      <c r="AG32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0.85159932960634677</v>
      </c>
      <c r="AH328" s="406">
        <f t="shared" si="5"/>
        <v>311</v>
      </c>
      <c r="AI32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0.85159932960634677</v>
      </c>
      <c r="AJ328" s="257">
        <f>FME_Ranking1[[#This Row],[Addition check]]-FME_Ranking1[[#This Row],[Weighted Score Based on Normalized Reported Factors]]</f>
        <v>0</v>
      </c>
      <c r="AK328" s="178">
        <f>_xlfn.RANK.EQ(AI328,$AI$6:$AI$2341,0)+COUNTIF($AI$6:AI328,AI328)-1</f>
        <v>311</v>
      </c>
    </row>
    <row r="329" spans="1:37" ht="12" customHeight="1" x14ac:dyDescent="0.25">
      <c r="A329" t="s">
        <v>2952</v>
      </c>
      <c r="B329">
        <f>_xlfn.XLOOKUP(FME_Ranking1[[#This Row],[FME ID]],FME_Input[FME_ID],FME_Input[RFPG_NUM])</f>
        <v>1</v>
      </c>
      <c r="C329" t="str">
        <f>_xlfn.XLOOKUP(FME_Ranking1[[#This Row],[FME ID]],FME_Input[FME_ID],FME_Input[FME_NAME])</f>
        <v>Dallam County FIS</v>
      </c>
      <c r="D329" t="str">
        <f>_xlfn.XLOOKUP(FME_Ranking1[[#This Row],[FME ID]],FME_Input[FME_ID],FME_Input[DESCR])</f>
        <v>Perform flood insurance study for the county and develop regulatory mapping</v>
      </c>
      <c r="E329" s="256">
        <f>_xlfn.XLOOKUP(FME_Ranking1[[#This Row],[FME ID]],FME_Input[FME_ID],FME_Input[FME_COST])</f>
        <v>1297000</v>
      </c>
      <c r="F329" t="str">
        <f>_xlfn.XLOOKUP(FME_Ranking1[[#This Row],[FME ID]],FME_Input[FME_ID],FME_Input[EMER_NEED])</f>
        <v>No</v>
      </c>
      <c r="G329">
        <f>IF(FME_Ranking!F329="Yes",100,0)</f>
        <v>0</v>
      </c>
      <c r="H329">
        <f>FME_Ranking1[[#This Row],[Emergency Need Score (Normalized, Unweighted)]]*$F$3</f>
        <v>0</v>
      </c>
      <c r="I329" s="246">
        <f>_xlfn.XLOOKUP(FME_Ranking1[[#This Row],[FME ID]],FME_Input[FME_ID],FME_Input[STRUCT_100])</f>
        <v>890</v>
      </c>
      <c r="J329" s="178">
        <f>(FME_Ranking1[[#This Row],[Structures 100 Raw]]/I$2)*100</f>
        <v>0.47658827057361952</v>
      </c>
      <c r="K329" s="178">
        <f>FME_Ranking1[[#This Row],[Structures 100  Score (Normalized, Unweighted)]]*$I$3</f>
        <v>7.1488240586042931E-2</v>
      </c>
      <c r="L329" s="246">
        <f>_xlfn.XLOOKUP(FME_Ranking1[[#This Row],[FME ID]],FME_Input[FME_ID],FME_Input[RES_STRUCT100])</f>
        <v>656</v>
      </c>
      <c r="M329" s="230">
        <f>(FME_Ranking1[[#This Row],[Res Structures Raw]]/L$2)*100</f>
        <v>0.46464846793500592</v>
      </c>
      <c r="N329" s="180">
        <f>FME_Ranking1[[#This Row],[Res Structures Score (Normalized, Unweighted)]]*$L$3</f>
        <v>4.6464846793500596E-2</v>
      </c>
      <c r="O329" s="244">
        <f>_xlfn.XLOOKUP(FME_Ranking1[[#This Row],[FME ID]],FME_Input[FME_ID],FME_Input[POP100])</f>
        <v>1951</v>
      </c>
      <c r="P329" s="178">
        <f>(FME_Ranking1[[#This Row],[Pop Raw]]/$O$2)*100</f>
        <v>0.19973423369007717</v>
      </c>
      <c r="Q329" s="178">
        <f>FME_Ranking1[[#This Row],[Pop Score (Normalized, Unweighted)]]*$O$3</f>
        <v>2.9960135053511576E-2</v>
      </c>
      <c r="R329" s="137">
        <f>_xlfn.XLOOKUP(FME_Ranking1[[#This Row],[FME ID]],FME_Input[FME_ID],FME_Input[CRITFAC100])</f>
        <v>2</v>
      </c>
      <c r="S329" s="230">
        <f>(FME_Ranking1[[#This Row],[Critical Facilities Raw]]/$R$2)*100</f>
        <v>8.5763293310463118E-2</v>
      </c>
      <c r="T329" s="180">
        <f>FME_Ranking1[[#This Row],[Critical Facilities Score (Normalized, Unweighted)]]*$R$3</f>
        <v>1.7152658662092625E-2</v>
      </c>
      <c r="U329">
        <f>_xlfn.XLOOKUP(FME_Ranking1[[#This Row],[FME ID]],FME_Input[FME_ID],FME_Input[LWC])</f>
        <v>22</v>
      </c>
      <c r="V329" s="178">
        <f>(FME_Ranking1[[#This Row],[LWC Raw]]/$U$2)*100</f>
        <v>1.2665515256188831</v>
      </c>
      <c r="W329" s="178">
        <f>FME_Ranking1[[#This Row],[LWC Score (Normalized, Unweighted)]]*$U$3</f>
        <v>0.25331030512377661</v>
      </c>
      <c r="X329" s="246">
        <f>_xlfn.XLOOKUP(FME_Ranking1[[#This Row],[FME ID]],FME_Input[FME_ID],FME_Input[ROADCLS])</f>
        <v>22</v>
      </c>
      <c r="Y329" s="230">
        <f>(FME_Ranking1[[#This Row],[Closures Raw]]/$X$2)*100</f>
        <v>0.23131111344758701</v>
      </c>
      <c r="Z329" s="180">
        <f>FME_Ranking1[[#This Row],[Closures Score (Normalized, Unweighted)]]*$X$3</f>
        <v>1.1565555672379352E-2</v>
      </c>
      <c r="AA329" s="253">
        <f>_xlfn.XLOOKUP(FME_Ranking1[[#This Row],[FME ID]],FME_Input[FME_ID],FME_Input[ROAD_MILES100])</f>
        <v>177.9454040527344</v>
      </c>
      <c r="AB329" s="178">
        <f>(FME_Ranking1[[#This Row],[Miles Raw]]/$AA$2)*100</f>
        <v>2.3396629032279814</v>
      </c>
      <c r="AC329" s="178">
        <f>FME_Ranking1[[#This Row],[Miles Score (Normalized, Unweighted)]]*$AA$3</f>
        <v>0.23396629032279814</v>
      </c>
      <c r="AD329" s="255">
        <f>_xlfn.XLOOKUP(FME_Ranking1[[#This Row],[FME ID]],FME_Input[FME_ID],FME_Input[FARMACRE100])</f>
        <v>91033.7890625</v>
      </c>
      <c r="AE329" s="230">
        <f>(FME_Ranking1[[#This Row],[Ag Land Raw]]/$AD$2)*100</f>
        <v>3.7538259478448972</v>
      </c>
      <c r="AF329" s="231">
        <f>FME_Ranking1[[#This Row],[Ag Land Score (Normalized, Unweighted)]]*$AD$3</f>
        <v>0.18769129739224488</v>
      </c>
      <c r="AG32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0.85159932960634677</v>
      </c>
      <c r="AH329" s="406">
        <f t="shared" si="5"/>
        <v>311</v>
      </c>
      <c r="AI32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0.85159932960634677</v>
      </c>
      <c r="AJ329" s="257">
        <f>FME_Ranking1[[#This Row],[Addition check]]-FME_Ranking1[[#This Row],[Weighted Score Based on Normalized Reported Factors]]</f>
        <v>0</v>
      </c>
      <c r="AK329" s="178">
        <f>_xlfn.RANK.EQ(AI329,$AI$6:$AI$2341,0)+COUNTIF($AI$6:AI329,AI329)-1</f>
        <v>312</v>
      </c>
    </row>
    <row r="330" spans="1:37" ht="12" customHeight="1" x14ac:dyDescent="0.25">
      <c r="A330" t="s">
        <v>4045</v>
      </c>
      <c r="B330">
        <f>_xlfn.XLOOKUP(FME_Ranking1[[#This Row],[FME ID]],FME_Input[FME_ID],FME_Input[RFPG_NUM])</f>
        <v>3</v>
      </c>
      <c r="C330" t="str">
        <f>_xlfn.XLOOKUP(FME_Ranking1[[#This Row],[FME ID]],FME_Input[FME_ID],FME_Input[FME_NAME])</f>
        <v>Lake Ray Hubbard and Duck Creek Tributary Inundation Study</v>
      </c>
      <c r="D330" t="str">
        <f>_xlfn.XLOOKUP(FME_Ranking1[[#This Row],[FME ID]],FME_Input[FME_ID],FME_Input[DESCR])</f>
        <v>Conduct studies to develop inundation maps for Lake Ray Hubbard and Duck Creek Tributary and how it affects the Town of Sunnyvale.</v>
      </c>
      <c r="E330" s="256">
        <f>_xlfn.XLOOKUP(FME_Ranking1[[#This Row],[FME ID]],FME_Input[FME_ID],FME_Input[FME_COST])</f>
        <v>500000</v>
      </c>
      <c r="F330" t="str">
        <f>_xlfn.XLOOKUP(FME_Ranking1[[#This Row],[FME ID]],FME_Input[FME_ID],FME_Input[EMER_NEED])</f>
        <v>No</v>
      </c>
      <c r="G330">
        <f>IF(FME_Ranking!F330="Yes",100,0)</f>
        <v>0</v>
      </c>
      <c r="H330">
        <f>FME_Ranking1[[#This Row],[Emergency Need Score (Normalized, Unweighted)]]*$F$3</f>
        <v>0</v>
      </c>
      <c r="I330" s="246">
        <f>_xlfn.XLOOKUP(FME_Ranking1[[#This Row],[FME ID]],FME_Input[FME_ID],FME_Input[STRUCT_100])</f>
        <v>821</v>
      </c>
      <c r="J330" s="178">
        <f>(FME_Ranking1[[#This Row],[Structures 100 Raw]]/I$2)*100</f>
        <v>0.43963929229319287</v>
      </c>
      <c r="K330" s="178">
        <f>FME_Ranking1[[#This Row],[Structures 100  Score (Normalized, Unweighted)]]*$I$3</f>
        <v>6.5945893843978934E-2</v>
      </c>
      <c r="L330" s="246">
        <f>_xlfn.XLOOKUP(FME_Ranking1[[#This Row],[FME ID]],FME_Input[FME_ID],FME_Input[RES_STRUCT100])</f>
        <v>780</v>
      </c>
      <c r="M330" s="230">
        <f>(FME_Ranking1[[#This Row],[Res Structures Raw]]/L$2)*100</f>
        <v>0.55247836126418381</v>
      </c>
      <c r="N330" s="180">
        <f>FME_Ranking1[[#This Row],[Res Structures Score (Normalized, Unweighted)]]*$L$3</f>
        <v>5.5247836126418384E-2</v>
      </c>
      <c r="O330" s="244">
        <f>_xlfn.XLOOKUP(FME_Ranking1[[#This Row],[FME ID]],FME_Input[FME_ID],FME_Input[POP100])</f>
        <v>7134</v>
      </c>
      <c r="P330" s="178">
        <f>(FME_Ranking1[[#This Row],[Pop Raw]]/$O$2)*100</f>
        <v>0.73034547572783726</v>
      </c>
      <c r="Q330" s="178">
        <f>FME_Ranking1[[#This Row],[Pop Score (Normalized, Unweighted)]]*$O$3</f>
        <v>0.10955182135917559</v>
      </c>
      <c r="R330" s="137">
        <f>_xlfn.XLOOKUP(FME_Ranking1[[#This Row],[FME ID]],FME_Input[FME_ID],FME_Input[CRITFAC100])</f>
        <v>7</v>
      </c>
      <c r="S330" s="230">
        <f>(FME_Ranking1[[#This Row],[Critical Facilities Raw]]/$R$2)*100</f>
        <v>0.30017152658662088</v>
      </c>
      <c r="T330" s="180">
        <f>FME_Ranking1[[#This Row],[Critical Facilities Score (Normalized, Unweighted)]]*$R$3</f>
        <v>6.0034305317324177E-2</v>
      </c>
      <c r="U330">
        <f>_xlfn.XLOOKUP(FME_Ranking1[[#This Row],[FME ID]],FME_Input[FME_ID],FME_Input[LWC])</f>
        <v>28</v>
      </c>
      <c r="V330" s="178">
        <f>(FME_Ranking1[[#This Row],[LWC Raw]]/$U$2)*100</f>
        <v>1.6119746689694874</v>
      </c>
      <c r="W330" s="178">
        <f>FME_Ranking1[[#This Row],[LWC Score (Normalized, Unweighted)]]*$U$3</f>
        <v>0.3223949337938975</v>
      </c>
      <c r="X330" s="246">
        <f>_xlfn.XLOOKUP(FME_Ranking1[[#This Row],[FME ID]],FME_Input[FME_ID],FME_Input[ROADCLS])</f>
        <v>0</v>
      </c>
      <c r="Y330" s="230">
        <f>(FME_Ranking1[[#This Row],[Closures Raw]]/$X$2)*100</f>
        <v>0</v>
      </c>
      <c r="Z330" s="180">
        <f>FME_Ranking1[[#This Row],[Closures Score (Normalized, Unweighted)]]*$X$3</f>
        <v>0</v>
      </c>
      <c r="AA330" s="253">
        <f>_xlfn.XLOOKUP(FME_Ranking1[[#This Row],[FME ID]],FME_Input[FME_ID],FME_Input[ROAD_MILES100])</f>
        <v>18.625209808349609</v>
      </c>
      <c r="AB330" s="178">
        <f>(FME_Ranking1[[#This Row],[Miles Raw]]/$AA$2)*100</f>
        <v>0.24488810309773157</v>
      </c>
      <c r="AC330" s="178">
        <f>FME_Ranking1[[#This Row],[Miles Score (Normalized, Unweighted)]]*$AA$3</f>
        <v>2.4488810309773158E-2</v>
      </c>
      <c r="AD330" s="255">
        <f>_xlfn.XLOOKUP(FME_Ranking1[[#This Row],[FME ID]],FME_Input[FME_ID],FME_Input[FARMACRE100])</f>
        <v>519.9229736328125</v>
      </c>
      <c r="AE330" s="230">
        <f>(FME_Ranking1[[#This Row],[Ag Land Raw]]/$AD$2)*100</f>
        <v>2.1439295995507493E-2</v>
      </c>
      <c r="AF330" s="231">
        <f>FME_Ranking1[[#This Row],[Ag Land Score (Normalized, Unweighted)]]*$AD$3</f>
        <v>1.0719647997753747E-3</v>
      </c>
      <c r="AG33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0.63873556555034305</v>
      </c>
      <c r="AH330" s="406">
        <f t="shared" si="5"/>
        <v>380</v>
      </c>
      <c r="AI33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0.63873556555034305</v>
      </c>
      <c r="AJ330" s="257">
        <f>FME_Ranking1[[#This Row],[Addition check]]-FME_Ranking1[[#This Row],[Weighted Score Based on Normalized Reported Factors]]</f>
        <v>0</v>
      </c>
      <c r="AK330" s="178">
        <f>_xlfn.RANK.EQ(AI330,$AI$6:$AI$2341,0)+COUNTIF($AI$6:AI330,AI330)-1</f>
        <v>380</v>
      </c>
    </row>
    <row r="331" spans="1:37" ht="12" customHeight="1" x14ac:dyDescent="0.25">
      <c r="A331" t="s">
        <v>1462</v>
      </c>
      <c r="B331">
        <f>_xlfn.XLOOKUP(FME_Ranking1[[#This Row],[FME ID]],FME_Input[FME_ID],FME_Input[RFPG_NUM])</f>
        <v>6</v>
      </c>
      <c r="C331" t="str">
        <f>_xlfn.XLOOKUP(FME_Ranking1[[#This Row],[FME ID]],FME_Input[FME_ID],FME_Input[FME_NAME])</f>
        <v>White Oak Bayou - Turkey Gully E106-00-00</v>
      </c>
      <c r="D331" t="str">
        <f>_xlfn.XLOOKUP(FME_Ranking1[[#This Row],[FME ID]],FME_Input[FME_ID],FME_Input[DESCR])</f>
        <v>Study to develop a Benefit Cost Analysis needed for this project to become a FMP. Further study of channel improvements from partnership project to restore channel conveyanve including Atlas 14 rainfalls.</v>
      </c>
      <c r="E331" s="256">
        <f>_xlfn.XLOOKUP(FME_Ranking1[[#This Row],[FME ID]],FME_Input[FME_ID],FME_Input[FME_COST])</f>
        <v>1330000</v>
      </c>
      <c r="F331" t="str">
        <f>_xlfn.XLOOKUP(FME_Ranking1[[#This Row],[FME ID]],FME_Input[FME_ID],FME_Input[EMER_NEED])</f>
        <v>No</v>
      </c>
      <c r="G331">
        <f>IF(FME_Ranking!F331="Yes",100,0)</f>
        <v>0</v>
      </c>
      <c r="H331">
        <f>FME_Ranking1[[#This Row],[Emergency Need Score (Normalized, Unweighted)]]*$F$3</f>
        <v>0</v>
      </c>
      <c r="I331" s="246">
        <f>_xlfn.XLOOKUP(FME_Ranking1[[#This Row],[FME ID]],FME_Input[FME_ID],FME_Input[STRUCT_100])</f>
        <v>2540</v>
      </c>
      <c r="J331" s="178">
        <f>(FME_Ranking1[[#This Row],[Structures 100 Raw]]/I$2)*100</f>
        <v>1.3601507946707792</v>
      </c>
      <c r="K331" s="178">
        <f>FME_Ranking1[[#This Row],[Structures 100  Score (Normalized, Unweighted)]]*$I$3</f>
        <v>0.20402261920061687</v>
      </c>
      <c r="L331" s="246">
        <f>_xlfn.XLOOKUP(FME_Ranking1[[#This Row],[FME ID]],FME_Input[FME_ID],FME_Input[RES_STRUCT100])</f>
        <v>2287</v>
      </c>
      <c r="M331" s="230">
        <f>(FME_Ranking1[[#This Row],[Res Structures Raw]]/L$2)*100</f>
        <v>1.6198948874502417</v>
      </c>
      <c r="N331" s="180">
        <f>FME_Ranking1[[#This Row],[Res Structures Score (Normalized, Unweighted)]]*$L$3</f>
        <v>0.16198948874502417</v>
      </c>
      <c r="O331" s="244">
        <f>_xlfn.XLOOKUP(FME_Ranking1[[#This Row],[FME ID]],FME_Input[FME_ID],FME_Input[POP100])</f>
        <v>12780</v>
      </c>
      <c r="P331" s="178">
        <f>(FME_Ranking1[[#This Row],[Pop Raw]]/$O$2)*100</f>
        <v>1.3083564872163949</v>
      </c>
      <c r="Q331" s="178">
        <f>FME_Ranking1[[#This Row],[Pop Score (Normalized, Unweighted)]]*$O$3</f>
        <v>0.19625347308245922</v>
      </c>
      <c r="R331" s="137">
        <f>_xlfn.XLOOKUP(FME_Ranking1[[#This Row],[FME ID]],FME_Input[FME_ID],FME_Input[CRITFAC100])</f>
        <v>6</v>
      </c>
      <c r="S331" s="230">
        <f>(FME_Ranking1[[#This Row],[Critical Facilities Raw]]/$R$2)*100</f>
        <v>0.25728987993138941</v>
      </c>
      <c r="T331" s="180">
        <f>FME_Ranking1[[#This Row],[Critical Facilities Score (Normalized, Unweighted)]]*$R$3</f>
        <v>5.1457975986277882E-2</v>
      </c>
      <c r="U331">
        <f>_xlfn.XLOOKUP(FME_Ranking1[[#This Row],[FME ID]],FME_Input[FME_ID],FME_Input[LWC])</f>
        <v>0</v>
      </c>
      <c r="V331" s="178">
        <f>(FME_Ranking1[[#This Row],[LWC Raw]]/$U$2)*100</f>
        <v>0</v>
      </c>
      <c r="W331" s="178">
        <f>FME_Ranking1[[#This Row],[LWC Score (Normalized, Unweighted)]]*$U$3</f>
        <v>0</v>
      </c>
      <c r="X331" s="246">
        <f>_xlfn.XLOOKUP(FME_Ranking1[[#This Row],[FME ID]],FME_Input[FME_ID],FME_Input[ROADCLS])</f>
        <v>0</v>
      </c>
      <c r="Y331" s="230">
        <f>(FME_Ranking1[[#This Row],[Closures Raw]]/$X$2)*100</f>
        <v>0</v>
      </c>
      <c r="Z331" s="180">
        <f>FME_Ranking1[[#This Row],[Closures Score (Normalized, Unweighted)]]*$X$3</f>
        <v>0</v>
      </c>
      <c r="AA331" s="253">
        <f>_xlfn.XLOOKUP(FME_Ranking1[[#This Row],[FME ID]],FME_Input[FME_ID],FME_Input[ROAD_MILES100])</f>
        <v>26.56326866149902</v>
      </c>
      <c r="AB331" s="178">
        <f>(FME_Ranking1[[#This Row],[Miles Raw]]/$AA$2)*100</f>
        <v>0.34925933943969506</v>
      </c>
      <c r="AC331" s="178">
        <f>FME_Ranking1[[#This Row],[Miles Score (Normalized, Unweighted)]]*$AA$3</f>
        <v>3.4925933943969506E-2</v>
      </c>
      <c r="AD331" s="255">
        <f>_xlfn.XLOOKUP(FME_Ranking1[[#This Row],[FME ID]],FME_Input[FME_ID],FME_Input[FARMACRE100])</f>
        <v>2.170749187469482</v>
      </c>
      <c r="AE331" s="230">
        <f>(FME_Ranking1[[#This Row],[Ag Land Raw]]/$AD$2)*100</f>
        <v>8.9511979124494865E-5</v>
      </c>
      <c r="AF331" s="231">
        <f>FME_Ranking1[[#This Row],[Ag Land Score (Normalized, Unweighted)]]*$AD$3</f>
        <v>4.4755989562247433E-6</v>
      </c>
      <c r="AG33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0.6486539665573039</v>
      </c>
      <c r="AH331" s="406">
        <f t="shared" si="5"/>
        <v>374</v>
      </c>
      <c r="AI33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0.6486539665573039</v>
      </c>
      <c r="AJ331" s="257">
        <f>FME_Ranking1[[#This Row],[Addition check]]-FME_Ranking1[[#This Row],[Weighted Score Based on Normalized Reported Factors]]</f>
        <v>0</v>
      </c>
      <c r="AK331" s="178">
        <f>_xlfn.RANK.EQ(AI331,$AI$6:$AI$2341,0)+COUNTIF($AI$6:AI331,AI331)-1</f>
        <v>374</v>
      </c>
    </row>
    <row r="332" spans="1:37" ht="12" customHeight="1" x14ac:dyDescent="0.25">
      <c r="A332" t="s">
        <v>4198</v>
      </c>
      <c r="B332">
        <f>_xlfn.XLOOKUP(FME_Ranking1[[#This Row],[FME ID]],FME_Input[FME_ID],FME_Input[RFPG_NUM])</f>
        <v>3</v>
      </c>
      <c r="C332" t="str">
        <f>_xlfn.XLOOKUP(FME_Ranking1[[#This Row],[FME ID]],FME_Input[FME_ID],FME_Input[FME_NAME])</f>
        <v>Cedar Hill-DeSoto-Duncanville DMP</v>
      </c>
      <c r="D332" t="str">
        <f>_xlfn.XLOOKUP(FME_Ranking1[[#This Row],[FME ID]],FME_Input[FME_ID],FME_Input[DESCR])</f>
        <v>Evaluate City and identify future projects.</v>
      </c>
      <c r="E332" s="256">
        <f>_xlfn.XLOOKUP(FME_Ranking1[[#This Row],[FME ID]],FME_Input[FME_ID],FME_Input[FME_COST])</f>
        <v>1000000</v>
      </c>
      <c r="F332" t="str">
        <f>_xlfn.XLOOKUP(FME_Ranking1[[#This Row],[FME ID]],FME_Input[FME_ID],FME_Input[EMER_NEED])</f>
        <v>No</v>
      </c>
      <c r="G332">
        <f>IF(FME_Ranking!F332="Yes",100,0)</f>
        <v>0</v>
      </c>
      <c r="H332">
        <f>FME_Ranking1[[#This Row],[Emergency Need Score (Normalized, Unweighted)]]*$F$3</f>
        <v>0</v>
      </c>
      <c r="I332" s="246">
        <f>_xlfn.XLOOKUP(FME_Ranking1[[#This Row],[FME ID]],FME_Input[FME_ID],FME_Input[STRUCT_100])</f>
        <v>1289</v>
      </c>
      <c r="J332" s="178">
        <f>(FME_Ranking1[[#This Row],[Structures 100 Raw]]/I$2)*100</f>
        <v>0.69024975367347807</v>
      </c>
      <c r="K332" s="178">
        <f>FME_Ranking1[[#This Row],[Structures 100  Score (Normalized, Unweighted)]]*$I$3</f>
        <v>0.10353746305102171</v>
      </c>
      <c r="L332" s="246">
        <f>_xlfn.XLOOKUP(FME_Ranking1[[#This Row],[FME ID]],FME_Input[FME_ID],FME_Input[RES_STRUCT100])</f>
        <v>1241</v>
      </c>
      <c r="M332" s="230">
        <f>(FME_Ranking1[[#This Row],[Res Structures Raw]]/L$2)*100</f>
        <v>0.87900723888314369</v>
      </c>
      <c r="N332" s="180">
        <f>FME_Ranking1[[#This Row],[Res Structures Score (Normalized, Unweighted)]]*$L$3</f>
        <v>8.790072388831438E-2</v>
      </c>
      <c r="O332" s="244">
        <f>_xlfn.XLOOKUP(FME_Ranking1[[#This Row],[FME ID]],FME_Input[FME_ID],FME_Input[POP100])</f>
        <v>9333</v>
      </c>
      <c r="P332" s="178">
        <f>(FME_Ranking1[[#This Row],[Pop Raw]]/$O$2)*100</f>
        <v>0.95546878679112768</v>
      </c>
      <c r="Q332" s="178">
        <f>FME_Ranking1[[#This Row],[Pop Score (Normalized, Unweighted)]]*$O$3</f>
        <v>0.14332031801866915</v>
      </c>
      <c r="R332" s="137">
        <f>_xlfn.XLOOKUP(FME_Ranking1[[#This Row],[FME ID]],FME_Input[FME_ID],FME_Input[CRITFAC100])</f>
        <v>8</v>
      </c>
      <c r="S332" s="230">
        <f>(FME_Ranking1[[#This Row],[Critical Facilities Raw]]/$R$2)*100</f>
        <v>0.34305317324185247</v>
      </c>
      <c r="T332" s="180">
        <f>FME_Ranking1[[#This Row],[Critical Facilities Score (Normalized, Unweighted)]]*$R$3</f>
        <v>6.86106346483705E-2</v>
      </c>
      <c r="U332">
        <f>_xlfn.XLOOKUP(FME_Ranking1[[#This Row],[FME ID]],FME_Input[FME_ID],FME_Input[LWC])</f>
        <v>18</v>
      </c>
      <c r="V332" s="178">
        <f>(FME_Ranking1[[#This Row],[LWC Raw]]/$U$2)*100</f>
        <v>1.0362694300518136</v>
      </c>
      <c r="W332" s="178">
        <f>FME_Ranking1[[#This Row],[LWC Score (Normalized, Unweighted)]]*$U$3</f>
        <v>0.20725388601036274</v>
      </c>
      <c r="X332" s="246">
        <f>_xlfn.XLOOKUP(FME_Ranking1[[#This Row],[FME ID]],FME_Input[FME_ID],FME_Input[ROADCLS])</f>
        <v>0</v>
      </c>
      <c r="Y332" s="230">
        <f>(FME_Ranking1[[#This Row],[Closures Raw]]/$X$2)*100</f>
        <v>0</v>
      </c>
      <c r="Z332" s="180">
        <f>FME_Ranking1[[#This Row],[Closures Score (Normalized, Unweighted)]]*$X$3</f>
        <v>0</v>
      </c>
      <c r="AA332" s="253">
        <f>_xlfn.XLOOKUP(FME_Ranking1[[#This Row],[FME ID]],FME_Input[FME_ID],FME_Input[ROAD_MILES100])</f>
        <v>42.396648406982422</v>
      </c>
      <c r="AB332" s="178">
        <f>(FME_Ranking1[[#This Row],[Miles Raw]]/$AA$2)*100</f>
        <v>0.55743988459303062</v>
      </c>
      <c r="AC332" s="178">
        <f>FME_Ranking1[[#This Row],[Miles Score (Normalized, Unweighted)]]*$AA$3</f>
        <v>5.5743988459303062E-2</v>
      </c>
      <c r="AD332" s="255">
        <f>_xlfn.XLOOKUP(FME_Ranking1[[#This Row],[FME ID]],FME_Input[FME_ID],FME_Input[FARMACRE100])</f>
        <v>455.44940185546881</v>
      </c>
      <c r="AE332" s="230">
        <f>(FME_Ranking1[[#This Row],[Ag Land Raw]]/$AD$2)*100</f>
        <v>1.878069451159177E-2</v>
      </c>
      <c r="AF332" s="231">
        <f>FME_Ranking1[[#This Row],[Ag Land Score (Normalized, Unweighted)]]*$AD$3</f>
        <v>9.3903472557958854E-4</v>
      </c>
      <c r="AG33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0.66730604880162114</v>
      </c>
      <c r="AH332" s="406">
        <f t="shared" si="5"/>
        <v>369</v>
      </c>
      <c r="AI33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0.66730604880162114</v>
      </c>
      <c r="AJ332" s="257">
        <f>FME_Ranking1[[#This Row],[Addition check]]-FME_Ranking1[[#This Row],[Weighted Score Based on Normalized Reported Factors]]</f>
        <v>0</v>
      </c>
      <c r="AK332" s="178">
        <f>_xlfn.RANK.EQ(AI332,$AI$6:$AI$2341,0)+COUNTIF($AI$6:AI332,AI332)-1</f>
        <v>369</v>
      </c>
    </row>
    <row r="333" spans="1:37" ht="12" customHeight="1" x14ac:dyDescent="0.25">
      <c r="A333" t="s">
        <v>9127</v>
      </c>
      <c r="B333">
        <f>_xlfn.XLOOKUP(FME_Ranking1[[#This Row],[FME ID]],FME_Input[FME_ID],FME_Input[RFPG_NUM])</f>
        <v>11</v>
      </c>
      <c r="C333" t="str">
        <f>_xlfn.XLOOKUP(FME_Ranking1[[#This Row],[FME ID]],FME_Input[FME_ID],FME_Input[FME_NAME])</f>
        <v>Technical Study to Enhance Great Springs Project Regional Flood Mitigation</v>
      </c>
      <c r="D333" t="str">
        <f>_xlfn.XLOOKUP(FME_Ranking1[[#This Row],[FME ID]],FME_Input[FME_ID],FME_Input[DESCR])</f>
        <v>The study will assess and quantify the flood mitigation impacts of an additional 50,000 acres of land conservation and trail development and identify possible modifications of open space and trail features to enhance flood mitigation.</v>
      </c>
      <c r="E333" s="256">
        <f>_xlfn.XLOOKUP(FME_Ranking1[[#This Row],[FME ID]],FME_Input[FME_ID],FME_Input[FME_COST])</f>
        <v>250000</v>
      </c>
      <c r="F333" t="str">
        <f>_xlfn.XLOOKUP(FME_Ranking1[[#This Row],[FME ID]],FME_Input[FME_ID],FME_Input[EMER_NEED])</f>
        <v>No</v>
      </c>
      <c r="G333">
        <f>IF(FME_Ranking!F333="Yes",100,0)</f>
        <v>0</v>
      </c>
      <c r="H333">
        <f>FME_Ranking1[[#This Row],[Emergency Need Score (Normalized, Unweighted)]]*$F$3</f>
        <v>0</v>
      </c>
      <c r="I333" s="246">
        <f>_xlfn.XLOOKUP(FME_Ranking1[[#This Row],[FME ID]],FME_Input[FME_ID],FME_Input[STRUCT_100])</f>
        <v>382</v>
      </c>
      <c r="J333" s="178">
        <f>(FME_Ranking1[[#This Row],[Structures 100 Raw]]/I$2)*100</f>
        <v>0.20455811163946364</v>
      </c>
      <c r="K333" s="178">
        <f>FME_Ranking1[[#This Row],[Structures 100  Score (Normalized, Unweighted)]]*$I$3</f>
        <v>3.0683716745919545E-2</v>
      </c>
      <c r="L333" s="246">
        <f>_xlfn.XLOOKUP(FME_Ranking1[[#This Row],[FME ID]],FME_Input[FME_ID],FME_Input[RES_STRUCT100])</f>
        <v>294</v>
      </c>
      <c r="M333" s="230">
        <f>(FME_Ranking1[[#This Row],[Res Structures Raw]]/L$2)*100</f>
        <v>0.20824184386111544</v>
      </c>
      <c r="N333" s="180">
        <f>FME_Ranking1[[#This Row],[Res Structures Score (Normalized, Unweighted)]]*$L$3</f>
        <v>2.0824184386111545E-2</v>
      </c>
      <c r="O333" s="244">
        <f>_xlfn.XLOOKUP(FME_Ranking1[[#This Row],[FME ID]],FME_Input[FME_ID],FME_Input[POP100])</f>
        <v>802</v>
      </c>
      <c r="P333" s="178">
        <f>(FME_Ranking1[[#This Row],[Pop Raw]]/$O$2)*100</f>
        <v>8.210500021498815E-2</v>
      </c>
      <c r="Q333" s="178">
        <f>FME_Ranking1[[#This Row],[Pop Score (Normalized, Unweighted)]]*$O$3</f>
        <v>1.2315750032248222E-2</v>
      </c>
      <c r="R333" s="137">
        <f>_xlfn.XLOOKUP(FME_Ranking1[[#This Row],[FME ID]],FME_Input[FME_ID],FME_Input[CRITFAC100])</f>
        <v>3</v>
      </c>
      <c r="S333" s="230">
        <f>(FME_Ranking1[[#This Row],[Critical Facilities Raw]]/$R$2)*100</f>
        <v>0.1286449399656947</v>
      </c>
      <c r="T333" s="180">
        <f>FME_Ranking1[[#This Row],[Critical Facilities Score (Normalized, Unweighted)]]*$R$3</f>
        <v>2.5728987993138941E-2</v>
      </c>
      <c r="U333">
        <f>_xlfn.XLOOKUP(FME_Ranking1[[#This Row],[FME ID]],FME_Input[FME_ID],FME_Input[LWC])</f>
        <v>44</v>
      </c>
      <c r="V333" s="178">
        <f>(FME_Ranking1[[#This Row],[LWC Raw]]/$U$2)*100</f>
        <v>2.5331030512377661</v>
      </c>
      <c r="W333" s="178">
        <f>FME_Ranking1[[#This Row],[LWC Score (Normalized, Unweighted)]]*$U$3</f>
        <v>0.50662061024755323</v>
      </c>
      <c r="X333" s="246">
        <f>_xlfn.XLOOKUP(FME_Ranking1[[#This Row],[FME ID]],FME_Input[FME_ID],FME_Input[ROADCLS])</f>
        <v>0</v>
      </c>
      <c r="Y333" s="230">
        <f>(FME_Ranking1[[#This Row],[Closures Raw]]/$X$2)*100</f>
        <v>0</v>
      </c>
      <c r="Z333" s="180">
        <f>FME_Ranking1[[#This Row],[Closures Score (Normalized, Unweighted)]]*$X$3</f>
        <v>0</v>
      </c>
      <c r="AA333" s="253">
        <f>_xlfn.XLOOKUP(FME_Ranking1[[#This Row],[FME ID]],FME_Input[FME_ID],FME_Input[ROAD_MILES100])</f>
        <v>18.536392211914059</v>
      </c>
      <c r="AB333" s="178">
        <f>(FME_Ranking1[[#This Row],[Miles Raw]]/$AA$2)*100</f>
        <v>0.24372031100644187</v>
      </c>
      <c r="AC333" s="178">
        <f>FME_Ranking1[[#This Row],[Miles Score (Normalized, Unweighted)]]*$AA$3</f>
        <v>2.437203110064419E-2</v>
      </c>
      <c r="AD333" s="255">
        <f>_xlfn.XLOOKUP(FME_Ranking1[[#This Row],[FME ID]],FME_Input[FME_ID],FME_Input[FARMACRE100])</f>
        <v>6858.2216796875</v>
      </c>
      <c r="AE333" s="230">
        <f>(FME_Ranking1[[#This Row],[Ag Land Raw]]/$AD$2)*100</f>
        <v>0.28280236121566033</v>
      </c>
      <c r="AF333" s="231">
        <f>FME_Ranking1[[#This Row],[Ag Land Score (Normalized, Unweighted)]]*$AD$3</f>
        <v>1.4140118060783018E-2</v>
      </c>
      <c r="AG33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0.63468539856639872</v>
      </c>
      <c r="AH333" s="406">
        <f t="shared" si="5"/>
        <v>381</v>
      </c>
      <c r="AI33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0.63468539856639872</v>
      </c>
      <c r="AJ333" s="257">
        <f>FME_Ranking1[[#This Row],[Addition check]]-FME_Ranking1[[#This Row],[Weighted Score Based on Normalized Reported Factors]]</f>
        <v>0</v>
      </c>
      <c r="AK333" s="178">
        <f>_xlfn.RANK.EQ(AI333,$AI$6:$AI$2341,0)+COUNTIF($AI$6:AI333,AI333)-1</f>
        <v>381</v>
      </c>
    </row>
    <row r="334" spans="1:37" ht="12" customHeight="1" x14ac:dyDescent="0.25">
      <c r="A334" t="s">
        <v>1508</v>
      </c>
      <c r="B334">
        <f>_xlfn.XLOOKUP(FME_Ranking1[[#This Row],[FME ID]],FME_Input[FME_ID],FME_Input[RFPG_NUM])</f>
        <v>6</v>
      </c>
      <c r="C334" t="str">
        <f>_xlfn.XLOOKUP(FME_Ranking1[[#This Row],[FME ID]],FME_Input[FME_ID],FME_Input[FME_NAME])</f>
        <v>City of Baytown  Master Drainage Plan</v>
      </c>
      <c r="D334" t="str">
        <f>_xlfn.XLOOKUP(FME_Ranking1[[#This Row],[FME ID]],FME_Input[FME_ID],FME_Input[DESCR])</f>
        <v>Study to develop Master Drainage Plan using future and existing land use and flood/storm water drainage needs including Atlas 14 rainfall.</v>
      </c>
      <c r="E334" s="256">
        <f>_xlfn.XLOOKUP(FME_Ranking1[[#This Row],[FME ID]],FME_Input[FME_ID],FME_Input[FME_COST])</f>
        <v>520000</v>
      </c>
      <c r="F334" t="str">
        <f>_xlfn.XLOOKUP(FME_Ranking1[[#This Row],[FME ID]],FME_Input[FME_ID],FME_Input[EMER_NEED])</f>
        <v>Yes</v>
      </c>
      <c r="G334">
        <f>IF(FME_Ranking!F334="Yes",100,0)</f>
        <v>100</v>
      </c>
      <c r="H334">
        <f>FME_Ranking1[[#This Row],[Emergency Need Score (Normalized, Unweighted)]]*$F$3</f>
        <v>0</v>
      </c>
      <c r="I334" s="246">
        <f>_xlfn.XLOOKUP(FME_Ranking1[[#This Row],[FME ID]],FME_Input[FME_ID],FME_Input[STRUCT_100])</f>
        <v>1185</v>
      </c>
      <c r="J334" s="178">
        <f>(FME_Ranking1[[#This Row],[Structures 100 Raw]]/I$2)*100</f>
        <v>0.63455854003341472</v>
      </c>
      <c r="K334" s="178">
        <f>FME_Ranking1[[#This Row],[Structures 100  Score (Normalized, Unweighted)]]*$I$3</f>
        <v>9.5183781005012208E-2</v>
      </c>
      <c r="L334" s="246">
        <f>_xlfn.XLOOKUP(FME_Ranking1[[#This Row],[FME ID]],FME_Input[FME_ID],FME_Input[RES_STRUCT100])</f>
        <v>975</v>
      </c>
      <c r="M334" s="230">
        <f>(FME_Ranking1[[#This Row],[Res Structures Raw]]/L$2)*100</f>
        <v>0.69059795158022985</v>
      </c>
      <c r="N334" s="180">
        <f>FME_Ranking1[[#This Row],[Res Structures Score (Normalized, Unweighted)]]*$L$3</f>
        <v>6.9059795158022991E-2</v>
      </c>
      <c r="O334" s="244">
        <f>_xlfn.XLOOKUP(FME_Ranking1[[#This Row],[FME ID]],FME_Input[FME_ID],FME_Input[POP100])</f>
        <v>8063</v>
      </c>
      <c r="P334" s="178">
        <f>(FME_Ranking1[[#This Row],[Pop Raw]]/$O$2)*100</f>
        <v>0.82545214056539828</v>
      </c>
      <c r="Q334" s="178">
        <f>FME_Ranking1[[#This Row],[Pop Score (Normalized, Unweighted)]]*$O$3</f>
        <v>0.12381782108480974</v>
      </c>
      <c r="R334" s="137">
        <f>_xlfn.XLOOKUP(FME_Ranking1[[#This Row],[FME ID]],FME_Input[FME_ID],FME_Input[CRITFAC100])</f>
        <v>36</v>
      </c>
      <c r="S334" s="230">
        <f>(FME_Ranking1[[#This Row],[Critical Facilities Raw]]/$R$2)*100</f>
        <v>1.5437392795883362</v>
      </c>
      <c r="T334" s="180">
        <f>FME_Ranking1[[#This Row],[Critical Facilities Score (Normalized, Unweighted)]]*$R$3</f>
        <v>0.30874785591766729</v>
      </c>
      <c r="U334">
        <f>_xlfn.XLOOKUP(FME_Ranking1[[#This Row],[FME ID]],FME_Input[FME_ID],FME_Input[LWC])</f>
        <v>1</v>
      </c>
      <c r="V334" s="178">
        <f>(FME_Ranking1[[#This Row],[LWC Raw]]/$U$2)*100</f>
        <v>5.7570523891767422E-2</v>
      </c>
      <c r="W334" s="178">
        <f>FME_Ranking1[[#This Row],[LWC Score (Normalized, Unweighted)]]*$U$3</f>
        <v>1.1514104778353485E-2</v>
      </c>
      <c r="X334" s="246">
        <f>_xlfn.XLOOKUP(FME_Ranking1[[#This Row],[FME ID]],FME_Input[FME_ID],FME_Input[ROADCLS])</f>
        <v>1</v>
      </c>
      <c r="Y334" s="230">
        <f>(FME_Ranking1[[#This Row],[Closures Raw]]/$X$2)*100</f>
        <v>1.0514141520344864E-2</v>
      </c>
      <c r="Z334" s="180">
        <f>FME_Ranking1[[#This Row],[Closures Score (Normalized, Unweighted)]]*$X$3</f>
        <v>5.2570707601724321E-4</v>
      </c>
      <c r="AA334" s="253">
        <f>_xlfn.XLOOKUP(FME_Ranking1[[#This Row],[FME ID]],FME_Input[FME_ID],FME_Input[ROAD_MILES100])</f>
        <v>50.190940856933587</v>
      </c>
      <c r="AB334" s="178">
        <f>(FME_Ranking1[[#This Row],[Miles Raw]]/$AA$2)*100</f>
        <v>0.65992085059008665</v>
      </c>
      <c r="AC334" s="178">
        <f>FME_Ranking1[[#This Row],[Miles Score (Normalized, Unweighted)]]*$AA$3</f>
        <v>6.5992085059008665E-2</v>
      </c>
      <c r="AD334" s="255">
        <f>_xlfn.XLOOKUP(FME_Ranking1[[#This Row],[FME ID]],FME_Input[FME_ID],FME_Input[FARMACRE100])</f>
        <v>78.8323974609375</v>
      </c>
      <c r="AE334" s="230">
        <f>(FME_Ranking1[[#This Row],[Ag Land Raw]]/$AD$2)*100</f>
        <v>3.2506951777709812E-3</v>
      </c>
      <c r="AF334" s="231">
        <f>FME_Ranking1[[#This Row],[Ag Land Score (Normalized, Unweighted)]]*$AD$3</f>
        <v>1.6253475888854907E-4</v>
      </c>
      <c r="AG33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0.67500368483778017</v>
      </c>
      <c r="AH334" s="406">
        <f t="shared" si="5"/>
        <v>364</v>
      </c>
      <c r="AI33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0.67500368483778017</v>
      </c>
      <c r="AJ334" s="257">
        <f>FME_Ranking1[[#This Row],[Addition check]]-FME_Ranking1[[#This Row],[Weighted Score Based on Normalized Reported Factors]]</f>
        <v>0</v>
      </c>
      <c r="AK334" s="178">
        <f>_xlfn.RANK.EQ(AI334,$AI$6:$AI$2341,0)+COUNTIF($AI$6:AI334,AI334)-1</f>
        <v>364</v>
      </c>
    </row>
    <row r="335" spans="1:37" ht="12" customHeight="1" x14ac:dyDescent="0.25">
      <c r="A335" t="s">
        <v>5002</v>
      </c>
      <c r="B335">
        <f>_xlfn.XLOOKUP(FME_Ranking1[[#This Row],[FME ID]],FME_Input[FME_ID],FME_Input[RFPG_NUM])</f>
        <v>3</v>
      </c>
      <c r="C335" t="str">
        <f>_xlfn.XLOOKUP(FME_Ranking1[[#This Row],[FME ID]],FME_Input[FME_ID],FME_Input[FME_NAME])</f>
        <v>FM 661 at Mountain Creek (Future with Development)</v>
      </c>
      <c r="D335" t="str">
        <f>_xlfn.XLOOKUP(FME_Ranking1[[#This Row],[FME ID]],FME_Input[FME_ID],FME_Input[DESCR])</f>
        <v>Study update - Channel Improvements; Estimated construction cost of $7,750,000</v>
      </c>
      <c r="E335" s="256">
        <f>_xlfn.XLOOKUP(FME_Ranking1[[#This Row],[FME ID]],FME_Input[FME_ID],FME_Input[FME_COST])</f>
        <v>388000</v>
      </c>
      <c r="F335" t="str">
        <f>_xlfn.XLOOKUP(FME_Ranking1[[#This Row],[FME ID]],FME_Input[FME_ID],FME_Input[EMER_NEED])</f>
        <v>No</v>
      </c>
      <c r="G335">
        <f>IF(FME_Ranking!F335="Yes",100,0)</f>
        <v>0</v>
      </c>
      <c r="H335">
        <f>FME_Ranking1[[#This Row],[Emergency Need Score (Normalized, Unweighted)]]*$F$3</f>
        <v>0</v>
      </c>
      <c r="I335" s="246">
        <f>_xlfn.XLOOKUP(FME_Ranking1[[#This Row],[FME ID]],FME_Input[FME_ID],FME_Input[STRUCT_100])</f>
        <v>224</v>
      </c>
      <c r="J335" s="178">
        <f>(FME_Ranking1[[#This Row],[Structures 100 Raw]]/I$2)*100</f>
        <v>0.11995030630167502</v>
      </c>
      <c r="K335" s="178">
        <f>FME_Ranking1[[#This Row],[Structures 100  Score (Normalized, Unweighted)]]*$I$3</f>
        <v>1.7992545945251254E-2</v>
      </c>
      <c r="L335" s="246">
        <f>_xlfn.XLOOKUP(FME_Ranking1[[#This Row],[FME ID]],FME_Input[FME_ID],FME_Input[RES_STRUCT100])</f>
        <v>185</v>
      </c>
      <c r="M335" s="230">
        <f>(FME_Ranking1[[#This Row],[Res Structures Raw]]/L$2)*100</f>
        <v>0.13103653440240259</v>
      </c>
      <c r="N335" s="180">
        <f>FME_Ranking1[[#This Row],[Res Structures Score (Normalized, Unweighted)]]*$L$3</f>
        <v>1.3103653440240261E-2</v>
      </c>
      <c r="O335" s="244">
        <f>_xlfn.XLOOKUP(FME_Ranking1[[#This Row],[FME ID]],FME_Input[FME_ID],FME_Input[POP100])</f>
        <v>451</v>
      </c>
      <c r="P335" s="178">
        <f>(FME_Ranking1[[#This Row],[Pop Raw]]/$O$2)*100</f>
        <v>4.6171265706932245E-2</v>
      </c>
      <c r="Q335" s="178">
        <f>FME_Ranking1[[#This Row],[Pop Score (Normalized, Unweighted)]]*$O$3</f>
        <v>6.9256898560398367E-3</v>
      </c>
      <c r="R335" s="137">
        <f>_xlfn.XLOOKUP(FME_Ranking1[[#This Row],[FME ID]],FME_Input[FME_ID],FME_Input[CRITFAC100])</f>
        <v>1</v>
      </c>
      <c r="S335" s="230">
        <f>(FME_Ranking1[[#This Row],[Critical Facilities Raw]]/$R$2)*100</f>
        <v>4.2881646655231559E-2</v>
      </c>
      <c r="T335" s="180">
        <f>FME_Ranking1[[#This Row],[Critical Facilities Score (Normalized, Unweighted)]]*$R$3</f>
        <v>8.5763293310463125E-3</v>
      </c>
      <c r="U335">
        <f>_xlfn.XLOOKUP(FME_Ranking1[[#This Row],[FME ID]],FME_Input[FME_ID],FME_Input[LWC])</f>
        <v>48</v>
      </c>
      <c r="V335" s="178">
        <f>(FME_Ranking1[[#This Row],[LWC Raw]]/$U$2)*100</f>
        <v>2.7633851468048358</v>
      </c>
      <c r="W335" s="178">
        <f>FME_Ranking1[[#This Row],[LWC Score (Normalized, Unweighted)]]*$U$3</f>
        <v>0.55267702936096719</v>
      </c>
      <c r="X335" s="246">
        <f>_xlfn.XLOOKUP(FME_Ranking1[[#This Row],[FME ID]],FME_Input[FME_ID],FME_Input[ROADCLS])</f>
        <v>0</v>
      </c>
      <c r="Y335" s="230">
        <f>(FME_Ranking1[[#This Row],[Closures Raw]]/$X$2)*100</f>
        <v>0</v>
      </c>
      <c r="Z335" s="180">
        <f>FME_Ranking1[[#This Row],[Closures Score (Normalized, Unweighted)]]*$X$3</f>
        <v>0</v>
      </c>
      <c r="AA335" s="253">
        <f>_xlfn.XLOOKUP(FME_Ranking1[[#This Row],[FME ID]],FME_Input[FME_ID],FME_Input[ROAD_MILES100])</f>
        <v>7.1560649871826172</v>
      </c>
      <c r="AB335" s="178">
        <f>(FME_Ranking1[[#This Row],[Miles Raw]]/$AA$2)*100</f>
        <v>9.4089419576343994E-2</v>
      </c>
      <c r="AC335" s="178">
        <f>FME_Ranking1[[#This Row],[Miles Score (Normalized, Unweighted)]]*$AA$3</f>
        <v>9.4089419576343994E-3</v>
      </c>
      <c r="AD335" s="255">
        <f>_xlfn.XLOOKUP(FME_Ranking1[[#This Row],[FME ID]],FME_Input[FME_ID],FME_Input[FARMACRE100])</f>
        <v>3239.75</v>
      </c>
      <c r="AE335" s="230">
        <f>(FME_Ranking1[[#This Row],[Ag Land Raw]]/$AD$2)*100</f>
        <v>0.13359278724717211</v>
      </c>
      <c r="AF335" s="231">
        <f>FME_Ranking1[[#This Row],[Ag Land Score (Normalized, Unweighted)]]*$AD$3</f>
        <v>6.679639362358606E-3</v>
      </c>
      <c r="AG33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0.61536382925353783</v>
      </c>
      <c r="AH335" s="406">
        <f t="shared" si="5"/>
        <v>389</v>
      </c>
      <c r="AI33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0.61536382925353783</v>
      </c>
      <c r="AJ335" s="257">
        <f>FME_Ranking1[[#This Row],[Addition check]]-FME_Ranking1[[#This Row],[Weighted Score Based on Normalized Reported Factors]]</f>
        <v>0</v>
      </c>
      <c r="AK335" s="178">
        <f>_xlfn.RANK.EQ(AI335,$AI$6:$AI$2341,0)+COUNTIF($AI$6:AI335,AI335)-1</f>
        <v>389</v>
      </c>
    </row>
    <row r="336" spans="1:37" ht="12" customHeight="1" x14ac:dyDescent="0.25">
      <c r="A336" t="s">
        <v>5781</v>
      </c>
      <c r="B336">
        <f>_xlfn.XLOOKUP(FME_Ranking1[[#This Row],[FME ID]],FME_Input[FME_ID],FME_Input[RFPG_NUM])</f>
        <v>5</v>
      </c>
      <c r="C336" t="str">
        <f>_xlfn.XLOOKUP(FME_Ranking1[[#This Row],[FME ID]],FME_Input[FME_ID],FME_Input[FME_NAME])</f>
        <v>Angelina County Update Flood Hazard Mapping</v>
      </c>
      <c r="D336" t="str">
        <f>_xlfn.XLOOKUP(FME_Ranking1[[#This Row],[FME ID]],FME_Input[FME_ID],FME_Input[DESCR])</f>
        <v>Complete a detailed study within the county extent to delineate an updated flood hazard area, which can be used for regulatory purposes.</v>
      </c>
      <c r="E336" s="256">
        <f>_xlfn.XLOOKUP(FME_Ranking1[[#This Row],[FME ID]],FME_Input[FME_ID],FME_Input[FME_COST])</f>
        <v>3900000</v>
      </c>
      <c r="F336" t="str">
        <f>_xlfn.XLOOKUP(FME_Ranking1[[#This Row],[FME ID]],FME_Input[FME_ID],FME_Input[EMER_NEED])</f>
        <v>Yes</v>
      </c>
      <c r="G336">
        <f>IF(FME_Ranking!F336="Yes",100,0)</f>
        <v>100</v>
      </c>
      <c r="H336">
        <f>FME_Ranking1[[#This Row],[Emergency Need Score (Normalized, Unweighted)]]*$F$3</f>
        <v>0</v>
      </c>
      <c r="I336" s="246">
        <f>_xlfn.XLOOKUP(FME_Ranking1[[#This Row],[FME ID]],FME_Input[FME_ID],FME_Input[STRUCT_100])</f>
        <v>1201</v>
      </c>
      <c r="J336" s="178">
        <f>(FME_Ranking1[[#This Row],[Structures 100 Raw]]/I$2)*100</f>
        <v>0.64312641905496293</v>
      </c>
      <c r="K336" s="178">
        <f>FME_Ranking1[[#This Row],[Structures 100  Score (Normalized, Unweighted)]]*$I$3</f>
        <v>9.6468962858244439E-2</v>
      </c>
      <c r="L336" s="246">
        <f>_xlfn.XLOOKUP(FME_Ranking1[[#This Row],[FME ID]],FME_Input[FME_ID],FME_Input[RES_STRUCT100])</f>
        <v>750</v>
      </c>
      <c r="M336" s="230">
        <f>(FME_Ranking1[[#This Row],[Res Structures Raw]]/L$2)*100</f>
        <v>0.53122919352325371</v>
      </c>
      <c r="N336" s="180">
        <f>FME_Ranking1[[#This Row],[Res Structures Score (Normalized, Unweighted)]]*$L$3</f>
        <v>5.3122919352325375E-2</v>
      </c>
      <c r="O336" s="244">
        <f>_xlfn.XLOOKUP(FME_Ranking1[[#This Row],[FME ID]],FME_Input[FME_ID],FME_Input[POP100])</f>
        <v>8420</v>
      </c>
      <c r="P336" s="178">
        <f>(FME_Ranking1[[#This Row],[Pop Raw]]/$O$2)*100</f>
        <v>0.86200012694538697</v>
      </c>
      <c r="Q336" s="178">
        <f>FME_Ranking1[[#This Row],[Pop Score (Normalized, Unweighted)]]*$O$3</f>
        <v>0.12930001904180805</v>
      </c>
      <c r="R336" s="137">
        <f>_xlfn.XLOOKUP(FME_Ranking1[[#This Row],[FME ID]],FME_Input[FME_ID],FME_Input[CRITFAC100])</f>
        <v>11</v>
      </c>
      <c r="S336" s="230">
        <f>(FME_Ranking1[[#This Row],[Critical Facilities Raw]]/$R$2)*100</f>
        <v>0.47169811320754718</v>
      </c>
      <c r="T336" s="180">
        <f>FME_Ranking1[[#This Row],[Critical Facilities Score (Normalized, Unweighted)]]*$R$3</f>
        <v>9.4339622641509441E-2</v>
      </c>
      <c r="U336">
        <f>_xlfn.XLOOKUP(FME_Ranking1[[#This Row],[FME ID]],FME_Input[FME_ID],FME_Input[LWC])</f>
        <v>19</v>
      </c>
      <c r="V336" s="178">
        <f>(FME_Ranking1[[#This Row],[LWC Raw]]/$U$2)*100</f>
        <v>1.0938399539435808</v>
      </c>
      <c r="W336" s="178">
        <f>FME_Ranking1[[#This Row],[LWC Score (Normalized, Unweighted)]]*$U$3</f>
        <v>0.21876799078871617</v>
      </c>
      <c r="X336" s="246">
        <f>_xlfn.XLOOKUP(FME_Ranking1[[#This Row],[FME ID]],FME_Input[FME_ID],FME_Input[ROADCLS])</f>
        <v>19</v>
      </c>
      <c r="Y336" s="230">
        <f>(FME_Ranking1[[#This Row],[Closures Raw]]/$X$2)*100</f>
        <v>0.19976868888655239</v>
      </c>
      <c r="Z336" s="180">
        <f>FME_Ranking1[[#This Row],[Closures Score (Normalized, Unweighted)]]*$X$3</f>
        <v>9.9884344443276207E-3</v>
      </c>
      <c r="AA336" s="253">
        <f>_xlfn.XLOOKUP(FME_Ranking1[[#This Row],[FME ID]],FME_Input[FME_ID],FME_Input[ROAD_MILES100])</f>
        <v>66.366546630859375</v>
      </c>
      <c r="AB336" s="178">
        <f>(FME_Ranking1[[#This Row],[Miles Raw]]/$AA$2)*100</f>
        <v>0.87260105420624146</v>
      </c>
      <c r="AC336" s="178">
        <f>FME_Ranking1[[#This Row],[Miles Score (Normalized, Unweighted)]]*$AA$3</f>
        <v>8.7260105420624151E-2</v>
      </c>
      <c r="AD336" s="255">
        <f>_xlfn.XLOOKUP(FME_Ranking1[[#This Row],[FME ID]],FME_Input[FME_ID],FME_Input[FARMACRE100])</f>
        <v>165.36151123046881</v>
      </c>
      <c r="AE336" s="230">
        <f>(FME_Ranking1[[#This Row],[Ag Land Raw]]/$AD$2)*100</f>
        <v>6.8187684817294187E-3</v>
      </c>
      <c r="AF336" s="231">
        <f>FME_Ranking1[[#This Row],[Ag Land Score (Normalized, Unweighted)]]*$AD$3</f>
        <v>3.4093842408647096E-4</v>
      </c>
      <c r="AG33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0.68958899297164156</v>
      </c>
      <c r="AH336" s="406">
        <f t="shared" si="5"/>
        <v>359</v>
      </c>
      <c r="AI33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0.68958899297164156</v>
      </c>
      <c r="AJ336" s="257">
        <f>FME_Ranking1[[#This Row],[Addition check]]-FME_Ranking1[[#This Row],[Weighted Score Based on Normalized Reported Factors]]</f>
        <v>0</v>
      </c>
      <c r="AK336" s="178">
        <f>_xlfn.RANK.EQ(AI336,$AI$6:$AI$2341,0)+COUNTIF($AI$6:AI336,AI336)-1</f>
        <v>359</v>
      </c>
    </row>
    <row r="337" spans="1:37" ht="12" customHeight="1" x14ac:dyDescent="0.25">
      <c r="A337" t="s">
        <v>6144</v>
      </c>
      <c r="B337">
        <f>_xlfn.XLOOKUP(FME_Ranking1[[#This Row],[FME ID]],FME_Input[FME_ID],FME_Input[RFPG_NUM])</f>
        <v>5</v>
      </c>
      <c r="C337" t="str">
        <f>_xlfn.XLOOKUP(FME_Ranking1[[#This Row],[FME ID]],FME_Input[FME_ID],FME_Input[FME_NAME])</f>
        <v>Angelina County Master Drainage Plan</v>
      </c>
      <c r="D337"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337" s="256">
        <f>_xlfn.XLOOKUP(FME_Ranking1[[#This Row],[FME ID]],FME_Input[FME_ID],FME_Input[FME_COST])</f>
        <v>1700000</v>
      </c>
      <c r="F337" t="str">
        <f>_xlfn.XLOOKUP(FME_Ranking1[[#This Row],[FME ID]],FME_Input[FME_ID],FME_Input[EMER_NEED])</f>
        <v>Yes</v>
      </c>
      <c r="G337">
        <f>IF(FME_Ranking!F337="Yes",100,0)</f>
        <v>100</v>
      </c>
      <c r="H337">
        <f>FME_Ranking1[[#This Row],[Emergency Need Score (Normalized, Unweighted)]]*$F$3</f>
        <v>0</v>
      </c>
      <c r="I337" s="246">
        <f>_xlfn.XLOOKUP(FME_Ranking1[[#This Row],[FME ID]],FME_Input[FME_ID],FME_Input[STRUCT_100])</f>
        <v>1201</v>
      </c>
      <c r="J337" s="178">
        <f>(FME_Ranking1[[#This Row],[Structures 100 Raw]]/I$2)*100</f>
        <v>0.64312641905496293</v>
      </c>
      <c r="K337" s="178">
        <f>FME_Ranking1[[#This Row],[Structures 100  Score (Normalized, Unweighted)]]*$I$3</f>
        <v>9.6468962858244439E-2</v>
      </c>
      <c r="L337" s="246">
        <f>_xlfn.XLOOKUP(FME_Ranking1[[#This Row],[FME ID]],FME_Input[FME_ID],FME_Input[RES_STRUCT100])</f>
        <v>750</v>
      </c>
      <c r="M337" s="230">
        <f>(FME_Ranking1[[#This Row],[Res Structures Raw]]/L$2)*100</f>
        <v>0.53122919352325371</v>
      </c>
      <c r="N337" s="180">
        <f>FME_Ranking1[[#This Row],[Res Structures Score (Normalized, Unweighted)]]*$L$3</f>
        <v>5.3122919352325375E-2</v>
      </c>
      <c r="O337" s="244">
        <f>_xlfn.XLOOKUP(FME_Ranking1[[#This Row],[FME ID]],FME_Input[FME_ID],FME_Input[POP100])</f>
        <v>8420</v>
      </c>
      <c r="P337" s="178">
        <f>(FME_Ranking1[[#This Row],[Pop Raw]]/$O$2)*100</f>
        <v>0.86200012694538697</v>
      </c>
      <c r="Q337" s="178">
        <f>FME_Ranking1[[#This Row],[Pop Score (Normalized, Unweighted)]]*$O$3</f>
        <v>0.12930001904180805</v>
      </c>
      <c r="R337" s="137">
        <f>_xlfn.XLOOKUP(FME_Ranking1[[#This Row],[FME ID]],FME_Input[FME_ID],FME_Input[CRITFAC100])</f>
        <v>11</v>
      </c>
      <c r="S337" s="230">
        <f>(FME_Ranking1[[#This Row],[Critical Facilities Raw]]/$R$2)*100</f>
        <v>0.47169811320754718</v>
      </c>
      <c r="T337" s="180">
        <f>FME_Ranking1[[#This Row],[Critical Facilities Score (Normalized, Unweighted)]]*$R$3</f>
        <v>9.4339622641509441E-2</v>
      </c>
      <c r="U337">
        <f>_xlfn.XLOOKUP(FME_Ranking1[[#This Row],[FME ID]],FME_Input[FME_ID],FME_Input[LWC])</f>
        <v>19</v>
      </c>
      <c r="V337" s="178">
        <f>(FME_Ranking1[[#This Row],[LWC Raw]]/$U$2)*100</f>
        <v>1.0938399539435808</v>
      </c>
      <c r="W337" s="178">
        <f>FME_Ranking1[[#This Row],[LWC Score (Normalized, Unweighted)]]*$U$3</f>
        <v>0.21876799078871617</v>
      </c>
      <c r="X337" s="246">
        <f>_xlfn.XLOOKUP(FME_Ranking1[[#This Row],[FME ID]],FME_Input[FME_ID],FME_Input[ROADCLS])</f>
        <v>19</v>
      </c>
      <c r="Y337" s="230">
        <f>(FME_Ranking1[[#This Row],[Closures Raw]]/$X$2)*100</f>
        <v>0.19976868888655239</v>
      </c>
      <c r="Z337" s="180">
        <f>FME_Ranking1[[#This Row],[Closures Score (Normalized, Unweighted)]]*$X$3</f>
        <v>9.9884344443276207E-3</v>
      </c>
      <c r="AA337" s="253">
        <f>_xlfn.XLOOKUP(FME_Ranking1[[#This Row],[FME ID]],FME_Input[FME_ID],FME_Input[ROAD_MILES100])</f>
        <v>66.366546630859375</v>
      </c>
      <c r="AB337" s="178">
        <f>(FME_Ranking1[[#This Row],[Miles Raw]]/$AA$2)*100</f>
        <v>0.87260105420624146</v>
      </c>
      <c r="AC337" s="178">
        <f>FME_Ranking1[[#This Row],[Miles Score (Normalized, Unweighted)]]*$AA$3</f>
        <v>8.7260105420624151E-2</v>
      </c>
      <c r="AD337" s="255">
        <f>_xlfn.XLOOKUP(FME_Ranking1[[#This Row],[FME ID]],FME_Input[FME_ID],FME_Input[FARMACRE100])</f>
        <v>165.36151123046881</v>
      </c>
      <c r="AE337" s="230">
        <f>(FME_Ranking1[[#This Row],[Ag Land Raw]]/$AD$2)*100</f>
        <v>6.8187684817294187E-3</v>
      </c>
      <c r="AF337" s="231">
        <f>FME_Ranking1[[#This Row],[Ag Land Score (Normalized, Unweighted)]]*$AD$3</f>
        <v>3.4093842408647096E-4</v>
      </c>
      <c r="AG33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0.68958899297164156</v>
      </c>
      <c r="AH337" s="406">
        <f t="shared" si="5"/>
        <v>359</v>
      </c>
      <c r="AI33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0.68958899297164156</v>
      </c>
      <c r="AJ337" s="257">
        <f>FME_Ranking1[[#This Row],[Addition check]]-FME_Ranking1[[#This Row],[Weighted Score Based on Normalized Reported Factors]]</f>
        <v>0</v>
      </c>
      <c r="AK337" s="178">
        <f>_xlfn.RANK.EQ(AI337,$AI$6:$AI$2341,0)+COUNTIF($AI$6:AI337,AI337)-1</f>
        <v>360</v>
      </c>
    </row>
    <row r="338" spans="1:37" ht="12" customHeight="1" x14ac:dyDescent="0.25">
      <c r="A338" t="s">
        <v>2172</v>
      </c>
      <c r="B338">
        <f>_xlfn.XLOOKUP(FME_Ranking1[[#This Row],[FME ID]],FME_Input[FME_ID],FME_Input[RFPG_NUM])</f>
        <v>6</v>
      </c>
      <c r="C338" t="str">
        <f>_xlfn.XLOOKUP(FME_Ranking1[[#This Row],[FME ID]],FME_Input[FME_ID],FME_Input[FME_NAME])</f>
        <v>Unincorporated Areas of Bacliff and San Leon Roadside Ditches &amp; Driveway Culverts Improvements</v>
      </c>
      <c r="D338" t="str">
        <f>_xlfn.XLOOKUP(FME_Ranking1[[#This Row],[FME ID]],FME_Input[FME_ID],FME_Input[DESCR])</f>
        <v xml:space="preserve">Further study of this unfunded CDBG-MIT project consists of various areas of roadside ditch and driveway culvert improvements in Bacliff and San Leon. </v>
      </c>
      <c r="E338" s="256">
        <f>_xlfn.XLOOKUP(FME_Ranking1[[#This Row],[FME ID]],FME_Input[FME_ID],FME_Input[FME_COST])</f>
        <v>30000</v>
      </c>
      <c r="F338" t="str">
        <f>_xlfn.XLOOKUP(FME_Ranking1[[#This Row],[FME ID]],FME_Input[FME_ID],FME_Input[EMER_NEED])</f>
        <v>No</v>
      </c>
      <c r="G338">
        <f>IF(FME_Ranking!F338="Yes",100,0)</f>
        <v>0</v>
      </c>
      <c r="H338">
        <f>FME_Ranking1[[#This Row],[Emergency Need Score (Normalized, Unweighted)]]*$F$3</f>
        <v>0</v>
      </c>
      <c r="I338" s="246">
        <f>_xlfn.XLOOKUP(FME_Ranking1[[#This Row],[FME ID]],FME_Input[FME_ID],FME_Input[STRUCT_100])</f>
        <v>3337</v>
      </c>
      <c r="J338" s="178">
        <f>(FME_Ranking1[[#This Row],[Structures 100 Raw]]/I$2)*100</f>
        <v>1.7869382684316499</v>
      </c>
      <c r="K338" s="178">
        <f>FME_Ranking1[[#This Row],[Structures 100  Score (Normalized, Unweighted)]]*$I$3</f>
        <v>0.2680407402647475</v>
      </c>
      <c r="L338" s="246">
        <f>_xlfn.XLOOKUP(FME_Ranking1[[#This Row],[FME ID]],FME_Input[FME_ID],FME_Input[RES_STRUCT100])</f>
        <v>2777</v>
      </c>
      <c r="M338" s="230">
        <f>(FME_Ranking1[[#This Row],[Res Structures Raw]]/L$2)*100</f>
        <v>1.9669646272187675</v>
      </c>
      <c r="N338" s="180">
        <f>FME_Ranking1[[#This Row],[Res Structures Score (Normalized, Unweighted)]]*$L$3</f>
        <v>0.19669646272187677</v>
      </c>
      <c r="O338" s="244">
        <f>_xlfn.XLOOKUP(FME_Ranking1[[#This Row],[FME ID]],FME_Input[FME_ID],FME_Input[POP100])</f>
        <v>5906</v>
      </c>
      <c r="P338" s="178">
        <f>(FME_Ranking1[[#This Row],[Pop Raw]]/$O$2)*100</f>
        <v>0.60462859260563595</v>
      </c>
      <c r="Q338" s="178">
        <f>FME_Ranking1[[#This Row],[Pop Score (Normalized, Unweighted)]]*$O$3</f>
        <v>9.0694288890845395E-2</v>
      </c>
      <c r="R338" s="137">
        <f>_xlfn.XLOOKUP(FME_Ranking1[[#This Row],[FME ID]],FME_Input[FME_ID],FME_Input[CRITFAC100])</f>
        <v>5</v>
      </c>
      <c r="S338" s="230">
        <f>(FME_Ranking1[[#This Row],[Critical Facilities Raw]]/$R$2)*100</f>
        <v>0.21440823327615782</v>
      </c>
      <c r="T338" s="180">
        <f>FME_Ranking1[[#This Row],[Critical Facilities Score (Normalized, Unweighted)]]*$R$3</f>
        <v>4.2881646655231566E-2</v>
      </c>
      <c r="U338">
        <f>_xlfn.XLOOKUP(FME_Ranking1[[#This Row],[FME ID]],FME_Input[FME_ID],FME_Input[LWC])</f>
        <v>0</v>
      </c>
      <c r="V338" s="178">
        <f>(FME_Ranking1[[#This Row],[LWC Raw]]/$U$2)*100</f>
        <v>0</v>
      </c>
      <c r="W338" s="178">
        <f>FME_Ranking1[[#This Row],[LWC Score (Normalized, Unweighted)]]*$U$3</f>
        <v>0</v>
      </c>
      <c r="X338" s="246">
        <f>_xlfn.XLOOKUP(FME_Ranking1[[#This Row],[FME ID]],FME_Input[FME_ID],FME_Input[ROADCLS])</f>
        <v>0</v>
      </c>
      <c r="Y338" s="230">
        <f>(FME_Ranking1[[#This Row],[Closures Raw]]/$X$2)*100</f>
        <v>0</v>
      </c>
      <c r="Z338" s="180">
        <f>FME_Ranking1[[#This Row],[Closures Score (Normalized, Unweighted)]]*$X$3</f>
        <v>0</v>
      </c>
      <c r="AA338" s="253">
        <f>_xlfn.XLOOKUP(FME_Ranking1[[#This Row],[FME ID]],FME_Input[FME_ID],FME_Input[ROAD_MILES100])</f>
        <v>50.356361389160163</v>
      </c>
      <c r="AB338" s="178">
        <f>(FME_Ranking1[[#This Row],[Miles Raw]]/$AA$2)*100</f>
        <v>0.66209583389321292</v>
      </c>
      <c r="AC338" s="178">
        <f>FME_Ranking1[[#This Row],[Miles Score (Normalized, Unweighted)]]*$AA$3</f>
        <v>6.62095833893213E-2</v>
      </c>
      <c r="AD338" s="255">
        <f>_xlfn.XLOOKUP(FME_Ranking1[[#This Row],[FME ID]],FME_Input[FME_ID],FME_Input[FARMACRE100])</f>
        <v>48.622146606445313</v>
      </c>
      <c r="AE338" s="230">
        <f>(FME_Ranking1[[#This Row],[Ag Land Raw]]/$AD$2)*100</f>
        <v>2.0049596688311321E-3</v>
      </c>
      <c r="AF338" s="231">
        <f>FME_Ranking1[[#This Row],[Ag Land Score (Normalized, Unweighted)]]*$AD$3</f>
        <v>1.0024798344155662E-4</v>
      </c>
      <c r="AG33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0.66462296990546399</v>
      </c>
      <c r="AH338" s="406">
        <f t="shared" si="5"/>
        <v>370</v>
      </c>
      <c r="AI33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0.66462296990546399</v>
      </c>
      <c r="AJ338" s="257">
        <f>FME_Ranking1[[#This Row],[Addition check]]-FME_Ranking1[[#This Row],[Weighted Score Based on Normalized Reported Factors]]</f>
        <v>0</v>
      </c>
      <c r="AK338" s="178">
        <f>_xlfn.RANK.EQ(AI338,$AI$6:$AI$2341,0)+COUNTIF($AI$6:AI338,AI338)-1</f>
        <v>370</v>
      </c>
    </row>
    <row r="339" spans="1:37" ht="12" customHeight="1" x14ac:dyDescent="0.25">
      <c r="A339" t="s">
        <v>11006</v>
      </c>
      <c r="B339">
        <f>_xlfn.XLOOKUP(FME_Ranking1[[#This Row],[FME ID]],FME_Input[FME_ID],FME_Input[RFPG_NUM])</f>
        <v>14</v>
      </c>
      <c r="C339" t="str">
        <f>_xlfn.XLOOKUP(FME_Ranking1[[#This Row],[FME ID]],FME_Input[FME_ID],FME_Input[FME_NAME])</f>
        <v>Develop Supplemental Watershed Plans for flood control dams protecting Ozona</v>
      </c>
      <c r="D339" t="str">
        <f>_xlfn.XLOOKUP(FME_Ranking1[[#This Row],[FME ID]],FME_Input[FME_ID],FME_Input[DESCR])</f>
        <v>Assess &amp; evaluate rehabilitation improvements for NRCS dam identified by TCEQ as "Hydraulically Inadequate". Define upgrades of dam in Supplemental Watershed Plans for Johnsons Draw SCS Site 7 Dam.</v>
      </c>
      <c r="E339" s="256">
        <f>_xlfn.XLOOKUP(FME_Ranking1[[#This Row],[FME ID]],FME_Input[FME_ID],FME_Input[FME_COST])</f>
        <v>1456000</v>
      </c>
      <c r="F339" t="str">
        <f>_xlfn.XLOOKUP(FME_Ranking1[[#This Row],[FME ID]],FME_Input[FME_ID],FME_Input[EMER_NEED])</f>
        <v>Yes</v>
      </c>
      <c r="G339">
        <f>IF(FME_Ranking!F339="Yes",100,0)</f>
        <v>100</v>
      </c>
      <c r="H339">
        <f>FME_Ranking1[[#This Row],[Emergency Need Score (Normalized, Unweighted)]]*$F$3</f>
        <v>0</v>
      </c>
      <c r="I339" s="246">
        <f>_xlfn.XLOOKUP(FME_Ranking1[[#This Row],[FME ID]],FME_Input[FME_ID],FME_Input[STRUCT_100])</f>
        <v>944</v>
      </c>
      <c r="J339" s="178">
        <f>(FME_Ranking1[[#This Row],[Structures 100 Raw]]/I$2)*100</f>
        <v>0.50550486227134472</v>
      </c>
      <c r="K339" s="178">
        <f>FME_Ranking1[[#This Row],[Structures 100  Score (Normalized, Unweighted)]]*$I$3</f>
        <v>7.5825729340701711E-2</v>
      </c>
      <c r="L339" s="246">
        <f>_xlfn.XLOOKUP(FME_Ranking1[[#This Row],[FME ID]],FME_Input[FME_ID],FME_Input[RES_STRUCT100])</f>
        <v>661</v>
      </c>
      <c r="M339" s="230">
        <f>(FME_Ranking1[[#This Row],[Res Structures Raw]]/L$2)*100</f>
        <v>0.46818999589182753</v>
      </c>
      <c r="N339" s="180">
        <f>FME_Ranking1[[#This Row],[Res Structures Score (Normalized, Unweighted)]]*$L$3</f>
        <v>4.6818999589182758E-2</v>
      </c>
      <c r="O339" s="244">
        <f>_xlfn.XLOOKUP(FME_Ranking1[[#This Row],[FME ID]],FME_Input[FME_ID],FME_Input[POP100])</f>
        <v>1599</v>
      </c>
      <c r="P339" s="178">
        <f>(FME_Ranking1[[#This Row],[Pop Raw]]/$O$2)*100</f>
        <v>0.16369812387003249</v>
      </c>
      <c r="Q339" s="178">
        <f>FME_Ranking1[[#This Row],[Pop Score (Normalized, Unweighted)]]*$O$3</f>
        <v>2.4554718580504873E-2</v>
      </c>
      <c r="R339" s="137">
        <f>_xlfn.XLOOKUP(FME_Ranking1[[#This Row],[FME ID]],FME_Input[FME_ID],FME_Input[CRITFAC100])</f>
        <v>4</v>
      </c>
      <c r="S339" s="230">
        <f>(FME_Ranking1[[#This Row],[Critical Facilities Raw]]/$R$2)*100</f>
        <v>0.17152658662092624</v>
      </c>
      <c r="T339" s="180">
        <f>FME_Ranking1[[#This Row],[Critical Facilities Score (Normalized, Unweighted)]]*$R$3</f>
        <v>3.430531732418525E-2</v>
      </c>
      <c r="U339">
        <f>_xlfn.XLOOKUP(FME_Ranking1[[#This Row],[FME ID]],FME_Input[FME_ID],FME_Input[LWC])</f>
        <v>29</v>
      </c>
      <c r="V339" s="178">
        <f>(FME_Ranking1[[#This Row],[LWC Raw]]/$U$2)*100</f>
        <v>1.6695451928612552</v>
      </c>
      <c r="W339" s="178">
        <f>FME_Ranking1[[#This Row],[LWC Score (Normalized, Unweighted)]]*$U$3</f>
        <v>0.33390903857225107</v>
      </c>
      <c r="X339" s="246">
        <f>_xlfn.XLOOKUP(FME_Ranking1[[#This Row],[FME ID]],FME_Input[FME_ID],FME_Input[ROADCLS])</f>
        <v>144</v>
      </c>
      <c r="Y339" s="230">
        <f>(FME_Ranking1[[#This Row],[Closures Raw]]/$X$2)*100</f>
        <v>1.5140363789296605</v>
      </c>
      <c r="Z339" s="180">
        <f>FME_Ranking1[[#This Row],[Closures Score (Normalized, Unweighted)]]*$X$3</f>
        <v>7.5701818946483035E-2</v>
      </c>
      <c r="AA339" s="253">
        <f>_xlfn.XLOOKUP(FME_Ranking1[[#This Row],[FME ID]],FME_Input[FME_ID],FME_Input[ROAD_MILES100])</f>
        <v>19.764400482177731</v>
      </c>
      <c r="AB339" s="178">
        <f>(FME_Ranking1[[#This Row],[Miles Raw]]/$AA$2)*100</f>
        <v>0.25986641722417603</v>
      </c>
      <c r="AC339" s="178">
        <f>FME_Ranking1[[#This Row],[Miles Score (Normalized, Unweighted)]]*$AA$3</f>
        <v>2.5986641722417603E-2</v>
      </c>
      <c r="AD339" s="255">
        <f>_xlfn.XLOOKUP(FME_Ranking1[[#This Row],[FME ID]],FME_Input[FME_ID],FME_Input[FARMACRE100])</f>
        <v>1.8604500293731689</v>
      </c>
      <c r="AE339" s="230">
        <f>(FME_Ranking1[[#This Row],[Ag Land Raw]]/$AD$2)*100</f>
        <v>7.6716630899928968E-5</v>
      </c>
      <c r="AF339" s="231">
        <f>FME_Ranking1[[#This Row],[Ag Land Score (Normalized, Unweighted)]]*$AD$3</f>
        <v>3.8358315449964486E-6</v>
      </c>
      <c r="AG33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0.61710609990727128</v>
      </c>
      <c r="AH339" s="406">
        <f t="shared" si="5"/>
        <v>385</v>
      </c>
      <c r="AI33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0.61710609990727128</v>
      </c>
      <c r="AJ339" s="257">
        <f>FME_Ranking1[[#This Row],[Addition check]]-FME_Ranking1[[#This Row],[Weighted Score Based on Normalized Reported Factors]]</f>
        <v>0</v>
      </c>
      <c r="AK339" s="178">
        <f>_xlfn.RANK.EQ(AI339,$AI$6:$AI$2341,0)+COUNTIF($AI$6:AI339,AI339)-1</f>
        <v>385</v>
      </c>
    </row>
    <row r="340" spans="1:37" ht="12" customHeight="1" x14ac:dyDescent="0.25">
      <c r="A340" t="s">
        <v>9106</v>
      </c>
      <c r="B340">
        <f>_xlfn.XLOOKUP(FME_Ranking1[[#This Row],[FME ID]],FME_Input[FME_ID],FME_Input[RFPG_NUM])</f>
        <v>11</v>
      </c>
      <c r="C340" t="str">
        <f>_xlfn.XLOOKUP(FME_Ranking1[[#This Row],[FME ID]],FME_Input[FME_ID],FME_Input[FME_NAME])</f>
        <v>Kendall County Guadalupe River Model Study</v>
      </c>
      <c r="D340" t="str">
        <f>_xlfn.XLOOKUP(FME_Ranking1[[#This Row],[FME ID]],FME_Input[FME_ID],FME_Input[DESCR])</f>
        <v>Study to complete an HH model for all of the Guadalupe River within Kendall County.</v>
      </c>
      <c r="E340" s="256">
        <f>_xlfn.XLOOKUP(FME_Ranking1[[#This Row],[FME ID]],FME_Input[FME_ID],FME_Input[FME_COST])</f>
        <v>250000</v>
      </c>
      <c r="F340" t="str">
        <f>_xlfn.XLOOKUP(FME_Ranking1[[#This Row],[FME ID]],FME_Input[FME_ID],FME_Input[EMER_NEED])</f>
        <v>No</v>
      </c>
      <c r="G340">
        <f>IF(FME_Ranking!F340="Yes",100,0)</f>
        <v>0</v>
      </c>
      <c r="H340">
        <f>FME_Ranking1[[#This Row],[Emergency Need Score (Normalized, Unweighted)]]*$F$3</f>
        <v>0</v>
      </c>
      <c r="I340" s="246">
        <f>_xlfn.XLOOKUP(FME_Ranking1[[#This Row],[FME ID]],FME_Input[FME_ID],FME_Input[STRUCT_100])</f>
        <v>1374</v>
      </c>
      <c r="J340" s="178">
        <f>(FME_Ranking1[[#This Row],[Structures 100 Raw]]/I$2)*100</f>
        <v>0.73576661097545304</v>
      </c>
      <c r="K340" s="178">
        <f>FME_Ranking1[[#This Row],[Structures 100  Score (Normalized, Unweighted)]]*$I$3</f>
        <v>0.11036499164631795</v>
      </c>
      <c r="L340" s="246">
        <f>_xlfn.XLOOKUP(FME_Ranking1[[#This Row],[FME ID]],FME_Input[FME_ID],FME_Input[RES_STRUCT100])</f>
        <v>716</v>
      </c>
      <c r="M340" s="230">
        <f>(FME_Ranking1[[#This Row],[Res Structures Raw]]/L$2)*100</f>
        <v>0.50714680341686613</v>
      </c>
      <c r="N340" s="180">
        <f>FME_Ranking1[[#This Row],[Res Structures Score (Normalized, Unweighted)]]*$L$3</f>
        <v>5.0714680341686615E-2</v>
      </c>
      <c r="O340" s="244">
        <f>_xlfn.XLOOKUP(FME_Ranking1[[#This Row],[FME ID]],FME_Input[FME_ID],FME_Input[POP100])</f>
        <v>1964</v>
      </c>
      <c r="P340" s="178">
        <f>(FME_Ranking1[[#This Row],[Pop Raw]]/$O$2)*100</f>
        <v>0.20106511274593108</v>
      </c>
      <c r="Q340" s="178">
        <f>FME_Ranking1[[#This Row],[Pop Score (Normalized, Unweighted)]]*$O$3</f>
        <v>3.0159766911889662E-2</v>
      </c>
      <c r="R340" s="137">
        <f>_xlfn.XLOOKUP(FME_Ranking1[[#This Row],[FME ID]],FME_Input[FME_ID],FME_Input[CRITFAC100])</f>
        <v>3</v>
      </c>
      <c r="S340" s="230">
        <f>(FME_Ranking1[[#This Row],[Critical Facilities Raw]]/$R$2)*100</f>
        <v>0.1286449399656947</v>
      </c>
      <c r="T340" s="180">
        <f>FME_Ranking1[[#This Row],[Critical Facilities Score (Normalized, Unweighted)]]*$R$3</f>
        <v>2.5728987993138941E-2</v>
      </c>
      <c r="U340">
        <f>_xlfn.XLOOKUP(FME_Ranking1[[#This Row],[FME ID]],FME_Input[FME_ID],FME_Input[LWC])</f>
        <v>28</v>
      </c>
      <c r="V340" s="178">
        <f>(FME_Ranking1[[#This Row],[LWC Raw]]/$U$2)*100</f>
        <v>1.6119746689694874</v>
      </c>
      <c r="W340" s="178">
        <f>FME_Ranking1[[#This Row],[LWC Score (Normalized, Unweighted)]]*$U$3</f>
        <v>0.3223949337938975</v>
      </c>
      <c r="X340" s="246">
        <f>_xlfn.XLOOKUP(FME_Ranking1[[#This Row],[FME ID]],FME_Input[FME_ID],FME_Input[ROADCLS])</f>
        <v>0</v>
      </c>
      <c r="Y340" s="230">
        <f>(FME_Ranking1[[#This Row],[Closures Raw]]/$X$2)*100</f>
        <v>0</v>
      </c>
      <c r="Z340" s="180">
        <f>FME_Ranking1[[#This Row],[Closures Score (Normalized, Unweighted)]]*$X$3</f>
        <v>0</v>
      </c>
      <c r="AA340" s="253">
        <f>_xlfn.XLOOKUP(FME_Ranking1[[#This Row],[FME ID]],FME_Input[FME_ID],FME_Input[ROAD_MILES100])</f>
        <v>44.377647399902337</v>
      </c>
      <c r="AB340" s="178">
        <f>(FME_Ranking1[[#This Row],[Miles Raw]]/$AA$2)*100</f>
        <v>0.58348646826143014</v>
      </c>
      <c r="AC340" s="178">
        <f>FME_Ranking1[[#This Row],[Miles Score (Normalized, Unweighted)]]*$AA$3</f>
        <v>5.8348646826143019E-2</v>
      </c>
      <c r="AD340" s="255">
        <f>_xlfn.XLOOKUP(FME_Ranking1[[#This Row],[FME ID]],FME_Input[FME_ID],FME_Input[FARMACRE100])</f>
        <v>24197.650390625</v>
      </c>
      <c r="AE340" s="230">
        <f>(FME_Ranking1[[#This Row],[Ag Land Raw]]/$AD$2)*100</f>
        <v>0.99780278123812549</v>
      </c>
      <c r="AF340" s="231">
        <f>FME_Ranking1[[#This Row],[Ag Land Score (Normalized, Unweighted)]]*$AD$3</f>
        <v>4.9890139061906279E-2</v>
      </c>
      <c r="AG34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0.64760214657498005</v>
      </c>
      <c r="AH340" s="406">
        <f t="shared" si="5"/>
        <v>375</v>
      </c>
      <c r="AI34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0.64760214657498005</v>
      </c>
      <c r="AJ340" s="257">
        <f>FME_Ranking1[[#This Row],[Addition check]]-FME_Ranking1[[#This Row],[Weighted Score Based on Normalized Reported Factors]]</f>
        <v>0</v>
      </c>
      <c r="AK340" s="178">
        <f>_xlfn.RANK.EQ(AI340,$AI$6:$AI$2341,0)+COUNTIF($AI$6:AI340,AI340)-1</f>
        <v>375</v>
      </c>
    </row>
    <row r="341" spans="1:37" ht="12" customHeight="1" x14ac:dyDescent="0.25">
      <c r="A341" t="s">
        <v>9112</v>
      </c>
      <c r="B341">
        <f>_xlfn.XLOOKUP(FME_Ranking1[[#This Row],[FME ID]],FME_Input[FME_ID],FME_Input[RFPG_NUM])</f>
        <v>11</v>
      </c>
      <c r="C341" t="str">
        <f>_xlfn.XLOOKUP(FME_Ranking1[[#This Row],[FME ID]],FME_Input[FME_ID],FME_Input[FME_NAME])</f>
        <v>Kendall County Stream Gauges and Flood Hazard Beacons</v>
      </c>
      <c r="D341" t="str">
        <f>_xlfn.XLOOKUP(FME_Ranking1[[#This Row],[FME ID]],FME_Input[FME_ID],FME_Input[DESCR])</f>
        <v>Study to evaluate locations for stream gauges and flood hazard beacons.</v>
      </c>
      <c r="E341" s="256">
        <f>_xlfn.XLOOKUP(FME_Ranking1[[#This Row],[FME ID]],FME_Input[FME_ID],FME_Input[FME_COST])</f>
        <v>150000</v>
      </c>
      <c r="F341" t="str">
        <f>_xlfn.XLOOKUP(FME_Ranking1[[#This Row],[FME ID]],FME_Input[FME_ID],FME_Input[EMER_NEED])</f>
        <v>No</v>
      </c>
      <c r="G341">
        <f>IF(FME_Ranking!F341="Yes",100,0)</f>
        <v>0</v>
      </c>
      <c r="H341">
        <f>FME_Ranking1[[#This Row],[Emergency Need Score (Normalized, Unweighted)]]*$F$3</f>
        <v>0</v>
      </c>
      <c r="I341" s="246">
        <f>_xlfn.XLOOKUP(FME_Ranking1[[#This Row],[FME ID]],FME_Input[FME_ID],FME_Input[STRUCT_100])</f>
        <v>1374</v>
      </c>
      <c r="J341" s="178">
        <f>(FME_Ranking1[[#This Row],[Structures 100 Raw]]/I$2)*100</f>
        <v>0.73576661097545304</v>
      </c>
      <c r="K341" s="178">
        <f>FME_Ranking1[[#This Row],[Structures 100  Score (Normalized, Unweighted)]]*$I$3</f>
        <v>0.11036499164631795</v>
      </c>
      <c r="L341" s="246">
        <f>_xlfn.XLOOKUP(FME_Ranking1[[#This Row],[FME ID]],FME_Input[FME_ID],FME_Input[RES_STRUCT100])</f>
        <v>716</v>
      </c>
      <c r="M341" s="230">
        <f>(FME_Ranking1[[#This Row],[Res Structures Raw]]/L$2)*100</f>
        <v>0.50714680341686613</v>
      </c>
      <c r="N341" s="180">
        <f>FME_Ranking1[[#This Row],[Res Structures Score (Normalized, Unweighted)]]*$L$3</f>
        <v>5.0714680341686615E-2</v>
      </c>
      <c r="O341" s="244">
        <f>_xlfn.XLOOKUP(FME_Ranking1[[#This Row],[FME ID]],FME_Input[FME_ID],FME_Input[POP100])</f>
        <v>1964</v>
      </c>
      <c r="P341" s="178">
        <f>(FME_Ranking1[[#This Row],[Pop Raw]]/$O$2)*100</f>
        <v>0.20106511274593108</v>
      </c>
      <c r="Q341" s="178">
        <f>FME_Ranking1[[#This Row],[Pop Score (Normalized, Unweighted)]]*$O$3</f>
        <v>3.0159766911889662E-2</v>
      </c>
      <c r="R341" s="137">
        <f>_xlfn.XLOOKUP(FME_Ranking1[[#This Row],[FME ID]],FME_Input[FME_ID],FME_Input[CRITFAC100])</f>
        <v>3</v>
      </c>
      <c r="S341" s="230">
        <f>(FME_Ranking1[[#This Row],[Critical Facilities Raw]]/$R$2)*100</f>
        <v>0.1286449399656947</v>
      </c>
      <c r="T341" s="180">
        <f>FME_Ranking1[[#This Row],[Critical Facilities Score (Normalized, Unweighted)]]*$R$3</f>
        <v>2.5728987993138941E-2</v>
      </c>
      <c r="U341">
        <f>_xlfn.XLOOKUP(FME_Ranking1[[#This Row],[FME ID]],FME_Input[FME_ID],FME_Input[LWC])</f>
        <v>28</v>
      </c>
      <c r="V341" s="178">
        <f>(FME_Ranking1[[#This Row],[LWC Raw]]/$U$2)*100</f>
        <v>1.6119746689694874</v>
      </c>
      <c r="W341" s="178">
        <f>FME_Ranking1[[#This Row],[LWC Score (Normalized, Unweighted)]]*$U$3</f>
        <v>0.3223949337938975</v>
      </c>
      <c r="X341" s="246">
        <f>_xlfn.XLOOKUP(FME_Ranking1[[#This Row],[FME ID]],FME_Input[FME_ID],FME_Input[ROADCLS])</f>
        <v>0</v>
      </c>
      <c r="Y341" s="230">
        <f>(FME_Ranking1[[#This Row],[Closures Raw]]/$X$2)*100</f>
        <v>0</v>
      </c>
      <c r="Z341" s="180">
        <f>FME_Ranking1[[#This Row],[Closures Score (Normalized, Unweighted)]]*$X$3</f>
        <v>0</v>
      </c>
      <c r="AA341" s="253">
        <f>_xlfn.XLOOKUP(FME_Ranking1[[#This Row],[FME ID]],FME_Input[FME_ID],FME_Input[ROAD_MILES100])</f>
        <v>44.377647399902337</v>
      </c>
      <c r="AB341" s="178">
        <f>(FME_Ranking1[[#This Row],[Miles Raw]]/$AA$2)*100</f>
        <v>0.58348646826143014</v>
      </c>
      <c r="AC341" s="178">
        <f>FME_Ranking1[[#This Row],[Miles Score (Normalized, Unweighted)]]*$AA$3</f>
        <v>5.8348646826143019E-2</v>
      </c>
      <c r="AD341" s="255">
        <f>_xlfn.XLOOKUP(FME_Ranking1[[#This Row],[FME ID]],FME_Input[FME_ID],FME_Input[FARMACRE100])</f>
        <v>24197.650390625</v>
      </c>
      <c r="AE341" s="230">
        <f>(FME_Ranking1[[#This Row],[Ag Land Raw]]/$AD$2)*100</f>
        <v>0.99780278123812549</v>
      </c>
      <c r="AF341" s="231">
        <f>FME_Ranking1[[#This Row],[Ag Land Score (Normalized, Unweighted)]]*$AD$3</f>
        <v>4.9890139061906279E-2</v>
      </c>
      <c r="AG34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0.64760214657498005</v>
      </c>
      <c r="AH341" s="406">
        <f t="shared" si="5"/>
        <v>375</v>
      </c>
      <c r="AI34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0.64760214657498005</v>
      </c>
      <c r="AJ341" s="257">
        <f>FME_Ranking1[[#This Row],[Addition check]]-FME_Ranking1[[#This Row],[Weighted Score Based on Normalized Reported Factors]]</f>
        <v>0</v>
      </c>
      <c r="AK341" s="178">
        <f>_xlfn.RANK.EQ(AI341,$AI$6:$AI$2341,0)+COUNTIF($AI$6:AI341,AI341)-1</f>
        <v>376</v>
      </c>
    </row>
    <row r="342" spans="1:37" ht="12" customHeight="1" x14ac:dyDescent="0.25">
      <c r="A342" t="s">
        <v>6720</v>
      </c>
      <c r="B342">
        <f>_xlfn.XLOOKUP(FME_Ranking1[[#This Row],[FME ID]],FME_Input[FME_ID],FME_Input[RFPG_NUM])</f>
        <v>7</v>
      </c>
      <c r="C342" t="str">
        <f>_xlfn.XLOOKUP(FME_Ranking1[[#This Row],[FME ID]],FME_Input[FME_ID],FME_Input[FME_NAME])</f>
        <v>Hockley County Update FEMA Mapping</v>
      </c>
      <c r="D342" t="str">
        <f>_xlfn.XLOOKUP(FME_Ranking1[[#This Row],[FME ID]],FME_Input[FME_ID],FME_Input[DESCR])</f>
        <v>Update existing FEMA mapping</v>
      </c>
      <c r="E342" s="256">
        <f>_xlfn.XLOOKUP(FME_Ranking1[[#This Row],[FME ID]],FME_Input[FME_ID],FME_Input[FME_COST])</f>
        <v>987000</v>
      </c>
      <c r="F342" t="str">
        <f>_xlfn.XLOOKUP(FME_Ranking1[[#This Row],[FME ID]],FME_Input[FME_ID],FME_Input[EMER_NEED])</f>
        <v>No</v>
      </c>
      <c r="G342">
        <f>IF(FME_Ranking!F342="Yes",100,0)</f>
        <v>0</v>
      </c>
      <c r="H342">
        <f>FME_Ranking1[[#This Row],[Emergency Need Score (Normalized, Unweighted)]]*$F$3</f>
        <v>0</v>
      </c>
      <c r="I342" s="246">
        <f>_xlfn.XLOOKUP(FME_Ranking1[[#This Row],[FME ID]],FME_Input[FME_ID],FME_Input[STRUCT_100])</f>
        <v>1771</v>
      </c>
      <c r="J342" s="178">
        <f>(FME_Ranking1[[#This Row],[Structures 100 Raw]]/I$2)*100</f>
        <v>0.94835710919761818</v>
      </c>
      <c r="K342" s="178">
        <f>FME_Ranking1[[#This Row],[Structures 100  Score (Normalized, Unweighted)]]*$I$3</f>
        <v>0.14225356637964273</v>
      </c>
      <c r="L342" s="246">
        <f>_xlfn.XLOOKUP(FME_Ranking1[[#This Row],[FME ID]],FME_Input[FME_ID],FME_Input[RES_STRUCT100])</f>
        <v>1270</v>
      </c>
      <c r="M342" s="230">
        <f>(FME_Ranking1[[#This Row],[Res Structures Raw]]/L$2)*100</f>
        <v>0.89954810103270944</v>
      </c>
      <c r="N342" s="180">
        <f>FME_Ranking1[[#This Row],[Res Structures Score (Normalized, Unweighted)]]*$L$3</f>
        <v>8.9954810103270944E-2</v>
      </c>
      <c r="O342" s="244">
        <f>_xlfn.XLOOKUP(FME_Ranking1[[#This Row],[FME ID]],FME_Input[FME_ID],FME_Input[POP100])</f>
        <v>5273</v>
      </c>
      <c r="P342" s="178">
        <f>(FME_Ranking1[[#This Row],[Pop Raw]]/$O$2)*100</f>
        <v>0.53982502011674882</v>
      </c>
      <c r="Q342" s="178">
        <f>FME_Ranking1[[#This Row],[Pop Score (Normalized, Unweighted)]]*$O$3</f>
        <v>8.097375301751232E-2</v>
      </c>
      <c r="R342" s="137">
        <f>_xlfn.XLOOKUP(FME_Ranking1[[#This Row],[FME ID]],FME_Input[FME_ID],FME_Input[CRITFAC100])</f>
        <v>5</v>
      </c>
      <c r="S342" s="230">
        <f>(FME_Ranking1[[#This Row],[Critical Facilities Raw]]/$R$2)*100</f>
        <v>0.21440823327615782</v>
      </c>
      <c r="T342" s="180">
        <f>FME_Ranking1[[#This Row],[Critical Facilities Score (Normalized, Unweighted)]]*$R$3</f>
        <v>4.2881646655231566E-2</v>
      </c>
      <c r="U342">
        <f>_xlfn.XLOOKUP(FME_Ranking1[[#This Row],[FME ID]],FME_Input[FME_ID],FME_Input[LWC])</f>
        <v>9</v>
      </c>
      <c r="V342" s="178">
        <f>(FME_Ranking1[[#This Row],[LWC Raw]]/$U$2)*100</f>
        <v>0.5181347150259068</v>
      </c>
      <c r="W342" s="178">
        <f>FME_Ranking1[[#This Row],[LWC Score (Normalized, Unweighted)]]*$U$3</f>
        <v>0.10362694300518137</v>
      </c>
      <c r="X342" s="246">
        <f>_xlfn.XLOOKUP(FME_Ranking1[[#This Row],[FME ID]],FME_Input[FME_ID],FME_Input[ROADCLS])</f>
        <v>0</v>
      </c>
      <c r="Y342" s="230">
        <f>(FME_Ranking1[[#This Row],[Closures Raw]]/$X$2)*100</f>
        <v>0</v>
      </c>
      <c r="Z342" s="180">
        <f>FME_Ranking1[[#This Row],[Closures Score (Normalized, Unweighted)]]*$X$3</f>
        <v>0</v>
      </c>
      <c r="AA342" s="253">
        <f>_xlfn.XLOOKUP(FME_Ranking1[[#This Row],[FME ID]],FME_Input[FME_ID],FME_Input[ROAD_MILES100])</f>
        <v>625.7158203125</v>
      </c>
      <c r="AB342" s="178">
        <f>(FME_Ranking1[[#This Row],[Miles Raw]]/$AA$2)*100</f>
        <v>8.2270407630993034</v>
      </c>
      <c r="AC342" s="178">
        <f>FME_Ranking1[[#This Row],[Miles Score (Normalized, Unweighted)]]*$AA$3</f>
        <v>0.82270407630993037</v>
      </c>
      <c r="AD342" s="255">
        <f>_xlfn.XLOOKUP(FME_Ranking1[[#This Row],[FME ID]],FME_Input[FME_ID],FME_Input[FARMACRE100])</f>
        <v>60113.328125</v>
      </c>
      <c r="AE342" s="230">
        <f>(FME_Ranking1[[#This Row],[Ag Land Raw]]/$AD$2)*100</f>
        <v>2.4788045543398636</v>
      </c>
      <c r="AF342" s="231">
        <f>FME_Ranking1[[#This Row],[Ag Land Score (Normalized, Unweighted)]]*$AD$3</f>
        <v>0.12394022771699319</v>
      </c>
      <c r="AG34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1.4063350231877625</v>
      </c>
      <c r="AH342" s="406">
        <f t="shared" si="5"/>
        <v>205</v>
      </c>
      <c r="AI34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1.4063350231877625</v>
      </c>
      <c r="AJ342" s="257">
        <f>FME_Ranking1[[#This Row],[Addition check]]-FME_Ranking1[[#This Row],[Weighted Score Based on Normalized Reported Factors]]</f>
        <v>0</v>
      </c>
      <c r="AK342" s="178">
        <f>_xlfn.RANK.EQ(AI342,$AI$6:$AI$2341,0)+COUNTIF($AI$6:AI342,AI342)-1</f>
        <v>205</v>
      </c>
    </row>
    <row r="343" spans="1:37" ht="12" customHeight="1" x14ac:dyDescent="0.25">
      <c r="A343" t="s">
        <v>6728</v>
      </c>
      <c r="B343">
        <f>_xlfn.XLOOKUP(FME_Ranking1[[#This Row],[FME ID]],FME_Input[FME_ID],FME_Input[RFPG_NUM])</f>
        <v>7</v>
      </c>
      <c r="C343" t="str">
        <f>_xlfn.XLOOKUP(FME_Ranking1[[#This Row],[FME ID]],FME_Input[FME_ID],FME_Input[FME_NAME])</f>
        <v>Hockley County GIS Development</v>
      </c>
      <c r="D343" t="str">
        <f>_xlfn.XLOOKUP(FME_Ranking1[[#This Row],[FME ID]],FME_Input[FME_ID],FME_Input[DESCR])</f>
        <v>Develop a GIS inventory of stormwater infrastructure</v>
      </c>
      <c r="E343" s="256">
        <f>_xlfn.XLOOKUP(FME_Ranking1[[#This Row],[FME ID]],FME_Input[FME_ID],FME_Input[FME_COST])</f>
        <v>100000</v>
      </c>
      <c r="F343" t="str">
        <f>_xlfn.XLOOKUP(FME_Ranking1[[#This Row],[FME ID]],FME_Input[FME_ID],FME_Input[EMER_NEED])</f>
        <v>No</v>
      </c>
      <c r="G343">
        <f>IF(FME_Ranking!F343="Yes",100,0)</f>
        <v>0</v>
      </c>
      <c r="H343">
        <f>FME_Ranking1[[#This Row],[Emergency Need Score (Normalized, Unweighted)]]*$F$3</f>
        <v>0</v>
      </c>
      <c r="I343" s="246">
        <f>_xlfn.XLOOKUP(FME_Ranking1[[#This Row],[FME ID]],FME_Input[FME_ID],FME_Input[STRUCT_100])</f>
        <v>1771</v>
      </c>
      <c r="J343" s="178">
        <f>(FME_Ranking1[[#This Row],[Structures 100 Raw]]/I$2)*100</f>
        <v>0.94835710919761818</v>
      </c>
      <c r="K343" s="178">
        <f>FME_Ranking1[[#This Row],[Structures 100  Score (Normalized, Unweighted)]]*$I$3</f>
        <v>0.14225356637964273</v>
      </c>
      <c r="L343" s="246">
        <f>_xlfn.XLOOKUP(FME_Ranking1[[#This Row],[FME ID]],FME_Input[FME_ID],FME_Input[RES_STRUCT100])</f>
        <v>1270</v>
      </c>
      <c r="M343" s="230">
        <f>(FME_Ranking1[[#This Row],[Res Structures Raw]]/L$2)*100</f>
        <v>0.89954810103270944</v>
      </c>
      <c r="N343" s="180">
        <f>FME_Ranking1[[#This Row],[Res Structures Score (Normalized, Unweighted)]]*$L$3</f>
        <v>8.9954810103270944E-2</v>
      </c>
      <c r="O343" s="244">
        <f>_xlfn.XLOOKUP(FME_Ranking1[[#This Row],[FME ID]],FME_Input[FME_ID],FME_Input[POP100])</f>
        <v>5273</v>
      </c>
      <c r="P343" s="178">
        <f>(FME_Ranking1[[#This Row],[Pop Raw]]/$O$2)*100</f>
        <v>0.53982502011674882</v>
      </c>
      <c r="Q343" s="178">
        <f>FME_Ranking1[[#This Row],[Pop Score (Normalized, Unweighted)]]*$O$3</f>
        <v>8.097375301751232E-2</v>
      </c>
      <c r="R343" s="137">
        <f>_xlfn.XLOOKUP(FME_Ranking1[[#This Row],[FME ID]],FME_Input[FME_ID],FME_Input[CRITFAC100])</f>
        <v>5</v>
      </c>
      <c r="S343" s="230">
        <f>(FME_Ranking1[[#This Row],[Critical Facilities Raw]]/$R$2)*100</f>
        <v>0.21440823327615782</v>
      </c>
      <c r="T343" s="180">
        <f>FME_Ranking1[[#This Row],[Critical Facilities Score (Normalized, Unweighted)]]*$R$3</f>
        <v>4.2881646655231566E-2</v>
      </c>
      <c r="U343">
        <f>_xlfn.XLOOKUP(FME_Ranking1[[#This Row],[FME ID]],FME_Input[FME_ID],FME_Input[LWC])</f>
        <v>9</v>
      </c>
      <c r="V343" s="178">
        <f>(FME_Ranking1[[#This Row],[LWC Raw]]/$U$2)*100</f>
        <v>0.5181347150259068</v>
      </c>
      <c r="W343" s="178">
        <f>FME_Ranking1[[#This Row],[LWC Score (Normalized, Unweighted)]]*$U$3</f>
        <v>0.10362694300518137</v>
      </c>
      <c r="X343" s="246">
        <f>_xlfn.XLOOKUP(FME_Ranking1[[#This Row],[FME ID]],FME_Input[FME_ID],FME_Input[ROADCLS])</f>
        <v>0</v>
      </c>
      <c r="Y343" s="230">
        <f>(FME_Ranking1[[#This Row],[Closures Raw]]/$X$2)*100</f>
        <v>0</v>
      </c>
      <c r="Z343" s="180">
        <f>FME_Ranking1[[#This Row],[Closures Score (Normalized, Unweighted)]]*$X$3</f>
        <v>0</v>
      </c>
      <c r="AA343" s="253">
        <f>_xlfn.XLOOKUP(FME_Ranking1[[#This Row],[FME ID]],FME_Input[FME_ID],FME_Input[ROAD_MILES100])</f>
        <v>625.7158203125</v>
      </c>
      <c r="AB343" s="178">
        <f>(FME_Ranking1[[#This Row],[Miles Raw]]/$AA$2)*100</f>
        <v>8.2270407630993034</v>
      </c>
      <c r="AC343" s="178">
        <f>FME_Ranking1[[#This Row],[Miles Score (Normalized, Unweighted)]]*$AA$3</f>
        <v>0.82270407630993037</v>
      </c>
      <c r="AD343" s="255">
        <f>_xlfn.XLOOKUP(FME_Ranking1[[#This Row],[FME ID]],FME_Input[FME_ID],FME_Input[FARMACRE100])</f>
        <v>60113.328125</v>
      </c>
      <c r="AE343" s="230">
        <f>(FME_Ranking1[[#This Row],[Ag Land Raw]]/$AD$2)*100</f>
        <v>2.4788045543398636</v>
      </c>
      <c r="AF343" s="231">
        <f>FME_Ranking1[[#This Row],[Ag Land Score (Normalized, Unweighted)]]*$AD$3</f>
        <v>0.12394022771699319</v>
      </c>
      <c r="AG34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1.4063350231877625</v>
      </c>
      <c r="AH343" s="406">
        <f t="shared" si="5"/>
        <v>205</v>
      </c>
      <c r="AI34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1.4063350231877625</v>
      </c>
      <c r="AJ343" s="257">
        <f>FME_Ranking1[[#This Row],[Addition check]]-FME_Ranking1[[#This Row],[Weighted Score Based on Normalized Reported Factors]]</f>
        <v>0</v>
      </c>
      <c r="AK343" s="178">
        <f>_xlfn.RANK.EQ(AI343,$AI$6:$AI$2341,0)+COUNTIF($AI$6:AI343,AI343)-1</f>
        <v>206</v>
      </c>
    </row>
    <row r="344" spans="1:37" ht="12" customHeight="1" x14ac:dyDescent="0.25">
      <c r="A344" t="s">
        <v>7222</v>
      </c>
      <c r="B344">
        <f>_xlfn.XLOOKUP(FME_Ranking1[[#This Row],[FME ID]],FME_Input[FME_ID],FME_Input[RFPG_NUM])</f>
        <v>7</v>
      </c>
      <c r="C344" t="str">
        <f>_xlfn.XLOOKUP(FME_Ranking1[[#This Row],[FME ID]],FME_Input[FME_ID],FME_Input[FME_NAME])</f>
        <v>Hockley County DCM</v>
      </c>
      <c r="D344" t="str">
        <f>_xlfn.XLOOKUP(FME_Ranking1[[#This Row],[FME ID]],FME_Input[FME_ID],FME_Input[DESCR])</f>
        <v>Consider stormwater criteria for infrastructure and floodplain ordinances to avoid new exposure to flood hazards.</v>
      </c>
      <c r="E344" s="256">
        <f>_xlfn.XLOOKUP(FME_Ranking1[[#This Row],[FME ID]],FME_Input[FME_ID],FME_Input[FME_COST])</f>
        <v>100000</v>
      </c>
      <c r="F344" t="str">
        <f>_xlfn.XLOOKUP(FME_Ranking1[[#This Row],[FME ID]],FME_Input[FME_ID],FME_Input[EMER_NEED])</f>
        <v>No</v>
      </c>
      <c r="G344">
        <f>IF(FME_Ranking!F344="Yes",100,0)</f>
        <v>0</v>
      </c>
      <c r="H344">
        <f>FME_Ranking1[[#This Row],[Emergency Need Score (Normalized, Unweighted)]]*$F$3</f>
        <v>0</v>
      </c>
      <c r="I344" s="246">
        <f>_xlfn.XLOOKUP(FME_Ranking1[[#This Row],[FME ID]],FME_Input[FME_ID],FME_Input[STRUCT_100])</f>
        <v>1771</v>
      </c>
      <c r="J344" s="178">
        <f>(FME_Ranking1[[#This Row],[Structures 100 Raw]]/I$2)*100</f>
        <v>0.94835710919761818</v>
      </c>
      <c r="K344" s="178">
        <f>FME_Ranking1[[#This Row],[Structures 100  Score (Normalized, Unweighted)]]*$I$3</f>
        <v>0.14225356637964273</v>
      </c>
      <c r="L344" s="246">
        <f>_xlfn.XLOOKUP(FME_Ranking1[[#This Row],[FME ID]],FME_Input[FME_ID],FME_Input[RES_STRUCT100])</f>
        <v>1270</v>
      </c>
      <c r="M344" s="230">
        <f>(FME_Ranking1[[#This Row],[Res Structures Raw]]/L$2)*100</f>
        <v>0.89954810103270944</v>
      </c>
      <c r="N344" s="180">
        <f>FME_Ranking1[[#This Row],[Res Structures Score (Normalized, Unweighted)]]*$L$3</f>
        <v>8.9954810103270944E-2</v>
      </c>
      <c r="O344" s="244">
        <f>_xlfn.XLOOKUP(FME_Ranking1[[#This Row],[FME ID]],FME_Input[FME_ID],FME_Input[POP100])</f>
        <v>5273</v>
      </c>
      <c r="P344" s="178">
        <f>(FME_Ranking1[[#This Row],[Pop Raw]]/$O$2)*100</f>
        <v>0.53982502011674882</v>
      </c>
      <c r="Q344" s="178">
        <f>FME_Ranking1[[#This Row],[Pop Score (Normalized, Unweighted)]]*$O$3</f>
        <v>8.097375301751232E-2</v>
      </c>
      <c r="R344" s="137">
        <f>_xlfn.XLOOKUP(FME_Ranking1[[#This Row],[FME ID]],FME_Input[FME_ID],FME_Input[CRITFAC100])</f>
        <v>5</v>
      </c>
      <c r="S344" s="230">
        <f>(FME_Ranking1[[#This Row],[Critical Facilities Raw]]/$R$2)*100</f>
        <v>0.21440823327615782</v>
      </c>
      <c r="T344" s="180">
        <f>FME_Ranking1[[#This Row],[Critical Facilities Score (Normalized, Unweighted)]]*$R$3</f>
        <v>4.2881646655231566E-2</v>
      </c>
      <c r="U344">
        <f>_xlfn.XLOOKUP(FME_Ranking1[[#This Row],[FME ID]],FME_Input[FME_ID],FME_Input[LWC])</f>
        <v>9</v>
      </c>
      <c r="V344" s="178">
        <f>(FME_Ranking1[[#This Row],[LWC Raw]]/$U$2)*100</f>
        <v>0.5181347150259068</v>
      </c>
      <c r="W344" s="178">
        <f>FME_Ranking1[[#This Row],[LWC Score (Normalized, Unweighted)]]*$U$3</f>
        <v>0.10362694300518137</v>
      </c>
      <c r="X344" s="246">
        <f>_xlfn.XLOOKUP(FME_Ranking1[[#This Row],[FME ID]],FME_Input[FME_ID],FME_Input[ROADCLS])</f>
        <v>0</v>
      </c>
      <c r="Y344" s="230">
        <f>(FME_Ranking1[[#This Row],[Closures Raw]]/$X$2)*100</f>
        <v>0</v>
      </c>
      <c r="Z344" s="180">
        <f>FME_Ranking1[[#This Row],[Closures Score (Normalized, Unweighted)]]*$X$3</f>
        <v>0</v>
      </c>
      <c r="AA344" s="253">
        <f>_xlfn.XLOOKUP(FME_Ranking1[[#This Row],[FME ID]],FME_Input[FME_ID],FME_Input[ROAD_MILES100])</f>
        <v>625.7158203125</v>
      </c>
      <c r="AB344" s="178">
        <f>(FME_Ranking1[[#This Row],[Miles Raw]]/$AA$2)*100</f>
        <v>8.2270407630993034</v>
      </c>
      <c r="AC344" s="178">
        <f>FME_Ranking1[[#This Row],[Miles Score (Normalized, Unweighted)]]*$AA$3</f>
        <v>0.82270407630993037</v>
      </c>
      <c r="AD344" s="255">
        <f>_xlfn.XLOOKUP(FME_Ranking1[[#This Row],[FME ID]],FME_Input[FME_ID],FME_Input[FARMACRE100])</f>
        <v>60113.328125</v>
      </c>
      <c r="AE344" s="230">
        <f>(FME_Ranking1[[#This Row],[Ag Land Raw]]/$AD$2)*100</f>
        <v>2.4788045543398636</v>
      </c>
      <c r="AF344" s="231">
        <f>FME_Ranking1[[#This Row],[Ag Land Score (Normalized, Unweighted)]]*$AD$3</f>
        <v>0.12394022771699319</v>
      </c>
      <c r="AG34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1.4063350231877625</v>
      </c>
      <c r="AH344" s="406">
        <f t="shared" si="5"/>
        <v>205</v>
      </c>
      <c r="AI34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1.4063350231877625</v>
      </c>
      <c r="AJ344" s="257">
        <f>FME_Ranking1[[#This Row],[Addition check]]-FME_Ranking1[[#This Row],[Weighted Score Based on Normalized Reported Factors]]</f>
        <v>0</v>
      </c>
      <c r="AK344" s="178">
        <f>_xlfn.RANK.EQ(AI344,$AI$6:$AI$2341,0)+COUNTIF($AI$6:AI344,AI344)-1</f>
        <v>207</v>
      </c>
    </row>
    <row r="345" spans="1:37" ht="12" customHeight="1" x14ac:dyDescent="0.25">
      <c r="A345" t="s">
        <v>1596</v>
      </c>
      <c r="B345">
        <f>_xlfn.XLOOKUP(FME_Ranking1[[#This Row],[FME ID]],FME_Input[FME_ID],FME_Input[RFPG_NUM])</f>
        <v>6</v>
      </c>
      <c r="C345" t="str">
        <f>_xlfn.XLOOKUP(FME_Ranking1[[#This Row],[FME ID]],FME_Input[FME_ID],FME_Input[FME_NAME])</f>
        <v>City of Hitchcock Master Drainage Plan</v>
      </c>
      <c r="D345" t="str">
        <f>_xlfn.XLOOKUP(FME_Ranking1[[#This Row],[FME ID]],FME_Input[FME_ID],FME_Input[DESCR])</f>
        <v>Study to develop Master Drainage Plan using future and existing land use and flood/storm water drainage needs including Atlas 14 rainfall.</v>
      </c>
      <c r="E345" s="256">
        <f>_xlfn.XLOOKUP(FME_Ranking1[[#This Row],[FME ID]],FME_Input[FME_ID],FME_Input[FME_COST])</f>
        <v>720000</v>
      </c>
      <c r="F345" t="str">
        <f>_xlfn.XLOOKUP(FME_Ranking1[[#This Row],[FME ID]],FME_Input[FME_ID],FME_Input[EMER_NEED])</f>
        <v>Yes</v>
      </c>
      <c r="G345">
        <f>IF(FME_Ranking!F345="Yes",100,0)</f>
        <v>100</v>
      </c>
      <c r="H345">
        <f>FME_Ranking1[[#This Row],[Emergency Need Score (Normalized, Unweighted)]]*$F$3</f>
        <v>0</v>
      </c>
      <c r="I345" s="246">
        <f>_xlfn.XLOOKUP(FME_Ranking1[[#This Row],[FME ID]],FME_Input[FME_ID],FME_Input[STRUCT_100])</f>
        <v>2655</v>
      </c>
      <c r="J345" s="178">
        <f>(FME_Ranking1[[#This Row],[Structures 100 Raw]]/I$2)*100</f>
        <v>1.4217324251381569</v>
      </c>
      <c r="K345" s="178">
        <f>FME_Ranking1[[#This Row],[Structures 100  Score (Normalized, Unweighted)]]*$I$3</f>
        <v>0.21325986377072353</v>
      </c>
      <c r="L345" s="246">
        <f>_xlfn.XLOOKUP(FME_Ranking1[[#This Row],[FME ID]],FME_Input[FME_ID],FME_Input[RES_STRUCT100])</f>
        <v>2270</v>
      </c>
      <c r="M345" s="230">
        <f>(FME_Ranking1[[#This Row],[Res Structures Raw]]/L$2)*100</f>
        <v>1.6078536923970477</v>
      </c>
      <c r="N345" s="180">
        <f>FME_Ranking1[[#This Row],[Res Structures Score (Normalized, Unweighted)]]*$L$3</f>
        <v>0.16078536923970477</v>
      </c>
      <c r="O345" s="244">
        <f>_xlfn.XLOOKUP(FME_Ranking1[[#This Row],[FME ID]],FME_Input[FME_ID],FME_Input[POP100])</f>
        <v>6415</v>
      </c>
      <c r="P345" s="178">
        <f>(FME_Ranking1[[#This Row],[Pop Raw]]/$O$2)*100</f>
        <v>0.65673762640791644</v>
      </c>
      <c r="Q345" s="178">
        <f>FME_Ranking1[[#This Row],[Pop Score (Normalized, Unweighted)]]*$O$3</f>
        <v>9.8510643961187458E-2</v>
      </c>
      <c r="R345" s="137">
        <f>_xlfn.XLOOKUP(FME_Ranking1[[#This Row],[FME ID]],FME_Input[FME_ID],FME_Input[CRITFAC100])</f>
        <v>12</v>
      </c>
      <c r="S345" s="230">
        <f>(FME_Ranking1[[#This Row],[Critical Facilities Raw]]/$R$2)*100</f>
        <v>0.51457975986277882</v>
      </c>
      <c r="T345" s="180">
        <f>FME_Ranking1[[#This Row],[Critical Facilities Score (Normalized, Unweighted)]]*$R$3</f>
        <v>0.10291595197255576</v>
      </c>
      <c r="U345">
        <f>_xlfn.XLOOKUP(FME_Ranking1[[#This Row],[FME ID]],FME_Input[FME_ID],FME_Input[LWC])</f>
        <v>0</v>
      </c>
      <c r="V345" s="178">
        <f>(FME_Ranking1[[#This Row],[LWC Raw]]/$U$2)*100</f>
        <v>0</v>
      </c>
      <c r="W345" s="178">
        <f>FME_Ranking1[[#This Row],[LWC Score (Normalized, Unweighted)]]*$U$3</f>
        <v>0</v>
      </c>
      <c r="X345" s="246">
        <f>_xlfn.XLOOKUP(FME_Ranking1[[#This Row],[FME ID]],FME_Input[FME_ID],FME_Input[ROADCLS])</f>
        <v>0</v>
      </c>
      <c r="Y345" s="230">
        <f>(FME_Ranking1[[#This Row],[Closures Raw]]/$X$2)*100</f>
        <v>0</v>
      </c>
      <c r="Z345" s="180">
        <f>FME_Ranking1[[#This Row],[Closures Score (Normalized, Unweighted)]]*$X$3</f>
        <v>0</v>
      </c>
      <c r="AA345" s="253">
        <f>_xlfn.XLOOKUP(FME_Ranking1[[#This Row],[FME ID]],FME_Input[FME_ID],FME_Input[ROAD_MILES100])</f>
        <v>72.513603210449219</v>
      </c>
      <c r="AB345" s="178">
        <f>(FME_Ranking1[[#This Row],[Miles Raw]]/$AA$2)*100</f>
        <v>0.95342382296427985</v>
      </c>
      <c r="AC345" s="178">
        <f>FME_Ranking1[[#This Row],[Miles Score (Normalized, Unweighted)]]*$AA$3</f>
        <v>9.5342382296427997E-2</v>
      </c>
      <c r="AD345" s="255">
        <f>_xlfn.XLOOKUP(FME_Ranking1[[#This Row],[FME ID]],FME_Input[FME_ID],FME_Input[FARMACRE100])</f>
        <v>884.1700439453125</v>
      </c>
      <c r="AE345" s="230">
        <f>(FME_Ranking1[[#This Row],[Ag Land Raw]]/$AD$2)*100</f>
        <v>3.6459214621840867E-2</v>
      </c>
      <c r="AF345" s="231">
        <f>FME_Ranking1[[#This Row],[Ag Land Score (Normalized, Unweighted)]]*$AD$3</f>
        <v>1.8229607310920434E-3</v>
      </c>
      <c r="AG34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0.67263717197169159</v>
      </c>
      <c r="AH345" s="406">
        <f t="shared" si="5"/>
        <v>365</v>
      </c>
      <c r="AI34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0.67263717197169159</v>
      </c>
      <c r="AJ345" s="257">
        <f>FME_Ranking1[[#This Row],[Addition check]]-FME_Ranking1[[#This Row],[Weighted Score Based on Normalized Reported Factors]]</f>
        <v>0</v>
      </c>
      <c r="AK345" s="178">
        <f>_xlfn.RANK.EQ(AI345,$AI$6:$AI$2341,0)+COUNTIF($AI$6:AI345,AI345)-1</f>
        <v>365</v>
      </c>
    </row>
    <row r="346" spans="1:37" ht="12" customHeight="1" x14ac:dyDescent="0.25">
      <c r="A346" t="s">
        <v>8579</v>
      </c>
      <c r="B346">
        <f>_xlfn.XLOOKUP(FME_Ranking1[[#This Row],[FME ID]],FME_Input[FME_ID],FME_Input[RFPG_NUM])</f>
        <v>11</v>
      </c>
      <c r="C346" t="str">
        <f>_xlfn.XLOOKUP(FME_Ranking1[[#This Row],[FME ID]],FME_Input[FME_ID],FME_Input[FME_NAME])</f>
        <v>Hunts ISD Storm Drainage Infrastructure Project Planning</v>
      </c>
      <c r="D346" t="str">
        <f>_xlfn.XLOOKUP(FME_Ranking1[[#This Row],[FME ID]],FME_Input[FME_ID],FME_Input[DESCR])</f>
        <v>Project planning to construct new storm drainage infrastructure to reduce the potential impacts of future flood events.</v>
      </c>
      <c r="E346" s="256">
        <f>_xlfn.XLOOKUP(FME_Ranking1[[#This Row],[FME ID]],FME_Input[FME_ID],FME_Input[FME_COST])</f>
        <v>100000</v>
      </c>
      <c r="F346" t="str">
        <f>_xlfn.XLOOKUP(FME_Ranking1[[#This Row],[FME ID]],FME_Input[FME_ID],FME_Input[EMER_NEED])</f>
        <v>No</v>
      </c>
      <c r="G346">
        <f>IF(FME_Ranking!F346="Yes",100,0)</f>
        <v>0</v>
      </c>
      <c r="H346">
        <f>FME_Ranking1[[#This Row],[Emergency Need Score (Normalized, Unweighted)]]*$F$3</f>
        <v>0</v>
      </c>
      <c r="I346" s="246">
        <f>_xlfn.XLOOKUP(FME_Ranking1[[#This Row],[FME ID]],FME_Input[FME_ID],FME_Input[STRUCT_100])</f>
        <v>629</v>
      </c>
      <c r="J346" s="178">
        <f>(FME_Ranking1[[#This Row],[Structures 100 Raw]]/I$2)*100</f>
        <v>0.33682474403461421</v>
      </c>
      <c r="K346" s="178">
        <f>FME_Ranking1[[#This Row],[Structures 100  Score (Normalized, Unweighted)]]*$I$3</f>
        <v>5.0523711605192131E-2</v>
      </c>
      <c r="L346" s="246">
        <f>_xlfn.XLOOKUP(FME_Ranking1[[#This Row],[FME ID]],FME_Input[FME_ID],FME_Input[RES_STRUCT100])</f>
        <v>283</v>
      </c>
      <c r="M346" s="230">
        <f>(FME_Ranking1[[#This Row],[Res Structures Raw]]/L$2)*100</f>
        <v>0.20045048235610771</v>
      </c>
      <c r="N346" s="180">
        <f>FME_Ranking1[[#This Row],[Res Structures Score (Normalized, Unweighted)]]*$L$3</f>
        <v>2.0045048235610773E-2</v>
      </c>
      <c r="O346" s="244">
        <f>_xlfn.XLOOKUP(FME_Ranking1[[#This Row],[FME ID]],FME_Input[FME_ID],FME_Input[POP100])</f>
        <v>744</v>
      </c>
      <c r="P346" s="178">
        <f>(FME_Ranking1[[#This Row],[Pop Raw]]/$O$2)*100</f>
        <v>7.6167232119639883E-2</v>
      </c>
      <c r="Q346" s="178">
        <f>FME_Ranking1[[#This Row],[Pop Score (Normalized, Unweighted)]]*$O$3</f>
        <v>1.1425084817945982E-2</v>
      </c>
      <c r="R346" s="137">
        <f>_xlfn.XLOOKUP(FME_Ranking1[[#This Row],[FME ID]],FME_Input[FME_ID],FME_Input[CRITFAC100])</f>
        <v>1</v>
      </c>
      <c r="S346" s="230">
        <f>(FME_Ranking1[[#This Row],[Critical Facilities Raw]]/$R$2)*100</f>
        <v>4.2881646655231559E-2</v>
      </c>
      <c r="T346" s="180">
        <f>FME_Ranking1[[#This Row],[Critical Facilities Score (Normalized, Unweighted)]]*$R$3</f>
        <v>8.5763293310463125E-3</v>
      </c>
      <c r="U346">
        <f>_xlfn.XLOOKUP(FME_Ranking1[[#This Row],[FME ID]],FME_Input[FME_ID],FME_Input[LWC])</f>
        <v>41</v>
      </c>
      <c r="V346" s="178">
        <f>(FME_Ranking1[[#This Row],[LWC Raw]]/$U$2)*100</f>
        <v>2.3603914795624639</v>
      </c>
      <c r="W346" s="178">
        <f>FME_Ranking1[[#This Row],[LWC Score (Normalized, Unweighted)]]*$U$3</f>
        <v>0.47207829591249278</v>
      </c>
      <c r="X346" s="246">
        <f>_xlfn.XLOOKUP(FME_Ranking1[[#This Row],[FME ID]],FME_Input[FME_ID],FME_Input[ROADCLS])</f>
        <v>0</v>
      </c>
      <c r="Y346" s="230">
        <f>(FME_Ranking1[[#This Row],[Closures Raw]]/$X$2)*100</f>
        <v>0</v>
      </c>
      <c r="Z346" s="180">
        <f>FME_Ranking1[[#This Row],[Closures Score (Normalized, Unweighted)]]*$X$3</f>
        <v>0</v>
      </c>
      <c r="AA346" s="253">
        <f>_xlfn.XLOOKUP(FME_Ranking1[[#This Row],[FME ID]],FME_Input[FME_ID],FME_Input[ROAD_MILES100])</f>
        <v>25.87270355224609</v>
      </c>
      <c r="AB346" s="178">
        <f>(FME_Ranking1[[#This Row],[Miles Raw]]/$AA$2)*100</f>
        <v>0.34017964683968921</v>
      </c>
      <c r="AC346" s="178">
        <f>FME_Ranking1[[#This Row],[Miles Score (Normalized, Unweighted)]]*$AA$3</f>
        <v>3.4017964683968921E-2</v>
      </c>
      <c r="AD346" s="255">
        <f>_xlfn.XLOOKUP(FME_Ranking1[[#This Row],[FME ID]],FME_Input[FME_ID],FME_Input[FARMACRE100])</f>
        <v>5502.31298828125</v>
      </c>
      <c r="AE346" s="230">
        <f>(FME_Ranking1[[#This Row],[Ag Land Raw]]/$AD$2)*100</f>
        <v>0.22689075651232621</v>
      </c>
      <c r="AF346" s="231">
        <f>FME_Ranking1[[#This Row],[Ag Land Score (Normalized, Unweighted)]]*$AD$3</f>
        <v>1.1344537825616311E-2</v>
      </c>
      <c r="AG34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0.60801097241187319</v>
      </c>
      <c r="AH346" s="406">
        <f t="shared" si="5"/>
        <v>390</v>
      </c>
      <c r="AI34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0.60801097241187319</v>
      </c>
      <c r="AJ346" s="257">
        <f>FME_Ranking1[[#This Row],[Addition check]]-FME_Ranking1[[#This Row],[Weighted Score Based on Normalized Reported Factors]]</f>
        <v>0</v>
      </c>
      <c r="AK346" s="178">
        <f>_xlfn.RANK.EQ(AI346,$AI$6:$AI$2341,0)+COUNTIF($AI$6:AI346,AI346)-1</f>
        <v>390</v>
      </c>
    </row>
    <row r="347" spans="1:37" ht="12" customHeight="1" x14ac:dyDescent="0.25">
      <c r="A347" t="s">
        <v>3991</v>
      </c>
      <c r="B347">
        <f>_xlfn.XLOOKUP(FME_Ranking1[[#This Row],[FME ID]],FME_Input[FME_ID],FME_Input[RFPG_NUM])</f>
        <v>3</v>
      </c>
      <c r="C347" t="str">
        <f>_xlfn.XLOOKUP(FME_Ranking1[[#This Row],[FME ID]],FME_Input[FME_ID],FME_Input[FME_NAME])</f>
        <v xml:space="preserve">San Jacinto County FEMA Mapping </v>
      </c>
      <c r="D347" t="str">
        <f>_xlfn.XLOOKUP(FME_Ranking1[[#This Row],[FME ID]],FME_Input[FME_ID],FME_Input[DESCR])</f>
        <v>Create FEMA mapping in previously unmapped areas and update existing FEMA maps as needed.</v>
      </c>
      <c r="E347" s="256">
        <f>_xlfn.XLOOKUP(FME_Ranking1[[#This Row],[FME ID]],FME_Input[FME_ID],FME_Input[FME_COST])</f>
        <v>907000</v>
      </c>
      <c r="F347" t="str">
        <f>_xlfn.XLOOKUP(FME_Ranking1[[#This Row],[FME ID]],FME_Input[FME_ID],FME_Input[EMER_NEED])</f>
        <v>No</v>
      </c>
      <c r="G347">
        <f>IF(FME_Ranking!F347="Yes",100,0)</f>
        <v>0</v>
      </c>
      <c r="H347">
        <f>FME_Ranking1[[#This Row],[Emergency Need Score (Normalized, Unweighted)]]*$F$3</f>
        <v>0</v>
      </c>
      <c r="I347" s="246">
        <f>_xlfn.XLOOKUP(FME_Ranking1[[#This Row],[FME ID]],FME_Input[FME_ID],FME_Input[STRUCT_100])</f>
        <v>2637</v>
      </c>
      <c r="J347" s="178">
        <f>(FME_Ranking1[[#This Row],[Structures 100 Raw]]/I$2)*100</f>
        <v>1.4120935612389152</v>
      </c>
      <c r="K347" s="178">
        <f>FME_Ranking1[[#This Row],[Structures 100  Score (Normalized, Unweighted)]]*$I$3</f>
        <v>0.21181403418583727</v>
      </c>
      <c r="L347" s="246">
        <f>_xlfn.XLOOKUP(FME_Ranking1[[#This Row],[FME ID]],FME_Input[FME_ID],FME_Input[RES_STRUCT100])</f>
        <v>2505</v>
      </c>
      <c r="M347" s="230">
        <f>(FME_Ranking1[[#This Row],[Res Structures Raw]]/L$2)*100</f>
        <v>1.7743055063676672</v>
      </c>
      <c r="N347" s="180">
        <f>FME_Ranking1[[#This Row],[Res Structures Score (Normalized, Unweighted)]]*$L$3</f>
        <v>0.17743055063676672</v>
      </c>
      <c r="O347" s="244">
        <f>_xlfn.XLOOKUP(FME_Ranking1[[#This Row],[FME ID]],FME_Input[FME_ID],FME_Input[POP100])</f>
        <v>3161</v>
      </c>
      <c r="P347" s="178">
        <f>(FME_Ranking1[[#This Row],[Pop Raw]]/$O$2)*100</f>
        <v>0.32360836119648079</v>
      </c>
      <c r="Q347" s="178">
        <f>FME_Ranking1[[#This Row],[Pop Score (Normalized, Unweighted)]]*$O$3</f>
        <v>4.8541254179472117E-2</v>
      </c>
      <c r="R347" s="137">
        <f>_xlfn.XLOOKUP(FME_Ranking1[[#This Row],[FME ID]],FME_Input[FME_ID],FME_Input[CRITFAC100])</f>
        <v>13</v>
      </c>
      <c r="S347" s="230">
        <f>(FME_Ranking1[[#This Row],[Critical Facilities Raw]]/$R$2)*100</f>
        <v>0.55746140651801035</v>
      </c>
      <c r="T347" s="180">
        <f>FME_Ranking1[[#This Row],[Critical Facilities Score (Normalized, Unweighted)]]*$R$3</f>
        <v>0.11149228130360207</v>
      </c>
      <c r="U347">
        <f>_xlfn.XLOOKUP(FME_Ranking1[[#This Row],[FME ID]],FME_Input[FME_ID],FME_Input[LWC])</f>
        <v>0</v>
      </c>
      <c r="V347" s="178">
        <f>(FME_Ranking1[[#This Row],[LWC Raw]]/$U$2)*100</f>
        <v>0</v>
      </c>
      <c r="W347" s="178">
        <f>FME_Ranking1[[#This Row],[LWC Score (Normalized, Unweighted)]]*$U$3</f>
        <v>0</v>
      </c>
      <c r="X347" s="246">
        <f>_xlfn.XLOOKUP(FME_Ranking1[[#This Row],[FME ID]],FME_Input[FME_ID],FME_Input[ROADCLS])</f>
        <v>0</v>
      </c>
      <c r="Y347" s="230">
        <f>(FME_Ranking1[[#This Row],[Closures Raw]]/$X$2)*100</f>
        <v>0</v>
      </c>
      <c r="Z347" s="180">
        <f>FME_Ranking1[[#This Row],[Closures Score (Normalized, Unweighted)]]*$X$3</f>
        <v>0</v>
      </c>
      <c r="AA347" s="253">
        <f>_xlfn.XLOOKUP(FME_Ranking1[[#This Row],[FME ID]],FME_Input[FME_ID],FME_Input[ROAD_MILES100])</f>
        <v>82.528526306152344</v>
      </c>
      <c r="AB347" s="178">
        <f>(FME_Ranking1[[#This Row],[Miles Raw]]/$AA$2)*100</f>
        <v>1.08510209906493</v>
      </c>
      <c r="AC347" s="178">
        <f>FME_Ranking1[[#This Row],[Miles Score (Normalized, Unweighted)]]*$AA$3</f>
        <v>0.10851020990649302</v>
      </c>
      <c r="AD347" s="255">
        <f>_xlfn.XLOOKUP(FME_Ranking1[[#This Row],[FME ID]],FME_Input[FME_ID],FME_Input[FARMACRE100])</f>
        <v>11298.66015625</v>
      </c>
      <c r="AE347" s="230">
        <f>(FME_Ranking1[[#This Row],[Ag Land Raw]]/$AD$2)*100</f>
        <v>0.4659061663498747</v>
      </c>
      <c r="AF347" s="231">
        <f>FME_Ranking1[[#This Row],[Ag Land Score (Normalized, Unweighted)]]*$AD$3</f>
        <v>2.3295308317493737E-2</v>
      </c>
      <c r="AG34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0.68108363852966491</v>
      </c>
      <c r="AH347" s="406">
        <f t="shared" si="5"/>
        <v>361</v>
      </c>
      <c r="AI34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0.68108363852966491</v>
      </c>
      <c r="AJ347" s="257">
        <f>FME_Ranking1[[#This Row],[Addition check]]-FME_Ranking1[[#This Row],[Weighted Score Based on Normalized Reported Factors]]</f>
        <v>0</v>
      </c>
      <c r="AK347" s="178">
        <f>_xlfn.RANK.EQ(AI347,$AI$6:$AI$2341,0)+COUNTIF($AI$6:AI347,AI347)-1</f>
        <v>361</v>
      </c>
    </row>
    <row r="348" spans="1:37" ht="12" customHeight="1" x14ac:dyDescent="0.25">
      <c r="A348" t="s">
        <v>4294</v>
      </c>
      <c r="B348">
        <f>_xlfn.XLOOKUP(FME_Ranking1[[#This Row],[FME ID]],FME_Input[FME_ID],FME_Input[RFPG_NUM])</f>
        <v>3</v>
      </c>
      <c r="C348" t="str">
        <f>_xlfn.XLOOKUP(FME_Ranking1[[#This Row],[FME ID]],FME_Input[FME_ID],FME_Input[FME_NAME])</f>
        <v>San Jacinto DMP</v>
      </c>
      <c r="D348" t="str">
        <f>_xlfn.XLOOKUP(FME_Ranking1[[#This Row],[FME ID]],FME_Input[FME_ID],FME_Input[DESCR])</f>
        <v xml:space="preserve">Evaluate County and Identify future projects. </v>
      </c>
      <c r="E348" s="256">
        <f>_xlfn.XLOOKUP(FME_Ranking1[[#This Row],[FME ID]],FME_Input[FME_ID],FME_Input[FME_COST])</f>
        <v>500000</v>
      </c>
      <c r="F348" t="str">
        <f>_xlfn.XLOOKUP(FME_Ranking1[[#This Row],[FME ID]],FME_Input[FME_ID],FME_Input[EMER_NEED])</f>
        <v>No</v>
      </c>
      <c r="G348">
        <f>IF(FME_Ranking!F348="Yes",100,0)</f>
        <v>0</v>
      </c>
      <c r="H348">
        <f>FME_Ranking1[[#This Row],[Emergency Need Score (Normalized, Unweighted)]]*$F$3</f>
        <v>0</v>
      </c>
      <c r="I348" s="246">
        <f>_xlfn.XLOOKUP(FME_Ranking1[[#This Row],[FME ID]],FME_Input[FME_ID],FME_Input[STRUCT_100])</f>
        <v>2637</v>
      </c>
      <c r="J348" s="178">
        <f>(FME_Ranking1[[#This Row],[Structures 100 Raw]]/I$2)*100</f>
        <v>1.4120935612389152</v>
      </c>
      <c r="K348" s="178">
        <f>FME_Ranking1[[#This Row],[Structures 100  Score (Normalized, Unweighted)]]*$I$3</f>
        <v>0.21181403418583727</v>
      </c>
      <c r="L348" s="246">
        <f>_xlfn.XLOOKUP(FME_Ranking1[[#This Row],[FME ID]],FME_Input[FME_ID],FME_Input[RES_STRUCT100])</f>
        <v>2505</v>
      </c>
      <c r="M348" s="230">
        <f>(FME_Ranking1[[#This Row],[Res Structures Raw]]/L$2)*100</f>
        <v>1.7743055063676672</v>
      </c>
      <c r="N348" s="180">
        <f>FME_Ranking1[[#This Row],[Res Structures Score (Normalized, Unweighted)]]*$L$3</f>
        <v>0.17743055063676672</v>
      </c>
      <c r="O348" s="244">
        <f>_xlfn.XLOOKUP(FME_Ranking1[[#This Row],[FME ID]],FME_Input[FME_ID],FME_Input[POP100])</f>
        <v>3161</v>
      </c>
      <c r="P348" s="178">
        <f>(FME_Ranking1[[#This Row],[Pop Raw]]/$O$2)*100</f>
        <v>0.32360836119648079</v>
      </c>
      <c r="Q348" s="178">
        <f>FME_Ranking1[[#This Row],[Pop Score (Normalized, Unweighted)]]*$O$3</f>
        <v>4.8541254179472117E-2</v>
      </c>
      <c r="R348" s="137">
        <f>_xlfn.XLOOKUP(FME_Ranking1[[#This Row],[FME ID]],FME_Input[FME_ID],FME_Input[CRITFAC100])</f>
        <v>13</v>
      </c>
      <c r="S348" s="230">
        <f>(FME_Ranking1[[#This Row],[Critical Facilities Raw]]/$R$2)*100</f>
        <v>0.55746140651801035</v>
      </c>
      <c r="T348" s="180">
        <f>FME_Ranking1[[#This Row],[Critical Facilities Score (Normalized, Unweighted)]]*$R$3</f>
        <v>0.11149228130360207</v>
      </c>
      <c r="U348">
        <f>_xlfn.XLOOKUP(FME_Ranking1[[#This Row],[FME ID]],FME_Input[FME_ID],FME_Input[LWC])</f>
        <v>0</v>
      </c>
      <c r="V348" s="178">
        <f>(FME_Ranking1[[#This Row],[LWC Raw]]/$U$2)*100</f>
        <v>0</v>
      </c>
      <c r="W348" s="178">
        <f>FME_Ranking1[[#This Row],[LWC Score (Normalized, Unweighted)]]*$U$3</f>
        <v>0</v>
      </c>
      <c r="X348" s="246">
        <f>_xlfn.XLOOKUP(FME_Ranking1[[#This Row],[FME ID]],FME_Input[FME_ID],FME_Input[ROADCLS])</f>
        <v>0</v>
      </c>
      <c r="Y348" s="230">
        <f>(FME_Ranking1[[#This Row],[Closures Raw]]/$X$2)*100</f>
        <v>0</v>
      </c>
      <c r="Z348" s="180">
        <f>FME_Ranking1[[#This Row],[Closures Score (Normalized, Unweighted)]]*$X$3</f>
        <v>0</v>
      </c>
      <c r="AA348" s="253">
        <f>_xlfn.XLOOKUP(FME_Ranking1[[#This Row],[FME ID]],FME_Input[FME_ID],FME_Input[ROAD_MILES100])</f>
        <v>82.528526306152344</v>
      </c>
      <c r="AB348" s="178">
        <f>(FME_Ranking1[[#This Row],[Miles Raw]]/$AA$2)*100</f>
        <v>1.08510209906493</v>
      </c>
      <c r="AC348" s="178">
        <f>FME_Ranking1[[#This Row],[Miles Score (Normalized, Unweighted)]]*$AA$3</f>
        <v>0.10851020990649302</v>
      </c>
      <c r="AD348" s="255">
        <f>_xlfn.XLOOKUP(FME_Ranking1[[#This Row],[FME ID]],FME_Input[FME_ID],FME_Input[FARMACRE100])</f>
        <v>11298.66015625</v>
      </c>
      <c r="AE348" s="230">
        <f>(FME_Ranking1[[#This Row],[Ag Land Raw]]/$AD$2)*100</f>
        <v>0.4659061663498747</v>
      </c>
      <c r="AF348" s="231">
        <f>FME_Ranking1[[#This Row],[Ag Land Score (Normalized, Unweighted)]]*$AD$3</f>
        <v>2.3295308317493737E-2</v>
      </c>
      <c r="AG34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0.68108363852966491</v>
      </c>
      <c r="AH348" s="406">
        <f t="shared" si="5"/>
        <v>361</v>
      </c>
      <c r="AI34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0.68108363852966491</v>
      </c>
      <c r="AJ348" s="257">
        <f>FME_Ranking1[[#This Row],[Addition check]]-FME_Ranking1[[#This Row],[Weighted Score Based on Normalized Reported Factors]]</f>
        <v>0</v>
      </c>
      <c r="AK348" s="178">
        <f>_xlfn.RANK.EQ(AI348,$AI$6:$AI$2341,0)+COUNTIF($AI$6:AI348,AI348)-1</f>
        <v>362</v>
      </c>
    </row>
    <row r="349" spans="1:37" ht="12" customHeight="1" x14ac:dyDescent="0.25">
      <c r="A349" t="s">
        <v>4995</v>
      </c>
      <c r="B349">
        <f>_xlfn.XLOOKUP(FME_Ranking1[[#This Row],[FME ID]],FME_Input[FME_ID],FME_Input[RFPG_NUM])</f>
        <v>3</v>
      </c>
      <c r="C349" t="str">
        <f>_xlfn.XLOOKUP(FME_Ranking1[[#This Row],[FME ID]],FME_Input[FME_ID],FME_Input[FME_NAME])</f>
        <v>San Jacinto County Drainage and Conveyance Capacity Improvements</v>
      </c>
      <c r="D349" t="str">
        <f>_xlfn.XLOOKUP(FME_Ranking1[[#This Row],[FME ID]],FME_Input[FME_ID],FME_Input[DESCR])</f>
        <v>Evaluate alternatives to improve drainage and conveyance capacity for Big Creek.</v>
      </c>
      <c r="E349" s="256">
        <f>_xlfn.XLOOKUP(FME_Ranking1[[#This Row],[FME ID]],FME_Input[FME_ID],FME_Input[FME_COST])</f>
        <v>250000</v>
      </c>
      <c r="F349" t="str">
        <f>_xlfn.XLOOKUP(FME_Ranking1[[#This Row],[FME ID]],FME_Input[FME_ID],FME_Input[EMER_NEED])</f>
        <v>No</v>
      </c>
      <c r="G349">
        <f>IF(FME_Ranking!F349="Yes",100,0)</f>
        <v>0</v>
      </c>
      <c r="H349">
        <f>FME_Ranking1[[#This Row],[Emergency Need Score (Normalized, Unweighted)]]*$F$3</f>
        <v>0</v>
      </c>
      <c r="I349" s="246">
        <f>_xlfn.XLOOKUP(FME_Ranking1[[#This Row],[FME ID]],FME_Input[FME_ID],FME_Input[STRUCT_100])</f>
        <v>2637</v>
      </c>
      <c r="J349" s="178">
        <f>(FME_Ranking1[[#This Row],[Structures 100 Raw]]/I$2)*100</f>
        <v>1.4120935612389152</v>
      </c>
      <c r="K349" s="178">
        <f>FME_Ranking1[[#This Row],[Structures 100  Score (Normalized, Unweighted)]]*$I$3</f>
        <v>0.21181403418583727</v>
      </c>
      <c r="L349" s="246">
        <f>_xlfn.XLOOKUP(FME_Ranking1[[#This Row],[FME ID]],FME_Input[FME_ID],FME_Input[RES_STRUCT100])</f>
        <v>2505</v>
      </c>
      <c r="M349" s="230">
        <f>(FME_Ranking1[[#This Row],[Res Structures Raw]]/L$2)*100</f>
        <v>1.7743055063676672</v>
      </c>
      <c r="N349" s="180">
        <f>FME_Ranking1[[#This Row],[Res Structures Score (Normalized, Unweighted)]]*$L$3</f>
        <v>0.17743055063676672</v>
      </c>
      <c r="O349" s="244">
        <f>_xlfn.XLOOKUP(FME_Ranking1[[#This Row],[FME ID]],FME_Input[FME_ID],FME_Input[POP100])</f>
        <v>3161</v>
      </c>
      <c r="P349" s="178">
        <f>(FME_Ranking1[[#This Row],[Pop Raw]]/$O$2)*100</f>
        <v>0.32360836119648079</v>
      </c>
      <c r="Q349" s="178">
        <f>FME_Ranking1[[#This Row],[Pop Score (Normalized, Unweighted)]]*$O$3</f>
        <v>4.8541254179472117E-2</v>
      </c>
      <c r="R349" s="137">
        <f>_xlfn.XLOOKUP(FME_Ranking1[[#This Row],[FME ID]],FME_Input[FME_ID],FME_Input[CRITFAC100])</f>
        <v>13</v>
      </c>
      <c r="S349" s="230">
        <f>(FME_Ranking1[[#This Row],[Critical Facilities Raw]]/$R$2)*100</f>
        <v>0.55746140651801035</v>
      </c>
      <c r="T349" s="180">
        <f>FME_Ranking1[[#This Row],[Critical Facilities Score (Normalized, Unweighted)]]*$R$3</f>
        <v>0.11149228130360207</v>
      </c>
      <c r="U349">
        <f>_xlfn.XLOOKUP(FME_Ranking1[[#This Row],[FME ID]],FME_Input[FME_ID],FME_Input[LWC])</f>
        <v>0</v>
      </c>
      <c r="V349" s="178">
        <f>(FME_Ranking1[[#This Row],[LWC Raw]]/$U$2)*100</f>
        <v>0</v>
      </c>
      <c r="W349" s="178">
        <f>FME_Ranking1[[#This Row],[LWC Score (Normalized, Unweighted)]]*$U$3</f>
        <v>0</v>
      </c>
      <c r="X349" s="246">
        <f>_xlfn.XLOOKUP(FME_Ranking1[[#This Row],[FME ID]],FME_Input[FME_ID],FME_Input[ROADCLS])</f>
        <v>0</v>
      </c>
      <c r="Y349" s="230">
        <f>(FME_Ranking1[[#This Row],[Closures Raw]]/$X$2)*100</f>
        <v>0</v>
      </c>
      <c r="Z349" s="180">
        <f>FME_Ranking1[[#This Row],[Closures Score (Normalized, Unweighted)]]*$X$3</f>
        <v>0</v>
      </c>
      <c r="AA349" s="253">
        <f>_xlfn.XLOOKUP(FME_Ranking1[[#This Row],[FME ID]],FME_Input[FME_ID],FME_Input[ROAD_MILES100])</f>
        <v>82.528526306152344</v>
      </c>
      <c r="AB349" s="178">
        <f>(FME_Ranking1[[#This Row],[Miles Raw]]/$AA$2)*100</f>
        <v>1.08510209906493</v>
      </c>
      <c r="AC349" s="178">
        <f>FME_Ranking1[[#This Row],[Miles Score (Normalized, Unweighted)]]*$AA$3</f>
        <v>0.10851020990649302</v>
      </c>
      <c r="AD349" s="255">
        <f>_xlfn.XLOOKUP(FME_Ranking1[[#This Row],[FME ID]],FME_Input[FME_ID],FME_Input[FARMACRE100])</f>
        <v>11298.66015625</v>
      </c>
      <c r="AE349" s="230">
        <f>(FME_Ranking1[[#This Row],[Ag Land Raw]]/$AD$2)*100</f>
        <v>0.4659061663498747</v>
      </c>
      <c r="AF349" s="231">
        <f>FME_Ranking1[[#This Row],[Ag Land Score (Normalized, Unweighted)]]*$AD$3</f>
        <v>2.3295308317493737E-2</v>
      </c>
      <c r="AG34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0.68108363852966491</v>
      </c>
      <c r="AH349" s="406">
        <f t="shared" si="5"/>
        <v>361</v>
      </c>
      <c r="AI34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0.68108363852966491</v>
      </c>
      <c r="AJ349" s="257">
        <f>FME_Ranking1[[#This Row],[Addition check]]-FME_Ranking1[[#This Row],[Weighted Score Based on Normalized Reported Factors]]</f>
        <v>0</v>
      </c>
      <c r="AK349" s="178">
        <f>_xlfn.RANK.EQ(AI349,$AI$6:$AI$2341,0)+COUNTIF($AI$6:AI349,AI349)-1</f>
        <v>363</v>
      </c>
    </row>
    <row r="350" spans="1:37" ht="12" customHeight="1" x14ac:dyDescent="0.25">
      <c r="A350" t="s">
        <v>2845</v>
      </c>
      <c r="B350">
        <f>_xlfn.XLOOKUP(FME_Ranking1[[#This Row],[FME ID]],FME_Input[FME_ID],FME_Input[RFPG_NUM])</f>
        <v>1</v>
      </c>
      <c r="C350" t="str">
        <f>_xlfn.XLOOKUP(FME_Ranking1[[#This Row],[FME ID]],FME_Input[FME_ID],FME_Input[FME_NAME])</f>
        <v>Oldham County FIS</v>
      </c>
      <c r="D350" t="str">
        <f>_xlfn.XLOOKUP(FME_Ranking1[[#This Row],[FME ID]],FME_Input[FME_ID],FME_Input[DESCR])</f>
        <v>Perform flood insurance study for the county and develop regulatory mapping</v>
      </c>
      <c r="E350" s="256">
        <f>_xlfn.XLOOKUP(FME_Ranking1[[#This Row],[FME ID]],FME_Input[FME_ID],FME_Input[FME_COST])</f>
        <v>1447000</v>
      </c>
      <c r="F350" t="str">
        <f>_xlfn.XLOOKUP(FME_Ranking1[[#This Row],[FME ID]],FME_Input[FME_ID],FME_Input[EMER_NEED])</f>
        <v>No</v>
      </c>
      <c r="G350">
        <f>IF(FME_Ranking!F350="Yes",100,0)</f>
        <v>0</v>
      </c>
      <c r="H350">
        <f>FME_Ranking1[[#This Row],[Emergency Need Score (Normalized, Unweighted)]]*$F$3</f>
        <v>0</v>
      </c>
      <c r="I350" s="246">
        <f>_xlfn.XLOOKUP(FME_Ranking1[[#This Row],[FME ID]],FME_Input[FME_ID],FME_Input[STRUCT_100])</f>
        <v>25</v>
      </c>
      <c r="J350" s="178">
        <f>(FME_Ranking1[[#This Row],[Structures 100 Raw]]/I$2)*100</f>
        <v>1.3387310971169086E-2</v>
      </c>
      <c r="K350" s="178">
        <f>FME_Ranking1[[#This Row],[Structures 100  Score (Normalized, Unweighted)]]*$I$3</f>
        <v>2.0080966456753626E-3</v>
      </c>
      <c r="L350" s="246">
        <f>_xlfn.XLOOKUP(FME_Ranking1[[#This Row],[FME ID]],FME_Input[FME_ID],FME_Input[RES_STRUCT100])</f>
        <v>0</v>
      </c>
      <c r="M350" s="230">
        <f>(FME_Ranking1[[#This Row],[Res Structures Raw]]/L$2)*100</f>
        <v>0</v>
      </c>
      <c r="N350" s="180">
        <f>FME_Ranking1[[#This Row],[Res Structures Score (Normalized, Unweighted)]]*$L$3</f>
        <v>0</v>
      </c>
      <c r="O350" s="244">
        <f>_xlfn.XLOOKUP(FME_Ranking1[[#This Row],[FME ID]],FME_Input[FME_ID],FME_Input[POP100])</f>
        <v>57</v>
      </c>
      <c r="P350" s="178">
        <f>(FME_Ranking1[[#This Row],[Pop Raw]]/$O$2)*100</f>
        <v>5.8353927833595075E-3</v>
      </c>
      <c r="Q350" s="178">
        <f>FME_Ranking1[[#This Row],[Pop Score (Normalized, Unweighted)]]*$O$3</f>
        <v>8.7530891750392612E-4</v>
      </c>
      <c r="R350" s="137">
        <f>_xlfn.XLOOKUP(FME_Ranking1[[#This Row],[FME ID]],FME_Input[FME_ID],FME_Input[CRITFAC100])</f>
        <v>1</v>
      </c>
      <c r="S350" s="230">
        <f>(FME_Ranking1[[#This Row],[Critical Facilities Raw]]/$R$2)*100</f>
        <v>4.2881646655231559E-2</v>
      </c>
      <c r="T350" s="180">
        <f>FME_Ranking1[[#This Row],[Critical Facilities Score (Normalized, Unweighted)]]*$R$3</f>
        <v>8.5763293310463125E-3</v>
      </c>
      <c r="U350">
        <f>_xlfn.XLOOKUP(FME_Ranking1[[#This Row],[FME ID]],FME_Input[FME_ID],FME_Input[LWC])</f>
        <v>30</v>
      </c>
      <c r="V350" s="178">
        <f>(FME_Ranking1[[#This Row],[LWC Raw]]/$U$2)*100</f>
        <v>1.7271157167530224</v>
      </c>
      <c r="W350" s="178">
        <f>FME_Ranking1[[#This Row],[LWC Score (Normalized, Unweighted)]]*$U$3</f>
        <v>0.34542314335060453</v>
      </c>
      <c r="X350" s="246">
        <f>_xlfn.XLOOKUP(FME_Ranking1[[#This Row],[FME ID]],FME_Input[FME_ID],FME_Input[ROADCLS])</f>
        <v>30</v>
      </c>
      <c r="Y350" s="230">
        <f>(FME_Ranking1[[#This Row],[Closures Raw]]/$X$2)*100</f>
        <v>0.31542424561034593</v>
      </c>
      <c r="Z350" s="180">
        <f>FME_Ranking1[[#This Row],[Closures Score (Normalized, Unweighted)]]*$X$3</f>
        <v>1.5771212280517297E-2</v>
      </c>
      <c r="AA350" s="253">
        <f>_xlfn.XLOOKUP(FME_Ranking1[[#This Row],[FME ID]],FME_Input[FME_ID],FME_Input[ROAD_MILES100])</f>
        <v>9.3896379470825195</v>
      </c>
      <c r="AB350" s="178">
        <f>(FME_Ranking1[[#This Row],[Miles Raw]]/$AA$2)*100</f>
        <v>0.12345689789785347</v>
      </c>
      <c r="AC350" s="178">
        <f>FME_Ranking1[[#This Row],[Miles Score (Normalized, Unweighted)]]*$AA$3</f>
        <v>1.2345689789785348E-2</v>
      </c>
      <c r="AD350" s="255">
        <f>_xlfn.XLOOKUP(FME_Ranking1[[#This Row],[FME ID]],FME_Input[FME_ID],FME_Input[FARMACRE100])</f>
        <v>95133.5546875</v>
      </c>
      <c r="AE350" s="230">
        <f>(FME_Ranking1[[#This Row],[Ag Land Raw]]/$AD$2)*100</f>
        <v>3.922881929603951</v>
      </c>
      <c r="AF350" s="231">
        <f>FME_Ranking1[[#This Row],[Ag Land Score (Normalized, Unweighted)]]*$AD$3</f>
        <v>0.19614409648019757</v>
      </c>
      <c r="AG35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0.58114387679533031</v>
      </c>
      <c r="AH350" s="406">
        <f t="shared" si="5"/>
        <v>397</v>
      </c>
      <c r="AI35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0.58114387679533031</v>
      </c>
      <c r="AJ350" s="257">
        <f>FME_Ranking1[[#This Row],[Addition check]]-FME_Ranking1[[#This Row],[Weighted Score Based on Normalized Reported Factors]]</f>
        <v>0</v>
      </c>
      <c r="AK350" s="178">
        <f>_xlfn.RANK.EQ(AI350,$AI$6:$AI$2341,0)+COUNTIF($AI$6:AI350,AI350)-1</f>
        <v>397</v>
      </c>
    </row>
    <row r="351" spans="1:37" ht="12" customHeight="1" x14ac:dyDescent="0.25">
      <c r="A351" t="s">
        <v>11375</v>
      </c>
      <c r="B351">
        <f>_xlfn.XLOOKUP(FME_Ranking1[[#This Row],[FME ID]],FME_Input[FME_ID],FME_Input[RFPG_NUM])</f>
        <v>15</v>
      </c>
      <c r="C351" t="str">
        <f>_xlfn.XLOOKUP(FME_Ranking1[[#This Row],[FME ID]],FME_Input[FME_ID],FME_Input[FME_NAME])</f>
        <v>Kinney County</v>
      </c>
      <c r="D351" t="str">
        <f>_xlfn.XLOOKUP(FME_Ranking1[[#This Row],[FME ID]],FME_Input[FME_ID],FME_Input[DESCR])</f>
        <v>Develop Flood risk maps for the county of Kinney and develop CIP</v>
      </c>
      <c r="E351" s="256">
        <f>_xlfn.XLOOKUP(FME_Ranking1[[#This Row],[FME ID]],FME_Input[FME_ID],FME_Input[FME_COST])</f>
        <v>250000</v>
      </c>
      <c r="F351" t="str">
        <f>_xlfn.XLOOKUP(FME_Ranking1[[#This Row],[FME ID]],FME_Input[FME_ID],FME_Input[EMER_NEED])</f>
        <v>Yes</v>
      </c>
      <c r="G351">
        <f>IF(FME_Ranking!F351="Yes",100,0)</f>
        <v>100</v>
      </c>
      <c r="H351">
        <f>FME_Ranking1[[#This Row],[Emergency Need Score (Normalized, Unweighted)]]*$F$3</f>
        <v>0</v>
      </c>
      <c r="I351" s="246">
        <f>_xlfn.XLOOKUP(FME_Ranking1[[#This Row],[FME ID]],FME_Input[FME_ID],FME_Input[STRUCT_100])</f>
        <v>0</v>
      </c>
      <c r="J351" s="178">
        <f>(FME_Ranking1[[#This Row],[Structures 100 Raw]]/I$2)*100</f>
        <v>0</v>
      </c>
      <c r="K351" s="178">
        <f>FME_Ranking1[[#This Row],[Structures 100  Score (Normalized, Unweighted)]]*$I$3</f>
        <v>0</v>
      </c>
      <c r="L351" s="246">
        <f>_xlfn.XLOOKUP(FME_Ranking1[[#This Row],[FME ID]],FME_Input[FME_ID],FME_Input[RES_STRUCT100])</f>
        <v>420</v>
      </c>
      <c r="M351" s="230">
        <f>(FME_Ranking1[[#This Row],[Res Structures Raw]]/L$2)*100</f>
        <v>0.29748834837302207</v>
      </c>
      <c r="N351" s="180">
        <f>FME_Ranking1[[#This Row],[Res Structures Score (Normalized, Unweighted)]]*$L$3</f>
        <v>2.9748834837302209E-2</v>
      </c>
      <c r="O351" s="244">
        <f>_xlfn.XLOOKUP(FME_Ranking1[[#This Row],[FME ID]],FME_Input[FME_ID],FME_Input[POP100])</f>
        <v>803</v>
      </c>
      <c r="P351" s="178">
        <f>(FME_Ranking1[[#This Row],[Pop Raw]]/$O$2)*100</f>
        <v>8.220737552697692E-2</v>
      </c>
      <c r="Q351" s="178">
        <f>FME_Ranking1[[#This Row],[Pop Score (Normalized, Unweighted)]]*$O$3</f>
        <v>1.2331106329046538E-2</v>
      </c>
      <c r="R351" s="137">
        <f>_xlfn.XLOOKUP(FME_Ranking1[[#This Row],[FME ID]],FME_Input[FME_ID],FME_Input[CRITFAC100])</f>
        <v>2</v>
      </c>
      <c r="S351" s="230">
        <f>(FME_Ranking1[[#This Row],[Critical Facilities Raw]]/$R$2)*100</f>
        <v>8.5763293310463118E-2</v>
      </c>
      <c r="T351" s="180">
        <f>FME_Ranking1[[#This Row],[Critical Facilities Score (Normalized, Unweighted)]]*$R$3</f>
        <v>1.7152658662092625E-2</v>
      </c>
      <c r="U351">
        <f>_xlfn.XLOOKUP(FME_Ranking1[[#This Row],[FME ID]],FME_Input[FME_ID],FME_Input[LWC])</f>
        <v>44</v>
      </c>
      <c r="V351" s="178">
        <f>(FME_Ranking1[[#This Row],[LWC Raw]]/$U$2)*100</f>
        <v>2.5331030512377661</v>
      </c>
      <c r="W351" s="178">
        <f>FME_Ranking1[[#This Row],[LWC Score (Normalized, Unweighted)]]*$U$3</f>
        <v>0.50662061024755323</v>
      </c>
      <c r="X351" s="246">
        <f>_xlfn.XLOOKUP(FME_Ranking1[[#This Row],[FME ID]],FME_Input[FME_ID],FME_Input[ROADCLS])</f>
        <v>0</v>
      </c>
      <c r="Y351" s="230">
        <f>(FME_Ranking1[[#This Row],[Closures Raw]]/$X$2)*100</f>
        <v>0</v>
      </c>
      <c r="Z351" s="180">
        <f>FME_Ranking1[[#This Row],[Closures Score (Normalized, Unweighted)]]*$X$3</f>
        <v>0</v>
      </c>
      <c r="AA351" s="253">
        <f>_xlfn.XLOOKUP(FME_Ranking1[[#This Row],[FME ID]],FME_Input[FME_ID],FME_Input[ROAD_MILES100])</f>
        <v>193.156005859375</v>
      </c>
      <c r="AB351" s="178">
        <f>(FME_Ranking1[[#This Row],[Miles Raw]]/$AA$2)*100</f>
        <v>2.5396550354902061</v>
      </c>
      <c r="AC351" s="178">
        <f>FME_Ranking1[[#This Row],[Miles Score (Normalized, Unweighted)]]*$AA$3</f>
        <v>0.25396550354902064</v>
      </c>
      <c r="AD351" s="255">
        <f>_xlfn.XLOOKUP(FME_Ranking1[[#This Row],[FME ID]],FME_Input[FME_ID],FME_Input[FARMACRE100])</f>
        <v>0</v>
      </c>
      <c r="AE351" s="230">
        <f>(FME_Ranking1[[#This Row],[Ag Land Raw]]/$AD$2)*100</f>
        <v>0</v>
      </c>
      <c r="AF351" s="231">
        <f>FME_Ranking1[[#This Row],[Ag Land Score (Normalized, Unweighted)]]*$AD$3</f>
        <v>0</v>
      </c>
      <c r="AG35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0.81981871362501524</v>
      </c>
      <c r="AH351" s="406">
        <f t="shared" si="5"/>
        <v>324</v>
      </c>
      <c r="AI35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0.81981871362501524</v>
      </c>
      <c r="AJ351" s="257">
        <f>FME_Ranking1[[#This Row],[Addition check]]-FME_Ranking1[[#This Row],[Weighted Score Based on Normalized Reported Factors]]</f>
        <v>0</v>
      </c>
      <c r="AK351" s="178">
        <f>_xlfn.RANK.EQ(AI351,$AI$6:$AI$2341,0)+COUNTIF($AI$6:AI351,AI351)-1</f>
        <v>324</v>
      </c>
    </row>
    <row r="352" spans="1:37" ht="12" customHeight="1" x14ac:dyDescent="0.25">
      <c r="A352" t="s">
        <v>2095</v>
      </c>
      <c r="B352">
        <f>_xlfn.XLOOKUP(FME_Ranking1[[#This Row],[FME ID]],FME_Input[FME_ID],FME_Input[RFPG_NUM])</f>
        <v>6</v>
      </c>
      <c r="C352" t="str">
        <f>_xlfn.XLOOKUP(FME_Ranking1[[#This Row],[FME ID]],FME_Input[FME_ID],FME_Input[FME_NAME])</f>
        <v>Luce Bayou (Z100-00-00-P026) Bypass Channel</v>
      </c>
      <c r="D352" t="str">
        <f>_xlfn.XLOOKUP(FME_Ranking1[[#This Row],[FME ID]],FME_Input[FME_ID],FME_Input[DESCR])</f>
        <v>Study to develop a Benefit Cost Analysis needed for this project to become a FMP. Construction of channel bypass to provide Luce main stem upstream and local overland flooding relief.</v>
      </c>
      <c r="E352" s="256">
        <f>_xlfn.XLOOKUP(FME_Ranking1[[#This Row],[FME ID]],FME_Input[FME_ID],FME_Input[FME_COST])</f>
        <v>30000</v>
      </c>
      <c r="F352" t="str">
        <f>_xlfn.XLOOKUP(FME_Ranking1[[#This Row],[FME ID]],FME_Input[FME_ID],FME_Input[EMER_NEED])</f>
        <v>No</v>
      </c>
      <c r="G352">
        <f>IF(FME_Ranking!F352="Yes",100,0)</f>
        <v>0</v>
      </c>
      <c r="H352">
        <f>FME_Ranking1[[#This Row],[Emergency Need Score (Normalized, Unweighted)]]*$F$3</f>
        <v>0</v>
      </c>
      <c r="I352" s="246">
        <f>_xlfn.XLOOKUP(FME_Ranking1[[#This Row],[FME ID]],FME_Input[FME_ID],FME_Input[STRUCT_100])</f>
        <v>1939</v>
      </c>
      <c r="J352" s="178">
        <f>(FME_Ranking1[[#This Row],[Structures 100 Raw]]/I$2)*100</f>
        <v>1.0383198389238744</v>
      </c>
      <c r="K352" s="178">
        <f>FME_Ranking1[[#This Row],[Structures 100  Score (Normalized, Unweighted)]]*$I$3</f>
        <v>0.15574797583858116</v>
      </c>
      <c r="L352" s="246">
        <f>_xlfn.XLOOKUP(FME_Ranking1[[#This Row],[FME ID]],FME_Input[FME_ID],FME_Input[RES_STRUCT100])</f>
        <v>1465</v>
      </c>
      <c r="M352" s="230">
        <f>(FME_Ranking1[[#This Row],[Res Structures Raw]]/L$2)*100</f>
        <v>1.0376676913487555</v>
      </c>
      <c r="N352" s="180">
        <f>FME_Ranking1[[#This Row],[Res Structures Score (Normalized, Unweighted)]]*$L$3</f>
        <v>0.10376676913487555</v>
      </c>
      <c r="O352" s="244">
        <f>_xlfn.XLOOKUP(FME_Ranking1[[#This Row],[FME ID]],FME_Input[FME_ID],FME_Input[POP100])</f>
        <v>5763</v>
      </c>
      <c r="P352" s="178">
        <f>(FME_Ranking1[[#This Row],[Pop Raw]]/$O$2)*100</f>
        <v>0.58998892299124273</v>
      </c>
      <c r="Q352" s="178">
        <f>FME_Ranking1[[#This Row],[Pop Score (Normalized, Unweighted)]]*$O$3</f>
        <v>8.8498338448686403E-2</v>
      </c>
      <c r="R352" s="137">
        <f>_xlfn.XLOOKUP(FME_Ranking1[[#This Row],[FME ID]],FME_Input[FME_ID],FME_Input[CRITFAC100])</f>
        <v>25</v>
      </c>
      <c r="S352" s="230">
        <f>(FME_Ranking1[[#This Row],[Critical Facilities Raw]]/$R$2)*100</f>
        <v>1.0720411663807889</v>
      </c>
      <c r="T352" s="180">
        <f>FME_Ranking1[[#This Row],[Critical Facilities Score (Normalized, Unweighted)]]*$R$3</f>
        <v>0.21440823327615779</v>
      </c>
      <c r="U352">
        <f>_xlfn.XLOOKUP(FME_Ranking1[[#This Row],[FME ID]],FME_Input[FME_ID],FME_Input[LWC])</f>
        <v>0</v>
      </c>
      <c r="V352" s="178">
        <f>(FME_Ranking1[[#This Row],[LWC Raw]]/$U$2)*100</f>
        <v>0</v>
      </c>
      <c r="W352" s="178">
        <f>FME_Ranking1[[#This Row],[LWC Score (Normalized, Unweighted)]]*$U$3</f>
        <v>0</v>
      </c>
      <c r="X352" s="246">
        <f>_xlfn.XLOOKUP(FME_Ranking1[[#This Row],[FME ID]],FME_Input[FME_ID],FME_Input[ROADCLS])</f>
        <v>0</v>
      </c>
      <c r="Y352" s="230">
        <f>(FME_Ranking1[[#This Row],[Closures Raw]]/$X$2)*100</f>
        <v>0</v>
      </c>
      <c r="Z352" s="180">
        <f>FME_Ranking1[[#This Row],[Closures Score (Normalized, Unweighted)]]*$X$3</f>
        <v>0</v>
      </c>
      <c r="AA352" s="253">
        <f>_xlfn.XLOOKUP(FME_Ranking1[[#This Row],[FME ID]],FME_Input[FME_ID],FME_Input[ROAD_MILES100])</f>
        <v>39.773311614990227</v>
      </c>
      <c r="AB352" s="178">
        <f>(FME_Ranking1[[#This Row],[Miles Raw]]/$AA$2)*100</f>
        <v>0.52294771095375914</v>
      </c>
      <c r="AC352" s="178">
        <f>FME_Ranking1[[#This Row],[Miles Score (Normalized, Unweighted)]]*$AA$3</f>
        <v>5.2294771095375919E-2</v>
      </c>
      <c r="AD352" s="255">
        <f>_xlfn.XLOOKUP(FME_Ranking1[[#This Row],[FME ID]],FME_Input[FME_ID],FME_Input[FARMACRE100])</f>
        <v>1122.3876953125</v>
      </c>
      <c r="AE352" s="230">
        <f>(FME_Ranking1[[#This Row],[Ag Land Raw]]/$AD$2)*100</f>
        <v>4.6282244182028448E-2</v>
      </c>
      <c r="AF352" s="231">
        <f>FME_Ranking1[[#This Row],[Ag Land Score (Normalized, Unweighted)]]*$AD$3</f>
        <v>2.3141122091014225E-3</v>
      </c>
      <c r="AG35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0.6170302000027782</v>
      </c>
      <c r="AH352" s="406">
        <f t="shared" si="5"/>
        <v>386</v>
      </c>
      <c r="AI35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0.6170302000027782</v>
      </c>
      <c r="AJ352" s="257">
        <f>FME_Ranking1[[#This Row],[Addition check]]-FME_Ranking1[[#This Row],[Weighted Score Based on Normalized Reported Factors]]</f>
        <v>0</v>
      </c>
      <c r="AK352" s="178">
        <f>_xlfn.RANK.EQ(AI352,$AI$6:$AI$2341,0)+COUNTIF($AI$6:AI352,AI352)-1</f>
        <v>386</v>
      </c>
    </row>
    <row r="353" spans="1:37" ht="12" customHeight="1" x14ac:dyDescent="0.25">
      <c r="A353" t="s">
        <v>2102</v>
      </c>
      <c r="B353">
        <f>_xlfn.XLOOKUP(FME_Ranking1[[#This Row],[FME ID]],FME_Input[FME_ID],FME_Input[RFPG_NUM])</f>
        <v>6</v>
      </c>
      <c r="C353" t="str">
        <f>_xlfn.XLOOKUP(FME_Ranking1[[#This Row],[FME ID]],FME_Input[FME_ID],FME_Input[FME_NAME])</f>
        <v>Luce Bayou (Z100-00-00-P026) Channelization</v>
      </c>
      <c r="D353" t="str">
        <f>_xlfn.XLOOKUP(FME_Ranking1[[#This Row],[FME ID]],FME_Input[FME_ID],FME_Input[DESCR])</f>
        <v>Study to develop a Benefit Cost Analysis needed for this project to become a FMP. Construction of channel improvements along Luce main stem.</v>
      </c>
      <c r="E353" s="256">
        <f>_xlfn.XLOOKUP(FME_Ranking1[[#This Row],[FME ID]],FME_Input[FME_ID],FME_Input[FME_COST])</f>
        <v>30000</v>
      </c>
      <c r="F353" t="str">
        <f>_xlfn.XLOOKUP(FME_Ranking1[[#This Row],[FME ID]],FME_Input[FME_ID],FME_Input[EMER_NEED])</f>
        <v>No</v>
      </c>
      <c r="G353">
        <f>IF(FME_Ranking!F353="Yes",100,0)</f>
        <v>0</v>
      </c>
      <c r="H353">
        <f>FME_Ranking1[[#This Row],[Emergency Need Score (Normalized, Unweighted)]]*$F$3</f>
        <v>0</v>
      </c>
      <c r="I353" s="246">
        <f>_xlfn.XLOOKUP(FME_Ranking1[[#This Row],[FME ID]],FME_Input[FME_ID],FME_Input[STRUCT_100])</f>
        <v>1939</v>
      </c>
      <c r="J353" s="178">
        <f>(FME_Ranking1[[#This Row],[Structures 100 Raw]]/I$2)*100</f>
        <v>1.0383198389238744</v>
      </c>
      <c r="K353" s="178">
        <f>FME_Ranking1[[#This Row],[Structures 100  Score (Normalized, Unweighted)]]*$I$3</f>
        <v>0.15574797583858116</v>
      </c>
      <c r="L353" s="246">
        <f>_xlfn.XLOOKUP(FME_Ranking1[[#This Row],[FME ID]],FME_Input[FME_ID],FME_Input[RES_STRUCT100])</f>
        <v>1465</v>
      </c>
      <c r="M353" s="230">
        <f>(FME_Ranking1[[#This Row],[Res Structures Raw]]/L$2)*100</f>
        <v>1.0376676913487555</v>
      </c>
      <c r="N353" s="180">
        <f>FME_Ranking1[[#This Row],[Res Structures Score (Normalized, Unweighted)]]*$L$3</f>
        <v>0.10376676913487555</v>
      </c>
      <c r="O353" s="244">
        <f>_xlfn.XLOOKUP(FME_Ranking1[[#This Row],[FME ID]],FME_Input[FME_ID],FME_Input[POP100])</f>
        <v>5763</v>
      </c>
      <c r="P353" s="178">
        <f>(FME_Ranking1[[#This Row],[Pop Raw]]/$O$2)*100</f>
        <v>0.58998892299124273</v>
      </c>
      <c r="Q353" s="178">
        <f>FME_Ranking1[[#This Row],[Pop Score (Normalized, Unweighted)]]*$O$3</f>
        <v>8.8498338448686403E-2</v>
      </c>
      <c r="R353" s="137">
        <f>_xlfn.XLOOKUP(FME_Ranking1[[#This Row],[FME ID]],FME_Input[FME_ID],FME_Input[CRITFAC100])</f>
        <v>25</v>
      </c>
      <c r="S353" s="230">
        <f>(FME_Ranking1[[#This Row],[Critical Facilities Raw]]/$R$2)*100</f>
        <v>1.0720411663807889</v>
      </c>
      <c r="T353" s="180">
        <f>FME_Ranking1[[#This Row],[Critical Facilities Score (Normalized, Unweighted)]]*$R$3</f>
        <v>0.21440823327615779</v>
      </c>
      <c r="U353">
        <f>_xlfn.XLOOKUP(FME_Ranking1[[#This Row],[FME ID]],FME_Input[FME_ID],FME_Input[LWC])</f>
        <v>0</v>
      </c>
      <c r="V353" s="178">
        <f>(FME_Ranking1[[#This Row],[LWC Raw]]/$U$2)*100</f>
        <v>0</v>
      </c>
      <c r="W353" s="178">
        <f>FME_Ranking1[[#This Row],[LWC Score (Normalized, Unweighted)]]*$U$3</f>
        <v>0</v>
      </c>
      <c r="X353" s="246">
        <f>_xlfn.XLOOKUP(FME_Ranking1[[#This Row],[FME ID]],FME_Input[FME_ID],FME_Input[ROADCLS])</f>
        <v>0</v>
      </c>
      <c r="Y353" s="230">
        <f>(FME_Ranking1[[#This Row],[Closures Raw]]/$X$2)*100</f>
        <v>0</v>
      </c>
      <c r="Z353" s="180">
        <f>FME_Ranking1[[#This Row],[Closures Score (Normalized, Unweighted)]]*$X$3</f>
        <v>0</v>
      </c>
      <c r="AA353" s="253">
        <f>_xlfn.XLOOKUP(FME_Ranking1[[#This Row],[FME ID]],FME_Input[FME_ID],FME_Input[ROAD_MILES100])</f>
        <v>39.773311614990227</v>
      </c>
      <c r="AB353" s="178">
        <f>(FME_Ranking1[[#This Row],[Miles Raw]]/$AA$2)*100</f>
        <v>0.52294771095375914</v>
      </c>
      <c r="AC353" s="178">
        <f>FME_Ranking1[[#This Row],[Miles Score (Normalized, Unweighted)]]*$AA$3</f>
        <v>5.2294771095375919E-2</v>
      </c>
      <c r="AD353" s="255">
        <f>_xlfn.XLOOKUP(FME_Ranking1[[#This Row],[FME ID]],FME_Input[FME_ID],FME_Input[FARMACRE100])</f>
        <v>1122.3876953125</v>
      </c>
      <c r="AE353" s="230">
        <f>(FME_Ranking1[[#This Row],[Ag Land Raw]]/$AD$2)*100</f>
        <v>4.6282244182028448E-2</v>
      </c>
      <c r="AF353" s="231">
        <f>FME_Ranking1[[#This Row],[Ag Land Score (Normalized, Unweighted)]]*$AD$3</f>
        <v>2.3141122091014225E-3</v>
      </c>
      <c r="AG35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0.6170302000027782</v>
      </c>
      <c r="AH353" s="406">
        <f t="shared" si="5"/>
        <v>386</v>
      </c>
      <c r="AI35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0.6170302000027782</v>
      </c>
      <c r="AJ353" s="257">
        <f>FME_Ranking1[[#This Row],[Addition check]]-FME_Ranking1[[#This Row],[Weighted Score Based on Normalized Reported Factors]]</f>
        <v>0</v>
      </c>
      <c r="AK353" s="178">
        <f>_xlfn.RANK.EQ(AI353,$AI$6:$AI$2341,0)+COUNTIF($AI$6:AI353,AI353)-1</f>
        <v>387</v>
      </c>
    </row>
    <row r="354" spans="1:37" ht="12" customHeight="1" x14ac:dyDescent="0.25">
      <c r="A354" t="s">
        <v>2105</v>
      </c>
      <c r="B354">
        <f>_xlfn.XLOOKUP(FME_Ranking1[[#This Row],[FME ID]],FME_Input[FME_ID],FME_Input[RFPG_NUM])</f>
        <v>6</v>
      </c>
      <c r="C354" t="str">
        <f>_xlfn.XLOOKUP(FME_Ranking1[[#This Row],[FME ID]],FME_Input[FME_ID],FME_Input[FME_NAME])</f>
        <v>Luce Bayou (Z100-00-00-P026) Upstream Detention</v>
      </c>
      <c r="D354" t="str">
        <f>_xlfn.XLOOKUP(FME_Ranking1[[#This Row],[FME ID]],FME_Input[FME_ID],FME_Input[DESCR])</f>
        <v>Study to develop a Benefit Cost Analysis needed for this project to become a FMP. Construction of regional detention upstream of Luce Bayou, including acquiring open land north of Harris County.</v>
      </c>
      <c r="E354" s="256">
        <f>_xlfn.XLOOKUP(FME_Ranking1[[#This Row],[FME ID]],FME_Input[FME_ID],FME_Input[FME_COST])</f>
        <v>30000</v>
      </c>
      <c r="F354" t="str">
        <f>_xlfn.XLOOKUP(FME_Ranking1[[#This Row],[FME ID]],FME_Input[FME_ID],FME_Input[EMER_NEED])</f>
        <v>No</v>
      </c>
      <c r="G354">
        <f>IF(FME_Ranking!F354="Yes",100,0)</f>
        <v>0</v>
      </c>
      <c r="H354">
        <f>FME_Ranking1[[#This Row],[Emergency Need Score (Normalized, Unweighted)]]*$F$3</f>
        <v>0</v>
      </c>
      <c r="I354" s="246">
        <f>_xlfn.XLOOKUP(FME_Ranking1[[#This Row],[FME ID]],FME_Input[FME_ID],FME_Input[STRUCT_100])</f>
        <v>1939</v>
      </c>
      <c r="J354" s="178">
        <f>(FME_Ranking1[[#This Row],[Structures 100 Raw]]/I$2)*100</f>
        <v>1.0383198389238744</v>
      </c>
      <c r="K354" s="178">
        <f>FME_Ranking1[[#This Row],[Structures 100  Score (Normalized, Unweighted)]]*$I$3</f>
        <v>0.15574797583858116</v>
      </c>
      <c r="L354" s="246">
        <f>_xlfn.XLOOKUP(FME_Ranking1[[#This Row],[FME ID]],FME_Input[FME_ID],FME_Input[RES_STRUCT100])</f>
        <v>1465</v>
      </c>
      <c r="M354" s="230">
        <f>(FME_Ranking1[[#This Row],[Res Structures Raw]]/L$2)*100</f>
        <v>1.0376676913487555</v>
      </c>
      <c r="N354" s="180">
        <f>FME_Ranking1[[#This Row],[Res Structures Score (Normalized, Unweighted)]]*$L$3</f>
        <v>0.10376676913487555</v>
      </c>
      <c r="O354" s="244">
        <f>_xlfn.XLOOKUP(FME_Ranking1[[#This Row],[FME ID]],FME_Input[FME_ID],FME_Input[POP100])</f>
        <v>5763</v>
      </c>
      <c r="P354" s="178">
        <f>(FME_Ranking1[[#This Row],[Pop Raw]]/$O$2)*100</f>
        <v>0.58998892299124273</v>
      </c>
      <c r="Q354" s="178">
        <f>FME_Ranking1[[#This Row],[Pop Score (Normalized, Unweighted)]]*$O$3</f>
        <v>8.8498338448686403E-2</v>
      </c>
      <c r="R354" s="137">
        <f>_xlfn.XLOOKUP(FME_Ranking1[[#This Row],[FME ID]],FME_Input[FME_ID],FME_Input[CRITFAC100])</f>
        <v>25</v>
      </c>
      <c r="S354" s="230">
        <f>(FME_Ranking1[[#This Row],[Critical Facilities Raw]]/$R$2)*100</f>
        <v>1.0720411663807889</v>
      </c>
      <c r="T354" s="180">
        <f>FME_Ranking1[[#This Row],[Critical Facilities Score (Normalized, Unweighted)]]*$R$3</f>
        <v>0.21440823327615779</v>
      </c>
      <c r="U354">
        <f>_xlfn.XLOOKUP(FME_Ranking1[[#This Row],[FME ID]],FME_Input[FME_ID],FME_Input[LWC])</f>
        <v>0</v>
      </c>
      <c r="V354" s="178">
        <f>(FME_Ranking1[[#This Row],[LWC Raw]]/$U$2)*100</f>
        <v>0</v>
      </c>
      <c r="W354" s="178">
        <f>FME_Ranking1[[#This Row],[LWC Score (Normalized, Unweighted)]]*$U$3</f>
        <v>0</v>
      </c>
      <c r="X354" s="246">
        <f>_xlfn.XLOOKUP(FME_Ranking1[[#This Row],[FME ID]],FME_Input[FME_ID],FME_Input[ROADCLS])</f>
        <v>0</v>
      </c>
      <c r="Y354" s="230">
        <f>(FME_Ranking1[[#This Row],[Closures Raw]]/$X$2)*100</f>
        <v>0</v>
      </c>
      <c r="Z354" s="180">
        <f>FME_Ranking1[[#This Row],[Closures Score (Normalized, Unweighted)]]*$X$3</f>
        <v>0</v>
      </c>
      <c r="AA354" s="253">
        <f>_xlfn.XLOOKUP(FME_Ranking1[[#This Row],[FME ID]],FME_Input[FME_ID],FME_Input[ROAD_MILES100])</f>
        <v>39.773311614990227</v>
      </c>
      <c r="AB354" s="178">
        <f>(FME_Ranking1[[#This Row],[Miles Raw]]/$AA$2)*100</f>
        <v>0.52294771095375914</v>
      </c>
      <c r="AC354" s="178">
        <f>FME_Ranking1[[#This Row],[Miles Score (Normalized, Unweighted)]]*$AA$3</f>
        <v>5.2294771095375919E-2</v>
      </c>
      <c r="AD354" s="255">
        <f>_xlfn.XLOOKUP(FME_Ranking1[[#This Row],[FME ID]],FME_Input[FME_ID],FME_Input[FARMACRE100])</f>
        <v>1122.3876953125</v>
      </c>
      <c r="AE354" s="230">
        <f>(FME_Ranking1[[#This Row],[Ag Land Raw]]/$AD$2)*100</f>
        <v>4.6282244182028448E-2</v>
      </c>
      <c r="AF354" s="231">
        <f>FME_Ranking1[[#This Row],[Ag Land Score (Normalized, Unweighted)]]*$AD$3</f>
        <v>2.3141122091014225E-3</v>
      </c>
      <c r="AG35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0.6170302000027782</v>
      </c>
      <c r="AH354" s="406">
        <f t="shared" si="5"/>
        <v>386</v>
      </c>
      <c r="AI35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0.6170302000027782</v>
      </c>
      <c r="AJ354" s="257">
        <f>FME_Ranking1[[#This Row],[Addition check]]-FME_Ranking1[[#This Row],[Weighted Score Based on Normalized Reported Factors]]</f>
        <v>0</v>
      </c>
      <c r="AK354" s="178">
        <f>_xlfn.RANK.EQ(AI354,$AI$6:$AI$2341,0)+COUNTIF($AI$6:AI354,AI354)-1</f>
        <v>388</v>
      </c>
    </row>
    <row r="355" spans="1:37" ht="12" customHeight="1" x14ac:dyDescent="0.25">
      <c r="A355" t="s">
        <v>1319</v>
      </c>
      <c r="B355">
        <f>_xlfn.XLOOKUP(FME_Ranking1[[#This Row],[FME ID]],FME_Input[FME_ID],FME_Input[RFPG_NUM])</f>
        <v>6</v>
      </c>
      <c r="C355" t="str">
        <f>_xlfn.XLOOKUP(FME_Ranking1[[#This Row],[FME ID]],FME_Input[FME_ID],FME_Input[FME_NAME])</f>
        <v>San Jacinto Watershed and Tributary Barrier and Flood Mitigation - East County Project</v>
      </c>
      <c r="D355" t="str">
        <f>_xlfn.XLOOKUP(FME_Ranking1[[#This Row],[FME ID]],FME_Input[FME_ID],FME_Input[DESCR])</f>
        <v xml:space="preserve">Planning, H&amp;H studies, design, environmental review, and barrier removal for the 98.6 miles of the San Jacinto Watershed and Tributary Barrier and Flood Mitigation-East County project area. </v>
      </c>
      <c r="E355" s="256">
        <f>_xlfn.XLOOKUP(FME_Ranking1[[#This Row],[FME ID]],FME_Input[FME_ID],FME_Input[FME_COST])</f>
        <v>1160000</v>
      </c>
      <c r="F355" t="str">
        <f>_xlfn.XLOOKUP(FME_Ranking1[[#This Row],[FME ID]],FME_Input[FME_ID],FME_Input[EMER_NEED])</f>
        <v>No</v>
      </c>
      <c r="G355">
        <f>IF(FME_Ranking!F355="Yes",100,0)</f>
        <v>0</v>
      </c>
      <c r="H355">
        <f>FME_Ranking1[[#This Row],[Emergency Need Score (Normalized, Unweighted)]]*$F$3</f>
        <v>0</v>
      </c>
      <c r="I355" s="246">
        <f>_xlfn.XLOOKUP(FME_Ranking1[[#This Row],[FME ID]],FME_Input[FME_ID],FME_Input[STRUCT_100])</f>
        <v>3499</v>
      </c>
      <c r="J355" s="178">
        <f>(FME_Ranking1[[#This Row],[Structures 100 Raw]]/I$2)*100</f>
        <v>1.8736880435248255</v>
      </c>
      <c r="K355" s="178">
        <f>FME_Ranking1[[#This Row],[Structures 100  Score (Normalized, Unweighted)]]*$I$3</f>
        <v>0.28105320652872384</v>
      </c>
      <c r="L355" s="246">
        <f>_xlfn.XLOOKUP(FME_Ranking1[[#This Row],[FME ID]],FME_Input[FME_ID],FME_Input[RES_STRUCT100])</f>
        <v>2371</v>
      </c>
      <c r="M355" s="230">
        <f>(FME_Ranking1[[#This Row],[Res Structures Raw]]/L$2)*100</f>
        <v>1.679392557124846</v>
      </c>
      <c r="N355" s="180">
        <f>FME_Ranking1[[#This Row],[Res Structures Score (Normalized, Unweighted)]]*$L$3</f>
        <v>0.16793925571248461</v>
      </c>
      <c r="O355" s="244">
        <f>_xlfn.XLOOKUP(FME_Ranking1[[#This Row],[FME ID]],FME_Input[FME_ID],FME_Input[POP100])</f>
        <v>4867</v>
      </c>
      <c r="P355" s="178">
        <f>(FME_Ranking1[[#This Row],[Pop Raw]]/$O$2)*100</f>
        <v>0.49826064344931087</v>
      </c>
      <c r="Q355" s="178">
        <f>FME_Ranking1[[#This Row],[Pop Score (Normalized, Unweighted)]]*$O$3</f>
        <v>7.473909651739663E-2</v>
      </c>
      <c r="R355" s="137">
        <f>_xlfn.XLOOKUP(FME_Ranking1[[#This Row],[FME ID]],FME_Input[FME_ID],FME_Input[CRITFAC100])</f>
        <v>3</v>
      </c>
      <c r="S355" s="230">
        <f>(FME_Ranking1[[#This Row],[Critical Facilities Raw]]/$R$2)*100</f>
        <v>0.1286449399656947</v>
      </c>
      <c r="T355" s="180">
        <f>FME_Ranking1[[#This Row],[Critical Facilities Score (Normalized, Unweighted)]]*$R$3</f>
        <v>2.5728987993138941E-2</v>
      </c>
      <c r="U355">
        <f>_xlfn.XLOOKUP(FME_Ranking1[[#This Row],[FME ID]],FME_Input[FME_ID],FME_Input[LWC])</f>
        <v>1</v>
      </c>
      <c r="V355" s="178">
        <f>(FME_Ranking1[[#This Row],[LWC Raw]]/$U$2)*100</f>
        <v>5.7570523891767422E-2</v>
      </c>
      <c r="W355" s="178">
        <f>FME_Ranking1[[#This Row],[LWC Score (Normalized, Unweighted)]]*$U$3</f>
        <v>1.1514104778353485E-2</v>
      </c>
      <c r="X355" s="246">
        <f>_xlfn.XLOOKUP(FME_Ranking1[[#This Row],[FME ID]],FME_Input[FME_ID],FME_Input[ROADCLS])</f>
        <v>1</v>
      </c>
      <c r="Y355" s="230">
        <f>(FME_Ranking1[[#This Row],[Closures Raw]]/$X$2)*100</f>
        <v>1.0514141520344864E-2</v>
      </c>
      <c r="Z355" s="180">
        <f>FME_Ranking1[[#This Row],[Closures Score (Normalized, Unweighted)]]*$X$3</f>
        <v>5.2570707601724321E-4</v>
      </c>
      <c r="AA355" s="253">
        <f>_xlfn.XLOOKUP(FME_Ranking1[[#This Row],[FME ID]],FME_Input[FME_ID],FME_Input[ROAD_MILES100])</f>
        <v>101.79066467285161</v>
      </c>
      <c r="AB355" s="178">
        <f>(FME_Ranking1[[#This Row],[Miles Raw]]/$AA$2)*100</f>
        <v>1.3383646703199596</v>
      </c>
      <c r="AC355" s="178">
        <f>FME_Ranking1[[#This Row],[Miles Score (Normalized, Unweighted)]]*$AA$3</f>
        <v>0.13383646703199598</v>
      </c>
      <c r="AD355" s="255">
        <f>_xlfn.XLOOKUP(FME_Ranking1[[#This Row],[FME ID]],FME_Input[FME_ID],FME_Input[FARMACRE100])</f>
        <v>70.631149291992188</v>
      </c>
      <c r="AE355" s="230">
        <f>(FME_Ranking1[[#This Row],[Ag Land Raw]]/$AD$2)*100</f>
        <v>2.9125124162013624E-3</v>
      </c>
      <c r="AF355" s="231">
        <f>FME_Ranking1[[#This Row],[Ag Land Score (Normalized, Unweighted)]]*$AD$3</f>
        <v>1.4562562081006812E-4</v>
      </c>
      <c r="AG35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0.69548245125892083</v>
      </c>
      <c r="AH355" s="406">
        <f t="shared" si="5"/>
        <v>354</v>
      </c>
      <c r="AI35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0.69548245125892083</v>
      </c>
      <c r="AJ355" s="257">
        <f>FME_Ranking1[[#This Row],[Addition check]]-FME_Ranking1[[#This Row],[Weighted Score Based on Normalized Reported Factors]]</f>
        <v>0</v>
      </c>
      <c r="AK355" s="178">
        <f>_xlfn.RANK.EQ(AI355,$AI$6:$AI$2341,0)+COUNTIF($AI$6:AI355,AI355)-1</f>
        <v>354</v>
      </c>
    </row>
    <row r="356" spans="1:37" ht="12" customHeight="1" x14ac:dyDescent="0.25">
      <c r="A356" t="s">
        <v>9012</v>
      </c>
      <c r="B356">
        <f>_xlfn.XLOOKUP(FME_Ranking1[[#This Row],[FME ID]],FME_Input[FME_ID],FME_Input[RFPG_NUM])</f>
        <v>11</v>
      </c>
      <c r="C356" t="str">
        <f>_xlfn.XLOOKUP(FME_Ranking1[[#This Row],[FME ID]],FME_Input[FME_ID],FME_Input[FME_NAME])</f>
        <v>Hays County Southeastern  Property Acquisition Project Planning</v>
      </c>
      <c r="D356" t="str">
        <f>_xlfn.XLOOKUP(FME_Ranking1[[#This Row],[FME ID]],FME_Input[FME_ID],FME_Input[DESCR])</f>
        <v xml:space="preserve">Project planning for property acquisition project to mitigate repetitive loss flooding where drainage projects were analyzed and deemed ineffective for cost/ benefit reasons in southeastern Hays County. </v>
      </c>
      <c r="E356" s="256">
        <f>_xlfn.XLOOKUP(FME_Ranking1[[#This Row],[FME ID]],FME_Input[FME_ID],FME_Input[FME_COST])</f>
        <v>800000</v>
      </c>
      <c r="F356" t="str">
        <f>_xlfn.XLOOKUP(FME_Ranking1[[#This Row],[FME ID]],FME_Input[FME_ID],FME_Input[EMER_NEED])</f>
        <v>No</v>
      </c>
      <c r="G356">
        <f>IF(FME_Ranking!F356="Yes",100,0)</f>
        <v>0</v>
      </c>
      <c r="H356">
        <f>FME_Ranking1[[#This Row],[Emergency Need Score (Normalized, Unweighted)]]*$F$3</f>
        <v>0</v>
      </c>
      <c r="I356" s="246">
        <f>_xlfn.XLOOKUP(FME_Ranking1[[#This Row],[FME ID]],FME_Input[FME_ID],FME_Input[STRUCT_100])</f>
        <v>1420</v>
      </c>
      <c r="J356" s="178">
        <f>(FME_Ranking1[[#This Row],[Structures 100 Raw]]/I$2)*100</f>
        <v>0.76039926316240414</v>
      </c>
      <c r="K356" s="178">
        <f>FME_Ranking1[[#This Row],[Structures 100  Score (Normalized, Unweighted)]]*$I$3</f>
        <v>0.11405988947436062</v>
      </c>
      <c r="L356" s="246">
        <f>_xlfn.XLOOKUP(FME_Ranking1[[#This Row],[FME ID]],FME_Input[FME_ID],FME_Input[RES_STRUCT100])</f>
        <v>1067</v>
      </c>
      <c r="M356" s="230">
        <f>(FME_Ranking1[[#This Row],[Res Structures Raw]]/L$2)*100</f>
        <v>0.75576206598574891</v>
      </c>
      <c r="N356" s="180">
        <f>FME_Ranking1[[#This Row],[Res Structures Score (Normalized, Unweighted)]]*$L$3</f>
        <v>7.5576206598574891E-2</v>
      </c>
      <c r="O356" s="244">
        <f>_xlfn.XLOOKUP(FME_Ranking1[[#This Row],[FME ID]],FME_Input[FME_ID],FME_Input[POP100])</f>
        <v>6688</v>
      </c>
      <c r="P356" s="178">
        <f>(FME_Ranking1[[#This Row],[Pop Raw]]/$O$2)*100</f>
        <v>0.68468608658084884</v>
      </c>
      <c r="Q356" s="178">
        <f>FME_Ranking1[[#This Row],[Pop Score (Normalized, Unweighted)]]*$O$3</f>
        <v>0.10270291298712732</v>
      </c>
      <c r="R356" s="137">
        <f>_xlfn.XLOOKUP(FME_Ranking1[[#This Row],[FME ID]],FME_Input[FME_ID],FME_Input[CRITFAC100])</f>
        <v>12</v>
      </c>
      <c r="S356" s="230">
        <f>(FME_Ranking1[[#This Row],[Critical Facilities Raw]]/$R$2)*100</f>
        <v>0.51457975986277882</v>
      </c>
      <c r="T356" s="180">
        <f>FME_Ranking1[[#This Row],[Critical Facilities Score (Normalized, Unweighted)]]*$R$3</f>
        <v>0.10291595197255576</v>
      </c>
      <c r="U356">
        <f>_xlfn.XLOOKUP(FME_Ranking1[[#This Row],[FME ID]],FME_Input[FME_ID],FME_Input[LWC])</f>
        <v>14</v>
      </c>
      <c r="V356" s="178">
        <f>(FME_Ranking1[[#This Row],[LWC Raw]]/$U$2)*100</f>
        <v>0.80598733448474369</v>
      </c>
      <c r="W356" s="178">
        <f>FME_Ranking1[[#This Row],[LWC Score (Normalized, Unweighted)]]*$U$3</f>
        <v>0.16119746689694875</v>
      </c>
      <c r="X356" s="246">
        <f>_xlfn.XLOOKUP(FME_Ranking1[[#This Row],[FME ID]],FME_Input[FME_ID],FME_Input[ROADCLS])</f>
        <v>0</v>
      </c>
      <c r="Y356" s="230">
        <f>(FME_Ranking1[[#This Row],[Closures Raw]]/$X$2)*100</f>
        <v>0</v>
      </c>
      <c r="Z356" s="180">
        <f>FME_Ranking1[[#This Row],[Closures Score (Normalized, Unweighted)]]*$X$3</f>
        <v>0</v>
      </c>
      <c r="AA356" s="253">
        <f>_xlfn.XLOOKUP(FME_Ranking1[[#This Row],[FME ID]],FME_Input[FME_ID],FME_Input[ROAD_MILES100])</f>
        <v>25.083623886108398</v>
      </c>
      <c r="AB356" s="178">
        <f>(FME_Ranking1[[#This Row],[Miles Raw]]/$AA$2)*100</f>
        <v>0.32980466451080165</v>
      </c>
      <c r="AC356" s="178">
        <f>FME_Ranking1[[#This Row],[Miles Score (Normalized, Unweighted)]]*$AA$3</f>
        <v>3.2980466451080166E-2</v>
      </c>
      <c r="AD356" s="255">
        <f>_xlfn.XLOOKUP(FME_Ranking1[[#This Row],[FME ID]],FME_Input[FME_ID],FME_Input[FARMACRE100])</f>
        <v>1058.007446289062</v>
      </c>
      <c r="AE356" s="230">
        <f>(FME_Ranking1[[#This Row],[Ag Land Raw]]/$AD$2)*100</f>
        <v>4.3627490910724147E-2</v>
      </c>
      <c r="AF356" s="231">
        <f>FME_Ranking1[[#This Row],[Ag Land Score (Normalized, Unweighted)]]*$AD$3</f>
        <v>2.1813745455362076E-3</v>
      </c>
      <c r="AG35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0.59161426892618374</v>
      </c>
      <c r="AH356" s="406">
        <f t="shared" si="5"/>
        <v>396</v>
      </c>
      <c r="AI35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0.59161426892618374</v>
      </c>
      <c r="AJ356" s="257">
        <f>FME_Ranking1[[#This Row],[Addition check]]-FME_Ranking1[[#This Row],[Weighted Score Based on Normalized Reported Factors]]</f>
        <v>0</v>
      </c>
      <c r="AK356" s="178">
        <f>_xlfn.RANK.EQ(AI356,$AI$6:$AI$2341,0)+COUNTIF($AI$6:AI356,AI356)-1</f>
        <v>396</v>
      </c>
    </row>
    <row r="357" spans="1:37" ht="12" customHeight="1" x14ac:dyDescent="0.25">
      <c r="A357" t="s">
        <v>3120</v>
      </c>
      <c r="B357">
        <f>_xlfn.XLOOKUP(FME_Ranking1[[#This Row],[FME ID]],FME_Input[FME_ID],FME_Input[RFPG_NUM])</f>
        <v>1</v>
      </c>
      <c r="C357" t="str">
        <f>_xlfn.XLOOKUP(FME_Ranking1[[#This Row],[FME ID]],FME_Input[FME_ID],FME_Input[FME_NAME])</f>
        <v>Amarillo City Drainage Master Plan</v>
      </c>
      <c r="D357" t="str">
        <f>_xlfn.XLOOKUP(FME_Ranking1[[#This Row],[FME ID]],FME_Input[FME_ID],FME_Input[DESCR])</f>
        <v>Perform H&amp;H modeling, develop conceptual alternatives and OPCC, and rank projects. Update existing drainage mater plan.</v>
      </c>
      <c r="E357" s="256">
        <f>_xlfn.XLOOKUP(FME_Ranking1[[#This Row],[FME ID]],FME_Input[FME_ID],FME_Input[FME_COST])</f>
        <v>1000000</v>
      </c>
      <c r="F357" t="str">
        <f>_xlfn.XLOOKUP(FME_Ranking1[[#This Row],[FME ID]],FME_Input[FME_ID],FME_Input[EMER_NEED])</f>
        <v>No</v>
      </c>
      <c r="G357">
        <f>IF(FME_Ranking!F357="Yes",100,0)</f>
        <v>0</v>
      </c>
      <c r="H357">
        <f>FME_Ranking1[[#This Row],[Emergency Need Score (Normalized, Unweighted)]]*$F$3</f>
        <v>0</v>
      </c>
      <c r="I357" s="246">
        <f>_xlfn.XLOOKUP(FME_Ranking1[[#This Row],[FME ID]],FME_Input[FME_ID],FME_Input[STRUCT_100])</f>
        <v>1703</v>
      </c>
      <c r="J357" s="178">
        <f>(FME_Ranking1[[#This Row],[Structures 100 Raw]]/I$2)*100</f>
        <v>0.91194362335603829</v>
      </c>
      <c r="K357" s="178">
        <f>FME_Ranking1[[#This Row],[Structures 100  Score (Normalized, Unweighted)]]*$I$3</f>
        <v>0.13679154350340575</v>
      </c>
      <c r="L357" s="246">
        <f>_xlfn.XLOOKUP(FME_Ranking1[[#This Row],[FME ID]],FME_Input[FME_ID],FME_Input[RES_STRUCT100])</f>
        <v>1382</v>
      </c>
      <c r="M357" s="230">
        <f>(FME_Ranking1[[#This Row],[Res Structures Raw]]/L$2)*100</f>
        <v>0.97887832726551538</v>
      </c>
      <c r="N357" s="180">
        <f>FME_Ranking1[[#This Row],[Res Structures Score (Normalized, Unweighted)]]*$L$3</f>
        <v>9.7887832726551549E-2</v>
      </c>
      <c r="O357" s="244">
        <f>_xlfn.XLOOKUP(FME_Ranking1[[#This Row],[FME ID]],FME_Input[FME_ID],FME_Input[POP100])</f>
        <v>12344</v>
      </c>
      <c r="P357" s="178">
        <f>(FME_Ranking1[[#This Row],[Pop Raw]]/$O$2)*100</f>
        <v>1.2637208511892939</v>
      </c>
      <c r="Q357" s="178">
        <f>FME_Ranking1[[#This Row],[Pop Score (Normalized, Unweighted)]]*$O$3</f>
        <v>0.18955812767839408</v>
      </c>
      <c r="R357" s="137">
        <f>_xlfn.XLOOKUP(FME_Ranking1[[#This Row],[FME ID]],FME_Input[FME_ID],FME_Input[CRITFAC100])</f>
        <v>7</v>
      </c>
      <c r="S357" s="230">
        <f>(FME_Ranking1[[#This Row],[Critical Facilities Raw]]/$R$2)*100</f>
        <v>0.30017152658662088</v>
      </c>
      <c r="T357" s="180">
        <f>FME_Ranking1[[#This Row],[Critical Facilities Score (Normalized, Unweighted)]]*$R$3</f>
        <v>6.0034305317324177E-2</v>
      </c>
      <c r="U357">
        <f>_xlfn.XLOOKUP(FME_Ranking1[[#This Row],[FME ID]],FME_Input[FME_ID],FME_Input[LWC])</f>
        <v>6</v>
      </c>
      <c r="V357" s="178">
        <f>(FME_Ranking1[[#This Row],[LWC Raw]]/$U$2)*100</f>
        <v>0.34542314335060448</v>
      </c>
      <c r="W357" s="178">
        <f>FME_Ranking1[[#This Row],[LWC Score (Normalized, Unweighted)]]*$U$3</f>
        <v>6.9084628670120898E-2</v>
      </c>
      <c r="X357" s="246">
        <f>_xlfn.XLOOKUP(FME_Ranking1[[#This Row],[FME ID]],FME_Input[FME_ID],FME_Input[ROADCLS])</f>
        <v>6</v>
      </c>
      <c r="Y357" s="230">
        <f>(FME_Ranking1[[#This Row],[Closures Raw]]/$X$2)*100</f>
        <v>6.3084849122069186E-2</v>
      </c>
      <c r="Z357" s="180">
        <f>FME_Ranking1[[#This Row],[Closures Score (Normalized, Unweighted)]]*$X$3</f>
        <v>3.1542424561034595E-3</v>
      </c>
      <c r="AA357" s="253">
        <f>_xlfn.XLOOKUP(FME_Ranking1[[#This Row],[FME ID]],FME_Input[FME_ID],FME_Input[ROAD_MILES100])</f>
        <v>102.8803329467773</v>
      </c>
      <c r="AB357" s="178">
        <f>(FME_Ranking1[[#This Row],[Miles Raw]]/$AA$2)*100</f>
        <v>1.3526918537102814</v>
      </c>
      <c r="AC357" s="178">
        <f>FME_Ranking1[[#This Row],[Miles Score (Normalized, Unweighted)]]*$AA$3</f>
        <v>0.13526918537102814</v>
      </c>
      <c r="AD357" s="255">
        <f>_xlfn.XLOOKUP(FME_Ranking1[[#This Row],[FME ID]],FME_Input[FME_ID],FME_Input[FARMACRE100])</f>
        <v>212.75544738769531</v>
      </c>
      <c r="AE357" s="230">
        <f>(FME_Ranking1[[#This Row],[Ag Land Raw]]/$AD$2)*100</f>
        <v>8.7730822497233737E-3</v>
      </c>
      <c r="AF357" s="231">
        <f>FME_Ranking1[[#This Row],[Ag Land Score (Normalized, Unweighted)]]*$AD$3</f>
        <v>4.3865411248616873E-4</v>
      </c>
      <c r="AG35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0.69221851983541416</v>
      </c>
      <c r="AH357" s="406">
        <f t="shared" si="5"/>
        <v>356</v>
      </c>
      <c r="AI35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0.69221851983541416</v>
      </c>
      <c r="AJ357" s="257">
        <f>FME_Ranking1[[#This Row],[Addition check]]-FME_Ranking1[[#This Row],[Weighted Score Based on Normalized Reported Factors]]</f>
        <v>0</v>
      </c>
      <c r="AK357" s="178">
        <f>_xlfn.RANK.EQ(AI357,$AI$6:$AI$2341,0)+COUNTIF($AI$6:AI357,AI357)-1</f>
        <v>356</v>
      </c>
    </row>
    <row r="358" spans="1:37" ht="12" customHeight="1" x14ac:dyDescent="0.25">
      <c r="A358" t="s">
        <v>3413</v>
      </c>
      <c r="B358">
        <f>_xlfn.XLOOKUP(FME_Ranking1[[#This Row],[FME ID]],FME_Input[FME_ID],FME_Input[RFPG_NUM])</f>
        <v>1</v>
      </c>
      <c r="C358" t="str">
        <f>_xlfn.XLOOKUP(FME_Ranking1[[#This Row],[FME ID]],FME_Input[FME_ID],FME_Input[FME_NAME])</f>
        <v>Pump Station Rehab (City of Amarillo)</v>
      </c>
      <c r="D358" t="str">
        <f>_xlfn.XLOOKUP(FME_Ranking1[[#This Row],[FME ID]],FME_Input[FME_ID],FME_Input[DESCR])</f>
        <v>Evaluate six current pump stations to identify improvements; selected based on stakeholder feedback</v>
      </c>
      <c r="E358" s="256">
        <f>_xlfn.XLOOKUP(FME_Ranking1[[#This Row],[FME ID]],FME_Input[FME_ID],FME_Input[FME_COST])</f>
        <v>125000</v>
      </c>
      <c r="F358" t="str">
        <f>_xlfn.XLOOKUP(FME_Ranking1[[#This Row],[FME ID]],FME_Input[FME_ID],FME_Input[EMER_NEED])</f>
        <v>No</v>
      </c>
      <c r="G358">
        <f>IF(FME_Ranking!F358="Yes",100,0)</f>
        <v>0</v>
      </c>
      <c r="H358">
        <f>FME_Ranking1[[#This Row],[Emergency Need Score (Normalized, Unweighted)]]*$F$3</f>
        <v>0</v>
      </c>
      <c r="I358" s="246">
        <f>_xlfn.XLOOKUP(FME_Ranking1[[#This Row],[FME ID]],FME_Input[FME_ID],FME_Input[STRUCT_100])</f>
        <v>1703</v>
      </c>
      <c r="J358" s="178">
        <f>(FME_Ranking1[[#This Row],[Structures 100 Raw]]/I$2)*100</f>
        <v>0.91194362335603829</v>
      </c>
      <c r="K358" s="178">
        <f>FME_Ranking1[[#This Row],[Structures 100  Score (Normalized, Unweighted)]]*$I$3</f>
        <v>0.13679154350340575</v>
      </c>
      <c r="L358" s="246">
        <f>_xlfn.XLOOKUP(FME_Ranking1[[#This Row],[FME ID]],FME_Input[FME_ID],FME_Input[RES_STRUCT100])</f>
        <v>1382</v>
      </c>
      <c r="M358" s="230">
        <f>(FME_Ranking1[[#This Row],[Res Structures Raw]]/L$2)*100</f>
        <v>0.97887832726551538</v>
      </c>
      <c r="N358" s="180">
        <f>FME_Ranking1[[#This Row],[Res Structures Score (Normalized, Unweighted)]]*$L$3</f>
        <v>9.7887832726551549E-2</v>
      </c>
      <c r="O358" s="244">
        <f>_xlfn.XLOOKUP(FME_Ranking1[[#This Row],[FME ID]],FME_Input[FME_ID],FME_Input[POP100])</f>
        <v>12344</v>
      </c>
      <c r="P358" s="178">
        <f>(FME_Ranking1[[#This Row],[Pop Raw]]/$O$2)*100</f>
        <v>1.2637208511892939</v>
      </c>
      <c r="Q358" s="178">
        <f>FME_Ranking1[[#This Row],[Pop Score (Normalized, Unweighted)]]*$O$3</f>
        <v>0.18955812767839408</v>
      </c>
      <c r="R358" s="137">
        <f>_xlfn.XLOOKUP(FME_Ranking1[[#This Row],[FME ID]],FME_Input[FME_ID],FME_Input[CRITFAC100])</f>
        <v>7</v>
      </c>
      <c r="S358" s="230">
        <f>(FME_Ranking1[[#This Row],[Critical Facilities Raw]]/$R$2)*100</f>
        <v>0.30017152658662088</v>
      </c>
      <c r="T358" s="180">
        <f>FME_Ranking1[[#This Row],[Critical Facilities Score (Normalized, Unweighted)]]*$R$3</f>
        <v>6.0034305317324177E-2</v>
      </c>
      <c r="U358">
        <f>_xlfn.XLOOKUP(FME_Ranking1[[#This Row],[FME ID]],FME_Input[FME_ID],FME_Input[LWC])</f>
        <v>6</v>
      </c>
      <c r="V358" s="178">
        <f>(FME_Ranking1[[#This Row],[LWC Raw]]/$U$2)*100</f>
        <v>0.34542314335060448</v>
      </c>
      <c r="W358" s="178">
        <f>FME_Ranking1[[#This Row],[LWC Score (Normalized, Unweighted)]]*$U$3</f>
        <v>6.9084628670120898E-2</v>
      </c>
      <c r="X358" s="246">
        <f>_xlfn.XLOOKUP(FME_Ranking1[[#This Row],[FME ID]],FME_Input[FME_ID],FME_Input[ROADCLS])</f>
        <v>6</v>
      </c>
      <c r="Y358" s="230">
        <f>(FME_Ranking1[[#This Row],[Closures Raw]]/$X$2)*100</f>
        <v>6.3084849122069186E-2</v>
      </c>
      <c r="Z358" s="180">
        <f>FME_Ranking1[[#This Row],[Closures Score (Normalized, Unweighted)]]*$X$3</f>
        <v>3.1542424561034595E-3</v>
      </c>
      <c r="AA358" s="253">
        <f>_xlfn.XLOOKUP(FME_Ranking1[[#This Row],[FME ID]],FME_Input[FME_ID],FME_Input[ROAD_MILES100])</f>
        <v>102.8803329467773</v>
      </c>
      <c r="AB358" s="178">
        <f>(FME_Ranking1[[#This Row],[Miles Raw]]/$AA$2)*100</f>
        <v>1.3526918537102814</v>
      </c>
      <c r="AC358" s="178">
        <f>FME_Ranking1[[#This Row],[Miles Score (Normalized, Unweighted)]]*$AA$3</f>
        <v>0.13526918537102814</v>
      </c>
      <c r="AD358" s="255">
        <f>_xlfn.XLOOKUP(FME_Ranking1[[#This Row],[FME ID]],FME_Input[FME_ID],FME_Input[FARMACRE100])</f>
        <v>212.75544738769531</v>
      </c>
      <c r="AE358" s="230">
        <f>(FME_Ranking1[[#This Row],[Ag Land Raw]]/$AD$2)*100</f>
        <v>8.7730822497233737E-3</v>
      </c>
      <c r="AF358" s="231">
        <f>FME_Ranking1[[#This Row],[Ag Land Score (Normalized, Unweighted)]]*$AD$3</f>
        <v>4.3865411248616873E-4</v>
      </c>
      <c r="AG35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0.69221851983541416</v>
      </c>
      <c r="AH358" s="406">
        <f t="shared" si="5"/>
        <v>356</v>
      </c>
      <c r="AI35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0.69221851983541416</v>
      </c>
      <c r="AJ358" s="257">
        <f>FME_Ranking1[[#This Row],[Addition check]]-FME_Ranking1[[#This Row],[Weighted Score Based on Normalized Reported Factors]]</f>
        <v>0</v>
      </c>
      <c r="AK358" s="178">
        <f>_xlfn.RANK.EQ(AI358,$AI$6:$AI$2341,0)+COUNTIF($AI$6:AI358,AI358)-1</f>
        <v>357</v>
      </c>
    </row>
    <row r="359" spans="1:37" ht="12" customHeight="1" x14ac:dyDescent="0.25">
      <c r="A359" t="s">
        <v>3416</v>
      </c>
      <c r="B359">
        <f>_xlfn.XLOOKUP(FME_Ranking1[[#This Row],[FME ID]],FME_Input[FME_ID],FME_Input[RFPG_NUM])</f>
        <v>1</v>
      </c>
      <c r="C359" t="str">
        <f>_xlfn.XLOOKUP(FME_Ranking1[[#This Row],[FME ID]],FME_Input[FME_ID],FME_Input[FME_NAME])</f>
        <v>Convert Playa ASAPP Models into ICPR (City of Amarillo)</v>
      </c>
      <c r="D359" t="str">
        <f>_xlfn.XLOOKUP(FME_Ranking1[[#This Row],[FME ID]],FME_Input[FME_ID],FME_Input[DESCR])</f>
        <v>Create Streamline Technologies ICPR Version 4 model of Amarillo Playas in order to more easily update and use models</v>
      </c>
      <c r="E359" s="256">
        <f>_xlfn.XLOOKUP(FME_Ranking1[[#This Row],[FME ID]],FME_Input[FME_ID],FME_Input[FME_COST])</f>
        <v>500000</v>
      </c>
      <c r="F359" t="str">
        <f>_xlfn.XLOOKUP(FME_Ranking1[[#This Row],[FME ID]],FME_Input[FME_ID],FME_Input[EMER_NEED])</f>
        <v>No</v>
      </c>
      <c r="G359">
        <f>IF(FME_Ranking!F359="Yes",100,0)</f>
        <v>0</v>
      </c>
      <c r="H359">
        <f>FME_Ranking1[[#This Row],[Emergency Need Score (Normalized, Unweighted)]]*$F$3</f>
        <v>0</v>
      </c>
      <c r="I359" s="246">
        <f>_xlfn.XLOOKUP(FME_Ranking1[[#This Row],[FME ID]],FME_Input[FME_ID],FME_Input[STRUCT_100])</f>
        <v>1703</v>
      </c>
      <c r="J359" s="178">
        <f>(FME_Ranking1[[#This Row],[Structures 100 Raw]]/I$2)*100</f>
        <v>0.91194362335603829</v>
      </c>
      <c r="K359" s="178">
        <f>FME_Ranking1[[#This Row],[Structures 100  Score (Normalized, Unweighted)]]*$I$3</f>
        <v>0.13679154350340575</v>
      </c>
      <c r="L359" s="246">
        <f>_xlfn.XLOOKUP(FME_Ranking1[[#This Row],[FME ID]],FME_Input[FME_ID],FME_Input[RES_STRUCT100])</f>
        <v>1382</v>
      </c>
      <c r="M359" s="230">
        <f>(FME_Ranking1[[#This Row],[Res Structures Raw]]/L$2)*100</f>
        <v>0.97887832726551538</v>
      </c>
      <c r="N359" s="180">
        <f>FME_Ranking1[[#This Row],[Res Structures Score (Normalized, Unweighted)]]*$L$3</f>
        <v>9.7887832726551549E-2</v>
      </c>
      <c r="O359" s="244">
        <f>_xlfn.XLOOKUP(FME_Ranking1[[#This Row],[FME ID]],FME_Input[FME_ID],FME_Input[POP100])</f>
        <v>12344</v>
      </c>
      <c r="P359" s="178">
        <f>(FME_Ranking1[[#This Row],[Pop Raw]]/$O$2)*100</f>
        <v>1.2637208511892939</v>
      </c>
      <c r="Q359" s="178">
        <f>FME_Ranking1[[#This Row],[Pop Score (Normalized, Unweighted)]]*$O$3</f>
        <v>0.18955812767839408</v>
      </c>
      <c r="R359" s="137">
        <f>_xlfn.XLOOKUP(FME_Ranking1[[#This Row],[FME ID]],FME_Input[FME_ID],FME_Input[CRITFAC100])</f>
        <v>7</v>
      </c>
      <c r="S359" s="230">
        <f>(FME_Ranking1[[#This Row],[Critical Facilities Raw]]/$R$2)*100</f>
        <v>0.30017152658662088</v>
      </c>
      <c r="T359" s="180">
        <f>FME_Ranking1[[#This Row],[Critical Facilities Score (Normalized, Unweighted)]]*$R$3</f>
        <v>6.0034305317324177E-2</v>
      </c>
      <c r="U359">
        <f>_xlfn.XLOOKUP(FME_Ranking1[[#This Row],[FME ID]],FME_Input[FME_ID],FME_Input[LWC])</f>
        <v>6</v>
      </c>
      <c r="V359" s="178">
        <f>(FME_Ranking1[[#This Row],[LWC Raw]]/$U$2)*100</f>
        <v>0.34542314335060448</v>
      </c>
      <c r="W359" s="178">
        <f>FME_Ranking1[[#This Row],[LWC Score (Normalized, Unweighted)]]*$U$3</f>
        <v>6.9084628670120898E-2</v>
      </c>
      <c r="X359" s="246">
        <f>_xlfn.XLOOKUP(FME_Ranking1[[#This Row],[FME ID]],FME_Input[FME_ID],FME_Input[ROADCLS])</f>
        <v>6</v>
      </c>
      <c r="Y359" s="230">
        <f>(FME_Ranking1[[#This Row],[Closures Raw]]/$X$2)*100</f>
        <v>6.3084849122069186E-2</v>
      </c>
      <c r="Z359" s="180">
        <f>FME_Ranking1[[#This Row],[Closures Score (Normalized, Unweighted)]]*$X$3</f>
        <v>3.1542424561034595E-3</v>
      </c>
      <c r="AA359" s="253">
        <f>_xlfn.XLOOKUP(FME_Ranking1[[#This Row],[FME ID]],FME_Input[FME_ID],FME_Input[ROAD_MILES100])</f>
        <v>102.8803329467773</v>
      </c>
      <c r="AB359" s="178">
        <f>(FME_Ranking1[[#This Row],[Miles Raw]]/$AA$2)*100</f>
        <v>1.3526918537102814</v>
      </c>
      <c r="AC359" s="178">
        <f>FME_Ranking1[[#This Row],[Miles Score (Normalized, Unweighted)]]*$AA$3</f>
        <v>0.13526918537102814</v>
      </c>
      <c r="AD359" s="255">
        <f>_xlfn.XLOOKUP(FME_Ranking1[[#This Row],[FME ID]],FME_Input[FME_ID],FME_Input[FARMACRE100])</f>
        <v>212.75544738769531</v>
      </c>
      <c r="AE359" s="230">
        <f>(FME_Ranking1[[#This Row],[Ag Land Raw]]/$AD$2)*100</f>
        <v>8.7730822497233737E-3</v>
      </c>
      <c r="AF359" s="231">
        <f>FME_Ranking1[[#This Row],[Ag Land Score (Normalized, Unweighted)]]*$AD$3</f>
        <v>4.3865411248616873E-4</v>
      </c>
      <c r="AG35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0.69221851983541416</v>
      </c>
      <c r="AH359" s="406">
        <f t="shared" si="5"/>
        <v>356</v>
      </c>
      <c r="AI35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0.69221851983541416</v>
      </c>
      <c r="AJ359" s="257">
        <f>FME_Ranking1[[#This Row],[Addition check]]-FME_Ranking1[[#This Row],[Weighted Score Based on Normalized Reported Factors]]</f>
        <v>0</v>
      </c>
      <c r="AK359" s="178">
        <f>_xlfn.RANK.EQ(AI359,$AI$6:$AI$2341,0)+COUNTIF($AI$6:AI359,AI359)-1</f>
        <v>358</v>
      </c>
    </row>
    <row r="360" spans="1:37" ht="12" customHeight="1" x14ac:dyDescent="0.25">
      <c r="A360" t="s">
        <v>4616</v>
      </c>
      <c r="B360">
        <f>_xlfn.XLOOKUP(FME_Ranking1[[#This Row],[FME ID]],FME_Input[FME_ID],FME_Input[RFPG_NUM])</f>
        <v>3</v>
      </c>
      <c r="C360" t="str">
        <f>_xlfn.XLOOKUP(FME_Ranking1[[#This Row],[FME ID]],FME_Input[FME_ID],FME_Input[FME_NAME])</f>
        <v>Lower Hardisty Storm Drain Improvements</v>
      </c>
      <c r="D360" t="str">
        <f>_xlfn.XLOOKUP(FME_Ranking1[[#This Row],[FME ID]],FME_Input[FME_ID],FME_Input[DESCR])</f>
        <v>Evaluate alternatives for storm drain improvements</v>
      </c>
      <c r="E360" s="256">
        <f>_xlfn.XLOOKUP(FME_Ranking1[[#This Row],[FME ID]],FME_Input[FME_ID],FME_Input[FME_COST])</f>
        <v>125000</v>
      </c>
      <c r="F360" t="str">
        <f>_xlfn.XLOOKUP(FME_Ranking1[[#This Row],[FME ID]],FME_Input[FME_ID],FME_Input[EMER_NEED])</f>
        <v>No</v>
      </c>
      <c r="G360">
        <f>IF(FME_Ranking!F360="Yes",100,0)</f>
        <v>0</v>
      </c>
      <c r="H360">
        <f>FME_Ranking1[[#This Row],[Emergency Need Score (Normalized, Unweighted)]]*$F$3</f>
        <v>0</v>
      </c>
      <c r="I360" s="246">
        <f>_xlfn.XLOOKUP(FME_Ranking1[[#This Row],[FME ID]],FME_Input[FME_ID],FME_Input[STRUCT_100])</f>
        <v>933</v>
      </c>
      <c r="J360" s="178">
        <f>(FME_Ranking1[[#This Row],[Structures 100 Raw]]/I$2)*100</f>
        <v>0.49961444544403033</v>
      </c>
      <c r="K360" s="178">
        <f>FME_Ranking1[[#This Row],[Structures 100  Score (Normalized, Unweighted)]]*$I$3</f>
        <v>7.4942166816604552E-2</v>
      </c>
      <c r="L360" s="246">
        <f>_xlfn.XLOOKUP(FME_Ranking1[[#This Row],[FME ID]],FME_Input[FME_ID],FME_Input[RES_STRUCT100])</f>
        <v>825</v>
      </c>
      <c r="M360" s="230">
        <f>(FME_Ranking1[[#This Row],[Res Structures Raw]]/L$2)*100</f>
        <v>0.58435211287557909</v>
      </c>
      <c r="N360" s="180">
        <f>FME_Ranking1[[#This Row],[Res Structures Score (Normalized, Unweighted)]]*$L$3</f>
        <v>5.8435211287557909E-2</v>
      </c>
      <c r="O360" s="244">
        <f>_xlfn.XLOOKUP(FME_Ranking1[[#This Row],[FME ID]],FME_Input[FME_ID],FME_Input[POP100])</f>
        <v>4781</v>
      </c>
      <c r="P360" s="178">
        <f>(FME_Ranking1[[#This Row],[Pop Raw]]/$O$2)*100</f>
        <v>0.48945636661827724</v>
      </c>
      <c r="Q360" s="178">
        <f>FME_Ranking1[[#This Row],[Pop Score (Normalized, Unweighted)]]*$O$3</f>
        <v>7.3418454992741577E-2</v>
      </c>
      <c r="R360" s="137">
        <f>_xlfn.XLOOKUP(FME_Ranking1[[#This Row],[FME ID]],FME_Input[FME_ID],FME_Input[CRITFAC100])</f>
        <v>6</v>
      </c>
      <c r="S360" s="230">
        <f>(FME_Ranking1[[#This Row],[Critical Facilities Raw]]/$R$2)*100</f>
        <v>0.25728987993138941</v>
      </c>
      <c r="T360" s="180">
        <f>FME_Ranking1[[#This Row],[Critical Facilities Score (Normalized, Unweighted)]]*$R$3</f>
        <v>5.1457975986277882E-2</v>
      </c>
      <c r="U360">
        <f>_xlfn.XLOOKUP(FME_Ranking1[[#This Row],[FME ID]],FME_Input[FME_ID],FME_Input[LWC])</f>
        <v>25</v>
      </c>
      <c r="V360" s="178">
        <f>(FME_Ranking1[[#This Row],[LWC Raw]]/$U$2)*100</f>
        <v>1.4392630972941853</v>
      </c>
      <c r="W360" s="178">
        <f>FME_Ranking1[[#This Row],[LWC Score (Normalized, Unweighted)]]*$U$3</f>
        <v>0.28785261945883706</v>
      </c>
      <c r="X360" s="246">
        <f>_xlfn.XLOOKUP(FME_Ranking1[[#This Row],[FME ID]],FME_Input[FME_ID],FME_Input[ROADCLS])</f>
        <v>0</v>
      </c>
      <c r="Y360" s="230">
        <f>(FME_Ranking1[[#This Row],[Closures Raw]]/$X$2)*100</f>
        <v>0</v>
      </c>
      <c r="Z360" s="180">
        <f>FME_Ranking1[[#This Row],[Closures Score (Normalized, Unweighted)]]*$X$3</f>
        <v>0</v>
      </c>
      <c r="AA360" s="253">
        <f>_xlfn.XLOOKUP(FME_Ranking1[[#This Row],[FME ID]],FME_Input[FME_ID],FME_Input[ROAD_MILES100])</f>
        <v>20.731290817260739</v>
      </c>
      <c r="AB360" s="178">
        <f>(FME_Ranking1[[#This Row],[Miles Raw]]/$AA$2)*100</f>
        <v>0.2725792909312878</v>
      </c>
      <c r="AC360" s="178">
        <f>FME_Ranking1[[#This Row],[Miles Score (Normalized, Unweighted)]]*$AA$3</f>
        <v>2.7257929093128783E-2</v>
      </c>
      <c r="AD360" s="255">
        <f>_xlfn.XLOOKUP(FME_Ranking1[[#This Row],[FME ID]],FME_Input[FME_ID],FME_Input[FARMACRE100])</f>
        <v>36.857028961181641</v>
      </c>
      <c r="AE360" s="230">
        <f>(FME_Ranking1[[#This Row],[Ag Land Raw]]/$AD$2)*100</f>
        <v>1.5198188837330041E-3</v>
      </c>
      <c r="AF360" s="231">
        <f>FME_Ranking1[[#This Row],[Ag Land Score (Normalized, Unweighted)]]*$AD$3</f>
        <v>7.5990944186650207E-5</v>
      </c>
      <c r="AG36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0.57344034857933435</v>
      </c>
      <c r="AH360" s="406">
        <f t="shared" si="5"/>
        <v>399</v>
      </c>
      <c r="AI36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0.57344034857933435</v>
      </c>
      <c r="AJ360" s="257">
        <f>FME_Ranking1[[#This Row],[Addition check]]-FME_Ranking1[[#This Row],[Weighted Score Based on Normalized Reported Factors]]</f>
        <v>0</v>
      </c>
      <c r="AK360" s="178">
        <f>_xlfn.RANK.EQ(AI360,$AI$6:$AI$2341,0)+COUNTIF($AI$6:AI360,AI360)-1</f>
        <v>399</v>
      </c>
    </row>
    <row r="361" spans="1:37" ht="12" customHeight="1" x14ac:dyDescent="0.25">
      <c r="A361" t="s">
        <v>8038</v>
      </c>
      <c r="B361">
        <f>_xlfn.XLOOKUP(FME_Ranking1[[#This Row],[FME ID]],FME_Input[FME_ID],FME_Input[RFPG_NUM])</f>
        <v>9</v>
      </c>
      <c r="C361" t="str">
        <f>_xlfn.XLOOKUP(FME_Ranking1[[#This Row],[FME ID]],FME_Input[FME_ID],FME_Input[FME_NAME])</f>
        <v>Howard County  GIS Development</v>
      </c>
      <c r="D361" t="str">
        <f>_xlfn.XLOOKUP(FME_Ranking1[[#This Row],[FME ID]],FME_Input[FME_ID],FME_Input[DESCR])</f>
        <v>Develop a GIS inventory of stormwater infrastructure</v>
      </c>
      <c r="E361" s="256">
        <f>_xlfn.XLOOKUP(FME_Ranking1[[#This Row],[FME ID]],FME_Input[FME_ID],FME_Input[FME_COST])</f>
        <v>100000</v>
      </c>
      <c r="F361" t="str">
        <f>_xlfn.XLOOKUP(FME_Ranking1[[#This Row],[FME ID]],FME_Input[FME_ID],FME_Input[EMER_NEED])</f>
        <v>No</v>
      </c>
      <c r="G361">
        <f>IF(FME_Ranking!F361="Yes",100,0)</f>
        <v>0</v>
      </c>
      <c r="H361">
        <f>FME_Ranking1[[#This Row],[Emergency Need Score (Normalized, Unweighted)]]*$F$3</f>
        <v>0</v>
      </c>
      <c r="I361" s="246">
        <f>_xlfn.XLOOKUP(FME_Ranking1[[#This Row],[FME ID]],FME_Input[FME_ID],FME_Input[STRUCT_100])</f>
        <v>1372</v>
      </c>
      <c r="J361" s="178">
        <f>(FME_Ranking1[[#This Row],[Structures 100 Raw]]/I$2)*100</f>
        <v>0.73469562609775951</v>
      </c>
      <c r="K361" s="178">
        <f>FME_Ranking1[[#This Row],[Structures 100  Score (Normalized, Unweighted)]]*$I$3</f>
        <v>0.11020434391466392</v>
      </c>
      <c r="L361" s="246">
        <f>_xlfn.XLOOKUP(FME_Ranking1[[#This Row],[FME ID]],FME_Input[FME_ID],FME_Input[RES_STRUCT100])</f>
        <v>662</v>
      </c>
      <c r="M361" s="230">
        <f>(FME_Ranking1[[#This Row],[Res Structures Raw]]/L$2)*100</f>
        <v>0.46889830148319195</v>
      </c>
      <c r="N361" s="180">
        <f>FME_Ranking1[[#This Row],[Res Structures Score (Normalized, Unweighted)]]*$L$3</f>
        <v>4.6889830148319198E-2</v>
      </c>
      <c r="O361" s="244">
        <f>_xlfn.XLOOKUP(FME_Ranking1[[#This Row],[FME ID]],FME_Input[FME_ID],FME_Input[POP100])</f>
        <v>4038</v>
      </c>
      <c r="P361" s="178">
        <f>(FME_Ranking1[[#This Row],[Pop Raw]]/$O$2)*100</f>
        <v>0.41339150981062611</v>
      </c>
      <c r="Q361" s="178">
        <f>FME_Ranking1[[#This Row],[Pop Score (Normalized, Unweighted)]]*$O$3</f>
        <v>6.2008726471593917E-2</v>
      </c>
      <c r="R361" s="137">
        <f>_xlfn.XLOOKUP(FME_Ranking1[[#This Row],[FME ID]],FME_Input[FME_ID],FME_Input[CRITFAC100])</f>
        <v>2</v>
      </c>
      <c r="S361" s="230">
        <f>(FME_Ranking1[[#This Row],[Critical Facilities Raw]]/$R$2)*100</f>
        <v>8.5763293310463118E-2</v>
      </c>
      <c r="T361" s="180">
        <f>FME_Ranking1[[#This Row],[Critical Facilities Score (Normalized, Unweighted)]]*$R$3</f>
        <v>1.7152658662092625E-2</v>
      </c>
      <c r="U361">
        <f>_xlfn.XLOOKUP(FME_Ranking1[[#This Row],[FME ID]],FME_Input[FME_ID],FME_Input[LWC])</f>
        <v>20</v>
      </c>
      <c r="V361" s="178">
        <f>(FME_Ranking1[[#This Row],[LWC Raw]]/$U$2)*100</f>
        <v>1.1514104778353482</v>
      </c>
      <c r="W361" s="178">
        <f>FME_Ranking1[[#This Row],[LWC Score (Normalized, Unweighted)]]*$U$3</f>
        <v>0.23028209556706966</v>
      </c>
      <c r="X361" s="246">
        <f>_xlfn.XLOOKUP(FME_Ranking1[[#This Row],[FME ID]],FME_Input[FME_ID],FME_Input[ROADCLS])</f>
        <v>0</v>
      </c>
      <c r="Y361" s="230">
        <f>(FME_Ranking1[[#This Row],[Closures Raw]]/$X$2)*100</f>
        <v>0</v>
      </c>
      <c r="Z361" s="180">
        <f>FME_Ranking1[[#This Row],[Closures Score (Normalized, Unweighted)]]*$X$3</f>
        <v>0</v>
      </c>
      <c r="AA361" s="253">
        <f>_xlfn.XLOOKUP(FME_Ranking1[[#This Row],[FME ID]],FME_Input[FME_ID],FME_Input[ROAD_MILES100])</f>
        <v>196.11773681640619</v>
      </c>
      <c r="AB361" s="178">
        <f>(FME_Ranking1[[#This Row],[Miles Raw]]/$AA$2)*100</f>
        <v>2.5785964854613121</v>
      </c>
      <c r="AC361" s="178">
        <f>FME_Ranking1[[#This Row],[Miles Score (Normalized, Unweighted)]]*$AA$3</f>
        <v>0.25785964854613125</v>
      </c>
      <c r="AD361" s="255">
        <f>_xlfn.XLOOKUP(FME_Ranking1[[#This Row],[FME ID]],FME_Input[FME_ID],FME_Input[FARMACRE100])</f>
        <v>37027.92578125</v>
      </c>
      <c r="AE361" s="230">
        <f>(FME_Ranking1[[#This Row],[Ag Land Raw]]/$AD$2)*100</f>
        <v>1.5268659035723777</v>
      </c>
      <c r="AF361" s="231">
        <f>FME_Ranking1[[#This Row],[Ag Land Score (Normalized, Unweighted)]]*$AD$3</f>
        <v>7.6343295178618889E-2</v>
      </c>
      <c r="AG36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0.80074059848848944</v>
      </c>
      <c r="AH361" s="406">
        <f t="shared" si="5"/>
        <v>332</v>
      </c>
      <c r="AI36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0.80074059848848944</v>
      </c>
      <c r="AJ361" s="257">
        <f>FME_Ranking1[[#This Row],[Addition check]]-FME_Ranking1[[#This Row],[Weighted Score Based on Normalized Reported Factors]]</f>
        <v>0</v>
      </c>
      <c r="AK361" s="178">
        <f>_xlfn.RANK.EQ(AI361,$AI$6:$AI$2341,0)+COUNTIF($AI$6:AI361,AI361)-1</f>
        <v>332</v>
      </c>
    </row>
    <row r="362" spans="1:37" ht="12" customHeight="1" x14ac:dyDescent="0.25">
      <c r="A362" t="s">
        <v>8064</v>
      </c>
      <c r="B362">
        <f>_xlfn.XLOOKUP(FME_Ranking1[[#This Row],[FME ID]],FME_Input[FME_ID],FME_Input[RFPG_NUM])</f>
        <v>9</v>
      </c>
      <c r="C362" t="str">
        <f>_xlfn.XLOOKUP(FME_Ranking1[[#This Row],[FME ID]],FME_Input[FME_ID],FME_Input[FME_NAME])</f>
        <v>Howard County  DMP</v>
      </c>
      <c r="D362" t="str">
        <f>_xlfn.XLOOKUP(FME_Ranking1[[#This Row],[FME ID]],FME_Input[FME_ID],FME_Input[DESCR])</f>
        <v xml:space="preserve">Create Drainage Master Plan, including evaluation of potential mitigation projects. </v>
      </c>
      <c r="E362" s="256">
        <f>_xlfn.XLOOKUP(FME_Ranking1[[#This Row],[FME ID]],FME_Input[FME_ID],FME_Input[FME_COST])</f>
        <v>500000</v>
      </c>
      <c r="F362" t="str">
        <f>_xlfn.XLOOKUP(FME_Ranking1[[#This Row],[FME ID]],FME_Input[FME_ID],FME_Input[EMER_NEED])</f>
        <v>No</v>
      </c>
      <c r="G362">
        <f>IF(FME_Ranking!F362="Yes",100,0)</f>
        <v>0</v>
      </c>
      <c r="H362">
        <f>FME_Ranking1[[#This Row],[Emergency Need Score (Normalized, Unweighted)]]*$F$3</f>
        <v>0</v>
      </c>
      <c r="I362" s="246">
        <f>_xlfn.XLOOKUP(FME_Ranking1[[#This Row],[FME ID]],FME_Input[FME_ID],FME_Input[STRUCT_100])</f>
        <v>1372</v>
      </c>
      <c r="J362" s="178">
        <f>(FME_Ranking1[[#This Row],[Structures 100 Raw]]/I$2)*100</f>
        <v>0.73469562609775951</v>
      </c>
      <c r="K362" s="178">
        <f>FME_Ranking1[[#This Row],[Structures 100  Score (Normalized, Unweighted)]]*$I$3</f>
        <v>0.11020434391466392</v>
      </c>
      <c r="L362" s="246">
        <f>_xlfn.XLOOKUP(FME_Ranking1[[#This Row],[FME ID]],FME_Input[FME_ID],FME_Input[RES_STRUCT100])</f>
        <v>662</v>
      </c>
      <c r="M362" s="230">
        <f>(FME_Ranking1[[#This Row],[Res Structures Raw]]/L$2)*100</f>
        <v>0.46889830148319195</v>
      </c>
      <c r="N362" s="180">
        <f>FME_Ranking1[[#This Row],[Res Structures Score (Normalized, Unweighted)]]*$L$3</f>
        <v>4.6889830148319198E-2</v>
      </c>
      <c r="O362" s="244">
        <f>_xlfn.XLOOKUP(FME_Ranking1[[#This Row],[FME ID]],FME_Input[FME_ID],FME_Input[POP100])</f>
        <v>4038</v>
      </c>
      <c r="P362" s="178">
        <f>(FME_Ranking1[[#This Row],[Pop Raw]]/$O$2)*100</f>
        <v>0.41339150981062611</v>
      </c>
      <c r="Q362" s="178">
        <f>FME_Ranking1[[#This Row],[Pop Score (Normalized, Unweighted)]]*$O$3</f>
        <v>6.2008726471593917E-2</v>
      </c>
      <c r="R362" s="137">
        <f>_xlfn.XLOOKUP(FME_Ranking1[[#This Row],[FME ID]],FME_Input[FME_ID],FME_Input[CRITFAC100])</f>
        <v>2</v>
      </c>
      <c r="S362" s="230">
        <f>(FME_Ranking1[[#This Row],[Critical Facilities Raw]]/$R$2)*100</f>
        <v>8.5763293310463118E-2</v>
      </c>
      <c r="T362" s="180">
        <f>FME_Ranking1[[#This Row],[Critical Facilities Score (Normalized, Unweighted)]]*$R$3</f>
        <v>1.7152658662092625E-2</v>
      </c>
      <c r="U362">
        <f>_xlfn.XLOOKUP(FME_Ranking1[[#This Row],[FME ID]],FME_Input[FME_ID],FME_Input[LWC])</f>
        <v>20</v>
      </c>
      <c r="V362" s="178">
        <f>(FME_Ranking1[[#This Row],[LWC Raw]]/$U$2)*100</f>
        <v>1.1514104778353482</v>
      </c>
      <c r="W362" s="178">
        <f>FME_Ranking1[[#This Row],[LWC Score (Normalized, Unweighted)]]*$U$3</f>
        <v>0.23028209556706966</v>
      </c>
      <c r="X362" s="246">
        <f>_xlfn.XLOOKUP(FME_Ranking1[[#This Row],[FME ID]],FME_Input[FME_ID],FME_Input[ROADCLS])</f>
        <v>0</v>
      </c>
      <c r="Y362" s="230">
        <f>(FME_Ranking1[[#This Row],[Closures Raw]]/$X$2)*100</f>
        <v>0</v>
      </c>
      <c r="Z362" s="180">
        <f>FME_Ranking1[[#This Row],[Closures Score (Normalized, Unweighted)]]*$X$3</f>
        <v>0</v>
      </c>
      <c r="AA362" s="253">
        <f>_xlfn.XLOOKUP(FME_Ranking1[[#This Row],[FME ID]],FME_Input[FME_ID],FME_Input[ROAD_MILES100])</f>
        <v>196.11773681640619</v>
      </c>
      <c r="AB362" s="178">
        <f>(FME_Ranking1[[#This Row],[Miles Raw]]/$AA$2)*100</f>
        <v>2.5785964854613121</v>
      </c>
      <c r="AC362" s="178">
        <f>FME_Ranking1[[#This Row],[Miles Score (Normalized, Unweighted)]]*$AA$3</f>
        <v>0.25785964854613125</v>
      </c>
      <c r="AD362" s="255">
        <f>_xlfn.XLOOKUP(FME_Ranking1[[#This Row],[FME ID]],FME_Input[FME_ID],FME_Input[FARMACRE100])</f>
        <v>37027.92578125</v>
      </c>
      <c r="AE362" s="230">
        <f>(FME_Ranking1[[#This Row],[Ag Land Raw]]/$AD$2)*100</f>
        <v>1.5268659035723777</v>
      </c>
      <c r="AF362" s="231">
        <f>FME_Ranking1[[#This Row],[Ag Land Score (Normalized, Unweighted)]]*$AD$3</f>
        <v>7.6343295178618889E-2</v>
      </c>
      <c r="AG36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0.80074059848848944</v>
      </c>
      <c r="AH362" s="406">
        <f t="shared" si="5"/>
        <v>332</v>
      </c>
      <c r="AI36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0.80074059848848944</v>
      </c>
      <c r="AJ362" s="257">
        <f>FME_Ranking1[[#This Row],[Addition check]]-FME_Ranking1[[#This Row],[Weighted Score Based on Normalized Reported Factors]]</f>
        <v>0</v>
      </c>
      <c r="AK362" s="178">
        <f>_xlfn.RANK.EQ(AI362,$AI$6:$AI$2341,0)+COUNTIF($AI$6:AI362,AI362)-1</f>
        <v>333</v>
      </c>
    </row>
    <row r="363" spans="1:37" ht="12" customHeight="1" x14ac:dyDescent="0.25">
      <c r="A363" t="s">
        <v>8208</v>
      </c>
      <c r="B363">
        <f>_xlfn.XLOOKUP(FME_Ranking1[[#This Row],[FME ID]],FME_Input[FME_ID],FME_Input[RFPG_NUM])</f>
        <v>9</v>
      </c>
      <c r="C363" t="str">
        <f>_xlfn.XLOOKUP(FME_Ranking1[[#This Row],[FME ID]],FME_Input[FME_ID],FME_Input[FME_NAME])</f>
        <v>Howard County FEMA Mapping</v>
      </c>
      <c r="D363" t="str">
        <f>_xlfn.XLOOKUP(FME_Ranking1[[#This Row],[FME ID]],FME_Input[FME_ID],FME_Input[DESCR])</f>
        <v>Update existing FEMA Mapping</v>
      </c>
      <c r="E363" s="256">
        <f>_xlfn.XLOOKUP(FME_Ranking1[[#This Row],[FME ID]],FME_Input[FME_ID],FME_Input[FME_COST])</f>
        <v>896000</v>
      </c>
      <c r="F363" t="str">
        <f>_xlfn.XLOOKUP(FME_Ranking1[[#This Row],[FME ID]],FME_Input[FME_ID],FME_Input[EMER_NEED])</f>
        <v>No</v>
      </c>
      <c r="G363">
        <f>IF(FME_Ranking!F363="Yes",100,0)</f>
        <v>0</v>
      </c>
      <c r="H363">
        <f>FME_Ranking1[[#This Row],[Emergency Need Score (Normalized, Unweighted)]]*$F$3</f>
        <v>0</v>
      </c>
      <c r="I363" s="246">
        <f>_xlfn.XLOOKUP(FME_Ranking1[[#This Row],[FME ID]],FME_Input[FME_ID],FME_Input[STRUCT_100])</f>
        <v>1372</v>
      </c>
      <c r="J363" s="178">
        <f>(FME_Ranking1[[#This Row],[Structures 100 Raw]]/I$2)*100</f>
        <v>0.73469562609775951</v>
      </c>
      <c r="K363" s="178">
        <f>FME_Ranking1[[#This Row],[Structures 100  Score (Normalized, Unweighted)]]*$I$3</f>
        <v>0.11020434391466392</v>
      </c>
      <c r="L363" s="246">
        <f>_xlfn.XLOOKUP(FME_Ranking1[[#This Row],[FME ID]],FME_Input[FME_ID],FME_Input[RES_STRUCT100])</f>
        <v>662</v>
      </c>
      <c r="M363" s="230">
        <f>(FME_Ranking1[[#This Row],[Res Structures Raw]]/L$2)*100</f>
        <v>0.46889830148319195</v>
      </c>
      <c r="N363" s="180">
        <f>FME_Ranking1[[#This Row],[Res Structures Score (Normalized, Unweighted)]]*$L$3</f>
        <v>4.6889830148319198E-2</v>
      </c>
      <c r="O363" s="244">
        <f>_xlfn.XLOOKUP(FME_Ranking1[[#This Row],[FME ID]],FME_Input[FME_ID],FME_Input[POP100])</f>
        <v>4038</v>
      </c>
      <c r="P363" s="178">
        <f>(FME_Ranking1[[#This Row],[Pop Raw]]/$O$2)*100</f>
        <v>0.41339150981062611</v>
      </c>
      <c r="Q363" s="178">
        <f>FME_Ranking1[[#This Row],[Pop Score (Normalized, Unweighted)]]*$O$3</f>
        <v>6.2008726471593917E-2</v>
      </c>
      <c r="R363" s="137">
        <f>_xlfn.XLOOKUP(FME_Ranking1[[#This Row],[FME ID]],FME_Input[FME_ID],FME_Input[CRITFAC100])</f>
        <v>2</v>
      </c>
      <c r="S363" s="230">
        <f>(FME_Ranking1[[#This Row],[Critical Facilities Raw]]/$R$2)*100</f>
        <v>8.5763293310463118E-2</v>
      </c>
      <c r="T363" s="180">
        <f>FME_Ranking1[[#This Row],[Critical Facilities Score (Normalized, Unweighted)]]*$R$3</f>
        <v>1.7152658662092625E-2</v>
      </c>
      <c r="U363">
        <f>_xlfn.XLOOKUP(FME_Ranking1[[#This Row],[FME ID]],FME_Input[FME_ID],FME_Input[LWC])</f>
        <v>20</v>
      </c>
      <c r="V363" s="178">
        <f>(FME_Ranking1[[#This Row],[LWC Raw]]/$U$2)*100</f>
        <v>1.1514104778353482</v>
      </c>
      <c r="W363" s="178">
        <f>FME_Ranking1[[#This Row],[LWC Score (Normalized, Unweighted)]]*$U$3</f>
        <v>0.23028209556706966</v>
      </c>
      <c r="X363" s="246">
        <f>_xlfn.XLOOKUP(FME_Ranking1[[#This Row],[FME ID]],FME_Input[FME_ID],FME_Input[ROADCLS])</f>
        <v>0</v>
      </c>
      <c r="Y363" s="230">
        <f>(FME_Ranking1[[#This Row],[Closures Raw]]/$X$2)*100</f>
        <v>0</v>
      </c>
      <c r="Z363" s="180">
        <f>FME_Ranking1[[#This Row],[Closures Score (Normalized, Unweighted)]]*$X$3</f>
        <v>0</v>
      </c>
      <c r="AA363" s="253">
        <f>_xlfn.XLOOKUP(FME_Ranking1[[#This Row],[FME ID]],FME_Input[FME_ID],FME_Input[ROAD_MILES100])</f>
        <v>196.11773681640619</v>
      </c>
      <c r="AB363" s="178">
        <f>(FME_Ranking1[[#This Row],[Miles Raw]]/$AA$2)*100</f>
        <v>2.5785964854613121</v>
      </c>
      <c r="AC363" s="178">
        <f>FME_Ranking1[[#This Row],[Miles Score (Normalized, Unweighted)]]*$AA$3</f>
        <v>0.25785964854613125</v>
      </c>
      <c r="AD363" s="255">
        <f>_xlfn.XLOOKUP(FME_Ranking1[[#This Row],[FME ID]],FME_Input[FME_ID],FME_Input[FARMACRE100])</f>
        <v>37027.92578125</v>
      </c>
      <c r="AE363" s="230">
        <f>(FME_Ranking1[[#This Row],[Ag Land Raw]]/$AD$2)*100</f>
        <v>1.5268659035723777</v>
      </c>
      <c r="AF363" s="231">
        <f>FME_Ranking1[[#This Row],[Ag Land Score (Normalized, Unweighted)]]*$AD$3</f>
        <v>7.6343295178618889E-2</v>
      </c>
      <c r="AG36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0.80074059848848944</v>
      </c>
      <c r="AH363" s="406">
        <f t="shared" si="5"/>
        <v>332</v>
      </c>
      <c r="AI36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0.80074059848848944</v>
      </c>
      <c r="AJ363" s="257">
        <f>FME_Ranking1[[#This Row],[Addition check]]-FME_Ranking1[[#This Row],[Weighted Score Based on Normalized Reported Factors]]</f>
        <v>0</v>
      </c>
      <c r="AK363" s="178">
        <f>_xlfn.RANK.EQ(AI363,$AI$6:$AI$2341,0)+COUNTIF($AI$6:AI363,AI363)-1</f>
        <v>334</v>
      </c>
    </row>
    <row r="364" spans="1:37" ht="12" customHeight="1" x14ac:dyDescent="0.25">
      <c r="A364" t="s">
        <v>8476</v>
      </c>
      <c r="B364">
        <f>_xlfn.XLOOKUP(FME_Ranking1[[#This Row],[FME ID]],FME_Input[FME_ID],FME_Input[RFPG_NUM])</f>
        <v>10</v>
      </c>
      <c r="C364" t="str">
        <f>_xlfn.XLOOKUP(FME_Ranking1[[#This Row],[FME ID]],FME_Input[FME_ID],FME_Input[FME_NAME])</f>
        <v>Shoal Creek - Nueces St Flood Risk Reduction Project Project Planning</v>
      </c>
      <c r="D364" t="str">
        <f>_xlfn.XLOOKUP(FME_Ranking1[[#This Row],[FME ID]],FME_Input[FME_ID],FME_Input[DESCR])</f>
        <v>Project planning for project which includes the construction of approximately 15,980 linear feet of upgraded storm drain pipe and numerous new storm drain inlets throughout the area. Develop technical data required for FMP.</v>
      </c>
      <c r="E364" s="256">
        <f>_xlfn.XLOOKUP(FME_Ranking1[[#This Row],[FME ID]],FME_Input[FME_ID],FME_Input[FME_COST])</f>
        <v>100000</v>
      </c>
      <c r="F364" t="str">
        <f>_xlfn.XLOOKUP(FME_Ranking1[[#This Row],[FME ID]],FME_Input[FME_ID],FME_Input[EMER_NEED])</f>
        <v>No</v>
      </c>
      <c r="G364">
        <f>IF(FME_Ranking!F364="Yes",100,0)</f>
        <v>0</v>
      </c>
      <c r="H364">
        <f>FME_Ranking1[[#This Row],[Emergency Need Score (Normalized, Unweighted)]]*$F$3</f>
        <v>0</v>
      </c>
      <c r="I364" s="246">
        <f>_xlfn.XLOOKUP(FME_Ranking1[[#This Row],[FME ID]],FME_Input[FME_ID],FME_Input[STRUCT_100])</f>
        <v>653</v>
      </c>
      <c r="J364" s="178">
        <f>(FME_Ranking1[[#This Row],[Structures 100 Raw]]/I$2)*100</f>
        <v>0.34967656256693652</v>
      </c>
      <c r="K364" s="178">
        <f>FME_Ranking1[[#This Row],[Structures 100  Score (Normalized, Unweighted)]]*$I$3</f>
        <v>5.2451484385040478E-2</v>
      </c>
      <c r="L364" s="246">
        <f>_xlfn.XLOOKUP(FME_Ranking1[[#This Row],[FME ID]],FME_Input[FME_ID],FME_Input[RES_STRUCT100])</f>
        <v>464</v>
      </c>
      <c r="M364" s="230">
        <f>(FME_Ranking1[[#This Row],[Res Structures Raw]]/L$2)*100</f>
        <v>0.32865379439305292</v>
      </c>
      <c r="N364" s="180">
        <f>FME_Ranking1[[#This Row],[Res Structures Score (Normalized, Unweighted)]]*$L$3</f>
        <v>3.2865379439305294E-2</v>
      </c>
      <c r="O364" s="244">
        <f>_xlfn.XLOOKUP(FME_Ranking1[[#This Row],[FME ID]],FME_Input[FME_ID],FME_Input[POP100])</f>
        <v>19198</v>
      </c>
      <c r="P364" s="178">
        <f>(FME_Ranking1[[#This Row],[Pop Raw]]/$O$2)*100</f>
        <v>1.9654012395602776</v>
      </c>
      <c r="Q364" s="178">
        <f>FME_Ranking1[[#This Row],[Pop Score (Normalized, Unweighted)]]*$O$3</f>
        <v>0.29481018593404162</v>
      </c>
      <c r="R364" s="137">
        <f>_xlfn.XLOOKUP(FME_Ranking1[[#This Row],[FME ID]],FME_Input[FME_ID],FME_Input[CRITFAC100])</f>
        <v>1</v>
      </c>
      <c r="S364" s="230">
        <f>(FME_Ranking1[[#This Row],[Critical Facilities Raw]]/$R$2)*100</f>
        <v>4.2881646655231559E-2</v>
      </c>
      <c r="T364" s="180">
        <f>FME_Ranking1[[#This Row],[Critical Facilities Score (Normalized, Unweighted)]]*$R$3</f>
        <v>8.5763293310463125E-3</v>
      </c>
      <c r="U364">
        <f>_xlfn.XLOOKUP(FME_Ranking1[[#This Row],[FME ID]],FME_Input[FME_ID],FME_Input[LWC])</f>
        <v>12</v>
      </c>
      <c r="V364" s="178">
        <f>(FME_Ranking1[[#This Row],[LWC Raw]]/$U$2)*100</f>
        <v>0.69084628670120896</v>
      </c>
      <c r="W364" s="178">
        <f>FME_Ranking1[[#This Row],[LWC Score (Normalized, Unweighted)]]*$U$3</f>
        <v>0.1381692573402418</v>
      </c>
      <c r="X364" s="246">
        <f>_xlfn.XLOOKUP(FME_Ranking1[[#This Row],[FME ID]],FME_Input[FME_ID],FME_Input[ROADCLS])</f>
        <v>0</v>
      </c>
      <c r="Y364" s="230">
        <f>(FME_Ranking1[[#This Row],[Closures Raw]]/$X$2)*100</f>
        <v>0</v>
      </c>
      <c r="Z364" s="180">
        <f>FME_Ranking1[[#This Row],[Closures Score (Normalized, Unweighted)]]*$X$3</f>
        <v>0</v>
      </c>
      <c r="AA364" s="253">
        <f>_xlfn.XLOOKUP(FME_Ranking1[[#This Row],[FME ID]],FME_Input[FME_ID],FME_Input[ROAD_MILES100])</f>
        <v>13.95950222015381</v>
      </c>
      <c r="AB364" s="178">
        <f>(FME_Ranking1[[#This Row],[Miles Raw]]/$AA$2)*100</f>
        <v>0.18354241665237678</v>
      </c>
      <c r="AC364" s="178">
        <f>FME_Ranking1[[#This Row],[Miles Score (Normalized, Unweighted)]]*$AA$3</f>
        <v>1.8354241665237678E-2</v>
      </c>
      <c r="AD364" s="255">
        <f>_xlfn.XLOOKUP(FME_Ranking1[[#This Row],[FME ID]],FME_Input[FME_ID],FME_Input[FARMACRE100])</f>
        <v>51.672863006591797</v>
      </c>
      <c r="AE364" s="230">
        <f>(FME_Ranking1[[#This Row],[Ag Land Raw]]/$AD$2)*100</f>
        <v>2.1307575566299523E-3</v>
      </c>
      <c r="AF364" s="231">
        <f>FME_Ranking1[[#This Row],[Ag Land Score (Normalized, Unweighted)]]*$AD$3</f>
        <v>1.0653787783149762E-4</v>
      </c>
      <c r="AG36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0.54533341597274476</v>
      </c>
      <c r="AH364" s="406">
        <f t="shared" si="5"/>
        <v>405</v>
      </c>
      <c r="AI36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0.54533341597274476</v>
      </c>
      <c r="AJ364" s="257">
        <f>FME_Ranking1[[#This Row],[Addition check]]-FME_Ranking1[[#This Row],[Weighted Score Based on Normalized Reported Factors]]</f>
        <v>0</v>
      </c>
      <c r="AK364" s="178">
        <f>_xlfn.RANK.EQ(AI364,$AI$6:$AI$2341,0)+COUNTIF($AI$6:AI364,AI364)-1</f>
        <v>405</v>
      </c>
    </row>
    <row r="365" spans="1:37" ht="12" customHeight="1" x14ac:dyDescent="0.25">
      <c r="A365" t="s">
        <v>1752</v>
      </c>
      <c r="B365">
        <f>_xlfn.XLOOKUP(FME_Ranking1[[#This Row],[FME ID]],FME_Input[FME_ID],FME_Input[RFPG_NUM])</f>
        <v>6</v>
      </c>
      <c r="C365" t="str">
        <f>_xlfn.XLOOKUP(FME_Ranking1[[#This Row],[FME ID]],FME_Input[FME_ID],FME_Input[FME_NAME])</f>
        <v>City of South Houston  Master Drainage Plan</v>
      </c>
      <c r="D365" t="str">
        <f>_xlfn.XLOOKUP(FME_Ranking1[[#This Row],[FME ID]],FME_Input[FME_ID],FME_Input[DESCR])</f>
        <v>Study to develop Master Drainage Plan using future and existing land use and flood/storm water drainage needs including Atlas 14 rainfall.</v>
      </c>
      <c r="E365" s="256">
        <f>_xlfn.XLOOKUP(FME_Ranking1[[#This Row],[FME ID]],FME_Input[FME_ID],FME_Input[FME_COST])</f>
        <v>210000</v>
      </c>
      <c r="F365" t="str">
        <f>_xlfn.XLOOKUP(FME_Ranking1[[#This Row],[FME ID]],FME_Input[FME_ID],FME_Input[EMER_NEED])</f>
        <v>Yes</v>
      </c>
      <c r="G365">
        <f>IF(FME_Ranking!F365="Yes",100,0)</f>
        <v>100</v>
      </c>
      <c r="H365">
        <f>FME_Ranking1[[#This Row],[Emergency Need Score (Normalized, Unweighted)]]*$F$3</f>
        <v>0</v>
      </c>
      <c r="I365" s="246">
        <f>_xlfn.XLOOKUP(FME_Ranking1[[#This Row],[FME ID]],FME_Input[FME_ID],FME_Input[STRUCT_100])</f>
        <v>1422</v>
      </c>
      <c r="J365" s="178">
        <f>(FME_Ranking1[[#This Row],[Structures 100 Raw]]/I$2)*100</f>
        <v>0.76147024804009766</v>
      </c>
      <c r="K365" s="178">
        <f>FME_Ranking1[[#This Row],[Structures 100  Score (Normalized, Unweighted)]]*$I$3</f>
        <v>0.11422053720601465</v>
      </c>
      <c r="L365" s="246">
        <f>_xlfn.XLOOKUP(FME_Ranking1[[#This Row],[FME ID]],FME_Input[FME_ID],FME_Input[RES_STRUCT100])</f>
        <v>945</v>
      </c>
      <c r="M365" s="230">
        <f>(FME_Ranking1[[#This Row],[Res Structures Raw]]/L$2)*100</f>
        <v>0.66934878383929963</v>
      </c>
      <c r="N365" s="180">
        <f>FME_Ranking1[[#This Row],[Res Structures Score (Normalized, Unweighted)]]*$L$3</f>
        <v>6.693487838392996E-2</v>
      </c>
      <c r="O365" s="244">
        <f>_xlfn.XLOOKUP(FME_Ranking1[[#This Row],[FME ID]],FME_Input[FME_ID],FME_Input[POP100])</f>
        <v>9644</v>
      </c>
      <c r="P365" s="178">
        <f>(FME_Ranking1[[#This Row],[Pop Raw]]/$O$2)*100</f>
        <v>0.98730750881963303</v>
      </c>
      <c r="Q365" s="178">
        <f>FME_Ranking1[[#This Row],[Pop Score (Normalized, Unweighted)]]*$O$3</f>
        <v>0.14809612632294494</v>
      </c>
      <c r="R365" s="137">
        <f>_xlfn.XLOOKUP(FME_Ranking1[[#This Row],[FME ID]],FME_Input[FME_ID],FME_Input[CRITFAC100])</f>
        <v>22</v>
      </c>
      <c r="S365" s="230">
        <f>(FME_Ranking1[[#This Row],[Critical Facilities Raw]]/$R$2)*100</f>
        <v>0.94339622641509435</v>
      </c>
      <c r="T365" s="180">
        <f>FME_Ranking1[[#This Row],[Critical Facilities Score (Normalized, Unweighted)]]*$R$3</f>
        <v>0.18867924528301888</v>
      </c>
      <c r="U365">
        <f>_xlfn.XLOOKUP(FME_Ranking1[[#This Row],[FME ID]],FME_Input[FME_ID],FME_Input[LWC])</f>
        <v>0</v>
      </c>
      <c r="V365" s="178">
        <f>(FME_Ranking1[[#This Row],[LWC Raw]]/$U$2)*100</f>
        <v>0</v>
      </c>
      <c r="W365" s="178">
        <f>FME_Ranking1[[#This Row],[LWC Score (Normalized, Unweighted)]]*$U$3</f>
        <v>0</v>
      </c>
      <c r="X365" s="246">
        <f>_xlfn.XLOOKUP(FME_Ranking1[[#This Row],[FME ID]],FME_Input[FME_ID],FME_Input[ROADCLS])</f>
        <v>0</v>
      </c>
      <c r="Y365" s="230">
        <f>(FME_Ranking1[[#This Row],[Closures Raw]]/$X$2)*100</f>
        <v>0</v>
      </c>
      <c r="Z365" s="180">
        <f>FME_Ranking1[[#This Row],[Closures Score (Normalized, Unweighted)]]*$X$3</f>
        <v>0</v>
      </c>
      <c r="AA365" s="253">
        <f>_xlfn.XLOOKUP(FME_Ranking1[[#This Row],[FME ID]],FME_Input[FME_ID],FME_Input[ROAD_MILES100])</f>
        <v>19.35272216796875</v>
      </c>
      <c r="AB365" s="178">
        <f>(FME_Ranking1[[#This Row],[Miles Raw]]/$AA$2)*100</f>
        <v>0.25445358577204852</v>
      </c>
      <c r="AC365" s="178">
        <f>FME_Ranking1[[#This Row],[Miles Score (Normalized, Unweighted)]]*$AA$3</f>
        <v>2.5445358577204855E-2</v>
      </c>
      <c r="AD365" s="255">
        <f>_xlfn.XLOOKUP(FME_Ranking1[[#This Row],[FME ID]],FME_Input[FME_ID],FME_Input[FARMACRE100])</f>
        <v>0</v>
      </c>
      <c r="AE365" s="230">
        <f>(FME_Ranking1[[#This Row],[Ag Land Raw]]/$AD$2)*100</f>
        <v>0</v>
      </c>
      <c r="AF365" s="231">
        <f>FME_Ranking1[[#This Row],[Ag Land Score (Normalized, Unweighted)]]*$AD$3</f>
        <v>0</v>
      </c>
      <c r="AG36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0.54337614577311333</v>
      </c>
      <c r="AH365" s="406">
        <f t="shared" si="5"/>
        <v>406</v>
      </c>
      <c r="AI36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0.54337614577311333</v>
      </c>
      <c r="AJ365" s="257">
        <f>FME_Ranking1[[#This Row],[Addition check]]-FME_Ranking1[[#This Row],[Weighted Score Based on Normalized Reported Factors]]</f>
        <v>0</v>
      </c>
      <c r="AK365" s="178">
        <f>_xlfn.RANK.EQ(AI365,$AI$6:$AI$2341,0)+COUNTIF($AI$6:AI365,AI365)-1</f>
        <v>406</v>
      </c>
    </row>
    <row r="366" spans="1:37" ht="12" customHeight="1" x14ac:dyDescent="0.25">
      <c r="A366" t="s">
        <v>4782</v>
      </c>
      <c r="B366">
        <f>_xlfn.XLOOKUP(FME_Ranking1[[#This Row],[FME ID]],FME_Input[FME_ID],FME_Input[RFPG_NUM])</f>
        <v>3</v>
      </c>
      <c r="C366" t="str">
        <f>_xlfn.XLOOKUP(FME_Ranking1[[#This Row],[FME ID]],FME_Input[FME_ID],FME_Input[FME_NAME])</f>
        <v>Houston County Lake Dam Emergency Action Plan</v>
      </c>
      <c r="D366" t="str">
        <f>_xlfn.XLOOKUP(FME_Ranking1[[#This Row],[FME ID]],FME_Input[FME_ID],FME_Input[DESCR])</f>
        <v>Develop Emergency Action Plan for Houston County Lake Dam</v>
      </c>
      <c r="E366" s="256">
        <f>_xlfn.XLOOKUP(FME_Ranking1[[#This Row],[FME ID]],FME_Input[FME_ID],FME_Input[FME_COST])</f>
        <v>1000000</v>
      </c>
      <c r="F366" t="str">
        <f>_xlfn.XLOOKUP(FME_Ranking1[[#This Row],[FME ID]],FME_Input[FME_ID],FME_Input[EMER_NEED])</f>
        <v>No</v>
      </c>
      <c r="G366">
        <f>IF(FME_Ranking!F366="Yes",100,0)</f>
        <v>0</v>
      </c>
      <c r="H366">
        <f>FME_Ranking1[[#This Row],[Emergency Need Score (Normalized, Unweighted)]]*$F$3</f>
        <v>0</v>
      </c>
      <c r="I366" s="246">
        <f>_xlfn.XLOOKUP(FME_Ranking1[[#This Row],[FME ID]],FME_Input[FME_ID],FME_Input[STRUCT_100])</f>
        <v>737</v>
      </c>
      <c r="J366" s="178">
        <f>(FME_Ranking1[[#This Row],[Structures 100 Raw]]/I$2)*100</f>
        <v>0.39465792743006467</v>
      </c>
      <c r="K366" s="178">
        <f>FME_Ranking1[[#This Row],[Structures 100  Score (Normalized, Unweighted)]]*$I$3</f>
        <v>5.9198689114509699E-2</v>
      </c>
      <c r="L366" s="246">
        <f>_xlfn.XLOOKUP(FME_Ranking1[[#This Row],[FME ID]],FME_Input[FME_ID],FME_Input[RES_STRUCT100])</f>
        <v>440</v>
      </c>
      <c r="M366" s="230">
        <f>(FME_Ranking1[[#This Row],[Res Structures Raw]]/L$2)*100</f>
        <v>0.31165446020030879</v>
      </c>
      <c r="N366" s="180">
        <f>FME_Ranking1[[#This Row],[Res Structures Score (Normalized, Unweighted)]]*$L$3</f>
        <v>3.1165446020030879E-2</v>
      </c>
      <c r="O366" s="244">
        <f>_xlfn.XLOOKUP(FME_Ranking1[[#This Row],[FME ID]],FME_Input[FME_ID],FME_Input[POP100])</f>
        <v>711</v>
      </c>
      <c r="P366" s="178">
        <f>(FME_Ranking1[[#This Row],[Pop Raw]]/$O$2)*100</f>
        <v>7.2788846824010697E-2</v>
      </c>
      <c r="Q366" s="178">
        <f>FME_Ranking1[[#This Row],[Pop Score (Normalized, Unweighted)]]*$O$3</f>
        <v>1.0918327023601604E-2</v>
      </c>
      <c r="R366" s="137">
        <f>_xlfn.XLOOKUP(FME_Ranking1[[#This Row],[FME ID]],FME_Input[FME_ID],FME_Input[CRITFAC100])</f>
        <v>5</v>
      </c>
      <c r="S366" s="230">
        <f>(FME_Ranking1[[#This Row],[Critical Facilities Raw]]/$R$2)*100</f>
        <v>0.21440823327615782</v>
      </c>
      <c r="T366" s="180">
        <f>FME_Ranking1[[#This Row],[Critical Facilities Score (Normalized, Unweighted)]]*$R$3</f>
        <v>4.2881646655231566E-2</v>
      </c>
      <c r="U366">
        <f>_xlfn.XLOOKUP(FME_Ranking1[[#This Row],[FME ID]],FME_Input[FME_ID],FME_Input[LWC])</f>
        <v>18</v>
      </c>
      <c r="V366" s="178">
        <f>(FME_Ranking1[[#This Row],[LWC Raw]]/$U$2)*100</f>
        <v>1.0362694300518136</v>
      </c>
      <c r="W366" s="178">
        <f>FME_Ranking1[[#This Row],[LWC Score (Normalized, Unweighted)]]*$U$3</f>
        <v>0.20725388601036274</v>
      </c>
      <c r="X366" s="246">
        <f>_xlfn.XLOOKUP(FME_Ranking1[[#This Row],[FME ID]],FME_Input[FME_ID],FME_Input[ROADCLS])</f>
        <v>0</v>
      </c>
      <c r="Y366" s="230">
        <f>(FME_Ranking1[[#This Row],[Closures Raw]]/$X$2)*100</f>
        <v>0</v>
      </c>
      <c r="Z366" s="180">
        <f>FME_Ranking1[[#This Row],[Closures Score (Normalized, Unweighted)]]*$X$3</f>
        <v>0</v>
      </c>
      <c r="AA366" s="253">
        <f>_xlfn.XLOOKUP(FME_Ranking1[[#This Row],[FME ID]],FME_Input[FME_ID],FME_Input[ROAD_MILES100])</f>
        <v>110.1063995361328</v>
      </c>
      <c r="AB366" s="178">
        <f>(FME_Ranking1[[#This Row],[Miles Raw]]/$AA$2)*100</f>
        <v>1.447701668801431</v>
      </c>
      <c r="AC366" s="178">
        <f>FME_Ranking1[[#This Row],[Miles Score (Normalized, Unweighted)]]*$AA$3</f>
        <v>0.1447701668801431</v>
      </c>
      <c r="AD366" s="255">
        <f>_xlfn.XLOOKUP(FME_Ranking1[[#This Row],[FME ID]],FME_Input[FME_ID],FME_Input[FARMACRE100])</f>
        <v>79761.34375</v>
      </c>
      <c r="AE366" s="230">
        <f>(FME_Ranking1[[#This Row],[Ag Land Raw]]/$AD$2)*100</f>
        <v>3.289000764300428</v>
      </c>
      <c r="AF366" s="231">
        <f>FME_Ranking1[[#This Row],[Ag Land Score (Normalized, Unweighted)]]*$AD$3</f>
        <v>0.16445003821502141</v>
      </c>
      <c r="AG36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0.66063819991890105</v>
      </c>
      <c r="AH366" s="406">
        <f t="shared" si="5"/>
        <v>371</v>
      </c>
      <c r="AI36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0.66063819991890105</v>
      </c>
      <c r="AJ366" s="257">
        <f>FME_Ranking1[[#This Row],[Addition check]]-FME_Ranking1[[#This Row],[Weighted Score Based on Normalized Reported Factors]]</f>
        <v>0</v>
      </c>
      <c r="AK366" s="178">
        <f>_xlfn.RANK.EQ(AI366,$AI$6:$AI$2341,0)+COUNTIF($AI$6:AI366,AI366)-1</f>
        <v>371</v>
      </c>
    </row>
    <row r="367" spans="1:37" ht="12" customHeight="1" x14ac:dyDescent="0.25">
      <c r="A367" t="s">
        <v>4011</v>
      </c>
      <c r="B367">
        <f>_xlfn.XLOOKUP(FME_Ranking1[[#This Row],[FME ID]],FME_Input[FME_ID],FME_Input[RFPG_NUM])</f>
        <v>3</v>
      </c>
      <c r="C367" t="str">
        <f>_xlfn.XLOOKUP(FME_Ranking1[[#This Row],[FME ID]],FME_Input[FME_ID],FME_Input[FME_NAME])</f>
        <v xml:space="preserve">Walker County FEMA Mapping </v>
      </c>
      <c r="D367" t="str">
        <f>_xlfn.XLOOKUP(FME_Ranking1[[#This Row],[FME ID]],FME_Input[FME_ID],FME_Input[DESCR])</f>
        <v>Create FEMA mapping in previously unmapped areas and update existing FEMA maps as needed.</v>
      </c>
      <c r="E367" s="256">
        <f>_xlfn.XLOOKUP(FME_Ranking1[[#This Row],[FME ID]],FME_Input[FME_ID],FME_Input[FME_COST])</f>
        <v>1276000</v>
      </c>
      <c r="F367" t="str">
        <f>_xlfn.XLOOKUP(FME_Ranking1[[#This Row],[FME ID]],FME_Input[FME_ID],FME_Input[EMER_NEED])</f>
        <v>No</v>
      </c>
      <c r="G367">
        <f>IF(FME_Ranking!F367="Yes",100,0)</f>
        <v>0</v>
      </c>
      <c r="H367">
        <f>FME_Ranking1[[#This Row],[Emergency Need Score (Normalized, Unweighted)]]*$F$3</f>
        <v>0</v>
      </c>
      <c r="I367" s="246">
        <f>_xlfn.XLOOKUP(FME_Ranking1[[#This Row],[FME ID]],FME_Input[FME_ID],FME_Input[STRUCT_100])</f>
        <v>1654</v>
      </c>
      <c r="J367" s="178">
        <f>(FME_Ranking1[[#This Row],[Structures 100 Raw]]/I$2)*100</f>
        <v>0.8857044938525469</v>
      </c>
      <c r="K367" s="178">
        <f>FME_Ranking1[[#This Row],[Structures 100  Score (Normalized, Unweighted)]]*$I$3</f>
        <v>0.13285567407788204</v>
      </c>
      <c r="L367" s="246">
        <f>_xlfn.XLOOKUP(FME_Ranking1[[#This Row],[FME ID]],FME_Input[FME_ID],FME_Input[RES_STRUCT100])</f>
        <v>1480</v>
      </c>
      <c r="M367" s="230">
        <f>(FME_Ranking1[[#This Row],[Res Structures Raw]]/L$2)*100</f>
        <v>1.0482922752192207</v>
      </c>
      <c r="N367" s="180">
        <f>FME_Ranking1[[#This Row],[Res Structures Score (Normalized, Unweighted)]]*$L$3</f>
        <v>0.10482922752192209</v>
      </c>
      <c r="O367" s="244">
        <f>_xlfn.XLOOKUP(FME_Ranking1[[#This Row],[FME ID]],FME_Input[FME_ID],FME_Input[POP100])</f>
        <v>4303</v>
      </c>
      <c r="P367" s="178">
        <f>(FME_Ranking1[[#This Row],[Pop Raw]]/$O$2)*100</f>
        <v>0.44052096748764841</v>
      </c>
      <c r="Q367" s="178">
        <f>FME_Ranking1[[#This Row],[Pop Score (Normalized, Unweighted)]]*$O$3</f>
        <v>6.6078145123147261E-2</v>
      </c>
      <c r="R367" s="137">
        <f>_xlfn.XLOOKUP(FME_Ranking1[[#This Row],[FME ID]],FME_Input[FME_ID],FME_Input[CRITFAC100])</f>
        <v>11</v>
      </c>
      <c r="S367" s="230">
        <f>(FME_Ranking1[[#This Row],[Critical Facilities Raw]]/$R$2)*100</f>
        <v>0.47169811320754718</v>
      </c>
      <c r="T367" s="180">
        <f>FME_Ranking1[[#This Row],[Critical Facilities Score (Normalized, Unweighted)]]*$R$3</f>
        <v>9.4339622641509441E-2</v>
      </c>
      <c r="U367">
        <f>_xlfn.XLOOKUP(FME_Ranking1[[#This Row],[FME ID]],FME_Input[FME_ID],FME_Input[LWC])</f>
        <v>5</v>
      </c>
      <c r="V367" s="178">
        <f>(FME_Ranking1[[#This Row],[LWC Raw]]/$U$2)*100</f>
        <v>0.28785261945883706</v>
      </c>
      <c r="W367" s="178">
        <f>FME_Ranking1[[#This Row],[LWC Score (Normalized, Unweighted)]]*$U$3</f>
        <v>5.7570523891767415E-2</v>
      </c>
      <c r="X367" s="246">
        <f>_xlfn.XLOOKUP(FME_Ranking1[[#This Row],[FME ID]],FME_Input[FME_ID],FME_Input[ROADCLS])</f>
        <v>0</v>
      </c>
      <c r="Y367" s="230">
        <f>(FME_Ranking1[[#This Row],[Closures Raw]]/$X$2)*100</f>
        <v>0</v>
      </c>
      <c r="Z367" s="180">
        <f>FME_Ranking1[[#This Row],[Closures Score (Normalized, Unweighted)]]*$X$3</f>
        <v>0</v>
      </c>
      <c r="AA367" s="253">
        <f>_xlfn.XLOOKUP(FME_Ranking1[[#This Row],[FME ID]],FME_Input[FME_ID],FME_Input[ROAD_MILES100])</f>
        <v>58.592399597167969</v>
      </c>
      <c r="AB367" s="178">
        <f>(FME_Ranking1[[#This Row],[Miles Raw]]/$AA$2)*100</f>
        <v>0.77038496430050096</v>
      </c>
      <c r="AC367" s="178">
        <f>FME_Ranking1[[#This Row],[Miles Score (Normalized, Unweighted)]]*$AA$3</f>
        <v>7.7038496430050105E-2</v>
      </c>
      <c r="AD367" s="255">
        <f>_xlfn.XLOOKUP(FME_Ranking1[[#This Row],[FME ID]],FME_Input[FME_ID],FME_Input[FARMACRE100])</f>
        <v>28691.26953125</v>
      </c>
      <c r="AE367" s="230">
        <f>(FME_Ranking1[[#This Row],[Ag Land Raw]]/$AD$2)*100</f>
        <v>1.1830995188948386</v>
      </c>
      <c r="AF367" s="231">
        <f>FME_Ranking1[[#This Row],[Ag Land Score (Normalized, Unweighted)]]*$AD$3</f>
        <v>5.9154975944741929E-2</v>
      </c>
      <c r="AG36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0.59186666563102031</v>
      </c>
      <c r="AH367" s="406">
        <f t="shared" si="5"/>
        <v>395</v>
      </c>
      <c r="AI36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0.59186666563102031</v>
      </c>
      <c r="AJ367" s="257">
        <f>FME_Ranking1[[#This Row],[Addition check]]-FME_Ranking1[[#This Row],[Weighted Score Based on Normalized Reported Factors]]</f>
        <v>0</v>
      </c>
      <c r="AK367" s="178">
        <f>_xlfn.RANK.EQ(AI367,$AI$6:$AI$2341,0)+COUNTIF($AI$6:AI367,AI367)-1</f>
        <v>395</v>
      </c>
    </row>
    <row r="368" spans="1:37" ht="12" customHeight="1" x14ac:dyDescent="0.25">
      <c r="A368" t="s">
        <v>3780</v>
      </c>
      <c r="B368">
        <f>_xlfn.XLOOKUP(FME_Ranking1[[#This Row],[FME ID]],FME_Input[FME_ID],FME_Input[RFPG_NUM])</f>
        <v>2</v>
      </c>
      <c r="C368" t="str">
        <f>_xlfn.XLOOKUP(FME_Ranking1[[#This Row],[FME ID]],FME_Input[FME_ID],FME_Input[FME_NAME])</f>
        <v>North Sulphur River Channel Stability and Flooding Study</v>
      </c>
      <c r="D368" t="str">
        <f>_xlfn.XLOOKUP(FME_Ranking1[[#This Row],[FME ID]],FME_Input[FME_ID],FME_Input[DESCR])</f>
        <v>Channel stability along North Sulphur River and Highway 24</v>
      </c>
      <c r="E368" s="256">
        <f>_xlfn.XLOOKUP(FME_Ranking1[[#This Row],[FME ID]],FME_Input[FME_ID],FME_Input[FME_COST])</f>
        <v>950000</v>
      </c>
      <c r="F368" t="str">
        <f>_xlfn.XLOOKUP(FME_Ranking1[[#This Row],[FME ID]],FME_Input[FME_ID],FME_Input[EMER_NEED])</f>
        <v>No</v>
      </c>
      <c r="G368">
        <f>IF(FME_Ranking!F368="Yes",100,0)</f>
        <v>0</v>
      </c>
      <c r="H368">
        <f>FME_Ranking1[[#This Row],[Emergency Need Score (Normalized, Unweighted)]]*$F$3</f>
        <v>0</v>
      </c>
      <c r="I368" s="246">
        <f>_xlfn.XLOOKUP(FME_Ranking1[[#This Row],[FME ID]],FME_Input[FME_ID],FME_Input[STRUCT_100])</f>
        <v>915</v>
      </c>
      <c r="J368" s="178">
        <f>(FME_Ranking1[[#This Row],[Structures 100 Raw]]/I$2)*100</f>
        <v>0.4899755815447886</v>
      </c>
      <c r="K368" s="178">
        <f>FME_Ranking1[[#This Row],[Structures 100  Score (Normalized, Unweighted)]]*$I$3</f>
        <v>7.3496337231718292E-2</v>
      </c>
      <c r="L368" s="246">
        <f>_xlfn.XLOOKUP(FME_Ranking1[[#This Row],[FME ID]],FME_Input[FME_ID],FME_Input[RES_STRUCT100])</f>
        <v>625</v>
      </c>
      <c r="M368" s="230">
        <f>(FME_Ranking1[[#This Row],[Res Structures Raw]]/L$2)*100</f>
        <v>0.44269099460271139</v>
      </c>
      <c r="N368" s="180">
        <f>FME_Ranking1[[#This Row],[Res Structures Score (Normalized, Unweighted)]]*$L$3</f>
        <v>4.426909946027114E-2</v>
      </c>
      <c r="O368" s="244">
        <f>_xlfn.XLOOKUP(FME_Ranking1[[#This Row],[FME ID]],FME_Input[FME_ID],FME_Input[POP100])</f>
        <v>3150</v>
      </c>
      <c r="P368" s="178">
        <f>(FME_Ranking1[[#This Row],[Pop Raw]]/$O$2)*100</f>
        <v>0.32248223276460436</v>
      </c>
      <c r="Q368" s="178">
        <f>FME_Ranking1[[#This Row],[Pop Score (Normalized, Unweighted)]]*$O$3</f>
        <v>4.8372334914690653E-2</v>
      </c>
      <c r="R368" s="137">
        <f>_xlfn.XLOOKUP(FME_Ranking1[[#This Row],[FME ID]],FME_Input[FME_ID],FME_Input[CRITFAC100])</f>
        <v>19</v>
      </c>
      <c r="S368" s="230">
        <f>(FME_Ranking1[[#This Row],[Critical Facilities Raw]]/$R$2)*100</f>
        <v>0.81475128644939965</v>
      </c>
      <c r="T368" s="180">
        <f>FME_Ranking1[[#This Row],[Critical Facilities Score (Normalized, Unweighted)]]*$R$3</f>
        <v>0.16295025728987994</v>
      </c>
      <c r="U368">
        <f>_xlfn.XLOOKUP(FME_Ranking1[[#This Row],[FME ID]],FME_Input[FME_ID],FME_Input[LWC])</f>
        <v>10</v>
      </c>
      <c r="V368" s="178">
        <f>(FME_Ranking1[[#This Row],[LWC Raw]]/$U$2)*100</f>
        <v>0.57570523891767411</v>
      </c>
      <c r="W368" s="178">
        <f>FME_Ranking1[[#This Row],[LWC Score (Normalized, Unweighted)]]*$U$3</f>
        <v>0.11514104778353483</v>
      </c>
      <c r="X368" s="246">
        <f>_xlfn.XLOOKUP(FME_Ranking1[[#This Row],[FME ID]],FME_Input[FME_ID],FME_Input[ROADCLS])</f>
        <v>0</v>
      </c>
      <c r="Y368" s="230">
        <f>(FME_Ranking1[[#This Row],[Closures Raw]]/$X$2)*100</f>
        <v>0</v>
      </c>
      <c r="Z368" s="180">
        <f>FME_Ranking1[[#This Row],[Closures Score (Normalized, Unweighted)]]*$X$3</f>
        <v>0</v>
      </c>
      <c r="AA368" s="253">
        <f>_xlfn.XLOOKUP(FME_Ranking1[[#This Row],[FME ID]],FME_Input[FME_ID],FME_Input[ROAD_MILES100])</f>
        <v>84.681282043457031</v>
      </c>
      <c r="AB368" s="178">
        <f>(FME_Ranking1[[#This Row],[Miles Raw]]/$AA$2)*100</f>
        <v>1.1134069758618061</v>
      </c>
      <c r="AC368" s="178">
        <f>FME_Ranking1[[#This Row],[Miles Score (Normalized, Unweighted)]]*$AA$3</f>
        <v>0.11134069758618062</v>
      </c>
      <c r="AD368" s="255">
        <f>_xlfn.XLOOKUP(FME_Ranking1[[#This Row],[FME ID]],FME_Input[FME_ID],FME_Input[FARMACRE100])</f>
        <v>31562.783203125</v>
      </c>
      <c r="AE368" s="230">
        <f>(FME_Ranking1[[#This Row],[Ag Land Raw]]/$AD$2)*100</f>
        <v>1.3015078883814171</v>
      </c>
      <c r="AF368" s="231">
        <f>FME_Ranking1[[#This Row],[Ag Land Score (Normalized, Unweighted)]]*$AD$3</f>
        <v>6.5075394419070856E-2</v>
      </c>
      <c r="AG36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0.62064516868534636</v>
      </c>
      <c r="AH368" s="406">
        <f t="shared" si="5"/>
        <v>382</v>
      </c>
      <c r="AI36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0.62064516868534636</v>
      </c>
      <c r="AJ368" s="257">
        <f>FME_Ranking1[[#This Row],[Addition check]]-FME_Ranking1[[#This Row],[Weighted Score Based on Normalized Reported Factors]]</f>
        <v>0</v>
      </c>
      <c r="AK368" s="178">
        <f>_xlfn.RANK.EQ(AI368,$AI$6:$AI$2341,0)+COUNTIF($AI$6:AI368,AI368)-1</f>
        <v>382</v>
      </c>
    </row>
    <row r="369" spans="1:37" ht="12" customHeight="1" x14ac:dyDescent="0.25">
      <c r="A369" t="s">
        <v>10589</v>
      </c>
      <c r="B369">
        <f>_xlfn.XLOOKUP(FME_Ranking1[[#This Row],[FME ID]],FME_Input[FME_ID],FME_Input[RFPG_NUM])</f>
        <v>13</v>
      </c>
      <c r="C369" t="str">
        <f>_xlfn.XLOOKUP(FME_Ranking1[[#This Row],[FME ID]],FME_Input[FME_ID],FME_Input[FME_NAME])</f>
        <v>Beeville City-wide Drainage Study</v>
      </c>
      <c r="D369" t="str">
        <f>_xlfn.XLOOKUP(FME_Ranking1[[#This Row],[FME ID]],FME_Input[FME_ID],FME_Input[DESCR])</f>
        <v>Beeville City-wide Drainage Study</v>
      </c>
      <c r="E369" s="256">
        <f>_xlfn.XLOOKUP(FME_Ranking1[[#This Row],[FME ID]],FME_Input[FME_ID],FME_Input[FME_COST])</f>
        <v>250000</v>
      </c>
      <c r="F369" t="str">
        <f>_xlfn.XLOOKUP(FME_Ranking1[[#This Row],[FME ID]],FME_Input[FME_ID],FME_Input[EMER_NEED])</f>
        <v>Yes</v>
      </c>
      <c r="G369">
        <f>IF(FME_Ranking!F369="Yes",100,0)</f>
        <v>100</v>
      </c>
      <c r="H369">
        <f>FME_Ranking1[[#This Row],[Emergency Need Score (Normalized, Unweighted)]]*$F$3</f>
        <v>0</v>
      </c>
      <c r="I369" s="246">
        <f>_xlfn.XLOOKUP(FME_Ranking1[[#This Row],[FME ID]],FME_Input[FME_ID],FME_Input[STRUCT_100])</f>
        <v>671</v>
      </c>
      <c r="J369" s="178">
        <f>(FME_Ranking1[[#This Row],[Structures 100 Raw]]/I$2)*100</f>
        <v>0.35931542646617826</v>
      </c>
      <c r="K369" s="178">
        <f>FME_Ranking1[[#This Row],[Structures 100  Score (Normalized, Unweighted)]]*$I$3</f>
        <v>5.3897313969926738E-2</v>
      </c>
      <c r="L369" s="246">
        <f>_xlfn.XLOOKUP(FME_Ranking1[[#This Row],[FME ID]],FME_Input[FME_ID],FME_Input[RES_STRUCT100])</f>
        <v>477</v>
      </c>
      <c r="M369" s="230">
        <f>(FME_Ranking1[[#This Row],[Res Structures Raw]]/L$2)*100</f>
        <v>0.3378617670807893</v>
      </c>
      <c r="N369" s="180">
        <f>FME_Ranking1[[#This Row],[Res Structures Score (Normalized, Unweighted)]]*$L$3</f>
        <v>3.378617670807893E-2</v>
      </c>
      <c r="O369" s="244">
        <f>_xlfn.XLOOKUP(FME_Ranking1[[#This Row],[FME ID]],FME_Input[FME_ID],FME_Input[POP100])</f>
        <v>2931</v>
      </c>
      <c r="P369" s="178">
        <f>(FME_Ranking1[[#This Row],[Pop Raw]]/$O$2)*100</f>
        <v>0.30006203943906518</v>
      </c>
      <c r="Q369" s="178">
        <f>FME_Ranking1[[#This Row],[Pop Score (Normalized, Unweighted)]]*$O$3</f>
        <v>4.5009305915859776E-2</v>
      </c>
      <c r="R369" s="137">
        <f>_xlfn.XLOOKUP(FME_Ranking1[[#This Row],[FME ID]],FME_Input[FME_ID],FME_Input[CRITFAC100])</f>
        <v>18</v>
      </c>
      <c r="S369" s="230">
        <f>(FME_Ranking1[[#This Row],[Critical Facilities Raw]]/$R$2)*100</f>
        <v>0.77186963979416812</v>
      </c>
      <c r="T369" s="180">
        <f>FME_Ranking1[[#This Row],[Critical Facilities Score (Normalized, Unweighted)]]*$R$3</f>
        <v>0.15437392795883365</v>
      </c>
      <c r="U369">
        <f>_xlfn.XLOOKUP(FME_Ranking1[[#This Row],[FME ID]],FME_Input[FME_ID],FME_Input[LWC])</f>
        <v>13</v>
      </c>
      <c r="V369" s="178">
        <f>(FME_Ranking1[[#This Row],[LWC Raw]]/$U$2)*100</f>
        <v>0.74841681059297649</v>
      </c>
      <c r="W369" s="178">
        <f>FME_Ranking1[[#This Row],[LWC Score (Normalized, Unweighted)]]*$U$3</f>
        <v>0.14968336211859531</v>
      </c>
      <c r="X369" s="246">
        <f>_xlfn.XLOOKUP(FME_Ranking1[[#This Row],[FME ID]],FME_Input[FME_ID],FME_Input[ROADCLS])</f>
        <v>136</v>
      </c>
      <c r="Y369" s="230">
        <f>(FME_Ranking1[[#This Row],[Closures Raw]]/$X$2)*100</f>
        <v>1.4299232467669014</v>
      </c>
      <c r="Z369" s="180">
        <f>FME_Ranking1[[#This Row],[Closures Score (Normalized, Unweighted)]]*$X$3</f>
        <v>7.1496162338345076E-2</v>
      </c>
      <c r="AA369" s="253">
        <f>_xlfn.XLOOKUP(FME_Ranking1[[#This Row],[FME ID]],FME_Input[FME_ID],FME_Input[ROAD_MILES100])</f>
        <v>13.42814350128174</v>
      </c>
      <c r="AB369" s="178">
        <f>(FME_Ranking1[[#This Row],[Miles Raw]]/$AA$2)*100</f>
        <v>0.17655600253581269</v>
      </c>
      <c r="AC369" s="178">
        <f>FME_Ranking1[[#This Row],[Miles Score (Normalized, Unweighted)]]*$AA$3</f>
        <v>1.7655600253581271E-2</v>
      </c>
      <c r="AD369" s="255">
        <f>_xlfn.XLOOKUP(FME_Ranking1[[#This Row],[FME ID]],FME_Input[FME_ID],FME_Input[FARMACRE100])</f>
        <v>13.689279556274411</v>
      </c>
      <c r="AE369" s="230">
        <f>(FME_Ranking1[[#This Row],[Ag Land Raw]]/$AD$2)*100</f>
        <v>5.6448460879031717E-4</v>
      </c>
      <c r="AF369" s="231">
        <f>FME_Ranking1[[#This Row],[Ag Land Score (Normalized, Unweighted)]]*$AD$3</f>
        <v>2.8224230439515861E-5</v>
      </c>
      <c r="AG36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0.52593007349366028</v>
      </c>
      <c r="AH369" s="406">
        <f t="shared" si="5"/>
        <v>414</v>
      </c>
      <c r="AI36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0.52593007349366028</v>
      </c>
      <c r="AJ369" s="257">
        <f>FME_Ranking1[[#This Row],[Addition check]]-FME_Ranking1[[#This Row],[Weighted Score Based on Normalized Reported Factors]]</f>
        <v>0</v>
      </c>
      <c r="AK369" s="178">
        <f>_xlfn.RANK.EQ(AI369,$AI$6:$AI$2341,0)+COUNTIF($AI$6:AI369,AI369)-1</f>
        <v>414</v>
      </c>
    </row>
    <row r="370" spans="1:37" ht="12" customHeight="1" x14ac:dyDescent="0.25">
      <c r="A370" t="s">
        <v>2525</v>
      </c>
      <c r="B370">
        <f>_xlfn.XLOOKUP(FME_Ranking1[[#This Row],[FME ID]],FME_Input[FME_ID],FME_Input[RFPG_NUM])</f>
        <v>1</v>
      </c>
      <c r="C370" t="str">
        <f>_xlfn.XLOOKUP(FME_Ranking1[[#This Row],[FME ID]],FME_Input[FME_ID],FME_Input[FME_NAME])</f>
        <v>Hall County Drainage Master Plan</v>
      </c>
      <c r="D370" t="str">
        <f>_xlfn.XLOOKUP(FME_Ranking1[[#This Row],[FME ID]],FME_Input[FME_ID],FME_Input[DESCR])</f>
        <v>Perform H&amp;H modeling, develop conceptual alternatives and OPCC, and rank projects; selected based on HMAPs</v>
      </c>
      <c r="E370" s="256">
        <f>_xlfn.XLOOKUP(FME_Ranking1[[#This Row],[FME ID]],FME_Input[FME_ID],FME_Input[FME_COST])</f>
        <v>500000</v>
      </c>
      <c r="F370" t="str">
        <f>_xlfn.XLOOKUP(FME_Ranking1[[#This Row],[FME ID]],FME_Input[FME_ID],FME_Input[EMER_NEED])</f>
        <v>No</v>
      </c>
      <c r="G370">
        <f>IF(FME_Ranking!F370="Yes",100,0)</f>
        <v>0</v>
      </c>
      <c r="H370">
        <f>FME_Ranking1[[#This Row],[Emergency Need Score (Normalized, Unweighted)]]*$F$3</f>
        <v>0</v>
      </c>
      <c r="I370" s="246">
        <f>_xlfn.XLOOKUP(FME_Ranking1[[#This Row],[FME ID]],FME_Input[FME_ID],FME_Input[STRUCT_100])</f>
        <v>66</v>
      </c>
      <c r="J370" s="178">
        <f>(FME_Ranking1[[#This Row],[Structures 100 Raw]]/I$2)*100</f>
        <v>3.5342500963886393E-2</v>
      </c>
      <c r="K370" s="178">
        <f>FME_Ranking1[[#This Row],[Structures 100  Score (Normalized, Unweighted)]]*$I$3</f>
        <v>5.301375144582959E-3</v>
      </c>
      <c r="L370" s="246">
        <f>_xlfn.XLOOKUP(FME_Ranking1[[#This Row],[FME ID]],FME_Input[FME_ID],FME_Input[RES_STRUCT100])</f>
        <v>11</v>
      </c>
      <c r="M370" s="230">
        <f>(FME_Ranking1[[#This Row],[Res Structures Raw]]/L$2)*100</f>
        <v>7.7913615050077207E-3</v>
      </c>
      <c r="N370" s="180">
        <f>FME_Ranking1[[#This Row],[Res Structures Score (Normalized, Unweighted)]]*$L$3</f>
        <v>7.7913615050077215E-4</v>
      </c>
      <c r="O370" s="244">
        <f>_xlfn.XLOOKUP(FME_Ranking1[[#This Row],[FME ID]],FME_Input[FME_ID],FME_Input[POP100])</f>
        <v>63</v>
      </c>
      <c r="P370" s="178">
        <f>(FME_Ranking1[[#This Row],[Pop Raw]]/$O$2)*100</f>
        <v>6.4496446552920871E-3</v>
      </c>
      <c r="Q370" s="178">
        <f>FME_Ranking1[[#This Row],[Pop Score (Normalized, Unweighted)]]*$O$3</f>
        <v>9.6744669829381303E-4</v>
      </c>
      <c r="R370" s="137">
        <f>_xlfn.XLOOKUP(FME_Ranking1[[#This Row],[FME ID]],FME_Input[FME_ID],FME_Input[CRITFAC100])</f>
        <v>5</v>
      </c>
      <c r="S370" s="230">
        <f>(FME_Ranking1[[#This Row],[Critical Facilities Raw]]/$R$2)*100</f>
        <v>0.21440823327615782</v>
      </c>
      <c r="T370" s="180">
        <f>FME_Ranking1[[#This Row],[Critical Facilities Score (Normalized, Unweighted)]]*$R$3</f>
        <v>4.2881646655231566E-2</v>
      </c>
      <c r="U370">
        <f>_xlfn.XLOOKUP(FME_Ranking1[[#This Row],[FME ID]],FME_Input[FME_ID],FME_Input[LWC])</f>
        <v>22</v>
      </c>
      <c r="V370" s="178">
        <f>(FME_Ranking1[[#This Row],[LWC Raw]]/$U$2)*100</f>
        <v>1.2665515256188831</v>
      </c>
      <c r="W370" s="178">
        <f>FME_Ranking1[[#This Row],[LWC Score (Normalized, Unweighted)]]*$U$3</f>
        <v>0.25331030512377661</v>
      </c>
      <c r="X370" s="246">
        <f>_xlfn.XLOOKUP(FME_Ranking1[[#This Row],[FME ID]],FME_Input[FME_ID],FME_Input[ROADCLS])</f>
        <v>22</v>
      </c>
      <c r="Y370" s="230">
        <f>(FME_Ranking1[[#This Row],[Closures Raw]]/$X$2)*100</f>
        <v>0.23131111344758701</v>
      </c>
      <c r="Z370" s="180">
        <f>FME_Ranking1[[#This Row],[Closures Score (Normalized, Unweighted)]]*$X$3</f>
        <v>1.1565555672379352E-2</v>
      </c>
      <c r="AA370" s="253">
        <f>_xlfn.XLOOKUP(FME_Ranking1[[#This Row],[FME ID]],FME_Input[FME_ID],FME_Input[ROAD_MILES100])</f>
        <v>73.761383056640625</v>
      </c>
      <c r="AB370" s="178">
        <f>(FME_Ranking1[[#This Row],[Miles Raw]]/$AA$2)*100</f>
        <v>0.96982988994347741</v>
      </c>
      <c r="AC370" s="178">
        <f>FME_Ranking1[[#This Row],[Miles Score (Normalized, Unweighted)]]*$AA$3</f>
        <v>9.6982988994347749E-2</v>
      </c>
      <c r="AD370" s="255">
        <f>_xlfn.XLOOKUP(FME_Ranking1[[#This Row],[FME ID]],FME_Input[FME_ID],FME_Input[FARMACRE100])</f>
        <v>90608.1640625</v>
      </c>
      <c r="AE370" s="230">
        <f>(FME_Ranking1[[#This Row],[Ag Land Raw]]/$AD$2)*100</f>
        <v>3.7362750781567802</v>
      </c>
      <c r="AF370" s="231">
        <f>FME_Ranking1[[#This Row],[Ag Land Score (Normalized, Unweighted)]]*$AD$3</f>
        <v>0.18681375390783903</v>
      </c>
      <c r="AG37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0.59860220834695188</v>
      </c>
      <c r="AH370" s="406">
        <f t="shared" si="5"/>
        <v>393</v>
      </c>
      <c r="AI37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0.59860220834695188</v>
      </c>
      <c r="AJ370" s="257">
        <f>FME_Ranking1[[#This Row],[Addition check]]-FME_Ranking1[[#This Row],[Weighted Score Based on Normalized Reported Factors]]</f>
        <v>0</v>
      </c>
      <c r="AK370" s="178">
        <f>_xlfn.RANK.EQ(AI370,$AI$6:$AI$2341,0)+COUNTIF($AI$6:AI370,AI370)-1</f>
        <v>393</v>
      </c>
    </row>
    <row r="371" spans="1:37" ht="12" customHeight="1" x14ac:dyDescent="0.25">
      <c r="A371" t="s">
        <v>2880</v>
      </c>
      <c r="B371">
        <f>_xlfn.XLOOKUP(FME_Ranking1[[#This Row],[FME ID]],FME_Input[FME_ID],FME_Input[RFPG_NUM])</f>
        <v>1</v>
      </c>
      <c r="C371" t="str">
        <f>_xlfn.XLOOKUP(FME_Ranking1[[#This Row],[FME ID]],FME_Input[FME_ID],FME_Input[FME_NAME])</f>
        <v>Hall County FIS</v>
      </c>
      <c r="D371" t="str">
        <f>_xlfn.XLOOKUP(FME_Ranking1[[#This Row],[FME ID]],FME_Input[FME_ID],FME_Input[DESCR])</f>
        <v>Perform flood insurance study for the county and develop regulatory mapping</v>
      </c>
      <c r="E371" s="256">
        <f>_xlfn.XLOOKUP(FME_Ranking1[[#This Row],[FME ID]],FME_Input[FME_ID],FME_Input[FME_COST])</f>
        <v>892000</v>
      </c>
      <c r="F371" t="str">
        <f>_xlfn.XLOOKUP(FME_Ranking1[[#This Row],[FME ID]],FME_Input[FME_ID],FME_Input[EMER_NEED])</f>
        <v>No</v>
      </c>
      <c r="G371">
        <f>IF(FME_Ranking!F371="Yes",100,0)</f>
        <v>0</v>
      </c>
      <c r="H371">
        <f>FME_Ranking1[[#This Row],[Emergency Need Score (Normalized, Unweighted)]]*$F$3</f>
        <v>0</v>
      </c>
      <c r="I371" s="246">
        <f>_xlfn.XLOOKUP(FME_Ranking1[[#This Row],[FME ID]],FME_Input[FME_ID],FME_Input[STRUCT_100])</f>
        <v>66</v>
      </c>
      <c r="J371" s="178">
        <f>(FME_Ranking1[[#This Row],[Structures 100 Raw]]/I$2)*100</f>
        <v>3.5342500963886393E-2</v>
      </c>
      <c r="K371" s="178">
        <f>FME_Ranking1[[#This Row],[Structures 100  Score (Normalized, Unweighted)]]*$I$3</f>
        <v>5.301375144582959E-3</v>
      </c>
      <c r="L371" s="246">
        <f>_xlfn.XLOOKUP(FME_Ranking1[[#This Row],[FME ID]],FME_Input[FME_ID],FME_Input[RES_STRUCT100])</f>
        <v>11</v>
      </c>
      <c r="M371" s="230">
        <f>(FME_Ranking1[[#This Row],[Res Structures Raw]]/L$2)*100</f>
        <v>7.7913615050077207E-3</v>
      </c>
      <c r="N371" s="180">
        <f>FME_Ranking1[[#This Row],[Res Structures Score (Normalized, Unweighted)]]*$L$3</f>
        <v>7.7913615050077215E-4</v>
      </c>
      <c r="O371" s="244">
        <f>_xlfn.XLOOKUP(FME_Ranking1[[#This Row],[FME ID]],FME_Input[FME_ID],FME_Input[POP100])</f>
        <v>63</v>
      </c>
      <c r="P371" s="178">
        <f>(FME_Ranking1[[#This Row],[Pop Raw]]/$O$2)*100</f>
        <v>6.4496446552920871E-3</v>
      </c>
      <c r="Q371" s="178">
        <f>FME_Ranking1[[#This Row],[Pop Score (Normalized, Unweighted)]]*$O$3</f>
        <v>9.6744669829381303E-4</v>
      </c>
      <c r="R371" s="137">
        <f>_xlfn.XLOOKUP(FME_Ranking1[[#This Row],[FME ID]],FME_Input[FME_ID],FME_Input[CRITFAC100])</f>
        <v>5</v>
      </c>
      <c r="S371" s="230">
        <f>(FME_Ranking1[[#This Row],[Critical Facilities Raw]]/$R$2)*100</f>
        <v>0.21440823327615782</v>
      </c>
      <c r="T371" s="180">
        <f>FME_Ranking1[[#This Row],[Critical Facilities Score (Normalized, Unweighted)]]*$R$3</f>
        <v>4.2881646655231566E-2</v>
      </c>
      <c r="U371">
        <f>_xlfn.XLOOKUP(FME_Ranking1[[#This Row],[FME ID]],FME_Input[FME_ID],FME_Input[LWC])</f>
        <v>22</v>
      </c>
      <c r="V371" s="178">
        <f>(FME_Ranking1[[#This Row],[LWC Raw]]/$U$2)*100</f>
        <v>1.2665515256188831</v>
      </c>
      <c r="W371" s="178">
        <f>FME_Ranking1[[#This Row],[LWC Score (Normalized, Unweighted)]]*$U$3</f>
        <v>0.25331030512377661</v>
      </c>
      <c r="X371" s="246">
        <f>_xlfn.XLOOKUP(FME_Ranking1[[#This Row],[FME ID]],FME_Input[FME_ID],FME_Input[ROADCLS])</f>
        <v>22</v>
      </c>
      <c r="Y371" s="230">
        <f>(FME_Ranking1[[#This Row],[Closures Raw]]/$X$2)*100</f>
        <v>0.23131111344758701</v>
      </c>
      <c r="Z371" s="180">
        <f>FME_Ranking1[[#This Row],[Closures Score (Normalized, Unweighted)]]*$X$3</f>
        <v>1.1565555672379352E-2</v>
      </c>
      <c r="AA371" s="253">
        <f>_xlfn.XLOOKUP(FME_Ranking1[[#This Row],[FME ID]],FME_Input[FME_ID],FME_Input[ROAD_MILES100])</f>
        <v>73.761383056640625</v>
      </c>
      <c r="AB371" s="178">
        <f>(FME_Ranking1[[#This Row],[Miles Raw]]/$AA$2)*100</f>
        <v>0.96982988994347741</v>
      </c>
      <c r="AC371" s="178">
        <f>FME_Ranking1[[#This Row],[Miles Score (Normalized, Unweighted)]]*$AA$3</f>
        <v>9.6982988994347749E-2</v>
      </c>
      <c r="AD371" s="255">
        <f>_xlfn.XLOOKUP(FME_Ranking1[[#This Row],[FME ID]],FME_Input[FME_ID],FME_Input[FARMACRE100])</f>
        <v>90608.1640625</v>
      </c>
      <c r="AE371" s="230">
        <f>(FME_Ranking1[[#This Row],[Ag Land Raw]]/$AD$2)*100</f>
        <v>3.7362750781567802</v>
      </c>
      <c r="AF371" s="231">
        <f>FME_Ranking1[[#This Row],[Ag Land Score (Normalized, Unweighted)]]*$AD$3</f>
        <v>0.18681375390783903</v>
      </c>
      <c r="AG37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0.59860220834695188</v>
      </c>
      <c r="AH371" s="406">
        <f t="shared" si="5"/>
        <v>393</v>
      </c>
      <c r="AI37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0.59860220834695188</v>
      </c>
      <c r="AJ371" s="257">
        <f>FME_Ranking1[[#This Row],[Addition check]]-FME_Ranking1[[#This Row],[Weighted Score Based on Normalized Reported Factors]]</f>
        <v>0</v>
      </c>
      <c r="AK371" s="178">
        <f>_xlfn.RANK.EQ(AI371,$AI$6:$AI$2341,0)+COUNTIF($AI$6:AI371,AI371)-1</f>
        <v>394</v>
      </c>
    </row>
    <row r="372" spans="1:37" ht="12" customHeight="1" x14ac:dyDescent="0.25">
      <c r="A372" t="s">
        <v>159</v>
      </c>
      <c r="B372">
        <f>_xlfn.XLOOKUP(FME_Ranking1[[#This Row],[FME ID]],FME_Input[FME_ID],FME_Input[RFPG_NUM])</f>
        <v>10</v>
      </c>
      <c r="C372" t="str">
        <f>_xlfn.XLOOKUP(FME_Ranking1[[#This Row],[FME ID]],FME_Input[FME_ID],FME_Input[FME_NAME])</f>
        <v>Update and Maintain Emergency Management Plan</v>
      </c>
      <c r="D372" t="str">
        <f>_xlfn.XLOOKUP(FME_Ranking1[[#This Row],[FME ID]],FME_Input[FME_ID],FME_Input[DESCR])</f>
        <v>Update and Maintain Emergency Management Plan</v>
      </c>
      <c r="E372" s="256">
        <f>_xlfn.XLOOKUP(FME_Ranking1[[#This Row],[FME ID]],FME_Input[FME_ID],FME_Input[FME_COST])</f>
        <v>25000</v>
      </c>
      <c r="F372" t="str">
        <f>_xlfn.XLOOKUP(FME_Ranking1[[#This Row],[FME ID]],FME_Input[FME_ID],FME_Input[EMER_NEED])</f>
        <v>No</v>
      </c>
      <c r="G372">
        <f>IF(FME_Ranking!F372="Yes",100,0)</f>
        <v>0</v>
      </c>
      <c r="H372">
        <f>FME_Ranking1[[#This Row],[Emergency Need Score (Normalized, Unweighted)]]*$F$3</f>
        <v>0</v>
      </c>
      <c r="I372" s="246">
        <f>_xlfn.XLOOKUP(FME_Ranking1[[#This Row],[FME ID]],FME_Input[FME_ID],FME_Input[STRUCT_100])</f>
        <v>294</v>
      </c>
      <c r="J372" s="178">
        <f>(FME_Ranking1[[#This Row],[Structures 100 Raw]]/I$2)*100</f>
        <v>0.15743477702094846</v>
      </c>
      <c r="K372" s="178">
        <f>FME_Ranking1[[#This Row],[Structures 100  Score (Normalized, Unweighted)]]*$I$3</f>
        <v>2.3615216553142269E-2</v>
      </c>
      <c r="L372" s="246">
        <f>_xlfn.XLOOKUP(FME_Ranking1[[#This Row],[FME ID]],FME_Input[FME_ID],FME_Input[RES_STRUCT100])</f>
        <v>181</v>
      </c>
      <c r="M372" s="230">
        <f>(FME_Ranking1[[#This Row],[Res Structures Raw]]/L$2)*100</f>
        <v>0.12820331203694521</v>
      </c>
      <c r="N372" s="180">
        <f>FME_Ranking1[[#This Row],[Res Structures Score (Normalized, Unweighted)]]*$L$3</f>
        <v>1.2820331203694522E-2</v>
      </c>
      <c r="O372" s="244">
        <f>_xlfn.XLOOKUP(FME_Ranking1[[#This Row],[FME ID]],FME_Input[FME_ID],FME_Input[POP100])</f>
        <v>592</v>
      </c>
      <c r="P372" s="178">
        <f>(FME_Ranking1[[#This Row],[Pop Raw]]/$O$2)*100</f>
        <v>6.060618469734786E-2</v>
      </c>
      <c r="Q372" s="178">
        <f>FME_Ranking1[[#This Row],[Pop Score (Normalized, Unweighted)]]*$O$3</f>
        <v>9.0909277046021791E-3</v>
      </c>
      <c r="R372" s="137">
        <f>_xlfn.XLOOKUP(FME_Ranking1[[#This Row],[FME ID]],FME_Input[FME_ID],FME_Input[CRITFAC100])</f>
        <v>0</v>
      </c>
      <c r="S372" s="230">
        <f>(FME_Ranking1[[#This Row],[Critical Facilities Raw]]/$R$2)*100</f>
        <v>0</v>
      </c>
      <c r="T372" s="180">
        <f>FME_Ranking1[[#This Row],[Critical Facilities Score (Normalized, Unweighted)]]*$R$3</f>
        <v>0</v>
      </c>
      <c r="U372">
        <f>_xlfn.XLOOKUP(FME_Ranking1[[#This Row],[FME ID]],FME_Input[FME_ID],FME_Input[LWC])</f>
        <v>35</v>
      </c>
      <c r="V372" s="178">
        <f>(FME_Ranking1[[#This Row],[LWC Raw]]/$U$2)*100</f>
        <v>2.0149683362118593</v>
      </c>
      <c r="W372" s="178">
        <f>FME_Ranking1[[#This Row],[LWC Score (Normalized, Unweighted)]]*$U$3</f>
        <v>0.4029936672423719</v>
      </c>
      <c r="X372" s="246">
        <f>_xlfn.XLOOKUP(FME_Ranking1[[#This Row],[FME ID]],FME_Input[FME_ID],FME_Input[ROADCLS])</f>
        <v>0</v>
      </c>
      <c r="Y372" s="230">
        <f>(FME_Ranking1[[#This Row],[Closures Raw]]/$X$2)*100</f>
        <v>0</v>
      </c>
      <c r="Z372" s="180">
        <f>FME_Ranking1[[#This Row],[Closures Score (Normalized, Unweighted)]]*$X$3</f>
        <v>0</v>
      </c>
      <c r="AA372" s="253">
        <f>_xlfn.XLOOKUP(FME_Ranking1[[#This Row],[FME ID]],FME_Input[FME_ID],FME_Input[ROAD_MILES100])</f>
        <v>5.9331645965576172</v>
      </c>
      <c r="AB372" s="178">
        <f>(FME_Ranking1[[#This Row],[Miles Raw]]/$AA$2)*100</f>
        <v>7.8010472814446133E-2</v>
      </c>
      <c r="AC372" s="178">
        <f>FME_Ranking1[[#This Row],[Miles Score (Normalized, Unweighted)]]*$AA$3</f>
        <v>7.8010472814446135E-3</v>
      </c>
      <c r="AD372" s="255">
        <f>_xlfn.XLOOKUP(FME_Ranking1[[#This Row],[FME ID]],FME_Input[FME_ID],FME_Input[FARMACRE100])</f>
        <v>25477.814453125</v>
      </c>
      <c r="AE372" s="230">
        <f>(FME_Ranking1[[#This Row],[Ag Land Raw]]/$AD$2)*100</f>
        <v>1.0505910165164767</v>
      </c>
      <c r="AF372" s="231">
        <f>FME_Ranking1[[#This Row],[Ag Land Score (Normalized, Unweighted)]]*$AD$3</f>
        <v>5.2529550825823834E-2</v>
      </c>
      <c r="AG37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0.50885074081107928</v>
      </c>
      <c r="AH372" s="406">
        <f t="shared" si="5"/>
        <v>428</v>
      </c>
      <c r="AI37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0.50885074081107928</v>
      </c>
      <c r="AJ372" s="257">
        <f>FME_Ranking1[[#This Row],[Addition check]]-FME_Ranking1[[#This Row],[Weighted Score Based on Normalized Reported Factors]]</f>
        <v>0</v>
      </c>
      <c r="AK372" s="178">
        <f>_xlfn.RANK.EQ(AI372,$AI$6:$AI$2341,0)+COUNTIF($AI$6:AI372,AI372)-1</f>
        <v>428</v>
      </c>
    </row>
    <row r="373" spans="1:37" ht="12" customHeight="1" x14ac:dyDescent="0.25">
      <c r="A373" t="s">
        <v>164</v>
      </c>
      <c r="B373">
        <f>_xlfn.XLOOKUP(FME_Ranking1[[#This Row],[FME ID]],FME_Input[FME_ID],FME_Input[RFPG_NUM])</f>
        <v>10</v>
      </c>
      <c r="C373" t="str">
        <f>_xlfn.XLOOKUP(FME_Ranking1[[#This Row],[FME ID]],FME_Input[FME_ID],FME_Input[FME_NAME])</f>
        <v>Various Locations - Upgrade Low Water Crossings</v>
      </c>
      <c r="D373" t="str">
        <f>_xlfn.XLOOKUP(FME_Ranking1[[#This Row],[FME ID]],FME_Input[FME_ID],FME_Input[DESCR])</f>
        <v>Various Locations - Upgrade Low Water Crossings</v>
      </c>
      <c r="E373" s="256">
        <f>_xlfn.XLOOKUP(FME_Ranking1[[#This Row],[FME ID]],FME_Input[FME_ID],FME_Input[FME_COST])</f>
        <v>100000</v>
      </c>
      <c r="F373" t="str">
        <f>_xlfn.XLOOKUP(FME_Ranking1[[#This Row],[FME ID]],FME_Input[FME_ID],FME_Input[EMER_NEED])</f>
        <v>No</v>
      </c>
      <c r="G373">
        <f>IF(FME_Ranking!F373="Yes",100,0)</f>
        <v>0</v>
      </c>
      <c r="H373">
        <f>FME_Ranking1[[#This Row],[Emergency Need Score (Normalized, Unweighted)]]*$F$3</f>
        <v>0</v>
      </c>
      <c r="I373" s="246">
        <f>_xlfn.XLOOKUP(FME_Ranking1[[#This Row],[FME ID]],FME_Input[FME_ID],FME_Input[STRUCT_100])</f>
        <v>294</v>
      </c>
      <c r="J373" s="178">
        <f>(FME_Ranking1[[#This Row],[Structures 100 Raw]]/I$2)*100</f>
        <v>0.15743477702094846</v>
      </c>
      <c r="K373" s="178">
        <f>FME_Ranking1[[#This Row],[Structures 100  Score (Normalized, Unweighted)]]*$I$3</f>
        <v>2.3615216553142269E-2</v>
      </c>
      <c r="L373" s="246">
        <f>_xlfn.XLOOKUP(FME_Ranking1[[#This Row],[FME ID]],FME_Input[FME_ID],FME_Input[RES_STRUCT100])</f>
        <v>181</v>
      </c>
      <c r="M373" s="230">
        <f>(FME_Ranking1[[#This Row],[Res Structures Raw]]/L$2)*100</f>
        <v>0.12820331203694521</v>
      </c>
      <c r="N373" s="180">
        <f>FME_Ranking1[[#This Row],[Res Structures Score (Normalized, Unweighted)]]*$L$3</f>
        <v>1.2820331203694522E-2</v>
      </c>
      <c r="O373" s="244">
        <f>_xlfn.XLOOKUP(FME_Ranking1[[#This Row],[FME ID]],FME_Input[FME_ID],FME_Input[POP100])</f>
        <v>592</v>
      </c>
      <c r="P373" s="178">
        <f>(FME_Ranking1[[#This Row],[Pop Raw]]/$O$2)*100</f>
        <v>6.060618469734786E-2</v>
      </c>
      <c r="Q373" s="178">
        <f>FME_Ranking1[[#This Row],[Pop Score (Normalized, Unweighted)]]*$O$3</f>
        <v>9.0909277046021791E-3</v>
      </c>
      <c r="R373" s="137">
        <f>_xlfn.XLOOKUP(FME_Ranking1[[#This Row],[FME ID]],FME_Input[FME_ID],FME_Input[CRITFAC100])</f>
        <v>0</v>
      </c>
      <c r="S373" s="230">
        <f>(FME_Ranking1[[#This Row],[Critical Facilities Raw]]/$R$2)*100</f>
        <v>0</v>
      </c>
      <c r="T373" s="180">
        <f>FME_Ranking1[[#This Row],[Critical Facilities Score (Normalized, Unweighted)]]*$R$3</f>
        <v>0</v>
      </c>
      <c r="U373">
        <f>_xlfn.XLOOKUP(FME_Ranking1[[#This Row],[FME ID]],FME_Input[FME_ID],FME_Input[LWC])</f>
        <v>35</v>
      </c>
      <c r="V373" s="178">
        <f>(FME_Ranking1[[#This Row],[LWC Raw]]/$U$2)*100</f>
        <v>2.0149683362118593</v>
      </c>
      <c r="W373" s="178">
        <f>FME_Ranking1[[#This Row],[LWC Score (Normalized, Unweighted)]]*$U$3</f>
        <v>0.4029936672423719</v>
      </c>
      <c r="X373" s="246">
        <f>_xlfn.XLOOKUP(FME_Ranking1[[#This Row],[FME ID]],FME_Input[FME_ID],FME_Input[ROADCLS])</f>
        <v>0</v>
      </c>
      <c r="Y373" s="230">
        <f>(FME_Ranking1[[#This Row],[Closures Raw]]/$X$2)*100</f>
        <v>0</v>
      </c>
      <c r="Z373" s="180">
        <f>FME_Ranking1[[#This Row],[Closures Score (Normalized, Unweighted)]]*$X$3</f>
        <v>0</v>
      </c>
      <c r="AA373" s="253">
        <f>_xlfn.XLOOKUP(FME_Ranking1[[#This Row],[FME ID]],FME_Input[FME_ID],FME_Input[ROAD_MILES100])</f>
        <v>5.9331645965576172</v>
      </c>
      <c r="AB373" s="178">
        <f>(FME_Ranking1[[#This Row],[Miles Raw]]/$AA$2)*100</f>
        <v>7.8010472814446133E-2</v>
      </c>
      <c r="AC373" s="178">
        <f>FME_Ranking1[[#This Row],[Miles Score (Normalized, Unweighted)]]*$AA$3</f>
        <v>7.8010472814446135E-3</v>
      </c>
      <c r="AD373" s="255">
        <f>_xlfn.XLOOKUP(FME_Ranking1[[#This Row],[FME ID]],FME_Input[FME_ID],FME_Input[FARMACRE100])</f>
        <v>25477.814453125</v>
      </c>
      <c r="AE373" s="230">
        <f>(FME_Ranking1[[#This Row],[Ag Land Raw]]/$AD$2)*100</f>
        <v>1.0505910165164767</v>
      </c>
      <c r="AF373" s="231">
        <f>FME_Ranking1[[#This Row],[Ag Land Score (Normalized, Unweighted)]]*$AD$3</f>
        <v>5.2529550825823834E-2</v>
      </c>
      <c r="AG37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0.50885074081107928</v>
      </c>
      <c r="AH373" s="406">
        <f t="shared" si="5"/>
        <v>428</v>
      </c>
      <c r="AI37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0.50885074081107928</v>
      </c>
      <c r="AJ373" s="257">
        <f>FME_Ranking1[[#This Row],[Addition check]]-FME_Ranking1[[#This Row],[Weighted Score Based on Normalized Reported Factors]]</f>
        <v>0</v>
      </c>
      <c r="AK373" s="178">
        <f>_xlfn.RANK.EQ(AI373,$AI$6:$AI$2341,0)+COUNTIF($AI$6:AI373,AI373)-1</f>
        <v>429</v>
      </c>
    </row>
    <row r="374" spans="1:37" ht="12" customHeight="1" x14ac:dyDescent="0.25">
      <c r="A374" t="s">
        <v>11020</v>
      </c>
      <c r="B374">
        <f>_xlfn.XLOOKUP(FME_Ranking1[[#This Row],[FME ID]],FME_Input[FME_ID],FME_Input[RFPG_NUM])</f>
        <v>14</v>
      </c>
      <c r="C374" t="str">
        <f>_xlfn.XLOOKUP(FME_Ranking1[[#This Row],[FME ID]],FME_Input[FME_ID],FME_Input[FME_NAME])</f>
        <v>Develop city-wide drainage study and stormwater master plan for City of Socorro</v>
      </c>
      <c r="D374" t="str">
        <f>_xlfn.XLOOKUP(FME_Ranking1[[#This Row],[FME ID]],FME_Input[FME_ID],FME_Input[DESCR])</f>
        <v>Develop city-wide drainage study and stormwater master plan for Socorro.  Develop detailed H&amp;H models and floodplain maps.  Evaluate FMP alternatives.</v>
      </c>
      <c r="E374" s="256">
        <f>_xlfn.XLOOKUP(FME_Ranking1[[#This Row],[FME ID]],FME_Input[FME_ID],FME_Input[FME_COST])</f>
        <v>73000</v>
      </c>
      <c r="F374" t="str">
        <f>_xlfn.XLOOKUP(FME_Ranking1[[#This Row],[FME ID]],FME_Input[FME_ID],FME_Input[EMER_NEED])</f>
        <v>No</v>
      </c>
      <c r="G374">
        <f>IF(FME_Ranking!F374="Yes",100,0)</f>
        <v>0</v>
      </c>
      <c r="H374">
        <f>FME_Ranking1[[#This Row],[Emergency Need Score (Normalized, Unweighted)]]*$F$3</f>
        <v>0</v>
      </c>
      <c r="I374" s="246">
        <f>_xlfn.XLOOKUP(FME_Ranking1[[#This Row],[FME ID]],FME_Input[FME_ID],FME_Input[STRUCT_100])</f>
        <v>2578</v>
      </c>
      <c r="J374" s="178">
        <f>(FME_Ranking1[[#This Row],[Structures 100 Raw]]/I$2)*100</f>
        <v>1.3804995073469561</v>
      </c>
      <c r="K374" s="178">
        <f>FME_Ranking1[[#This Row],[Structures 100  Score (Normalized, Unweighted)]]*$I$3</f>
        <v>0.20707492610204342</v>
      </c>
      <c r="L374" s="246">
        <f>_xlfn.XLOOKUP(FME_Ranking1[[#This Row],[FME ID]],FME_Input[FME_ID],FME_Input[RES_STRUCT100])</f>
        <v>2267</v>
      </c>
      <c r="M374" s="230">
        <f>(FME_Ranking1[[#This Row],[Res Structures Raw]]/L$2)*100</f>
        <v>1.6057287756229548</v>
      </c>
      <c r="N374" s="180">
        <f>FME_Ranking1[[#This Row],[Res Structures Score (Normalized, Unweighted)]]*$L$3</f>
        <v>0.16057287756229549</v>
      </c>
      <c r="O374" s="244">
        <f>_xlfn.XLOOKUP(FME_Ranking1[[#This Row],[FME ID]],FME_Input[FME_ID],FME_Input[POP100])</f>
        <v>7825</v>
      </c>
      <c r="P374" s="178">
        <f>(FME_Ranking1[[#This Row],[Pop Raw]]/$O$2)*100</f>
        <v>0.80108681631207279</v>
      </c>
      <c r="Q374" s="178">
        <f>FME_Ranking1[[#This Row],[Pop Score (Normalized, Unweighted)]]*$O$3</f>
        <v>0.12016302244681092</v>
      </c>
      <c r="R374" s="137">
        <f>_xlfn.XLOOKUP(FME_Ranking1[[#This Row],[FME ID]],FME_Input[FME_ID],FME_Input[CRITFAC100])</f>
        <v>0</v>
      </c>
      <c r="S374" s="230">
        <f>(FME_Ranking1[[#This Row],[Critical Facilities Raw]]/$R$2)*100</f>
        <v>0</v>
      </c>
      <c r="T374" s="180">
        <f>FME_Ranking1[[#This Row],[Critical Facilities Score (Normalized, Unweighted)]]*$R$3</f>
        <v>0</v>
      </c>
      <c r="U374">
        <f>_xlfn.XLOOKUP(FME_Ranking1[[#This Row],[FME ID]],FME_Input[FME_ID],FME_Input[LWC])</f>
        <v>0</v>
      </c>
      <c r="V374" s="178">
        <f>(FME_Ranking1[[#This Row],[LWC Raw]]/$U$2)*100</f>
        <v>0</v>
      </c>
      <c r="W374" s="178">
        <f>FME_Ranking1[[#This Row],[LWC Score (Normalized, Unweighted)]]*$U$3</f>
        <v>0</v>
      </c>
      <c r="X374" s="246">
        <f>_xlfn.XLOOKUP(FME_Ranking1[[#This Row],[FME ID]],FME_Input[FME_ID],FME_Input[ROADCLS])</f>
        <v>0</v>
      </c>
      <c r="Y374" s="230">
        <f>(FME_Ranking1[[#This Row],[Closures Raw]]/$X$2)*100</f>
        <v>0</v>
      </c>
      <c r="Z374" s="180">
        <f>FME_Ranking1[[#This Row],[Closures Score (Normalized, Unweighted)]]*$X$3</f>
        <v>0</v>
      </c>
      <c r="AA374" s="253">
        <f>_xlfn.XLOOKUP(FME_Ranking1[[#This Row],[FME ID]],FME_Input[FME_ID],FME_Input[ROAD_MILES100])</f>
        <v>43.732101440429688</v>
      </c>
      <c r="AB374" s="178">
        <f>(FME_Ranking1[[#This Row],[Miles Raw]]/$AA$2)*100</f>
        <v>0.57499869673539927</v>
      </c>
      <c r="AC374" s="178">
        <f>FME_Ranking1[[#This Row],[Miles Score (Normalized, Unweighted)]]*$AA$3</f>
        <v>5.7499869673539927E-2</v>
      </c>
      <c r="AD374" s="255">
        <f>_xlfn.XLOOKUP(FME_Ranking1[[#This Row],[FME ID]],FME_Input[FME_ID],FME_Input[FARMACRE100])</f>
        <v>3083.5400390625</v>
      </c>
      <c r="AE374" s="230">
        <f>(FME_Ranking1[[#This Row],[Ag Land Raw]]/$AD$2)*100</f>
        <v>0.12715138773257609</v>
      </c>
      <c r="AF374" s="231">
        <f>FME_Ranking1[[#This Row],[Ag Land Score (Normalized, Unweighted)]]*$AD$3</f>
        <v>6.3575693866288049E-3</v>
      </c>
      <c r="AG37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0.55166826517131862</v>
      </c>
      <c r="AH374" s="406">
        <f t="shared" si="5"/>
        <v>404</v>
      </c>
      <c r="AI37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0.55166826517131862</v>
      </c>
      <c r="AJ374" s="257">
        <f>FME_Ranking1[[#This Row],[Addition check]]-FME_Ranking1[[#This Row],[Weighted Score Based on Normalized Reported Factors]]</f>
        <v>0</v>
      </c>
      <c r="AK374" s="178">
        <f>_xlfn.RANK.EQ(AI374,$AI$6:$AI$2341,0)+COUNTIF($AI$6:AI374,AI374)-1</f>
        <v>404</v>
      </c>
    </row>
    <row r="375" spans="1:37" ht="12" customHeight="1" x14ac:dyDescent="0.25">
      <c r="A375" t="s">
        <v>4793</v>
      </c>
      <c r="B375">
        <f>_xlfn.XLOOKUP(FME_Ranking1[[#This Row],[FME ID]],FME_Input[FME_ID],FME_Input[RFPG_NUM])</f>
        <v>3</v>
      </c>
      <c r="C375" t="str">
        <f>_xlfn.XLOOKUP(FME_Ranking1[[#This Row],[FME ID]],FME_Input[FME_ID],FME_Input[FME_NAME])</f>
        <v>City of Plano DMP</v>
      </c>
      <c r="D375" t="str">
        <f>_xlfn.XLOOKUP(FME_Ranking1[[#This Row],[FME ID]],FME_Input[FME_ID],FME_Input[DESCR])</f>
        <v>Evaluate alternatives for citywide drainage improvements for areas with history of flooding.</v>
      </c>
      <c r="E375" s="256">
        <f>_xlfn.XLOOKUP(FME_Ranking1[[#This Row],[FME ID]],FME_Input[FME_ID],FME_Input[FME_COST])</f>
        <v>250000</v>
      </c>
      <c r="F375" t="str">
        <f>_xlfn.XLOOKUP(FME_Ranking1[[#This Row],[FME ID]],FME_Input[FME_ID],FME_Input[EMER_NEED])</f>
        <v>No</v>
      </c>
      <c r="G375">
        <f>IF(FME_Ranking!F375="Yes",100,0)</f>
        <v>0</v>
      </c>
      <c r="H375">
        <f>FME_Ranking1[[#This Row],[Emergency Need Score (Normalized, Unweighted)]]*$F$3</f>
        <v>0</v>
      </c>
      <c r="I375" s="246">
        <f>_xlfn.XLOOKUP(FME_Ranking1[[#This Row],[FME ID]],FME_Input[FME_ID],FME_Input[STRUCT_100])</f>
        <v>381</v>
      </c>
      <c r="J375" s="178">
        <f>(FME_Ranking1[[#This Row],[Structures 100 Raw]]/I$2)*100</f>
        <v>0.20402261920061687</v>
      </c>
      <c r="K375" s="178">
        <f>FME_Ranking1[[#This Row],[Structures 100  Score (Normalized, Unweighted)]]*$I$3</f>
        <v>3.060339288009253E-2</v>
      </c>
      <c r="L375" s="246">
        <f>_xlfn.XLOOKUP(FME_Ranking1[[#This Row],[FME ID]],FME_Input[FME_ID],FME_Input[RES_STRUCT100])</f>
        <v>326</v>
      </c>
      <c r="M375" s="230">
        <f>(FME_Ranking1[[#This Row],[Res Structures Raw]]/L$2)*100</f>
        <v>0.23090762278477425</v>
      </c>
      <c r="N375" s="180">
        <f>FME_Ranking1[[#This Row],[Res Structures Score (Normalized, Unweighted)]]*$L$3</f>
        <v>2.3090762278477426E-2</v>
      </c>
      <c r="O375" s="244">
        <f>_xlfn.XLOOKUP(FME_Ranking1[[#This Row],[FME ID]],FME_Input[FME_ID],FME_Input[POP100])</f>
        <v>5528</v>
      </c>
      <c r="P375" s="178">
        <f>(FME_Ranking1[[#This Row],[Pop Raw]]/$O$2)*100</f>
        <v>0.5659307246738835</v>
      </c>
      <c r="Q375" s="178">
        <f>FME_Ranking1[[#This Row],[Pop Score (Normalized, Unweighted)]]*$O$3</f>
        <v>8.4889608701082517E-2</v>
      </c>
      <c r="R375" s="137">
        <f>_xlfn.XLOOKUP(FME_Ranking1[[#This Row],[FME ID]],FME_Input[FME_ID],FME_Input[CRITFAC100])</f>
        <v>9</v>
      </c>
      <c r="S375" s="230">
        <f>(FME_Ranking1[[#This Row],[Critical Facilities Raw]]/$R$2)*100</f>
        <v>0.38593481989708406</v>
      </c>
      <c r="T375" s="180">
        <f>FME_Ranking1[[#This Row],[Critical Facilities Score (Normalized, Unweighted)]]*$R$3</f>
        <v>7.7186963979416823E-2</v>
      </c>
      <c r="U375">
        <f>_xlfn.XLOOKUP(FME_Ranking1[[#This Row],[FME ID]],FME_Input[FME_ID],FME_Input[LWC])</f>
        <v>24</v>
      </c>
      <c r="V375" s="178">
        <f>(FME_Ranking1[[#This Row],[LWC Raw]]/$U$2)*100</f>
        <v>1.3816925734024179</v>
      </c>
      <c r="W375" s="178">
        <f>FME_Ranking1[[#This Row],[LWC Score (Normalized, Unweighted)]]*$U$3</f>
        <v>0.27633851468048359</v>
      </c>
      <c r="X375" s="246">
        <f>_xlfn.XLOOKUP(FME_Ranking1[[#This Row],[FME ID]],FME_Input[FME_ID],FME_Input[ROADCLS])</f>
        <v>0</v>
      </c>
      <c r="Y375" s="230">
        <f>(FME_Ranking1[[#This Row],[Closures Raw]]/$X$2)*100</f>
        <v>0</v>
      </c>
      <c r="Z375" s="180">
        <f>FME_Ranking1[[#This Row],[Closures Score (Normalized, Unweighted)]]*$X$3</f>
        <v>0</v>
      </c>
      <c r="AA375" s="253">
        <f>_xlfn.XLOOKUP(FME_Ranking1[[#This Row],[FME ID]],FME_Input[FME_ID],FME_Input[ROAD_MILES100])</f>
        <v>18.438430786132809</v>
      </c>
      <c r="AB375" s="178">
        <f>(FME_Ranking1[[#This Row],[Miles Raw]]/$AA$2)*100</f>
        <v>0.24243229395948407</v>
      </c>
      <c r="AC375" s="178">
        <f>FME_Ranking1[[#This Row],[Miles Score (Normalized, Unweighted)]]*$AA$3</f>
        <v>2.4243229395948408E-2</v>
      </c>
      <c r="AD375" s="255">
        <f>_xlfn.XLOOKUP(FME_Ranking1[[#This Row],[FME ID]],FME_Input[FME_ID],FME_Input[FARMACRE100])</f>
        <v>695.4033203125</v>
      </c>
      <c r="AE375" s="230">
        <f>(FME_Ranking1[[#This Row],[Ag Land Raw]]/$AD$2)*100</f>
        <v>2.8675319954158469E-2</v>
      </c>
      <c r="AF375" s="231">
        <f>FME_Ranking1[[#This Row],[Ag Land Score (Normalized, Unweighted)]]*$AD$3</f>
        <v>1.4337659977079235E-3</v>
      </c>
      <c r="AG37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0.51778623791320921</v>
      </c>
      <c r="AH375" s="406">
        <f t="shared" si="5"/>
        <v>417</v>
      </c>
      <c r="AI37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0.51778623791320921</v>
      </c>
      <c r="AJ375" s="257">
        <f>FME_Ranking1[[#This Row],[Addition check]]-FME_Ranking1[[#This Row],[Weighted Score Based on Normalized Reported Factors]]</f>
        <v>0</v>
      </c>
      <c r="AK375" s="178">
        <f>_xlfn.RANK.EQ(AI375,$AI$6:$AI$2341,0)+COUNTIF($AI$6:AI375,AI375)-1</f>
        <v>417</v>
      </c>
    </row>
    <row r="376" spans="1:37" ht="12" customHeight="1" x14ac:dyDescent="0.25">
      <c r="A376" t="s">
        <v>11407</v>
      </c>
      <c r="B376">
        <f>_xlfn.XLOOKUP(FME_Ranking1[[#This Row],[FME ID]],FME_Input[FME_ID],FME_Input[RFPG_NUM])</f>
        <v>15</v>
      </c>
      <c r="C376" t="str">
        <f>_xlfn.XLOOKUP(FME_Ranking1[[#This Row],[FME ID]],FME_Input[FME_ID],FME_Input[FME_NAME])</f>
        <v>Val Verde County</v>
      </c>
      <c r="D376" t="str">
        <f>_xlfn.XLOOKUP(FME_Ranking1[[#This Row],[FME ID]],FME_Input[FME_ID],FME_Input[DESCR])</f>
        <v>Develop Flood risk maps for the county of Val Verde and develop CIP</v>
      </c>
      <c r="E376" s="256">
        <f>_xlfn.XLOOKUP(FME_Ranking1[[#This Row],[FME ID]],FME_Input[FME_ID],FME_Input[FME_COST])</f>
        <v>500000</v>
      </c>
      <c r="F376" t="str">
        <f>_xlfn.XLOOKUP(FME_Ranking1[[#This Row],[FME ID]],FME_Input[FME_ID],FME_Input[EMER_NEED])</f>
        <v>Yes</v>
      </c>
      <c r="G376">
        <f>IF(FME_Ranking!F376="Yes",100,0)</f>
        <v>100</v>
      </c>
      <c r="H376">
        <f>FME_Ranking1[[#This Row],[Emergency Need Score (Normalized, Unweighted)]]*$F$3</f>
        <v>0</v>
      </c>
      <c r="I376" s="246">
        <f>_xlfn.XLOOKUP(FME_Ranking1[[#This Row],[FME ID]],FME_Input[FME_ID],FME_Input[STRUCT_100])</f>
        <v>0</v>
      </c>
      <c r="J376" s="178">
        <f>(FME_Ranking1[[#This Row],[Structures 100 Raw]]/I$2)*100</f>
        <v>0</v>
      </c>
      <c r="K376" s="178">
        <f>FME_Ranking1[[#This Row],[Structures 100  Score (Normalized, Unweighted)]]*$I$3</f>
        <v>0</v>
      </c>
      <c r="L376" s="246">
        <f>_xlfn.XLOOKUP(FME_Ranking1[[#This Row],[FME ID]],FME_Input[FME_ID],FME_Input[RES_STRUCT100])</f>
        <v>1387</v>
      </c>
      <c r="M376" s="230">
        <f>(FME_Ranking1[[#This Row],[Res Structures Raw]]/L$2)*100</f>
        <v>0.9824198552223371</v>
      </c>
      <c r="N376" s="180">
        <f>FME_Ranking1[[#This Row],[Res Structures Score (Normalized, Unweighted)]]*$L$3</f>
        <v>9.8241985522233718E-2</v>
      </c>
      <c r="O376" s="244">
        <f>_xlfn.XLOOKUP(FME_Ranking1[[#This Row],[FME ID]],FME_Input[FME_ID],FME_Input[POP100])</f>
        <v>5620</v>
      </c>
      <c r="P376" s="178">
        <f>(FME_Ranking1[[#This Row],[Pop Raw]]/$O$2)*100</f>
        <v>0.57534925337684972</v>
      </c>
      <c r="Q376" s="178">
        <f>FME_Ranking1[[#This Row],[Pop Score (Normalized, Unweighted)]]*$O$3</f>
        <v>8.6302388006527453E-2</v>
      </c>
      <c r="R376" s="137">
        <f>_xlfn.XLOOKUP(FME_Ranking1[[#This Row],[FME ID]],FME_Input[FME_ID],FME_Input[CRITFAC100])</f>
        <v>2</v>
      </c>
      <c r="S376" s="230">
        <f>(FME_Ranking1[[#This Row],[Critical Facilities Raw]]/$R$2)*100</f>
        <v>8.5763293310463118E-2</v>
      </c>
      <c r="T376" s="180">
        <f>FME_Ranking1[[#This Row],[Critical Facilities Score (Normalized, Unweighted)]]*$R$3</f>
        <v>1.7152658662092625E-2</v>
      </c>
      <c r="U376">
        <f>_xlfn.XLOOKUP(FME_Ranking1[[#This Row],[FME ID]],FME_Input[FME_ID],FME_Input[LWC])</f>
        <v>25</v>
      </c>
      <c r="V376" s="178">
        <f>(FME_Ranking1[[#This Row],[LWC Raw]]/$U$2)*100</f>
        <v>1.4392630972941853</v>
      </c>
      <c r="W376" s="178">
        <f>FME_Ranking1[[#This Row],[LWC Score (Normalized, Unweighted)]]*$U$3</f>
        <v>0.28785261945883706</v>
      </c>
      <c r="X376" s="246">
        <f>_xlfn.XLOOKUP(FME_Ranking1[[#This Row],[FME ID]],FME_Input[FME_ID],FME_Input[ROADCLS])</f>
        <v>0</v>
      </c>
      <c r="Y376" s="230">
        <f>(FME_Ranking1[[#This Row],[Closures Raw]]/$X$2)*100</f>
        <v>0</v>
      </c>
      <c r="Z376" s="180">
        <f>FME_Ranking1[[#This Row],[Closures Score (Normalized, Unweighted)]]*$X$3</f>
        <v>0</v>
      </c>
      <c r="AA376" s="253">
        <f>_xlfn.XLOOKUP(FME_Ranking1[[#This Row],[FME ID]],FME_Input[FME_ID],FME_Input[ROAD_MILES100])</f>
        <v>121.3850021362305</v>
      </c>
      <c r="AB376" s="178">
        <f>(FME_Ranking1[[#This Row],[Miles Raw]]/$AA$2)*100</f>
        <v>1.5959950638692748</v>
      </c>
      <c r="AC376" s="178">
        <f>FME_Ranking1[[#This Row],[Miles Score (Normalized, Unweighted)]]*$AA$3</f>
        <v>0.15959950638692749</v>
      </c>
      <c r="AD376" s="255">
        <f>_xlfn.XLOOKUP(FME_Ranking1[[#This Row],[FME ID]],FME_Input[FME_ID],FME_Input[FARMACRE100])</f>
        <v>0</v>
      </c>
      <c r="AE376" s="230">
        <f>(FME_Ranking1[[#This Row],[Ag Land Raw]]/$AD$2)*100</f>
        <v>0</v>
      </c>
      <c r="AF376" s="231">
        <f>FME_Ranking1[[#This Row],[Ag Land Score (Normalized, Unweighted)]]*$AD$3</f>
        <v>0</v>
      </c>
      <c r="AG37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0.64914915803661843</v>
      </c>
      <c r="AH376" s="406">
        <f t="shared" si="5"/>
        <v>373</v>
      </c>
      <c r="AI37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0.64914915803661843</v>
      </c>
      <c r="AJ376" s="257">
        <f>FME_Ranking1[[#This Row],[Addition check]]-FME_Ranking1[[#This Row],[Weighted Score Based on Normalized Reported Factors]]</f>
        <v>0</v>
      </c>
      <c r="AK376" s="178">
        <f>_xlfn.RANK.EQ(AI376,$AI$6:$AI$2341,0)+COUNTIF($AI$6:AI376,AI376)-1</f>
        <v>373</v>
      </c>
    </row>
    <row r="377" spans="1:37" ht="12" customHeight="1" x14ac:dyDescent="0.25">
      <c r="A377" t="s">
        <v>10071</v>
      </c>
      <c r="B377">
        <f>_xlfn.XLOOKUP(FME_Ranking1[[#This Row],[FME ID]],FME_Input[FME_ID],FME_Input[RFPG_NUM])</f>
        <v>13</v>
      </c>
      <c r="C377" t="str">
        <f>_xlfn.XLOOKUP(FME_Ranking1[[#This Row],[FME ID]],FME_Input[FME_ID],FME_Input[FME_NAME])</f>
        <v>City of Alice &amp; Jim Wells County Multi-Hazard Mitigation Plan - Construct Storm Drainage Infrastructure (City of Alice)</v>
      </c>
      <c r="D377" t="str">
        <f>_xlfn.XLOOKUP(FME_Ranking1[[#This Row],[FME ID]],FME_Input[FME_ID],FME_Input[DESCR])</f>
        <v xml:space="preserve">This action proposes constructing new storm drainage infrastructure to reduce the potential impacts of future flood events. </v>
      </c>
      <c r="E377" s="256">
        <f>_xlfn.XLOOKUP(FME_Ranking1[[#This Row],[FME ID]],FME_Input[FME_ID],FME_Input[FME_COST])</f>
        <v>159000</v>
      </c>
      <c r="F377" t="str">
        <f>_xlfn.XLOOKUP(FME_Ranking1[[#This Row],[FME ID]],FME_Input[FME_ID],FME_Input[EMER_NEED])</f>
        <v>Yes</v>
      </c>
      <c r="G377">
        <f>IF(FME_Ranking!F377="Yes",100,0)</f>
        <v>100</v>
      </c>
      <c r="H377">
        <f>FME_Ranking1[[#This Row],[Emergency Need Score (Normalized, Unweighted)]]*$F$3</f>
        <v>0</v>
      </c>
      <c r="I377" s="246">
        <f>_xlfn.XLOOKUP(FME_Ranking1[[#This Row],[FME ID]],FME_Input[FME_ID],FME_Input[STRUCT_100])</f>
        <v>893</v>
      </c>
      <c r="J377" s="178">
        <f>(FME_Ranking1[[#This Row],[Structures 100 Raw]]/I$2)*100</f>
        <v>0.47819474789015981</v>
      </c>
      <c r="K377" s="178">
        <f>FME_Ranking1[[#This Row],[Structures 100  Score (Normalized, Unweighted)]]*$I$3</f>
        <v>7.1729212183523974E-2</v>
      </c>
      <c r="L377" s="246">
        <f>_xlfn.XLOOKUP(FME_Ranking1[[#This Row],[FME ID]],FME_Input[FME_ID],FME_Input[RES_STRUCT100])</f>
        <v>572</v>
      </c>
      <c r="M377" s="230">
        <f>(FME_Ranking1[[#This Row],[Res Structures Raw]]/L$2)*100</f>
        <v>0.40515079826040146</v>
      </c>
      <c r="N377" s="180">
        <f>FME_Ranking1[[#This Row],[Res Structures Score (Normalized, Unweighted)]]*$L$3</f>
        <v>4.0515079826040148E-2</v>
      </c>
      <c r="O377" s="244">
        <f>_xlfn.XLOOKUP(FME_Ranking1[[#This Row],[FME ID]],FME_Input[FME_ID],FME_Input[POP100])</f>
        <v>6681</v>
      </c>
      <c r="P377" s="178">
        <f>(FME_Ranking1[[#This Row],[Pop Raw]]/$O$2)*100</f>
        <v>0.68396945939692755</v>
      </c>
      <c r="Q377" s="178">
        <f>FME_Ranking1[[#This Row],[Pop Score (Normalized, Unweighted)]]*$O$3</f>
        <v>0.10259541890953913</v>
      </c>
      <c r="R377" s="137">
        <f>_xlfn.XLOOKUP(FME_Ranking1[[#This Row],[FME ID]],FME_Input[FME_ID],FME_Input[CRITFAC100])</f>
        <v>8</v>
      </c>
      <c r="S377" s="230">
        <f>(FME_Ranking1[[#This Row],[Critical Facilities Raw]]/$R$2)*100</f>
        <v>0.34305317324185247</v>
      </c>
      <c r="T377" s="180">
        <f>FME_Ranking1[[#This Row],[Critical Facilities Score (Normalized, Unweighted)]]*$R$3</f>
        <v>6.86106346483705E-2</v>
      </c>
      <c r="U377">
        <f>_xlfn.XLOOKUP(FME_Ranking1[[#This Row],[FME ID]],FME_Input[FME_ID],FME_Input[LWC])</f>
        <v>4</v>
      </c>
      <c r="V377" s="178">
        <f>(FME_Ranking1[[#This Row],[LWC Raw]]/$U$2)*100</f>
        <v>0.23028209556706969</v>
      </c>
      <c r="W377" s="178">
        <f>FME_Ranking1[[#This Row],[LWC Score (Normalized, Unweighted)]]*$U$3</f>
        <v>4.6056419113413939E-2</v>
      </c>
      <c r="X377" s="246">
        <f>_xlfn.XLOOKUP(FME_Ranking1[[#This Row],[FME ID]],FME_Input[FME_ID],FME_Input[ROADCLS])</f>
        <v>296</v>
      </c>
      <c r="Y377" s="230">
        <f>(FME_Ranking1[[#This Row],[Closures Raw]]/$X$2)*100</f>
        <v>3.1121858900220798</v>
      </c>
      <c r="Z377" s="180">
        <f>FME_Ranking1[[#This Row],[Closures Score (Normalized, Unweighted)]]*$X$3</f>
        <v>0.155609294501104</v>
      </c>
      <c r="AA377" s="253">
        <f>_xlfn.XLOOKUP(FME_Ranking1[[#This Row],[FME ID]],FME_Input[FME_ID],FME_Input[ROAD_MILES100])</f>
        <v>19.297714233398441</v>
      </c>
      <c r="AB377" s="178">
        <f>(FME_Ranking1[[#This Row],[Miles Raw]]/$AA$2)*100</f>
        <v>0.25373033009381135</v>
      </c>
      <c r="AC377" s="178">
        <f>FME_Ranking1[[#This Row],[Miles Score (Normalized, Unweighted)]]*$AA$3</f>
        <v>2.5373033009381138E-2</v>
      </c>
      <c r="AD377" s="255">
        <f>_xlfn.XLOOKUP(FME_Ranking1[[#This Row],[FME ID]],FME_Input[FME_ID],FME_Input[FARMACRE100])</f>
        <v>131.8397216796875</v>
      </c>
      <c r="AE377" s="230">
        <f>(FME_Ranking1[[#This Row],[Ag Land Raw]]/$AD$2)*100</f>
        <v>5.4364799410697977E-3</v>
      </c>
      <c r="AF377" s="231">
        <f>FME_Ranking1[[#This Row],[Ag Land Score (Normalized, Unweighted)]]*$AD$3</f>
        <v>2.7182399705348988E-4</v>
      </c>
      <c r="AG37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0.51076091618842634</v>
      </c>
      <c r="AH377" s="406">
        <f t="shared" si="5"/>
        <v>420</v>
      </c>
      <c r="AI37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0.51076091618842634</v>
      </c>
      <c r="AJ377" s="257">
        <f>FME_Ranking1[[#This Row],[Addition check]]-FME_Ranking1[[#This Row],[Weighted Score Based on Normalized Reported Factors]]</f>
        <v>0</v>
      </c>
      <c r="AK377" s="178">
        <f>_xlfn.RANK.EQ(AI377,$AI$6:$AI$2341,0)+COUNTIF($AI$6:AI377,AI377)-1</f>
        <v>420</v>
      </c>
    </row>
    <row r="378" spans="1:37" ht="12" customHeight="1" x14ac:dyDescent="0.25">
      <c r="A378" t="s">
        <v>10082</v>
      </c>
      <c r="B378">
        <f>_xlfn.XLOOKUP(FME_Ranking1[[#This Row],[FME ID]],FME_Input[FME_ID],FME_Input[RFPG_NUM])</f>
        <v>13</v>
      </c>
      <c r="C378" t="str">
        <f>_xlfn.XLOOKUP(FME_Ranking1[[#This Row],[FME ID]],FME_Input[FME_ID],FME_Input[FME_NAME])</f>
        <v>City of Alice &amp; Jim Wells County Multi-Hazard Mitigation Plan - Conduct Dam / Levee Failure Studies (City of Alice)</v>
      </c>
      <c r="D378" t="str">
        <f>_xlfn.XLOOKUP(FME_Ranking1[[#This Row],[FME ID]],FME_Input[FME_ID],FME_Input[DESCR])</f>
        <v>The City of Alice will work with local dam / levee owners to conduct relevant studies to identify peak flow rates and expected inundations in the event of local dam failures</v>
      </c>
      <c r="E378" s="256">
        <f>_xlfn.XLOOKUP(FME_Ranking1[[#This Row],[FME ID]],FME_Input[FME_ID],FME_Input[FME_COST])</f>
        <v>106000</v>
      </c>
      <c r="F378" t="str">
        <f>_xlfn.XLOOKUP(FME_Ranking1[[#This Row],[FME ID]],FME_Input[FME_ID],FME_Input[EMER_NEED])</f>
        <v>Yes</v>
      </c>
      <c r="G378">
        <f>IF(FME_Ranking!F378="Yes",100,0)</f>
        <v>100</v>
      </c>
      <c r="H378">
        <f>FME_Ranking1[[#This Row],[Emergency Need Score (Normalized, Unweighted)]]*$F$3</f>
        <v>0</v>
      </c>
      <c r="I378" s="246">
        <f>_xlfn.XLOOKUP(FME_Ranking1[[#This Row],[FME ID]],FME_Input[FME_ID],FME_Input[STRUCT_100])</f>
        <v>893</v>
      </c>
      <c r="J378" s="178">
        <f>(FME_Ranking1[[#This Row],[Structures 100 Raw]]/I$2)*100</f>
        <v>0.47819474789015981</v>
      </c>
      <c r="K378" s="178">
        <f>FME_Ranking1[[#This Row],[Structures 100  Score (Normalized, Unweighted)]]*$I$3</f>
        <v>7.1729212183523974E-2</v>
      </c>
      <c r="L378" s="246">
        <f>_xlfn.XLOOKUP(FME_Ranking1[[#This Row],[FME ID]],FME_Input[FME_ID],FME_Input[RES_STRUCT100])</f>
        <v>572</v>
      </c>
      <c r="M378" s="230">
        <f>(FME_Ranking1[[#This Row],[Res Structures Raw]]/L$2)*100</f>
        <v>0.40515079826040146</v>
      </c>
      <c r="N378" s="180">
        <f>FME_Ranking1[[#This Row],[Res Structures Score (Normalized, Unweighted)]]*$L$3</f>
        <v>4.0515079826040148E-2</v>
      </c>
      <c r="O378" s="244">
        <f>_xlfn.XLOOKUP(FME_Ranking1[[#This Row],[FME ID]],FME_Input[FME_ID],FME_Input[POP100])</f>
        <v>6681</v>
      </c>
      <c r="P378" s="178">
        <f>(FME_Ranking1[[#This Row],[Pop Raw]]/$O$2)*100</f>
        <v>0.68396945939692755</v>
      </c>
      <c r="Q378" s="178">
        <f>FME_Ranking1[[#This Row],[Pop Score (Normalized, Unweighted)]]*$O$3</f>
        <v>0.10259541890953913</v>
      </c>
      <c r="R378" s="137">
        <f>_xlfn.XLOOKUP(FME_Ranking1[[#This Row],[FME ID]],FME_Input[FME_ID],FME_Input[CRITFAC100])</f>
        <v>8</v>
      </c>
      <c r="S378" s="230">
        <f>(FME_Ranking1[[#This Row],[Critical Facilities Raw]]/$R$2)*100</f>
        <v>0.34305317324185247</v>
      </c>
      <c r="T378" s="180">
        <f>FME_Ranking1[[#This Row],[Critical Facilities Score (Normalized, Unweighted)]]*$R$3</f>
        <v>6.86106346483705E-2</v>
      </c>
      <c r="U378">
        <f>_xlfn.XLOOKUP(FME_Ranking1[[#This Row],[FME ID]],FME_Input[FME_ID],FME_Input[LWC])</f>
        <v>4</v>
      </c>
      <c r="V378" s="178">
        <f>(FME_Ranking1[[#This Row],[LWC Raw]]/$U$2)*100</f>
        <v>0.23028209556706969</v>
      </c>
      <c r="W378" s="178">
        <f>FME_Ranking1[[#This Row],[LWC Score (Normalized, Unweighted)]]*$U$3</f>
        <v>4.6056419113413939E-2</v>
      </c>
      <c r="X378" s="246">
        <f>_xlfn.XLOOKUP(FME_Ranking1[[#This Row],[FME ID]],FME_Input[FME_ID],FME_Input[ROADCLS])</f>
        <v>296</v>
      </c>
      <c r="Y378" s="230">
        <f>(FME_Ranking1[[#This Row],[Closures Raw]]/$X$2)*100</f>
        <v>3.1121858900220798</v>
      </c>
      <c r="Z378" s="180">
        <f>FME_Ranking1[[#This Row],[Closures Score (Normalized, Unweighted)]]*$X$3</f>
        <v>0.155609294501104</v>
      </c>
      <c r="AA378" s="253">
        <f>_xlfn.XLOOKUP(FME_Ranking1[[#This Row],[FME ID]],FME_Input[FME_ID],FME_Input[ROAD_MILES100])</f>
        <v>19.297714233398441</v>
      </c>
      <c r="AB378" s="178">
        <f>(FME_Ranking1[[#This Row],[Miles Raw]]/$AA$2)*100</f>
        <v>0.25373033009381135</v>
      </c>
      <c r="AC378" s="178">
        <f>FME_Ranking1[[#This Row],[Miles Score (Normalized, Unweighted)]]*$AA$3</f>
        <v>2.5373033009381138E-2</v>
      </c>
      <c r="AD378" s="255">
        <f>_xlfn.XLOOKUP(FME_Ranking1[[#This Row],[FME ID]],FME_Input[FME_ID],FME_Input[FARMACRE100])</f>
        <v>131.8397216796875</v>
      </c>
      <c r="AE378" s="230">
        <f>(FME_Ranking1[[#This Row],[Ag Land Raw]]/$AD$2)*100</f>
        <v>5.4364799410697977E-3</v>
      </c>
      <c r="AF378" s="231">
        <f>FME_Ranking1[[#This Row],[Ag Land Score (Normalized, Unweighted)]]*$AD$3</f>
        <v>2.7182399705348988E-4</v>
      </c>
      <c r="AG37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0.51076091618842634</v>
      </c>
      <c r="AH378" s="406">
        <f t="shared" si="5"/>
        <v>420</v>
      </c>
      <c r="AI37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0.51076091618842634</v>
      </c>
      <c r="AJ378" s="257">
        <f>FME_Ranking1[[#This Row],[Addition check]]-FME_Ranking1[[#This Row],[Weighted Score Based on Normalized Reported Factors]]</f>
        <v>0</v>
      </c>
      <c r="AK378" s="178">
        <f>_xlfn.RANK.EQ(AI378,$AI$6:$AI$2341,0)+COUNTIF($AI$6:AI378,AI378)-1</f>
        <v>421</v>
      </c>
    </row>
    <row r="379" spans="1:37" ht="12" customHeight="1" x14ac:dyDescent="0.25">
      <c r="A379" t="s">
        <v>10086</v>
      </c>
      <c r="B379">
        <f>_xlfn.XLOOKUP(FME_Ranking1[[#This Row],[FME ID]],FME_Input[FME_ID],FME_Input[RFPG_NUM])</f>
        <v>13</v>
      </c>
      <c r="C379" t="str">
        <f>_xlfn.XLOOKUP(FME_Ranking1[[#This Row],[FME ID]],FME_Input[FME_ID],FME_Input[FME_NAME])</f>
        <v xml:space="preserve">City of Alice &amp; Jim Wells County Multi-Hazard Mitigation Plan - Construct New Levees and Improve Existing System </v>
      </c>
      <c r="D379" t="str">
        <f>_xlfn.XLOOKUP(FME_Ranking1[[#This Row],[FME ID]],FME_Input[FME_ID],FME_Input[DESCR])</f>
        <v>This action proposes constructing new levees and improving existing ones to reduce the potential impacts of future flood events by reducing the likelihood of levee failure.</v>
      </c>
      <c r="E379" s="256">
        <f>_xlfn.XLOOKUP(FME_Ranking1[[#This Row],[FME ID]],FME_Input[FME_ID],FME_Input[FME_COST])</f>
        <v>159000</v>
      </c>
      <c r="F379" t="str">
        <f>_xlfn.XLOOKUP(FME_Ranking1[[#This Row],[FME ID]],FME_Input[FME_ID],FME_Input[EMER_NEED])</f>
        <v>Yes</v>
      </c>
      <c r="G379">
        <f>IF(FME_Ranking!F379="Yes",100,0)</f>
        <v>100</v>
      </c>
      <c r="H379">
        <f>FME_Ranking1[[#This Row],[Emergency Need Score (Normalized, Unweighted)]]*$F$3</f>
        <v>0</v>
      </c>
      <c r="I379" s="246">
        <f>_xlfn.XLOOKUP(FME_Ranking1[[#This Row],[FME ID]],FME_Input[FME_ID],FME_Input[STRUCT_100])</f>
        <v>893</v>
      </c>
      <c r="J379" s="178">
        <f>(FME_Ranking1[[#This Row],[Structures 100 Raw]]/I$2)*100</f>
        <v>0.47819474789015981</v>
      </c>
      <c r="K379" s="178">
        <f>FME_Ranking1[[#This Row],[Structures 100  Score (Normalized, Unweighted)]]*$I$3</f>
        <v>7.1729212183523974E-2</v>
      </c>
      <c r="L379" s="246">
        <f>_xlfn.XLOOKUP(FME_Ranking1[[#This Row],[FME ID]],FME_Input[FME_ID],FME_Input[RES_STRUCT100])</f>
        <v>572</v>
      </c>
      <c r="M379" s="230">
        <f>(FME_Ranking1[[#This Row],[Res Structures Raw]]/L$2)*100</f>
        <v>0.40515079826040146</v>
      </c>
      <c r="N379" s="180">
        <f>FME_Ranking1[[#This Row],[Res Structures Score (Normalized, Unweighted)]]*$L$3</f>
        <v>4.0515079826040148E-2</v>
      </c>
      <c r="O379" s="244">
        <f>_xlfn.XLOOKUP(FME_Ranking1[[#This Row],[FME ID]],FME_Input[FME_ID],FME_Input[POP100])</f>
        <v>6681</v>
      </c>
      <c r="P379" s="178">
        <f>(FME_Ranking1[[#This Row],[Pop Raw]]/$O$2)*100</f>
        <v>0.68396945939692755</v>
      </c>
      <c r="Q379" s="178">
        <f>FME_Ranking1[[#This Row],[Pop Score (Normalized, Unweighted)]]*$O$3</f>
        <v>0.10259541890953913</v>
      </c>
      <c r="R379" s="137">
        <f>_xlfn.XLOOKUP(FME_Ranking1[[#This Row],[FME ID]],FME_Input[FME_ID],FME_Input[CRITFAC100])</f>
        <v>8</v>
      </c>
      <c r="S379" s="230">
        <f>(FME_Ranking1[[#This Row],[Critical Facilities Raw]]/$R$2)*100</f>
        <v>0.34305317324185247</v>
      </c>
      <c r="T379" s="180">
        <f>FME_Ranking1[[#This Row],[Critical Facilities Score (Normalized, Unweighted)]]*$R$3</f>
        <v>6.86106346483705E-2</v>
      </c>
      <c r="U379">
        <f>_xlfn.XLOOKUP(FME_Ranking1[[#This Row],[FME ID]],FME_Input[FME_ID],FME_Input[LWC])</f>
        <v>4</v>
      </c>
      <c r="V379" s="178">
        <f>(FME_Ranking1[[#This Row],[LWC Raw]]/$U$2)*100</f>
        <v>0.23028209556706969</v>
      </c>
      <c r="W379" s="178">
        <f>FME_Ranking1[[#This Row],[LWC Score (Normalized, Unweighted)]]*$U$3</f>
        <v>4.6056419113413939E-2</v>
      </c>
      <c r="X379" s="246">
        <f>_xlfn.XLOOKUP(FME_Ranking1[[#This Row],[FME ID]],FME_Input[FME_ID],FME_Input[ROADCLS])</f>
        <v>296</v>
      </c>
      <c r="Y379" s="230">
        <f>(FME_Ranking1[[#This Row],[Closures Raw]]/$X$2)*100</f>
        <v>3.1121858900220798</v>
      </c>
      <c r="Z379" s="180">
        <f>FME_Ranking1[[#This Row],[Closures Score (Normalized, Unweighted)]]*$X$3</f>
        <v>0.155609294501104</v>
      </c>
      <c r="AA379" s="253">
        <f>_xlfn.XLOOKUP(FME_Ranking1[[#This Row],[FME ID]],FME_Input[FME_ID],FME_Input[ROAD_MILES100])</f>
        <v>19.297714233398441</v>
      </c>
      <c r="AB379" s="178">
        <f>(FME_Ranking1[[#This Row],[Miles Raw]]/$AA$2)*100</f>
        <v>0.25373033009381135</v>
      </c>
      <c r="AC379" s="178">
        <f>FME_Ranking1[[#This Row],[Miles Score (Normalized, Unweighted)]]*$AA$3</f>
        <v>2.5373033009381138E-2</v>
      </c>
      <c r="AD379" s="255">
        <f>_xlfn.XLOOKUP(FME_Ranking1[[#This Row],[FME ID]],FME_Input[FME_ID],FME_Input[FARMACRE100])</f>
        <v>131.8397216796875</v>
      </c>
      <c r="AE379" s="230">
        <f>(FME_Ranking1[[#This Row],[Ag Land Raw]]/$AD$2)*100</f>
        <v>5.4364799410697977E-3</v>
      </c>
      <c r="AF379" s="231">
        <f>FME_Ranking1[[#This Row],[Ag Land Score (Normalized, Unweighted)]]*$AD$3</f>
        <v>2.7182399705348988E-4</v>
      </c>
      <c r="AG37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0.51076091618842634</v>
      </c>
      <c r="AH379" s="406">
        <f t="shared" si="5"/>
        <v>420</v>
      </c>
      <c r="AI37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0.51076091618842634</v>
      </c>
      <c r="AJ379" s="257">
        <f>FME_Ranking1[[#This Row],[Addition check]]-FME_Ranking1[[#This Row],[Weighted Score Based on Normalized Reported Factors]]</f>
        <v>0</v>
      </c>
      <c r="AK379" s="178">
        <f>_xlfn.RANK.EQ(AI379,$AI$6:$AI$2341,0)+COUNTIF($AI$6:AI379,AI379)-1</f>
        <v>422</v>
      </c>
    </row>
    <row r="380" spans="1:37" ht="12" customHeight="1" x14ac:dyDescent="0.25">
      <c r="A380" t="s">
        <v>9672</v>
      </c>
      <c r="B380">
        <f>_xlfn.XLOOKUP(FME_Ranking1[[#This Row],[FME ID]],FME_Input[FME_ID],FME_Input[RFPG_NUM])</f>
        <v>12</v>
      </c>
      <c r="C380" t="str">
        <f>_xlfn.XLOOKUP(FME_Ranking1[[#This Row],[FME ID]],FME_Input[FME_ID],FME_Input[FME_NAME])</f>
        <v>Low Water Crossing Upgrades</v>
      </c>
      <c r="D380" t="str">
        <f>_xlfn.XLOOKUP(FME_Ranking1[[#This Row],[FME ID]],FME_Input[FME_ID],FME_Input[DESCR])</f>
        <v>Prioritize low water crossings within Karnes County and upgrade with higher level of flood protection, warnings, and signage</v>
      </c>
      <c r="E380" s="256">
        <f>_xlfn.XLOOKUP(FME_Ranking1[[#This Row],[FME ID]],FME_Input[FME_ID],FME_Input[FME_COST])</f>
        <v>305000</v>
      </c>
      <c r="F380" t="str">
        <f>_xlfn.XLOOKUP(FME_Ranking1[[#This Row],[FME ID]],FME_Input[FME_ID],FME_Input[EMER_NEED])</f>
        <v>No</v>
      </c>
      <c r="G380">
        <f>IF(FME_Ranking!F380="Yes",100,0)</f>
        <v>0</v>
      </c>
      <c r="H380">
        <f>FME_Ranking1[[#This Row],[Emergency Need Score (Normalized, Unweighted)]]*$F$3</f>
        <v>0</v>
      </c>
      <c r="I380" s="246">
        <f>_xlfn.XLOOKUP(FME_Ranking1[[#This Row],[FME ID]],FME_Input[FME_ID],FME_Input[STRUCT_100])</f>
        <v>340</v>
      </c>
      <c r="J380" s="178">
        <f>(FME_Ranking1[[#This Row],[Structures 100 Raw]]/I$2)*100</f>
        <v>0.18206742920789956</v>
      </c>
      <c r="K380" s="178">
        <f>FME_Ranking1[[#This Row],[Structures 100  Score (Normalized, Unweighted)]]*$I$3</f>
        <v>2.7310114381184934E-2</v>
      </c>
      <c r="L380" s="246">
        <f>_xlfn.XLOOKUP(FME_Ranking1[[#This Row],[FME ID]],FME_Input[FME_ID],FME_Input[RES_STRUCT100])</f>
        <v>161</v>
      </c>
      <c r="M380" s="230">
        <f>(FME_Ranking1[[#This Row],[Res Structures Raw]]/L$2)*100</f>
        <v>0.11403720020965846</v>
      </c>
      <c r="N380" s="180">
        <f>FME_Ranking1[[#This Row],[Res Structures Score (Normalized, Unweighted)]]*$L$3</f>
        <v>1.1403720020965846E-2</v>
      </c>
      <c r="O380" s="244">
        <f>_xlfn.XLOOKUP(FME_Ranking1[[#This Row],[FME ID]],FME_Input[FME_ID],FME_Input[POP100])</f>
        <v>422</v>
      </c>
      <c r="P380" s="178">
        <f>(FME_Ranking1[[#This Row],[Pop Raw]]/$O$2)*100</f>
        <v>4.3202381659258104E-2</v>
      </c>
      <c r="Q380" s="178">
        <f>FME_Ranking1[[#This Row],[Pop Score (Normalized, Unweighted)]]*$O$3</f>
        <v>6.4803572488887152E-3</v>
      </c>
      <c r="R380" s="137">
        <f>_xlfn.XLOOKUP(FME_Ranking1[[#This Row],[FME ID]],FME_Input[FME_ID],FME_Input[CRITFAC100])</f>
        <v>0</v>
      </c>
      <c r="S380" s="230">
        <f>(FME_Ranking1[[#This Row],[Critical Facilities Raw]]/$R$2)*100</f>
        <v>0</v>
      </c>
      <c r="T380" s="180">
        <f>FME_Ranking1[[#This Row],[Critical Facilities Score (Normalized, Unweighted)]]*$R$3</f>
        <v>0</v>
      </c>
      <c r="U380">
        <f>_xlfn.XLOOKUP(FME_Ranking1[[#This Row],[FME ID]],FME_Input[FME_ID],FME_Input[LWC])</f>
        <v>0</v>
      </c>
      <c r="V380" s="178">
        <f>(FME_Ranking1[[#This Row],[LWC Raw]]/$U$2)*100</f>
        <v>0</v>
      </c>
      <c r="W380" s="178">
        <f>FME_Ranking1[[#This Row],[LWC Score (Normalized, Unweighted)]]*$U$3</f>
        <v>0</v>
      </c>
      <c r="X380" s="246">
        <f>_xlfn.XLOOKUP(FME_Ranking1[[#This Row],[FME ID]],FME_Input[FME_ID],FME_Input[ROADCLS])</f>
        <v>757</v>
      </c>
      <c r="Y380" s="230">
        <f>(FME_Ranking1[[#This Row],[Closures Raw]]/$X$2)*100</f>
        <v>7.9592051309010623</v>
      </c>
      <c r="Z380" s="180">
        <f>FME_Ranking1[[#This Row],[Closures Score (Normalized, Unweighted)]]*$X$3</f>
        <v>0.39796025654505313</v>
      </c>
      <c r="AA380" s="253">
        <f>_xlfn.XLOOKUP(FME_Ranking1[[#This Row],[FME ID]],FME_Input[FME_ID],FME_Input[ROAD_MILES100])</f>
        <v>58.799999237060547</v>
      </c>
      <c r="AB380" s="178">
        <f>(FME_Ranking1[[#This Row],[Miles Raw]]/$AA$2)*100</f>
        <v>0.77311452721765406</v>
      </c>
      <c r="AC380" s="178">
        <f>FME_Ranking1[[#This Row],[Miles Score (Normalized, Unweighted)]]*$AA$3</f>
        <v>7.7311452721765414E-2</v>
      </c>
      <c r="AD380" s="255">
        <f>_xlfn.XLOOKUP(FME_Ranking1[[#This Row],[FME ID]],FME_Input[FME_ID],FME_Input[FARMACRE100])</f>
        <v>16557.19921875</v>
      </c>
      <c r="AE380" s="230">
        <f>(FME_Ranking1[[#This Row],[Ag Land Raw]]/$AD$2)*100</f>
        <v>0.68274477741786033</v>
      </c>
      <c r="AF380" s="231">
        <f>FME_Ranking1[[#This Row],[Ag Land Score (Normalized, Unweighted)]]*$AD$3</f>
        <v>3.4137238870893018E-2</v>
      </c>
      <c r="AG38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0.55460313978875109</v>
      </c>
      <c r="AH380" s="406">
        <f t="shared" si="5"/>
        <v>401</v>
      </c>
      <c r="AI38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0.55460313978875109</v>
      </c>
      <c r="AJ380" s="257">
        <f>FME_Ranking1[[#This Row],[Addition check]]-FME_Ranking1[[#This Row],[Weighted Score Based on Normalized Reported Factors]]</f>
        <v>0</v>
      </c>
      <c r="AK380" s="178">
        <f>_xlfn.RANK.EQ(AI380,$AI$6:$AI$2341,0)+COUNTIF($AI$6:AI380,AI380)-1</f>
        <v>401</v>
      </c>
    </row>
    <row r="381" spans="1:37" ht="12" customHeight="1" x14ac:dyDescent="0.25">
      <c r="A381" t="s">
        <v>9681</v>
      </c>
      <c r="B381">
        <f>_xlfn.XLOOKUP(FME_Ranking1[[#This Row],[FME ID]],FME_Input[FME_ID],FME_Input[RFPG_NUM])</f>
        <v>12</v>
      </c>
      <c r="C381" t="str">
        <f>_xlfn.XLOOKUP(FME_Ranking1[[#This Row],[FME ID]],FME_Input[FME_ID],FME_Input[FME_NAME])</f>
        <v>Early warning flood systems</v>
      </c>
      <c r="D381" t="str">
        <f>_xlfn.XLOOKUP(FME_Ranking1[[#This Row],[FME ID]],FME_Input[FME_ID],FME_Input[DESCR])</f>
        <v>Conduct feasibility analysis for need and location for placement and installation of an early warning system. Install early warning systems for non incorporated communities</v>
      </c>
      <c r="E381" s="256">
        <f>_xlfn.XLOOKUP(FME_Ranking1[[#This Row],[FME ID]],FME_Input[FME_ID],FME_Input[FME_COST])</f>
        <v>150000</v>
      </c>
      <c r="F381" t="str">
        <f>_xlfn.XLOOKUP(FME_Ranking1[[#This Row],[FME ID]],FME_Input[FME_ID],FME_Input[EMER_NEED])</f>
        <v>No</v>
      </c>
      <c r="G381">
        <f>IF(FME_Ranking!F381="Yes",100,0)</f>
        <v>0</v>
      </c>
      <c r="H381">
        <f>FME_Ranking1[[#This Row],[Emergency Need Score (Normalized, Unweighted)]]*$F$3</f>
        <v>0</v>
      </c>
      <c r="I381" s="246">
        <f>_xlfn.XLOOKUP(FME_Ranking1[[#This Row],[FME ID]],FME_Input[FME_ID],FME_Input[STRUCT_100])</f>
        <v>340</v>
      </c>
      <c r="J381" s="178">
        <f>(FME_Ranking1[[#This Row],[Structures 100 Raw]]/I$2)*100</f>
        <v>0.18206742920789956</v>
      </c>
      <c r="K381" s="178">
        <f>FME_Ranking1[[#This Row],[Structures 100  Score (Normalized, Unweighted)]]*$I$3</f>
        <v>2.7310114381184934E-2</v>
      </c>
      <c r="L381" s="246">
        <f>_xlfn.XLOOKUP(FME_Ranking1[[#This Row],[FME ID]],FME_Input[FME_ID],FME_Input[RES_STRUCT100])</f>
        <v>161</v>
      </c>
      <c r="M381" s="230">
        <f>(FME_Ranking1[[#This Row],[Res Structures Raw]]/L$2)*100</f>
        <v>0.11403720020965846</v>
      </c>
      <c r="N381" s="180">
        <f>FME_Ranking1[[#This Row],[Res Structures Score (Normalized, Unweighted)]]*$L$3</f>
        <v>1.1403720020965846E-2</v>
      </c>
      <c r="O381" s="244">
        <f>_xlfn.XLOOKUP(FME_Ranking1[[#This Row],[FME ID]],FME_Input[FME_ID],FME_Input[POP100])</f>
        <v>422</v>
      </c>
      <c r="P381" s="178">
        <f>(FME_Ranking1[[#This Row],[Pop Raw]]/$O$2)*100</f>
        <v>4.3202381659258104E-2</v>
      </c>
      <c r="Q381" s="178">
        <f>FME_Ranking1[[#This Row],[Pop Score (Normalized, Unweighted)]]*$O$3</f>
        <v>6.4803572488887152E-3</v>
      </c>
      <c r="R381" s="137">
        <f>_xlfn.XLOOKUP(FME_Ranking1[[#This Row],[FME ID]],FME_Input[FME_ID],FME_Input[CRITFAC100])</f>
        <v>0</v>
      </c>
      <c r="S381" s="230">
        <f>(FME_Ranking1[[#This Row],[Critical Facilities Raw]]/$R$2)*100</f>
        <v>0</v>
      </c>
      <c r="T381" s="180">
        <f>FME_Ranking1[[#This Row],[Critical Facilities Score (Normalized, Unweighted)]]*$R$3</f>
        <v>0</v>
      </c>
      <c r="U381">
        <f>_xlfn.XLOOKUP(FME_Ranking1[[#This Row],[FME ID]],FME_Input[FME_ID],FME_Input[LWC])</f>
        <v>0</v>
      </c>
      <c r="V381" s="178">
        <f>(FME_Ranking1[[#This Row],[LWC Raw]]/$U$2)*100</f>
        <v>0</v>
      </c>
      <c r="W381" s="178">
        <f>FME_Ranking1[[#This Row],[LWC Score (Normalized, Unweighted)]]*$U$3</f>
        <v>0</v>
      </c>
      <c r="X381" s="246">
        <f>_xlfn.XLOOKUP(FME_Ranking1[[#This Row],[FME ID]],FME_Input[FME_ID],FME_Input[ROADCLS])</f>
        <v>757</v>
      </c>
      <c r="Y381" s="230">
        <f>(FME_Ranking1[[#This Row],[Closures Raw]]/$X$2)*100</f>
        <v>7.9592051309010623</v>
      </c>
      <c r="Z381" s="180">
        <f>FME_Ranking1[[#This Row],[Closures Score (Normalized, Unweighted)]]*$X$3</f>
        <v>0.39796025654505313</v>
      </c>
      <c r="AA381" s="253">
        <f>_xlfn.XLOOKUP(FME_Ranking1[[#This Row],[FME ID]],FME_Input[FME_ID],FME_Input[ROAD_MILES100])</f>
        <v>58.799999237060547</v>
      </c>
      <c r="AB381" s="178">
        <f>(FME_Ranking1[[#This Row],[Miles Raw]]/$AA$2)*100</f>
        <v>0.77311452721765406</v>
      </c>
      <c r="AC381" s="178">
        <f>FME_Ranking1[[#This Row],[Miles Score (Normalized, Unweighted)]]*$AA$3</f>
        <v>7.7311452721765414E-2</v>
      </c>
      <c r="AD381" s="255">
        <f>_xlfn.XLOOKUP(FME_Ranking1[[#This Row],[FME ID]],FME_Input[FME_ID],FME_Input[FARMACRE100])</f>
        <v>16557.19921875</v>
      </c>
      <c r="AE381" s="230">
        <f>(FME_Ranking1[[#This Row],[Ag Land Raw]]/$AD$2)*100</f>
        <v>0.68274477741786033</v>
      </c>
      <c r="AF381" s="231">
        <f>FME_Ranking1[[#This Row],[Ag Land Score (Normalized, Unweighted)]]*$AD$3</f>
        <v>3.4137238870893018E-2</v>
      </c>
      <c r="AG38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0.55460313978875109</v>
      </c>
      <c r="AH381" s="406">
        <f t="shared" si="5"/>
        <v>401</v>
      </c>
      <c r="AI38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0.55460313978875109</v>
      </c>
      <c r="AJ381" s="257">
        <f>FME_Ranking1[[#This Row],[Addition check]]-FME_Ranking1[[#This Row],[Weighted Score Based on Normalized Reported Factors]]</f>
        <v>0</v>
      </c>
      <c r="AK381" s="178">
        <f>_xlfn.RANK.EQ(AI381,$AI$6:$AI$2341,0)+COUNTIF($AI$6:AI381,AI381)-1</f>
        <v>402</v>
      </c>
    </row>
    <row r="382" spans="1:37" ht="12" customHeight="1" x14ac:dyDescent="0.25">
      <c r="A382" t="s">
        <v>9884</v>
      </c>
      <c r="B382">
        <f>_xlfn.XLOOKUP(FME_Ranking1[[#This Row],[FME ID]],FME_Input[FME_ID],FME_Input[RFPG_NUM])</f>
        <v>12</v>
      </c>
      <c r="C382" t="str">
        <f>_xlfn.XLOOKUP(FME_Ranking1[[#This Row],[FME ID]],FME_Input[FME_ID],FME_Input[FME_NAME])</f>
        <v>Update flood information and policies</v>
      </c>
      <c r="D382" t="str">
        <f>_xlfn.XLOOKUP(FME_Ranking1[[#This Row],[FME ID]],FME_Input[FME_ID],FME_Input[DESCR])</f>
        <v>Study to compile information on residential property in flood zones, establish a volunteer acquisition / elevation program based on FEMA protocol in association with SARA studies, and review permitting process based on the 100-year flood event</v>
      </c>
      <c r="E382" s="256">
        <f>_xlfn.XLOOKUP(FME_Ranking1[[#This Row],[FME ID]],FME_Input[FME_ID],FME_Input[FME_COST])</f>
        <v>100000</v>
      </c>
      <c r="F382" t="str">
        <f>_xlfn.XLOOKUP(FME_Ranking1[[#This Row],[FME ID]],FME_Input[FME_ID],FME_Input[EMER_NEED])</f>
        <v>Yes</v>
      </c>
      <c r="G382">
        <f>IF(FME_Ranking!F382="Yes",100,0)</f>
        <v>100</v>
      </c>
      <c r="H382">
        <f>FME_Ranking1[[#This Row],[Emergency Need Score (Normalized, Unweighted)]]*$F$3</f>
        <v>0</v>
      </c>
      <c r="I382" s="246">
        <f>_xlfn.XLOOKUP(FME_Ranking1[[#This Row],[FME ID]],FME_Input[FME_ID],FME_Input[STRUCT_100])</f>
        <v>340</v>
      </c>
      <c r="J382" s="178">
        <f>(FME_Ranking1[[#This Row],[Structures 100 Raw]]/I$2)*100</f>
        <v>0.18206742920789956</v>
      </c>
      <c r="K382" s="178">
        <f>FME_Ranking1[[#This Row],[Structures 100  Score (Normalized, Unweighted)]]*$I$3</f>
        <v>2.7310114381184934E-2</v>
      </c>
      <c r="L382" s="246">
        <f>_xlfn.XLOOKUP(FME_Ranking1[[#This Row],[FME ID]],FME_Input[FME_ID],FME_Input[RES_STRUCT100])</f>
        <v>161</v>
      </c>
      <c r="M382" s="230">
        <f>(FME_Ranking1[[#This Row],[Res Structures Raw]]/L$2)*100</f>
        <v>0.11403720020965846</v>
      </c>
      <c r="N382" s="180">
        <f>FME_Ranking1[[#This Row],[Res Structures Score (Normalized, Unweighted)]]*$L$3</f>
        <v>1.1403720020965846E-2</v>
      </c>
      <c r="O382" s="244">
        <f>_xlfn.XLOOKUP(FME_Ranking1[[#This Row],[FME ID]],FME_Input[FME_ID],FME_Input[POP100])</f>
        <v>422</v>
      </c>
      <c r="P382" s="178">
        <f>(FME_Ranking1[[#This Row],[Pop Raw]]/$O$2)*100</f>
        <v>4.3202381659258104E-2</v>
      </c>
      <c r="Q382" s="178">
        <f>FME_Ranking1[[#This Row],[Pop Score (Normalized, Unweighted)]]*$O$3</f>
        <v>6.4803572488887152E-3</v>
      </c>
      <c r="R382" s="137">
        <f>_xlfn.XLOOKUP(FME_Ranking1[[#This Row],[FME ID]],FME_Input[FME_ID],FME_Input[CRITFAC100])</f>
        <v>0</v>
      </c>
      <c r="S382" s="230">
        <f>(FME_Ranking1[[#This Row],[Critical Facilities Raw]]/$R$2)*100</f>
        <v>0</v>
      </c>
      <c r="T382" s="180">
        <f>FME_Ranking1[[#This Row],[Critical Facilities Score (Normalized, Unweighted)]]*$R$3</f>
        <v>0</v>
      </c>
      <c r="U382">
        <f>_xlfn.XLOOKUP(FME_Ranking1[[#This Row],[FME ID]],FME_Input[FME_ID],FME_Input[LWC])</f>
        <v>0</v>
      </c>
      <c r="V382" s="178">
        <f>(FME_Ranking1[[#This Row],[LWC Raw]]/$U$2)*100</f>
        <v>0</v>
      </c>
      <c r="W382" s="178">
        <f>FME_Ranking1[[#This Row],[LWC Score (Normalized, Unweighted)]]*$U$3</f>
        <v>0</v>
      </c>
      <c r="X382" s="246">
        <f>_xlfn.XLOOKUP(FME_Ranking1[[#This Row],[FME ID]],FME_Input[FME_ID],FME_Input[ROADCLS])</f>
        <v>757</v>
      </c>
      <c r="Y382" s="230">
        <f>(FME_Ranking1[[#This Row],[Closures Raw]]/$X$2)*100</f>
        <v>7.9592051309010623</v>
      </c>
      <c r="Z382" s="180">
        <f>FME_Ranking1[[#This Row],[Closures Score (Normalized, Unweighted)]]*$X$3</f>
        <v>0.39796025654505313</v>
      </c>
      <c r="AA382" s="253">
        <f>_xlfn.XLOOKUP(FME_Ranking1[[#This Row],[FME ID]],FME_Input[FME_ID],FME_Input[ROAD_MILES100])</f>
        <v>58.799999237060547</v>
      </c>
      <c r="AB382" s="178">
        <f>(FME_Ranking1[[#This Row],[Miles Raw]]/$AA$2)*100</f>
        <v>0.77311452721765406</v>
      </c>
      <c r="AC382" s="178">
        <f>FME_Ranking1[[#This Row],[Miles Score (Normalized, Unweighted)]]*$AA$3</f>
        <v>7.7311452721765414E-2</v>
      </c>
      <c r="AD382" s="255">
        <f>_xlfn.XLOOKUP(FME_Ranking1[[#This Row],[FME ID]],FME_Input[FME_ID],FME_Input[FARMACRE100])</f>
        <v>16557.19921875</v>
      </c>
      <c r="AE382" s="230">
        <f>(FME_Ranking1[[#This Row],[Ag Land Raw]]/$AD$2)*100</f>
        <v>0.68274477741786033</v>
      </c>
      <c r="AF382" s="231">
        <f>FME_Ranking1[[#This Row],[Ag Land Score (Normalized, Unweighted)]]*$AD$3</f>
        <v>3.4137238870893018E-2</v>
      </c>
      <c r="AG38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0.55460313978875109</v>
      </c>
      <c r="AH382" s="406">
        <f t="shared" si="5"/>
        <v>401</v>
      </c>
      <c r="AI38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0.55460313978875109</v>
      </c>
      <c r="AJ382" s="257">
        <f>FME_Ranking1[[#This Row],[Addition check]]-FME_Ranking1[[#This Row],[Weighted Score Based on Normalized Reported Factors]]</f>
        <v>0</v>
      </c>
      <c r="AK382" s="178">
        <f>_xlfn.RANK.EQ(AI382,$AI$6:$AI$2341,0)+COUNTIF($AI$6:AI382,AI382)-1</f>
        <v>403</v>
      </c>
    </row>
    <row r="383" spans="1:37" ht="12" customHeight="1" x14ac:dyDescent="0.25">
      <c r="A383" t="s">
        <v>10942</v>
      </c>
      <c r="B383">
        <f>_xlfn.XLOOKUP(FME_Ranking1[[#This Row],[FME ID]],FME_Input[FME_ID],FME_Input[RFPG_NUM])</f>
        <v>14</v>
      </c>
      <c r="C383" t="str">
        <f>_xlfn.XLOOKUP(FME_Ranking1[[#This Row],[FME ID]],FME_Input[FME_ID],FME_Input[FME_NAME])</f>
        <v>Sediment Control at Alamito and Terneros Creek</v>
      </c>
      <c r="D383" t="str">
        <f>_xlfn.XLOOKUP(FME_Ranking1[[#This Row],[FME ID]],FME_Input[FME_ID],FME_Input[DESCR])</f>
        <v>Design sediment control structures on Alamito Creek and Terneros Creek upstream of confluence with the Rio Grande to reduce sediment in the Rio Grande and reduce USIBWC maintenance burden.</v>
      </c>
      <c r="E383" s="256">
        <f>_xlfn.XLOOKUP(FME_Ranking1[[#This Row],[FME ID]],FME_Input[FME_ID],FME_Input[FME_COST])</f>
        <v>111000</v>
      </c>
      <c r="F383" t="str">
        <f>_xlfn.XLOOKUP(FME_Ranking1[[#This Row],[FME ID]],FME_Input[FME_ID],FME_Input[EMER_NEED])</f>
        <v>No</v>
      </c>
      <c r="G383">
        <f>IF(FME_Ranking!F383="Yes",100,0)</f>
        <v>0</v>
      </c>
      <c r="H383">
        <f>FME_Ranking1[[#This Row],[Emergency Need Score (Normalized, Unweighted)]]*$F$3</f>
        <v>0</v>
      </c>
      <c r="I383" s="246">
        <f>_xlfn.XLOOKUP(FME_Ranking1[[#This Row],[FME ID]],FME_Input[FME_ID],FME_Input[STRUCT_100])</f>
        <v>444</v>
      </c>
      <c r="J383" s="178">
        <f>(FME_Ranking1[[#This Row],[Structures 100 Raw]]/I$2)*100</f>
        <v>0.237758642847963</v>
      </c>
      <c r="K383" s="178">
        <f>FME_Ranking1[[#This Row],[Structures 100  Score (Normalized, Unweighted)]]*$I$3</f>
        <v>3.5663796427194451E-2</v>
      </c>
      <c r="L383" s="246">
        <f>_xlfn.XLOOKUP(FME_Ranking1[[#This Row],[FME ID]],FME_Input[FME_ID],FME_Input[RES_STRUCT100])</f>
        <v>173</v>
      </c>
      <c r="M383" s="230">
        <f>(FME_Ranking1[[#This Row],[Res Structures Raw]]/L$2)*100</f>
        <v>0.12253686730603051</v>
      </c>
      <c r="N383" s="180">
        <f>FME_Ranking1[[#This Row],[Res Structures Score (Normalized, Unweighted)]]*$L$3</f>
        <v>1.2253686730603052E-2</v>
      </c>
      <c r="O383" s="244">
        <f>_xlfn.XLOOKUP(FME_Ranking1[[#This Row],[FME ID]],FME_Input[FME_ID],FME_Input[POP100])</f>
        <v>1599</v>
      </c>
      <c r="P383" s="178">
        <f>(FME_Ranking1[[#This Row],[Pop Raw]]/$O$2)*100</f>
        <v>0.16369812387003249</v>
      </c>
      <c r="Q383" s="178">
        <f>FME_Ranking1[[#This Row],[Pop Score (Normalized, Unweighted)]]*$O$3</f>
        <v>2.4554718580504873E-2</v>
      </c>
      <c r="R383" s="137">
        <f>_xlfn.XLOOKUP(FME_Ranking1[[#This Row],[FME ID]],FME_Input[FME_ID],FME_Input[CRITFAC100])</f>
        <v>0</v>
      </c>
      <c r="S383" s="230">
        <f>(FME_Ranking1[[#This Row],[Critical Facilities Raw]]/$R$2)*100</f>
        <v>0</v>
      </c>
      <c r="T383" s="180">
        <f>FME_Ranking1[[#This Row],[Critical Facilities Score (Normalized, Unweighted)]]*$R$3</f>
        <v>0</v>
      </c>
      <c r="U383">
        <f>_xlfn.XLOOKUP(FME_Ranking1[[#This Row],[FME ID]],FME_Input[FME_ID],FME_Input[LWC])</f>
        <v>24</v>
      </c>
      <c r="V383" s="178">
        <f>(FME_Ranking1[[#This Row],[LWC Raw]]/$U$2)*100</f>
        <v>1.3816925734024179</v>
      </c>
      <c r="W383" s="178">
        <f>FME_Ranking1[[#This Row],[LWC Score (Normalized, Unweighted)]]*$U$3</f>
        <v>0.27633851468048359</v>
      </c>
      <c r="X383" s="246">
        <f>_xlfn.XLOOKUP(FME_Ranking1[[#This Row],[FME ID]],FME_Input[FME_ID],FME_Input[ROADCLS])</f>
        <v>132</v>
      </c>
      <c r="Y383" s="230">
        <f>(FME_Ranking1[[#This Row],[Closures Raw]]/$X$2)*100</f>
        <v>1.3878666806855222</v>
      </c>
      <c r="Z383" s="180">
        <f>FME_Ranking1[[#This Row],[Closures Score (Normalized, Unweighted)]]*$X$3</f>
        <v>6.9393334034276111E-2</v>
      </c>
      <c r="AA383" s="253">
        <f>_xlfn.XLOOKUP(FME_Ranking1[[#This Row],[FME ID]],FME_Input[FME_ID],FME_Input[ROAD_MILES100])</f>
        <v>46.957500457763672</v>
      </c>
      <c r="AB383" s="178">
        <f>(FME_Ranking1[[#This Row],[Miles Raw]]/$AA$2)*100</f>
        <v>0.61740690878861937</v>
      </c>
      <c r="AC383" s="178">
        <f>FME_Ranking1[[#This Row],[Miles Score (Normalized, Unweighted)]]*$AA$3</f>
        <v>6.1740690878861942E-2</v>
      </c>
      <c r="AD383" s="255">
        <f>_xlfn.XLOOKUP(FME_Ranking1[[#This Row],[FME ID]],FME_Input[FME_ID],FME_Input[FARMACRE100])</f>
        <v>28207.599609375</v>
      </c>
      <c r="AE383" s="230">
        <f>(FME_Ranking1[[#This Row],[Ag Land Raw]]/$AD$2)*100</f>
        <v>1.1631551364669033</v>
      </c>
      <c r="AF383" s="231">
        <f>FME_Ranking1[[#This Row],[Ag Land Score (Normalized, Unweighted)]]*$AD$3</f>
        <v>5.8157756823345168E-2</v>
      </c>
      <c r="AG38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0.53810249815526912</v>
      </c>
      <c r="AH383" s="406">
        <f t="shared" si="5"/>
        <v>411</v>
      </c>
      <c r="AI38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0.53810249815526912</v>
      </c>
      <c r="AJ383" s="257">
        <f>FME_Ranking1[[#This Row],[Addition check]]-FME_Ranking1[[#This Row],[Weighted Score Based on Normalized Reported Factors]]</f>
        <v>0</v>
      </c>
      <c r="AK383" s="178">
        <f>_xlfn.RANK.EQ(AI383,$AI$6:$AI$2341,0)+COUNTIF($AI$6:AI383,AI383)-1</f>
        <v>411</v>
      </c>
    </row>
    <row r="384" spans="1:37" ht="12" customHeight="1" x14ac:dyDescent="0.25">
      <c r="A384" t="s">
        <v>5822</v>
      </c>
      <c r="B384">
        <f>_xlfn.XLOOKUP(FME_Ranking1[[#This Row],[FME ID]],FME_Input[FME_ID],FME_Input[RFPG_NUM])</f>
        <v>5</v>
      </c>
      <c r="C384" t="str">
        <f>_xlfn.XLOOKUP(FME_Ranking1[[#This Row],[FME ID]],FME_Input[FME_ID],FME_Input[FME_NAME])</f>
        <v>City of Lufkin Detention Pond Construction and Improvements</v>
      </c>
      <c r="D384" t="str">
        <f>_xlfn.XLOOKUP(FME_Ranking1[[#This Row],[FME ID]],FME_Input[FME_ID],FME_Input[DESCR])</f>
        <v>Evaluate project to quantify benefits, evaluate impacts, and begin design for a retention pond behind Inez Timms property. Increase holding capacity of existing retention ponds throughout the city.</v>
      </c>
      <c r="E384" s="256">
        <f>_xlfn.XLOOKUP(FME_Ranking1[[#This Row],[FME ID]],FME_Input[FME_ID],FME_Input[FME_COST])</f>
        <v>82500</v>
      </c>
      <c r="F384" t="str">
        <f>_xlfn.XLOOKUP(FME_Ranking1[[#This Row],[FME ID]],FME_Input[FME_ID],FME_Input[EMER_NEED])</f>
        <v>Yes</v>
      </c>
      <c r="G384">
        <f>IF(FME_Ranking!F384="Yes",100,0)</f>
        <v>100</v>
      </c>
      <c r="H384">
        <f>FME_Ranking1[[#This Row],[Emergency Need Score (Normalized, Unweighted)]]*$F$3</f>
        <v>0</v>
      </c>
      <c r="I384" s="246">
        <f>_xlfn.XLOOKUP(FME_Ranking1[[#This Row],[FME ID]],FME_Input[FME_ID],FME_Input[STRUCT_100])</f>
        <v>969</v>
      </c>
      <c r="J384" s="178">
        <f>(FME_Ranking1[[#This Row],[Structures 100 Raw]]/I$2)*100</f>
        <v>0.5188921732425138</v>
      </c>
      <c r="K384" s="178">
        <f>FME_Ranking1[[#This Row],[Structures 100  Score (Normalized, Unweighted)]]*$I$3</f>
        <v>7.7833825986377073E-2</v>
      </c>
      <c r="L384" s="246">
        <f>_xlfn.XLOOKUP(FME_Ranking1[[#This Row],[FME ID]],FME_Input[FME_ID],FME_Input[RES_STRUCT100])</f>
        <v>619</v>
      </c>
      <c r="M384" s="230">
        <f>(FME_Ranking1[[#This Row],[Res Structures Raw]]/L$2)*100</f>
        <v>0.43844116105452535</v>
      </c>
      <c r="N384" s="180">
        <f>FME_Ranking1[[#This Row],[Res Structures Score (Normalized, Unweighted)]]*$L$3</f>
        <v>4.3844116105452538E-2</v>
      </c>
      <c r="O384" s="244">
        <f>_xlfn.XLOOKUP(FME_Ranking1[[#This Row],[FME ID]],FME_Input[FME_ID],FME_Input[POP100])</f>
        <v>7640</v>
      </c>
      <c r="P384" s="178">
        <f>(FME_Ranking1[[#This Row],[Pop Raw]]/$O$2)*100</f>
        <v>0.78214738359415148</v>
      </c>
      <c r="Q384" s="178">
        <f>FME_Ranking1[[#This Row],[Pop Score (Normalized, Unweighted)]]*$O$3</f>
        <v>0.11732210753912271</v>
      </c>
      <c r="R384" s="137">
        <f>_xlfn.XLOOKUP(FME_Ranking1[[#This Row],[FME ID]],FME_Input[FME_ID],FME_Input[CRITFAC100])</f>
        <v>5</v>
      </c>
      <c r="S384" s="230">
        <f>(FME_Ranking1[[#This Row],[Critical Facilities Raw]]/$R$2)*100</f>
        <v>0.21440823327615782</v>
      </c>
      <c r="T384" s="180">
        <f>FME_Ranking1[[#This Row],[Critical Facilities Score (Normalized, Unweighted)]]*$R$3</f>
        <v>4.2881646655231566E-2</v>
      </c>
      <c r="U384">
        <f>_xlfn.XLOOKUP(FME_Ranking1[[#This Row],[FME ID]],FME_Input[FME_ID],FME_Input[LWC])</f>
        <v>16</v>
      </c>
      <c r="V384" s="178">
        <f>(FME_Ranking1[[#This Row],[LWC Raw]]/$U$2)*100</f>
        <v>0.92112838226827876</v>
      </c>
      <c r="W384" s="178">
        <f>FME_Ranking1[[#This Row],[LWC Score (Normalized, Unweighted)]]*$U$3</f>
        <v>0.18422567645365576</v>
      </c>
      <c r="X384" s="246">
        <f>_xlfn.XLOOKUP(FME_Ranking1[[#This Row],[FME ID]],FME_Input[FME_ID],FME_Input[ROADCLS])</f>
        <v>16</v>
      </c>
      <c r="Y384" s="230">
        <f>(FME_Ranking1[[#This Row],[Closures Raw]]/$X$2)*100</f>
        <v>0.16822626432551782</v>
      </c>
      <c r="Z384" s="180">
        <f>FME_Ranking1[[#This Row],[Closures Score (Normalized, Unweighted)]]*$X$3</f>
        <v>8.4113132162758914E-3</v>
      </c>
      <c r="AA384" s="253">
        <f>_xlfn.XLOOKUP(FME_Ranking1[[#This Row],[FME ID]],FME_Input[FME_ID],FME_Input[ROAD_MILES100])</f>
        <v>34.021171569824219</v>
      </c>
      <c r="AB384" s="178">
        <f>(FME_Ranking1[[#This Row],[Miles Raw]]/$AA$2)*100</f>
        <v>0.44731738630733708</v>
      </c>
      <c r="AC384" s="178">
        <f>FME_Ranking1[[#This Row],[Miles Score (Normalized, Unweighted)]]*$AA$3</f>
        <v>4.4731738630733708E-2</v>
      </c>
      <c r="AD384" s="255">
        <f>_xlfn.XLOOKUP(FME_Ranking1[[#This Row],[FME ID]],FME_Input[FME_ID],FME_Input[FARMACRE100])</f>
        <v>37.252525329589837</v>
      </c>
      <c r="AE384" s="230">
        <f>(FME_Ranking1[[#This Row],[Ag Land Raw]]/$AD$2)*100</f>
        <v>1.5361273835252059E-3</v>
      </c>
      <c r="AF384" s="231">
        <f>FME_Ranking1[[#This Row],[Ag Land Score (Normalized, Unweighted)]]*$AD$3</f>
        <v>7.6806369176260305E-5</v>
      </c>
      <c r="AG38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0.51932723095602562</v>
      </c>
      <c r="AH384" s="406">
        <f t="shared" si="5"/>
        <v>416</v>
      </c>
      <c r="AI38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0.51932723095602562</v>
      </c>
      <c r="AJ384" s="257">
        <f>FME_Ranking1[[#This Row],[Addition check]]-FME_Ranking1[[#This Row],[Weighted Score Based on Normalized Reported Factors]]</f>
        <v>0</v>
      </c>
      <c r="AK384" s="178">
        <f>_xlfn.RANK.EQ(AI384,$AI$6:$AI$2341,0)+COUNTIF($AI$6:AI384,AI384)-1</f>
        <v>416</v>
      </c>
    </row>
    <row r="385" spans="1:37" ht="12" customHeight="1" x14ac:dyDescent="0.25">
      <c r="A385" t="s">
        <v>4629</v>
      </c>
      <c r="B385">
        <f>_xlfn.XLOOKUP(FME_Ranking1[[#This Row],[FME ID]],FME_Input[FME_ID],FME_Input[RFPG_NUM])</f>
        <v>3</v>
      </c>
      <c r="C385" t="str">
        <f>_xlfn.XLOOKUP(FME_Ranking1[[#This Row],[FME ID]],FME_Input[FME_ID],FME_Input[FME_NAME])</f>
        <v>Calloway Branch Erosion Control Study</v>
      </c>
      <c r="D385" t="str">
        <f>_xlfn.XLOOKUP(FME_Ranking1[[#This Row],[FME ID]],FME_Input[FME_ID],FME_Input[DESCR])</f>
        <v>Evaluate erosion control measures in Calloway Branch to eliminate erosion of stream bank.</v>
      </c>
      <c r="E385" s="256">
        <f>_xlfn.XLOOKUP(FME_Ranking1[[#This Row],[FME ID]],FME_Input[FME_ID],FME_Input[FME_COST])</f>
        <v>50000</v>
      </c>
      <c r="F385" t="str">
        <f>_xlfn.XLOOKUP(FME_Ranking1[[#This Row],[FME ID]],FME_Input[FME_ID],FME_Input[EMER_NEED])</f>
        <v>No</v>
      </c>
      <c r="G385">
        <f>IF(FME_Ranking!F385="Yes",100,0)</f>
        <v>0</v>
      </c>
      <c r="H385">
        <f>FME_Ranking1[[#This Row],[Emergency Need Score (Normalized, Unweighted)]]*$F$3</f>
        <v>0</v>
      </c>
      <c r="I385" s="246">
        <f>_xlfn.XLOOKUP(FME_Ranking1[[#This Row],[FME ID]],FME_Input[FME_ID],FME_Input[STRUCT_100])</f>
        <v>584</v>
      </c>
      <c r="J385" s="178">
        <f>(FME_Ranking1[[#This Row],[Structures 100 Raw]]/I$2)*100</f>
        <v>0.31272758428650987</v>
      </c>
      <c r="K385" s="178">
        <f>FME_Ranking1[[#This Row],[Structures 100  Score (Normalized, Unweighted)]]*$I$3</f>
        <v>4.6909137642976481E-2</v>
      </c>
      <c r="L385" s="246">
        <f>_xlfn.XLOOKUP(FME_Ranking1[[#This Row],[FME ID]],FME_Input[FME_ID],FME_Input[RES_STRUCT100])</f>
        <v>531</v>
      </c>
      <c r="M385" s="230">
        <f>(FME_Ranking1[[#This Row],[Res Structures Raw]]/L$2)*100</f>
        <v>0.37611026901446359</v>
      </c>
      <c r="N385" s="180">
        <f>FME_Ranking1[[#This Row],[Res Structures Score (Normalized, Unweighted)]]*$L$3</f>
        <v>3.7611026901446361E-2</v>
      </c>
      <c r="O385" s="244">
        <f>_xlfn.XLOOKUP(FME_Ranking1[[#This Row],[FME ID]],FME_Input[FME_ID],FME_Input[POP100])</f>
        <v>3457</v>
      </c>
      <c r="P385" s="178">
        <f>(FME_Ranking1[[#This Row],[Pop Raw]]/$O$2)*100</f>
        <v>0.35391145354515469</v>
      </c>
      <c r="Q385" s="178">
        <f>FME_Ranking1[[#This Row],[Pop Score (Normalized, Unweighted)]]*$O$3</f>
        <v>5.30867180317732E-2</v>
      </c>
      <c r="R385" s="137">
        <f>_xlfn.XLOOKUP(FME_Ranking1[[#This Row],[FME ID]],FME_Input[FME_ID],FME_Input[CRITFAC100])</f>
        <v>5</v>
      </c>
      <c r="S385" s="230">
        <f>(FME_Ranking1[[#This Row],[Critical Facilities Raw]]/$R$2)*100</f>
        <v>0.21440823327615782</v>
      </c>
      <c r="T385" s="180">
        <f>FME_Ranking1[[#This Row],[Critical Facilities Score (Normalized, Unweighted)]]*$R$3</f>
        <v>4.2881646655231566E-2</v>
      </c>
      <c r="U385">
        <f>_xlfn.XLOOKUP(FME_Ranking1[[#This Row],[FME ID]],FME_Input[FME_ID],FME_Input[LWC])</f>
        <v>25</v>
      </c>
      <c r="V385" s="178">
        <f>(FME_Ranking1[[#This Row],[LWC Raw]]/$U$2)*100</f>
        <v>1.4392630972941853</v>
      </c>
      <c r="W385" s="178">
        <f>FME_Ranking1[[#This Row],[LWC Score (Normalized, Unweighted)]]*$U$3</f>
        <v>0.28785261945883706</v>
      </c>
      <c r="X385" s="246">
        <f>_xlfn.XLOOKUP(FME_Ranking1[[#This Row],[FME ID]],FME_Input[FME_ID],FME_Input[ROADCLS])</f>
        <v>0</v>
      </c>
      <c r="Y385" s="230">
        <f>(FME_Ranking1[[#This Row],[Closures Raw]]/$X$2)*100</f>
        <v>0</v>
      </c>
      <c r="Z385" s="180">
        <f>FME_Ranking1[[#This Row],[Closures Score (Normalized, Unweighted)]]*$X$3</f>
        <v>0</v>
      </c>
      <c r="AA385" s="253">
        <f>_xlfn.XLOOKUP(FME_Ranking1[[#This Row],[FME ID]],FME_Input[FME_ID],FME_Input[ROAD_MILES100])</f>
        <v>21.563949584960941</v>
      </c>
      <c r="AB385" s="178">
        <f>(FME_Ranking1[[#This Row],[Miles Raw]]/$AA$2)*100</f>
        <v>0.28352726028293429</v>
      </c>
      <c r="AC385" s="178">
        <f>FME_Ranking1[[#This Row],[Miles Score (Normalized, Unweighted)]]*$AA$3</f>
        <v>2.8352726028293432E-2</v>
      </c>
      <c r="AD385" s="255">
        <f>_xlfn.XLOOKUP(FME_Ranking1[[#This Row],[FME ID]],FME_Input[FME_ID],FME_Input[FARMACRE100])</f>
        <v>335.15908813476563</v>
      </c>
      <c r="AE385" s="230">
        <f>(FME_Ranking1[[#This Row],[Ag Land Raw]]/$AD$2)*100</f>
        <v>1.3820460453783148E-2</v>
      </c>
      <c r="AF385" s="231">
        <f>FME_Ranking1[[#This Row],[Ag Land Score (Normalized, Unweighted)]]*$AD$3</f>
        <v>6.9102302268915744E-4</v>
      </c>
      <c r="AG38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0.49738489774124722</v>
      </c>
      <c r="AH385" s="406">
        <f t="shared" si="5"/>
        <v>430</v>
      </c>
      <c r="AI38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0.49738489774124722</v>
      </c>
      <c r="AJ385" s="257">
        <f>FME_Ranking1[[#This Row],[Addition check]]-FME_Ranking1[[#This Row],[Weighted Score Based on Normalized Reported Factors]]</f>
        <v>0</v>
      </c>
      <c r="AK385" s="178">
        <f>_xlfn.RANK.EQ(AI385,$AI$6:$AI$2341,0)+COUNTIF($AI$6:AI385,AI385)-1</f>
        <v>430</v>
      </c>
    </row>
    <row r="386" spans="1:37" ht="12" customHeight="1" x14ac:dyDescent="0.25">
      <c r="A386" t="s">
        <v>4928</v>
      </c>
      <c r="B386">
        <f>_xlfn.XLOOKUP(FME_Ranking1[[#This Row],[FME ID]],FME_Input[FME_ID],FME_Input[RFPG_NUM])</f>
        <v>3</v>
      </c>
      <c r="C386" t="str">
        <f>_xlfn.XLOOKUP(FME_Ranking1[[#This Row],[FME ID]],FME_Input[FME_ID],FME_Input[FME_NAME])</f>
        <v>TRE &amp; SH-10 Culvert Improvements</v>
      </c>
      <c r="D386" t="str">
        <f>_xlfn.XLOOKUP(FME_Ranking1[[#This Row],[FME ID]],FME_Input[FME_ID],FME_Input[DESCR])</f>
        <v>Valley View watershed; Estimated construction cost of $750,000; from 2017 study</v>
      </c>
      <c r="E386" s="256">
        <f>_xlfn.XLOOKUP(FME_Ranking1[[#This Row],[FME ID]],FME_Input[FME_ID],FME_Input[FME_COST])</f>
        <v>250000</v>
      </c>
      <c r="F386" t="str">
        <f>_xlfn.XLOOKUP(FME_Ranking1[[#This Row],[FME ID]],FME_Input[FME_ID],FME_Input[EMER_NEED])</f>
        <v>No</v>
      </c>
      <c r="G386">
        <f>IF(FME_Ranking!F386="Yes",100,0)</f>
        <v>0</v>
      </c>
      <c r="H386">
        <f>FME_Ranking1[[#This Row],[Emergency Need Score (Normalized, Unweighted)]]*$F$3</f>
        <v>0</v>
      </c>
      <c r="I386" s="246">
        <f>_xlfn.XLOOKUP(FME_Ranking1[[#This Row],[FME ID]],FME_Input[FME_ID],FME_Input[STRUCT_100])</f>
        <v>584</v>
      </c>
      <c r="J386" s="178">
        <f>(FME_Ranking1[[#This Row],[Structures 100 Raw]]/I$2)*100</f>
        <v>0.31272758428650987</v>
      </c>
      <c r="K386" s="178">
        <f>FME_Ranking1[[#This Row],[Structures 100  Score (Normalized, Unweighted)]]*$I$3</f>
        <v>4.6909137642976481E-2</v>
      </c>
      <c r="L386" s="246">
        <f>_xlfn.XLOOKUP(FME_Ranking1[[#This Row],[FME ID]],FME_Input[FME_ID],FME_Input[RES_STRUCT100])</f>
        <v>531</v>
      </c>
      <c r="M386" s="230">
        <f>(FME_Ranking1[[#This Row],[Res Structures Raw]]/L$2)*100</f>
        <v>0.37611026901446359</v>
      </c>
      <c r="N386" s="180">
        <f>FME_Ranking1[[#This Row],[Res Structures Score (Normalized, Unweighted)]]*$L$3</f>
        <v>3.7611026901446361E-2</v>
      </c>
      <c r="O386" s="244">
        <f>_xlfn.XLOOKUP(FME_Ranking1[[#This Row],[FME ID]],FME_Input[FME_ID],FME_Input[POP100])</f>
        <v>3457</v>
      </c>
      <c r="P386" s="178">
        <f>(FME_Ranking1[[#This Row],[Pop Raw]]/$O$2)*100</f>
        <v>0.35391145354515469</v>
      </c>
      <c r="Q386" s="178">
        <f>FME_Ranking1[[#This Row],[Pop Score (Normalized, Unweighted)]]*$O$3</f>
        <v>5.30867180317732E-2</v>
      </c>
      <c r="R386" s="137">
        <f>_xlfn.XLOOKUP(FME_Ranking1[[#This Row],[FME ID]],FME_Input[FME_ID],FME_Input[CRITFAC100])</f>
        <v>5</v>
      </c>
      <c r="S386" s="230">
        <f>(FME_Ranking1[[#This Row],[Critical Facilities Raw]]/$R$2)*100</f>
        <v>0.21440823327615782</v>
      </c>
      <c r="T386" s="180">
        <f>FME_Ranking1[[#This Row],[Critical Facilities Score (Normalized, Unweighted)]]*$R$3</f>
        <v>4.2881646655231566E-2</v>
      </c>
      <c r="U386">
        <f>_xlfn.XLOOKUP(FME_Ranking1[[#This Row],[FME ID]],FME_Input[FME_ID],FME_Input[LWC])</f>
        <v>25</v>
      </c>
      <c r="V386" s="178">
        <f>(FME_Ranking1[[#This Row],[LWC Raw]]/$U$2)*100</f>
        <v>1.4392630972941853</v>
      </c>
      <c r="W386" s="178">
        <f>FME_Ranking1[[#This Row],[LWC Score (Normalized, Unweighted)]]*$U$3</f>
        <v>0.28785261945883706</v>
      </c>
      <c r="X386" s="246">
        <f>_xlfn.XLOOKUP(FME_Ranking1[[#This Row],[FME ID]],FME_Input[FME_ID],FME_Input[ROADCLS])</f>
        <v>0</v>
      </c>
      <c r="Y386" s="230">
        <f>(FME_Ranking1[[#This Row],[Closures Raw]]/$X$2)*100</f>
        <v>0</v>
      </c>
      <c r="Z386" s="180">
        <f>FME_Ranking1[[#This Row],[Closures Score (Normalized, Unweighted)]]*$X$3</f>
        <v>0</v>
      </c>
      <c r="AA386" s="253">
        <f>_xlfn.XLOOKUP(FME_Ranking1[[#This Row],[FME ID]],FME_Input[FME_ID],FME_Input[ROAD_MILES100])</f>
        <v>21.563949584960941</v>
      </c>
      <c r="AB386" s="178">
        <f>(FME_Ranking1[[#This Row],[Miles Raw]]/$AA$2)*100</f>
        <v>0.28352726028293429</v>
      </c>
      <c r="AC386" s="178">
        <f>FME_Ranking1[[#This Row],[Miles Score (Normalized, Unweighted)]]*$AA$3</f>
        <v>2.8352726028293432E-2</v>
      </c>
      <c r="AD386" s="255">
        <f>_xlfn.XLOOKUP(FME_Ranking1[[#This Row],[FME ID]],FME_Input[FME_ID],FME_Input[FARMACRE100])</f>
        <v>335.15908813476563</v>
      </c>
      <c r="AE386" s="230">
        <f>(FME_Ranking1[[#This Row],[Ag Land Raw]]/$AD$2)*100</f>
        <v>1.3820460453783148E-2</v>
      </c>
      <c r="AF386" s="231">
        <f>FME_Ranking1[[#This Row],[Ag Land Score (Normalized, Unweighted)]]*$AD$3</f>
        <v>6.9102302268915744E-4</v>
      </c>
      <c r="AG38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0.49738489774124722</v>
      </c>
      <c r="AH386" s="406">
        <f t="shared" si="5"/>
        <v>430</v>
      </c>
      <c r="AI38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0.49738489774124722</v>
      </c>
      <c r="AJ386" s="257">
        <f>FME_Ranking1[[#This Row],[Addition check]]-FME_Ranking1[[#This Row],[Weighted Score Based on Normalized Reported Factors]]</f>
        <v>0</v>
      </c>
      <c r="AK386" s="178">
        <f>_xlfn.RANK.EQ(AI386,$AI$6:$AI$2341,0)+COUNTIF($AI$6:AI386,AI386)-1</f>
        <v>431</v>
      </c>
    </row>
    <row r="387" spans="1:37" ht="12" customHeight="1" x14ac:dyDescent="0.25">
      <c r="A387" t="s">
        <v>4931</v>
      </c>
      <c r="B387">
        <f>_xlfn.XLOOKUP(FME_Ranking1[[#This Row],[FME ID]],FME_Input[FME_ID],FME_Input[RFPG_NUM])</f>
        <v>3</v>
      </c>
      <c r="C387" t="str">
        <f>_xlfn.XLOOKUP(FME_Ranking1[[#This Row],[FME ID]],FME_Input[FME_ID],FME_Input[FME_NAME])</f>
        <v>Pipeline Road Bridge Improvement</v>
      </c>
      <c r="D387" t="str">
        <f>_xlfn.XLOOKUP(FME_Ranking1[[#This Row],[FME ID]],FME_Input[FME_ID],FME_Input[DESCR])</f>
        <v>Walker watershed; Estimated construction cost of $1,700,000; from 2020 study</v>
      </c>
      <c r="E387" s="256">
        <f>_xlfn.XLOOKUP(FME_Ranking1[[#This Row],[FME ID]],FME_Input[FME_ID],FME_Input[FME_COST])</f>
        <v>250000</v>
      </c>
      <c r="F387" t="str">
        <f>_xlfn.XLOOKUP(FME_Ranking1[[#This Row],[FME ID]],FME_Input[FME_ID],FME_Input[EMER_NEED])</f>
        <v>No</v>
      </c>
      <c r="G387">
        <f>IF(FME_Ranking!F387="Yes",100,0)</f>
        <v>0</v>
      </c>
      <c r="H387">
        <f>FME_Ranking1[[#This Row],[Emergency Need Score (Normalized, Unweighted)]]*$F$3</f>
        <v>0</v>
      </c>
      <c r="I387" s="246">
        <f>_xlfn.XLOOKUP(FME_Ranking1[[#This Row],[FME ID]],FME_Input[FME_ID],FME_Input[STRUCT_100])</f>
        <v>584</v>
      </c>
      <c r="J387" s="178">
        <f>(FME_Ranking1[[#This Row],[Structures 100 Raw]]/I$2)*100</f>
        <v>0.31272758428650987</v>
      </c>
      <c r="K387" s="178">
        <f>FME_Ranking1[[#This Row],[Structures 100  Score (Normalized, Unweighted)]]*$I$3</f>
        <v>4.6909137642976481E-2</v>
      </c>
      <c r="L387" s="246">
        <f>_xlfn.XLOOKUP(FME_Ranking1[[#This Row],[FME ID]],FME_Input[FME_ID],FME_Input[RES_STRUCT100])</f>
        <v>531</v>
      </c>
      <c r="M387" s="230">
        <f>(FME_Ranking1[[#This Row],[Res Structures Raw]]/L$2)*100</f>
        <v>0.37611026901446359</v>
      </c>
      <c r="N387" s="180">
        <f>FME_Ranking1[[#This Row],[Res Structures Score (Normalized, Unweighted)]]*$L$3</f>
        <v>3.7611026901446361E-2</v>
      </c>
      <c r="O387" s="244">
        <f>_xlfn.XLOOKUP(FME_Ranking1[[#This Row],[FME ID]],FME_Input[FME_ID],FME_Input[POP100])</f>
        <v>3457</v>
      </c>
      <c r="P387" s="178">
        <f>(FME_Ranking1[[#This Row],[Pop Raw]]/$O$2)*100</f>
        <v>0.35391145354515469</v>
      </c>
      <c r="Q387" s="178">
        <f>FME_Ranking1[[#This Row],[Pop Score (Normalized, Unweighted)]]*$O$3</f>
        <v>5.30867180317732E-2</v>
      </c>
      <c r="R387" s="137">
        <f>_xlfn.XLOOKUP(FME_Ranking1[[#This Row],[FME ID]],FME_Input[FME_ID],FME_Input[CRITFAC100])</f>
        <v>5</v>
      </c>
      <c r="S387" s="230">
        <f>(FME_Ranking1[[#This Row],[Critical Facilities Raw]]/$R$2)*100</f>
        <v>0.21440823327615782</v>
      </c>
      <c r="T387" s="180">
        <f>FME_Ranking1[[#This Row],[Critical Facilities Score (Normalized, Unweighted)]]*$R$3</f>
        <v>4.2881646655231566E-2</v>
      </c>
      <c r="U387">
        <f>_xlfn.XLOOKUP(FME_Ranking1[[#This Row],[FME ID]],FME_Input[FME_ID],FME_Input[LWC])</f>
        <v>25</v>
      </c>
      <c r="V387" s="178">
        <f>(FME_Ranking1[[#This Row],[LWC Raw]]/$U$2)*100</f>
        <v>1.4392630972941853</v>
      </c>
      <c r="W387" s="178">
        <f>FME_Ranking1[[#This Row],[LWC Score (Normalized, Unweighted)]]*$U$3</f>
        <v>0.28785261945883706</v>
      </c>
      <c r="X387" s="246">
        <f>_xlfn.XLOOKUP(FME_Ranking1[[#This Row],[FME ID]],FME_Input[FME_ID],FME_Input[ROADCLS])</f>
        <v>0</v>
      </c>
      <c r="Y387" s="230">
        <f>(FME_Ranking1[[#This Row],[Closures Raw]]/$X$2)*100</f>
        <v>0</v>
      </c>
      <c r="Z387" s="180">
        <f>FME_Ranking1[[#This Row],[Closures Score (Normalized, Unweighted)]]*$X$3</f>
        <v>0</v>
      </c>
      <c r="AA387" s="253">
        <f>_xlfn.XLOOKUP(FME_Ranking1[[#This Row],[FME ID]],FME_Input[FME_ID],FME_Input[ROAD_MILES100])</f>
        <v>21.563949584960941</v>
      </c>
      <c r="AB387" s="178">
        <f>(FME_Ranking1[[#This Row],[Miles Raw]]/$AA$2)*100</f>
        <v>0.28352726028293429</v>
      </c>
      <c r="AC387" s="178">
        <f>FME_Ranking1[[#This Row],[Miles Score (Normalized, Unweighted)]]*$AA$3</f>
        <v>2.8352726028293432E-2</v>
      </c>
      <c r="AD387" s="255">
        <f>_xlfn.XLOOKUP(FME_Ranking1[[#This Row],[FME ID]],FME_Input[FME_ID],FME_Input[FARMACRE100])</f>
        <v>335.15908813476563</v>
      </c>
      <c r="AE387" s="230">
        <f>(FME_Ranking1[[#This Row],[Ag Land Raw]]/$AD$2)*100</f>
        <v>1.3820460453783148E-2</v>
      </c>
      <c r="AF387" s="231">
        <f>FME_Ranking1[[#This Row],[Ag Land Score (Normalized, Unweighted)]]*$AD$3</f>
        <v>6.9102302268915744E-4</v>
      </c>
      <c r="AG38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0.49738489774124722</v>
      </c>
      <c r="AH387" s="406">
        <f t="shared" si="5"/>
        <v>430</v>
      </c>
      <c r="AI38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0.49738489774124722</v>
      </c>
      <c r="AJ387" s="257">
        <f>FME_Ranking1[[#This Row],[Addition check]]-FME_Ranking1[[#This Row],[Weighted Score Based on Normalized Reported Factors]]</f>
        <v>0</v>
      </c>
      <c r="AK387" s="178">
        <f>_xlfn.RANK.EQ(AI387,$AI$6:$AI$2341,0)+COUNTIF($AI$6:AI387,AI387)-1</f>
        <v>432</v>
      </c>
    </row>
    <row r="388" spans="1:37" ht="12" customHeight="1" x14ac:dyDescent="0.25">
      <c r="A388" t="s">
        <v>6751</v>
      </c>
      <c r="B388">
        <f>_xlfn.XLOOKUP(FME_Ranking1[[#This Row],[FME ID]],FME_Input[FME_ID],FME_Input[RFPG_NUM])</f>
        <v>7</v>
      </c>
      <c r="C388" t="str">
        <f>_xlfn.XLOOKUP(FME_Ranking1[[#This Row],[FME ID]],FME_Input[FME_ID],FME_Input[FME_NAME])</f>
        <v>Lamb County Initial FEMA Mapping</v>
      </c>
      <c r="D388" t="str">
        <f>_xlfn.XLOOKUP(FME_Ranking1[[#This Row],[FME ID]],FME_Input[FME_ID],FME_Input[DESCR])</f>
        <v>Create FEMA Mapping in previously unmapped areas</v>
      </c>
      <c r="E388" s="256">
        <f>_xlfn.XLOOKUP(FME_Ranking1[[#This Row],[FME ID]],FME_Input[FME_ID],FME_Input[FME_COST])</f>
        <v>890000</v>
      </c>
      <c r="F388" t="str">
        <f>_xlfn.XLOOKUP(FME_Ranking1[[#This Row],[FME ID]],FME_Input[FME_ID],FME_Input[EMER_NEED])</f>
        <v>No</v>
      </c>
      <c r="G388">
        <f>IF(FME_Ranking!F388="Yes",100,0)</f>
        <v>0</v>
      </c>
      <c r="H388">
        <f>FME_Ranking1[[#This Row],[Emergency Need Score (Normalized, Unweighted)]]*$F$3</f>
        <v>0</v>
      </c>
      <c r="I388" s="246">
        <f>_xlfn.XLOOKUP(FME_Ranking1[[#This Row],[FME ID]],FME_Input[FME_ID],FME_Input[STRUCT_100])</f>
        <v>438</v>
      </c>
      <c r="J388" s="178">
        <f>(FME_Ranking1[[#This Row],[Structures 100 Raw]]/I$2)*100</f>
        <v>0.23454568821488242</v>
      </c>
      <c r="K388" s="178">
        <f>FME_Ranking1[[#This Row],[Structures 100  Score (Normalized, Unweighted)]]*$I$3</f>
        <v>3.5181853232232364E-2</v>
      </c>
      <c r="L388" s="246">
        <f>_xlfn.XLOOKUP(FME_Ranking1[[#This Row],[FME ID]],FME_Input[FME_ID],FME_Input[RES_STRUCT100])</f>
        <v>208</v>
      </c>
      <c r="M388" s="230">
        <f>(FME_Ranking1[[#This Row],[Res Structures Raw]]/L$2)*100</f>
        <v>0.14732756300378236</v>
      </c>
      <c r="N388" s="180">
        <f>FME_Ranking1[[#This Row],[Res Structures Score (Normalized, Unweighted)]]*$L$3</f>
        <v>1.4732756300378236E-2</v>
      </c>
      <c r="O388" s="244">
        <f>_xlfn.XLOOKUP(FME_Ranking1[[#This Row],[FME ID]],FME_Input[FME_ID],FME_Input[POP100])</f>
        <v>932</v>
      </c>
      <c r="P388" s="178">
        <f>(FME_Ranking1[[#This Row],[Pop Raw]]/$O$2)*100</f>
        <v>9.5413790773527379E-2</v>
      </c>
      <c r="Q388" s="178">
        <f>FME_Ranking1[[#This Row],[Pop Score (Normalized, Unweighted)]]*$O$3</f>
        <v>1.4312068616029107E-2</v>
      </c>
      <c r="R388" s="137">
        <f>_xlfn.XLOOKUP(FME_Ranking1[[#This Row],[FME ID]],FME_Input[FME_ID],FME_Input[CRITFAC100])</f>
        <v>3</v>
      </c>
      <c r="S388" s="230">
        <f>(FME_Ranking1[[#This Row],[Critical Facilities Raw]]/$R$2)*100</f>
        <v>0.1286449399656947</v>
      </c>
      <c r="T388" s="180">
        <f>FME_Ranking1[[#This Row],[Critical Facilities Score (Normalized, Unweighted)]]*$R$3</f>
        <v>2.5728987993138941E-2</v>
      </c>
      <c r="U388">
        <f>_xlfn.XLOOKUP(FME_Ranking1[[#This Row],[FME ID]],FME_Input[FME_ID],FME_Input[LWC])</f>
        <v>24</v>
      </c>
      <c r="V388" s="178">
        <f>(FME_Ranking1[[#This Row],[LWC Raw]]/$U$2)*100</f>
        <v>1.3816925734024179</v>
      </c>
      <c r="W388" s="178">
        <f>FME_Ranking1[[#This Row],[LWC Score (Normalized, Unweighted)]]*$U$3</f>
        <v>0.27633851468048359</v>
      </c>
      <c r="X388" s="246">
        <f>_xlfn.XLOOKUP(FME_Ranking1[[#This Row],[FME ID]],FME_Input[FME_ID],FME_Input[ROADCLS])</f>
        <v>0</v>
      </c>
      <c r="Y388" s="230">
        <f>(FME_Ranking1[[#This Row],[Closures Raw]]/$X$2)*100</f>
        <v>0</v>
      </c>
      <c r="Z388" s="180">
        <f>FME_Ranking1[[#This Row],[Closures Score (Normalized, Unweighted)]]*$X$3</f>
        <v>0</v>
      </c>
      <c r="AA388" s="253">
        <f>_xlfn.XLOOKUP(FME_Ranking1[[#This Row],[FME ID]],FME_Input[FME_ID],FME_Input[ROAD_MILES100])</f>
        <v>612.3271484375</v>
      </c>
      <c r="AB388" s="178">
        <f>(FME_Ranking1[[#This Row],[Miles Raw]]/$AA$2)*100</f>
        <v>8.0510037416534086</v>
      </c>
      <c r="AC388" s="178">
        <f>FME_Ranking1[[#This Row],[Miles Score (Normalized, Unweighted)]]*$AA$3</f>
        <v>0.80510037416534086</v>
      </c>
      <c r="AD388" s="255">
        <f>_xlfn.XLOOKUP(FME_Ranking1[[#This Row],[FME ID]],FME_Input[FME_ID],FME_Input[FARMACRE100])</f>
        <v>46012.81640625</v>
      </c>
      <c r="AE388" s="230">
        <f>(FME_Ranking1[[#This Row],[Ag Land Raw]]/$AD$2)*100</f>
        <v>1.8973625720513456</v>
      </c>
      <c r="AF388" s="231">
        <f>FME_Ranking1[[#This Row],[Ag Land Score (Normalized, Unweighted)]]*$AD$3</f>
        <v>9.4868128602567284E-2</v>
      </c>
      <c r="AG38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1.2662626835901702</v>
      </c>
      <c r="AH388" s="406">
        <f t="shared" si="5"/>
        <v>220</v>
      </c>
      <c r="AI38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1.2662626835901702</v>
      </c>
      <c r="AJ388" s="257">
        <f>FME_Ranking1[[#This Row],[Addition check]]-FME_Ranking1[[#This Row],[Weighted Score Based on Normalized Reported Factors]]</f>
        <v>0</v>
      </c>
      <c r="AK388" s="178">
        <f>_xlfn.RANK.EQ(AI388,$AI$6:$AI$2341,0)+COUNTIF($AI$6:AI388,AI388)-1</f>
        <v>220</v>
      </c>
    </row>
    <row r="389" spans="1:37" ht="12" customHeight="1" x14ac:dyDescent="0.25">
      <c r="A389" t="s">
        <v>6759</v>
      </c>
      <c r="B389">
        <f>_xlfn.XLOOKUP(FME_Ranking1[[#This Row],[FME ID]],FME_Input[FME_ID],FME_Input[RFPG_NUM])</f>
        <v>7</v>
      </c>
      <c r="C389" t="str">
        <f>_xlfn.XLOOKUP(FME_Ranking1[[#This Row],[FME ID]],FME_Input[FME_ID],FME_Input[FME_NAME])</f>
        <v>Lamb County DMP</v>
      </c>
      <c r="D389" t="str">
        <f>_xlfn.XLOOKUP(FME_Ranking1[[#This Row],[FME ID]],FME_Input[FME_ID],FME_Input[DESCR])</f>
        <v>Evaluate county to identify future projects, analyze roads/stream crossing for emergency response vehicles to high hazard areas</v>
      </c>
      <c r="E389" s="256">
        <f>_xlfn.XLOOKUP(FME_Ranking1[[#This Row],[FME ID]],FME_Input[FME_ID],FME_Input[FME_COST])</f>
        <v>500000</v>
      </c>
      <c r="F389" t="str">
        <f>_xlfn.XLOOKUP(FME_Ranking1[[#This Row],[FME ID]],FME_Input[FME_ID],FME_Input[EMER_NEED])</f>
        <v>No</v>
      </c>
      <c r="G389">
        <f>IF(FME_Ranking!F389="Yes",100,0)</f>
        <v>0</v>
      </c>
      <c r="H389">
        <f>FME_Ranking1[[#This Row],[Emergency Need Score (Normalized, Unweighted)]]*$F$3</f>
        <v>0</v>
      </c>
      <c r="I389" s="246">
        <f>_xlfn.XLOOKUP(FME_Ranking1[[#This Row],[FME ID]],FME_Input[FME_ID],FME_Input[STRUCT_100])</f>
        <v>438</v>
      </c>
      <c r="J389" s="178">
        <f>(FME_Ranking1[[#This Row],[Structures 100 Raw]]/I$2)*100</f>
        <v>0.23454568821488242</v>
      </c>
      <c r="K389" s="178">
        <f>FME_Ranking1[[#This Row],[Structures 100  Score (Normalized, Unweighted)]]*$I$3</f>
        <v>3.5181853232232364E-2</v>
      </c>
      <c r="L389" s="246">
        <f>_xlfn.XLOOKUP(FME_Ranking1[[#This Row],[FME ID]],FME_Input[FME_ID],FME_Input[RES_STRUCT100])</f>
        <v>208</v>
      </c>
      <c r="M389" s="230">
        <f>(FME_Ranking1[[#This Row],[Res Structures Raw]]/L$2)*100</f>
        <v>0.14732756300378236</v>
      </c>
      <c r="N389" s="180">
        <f>FME_Ranking1[[#This Row],[Res Structures Score (Normalized, Unweighted)]]*$L$3</f>
        <v>1.4732756300378236E-2</v>
      </c>
      <c r="O389" s="244">
        <f>_xlfn.XLOOKUP(FME_Ranking1[[#This Row],[FME ID]],FME_Input[FME_ID],FME_Input[POP100])</f>
        <v>932</v>
      </c>
      <c r="P389" s="178">
        <f>(FME_Ranking1[[#This Row],[Pop Raw]]/$O$2)*100</f>
        <v>9.5413790773527379E-2</v>
      </c>
      <c r="Q389" s="178">
        <f>FME_Ranking1[[#This Row],[Pop Score (Normalized, Unweighted)]]*$O$3</f>
        <v>1.4312068616029107E-2</v>
      </c>
      <c r="R389" s="137">
        <f>_xlfn.XLOOKUP(FME_Ranking1[[#This Row],[FME ID]],FME_Input[FME_ID],FME_Input[CRITFAC100])</f>
        <v>3</v>
      </c>
      <c r="S389" s="230">
        <f>(FME_Ranking1[[#This Row],[Critical Facilities Raw]]/$R$2)*100</f>
        <v>0.1286449399656947</v>
      </c>
      <c r="T389" s="180">
        <f>FME_Ranking1[[#This Row],[Critical Facilities Score (Normalized, Unweighted)]]*$R$3</f>
        <v>2.5728987993138941E-2</v>
      </c>
      <c r="U389">
        <f>_xlfn.XLOOKUP(FME_Ranking1[[#This Row],[FME ID]],FME_Input[FME_ID],FME_Input[LWC])</f>
        <v>24</v>
      </c>
      <c r="V389" s="178">
        <f>(FME_Ranking1[[#This Row],[LWC Raw]]/$U$2)*100</f>
        <v>1.3816925734024179</v>
      </c>
      <c r="W389" s="178">
        <f>FME_Ranking1[[#This Row],[LWC Score (Normalized, Unweighted)]]*$U$3</f>
        <v>0.27633851468048359</v>
      </c>
      <c r="X389" s="246">
        <f>_xlfn.XLOOKUP(FME_Ranking1[[#This Row],[FME ID]],FME_Input[FME_ID],FME_Input[ROADCLS])</f>
        <v>0</v>
      </c>
      <c r="Y389" s="230">
        <f>(FME_Ranking1[[#This Row],[Closures Raw]]/$X$2)*100</f>
        <v>0</v>
      </c>
      <c r="Z389" s="180">
        <f>FME_Ranking1[[#This Row],[Closures Score (Normalized, Unweighted)]]*$X$3</f>
        <v>0</v>
      </c>
      <c r="AA389" s="253">
        <f>_xlfn.XLOOKUP(FME_Ranking1[[#This Row],[FME ID]],FME_Input[FME_ID],FME_Input[ROAD_MILES100])</f>
        <v>612.3271484375</v>
      </c>
      <c r="AB389" s="178">
        <f>(FME_Ranking1[[#This Row],[Miles Raw]]/$AA$2)*100</f>
        <v>8.0510037416534086</v>
      </c>
      <c r="AC389" s="178">
        <f>FME_Ranking1[[#This Row],[Miles Score (Normalized, Unweighted)]]*$AA$3</f>
        <v>0.80510037416534086</v>
      </c>
      <c r="AD389" s="255">
        <f>_xlfn.XLOOKUP(FME_Ranking1[[#This Row],[FME ID]],FME_Input[FME_ID],FME_Input[FARMACRE100])</f>
        <v>46012.81640625</v>
      </c>
      <c r="AE389" s="230">
        <f>(FME_Ranking1[[#This Row],[Ag Land Raw]]/$AD$2)*100</f>
        <v>1.8973625720513456</v>
      </c>
      <c r="AF389" s="231">
        <f>FME_Ranking1[[#This Row],[Ag Land Score (Normalized, Unweighted)]]*$AD$3</f>
        <v>9.4868128602567284E-2</v>
      </c>
      <c r="AG38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1.2662626835901702</v>
      </c>
      <c r="AH389" s="406">
        <f t="shared" si="5"/>
        <v>220</v>
      </c>
      <c r="AI38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1.2662626835901702</v>
      </c>
      <c r="AJ389" s="257">
        <f>FME_Ranking1[[#This Row],[Addition check]]-FME_Ranking1[[#This Row],[Weighted Score Based on Normalized Reported Factors]]</f>
        <v>0</v>
      </c>
      <c r="AK389" s="178">
        <f>_xlfn.RANK.EQ(AI389,$AI$6:$AI$2341,0)+COUNTIF($AI$6:AI389,AI389)-1</f>
        <v>221</v>
      </c>
    </row>
    <row r="390" spans="1:37" ht="12" customHeight="1" x14ac:dyDescent="0.25">
      <c r="A390" t="s">
        <v>6761</v>
      </c>
      <c r="B390">
        <f>_xlfn.XLOOKUP(FME_Ranking1[[#This Row],[FME ID]],FME_Input[FME_ID],FME_Input[RFPG_NUM])</f>
        <v>7</v>
      </c>
      <c r="C390" t="str">
        <f>_xlfn.XLOOKUP(FME_Ranking1[[#This Row],[FME ID]],FME_Input[FME_ID],FME_Input[FME_NAME])</f>
        <v>Lamb County GIS Development</v>
      </c>
      <c r="D390" t="str">
        <f>_xlfn.XLOOKUP(FME_Ranking1[[#This Row],[FME ID]],FME_Input[FME_ID],FME_Input[DESCR])</f>
        <v>Develop a GIS inventory of stormwater infrastructure</v>
      </c>
      <c r="E390" s="256">
        <f>_xlfn.XLOOKUP(FME_Ranking1[[#This Row],[FME ID]],FME_Input[FME_ID],FME_Input[FME_COST])</f>
        <v>100000</v>
      </c>
      <c r="F390" t="str">
        <f>_xlfn.XLOOKUP(FME_Ranking1[[#This Row],[FME ID]],FME_Input[FME_ID],FME_Input[EMER_NEED])</f>
        <v>No</v>
      </c>
      <c r="G390">
        <f>IF(FME_Ranking!F390="Yes",100,0)</f>
        <v>0</v>
      </c>
      <c r="H390">
        <f>FME_Ranking1[[#This Row],[Emergency Need Score (Normalized, Unweighted)]]*$F$3</f>
        <v>0</v>
      </c>
      <c r="I390" s="246">
        <f>_xlfn.XLOOKUP(FME_Ranking1[[#This Row],[FME ID]],FME_Input[FME_ID],FME_Input[STRUCT_100])</f>
        <v>438</v>
      </c>
      <c r="J390" s="178">
        <f>(FME_Ranking1[[#This Row],[Structures 100 Raw]]/I$2)*100</f>
        <v>0.23454568821488242</v>
      </c>
      <c r="K390" s="178">
        <f>FME_Ranking1[[#This Row],[Structures 100  Score (Normalized, Unweighted)]]*$I$3</f>
        <v>3.5181853232232364E-2</v>
      </c>
      <c r="L390" s="246">
        <f>_xlfn.XLOOKUP(FME_Ranking1[[#This Row],[FME ID]],FME_Input[FME_ID],FME_Input[RES_STRUCT100])</f>
        <v>208</v>
      </c>
      <c r="M390" s="230">
        <f>(FME_Ranking1[[#This Row],[Res Structures Raw]]/L$2)*100</f>
        <v>0.14732756300378236</v>
      </c>
      <c r="N390" s="180">
        <f>FME_Ranking1[[#This Row],[Res Structures Score (Normalized, Unweighted)]]*$L$3</f>
        <v>1.4732756300378236E-2</v>
      </c>
      <c r="O390" s="244">
        <f>_xlfn.XLOOKUP(FME_Ranking1[[#This Row],[FME ID]],FME_Input[FME_ID],FME_Input[POP100])</f>
        <v>932</v>
      </c>
      <c r="P390" s="178">
        <f>(FME_Ranking1[[#This Row],[Pop Raw]]/$O$2)*100</f>
        <v>9.5413790773527379E-2</v>
      </c>
      <c r="Q390" s="178">
        <f>FME_Ranking1[[#This Row],[Pop Score (Normalized, Unweighted)]]*$O$3</f>
        <v>1.4312068616029107E-2</v>
      </c>
      <c r="R390" s="137">
        <f>_xlfn.XLOOKUP(FME_Ranking1[[#This Row],[FME ID]],FME_Input[FME_ID],FME_Input[CRITFAC100])</f>
        <v>3</v>
      </c>
      <c r="S390" s="230">
        <f>(FME_Ranking1[[#This Row],[Critical Facilities Raw]]/$R$2)*100</f>
        <v>0.1286449399656947</v>
      </c>
      <c r="T390" s="180">
        <f>FME_Ranking1[[#This Row],[Critical Facilities Score (Normalized, Unweighted)]]*$R$3</f>
        <v>2.5728987993138941E-2</v>
      </c>
      <c r="U390">
        <f>_xlfn.XLOOKUP(FME_Ranking1[[#This Row],[FME ID]],FME_Input[FME_ID],FME_Input[LWC])</f>
        <v>24</v>
      </c>
      <c r="V390" s="178">
        <f>(FME_Ranking1[[#This Row],[LWC Raw]]/$U$2)*100</f>
        <v>1.3816925734024179</v>
      </c>
      <c r="W390" s="178">
        <f>FME_Ranking1[[#This Row],[LWC Score (Normalized, Unweighted)]]*$U$3</f>
        <v>0.27633851468048359</v>
      </c>
      <c r="X390" s="246">
        <f>_xlfn.XLOOKUP(FME_Ranking1[[#This Row],[FME ID]],FME_Input[FME_ID],FME_Input[ROADCLS])</f>
        <v>0</v>
      </c>
      <c r="Y390" s="230">
        <f>(FME_Ranking1[[#This Row],[Closures Raw]]/$X$2)*100</f>
        <v>0</v>
      </c>
      <c r="Z390" s="180">
        <f>FME_Ranking1[[#This Row],[Closures Score (Normalized, Unweighted)]]*$X$3</f>
        <v>0</v>
      </c>
      <c r="AA390" s="253">
        <f>_xlfn.XLOOKUP(FME_Ranking1[[#This Row],[FME ID]],FME_Input[FME_ID],FME_Input[ROAD_MILES100])</f>
        <v>612.3271484375</v>
      </c>
      <c r="AB390" s="178">
        <f>(FME_Ranking1[[#This Row],[Miles Raw]]/$AA$2)*100</f>
        <v>8.0510037416534086</v>
      </c>
      <c r="AC390" s="178">
        <f>FME_Ranking1[[#This Row],[Miles Score (Normalized, Unweighted)]]*$AA$3</f>
        <v>0.80510037416534086</v>
      </c>
      <c r="AD390" s="255">
        <f>_xlfn.XLOOKUP(FME_Ranking1[[#This Row],[FME ID]],FME_Input[FME_ID],FME_Input[FARMACRE100])</f>
        <v>46012.81640625</v>
      </c>
      <c r="AE390" s="230">
        <f>(FME_Ranking1[[#This Row],[Ag Land Raw]]/$AD$2)*100</f>
        <v>1.8973625720513456</v>
      </c>
      <c r="AF390" s="231">
        <f>FME_Ranking1[[#This Row],[Ag Land Score (Normalized, Unweighted)]]*$AD$3</f>
        <v>9.4868128602567284E-2</v>
      </c>
      <c r="AG39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1.2662626835901702</v>
      </c>
      <c r="AH390" s="406">
        <f t="shared" ref="AH390:AH453" si="6">_xlfn.RANK.EQ(AG390,$AG$6:$AG$2341,0)</f>
        <v>220</v>
      </c>
      <c r="AI39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1.2662626835901702</v>
      </c>
      <c r="AJ390" s="257">
        <f>FME_Ranking1[[#This Row],[Addition check]]-FME_Ranking1[[#This Row],[Weighted Score Based on Normalized Reported Factors]]</f>
        <v>0</v>
      </c>
      <c r="AK390" s="178">
        <f>_xlfn.RANK.EQ(AI390,$AI$6:$AI$2341,0)+COUNTIF($AI$6:AI390,AI390)-1</f>
        <v>222</v>
      </c>
    </row>
    <row r="391" spans="1:37" ht="12" customHeight="1" x14ac:dyDescent="0.25">
      <c r="A391" t="s">
        <v>7167</v>
      </c>
      <c r="B391">
        <f>_xlfn.XLOOKUP(FME_Ranking1[[#This Row],[FME ID]],FME_Input[FME_ID],FME_Input[RFPG_NUM])</f>
        <v>7</v>
      </c>
      <c r="C391" t="str">
        <f>_xlfn.XLOOKUP(FME_Ranking1[[#This Row],[FME ID]],FME_Input[FME_ID],FME_Input[FME_NAME])</f>
        <v>Lamb County DCM</v>
      </c>
      <c r="D391" t="str">
        <f>_xlfn.XLOOKUP(FME_Ranking1[[#This Row],[FME ID]],FME_Input[FME_ID],FME_Input[DESCR])</f>
        <v>Consider stormwater criteria for infrastructure and floodplain ordinances to avoid new exposure to flood hazards.</v>
      </c>
      <c r="E391" s="256">
        <f>_xlfn.XLOOKUP(FME_Ranking1[[#This Row],[FME ID]],FME_Input[FME_ID],FME_Input[FME_COST])</f>
        <v>100000</v>
      </c>
      <c r="F391" t="str">
        <f>_xlfn.XLOOKUP(FME_Ranking1[[#This Row],[FME ID]],FME_Input[FME_ID],FME_Input[EMER_NEED])</f>
        <v>No</v>
      </c>
      <c r="G391">
        <f>IF(FME_Ranking!F391="Yes",100,0)</f>
        <v>0</v>
      </c>
      <c r="H391">
        <f>FME_Ranking1[[#This Row],[Emergency Need Score (Normalized, Unweighted)]]*$F$3</f>
        <v>0</v>
      </c>
      <c r="I391" s="246">
        <f>_xlfn.XLOOKUP(FME_Ranking1[[#This Row],[FME ID]],FME_Input[FME_ID],FME_Input[STRUCT_100])</f>
        <v>438</v>
      </c>
      <c r="J391" s="178">
        <f>(FME_Ranking1[[#This Row],[Structures 100 Raw]]/I$2)*100</f>
        <v>0.23454568821488242</v>
      </c>
      <c r="K391" s="178">
        <f>FME_Ranking1[[#This Row],[Structures 100  Score (Normalized, Unweighted)]]*$I$3</f>
        <v>3.5181853232232364E-2</v>
      </c>
      <c r="L391" s="246">
        <f>_xlfn.XLOOKUP(FME_Ranking1[[#This Row],[FME ID]],FME_Input[FME_ID],FME_Input[RES_STRUCT100])</f>
        <v>208</v>
      </c>
      <c r="M391" s="230">
        <f>(FME_Ranking1[[#This Row],[Res Structures Raw]]/L$2)*100</f>
        <v>0.14732756300378236</v>
      </c>
      <c r="N391" s="180">
        <f>FME_Ranking1[[#This Row],[Res Structures Score (Normalized, Unweighted)]]*$L$3</f>
        <v>1.4732756300378236E-2</v>
      </c>
      <c r="O391" s="244">
        <f>_xlfn.XLOOKUP(FME_Ranking1[[#This Row],[FME ID]],FME_Input[FME_ID],FME_Input[POP100])</f>
        <v>932</v>
      </c>
      <c r="P391" s="178">
        <f>(FME_Ranking1[[#This Row],[Pop Raw]]/$O$2)*100</f>
        <v>9.5413790773527379E-2</v>
      </c>
      <c r="Q391" s="178">
        <f>FME_Ranking1[[#This Row],[Pop Score (Normalized, Unweighted)]]*$O$3</f>
        <v>1.4312068616029107E-2</v>
      </c>
      <c r="R391" s="137">
        <f>_xlfn.XLOOKUP(FME_Ranking1[[#This Row],[FME ID]],FME_Input[FME_ID],FME_Input[CRITFAC100])</f>
        <v>3</v>
      </c>
      <c r="S391" s="230">
        <f>(FME_Ranking1[[#This Row],[Critical Facilities Raw]]/$R$2)*100</f>
        <v>0.1286449399656947</v>
      </c>
      <c r="T391" s="180">
        <f>FME_Ranking1[[#This Row],[Critical Facilities Score (Normalized, Unweighted)]]*$R$3</f>
        <v>2.5728987993138941E-2</v>
      </c>
      <c r="U391">
        <f>_xlfn.XLOOKUP(FME_Ranking1[[#This Row],[FME ID]],FME_Input[FME_ID],FME_Input[LWC])</f>
        <v>24</v>
      </c>
      <c r="V391" s="178">
        <f>(FME_Ranking1[[#This Row],[LWC Raw]]/$U$2)*100</f>
        <v>1.3816925734024179</v>
      </c>
      <c r="W391" s="178">
        <f>FME_Ranking1[[#This Row],[LWC Score (Normalized, Unweighted)]]*$U$3</f>
        <v>0.27633851468048359</v>
      </c>
      <c r="X391" s="246">
        <f>_xlfn.XLOOKUP(FME_Ranking1[[#This Row],[FME ID]],FME_Input[FME_ID],FME_Input[ROADCLS])</f>
        <v>0</v>
      </c>
      <c r="Y391" s="230">
        <f>(FME_Ranking1[[#This Row],[Closures Raw]]/$X$2)*100</f>
        <v>0</v>
      </c>
      <c r="Z391" s="180">
        <f>FME_Ranking1[[#This Row],[Closures Score (Normalized, Unweighted)]]*$X$3</f>
        <v>0</v>
      </c>
      <c r="AA391" s="253">
        <f>_xlfn.XLOOKUP(FME_Ranking1[[#This Row],[FME ID]],FME_Input[FME_ID],FME_Input[ROAD_MILES100])</f>
        <v>612.3271484375</v>
      </c>
      <c r="AB391" s="178">
        <f>(FME_Ranking1[[#This Row],[Miles Raw]]/$AA$2)*100</f>
        <v>8.0510037416534086</v>
      </c>
      <c r="AC391" s="178">
        <f>FME_Ranking1[[#This Row],[Miles Score (Normalized, Unweighted)]]*$AA$3</f>
        <v>0.80510037416534086</v>
      </c>
      <c r="AD391" s="255">
        <f>_xlfn.XLOOKUP(FME_Ranking1[[#This Row],[FME ID]],FME_Input[FME_ID],FME_Input[FARMACRE100])</f>
        <v>46012.81640625</v>
      </c>
      <c r="AE391" s="230">
        <f>(FME_Ranking1[[#This Row],[Ag Land Raw]]/$AD$2)*100</f>
        <v>1.8973625720513456</v>
      </c>
      <c r="AF391" s="231">
        <f>FME_Ranking1[[#This Row],[Ag Land Score (Normalized, Unweighted)]]*$AD$3</f>
        <v>9.4868128602567284E-2</v>
      </c>
      <c r="AG39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1.2662626835901702</v>
      </c>
      <c r="AH391" s="406">
        <f t="shared" si="6"/>
        <v>220</v>
      </c>
      <c r="AI39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1.2662626835901702</v>
      </c>
      <c r="AJ391" s="257">
        <f>FME_Ranking1[[#This Row],[Addition check]]-FME_Ranking1[[#This Row],[Weighted Score Based on Normalized Reported Factors]]</f>
        <v>0</v>
      </c>
      <c r="AK391" s="178">
        <f>_xlfn.RANK.EQ(AI391,$AI$6:$AI$2341,0)+COUNTIF($AI$6:AI391,AI391)-1</f>
        <v>223</v>
      </c>
    </row>
    <row r="392" spans="1:37" ht="12" customHeight="1" x14ac:dyDescent="0.25">
      <c r="A392" t="s">
        <v>5562</v>
      </c>
      <c r="B392">
        <f>_xlfn.XLOOKUP(FME_Ranking1[[#This Row],[FME ID]],FME_Input[FME_ID],FME_Input[RFPG_NUM])</f>
        <v>4</v>
      </c>
      <c r="C392" t="str">
        <f>_xlfn.XLOOKUP(FME_Ranking1[[#This Row],[FME ID]],FME_Input[FME_ID],FME_Input[FME_NAME])</f>
        <v>Longview Drainage Master Plan</v>
      </c>
      <c r="D392" t="str">
        <f>_xlfn.XLOOKUP(FME_Ranking1[[#This Row],[FME ID]],FME_Input[FME_ID],FME_Input[DESCR])</f>
        <v>Perform study of existing culverts and drainage capabilities in town. Identify upgrades to drainage infrastructure capacity where needed.</v>
      </c>
      <c r="E392" s="256">
        <f>_xlfn.XLOOKUP(FME_Ranking1[[#This Row],[FME ID]],FME_Input[FME_ID],FME_Input[FME_COST])</f>
        <v>1100000</v>
      </c>
      <c r="F392" t="str">
        <f>_xlfn.XLOOKUP(FME_Ranking1[[#This Row],[FME ID]],FME_Input[FME_ID],FME_Input[EMER_NEED])</f>
        <v>Yes</v>
      </c>
      <c r="G392">
        <f>IF(FME_Ranking!F392="Yes",100,0)</f>
        <v>100</v>
      </c>
      <c r="H392">
        <f>FME_Ranking1[[#This Row],[Emergency Need Score (Normalized, Unweighted)]]*$F$3</f>
        <v>0</v>
      </c>
      <c r="I392" s="246">
        <f>_xlfn.XLOOKUP(FME_Ranking1[[#This Row],[FME ID]],FME_Input[FME_ID],FME_Input[STRUCT_100])</f>
        <v>1379</v>
      </c>
      <c r="J392" s="178">
        <f>(FME_Ranking1[[#This Row],[Structures 100 Raw]]/I$2)*100</f>
        <v>0.73844407316968685</v>
      </c>
      <c r="K392" s="178">
        <f>FME_Ranking1[[#This Row],[Structures 100  Score (Normalized, Unweighted)]]*$I$3</f>
        <v>0.11076661097545303</v>
      </c>
      <c r="L392" s="246">
        <f>_xlfn.XLOOKUP(FME_Ranking1[[#This Row],[FME ID]],FME_Input[FME_ID],FME_Input[RES_STRUCT100])</f>
        <v>1024</v>
      </c>
      <c r="M392" s="230">
        <f>(FME_Ranking1[[#This Row],[Res Structures Raw]]/L$2)*100</f>
        <v>0.72530492555708237</v>
      </c>
      <c r="N392" s="180">
        <f>FME_Ranking1[[#This Row],[Res Structures Score (Normalized, Unweighted)]]*$L$3</f>
        <v>7.2530492555708245E-2</v>
      </c>
      <c r="O392" s="244">
        <f>_xlfn.XLOOKUP(FME_Ranking1[[#This Row],[FME ID]],FME_Input[FME_ID],FME_Input[POP100])</f>
        <v>12707</v>
      </c>
      <c r="P392" s="178">
        <f>(FME_Ranking1[[#This Row],[Pop Raw]]/$O$2)*100</f>
        <v>1.3008830894412151</v>
      </c>
      <c r="Q392" s="178">
        <f>FME_Ranking1[[#This Row],[Pop Score (Normalized, Unweighted)]]*$O$3</f>
        <v>0.19513246341618226</v>
      </c>
      <c r="R392" s="137">
        <f>_xlfn.XLOOKUP(FME_Ranking1[[#This Row],[FME ID]],FME_Input[FME_ID],FME_Input[CRITFAC100])</f>
        <v>9</v>
      </c>
      <c r="S392" s="230">
        <f>(FME_Ranking1[[#This Row],[Critical Facilities Raw]]/$R$2)*100</f>
        <v>0.38593481989708406</v>
      </c>
      <c r="T392" s="180">
        <f>FME_Ranking1[[#This Row],[Critical Facilities Score (Normalized, Unweighted)]]*$R$3</f>
        <v>7.7186963979416823E-2</v>
      </c>
      <c r="U392">
        <f>_xlfn.XLOOKUP(FME_Ranking1[[#This Row],[FME ID]],FME_Input[FME_ID],FME_Input[LWC])</f>
        <v>0</v>
      </c>
      <c r="V392" s="178">
        <f>(FME_Ranking1[[#This Row],[LWC Raw]]/$U$2)*100</f>
        <v>0</v>
      </c>
      <c r="W392" s="178">
        <f>FME_Ranking1[[#This Row],[LWC Score (Normalized, Unweighted)]]*$U$3</f>
        <v>0</v>
      </c>
      <c r="X392" s="246">
        <f>_xlfn.XLOOKUP(FME_Ranking1[[#This Row],[FME ID]],FME_Input[FME_ID],FME_Input[ROADCLS])</f>
        <v>0</v>
      </c>
      <c r="Y392" s="230">
        <f>(FME_Ranking1[[#This Row],[Closures Raw]]/$X$2)*100</f>
        <v>0</v>
      </c>
      <c r="Z392" s="180">
        <f>FME_Ranking1[[#This Row],[Closures Score (Normalized, Unweighted)]]*$X$3</f>
        <v>0</v>
      </c>
      <c r="AA392" s="253">
        <f>_xlfn.XLOOKUP(FME_Ranking1[[#This Row],[FME ID]],FME_Input[FME_ID],FME_Input[ROAD_MILES100])</f>
        <v>41.051982879638672</v>
      </c>
      <c r="AB392" s="178">
        <f>(FME_Ranking1[[#This Row],[Miles Raw]]/$AA$2)*100</f>
        <v>0.53975994467930677</v>
      </c>
      <c r="AC392" s="178">
        <f>FME_Ranking1[[#This Row],[Miles Score (Normalized, Unweighted)]]*$AA$3</f>
        <v>5.397599446793068E-2</v>
      </c>
      <c r="AD392" s="255">
        <f>_xlfn.XLOOKUP(FME_Ranking1[[#This Row],[FME ID]],FME_Input[FME_ID],FME_Input[FARMACRE100])</f>
        <v>294.66531372070313</v>
      </c>
      <c r="AE392" s="230">
        <f>(FME_Ranking1[[#This Row],[Ag Land Raw]]/$AD$2)*100</f>
        <v>1.2150678467477775E-2</v>
      </c>
      <c r="AF392" s="231">
        <f>FME_Ranking1[[#This Row],[Ag Land Score (Normalized, Unweighted)]]*$AD$3</f>
        <v>6.075339233738888E-4</v>
      </c>
      <c r="AG39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0.51020005931806489</v>
      </c>
      <c r="AH392" s="406">
        <f t="shared" si="6"/>
        <v>423</v>
      </c>
      <c r="AI39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0.51020005931806489</v>
      </c>
      <c r="AJ392" s="257">
        <f>FME_Ranking1[[#This Row],[Addition check]]-FME_Ranking1[[#This Row],[Weighted Score Based on Normalized Reported Factors]]</f>
        <v>0</v>
      </c>
      <c r="AK392" s="178">
        <f>_xlfn.RANK.EQ(AI392,$AI$6:$AI$2341,0)+COUNTIF($AI$6:AI392,AI392)-1</f>
        <v>423</v>
      </c>
    </row>
    <row r="393" spans="1:37" ht="12" customHeight="1" x14ac:dyDescent="0.25">
      <c r="A393" t="s">
        <v>5652</v>
      </c>
      <c r="B393">
        <f>_xlfn.XLOOKUP(FME_Ranking1[[#This Row],[FME ID]],FME_Input[FME_ID],FME_Input[RFPG_NUM])</f>
        <v>4</v>
      </c>
      <c r="C393" t="str">
        <f>_xlfn.XLOOKUP(FME_Ranking1[[#This Row],[FME ID]],FME_Input[FME_ID],FME_Input[FME_NAME])</f>
        <v>City of Longview Critical Facilities Flood Protection Study</v>
      </c>
      <c r="D393" t="str">
        <f>_xlfn.XLOOKUP(FME_Ranking1[[#This Row],[FME ID]],FME_Input[FME_ID],FME_Input[DESCR])</f>
        <v>Ensure that critical facilities owned by the jurisdiction are protected from flood.</v>
      </c>
      <c r="E393" s="256">
        <f>_xlfn.XLOOKUP(FME_Ranking1[[#This Row],[FME ID]],FME_Input[FME_ID],FME_Input[FME_COST])</f>
        <v>85000</v>
      </c>
      <c r="F393" t="str">
        <f>_xlfn.XLOOKUP(FME_Ranking1[[#This Row],[FME ID]],FME_Input[FME_ID],FME_Input[EMER_NEED])</f>
        <v>Yes</v>
      </c>
      <c r="G393">
        <f>IF(FME_Ranking!F393="Yes",100,0)</f>
        <v>100</v>
      </c>
      <c r="H393">
        <f>FME_Ranking1[[#This Row],[Emergency Need Score (Normalized, Unweighted)]]*$F$3</f>
        <v>0</v>
      </c>
      <c r="I393" s="246">
        <f>_xlfn.XLOOKUP(FME_Ranking1[[#This Row],[FME ID]],FME_Input[FME_ID],FME_Input[STRUCT_100])</f>
        <v>1379</v>
      </c>
      <c r="J393" s="178">
        <f>(FME_Ranking1[[#This Row],[Structures 100 Raw]]/I$2)*100</f>
        <v>0.73844407316968685</v>
      </c>
      <c r="K393" s="178">
        <f>FME_Ranking1[[#This Row],[Structures 100  Score (Normalized, Unweighted)]]*$I$3</f>
        <v>0.11076661097545303</v>
      </c>
      <c r="L393" s="246">
        <f>_xlfn.XLOOKUP(FME_Ranking1[[#This Row],[FME ID]],FME_Input[FME_ID],FME_Input[RES_STRUCT100])</f>
        <v>1024</v>
      </c>
      <c r="M393" s="230">
        <f>(FME_Ranking1[[#This Row],[Res Structures Raw]]/L$2)*100</f>
        <v>0.72530492555708237</v>
      </c>
      <c r="N393" s="180">
        <f>FME_Ranking1[[#This Row],[Res Structures Score (Normalized, Unweighted)]]*$L$3</f>
        <v>7.2530492555708245E-2</v>
      </c>
      <c r="O393" s="244">
        <f>_xlfn.XLOOKUP(FME_Ranking1[[#This Row],[FME ID]],FME_Input[FME_ID],FME_Input[POP100])</f>
        <v>12707</v>
      </c>
      <c r="P393" s="178">
        <f>(FME_Ranking1[[#This Row],[Pop Raw]]/$O$2)*100</f>
        <v>1.3008830894412151</v>
      </c>
      <c r="Q393" s="178">
        <f>FME_Ranking1[[#This Row],[Pop Score (Normalized, Unweighted)]]*$O$3</f>
        <v>0.19513246341618226</v>
      </c>
      <c r="R393" s="137">
        <f>_xlfn.XLOOKUP(FME_Ranking1[[#This Row],[FME ID]],FME_Input[FME_ID],FME_Input[CRITFAC100])</f>
        <v>9</v>
      </c>
      <c r="S393" s="230">
        <f>(FME_Ranking1[[#This Row],[Critical Facilities Raw]]/$R$2)*100</f>
        <v>0.38593481989708406</v>
      </c>
      <c r="T393" s="180">
        <f>FME_Ranking1[[#This Row],[Critical Facilities Score (Normalized, Unweighted)]]*$R$3</f>
        <v>7.7186963979416823E-2</v>
      </c>
      <c r="U393">
        <f>_xlfn.XLOOKUP(FME_Ranking1[[#This Row],[FME ID]],FME_Input[FME_ID],FME_Input[LWC])</f>
        <v>0</v>
      </c>
      <c r="V393" s="178">
        <f>(FME_Ranking1[[#This Row],[LWC Raw]]/$U$2)*100</f>
        <v>0</v>
      </c>
      <c r="W393" s="178">
        <f>FME_Ranking1[[#This Row],[LWC Score (Normalized, Unweighted)]]*$U$3</f>
        <v>0</v>
      </c>
      <c r="X393" s="246">
        <f>_xlfn.XLOOKUP(FME_Ranking1[[#This Row],[FME ID]],FME_Input[FME_ID],FME_Input[ROADCLS])</f>
        <v>0</v>
      </c>
      <c r="Y393" s="230">
        <f>(FME_Ranking1[[#This Row],[Closures Raw]]/$X$2)*100</f>
        <v>0</v>
      </c>
      <c r="Z393" s="180">
        <f>FME_Ranking1[[#This Row],[Closures Score (Normalized, Unweighted)]]*$X$3</f>
        <v>0</v>
      </c>
      <c r="AA393" s="253">
        <f>_xlfn.XLOOKUP(FME_Ranking1[[#This Row],[FME ID]],FME_Input[FME_ID],FME_Input[ROAD_MILES100])</f>
        <v>41.051982879638672</v>
      </c>
      <c r="AB393" s="178">
        <f>(FME_Ranking1[[#This Row],[Miles Raw]]/$AA$2)*100</f>
        <v>0.53975994467930677</v>
      </c>
      <c r="AC393" s="178">
        <f>FME_Ranking1[[#This Row],[Miles Score (Normalized, Unweighted)]]*$AA$3</f>
        <v>5.397599446793068E-2</v>
      </c>
      <c r="AD393" s="255">
        <f>_xlfn.XLOOKUP(FME_Ranking1[[#This Row],[FME ID]],FME_Input[FME_ID],FME_Input[FARMACRE100])</f>
        <v>294.66531372070313</v>
      </c>
      <c r="AE393" s="230">
        <f>(FME_Ranking1[[#This Row],[Ag Land Raw]]/$AD$2)*100</f>
        <v>1.2150678467477775E-2</v>
      </c>
      <c r="AF393" s="231">
        <f>FME_Ranking1[[#This Row],[Ag Land Score (Normalized, Unweighted)]]*$AD$3</f>
        <v>6.075339233738888E-4</v>
      </c>
      <c r="AG39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0.51020005931806489</v>
      </c>
      <c r="AH393" s="406">
        <f t="shared" si="6"/>
        <v>423</v>
      </c>
      <c r="AI39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0.51020005931806489</v>
      </c>
      <c r="AJ393" s="257">
        <f>FME_Ranking1[[#This Row],[Addition check]]-FME_Ranking1[[#This Row],[Weighted Score Based on Normalized Reported Factors]]</f>
        <v>0</v>
      </c>
      <c r="AK393" s="178">
        <f>_xlfn.RANK.EQ(AI393,$AI$6:$AI$2341,0)+COUNTIF($AI$6:AI393,AI393)-1</f>
        <v>424</v>
      </c>
    </row>
    <row r="394" spans="1:37" ht="12" customHeight="1" x14ac:dyDescent="0.25">
      <c r="A394" t="s">
        <v>1045</v>
      </c>
      <c r="B394">
        <f>_xlfn.XLOOKUP(FME_Ranking1[[#This Row],[FME ID]],FME_Input[FME_ID],FME_Input[RFPG_NUM])</f>
        <v>6</v>
      </c>
      <c r="C394" t="str">
        <f>_xlfn.XLOOKUP(FME_Ranking1[[#This Row],[FME ID]],FME_Input[FME_ID],FME_Input[FME_NAME])</f>
        <v>Stream and River Flood Program</v>
      </c>
      <c r="D394" t="str">
        <f>_xlfn.XLOOKUP(FME_Ranking1[[#This Row],[FME ID]],FME_Input[FME_ID],FME_Input[DESCR])</f>
        <v>Conduct a flood mitigation outreach program using information from the river and stream flood study to increase awareness of specific riverine flooding problems and provide guidance on mitigation in affected communities.</v>
      </c>
      <c r="E394" s="256">
        <f>_xlfn.XLOOKUP(FME_Ranking1[[#This Row],[FME ID]],FME_Input[FME_ID],FME_Input[FME_COST])</f>
        <v>20000</v>
      </c>
      <c r="F394" t="str">
        <f>_xlfn.XLOOKUP(FME_Ranking1[[#This Row],[FME ID]],FME_Input[FME_ID],FME_Input[EMER_NEED])</f>
        <v>No</v>
      </c>
      <c r="G394">
        <f>IF(FME_Ranking!F394="Yes",100,0)</f>
        <v>0</v>
      </c>
      <c r="H394">
        <f>FME_Ranking1[[#This Row],[Emergency Need Score (Normalized, Unweighted)]]*$F$3</f>
        <v>0</v>
      </c>
      <c r="I394" s="246">
        <f>_xlfn.XLOOKUP(FME_Ranking1[[#This Row],[FME ID]],FME_Input[FME_ID],FME_Input[STRUCT_100])</f>
        <v>1067</v>
      </c>
      <c r="J394" s="178">
        <f>(FME_Ranking1[[#This Row],[Structures 100 Raw]]/I$2)*100</f>
        <v>0.57137043224949668</v>
      </c>
      <c r="K394" s="178">
        <f>FME_Ranking1[[#This Row],[Structures 100  Score (Normalized, Unweighted)]]*$I$3</f>
        <v>8.5705564837424503E-2</v>
      </c>
      <c r="L394" s="246">
        <f>_xlfn.XLOOKUP(FME_Ranking1[[#This Row],[FME ID]],FME_Input[FME_ID],FME_Input[RES_STRUCT100])</f>
        <v>708</v>
      </c>
      <c r="M394" s="230">
        <f>(FME_Ranking1[[#This Row],[Res Structures Raw]]/L$2)*100</f>
        <v>0.50148035868595153</v>
      </c>
      <c r="N394" s="180">
        <f>FME_Ranking1[[#This Row],[Res Structures Score (Normalized, Unweighted)]]*$L$3</f>
        <v>5.0148035868595155E-2</v>
      </c>
      <c r="O394" s="244">
        <f>_xlfn.XLOOKUP(FME_Ranking1[[#This Row],[FME ID]],FME_Input[FME_ID],FME_Input[POP100])</f>
        <v>2410</v>
      </c>
      <c r="P394" s="178">
        <f>(FME_Ranking1[[#This Row],[Pop Raw]]/$O$2)*100</f>
        <v>0.24672450189291953</v>
      </c>
      <c r="Q394" s="178">
        <f>FME_Ranking1[[#This Row],[Pop Score (Normalized, Unweighted)]]*$O$3</f>
        <v>3.7008675283937927E-2</v>
      </c>
      <c r="R394" s="137">
        <f>_xlfn.XLOOKUP(FME_Ranking1[[#This Row],[FME ID]],FME_Input[FME_ID],FME_Input[CRITFAC100])</f>
        <v>6</v>
      </c>
      <c r="S394" s="230">
        <f>(FME_Ranking1[[#This Row],[Critical Facilities Raw]]/$R$2)*100</f>
        <v>0.25728987993138941</v>
      </c>
      <c r="T394" s="180">
        <f>FME_Ranking1[[#This Row],[Critical Facilities Score (Normalized, Unweighted)]]*$R$3</f>
        <v>5.1457975986277882E-2</v>
      </c>
      <c r="U394">
        <f>_xlfn.XLOOKUP(FME_Ranking1[[#This Row],[FME ID]],FME_Input[FME_ID],FME_Input[LWC])</f>
        <v>19</v>
      </c>
      <c r="V394" s="178">
        <f>(FME_Ranking1[[#This Row],[LWC Raw]]/$U$2)*100</f>
        <v>1.0938399539435808</v>
      </c>
      <c r="W394" s="178">
        <f>FME_Ranking1[[#This Row],[LWC Score (Normalized, Unweighted)]]*$U$3</f>
        <v>0.21876799078871617</v>
      </c>
      <c r="X394" s="246">
        <f>_xlfn.XLOOKUP(FME_Ranking1[[#This Row],[FME ID]],FME_Input[FME_ID],FME_Input[ROADCLS])</f>
        <v>19</v>
      </c>
      <c r="Y394" s="230">
        <f>(FME_Ranking1[[#This Row],[Closures Raw]]/$X$2)*100</f>
        <v>0.19976868888655239</v>
      </c>
      <c r="Z394" s="180">
        <f>FME_Ranking1[[#This Row],[Closures Score (Normalized, Unweighted)]]*$X$3</f>
        <v>9.9884344443276207E-3</v>
      </c>
      <c r="AA394" s="253">
        <f>_xlfn.XLOOKUP(FME_Ranking1[[#This Row],[FME ID]],FME_Input[FME_ID],FME_Input[ROAD_MILES100])</f>
        <v>40.913829803466797</v>
      </c>
      <c r="AB394" s="178">
        <f>(FME_Ranking1[[#This Row],[Miles Raw]]/$AA$2)*100</f>
        <v>0.53794347951682142</v>
      </c>
      <c r="AC394" s="178">
        <f>FME_Ranking1[[#This Row],[Miles Score (Normalized, Unweighted)]]*$AA$3</f>
        <v>5.3794347951682142E-2</v>
      </c>
      <c r="AD394" s="255">
        <f>_xlfn.XLOOKUP(FME_Ranking1[[#This Row],[FME ID]],FME_Input[FME_ID],FME_Input[FARMACRE100])</f>
        <v>1357.317260742188</v>
      </c>
      <c r="AE394" s="230">
        <f>(FME_Ranking1[[#This Row],[Ag Land Raw]]/$AD$2)*100</f>
        <v>5.5969687797282369E-2</v>
      </c>
      <c r="AF394" s="231">
        <f>FME_Ranking1[[#This Row],[Ag Land Score (Normalized, Unweighted)]]*$AD$3</f>
        <v>2.7984843898641188E-3</v>
      </c>
      <c r="AG39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0.50966950955082546</v>
      </c>
      <c r="AH394" s="406">
        <f t="shared" si="6"/>
        <v>425</v>
      </c>
      <c r="AI39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0.50966950955082546</v>
      </c>
      <c r="AJ394" s="257">
        <f>FME_Ranking1[[#This Row],[Addition check]]-FME_Ranking1[[#This Row],[Weighted Score Based on Normalized Reported Factors]]</f>
        <v>0</v>
      </c>
      <c r="AK394" s="178">
        <f>_xlfn.RANK.EQ(AI394,$AI$6:$AI$2341,0)+COUNTIF($AI$6:AI394,AI394)-1</f>
        <v>425</v>
      </c>
    </row>
    <row r="395" spans="1:37" ht="12" customHeight="1" x14ac:dyDescent="0.25">
      <c r="A395" t="s">
        <v>1180</v>
      </c>
      <c r="B395">
        <f>_xlfn.XLOOKUP(FME_Ranking1[[#This Row],[FME ID]],FME_Input[FME_ID],FME_Input[RFPG_NUM])</f>
        <v>6</v>
      </c>
      <c r="C395" t="str">
        <f>_xlfn.XLOOKUP(FME_Ranking1[[#This Row],[FME ID]],FME_Input[FME_ID],FME_Input[FME_NAME])</f>
        <v>Waller County Flood Damage Prevention Planning</v>
      </c>
      <c r="D395" t="str">
        <f>_xlfn.XLOOKUP(FME_Ranking1[[#This Row],[FME ID]],FME_Input[FME_ID],FME_Input[DESCR])</f>
        <v>Establish watershed-based planning and studies to address flood hazards with neighborhing and constituent communities.</v>
      </c>
      <c r="E395" s="256">
        <f>_xlfn.XLOOKUP(FME_Ranking1[[#This Row],[FME ID]],FME_Input[FME_ID],FME_Input[FME_COST])</f>
        <v>1160000</v>
      </c>
      <c r="F395" t="str">
        <f>_xlfn.XLOOKUP(FME_Ranking1[[#This Row],[FME ID]],FME_Input[FME_ID],FME_Input[EMER_NEED])</f>
        <v>No</v>
      </c>
      <c r="G395">
        <f>IF(FME_Ranking!F395="Yes",100,0)</f>
        <v>0</v>
      </c>
      <c r="H395">
        <f>FME_Ranking1[[#This Row],[Emergency Need Score (Normalized, Unweighted)]]*$F$3</f>
        <v>0</v>
      </c>
      <c r="I395" s="246">
        <f>_xlfn.XLOOKUP(FME_Ranking1[[#This Row],[FME ID]],FME_Input[FME_ID],FME_Input[STRUCT_100])</f>
        <v>1067</v>
      </c>
      <c r="J395" s="178">
        <f>(FME_Ranking1[[#This Row],[Structures 100 Raw]]/I$2)*100</f>
        <v>0.57137043224949668</v>
      </c>
      <c r="K395" s="178">
        <f>FME_Ranking1[[#This Row],[Structures 100  Score (Normalized, Unweighted)]]*$I$3</f>
        <v>8.5705564837424503E-2</v>
      </c>
      <c r="L395" s="246">
        <f>_xlfn.XLOOKUP(FME_Ranking1[[#This Row],[FME ID]],FME_Input[FME_ID],FME_Input[RES_STRUCT100])</f>
        <v>708</v>
      </c>
      <c r="M395" s="230">
        <f>(FME_Ranking1[[#This Row],[Res Structures Raw]]/L$2)*100</f>
        <v>0.50148035868595153</v>
      </c>
      <c r="N395" s="180">
        <f>FME_Ranking1[[#This Row],[Res Structures Score (Normalized, Unweighted)]]*$L$3</f>
        <v>5.0148035868595155E-2</v>
      </c>
      <c r="O395" s="244">
        <f>_xlfn.XLOOKUP(FME_Ranking1[[#This Row],[FME ID]],FME_Input[FME_ID],FME_Input[POP100])</f>
        <v>2410</v>
      </c>
      <c r="P395" s="178">
        <f>(FME_Ranking1[[#This Row],[Pop Raw]]/$O$2)*100</f>
        <v>0.24672450189291953</v>
      </c>
      <c r="Q395" s="178">
        <f>FME_Ranking1[[#This Row],[Pop Score (Normalized, Unweighted)]]*$O$3</f>
        <v>3.7008675283937927E-2</v>
      </c>
      <c r="R395" s="137">
        <f>_xlfn.XLOOKUP(FME_Ranking1[[#This Row],[FME ID]],FME_Input[FME_ID],FME_Input[CRITFAC100])</f>
        <v>6</v>
      </c>
      <c r="S395" s="230">
        <f>(FME_Ranking1[[#This Row],[Critical Facilities Raw]]/$R$2)*100</f>
        <v>0.25728987993138941</v>
      </c>
      <c r="T395" s="180">
        <f>FME_Ranking1[[#This Row],[Critical Facilities Score (Normalized, Unweighted)]]*$R$3</f>
        <v>5.1457975986277882E-2</v>
      </c>
      <c r="U395">
        <f>_xlfn.XLOOKUP(FME_Ranking1[[#This Row],[FME ID]],FME_Input[FME_ID],FME_Input[LWC])</f>
        <v>19</v>
      </c>
      <c r="V395" s="178">
        <f>(FME_Ranking1[[#This Row],[LWC Raw]]/$U$2)*100</f>
        <v>1.0938399539435808</v>
      </c>
      <c r="W395" s="178">
        <f>FME_Ranking1[[#This Row],[LWC Score (Normalized, Unweighted)]]*$U$3</f>
        <v>0.21876799078871617</v>
      </c>
      <c r="X395" s="246">
        <f>_xlfn.XLOOKUP(FME_Ranking1[[#This Row],[FME ID]],FME_Input[FME_ID],FME_Input[ROADCLS])</f>
        <v>19</v>
      </c>
      <c r="Y395" s="230">
        <f>(FME_Ranking1[[#This Row],[Closures Raw]]/$X$2)*100</f>
        <v>0.19976868888655239</v>
      </c>
      <c r="Z395" s="180">
        <f>FME_Ranking1[[#This Row],[Closures Score (Normalized, Unweighted)]]*$X$3</f>
        <v>9.9884344443276207E-3</v>
      </c>
      <c r="AA395" s="253">
        <f>_xlfn.XLOOKUP(FME_Ranking1[[#This Row],[FME ID]],FME_Input[FME_ID],FME_Input[ROAD_MILES100])</f>
        <v>40.913829803466797</v>
      </c>
      <c r="AB395" s="178">
        <f>(FME_Ranking1[[#This Row],[Miles Raw]]/$AA$2)*100</f>
        <v>0.53794347951682142</v>
      </c>
      <c r="AC395" s="178">
        <f>FME_Ranking1[[#This Row],[Miles Score (Normalized, Unweighted)]]*$AA$3</f>
        <v>5.3794347951682142E-2</v>
      </c>
      <c r="AD395" s="255">
        <f>_xlfn.XLOOKUP(FME_Ranking1[[#This Row],[FME ID]],FME_Input[FME_ID],FME_Input[FARMACRE100])</f>
        <v>1357.317260742188</v>
      </c>
      <c r="AE395" s="230">
        <f>(FME_Ranking1[[#This Row],[Ag Land Raw]]/$AD$2)*100</f>
        <v>5.5969687797282369E-2</v>
      </c>
      <c r="AF395" s="231">
        <f>FME_Ranking1[[#This Row],[Ag Land Score (Normalized, Unweighted)]]*$AD$3</f>
        <v>2.7984843898641188E-3</v>
      </c>
      <c r="AG39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0.50966950955082546</v>
      </c>
      <c r="AH395" s="406">
        <f t="shared" si="6"/>
        <v>425</v>
      </c>
      <c r="AI39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0.50966950955082546</v>
      </c>
      <c r="AJ395" s="257">
        <f>FME_Ranking1[[#This Row],[Addition check]]-FME_Ranking1[[#This Row],[Weighted Score Based on Normalized Reported Factors]]</f>
        <v>0</v>
      </c>
      <c r="AK395" s="178">
        <f>_xlfn.RANK.EQ(AI395,$AI$6:$AI$2341,0)+COUNTIF($AI$6:AI395,AI395)-1</f>
        <v>426</v>
      </c>
    </row>
    <row r="396" spans="1:37" ht="12" customHeight="1" x14ac:dyDescent="0.25">
      <c r="A396" t="s">
        <v>1858</v>
      </c>
      <c r="B396">
        <f>_xlfn.XLOOKUP(FME_Ranking1[[#This Row],[FME ID]],FME_Input[FME_ID],FME_Input[RFPG_NUM])</f>
        <v>6</v>
      </c>
      <c r="C396" t="str">
        <f>_xlfn.XLOOKUP(FME_Ranking1[[#This Row],[FME ID]],FME_Input[FME_ID],FME_Input[FME_NAME])</f>
        <v>Waller Flood Mapping Updates</v>
      </c>
      <c r="D396" t="str">
        <f>_xlfn.XLOOKUP(FME_Ranking1[[#This Row],[FME ID]],FME_Input[FME_ID],FME_Input[DESCR])</f>
        <v>County wide study to produce flood mappping updates including Atlas 14 rainfall.</v>
      </c>
      <c r="E396" s="256">
        <f>_xlfn.XLOOKUP(FME_Ranking1[[#This Row],[FME ID]],FME_Input[FME_ID],FME_Input[FME_COST])</f>
        <v>2300000</v>
      </c>
      <c r="F396" t="str">
        <f>_xlfn.XLOOKUP(FME_Ranking1[[#This Row],[FME ID]],FME_Input[FME_ID],FME_Input[EMER_NEED])</f>
        <v>Yes</v>
      </c>
      <c r="G396">
        <f>IF(FME_Ranking!F396="Yes",100,0)</f>
        <v>100</v>
      </c>
      <c r="H396">
        <f>FME_Ranking1[[#This Row],[Emergency Need Score (Normalized, Unweighted)]]*$F$3</f>
        <v>0</v>
      </c>
      <c r="I396" s="246">
        <f>_xlfn.XLOOKUP(FME_Ranking1[[#This Row],[FME ID]],FME_Input[FME_ID],FME_Input[STRUCT_100])</f>
        <v>1067</v>
      </c>
      <c r="J396" s="178">
        <f>(FME_Ranking1[[#This Row],[Structures 100 Raw]]/I$2)*100</f>
        <v>0.57137043224949668</v>
      </c>
      <c r="K396" s="178">
        <f>FME_Ranking1[[#This Row],[Structures 100  Score (Normalized, Unweighted)]]*$I$3</f>
        <v>8.5705564837424503E-2</v>
      </c>
      <c r="L396" s="246">
        <f>_xlfn.XLOOKUP(FME_Ranking1[[#This Row],[FME ID]],FME_Input[FME_ID],FME_Input[RES_STRUCT100])</f>
        <v>708</v>
      </c>
      <c r="M396" s="230">
        <f>(FME_Ranking1[[#This Row],[Res Structures Raw]]/L$2)*100</f>
        <v>0.50148035868595153</v>
      </c>
      <c r="N396" s="180">
        <f>FME_Ranking1[[#This Row],[Res Structures Score (Normalized, Unweighted)]]*$L$3</f>
        <v>5.0148035868595155E-2</v>
      </c>
      <c r="O396" s="244">
        <f>_xlfn.XLOOKUP(FME_Ranking1[[#This Row],[FME ID]],FME_Input[FME_ID],FME_Input[POP100])</f>
        <v>2410</v>
      </c>
      <c r="P396" s="178">
        <f>(FME_Ranking1[[#This Row],[Pop Raw]]/$O$2)*100</f>
        <v>0.24672450189291953</v>
      </c>
      <c r="Q396" s="178">
        <f>FME_Ranking1[[#This Row],[Pop Score (Normalized, Unweighted)]]*$O$3</f>
        <v>3.7008675283937927E-2</v>
      </c>
      <c r="R396" s="137">
        <f>_xlfn.XLOOKUP(FME_Ranking1[[#This Row],[FME ID]],FME_Input[FME_ID],FME_Input[CRITFAC100])</f>
        <v>6</v>
      </c>
      <c r="S396" s="230">
        <f>(FME_Ranking1[[#This Row],[Critical Facilities Raw]]/$R$2)*100</f>
        <v>0.25728987993138941</v>
      </c>
      <c r="T396" s="180">
        <f>FME_Ranking1[[#This Row],[Critical Facilities Score (Normalized, Unweighted)]]*$R$3</f>
        <v>5.1457975986277882E-2</v>
      </c>
      <c r="U396">
        <f>_xlfn.XLOOKUP(FME_Ranking1[[#This Row],[FME ID]],FME_Input[FME_ID],FME_Input[LWC])</f>
        <v>19</v>
      </c>
      <c r="V396" s="178">
        <f>(FME_Ranking1[[#This Row],[LWC Raw]]/$U$2)*100</f>
        <v>1.0938399539435808</v>
      </c>
      <c r="W396" s="178">
        <f>FME_Ranking1[[#This Row],[LWC Score (Normalized, Unweighted)]]*$U$3</f>
        <v>0.21876799078871617</v>
      </c>
      <c r="X396" s="246">
        <f>_xlfn.XLOOKUP(FME_Ranking1[[#This Row],[FME ID]],FME_Input[FME_ID],FME_Input[ROADCLS])</f>
        <v>19</v>
      </c>
      <c r="Y396" s="230">
        <f>(FME_Ranking1[[#This Row],[Closures Raw]]/$X$2)*100</f>
        <v>0.19976868888655239</v>
      </c>
      <c r="Z396" s="180">
        <f>FME_Ranking1[[#This Row],[Closures Score (Normalized, Unweighted)]]*$X$3</f>
        <v>9.9884344443276207E-3</v>
      </c>
      <c r="AA396" s="253">
        <f>_xlfn.XLOOKUP(FME_Ranking1[[#This Row],[FME ID]],FME_Input[FME_ID],FME_Input[ROAD_MILES100])</f>
        <v>40.913829803466797</v>
      </c>
      <c r="AB396" s="178">
        <f>(FME_Ranking1[[#This Row],[Miles Raw]]/$AA$2)*100</f>
        <v>0.53794347951682142</v>
      </c>
      <c r="AC396" s="178">
        <f>FME_Ranking1[[#This Row],[Miles Score (Normalized, Unweighted)]]*$AA$3</f>
        <v>5.3794347951682142E-2</v>
      </c>
      <c r="AD396" s="255">
        <f>_xlfn.XLOOKUP(FME_Ranking1[[#This Row],[FME ID]],FME_Input[FME_ID],FME_Input[FARMACRE100])</f>
        <v>1357.317260742188</v>
      </c>
      <c r="AE396" s="230">
        <f>(FME_Ranking1[[#This Row],[Ag Land Raw]]/$AD$2)*100</f>
        <v>5.5969687797282369E-2</v>
      </c>
      <c r="AF396" s="231">
        <f>FME_Ranking1[[#This Row],[Ag Land Score (Normalized, Unweighted)]]*$AD$3</f>
        <v>2.7984843898641188E-3</v>
      </c>
      <c r="AG39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0.50966950955082546</v>
      </c>
      <c r="AH396" s="406">
        <f t="shared" si="6"/>
        <v>425</v>
      </c>
      <c r="AI39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0.50966950955082546</v>
      </c>
      <c r="AJ396" s="257">
        <f>FME_Ranking1[[#This Row],[Addition check]]-FME_Ranking1[[#This Row],[Weighted Score Based on Normalized Reported Factors]]</f>
        <v>0</v>
      </c>
      <c r="AK396" s="178">
        <f>_xlfn.RANK.EQ(AI396,$AI$6:$AI$2341,0)+COUNTIF($AI$6:AI396,AI396)-1</f>
        <v>427</v>
      </c>
    </row>
    <row r="397" spans="1:37" ht="12" customHeight="1" x14ac:dyDescent="0.25">
      <c r="A397" t="s">
        <v>5721</v>
      </c>
      <c r="B397">
        <f>_xlfn.XLOOKUP(FME_Ranking1[[#This Row],[FME ID]],FME_Input[FME_ID],FME_Input[RFPG_NUM])</f>
        <v>4</v>
      </c>
      <c r="C397" t="str">
        <f>_xlfn.XLOOKUP(FME_Ranking1[[#This Row],[FME ID]],FME_Input[FME_ID],FME_Input[FME_NAME])</f>
        <v>Terry Bayou Detention Ponds Study</v>
      </c>
      <c r="D397" t="str">
        <f>_xlfn.XLOOKUP(FME_Ranking1[[#This Row],[FME ID]],FME_Input[FME_ID],FME_Input[DESCR])</f>
        <v>Flood Protection Planning Study Cow Bayou &amp; Adams Bayou Alternative</v>
      </c>
      <c r="E397" s="256">
        <f>_xlfn.XLOOKUP(FME_Ranking1[[#This Row],[FME ID]],FME_Input[FME_ID],FME_Input[FME_COST])</f>
        <v>600000</v>
      </c>
      <c r="F397" t="str">
        <f>_xlfn.XLOOKUP(FME_Ranking1[[#This Row],[FME ID]],FME_Input[FME_ID],FME_Input[EMER_NEED])</f>
        <v>Yes</v>
      </c>
      <c r="G397">
        <f>IF(FME_Ranking!F397="Yes",100,0)</f>
        <v>100</v>
      </c>
      <c r="H397">
        <f>FME_Ranking1[[#This Row],[Emergency Need Score (Normalized, Unweighted)]]*$F$3</f>
        <v>0</v>
      </c>
      <c r="I397" s="246">
        <f>_xlfn.XLOOKUP(FME_Ranking1[[#This Row],[FME ID]],FME_Input[FME_ID],FME_Input[STRUCT_100])</f>
        <v>2444</v>
      </c>
      <c r="J397" s="178">
        <f>(FME_Ranking1[[#This Row],[Structures 100 Raw]]/I$2)*100</f>
        <v>1.3087435205414899</v>
      </c>
      <c r="K397" s="178">
        <f>FME_Ranking1[[#This Row],[Structures 100  Score (Normalized, Unweighted)]]*$I$3</f>
        <v>0.19631152808122349</v>
      </c>
      <c r="L397" s="246">
        <f>_xlfn.XLOOKUP(FME_Ranking1[[#This Row],[FME ID]],FME_Input[FME_ID],FME_Input[RES_STRUCT100])</f>
        <v>2143</v>
      </c>
      <c r="M397" s="230">
        <f>(FME_Ranking1[[#This Row],[Res Structures Raw]]/L$2)*100</f>
        <v>1.5178988822937767</v>
      </c>
      <c r="N397" s="180">
        <f>FME_Ranking1[[#This Row],[Res Structures Score (Normalized, Unweighted)]]*$L$3</f>
        <v>0.15178988822937767</v>
      </c>
      <c r="O397" s="244">
        <f>_xlfn.XLOOKUP(FME_Ranking1[[#This Row],[FME ID]],FME_Input[FME_ID],FME_Input[POP100])</f>
        <v>5198</v>
      </c>
      <c r="P397" s="178">
        <f>(FME_Ranking1[[#This Row],[Pop Raw]]/$O$2)*100</f>
        <v>0.53214687171759156</v>
      </c>
      <c r="Q397" s="178">
        <f>FME_Ranking1[[#This Row],[Pop Score (Normalized, Unweighted)]]*$O$3</f>
        <v>7.9822030757638732E-2</v>
      </c>
      <c r="R397" s="137">
        <f>_xlfn.XLOOKUP(FME_Ranking1[[#This Row],[FME ID]],FME_Input[FME_ID],FME_Input[CRITFAC100])</f>
        <v>0</v>
      </c>
      <c r="S397" s="230">
        <f>(FME_Ranking1[[#This Row],[Critical Facilities Raw]]/$R$2)*100</f>
        <v>0</v>
      </c>
      <c r="T397" s="180">
        <f>FME_Ranking1[[#This Row],[Critical Facilities Score (Normalized, Unweighted)]]*$R$3</f>
        <v>0</v>
      </c>
      <c r="U397">
        <f>_xlfn.XLOOKUP(FME_Ranking1[[#This Row],[FME ID]],FME_Input[FME_ID],FME_Input[LWC])</f>
        <v>1</v>
      </c>
      <c r="V397" s="178">
        <f>(FME_Ranking1[[#This Row],[LWC Raw]]/$U$2)*100</f>
        <v>5.7570523891767422E-2</v>
      </c>
      <c r="W397" s="178">
        <f>FME_Ranking1[[#This Row],[LWC Score (Normalized, Unweighted)]]*$U$3</f>
        <v>1.1514104778353485E-2</v>
      </c>
      <c r="X397" s="246">
        <f>_xlfn.XLOOKUP(FME_Ranking1[[#This Row],[FME ID]],FME_Input[FME_ID],FME_Input[ROADCLS])</f>
        <v>1</v>
      </c>
      <c r="Y397" s="230">
        <f>(FME_Ranking1[[#This Row],[Closures Raw]]/$X$2)*100</f>
        <v>1.0514141520344864E-2</v>
      </c>
      <c r="Z397" s="180">
        <f>FME_Ranking1[[#This Row],[Closures Score (Normalized, Unweighted)]]*$X$3</f>
        <v>5.2570707601724321E-4</v>
      </c>
      <c r="AA397" s="253">
        <f>_xlfn.XLOOKUP(FME_Ranking1[[#This Row],[FME ID]],FME_Input[FME_ID],FME_Input[ROAD_MILES100])</f>
        <v>55.28515625</v>
      </c>
      <c r="AB397" s="178">
        <f>(FME_Ranking1[[#This Row],[Miles Raw]]/$AA$2)*100</f>
        <v>0.72690064610466087</v>
      </c>
      <c r="AC397" s="178">
        <f>FME_Ranking1[[#This Row],[Miles Score (Normalized, Unweighted)]]*$AA$3</f>
        <v>7.2690064610466093E-2</v>
      </c>
      <c r="AD397" s="255">
        <f>_xlfn.XLOOKUP(FME_Ranking1[[#This Row],[FME ID]],FME_Input[FME_ID],FME_Input[FARMACRE100])</f>
        <v>3308.279541015625</v>
      </c>
      <c r="AE397" s="230">
        <f>(FME_Ranking1[[#This Row],[Ag Land Raw]]/$AD$2)*100</f>
        <v>0.13641863874591331</v>
      </c>
      <c r="AF397" s="231">
        <f>FME_Ranking1[[#This Row],[Ag Land Score (Normalized, Unweighted)]]*$AD$3</f>
        <v>6.8209319372956661E-3</v>
      </c>
      <c r="AG39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0.5194742554703724</v>
      </c>
      <c r="AH397" s="406">
        <f t="shared" si="6"/>
        <v>415</v>
      </c>
      <c r="AI39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0.5194742554703724</v>
      </c>
      <c r="AJ397" s="257">
        <f>FME_Ranking1[[#This Row],[Addition check]]-FME_Ranking1[[#This Row],[Weighted Score Based on Normalized Reported Factors]]</f>
        <v>0</v>
      </c>
      <c r="AK397" s="178">
        <f>_xlfn.RANK.EQ(AI397,$AI$6:$AI$2341,0)+COUNTIF($AI$6:AI397,AI397)-1</f>
        <v>415</v>
      </c>
    </row>
    <row r="398" spans="1:37" ht="12" customHeight="1" x14ac:dyDescent="0.25">
      <c r="A398" t="s">
        <v>4017</v>
      </c>
      <c r="B398">
        <f>_xlfn.XLOOKUP(FME_Ranking1[[#This Row],[FME ID]],FME_Input[FME_ID],FME_Input[RFPG_NUM])</f>
        <v>3</v>
      </c>
      <c r="C398" t="str">
        <f>_xlfn.XLOOKUP(FME_Ranking1[[#This Row],[FME ID]],FME_Input[FME_ID],FME_Input[FME_NAME])</f>
        <v xml:space="preserve">Wise County FEMA Mapping </v>
      </c>
      <c r="D398" t="str">
        <f>_xlfn.XLOOKUP(FME_Ranking1[[#This Row],[FME ID]],FME_Input[FME_ID],FME_Input[DESCR])</f>
        <v>Create FEMA mapping in previously unmapped areas and update existing FEMA maps as needed.</v>
      </c>
      <c r="E398" s="256">
        <f>_xlfn.XLOOKUP(FME_Ranking1[[#This Row],[FME ID]],FME_Input[FME_ID],FME_Input[FME_COST])</f>
        <v>1317000</v>
      </c>
      <c r="F398" t="str">
        <f>_xlfn.XLOOKUP(FME_Ranking1[[#This Row],[FME ID]],FME_Input[FME_ID],FME_Input[EMER_NEED])</f>
        <v>No</v>
      </c>
      <c r="G398">
        <f>IF(FME_Ranking!F398="Yes",100,0)</f>
        <v>0</v>
      </c>
      <c r="H398">
        <f>FME_Ranking1[[#This Row],[Emergency Need Score (Normalized, Unweighted)]]*$F$3</f>
        <v>0</v>
      </c>
      <c r="I398" s="246">
        <f>_xlfn.XLOOKUP(FME_Ranking1[[#This Row],[FME ID]],FME_Input[FME_ID],FME_Input[STRUCT_100])</f>
        <v>601</v>
      </c>
      <c r="J398" s="178">
        <f>(FME_Ranking1[[#This Row],[Structures 100 Raw]]/I$2)*100</f>
        <v>0.32183095574690485</v>
      </c>
      <c r="K398" s="178">
        <f>FME_Ranking1[[#This Row],[Structures 100  Score (Normalized, Unweighted)]]*$I$3</f>
        <v>4.8274643362035727E-2</v>
      </c>
      <c r="L398" s="246">
        <f>_xlfn.XLOOKUP(FME_Ranking1[[#This Row],[FME ID]],FME_Input[FME_ID],FME_Input[RES_STRUCT100])</f>
        <v>476</v>
      </c>
      <c r="M398" s="230">
        <f>(FME_Ranking1[[#This Row],[Res Structures Raw]]/L$2)*100</f>
        <v>0.33715346148942499</v>
      </c>
      <c r="N398" s="180">
        <f>FME_Ranking1[[#This Row],[Res Structures Score (Normalized, Unweighted)]]*$L$3</f>
        <v>3.3715346148942497E-2</v>
      </c>
      <c r="O398" s="244">
        <f>_xlfn.XLOOKUP(FME_Ranking1[[#This Row],[FME ID]],FME_Input[FME_ID],FME_Input[POP100])</f>
        <v>1545</v>
      </c>
      <c r="P398" s="178">
        <f>(FME_Ranking1[[#This Row],[Pop Raw]]/$O$2)*100</f>
        <v>0.15816985702263928</v>
      </c>
      <c r="Q398" s="178">
        <f>FME_Ranking1[[#This Row],[Pop Score (Normalized, Unweighted)]]*$O$3</f>
        <v>2.3725478553395889E-2</v>
      </c>
      <c r="R398" s="137">
        <f>_xlfn.XLOOKUP(FME_Ranking1[[#This Row],[FME ID]],FME_Input[FME_ID],FME_Input[CRITFAC100])</f>
        <v>11</v>
      </c>
      <c r="S398" s="230">
        <f>(FME_Ranking1[[#This Row],[Critical Facilities Raw]]/$R$2)*100</f>
        <v>0.47169811320754718</v>
      </c>
      <c r="T398" s="180">
        <f>FME_Ranking1[[#This Row],[Critical Facilities Score (Normalized, Unweighted)]]*$R$3</f>
        <v>9.4339622641509441E-2</v>
      </c>
      <c r="U398">
        <f>_xlfn.XLOOKUP(FME_Ranking1[[#This Row],[FME ID]],FME_Input[FME_ID],FME_Input[LWC])</f>
        <v>16</v>
      </c>
      <c r="V398" s="178">
        <f>(FME_Ranking1[[#This Row],[LWC Raw]]/$U$2)*100</f>
        <v>0.92112838226827876</v>
      </c>
      <c r="W398" s="178">
        <f>FME_Ranking1[[#This Row],[LWC Score (Normalized, Unweighted)]]*$U$3</f>
        <v>0.18422567645365576</v>
      </c>
      <c r="X398" s="246">
        <f>_xlfn.XLOOKUP(FME_Ranking1[[#This Row],[FME ID]],FME_Input[FME_ID],FME_Input[ROADCLS])</f>
        <v>0</v>
      </c>
      <c r="Y398" s="230">
        <f>(FME_Ranking1[[#This Row],[Closures Raw]]/$X$2)*100</f>
        <v>0</v>
      </c>
      <c r="Z398" s="180">
        <f>FME_Ranking1[[#This Row],[Closures Score (Normalized, Unweighted)]]*$X$3</f>
        <v>0</v>
      </c>
      <c r="AA398" s="253">
        <f>_xlfn.XLOOKUP(FME_Ranking1[[#This Row],[FME ID]],FME_Input[FME_ID],FME_Input[ROAD_MILES100])</f>
        <v>99.848007202148438</v>
      </c>
      <c r="AB398" s="178">
        <f>(FME_Ranking1[[#This Row],[Miles Raw]]/$AA$2)*100</f>
        <v>1.3128222088999619</v>
      </c>
      <c r="AC398" s="178">
        <f>FME_Ranking1[[#This Row],[Miles Score (Normalized, Unweighted)]]*$AA$3</f>
        <v>0.13128222088999619</v>
      </c>
      <c r="AD398" s="255">
        <f>_xlfn.XLOOKUP(FME_Ranking1[[#This Row],[FME ID]],FME_Input[FME_ID],FME_Input[FARMACRE100])</f>
        <v>29584.509765625</v>
      </c>
      <c r="AE398" s="230">
        <f>(FME_Ranking1[[#This Row],[Ag Land Raw]]/$AD$2)*100</f>
        <v>1.2199327475672588</v>
      </c>
      <c r="AF398" s="231">
        <f>FME_Ranking1[[#This Row],[Ag Land Score (Normalized, Unweighted)]]*$AD$3</f>
        <v>6.0996637378362945E-2</v>
      </c>
      <c r="AG39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0.5765596254278984</v>
      </c>
      <c r="AH398" s="406">
        <f t="shared" si="6"/>
        <v>398</v>
      </c>
      <c r="AI39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0.5765596254278984</v>
      </c>
      <c r="AJ398" s="257">
        <f>FME_Ranking1[[#This Row],[Addition check]]-FME_Ranking1[[#This Row],[Weighted Score Based on Normalized Reported Factors]]</f>
        <v>0</v>
      </c>
      <c r="AK398" s="178">
        <f>_xlfn.RANK.EQ(AI398,$AI$6:$AI$2341,0)+COUNTIF($AI$6:AI398,AI398)-1</f>
        <v>398</v>
      </c>
    </row>
    <row r="399" spans="1:37" ht="12" customHeight="1" x14ac:dyDescent="0.25">
      <c r="A399" t="s">
        <v>1680</v>
      </c>
      <c r="B399">
        <f>_xlfn.XLOOKUP(FME_Ranking1[[#This Row],[FME ID]],FME_Input[FME_ID],FME_Input[RFPG_NUM])</f>
        <v>6</v>
      </c>
      <c r="C399" t="str">
        <f>_xlfn.XLOOKUP(FME_Ranking1[[#This Row],[FME ID]],FME_Input[FME_ID],FME_Input[FME_NAME])</f>
        <v>City of Nassau Bay  Master Drainage Plan</v>
      </c>
      <c r="D399" t="str">
        <f>_xlfn.XLOOKUP(FME_Ranking1[[#This Row],[FME ID]],FME_Input[FME_ID],FME_Input[DESCR])</f>
        <v>Study to develop Master Drainage Plan using future and existing land use and flood/storm water drainage needs including Atlas 14 rainfall.</v>
      </c>
      <c r="E399" s="256">
        <f>_xlfn.XLOOKUP(FME_Ranking1[[#This Row],[FME ID]],FME_Input[FME_ID],FME_Input[FME_COST])</f>
        <v>180000</v>
      </c>
      <c r="F399" t="str">
        <f>_xlfn.XLOOKUP(FME_Ranking1[[#This Row],[FME ID]],FME_Input[FME_ID],FME_Input[EMER_NEED])</f>
        <v>Yes</v>
      </c>
      <c r="G399">
        <f>IF(FME_Ranking!F399="Yes",100,0)</f>
        <v>100</v>
      </c>
      <c r="H399">
        <f>FME_Ranking1[[#This Row],[Emergency Need Score (Normalized, Unweighted)]]*$F$3</f>
        <v>0</v>
      </c>
      <c r="I399" s="246">
        <f>_xlfn.XLOOKUP(FME_Ranking1[[#This Row],[FME ID]],FME_Input[FME_ID],FME_Input[STRUCT_100])</f>
        <v>1022</v>
      </c>
      <c r="J399" s="178">
        <f>(FME_Ranking1[[#This Row],[Structures 100 Raw]]/I$2)*100</f>
        <v>0.54727327250139235</v>
      </c>
      <c r="K399" s="178">
        <f>FME_Ranking1[[#This Row],[Structures 100  Score (Normalized, Unweighted)]]*$I$3</f>
        <v>8.2090990875208852E-2</v>
      </c>
      <c r="L399" s="246">
        <f>_xlfn.XLOOKUP(FME_Ranking1[[#This Row],[FME ID]],FME_Input[FME_ID],FME_Input[RES_STRUCT100])</f>
        <v>945</v>
      </c>
      <c r="M399" s="230">
        <f>(FME_Ranking1[[#This Row],[Res Structures Raw]]/L$2)*100</f>
        <v>0.66934878383929963</v>
      </c>
      <c r="N399" s="180">
        <f>FME_Ranking1[[#This Row],[Res Structures Score (Normalized, Unweighted)]]*$L$3</f>
        <v>6.693487838392996E-2</v>
      </c>
      <c r="O399" s="244">
        <f>_xlfn.XLOOKUP(FME_Ranking1[[#This Row],[FME ID]],FME_Input[FME_ID],FME_Input[POP100])</f>
        <v>7735</v>
      </c>
      <c r="P399" s="178">
        <f>(FME_Ranking1[[#This Row],[Pop Raw]]/$O$2)*100</f>
        <v>0.79187303823308397</v>
      </c>
      <c r="Q399" s="178">
        <f>FME_Ranking1[[#This Row],[Pop Score (Normalized, Unweighted)]]*$O$3</f>
        <v>0.11878095573496258</v>
      </c>
      <c r="R399" s="137">
        <f>_xlfn.XLOOKUP(FME_Ranking1[[#This Row],[FME ID]],FME_Input[FME_ID],FME_Input[CRITFAC100])</f>
        <v>19</v>
      </c>
      <c r="S399" s="230">
        <f>(FME_Ranking1[[#This Row],[Critical Facilities Raw]]/$R$2)*100</f>
        <v>0.81475128644939965</v>
      </c>
      <c r="T399" s="180">
        <f>FME_Ranking1[[#This Row],[Critical Facilities Score (Normalized, Unweighted)]]*$R$3</f>
        <v>0.16295025728987994</v>
      </c>
      <c r="U399">
        <f>_xlfn.XLOOKUP(FME_Ranking1[[#This Row],[FME ID]],FME_Input[FME_ID],FME_Input[LWC])</f>
        <v>0</v>
      </c>
      <c r="V399" s="178">
        <f>(FME_Ranking1[[#This Row],[LWC Raw]]/$U$2)*100</f>
        <v>0</v>
      </c>
      <c r="W399" s="178">
        <f>FME_Ranking1[[#This Row],[LWC Score (Normalized, Unweighted)]]*$U$3</f>
        <v>0</v>
      </c>
      <c r="X399" s="246">
        <f>_xlfn.XLOOKUP(FME_Ranking1[[#This Row],[FME ID]],FME_Input[FME_ID],FME_Input[ROADCLS])</f>
        <v>0</v>
      </c>
      <c r="Y399" s="230">
        <f>(FME_Ranking1[[#This Row],[Closures Raw]]/$X$2)*100</f>
        <v>0</v>
      </c>
      <c r="Z399" s="180">
        <f>FME_Ranking1[[#This Row],[Closures Score (Normalized, Unweighted)]]*$X$3</f>
        <v>0</v>
      </c>
      <c r="AA399" s="253">
        <f>_xlfn.XLOOKUP(FME_Ranking1[[#This Row],[FME ID]],FME_Input[FME_ID],FME_Input[ROAD_MILES100])</f>
        <v>17.524692535400391</v>
      </c>
      <c r="AB399" s="178">
        <f>(FME_Ranking1[[#This Row],[Miles Raw]]/$AA$2)*100</f>
        <v>0.23041827482884378</v>
      </c>
      <c r="AC399" s="178">
        <f>FME_Ranking1[[#This Row],[Miles Score (Normalized, Unweighted)]]*$AA$3</f>
        <v>2.3041827482884379E-2</v>
      </c>
      <c r="AD399" s="255">
        <f>_xlfn.XLOOKUP(FME_Ranking1[[#This Row],[FME ID]],FME_Input[FME_ID],FME_Input[FARMACRE100])</f>
        <v>0.50870704650878906</v>
      </c>
      <c r="AE399" s="230">
        <f>(FME_Ranking1[[#This Row],[Ag Land Raw]]/$AD$2)*100</f>
        <v>2.0976801369051918E-5</v>
      </c>
      <c r="AF399" s="231">
        <f>FME_Ranking1[[#This Row],[Ag Land Score (Normalized, Unweighted)]]*$AD$3</f>
        <v>1.0488400684525959E-6</v>
      </c>
      <c r="AG39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0.45379995860693412</v>
      </c>
      <c r="AH399" s="406">
        <f t="shared" si="6"/>
        <v>474</v>
      </c>
      <c r="AI39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0.45379995860693412</v>
      </c>
      <c r="AJ399" s="257">
        <f>FME_Ranking1[[#This Row],[Addition check]]-FME_Ranking1[[#This Row],[Weighted Score Based on Normalized Reported Factors]]</f>
        <v>0</v>
      </c>
      <c r="AK399" s="178">
        <f>_xlfn.RANK.EQ(AI399,$AI$6:$AI$2341,0)+COUNTIF($AI$6:AI399,AI399)-1</f>
        <v>474</v>
      </c>
    </row>
    <row r="400" spans="1:37" ht="12" customHeight="1" x14ac:dyDescent="0.25">
      <c r="A400" t="s">
        <v>4303</v>
      </c>
      <c r="B400">
        <f>_xlfn.XLOOKUP(FME_Ranking1[[#This Row],[FME ID]],FME_Input[FME_ID],FME_Input[RFPG_NUM])</f>
        <v>3</v>
      </c>
      <c r="C400" t="str">
        <f>_xlfn.XLOOKUP(FME_Ranking1[[#This Row],[FME ID]],FME_Input[FME_ID],FME_Input[FME_NAME])</f>
        <v>Wise County DMP</v>
      </c>
      <c r="D400" t="str">
        <f>_xlfn.XLOOKUP(FME_Ranking1[[#This Row],[FME ID]],FME_Input[FME_ID],FME_Input[DESCR])</f>
        <v>Evaluate County and identify future projects.</v>
      </c>
      <c r="E400" s="256">
        <f>_xlfn.XLOOKUP(FME_Ranking1[[#This Row],[FME ID]],FME_Input[FME_ID],FME_Input[FME_COST])</f>
        <v>500000</v>
      </c>
      <c r="F400" t="str">
        <f>_xlfn.XLOOKUP(FME_Ranking1[[#This Row],[FME ID]],FME_Input[FME_ID],FME_Input[EMER_NEED])</f>
        <v>No</v>
      </c>
      <c r="G400">
        <f>IF(FME_Ranking!F400="Yes",100,0)</f>
        <v>0</v>
      </c>
      <c r="H400">
        <f>FME_Ranking1[[#This Row],[Emergency Need Score (Normalized, Unweighted)]]*$F$3</f>
        <v>0</v>
      </c>
      <c r="I400" s="246">
        <f>_xlfn.XLOOKUP(FME_Ranking1[[#This Row],[FME ID]],FME_Input[FME_ID],FME_Input[STRUCT_100])</f>
        <v>492</v>
      </c>
      <c r="J400" s="178">
        <f>(FME_Ranking1[[#This Row],[Structures 100 Raw]]/I$2)*100</f>
        <v>0.26346227991260762</v>
      </c>
      <c r="K400" s="178">
        <f>FME_Ranking1[[#This Row],[Structures 100  Score (Normalized, Unweighted)]]*$I$3</f>
        <v>3.9519341986891145E-2</v>
      </c>
      <c r="L400" s="246">
        <f>_xlfn.XLOOKUP(FME_Ranking1[[#This Row],[FME ID]],FME_Input[FME_ID],FME_Input[RES_STRUCT100])</f>
        <v>363</v>
      </c>
      <c r="M400" s="230">
        <f>(FME_Ranking1[[#This Row],[Res Structures Raw]]/L$2)*100</f>
        <v>0.25711492966525473</v>
      </c>
      <c r="N400" s="180">
        <f>FME_Ranking1[[#This Row],[Res Structures Score (Normalized, Unweighted)]]*$L$3</f>
        <v>2.5711492966525473E-2</v>
      </c>
      <c r="O400" s="244">
        <f>_xlfn.XLOOKUP(FME_Ranking1[[#This Row],[FME ID]],FME_Input[FME_ID],FME_Input[POP100])</f>
        <v>1338</v>
      </c>
      <c r="P400" s="178">
        <f>(FME_Ranking1[[#This Row],[Pop Raw]]/$O$2)*100</f>
        <v>0.13697816744096528</v>
      </c>
      <c r="Q400" s="178">
        <f>FME_Ranking1[[#This Row],[Pop Score (Normalized, Unweighted)]]*$O$3</f>
        <v>2.054672511614479E-2</v>
      </c>
      <c r="R400" s="137">
        <f>_xlfn.XLOOKUP(FME_Ranking1[[#This Row],[FME ID]],FME_Input[FME_ID],FME_Input[CRITFAC100])</f>
        <v>11</v>
      </c>
      <c r="S400" s="230">
        <f>(FME_Ranking1[[#This Row],[Critical Facilities Raw]]/$R$2)*100</f>
        <v>0.47169811320754718</v>
      </c>
      <c r="T400" s="180">
        <f>FME_Ranking1[[#This Row],[Critical Facilities Score (Normalized, Unweighted)]]*$R$3</f>
        <v>9.4339622641509441E-2</v>
      </c>
      <c r="U400">
        <f>_xlfn.XLOOKUP(FME_Ranking1[[#This Row],[FME ID]],FME_Input[FME_ID],FME_Input[LWC])</f>
        <v>16</v>
      </c>
      <c r="V400" s="178">
        <f>(FME_Ranking1[[#This Row],[LWC Raw]]/$U$2)*100</f>
        <v>0.92112838226827876</v>
      </c>
      <c r="W400" s="178">
        <f>FME_Ranking1[[#This Row],[LWC Score (Normalized, Unweighted)]]*$U$3</f>
        <v>0.18422567645365576</v>
      </c>
      <c r="X400" s="246">
        <f>_xlfn.XLOOKUP(FME_Ranking1[[#This Row],[FME ID]],FME_Input[FME_ID],FME_Input[ROADCLS])</f>
        <v>0</v>
      </c>
      <c r="Y400" s="230">
        <f>(FME_Ranking1[[#This Row],[Closures Raw]]/$X$2)*100</f>
        <v>0</v>
      </c>
      <c r="Z400" s="180">
        <f>FME_Ranking1[[#This Row],[Closures Score (Normalized, Unweighted)]]*$X$3</f>
        <v>0</v>
      </c>
      <c r="AA400" s="253">
        <f>_xlfn.XLOOKUP(FME_Ranking1[[#This Row],[FME ID]],FME_Input[FME_ID],FME_Input[ROAD_MILES100])</f>
        <v>99.848007202148438</v>
      </c>
      <c r="AB400" s="178">
        <f>(FME_Ranking1[[#This Row],[Miles Raw]]/$AA$2)*100</f>
        <v>1.3128222088999619</v>
      </c>
      <c r="AC400" s="178">
        <f>FME_Ranking1[[#This Row],[Miles Score (Normalized, Unweighted)]]*$AA$3</f>
        <v>0.13128222088999619</v>
      </c>
      <c r="AD400" s="255">
        <f>_xlfn.XLOOKUP(FME_Ranking1[[#This Row],[FME ID]],FME_Input[FME_ID],FME_Input[FARMACRE100])</f>
        <v>30832.76953125</v>
      </c>
      <c r="AE400" s="230">
        <f>(FME_Ranking1[[#This Row],[Ag Land Raw]]/$AD$2)*100</f>
        <v>1.2714053924621875</v>
      </c>
      <c r="AF400" s="231">
        <f>FME_Ranking1[[#This Row],[Ag Land Score (Normalized, Unweighted)]]*$AD$3</f>
        <v>6.3570269623109382E-2</v>
      </c>
      <c r="AG40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0.55919534967783224</v>
      </c>
      <c r="AH400" s="406">
        <f t="shared" si="6"/>
        <v>400</v>
      </c>
      <c r="AI40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0.55919534967783224</v>
      </c>
      <c r="AJ400" s="257">
        <f>FME_Ranking1[[#This Row],[Addition check]]-FME_Ranking1[[#This Row],[Weighted Score Based on Normalized Reported Factors]]</f>
        <v>0</v>
      </c>
      <c r="AK400" s="178">
        <f>_xlfn.RANK.EQ(AI400,$AI$6:$AI$2341,0)+COUNTIF($AI$6:AI400,AI400)-1</f>
        <v>400</v>
      </c>
    </row>
    <row r="401" spans="1:37" ht="12" customHeight="1" x14ac:dyDescent="0.25">
      <c r="A401" t="s">
        <v>8941</v>
      </c>
      <c r="B401">
        <f>_xlfn.XLOOKUP(FME_Ranking1[[#This Row],[FME ID]],FME_Input[FME_ID],FME_Input[RFPG_NUM])</f>
        <v>11</v>
      </c>
      <c r="C401" t="str">
        <f>_xlfn.XLOOKUP(FME_Ranking1[[#This Row],[FME ID]],FME_Input[FME_ID],FME_Input[FME_NAME])</f>
        <v>City of Cuero Drainage Improvements Study</v>
      </c>
      <c r="D401" t="str">
        <f>_xlfn.XLOOKUP(FME_Ranking1[[#This Row],[FME ID]],FME_Input[FME_ID],FME_Input[DESCR])</f>
        <v xml:space="preserve">Study of solutions to improve drainage and stormwater system to reduce drainage and flooding issues. </v>
      </c>
      <c r="E401" s="256">
        <f>_xlfn.XLOOKUP(FME_Ranking1[[#This Row],[FME ID]],FME_Input[FME_ID],FME_Input[FME_COST])</f>
        <v>150000</v>
      </c>
      <c r="F401" t="str">
        <f>_xlfn.XLOOKUP(FME_Ranking1[[#This Row],[FME ID]],FME_Input[FME_ID],FME_Input[EMER_NEED])</f>
        <v>No</v>
      </c>
      <c r="G401">
        <f>IF(FME_Ranking!F401="Yes",100,0)</f>
        <v>0</v>
      </c>
      <c r="H401">
        <f>FME_Ranking1[[#This Row],[Emergency Need Score (Normalized, Unweighted)]]*$F$3</f>
        <v>0</v>
      </c>
      <c r="I401" s="246">
        <f>_xlfn.XLOOKUP(FME_Ranking1[[#This Row],[FME ID]],FME_Input[FME_ID],FME_Input[STRUCT_100])</f>
        <v>1991</v>
      </c>
      <c r="J401" s="178">
        <f>(FME_Ranking1[[#This Row],[Structures 100 Raw]]/I$2)*100</f>
        <v>1.066165445743906</v>
      </c>
      <c r="K401" s="178">
        <f>FME_Ranking1[[#This Row],[Structures 100  Score (Normalized, Unweighted)]]*$I$3</f>
        <v>0.15992481686158591</v>
      </c>
      <c r="L401" s="246">
        <f>_xlfn.XLOOKUP(FME_Ranking1[[#This Row],[FME ID]],FME_Input[FME_ID],FME_Input[RES_STRUCT100])</f>
        <v>1533</v>
      </c>
      <c r="M401" s="230">
        <f>(FME_Ranking1[[#This Row],[Res Structures Raw]]/L$2)*100</f>
        <v>1.0858324715615306</v>
      </c>
      <c r="N401" s="180">
        <f>FME_Ranking1[[#This Row],[Res Structures Score (Normalized, Unweighted)]]*$L$3</f>
        <v>0.10858324715615307</v>
      </c>
      <c r="O401" s="244">
        <f>_xlfn.XLOOKUP(FME_Ranking1[[#This Row],[FME ID]],FME_Input[FME_ID],FME_Input[POP100])</f>
        <v>3213</v>
      </c>
      <c r="P401" s="178">
        <f>(FME_Ranking1[[#This Row],[Pop Raw]]/$O$2)*100</f>
        <v>0.32893187741989643</v>
      </c>
      <c r="Q401" s="178">
        <f>FME_Ranking1[[#This Row],[Pop Score (Normalized, Unweighted)]]*$O$3</f>
        <v>4.9339781612984461E-2</v>
      </c>
      <c r="R401" s="137">
        <f>_xlfn.XLOOKUP(FME_Ranking1[[#This Row],[FME ID]],FME_Input[FME_ID],FME_Input[CRITFAC100])</f>
        <v>10</v>
      </c>
      <c r="S401" s="230">
        <f>(FME_Ranking1[[#This Row],[Critical Facilities Raw]]/$R$2)*100</f>
        <v>0.42881646655231564</v>
      </c>
      <c r="T401" s="180">
        <f>FME_Ranking1[[#This Row],[Critical Facilities Score (Normalized, Unweighted)]]*$R$3</f>
        <v>8.5763293310463132E-2</v>
      </c>
      <c r="U401">
        <f>_xlfn.XLOOKUP(FME_Ranking1[[#This Row],[FME ID]],FME_Input[FME_ID],FME_Input[LWC])</f>
        <v>2</v>
      </c>
      <c r="V401" s="178">
        <f>(FME_Ranking1[[#This Row],[LWC Raw]]/$U$2)*100</f>
        <v>0.11514104778353484</v>
      </c>
      <c r="W401" s="178">
        <f>FME_Ranking1[[#This Row],[LWC Score (Normalized, Unweighted)]]*$U$3</f>
        <v>2.302820955670697E-2</v>
      </c>
      <c r="X401" s="246">
        <f>_xlfn.XLOOKUP(FME_Ranking1[[#This Row],[FME ID]],FME_Input[FME_ID],FME_Input[ROADCLS])</f>
        <v>0</v>
      </c>
      <c r="Y401" s="230">
        <f>(FME_Ranking1[[#This Row],[Closures Raw]]/$X$2)*100</f>
        <v>0</v>
      </c>
      <c r="Z401" s="180">
        <f>FME_Ranking1[[#This Row],[Closures Score (Normalized, Unweighted)]]*$X$3</f>
        <v>0</v>
      </c>
      <c r="AA401" s="253">
        <f>_xlfn.XLOOKUP(FME_Ranking1[[#This Row],[FME ID]],FME_Input[FME_ID],FME_Input[ROAD_MILES100])</f>
        <v>35.163318634033203</v>
      </c>
      <c r="AB401" s="178">
        <f>(FME_Ranking1[[#This Row],[Miles Raw]]/$AA$2)*100</f>
        <v>0.46233457166475489</v>
      </c>
      <c r="AC401" s="178">
        <f>FME_Ranking1[[#This Row],[Miles Score (Normalized, Unweighted)]]*$AA$3</f>
        <v>4.6233457166475492E-2</v>
      </c>
      <c r="AD401" s="255">
        <f>_xlfn.XLOOKUP(FME_Ranking1[[#This Row],[FME ID]],FME_Input[FME_ID],FME_Input[FARMACRE100])</f>
        <v>116.23760986328119</v>
      </c>
      <c r="AE401" s="230">
        <f>(FME_Ranking1[[#This Row],[Ag Land Raw]]/$AD$2)*100</f>
        <v>4.7931186926723109E-3</v>
      </c>
      <c r="AF401" s="231">
        <f>FME_Ranking1[[#This Row],[Ag Land Score (Normalized, Unweighted)]]*$AD$3</f>
        <v>2.3965593463361556E-4</v>
      </c>
      <c r="AG40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0.47311246159900261</v>
      </c>
      <c r="AH401" s="406">
        <f t="shared" si="6"/>
        <v>451</v>
      </c>
      <c r="AI40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0.47311246159900261</v>
      </c>
      <c r="AJ401" s="257">
        <f>FME_Ranking1[[#This Row],[Addition check]]-FME_Ranking1[[#This Row],[Weighted Score Based on Normalized Reported Factors]]</f>
        <v>0</v>
      </c>
      <c r="AK401" s="178">
        <f>_xlfn.RANK.EQ(AI401,$AI$6:$AI$2341,0)+COUNTIF($AI$6:AI401,AI401)-1</f>
        <v>451</v>
      </c>
    </row>
    <row r="402" spans="1:37" ht="12" customHeight="1" x14ac:dyDescent="0.25">
      <c r="A402" t="s">
        <v>8950</v>
      </c>
      <c r="B402">
        <f>_xlfn.XLOOKUP(FME_Ranking1[[#This Row],[FME ID]],FME_Input[FME_ID],FME_Input[RFPG_NUM])</f>
        <v>11</v>
      </c>
      <c r="C402" t="str">
        <f>_xlfn.XLOOKUP(FME_Ranking1[[#This Row],[FME ID]],FME_Input[FME_ID],FME_Input[FME_NAME])</f>
        <v>City of Cuero City Public Service Station Project Planning</v>
      </c>
      <c r="D402" t="str">
        <f>_xlfn.XLOOKUP(FME_Ranking1[[#This Row],[FME ID]],FME_Input[FME_ID],FME_Input[DESCR])</f>
        <v xml:space="preserve">Project planning for proposed project to retrofit or floodproof City Public Service Station currently under renovation. Facility will serve as secondary location for community offices and critical utility service data and equipment </v>
      </c>
      <c r="E402" s="256">
        <f>_xlfn.XLOOKUP(FME_Ranking1[[#This Row],[FME ID]],FME_Input[FME_ID],FME_Input[FME_COST])</f>
        <v>100000</v>
      </c>
      <c r="F402" t="str">
        <f>_xlfn.XLOOKUP(FME_Ranking1[[#This Row],[FME ID]],FME_Input[FME_ID],FME_Input[EMER_NEED])</f>
        <v>No</v>
      </c>
      <c r="G402">
        <f>IF(FME_Ranking!F402="Yes",100,0)</f>
        <v>0</v>
      </c>
      <c r="H402">
        <f>FME_Ranking1[[#This Row],[Emergency Need Score (Normalized, Unweighted)]]*$F$3</f>
        <v>0</v>
      </c>
      <c r="I402" s="246">
        <f>_xlfn.XLOOKUP(FME_Ranking1[[#This Row],[FME ID]],FME_Input[FME_ID],FME_Input[STRUCT_100])</f>
        <v>1991</v>
      </c>
      <c r="J402" s="178">
        <f>(FME_Ranking1[[#This Row],[Structures 100 Raw]]/I$2)*100</f>
        <v>1.066165445743906</v>
      </c>
      <c r="K402" s="178">
        <f>FME_Ranking1[[#This Row],[Structures 100  Score (Normalized, Unweighted)]]*$I$3</f>
        <v>0.15992481686158591</v>
      </c>
      <c r="L402" s="246">
        <f>_xlfn.XLOOKUP(FME_Ranking1[[#This Row],[FME ID]],FME_Input[FME_ID],FME_Input[RES_STRUCT100])</f>
        <v>1533</v>
      </c>
      <c r="M402" s="230">
        <f>(FME_Ranking1[[#This Row],[Res Structures Raw]]/L$2)*100</f>
        <v>1.0858324715615306</v>
      </c>
      <c r="N402" s="180">
        <f>FME_Ranking1[[#This Row],[Res Structures Score (Normalized, Unweighted)]]*$L$3</f>
        <v>0.10858324715615307</v>
      </c>
      <c r="O402" s="244">
        <f>_xlfn.XLOOKUP(FME_Ranking1[[#This Row],[FME ID]],FME_Input[FME_ID],FME_Input[POP100])</f>
        <v>3213</v>
      </c>
      <c r="P402" s="178">
        <f>(FME_Ranking1[[#This Row],[Pop Raw]]/$O$2)*100</f>
        <v>0.32893187741989643</v>
      </c>
      <c r="Q402" s="178">
        <f>FME_Ranking1[[#This Row],[Pop Score (Normalized, Unweighted)]]*$O$3</f>
        <v>4.9339781612984461E-2</v>
      </c>
      <c r="R402" s="137">
        <f>_xlfn.XLOOKUP(FME_Ranking1[[#This Row],[FME ID]],FME_Input[FME_ID],FME_Input[CRITFAC100])</f>
        <v>10</v>
      </c>
      <c r="S402" s="230">
        <f>(FME_Ranking1[[#This Row],[Critical Facilities Raw]]/$R$2)*100</f>
        <v>0.42881646655231564</v>
      </c>
      <c r="T402" s="180">
        <f>FME_Ranking1[[#This Row],[Critical Facilities Score (Normalized, Unweighted)]]*$R$3</f>
        <v>8.5763293310463132E-2</v>
      </c>
      <c r="U402">
        <f>_xlfn.XLOOKUP(FME_Ranking1[[#This Row],[FME ID]],FME_Input[FME_ID],FME_Input[LWC])</f>
        <v>2</v>
      </c>
      <c r="V402" s="178">
        <f>(FME_Ranking1[[#This Row],[LWC Raw]]/$U$2)*100</f>
        <v>0.11514104778353484</v>
      </c>
      <c r="W402" s="178">
        <f>FME_Ranking1[[#This Row],[LWC Score (Normalized, Unweighted)]]*$U$3</f>
        <v>2.302820955670697E-2</v>
      </c>
      <c r="X402" s="246">
        <f>_xlfn.XLOOKUP(FME_Ranking1[[#This Row],[FME ID]],FME_Input[FME_ID],FME_Input[ROADCLS])</f>
        <v>0</v>
      </c>
      <c r="Y402" s="230">
        <f>(FME_Ranking1[[#This Row],[Closures Raw]]/$X$2)*100</f>
        <v>0</v>
      </c>
      <c r="Z402" s="180">
        <f>FME_Ranking1[[#This Row],[Closures Score (Normalized, Unweighted)]]*$X$3</f>
        <v>0</v>
      </c>
      <c r="AA402" s="253">
        <f>_xlfn.XLOOKUP(FME_Ranking1[[#This Row],[FME ID]],FME_Input[FME_ID],FME_Input[ROAD_MILES100])</f>
        <v>35.163318634033203</v>
      </c>
      <c r="AB402" s="178">
        <f>(FME_Ranking1[[#This Row],[Miles Raw]]/$AA$2)*100</f>
        <v>0.46233457166475489</v>
      </c>
      <c r="AC402" s="178">
        <f>FME_Ranking1[[#This Row],[Miles Score (Normalized, Unweighted)]]*$AA$3</f>
        <v>4.6233457166475492E-2</v>
      </c>
      <c r="AD402" s="255">
        <f>_xlfn.XLOOKUP(FME_Ranking1[[#This Row],[FME ID]],FME_Input[FME_ID],FME_Input[FARMACRE100])</f>
        <v>116.23760986328119</v>
      </c>
      <c r="AE402" s="230">
        <f>(FME_Ranking1[[#This Row],[Ag Land Raw]]/$AD$2)*100</f>
        <v>4.7931186926723109E-3</v>
      </c>
      <c r="AF402" s="231">
        <f>FME_Ranking1[[#This Row],[Ag Land Score (Normalized, Unweighted)]]*$AD$3</f>
        <v>2.3965593463361556E-4</v>
      </c>
      <c r="AG40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0.47311246159900261</v>
      </c>
      <c r="AH402" s="406">
        <f t="shared" si="6"/>
        <v>451</v>
      </c>
      <c r="AI40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0.47311246159900261</v>
      </c>
      <c r="AJ402" s="257">
        <f>FME_Ranking1[[#This Row],[Addition check]]-FME_Ranking1[[#This Row],[Weighted Score Based on Normalized Reported Factors]]</f>
        <v>0</v>
      </c>
      <c r="AK402" s="178">
        <f>_xlfn.RANK.EQ(AI402,$AI$6:$AI$2341,0)+COUNTIF($AI$6:AI402,AI402)-1</f>
        <v>452</v>
      </c>
    </row>
    <row r="403" spans="1:37" ht="12" customHeight="1" x14ac:dyDescent="0.25">
      <c r="A403" t="s">
        <v>8953</v>
      </c>
      <c r="B403">
        <f>_xlfn.XLOOKUP(FME_Ranking1[[#This Row],[FME ID]],FME_Input[FME_ID],FME_Input[RFPG_NUM])</f>
        <v>11</v>
      </c>
      <c r="C403" t="str">
        <f>_xlfn.XLOOKUP(FME_Ranking1[[#This Row],[FME ID]],FME_Input[FME_ID],FME_Input[FME_NAME])</f>
        <v>Green DeWitt County Drainage District Channel Improvements Project Planning</v>
      </c>
      <c r="D403" t="str">
        <f>_xlfn.XLOOKUP(FME_Ranking1[[#This Row],[FME ID]],FME_Input[FME_ID],FME_Input[DESCR])</f>
        <v>Project planning for proposed project to install drop basket structure and reconstruct drainage channels to control flooding and erosion. Structure will assist in stabilizing banks and holding bottoms of channel on grade</v>
      </c>
      <c r="E403" s="256">
        <f>_xlfn.XLOOKUP(FME_Ranking1[[#This Row],[FME ID]],FME_Input[FME_ID],FME_Input[FME_COST])</f>
        <v>250000</v>
      </c>
      <c r="F403" t="str">
        <f>_xlfn.XLOOKUP(FME_Ranking1[[#This Row],[FME ID]],FME_Input[FME_ID],FME_Input[EMER_NEED])</f>
        <v>No</v>
      </c>
      <c r="G403">
        <f>IF(FME_Ranking!F403="Yes",100,0)</f>
        <v>0</v>
      </c>
      <c r="H403">
        <f>FME_Ranking1[[#This Row],[Emergency Need Score (Normalized, Unweighted)]]*$F$3</f>
        <v>0</v>
      </c>
      <c r="I403" s="246">
        <f>_xlfn.XLOOKUP(FME_Ranking1[[#This Row],[FME ID]],FME_Input[FME_ID],FME_Input[STRUCT_100])</f>
        <v>1991</v>
      </c>
      <c r="J403" s="178">
        <f>(FME_Ranking1[[#This Row],[Structures 100 Raw]]/I$2)*100</f>
        <v>1.066165445743906</v>
      </c>
      <c r="K403" s="178">
        <f>FME_Ranking1[[#This Row],[Structures 100  Score (Normalized, Unweighted)]]*$I$3</f>
        <v>0.15992481686158591</v>
      </c>
      <c r="L403" s="246">
        <f>_xlfn.XLOOKUP(FME_Ranking1[[#This Row],[FME ID]],FME_Input[FME_ID],FME_Input[RES_STRUCT100])</f>
        <v>1533</v>
      </c>
      <c r="M403" s="230">
        <f>(FME_Ranking1[[#This Row],[Res Structures Raw]]/L$2)*100</f>
        <v>1.0858324715615306</v>
      </c>
      <c r="N403" s="180">
        <f>FME_Ranking1[[#This Row],[Res Structures Score (Normalized, Unweighted)]]*$L$3</f>
        <v>0.10858324715615307</v>
      </c>
      <c r="O403" s="244">
        <f>_xlfn.XLOOKUP(FME_Ranking1[[#This Row],[FME ID]],FME_Input[FME_ID],FME_Input[POP100])</f>
        <v>3213</v>
      </c>
      <c r="P403" s="178">
        <f>(FME_Ranking1[[#This Row],[Pop Raw]]/$O$2)*100</f>
        <v>0.32893187741989643</v>
      </c>
      <c r="Q403" s="178">
        <f>FME_Ranking1[[#This Row],[Pop Score (Normalized, Unweighted)]]*$O$3</f>
        <v>4.9339781612984461E-2</v>
      </c>
      <c r="R403" s="137">
        <f>_xlfn.XLOOKUP(FME_Ranking1[[#This Row],[FME ID]],FME_Input[FME_ID],FME_Input[CRITFAC100])</f>
        <v>10</v>
      </c>
      <c r="S403" s="230">
        <f>(FME_Ranking1[[#This Row],[Critical Facilities Raw]]/$R$2)*100</f>
        <v>0.42881646655231564</v>
      </c>
      <c r="T403" s="180">
        <f>FME_Ranking1[[#This Row],[Critical Facilities Score (Normalized, Unweighted)]]*$R$3</f>
        <v>8.5763293310463132E-2</v>
      </c>
      <c r="U403">
        <f>_xlfn.XLOOKUP(FME_Ranking1[[#This Row],[FME ID]],FME_Input[FME_ID],FME_Input[LWC])</f>
        <v>2</v>
      </c>
      <c r="V403" s="178">
        <f>(FME_Ranking1[[#This Row],[LWC Raw]]/$U$2)*100</f>
        <v>0.11514104778353484</v>
      </c>
      <c r="W403" s="178">
        <f>FME_Ranking1[[#This Row],[LWC Score (Normalized, Unweighted)]]*$U$3</f>
        <v>2.302820955670697E-2</v>
      </c>
      <c r="X403" s="246">
        <f>_xlfn.XLOOKUP(FME_Ranking1[[#This Row],[FME ID]],FME_Input[FME_ID],FME_Input[ROADCLS])</f>
        <v>0</v>
      </c>
      <c r="Y403" s="230">
        <f>(FME_Ranking1[[#This Row],[Closures Raw]]/$X$2)*100</f>
        <v>0</v>
      </c>
      <c r="Z403" s="180">
        <f>FME_Ranking1[[#This Row],[Closures Score (Normalized, Unweighted)]]*$X$3</f>
        <v>0</v>
      </c>
      <c r="AA403" s="253">
        <f>_xlfn.XLOOKUP(FME_Ranking1[[#This Row],[FME ID]],FME_Input[FME_ID],FME_Input[ROAD_MILES100])</f>
        <v>35.163318634033203</v>
      </c>
      <c r="AB403" s="178">
        <f>(FME_Ranking1[[#This Row],[Miles Raw]]/$AA$2)*100</f>
        <v>0.46233457166475489</v>
      </c>
      <c r="AC403" s="178">
        <f>FME_Ranking1[[#This Row],[Miles Score (Normalized, Unweighted)]]*$AA$3</f>
        <v>4.6233457166475492E-2</v>
      </c>
      <c r="AD403" s="255">
        <f>_xlfn.XLOOKUP(FME_Ranking1[[#This Row],[FME ID]],FME_Input[FME_ID],FME_Input[FARMACRE100])</f>
        <v>116.23760986328119</v>
      </c>
      <c r="AE403" s="230">
        <f>(FME_Ranking1[[#This Row],[Ag Land Raw]]/$AD$2)*100</f>
        <v>4.7931186926723109E-3</v>
      </c>
      <c r="AF403" s="231">
        <f>FME_Ranking1[[#This Row],[Ag Land Score (Normalized, Unweighted)]]*$AD$3</f>
        <v>2.3965593463361556E-4</v>
      </c>
      <c r="AG40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0.47311246159900261</v>
      </c>
      <c r="AH403" s="406">
        <f t="shared" si="6"/>
        <v>451</v>
      </c>
      <c r="AI40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0.47311246159900261</v>
      </c>
      <c r="AJ403" s="257">
        <f>FME_Ranking1[[#This Row],[Addition check]]-FME_Ranking1[[#This Row],[Weighted Score Based on Normalized Reported Factors]]</f>
        <v>0</v>
      </c>
      <c r="AK403" s="178">
        <f>_xlfn.RANK.EQ(AI403,$AI$6:$AI$2341,0)+COUNTIF($AI$6:AI403,AI403)-1</f>
        <v>453</v>
      </c>
    </row>
    <row r="404" spans="1:37" ht="12" customHeight="1" x14ac:dyDescent="0.25">
      <c r="A404" t="s">
        <v>9100</v>
      </c>
      <c r="B404">
        <f>_xlfn.XLOOKUP(FME_Ranking1[[#This Row],[FME ID]],FME_Input[FME_ID],FME_Input[RFPG_NUM])</f>
        <v>11</v>
      </c>
      <c r="C404" t="str">
        <f>_xlfn.XLOOKUP(FME_Ranking1[[#This Row],[FME ID]],FME_Input[FME_ID],FME_Input[FME_NAME])</f>
        <v>Dewitt County Drainage District 1 Cuero Levee Study</v>
      </c>
      <c r="D404" t="str">
        <f>_xlfn.XLOOKUP(FME_Ranking1[[#This Row],[FME ID]],FME_Input[FME_ID],FME_Input[DESCR])</f>
        <v>Feasibility study of potential levee to protect City from river flooding with risk to life/safety and catastrophic damage, as has been experienced in Cuero on numerous occasions.</v>
      </c>
      <c r="E404" s="256">
        <f>_xlfn.XLOOKUP(FME_Ranking1[[#This Row],[FME ID]],FME_Input[FME_ID],FME_Input[FME_COST])</f>
        <v>250000</v>
      </c>
      <c r="F404" t="str">
        <f>_xlfn.XLOOKUP(FME_Ranking1[[#This Row],[FME ID]],FME_Input[FME_ID],FME_Input[EMER_NEED])</f>
        <v>No</v>
      </c>
      <c r="G404">
        <f>IF(FME_Ranking!F404="Yes",100,0)</f>
        <v>0</v>
      </c>
      <c r="H404">
        <f>FME_Ranking1[[#This Row],[Emergency Need Score (Normalized, Unweighted)]]*$F$3</f>
        <v>0</v>
      </c>
      <c r="I404" s="246">
        <f>_xlfn.XLOOKUP(FME_Ranking1[[#This Row],[FME ID]],FME_Input[FME_ID],FME_Input[STRUCT_100])</f>
        <v>1991</v>
      </c>
      <c r="J404" s="178">
        <f>(FME_Ranking1[[#This Row],[Structures 100 Raw]]/I$2)*100</f>
        <v>1.066165445743906</v>
      </c>
      <c r="K404" s="178">
        <f>FME_Ranking1[[#This Row],[Structures 100  Score (Normalized, Unweighted)]]*$I$3</f>
        <v>0.15992481686158591</v>
      </c>
      <c r="L404" s="246">
        <f>_xlfn.XLOOKUP(FME_Ranking1[[#This Row],[FME ID]],FME_Input[FME_ID],FME_Input[RES_STRUCT100])</f>
        <v>1533</v>
      </c>
      <c r="M404" s="230">
        <f>(FME_Ranking1[[#This Row],[Res Structures Raw]]/L$2)*100</f>
        <v>1.0858324715615306</v>
      </c>
      <c r="N404" s="180">
        <f>FME_Ranking1[[#This Row],[Res Structures Score (Normalized, Unweighted)]]*$L$3</f>
        <v>0.10858324715615307</v>
      </c>
      <c r="O404" s="244">
        <f>_xlfn.XLOOKUP(FME_Ranking1[[#This Row],[FME ID]],FME_Input[FME_ID],FME_Input[POP100])</f>
        <v>3213</v>
      </c>
      <c r="P404" s="178">
        <f>(FME_Ranking1[[#This Row],[Pop Raw]]/$O$2)*100</f>
        <v>0.32893187741989643</v>
      </c>
      <c r="Q404" s="178">
        <f>FME_Ranking1[[#This Row],[Pop Score (Normalized, Unweighted)]]*$O$3</f>
        <v>4.9339781612984461E-2</v>
      </c>
      <c r="R404" s="137">
        <f>_xlfn.XLOOKUP(FME_Ranking1[[#This Row],[FME ID]],FME_Input[FME_ID],FME_Input[CRITFAC100])</f>
        <v>10</v>
      </c>
      <c r="S404" s="230">
        <f>(FME_Ranking1[[#This Row],[Critical Facilities Raw]]/$R$2)*100</f>
        <v>0.42881646655231564</v>
      </c>
      <c r="T404" s="180">
        <f>FME_Ranking1[[#This Row],[Critical Facilities Score (Normalized, Unweighted)]]*$R$3</f>
        <v>8.5763293310463132E-2</v>
      </c>
      <c r="U404">
        <f>_xlfn.XLOOKUP(FME_Ranking1[[#This Row],[FME ID]],FME_Input[FME_ID],FME_Input[LWC])</f>
        <v>2</v>
      </c>
      <c r="V404" s="178">
        <f>(FME_Ranking1[[#This Row],[LWC Raw]]/$U$2)*100</f>
        <v>0.11514104778353484</v>
      </c>
      <c r="W404" s="178">
        <f>FME_Ranking1[[#This Row],[LWC Score (Normalized, Unweighted)]]*$U$3</f>
        <v>2.302820955670697E-2</v>
      </c>
      <c r="X404" s="246">
        <f>_xlfn.XLOOKUP(FME_Ranking1[[#This Row],[FME ID]],FME_Input[FME_ID],FME_Input[ROADCLS])</f>
        <v>0</v>
      </c>
      <c r="Y404" s="230">
        <f>(FME_Ranking1[[#This Row],[Closures Raw]]/$X$2)*100</f>
        <v>0</v>
      </c>
      <c r="Z404" s="180">
        <f>FME_Ranking1[[#This Row],[Closures Score (Normalized, Unweighted)]]*$X$3</f>
        <v>0</v>
      </c>
      <c r="AA404" s="253">
        <f>_xlfn.XLOOKUP(FME_Ranking1[[#This Row],[FME ID]],FME_Input[FME_ID],FME_Input[ROAD_MILES100])</f>
        <v>35.163318634033203</v>
      </c>
      <c r="AB404" s="178">
        <f>(FME_Ranking1[[#This Row],[Miles Raw]]/$AA$2)*100</f>
        <v>0.46233457166475489</v>
      </c>
      <c r="AC404" s="178">
        <f>FME_Ranking1[[#This Row],[Miles Score (Normalized, Unweighted)]]*$AA$3</f>
        <v>4.6233457166475492E-2</v>
      </c>
      <c r="AD404" s="255">
        <f>_xlfn.XLOOKUP(FME_Ranking1[[#This Row],[FME ID]],FME_Input[FME_ID],FME_Input[FARMACRE100])</f>
        <v>116.23760986328119</v>
      </c>
      <c r="AE404" s="230">
        <f>(FME_Ranking1[[#This Row],[Ag Land Raw]]/$AD$2)*100</f>
        <v>4.7931186926723109E-3</v>
      </c>
      <c r="AF404" s="231">
        <f>FME_Ranking1[[#This Row],[Ag Land Score (Normalized, Unweighted)]]*$AD$3</f>
        <v>2.3965593463361556E-4</v>
      </c>
      <c r="AG40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0.47311246159900261</v>
      </c>
      <c r="AH404" s="406">
        <f t="shared" si="6"/>
        <v>451</v>
      </c>
      <c r="AI40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0.47311246159900261</v>
      </c>
      <c r="AJ404" s="257">
        <f>FME_Ranking1[[#This Row],[Addition check]]-FME_Ranking1[[#This Row],[Weighted Score Based on Normalized Reported Factors]]</f>
        <v>0</v>
      </c>
      <c r="AK404" s="178">
        <f>_xlfn.RANK.EQ(AI404,$AI$6:$AI$2341,0)+COUNTIF($AI$6:AI404,AI404)-1</f>
        <v>454</v>
      </c>
    </row>
    <row r="405" spans="1:37" ht="12" customHeight="1" x14ac:dyDescent="0.25">
      <c r="A405" t="s">
        <v>230</v>
      </c>
      <c r="B405">
        <f>_xlfn.XLOOKUP(FME_Ranking1[[#This Row],[FME ID]],FME_Input[FME_ID],FME_Input[RFPG_NUM])</f>
        <v>10</v>
      </c>
      <c r="C405" t="str">
        <f>_xlfn.XLOOKUP(FME_Ranking1[[#This Row],[FME ID]],FME_Input[FME_ID],FME_Input[FME_NAME])</f>
        <v>Ave J Bridge Replacement</v>
      </c>
      <c r="D405" t="str">
        <f>_xlfn.XLOOKUP(FME_Ranking1[[#This Row],[FME ID]],FME_Input[FME_ID],FME_Input[DESCR])</f>
        <v>Replace bridge that heavily floods and was damaged during 2018 flood event.</v>
      </c>
      <c r="E405" s="256">
        <f>_xlfn.XLOOKUP(FME_Ranking1[[#This Row],[FME ID]],FME_Input[FME_ID],FME_Input[FME_COST])</f>
        <v>100000</v>
      </c>
      <c r="F405" t="str">
        <f>_xlfn.XLOOKUP(FME_Ranking1[[#This Row],[FME ID]],FME_Input[FME_ID],FME_Input[EMER_NEED])</f>
        <v>No</v>
      </c>
      <c r="G405">
        <f>IF(FME_Ranking!F405="Yes",100,0)</f>
        <v>0</v>
      </c>
      <c r="H405">
        <f>FME_Ranking1[[#This Row],[Emergency Need Score (Normalized, Unweighted)]]*$F$3</f>
        <v>0</v>
      </c>
      <c r="I405" s="246">
        <f>_xlfn.XLOOKUP(FME_Ranking1[[#This Row],[FME ID]],FME_Input[FME_ID],FME_Input[STRUCT_100])</f>
        <v>405</v>
      </c>
      <c r="J405" s="178">
        <f>(FME_Ranking1[[#This Row],[Structures 100 Raw]]/I$2)*100</f>
        <v>0.21687443773293918</v>
      </c>
      <c r="K405" s="178">
        <f>FME_Ranking1[[#This Row],[Structures 100  Score (Normalized, Unweighted)]]*$I$3</f>
        <v>3.2531165659940874E-2</v>
      </c>
      <c r="L405" s="246">
        <f>_xlfn.XLOOKUP(FME_Ranking1[[#This Row],[FME ID]],FME_Input[FME_ID],FME_Input[RES_STRUCT100])</f>
        <v>233</v>
      </c>
      <c r="M405" s="230">
        <f>(FME_Ranking1[[#This Row],[Res Structures Raw]]/L$2)*100</f>
        <v>0.1650352027878908</v>
      </c>
      <c r="N405" s="180">
        <f>FME_Ranking1[[#This Row],[Res Structures Score (Normalized, Unweighted)]]*$L$3</f>
        <v>1.6503520278789079E-2</v>
      </c>
      <c r="O405" s="244">
        <f>_xlfn.XLOOKUP(FME_Ranking1[[#This Row],[FME ID]],FME_Input[FME_ID],FME_Input[POP100])</f>
        <v>2006</v>
      </c>
      <c r="P405" s="178">
        <f>(FME_Ranking1[[#This Row],[Pop Raw]]/$O$2)*100</f>
        <v>0.20536487584945917</v>
      </c>
      <c r="Q405" s="178">
        <f>FME_Ranking1[[#This Row],[Pop Score (Normalized, Unweighted)]]*$O$3</f>
        <v>3.0804731377418876E-2</v>
      </c>
      <c r="R405" s="137">
        <f>_xlfn.XLOOKUP(FME_Ranking1[[#This Row],[FME ID]],FME_Input[FME_ID],FME_Input[CRITFAC100])</f>
        <v>1</v>
      </c>
      <c r="S405" s="230">
        <f>(FME_Ranking1[[#This Row],[Critical Facilities Raw]]/$R$2)*100</f>
        <v>4.2881646655231559E-2</v>
      </c>
      <c r="T405" s="180">
        <f>FME_Ranking1[[#This Row],[Critical Facilities Score (Normalized, Unweighted)]]*$R$3</f>
        <v>8.5763293310463125E-3</v>
      </c>
      <c r="U405">
        <f>_xlfn.XLOOKUP(FME_Ranking1[[#This Row],[FME ID]],FME_Input[FME_ID],FME_Input[LWC])</f>
        <v>29</v>
      </c>
      <c r="V405" s="178">
        <f>(FME_Ranking1[[#This Row],[LWC Raw]]/$U$2)*100</f>
        <v>1.6695451928612552</v>
      </c>
      <c r="W405" s="178">
        <f>FME_Ranking1[[#This Row],[LWC Score (Normalized, Unweighted)]]*$U$3</f>
        <v>0.33390903857225107</v>
      </c>
      <c r="X405" s="246">
        <f>_xlfn.XLOOKUP(FME_Ranking1[[#This Row],[FME ID]],FME_Input[FME_ID],FME_Input[ROADCLS])</f>
        <v>0</v>
      </c>
      <c r="Y405" s="230">
        <f>(FME_Ranking1[[#This Row],[Closures Raw]]/$X$2)*100</f>
        <v>0</v>
      </c>
      <c r="Z405" s="180">
        <f>FME_Ranking1[[#This Row],[Closures Score (Normalized, Unweighted)]]*$X$3</f>
        <v>0</v>
      </c>
      <c r="AA405" s="253">
        <f>_xlfn.XLOOKUP(FME_Ranking1[[#This Row],[FME ID]],FME_Input[FME_ID],FME_Input[ROAD_MILES100])</f>
        <v>10.625643730163571</v>
      </c>
      <c r="AB405" s="178">
        <f>(FME_Ranking1[[#This Row],[Miles Raw]]/$AA$2)*100</f>
        <v>0.13970815706492351</v>
      </c>
      <c r="AC405" s="178">
        <f>FME_Ranking1[[#This Row],[Miles Score (Normalized, Unweighted)]]*$AA$3</f>
        <v>1.3970815706492352E-2</v>
      </c>
      <c r="AD405" s="255">
        <f>_xlfn.XLOOKUP(FME_Ranking1[[#This Row],[FME ID]],FME_Input[FME_ID],FME_Input[FARMACRE100])</f>
        <v>1984.24365234375</v>
      </c>
      <c r="AE405" s="230">
        <f>(FME_Ranking1[[#This Row],[Ag Land Raw]]/$AD$2)*100</f>
        <v>8.1821325748625773E-2</v>
      </c>
      <c r="AF405" s="231">
        <f>FME_Ranking1[[#This Row],[Ag Land Score (Normalized, Unweighted)]]*$AD$3</f>
        <v>4.0910662874312888E-3</v>
      </c>
      <c r="AG40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0.44038666721336983</v>
      </c>
      <c r="AH405" s="406">
        <f t="shared" si="6"/>
        <v>485</v>
      </c>
      <c r="AI40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0.44038666721336983</v>
      </c>
      <c r="AJ405" s="257">
        <f>FME_Ranking1[[#This Row],[Addition check]]-FME_Ranking1[[#This Row],[Weighted Score Based on Normalized Reported Factors]]</f>
        <v>0</v>
      </c>
      <c r="AK405" s="178">
        <f>_xlfn.RANK.EQ(AI405,$AI$6:$AI$2341,0)+COUNTIF($AI$6:AI405,AI405)-1</f>
        <v>485</v>
      </c>
    </row>
    <row r="406" spans="1:37" ht="12" customHeight="1" x14ac:dyDescent="0.25">
      <c r="A406" t="s">
        <v>5742</v>
      </c>
      <c r="B406">
        <f>_xlfn.XLOOKUP(FME_Ranking1[[#This Row],[FME ID]],FME_Input[FME_ID],FME_Input[RFPG_NUM])</f>
        <v>4</v>
      </c>
      <c r="C406" t="str">
        <f>_xlfn.XLOOKUP(FME_Ranking1[[#This Row],[FME ID]],FME_Input[FME_ID],FME_Input[FME_NAME])</f>
        <v>Van Zandt County Flood Hazard Mapping</v>
      </c>
      <c r="D406" t="str">
        <f>_xlfn.XLOOKUP(FME_Ranking1[[#This Row],[FME ID]],FME_Input[FME_ID],FME_Input[DESCR])</f>
        <v>Complete a detailed study within the county extent to delineate an updated flood hazard area, which can be used for regulatory purposes.</v>
      </c>
      <c r="E406" s="256">
        <f>_xlfn.XLOOKUP(FME_Ranking1[[#This Row],[FME ID]],FME_Input[FME_ID],FME_Input[FME_COST])</f>
        <v>2230000</v>
      </c>
      <c r="F406" t="str">
        <f>_xlfn.XLOOKUP(FME_Ranking1[[#This Row],[FME ID]],FME_Input[FME_ID],FME_Input[EMER_NEED])</f>
        <v>Yes</v>
      </c>
      <c r="G406">
        <f>IF(FME_Ranking!F406="Yes",100,0)</f>
        <v>100</v>
      </c>
      <c r="H406">
        <f>FME_Ranking1[[#This Row],[Emergency Need Score (Normalized, Unweighted)]]*$F$3</f>
        <v>0</v>
      </c>
      <c r="I406" s="246">
        <f>_xlfn.XLOOKUP(FME_Ranking1[[#This Row],[FME ID]],FME_Input[FME_ID],FME_Input[STRUCT_100])</f>
        <v>1080</v>
      </c>
      <c r="J406" s="178">
        <f>(FME_Ranking1[[#This Row],[Structures 100 Raw]]/I$2)*100</f>
        <v>0.5783318339545046</v>
      </c>
      <c r="K406" s="178">
        <f>FME_Ranking1[[#This Row],[Structures 100  Score (Normalized, Unweighted)]]*$I$3</f>
        <v>8.6749775093175691E-2</v>
      </c>
      <c r="L406" s="246">
        <f>_xlfn.XLOOKUP(FME_Ranking1[[#This Row],[FME ID]],FME_Input[FME_ID],FME_Input[RES_STRUCT100])</f>
        <v>452</v>
      </c>
      <c r="M406" s="230">
        <f>(FME_Ranking1[[#This Row],[Res Structures Raw]]/L$2)*100</f>
        <v>0.32015412729668091</v>
      </c>
      <c r="N406" s="180">
        <f>FME_Ranking1[[#This Row],[Res Structures Score (Normalized, Unweighted)]]*$L$3</f>
        <v>3.201541272966809E-2</v>
      </c>
      <c r="O406" s="244">
        <f>_xlfn.XLOOKUP(FME_Ranking1[[#This Row],[FME ID]],FME_Input[FME_ID],FME_Input[POP100])</f>
        <v>1954</v>
      </c>
      <c r="P406" s="178">
        <f>(FME_Ranking1[[#This Row],[Pop Raw]]/$O$2)*100</f>
        <v>0.20004135962604347</v>
      </c>
      <c r="Q406" s="178">
        <f>FME_Ranking1[[#This Row],[Pop Score (Normalized, Unweighted)]]*$O$3</f>
        <v>3.0006203943906518E-2</v>
      </c>
      <c r="R406" s="137">
        <f>_xlfn.XLOOKUP(FME_Ranking1[[#This Row],[FME ID]],FME_Input[FME_ID],FME_Input[CRITFAC100])</f>
        <v>13</v>
      </c>
      <c r="S406" s="230">
        <f>(FME_Ranking1[[#This Row],[Critical Facilities Raw]]/$R$2)*100</f>
        <v>0.55746140651801035</v>
      </c>
      <c r="T406" s="180">
        <f>FME_Ranking1[[#This Row],[Critical Facilities Score (Normalized, Unweighted)]]*$R$3</f>
        <v>0.11149228130360207</v>
      </c>
      <c r="U406">
        <f>_xlfn.XLOOKUP(FME_Ranking1[[#This Row],[FME ID]],FME_Input[FME_ID],FME_Input[LWC])</f>
        <v>9</v>
      </c>
      <c r="V406" s="178">
        <f>(FME_Ranking1[[#This Row],[LWC Raw]]/$U$2)*100</f>
        <v>0.5181347150259068</v>
      </c>
      <c r="W406" s="178">
        <f>FME_Ranking1[[#This Row],[LWC Score (Normalized, Unweighted)]]*$U$3</f>
        <v>0.10362694300518137</v>
      </c>
      <c r="X406" s="246">
        <f>_xlfn.XLOOKUP(FME_Ranking1[[#This Row],[FME ID]],FME_Input[FME_ID],FME_Input[ROADCLS])</f>
        <v>9</v>
      </c>
      <c r="Y406" s="230">
        <f>(FME_Ranking1[[#This Row],[Closures Raw]]/$X$2)*100</f>
        <v>9.462727368310378E-2</v>
      </c>
      <c r="Z406" s="180">
        <f>FME_Ranking1[[#This Row],[Closures Score (Normalized, Unweighted)]]*$X$3</f>
        <v>4.7313636841551897E-3</v>
      </c>
      <c r="AA406" s="253">
        <f>_xlfn.XLOOKUP(FME_Ranking1[[#This Row],[FME ID]],FME_Input[FME_ID],FME_Input[ROAD_MILES100])</f>
        <v>78.974205017089844</v>
      </c>
      <c r="AB406" s="178">
        <f>(FME_Ranking1[[#This Row],[Miles Raw]]/$AA$2)*100</f>
        <v>1.03836914908827</v>
      </c>
      <c r="AC406" s="178">
        <f>FME_Ranking1[[#This Row],[Miles Score (Normalized, Unweighted)]]*$AA$3</f>
        <v>0.10383691490882702</v>
      </c>
      <c r="AD406" s="255">
        <f>_xlfn.XLOOKUP(FME_Ranking1[[#This Row],[FME ID]],FME_Input[FME_ID],FME_Input[FARMACRE100])</f>
        <v>26372.447265625</v>
      </c>
      <c r="AE406" s="230">
        <f>(FME_Ranking1[[#This Row],[Ag Land Raw]]/$AD$2)*100</f>
        <v>1.0874816688768907</v>
      </c>
      <c r="AF406" s="231">
        <f>FME_Ranking1[[#This Row],[Ag Land Score (Normalized, Unweighted)]]*$AD$3</f>
        <v>5.4374083443844534E-2</v>
      </c>
      <c r="AG40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0.52683297811236041</v>
      </c>
      <c r="AH406" s="406">
        <f t="shared" si="6"/>
        <v>413</v>
      </c>
      <c r="AI40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0.52683297811236041</v>
      </c>
      <c r="AJ406" s="257">
        <f>FME_Ranking1[[#This Row],[Addition check]]-FME_Ranking1[[#This Row],[Weighted Score Based on Normalized Reported Factors]]</f>
        <v>0</v>
      </c>
      <c r="AK406" s="178">
        <f>_xlfn.RANK.EQ(AI406,$AI$6:$AI$2341,0)+COUNTIF($AI$6:AI406,AI406)-1</f>
        <v>413</v>
      </c>
    </row>
    <row r="407" spans="1:37" ht="12" customHeight="1" x14ac:dyDescent="0.25">
      <c r="A407" t="s">
        <v>6461</v>
      </c>
      <c r="B407">
        <f>_xlfn.XLOOKUP(FME_Ranking1[[#This Row],[FME ID]],FME_Input[FME_ID],FME_Input[RFPG_NUM])</f>
        <v>5</v>
      </c>
      <c r="C407" t="str">
        <f>_xlfn.XLOOKUP(FME_Ranking1[[#This Row],[FME ID]],FME_Input[FME_ID],FME_Input[FME_NAME])</f>
        <v xml:space="preserve">Bridge City Drainage Outfall Improvement Project </v>
      </c>
      <c r="D407" t="str">
        <f>_xlfn.XLOOKUP(FME_Ranking1[[#This Row],[FME ID]],FME_Input[FME_ID],FME_Input[DESCR])</f>
        <v>Improve and extend three major drainage ditches and extend a neighborhood outfall to reduce structural flooding in residences within the area.</v>
      </c>
      <c r="E407" s="256">
        <f>_xlfn.XLOOKUP(FME_Ranking1[[#This Row],[FME ID]],FME_Input[FME_ID],FME_Input[FME_COST])</f>
        <v>200000</v>
      </c>
      <c r="F407" t="str">
        <f>_xlfn.XLOOKUP(FME_Ranking1[[#This Row],[FME ID]],FME_Input[FME_ID],FME_Input[EMER_NEED])</f>
        <v>Yes</v>
      </c>
      <c r="G407">
        <f>IF(FME_Ranking!F407="Yes",100,0)</f>
        <v>100</v>
      </c>
      <c r="H407">
        <f>FME_Ranking1[[#This Row],[Emergency Need Score (Normalized, Unweighted)]]*$F$3</f>
        <v>0</v>
      </c>
      <c r="I407" s="246">
        <f>_xlfn.XLOOKUP(FME_Ranking1[[#This Row],[FME ID]],FME_Input[FME_ID],FME_Input[STRUCT_100])</f>
        <v>1889</v>
      </c>
      <c r="J407" s="178">
        <f>(FME_Ranking1[[#This Row],[Structures 100 Raw]]/I$2)*100</f>
        <v>1.0115452169815362</v>
      </c>
      <c r="K407" s="178">
        <f>FME_Ranking1[[#This Row],[Structures 100  Score (Normalized, Unweighted)]]*$I$3</f>
        <v>0.15173178254723044</v>
      </c>
      <c r="L407" s="246">
        <f>_xlfn.XLOOKUP(FME_Ranking1[[#This Row],[FME ID]],FME_Input[FME_ID],FME_Input[RES_STRUCT100])</f>
        <v>1635</v>
      </c>
      <c r="M407" s="230">
        <f>(FME_Ranking1[[#This Row],[Res Structures Raw]]/L$2)*100</f>
        <v>1.1580796418806929</v>
      </c>
      <c r="N407" s="180">
        <f>FME_Ranking1[[#This Row],[Res Structures Score (Normalized, Unweighted)]]*$L$3</f>
        <v>0.1158079641880693</v>
      </c>
      <c r="O407" s="244">
        <f>_xlfn.XLOOKUP(FME_Ranking1[[#This Row],[FME ID]],FME_Input[FME_ID],FME_Input[POP100])</f>
        <v>5591</v>
      </c>
      <c r="P407" s="178">
        <f>(FME_Ranking1[[#This Row],[Pop Raw]]/$O$2)*100</f>
        <v>0.57238036932917546</v>
      </c>
      <c r="Q407" s="178">
        <f>FME_Ranking1[[#This Row],[Pop Score (Normalized, Unweighted)]]*$O$3</f>
        <v>8.5857055399376311E-2</v>
      </c>
      <c r="R407" s="137">
        <f>_xlfn.XLOOKUP(FME_Ranking1[[#This Row],[FME ID]],FME_Input[FME_ID],FME_Input[CRITFAC100])</f>
        <v>6</v>
      </c>
      <c r="S407" s="230">
        <f>(FME_Ranking1[[#This Row],[Critical Facilities Raw]]/$R$2)*100</f>
        <v>0.25728987993138941</v>
      </c>
      <c r="T407" s="180">
        <f>FME_Ranking1[[#This Row],[Critical Facilities Score (Normalized, Unweighted)]]*$R$3</f>
        <v>5.1457975986277882E-2</v>
      </c>
      <c r="U407">
        <f>_xlfn.XLOOKUP(FME_Ranking1[[#This Row],[FME ID]],FME_Input[FME_ID],FME_Input[LWC])</f>
        <v>1</v>
      </c>
      <c r="V407" s="178">
        <f>(FME_Ranking1[[#This Row],[LWC Raw]]/$U$2)*100</f>
        <v>5.7570523891767422E-2</v>
      </c>
      <c r="W407" s="178">
        <f>FME_Ranking1[[#This Row],[LWC Score (Normalized, Unweighted)]]*$U$3</f>
        <v>1.1514104778353485E-2</v>
      </c>
      <c r="X407" s="246">
        <f>_xlfn.XLOOKUP(FME_Ranking1[[#This Row],[FME ID]],FME_Input[FME_ID],FME_Input[ROADCLS])</f>
        <v>1</v>
      </c>
      <c r="Y407" s="230">
        <f>(FME_Ranking1[[#This Row],[Closures Raw]]/$X$2)*100</f>
        <v>1.0514141520344864E-2</v>
      </c>
      <c r="Z407" s="180">
        <f>FME_Ranking1[[#This Row],[Closures Score (Normalized, Unweighted)]]*$X$3</f>
        <v>5.2570707601724321E-4</v>
      </c>
      <c r="AA407" s="253">
        <f>_xlfn.XLOOKUP(FME_Ranking1[[#This Row],[FME ID]],FME_Input[FME_ID],FME_Input[ROAD_MILES100])</f>
        <v>36.404167175292969</v>
      </c>
      <c r="AB407" s="178">
        <f>(FME_Ranking1[[#This Row],[Miles Raw]]/$AA$2)*100</f>
        <v>0.47864950441598053</v>
      </c>
      <c r="AC407" s="178">
        <f>FME_Ranking1[[#This Row],[Miles Score (Normalized, Unweighted)]]*$AA$3</f>
        <v>4.7864950441598053E-2</v>
      </c>
      <c r="AD407" s="255">
        <f>_xlfn.XLOOKUP(FME_Ranking1[[#This Row],[FME ID]],FME_Input[FME_ID],FME_Input[FARMACRE100])</f>
        <v>5.9279861450195313</v>
      </c>
      <c r="AE407" s="230">
        <f>(FME_Ranking1[[#This Row],[Ag Land Raw]]/$AD$2)*100</f>
        <v>2.4444361196875627E-4</v>
      </c>
      <c r="AF407" s="231">
        <f>FME_Ranking1[[#This Row],[Ag Land Score (Normalized, Unweighted)]]*$AD$3</f>
        <v>1.2222180598437815E-5</v>
      </c>
      <c r="AG40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0.46477176259752112</v>
      </c>
      <c r="AH407" s="406">
        <f t="shared" si="6"/>
        <v>456</v>
      </c>
      <c r="AI40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0.46477176259752112</v>
      </c>
      <c r="AJ407" s="257">
        <f>FME_Ranking1[[#This Row],[Addition check]]-FME_Ranking1[[#This Row],[Weighted Score Based on Normalized Reported Factors]]</f>
        <v>0</v>
      </c>
      <c r="AK407" s="178">
        <f>_xlfn.RANK.EQ(AI407,$AI$6:$AI$2341,0)+COUNTIF($AI$6:AI407,AI407)-1</f>
        <v>456</v>
      </c>
    </row>
    <row r="408" spans="1:37" ht="12" customHeight="1" x14ac:dyDescent="0.25">
      <c r="A408" t="s">
        <v>476</v>
      </c>
      <c r="B408">
        <f>_xlfn.XLOOKUP(FME_Ranking1[[#This Row],[FME ID]],FME_Input[FME_ID],FME_Input[RFPG_NUM])</f>
        <v>10</v>
      </c>
      <c r="C408" t="str">
        <f>_xlfn.XLOOKUP(FME_Ranking1[[#This Row],[FME ID]],FME_Input[FME_ID],FME_Input[FME_NAME])</f>
        <v>Tres Palacios River</v>
      </c>
      <c r="D408" t="str">
        <f>_xlfn.XLOOKUP(FME_Ranking1[[#This Row],[FME ID]],FME_Input[FME_ID],FME_Input[DESCR])</f>
        <v>Install automated flood warning systems on Tres Palacios River</v>
      </c>
      <c r="E408" s="256">
        <f>_xlfn.XLOOKUP(FME_Ranking1[[#This Row],[FME ID]],FME_Input[FME_ID],FME_Input[FME_COST])</f>
        <v>50000</v>
      </c>
      <c r="F408" t="str">
        <f>_xlfn.XLOOKUP(FME_Ranking1[[#This Row],[FME ID]],FME_Input[FME_ID],FME_Input[EMER_NEED])</f>
        <v>No</v>
      </c>
      <c r="G408">
        <f>IF(FME_Ranking!F408="Yes",100,0)</f>
        <v>0</v>
      </c>
      <c r="H408">
        <f>FME_Ranking1[[#This Row],[Emergency Need Score (Normalized, Unweighted)]]*$F$3</f>
        <v>0</v>
      </c>
      <c r="I408" s="246">
        <f>_xlfn.XLOOKUP(FME_Ranking1[[#This Row],[FME ID]],FME_Input[FME_ID],FME_Input[STRUCT_100])</f>
        <v>1805</v>
      </c>
      <c r="J408" s="178">
        <f>(FME_Ranking1[[#This Row],[Structures 100 Raw]]/I$2)*100</f>
        <v>0.96656385211840812</v>
      </c>
      <c r="K408" s="178">
        <f>FME_Ranking1[[#This Row],[Structures 100  Score (Normalized, Unweighted)]]*$I$3</f>
        <v>0.14498457781776122</v>
      </c>
      <c r="L408" s="246">
        <f>_xlfn.XLOOKUP(FME_Ranking1[[#This Row],[FME ID]],FME_Input[FME_ID],FME_Input[RES_STRUCT100])</f>
        <v>1207</v>
      </c>
      <c r="M408" s="230">
        <f>(FME_Ranking1[[#This Row],[Res Structures Raw]]/L$2)*100</f>
        <v>0.85492484877675634</v>
      </c>
      <c r="N408" s="180">
        <f>FME_Ranking1[[#This Row],[Res Structures Score (Normalized, Unweighted)]]*$L$3</f>
        <v>8.5492484877675634E-2</v>
      </c>
      <c r="O408" s="244">
        <f>_xlfn.XLOOKUP(FME_Ranking1[[#This Row],[FME ID]],FME_Input[FME_ID],FME_Input[POP100])</f>
        <v>3840</v>
      </c>
      <c r="P408" s="178">
        <f>(FME_Ranking1[[#This Row],[Pop Raw]]/$O$2)*100</f>
        <v>0.39312119803685097</v>
      </c>
      <c r="Q408" s="178">
        <f>FME_Ranking1[[#This Row],[Pop Score (Normalized, Unweighted)]]*$O$3</f>
        <v>5.8968179705527646E-2</v>
      </c>
      <c r="R408" s="137">
        <f>_xlfn.XLOOKUP(FME_Ranking1[[#This Row],[FME ID]],FME_Input[FME_ID],FME_Input[CRITFAC100])</f>
        <v>1</v>
      </c>
      <c r="S408" s="230">
        <f>(FME_Ranking1[[#This Row],[Critical Facilities Raw]]/$R$2)*100</f>
        <v>4.2881646655231559E-2</v>
      </c>
      <c r="T408" s="180">
        <f>FME_Ranking1[[#This Row],[Critical Facilities Score (Normalized, Unweighted)]]*$R$3</f>
        <v>8.5763293310463125E-3</v>
      </c>
      <c r="U408">
        <f>_xlfn.XLOOKUP(FME_Ranking1[[#This Row],[FME ID]],FME_Input[FME_ID],FME_Input[LWC])</f>
        <v>5</v>
      </c>
      <c r="V408" s="178">
        <f>(FME_Ranking1[[#This Row],[LWC Raw]]/$U$2)*100</f>
        <v>0.28785261945883706</v>
      </c>
      <c r="W408" s="178">
        <f>FME_Ranking1[[#This Row],[LWC Score (Normalized, Unweighted)]]*$U$3</f>
        <v>5.7570523891767415E-2</v>
      </c>
      <c r="X408" s="246">
        <f>_xlfn.XLOOKUP(FME_Ranking1[[#This Row],[FME ID]],FME_Input[FME_ID],FME_Input[ROADCLS])</f>
        <v>0</v>
      </c>
      <c r="Y408" s="230">
        <f>(FME_Ranking1[[#This Row],[Closures Raw]]/$X$2)*100</f>
        <v>0</v>
      </c>
      <c r="Z408" s="180">
        <f>FME_Ranking1[[#This Row],[Closures Score (Normalized, Unweighted)]]*$X$3</f>
        <v>0</v>
      </c>
      <c r="AA408" s="253">
        <f>_xlfn.XLOOKUP(FME_Ranking1[[#This Row],[FME ID]],FME_Input[FME_ID],FME_Input[ROAD_MILES100])</f>
        <v>75.834541320800781</v>
      </c>
      <c r="AB408" s="178">
        <f>(FME_Ranking1[[#This Row],[Miles Raw]]/$AA$2)*100</f>
        <v>0.99708820273327337</v>
      </c>
      <c r="AC408" s="178">
        <f>FME_Ranking1[[#This Row],[Miles Score (Normalized, Unweighted)]]*$AA$3</f>
        <v>9.9708820273327337E-2</v>
      </c>
      <c r="AD408" s="255">
        <f>_xlfn.XLOOKUP(FME_Ranking1[[#This Row],[FME ID]],FME_Input[FME_ID],FME_Input[FARMACRE100])</f>
        <v>28385.587890625</v>
      </c>
      <c r="AE408" s="230">
        <f>(FME_Ranking1[[#This Row],[Ag Land Raw]]/$AD$2)*100</f>
        <v>1.1704945764204555</v>
      </c>
      <c r="AF408" s="231">
        <f>FME_Ranking1[[#This Row],[Ag Land Score (Normalized, Unweighted)]]*$AD$3</f>
        <v>5.8524728821022776E-2</v>
      </c>
      <c r="AG40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0.5138256447181283</v>
      </c>
      <c r="AH408" s="406">
        <f t="shared" si="6"/>
        <v>419</v>
      </c>
      <c r="AI40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0.5138256447181283</v>
      </c>
      <c r="AJ408" s="257">
        <f>FME_Ranking1[[#This Row],[Addition check]]-FME_Ranking1[[#This Row],[Weighted Score Based on Normalized Reported Factors]]</f>
        <v>0</v>
      </c>
      <c r="AK408" s="178">
        <f>_xlfn.RANK.EQ(AI408,$AI$6:$AI$2341,0)+COUNTIF($AI$6:AI408,AI408)-1</f>
        <v>419</v>
      </c>
    </row>
    <row r="409" spans="1:37" ht="12" customHeight="1" x14ac:dyDescent="0.25">
      <c r="A409" t="s">
        <v>8830</v>
      </c>
      <c r="B409">
        <f>_xlfn.XLOOKUP(FME_Ranking1[[#This Row],[FME ID]],FME_Input[FME_ID],FME_Input[RFPG_NUM])</f>
        <v>11</v>
      </c>
      <c r="C409" t="str">
        <f>_xlfn.XLOOKUP(FME_Ranking1[[#This Row],[FME ID]],FME_Input[FME_ID],FME_Input[FME_NAME])</f>
        <v>City of Victoria Drainage Improvement Study</v>
      </c>
      <c r="D409" t="str">
        <f>_xlfn.XLOOKUP(FME_Ranking1[[#This Row],[FME ID]],FME_Input[FME_ID],FME_Input[DESCR])</f>
        <v>Study of solutions to increase dimensions of drainage culverts in areas prone to flooding and/or drainage problems in various City locations.</v>
      </c>
      <c r="E409" s="256">
        <f>_xlfn.XLOOKUP(FME_Ranking1[[#This Row],[FME ID]],FME_Input[FME_ID],FME_Input[FME_COST])</f>
        <v>1000000</v>
      </c>
      <c r="F409" t="str">
        <f>_xlfn.XLOOKUP(FME_Ranking1[[#This Row],[FME ID]],FME_Input[FME_ID],FME_Input[EMER_NEED])</f>
        <v>No</v>
      </c>
      <c r="G409">
        <f>IF(FME_Ranking!F409="Yes",100,0)</f>
        <v>0</v>
      </c>
      <c r="H409">
        <f>FME_Ranking1[[#This Row],[Emergency Need Score (Normalized, Unweighted)]]*$F$3</f>
        <v>0</v>
      </c>
      <c r="I409" s="246">
        <f>_xlfn.XLOOKUP(FME_Ranking1[[#This Row],[FME ID]],FME_Input[FME_ID],FME_Input[STRUCT_100])</f>
        <v>1139</v>
      </c>
      <c r="J409" s="178">
        <f>(FME_Ranking1[[#This Row],[Structures 100 Raw]]/I$2)*100</f>
        <v>0.60992588784646362</v>
      </c>
      <c r="K409" s="178">
        <f>FME_Ranking1[[#This Row],[Structures 100  Score (Normalized, Unweighted)]]*$I$3</f>
        <v>9.1488883176969543E-2</v>
      </c>
      <c r="L409" s="246">
        <f>_xlfn.XLOOKUP(FME_Ranking1[[#This Row],[FME ID]],FME_Input[FME_ID],FME_Input[RES_STRUCT100])</f>
        <v>933</v>
      </c>
      <c r="M409" s="230">
        <f>(FME_Ranking1[[#This Row],[Res Structures Raw]]/L$2)*100</f>
        <v>0.66084911674292757</v>
      </c>
      <c r="N409" s="180">
        <f>FME_Ranking1[[#This Row],[Res Structures Score (Normalized, Unweighted)]]*$L$3</f>
        <v>6.6084911674292757E-2</v>
      </c>
      <c r="O409" s="244">
        <f>_xlfn.XLOOKUP(FME_Ranking1[[#This Row],[FME ID]],FME_Input[FME_ID],FME_Input[POP100])</f>
        <v>3181</v>
      </c>
      <c r="P409" s="178">
        <f>(FME_Ranking1[[#This Row],[Pop Raw]]/$O$2)*100</f>
        <v>0.32565586743625602</v>
      </c>
      <c r="Q409" s="178">
        <f>FME_Ranking1[[#This Row],[Pop Score (Normalized, Unweighted)]]*$O$3</f>
        <v>4.8848380115438399E-2</v>
      </c>
      <c r="R409" s="137">
        <f>_xlfn.XLOOKUP(FME_Ranking1[[#This Row],[FME ID]],FME_Input[FME_ID],FME_Input[CRITFAC100])</f>
        <v>24</v>
      </c>
      <c r="S409" s="230">
        <f>(FME_Ranking1[[#This Row],[Critical Facilities Raw]]/$R$2)*100</f>
        <v>1.0291595197255576</v>
      </c>
      <c r="T409" s="180">
        <f>FME_Ranking1[[#This Row],[Critical Facilities Score (Normalized, Unweighted)]]*$R$3</f>
        <v>0.20583190394511153</v>
      </c>
      <c r="U409">
        <f>_xlfn.XLOOKUP(FME_Ranking1[[#This Row],[FME ID]],FME_Input[FME_ID],FME_Input[LWC])</f>
        <v>0</v>
      </c>
      <c r="V409" s="178">
        <f>(FME_Ranking1[[#This Row],[LWC Raw]]/$U$2)*100</f>
        <v>0</v>
      </c>
      <c r="W409" s="178">
        <f>FME_Ranking1[[#This Row],[LWC Score (Normalized, Unweighted)]]*$U$3</f>
        <v>0</v>
      </c>
      <c r="X409" s="246">
        <f>_xlfn.XLOOKUP(FME_Ranking1[[#This Row],[FME ID]],FME_Input[FME_ID],FME_Input[ROADCLS])</f>
        <v>0</v>
      </c>
      <c r="Y409" s="230">
        <f>(FME_Ranking1[[#This Row],[Closures Raw]]/$X$2)*100</f>
        <v>0</v>
      </c>
      <c r="Z409" s="180">
        <f>FME_Ranking1[[#This Row],[Closures Score (Normalized, Unweighted)]]*$X$3</f>
        <v>0</v>
      </c>
      <c r="AA409" s="253">
        <f>_xlfn.XLOOKUP(FME_Ranking1[[#This Row],[FME ID]],FME_Input[FME_ID],FME_Input[ROAD_MILES100])</f>
        <v>36.153518676757813</v>
      </c>
      <c r="AB409" s="178">
        <f>(FME_Ranking1[[#This Row],[Miles Raw]]/$AA$2)*100</f>
        <v>0.4753539262194304</v>
      </c>
      <c r="AC409" s="178">
        <f>FME_Ranking1[[#This Row],[Miles Score (Normalized, Unweighted)]]*$AA$3</f>
        <v>4.7535392621943041E-2</v>
      </c>
      <c r="AD409" s="255">
        <f>_xlfn.XLOOKUP(FME_Ranking1[[#This Row],[FME ID]],FME_Input[FME_ID],FME_Input[FARMACRE100])</f>
        <v>110.6871032714844</v>
      </c>
      <c r="AE409" s="230">
        <f>(FME_Ranking1[[#This Row],[Ag Land Raw]]/$AD$2)*100</f>
        <v>4.5642406476898477E-3</v>
      </c>
      <c r="AF409" s="231">
        <f>FME_Ranking1[[#This Row],[Ag Land Score (Normalized, Unweighted)]]*$AD$3</f>
        <v>2.282120323844924E-4</v>
      </c>
      <c r="AG40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0.46001768356613976</v>
      </c>
      <c r="AH409" s="406">
        <f t="shared" si="6"/>
        <v>458</v>
      </c>
      <c r="AI40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0.46001768356613976</v>
      </c>
      <c r="AJ409" s="257">
        <f>FME_Ranking1[[#This Row],[Addition check]]-FME_Ranking1[[#This Row],[Weighted Score Based on Normalized Reported Factors]]</f>
        <v>0</v>
      </c>
      <c r="AK409" s="178">
        <f>_xlfn.RANK.EQ(AI409,$AI$6:$AI$2341,0)+COUNTIF($AI$6:AI409,AI409)-1</f>
        <v>458</v>
      </c>
    </row>
    <row r="410" spans="1:37" ht="12" customHeight="1" x14ac:dyDescent="0.25">
      <c r="A410" t="s">
        <v>8836</v>
      </c>
      <c r="B410">
        <f>_xlfn.XLOOKUP(FME_Ranking1[[#This Row],[FME ID]],FME_Input[FME_ID],FME_Input[RFPG_NUM])</f>
        <v>11</v>
      </c>
      <c r="C410" t="str">
        <f>_xlfn.XLOOKUP(FME_Ranking1[[#This Row],[FME ID]],FME_Input[FME_ID],FME_Input[FME_NAME])</f>
        <v>City of Victoria Harden Critical Infrastructure Project Planning</v>
      </c>
      <c r="D410" t="str">
        <f>_xlfn.XLOOKUP(FME_Ranking1[[#This Row],[FME ID]],FME_Input[FME_ID],FME_Input[DESCR])</f>
        <v>Project planning to harden city buildings, critical infrastructure, and government buildings. Hardening of non-governmental facilities that have been identified as crucial in the response and recovery to/of emergencies and disasters.</v>
      </c>
      <c r="E410" s="256">
        <f>_xlfn.XLOOKUP(FME_Ranking1[[#This Row],[FME ID]],FME_Input[FME_ID],FME_Input[FME_COST])</f>
        <v>100000</v>
      </c>
      <c r="F410" t="str">
        <f>_xlfn.XLOOKUP(FME_Ranking1[[#This Row],[FME ID]],FME_Input[FME_ID],FME_Input[EMER_NEED])</f>
        <v>No</v>
      </c>
      <c r="G410">
        <f>IF(FME_Ranking!F410="Yes",100,0)</f>
        <v>0</v>
      </c>
      <c r="H410">
        <f>FME_Ranking1[[#This Row],[Emergency Need Score (Normalized, Unweighted)]]*$F$3</f>
        <v>0</v>
      </c>
      <c r="I410" s="246">
        <f>_xlfn.XLOOKUP(FME_Ranking1[[#This Row],[FME ID]],FME_Input[FME_ID],FME_Input[STRUCT_100])</f>
        <v>1139</v>
      </c>
      <c r="J410" s="178">
        <f>(FME_Ranking1[[#This Row],[Structures 100 Raw]]/I$2)*100</f>
        <v>0.60992588784646362</v>
      </c>
      <c r="K410" s="178">
        <f>FME_Ranking1[[#This Row],[Structures 100  Score (Normalized, Unweighted)]]*$I$3</f>
        <v>9.1488883176969543E-2</v>
      </c>
      <c r="L410" s="246">
        <f>_xlfn.XLOOKUP(FME_Ranking1[[#This Row],[FME ID]],FME_Input[FME_ID],FME_Input[RES_STRUCT100])</f>
        <v>933</v>
      </c>
      <c r="M410" s="230">
        <f>(FME_Ranking1[[#This Row],[Res Structures Raw]]/L$2)*100</f>
        <v>0.66084911674292757</v>
      </c>
      <c r="N410" s="180">
        <f>FME_Ranking1[[#This Row],[Res Structures Score (Normalized, Unweighted)]]*$L$3</f>
        <v>6.6084911674292757E-2</v>
      </c>
      <c r="O410" s="244">
        <f>_xlfn.XLOOKUP(FME_Ranking1[[#This Row],[FME ID]],FME_Input[FME_ID],FME_Input[POP100])</f>
        <v>3181</v>
      </c>
      <c r="P410" s="178">
        <f>(FME_Ranking1[[#This Row],[Pop Raw]]/$O$2)*100</f>
        <v>0.32565586743625602</v>
      </c>
      <c r="Q410" s="178">
        <f>FME_Ranking1[[#This Row],[Pop Score (Normalized, Unweighted)]]*$O$3</f>
        <v>4.8848380115438399E-2</v>
      </c>
      <c r="R410" s="137">
        <f>_xlfn.XLOOKUP(FME_Ranking1[[#This Row],[FME ID]],FME_Input[FME_ID],FME_Input[CRITFAC100])</f>
        <v>24</v>
      </c>
      <c r="S410" s="230">
        <f>(FME_Ranking1[[#This Row],[Critical Facilities Raw]]/$R$2)*100</f>
        <v>1.0291595197255576</v>
      </c>
      <c r="T410" s="180">
        <f>FME_Ranking1[[#This Row],[Critical Facilities Score (Normalized, Unweighted)]]*$R$3</f>
        <v>0.20583190394511153</v>
      </c>
      <c r="U410">
        <f>_xlfn.XLOOKUP(FME_Ranking1[[#This Row],[FME ID]],FME_Input[FME_ID],FME_Input[LWC])</f>
        <v>0</v>
      </c>
      <c r="V410" s="178">
        <f>(FME_Ranking1[[#This Row],[LWC Raw]]/$U$2)*100</f>
        <v>0</v>
      </c>
      <c r="W410" s="178">
        <f>FME_Ranking1[[#This Row],[LWC Score (Normalized, Unweighted)]]*$U$3</f>
        <v>0</v>
      </c>
      <c r="X410" s="246">
        <f>_xlfn.XLOOKUP(FME_Ranking1[[#This Row],[FME ID]],FME_Input[FME_ID],FME_Input[ROADCLS])</f>
        <v>0</v>
      </c>
      <c r="Y410" s="230">
        <f>(FME_Ranking1[[#This Row],[Closures Raw]]/$X$2)*100</f>
        <v>0</v>
      </c>
      <c r="Z410" s="180">
        <f>FME_Ranking1[[#This Row],[Closures Score (Normalized, Unweighted)]]*$X$3</f>
        <v>0</v>
      </c>
      <c r="AA410" s="253">
        <f>_xlfn.XLOOKUP(FME_Ranking1[[#This Row],[FME ID]],FME_Input[FME_ID],FME_Input[ROAD_MILES100])</f>
        <v>36.153518676757813</v>
      </c>
      <c r="AB410" s="178">
        <f>(FME_Ranking1[[#This Row],[Miles Raw]]/$AA$2)*100</f>
        <v>0.4753539262194304</v>
      </c>
      <c r="AC410" s="178">
        <f>FME_Ranking1[[#This Row],[Miles Score (Normalized, Unweighted)]]*$AA$3</f>
        <v>4.7535392621943041E-2</v>
      </c>
      <c r="AD410" s="255">
        <f>_xlfn.XLOOKUP(FME_Ranking1[[#This Row],[FME ID]],FME_Input[FME_ID],FME_Input[FARMACRE100])</f>
        <v>110.6871032714844</v>
      </c>
      <c r="AE410" s="230">
        <f>(FME_Ranking1[[#This Row],[Ag Land Raw]]/$AD$2)*100</f>
        <v>4.5642406476898477E-3</v>
      </c>
      <c r="AF410" s="231">
        <f>FME_Ranking1[[#This Row],[Ag Land Score (Normalized, Unweighted)]]*$AD$3</f>
        <v>2.282120323844924E-4</v>
      </c>
      <c r="AG41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0.46001768356613976</v>
      </c>
      <c r="AH410" s="406">
        <f t="shared" si="6"/>
        <v>458</v>
      </c>
      <c r="AI41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0.46001768356613976</v>
      </c>
      <c r="AJ410" s="257">
        <f>FME_Ranking1[[#This Row],[Addition check]]-FME_Ranking1[[#This Row],[Weighted Score Based on Normalized Reported Factors]]</f>
        <v>0</v>
      </c>
      <c r="AK410" s="178">
        <f>_xlfn.RANK.EQ(AI410,$AI$6:$AI$2341,0)+COUNTIF($AI$6:AI410,AI410)-1</f>
        <v>459</v>
      </c>
    </row>
    <row r="411" spans="1:37" ht="12" customHeight="1" x14ac:dyDescent="0.25">
      <c r="A411" t="s">
        <v>8839</v>
      </c>
      <c r="B411">
        <f>_xlfn.XLOOKUP(FME_Ranking1[[#This Row],[FME ID]],FME_Input[FME_ID],FME_Input[RFPG_NUM])</f>
        <v>11</v>
      </c>
      <c r="C411" t="str">
        <f>_xlfn.XLOOKUP(FME_Ranking1[[#This Row],[FME ID]],FME_Input[FME_ID],FME_Input[FME_NAME])</f>
        <v>City of Victoria Voluntary Buyout Program Project Planning</v>
      </c>
      <c r="D411" t="str">
        <f>_xlfn.XLOOKUP(FME_Ranking1[[#This Row],[FME ID]],FME_Input[FME_ID],FME_Input[DESCR])</f>
        <v>Project planning to implement a voluntary acquisition program for repetitive flood properties.</v>
      </c>
      <c r="E411" s="256">
        <f>_xlfn.XLOOKUP(FME_Ranking1[[#This Row],[FME ID]],FME_Input[FME_ID],FME_Input[FME_COST])</f>
        <v>150000</v>
      </c>
      <c r="F411" t="str">
        <f>_xlfn.XLOOKUP(FME_Ranking1[[#This Row],[FME ID]],FME_Input[FME_ID],FME_Input[EMER_NEED])</f>
        <v>No</v>
      </c>
      <c r="G411">
        <f>IF(FME_Ranking!F411="Yes",100,0)</f>
        <v>0</v>
      </c>
      <c r="H411">
        <f>FME_Ranking1[[#This Row],[Emergency Need Score (Normalized, Unweighted)]]*$F$3</f>
        <v>0</v>
      </c>
      <c r="I411" s="246">
        <f>_xlfn.XLOOKUP(FME_Ranking1[[#This Row],[FME ID]],FME_Input[FME_ID],FME_Input[STRUCT_100])</f>
        <v>1139</v>
      </c>
      <c r="J411" s="178">
        <f>(FME_Ranking1[[#This Row],[Structures 100 Raw]]/I$2)*100</f>
        <v>0.60992588784646362</v>
      </c>
      <c r="K411" s="178">
        <f>FME_Ranking1[[#This Row],[Structures 100  Score (Normalized, Unweighted)]]*$I$3</f>
        <v>9.1488883176969543E-2</v>
      </c>
      <c r="L411" s="246">
        <f>_xlfn.XLOOKUP(FME_Ranking1[[#This Row],[FME ID]],FME_Input[FME_ID],FME_Input[RES_STRUCT100])</f>
        <v>933</v>
      </c>
      <c r="M411" s="230">
        <f>(FME_Ranking1[[#This Row],[Res Structures Raw]]/L$2)*100</f>
        <v>0.66084911674292757</v>
      </c>
      <c r="N411" s="180">
        <f>FME_Ranking1[[#This Row],[Res Structures Score (Normalized, Unweighted)]]*$L$3</f>
        <v>6.6084911674292757E-2</v>
      </c>
      <c r="O411" s="244">
        <f>_xlfn.XLOOKUP(FME_Ranking1[[#This Row],[FME ID]],FME_Input[FME_ID],FME_Input[POP100])</f>
        <v>3181</v>
      </c>
      <c r="P411" s="178">
        <f>(FME_Ranking1[[#This Row],[Pop Raw]]/$O$2)*100</f>
        <v>0.32565586743625602</v>
      </c>
      <c r="Q411" s="178">
        <f>FME_Ranking1[[#This Row],[Pop Score (Normalized, Unweighted)]]*$O$3</f>
        <v>4.8848380115438399E-2</v>
      </c>
      <c r="R411" s="137">
        <f>_xlfn.XLOOKUP(FME_Ranking1[[#This Row],[FME ID]],FME_Input[FME_ID],FME_Input[CRITFAC100])</f>
        <v>24</v>
      </c>
      <c r="S411" s="230">
        <f>(FME_Ranking1[[#This Row],[Critical Facilities Raw]]/$R$2)*100</f>
        <v>1.0291595197255576</v>
      </c>
      <c r="T411" s="180">
        <f>FME_Ranking1[[#This Row],[Critical Facilities Score (Normalized, Unweighted)]]*$R$3</f>
        <v>0.20583190394511153</v>
      </c>
      <c r="U411">
        <f>_xlfn.XLOOKUP(FME_Ranking1[[#This Row],[FME ID]],FME_Input[FME_ID],FME_Input[LWC])</f>
        <v>0</v>
      </c>
      <c r="V411" s="178">
        <f>(FME_Ranking1[[#This Row],[LWC Raw]]/$U$2)*100</f>
        <v>0</v>
      </c>
      <c r="W411" s="178">
        <f>FME_Ranking1[[#This Row],[LWC Score (Normalized, Unweighted)]]*$U$3</f>
        <v>0</v>
      </c>
      <c r="X411" s="246">
        <f>_xlfn.XLOOKUP(FME_Ranking1[[#This Row],[FME ID]],FME_Input[FME_ID],FME_Input[ROADCLS])</f>
        <v>0</v>
      </c>
      <c r="Y411" s="230">
        <f>(FME_Ranking1[[#This Row],[Closures Raw]]/$X$2)*100</f>
        <v>0</v>
      </c>
      <c r="Z411" s="180">
        <f>FME_Ranking1[[#This Row],[Closures Score (Normalized, Unweighted)]]*$X$3</f>
        <v>0</v>
      </c>
      <c r="AA411" s="253">
        <f>_xlfn.XLOOKUP(FME_Ranking1[[#This Row],[FME ID]],FME_Input[FME_ID],FME_Input[ROAD_MILES100])</f>
        <v>36.153518676757813</v>
      </c>
      <c r="AB411" s="178">
        <f>(FME_Ranking1[[#This Row],[Miles Raw]]/$AA$2)*100</f>
        <v>0.4753539262194304</v>
      </c>
      <c r="AC411" s="178">
        <f>FME_Ranking1[[#This Row],[Miles Score (Normalized, Unweighted)]]*$AA$3</f>
        <v>4.7535392621943041E-2</v>
      </c>
      <c r="AD411" s="255">
        <f>_xlfn.XLOOKUP(FME_Ranking1[[#This Row],[FME ID]],FME_Input[FME_ID],FME_Input[FARMACRE100])</f>
        <v>110.6871032714844</v>
      </c>
      <c r="AE411" s="230">
        <f>(FME_Ranking1[[#This Row],[Ag Land Raw]]/$AD$2)*100</f>
        <v>4.5642406476898477E-3</v>
      </c>
      <c r="AF411" s="231">
        <f>FME_Ranking1[[#This Row],[Ag Land Score (Normalized, Unweighted)]]*$AD$3</f>
        <v>2.282120323844924E-4</v>
      </c>
      <c r="AG41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0.46001768356613976</v>
      </c>
      <c r="AH411" s="406">
        <f t="shared" si="6"/>
        <v>458</v>
      </c>
      <c r="AI41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0.46001768356613976</v>
      </c>
      <c r="AJ411" s="257">
        <f>FME_Ranking1[[#This Row],[Addition check]]-FME_Ranking1[[#This Row],[Weighted Score Based on Normalized Reported Factors]]</f>
        <v>0</v>
      </c>
      <c r="AK411" s="178">
        <f>_xlfn.RANK.EQ(AI411,$AI$6:$AI$2341,0)+COUNTIF($AI$6:AI411,AI411)-1</f>
        <v>460</v>
      </c>
    </row>
    <row r="412" spans="1:37" ht="12" customHeight="1" x14ac:dyDescent="0.25">
      <c r="A412" t="s">
        <v>8842</v>
      </c>
      <c r="B412">
        <f>_xlfn.XLOOKUP(FME_Ranking1[[#This Row],[FME ID]],FME_Input[FME_ID],FME_Input[RFPG_NUM])</f>
        <v>11</v>
      </c>
      <c r="C412" t="str">
        <f>_xlfn.XLOOKUP(FME_Ranking1[[#This Row],[FME ID]],FME_Input[FME_ID],FME_Input[FME_NAME])</f>
        <v>City of Victoria Flood Gate Project Planning</v>
      </c>
      <c r="D412" t="str">
        <f>_xlfn.XLOOKUP(FME_Ranking1[[#This Row],[FME ID]],FME_Input[FME_ID],FME_Input[DESCR])</f>
        <v>Project planning for proposed project to rehabilitate, repair, or replace the City of Victoria’s existing flood gates, install additional flood gates as appropriate, and construct a storm water lift station in an area to be determined by study.</v>
      </c>
      <c r="E412" s="256">
        <f>_xlfn.XLOOKUP(FME_Ranking1[[#This Row],[FME ID]],FME_Input[FME_ID],FME_Input[FME_COST])</f>
        <v>45000</v>
      </c>
      <c r="F412" t="str">
        <f>_xlfn.XLOOKUP(FME_Ranking1[[#This Row],[FME ID]],FME_Input[FME_ID],FME_Input[EMER_NEED])</f>
        <v>No</v>
      </c>
      <c r="G412">
        <f>IF(FME_Ranking!F412="Yes",100,0)</f>
        <v>0</v>
      </c>
      <c r="H412">
        <f>FME_Ranking1[[#This Row],[Emergency Need Score (Normalized, Unweighted)]]*$F$3</f>
        <v>0</v>
      </c>
      <c r="I412" s="246">
        <f>_xlfn.XLOOKUP(FME_Ranking1[[#This Row],[FME ID]],FME_Input[FME_ID],FME_Input[STRUCT_100])</f>
        <v>1139</v>
      </c>
      <c r="J412" s="178">
        <f>(FME_Ranking1[[#This Row],[Structures 100 Raw]]/I$2)*100</f>
        <v>0.60992588784646362</v>
      </c>
      <c r="K412" s="178">
        <f>FME_Ranking1[[#This Row],[Structures 100  Score (Normalized, Unweighted)]]*$I$3</f>
        <v>9.1488883176969543E-2</v>
      </c>
      <c r="L412" s="246">
        <f>_xlfn.XLOOKUP(FME_Ranking1[[#This Row],[FME ID]],FME_Input[FME_ID],FME_Input[RES_STRUCT100])</f>
        <v>933</v>
      </c>
      <c r="M412" s="230">
        <f>(FME_Ranking1[[#This Row],[Res Structures Raw]]/L$2)*100</f>
        <v>0.66084911674292757</v>
      </c>
      <c r="N412" s="180">
        <f>FME_Ranking1[[#This Row],[Res Structures Score (Normalized, Unweighted)]]*$L$3</f>
        <v>6.6084911674292757E-2</v>
      </c>
      <c r="O412" s="244">
        <f>_xlfn.XLOOKUP(FME_Ranking1[[#This Row],[FME ID]],FME_Input[FME_ID],FME_Input[POP100])</f>
        <v>3181</v>
      </c>
      <c r="P412" s="178">
        <f>(FME_Ranking1[[#This Row],[Pop Raw]]/$O$2)*100</f>
        <v>0.32565586743625602</v>
      </c>
      <c r="Q412" s="178">
        <f>FME_Ranking1[[#This Row],[Pop Score (Normalized, Unweighted)]]*$O$3</f>
        <v>4.8848380115438399E-2</v>
      </c>
      <c r="R412" s="137">
        <f>_xlfn.XLOOKUP(FME_Ranking1[[#This Row],[FME ID]],FME_Input[FME_ID],FME_Input[CRITFAC100])</f>
        <v>24</v>
      </c>
      <c r="S412" s="230">
        <f>(FME_Ranking1[[#This Row],[Critical Facilities Raw]]/$R$2)*100</f>
        <v>1.0291595197255576</v>
      </c>
      <c r="T412" s="180">
        <f>FME_Ranking1[[#This Row],[Critical Facilities Score (Normalized, Unweighted)]]*$R$3</f>
        <v>0.20583190394511153</v>
      </c>
      <c r="U412">
        <f>_xlfn.XLOOKUP(FME_Ranking1[[#This Row],[FME ID]],FME_Input[FME_ID],FME_Input[LWC])</f>
        <v>0</v>
      </c>
      <c r="V412" s="178">
        <f>(FME_Ranking1[[#This Row],[LWC Raw]]/$U$2)*100</f>
        <v>0</v>
      </c>
      <c r="W412" s="178">
        <f>FME_Ranking1[[#This Row],[LWC Score (Normalized, Unweighted)]]*$U$3</f>
        <v>0</v>
      </c>
      <c r="X412" s="246">
        <f>_xlfn.XLOOKUP(FME_Ranking1[[#This Row],[FME ID]],FME_Input[FME_ID],FME_Input[ROADCLS])</f>
        <v>0</v>
      </c>
      <c r="Y412" s="230">
        <f>(FME_Ranking1[[#This Row],[Closures Raw]]/$X$2)*100</f>
        <v>0</v>
      </c>
      <c r="Z412" s="180">
        <f>FME_Ranking1[[#This Row],[Closures Score (Normalized, Unweighted)]]*$X$3</f>
        <v>0</v>
      </c>
      <c r="AA412" s="253">
        <f>_xlfn.XLOOKUP(FME_Ranking1[[#This Row],[FME ID]],FME_Input[FME_ID],FME_Input[ROAD_MILES100])</f>
        <v>36.153518676757813</v>
      </c>
      <c r="AB412" s="178">
        <f>(FME_Ranking1[[#This Row],[Miles Raw]]/$AA$2)*100</f>
        <v>0.4753539262194304</v>
      </c>
      <c r="AC412" s="178">
        <f>FME_Ranking1[[#This Row],[Miles Score (Normalized, Unweighted)]]*$AA$3</f>
        <v>4.7535392621943041E-2</v>
      </c>
      <c r="AD412" s="255">
        <f>_xlfn.XLOOKUP(FME_Ranking1[[#This Row],[FME ID]],FME_Input[FME_ID],FME_Input[FARMACRE100])</f>
        <v>110.6871032714844</v>
      </c>
      <c r="AE412" s="230">
        <f>(FME_Ranking1[[#This Row],[Ag Land Raw]]/$AD$2)*100</f>
        <v>4.5642406476898477E-3</v>
      </c>
      <c r="AF412" s="231">
        <f>FME_Ranking1[[#This Row],[Ag Land Score (Normalized, Unweighted)]]*$AD$3</f>
        <v>2.282120323844924E-4</v>
      </c>
      <c r="AG41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0.46001768356613976</v>
      </c>
      <c r="AH412" s="406">
        <f t="shared" si="6"/>
        <v>458</v>
      </c>
      <c r="AI41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0.46001768356613976</v>
      </c>
      <c r="AJ412" s="257">
        <f>FME_Ranking1[[#This Row],[Addition check]]-FME_Ranking1[[#This Row],[Weighted Score Based on Normalized Reported Factors]]</f>
        <v>0</v>
      </c>
      <c r="AK412" s="178">
        <f>_xlfn.RANK.EQ(AI412,$AI$6:$AI$2341,0)+COUNTIF($AI$6:AI412,AI412)-1</f>
        <v>461</v>
      </c>
    </row>
    <row r="413" spans="1:37" ht="12" customHeight="1" x14ac:dyDescent="0.25">
      <c r="A413" t="s">
        <v>8845</v>
      </c>
      <c r="B413">
        <f>_xlfn.XLOOKUP(FME_Ranking1[[#This Row],[FME ID]],FME_Input[FME_ID],FME_Input[RFPG_NUM])</f>
        <v>11</v>
      </c>
      <c r="C413" t="str">
        <f>_xlfn.XLOOKUP(FME_Ranking1[[#This Row],[FME ID]],FME_Input[FME_ID],FME_Input[FME_NAME])</f>
        <v>City of Victoria Regional Drainage Solutions Project Planning</v>
      </c>
      <c r="D413" t="str">
        <f>_xlfn.XLOOKUP(FME_Ranking1[[#This Row],[FME ID]],FME_Input[FME_ID],FME_Input[DESCR])</f>
        <v>Project planning for proposed project for five regional drainage solutions within the City: the Gardens Apartment diversion, Shenandoah ditch improvements, Anthony Road outfall improvements, Lone Tree Road outfall improvements, and Clegg Ditch outfall.</v>
      </c>
      <c r="E413" s="256">
        <f>_xlfn.XLOOKUP(FME_Ranking1[[#This Row],[FME ID]],FME_Input[FME_ID],FME_Input[FME_COST])</f>
        <v>1327962</v>
      </c>
      <c r="F413" t="str">
        <f>_xlfn.XLOOKUP(FME_Ranking1[[#This Row],[FME ID]],FME_Input[FME_ID],FME_Input[EMER_NEED])</f>
        <v>No</v>
      </c>
      <c r="G413">
        <f>IF(FME_Ranking!F413="Yes",100,0)</f>
        <v>0</v>
      </c>
      <c r="H413">
        <f>FME_Ranking1[[#This Row],[Emergency Need Score (Normalized, Unweighted)]]*$F$3</f>
        <v>0</v>
      </c>
      <c r="I413" s="246">
        <f>_xlfn.XLOOKUP(FME_Ranking1[[#This Row],[FME ID]],FME_Input[FME_ID],FME_Input[STRUCT_100])</f>
        <v>1139</v>
      </c>
      <c r="J413" s="178">
        <f>(FME_Ranking1[[#This Row],[Structures 100 Raw]]/I$2)*100</f>
        <v>0.60992588784646362</v>
      </c>
      <c r="K413" s="178">
        <f>FME_Ranking1[[#This Row],[Structures 100  Score (Normalized, Unweighted)]]*$I$3</f>
        <v>9.1488883176969543E-2</v>
      </c>
      <c r="L413" s="246">
        <f>_xlfn.XLOOKUP(FME_Ranking1[[#This Row],[FME ID]],FME_Input[FME_ID],FME_Input[RES_STRUCT100])</f>
        <v>933</v>
      </c>
      <c r="M413" s="230">
        <f>(FME_Ranking1[[#This Row],[Res Structures Raw]]/L$2)*100</f>
        <v>0.66084911674292757</v>
      </c>
      <c r="N413" s="180">
        <f>FME_Ranking1[[#This Row],[Res Structures Score (Normalized, Unweighted)]]*$L$3</f>
        <v>6.6084911674292757E-2</v>
      </c>
      <c r="O413" s="244">
        <f>_xlfn.XLOOKUP(FME_Ranking1[[#This Row],[FME ID]],FME_Input[FME_ID],FME_Input[POP100])</f>
        <v>3181</v>
      </c>
      <c r="P413" s="178">
        <f>(FME_Ranking1[[#This Row],[Pop Raw]]/$O$2)*100</f>
        <v>0.32565586743625602</v>
      </c>
      <c r="Q413" s="178">
        <f>FME_Ranking1[[#This Row],[Pop Score (Normalized, Unweighted)]]*$O$3</f>
        <v>4.8848380115438399E-2</v>
      </c>
      <c r="R413" s="137">
        <f>_xlfn.XLOOKUP(FME_Ranking1[[#This Row],[FME ID]],FME_Input[FME_ID],FME_Input[CRITFAC100])</f>
        <v>24</v>
      </c>
      <c r="S413" s="230">
        <f>(FME_Ranking1[[#This Row],[Critical Facilities Raw]]/$R$2)*100</f>
        <v>1.0291595197255576</v>
      </c>
      <c r="T413" s="180">
        <f>FME_Ranking1[[#This Row],[Critical Facilities Score (Normalized, Unweighted)]]*$R$3</f>
        <v>0.20583190394511153</v>
      </c>
      <c r="U413">
        <f>_xlfn.XLOOKUP(FME_Ranking1[[#This Row],[FME ID]],FME_Input[FME_ID],FME_Input[LWC])</f>
        <v>0</v>
      </c>
      <c r="V413" s="178">
        <f>(FME_Ranking1[[#This Row],[LWC Raw]]/$U$2)*100</f>
        <v>0</v>
      </c>
      <c r="W413" s="178">
        <f>FME_Ranking1[[#This Row],[LWC Score (Normalized, Unweighted)]]*$U$3</f>
        <v>0</v>
      </c>
      <c r="X413" s="246">
        <f>_xlfn.XLOOKUP(FME_Ranking1[[#This Row],[FME ID]],FME_Input[FME_ID],FME_Input[ROADCLS])</f>
        <v>0</v>
      </c>
      <c r="Y413" s="230">
        <f>(FME_Ranking1[[#This Row],[Closures Raw]]/$X$2)*100</f>
        <v>0</v>
      </c>
      <c r="Z413" s="180">
        <f>FME_Ranking1[[#This Row],[Closures Score (Normalized, Unweighted)]]*$X$3</f>
        <v>0</v>
      </c>
      <c r="AA413" s="253">
        <f>_xlfn.XLOOKUP(FME_Ranking1[[#This Row],[FME ID]],FME_Input[FME_ID],FME_Input[ROAD_MILES100])</f>
        <v>36.153518676757813</v>
      </c>
      <c r="AB413" s="178">
        <f>(FME_Ranking1[[#This Row],[Miles Raw]]/$AA$2)*100</f>
        <v>0.4753539262194304</v>
      </c>
      <c r="AC413" s="178">
        <f>FME_Ranking1[[#This Row],[Miles Score (Normalized, Unweighted)]]*$AA$3</f>
        <v>4.7535392621943041E-2</v>
      </c>
      <c r="AD413" s="255">
        <f>_xlfn.XLOOKUP(FME_Ranking1[[#This Row],[FME ID]],FME_Input[FME_ID],FME_Input[FARMACRE100])</f>
        <v>110.6871032714844</v>
      </c>
      <c r="AE413" s="230">
        <f>(FME_Ranking1[[#This Row],[Ag Land Raw]]/$AD$2)*100</f>
        <v>4.5642406476898477E-3</v>
      </c>
      <c r="AF413" s="231">
        <f>FME_Ranking1[[#This Row],[Ag Land Score (Normalized, Unweighted)]]*$AD$3</f>
        <v>2.282120323844924E-4</v>
      </c>
      <c r="AG41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0.46001768356613976</v>
      </c>
      <c r="AH413" s="406">
        <f t="shared" si="6"/>
        <v>458</v>
      </c>
      <c r="AI41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0.46001768356613976</v>
      </c>
      <c r="AJ413" s="257">
        <f>FME_Ranking1[[#This Row],[Addition check]]-FME_Ranking1[[#This Row],[Weighted Score Based on Normalized Reported Factors]]</f>
        <v>0</v>
      </c>
      <c r="AK413" s="178">
        <f>_xlfn.RANK.EQ(AI413,$AI$6:$AI$2341,0)+COUNTIF($AI$6:AI413,AI413)-1</f>
        <v>462</v>
      </c>
    </row>
    <row r="414" spans="1:37" ht="12" customHeight="1" x14ac:dyDescent="0.25">
      <c r="A414" t="s">
        <v>8849</v>
      </c>
      <c r="B414">
        <f>_xlfn.XLOOKUP(FME_Ranking1[[#This Row],[FME ID]],FME_Input[FME_ID],FME_Input[RFPG_NUM])</f>
        <v>11</v>
      </c>
      <c r="C414" t="str">
        <f>_xlfn.XLOOKUP(FME_Ranking1[[#This Row],[FME ID]],FME_Input[FME_ID],FME_Input[FME_NAME])</f>
        <v>City of Victoria - Storm Sewer Improvements Project Planning</v>
      </c>
      <c r="D414" t="str">
        <f>_xlfn.XLOOKUP(FME_Ranking1[[#This Row],[FME ID]],FME_Input[FME_ID],FME_Input[DESCR])</f>
        <v>Project planning for project to replace storm sewer pipe under 18-inch diameter (29.9 miles). As a result of overland flow analysis and Storm Sewer System Level of Service Analysis, it was determined to replace all pipe less than 18-inch diameter.</v>
      </c>
      <c r="E414" s="256">
        <f>_xlfn.XLOOKUP(FME_Ranking1[[#This Row],[FME ID]],FME_Input[FME_ID],FME_Input[FME_COST])</f>
        <v>3946100</v>
      </c>
      <c r="F414" t="str">
        <f>_xlfn.XLOOKUP(FME_Ranking1[[#This Row],[FME ID]],FME_Input[FME_ID],FME_Input[EMER_NEED])</f>
        <v>No</v>
      </c>
      <c r="G414">
        <f>IF(FME_Ranking!F414="Yes",100,0)</f>
        <v>0</v>
      </c>
      <c r="H414">
        <f>FME_Ranking1[[#This Row],[Emergency Need Score (Normalized, Unweighted)]]*$F$3</f>
        <v>0</v>
      </c>
      <c r="I414" s="246">
        <f>_xlfn.XLOOKUP(FME_Ranking1[[#This Row],[FME ID]],FME_Input[FME_ID],FME_Input[STRUCT_100])</f>
        <v>1139</v>
      </c>
      <c r="J414" s="178">
        <f>(FME_Ranking1[[#This Row],[Structures 100 Raw]]/I$2)*100</f>
        <v>0.60992588784646362</v>
      </c>
      <c r="K414" s="178">
        <f>FME_Ranking1[[#This Row],[Structures 100  Score (Normalized, Unweighted)]]*$I$3</f>
        <v>9.1488883176969543E-2</v>
      </c>
      <c r="L414" s="246">
        <f>_xlfn.XLOOKUP(FME_Ranking1[[#This Row],[FME ID]],FME_Input[FME_ID],FME_Input[RES_STRUCT100])</f>
        <v>933</v>
      </c>
      <c r="M414" s="230">
        <f>(FME_Ranking1[[#This Row],[Res Structures Raw]]/L$2)*100</f>
        <v>0.66084911674292757</v>
      </c>
      <c r="N414" s="180">
        <f>FME_Ranking1[[#This Row],[Res Structures Score (Normalized, Unweighted)]]*$L$3</f>
        <v>6.6084911674292757E-2</v>
      </c>
      <c r="O414" s="244">
        <f>_xlfn.XLOOKUP(FME_Ranking1[[#This Row],[FME ID]],FME_Input[FME_ID],FME_Input[POP100])</f>
        <v>3181</v>
      </c>
      <c r="P414" s="178">
        <f>(FME_Ranking1[[#This Row],[Pop Raw]]/$O$2)*100</f>
        <v>0.32565586743625602</v>
      </c>
      <c r="Q414" s="178">
        <f>FME_Ranking1[[#This Row],[Pop Score (Normalized, Unweighted)]]*$O$3</f>
        <v>4.8848380115438399E-2</v>
      </c>
      <c r="R414" s="137">
        <f>_xlfn.XLOOKUP(FME_Ranking1[[#This Row],[FME ID]],FME_Input[FME_ID],FME_Input[CRITFAC100])</f>
        <v>24</v>
      </c>
      <c r="S414" s="230">
        <f>(FME_Ranking1[[#This Row],[Critical Facilities Raw]]/$R$2)*100</f>
        <v>1.0291595197255576</v>
      </c>
      <c r="T414" s="180">
        <f>FME_Ranking1[[#This Row],[Critical Facilities Score (Normalized, Unweighted)]]*$R$3</f>
        <v>0.20583190394511153</v>
      </c>
      <c r="U414">
        <f>_xlfn.XLOOKUP(FME_Ranking1[[#This Row],[FME ID]],FME_Input[FME_ID],FME_Input[LWC])</f>
        <v>0</v>
      </c>
      <c r="V414" s="178">
        <f>(FME_Ranking1[[#This Row],[LWC Raw]]/$U$2)*100</f>
        <v>0</v>
      </c>
      <c r="W414" s="178">
        <f>FME_Ranking1[[#This Row],[LWC Score (Normalized, Unweighted)]]*$U$3</f>
        <v>0</v>
      </c>
      <c r="X414" s="246">
        <f>_xlfn.XLOOKUP(FME_Ranking1[[#This Row],[FME ID]],FME_Input[FME_ID],FME_Input[ROADCLS])</f>
        <v>0</v>
      </c>
      <c r="Y414" s="230">
        <f>(FME_Ranking1[[#This Row],[Closures Raw]]/$X$2)*100</f>
        <v>0</v>
      </c>
      <c r="Z414" s="180">
        <f>FME_Ranking1[[#This Row],[Closures Score (Normalized, Unweighted)]]*$X$3</f>
        <v>0</v>
      </c>
      <c r="AA414" s="253">
        <f>_xlfn.XLOOKUP(FME_Ranking1[[#This Row],[FME ID]],FME_Input[FME_ID],FME_Input[ROAD_MILES100])</f>
        <v>36.153518676757813</v>
      </c>
      <c r="AB414" s="178">
        <f>(FME_Ranking1[[#This Row],[Miles Raw]]/$AA$2)*100</f>
        <v>0.4753539262194304</v>
      </c>
      <c r="AC414" s="178">
        <f>FME_Ranking1[[#This Row],[Miles Score (Normalized, Unweighted)]]*$AA$3</f>
        <v>4.7535392621943041E-2</v>
      </c>
      <c r="AD414" s="255">
        <f>_xlfn.XLOOKUP(FME_Ranking1[[#This Row],[FME ID]],FME_Input[FME_ID],FME_Input[FARMACRE100])</f>
        <v>110.6871032714844</v>
      </c>
      <c r="AE414" s="230">
        <f>(FME_Ranking1[[#This Row],[Ag Land Raw]]/$AD$2)*100</f>
        <v>4.5642406476898477E-3</v>
      </c>
      <c r="AF414" s="231">
        <f>FME_Ranking1[[#This Row],[Ag Land Score (Normalized, Unweighted)]]*$AD$3</f>
        <v>2.282120323844924E-4</v>
      </c>
      <c r="AG41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0.46001768356613976</v>
      </c>
      <c r="AH414" s="406">
        <f t="shared" si="6"/>
        <v>458</v>
      </c>
      <c r="AI41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0.46001768356613976</v>
      </c>
      <c r="AJ414" s="257">
        <f>FME_Ranking1[[#This Row],[Addition check]]-FME_Ranking1[[#This Row],[Weighted Score Based on Normalized Reported Factors]]</f>
        <v>0</v>
      </c>
      <c r="AK414" s="178">
        <f>_xlfn.RANK.EQ(AI414,$AI$6:$AI$2341,0)+COUNTIF($AI$6:AI414,AI414)-1</f>
        <v>463</v>
      </c>
    </row>
    <row r="415" spans="1:37" ht="12" customHeight="1" x14ac:dyDescent="0.25">
      <c r="A415" t="s">
        <v>8852</v>
      </c>
      <c r="B415">
        <f>_xlfn.XLOOKUP(FME_Ranking1[[#This Row],[FME ID]],FME_Input[FME_ID],FME_Input[RFPG_NUM])</f>
        <v>11</v>
      </c>
      <c r="C415" t="str">
        <f>_xlfn.XLOOKUP(FME_Ranking1[[#This Row],[FME ID]],FME_Input[FME_ID],FME_Input[FME_NAME])</f>
        <v>City of Victoria Clean and Televise Storm Sewers Project Planning</v>
      </c>
      <c r="D415" t="str">
        <f>_xlfn.XLOOKUP(FME_Ranking1[[#This Row],[FME ID]],FME_Input[FME_ID],FME_Input[DESCR])</f>
        <v>Project planning for proposed project to clean and televise storm sewers (165.7 miles). As a result of overland flow analysis and Storm Sewer System Level of Service Analysis, it was determined to clean and televise storm sewers.</v>
      </c>
      <c r="E415" s="256">
        <f>_xlfn.XLOOKUP(FME_Ranking1[[#This Row],[FME ID]],FME_Input[FME_ID],FME_Input[FME_COST])</f>
        <v>1662106</v>
      </c>
      <c r="F415" t="str">
        <f>_xlfn.XLOOKUP(FME_Ranking1[[#This Row],[FME ID]],FME_Input[FME_ID],FME_Input[EMER_NEED])</f>
        <v>No</v>
      </c>
      <c r="G415">
        <f>IF(FME_Ranking!F415="Yes",100,0)</f>
        <v>0</v>
      </c>
      <c r="H415">
        <f>FME_Ranking1[[#This Row],[Emergency Need Score (Normalized, Unweighted)]]*$F$3</f>
        <v>0</v>
      </c>
      <c r="I415" s="246">
        <f>_xlfn.XLOOKUP(FME_Ranking1[[#This Row],[FME ID]],FME_Input[FME_ID],FME_Input[STRUCT_100])</f>
        <v>1139</v>
      </c>
      <c r="J415" s="178">
        <f>(FME_Ranking1[[#This Row],[Structures 100 Raw]]/I$2)*100</f>
        <v>0.60992588784646362</v>
      </c>
      <c r="K415" s="178">
        <f>FME_Ranking1[[#This Row],[Structures 100  Score (Normalized, Unweighted)]]*$I$3</f>
        <v>9.1488883176969543E-2</v>
      </c>
      <c r="L415" s="246">
        <f>_xlfn.XLOOKUP(FME_Ranking1[[#This Row],[FME ID]],FME_Input[FME_ID],FME_Input[RES_STRUCT100])</f>
        <v>933</v>
      </c>
      <c r="M415" s="230">
        <f>(FME_Ranking1[[#This Row],[Res Structures Raw]]/L$2)*100</f>
        <v>0.66084911674292757</v>
      </c>
      <c r="N415" s="180">
        <f>FME_Ranking1[[#This Row],[Res Structures Score (Normalized, Unweighted)]]*$L$3</f>
        <v>6.6084911674292757E-2</v>
      </c>
      <c r="O415" s="244">
        <f>_xlfn.XLOOKUP(FME_Ranking1[[#This Row],[FME ID]],FME_Input[FME_ID],FME_Input[POP100])</f>
        <v>3181</v>
      </c>
      <c r="P415" s="178">
        <f>(FME_Ranking1[[#This Row],[Pop Raw]]/$O$2)*100</f>
        <v>0.32565586743625602</v>
      </c>
      <c r="Q415" s="178">
        <f>FME_Ranking1[[#This Row],[Pop Score (Normalized, Unweighted)]]*$O$3</f>
        <v>4.8848380115438399E-2</v>
      </c>
      <c r="R415" s="137">
        <f>_xlfn.XLOOKUP(FME_Ranking1[[#This Row],[FME ID]],FME_Input[FME_ID],FME_Input[CRITFAC100])</f>
        <v>24</v>
      </c>
      <c r="S415" s="230">
        <f>(FME_Ranking1[[#This Row],[Critical Facilities Raw]]/$R$2)*100</f>
        <v>1.0291595197255576</v>
      </c>
      <c r="T415" s="180">
        <f>FME_Ranking1[[#This Row],[Critical Facilities Score (Normalized, Unweighted)]]*$R$3</f>
        <v>0.20583190394511153</v>
      </c>
      <c r="U415">
        <f>_xlfn.XLOOKUP(FME_Ranking1[[#This Row],[FME ID]],FME_Input[FME_ID],FME_Input[LWC])</f>
        <v>0</v>
      </c>
      <c r="V415" s="178">
        <f>(FME_Ranking1[[#This Row],[LWC Raw]]/$U$2)*100</f>
        <v>0</v>
      </c>
      <c r="W415" s="178">
        <f>FME_Ranking1[[#This Row],[LWC Score (Normalized, Unweighted)]]*$U$3</f>
        <v>0</v>
      </c>
      <c r="X415" s="246">
        <f>_xlfn.XLOOKUP(FME_Ranking1[[#This Row],[FME ID]],FME_Input[FME_ID],FME_Input[ROADCLS])</f>
        <v>0</v>
      </c>
      <c r="Y415" s="230">
        <f>(FME_Ranking1[[#This Row],[Closures Raw]]/$X$2)*100</f>
        <v>0</v>
      </c>
      <c r="Z415" s="180">
        <f>FME_Ranking1[[#This Row],[Closures Score (Normalized, Unweighted)]]*$X$3</f>
        <v>0</v>
      </c>
      <c r="AA415" s="253">
        <f>_xlfn.XLOOKUP(FME_Ranking1[[#This Row],[FME ID]],FME_Input[FME_ID],FME_Input[ROAD_MILES100])</f>
        <v>36.153518676757813</v>
      </c>
      <c r="AB415" s="178">
        <f>(FME_Ranking1[[#This Row],[Miles Raw]]/$AA$2)*100</f>
        <v>0.4753539262194304</v>
      </c>
      <c r="AC415" s="178">
        <f>FME_Ranking1[[#This Row],[Miles Score (Normalized, Unweighted)]]*$AA$3</f>
        <v>4.7535392621943041E-2</v>
      </c>
      <c r="AD415" s="255">
        <f>_xlfn.XLOOKUP(FME_Ranking1[[#This Row],[FME ID]],FME_Input[FME_ID],FME_Input[FARMACRE100])</f>
        <v>110.6871032714844</v>
      </c>
      <c r="AE415" s="230">
        <f>(FME_Ranking1[[#This Row],[Ag Land Raw]]/$AD$2)*100</f>
        <v>4.5642406476898477E-3</v>
      </c>
      <c r="AF415" s="231">
        <f>FME_Ranking1[[#This Row],[Ag Land Score (Normalized, Unweighted)]]*$AD$3</f>
        <v>2.282120323844924E-4</v>
      </c>
      <c r="AG41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0.46001768356613976</v>
      </c>
      <c r="AH415" s="406">
        <f t="shared" si="6"/>
        <v>458</v>
      </c>
      <c r="AI41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0.46001768356613976</v>
      </c>
      <c r="AJ415" s="257">
        <f>FME_Ranking1[[#This Row],[Addition check]]-FME_Ranking1[[#This Row],[Weighted Score Based on Normalized Reported Factors]]</f>
        <v>0</v>
      </c>
      <c r="AK415" s="178">
        <f>_xlfn.RANK.EQ(AI415,$AI$6:$AI$2341,0)+COUNTIF($AI$6:AI415,AI415)-1</f>
        <v>464</v>
      </c>
    </row>
    <row r="416" spans="1:37" ht="12" customHeight="1" x14ac:dyDescent="0.25">
      <c r="A416" t="s">
        <v>8855</v>
      </c>
      <c r="B416">
        <f>_xlfn.XLOOKUP(FME_Ranking1[[#This Row],[FME ID]],FME_Input[FME_ID],FME_Input[RFPG_NUM])</f>
        <v>11</v>
      </c>
      <c r="C416" t="str">
        <f>_xlfn.XLOOKUP(FME_Ranking1[[#This Row],[FME ID]],FME_Input[FME_ID],FME_Input[FME_NAME])</f>
        <v>City of Victoria Regrade Priority Ditches and Driveway Culverts Project Planning</v>
      </c>
      <c r="D416" t="str">
        <f>_xlfn.XLOOKUP(FME_Ranking1[[#This Row],[FME ID]],FME_Input[FME_ID],FME_Input[DESCR])</f>
        <v>Project planning for proposed drainage improvements. As a result of a roadside ditch capacity evaluation, it was determined that 23 miles of ditch and 669 driveway culverts are negatively impacting conveyance capacity and need to be regraded.</v>
      </c>
      <c r="E416" s="256">
        <f>_xlfn.XLOOKUP(FME_Ranking1[[#This Row],[FME ID]],FME_Input[FME_ID],FME_Input[FME_COST])</f>
        <v>1165853</v>
      </c>
      <c r="F416" t="str">
        <f>_xlfn.XLOOKUP(FME_Ranking1[[#This Row],[FME ID]],FME_Input[FME_ID],FME_Input[EMER_NEED])</f>
        <v>No</v>
      </c>
      <c r="G416">
        <f>IF(FME_Ranking!F416="Yes",100,0)</f>
        <v>0</v>
      </c>
      <c r="H416">
        <f>FME_Ranking1[[#This Row],[Emergency Need Score (Normalized, Unweighted)]]*$F$3</f>
        <v>0</v>
      </c>
      <c r="I416" s="246">
        <f>_xlfn.XLOOKUP(FME_Ranking1[[#This Row],[FME ID]],FME_Input[FME_ID],FME_Input[STRUCT_100])</f>
        <v>1139</v>
      </c>
      <c r="J416" s="178">
        <f>(FME_Ranking1[[#This Row],[Structures 100 Raw]]/I$2)*100</f>
        <v>0.60992588784646362</v>
      </c>
      <c r="K416" s="178">
        <f>FME_Ranking1[[#This Row],[Structures 100  Score (Normalized, Unweighted)]]*$I$3</f>
        <v>9.1488883176969543E-2</v>
      </c>
      <c r="L416" s="246">
        <f>_xlfn.XLOOKUP(FME_Ranking1[[#This Row],[FME ID]],FME_Input[FME_ID],FME_Input[RES_STRUCT100])</f>
        <v>933</v>
      </c>
      <c r="M416" s="230">
        <f>(FME_Ranking1[[#This Row],[Res Structures Raw]]/L$2)*100</f>
        <v>0.66084911674292757</v>
      </c>
      <c r="N416" s="180">
        <f>FME_Ranking1[[#This Row],[Res Structures Score (Normalized, Unweighted)]]*$L$3</f>
        <v>6.6084911674292757E-2</v>
      </c>
      <c r="O416" s="244">
        <f>_xlfn.XLOOKUP(FME_Ranking1[[#This Row],[FME ID]],FME_Input[FME_ID],FME_Input[POP100])</f>
        <v>3181</v>
      </c>
      <c r="P416" s="178">
        <f>(FME_Ranking1[[#This Row],[Pop Raw]]/$O$2)*100</f>
        <v>0.32565586743625602</v>
      </c>
      <c r="Q416" s="178">
        <f>FME_Ranking1[[#This Row],[Pop Score (Normalized, Unweighted)]]*$O$3</f>
        <v>4.8848380115438399E-2</v>
      </c>
      <c r="R416" s="137">
        <f>_xlfn.XLOOKUP(FME_Ranking1[[#This Row],[FME ID]],FME_Input[FME_ID],FME_Input[CRITFAC100])</f>
        <v>24</v>
      </c>
      <c r="S416" s="230">
        <f>(FME_Ranking1[[#This Row],[Critical Facilities Raw]]/$R$2)*100</f>
        <v>1.0291595197255576</v>
      </c>
      <c r="T416" s="180">
        <f>FME_Ranking1[[#This Row],[Critical Facilities Score (Normalized, Unweighted)]]*$R$3</f>
        <v>0.20583190394511153</v>
      </c>
      <c r="U416">
        <f>_xlfn.XLOOKUP(FME_Ranking1[[#This Row],[FME ID]],FME_Input[FME_ID],FME_Input[LWC])</f>
        <v>0</v>
      </c>
      <c r="V416" s="178">
        <f>(FME_Ranking1[[#This Row],[LWC Raw]]/$U$2)*100</f>
        <v>0</v>
      </c>
      <c r="W416" s="178">
        <f>FME_Ranking1[[#This Row],[LWC Score (Normalized, Unweighted)]]*$U$3</f>
        <v>0</v>
      </c>
      <c r="X416" s="246">
        <f>_xlfn.XLOOKUP(FME_Ranking1[[#This Row],[FME ID]],FME_Input[FME_ID],FME_Input[ROADCLS])</f>
        <v>0</v>
      </c>
      <c r="Y416" s="230">
        <f>(FME_Ranking1[[#This Row],[Closures Raw]]/$X$2)*100</f>
        <v>0</v>
      </c>
      <c r="Z416" s="180">
        <f>FME_Ranking1[[#This Row],[Closures Score (Normalized, Unweighted)]]*$X$3</f>
        <v>0</v>
      </c>
      <c r="AA416" s="253">
        <f>_xlfn.XLOOKUP(FME_Ranking1[[#This Row],[FME ID]],FME_Input[FME_ID],FME_Input[ROAD_MILES100])</f>
        <v>36.153518676757813</v>
      </c>
      <c r="AB416" s="178">
        <f>(FME_Ranking1[[#This Row],[Miles Raw]]/$AA$2)*100</f>
        <v>0.4753539262194304</v>
      </c>
      <c r="AC416" s="178">
        <f>FME_Ranking1[[#This Row],[Miles Score (Normalized, Unweighted)]]*$AA$3</f>
        <v>4.7535392621943041E-2</v>
      </c>
      <c r="AD416" s="255">
        <f>_xlfn.XLOOKUP(FME_Ranking1[[#This Row],[FME ID]],FME_Input[FME_ID],FME_Input[FARMACRE100])</f>
        <v>110.6871032714844</v>
      </c>
      <c r="AE416" s="230">
        <f>(FME_Ranking1[[#This Row],[Ag Land Raw]]/$AD$2)*100</f>
        <v>4.5642406476898477E-3</v>
      </c>
      <c r="AF416" s="231">
        <f>FME_Ranking1[[#This Row],[Ag Land Score (Normalized, Unweighted)]]*$AD$3</f>
        <v>2.282120323844924E-4</v>
      </c>
      <c r="AG41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0.46001768356613976</v>
      </c>
      <c r="AH416" s="406">
        <f t="shared" si="6"/>
        <v>458</v>
      </c>
      <c r="AI41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0.46001768356613976</v>
      </c>
      <c r="AJ416" s="257">
        <f>FME_Ranking1[[#This Row],[Addition check]]-FME_Ranking1[[#This Row],[Weighted Score Based on Normalized Reported Factors]]</f>
        <v>0</v>
      </c>
      <c r="AK416" s="178">
        <f>_xlfn.RANK.EQ(AI416,$AI$6:$AI$2341,0)+COUNTIF($AI$6:AI416,AI416)-1</f>
        <v>465</v>
      </c>
    </row>
    <row r="417" spans="1:37" ht="12" customHeight="1" x14ac:dyDescent="0.25">
      <c r="A417" t="s">
        <v>8858</v>
      </c>
      <c r="B417">
        <f>_xlfn.XLOOKUP(FME_Ranking1[[#This Row],[FME ID]],FME_Input[FME_ID],FME_Input[RFPG_NUM])</f>
        <v>11</v>
      </c>
      <c r="C417" t="str">
        <f>_xlfn.XLOOKUP(FME_Ranking1[[#This Row],[FME ID]],FME_Input[FME_ID],FME_Input[FME_NAME])</f>
        <v>City of Victoria Repair Channel Failures &amp; Sediment Removal Project Planning</v>
      </c>
      <c r="D417" t="str">
        <f>_xlfn.XLOOKUP(FME_Ranking1[[#This Row],[FME ID]],FME_Input[FME_ID],FME_Input[DESCR])</f>
        <v>Project planning for proposed channel improvements. Using field visits and drone footage, it was determined to repair 33,657 sq ft of concreted lined channel, 11,829 sq ft of earthen channel, and remove 227,099 sq ft of sediment.</v>
      </c>
      <c r="E417" s="256">
        <f>_xlfn.XLOOKUP(FME_Ranking1[[#This Row],[FME ID]],FME_Input[FME_ID],FME_Input[FME_COST])</f>
        <v>276201</v>
      </c>
      <c r="F417" t="str">
        <f>_xlfn.XLOOKUP(FME_Ranking1[[#This Row],[FME ID]],FME_Input[FME_ID],FME_Input[EMER_NEED])</f>
        <v>No</v>
      </c>
      <c r="G417">
        <f>IF(FME_Ranking!F417="Yes",100,0)</f>
        <v>0</v>
      </c>
      <c r="H417">
        <f>FME_Ranking1[[#This Row],[Emergency Need Score (Normalized, Unweighted)]]*$F$3</f>
        <v>0</v>
      </c>
      <c r="I417" s="246">
        <f>_xlfn.XLOOKUP(FME_Ranking1[[#This Row],[FME ID]],FME_Input[FME_ID],FME_Input[STRUCT_100])</f>
        <v>1139</v>
      </c>
      <c r="J417" s="178">
        <f>(FME_Ranking1[[#This Row],[Structures 100 Raw]]/I$2)*100</f>
        <v>0.60992588784646362</v>
      </c>
      <c r="K417" s="178">
        <f>FME_Ranking1[[#This Row],[Structures 100  Score (Normalized, Unweighted)]]*$I$3</f>
        <v>9.1488883176969543E-2</v>
      </c>
      <c r="L417" s="246">
        <f>_xlfn.XLOOKUP(FME_Ranking1[[#This Row],[FME ID]],FME_Input[FME_ID],FME_Input[RES_STRUCT100])</f>
        <v>933</v>
      </c>
      <c r="M417" s="230">
        <f>(FME_Ranking1[[#This Row],[Res Structures Raw]]/L$2)*100</f>
        <v>0.66084911674292757</v>
      </c>
      <c r="N417" s="180">
        <f>FME_Ranking1[[#This Row],[Res Structures Score (Normalized, Unweighted)]]*$L$3</f>
        <v>6.6084911674292757E-2</v>
      </c>
      <c r="O417" s="244">
        <f>_xlfn.XLOOKUP(FME_Ranking1[[#This Row],[FME ID]],FME_Input[FME_ID],FME_Input[POP100])</f>
        <v>3181</v>
      </c>
      <c r="P417" s="178">
        <f>(FME_Ranking1[[#This Row],[Pop Raw]]/$O$2)*100</f>
        <v>0.32565586743625602</v>
      </c>
      <c r="Q417" s="178">
        <f>FME_Ranking1[[#This Row],[Pop Score (Normalized, Unweighted)]]*$O$3</f>
        <v>4.8848380115438399E-2</v>
      </c>
      <c r="R417" s="137">
        <f>_xlfn.XLOOKUP(FME_Ranking1[[#This Row],[FME ID]],FME_Input[FME_ID],FME_Input[CRITFAC100])</f>
        <v>24</v>
      </c>
      <c r="S417" s="230">
        <f>(FME_Ranking1[[#This Row],[Critical Facilities Raw]]/$R$2)*100</f>
        <v>1.0291595197255576</v>
      </c>
      <c r="T417" s="180">
        <f>FME_Ranking1[[#This Row],[Critical Facilities Score (Normalized, Unweighted)]]*$R$3</f>
        <v>0.20583190394511153</v>
      </c>
      <c r="U417">
        <f>_xlfn.XLOOKUP(FME_Ranking1[[#This Row],[FME ID]],FME_Input[FME_ID],FME_Input[LWC])</f>
        <v>0</v>
      </c>
      <c r="V417" s="178">
        <f>(FME_Ranking1[[#This Row],[LWC Raw]]/$U$2)*100</f>
        <v>0</v>
      </c>
      <c r="W417" s="178">
        <f>FME_Ranking1[[#This Row],[LWC Score (Normalized, Unweighted)]]*$U$3</f>
        <v>0</v>
      </c>
      <c r="X417" s="246">
        <f>_xlfn.XLOOKUP(FME_Ranking1[[#This Row],[FME ID]],FME_Input[FME_ID],FME_Input[ROADCLS])</f>
        <v>0</v>
      </c>
      <c r="Y417" s="230">
        <f>(FME_Ranking1[[#This Row],[Closures Raw]]/$X$2)*100</f>
        <v>0</v>
      </c>
      <c r="Z417" s="180">
        <f>FME_Ranking1[[#This Row],[Closures Score (Normalized, Unweighted)]]*$X$3</f>
        <v>0</v>
      </c>
      <c r="AA417" s="253">
        <f>_xlfn.XLOOKUP(FME_Ranking1[[#This Row],[FME ID]],FME_Input[FME_ID],FME_Input[ROAD_MILES100])</f>
        <v>36.153518676757813</v>
      </c>
      <c r="AB417" s="178">
        <f>(FME_Ranking1[[#This Row],[Miles Raw]]/$AA$2)*100</f>
        <v>0.4753539262194304</v>
      </c>
      <c r="AC417" s="178">
        <f>FME_Ranking1[[#This Row],[Miles Score (Normalized, Unweighted)]]*$AA$3</f>
        <v>4.7535392621943041E-2</v>
      </c>
      <c r="AD417" s="255">
        <f>_xlfn.XLOOKUP(FME_Ranking1[[#This Row],[FME ID]],FME_Input[FME_ID],FME_Input[FARMACRE100])</f>
        <v>110.6871032714844</v>
      </c>
      <c r="AE417" s="230">
        <f>(FME_Ranking1[[#This Row],[Ag Land Raw]]/$AD$2)*100</f>
        <v>4.5642406476898477E-3</v>
      </c>
      <c r="AF417" s="231">
        <f>FME_Ranking1[[#This Row],[Ag Land Score (Normalized, Unweighted)]]*$AD$3</f>
        <v>2.282120323844924E-4</v>
      </c>
      <c r="AG41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0.46001768356613976</v>
      </c>
      <c r="AH417" s="406">
        <f t="shared" si="6"/>
        <v>458</v>
      </c>
      <c r="AI41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0.46001768356613976</v>
      </c>
      <c r="AJ417" s="257">
        <f>FME_Ranking1[[#This Row],[Addition check]]-FME_Ranking1[[#This Row],[Weighted Score Based on Normalized Reported Factors]]</f>
        <v>0</v>
      </c>
      <c r="AK417" s="178">
        <f>_xlfn.RANK.EQ(AI417,$AI$6:$AI$2341,0)+COUNTIF($AI$6:AI417,AI417)-1</f>
        <v>466</v>
      </c>
    </row>
    <row r="418" spans="1:37" ht="12" customHeight="1" x14ac:dyDescent="0.25">
      <c r="A418" t="s">
        <v>8861</v>
      </c>
      <c r="B418">
        <f>_xlfn.XLOOKUP(FME_Ranking1[[#This Row],[FME ID]],FME_Input[FME_ID],FME_Input[RFPG_NUM])</f>
        <v>11</v>
      </c>
      <c r="C418" t="str">
        <f>_xlfn.XLOOKUP(FME_Ranking1[[#This Row],[FME ID]],FME_Input[FME_ID],FME_Input[FME_NAME])</f>
        <v>City of Victoria Stream Restoration Study</v>
      </c>
      <c r="D418" t="str">
        <f>_xlfn.XLOOKUP(FME_Ranking1[[#This Row],[FME ID]],FME_Input[FME_ID],FME_Input[DESCR])</f>
        <v>Study to implement a stream restoration/channelization program to ensure adequate drainage/diversion of storm water, throughout various City low water crossings, streambeds, creek sheds, tributaries, and riverine areas.</v>
      </c>
      <c r="E418" s="256">
        <f>_xlfn.XLOOKUP(FME_Ranking1[[#This Row],[FME ID]],FME_Input[FME_ID],FME_Input[FME_COST])</f>
        <v>500000</v>
      </c>
      <c r="F418" t="str">
        <f>_xlfn.XLOOKUP(FME_Ranking1[[#This Row],[FME ID]],FME_Input[FME_ID],FME_Input[EMER_NEED])</f>
        <v>No</v>
      </c>
      <c r="G418">
        <f>IF(FME_Ranking!F418="Yes",100,0)</f>
        <v>0</v>
      </c>
      <c r="H418">
        <f>FME_Ranking1[[#This Row],[Emergency Need Score (Normalized, Unweighted)]]*$F$3</f>
        <v>0</v>
      </c>
      <c r="I418" s="246">
        <f>_xlfn.XLOOKUP(FME_Ranking1[[#This Row],[FME ID]],FME_Input[FME_ID],FME_Input[STRUCT_100])</f>
        <v>1139</v>
      </c>
      <c r="J418" s="178">
        <f>(FME_Ranking1[[#This Row],[Structures 100 Raw]]/I$2)*100</f>
        <v>0.60992588784646362</v>
      </c>
      <c r="K418" s="178">
        <f>FME_Ranking1[[#This Row],[Structures 100  Score (Normalized, Unweighted)]]*$I$3</f>
        <v>9.1488883176969543E-2</v>
      </c>
      <c r="L418" s="246">
        <f>_xlfn.XLOOKUP(FME_Ranking1[[#This Row],[FME ID]],FME_Input[FME_ID],FME_Input[RES_STRUCT100])</f>
        <v>933</v>
      </c>
      <c r="M418" s="230">
        <f>(FME_Ranking1[[#This Row],[Res Structures Raw]]/L$2)*100</f>
        <v>0.66084911674292757</v>
      </c>
      <c r="N418" s="180">
        <f>FME_Ranking1[[#This Row],[Res Structures Score (Normalized, Unweighted)]]*$L$3</f>
        <v>6.6084911674292757E-2</v>
      </c>
      <c r="O418" s="244">
        <f>_xlfn.XLOOKUP(FME_Ranking1[[#This Row],[FME ID]],FME_Input[FME_ID],FME_Input[POP100])</f>
        <v>3181</v>
      </c>
      <c r="P418" s="178">
        <f>(FME_Ranking1[[#This Row],[Pop Raw]]/$O$2)*100</f>
        <v>0.32565586743625602</v>
      </c>
      <c r="Q418" s="178">
        <f>FME_Ranking1[[#This Row],[Pop Score (Normalized, Unweighted)]]*$O$3</f>
        <v>4.8848380115438399E-2</v>
      </c>
      <c r="R418" s="137">
        <f>_xlfn.XLOOKUP(FME_Ranking1[[#This Row],[FME ID]],FME_Input[FME_ID],FME_Input[CRITFAC100])</f>
        <v>24</v>
      </c>
      <c r="S418" s="230">
        <f>(FME_Ranking1[[#This Row],[Critical Facilities Raw]]/$R$2)*100</f>
        <v>1.0291595197255576</v>
      </c>
      <c r="T418" s="180">
        <f>FME_Ranking1[[#This Row],[Critical Facilities Score (Normalized, Unweighted)]]*$R$3</f>
        <v>0.20583190394511153</v>
      </c>
      <c r="U418">
        <f>_xlfn.XLOOKUP(FME_Ranking1[[#This Row],[FME ID]],FME_Input[FME_ID],FME_Input[LWC])</f>
        <v>0</v>
      </c>
      <c r="V418" s="178">
        <f>(FME_Ranking1[[#This Row],[LWC Raw]]/$U$2)*100</f>
        <v>0</v>
      </c>
      <c r="W418" s="178">
        <f>FME_Ranking1[[#This Row],[LWC Score (Normalized, Unweighted)]]*$U$3</f>
        <v>0</v>
      </c>
      <c r="X418" s="246">
        <f>_xlfn.XLOOKUP(FME_Ranking1[[#This Row],[FME ID]],FME_Input[FME_ID],FME_Input[ROADCLS])</f>
        <v>0</v>
      </c>
      <c r="Y418" s="230">
        <f>(FME_Ranking1[[#This Row],[Closures Raw]]/$X$2)*100</f>
        <v>0</v>
      </c>
      <c r="Z418" s="180">
        <f>FME_Ranking1[[#This Row],[Closures Score (Normalized, Unweighted)]]*$X$3</f>
        <v>0</v>
      </c>
      <c r="AA418" s="253">
        <f>_xlfn.XLOOKUP(FME_Ranking1[[#This Row],[FME ID]],FME_Input[FME_ID],FME_Input[ROAD_MILES100])</f>
        <v>36.153518676757813</v>
      </c>
      <c r="AB418" s="178">
        <f>(FME_Ranking1[[#This Row],[Miles Raw]]/$AA$2)*100</f>
        <v>0.4753539262194304</v>
      </c>
      <c r="AC418" s="178">
        <f>FME_Ranking1[[#This Row],[Miles Score (Normalized, Unweighted)]]*$AA$3</f>
        <v>4.7535392621943041E-2</v>
      </c>
      <c r="AD418" s="255">
        <f>_xlfn.XLOOKUP(FME_Ranking1[[#This Row],[FME ID]],FME_Input[FME_ID],FME_Input[FARMACRE100])</f>
        <v>110.6871032714844</v>
      </c>
      <c r="AE418" s="230">
        <f>(FME_Ranking1[[#This Row],[Ag Land Raw]]/$AD$2)*100</f>
        <v>4.5642406476898477E-3</v>
      </c>
      <c r="AF418" s="231">
        <f>FME_Ranking1[[#This Row],[Ag Land Score (Normalized, Unweighted)]]*$AD$3</f>
        <v>2.282120323844924E-4</v>
      </c>
      <c r="AG41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0.46001768356613976</v>
      </c>
      <c r="AH418" s="406">
        <f t="shared" si="6"/>
        <v>458</v>
      </c>
      <c r="AI41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0.46001768356613976</v>
      </c>
      <c r="AJ418" s="257">
        <f>FME_Ranking1[[#This Row],[Addition check]]-FME_Ranking1[[#This Row],[Weighted Score Based on Normalized Reported Factors]]</f>
        <v>0</v>
      </c>
      <c r="AK418" s="178">
        <f>_xlfn.RANK.EQ(AI418,$AI$6:$AI$2341,0)+COUNTIF($AI$6:AI418,AI418)-1</f>
        <v>467</v>
      </c>
    </row>
    <row r="419" spans="1:37" ht="12" customHeight="1" x14ac:dyDescent="0.25">
      <c r="A419" t="s">
        <v>6235</v>
      </c>
      <c r="B419">
        <f>_xlfn.XLOOKUP(FME_Ranking1[[#This Row],[FME ID]],FME_Input[FME_ID],FME_Input[RFPG_NUM])</f>
        <v>5</v>
      </c>
      <c r="C419" t="str">
        <f>_xlfn.XLOOKUP(FME_Ranking1[[#This Row],[FME ID]],FME_Input[FME_ID],FME_Input[FME_NAME])</f>
        <v>City of Lufkin Master Drainage Plan</v>
      </c>
      <c r="D419"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419" s="256">
        <f>_xlfn.XLOOKUP(FME_Ranking1[[#This Row],[FME ID]],FME_Input[FME_ID],FME_Input[FME_COST])</f>
        <v>1000000</v>
      </c>
      <c r="F419" t="str">
        <f>_xlfn.XLOOKUP(FME_Ranking1[[#This Row],[FME ID]],FME_Input[FME_ID],FME_Input[EMER_NEED])</f>
        <v>Yes</v>
      </c>
      <c r="G419">
        <f>IF(FME_Ranking!F419="Yes",100,0)</f>
        <v>100</v>
      </c>
      <c r="H419">
        <f>FME_Ranking1[[#This Row],[Emergency Need Score (Normalized, Unweighted)]]*$F$3</f>
        <v>0</v>
      </c>
      <c r="I419" s="246">
        <f>_xlfn.XLOOKUP(FME_Ranking1[[#This Row],[FME ID]],FME_Input[FME_ID],FME_Input[STRUCT_100])</f>
        <v>868</v>
      </c>
      <c r="J419" s="178">
        <f>(FME_Ranking1[[#This Row],[Structures 100 Raw]]/I$2)*100</f>
        <v>0.46480743691899074</v>
      </c>
      <c r="K419" s="178">
        <f>FME_Ranking1[[#This Row],[Structures 100  Score (Normalized, Unweighted)]]*$I$3</f>
        <v>6.9721115537848613E-2</v>
      </c>
      <c r="L419" s="246">
        <f>_xlfn.XLOOKUP(FME_Ranking1[[#This Row],[FME ID]],FME_Input[FME_ID],FME_Input[RES_STRUCT100])</f>
        <v>552</v>
      </c>
      <c r="M419" s="230">
        <f>(FME_Ranking1[[#This Row],[Res Structures Raw]]/L$2)*100</f>
        <v>0.39098468643311474</v>
      </c>
      <c r="N419" s="180">
        <f>FME_Ranking1[[#This Row],[Res Structures Score (Normalized, Unweighted)]]*$L$3</f>
        <v>3.9098468643311478E-2</v>
      </c>
      <c r="O419" s="244">
        <f>_xlfn.XLOOKUP(FME_Ranking1[[#This Row],[FME ID]],FME_Input[FME_ID],FME_Input[POP100])</f>
        <v>7464</v>
      </c>
      <c r="P419" s="178">
        <f>(FME_Ranking1[[#This Row],[Pop Raw]]/$O$2)*100</f>
        <v>0.76412932868412919</v>
      </c>
      <c r="Q419" s="178">
        <f>FME_Ranking1[[#This Row],[Pop Score (Normalized, Unweighted)]]*$O$3</f>
        <v>0.11461939930261937</v>
      </c>
      <c r="R419" s="137">
        <f>_xlfn.XLOOKUP(FME_Ranking1[[#This Row],[FME ID]],FME_Input[FME_ID],FME_Input[CRITFAC100])</f>
        <v>5</v>
      </c>
      <c r="S419" s="230">
        <f>(FME_Ranking1[[#This Row],[Critical Facilities Raw]]/$R$2)*100</f>
        <v>0.21440823327615782</v>
      </c>
      <c r="T419" s="180">
        <f>FME_Ranking1[[#This Row],[Critical Facilities Score (Normalized, Unweighted)]]*$R$3</f>
        <v>4.2881646655231566E-2</v>
      </c>
      <c r="U419">
        <f>_xlfn.XLOOKUP(FME_Ranking1[[#This Row],[FME ID]],FME_Input[FME_ID],FME_Input[LWC])</f>
        <v>12</v>
      </c>
      <c r="V419" s="178">
        <f>(FME_Ranking1[[#This Row],[LWC Raw]]/$U$2)*100</f>
        <v>0.69084628670120896</v>
      </c>
      <c r="W419" s="178">
        <f>FME_Ranking1[[#This Row],[LWC Score (Normalized, Unweighted)]]*$U$3</f>
        <v>0.1381692573402418</v>
      </c>
      <c r="X419" s="246">
        <f>_xlfn.XLOOKUP(FME_Ranking1[[#This Row],[FME ID]],FME_Input[FME_ID],FME_Input[ROADCLS])</f>
        <v>12</v>
      </c>
      <c r="Y419" s="230">
        <f>(FME_Ranking1[[#This Row],[Closures Raw]]/$X$2)*100</f>
        <v>0.12616969824413837</v>
      </c>
      <c r="Z419" s="180">
        <f>FME_Ranking1[[#This Row],[Closures Score (Normalized, Unweighted)]]*$X$3</f>
        <v>6.308484912206919E-3</v>
      </c>
      <c r="AA419" s="253">
        <f>_xlfn.XLOOKUP(FME_Ranking1[[#This Row],[FME ID]],FME_Input[FME_ID],FME_Input[ROAD_MILES100])</f>
        <v>23.343198776245121</v>
      </c>
      <c r="AB419" s="178">
        <f>(FME_Ranking1[[#This Row],[Miles Raw]]/$AA$2)*100</f>
        <v>0.30692119591508088</v>
      </c>
      <c r="AC419" s="178">
        <f>FME_Ranking1[[#This Row],[Miles Score (Normalized, Unweighted)]]*$AA$3</f>
        <v>3.0692119591508089E-2</v>
      </c>
      <c r="AD419" s="255">
        <f>_xlfn.XLOOKUP(FME_Ranking1[[#This Row],[FME ID]],FME_Input[FME_ID],FME_Input[FARMACRE100])</f>
        <v>3.234074592590332</v>
      </c>
      <c r="AE419" s="230">
        <f>(FME_Ranking1[[#This Row],[Ag Land Raw]]/$AD$2)*100</f>
        <v>1.3335875885157962E-4</v>
      </c>
      <c r="AF419" s="231">
        <f>FME_Ranking1[[#This Row],[Ag Land Score (Normalized, Unweighted)]]*$AD$3</f>
        <v>6.6679379425789808E-6</v>
      </c>
      <c r="AG41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0.44149715992091043</v>
      </c>
      <c r="AH419" s="406">
        <f t="shared" si="6"/>
        <v>484</v>
      </c>
      <c r="AI41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0.44149715992091043</v>
      </c>
      <c r="AJ419" s="257">
        <f>FME_Ranking1[[#This Row],[Addition check]]-FME_Ranking1[[#This Row],[Weighted Score Based on Normalized Reported Factors]]</f>
        <v>0</v>
      </c>
      <c r="AK419" s="178">
        <f>_xlfn.RANK.EQ(AI419,$AI$6:$AI$2341,0)+COUNTIF($AI$6:AI419,AI419)-1</f>
        <v>484</v>
      </c>
    </row>
    <row r="420" spans="1:37" ht="12" customHeight="1" x14ac:dyDescent="0.25">
      <c r="A420" t="s">
        <v>1100</v>
      </c>
      <c r="B420">
        <f>_xlfn.XLOOKUP(FME_Ranking1[[#This Row],[FME ID]],FME_Input[FME_ID],FME_Input[RFPG_NUM])</f>
        <v>6</v>
      </c>
      <c r="C420" t="str">
        <f>_xlfn.XLOOKUP(FME_Ranking1[[#This Row],[FME ID]],FME_Input[FME_ID],FME_Input[FME_NAME])</f>
        <v>Update City of Friendswood Storm Surge Maps to Reflect the NWS Predictions</v>
      </c>
      <c r="D420" t="str">
        <f>_xlfn.XLOOKUP(FME_Ranking1[[#This Row],[FME ID]],FME_Input[FME_ID],FME_Input[DESCR])</f>
        <v xml:space="preserve">Study to update city storm surge maps based upon the NWS predicted storm surge and projected track for landfall.  The new maps may more accurately display water depth in areas within the city. </v>
      </c>
      <c r="E420" s="256">
        <f>_xlfn.XLOOKUP(FME_Ranking1[[#This Row],[FME ID]],FME_Input[FME_ID],FME_Input[FME_COST])</f>
        <v>140000</v>
      </c>
      <c r="F420" t="str">
        <f>_xlfn.XLOOKUP(FME_Ranking1[[#This Row],[FME ID]],FME_Input[FME_ID],FME_Input[EMER_NEED])</f>
        <v>No</v>
      </c>
      <c r="G420">
        <f>IF(FME_Ranking!F420="Yes",100,0)</f>
        <v>0</v>
      </c>
      <c r="H420">
        <f>FME_Ranking1[[#This Row],[Emergency Need Score (Normalized, Unweighted)]]*$F$3</f>
        <v>0</v>
      </c>
      <c r="I420" s="246">
        <f>_xlfn.XLOOKUP(FME_Ranking1[[#This Row],[FME ID]],FME_Input[FME_ID],FME_Input[STRUCT_100])</f>
        <v>1680</v>
      </c>
      <c r="J420" s="178">
        <f>(FME_Ranking1[[#This Row],[Structures 100 Raw]]/I$2)*100</f>
        <v>0.89962729726256274</v>
      </c>
      <c r="K420" s="178">
        <f>FME_Ranking1[[#This Row],[Structures 100  Score (Normalized, Unweighted)]]*$I$3</f>
        <v>0.13494409458938442</v>
      </c>
      <c r="L420" s="246">
        <f>_xlfn.XLOOKUP(FME_Ranking1[[#This Row],[FME ID]],FME_Input[FME_ID],FME_Input[RES_STRUCT100])</f>
        <v>1601</v>
      </c>
      <c r="M420" s="230">
        <f>(FME_Ranking1[[#This Row],[Res Structures Raw]]/L$2)*100</f>
        <v>1.1339972517743055</v>
      </c>
      <c r="N420" s="180">
        <f>FME_Ranking1[[#This Row],[Res Structures Score (Normalized, Unweighted)]]*$L$3</f>
        <v>0.11339972517743056</v>
      </c>
      <c r="O420" s="244">
        <f>_xlfn.XLOOKUP(FME_Ranking1[[#This Row],[FME ID]],FME_Input[FME_ID],FME_Input[POP100])</f>
        <v>5467</v>
      </c>
      <c r="P420" s="178">
        <f>(FME_Ranking1[[#This Row],[Pop Raw]]/$O$2)*100</f>
        <v>0.55968583064256894</v>
      </c>
      <c r="Q420" s="178">
        <f>FME_Ranking1[[#This Row],[Pop Score (Normalized, Unweighted)]]*$O$3</f>
        <v>8.3952874596385341E-2</v>
      </c>
      <c r="R420" s="137">
        <f>_xlfn.XLOOKUP(FME_Ranking1[[#This Row],[FME ID]],FME_Input[FME_ID],FME_Input[CRITFAC100])</f>
        <v>2</v>
      </c>
      <c r="S420" s="230">
        <f>(FME_Ranking1[[#This Row],[Critical Facilities Raw]]/$R$2)*100</f>
        <v>8.5763293310463118E-2</v>
      </c>
      <c r="T420" s="180">
        <f>FME_Ranking1[[#This Row],[Critical Facilities Score (Normalized, Unweighted)]]*$R$3</f>
        <v>1.7152658662092625E-2</v>
      </c>
      <c r="U420">
        <f>_xlfn.XLOOKUP(FME_Ranking1[[#This Row],[FME ID]],FME_Input[FME_ID],FME_Input[LWC])</f>
        <v>5</v>
      </c>
      <c r="V420" s="178">
        <f>(FME_Ranking1[[#This Row],[LWC Raw]]/$U$2)*100</f>
        <v>0.28785261945883706</v>
      </c>
      <c r="W420" s="178">
        <f>FME_Ranking1[[#This Row],[LWC Score (Normalized, Unweighted)]]*$U$3</f>
        <v>5.7570523891767415E-2</v>
      </c>
      <c r="X420" s="246">
        <f>_xlfn.XLOOKUP(FME_Ranking1[[#This Row],[FME ID]],FME_Input[FME_ID],FME_Input[ROADCLS])</f>
        <v>5</v>
      </c>
      <c r="Y420" s="230">
        <f>(FME_Ranking1[[#This Row],[Closures Raw]]/$X$2)*100</f>
        <v>5.2570707601724324E-2</v>
      </c>
      <c r="Z420" s="180">
        <f>FME_Ranking1[[#This Row],[Closures Score (Normalized, Unweighted)]]*$X$3</f>
        <v>2.6285353800862164E-3</v>
      </c>
      <c r="AA420" s="253">
        <f>_xlfn.XLOOKUP(FME_Ranking1[[#This Row],[FME ID]],FME_Input[FME_ID],FME_Input[ROAD_MILES100])</f>
        <v>37.720420837402337</v>
      </c>
      <c r="AB420" s="178">
        <f>(FME_Ranking1[[#This Row],[Miles Raw]]/$AA$2)*100</f>
        <v>0.49595587926094487</v>
      </c>
      <c r="AC420" s="178">
        <f>FME_Ranking1[[#This Row],[Miles Score (Normalized, Unweighted)]]*$AA$3</f>
        <v>4.9595587926094489E-2</v>
      </c>
      <c r="AD420" s="255">
        <f>_xlfn.XLOOKUP(FME_Ranking1[[#This Row],[FME ID]],FME_Input[FME_ID],FME_Input[FARMACRE100])</f>
        <v>18.37308311462402</v>
      </c>
      <c r="AE420" s="230">
        <f>(FME_Ranking1[[#This Row],[Ag Land Raw]]/$AD$2)*100</f>
        <v>7.5762370047274547E-4</v>
      </c>
      <c r="AF420" s="231">
        <f>FME_Ranking1[[#This Row],[Ag Land Score (Normalized, Unweighted)]]*$AD$3</f>
        <v>3.7881185023637279E-5</v>
      </c>
      <c r="AG42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0.4592818814082647</v>
      </c>
      <c r="AH420" s="406">
        <f t="shared" si="6"/>
        <v>468</v>
      </c>
      <c r="AI42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0.4592818814082647</v>
      </c>
      <c r="AJ420" s="257">
        <f>FME_Ranking1[[#This Row],[Addition check]]-FME_Ranking1[[#This Row],[Weighted Score Based on Normalized Reported Factors]]</f>
        <v>0</v>
      </c>
      <c r="AK420" s="178">
        <f>_xlfn.RANK.EQ(AI420,$AI$6:$AI$2341,0)+COUNTIF($AI$6:AI420,AI420)-1</f>
        <v>468</v>
      </c>
    </row>
    <row r="421" spans="1:37" ht="12" customHeight="1" x14ac:dyDescent="0.25">
      <c r="A421" t="s">
        <v>2156</v>
      </c>
      <c r="B421">
        <f>_xlfn.XLOOKUP(FME_Ranking1[[#This Row],[FME ID]],FME_Input[FME_ID],FME_Input[RFPG_NUM])</f>
        <v>6</v>
      </c>
      <c r="C421" t="str">
        <f>_xlfn.XLOOKUP(FME_Ranking1[[#This Row],[FME ID]],FME_Input[FME_ID],FME_Input[FME_NAME])</f>
        <v>City of Friendswood - Clear Creek Inline &amp; Offline Detention - Bay Area Blvd. Phase I</v>
      </c>
      <c r="D421" t="str">
        <f>_xlfn.XLOOKUP(FME_Ranking1[[#This Row],[FME ID]],FME_Input[FME_ID],FME_Input[DESCR])</f>
        <v xml:space="preserve">This project, which includes terraces, detention, and a trail network, will reduce water surface elevations on Clear Creek within the City of Friendswood and will make the Blackhawk Wastewater Treatment Facility more resilient. </v>
      </c>
      <c r="E421" s="256">
        <f>_xlfn.XLOOKUP(FME_Ranking1[[#This Row],[FME ID]],FME_Input[FME_ID],FME_Input[FME_COST])</f>
        <v>30000</v>
      </c>
      <c r="F421" t="str">
        <f>_xlfn.XLOOKUP(FME_Ranking1[[#This Row],[FME ID]],FME_Input[FME_ID],FME_Input[EMER_NEED])</f>
        <v>No</v>
      </c>
      <c r="G421">
        <f>IF(FME_Ranking!F421="Yes",100,0)</f>
        <v>0</v>
      </c>
      <c r="H421">
        <f>FME_Ranking1[[#This Row],[Emergency Need Score (Normalized, Unweighted)]]*$F$3</f>
        <v>0</v>
      </c>
      <c r="I421" s="246">
        <f>_xlfn.XLOOKUP(FME_Ranking1[[#This Row],[FME ID]],FME_Input[FME_ID],FME_Input[STRUCT_100])</f>
        <v>1680</v>
      </c>
      <c r="J421" s="178">
        <f>(FME_Ranking1[[#This Row],[Structures 100 Raw]]/I$2)*100</f>
        <v>0.89962729726256274</v>
      </c>
      <c r="K421" s="178">
        <f>FME_Ranking1[[#This Row],[Structures 100  Score (Normalized, Unweighted)]]*$I$3</f>
        <v>0.13494409458938442</v>
      </c>
      <c r="L421" s="246">
        <f>_xlfn.XLOOKUP(FME_Ranking1[[#This Row],[FME ID]],FME_Input[FME_ID],FME_Input[RES_STRUCT100])</f>
        <v>1601</v>
      </c>
      <c r="M421" s="230">
        <f>(FME_Ranking1[[#This Row],[Res Structures Raw]]/L$2)*100</f>
        <v>1.1339972517743055</v>
      </c>
      <c r="N421" s="180">
        <f>FME_Ranking1[[#This Row],[Res Structures Score (Normalized, Unweighted)]]*$L$3</f>
        <v>0.11339972517743056</v>
      </c>
      <c r="O421" s="244">
        <f>_xlfn.XLOOKUP(FME_Ranking1[[#This Row],[FME ID]],FME_Input[FME_ID],FME_Input[POP100])</f>
        <v>5467</v>
      </c>
      <c r="P421" s="178">
        <f>(FME_Ranking1[[#This Row],[Pop Raw]]/$O$2)*100</f>
        <v>0.55968583064256894</v>
      </c>
      <c r="Q421" s="178">
        <f>FME_Ranking1[[#This Row],[Pop Score (Normalized, Unweighted)]]*$O$3</f>
        <v>8.3952874596385341E-2</v>
      </c>
      <c r="R421" s="137">
        <f>_xlfn.XLOOKUP(FME_Ranking1[[#This Row],[FME ID]],FME_Input[FME_ID],FME_Input[CRITFAC100])</f>
        <v>2</v>
      </c>
      <c r="S421" s="230">
        <f>(FME_Ranking1[[#This Row],[Critical Facilities Raw]]/$R$2)*100</f>
        <v>8.5763293310463118E-2</v>
      </c>
      <c r="T421" s="180">
        <f>FME_Ranking1[[#This Row],[Critical Facilities Score (Normalized, Unweighted)]]*$R$3</f>
        <v>1.7152658662092625E-2</v>
      </c>
      <c r="U421">
        <f>_xlfn.XLOOKUP(FME_Ranking1[[#This Row],[FME ID]],FME_Input[FME_ID],FME_Input[LWC])</f>
        <v>5</v>
      </c>
      <c r="V421" s="178">
        <f>(FME_Ranking1[[#This Row],[LWC Raw]]/$U$2)*100</f>
        <v>0.28785261945883706</v>
      </c>
      <c r="W421" s="178">
        <f>FME_Ranking1[[#This Row],[LWC Score (Normalized, Unweighted)]]*$U$3</f>
        <v>5.7570523891767415E-2</v>
      </c>
      <c r="X421" s="246">
        <f>_xlfn.XLOOKUP(FME_Ranking1[[#This Row],[FME ID]],FME_Input[FME_ID],FME_Input[ROADCLS])</f>
        <v>5</v>
      </c>
      <c r="Y421" s="230">
        <f>(FME_Ranking1[[#This Row],[Closures Raw]]/$X$2)*100</f>
        <v>5.2570707601724324E-2</v>
      </c>
      <c r="Z421" s="180">
        <f>FME_Ranking1[[#This Row],[Closures Score (Normalized, Unweighted)]]*$X$3</f>
        <v>2.6285353800862164E-3</v>
      </c>
      <c r="AA421" s="253">
        <f>_xlfn.XLOOKUP(FME_Ranking1[[#This Row],[FME ID]],FME_Input[FME_ID],FME_Input[ROAD_MILES100])</f>
        <v>37.720420837402337</v>
      </c>
      <c r="AB421" s="178">
        <f>(FME_Ranking1[[#This Row],[Miles Raw]]/$AA$2)*100</f>
        <v>0.49595587926094487</v>
      </c>
      <c r="AC421" s="178">
        <f>FME_Ranking1[[#This Row],[Miles Score (Normalized, Unweighted)]]*$AA$3</f>
        <v>4.9595587926094489E-2</v>
      </c>
      <c r="AD421" s="255">
        <f>_xlfn.XLOOKUP(FME_Ranking1[[#This Row],[FME ID]],FME_Input[FME_ID],FME_Input[FARMACRE100])</f>
        <v>18.37308311462402</v>
      </c>
      <c r="AE421" s="230">
        <f>(FME_Ranking1[[#This Row],[Ag Land Raw]]/$AD$2)*100</f>
        <v>7.5762370047274547E-4</v>
      </c>
      <c r="AF421" s="231">
        <f>FME_Ranking1[[#This Row],[Ag Land Score (Normalized, Unweighted)]]*$AD$3</f>
        <v>3.7881185023637279E-5</v>
      </c>
      <c r="AG42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0.4592818814082647</v>
      </c>
      <c r="AH421" s="406">
        <f t="shared" si="6"/>
        <v>468</v>
      </c>
      <c r="AI42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0.4592818814082647</v>
      </c>
      <c r="AJ421" s="257">
        <f>FME_Ranking1[[#This Row],[Addition check]]-FME_Ranking1[[#This Row],[Weighted Score Based on Normalized Reported Factors]]</f>
        <v>0</v>
      </c>
      <c r="AK421" s="178">
        <f>_xlfn.RANK.EQ(AI421,$AI$6:$AI$2341,0)+COUNTIF($AI$6:AI421,AI421)-1</f>
        <v>469</v>
      </c>
    </row>
    <row r="422" spans="1:37" ht="12" customHeight="1" x14ac:dyDescent="0.25">
      <c r="A422" t="s">
        <v>1236</v>
      </c>
      <c r="B422">
        <f>_xlfn.XLOOKUP(FME_Ranking1[[#This Row],[FME ID]],FME_Input[FME_ID],FME_Input[RFPG_NUM])</f>
        <v>6</v>
      </c>
      <c r="C422" t="str">
        <f>_xlfn.XLOOKUP(FME_Ranking1[[#This Row],[FME ID]],FME_Input[FME_ID],FME_Input[FME_NAME])</f>
        <v>Shadowbend Drainage Improvements Phase 2</v>
      </c>
      <c r="D422" t="str">
        <f>_xlfn.XLOOKUP(FME_Ranking1[[#This Row],[FME ID]],FME_Input[FME_ID],FME_Input[DESCR])</f>
        <v>Further study of component of 1993 master Drainage Plan Phase 1 to include Atlas 14 rainfall.</v>
      </c>
      <c r="E422" s="256">
        <f>_xlfn.XLOOKUP(FME_Ranking1[[#This Row],[FME ID]],FME_Input[FME_ID],FME_Input[FME_COST])</f>
        <v>950000</v>
      </c>
      <c r="F422" t="str">
        <f>_xlfn.XLOOKUP(FME_Ranking1[[#This Row],[FME ID]],FME_Input[FME_ID],FME_Input[EMER_NEED])</f>
        <v>No</v>
      </c>
      <c r="G422">
        <f>IF(FME_Ranking!F422="Yes",100,0)</f>
        <v>0</v>
      </c>
      <c r="H422">
        <f>FME_Ranking1[[#This Row],[Emergency Need Score (Normalized, Unweighted)]]*$F$3</f>
        <v>0</v>
      </c>
      <c r="I422" s="246">
        <f>_xlfn.XLOOKUP(FME_Ranking1[[#This Row],[FME ID]],FME_Input[FME_ID],FME_Input[STRUCT_100])</f>
        <v>1680</v>
      </c>
      <c r="J422" s="178">
        <f>(FME_Ranking1[[#This Row],[Structures 100 Raw]]/I$2)*100</f>
        <v>0.89962729726256274</v>
      </c>
      <c r="K422" s="178">
        <f>FME_Ranking1[[#This Row],[Structures 100  Score (Normalized, Unweighted)]]*$I$3</f>
        <v>0.13494409458938442</v>
      </c>
      <c r="L422" s="246">
        <f>_xlfn.XLOOKUP(FME_Ranking1[[#This Row],[FME ID]],FME_Input[FME_ID],FME_Input[RES_STRUCT100])</f>
        <v>1601</v>
      </c>
      <c r="M422" s="230">
        <f>(FME_Ranking1[[#This Row],[Res Structures Raw]]/L$2)*100</f>
        <v>1.1339972517743055</v>
      </c>
      <c r="N422" s="180">
        <f>FME_Ranking1[[#This Row],[Res Structures Score (Normalized, Unweighted)]]*$L$3</f>
        <v>0.11339972517743056</v>
      </c>
      <c r="O422" s="244">
        <f>_xlfn.XLOOKUP(FME_Ranking1[[#This Row],[FME ID]],FME_Input[FME_ID],FME_Input[POP100])</f>
        <v>5467</v>
      </c>
      <c r="P422" s="178">
        <f>(FME_Ranking1[[#This Row],[Pop Raw]]/$O$2)*100</f>
        <v>0.55968583064256894</v>
      </c>
      <c r="Q422" s="178">
        <f>FME_Ranking1[[#This Row],[Pop Score (Normalized, Unweighted)]]*$O$3</f>
        <v>8.3952874596385341E-2</v>
      </c>
      <c r="R422" s="137">
        <f>_xlfn.XLOOKUP(FME_Ranking1[[#This Row],[FME ID]],FME_Input[FME_ID],FME_Input[CRITFAC100])</f>
        <v>2</v>
      </c>
      <c r="S422" s="230">
        <f>(FME_Ranking1[[#This Row],[Critical Facilities Raw]]/$R$2)*100</f>
        <v>8.5763293310463118E-2</v>
      </c>
      <c r="T422" s="180">
        <f>FME_Ranking1[[#This Row],[Critical Facilities Score (Normalized, Unweighted)]]*$R$3</f>
        <v>1.7152658662092625E-2</v>
      </c>
      <c r="U422">
        <f>_xlfn.XLOOKUP(FME_Ranking1[[#This Row],[FME ID]],FME_Input[FME_ID],FME_Input[LWC])</f>
        <v>5</v>
      </c>
      <c r="V422" s="178">
        <f>(FME_Ranking1[[#This Row],[LWC Raw]]/$U$2)*100</f>
        <v>0.28785261945883706</v>
      </c>
      <c r="W422" s="178">
        <f>FME_Ranking1[[#This Row],[LWC Score (Normalized, Unweighted)]]*$U$3</f>
        <v>5.7570523891767415E-2</v>
      </c>
      <c r="X422" s="246">
        <f>_xlfn.XLOOKUP(FME_Ranking1[[#This Row],[FME ID]],FME_Input[FME_ID],FME_Input[ROADCLS])</f>
        <v>5</v>
      </c>
      <c r="Y422" s="230">
        <f>(FME_Ranking1[[#This Row],[Closures Raw]]/$X$2)*100</f>
        <v>5.2570707601724324E-2</v>
      </c>
      <c r="Z422" s="180">
        <f>FME_Ranking1[[#This Row],[Closures Score (Normalized, Unweighted)]]*$X$3</f>
        <v>2.6285353800862164E-3</v>
      </c>
      <c r="AA422" s="253">
        <f>_xlfn.XLOOKUP(FME_Ranking1[[#This Row],[FME ID]],FME_Input[FME_ID],FME_Input[ROAD_MILES100])</f>
        <v>37.720420837402337</v>
      </c>
      <c r="AB422" s="178">
        <f>(FME_Ranking1[[#This Row],[Miles Raw]]/$AA$2)*100</f>
        <v>0.49595587926094487</v>
      </c>
      <c r="AC422" s="178">
        <f>FME_Ranking1[[#This Row],[Miles Score (Normalized, Unweighted)]]*$AA$3</f>
        <v>4.9595587926094489E-2</v>
      </c>
      <c r="AD422" s="255">
        <f>_xlfn.XLOOKUP(FME_Ranking1[[#This Row],[FME ID]],FME_Input[FME_ID],FME_Input[FARMACRE100])</f>
        <v>18.37308311462402</v>
      </c>
      <c r="AE422" s="230">
        <f>(FME_Ranking1[[#This Row],[Ag Land Raw]]/$AD$2)*100</f>
        <v>7.5762370047274547E-4</v>
      </c>
      <c r="AF422" s="231">
        <f>FME_Ranking1[[#This Row],[Ag Land Score (Normalized, Unweighted)]]*$AD$3</f>
        <v>3.7881185023637279E-5</v>
      </c>
      <c r="AG42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0.4592818814082647</v>
      </c>
      <c r="AH422" s="406">
        <f t="shared" si="6"/>
        <v>468</v>
      </c>
      <c r="AI42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0.4592818814082647</v>
      </c>
      <c r="AJ422" s="257">
        <f>FME_Ranking1[[#This Row],[Addition check]]-FME_Ranking1[[#This Row],[Weighted Score Based on Normalized Reported Factors]]</f>
        <v>0</v>
      </c>
      <c r="AK422" s="178">
        <f>_xlfn.RANK.EQ(AI422,$AI$6:$AI$2341,0)+COUNTIF($AI$6:AI422,AI422)-1</f>
        <v>470</v>
      </c>
    </row>
    <row r="423" spans="1:37" ht="12" customHeight="1" x14ac:dyDescent="0.25">
      <c r="A423" t="s">
        <v>1573</v>
      </c>
      <c r="B423">
        <f>_xlfn.XLOOKUP(FME_Ranking1[[#This Row],[FME ID]],FME_Input[FME_ID],FME_Input[RFPG_NUM])</f>
        <v>6</v>
      </c>
      <c r="C423" t="str">
        <f>_xlfn.XLOOKUP(FME_Ranking1[[#This Row],[FME ID]],FME_Input[FME_ID],FME_Input[FME_NAME])</f>
        <v>City of Friendswood  Master Drainage Plan</v>
      </c>
      <c r="D423" t="str">
        <f>_xlfn.XLOOKUP(FME_Ranking1[[#This Row],[FME ID]],FME_Input[FME_ID],FME_Input[DESCR])</f>
        <v>Study to develop Master Drainage Plan using future and existing land use and flood/storm water drainage needs including Atlas 14 rainfall.</v>
      </c>
      <c r="E423" s="256">
        <f>_xlfn.XLOOKUP(FME_Ranking1[[#This Row],[FME ID]],FME_Input[FME_ID],FME_Input[FME_COST])</f>
        <v>750000</v>
      </c>
      <c r="F423" t="str">
        <f>_xlfn.XLOOKUP(FME_Ranking1[[#This Row],[FME ID]],FME_Input[FME_ID],FME_Input[EMER_NEED])</f>
        <v>Yes</v>
      </c>
      <c r="G423">
        <f>IF(FME_Ranking!F423="Yes",100,0)</f>
        <v>100</v>
      </c>
      <c r="H423">
        <f>FME_Ranking1[[#This Row],[Emergency Need Score (Normalized, Unweighted)]]*$F$3</f>
        <v>0</v>
      </c>
      <c r="I423" s="246">
        <f>_xlfn.XLOOKUP(FME_Ranking1[[#This Row],[FME ID]],FME_Input[FME_ID],FME_Input[STRUCT_100])</f>
        <v>1680</v>
      </c>
      <c r="J423" s="178">
        <f>(FME_Ranking1[[#This Row],[Structures 100 Raw]]/I$2)*100</f>
        <v>0.89962729726256274</v>
      </c>
      <c r="K423" s="178">
        <f>FME_Ranking1[[#This Row],[Structures 100  Score (Normalized, Unweighted)]]*$I$3</f>
        <v>0.13494409458938442</v>
      </c>
      <c r="L423" s="246">
        <f>_xlfn.XLOOKUP(FME_Ranking1[[#This Row],[FME ID]],FME_Input[FME_ID],FME_Input[RES_STRUCT100])</f>
        <v>1601</v>
      </c>
      <c r="M423" s="230">
        <f>(FME_Ranking1[[#This Row],[Res Structures Raw]]/L$2)*100</f>
        <v>1.1339972517743055</v>
      </c>
      <c r="N423" s="180">
        <f>FME_Ranking1[[#This Row],[Res Structures Score (Normalized, Unweighted)]]*$L$3</f>
        <v>0.11339972517743056</v>
      </c>
      <c r="O423" s="244">
        <f>_xlfn.XLOOKUP(FME_Ranking1[[#This Row],[FME ID]],FME_Input[FME_ID],FME_Input[POP100])</f>
        <v>5467</v>
      </c>
      <c r="P423" s="178">
        <f>(FME_Ranking1[[#This Row],[Pop Raw]]/$O$2)*100</f>
        <v>0.55968583064256894</v>
      </c>
      <c r="Q423" s="178">
        <f>FME_Ranking1[[#This Row],[Pop Score (Normalized, Unweighted)]]*$O$3</f>
        <v>8.3952874596385341E-2</v>
      </c>
      <c r="R423" s="137">
        <f>_xlfn.XLOOKUP(FME_Ranking1[[#This Row],[FME ID]],FME_Input[FME_ID],FME_Input[CRITFAC100])</f>
        <v>2</v>
      </c>
      <c r="S423" s="230">
        <f>(FME_Ranking1[[#This Row],[Critical Facilities Raw]]/$R$2)*100</f>
        <v>8.5763293310463118E-2</v>
      </c>
      <c r="T423" s="180">
        <f>FME_Ranking1[[#This Row],[Critical Facilities Score (Normalized, Unweighted)]]*$R$3</f>
        <v>1.7152658662092625E-2</v>
      </c>
      <c r="U423">
        <f>_xlfn.XLOOKUP(FME_Ranking1[[#This Row],[FME ID]],FME_Input[FME_ID],FME_Input[LWC])</f>
        <v>5</v>
      </c>
      <c r="V423" s="178">
        <f>(FME_Ranking1[[#This Row],[LWC Raw]]/$U$2)*100</f>
        <v>0.28785261945883706</v>
      </c>
      <c r="W423" s="178">
        <f>FME_Ranking1[[#This Row],[LWC Score (Normalized, Unweighted)]]*$U$3</f>
        <v>5.7570523891767415E-2</v>
      </c>
      <c r="X423" s="246">
        <f>_xlfn.XLOOKUP(FME_Ranking1[[#This Row],[FME ID]],FME_Input[FME_ID],FME_Input[ROADCLS])</f>
        <v>5</v>
      </c>
      <c r="Y423" s="230">
        <f>(FME_Ranking1[[#This Row],[Closures Raw]]/$X$2)*100</f>
        <v>5.2570707601724324E-2</v>
      </c>
      <c r="Z423" s="180">
        <f>FME_Ranking1[[#This Row],[Closures Score (Normalized, Unweighted)]]*$X$3</f>
        <v>2.6285353800862164E-3</v>
      </c>
      <c r="AA423" s="253">
        <f>_xlfn.XLOOKUP(FME_Ranking1[[#This Row],[FME ID]],FME_Input[FME_ID],FME_Input[ROAD_MILES100])</f>
        <v>37.720420837402337</v>
      </c>
      <c r="AB423" s="178">
        <f>(FME_Ranking1[[#This Row],[Miles Raw]]/$AA$2)*100</f>
        <v>0.49595587926094487</v>
      </c>
      <c r="AC423" s="178">
        <f>FME_Ranking1[[#This Row],[Miles Score (Normalized, Unweighted)]]*$AA$3</f>
        <v>4.9595587926094489E-2</v>
      </c>
      <c r="AD423" s="255">
        <f>_xlfn.XLOOKUP(FME_Ranking1[[#This Row],[FME ID]],FME_Input[FME_ID],FME_Input[FARMACRE100])</f>
        <v>18.37308311462402</v>
      </c>
      <c r="AE423" s="230">
        <f>(FME_Ranking1[[#This Row],[Ag Land Raw]]/$AD$2)*100</f>
        <v>7.5762370047274547E-4</v>
      </c>
      <c r="AF423" s="231">
        <f>FME_Ranking1[[#This Row],[Ag Land Score (Normalized, Unweighted)]]*$AD$3</f>
        <v>3.7881185023637279E-5</v>
      </c>
      <c r="AG42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0.4592818814082647</v>
      </c>
      <c r="AH423" s="406">
        <f t="shared" si="6"/>
        <v>468</v>
      </c>
      <c r="AI42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0.4592818814082647</v>
      </c>
      <c r="AJ423" s="257">
        <f>FME_Ranking1[[#This Row],[Addition check]]-FME_Ranking1[[#This Row],[Weighted Score Based on Normalized Reported Factors]]</f>
        <v>0</v>
      </c>
      <c r="AK423" s="178">
        <f>_xlfn.RANK.EQ(AI423,$AI$6:$AI$2341,0)+COUNTIF($AI$6:AI423,AI423)-1</f>
        <v>471</v>
      </c>
    </row>
    <row r="424" spans="1:37" ht="12" customHeight="1" x14ac:dyDescent="0.25">
      <c r="A424" t="s">
        <v>580</v>
      </c>
      <c r="B424">
        <f>_xlfn.XLOOKUP(FME_Ranking1[[#This Row],[FME ID]],FME_Input[FME_ID],FME_Input[RFPG_NUM])</f>
        <v>10</v>
      </c>
      <c r="C424" t="str">
        <f>_xlfn.XLOOKUP(FME_Ranking1[[#This Row],[FME ID]],FME_Input[FME_ID],FME_Input[FME_NAME])</f>
        <v>City-wide Flood Warning Systems</v>
      </c>
      <c r="D424" t="str">
        <f>_xlfn.XLOOKUP(FME_Ranking1[[#This Row],[FME ID]],FME_Input[FME_ID],FME_Input[DESCR])</f>
        <v>Implement warning systems</v>
      </c>
      <c r="E424" s="256">
        <f>_xlfn.XLOOKUP(FME_Ranking1[[#This Row],[FME ID]],FME_Input[FME_ID],FME_Input[FME_COST])</f>
        <v>250000</v>
      </c>
      <c r="F424" t="str">
        <f>_xlfn.XLOOKUP(FME_Ranking1[[#This Row],[FME ID]],FME_Input[FME_ID],FME_Input[EMER_NEED])</f>
        <v>No</v>
      </c>
      <c r="G424">
        <f>IF(FME_Ranking!F424="Yes",100,0)</f>
        <v>0</v>
      </c>
      <c r="H424">
        <f>FME_Ranking1[[#This Row],[Emergency Need Score (Normalized, Unweighted)]]*$F$3</f>
        <v>0</v>
      </c>
      <c r="I424" s="246">
        <f>_xlfn.XLOOKUP(FME_Ranking1[[#This Row],[FME ID]],FME_Input[FME_ID],FME_Input[STRUCT_100])</f>
        <v>1901</v>
      </c>
      <c r="J424" s="178">
        <f>(FME_Ranking1[[#This Row],[Structures 100 Raw]]/I$2)*100</f>
        <v>1.0179711262476974</v>
      </c>
      <c r="K424" s="178">
        <f>FME_Ranking1[[#This Row],[Structures 100  Score (Normalized, Unweighted)]]*$I$3</f>
        <v>0.15269566893715461</v>
      </c>
      <c r="L424" s="246">
        <f>_xlfn.XLOOKUP(FME_Ranking1[[#This Row],[FME ID]],FME_Input[FME_ID],FME_Input[RES_STRUCT100])</f>
        <v>1455</v>
      </c>
      <c r="M424" s="230">
        <f>(FME_Ranking1[[#This Row],[Res Structures Raw]]/L$2)*100</f>
        <v>1.0305846354351123</v>
      </c>
      <c r="N424" s="180">
        <f>FME_Ranking1[[#This Row],[Res Structures Score (Normalized, Unweighted)]]*$L$3</f>
        <v>0.10305846354351123</v>
      </c>
      <c r="O424" s="244">
        <f>_xlfn.XLOOKUP(FME_Ranking1[[#This Row],[FME ID]],FME_Input[FME_ID],FME_Input[POP100])</f>
        <v>6429</v>
      </c>
      <c r="P424" s="178">
        <f>(FME_Ranking1[[#This Row],[Pop Raw]]/$O$2)*100</f>
        <v>0.65817088077575925</v>
      </c>
      <c r="Q424" s="178">
        <f>FME_Ranking1[[#This Row],[Pop Score (Normalized, Unweighted)]]*$O$3</f>
        <v>9.8725632116363884E-2</v>
      </c>
      <c r="R424" s="137">
        <f>_xlfn.XLOOKUP(FME_Ranking1[[#This Row],[FME ID]],FME_Input[FME_ID],FME_Input[CRITFAC100])</f>
        <v>6</v>
      </c>
      <c r="S424" s="230">
        <f>(FME_Ranking1[[#This Row],[Critical Facilities Raw]]/$R$2)*100</f>
        <v>0.25728987993138941</v>
      </c>
      <c r="T424" s="180">
        <f>FME_Ranking1[[#This Row],[Critical Facilities Score (Normalized, Unweighted)]]*$R$3</f>
        <v>5.1457975986277882E-2</v>
      </c>
      <c r="U424">
        <f>_xlfn.XLOOKUP(FME_Ranking1[[#This Row],[FME ID]],FME_Input[FME_ID],FME_Input[LWC])</f>
        <v>0</v>
      </c>
      <c r="V424" s="178">
        <f>(FME_Ranking1[[#This Row],[LWC Raw]]/$U$2)*100</f>
        <v>0</v>
      </c>
      <c r="W424" s="178">
        <f>FME_Ranking1[[#This Row],[LWC Score (Normalized, Unweighted)]]*$U$3</f>
        <v>0</v>
      </c>
      <c r="X424" s="246">
        <f>_xlfn.XLOOKUP(FME_Ranking1[[#This Row],[FME ID]],FME_Input[FME_ID],FME_Input[ROADCLS])</f>
        <v>0</v>
      </c>
      <c r="Y424" s="230">
        <f>(FME_Ranking1[[#This Row],[Closures Raw]]/$X$2)*100</f>
        <v>0</v>
      </c>
      <c r="Z424" s="180">
        <f>FME_Ranking1[[#This Row],[Closures Score (Normalized, Unweighted)]]*$X$3</f>
        <v>0</v>
      </c>
      <c r="AA424" s="253">
        <f>_xlfn.XLOOKUP(FME_Ranking1[[#This Row],[FME ID]],FME_Input[FME_ID],FME_Input[ROAD_MILES100])</f>
        <v>57.100357055664063</v>
      </c>
      <c r="AB424" s="178">
        <f>(FME_Ranking1[[#This Row],[Miles Raw]]/$AA$2)*100</f>
        <v>0.75076728098365542</v>
      </c>
      <c r="AC424" s="178">
        <f>FME_Ranking1[[#This Row],[Miles Score (Normalized, Unweighted)]]*$AA$3</f>
        <v>7.5076728098365547E-2</v>
      </c>
      <c r="AD424" s="255">
        <f>_xlfn.XLOOKUP(FME_Ranking1[[#This Row],[FME ID]],FME_Input[FME_ID],FME_Input[FARMACRE100])</f>
        <v>1117.717529296875</v>
      </c>
      <c r="AE424" s="230">
        <f>(FME_Ranking1[[#This Row],[Ag Land Raw]]/$AD$2)*100</f>
        <v>4.608966744155947E-2</v>
      </c>
      <c r="AF424" s="231">
        <f>FME_Ranking1[[#This Row],[Ag Land Score (Normalized, Unweighted)]]*$AD$3</f>
        <v>2.3044833720779734E-3</v>
      </c>
      <c r="AG42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0.48331895205375103</v>
      </c>
      <c r="AH424" s="406">
        <f t="shared" si="6"/>
        <v>445</v>
      </c>
      <c r="AI42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0.48331895205375103</v>
      </c>
      <c r="AJ424" s="257">
        <f>FME_Ranking1[[#This Row],[Addition check]]-FME_Ranking1[[#This Row],[Weighted Score Based on Normalized Reported Factors]]</f>
        <v>0</v>
      </c>
      <c r="AK424" s="178">
        <f>_xlfn.RANK.EQ(AI424,$AI$6:$AI$2341,0)+COUNTIF($AI$6:AI424,AI424)-1</f>
        <v>445</v>
      </c>
    </row>
    <row r="425" spans="1:37" ht="12" customHeight="1" x14ac:dyDescent="0.25">
      <c r="A425" t="s">
        <v>587</v>
      </c>
      <c r="B425">
        <f>_xlfn.XLOOKUP(FME_Ranking1[[#This Row],[FME ID]],FME_Input[FME_ID],FME_Input[RFPG_NUM])</f>
        <v>10</v>
      </c>
      <c r="C425" t="str">
        <f>_xlfn.XLOOKUP(FME_Ranking1[[#This Row],[FME ID]],FME_Input[FME_ID],FME_Input[FME_NAME])</f>
        <v>City-wide Drainage Master Plan</v>
      </c>
      <c r="D425" t="str">
        <f>_xlfn.XLOOKUP(FME_Ranking1[[#This Row],[FME ID]],FME_Input[FME_ID],FME_Input[DESCR])</f>
        <v>Update/implement Drainage Master Plan</v>
      </c>
      <c r="E425" s="256">
        <f>_xlfn.XLOOKUP(FME_Ranking1[[#This Row],[FME ID]],FME_Input[FME_ID],FME_Input[FME_COST])</f>
        <v>250000</v>
      </c>
      <c r="F425" t="str">
        <f>_xlfn.XLOOKUP(FME_Ranking1[[#This Row],[FME ID]],FME_Input[FME_ID],FME_Input[EMER_NEED])</f>
        <v>No</v>
      </c>
      <c r="G425">
        <f>IF(FME_Ranking!F425="Yes",100,0)</f>
        <v>0</v>
      </c>
      <c r="H425">
        <f>FME_Ranking1[[#This Row],[Emergency Need Score (Normalized, Unweighted)]]*$F$3</f>
        <v>0</v>
      </c>
      <c r="I425" s="246">
        <f>_xlfn.XLOOKUP(FME_Ranking1[[#This Row],[FME ID]],FME_Input[FME_ID],FME_Input[STRUCT_100])</f>
        <v>1901</v>
      </c>
      <c r="J425" s="178">
        <f>(FME_Ranking1[[#This Row],[Structures 100 Raw]]/I$2)*100</f>
        <v>1.0179711262476974</v>
      </c>
      <c r="K425" s="178">
        <f>FME_Ranking1[[#This Row],[Structures 100  Score (Normalized, Unweighted)]]*$I$3</f>
        <v>0.15269566893715461</v>
      </c>
      <c r="L425" s="246">
        <f>_xlfn.XLOOKUP(FME_Ranking1[[#This Row],[FME ID]],FME_Input[FME_ID],FME_Input[RES_STRUCT100])</f>
        <v>1455</v>
      </c>
      <c r="M425" s="230">
        <f>(FME_Ranking1[[#This Row],[Res Structures Raw]]/L$2)*100</f>
        <v>1.0305846354351123</v>
      </c>
      <c r="N425" s="180">
        <f>FME_Ranking1[[#This Row],[Res Structures Score (Normalized, Unweighted)]]*$L$3</f>
        <v>0.10305846354351123</v>
      </c>
      <c r="O425" s="244">
        <f>_xlfn.XLOOKUP(FME_Ranking1[[#This Row],[FME ID]],FME_Input[FME_ID],FME_Input[POP100])</f>
        <v>6429</v>
      </c>
      <c r="P425" s="178">
        <f>(FME_Ranking1[[#This Row],[Pop Raw]]/$O$2)*100</f>
        <v>0.65817088077575925</v>
      </c>
      <c r="Q425" s="178">
        <f>FME_Ranking1[[#This Row],[Pop Score (Normalized, Unweighted)]]*$O$3</f>
        <v>9.8725632116363884E-2</v>
      </c>
      <c r="R425" s="137">
        <f>_xlfn.XLOOKUP(FME_Ranking1[[#This Row],[FME ID]],FME_Input[FME_ID],FME_Input[CRITFAC100])</f>
        <v>6</v>
      </c>
      <c r="S425" s="230">
        <f>(FME_Ranking1[[#This Row],[Critical Facilities Raw]]/$R$2)*100</f>
        <v>0.25728987993138941</v>
      </c>
      <c r="T425" s="180">
        <f>FME_Ranking1[[#This Row],[Critical Facilities Score (Normalized, Unweighted)]]*$R$3</f>
        <v>5.1457975986277882E-2</v>
      </c>
      <c r="U425">
        <f>_xlfn.XLOOKUP(FME_Ranking1[[#This Row],[FME ID]],FME_Input[FME_ID],FME_Input[LWC])</f>
        <v>0</v>
      </c>
      <c r="V425" s="178">
        <f>(FME_Ranking1[[#This Row],[LWC Raw]]/$U$2)*100</f>
        <v>0</v>
      </c>
      <c r="W425" s="178">
        <f>FME_Ranking1[[#This Row],[LWC Score (Normalized, Unweighted)]]*$U$3</f>
        <v>0</v>
      </c>
      <c r="X425" s="246">
        <f>_xlfn.XLOOKUP(FME_Ranking1[[#This Row],[FME ID]],FME_Input[FME_ID],FME_Input[ROADCLS])</f>
        <v>0</v>
      </c>
      <c r="Y425" s="230">
        <f>(FME_Ranking1[[#This Row],[Closures Raw]]/$X$2)*100</f>
        <v>0</v>
      </c>
      <c r="Z425" s="180">
        <f>FME_Ranking1[[#This Row],[Closures Score (Normalized, Unweighted)]]*$X$3</f>
        <v>0</v>
      </c>
      <c r="AA425" s="253">
        <f>_xlfn.XLOOKUP(FME_Ranking1[[#This Row],[FME ID]],FME_Input[FME_ID],FME_Input[ROAD_MILES100])</f>
        <v>57.100357055664063</v>
      </c>
      <c r="AB425" s="178">
        <f>(FME_Ranking1[[#This Row],[Miles Raw]]/$AA$2)*100</f>
        <v>0.75076728098365542</v>
      </c>
      <c r="AC425" s="178">
        <f>FME_Ranking1[[#This Row],[Miles Score (Normalized, Unweighted)]]*$AA$3</f>
        <v>7.5076728098365547E-2</v>
      </c>
      <c r="AD425" s="255">
        <f>_xlfn.XLOOKUP(FME_Ranking1[[#This Row],[FME ID]],FME_Input[FME_ID],FME_Input[FARMACRE100])</f>
        <v>1117.717529296875</v>
      </c>
      <c r="AE425" s="230">
        <f>(FME_Ranking1[[#This Row],[Ag Land Raw]]/$AD$2)*100</f>
        <v>4.608966744155947E-2</v>
      </c>
      <c r="AF425" s="231">
        <f>FME_Ranking1[[#This Row],[Ag Land Score (Normalized, Unweighted)]]*$AD$3</f>
        <v>2.3044833720779734E-3</v>
      </c>
      <c r="AG42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0.48331895205375103</v>
      </c>
      <c r="AH425" s="406">
        <f t="shared" si="6"/>
        <v>445</v>
      </c>
      <c r="AI42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0.48331895205375103</v>
      </c>
      <c r="AJ425" s="257">
        <f>FME_Ranking1[[#This Row],[Addition check]]-FME_Ranking1[[#This Row],[Weighted Score Based on Normalized Reported Factors]]</f>
        <v>0</v>
      </c>
      <c r="AK425" s="178">
        <f>_xlfn.RANK.EQ(AI425,$AI$6:$AI$2341,0)+COUNTIF($AI$6:AI425,AI425)-1</f>
        <v>446</v>
      </c>
    </row>
    <row r="426" spans="1:37" ht="12" customHeight="1" x14ac:dyDescent="0.25">
      <c r="A426" t="s">
        <v>7169</v>
      </c>
      <c r="B426">
        <f>_xlfn.XLOOKUP(FME_Ranking1[[#This Row],[FME ID]],FME_Input[FME_ID],FME_Input[RFPG_NUM])</f>
        <v>7</v>
      </c>
      <c r="C426" t="str">
        <f>_xlfn.XLOOKUP(FME_Ranking1[[#This Row],[FME ID]],FME_Input[FME_ID],FME_Input[FME_NAME])</f>
        <v>Hale County DCM</v>
      </c>
      <c r="D426" t="str">
        <f>_xlfn.XLOOKUP(FME_Ranking1[[#This Row],[FME ID]],FME_Input[FME_ID],FME_Input[DESCR])</f>
        <v>Consider stormwater criteria for infrastructure and floodplain ordinances to avoid new exposure to flood hazards.</v>
      </c>
      <c r="E426" s="256">
        <f>_xlfn.XLOOKUP(FME_Ranking1[[#This Row],[FME ID]],FME_Input[FME_ID],FME_Input[FME_COST])</f>
        <v>100000</v>
      </c>
      <c r="F426" t="str">
        <f>_xlfn.XLOOKUP(FME_Ranking1[[#This Row],[FME ID]],FME_Input[FME_ID],FME_Input[EMER_NEED])</f>
        <v>No</v>
      </c>
      <c r="G426">
        <f>IF(FME_Ranking!F426="Yes",100,0)</f>
        <v>0</v>
      </c>
      <c r="H426">
        <f>FME_Ranking1[[#This Row],[Emergency Need Score (Normalized, Unweighted)]]*$F$3</f>
        <v>0</v>
      </c>
      <c r="I426" s="246">
        <f>_xlfn.XLOOKUP(FME_Ranking1[[#This Row],[FME ID]],FME_Input[FME_ID],FME_Input[STRUCT_100])</f>
        <v>1318</v>
      </c>
      <c r="J426" s="178">
        <f>(FME_Ranking1[[#This Row],[Structures 100 Raw]]/I$2)*100</f>
        <v>0.7057790344000342</v>
      </c>
      <c r="K426" s="178">
        <f>FME_Ranking1[[#This Row],[Structures 100  Score (Normalized, Unweighted)]]*$I$3</f>
        <v>0.10586685516000513</v>
      </c>
      <c r="L426" s="246">
        <f>_xlfn.XLOOKUP(FME_Ranking1[[#This Row],[FME ID]],FME_Input[FME_ID],FME_Input[RES_STRUCT100])</f>
        <v>824</v>
      </c>
      <c r="M426" s="230">
        <f>(FME_Ranking1[[#This Row],[Res Structures Raw]]/L$2)*100</f>
        <v>0.58364380728421461</v>
      </c>
      <c r="N426" s="180">
        <f>FME_Ranking1[[#This Row],[Res Structures Score (Normalized, Unweighted)]]*$L$3</f>
        <v>5.8364380728421462E-2</v>
      </c>
      <c r="O426" s="244">
        <f>_xlfn.XLOOKUP(FME_Ranking1[[#This Row],[FME ID]],FME_Input[FME_ID],FME_Input[POP100])</f>
        <v>3089</v>
      </c>
      <c r="P426" s="178">
        <f>(FME_Ranking1[[#This Row],[Pop Raw]]/$O$2)*100</f>
        <v>0.3162373387332898</v>
      </c>
      <c r="Q426" s="178">
        <f>FME_Ranking1[[#This Row],[Pop Score (Normalized, Unweighted)]]*$O$3</f>
        <v>4.743560080999347E-2</v>
      </c>
      <c r="R426" s="137">
        <f>_xlfn.XLOOKUP(FME_Ranking1[[#This Row],[FME ID]],FME_Input[FME_ID],FME_Input[CRITFAC100])</f>
        <v>0</v>
      </c>
      <c r="S426" s="230">
        <f>(FME_Ranking1[[#This Row],[Critical Facilities Raw]]/$R$2)*100</f>
        <v>0</v>
      </c>
      <c r="T426" s="180">
        <f>FME_Ranking1[[#This Row],[Critical Facilities Score (Normalized, Unweighted)]]*$R$3</f>
        <v>0</v>
      </c>
      <c r="U426">
        <f>_xlfn.XLOOKUP(FME_Ranking1[[#This Row],[FME ID]],FME_Input[FME_ID],FME_Input[LWC])</f>
        <v>6</v>
      </c>
      <c r="V426" s="178">
        <f>(FME_Ranking1[[#This Row],[LWC Raw]]/$U$2)*100</f>
        <v>0.34542314335060448</v>
      </c>
      <c r="W426" s="178">
        <f>FME_Ranking1[[#This Row],[LWC Score (Normalized, Unweighted)]]*$U$3</f>
        <v>6.9084628670120898E-2</v>
      </c>
      <c r="X426" s="246">
        <f>_xlfn.XLOOKUP(FME_Ranking1[[#This Row],[FME ID]],FME_Input[FME_ID],FME_Input[ROADCLS])</f>
        <v>0</v>
      </c>
      <c r="Y426" s="230">
        <f>(FME_Ranking1[[#This Row],[Closures Raw]]/$X$2)*100</f>
        <v>0</v>
      </c>
      <c r="Z426" s="180">
        <f>FME_Ranking1[[#This Row],[Closures Score (Normalized, Unweighted)]]*$X$3</f>
        <v>0</v>
      </c>
      <c r="AA426" s="253">
        <f>_xlfn.XLOOKUP(FME_Ranking1[[#This Row],[FME ID]],FME_Input[FME_ID],FME_Input[ROAD_MILES100])</f>
        <v>221.6094055175781</v>
      </c>
      <c r="AB426" s="178">
        <f>(FME_Ranking1[[#This Row],[Miles Raw]]/$AA$2)*100</f>
        <v>2.9137662074274653</v>
      </c>
      <c r="AC426" s="178">
        <f>FME_Ranking1[[#This Row],[Miles Score (Normalized, Unweighted)]]*$AA$3</f>
        <v>0.29137662074274656</v>
      </c>
      <c r="AD426" s="255">
        <f>_xlfn.XLOOKUP(FME_Ranking1[[#This Row],[FME ID]],FME_Input[FME_ID],FME_Input[FARMACRE100])</f>
        <v>59708.40625</v>
      </c>
      <c r="AE426" s="230">
        <f>(FME_Ranking1[[#This Row],[Ag Land Raw]]/$AD$2)*100</f>
        <v>2.4621073888491307</v>
      </c>
      <c r="AF426" s="231">
        <f>FME_Ranking1[[#This Row],[Ag Land Score (Normalized, Unweighted)]]*$AD$3</f>
        <v>0.12310536944245654</v>
      </c>
      <c r="AG42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0.69523345555374405</v>
      </c>
      <c r="AH426" s="406">
        <f t="shared" si="6"/>
        <v>355</v>
      </c>
      <c r="AI42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0.69523345555374405</v>
      </c>
      <c r="AJ426" s="257">
        <f>FME_Ranking1[[#This Row],[Addition check]]-FME_Ranking1[[#This Row],[Weighted Score Based on Normalized Reported Factors]]</f>
        <v>0</v>
      </c>
      <c r="AK426" s="178">
        <f>_xlfn.RANK.EQ(AI426,$AI$6:$AI$2341,0)+COUNTIF($AI$6:AI426,AI426)-1</f>
        <v>355</v>
      </c>
    </row>
    <row r="427" spans="1:37" ht="12" customHeight="1" x14ac:dyDescent="0.25">
      <c r="A427" t="s">
        <v>2962</v>
      </c>
      <c r="B427">
        <f>_xlfn.XLOOKUP(FME_Ranking1[[#This Row],[FME ID]],FME_Input[FME_ID],FME_Input[RFPG_NUM])</f>
        <v>1</v>
      </c>
      <c r="C427" t="str">
        <f>_xlfn.XLOOKUP(FME_Ranking1[[#This Row],[FME ID]],FME_Input[FME_ID],FME_Input[FME_NAME])</f>
        <v>Hansford County FIS</v>
      </c>
      <c r="D427" t="str">
        <f>_xlfn.XLOOKUP(FME_Ranking1[[#This Row],[FME ID]],FME_Input[FME_ID],FME_Input[DESCR])</f>
        <v>Perform flood insurance study for the county and develop regulatory mapping</v>
      </c>
      <c r="E427" s="256">
        <f>_xlfn.XLOOKUP(FME_Ranking1[[#This Row],[FME ID]],FME_Input[FME_ID],FME_Input[FME_COST])</f>
        <v>841000</v>
      </c>
      <c r="F427" t="str">
        <f>_xlfn.XLOOKUP(FME_Ranking1[[#This Row],[FME ID]],FME_Input[FME_ID],FME_Input[EMER_NEED])</f>
        <v>No</v>
      </c>
      <c r="G427">
        <f>IF(FME_Ranking!F427="Yes",100,0)</f>
        <v>0</v>
      </c>
      <c r="H427">
        <f>FME_Ranking1[[#This Row],[Emergency Need Score (Normalized, Unweighted)]]*$F$3</f>
        <v>0</v>
      </c>
      <c r="I427" s="246">
        <f>_xlfn.XLOOKUP(FME_Ranking1[[#This Row],[FME ID]],FME_Input[FME_ID],FME_Input[STRUCT_100])</f>
        <v>38</v>
      </c>
      <c r="J427" s="178">
        <f>(FME_Ranking1[[#This Row],[Structures 100 Raw]]/I$2)*100</f>
        <v>2.0348712676177012E-2</v>
      </c>
      <c r="K427" s="178">
        <f>FME_Ranking1[[#This Row],[Structures 100  Score (Normalized, Unweighted)]]*$I$3</f>
        <v>3.0523069014265517E-3</v>
      </c>
      <c r="L427" s="246">
        <f>_xlfn.XLOOKUP(FME_Ranking1[[#This Row],[FME ID]],FME_Input[FME_ID],FME_Input[RES_STRUCT100])</f>
        <v>5</v>
      </c>
      <c r="M427" s="230">
        <f>(FME_Ranking1[[#This Row],[Res Structures Raw]]/L$2)*100</f>
        <v>3.5415279568216909E-3</v>
      </c>
      <c r="N427" s="180">
        <f>FME_Ranking1[[#This Row],[Res Structures Score (Normalized, Unweighted)]]*$L$3</f>
        <v>3.5415279568216913E-4</v>
      </c>
      <c r="O427" s="244">
        <f>_xlfn.XLOOKUP(FME_Ranking1[[#This Row],[FME ID]],FME_Input[FME_ID],FME_Input[POP100])</f>
        <v>44</v>
      </c>
      <c r="P427" s="178">
        <f>(FME_Ranking1[[#This Row],[Pop Raw]]/$O$2)*100</f>
        <v>4.5045137275055843E-3</v>
      </c>
      <c r="Q427" s="178">
        <f>FME_Ranking1[[#This Row],[Pop Score (Normalized, Unweighted)]]*$O$3</f>
        <v>6.7567705912583765E-4</v>
      </c>
      <c r="R427" s="137">
        <f>_xlfn.XLOOKUP(FME_Ranking1[[#This Row],[FME ID]],FME_Input[FME_ID],FME_Input[CRITFAC100])</f>
        <v>9</v>
      </c>
      <c r="S427" s="230">
        <f>(FME_Ranking1[[#This Row],[Critical Facilities Raw]]/$R$2)*100</f>
        <v>0.38593481989708406</v>
      </c>
      <c r="T427" s="180">
        <f>FME_Ranking1[[#This Row],[Critical Facilities Score (Normalized, Unweighted)]]*$R$3</f>
        <v>7.7186963979416823E-2</v>
      </c>
      <c r="U427">
        <f>_xlfn.XLOOKUP(FME_Ranking1[[#This Row],[FME ID]],FME_Input[FME_ID],FME_Input[LWC])</f>
        <v>19</v>
      </c>
      <c r="V427" s="178">
        <f>(FME_Ranking1[[#This Row],[LWC Raw]]/$U$2)*100</f>
        <v>1.0938399539435808</v>
      </c>
      <c r="W427" s="178">
        <f>FME_Ranking1[[#This Row],[LWC Score (Normalized, Unweighted)]]*$U$3</f>
        <v>0.21876799078871617</v>
      </c>
      <c r="X427" s="246">
        <f>_xlfn.XLOOKUP(FME_Ranking1[[#This Row],[FME ID]],FME_Input[FME_ID],FME_Input[ROADCLS])</f>
        <v>19</v>
      </c>
      <c r="Y427" s="230">
        <f>(FME_Ranking1[[#This Row],[Closures Raw]]/$X$2)*100</f>
        <v>0.19976868888655239</v>
      </c>
      <c r="Z427" s="180">
        <f>FME_Ranking1[[#This Row],[Closures Score (Normalized, Unweighted)]]*$X$3</f>
        <v>9.9884344443276207E-3</v>
      </c>
      <c r="AA427" s="253">
        <f>_xlfn.XLOOKUP(FME_Ranking1[[#This Row],[FME ID]],FME_Input[FME_ID],FME_Input[ROAD_MILES100])</f>
        <v>15.977798461914061</v>
      </c>
      <c r="AB427" s="178">
        <f>(FME_Ranking1[[#This Row],[Miles Raw]]/$AA$2)*100</f>
        <v>0.21007939224727046</v>
      </c>
      <c r="AC427" s="178">
        <f>FME_Ranking1[[#This Row],[Miles Score (Normalized, Unweighted)]]*$AA$3</f>
        <v>2.1007939224727046E-2</v>
      </c>
      <c r="AD427" s="255">
        <f>_xlfn.XLOOKUP(FME_Ranking1[[#This Row],[FME ID]],FME_Input[FME_ID],FME_Input[FARMACRE100])</f>
        <v>44978.0625</v>
      </c>
      <c r="AE427" s="230">
        <f>(FME_Ranking1[[#This Row],[Ag Land Raw]]/$AD$2)*100</f>
        <v>1.8546939530372748</v>
      </c>
      <c r="AF427" s="231">
        <f>FME_Ranking1[[#This Row],[Ag Land Score (Normalized, Unweighted)]]*$AD$3</f>
        <v>9.2734697651863748E-2</v>
      </c>
      <c r="AG42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0.42376816284528596</v>
      </c>
      <c r="AH427" s="406">
        <f t="shared" si="6"/>
        <v>505</v>
      </c>
      <c r="AI42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0.42376816284528596</v>
      </c>
      <c r="AJ427" s="257">
        <f>FME_Ranking1[[#This Row],[Addition check]]-FME_Ranking1[[#This Row],[Weighted Score Based on Normalized Reported Factors]]</f>
        <v>0</v>
      </c>
      <c r="AK427" s="178">
        <f>_xlfn.RANK.EQ(AI427,$AI$6:$AI$2341,0)+COUNTIF($AI$6:AI427,AI427)-1</f>
        <v>505</v>
      </c>
    </row>
    <row r="428" spans="1:37" ht="12" customHeight="1" x14ac:dyDescent="0.25">
      <c r="A428" t="s">
        <v>1337</v>
      </c>
      <c r="B428">
        <f>_xlfn.XLOOKUP(FME_Ranking1[[#This Row],[FME ID]],FME_Input[FME_ID],FME_Input[RFPG_NUM])</f>
        <v>6</v>
      </c>
      <c r="C428" t="str">
        <f>_xlfn.XLOOKUP(FME_Ranking1[[#This Row],[FME ID]],FME_Input[FME_ID],FME_Input[FME_NAME])</f>
        <v>Carpenters Planing Study N110-00-00 Diversion to P103-00/P103-03</v>
      </c>
      <c r="D428" t="str">
        <f>_xlfn.XLOOKUP(FME_Ranking1[[#This Row],[FME ID]],FME_Input[FME_ID],FME_Input[DESCR])</f>
        <v>Feasibility study needed to evaluate a designed interconnection to lower Greens Bayou.</v>
      </c>
      <c r="E428" s="256">
        <f>_xlfn.XLOOKUP(FME_Ranking1[[#This Row],[FME ID]],FME_Input[FME_ID],FME_Input[FME_COST])</f>
        <v>1200000</v>
      </c>
      <c r="F428" t="str">
        <f>_xlfn.XLOOKUP(FME_Ranking1[[#This Row],[FME ID]],FME_Input[FME_ID],FME_Input[EMER_NEED])</f>
        <v>No</v>
      </c>
      <c r="G428">
        <f>IF(FME_Ranking!F428="Yes",100,0)</f>
        <v>0</v>
      </c>
      <c r="H428">
        <f>FME_Ranking1[[#This Row],[Emergency Need Score (Normalized, Unweighted)]]*$F$3</f>
        <v>0</v>
      </c>
      <c r="I428" s="246">
        <f>_xlfn.XLOOKUP(FME_Ranking1[[#This Row],[FME ID]],FME_Input[FME_ID],FME_Input[STRUCT_100])</f>
        <v>812</v>
      </c>
      <c r="J428" s="178">
        <f>(FME_Ranking1[[#This Row],[Structures 100 Raw]]/I$2)*100</f>
        <v>0.4348198603435719</v>
      </c>
      <c r="K428" s="178">
        <f>FME_Ranking1[[#This Row],[Structures 100  Score (Normalized, Unweighted)]]*$I$3</f>
        <v>6.5222979051535776E-2</v>
      </c>
      <c r="L428" s="246">
        <f>_xlfn.XLOOKUP(FME_Ranking1[[#This Row],[FME ID]],FME_Input[FME_ID],FME_Input[RES_STRUCT100])</f>
        <v>489</v>
      </c>
      <c r="M428" s="230">
        <f>(FME_Ranking1[[#This Row],[Res Structures Raw]]/L$2)*100</f>
        <v>0.34636143417716136</v>
      </c>
      <c r="N428" s="180">
        <f>FME_Ranking1[[#This Row],[Res Structures Score (Normalized, Unweighted)]]*$L$3</f>
        <v>3.4636143417716141E-2</v>
      </c>
      <c r="O428" s="244">
        <f>_xlfn.XLOOKUP(FME_Ranking1[[#This Row],[FME ID]],FME_Input[FME_ID],FME_Input[POP100])</f>
        <v>4689</v>
      </c>
      <c r="P428" s="178">
        <f>(FME_Ranking1[[#This Row],[Pop Raw]]/$O$2)*100</f>
        <v>0.48003783791531102</v>
      </c>
      <c r="Q428" s="178">
        <f>FME_Ranking1[[#This Row],[Pop Score (Normalized, Unweighted)]]*$O$3</f>
        <v>7.2005675687296655E-2</v>
      </c>
      <c r="R428" s="137">
        <f>_xlfn.XLOOKUP(FME_Ranking1[[#This Row],[FME ID]],FME_Input[FME_ID],FME_Input[CRITFAC100])</f>
        <v>24</v>
      </c>
      <c r="S428" s="230">
        <f>(FME_Ranking1[[#This Row],[Critical Facilities Raw]]/$R$2)*100</f>
        <v>1.0291595197255576</v>
      </c>
      <c r="T428" s="180">
        <f>FME_Ranking1[[#This Row],[Critical Facilities Score (Normalized, Unweighted)]]*$R$3</f>
        <v>0.20583190394511153</v>
      </c>
      <c r="U428">
        <f>_xlfn.XLOOKUP(FME_Ranking1[[#This Row],[FME ID]],FME_Input[FME_ID],FME_Input[LWC])</f>
        <v>2</v>
      </c>
      <c r="V428" s="178">
        <f>(FME_Ranking1[[#This Row],[LWC Raw]]/$U$2)*100</f>
        <v>0.11514104778353484</v>
      </c>
      <c r="W428" s="178">
        <f>FME_Ranking1[[#This Row],[LWC Score (Normalized, Unweighted)]]*$U$3</f>
        <v>2.302820955670697E-2</v>
      </c>
      <c r="X428" s="246">
        <f>_xlfn.XLOOKUP(FME_Ranking1[[#This Row],[FME ID]],FME_Input[FME_ID],FME_Input[ROADCLS])</f>
        <v>2</v>
      </c>
      <c r="Y428" s="230">
        <f>(FME_Ranking1[[#This Row],[Closures Raw]]/$X$2)*100</f>
        <v>2.1028283040689728E-2</v>
      </c>
      <c r="Z428" s="180">
        <f>FME_Ranking1[[#This Row],[Closures Score (Normalized, Unweighted)]]*$X$3</f>
        <v>1.0514141520344864E-3</v>
      </c>
      <c r="AA428" s="253">
        <f>_xlfn.XLOOKUP(FME_Ranking1[[#This Row],[FME ID]],FME_Input[FME_ID],FME_Input[ROAD_MILES100])</f>
        <v>18.82630729675293</v>
      </c>
      <c r="AB428" s="178">
        <f>(FME_Ranking1[[#This Row],[Miles Raw]]/$AA$2)*100</f>
        <v>0.247532174384957</v>
      </c>
      <c r="AC428" s="178">
        <f>FME_Ranking1[[#This Row],[Miles Score (Normalized, Unweighted)]]*$AA$3</f>
        <v>2.4753217438495703E-2</v>
      </c>
      <c r="AD428" s="255">
        <f>_xlfn.XLOOKUP(FME_Ranking1[[#This Row],[FME ID]],FME_Input[FME_ID],FME_Input[FARMACRE100])</f>
        <v>96.262977600097656</v>
      </c>
      <c r="AE428" s="230">
        <f>(FME_Ranking1[[#This Row],[Ag Land Raw]]/$AD$2)*100</f>
        <v>3.9694542746536434E-3</v>
      </c>
      <c r="AF428" s="231">
        <f>FME_Ranking1[[#This Row],[Ag Land Score (Normalized, Unweighted)]]*$AD$3</f>
        <v>1.9847271373268219E-4</v>
      </c>
      <c r="AG42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0.42672801596262988</v>
      </c>
      <c r="AH428" s="406">
        <f t="shared" si="6"/>
        <v>502</v>
      </c>
      <c r="AI42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0.42672801596262988</v>
      </c>
      <c r="AJ428" s="257">
        <f>FME_Ranking1[[#This Row],[Addition check]]-FME_Ranking1[[#This Row],[Weighted Score Based on Normalized Reported Factors]]</f>
        <v>0</v>
      </c>
      <c r="AK428" s="178">
        <f>_xlfn.RANK.EQ(AI428,$AI$6:$AI$2341,0)+COUNTIF($AI$6:AI428,AI428)-1</f>
        <v>502</v>
      </c>
    </row>
    <row r="429" spans="1:37" ht="12" customHeight="1" x14ac:dyDescent="0.25">
      <c r="A429" t="s">
        <v>2204</v>
      </c>
      <c r="B429">
        <f>_xlfn.XLOOKUP(FME_Ranking1[[#This Row],[FME ID]],FME_Input[FME_ID],FME_Input[RFPG_NUM])</f>
        <v>6</v>
      </c>
      <c r="C429" t="str">
        <f>_xlfn.XLOOKUP(FME_Ranking1[[#This Row],[FME ID]],FME_Input[FME_ID],FME_Input[FME_NAME])</f>
        <v>Carpenters Bayou (West Acres, Shadowglen &amp; Old River Terrace Neighborhood)</v>
      </c>
      <c r="D429" t="str">
        <f>_xlfn.XLOOKUP(FME_Ranking1[[#This Row],[FME ID]],FME_Input[FME_ID],FME_Input[DESCR])</f>
        <v xml:space="preserve">Further study to develop a BCA required to elevate project to FMP. The project is to reduce flooding in the Problem Area #5 identified by the Carpenters Bayou Watershed Planning Project Report, 2021. </v>
      </c>
      <c r="E429" s="256">
        <f>_xlfn.XLOOKUP(FME_Ranking1[[#This Row],[FME ID]],FME_Input[FME_ID],FME_Input[FME_COST])</f>
        <v>30000</v>
      </c>
      <c r="F429" t="str">
        <f>_xlfn.XLOOKUP(FME_Ranking1[[#This Row],[FME ID]],FME_Input[FME_ID],FME_Input[EMER_NEED])</f>
        <v>No</v>
      </c>
      <c r="G429">
        <f>IF(FME_Ranking!F429="Yes",100,0)</f>
        <v>0</v>
      </c>
      <c r="H429">
        <f>FME_Ranking1[[#This Row],[Emergency Need Score (Normalized, Unweighted)]]*$F$3</f>
        <v>0</v>
      </c>
      <c r="I429" s="246">
        <f>_xlfn.XLOOKUP(FME_Ranking1[[#This Row],[FME ID]],FME_Input[FME_ID],FME_Input[STRUCT_100])</f>
        <v>812</v>
      </c>
      <c r="J429" s="178">
        <f>(FME_Ranking1[[#This Row],[Structures 100 Raw]]/I$2)*100</f>
        <v>0.4348198603435719</v>
      </c>
      <c r="K429" s="178">
        <f>FME_Ranking1[[#This Row],[Structures 100  Score (Normalized, Unweighted)]]*$I$3</f>
        <v>6.5222979051535776E-2</v>
      </c>
      <c r="L429" s="246">
        <f>_xlfn.XLOOKUP(FME_Ranking1[[#This Row],[FME ID]],FME_Input[FME_ID],FME_Input[RES_STRUCT100])</f>
        <v>489</v>
      </c>
      <c r="M429" s="230">
        <f>(FME_Ranking1[[#This Row],[Res Structures Raw]]/L$2)*100</f>
        <v>0.34636143417716136</v>
      </c>
      <c r="N429" s="180">
        <f>FME_Ranking1[[#This Row],[Res Structures Score (Normalized, Unweighted)]]*$L$3</f>
        <v>3.4636143417716141E-2</v>
      </c>
      <c r="O429" s="244">
        <f>_xlfn.XLOOKUP(FME_Ranking1[[#This Row],[FME ID]],FME_Input[FME_ID],FME_Input[POP100])</f>
        <v>4689</v>
      </c>
      <c r="P429" s="178">
        <f>(FME_Ranking1[[#This Row],[Pop Raw]]/$O$2)*100</f>
        <v>0.48003783791531102</v>
      </c>
      <c r="Q429" s="178">
        <f>FME_Ranking1[[#This Row],[Pop Score (Normalized, Unweighted)]]*$O$3</f>
        <v>7.2005675687296655E-2</v>
      </c>
      <c r="R429" s="137">
        <f>_xlfn.XLOOKUP(FME_Ranking1[[#This Row],[FME ID]],FME_Input[FME_ID],FME_Input[CRITFAC100])</f>
        <v>24</v>
      </c>
      <c r="S429" s="230">
        <f>(FME_Ranking1[[#This Row],[Critical Facilities Raw]]/$R$2)*100</f>
        <v>1.0291595197255576</v>
      </c>
      <c r="T429" s="180">
        <f>FME_Ranking1[[#This Row],[Critical Facilities Score (Normalized, Unweighted)]]*$R$3</f>
        <v>0.20583190394511153</v>
      </c>
      <c r="U429">
        <f>_xlfn.XLOOKUP(FME_Ranking1[[#This Row],[FME ID]],FME_Input[FME_ID],FME_Input[LWC])</f>
        <v>2</v>
      </c>
      <c r="V429" s="178">
        <f>(FME_Ranking1[[#This Row],[LWC Raw]]/$U$2)*100</f>
        <v>0.11514104778353484</v>
      </c>
      <c r="W429" s="178">
        <f>FME_Ranking1[[#This Row],[LWC Score (Normalized, Unweighted)]]*$U$3</f>
        <v>2.302820955670697E-2</v>
      </c>
      <c r="X429" s="246">
        <f>_xlfn.XLOOKUP(FME_Ranking1[[#This Row],[FME ID]],FME_Input[FME_ID],FME_Input[ROADCLS])</f>
        <v>2</v>
      </c>
      <c r="Y429" s="230">
        <f>(FME_Ranking1[[#This Row],[Closures Raw]]/$X$2)*100</f>
        <v>2.1028283040689728E-2</v>
      </c>
      <c r="Z429" s="180">
        <f>FME_Ranking1[[#This Row],[Closures Score (Normalized, Unweighted)]]*$X$3</f>
        <v>1.0514141520344864E-3</v>
      </c>
      <c r="AA429" s="253">
        <f>_xlfn.XLOOKUP(FME_Ranking1[[#This Row],[FME ID]],FME_Input[FME_ID],FME_Input[ROAD_MILES100])</f>
        <v>18.82630729675293</v>
      </c>
      <c r="AB429" s="178">
        <f>(FME_Ranking1[[#This Row],[Miles Raw]]/$AA$2)*100</f>
        <v>0.247532174384957</v>
      </c>
      <c r="AC429" s="178">
        <f>FME_Ranking1[[#This Row],[Miles Score (Normalized, Unweighted)]]*$AA$3</f>
        <v>2.4753217438495703E-2</v>
      </c>
      <c r="AD429" s="255">
        <f>_xlfn.XLOOKUP(FME_Ranking1[[#This Row],[FME ID]],FME_Input[FME_ID],FME_Input[FARMACRE100])</f>
        <v>96.262977600097656</v>
      </c>
      <c r="AE429" s="230">
        <f>(FME_Ranking1[[#This Row],[Ag Land Raw]]/$AD$2)*100</f>
        <v>3.9694542746536434E-3</v>
      </c>
      <c r="AF429" s="231">
        <f>FME_Ranking1[[#This Row],[Ag Land Score (Normalized, Unweighted)]]*$AD$3</f>
        <v>1.9847271373268219E-4</v>
      </c>
      <c r="AG42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0.42672801596262988</v>
      </c>
      <c r="AH429" s="406">
        <f t="shared" si="6"/>
        <v>502</v>
      </c>
      <c r="AI42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0.42672801596262988</v>
      </c>
      <c r="AJ429" s="257">
        <f>FME_Ranking1[[#This Row],[Addition check]]-FME_Ranking1[[#This Row],[Weighted Score Based on Normalized Reported Factors]]</f>
        <v>0</v>
      </c>
      <c r="AK429" s="178">
        <f>_xlfn.RANK.EQ(AI429,$AI$6:$AI$2341,0)+COUNTIF($AI$6:AI429,AI429)-1</f>
        <v>503</v>
      </c>
    </row>
    <row r="430" spans="1:37" ht="12" customHeight="1" x14ac:dyDescent="0.25">
      <c r="A430" t="s">
        <v>10998</v>
      </c>
      <c r="B430">
        <f>_xlfn.XLOOKUP(FME_Ranking1[[#This Row],[FME ID]],FME_Input[FME_ID],FME_Input[RFPG_NUM])</f>
        <v>14</v>
      </c>
      <c r="C430" t="str">
        <f>_xlfn.XLOOKUP(FME_Ranking1[[#This Row],[FME ID]],FME_Input[FME_ID],FME_Input[FME_NAME])</f>
        <v>Develop Supplemental Watershed Plans for flood control dams protecting Sonora</v>
      </c>
      <c r="D430" t="str">
        <f>_xlfn.XLOOKUP(FME_Ranking1[[#This Row],[FME ID]],FME_Input[FME_ID],FME_Input[DESCR])</f>
        <v>Assess &amp; evaluate rehabilitation improvements for 7 NRCS dams identified by TCEQ as "Hydraulically Inadequate". Define upgrades of dams in Supplemental Watershed Plans for Dry Devils &amp; Lowry Dams 3, 4, 5, 7, 8, 10, &amp; 12.</v>
      </c>
      <c r="E430" s="256">
        <f>_xlfn.XLOOKUP(FME_Ranking1[[#This Row],[FME ID]],FME_Input[FME_ID],FME_Input[FME_COST])</f>
        <v>1456000</v>
      </c>
      <c r="F430" t="str">
        <f>_xlfn.XLOOKUP(FME_Ranking1[[#This Row],[FME ID]],FME_Input[FME_ID],FME_Input[EMER_NEED])</f>
        <v>Yes</v>
      </c>
      <c r="G430">
        <f>IF(FME_Ranking!F430="Yes",100,0)</f>
        <v>100</v>
      </c>
      <c r="H430">
        <f>FME_Ranking1[[#This Row],[Emergency Need Score (Normalized, Unweighted)]]*$F$3</f>
        <v>0</v>
      </c>
      <c r="I430" s="246">
        <f>_xlfn.XLOOKUP(FME_Ranking1[[#This Row],[FME ID]],FME_Input[FME_ID],FME_Input[STRUCT_100])</f>
        <v>682</v>
      </c>
      <c r="J430" s="178">
        <f>(FME_Ranking1[[#This Row],[Structures 100 Raw]]/I$2)*100</f>
        <v>0.36520584329349265</v>
      </c>
      <c r="K430" s="178">
        <f>FME_Ranking1[[#This Row],[Structures 100  Score (Normalized, Unweighted)]]*$I$3</f>
        <v>5.4780876494023897E-2</v>
      </c>
      <c r="L430" s="246">
        <f>_xlfn.XLOOKUP(FME_Ranking1[[#This Row],[FME ID]],FME_Input[FME_ID],FME_Input[RES_STRUCT100])</f>
        <v>419</v>
      </c>
      <c r="M430" s="230">
        <f>(FME_Ranking1[[#This Row],[Res Structures Raw]]/L$2)*100</f>
        <v>0.29678004278165776</v>
      </c>
      <c r="N430" s="180">
        <f>FME_Ranking1[[#This Row],[Res Structures Score (Normalized, Unweighted)]]*$L$3</f>
        <v>2.9678004278165776E-2</v>
      </c>
      <c r="O430" s="244">
        <f>_xlfn.XLOOKUP(FME_Ranking1[[#This Row],[FME ID]],FME_Input[FME_ID],FME_Input[POP100])</f>
        <v>1106</v>
      </c>
      <c r="P430" s="178">
        <f>(FME_Ranking1[[#This Row],[Pop Raw]]/$O$2)*100</f>
        <v>0.11322709505957221</v>
      </c>
      <c r="Q430" s="178">
        <f>FME_Ranking1[[#This Row],[Pop Score (Normalized, Unweighted)]]*$O$3</f>
        <v>1.6984064258935831E-2</v>
      </c>
      <c r="R430" s="137">
        <f>_xlfn.XLOOKUP(FME_Ranking1[[#This Row],[FME ID]],FME_Input[FME_ID],FME_Input[CRITFAC100])</f>
        <v>2</v>
      </c>
      <c r="S430" s="230">
        <f>(FME_Ranking1[[#This Row],[Critical Facilities Raw]]/$R$2)*100</f>
        <v>8.5763293310463118E-2</v>
      </c>
      <c r="T430" s="180">
        <f>FME_Ranking1[[#This Row],[Critical Facilities Score (Normalized, Unweighted)]]*$R$3</f>
        <v>1.7152658662092625E-2</v>
      </c>
      <c r="U430">
        <f>_xlfn.XLOOKUP(FME_Ranking1[[#This Row],[FME ID]],FME_Input[FME_ID],FME_Input[LWC])</f>
        <v>20</v>
      </c>
      <c r="V430" s="178">
        <f>(FME_Ranking1[[#This Row],[LWC Raw]]/$U$2)*100</f>
        <v>1.1514104778353482</v>
      </c>
      <c r="W430" s="178">
        <f>FME_Ranking1[[#This Row],[LWC Score (Normalized, Unweighted)]]*$U$3</f>
        <v>0.23028209556706966</v>
      </c>
      <c r="X430" s="246">
        <f>_xlfn.XLOOKUP(FME_Ranking1[[#This Row],[FME ID]],FME_Input[FME_ID],FME_Input[ROADCLS])</f>
        <v>97</v>
      </c>
      <c r="Y430" s="230">
        <f>(FME_Ranking1[[#This Row],[Closures Raw]]/$X$2)*100</f>
        <v>1.0198717274734517</v>
      </c>
      <c r="Z430" s="180">
        <f>FME_Ranking1[[#This Row],[Closures Score (Normalized, Unweighted)]]*$X$3</f>
        <v>5.0993586373672586E-2</v>
      </c>
      <c r="AA430" s="253">
        <f>_xlfn.XLOOKUP(FME_Ranking1[[#This Row],[FME ID]],FME_Input[FME_ID],FME_Input[ROAD_MILES100])</f>
        <v>14.983200073242189</v>
      </c>
      <c r="AB430" s="178">
        <f>(FME_Ranking1[[#This Row],[Miles Raw]]/$AA$2)*100</f>
        <v>0.19700220733219231</v>
      </c>
      <c r="AC430" s="178">
        <f>FME_Ranking1[[#This Row],[Miles Score (Normalized, Unweighted)]]*$AA$3</f>
        <v>1.9700220733219233E-2</v>
      </c>
      <c r="AD430" s="255">
        <f>_xlfn.XLOOKUP(FME_Ranking1[[#This Row],[FME ID]],FME_Input[FME_ID],FME_Input[FARMACRE100])</f>
        <v>0.35988599061965942</v>
      </c>
      <c r="AE430" s="230">
        <f>(FME_Ranking1[[#This Row],[Ag Land Raw]]/$AD$2)*100</f>
        <v>1.4840087222189964E-5</v>
      </c>
      <c r="AF430" s="231">
        <f>FME_Ranking1[[#This Row],[Ag Land Score (Normalized, Unweighted)]]*$AD$3</f>
        <v>7.4200436110949827E-7</v>
      </c>
      <c r="AG43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0.41957224837154072</v>
      </c>
      <c r="AH430" s="406">
        <f t="shared" si="6"/>
        <v>513</v>
      </c>
      <c r="AI43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0.41957224837154072</v>
      </c>
      <c r="AJ430" s="257">
        <f>FME_Ranking1[[#This Row],[Addition check]]-FME_Ranking1[[#This Row],[Weighted Score Based on Normalized Reported Factors]]</f>
        <v>0</v>
      </c>
      <c r="AK430" s="178">
        <f>_xlfn.RANK.EQ(AI430,$AI$6:$AI$2341,0)+COUNTIF($AI$6:AI430,AI430)-1</f>
        <v>513</v>
      </c>
    </row>
    <row r="431" spans="1:37" ht="12" customHeight="1" x14ac:dyDescent="0.25">
      <c r="A431" t="s">
        <v>6653</v>
      </c>
      <c r="B431">
        <f>_xlfn.XLOOKUP(FME_Ranking1[[#This Row],[FME ID]],FME_Input[FME_ID],FME_Input[RFPG_NUM])</f>
        <v>7</v>
      </c>
      <c r="C431" t="str">
        <f>_xlfn.XLOOKUP(FME_Ranking1[[#This Row],[FME ID]],FME_Input[FME_ID],FME_Input[FME_NAME])</f>
        <v>Haskell County Update FEMA Mapping</v>
      </c>
      <c r="D431" t="str">
        <f>_xlfn.XLOOKUP(FME_Ranking1[[#This Row],[FME ID]],FME_Input[FME_ID],FME_Input[DESCR])</f>
        <v>Update existing FEMA mapping</v>
      </c>
      <c r="E431" s="256">
        <f>_xlfn.XLOOKUP(FME_Ranking1[[#This Row],[FME ID]],FME_Input[FME_ID],FME_Input[FME_COST])</f>
        <v>1024000</v>
      </c>
      <c r="F431" t="str">
        <f>_xlfn.XLOOKUP(FME_Ranking1[[#This Row],[FME ID]],FME_Input[FME_ID],FME_Input[EMER_NEED])</f>
        <v>No</v>
      </c>
      <c r="G431">
        <f>IF(FME_Ranking!F431="Yes",100,0)</f>
        <v>0</v>
      </c>
      <c r="H431">
        <f>FME_Ranking1[[#This Row],[Emergency Need Score (Normalized, Unweighted)]]*$F$3</f>
        <v>0</v>
      </c>
      <c r="I431" s="246">
        <f>_xlfn.XLOOKUP(FME_Ranking1[[#This Row],[FME ID]],FME_Input[FME_ID],FME_Input[STRUCT_100])</f>
        <v>788</v>
      </c>
      <c r="J431" s="178">
        <f>(FME_Ranking1[[#This Row],[Structures 100 Raw]]/I$2)*100</f>
        <v>0.42196804181124958</v>
      </c>
      <c r="K431" s="178">
        <f>FME_Ranking1[[#This Row],[Structures 100  Score (Normalized, Unweighted)]]*$I$3</f>
        <v>6.3295206271687429E-2</v>
      </c>
      <c r="L431" s="246">
        <f>_xlfn.XLOOKUP(FME_Ranking1[[#This Row],[FME ID]],FME_Input[FME_ID],FME_Input[RES_STRUCT100])</f>
        <v>294</v>
      </c>
      <c r="M431" s="230">
        <f>(FME_Ranking1[[#This Row],[Res Structures Raw]]/L$2)*100</f>
        <v>0.20824184386111544</v>
      </c>
      <c r="N431" s="180">
        <f>FME_Ranking1[[#This Row],[Res Structures Score (Normalized, Unweighted)]]*$L$3</f>
        <v>2.0824184386111545E-2</v>
      </c>
      <c r="O431" s="244">
        <f>_xlfn.XLOOKUP(FME_Ranking1[[#This Row],[FME ID]],FME_Input[FME_ID],FME_Input[POP100])</f>
        <v>708</v>
      </c>
      <c r="P431" s="178">
        <f>(FME_Ranking1[[#This Row],[Pop Raw]]/$O$2)*100</f>
        <v>7.2481720888044401E-2</v>
      </c>
      <c r="Q431" s="178">
        <f>FME_Ranking1[[#This Row],[Pop Score (Normalized, Unweighted)]]*$O$3</f>
        <v>1.087225813320666E-2</v>
      </c>
      <c r="R431" s="137">
        <f>_xlfn.XLOOKUP(FME_Ranking1[[#This Row],[FME ID]],FME_Input[FME_ID],FME_Input[CRITFAC100])</f>
        <v>1</v>
      </c>
      <c r="S431" s="230">
        <f>(FME_Ranking1[[#This Row],[Critical Facilities Raw]]/$R$2)*100</f>
        <v>4.2881646655231559E-2</v>
      </c>
      <c r="T431" s="180">
        <f>FME_Ranking1[[#This Row],[Critical Facilities Score (Normalized, Unweighted)]]*$R$3</f>
        <v>8.5763293310463125E-3</v>
      </c>
      <c r="U431">
        <f>_xlfn.XLOOKUP(FME_Ranking1[[#This Row],[FME ID]],FME_Input[FME_ID],FME_Input[LWC])</f>
        <v>15</v>
      </c>
      <c r="V431" s="178">
        <f>(FME_Ranking1[[#This Row],[LWC Raw]]/$U$2)*100</f>
        <v>0.86355785837651122</v>
      </c>
      <c r="W431" s="178">
        <f>FME_Ranking1[[#This Row],[LWC Score (Normalized, Unweighted)]]*$U$3</f>
        <v>0.17271157167530227</v>
      </c>
      <c r="X431" s="246">
        <f>_xlfn.XLOOKUP(FME_Ranking1[[#This Row],[FME ID]],FME_Input[FME_ID],FME_Input[ROADCLS])</f>
        <v>0</v>
      </c>
      <c r="Y431" s="230">
        <f>(FME_Ranking1[[#This Row],[Closures Raw]]/$X$2)*100</f>
        <v>0</v>
      </c>
      <c r="Z431" s="180">
        <f>FME_Ranking1[[#This Row],[Closures Score (Normalized, Unweighted)]]*$X$3</f>
        <v>0</v>
      </c>
      <c r="AA431" s="253">
        <f>_xlfn.XLOOKUP(FME_Ranking1[[#This Row],[FME ID]],FME_Input[FME_ID],FME_Input[ROAD_MILES100])</f>
        <v>226.38787841796881</v>
      </c>
      <c r="AB431" s="178">
        <f>(FME_Ranking1[[#This Row],[Miles Raw]]/$AA$2)*100</f>
        <v>2.9765945554741005</v>
      </c>
      <c r="AC431" s="178">
        <f>FME_Ranking1[[#This Row],[Miles Score (Normalized, Unweighted)]]*$AA$3</f>
        <v>0.29765945554741008</v>
      </c>
      <c r="AD431" s="255">
        <f>_xlfn.XLOOKUP(FME_Ranking1[[#This Row],[FME ID]],FME_Input[FME_ID],FME_Input[FARMACRE100])</f>
        <v>59647.609375</v>
      </c>
      <c r="AE431" s="230">
        <f>(FME_Ranking1[[#This Row],[Ag Land Raw]]/$AD$2)*100</f>
        <v>2.4596003978815664</v>
      </c>
      <c r="AF431" s="231">
        <f>FME_Ranking1[[#This Row],[Ag Land Score (Normalized, Unweighted)]]*$AD$3</f>
        <v>0.12298001989407832</v>
      </c>
      <c r="AG43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0.69691902523884264</v>
      </c>
      <c r="AH431" s="406">
        <f t="shared" si="6"/>
        <v>349</v>
      </c>
      <c r="AI43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0.69691902523884264</v>
      </c>
      <c r="AJ431" s="257">
        <f>FME_Ranking1[[#This Row],[Addition check]]-FME_Ranking1[[#This Row],[Weighted Score Based on Normalized Reported Factors]]</f>
        <v>0</v>
      </c>
      <c r="AK431" s="178">
        <f>_xlfn.RANK.EQ(AI431,$AI$6:$AI$2341,0)+COUNTIF($AI$6:AI431,AI431)-1</f>
        <v>349</v>
      </c>
    </row>
    <row r="432" spans="1:37" ht="12" customHeight="1" x14ac:dyDescent="0.25">
      <c r="A432" t="s">
        <v>6661</v>
      </c>
      <c r="B432">
        <f>_xlfn.XLOOKUP(FME_Ranking1[[#This Row],[FME ID]],FME_Input[FME_ID],FME_Input[RFPG_NUM])</f>
        <v>7</v>
      </c>
      <c r="C432" t="str">
        <f>_xlfn.XLOOKUP(FME_Ranking1[[#This Row],[FME ID]],FME_Input[FME_ID],FME_Input[FME_NAME])</f>
        <v>Haskell County DMP</v>
      </c>
      <c r="D432" t="str">
        <f>_xlfn.XLOOKUP(FME_Ranking1[[#This Row],[FME ID]],FME_Input[FME_ID],FME_Input[DESCR])</f>
        <v>Evaluate county to identify future projects, analyze roads/stream crossing for emergency response vehicles to high hazard areas</v>
      </c>
      <c r="E432" s="256">
        <f>_xlfn.XLOOKUP(FME_Ranking1[[#This Row],[FME ID]],FME_Input[FME_ID],FME_Input[FME_COST])</f>
        <v>500000</v>
      </c>
      <c r="F432" t="str">
        <f>_xlfn.XLOOKUP(FME_Ranking1[[#This Row],[FME ID]],FME_Input[FME_ID],FME_Input[EMER_NEED])</f>
        <v>No</v>
      </c>
      <c r="G432">
        <f>IF(FME_Ranking!F432="Yes",100,0)</f>
        <v>0</v>
      </c>
      <c r="H432">
        <f>FME_Ranking1[[#This Row],[Emergency Need Score (Normalized, Unweighted)]]*$F$3</f>
        <v>0</v>
      </c>
      <c r="I432" s="246">
        <f>_xlfn.XLOOKUP(FME_Ranking1[[#This Row],[FME ID]],FME_Input[FME_ID],FME_Input[STRUCT_100])</f>
        <v>788</v>
      </c>
      <c r="J432" s="178">
        <f>(FME_Ranking1[[#This Row],[Structures 100 Raw]]/I$2)*100</f>
        <v>0.42196804181124958</v>
      </c>
      <c r="K432" s="178">
        <f>FME_Ranking1[[#This Row],[Structures 100  Score (Normalized, Unweighted)]]*$I$3</f>
        <v>6.3295206271687429E-2</v>
      </c>
      <c r="L432" s="246">
        <f>_xlfn.XLOOKUP(FME_Ranking1[[#This Row],[FME ID]],FME_Input[FME_ID],FME_Input[RES_STRUCT100])</f>
        <v>294</v>
      </c>
      <c r="M432" s="230">
        <f>(FME_Ranking1[[#This Row],[Res Structures Raw]]/L$2)*100</f>
        <v>0.20824184386111544</v>
      </c>
      <c r="N432" s="180">
        <f>FME_Ranking1[[#This Row],[Res Structures Score (Normalized, Unweighted)]]*$L$3</f>
        <v>2.0824184386111545E-2</v>
      </c>
      <c r="O432" s="244">
        <f>_xlfn.XLOOKUP(FME_Ranking1[[#This Row],[FME ID]],FME_Input[FME_ID],FME_Input[POP100])</f>
        <v>708</v>
      </c>
      <c r="P432" s="178">
        <f>(FME_Ranking1[[#This Row],[Pop Raw]]/$O$2)*100</f>
        <v>7.2481720888044401E-2</v>
      </c>
      <c r="Q432" s="178">
        <f>FME_Ranking1[[#This Row],[Pop Score (Normalized, Unweighted)]]*$O$3</f>
        <v>1.087225813320666E-2</v>
      </c>
      <c r="R432" s="137">
        <f>_xlfn.XLOOKUP(FME_Ranking1[[#This Row],[FME ID]],FME_Input[FME_ID],FME_Input[CRITFAC100])</f>
        <v>1</v>
      </c>
      <c r="S432" s="230">
        <f>(FME_Ranking1[[#This Row],[Critical Facilities Raw]]/$R$2)*100</f>
        <v>4.2881646655231559E-2</v>
      </c>
      <c r="T432" s="180">
        <f>FME_Ranking1[[#This Row],[Critical Facilities Score (Normalized, Unweighted)]]*$R$3</f>
        <v>8.5763293310463125E-3</v>
      </c>
      <c r="U432">
        <f>_xlfn.XLOOKUP(FME_Ranking1[[#This Row],[FME ID]],FME_Input[FME_ID],FME_Input[LWC])</f>
        <v>15</v>
      </c>
      <c r="V432" s="178">
        <f>(FME_Ranking1[[#This Row],[LWC Raw]]/$U$2)*100</f>
        <v>0.86355785837651122</v>
      </c>
      <c r="W432" s="178">
        <f>FME_Ranking1[[#This Row],[LWC Score (Normalized, Unweighted)]]*$U$3</f>
        <v>0.17271157167530227</v>
      </c>
      <c r="X432" s="246">
        <f>_xlfn.XLOOKUP(FME_Ranking1[[#This Row],[FME ID]],FME_Input[FME_ID],FME_Input[ROADCLS])</f>
        <v>0</v>
      </c>
      <c r="Y432" s="230">
        <f>(FME_Ranking1[[#This Row],[Closures Raw]]/$X$2)*100</f>
        <v>0</v>
      </c>
      <c r="Z432" s="180">
        <f>FME_Ranking1[[#This Row],[Closures Score (Normalized, Unweighted)]]*$X$3</f>
        <v>0</v>
      </c>
      <c r="AA432" s="253">
        <f>_xlfn.XLOOKUP(FME_Ranking1[[#This Row],[FME ID]],FME_Input[FME_ID],FME_Input[ROAD_MILES100])</f>
        <v>226.38787841796881</v>
      </c>
      <c r="AB432" s="178">
        <f>(FME_Ranking1[[#This Row],[Miles Raw]]/$AA$2)*100</f>
        <v>2.9765945554741005</v>
      </c>
      <c r="AC432" s="178">
        <f>FME_Ranking1[[#This Row],[Miles Score (Normalized, Unweighted)]]*$AA$3</f>
        <v>0.29765945554741008</v>
      </c>
      <c r="AD432" s="255">
        <f>_xlfn.XLOOKUP(FME_Ranking1[[#This Row],[FME ID]],FME_Input[FME_ID],FME_Input[FARMACRE100])</f>
        <v>59647.609375</v>
      </c>
      <c r="AE432" s="230">
        <f>(FME_Ranking1[[#This Row],[Ag Land Raw]]/$AD$2)*100</f>
        <v>2.4596003978815664</v>
      </c>
      <c r="AF432" s="231">
        <f>FME_Ranking1[[#This Row],[Ag Land Score (Normalized, Unweighted)]]*$AD$3</f>
        <v>0.12298001989407832</v>
      </c>
      <c r="AG43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0.69691902523884264</v>
      </c>
      <c r="AH432" s="406">
        <f t="shared" si="6"/>
        <v>349</v>
      </c>
      <c r="AI43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0.69691902523884264</v>
      </c>
      <c r="AJ432" s="257">
        <f>FME_Ranking1[[#This Row],[Addition check]]-FME_Ranking1[[#This Row],[Weighted Score Based on Normalized Reported Factors]]</f>
        <v>0</v>
      </c>
      <c r="AK432" s="178">
        <f>_xlfn.RANK.EQ(AI432,$AI$6:$AI$2341,0)+COUNTIF($AI$6:AI432,AI432)-1</f>
        <v>350</v>
      </c>
    </row>
    <row r="433" spans="1:37" ht="12" customHeight="1" x14ac:dyDescent="0.25">
      <c r="A433" t="s">
        <v>6663</v>
      </c>
      <c r="B433">
        <f>_xlfn.XLOOKUP(FME_Ranking1[[#This Row],[FME ID]],FME_Input[FME_ID],FME_Input[RFPG_NUM])</f>
        <v>7</v>
      </c>
      <c r="C433" t="str">
        <f>_xlfn.XLOOKUP(FME_Ranking1[[#This Row],[FME ID]],FME_Input[FME_ID],FME_Input[FME_NAME])</f>
        <v>Haskell County GIS Development</v>
      </c>
      <c r="D433" t="str">
        <f>_xlfn.XLOOKUP(FME_Ranking1[[#This Row],[FME ID]],FME_Input[FME_ID],FME_Input[DESCR])</f>
        <v>Develop a GIS inventory of stormwater infrastructure</v>
      </c>
      <c r="E433" s="256">
        <f>_xlfn.XLOOKUP(FME_Ranking1[[#This Row],[FME ID]],FME_Input[FME_ID],FME_Input[FME_COST])</f>
        <v>100000</v>
      </c>
      <c r="F433" t="str">
        <f>_xlfn.XLOOKUP(FME_Ranking1[[#This Row],[FME ID]],FME_Input[FME_ID],FME_Input[EMER_NEED])</f>
        <v>No</v>
      </c>
      <c r="G433">
        <f>IF(FME_Ranking!F433="Yes",100,0)</f>
        <v>0</v>
      </c>
      <c r="H433">
        <f>FME_Ranking1[[#This Row],[Emergency Need Score (Normalized, Unweighted)]]*$F$3</f>
        <v>0</v>
      </c>
      <c r="I433" s="246">
        <f>_xlfn.XLOOKUP(FME_Ranking1[[#This Row],[FME ID]],FME_Input[FME_ID],FME_Input[STRUCT_100])</f>
        <v>788</v>
      </c>
      <c r="J433" s="178">
        <f>(FME_Ranking1[[#This Row],[Structures 100 Raw]]/I$2)*100</f>
        <v>0.42196804181124958</v>
      </c>
      <c r="K433" s="178">
        <f>FME_Ranking1[[#This Row],[Structures 100  Score (Normalized, Unweighted)]]*$I$3</f>
        <v>6.3295206271687429E-2</v>
      </c>
      <c r="L433" s="246">
        <f>_xlfn.XLOOKUP(FME_Ranking1[[#This Row],[FME ID]],FME_Input[FME_ID],FME_Input[RES_STRUCT100])</f>
        <v>294</v>
      </c>
      <c r="M433" s="230">
        <f>(FME_Ranking1[[#This Row],[Res Structures Raw]]/L$2)*100</f>
        <v>0.20824184386111544</v>
      </c>
      <c r="N433" s="180">
        <f>FME_Ranking1[[#This Row],[Res Structures Score (Normalized, Unweighted)]]*$L$3</f>
        <v>2.0824184386111545E-2</v>
      </c>
      <c r="O433" s="244">
        <f>_xlfn.XLOOKUP(FME_Ranking1[[#This Row],[FME ID]],FME_Input[FME_ID],FME_Input[POP100])</f>
        <v>708</v>
      </c>
      <c r="P433" s="178">
        <f>(FME_Ranking1[[#This Row],[Pop Raw]]/$O$2)*100</f>
        <v>7.2481720888044401E-2</v>
      </c>
      <c r="Q433" s="178">
        <f>FME_Ranking1[[#This Row],[Pop Score (Normalized, Unweighted)]]*$O$3</f>
        <v>1.087225813320666E-2</v>
      </c>
      <c r="R433" s="137">
        <f>_xlfn.XLOOKUP(FME_Ranking1[[#This Row],[FME ID]],FME_Input[FME_ID],FME_Input[CRITFAC100])</f>
        <v>1</v>
      </c>
      <c r="S433" s="230">
        <f>(FME_Ranking1[[#This Row],[Critical Facilities Raw]]/$R$2)*100</f>
        <v>4.2881646655231559E-2</v>
      </c>
      <c r="T433" s="180">
        <f>FME_Ranking1[[#This Row],[Critical Facilities Score (Normalized, Unweighted)]]*$R$3</f>
        <v>8.5763293310463125E-3</v>
      </c>
      <c r="U433">
        <f>_xlfn.XLOOKUP(FME_Ranking1[[#This Row],[FME ID]],FME_Input[FME_ID],FME_Input[LWC])</f>
        <v>15</v>
      </c>
      <c r="V433" s="178">
        <f>(FME_Ranking1[[#This Row],[LWC Raw]]/$U$2)*100</f>
        <v>0.86355785837651122</v>
      </c>
      <c r="W433" s="178">
        <f>FME_Ranking1[[#This Row],[LWC Score (Normalized, Unweighted)]]*$U$3</f>
        <v>0.17271157167530227</v>
      </c>
      <c r="X433" s="246">
        <f>_xlfn.XLOOKUP(FME_Ranking1[[#This Row],[FME ID]],FME_Input[FME_ID],FME_Input[ROADCLS])</f>
        <v>0</v>
      </c>
      <c r="Y433" s="230">
        <f>(FME_Ranking1[[#This Row],[Closures Raw]]/$X$2)*100</f>
        <v>0</v>
      </c>
      <c r="Z433" s="180">
        <f>FME_Ranking1[[#This Row],[Closures Score (Normalized, Unweighted)]]*$X$3</f>
        <v>0</v>
      </c>
      <c r="AA433" s="253">
        <f>_xlfn.XLOOKUP(FME_Ranking1[[#This Row],[FME ID]],FME_Input[FME_ID],FME_Input[ROAD_MILES100])</f>
        <v>226.38787841796881</v>
      </c>
      <c r="AB433" s="178">
        <f>(FME_Ranking1[[#This Row],[Miles Raw]]/$AA$2)*100</f>
        <v>2.9765945554741005</v>
      </c>
      <c r="AC433" s="178">
        <f>FME_Ranking1[[#This Row],[Miles Score (Normalized, Unweighted)]]*$AA$3</f>
        <v>0.29765945554741008</v>
      </c>
      <c r="AD433" s="255">
        <f>_xlfn.XLOOKUP(FME_Ranking1[[#This Row],[FME ID]],FME_Input[FME_ID],FME_Input[FARMACRE100])</f>
        <v>59647.609375</v>
      </c>
      <c r="AE433" s="230">
        <f>(FME_Ranking1[[#This Row],[Ag Land Raw]]/$AD$2)*100</f>
        <v>2.4596003978815664</v>
      </c>
      <c r="AF433" s="231">
        <f>FME_Ranking1[[#This Row],[Ag Land Score (Normalized, Unweighted)]]*$AD$3</f>
        <v>0.12298001989407832</v>
      </c>
      <c r="AG43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0.69691902523884264</v>
      </c>
      <c r="AH433" s="406">
        <f t="shared" si="6"/>
        <v>349</v>
      </c>
      <c r="AI43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0.69691902523884264</v>
      </c>
      <c r="AJ433" s="257">
        <f>FME_Ranking1[[#This Row],[Addition check]]-FME_Ranking1[[#This Row],[Weighted Score Based on Normalized Reported Factors]]</f>
        <v>0</v>
      </c>
      <c r="AK433" s="178">
        <f>_xlfn.RANK.EQ(AI433,$AI$6:$AI$2341,0)+COUNTIF($AI$6:AI433,AI433)-1</f>
        <v>351</v>
      </c>
    </row>
    <row r="434" spans="1:37" ht="12" customHeight="1" x14ac:dyDescent="0.25">
      <c r="A434" t="s">
        <v>7220</v>
      </c>
      <c r="B434">
        <f>_xlfn.XLOOKUP(FME_Ranking1[[#This Row],[FME ID]],FME_Input[FME_ID],FME_Input[RFPG_NUM])</f>
        <v>7</v>
      </c>
      <c r="C434" t="str">
        <f>_xlfn.XLOOKUP(FME_Ranking1[[#This Row],[FME ID]],FME_Input[FME_ID],FME_Input[FME_NAME])</f>
        <v>Haskell County DCM</v>
      </c>
      <c r="D434" t="str">
        <f>_xlfn.XLOOKUP(FME_Ranking1[[#This Row],[FME ID]],FME_Input[FME_ID],FME_Input[DESCR])</f>
        <v>Consider stormwater criteria for infrastructure and floodplain ordinances to avoid new exposure to flood hazards.</v>
      </c>
      <c r="E434" s="256">
        <f>_xlfn.XLOOKUP(FME_Ranking1[[#This Row],[FME ID]],FME_Input[FME_ID],FME_Input[FME_COST])</f>
        <v>100000</v>
      </c>
      <c r="F434" t="str">
        <f>_xlfn.XLOOKUP(FME_Ranking1[[#This Row],[FME ID]],FME_Input[FME_ID],FME_Input[EMER_NEED])</f>
        <v>No</v>
      </c>
      <c r="G434">
        <f>IF(FME_Ranking!F434="Yes",100,0)</f>
        <v>0</v>
      </c>
      <c r="H434">
        <f>FME_Ranking1[[#This Row],[Emergency Need Score (Normalized, Unweighted)]]*$F$3</f>
        <v>0</v>
      </c>
      <c r="I434" s="246">
        <f>_xlfn.XLOOKUP(FME_Ranking1[[#This Row],[FME ID]],FME_Input[FME_ID],FME_Input[STRUCT_100])</f>
        <v>788</v>
      </c>
      <c r="J434" s="178">
        <f>(FME_Ranking1[[#This Row],[Structures 100 Raw]]/I$2)*100</f>
        <v>0.42196804181124958</v>
      </c>
      <c r="K434" s="178">
        <f>FME_Ranking1[[#This Row],[Structures 100  Score (Normalized, Unweighted)]]*$I$3</f>
        <v>6.3295206271687429E-2</v>
      </c>
      <c r="L434" s="246">
        <f>_xlfn.XLOOKUP(FME_Ranking1[[#This Row],[FME ID]],FME_Input[FME_ID],FME_Input[RES_STRUCT100])</f>
        <v>294</v>
      </c>
      <c r="M434" s="230">
        <f>(FME_Ranking1[[#This Row],[Res Structures Raw]]/L$2)*100</f>
        <v>0.20824184386111544</v>
      </c>
      <c r="N434" s="180">
        <f>FME_Ranking1[[#This Row],[Res Structures Score (Normalized, Unweighted)]]*$L$3</f>
        <v>2.0824184386111545E-2</v>
      </c>
      <c r="O434" s="244">
        <f>_xlfn.XLOOKUP(FME_Ranking1[[#This Row],[FME ID]],FME_Input[FME_ID],FME_Input[POP100])</f>
        <v>708</v>
      </c>
      <c r="P434" s="178">
        <f>(FME_Ranking1[[#This Row],[Pop Raw]]/$O$2)*100</f>
        <v>7.2481720888044401E-2</v>
      </c>
      <c r="Q434" s="178">
        <f>FME_Ranking1[[#This Row],[Pop Score (Normalized, Unweighted)]]*$O$3</f>
        <v>1.087225813320666E-2</v>
      </c>
      <c r="R434" s="137">
        <f>_xlfn.XLOOKUP(FME_Ranking1[[#This Row],[FME ID]],FME_Input[FME_ID],FME_Input[CRITFAC100])</f>
        <v>1</v>
      </c>
      <c r="S434" s="230">
        <f>(FME_Ranking1[[#This Row],[Critical Facilities Raw]]/$R$2)*100</f>
        <v>4.2881646655231559E-2</v>
      </c>
      <c r="T434" s="180">
        <f>FME_Ranking1[[#This Row],[Critical Facilities Score (Normalized, Unweighted)]]*$R$3</f>
        <v>8.5763293310463125E-3</v>
      </c>
      <c r="U434">
        <f>_xlfn.XLOOKUP(FME_Ranking1[[#This Row],[FME ID]],FME_Input[FME_ID],FME_Input[LWC])</f>
        <v>15</v>
      </c>
      <c r="V434" s="178">
        <f>(FME_Ranking1[[#This Row],[LWC Raw]]/$U$2)*100</f>
        <v>0.86355785837651122</v>
      </c>
      <c r="W434" s="178">
        <f>FME_Ranking1[[#This Row],[LWC Score (Normalized, Unweighted)]]*$U$3</f>
        <v>0.17271157167530227</v>
      </c>
      <c r="X434" s="246">
        <f>_xlfn.XLOOKUP(FME_Ranking1[[#This Row],[FME ID]],FME_Input[FME_ID],FME_Input[ROADCLS])</f>
        <v>0</v>
      </c>
      <c r="Y434" s="230">
        <f>(FME_Ranking1[[#This Row],[Closures Raw]]/$X$2)*100</f>
        <v>0</v>
      </c>
      <c r="Z434" s="180">
        <f>FME_Ranking1[[#This Row],[Closures Score (Normalized, Unweighted)]]*$X$3</f>
        <v>0</v>
      </c>
      <c r="AA434" s="253">
        <f>_xlfn.XLOOKUP(FME_Ranking1[[#This Row],[FME ID]],FME_Input[FME_ID],FME_Input[ROAD_MILES100])</f>
        <v>226.38787841796881</v>
      </c>
      <c r="AB434" s="178">
        <f>(FME_Ranking1[[#This Row],[Miles Raw]]/$AA$2)*100</f>
        <v>2.9765945554741005</v>
      </c>
      <c r="AC434" s="178">
        <f>FME_Ranking1[[#This Row],[Miles Score (Normalized, Unweighted)]]*$AA$3</f>
        <v>0.29765945554741008</v>
      </c>
      <c r="AD434" s="255">
        <f>_xlfn.XLOOKUP(FME_Ranking1[[#This Row],[FME ID]],FME_Input[FME_ID],FME_Input[FARMACRE100])</f>
        <v>59647.609375</v>
      </c>
      <c r="AE434" s="230">
        <f>(FME_Ranking1[[#This Row],[Ag Land Raw]]/$AD$2)*100</f>
        <v>2.4596003978815664</v>
      </c>
      <c r="AF434" s="231">
        <f>FME_Ranking1[[#This Row],[Ag Land Score (Normalized, Unweighted)]]*$AD$3</f>
        <v>0.12298001989407832</v>
      </c>
      <c r="AG43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0.69691902523884264</v>
      </c>
      <c r="AH434" s="406">
        <f t="shared" si="6"/>
        <v>349</v>
      </c>
      <c r="AI43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0.69691902523884264</v>
      </c>
      <c r="AJ434" s="257">
        <f>FME_Ranking1[[#This Row],[Addition check]]-FME_Ranking1[[#This Row],[Weighted Score Based on Normalized Reported Factors]]</f>
        <v>0</v>
      </c>
      <c r="AK434" s="178">
        <f>_xlfn.RANK.EQ(AI434,$AI$6:$AI$2341,0)+COUNTIF($AI$6:AI434,AI434)-1</f>
        <v>352</v>
      </c>
    </row>
    <row r="435" spans="1:37" ht="12" customHeight="1" x14ac:dyDescent="0.25">
      <c r="A435" t="s">
        <v>5908</v>
      </c>
      <c r="B435">
        <f>_xlfn.XLOOKUP(FME_Ranking1[[#This Row],[FME ID]],FME_Input[FME_ID],FME_Input[RFPG_NUM])</f>
        <v>5</v>
      </c>
      <c r="C435" t="str">
        <f>_xlfn.XLOOKUP(FME_Ranking1[[#This Row],[FME ID]],FME_Input[FME_ID],FME_Input[FME_NAME])</f>
        <v>Nacogdoches County Update Flood Hazard Mapping</v>
      </c>
      <c r="D435" t="str">
        <f>_xlfn.XLOOKUP(FME_Ranking1[[#This Row],[FME ID]],FME_Input[FME_ID],FME_Input[DESCR])</f>
        <v>Complete a detailed study within the county extent to delineate an updated flood hazard area, which can be used for regulatory purposes.</v>
      </c>
      <c r="E435" s="256">
        <f>_xlfn.XLOOKUP(FME_Ranking1[[#This Row],[FME ID]],FME_Input[FME_ID],FME_Input[FME_COST])</f>
        <v>4400000</v>
      </c>
      <c r="F435" t="str">
        <f>_xlfn.XLOOKUP(FME_Ranking1[[#This Row],[FME ID]],FME_Input[FME_ID],FME_Input[EMER_NEED])</f>
        <v>Yes</v>
      </c>
      <c r="G435">
        <f>IF(FME_Ranking!F435="Yes",100,0)</f>
        <v>100</v>
      </c>
      <c r="H435">
        <f>FME_Ranking1[[#This Row],[Emergency Need Score (Normalized, Unweighted)]]*$F$3</f>
        <v>0</v>
      </c>
      <c r="I435" s="246">
        <f>_xlfn.XLOOKUP(FME_Ranking1[[#This Row],[FME ID]],FME_Input[FME_ID],FME_Input[STRUCT_100])</f>
        <v>585</v>
      </c>
      <c r="J435" s="178">
        <f>(FME_Ranking1[[#This Row],[Structures 100 Raw]]/I$2)*100</f>
        <v>0.31326307672535664</v>
      </c>
      <c r="K435" s="178">
        <f>FME_Ranking1[[#This Row],[Structures 100  Score (Normalized, Unweighted)]]*$I$3</f>
        <v>4.6989461508803496E-2</v>
      </c>
      <c r="L435" s="246">
        <f>_xlfn.XLOOKUP(FME_Ranking1[[#This Row],[FME ID]],FME_Input[FME_ID],FME_Input[RES_STRUCT100])</f>
        <v>238</v>
      </c>
      <c r="M435" s="230">
        <f>(FME_Ranking1[[#This Row],[Res Structures Raw]]/L$2)*100</f>
        <v>0.16857673074471249</v>
      </c>
      <c r="N435" s="180">
        <f>FME_Ranking1[[#This Row],[Res Structures Score (Normalized, Unweighted)]]*$L$3</f>
        <v>1.6857673074471249E-2</v>
      </c>
      <c r="O435" s="244">
        <f>_xlfn.XLOOKUP(FME_Ranking1[[#This Row],[FME ID]],FME_Input[FME_ID],FME_Input[POP100])</f>
        <v>5475</v>
      </c>
      <c r="P435" s="178">
        <f>(FME_Ranking1[[#This Row],[Pop Raw]]/$O$2)*100</f>
        <v>0.56050483313847899</v>
      </c>
      <c r="Q435" s="178">
        <f>FME_Ranking1[[#This Row],[Pop Score (Normalized, Unweighted)]]*$O$3</f>
        <v>8.4075724970771842E-2</v>
      </c>
      <c r="R435" s="137">
        <f>_xlfn.XLOOKUP(FME_Ranking1[[#This Row],[FME ID]],FME_Input[FME_ID],FME_Input[CRITFAC100])</f>
        <v>1</v>
      </c>
      <c r="S435" s="230">
        <f>(FME_Ranking1[[#This Row],[Critical Facilities Raw]]/$R$2)*100</f>
        <v>4.2881646655231559E-2</v>
      </c>
      <c r="T435" s="180">
        <f>FME_Ranking1[[#This Row],[Critical Facilities Score (Normalized, Unweighted)]]*$R$3</f>
        <v>8.5763293310463125E-3</v>
      </c>
      <c r="U435">
        <f>_xlfn.XLOOKUP(FME_Ranking1[[#This Row],[FME ID]],FME_Input[FME_ID],FME_Input[LWC])</f>
        <v>20</v>
      </c>
      <c r="V435" s="178">
        <f>(FME_Ranking1[[#This Row],[LWC Raw]]/$U$2)*100</f>
        <v>1.1514104778353482</v>
      </c>
      <c r="W435" s="178">
        <f>FME_Ranking1[[#This Row],[LWC Score (Normalized, Unweighted)]]*$U$3</f>
        <v>0.23028209556706966</v>
      </c>
      <c r="X435" s="246">
        <f>_xlfn.XLOOKUP(FME_Ranking1[[#This Row],[FME ID]],FME_Input[FME_ID],FME_Input[ROADCLS])</f>
        <v>20</v>
      </c>
      <c r="Y435" s="230">
        <f>(FME_Ranking1[[#This Row],[Closures Raw]]/$X$2)*100</f>
        <v>0.2102828304068973</v>
      </c>
      <c r="Z435" s="180">
        <f>FME_Ranking1[[#This Row],[Closures Score (Normalized, Unweighted)]]*$X$3</f>
        <v>1.0514141520344866E-2</v>
      </c>
      <c r="AA435" s="253">
        <f>_xlfn.XLOOKUP(FME_Ranking1[[#This Row],[FME ID]],FME_Input[FME_ID],FME_Input[ROAD_MILES100])</f>
        <v>38.316616058349609</v>
      </c>
      <c r="AB435" s="178">
        <f>(FME_Ranking1[[#This Row],[Miles Raw]]/$AA$2)*100</f>
        <v>0.50379477709007214</v>
      </c>
      <c r="AC435" s="178">
        <f>FME_Ranking1[[#This Row],[Miles Score (Normalized, Unweighted)]]*$AA$3</f>
        <v>5.037947770900722E-2</v>
      </c>
      <c r="AD435" s="255">
        <f>_xlfn.XLOOKUP(FME_Ranking1[[#This Row],[FME ID]],FME_Input[FME_ID],FME_Input[FARMACRE100])</f>
        <v>239.8162536621094</v>
      </c>
      <c r="AE435" s="230">
        <f>(FME_Ranking1[[#This Row],[Ag Land Raw]]/$AD$2)*100</f>
        <v>9.8889487626810848E-3</v>
      </c>
      <c r="AF435" s="231">
        <f>FME_Ranking1[[#This Row],[Ag Land Score (Normalized, Unweighted)]]*$AD$3</f>
        <v>4.9444743813405428E-4</v>
      </c>
      <c r="AG43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0.44816935111964867</v>
      </c>
      <c r="AH435" s="406">
        <f t="shared" si="6"/>
        <v>480</v>
      </c>
      <c r="AI43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0.44816935111964867</v>
      </c>
      <c r="AJ435" s="257">
        <f>FME_Ranking1[[#This Row],[Addition check]]-FME_Ranking1[[#This Row],[Weighted Score Based on Normalized Reported Factors]]</f>
        <v>0</v>
      </c>
      <c r="AK435" s="178">
        <f>_xlfn.RANK.EQ(AI435,$AI$6:$AI$2341,0)+COUNTIF($AI$6:AI435,AI435)-1</f>
        <v>480</v>
      </c>
    </row>
    <row r="436" spans="1:37" ht="12" customHeight="1" x14ac:dyDescent="0.25">
      <c r="A436" t="s">
        <v>6156</v>
      </c>
      <c r="B436">
        <f>_xlfn.XLOOKUP(FME_Ranking1[[#This Row],[FME ID]],FME_Input[FME_ID],FME_Input[RFPG_NUM])</f>
        <v>5</v>
      </c>
      <c r="C436" t="str">
        <f>_xlfn.XLOOKUP(FME_Ranking1[[#This Row],[FME ID]],FME_Input[FME_ID],FME_Input[FME_NAME])</f>
        <v>Nacogdoches County Master Drainage Plan</v>
      </c>
      <c r="D436"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436" s="256">
        <f>_xlfn.XLOOKUP(FME_Ranking1[[#This Row],[FME ID]],FME_Input[FME_ID],FME_Input[FME_COST])</f>
        <v>1900000</v>
      </c>
      <c r="F436" t="str">
        <f>_xlfn.XLOOKUP(FME_Ranking1[[#This Row],[FME ID]],FME_Input[FME_ID],FME_Input[EMER_NEED])</f>
        <v>Yes</v>
      </c>
      <c r="G436">
        <f>IF(FME_Ranking!F436="Yes",100,0)</f>
        <v>100</v>
      </c>
      <c r="H436">
        <f>FME_Ranking1[[#This Row],[Emergency Need Score (Normalized, Unweighted)]]*$F$3</f>
        <v>0</v>
      </c>
      <c r="I436" s="246">
        <f>_xlfn.XLOOKUP(FME_Ranking1[[#This Row],[FME ID]],FME_Input[FME_ID],FME_Input[STRUCT_100])</f>
        <v>585</v>
      </c>
      <c r="J436" s="178">
        <f>(FME_Ranking1[[#This Row],[Structures 100 Raw]]/I$2)*100</f>
        <v>0.31326307672535664</v>
      </c>
      <c r="K436" s="178">
        <f>FME_Ranking1[[#This Row],[Structures 100  Score (Normalized, Unweighted)]]*$I$3</f>
        <v>4.6989461508803496E-2</v>
      </c>
      <c r="L436" s="246">
        <f>_xlfn.XLOOKUP(FME_Ranking1[[#This Row],[FME ID]],FME_Input[FME_ID],FME_Input[RES_STRUCT100])</f>
        <v>238</v>
      </c>
      <c r="M436" s="230">
        <f>(FME_Ranking1[[#This Row],[Res Structures Raw]]/L$2)*100</f>
        <v>0.16857673074471249</v>
      </c>
      <c r="N436" s="180">
        <f>FME_Ranking1[[#This Row],[Res Structures Score (Normalized, Unweighted)]]*$L$3</f>
        <v>1.6857673074471249E-2</v>
      </c>
      <c r="O436" s="244">
        <f>_xlfn.XLOOKUP(FME_Ranking1[[#This Row],[FME ID]],FME_Input[FME_ID],FME_Input[POP100])</f>
        <v>5475</v>
      </c>
      <c r="P436" s="178">
        <f>(FME_Ranking1[[#This Row],[Pop Raw]]/$O$2)*100</f>
        <v>0.56050483313847899</v>
      </c>
      <c r="Q436" s="178">
        <f>FME_Ranking1[[#This Row],[Pop Score (Normalized, Unweighted)]]*$O$3</f>
        <v>8.4075724970771842E-2</v>
      </c>
      <c r="R436" s="137">
        <f>_xlfn.XLOOKUP(FME_Ranking1[[#This Row],[FME ID]],FME_Input[FME_ID],FME_Input[CRITFAC100])</f>
        <v>1</v>
      </c>
      <c r="S436" s="230">
        <f>(FME_Ranking1[[#This Row],[Critical Facilities Raw]]/$R$2)*100</f>
        <v>4.2881646655231559E-2</v>
      </c>
      <c r="T436" s="180">
        <f>FME_Ranking1[[#This Row],[Critical Facilities Score (Normalized, Unweighted)]]*$R$3</f>
        <v>8.5763293310463125E-3</v>
      </c>
      <c r="U436">
        <f>_xlfn.XLOOKUP(FME_Ranking1[[#This Row],[FME ID]],FME_Input[FME_ID],FME_Input[LWC])</f>
        <v>20</v>
      </c>
      <c r="V436" s="178">
        <f>(FME_Ranking1[[#This Row],[LWC Raw]]/$U$2)*100</f>
        <v>1.1514104778353482</v>
      </c>
      <c r="W436" s="178">
        <f>FME_Ranking1[[#This Row],[LWC Score (Normalized, Unweighted)]]*$U$3</f>
        <v>0.23028209556706966</v>
      </c>
      <c r="X436" s="246">
        <f>_xlfn.XLOOKUP(FME_Ranking1[[#This Row],[FME ID]],FME_Input[FME_ID],FME_Input[ROADCLS])</f>
        <v>20</v>
      </c>
      <c r="Y436" s="230">
        <f>(FME_Ranking1[[#This Row],[Closures Raw]]/$X$2)*100</f>
        <v>0.2102828304068973</v>
      </c>
      <c r="Z436" s="180">
        <f>FME_Ranking1[[#This Row],[Closures Score (Normalized, Unweighted)]]*$X$3</f>
        <v>1.0514141520344866E-2</v>
      </c>
      <c r="AA436" s="253">
        <f>_xlfn.XLOOKUP(FME_Ranking1[[#This Row],[FME ID]],FME_Input[FME_ID],FME_Input[ROAD_MILES100])</f>
        <v>38.316616058349609</v>
      </c>
      <c r="AB436" s="178">
        <f>(FME_Ranking1[[#This Row],[Miles Raw]]/$AA$2)*100</f>
        <v>0.50379477709007214</v>
      </c>
      <c r="AC436" s="178">
        <f>FME_Ranking1[[#This Row],[Miles Score (Normalized, Unweighted)]]*$AA$3</f>
        <v>5.037947770900722E-2</v>
      </c>
      <c r="AD436" s="255">
        <f>_xlfn.XLOOKUP(FME_Ranking1[[#This Row],[FME ID]],FME_Input[FME_ID],FME_Input[FARMACRE100])</f>
        <v>239.8162536621094</v>
      </c>
      <c r="AE436" s="230">
        <f>(FME_Ranking1[[#This Row],[Ag Land Raw]]/$AD$2)*100</f>
        <v>9.8889487626810848E-3</v>
      </c>
      <c r="AF436" s="231">
        <f>FME_Ranking1[[#This Row],[Ag Land Score (Normalized, Unweighted)]]*$AD$3</f>
        <v>4.9444743813405428E-4</v>
      </c>
      <c r="AG43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0.44816935111964867</v>
      </c>
      <c r="AH436" s="406">
        <f t="shared" si="6"/>
        <v>480</v>
      </c>
      <c r="AI43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0.44816935111964867</v>
      </c>
      <c r="AJ436" s="257">
        <f>FME_Ranking1[[#This Row],[Addition check]]-FME_Ranking1[[#This Row],[Weighted Score Based on Normalized Reported Factors]]</f>
        <v>0</v>
      </c>
      <c r="AK436" s="178">
        <f>_xlfn.RANK.EQ(AI436,$AI$6:$AI$2341,0)+COUNTIF($AI$6:AI436,AI436)-1</f>
        <v>481</v>
      </c>
    </row>
    <row r="437" spans="1:37" ht="12" customHeight="1" x14ac:dyDescent="0.25">
      <c r="A437" t="s">
        <v>2087</v>
      </c>
      <c r="B437">
        <f>_xlfn.XLOOKUP(FME_Ranking1[[#This Row],[FME ID]],FME_Input[FME_ID],FME_Input[RFPG_NUM])</f>
        <v>6</v>
      </c>
      <c r="C437" t="str">
        <f>_xlfn.XLOOKUP(FME_Ranking1[[#This Row],[FME ID]],FME_Input[FME_ID],FME_Input[FME_NAME])</f>
        <v xml:space="preserve">Addicks Reservoir - Right-Of-Way Acquisition, Design and Construction of Channel Conveyance Improvements, Bypass Channel, and Detention for South Mayde Creek </v>
      </c>
      <c r="D437" t="str">
        <f>_xlfn.XLOOKUP(FME_Ranking1[[#This Row],[FME ID]],FME_Input[FME_ID],FME_Input[DESCR])</f>
        <v>Study to develop a BCA needed for this project to become a FMP.  This project is part of the South Mayde Creek Plan to reduce flood risk 70+ homes &amp; reduce the rainfall event by 340+ acres in pre-Atlas 1% rainfall event.</v>
      </c>
      <c r="E437" s="256">
        <f>_xlfn.XLOOKUP(FME_Ranking1[[#This Row],[FME ID]],FME_Input[FME_ID],FME_Input[FME_COST])</f>
        <v>30000</v>
      </c>
      <c r="F437" t="str">
        <f>_xlfn.XLOOKUP(FME_Ranking1[[#This Row],[FME ID]],FME_Input[FME_ID],FME_Input[EMER_NEED])</f>
        <v>No</v>
      </c>
      <c r="G437">
        <f>IF(FME_Ranking!F437="Yes",100,0)</f>
        <v>0</v>
      </c>
      <c r="H437">
        <f>FME_Ranking1[[#This Row],[Emergency Need Score (Normalized, Unweighted)]]*$F$3</f>
        <v>0</v>
      </c>
      <c r="I437" s="246">
        <f>_xlfn.XLOOKUP(FME_Ranking1[[#This Row],[FME ID]],FME_Input[FME_ID],FME_Input[STRUCT_100])</f>
        <v>944</v>
      </c>
      <c r="J437" s="178">
        <f>(FME_Ranking1[[#This Row],[Structures 100 Raw]]/I$2)*100</f>
        <v>0.50550486227134472</v>
      </c>
      <c r="K437" s="178">
        <f>FME_Ranking1[[#This Row],[Structures 100  Score (Normalized, Unweighted)]]*$I$3</f>
        <v>7.5825729340701711E-2</v>
      </c>
      <c r="L437" s="246">
        <f>_xlfn.XLOOKUP(FME_Ranking1[[#This Row],[FME ID]],FME_Input[FME_ID],FME_Input[RES_STRUCT100])</f>
        <v>854</v>
      </c>
      <c r="M437" s="230">
        <f>(FME_Ranking1[[#This Row],[Res Structures Raw]]/L$2)*100</f>
        <v>0.60489297502514483</v>
      </c>
      <c r="N437" s="180">
        <f>FME_Ranking1[[#This Row],[Res Structures Score (Normalized, Unweighted)]]*$L$3</f>
        <v>6.0489297502514486E-2</v>
      </c>
      <c r="O437" s="244">
        <f>_xlfn.XLOOKUP(FME_Ranking1[[#This Row],[FME ID]],FME_Input[FME_ID],FME_Input[POP100])</f>
        <v>5217</v>
      </c>
      <c r="P437" s="178">
        <f>(FME_Ranking1[[#This Row],[Pop Raw]]/$O$2)*100</f>
        <v>0.53409200264537804</v>
      </c>
      <c r="Q437" s="178">
        <f>FME_Ranking1[[#This Row],[Pop Score (Normalized, Unweighted)]]*$O$3</f>
        <v>8.0113800396806698E-2</v>
      </c>
      <c r="R437" s="137">
        <f>_xlfn.XLOOKUP(FME_Ranking1[[#This Row],[FME ID]],FME_Input[FME_ID],FME_Input[CRITFAC100])</f>
        <v>21</v>
      </c>
      <c r="S437" s="230">
        <f>(FME_Ranking1[[#This Row],[Critical Facilities Raw]]/$R$2)*100</f>
        <v>0.90051457975986282</v>
      </c>
      <c r="T437" s="180">
        <f>FME_Ranking1[[#This Row],[Critical Facilities Score (Normalized, Unweighted)]]*$R$3</f>
        <v>0.18010291595197259</v>
      </c>
      <c r="U437">
        <f>_xlfn.XLOOKUP(FME_Ranking1[[#This Row],[FME ID]],FME_Input[FME_ID],FME_Input[LWC])</f>
        <v>0</v>
      </c>
      <c r="V437" s="178">
        <f>(FME_Ranking1[[#This Row],[LWC Raw]]/$U$2)*100</f>
        <v>0</v>
      </c>
      <c r="W437" s="178">
        <f>FME_Ranking1[[#This Row],[LWC Score (Normalized, Unweighted)]]*$U$3</f>
        <v>0</v>
      </c>
      <c r="X437" s="246">
        <f>_xlfn.XLOOKUP(FME_Ranking1[[#This Row],[FME ID]],FME_Input[FME_ID],FME_Input[ROADCLS])</f>
        <v>0</v>
      </c>
      <c r="Y437" s="230">
        <f>(FME_Ranking1[[#This Row],[Closures Raw]]/$X$2)*100</f>
        <v>0</v>
      </c>
      <c r="Z437" s="180">
        <f>FME_Ranking1[[#This Row],[Closures Score (Normalized, Unweighted)]]*$X$3</f>
        <v>0</v>
      </c>
      <c r="AA437" s="253">
        <f>_xlfn.XLOOKUP(FME_Ranking1[[#This Row],[FME ID]],FME_Input[FME_ID],FME_Input[ROAD_MILES100])</f>
        <v>15.662631988525391</v>
      </c>
      <c r="AB437" s="178">
        <f>(FME_Ranking1[[#This Row],[Miles Raw]]/$AA$2)*100</f>
        <v>0.20593551839981705</v>
      </c>
      <c r="AC437" s="178">
        <f>FME_Ranking1[[#This Row],[Miles Score (Normalized, Unweighted)]]*$AA$3</f>
        <v>2.0593551839981707E-2</v>
      </c>
      <c r="AD437" s="255">
        <f>_xlfn.XLOOKUP(FME_Ranking1[[#This Row],[FME ID]],FME_Input[FME_ID],FME_Input[FARMACRE100])</f>
        <v>19.42950439453125</v>
      </c>
      <c r="AE437" s="230">
        <f>(FME_Ranking1[[#This Row],[Ag Land Raw]]/$AD$2)*100</f>
        <v>8.0118578498236258E-4</v>
      </c>
      <c r="AF437" s="231">
        <f>FME_Ranking1[[#This Row],[Ag Land Score (Normalized, Unweighted)]]*$AD$3</f>
        <v>4.005928924911813E-5</v>
      </c>
      <c r="AG43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0.41716535432122626</v>
      </c>
      <c r="AH437" s="406">
        <f t="shared" si="6"/>
        <v>515</v>
      </c>
      <c r="AI43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0.41716535432122626</v>
      </c>
      <c r="AJ437" s="257">
        <f>FME_Ranking1[[#This Row],[Addition check]]-FME_Ranking1[[#This Row],[Weighted Score Based on Normalized Reported Factors]]</f>
        <v>0</v>
      </c>
      <c r="AK437" s="178">
        <f>_xlfn.RANK.EQ(AI437,$AI$6:$AI$2341,0)+COUNTIF($AI$6:AI437,AI437)-1</f>
        <v>515</v>
      </c>
    </row>
    <row r="438" spans="1:37" ht="12" customHeight="1" x14ac:dyDescent="0.25">
      <c r="A438" t="s">
        <v>190</v>
      </c>
      <c r="B438">
        <f>_xlfn.XLOOKUP(FME_Ranking1[[#This Row],[FME ID]],FME_Input[FME_ID],FME_Input[RFPG_NUM])</f>
        <v>10</v>
      </c>
      <c r="C438" t="str">
        <f>_xlfn.XLOOKUP(FME_Ranking1[[#This Row],[FME ID]],FME_Input[FME_ID],FME_Input[FME_NAME])</f>
        <v>Adopt Flood Insurance Rate Maps</v>
      </c>
      <c r="D438" t="str">
        <f>_xlfn.XLOOKUP(FME_Ranking1[[#This Row],[FME ID]],FME_Input[FME_ID],FME_Input[DESCR])</f>
        <v>Adopt DFIRM</v>
      </c>
      <c r="E438" s="256">
        <f>_xlfn.XLOOKUP(FME_Ranking1[[#This Row],[FME ID]],FME_Input[FME_ID],FME_Input[FME_COST])</f>
        <v>250000</v>
      </c>
      <c r="F438" t="str">
        <f>_xlfn.XLOOKUP(FME_Ranking1[[#This Row],[FME ID]],FME_Input[FME_ID],FME_Input[EMER_NEED])</f>
        <v>No</v>
      </c>
      <c r="G438">
        <f>IF(FME_Ranking!F438="Yes",100,0)</f>
        <v>0</v>
      </c>
      <c r="H438">
        <f>FME_Ranking1[[#This Row],[Emergency Need Score (Normalized, Unweighted)]]*$F$3</f>
        <v>0</v>
      </c>
      <c r="I438" s="246">
        <f>_xlfn.XLOOKUP(FME_Ranking1[[#This Row],[FME ID]],FME_Input[FME_ID],FME_Input[STRUCT_100])</f>
        <v>1220</v>
      </c>
      <c r="J438" s="178">
        <f>(FME_Ranking1[[#This Row],[Structures 100 Raw]]/I$2)*100</f>
        <v>0.65330077539305142</v>
      </c>
      <c r="K438" s="178">
        <f>FME_Ranking1[[#This Row],[Structures 100  Score (Normalized, Unweighted)]]*$I$3</f>
        <v>9.7995116308957714E-2</v>
      </c>
      <c r="L438" s="246">
        <f>_xlfn.XLOOKUP(FME_Ranking1[[#This Row],[FME ID]],FME_Input[FME_ID],FME_Input[RES_STRUCT100])</f>
        <v>889</v>
      </c>
      <c r="M438" s="230">
        <f>(FME_Ranking1[[#This Row],[Res Structures Raw]]/L$2)*100</f>
        <v>0.62968367072289666</v>
      </c>
      <c r="N438" s="180">
        <f>FME_Ranking1[[#This Row],[Res Structures Score (Normalized, Unweighted)]]*$L$3</f>
        <v>6.2968367072289672E-2</v>
      </c>
      <c r="O438" s="244">
        <f>_xlfn.XLOOKUP(FME_Ranking1[[#This Row],[FME ID]],FME_Input[FME_ID],FME_Input[POP100])</f>
        <v>4826</v>
      </c>
      <c r="P438" s="178">
        <f>(FME_Ranking1[[#This Row],[Pop Raw]]/$O$2)*100</f>
        <v>0.49406325565777165</v>
      </c>
      <c r="Q438" s="178">
        <f>FME_Ranking1[[#This Row],[Pop Score (Normalized, Unweighted)]]*$O$3</f>
        <v>7.410948834866575E-2</v>
      </c>
      <c r="R438" s="137">
        <f>_xlfn.XLOOKUP(FME_Ranking1[[#This Row],[FME ID]],FME_Input[FME_ID],FME_Input[CRITFAC100])</f>
        <v>2</v>
      </c>
      <c r="S438" s="230">
        <f>(FME_Ranking1[[#This Row],[Critical Facilities Raw]]/$R$2)*100</f>
        <v>8.5763293310463118E-2</v>
      </c>
      <c r="T438" s="180">
        <f>FME_Ranking1[[#This Row],[Critical Facilities Score (Normalized, Unweighted)]]*$R$3</f>
        <v>1.7152658662092625E-2</v>
      </c>
      <c r="U438">
        <f>_xlfn.XLOOKUP(FME_Ranking1[[#This Row],[FME ID]],FME_Input[FME_ID],FME_Input[LWC])</f>
        <v>12</v>
      </c>
      <c r="V438" s="178">
        <f>(FME_Ranking1[[#This Row],[LWC Raw]]/$U$2)*100</f>
        <v>0.69084628670120896</v>
      </c>
      <c r="W438" s="178">
        <f>FME_Ranking1[[#This Row],[LWC Score (Normalized, Unweighted)]]*$U$3</f>
        <v>0.1381692573402418</v>
      </c>
      <c r="X438" s="246">
        <f>_xlfn.XLOOKUP(FME_Ranking1[[#This Row],[FME ID]],FME_Input[FME_ID],FME_Input[ROADCLS])</f>
        <v>0</v>
      </c>
      <c r="Y438" s="230">
        <f>(FME_Ranking1[[#This Row],[Closures Raw]]/$X$2)*100</f>
        <v>0</v>
      </c>
      <c r="Z438" s="180">
        <f>FME_Ranking1[[#This Row],[Closures Score (Normalized, Unweighted)]]*$X$3</f>
        <v>0</v>
      </c>
      <c r="AA438" s="253">
        <f>_xlfn.XLOOKUP(FME_Ranking1[[#This Row],[FME ID]],FME_Input[FME_ID],FME_Input[ROAD_MILES100])</f>
        <v>29.442398071289059</v>
      </c>
      <c r="AB438" s="178">
        <f>(FME_Ranking1[[#This Row],[Miles Raw]]/$AA$2)*100</f>
        <v>0.38711472721740997</v>
      </c>
      <c r="AC438" s="178">
        <f>FME_Ranking1[[#This Row],[Miles Score (Normalized, Unweighted)]]*$AA$3</f>
        <v>3.8711472721740997E-2</v>
      </c>
      <c r="AD438" s="255">
        <f>_xlfn.XLOOKUP(FME_Ranking1[[#This Row],[FME ID]],FME_Input[FME_ID],FME_Input[FARMACRE100])</f>
        <v>1404.395141601562</v>
      </c>
      <c r="AE438" s="230">
        <f>(FME_Ranking1[[#This Row],[Ag Land Raw]]/$AD$2)*100</f>
        <v>5.7910968859615594E-2</v>
      </c>
      <c r="AF438" s="231">
        <f>FME_Ranking1[[#This Row],[Ag Land Score (Normalized, Unweighted)]]*$AD$3</f>
        <v>2.8955484429807801E-3</v>
      </c>
      <c r="AG43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0.43200190889696943</v>
      </c>
      <c r="AH438" s="406">
        <f t="shared" si="6"/>
        <v>501</v>
      </c>
      <c r="AI43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0.43200190889696943</v>
      </c>
      <c r="AJ438" s="257">
        <f>FME_Ranking1[[#This Row],[Addition check]]-FME_Ranking1[[#This Row],[Weighted Score Based on Normalized Reported Factors]]</f>
        <v>0</v>
      </c>
      <c r="AK438" s="178">
        <f>_xlfn.RANK.EQ(AI438,$AI$6:$AI$2341,0)+COUNTIF($AI$6:AI438,AI438)-1</f>
        <v>501</v>
      </c>
    </row>
    <row r="439" spans="1:37" ht="12" customHeight="1" x14ac:dyDescent="0.25">
      <c r="A439" t="s">
        <v>2000</v>
      </c>
      <c r="B439">
        <f>_xlfn.XLOOKUP(FME_Ranking1[[#This Row],[FME ID]],FME_Input[FME_ID],FME_Input[RFPG_NUM])</f>
        <v>6</v>
      </c>
      <c r="C439" t="str">
        <f>_xlfn.XLOOKUP(FME_Ranking1[[#This Row],[FME ID]],FME_Input[FME_ID],FME_Input[FME_NAME])</f>
        <v>Little Cypress Creek - Management, Right-of-Way Acquisition, Design and Construction of the Little Cypress Creek Frontier Program</v>
      </c>
      <c r="D439" t="str">
        <f>_xlfn.XLOOKUP(FME_Ranking1[[#This Row],[FME ID]],FME_Input[FME_ID],FME_Input[DESCR])</f>
        <v>Study to develop a BCR required for this to become a FMP. The Little Cypress Creek Frontier program will reduce the risk of flooding and include detention, sediment control, vegetation management and other flood risk management projects.</v>
      </c>
      <c r="E439" s="256">
        <f>_xlfn.XLOOKUP(FME_Ranking1[[#This Row],[FME ID]],FME_Input[FME_ID],FME_Input[FME_COST])</f>
        <v>30000</v>
      </c>
      <c r="F439" t="str">
        <f>_xlfn.XLOOKUP(FME_Ranking1[[#This Row],[FME ID]],FME_Input[FME_ID],FME_Input[EMER_NEED])</f>
        <v>No</v>
      </c>
      <c r="G439">
        <f>IF(FME_Ranking!F439="Yes",100,0)</f>
        <v>0</v>
      </c>
      <c r="H439">
        <f>FME_Ranking1[[#This Row],[Emergency Need Score (Normalized, Unweighted)]]*$F$3</f>
        <v>0</v>
      </c>
      <c r="I439" s="246">
        <f>_xlfn.XLOOKUP(FME_Ranking1[[#This Row],[FME ID]],FME_Input[FME_ID],FME_Input[STRUCT_100])</f>
        <v>1213</v>
      </c>
      <c r="J439" s="178">
        <f>(FME_Ranking1[[#This Row],[Structures 100 Raw]]/I$2)*100</f>
        <v>0.64955232832112408</v>
      </c>
      <c r="K439" s="178">
        <f>FME_Ranking1[[#This Row],[Structures 100  Score (Normalized, Unweighted)]]*$I$3</f>
        <v>9.7432849248168613E-2</v>
      </c>
      <c r="L439" s="246">
        <f>_xlfn.XLOOKUP(FME_Ranking1[[#This Row],[FME ID]],FME_Input[FME_ID],FME_Input[RES_STRUCT100])</f>
        <v>1029</v>
      </c>
      <c r="M439" s="230">
        <f>(FME_Ranking1[[#This Row],[Res Structures Raw]]/L$2)*100</f>
        <v>0.72884645351390409</v>
      </c>
      <c r="N439" s="180">
        <f>FME_Ranking1[[#This Row],[Res Structures Score (Normalized, Unweighted)]]*$L$3</f>
        <v>7.2884645351390415E-2</v>
      </c>
      <c r="O439" s="244">
        <f>_xlfn.XLOOKUP(FME_Ranking1[[#This Row],[FME ID]],FME_Input[FME_ID],FME_Input[POP100])</f>
        <v>2896</v>
      </c>
      <c r="P439" s="178">
        <f>(FME_Ranking1[[#This Row],[Pop Raw]]/$O$2)*100</f>
        <v>0.29647890351945849</v>
      </c>
      <c r="Q439" s="178">
        <f>FME_Ranking1[[#This Row],[Pop Score (Normalized, Unweighted)]]*$O$3</f>
        <v>4.4471835527918772E-2</v>
      </c>
      <c r="R439" s="137">
        <f>_xlfn.XLOOKUP(FME_Ranking1[[#This Row],[FME ID]],FME_Input[FME_ID],FME_Input[CRITFAC100])</f>
        <v>15</v>
      </c>
      <c r="S439" s="230">
        <f>(FME_Ranking1[[#This Row],[Critical Facilities Raw]]/$R$2)*100</f>
        <v>0.64322469982847341</v>
      </c>
      <c r="T439" s="180">
        <f>FME_Ranking1[[#This Row],[Critical Facilities Score (Normalized, Unweighted)]]*$R$3</f>
        <v>0.12864493996569468</v>
      </c>
      <c r="U439">
        <f>_xlfn.XLOOKUP(FME_Ranking1[[#This Row],[FME ID]],FME_Input[FME_ID],FME_Input[LWC])</f>
        <v>4</v>
      </c>
      <c r="V439" s="178">
        <f>(FME_Ranking1[[#This Row],[LWC Raw]]/$U$2)*100</f>
        <v>0.23028209556706969</v>
      </c>
      <c r="W439" s="178">
        <f>FME_Ranking1[[#This Row],[LWC Score (Normalized, Unweighted)]]*$U$3</f>
        <v>4.6056419113413939E-2</v>
      </c>
      <c r="X439" s="246">
        <f>_xlfn.XLOOKUP(FME_Ranking1[[#This Row],[FME ID]],FME_Input[FME_ID],FME_Input[ROADCLS])</f>
        <v>4</v>
      </c>
      <c r="Y439" s="230">
        <f>(FME_Ranking1[[#This Row],[Closures Raw]]/$X$2)*100</f>
        <v>4.2056566081379455E-2</v>
      </c>
      <c r="Z439" s="180">
        <f>FME_Ranking1[[#This Row],[Closures Score (Normalized, Unweighted)]]*$X$3</f>
        <v>2.1028283040689729E-3</v>
      </c>
      <c r="AA439" s="253">
        <f>_xlfn.XLOOKUP(FME_Ranking1[[#This Row],[FME ID]],FME_Input[FME_ID],FME_Input[ROAD_MILES100])</f>
        <v>18.589902877807621</v>
      </c>
      <c r="AB439" s="178">
        <f>(FME_Ranking1[[#This Row],[Miles Raw]]/$AA$2)*100</f>
        <v>0.24442388028705722</v>
      </c>
      <c r="AC439" s="178">
        <f>FME_Ranking1[[#This Row],[Miles Score (Normalized, Unweighted)]]*$AA$3</f>
        <v>2.4442388028705724E-2</v>
      </c>
      <c r="AD439" s="255">
        <f>_xlfn.XLOOKUP(FME_Ranking1[[#This Row],[FME ID]],FME_Input[FME_ID],FME_Input[FARMACRE100])</f>
        <v>192.01753234863281</v>
      </c>
      <c r="AE439" s="230">
        <f>(FME_Ranking1[[#This Row],[Ag Land Raw]]/$AD$2)*100</f>
        <v>7.917943466865621E-3</v>
      </c>
      <c r="AF439" s="231">
        <f>FME_Ranking1[[#This Row],[Ag Land Score (Normalized, Unweighted)]]*$AD$3</f>
        <v>3.9589717334328106E-4</v>
      </c>
      <c r="AG43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0.41643180271270447</v>
      </c>
      <c r="AH439" s="406">
        <f t="shared" si="6"/>
        <v>516</v>
      </c>
      <c r="AI43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0.41643180271270447</v>
      </c>
      <c r="AJ439" s="257">
        <f>FME_Ranking1[[#This Row],[Addition check]]-FME_Ranking1[[#This Row],[Weighted Score Based on Normalized Reported Factors]]</f>
        <v>0</v>
      </c>
      <c r="AK439" s="178">
        <f>_xlfn.RANK.EQ(AI439,$AI$6:$AI$2341,0)+COUNTIF($AI$6:AI439,AI439)-1</f>
        <v>516</v>
      </c>
    </row>
    <row r="440" spans="1:37" ht="12" customHeight="1" x14ac:dyDescent="0.25">
      <c r="A440" t="s">
        <v>5607</v>
      </c>
      <c r="B440">
        <f>_xlfn.XLOOKUP(FME_Ranking1[[#This Row],[FME ID]],FME_Input[FME_ID],FME_Input[RFPG_NUM])</f>
        <v>4</v>
      </c>
      <c r="C440" t="str">
        <f>_xlfn.XLOOKUP(FME_Ranking1[[#This Row],[FME ID]],FME_Input[FME_ID],FME_Input[FME_NAME])</f>
        <v>City of Greenville Critical Facilities Flood Protection Study</v>
      </c>
      <c r="D440" t="str">
        <f>_xlfn.XLOOKUP(FME_Ranking1[[#This Row],[FME ID]],FME_Input[FME_ID],FME_Input[DESCR])</f>
        <v>Feasibility study to elevated or flood proofing of critical structures and/or the construction of barriers around critical structures</v>
      </c>
      <c r="E440" s="256">
        <f>_xlfn.XLOOKUP(FME_Ranking1[[#This Row],[FME ID]],FME_Input[FME_ID],FME_Input[FME_COST])</f>
        <v>300000</v>
      </c>
      <c r="F440" t="str">
        <f>_xlfn.XLOOKUP(FME_Ranking1[[#This Row],[FME ID]],FME_Input[FME_ID],FME_Input[EMER_NEED])</f>
        <v>No</v>
      </c>
      <c r="G440">
        <f>IF(FME_Ranking!F440="Yes",100,0)</f>
        <v>0</v>
      </c>
      <c r="H440">
        <f>FME_Ranking1[[#This Row],[Emergency Need Score (Normalized, Unweighted)]]*$F$3</f>
        <v>0</v>
      </c>
      <c r="I440" s="246">
        <f>_xlfn.XLOOKUP(FME_Ranking1[[#This Row],[FME ID]],FME_Input[FME_ID],FME_Input[STRUCT_100])</f>
        <v>429</v>
      </c>
      <c r="J440" s="178">
        <f>(FME_Ranking1[[#This Row],[Structures 100 Raw]]/I$2)*100</f>
        <v>0.22972625626526155</v>
      </c>
      <c r="K440" s="178">
        <f>FME_Ranking1[[#This Row],[Structures 100  Score (Normalized, Unweighted)]]*$I$3</f>
        <v>3.4458938439789234E-2</v>
      </c>
      <c r="L440" s="246">
        <f>_xlfn.XLOOKUP(FME_Ranking1[[#This Row],[FME ID]],FME_Input[FME_ID],FME_Input[RES_STRUCT100])</f>
        <v>254</v>
      </c>
      <c r="M440" s="230">
        <f>(FME_Ranking1[[#This Row],[Res Structures Raw]]/L$2)*100</f>
        <v>0.17990962020654191</v>
      </c>
      <c r="N440" s="180">
        <f>FME_Ranking1[[#This Row],[Res Structures Score (Normalized, Unweighted)]]*$L$3</f>
        <v>1.7990962020654193E-2</v>
      </c>
      <c r="O440" s="244">
        <f>_xlfn.XLOOKUP(FME_Ranking1[[#This Row],[FME ID]],FME_Input[FME_ID],FME_Input[POP100])</f>
        <v>6227</v>
      </c>
      <c r="P440" s="178">
        <f>(FME_Ranking1[[#This Row],[Pop Raw]]/$O$2)*100</f>
        <v>0.63749106775402897</v>
      </c>
      <c r="Q440" s="178">
        <f>FME_Ranking1[[#This Row],[Pop Score (Normalized, Unweighted)]]*$O$3</f>
        <v>9.5623660163104349E-2</v>
      </c>
      <c r="R440" s="137">
        <f>_xlfn.XLOOKUP(FME_Ranking1[[#This Row],[FME ID]],FME_Input[FME_ID],FME_Input[CRITFAC100])</f>
        <v>28</v>
      </c>
      <c r="S440" s="230">
        <f>(FME_Ranking1[[#This Row],[Critical Facilities Raw]]/$R$2)*100</f>
        <v>1.2006861063464835</v>
      </c>
      <c r="T440" s="180">
        <f>FME_Ranking1[[#This Row],[Critical Facilities Score (Normalized, Unweighted)]]*$R$3</f>
        <v>0.24013722126929671</v>
      </c>
      <c r="U440">
        <f>_xlfn.XLOOKUP(FME_Ranking1[[#This Row],[FME ID]],FME_Input[FME_ID],FME_Input[LWC])</f>
        <v>0</v>
      </c>
      <c r="V440" s="178">
        <f>(FME_Ranking1[[#This Row],[LWC Raw]]/$U$2)*100</f>
        <v>0</v>
      </c>
      <c r="W440" s="178">
        <f>FME_Ranking1[[#This Row],[LWC Score (Normalized, Unweighted)]]*$U$3</f>
        <v>0</v>
      </c>
      <c r="X440" s="246">
        <f>_xlfn.XLOOKUP(FME_Ranking1[[#This Row],[FME ID]],FME_Input[FME_ID],FME_Input[ROADCLS])</f>
        <v>0</v>
      </c>
      <c r="Y440" s="230">
        <f>(FME_Ranking1[[#This Row],[Closures Raw]]/$X$2)*100</f>
        <v>0</v>
      </c>
      <c r="Z440" s="180">
        <f>FME_Ranking1[[#This Row],[Closures Score (Normalized, Unweighted)]]*$X$3</f>
        <v>0</v>
      </c>
      <c r="AA440" s="253">
        <f>_xlfn.XLOOKUP(FME_Ranking1[[#This Row],[FME ID]],FME_Input[FME_ID],FME_Input[ROAD_MILES100])</f>
        <v>26.421834945678711</v>
      </c>
      <c r="AB440" s="178">
        <f>(FME_Ranking1[[#This Row],[Miles Raw]]/$AA$2)*100</f>
        <v>0.34739973974993626</v>
      </c>
      <c r="AC440" s="178">
        <f>FME_Ranking1[[#This Row],[Miles Score (Normalized, Unweighted)]]*$AA$3</f>
        <v>3.4739973974993628E-2</v>
      </c>
      <c r="AD440" s="255">
        <f>_xlfn.XLOOKUP(FME_Ranking1[[#This Row],[FME ID]],FME_Input[FME_ID],FME_Input[FARMACRE100])</f>
        <v>1338.850463867188</v>
      </c>
      <c r="AE440" s="230">
        <f>(FME_Ranking1[[#This Row],[Ag Land Raw]]/$AD$2)*100</f>
        <v>5.5208199760841715E-2</v>
      </c>
      <c r="AF440" s="231">
        <f>FME_Ranking1[[#This Row],[Ag Land Score (Normalized, Unweighted)]]*$AD$3</f>
        <v>2.7604099880420858E-3</v>
      </c>
      <c r="AG44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0.4257111658558802</v>
      </c>
      <c r="AH440" s="406">
        <f t="shared" si="6"/>
        <v>504</v>
      </c>
      <c r="AI44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0.4257111658558802</v>
      </c>
      <c r="AJ440" s="257">
        <f>FME_Ranking1[[#This Row],[Addition check]]-FME_Ranking1[[#This Row],[Weighted Score Based on Normalized Reported Factors]]</f>
        <v>0</v>
      </c>
      <c r="AK440" s="178">
        <f>_xlfn.RANK.EQ(AI440,$AI$6:$AI$2341,0)+COUNTIF($AI$6:AI440,AI440)-1</f>
        <v>504</v>
      </c>
    </row>
    <row r="441" spans="1:37" ht="12" customHeight="1" x14ac:dyDescent="0.25">
      <c r="A441" t="s">
        <v>4462</v>
      </c>
      <c r="B441">
        <f>_xlfn.XLOOKUP(FME_Ranking1[[#This Row],[FME ID]],FME_Input[FME_ID],FME_Input[RFPG_NUM])</f>
        <v>3</v>
      </c>
      <c r="C441" t="str">
        <f>_xlfn.XLOOKUP(FME_Ranking1[[#This Row],[FME ID]],FME_Input[FME_ID],FME_Input[FME_NAME])</f>
        <v xml:space="preserve">Farmers Branch Retention Pond Dredging </v>
      </c>
      <c r="D441" t="str">
        <f>_xlfn.XLOOKUP(FME_Ranking1[[#This Row],[FME ID]],FME_Input[FME_ID],FME_Input[DESCR])</f>
        <v>Dredge the retention ponds along the creeks within the City.</v>
      </c>
      <c r="E441" s="256">
        <f>_xlfn.XLOOKUP(FME_Ranking1[[#This Row],[FME ID]],FME_Input[FME_ID],FME_Input[FME_COST])</f>
        <v>125000</v>
      </c>
      <c r="F441" t="str">
        <f>_xlfn.XLOOKUP(FME_Ranking1[[#This Row],[FME ID]],FME_Input[FME_ID],FME_Input[EMER_NEED])</f>
        <v>No</v>
      </c>
      <c r="G441">
        <f>IF(FME_Ranking!F441="Yes",100,0)</f>
        <v>0</v>
      </c>
      <c r="H441">
        <f>FME_Ranking1[[#This Row],[Emergency Need Score (Normalized, Unweighted)]]*$F$3</f>
        <v>0</v>
      </c>
      <c r="I441" s="246">
        <f>_xlfn.XLOOKUP(FME_Ranking1[[#This Row],[FME ID]],FME_Input[FME_ID],FME_Input[STRUCT_100])</f>
        <v>510</v>
      </c>
      <c r="J441" s="178">
        <f>(FME_Ranking1[[#This Row],[Structures 100 Raw]]/I$2)*100</f>
        <v>0.27310114381184941</v>
      </c>
      <c r="K441" s="178">
        <f>FME_Ranking1[[#This Row],[Structures 100  Score (Normalized, Unweighted)]]*$I$3</f>
        <v>4.0965171571777412E-2</v>
      </c>
      <c r="L441" s="246">
        <f>_xlfn.XLOOKUP(FME_Ranking1[[#This Row],[FME ID]],FME_Input[FME_ID],FME_Input[RES_STRUCT100])</f>
        <v>456</v>
      </c>
      <c r="M441" s="230">
        <f>(FME_Ranking1[[#This Row],[Res Structures Raw]]/L$2)*100</f>
        <v>0.32298734966213821</v>
      </c>
      <c r="N441" s="180">
        <f>FME_Ranking1[[#This Row],[Res Structures Score (Normalized, Unweighted)]]*$L$3</f>
        <v>3.229873496621382E-2</v>
      </c>
      <c r="O441" s="244">
        <f>_xlfn.XLOOKUP(FME_Ranking1[[#This Row],[FME ID]],FME_Input[FME_ID],FME_Input[POP100])</f>
        <v>9710</v>
      </c>
      <c r="P441" s="178">
        <f>(FME_Ranking1[[#This Row],[Pop Raw]]/$O$2)*100</f>
        <v>0.99406427941089148</v>
      </c>
      <c r="Q441" s="178">
        <f>FME_Ranking1[[#This Row],[Pop Score (Normalized, Unweighted)]]*$O$3</f>
        <v>0.14910964191163373</v>
      </c>
      <c r="R441" s="137">
        <f>_xlfn.XLOOKUP(FME_Ranking1[[#This Row],[FME ID]],FME_Input[FME_ID],FME_Input[CRITFAC100])</f>
        <v>2</v>
      </c>
      <c r="S441" s="230">
        <f>(FME_Ranking1[[#This Row],[Critical Facilities Raw]]/$R$2)*100</f>
        <v>8.5763293310463118E-2</v>
      </c>
      <c r="T441" s="180">
        <f>FME_Ranking1[[#This Row],[Critical Facilities Score (Normalized, Unweighted)]]*$R$3</f>
        <v>1.7152658662092625E-2</v>
      </c>
      <c r="U441">
        <f>_xlfn.XLOOKUP(FME_Ranking1[[#This Row],[FME ID]],FME_Input[FME_ID],FME_Input[LWC])</f>
        <v>13</v>
      </c>
      <c r="V441" s="178">
        <f>(FME_Ranking1[[#This Row],[LWC Raw]]/$U$2)*100</f>
        <v>0.74841681059297649</v>
      </c>
      <c r="W441" s="178">
        <f>FME_Ranking1[[#This Row],[LWC Score (Normalized, Unweighted)]]*$U$3</f>
        <v>0.14968336211859531</v>
      </c>
      <c r="X441" s="246">
        <f>_xlfn.XLOOKUP(FME_Ranking1[[#This Row],[FME ID]],FME_Input[FME_ID],FME_Input[ROADCLS])</f>
        <v>0</v>
      </c>
      <c r="Y441" s="230">
        <f>(FME_Ranking1[[#This Row],[Closures Raw]]/$X$2)*100</f>
        <v>0</v>
      </c>
      <c r="Z441" s="180">
        <f>FME_Ranking1[[#This Row],[Closures Score (Normalized, Unweighted)]]*$X$3</f>
        <v>0</v>
      </c>
      <c r="AA441" s="253">
        <f>_xlfn.XLOOKUP(FME_Ranking1[[#This Row],[FME ID]],FME_Input[FME_ID],FME_Input[ROAD_MILES100])</f>
        <v>23.720550537109379</v>
      </c>
      <c r="AB441" s="178">
        <f>(FME_Ranking1[[#This Row],[Miles Raw]]/$AA$2)*100</f>
        <v>0.31188269475828911</v>
      </c>
      <c r="AC441" s="178">
        <f>FME_Ranking1[[#This Row],[Miles Score (Normalized, Unweighted)]]*$AA$3</f>
        <v>3.1188269475828912E-2</v>
      </c>
      <c r="AD441" s="255">
        <f>_xlfn.XLOOKUP(FME_Ranking1[[#This Row],[FME ID]],FME_Input[FME_ID],FME_Input[FARMACRE100])</f>
        <v>316.37539672851563</v>
      </c>
      <c r="AE441" s="230">
        <f>(FME_Ranking1[[#This Row],[Ag Land Raw]]/$AD$2)*100</f>
        <v>1.3045905105453278E-2</v>
      </c>
      <c r="AF441" s="231">
        <f>FME_Ranking1[[#This Row],[Ag Land Score (Normalized, Unweighted)]]*$AD$3</f>
        <v>6.522952552726639E-4</v>
      </c>
      <c r="AG44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0.4210501339614145</v>
      </c>
      <c r="AH441" s="406">
        <f t="shared" si="6"/>
        <v>507</v>
      </c>
      <c r="AI44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0.4210501339614145</v>
      </c>
      <c r="AJ441" s="257">
        <f>FME_Ranking1[[#This Row],[Addition check]]-FME_Ranking1[[#This Row],[Weighted Score Based on Normalized Reported Factors]]</f>
        <v>0</v>
      </c>
      <c r="AK441" s="178">
        <f>_xlfn.RANK.EQ(AI441,$AI$6:$AI$2341,0)+COUNTIF($AI$6:AI441,AI441)-1</f>
        <v>507</v>
      </c>
    </row>
    <row r="442" spans="1:37" ht="12" customHeight="1" x14ac:dyDescent="0.25">
      <c r="A442" t="s">
        <v>1789</v>
      </c>
      <c r="B442">
        <f>_xlfn.XLOOKUP(FME_Ranking1[[#This Row],[FME ID]],FME_Input[FME_ID],FME_Input[RFPG_NUM])</f>
        <v>6</v>
      </c>
      <c r="C442" t="str">
        <f>_xlfn.XLOOKUP(FME_Ranking1[[#This Row],[FME ID]],FME_Input[FME_ID],FME_Input[FME_NAME])</f>
        <v>City of Texas City  Master Drainage Plan</v>
      </c>
      <c r="D442" t="str">
        <f>_xlfn.XLOOKUP(FME_Ranking1[[#This Row],[FME ID]],FME_Input[FME_ID],FME_Input[DESCR])</f>
        <v>Study to develop Master Drainage Plan using future and existing land use and flood/storm water drainage needs including Atlas 14 rainfall.</v>
      </c>
      <c r="E442" s="256">
        <f>_xlfn.XLOOKUP(FME_Ranking1[[#This Row],[FME ID]],FME_Input[FME_ID],FME_Input[FME_COST])</f>
        <v>950000</v>
      </c>
      <c r="F442" t="str">
        <f>_xlfn.XLOOKUP(FME_Ranking1[[#This Row],[FME ID]],FME_Input[FME_ID],FME_Input[EMER_NEED])</f>
        <v>Yes</v>
      </c>
      <c r="G442">
        <f>IF(FME_Ranking!F442="Yes",100,0)</f>
        <v>100</v>
      </c>
      <c r="H442">
        <f>FME_Ranking1[[#This Row],[Emergency Need Score (Normalized, Unweighted)]]*$F$3</f>
        <v>0</v>
      </c>
      <c r="I442" s="246">
        <f>_xlfn.XLOOKUP(FME_Ranking1[[#This Row],[FME ID]],FME_Input[FME_ID],FME_Input[STRUCT_100])</f>
        <v>1285</v>
      </c>
      <c r="J442" s="178">
        <f>(FME_Ranking1[[#This Row],[Structures 100 Raw]]/I$2)*100</f>
        <v>0.68810778391809102</v>
      </c>
      <c r="K442" s="178">
        <f>FME_Ranking1[[#This Row],[Structures 100  Score (Normalized, Unweighted)]]*$I$3</f>
        <v>0.10321616758771365</v>
      </c>
      <c r="L442" s="246">
        <f>_xlfn.XLOOKUP(FME_Ranking1[[#This Row],[FME ID]],FME_Input[FME_ID],FME_Input[RES_STRUCT100])</f>
        <v>701</v>
      </c>
      <c r="M442" s="230">
        <f>(FME_Ranking1[[#This Row],[Res Structures Raw]]/L$2)*100</f>
        <v>0.49652221954640113</v>
      </c>
      <c r="N442" s="180">
        <f>FME_Ranking1[[#This Row],[Res Structures Score (Normalized, Unweighted)]]*$L$3</f>
        <v>4.9652221954640113E-2</v>
      </c>
      <c r="O442" s="244">
        <f>_xlfn.XLOOKUP(FME_Ranking1[[#This Row],[FME ID]],FME_Input[FME_ID],FME_Input[POP100])</f>
        <v>3595</v>
      </c>
      <c r="P442" s="178">
        <f>(FME_Ranking1[[#This Row],[Pop Raw]]/$O$2)*100</f>
        <v>0.36803924659960402</v>
      </c>
      <c r="Q442" s="178">
        <f>FME_Ranking1[[#This Row],[Pop Score (Normalized, Unweighted)]]*$O$3</f>
        <v>5.5205886989940604E-2</v>
      </c>
      <c r="R442" s="137">
        <f>_xlfn.XLOOKUP(FME_Ranking1[[#This Row],[FME ID]],FME_Input[FME_ID],FME_Input[CRITFAC100])</f>
        <v>16</v>
      </c>
      <c r="S442" s="230">
        <f>(FME_Ranking1[[#This Row],[Critical Facilities Raw]]/$R$2)*100</f>
        <v>0.68610634648370494</v>
      </c>
      <c r="T442" s="180">
        <f>FME_Ranking1[[#This Row],[Critical Facilities Score (Normalized, Unweighted)]]*$R$3</f>
        <v>0.137221269296741</v>
      </c>
      <c r="U442">
        <f>_xlfn.XLOOKUP(FME_Ranking1[[#This Row],[FME ID]],FME_Input[FME_ID],FME_Input[LWC])</f>
        <v>3</v>
      </c>
      <c r="V442" s="178">
        <f>(FME_Ranking1[[#This Row],[LWC Raw]]/$U$2)*100</f>
        <v>0.17271157167530224</v>
      </c>
      <c r="W442" s="178">
        <f>FME_Ranking1[[#This Row],[LWC Score (Normalized, Unweighted)]]*$U$3</f>
        <v>3.4542314335060449E-2</v>
      </c>
      <c r="X442" s="246">
        <f>_xlfn.XLOOKUP(FME_Ranking1[[#This Row],[FME ID]],FME_Input[FME_ID],FME_Input[ROADCLS])</f>
        <v>3</v>
      </c>
      <c r="Y442" s="230">
        <f>(FME_Ranking1[[#This Row],[Closures Raw]]/$X$2)*100</f>
        <v>3.1542424561034593E-2</v>
      </c>
      <c r="Z442" s="180">
        <f>FME_Ranking1[[#This Row],[Closures Score (Normalized, Unweighted)]]*$X$3</f>
        <v>1.5771212280517297E-3</v>
      </c>
      <c r="AA442" s="253">
        <f>_xlfn.XLOOKUP(FME_Ranking1[[#This Row],[FME ID]],FME_Input[FME_ID],FME_Input[ROAD_MILES100])</f>
        <v>46.223125457763672</v>
      </c>
      <c r="AB442" s="178">
        <f>(FME_Ranking1[[#This Row],[Miles Raw]]/$AA$2)*100</f>
        <v>0.60775119470201755</v>
      </c>
      <c r="AC442" s="178">
        <f>FME_Ranking1[[#This Row],[Miles Score (Normalized, Unweighted)]]*$AA$3</f>
        <v>6.0775119470201755E-2</v>
      </c>
      <c r="AD442" s="255">
        <f>_xlfn.XLOOKUP(FME_Ranking1[[#This Row],[FME ID]],FME_Input[FME_ID],FME_Input[FARMACRE100])</f>
        <v>569.909912109375</v>
      </c>
      <c r="AE442" s="230">
        <f>(FME_Ranking1[[#This Row],[Ag Land Raw]]/$AD$2)*100</f>
        <v>2.3500533571566416E-2</v>
      </c>
      <c r="AF442" s="231">
        <f>FME_Ranking1[[#This Row],[Ag Land Score (Normalized, Unweighted)]]*$AD$3</f>
        <v>1.1750266785783209E-3</v>
      </c>
      <c r="AG44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0.44336512754092761</v>
      </c>
      <c r="AH442" s="406">
        <f t="shared" si="6"/>
        <v>483</v>
      </c>
      <c r="AI44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0.44336512754092761</v>
      </c>
      <c r="AJ442" s="257">
        <f>FME_Ranking1[[#This Row],[Addition check]]-FME_Ranking1[[#This Row],[Weighted Score Based on Normalized Reported Factors]]</f>
        <v>0</v>
      </c>
      <c r="AK442" s="178">
        <f>_xlfn.RANK.EQ(AI442,$AI$6:$AI$2341,0)+COUNTIF($AI$6:AI442,AI442)-1</f>
        <v>483</v>
      </c>
    </row>
    <row r="443" spans="1:37" ht="12" customHeight="1" x14ac:dyDescent="0.25">
      <c r="A443" t="s">
        <v>8585</v>
      </c>
      <c r="B443">
        <f>_xlfn.XLOOKUP(FME_Ranking1[[#This Row],[FME ID]],FME_Input[FME_ID],FME_Input[RFPG_NUM])</f>
        <v>11</v>
      </c>
      <c r="C443" t="str">
        <f>_xlfn.XLOOKUP(FME_Ranking1[[#This Row],[FME ID]],FME_Input[FME_ID],FME_Input[FME_NAME])</f>
        <v>Ingram ISD Construct New Storm Drainage Infrastructure</v>
      </c>
      <c r="D443" t="str">
        <f>_xlfn.XLOOKUP(FME_Ranking1[[#This Row],[FME ID]],FME_Input[FME_ID],FME_Input[DESCR])</f>
        <v>Project planning to construct new storm drainage infrastructure to reduce the potential impacts of future flood events.</v>
      </c>
      <c r="E443" s="256">
        <f>_xlfn.XLOOKUP(FME_Ranking1[[#This Row],[FME ID]],FME_Input[FME_ID],FME_Input[FME_COST])</f>
        <v>100000</v>
      </c>
      <c r="F443" t="str">
        <f>_xlfn.XLOOKUP(FME_Ranking1[[#This Row],[FME ID]],FME_Input[FME_ID],FME_Input[EMER_NEED])</f>
        <v>No</v>
      </c>
      <c r="G443">
        <f>IF(FME_Ranking!F443="Yes",100,0)</f>
        <v>0</v>
      </c>
      <c r="H443">
        <f>FME_Ranking1[[#This Row],[Emergency Need Score (Normalized, Unweighted)]]*$F$3</f>
        <v>0</v>
      </c>
      <c r="I443" s="246">
        <f>_xlfn.XLOOKUP(FME_Ranking1[[#This Row],[FME ID]],FME_Input[FME_ID],FME_Input[STRUCT_100])</f>
        <v>606</v>
      </c>
      <c r="J443" s="178">
        <f>(FME_Ranking1[[#This Row],[Structures 100 Raw]]/I$2)*100</f>
        <v>0.32450841794113866</v>
      </c>
      <c r="K443" s="178">
        <f>FME_Ranking1[[#This Row],[Structures 100  Score (Normalized, Unweighted)]]*$I$3</f>
        <v>4.8676262691170799E-2</v>
      </c>
      <c r="L443" s="246">
        <f>_xlfn.XLOOKUP(FME_Ranking1[[#This Row],[FME ID]],FME_Input[FME_ID],FME_Input[RES_STRUCT100])</f>
        <v>331</v>
      </c>
      <c r="M443" s="230">
        <f>(FME_Ranking1[[#This Row],[Res Structures Raw]]/L$2)*100</f>
        <v>0.23444915074159597</v>
      </c>
      <c r="N443" s="180">
        <f>FME_Ranking1[[#This Row],[Res Structures Score (Normalized, Unweighted)]]*$L$3</f>
        <v>2.3444915074159599E-2</v>
      </c>
      <c r="O443" s="244">
        <f>_xlfn.XLOOKUP(FME_Ranking1[[#This Row],[FME ID]],FME_Input[FME_ID],FME_Input[POP100])</f>
        <v>844</v>
      </c>
      <c r="P443" s="178">
        <f>(FME_Ranking1[[#This Row],[Pop Raw]]/$O$2)*100</f>
        <v>8.6404763318516209E-2</v>
      </c>
      <c r="Q443" s="178">
        <f>FME_Ranking1[[#This Row],[Pop Score (Normalized, Unweighted)]]*$O$3</f>
        <v>1.296071449777743E-2</v>
      </c>
      <c r="R443" s="137">
        <f>_xlfn.XLOOKUP(FME_Ranking1[[#This Row],[FME ID]],FME_Input[FME_ID],FME_Input[CRITFAC100])</f>
        <v>1</v>
      </c>
      <c r="S443" s="230">
        <f>(FME_Ranking1[[#This Row],[Critical Facilities Raw]]/$R$2)*100</f>
        <v>4.2881646655231559E-2</v>
      </c>
      <c r="T443" s="180">
        <f>FME_Ranking1[[#This Row],[Critical Facilities Score (Normalized, Unweighted)]]*$R$3</f>
        <v>8.5763293310463125E-3</v>
      </c>
      <c r="U443">
        <f>_xlfn.XLOOKUP(FME_Ranking1[[#This Row],[FME ID]],FME_Input[FME_ID],FME_Input[LWC])</f>
        <v>24</v>
      </c>
      <c r="V443" s="178">
        <f>(FME_Ranking1[[#This Row],[LWC Raw]]/$U$2)*100</f>
        <v>1.3816925734024179</v>
      </c>
      <c r="W443" s="178">
        <f>FME_Ranking1[[#This Row],[LWC Score (Normalized, Unweighted)]]*$U$3</f>
        <v>0.27633851468048359</v>
      </c>
      <c r="X443" s="246">
        <f>_xlfn.XLOOKUP(FME_Ranking1[[#This Row],[FME ID]],FME_Input[FME_ID],FME_Input[ROADCLS])</f>
        <v>0</v>
      </c>
      <c r="Y443" s="230">
        <f>(FME_Ranking1[[#This Row],[Closures Raw]]/$X$2)*100</f>
        <v>0</v>
      </c>
      <c r="Z443" s="180">
        <f>FME_Ranking1[[#This Row],[Closures Score (Normalized, Unweighted)]]*$X$3</f>
        <v>0</v>
      </c>
      <c r="AA443" s="253">
        <f>_xlfn.XLOOKUP(FME_Ranking1[[#This Row],[FME ID]],FME_Input[FME_ID],FME_Input[ROAD_MILES100])</f>
        <v>18.65363693237305</v>
      </c>
      <c r="AB443" s="178">
        <f>(FME_Ranking1[[#This Row],[Miles Raw]]/$AA$2)*100</f>
        <v>0.24526186879219924</v>
      </c>
      <c r="AC443" s="178">
        <f>FME_Ranking1[[#This Row],[Miles Score (Normalized, Unweighted)]]*$AA$3</f>
        <v>2.4526186879219924E-2</v>
      </c>
      <c r="AD443" s="255">
        <f>_xlfn.XLOOKUP(FME_Ranking1[[#This Row],[FME ID]],FME_Input[FME_ID],FME_Input[FARMACRE100])</f>
        <v>4971.38037109375</v>
      </c>
      <c r="AE443" s="230">
        <f>(FME_Ranking1[[#This Row],[Ag Land Raw]]/$AD$2)*100</f>
        <v>0.2049974721013334</v>
      </c>
      <c r="AF443" s="231">
        <f>FME_Ranking1[[#This Row],[Ag Land Score (Normalized, Unweighted)]]*$AD$3</f>
        <v>1.024987360506667E-2</v>
      </c>
      <c r="AG44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0.4047727967589243</v>
      </c>
      <c r="AH443" s="406">
        <f t="shared" si="6"/>
        <v>520</v>
      </c>
      <c r="AI44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0.4047727967589243</v>
      </c>
      <c r="AJ443" s="257">
        <f>FME_Ranking1[[#This Row],[Addition check]]-FME_Ranking1[[#This Row],[Weighted Score Based on Normalized Reported Factors]]</f>
        <v>0</v>
      </c>
      <c r="AK443" s="178">
        <f>_xlfn.RANK.EQ(AI443,$AI$6:$AI$2341,0)+COUNTIF($AI$6:AI443,AI443)-1</f>
        <v>520</v>
      </c>
    </row>
    <row r="444" spans="1:37" ht="12" customHeight="1" x14ac:dyDescent="0.25">
      <c r="A444" t="s">
        <v>8590</v>
      </c>
      <c r="B444">
        <f>_xlfn.XLOOKUP(FME_Ranking1[[#This Row],[FME ID]],FME_Input[FME_ID],FME_Input[RFPG_NUM])</f>
        <v>11</v>
      </c>
      <c r="C444" t="str">
        <f>_xlfn.XLOOKUP(FME_Ranking1[[#This Row],[FME ID]],FME_Input[FME_ID],FME_Input[FME_NAME])</f>
        <v>Ingram ISD Improve Existing Storm Drainage Infrastructure</v>
      </c>
      <c r="D444" t="str">
        <f>_xlfn.XLOOKUP(FME_Ranking1[[#This Row],[FME ID]],FME_Input[FME_ID],FME_Input[DESCR])</f>
        <v>Project planning to upgrade existing storm drainage infrastructure to reduce the potential impacts of future flood events.</v>
      </c>
      <c r="E444" s="256">
        <f>_xlfn.XLOOKUP(FME_Ranking1[[#This Row],[FME ID]],FME_Input[FME_ID],FME_Input[FME_COST])</f>
        <v>100000</v>
      </c>
      <c r="F444" t="str">
        <f>_xlfn.XLOOKUP(FME_Ranking1[[#This Row],[FME ID]],FME_Input[FME_ID],FME_Input[EMER_NEED])</f>
        <v>No</v>
      </c>
      <c r="G444">
        <f>IF(FME_Ranking!F444="Yes",100,0)</f>
        <v>0</v>
      </c>
      <c r="H444">
        <f>FME_Ranking1[[#This Row],[Emergency Need Score (Normalized, Unweighted)]]*$F$3</f>
        <v>0</v>
      </c>
      <c r="I444" s="246">
        <f>_xlfn.XLOOKUP(FME_Ranking1[[#This Row],[FME ID]],FME_Input[FME_ID],FME_Input[STRUCT_100])</f>
        <v>606</v>
      </c>
      <c r="J444" s="178">
        <f>(FME_Ranking1[[#This Row],[Structures 100 Raw]]/I$2)*100</f>
        <v>0.32450841794113866</v>
      </c>
      <c r="K444" s="178">
        <f>FME_Ranking1[[#This Row],[Structures 100  Score (Normalized, Unweighted)]]*$I$3</f>
        <v>4.8676262691170799E-2</v>
      </c>
      <c r="L444" s="246">
        <f>_xlfn.XLOOKUP(FME_Ranking1[[#This Row],[FME ID]],FME_Input[FME_ID],FME_Input[RES_STRUCT100])</f>
        <v>331</v>
      </c>
      <c r="M444" s="230">
        <f>(FME_Ranking1[[#This Row],[Res Structures Raw]]/L$2)*100</f>
        <v>0.23444915074159597</v>
      </c>
      <c r="N444" s="180">
        <f>FME_Ranking1[[#This Row],[Res Structures Score (Normalized, Unweighted)]]*$L$3</f>
        <v>2.3444915074159599E-2</v>
      </c>
      <c r="O444" s="244">
        <f>_xlfn.XLOOKUP(FME_Ranking1[[#This Row],[FME ID]],FME_Input[FME_ID],FME_Input[POP100])</f>
        <v>844</v>
      </c>
      <c r="P444" s="178">
        <f>(FME_Ranking1[[#This Row],[Pop Raw]]/$O$2)*100</f>
        <v>8.6404763318516209E-2</v>
      </c>
      <c r="Q444" s="178">
        <f>FME_Ranking1[[#This Row],[Pop Score (Normalized, Unweighted)]]*$O$3</f>
        <v>1.296071449777743E-2</v>
      </c>
      <c r="R444" s="137">
        <f>_xlfn.XLOOKUP(FME_Ranking1[[#This Row],[FME ID]],FME_Input[FME_ID],FME_Input[CRITFAC100])</f>
        <v>1</v>
      </c>
      <c r="S444" s="230">
        <f>(FME_Ranking1[[#This Row],[Critical Facilities Raw]]/$R$2)*100</f>
        <v>4.2881646655231559E-2</v>
      </c>
      <c r="T444" s="180">
        <f>FME_Ranking1[[#This Row],[Critical Facilities Score (Normalized, Unweighted)]]*$R$3</f>
        <v>8.5763293310463125E-3</v>
      </c>
      <c r="U444">
        <f>_xlfn.XLOOKUP(FME_Ranking1[[#This Row],[FME ID]],FME_Input[FME_ID],FME_Input[LWC])</f>
        <v>24</v>
      </c>
      <c r="V444" s="178">
        <f>(FME_Ranking1[[#This Row],[LWC Raw]]/$U$2)*100</f>
        <v>1.3816925734024179</v>
      </c>
      <c r="W444" s="178">
        <f>FME_Ranking1[[#This Row],[LWC Score (Normalized, Unweighted)]]*$U$3</f>
        <v>0.27633851468048359</v>
      </c>
      <c r="X444" s="246">
        <f>_xlfn.XLOOKUP(FME_Ranking1[[#This Row],[FME ID]],FME_Input[FME_ID],FME_Input[ROADCLS])</f>
        <v>0</v>
      </c>
      <c r="Y444" s="230">
        <f>(FME_Ranking1[[#This Row],[Closures Raw]]/$X$2)*100</f>
        <v>0</v>
      </c>
      <c r="Z444" s="180">
        <f>FME_Ranking1[[#This Row],[Closures Score (Normalized, Unweighted)]]*$X$3</f>
        <v>0</v>
      </c>
      <c r="AA444" s="253">
        <f>_xlfn.XLOOKUP(FME_Ranking1[[#This Row],[FME ID]],FME_Input[FME_ID],FME_Input[ROAD_MILES100])</f>
        <v>18.65363693237305</v>
      </c>
      <c r="AB444" s="178">
        <f>(FME_Ranking1[[#This Row],[Miles Raw]]/$AA$2)*100</f>
        <v>0.24526186879219924</v>
      </c>
      <c r="AC444" s="178">
        <f>FME_Ranking1[[#This Row],[Miles Score (Normalized, Unweighted)]]*$AA$3</f>
        <v>2.4526186879219924E-2</v>
      </c>
      <c r="AD444" s="255">
        <f>_xlfn.XLOOKUP(FME_Ranking1[[#This Row],[FME ID]],FME_Input[FME_ID],FME_Input[FARMACRE100])</f>
        <v>4971.38037109375</v>
      </c>
      <c r="AE444" s="230">
        <f>(FME_Ranking1[[#This Row],[Ag Land Raw]]/$AD$2)*100</f>
        <v>0.2049974721013334</v>
      </c>
      <c r="AF444" s="231">
        <f>FME_Ranking1[[#This Row],[Ag Land Score (Normalized, Unweighted)]]*$AD$3</f>
        <v>1.024987360506667E-2</v>
      </c>
      <c r="AG44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0.4047727967589243</v>
      </c>
      <c r="AH444" s="406">
        <f t="shared" si="6"/>
        <v>520</v>
      </c>
      <c r="AI44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0.4047727967589243</v>
      </c>
      <c r="AJ444" s="257">
        <f>FME_Ranking1[[#This Row],[Addition check]]-FME_Ranking1[[#This Row],[Weighted Score Based on Normalized Reported Factors]]</f>
        <v>0</v>
      </c>
      <c r="AK444" s="178">
        <f>_xlfn.RANK.EQ(AI444,$AI$6:$AI$2341,0)+COUNTIF($AI$6:AI444,AI444)-1</f>
        <v>521</v>
      </c>
    </row>
    <row r="445" spans="1:37" ht="12" customHeight="1" x14ac:dyDescent="0.25">
      <c r="A445" t="s">
        <v>8599</v>
      </c>
      <c r="B445">
        <f>_xlfn.XLOOKUP(FME_Ranking1[[#This Row],[FME ID]],FME_Input[FME_ID],FME_Input[RFPG_NUM])</f>
        <v>11</v>
      </c>
      <c r="C445" t="str">
        <f>_xlfn.XLOOKUP(FME_Ranking1[[#This Row],[FME ID]],FME_Input[FME_ID],FME_Input[FME_NAME])</f>
        <v>Blanco County Low Water Crossing Improvements Study</v>
      </c>
      <c r="D445" t="str">
        <f>_xlfn.XLOOKUP(FME_Ranking1[[#This Row],[FME ID]],FME_Input[FME_ID],FME_Input[DESCR])</f>
        <v>Study of solutions to upgrade and/or raise low water crossing in the county. The low water crossings most frequently and most severely flooded will be assessed for elevation and improvement (e.g., curbed and/or pedestrian walkways) roadways.</v>
      </c>
      <c r="E445" s="256">
        <f>_xlfn.XLOOKUP(FME_Ranking1[[#This Row],[FME ID]],FME_Input[FME_ID],FME_Input[FME_COST])</f>
        <v>250000</v>
      </c>
      <c r="F445" t="str">
        <f>_xlfn.XLOOKUP(FME_Ranking1[[#This Row],[FME ID]],FME_Input[FME_ID],FME_Input[EMER_NEED])</f>
        <v>No</v>
      </c>
      <c r="G445">
        <f>IF(FME_Ranking!F445="Yes",100,0)</f>
        <v>0</v>
      </c>
      <c r="H445">
        <f>FME_Ranking1[[#This Row],[Emergency Need Score (Normalized, Unweighted)]]*$F$3</f>
        <v>0</v>
      </c>
      <c r="I445" s="246">
        <f>_xlfn.XLOOKUP(FME_Ranking1[[#This Row],[FME ID]],FME_Input[FME_ID],FME_Input[STRUCT_100])</f>
        <v>167</v>
      </c>
      <c r="J445" s="178">
        <f>(FME_Ranking1[[#This Row],[Structures 100 Raw]]/I$2)*100</f>
        <v>8.9427237287409492E-2</v>
      </c>
      <c r="K445" s="178">
        <f>FME_Ranking1[[#This Row],[Structures 100  Score (Normalized, Unweighted)]]*$I$3</f>
        <v>1.3414085593111424E-2</v>
      </c>
      <c r="L445" s="246">
        <f>_xlfn.XLOOKUP(FME_Ranking1[[#This Row],[FME ID]],FME_Input[FME_ID],FME_Input[RES_STRUCT100])</f>
        <v>122</v>
      </c>
      <c r="M445" s="230">
        <f>(FME_Ranking1[[#This Row],[Res Structures Raw]]/L$2)*100</f>
        <v>8.6413282146449263E-2</v>
      </c>
      <c r="N445" s="180">
        <f>FME_Ranking1[[#This Row],[Res Structures Score (Normalized, Unweighted)]]*$L$3</f>
        <v>8.641328214644927E-3</v>
      </c>
      <c r="O445" s="244">
        <f>_xlfn.XLOOKUP(FME_Ranking1[[#This Row],[FME ID]],FME_Input[FME_ID],FME_Input[POP100])</f>
        <v>256</v>
      </c>
      <c r="P445" s="178">
        <f>(FME_Ranking1[[#This Row],[Pop Raw]]/$O$2)*100</f>
        <v>2.62080798691234E-2</v>
      </c>
      <c r="Q445" s="178">
        <f>FME_Ranking1[[#This Row],[Pop Score (Normalized, Unweighted)]]*$O$3</f>
        <v>3.9312119803685099E-3</v>
      </c>
      <c r="R445" s="137">
        <f>_xlfn.XLOOKUP(FME_Ranking1[[#This Row],[FME ID]],FME_Input[FME_ID],FME_Input[CRITFAC100])</f>
        <v>0</v>
      </c>
      <c r="S445" s="230">
        <f>(FME_Ranking1[[#This Row],[Critical Facilities Raw]]/$R$2)*100</f>
        <v>0</v>
      </c>
      <c r="T445" s="180">
        <f>FME_Ranking1[[#This Row],[Critical Facilities Score (Normalized, Unweighted)]]*$R$3</f>
        <v>0</v>
      </c>
      <c r="U445">
        <f>_xlfn.XLOOKUP(FME_Ranking1[[#This Row],[FME ID]],FME_Input[FME_ID],FME_Input[LWC])</f>
        <v>30</v>
      </c>
      <c r="V445" s="178">
        <f>(FME_Ranking1[[#This Row],[LWC Raw]]/$U$2)*100</f>
        <v>1.7271157167530224</v>
      </c>
      <c r="W445" s="178">
        <f>FME_Ranking1[[#This Row],[LWC Score (Normalized, Unweighted)]]*$U$3</f>
        <v>0.34542314335060453</v>
      </c>
      <c r="X445" s="246">
        <f>_xlfn.XLOOKUP(FME_Ranking1[[#This Row],[FME ID]],FME_Input[FME_ID],FME_Input[ROADCLS])</f>
        <v>0</v>
      </c>
      <c r="Y445" s="230">
        <f>(FME_Ranking1[[#This Row],[Closures Raw]]/$X$2)*100</f>
        <v>0</v>
      </c>
      <c r="Z445" s="180">
        <f>FME_Ranking1[[#This Row],[Closures Score (Normalized, Unweighted)]]*$X$3</f>
        <v>0</v>
      </c>
      <c r="AA445" s="253">
        <f>_xlfn.XLOOKUP(FME_Ranking1[[#This Row],[FME ID]],FME_Input[FME_ID],FME_Input[ROAD_MILES100])</f>
        <v>14.201408386230471</v>
      </c>
      <c r="AB445" s="178">
        <f>(FME_Ranking1[[#This Row],[Miles Raw]]/$AA$2)*100</f>
        <v>0.18672304885720709</v>
      </c>
      <c r="AC445" s="178">
        <f>FME_Ranking1[[#This Row],[Miles Score (Normalized, Unweighted)]]*$AA$3</f>
        <v>1.8672304885720709E-2</v>
      </c>
      <c r="AD445" s="255">
        <f>_xlfn.XLOOKUP(FME_Ranking1[[#This Row],[FME ID]],FME_Input[FME_ID],FME_Input[FARMACRE100])</f>
        <v>4091.820556640625</v>
      </c>
      <c r="AE445" s="230">
        <f>(FME_Ranking1[[#This Row],[Ag Land Raw]]/$AD$2)*100</f>
        <v>0.16872836270604102</v>
      </c>
      <c r="AF445" s="231">
        <f>FME_Ranking1[[#This Row],[Ag Land Score (Normalized, Unweighted)]]*$AD$3</f>
        <v>8.4364181353020519E-3</v>
      </c>
      <c r="AG44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0.39851849215975216</v>
      </c>
      <c r="AH445" s="406">
        <f t="shared" si="6"/>
        <v>524</v>
      </c>
      <c r="AI44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0.39851849215975216</v>
      </c>
      <c r="AJ445" s="257">
        <f>FME_Ranking1[[#This Row],[Addition check]]-FME_Ranking1[[#This Row],[Weighted Score Based on Normalized Reported Factors]]</f>
        <v>0</v>
      </c>
      <c r="AK445" s="178">
        <f>_xlfn.RANK.EQ(AI445,$AI$6:$AI$2341,0)+COUNTIF($AI$6:AI445,AI445)-1</f>
        <v>524</v>
      </c>
    </row>
    <row r="446" spans="1:37" ht="12" customHeight="1" x14ac:dyDescent="0.25">
      <c r="A446" t="s">
        <v>8605</v>
      </c>
      <c r="B446">
        <f>_xlfn.XLOOKUP(FME_Ranking1[[#This Row],[FME ID]],FME_Input[FME_ID],FME_Input[RFPG_NUM])</f>
        <v>11</v>
      </c>
      <c r="C446" t="str">
        <f>_xlfn.XLOOKUP(FME_Ranking1[[#This Row],[FME ID]],FME_Input[FME_ID],FME_Input[FME_NAME])</f>
        <v>Blanco County Soil Conservation Plan</v>
      </c>
      <c r="D446" t="str">
        <f>_xlfn.XLOOKUP(FME_Ranking1[[#This Row],[FME ID]],FME_Input[FME_ID],FME_Input[DESCR])</f>
        <v>Develop soil conservation plan which provides information on proper land stewardship including diagram, soil map, assessment of vegetation and wildlife fuels, schedule for applying conservation practices; plan for operation and maintenance.</v>
      </c>
      <c r="E446" s="256">
        <f>_xlfn.XLOOKUP(FME_Ranking1[[#This Row],[FME ID]],FME_Input[FME_ID],FME_Input[FME_COST])</f>
        <v>100000</v>
      </c>
      <c r="F446" t="str">
        <f>_xlfn.XLOOKUP(FME_Ranking1[[#This Row],[FME ID]],FME_Input[FME_ID],FME_Input[EMER_NEED])</f>
        <v>No</v>
      </c>
      <c r="G446">
        <f>IF(FME_Ranking!F446="Yes",100,0)</f>
        <v>0</v>
      </c>
      <c r="H446">
        <f>FME_Ranking1[[#This Row],[Emergency Need Score (Normalized, Unweighted)]]*$F$3</f>
        <v>0</v>
      </c>
      <c r="I446" s="246">
        <f>_xlfn.XLOOKUP(FME_Ranking1[[#This Row],[FME ID]],FME_Input[FME_ID],FME_Input[STRUCT_100])</f>
        <v>167</v>
      </c>
      <c r="J446" s="178">
        <f>(FME_Ranking1[[#This Row],[Structures 100 Raw]]/I$2)*100</f>
        <v>8.9427237287409492E-2</v>
      </c>
      <c r="K446" s="178">
        <f>FME_Ranking1[[#This Row],[Structures 100  Score (Normalized, Unweighted)]]*$I$3</f>
        <v>1.3414085593111424E-2</v>
      </c>
      <c r="L446" s="246">
        <f>_xlfn.XLOOKUP(FME_Ranking1[[#This Row],[FME ID]],FME_Input[FME_ID],FME_Input[RES_STRUCT100])</f>
        <v>122</v>
      </c>
      <c r="M446" s="230">
        <f>(FME_Ranking1[[#This Row],[Res Structures Raw]]/L$2)*100</f>
        <v>8.6413282146449263E-2</v>
      </c>
      <c r="N446" s="180">
        <f>FME_Ranking1[[#This Row],[Res Structures Score (Normalized, Unweighted)]]*$L$3</f>
        <v>8.641328214644927E-3</v>
      </c>
      <c r="O446" s="244">
        <f>_xlfn.XLOOKUP(FME_Ranking1[[#This Row],[FME ID]],FME_Input[FME_ID],FME_Input[POP100])</f>
        <v>256</v>
      </c>
      <c r="P446" s="178">
        <f>(FME_Ranking1[[#This Row],[Pop Raw]]/$O$2)*100</f>
        <v>2.62080798691234E-2</v>
      </c>
      <c r="Q446" s="178">
        <f>FME_Ranking1[[#This Row],[Pop Score (Normalized, Unweighted)]]*$O$3</f>
        <v>3.9312119803685099E-3</v>
      </c>
      <c r="R446" s="137">
        <f>_xlfn.XLOOKUP(FME_Ranking1[[#This Row],[FME ID]],FME_Input[FME_ID],FME_Input[CRITFAC100])</f>
        <v>0</v>
      </c>
      <c r="S446" s="230">
        <f>(FME_Ranking1[[#This Row],[Critical Facilities Raw]]/$R$2)*100</f>
        <v>0</v>
      </c>
      <c r="T446" s="180">
        <f>FME_Ranking1[[#This Row],[Critical Facilities Score (Normalized, Unweighted)]]*$R$3</f>
        <v>0</v>
      </c>
      <c r="U446">
        <f>_xlfn.XLOOKUP(FME_Ranking1[[#This Row],[FME ID]],FME_Input[FME_ID],FME_Input[LWC])</f>
        <v>30</v>
      </c>
      <c r="V446" s="178">
        <f>(FME_Ranking1[[#This Row],[LWC Raw]]/$U$2)*100</f>
        <v>1.7271157167530224</v>
      </c>
      <c r="W446" s="178">
        <f>FME_Ranking1[[#This Row],[LWC Score (Normalized, Unweighted)]]*$U$3</f>
        <v>0.34542314335060453</v>
      </c>
      <c r="X446" s="246">
        <f>_xlfn.XLOOKUP(FME_Ranking1[[#This Row],[FME ID]],FME_Input[FME_ID],FME_Input[ROADCLS])</f>
        <v>0</v>
      </c>
      <c r="Y446" s="230">
        <f>(FME_Ranking1[[#This Row],[Closures Raw]]/$X$2)*100</f>
        <v>0</v>
      </c>
      <c r="Z446" s="180">
        <f>FME_Ranking1[[#This Row],[Closures Score (Normalized, Unweighted)]]*$X$3</f>
        <v>0</v>
      </c>
      <c r="AA446" s="253">
        <f>_xlfn.XLOOKUP(FME_Ranking1[[#This Row],[FME ID]],FME_Input[FME_ID],FME_Input[ROAD_MILES100])</f>
        <v>14.201408386230471</v>
      </c>
      <c r="AB446" s="178">
        <f>(FME_Ranking1[[#This Row],[Miles Raw]]/$AA$2)*100</f>
        <v>0.18672304885720709</v>
      </c>
      <c r="AC446" s="178">
        <f>FME_Ranking1[[#This Row],[Miles Score (Normalized, Unweighted)]]*$AA$3</f>
        <v>1.8672304885720709E-2</v>
      </c>
      <c r="AD446" s="255">
        <f>_xlfn.XLOOKUP(FME_Ranking1[[#This Row],[FME ID]],FME_Input[FME_ID],FME_Input[FARMACRE100])</f>
        <v>4091.820556640625</v>
      </c>
      <c r="AE446" s="230">
        <f>(FME_Ranking1[[#This Row],[Ag Land Raw]]/$AD$2)*100</f>
        <v>0.16872836270604102</v>
      </c>
      <c r="AF446" s="231">
        <f>FME_Ranking1[[#This Row],[Ag Land Score (Normalized, Unweighted)]]*$AD$3</f>
        <v>8.4364181353020519E-3</v>
      </c>
      <c r="AG44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0.39851849215975216</v>
      </c>
      <c r="AH446" s="406">
        <f t="shared" si="6"/>
        <v>524</v>
      </c>
      <c r="AI44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0.39851849215975216</v>
      </c>
      <c r="AJ446" s="257">
        <f>FME_Ranking1[[#This Row],[Addition check]]-FME_Ranking1[[#This Row],[Weighted Score Based on Normalized Reported Factors]]</f>
        <v>0</v>
      </c>
      <c r="AK446" s="178">
        <f>_xlfn.RANK.EQ(AI446,$AI$6:$AI$2341,0)+COUNTIF($AI$6:AI446,AI446)-1</f>
        <v>525</v>
      </c>
    </row>
    <row r="447" spans="1:37" ht="12" customHeight="1" x14ac:dyDescent="0.25">
      <c r="A447" t="s">
        <v>9071</v>
      </c>
      <c r="B447">
        <f>_xlfn.XLOOKUP(FME_Ranking1[[#This Row],[FME ID]],FME_Input[FME_ID],FME_Input[RFPG_NUM])</f>
        <v>11</v>
      </c>
      <c r="C447" t="str">
        <f>_xlfn.XLOOKUP(FME_Ranking1[[#This Row],[FME ID]],FME_Input[FME_ID],FME_Input[FME_NAME])</f>
        <v>Emergency power generators at critical infrastructure/key resource locations project planning</v>
      </c>
      <c r="D447" t="str">
        <f>_xlfn.XLOOKUP(FME_Ranking1[[#This Row],[FME ID]],FME_Input[FME_ID],FME_Input[DESCR])</f>
        <v>Project planning to install emergency generators at critical facilities to provide back-up power from hazard events.</v>
      </c>
      <c r="E447" s="256">
        <f>_xlfn.XLOOKUP(FME_Ranking1[[#This Row],[FME ID]],FME_Input[FME_ID],FME_Input[FME_COST])</f>
        <v>100000</v>
      </c>
      <c r="F447" t="str">
        <f>_xlfn.XLOOKUP(FME_Ranking1[[#This Row],[FME ID]],FME_Input[FME_ID],FME_Input[EMER_NEED])</f>
        <v>No</v>
      </c>
      <c r="G447">
        <f>IF(FME_Ranking!F447="Yes",100,0)</f>
        <v>0</v>
      </c>
      <c r="H447">
        <f>FME_Ranking1[[#This Row],[Emergency Need Score (Normalized, Unweighted)]]*$F$3</f>
        <v>0</v>
      </c>
      <c r="I447" s="246">
        <f>_xlfn.XLOOKUP(FME_Ranking1[[#This Row],[FME ID]],FME_Input[FME_ID],FME_Input[STRUCT_100])</f>
        <v>167</v>
      </c>
      <c r="J447" s="178">
        <f>(FME_Ranking1[[#This Row],[Structures 100 Raw]]/I$2)*100</f>
        <v>8.9427237287409492E-2</v>
      </c>
      <c r="K447" s="178">
        <f>FME_Ranking1[[#This Row],[Structures 100  Score (Normalized, Unweighted)]]*$I$3</f>
        <v>1.3414085593111424E-2</v>
      </c>
      <c r="L447" s="246">
        <f>_xlfn.XLOOKUP(FME_Ranking1[[#This Row],[FME ID]],FME_Input[FME_ID],FME_Input[RES_STRUCT100])</f>
        <v>122</v>
      </c>
      <c r="M447" s="230">
        <f>(FME_Ranking1[[#This Row],[Res Structures Raw]]/L$2)*100</f>
        <v>8.6413282146449263E-2</v>
      </c>
      <c r="N447" s="180">
        <f>FME_Ranking1[[#This Row],[Res Structures Score (Normalized, Unweighted)]]*$L$3</f>
        <v>8.641328214644927E-3</v>
      </c>
      <c r="O447" s="244">
        <f>_xlfn.XLOOKUP(FME_Ranking1[[#This Row],[FME ID]],FME_Input[FME_ID],FME_Input[POP100])</f>
        <v>256</v>
      </c>
      <c r="P447" s="178">
        <f>(FME_Ranking1[[#This Row],[Pop Raw]]/$O$2)*100</f>
        <v>2.62080798691234E-2</v>
      </c>
      <c r="Q447" s="178">
        <f>FME_Ranking1[[#This Row],[Pop Score (Normalized, Unweighted)]]*$O$3</f>
        <v>3.9312119803685099E-3</v>
      </c>
      <c r="R447" s="137">
        <f>_xlfn.XLOOKUP(FME_Ranking1[[#This Row],[FME ID]],FME_Input[FME_ID],FME_Input[CRITFAC100])</f>
        <v>0</v>
      </c>
      <c r="S447" s="230">
        <f>(FME_Ranking1[[#This Row],[Critical Facilities Raw]]/$R$2)*100</f>
        <v>0</v>
      </c>
      <c r="T447" s="180">
        <f>FME_Ranking1[[#This Row],[Critical Facilities Score (Normalized, Unweighted)]]*$R$3</f>
        <v>0</v>
      </c>
      <c r="U447">
        <f>_xlfn.XLOOKUP(FME_Ranking1[[#This Row],[FME ID]],FME_Input[FME_ID],FME_Input[LWC])</f>
        <v>30</v>
      </c>
      <c r="V447" s="178">
        <f>(FME_Ranking1[[#This Row],[LWC Raw]]/$U$2)*100</f>
        <v>1.7271157167530224</v>
      </c>
      <c r="W447" s="178">
        <f>FME_Ranking1[[#This Row],[LWC Score (Normalized, Unweighted)]]*$U$3</f>
        <v>0.34542314335060453</v>
      </c>
      <c r="X447" s="246">
        <f>_xlfn.XLOOKUP(FME_Ranking1[[#This Row],[FME ID]],FME_Input[FME_ID],FME_Input[ROADCLS])</f>
        <v>0</v>
      </c>
      <c r="Y447" s="230">
        <f>(FME_Ranking1[[#This Row],[Closures Raw]]/$X$2)*100</f>
        <v>0</v>
      </c>
      <c r="Z447" s="180">
        <f>FME_Ranking1[[#This Row],[Closures Score (Normalized, Unweighted)]]*$X$3</f>
        <v>0</v>
      </c>
      <c r="AA447" s="253">
        <f>_xlfn.XLOOKUP(FME_Ranking1[[#This Row],[FME ID]],FME_Input[FME_ID],FME_Input[ROAD_MILES100])</f>
        <v>14.201408386230471</v>
      </c>
      <c r="AB447" s="178">
        <f>(FME_Ranking1[[#This Row],[Miles Raw]]/$AA$2)*100</f>
        <v>0.18672304885720709</v>
      </c>
      <c r="AC447" s="178">
        <f>FME_Ranking1[[#This Row],[Miles Score (Normalized, Unweighted)]]*$AA$3</f>
        <v>1.8672304885720709E-2</v>
      </c>
      <c r="AD447" s="255">
        <f>_xlfn.XLOOKUP(FME_Ranking1[[#This Row],[FME ID]],FME_Input[FME_ID],FME_Input[FARMACRE100])</f>
        <v>4091.820556640625</v>
      </c>
      <c r="AE447" s="230">
        <f>(FME_Ranking1[[#This Row],[Ag Land Raw]]/$AD$2)*100</f>
        <v>0.16872836270604102</v>
      </c>
      <c r="AF447" s="231">
        <f>FME_Ranking1[[#This Row],[Ag Land Score (Normalized, Unweighted)]]*$AD$3</f>
        <v>8.4364181353020519E-3</v>
      </c>
      <c r="AG44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0.39851849215975216</v>
      </c>
      <c r="AH447" s="406">
        <f t="shared" si="6"/>
        <v>524</v>
      </c>
      <c r="AI44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0.39851849215975216</v>
      </c>
      <c r="AJ447" s="257">
        <f>FME_Ranking1[[#This Row],[Addition check]]-FME_Ranking1[[#This Row],[Weighted Score Based on Normalized Reported Factors]]</f>
        <v>0</v>
      </c>
      <c r="AK447" s="178">
        <f>_xlfn.RANK.EQ(AI447,$AI$6:$AI$2341,0)+COUNTIF($AI$6:AI447,AI447)-1</f>
        <v>526</v>
      </c>
    </row>
    <row r="448" spans="1:37" ht="12" customHeight="1" x14ac:dyDescent="0.25">
      <c r="A448" t="s">
        <v>8503</v>
      </c>
      <c r="B448">
        <f>_xlfn.XLOOKUP(FME_Ranking1[[#This Row],[FME ID]],FME_Input[FME_ID],FME_Input[RFPG_NUM])</f>
        <v>10</v>
      </c>
      <c r="C448" t="str">
        <f>_xlfn.XLOOKUP(FME_Ranking1[[#This Row],[FME ID]],FME_Input[FME_ID],FME_Input[FME_NAME])</f>
        <v>City of El Campo Drainage Master Plan Update</v>
      </c>
      <c r="D448" t="str">
        <f>_xlfn.XLOOKUP(FME_Ranking1[[#This Row],[FME ID]],FME_Input[FME_ID],FME_Input[DESCR])</f>
        <v>Watershed Study</v>
      </c>
      <c r="E448" s="256">
        <f>_xlfn.XLOOKUP(FME_Ranking1[[#This Row],[FME ID]],FME_Input[FME_ID],FME_Input[FME_COST])</f>
        <v>612500</v>
      </c>
      <c r="F448" t="str">
        <f>_xlfn.XLOOKUP(FME_Ranking1[[#This Row],[FME ID]],FME_Input[FME_ID],FME_Input[EMER_NEED])</f>
        <v>No</v>
      </c>
      <c r="G448">
        <f>IF(FME_Ranking!F448="Yes",100,0)</f>
        <v>0</v>
      </c>
      <c r="H448">
        <f>FME_Ranking1[[#This Row],[Emergency Need Score (Normalized, Unweighted)]]*$F$3</f>
        <v>0</v>
      </c>
      <c r="I448" s="246">
        <f>_xlfn.XLOOKUP(FME_Ranking1[[#This Row],[FME ID]],FME_Input[FME_ID],FME_Input[STRUCT_100])</f>
        <v>1820</v>
      </c>
      <c r="J448" s="178">
        <f>(FME_Ranking1[[#This Row],[Structures 100 Raw]]/I$2)*100</f>
        <v>0.97459623870110956</v>
      </c>
      <c r="K448" s="178">
        <f>FME_Ranking1[[#This Row],[Structures 100  Score (Normalized, Unweighted)]]*$I$3</f>
        <v>0.14618943580516644</v>
      </c>
      <c r="L448" s="246">
        <f>_xlfn.XLOOKUP(FME_Ranking1[[#This Row],[FME ID]],FME_Input[FME_ID],FME_Input[RES_STRUCT100])</f>
        <v>1293</v>
      </c>
      <c r="M448" s="230">
        <f>(FME_Ranking1[[#This Row],[Res Structures Raw]]/L$2)*100</f>
        <v>0.91583912963408931</v>
      </c>
      <c r="N448" s="180">
        <f>FME_Ranking1[[#This Row],[Res Structures Score (Normalized, Unweighted)]]*$L$3</f>
        <v>9.1583912963408939E-2</v>
      </c>
      <c r="O448" s="244">
        <f>_xlfn.XLOOKUP(FME_Ranking1[[#This Row],[FME ID]],FME_Input[FME_ID],FME_Input[POP100])</f>
        <v>4600</v>
      </c>
      <c r="P448" s="178">
        <f>(FME_Ranking1[[#This Row],[Pop Raw]]/$O$2)*100</f>
        <v>0.47092643514831112</v>
      </c>
      <c r="Q448" s="178">
        <f>FME_Ranking1[[#This Row],[Pop Score (Normalized, Unweighted)]]*$O$3</f>
        <v>7.0638965272246668E-2</v>
      </c>
      <c r="R448" s="137">
        <f>_xlfn.XLOOKUP(FME_Ranking1[[#This Row],[FME ID]],FME_Input[FME_ID],FME_Input[CRITFAC100])</f>
        <v>1</v>
      </c>
      <c r="S448" s="230">
        <f>(FME_Ranking1[[#This Row],[Critical Facilities Raw]]/$R$2)*100</f>
        <v>4.2881646655231559E-2</v>
      </c>
      <c r="T448" s="180">
        <f>FME_Ranking1[[#This Row],[Critical Facilities Score (Normalized, Unweighted)]]*$R$3</f>
        <v>8.5763293310463125E-3</v>
      </c>
      <c r="U448">
        <f>_xlfn.XLOOKUP(FME_Ranking1[[#This Row],[FME ID]],FME_Input[FME_ID],FME_Input[LWC])</f>
        <v>4</v>
      </c>
      <c r="V448" s="178">
        <f>(FME_Ranking1[[#This Row],[LWC Raw]]/$U$2)*100</f>
        <v>0.23028209556706969</v>
      </c>
      <c r="W448" s="178">
        <f>FME_Ranking1[[#This Row],[LWC Score (Normalized, Unweighted)]]*$U$3</f>
        <v>4.6056419113413939E-2</v>
      </c>
      <c r="X448" s="246">
        <f>_xlfn.XLOOKUP(FME_Ranking1[[#This Row],[FME ID]],FME_Input[FME_ID],FME_Input[ROADCLS])</f>
        <v>0</v>
      </c>
      <c r="Y448" s="230">
        <f>(FME_Ranking1[[#This Row],[Closures Raw]]/$X$2)*100</f>
        <v>0</v>
      </c>
      <c r="Z448" s="180">
        <f>FME_Ranking1[[#This Row],[Closures Score (Normalized, Unweighted)]]*$X$3</f>
        <v>0</v>
      </c>
      <c r="AA448" s="253">
        <f>_xlfn.XLOOKUP(FME_Ranking1[[#This Row],[FME ID]],FME_Input[FME_ID],FME_Input[ROAD_MILES100])</f>
        <v>45.233211517333977</v>
      </c>
      <c r="AB448" s="178">
        <f>(FME_Ranking1[[#This Row],[Miles Raw]]/$AA$2)*100</f>
        <v>0.59473560187937169</v>
      </c>
      <c r="AC448" s="178">
        <f>FME_Ranking1[[#This Row],[Miles Score (Normalized, Unweighted)]]*$AA$3</f>
        <v>5.9473560187937174E-2</v>
      </c>
      <c r="AD448" s="255">
        <f>_xlfn.XLOOKUP(FME_Ranking1[[#This Row],[FME ID]],FME_Input[FME_ID],FME_Input[FARMACRE100])</f>
        <v>5707.2919921875</v>
      </c>
      <c r="AE448" s="230">
        <f>(FME_Ranking1[[#This Row],[Ag Land Raw]]/$AD$2)*100</f>
        <v>0.23534317304415273</v>
      </c>
      <c r="AF448" s="231">
        <f>FME_Ranking1[[#This Row],[Ag Land Score (Normalized, Unweighted)]]*$AD$3</f>
        <v>1.1767158652207637E-2</v>
      </c>
      <c r="AG44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0.43428578132542711</v>
      </c>
      <c r="AH448" s="406">
        <f t="shared" si="6"/>
        <v>489</v>
      </c>
      <c r="AI44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0.43428578132542711</v>
      </c>
      <c r="AJ448" s="257">
        <f>FME_Ranking1[[#This Row],[Addition check]]-FME_Ranking1[[#This Row],[Weighted Score Based on Normalized Reported Factors]]</f>
        <v>0</v>
      </c>
      <c r="AK448" s="178">
        <f>_xlfn.RANK.EQ(AI448,$AI$6:$AI$2341,0)+COUNTIF($AI$6:AI448,AI448)-1</f>
        <v>489</v>
      </c>
    </row>
    <row r="449" spans="1:37" ht="12" customHeight="1" x14ac:dyDescent="0.25">
      <c r="A449" t="s">
        <v>3023</v>
      </c>
      <c r="B449">
        <f>_xlfn.XLOOKUP(FME_Ranking1[[#This Row],[FME ID]],FME_Input[FME_ID],FME_Input[RFPG_NUM])</f>
        <v>1</v>
      </c>
      <c r="C449" t="str">
        <f>_xlfn.XLOOKUP(FME_Ranking1[[#This Row],[FME ID]],FME_Input[FME_ID],FME_Input[FME_NAME])</f>
        <v>Gray County FIS</v>
      </c>
      <c r="D449" t="str">
        <f>_xlfn.XLOOKUP(FME_Ranking1[[#This Row],[FME ID]],FME_Input[FME_ID],FME_Input[DESCR])</f>
        <v>Update flood insurance study for the county and develop regulatory mapping</v>
      </c>
      <c r="E449" s="256">
        <f>_xlfn.XLOOKUP(FME_Ranking1[[#This Row],[FME ID]],FME_Input[FME_ID],FME_Input[FME_COST])</f>
        <v>908000</v>
      </c>
      <c r="F449" t="str">
        <f>_xlfn.XLOOKUP(FME_Ranking1[[#This Row],[FME ID]],FME_Input[FME_ID],FME_Input[EMER_NEED])</f>
        <v>No</v>
      </c>
      <c r="G449">
        <f>IF(FME_Ranking!F449="Yes",100,0)</f>
        <v>0</v>
      </c>
      <c r="H449">
        <f>FME_Ranking1[[#This Row],[Emergency Need Score (Normalized, Unweighted)]]*$F$3</f>
        <v>0</v>
      </c>
      <c r="I449" s="246">
        <f>_xlfn.XLOOKUP(FME_Ranking1[[#This Row],[FME ID]],FME_Input[FME_ID],FME_Input[STRUCT_100])</f>
        <v>295</v>
      </c>
      <c r="J449" s="178">
        <f>(FME_Ranking1[[#This Row],[Structures 100 Raw]]/I$2)*100</f>
        <v>0.15797026945979523</v>
      </c>
      <c r="K449" s="178">
        <f>FME_Ranking1[[#This Row],[Structures 100  Score (Normalized, Unweighted)]]*$I$3</f>
        <v>2.3695540418969284E-2</v>
      </c>
      <c r="L449" s="246">
        <f>_xlfn.XLOOKUP(FME_Ranking1[[#This Row],[FME ID]],FME_Input[FME_ID],FME_Input[RES_STRUCT100])</f>
        <v>161</v>
      </c>
      <c r="M449" s="230">
        <f>(FME_Ranking1[[#This Row],[Res Structures Raw]]/L$2)*100</f>
        <v>0.11403720020965846</v>
      </c>
      <c r="N449" s="180">
        <f>FME_Ranking1[[#This Row],[Res Structures Score (Normalized, Unweighted)]]*$L$3</f>
        <v>1.1403720020965846E-2</v>
      </c>
      <c r="O449" s="244">
        <f>_xlfn.XLOOKUP(FME_Ranking1[[#This Row],[FME ID]],FME_Input[FME_ID],FME_Input[POP100])</f>
        <v>1429</v>
      </c>
      <c r="P449" s="178">
        <f>(FME_Ranking1[[#This Row],[Pop Raw]]/$O$2)*100</f>
        <v>0.14629432083194274</v>
      </c>
      <c r="Q449" s="178">
        <f>FME_Ranking1[[#This Row],[Pop Score (Normalized, Unweighted)]]*$O$3</f>
        <v>2.194414812479141E-2</v>
      </c>
      <c r="R449" s="137">
        <f>_xlfn.XLOOKUP(FME_Ranking1[[#This Row],[FME ID]],FME_Input[FME_ID],FME_Input[CRITFAC100])</f>
        <v>2</v>
      </c>
      <c r="S449" s="230">
        <f>(FME_Ranking1[[#This Row],[Critical Facilities Raw]]/$R$2)*100</f>
        <v>8.5763293310463118E-2</v>
      </c>
      <c r="T449" s="180">
        <f>FME_Ranking1[[#This Row],[Critical Facilities Score (Normalized, Unweighted)]]*$R$3</f>
        <v>1.7152658662092625E-2</v>
      </c>
      <c r="U449">
        <f>_xlfn.XLOOKUP(FME_Ranking1[[#This Row],[FME ID]],FME_Input[FME_ID],FME_Input[LWC])</f>
        <v>14</v>
      </c>
      <c r="V449" s="178">
        <f>(FME_Ranking1[[#This Row],[LWC Raw]]/$U$2)*100</f>
        <v>0.80598733448474369</v>
      </c>
      <c r="W449" s="178">
        <f>FME_Ranking1[[#This Row],[LWC Score (Normalized, Unweighted)]]*$U$3</f>
        <v>0.16119746689694875</v>
      </c>
      <c r="X449" s="246">
        <f>_xlfn.XLOOKUP(FME_Ranking1[[#This Row],[FME ID]],FME_Input[FME_ID],FME_Input[ROADCLS])</f>
        <v>14</v>
      </c>
      <c r="Y449" s="230">
        <f>(FME_Ranking1[[#This Row],[Closures Raw]]/$X$2)*100</f>
        <v>0.14719798128482808</v>
      </c>
      <c r="Z449" s="180">
        <f>FME_Ranking1[[#This Row],[Closures Score (Normalized, Unweighted)]]*$X$3</f>
        <v>7.3598990642414043E-3</v>
      </c>
      <c r="AA449" s="253">
        <f>_xlfn.XLOOKUP(FME_Ranking1[[#This Row],[FME ID]],FME_Input[FME_ID],FME_Input[ROAD_MILES100])</f>
        <v>49.362819671630859</v>
      </c>
      <c r="AB449" s="178">
        <f>(FME_Ranking1[[#This Row],[Miles Raw]]/$AA$2)*100</f>
        <v>0.64903254230843088</v>
      </c>
      <c r="AC449" s="178">
        <f>FME_Ranking1[[#This Row],[Miles Score (Normalized, Unweighted)]]*$AA$3</f>
        <v>6.4903254230843088E-2</v>
      </c>
      <c r="AD449" s="255">
        <f>_xlfn.XLOOKUP(FME_Ranking1[[#This Row],[FME ID]],FME_Input[FME_ID],FME_Input[FARMACRE100])</f>
        <v>63862.5546875</v>
      </c>
      <c r="AE449" s="230">
        <f>(FME_Ranking1[[#This Row],[Ag Land Raw]]/$AD$2)*100</f>
        <v>2.633405874350824</v>
      </c>
      <c r="AF449" s="231">
        <f>FME_Ranking1[[#This Row],[Ag Land Score (Normalized, Unweighted)]]*$AD$3</f>
        <v>0.13167029371754121</v>
      </c>
      <c r="AG44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0.43932698113639357</v>
      </c>
      <c r="AH449" s="406">
        <f t="shared" si="6"/>
        <v>486</v>
      </c>
      <c r="AI44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0.43932698113639357</v>
      </c>
      <c r="AJ449" s="257">
        <f>FME_Ranking1[[#This Row],[Addition check]]-FME_Ranking1[[#This Row],[Weighted Score Based on Normalized Reported Factors]]</f>
        <v>0</v>
      </c>
      <c r="AK449" s="178">
        <f>_xlfn.RANK.EQ(AI449,$AI$6:$AI$2341,0)+COUNTIF($AI$6:AI449,AI449)-1</f>
        <v>486</v>
      </c>
    </row>
    <row r="450" spans="1:37" ht="12" customHeight="1" x14ac:dyDescent="0.25">
      <c r="A450" t="s">
        <v>4769</v>
      </c>
      <c r="B450">
        <f>_xlfn.XLOOKUP(FME_Ranking1[[#This Row],[FME ID]],FME_Input[FME_ID],FME_Input[RFPG_NUM])</f>
        <v>3</v>
      </c>
      <c r="C450" t="str">
        <f>_xlfn.XLOOKUP(FME_Ranking1[[#This Row],[FME ID]],FME_Input[FME_ID],FME_Input[FME_NAME])</f>
        <v xml:space="preserve">Arbor Creek Pedestrian Bridge Repair and Channel Bottom Stabilization </v>
      </c>
      <c r="D450" t="str">
        <f>_xlfn.XLOOKUP(FME_Ranking1[[#This Row],[FME ID]],FME_Input[FME_ID],FME_Input[DESCR])</f>
        <v>Evaluate stabilization 270 feet south of Johnson Creek and 290 feet east of SH 161; Estimated construction cost of $270,900</v>
      </c>
      <c r="E450" s="256">
        <f>_xlfn.XLOOKUP(FME_Ranking1[[#This Row],[FME ID]],FME_Input[FME_ID],FME_Input[FME_COST])</f>
        <v>250000</v>
      </c>
      <c r="F450" t="str">
        <f>_xlfn.XLOOKUP(FME_Ranking1[[#This Row],[FME ID]],FME_Input[FME_ID],FME_Input[EMER_NEED])</f>
        <v>No</v>
      </c>
      <c r="G450">
        <f>IF(FME_Ranking!F450="Yes",100,0)</f>
        <v>0</v>
      </c>
      <c r="H450">
        <f>FME_Ranking1[[#This Row],[Emergency Need Score (Normalized, Unweighted)]]*$F$3</f>
        <v>0</v>
      </c>
      <c r="I450" s="246">
        <f>_xlfn.XLOOKUP(FME_Ranking1[[#This Row],[FME ID]],FME_Input[FME_ID],FME_Input[STRUCT_100])</f>
        <v>405</v>
      </c>
      <c r="J450" s="178">
        <f>(FME_Ranking1[[#This Row],[Structures 100 Raw]]/I$2)*100</f>
        <v>0.21687443773293918</v>
      </c>
      <c r="K450" s="178">
        <f>FME_Ranking1[[#This Row],[Structures 100  Score (Normalized, Unweighted)]]*$I$3</f>
        <v>3.2531165659940874E-2</v>
      </c>
      <c r="L450" s="246">
        <f>_xlfn.XLOOKUP(FME_Ranking1[[#This Row],[FME ID]],FME_Input[FME_ID],FME_Input[RES_STRUCT100])</f>
        <v>360</v>
      </c>
      <c r="M450" s="230">
        <f>(FME_Ranking1[[#This Row],[Res Structures Raw]]/L$2)*100</f>
        <v>0.2549900128911618</v>
      </c>
      <c r="N450" s="180">
        <f>FME_Ranking1[[#This Row],[Res Structures Score (Normalized, Unweighted)]]*$L$3</f>
        <v>2.5499001289116183E-2</v>
      </c>
      <c r="O450" s="244">
        <f>_xlfn.XLOOKUP(FME_Ranking1[[#This Row],[FME ID]],FME_Input[FME_ID],FME_Input[POP100])</f>
        <v>4090</v>
      </c>
      <c r="P450" s="178">
        <f>(FME_Ranking1[[#This Row],[Pop Raw]]/$O$2)*100</f>
        <v>0.41871502603404182</v>
      </c>
      <c r="Q450" s="178">
        <f>FME_Ranking1[[#This Row],[Pop Score (Normalized, Unweighted)]]*$O$3</f>
        <v>6.2807253905106275E-2</v>
      </c>
      <c r="R450" s="137">
        <f>_xlfn.XLOOKUP(FME_Ranking1[[#This Row],[FME ID]],FME_Input[FME_ID],FME_Input[CRITFAC100])</f>
        <v>8</v>
      </c>
      <c r="S450" s="230">
        <f>(FME_Ranking1[[#This Row],[Critical Facilities Raw]]/$R$2)*100</f>
        <v>0.34305317324185247</v>
      </c>
      <c r="T450" s="180">
        <f>FME_Ranking1[[#This Row],[Critical Facilities Score (Normalized, Unweighted)]]*$R$3</f>
        <v>6.86106346483705E-2</v>
      </c>
      <c r="U450">
        <f>_xlfn.XLOOKUP(FME_Ranking1[[#This Row],[FME ID]],FME_Input[FME_ID],FME_Input[LWC])</f>
        <v>16</v>
      </c>
      <c r="V450" s="178">
        <f>(FME_Ranking1[[#This Row],[LWC Raw]]/$U$2)*100</f>
        <v>0.92112838226827876</v>
      </c>
      <c r="W450" s="178">
        <f>FME_Ranking1[[#This Row],[LWC Score (Normalized, Unweighted)]]*$U$3</f>
        <v>0.18422567645365576</v>
      </c>
      <c r="X450" s="246">
        <f>_xlfn.XLOOKUP(FME_Ranking1[[#This Row],[FME ID]],FME_Input[FME_ID],FME_Input[ROADCLS])</f>
        <v>0</v>
      </c>
      <c r="Y450" s="230">
        <f>(FME_Ranking1[[#This Row],[Closures Raw]]/$X$2)*100</f>
        <v>0</v>
      </c>
      <c r="Z450" s="180">
        <f>FME_Ranking1[[#This Row],[Closures Score (Normalized, Unweighted)]]*$X$3</f>
        <v>0</v>
      </c>
      <c r="AA450" s="253">
        <f>_xlfn.XLOOKUP(FME_Ranking1[[#This Row],[FME ID]],FME_Input[FME_ID],FME_Input[ROAD_MILES100])</f>
        <v>12.718770027160639</v>
      </c>
      <c r="AB450" s="178">
        <f>(FME_Ranking1[[#This Row],[Miles Raw]]/$AA$2)*100</f>
        <v>0.16722901367217649</v>
      </c>
      <c r="AC450" s="178">
        <f>FME_Ranking1[[#This Row],[Miles Score (Normalized, Unweighted)]]*$AA$3</f>
        <v>1.672290136721765E-2</v>
      </c>
      <c r="AD450" s="255">
        <f>_xlfn.XLOOKUP(FME_Ranking1[[#This Row],[FME ID]],FME_Input[FME_ID],FME_Input[FARMACRE100])</f>
        <v>56.065700531005859</v>
      </c>
      <c r="AE450" s="230">
        <f>(FME_Ranking1[[#This Row],[Ag Land Raw]]/$AD$2)*100</f>
        <v>2.311898511583403E-3</v>
      </c>
      <c r="AF450" s="231">
        <f>FME_Ranking1[[#This Row],[Ag Land Score (Normalized, Unweighted)]]*$AD$3</f>
        <v>1.1559492557917016E-4</v>
      </c>
      <c r="AG45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0.3905122282489864</v>
      </c>
      <c r="AH450" s="406">
        <f t="shared" si="6"/>
        <v>534</v>
      </c>
      <c r="AI45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0.3905122282489864</v>
      </c>
      <c r="AJ450" s="257">
        <f>FME_Ranking1[[#This Row],[Addition check]]-FME_Ranking1[[#This Row],[Weighted Score Based on Normalized Reported Factors]]</f>
        <v>0</v>
      </c>
      <c r="AK450" s="178">
        <f>_xlfn.RANK.EQ(AI450,$AI$6:$AI$2341,0)+COUNTIF($AI$6:AI450,AI450)-1</f>
        <v>534</v>
      </c>
    </row>
    <row r="451" spans="1:37" ht="12" customHeight="1" x14ac:dyDescent="0.25">
      <c r="A451" t="s">
        <v>4668</v>
      </c>
      <c r="B451">
        <f>_xlfn.XLOOKUP(FME_Ranking1[[#This Row],[FME ID]],FME_Input[FME_ID],FME_Input[RFPG_NUM])</f>
        <v>3</v>
      </c>
      <c r="C451" t="str">
        <f>_xlfn.XLOOKUP(FME_Ranking1[[#This Row],[FME ID]],FME_Input[FME_ID],FME_Input[FME_NAME])</f>
        <v>Duncan Perry Rd at Johnson Creek</v>
      </c>
      <c r="D451" t="str">
        <f>_xlfn.XLOOKUP(FME_Ranking1[[#This Row],[FME ID]],FME_Input[FME_ID],FME_Input[DESCR])</f>
        <v>Study update - Channel Improvements; Estimated construction cost of $5,374,200</v>
      </c>
      <c r="E451" s="256">
        <f>_xlfn.XLOOKUP(FME_Ranking1[[#This Row],[FME ID]],FME_Input[FME_ID],FME_Input[FME_COST])</f>
        <v>269000</v>
      </c>
      <c r="F451" t="str">
        <f>_xlfn.XLOOKUP(FME_Ranking1[[#This Row],[FME ID]],FME_Input[FME_ID],FME_Input[EMER_NEED])</f>
        <v>No</v>
      </c>
      <c r="G451">
        <f>IF(FME_Ranking!F451="Yes",100,0)</f>
        <v>0</v>
      </c>
      <c r="H451">
        <f>FME_Ranking1[[#This Row],[Emergency Need Score (Normalized, Unweighted)]]*$F$3</f>
        <v>0</v>
      </c>
      <c r="I451" s="246">
        <f>_xlfn.XLOOKUP(FME_Ranking1[[#This Row],[FME ID]],FME_Input[FME_ID],FME_Input[STRUCT_100])</f>
        <v>405</v>
      </c>
      <c r="J451" s="178">
        <f>(FME_Ranking1[[#This Row],[Structures 100 Raw]]/I$2)*100</f>
        <v>0.21687443773293918</v>
      </c>
      <c r="K451" s="178">
        <f>FME_Ranking1[[#This Row],[Structures 100  Score (Normalized, Unweighted)]]*$I$3</f>
        <v>3.2531165659940874E-2</v>
      </c>
      <c r="L451" s="246">
        <f>_xlfn.XLOOKUP(FME_Ranking1[[#This Row],[FME ID]],FME_Input[FME_ID],FME_Input[RES_STRUCT100])</f>
        <v>360</v>
      </c>
      <c r="M451" s="230">
        <f>(FME_Ranking1[[#This Row],[Res Structures Raw]]/L$2)*100</f>
        <v>0.2549900128911618</v>
      </c>
      <c r="N451" s="180">
        <f>FME_Ranking1[[#This Row],[Res Structures Score (Normalized, Unweighted)]]*$L$3</f>
        <v>2.5499001289116183E-2</v>
      </c>
      <c r="O451" s="244">
        <f>_xlfn.XLOOKUP(FME_Ranking1[[#This Row],[FME ID]],FME_Input[FME_ID],FME_Input[POP100])</f>
        <v>4090</v>
      </c>
      <c r="P451" s="178">
        <f>(FME_Ranking1[[#This Row],[Pop Raw]]/$O$2)*100</f>
        <v>0.41871502603404182</v>
      </c>
      <c r="Q451" s="178">
        <f>FME_Ranking1[[#This Row],[Pop Score (Normalized, Unweighted)]]*$O$3</f>
        <v>6.2807253905106275E-2</v>
      </c>
      <c r="R451" s="137">
        <f>_xlfn.XLOOKUP(FME_Ranking1[[#This Row],[FME ID]],FME_Input[FME_ID],FME_Input[CRITFAC100])</f>
        <v>8</v>
      </c>
      <c r="S451" s="230">
        <f>(FME_Ranking1[[#This Row],[Critical Facilities Raw]]/$R$2)*100</f>
        <v>0.34305317324185247</v>
      </c>
      <c r="T451" s="180">
        <f>FME_Ranking1[[#This Row],[Critical Facilities Score (Normalized, Unweighted)]]*$R$3</f>
        <v>6.86106346483705E-2</v>
      </c>
      <c r="U451">
        <f>_xlfn.XLOOKUP(FME_Ranking1[[#This Row],[FME ID]],FME_Input[FME_ID],FME_Input[LWC])</f>
        <v>16</v>
      </c>
      <c r="V451" s="178">
        <f>(FME_Ranking1[[#This Row],[LWC Raw]]/$U$2)*100</f>
        <v>0.92112838226827876</v>
      </c>
      <c r="W451" s="178">
        <f>FME_Ranking1[[#This Row],[LWC Score (Normalized, Unweighted)]]*$U$3</f>
        <v>0.18422567645365576</v>
      </c>
      <c r="X451" s="246">
        <f>_xlfn.XLOOKUP(FME_Ranking1[[#This Row],[FME ID]],FME_Input[FME_ID],FME_Input[ROADCLS])</f>
        <v>0</v>
      </c>
      <c r="Y451" s="230">
        <f>(FME_Ranking1[[#This Row],[Closures Raw]]/$X$2)*100</f>
        <v>0</v>
      </c>
      <c r="Z451" s="180">
        <f>FME_Ranking1[[#This Row],[Closures Score (Normalized, Unweighted)]]*$X$3</f>
        <v>0</v>
      </c>
      <c r="AA451" s="253">
        <f>_xlfn.XLOOKUP(FME_Ranking1[[#This Row],[FME ID]],FME_Input[FME_ID],FME_Input[ROAD_MILES100])</f>
        <v>12.705129623413089</v>
      </c>
      <c r="AB451" s="178">
        <f>(FME_Ranking1[[#This Row],[Miles Raw]]/$AA$2)*100</f>
        <v>0.1670496668281089</v>
      </c>
      <c r="AC451" s="178">
        <f>FME_Ranking1[[#This Row],[Miles Score (Normalized, Unweighted)]]*$AA$3</f>
        <v>1.6704966682810889E-2</v>
      </c>
      <c r="AD451" s="255">
        <f>_xlfn.XLOOKUP(FME_Ranking1[[#This Row],[FME ID]],FME_Input[FME_ID],FME_Input[FARMACRE100])</f>
        <v>50.492229461669922</v>
      </c>
      <c r="AE451" s="230">
        <f>(FME_Ranking1[[#This Row],[Ag Land Raw]]/$AD$2)*100</f>
        <v>2.0820735143477938E-3</v>
      </c>
      <c r="AF451" s="231">
        <f>FME_Ranking1[[#This Row],[Ag Land Score (Normalized, Unweighted)]]*$AD$3</f>
        <v>1.0410367571738969E-4</v>
      </c>
      <c r="AG45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0.39048280231471788</v>
      </c>
      <c r="AH451" s="406">
        <f t="shared" si="6"/>
        <v>535</v>
      </c>
      <c r="AI45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0.39048280231471788</v>
      </c>
      <c r="AJ451" s="257">
        <f>FME_Ranking1[[#This Row],[Addition check]]-FME_Ranking1[[#This Row],[Weighted Score Based on Normalized Reported Factors]]</f>
        <v>0</v>
      </c>
      <c r="AK451" s="178">
        <f>_xlfn.RANK.EQ(AI451,$AI$6:$AI$2341,0)+COUNTIF($AI$6:AI451,AI451)-1</f>
        <v>535</v>
      </c>
    </row>
    <row r="452" spans="1:37" ht="12" customHeight="1" x14ac:dyDescent="0.25">
      <c r="A452" t="s">
        <v>4685</v>
      </c>
      <c r="B452">
        <f>_xlfn.XLOOKUP(FME_Ranking1[[#This Row],[FME ID]],FME_Input[FME_ID],FME_Input[RFPG_NUM])</f>
        <v>3</v>
      </c>
      <c r="C452" t="str">
        <f>_xlfn.XLOOKUP(FME_Ranking1[[#This Row],[FME ID]],FME_Input[FME_ID],FME_Input[FME_NAME])</f>
        <v>Carrier Parkway &amp; Egyptian Way</v>
      </c>
      <c r="D452" t="str">
        <f>_xlfn.XLOOKUP(FME_Ranking1[[#This Row],[FME ID]],FME_Input[FME_ID],FME_Input[DESCR])</f>
        <v>Study update - Storm Drain Improvements; Estimated construction cost of $3,165,300</v>
      </c>
      <c r="E452" s="256">
        <f>_xlfn.XLOOKUP(FME_Ranking1[[#This Row],[FME ID]],FME_Input[FME_ID],FME_Input[FME_COST])</f>
        <v>250000</v>
      </c>
      <c r="F452" t="str">
        <f>_xlfn.XLOOKUP(FME_Ranking1[[#This Row],[FME ID]],FME_Input[FME_ID],FME_Input[EMER_NEED])</f>
        <v>No</v>
      </c>
      <c r="G452">
        <f>IF(FME_Ranking!F452="Yes",100,0)</f>
        <v>0</v>
      </c>
      <c r="H452">
        <f>FME_Ranking1[[#This Row],[Emergency Need Score (Normalized, Unweighted)]]*$F$3</f>
        <v>0</v>
      </c>
      <c r="I452" s="246">
        <f>_xlfn.XLOOKUP(FME_Ranking1[[#This Row],[FME ID]],FME_Input[FME_ID],FME_Input[STRUCT_100])</f>
        <v>405</v>
      </c>
      <c r="J452" s="178">
        <f>(FME_Ranking1[[#This Row],[Structures 100 Raw]]/I$2)*100</f>
        <v>0.21687443773293918</v>
      </c>
      <c r="K452" s="178">
        <f>FME_Ranking1[[#This Row],[Structures 100  Score (Normalized, Unweighted)]]*$I$3</f>
        <v>3.2531165659940874E-2</v>
      </c>
      <c r="L452" s="246">
        <f>_xlfn.XLOOKUP(FME_Ranking1[[#This Row],[FME ID]],FME_Input[FME_ID],FME_Input[RES_STRUCT100])</f>
        <v>360</v>
      </c>
      <c r="M452" s="230">
        <f>(FME_Ranking1[[#This Row],[Res Structures Raw]]/L$2)*100</f>
        <v>0.2549900128911618</v>
      </c>
      <c r="N452" s="180">
        <f>FME_Ranking1[[#This Row],[Res Structures Score (Normalized, Unweighted)]]*$L$3</f>
        <v>2.5499001289116183E-2</v>
      </c>
      <c r="O452" s="244">
        <f>_xlfn.XLOOKUP(FME_Ranking1[[#This Row],[FME ID]],FME_Input[FME_ID],FME_Input[POP100])</f>
        <v>4090</v>
      </c>
      <c r="P452" s="178">
        <f>(FME_Ranking1[[#This Row],[Pop Raw]]/$O$2)*100</f>
        <v>0.41871502603404182</v>
      </c>
      <c r="Q452" s="178">
        <f>FME_Ranking1[[#This Row],[Pop Score (Normalized, Unweighted)]]*$O$3</f>
        <v>6.2807253905106275E-2</v>
      </c>
      <c r="R452" s="137">
        <f>_xlfn.XLOOKUP(FME_Ranking1[[#This Row],[FME ID]],FME_Input[FME_ID],FME_Input[CRITFAC100])</f>
        <v>8</v>
      </c>
      <c r="S452" s="230">
        <f>(FME_Ranking1[[#This Row],[Critical Facilities Raw]]/$R$2)*100</f>
        <v>0.34305317324185247</v>
      </c>
      <c r="T452" s="180">
        <f>FME_Ranking1[[#This Row],[Critical Facilities Score (Normalized, Unweighted)]]*$R$3</f>
        <v>6.86106346483705E-2</v>
      </c>
      <c r="U452">
        <f>_xlfn.XLOOKUP(FME_Ranking1[[#This Row],[FME ID]],FME_Input[FME_ID],FME_Input[LWC])</f>
        <v>16</v>
      </c>
      <c r="V452" s="178">
        <f>(FME_Ranking1[[#This Row],[LWC Raw]]/$U$2)*100</f>
        <v>0.92112838226827876</v>
      </c>
      <c r="W452" s="178">
        <f>FME_Ranking1[[#This Row],[LWC Score (Normalized, Unweighted)]]*$U$3</f>
        <v>0.18422567645365576</v>
      </c>
      <c r="X452" s="246">
        <f>_xlfn.XLOOKUP(FME_Ranking1[[#This Row],[FME ID]],FME_Input[FME_ID],FME_Input[ROADCLS])</f>
        <v>0</v>
      </c>
      <c r="Y452" s="230">
        <f>(FME_Ranking1[[#This Row],[Closures Raw]]/$X$2)*100</f>
        <v>0</v>
      </c>
      <c r="Z452" s="180">
        <f>FME_Ranking1[[#This Row],[Closures Score (Normalized, Unweighted)]]*$X$3</f>
        <v>0</v>
      </c>
      <c r="AA452" s="253">
        <f>_xlfn.XLOOKUP(FME_Ranking1[[#This Row],[FME ID]],FME_Input[FME_ID],FME_Input[ROAD_MILES100])</f>
        <v>12.705129623413089</v>
      </c>
      <c r="AB452" s="178">
        <f>(FME_Ranking1[[#This Row],[Miles Raw]]/$AA$2)*100</f>
        <v>0.1670496668281089</v>
      </c>
      <c r="AC452" s="178">
        <f>FME_Ranking1[[#This Row],[Miles Score (Normalized, Unweighted)]]*$AA$3</f>
        <v>1.6704966682810889E-2</v>
      </c>
      <c r="AD452" s="255">
        <f>_xlfn.XLOOKUP(FME_Ranking1[[#This Row],[FME ID]],FME_Input[FME_ID],FME_Input[FARMACRE100])</f>
        <v>50.492229461669922</v>
      </c>
      <c r="AE452" s="230">
        <f>(FME_Ranking1[[#This Row],[Ag Land Raw]]/$AD$2)*100</f>
        <v>2.0820735143477938E-3</v>
      </c>
      <c r="AF452" s="231">
        <f>FME_Ranking1[[#This Row],[Ag Land Score (Normalized, Unweighted)]]*$AD$3</f>
        <v>1.0410367571738969E-4</v>
      </c>
      <c r="AG45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0.39048280231471788</v>
      </c>
      <c r="AH452" s="406">
        <f t="shared" si="6"/>
        <v>535</v>
      </c>
      <c r="AI45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0.39048280231471788</v>
      </c>
      <c r="AJ452" s="257">
        <f>FME_Ranking1[[#This Row],[Addition check]]-FME_Ranking1[[#This Row],[Weighted Score Based on Normalized Reported Factors]]</f>
        <v>0</v>
      </c>
      <c r="AK452" s="178">
        <f>_xlfn.RANK.EQ(AI452,$AI$6:$AI$2341,0)+COUNTIF($AI$6:AI452,AI452)-1</f>
        <v>536</v>
      </c>
    </row>
    <row r="453" spans="1:37" ht="12" customHeight="1" x14ac:dyDescent="0.25">
      <c r="A453" t="s">
        <v>4846</v>
      </c>
      <c r="B453">
        <f>_xlfn.XLOOKUP(FME_Ranking1[[#This Row],[FME ID]],FME_Input[FME_ID],FME_Input[RFPG_NUM])</f>
        <v>3</v>
      </c>
      <c r="C453" t="str">
        <f>_xlfn.XLOOKUP(FME_Ranking1[[#This Row],[FME ID]],FME_Input[FME_ID],FME_Input[FME_NAME])</f>
        <v>Johnson Creek Avenue J Stabilization</v>
      </c>
      <c r="D453" t="str">
        <f>_xlfn.XLOOKUP(FME_Ranking1[[#This Row],[FME ID]],FME_Input[FME_ID],FME_Input[DESCR])</f>
        <v>Bridge abutment repair and channel bank stabilization; Estimated construction cost of $168,500</v>
      </c>
      <c r="E453" s="256">
        <f>_xlfn.XLOOKUP(FME_Ranking1[[#This Row],[FME ID]],FME_Input[FME_ID],FME_Input[FME_COST])</f>
        <v>250000</v>
      </c>
      <c r="F453" t="str">
        <f>_xlfn.XLOOKUP(FME_Ranking1[[#This Row],[FME ID]],FME_Input[FME_ID],FME_Input[EMER_NEED])</f>
        <v>No</v>
      </c>
      <c r="G453">
        <f>IF(FME_Ranking!F453="Yes",100,0)</f>
        <v>0</v>
      </c>
      <c r="H453">
        <f>FME_Ranking1[[#This Row],[Emergency Need Score (Normalized, Unweighted)]]*$F$3</f>
        <v>0</v>
      </c>
      <c r="I453" s="246">
        <f>_xlfn.XLOOKUP(FME_Ranking1[[#This Row],[FME ID]],FME_Input[FME_ID],FME_Input[STRUCT_100])</f>
        <v>405</v>
      </c>
      <c r="J453" s="178">
        <f>(FME_Ranking1[[#This Row],[Structures 100 Raw]]/I$2)*100</f>
        <v>0.21687443773293918</v>
      </c>
      <c r="K453" s="178">
        <f>FME_Ranking1[[#This Row],[Structures 100  Score (Normalized, Unweighted)]]*$I$3</f>
        <v>3.2531165659940874E-2</v>
      </c>
      <c r="L453" s="246">
        <f>_xlfn.XLOOKUP(FME_Ranking1[[#This Row],[FME ID]],FME_Input[FME_ID],FME_Input[RES_STRUCT100])</f>
        <v>360</v>
      </c>
      <c r="M453" s="230">
        <f>(FME_Ranking1[[#This Row],[Res Structures Raw]]/L$2)*100</f>
        <v>0.2549900128911618</v>
      </c>
      <c r="N453" s="180">
        <f>FME_Ranking1[[#This Row],[Res Structures Score (Normalized, Unweighted)]]*$L$3</f>
        <v>2.5499001289116183E-2</v>
      </c>
      <c r="O453" s="244">
        <f>_xlfn.XLOOKUP(FME_Ranking1[[#This Row],[FME ID]],FME_Input[FME_ID],FME_Input[POP100])</f>
        <v>4090</v>
      </c>
      <c r="P453" s="178">
        <f>(FME_Ranking1[[#This Row],[Pop Raw]]/$O$2)*100</f>
        <v>0.41871502603404182</v>
      </c>
      <c r="Q453" s="178">
        <f>FME_Ranking1[[#This Row],[Pop Score (Normalized, Unweighted)]]*$O$3</f>
        <v>6.2807253905106275E-2</v>
      </c>
      <c r="R453" s="137">
        <f>_xlfn.XLOOKUP(FME_Ranking1[[#This Row],[FME ID]],FME_Input[FME_ID],FME_Input[CRITFAC100])</f>
        <v>8</v>
      </c>
      <c r="S453" s="230">
        <f>(FME_Ranking1[[#This Row],[Critical Facilities Raw]]/$R$2)*100</f>
        <v>0.34305317324185247</v>
      </c>
      <c r="T453" s="180">
        <f>FME_Ranking1[[#This Row],[Critical Facilities Score (Normalized, Unweighted)]]*$R$3</f>
        <v>6.86106346483705E-2</v>
      </c>
      <c r="U453">
        <f>_xlfn.XLOOKUP(FME_Ranking1[[#This Row],[FME ID]],FME_Input[FME_ID],FME_Input[LWC])</f>
        <v>16</v>
      </c>
      <c r="V453" s="178">
        <f>(FME_Ranking1[[#This Row],[LWC Raw]]/$U$2)*100</f>
        <v>0.92112838226827876</v>
      </c>
      <c r="W453" s="178">
        <f>FME_Ranking1[[#This Row],[LWC Score (Normalized, Unweighted)]]*$U$3</f>
        <v>0.18422567645365576</v>
      </c>
      <c r="X453" s="246">
        <f>_xlfn.XLOOKUP(FME_Ranking1[[#This Row],[FME ID]],FME_Input[FME_ID],FME_Input[ROADCLS])</f>
        <v>0</v>
      </c>
      <c r="Y453" s="230">
        <f>(FME_Ranking1[[#This Row],[Closures Raw]]/$X$2)*100</f>
        <v>0</v>
      </c>
      <c r="Z453" s="180">
        <f>FME_Ranking1[[#This Row],[Closures Score (Normalized, Unweighted)]]*$X$3</f>
        <v>0</v>
      </c>
      <c r="AA453" s="253">
        <f>_xlfn.XLOOKUP(FME_Ranking1[[#This Row],[FME ID]],FME_Input[FME_ID],FME_Input[ROAD_MILES100])</f>
        <v>12.705129623413089</v>
      </c>
      <c r="AB453" s="178">
        <f>(FME_Ranking1[[#This Row],[Miles Raw]]/$AA$2)*100</f>
        <v>0.1670496668281089</v>
      </c>
      <c r="AC453" s="178">
        <f>FME_Ranking1[[#This Row],[Miles Score (Normalized, Unweighted)]]*$AA$3</f>
        <v>1.6704966682810889E-2</v>
      </c>
      <c r="AD453" s="255">
        <f>_xlfn.XLOOKUP(FME_Ranking1[[#This Row],[FME ID]],FME_Input[FME_ID],FME_Input[FARMACRE100])</f>
        <v>50.492229461669922</v>
      </c>
      <c r="AE453" s="230">
        <f>(FME_Ranking1[[#This Row],[Ag Land Raw]]/$AD$2)*100</f>
        <v>2.0820735143477938E-3</v>
      </c>
      <c r="AF453" s="231">
        <f>FME_Ranking1[[#This Row],[Ag Land Score (Normalized, Unweighted)]]*$AD$3</f>
        <v>1.0410367571738969E-4</v>
      </c>
      <c r="AG45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0.39048280231471788</v>
      </c>
      <c r="AH453" s="406">
        <f t="shared" si="6"/>
        <v>535</v>
      </c>
      <c r="AI45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0.39048280231471788</v>
      </c>
      <c r="AJ453" s="257">
        <f>FME_Ranking1[[#This Row],[Addition check]]-FME_Ranking1[[#This Row],[Weighted Score Based on Normalized Reported Factors]]</f>
        <v>0</v>
      </c>
      <c r="AK453" s="178">
        <f>_xlfn.RANK.EQ(AI453,$AI$6:$AI$2341,0)+COUNTIF($AI$6:AI453,AI453)-1</f>
        <v>537</v>
      </c>
    </row>
    <row r="454" spans="1:37" ht="12" customHeight="1" x14ac:dyDescent="0.25">
      <c r="A454" t="s">
        <v>5057</v>
      </c>
      <c r="B454">
        <f>_xlfn.XLOOKUP(FME_Ranking1[[#This Row],[FME ID]],FME_Input[FME_ID],FME_Input[RFPG_NUM])</f>
        <v>3</v>
      </c>
      <c r="C454" t="str">
        <f>_xlfn.XLOOKUP(FME_Ranking1[[#This Row],[FME ID]],FME_Input[FME_ID],FME_Input[FME_NAME])</f>
        <v>Johnson Creek Stabilization</v>
      </c>
      <c r="D454" t="str">
        <f>_xlfn.XLOOKUP(FME_Ranking1[[#This Row],[FME ID]],FME_Input[FME_ID],FME_Input[DESCR])</f>
        <v>Replacement of failed inline channel structure east of SH 161 and sediment removal; Estimated construction cost of $1,979,000; south channel bank stabilization north of Babbling Brook from Quest to Shadow Pass; Estimated construction cost of $831,700</v>
      </c>
      <c r="E454" s="256">
        <f>_xlfn.XLOOKUP(FME_Ranking1[[#This Row],[FME ID]],FME_Input[FME_ID],FME_Input[FME_COST])</f>
        <v>250000</v>
      </c>
      <c r="F454" t="str">
        <f>_xlfn.XLOOKUP(FME_Ranking1[[#This Row],[FME ID]],FME_Input[FME_ID],FME_Input[EMER_NEED])</f>
        <v>No</v>
      </c>
      <c r="G454">
        <f>IF(FME_Ranking!F454="Yes",100,0)</f>
        <v>0</v>
      </c>
      <c r="H454">
        <f>FME_Ranking1[[#This Row],[Emergency Need Score (Normalized, Unweighted)]]*$F$3</f>
        <v>0</v>
      </c>
      <c r="I454" s="246">
        <f>_xlfn.XLOOKUP(FME_Ranking1[[#This Row],[FME ID]],FME_Input[FME_ID],FME_Input[STRUCT_100])</f>
        <v>405</v>
      </c>
      <c r="J454" s="178">
        <f>(FME_Ranking1[[#This Row],[Structures 100 Raw]]/I$2)*100</f>
        <v>0.21687443773293918</v>
      </c>
      <c r="K454" s="178">
        <f>FME_Ranking1[[#This Row],[Structures 100  Score (Normalized, Unweighted)]]*$I$3</f>
        <v>3.2531165659940874E-2</v>
      </c>
      <c r="L454" s="246">
        <f>_xlfn.XLOOKUP(FME_Ranking1[[#This Row],[FME ID]],FME_Input[FME_ID],FME_Input[RES_STRUCT100])</f>
        <v>360</v>
      </c>
      <c r="M454" s="230">
        <f>(FME_Ranking1[[#This Row],[Res Structures Raw]]/L$2)*100</f>
        <v>0.2549900128911618</v>
      </c>
      <c r="N454" s="180">
        <f>FME_Ranking1[[#This Row],[Res Structures Score (Normalized, Unweighted)]]*$L$3</f>
        <v>2.5499001289116183E-2</v>
      </c>
      <c r="O454" s="244">
        <f>_xlfn.XLOOKUP(FME_Ranking1[[#This Row],[FME ID]],FME_Input[FME_ID],FME_Input[POP100])</f>
        <v>4090</v>
      </c>
      <c r="P454" s="178">
        <f>(FME_Ranking1[[#This Row],[Pop Raw]]/$O$2)*100</f>
        <v>0.41871502603404182</v>
      </c>
      <c r="Q454" s="178">
        <f>FME_Ranking1[[#This Row],[Pop Score (Normalized, Unweighted)]]*$O$3</f>
        <v>6.2807253905106275E-2</v>
      </c>
      <c r="R454" s="137">
        <f>_xlfn.XLOOKUP(FME_Ranking1[[#This Row],[FME ID]],FME_Input[FME_ID],FME_Input[CRITFAC100])</f>
        <v>8</v>
      </c>
      <c r="S454" s="230">
        <f>(FME_Ranking1[[#This Row],[Critical Facilities Raw]]/$R$2)*100</f>
        <v>0.34305317324185247</v>
      </c>
      <c r="T454" s="180">
        <f>FME_Ranking1[[#This Row],[Critical Facilities Score (Normalized, Unweighted)]]*$R$3</f>
        <v>6.86106346483705E-2</v>
      </c>
      <c r="U454">
        <f>_xlfn.XLOOKUP(FME_Ranking1[[#This Row],[FME ID]],FME_Input[FME_ID],FME_Input[LWC])</f>
        <v>16</v>
      </c>
      <c r="V454" s="178">
        <f>(FME_Ranking1[[#This Row],[LWC Raw]]/$U$2)*100</f>
        <v>0.92112838226827876</v>
      </c>
      <c r="W454" s="178">
        <f>FME_Ranking1[[#This Row],[LWC Score (Normalized, Unweighted)]]*$U$3</f>
        <v>0.18422567645365576</v>
      </c>
      <c r="X454" s="246">
        <f>_xlfn.XLOOKUP(FME_Ranking1[[#This Row],[FME ID]],FME_Input[FME_ID],FME_Input[ROADCLS])</f>
        <v>0</v>
      </c>
      <c r="Y454" s="230">
        <f>(FME_Ranking1[[#This Row],[Closures Raw]]/$X$2)*100</f>
        <v>0</v>
      </c>
      <c r="Z454" s="180">
        <f>FME_Ranking1[[#This Row],[Closures Score (Normalized, Unweighted)]]*$X$3</f>
        <v>0</v>
      </c>
      <c r="AA454" s="253">
        <f>_xlfn.XLOOKUP(FME_Ranking1[[#This Row],[FME ID]],FME_Input[FME_ID],FME_Input[ROAD_MILES100])</f>
        <v>12.705129623413089</v>
      </c>
      <c r="AB454" s="178">
        <f>(FME_Ranking1[[#This Row],[Miles Raw]]/$AA$2)*100</f>
        <v>0.1670496668281089</v>
      </c>
      <c r="AC454" s="178">
        <f>FME_Ranking1[[#This Row],[Miles Score (Normalized, Unweighted)]]*$AA$3</f>
        <v>1.6704966682810889E-2</v>
      </c>
      <c r="AD454" s="255">
        <f>_xlfn.XLOOKUP(FME_Ranking1[[#This Row],[FME ID]],FME_Input[FME_ID],FME_Input[FARMACRE100])</f>
        <v>50.492229461669922</v>
      </c>
      <c r="AE454" s="230">
        <f>(FME_Ranking1[[#This Row],[Ag Land Raw]]/$AD$2)*100</f>
        <v>2.0820735143477938E-3</v>
      </c>
      <c r="AF454" s="231">
        <f>FME_Ranking1[[#This Row],[Ag Land Score (Normalized, Unweighted)]]*$AD$3</f>
        <v>1.0410367571738969E-4</v>
      </c>
      <c r="AG45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0.39048280231471788</v>
      </c>
      <c r="AH454" s="406">
        <f t="shared" ref="AH454:AH517" si="7">_xlfn.RANK.EQ(AG454,$AG$6:$AG$2341,0)</f>
        <v>535</v>
      </c>
      <c r="AI45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0.39048280231471788</v>
      </c>
      <c r="AJ454" s="257">
        <f>FME_Ranking1[[#This Row],[Addition check]]-FME_Ranking1[[#This Row],[Weighted Score Based on Normalized Reported Factors]]</f>
        <v>0</v>
      </c>
      <c r="AK454" s="178">
        <f>_xlfn.RANK.EQ(AI454,$AI$6:$AI$2341,0)+COUNTIF($AI$6:AI454,AI454)-1</f>
        <v>538</v>
      </c>
    </row>
    <row r="455" spans="1:37" ht="12" customHeight="1" x14ac:dyDescent="0.25">
      <c r="A455" t="s">
        <v>5410</v>
      </c>
      <c r="B455">
        <f>_xlfn.XLOOKUP(FME_Ranking1[[#This Row],[FME ID]],FME_Input[FME_ID],FME_Input[RFPG_NUM])</f>
        <v>3</v>
      </c>
      <c r="C455" t="str">
        <f>_xlfn.XLOOKUP(FME_Ranking1[[#This Row],[FME ID]],FME_Input[FME_ID],FME_Input[FME_NAME])</f>
        <v xml:space="preserve">Arbor Creek Channel Bottom Stabilization </v>
      </c>
      <c r="D455" t="str">
        <f>_xlfn.XLOOKUP(FME_Ranking1[[#This Row],[FME ID]],FME_Input[FME_ID],FME_Input[DESCR])</f>
        <v>Channelization, Stabilization, and Bank Armoring from SH 161 East to Johnson Creek Confluence; Estimated construction cost of $2,096,900; from Duncan Perry to SH 161; Estimated construction cost of $991,600</v>
      </c>
      <c r="E455" s="256">
        <f>_xlfn.XLOOKUP(FME_Ranking1[[#This Row],[FME ID]],FME_Input[FME_ID],FME_Input[FME_COST])</f>
        <v>250000</v>
      </c>
      <c r="F455" t="str">
        <f>_xlfn.XLOOKUP(FME_Ranking1[[#This Row],[FME ID]],FME_Input[FME_ID],FME_Input[EMER_NEED])</f>
        <v>No</v>
      </c>
      <c r="G455">
        <f>IF(FME_Ranking!F455="Yes",100,0)</f>
        <v>0</v>
      </c>
      <c r="H455">
        <f>FME_Ranking1[[#This Row],[Emergency Need Score (Normalized, Unweighted)]]*$F$3</f>
        <v>0</v>
      </c>
      <c r="I455" s="246">
        <f>_xlfn.XLOOKUP(FME_Ranking1[[#This Row],[FME ID]],FME_Input[FME_ID],FME_Input[STRUCT_100])</f>
        <v>405</v>
      </c>
      <c r="J455" s="178">
        <f>(FME_Ranking1[[#This Row],[Structures 100 Raw]]/I$2)*100</f>
        <v>0.21687443773293918</v>
      </c>
      <c r="K455" s="178">
        <f>FME_Ranking1[[#This Row],[Structures 100  Score (Normalized, Unweighted)]]*$I$3</f>
        <v>3.2531165659940874E-2</v>
      </c>
      <c r="L455" s="246">
        <f>_xlfn.XLOOKUP(FME_Ranking1[[#This Row],[FME ID]],FME_Input[FME_ID],FME_Input[RES_STRUCT100])</f>
        <v>360</v>
      </c>
      <c r="M455" s="230">
        <f>(FME_Ranking1[[#This Row],[Res Structures Raw]]/L$2)*100</f>
        <v>0.2549900128911618</v>
      </c>
      <c r="N455" s="180">
        <f>FME_Ranking1[[#This Row],[Res Structures Score (Normalized, Unweighted)]]*$L$3</f>
        <v>2.5499001289116183E-2</v>
      </c>
      <c r="O455" s="244">
        <f>_xlfn.XLOOKUP(FME_Ranking1[[#This Row],[FME ID]],FME_Input[FME_ID],FME_Input[POP100])</f>
        <v>4090</v>
      </c>
      <c r="P455" s="178">
        <f>(FME_Ranking1[[#This Row],[Pop Raw]]/$O$2)*100</f>
        <v>0.41871502603404182</v>
      </c>
      <c r="Q455" s="178">
        <f>FME_Ranking1[[#This Row],[Pop Score (Normalized, Unweighted)]]*$O$3</f>
        <v>6.2807253905106275E-2</v>
      </c>
      <c r="R455" s="137">
        <f>_xlfn.XLOOKUP(FME_Ranking1[[#This Row],[FME ID]],FME_Input[FME_ID],FME_Input[CRITFAC100])</f>
        <v>8</v>
      </c>
      <c r="S455" s="230">
        <f>(FME_Ranking1[[#This Row],[Critical Facilities Raw]]/$R$2)*100</f>
        <v>0.34305317324185247</v>
      </c>
      <c r="T455" s="180">
        <f>FME_Ranking1[[#This Row],[Critical Facilities Score (Normalized, Unweighted)]]*$R$3</f>
        <v>6.86106346483705E-2</v>
      </c>
      <c r="U455">
        <f>_xlfn.XLOOKUP(FME_Ranking1[[#This Row],[FME ID]],FME_Input[FME_ID],FME_Input[LWC])</f>
        <v>16</v>
      </c>
      <c r="V455" s="178">
        <f>(FME_Ranking1[[#This Row],[LWC Raw]]/$U$2)*100</f>
        <v>0.92112838226827876</v>
      </c>
      <c r="W455" s="178">
        <f>FME_Ranking1[[#This Row],[LWC Score (Normalized, Unweighted)]]*$U$3</f>
        <v>0.18422567645365576</v>
      </c>
      <c r="X455" s="246">
        <f>_xlfn.XLOOKUP(FME_Ranking1[[#This Row],[FME ID]],FME_Input[FME_ID],FME_Input[ROADCLS])</f>
        <v>0</v>
      </c>
      <c r="Y455" s="230">
        <f>(FME_Ranking1[[#This Row],[Closures Raw]]/$X$2)*100</f>
        <v>0</v>
      </c>
      <c r="Z455" s="180">
        <f>FME_Ranking1[[#This Row],[Closures Score (Normalized, Unweighted)]]*$X$3</f>
        <v>0</v>
      </c>
      <c r="AA455" s="253">
        <f>_xlfn.XLOOKUP(FME_Ranking1[[#This Row],[FME ID]],FME_Input[FME_ID],FME_Input[ROAD_MILES100])</f>
        <v>12.705129623413089</v>
      </c>
      <c r="AB455" s="178">
        <f>(FME_Ranking1[[#This Row],[Miles Raw]]/$AA$2)*100</f>
        <v>0.1670496668281089</v>
      </c>
      <c r="AC455" s="178">
        <f>FME_Ranking1[[#This Row],[Miles Score (Normalized, Unweighted)]]*$AA$3</f>
        <v>1.6704966682810889E-2</v>
      </c>
      <c r="AD455" s="255">
        <f>_xlfn.XLOOKUP(FME_Ranking1[[#This Row],[FME ID]],FME_Input[FME_ID],FME_Input[FARMACRE100])</f>
        <v>50.492229461669922</v>
      </c>
      <c r="AE455" s="230">
        <f>(FME_Ranking1[[#This Row],[Ag Land Raw]]/$AD$2)*100</f>
        <v>2.0820735143477938E-3</v>
      </c>
      <c r="AF455" s="231">
        <f>FME_Ranking1[[#This Row],[Ag Land Score (Normalized, Unweighted)]]*$AD$3</f>
        <v>1.0410367571738969E-4</v>
      </c>
      <c r="AG45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0.39048280231471788</v>
      </c>
      <c r="AH455" s="406">
        <f t="shared" si="7"/>
        <v>535</v>
      </c>
      <c r="AI45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0.39048280231471788</v>
      </c>
      <c r="AJ455" s="257">
        <f>FME_Ranking1[[#This Row],[Addition check]]-FME_Ranking1[[#This Row],[Weighted Score Based on Normalized Reported Factors]]</f>
        <v>0</v>
      </c>
      <c r="AK455" s="178">
        <f>_xlfn.RANK.EQ(AI455,$AI$6:$AI$2341,0)+COUNTIF($AI$6:AI455,AI455)-1</f>
        <v>539</v>
      </c>
    </row>
    <row r="456" spans="1:37" ht="12" customHeight="1" x14ac:dyDescent="0.25">
      <c r="A456" t="s">
        <v>5426</v>
      </c>
      <c r="B456">
        <f>_xlfn.XLOOKUP(FME_Ranking1[[#This Row],[FME ID]],FME_Input[FME_ID],FME_Input[RFPG_NUM])</f>
        <v>3</v>
      </c>
      <c r="C456" t="str">
        <f>_xlfn.XLOOKUP(FME_Ranking1[[#This Row],[FME ID]],FME_Input[FME_ID],FME_Input[FME_NAME])</f>
        <v xml:space="preserve">Duncan Perry Rd, Heritage Court and Goodwin Branch </v>
      </c>
      <c r="D456" t="str">
        <f>_xlfn.XLOOKUP(FME_Ranking1[[#This Row],[FME ID]],FME_Input[FME_ID],FME_Input[DESCR])</f>
        <v>Study update - Storm Drain Improvements; Estimated construction cost of $1,175,300</v>
      </c>
      <c r="E456" s="256">
        <f>_xlfn.XLOOKUP(FME_Ranking1[[#This Row],[FME ID]],FME_Input[FME_ID],FME_Input[FME_COST])</f>
        <v>250000</v>
      </c>
      <c r="F456" t="str">
        <f>_xlfn.XLOOKUP(FME_Ranking1[[#This Row],[FME ID]],FME_Input[FME_ID],FME_Input[EMER_NEED])</f>
        <v>No</v>
      </c>
      <c r="G456">
        <f>IF(FME_Ranking!F456="Yes",100,0)</f>
        <v>0</v>
      </c>
      <c r="H456">
        <f>FME_Ranking1[[#This Row],[Emergency Need Score (Normalized, Unweighted)]]*$F$3</f>
        <v>0</v>
      </c>
      <c r="I456" s="246">
        <f>_xlfn.XLOOKUP(FME_Ranking1[[#This Row],[FME ID]],FME_Input[FME_ID],FME_Input[STRUCT_100])</f>
        <v>405</v>
      </c>
      <c r="J456" s="178">
        <f>(FME_Ranking1[[#This Row],[Structures 100 Raw]]/I$2)*100</f>
        <v>0.21687443773293918</v>
      </c>
      <c r="K456" s="178">
        <f>FME_Ranking1[[#This Row],[Structures 100  Score (Normalized, Unweighted)]]*$I$3</f>
        <v>3.2531165659940874E-2</v>
      </c>
      <c r="L456" s="246">
        <f>_xlfn.XLOOKUP(FME_Ranking1[[#This Row],[FME ID]],FME_Input[FME_ID],FME_Input[RES_STRUCT100])</f>
        <v>360</v>
      </c>
      <c r="M456" s="230">
        <f>(FME_Ranking1[[#This Row],[Res Structures Raw]]/L$2)*100</f>
        <v>0.2549900128911618</v>
      </c>
      <c r="N456" s="180">
        <f>FME_Ranking1[[#This Row],[Res Structures Score (Normalized, Unweighted)]]*$L$3</f>
        <v>2.5499001289116183E-2</v>
      </c>
      <c r="O456" s="244">
        <f>_xlfn.XLOOKUP(FME_Ranking1[[#This Row],[FME ID]],FME_Input[FME_ID],FME_Input[POP100])</f>
        <v>4090</v>
      </c>
      <c r="P456" s="178">
        <f>(FME_Ranking1[[#This Row],[Pop Raw]]/$O$2)*100</f>
        <v>0.41871502603404182</v>
      </c>
      <c r="Q456" s="178">
        <f>FME_Ranking1[[#This Row],[Pop Score (Normalized, Unweighted)]]*$O$3</f>
        <v>6.2807253905106275E-2</v>
      </c>
      <c r="R456" s="137">
        <f>_xlfn.XLOOKUP(FME_Ranking1[[#This Row],[FME ID]],FME_Input[FME_ID],FME_Input[CRITFAC100])</f>
        <v>8</v>
      </c>
      <c r="S456" s="230">
        <f>(FME_Ranking1[[#This Row],[Critical Facilities Raw]]/$R$2)*100</f>
        <v>0.34305317324185247</v>
      </c>
      <c r="T456" s="180">
        <f>FME_Ranking1[[#This Row],[Critical Facilities Score (Normalized, Unweighted)]]*$R$3</f>
        <v>6.86106346483705E-2</v>
      </c>
      <c r="U456">
        <f>_xlfn.XLOOKUP(FME_Ranking1[[#This Row],[FME ID]],FME_Input[FME_ID],FME_Input[LWC])</f>
        <v>16</v>
      </c>
      <c r="V456" s="178">
        <f>(FME_Ranking1[[#This Row],[LWC Raw]]/$U$2)*100</f>
        <v>0.92112838226827876</v>
      </c>
      <c r="W456" s="178">
        <f>FME_Ranking1[[#This Row],[LWC Score (Normalized, Unweighted)]]*$U$3</f>
        <v>0.18422567645365576</v>
      </c>
      <c r="X456" s="246">
        <f>_xlfn.XLOOKUP(FME_Ranking1[[#This Row],[FME ID]],FME_Input[FME_ID],FME_Input[ROADCLS])</f>
        <v>0</v>
      </c>
      <c r="Y456" s="230">
        <f>(FME_Ranking1[[#This Row],[Closures Raw]]/$X$2)*100</f>
        <v>0</v>
      </c>
      <c r="Z456" s="180">
        <f>FME_Ranking1[[#This Row],[Closures Score (Normalized, Unweighted)]]*$X$3</f>
        <v>0</v>
      </c>
      <c r="AA456" s="253">
        <f>_xlfn.XLOOKUP(FME_Ranking1[[#This Row],[FME ID]],FME_Input[FME_ID],FME_Input[ROAD_MILES100])</f>
        <v>12.705129623413089</v>
      </c>
      <c r="AB456" s="178">
        <f>(FME_Ranking1[[#This Row],[Miles Raw]]/$AA$2)*100</f>
        <v>0.1670496668281089</v>
      </c>
      <c r="AC456" s="178">
        <f>FME_Ranking1[[#This Row],[Miles Score (Normalized, Unweighted)]]*$AA$3</f>
        <v>1.6704966682810889E-2</v>
      </c>
      <c r="AD456" s="255">
        <f>_xlfn.XLOOKUP(FME_Ranking1[[#This Row],[FME ID]],FME_Input[FME_ID],FME_Input[FARMACRE100])</f>
        <v>50.492229461669922</v>
      </c>
      <c r="AE456" s="230">
        <f>(FME_Ranking1[[#This Row],[Ag Land Raw]]/$AD$2)*100</f>
        <v>2.0820735143477938E-3</v>
      </c>
      <c r="AF456" s="231">
        <f>FME_Ranking1[[#This Row],[Ag Land Score (Normalized, Unweighted)]]*$AD$3</f>
        <v>1.0410367571738969E-4</v>
      </c>
      <c r="AG45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0.39048280231471788</v>
      </c>
      <c r="AH456" s="406">
        <f t="shared" si="7"/>
        <v>535</v>
      </c>
      <c r="AI45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0.39048280231471788</v>
      </c>
      <c r="AJ456" s="257">
        <f>FME_Ranking1[[#This Row],[Addition check]]-FME_Ranking1[[#This Row],[Weighted Score Based on Normalized Reported Factors]]</f>
        <v>0</v>
      </c>
      <c r="AK456" s="178">
        <f>_xlfn.RANK.EQ(AI456,$AI$6:$AI$2341,0)+COUNTIF($AI$6:AI456,AI456)-1</f>
        <v>540</v>
      </c>
    </row>
    <row r="457" spans="1:37" ht="12" customHeight="1" x14ac:dyDescent="0.25">
      <c r="A457" t="s">
        <v>7536</v>
      </c>
      <c r="B457">
        <f>_xlfn.XLOOKUP(FME_Ranking1[[#This Row],[FME ID]],FME_Input[FME_ID],FME_Input[RFPG_NUM])</f>
        <v>8</v>
      </c>
      <c r="C457" t="str">
        <f>_xlfn.XLOOKUP(FME_Ranking1[[#This Row],[FME ID]],FME_Input[FME_ID],FME_Input[FME_NAME])</f>
        <v>Covington Woods Jess Pirtle Bridge Channel Improvements</v>
      </c>
      <c r="D457" t="str">
        <f>_xlfn.XLOOKUP(FME_Ranking1[[#This Row],[FME ID]],FME_Input[FME_ID],FME_Input[DESCR])</f>
        <v>Determination of necessary repairs to ditch A-22 channel flow line</v>
      </c>
      <c r="E457" s="256">
        <f>_xlfn.XLOOKUP(FME_Ranking1[[#This Row],[FME ID]],FME_Input[FME_ID],FME_Input[FME_COST])</f>
        <v>111000</v>
      </c>
      <c r="F457" t="str">
        <f>_xlfn.XLOOKUP(FME_Ranking1[[#This Row],[FME ID]],FME_Input[FME_ID],FME_Input[EMER_NEED])</f>
        <v>No</v>
      </c>
      <c r="G457">
        <f>IF(FME_Ranking!F457="Yes",100,0)</f>
        <v>0</v>
      </c>
      <c r="H457">
        <f>FME_Ranking1[[#This Row],[Emergency Need Score (Normalized, Unweighted)]]*$F$3</f>
        <v>0</v>
      </c>
      <c r="I457" s="246">
        <f>_xlfn.XLOOKUP(FME_Ranking1[[#This Row],[FME ID]],FME_Input[FME_ID],FME_Input[STRUCT_100])</f>
        <v>1300</v>
      </c>
      <c r="J457" s="178">
        <f>(FME_Ranking1[[#This Row],[Structures 100 Raw]]/I$2)*100</f>
        <v>0.69614017050079247</v>
      </c>
      <c r="K457" s="178">
        <f>FME_Ranking1[[#This Row],[Structures 100  Score (Normalized, Unweighted)]]*$I$3</f>
        <v>0.10442102557511887</v>
      </c>
      <c r="L457" s="246">
        <f>_xlfn.XLOOKUP(FME_Ranking1[[#This Row],[FME ID]],FME_Input[FME_ID],FME_Input[RES_STRUCT100])</f>
        <v>1205</v>
      </c>
      <c r="M457" s="230">
        <f>(FME_Ranking1[[#This Row],[Res Structures Raw]]/L$2)*100</f>
        <v>0.8535082375940275</v>
      </c>
      <c r="N457" s="180">
        <f>FME_Ranking1[[#This Row],[Res Structures Score (Normalized, Unweighted)]]*$L$3</f>
        <v>8.5350823759402755E-2</v>
      </c>
      <c r="O457" s="244">
        <f>_xlfn.XLOOKUP(FME_Ranking1[[#This Row],[FME ID]],FME_Input[FME_ID],FME_Input[POP100])</f>
        <v>5682</v>
      </c>
      <c r="P457" s="178">
        <f>(FME_Ranking1[[#This Row],[Pop Raw]]/$O$2)*100</f>
        <v>0.58169652272015293</v>
      </c>
      <c r="Q457" s="178">
        <f>FME_Ranking1[[#This Row],[Pop Score (Normalized, Unweighted)]]*$O$3</f>
        <v>8.7254478408022931E-2</v>
      </c>
      <c r="R457" s="137">
        <f>_xlfn.XLOOKUP(FME_Ranking1[[#This Row],[FME ID]],FME_Input[FME_ID],FME_Input[CRITFAC100])</f>
        <v>2</v>
      </c>
      <c r="S457" s="230">
        <f>(FME_Ranking1[[#This Row],[Critical Facilities Raw]]/$R$2)*100</f>
        <v>8.5763293310463118E-2</v>
      </c>
      <c r="T457" s="180">
        <f>FME_Ranking1[[#This Row],[Critical Facilities Score (Normalized, Unweighted)]]*$R$3</f>
        <v>1.7152658662092625E-2</v>
      </c>
      <c r="U457">
        <f>_xlfn.XLOOKUP(FME_Ranking1[[#This Row],[FME ID]],FME_Input[FME_ID],FME_Input[LWC])</f>
        <v>0</v>
      </c>
      <c r="V457" s="178">
        <f>(FME_Ranking1[[#This Row],[LWC Raw]]/$U$2)*100</f>
        <v>0</v>
      </c>
      <c r="W457" s="178">
        <f>FME_Ranking1[[#This Row],[LWC Score (Normalized, Unweighted)]]*$U$3</f>
        <v>0</v>
      </c>
      <c r="X457" s="246">
        <f>_xlfn.XLOOKUP(FME_Ranking1[[#This Row],[FME ID]],FME_Input[FME_ID],FME_Input[ROADCLS])</f>
        <v>143</v>
      </c>
      <c r="Y457" s="230">
        <f>(FME_Ranking1[[#This Row],[Closures Raw]]/$X$2)*100</f>
        <v>1.5035222374093156</v>
      </c>
      <c r="Z457" s="180">
        <f>FME_Ranking1[[#This Row],[Closures Score (Normalized, Unweighted)]]*$X$3</f>
        <v>7.5176111870465787E-2</v>
      </c>
      <c r="AA457" s="253">
        <f>_xlfn.XLOOKUP(FME_Ranking1[[#This Row],[FME ID]],FME_Input[FME_ID],FME_Input[ROAD_MILES100])</f>
        <v>19.322700500488281</v>
      </c>
      <c r="AB457" s="178">
        <f>(FME_Ranking1[[#This Row],[Miles Raw]]/$AA$2)*100</f>
        <v>0.25405885469106887</v>
      </c>
      <c r="AC457" s="178">
        <f>FME_Ranking1[[#This Row],[Miles Score (Normalized, Unweighted)]]*$AA$3</f>
        <v>2.5405885469106888E-2</v>
      </c>
      <c r="AD457" s="255">
        <f>_xlfn.XLOOKUP(FME_Ranking1[[#This Row],[FME ID]],FME_Input[FME_ID],FME_Input[FARMACRE100])</f>
        <v>1142.650024414062</v>
      </c>
      <c r="AE457" s="230">
        <f>(FME_Ranking1[[#This Row],[Ag Land Raw]]/$AD$2)*100</f>
        <v>4.7117771929785883E-2</v>
      </c>
      <c r="AF457" s="231">
        <f>FME_Ranking1[[#This Row],[Ag Land Score (Normalized, Unweighted)]]*$AD$3</f>
        <v>2.3558885964892941E-3</v>
      </c>
      <c r="AG45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0.39711687234069915</v>
      </c>
      <c r="AH457" s="406">
        <f t="shared" si="7"/>
        <v>527</v>
      </c>
      <c r="AI45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0.39711687234069915</v>
      </c>
      <c r="AJ457" s="257">
        <f>FME_Ranking1[[#This Row],[Addition check]]-FME_Ranking1[[#This Row],[Weighted Score Based on Normalized Reported Factors]]</f>
        <v>0</v>
      </c>
      <c r="AK457" s="178">
        <f>_xlfn.RANK.EQ(AI457,$AI$6:$AI$2341,0)+COUNTIF($AI$6:AI457,AI457)-1</f>
        <v>527</v>
      </c>
    </row>
    <row r="458" spans="1:37" ht="12" customHeight="1" x14ac:dyDescent="0.25">
      <c r="A458" t="s">
        <v>7543</v>
      </c>
      <c r="B458">
        <f>_xlfn.XLOOKUP(FME_Ranking1[[#This Row],[FME ID]],FME_Input[FME_ID],FME_Input[RFPG_NUM])</f>
        <v>8</v>
      </c>
      <c r="C458" t="str">
        <f>_xlfn.XLOOKUP(FME_Ranking1[[#This Row],[FME ID]],FME_Input[FME_ID],FME_Input[FME_NAME])</f>
        <v>Sugar Lakes Drainage Improvements</v>
      </c>
      <c r="D458" t="str">
        <f>_xlfn.XLOOKUP(FME_Ranking1[[#This Row],[FME ID]],FME_Input[FME_ID],FME_Input[DESCR])</f>
        <v>Determination of necessary storm drain improvements and lake control structure modifications.</v>
      </c>
      <c r="E458" s="256">
        <f>_xlfn.XLOOKUP(FME_Ranking1[[#This Row],[FME ID]],FME_Input[FME_ID],FME_Input[FME_COST])</f>
        <v>348000</v>
      </c>
      <c r="F458" t="str">
        <f>_xlfn.XLOOKUP(FME_Ranking1[[#This Row],[FME ID]],FME_Input[FME_ID],FME_Input[EMER_NEED])</f>
        <v>No</v>
      </c>
      <c r="G458">
        <f>IF(FME_Ranking!F458="Yes",100,0)</f>
        <v>0</v>
      </c>
      <c r="H458">
        <f>FME_Ranking1[[#This Row],[Emergency Need Score (Normalized, Unweighted)]]*$F$3</f>
        <v>0</v>
      </c>
      <c r="I458" s="246">
        <f>_xlfn.XLOOKUP(FME_Ranking1[[#This Row],[FME ID]],FME_Input[FME_ID],FME_Input[STRUCT_100])</f>
        <v>1300</v>
      </c>
      <c r="J458" s="178">
        <f>(FME_Ranking1[[#This Row],[Structures 100 Raw]]/I$2)*100</f>
        <v>0.69614017050079247</v>
      </c>
      <c r="K458" s="178">
        <f>FME_Ranking1[[#This Row],[Structures 100  Score (Normalized, Unweighted)]]*$I$3</f>
        <v>0.10442102557511887</v>
      </c>
      <c r="L458" s="246">
        <f>_xlfn.XLOOKUP(FME_Ranking1[[#This Row],[FME ID]],FME_Input[FME_ID],FME_Input[RES_STRUCT100])</f>
        <v>1205</v>
      </c>
      <c r="M458" s="230">
        <f>(FME_Ranking1[[#This Row],[Res Structures Raw]]/L$2)*100</f>
        <v>0.8535082375940275</v>
      </c>
      <c r="N458" s="180">
        <f>FME_Ranking1[[#This Row],[Res Structures Score (Normalized, Unweighted)]]*$L$3</f>
        <v>8.5350823759402755E-2</v>
      </c>
      <c r="O458" s="244">
        <f>_xlfn.XLOOKUP(FME_Ranking1[[#This Row],[FME ID]],FME_Input[FME_ID],FME_Input[POP100])</f>
        <v>5682</v>
      </c>
      <c r="P458" s="178">
        <f>(FME_Ranking1[[#This Row],[Pop Raw]]/$O$2)*100</f>
        <v>0.58169652272015293</v>
      </c>
      <c r="Q458" s="178">
        <f>FME_Ranking1[[#This Row],[Pop Score (Normalized, Unweighted)]]*$O$3</f>
        <v>8.7254478408022931E-2</v>
      </c>
      <c r="R458" s="137">
        <f>_xlfn.XLOOKUP(FME_Ranking1[[#This Row],[FME ID]],FME_Input[FME_ID],FME_Input[CRITFAC100])</f>
        <v>2</v>
      </c>
      <c r="S458" s="230">
        <f>(FME_Ranking1[[#This Row],[Critical Facilities Raw]]/$R$2)*100</f>
        <v>8.5763293310463118E-2</v>
      </c>
      <c r="T458" s="180">
        <f>FME_Ranking1[[#This Row],[Critical Facilities Score (Normalized, Unweighted)]]*$R$3</f>
        <v>1.7152658662092625E-2</v>
      </c>
      <c r="U458">
        <f>_xlfn.XLOOKUP(FME_Ranking1[[#This Row],[FME ID]],FME_Input[FME_ID],FME_Input[LWC])</f>
        <v>0</v>
      </c>
      <c r="V458" s="178">
        <f>(FME_Ranking1[[#This Row],[LWC Raw]]/$U$2)*100</f>
        <v>0</v>
      </c>
      <c r="W458" s="178">
        <f>FME_Ranking1[[#This Row],[LWC Score (Normalized, Unweighted)]]*$U$3</f>
        <v>0</v>
      </c>
      <c r="X458" s="246">
        <f>_xlfn.XLOOKUP(FME_Ranking1[[#This Row],[FME ID]],FME_Input[FME_ID],FME_Input[ROADCLS])</f>
        <v>143</v>
      </c>
      <c r="Y458" s="230">
        <f>(FME_Ranking1[[#This Row],[Closures Raw]]/$X$2)*100</f>
        <v>1.5035222374093156</v>
      </c>
      <c r="Z458" s="180">
        <f>FME_Ranking1[[#This Row],[Closures Score (Normalized, Unweighted)]]*$X$3</f>
        <v>7.5176111870465787E-2</v>
      </c>
      <c r="AA458" s="253">
        <f>_xlfn.XLOOKUP(FME_Ranking1[[#This Row],[FME ID]],FME_Input[FME_ID],FME_Input[ROAD_MILES100])</f>
        <v>19.322700500488281</v>
      </c>
      <c r="AB458" s="178">
        <f>(FME_Ranking1[[#This Row],[Miles Raw]]/$AA$2)*100</f>
        <v>0.25405885469106887</v>
      </c>
      <c r="AC458" s="178">
        <f>FME_Ranking1[[#This Row],[Miles Score (Normalized, Unweighted)]]*$AA$3</f>
        <v>2.5405885469106888E-2</v>
      </c>
      <c r="AD458" s="255">
        <f>_xlfn.XLOOKUP(FME_Ranking1[[#This Row],[FME ID]],FME_Input[FME_ID],FME_Input[FARMACRE100])</f>
        <v>1142.650024414062</v>
      </c>
      <c r="AE458" s="230">
        <f>(FME_Ranking1[[#This Row],[Ag Land Raw]]/$AD$2)*100</f>
        <v>4.7117771929785883E-2</v>
      </c>
      <c r="AF458" s="231">
        <f>FME_Ranking1[[#This Row],[Ag Land Score (Normalized, Unweighted)]]*$AD$3</f>
        <v>2.3558885964892941E-3</v>
      </c>
      <c r="AG45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0.39711687234069915</v>
      </c>
      <c r="AH458" s="406">
        <f t="shared" si="7"/>
        <v>527</v>
      </c>
      <c r="AI45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0.39711687234069915</v>
      </c>
      <c r="AJ458" s="257">
        <f>FME_Ranking1[[#This Row],[Addition check]]-FME_Ranking1[[#This Row],[Weighted Score Based on Normalized Reported Factors]]</f>
        <v>0</v>
      </c>
      <c r="AK458" s="178">
        <f>_xlfn.RANK.EQ(AI458,$AI$6:$AI$2341,0)+COUNTIF($AI$6:AI458,AI458)-1</f>
        <v>528</v>
      </c>
    </row>
    <row r="459" spans="1:37" ht="12" customHeight="1" x14ac:dyDescent="0.25">
      <c r="A459" t="s">
        <v>4564</v>
      </c>
      <c r="B459">
        <f>_xlfn.XLOOKUP(FME_Ranking1[[#This Row],[FME ID]],FME_Input[FME_ID],FME_Input[RFPG_NUM])</f>
        <v>3</v>
      </c>
      <c r="C459" t="str">
        <f>_xlfn.XLOOKUP(FME_Ranking1[[#This Row],[FME ID]],FME_Input[FME_ID],FME_Input[FME_NAME])</f>
        <v>City of Liberty WWTP Levee Study</v>
      </c>
      <c r="D459" t="str">
        <f>_xlfn.XLOOKUP(FME_Ranking1[[#This Row],[FME ID]],FME_Input[FME_ID],FME_Input[DESCR])</f>
        <v>Study to evaluate constructing levee floodwall around waste water treatment plant</v>
      </c>
      <c r="E459" s="256">
        <f>_xlfn.XLOOKUP(FME_Ranking1[[#This Row],[FME ID]],FME_Input[FME_ID],FME_Input[FME_COST])</f>
        <v>80000</v>
      </c>
      <c r="F459" t="str">
        <f>_xlfn.XLOOKUP(FME_Ranking1[[#This Row],[FME ID]],FME_Input[FME_ID],FME_Input[EMER_NEED])</f>
        <v>No</v>
      </c>
      <c r="G459">
        <f>IF(FME_Ranking!F459="Yes",100,0)</f>
        <v>0</v>
      </c>
      <c r="H459">
        <f>FME_Ranking1[[#This Row],[Emergency Need Score (Normalized, Unweighted)]]*$F$3</f>
        <v>0</v>
      </c>
      <c r="I459" s="246">
        <f>_xlfn.XLOOKUP(FME_Ranking1[[#This Row],[FME ID]],FME_Input[FME_ID],FME_Input[STRUCT_100])</f>
        <v>493</v>
      </c>
      <c r="J459" s="178">
        <f>(FME_Ranking1[[#This Row],[Structures 100 Raw]]/I$2)*100</f>
        <v>0.26399777235145439</v>
      </c>
      <c r="K459" s="178">
        <f>FME_Ranking1[[#This Row],[Structures 100  Score (Normalized, Unweighted)]]*$I$3</f>
        <v>3.9599665852718159E-2</v>
      </c>
      <c r="L459" s="246">
        <f>_xlfn.XLOOKUP(FME_Ranking1[[#This Row],[FME ID]],FME_Input[FME_ID],FME_Input[RES_STRUCT100])</f>
        <v>457</v>
      </c>
      <c r="M459" s="230">
        <f>(FME_Ranking1[[#This Row],[Res Structures Raw]]/L$2)*100</f>
        <v>0.32369565525350258</v>
      </c>
      <c r="N459" s="180">
        <f>FME_Ranking1[[#This Row],[Res Structures Score (Normalized, Unweighted)]]*$L$3</f>
        <v>3.2369565525350259E-2</v>
      </c>
      <c r="O459" s="244">
        <f>_xlfn.XLOOKUP(FME_Ranking1[[#This Row],[FME ID]],FME_Input[FME_ID],FME_Input[POP100])</f>
        <v>1105</v>
      </c>
      <c r="P459" s="178">
        <f>(FME_Ranking1[[#This Row],[Pop Raw]]/$O$2)*100</f>
        <v>0.11312471974758342</v>
      </c>
      <c r="Q459" s="178">
        <f>FME_Ranking1[[#This Row],[Pop Score (Normalized, Unweighted)]]*$O$3</f>
        <v>1.6968707962137512E-2</v>
      </c>
      <c r="R459" s="137">
        <f>_xlfn.XLOOKUP(FME_Ranking1[[#This Row],[FME ID]],FME_Input[FME_ID],FME_Input[CRITFAC100])</f>
        <v>28</v>
      </c>
      <c r="S459" s="230">
        <f>(FME_Ranking1[[#This Row],[Critical Facilities Raw]]/$R$2)*100</f>
        <v>1.2006861063464835</v>
      </c>
      <c r="T459" s="180">
        <f>FME_Ranking1[[#This Row],[Critical Facilities Score (Normalized, Unweighted)]]*$R$3</f>
        <v>0.24013722126929671</v>
      </c>
      <c r="U459">
        <f>_xlfn.XLOOKUP(FME_Ranking1[[#This Row],[FME ID]],FME_Input[FME_ID],FME_Input[LWC])</f>
        <v>3</v>
      </c>
      <c r="V459" s="178">
        <f>(FME_Ranking1[[#This Row],[LWC Raw]]/$U$2)*100</f>
        <v>0.17271157167530224</v>
      </c>
      <c r="W459" s="178">
        <f>FME_Ranking1[[#This Row],[LWC Score (Normalized, Unweighted)]]*$U$3</f>
        <v>3.4542314335060449E-2</v>
      </c>
      <c r="X459" s="246">
        <f>_xlfn.XLOOKUP(FME_Ranking1[[#This Row],[FME ID]],FME_Input[FME_ID],FME_Input[ROADCLS])</f>
        <v>0</v>
      </c>
      <c r="Y459" s="230">
        <f>(FME_Ranking1[[#This Row],[Closures Raw]]/$X$2)*100</f>
        <v>0</v>
      </c>
      <c r="Z459" s="180">
        <f>FME_Ranking1[[#This Row],[Closures Score (Normalized, Unweighted)]]*$X$3</f>
        <v>0</v>
      </c>
      <c r="AA459" s="253">
        <f>_xlfn.XLOOKUP(FME_Ranking1[[#This Row],[FME ID]],FME_Input[FME_ID],FME_Input[ROAD_MILES100])</f>
        <v>33.574699401855469</v>
      </c>
      <c r="AB459" s="178">
        <f>(FME_Ranking1[[#This Row],[Miles Raw]]/$AA$2)*100</f>
        <v>0.4414470780839751</v>
      </c>
      <c r="AC459" s="178">
        <f>FME_Ranking1[[#This Row],[Miles Score (Normalized, Unweighted)]]*$AA$3</f>
        <v>4.4144707808397514E-2</v>
      </c>
      <c r="AD459" s="255">
        <f>_xlfn.XLOOKUP(FME_Ranking1[[#This Row],[FME ID]],FME_Input[FME_ID],FME_Input[FARMACRE100])</f>
        <v>3323.3701171875</v>
      </c>
      <c r="AE459" s="230">
        <f>(FME_Ranking1[[#This Row],[Ag Land Raw]]/$AD$2)*100</f>
        <v>0.13704090655422152</v>
      </c>
      <c r="AF459" s="231">
        <f>FME_Ranking1[[#This Row],[Ag Land Score (Normalized, Unweighted)]]*$AD$3</f>
        <v>6.8520453277110763E-3</v>
      </c>
      <c r="AG45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0.41461422808067167</v>
      </c>
      <c r="AH459" s="406">
        <f t="shared" si="7"/>
        <v>517</v>
      </c>
      <c r="AI45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0.41461422808067167</v>
      </c>
      <c r="AJ459" s="257">
        <f>FME_Ranking1[[#This Row],[Addition check]]-FME_Ranking1[[#This Row],[Weighted Score Based on Normalized Reported Factors]]</f>
        <v>0</v>
      </c>
      <c r="AK459" s="178">
        <f>_xlfn.RANK.EQ(AI459,$AI$6:$AI$2341,0)+COUNTIF($AI$6:AI459,AI459)-1</f>
        <v>517</v>
      </c>
    </row>
    <row r="460" spans="1:37" ht="12" customHeight="1" x14ac:dyDescent="0.25">
      <c r="A460" t="s">
        <v>4276</v>
      </c>
      <c r="B460">
        <f>_xlfn.XLOOKUP(FME_Ranking1[[#This Row],[FME ID]],FME_Input[FME_ID],FME_Input[RFPG_NUM])</f>
        <v>3</v>
      </c>
      <c r="C460" t="str">
        <f>_xlfn.XLOOKUP(FME_Ranking1[[#This Row],[FME ID]],FME_Input[FME_ID],FME_Input[FME_NAME])</f>
        <v>Houston County DMP</v>
      </c>
      <c r="D460" t="str">
        <f>_xlfn.XLOOKUP(FME_Ranking1[[#This Row],[FME ID]],FME_Input[FME_ID],FME_Input[DESCR])</f>
        <v>Evaluate County and Identify future projects.</v>
      </c>
      <c r="E460" s="256">
        <f>_xlfn.XLOOKUP(FME_Ranking1[[#This Row],[FME ID]],FME_Input[FME_ID],FME_Input[FME_COST])</f>
        <v>500000</v>
      </c>
      <c r="F460" t="str">
        <f>_xlfn.XLOOKUP(FME_Ranking1[[#This Row],[FME ID]],FME_Input[FME_ID],FME_Input[EMER_NEED])</f>
        <v>No</v>
      </c>
      <c r="G460">
        <f>IF(FME_Ranking!F460="Yes",100,0)</f>
        <v>0</v>
      </c>
      <c r="H460">
        <f>FME_Ranking1[[#This Row],[Emergency Need Score (Normalized, Unweighted)]]*$F$3</f>
        <v>0</v>
      </c>
      <c r="I460" s="246">
        <f>_xlfn.XLOOKUP(FME_Ranking1[[#This Row],[FME ID]],FME_Input[FME_ID],FME_Input[STRUCT_100])</f>
        <v>454</v>
      </c>
      <c r="J460" s="178">
        <f>(FME_Ranking1[[#This Row],[Structures 100 Raw]]/I$2)*100</f>
        <v>0.24311356723643063</v>
      </c>
      <c r="K460" s="178">
        <f>FME_Ranking1[[#This Row],[Structures 100  Score (Normalized, Unweighted)]]*$I$3</f>
        <v>3.6467035085464596E-2</v>
      </c>
      <c r="L460" s="246">
        <f>_xlfn.XLOOKUP(FME_Ranking1[[#This Row],[FME ID]],FME_Input[FME_ID],FME_Input[RES_STRUCT100])</f>
        <v>250</v>
      </c>
      <c r="M460" s="230">
        <f>(FME_Ranking1[[#This Row],[Res Structures Raw]]/L$2)*100</f>
        <v>0.17707639784108456</v>
      </c>
      <c r="N460" s="180">
        <f>FME_Ranking1[[#This Row],[Res Structures Score (Normalized, Unweighted)]]*$L$3</f>
        <v>1.7707639784108456E-2</v>
      </c>
      <c r="O460" s="244">
        <f>_xlfn.XLOOKUP(FME_Ranking1[[#This Row],[FME ID]],FME_Input[FME_ID],FME_Input[POP100])</f>
        <v>391</v>
      </c>
      <c r="P460" s="178">
        <f>(FME_Ranking1[[#This Row],[Pop Raw]]/$O$2)*100</f>
        <v>4.0028746987606445E-2</v>
      </c>
      <c r="Q460" s="178">
        <f>FME_Ranking1[[#This Row],[Pop Score (Normalized, Unweighted)]]*$O$3</f>
        <v>6.0043120481409664E-3</v>
      </c>
      <c r="R460" s="137">
        <f>_xlfn.XLOOKUP(FME_Ranking1[[#This Row],[FME ID]],FME_Input[FME_ID],FME_Input[CRITFAC100])</f>
        <v>5</v>
      </c>
      <c r="S460" s="230">
        <f>(FME_Ranking1[[#This Row],[Critical Facilities Raw]]/$R$2)*100</f>
        <v>0.21440823327615782</v>
      </c>
      <c r="T460" s="180">
        <f>FME_Ranking1[[#This Row],[Critical Facilities Score (Normalized, Unweighted)]]*$R$3</f>
        <v>4.2881646655231566E-2</v>
      </c>
      <c r="U460">
        <f>_xlfn.XLOOKUP(FME_Ranking1[[#This Row],[FME ID]],FME_Input[FME_ID],FME_Input[LWC])</f>
        <v>18</v>
      </c>
      <c r="V460" s="178">
        <f>(FME_Ranking1[[#This Row],[LWC Raw]]/$U$2)*100</f>
        <v>1.0362694300518136</v>
      </c>
      <c r="W460" s="178">
        <f>FME_Ranking1[[#This Row],[LWC Score (Normalized, Unweighted)]]*$U$3</f>
        <v>0.20725388601036274</v>
      </c>
      <c r="X460" s="246">
        <f>_xlfn.XLOOKUP(FME_Ranking1[[#This Row],[FME ID]],FME_Input[FME_ID],FME_Input[ROADCLS])</f>
        <v>0</v>
      </c>
      <c r="Y460" s="230">
        <f>(FME_Ranking1[[#This Row],[Closures Raw]]/$X$2)*100</f>
        <v>0</v>
      </c>
      <c r="Z460" s="180">
        <f>FME_Ranking1[[#This Row],[Closures Score (Normalized, Unweighted)]]*$X$3</f>
        <v>0</v>
      </c>
      <c r="AA460" s="253">
        <f>_xlfn.XLOOKUP(FME_Ranking1[[#This Row],[FME ID]],FME_Input[FME_ID],FME_Input[ROAD_MILES100])</f>
        <v>110.1063995361328</v>
      </c>
      <c r="AB460" s="178">
        <f>(FME_Ranking1[[#This Row],[Miles Raw]]/$AA$2)*100</f>
        <v>1.447701668801431</v>
      </c>
      <c r="AC460" s="178">
        <f>FME_Ranking1[[#This Row],[Miles Score (Normalized, Unweighted)]]*$AA$3</f>
        <v>0.1447701668801431</v>
      </c>
      <c r="AD460" s="255">
        <f>_xlfn.XLOOKUP(FME_Ranking1[[#This Row],[FME ID]],FME_Input[FME_ID],FME_Input[FARMACRE100])</f>
        <v>28799.849609375</v>
      </c>
      <c r="AE460" s="230">
        <f>(FME_Ranking1[[#This Row],[Ag Land Raw]]/$AD$2)*100</f>
        <v>1.1875768752575933</v>
      </c>
      <c r="AF460" s="231">
        <f>FME_Ranking1[[#This Row],[Ag Land Score (Normalized, Unweighted)]]*$AD$3</f>
        <v>5.9378843762879663E-2</v>
      </c>
      <c r="AG46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0.51446353022633118</v>
      </c>
      <c r="AH460" s="406">
        <f t="shared" si="7"/>
        <v>418</v>
      </c>
      <c r="AI46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0.51446353022633118</v>
      </c>
      <c r="AJ460" s="257">
        <f>FME_Ranking1[[#This Row],[Addition check]]-FME_Ranking1[[#This Row],[Weighted Score Based on Normalized Reported Factors]]</f>
        <v>0</v>
      </c>
      <c r="AK460" s="178">
        <f>_xlfn.RANK.EQ(AI460,$AI$6:$AI$2341,0)+COUNTIF($AI$6:AI460,AI460)-1</f>
        <v>418</v>
      </c>
    </row>
    <row r="461" spans="1:37" ht="12" customHeight="1" x14ac:dyDescent="0.25">
      <c r="A461" t="s">
        <v>4172</v>
      </c>
      <c r="B461">
        <f>_xlfn.XLOOKUP(FME_Ranking1[[#This Row],[FME ID]],FME_Input[FME_ID],FME_Input[RFPG_NUM])</f>
        <v>3</v>
      </c>
      <c r="C461" t="str">
        <f>_xlfn.XLOOKUP(FME_Ranking1[[#This Row],[FME ID]],FME_Input[FME_ID],FME_Input[FME_NAME])</f>
        <v>Haltom City DMP</v>
      </c>
      <c r="D461" t="str">
        <f>_xlfn.XLOOKUP(FME_Ranking1[[#This Row],[FME ID]],FME_Input[FME_ID],FME_Input[DESCR])</f>
        <v>Evaluate City and identify future projects.</v>
      </c>
      <c r="E461" s="256">
        <f>_xlfn.XLOOKUP(FME_Ranking1[[#This Row],[FME ID]],FME_Input[FME_ID],FME_Input[FME_COST])</f>
        <v>500000</v>
      </c>
      <c r="F461" t="str">
        <f>_xlfn.XLOOKUP(FME_Ranking1[[#This Row],[FME ID]],FME_Input[FME_ID],FME_Input[EMER_NEED])</f>
        <v>No</v>
      </c>
      <c r="G461">
        <f>IF(FME_Ranking!F461="Yes",100,0)</f>
        <v>0</v>
      </c>
      <c r="H461">
        <f>FME_Ranking1[[#This Row],[Emergency Need Score (Normalized, Unweighted)]]*$F$3</f>
        <v>0</v>
      </c>
      <c r="I461" s="246">
        <f>_xlfn.XLOOKUP(FME_Ranking1[[#This Row],[FME ID]],FME_Input[FME_ID],FME_Input[STRUCT_100])</f>
        <v>1049</v>
      </c>
      <c r="J461" s="178">
        <f>(FME_Ranking1[[#This Row],[Structures 100 Raw]]/I$2)*100</f>
        <v>0.56173156835025495</v>
      </c>
      <c r="K461" s="178">
        <f>FME_Ranking1[[#This Row],[Structures 100  Score (Normalized, Unweighted)]]*$I$3</f>
        <v>8.4259735252538243E-2</v>
      </c>
      <c r="L461" s="246">
        <f>_xlfn.XLOOKUP(FME_Ranking1[[#This Row],[FME ID]],FME_Input[FME_ID],FME_Input[RES_STRUCT100])</f>
        <v>854</v>
      </c>
      <c r="M461" s="230">
        <f>(FME_Ranking1[[#This Row],[Res Structures Raw]]/L$2)*100</f>
        <v>0.60489297502514483</v>
      </c>
      <c r="N461" s="180">
        <f>FME_Ranking1[[#This Row],[Res Structures Score (Normalized, Unweighted)]]*$L$3</f>
        <v>6.0489297502514486E-2</v>
      </c>
      <c r="O461" s="244">
        <f>_xlfn.XLOOKUP(FME_Ranking1[[#This Row],[FME ID]],FME_Input[FME_ID],FME_Input[POP100])</f>
        <v>6002</v>
      </c>
      <c r="P461" s="178">
        <f>(FME_Ranking1[[#This Row],[Pop Raw]]/$O$2)*100</f>
        <v>0.6144566225565572</v>
      </c>
      <c r="Q461" s="178">
        <f>FME_Ranking1[[#This Row],[Pop Score (Normalized, Unweighted)]]*$O$3</f>
        <v>9.2168493383483582E-2</v>
      </c>
      <c r="R461" s="137">
        <f>_xlfn.XLOOKUP(FME_Ranking1[[#This Row],[FME ID]],FME_Input[FME_ID],FME_Input[CRITFAC100])</f>
        <v>6</v>
      </c>
      <c r="S461" s="230">
        <f>(FME_Ranking1[[#This Row],[Critical Facilities Raw]]/$R$2)*100</f>
        <v>0.25728987993138941</v>
      </c>
      <c r="T461" s="180">
        <f>FME_Ranking1[[#This Row],[Critical Facilities Score (Normalized, Unweighted)]]*$R$3</f>
        <v>5.1457975986277882E-2</v>
      </c>
      <c r="U461">
        <f>_xlfn.XLOOKUP(FME_Ranking1[[#This Row],[FME ID]],FME_Input[FME_ID],FME_Input[LWC])</f>
        <v>7</v>
      </c>
      <c r="V461" s="178">
        <f>(FME_Ranking1[[#This Row],[LWC Raw]]/$U$2)*100</f>
        <v>0.40299366724237184</v>
      </c>
      <c r="W461" s="178">
        <f>FME_Ranking1[[#This Row],[LWC Score (Normalized, Unweighted)]]*$U$3</f>
        <v>8.0598733448474374E-2</v>
      </c>
      <c r="X461" s="246">
        <f>_xlfn.XLOOKUP(FME_Ranking1[[#This Row],[FME ID]],FME_Input[FME_ID],FME_Input[ROADCLS])</f>
        <v>0</v>
      </c>
      <c r="Y461" s="230">
        <f>(FME_Ranking1[[#This Row],[Closures Raw]]/$X$2)*100</f>
        <v>0</v>
      </c>
      <c r="Z461" s="180">
        <f>FME_Ranking1[[#This Row],[Closures Score (Normalized, Unweighted)]]*$X$3</f>
        <v>0</v>
      </c>
      <c r="AA461" s="253">
        <f>_xlfn.XLOOKUP(FME_Ranking1[[#This Row],[FME ID]],FME_Input[FME_ID],FME_Input[ROAD_MILES100])</f>
        <v>22.520650863647461</v>
      </c>
      <c r="AB461" s="178">
        <f>(FME_Ranking1[[#This Row],[Miles Raw]]/$AA$2)*100</f>
        <v>0.29610616617336283</v>
      </c>
      <c r="AC461" s="178">
        <f>FME_Ranking1[[#This Row],[Miles Score (Normalized, Unweighted)]]*$AA$3</f>
        <v>2.9610616617336286E-2</v>
      </c>
      <c r="AD461" s="255">
        <f>_xlfn.XLOOKUP(FME_Ranking1[[#This Row],[FME ID]],FME_Input[FME_ID],FME_Input[FARMACRE100])</f>
        <v>71.509941101074219</v>
      </c>
      <c r="AE461" s="230">
        <f>(FME_Ranking1[[#This Row],[Ag Land Raw]]/$AD$2)*100</f>
        <v>2.9487498564931295E-3</v>
      </c>
      <c r="AF461" s="231">
        <f>FME_Ranking1[[#This Row],[Ag Land Score (Normalized, Unweighted)]]*$AD$3</f>
        <v>1.4743749282465648E-4</v>
      </c>
      <c r="AG46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0.39873228968344948</v>
      </c>
      <c r="AH461" s="406">
        <f t="shared" si="7"/>
        <v>523</v>
      </c>
      <c r="AI46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0.39873228968344948</v>
      </c>
      <c r="AJ461" s="257">
        <f>FME_Ranking1[[#This Row],[Addition check]]-FME_Ranking1[[#This Row],[Weighted Score Based on Normalized Reported Factors]]</f>
        <v>0</v>
      </c>
      <c r="AK461" s="178">
        <f>_xlfn.RANK.EQ(AI461,$AI$6:$AI$2341,0)+COUNTIF($AI$6:AI461,AI461)-1</f>
        <v>523</v>
      </c>
    </row>
    <row r="462" spans="1:37" ht="12" customHeight="1" x14ac:dyDescent="0.25">
      <c r="A462" t="s">
        <v>5063</v>
      </c>
      <c r="B462">
        <f>_xlfn.XLOOKUP(FME_Ranking1[[#This Row],[FME ID]],FME_Input[FME_ID],FME_Input[RFPG_NUM])</f>
        <v>3</v>
      </c>
      <c r="C462" t="str">
        <f>_xlfn.XLOOKUP(FME_Ranking1[[#This Row],[FME ID]],FME_Input[FME_ID],FME_Input[FME_NAME])</f>
        <v>Spring Creek Retaining Walls</v>
      </c>
      <c r="D462" t="str">
        <f>_xlfn.XLOOKUP(FME_Ranking1[[#This Row],[FME ID]],FME_Input[FME_ID],FME_Input[DESCR])</f>
        <v>Implement results from the 2021 Spring Creek Erosion and Retaining Wall Assessment project. This project identified 19 locations with recommended repairs/maintenance to erosion structures.</v>
      </c>
      <c r="E462" s="256">
        <f>_xlfn.XLOOKUP(FME_Ranking1[[#This Row],[FME ID]],FME_Input[FME_ID],FME_Input[FME_COST])</f>
        <v>250000</v>
      </c>
      <c r="F462" t="str">
        <f>_xlfn.XLOOKUP(FME_Ranking1[[#This Row],[FME ID]],FME_Input[FME_ID],FME_Input[EMER_NEED])</f>
        <v>No</v>
      </c>
      <c r="G462">
        <f>IF(FME_Ranking!F462="Yes",100,0)</f>
        <v>0</v>
      </c>
      <c r="H462">
        <f>FME_Ranking1[[#This Row],[Emergency Need Score (Normalized, Unweighted)]]*$F$3</f>
        <v>0</v>
      </c>
      <c r="I462" s="246">
        <f>_xlfn.XLOOKUP(FME_Ranking1[[#This Row],[FME ID]],FME_Input[FME_ID],FME_Input[STRUCT_100])</f>
        <v>274</v>
      </c>
      <c r="J462" s="178">
        <f>(FME_Ranking1[[#This Row],[Structures 100 Raw]]/I$2)*100</f>
        <v>0.1467249282440132</v>
      </c>
      <c r="K462" s="178">
        <f>FME_Ranking1[[#This Row],[Structures 100  Score (Normalized, Unweighted)]]*$I$3</f>
        <v>2.200873923660198E-2</v>
      </c>
      <c r="L462" s="246">
        <f>_xlfn.XLOOKUP(FME_Ranking1[[#This Row],[FME ID]],FME_Input[FME_ID],FME_Input[RES_STRUCT100])</f>
        <v>255</v>
      </c>
      <c r="M462" s="230">
        <f>(FME_Ranking1[[#This Row],[Res Structures Raw]]/L$2)*100</f>
        <v>0.18061792579790625</v>
      </c>
      <c r="N462" s="180">
        <f>FME_Ranking1[[#This Row],[Res Structures Score (Normalized, Unweighted)]]*$L$3</f>
        <v>1.8061792579790625E-2</v>
      </c>
      <c r="O462" s="244">
        <f>_xlfn.XLOOKUP(FME_Ranking1[[#This Row],[FME ID]],FME_Input[FME_ID],FME_Input[POP100])</f>
        <v>2604</v>
      </c>
      <c r="P462" s="178">
        <f>(FME_Ranking1[[#This Row],[Pop Raw]]/$O$2)*100</f>
        <v>0.26658531241873956</v>
      </c>
      <c r="Q462" s="178">
        <f>FME_Ranking1[[#This Row],[Pop Score (Normalized, Unweighted)]]*$O$3</f>
        <v>3.9987796862810933E-2</v>
      </c>
      <c r="R462" s="137">
        <f>_xlfn.XLOOKUP(FME_Ranking1[[#This Row],[FME ID]],FME_Input[FME_ID],FME_Input[CRITFAC100])</f>
        <v>8</v>
      </c>
      <c r="S462" s="230">
        <f>(FME_Ranking1[[#This Row],[Critical Facilities Raw]]/$R$2)*100</f>
        <v>0.34305317324185247</v>
      </c>
      <c r="T462" s="180">
        <f>FME_Ranking1[[#This Row],[Critical Facilities Score (Normalized, Unweighted)]]*$R$3</f>
        <v>6.86106346483705E-2</v>
      </c>
      <c r="U462">
        <f>_xlfn.XLOOKUP(FME_Ranking1[[#This Row],[FME ID]],FME_Input[FME_ID],FME_Input[LWC])</f>
        <v>19</v>
      </c>
      <c r="V462" s="178">
        <f>(FME_Ranking1[[#This Row],[LWC Raw]]/$U$2)*100</f>
        <v>1.0938399539435808</v>
      </c>
      <c r="W462" s="178">
        <f>FME_Ranking1[[#This Row],[LWC Score (Normalized, Unweighted)]]*$U$3</f>
        <v>0.21876799078871617</v>
      </c>
      <c r="X462" s="246">
        <f>_xlfn.XLOOKUP(FME_Ranking1[[#This Row],[FME ID]],FME_Input[FME_ID],FME_Input[ROADCLS])</f>
        <v>0</v>
      </c>
      <c r="Y462" s="230">
        <f>(FME_Ranking1[[#This Row],[Closures Raw]]/$X$2)*100</f>
        <v>0</v>
      </c>
      <c r="Z462" s="180">
        <f>FME_Ranking1[[#This Row],[Closures Score (Normalized, Unweighted)]]*$X$3</f>
        <v>0</v>
      </c>
      <c r="AA462" s="253">
        <f>_xlfn.XLOOKUP(FME_Ranking1[[#This Row],[FME ID]],FME_Input[FME_ID],FME_Input[ROAD_MILES100])</f>
        <v>13.17282009124756</v>
      </c>
      <c r="AB462" s="178">
        <f>(FME_Ranking1[[#This Row],[Miles Raw]]/$AA$2)*100</f>
        <v>0.17319895763789778</v>
      </c>
      <c r="AC462" s="178">
        <f>FME_Ranking1[[#This Row],[Miles Score (Normalized, Unweighted)]]*$AA$3</f>
        <v>1.731989576378978E-2</v>
      </c>
      <c r="AD462" s="255">
        <f>_xlfn.XLOOKUP(FME_Ranking1[[#This Row],[FME ID]],FME_Input[FME_ID],FME_Input[FARMACRE100])</f>
        <v>83.024650573730469</v>
      </c>
      <c r="AE462" s="230">
        <f>(FME_Ranking1[[#This Row],[Ag Land Raw]]/$AD$2)*100</f>
        <v>3.4235649295060364E-3</v>
      </c>
      <c r="AF462" s="231">
        <f>FME_Ranking1[[#This Row],[Ag Land Score (Normalized, Unweighted)]]*$AD$3</f>
        <v>1.7117824647530183E-4</v>
      </c>
      <c r="AG46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0.38492802812655524</v>
      </c>
      <c r="AH462" s="406">
        <f t="shared" si="7"/>
        <v>542</v>
      </c>
      <c r="AI46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0.38492802812655524</v>
      </c>
      <c r="AJ462" s="257">
        <f>FME_Ranking1[[#This Row],[Addition check]]-FME_Ranking1[[#This Row],[Weighted Score Based on Normalized Reported Factors]]</f>
        <v>0</v>
      </c>
      <c r="AK462" s="178">
        <f>_xlfn.RANK.EQ(AI462,$AI$6:$AI$2341,0)+COUNTIF($AI$6:AI462,AI462)-1</f>
        <v>542</v>
      </c>
    </row>
    <row r="463" spans="1:37" ht="12" customHeight="1" x14ac:dyDescent="0.25">
      <c r="A463" t="s">
        <v>1359</v>
      </c>
      <c r="B463">
        <f>_xlfn.XLOOKUP(FME_Ranking1[[#This Row],[FME ID]],FME_Input[FME_ID],FME_Input[RFPG_NUM])</f>
        <v>6</v>
      </c>
      <c r="C463" t="str">
        <f>_xlfn.XLOOKUP(FME_Ranking1[[#This Row],[FME ID]],FME_Input[FME_ID],FME_Input[FME_NAME])</f>
        <v>Barker Reservoir Watershed Study</v>
      </c>
      <c r="D463" t="str">
        <f>_xlfn.XLOOKUP(FME_Ranking1[[#This Row],[FME ID]],FME_Input[FME_ID],FME_Input[DESCR])</f>
        <v>Watershed wide study using latest data, including MAAPnext models and Atlas 14 rainfall. Study to identify flooding issues within watershed, identify projects to reduce flooding, and provide cost estimates and benefit and cost metrics for each project.</v>
      </c>
      <c r="E463" s="256">
        <f>_xlfn.XLOOKUP(FME_Ranking1[[#This Row],[FME ID]],FME_Input[FME_ID],FME_Input[FME_COST])</f>
        <v>620000</v>
      </c>
      <c r="F463" t="str">
        <f>_xlfn.XLOOKUP(FME_Ranking1[[#This Row],[FME ID]],FME_Input[FME_ID],FME_Input[EMER_NEED])</f>
        <v>Yes</v>
      </c>
      <c r="G463">
        <f>IF(FME_Ranking!F463="Yes",100,0)</f>
        <v>100</v>
      </c>
      <c r="H463">
        <f>FME_Ranking1[[#This Row],[Emergency Need Score (Normalized, Unweighted)]]*$F$3</f>
        <v>0</v>
      </c>
      <c r="I463" s="246">
        <f>_xlfn.XLOOKUP(FME_Ranking1[[#This Row],[FME ID]],FME_Input[FME_ID],FME_Input[STRUCT_100])</f>
        <v>1052</v>
      </c>
      <c r="J463" s="178">
        <f>(FME_Ranking1[[#This Row],[Structures 100 Raw]]/I$2)*100</f>
        <v>0.56333804566679524</v>
      </c>
      <c r="K463" s="178">
        <f>FME_Ranking1[[#This Row],[Structures 100  Score (Normalized, Unweighted)]]*$I$3</f>
        <v>8.4500706850019286E-2</v>
      </c>
      <c r="L463" s="246">
        <f>_xlfn.XLOOKUP(FME_Ranking1[[#This Row],[FME ID]],FME_Input[FME_ID],FME_Input[RES_STRUCT100])</f>
        <v>833</v>
      </c>
      <c r="M463" s="230">
        <f>(FME_Ranking1[[#This Row],[Res Structures Raw]]/L$2)*100</f>
        <v>0.5900185576064938</v>
      </c>
      <c r="N463" s="180">
        <f>FME_Ranking1[[#This Row],[Res Structures Score (Normalized, Unweighted)]]*$L$3</f>
        <v>5.9001855760649383E-2</v>
      </c>
      <c r="O463" s="244">
        <f>_xlfn.XLOOKUP(FME_Ranking1[[#This Row],[FME ID]],FME_Input[FME_ID],FME_Input[POP100])</f>
        <v>4313</v>
      </c>
      <c r="P463" s="178">
        <f>(FME_Ranking1[[#This Row],[Pop Raw]]/$O$2)*100</f>
        <v>0.44154472060753602</v>
      </c>
      <c r="Q463" s="178">
        <f>FME_Ranking1[[#This Row],[Pop Score (Normalized, Unweighted)]]*$O$3</f>
        <v>6.6231708091130395E-2</v>
      </c>
      <c r="R463" s="137">
        <f>_xlfn.XLOOKUP(FME_Ranking1[[#This Row],[FME ID]],FME_Input[FME_ID],FME_Input[CRITFAC100])</f>
        <v>11</v>
      </c>
      <c r="S463" s="230">
        <f>(FME_Ranking1[[#This Row],[Critical Facilities Raw]]/$R$2)*100</f>
        <v>0.47169811320754718</v>
      </c>
      <c r="T463" s="180">
        <f>FME_Ranking1[[#This Row],[Critical Facilities Score (Normalized, Unweighted)]]*$R$3</f>
        <v>9.4339622641509441E-2</v>
      </c>
      <c r="U463">
        <f>_xlfn.XLOOKUP(FME_Ranking1[[#This Row],[FME ID]],FME_Input[FME_ID],FME_Input[LWC])</f>
        <v>5</v>
      </c>
      <c r="V463" s="178">
        <f>(FME_Ranking1[[#This Row],[LWC Raw]]/$U$2)*100</f>
        <v>0.28785261945883706</v>
      </c>
      <c r="W463" s="178">
        <f>FME_Ranking1[[#This Row],[LWC Score (Normalized, Unweighted)]]*$U$3</f>
        <v>5.7570523891767415E-2</v>
      </c>
      <c r="X463" s="246">
        <f>_xlfn.XLOOKUP(FME_Ranking1[[#This Row],[FME ID]],FME_Input[FME_ID],FME_Input[ROADCLS])</f>
        <v>5</v>
      </c>
      <c r="Y463" s="230">
        <f>(FME_Ranking1[[#This Row],[Closures Raw]]/$X$2)*100</f>
        <v>5.2570707601724324E-2</v>
      </c>
      <c r="Z463" s="180">
        <f>FME_Ranking1[[#This Row],[Closures Score (Normalized, Unweighted)]]*$X$3</f>
        <v>2.6285353800862164E-3</v>
      </c>
      <c r="AA463" s="253">
        <f>_xlfn.XLOOKUP(FME_Ranking1[[#This Row],[FME ID]],FME_Input[FME_ID],FME_Input[ROAD_MILES100])</f>
        <v>34.053718566894531</v>
      </c>
      <c r="AB463" s="178">
        <f>(FME_Ranking1[[#This Row],[Miles Raw]]/$AA$2)*100</f>
        <v>0.44774532094303199</v>
      </c>
      <c r="AC463" s="178">
        <f>FME_Ranking1[[#This Row],[Miles Score (Normalized, Unweighted)]]*$AA$3</f>
        <v>4.4774532094303203E-2</v>
      </c>
      <c r="AD463" s="255">
        <f>_xlfn.XLOOKUP(FME_Ranking1[[#This Row],[FME ID]],FME_Input[FME_ID],FME_Input[FARMACRE100])</f>
        <v>753.00469970703125</v>
      </c>
      <c r="AE463" s="230">
        <f>(FME_Ranking1[[#This Row],[Ag Land Raw]]/$AD$2)*100</f>
        <v>3.1050542987601563E-2</v>
      </c>
      <c r="AF463" s="231">
        <f>FME_Ranking1[[#This Row],[Ag Land Score (Normalized, Unweighted)]]*$AD$3</f>
        <v>1.5525271493800783E-3</v>
      </c>
      <c r="AG46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0.41060001185884543</v>
      </c>
      <c r="AH463" s="406">
        <f t="shared" si="7"/>
        <v>519</v>
      </c>
      <c r="AI46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0.41060001185884543</v>
      </c>
      <c r="AJ463" s="257">
        <f>FME_Ranking1[[#This Row],[Addition check]]-FME_Ranking1[[#This Row],[Weighted Score Based on Normalized Reported Factors]]</f>
        <v>0</v>
      </c>
      <c r="AK463" s="178">
        <f>_xlfn.RANK.EQ(AI463,$AI$6:$AI$2341,0)+COUNTIF($AI$6:AI463,AI463)-1</f>
        <v>519</v>
      </c>
    </row>
    <row r="464" spans="1:37" ht="12" customHeight="1" x14ac:dyDescent="0.25">
      <c r="A464" t="s">
        <v>962</v>
      </c>
      <c r="B464">
        <f>_xlfn.XLOOKUP(FME_Ranking1[[#This Row],[FME ID]],FME_Input[FME_ID],FME_Input[RFPG_NUM])</f>
        <v>6</v>
      </c>
      <c r="C464" t="str">
        <f>_xlfn.XLOOKUP(FME_Ranking1[[#This Row],[FME ID]],FME_Input[FME_ID],FME_Input[FME_NAME])</f>
        <v>City of Manvel Flora St. Drainage Improvements</v>
      </c>
      <c r="D464" t="str">
        <f>_xlfn.XLOOKUP(FME_Ranking1[[#This Row],[FME ID]],FME_Input[FME_ID],FME_Input[DESCR])</f>
        <v>Study of possbile Flora Street drainage improvements: widen and reshape ditches, and upgrade culverts to restore adequate drainage to mitigate flooding in Manvel neighborhoods.</v>
      </c>
      <c r="E464" s="256">
        <f>_xlfn.XLOOKUP(FME_Ranking1[[#This Row],[FME ID]],FME_Input[FME_ID],FME_Input[FME_COST])</f>
        <v>100000</v>
      </c>
      <c r="F464" t="str">
        <f>_xlfn.XLOOKUP(FME_Ranking1[[#This Row],[FME ID]],FME_Input[FME_ID],FME_Input[EMER_NEED])</f>
        <v>No</v>
      </c>
      <c r="G464">
        <f>IF(FME_Ranking!F464="Yes",100,0)</f>
        <v>0</v>
      </c>
      <c r="H464">
        <f>FME_Ranking1[[#This Row],[Emergency Need Score (Normalized, Unweighted)]]*$F$3</f>
        <v>0</v>
      </c>
      <c r="I464" s="246">
        <f>_xlfn.XLOOKUP(FME_Ranking1[[#This Row],[FME ID]],FME_Input[FME_ID],FME_Input[STRUCT_100])</f>
        <v>1250</v>
      </c>
      <c r="J464" s="178">
        <f>(FME_Ranking1[[#This Row],[Structures 100 Raw]]/I$2)*100</f>
        <v>0.66936554855845432</v>
      </c>
      <c r="K464" s="178">
        <f>FME_Ranking1[[#This Row],[Structures 100  Score (Normalized, Unweighted)]]*$I$3</f>
        <v>0.10040483228376815</v>
      </c>
      <c r="L464" s="246">
        <f>_xlfn.XLOOKUP(FME_Ranking1[[#This Row],[FME ID]],FME_Input[FME_ID],FME_Input[RES_STRUCT100])</f>
        <v>966</v>
      </c>
      <c r="M464" s="230">
        <f>(FME_Ranking1[[#This Row],[Res Structures Raw]]/L$2)*100</f>
        <v>0.68422320125795066</v>
      </c>
      <c r="N464" s="180">
        <f>FME_Ranking1[[#This Row],[Res Structures Score (Normalized, Unweighted)]]*$L$3</f>
        <v>6.8422320125795064E-2</v>
      </c>
      <c r="O464" s="244">
        <f>_xlfn.XLOOKUP(FME_Ranking1[[#This Row],[FME ID]],FME_Input[FME_ID],FME_Input[POP100])</f>
        <v>8190</v>
      </c>
      <c r="P464" s="178">
        <f>(FME_Ranking1[[#This Row],[Pop Raw]]/$O$2)*100</f>
        <v>0.8384538051879713</v>
      </c>
      <c r="Q464" s="178">
        <f>FME_Ranking1[[#This Row],[Pop Score (Normalized, Unweighted)]]*$O$3</f>
        <v>0.12576807077819568</v>
      </c>
      <c r="R464" s="137">
        <f>_xlfn.XLOOKUP(FME_Ranking1[[#This Row],[FME ID]],FME_Input[FME_ID],FME_Input[CRITFAC100])</f>
        <v>8</v>
      </c>
      <c r="S464" s="230">
        <f>(FME_Ranking1[[#This Row],[Critical Facilities Raw]]/$R$2)*100</f>
        <v>0.34305317324185247</v>
      </c>
      <c r="T464" s="180">
        <f>FME_Ranking1[[#This Row],[Critical Facilities Score (Normalized, Unweighted)]]*$R$3</f>
        <v>6.86106346483705E-2</v>
      </c>
      <c r="U464">
        <f>_xlfn.XLOOKUP(FME_Ranking1[[#This Row],[FME ID]],FME_Input[FME_ID],FME_Input[LWC])</f>
        <v>0</v>
      </c>
      <c r="V464" s="178">
        <f>(FME_Ranking1[[#This Row],[LWC Raw]]/$U$2)*100</f>
        <v>0</v>
      </c>
      <c r="W464" s="178">
        <f>FME_Ranking1[[#This Row],[LWC Score (Normalized, Unweighted)]]*$U$3</f>
        <v>0</v>
      </c>
      <c r="X464" s="246">
        <f>_xlfn.XLOOKUP(FME_Ranking1[[#This Row],[FME ID]],FME_Input[FME_ID],FME_Input[ROADCLS])</f>
        <v>0</v>
      </c>
      <c r="Y464" s="230">
        <f>(FME_Ranking1[[#This Row],[Closures Raw]]/$X$2)*100</f>
        <v>0</v>
      </c>
      <c r="Z464" s="180">
        <f>FME_Ranking1[[#This Row],[Closures Score (Normalized, Unweighted)]]*$X$3</f>
        <v>0</v>
      </c>
      <c r="AA464" s="253">
        <f>_xlfn.XLOOKUP(FME_Ranking1[[#This Row],[FME ID]],FME_Input[FME_ID],FME_Input[ROAD_MILES100])</f>
        <v>43.312946319580078</v>
      </c>
      <c r="AB464" s="178">
        <f>(FME_Ranking1[[#This Row],[Miles Raw]]/$AA$2)*100</f>
        <v>0.56948755868622969</v>
      </c>
      <c r="AC464" s="178">
        <f>FME_Ranking1[[#This Row],[Miles Score (Normalized, Unweighted)]]*$AA$3</f>
        <v>5.6948755868622969E-2</v>
      </c>
      <c r="AD464" s="255">
        <f>_xlfn.XLOOKUP(FME_Ranking1[[#This Row],[FME ID]],FME_Input[FME_ID],FME_Input[FARMACRE100])</f>
        <v>178.80146789550781</v>
      </c>
      <c r="AE464" s="230">
        <f>(FME_Ranking1[[#This Row],[Ag Land Raw]]/$AD$2)*100</f>
        <v>7.3729721305800296E-3</v>
      </c>
      <c r="AF464" s="231">
        <f>FME_Ranking1[[#This Row],[Ag Land Score (Normalized, Unweighted)]]*$AD$3</f>
        <v>3.6864860652900151E-4</v>
      </c>
      <c r="AG46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0.42052326231128134</v>
      </c>
      <c r="AH464" s="406">
        <f t="shared" si="7"/>
        <v>508</v>
      </c>
      <c r="AI46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0.42052326231128134</v>
      </c>
      <c r="AJ464" s="257">
        <f>FME_Ranking1[[#This Row],[Addition check]]-FME_Ranking1[[#This Row],[Weighted Score Based on Normalized Reported Factors]]</f>
        <v>0</v>
      </c>
      <c r="AK464" s="178">
        <f>_xlfn.RANK.EQ(AI464,$AI$6:$AI$2341,0)+COUNTIF($AI$6:AI464,AI464)-1</f>
        <v>508</v>
      </c>
    </row>
    <row r="465" spans="1:37" ht="12" customHeight="1" x14ac:dyDescent="0.25">
      <c r="A465" t="s">
        <v>965</v>
      </c>
      <c r="B465">
        <f>_xlfn.XLOOKUP(FME_Ranking1[[#This Row],[FME ID]],FME_Input[FME_ID],FME_Input[RFPG_NUM])</f>
        <v>6</v>
      </c>
      <c r="C465" t="str">
        <f>_xlfn.XLOOKUP(FME_Ranking1[[#This Row],[FME ID]],FME_Input[FME_ID],FME_Input[FME_NAME])</f>
        <v xml:space="preserve">City of Manvel Various Drainage Improvements </v>
      </c>
      <c r="D465" t="str">
        <f>_xlfn.XLOOKUP(FME_Ranking1[[#This Row],[FME ID]],FME_Input[FME_ID],FME_Input[DESCR])</f>
        <v xml:space="preserve">Study of various drainage improvements, including storm sewer rehabilitation and ditch deepening. </v>
      </c>
      <c r="E465" s="256">
        <f>_xlfn.XLOOKUP(FME_Ranking1[[#This Row],[FME ID]],FME_Input[FME_ID],FME_Input[FME_COST])</f>
        <v>460000</v>
      </c>
      <c r="F465" t="str">
        <f>_xlfn.XLOOKUP(FME_Ranking1[[#This Row],[FME ID]],FME_Input[FME_ID],FME_Input[EMER_NEED])</f>
        <v>No</v>
      </c>
      <c r="G465">
        <f>IF(FME_Ranking!F465="Yes",100,0)</f>
        <v>0</v>
      </c>
      <c r="H465">
        <f>FME_Ranking1[[#This Row],[Emergency Need Score (Normalized, Unweighted)]]*$F$3</f>
        <v>0</v>
      </c>
      <c r="I465" s="246">
        <f>_xlfn.XLOOKUP(FME_Ranking1[[#This Row],[FME ID]],FME_Input[FME_ID],FME_Input[STRUCT_100])</f>
        <v>1250</v>
      </c>
      <c r="J465" s="178">
        <f>(FME_Ranking1[[#This Row],[Structures 100 Raw]]/I$2)*100</f>
        <v>0.66936554855845432</v>
      </c>
      <c r="K465" s="178">
        <f>FME_Ranking1[[#This Row],[Structures 100  Score (Normalized, Unweighted)]]*$I$3</f>
        <v>0.10040483228376815</v>
      </c>
      <c r="L465" s="246">
        <f>_xlfn.XLOOKUP(FME_Ranking1[[#This Row],[FME ID]],FME_Input[FME_ID],FME_Input[RES_STRUCT100])</f>
        <v>966</v>
      </c>
      <c r="M465" s="230">
        <f>(FME_Ranking1[[#This Row],[Res Structures Raw]]/L$2)*100</f>
        <v>0.68422320125795066</v>
      </c>
      <c r="N465" s="180">
        <f>FME_Ranking1[[#This Row],[Res Structures Score (Normalized, Unweighted)]]*$L$3</f>
        <v>6.8422320125795064E-2</v>
      </c>
      <c r="O465" s="244">
        <f>_xlfn.XLOOKUP(FME_Ranking1[[#This Row],[FME ID]],FME_Input[FME_ID],FME_Input[POP100])</f>
        <v>8190</v>
      </c>
      <c r="P465" s="178">
        <f>(FME_Ranking1[[#This Row],[Pop Raw]]/$O$2)*100</f>
        <v>0.8384538051879713</v>
      </c>
      <c r="Q465" s="178">
        <f>FME_Ranking1[[#This Row],[Pop Score (Normalized, Unweighted)]]*$O$3</f>
        <v>0.12576807077819568</v>
      </c>
      <c r="R465" s="137">
        <f>_xlfn.XLOOKUP(FME_Ranking1[[#This Row],[FME ID]],FME_Input[FME_ID],FME_Input[CRITFAC100])</f>
        <v>8</v>
      </c>
      <c r="S465" s="230">
        <f>(FME_Ranking1[[#This Row],[Critical Facilities Raw]]/$R$2)*100</f>
        <v>0.34305317324185247</v>
      </c>
      <c r="T465" s="180">
        <f>FME_Ranking1[[#This Row],[Critical Facilities Score (Normalized, Unweighted)]]*$R$3</f>
        <v>6.86106346483705E-2</v>
      </c>
      <c r="U465">
        <f>_xlfn.XLOOKUP(FME_Ranking1[[#This Row],[FME ID]],FME_Input[FME_ID],FME_Input[LWC])</f>
        <v>0</v>
      </c>
      <c r="V465" s="178">
        <f>(FME_Ranking1[[#This Row],[LWC Raw]]/$U$2)*100</f>
        <v>0</v>
      </c>
      <c r="W465" s="178">
        <f>FME_Ranking1[[#This Row],[LWC Score (Normalized, Unweighted)]]*$U$3</f>
        <v>0</v>
      </c>
      <c r="X465" s="246">
        <f>_xlfn.XLOOKUP(FME_Ranking1[[#This Row],[FME ID]],FME_Input[FME_ID],FME_Input[ROADCLS])</f>
        <v>0</v>
      </c>
      <c r="Y465" s="230">
        <f>(FME_Ranking1[[#This Row],[Closures Raw]]/$X$2)*100</f>
        <v>0</v>
      </c>
      <c r="Z465" s="180">
        <f>FME_Ranking1[[#This Row],[Closures Score (Normalized, Unweighted)]]*$X$3</f>
        <v>0</v>
      </c>
      <c r="AA465" s="253">
        <f>_xlfn.XLOOKUP(FME_Ranking1[[#This Row],[FME ID]],FME_Input[FME_ID],FME_Input[ROAD_MILES100])</f>
        <v>43.312946319580078</v>
      </c>
      <c r="AB465" s="178">
        <f>(FME_Ranking1[[#This Row],[Miles Raw]]/$AA$2)*100</f>
        <v>0.56948755868622969</v>
      </c>
      <c r="AC465" s="178">
        <f>FME_Ranking1[[#This Row],[Miles Score (Normalized, Unweighted)]]*$AA$3</f>
        <v>5.6948755868622969E-2</v>
      </c>
      <c r="AD465" s="255">
        <f>_xlfn.XLOOKUP(FME_Ranking1[[#This Row],[FME ID]],FME_Input[FME_ID],FME_Input[FARMACRE100])</f>
        <v>178.80146789550781</v>
      </c>
      <c r="AE465" s="230">
        <f>(FME_Ranking1[[#This Row],[Ag Land Raw]]/$AD$2)*100</f>
        <v>7.3729721305800296E-3</v>
      </c>
      <c r="AF465" s="231">
        <f>FME_Ranking1[[#This Row],[Ag Land Score (Normalized, Unweighted)]]*$AD$3</f>
        <v>3.6864860652900151E-4</v>
      </c>
      <c r="AG46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0.42052326231128134</v>
      </c>
      <c r="AH465" s="406">
        <f t="shared" si="7"/>
        <v>508</v>
      </c>
      <c r="AI46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0.42052326231128134</v>
      </c>
      <c r="AJ465" s="257">
        <f>FME_Ranking1[[#This Row],[Addition check]]-FME_Ranking1[[#This Row],[Weighted Score Based on Normalized Reported Factors]]</f>
        <v>0</v>
      </c>
      <c r="AK465" s="178">
        <f>_xlfn.RANK.EQ(AI465,$AI$6:$AI$2341,0)+COUNTIF($AI$6:AI465,AI465)-1</f>
        <v>509</v>
      </c>
    </row>
    <row r="466" spans="1:37" ht="12" customHeight="1" x14ac:dyDescent="0.25">
      <c r="A466" t="s">
        <v>1653</v>
      </c>
      <c r="B466">
        <f>_xlfn.XLOOKUP(FME_Ranking1[[#This Row],[FME ID]],FME_Input[FME_ID],FME_Input[RFPG_NUM])</f>
        <v>6</v>
      </c>
      <c r="C466" t="str">
        <f>_xlfn.XLOOKUP(FME_Ranking1[[#This Row],[FME ID]],FME_Input[FME_ID],FME_Input[FME_NAME])</f>
        <v>City of Manvel  Master Drainage Plan</v>
      </c>
      <c r="D466" t="str">
        <f>_xlfn.XLOOKUP(FME_Ranking1[[#This Row],[FME ID]],FME_Input[FME_ID],FME_Input[DESCR])</f>
        <v>Study to develop Master Drainage Plan using future and existing land use and flood/storm water drainage needs including Atlas 14 rainfall.</v>
      </c>
      <c r="E466" s="256">
        <f>_xlfn.XLOOKUP(FME_Ranking1[[#This Row],[FME ID]],FME_Input[FME_ID],FME_Input[FME_COST])</f>
        <v>460000</v>
      </c>
      <c r="F466" t="str">
        <f>_xlfn.XLOOKUP(FME_Ranking1[[#This Row],[FME ID]],FME_Input[FME_ID],FME_Input[EMER_NEED])</f>
        <v>Yes</v>
      </c>
      <c r="G466">
        <f>IF(FME_Ranking!F466="Yes",100,0)</f>
        <v>100</v>
      </c>
      <c r="H466">
        <f>FME_Ranking1[[#This Row],[Emergency Need Score (Normalized, Unweighted)]]*$F$3</f>
        <v>0</v>
      </c>
      <c r="I466" s="246">
        <f>_xlfn.XLOOKUP(FME_Ranking1[[#This Row],[FME ID]],FME_Input[FME_ID],FME_Input[STRUCT_100])</f>
        <v>1250</v>
      </c>
      <c r="J466" s="178">
        <f>(FME_Ranking1[[#This Row],[Structures 100 Raw]]/I$2)*100</f>
        <v>0.66936554855845432</v>
      </c>
      <c r="K466" s="178">
        <f>FME_Ranking1[[#This Row],[Structures 100  Score (Normalized, Unweighted)]]*$I$3</f>
        <v>0.10040483228376815</v>
      </c>
      <c r="L466" s="246">
        <f>_xlfn.XLOOKUP(FME_Ranking1[[#This Row],[FME ID]],FME_Input[FME_ID],FME_Input[RES_STRUCT100])</f>
        <v>966</v>
      </c>
      <c r="M466" s="230">
        <f>(FME_Ranking1[[#This Row],[Res Structures Raw]]/L$2)*100</f>
        <v>0.68422320125795066</v>
      </c>
      <c r="N466" s="180">
        <f>FME_Ranking1[[#This Row],[Res Structures Score (Normalized, Unweighted)]]*$L$3</f>
        <v>6.8422320125795064E-2</v>
      </c>
      <c r="O466" s="244">
        <f>_xlfn.XLOOKUP(FME_Ranking1[[#This Row],[FME ID]],FME_Input[FME_ID],FME_Input[POP100])</f>
        <v>8190</v>
      </c>
      <c r="P466" s="178">
        <f>(FME_Ranking1[[#This Row],[Pop Raw]]/$O$2)*100</f>
        <v>0.8384538051879713</v>
      </c>
      <c r="Q466" s="178">
        <f>FME_Ranking1[[#This Row],[Pop Score (Normalized, Unweighted)]]*$O$3</f>
        <v>0.12576807077819568</v>
      </c>
      <c r="R466" s="137">
        <f>_xlfn.XLOOKUP(FME_Ranking1[[#This Row],[FME ID]],FME_Input[FME_ID],FME_Input[CRITFAC100])</f>
        <v>8</v>
      </c>
      <c r="S466" s="230">
        <f>(FME_Ranking1[[#This Row],[Critical Facilities Raw]]/$R$2)*100</f>
        <v>0.34305317324185247</v>
      </c>
      <c r="T466" s="180">
        <f>FME_Ranking1[[#This Row],[Critical Facilities Score (Normalized, Unweighted)]]*$R$3</f>
        <v>6.86106346483705E-2</v>
      </c>
      <c r="U466">
        <f>_xlfn.XLOOKUP(FME_Ranking1[[#This Row],[FME ID]],FME_Input[FME_ID],FME_Input[LWC])</f>
        <v>0</v>
      </c>
      <c r="V466" s="178">
        <f>(FME_Ranking1[[#This Row],[LWC Raw]]/$U$2)*100</f>
        <v>0</v>
      </c>
      <c r="W466" s="178">
        <f>FME_Ranking1[[#This Row],[LWC Score (Normalized, Unweighted)]]*$U$3</f>
        <v>0</v>
      </c>
      <c r="X466" s="246">
        <f>_xlfn.XLOOKUP(FME_Ranking1[[#This Row],[FME ID]],FME_Input[FME_ID],FME_Input[ROADCLS])</f>
        <v>0</v>
      </c>
      <c r="Y466" s="230">
        <f>(FME_Ranking1[[#This Row],[Closures Raw]]/$X$2)*100</f>
        <v>0</v>
      </c>
      <c r="Z466" s="180">
        <f>FME_Ranking1[[#This Row],[Closures Score (Normalized, Unweighted)]]*$X$3</f>
        <v>0</v>
      </c>
      <c r="AA466" s="253">
        <f>_xlfn.XLOOKUP(FME_Ranking1[[#This Row],[FME ID]],FME_Input[FME_ID],FME_Input[ROAD_MILES100])</f>
        <v>43.312946319580078</v>
      </c>
      <c r="AB466" s="178">
        <f>(FME_Ranking1[[#This Row],[Miles Raw]]/$AA$2)*100</f>
        <v>0.56948755868622969</v>
      </c>
      <c r="AC466" s="178">
        <f>FME_Ranking1[[#This Row],[Miles Score (Normalized, Unweighted)]]*$AA$3</f>
        <v>5.6948755868622969E-2</v>
      </c>
      <c r="AD466" s="255">
        <f>_xlfn.XLOOKUP(FME_Ranking1[[#This Row],[FME ID]],FME_Input[FME_ID],FME_Input[FARMACRE100])</f>
        <v>178.80146789550781</v>
      </c>
      <c r="AE466" s="230">
        <f>(FME_Ranking1[[#This Row],[Ag Land Raw]]/$AD$2)*100</f>
        <v>7.3729721305800296E-3</v>
      </c>
      <c r="AF466" s="231">
        <f>FME_Ranking1[[#This Row],[Ag Land Score (Normalized, Unweighted)]]*$AD$3</f>
        <v>3.6864860652900151E-4</v>
      </c>
      <c r="AG46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0.42052326231128134</v>
      </c>
      <c r="AH466" s="406">
        <f t="shared" si="7"/>
        <v>508</v>
      </c>
      <c r="AI46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0.42052326231128134</v>
      </c>
      <c r="AJ466" s="257">
        <f>FME_Ranking1[[#This Row],[Addition check]]-FME_Ranking1[[#This Row],[Weighted Score Based on Normalized Reported Factors]]</f>
        <v>0</v>
      </c>
      <c r="AK466" s="178">
        <f>_xlfn.RANK.EQ(AI466,$AI$6:$AI$2341,0)+COUNTIF($AI$6:AI466,AI466)-1</f>
        <v>510</v>
      </c>
    </row>
    <row r="467" spans="1:37" ht="12" customHeight="1" x14ac:dyDescent="0.25">
      <c r="A467" t="s">
        <v>2131</v>
      </c>
      <c r="B467">
        <f>_xlfn.XLOOKUP(FME_Ranking1[[#This Row],[FME ID]],FME_Input[FME_ID],FME_Input[RFPG_NUM])</f>
        <v>6</v>
      </c>
      <c r="C467" t="str">
        <f>_xlfn.XLOOKUP(FME_Ranking1[[#This Row],[FME ID]],FME_Input[FME_ID],FME_Input[FME_NAME])</f>
        <v>City of Manvel Rogers Rd. Drainage Improvements</v>
      </c>
      <c r="D467" t="str">
        <f>_xlfn.XLOOKUP(FME_Ranking1[[#This Row],[FME ID]],FME_Input[FME_ID],FME_Input[DESCR])</f>
        <v xml:space="preserve">Further study Alleluia Trail Rogers Rd &amp; All Roads off Rogers drainage improvements, including storm sewer rehabilitation and ditch deepening. </v>
      </c>
      <c r="E467" s="256">
        <f>_xlfn.XLOOKUP(FME_Ranking1[[#This Row],[FME ID]],FME_Input[FME_ID],FME_Input[FME_COST])</f>
        <v>30000</v>
      </c>
      <c r="F467" t="str">
        <f>_xlfn.XLOOKUP(FME_Ranking1[[#This Row],[FME ID]],FME_Input[FME_ID],FME_Input[EMER_NEED])</f>
        <v>No</v>
      </c>
      <c r="G467">
        <f>IF(FME_Ranking!F467="Yes",100,0)</f>
        <v>0</v>
      </c>
      <c r="H467">
        <f>FME_Ranking1[[#This Row],[Emergency Need Score (Normalized, Unweighted)]]*$F$3</f>
        <v>0</v>
      </c>
      <c r="I467" s="246">
        <f>_xlfn.XLOOKUP(FME_Ranking1[[#This Row],[FME ID]],FME_Input[FME_ID],FME_Input[STRUCT_100])</f>
        <v>1250</v>
      </c>
      <c r="J467" s="178">
        <f>(FME_Ranking1[[#This Row],[Structures 100 Raw]]/I$2)*100</f>
        <v>0.66936554855845432</v>
      </c>
      <c r="K467" s="178">
        <f>FME_Ranking1[[#This Row],[Structures 100  Score (Normalized, Unweighted)]]*$I$3</f>
        <v>0.10040483228376815</v>
      </c>
      <c r="L467" s="246">
        <f>_xlfn.XLOOKUP(FME_Ranking1[[#This Row],[FME ID]],FME_Input[FME_ID],FME_Input[RES_STRUCT100])</f>
        <v>966</v>
      </c>
      <c r="M467" s="230">
        <f>(FME_Ranking1[[#This Row],[Res Structures Raw]]/L$2)*100</f>
        <v>0.68422320125795066</v>
      </c>
      <c r="N467" s="180">
        <f>FME_Ranking1[[#This Row],[Res Structures Score (Normalized, Unweighted)]]*$L$3</f>
        <v>6.8422320125795064E-2</v>
      </c>
      <c r="O467" s="244">
        <f>_xlfn.XLOOKUP(FME_Ranking1[[#This Row],[FME ID]],FME_Input[FME_ID],FME_Input[POP100])</f>
        <v>8190</v>
      </c>
      <c r="P467" s="178">
        <f>(FME_Ranking1[[#This Row],[Pop Raw]]/$O$2)*100</f>
        <v>0.8384538051879713</v>
      </c>
      <c r="Q467" s="178">
        <f>FME_Ranking1[[#This Row],[Pop Score (Normalized, Unweighted)]]*$O$3</f>
        <v>0.12576807077819568</v>
      </c>
      <c r="R467" s="137">
        <f>_xlfn.XLOOKUP(FME_Ranking1[[#This Row],[FME ID]],FME_Input[FME_ID],FME_Input[CRITFAC100])</f>
        <v>8</v>
      </c>
      <c r="S467" s="230">
        <f>(FME_Ranking1[[#This Row],[Critical Facilities Raw]]/$R$2)*100</f>
        <v>0.34305317324185247</v>
      </c>
      <c r="T467" s="180">
        <f>FME_Ranking1[[#This Row],[Critical Facilities Score (Normalized, Unweighted)]]*$R$3</f>
        <v>6.86106346483705E-2</v>
      </c>
      <c r="U467">
        <f>_xlfn.XLOOKUP(FME_Ranking1[[#This Row],[FME ID]],FME_Input[FME_ID],FME_Input[LWC])</f>
        <v>0</v>
      </c>
      <c r="V467" s="178">
        <f>(FME_Ranking1[[#This Row],[LWC Raw]]/$U$2)*100</f>
        <v>0</v>
      </c>
      <c r="W467" s="178">
        <f>FME_Ranking1[[#This Row],[LWC Score (Normalized, Unweighted)]]*$U$3</f>
        <v>0</v>
      </c>
      <c r="X467" s="246">
        <f>_xlfn.XLOOKUP(FME_Ranking1[[#This Row],[FME ID]],FME_Input[FME_ID],FME_Input[ROADCLS])</f>
        <v>0</v>
      </c>
      <c r="Y467" s="230">
        <f>(FME_Ranking1[[#This Row],[Closures Raw]]/$X$2)*100</f>
        <v>0</v>
      </c>
      <c r="Z467" s="180">
        <f>FME_Ranking1[[#This Row],[Closures Score (Normalized, Unweighted)]]*$X$3</f>
        <v>0</v>
      </c>
      <c r="AA467" s="253">
        <f>_xlfn.XLOOKUP(FME_Ranking1[[#This Row],[FME ID]],FME_Input[FME_ID],FME_Input[ROAD_MILES100])</f>
        <v>43.312946319580078</v>
      </c>
      <c r="AB467" s="178">
        <f>(FME_Ranking1[[#This Row],[Miles Raw]]/$AA$2)*100</f>
        <v>0.56948755868622969</v>
      </c>
      <c r="AC467" s="178">
        <f>FME_Ranking1[[#This Row],[Miles Score (Normalized, Unweighted)]]*$AA$3</f>
        <v>5.6948755868622969E-2</v>
      </c>
      <c r="AD467" s="255">
        <f>_xlfn.XLOOKUP(FME_Ranking1[[#This Row],[FME ID]],FME_Input[FME_ID],FME_Input[FARMACRE100])</f>
        <v>178.80146789550781</v>
      </c>
      <c r="AE467" s="230">
        <f>(FME_Ranking1[[#This Row],[Ag Land Raw]]/$AD$2)*100</f>
        <v>7.3729721305800296E-3</v>
      </c>
      <c r="AF467" s="231">
        <f>FME_Ranking1[[#This Row],[Ag Land Score (Normalized, Unweighted)]]*$AD$3</f>
        <v>3.6864860652900151E-4</v>
      </c>
      <c r="AG46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0.42052326231128134</v>
      </c>
      <c r="AH467" s="406">
        <f t="shared" si="7"/>
        <v>508</v>
      </c>
      <c r="AI46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0.42052326231128134</v>
      </c>
      <c r="AJ467" s="257">
        <f>FME_Ranking1[[#This Row],[Addition check]]-FME_Ranking1[[#This Row],[Weighted Score Based on Normalized Reported Factors]]</f>
        <v>0</v>
      </c>
      <c r="AK467" s="178">
        <f>_xlfn.RANK.EQ(AI467,$AI$6:$AI$2341,0)+COUNTIF($AI$6:AI467,AI467)-1</f>
        <v>511</v>
      </c>
    </row>
    <row r="468" spans="1:37" ht="12" customHeight="1" x14ac:dyDescent="0.25">
      <c r="A468" t="s">
        <v>936</v>
      </c>
      <c r="B468">
        <f>_xlfn.XLOOKUP(FME_Ranking1[[#This Row],[FME ID]],FME_Input[FME_ID],FME_Input[RFPG_NUM])</f>
        <v>6</v>
      </c>
      <c r="C468" t="str">
        <f>_xlfn.XLOOKUP(FME_Ranking1[[#This Row],[FME ID]],FME_Input[FME_ID],FME_Input[FME_NAME])</f>
        <v xml:space="preserve">City of Manvel SH. 6 Drainage Improvements </v>
      </c>
      <c r="D468" t="str">
        <f>_xlfn.XLOOKUP(FME_Ranking1[[#This Row],[FME ID]],FME_Input[FME_ID],FME_Input[DESCR])</f>
        <v xml:space="preserve">Further study of state Highway 6 drainage improvements, including storm sewer upgrades to meet current capacities, ditch deepening, and sub regional detention ponds. Project will also widen and reshape ditches, and upgrade culverts. </v>
      </c>
      <c r="E468" s="256">
        <f>_xlfn.XLOOKUP(FME_Ranking1[[#This Row],[FME ID]],FME_Input[FME_ID],FME_Input[FME_COST])</f>
        <v>3000000</v>
      </c>
      <c r="F468" t="str">
        <f>_xlfn.XLOOKUP(FME_Ranking1[[#This Row],[FME ID]],FME_Input[FME_ID],FME_Input[EMER_NEED])</f>
        <v>No</v>
      </c>
      <c r="G468">
        <f>IF(FME_Ranking!F468="Yes",100,0)</f>
        <v>0</v>
      </c>
      <c r="H468">
        <f>FME_Ranking1[[#This Row],[Emergency Need Score (Normalized, Unweighted)]]*$F$3</f>
        <v>0</v>
      </c>
      <c r="I468" s="246">
        <f>_xlfn.XLOOKUP(FME_Ranking1[[#This Row],[FME ID]],FME_Input[FME_ID],FME_Input[STRUCT_100])</f>
        <v>1250</v>
      </c>
      <c r="J468" s="178">
        <f>(FME_Ranking1[[#This Row],[Structures 100 Raw]]/I$2)*100</f>
        <v>0.66936554855845432</v>
      </c>
      <c r="K468" s="178">
        <f>FME_Ranking1[[#This Row],[Structures 100  Score (Normalized, Unweighted)]]*$I$3</f>
        <v>0.10040483228376815</v>
      </c>
      <c r="L468" s="246">
        <f>_xlfn.XLOOKUP(FME_Ranking1[[#This Row],[FME ID]],FME_Input[FME_ID],FME_Input[RES_STRUCT100])</f>
        <v>966</v>
      </c>
      <c r="M468" s="230">
        <f>(FME_Ranking1[[#This Row],[Res Structures Raw]]/L$2)*100</f>
        <v>0.68422320125795066</v>
      </c>
      <c r="N468" s="180">
        <f>FME_Ranking1[[#This Row],[Res Structures Score (Normalized, Unweighted)]]*$L$3</f>
        <v>6.8422320125795064E-2</v>
      </c>
      <c r="O468" s="244">
        <f>_xlfn.XLOOKUP(FME_Ranking1[[#This Row],[FME ID]],FME_Input[FME_ID],FME_Input[POP100])</f>
        <v>8190</v>
      </c>
      <c r="P468" s="178">
        <f>(FME_Ranking1[[#This Row],[Pop Raw]]/$O$2)*100</f>
        <v>0.8384538051879713</v>
      </c>
      <c r="Q468" s="178">
        <f>FME_Ranking1[[#This Row],[Pop Score (Normalized, Unweighted)]]*$O$3</f>
        <v>0.12576807077819568</v>
      </c>
      <c r="R468" s="137">
        <f>_xlfn.XLOOKUP(FME_Ranking1[[#This Row],[FME ID]],FME_Input[FME_ID],FME_Input[CRITFAC100])</f>
        <v>8</v>
      </c>
      <c r="S468" s="230">
        <f>(FME_Ranking1[[#This Row],[Critical Facilities Raw]]/$R$2)*100</f>
        <v>0.34305317324185247</v>
      </c>
      <c r="T468" s="180">
        <f>FME_Ranking1[[#This Row],[Critical Facilities Score (Normalized, Unweighted)]]*$R$3</f>
        <v>6.86106346483705E-2</v>
      </c>
      <c r="U468">
        <f>_xlfn.XLOOKUP(FME_Ranking1[[#This Row],[FME ID]],FME_Input[FME_ID],FME_Input[LWC])</f>
        <v>0</v>
      </c>
      <c r="V468" s="178">
        <f>(FME_Ranking1[[#This Row],[LWC Raw]]/$U$2)*100</f>
        <v>0</v>
      </c>
      <c r="W468" s="178">
        <f>FME_Ranking1[[#This Row],[LWC Score (Normalized, Unweighted)]]*$U$3</f>
        <v>0</v>
      </c>
      <c r="X468" s="246">
        <f>_xlfn.XLOOKUP(FME_Ranking1[[#This Row],[FME ID]],FME_Input[FME_ID],FME_Input[ROADCLS])</f>
        <v>0</v>
      </c>
      <c r="Y468" s="230">
        <f>(FME_Ranking1[[#This Row],[Closures Raw]]/$X$2)*100</f>
        <v>0</v>
      </c>
      <c r="Z468" s="180">
        <f>FME_Ranking1[[#This Row],[Closures Score (Normalized, Unweighted)]]*$X$3</f>
        <v>0</v>
      </c>
      <c r="AA468" s="253">
        <f>_xlfn.XLOOKUP(FME_Ranking1[[#This Row],[FME ID]],FME_Input[FME_ID],FME_Input[ROAD_MILES100])</f>
        <v>43.312946319580078</v>
      </c>
      <c r="AB468" s="178">
        <f>(FME_Ranking1[[#This Row],[Miles Raw]]/$AA$2)*100</f>
        <v>0.56948755868622969</v>
      </c>
      <c r="AC468" s="178">
        <f>FME_Ranking1[[#This Row],[Miles Score (Normalized, Unweighted)]]*$AA$3</f>
        <v>5.6948755868622969E-2</v>
      </c>
      <c r="AD468" s="255">
        <f>_xlfn.XLOOKUP(FME_Ranking1[[#This Row],[FME ID]],FME_Input[FME_ID],FME_Input[FARMACRE100])</f>
        <v>178.80146789550781</v>
      </c>
      <c r="AE468" s="230">
        <f>(FME_Ranking1[[#This Row],[Ag Land Raw]]/$AD$2)*100</f>
        <v>7.3729721305800296E-3</v>
      </c>
      <c r="AF468" s="231">
        <f>FME_Ranking1[[#This Row],[Ag Land Score (Normalized, Unweighted)]]*$AD$3</f>
        <v>3.6864860652900151E-4</v>
      </c>
      <c r="AG46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0.42052326231128134</v>
      </c>
      <c r="AH468" s="406">
        <f t="shared" si="7"/>
        <v>508</v>
      </c>
      <c r="AI46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0.42052326231128134</v>
      </c>
      <c r="AJ468" s="257">
        <f>FME_Ranking1[[#This Row],[Addition check]]-FME_Ranking1[[#This Row],[Weighted Score Based on Normalized Reported Factors]]</f>
        <v>0</v>
      </c>
      <c r="AK468" s="178">
        <f>_xlfn.RANK.EQ(AI468,$AI$6:$AI$2341,0)+COUNTIF($AI$6:AI468,AI468)-1</f>
        <v>512</v>
      </c>
    </row>
    <row r="469" spans="1:37" ht="12" customHeight="1" x14ac:dyDescent="0.25">
      <c r="A469" t="s">
        <v>6294</v>
      </c>
      <c r="B469">
        <f>_xlfn.XLOOKUP(FME_Ranking1[[#This Row],[FME ID]],FME_Input[FME_ID],FME_Input[RFPG_NUM])</f>
        <v>5</v>
      </c>
      <c r="C469" t="str">
        <f>_xlfn.XLOOKUP(FME_Ranking1[[#This Row],[FME ID]],FME_Input[FME_ID],FME_Input[FME_NAME])</f>
        <v>Main B Channel Improvements</v>
      </c>
      <c r="D469" t="str">
        <f>_xlfn.XLOOKUP(FME_Ranking1[[#This Row],[FME ID]],FME_Input[FME_ID],FME_Input[DESCR])</f>
        <v>H&amp;H study to identify alternatives for Main B Channel</v>
      </c>
      <c r="E469" s="256">
        <f>_xlfn.XLOOKUP(FME_Ranking1[[#This Row],[FME ID]],FME_Input[FME_ID],FME_Input[FME_COST])</f>
        <v>100000</v>
      </c>
      <c r="F469" t="str">
        <f>_xlfn.XLOOKUP(FME_Ranking1[[#This Row],[FME ID]],FME_Input[FME_ID],FME_Input[EMER_NEED])</f>
        <v>Yes</v>
      </c>
      <c r="G469">
        <f>IF(FME_Ranking!F469="Yes",100,0)</f>
        <v>100</v>
      </c>
      <c r="H469">
        <f>FME_Ranking1[[#This Row],[Emergency Need Score (Normalized, Unweighted)]]*$F$3</f>
        <v>0</v>
      </c>
      <c r="I469" s="246">
        <f>_xlfn.XLOOKUP(FME_Ranking1[[#This Row],[FME ID]],FME_Input[FME_ID],FME_Input[STRUCT_100])</f>
        <v>876</v>
      </c>
      <c r="J469" s="178">
        <f>(FME_Ranking1[[#This Row],[Structures 100 Raw]]/I$2)*100</f>
        <v>0.46909137642976484</v>
      </c>
      <c r="K469" s="178">
        <f>FME_Ranking1[[#This Row],[Structures 100  Score (Normalized, Unweighted)]]*$I$3</f>
        <v>7.0363706464464729E-2</v>
      </c>
      <c r="L469" s="246">
        <f>_xlfn.XLOOKUP(FME_Ranking1[[#This Row],[FME ID]],FME_Input[FME_ID],FME_Input[RES_STRUCT100])</f>
        <v>741</v>
      </c>
      <c r="M469" s="230">
        <f>(FME_Ranking1[[#This Row],[Res Structures Raw]]/L$2)*100</f>
        <v>0.52485444320097463</v>
      </c>
      <c r="N469" s="180">
        <f>FME_Ranking1[[#This Row],[Res Structures Score (Normalized, Unweighted)]]*$L$3</f>
        <v>5.2485444320097469E-2</v>
      </c>
      <c r="O469" s="244">
        <f>_xlfn.XLOOKUP(FME_Ranking1[[#This Row],[FME ID]],FME_Input[FME_ID],FME_Input[POP100])</f>
        <v>5960</v>
      </c>
      <c r="P469" s="178">
        <f>(FME_Ranking1[[#This Row],[Pop Raw]]/$O$2)*100</f>
        <v>0.61015685945302922</v>
      </c>
      <c r="Q469" s="178">
        <f>FME_Ranking1[[#This Row],[Pop Score (Normalized, Unweighted)]]*$O$3</f>
        <v>9.1523528917954386E-2</v>
      </c>
      <c r="R469" s="137">
        <f>_xlfn.XLOOKUP(FME_Ranking1[[#This Row],[FME ID]],FME_Input[FME_ID],FME_Input[CRITFAC100])</f>
        <v>17</v>
      </c>
      <c r="S469" s="230">
        <f>(FME_Ranking1[[#This Row],[Critical Facilities Raw]]/$R$2)*100</f>
        <v>0.72898799313893659</v>
      </c>
      <c r="T469" s="180">
        <f>FME_Ranking1[[#This Row],[Critical Facilities Score (Normalized, Unweighted)]]*$R$3</f>
        <v>0.14579759862778732</v>
      </c>
      <c r="U469">
        <f>_xlfn.XLOOKUP(FME_Ranking1[[#This Row],[FME ID]],FME_Input[FME_ID],FME_Input[LWC])</f>
        <v>0</v>
      </c>
      <c r="V469" s="178">
        <f>(FME_Ranking1[[#This Row],[LWC Raw]]/$U$2)*100</f>
        <v>0</v>
      </c>
      <c r="W469" s="178">
        <f>FME_Ranking1[[#This Row],[LWC Score (Normalized, Unweighted)]]*$U$3</f>
        <v>0</v>
      </c>
      <c r="X469" s="246">
        <f>_xlfn.XLOOKUP(FME_Ranking1[[#This Row],[FME ID]],FME_Input[FME_ID],FME_Input[ROADCLS])</f>
        <v>0</v>
      </c>
      <c r="Y469" s="230">
        <f>(FME_Ranking1[[#This Row],[Closures Raw]]/$X$2)*100</f>
        <v>0</v>
      </c>
      <c r="Z469" s="180">
        <f>FME_Ranking1[[#This Row],[Closures Score (Normalized, Unweighted)]]*$X$3</f>
        <v>0</v>
      </c>
      <c r="AA469" s="253">
        <f>_xlfn.XLOOKUP(FME_Ranking1[[#This Row],[FME ID]],FME_Input[FME_ID],FME_Input[ROAD_MILES100])</f>
        <v>18.967891693115231</v>
      </c>
      <c r="AB469" s="178">
        <f>(FME_Ranking1[[#This Row],[Miles Raw]]/$AA$2)*100</f>
        <v>0.24939375525358476</v>
      </c>
      <c r="AC469" s="178">
        <f>FME_Ranking1[[#This Row],[Miles Score (Normalized, Unweighted)]]*$AA$3</f>
        <v>2.4939375525358479E-2</v>
      </c>
      <c r="AD469" s="255">
        <f>_xlfn.XLOOKUP(FME_Ranking1[[#This Row],[FME ID]],FME_Input[FME_ID],FME_Input[FARMACRE100])</f>
        <v>8.2443151473999023</v>
      </c>
      <c r="AE469" s="230">
        <f>(FME_Ranking1[[#This Row],[Ag Land Raw]]/$AD$2)*100</f>
        <v>3.3995865097159766E-4</v>
      </c>
      <c r="AF469" s="231">
        <f>FME_Ranking1[[#This Row],[Ag Land Score (Normalized, Unweighted)]]*$AD$3</f>
        <v>1.6997932548579885E-5</v>
      </c>
      <c r="AG46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0.38512665178821093</v>
      </c>
      <c r="AH469" s="406">
        <f t="shared" si="7"/>
        <v>541</v>
      </c>
      <c r="AI46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0.38512665178821093</v>
      </c>
      <c r="AJ469" s="257">
        <f>FME_Ranking1[[#This Row],[Addition check]]-FME_Ranking1[[#This Row],[Weighted Score Based on Normalized Reported Factors]]</f>
        <v>0</v>
      </c>
      <c r="AK469" s="178">
        <f>_xlfn.RANK.EQ(AI469,$AI$6:$AI$2341,0)+COUNTIF($AI$6:AI469,AI469)-1</f>
        <v>541</v>
      </c>
    </row>
    <row r="470" spans="1:37" ht="12" customHeight="1" x14ac:dyDescent="0.25">
      <c r="A470" t="s">
        <v>5454</v>
      </c>
      <c r="B470">
        <f>_xlfn.XLOOKUP(FME_Ranking1[[#This Row],[FME ID]],FME_Input[FME_ID],FME_Input[RFPG_NUM])</f>
        <v>4</v>
      </c>
      <c r="C470" t="str">
        <f>_xlfn.XLOOKUP(FME_Ranking1[[#This Row],[FME ID]],FME_Input[FME_ID],FME_Input[FME_NAME])</f>
        <v>Jasper County Flood Hazard Mapping</v>
      </c>
      <c r="D470" t="str">
        <f>_xlfn.XLOOKUP(FME_Ranking1[[#This Row],[FME ID]],FME_Input[FME_ID],FME_Input[DESCR])</f>
        <v>Complete a detailed study within the county extent to delineate an updated flood hazard area, which can be used for regulatory purposes.</v>
      </c>
      <c r="E470" s="256">
        <f>_xlfn.XLOOKUP(FME_Ranking1[[#This Row],[FME ID]],FME_Input[FME_ID],FME_Input[FME_COST])</f>
        <v>700000</v>
      </c>
      <c r="F470" t="str">
        <f>_xlfn.XLOOKUP(FME_Ranking1[[#This Row],[FME ID]],FME_Input[FME_ID],FME_Input[EMER_NEED])</f>
        <v>Yes</v>
      </c>
      <c r="G470">
        <f>IF(FME_Ranking!F470="Yes",100,0)</f>
        <v>100</v>
      </c>
      <c r="H470">
        <f>FME_Ranking1[[#This Row],[Emergency Need Score (Normalized, Unweighted)]]*$F$3</f>
        <v>0</v>
      </c>
      <c r="I470" s="246">
        <f>_xlfn.XLOOKUP(FME_Ranking1[[#This Row],[FME ID]],FME_Input[FME_ID],FME_Input[STRUCT_100])</f>
        <v>945</v>
      </c>
      <c r="J470" s="178">
        <f>(FME_Ranking1[[#This Row],[Structures 100 Raw]]/I$2)*100</f>
        <v>0.50604035471019149</v>
      </c>
      <c r="K470" s="178">
        <f>FME_Ranking1[[#This Row],[Structures 100  Score (Normalized, Unweighted)]]*$I$3</f>
        <v>7.5906053206528726E-2</v>
      </c>
      <c r="L470" s="246">
        <f>_xlfn.XLOOKUP(FME_Ranking1[[#This Row],[FME ID]],FME_Input[FME_ID],FME_Input[RES_STRUCT100])</f>
        <v>915</v>
      </c>
      <c r="M470" s="230">
        <f>(FME_Ranking1[[#This Row],[Res Structures Raw]]/L$2)*100</f>
        <v>0.64809961609836941</v>
      </c>
      <c r="N470" s="180">
        <f>FME_Ranking1[[#This Row],[Res Structures Score (Normalized, Unweighted)]]*$L$3</f>
        <v>6.4809961609836944E-2</v>
      </c>
      <c r="O470" s="244">
        <f>_xlfn.XLOOKUP(FME_Ranking1[[#This Row],[FME ID]],FME_Input[FME_ID],FME_Input[POP100])</f>
        <v>1739</v>
      </c>
      <c r="P470" s="178">
        <f>(FME_Ranking1[[#This Row],[Pop Raw]]/$O$2)*100</f>
        <v>0.17803066754845936</v>
      </c>
      <c r="Q470" s="178">
        <f>FME_Ranking1[[#This Row],[Pop Score (Normalized, Unweighted)]]*$O$3</f>
        <v>2.6704600132268903E-2</v>
      </c>
      <c r="R470" s="137">
        <f>_xlfn.XLOOKUP(FME_Ranking1[[#This Row],[FME ID]],FME_Input[FME_ID],FME_Input[CRITFAC100])</f>
        <v>15</v>
      </c>
      <c r="S470" s="230">
        <f>(FME_Ranking1[[#This Row],[Critical Facilities Raw]]/$R$2)*100</f>
        <v>0.64322469982847341</v>
      </c>
      <c r="T470" s="180">
        <f>FME_Ranking1[[#This Row],[Critical Facilities Score (Normalized, Unweighted)]]*$R$3</f>
        <v>0.12864493996569468</v>
      </c>
      <c r="U470">
        <f>_xlfn.XLOOKUP(FME_Ranking1[[#This Row],[FME ID]],FME_Input[FME_ID],FME_Input[LWC])</f>
        <v>5</v>
      </c>
      <c r="V470" s="178">
        <f>(FME_Ranking1[[#This Row],[LWC Raw]]/$U$2)*100</f>
        <v>0.28785261945883706</v>
      </c>
      <c r="W470" s="178">
        <f>FME_Ranking1[[#This Row],[LWC Score (Normalized, Unweighted)]]*$U$3</f>
        <v>5.7570523891767415E-2</v>
      </c>
      <c r="X470" s="246">
        <f>_xlfn.XLOOKUP(FME_Ranking1[[#This Row],[FME ID]],FME_Input[FME_ID],FME_Input[ROADCLS])</f>
        <v>5</v>
      </c>
      <c r="Y470" s="230">
        <f>(FME_Ranking1[[#This Row],[Closures Raw]]/$X$2)*100</f>
        <v>5.2570707601724324E-2</v>
      </c>
      <c r="Z470" s="180">
        <f>FME_Ranking1[[#This Row],[Closures Score (Normalized, Unweighted)]]*$X$3</f>
        <v>2.6285353800862164E-3</v>
      </c>
      <c r="AA470" s="253">
        <f>_xlfn.XLOOKUP(FME_Ranking1[[#This Row],[FME ID]],FME_Input[FME_ID],FME_Input[ROAD_MILES100])</f>
        <v>66.959999084472656</v>
      </c>
      <c r="AB470" s="178">
        <f>(FME_Ranking1[[#This Row],[Miles Raw]]/$AA$2)*100</f>
        <v>0.88040388956431104</v>
      </c>
      <c r="AC470" s="178">
        <f>FME_Ranking1[[#This Row],[Miles Score (Normalized, Unweighted)]]*$AA$3</f>
        <v>8.8040388956431112E-2</v>
      </c>
      <c r="AD470" s="255">
        <f>_xlfn.XLOOKUP(FME_Ranking1[[#This Row],[FME ID]],FME_Input[FME_ID],FME_Input[FARMACRE100])</f>
        <v>1.669999957084656</v>
      </c>
      <c r="AE470" s="230">
        <f>(FME_Ranking1[[#This Row],[Ag Land Raw]]/$AD$2)*100</f>
        <v>6.8863322469201943E-5</v>
      </c>
      <c r="AF470" s="231">
        <f>FME_Ranking1[[#This Row],[Ag Land Score (Normalized, Unweighted)]]*$AD$3</f>
        <v>3.4431661234600972E-6</v>
      </c>
      <c r="AG47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0.4443084463087375</v>
      </c>
      <c r="AH470" s="406">
        <f t="shared" si="7"/>
        <v>482</v>
      </c>
      <c r="AI47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0.4443084463087375</v>
      </c>
      <c r="AJ470" s="257">
        <f>FME_Ranking1[[#This Row],[Addition check]]-FME_Ranking1[[#This Row],[Weighted Score Based on Normalized Reported Factors]]</f>
        <v>0</v>
      </c>
      <c r="AK470" s="178">
        <f>_xlfn.RANK.EQ(AI470,$AI$6:$AI$2341,0)+COUNTIF($AI$6:AI470,AI470)-1</f>
        <v>482</v>
      </c>
    </row>
    <row r="471" spans="1:37" ht="12" customHeight="1" x14ac:dyDescent="0.25">
      <c r="A471" t="s">
        <v>2254</v>
      </c>
      <c r="B471">
        <f>_xlfn.XLOOKUP(FME_Ranking1[[#This Row],[FME ID]],FME_Input[FME_ID],FME_Input[RFPG_NUM])</f>
        <v>6</v>
      </c>
      <c r="C471" t="str">
        <f>_xlfn.XLOOKUP(FME_Ranking1[[#This Row],[FME ID]],FME_Input[FME_ID],FME_Input[FME_NAME])</f>
        <v>Halls Bayou - Right-Of-Way, Design, and Construction of Channel Conveyance Improvements on P118-23-00 and P118-23-02</v>
      </c>
      <c r="D471" t="str">
        <f>_xlfn.XLOOKUP(FME_Ranking1[[#This Row],[FME ID]],FME_Input[FME_ID],FME_Input[DESCR])</f>
        <v>Study to develop a BCR required for this project to become a FMP. Would reduce flood risk for 300+ structures, size of floodplain by 200+ acres. Facilitates future drainage projects by more outfall depth.</v>
      </c>
      <c r="E471" s="256">
        <f>_xlfn.XLOOKUP(FME_Ranking1[[#This Row],[FME ID]],FME_Input[FME_ID],FME_Input[FME_COST])</f>
        <v>30000</v>
      </c>
      <c r="F471" t="str">
        <f>_xlfn.XLOOKUP(FME_Ranking1[[#This Row],[FME ID]],FME_Input[FME_ID],FME_Input[EMER_NEED])</f>
        <v>No</v>
      </c>
      <c r="G471">
        <f>IF(FME_Ranking!F471="Yes",100,0)</f>
        <v>0</v>
      </c>
      <c r="H471">
        <f>FME_Ranking1[[#This Row],[Emergency Need Score (Normalized, Unweighted)]]*$F$3</f>
        <v>0</v>
      </c>
      <c r="I471" s="246">
        <f>_xlfn.XLOOKUP(FME_Ranking1[[#This Row],[FME ID]],FME_Input[FME_ID],FME_Input[STRUCT_100])</f>
        <v>1432</v>
      </c>
      <c r="J471" s="178">
        <f>(FME_Ranking1[[#This Row],[Structures 100 Raw]]/I$2)*100</f>
        <v>0.76682517242856529</v>
      </c>
      <c r="K471" s="178">
        <f>FME_Ranking1[[#This Row],[Structures 100  Score (Normalized, Unweighted)]]*$I$3</f>
        <v>0.11502377586428479</v>
      </c>
      <c r="L471" s="246">
        <f>_xlfn.XLOOKUP(FME_Ranking1[[#This Row],[FME ID]],FME_Input[FME_ID],FME_Input[RES_STRUCT100])</f>
        <v>1009</v>
      </c>
      <c r="M471" s="230">
        <f>(FME_Ranking1[[#This Row],[Res Structures Raw]]/L$2)*100</f>
        <v>0.71468034168661732</v>
      </c>
      <c r="N471" s="180">
        <f>FME_Ranking1[[#This Row],[Res Structures Score (Normalized, Unweighted)]]*$L$3</f>
        <v>7.1468034168661737E-2</v>
      </c>
      <c r="O471" s="244">
        <f>_xlfn.XLOOKUP(FME_Ranking1[[#This Row],[FME ID]],FME_Input[FME_ID],FME_Input[POP100])</f>
        <v>5511</v>
      </c>
      <c r="P471" s="178">
        <f>(FME_Ranking1[[#This Row],[Pop Raw]]/$O$2)*100</f>
        <v>0.56419034437007443</v>
      </c>
      <c r="Q471" s="178">
        <f>FME_Ranking1[[#This Row],[Pop Score (Normalized, Unweighted)]]*$O$3</f>
        <v>8.4628551655511156E-2</v>
      </c>
      <c r="R471" s="137">
        <f>_xlfn.XLOOKUP(FME_Ranking1[[#This Row],[FME ID]],FME_Input[FME_ID],FME_Input[CRITFAC100])</f>
        <v>8</v>
      </c>
      <c r="S471" s="230">
        <f>(FME_Ranking1[[#This Row],[Critical Facilities Raw]]/$R$2)*100</f>
        <v>0.34305317324185247</v>
      </c>
      <c r="T471" s="180">
        <f>FME_Ranking1[[#This Row],[Critical Facilities Score (Normalized, Unweighted)]]*$R$3</f>
        <v>6.86106346483705E-2</v>
      </c>
      <c r="U471">
        <f>_xlfn.XLOOKUP(FME_Ranking1[[#This Row],[FME ID]],FME_Input[FME_ID],FME_Input[LWC])</f>
        <v>1</v>
      </c>
      <c r="V471" s="178">
        <f>(FME_Ranking1[[#This Row],[LWC Raw]]/$U$2)*100</f>
        <v>5.7570523891767422E-2</v>
      </c>
      <c r="W471" s="178">
        <f>FME_Ranking1[[#This Row],[LWC Score (Normalized, Unweighted)]]*$U$3</f>
        <v>1.1514104778353485E-2</v>
      </c>
      <c r="X471" s="246">
        <f>_xlfn.XLOOKUP(FME_Ranking1[[#This Row],[FME ID]],FME_Input[FME_ID],FME_Input[ROADCLS])</f>
        <v>1</v>
      </c>
      <c r="Y471" s="230">
        <f>(FME_Ranking1[[#This Row],[Closures Raw]]/$X$2)*100</f>
        <v>1.0514141520344864E-2</v>
      </c>
      <c r="Z471" s="180">
        <f>FME_Ranking1[[#This Row],[Closures Score (Normalized, Unweighted)]]*$X$3</f>
        <v>5.2570707601724321E-4</v>
      </c>
      <c r="AA471" s="253">
        <f>_xlfn.XLOOKUP(FME_Ranking1[[#This Row],[FME ID]],FME_Input[FME_ID],FME_Input[ROAD_MILES100])</f>
        <v>9.6468038558959961</v>
      </c>
      <c r="AB471" s="178">
        <f>(FME_Ranking1[[#This Row],[Miles Raw]]/$AA$2)*100</f>
        <v>0.12683816835003942</v>
      </c>
      <c r="AC471" s="178">
        <f>FME_Ranking1[[#This Row],[Miles Score (Normalized, Unweighted)]]*$AA$3</f>
        <v>1.2683816835003942E-2</v>
      </c>
      <c r="AD471" s="255">
        <f>_xlfn.XLOOKUP(FME_Ranking1[[#This Row],[FME ID]],FME_Input[FME_ID],FME_Input[FARMACRE100])</f>
        <v>0</v>
      </c>
      <c r="AE471" s="230">
        <f>(FME_Ranking1[[#This Row],[Ag Land Raw]]/$AD$2)*100</f>
        <v>0</v>
      </c>
      <c r="AF471" s="231">
        <f>FME_Ranking1[[#This Row],[Ag Land Score (Normalized, Unweighted)]]*$AD$3</f>
        <v>0</v>
      </c>
      <c r="AG47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0.36445462502620274</v>
      </c>
      <c r="AH471" s="406">
        <f t="shared" si="7"/>
        <v>554</v>
      </c>
      <c r="AI47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0.36445462502620274</v>
      </c>
      <c r="AJ471" s="257">
        <f>FME_Ranking1[[#This Row],[Addition check]]-FME_Ranking1[[#This Row],[Weighted Score Based on Normalized Reported Factors]]</f>
        <v>0</v>
      </c>
      <c r="AK471" s="178">
        <f>_xlfn.RANK.EQ(AI471,$AI$6:$AI$2341,0)+COUNTIF($AI$6:AI471,AI471)-1</f>
        <v>554</v>
      </c>
    </row>
    <row r="472" spans="1:37" ht="12" customHeight="1" x14ac:dyDescent="0.25">
      <c r="A472" t="s">
        <v>2301</v>
      </c>
      <c r="B472">
        <f>_xlfn.XLOOKUP(FME_Ranking1[[#This Row],[FME ID]],FME_Input[FME_ID],FME_Input[RFPG_NUM])</f>
        <v>6</v>
      </c>
      <c r="C472" t="str">
        <f>_xlfn.XLOOKUP(FME_Ranking1[[#This Row],[FME ID]],FME_Input[FME_ID],FME_Input[FME_NAME])</f>
        <v>Halls Bayou Drainage Project Bond C-26 &amp; C-27</v>
      </c>
      <c r="D472" t="str">
        <f>_xlfn.XLOOKUP(FME_Ranking1[[#This Row],[FME ID]],FME_Input[FME_ID],FME_Input[DESCR])</f>
        <v>Study to develop a Benefit Cost Analysis needed for this project to become a FMP. FIF application information unavailable.</v>
      </c>
      <c r="E472" s="256">
        <f>_xlfn.XLOOKUP(FME_Ranking1[[#This Row],[FME ID]],FME_Input[FME_ID],FME_Input[FME_COST])</f>
        <v>30000</v>
      </c>
      <c r="F472" t="str">
        <f>_xlfn.XLOOKUP(FME_Ranking1[[#This Row],[FME ID]],FME_Input[FME_ID],FME_Input[EMER_NEED])</f>
        <v>No</v>
      </c>
      <c r="G472">
        <f>IF(FME_Ranking!F472="Yes",100,0)</f>
        <v>0</v>
      </c>
      <c r="H472">
        <f>FME_Ranking1[[#This Row],[Emergency Need Score (Normalized, Unweighted)]]*$F$3</f>
        <v>0</v>
      </c>
      <c r="I472" s="246">
        <f>_xlfn.XLOOKUP(FME_Ranking1[[#This Row],[FME ID]],FME_Input[FME_ID],FME_Input[STRUCT_100])</f>
        <v>1432</v>
      </c>
      <c r="J472" s="178">
        <f>(FME_Ranking1[[#This Row],[Structures 100 Raw]]/I$2)*100</f>
        <v>0.76682517242856529</v>
      </c>
      <c r="K472" s="178">
        <f>FME_Ranking1[[#This Row],[Structures 100  Score (Normalized, Unweighted)]]*$I$3</f>
        <v>0.11502377586428479</v>
      </c>
      <c r="L472" s="246">
        <f>_xlfn.XLOOKUP(FME_Ranking1[[#This Row],[FME ID]],FME_Input[FME_ID],FME_Input[RES_STRUCT100])</f>
        <v>1009</v>
      </c>
      <c r="M472" s="230">
        <f>(FME_Ranking1[[#This Row],[Res Structures Raw]]/L$2)*100</f>
        <v>0.71468034168661732</v>
      </c>
      <c r="N472" s="180">
        <f>FME_Ranking1[[#This Row],[Res Structures Score (Normalized, Unweighted)]]*$L$3</f>
        <v>7.1468034168661737E-2</v>
      </c>
      <c r="O472" s="244">
        <f>_xlfn.XLOOKUP(FME_Ranking1[[#This Row],[FME ID]],FME_Input[FME_ID],FME_Input[POP100])</f>
        <v>5511</v>
      </c>
      <c r="P472" s="178">
        <f>(FME_Ranking1[[#This Row],[Pop Raw]]/$O$2)*100</f>
        <v>0.56419034437007443</v>
      </c>
      <c r="Q472" s="178">
        <f>FME_Ranking1[[#This Row],[Pop Score (Normalized, Unweighted)]]*$O$3</f>
        <v>8.4628551655511156E-2</v>
      </c>
      <c r="R472" s="137">
        <f>_xlfn.XLOOKUP(FME_Ranking1[[#This Row],[FME ID]],FME_Input[FME_ID],FME_Input[CRITFAC100])</f>
        <v>8</v>
      </c>
      <c r="S472" s="230">
        <f>(FME_Ranking1[[#This Row],[Critical Facilities Raw]]/$R$2)*100</f>
        <v>0.34305317324185247</v>
      </c>
      <c r="T472" s="180">
        <f>FME_Ranking1[[#This Row],[Critical Facilities Score (Normalized, Unweighted)]]*$R$3</f>
        <v>6.86106346483705E-2</v>
      </c>
      <c r="U472">
        <f>_xlfn.XLOOKUP(FME_Ranking1[[#This Row],[FME ID]],FME_Input[FME_ID],FME_Input[LWC])</f>
        <v>1</v>
      </c>
      <c r="V472" s="178">
        <f>(FME_Ranking1[[#This Row],[LWC Raw]]/$U$2)*100</f>
        <v>5.7570523891767422E-2</v>
      </c>
      <c r="W472" s="178">
        <f>FME_Ranking1[[#This Row],[LWC Score (Normalized, Unweighted)]]*$U$3</f>
        <v>1.1514104778353485E-2</v>
      </c>
      <c r="X472" s="246">
        <f>_xlfn.XLOOKUP(FME_Ranking1[[#This Row],[FME ID]],FME_Input[FME_ID],FME_Input[ROADCLS])</f>
        <v>1</v>
      </c>
      <c r="Y472" s="230">
        <f>(FME_Ranking1[[#This Row],[Closures Raw]]/$X$2)*100</f>
        <v>1.0514141520344864E-2</v>
      </c>
      <c r="Z472" s="180">
        <f>FME_Ranking1[[#This Row],[Closures Score (Normalized, Unweighted)]]*$X$3</f>
        <v>5.2570707601724321E-4</v>
      </c>
      <c r="AA472" s="253">
        <f>_xlfn.XLOOKUP(FME_Ranking1[[#This Row],[FME ID]],FME_Input[FME_ID],FME_Input[ROAD_MILES100])</f>
        <v>9.6468038558959961</v>
      </c>
      <c r="AB472" s="178">
        <f>(FME_Ranking1[[#This Row],[Miles Raw]]/$AA$2)*100</f>
        <v>0.12683816835003942</v>
      </c>
      <c r="AC472" s="178">
        <f>FME_Ranking1[[#This Row],[Miles Score (Normalized, Unweighted)]]*$AA$3</f>
        <v>1.2683816835003942E-2</v>
      </c>
      <c r="AD472" s="255">
        <f>_xlfn.XLOOKUP(FME_Ranking1[[#This Row],[FME ID]],FME_Input[FME_ID],FME_Input[FARMACRE100])</f>
        <v>0</v>
      </c>
      <c r="AE472" s="230">
        <f>(FME_Ranking1[[#This Row],[Ag Land Raw]]/$AD$2)*100</f>
        <v>0</v>
      </c>
      <c r="AF472" s="231">
        <f>FME_Ranking1[[#This Row],[Ag Land Score (Normalized, Unweighted)]]*$AD$3</f>
        <v>0</v>
      </c>
      <c r="AG47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0.36445462502620274</v>
      </c>
      <c r="AH472" s="406">
        <f t="shared" si="7"/>
        <v>554</v>
      </c>
      <c r="AI47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0.36445462502620274</v>
      </c>
      <c r="AJ472" s="257">
        <f>FME_Ranking1[[#This Row],[Addition check]]-FME_Ranking1[[#This Row],[Weighted Score Based on Normalized Reported Factors]]</f>
        <v>0</v>
      </c>
      <c r="AK472" s="178">
        <f>_xlfn.RANK.EQ(AI472,$AI$6:$AI$2341,0)+COUNTIF($AI$6:AI472,AI472)-1</f>
        <v>555</v>
      </c>
    </row>
    <row r="473" spans="1:37" ht="12" customHeight="1" x14ac:dyDescent="0.25">
      <c r="A473" t="s">
        <v>6519</v>
      </c>
      <c r="B473">
        <f>_xlfn.XLOOKUP(FME_Ranking1[[#This Row],[FME ID]],FME_Input[FME_ID],FME_Input[RFPG_NUM])</f>
        <v>7</v>
      </c>
      <c r="C473" t="str">
        <f>_xlfn.XLOOKUP(FME_Ranking1[[#This Row],[FME ID]],FME_Input[FME_ID],FME_Input[FME_NAME])</f>
        <v>Jones County DMP</v>
      </c>
      <c r="D473" t="str">
        <f>_xlfn.XLOOKUP(FME_Ranking1[[#This Row],[FME ID]],FME_Input[FME_ID],FME_Input[DESCR])</f>
        <v>Evaluate county to identify future projects, analyze roads/stream crossing for emergency response vehicles to high hazard areas</v>
      </c>
      <c r="E473" s="256">
        <f>_xlfn.XLOOKUP(FME_Ranking1[[#This Row],[FME ID]],FME_Input[FME_ID],FME_Input[FME_COST])</f>
        <v>500000</v>
      </c>
      <c r="F473" t="str">
        <f>_xlfn.XLOOKUP(FME_Ranking1[[#This Row],[FME ID]],FME_Input[FME_ID],FME_Input[EMER_NEED])</f>
        <v>No</v>
      </c>
      <c r="G473">
        <f>IF(FME_Ranking!F473="Yes",100,0)</f>
        <v>0</v>
      </c>
      <c r="H473">
        <f>FME_Ranking1[[#This Row],[Emergency Need Score (Normalized, Unweighted)]]*$F$3</f>
        <v>0</v>
      </c>
      <c r="I473" s="246">
        <f>_xlfn.XLOOKUP(FME_Ranking1[[#This Row],[FME ID]],FME_Input[FME_ID],FME_Input[STRUCT_100])</f>
        <v>1145</v>
      </c>
      <c r="J473" s="178">
        <f>(FME_Ranking1[[#This Row],[Structures 100 Raw]]/I$2)*100</f>
        <v>0.6131388424795442</v>
      </c>
      <c r="K473" s="178">
        <f>FME_Ranking1[[#This Row],[Structures 100  Score (Normalized, Unweighted)]]*$I$3</f>
        <v>9.197082637193163E-2</v>
      </c>
      <c r="L473" s="246">
        <f>_xlfn.XLOOKUP(FME_Ranking1[[#This Row],[FME ID]],FME_Input[FME_ID],FME_Input[RES_STRUCT100])</f>
        <v>499</v>
      </c>
      <c r="M473" s="230">
        <f>(FME_Ranking1[[#This Row],[Res Structures Raw]]/L$2)*100</f>
        <v>0.35344449009080475</v>
      </c>
      <c r="N473" s="180">
        <f>FME_Ranking1[[#This Row],[Res Structures Score (Normalized, Unweighted)]]*$L$3</f>
        <v>3.5344449009080479E-2</v>
      </c>
      <c r="O473" s="244">
        <f>_xlfn.XLOOKUP(FME_Ranking1[[#This Row],[FME ID]],FME_Input[FME_ID],FME_Input[POP100])</f>
        <v>1118</v>
      </c>
      <c r="P473" s="178">
        <f>(FME_Ranking1[[#This Row],[Pop Raw]]/$O$2)*100</f>
        <v>0.11445559880343735</v>
      </c>
      <c r="Q473" s="178">
        <f>FME_Ranking1[[#This Row],[Pop Score (Normalized, Unweighted)]]*$O$3</f>
        <v>1.7168339820515601E-2</v>
      </c>
      <c r="R473" s="137">
        <f>_xlfn.XLOOKUP(FME_Ranking1[[#This Row],[FME ID]],FME_Input[FME_ID],FME_Input[CRITFAC100])</f>
        <v>2</v>
      </c>
      <c r="S473" s="230">
        <f>(FME_Ranking1[[#This Row],[Critical Facilities Raw]]/$R$2)*100</f>
        <v>8.5763293310463118E-2</v>
      </c>
      <c r="T473" s="180">
        <f>FME_Ranking1[[#This Row],[Critical Facilities Score (Normalized, Unweighted)]]*$R$3</f>
        <v>1.7152658662092625E-2</v>
      </c>
      <c r="U473">
        <f>_xlfn.XLOOKUP(FME_Ranking1[[#This Row],[FME ID]],FME_Input[FME_ID],FME_Input[LWC])</f>
        <v>8</v>
      </c>
      <c r="V473" s="178">
        <f>(FME_Ranking1[[#This Row],[LWC Raw]]/$U$2)*100</f>
        <v>0.46056419113413938</v>
      </c>
      <c r="W473" s="178">
        <f>FME_Ranking1[[#This Row],[LWC Score (Normalized, Unweighted)]]*$U$3</f>
        <v>9.2112838226827878E-2</v>
      </c>
      <c r="X473" s="246">
        <f>_xlfn.XLOOKUP(FME_Ranking1[[#This Row],[FME ID]],FME_Input[FME_ID],FME_Input[ROADCLS])</f>
        <v>0</v>
      </c>
      <c r="Y473" s="230">
        <f>(FME_Ranking1[[#This Row],[Closures Raw]]/$X$2)*100</f>
        <v>0</v>
      </c>
      <c r="Z473" s="180">
        <f>FME_Ranking1[[#This Row],[Closures Score (Normalized, Unweighted)]]*$X$3</f>
        <v>0</v>
      </c>
      <c r="AA473" s="253">
        <f>_xlfn.XLOOKUP(FME_Ranking1[[#This Row],[FME ID]],FME_Input[FME_ID],FME_Input[ROAD_MILES100])</f>
        <v>189.04887390136719</v>
      </c>
      <c r="AB473" s="178">
        <f>(FME_Ranking1[[#This Row],[Miles Raw]]/$AA$2)*100</f>
        <v>2.4856536167293979</v>
      </c>
      <c r="AC473" s="178">
        <f>FME_Ranking1[[#This Row],[Miles Score (Normalized, Unweighted)]]*$AA$3</f>
        <v>0.2485653616729398</v>
      </c>
      <c r="AD473" s="255">
        <f>_xlfn.XLOOKUP(FME_Ranking1[[#This Row],[FME ID]],FME_Input[FME_ID],FME_Input[FARMACRE100])</f>
        <v>47148.859375</v>
      </c>
      <c r="AE473" s="230">
        <f>(FME_Ranking1[[#This Row],[Ag Land Raw]]/$AD$2)*100</f>
        <v>1.9442078985820548</v>
      </c>
      <c r="AF473" s="231">
        <f>FME_Ranking1[[#This Row],[Ag Land Score (Normalized, Unweighted)]]*$AD$3</f>
        <v>9.7210394929102745E-2</v>
      </c>
      <c r="AG47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0.59952486869249078</v>
      </c>
      <c r="AH473" s="406">
        <f t="shared" si="7"/>
        <v>391</v>
      </c>
      <c r="AI47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0.59952486869249078</v>
      </c>
      <c r="AJ473" s="257">
        <f>FME_Ranking1[[#This Row],[Addition check]]-FME_Ranking1[[#This Row],[Weighted Score Based on Normalized Reported Factors]]</f>
        <v>0</v>
      </c>
      <c r="AK473" s="178">
        <f>_xlfn.RANK.EQ(AI473,$AI$6:$AI$2341,0)+COUNTIF($AI$6:AI473,AI473)-1</f>
        <v>391</v>
      </c>
    </row>
    <row r="474" spans="1:37" ht="12" customHeight="1" x14ac:dyDescent="0.25">
      <c r="A474" t="s">
        <v>7177</v>
      </c>
      <c r="B474">
        <f>_xlfn.XLOOKUP(FME_Ranking1[[#This Row],[FME ID]],FME_Input[FME_ID],FME_Input[RFPG_NUM])</f>
        <v>7</v>
      </c>
      <c r="C474" t="str">
        <f>_xlfn.XLOOKUP(FME_Ranking1[[#This Row],[FME ID]],FME_Input[FME_ID],FME_Input[FME_NAME])</f>
        <v>Jones County DCM</v>
      </c>
      <c r="D474" t="str">
        <f>_xlfn.XLOOKUP(FME_Ranking1[[#This Row],[FME ID]],FME_Input[FME_ID],FME_Input[DESCR])</f>
        <v>Consider stormwater criteria for infrastructure and floodplain ordinances to avoid new exposure to flood hazards.</v>
      </c>
      <c r="E474" s="256">
        <f>_xlfn.XLOOKUP(FME_Ranking1[[#This Row],[FME ID]],FME_Input[FME_ID],FME_Input[FME_COST])</f>
        <v>100000</v>
      </c>
      <c r="F474" t="str">
        <f>_xlfn.XLOOKUP(FME_Ranking1[[#This Row],[FME ID]],FME_Input[FME_ID],FME_Input[EMER_NEED])</f>
        <v>No</v>
      </c>
      <c r="G474">
        <f>IF(FME_Ranking!F474="Yes",100,0)</f>
        <v>0</v>
      </c>
      <c r="H474">
        <f>FME_Ranking1[[#This Row],[Emergency Need Score (Normalized, Unweighted)]]*$F$3</f>
        <v>0</v>
      </c>
      <c r="I474" s="246">
        <f>_xlfn.XLOOKUP(FME_Ranking1[[#This Row],[FME ID]],FME_Input[FME_ID],FME_Input[STRUCT_100])</f>
        <v>1145</v>
      </c>
      <c r="J474" s="178">
        <f>(FME_Ranking1[[#This Row],[Structures 100 Raw]]/I$2)*100</f>
        <v>0.6131388424795442</v>
      </c>
      <c r="K474" s="178">
        <f>FME_Ranking1[[#This Row],[Structures 100  Score (Normalized, Unweighted)]]*$I$3</f>
        <v>9.197082637193163E-2</v>
      </c>
      <c r="L474" s="246">
        <f>_xlfn.XLOOKUP(FME_Ranking1[[#This Row],[FME ID]],FME_Input[FME_ID],FME_Input[RES_STRUCT100])</f>
        <v>499</v>
      </c>
      <c r="M474" s="230">
        <f>(FME_Ranking1[[#This Row],[Res Structures Raw]]/L$2)*100</f>
        <v>0.35344449009080475</v>
      </c>
      <c r="N474" s="180">
        <f>FME_Ranking1[[#This Row],[Res Structures Score (Normalized, Unweighted)]]*$L$3</f>
        <v>3.5344449009080479E-2</v>
      </c>
      <c r="O474" s="244">
        <f>_xlfn.XLOOKUP(FME_Ranking1[[#This Row],[FME ID]],FME_Input[FME_ID],FME_Input[POP100])</f>
        <v>1118</v>
      </c>
      <c r="P474" s="178">
        <f>(FME_Ranking1[[#This Row],[Pop Raw]]/$O$2)*100</f>
        <v>0.11445559880343735</v>
      </c>
      <c r="Q474" s="178">
        <f>FME_Ranking1[[#This Row],[Pop Score (Normalized, Unweighted)]]*$O$3</f>
        <v>1.7168339820515601E-2</v>
      </c>
      <c r="R474" s="137">
        <f>_xlfn.XLOOKUP(FME_Ranking1[[#This Row],[FME ID]],FME_Input[FME_ID],FME_Input[CRITFAC100])</f>
        <v>2</v>
      </c>
      <c r="S474" s="230">
        <f>(FME_Ranking1[[#This Row],[Critical Facilities Raw]]/$R$2)*100</f>
        <v>8.5763293310463118E-2</v>
      </c>
      <c r="T474" s="180">
        <f>FME_Ranking1[[#This Row],[Critical Facilities Score (Normalized, Unweighted)]]*$R$3</f>
        <v>1.7152658662092625E-2</v>
      </c>
      <c r="U474">
        <f>_xlfn.XLOOKUP(FME_Ranking1[[#This Row],[FME ID]],FME_Input[FME_ID],FME_Input[LWC])</f>
        <v>8</v>
      </c>
      <c r="V474" s="178">
        <f>(FME_Ranking1[[#This Row],[LWC Raw]]/$U$2)*100</f>
        <v>0.46056419113413938</v>
      </c>
      <c r="W474" s="178">
        <f>FME_Ranking1[[#This Row],[LWC Score (Normalized, Unweighted)]]*$U$3</f>
        <v>9.2112838226827878E-2</v>
      </c>
      <c r="X474" s="246">
        <f>_xlfn.XLOOKUP(FME_Ranking1[[#This Row],[FME ID]],FME_Input[FME_ID],FME_Input[ROADCLS])</f>
        <v>0</v>
      </c>
      <c r="Y474" s="230">
        <f>(FME_Ranking1[[#This Row],[Closures Raw]]/$X$2)*100</f>
        <v>0</v>
      </c>
      <c r="Z474" s="180">
        <f>FME_Ranking1[[#This Row],[Closures Score (Normalized, Unweighted)]]*$X$3</f>
        <v>0</v>
      </c>
      <c r="AA474" s="253">
        <f>_xlfn.XLOOKUP(FME_Ranking1[[#This Row],[FME ID]],FME_Input[FME_ID],FME_Input[ROAD_MILES100])</f>
        <v>189.04887390136719</v>
      </c>
      <c r="AB474" s="178">
        <f>(FME_Ranking1[[#This Row],[Miles Raw]]/$AA$2)*100</f>
        <v>2.4856536167293979</v>
      </c>
      <c r="AC474" s="178">
        <f>FME_Ranking1[[#This Row],[Miles Score (Normalized, Unweighted)]]*$AA$3</f>
        <v>0.2485653616729398</v>
      </c>
      <c r="AD474" s="255">
        <f>_xlfn.XLOOKUP(FME_Ranking1[[#This Row],[FME ID]],FME_Input[FME_ID],FME_Input[FARMACRE100])</f>
        <v>47148.859375</v>
      </c>
      <c r="AE474" s="230">
        <f>(FME_Ranking1[[#This Row],[Ag Land Raw]]/$AD$2)*100</f>
        <v>1.9442078985820548</v>
      </c>
      <c r="AF474" s="231">
        <f>FME_Ranking1[[#This Row],[Ag Land Score (Normalized, Unweighted)]]*$AD$3</f>
        <v>9.7210394929102745E-2</v>
      </c>
      <c r="AG47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0.59952486869249078</v>
      </c>
      <c r="AH474" s="406">
        <f t="shared" si="7"/>
        <v>391</v>
      </c>
      <c r="AI47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0.59952486869249078</v>
      </c>
      <c r="AJ474" s="257">
        <f>FME_Ranking1[[#This Row],[Addition check]]-FME_Ranking1[[#This Row],[Weighted Score Based on Normalized Reported Factors]]</f>
        <v>0</v>
      </c>
      <c r="AK474" s="178">
        <f>_xlfn.RANK.EQ(AI474,$AI$6:$AI$2341,0)+COUNTIF($AI$6:AI474,AI474)-1</f>
        <v>392</v>
      </c>
    </row>
    <row r="475" spans="1:37" ht="12" customHeight="1" x14ac:dyDescent="0.25">
      <c r="A475" t="s">
        <v>2939</v>
      </c>
      <c r="B475">
        <f>_xlfn.XLOOKUP(FME_Ranking1[[#This Row],[FME ID]],FME_Input[FME_ID],FME_Input[RFPG_NUM])</f>
        <v>1</v>
      </c>
      <c r="C475" t="str">
        <f>_xlfn.XLOOKUP(FME_Ranking1[[#This Row],[FME ID]],FME_Input[FME_ID],FME_Input[FME_NAME])</f>
        <v>Deaf Smith County FIS</v>
      </c>
      <c r="D475" t="str">
        <f>_xlfn.XLOOKUP(FME_Ranking1[[#This Row],[FME ID]],FME_Input[FME_ID],FME_Input[DESCR])</f>
        <v>Perform flood insurance study for the county and develop regulatory mapping</v>
      </c>
      <c r="E475" s="256">
        <f>_xlfn.XLOOKUP(FME_Ranking1[[#This Row],[FME ID]],FME_Input[FME_ID],FME_Input[FME_COST])</f>
        <v>1283000</v>
      </c>
      <c r="F475" t="str">
        <f>_xlfn.XLOOKUP(FME_Ranking1[[#This Row],[FME ID]],FME_Input[FME_ID],FME_Input[EMER_NEED])</f>
        <v>No</v>
      </c>
      <c r="G475">
        <f>IF(FME_Ranking!F475="Yes",100,0)</f>
        <v>0</v>
      </c>
      <c r="H475">
        <f>FME_Ranking1[[#This Row],[Emergency Need Score (Normalized, Unweighted)]]*$F$3</f>
        <v>0</v>
      </c>
      <c r="I475" s="246">
        <f>_xlfn.XLOOKUP(FME_Ranking1[[#This Row],[FME ID]],FME_Input[FME_ID],FME_Input[STRUCT_100])</f>
        <v>120</v>
      </c>
      <c r="J475" s="178">
        <f>(FME_Ranking1[[#This Row],[Structures 100 Raw]]/I$2)*100</f>
        <v>6.4259092661611616E-2</v>
      </c>
      <c r="K475" s="178">
        <f>FME_Ranking1[[#This Row],[Structures 100  Score (Normalized, Unweighted)]]*$I$3</f>
        <v>9.6388638992417428E-3</v>
      </c>
      <c r="L475" s="246">
        <f>_xlfn.XLOOKUP(FME_Ranking1[[#This Row],[FME ID]],FME_Input[FME_ID],FME_Input[RES_STRUCT100])</f>
        <v>45</v>
      </c>
      <c r="M475" s="230">
        <f>(FME_Ranking1[[#This Row],[Res Structures Raw]]/L$2)*100</f>
        <v>3.1873751611395225E-2</v>
      </c>
      <c r="N475" s="180">
        <f>FME_Ranking1[[#This Row],[Res Structures Score (Normalized, Unweighted)]]*$L$3</f>
        <v>3.1873751611395228E-3</v>
      </c>
      <c r="O475" s="244">
        <f>_xlfn.XLOOKUP(FME_Ranking1[[#This Row],[FME ID]],FME_Input[FME_ID],FME_Input[POP100])</f>
        <v>388</v>
      </c>
      <c r="P475" s="178">
        <f>(FME_Ranking1[[#This Row],[Pop Raw]]/$O$2)*100</f>
        <v>3.9721621051640156E-2</v>
      </c>
      <c r="Q475" s="178">
        <f>FME_Ranking1[[#This Row],[Pop Score (Normalized, Unweighted)]]*$O$3</f>
        <v>5.9582431577460231E-3</v>
      </c>
      <c r="R475" s="137">
        <f>_xlfn.XLOOKUP(FME_Ranking1[[#This Row],[FME ID]],FME_Input[FME_ID],FME_Input[CRITFAC100])</f>
        <v>0</v>
      </c>
      <c r="S475" s="230">
        <f>(FME_Ranking1[[#This Row],[Critical Facilities Raw]]/$R$2)*100</f>
        <v>0</v>
      </c>
      <c r="T475" s="180">
        <f>FME_Ranking1[[#This Row],[Critical Facilities Score (Normalized, Unweighted)]]*$R$3</f>
        <v>0</v>
      </c>
      <c r="U475">
        <f>_xlfn.XLOOKUP(FME_Ranking1[[#This Row],[FME ID]],FME_Input[FME_ID],FME_Input[LWC])</f>
        <v>18</v>
      </c>
      <c r="V475" s="178">
        <f>(FME_Ranking1[[#This Row],[LWC Raw]]/$U$2)*100</f>
        <v>1.0362694300518136</v>
      </c>
      <c r="W475" s="178">
        <f>FME_Ranking1[[#This Row],[LWC Score (Normalized, Unweighted)]]*$U$3</f>
        <v>0.20725388601036274</v>
      </c>
      <c r="X475" s="246">
        <f>_xlfn.XLOOKUP(FME_Ranking1[[#This Row],[FME ID]],FME_Input[FME_ID],FME_Input[ROADCLS])</f>
        <v>25</v>
      </c>
      <c r="Y475" s="230">
        <f>(FME_Ranking1[[#This Row],[Closures Raw]]/$X$2)*100</f>
        <v>0.2628535380086216</v>
      </c>
      <c r="Z475" s="180">
        <f>FME_Ranking1[[#This Row],[Closures Score (Normalized, Unweighted)]]*$X$3</f>
        <v>1.3142676900431081E-2</v>
      </c>
      <c r="AA475" s="253">
        <f>_xlfn.XLOOKUP(FME_Ranking1[[#This Row],[FME ID]],FME_Input[FME_ID],FME_Input[ROAD_MILES100])</f>
        <v>76.433738708496094</v>
      </c>
      <c r="AB475" s="178">
        <f>(FME_Ranking1[[#This Row],[Miles Raw]]/$AA$2)*100</f>
        <v>1.0049665736704985</v>
      </c>
      <c r="AC475" s="178">
        <f>FME_Ranking1[[#This Row],[Miles Score (Normalized, Unweighted)]]*$AA$3</f>
        <v>0.10049665736704985</v>
      </c>
      <c r="AD475" s="255">
        <f>_xlfn.XLOOKUP(FME_Ranking1[[#This Row],[FME ID]],FME_Input[FME_ID],FME_Input[FARMACRE100])</f>
        <v>54135.296875</v>
      </c>
      <c r="AE475" s="230">
        <f>(FME_Ranking1[[#This Row],[Ag Land Raw]]/$AD$2)*100</f>
        <v>2.2322973062688098</v>
      </c>
      <c r="AF475" s="231">
        <f>FME_Ranking1[[#This Row],[Ag Land Score (Normalized, Unweighted)]]*$AD$3</f>
        <v>0.1116148653134405</v>
      </c>
      <c r="AG47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0.45129256780941146</v>
      </c>
      <c r="AH475" s="406">
        <f t="shared" si="7"/>
        <v>479</v>
      </c>
      <c r="AI47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0.45129256780941146</v>
      </c>
      <c r="AJ475" s="257">
        <f>FME_Ranking1[[#This Row],[Addition check]]-FME_Ranking1[[#This Row],[Weighted Score Based on Normalized Reported Factors]]</f>
        <v>0</v>
      </c>
      <c r="AK475" s="178">
        <f>_xlfn.RANK.EQ(AI475,$AI$6:$AI$2341,0)+COUNTIF($AI$6:AI475,AI475)-1</f>
        <v>479</v>
      </c>
    </row>
    <row r="476" spans="1:37" ht="12" customHeight="1" x14ac:dyDescent="0.25">
      <c r="A476" t="s">
        <v>759</v>
      </c>
      <c r="B476">
        <f>_xlfn.XLOOKUP(FME_Ranking1[[#This Row],[FME ID]],FME_Input[FME_ID],FME_Input[RFPG_NUM])</f>
        <v>6</v>
      </c>
      <c r="C476" t="str">
        <f>_xlfn.XLOOKUP(FME_Ranking1[[#This Row],[FME ID]],FME_Input[FME_ID],FME_Input[FME_NAME])</f>
        <v>Rivershire West  - Grand Lake Creek Watershed</v>
      </c>
      <c r="D476" t="str">
        <f>_xlfn.XLOOKUP(FME_Ranking1[[#This Row],[FME ID]],FME_Input[FME_ID],FME_Input[DESCR])</f>
        <v>Develop a benefits cost analysis in support of this project identied in the City of Conroe Master Drainage Plan.</v>
      </c>
      <c r="E476" s="256">
        <f>_xlfn.XLOOKUP(FME_Ranking1[[#This Row],[FME ID]],FME_Input[FME_ID],FME_Input[FME_COST])</f>
        <v>30000</v>
      </c>
      <c r="F476" t="str">
        <f>_xlfn.XLOOKUP(FME_Ranking1[[#This Row],[FME ID]],FME_Input[FME_ID],FME_Input[EMER_NEED])</f>
        <v>No</v>
      </c>
      <c r="G476">
        <f>IF(FME_Ranking!F476="Yes",100,0)</f>
        <v>0</v>
      </c>
      <c r="H476">
        <f>FME_Ranking1[[#This Row],[Emergency Need Score (Normalized, Unweighted)]]*$F$3</f>
        <v>0</v>
      </c>
      <c r="I476" s="246">
        <f>_xlfn.XLOOKUP(FME_Ranking1[[#This Row],[FME ID]],FME_Input[FME_ID],FME_Input[STRUCT_100])</f>
        <v>879</v>
      </c>
      <c r="J476" s="178">
        <f>(FME_Ranking1[[#This Row],[Structures 100 Raw]]/I$2)*100</f>
        <v>0.47069785374630513</v>
      </c>
      <c r="K476" s="178">
        <f>FME_Ranking1[[#This Row],[Structures 100  Score (Normalized, Unweighted)]]*$I$3</f>
        <v>7.0604678061945772E-2</v>
      </c>
      <c r="L476" s="246">
        <f>_xlfn.XLOOKUP(FME_Ranking1[[#This Row],[FME ID]],FME_Input[FME_ID],FME_Input[RES_STRUCT100])</f>
        <v>682</v>
      </c>
      <c r="M476" s="230">
        <f>(FME_Ranking1[[#This Row],[Res Structures Raw]]/L$2)*100</f>
        <v>0.48306441331047872</v>
      </c>
      <c r="N476" s="180">
        <f>FME_Ranking1[[#This Row],[Res Structures Score (Normalized, Unweighted)]]*$L$3</f>
        <v>4.8306441331047875E-2</v>
      </c>
      <c r="O476" s="244">
        <f>_xlfn.XLOOKUP(FME_Ranking1[[#This Row],[FME ID]],FME_Input[FME_ID],FME_Input[POP100])</f>
        <v>4662</v>
      </c>
      <c r="P476" s="178">
        <f>(FME_Ranking1[[#This Row],[Pop Raw]]/$O$2)*100</f>
        <v>0.47727370449161444</v>
      </c>
      <c r="Q476" s="178">
        <f>FME_Ranking1[[#This Row],[Pop Score (Normalized, Unweighted)]]*$O$3</f>
        <v>7.159105567374216E-2</v>
      </c>
      <c r="R476" s="137">
        <f>_xlfn.XLOOKUP(FME_Ranking1[[#This Row],[FME ID]],FME_Input[FME_ID],FME_Input[CRITFAC100])</f>
        <v>6</v>
      </c>
      <c r="S476" s="230">
        <f>(FME_Ranking1[[#This Row],[Critical Facilities Raw]]/$R$2)*100</f>
        <v>0.25728987993138941</v>
      </c>
      <c r="T476" s="180">
        <f>FME_Ranking1[[#This Row],[Critical Facilities Score (Normalized, Unweighted)]]*$R$3</f>
        <v>5.1457975986277882E-2</v>
      </c>
      <c r="U476">
        <f>_xlfn.XLOOKUP(FME_Ranking1[[#This Row],[FME ID]],FME_Input[FME_ID],FME_Input[LWC])</f>
        <v>9</v>
      </c>
      <c r="V476" s="178">
        <f>(FME_Ranking1[[#This Row],[LWC Raw]]/$U$2)*100</f>
        <v>0.5181347150259068</v>
      </c>
      <c r="W476" s="178">
        <f>FME_Ranking1[[#This Row],[LWC Score (Normalized, Unweighted)]]*$U$3</f>
        <v>0.10362694300518137</v>
      </c>
      <c r="X476" s="246">
        <f>_xlfn.XLOOKUP(FME_Ranking1[[#This Row],[FME ID]],FME_Input[FME_ID],FME_Input[ROADCLS])</f>
        <v>9</v>
      </c>
      <c r="Y476" s="230">
        <f>(FME_Ranking1[[#This Row],[Closures Raw]]/$X$2)*100</f>
        <v>9.462727368310378E-2</v>
      </c>
      <c r="Z476" s="180">
        <f>FME_Ranking1[[#This Row],[Closures Score (Normalized, Unweighted)]]*$X$3</f>
        <v>4.7313636841551897E-3</v>
      </c>
      <c r="AA476" s="253">
        <f>_xlfn.XLOOKUP(FME_Ranking1[[#This Row],[FME ID]],FME_Input[FME_ID],FME_Input[ROAD_MILES100])</f>
        <v>16.563400268554691</v>
      </c>
      <c r="AB476" s="178">
        <f>(FME_Ranking1[[#This Row],[Miles Raw]]/$AA$2)*100</f>
        <v>0.21777900567844588</v>
      </c>
      <c r="AC476" s="178">
        <f>FME_Ranking1[[#This Row],[Miles Score (Normalized, Unweighted)]]*$AA$3</f>
        <v>2.177790056784459E-2</v>
      </c>
      <c r="AD476" s="255">
        <f>_xlfn.XLOOKUP(FME_Ranking1[[#This Row],[FME ID]],FME_Input[FME_ID],FME_Input[FARMACRE100])</f>
        <v>5.4304475784301758</v>
      </c>
      <c r="AE476" s="230">
        <f>(FME_Ranking1[[#This Row],[Ag Land Raw]]/$AD$2)*100</f>
        <v>2.2392734871584029E-4</v>
      </c>
      <c r="AF476" s="231">
        <f>FME_Ranking1[[#This Row],[Ag Land Score (Normalized, Unweighted)]]*$AD$3</f>
        <v>1.1196367435792015E-5</v>
      </c>
      <c r="AG47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0.37210755467763057</v>
      </c>
      <c r="AH476" s="406">
        <f t="shared" si="7"/>
        <v>545</v>
      </c>
      <c r="AI47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0.37210755467763057</v>
      </c>
      <c r="AJ476" s="257">
        <f>FME_Ranking1[[#This Row],[Addition check]]-FME_Ranking1[[#This Row],[Weighted Score Based on Normalized Reported Factors]]</f>
        <v>0</v>
      </c>
      <c r="AK476" s="178">
        <f>_xlfn.RANK.EQ(AI476,$AI$6:$AI$2341,0)+COUNTIF($AI$6:AI476,AI476)-1</f>
        <v>545</v>
      </c>
    </row>
    <row r="477" spans="1:37" ht="12" customHeight="1" x14ac:dyDescent="0.25">
      <c r="A477" t="s">
        <v>4539</v>
      </c>
      <c r="B477">
        <f>_xlfn.XLOOKUP(FME_Ranking1[[#This Row],[FME ID]],FME_Input[FME_ID],FME_Input[RFPG_NUM])</f>
        <v>3</v>
      </c>
      <c r="C477" t="str">
        <f>_xlfn.XLOOKUP(FME_Ranking1[[#This Row],[FME ID]],FME_Input[FME_ID],FME_Input[FME_NAME])</f>
        <v>Houston County dike for critical facilities</v>
      </c>
      <c r="D477" t="str">
        <f>_xlfn.XLOOKUP(FME_Ranking1[[#This Row],[FME ID]],FME_Input[FME_ID],FME_Input[DESCR])</f>
        <v>Evaluate alternatives to build earthen dike to elevate emergency vehicle access road to critical facilities to provide protection to 500-year flood level</v>
      </c>
      <c r="E477" s="256">
        <f>_xlfn.XLOOKUP(FME_Ranking1[[#This Row],[FME ID]],FME_Input[FME_ID],FME_Input[FME_COST])</f>
        <v>500000</v>
      </c>
      <c r="F477" t="str">
        <f>_xlfn.XLOOKUP(FME_Ranking1[[#This Row],[FME ID]],FME_Input[FME_ID],FME_Input[EMER_NEED])</f>
        <v>No</v>
      </c>
      <c r="G477">
        <f>IF(FME_Ranking!F477="Yes",100,0)</f>
        <v>0</v>
      </c>
      <c r="H477">
        <f>FME_Ranking1[[#This Row],[Emergency Need Score (Normalized, Unweighted)]]*$F$3</f>
        <v>0</v>
      </c>
      <c r="I477" s="246">
        <f>_xlfn.XLOOKUP(FME_Ranking1[[#This Row],[FME ID]],FME_Input[FME_ID],FME_Input[STRUCT_100])</f>
        <v>21</v>
      </c>
      <c r="J477" s="178">
        <f>(FME_Ranking1[[#This Row],[Structures 100 Raw]]/I$2)*100</f>
        <v>1.1245341215782032E-2</v>
      </c>
      <c r="K477" s="178">
        <f>FME_Ranking1[[#This Row],[Structures 100  Score (Normalized, Unweighted)]]*$I$3</f>
        <v>1.6868011823673048E-3</v>
      </c>
      <c r="L477" s="246">
        <f>_xlfn.XLOOKUP(FME_Ranking1[[#This Row],[FME ID]],FME_Input[FME_ID],FME_Input[RES_STRUCT100])</f>
        <v>8</v>
      </c>
      <c r="M477" s="230">
        <f>(FME_Ranking1[[#This Row],[Res Structures Raw]]/L$2)*100</f>
        <v>5.666444730914706E-3</v>
      </c>
      <c r="N477" s="180">
        <f>FME_Ranking1[[#This Row],[Res Structures Score (Normalized, Unweighted)]]*$L$3</f>
        <v>5.6664447309147067E-4</v>
      </c>
      <c r="O477" s="244">
        <f>_xlfn.XLOOKUP(FME_Ranking1[[#This Row],[FME ID]],FME_Input[FME_ID],FME_Input[POP100])</f>
        <v>36</v>
      </c>
      <c r="P477" s="178">
        <f>(FME_Ranking1[[#This Row],[Pop Raw]]/$O$2)*100</f>
        <v>3.6855112315954779E-3</v>
      </c>
      <c r="Q477" s="178">
        <f>FME_Ranking1[[#This Row],[Pop Score (Normalized, Unweighted)]]*$O$3</f>
        <v>5.5282668473932164E-4</v>
      </c>
      <c r="R477" s="137">
        <f>_xlfn.XLOOKUP(FME_Ranking1[[#This Row],[FME ID]],FME_Input[FME_ID],FME_Input[CRITFAC100])</f>
        <v>5</v>
      </c>
      <c r="S477" s="230">
        <f>(FME_Ranking1[[#This Row],[Critical Facilities Raw]]/$R$2)*100</f>
        <v>0.21440823327615782</v>
      </c>
      <c r="T477" s="180">
        <f>FME_Ranking1[[#This Row],[Critical Facilities Score (Normalized, Unweighted)]]*$R$3</f>
        <v>4.2881646655231566E-2</v>
      </c>
      <c r="U477">
        <f>_xlfn.XLOOKUP(FME_Ranking1[[#This Row],[FME ID]],FME_Input[FME_ID],FME_Input[LWC])</f>
        <v>18</v>
      </c>
      <c r="V477" s="178">
        <f>(FME_Ranking1[[#This Row],[LWC Raw]]/$U$2)*100</f>
        <v>1.0362694300518136</v>
      </c>
      <c r="W477" s="178">
        <f>FME_Ranking1[[#This Row],[LWC Score (Normalized, Unweighted)]]*$U$3</f>
        <v>0.20725388601036274</v>
      </c>
      <c r="X477" s="246">
        <f>_xlfn.XLOOKUP(FME_Ranking1[[#This Row],[FME ID]],FME_Input[FME_ID],FME_Input[ROADCLS])</f>
        <v>0</v>
      </c>
      <c r="Y477" s="230">
        <f>(FME_Ranking1[[#This Row],[Closures Raw]]/$X$2)*100</f>
        <v>0</v>
      </c>
      <c r="Z477" s="180">
        <f>FME_Ranking1[[#This Row],[Closures Score (Normalized, Unweighted)]]*$X$3</f>
        <v>0</v>
      </c>
      <c r="AA477" s="253">
        <f>_xlfn.XLOOKUP(FME_Ranking1[[#This Row],[FME ID]],FME_Input[FME_ID],FME_Input[ROAD_MILES100])</f>
        <v>110.1063995361328</v>
      </c>
      <c r="AB477" s="178">
        <f>(FME_Ranking1[[#This Row],[Miles Raw]]/$AA$2)*100</f>
        <v>1.447701668801431</v>
      </c>
      <c r="AC477" s="178">
        <f>FME_Ranking1[[#This Row],[Miles Score (Normalized, Unweighted)]]*$AA$3</f>
        <v>0.1447701668801431</v>
      </c>
      <c r="AD477" s="255">
        <f>_xlfn.XLOOKUP(FME_Ranking1[[#This Row],[FME ID]],FME_Input[FME_ID],FME_Input[FARMACRE100])</f>
        <v>46988.30859375</v>
      </c>
      <c r="AE477" s="230">
        <f>(FME_Ranking1[[#This Row],[Ag Land Raw]]/$AD$2)*100</f>
        <v>1.9375875030694694</v>
      </c>
      <c r="AF477" s="231">
        <f>FME_Ranking1[[#This Row],[Ag Land Score (Normalized, Unweighted)]]*$AD$3</f>
        <v>9.6879375153473474E-2</v>
      </c>
      <c r="AG47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0.49459134703940899</v>
      </c>
      <c r="AH477" s="406">
        <f t="shared" si="7"/>
        <v>434</v>
      </c>
      <c r="AI47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0.49459134703940899</v>
      </c>
      <c r="AJ477" s="257">
        <f>FME_Ranking1[[#This Row],[Addition check]]-FME_Ranking1[[#This Row],[Weighted Score Based on Normalized Reported Factors]]</f>
        <v>0</v>
      </c>
      <c r="AK477" s="178">
        <f>_xlfn.RANK.EQ(AI477,$AI$6:$AI$2341,0)+COUNTIF($AI$6:AI477,AI477)-1</f>
        <v>434</v>
      </c>
    </row>
    <row r="478" spans="1:37" ht="12" customHeight="1" x14ac:dyDescent="0.25">
      <c r="A478" t="s">
        <v>4283</v>
      </c>
      <c r="B478">
        <f>_xlfn.XLOOKUP(FME_Ranking1[[#This Row],[FME ID]],FME_Input[FME_ID],FME_Input[RFPG_NUM])</f>
        <v>3</v>
      </c>
      <c r="C478" t="str">
        <f>_xlfn.XLOOKUP(FME_Ranking1[[#This Row],[FME ID]],FME_Input[FME_ID],FME_Input[FME_NAME])</f>
        <v>Leon County DMP</v>
      </c>
      <c r="D478" t="str">
        <f>_xlfn.XLOOKUP(FME_Ranking1[[#This Row],[FME ID]],FME_Input[FME_ID],FME_Input[DESCR])</f>
        <v>Evaluate County and identify future projects.</v>
      </c>
      <c r="E478" s="256">
        <f>_xlfn.XLOOKUP(FME_Ranking1[[#This Row],[FME ID]],FME_Input[FME_ID],FME_Input[FME_COST])</f>
        <v>500000</v>
      </c>
      <c r="F478" t="str">
        <f>_xlfn.XLOOKUP(FME_Ranking1[[#This Row],[FME ID]],FME_Input[FME_ID],FME_Input[EMER_NEED])</f>
        <v>No</v>
      </c>
      <c r="G478">
        <f>IF(FME_Ranking!F478="Yes",100,0)</f>
        <v>0</v>
      </c>
      <c r="H478">
        <f>FME_Ranking1[[#This Row],[Emergency Need Score (Normalized, Unweighted)]]*$F$3</f>
        <v>0</v>
      </c>
      <c r="I478" s="246">
        <f>_xlfn.XLOOKUP(FME_Ranking1[[#This Row],[FME ID]],FME_Input[FME_ID],FME_Input[STRUCT_100])</f>
        <v>730</v>
      </c>
      <c r="J478" s="178">
        <f>(FME_Ranking1[[#This Row],[Structures 100 Raw]]/I$2)*100</f>
        <v>0.39090948035813733</v>
      </c>
      <c r="K478" s="178">
        <f>FME_Ranking1[[#This Row],[Structures 100  Score (Normalized, Unweighted)]]*$I$3</f>
        <v>5.8636422053720598E-2</v>
      </c>
      <c r="L478" s="246">
        <f>_xlfn.XLOOKUP(FME_Ranking1[[#This Row],[FME ID]],FME_Input[FME_ID],FME_Input[RES_STRUCT100])</f>
        <v>491</v>
      </c>
      <c r="M478" s="230">
        <f>(FME_Ranking1[[#This Row],[Res Structures Raw]]/L$2)*100</f>
        <v>0.3477780453598901</v>
      </c>
      <c r="N478" s="180">
        <f>FME_Ranking1[[#This Row],[Res Structures Score (Normalized, Unweighted)]]*$L$3</f>
        <v>3.4777804535989013E-2</v>
      </c>
      <c r="O478" s="244">
        <f>_xlfn.XLOOKUP(FME_Ranking1[[#This Row],[FME ID]],FME_Input[FME_ID],FME_Input[POP100])</f>
        <v>816</v>
      </c>
      <c r="P478" s="178">
        <f>(FME_Ranking1[[#This Row],[Pop Raw]]/$O$2)*100</f>
        <v>8.3538254582830845E-2</v>
      </c>
      <c r="Q478" s="178">
        <f>FME_Ranking1[[#This Row],[Pop Score (Normalized, Unweighted)]]*$O$3</f>
        <v>1.2530738187424626E-2</v>
      </c>
      <c r="R478" s="137">
        <f>_xlfn.XLOOKUP(FME_Ranking1[[#This Row],[FME ID]],FME_Input[FME_ID],FME_Input[CRITFAC100])</f>
        <v>6</v>
      </c>
      <c r="S478" s="230">
        <f>(FME_Ranking1[[#This Row],[Critical Facilities Raw]]/$R$2)*100</f>
        <v>0.25728987993138941</v>
      </c>
      <c r="T478" s="180">
        <f>FME_Ranking1[[#This Row],[Critical Facilities Score (Normalized, Unweighted)]]*$R$3</f>
        <v>5.1457975986277882E-2</v>
      </c>
      <c r="U478">
        <f>_xlfn.XLOOKUP(FME_Ranking1[[#This Row],[FME ID]],FME_Input[FME_ID],FME_Input[LWC])</f>
        <v>5</v>
      </c>
      <c r="V478" s="178">
        <f>(FME_Ranking1[[#This Row],[LWC Raw]]/$U$2)*100</f>
        <v>0.28785261945883706</v>
      </c>
      <c r="W478" s="178">
        <f>FME_Ranking1[[#This Row],[LWC Score (Normalized, Unweighted)]]*$U$3</f>
        <v>5.7570523891767415E-2</v>
      </c>
      <c r="X478" s="246">
        <f>_xlfn.XLOOKUP(FME_Ranking1[[#This Row],[FME ID]],FME_Input[FME_ID],FME_Input[ROADCLS])</f>
        <v>0</v>
      </c>
      <c r="Y478" s="230">
        <f>(FME_Ranking1[[#This Row],[Closures Raw]]/$X$2)*100</f>
        <v>0</v>
      </c>
      <c r="Z478" s="180">
        <f>FME_Ranking1[[#This Row],[Closures Score (Normalized, Unweighted)]]*$X$3</f>
        <v>0</v>
      </c>
      <c r="AA478" s="253">
        <f>_xlfn.XLOOKUP(FME_Ranking1[[#This Row],[FME ID]],FME_Input[FME_ID],FME_Input[ROAD_MILES100])</f>
        <v>99.558799743652344</v>
      </c>
      <c r="AB478" s="178">
        <f>(FME_Ranking1[[#This Row],[Miles Raw]]/$AA$2)*100</f>
        <v>1.3090196495386668</v>
      </c>
      <c r="AC478" s="178">
        <f>FME_Ranking1[[#This Row],[Miles Score (Normalized, Unweighted)]]*$AA$3</f>
        <v>0.13090196495386669</v>
      </c>
      <c r="AD478" s="255">
        <f>_xlfn.XLOOKUP(FME_Ranking1[[#This Row],[FME ID]],FME_Input[FME_ID],FME_Input[FARMACRE100])</f>
        <v>64155.3203125</v>
      </c>
      <c r="AE478" s="230">
        <f>(FME_Ranking1[[#This Row],[Ag Land Raw]]/$AD$2)*100</f>
        <v>2.6454782181594236</v>
      </c>
      <c r="AF478" s="231">
        <f>FME_Ranking1[[#This Row],[Ag Land Score (Normalized, Unweighted)]]*$AD$3</f>
        <v>0.13227391090797119</v>
      </c>
      <c r="AG47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0.47814934051701741</v>
      </c>
      <c r="AH478" s="406">
        <f t="shared" si="7"/>
        <v>450</v>
      </c>
      <c r="AI47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0.47814934051701741</v>
      </c>
      <c r="AJ478" s="257">
        <f>FME_Ranking1[[#This Row],[Addition check]]-FME_Ranking1[[#This Row],[Weighted Score Based on Normalized Reported Factors]]</f>
        <v>0</v>
      </c>
      <c r="AK478" s="178">
        <f>_xlfn.RANK.EQ(AI478,$AI$6:$AI$2341,0)+COUNTIF($AI$6:AI478,AI478)-1</f>
        <v>450</v>
      </c>
    </row>
    <row r="479" spans="1:37" ht="12" customHeight="1" x14ac:dyDescent="0.25">
      <c r="A479" t="s">
        <v>7616</v>
      </c>
      <c r="B479">
        <f>_xlfn.XLOOKUP(FME_Ranking1[[#This Row],[FME ID]],FME_Input[FME_ID],FME_Input[RFPG_NUM])</f>
        <v>8</v>
      </c>
      <c r="C479" t="str">
        <f>_xlfn.XLOOKUP(FME_Ranking1[[#This Row],[FME ID]],FME_Input[FME_ID],FME_Input[FME_NAME])</f>
        <v>A12</v>
      </c>
      <c r="D479" t="str">
        <f>_xlfn.XLOOKUP(FME_Ranking1[[#This Row],[FME ID]],FME_Input[FME_ID],FME_Input[DESCR])</f>
        <v>New Broade Street off-channel detention.</v>
      </c>
      <c r="E479" s="256">
        <f>_xlfn.XLOOKUP(FME_Ranking1[[#This Row],[FME ID]],FME_Input[FME_ID],FME_Input[FME_COST])</f>
        <v>257000</v>
      </c>
      <c r="F479" t="str">
        <f>_xlfn.XLOOKUP(FME_Ranking1[[#This Row],[FME ID]],FME_Input[FME_ID],FME_Input[EMER_NEED])</f>
        <v>No</v>
      </c>
      <c r="G479">
        <f>IF(FME_Ranking!F479="Yes",100,0)</f>
        <v>0</v>
      </c>
      <c r="H479">
        <f>FME_Ranking1[[#This Row],[Emergency Need Score (Normalized, Unweighted)]]*$F$3</f>
        <v>0</v>
      </c>
      <c r="I479" s="246">
        <f>_xlfn.XLOOKUP(FME_Ranking1[[#This Row],[FME ID]],FME_Input[FME_ID],FME_Input[STRUCT_100])</f>
        <v>388</v>
      </c>
      <c r="J479" s="178">
        <f>(FME_Ranking1[[#This Row],[Structures 100 Raw]]/I$2)*100</f>
        <v>0.20777106627254421</v>
      </c>
      <c r="K479" s="178">
        <f>FME_Ranking1[[#This Row],[Structures 100  Score (Normalized, Unweighted)]]*$I$3</f>
        <v>3.1165659940881631E-2</v>
      </c>
      <c r="L479" s="246">
        <f>_xlfn.XLOOKUP(FME_Ranking1[[#This Row],[FME ID]],FME_Input[FME_ID],FME_Input[RES_STRUCT100])</f>
        <v>325</v>
      </c>
      <c r="M479" s="230">
        <f>(FME_Ranking1[[#This Row],[Res Structures Raw]]/L$2)*100</f>
        <v>0.23019931719340994</v>
      </c>
      <c r="N479" s="180">
        <f>FME_Ranking1[[#This Row],[Res Structures Score (Normalized, Unweighted)]]*$L$3</f>
        <v>2.3019931719340997E-2</v>
      </c>
      <c r="O479" s="244">
        <f>_xlfn.XLOOKUP(FME_Ranking1[[#This Row],[FME ID]],FME_Input[FME_ID],FME_Input[POP100])</f>
        <v>1255</v>
      </c>
      <c r="P479" s="178">
        <f>(FME_Ranking1[[#This Row],[Pop Raw]]/$O$2)*100</f>
        <v>0.12848101654589791</v>
      </c>
      <c r="Q479" s="178">
        <f>FME_Ranking1[[#This Row],[Pop Score (Normalized, Unweighted)]]*$O$3</f>
        <v>1.9272152481884686E-2</v>
      </c>
      <c r="R479" s="137">
        <f>_xlfn.XLOOKUP(FME_Ranking1[[#This Row],[FME ID]],FME_Input[FME_ID],FME_Input[CRITFAC100])</f>
        <v>0</v>
      </c>
      <c r="S479" s="230">
        <f>(FME_Ranking1[[#This Row],[Critical Facilities Raw]]/$R$2)*100</f>
        <v>0</v>
      </c>
      <c r="T479" s="180">
        <f>FME_Ranking1[[#This Row],[Critical Facilities Score (Normalized, Unweighted)]]*$R$3</f>
        <v>0</v>
      </c>
      <c r="U479">
        <f>_xlfn.XLOOKUP(FME_Ranking1[[#This Row],[FME ID]],FME_Input[FME_ID],FME_Input[LWC])</f>
        <v>20</v>
      </c>
      <c r="V479" s="178">
        <f>(FME_Ranking1[[#This Row],[LWC Raw]]/$U$2)*100</f>
        <v>1.1514104778353482</v>
      </c>
      <c r="W479" s="178">
        <f>FME_Ranking1[[#This Row],[LWC Score (Normalized, Unweighted)]]*$U$3</f>
        <v>0.23028209556706966</v>
      </c>
      <c r="X479" s="246">
        <f>_xlfn.XLOOKUP(FME_Ranking1[[#This Row],[FME ID]],FME_Input[FME_ID],FME_Input[ROADCLS])</f>
        <v>81</v>
      </c>
      <c r="Y479" s="230">
        <f>(FME_Ranking1[[#This Row],[Closures Raw]]/$X$2)*100</f>
        <v>0.85164546314793388</v>
      </c>
      <c r="Z479" s="180">
        <f>FME_Ranking1[[#This Row],[Closures Score (Normalized, Unweighted)]]*$X$3</f>
        <v>4.2582273157396697E-2</v>
      </c>
      <c r="AA479" s="253">
        <f>_xlfn.XLOOKUP(FME_Ranking1[[#This Row],[FME ID]],FME_Input[FME_ID],FME_Input[ROAD_MILES100])</f>
        <v>8.4579000473022461</v>
      </c>
      <c r="AB479" s="178">
        <f>(FME_Ranking1[[#This Row],[Miles Raw]]/$AA$2)*100</f>
        <v>0.11120621566612006</v>
      </c>
      <c r="AC479" s="178">
        <f>FME_Ranking1[[#This Row],[Miles Score (Normalized, Unweighted)]]*$AA$3</f>
        <v>1.1120621566612006E-2</v>
      </c>
      <c r="AD479" s="255">
        <f>_xlfn.XLOOKUP(FME_Ranking1[[#This Row],[FME ID]],FME_Input[FME_ID],FME_Input[FARMACRE100])</f>
        <v>215.84800720214841</v>
      </c>
      <c r="AE479" s="230">
        <f>(FME_Ranking1[[#This Row],[Ag Land Raw]]/$AD$2)*100</f>
        <v>8.9006055726160004E-3</v>
      </c>
      <c r="AF479" s="231">
        <f>FME_Ranking1[[#This Row],[Ag Land Score (Normalized, Unweighted)]]*$AD$3</f>
        <v>4.4503027863080003E-4</v>
      </c>
      <c r="AG47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0.35788776471181649</v>
      </c>
      <c r="AH479" s="406">
        <f t="shared" si="7"/>
        <v>565</v>
      </c>
      <c r="AI47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0.35788776471181649</v>
      </c>
      <c r="AJ479" s="257">
        <f>FME_Ranking1[[#This Row],[Addition check]]-FME_Ranking1[[#This Row],[Weighted Score Based on Normalized Reported Factors]]</f>
        <v>0</v>
      </c>
      <c r="AK479" s="178">
        <f>_xlfn.RANK.EQ(AI479,$AI$6:$AI$2341,0)+COUNTIF($AI$6:AI479,AI479)-1</f>
        <v>565</v>
      </c>
    </row>
    <row r="480" spans="1:37" ht="12" customHeight="1" x14ac:dyDescent="0.25">
      <c r="A480" t="s">
        <v>550</v>
      </c>
      <c r="B480">
        <f>_xlfn.XLOOKUP(FME_Ranking1[[#This Row],[FME ID]],FME_Input[FME_ID],FME_Input[RFPG_NUM])</f>
        <v>10</v>
      </c>
      <c r="C480" t="str">
        <f>_xlfn.XLOOKUP(FME_Ranking1[[#This Row],[FME ID]],FME_Input[FME_ID],FME_Input[FME_NAME])</f>
        <v>Citywide Drainage Study</v>
      </c>
      <c r="D480" t="str">
        <f>_xlfn.XLOOKUP(FME_Ranking1[[#This Row],[FME ID]],FME_Input[FME_ID],FME_Input[DESCR])</f>
        <v>Initiate study of storm water drainage system to assess impacts from flooding &amp; flash flooding</v>
      </c>
      <c r="E480" s="256">
        <f>_xlfn.XLOOKUP(FME_Ranking1[[#This Row],[FME ID]],FME_Input[FME_ID],FME_Input[FME_COST])</f>
        <v>250000</v>
      </c>
      <c r="F480" t="str">
        <f>_xlfn.XLOOKUP(FME_Ranking1[[#This Row],[FME ID]],FME_Input[FME_ID],FME_Input[EMER_NEED])</f>
        <v>No</v>
      </c>
      <c r="G480">
        <f>IF(FME_Ranking!F480="Yes",100,0)</f>
        <v>0</v>
      </c>
      <c r="H480">
        <f>FME_Ranking1[[#This Row],[Emergency Need Score (Normalized, Unweighted)]]*$F$3</f>
        <v>0</v>
      </c>
      <c r="I480" s="246">
        <f>_xlfn.XLOOKUP(FME_Ranking1[[#This Row],[FME ID]],FME_Input[FME_ID],FME_Input[STRUCT_100])</f>
        <v>776</v>
      </c>
      <c r="J480" s="178">
        <f>(FME_Ranking1[[#This Row],[Structures 100 Raw]]/I$2)*100</f>
        <v>0.41554213254508843</v>
      </c>
      <c r="K480" s="178">
        <f>FME_Ranking1[[#This Row],[Structures 100  Score (Normalized, Unweighted)]]*$I$3</f>
        <v>6.2331319881763263E-2</v>
      </c>
      <c r="L480" s="246">
        <f>_xlfn.XLOOKUP(FME_Ranking1[[#This Row],[FME ID]],FME_Input[FME_ID],FME_Input[RES_STRUCT100])</f>
        <v>521</v>
      </c>
      <c r="M480" s="230">
        <f>(FME_Ranking1[[#This Row],[Res Structures Raw]]/L$2)*100</f>
        <v>0.36902721310082021</v>
      </c>
      <c r="N480" s="180">
        <f>FME_Ranking1[[#This Row],[Res Structures Score (Normalized, Unweighted)]]*$L$3</f>
        <v>3.6902721310082022E-2</v>
      </c>
      <c r="O480" s="244">
        <f>_xlfn.XLOOKUP(FME_Ranking1[[#This Row],[FME ID]],FME_Input[FME_ID],FME_Input[POP100])</f>
        <v>2432</v>
      </c>
      <c r="P480" s="178">
        <f>(FME_Ranking1[[#This Row],[Pop Raw]]/$O$2)*100</f>
        <v>0.2489767587566723</v>
      </c>
      <c r="Q480" s="178">
        <f>FME_Ranking1[[#This Row],[Pop Score (Normalized, Unweighted)]]*$O$3</f>
        <v>3.7346513813500841E-2</v>
      </c>
      <c r="R480" s="137">
        <f>_xlfn.XLOOKUP(FME_Ranking1[[#This Row],[FME ID]],FME_Input[FME_ID],FME_Input[CRITFAC100])</f>
        <v>3</v>
      </c>
      <c r="S480" s="230">
        <f>(FME_Ranking1[[#This Row],[Critical Facilities Raw]]/$R$2)*100</f>
        <v>0.1286449399656947</v>
      </c>
      <c r="T480" s="180">
        <f>FME_Ranking1[[#This Row],[Critical Facilities Score (Normalized, Unweighted)]]*$R$3</f>
        <v>2.5728987993138941E-2</v>
      </c>
      <c r="U480">
        <f>_xlfn.XLOOKUP(FME_Ranking1[[#This Row],[FME ID]],FME_Input[FME_ID],FME_Input[LWC])</f>
        <v>9</v>
      </c>
      <c r="V480" s="178">
        <f>(FME_Ranking1[[#This Row],[LWC Raw]]/$U$2)*100</f>
        <v>0.5181347150259068</v>
      </c>
      <c r="W480" s="178">
        <f>FME_Ranking1[[#This Row],[LWC Score (Normalized, Unweighted)]]*$U$3</f>
        <v>0.10362694300518137</v>
      </c>
      <c r="X480" s="246">
        <f>_xlfn.XLOOKUP(FME_Ranking1[[#This Row],[FME ID]],FME_Input[FME_ID],FME_Input[ROADCLS])</f>
        <v>0</v>
      </c>
      <c r="Y480" s="230">
        <f>(FME_Ranking1[[#This Row],[Closures Raw]]/$X$2)*100</f>
        <v>0</v>
      </c>
      <c r="Z480" s="180">
        <f>FME_Ranking1[[#This Row],[Closures Score (Normalized, Unweighted)]]*$X$3</f>
        <v>0</v>
      </c>
      <c r="AA480" s="253">
        <f>_xlfn.XLOOKUP(FME_Ranking1[[#This Row],[FME ID]],FME_Input[FME_ID],FME_Input[ROAD_MILES100])</f>
        <v>0.1030892580747604</v>
      </c>
      <c r="AB480" s="178">
        <f>(FME_Ranking1[[#This Row],[Miles Raw]]/$AA$2)*100</f>
        <v>1.3554388444184501E-3</v>
      </c>
      <c r="AC480" s="178">
        <f>FME_Ranking1[[#This Row],[Miles Score (Normalized, Unweighted)]]*$AA$3</f>
        <v>1.3554388444184502E-4</v>
      </c>
      <c r="AD480" s="255">
        <f>_xlfn.XLOOKUP(FME_Ranking1[[#This Row],[FME ID]],FME_Input[FME_ID],FME_Input[FARMACRE100])</f>
        <v>37405.83984375</v>
      </c>
      <c r="AE480" s="230">
        <f>(FME_Ranking1[[#This Row],[Ag Land Raw]]/$AD$2)*100</f>
        <v>1.5424493877761827</v>
      </c>
      <c r="AF480" s="231">
        <f>FME_Ranking1[[#This Row],[Ag Land Score (Normalized, Unweighted)]]*$AD$3</f>
        <v>7.7122469388809137E-2</v>
      </c>
      <c r="AG48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0.34319449927691742</v>
      </c>
      <c r="AH480" s="406">
        <f t="shared" si="7"/>
        <v>576</v>
      </c>
      <c r="AI48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0.34319449927691742</v>
      </c>
      <c r="AJ480" s="257">
        <f>FME_Ranking1[[#This Row],[Addition check]]-FME_Ranking1[[#This Row],[Weighted Score Based on Normalized Reported Factors]]</f>
        <v>0</v>
      </c>
      <c r="AK480" s="178">
        <f>_xlfn.RANK.EQ(AI480,$AI$6:$AI$2341,0)+COUNTIF($AI$6:AI480,AI480)-1</f>
        <v>576</v>
      </c>
    </row>
    <row r="481" spans="1:37" ht="12" customHeight="1" x14ac:dyDescent="0.25">
      <c r="A481" t="s">
        <v>553</v>
      </c>
      <c r="B481">
        <f>_xlfn.XLOOKUP(FME_Ranking1[[#This Row],[FME ID]],FME_Input[FME_ID],FME_Input[RFPG_NUM])</f>
        <v>10</v>
      </c>
      <c r="C481" t="str">
        <f>_xlfn.XLOOKUP(FME_Ranking1[[#This Row],[FME ID]],FME_Input[FME_ID],FME_Input[FME_NAME])</f>
        <v>Various Streets - Upgrade Existing Roadway Crossings and Bridges</v>
      </c>
      <c r="D481" t="str">
        <f>_xlfn.XLOOKUP(FME_Ranking1[[#This Row],[FME ID]],FME_Input[FME_ID],FME_Input[DESCR])</f>
        <v>Increase dimensions of drainage culverts</v>
      </c>
      <c r="E481" s="256">
        <f>_xlfn.XLOOKUP(FME_Ranking1[[#This Row],[FME ID]],FME_Input[FME_ID],FME_Input[FME_COST])</f>
        <v>100000</v>
      </c>
      <c r="F481" t="str">
        <f>_xlfn.XLOOKUP(FME_Ranking1[[#This Row],[FME ID]],FME_Input[FME_ID],FME_Input[EMER_NEED])</f>
        <v>No</v>
      </c>
      <c r="G481">
        <f>IF(FME_Ranking!F481="Yes",100,0)</f>
        <v>0</v>
      </c>
      <c r="H481">
        <f>FME_Ranking1[[#This Row],[Emergency Need Score (Normalized, Unweighted)]]*$F$3</f>
        <v>0</v>
      </c>
      <c r="I481" s="246">
        <f>_xlfn.XLOOKUP(FME_Ranking1[[#This Row],[FME ID]],FME_Input[FME_ID],FME_Input[STRUCT_100])</f>
        <v>776</v>
      </c>
      <c r="J481" s="178">
        <f>(FME_Ranking1[[#This Row],[Structures 100 Raw]]/I$2)*100</f>
        <v>0.41554213254508843</v>
      </c>
      <c r="K481" s="178">
        <f>FME_Ranking1[[#This Row],[Structures 100  Score (Normalized, Unweighted)]]*$I$3</f>
        <v>6.2331319881763263E-2</v>
      </c>
      <c r="L481" s="246">
        <f>_xlfn.XLOOKUP(FME_Ranking1[[#This Row],[FME ID]],FME_Input[FME_ID],FME_Input[RES_STRUCT100])</f>
        <v>521</v>
      </c>
      <c r="M481" s="230">
        <f>(FME_Ranking1[[#This Row],[Res Structures Raw]]/L$2)*100</f>
        <v>0.36902721310082021</v>
      </c>
      <c r="N481" s="180">
        <f>FME_Ranking1[[#This Row],[Res Structures Score (Normalized, Unweighted)]]*$L$3</f>
        <v>3.6902721310082022E-2</v>
      </c>
      <c r="O481" s="244">
        <f>_xlfn.XLOOKUP(FME_Ranking1[[#This Row],[FME ID]],FME_Input[FME_ID],FME_Input[POP100])</f>
        <v>2432</v>
      </c>
      <c r="P481" s="178">
        <f>(FME_Ranking1[[#This Row],[Pop Raw]]/$O$2)*100</f>
        <v>0.2489767587566723</v>
      </c>
      <c r="Q481" s="178">
        <f>FME_Ranking1[[#This Row],[Pop Score (Normalized, Unweighted)]]*$O$3</f>
        <v>3.7346513813500841E-2</v>
      </c>
      <c r="R481" s="137">
        <f>_xlfn.XLOOKUP(FME_Ranking1[[#This Row],[FME ID]],FME_Input[FME_ID],FME_Input[CRITFAC100])</f>
        <v>3</v>
      </c>
      <c r="S481" s="230">
        <f>(FME_Ranking1[[#This Row],[Critical Facilities Raw]]/$R$2)*100</f>
        <v>0.1286449399656947</v>
      </c>
      <c r="T481" s="180">
        <f>FME_Ranking1[[#This Row],[Critical Facilities Score (Normalized, Unweighted)]]*$R$3</f>
        <v>2.5728987993138941E-2</v>
      </c>
      <c r="U481">
        <f>_xlfn.XLOOKUP(FME_Ranking1[[#This Row],[FME ID]],FME_Input[FME_ID],FME_Input[LWC])</f>
        <v>9</v>
      </c>
      <c r="V481" s="178">
        <f>(FME_Ranking1[[#This Row],[LWC Raw]]/$U$2)*100</f>
        <v>0.5181347150259068</v>
      </c>
      <c r="W481" s="178">
        <f>FME_Ranking1[[#This Row],[LWC Score (Normalized, Unweighted)]]*$U$3</f>
        <v>0.10362694300518137</v>
      </c>
      <c r="X481" s="246">
        <f>_xlfn.XLOOKUP(FME_Ranking1[[#This Row],[FME ID]],FME_Input[FME_ID],FME_Input[ROADCLS])</f>
        <v>0</v>
      </c>
      <c r="Y481" s="230">
        <f>(FME_Ranking1[[#This Row],[Closures Raw]]/$X$2)*100</f>
        <v>0</v>
      </c>
      <c r="Z481" s="180">
        <f>FME_Ranking1[[#This Row],[Closures Score (Normalized, Unweighted)]]*$X$3</f>
        <v>0</v>
      </c>
      <c r="AA481" s="253">
        <f>_xlfn.XLOOKUP(FME_Ranking1[[#This Row],[FME ID]],FME_Input[FME_ID],FME_Input[ROAD_MILES100])</f>
        <v>0.1030892580747604</v>
      </c>
      <c r="AB481" s="178">
        <f>(FME_Ranking1[[#This Row],[Miles Raw]]/$AA$2)*100</f>
        <v>1.3554388444184501E-3</v>
      </c>
      <c r="AC481" s="178">
        <f>FME_Ranking1[[#This Row],[Miles Score (Normalized, Unweighted)]]*$AA$3</f>
        <v>1.3554388444184502E-4</v>
      </c>
      <c r="AD481" s="255">
        <f>_xlfn.XLOOKUP(FME_Ranking1[[#This Row],[FME ID]],FME_Input[FME_ID],FME_Input[FARMACRE100])</f>
        <v>37405.83984375</v>
      </c>
      <c r="AE481" s="230">
        <f>(FME_Ranking1[[#This Row],[Ag Land Raw]]/$AD$2)*100</f>
        <v>1.5424493877761827</v>
      </c>
      <c r="AF481" s="231">
        <f>FME_Ranking1[[#This Row],[Ag Land Score (Normalized, Unweighted)]]*$AD$3</f>
        <v>7.7122469388809137E-2</v>
      </c>
      <c r="AG48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0.34319449927691742</v>
      </c>
      <c r="AH481" s="406">
        <f t="shared" si="7"/>
        <v>576</v>
      </c>
      <c r="AI48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0.34319449927691742</v>
      </c>
      <c r="AJ481" s="257">
        <f>FME_Ranking1[[#This Row],[Addition check]]-FME_Ranking1[[#This Row],[Weighted Score Based on Normalized Reported Factors]]</f>
        <v>0</v>
      </c>
      <c r="AK481" s="178">
        <f>_xlfn.RANK.EQ(AI481,$AI$6:$AI$2341,0)+COUNTIF($AI$6:AI481,AI481)-1</f>
        <v>577</v>
      </c>
    </row>
    <row r="482" spans="1:37" ht="12" customHeight="1" x14ac:dyDescent="0.25">
      <c r="A482" t="s">
        <v>557</v>
      </c>
      <c r="B482">
        <f>_xlfn.XLOOKUP(FME_Ranking1[[#This Row],[FME ID]],FME_Input[FME_ID],FME_Input[RFPG_NUM])</f>
        <v>10</v>
      </c>
      <c r="C482" t="str">
        <f>_xlfn.XLOOKUP(FME_Ranking1[[#This Row],[FME ID]],FME_Input[FME_ID],FME_Input[FME_NAME])</f>
        <v>Identify and Buyout Repetitive Loss Properties</v>
      </c>
      <c r="D482" t="str">
        <f>_xlfn.XLOOKUP(FME_Ranking1[[#This Row],[FME ID]],FME_Input[FME_ID],FME_Input[DESCR])</f>
        <v>Implement a voluntary acquisition program for repetitive flood properties</v>
      </c>
      <c r="E482" s="256">
        <f>_xlfn.XLOOKUP(FME_Ranking1[[#This Row],[FME ID]],FME_Input[FME_ID],FME_Input[FME_COST])</f>
        <v>250000</v>
      </c>
      <c r="F482" t="str">
        <f>_xlfn.XLOOKUP(FME_Ranking1[[#This Row],[FME ID]],FME_Input[FME_ID],FME_Input[EMER_NEED])</f>
        <v>No</v>
      </c>
      <c r="G482">
        <f>IF(FME_Ranking!F482="Yes",100,0)</f>
        <v>0</v>
      </c>
      <c r="H482">
        <f>FME_Ranking1[[#This Row],[Emergency Need Score (Normalized, Unweighted)]]*$F$3</f>
        <v>0</v>
      </c>
      <c r="I482" s="246">
        <f>_xlfn.XLOOKUP(FME_Ranking1[[#This Row],[FME ID]],FME_Input[FME_ID],FME_Input[STRUCT_100])</f>
        <v>776</v>
      </c>
      <c r="J482" s="178">
        <f>(FME_Ranking1[[#This Row],[Structures 100 Raw]]/I$2)*100</f>
        <v>0.41554213254508843</v>
      </c>
      <c r="K482" s="178">
        <f>FME_Ranking1[[#This Row],[Structures 100  Score (Normalized, Unweighted)]]*$I$3</f>
        <v>6.2331319881763263E-2</v>
      </c>
      <c r="L482" s="246">
        <f>_xlfn.XLOOKUP(FME_Ranking1[[#This Row],[FME ID]],FME_Input[FME_ID],FME_Input[RES_STRUCT100])</f>
        <v>521</v>
      </c>
      <c r="M482" s="230">
        <f>(FME_Ranking1[[#This Row],[Res Structures Raw]]/L$2)*100</f>
        <v>0.36902721310082021</v>
      </c>
      <c r="N482" s="180">
        <f>FME_Ranking1[[#This Row],[Res Structures Score (Normalized, Unweighted)]]*$L$3</f>
        <v>3.6902721310082022E-2</v>
      </c>
      <c r="O482" s="244">
        <f>_xlfn.XLOOKUP(FME_Ranking1[[#This Row],[FME ID]],FME_Input[FME_ID],FME_Input[POP100])</f>
        <v>2432</v>
      </c>
      <c r="P482" s="178">
        <f>(FME_Ranking1[[#This Row],[Pop Raw]]/$O$2)*100</f>
        <v>0.2489767587566723</v>
      </c>
      <c r="Q482" s="178">
        <f>FME_Ranking1[[#This Row],[Pop Score (Normalized, Unweighted)]]*$O$3</f>
        <v>3.7346513813500841E-2</v>
      </c>
      <c r="R482" s="137">
        <f>_xlfn.XLOOKUP(FME_Ranking1[[#This Row],[FME ID]],FME_Input[FME_ID],FME_Input[CRITFAC100])</f>
        <v>3</v>
      </c>
      <c r="S482" s="230">
        <f>(FME_Ranking1[[#This Row],[Critical Facilities Raw]]/$R$2)*100</f>
        <v>0.1286449399656947</v>
      </c>
      <c r="T482" s="180">
        <f>FME_Ranking1[[#This Row],[Critical Facilities Score (Normalized, Unweighted)]]*$R$3</f>
        <v>2.5728987993138941E-2</v>
      </c>
      <c r="U482">
        <f>_xlfn.XLOOKUP(FME_Ranking1[[#This Row],[FME ID]],FME_Input[FME_ID],FME_Input[LWC])</f>
        <v>9</v>
      </c>
      <c r="V482" s="178">
        <f>(FME_Ranking1[[#This Row],[LWC Raw]]/$U$2)*100</f>
        <v>0.5181347150259068</v>
      </c>
      <c r="W482" s="178">
        <f>FME_Ranking1[[#This Row],[LWC Score (Normalized, Unweighted)]]*$U$3</f>
        <v>0.10362694300518137</v>
      </c>
      <c r="X482" s="246">
        <f>_xlfn.XLOOKUP(FME_Ranking1[[#This Row],[FME ID]],FME_Input[FME_ID],FME_Input[ROADCLS])</f>
        <v>0</v>
      </c>
      <c r="Y482" s="230">
        <f>(FME_Ranking1[[#This Row],[Closures Raw]]/$X$2)*100</f>
        <v>0</v>
      </c>
      <c r="Z482" s="180">
        <f>FME_Ranking1[[#This Row],[Closures Score (Normalized, Unweighted)]]*$X$3</f>
        <v>0</v>
      </c>
      <c r="AA482" s="253">
        <f>_xlfn.XLOOKUP(FME_Ranking1[[#This Row],[FME ID]],FME_Input[FME_ID],FME_Input[ROAD_MILES100])</f>
        <v>0.1030892580747604</v>
      </c>
      <c r="AB482" s="178">
        <f>(FME_Ranking1[[#This Row],[Miles Raw]]/$AA$2)*100</f>
        <v>1.3554388444184501E-3</v>
      </c>
      <c r="AC482" s="178">
        <f>FME_Ranking1[[#This Row],[Miles Score (Normalized, Unweighted)]]*$AA$3</f>
        <v>1.3554388444184502E-4</v>
      </c>
      <c r="AD482" s="255">
        <f>_xlfn.XLOOKUP(FME_Ranking1[[#This Row],[FME ID]],FME_Input[FME_ID],FME_Input[FARMACRE100])</f>
        <v>37405.83984375</v>
      </c>
      <c r="AE482" s="230">
        <f>(FME_Ranking1[[#This Row],[Ag Land Raw]]/$AD$2)*100</f>
        <v>1.5424493877761827</v>
      </c>
      <c r="AF482" s="231">
        <f>FME_Ranking1[[#This Row],[Ag Land Score (Normalized, Unweighted)]]*$AD$3</f>
        <v>7.7122469388809137E-2</v>
      </c>
      <c r="AG48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0.34319449927691742</v>
      </c>
      <c r="AH482" s="406">
        <f t="shared" si="7"/>
        <v>576</v>
      </c>
      <c r="AI48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0.34319449927691742</v>
      </c>
      <c r="AJ482" s="257">
        <f>FME_Ranking1[[#This Row],[Addition check]]-FME_Ranking1[[#This Row],[Weighted Score Based on Normalized Reported Factors]]</f>
        <v>0</v>
      </c>
      <c r="AK482" s="178">
        <f>_xlfn.RANK.EQ(AI482,$AI$6:$AI$2341,0)+COUNTIF($AI$6:AI482,AI482)-1</f>
        <v>578</v>
      </c>
    </row>
    <row r="483" spans="1:37" ht="12" customHeight="1" x14ac:dyDescent="0.25">
      <c r="A483" t="s">
        <v>560</v>
      </c>
      <c r="B483">
        <f>_xlfn.XLOOKUP(FME_Ranking1[[#This Row],[FME ID]],FME_Input[FME_ID],FME_Input[RFPG_NUM])</f>
        <v>10</v>
      </c>
      <c r="C483" t="str">
        <f>_xlfn.XLOOKUP(FME_Ranking1[[#This Row],[FME ID]],FME_Input[FME_ID],FME_Input[FME_NAME])</f>
        <v>Harden County Buildings, Critical Infrastructure, and Government Buildings</v>
      </c>
      <c r="D483" t="str">
        <f>_xlfn.XLOOKUP(FME_Ranking1[[#This Row],[FME ID]],FME_Input[FME_ID],FME_Input[DESCR])</f>
        <v>Harden county buildings, critical infrastructure, and government buildings</v>
      </c>
      <c r="E483" s="256">
        <f>_xlfn.XLOOKUP(FME_Ranking1[[#This Row],[FME ID]],FME_Input[FME_ID],FME_Input[FME_COST])</f>
        <v>100000</v>
      </c>
      <c r="F483" t="str">
        <f>_xlfn.XLOOKUP(FME_Ranking1[[#This Row],[FME ID]],FME_Input[FME_ID],FME_Input[EMER_NEED])</f>
        <v>No</v>
      </c>
      <c r="G483">
        <f>IF(FME_Ranking!F483="Yes",100,0)</f>
        <v>0</v>
      </c>
      <c r="H483">
        <f>FME_Ranking1[[#This Row],[Emergency Need Score (Normalized, Unweighted)]]*$F$3</f>
        <v>0</v>
      </c>
      <c r="I483" s="246">
        <f>_xlfn.XLOOKUP(FME_Ranking1[[#This Row],[FME ID]],FME_Input[FME_ID],FME_Input[STRUCT_100])</f>
        <v>776</v>
      </c>
      <c r="J483" s="178">
        <f>(FME_Ranking1[[#This Row],[Structures 100 Raw]]/I$2)*100</f>
        <v>0.41554213254508843</v>
      </c>
      <c r="K483" s="178">
        <f>FME_Ranking1[[#This Row],[Structures 100  Score (Normalized, Unweighted)]]*$I$3</f>
        <v>6.2331319881763263E-2</v>
      </c>
      <c r="L483" s="246">
        <f>_xlfn.XLOOKUP(FME_Ranking1[[#This Row],[FME ID]],FME_Input[FME_ID],FME_Input[RES_STRUCT100])</f>
        <v>521</v>
      </c>
      <c r="M483" s="230">
        <f>(FME_Ranking1[[#This Row],[Res Structures Raw]]/L$2)*100</f>
        <v>0.36902721310082021</v>
      </c>
      <c r="N483" s="180">
        <f>FME_Ranking1[[#This Row],[Res Structures Score (Normalized, Unweighted)]]*$L$3</f>
        <v>3.6902721310082022E-2</v>
      </c>
      <c r="O483" s="244">
        <f>_xlfn.XLOOKUP(FME_Ranking1[[#This Row],[FME ID]],FME_Input[FME_ID],FME_Input[POP100])</f>
        <v>2432</v>
      </c>
      <c r="P483" s="178">
        <f>(FME_Ranking1[[#This Row],[Pop Raw]]/$O$2)*100</f>
        <v>0.2489767587566723</v>
      </c>
      <c r="Q483" s="178">
        <f>FME_Ranking1[[#This Row],[Pop Score (Normalized, Unweighted)]]*$O$3</f>
        <v>3.7346513813500841E-2</v>
      </c>
      <c r="R483" s="137">
        <f>_xlfn.XLOOKUP(FME_Ranking1[[#This Row],[FME ID]],FME_Input[FME_ID],FME_Input[CRITFAC100])</f>
        <v>3</v>
      </c>
      <c r="S483" s="230">
        <f>(FME_Ranking1[[#This Row],[Critical Facilities Raw]]/$R$2)*100</f>
        <v>0.1286449399656947</v>
      </c>
      <c r="T483" s="180">
        <f>FME_Ranking1[[#This Row],[Critical Facilities Score (Normalized, Unweighted)]]*$R$3</f>
        <v>2.5728987993138941E-2</v>
      </c>
      <c r="U483">
        <f>_xlfn.XLOOKUP(FME_Ranking1[[#This Row],[FME ID]],FME_Input[FME_ID],FME_Input[LWC])</f>
        <v>9</v>
      </c>
      <c r="V483" s="178">
        <f>(FME_Ranking1[[#This Row],[LWC Raw]]/$U$2)*100</f>
        <v>0.5181347150259068</v>
      </c>
      <c r="W483" s="178">
        <f>FME_Ranking1[[#This Row],[LWC Score (Normalized, Unweighted)]]*$U$3</f>
        <v>0.10362694300518137</v>
      </c>
      <c r="X483" s="246">
        <f>_xlfn.XLOOKUP(FME_Ranking1[[#This Row],[FME ID]],FME_Input[FME_ID],FME_Input[ROADCLS])</f>
        <v>0</v>
      </c>
      <c r="Y483" s="230">
        <f>(FME_Ranking1[[#This Row],[Closures Raw]]/$X$2)*100</f>
        <v>0</v>
      </c>
      <c r="Z483" s="180">
        <f>FME_Ranking1[[#This Row],[Closures Score (Normalized, Unweighted)]]*$X$3</f>
        <v>0</v>
      </c>
      <c r="AA483" s="253">
        <f>_xlfn.XLOOKUP(FME_Ranking1[[#This Row],[FME ID]],FME_Input[FME_ID],FME_Input[ROAD_MILES100])</f>
        <v>0.1030892580747604</v>
      </c>
      <c r="AB483" s="178">
        <f>(FME_Ranking1[[#This Row],[Miles Raw]]/$AA$2)*100</f>
        <v>1.3554388444184501E-3</v>
      </c>
      <c r="AC483" s="178">
        <f>FME_Ranking1[[#This Row],[Miles Score (Normalized, Unweighted)]]*$AA$3</f>
        <v>1.3554388444184502E-4</v>
      </c>
      <c r="AD483" s="255">
        <f>_xlfn.XLOOKUP(FME_Ranking1[[#This Row],[FME ID]],FME_Input[FME_ID],FME_Input[FARMACRE100])</f>
        <v>37405.83984375</v>
      </c>
      <c r="AE483" s="230">
        <f>(FME_Ranking1[[#This Row],[Ag Land Raw]]/$AD$2)*100</f>
        <v>1.5424493877761827</v>
      </c>
      <c r="AF483" s="231">
        <f>FME_Ranking1[[#This Row],[Ag Land Score (Normalized, Unweighted)]]*$AD$3</f>
        <v>7.7122469388809137E-2</v>
      </c>
      <c r="AG48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0.34319449927691742</v>
      </c>
      <c r="AH483" s="406">
        <f t="shared" si="7"/>
        <v>576</v>
      </c>
      <c r="AI48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0.34319449927691742</v>
      </c>
      <c r="AJ483" s="257">
        <f>FME_Ranking1[[#This Row],[Addition check]]-FME_Ranking1[[#This Row],[Weighted Score Based on Normalized Reported Factors]]</f>
        <v>0</v>
      </c>
      <c r="AK483" s="178">
        <f>_xlfn.RANK.EQ(AI483,$AI$6:$AI$2341,0)+COUNTIF($AI$6:AI483,AI483)-1</f>
        <v>579</v>
      </c>
    </row>
    <row r="484" spans="1:37" ht="12" customHeight="1" x14ac:dyDescent="0.25">
      <c r="A484" t="s">
        <v>7952</v>
      </c>
      <c r="B484">
        <f>_xlfn.XLOOKUP(FME_Ranking1[[#This Row],[FME ID]],FME_Input[FME_ID],FME_Input[RFPG_NUM])</f>
        <v>9</v>
      </c>
      <c r="C484" t="str">
        <f>_xlfn.XLOOKUP(FME_Ranking1[[#This Row],[FME ID]],FME_Input[FME_ID],FME_Input[FME_NAME])</f>
        <v>Martin County  FEMA Mapping</v>
      </c>
      <c r="D484" t="str">
        <f>_xlfn.XLOOKUP(FME_Ranking1[[#This Row],[FME ID]],FME_Input[FME_ID],FME_Input[DESCR])</f>
        <v>Create FEMA Mapping in previously unmapped areas</v>
      </c>
      <c r="E484" s="256">
        <f>_xlfn.XLOOKUP(FME_Ranking1[[#This Row],[FME ID]],FME_Input[FME_ID],FME_Input[FME_COST])</f>
        <v>788000</v>
      </c>
      <c r="F484" t="str">
        <f>_xlfn.XLOOKUP(FME_Ranking1[[#This Row],[FME ID]],FME_Input[FME_ID],FME_Input[EMER_NEED])</f>
        <v>No</v>
      </c>
      <c r="G484">
        <f>IF(FME_Ranking!F484="Yes",100,0)</f>
        <v>0</v>
      </c>
      <c r="H484">
        <f>FME_Ranking1[[#This Row],[Emergency Need Score (Normalized, Unweighted)]]*$F$3</f>
        <v>0</v>
      </c>
      <c r="I484" s="246">
        <f>_xlfn.XLOOKUP(FME_Ranking1[[#This Row],[FME ID]],FME_Input[FME_ID],FME_Input[STRUCT_100])</f>
        <v>902</v>
      </c>
      <c r="J484" s="178">
        <f>(FME_Ranking1[[#This Row],[Structures 100 Raw]]/I$2)*100</f>
        <v>0.48301417983978068</v>
      </c>
      <c r="K484" s="178">
        <f>FME_Ranking1[[#This Row],[Structures 100  Score (Normalized, Unweighted)]]*$I$3</f>
        <v>7.2452126975967104E-2</v>
      </c>
      <c r="L484" s="246">
        <f>_xlfn.XLOOKUP(FME_Ranking1[[#This Row],[FME ID]],FME_Input[FME_ID],FME_Input[RES_STRUCT100])</f>
        <v>451</v>
      </c>
      <c r="M484" s="230">
        <f>(FME_Ranking1[[#This Row],[Res Structures Raw]]/L$2)*100</f>
        <v>0.31944582170531655</v>
      </c>
      <c r="N484" s="180">
        <f>FME_Ranking1[[#This Row],[Res Structures Score (Normalized, Unweighted)]]*$L$3</f>
        <v>3.1944582170531657E-2</v>
      </c>
      <c r="O484" s="244">
        <f>_xlfn.XLOOKUP(FME_Ranking1[[#This Row],[FME ID]],FME_Input[FME_ID],FME_Input[POP100])</f>
        <v>1987</v>
      </c>
      <c r="P484" s="178">
        <f>(FME_Ranking1[[#This Row],[Pop Raw]]/$O$2)*100</f>
        <v>0.20341974492167264</v>
      </c>
      <c r="Q484" s="178">
        <f>FME_Ranking1[[#This Row],[Pop Score (Normalized, Unweighted)]]*$O$3</f>
        <v>3.0512961738250896E-2</v>
      </c>
      <c r="R484" s="137">
        <f>_xlfn.XLOOKUP(FME_Ranking1[[#This Row],[FME ID]],FME_Input[FME_ID],FME_Input[CRITFAC100])</f>
        <v>3</v>
      </c>
      <c r="S484" s="230">
        <f>(FME_Ranking1[[#This Row],[Critical Facilities Raw]]/$R$2)*100</f>
        <v>0.1286449399656947</v>
      </c>
      <c r="T484" s="180">
        <f>FME_Ranking1[[#This Row],[Critical Facilities Score (Normalized, Unweighted)]]*$R$3</f>
        <v>2.5728987993138941E-2</v>
      </c>
      <c r="U484">
        <f>_xlfn.XLOOKUP(FME_Ranking1[[#This Row],[FME ID]],FME_Input[FME_ID],FME_Input[LWC])</f>
        <v>5</v>
      </c>
      <c r="V484" s="178">
        <f>(FME_Ranking1[[#This Row],[LWC Raw]]/$U$2)*100</f>
        <v>0.28785261945883706</v>
      </c>
      <c r="W484" s="178">
        <f>FME_Ranking1[[#This Row],[LWC Score (Normalized, Unweighted)]]*$U$3</f>
        <v>5.7570523891767415E-2</v>
      </c>
      <c r="X484" s="246">
        <f>_xlfn.XLOOKUP(FME_Ranking1[[#This Row],[FME ID]],FME_Input[FME_ID],FME_Input[ROADCLS])</f>
        <v>0</v>
      </c>
      <c r="Y484" s="230">
        <f>(FME_Ranking1[[#This Row],[Closures Raw]]/$X$2)*100</f>
        <v>0</v>
      </c>
      <c r="Z484" s="180">
        <f>FME_Ranking1[[#This Row],[Closures Score (Normalized, Unweighted)]]*$X$3</f>
        <v>0</v>
      </c>
      <c r="AA484" s="253">
        <f>_xlfn.XLOOKUP(FME_Ranking1[[#This Row],[FME ID]],FME_Input[FME_ID],FME_Input[ROAD_MILES100])</f>
        <v>229.1121826171875</v>
      </c>
      <c r="AB484" s="178">
        <f>(FME_Ranking1[[#This Row],[Miles Raw]]/$AA$2)*100</f>
        <v>3.0124142694248541</v>
      </c>
      <c r="AC484" s="178">
        <f>FME_Ranking1[[#This Row],[Miles Score (Normalized, Unweighted)]]*$AA$3</f>
        <v>0.30124142694248546</v>
      </c>
      <c r="AD484" s="255">
        <f>_xlfn.XLOOKUP(FME_Ranking1[[#This Row],[FME ID]],FME_Input[FME_ID],FME_Input[FARMACRE100])</f>
        <v>60436.15234375</v>
      </c>
      <c r="AE484" s="230">
        <f>(FME_Ranking1[[#This Row],[Ag Land Raw]]/$AD$2)*100</f>
        <v>2.4921163799973072</v>
      </c>
      <c r="AF484" s="231">
        <f>FME_Ranking1[[#This Row],[Ag Land Score (Normalized, Unweighted)]]*$AD$3</f>
        <v>0.12460581899986536</v>
      </c>
      <c r="AG48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0.64405642871200675</v>
      </c>
      <c r="AH484" s="406">
        <f t="shared" si="7"/>
        <v>377</v>
      </c>
      <c r="AI48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0.64405642871200675</v>
      </c>
      <c r="AJ484" s="257">
        <f>FME_Ranking1[[#This Row],[Addition check]]-FME_Ranking1[[#This Row],[Weighted Score Based on Normalized Reported Factors]]</f>
        <v>0</v>
      </c>
      <c r="AK484" s="178">
        <f>_xlfn.RANK.EQ(AI484,$AI$6:$AI$2341,0)+COUNTIF($AI$6:AI484,AI484)-1</f>
        <v>377</v>
      </c>
    </row>
    <row r="485" spans="1:37" ht="12" customHeight="1" x14ac:dyDescent="0.25">
      <c r="A485" t="s">
        <v>8002</v>
      </c>
      <c r="B485">
        <f>_xlfn.XLOOKUP(FME_Ranking1[[#This Row],[FME ID]],FME_Input[FME_ID],FME_Input[RFPG_NUM])</f>
        <v>9</v>
      </c>
      <c r="C485" t="str">
        <f>_xlfn.XLOOKUP(FME_Ranking1[[#This Row],[FME ID]],FME_Input[FME_ID],FME_Input[FME_NAME])</f>
        <v>Martin County  DMP</v>
      </c>
      <c r="D485" t="str">
        <f>_xlfn.XLOOKUP(FME_Ranking1[[#This Row],[FME ID]],FME_Input[FME_ID],FME_Input[DESCR])</f>
        <v xml:space="preserve">Create Drainage Master Plan, including evaluation of potential mitigation projects. </v>
      </c>
      <c r="E485" s="256">
        <f>_xlfn.XLOOKUP(FME_Ranking1[[#This Row],[FME ID]],FME_Input[FME_ID],FME_Input[FME_COST])</f>
        <v>500000</v>
      </c>
      <c r="F485" t="str">
        <f>_xlfn.XLOOKUP(FME_Ranking1[[#This Row],[FME ID]],FME_Input[FME_ID],FME_Input[EMER_NEED])</f>
        <v>No</v>
      </c>
      <c r="G485">
        <f>IF(FME_Ranking!F485="Yes",100,0)</f>
        <v>0</v>
      </c>
      <c r="H485">
        <f>FME_Ranking1[[#This Row],[Emergency Need Score (Normalized, Unweighted)]]*$F$3</f>
        <v>0</v>
      </c>
      <c r="I485" s="246">
        <f>_xlfn.XLOOKUP(FME_Ranking1[[#This Row],[FME ID]],FME_Input[FME_ID],FME_Input[STRUCT_100])</f>
        <v>902</v>
      </c>
      <c r="J485" s="178">
        <f>(FME_Ranking1[[#This Row],[Structures 100 Raw]]/I$2)*100</f>
        <v>0.48301417983978068</v>
      </c>
      <c r="K485" s="178">
        <f>FME_Ranking1[[#This Row],[Structures 100  Score (Normalized, Unweighted)]]*$I$3</f>
        <v>7.2452126975967104E-2</v>
      </c>
      <c r="L485" s="246">
        <f>_xlfn.XLOOKUP(FME_Ranking1[[#This Row],[FME ID]],FME_Input[FME_ID],FME_Input[RES_STRUCT100])</f>
        <v>451</v>
      </c>
      <c r="M485" s="230">
        <f>(FME_Ranking1[[#This Row],[Res Structures Raw]]/L$2)*100</f>
        <v>0.31944582170531655</v>
      </c>
      <c r="N485" s="180">
        <f>FME_Ranking1[[#This Row],[Res Structures Score (Normalized, Unweighted)]]*$L$3</f>
        <v>3.1944582170531657E-2</v>
      </c>
      <c r="O485" s="244">
        <f>_xlfn.XLOOKUP(FME_Ranking1[[#This Row],[FME ID]],FME_Input[FME_ID],FME_Input[POP100])</f>
        <v>1987</v>
      </c>
      <c r="P485" s="178">
        <f>(FME_Ranking1[[#This Row],[Pop Raw]]/$O$2)*100</f>
        <v>0.20341974492167264</v>
      </c>
      <c r="Q485" s="178">
        <f>FME_Ranking1[[#This Row],[Pop Score (Normalized, Unweighted)]]*$O$3</f>
        <v>3.0512961738250896E-2</v>
      </c>
      <c r="R485" s="137">
        <f>_xlfn.XLOOKUP(FME_Ranking1[[#This Row],[FME ID]],FME_Input[FME_ID],FME_Input[CRITFAC100])</f>
        <v>3</v>
      </c>
      <c r="S485" s="230">
        <f>(FME_Ranking1[[#This Row],[Critical Facilities Raw]]/$R$2)*100</f>
        <v>0.1286449399656947</v>
      </c>
      <c r="T485" s="180">
        <f>FME_Ranking1[[#This Row],[Critical Facilities Score (Normalized, Unweighted)]]*$R$3</f>
        <v>2.5728987993138941E-2</v>
      </c>
      <c r="U485">
        <f>_xlfn.XLOOKUP(FME_Ranking1[[#This Row],[FME ID]],FME_Input[FME_ID],FME_Input[LWC])</f>
        <v>5</v>
      </c>
      <c r="V485" s="178">
        <f>(FME_Ranking1[[#This Row],[LWC Raw]]/$U$2)*100</f>
        <v>0.28785261945883706</v>
      </c>
      <c r="W485" s="178">
        <f>FME_Ranking1[[#This Row],[LWC Score (Normalized, Unweighted)]]*$U$3</f>
        <v>5.7570523891767415E-2</v>
      </c>
      <c r="X485" s="246">
        <f>_xlfn.XLOOKUP(FME_Ranking1[[#This Row],[FME ID]],FME_Input[FME_ID],FME_Input[ROADCLS])</f>
        <v>0</v>
      </c>
      <c r="Y485" s="230">
        <f>(FME_Ranking1[[#This Row],[Closures Raw]]/$X$2)*100</f>
        <v>0</v>
      </c>
      <c r="Z485" s="180">
        <f>FME_Ranking1[[#This Row],[Closures Score (Normalized, Unweighted)]]*$X$3</f>
        <v>0</v>
      </c>
      <c r="AA485" s="253">
        <f>_xlfn.XLOOKUP(FME_Ranking1[[#This Row],[FME ID]],FME_Input[FME_ID],FME_Input[ROAD_MILES100])</f>
        <v>229.1121826171875</v>
      </c>
      <c r="AB485" s="178">
        <f>(FME_Ranking1[[#This Row],[Miles Raw]]/$AA$2)*100</f>
        <v>3.0124142694248541</v>
      </c>
      <c r="AC485" s="178">
        <f>FME_Ranking1[[#This Row],[Miles Score (Normalized, Unweighted)]]*$AA$3</f>
        <v>0.30124142694248546</v>
      </c>
      <c r="AD485" s="255">
        <f>_xlfn.XLOOKUP(FME_Ranking1[[#This Row],[FME ID]],FME_Input[FME_ID],FME_Input[FARMACRE100])</f>
        <v>60436.15234375</v>
      </c>
      <c r="AE485" s="230">
        <f>(FME_Ranking1[[#This Row],[Ag Land Raw]]/$AD$2)*100</f>
        <v>2.4921163799973072</v>
      </c>
      <c r="AF485" s="231">
        <f>FME_Ranking1[[#This Row],[Ag Land Score (Normalized, Unweighted)]]*$AD$3</f>
        <v>0.12460581899986536</v>
      </c>
      <c r="AG48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0.64405642871200675</v>
      </c>
      <c r="AH485" s="406">
        <f t="shared" si="7"/>
        <v>377</v>
      </c>
      <c r="AI48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0.64405642871200675</v>
      </c>
      <c r="AJ485" s="257">
        <f>FME_Ranking1[[#This Row],[Addition check]]-FME_Ranking1[[#This Row],[Weighted Score Based on Normalized Reported Factors]]</f>
        <v>0</v>
      </c>
      <c r="AK485" s="178">
        <f>_xlfn.RANK.EQ(AI485,$AI$6:$AI$2341,0)+COUNTIF($AI$6:AI485,AI485)-1</f>
        <v>378</v>
      </c>
    </row>
    <row r="486" spans="1:37" ht="12" customHeight="1" x14ac:dyDescent="0.25">
      <c r="A486" t="s">
        <v>8045</v>
      </c>
      <c r="B486">
        <f>_xlfn.XLOOKUP(FME_Ranking1[[#This Row],[FME ID]],FME_Input[FME_ID],FME_Input[RFPG_NUM])</f>
        <v>9</v>
      </c>
      <c r="C486" t="str">
        <f>_xlfn.XLOOKUP(FME_Ranking1[[#This Row],[FME ID]],FME_Input[FME_ID],FME_Input[FME_NAME])</f>
        <v>Martin County  GIS Development</v>
      </c>
      <c r="D486" t="str">
        <f>_xlfn.XLOOKUP(FME_Ranking1[[#This Row],[FME ID]],FME_Input[FME_ID],FME_Input[DESCR])</f>
        <v>Develop a GIS inventory of stormwater infrastructure</v>
      </c>
      <c r="E486" s="256">
        <f>_xlfn.XLOOKUP(FME_Ranking1[[#This Row],[FME ID]],FME_Input[FME_ID],FME_Input[FME_COST])</f>
        <v>100000</v>
      </c>
      <c r="F486" t="str">
        <f>_xlfn.XLOOKUP(FME_Ranking1[[#This Row],[FME ID]],FME_Input[FME_ID],FME_Input[EMER_NEED])</f>
        <v>No</v>
      </c>
      <c r="G486">
        <f>IF(FME_Ranking!F486="Yes",100,0)</f>
        <v>0</v>
      </c>
      <c r="H486">
        <f>FME_Ranking1[[#This Row],[Emergency Need Score (Normalized, Unweighted)]]*$F$3</f>
        <v>0</v>
      </c>
      <c r="I486" s="246">
        <f>_xlfn.XLOOKUP(FME_Ranking1[[#This Row],[FME ID]],FME_Input[FME_ID],FME_Input[STRUCT_100])</f>
        <v>902</v>
      </c>
      <c r="J486" s="178">
        <f>(FME_Ranking1[[#This Row],[Structures 100 Raw]]/I$2)*100</f>
        <v>0.48301417983978068</v>
      </c>
      <c r="K486" s="178">
        <f>FME_Ranking1[[#This Row],[Structures 100  Score (Normalized, Unweighted)]]*$I$3</f>
        <v>7.2452126975967104E-2</v>
      </c>
      <c r="L486" s="246">
        <f>_xlfn.XLOOKUP(FME_Ranking1[[#This Row],[FME ID]],FME_Input[FME_ID],FME_Input[RES_STRUCT100])</f>
        <v>451</v>
      </c>
      <c r="M486" s="230">
        <f>(FME_Ranking1[[#This Row],[Res Structures Raw]]/L$2)*100</f>
        <v>0.31944582170531655</v>
      </c>
      <c r="N486" s="180">
        <f>FME_Ranking1[[#This Row],[Res Structures Score (Normalized, Unweighted)]]*$L$3</f>
        <v>3.1944582170531657E-2</v>
      </c>
      <c r="O486" s="244">
        <f>_xlfn.XLOOKUP(FME_Ranking1[[#This Row],[FME ID]],FME_Input[FME_ID],FME_Input[POP100])</f>
        <v>1987</v>
      </c>
      <c r="P486" s="178">
        <f>(FME_Ranking1[[#This Row],[Pop Raw]]/$O$2)*100</f>
        <v>0.20341974492167264</v>
      </c>
      <c r="Q486" s="178">
        <f>FME_Ranking1[[#This Row],[Pop Score (Normalized, Unweighted)]]*$O$3</f>
        <v>3.0512961738250896E-2</v>
      </c>
      <c r="R486" s="137">
        <f>_xlfn.XLOOKUP(FME_Ranking1[[#This Row],[FME ID]],FME_Input[FME_ID],FME_Input[CRITFAC100])</f>
        <v>3</v>
      </c>
      <c r="S486" s="230">
        <f>(FME_Ranking1[[#This Row],[Critical Facilities Raw]]/$R$2)*100</f>
        <v>0.1286449399656947</v>
      </c>
      <c r="T486" s="180">
        <f>FME_Ranking1[[#This Row],[Critical Facilities Score (Normalized, Unweighted)]]*$R$3</f>
        <v>2.5728987993138941E-2</v>
      </c>
      <c r="U486">
        <f>_xlfn.XLOOKUP(FME_Ranking1[[#This Row],[FME ID]],FME_Input[FME_ID],FME_Input[LWC])</f>
        <v>5</v>
      </c>
      <c r="V486" s="178">
        <f>(FME_Ranking1[[#This Row],[LWC Raw]]/$U$2)*100</f>
        <v>0.28785261945883706</v>
      </c>
      <c r="W486" s="178">
        <f>FME_Ranking1[[#This Row],[LWC Score (Normalized, Unweighted)]]*$U$3</f>
        <v>5.7570523891767415E-2</v>
      </c>
      <c r="X486" s="246">
        <f>_xlfn.XLOOKUP(FME_Ranking1[[#This Row],[FME ID]],FME_Input[FME_ID],FME_Input[ROADCLS])</f>
        <v>0</v>
      </c>
      <c r="Y486" s="230">
        <f>(FME_Ranking1[[#This Row],[Closures Raw]]/$X$2)*100</f>
        <v>0</v>
      </c>
      <c r="Z486" s="180">
        <f>FME_Ranking1[[#This Row],[Closures Score (Normalized, Unweighted)]]*$X$3</f>
        <v>0</v>
      </c>
      <c r="AA486" s="253">
        <f>_xlfn.XLOOKUP(FME_Ranking1[[#This Row],[FME ID]],FME_Input[FME_ID],FME_Input[ROAD_MILES100])</f>
        <v>229.1121826171875</v>
      </c>
      <c r="AB486" s="178">
        <f>(FME_Ranking1[[#This Row],[Miles Raw]]/$AA$2)*100</f>
        <v>3.0124142694248541</v>
      </c>
      <c r="AC486" s="178">
        <f>FME_Ranking1[[#This Row],[Miles Score (Normalized, Unweighted)]]*$AA$3</f>
        <v>0.30124142694248546</v>
      </c>
      <c r="AD486" s="255">
        <f>_xlfn.XLOOKUP(FME_Ranking1[[#This Row],[FME ID]],FME_Input[FME_ID],FME_Input[FARMACRE100])</f>
        <v>60436.15234375</v>
      </c>
      <c r="AE486" s="230">
        <f>(FME_Ranking1[[#This Row],[Ag Land Raw]]/$AD$2)*100</f>
        <v>2.4921163799973072</v>
      </c>
      <c r="AF486" s="231">
        <f>FME_Ranking1[[#This Row],[Ag Land Score (Normalized, Unweighted)]]*$AD$3</f>
        <v>0.12460581899986536</v>
      </c>
      <c r="AG48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0.64405642871200675</v>
      </c>
      <c r="AH486" s="406">
        <f t="shared" si="7"/>
        <v>377</v>
      </c>
      <c r="AI48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0.64405642871200675</v>
      </c>
      <c r="AJ486" s="257">
        <f>FME_Ranking1[[#This Row],[Addition check]]-FME_Ranking1[[#This Row],[Weighted Score Based on Normalized Reported Factors]]</f>
        <v>0</v>
      </c>
      <c r="AK486" s="178">
        <f>_xlfn.RANK.EQ(AI486,$AI$6:$AI$2341,0)+COUNTIF($AI$6:AI486,AI486)-1</f>
        <v>379</v>
      </c>
    </row>
    <row r="487" spans="1:37" ht="12" customHeight="1" x14ac:dyDescent="0.25">
      <c r="A487" t="s">
        <v>5020</v>
      </c>
      <c r="B487">
        <f>_xlfn.XLOOKUP(FME_Ranking1[[#This Row],[FME ID]],FME_Input[FME_ID],FME_Input[RFPG_NUM])</f>
        <v>3</v>
      </c>
      <c r="C487" t="str">
        <f>_xlfn.XLOOKUP(FME_Ranking1[[#This Row],[FME ID]],FME_Input[FME_ID],FME_Input[FME_NAME])</f>
        <v>Cooks Creek Drainage Infrastructure Improvements</v>
      </c>
      <c r="D487" t="str">
        <f>_xlfn.XLOOKUP(FME_Ranking1[[#This Row],[FME ID]],FME_Input[FME_ID],FME_Input[DESCR])</f>
        <v>Evaluation of improvements to drainage infrastructure along Cooks Creek between Bee St and Spring Valley.</v>
      </c>
      <c r="E487" s="256">
        <f>_xlfn.XLOOKUP(FME_Ranking1[[#This Row],[FME ID]],FME_Input[FME_ID],FME_Input[FME_COST])</f>
        <v>2000000</v>
      </c>
      <c r="F487" t="str">
        <f>_xlfn.XLOOKUP(FME_Ranking1[[#This Row],[FME ID]],FME_Input[FME_ID],FME_Input[EMER_NEED])</f>
        <v>No</v>
      </c>
      <c r="G487">
        <f>IF(FME_Ranking!F487="Yes",100,0)</f>
        <v>0</v>
      </c>
      <c r="H487">
        <f>FME_Ranking1[[#This Row],[Emergency Need Score (Normalized, Unweighted)]]*$F$3</f>
        <v>0</v>
      </c>
      <c r="I487" s="246">
        <f>_xlfn.XLOOKUP(FME_Ranking1[[#This Row],[FME ID]],FME_Input[FME_ID],FME_Input[STRUCT_100])</f>
        <v>216</v>
      </c>
      <c r="J487" s="178">
        <f>(FME_Ranking1[[#This Row],[Structures 100 Raw]]/I$2)*100</f>
        <v>0.11566636679090092</v>
      </c>
      <c r="K487" s="178">
        <f>FME_Ranking1[[#This Row],[Structures 100  Score (Normalized, Unweighted)]]*$I$3</f>
        <v>1.7349955018635139E-2</v>
      </c>
      <c r="L487" s="246">
        <f>_xlfn.XLOOKUP(FME_Ranking1[[#This Row],[FME ID]],FME_Input[FME_ID],FME_Input[RES_STRUCT100])</f>
        <v>121</v>
      </c>
      <c r="M487" s="230">
        <f>(FME_Ranking1[[#This Row],[Res Structures Raw]]/L$2)*100</f>
        <v>8.5704976555084925E-2</v>
      </c>
      <c r="N487" s="180">
        <f>FME_Ranking1[[#This Row],[Res Structures Score (Normalized, Unweighted)]]*$L$3</f>
        <v>8.5704976555084928E-3</v>
      </c>
      <c r="O487" s="244">
        <f>_xlfn.XLOOKUP(FME_Ranking1[[#This Row],[FME ID]],FME_Input[FME_ID],FME_Input[POP100])</f>
        <v>13436</v>
      </c>
      <c r="P487" s="178">
        <f>(FME_Ranking1[[#This Row],[Pop Raw]]/$O$2)*100</f>
        <v>1.3755146918810235</v>
      </c>
      <c r="Q487" s="178">
        <f>FME_Ranking1[[#This Row],[Pop Score (Normalized, Unweighted)]]*$O$3</f>
        <v>0.20632720378215352</v>
      </c>
      <c r="R487" s="137">
        <f>_xlfn.XLOOKUP(FME_Ranking1[[#This Row],[FME ID]],FME_Input[FME_ID],FME_Input[CRITFAC100])</f>
        <v>6</v>
      </c>
      <c r="S487" s="230">
        <f>(FME_Ranking1[[#This Row],[Critical Facilities Raw]]/$R$2)*100</f>
        <v>0.25728987993138941</v>
      </c>
      <c r="T487" s="180">
        <f>FME_Ranking1[[#This Row],[Critical Facilities Score (Normalized, Unweighted)]]*$R$3</f>
        <v>5.1457975986277882E-2</v>
      </c>
      <c r="U487">
        <f>_xlfn.XLOOKUP(FME_Ranking1[[#This Row],[FME ID]],FME_Input[FME_ID],FME_Input[LWC])</f>
        <v>5</v>
      </c>
      <c r="V487" s="178">
        <f>(FME_Ranking1[[#This Row],[LWC Raw]]/$U$2)*100</f>
        <v>0.28785261945883706</v>
      </c>
      <c r="W487" s="178">
        <f>FME_Ranking1[[#This Row],[LWC Score (Normalized, Unweighted)]]*$U$3</f>
        <v>5.7570523891767415E-2</v>
      </c>
      <c r="X487" s="246">
        <f>_xlfn.XLOOKUP(FME_Ranking1[[#This Row],[FME ID]],FME_Input[FME_ID],FME_Input[ROADCLS])</f>
        <v>0</v>
      </c>
      <c r="Y487" s="230">
        <f>(FME_Ranking1[[#This Row],[Closures Raw]]/$X$2)*100</f>
        <v>0</v>
      </c>
      <c r="Z487" s="180">
        <f>FME_Ranking1[[#This Row],[Closures Score (Normalized, Unweighted)]]*$X$3</f>
        <v>0</v>
      </c>
      <c r="AA487" s="253">
        <f>_xlfn.XLOOKUP(FME_Ranking1[[#This Row],[FME ID]],FME_Input[FME_ID],FME_Input[ROAD_MILES100])</f>
        <v>21.513839721679691</v>
      </c>
      <c r="AB487" s="178">
        <f>(FME_Ranking1[[#This Row],[Miles Raw]]/$AA$2)*100</f>
        <v>0.282868405457045</v>
      </c>
      <c r="AC487" s="178">
        <f>FME_Ranking1[[#This Row],[Miles Score (Normalized, Unweighted)]]*$AA$3</f>
        <v>2.8286840545704503E-2</v>
      </c>
      <c r="AD487" s="255">
        <f>_xlfn.XLOOKUP(FME_Ranking1[[#This Row],[FME ID]],FME_Input[FME_ID],FME_Input[FARMACRE100])</f>
        <v>129.3739929199219</v>
      </c>
      <c r="AE487" s="230">
        <f>(FME_Ranking1[[#This Row],[Ag Land Raw]]/$AD$2)*100</f>
        <v>5.3348043248609553E-3</v>
      </c>
      <c r="AF487" s="231">
        <f>FME_Ranking1[[#This Row],[Ag Land Score (Normalized, Unweighted)]]*$AD$3</f>
        <v>2.6674021624304778E-4</v>
      </c>
      <c r="AG48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0.36982973709629008</v>
      </c>
      <c r="AH487" s="406">
        <f t="shared" si="7"/>
        <v>549</v>
      </c>
      <c r="AI48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0.36982973709629008</v>
      </c>
      <c r="AJ487" s="257">
        <f>FME_Ranking1[[#This Row],[Addition check]]-FME_Ranking1[[#This Row],[Weighted Score Based on Normalized Reported Factors]]</f>
        <v>0</v>
      </c>
      <c r="AK487" s="178">
        <f>_xlfn.RANK.EQ(AI487,$AI$6:$AI$2341,0)+COUNTIF($AI$6:AI487,AI487)-1</f>
        <v>549</v>
      </c>
    </row>
    <row r="488" spans="1:37" ht="12" customHeight="1" x14ac:dyDescent="0.25">
      <c r="A488" t="s">
        <v>3997</v>
      </c>
      <c r="B488">
        <f>_xlfn.XLOOKUP(FME_Ranking1[[#This Row],[FME ID]],FME_Input[FME_ID],FME_Input[RFPG_NUM])</f>
        <v>3</v>
      </c>
      <c r="C488" t="str">
        <f>_xlfn.XLOOKUP(FME_Ranking1[[#This Row],[FME ID]],FME_Input[FME_ID],FME_Input[FME_NAME])</f>
        <v xml:space="preserve">Trinity County FEMA Mapping </v>
      </c>
      <c r="D488" t="str">
        <f>_xlfn.XLOOKUP(FME_Ranking1[[#This Row],[FME ID]],FME_Input[FME_ID],FME_Input[DESCR])</f>
        <v>Create FEMA mapping in previously unmapped areas and update existing FEMA maps as needed.</v>
      </c>
      <c r="E488" s="256">
        <f>_xlfn.XLOOKUP(FME_Ranking1[[#This Row],[FME ID]],FME_Input[FME_ID],FME_Input[FME_COST])</f>
        <v>989000</v>
      </c>
      <c r="F488" t="str">
        <f>_xlfn.XLOOKUP(FME_Ranking1[[#This Row],[FME ID]],FME_Input[FME_ID],FME_Input[EMER_NEED])</f>
        <v>No</v>
      </c>
      <c r="G488">
        <f>IF(FME_Ranking!F488="Yes",100,0)</f>
        <v>0</v>
      </c>
      <c r="H488">
        <f>FME_Ranking1[[#This Row],[Emergency Need Score (Normalized, Unweighted)]]*$F$3</f>
        <v>0</v>
      </c>
      <c r="I488" s="246">
        <f>_xlfn.XLOOKUP(FME_Ranking1[[#This Row],[FME ID]],FME_Input[FME_ID],FME_Input[STRUCT_100])</f>
        <v>1312</v>
      </c>
      <c r="J488" s="178">
        <f>(FME_Ranking1[[#This Row],[Structures 100 Raw]]/I$2)*100</f>
        <v>0.70256607976695362</v>
      </c>
      <c r="K488" s="178">
        <f>FME_Ranking1[[#This Row],[Structures 100  Score (Normalized, Unweighted)]]*$I$3</f>
        <v>0.10538491196504304</v>
      </c>
      <c r="L488" s="246">
        <f>_xlfn.XLOOKUP(FME_Ranking1[[#This Row],[FME ID]],FME_Input[FME_ID],FME_Input[RES_STRUCT100])</f>
        <v>1128</v>
      </c>
      <c r="M488" s="230">
        <f>(FME_Ranking1[[#This Row],[Res Structures Raw]]/L$2)*100</f>
        <v>0.7989687070589736</v>
      </c>
      <c r="N488" s="180">
        <f>FME_Ranking1[[#This Row],[Res Structures Score (Normalized, Unweighted)]]*$L$3</f>
        <v>7.9896870705897363E-2</v>
      </c>
      <c r="O488" s="244">
        <f>_xlfn.XLOOKUP(FME_Ranking1[[#This Row],[FME ID]],FME_Input[FME_ID],FME_Input[POP100])</f>
        <v>1895</v>
      </c>
      <c r="P488" s="178">
        <f>(FME_Ranking1[[#This Row],[Pop Raw]]/$O$2)*100</f>
        <v>0.19400121621870642</v>
      </c>
      <c r="Q488" s="178">
        <f>FME_Ranking1[[#This Row],[Pop Score (Normalized, Unweighted)]]*$O$3</f>
        <v>2.910018243280596E-2</v>
      </c>
      <c r="R488" s="137">
        <f>_xlfn.XLOOKUP(FME_Ranking1[[#This Row],[FME ID]],FME_Input[FME_ID],FME_Input[CRITFAC100])</f>
        <v>11</v>
      </c>
      <c r="S488" s="230">
        <f>(FME_Ranking1[[#This Row],[Critical Facilities Raw]]/$R$2)*100</f>
        <v>0.47169811320754718</v>
      </c>
      <c r="T488" s="180">
        <f>FME_Ranking1[[#This Row],[Critical Facilities Score (Normalized, Unweighted)]]*$R$3</f>
        <v>9.4339622641509441E-2</v>
      </c>
      <c r="U488">
        <f>_xlfn.XLOOKUP(FME_Ranking1[[#This Row],[FME ID]],FME_Input[FME_ID],FME_Input[LWC])</f>
        <v>1</v>
      </c>
      <c r="V488" s="178">
        <f>(FME_Ranking1[[#This Row],[LWC Raw]]/$U$2)*100</f>
        <v>5.7570523891767422E-2</v>
      </c>
      <c r="W488" s="178">
        <f>FME_Ranking1[[#This Row],[LWC Score (Normalized, Unweighted)]]*$U$3</f>
        <v>1.1514104778353485E-2</v>
      </c>
      <c r="X488" s="246">
        <f>_xlfn.XLOOKUP(FME_Ranking1[[#This Row],[FME ID]],FME_Input[FME_ID],FME_Input[ROADCLS])</f>
        <v>0</v>
      </c>
      <c r="Y488" s="230">
        <f>(FME_Ranking1[[#This Row],[Closures Raw]]/$X$2)*100</f>
        <v>0</v>
      </c>
      <c r="Z488" s="180">
        <f>FME_Ranking1[[#This Row],[Closures Score (Normalized, Unweighted)]]*$X$3</f>
        <v>0</v>
      </c>
      <c r="AA488" s="253">
        <f>_xlfn.XLOOKUP(FME_Ranking1[[#This Row],[FME ID]],FME_Input[FME_ID],FME_Input[ROAD_MILES100])</f>
        <v>53.7747802734375</v>
      </c>
      <c r="AB488" s="178">
        <f>(FME_Ranking1[[#This Row],[Miles Raw]]/$AA$2)*100</f>
        <v>0.70704191099935421</v>
      </c>
      <c r="AC488" s="178">
        <f>FME_Ranking1[[#This Row],[Miles Score (Normalized, Unweighted)]]*$AA$3</f>
        <v>7.0704191099935421E-2</v>
      </c>
      <c r="AD488" s="255">
        <f>_xlfn.XLOOKUP(FME_Ranking1[[#This Row],[FME ID]],FME_Input[FME_ID],FME_Input[FARMACRE100])</f>
        <v>9960.1728515625</v>
      </c>
      <c r="AE488" s="230">
        <f>(FME_Ranking1[[#This Row],[Ag Land Raw]]/$AD$2)*100</f>
        <v>0.41071294164791994</v>
      </c>
      <c r="AF488" s="231">
        <f>FME_Ranking1[[#This Row],[Ag Land Score (Normalized, Unweighted)]]*$AD$3</f>
        <v>2.0535647082395997E-2</v>
      </c>
      <c r="AG48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0.41147553070594067</v>
      </c>
      <c r="AH488" s="406">
        <f t="shared" si="7"/>
        <v>518</v>
      </c>
      <c r="AI48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0.41147553070594067</v>
      </c>
      <c r="AJ488" s="257">
        <f>FME_Ranking1[[#This Row],[Addition check]]-FME_Ranking1[[#This Row],[Weighted Score Based on Normalized Reported Factors]]</f>
        <v>0</v>
      </c>
      <c r="AK488" s="178">
        <f>_xlfn.RANK.EQ(AI488,$AI$6:$AI$2341,0)+COUNTIF($AI$6:AI488,AI488)-1</f>
        <v>518</v>
      </c>
    </row>
    <row r="489" spans="1:37" ht="12" customHeight="1" x14ac:dyDescent="0.25">
      <c r="A489" t="s">
        <v>11381</v>
      </c>
      <c r="B489">
        <f>_xlfn.XLOOKUP(FME_Ranking1[[#This Row],[FME ID]],FME_Input[FME_ID],FME_Input[RFPG_NUM])</f>
        <v>15</v>
      </c>
      <c r="C489" t="str">
        <f>_xlfn.XLOOKUP(FME_Ranking1[[#This Row],[FME ID]],FME_Input[FME_ID],FME_Input[FME_NAME])</f>
        <v>Maverick County</v>
      </c>
      <c r="D489" t="str">
        <f>_xlfn.XLOOKUP(FME_Ranking1[[#This Row],[FME ID]],FME_Input[FME_ID],FME_Input[DESCR])</f>
        <v>Develop Flood risk maps for the county of Maverick and develop CIP</v>
      </c>
      <c r="E489" s="256">
        <f>_xlfn.XLOOKUP(FME_Ranking1[[#This Row],[FME ID]],FME_Input[FME_ID],FME_Input[FME_COST])</f>
        <v>500000</v>
      </c>
      <c r="F489" t="str">
        <f>_xlfn.XLOOKUP(FME_Ranking1[[#This Row],[FME ID]],FME_Input[FME_ID],FME_Input[EMER_NEED])</f>
        <v>Yes</v>
      </c>
      <c r="G489">
        <f>IF(FME_Ranking!F489="Yes",100,0)</f>
        <v>100</v>
      </c>
      <c r="H489">
        <f>FME_Ranking1[[#This Row],[Emergency Need Score (Normalized, Unweighted)]]*$F$3</f>
        <v>0</v>
      </c>
      <c r="I489" s="246">
        <f>_xlfn.XLOOKUP(FME_Ranking1[[#This Row],[FME ID]],FME_Input[FME_ID],FME_Input[STRUCT_100])</f>
        <v>0</v>
      </c>
      <c r="J489" s="178">
        <f>(FME_Ranking1[[#This Row],[Structures 100 Raw]]/I$2)*100</f>
        <v>0</v>
      </c>
      <c r="K489" s="178">
        <f>FME_Ranking1[[#This Row],[Structures 100  Score (Normalized, Unweighted)]]*$I$3</f>
        <v>0</v>
      </c>
      <c r="L489" s="246">
        <f>_xlfn.XLOOKUP(FME_Ranking1[[#This Row],[FME ID]],FME_Input[FME_ID],FME_Input[RES_STRUCT100])</f>
        <v>1832</v>
      </c>
      <c r="M489" s="230">
        <f>(FME_Ranking1[[#This Row],[Res Structures Raw]]/L$2)*100</f>
        <v>1.2976158433794678</v>
      </c>
      <c r="N489" s="180">
        <f>FME_Ranking1[[#This Row],[Res Structures Score (Normalized, Unweighted)]]*$L$3</f>
        <v>0.12976158433794679</v>
      </c>
      <c r="O489" s="244">
        <f>_xlfn.XLOOKUP(FME_Ranking1[[#This Row],[FME ID]],FME_Input[FME_ID],FME_Input[POP100])</f>
        <v>8495</v>
      </c>
      <c r="P489" s="178">
        <f>(FME_Ranking1[[#This Row],[Pop Raw]]/$O$2)*100</f>
        <v>0.86967827534454412</v>
      </c>
      <c r="Q489" s="178">
        <f>FME_Ranking1[[#This Row],[Pop Score (Normalized, Unweighted)]]*$O$3</f>
        <v>0.13045174130168161</v>
      </c>
      <c r="R489" s="137">
        <f>_xlfn.XLOOKUP(FME_Ranking1[[#This Row],[FME ID]],FME_Input[FME_ID],FME_Input[CRITFAC100])</f>
        <v>1</v>
      </c>
      <c r="S489" s="230">
        <f>(FME_Ranking1[[#This Row],[Critical Facilities Raw]]/$R$2)*100</f>
        <v>4.2881646655231559E-2</v>
      </c>
      <c r="T489" s="180">
        <f>FME_Ranking1[[#This Row],[Critical Facilities Score (Normalized, Unweighted)]]*$R$3</f>
        <v>8.5763293310463125E-3</v>
      </c>
      <c r="U489">
        <f>_xlfn.XLOOKUP(FME_Ranking1[[#This Row],[FME ID]],FME_Input[FME_ID],FME_Input[LWC])</f>
        <v>6</v>
      </c>
      <c r="V489" s="178">
        <f>(FME_Ranking1[[#This Row],[LWC Raw]]/$U$2)*100</f>
        <v>0.34542314335060448</v>
      </c>
      <c r="W489" s="178">
        <f>FME_Ranking1[[#This Row],[LWC Score (Normalized, Unweighted)]]*$U$3</f>
        <v>6.9084628670120898E-2</v>
      </c>
      <c r="X489" s="246">
        <f>_xlfn.XLOOKUP(FME_Ranking1[[#This Row],[FME ID]],FME_Input[FME_ID],FME_Input[ROADCLS])</f>
        <v>0</v>
      </c>
      <c r="Y489" s="230">
        <f>(FME_Ranking1[[#This Row],[Closures Raw]]/$X$2)*100</f>
        <v>0</v>
      </c>
      <c r="Z489" s="180">
        <f>FME_Ranking1[[#This Row],[Closures Score (Normalized, Unweighted)]]*$X$3</f>
        <v>0</v>
      </c>
      <c r="AA489" s="253">
        <f>_xlfn.XLOOKUP(FME_Ranking1[[#This Row],[FME ID]],FME_Input[FME_ID],FME_Input[ROAD_MILES100])</f>
        <v>239.10699462890619</v>
      </c>
      <c r="AB489" s="178">
        <f>(FME_Ranking1[[#This Row],[Miles Raw]]/$AA$2)*100</f>
        <v>3.1438281208420316</v>
      </c>
      <c r="AC489" s="178">
        <f>FME_Ranking1[[#This Row],[Miles Score (Normalized, Unweighted)]]*$AA$3</f>
        <v>0.31438281208420316</v>
      </c>
      <c r="AD489" s="255">
        <f>_xlfn.XLOOKUP(FME_Ranking1[[#This Row],[FME ID]],FME_Input[FME_ID],FME_Input[FARMACRE100])</f>
        <v>0</v>
      </c>
      <c r="AE489" s="230">
        <f>(FME_Ranking1[[#This Row],[Ag Land Raw]]/$AD$2)*100</f>
        <v>0</v>
      </c>
      <c r="AF489" s="231">
        <f>FME_Ranking1[[#This Row],[Ag Land Score (Normalized, Unweighted)]]*$AD$3</f>
        <v>0</v>
      </c>
      <c r="AG48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0.65225709572499868</v>
      </c>
      <c r="AH489" s="406">
        <f t="shared" si="7"/>
        <v>372</v>
      </c>
      <c r="AI48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0.65225709572499868</v>
      </c>
      <c r="AJ489" s="257">
        <f>FME_Ranking1[[#This Row],[Addition check]]-FME_Ranking1[[#This Row],[Weighted Score Based on Normalized Reported Factors]]</f>
        <v>0</v>
      </c>
      <c r="AK489" s="178">
        <f>_xlfn.RANK.EQ(AI489,$AI$6:$AI$2341,0)+COUNTIF($AI$6:AI489,AI489)-1</f>
        <v>372</v>
      </c>
    </row>
    <row r="490" spans="1:37" ht="12" customHeight="1" x14ac:dyDescent="0.25">
      <c r="A490" t="s">
        <v>6270</v>
      </c>
      <c r="B490">
        <f>_xlfn.XLOOKUP(FME_Ranking1[[#This Row],[FME ID]],FME_Input[FME_ID],FME_Input[RFPG_NUM])</f>
        <v>5</v>
      </c>
      <c r="C490" t="str">
        <f>_xlfn.XLOOKUP(FME_Ranking1[[#This Row],[FME ID]],FME_Input[FME_ID],FME_Input[FME_NAME])</f>
        <v>Halbouty Add two pumps (open spots in structure)</v>
      </c>
      <c r="D490" t="str">
        <f>_xlfn.XLOOKUP(FME_Ranking1[[#This Row],[FME ID]],FME_Input[FME_ID],FME_Input[DESCR])</f>
        <v xml:space="preserve">H&amp;H study to size pump upgrades and improve existing level of service. </v>
      </c>
      <c r="E490" s="256">
        <f>_xlfn.XLOOKUP(FME_Ranking1[[#This Row],[FME ID]],FME_Input[FME_ID],FME_Input[FME_COST])</f>
        <v>100000</v>
      </c>
      <c r="F490" t="str">
        <f>_xlfn.XLOOKUP(FME_Ranking1[[#This Row],[FME ID]],FME_Input[FME_ID],FME_Input[EMER_NEED])</f>
        <v>Yes</v>
      </c>
      <c r="G490">
        <f>IF(FME_Ranking!F490="Yes",100,0)</f>
        <v>100</v>
      </c>
      <c r="H490">
        <f>FME_Ranking1[[#This Row],[Emergency Need Score (Normalized, Unweighted)]]*$F$3</f>
        <v>0</v>
      </c>
      <c r="I490" s="246">
        <f>_xlfn.XLOOKUP(FME_Ranking1[[#This Row],[FME ID]],FME_Input[FME_ID],FME_Input[STRUCT_100])</f>
        <v>251</v>
      </c>
      <c r="J490" s="178">
        <f>(FME_Ranking1[[#This Row],[Structures 100 Raw]]/I$2)*100</f>
        <v>0.13440860215053765</v>
      </c>
      <c r="K490" s="178">
        <f>FME_Ranking1[[#This Row],[Structures 100  Score (Normalized, Unweighted)]]*$I$3</f>
        <v>2.0161290322580648E-2</v>
      </c>
      <c r="L490" s="246">
        <f>_xlfn.XLOOKUP(FME_Ranking1[[#This Row],[FME ID]],FME_Input[FME_ID],FME_Input[RES_STRUCT100])</f>
        <v>99</v>
      </c>
      <c r="M490" s="230">
        <f>(FME_Ranking1[[#This Row],[Res Structures Raw]]/L$2)*100</f>
        <v>7.0122253545069485E-2</v>
      </c>
      <c r="N490" s="180">
        <f>FME_Ranking1[[#This Row],[Res Structures Score (Normalized, Unweighted)]]*$L$3</f>
        <v>7.0122253545069485E-3</v>
      </c>
      <c r="O490" s="244">
        <f>_xlfn.XLOOKUP(FME_Ranking1[[#This Row],[FME ID]],FME_Input[FME_ID],FME_Input[POP100])</f>
        <v>1628</v>
      </c>
      <c r="P490" s="178">
        <f>(FME_Ranking1[[#This Row],[Pop Raw]]/$O$2)*100</f>
        <v>0.16666700791770661</v>
      </c>
      <c r="Q490" s="178">
        <f>FME_Ranking1[[#This Row],[Pop Score (Normalized, Unweighted)]]*$O$3</f>
        <v>2.500005118765599E-2</v>
      </c>
      <c r="R490" s="137">
        <f>_xlfn.XLOOKUP(FME_Ranking1[[#This Row],[FME ID]],FME_Input[FME_ID],FME_Input[CRITFAC100])</f>
        <v>33</v>
      </c>
      <c r="S490" s="230">
        <f>(FME_Ranking1[[#This Row],[Critical Facilities Raw]]/$R$2)*100</f>
        <v>1.4150943396226416</v>
      </c>
      <c r="T490" s="180">
        <f>FME_Ranking1[[#This Row],[Critical Facilities Score (Normalized, Unweighted)]]*$R$3</f>
        <v>0.28301886792452835</v>
      </c>
      <c r="U490">
        <f>_xlfn.XLOOKUP(FME_Ranking1[[#This Row],[FME ID]],FME_Input[FME_ID],FME_Input[LWC])</f>
        <v>0</v>
      </c>
      <c r="V490" s="178">
        <f>(FME_Ranking1[[#This Row],[LWC Raw]]/$U$2)*100</f>
        <v>0</v>
      </c>
      <c r="W490" s="178">
        <f>FME_Ranking1[[#This Row],[LWC Score (Normalized, Unweighted)]]*$U$3</f>
        <v>0</v>
      </c>
      <c r="X490" s="246">
        <f>_xlfn.XLOOKUP(FME_Ranking1[[#This Row],[FME ID]],FME_Input[FME_ID],FME_Input[ROADCLS])</f>
        <v>0</v>
      </c>
      <c r="Y490" s="230">
        <f>(FME_Ranking1[[#This Row],[Closures Raw]]/$X$2)*100</f>
        <v>0</v>
      </c>
      <c r="Z490" s="180">
        <f>FME_Ranking1[[#This Row],[Closures Score (Normalized, Unweighted)]]*$X$3</f>
        <v>0</v>
      </c>
      <c r="AA490" s="253">
        <f>_xlfn.XLOOKUP(FME_Ranking1[[#This Row],[FME ID]],FME_Input[FME_ID],FME_Input[ROAD_MILES100])</f>
        <v>6.693272590637207</v>
      </c>
      <c r="AB490" s="178">
        <f>(FME_Ranking1[[#This Row],[Miles Raw]]/$AA$2)*100</f>
        <v>8.8004529618902955E-2</v>
      </c>
      <c r="AC490" s="178">
        <f>FME_Ranking1[[#This Row],[Miles Score (Normalized, Unweighted)]]*$AA$3</f>
        <v>8.8004529618902951E-3</v>
      </c>
      <c r="AD490" s="255">
        <f>_xlfn.XLOOKUP(FME_Ranking1[[#This Row],[FME ID]],FME_Input[FME_ID],FME_Input[FARMACRE100])</f>
        <v>163.9208679199219</v>
      </c>
      <c r="AE490" s="230">
        <f>(FME_Ranking1[[#This Row],[Ag Land Raw]]/$AD$2)*100</f>
        <v>6.7593628006475583E-3</v>
      </c>
      <c r="AF490" s="231">
        <f>FME_Ranking1[[#This Row],[Ag Land Score (Normalized, Unweighted)]]*$AD$3</f>
        <v>3.3796814003237796E-4</v>
      </c>
      <c r="AG49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0.34433085589119466</v>
      </c>
      <c r="AH490" s="406">
        <f t="shared" si="7"/>
        <v>572</v>
      </c>
      <c r="AI49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0.34433085589119466</v>
      </c>
      <c r="AJ490" s="257">
        <f>FME_Ranking1[[#This Row],[Addition check]]-FME_Ranking1[[#This Row],[Weighted Score Based on Normalized Reported Factors]]</f>
        <v>0</v>
      </c>
      <c r="AK490" s="178">
        <f>_xlfn.RANK.EQ(AI490,$AI$6:$AI$2341,0)+COUNTIF($AI$6:AI490,AI490)-1</f>
        <v>572</v>
      </c>
    </row>
    <row r="491" spans="1:37" ht="12" customHeight="1" x14ac:dyDescent="0.25">
      <c r="A491" t="s">
        <v>6275</v>
      </c>
      <c r="B491">
        <f>_xlfn.XLOOKUP(FME_Ranking1[[#This Row],[FME ID]],FME_Input[FME_ID],FME_Input[RFPG_NUM])</f>
        <v>5</v>
      </c>
      <c r="C491" t="str">
        <f>_xlfn.XLOOKUP(FME_Ranking1[[#This Row],[FME ID]],FME_Input[FME_ID],FME_Input[FME_NAME])</f>
        <v>Main C Diversion - Build New Pump Station and Channel</v>
      </c>
      <c r="D491" t="str">
        <f>_xlfn.XLOOKUP(FME_Ranking1[[#This Row],[FME ID]],FME_Input[FME_ID],FME_Input[DESCR])</f>
        <v xml:space="preserve">H&amp;H study to size pump upgrades and improve existing level of service. </v>
      </c>
      <c r="E491" s="256">
        <f>_xlfn.XLOOKUP(FME_Ranking1[[#This Row],[FME ID]],FME_Input[FME_ID],FME_Input[FME_COST])</f>
        <v>100000</v>
      </c>
      <c r="F491" t="str">
        <f>_xlfn.XLOOKUP(FME_Ranking1[[#This Row],[FME ID]],FME_Input[FME_ID],FME_Input[EMER_NEED])</f>
        <v>Yes</v>
      </c>
      <c r="G491">
        <f>IF(FME_Ranking!F491="Yes",100,0)</f>
        <v>100</v>
      </c>
      <c r="H491">
        <f>FME_Ranking1[[#This Row],[Emergency Need Score (Normalized, Unweighted)]]*$F$3</f>
        <v>0</v>
      </c>
      <c r="I491" s="246">
        <f>_xlfn.XLOOKUP(FME_Ranking1[[#This Row],[FME ID]],FME_Input[FME_ID],FME_Input[STRUCT_100])</f>
        <v>251</v>
      </c>
      <c r="J491" s="178">
        <f>(FME_Ranking1[[#This Row],[Structures 100 Raw]]/I$2)*100</f>
        <v>0.13440860215053765</v>
      </c>
      <c r="K491" s="178">
        <f>FME_Ranking1[[#This Row],[Structures 100  Score (Normalized, Unweighted)]]*$I$3</f>
        <v>2.0161290322580648E-2</v>
      </c>
      <c r="L491" s="246">
        <f>_xlfn.XLOOKUP(FME_Ranking1[[#This Row],[FME ID]],FME_Input[FME_ID],FME_Input[RES_STRUCT100])</f>
        <v>99</v>
      </c>
      <c r="M491" s="230">
        <f>(FME_Ranking1[[#This Row],[Res Structures Raw]]/L$2)*100</f>
        <v>7.0122253545069485E-2</v>
      </c>
      <c r="N491" s="180">
        <f>FME_Ranking1[[#This Row],[Res Structures Score (Normalized, Unweighted)]]*$L$3</f>
        <v>7.0122253545069485E-3</v>
      </c>
      <c r="O491" s="244">
        <f>_xlfn.XLOOKUP(FME_Ranking1[[#This Row],[FME ID]],FME_Input[FME_ID],FME_Input[POP100])</f>
        <v>1628</v>
      </c>
      <c r="P491" s="178">
        <f>(FME_Ranking1[[#This Row],[Pop Raw]]/$O$2)*100</f>
        <v>0.16666700791770661</v>
      </c>
      <c r="Q491" s="178">
        <f>FME_Ranking1[[#This Row],[Pop Score (Normalized, Unweighted)]]*$O$3</f>
        <v>2.500005118765599E-2</v>
      </c>
      <c r="R491" s="137">
        <f>_xlfn.XLOOKUP(FME_Ranking1[[#This Row],[FME ID]],FME_Input[FME_ID],FME_Input[CRITFAC100])</f>
        <v>33</v>
      </c>
      <c r="S491" s="230">
        <f>(FME_Ranking1[[#This Row],[Critical Facilities Raw]]/$R$2)*100</f>
        <v>1.4150943396226416</v>
      </c>
      <c r="T491" s="180">
        <f>FME_Ranking1[[#This Row],[Critical Facilities Score (Normalized, Unweighted)]]*$R$3</f>
        <v>0.28301886792452835</v>
      </c>
      <c r="U491">
        <f>_xlfn.XLOOKUP(FME_Ranking1[[#This Row],[FME ID]],FME_Input[FME_ID],FME_Input[LWC])</f>
        <v>0</v>
      </c>
      <c r="V491" s="178">
        <f>(FME_Ranking1[[#This Row],[LWC Raw]]/$U$2)*100</f>
        <v>0</v>
      </c>
      <c r="W491" s="178">
        <f>FME_Ranking1[[#This Row],[LWC Score (Normalized, Unweighted)]]*$U$3</f>
        <v>0</v>
      </c>
      <c r="X491" s="246">
        <f>_xlfn.XLOOKUP(FME_Ranking1[[#This Row],[FME ID]],FME_Input[FME_ID],FME_Input[ROADCLS])</f>
        <v>0</v>
      </c>
      <c r="Y491" s="230">
        <f>(FME_Ranking1[[#This Row],[Closures Raw]]/$X$2)*100</f>
        <v>0</v>
      </c>
      <c r="Z491" s="180">
        <f>FME_Ranking1[[#This Row],[Closures Score (Normalized, Unweighted)]]*$X$3</f>
        <v>0</v>
      </c>
      <c r="AA491" s="253">
        <f>_xlfn.XLOOKUP(FME_Ranking1[[#This Row],[FME ID]],FME_Input[FME_ID],FME_Input[ROAD_MILES100])</f>
        <v>6.693272590637207</v>
      </c>
      <c r="AB491" s="178">
        <f>(FME_Ranking1[[#This Row],[Miles Raw]]/$AA$2)*100</f>
        <v>8.8004529618902955E-2</v>
      </c>
      <c r="AC491" s="178">
        <f>FME_Ranking1[[#This Row],[Miles Score (Normalized, Unweighted)]]*$AA$3</f>
        <v>8.8004529618902951E-3</v>
      </c>
      <c r="AD491" s="255">
        <f>_xlfn.XLOOKUP(FME_Ranking1[[#This Row],[FME ID]],FME_Input[FME_ID],FME_Input[FARMACRE100])</f>
        <v>163.9208679199219</v>
      </c>
      <c r="AE491" s="230">
        <f>(FME_Ranking1[[#This Row],[Ag Land Raw]]/$AD$2)*100</f>
        <v>6.7593628006475583E-3</v>
      </c>
      <c r="AF491" s="231">
        <f>FME_Ranking1[[#This Row],[Ag Land Score (Normalized, Unweighted)]]*$AD$3</f>
        <v>3.3796814003237796E-4</v>
      </c>
      <c r="AG49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0.34433085589119466</v>
      </c>
      <c r="AH491" s="406">
        <f t="shared" si="7"/>
        <v>572</v>
      </c>
      <c r="AI49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0.34433085589119466</v>
      </c>
      <c r="AJ491" s="257">
        <f>FME_Ranking1[[#This Row],[Addition check]]-FME_Ranking1[[#This Row],[Weighted Score Based on Normalized Reported Factors]]</f>
        <v>0</v>
      </c>
      <c r="AK491" s="178">
        <f>_xlfn.RANK.EQ(AI491,$AI$6:$AI$2341,0)+COUNTIF($AI$6:AI491,AI491)-1</f>
        <v>573</v>
      </c>
    </row>
    <row r="492" spans="1:37" ht="12" customHeight="1" x14ac:dyDescent="0.25">
      <c r="A492" t="s">
        <v>6291</v>
      </c>
      <c r="B492">
        <f>_xlfn.XLOOKUP(FME_Ranking1[[#This Row],[FME ID]],FME_Input[FME_ID],FME_Input[RFPG_NUM])</f>
        <v>5</v>
      </c>
      <c r="C492" t="str">
        <f>_xlfn.XLOOKUP(FME_Ranking1[[#This Row],[FME ID]],FME_Input[FME_ID],FME_Input[FME_NAME])</f>
        <v>Main C Diversion Channel Improvements</v>
      </c>
      <c r="D492" t="str">
        <f>_xlfn.XLOOKUP(FME_Ranking1[[#This Row],[FME ID]],FME_Input[FME_ID],FME_Input[DESCR])</f>
        <v>H&amp;H study to identify alternatives for Main C Diversion Channel</v>
      </c>
      <c r="E492" s="256">
        <f>_xlfn.XLOOKUP(FME_Ranking1[[#This Row],[FME ID]],FME_Input[FME_ID],FME_Input[FME_COST])</f>
        <v>100000</v>
      </c>
      <c r="F492" t="str">
        <f>_xlfn.XLOOKUP(FME_Ranking1[[#This Row],[FME ID]],FME_Input[FME_ID],FME_Input[EMER_NEED])</f>
        <v>Yes</v>
      </c>
      <c r="G492">
        <f>IF(FME_Ranking!F492="Yes",100,0)</f>
        <v>100</v>
      </c>
      <c r="H492">
        <f>FME_Ranking1[[#This Row],[Emergency Need Score (Normalized, Unweighted)]]*$F$3</f>
        <v>0</v>
      </c>
      <c r="I492" s="246">
        <f>_xlfn.XLOOKUP(FME_Ranking1[[#This Row],[FME ID]],FME_Input[FME_ID],FME_Input[STRUCT_100])</f>
        <v>251</v>
      </c>
      <c r="J492" s="178">
        <f>(FME_Ranking1[[#This Row],[Structures 100 Raw]]/I$2)*100</f>
        <v>0.13440860215053765</v>
      </c>
      <c r="K492" s="178">
        <f>FME_Ranking1[[#This Row],[Structures 100  Score (Normalized, Unweighted)]]*$I$3</f>
        <v>2.0161290322580648E-2</v>
      </c>
      <c r="L492" s="246">
        <f>_xlfn.XLOOKUP(FME_Ranking1[[#This Row],[FME ID]],FME_Input[FME_ID],FME_Input[RES_STRUCT100])</f>
        <v>99</v>
      </c>
      <c r="M492" s="230">
        <f>(FME_Ranking1[[#This Row],[Res Structures Raw]]/L$2)*100</f>
        <v>7.0122253545069485E-2</v>
      </c>
      <c r="N492" s="180">
        <f>FME_Ranking1[[#This Row],[Res Structures Score (Normalized, Unweighted)]]*$L$3</f>
        <v>7.0122253545069485E-3</v>
      </c>
      <c r="O492" s="244">
        <f>_xlfn.XLOOKUP(FME_Ranking1[[#This Row],[FME ID]],FME_Input[FME_ID],FME_Input[POP100])</f>
        <v>1628</v>
      </c>
      <c r="P492" s="178">
        <f>(FME_Ranking1[[#This Row],[Pop Raw]]/$O$2)*100</f>
        <v>0.16666700791770661</v>
      </c>
      <c r="Q492" s="178">
        <f>FME_Ranking1[[#This Row],[Pop Score (Normalized, Unweighted)]]*$O$3</f>
        <v>2.500005118765599E-2</v>
      </c>
      <c r="R492" s="137">
        <f>_xlfn.XLOOKUP(FME_Ranking1[[#This Row],[FME ID]],FME_Input[FME_ID],FME_Input[CRITFAC100])</f>
        <v>33</v>
      </c>
      <c r="S492" s="230">
        <f>(FME_Ranking1[[#This Row],[Critical Facilities Raw]]/$R$2)*100</f>
        <v>1.4150943396226416</v>
      </c>
      <c r="T492" s="180">
        <f>FME_Ranking1[[#This Row],[Critical Facilities Score (Normalized, Unweighted)]]*$R$3</f>
        <v>0.28301886792452835</v>
      </c>
      <c r="U492">
        <f>_xlfn.XLOOKUP(FME_Ranking1[[#This Row],[FME ID]],FME_Input[FME_ID],FME_Input[LWC])</f>
        <v>0</v>
      </c>
      <c r="V492" s="178">
        <f>(FME_Ranking1[[#This Row],[LWC Raw]]/$U$2)*100</f>
        <v>0</v>
      </c>
      <c r="W492" s="178">
        <f>FME_Ranking1[[#This Row],[LWC Score (Normalized, Unweighted)]]*$U$3</f>
        <v>0</v>
      </c>
      <c r="X492" s="246">
        <f>_xlfn.XLOOKUP(FME_Ranking1[[#This Row],[FME ID]],FME_Input[FME_ID],FME_Input[ROADCLS])</f>
        <v>0</v>
      </c>
      <c r="Y492" s="230">
        <f>(FME_Ranking1[[#This Row],[Closures Raw]]/$X$2)*100</f>
        <v>0</v>
      </c>
      <c r="Z492" s="180">
        <f>FME_Ranking1[[#This Row],[Closures Score (Normalized, Unweighted)]]*$X$3</f>
        <v>0</v>
      </c>
      <c r="AA492" s="253">
        <f>_xlfn.XLOOKUP(FME_Ranking1[[#This Row],[FME ID]],FME_Input[FME_ID],FME_Input[ROAD_MILES100])</f>
        <v>6.693272590637207</v>
      </c>
      <c r="AB492" s="178">
        <f>(FME_Ranking1[[#This Row],[Miles Raw]]/$AA$2)*100</f>
        <v>8.8004529618902955E-2</v>
      </c>
      <c r="AC492" s="178">
        <f>FME_Ranking1[[#This Row],[Miles Score (Normalized, Unweighted)]]*$AA$3</f>
        <v>8.8004529618902951E-3</v>
      </c>
      <c r="AD492" s="255">
        <f>_xlfn.XLOOKUP(FME_Ranking1[[#This Row],[FME ID]],FME_Input[FME_ID],FME_Input[FARMACRE100])</f>
        <v>163.9208679199219</v>
      </c>
      <c r="AE492" s="230">
        <f>(FME_Ranking1[[#This Row],[Ag Land Raw]]/$AD$2)*100</f>
        <v>6.7593628006475583E-3</v>
      </c>
      <c r="AF492" s="231">
        <f>FME_Ranking1[[#This Row],[Ag Land Score (Normalized, Unweighted)]]*$AD$3</f>
        <v>3.3796814003237796E-4</v>
      </c>
      <c r="AG49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0.34433085589119466</v>
      </c>
      <c r="AH492" s="406">
        <f t="shared" si="7"/>
        <v>572</v>
      </c>
      <c r="AI49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0.34433085589119466</v>
      </c>
      <c r="AJ492" s="257">
        <f>FME_Ranking1[[#This Row],[Addition check]]-FME_Ranking1[[#This Row],[Weighted Score Based on Normalized Reported Factors]]</f>
        <v>0</v>
      </c>
      <c r="AK492" s="178">
        <f>_xlfn.RANK.EQ(AI492,$AI$6:$AI$2341,0)+COUNTIF($AI$6:AI492,AI492)-1</f>
        <v>574</v>
      </c>
    </row>
    <row r="493" spans="1:37" ht="12" customHeight="1" x14ac:dyDescent="0.25">
      <c r="A493" t="s">
        <v>6303</v>
      </c>
      <c r="B493">
        <f>_xlfn.XLOOKUP(FME_Ranking1[[#This Row],[FME ID]],FME_Input[FME_ID],FME_Input[RFPG_NUM])</f>
        <v>5</v>
      </c>
      <c r="C493" t="str">
        <f>_xlfn.XLOOKUP(FME_Ranking1[[#This Row],[FME ID]],FME_Input[FME_ID],FME_Input[FME_NAME])</f>
        <v>Halbouty Detention Pond Excavation</v>
      </c>
      <c r="D493" t="str">
        <f>_xlfn.XLOOKUP(FME_Ranking1[[#This Row],[FME ID]],FME_Input[FME_ID],FME_Input[DESCR])</f>
        <v>H&amp;H study to identify additional detention required to expand existing level of service</v>
      </c>
      <c r="E493" s="256">
        <f>_xlfn.XLOOKUP(FME_Ranking1[[#This Row],[FME ID]],FME_Input[FME_ID],FME_Input[FME_COST])</f>
        <v>100000</v>
      </c>
      <c r="F493" t="str">
        <f>_xlfn.XLOOKUP(FME_Ranking1[[#This Row],[FME ID]],FME_Input[FME_ID],FME_Input[EMER_NEED])</f>
        <v>Yes</v>
      </c>
      <c r="G493">
        <f>IF(FME_Ranking!F493="Yes",100,0)</f>
        <v>100</v>
      </c>
      <c r="H493">
        <f>FME_Ranking1[[#This Row],[Emergency Need Score (Normalized, Unweighted)]]*$F$3</f>
        <v>0</v>
      </c>
      <c r="I493" s="246">
        <f>_xlfn.XLOOKUP(FME_Ranking1[[#This Row],[FME ID]],FME_Input[FME_ID],FME_Input[STRUCT_100])</f>
        <v>251</v>
      </c>
      <c r="J493" s="178">
        <f>(FME_Ranking1[[#This Row],[Structures 100 Raw]]/I$2)*100</f>
        <v>0.13440860215053765</v>
      </c>
      <c r="K493" s="178">
        <f>FME_Ranking1[[#This Row],[Structures 100  Score (Normalized, Unweighted)]]*$I$3</f>
        <v>2.0161290322580648E-2</v>
      </c>
      <c r="L493" s="246">
        <f>_xlfn.XLOOKUP(FME_Ranking1[[#This Row],[FME ID]],FME_Input[FME_ID],FME_Input[RES_STRUCT100])</f>
        <v>99</v>
      </c>
      <c r="M493" s="230">
        <f>(FME_Ranking1[[#This Row],[Res Structures Raw]]/L$2)*100</f>
        <v>7.0122253545069485E-2</v>
      </c>
      <c r="N493" s="180">
        <f>FME_Ranking1[[#This Row],[Res Structures Score (Normalized, Unweighted)]]*$L$3</f>
        <v>7.0122253545069485E-3</v>
      </c>
      <c r="O493" s="244">
        <f>_xlfn.XLOOKUP(FME_Ranking1[[#This Row],[FME ID]],FME_Input[FME_ID],FME_Input[POP100])</f>
        <v>1628</v>
      </c>
      <c r="P493" s="178">
        <f>(FME_Ranking1[[#This Row],[Pop Raw]]/$O$2)*100</f>
        <v>0.16666700791770661</v>
      </c>
      <c r="Q493" s="178">
        <f>FME_Ranking1[[#This Row],[Pop Score (Normalized, Unweighted)]]*$O$3</f>
        <v>2.500005118765599E-2</v>
      </c>
      <c r="R493" s="137">
        <f>_xlfn.XLOOKUP(FME_Ranking1[[#This Row],[FME ID]],FME_Input[FME_ID],FME_Input[CRITFAC100])</f>
        <v>33</v>
      </c>
      <c r="S493" s="230">
        <f>(FME_Ranking1[[#This Row],[Critical Facilities Raw]]/$R$2)*100</f>
        <v>1.4150943396226416</v>
      </c>
      <c r="T493" s="180">
        <f>FME_Ranking1[[#This Row],[Critical Facilities Score (Normalized, Unweighted)]]*$R$3</f>
        <v>0.28301886792452835</v>
      </c>
      <c r="U493">
        <f>_xlfn.XLOOKUP(FME_Ranking1[[#This Row],[FME ID]],FME_Input[FME_ID],FME_Input[LWC])</f>
        <v>0</v>
      </c>
      <c r="V493" s="178">
        <f>(FME_Ranking1[[#This Row],[LWC Raw]]/$U$2)*100</f>
        <v>0</v>
      </c>
      <c r="W493" s="178">
        <f>FME_Ranking1[[#This Row],[LWC Score (Normalized, Unweighted)]]*$U$3</f>
        <v>0</v>
      </c>
      <c r="X493" s="246">
        <f>_xlfn.XLOOKUP(FME_Ranking1[[#This Row],[FME ID]],FME_Input[FME_ID],FME_Input[ROADCLS])</f>
        <v>0</v>
      </c>
      <c r="Y493" s="230">
        <f>(FME_Ranking1[[#This Row],[Closures Raw]]/$X$2)*100</f>
        <v>0</v>
      </c>
      <c r="Z493" s="180">
        <f>FME_Ranking1[[#This Row],[Closures Score (Normalized, Unweighted)]]*$X$3</f>
        <v>0</v>
      </c>
      <c r="AA493" s="253">
        <f>_xlfn.XLOOKUP(FME_Ranking1[[#This Row],[FME ID]],FME_Input[FME_ID],FME_Input[ROAD_MILES100])</f>
        <v>6.693272590637207</v>
      </c>
      <c r="AB493" s="178">
        <f>(FME_Ranking1[[#This Row],[Miles Raw]]/$AA$2)*100</f>
        <v>8.8004529618902955E-2</v>
      </c>
      <c r="AC493" s="178">
        <f>FME_Ranking1[[#This Row],[Miles Score (Normalized, Unweighted)]]*$AA$3</f>
        <v>8.8004529618902951E-3</v>
      </c>
      <c r="AD493" s="255">
        <f>_xlfn.XLOOKUP(FME_Ranking1[[#This Row],[FME ID]],FME_Input[FME_ID],FME_Input[FARMACRE100])</f>
        <v>163.9208679199219</v>
      </c>
      <c r="AE493" s="230">
        <f>(FME_Ranking1[[#This Row],[Ag Land Raw]]/$AD$2)*100</f>
        <v>6.7593628006475583E-3</v>
      </c>
      <c r="AF493" s="231">
        <f>FME_Ranking1[[#This Row],[Ag Land Score (Normalized, Unweighted)]]*$AD$3</f>
        <v>3.3796814003237796E-4</v>
      </c>
      <c r="AG49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0.34433085589119466</v>
      </c>
      <c r="AH493" s="406">
        <f t="shared" si="7"/>
        <v>572</v>
      </c>
      <c r="AI49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0.34433085589119466</v>
      </c>
      <c r="AJ493" s="257">
        <f>FME_Ranking1[[#This Row],[Addition check]]-FME_Ranking1[[#This Row],[Weighted Score Based on Normalized Reported Factors]]</f>
        <v>0</v>
      </c>
      <c r="AK493" s="178">
        <f>_xlfn.RANK.EQ(AI493,$AI$6:$AI$2341,0)+COUNTIF($AI$6:AI493,AI493)-1</f>
        <v>575</v>
      </c>
    </row>
    <row r="494" spans="1:37" ht="12" customHeight="1" x14ac:dyDescent="0.25">
      <c r="A494" t="s">
        <v>4405</v>
      </c>
      <c r="B494">
        <f>_xlfn.XLOOKUP(FME_Ranking1[[#This Row],[FME ID]],FME_Input[FME_ID],FME_Input[RFPG_NUM])</f>
        <v>3</v>
      </c>
      <c r="C494" t="str">
        <f>_xlfn.XLOOKUP(FME_Ranking1[[#This Row],[FME ID]],FME_Input[FME_ID],FME_Input[FME_NAME])</f>
        <v>Hackberry Gully and Cotton Bayou Shelving Study</v>
      </c>
      <c r="D494" t="str">
        <f>_xlfn.XLOOKUP(FME_Ranking1[[#This Row],[FME ID]],FME_Input[FME_ID],FME_Input[DESCR])</f>
        <v>Evaluate shelving the entire length of Hackberry Gully and Cotton Bayou from South of I-10 to Cotton Lake; thereby increasing their flow capacity.</v>
      </c>
      <c r="E494" s="256">
        <f>_xlfn.XLOOKUP(FME_Ranking1[[#This Row],[FME ID]],FME_Input[FME_ID],FME_Input[FME_COST])</f>
        <v>1250000</v>
      </c>
      <c r="F494" t="str">
        <f>_xlfn.XLOOKUP(FME_Ranking1[[#This Row],[FME ID]],FME_Input[FME_ID],FME_Input[EMER_NEED])</f>
        <v>No</v>
      </c>
      <c r="G494">
        <f>IF(FME_Ranking!F494="Yes",100,0)</f>
        <v>0</v>
      </c>
      <c r="H494">
        <f>FME_Ranking1[[#This Row],[Emergency Need Score (Normalized, Unweighted)]]*$F$3</f>
        <v>0</v>
      </c>
      <c r="I494" s="246">
        <f>_xlfn.XLOOKUP(FME_Ranking1[[#This Row],[FME ID]],FME_Input[FME_ID],FME_Input[STRUCT_100])</f>
        <v>1037</v>
      </c>
      <c r="J494" s="178">
        <f>(FME_Ranking1[[#This Row],[Structures 100 Raw]]/I$2)*100</f>
        <v>0.55530565908409379</v>
      </c>
      <c r="K494" s="178">
        <f>FME_Ranking1[[#This Row],[Structures 100  Score (Normalized, Unweighted)]]*$I$3</f>
        <v>8.3295848862614069E-2</v>
      </c>
      <c r="L494" s="246">
        <f>_xlfn.XLOOKUP(FME_Ranking1[[#This Row],[FME ID]],FME_Input[FME_ID],FME_Input[RES_STRUCT100])</f>
        <v>897</v>
      </c>
      <c r="M494" s="230">
        <f>(FME_Ranking1[[#This Row],[Res Structures Raw]]/L$2)*100</f>
        <v>0.63535011545381137</v>
      </c>
      <c r="N494" s="180">
        <f>FME_Ranking1[[#This Row],[Res Structures Score (Normalized, Unweighted)]]*$L$3</f>
        <v>6.3535011545381145E-2</v>
      </c>
      <c r="O494" s="244">
        <f>_xlfn.XLOOKUP(FME_Ranking1[[#This Row],[FME ID]],FME_Input[FME_ID],FME_Input[POP100])</f>
        <v>5159</v>
      </c>
      <c r="P494" s="178">
        <f>(FME_Ranking1[[#This Row],[Pop Raw]]/$O$2)*100</f>
        <v>0.52815423455002974</v>
      </c>
      <c r="Q494" s="178">
        <f>FME_Ranking1[[#This Row],[Pop Score (Normalized, Unweighted)]]*$O$3</f>
        <v>7.9223135182504456E-2</v>
      </c>
      <c r="R494" s="137">
        <f>_xlfn.XLOOKUP(FME_Ranking1[[#This Row],[FME ID]],FME_Input[FME_ID],FME_Input[CRITFAC100])</f>
        <v>12</v>
      </c>
      <c r="S494" s="230">
        <f>(FME_Ranking1[[#This Row],[Critical Facilities Raw]]/$R$2)*100</f>
        <v>0.51457975986277882</v>
      </c>
      <c r="T494" s="180">
        <f>FME_Ranking1[[#This Row],[Critical Facilities Score (Normalized, Unweighted)]]*$R$3</f>
        <v>0.10291595197255576</v>
      </c>
      <c r="U494">
        <f>_xlfn.XLOOKUP(FME_Ranking1[[#This Row],[FME ID]],FME_Input[FME_ID],FME_Input[LWC])</f>
        <v>0</v>
      </c>
      <c r="V494" s="178">
        <f>(FME_Ranking1[[#This Row],[LWC Raw]]/$U$2)*100</f>
        <v>0</v>
      </c>
      <c r="W494" s="178">
        <f>FME_Ranking1[[#This Row],[LWC Score (Normalized, Unweighted)]]*$U$3</f>
        <v>0</v>
      </c>
      <c r="X494" s="246">
        <f>_xlfn.XLOOKUP(FME_Ranking1[[#This Row],[FME ID]],FME_Input[FME_ID],FME_Input[ROADCLS])</f>
        <v>0</v>
      </c>
      <c r="Y494" s="230">
        <f>(FME_Ranking1[[#This Row],[Closures Raw]]/$X$2)*100</f>
        <v>0</v>
      </c>
      <c r="Z494" s="180">
        <f>FME_Ranking1[[#This Row],[Closures Score (Normalized, Unweighted)]]*$X$3</f>
        <v>0</v>
      </c>
      <c r="AA494" s="253">
        <f>_xlfn.XLOOKUP(FME_Ranking1[[#This Row],[FME ID]],FME_Input[FME_ID],FME_Input[ROAD_MILES100])</f>
        <v>14.451809883117679</v>
      </c>
      <c r="AB494" s="178">
        <f>(FME_Ranking1[[#This Row],[Miles Raw]]/$AA$2)*100</f>
        <v>0.19001537942510499</v>
      </c>
      <c r="AC494" s="178">
        <f>FME_Ranking1[[#This Row],[Miles Score (Normalized, Unweighted)]]*$AA$3</f>
        <v>1.9001537942510499E-2</v>
      </c>
      <c r="AD494" s="255">
        <f>_xlfn.XLOOKUP(FME_Ranking1[[#This Row],[FME ID]],FME_Input[FME_ID],FME_Input[FARMACRE100])</f>
        <v>1544.696044921875</v>
      </c>
      <c r="AE494" s="230">
        <f>(FME_Ranking1[[#This Row],[Ag Land Raw]]/$AD$2)*100</f>
        <v>6.3696350055033962E-2</v>
      </c>
      <c r="AF494" s="231">
        <f>FME_Ranking1[[#This Row],[Ag Land Score (Normalized, Unweighted)]]*$AD$3</f>
        <v>3.1848175027516983E-3</v>
      </c>
      <c r="AG49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0.35115630300831757</v>
      </c>
      <c r="AH494" s="406">
        <f t="shared" si="7"/>
        <v>568</v>
      </c>
      <c r="AI49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0.35115630300831757</v>
      </c>
      <c r="AJ494" s="257">
        <f>FME_Ranking1[[#This Row],[Addition check]]-FME_Ranking1[[#This Row],[Weighted Score Based on Normalized Reported Factors]]</f>
        <v>0</v>
      </c>
      <c r="AK494" s="178">
        <f>_xlfn.RANK.EQ(AI494,$AI$6:$AI$2341,0)+COUNTIF($AI$6:AI494,AI494)-1</f>
        <v>568</v>
      </c>
    </row>
    <row r="495" spans="1:37" ht="12" customHeight="1" x14ac:dyDescent="0.25">
      <c r="A495" t="s">
        <v>2504</v>
      </c>
      <c r="B495">
        <f>_xlfn.XLOOKUP(FME_Ranking1[[#This Row],[FME ID]],FME_Input[FME_ID],FME_Input[RFPG_NUM])</f>
        <v>1</v>
      </c>
      <c r="C495" t="str">
        <f>_xlfn.XLOOKUP(FME_Ranking1[[#This Row],[FME ID]],FME_Input[FME_ID],FME_Input[FME_NAME])</f>
        <v>Hutchinson County Drainage Master Plan</v>
      </c>
      <c r="D495" t="str">
        <f>_xlfn.XLOOKUP(FME_Ranking1[[#This Row],[FME ID]],FME_Input[FME_ID],FME_Input[DESCR])</f>
        <v>Perform H&amp;H modeling, develop conceptual alternatives and OPCC, and rank projects; selected based on HMAPs</v>
      </c>
      <c r="E495" s="256">
        <f>_xlfn.XLOOKUP(FME_Ranking1[[#This Row],[FME ID]],FME_Input[FME_ID],FME_Input[FME_COST])</f>
        <v>500000</v>
      </c>
      <c r="F495" t="str">
        <f>_xlfn.XLOOKUP(FME_Ranking1[[#This Row],[FME ID]],FME_Input[FME_ID],FME_Input[EMER_NEED])</f>
        <v>No</v>
      </c>
      <c r="G495">
        <f>IF(FME_Ranking!F495="Yes",100,0)</f>
        <v>0</v>
      </c>
      <c r="H495">
        <f>FME_Ranking1[[#This Row],[Emergency Need Score (Normalized, Unweighted)]]*$F$3</f>
        <v>0</v>
      </c>
      <c r="I495" s="246">
        <f>_xlfn.XLOOKUP(FME_Ranking1[[#This Row],[FME ID]],FME_Input[FME_ID],FME_Input[STRUCT_100])</f>
        <v>428</v>
      </c>
      <c r="J495" s="178">
        <f>(FME_Ranking1[[#This Row],[Structures 100 Raw]]/I$2)*100</f>
        <v>0.22919076382641479</v>
      </c>
      <c r="K495" s="178">
        <f>FME_Ranking1[[#This Row],[Structures 100  Score (Normalized, Unweighted)]]*$I$3</f>
        <v>3.437861457396222E-2</v>
      </c>
      <c r="L495" s="246">
        <f>_xlfn.XLOOKUP(FME_Ranking1[[#This Row],[FME ID]],FME_Input[FME_ID],FME_Input[RES_STRUCT100])</f>
        <v>0</v>
      </c>
      <c r="M495" s="230">
        <f>(FME_Ranking1[[#This Row],[Res Structures Raw]]/L$2)*100</f>
        <v>0</v>
      </c>
      <c r="N495" s="180">
        <f>FME_Ranking1[[#This Row],[Res Structures Score (Normalized, Unweighted)]]*$L$3</f>
        <v>0</v>
      </c>
      <c r="O495" s="244">
        <f>_xlfn.XLOOKUP(FME_Ranking1[[#This Row],[FME ID]],FME_Input[FME_ID],FME_Input[POP100])</f>
        <v>925</v>
      </c>
      <c r="P495" s="178">
        <f>(FME_Ranking1[[#This Row],[Pop Raw]]/$O$2)*100</f>
        <v>9.4697163589606045E-2</v>
      </c>
      <c r="Q495" s="178">
        <f>FME_Ranking1[[#This Row],[Pop Score (Normalized, Unweighted)]]*$O$3</f>
        <v>1.4204574538440906E-2</v>
      </c>
      <c r="R495" s="137">
        <f>_xlfn.XLOOKUP(FME_Ranking1[[#This Row],[FME ID]],FME_Input[FME_ID],FME_Input[CRITFAC100])</f>
        <v>2</v>
      </c>
      <c r="S495" s="230">
        <f>(FME_Ranking1[[#This Row],[Critical Facilities Raw]]/$R$2)*100</f>
        <v>8.5763293310463118E-2</v>
      </c>
      <c r="T495" s="180">
        <f>FME_Ranking1[[#This Row],[Critical Facilities Score (Normalized, Unweighted)]]*$R$3</f>
        <v>1.7152658662092625E-2</v>
      </c>
      <c r="U495">
        <f>_xlfn.XLOOKUP(FME_Ranking1[[#This Row],[FME ID]],FME_Input[FME_ID],FME_Input[LWC])</f>
        <v>10</v>
      </c>
      <c r="V495" s="178">
        <f>(FME_Ranking1[[#This Row],[LWC Raw]]/$U$2)*100</f>
        <v>0.57570523891767411</v>
      </c>
      <c r="W495" s="178">
        <f>FME_Ranking1[[#This Row],[LWC Score (Normalized, Unweighted)]]*$U$3</f>
        <v>0.11514104778353483</v>
      </c>
      <c r="X495" s="246">
        <f>_xlfn.XLOOKUP(FME_Ranking1[[#This Row],[FME ID]],FME_Input[FME_ID],FME_Input[ROADCLS])</f>
        <v>10</v>
      </c>
      <c r="Y495" s="230">
        <f>(FME_Ranking1[[#This Row],[Closures Raw]]/$X$2)*100</f>
        <v>0.10514141520344865</v>
      </c>
      <c r="Z495" s="180">
        <f>FME_Ranking1[[#This Row],[Closures Score (Normalized, Unweighted)]]*$X$3</f>
        <v>5.2570707601724328E-3</v>
      </c>
      <c r="AA495" s="253">
        <f>_xlfn.XLOOKUP(FME_Ranking1[[#This Row],[FME ID]],FME_Input[FME_ID],FME_Input[ROAD_MILES100])</f>
        <v>29.867507934570309</v>
      </c>
      <c r="AB495" s="178">
        <f>(FME_Ranking1[[#This Row],[Miles Raw]]/$AA$2)*100</f>
        <v>0.39270415944922366</v>
      </c>
      <c r="AC495" s="178">
        <f>FME_Ranking1[[#This Row],[Miles Score (Normalized, Unweighted)]]*$AA$3</f>
        <v>3.9270415944922366E-2</v>
      </c>
      <c r="AD495" s="255">
        <f>_xlfn.XLOOKUP(FME_Ranking1[[#This Row],[FME ID]],FME_Input[FME_ID],FME_Input[FARMACRE100])</f>
        <v>70011.9921875</v>
      </c>
      <c r="AE495" s="230">
        <f>(FME_Ranking1[[#This Row],[Ag Land Raw]]/$AD$2)*100</f>
        <v>2.8869811488711674</v>
      </c>
      <c r="AF495" s="231">
        <f>FME_Ranking1[[#This Row],[Ag Land Score (Normalized, Unweighted)]]*$AD$3</f>
        <v>0.14434905744355839</v>
      </c>
      <c r="AG49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0.36975343970668378</v>
      </c>
      <c r="AH495" s="406">
        <f t="shared" si="7"/>
        <v>550</v>
      </c>
      <c r="AI49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0.36975343970668378</v>
      </c>
      <c r="AJ495" s="257">
        <f>FME_Ranking1[[#This Row],[Addition check]]-FME_Ranking1[[#This Row],[Weighted Score Based on Normalized Reported Factors]]</f>
        <v>0</v>
      </c>
      <c r="AK495" s="178">
        <f>_xlfn.RANK.EQ(AI495,$AI$6:$AI$2341,0)+COUNTIF($AI$6:AI495,AI495)-1</f>
        <v>550</v>
      </c>
    </row>
    <row r="496" spans="1:37" ht="12" customHeight="1" x14ac:dyDescent="0.25">
      <c r="A496" t="s">
        <v>2861</v>
      </c>
      <c r="B496">
        <f>_xlfn.XLOOKUP(FME_Ranking1[[#This Row],[FME ID]],FME_Input[FME_ID],FME_Input[RFPG_NUM])</f>
        <v>1</v>
      </c>
      <c r="C496" t="str">
        <f>_xlfn.XLOOKUP(FME_Ranking1[[#This Row],[FME ID]],FME_Input[FME_ID],FME_Input[FME_NAME])</f>
        <v>Hutchinson County FIS</v>
      </c>
      <c r="D496" t="str">
        <f>_xlfn.XLOOKUP(FME_Ranking1[[#This Row],[FME ID]],FME_Input[FME_ID],FME_Input[DESCR])</f>
        <v>Perform flood insurance study for the county and develop regulatory mapping</v>
      </c>
      <c r="E496" s="256">
        <f>_xlfn.XLOOKUP(FME_Ranking1[[#This Row],[FME ID]],FME_Input[FME_ID],FME_Input[FME_COST])</f>
        <v>895000</v>
      </c>
      <c r="F496" t="str">
        <f>_xlfn.XLOOKUP(FME_Ranking1[[#This Row],[FME ID]],FME_Input[FME_ID],FME_Input[EMER_NEED])</f>
        <v>No</v>
      </c>
      <c r="G496">
        <f>IF(FME_Ranking!F496="Yes",100,0)</f>
        <v>0</v>
      </c>
      <c r="H496">
        <f>FME_Ranking1[[#This Row],[Emergency Need Score (Normalized, Unweighted)]]*$F$3</f>
        <v>0</v>
      </c>
      <c r="I496" s="246">
        <f>_xlfn.XLOOKUP(FME_Ranking1[[#This Row],[FME ID]],FME_Input[FME_ID],FME_Input[STRUCT_100])</f>
        <v>428</v>
      </c>
      <c r="J496" s="178">
        <f>(FME_Ranking1[[#This Row],[Structures 100 Raw]]/I$2)*100</f>
        <v>0.22919076382641479</v>
      </c>
      <c r="K496" s="178">
        <f>FME_Ranking1[[#This Row],[Structures 100  Score (Normalized, Unweighted)]]*$I$3</f>
        <v>3.437861457396222E-2</v>
      </c>
      <c r="L496" s="246">
        <f>_xlfn.XLOOKUP(FME_Ranking1[[#This Row],[FME ID]],FME_Input[FME_ID],FME_Input[RES_STRUCT100])</f>
        <v>0</v>
      </c>
      <c r="M496" s="230">
        <f>(FME_Ranking1[[#This Row],[Res Structures Raw]]/L$2)*100</f>
        <v>0</v>
      </c>
      <c r="N496" s="180">
        <f>FME_Ranking1[[#This Row],[Res Structures Score (Normalized, Unweighted)]]*$L$3</f>
        <v>0</v>
      </c>
      <c r="O496" s="244">
        <f>_xlfn.XLOOKUP(FME_Ranking1[[#This Row],[FME ID]],FME_Input[FME_ID],FME_Input[POP100])</f>
        <v>925</v>
      </c>
      <c r="P496" s="178">
        <f>(FME_Ranking1[[#This Row],[Pop Raw]]/$O$2)*100</f>
        <v>9.4697163589606045E-2</v>
      </c>
      <c r="Q496" s="178">
        <f>FME_Ranking1[[#This Row],[Pop Score (Normalized, Unweighted)]]*$O$3</f>
        <v>1.4204574538440906E-2</v>
      </c>
      <c r="R496" s="137">
        <f>_xlfn.XLOOKUP(FME_Ranking1[[#This Row],[FME ID]],FME_Input[FME_ID],FME_Input[CRITFAC100])</f>
        <v>2</v>
      </c>
      <c r="S496" s="230">
        <f>(FME_Ranking1[[#This Row],[Critical Facilities Raw]]/$R$2)*100</f>
        <v>8.5763293310463118E-2</v>
      </c>
      <c r="T496" s="180">
        <f>FME_Ranking1[[#This Row],[Critical Facilities Score (Normalized, Unweighted)]]*$R$3</f>
        <v>1.7152658662092625E-2</v>
      </c>
      <c r="U496">
        <f>_xlfn.XLOOKUP(FME_Ranking1[[#This Row],[FME ID]],FME_Input[FME_ID],FME_Input[LWC])</f>
        <v>10</v>
      </c>
      <c r="V496" s="178">
        <f>(FME_Ranking1[[#This Row],[LWC Raw]]/$U$2)*100</f>
        <v>0.57570523891767411</v>
      </c>
      <c r="W496" s="178">
        <f>FME_Ranking1[[#This Row],[LWC Score (Normalized, Unweighted)]]*$U$3</f>
        <v>0.11514104778353483</v>
      </c>
      <c r="X496" s="246">
        <f>_xlfn.XLOOKUP(FME_Ranking1[[#This Row],[FME ID]],FME_Input[FME_ID],FME_Input[ROADCLS])</f>
        <v>10</v>
      </c>
      <c r="Y496" s="230">
        <f>(FME_Ranking1[[#This Row],[Closures Raw]]/$X$2)*100</f>
        <v>0.10514141520344865</v>
      </c>
      <c r="Z496" s="180">
        <f>FME_Ranking1[[#This Row],[Closures Score (Normalized, Unweighted)]]*$X$3</f>
        <v>5.2570707601724328E-3</v>
      </c>
      <c r="AA496" s="253">
        <f>_xlfn.XLOOKUP(FME_Ranking1[[#This Row],[FME ID]],FME_Input[FME_ID],FME_Input[ROAD_MILES100])</f>
        <v>29.867507934570309</v>
      </c>
      <c r="AB496" s="178">
        <f>(FME_Ranking1[[#This Row],[Miles Raw]]/$AA$2)*100</f>
        <v>0.39270415944922366</v>
      </c>
      <c r="AC496" s="178">
        <f>FME_Ranking1[[#This Row],[Miles Score (Normalized, Unweighted)]]*$AA$3</f>
        <v>3.9270415944922366E-2</v>
      </c>
      <c r="AD496" s="255">
        <f>_xlfn.XLOOKUP(FME_Ranking1[[#This Row],[FME ID]],FME_Input[FME_ID],FME_Input[FARMACRE100])</f>
        <v>70011.9921875</v>
      </c>
      <c r="AE496" s="230">
        <f>(FME_Ranking1[[#This Row],[Ag Land Raw]]/$AD$2)*100</f>
        <v>2.8869811488711674</v>
      </c>
      <c r="AF496" s="231">
        <f>FME_Ranking1[[#This Row],[Ag Land Score (Normalized, Unweighted)]]*$AD$3</f>
        <v>0.14434905744355839</v>
      </c>
      <c r="AG49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0.36975343970668378</v>
      </c>
      <c r="AH496" s="406">
        <f t="shared" si="7"/>
        <v>550</v>
      </c>
      <c r="AI49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0.36975343970668378</v>
      </c>
      <c r="AJ496" s="257">
        <f>FME_Ranking1[[#This Row],[Addition check]]-FME_Ranking1[[#This Row],[Weighted Score Based on Normalized Reported Factors]]</f>
        <v>0</v>
      </c>
      <c r="AK496" s="178">
        <f>_xlfn.RANK.EQ(AI496,$AI$6:$AI$2341,0)+COUNTIF($AI$6:AI496,AI496)-1</f>
        <v>551</v>
      </c>
    </row>
    <row r="497" spans="1:37" ht="12" customHeight="1" x14ac:dyDescent="0.25">
      <c r="A497" t="s">
        <v>5530</v>
      </c>
      <c r="B497">
        <f>_xlfn.XLOOKUP(FME_Ranking1[[#This Row],[FME ID]],FME_Input[FME_ID],FME_Input[RFPG_NUM])</f>
        <v>4</v>
      </c>
      <c r="C497" t="str">
        <f>_xlfn.XLOOKUP(FME_Ranking1[[#This Row],[FME ID]],FME_Input[FME_ID],FME_Input[FME_NAME])</f>
        <v>Wood County Flood Hazard Mapping</v>
      </c>
      <c r="D497" t="str">
        <f>_xlfn.XLOOKUP(FME_Ranking1[[#This Row],[FME ID]],FME_Input[FME_ID],FME_Input[DESCR])</f>
        <v>Complete a detailed study within the county extent to delineate an updated flood hazard area, which can be used for regulatory purposes.</v>
      </c>
      <c r="E497" s="256">
        <f>_xlfn.XLOOKUP(FME_Ranking1[[#This Row],[FME ID]],FME_Input[FME_ID],FME_Input[FME_COST])</f>
        <v>3200000</v>
      </c>
      <c r="F497" t="str">
        <f>_xlfn.XLOOKUP(FME_Ranking1[[#This Row],[FME ID]],FME_Input[FME_ID],FME_Input[EMER_NEED])</f>
        <v>Yes</v>
      </c>
      <c r="G497">
        <f>IF(FME_Ranking!F497="Yes",100,0)</f>
        <v>100</v>
      </c>
      <c r="H497">
        <f>FME_Ranking1[[#This Row],[Emergency Need Score (Normalized, Unweighted)]]*$F$3</f>
        <v>0</v>
      </c>
      <c r="I497" s="246">
        <f>_xlfn.XLOOKUP(FME_Ranking1[[#This Row],[FME ID]],FME_Input[FME_ID],FME_Input[STRUCT_100])</f>
        <v>1546</v>
      </c>
      <c r="J497" s="178">
        <f>(FME_Ranking1[[#This Row],[Structures 100 Raw]]/I$2)*100</f>
        <v>0.82787131045709628</v>
      </c>
      <c r="K497" s="178">
        <f>FME_Ranking1[[#This Row],[Structures 100  Score (Normalized, Unweighted)]]*$I$3</f>
        <v>0.12418069656856444</v>
      </c>
      <c r="L497" s="246">
        <f>_xlfn.XLOOKUP(FME_Ranking1[[#This Row],[FME ID]],FME_Input[FME_ID],FME_Input[RES_STRUCT100])</f>
        <v>813</v>
      </c>
      <c r="M497" s="230">
        <f>(FME_Ranking1[[#This Row],[Res Structures Raw]]/L$2)*100</f>
        <v>0.57585244577920702</v>
      </c>
      <c r="N497" s="180">
        <f>FME_Ranking1[[#This Row],[Res Structures Score (Normalized, Unweighted)]]*$L$3</f>
        <v>5.7585244577920705E-2</v>
      </c>
      <c r="O497" s="244">
        <f>_xlfn.XLOOKUP(FME_Ranking1[[#This Row],[FME ID]],FME_Input[FME_ID],FME_Input[POP100])</f>
        <v>2449</v>
      </c>
      <c r="P497" s="178">
        <f>(FME_Ranking1[[#This Row],[Pop Raw]]/$O$2)*100</f>
        <v>0.25071713906048126</v>
      </c>
      <c r="Q497" s="178">
        <f>FME_Ranking1[[#This Row],[Pop Score (Normalized, Unweighted)]]*$O$3</f>
        <v>3.7607570859072188E-2</v>
      </c>
      <c r="R497" s="137">
        <f>_xlfn.XLOOKUP(FME_Ranking1[[#This Row],[FME ID]],FME_Input[FME_ID],FME_Input[CRITFAC100])</f>
        <v>7</v>
      </c>
      <c r="S497" s="230">
        <f>(FME_Ranking1[[#This Row],[Critical Facilities Raw]]/$R$2)*100</f>
        <v>0.30017152658662088</v>
      </c>
      <c r="T497" s="180">
        <f>FME_Ranking1[[#This Row],[Critical Facilities Score (Normalized, Unweighted)]]*$R$3</f>
        <v>6.0034305317324177E-2</v>
      </c>
      <c r="U497">
        <f>_xlfn.XLOOKUP(FME_Ranking1[[#This Row],[FME ID]],FME_Input[FME_ID],FME_Input[LWC])</f>
        <v>1</v>
      </c>
      <c r="V497" s="178">
        <f>(FME_Ranking1[[#This Row],[LWC Raw]]/$U$2)*100</f>
        <v>5.7570523891767422E-2</v>
      </c>
      <c r="W497" s="178">
        <f>FME_Ranking1[[#This Row],[LWC Score (Normalized, Unweighted)]]*$U$3</f>
        <v>1.1514104778353485E-2</v>
      </c>
      <c r="X497" s="246">
        <f>_xlfn.XLOOKUP(FME_Ranking1[[#This Row],[FME ID]],FME_Input[FME_ID],FME_Input[ROADCLS])</f>
        <v>1</v>
      </c>
      <c r="Y497" s="230">
        <f>(FME_Ranking1[[#This Row],[Closures Raw]]/$X$2)*100</f>
        <v>1.0514141520344864E-2</v>
      </c>
      <c r="Z497" s="180">
        <f>FME_Ranking1[[#This Row],[Closures Score (Normalized, Unweighted)]]*$X$3</f>
        <v>5.2570707601724321E-4</v>
      </c>
      <c r="AA497" s="253">
        <f>_xlfn.XLOOKUP(FME_Ranking1[[#This Row],[FME ID]],FME_Input[FME_ID],FME_Input[ROAD_MILES100])</f>
        <v>105.10630035400391</v>
      </c>
      <c r="AB497" s="178">
        <f>(FME_Ranking1[[#This Row],[Miles Raw]]/$AA$2)*100</f>
        <v>1.3819593326553361</v>
      </c>
      <c r="AC497" s="178">
        <f>FME_Ranking1[[#This Row],[Miles Score (Normalized, Unweighted)]]*$AA$3</f>
        <v>0.13819593326553362</v>
      </c>
      <c r="AD497" s="255">
        <f>_xlfn.XLOOKUP(FME_Ranking1[[#This Row],[FME ID]],FME_Input[FME_ID],FME_Input[FARMACRE100])</f>
        <v>18534.2421875</v>
      </c>
      <c r="AE497" s="230">
        <f>(FME_Ranking1[[#This Row],[Ag Land Raw]]/$AD$2)*100</f>
        <v>0.76426917920896653</v>
      </c>
      <c r="AF497" s="231">
        <f>FME_Ranking1[[#This Row],[Ag Land Score (Normalized, Unweighted)]]*$AD$3</f>
        <v>3.8213458960448331E-2</v>
      </c>
      <c r="AG49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0.4678570214032341</v>
      </c>
      <c r="AH497" s="406">
        <f t="shared" si="7"/>
        <v>455</v>
      </c>
      <c r="AI49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0.4678570214032341</v>
      </c>
      <c r="AJ497" s="257">
        <f>FME_Ranking1[[#This Row],[Addition check]]-FME_Ranking1[[#This Row],[Weighted Score Based on Normalized Reported Factors]]</f>
        <v>0</v>
      </c>
      <c r="AK497" s="178">
        <f>_xlfn.RANK.EQ(AI497,$AI$6:$AI$2341,0)+COUNTIF($AI$6:AI497,AI497)-1</f>
        <v>455</v>
      </c>
    </row>
    <row r="498" spans="1:37" ht="12" customHeight="1" x14ac:dyDescent="0.25">
      <c r="A498" t="s">
        <v>7979</v>
      </c>
      <c r="B498">
        <f>_xlfn.XLOOKUP(FME_Ranking1[[#This Row],[FME ID]],FME_Input[FME_ID],FME_Input[RFPG_NUM])</f>
        <v>9</v>
      </c>
      <c r="C498" t="str">
        <f>_xlfn.XLOOKUP(FME_Ranking1[[#This Row],[FME ID]],FME_Input[FME_ID],FME_Input[FME_NAME])</f>
        <v>Terry County  FEMA Mapping</v>
      </c>
      <c r="D498" t="str">
        <f>_xlfn.XLOOKUP(FME_Ranking1[[#This Row],[FME ID]],FME_Input[FME_ID],FME_Input[DESCR])</f>
        <v>Update existing FEMA Mapping &amp; create FEMA mapping in previously unmapped areas</v>
      </c>
      <c r="E498" s="256">
        <f>_xlfn.XLOOKUP(FME_Ranking1[[#This Row],[FME ID]],FME_Input[FME_ID],FME_Input[FME_COST])</f>
        <v>1011000</v>
      </c>
      <c r="F498" t="str">
        <f>_xlfn.XLOOKUP(FME_Ranking1[[#This Row],[FME ID]],FME_Input[FME_ID],FME_Input[EMER_NEED])</f>
        <v>No</v>
      </c>
      <c r="G498">
        <f>IF(FME_Ranking!F498="Yes",100,0)</f>
        <v>0</v>
      </c>
      <c r="H498">
        <f>FME_Ranking1[[#This Row],[Emergency Need Score (Normalized, Unweighted)]]*$F$3</f>
        <v>0</v>
      </c>
      <c r="I498" s="246">
        <f>_xlfn.XLOOKUP(FME_Ranking1[[#This Row],[FME ID]],FME_Input[FME_ID],FME_Input[STRUCT_100])</f>
        <v>499</v>
      </c>
      <c r="J498" s="178">
        <f>(FME_Ranking1[[#This Row],[Structures 100 Raw]]/I$2)*100</f>
        <v>0.26721072698453496</v>
      </c>
      <c r="K498" s="178">
        <f>FME_Ranking1[[#This Row],[Structures 100  Score (Normalized, Unweighted)]]*$I$3</f>
        <v>4.0081609047680246E-2</v>
      </c>
      <c r="L498" s="246">
        <f>_xlfn.XLOOKUP(FME_Ranking1[[#This Row],[FME ID]],FME_Input[FME_ID],FME_Input[RES_STRUCT100])</f>
        <v>183</v>
      </c>
      <c r="M498" s="230">
        <f>(FME_Ranking1[[#This Row],[Res Structures Raw]]/L$2)*100</f>
        <v>0.12961992321967389</v>
      </c>
      <c r="N498" s="180">
        <f>FME_Ranking1[[#This Row],[Res Structures Score (Normalized, Unweighted)]]*$L$3</f>
        <v>1.2961992321967389E-2</v>
      </c>
      <c r="O498" s="244">
        <f>_xlfn.XLOOKUP(FME_Ranking1[[#This Row],[FME ID]],FME_Input[FME_ID],FME_Input[POP100])</f>
        <v>1118</v>
      </c>
      <c r="P498" s="178">
        <f>(FME_Ranking1[[#This Row],[Pop Raw]]/$O$2)*100</f>
        <v>0.11445559880343735</v>
      </c>
      <c r="Q498" s="178">
        <f>FME_Ranking1[[#This Row],[Pop Score (Normalized, Unweighted)]]*$O$3</f>
        <v>1.7168339820515601E-2</v>
      </c>
      <c r="R498" s="137">
        <f>_xlfn.XLOOKUP(FME_Ranking1[[#This Row],[FME ID]],FME_Input[FME_ID],FME_Input[CRITFAC100])</f>
        <v>0</v>
      </c>
      <c r="S498" s="230">
        <f>(FME_Ranking1[[#This Row],[Critical Facilities Raw]]/$R$2)*100</f>
        <v>0</v>
      </c>
      <c r="T498" s="180">
        <f>FME_Ranking1[[#This Row],[Critical Facilities Score (Normalized, Unweighted)]]*$R$3</f>
        <v>0</v>
      </c>
      <c r="U498">
        <f>_xlfn.XLOOKUP(FME_Ranking1[[#This Row],[FME ID]],FME_Input[FME_ID],FME_Input[LWC])</f>
        <v>6</v>
      </c>
      <c r="V498" s="178">
        <f>(FME_Ranking1[[#This Row],[LWC Raw]]/$U$2)*100</f>
        <v>0.34542314335060448</v>
      </c>
      <c r="W498" s="178">
        <f>FME_Ranking1[[#This Row],[LWC Score (Normalized, Unweighted)]]*$U$3</f>
        <v>6.9084628670120898E-2</v>
      </c>
      <c r="X498" s="246">
        <f>_xlfn.XLOOKUP(FME_Ranking1[[#This Row],[FME ID]],FME_Input[FME_ID],FME_Input[ROADCLS])</f>
        <v>0</v>
      </c>
      <c r="Y498" s="230">
        <f>(FME_Ranking1[[#This Row],[Closures Raw]]/$X$2)*100</f>
        <v>0</v>
      </c>
      <c r="Z498" s="180">
        <f>FME_Ranking1[[#This Row],[Closures Score (Normalized, Unweighted)]]*$X$3</f>
        <v>0</v>
      </c>
      <c r="AA498" s="253">
        <f>_xlfn.XLOOKUP(FME_Ranking1[[#This Row],[FME ID]],FME_Input[FME_ID],FME_Input[ROAD_MILES100])</f>
        <v>633.67987060546875</v>
      </c>
      <c r="AB498" s="178">
        <f>(FME_Ranking1[[#This Row],[Miles Raw]]/$AA$2)*100</f>
        <v>8.3317537402570547</v>
      </c>
      <c r="AC498" s="178">
        <f>FME_Ranking1[[#This Row],[Miles Score (Normalized, Unweighted)]]*$AA$3</f>
        <v>0.83317537402570552</v>
      </c>
      <c r="AD498" s="255">
        <f>_xlfn.XLOOKUP(FME_Ranking1[[#This Row],[FME ID]],FME_Input[FME_ID],FME_Input[FARMACRE100])</f>
        <v>89576.4921875</v>
      </c>
      <c r="AE498" s="230">
        <f>(FME_Ranking1[[#This Row],[Ag Land Raw]]/$AD$2)*100</f>
        <v>3.6937335483147349</v>
      </c>
      <c r="AF498" s="231">
        <f>FME_Ranking1[[#This Row],[Ag Land Score (Normalized, Unweighted)]]*$AD$3</f>
        <v>0.18468667741573674</v>
      </c>
      <c r="AG49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1.1571586213017264</v>
      </c>
      <c r="AH498" s="406">
        <f t="shared" si="7"/>
        <v>241</v>
      </c>
      <c r="AI49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1.1571586213017264</v>
      </c>
      <c r="AJ498" s="257">
        <f>FME_Ranking1[[#This Row],[Addition check]]-FME_Ranking1[[#This Row],[Weighted Score Based on Normalized Reported Factors]]</f>
        <v>0</v>
      </c>
      <c r="AK498" s="178">
        <f>_xlfn.RANK.EQ(AI498,$AI$6:$AI$2341,0)+COUNTIF($AI$6:AI498,AI498)-1</f>
        <v>241</v>
      </c>
    </row>
    <row r="499" spans="1:37" ht="12" customHeight="1" x14ac:dyDescent="0.25">
      <c r="A499" t="s">
        <v>8049</v>
      </c>
      <c r="B499">
        <f>_xlfn.XLOOKUP(FME_Ranking1[[#This Row],[FME ID]],FME_Input[FME_ID],FME_Input[RFPG_NUM])</f>
        <v>9</v>
      </c>
      <c r="C499" t="str">
        <f>_xlfn.XLOOKUP(FME_Ranking1[[#This Row],[FME ID]],FME_Input[FME_ID],FME_Input[FME_NAME])</f>
        <v>Terry County  GIS Development</v>
      </c>
      <c r="D499" t="str">
        <f>_xlfn.XLOOKUP(FME_Ranking1[[#This Row],[FME ID]],FME_Input[FME_ID],FME_Input[DESCR])</f>
        <v>Develop a GIS inventory of stormwater infrastructure</v>
      </c>
      <c r="E499" s="256">
        <f>_xlfn.XLOOKUP(FME_Ranking1[[#This Row],[FME ID]],FME_Input[FME_ID],FME_Input[FME_COST])</f>
        <v>100000</v>
      </c>
      <c r="F499" t="str">
        <f>_xlfn.XLOOKUP(FME_Ranking1[[#This Row],[FME ID]],FME_Input[FME_ID],FME_Input[EMER_NEED])</f>
        <v>No</v>
      </c>
      <c r="G499">
        <f>IF(FME_Ranking!F499="Yes",100,0)</f>
        <v>0</v>
      </c>
      <c r="H499">
        <f>FME_Ranking1[[#This Row],[Emergency Need Score (Normalized, Unweighted)]]*$F$3</f>
        <v>0</v>
      </c>
      <c r="I499" s="246">
        <f>_xlfn.XLOOKUP(FME_Ranking1[[#This Row],[FME ID]],FME_Input[FME_ID],FME_Input[STRUCT_100])</f>
        <v>499</v>
      </c>
      <c r="J499" s="178">
        <f>(FME_Ranking1[[#This Row],[Structures 100 Raw]]/I$2)*100</f>
        <v>0.26721072698453496</v>
      </c>
      <c r="K499" s="178">
        <f>FME_Ranking1[[#This Row],[Structures 100  Score (Normalized, Unweighted)]]*$I$3</f>
        <v>4.0081609047680246E-2</v>
      </c>
      <c r="L499" s="246">
        <f>_xlfn.XLOOKUP(FME_Ranking1[[#This Row],[FME ID]],FME_Input[FME_ID],FME_Input[RES_STRUCT100])</f>
        <v>183</v>
      </c>
      <c r="M499" s="230">
        <f>(FME_Ranking1[[#This Row],[Res Structures Raw]]/L$2)*100</f>
        <v>0.12961992321967389</v>
      </c>
      <c r="N499" s="180">
        <f>FME_Ranking1[[#This Row],[Res Structures Score (Normalized, Unweighted)]]*$L$3</f>
        <v>1.2961992321967389E-2</v>
      </c>
      <c r="O499" s="244">
        <f>_xlfn.XLOOKUP(FME_Ranking1[[#This Row],[FME ID]],FME_Input[FME_ID],FME_Input[POP100])</f>
        <v>1118</v>
      </c>
      <c r="P499" s="178">
        <f>(FME_Ranking1[[#This Row],[Pop Raw]]/$O$2)*100</f>
        <v>0.11445559880343735</v>
      </c>
      <c r="Q499" s="178">
        <f>FME_Ranking1[[#This Row],[Pop Score (Normalized, Unweighted)]]*$O$3</f>
        <v>1.7168339820515601E-2</v>
      </c>
      <c r="R499" s="137">
        <f>_xlfn.XLOOKUP(FME_Ranking1[[#This Row],[FME ID]],FME_Input[FME_ID],FME_Input[CRITFAC100])</f>
        <v>0</v>
      </c>
      <c r="S499" s="230">
        <f>(FME_Ranking1[[#This Row],[Critical Facilities Raw]]/$R$2)*100</f>
        <v>0</v>
      </c>
      <c r="T499" s="180">
        <f>FME_Ranking1[[#This Row],[Critical Facilities Score (Normalized, Unweighted)]]*$R$3</f>
        <v>0</v>
      </c>
      <c r="U499">
        <f>_xlfn.XLOOKUP(FME_Ranking1[[#This Row],[FME ID]],FME_Input[FME_ID],FME_Input[LWC])</f>
        <v>6</v>
      </c>
      <c r="V499" s="178">
        <f>(FME_Ranking1[[#This Row],[LWC Raw]]/$U$2)*100</f>
        <v>0.34542314335060448</v>
      </c>
      <c r="W499" s="178">
        <f>FME_Ranking1[[#This Row],[LWC Score (Normalized, Unweighted)]]*$U$3</f>
        <v>6.9084628670120898E-2</v>
      </c>
      <c r="X499" s="246">
        <f>_xlfn.XLOOKUP(FME_Ranking1[[#This Row],[FME ID]],FME_Input[FME_ID],FME_Input[ROADCLS])</f>
        <v>0</v>
      </c>
      <c r="Y499" s="230">
        <f>(FME_Ranking1[[#This Row],[Closures Raw]]/$X$2)*100</f>
        <v>0</v>
      </c>
      <c r="Z499" s="180">
        <f>FME_Ranking1[[#This Row],[Closures Score (Normalized, Unweighted)]]*$X$3</f>
        <v>0</v>
      </c>
      <c r="AA499" s="253">
        <f>_xlfn.XLOOKUP(FME_Ranking1[[#This Row],[FME ID]],FME_Input[FME_ID],FME_Input[ROAD_MILES100])</f>
        <v>633.67987060546875</v>
      </c>
      <c r="AB499" s="178">
        <f>(FME_Ranking1[[#This Row],[Miles Raw]]/$AA$2)*100</f>
        <v>8.3317537402570547</v>
      </c>
      <c r="AC499" s="178">
        <f>FME_Ranking1[[#This Row],[Miles Score (Normalized, Unweighted)]]*$AA$3</f>
        <v>0.83317537402570552</v>
      </c>
      <c r="AD499" s="255">
        <f>_xlfn.XLOOKUP(FME_Ranking1[[#This Row],[FME ID]],FME_Input[FME_ID],FME_Input[FARMACRE100])</f>
        <v>89576.4921875</v>
      </c>
      <c r="AE499" s="230">
        <f>(FME_Ranking1[[#This Row],[Ag Land Raw]]/$AD$2)*100</f>
        <v>3.6937335483147349</v>
      </c>
      <c r="AF499" s="231">
        <f>FME_Ranking1[[#This Row],[Ag Land Score (Normalized, Unweighted)]]*$AD$3</f>
        <v>0.18468667741573674</v>
      </c>
      <c r="AG49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1.1571586213017264</v>
      </c>
      <c r="AH499" s="406">
        <f t="shared" si="7"/>
        <v>241</v>
      </c>
      <c r="AI49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1.1571586213017264</v>
      </c>
      <c r="AJ499" s="257">
        <f>FME_Ranking1[[#This Row],[Addition check]]-FME_Ranking1[[#This Row],[Weighted Score Based on Normalized Reported Factors]]</f>
        <v>0</v>
      </c>
      <c r="AK499" s="178">
        <f>_xlfn.RANK.EQ(AI499,$AI$6:$AI$2341,0)+COUNTIF($AI$6:AI499,AI499)-1</f>
        <v>242</v>
      </c>
    </row>
    <row r="500" spans="1:37" ht="12" customHeight="1" x14ac:dyDescent="0.25">
      <c r="A500" t="s">
        <v>8066</v>
      </c>
      <c r="B500">
        <f>_xlfn.XLOOKUP(FME_Ranking1[[#This Row],[FME ID]],FME_Input[FME_ID],FME_Input[RFPG_NUM])</f>
        <v>9</v>
      </c>
      <c r="C500" t="str">
        <f>_xlfn.XLOOKUP(FME_Ranking1[[#This Row],[FME ID]],FME_Input[FME_ID],FME_Input[FME_NAME])</f>
        <v>Terry County  DMP</v>
      </c>
      <c r="D500" t="str">
        <f>_xlfn.XLOOKUP(FME_Ranking1[[#This Row],[FME ID]],FME_Input[FME_ID],FME_Input[DESCR])</f>
        <v xml:space="preserve">Create Drainage Master Plan, including evaluation of potential mitigation projects. </v>
      </c>
      <c r="E500" s="256">
        <f>_xlfn.XLOOKUP(FME_Ranking1[[#This Row],[FME ID]],FME_Input[FME_ID],FME_Input[FME_COST])</f>
        <v>500000</v>
      </c>
      <c r="F500" t="str">
        <f>_xlfn.XLOOKUP(FME_Ranking1[[#This Row],[FME ID]],FME_Input[FME_ID],FME_Input[EMER_NEED])</f>
        <v>No</v>
      </c>
      <c r="G500">
        <f>IF(FME_Ranking!F500="Yes",100,0)</f>
        <v>0</v>
      </c>
      <c r="H500">
        <f>FME_Ranking1[[#This Row],[Emergency Need Score (Normalized, Unweighted)]]*$F$3</f>
        <v>0</v>
      </c>
      <c r="I500" s="246">
        <f>_xlfn.XLOOKUP(FME_Ranking1[[#This Row],[FME ID]],FME_Input[FME_ID],FME_Input[STRUCT_100])</f>
        <v>499</v>
      </c>
      <c r="J500" s="178">
        <f>(FME_Ranking1[[#This Row],[Structures 100 Raw]]/I$2)*100</f>
        <v>0.26721072698453496</v>
      </c>
      <c r="K500" s="178">
        <f>FME_Ranking1[[#This Row],[Structures 100  Score (Normalized, Unweighted)]]*$I$3</f>
        <v>4.0081609047680246E-2</v>
      </c>
      <c r="L500" s="246">
        <f>_xlfn.XLOOKUP(FME_Ranking1[[#This Row],[FME ID]],FME_Input[FME_ID],FME_Input[RES_STRUCT100])</f>
        <v>183</v>
      </c>
      <c r="M500" s="230">
        <f>(FME_Ranking1[[#This Row],[Res Structures Raw]]/L$2)*100</f>
        <v>0.12961992321967389</v>
      </c>
      <c r="N500" s="180">
        <f>FME_Ranking1[[#This Row],[Res Structures Score (Normalized, Unweighted)]]*$L$3</f>
        <v>1.2961992321967389E-2</v>
      </c>
      <c r="O500" s="244">
        <f>_xlfn.XLOOKUP(FME_Ranking1[[#This Row],[FME ID]],FME_Input[FME_ID],FME_Input[POP100])</f>
        <v>1118</v>
      </c>
      <c r="P500" s="178">
        <f>(FME_Ranking1[[#This Row],[Pop Raw]]/$O$2)*100</f>
        <v>0.11445559880343735</v>
      </c>
      <c r="Q500" s="178">
        <f>FME_Ranking1[[#This Row],[Pop Score (Normalized, Unweighted)]]*$O$3</f>
        <v>1.7168339820515601E-2</v>
      </c>
      <c r="R500" s="137">
        <f>_xlfn.XLOOKUP(FME_Ranking1[[#This Row],[FME ID]],FME_Input[FME_ID],FME_Input[CRITFAC100])</f>
        <v>0</v>
      </c>
      <c r="S500" s="230">
        <f>(FME_Ranking1[[#This Row],[Critical Facilities Raw]]/$R$2)*100</f>
        <v>0</v>
      </c>
      <c r="T500" s="180">
        <f>FME_Ranking1[[#This Row],[Critical Facilities Score (Normalized, Unweighted)]]*$R$3</f>
        <v>0</v>
      </c>
      <c r="U500">
        <f>_xlfn.XLOOKUP(FME_Ranking1[[#This Row],[FME ID]],FME_Input[FME_ID],FME_Input[LWC])</f>
        <v>6</v>
      </c>
      <c r="V500" s="178">
        <f>(FME_Ranking1[[#This Row],[LWC Raw]]/$U$2)*100</f>
        <v>0.34542314335060448</v>
      </c>
      <c r="W500" s="178">
        <f>FME_Ranking1[[#This Row],[LWC Score (Normalized, Unweighted)]]*$U$3</f>
        <v>6.9084628670120898E-2</v>
      </c>
      <c r="X500" s="246">
        <f>_xlfn.XLOOKUP(FME_Ranking1[[#This Row],[FME ID]],FME_Input[FME_ID],FME_Input[ROADCLS])</f>
        <v>0</v>
      </c>
      <c r="Y500" s="230">
        <f>(FME_Ranking1[[#This Row],[Closures Raw]]/$X$2)*100</f>
        <v>0</v>
      </c>
      <c r="Z500" s="180">
        <f>FME_Ranking1[[#This Row],[Closures Score (Normalized, Unweighted)]]*$X$3</f>
        <v>0</v>
      </c>
      <c r="AA500" s="253">
        <f>_xlfn.XLOOKUP(FME_Ranking1[[#This Row],[FME ID]],FME_Input[FME_ID],FME_Input[ROAD_MILES100])</f>
        <v>633.67987060546875</v>
      </c>
      <c r="AB500" s="178">
        <f>(FME_Ranking1[[#This Row],[Miles Raw]]/$AA$2)*100</f>
        <v>8.3317537402570547</v>
      </c>
      <c r="AC500" s="178">
        <f>FME_Ranking1[[#This Row],[Miles Score (Normalized, Unweighted)]]*$AA$3</f>
        <v>0.83317537402570552</v>
      </c>
      <c r="AD500" s="255">
        <f>_xlfn.XLOOKUP(FME_Ranking1[[#This Row],[FME ID]],FME_Input[FME_ID],FME_Input[FARMACRE100])</f>
        <v>89576.4921875</v>
      </c>
      <c r="AE500" s="230">
        <f>(FME_Ranking1[[#This Row],[Ag Land Raw]]/$AD$2)*100</f>
        <v>3.6937335483147349</v>
      </c>
      <c r="AF500" s="231">
        <f>FME_Ranking1[[#This Row],[Ag Land Score (Normalized, Unweighted)]]*$AD$3</f>
        <v>0.18468667741573674</v>
      </c>
      <c r="AG50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1.1571586213017264</v>
      </c>
      <c r="AH500" s="406">
        <f t="shared" si="7"/>
        <v>241</v>
      </c>
      <c r="AI50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1.1571586213017264</v>
      </c>
      <c r="AJ500" s="257">
        <f>FME_Ranking1[[#This Row],[Addition check]]-FME_Ranking1[[#This Row],[Weighted Score Based on Normalized Reported Factors]]</f>
        <v>0</v>
      </c>
      <c r="AK500" s="178">
        <f>_xlfn.RANK.EQ(AI500,$AI$6:$AI$2341,0)+COUNTIF($AI$6:AI500,AI500)-1</f>
        <v>243</v>
      </c>
    </row>
    <row r="501" spans="1:37" ht="12" customHeight="1" x14ac:dyDescent="0.25">
      <c r="A501" t="s">
        <v>3517</v>
      </c>
      <c r="B501">
        <f>_xlfn.XLOOKUP(FME_Ranking1[[#This Row],[FME ID]],FME_Input[FME_ID],FME_Input[RFPG_NUM])</f>
        <v>2</v>
      </c>
      <c r="C501" t="str">
        <f>_xlfn.XLOOKUP(FME_Ranking1[[#This Row],[FME ID]],FME_Input[FME_ID],FME_Input[FME_NAME])</f>
        <v>Red River County FIS</v>
      </c>
      <c r="D501" t="str">
        <f>_xlfn.XLOOKUP(FME_Ranking1[[#This Row],[FME ID]],FME_Input[FME_ID],FME_Input[DESCR])</f>
        <v>Develop FIS for the County</v>
      </c>
      <c r="E501" s="256">
        <f>_xlfn.XLOOKUP(FME_Ranking1[[#This Row],[FME ID]],FME_Input[FME_ID],FME_Input[FME_COST])</f>
        <v>2606000</v>
      </c>
      <c r="F501" t="str">
        <f>_xlfn.XLOOKUP(FME_Ranking1[[#This Row],[FME ID]],FME_Input[FME_ID],FME_Input[EMER_NEED])</f>
        <v>No</v>
      </c>
      <c r="G501">
        <f>IF(FME_Ranking!F501="Yes",100,0)</f>
        <v>0</v>
      </c>
      <c r="H501">
        <f>FME_Ranking1[[#This Row],[Emergency Need Score (Normalized, Unweighted)]]*$F$3</f>
        <v>0</v>
      </c>
      <c r="I501" s="246">
        <f>_xlfn.XLOOKUP(FME_Ranking1[[#This Row],[FME ID]],FME_Input[FME_ID],FME_Input[STRUCT_100])</f>
        <v>391</v>
      </c>
      <c r="J501" s="178">
        <f>(FME_Ranking1[[#This Row],[Structures 100 Raw]]/I$2)*100</f>
        <v>0.2093775435890845</v>
      </c>
      <c r="K501" s="178">
        <f>FME_Ranking1[[#This Row],[Structures 100  Score (Normalized, Unweighted)]]*$I$3</f>
        <v>3.1406631538362671E-2</v>
      </c>
      <c r="L501" s="246">
        <f>_xlfn.XLOOKUP(FME_Ranking1[[#This Row],[FME ID]],FME_Input[FME_ID],FME_Input[RES_STRUCT100])</f>
        <v>138</v>
      </c>
      <c r="M501" s="230">
        <f>(FME_Ranking1[[#This Row],[Res Structures Raw]]/L$2)*100</f>
        <v>9.7746171608278684E-2</v>
      </c>
      <c r="N501" s="180">
        <f>FME_Ranking1[[#This Row],[Res Structures Score (Normalized, Unweighted)]]*$L$3</f>
        <v>9.7746171608278695E-3</v>
      </c>
      <c r="O501" s="244">
        <f>_xlfn.XLOOKUP(FME_Ranking1[[#This Row],[FME ID]],FME_Input[FME_ID],FME_Input[POP100])</f>
        <v>374</v>
      </c>
      <c r="P501" s="178">
        <f>(FME_Ranking1[[#This Row],[Pop Raw]]/$O$2)*100</f>
        <v>3.8288366683797467E-2</v>
      </c>
      <c r="Q501" s="178">
        <f>FME_Ranking1[[#This Row],[Pop Score (Normalized, Unweighted)]]*$O$3</f>
        <v>5.7432550025696199E-3</v>
      </c>
      <c r="R501" s="137">
        <f>_xlfn.XLOOKUP(FME_Ranking1[[#This Row],[FME ID]],FME_Input[FME_ID],FME_Input[CRITFAC100])</f>
        <v>5</v>
      </c>
      <c r="S501" s="230">
        <f>(FME_Ranking1[[#This Row],[Critical Facilities Raw]]/$R$2)*100</f>
        <v>0.21440823327615782</v>
      </c>
      <c r="T501" s="180">
        <f>FME_Ranking1[[#This Row],[Critical Facilities Score (Normalized, Unweighted)]]*$R$3</f>
        <v>4.2881646655231566E-2</v>
      </c>
      <c r="U501">
        <f>_xlfn.XLOOKUP(FME_Ranking1[[#This Row],[FME ID]],FME_Input[FME_ID],FME_Input[LWC])</f>
        <v>16</v>
      </c>
      <c r="V501" s="178">
        <f>(FME_Ranking1[[#This Row],[LWC Raw]]/$U$2)*100</f>
        <v>0.92112838226827876</v>
      </c>
      <c r="W501" s="178">
        <f>FME_Ranking1[[#This Row],[LWC Score (Normalized, Unweighted)]]*$U$3</f>
        <v>0.18422567645365576</v>
      </c>
      <c r="X501" s="246">
        <f>_xlfn.XLOOKUP(FME_Ranking1[[#This Row],[FME ID]],FME_Input[FME_ID],FME_Input[ROADCLS])</f>
        <v>0</v>
      </c>
      <c r="Y501" s="230">
        <f>(FME_Ranking1[[#This Row],[Closures Raw]]/$X$2)*100</f>
        <v>0</v>
      </c>
      <c r="Z501" s="180">
        <f>FME_Ranking1[[#This Row],[Closures Score (Normalized, Unweighted)]]*$X$3</f>
        <v>0</v>
      </c>
      <c r="AA501" s="253">
        <f>_xlfn.XLOOKUP(FME_Ranking1[[#This Row],[FME ID]],FME_Input[FME_ID],FME_Input[ROAD_MILES100])</f>
        <v>156.66029357910159</v>
      </c>
      <c r="AB501" s="178">
        <f>(FME_Ranking1[[#This Row],[Miles Raw]]/$AA$2)*100</f>
        <v>2.0598018771375872</v>
      </c>
      <c r="AC501" s="178">
        <f>FME_Ranking1[[#This Row],[Miles Score (Normalized, Unweighted)]]*$AA$3</f>
        <v>0.20598018771375873</v>
      </c>
      <c r="AD501" s="255">
        <f>_xlfn.XLOOKUP(FME_Ranking1[[#This Row],[FME ID]],FME_Input[FME_ID],FME_Input[FARMACRE100])</f>
        <v>24045.279296875</v>
      </c>
      <c r="AE501" s="230">
        <f>(FME_Ranking1[[#This Row],[Ag Land Raw]]/$AD$2)*100</f>
        <v>0.99151967942163877</v>
      </c>
      <c r="AF501" s="231">
        <f>FME_Ranking1[[#This Row],[Ag Land Score (Normalized, Unweighted)]]*$AD$3</f>
        <v>4.9575983971081941E-2</v>
      </c>
      <c r="AG50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0.52958799849548821</v>
      </c>
      <c r="AH501" s="406">
        <f t="shared" si="7"/>
        <v>412</v>
      </c>
      <c r="AI50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0.52958799849548821</v>
      </c>
      <c r="AJ501" s="257">
        <f>FME_Ranking1[[#This Row],[Addition check]]-FME_Ranking1[[#This Row],[Weighted Score Based on Normalized Reported Factors]]</f>
        <v>0</v>
      </c>
      <c r="AK501" s="178">
        <f>_xlfn.RANK.EQ(AI501,$AI$6:$AI$2341,0)+COUNTIF($AI$6:AI501,AI501)-1</f>
        <v>412</v>
      </c>
    </row>
    <row r="502" spans="1:37" ht="12" customHeight="1" x14ac:dyDescent="0.25">
      <c r="A502" t="s">
        <v>4299</v>
      </c>
      <c r="B502">
        <f>_xlfn.XLOOKUP(FME_Ranking1[[#This Row],[FME ID]],FME_Input[FME_ID],FME_Input[RFPG_NUM])</f>
        <v>3</v>
      </c>
      <c r="C502" t="str">
        <f>_xlfn.XLOOKUP(FME_Ranking1[[#This Row],[FME ID]],FME_Input[FME_ID],FME_Input[FME_NAME])</f>
        <v>Trinity County DMP</v>
      </c>
      <c r="D502" t="str">
        <f>_xlfn.XLOOKUP(FME_Ranking1[[#This Row],[FME ID]],FME_Input[FME_ID],FME_Input[DESCR])</f>
        <v>Evaluate County and identify future projects.</v>
      </c>
      <c r="E502" s="256">
        <f>_xlfn.XLOOKUP(FME_Ranking1[[#This Row],[FME ID]],FME_Input[FME_ID],FME_Input[FME_COST])</f>
        <v>500000</v>
      </c>
      <c r="F502" t="str">
        <f>_xlfn.XLOOKUP(FME_Ranking1[[#This Row],[FME ID]],FME_Input[FME_ID],FME_Input[EMER_NEED])</f>
        <v>No</v>
      </c>
      <c r="G502">
        <f>IF(FME_Ranking!F502="Yes",100,0)</f>
        <v>0</v>
      </c>
      <c r="H502">
        <f>FME_Ranking1[[#This Row],[Emergency Need Score (Normalized, Unweighted)]]*$F$3</f>
        <v>0</v>
      </c>
      <c r="I502" s="246">
        <f>_xlfn.XLOOKUP(FME_Ranking1[[#This Row],[FME ID]],FME_Input[FME_ID],FME_Input[STRUCT_100])</f>
        <v>1200</v>
      </c>
      <c r="J502" s="178">
        <f>(FME_Ranking1[[#This Row],[Structures 100 Raw]]/I$2)*100</f>
        <v>0.64259092661611616</v>
      </c>
      <c r="K502" s="178">
        <f>FME_Ranking1[[#This Row],[Structures 100  Score (Normalized, Unweighted)]]*$I$3</f>
        <v>9.6388638992417425E-2</v>
      </c>
      <c r="L502" s="246">
        <f>_xlfn.XLOOKUP(FME_Ranking1[[#This Row],[FME ID]],FME_Input[FME_ID],FME_Input[RES_STRUCT100])</f>
        <v>1035</v>
      </c>
      <c r="M502" s="230">
        <f>(FME_Ranking1[[#This Row],[Res Structures Raw]]/L$2)*100</f>
        <v>0.73309628706209007</v>
      </c>
      <c r="N502" s="180">
        <f>FME_Ranking1[[#This Row],[Res Structures Score (Normalized, Unweighted)]]*$L$3</f>
        <v>7.330962870620901E-2</v>
      </c>
      <c r="O502" s="244">
        <f>_xlfn.XLOOKUP(FME_Ranking1[[#This Row],[FME ID]],FME_Input[FME_ID],FME_Input[POP100])</f>
        <v>1768</v>
      </c>
      <c r="P502" s="178">
        <f>(FME_Ranking1[[#This Row],[Pop Raw]]/$O$2)*100</f>
        <v>0.18099955159613348</v>
      </c>
      <c r="Q502" s="178">
        <f>FME_Ranking1[[#This Row],[Pop Score (Normalized, Unweighted)]]*$O$3</f>
        <v>2.7149932739420023E-2</v>
      </c>
      <c r="R502" s="137">
        <f>_xlfn.XLOOKUP(FME_Ranking1[[#This Row],[FME ID]],FME_Input[FME_ID],FME_Input[CRITFAC100])</f>
        <v>11</v>
      </c>
      <c r="S502" s="230">
        <f>(FME_Ranking1[[#This Row],[Critical Facilities Raw]]/$R$2)*100</f>
        <v>0.47169811320754718</v>
      </c>
      <c r="T502" s="180">
        <f>FME_Ranking1[[#This Row],[Critical Facilities Score (Normalized, Unweighted)]]*$R$3</f>
        <v>9.4339622641509441E-2</v>
      </c>
      <c r="U502">
        <f>_xlfn.XLOOKUP(FME_Ranking1[[#This Row],[FME ID]],FME_Input[FME_ID],FME_Input[LWC])</f>
        <v>1</v>
      </c>
      <c r="V502" s="178">
        <f>(FME_Ranking1[[#This Row],[LWC Raw]]/$U$2)*100</f>
        <v>5.7570523891767422E-2</v>
      </c>
      <c r="W502" s="178">
        <f>FME_Ranking1[[#This Row],[LWC Score (Normalized, Unweighted)]]*$U$3</f>
        <v>1.1514104778353485E-2</v>
      </c>
      <c r="X502" s="246">
        <f>_xlfn.XLOOKUP(FME_Ranking1[[#This Row],[FME ID]],FME_Input[FME_ID],FME_Input[ROADCLS])</f>
        <v>0</v>
      </c>
      <c r="Y502" s="230">
        <f>(FME_Ranking1[[#This Row],[Closures Raw]]/$X$2)*100</f>
        <v>0</v>
      </c>
      <c r="Z502" s="180">
        <f>FME_Ranking1[[#This Row],[Closures Score (Normalized, Unweighted)]]*$X$3</f>
        <v>0</v>
      </c>
      <c r="AA502" s="253">
        <f>_xlfn.XLOOKUP(FME_Ranking1[[#This Row],[FME ID]],FME_Input[FME_ID],FME_Input[ROAD_MILES100])</f>
        <v>53.7747802734375</v>
      </c>
      <c r="AB502" s="178">
        <f>(FME_Ranking1[[#This Row],[Miles Raw]]/$AA$2)*100</f>
        <v>0.70704191099935421</v>
      </c>
      <c r="AC502" s="178">
        <f>FME_Ranking1[[#This Row],[Miles Score (Normalized, Unweighted)]]*$AA$3</f>
        <v>7.0704191099935421E-2</v>
      </c>
      <c r="AD502" s="255">
        <f>_xlfn.XLOOKUP(FME_Ranking1[[#This Row],[FME ID]],FME_Input[FME_ID],FME_Input[FARMACRE100])</f>
        <v>9902.6630859375</v>
      </c>
      <c r="AE502" s="230">
        <f>(FME_Ranking1[[#This Row],[Ag Land Raw]]/$AD$2)*100</f>
        <v>0.40834149635622297</v>
      </c>
      <c r="AF502" s="231">
        <f>FME_Ranking1[[#This Row],[Ag Land Score (Normalized, Unweighted)]]*$AD$3</f>
        <v>2.0417074817811149E-2</v>
      </c>
      <c r="AG50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0.39382319377565594</v>
      </c>
      <c r="AH502" s="406">
        <f t="shared" si="7"/>
        <v>531</v>
      </c>
      <c r="AI50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0.39382319377565594</v>
      </c>
      <c r="AJ502" s="257">
        <f>FME_Ranking1[[#This Row],[Addition check]]-FME_Ranking1[[#This Row],[Weighted Score Based on Normalized Reported Factors]]</f>
        <v>0</v>
      </c>
      <c r="AK502" s="178">
        <f>_xlfn.RANK.EQ(AI502,$AI$6:$AI$2341,0)+COUNTIF($AI$6:AI502,AI502)-1</f>
        <v>531</v>
      </c>
    </row>
    <row r="503" spans="1:37" ht="12" customHeight="1" x14ac:dyDescent="0.25">
      <c r="A503" t="s">
        <v>7986</v>
      </c>
      <c r="B503">
        <f>_xlfn.XLOOKUP(FME_Ranking1[[#This Row],[FME ID]],FME_Input[FME_ID],FME_Input[RFPG_NUM])</f>
        <v>9</v>
      </c>
      <c r="C503" t="str">
        <f>_xlfn.XLOOKUP(FME_Ranking1[[#This Row],[FME ID]],FME_Input[FME_ID],FME_Input[FME_NAME])</f>
        <v>Dawson County DMP</v>
      </c>
      <c r="D503" t="str">
        <f>_xlfn.XLOOKUP(FME_Ranking1[[#This Row],[FME ID]],FME_Input[FME_ID],FME_Input[DESCR])</f>
        <v xml:space="preserve">Create Drainage Master Plan, including evaluation of potential mitigation projects. </v>
      </c>
      <c r="E503" s="256">
        <f>_xlfn.XLOOKUP(FME_Ranking1[[#This Row],[FME ID]],FME_Input[FME_ID],FME_Input[FME_COST])</f>
        <v>500000</v>
      </c>
      <c r="F503" t="str">
        <f>_xlfn.XLOOKUP(FME_Ranking1[[#This Row],[FME ID]],FME_Input[FME_ID],FME_Input[EMER_NEED])</f>
        <v>No</v>
      </c>
      <c r="G503">
        <f>IF(FME_Ranking!F503="Yes",100,0)</f>
        <v>0</v>
      </c>
      <c r="H503">
        <f>FME_Ranking1[[#This Row],[Emergency Need Score (Normalized, Unweighted)]]*$F$3</f>
        <v>0</v>
      </c>
      <c r="I503" s="246">
        <f>_xlfn.XLOOKUP(FME_Ranking1[[#This Row],[FME ID]],FME_Input[FME_ID],FME_Input[STRUCT_100])</f>
        <v>474</v>
      </c>
      <c r="J503" s="178">
        <f>(FME_Ranking1[[#This Row],[Structures 100 Raw]]/I$2)*100</f>
        <v>0.25382341601336589</v>
      </c>
      <c r="K503" s="178">
        <f>FME_Ranking1[[#This Row],[Structures 100  Score (Normalized, Unweighted)]]*$I$3</f>
        <v>3.8073512402004885E-2</v>
      </c>
      <c r="L503" s="246">
        <f>_xlfn.XLOOKUP(FME_Ranking1[[#This Row],[FME ID]],FME_Input[FME_ID],FME_Input[RES_STRUCT100])</f>
        <v>9</v>
      </c>
      <c r="M503" s="230">
        <f>(FME_Ranking1[[#This Row],[Res Structures Raw]]/L$2)*100</f>
        <v>6.3747503222790439E-3</v>
      </c>
      <c r="N503" s="180">
        <f>FME_Ranking1[[#This Row],[Res Structures Score (Normalized, Unweighted)]]*$L$3</f>
        <v>6.3747503222790446E-4</v>
      </c>
      <c r="O503" s="244">
        <f>_xlfn.XLOOKUP(FME_Ranking1[[#This Row],[FME ID]],FME_Input[FME_ID],FME_Input[POP100])</f>
        <v>763</v>
      </c>
      <c r="P503" s="178">
        <f>(FME_Ranking1[[#This Row],[Pop Raw]]/$O$2)*100</f>
        <v>7.8112363047426386E-2</v>
      </c>
      <c r="Q503" s="178">
        <f>FME_Ranking1[[#This Row],[Pop Score (Normalized, Unweighted)]]*$O$3</f>
        <v>1.1716854457113958E-2</v>
      </c>
      <c r="R503" s="137">
        <f>_xlfn.XLOOKUP(FME_Ranking1[[#This Row],[FME ID]],FME_Input[FME_ID],FME_Input[CRITFAC100])</f>
        <v>0</v>
      </c>
      <c r="S503" s="230">
        <f>(FME_Ranking1[[#This Row],[Critical Facilities Raw]]/$R$2)*100</f>
        <v>0</v>
      </c>
      <c r="T503" s="180">
        <f>FME_Ranking1[[#This Row],[Critical Facilities Score (Normalized, Unweighted)]]*$R$3</f>
        <v>0</v>
      </c>
      <c r="U503">
        <f>_xlfn.XLOOKUP(FME_Ranking1[[#This Row],[FME ID]],FME_Input[FME_ID],FME_Input[LWC])</f>
        <v>9</v>
      </c>
      <c r="V503" s="178">
        <f>(FME_Ranking1[[#This Row],[LWC Raw]]/$U$2)*100</f>
        <v>0.5181347150259068</v>
      </c>
      <c r="W503" s="178">
        <f>FME_Ranking1[[#This Row],[LWC Score (Normalized, Unweighted)]]*$U$3</f>
        <v>0.10362694300518137</v>
      </c>
      <c r="X503" s="246">
        <f>_xlfn.XLOOKUP(FME_Ranking1[[#This Row],[FME ID]],FME_Input[FME_ID],FME_Input[ROADCLS])</f>
        <v>0</v>
      </c>
      <c r="Y503" s="230">
        <f>(FME_Ranking1[[#This Row],[Closures Raw]]/$X$2)*100</f>
        <v>0</v>
      </c>
      <c r="Z503" s="180">
        <f>FME_Ranking1[[#This Row],[Closures Score (Normalized, Unweighted)]]*$X$3</f>
        <v>0</v>
      </c>
      <c r="AA503" s="253">
        <f>_xlfn.XLOOKUP(FME_Ranking1[[#This Row],[FME ID]],FME_Input[FME_ID],FME_Input[ROAD_MILES100])</f>
        <v>537.865478515625</v>
      </c>
      <c r="AB503" s="178">
        <f>(FME_Ranking1[[#This Row],[Miles Raw]]/$AA$2)*100</f>
        <v>7.0719663354555564</v>
      </c>
      <c r="AC503" s="178">
        <f>FME_Ranking1[[#This Row],[Miles Score (Normalized, Unweighted)]]*$AA$3</f>
        <v>0.70719663354555573</v>
      </c>
      <c r="AD503" s="255">
        <f>_xlfn.XLOOKUP(FME_Ranking1[[#This Row],[FME ID]],FME_Input[FME_ID],FME_Input[FARMACRE100])</f>
        <v>81984.1015625</v>
      </c>
      <c r="AE503" s="230">
        <f>(FME_Ranking1[[#This Row],[Ag Land Raw]]/$AD$2)*100</f>
        <v>3.3806573463043796</v>
      </c>
      <c r="AF503" s="231">
        <f>FME_Ranking1[[#This Row],[Ag Land Score (Normalized, Unweighted)]]*$AD$3</f>
        <v>0.16903286731521899</v>
      </c>
      <c r="AG50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1.0302842857573029</v>
      </c>
      <c r="AH503" s="406">
        <f t="shared" si="7"/>
        <v>267</v>
      </c>
      <c r="AI50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1.0302842857573029</v>
      </c>
      <c r="AJ503" s="257">
        <f>FME_Ranking1[[#This Row],[Addition check]]-FME_Ranking1[[#This Row],[Weighted Score Based on Normalized Reported Factors]]</f>
        <v>0</v>
      </c>
      <c r="AK503" s="178">
        <f>_xlfn.RANK.EQ(AI503,$AI$6:$AI$2341,0)+COUNTIF($AI$6:AI503,AI503)-1</f>
        <v>267</v>
      </c>
    </row>
    <row r="504" spans="1:37" ht="12" customHeight="1" x14ac:dyDescent="0.25">
      <c r="A504" t="s">
        <v>8013</v>
      </c>
      <c r="B504">
        <f>_xlfn.XLOOKUP(FME_Ranking1[[#This Row],[FME ID]],FME_Input[FME_ID],FME_Input[RFPG_NUM])</f>
        <v>9</v>
      </c>
      <c r="C504" t="str">
        <f>_xlfn.XLOOKUP(FME_Ranking1[[#This Row],[FME ID]],FME_Input[FME_ID],FME_Input[FME_NAME])</f>
        <v>Dawson County  GIS Development</v>
      </c>
      <c r="D504" t="str">
        <f>_xlfn.XLOOKUP(FME_Ranking1[[#This Row],[FME ID]],FME_Input[FME_ID],FME_Input[DESCR])</f>
        <v>Develop a GIS inventory of stormwater infrastructure</v>
      </c>
      <c r="E504" s="256">
        <f>_xlfn.XLOOKUP(FME_Ranking1[[#This Row],[FME ID]],FME_Input[FME_ID],FME_Input[FME_COST])</f>
        <v>100000</v>
      </c>
      <c r="F504" t="str">
        <f>_xlfn.XLOOKUP(FME_Ranking1[[#This Row],[FME ID]],FME_Input[FME_ID],FME_Input[EMER_NEED])</f>
        <v>No</v>
      </c>
      <c r="G504">
        <f>IF(FME_Ranking!F504="Yes",100,0)</f>
        <v>0</v>
      </c>
      <c r="H504">
        <f>FME_Ranking1[[#This Row],[Emergency Need Score (Normalized, Unweighted)]]*$F$3</f>
        <v>0</v>
      </c>
      <c r="I504" s="246">
        <f>_xlfn.XLOOKUP(FME_Ranking1[[#This Row],[FME ID]],FME_Input[FME_ID],FME_Input[STRUCT_100])</f>
        <v>474</v>
      </c>
      <c r="J504" s="178">
        <f>(FME_Ranking1[[#This Row],[Structures 100 Raw]]/I$2)*100</f>
        <v>0.25382341601336589</v>
      </c>
      <c r="K504" s="178">
        <f>FME_Ranking1[[#This Row],[Structures 100  Score (Normalized, Unweighted)]]*$I$3</f>
        <v>3.8073512402004885E-2</v>
      </c>
      <c r="L504" s="246">
        <f>_xlfn.XLOOKUP(FME_Ranking1[[#This Row],[FME ID]],FME_Input[FME_ID],FME_Input[RES_STRUCT100])</f>
        <v>9</v>
      </c>
      <c r="M504" s="230">
        <f>(FME_Ranking1[[#This Row],[Res Structures Raw]]/L$2)*100</f>
        <v>6.3747503222790439E-3</v>
      </c>
      <c r="N504" s="180">
        <f>FME_Ranking1[[#This Row],[Res Structures Score (Normalized, Unweighted)]]*$L$3</f>
        <v>6.3747503222790446E-4</v>
      </c>
      <c r="O504" s="244">
        <f>_xlfn.XLOOKUP(FME_Ranking1[[#This Row],[FME ID]],FME_Input[FME_ID],FME_Input[POP100])</f>
        <v>763</v>
      </c>
      <c r="P504" s="178">
        <f>(FME_Ranking1[[#This Row],[Pop Raw]]/$O$2)*100</f>
        <v>7.8112363047426386E-2</v>
      </c>
      <c r="Q504" s="178">
        <f>FME_Ranking1[[#This Row],[Pop Score (Normalized, Unweighted)]]*$O$3</f>
        <v>1.1716854457113958E-2</v>
      </c>
      <c r="R504" s="137">
        <f>_xlfn.XLOOKUP(FME_Ranking1[[#This Row],[FME ID]],FME_Input[FME_ID],FME_Input[CRITFAC100])</f>
        <v>0</v>
      </c>
      <c r="S504" s="230">
        <f>(FME_Ranking1[[#This Row],[Critical Facilities Raw]]/$R$2)*100</f>
        <v>0</v>
      </c>
      <c r="T504" s="180">
        <f>FME_Ranking1[[#This Row],[Critical Facilities Score (Normalized, Unweighted)]]*$R$3</f>
        <v>0</v>
      </c>
      <c r="U504">
        <f>_xlfn.XLOOKUP(FME_Ranking1[[#This Row],[FME ID]],FME_Input[FME_ID],FME_Input[LWC])</f>
        <v>9</v>
      </c>
      <c r="V504" s="178">
        <f>(FME_Ranking1[[#This Row],[LWC Raw]]/$U$2)*100</f>
        <v>0.5181347150259068</v>
      </c>
      <c r="W504" s="178">
        <f>FME_Ranking1[[#This Row],[LWC Score (Normalized, Unweighted)]]*$U$3</f>
        <v>0.10362694300518137</v>
      </c>
      <c r="X504" s="246">
        <f>_xlfn.XLOOKUP(FME_Ranking1[[#This Row],[FME ID]],FME_Input[FME_ID],FME_Input[ROADCLS])</f>
        <v>0</v>
      </c>
      <c r="Y504" s="230">
        <f>(FME_Ranking1[[#This Row],[Closures Raw]]/$X$2)*100</f>
        <v>0</v>
      </c>
      <c r="Z504" s="180">
        <f>FME_Ranking1[[#This Row],[Closures Score (Normalized, Unweighted)]]*$X$3</f>
        <v>0</v>
      </c>
      <c r="AA504" s="253">
        <f>_xlfn.XLOOKUP(FME_Ranking1[[#This Row],[FME ID]],FME_Input[FME_ID],FME_Input[ROAD_MILES100])</f>
        <v>537.865478515625</v>
      </c>
      <c r="AB504" s="178">
        <f>(FME_Ranking1[[#This Row],[Miles Raw]]/$AA$2)*100</f>
        <v>7.0719663354555564</v>
      </c>
      <c r="AC504" s="178">
        <f>FME_Ranking1[[#This Row],[Miles Score (Normalized, Unweighted)]]*$AA$3</f>
        <v>0.70719663354555573</v>
      </c>
      <c r="AD504" s="255">
        <f>_xlfn.XLOOKUP(FME_Ranking1[[#This Row],[FME ID]],FME_Input[FME_ID],FME_Input[FARMACRE100])</f>
        <v>81984.1015625</v>
      </c>
      <c r="AE504" s="230">
        <f>(FME_Ranking1[[#This Row],[Ag Land Raw]]/$AD$2)*100</f>
        <v>3.3806573463043796</v>
      </c>
      <c r="AF504" s="231">
        <f>FME_Ranking1[[#This Row],[Ag Land Score (Normalized, Unweighted)]]*$AD$3</f>
        <v>0.16903286731521899</v>
      </c>
      <c r="AG50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1.0302842857573029</v>
      </c>
      <c r="AH504" s="406">
        <f t="shared" si="7"/>
        <v>267</v>
      </c>
      <c r="AI50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1.0302842857573029</v>
      </c>
      <c r="AJ504" s="257">
        <f>FME_Ranking1[[#This Row],[Addition check]]-FME_Ranking1[[#This Row],[Weighted Score Based on Normalized Reported Factors]]</f>
        <v>0</v>
      </c>
      <c r="AK504" s="178">
        <f>_xlfn.RANK.EQ(AI504,$AI$6:$AI$2341,0)+COUNTIF($AI$6:AI504,AI504)-1</f>
        <v>268</v>
      </c>
    </row>
    <row r="505" spans="1:37" ht="12" customHeight="1" x14ac:dyDescent="0.25">
      <c r="A505" t="s">
        <v>8186</v>
      </c>
      <c r="B505">
        <f>_xlfn.XLOOKUP(FME_Ranking1[[#This Row],[FME ID]],FME_Input[FME_ID],FME_Input[RFPG_NUM])</f>
        <v>9</v>
      </c>
      <c r="C505" t="str">
        <f>_xlfn.XLOOKUP(FME_Ranking1[[#This Row],[FME ID]],FME_Input[FME_ID],FME_Input[FME_NAME])</f>
        <v>Dawson County FEMA Mapping</v>
      </c>
      <c r="D505" t="str">
        <f>_xlfn.XLOOKUP(FME_Ranking1[[#This Row],[FME ID]],FME_Input[FME_ID],FME_Input[DESCR])</f>
        <v>Create FEMA Mapping in previously unmapped areas</v>
      </c>
      <c r="E505" s="256">
        <f>_xlfn.XLOOKUP(FME_Ranking1[[#This Row],[FME ID]],FME_Input[FME_ID],FME_Input[FME_COST])</f>
        <v>812000</v>
      </c>
      <c r="F505" t="str">
        <f>_xlfn.XLOOKUP(FME_Ranking1[[#This Row],[FME ID]],FME_Input[FME_ID],FME_Input[EMER_NEED])</f>
        <v>No</v>
      </c>
      <c r="G505">
        <f>IF(FME_Ranking!F505="Yes",100,0)</f>
        <v>0</v>
      </c>
      <c r="H505">
        <f>FME_Ranking1[[#This Row],[Emergency Need Score (Normalized, Unweighted)]]*$F$3</f>
        <v>0</v>
      </c>
      <c r="I505" s="246">
        <f>_xlfn.XLOOKUP(FME_Ranking1[[#This Row],[FME ID]],FME_Input[FME_ID],FME_Input[STRUCT_100])</f>
        <v>474</v>
      </c>
      <c r="J505" s="178">
        <f>(FME_Ranking1[[#This Row],[Structures 100 Raw]]/I$2)*100</f>
        <v>0.25382341601336589</v>
      </c>
      <c r="K505" s="178">
        <f>FME_Ranking1[[#This Row],[Structures 100  Score (Normalized, Unweighted)]]*$I$3</f>
        <v>3.8073512402004885E-2</v>
      </c>
      <c r="L505" s="246">
        <f>_xlfn.XLOOKUP(FME_Ranking1[[#This Row],[FME ID]],FME_Input[FME_ID],FME_Input[RES_STRUCT100])</f>
        <v>9</v>
      </c>
      <c r="M505" s="230">
        <f>(FME_Ranking1[[#This Row],[Res Structures Raw]]/L$2)*100</f>
        <v>6.3747503222790439E-3</v>
      </c>
      <c r="N505" s="180">
        <f>FME_Ranking1[[#This Row],[Res Structures Score (Normalized, Unweighted)]]*$L$3</f>
        <v>6.3747503222790446E-4</v>
      </c>
      <c r="O505" s="244">
        <f>_xlfn.XLOOKUP(FME_Ranking1[[#This Row],[FME ID]],FME_Input[FME_ID],FME_Input[POP100])</f>
        <v>763</v>
      </c>
      <c r="P505" s="178">
        <f>(FME_Ranking1[[#This Row],[Pop Raw]]/$O$2)*100</f>
        <v>7.8112363047426386E-2</v>
      </c>
      <c r="Q505" s="178">
        <f>FME_Ranking1[[#This Row],[Pop Score (Normalized, Unweighted)]]*$O$3</f>
        <v>1.1716854457113958E-2</v>
      </c>
      <c r="R505" s="137">
        <f>_xlfn.XLOOKUP(FME_Ranking1[[#This Row],[FME ID]],FME_Input[FME_ID],FME_Input[CRITFAC100])</f>
        <v>0</v>
      </c>
      <c r="S505" s="230">
        <f>(FME_Ranking1[[#This Row],[Critical Facilities Raw]]/$R$2)*100</f>
        <v>0</v>
      </c>
      <c r="T505" s="180">
        <f>FME_Ranking1[[#This Row],[Critical Facilities Score (Normalized, Unweighted)]]*$R$3</f>
        <v>0</v>
      </c>
      <c r="U505">
        <f>_xlfn.XLOOKUP(FME_Ranking1[[#This Row],[FME ID]],FME_Input[FME_ID],FME_Input[LWC])</f>
        <v>9</v>
      </c>
      <c r="V505" s="178">
        <f>(FME_Ranking1[[#This Row],[LWC Raw]]/$U$2)*100</f>
        <v>0.5181347150259068</v>
      </c>
      <c r="W505" s="178">
        <f>FME_Ranking1[[#This Row],[LWC Score (Normalized, Unweighted)]]*$U$3</f>
        <v>0.10362694300518137</v>
      </c>
      <c r="X505" s="246">
        <f>_xlfn.XLOOKUP(FME_Ranking1[[#This Row],[FME ID]],FME_Input[FME_ID],FME_Input[ROADCLS])</f>
        <v>0</v>
      </c>
      <c r="Y505" s="230">
        <f>(FME_Ranking1[[#This Row],[Closures Raw]]/$X$2)*100</f>
        <v>0</v>
      </c>
      <c r="Z505" s="180">
        <f>FME_Ranking1[[#This Row],[Closures Score (Normalized, Unweighted)]]*$X$3</f>
        <v>0</v>
      </c>
      <c r="AA505" s="253">
        <f>_xlfn.XLOOKUP(FME_Ranking1[[#This Row],[FME ID]],FME_Input[FME_ID],FME_Input[ROAD_MILES100])</f>
        <v>537.865478515625</v>
      </c>
      <c r="AB505" s="178">
        <f>(FME_Ranking1[[#This Row],[Miles Raw]]/$AA$2)*100</f>
        <v>7.0719663354555564</v>
      </c>
      <c r="AC505" s="178">
        <f>FME_Ranking1[[#This Row],[Miles Score (Normalized, Unweighted)]]*$AA$3</f>
        <v>0.70719663354555573</v>
      </c>
      <c r="AD505" s="255">
        <f>_xlfn.XLOOKUP(FME_Ranking1[[#This Row],[FME ID]],FME_Input[FME_ID],FME_Input[FARMACRE100])</f>
        <v>81984.1015625</v>
      </c>
      <c r="AE505" s="230">
        <f>(FME_Ranking1[[#This Row],[Ag Land Raw]]/$AD$2)*100</f>
        <v>3.3806573463043796</v>
      </c>
      <c r="AF505" s="231">
        <f>FME_Ranking1[[#This Row],[Ag Land Score (Normalized, Unweighted)]]*$AD$3</f>
        <v>0.16903286731521899</v>
      </c>
      <c r="AG50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1.0302842857573029</v>
      </c>
      <c r="AH505" s="406">
        <f t="shared" si="7"/>
        <v>267</v>
      </c>
      <c r="AI50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1.0302842857573029</v>
      </c>
      <c r="AJ505" s="257">
        <f>FME_Ranking1[[#This Row],[Addition check]]-FME_Ranking1[[#This Row],[Weighted Score Based on Normalized Reported Factors]]</f>
        <v>0</v>
      </c>
      <c r="AK505" s="178">
        <f>_xlfn.RANK.EQ(AI505,$AI$6:$AI$2341,0)+COUNTIF($AI$6:AI505,AI505)-1</f>
        <v>269</v>
      </c>
    </row>
    <row r="506" spans="1:37" ht="12" customHeight="1" x14ac:dyDescent="0.25">
      <c r="A506" t="s">
        <v>3895</v>
      </c>
      <c r="B506">
        <f>_xlfn.XLOOKUP(FME_Ranking1[[#This Row],[FME ID]],FME_Input[FME_ID],FME_Input[RFPG_NUM])</f>
        <v>3</v>
      </c>
      <c r="C506" t="str">
        <f>_xlfn.XLOOKUP(FME_Ranking1[[#This Row],[FME ID]],FME_Input[FME_ID],FME_Input[FME_NAME])</f>
        <v xml:space="preserve">Houston County FEMA Mapping </v>
      </c>
      <c r="D506" t="str">
        <f>_xlfn.XLOOKUP(FME_Ranking1[[#This Row],[FME ID]],FME_Input[FME_ID],FME_Input[DESCR])</f>
        <v>Create FEMA mapping in previously unmapped areas and update existing FEMA maps as needed.</v>
      </c>
      <c r="E506" s="256">
        <f>_xlfn.XLOOKUP(FME_Ranking1[[#This Row],[FME ID]],FME_Input[FME_ID],FME_Input[FME_COST])</f>
        <v>1809000</v>
      </c>
      <c r="F506" t="str">
        <f>_xlfn.XLOOKUP(FME_Ranking1[[#This Row],[FME ID]],FME_Input[FME_ID],FME_Input[EMER_NEED])</f>
        <v>No</v>
      </c>
      <c r="G506">
        <f>IF(FME_Ranking!F506="Yes",100,0)</f>
        <v>0</v>
      </c>
      <c r="H506">
        <f>FME_Ranking1[[#This Row],[Emergency Need Score (Normalized, Unweighted)]]*$F$3</f>
        <v>0</v>
      </c>
      <c r="I506" s="246">
        <f>_xlfn.XLOOKUP(FME_Ranking1[[#This Row],[FME ID]],FME_Input[FME_ID],FME_Input[STRUCT_100])</f>
        <v>290</v>
      </c>
      <c r="J506" s="178">
        <f>(FME_Ranking1[[#This Row],[Structures 100 Raw]]/I$2)*100</f>
        <v>0.15529280726556141</v>
      </c>
      <c r="K506" s="178">
        <f>FME_Ranking1[[#This Row],[Structures 100  Score (Normalized, Unweighted)]]*$I$3</f>
        <v>2.3293921089834212E-2</v>
      </c>
      <c r="L506" s="246">
        <f>_xlfn.XLOOKUP(FME_Ranking1[[#This Row],[FME ID]],FME_Input[FME_ID],FME_Input[RES_STRUCT100])</f>
        <v>192</v>
      </c>
      <c r="M506" s="230">
        <f>(FME_Ranking1[[#This Row],[Res Structures Raw]]/L$2)*100</f>
        <v>0.13599467354195294</v>
      </c>
      <c r="N506" s="180">
        <f>FME_Ranking1[[#This Row],[Res Structures Score (Normalized, Unweighted)]]*$L$3</f>
        <v>1.3599467354195295E-2</v>
      </c>
      <c r="O506" s="244">
        <f>_xlfn.XLOOKUP(FME_Ranking1[[#This Row],[FME ID]],FME_Input[FME_ID],FME_Input[POP100])</f>
        <v>321</v>
      </c>
      <c r="P506" s="178">
        <f>(FME_Ranking1[[#This Row],[Pop Raw]]/$O$2)*100</f>
        <v>3.2862475148393015E-2</v>
      </c>
      <c r="Q506" s="178">
        <f>FME_Ranking1[[#This Row],[Pop Score (Normalized, Unweighted)]]*$O$3</f>
        <v>4.9293712722589525E-3</v>
      </c>
      <c r="R506" s="137">
        <f>_xlfn.XLOOKUP(FME_Ranking1[[#This Row],[FME ID]],FME_Input[FME_ID],FME_Input[CRITFAC100])</f>
        <v>5</v>
      </c>
      <c r="S506" s="230">
        <f>(FME_Ranking1[[#This Row],[Critical Facilities Raw]]/$R$2)*100</f>
        <v>0.21440823327615782</v>
      </c>
      <c r="T506" s="180">
        <f>FME_Ranking1[[#This Row],[Critical Facilities Score (Normalized, Unweighted)]]*$R$3</f>
        <v>4.2881646655231566E-2</v>
      </c>
      <c r="U506">
        <f>_xlfn.XLOOKUP(FME_Ranking1[[#This Row],[FME ID]],FME_Input[FME_ID],FME_Input[LWC])</f>
        <v>18</v>
      </c>
      <c r="V506" s="178">
        <f>(FME_Ranking1[[#This Row],[LWC Raw]]/$U$2)*100</f>
        <v>1.0362694300518136</v>
      </c>
      <c r="W506" s="178">
        <f>FME_Ranking1[[#This Row],[LWC Score (Normalized, Unweighted)]]*$U$3</f>
        <v>0.20725388601036274</v>
      </c>
      <c r="X506" s="246">
        <f>_xlfn.XLOOKUP(FME_Ranking1[[#This Row],[FME ID]],FME_Input[FME_ID],FME_Input[ROADCLS])</f>
        <v>0</v>
      </c>
      <c r="Y506" s="230">
        <f>(FME_Ranking1[[#This Row],[Closures Raw]]/$X$2)*100</f>
        <v>0</v>
      </c>
      <c r="Z506" s="180">
        <f>FME_Ranking1[[#This Row],[Closures Score (Normalized, Unweighted)]]*$X$3</f>
        <v>0</v>
      </c>
      <c r="AA506" s="253">
        <f>_xlfn.XLOOKUP(FME_Ranking1[[#This Row],[FME ID]],FME_Input[FME_ID],FME_Input[ROAD_MILES100])</f>
        <v>110.1063995361328</v>
      </c>
      <c r="AB506" s="178">
        <f>(FME_Ranking1[[#This Row],[Miles Raw]]/$AA$2)*100</f>
        <v>1.447701668801431</v>
      </c>
      <c r="AC506" s="178">
        <f>FME_Ranking1[[#This Row],[Miles Score (Normalized, Unweighted)]]*$AA$3</f>
        <v>0.1447701668801431</v>
      </c>
      <c r="AD506" s="255">
        <f>_xlfn.XLOOKUP(FME_Ranking1[[#This Row],[FME ID]],FME_Input[FME_ID],FME_Input[FARMACRE100])</f>
        <v>12612.349609375</v>
      </c>
      <c r="AE506" s="230">
        <f>(FME_Ranking1[[#This Row],[Ag Land Raw]]/$AD$2)*100</f>
        <v>0.52007683866106602</v>
      </c>
      <c r="AF506" s="231">
        <f>FME_Ranking1[[#This Row],[Ag Land Score (Normalized, Unweighted)]]*$AD$3</f>
        <v>2.6003841933053301E-2</v>
      </c>
      <c r="AG50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0.46273230119507913</v>
      </c>
      <c r="AH506" s="406">
        <f t="shared" si="7"/>
        <v>457</v>
      </c>
      <c r="AI50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0.46273230119507913</v>
      </c>
      <c r="AJ506" s="257">
        <f>FME_Ranking1[[#This Row],[Addition check]]-FME_Ranking1[[#This Row],[Weighted Score Based on Normalized Reported Factors]]</f>
        <v>0</v>
      </c>
      <c r="AK506" s="178">
        <f>_xlfn.RANK.EQ(AI506,$AI$6:$AI$2341,0)+COUNTIF($AI$6:AI506,AI506)-1</f>
        <v>457</v>
      </c>
    </row>
    <row r="507" spans="1:37" ht="12" customHeight="1" x14ac:dyDescent="0.25">
      <c r="A507" t="s">
        <v>563</v>
      </c>
      <c r="B507">
        <f>_xlfn.XLOOKUP(FME_Ranking1[[#This Row],[FME ID]],FME_Input[FME_ID],FME_Input[RFPG_NUM])</f>
        <v>10</v>
      </c>
      <c r="C507" t="str">
        <f>_xlfn.XLOOKUP(FME_Ranking1[[#This Row],[FME ID]],FME_Input[FME_ID],FME_Input[FME_NAME])</f>
        <v>Tres Palacios, Blue Creek, East Mustang Creek</v>
      </c>
      <c r="D507" t="str">
        <f>_xlfn.XLOOKUP(FME_Ranking1[[#This Row],[FME ID]],FME_Input[FME_ID],FME_Input[DESCR])</f>
        <v>Construct regional detention/retention ponds</v>
      </c>
      <c r="E507" s="256">
        <f>_xlfn.XLOOKUP(FME_Ranking1[[#This Row],[FME ID]],FME_Input[FME_ID],FME_Input[FME_COST])</f>
        <v>150000</v>
      </c>
      <c r="F507" t="str">
        <f>_xlfn.XLOOKUP(FME_Ranking1[[#This Row],[FME ID]],FME_Input[FME_ID],FME_Input[EMER_NEED])</f>
        <v>No</v>
      </c>
      <c r="G507">
        <f>IF(FME_Ranking!F507="Yes",100,0)</f>
        <v>0</v>
      </c>
      <c r="H507">
        <f>FME_Ranking1[[#This Row],[Emergency Need Score (Normalized, Unweighted)]]*$F$3</f>
        <v>0</v>
      </c>
      <c r="I507" s="246">
        <f>_xlfn.XLOOKUP(FME_Ranking1[[#This Row],[FME ID]],FME_Input[FME_ID],FME_Input[STRUCT_100])</f>
        <v>1589</v>
      </c>
      <c r="J507" s="178">
        <f>(FME_Ranking1[[#This Row],[Structures 100 Raw]]/I$2)*100</f>
        <v>0.85089748532750709</v>
      </c>
      <c r="K507" s="178">
        <f>FME_Ranking1[[#This Row],[Structures 100  Score (Normalized, Unweighted)]]*$I$3</f>
        <v>0.12763462279912605</v>
      </c>
      <c r="L507" s="246">
        <f>_xlfn.XLOOKUP(FME_Ranking1[[#This Row],[FME ID]],FME_Input[FME_ID],FME_Input[RES_STRUCT100])</f>
        <v>1139</v>
      </c>
      <c r="M507" s="230">
        <f>(FME_Ranking1[[#This Row],[Res Structures Raw]]/L$2)*100</f>
        <v>0.80676006856398119</v>
      </c>
      <c r="N507" s="180">
        <f>FME_Ranking1[[#This Row],[Res Structures Score (Normalized, Unweighted)]]*$L$3</f>
        <v>8.0676006856398128E-2</v>
      </c>
      <c r="O507" s="244">
        <f>_xlfn.XLOOKUP(FME_Ranking1[[#This Row],[FME ID]],FME_Input[FME_ID],FME_Input[POP100])</f>
        <v>4199</v>
      </c>
      <c r="P507" s="178">
        <f>(FME_Ranking1[[#This Row],[Pop Raw]]/$O$2)*100</f>
        <v>0.42987393504081706</v>
      </c>
      <c r="Q507" s="178">
        <f>FME_Ranking1[[#This Row],[Pop Score (Normalized, Unweighted)]]*$O$3</f>
        <v>6.4481090256122559E-2</v>
      </c>
      <c r="R507" s="137">
        <f>_xlfn.XLOOKUP(FME_Ranking1[[#This Row],[FME ID]],FME_Input[FME_ID],FME_Input[CRITFAC100])</f>
        <v>1</v>
      </c>
      <c r="S507" s="230">
        <f>(FME_Ranking1[[#This Row],[Critical Facilities Raw]]/$R$2)*100</f>
        <v>4.2881646655231559E-2</v>
      </c>
      <c r="T507" s="180">
        <f>FME_Ranking1[[#This Row],[Critical Facilities Score (Normalized, Unweighted)]]*$R$3</f>
        <v>8.5763293310463125E-3</v>
      </c>
      <c r="U507">
        <f>_xlfn.XLOOKUP(FME_Ranking1[[#This Row],[FME ID]],FME_Input[FME_ID],FME_Input[LWC])</f>
        <v>3</v>
      </c>
      <c r="V507" s="178">
        <f>(FME_Ranking1[[#This Row],[LWC Raw]]/$U$2)*100</f>
        <v>0.17271157167530224</v>
      </c>
      <c r="W507" s="178">
        <f>FME_Ranking1[[#This Row],[LWC Score (Normalized, Unweighted)]]*$U$3</f>
        <v>3.4542314335060449E-2</v>
      </c>
      <c r="X507" s="246">
        <f>_xlfn.XLOOKUP(FME_Ranking1[[#This Row],[FME ID]],FME_Input[FME_ID],FME_Input[ROADCLS])</f>
        <v>0</v>
      </c>
      <c r="Y507" s="230">
        <f>(FME_Ranking1[[#This Row],[Closures Raw]]/$X$2)*100</f>
        <v>0</v>
      </c>
      <c r="Z507" s="180">
        <f>FME_Ranking1[[#This Row],[Closures Score (Normalized, Unweighted)]]*$X$3</f>
        <v>0</v>
      </c>
      <c r="AA507" s="253">
        <f>_xlfn.XLOOKUP(FME_Ranking1[[#This Row],[FME ID]],FME_Input[FME_ID],FME_Input[ROAD_MILES100])</f>
        <v>34.717891693115227</v>
      </c>
      <c r="AB507" s="178">
        <f>(FME_Ranking1[[#This Row],[Miles Raw]]/$AA$2)*100</f>
        <v>0.45647800630240776</v>
      </c>
      <c r="AC507" s="178">
        <f>FME_Ranking1[[#This Row],[Miles Score (Normalized, Unweighted)]]*$AA$3</f>
        <v>4.5647800630240778E-2</v>
      </c>
      <c r="AD507" s="255">
        <f>_xlfn.XLOOKUP(FME_Ranking1[[#This Row],[FME ID]],FME_Input[FME_ID],FME_Input[FARMACRE100])</f>
        <v>873.98358154296875</v>
      </c>
      <c r="AE507" s="230">
        <f>(FME_Ranking1[[#This Row],[Ag Land Raw]]/$AD$2)*100</f>
        <v>3.6039170512104736E-2</v>
      </c>
      <c r="AF507" s="231">
        <f>FME_Ranking1[[#This Row],[Ag Land Score (Normalized, Unweighted)]]*$AD$3</f>
        <v>1.8019585256052368E-3</v>
      </c>
      <c r="AG50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0.36336012273359947</v>
      </c>
      <c r="AH507" s="406">
        <f t="shared" si="7"/>
        <v>562</v>
      </c>
      <c r="AI50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0.36336012273359947</v>
      </c>
      <c r="AJ507" s="257">
        <f>FME_Ranking1[[#This Row],[Addition check]]-FME_Ranking1[[#This Row],[Weighted Score Based on Normalized Reported Factors]]</f>
        <v>0</v>
      </c>
      <c r="AK507" s="178">
        <f>_xlfn.RANK.EQ(AI507,$AI$6:$AI$2341,0)+COUNTIF($AI$6:AI507,AI507)-1</f>
        <v>562</v>
      </c>
    </row>
    <row r="508" spans="1:37" ht="12" customHeight="1" x14ac:dyDescent="0.25">
      <c r="A508" t="s">
        <v>569</v>
      </c>
      <c r="B508">
        <f>_xlfn.XLOOKUP(FME_Ranking1[[#This Row],[FME ID]],FME_Input[FME_ID],FME_Input[RFPG_NUM])</f>
        <v>10</v>
      </c>
      <c r="C508" t="str">
        <f>_xlfn.XLOOKUP(FME_Ranking1[[#This Row],[FME ID]],FME_Input[FME_ID],FME_Input[FME_NAME])</f>
        <v>Use Digital Maps of All Hazards and Educate Residents</v>
      </c>
      <c r="D508" t="str">
        <f>_xlfn.XLOOKUP(FME_Ranking1[[#This Row],[FME ID]],FME_Input[FME_ID],FME_Input[DESCR])</f>
        <v>Use GIS mapping to overlay peoperties with known hazards; notifiy residents</v>
      </c>
      <c r="E508" s="256">
        <f>_xlfn.XLOOKUP(FME_Ranking1[[#This Row],[FME ID]],FME_Input[FME_ID],FME_Input[FME_COST])</f>
        <v>100000</v>
      </c>
      <c r="F508" t="str">
        <f>_xlfn.XLOOKUP(FME_Ranking1[[#This Row],[FME ID]],FME_Input[FME_ID],FME_Input[EMER_NEED])</f>
        <v>No</v>
      </c>
      <c r="G508">
        <f>IF(FME_Ranking!F508="Yes",100,0)</f>
        <v>0</v>
      </c>
      <c r="H508">
        <f>FME_Ranking1[[#This Row],[Emergency Need Score (Normalized, Unweighted)]]*$F$3</f>
        <v>0</v>
      </c>
      <c r="I508" s="246">
        <f>_xlfn.XLOOKUP(FME_Ranking1[[#This Row],[FME ID]],FME_Input[FME_ID],FME_Input[STRUCT_100])</f>
        <v>1589</v>
      </c>
      <c r="J508" s="178">
        <f>(FME_Ranking1[[#This Row],[Structures 100 Raw]]/I$2)*100</f>
        <v>0.85089748532750709</v>
      </c>
      <c r="K508" s="178">
        <f>FME_Ranking1[[#This Row],[Structures 100  Score (Normalized, Unweighted)]]*$I$3</f>
        <v>0.12763462279912605</v>
      </c>
      <c r="L508" s="246">
        <f>_xlfn.XLOOKUP(FME_Ranking1[[#This Row],[FME ID]],FME_Input[FME_ID],FME_Input[RES_STRUCT100])</f>
        <v>1139</v>
      </c>
      <c r="M508" s="230">
        <f>(FME_Ranking1[[#This Row],[Res Structures Raw]]/L$2)*100</f>
        <v>0.80676006856398119</v>
      </c>
      <c r="N508" s="180">
        <f>FME_Ranking1[[#This Row],[Res Structures Score (Normalized, Unweighted)]]*$L$3</f>
        <v>8.0676006856398128E-2</v>
      </c>
      <c r="O508" s="244">
        <f>_xlfn.XLOOKUP(FME_Ranking1[[#This Row],[FME ID]],FME_Input[FME_ID],FME_Input[POP100])</f>
        <v>4199</v>
      </c>
      <c r="P508" s="178">
        <f>(FME_Ranking1[[#This Row],[Pop Raw]]/$O$2)*100</f>
        <v>0.42987393504081706</v>
      </c>
      <c r="Q508" s="178">
        <f>FME_Ranking1[[#This Row],[Pop Score (Normalized, Unweighted)]]*$O$3</f>
        <v>6.4481090256122559E-2</v>
      </c>
      <c r="R508" s="137">
        <f>_xlfn.XLOOKUP(FME_Ranking1[[#This Row],[FME ID]],FME_Input[FME_ID],FME_Input[CRITFAC100])</f>
        <v>1</v>
      </c>
      <c r="S508" s="230">
        <f>(FME_Ranking1[[#This Row],[Critical Facilities Raw]]/$R$2)*100</f>
        <v>4.2881646655231559E-2</v>
      </c>
      <c r="T508" s="180">
        <f>FME_Ranking1[[#This Row],[Critical Facilities Score (Normalized, Unweighted)]]*$R$3</f>
        <v>8.5763293310463125E-3</v>
      </c>
      <c r="U508">
        <f>_xlfn.XLOOKUP(FME_Ranking1[[#This Row],[FME ID]],FME_Input[FME_ID],FME_Input[LWC])</f>
        <v>3</v>
      </c>
      <c r="V508" s="178">
        <f>(FME_Ranking1[[#This Row],[LWC Raw]]/$U$2)*100</f>
        <v>0.17271157167530224</v>
      </c>
      <c r="W508" s="178">
        <f>FME_Ranking1[[#This Row],[LWC Score (Normalized, Unweighted)]]*$U$3</f>
        <v>3.4542314335060449E-2</v>
      </c>
      <c r="X508" s="246">
        <f>_xlfn.XLOOKUP(FME_Ranking1[[#This Row],[FME ID]],FME_Input[FME_ID],FME_Input[ROADCLS])</f>
        <v>0</v>
      </c>
      <c r="Y508" s="230">
        <f>(FME_Ranking1[[#This Row],[Closures Raw]]/$X$2)*100</f>
        <v>0</v>
      </c>
      <c r="Z508" s="180">
        <f>FME_Ranking1[[#This Row],[Closures Score (Normalized, Unweighted)]]*$X$3</f>
        <v>0</v>
      </c>
      <c r="AA508" s="253">
        <f>_xlfn.XLOOKUP(FME_Ranking1[[#This Row],[FME ID]],FME_Input[FME_ID],FME_Input[ROAD_MILES100])</f>
        <v>34.717891693115227</v>
      </c>
      <c r="AB508" s="178">
        <f>(FME_Ranking1[[#This Row],[Miles Raw]]/$AA$2)*100</f>
        <v>0.45647800630240776</v>
      </c>
      <c r="AC508" s="178">
        <f>FME_Ranking1[[#This Row],[Miles Score (Normalized, Unweighted)]]*$AA$3</f>
        <v>4.5647800630240778E-2</v>
      </c>
      <c r="AD508" s="255">
        <f>_xlfn.XLOOKUP(FME_Ranking1[[#This Row],[FME ID]],FME_Input[FME_ID],FME_Input[FARMACRE100])</f>
        <v>873.98358154296875</v>
      </c>
      <c r="AE508" s="230">
        <f>(FME_Ranking1[[#This Row],[Ag Land Raw]]/$AD$2)*100</f>
        <v>3.6039170512104736E-2</v>
      </c>
      <c r="AF508" s="231">
        <f>FME_Ranking1[[#This Row],[Ag Land Score (Normalized, Unweighted)]]*$AD$3</f>
        <v>1.8019585256052368E-3</v>
      </c>
      <c r="AG50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0.36336012273359947</v>
      </c>
      <c r="AH508" s="406">
        <f t="shared" si="7"/>
        <v>562</v>
      </c>
      <c r="AI50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0.36336012273359947</v>
      </c>
      <c r="AJ508" s="257">
        <f>FME_Ranking1[[#This Row],[Addition check]]-FME_Ranking1[[#This Row],[Weighted Score Based on Normalized Reported Factors]]</f>
        <v>0</v>
      </c>
      <c r="AK508" s="178">
        <f>_xlfn.RANK.EQ(AI508,$AI$6:$AI$2341,0)+COUNTIF($AI$6:AI508,AI508)-1</f>
        <v>563</v>
      </c>
    </row>
    <row r="509" spans="1:37" ht="12" customHeight="1" x14ac:dyDescent="0.25">
      <c r="A509" t="s">
        <v>8222</v>
      </c>
      <c r="B509">
        <f>_xlfn.XLOOKUP(FME_Ranking1[[#This Row],[FME ID]],FME_Input[FME_ID],FME_Input[RFPG_NUM])</f>
        <v>9</v>
      </c>
      <c r="C509" t="str">
        <f>_xlfn.XLOOKUP(FME_Ranking1[[#This Row],[FME ID]],FME_Input[FME_ID],FME_Input[FME_NAME])</f>
        <v>Runnels County FEMA Mapping</v>
      </c>
      <c r="D509" t="str">
        <f>_xlfn.XLOOKUP(FME_Ranking1[[#This Row],[FME ID]],FME_Input[FME_ID],FME_Input[DESCR])</f>
        <v>Create FEMA Mapping in previously unmapped areas</v>
      </c>
      <c r="E509" s="256">
        <f>_xlfn.XLOOKUP(FME_Ranking1[[#This Row],[FME ID]],FME_Input[FME_ID],FME_Input[FME_COST])</f>
        <v>1047000</v>
      </c>
      <c r="F509" t="str">
        <f>_xlfn.XLOOKUP(FME_Ranking1[[#This Row],[FME ID]],FME_Input[FME_ID],FME_Input[EMER_NEED])</f>
        <v>No</v>
      </c>
      <c r="G509">
        <f>IF(FME_Ranking!F509="Yes",100,0)</f>
        <v>0</v>
      </c>
      <c r="H509">
        <f>FME_Ranking1[[#This Row],[Emergency Need Score (Normalized, Unweighted)]]*$F$3</f>
        <v>0</v>
      </c>
      <c r="I509" s="246">
        <f>_xlfn.XLOOKUP(FME_Ranking1[[#This Row],[FME ID]],FME_Input[FME_ID],FME_Input[STRUCT_100])</f>
        <v>164</v>
      </c>
      <c r="J509" s="178">
        <f>(FME_Ranking1[[#This Row],[Structures 100 Raw]]/I$2)*100</f>
        <v>8.7820759970869203E-2</v>
      </c>
      <c r="K509" s="178">
        <f>FME_Ranking1[[#This Row],[Structures 100  Score (Normalized, Unweighted)]]*$I$3</f>
        <v>1.317311399563038E-2</v>
      </c>
      <c r="L509" s="246">
        <f>_xlfn.XLOOKUP(FME_Ranking1[[#This Row],[FME ID]],FME_Input[FME_ID],FME_Input[RES_STRUCT100])</f>
        <v>41</v>
      </c>
      <c r="M509" s="230">
        <f>(FME_Ranking1[[#This Row],[Res Structures Raw]]/L$2)*100</f>
        <v>2.904052924593787E-2</v>
      </c>
      <c r="N509" s="180">
        <f>FME_Ranking1[[#This Row],[Res Structures Score (Normalized, Unweighted)]]*$L$3</f>
        <v>2.9040529245937872E-3</v>
      </c>
      <c r="O509" s="244">
        <f>_xlfn.XLOOKUP(FME_Ranking1[[#This Row],[FME ID]],FME_Input[FME_ID],FME_Input[POP100])</f>
        <v>179</v>
      </c>
      <c r="P509" s="178">
        <f>(FME_Ranking1[[#This Row],[Pop Raw]]/$O$2)*100</f>
        <v>1.8325180845988626E-2</v>
      </c>
      <c r="Q509" s="178">
        <f>FME_Ranking1[[#This Row],[Pop Score (Normalized, Unweighted)]]*$O$3</f>
        <v>2.7487771268982939E-3</v>
      </c>
      <c r="R509" s="137">
        <f>_xlfn.XLOOKUP(FME_Ranking1[[#This Row],[FME ID]],FME_Input[FME_ID],FME_Input[CRITFAC100])</f>
        <v>1</v>
      </c>
      <c r="S509" s="230">
        <f>(FME_Ranking1[[#This Row],[Critical Facilities Raw]]/$R$2)*100</f>
        <v>4.2881646655231559E-2</v>
      </c>
      <c r="T509" s="180">
        <f>FME_Ranking1[[#This Row],[Critical Facilities Score (Normalized, Unweighted)]]*$R$3</f>
        <v>8.5763293310463125E-3</v>
      </c>
      <c r="U509">
        <f>_xlfn.XLOOKUP(FME_Ranking1[[#This Row],[FME ID]],FME_Input[FME_ID],FME_Input[LWC])</f>
        <v>18</v>
      </c>
      <c r="V509" s="178">
        <f>(FME_Ranking1[[#This Row],[LWC Raw]]/$U$2)*100</f>
        <v>1.0362694300518136</v>
      </c>
      <c r="W509" s="178">
        <f>FME_Ranking1[[#This Row],[LWC Score (Normalized, Unweighted)]]*$U$3</f>
        <v>0.20725388601036274</v>
      </c>
      <c r="X509" s="246">
        <f>_xlfn.XLOOKUP(FME_Ranking1[[#This Row],[FME ID]],FME_Input[FME_ID],FME_Input[ROADCLS])</f>
        <v>0</v>
      </c>
      <c r="Y509" s="230">
        <f>(FME_Ranking1[[#This Row],[Closures Raw]]/$X$2)*100</f>
        <v>0</v>
      </c>
      <c r="Z509" s="180">
        <f>FME_Ranking1[[#This Row],[Closures Score (Normalized, Unweighted)]]*$X$3</f>
        <v>0</v>
      </c>
      <c r="AA509" s="253">
        <f>_xlfn.XLOOKUP(FME_Ranking1[[#This Row],[FME ID]],FME_Input[FME_ID],FME_Input[ROAD_MILES100])</f>
        <v>124.6897811889648</v>
      </c>
      <c r="AB509" s="178">
        <f>(FME_Ranking1[[#This Row],[Miles Raw]]/$AA$2)*100</f>
        <v>1.6394469810132317</v>
      </c>
      <c r="AC509" s="178">
        <f>FME_Ranking1[[#This Row],[Miles Score (Normalized, Unweighted)]]*$AA$3</f>
        <v>0.16394469810132317</v>
      </c>
      <c r="AD509" s="255">
        <f>_xlfn.XLOOKUP(FME_Ranking1[[#This Row],[FME ID]],FME_Input[FME_ID],FME_Input[FARMACRE100])</f>
        <v>39553.1328125</v>
      </c>
      <c r="AE509" s="230">
        <f>(FME_Ranking1[[#This Row],[Ag Land Raw]]/$AD$2)*100</f>
        <v>1.6309941374425356</v>
      </c>
      <c r="AF509" s="231">
        <f>FME_Ranking1[[#This Row],[Ag Land Score (Normalized, Unweighted)]]*$AD$3</f>
        <v>8.1549706872126787E-2</v>
      </c>
      <c r="AG50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0.48015056436198145</v>
      </c>
      <c r="AH509" s="406">
        <f t="shared" si="7"/>
        <v>447</v>
      </c>
      <c r="AI50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0.48015056436198145</v>
      </c>
      <c r="AJ509" s="257">
        <f>FME_Ranking1[[#This Row],[Addition check]]-FME_Ranking1[[#This Row],[Weighted Score Based on Normalized Reported Factors]]</f>
        <v>0</v>
      </c>
      <c r="AK509" s="178">
        <f>_xlfn.RANK.EQ(AI509,$AI$6:$AI$2341,0)+COUNTIF($AI$6:AI509,AI509)-1</f>
        <v>447</v>
      </c>
    </row>
    <row r="510" spans="1:37" ht="12" customHeight="1" x14ac:dyDescent="0.25">
      <c r="A510" t="s">
        <v>8298</v>
      </c>
      <c r="B510">
        <f>_xlfn.XLOOKUP(FME_Ranking1[[#This Row],[FME ID]],FME_Input[FME_ID],FME_Input[RFPG_NUM])</f>
        <v>9</v>
      </c>
      <c r="C510" t="str">
        <f>_xlfn.XLOOKUP(FME_Ranking1[[#This Row],[FME ID]],FME_Input[FME_ID],FME_Input[FME_NAME])</f>
        <v>Runnels County DMP</v>
      </c>
      <c r="D510" t="str">
        <f>_xlfn.XLOOKUP(FME_Ranking1[[#This Row],[FME ID]],FME_Input[FME_ID],FME_Input[DESCR])</f>
        <v xml:space="preserve">Create Drainage Master Plan, including evaluation of potential mitigation projects. </v>
      </c>
      <c r="E510" s="256">
        <f>_xlfn.XLOOKUP(FME_Ranking1[[#This Row],[FME ID]],FME_Input[FME_ID],FME_Input[FME_COST])</f>
        <v>500000</v>
      </c>
      <c r="F510" t="str">
        <f>_xlfn.XLOOKUP(FME_Ranking1[[#This Row],[FME ID]],FME_Input[FME_ID],FME_Input[EMER_NEED])</f>
        <v>No</v>
      </c>
      <c r="G510">
        <f>IF(FME_Ranking!F510="Yes",100,0)</f>
        <v>0</v>
      </c>
      <c r="H510">
        <f>FME_Ranking1[[#This Row],[Emergency Need Score (Normalized, Unweighted)]]*$F$3</f>
        <v>0</v>
      </c>
      <c r="I510" s="246">
        <f>_xlfn.XLOOKUP(FME_Ranking1[[#This Row],[FME ID]],FME_Input[FME_ID],FME_Input[STRUCT_100])</f>
        <v>164</v>
      </c>
      <c r="J510" s="178">
        <f>(FME_Ranking1[[#This Row],[Structures 100 Raw]]/I$2)*100</f>
        <v>8.7820759970869203E-2</v>
      </c>
      <c r="K510" s="178">
        <f>FME_Ranking1[[#This Row],[Structures 100  Score (Normalized, Unweighted)]]*$I$3</f>
        <v>1.317311399563038E-2</v>
      </c>
      <c r="L510" s="246">
        <f>_xlfn.XLOOKUP(FME_Ranking1[[#This Row],[FME ID]],FME_Input[FME_ID],FME_Input[RES_STRUCT100])</f>
        <v>41</v>
      </c>
      <c r="M510" s="230">
        <f>(FME_Ranking1[[#This Row],[Res Structures Raw]]/L$2)*100</f>
        <v>2.904052924593787E-2</v>
      </c>
      <c r="N510" s="180">
        <f>FME_Ranking1[[#This Row],[Res Structures Score (Normalized, Unweighted)]]*$L$3</f>
        <v>2.9040529245937872E-3</v>
      </c>
      <c r="O510" s="244">
        <f>_xlfn.XLOOKUP(FME_Ranking1[[#This Row],[FME ID]],FME_Input[FME_ID],FME_Input[POP100])</f>
        <v>179</v>
      </c>
      <c r="P510" s="178">
        <f>(FME_Ranking1[[#This Row],[Pop Raw]]/$O$2)*100</f>
        <v>1.8325180845988626E-2</v>
      </c>
      <c r="Q510" s="178">
        <f>FME_Ranking1[[#This Row],[Pop Score (Normalized, Unweighted)]]*$O$3</f>
        <v>2.7487771268982939E-3</v>
      </c>
      <c r="R510" s="137">
        <f>_xlfn.XLOOKUP(FME_Ranking1[[#This Row],[FME ID]],FME_Input[FME_ID],FME_Input[CRITFAC100])</f>
        <v>1</v>
      </c>
      <c r="S510" s="230">
        <f>(FME_Ranking1[[#This Row],[Critical Facilities Raw]]/$R$2)*100</f>
        <v>4.2881646655231559E-2</v>
      </c>
      <c r="T510" s="180">
        <f>FME_Ranking1[[#This Row],[Critical Facilities Score (Normalized, Unweighted)]]*$R$3</f>
        <v>8.5763293310463125E-3</v>
      </c>
      <c r="U510">
        <f>_xlfn.XLOOKUP(FME_Ranking1[[#This Row],[FME ID]],FME_Input[FME_ID],FME_Input[LWC])</f>
        <v>18</v>
      </c>
      <c r="V510" s="178">
        <f>(FME_Ranking1[[#This Row],[LWC Raw]]/$U$2)*100</f>
        <v>1.0362694300518136</v>
      </c>
      <c r="W510" s="178">
        <f>FME_Ranking1[[#This Row],[LWC Score (Normalized, Unweighted)]]*$U$3</f>
        <v>0.20725388601036274</v>
      </c>
      <c r="X510" s="246">
        <f>_xlfn.XLOOKUP(FME_Ranking1[[#This Row],[FME ID]],FME_Input[FME_ID],FME_Input[ROADCLS])</f>
        <v>0</v>
      </c>
      <c r="Y510" s="230">
        <f>(FME_Ranking1[[#This Row],[Closures Raw]]/$X$2)*100</f>
        <v>0</v>
      </c>
      <c r="Z510" s="180">
        <f>FME_Ranking1[[#This Row],[Closures Score (Normalized, Unweighted)]]*$X$3</f>
        <v>0</v>
      </c>
      <c r="AA510" s="253">
        <f>_xlfn.XLOOKUP(FME_Ranking1[[#This Row],[FME ID]],FME_Input[FME_ID],FME_Input[ROAD_MILES100])</f>
        <v>124.6897811889648</v>
      </c>
      <c r="AB510" s="178">
        <f>(FME_Ranking1[[#This Row],[Miles Raw]]/$AA$2)*100</f>
        <v>1.6394469810132317</v>
      </c>
      <c r="AC510" s="178">
        <f>FME_Ranking1[[#This Row],[Miles Score (Normalized, Unweighted)]]*$AA$3</f>
        <v>0.16394469810132317</v>
      </c>
      <c r="AD510" s="255">
        <f>_xlfn.XLOOKUP(FME_Ranking1[[#This Row],[FME ID]],FME_Input[FME_ID],FME_Input[FARMACRE100])</f>
        <v>39553.1328125</v>
      </c>
      <c r="AE510" s="230">
        <f>(FME_Ranking1[[#This Row],[Ag Land Raw]]/$AD$2)*100</f>
        <v>1.6309941374425356</v>
      </c>
      <c r="AF510" s="231">
        <f>FME_Ranking1[[#This Row],[Ag Land Score (Normalized, Unweighted)]]*$AD$3</f>
        <v>8.1549706872126787E-2</v>
      </c>
      <c r="AG51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0.48015056436198145</v>
      </c>
      <c r="AH510" s="406">
        <f t="shared" si="7"/>
        <v>447</v>
      </c>
      <c r="AI51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0.48015056436198145</v>
      </c>
      <c r="AJ510" s="257">
        <f>FME_Ranking1[[#This Row],[Addition check]]-FME_Ranking1[[#This Row],[Weighted Score Based on Normalized Reported Factors]]</f>
        <v>0</v>
      </c>
      <c r="AK510" s="178">
        <f>_xlfn.RANK.EQ(AI510,$AI$6:$AI$2341,0)+COUNTIF($AI$6:AI510,AI510)-1</f>
        <v>448</v>
      </c>
    </row>
    <row r="511" spans="1:37" ht="12" customHeight="1" x14ac:dyDescent="0.25">
      <c r="A511" t="s">
        <v>8300</v>
      </c>
      <c r="B511">
        <f>_xlfn.XLOOKUP(FME_Ranking1[[#This Row],[FME ID]],FME_Input[FME_ID],FME_Input[RFPG_NUM])</f>
        <v>9</v>
      </c>
      <c r="C511" t="str">
        <f>_xlfn.XLOOKUP(FME_Ranking1[[#This Row],[FME ID]],FME_Input[FME_ID],FME_Input[FME_NAME])</f>
        <v>Runnels County GIS Development</v>
      </c>
      <c r="D511" t="str">
        <f>_xlfn.XLOOKUP(FME_Ranking1[[#This Row],[FME ID]],FME_Input[FME_ID],FME_Input[DESCR])</f>
        <v>Develop a GIS inventory of stormwater infrastructure</v>
      </c>
      <c r="E511" s="256">
        <f>_xlfn.XLOOKUP(FME_Ranking1[[#This Row],[FME ID]],FME_Input[FME_ID],FME_Input[FME_COST])</f>
        <v>100000</v>
      </c>
      <c r="F511" t="str">
        <f>_xlfn.XLOOKUP(FME_Ranking1[[#This Row],[FME ID]],FME_Input[FME_ID],FME_Input[EMER_NEED])</f>
        <v>No</v>
      </c>
      <c r="G511">
        <f>IF(FME_Ranking!F511="Yes",100,0)</f>
        <v>0</v>
      </c>
      <c r="H511">
        <f>FME_Ranking1[[#This Row],[Emergency Need Score (Normalized, Unweighted)]]*$F$3</f>
        <v>0</v>
      </c>
      <c r="I511" s="246">
        <f>_xlfn.XLOOKUP(FME_Ranking1[[#This Row],[FME ID]],FME_Input[FME_ID],FME_Input[STRUCT_100])</f>
        <v>164</v>
      </c>
      <c r="J511" s="178">
        <f>(FME_Ranking1[[#This Row],[Structures 100 Raw]]/I$2)*100</f>
        <v>8.7820759970869203E-2</v>
      </c>
      <c r="K511" s="178">
        <f>FME_Ranking1[[#This Row],[Structures 100  Score (Normalized, Unweighted)]]*$I$3</f>
        <v>1.317311399563038E-2</v>
      </c>
      <c r="L511" s="246">
        <f>_xlfn.XLOOKUP(FME_Ranking1[[#This Row],[FME ID]],FME_Input[FME_ID],FME_Input[RES_STRUCT100])</f>
        <v>41</v>
      </c>
      <c r="M511" s="230">
        <f>(FME_Ranking1[[#This Row],[Res Structures Raw]]/L$2)*100</f>
        <v>2.904052924593787E-2</v>
      </c>
      <c r="N511" s="180">
        <f>FME_Ranking1[[#This Row],[Res Structures Score (Normalized, Unweighted)]]*$L$3</f>
        <v>2.9040529245937872E-3</v>
      </c>
      <c r="O511" s="244">
        <f>_xlfn.XLOOKUP(FME_Ranking1[[#This Row],[FME ID]],FME_Input[FME_ID],FME_Input[POP100])</f>
        <v>179</v>
      </c>
      <c r="P511" s="178">
        <f>(FME_Ranking1[[#This Row],[Pop Raw]]/$O$2)*100</f>
        <v>1.8325180845988626E-2</v>
      </c>
      <c r="Q511" s="178">
        <f>FME_Ranking1[[#This Row],[Pop Score (Normalized, Unweighted)]]*$O$3</f>
        <v>2.7487771268982939E-3</v>
      </c>
      <c r="R511" s="137">
        <f>_xlfn.XLOOKUP(FME_Ranking1[[#This Row],[FME ID]],FME_Input[FME_ID],FME_Input[CRITFAC100])</f>
        <v>1</v>
      </c>
      <c r="S511" s="230">
        <f>(FME_Ranking1[[#This Row],[Critical Facilities Raw]]/$R$2)*100</f>
        <v>4.2881646655231559E-2</v>
      </c>
      <c r="T511" s="180">
        <f>FME_Ranking1[[#This Row],[Critical Facilities Score (Normalized, Unweighted)]]*$R$3</f>
        <v>8.5763293310463125E-3</v>
      </c>
      <c r="U511">
        <f>_xlfn.XLOOKUP(FME_Ranking1[[#This Row],[FME ID]],FME_Input[FME_ID],FME_Input[LWC])</f>
        <v>18</v>
      </c>
      <c r="V511" s="178">
        <f>(FME_Ranking1[[#This Row],[LWC Raw]]/$U$2)*100</f>
        <v>1.0362694300518136</v>
      </c>
      <c r="W511" s="178">
        <f>FME_Ranking1[[#This Row],[LWC Score (Normalized, Unweighted)]]*$U$3</f>
        <v>0.20725388601036274</v>
      </c>
      <c r="X511" s="246">
        <f>_xlfn.XLOOKUP(FME_Ranking1[[#This Row],[FME ID]],FME_Input[FME_ID],FME_Input[ROADCLS])</f>
        <v>0</v>
      </c>
      <c r="Y511" s="230">
        <f>(FME_Ranking1[[#This Row],[Closures Raw]]/$X$2)*100</f>
        <v>0</v>
      </c>
      <c r="Z511" s="180">
        <f>FME_Ranking1[[#This Row],[Closures Score (Normalized, Unweighted)]]*$X$3</f>
        <v>0</v>
      </c>
      <c r="AA511" s="253">
        <f>_xlfn.XLOOKUP(FME_Ranking1[[#This Row],[FME ID]],FME_Input[FME_ID],FME_Input[ROAD_MILES100])</f>
        <v>124.6897811889648</v>
      </c>
      <c r="AB511" s="178">
        <f>(FME_Ranking1[[#This Row],[Miles Raw]]/$AA$2)*100</f>
        <v>1.6394469810132317</v>
      </c>
      <c r="AC511" s="178">
        <f>FME_Ranking1[[#This Row],[Miles Score (Normalized, Unweighted)]]*$AA$3</f>
        <v>0.16394469810132317</v>
      </c>
      <c r="AD511" s="255">
        <f>_xlfn.XLOOKUP(FME_Ranking1[[#This Row],[FME ID]],FME_Input[FME_ID],FME_Input[FARMACRE100])</f>
        <v>39553.1328125</v>
      </c>
      <c r="AE511" s="230">
        <f>(FME_Ranking1[[#This Row],[Ag Land Raw]]/$AD$2)*100</f>
        <v>1.6309941374425356</v>
      </c>
      <c r="AF511" s="231">
        <f>FME_Ranking1[[#This Row],[Ag Land Score (Normalized, Unweighted)]]*$AD$3</f>
        <v>8.1549706872126787E-2</v>
      </c>
      <c r="AG51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0.48015056436198145</v>
      </c>
      <c r="AH511" s="406">
        <f t="shared" si="7"/>
        <v>447</v>
      </c>
      <c r="AI51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0.48015056436198145</v>
      </c>
      <c r="AJ511" s="257">
        <f>FME_Ranking1[[#This Row],[Addition check]]-FME_Ranking1[[#This Row],[Weighted Score Based on Normalized Reported Factors]]</f>
        <v>0</v>
      </c>
      <c r="AK511" s="178">
        <f>_xlfn.RANK.EQ(AI511,$AI$6:$AI$2341,0)+COUNTIF($AI$6:AI511,AI511)-1</f>
        <v>449</v>
      </c>
    </row>
    <row r="512" spans="1:37" ht="12" customHeight="1" x14ac:dyDescent="0.25">
      <c r="A512" t="s">
        <v>2923</v>
      </c>
      <c r="B512">
        <f>_xlfn.XLOOKUP(FME_Ranking1[[#This Row],[FME ID]],FME_Input[FME_ID],FME_Input[RFPG_NUM])</f>
        <v>1</v>
      </c>
      <c r="C512" t="str">
        <f>_xlfn.XLOOKUP(FME_Ranking1[[#This Row],[FME ID]],FME_Input[FME_ID],FME_Input[FME_NAME])</f>
        <v>Donley County FIS</v>
      </c>
      <c r="D512" t="str">
        <f>_xlfn.XLOOKUP(FME_Ranking1[[#This Row],[FME ID]],FME_Input[FME_ID],FME_Input[DESCR])</f>
        <v>Perform flood insurance study for the county and develop regulatory mapping</v>
      </c>
      <c r="E512" s="256">
        <f>_xlfn.XLOOKUP(FME_Ranking1[[#This Row],[FME ID]],FME_Input[FME_ID],FME_Input[FME_COST])</f>
        <v>957000</v>
      </c>
      <c r="F512" t="str">
        <f>_xlfn.XLOOKUP(FME_Ranking1[[#This Row],[FME ID]],FME_Input[FME_ID],FME_Input[EMER_NEED])</f>
        <v>No</v>
      </c>
      <c r="G512">
        <f>IF(FME_Ranking!F512="Yes",100,0)</f>
        <v>0</v>
      </c>
      <c r="H512">
        <f>FME_Ranking1[[#This Row],[Emergency Need Score (Normalized, Unweighted)]]*$F$3</f>
        <v>0</v>
      </c>
      <c r="I512" s="246">
        <f>_xlfn.XLOOKUP(FME_Ranking1[[#This Row],[FME ID]],FME_Input[FME_ID],FME_Input[STRUCT_100])</f>
        <v>219</v>
      </c>
      <c r="J512" s="178">
        <f>(FME_Ranking1[[#This Row],[Structures 100 Raw]]/I$2)*100</f>
        <v>0.11727284410744121</v>
      </c>
      <c r="K512" s="178">
        <f>FME_Ranking1[[#This Row],[Structures 100  Score (Normalized, Unweighted)]]*$I$3</f>
        <v>1.7590926616116182E-2</v>
      </c>
      <c r="L512" s="246">
        <f>_xlfn.XLOOKUP(FME_Ranking1[[#This Row],[FME ID]],FME_Input[FME_ID],FME_Input[RES_STRUCT100])</f>
        <v>18</v>
      </c>
      <c r="M512" s="230">
        <f>(FME_Ranking1[[#This Row],[Res Structures Raw]]/L$2)*100</f>
        <v>1.2749500644558088E-2</v>
      </c>
      <c r="N512" s="180">
        <f>FME_Ranking1[[#This Row],[Res Structures Score (Normalized, Unweighted)]]*$L$3</f>
        <v>1.2749500644558089E-3</v>
      </c>
      <c r="O512" s="244">
        <f>_xlfn.XLOOKUP(FME_Ranking1[[#This Row],[FME ID]],FME_Input[FME_ID],FME_Input[POP100])</f>
        <v>629</v>
      </c>
      <c r="P512" s="178">
        <f>(FME_Ranking1[[#This Row],[Pop Raw]]/$O$2)*100</f>
        <v>6.4394071240932105E-2</v>
      </c>
      <c r="Q512" s="178">
        <f>FME_Ranking1[[#This Row],[Pop Score (Normalized, Unweighted)]]*$O$3</f>
        <v>9.6591106861398154E-3</v>
      </c>
      <c r="R512" s="137">
        <f>_xlfn.XLOOKUP(FME_Ranking1[[#This Row],[FME ID]],FME_Input[FME_ID],FME_Input[CRITFAC100])</f>
        <v>2</v>
      </c>
      <c r="S512" s="230">
        <f>(FME_Ranking1[[#This Row],[Critical Facilities Raw]]/$R$2)*100</f>
        <v>8.5763293310463118E-2</v>
      </c>
      <c r="T512" s="180">
        <f>FME_Ranking1[[#This Row],[Critical Facilities Score (Normalized, Unweighted)]]*$R$3</f>
        <v>1.7152658662092625E-2</v>
      </c>
      <c r="U512">
        <f>_xlfn.XLOOKUP(FME_Ranking1[[#This Row],[FME ID]],FME_Input[FME_ID],FME_Input[LWC])</f>
        <v>9</v>
      </c>
      <c r="V512" s="178">
        <f>(FME_Ranking1[[#This Row],[LWC Raw]]/$U$2)*100</f>
        <v>0.5181347150259068</v>
      </c>
      <c r="W512" s="178">
        <f>FME_Ranking1[[#This Row],[LWC Score (Normalized, Unweighted)]]*$U$3</f>
        <v>0.10362694300518137</v>
      </c>
      <c r="X512" s="246">
        <f>_xlfn.XLOOKUP(FME_Ranking1[[#This Row],[FME ID]],FME_Input[FME_ID],FME_Input[ROADCLS])</f>
        <v>9</v>
      </c>
      <c r="Y512" s="230">
        <f>(FME_Ranking1[[#This Row],[Closures Raw]]/$X$2)*100</f>
        <v>9.462727368310378E-2</v>
      </c>
      <c r="Z512" s="180">
        <f>FME_Ranking1[[#This Row],[Closures Score (Normalized, Unweighted)]]*$X$3</f>
        <v>4.7313636841551897E-3</v>
      </c>
      <c r="AA512" s="253">
        <f>_xlfn.XLOOKUP(FME_Ranking1[[#This Row],[FME ID]],FME_Input[FME_ID],FME_Input[ROAD_MILES100])</f>
        <v>46.07318115234375</v>
      </c>
      <c r="AB512" s="178">
        <f>(FME_Ranking1[[#This Row],[Miles Raw]]/$AA$2)*100</f>
        <v>0.60577969602348292</v>
      </c>
      <c r="AC512" s="178">
        <f>FME_Ranking1[[#This Row],[Miles Score (Normalized, Unweighted)]]*$AA$3</f>
        <v>6.0577969602348292E-2</v>
      </c>
      <c r="AD512" s="255">
        <f>_xlfn.XLOOKUP(FME_Ranking1[[#This Row],[FME ID]],FME_Input[FME_ID],FME_Input[FARMACRE100])</f>
        <v>76552.171875</v>
      </c>
      <c r="AE512" s="230">
        <f>(FME_Ranking1[[#This Row],[Ag Land Raw]]/$AD$2)*100</f>
        <v>3.1566688820451669</v>
      </c>
      <c r="AF512" s="231">
        <f>FME_Ranking1[[#This Row],[Ag Land Score (Normalized, Unweighted)]]*$AD$3</f>
        <v>0.15783344410225836</v>
      </c>
      <c r="AG51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0.37244736642274767</v>
      </c>
      <c r="AH512" s="406">
        <f t="shared" si="7"/>
        <v>544</v>
      </c>
      <c r="AI51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0.37244736642274767</v>
      </c>
      <c r="AJ512" s="257">
        <f>FME_Ranking1[[#This Row],[Addition check]]-FME_Ranking1[[#This Row],[Weighted Score Based on Normalized Reported Factors]]</f>
        <v>0</v>
      </c>
      <c r="AK512" s="178">
        <f>_xlfn.RANK.EQ(AI512,$AI$6:$AI$2341,0)+COUNTIF($AI$6:AI512,AI512)-1</f>
        <v>544</v>
      </c>
    </row>
    <row r="513" spans="1:37" ht="12" customHeight="1" x14ac:dyDescent="0.25">
      <c r="A513" t="s">
        <v>5736</v>
      </c>
      <c r="B513">
        <f>_xlfn.XLOOKUP(FME_Ranking1[[#This Row],[FME ID]],FME_Input[FME_ID],FME_Input[RFPG_NUM])</f>
        <v>4</v>
      </c>
      <c r="C513" t="str">
        <f>_xlfn.XLOOKUP(FME_Ranking1[[#This Row],[FME ID]],FME_Input[FME_ID],FME_Input[FME_NAME])</f>
        <v>Harrison County Flood Hazard Mapping</v>
      </c>
      <c r="D513" t="str">
        <f>_xlfn.XLOOKUP(FME_Ranking1[[#This Row],[FME ID]],FME_Input[FME_ID],FME_Input[DESCR])</f>
        <v>Complete a detailed study within the county extent to delineate an updated flood hazard area, which can be used for regulatory purposes.</v>
      </c>
      <c r="E513" s="256">
        <f>_xlfn.XLOOKUP(FME_Ranking1[[#This Row],[FME ID]],FME_Input[FME_ID],FME_Input[FME_COST])</f>
        <v>1850000</v>
      </c>
      <c r="F513" t="str">
        <f>_xlfn.XLOOKUP(FME_Ranking1[[#This Row],[FME ID]],FME_Input[FME_ID],FME_Input[EMER_NEED])</f>
        <v>Yes</v>
      </c>
      <c r="G513">
        <f>IF(FME_Ranking!F513="Yes",100,0)</f>
        <v>100</v>
      </c>
      <c r="H513">
        <f>FME_Ranking1[[#This Row],[Emergency Need Score (Normalized, Unweighted)]]*$F$3</f>
        <v>0</v>
      </c>
      <c r="I513" s="246">
        <f>_xlfn.XLOOKUP(FME_Ranking1[[#This Row],[FME ID]],FME_Input[FME_ID],FME_Input[STRUCT_100])</f>
        <v>1086</v>
      </c>
      <c r="J513" s="178">
        <f>(FME_Ranking1[[#This Row],[Structures 100 Raw]]/I$2)*100</f>
        <v>0.58154478858758518</v>
      </c>
      <c r="K513" s="178">
        <f>FME_Ranking1[[#This Row],[Structures 100  Score (Normalized, Unweighted)]]*$I$3</f>
        <v>8.7231718288137777E-2</v>
      </c>
      <c r="L513" s="246">
        <f>_xlfn.XLOOKUP(FME_Ranking1[[#This Row],[FME ID]],FME_Input[FME_ID],FME_Input[RES_STRUCT100])</f>
        <v>782</v>
      </c>
      <c r="M513" s="230">
        <f>(FME_Ranking1[[#This Row],[Res Structures Raw]]/L$2)*100</f>
        <v>0.55389497244691244</v>
      </c>
      <c r="N513" s="180">
        <f>FME_Ranking1[[#This Row],[Res Structures Score (Normalized, Unweighted)]]*$L$3</f>
        <v>5.5389497244691249E-2</v>
      </c>
      <c r="O513" s="244">
        <f>_xlfn.XLOOKUP(FME_Ranking1[[#This Row],[FME ID]],FME_Input[FME_ID],FME_Input[POP100])</f>
        <v>6481</v>
      </c>
      <c r="P513" s="178">
        <f>(FME_Ranking1[[#This Row],[Pop Raw]]/$O$2)*100</f>
        <v>0.66349439699917478</v>
      </c>
      <c r="Q513" s="178">
        <f>FME_Ranking1[[#This Row],[Pop Score (Normalized, Unweighted)]]*$O$3</f>
        <v>9.9524159549876215E-2</v>
      </c>
      <c r="R513" s="137">
        <f>_xlfn.XLOOKUP(FME_Ranking1[[#This Row],[FME ID]],FME_Input[FME_ID],FME_Input[CRITFAC100])</f>
        <v>3</v>
      </c>
      <c r="S513" s="230">
        <f>(FME_Ranking1[[#This Row],[Critical Facilities Raw]]/$R$2)*100</f>
        <v>0.1286449399656947</v>
      </c>
      <c r="T513" s="180">
        <f>FME_Ranking1[[#This Row],[Critical Facilities Score (Normalized, Unweighted)]]*$R$3</f>
        <v>2.5728987993138941E-2</v>
      </c>
      <c r="U513">
        <f>_xlfn.XLOOKUP(FME_Ranking1[[#This Row],[FME ID]],FME_Input[FME_ID],FME_Input[LWC])</f>
        <v>2</v>
      </c>
      <c r="V513" s="178">
        <f>(FME_Ranking1[[#This Row],[LWC Raw]]/$U$2)*100</f>
        <v>0.11514104778353484</v>
      </c>
      <c r="W513" s="178">
        <f>FME_Ranking1[[#This Row],[LWC Score (Normalized, Unweighted)]]*$U$3</f>
        <v>2.302820955670697E-2</v>
      </c>
      <c r="X513" s="246">
        <f>_xlfn.XLOOKUP(FME_Ranking1[[#This Row],[FME ID]],FME_Input[FME_ID],FME_Input[ROADCLS])</f>
        <v>2</v>
      </c>
      <c r="Y513" s="230">
        <f>(FME_Ranking1[[#This Row],[Closures Raw]]/$X$2)*100</f>
        <v>2.1028283040689728E-2</v>
      </c>
      <c r="Z513" s="180">
        <f>FME_Ranking1[[#This Row],[Closures Score (Normalized, Unweighted)]]*$X$3</f>
        <v>1.0514141520344864E-3</v>
      </c>
      <c r="AA513" s="253">
        <f>_xlfn.XLOOKUP(FME_Ranking1[[#This Row],[FME ID]],FME_Input[FME_ID],FME_Input[ROAD_MILES100])</f>
        <v>81.927352905273438</v>
      </c>
      <c r="AB513" s="178">
        <f>(FME_Ranking1[[#This Row],[Miles Raw]]/$AA$2)*100</f>
        <v>1.0771977470984868</v>
      </c>
      <c r="AC513" s="178">
        <f>FME_Ranking1[[#This Row],[Miles Score (Normalized, Unweighted)]]*$AA$3</f>
        <v>0.10771977470984868</v>
      </c>
      <c r="AD513" s="255">
        <f>_xlfn.XLOOKUP(FME_Ranking1[[#This Row],[FME ID]],FME_Input[FME_ID],FME_Input[FARMACRE100])</f>
        <v>9144.01171875</v>
      </c>
      <c r="AE513" s="230">
        <f>(FME_Ranking1[[#This Row],[Ag Land Raw]]/$AD$2)*100</f>
        <v>0.37705811007905465</v>
      </c>
      <c r="AF513" s="231">
        <f>FME_Ranking1[[#This Row],[Ag Land Score (Normalized, Unweighted)]]*$AD$3</f>
        <v>1.8852905503952733E-2</v>
      </c>
      <c r="AG51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0.41852666699838703</v>
      </c>
      <c r="AH513" s="406">
        <f t="shared" si="7"/>
        <v>514</v>
      </c>
      <c r="AI51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0.41852666699838703</v>
      </c>
      <c r="AJ513" s="257">
        <f>FME_Ranking1[[#This Row],[Addition check]]-FME_Ranking1[[#This Row],[Weighted Score Based on Normalized Reported Factors]]</f>
        <v>0</v>
      </c>
      <c r="AK513" s="178">
        <f>_xlfn.RANK.EQ(AI513,$AI$6:$AI$2341,0)+COUNTIF($AI$6:AI513,AI513)-1</f>
        <v>514</v>
      </c>
    </row>
    <row r="514" spans="1:37" ht="12" customHeight="1" x14ac:dyDescent="0.25">
      <c r="A514" t="s">
        <v>6619</v>
      </c>
      <c r="B514">
        <f>_xlfn.XLOOKUP(FME_Ranking1[[#This Row],[FME ID]],FME_Input[FME_ID],FME_Input[RFPG_NUM])</f>
        <v>7</v>
      </c>
      <c r="C514" t="str">
        <f>_xlfn.XLOOKUP(FME_Ranking1[[#This Row],[FME ID]],FME_Input[FME_ID],FME_Input[FME_NAME])</f>
        <v>Nolan County Update FEMA Mapping</v>
      </c>
      <c r="D514" t="str">
        <f>_xlfn.XLOOKUP(FME_Ranking1[[#This Row],[FME ID]],FME_Input[FME_ID],FME_Input[DESCR])</f>
        <v>Update existing FEMA mapping</v>
      </c>
      <c r="E514" s="256">
        <f>_xlfn.XLOOKUP(FME_Ranking1[[#This Row],[FME ID]],FME_Input[FME_ID],FME_Input[FME_COST])</f>
        <v>920000</v>
      </c>
      <c r="F514" t="str">
        <f>_xlfn.XLOOKUP(FME_Ranking1[[#This Row],[FME ID]],FME_Input[FME_ID],FME_Input[EMER_NEED])</f>
        <v>No</v>
      </c>
      <c r="G514">
        <f>IF(FME_Ranking!F514="Yes",100,0)</f>
        <v>0</v>
      </c>
      <c r="H514">
        <f>FME_Ranking1[[#This Row],[Emergency Need Score (Normalized, Unweighted)]]*$F$3</f>
        <v>0</v>
      </c>
      <c r="I514" s="246">
        <f>_xlfn.XLOOKUP(FME_Ranking1[[#This Row],[FME ID]],FME_Input[FME_ID],FME_Input[STRUCT_100])</f>
        <v>264</v>
      </c>
      <c r="J514" s="178">
        <f>(FME_Ranking1[[#This Row],[Structures 100 Raw]]/I$2)*100</f>
        <v>0.14137000385554557</v>
      </c>
      <c r="K514" s="178">
        <f>FME_Ranking1[[#This Row],[Structures 100  Score (Normalized, Unweighted)]]*$I$3</f>
        <v>2.1205500578331836E-2</v>
      </c>
      <c r="L514" s="246">
        <f>_xlfn.XLOOKUP(FME_Ranking1[[#This Row],[FME ID]],FME_Input[FME_ID],FME_Input[RES_STRUCT100])</f>
        <v>172</v>
      </c>
      <c r="M514" s="230">
        <f>(FME_Ranking1[[#This Row],[Res Structures Raw]]/L$2)*100</f>
        <v>0.12182856171466619</v>
      </c>
      <c r="N514" s="180">
        <f>FME_Ranking1[[#This Row],[Res Structures Score (Normalized, Unweighted)]]*$L$3</f>
        <v>1.2182856171466619E-2</v>
      </c>
      <c r="O514" s="244">
        <f>_xlfn.XLOOKUP(FME_Ranking1[[#This Row],[FME ID]],FME_Input[FME_ID],FME_Input[POP100])</f>
        <v>412</v>
      </c>
      <c r="P514" s="178">
        <f>(FME_Ranking1[[#This Row],[Pop Raw]]/$O$2)*100</f>
        <v>4.2178628539370475E-2</v>
      </c>
      <c r="Q514" s="178">
        <f>FME_Ranking1[[#This Row],[Pop Score (Normalized, Unweighted)]]*$O$3</f>
        <v>6.3267942809055707E-3</v>
      </c>
      <c r="R514" s="137">
        <f>_xlfn.XLOOKUP(FME_Ranking1[[#This Row],[FME ID]],FME_Input[FME_ID],FME_Input[CRITFAC100])</f>
        <v>1</v>
      </c>
      <c r="S514" s="230">
        <f>(FME_Ranking1[[#This Row],[Critical Facilities Raw]]/$R$2)*100</f>
        <v>4.2881646655231559E-2</v>
      </c>
      <c r="T514" s="180">
        <f>FME_Ranking1[[#This Row],[Critical Facilities Score (Normalized, Unweighted)]]*$R$3</f>
        <v>8.5763293310463125E-3</v>
      </c>
      <c r="U514">
        <f>_xlfn.XLOOKUP(FME_Ranking1[[#This Row],[FME ID]],FME_Input[FME_ID],FME_Input[LWC])</f>
        <v>21</v>
      </c>
      <c r="V514" s="178">
        <f>(FME_Ranking1[[#This Row],[LWC Raw]]/$U$2)*100</f>
        <v>1.2089810017271159</v>
      </c>
      <c r="W514" s="178">
        <f>FME_Ranking1[[#This Row],[LWC Score (Normalized, Unweighted)]]*$U$3</f>
        <v>0.24179620034542318</v>
      </c>
      <c r="X514" s="246">
        <f>_xlfn.XLOOKUP(FME_Ranking1[[#This Row],[FME ID]],FME_Input[FME_ID],FME_Input[ROADCLS])</f>
        <v>0</v>
      </c>
      <c r="Y514" s="230">
        <f>(FME_Ranking1[[#This Row],[Closures Raw]]/$X$2)*100</f>
        <v>0</v>
      </c>
      <c r="Z514" s="180">
        <f>FME_Ranking1[[#This Row],[Closures Score (Normalized, Unweighted)]]*$X$3</f>
        <v>0</v>
      </c>
      <c r="AA514" s="253">
        <f>_xlfn.XLOOKUP(FME_Ranking1[[#This Row],[FME ID]],FME_Input[FME_ID],FME_Input[ROAD_MILES100])</f>
        <v>40.971420288085938</v>
      </c>
      <c r="AB514" s="178">
        <f>(FME_Ranking1[[#This Row],[Miles Raw]]/$AA$2)*100</f>
        <v>0.53870069109617968</v>
      </c>
      <c r="AC514" s="178">
        <f>FME_Ranking1[[#This Row],[Miles Score (Normalized, Unweighted)]]*$AA$3</f>
        <v>5.3870069109617974E-2</v>
      </c>
      <c r="AD514" s="255">
        <f>_xlfn.XLOOKUP(FME_Ranking1[[#This Row],[FME ID]],FME_Input[FME_ID],FME_Input[FARMACRE100])</f>
        <v>9929.294921875</v>
      </c>
      <c r="AE514" s="230">
        <f>(FME_Ranking1[[#This Row],[Ag Land Raw]]/$AD$2)*100</f>
        <v>0.40943967405277365</v>
      </c>
      <c r="AF514" s="231">
        <f>FME_Ranking1[[#This Row],[Ag Land Score (Normalized, Unweighted)]]*$AD$3</f>
        <v>2.0471983702638683E-2</v>
      </c>
      <c r="AG51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0.3644297335194302</v>
      </c>
      <c r="AH514" s="406">
        <f t="shared" si="7"/>
        <v>556</v>
      </c>
      <c r="AI51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0.3644297335194302</v>
      </c>
      <c r="AJ514" s="257">
        <f>FME_Ranking1[[#This Row],[Addition check]]-FME_Ranking1[[#This Row],[Weighted Score Based on Normalized Reported Factors]]</f>
        <v>0</v>
      </c>
      <c r="AK514" s="178">
        <f>_xlfn.RANK.EQ(AI514,$AI$6:$AI$2341,0)+COUNTIF($AI$6:AI514,AI514)-1</f>
        <v>556</v>
      </c>
    </row>
    <row r="515" spans="1:37" ht="12" customHeight="1" x14ac:dyDescent="0.25">
      <c r="A515" t="s">
        <v>6627</v>
      </c>
      <c r="B515">
        <f>_xlfn.XLOOKUP(FME_Ranking1[[#This Row],[FME ID]],FME_Input[FME_ID],FME_Input[RFPG_NUM])</f>
        <v>7</v>
      </c>
      <c r="C515" t="str">
        <f>_xlfn.XLOOKUP(FME_Ranking1[[#This Row],[FME ID]],FME_Input[FME_ID],FME_Input[FME_NAME])</f>
        <v>Nolan County DMP</v>
      </c>
      <c r="D515" t="str">
        <f>_xlfn.XLOOKUP(FME_Ranking1[[#This Row],[FME ID]],FME_Input[FME_ID],FME_Input[DESCR])</f>
        <v>Evaluate county to identify future projects, analyze roads/stream crossing for emergency response vehicles to high hazard areas</v>
      </c>
      <c r="E515" s="256">
        <f>_xlfn.XLOOKUP(FME_Ranking1[[#This Row],[FME ID]],FME_Input[FME_ID],FME_Input[FME_COST])</f>
        <v>500000</v>
      </c>
      <c r="F515" t="str">
        <f>_xlfn.XLOOKUP(FME_Ranking1[[#This Row],[FME ID]],FME_Input[FME_ID],FME_Input[EMER_NEED])</f>
        <v>No</v>
      </c>
      <c r="G515">
        <f>IF(FME_Ranking!F515="Yes",100,0)</f>
        <v>0</v>
      </c>
      <c r="H515">
        <f>FME_Ranking1[[#This Row],[Emergency Need Score (Normalized, Unweighted)]]*$F$3</f>
        <v>0</v>
      </c>
      <c r="I515" s="246">
        <f>_xlfn.XLOOKUP(FME_Ranking1[[#This Row],[FME ID]],FME_Input[FME_ID],FME_Input[STRUCT_100])</f>
        <v>264</v>
      </c>
      <c r="J515" s="178">
        <f>(FME_Ranking1[[#This Row],[Structures 100 Raw]]/I$2)*100</f>
        <v>0.14137000385554557</v>
      </c>
      <c r="K515" s="178">
        <f>FME_Ranking1[[#This Row],[Structures 100  Score (Normalized, Unweighted)]]*$I$3</f>
        <v>2.1205500578331836E-2</v>
      </c>
      <c r="L515" s="246">
        <f>_xlfn.XLOOKUP(FME_Ranking1[[#This Row],[FME ID]],FME_Input[FME_ID],FME_Input[RES_STRUCT100])</f>
        <v>172</v>
      </c>
      <c r="M515" s="230">
        <f>(FME_Ranking1[[#This Row],[Res Structures Raw]]/L$2)*100</f>
        <v>0.12182856171466619</v>
      </c>
      <c r="N515" s="180">
        <f>FME_Ranking1[[#This Row],[Res Structures Score (Normalized, Unweighted)]]*$L$3</f>
        <v>1.2182856171466619E-2</v>
      </c>
      <c r="O515" s="244">
        <f>_xlfn.XLOOKUP(FME_Ranking1[[#This Row],[FME ID]],FME_Input[FME_ID],FME_Input[POP100])</f>
        <v>412</v>
      </c>
      <c r="P515" s="178">
        <f>(FME_Ranking1[[#This Row],[Pop Raw]]/$O$2)*100</f>
        <v>4.2178628539370475E-2</v>
      </c>
      <c r="Q515" s="178">
        <f>FME_Ranking1[[#This Row],[Pop Score (Normalized, Unweighted)]]*$O$3</f>
        <v>6.3267942809055707E-3</v>
      </c>
      <c r="R515" s="137">
        <f>_xlfn.XLOOKUP(FME_Ranking1[[#This Row],[FME ID]],FME_Input[FME_ID],FME_Input[CRITFAC100])</f>
        <v>1</v>
      </c>
      <c r="S515" s="230">
        <f>(FME_Ranking1[[#This Row],[Critical Facilities Raw]]/$R$2)*100</f>
        <v>4.2881646655231559E-2</v>
      </c>
      <c r="T515" s="180">
        <f>FME_Ranking1[[#This Row],[Critical Facilities Score (Normalized, Unweighted)]]*$R$3</f>
        <v>8.5763293310463125E-3</v>
      </c>
      <c r="U515">
        <f>_xlfn.XLOOKUP(FME_Ranking1[[#This Row],[FME ID]],FME_Input[FME_ID],FME_Input[LWC])</f>
        <v>21</v>
      </c>
      <c r="V515" s="178">
        <f>(FME_Ranking1[[#This Row],[LWC Raw]]/$U$2)*100</f>
        <v>1.2089810017271159</v>
      </c>
      <c r="W515" s="178">
        <f>FME_Ranking1[[#This Row],[LWC Score (Normalized, Unweighted)]]*$U$3</f>
        <v>0.24179620034542318</v>
      </c>
      <c r="X515" s="246">
        <f>_xlfn.XLOOKUP(FME_Ranking1[[#This Row],[FME ID]],FME_Input[FME_ID],FME_Input[ROADCLS])</f>
        <v>0</v>
      </c>
      <c r="Y515" s="230">
        <f>(FME_Ranking1[[#This Row],[Closures Raw]]/$X$2)*100</f>
        <v>0</v>
      </c>
      <c r="Z515" s="180">
        <f>FME_Ranking1[[#This Row],[Closures Score (Normalized, Unweighted)]]*$X$3</f>
        <v>0</v>
      </c>
      <c r="AA515" s="253">
        <f>_xlfn.XLOOKUP(FME_Ranking1[[#This Row],[FME ID]],FME_Input[FME_ID],FME_Input[ROAD_MILES100])</f>
        <v>40.971420288085938</v>
      </c>
      <c r="AB515" s="178">
        <f>(FME_Ranking1[[#This Row],[Miles Raw]]/$AA$2)*100</f>
        <v>0.53870069109617968</v>
      </c>
      <c r="AC515" s="178">
        <f>FME_Ranking1[[#This Row],[Miles Score (Normalized, Unweighted)]]*$AA$3</f>
        <v>5.3870069109617974E-2</v>
      </c>
      <c r="AD515" s="255">
        <f>_xlfn.XLOOKUP(FME_Ranking1[[#This Row],[FME ID]],FME_Input[FME_ID],FME_Input[FARMACRE100])</f>
        <v>9929.294921875</v>
      </c>
      <c r="AE515" s="230">
        <f>(FME_Ranking1[[#This Row],[Ag Land Raw]]/$AD$2)*100</f>
        <v>0.40943967405277365</v>
      </c>
      <c r="AF515" s="231">
        <f>FME_Ranking1[[#This Row],[Ag Land Score (Normalized, Unweighted)]]*$AD$3</f>
        <v>2.0471983702638683E-2</v>
      </c>
      <c r="AG51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0.3644297335194302</v>
      </c>
      <c r="AH515" s="406">
        <f t="shared" si="7"/>
        <v>556</v>
      </c>
      <c r="AI51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0.3644297335194302</v>
      </c>
      <c r="AJ515" s="257">
        <f>FME_Ranking1[[#This Row],[Addition check]]-FME_Ranking1[[#This Row],[Weighted Score Based on Normalized Reported Factors]]</f>
        <v>0</v>
      </c>
      <c r="AK515" s="178">
        <f>_xlfn.RANK.EQ(AI515,$AI$6:$AI$2341,0)+COUNTIF($AI$6:AI515,AI515)-1</f>
        <v>557</v>
      </c>
    </row>
    <row r="516" spans="1:37" ht="12" customHeight="1" x14ac:dyDescent="0.25">
      <c r="A516" t="s">
        <v>6629</v>
      </c>
      <c r="B516">
        <f>_xlfn.XLOOKUP(FME_Ranking1[[#This Row],[FME ID]],FME_Input[FME_ID],FME_Input[RFPG_NUM])</f>
        <v>7</v>
      </c>
      <c r="C516" t="str">
        <f>_xlfn.XLOOKUP(FME_Ranking1[[#This Row],[FME ID]],FME_Input[FME_ID],FME_Input[FME_NAME])</f>
        <v>Nolan County GIS Development</v>
      </c>
      <c r="D516" t="str">
        <f>_xlfn.XLOOKUP(FME_Ranking1[[#This Row],[FME ID]],FME_Input[FME_ID],FME_Input[DESCR])</f>
        <v>Develop a GIS inventory of stormwater infrastructure</v>
      </c>
      <c r="E516" s="256">
        <f>_xlfn.XLOOKUP(FME_Ranking1[[#This Row],[FME ID]],FME_Input[FME_ID],FME_Input[FME_COST])</f>
        <v>100000</v>
      </c>
      <c r="F516" t="str">
        <f>_xlfn.XLOOKUP(FME_Ranking1[[#This Row],[FME ID]],FME_Input[FME_ID],FME_Input[EMER_NEED])</f>
        <v>No</v>
      </c>
      <c r="G516">
        <f>IF(FME_Ranking!F516="Yes",100,0)</f>
        <v>0</v>
      </c>
      <c r="H516">
        <f>FME_Ranking1[[#This Row],[Emergency Need Score (Normalized, Unweighted)]]*$F$3</f>
        <v>0</v>
      </c>
      <c r="I516" s="246">
        <f>_xlfn.XLOOKUP(FME_Ranking1[[#This Row],[FME ID]],FME_Input[FME_ID],FME_Input[STRUCT_100])</f>
        <v>264</v>
      </c>
      <c r="J516" s="178">
        <f>(FME_Ranking1[[#This Row],[Structures 100 Raw]]/I$2)*100</f>
        <v>0.14137000385554557</v>
      </c>
      <c r="K516" s="178">
        <f>FME_Ranking1[[#This Row],[Structures 100  Score (Normalized, Unweighted)]]*$I$3</f>
        <v>2.1205500578331836E-2</v>
      </c>
      <c r="L516" s="246">
        <f>_xlfn.XLOOKUP(FME_Ranking1[[#This Row],[FME ID]],FME_Input[FME_ID],FME_Input[RES_STRUCT100])</f>
        <v>172</v>
      </c>
      <c r="M516" s="230">
        <f>(FME_Ranking1[[#This Row],[Res Structures Raw]]/L$2)*100</f>
        <v>0.12182856171466619</v>
      </c>
      <c r="N516" s="180">
        <f>FME_Ranking1[[#This Row],[Res Structures Score (Normalized, Unweighted)]]*$L$3</f>
        <v>1.2182856171466619E-2</v>
      </c>
      <c r="O516" s="244">
        <f>_xlfn.XLOOKUP(FME_Ranking1[[#This Row],[FME ID]],FME_Input[FME_ID],FME_Input[POP100])</f>
        <v>412</v>
      </c>
      <c r="P516" s="178">
        <f>(FME_Ranking1[[#This Row],[Pop Raw]]/$O$2)*100</f>
        <v>4.2178628539370475E-2</v>
      </c>
      <c r="Q516" s="178">
        <f>FME_Ranking1[[#This Row],[Pop Score (Normalized, Unweighted)]]*$O$3</f>
        <v>6.3267942809055707E-3</v>
      </c>
      <c r="R516" s="137">
        <f>_xlfn.XLOOKUP(FME_Ranking1[[#This Row],[FME ID]],FME_Input[FME_ID],FME_Input[CRITFAC100])</f>
        <v>1</v>
      </c>
      <c r="S516" s="230">
        <f>(FME_Ranking1[[#This Row],[Critical Facilities Raw]]/$R$2)*100</f>
        <v>4.2881646655231559E-2</v>
      </c>
      <c r="T516" s="180">
        <f>FME_Ranking1[[#This Row],[Critical Facilities Score (Normalized, Unweighted)]]*$R$3</f>
        <v>8.5763293310463125E-3</v>
      </c>
      <c r="U516">
        <f>_xlfn.XLOOKUP(FME_Ranking1[[#This Row],[FME ID]],FME_Input[FME_ID],FME_Input[LWC])</f>
        <v>21</v>
      </c>
      <c r="V516" s="178">
        <f>(FME_Ranking1[[#This Row],[LWC Raw]]/$U$2)*100</f>
        <v>1.2089810017271159</v>
      </c>
      <c r="W516" s="178">
        <f>FME_Ranking1[[#This Row],[LWC Score (Normalized, Unweighted)]]*$U$3</f>
        <v>0.24179620034542318</v>
      </c>
      <c r="X516" s="246">
        <f>_xlfn.XLOOKUP(FME_Ranking1[[#This Row],[FME ID]],FME_Input[FME_ID],FME_Input[ROADCLS])</f>
        <v>0</v>
      </c>
      <c r="Y516" s="230">
        <f>(FME_Ranking1[[#This Row],[Closures Raw]]/$X$2)*100</f>
        <v>0</v>
      </c>
      <c r="Z516" s="180">
        <f>FME_Ranking1[[#This Row],[Closures Score (Normalized, Unweighted)]]*$X$3</f>
        <v>0</v>
      </c>
      <c r="AA516" s="253">
        <f>_xlfn.XLOOKUP(FME_Ranking1[[#This Row],[FME ID]],FME_Input[FME_ID],FME_Input[ROAD_MILES100])</f>
        <v>40.971420288085938</v>
      </c>
      <c r="AB516" s="178">
        <f>(FME_Ranking1[[#This Row],[Miles Raw]]/$AA$2)*100</f>
        <v>0.53870069109617968</v>
      </c>
      <c r="AC516" s="178">
        <f>FME_Ranking1[[#This Row],[Miles Score (Normalized, Unweighted)]]*$AA$3</f>
        <v>5.3870069109617974E-2</v>
      </c>
      <c r="AD516" s="255">
        <f>_xlfn.XLOOKUP(FME_Ranking1[[#This Row],[FME ID]],FME_Input[FME_ID],FME_Input[FARMACRE100])</f>
        <v>9929.294921875</v>
      </c>
      <c r="AE516" s="230">
        <f>(FME_Ranking1[[#This Row],[Ag Land Raw]]/$AD$2)*100</f>
        <v>0.40943967405277365</v>
      </c>
      <c r="AF516" s="231">
        <f>FME_Ranking1[[#This Row],[Ag Land Score (Normalized, Unweighted)]]*$AD$3</f>
        <v>2.0471983702638683E-2</v>
      </c>
      <c r="AG51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0.3644297335194302</v>
      </c>
      <c r="AH516" s="406">
        <f t="shared" si="7"/>
        <v>556</v>
      </c>
      <c r="AI51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0.3644297335194302</v>
      </c>
      <c r="AJ516" s="257">
        <f>FME_Ranking1[[#This Row],[Addition check]]-FME_Ranking1[[#This Row],[Weighted Score Based on Normalized Reported Factors]]</f>
        <v>0</v>
      </c>
      <c r="AK516" s="178">
        <f>_xlfn.RANK.EQ(AI516,$AI$6:$AI$2341,0)+COUNTIF($AI$6:AI516,AI516)-1</f>
        <v>558</v>
      </c>
    </row>
    <row r="517" spans="1:37" ht="12" customHeight="1" x14ac:dyDescent="0.25">
      <c r="A517" t="s">
        <v>7214</v>
      </c>
      <c r="B517">
        <f>_xlfn.XLOOKUP(FME_Ranking1[[#This Row],[FME ID]],FME_Input[FME_ID],FME_Input[RFPG_NUM])</f>
        <v>7</v>
      </c>
      <c r="C517" t="str">
        <f>_xlfn.XLOOKUP(FME_Ranking1[[#This Row],[FME ID]],FME_Input[FME_ID],FME_Input[FME_NAME])</f>
        <v>Nolan County Buyout Program</v>
      </c>
      <c r="D517" t="str">
        <f>_xlfn.XLOOKUP(FME_Ranking1[[#This Row],[FME ID]],FME_Input[FME_ID],FME_Input[DESCR])</f>
        <v>Acquire and demolish repetitive loss properties.</v>
      </c>
      <c r="E517" s="256">
        <f>_xlfn.XLOOKUP(FME_Ranking1[[#This Row],[FME ID]],FME_Input[FME_ID],FME_Input[FME_COST])</f>
        <v>1000000</v>
      </c>
      <c r="F517" t="str">
        <f>_xlfn.XLOOKUP(FME_Ranking1[[#This Row],[FME ID]],FME_Input[FME_ID],FME_Input[EMER_NEED])</f>
        <v>No</v>
      </c>
      <c r="G517">
        <f>IF(FME_Ranking!F517="Yes",100,0)</f>
        <v>0</v>
      </c>
      <c r="H517">
        <f>FME_Ranking1[[#This Row],[Emergency Need Score (Normalized, Unweighted)]]*$F$3</f>
        <v>0</v>
      </c>
      <c r="I517" s="246">
        <f>_xlfn.XLOOKUP(FME_Ranking1[[#This Row],[FME ID]],FME_Input[FME_ID],FME_Input[STRUCT_100])</f>
        <v>264</v>
      </c>
      <c r="J517" s="178">
        <f>(FME_Ranking1[[#This Row],[Structures 100 Raw]]/I$2)*100</f>
        <v>0.14137000385554557</v>
      </c>
      <c r="K517" s="178">
        <f>FME_Ranking1[[#This Row],[Structures 100  Score (Normalized, Unweighted)]]*$I$3</f>
        <v>2.1205500578331836E-2</v>
      </c>
      <c r="L517" s="246">
        <f>_xlfn.XLOOKUP(FME_Ranking1[[#This Row],[FME ID]],FME_Input[FME_ID],FME_Input[RES_STRUCT100])</f>
        <v>172</v>
      </c>
      <c r="M517" s="230">
        <f>(FME_Ranking1[[#This Row],[Res Structures Raw]]/L$2)*100</f>
        <v>0.12182856171466619</v>
      </c>
      <c r="N517" s="180">
        <f>FME_Ranking1[[#This Row],[Res Structures Score (Normalized, Unweighted)]]*$L$3</f>
        <v>1.2182856171466619E-2</v>
      </c>
      <c r="O517" s="244">
        <f>_xlfn.XLOOKUP(FME_Ranking1[[#This Row],[FME ID]],FME_Input[FME_ID],FME_Input[POP100])</f>
        <v>412</v>
      </c>
      <c r="P517" s="178">
        <f>(FME_Ranking1[[#This Row],[Pop Raw]]/$O$2)*100</f>
        <v>4.2178628539370475E-2</v>
      </c>
      <c r="Q517" s="178">
        <f>FME_Ranking1[[#This Row],[Pop Score (Normalized, Unweighted)]]*$O$3</f>
        <v>6.3267942809055707E-3</v>
      </c>
      <c r="R517" s="137">
        <f>_xlfn.XLOOKUP(FME_Ranking1[[#This Row],[FME ID]],FME_Input[FME_ID],FME_Input[CRITFAC100])</f>
        <v>1</v>
      </c>
      <c r="S517" s="230">
        <f>(FME_Ranking1[[#This Row],[Critical Facilities Raw]]/$R$2)*100</f>
        <v>4.2881646655231559E-2</v>
      </c>
      <c r="T517" s="180">
        <f>FME_Ranking1[[#This Row],[Critical Facilities Score (Normalized, Unweighted)]]*$R$3</f>
        <v>8.5763293310463125E-3</v>
      </c>
      <c r="U517">
        <f>_xlfn.XLOOKUP(FME_Ranking1[[#This Row],[FME ID]],FME_Input[FME_ID],FME_Input[LWC])</f>
        <v>21</v>
      </c>
      <c r="V517" s="178">
        <f>(FME_Ranking1[[#This Row],[LWC Raw]]/$U$2)*100</f>
        <v>1.2089810017271159</v>
      </c>
      <c r="W517" s="178">
        <f>FME_Ranking1[[#This Row],[LWC Score (Normalized, Unweighted)]]*$U$3</f>
        <v>0.24179620034542318</v>
      </c>
      <c r="X517" s="246">
        <f>_xlfn.XLOOKUP(FME_Ranking1[[#This Row],[FME ID]],FME_Input[FME_ID],FME_Input[ROADCLS])</f>
        <v>0</v>
      </c>
      <c r="Y517" s="230">
        <f>(FME_Ranking1[[#This Row],[Closures Raw]]/$X$2)*100</f>
        <v>0</v>
      </c>
      <c r="Z517" s="180">
        <f>FME_Ranking1[[#This Row],[Closures Score (Normalized, Unweighted)]]*$X$3</f>
        <v>0</v>
      </c>
      <c r="AA517" s="253">
        <f>_xlfn.XLOOKUP(FME_Ranking1[[#This Row],[FME ID]],FME_Input[FME_ID],FME_Input[ROAD_MILES100])</f>
        <v>40.971420288085938</v>
      </c>
      <c r="AB517" s="178">
        <f>(FME_Ranking1[[#This Row],[Miles Raw]]/$AA$2)*100</f>
        <v>0.53870069109617968</v>
      </c>
      <c r="AC517" s="178">
        <f>FME_Ranking1[[#This Row],[Miles Score (Normalized, Unweighted)]]*$AA$3</f>
        <v>5.3870069109617974E-2</v>
      </c>
      <c r="AD517" s="255">
        <f>_xlfn.XLOOKUP(FME_Ranking1[[#This Row],[FME ID]],FME_Input[FME_ID],FME_Input[FARMACRE100])</f>
        <v>9929.294921875</v>
      </c>
      <c r="AE517" s="230">
        <f>(FME_Ranking1[[#This Row],[Ag Land Raw]]/$AD$2)*100</f>
        <v>0.40943967405277365</v>
      </c>
      <c r="AF517" s="231">
        <f>FME_Ranking1[[#This Row],[Ag Land Score (Normalized, Unweighted)]]*$AD$3</f>
        <v>2.0471983702638683E-2</v>
      </c>
      <c r="AG51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0.3644297335194302</v>
      </c>
      <c r="AH517" s="406">
        <f t="shared" si="7"/>
        <v>556</v>
      </c>
      <c r="AI51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0.3644297335194302</v>
      </c>
      <c r="AJ517" s="257">
        <f>FME_Ranking1[[#This Row],[Addition check]]-FME_Ranking1[[#This Row],[Weighted Score Based on Normalized Reported Factors]]</f>
        <v>0</v>
      </c>
      <c r="AK517" s="178">
        <f>_xlfn.RANK.EQ(AI517,$AI$6:$AI$2341,0)+COUNTIF($AI$6:AI517,AI517)-1</f>
        <v>559</v>
      </c>
    </row>
    <row r="518" spans="1:37" ht="12" customHeight="1" x14ac:dyDescent="0.25">
      <c r="A518" t="s">
        <v>7216</v>
      </c>
      <c r="B518">
        <f>_xlfn.XLOOKUP(FME_Ranking1[[#This Row],[FME ID]],FME_Input[FME_ID],FME_Input[RFPG_NUM])</f>
        <v>7</v>
      </c>
      <c r="C518" t="str">
        <f>_xlfn.XLOOKUP(FME_Ranking1[[#This Row],[FME ID]],FME_Input[FME_ID],FME_Input[FME_NAME])</f>
        <v>Nolan County DCM</v>
      </c>
      <c r="D518" t="str">
        <f>_xlfn.XLOOKUP(FME_Ranking1[[#This Row],[FME ID]],FME_Input[FME_ID],FME_Input[DESCR])</f>
        <v>Consider stormwater criteria for infrastructure and floodplain ordinances to avoid new exposure to flood hazards.</v>
      </c>
      <c r="E518" s="256">
        <f>_xlfn.XLOOKUP(FME_Ranking1[[#This Row],[FME ID]],FME_Input[FME_ID],FME_Input[FME_COST])</f>
        <v>100000</v>
      </c>
      <c r="F518" t="str">
        <f>_xlfn.XLOOKUP(FME_Ranking1[[#This Row],[FME ID]],FME_Input[FME_ID],FME_Input[EMER_NEED])</f>
        <v>No</v>
      </c>
      <c r="G518">
        <f>IF(FME_Ranking!F518="Yes",100,0)</f>
        <v>0</v>
      </c>
      <c r="H518">
        <f>FME_Ranking1[[#This Row],[Emergency Need Score (Normalized, Unweighted)]]*$F$3</f>
        <v>0</v>
      </c>
      <c r="I518" s="246">
        <f>_xlfn.XLOOKUP(FME_Ranking1[[#This Row],[FME ID]],FME_Input[FME_ID],FME_Input[STRUCT_100])</f>
        <v>264</v>
      </c>
      <c r="J518" s="178">
        <f>(FME_Ranking1[[#This Row],[Structures 100 Raw]]/I$2)*100</f>
        <v>0.14137000385554557</v>
      </c>
      <c r="K518" s="178">
        <f>FME_Ranking1[[#This Row],[Structures 100  Score (Normalized, Unweighted)]]*$I$3</f>
        <v>2.1205500578331836E-2</v>
      </c>
      <c r="L518" s="246">
        <f>_xlfn.XLOOKUP(FME_Ranking1[[#This Row],[FME ID]],FME_Input[FME_ID],FME_Input[RES_STRUCT100])</f>
        <v>172</v>
      </c>
      <c r="M518" s="230">
        <f>(FME_Ranking1[[#This Row],[Res Structures Raw]]/L$2)*100</f>
        <v>0.12182856171466619</v>
      </c>
      <c r="N518" s="180">
        <f>FME_Ranking1[[#This Row],[Res Structures Score (Normalized, Unweighted)]]*$L$3</f>
        <v>1.2182856171466619E-2</v>
      </c>
      <c r="O518" s="244">
        <f>_xlfn.XLOOKUP(FME_Ranking1[[#This Row],[FME ID]],FME_Input[FME_ID],FME_Input[POP100])</f>
        <v>412</v>
      </c>
      <c r="P518" s="178">
        <f>(FME_Ranking1[[#This Row],[Pop Raw]]/$O$2)*100</f>
        <v>4.2178628539370475E-2</v>
      </c>
      <c r="Q518" s="178">
        <f>FME_Ranking1[[#This Row],[Pop Score (Normalized, Unweighted)]]*$O$3</f>
        <v>6.3267942809055707E-3</v>
      </c>
      <c r="R518" s="137">
        <f>_xlfn.XLOOKUP(FME_Ranking1[[#This Row],[FME ID]],FME_Input[FME_ID],FME_Input[CRITFAC100])</f>
        <v>1</v>
      </c>
      <c r="S518" s="230">
        <f>(FME_Ranking1[[#This Row],[Critical Facilities Raw]]/$R$2)*100</f>
        <v>4.2881646655231559E-2</v>
      </c>
      <c r="T518" s="180">
        <f>FME_Ranking1[[#This Row],[Critical Facilities Score (Normalized, Unweighted)]]*$R$3</f>
        <v>8.5763293310463125E-3</v>
      </c>
      <c r="U518">
        <f>_xlfn.XLOOKUP(FME_Ranking1[[#This Row],[FME ID]],FME_Input[FME_ID],FME_Input[LWC])</f>
        <v>21</v>
      </c>
      <c r="V518" s="178">
        <f>(FME_Ranking1[[#This Row],[LWC Raw]]/$U$2)*100</f>
        <v>1.2089810017271159</v>
      </c>
      <c r="W518" s="178">
        <f>FME_Ranking1[[#This Row],[LWC Score (Normalized, Unweighted)]]*$U$3</f>
        <v>0.24179620034542318</v>
      </c>
      <c r="X518" s="246">
        <f>_xlfn.XLOOKUP(FME_Ranking1[[#This Row],[FME ID]],FME_Input[FME_ID],FME_Input[ROADCLS])</f>
        <v>0</v>
      </c>
      <c r="Y518" s="230">
        <f>(FME_Ranking1[[#This Row],[Closures Raw]]/$X$2)*100</f>
        <v>0</v>
      </c>
      <c r="Z518" s="180">
        <f>FME_Ranking1[[#This Row],[Closures Score (Normalized, Unweighted)]]*$X$3</f>
        <v>0</v>
      </c>
      <c r="AA518" s="253">
        <f>_xlfn.XLOOKUP(FME_Ranking1[[#This Row],[FME ID]],FME_Input[FME_ID],FME_Input[ROAD_MILES100])</f>
        <v>40.971420288085938</v>
      </c>
      <c r="AB518" s="178">
        <f>(FME_Ranking1[[#This Row],[Miles Raw]]/$AA$2)*100</f>
        <v>0.53870069109617968</v>
      </c>
      <c r="AC518" s="178">
        <f>FME_Ranking1[[#This Row],[Miles Score (Normalized, Unweighted)]]*$AA$3</f>
        <v>5.3870069109617974E-2</v>
      </c>
      <c r="AD518" s="255">
        <f>_xlfn.XLOOKUP(FME_Ranking1[[#This Row],[FME ID]],FME_Input[FME_ID],FME_Input[FARMACRE100])</f>
        <v>9929.294921875</v>
      </c>
      <c r="AE518" s="230">
        <f>(FME_Ranking1[[#This Row],[Ag Land Raw]]/$AD$2)*100</f>
        <v>0.40943967405277365</v>
      </c>
      <c r="AF518" s="231">
        <f>FME_Ranking1[[#This Row],[Ag Land Score (Normalized, Unweighted)]]*$AD$3</f>
        <v>2.0471983702638683E-2</v>
      </c>
      <c r="AG51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0.3644297335194302</v>
      </c>
      <c r="AH518" s="406">
        <f t="shared" ref="AH518:AH581" si="8">_xlfn.RANK.EQ(AG518,$AG$6:$AG$2341,0)</f>
        <v>556</v>
      </c>
      <c r="AI51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0.3644297335194302</v>
      </c>
      <c r="AJ518" s="257">
        <f>FME_Ranking1[[#This Row],[Addition check]]-FME_Ranking1[[#This Row],[Weighted Score Based on Normalized Reported Factors]]</f>
        <v>0</v>
      </c>
      <c r="AK518" s="178">
        <f>_xlfn.RANK.EQ(AI518,$AI$6:$AI$2341,0)+COUNTIF($AI$6:AI518,AI518)-1</f>
        <v>560</v>
      </c>
    </row>
    <row r="519" spans="1:37" ht="12" customHeight="1" x14ac:dyDescent="0.25">
      <c r="A519" t="s">
        <v>7218</v>
      </c>
      <c r="B519">
        <f>_xlfn.XLOOKUP(FME_Ranking1[[#This Row],[FME ID]],FME_Input[FME_ID],FME_Input[RFPG_NUM])</f>
        <v>7</v>
      </c>
      <c r="C519" t="str">
        <f>_xlfn.XLOOKUP(FME_Ranking1[[#This Row],[FME ID]],FME_Input[FME_ID],FME_Input[FME_NAME])</f>
        <v>Nolan County Floodplain Open Space Program</v>
      </c>
      <c r="D519" t="str">
        <f>_xlfn.XLOOKUP(FME_Ranking1[[#This Row],[FME ID]],FME_Input[FME_ID],FME_Input[DESCR])</f>
        <v>Acquire and preserve open spaces adjacent to floodplain areas. Protect floodplains in their natural state.</v>
      </c>
      <c r="E519" s="256">
        <f>_xlfn.XLOOKUP(FME_Ranking1[[#This Row],[FME ID]],FME_Input[FME_ID],FME_Input[FME_COST])</f>
        <v>1000000</v>
      </c>
      <c r="F519" t="str">
        <f>_xlfn.XLOOKUP(FME_Ranking1[[#This Row],[FME ID]],FME_Input[FME_ID],FME_Input[EMER_NEED])</f>
        <v>No</v>
      </c>
      <c r="G519">
        <f>IF(FME_Ranking!F519="Yes",100,0)</f>
        <v>0</v>
      </c>
      <c r="H519">
        <f>FME_Ranking1[[#This Row],[Emergency Need Score (Normalized, Unweighted)]]*$F$3</f>
        <v>0</v>
      </c>
      <c r="I519" s="246">
        <f>_xlfn.XLOOKUP(FME_Ranking1[[#This Row],[FME ID]],FME_Input[FME_ID],FME_Input[STRUCT_100])</f>
        <v>264</v>
      </c>
      <c r="J519" s="178">
        <f>(FME_Ranking1[[#This Row],[Structures 100 Raw]]/I$2)*100</f>
        <v>0.14137000385554557</v>
      </c>
      <c r="K519" s="178">
        <f>FME_Ranking1[[#This Row],[Structures 100  Score (Normalized, Unweighted)]]*$I$3</f>
        <v>2.1205500578331836E-2</v>
      </c>
      <c r="L519" s="246">
        <f>_xlfn.XLOOKUP(FME_Ranking1[[#This Row],[FME ID]],FME_Input[FME_ID],FME_Input[RES_STRUCT100])</f>
        <v>172</v>
      </c>
      <c r="M519" s="230">
        <f>(FME_Ranking1[[#This Row],[Res Structures Raw]]/L$2)*100</f>
        <v>0.12182856171466619</v>
      </c>
      <c r="N519" s="180">
        <f>FME_Ranking1[[#This Row],[Res Structures Score (Normalized, Unweighted)]]*$L$3</f>
        <v>1.2182856171466619E-2</v>
      </c>
      <c r="O519" s="244">
        <f>_xlfn.XLOOKUP(FME_Ranking1[[#This Row],[FME ID]],FME_Input[FME_ID],FME_Input[POP100])</f>
        <v>412</v>
      </c>
      <c r="P519" s="178">
        <f>(FME_Ranking1[[#This Row],[Pop Raw]]/$O$2)*100</f>
        <v>4.2178628539370475E-2</v>
      </c>
      <c r="Q519" s="178">
        <f>FME_Ranking1[[#This Row],[Pop Score (Normalized, Unweighted)]]*$O$3</f>
        <v>6.3267942809055707E-3</v>
      </c>
      <c r="R519" s="137">
        <f>_xlfn.XLOOKUP(FME_Ranking1[[#This Row],[FME ID]],FME_Input[FME_ID],FME_Input[CRITFAC100])</f>
        <v>1</v>
      </c>
      <c r="S519" s="230">
        <f>(FME_Ranking1[[#This Row],[Critical Facilities Raw]]/$R$2)*100</f>
        <v>4.2881646655231559E-2</v>
      </c>
      <c r="T519" s="180">
        <f>FME_Ranking1[[#This Row],[Critical Facilities Score (Normalized, Unweighted)]]*$R$3</f>
        <v>8.5763293310463125E-3</v>
      </c>
      <c r="U519">
        <f>_xlfn.XLOOKUP(FME_Ranking1[[#This Row],[FME ID]],FME_Input[FME_ID],FME_Input[LWC])</f>
        <v>21</v>
      </c>
      <c r="V519" s="178">
        <f>(FME_Ranking1[[#This Row],[LWC Raw]]/$U$2)*100</f>
        <v>1.2089810017271159</v>
      </c>
      <c r="W519" s="178">
        <f>FME_Ranking1[[#This Row],[LWC Score (Normalized, Unweighted)]]*$U$3</f>
        <v>0.24179620034542318</v>
      </c>
      <c r="X519" s="246">
        <f>_xlfn.XLOOKUP(FME_Ranking1[[#This Row],[FME ID]],FME_Input[FME_ID],FME_Input[ROADCLS])</f>
        <v>0</v>
      </c>
      <c r="Y519" s="230">
        <f>(FME_Ranking1[[#This Row],[Closures Raw]]/$X$2)*100</f>
        <v>0</v>
      </c>
      <c r="Z519" s="180">
        <f>FME_Ranking1[[#This Row],[Closures Score (Normalized, Unweighted)]]*$X$3</f>
        <v>0</v>
      </c>
      <c r="AA519" s="253">
        <f>_xlfn.XLOOKUP(FME_Ranking1[[#This Row],[FME ID]],FME_Input[FME_ID],FME_Input[ROAD_MILES100])</f>
        <v>40.971420288085938</v>
      </c>
      <c r="AB519" s="178">
        <f>(FME_Ranking1[[#This Row],[Miles Raw]]/$AA$2)*100</f>
        <v>0.53870069109617968</v>
      </c>
      <c r="AC519" s="178">
        <f>FME_Ranking1[[#This Row],[Miles Score (Normalized, Unweighted)]]*$AA$3</f>
        <v>5.3870069109617974E-2</v>
      </c>
      <c r="AD519" s="255">
        <f>_xlfn.XLOOKUP(FME_Ranking1[[#This Row],[FME ID]],FME_Input[FME_ID],FME_Input[FARMACRE100])</f>
        <v>9929.294921875</v>
      </c>
      <c r="AE519" s="230">
        <f>(FME_Ranking1[[#This Row],[Ag Land Raw]]/$AD$2)*100</f>
        <v>0.40943967405277365</v>
      </c>
      <c r="AF519" s="231">
        <f>FME_Ranking1[[#This Row],[Ag Land Score (Normalized, Unweighted)]]*$AD$3</f>
        <v>2.0471983702638683E-2</v>
      </c>
      <c r="AG51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0.3644297335194302</v>
      </c>
      <c r="AH519" s="406">
        <f t="shared" si="8"/>
        <v>556</v>
      </c>
      <c r="AI51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0.3644297335194302</v>
      </c>
      <c r="AJ519" s="257">
        <f>FME_Ranking1[[#This Row],[Addition check]]-FME_Ranking1[[#This Row],[Weighted Score Based on Normalized Reported Factors]]</f>
        <v>0</v>
      </c>
      <c r="AK519" s="178">
        <f>_xlfn.RANK.EQ(AI519,$AI$6:$AI$2341,0)+COUNTIF($AI$6:AI519,AI519)-1</f>
        <v>561</v>
      </c>
    </row>
    <row r="520" spans="1:37" ht="12" customHeight="1" x14ac:dyDescent="0.25">
      <c r="A520" t="s">
        <v>5482</v>
      </c>
      <c r="B520">
        <f>_xlfn.XLOOKUP(FME_Ranking1[[#This Row],[FME ID]],FME_Input[FME_ID],FME_Input[RFPG_NUM])</f>
        <v>4</v>
      </c>
      <c r="C520" t="str">
        <f>_xlfn.XLOOKUP(FME_Ranking1[[#This Row],[FME ID]],FME_Input[FME_ID],FME_Input[FME_NAME])</f>
        <v>Sabine County Flood Hazard Mapping</v>
      </c>
      <c r="D520" t="str">
        <f>_xlfn.XLOOKUP(FME_Ranking1[[#This Row],[FME ID]],FME_Input[FME_ID],FME_Input[DESCR])</f>
        <v>Complete a detailed study within the county extent to delineate an updated flood hazard area, which can be used for regulatory purposes.</v>
      </c>
      <c r="E520" s="256">
        <f>_xlfn.XLOOKUP(FME_Ranking1[[#This Row],[FME ID]],FME_Input[FME_ID],FME_Input[FME_COST])</f>
        <v>1100000</v>
      </c>
      <c r="F520" t="str">
        <f>_xlfn.XLOOKUP(FME_Ranking1[[#This Row],[FME ID]],FME_Input[FME_ID],FME_Input[EMER_NEED])</f>
        <v>Yes</v>
      </c>
      <c r="G520">
        <f>IF(FME_Ranking!F520="Yes",100,0)</f>
        <v>100</v>
      </c>
      <c r="H520">
        <f>FME_Ranking1[[#This Row],[Emergency Need Score (Normalized, Unweighted)]]*$F$3</f>
        <v>0</v>
      </c>
      <c r="I520" s="246">
        <f>_xlfn.XLOOKUP(FME_Ranking1[[#This Row],[FME ID]],FME_Input[FME_ID],FME_Input[STRUCT_100])</f>
        <v>1611</v>
      </c>
      <c r="J520" s="178">
        <f>(FME_Ranking1[[#This Row],[Structures 100 Raw]]/I$2)*100</f>
        <v>0.86267831898213587</v>
      </c>
      <c r="K520" s="178">
        <f>FME_Ranking1[[#This Row],[Structures 100  Score (Normalized, Unweighted)]]*$I$3</f>
        <v>0.12940174784732036</v>
      </c>
      <c r="L520" s="246">
        <f>_xlfn.XLOOKUP(FME_Ranking1[[#This Row],[FME ID]],FME_Input[FME_ID],FME_Input[RES_STRUCT100])</f>
        <v>1245</v>
      </c>
      <c r="M520" s="230">
        <f>(FME_Ranking1[[#This Row],[Res Structures Raw]]/L$2)*100</f>
        <v>0.88184046124860116</v>
      </c>
      <c r="N520" s="180">
        <f>FME_Ranking1[[#This Row],[Res Structures Score (Normalized, Unweighted)]]*$L$3</f>
        <v>8.8184046124860124E-2</v>
      </c>
      <c r="O520" s="244">
        <f>_xlfn.XLOOKUP(FME_Ranking1[[#This Row],[FME ID]],FME_Input[FME_ID],FME_Input[POP100])</f>
        <v>764</v>
      </c>
      <c r="P520" s="178">
        <f>(FME_Ranking1[[#This Row],[Pop Raw]]/$O$2)*100</f>
        <v>7.8214738359415156E-2</v>
      </c>
      <c r="Q520" s="178">
        <f>FME_Ranking1[[#This Row],[Pop Score (Normalized, Unweighted)]]*$O$3</f>
        <v>1.1732210753912273E-2</v>
      </c>
      <c r="R520" s="137">
        <f>_xlfn.XLOOKUP(FME_Ranking1[[#This Row],[FME ID]],FME_Input[FME_ID],FME_Input[CRITFAC100])</f>
        <v>0</v>
      </c>
      <c r="S520" s="230">
        <f>(FME_Ranking1[[#This Row],[Critical Facilities Raw]]/$R$2)*100</f>
        <v>0</v>
      </c>
      <c r="T520" s="180">
        <f>FME_Ranking1[[#This Row],[Critical Facilities Score (Normalized, Unweighted)]]*$R$3</f>
        <v>0</v>
      </c>
      <c r="U520">
        <f>_xlfn.XLOOKUP(FME_Ranking1[[#This Row],[FME ID]],FME_Input[FME_ID],FME_Input[LWC])</f>
        <v>6</v>
      </c>
      <c r="V520" s="178">
        <f>(FME_Ranking1[[#This Row],[LWC Raw]]/$U$2)*100</f>
        <v>0.34542314335060448</v>
      </c>
      <c r="W520" s="178">
        <f>FME_Ranking1[[#This Row],[LWC Score (Normalized, Unweighted)]]*$U$3</f>
        <v>6.9084628670120898E-2</v>
      </c>
      <c r="X520" s="246">
        <f>_xlfn.XLOOKUP(FME_Ranking1[[#This Row],[FME ID]],FME_Input[FME_ID],FME_Input[ROADCLS])</f>
        <v>6</v>
      </c>
      <c r="Y520" s="230">
        <f>(FME_Ranking1[[#This Row],[Closures Raw]]/$X$2)*100</f>
        <v>6.3084849122069186E-2</v>
      </c>
      <c r="Z520" s="180">
        <f>FME_Ranking1[[#This Row],[Closures Score (Normalized, Unweighted)]]*$X$3</f>
        <v>3.1542424561034595E-3</v>
      </c>
      <c r="AA520" s="253">
        <f>_xlfn.XLOOKUP(FME_Ranking1[[#This Row],[FME ID]],FME_Input[FME_ID],FME_Input[ROAD_MILES100])</f>
        <v>32.798725128173828</v>
      </c>
      <c r="AB520" s="178">
        <f>(FME_Ranking1[[#This Row],[Miles Raw]]/$AA$2)*100</f>
        <v>0.43124440816025966</v>
      </c>
      <c r="AC520" s="178">
        <f>FME_Ranking1[[#This Row],[Miles Score (Normalized, Unweighted)]]*$AA$3</f>
        <v>4.3124440816025969E-2</v>
      </c>
      <c r="AD520" s="255">
        <f>_xlfn.XLOOKUP(FME_Ranking1[[#This Row],[FME ID]],FME_Input[FME_ID],FME_Input[FARMACRE100])</f>
        <v>2311.069580078125</v>
      </c>
      <c r="AE520" s="230">
        <f>(FME_Ranking1[[#This Row],[Ag Land Raw]]/$AD$2)*100</f>
        <v>9.5298163970920086E-2</v>
      </c>
      <c r="AF520" s="231">
        <f>FME_Ranking1[[#This Row],[Ag Land Score (Normalized, Unweighted)]]*$AD$3</f>
        <v>4.7649081985460043E-3</v>
      </c>
      <c r="AG52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0.34944622486688909</v>
      </c>
      <c r="AH520" s="406">
        <f t="shared" si="8"/>
        <v>569</v>
      </c>
      <c r="AI52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0.34944622486688909</v>
      </c>
      <c r="AJ520" s="257">
        <f>FME_Ranking1[[#This Row],[Addition check]]-FME_Ranking1[[#This Row],[Weighted Score Based on Normalized Reported Factors]]</f>
        <v>0</v>
      </c>
      <c r="AK520" s="178">
        <f>_xlfn.RANK.EQ(AI520,$AI$6:$AI$2341,0)+COUNTIF($AI$6:AI520,AI520)-1</f>
        <v>569</v>
      </c>
    </row>
    <row r="521" spans="1:37" ht="12" customHeight="1" x14ac:dyDescent="0.25">
      <c r="A521" t="s">
        <v>5490</v>
      </c>
      <c r="B521">
        <f>_xlfn.XLOOKUP(FME_Ranking1[[#This Row],[FME ID]],FME_Input[FME_ID],FME_Input[RFPG_NUM])</f>
        <v>4</v>
      </c>
      <c r="C521" t="str">
        <f>_xlfn.XLOOKUP(FME_Ranking1[[#This Row],[FME ID]],FME_Input[FME_ID],FME_Input[FME_NAME])</f>
        <v>Sabine County Drainage Master Plan</v>
      </c>
      <c r="D521" t="str">
        <f>_xlfn.XLOOKUP(FME_Ranking1[[#This Row],[FME ID]],FME_Input[FME_ID],FME_Input[DESCR])</f>
        <v>Perform H&amp;H modeling to identify and define flood risk, develop conceptual alternatives to reduce flood risk, develop OPCC for conceptual alternatives, and rank projects. Conceptual alternatives should evaluate feasibility of nature based solutions.</v>
      </c>
      <c r="E521" s="256">
        <f>_xlfn.XLOOKUP(FME_Ranking1[[#This Row],[FME ID]],FME_Input[FME_ID],FME_Input[FME_COST])</f>
        <v>460000</v>
      </c>
      <c r="F521" t="str">
        <f>_xlfn.XLOOKUP(FME_Ranking1[[#This Row],[FME ID]],FME_Input[FME_ID],FME_Input[EMER_NEED])</f>
        <v>Yes</v>
      </c>
      <c r="G521">
        <f>IF(FME_Ranking!F521="Yes",100,0)</f>
        <v>100</v>
      </c>
      <c r="H521">
        <f>FME_Ranking1[[#This Row],[Emergency Need Score (Normalized, Unweighted)]]*$F$3</f>
        <v>0</v>
      </c>
      <c r="I521" s="246">
        <f>_xlfn.XLOOKUP(FME_Ranking1[[#This Row],[FME ID]],FME_Input[FME_ID],FME_Input[STRUCT_100])</f>
        <v>1611</v>
      </c>
      <c r="J521" s="178">
        <f>(FME_Ranking1[[#This Row],[Structures 100 Raw]]/I$2)*100</f>
        <v>0.86267831898213587</v>
      </c>
      <c r="K521" s="178">
        <f>FME_Ranking1[[#This Row],[Structures 100  Score (Normalized, Unweighted)]]*$I$3</f>
        <v>0.12940174784732036</v>
      </c>
      <c r="L521" s="246">
        <f>_xlfn.XLOOKUP(FME_Ranking1[[#This Row],[FME ID]],FME_Input[FME_ID],FME_Input[RES_STRUCT100])</f>
        <v>1245</v>
      </c>
      <c r="M521" s="230">
        <f>(FME_Ranking1[[#This Row],[Res Structures Raw]]/L$2)*100</f>
        <v>0.88184046124860116</v>
      </c>
      <c r="N521" s="180">
        <f>FME_Ranking1[[#This Row],[Res Structures Score (Normalized, Unweighted)]]*$L$3</f>
        <v>8.8184046124860124E-2</v>
      </c>
      <c r="O521" s="244">
        <f>_xlfn.XLOOKUP(FME_Ranking1[[#This Row],[FME ID]],FME_Input[FME_ID],FME_Input[POP100])</f>
        <v>764</v>
      </c>
      <c r="P521" s="178">
        <f>(FME_Ranking1[[#This Row],[Pop Raw]]/$O$2)*100</f>
        <v>7.8214738359415156E-2</v>
      </c>
      <c r="Q521" s="178">
        <f>FME_Ranking1[[#This Row],[Pop Score (Normalized, Unweighted)]]*$O$3</f>
        <v>1.1732210753912273E-2</v>
      </c>
      <c r="R521" s="137">
        <f>_xlfn.XLOOKUP(FME_Ranking1[[#This Row],[FME ID]],FME_Input[FME_ID],FME_Input[CRITFAC100])</f>
        <v>0</v>
      </c>
      <c r="S521" s="230">
        <f>(FME_Ranking1[[#This Row],[Critical Facilities Raw]]/$R$2)*100</f>
        <v>0</v>
      </c>
      <c r="T521" s="180">
        <f>FME_Ranking1[[#This Row],[Critical Facilities Score (Normalized, Unweighted)]]*$R$3</f>
        <v>0</v>
      </c>
      <c r="U521">
        <f>_xlfn.XLOOKUP(FME_Ranking1[[#This Row],[FME ID]],FME_Input[FME_ID],FME_Input[LWC])</f>
        <v>6</v>
      </c>
      <c r="V521" s="178">
        <f>(FME_Ranking1[[#This Row],[LWC Raw]]/$U$2)*100</f>
        <v>0.34542314335060448</v>
      </c>
      <c r="W521" s="178">
        <f>FME_Ranking1[[#This Row],[LWC Score (Normalized, Unweighted)]]*$U$3</f>
        <v>6.9084628670120898E-2</v>
      </c>
      <c r="X521" s="246">
        <f>_xlfn.XLOOKUP(FME_Ranking1[[#This Row],[FME ID]],FME_Input[FME_ID],FME_Input[ROADCLS])</f>
        <v>6</v>
      </c>
      <c r="Y521" s="230">
        <f>(FME_Ranking1[[#This Row],[Closures Raw]]/$X$2)*100</f>
        <v>6.3084849122069186E-2</v>
      </c>
      <c r="Z521" s="180">
        <f>FME_Ranking1[[#This Row],[Closures Score (Normalized, Unweighted)]]*$X$3</f>
        <v>3.1542424561034595E-3</v>
      </c>
      <c r="AA521" s="253">
        <f>_xlfn.XLOOKUP(FME_Ranking1[[#This Row],[FME ID]],FME_Input[FME_ID],FME_Input[ROAD_MILES100])</f>
        <v>32.798725128173828</v>
      </c>
      <c r="AB521" s="178">
        <f>(FME_Ranking1[[#This Row],[Miles Raw]]/$AA$2)*100</f>
        <v>0.43124440816025966</v>
      </c>
      <c r="AC521" s="178">
        <f>FME_Ranking1[[#This Row],[Miles Score (Normalized, Unweighted)]]*$AA$3</f>
        <v>4.3124440816025969E-2</v>
      </c>
      <c r="AD521" s="255">
        <f>_xlfn.XLOOKUP(FME_Ranking1[[#This Row],[FME ID]],FME_Input[FME_ID],FME_Input[FARMACRE100])</f>
        <v>2311.069580078125</v>
      </c>
      <c r="AE521" s="230">
        <f>(FME_Ranking1[[#This Row],[Ag Land Raw]]/$AD$2)*100</f>
        <v>9.5298163970920086E-2</v>
      </c>
      <c r="AF521" s="231">
        <f>FME_Ranking1[[#This Row],[Ag Land Score (Normalized, Unweighted)]]*$AD$3</f>
        <v>4.7649081985460043E-3</v>
      </c>
      <c r="AG52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0.34944622486688909</v>
      </c>
      <c r="AH521" s="406">
        <f t="shared" si="8"/>
        <v>569</v>
      </c>
      <c r="AI52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0.34944622486688909</v>
      </c>
      <c r="AJ521" s="257">
        <f>FME_Ranking1[[#This Row],[Addition check]]-FME_Ranking1[[#This Row],[Weighted Score Based on Normalized Reported Factors]]</f>
        <v>0</v>
      </c>
      <c r="AK521" s="178">
        <f>_xlfn.RANK.EQ(AI521,$AI$6:$AI$2341,0)+COUNTIF($AI$6:AI521,AI521)-1</f>
        <v>570</v>
      </c>
    </row>
    <row r="522" spans="1:37" ht="12" customHeight="1" x14ac:dyDescent="0.25">
      <c r="A522" t="s">
        <v>1963</v>
      </c>
      <c r="B522">
        <f>_xlfn.XLOOKUP(FME_Ranking1[[#This Row],[FME ID]],FME_Input[FME_ID],FME_Input[RFPG_NUM])</f>
        <v>6</v>
      </c>
      <c r="C522" t="str">
        <f>_xlfn.XLOOKUP(FME_Ranking1[[#This Row],[FME ID]],FME_Input[FME_ID],FME_Input[FME_NAME])</f>
        <v>White Oak - SPT and E116 (E116-00-00) Improvements : PA01 thru PA-05</v>
      </c>
      <c r="D522" t="str">
        <f>_xlfn.XLOOKUP(FME_Ranking1[[#This Row],[FME ID]],FME_Input[FME_ID],FME_Input[DESCR])</f>
        <v>Study to develop a Benefit Cost Analysis needed for these projects to become a FMP. The "E116-00-00 Flood Reduction Feasibilty Study" was completed in March 2022 and provides a decrease riverine and urban flood risk in the area.</v>
      </c>
      <c r="E522" s="256">
        <f>_xlfn.XLOOKUP(FME_Ranking1[[#This Row],[FME ID]],FME_Input[FME_ID],FME_Input[FME_COST])</f>
        <v>30000</v>
      </c>
      <c r="F522" t="str">
        <f>_xlfn.XLOOKUP(FME_Ranking1[[#This Row],[FME ID]],FME_Input[FME_ID],FME_Input[EMER_NEED])</f>
        <v>No</v>
      </c>
      <c r="G522">
        <f>IF(FME_Ranking!F522="Yes",100,0)</f>
        <v>0</v>
      </c>
      <c r="H522">
        <f>FME_Ranking1[[#This Row],[Emergency Need Score (Normalized, Unweighted)]]*$F$3</f>
        <v>0</v>
      </c>
      <c r="I522" s="246">
        <f>_xlfn.XLOOKUP(FME_Ranking1[[#This Row],[FME ID]],FME_Input[FME_ID],FME_Input[STRUCT_100])</f>
        <v>1174</v>
      </c>
      <c r="J522" s="178">
        <f>(FME_Ranking1[[#This Row],[Structures 100 Raw]]/I$2)*100</f>
        <v>0.62866812320610033</v>
      </c>
      <c r="K522" s="178">
        <f>FME_Ranking1[[#This Row],[Structures 100  Score (Normalized, Unweighted)]]*$I$3</f>
        <v>9.4300218480915049E-2</v>
      </c>
      <c r="L522" s="246">
        <f>_xlfn.XLOOKUP(FME_Ranking1[[#This Row],[FME ID]],FME_Input[FME_ID],FME_Input[RES_STRUCT100])</f>
        <v>1074</v>
      </c>
      <c r="M522" s="230">
        <f>(FME_Ranking1[[#This Row],[Res Structures Raw]]/L$2)*100</f>
        <v>0.76072020512529925</v>
      </c>
      <c r="N522" s="180">
        <f>FME_Ranking1[[#This Row],[Res Structures Score (Normalized, Unweighted)]]*$L$3</f>
        <v>7.6072020512529925E-2</v>
      </c>
      <c r="O522" s="244">
        <f>_xlfn.XLOOKUP(FME_Ranking1[[#This Row],[FME ID]],FME_Input[FME_ID],FME_Input[POP100])</f>
        <v>4852</v>
      </c>
      <c r="P522" s="178">
        <f>(FME_Ranking1[[#This Row],[Pop Raw]]/$O$2)*100</f>
        <v>0.49672501376947942</v>
      </c>
      <c r="Q522" s="178">
        <f>FME_Ranking1[[#This Row],[Pop Score (Normalized, Unweighted)]]*$O$3</f>
        <v>7.4508752065421915E-2</v>
      </c>
      <c r="R522" s="137">
        <f>_xlfn.XLOOKUP(FME_Ranking1[[#This Row],[FME ID]],FME_Input[FME_ID],FME_Input[CRITFAC100])</f>
        <v>7</v>
      </c>
      <c r="S522" s="230">
        <f>(FME_Ranking1[[#This Row],[Critical Facilities Raw]]/$R$2)*100</f>
        <v>0.30017152658662088</v>
      </c>
      <c r="T522" s="180">
        <f>FME_Ranking1[[#This Row],[Critical Facilities Score (Normalized, Unweighted)]]*$R$3</f>
        <v>6.0034305317324177E-2</v>
      </c>
      <c r="U522">
        <f>_xlfn.XLOOKUP(FME_Ranking1[[#This Row],[FME ID]],FME_Input[FME_ID],FME_Input[LWC])</f>
        <v>0</v>
      </c>
      <c r="V522" s="178">
        <f>(FME_Ranking1[[#This Row],[LWC Raw]]/$U$2)*100</f>
        <v>0</v>
      </c>
      <c r="W522" s="178">
        <f>FME_Ranking1[[#This Row],[LWC Score (Normalized, Unweighted)]]*$U$3</f>
        <v>0</v>
      </c>
      <c r="X522" s="246">
        <f>_xlfn.XLOOKUP(FME_Ranking1[[#This Row],[FME ID]],FME_Input[FME_ID],FME_Input[ROADCLS])</f>
        <v>0</v>
      </c>
      <c r="Y522" s="230">
        <f>(FME_Ranking1[[#This Row],[Closures Raw]]/$X$2)*100</f>
        <v>0</v>
      </c>
      <c r="Z522" s="180">
        <f>FME_Ranking1[[#This Row],[Closures Score (Normalized, Unweighted)]]*$X$3</f>
        <v>0</v>
      </c>
      <c r="AA522" s="253">
        <f>_xlfn.XLOOKUP(FME_Ranking1[[#This Row],[FME ID]],FME_Input[FME_ID],FME_Input[ROAD_MILES100])</f>
        <v>14.7971248626709</v>
      </c>
      <c r="AB522" s="178">
        <f>(FME_Ranking1[[#This Row],[Miles Raw]]/$AA$2)*100</f>
        <v>0.1945556520547379</v>
      </c>
      <c r="AC522" s="178">
        <f>FME_Ranking1[[#This Row],[Miles Score (Normalized, Unweighted)]]*$AA$3</f>
        <v>1.9455565205473792E-2</v>
      </c>
      <c r="AD522" s="255">
        <f>_xlfn.XLOOKUP(FME_Ranking1[[#This Row],[FME ID]],FME_Input[FME_ID],FME_Input[FARMACRE100])</f>
        <v>4.9461574554443359</v>
      </c>
      <c r="AE522" s="230">
        <f>(FME_Ranking1[[#This Row],[Ag Land Raw]]/$AD$2)*100</f>
        <v>2.0395739197042655E-4</v>
      </c>
      <c r="AF522" s="231">
        <f>FME_Ranking1[[#This Row],[Ag Land Score (Normalized, Unweighted)]]*$AD$3</f>
        <v>1.0197869598521329E-5</v>
      </c>
      <c r="AG52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0.32438105945126339</v>
      </c>
      <c r="AH522" s="406">
        <f t="shared" si="8"/>
        <v>591</v>
      </c>
      <c r="AI52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0.32438105945126339</v>
      </c>
      <c r="AJ522" s="257">
        <f>FME_Ranking1[[#This Row],[Addition check]]-FME_Ranking1[[#This Row],[Weighted Score Based on Normalized Reported Factors]]</f>
        <v>0</v>
      </c>
      <c r="AK522" s="178">
        <f>_xlfn.RANK.EQ(AI522,$AI$6:$AI$2341,0)+COUNTIF($AI$6:AI522,AI522)-1</f>
        <v>591</v>
      </c>
    </row>
    <row r="523" spans="1:37" ht="12" customHeight="1" x14ac:dyDescent="0.25">
      <c r="A523" t="s">
        <v>3800</v>
      </c>
      <c r="B523">
        <f>_xlfn.XLOOKUP(FME_Ranking1[[#This Row],[FME ID]],FME_Input[FME_ID],FME_Input[RFPG_NUM])</f>
        <v>3</v>
      </c>
      <c r="C523" t="str">
        <f>_xlfn.XLOOKUP(FME_Ranking1[[#This Row],[FME ID]],FME_Input[FME_ID],FME_Input[FME_NAME])</f>
        <v>Anderson County FEMA Mapping</v>
      </c>
      <c r="D523" t="str">
        <f>_xlfn.XLOOKUP(FME_Ranking1[[#This Row],[FME ID]],FME_Input[FME_ID],FME_Input[DESCR])</f>
        <v>Create FEMA mapping in previously unmapped areas and update existing FEMA maps as needed.</v>
      </c>
      <c r="E523" s="256">
        <f>_xlfn.XLOOKUP(FME_Ranking1[[#This Row],[FME ID]],FME_Input[FME_ID],FME_Input[FME_COST])</f>
        <v>1500000</v>
      </c>
      <c r="F523" t="str">
        <f>_xlfn.XLOOKUP(FME_Ranking1[[#This Row],[FME ID]],FME_Input[FME_ID],FME_Input[EMER_NEED])</f>
        <v>No</v>
      </c>
      <c r="G523">
        <f>IF(FME_Ranking!F523="Yes",100,0)</f>
        <v>0</v>
      </c>
      <c r="H523">
        <f>FME_Ranking1[[#This Row],[Emergency Need Score (Normalized, Unweighted)]]*$F$3</f>
        <v>0</v>
      </c>
      <c r="I523" s="246">
        <f>_xlfn.XLOOKUP(FME_Ranking1[[#This Row],[FME ID]],FME_Input[FME_ID],FME_Input[STRUCT_100])</f>
        <v>667</v>
      </c>
      <c r="J523" s="178">
        <f>(FME_Ranking1[[#This Row],[Structures 100 Raw]]/I$2)*100</f>
        <v>0.3571734567107912</v>
      </c>
      <c r="K523" s="178">
        <f>FME_Ranking1[[#This Row],[Structures 100  Score (Normalized, Unweighted)]]*$I$3</f>
        <v>5.3576018506618681E-2</v>
      </c>
      <c r="L523" s="246">
        <f>_xlfn.XLOOKUP(FME_Ranking1[[#This Row],[FME ID]],FME_Input[FME_ID],FME_Input[RES_STRUCT100])</f>
        <v>416</v>
      </c>
      <c r="M523" s="230">
        <f>(FME_Ranking1[[#This Row],[Res Structures Raw]]/L$2)*100</f>
        <v>0.29465512600756472</v>
      </c>
      <c r="N523" s="180">
        <f>FME_Ranking1[[#This Row],[Res Structures Score (Normalized, Unweighted)]]*$L$3</f>
        <v>2.9465512600756472E-2</v>
      </c>
      <c r="O523" s="244">
        <f>_xlfn.XLOOKUP(FME_Ranking1[[#This Row],[FME ID]],FME_Input[FME_ID],FME_Input[POP100])</f>
        <v>1408</v>
      </c>
      <c r="P523" s="178">
        <f>(FME_Ranking1[[#This Row],[Pop Raw]]/$O$2)*100</f>
        <v>0.1441444392801787</v>
      </c>
      <c r="Q523" s="178">
        <f>FME_Ranking1[[#This Row],[Pop Score (Normalized, Unweighted)]]*$O$3</f>
        <v>2.1621665892026805E-2</v>
      </c>
      <c r="R523" s="137">
        <f>_xlfn.XLOOKUP(FME_Ranking1[[#This Row],[FME ID]],FME_Input[FME_ID],FME_Input[CRITFAC100])</f>
        <v>6</v>
      </c>
      <c r="S523" s="230">
        <f>(FME_Ranking1[[#This Row],[Critical Facilities Raw]]/$R$2)*100</f>
        <v>0.25728987993138941</v>
      </c>
      <c r="T523" s="180">
        <f>FME_Ranking1[[#This Row],[Critical Facilities Score (Normalized, Unweighted)]]*$R$3</f>
        <v>5.1457975986277882E-2</v>
      </c>
      <c r="U523">
        <f>_xlfn.XLOOKUP(FME_Ranking1[[#This Row],[FME ID]],FME_Input[FME_ID],FME_Input[LWC])</f>
        <v>6</v>
      </c>
      <c r="V523" s="178">
        <f>(FME_Ranking1[[#This Row],[LWC Raw]]/$U$2)*100</f>
        <v>0.34542314335060448</v>
      </c>
      <c r="W523" s="178">
        <f>FME_Ranking1[[#This Row],[LWC Score (Normalized, Unweighted)]]*$U$3</f>
        <v>6.9084628670120898E-2</v>
      </c>
      <c r="X523" s="246">
        <f>_xlfn.XLOOKUP(FME_Ranking1[[#This Row],[FME ID]],FME_Input[FME_ID],FME_Input[ROADCLS])</f>
        <v>0</v>
      </c>
      <c r="Y523" s="230">
        <f>(FME_Ranking1[[#This Row],[Closures Raw]]/$X$2)*100</f>
        <v>0</v>
      </c>
      <c r="Z523" s="180">
        <f>FME_Ranking1[[#This Row],[Closures Score (Normalized, Unweighted)]]*$X$3</f>
        <v>0</v>
      </c>
      <c r="AA523" s="253">
        <f>_xlfn.XLOOKUP(FME_Ranking1[[#This Row],[FME ID]],FME_Input[FME_ID],FME_Input[ROAD_MILES100])</f>
        <v>73.343528747558594</v>
      </c>
      <c r="AB523" s="178">
        <f>(FME_Ranking1[[#This Row],[Miles Raw]]/$AA$2)*100</f>
        <v>0.96433585523593612</v>
      </c>
      <c r="AC523" s="178">
        <f>FME_Ranking1[[#This Row],[Miles Score (Normalized, Unweighted)]]*$AA$3</f>
        <v>9.6433585523593615E-2</v>
      </c>
      <c r="AD523" s="255">
        <f>_xlfn.XLOOKUP(FME_Ranking1[[#This Row],[FME ID]],FME_Input[FME_ID],FME_Input[FARMACRE100])</f>
        <v>36103.83984375</v>
      </c>
      <c r="AE523" s="230">
        <f>(FME_Ranking1[[#This Row],[Ag Land Raw]]/$AD$2)*100</f>
        <v>1.4887607361839863</v>
      </c>
      <c r="AF523" s="231">
        <f>FME_Ranking1[[#This Row],[Ag Land Score (Normalized, Unweighted)]]*$AD$3</f>
        <v>7.4438036809199318E-2</v>
      </c>
      <c r="AG52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0.39607742398859364</v>
      </c>
      <c r="AH523" s="406">
        <f t="shared" si="8"/>
        <v>529</v>
      </c>
      <c r="AI52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0.39607742398859364</v>
      </c>
      <c r="AJ523" s="257">
        <f>FME_Ranking1[[#This Row],[Addition check]]-FME_Ranking1[[#This Row],[Weighted Score Based on Normalized Reported Factors]]</f>
        <v>0</v>
      </c>
      <c r="AK523" s="178">
        <f>_xlfn.RANK.EQ(AI523,$AI$6:$AI$2341,0)+COUNTIF($AI$6:AI523,AI523)-1</f>
        <v>529</v>
      </c>
    </row>
    <row r="524" spans="1:37" ht="12" customHeight="1" x14ac:dyDescent="0.25">
      <c r="A524" t="s">
        <v>4265</v>
      </c>
      <c r="B524">
        <f>_xlfn.XLOOKUP(FME_Ranking1[[#This Row],[FME ID]],FME_Input[FME_ID],FME_Input[RFPG_NUM])</f>
        <v>3</v>
      </c>
      <c r="C524" t="str">
        <f>_xlfn.XLOOKUP(FME_Ranking1[[#This Row],[FME ID]],FME_Input[FME_ID],FME_Input[FME_NAME])</f>
        <v>Anderson County DMP</v>
      </c>
      <c r="D524" t="str">
        <f>_xlfn.XLOOKUP(FME_Ranking1[[#This Row],[FME ID]],FME_Input[FME_ID],FME_Input[DESCR])</f>
        <v>Evaluate County and identify future projects.</v>
      </c>
      <c r="E524" s="256">
        <f>_xlfn.XLOOKUP(FME_Ranking1[[#This Row],[FME ID]],FME_Input[FME_ID],FME_Input[FME_COST])</f>
        <v>500000</v>
      </c>
      <c r="F524" t="str">
        <f>_xlfn.XLOOKUP(FME_Ranking1[[#This Row],[FME ID]],FME_Input[FME_ID],FME_Input[EMER_NEED])</f>
        <v>No</v>
      </c>
      <c r="G524">
        <f>IF(FME_Ranking!F524="Yes",100,0)</f>
        <v>0</v>
      </c>
      <c r="H524">
        <f>FME_Ranking1[[#This Row],[Emergency Need Score (Normalized, Unweighted)]]*$F$3</f>
        <v>0</v>
      </c>
      <c r="I524" s="246">
        <f>_xlfn.XLOOKUP(FME_Ranking1[[#This Row],[FME ID]],FME_Input[FME_ID],FME_Input[STRUCT_100])</f>
        <v>667</v>
      </c>
      <c r="J524" s="178">
        <f>(FME_Ranking1[[#This Row],[Structures 100 Raw]]/I$2)*100</f>
        <v>0.3571734567107912</v>
      </c>
      <c r="K524" s="178">
        <f>FME_Ranking1[[#This Row],[Structures 100  Score (Normalized, Unweighted)]]*$I$3</f>
        <v>5.3576018506618681E-2</v>
      </c>
      <c r="L524" s="246">
        <f>_xlfn.XLOOKUP(FME_Ranking1[[#This Row],[FME ID]],FME_Input[FME_ID],FME_Input[RES_STRUCT100])</f>
        <v>416</v>
      </c>
      <c r="M524" s="230">
        <f>(FME_Ranking1[[#This Row],[Res Structures Raw]]/L$2)*100</f>
        <v>0.29465512600756472</v>
      </c>
      <c r="N524" s="180">
        <f>FME_Ranking1[[#This Row],[Res Structures Score (Normalized, Unweighted)]]*$L$3</f>
        <v>2.9465512600756472E-2</v>
      </c>
      <c r="O524" s="244">
        <f>_xlfn.XLOOKUP(FME_Ranking1[[#This Row],[FME ID]],FME_Input[FME_ID],FME_Input[POP100])</f>
        <v>1408</v>
      </c>
      <c r="P524" s="178">
        <f>(FME_Ranking1[[#This Row],[Pop Raw]]/$O$2)*100</f>
        <v>0.1441444392801787</v>
      </c>
      <c r="Q524" s="178">
        <f>FME_Ranking1[[#This Row],[Pop Score (Normalized, Unweighted)]]*$O$3</f>
        <v>2.1621665892026805E-2</v>
      </c>
      <c r="R524" s="137">
        <f>_xlfn.XLOOKUP(FME_Ranking1[[#This Row],[FME ID]],FME_Input[FME_ID],FME_Input[CRITFAC100])</f>
        <v>6</v>
      </c>
      <c r="S524" s="230">
        <f>(FME_Ranking1[[#This Row],[Critical Facilities Raw]]/$R$2)*100</f>
        <v>0.25728987993138941</v>
      </c>
      <c r="T524" s="180">
        <f>FME_Ranking1[[#This Row],[Critical Facilities Score (Normalized, Unweighted)]]*$R$3</f>
        <v>5.1457975986277882E-2</v>
      </c>
      <c r="U524">
        <f>_xlfn.XLOOKUP(FME_Ranking1[[#This Row],[FME ID]],FME_Input[FME_ID],FME_Input[LWC])</f>
        <v>6</v>
      </c>
      <c r="V524" s="178">
        <f>(FME_Ranking1[[#This Row],[LWC Raw]]/$U$2)*100</f>
        <v>0.34542314335060448</v>
      </c>
      <c r="W524" s="178">
        <f>FME_Ranking1[[#This Row],[LWC Score (Normalized, Unweighted)]]*$U$3</f>
        <v>6.9084628670120898E-2</v>
      </c>
      <c r="X524" s="246">
        <f>_xlfn.XLOOKUP(FME_Ranking1[[#This Row],[FME ID]],FME_Input[FME_ID],FME_Input[ROADCLS])</f>
        <v>0</v>
      </c>
      <c r="Y524" s="230">
        <f>(FME_Ranking1[[#This Row],[Closures Raw]]/$X$2)*100</f>
        <v>0</v>
      </c>
      <c r="Z524" s="180">
        <f>FME_Ranking1[[#This Row],[Closures Score (Normalized, Unweighted)]]*$X$3</f>
        <v>0</v>
      </c>
      <c r="AA524" s="253">
        <f>_xlfn.XLOOKUP(FME_Ranking1[[#This Row],[FME ID]],FME_Input[FME_ID],FME_Input[ROAD_MILES100])</f>
        <v>73.343528747558594</v>
      </c>
      <c r="AB524" s="178">
        <f>(FME_Ranking1[[#This Row],[Miles Raw]]/$AA$2)*100</f>
        <v>0.96433585523593612</v>
      </c>
      <c r="AC524" s="178">
        <f>FME_Ranking1[[#This Row],[Miles Score (Normalized, Unweighted)]]*$AA$3</f>
        <v>9.6433585523593615E-2</v>
      </c>
      <c r="AD524" s="255">
        <f>_xlfn.XLOOKUP(FME_Ranking1[[#This Row],[FME ID]],FME_Input[FME_ID],FME_Input[FARMACRE100])</f>
        <v>36103.83984375</v>
      </c>
      <c r="AE524" s="230">
        <f>(FME_Ranking1[[#This Row],[Ag Land Raw]]/$AD$2)*100</f>
        <v>1.4887607361839863</v>
      </c>
      <c r="AF524" s="231">
        <f>FME_Ranking1[[#This Row],[Ag Land Score (Normalized, Unweighted)]]*$AD$3</f>
        <v>7.4438036809199318E-2</v>
      </c>
      <c r="AG52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0.39607742398859364</v>
      </c>
      <c r="AH524" s="406">
        <f t="shared" si="8"/>
        <v>529</v>
      </c>
      <c r="AI52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0.39607742398859364</v>
      </c>
      <c r="AJ524" s="257">
        <f>FME_Ranking1[[#This Row],[Addition check]]-FME_Ranking1[[#This Row],[Weighted Score Based on Normalized Reported Factors]]</f>
        <v>0</v>
      </c>
      <c r="AK524" s="178">
        <f>_xlfn.RANK.EQ(AI524,$AI$6:$AI$2341,0)+COUNTIF($AI$6:AI524,AI524)-1</f>
        <v>530</v>
      </c>
    </row>
    <row r="525" spans="1:37" ht="12" customHeight="1" x14ac:dyDescent="0.25">
      <c r="A525" t="s">
        <v>5514</v>
      </c>
      <c r="B525">
        <f>_xlfn.XLOOKUP(FME_Ranking1[[#This Row],[FME ID]],FME_Input[FME_ID],FME_Input[RFPG_NUM])</f>
        <v>4</v>
      </c>
      <c r="C525" t="str">
        <f>_xlfn.XLOOKUP(FME_Ranking1[[#This Row],[FME ID]],FME_Input[FME_ID],FME_Input[FME_NAME])</f>
        <v>Panola County Flood Hazard Mapping</v>
      </c>
      <c r="D525" t="str">
        <f>_xlfn.XLOOKUP(FME_Ranking1[[#This Row],[FME ID]],FME_Input[FME_ID],FME_Input[DESCR])</f>
        <v>Complete a detailed study within the county extent to delineate an updated flood hazard area, which can be used for regulatory purposes.</v>
      </c>
      <c r="E525" s="256">
        <f>_xlfn.XLOOKUP(FME_Ranking1[[#This Row],[FME ID]],FME_Input[FME_ID],FME_Input[FME_COST])</f>
        <v>3700000</v>
      </c>
      <c r="F525" t="str">
        <f>_xlfn.XLOOKUP(FME_Ranking1[[#This Row],[FME ID]],FME_Input[FME_ID],FME_Input[EMER_NEED])</f>
        <v>Yes</v>
      </c>
      <c r="G525">
        <f>IF(FME_Ranking!F525="Yes",100,0)</f>
        <v>100</v>
      </c>
      <c r="H525">
        <f>FME_Ranking1[[#This Row],[Emergency Need Score (Normalized, Unweighted)]]*$F$3</f>
        <v>0</v>
      </c>
      <c r="I525" s="246">
        <f>_xlfn.XLOOKUP(FME_Ranking1[[#This Row],[FME ID]],FME_Input[FME_ID],FME_Input[STRUCT_100])</f>
        <v>750</v>
      </c>
      <c r="J525" s="178">
        <f>(FME_Ranking1[[#This Row],[Structures 100 Raw]]/I$2)*100</f>
        <v>0.40161932913507259</v>
      </c>
      <c r="K525" s="178">
        <f>FME_Ranking1[[#This Row],[Structures 100  Score (Normalized, Unweighted)]]*$I$3</f>
        <v>6.0242899370260887E-2</v>
      </c>
      <c r="L525" s="246">
        <f>_xlfn.XLOOKUP(FME_Ranking1[[#This Row],[FME ID]],FME_Input[FME_ID],FME_Input[RES_STRUCT100])</f>
        <v>317</v>
      </c>
      <c r="M525" s="230">
        <f>(FME_Ranking1[[#This Row],[Res Structures Raw]]/L$2)*100</f>
        <v>0.2245328724624952</v>
      </c>
      <c r="N525" s="180">
        <f>FME_Ranking1[[#This Row],[Res Structures Score (Normalized, Unweighted)]]*$L$3</f>
        <v>2.2453287246249523E-2</v>
      </c>
      <c r="O525" s="244">
        <f>_xlfn.XLOOKUP(FME_Ranking1[[#This Row],[FME ID]],FME_Input[FME_ID],FME_Input[POP100])</f>
        <v>1870</v>
      </c>
      <c r="P525" s="178">
        <f>(FME_Ranking1[[#This Row],[Pop Raw]]/$O$2)*100</f>
        <v>0.19144183341898735</v>
      </c>
      <c r="Q525" s="178">
        <f>FME_Ranking1[[#This Row],[Pop Score (Normalized, Unweighted)]]*$O$3</f>
        <v>2.87162750128481E-2</v>
      </c>
      <c r="R525" s="137">
        <f>_xlfn.XLOOKUP(FME_Ranking1[[#This Row],[FME ID]],FME_Input[FME_ID],FME_Input[CRITFAC100])</f>
        <v>2</v>
      </c>
      <c r="S525" s="230">
        <f>(FME_Ranking1[[#This Row],[Critical Facilities Raw]]/$R$2)*100</f>
        <v>8.5763293310463118E-2</v>
      </c>
      <c r="T525" s="180">
        <f>FME_Ranking1[[#This Row],[Critical Facilities Score (Normalized, Unweighted)]]*$R$3</f>
        <v>1.7152658662092625E-2</v>
      </c>
      <c r="U525">
        <f>_xlfn.XLOOKUP(FME_Ranking1[[#This Row],[FME ID]],FME_Input[FME_ID],FME_Input[LWC])</f>
        <v>10</v>
      </c>
      <c r="V525" s="178">
        <f>(FME_Ranking1[[#This Row],[LWC Raw]]/$U$2)*100</f>
        <v>0.57570523891767411</v>
      </c>
      <c r="W525" s="178">
        <f>FME_Ranking1[[#This Row],[LWC Score (Normalized, Unweighted)]]*$U$3</f>
        <v>0.11514104778353483</v>
      </c>
      <c r="X525" s="246">
        <f>_xlfn.XLOOKUP(FME_Ranking1[[#This Row],[FME ID]],FME_Input[FME_ID],FME_Input[ROADCLS])</f>
        <v>10</v>
      </c>
      <c r="Y525" s="230">
        <f>(FME_Ranking1[[#This Row],[Closures Raw]]/$X$2)*100</f>
        <v>0.10514141520344865</v>
      </c>
      <c r="Z525" s="180">
        <f>FME_Ranking1[[#This Row],[Closures Score (Normalized, Unweighted)]]*$X$3</f>
        <v>5.2570707601724328E-3</v>
      </c>
      <c r="AA525" s="253">
        <f>_xlfn.XLOOKUP(FME_Ranking1[[#This Row],[FME ID]],FME_Input[FME_ID],FME_Input[ROAD_MILES100])</f>
        <v>118.78033447265619</v>
      </c>
      <c r="AB525" s="178">
        <f>(FME_Ranking1[[#This Row],[Miles Raw]]/$AA$2)*100</f>
        <v>1.5617483557840448</v>
      </c>
      <c r="AC525" s="178">
        <f>FME_Ranking1[[#This Row],[Miles Score (Normalized, Unweighted)]]*$AA$3</f>
        <v>0.1561748355784045</v>
      </c>
      <c r="AD525" s="255">
        <f>_xlfn.XLOOKUP(FME_Ranking1[[#This Row],[FME ID]],FME_Input[FME_ID],FME_Input[FARMACRE100])</f>
        <v>24459.42578125</v>
      </c>
      <c r="AE525" s="230">
        <f>(FME_Ranking1[[#This Row],[Ag Land Raw]]/$AD$2)*100</f>
        <v>1.0085972265089984</v>
      </c>
      <c r="AF525" s="231">
        <f>FME_Ranking1[[#This Row],[Ag Land Score (Normalized, Unweighted)]]*$AD$3</f>
        <v>5.0429861325449923E-2</v>
      </c>
      <c r="AG52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0.45556793573901277</v>
      </c>
      <c r="AH525" s="406">
        <f t="shared" si="8"/>
        <v>472</v>
      </c>
      <c r="AI52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0.45556793573901277</v>
      </c>
      <c r="AJ525" s="257">
        <f>FME_Ranking1[[#This Row],[Addition check]]-FME_Ranking1[[#This Row],[Weighted Score Based on Normalized Reported Factors]]</f>
        <v>0</v>
      </c>
      <c r="AK525" s="178">
        <f>_xlfn.RANK.EQ(AI525,$AI$6:$AI$2341,0)+COUNTIF($AI$6:AI525,AI525)-1</f>
        <v>472</v>
      </c>
    </row>
    <row r="526" spans="1:37" ht="12" customHeight="1" x14ac:dyDescent="0.25">
      <c r="A526" t="s">
        <v>5518</v>
      </c>
      <c r="B526">
        <f>_xlfn.XLOOKUP(FME_Ranking1[[#This Row],[FME ID]],FME_Input[FME_ID],FME_Input[RFPG_NUM])</f>
        <v>4</v>
      </c>
      <c r="C526" t="str">
        <f>_xlfn.XLOOKUP(FME_Ranking1[[#This Row],[FME ID]],FME_Input[FME_ID],FME_Input[FME_NAME])</f>
        <v>Panola County Drainage Master Plan</v>
      </c>
      <c r="D526" t="str">
        <f>_xlfn.XLOOKUP(FME_Ranking1[[#This Row],[FME ID]],FME_Input[FME_ID],FME_Input[DESCR])</f>
        <v>Perform H&amp;H modeling to identify and define flood risk, develop conceptual alternatives to reduce flood risk, develop OPCC for conceptual alternatives, and rank projects. Conceptual alternatives should evaluate feasibility of nature based solutions.</v>
      </c>
      <c r="E526" s="256">
        <f>_xlfn.XLOOKUP(FME_Ranking1[[#This Row],[FME ID]],FME_Input[FME_ID],FME_Input[FME_COST])</f>
        <v>1700000</v>
      </c>
      <c r="F526" t="str">
        <f>_xlfn.XLOOKUP(FME_Ranking1[[#This Row],[FME ID]],FME_Input[FME_ID],FME_Input[EMER_NEED])</f>
        <v>Yes</v>
      </c>
      <c r="G526">
        <f>IF(FME_Ranking!F526="Yes",100,0)</f>
        <v>100</v>
      </c>
      <c r="H526">
        <f>FME_Ranking1[[#This Row],[Emergency Need Score (Normalized, Unweighted)]]*$F$3</f>
        <v>0</v>
      </c>
      <c r="I526" s="246">
        <f>_xlfn.XLOOKUP(FME_Ranking1[[#This Row],[FME ID]],FME_Input[FME_ID],FME_Input[STRUCT_100])</f>
        <v>750</v>
      </c>
      <c r="J526" s="178">
        <f>(FME_Ranking1[[#This Row],[Structures 100 Raw]]/I$2)*100</f>
        <v>0.40161932913507259</v>
      </c>
      <c r="K526" s="178">
        <f>FME_Ranking1[[#This Row],[Structures 100  Score (Normalized, Unweighted)]]*$I$3</f>
        <v>6.0242899370260887E-2</v>
      </c>
      <c r="L526" s="246">
        <f>_xlfn.XLOOKUP(FME_Ranking1[[#This Row],[FME ID]],FME_Input[FME_ID],FME_Input[RES_STRUCT100])</f>
        <v>317</v>
      </c>
      <c r="M526" s="230">
        <f>(FME_Ranking1[[#This Row],[Res Structures Raw]]/L$2)*100</f>
        <v>0.2245328724624952</v>
      </c>
      <c r="N526" s="180">
        <f>FME_Ranking1[[#This Row],[Res Structures Score (Normalized, Unweighted)]]*$L$3</f>
        <v>2.2453287246249523E-2</v>
      </c>
      <c r="O526" s="244">
        <f>_xlfn.XLOOKUP(FME_Ranking1[[#This Row],[FME ID]],FME_Input[FME_ID],FME_Input[POP100])</f>
        <v>1870</v>
      </c>
      <c r="P526" s="178">
        <f>(FME_Ranking1[[#This Row],[Pop Raw]]/$O$2)*100</f>
        <v>0.19144183341898735</v>
      </c>
      <c r="Q526" s="178">
        <f>FME_Ranking1[[#This Row],[Pop Score (Normalized, Unweighted)]]*$O$3</f>
        <v>2.87162750128481E-2</v>
      </c>
      <c r="R526" s="137">
        <f>_xlfn.XLOOKUP(FME_Ranking1[[#This Row],[FME ID]],FME_Input[FME_ID],FME_Input[CRITFAC100])</f>
        <v>2</v>
      </c>
      <c r="S526" s="230">
        <f>(FME_Ranking1[[#This Row],[Critical Facilities Raw]]/$R$2)*100</f>
        <v>8.5763293310463118E-2</v>
      </c>
      <c r="T526" s="180">
        <f>FME_Ranking1[[#This Row],[Critical Facilities Score (Normalized, Unweighted)]]*$R$3</f>
        <v>1.7152658662092625E-2</v>
      </c>
      <c r="U526">
        <f>_xlfn.XLOOKUP(FME_Ranking1[[#This Row],[FME ID]],FME_Input[FME_ID],FME_Input[LWC])</f>
        <v>10</v>
      </c>
      <c r="V526" s="178">
        <f>(FME_Ranking1[[#This Row],[LWC Raw]]/$U$2)*100</f>
        <v>0.57570523891767411</v>
      </c>
      <c r="W526" s="178">
        <f>FME_Ranking1[[#This Row],[LWC Score (Normalized, Unweighted)]]*$U$3</f>
        <v>0.11514104778353483</v>
      </c>
      <c r="X526" s="246">
        <f>_xlfn.XLOOKUP(FME_Ranking1[[#This Row],[FME ID]],FME_Input[FME_ID],FME_Input[ROADCLS])</f>
        <v>10</v>
      </c>
      <c r="Y526" s="230">
        <f>(FME_Ranking1[[#This Row],[Closures Raw]]/$X$2)*100</f>
        <v>0.10514141520344865</v>
      </c>
      <c r="Z526" s="180">
        <f>FME_Ranking1[[#This Row],[Closures Score (Normalized, Unweighted)]]*$X$3</f>
        <v>5.2570707601724328E-3</v>
      </c>
      <c r="AA526" s="253">
        <f>_xlfn.XLOOKUP(FME_Ranking1[[#This Row],[FME ID]],FME_Input[FME_ID],FME_Input[ROAD_MILES100])</f>
        <v>118.78033447265619</v>
      </c>
      <c r="AB526" s="178">
        <f>(FME_Ranking1[[#This Row],[Miles Raw]]/$AA$2)*100</f>
        <v>1.5617483557840448</v>
      </c>
      <c r="AC526" s="178">
        <f>FME_Ranking1[[#This Row],[Miles Score (Normalized, Unweighted)]]*$AA$3</f>
        <v>0.1561748355784045</v>
      </c>
      <c r="AD526" s="255">
        <f>_xlfn.XLOOKUP(FME_Ranking1[[#This Row],[FME ID]],FME_Input[FME_ID],FME_Input[FARMACRE100])</f>
        <v>24459.42578125</v>
      </c>
      <c r="AE526" s="230">
        <f>(FME_Ranking1[[#This Row],[Ag Land Raw]]/$AD$2)*100</f>
        <v>1.0085972265089984</v>
      </c>
      <c r="AF526" s="231">
        <f>FME_Ranking1[[#This Row],[Ag Land Score (Normalized, Unweighted)]]*$AD$3</f>
        <v>5.0429861325449923E-2</v>
      </c>
      <c r="AG52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0.45556793573901277</v>
      </c>
      <c r="AH526" s="406">
        <f t="shared" si="8"/>
        <v>472</v>
      </c>
      <c r="AI52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0.45556793573901277</v>
      </c>
      <c r="AJ526" s="257">
        <f>FME_Ranking1[[#This Row],[Addition check]]-FME_Ranking1[[#This Row],[Weighted Score Based on Normalized Reported Factors]]</f>
        <v>0</v>
      </c>
      <c r="AK526" s="178">
        <f>_xlfn.RANK.EQ(AI526,$AI$6:$AI$2341,0)+COUNTIF($AI$6:AI526,AI526)-1</f>
        <v>473</v>
      </c>
    </row>
    <row r="527" spans="1:37" ht="12" customHeight="1" x14ac:dyDescent="0.25">
      <c r="A527" t="s">
        <v>4135</v>
      </c>
      <c r="B527">
        <f>_xlfn.XLOOKUP(FME_Ranking1[[#This Row],[FME ID]],FME_Input[FME_ID],FME_Input[RFPG_NUM])</f>
        <v>3</v>
      </c>
      <c r="C527" t="str">
        <f>_xlfn.XLOOKUP(FME_Ranking1[[#This Row],[FME ID]],FME_Input[FME_ID],FME_Input[FME_NAME])</f>
        <v>City of Dayton DMP</v>
      </c>
      <c r="D527" t="str">
        <f>_xlfn.XLOOKUP(FME_Ranking1[[#This Row],[FME ID]],FME_Input[FME_ID],FME_Input[DESCR])</f>
        <v>Evaluate City and identify future projects.</v>
      </c>
      <c r="E527" s="256">
        <f>_xlfn.XLOOKUP(FME_Ranking1[[#This Row],[FME ID]],FME_Input[FME_ID],FME_Input[FME_COST])</f>
        <v>250000</v>
      </c>
      <c r="F527" t="str">
        <f>_xlfn.XLOOKUP(FME_Ranking1[[#This Row],[FME ID]],FME_Input[FME_ID],FME_Input[EMER_NEED])</f>
        <v>No</v>
      </c>
      <c r="G527">
        <f>IF(FME_Ranking!F527="Yes",100,0)</f>
        <v>0</v>
      </c>
      <c r="H527">
        <f>FME_Ranking1[[#This Row],[Emergency Need Score (Normalized, Unweighted)]]*$F$3</f>
        <v>0</v>
      </c>
      <c r="I527" s="246">
        <f>_xlfn.XLOOKUP(FME_Ranking1[[#This Row],[FME ID]],FME_Input[FME_ID],FME_Input[STRUCT_100])</f>
        <v>727</v>
      </c>
      <c r="J527" s="178">
        <f>(FME_Ranking1[[#This Row],[Structures 100 Raw]]/I$2)*100</f>
        <v>0.38930300304159704</v>
      </c>
      <c r="K527" s="178">
        <f>FME_Ranking1[[#This Row],[Structures 100  Score (Normalized, Unweighted)]]*$I$3</f>
        <v>5.8395450456239555E-2</v>
      </c>
      <c r="L527" s="246">
        <f>_xlfn.XLOOKUP(FME_Ranking1[[#This Row],[FME ID]],FME_Input[FME_ID],FME_Input[RES_STRUCT100])</f>
        <v>687</v>
      </c>
      <c r="M527" s="230">
        <f>(FME_Ranking1[[#This Row],[Res Structures Raw]]/L$2)*100</f>
        <v>0.48660594126730033</v>
      </c>
      <c r="N527" s="180">
        <f>FME_Ranking1[[#This Row],[Res Structures Score (Normalized, Unweighted)]]*$L$3</f>
        <v>4.8660594126730038E-2</v>
      </c>
      <c r="O527" s="244">
        <f>_xlfn.XLOOKUP(FME_Ranking1[[#This Row],[FME ID]],FME_Input[FME_ID],FME_Input[POP100])</f>
        <v>2181</v>
      </c>
      <c r="P527" s="178">
        <f>(FME_Ranking1[[#This Row],[Pop Raw]]/$O$2)*100</f>
        <v>0.22328055544749273</v>
      </c>
      <c r="Q527" s="178">
        <f>FME_Ranking1[[#This Row],[Pop Score (Normalized, Unweighted)]]*$O$3</f>
        <v>3.3492083317123909E-2</v>
      </c>
      <c r="R527" s="137">
        <f>_xlfn.XLOOKUP(FME_Ranking1[[#This Row],[FME ID]],FME_Input[FME_ID],FME_Input[CRITFAC100])</f>
        <v>18</v>
      </c>
      <c r="S527" s="230">
        <f>(FME_Ranking1[[#This Row],[Critical Facilities Raw]]/$R$2)*100</f>
        <v>0.77186963979416812</v>
      </c>
      <c r="T527" s="180">
        <f>FME_Ranking1[[#This Row],[Critical Facilities Score (Normalized, Unweighted)]]*$R$3</f>
        <v>0.15437392795883365</v>
      </c>
      <c r="U527">
        <f>_xlfn.XLOOKUP(FME_Ranking1[[#This Row],[FME ID]],FME_Input[FME_ID],FME_Input[LWC])</f>
        <v>0</v>
      </c>
      <c r="V527" s="178">
        <f>(FME_Ranking1[[#This Row],[LWC Raw]]/$U$2)*100</f>
        <v>0</v>
      </c>
      <c r="W527" s="178">
        <f>FME_Ranking1[[#This Row],[LWC Score (Normalized, Unweighted)]]*$U$3</f>
        <v>0</v>
      </c>
      <c r="X527" s="246">
        <f>_xlfn.XLOOKUP(FME_Ranking1[[#This Row],[FME ID]],FME_Input[FME_ID],FME_Input[ROADCLS])</f>
        <v>0</v>
      </c>
      <c r="Y527" s="230">
        <f>(FME_Ranking1[[#This Row],[Closures Raw]]/$X$2)*100</f>
        <v>0</v>
      </c>
      <c r="Z527" s="180">
        <f>FME_Ranking1[[#This Row],[Closures Score (Normalized, Unweighted)]]*$X$3</f>
        <v>0</v>
      </c>
      <c r="AA527" s="253">
        <f>_xlfn.XLOOKUP(FME_Ranking1[[#This Row],[FME ID]],FME_Input[FME_ID],FME_Input[ROAD_MILES100])</f>
        <v>17.866910934448239</v>
      </c>
      <c r="AB527" s="178">
        <f>(FME_Ranking1[[#This Row],[Miles Raw]]/$AA$2)*100</f>
        <v>0.23491783297880892</v>
      </c>
      <c r="AC527" s="178">
        <f>FME_Ranking1[[#This Row],[Miles Score (Normalized, Unweighted)]]*$AA$3</f>
        <v>2.3491783297880892E-2</v>
      </c>
      <c r="AD527" s="255">
        <f>_xlfn.XLOOKUP(FME_Ranking1[[#This Row],[FME ID]],FME_Input[FME_ID],FME_Input[FARMACRE100])</f>
        <v>1731.984985351562</v>
      </c>
      <c r="AE527" s="230">
        <f>(FME_Ranking1[[#This Row],[Ag Land Raw]]/$AD$2)*100</f>
        <v>7.1419307558721418E-2</v>
      </c>
      <c r="AF527" s="231">
        <f>FME_Ranking1[[#This Row],[Ag Land Score (Normalized, Unweighted)]]*$AD$3</f>
        <v>3.5709653779360711E-3</v>
      </c>
      <c r="AG52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0.3219848045347441</v>
      </c>
      <c r="AH527" s="406">
        <f t="shared" si="8"/>
        <v>592</v>
      </c>
      <c r="AI52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0.3219848045347441</v>
      </c>
      <c r="AJ527" s="257">
        <f>FME_Ranking1[[#This Row],[Addition check]]-FME_Ranking1[[#This Row],[Weighted Score Based on Normalized Reported Factors]]</f>
        <v>0</v>
      </c>
      <c r="AK527" s="178">
        <f>_xlfn.RANK.EQ(AI527,$AI$6:$AI$2341,0)+COUNTIF($AI$6:AI527,AI527)-1</f>
        <v>592</v>
      </c>
    </row>
    <row r="528" spans="1:37" ht="12" customHeight="1" x14ac:dyDescent="0.25">
      <c r="A528" t="s">
        <v>3658</v>
      </c>
      <c r="B528">
        <f>_xlfn.XLOOKUP(FME_Ranking1[[#This Row],[FME ID]],FME_Input[FME_ID],FME_Input[RFPG_NUM])</f>
        <v>2</v>
      </c>
      <c r="C528" t="str">
        <f>_xlfn.XLOOKUP(FME_Ranking1[[#This Row],[FME ID]],FME_Input[FME_ID],FME_Input[FME_NAME])</f>
        <v>City of Texarkana Gauges</v>
      </c>
      <c r="D528" t="str">
        <f>_xlfn.XLOOKUP(FME_Ranking1[[#This Row],[FME ID]],FME_Input[FME_ID],FME_Input[DESCR])</f>
        <v>Install depth gauges and radio-controlled guard arms at three flood-prone underpasses and warning lights and a “Do Not Enter” sign at flood-prone residential intersection.</v>
      </c>
      <c r="E528" s="256">
        <f>_xlfn.XLOOKUP(FME_Ranking1[[#This Row],[FME ID]],FME_Input[FME_ID],FME_Input[FME_COST])</f>
        <v>100000</v>
      </c>
      <c r="F528" t="str">
        <f>_xlfn.XLOOKUP(FME_Ranking1[[#This Row],[FME ID]],FME_Input[FME_ID],FME_Input[EMER_NEED])</f>
        <v>No</v>
      </c>
      <c r="G528">
        <f>IF(FME_Ranking!F528="Yes",100,0)</f>
        <v>0</v>
      </c>
      <c r="H528">
        <f>FME_Ranking1[[#This Row],[Emergency Need Score (Normalized, Unweighted)]]*$F$3</f>
        <v>0</v>
      </c>
      <c r="I528" s="246">
        <f>_xlfn.XLOOKUP(FME_Ranking1[[#This Row],[FME ID]],FME_Input[FME_ID],FME_Input[STRUCT_100])</f>
        <v>836</v>
      </c>
      <c r="J528" s="178">
        <f>(FME_Ranking1[[#This Row],[Structures 100 Raw]]/I$2)*100</f>
        <v>0.44767167887589432</v>
      </c>
      <c r="K528" s="178">
        <f>FME_Ranking1[[#This Row],[Structures 100  Score (Normalized, Unweighted)]]*$I$3</f>
        <v>6.7150751831384151E-2</v>
      </c>
      <c r="L528" s="246">
        <f>_xlfn.XLOOKUP(FME_Ranking1[[#This Row],[FME ID]],FME_Input[FME_ID],FME_Input[RES_STRUCT100])</f>
        <v>574</v>
      </c>
      <c r="M528" s="230">
        <f>(FME_Ranking1[[#This Row],[Res Structures Raw]]/L$2)*100</f>
        <v>0.40656740944313013</v>
      </c>
      <c r="N528" s="180">
        <f>FME_Ranking1[[#This Row],[Res Structures Score (Normalized, Unweighted)]]*$L$3</f>
        <v>4.0656740944313013E-2</v>
      </c>
      <c r="O528" s="244">
        <f>_xlfn.XLOOKUP(FME_Ranking1[[#This Row],[FME ID]],FME_Input[FME_ID],FME_Input[POP100])</f>
        <v>5788</v>
      </c>
      <c r="P528" s="178">
        <f>(FME_Ranking1[[#This Row],[Pop Raw]]/$O$2)*100</f>
        <v>0.59254830579096185</v>
      </c>
      <c r="Q528" s="178">
        <f>FME_Ranking1[[#This Row],[Pop Score (Normalized, Unweighted)]]*$O$3</f>
        <v>8.888224586864428E-2</v>
      </c>
      <c r="R528" s="137">
        <f>_xlfn.XLOOKUP(FME_Ranking1[[#This Row],[FME ID]],FME_Input[FME_ID],FME_Input[CRITFAC100])</f>
        <v>9</v>
      </c>
      <c r="S528" s="230">
        <f>(FME_Ranking1[[#This Row],[Critical Facilities Raw]]/$R$2)*100</f>
        <v>0.38593481989708406</v>
      </c>
      <c r="T528" s="180">
        <f>FME_Ranking1[[#This Row],[Critical Facilities Score (Normalized, Unweighted)]]*$R$3</f>
        <v>7.7186963979416823E-2</v>
      </c>
      <c r="U528">
        <f>_xlfn.XLOOKUP(FME_Ranking1[[#This Row],[FME ID]],FME_Input[FME_ID],FME_Input[LWC])</f>
        <v>2</v>
      </c>
      <c r="V528" s="178">
        <f>(FME_Ranking1[[#This Row],[LWC Raw]]/$U$2)*100</f>
        <v>0.11514104778353484</v>
      </c>
      <c r="W528" s="178">
        <f>FME_Ranking1[[#This Row],[LWC Score (Normalized, Unweighted)]]*$U$3</f>
        <v>2.302820955670697E-2</v>
      </c>
      <c r="X528" s="246">
        <f>_xlfn.XLOOKUP(FME_Ranking1[[#This Row],[FME ID]],FME_Input[FME_ID],FME_Input[ROADCLS])</f>
        <v>0</v>
      </c>
      <c r="Y528" s="230">
        <f>(FME_Ranking1[[#This Row],[Closures Raw]]/$X$2)*100</f>
        <v>0</v>
      </c>
      <c r="Z528" s="180">
        <f>FME_Ranking1[[#This Row],[Closures Score (Normalized, Unweighted)]]*$X$3</f>
        <v>0</v>
      </c>
      <c r="AA528" s="253">
        <f>_xlfn.XLOOKUP(FME_Ranking1[[#This Row],[FME ID]],FME_Input[FME_ID],FME_Input[ROAD_MILES100])</f>
        <v>48.237167358398438</v>
      </c>
      <c r="AB528" s="178">
        <f>(FME_Ranking1[[#This Row],[Miles Raw]]/$AA$2)*100</f>
        <v>0.63423223334163015</v>
      </c>
      <c r="AC528" s="178">
        <f>FME_Ranking1[[#This Row],[Miles Score (Normalized, Unweighted)]]*$AA$3</f>
        <v>6.3423223334163017E-2</v>
      </c>
      <c r="AD528" s="255">
        <f>_xlfn.XLOOKUP(FME_Ranking1[[#This Row],[FME ID]],FME_Input[FME_ID],FME_Input[FARMACRE100])</f>
        <v>41.492561340332031</v>
      </c>
      <c r="AE528" s="230">
        <f>(FME_Ranking1[[#This Row],[Ag Land Raw]]/$AD$2)*100</f>
        <v>1.7109674880713683E-3</v>
      </c>
      <c r="AF528" s="231">
        <f>FME_Ranking1[[#This Row],[Ag Land Score (Normalized, Unweighted)]]*$AD$3</f>
        <v>8.5548374403568425E-5</v>
      </c>
      <c r="AG52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0.36041368388903183</v>
      </c>
      <c r="AH528" s="406">
        <f t="shared" si="8"/>
        <v>564</v>
      </c>
      <c r="AI52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0.36041368388903183</v>
      </c>
      <c r="AJ528" s="257">
        <f>FME_Ranking1[[#This Row],[Addition check]]-FME_Ranking1[[#This Row],[Weighted Score Based on Normalized Reported Factors]]</f>
        <v>0</v>
      </c>
      <c r="AK528" s="178">
        <f>_xlfn.RANK.EQ(AI528,$AI$6:$AI$2341,0)+COUNTIF($AI$6:AI528,AI528)-1</f>
        <v>564</v>
      </c>
    </row>
    <row r="529" spans="1:37" ht="12" customHeight="1" x14ac:dyDescent="0.25">
      <c r="A529" t="s">
        <v>2931</v>
      </c>
      <c r="B529">
        <f>_xlfn.XLOOKUP(FME_Ranking1[[#This Row],[FME ID]],FME_Input[FME_ID],FME_Input[RFPG_NUM])</f>
        <v>1</v>
      </c>
      <c r="C529" t="str">
        <f>_xlfn.XLOOKUP(FME_Ranking1[[#This Row],[FME ID]],FME_Input[FME_ID],FME_Input[FME_NAME])</f>
        <v>Armstrong County FIS</v>
      </c>
      <c r="D529" t="str">
        <f>_xlfn.XLOOKUP(FME_Ranking1[[#This Row],[FME ID]],FME_Input[FME_ID],FME_Input[DESCR])</f>
        <v>Perform flood insurance study for the county and develop regulatory mapping</v>
      </c>
      <c r="E529" s="256">
        <f>_xlfn.XLOOKUP(FME_Ranking1[[#This Row],[FME ID]],FME_Input[FME_ID],FME_Input[FME_COST])</f>
        <v>863000</v>
      </c>
      <c r="F529" t="str">
        <f>_xlfn.XLOOKUP(FME_Ranking1[[#This Row],[FME ID]],FME_Input[FME_ID],FME_Input[EMER_NEED])</f>
        <v>No</v>
      </c>
      <c r="G529">
        <f>IF(FME_Ranking!F529="Yes",100,0)</f>
        <v>0</v>
      </c>
      <c r="H529">
        <f>FME_Ranking1[[#This Row],[Emergency Need Score (Normalized, Unweighted)]]*$F$3</f>
        <v>0</v>
      </c>
      <c r="I529" s="246">
        <f>_xlfn.XLOOKUP(FME_Ranking1[[#This Row],[FME ID]],FME_Input[FME_ID],FME_Input[STRUCT_100])</f>
        <v>24</v>
      </c>
      <c r="J529" s="178">
        <f>(FME_Ranking1[[#This Row],[Structures 100 Raw]]/I$2)*100</f>
        <v>1.2851818532322323E-2</v>
      </c>
      <c r="K529" s="178">
        <f>FME_Ranking1[[#This Row],[Structures 100  Score (Normalized, Unweighted)]]*$I$3</f>
        <v>1.9277727798483483E-3</v>
      </c>
      <c r="L529" s="246">
        <f>_xlfn.XLOOKUP(FME_Ranking1[[#This Row],[FME ID]],FME_Input[FME_ID],FME_Input[RES_STRUCT100])</f>
        <v>0</v>
      </c>
      <c r="M529" s="230">
        <f>(FME_Ranking1[[#This Row],[Res Structures Raw]]/L$2)*100</f>
        <v>0</v>
      </c>
      <c r="N529" s="180">
        <f>FME_Ranking1[[#This Row],[Res Structures Score (Normalized, Unweighted)]]*$L$3</f>
        <v>0</v>
      </c>
      <c r="O529" s="244">
        <f>_xlfn.XLOOKUP(FME_Ranking1[[#This Row],[FME ID]],FME_Input[FME_ID],FME_Input[POP100])</f>
        <v>13</v>
      </c>
      <c r="P529" s="178">
        <f>(FME_Ranking1[[#This Row],[Pop Raw]]/$O$2)*100</f>
        <v>1.3308790558539227E-3</v>
      </c>
      <c r="Q529" s="178">
        <f>FME_Ranking1[[#This Row],[Pop Score (Normalized, Unweighted)]]*$O$3</f>
        <v>1.9963185837808839E-4</v>
      </c>
      <c r="R529" s="137">
        <f>_xlfn.XLOOKUP(FME_Ranking1[[#This Row],[FME ID]],FME_Input[FME_ID],FME_Input[CRITFAC100])</f>
        <v>0</v>
      </c>
      <c r="S529" s="230">
        <f>(FME_Ranking1[[#This Row],[Critical Facilities Raw]]/$R$2)*100</f>
        <v>0</v>
      </c>
      <c r="T529" s="180">
        <f>FME_Ranking1[[#This Row],[Critical Facilities Score (Normalized, Unweighted)]]*$R$3</f>
        <v>0</v>
      </c>
      <c r="U529">
        <f>_xlfn.XLOOKUP(FME_Ranking1[[#This Row],[FME ID]],FME_Input[FME_ID],FME_Input[LWC])</f>
        <v>14</v>
      </c>
      <c r="V529" s="178">
        <f>(FME_Ranking1[[#This Row],[LWC Raw]]/$U$2)*100</f>
        <v>0.80598733448474369</v>
      </c>
      <c r="W529" s="178">
        <f>FME_Ranking1[[#This Row],[LWC Score (Normalized, Unweighted)]]*$U$3</f>
        <v>0.16119746689694875</v>
      </c>
      <c r="X529" s="246">
        <f>_xlfn.XLOOKUP(FME_Ranking1[[#This Row],[FME ID]],FME_Input[FME_ID],FME_Input[ROADCLS])</f>
        <v>27</v>
      </c>
      <c r="Y529" s="230">
        <f>(FME_Ranking1[[#This Row],[Closures Raw]]/$X$2)*100</f>
        <v>0.28388182104931131</v>
      </c>
      <c r="Z529" s="180">
        <f>FME_Ranking1[[#This Row],[Closures Score (Normalized, Unweighted)]]*$X$3</f>
        <v>1.4194091052465566E-2</v>
      </c>
      <c r="AA529" s="253">
        <f>_xlfn.XLOOKUP(FME_Ranking1[[#This Row],[FME ID]],FME_Input[FME_ID],FME_Input[ROAD_MILES100])</f>
        <v>25.401704788208011</v>
      </c>
      <c r="AB529" s="178">
        <f>(FME_Ranking1[[#This Row],[Miles Raw]]/$AA$2)*100</f>
        <v>0.33398685786853066</v>
      </c>
      <c r="AC529" s="178">
        <f>FME_Ranking1[[#This Row],[Miles Score (Normalized, Unweighted)]]*$AA$3</f>
        <v>3.3398685786853066E-2</v>
      </c>
      <c r="AD529" s="255">
        <f>_xlfn.XLOOKUP(FME_Ranking1[[#This Row],[FME ID]],FME_Input[FME_ID],FME_Input[FARMACRE100])</f>
        <v>56990.49609375</v>
      </c>
      <c r="AE529" s="230">
        <f>(FME_Ranking1[[#This Row],[Ag Land Raw]]/$AD$2)*100</f>
        <v>2.3500329407402232</v>
      </c>
      <c r="AF529" s="231">
        <f>FME_Ranking1[[#This Row],[Ag Land Score (Normalized, Unweighted)]]*$AD$3</f>
        <v>0.11750164703701116</v>
      </c>
      <c r="AG52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0.328419295411505</v>
      </c>
      <c r="AH529" s="406">
        <f t="shared" si="8"/>
        <v>588</v>
      </c>
      <c r="AI52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0.328419295411505</v>
      </c>
      <c r="AJ529" s="257">
        <f>FME_Ranking1[[#This Row],[Addition check]]-FME_Ranking1[[#This Row],[Weighted Score Based on Normalized Reported Factors]]</f>
        <v>0</v>
      </c>
      <c r="AK529" s="178">
        <f>_xlfn.RANK.EQ(AI529,$AI$6:$AI$2341,0)+COUNTIF($AI$6:AI529,AI529)-1</f>
        <v>588</v>
      </c>
    </row>
    <row r="530" spans="1:37" ht="12" customHeight="1" x14ac:dyDescent="0.25">
      <c r="A530" t="s">
        <v>4377</v>
      </c>
      <c r="B530">
        <f>_xlfn.XLOOKUP(FME_Ranking1[[#This Row],[FME ID]],FME_Input[FME_ID],FME_Input[RFPG_NUM])</f>
        <v>3</v>
      </c>
      <c r="C530" t="str">
        <f>_xlfn.XLOOKUP(FME_Ranking1[[#This Row],[FME ID]],FME_Input[FME_ID],FME_Input[FME_NAME])</f>
        <v>Main &amp; Wilson Streets Drainage Study Update</v>
      </c>
      <c r="D530" t="str">
        <f>_xlfn.XLOOKUP(FME_Ranking1[[#This Row],[FME ID]],FME_Input[FME_ID],FME_Input[DESCR])</f>
        <v>Area 18</v>
      </c>
      <c r="E530" s="256">
        <f>_xlfn.XLOOKUP(FME_Ranking1[[#This Row],[FME ID]],FME_Input[FME_ID],FME_Input[FME_COST])</f>
        <v>50000</v>
      </c>
      <c r="F530" t="str">
        <f>_xlfn.XLOOKUP(FME_Ranking1[[#This Row],[FME ID]],FME_Input[FME_ID],FME_Input[EMER_NEED])</f>
        <v>No</v>
      </c>
      <c r="G530">
        <f>IF(FME_Ranking!F530="Yes",100,0)</f>
        <v>0</v>
      </c>
      <c r="H530">
        <f>FME_Ranking1[[#This Row],[Emergency Need Score (Normalized, Unweighted)]]*$F$3</f>
        <v>0</v>
      </c>
      <c r="I530" s="246">
        <f>_xlfn.XLOOKUP(FME_Ranking1[[#This Row],[FME ID]],FME_Input[FME_ID],FME_Input[STRUCT_100])</f>
        <v>348</v>
      </c>
      <c r="J530" s="178">
        <f>(FME_Ranking1[[#This Row],[Structures 100 Raw]]/I$2)*100</f>
        <v>0.18635136871867369</v>
      </c>
      <c r="K530" s="178">
        <f>FME_Ranking1[[#This Row],[Structures 100  Score (Normalized, Unweighted)]]*$I$3</f>
        <v>2.7952705307801053E-2</v>
      </c>
      <c r="L530" s="246">
        <f>_xlfn.XLOOKUP(FME_Ranking1[[#This Row],[FME ID]],FME_Input[FME_ID],FME_Input[RES_STRUCT100])</f>
        <v>319</v>
      </c>
      <c r="M530" s="230">
        <f>(FME_Ranking1[[#This Row],[Res Structures Raw]]/L$2)*100</f>
        <v>0.22594948364522391</v>
      </c>
      <c r="N530" s="180">
        <f>FME_Ranking1[[#This Row],[Res Structures Score (Normalized, Unweighted)]]*$L$3</f>
        <v>2.2594948364522392E-2</v>
      </c>
      <c r="O530" s="244">
        <f>_xlfn.XLOOKUP(FME_Ranking1[[#This Row],[FME ID]],FME_Input[FME_ID],FME_Input[POP100])</f>
        <v>4557</v>
      </c>
      <c r="P530" s="178">
        <f>(FME_Ranking1[[#This Row],[Pop Raw]]/$O$2)*100</f>
        <v>0.46652429673279427</v>
      </c>
      <c r="Q530" s="178">
        <f>FME_Ranking1[[#This Row],[Pop Score (Normalized, Unweighted)]]*$O$3</f>
        <v>6.9978644509919141E-2</v>
      </c>
      <c r="R530" s="137">
        <f>_xlfn.XLOOKUP(FME_Ranking1[[#This Row],[FME ID]],FME_Input[FME_ID],FME_Input[CRITFAC100])</f>
        <v>4</v>
      </c>
      <c r="S530" s="230">
        <f>(FME_Ranking1[[#This Row],[Critical Facilities Raw]]/$R$2)*100</f>
        <v>0.17152658662092624</v>
      </c>
      <c r="T530" s="180">
        <f>FME_Ranking1[[#This Row],[Critical Facilities Score (Normalized, Unweighted)]]*$R$3</f>
        <v>3.430531732418525E-2</v>
      </c>
      <c r="U530">
        <f>_xlfn.XLOOKUP(FME_Ranking1[[#This Row],[FME ID]],FME_Input[FME_ID],FME_Input[LWC])</f>
        <v>12</v>
      </c>
      <c r="V530" s="178">
        <f>(FME_Ranking1[[#This Row],[LWC Raw]]/$U$2)*100</f>
        <v>0.69084628670120896</v>
      </c>
      <c r="W530" s="178">
        <f>FME_Ranking1[[#This Row],[LWC Score (Normalized, Unweighted)]]*$U$3</f>
        <v>0.1381692573402418</v>
      </c>
      <c r="X530" s="246">
        <f>_xlfn.XLOOKUP(FME_Ranking1[[#This Row],[FME ID]],FME_Input[FME_ID],FME_Input[ROADCLS])</f>
        <v>0</v>
      </c>
      <c r="Y530" s="230">
        <f>(FME_Ranking1[[#This Row],[Closures Raw]]/$X$2)*100</f>
        <v>0</v>
      </c>
      <c r="Z530" s="180">
        <f>FME_Ranking1[[#This Row],[Closures Score (Normalized, Unweighted)]]*$X$3</f>
        <v>0</v>
      </c>
      <c r="AA530" s="253">
        <f>_xlfn.XLOOKUP(FME_Ranking1[[#This Row],[FME ID]],FME_Input[FME_ID],FME_Input[ROAD_MILES100])</f>
        <v>9.1939573287963867</v>
      </c>
      <c r="AB530" s="178">
        <f>(FME_Ranking1[[#This Row],[Miles Raw]]/$AA$2)*100</f>
        <v>0.12088404873705635</v>
      </c>
      <c r="AC530" s="178">
        <f>FME_Ranking1[[#This Row],[Miles Score (Normalized, Unweighted)]]*$AA$3</f>
        <v>1.2088404873705636E-2</v>
      </c>
      <c r="AD530" s="255">
        <f>_xlfn.XLOOKUP(FME_Ranking1[[#This Row],[FME ID]],FME_Input[FME_ID],FME_Input[FARMACRE100])</f>
        <v>8.2853097915649414</v>
      </c>
      <c r="AE530" s="230">
        <f>(FME_Ranking1[[#This Row],[Ag Land Raw]]/$AD$2)*100</f>
        <v>3.4164908658428805E-4</v>
      </c>
      <c r="AF530" s="231">
        <f>FME_Ranking1[[#This Row],[Ag Land Score (Normalized, Unweighted)]]*$AD$3</f>
        <v>1.7082454329214404E-5</v>
      </c>
      <c r="AG53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0.30510636017470449</v>
      </c>
      <c r="AH530" s="406">
        <f t="shared" si="8"/>
        <v>610</v>
      </c>
      <c r="AI53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0.30510636017470449</v>
      </c>
      <c r="AJ530" s="257">
        <f>FME_Ranking1[[#This Row],[Addition check]]-FME_Ranking1[[#This Row],[Weighted Score Based on Normalized Reported Factors]]</f>
        <v>0</v>
      </c>
      <c r="AK530" s="178">
        <f>_xlfn.RANK.EQ(AI530,$AI$6:$AI$2341,0)+COUNTIF($AI$6:AI530,AI530)-1</f>
        <v>610</v>
      </c>
    </row>
    <row r="531" spans="1:37" x14ac:dyDescent="0.25">
      <c r="A531" t="s">
        <v>7272</v>
      </c>
      <c r="B531">
        <f>_xlfn.XLOOKUP(FME_Ranking1[[#This Row],[FME ID]],FME_Input[FME_ID],FME_Input[RFPG_NUM])</f>
        <v>7</v>
      </c>
      <c r="C531" t="str">
        <f>_xlfn.XLOOKUP(FME_Ranking1[[#This Row],[FME ID]],FME_Input[FME_ID],FME_Input[FME_NAME])</f>
        <v>City of Levelland DCM</v>
      </c>
      <c r="D531" t="str">
        <f>_xlfn.XLOOKUP(FME_Ranking1[[#This Row],[FME ID]],FME_Input[FME_ID],FME_Input[DESCR])</f>
        <v>Consider stormwater criteria for infrastructure and floodplain ordinances to avoid new exposure to flood hazards.</v>
      </c>
      <c r="E531" s="256">
        <f>_xlfn.XLOOKUP(FME_Ranking1[[#This Row],[FME ID]],FME_Input[FME_ID],FME_Input[FME_COST])</f>
        <v>100000</v>
      </c>
      <c r="F531" t="str">
        <f>_xlfn.XLOOKUP(FME_Ranking1[[#This Row],[FME ID]],FME_Input[FME_ID],FME_Input[EMER_NEED])</f>
        <v>No</v>
      </c>
      <c r="G531">
        <f>IF(FME_Ranking!F531="Yes",100,0)</f>
        <v>0</v>
      </c>
      <c r="H531">
        <f>FME_Ranking1[[#This Row],[Emergency Need Score (Normalized, Unweighted)]]*$F$3</f>
        <v>0</v>
      </c>
      <c r="I531" s="246">
        <f>_xlfn.XLOOKUP(FME_Ranking1[[#This Row],[FME ID]],FME_Input[FME_ID],FME_Input[STRUCT_100])</f>
        <v>1277</v>
      </c>
      <c r="J531" s="178">
        <f>(FME_Ranking1[[#This Row],[Structures 100 Raw]]/I$2)*100</f>
        <v>0.68382384440731692</v>
      </c>
      <c r="K531" s="178">
        <f>FME_Ranking1[[#This Row],[Structures 100  Score (Normalized, Unweighted)]]*$I$3</f>
        <v>0.10257357666109754</v>
      </c>
      <c r="L531" s="246">
        <f>_xlfn.XLOOKUP(FME_Ranking1[[#This Row],[FME ID]],FME_Input[FME_ID],FME_Input[RES_STRUCT100])</f>
        <v>1018</v>
      </c>
      <c r="M531" s="230">
        <f>(FME_Ranking1[[#This Row],[Res Structures Raw]]/L$2)*100</f>
        <v>0.72105509200889628</v>
      </c>
      <c r="N531" s="180">
        <f>FME_Ranking1[[#This Row],[Res Structures Score (Normalized, Unweighted)]]*$L$3</f>
        <v>7.2105509200889636E-2</v>
      </c>
      <c r="O531" s="244">
        <f>_xlfn.XLOOKUP(FME_Ranking1[[#This Row],[FME ID]],FME_Input[FME_ID],FME_Input[POP100])</f>
        <v>4738</v>
      </c>
      <c r="P531" s="178">
        <f>(FME_Ranking1[[#This Row],[Pop Raw]]/$O$2)*100</f>
        <v>0.48505422820276045</v>
      </c>
      <c r="Q531" s="178">
        <f>FME_Ranking1[[#This Row],[Pop Score (Normalized, Unweighted)]]*$O$3</f>
        <v>7.2758134230414065E-2</v>
      </c>
      <c r="R531" s="137">
        <f>_xlfn.XLOOKUP(FME_Ranking1[[#This Row],[FME ID]],FME_Input[FME_ID],FME_Input[CRITFAC100])</f>
        <v>5</v>
      </c>
      <c r="S531" s="230">
        <f>(FME_Ranking1[[#This Row],[Critical Facilities Raw]]/$R$2)*100</f>
        <v>0.21440823327615782</v>
      </c>
      <c r="T531" s="180">
        <f>FME_Ranking1[[#This Row],[Critical Facilities Score (Normalized, Unweighted)]]*$R$3</f>
        <v>4.2881646655231566E-2</v>
      </c>
      <c r="U531">
        <f>_xlfn.XLOOKUP(FME_Ranking1[[#This Row],[FME ID]],FME_Input[FME_ID],FME_Input[LWC])</f>
        <v>0</v>
      </c>
      <c r="V531" s="178">
        <f>(FME_Ranking1[[#This Row],[LWC Raw]]/$U$2)*100</f>
        <v>0</v>
      </c>
      <c r="W531" s="178">
        <f>FME_Ranking1[[#This Row],[LWC Score (Normalized, Unweighted)]]*$U$3</f>
        <v>0</v>
      </c>
      <c r="X531" s="246">
        <f>_xlfn.XLOOKUP(FME_Ranking1[[#This Row],[FME ID]],FME_Input[FME_ID],FME_Input[ROADCLS])</f>
        <v>0</v>
      </c>
      <c r="Y531" s="230">
        <f>(FME_Ranking1[[#This Row],[Closures Raw]]/$X$2)*100</f>
        <v>0</v>
      </c>
      <c r="Z531" s="180">
        <f>FME_Ranking1[[#This Row],[Closures Score (Normalized, Unweighted)]]*$X$3</f>
        <v>0</v>
      </c>
      <c r="AA531" s="253">
        <f>_xlfn.XLOOKUP(FME_Ranking1[[#This Row],[FME ID]],FME_Input[FME_ID],FME_Input[ROAD_MILES100])</f>
        <v>46.038764953613281</v>
      </c>
      <c r="AB531" s="178">
        <f>(FME_Ranking1[[#This Row],[Miles Raw]]/$AA$2)*100</f>
        <v>0.60532718473852754</v>
      </c>
      <c r="AC531" s="178">
        <f>FME_Ranking1[[#This Row],[Miles Score (Normalized, Unweighted)]]*$AA$3</f>
        <v>6.0532718473852755E-2</v>
      </c>
      <c r="AD531" s="255">
        <f>_xlfn.XLOOKUP(FME_Ranking1[[#This Row],[FME ID]],FME_Input[FME_ID],FME_Input[FARMACRE100])</f>
        <v>718.18170166015625</v>
      </c>
      <c r="AE531" s="230">
        <f>(FME_Ranking1[[#This Row],[Ag Land Raw]]/$AD$2)*100</f>
        <v>2.9614598433427668E-2</v>
      </c>
      <c r="AF531" s="231">
        <f>FME_Ranking1[[#This Row],[Ag Land Score (Normalized, Unweighted)]]*$AD$3</f>
        <v>1.4807299216713834E-3</v>
      </c>
      <c r="AG53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0.35233231514315694</v>
      </c>
      <c r="AH531" s="406">
        <f t="shared" si="8"/>
        <v>567</v>
      </c>
      <c r="AI53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0.35233231514315694</v>
      </c>
      <c r="AJ531" s="257">
        <f>FME_Ranking1[[#This Row],[Addition check]]-FME_Ranking1[[#This Row],[Weighted Score Based on Normalized Reported Factors]]</f>
        <v>0</v>
      </c>
      <c r="AK531" s="178">
        <f>_xlfn.RANK.EQ(AI531,$AI$6:$AI$2341,0)+COUNTIF($AI$6:AI531,AI531)-1</f>
        <v>567</v>
      </c>
    </row>
    <row r="532" spans="1:37" x14ac:dyDescent="0.25">
      <c r="A532" t="s">
        <v>3983</v>
      </c>
      <c r="B532">
        <f>_xlfn.XLOOKUP(FME_Ranking1[[#This Row],[FME ID]],FME_Input[FME_ID],FME_Input[RFPG_NUM])</f>
        <v>3</v>
      </c>
      <c r="C532" t="str">
        <f>_xlfn.XLOOKUP(FME_Ranking1[[#This Row],[FME ID]],FME_Input[FME_ID],FME_Input[FME_NAME])</f>
        <v xml:space="preserve">Rockwall County FEMA Mapping </v>
      </c>
      <c r="D532" t="str">
        <f>_xlfn.XLOOKUP(FME_Ranking1[[#This Row],[FME ID]],FME_Input[FME_ID],FME_Input[DESCR])</f>
        <v>Create FEMA mapping in previously unmapped areas and update existing FEMA maps as needed.</v>
      </c>
      <c r="E532" s="256">
        <f>_xlfn.XLOOKUP(FME_Ranking1[[#This Row],[FME ID]],FME_Input[FME_ID],FME_Input[FME_COST])</f>
        <v>252000</v>
      </c>
      <c r="F532" t="str">
        <f>_xlfn.XLOOKUP(FME_Ranking1[[#This Row],[FME ID]],FME_Input[FME_ID],FME_Input[EMER_NEED])</f>
        <v>No</v>
      </c>
      <c r="G532">
        <f>IF(FME_Ranking!F532="Yes",100,0)</f>
        <v>0</v>
      </c>
      <c r="H532">
        <f>FME_Ranking1[[#This Row],[Emergency Need Score (Normalized, Unweighted)]]*$F$3</f>
        <v>0</v>
      </c>
      <c r="I532" s="246">
        <f>_xlfn.XLOOKUP(FME_Ranking1[[#This Row],[FME ID]],FME_Input[FME_ID],FME_Input[STRUCT_100])</f>
        <v>411</v>
      </c>
      <c r="J532" s="178">
        <f>(FME_Ranking1[[#This Row],[Structures 100 Raw]]/I$2)*100</f>
        <v>0.22008739236601982</v>
      </c>
      <c r="K532" s="178">
        <f>FME_Ranking1[[#This Row],[Structures 100  Score (Normalized, Unweighted)]]*$I$3</f>
        <v>3.3013108854902974E-2</v>
      </c>
      <c r="L532" s="246">
        <f>_xlfn.XLOOKUP(FME_Ranking1[[#This Row],[FME ID]],FME_Input[FME_ID],FME_Input[RES_STRUCT100])</f>
        <v>371</v>
      </c>
      <c r="M532" s="230">
        <f>(FME_Ranking1[[#This Row],[Res Structures Raw]]/L$2)*100</f>
        <v>0.2627813743961695</v>
      </c>
      <c r="N532" s="180">
        <f>FME_Ranking1[[#This Row],[Res Structures Score (Normalized, Unweighted)]]*$L$3</f>
        <v>2.6278137439616951E-2</v>
      </c>
      <c r="O532" s="244">
        <f>_xlfn.XLOOKUP(FME_Ranking1[[#This Row],[FME ID]],FME_Input[FME_ID],FME_Input[POP100])</f>
        <v>1553</v>
      </c>
      <c r="P532" s="178">
        <f>(FME_Ranking1[[#This Row],[Pop Raw]]/$O$2)*100</f>
        <v>0.15898885951854938</v>
      </c>
      <c r="Q532" s="178">
        <f>FME_Ranking1[[#This Row],[Pop Score (Normalized, Unweighted)]]*$O$3</f>
        <v>2.3848328927782405E-2</v>
      </c>
      <c r="R532" s="137">
        <f>_xlfn.XLOOKUP(FME_Ranking1[[#This Row],[FME ID]],FME_Input[FME_ID],FME_Input[CRITFAC100])</f>
        <v>3</v>
      </c>
      <c r="S532" s="230">
        <f>(FME_Ranking1[[#This Row],[Critical Facilities Raw]]/$R$2)*100</f>
        <v>0.1286449399656947</v>
      </c>
      <c r="T532" s="180">
        <f>FME_Ranking1[[#This Row],[Critical Facilities Score (Normalized, Unweighted)]]*$R$3</f>
        <v>2.5728987993138941E-2</v>
      </c>
      <c r="U532">
        <f>_xlfn.XLOOKUP(FME_Ranking1[[#This Row],[FME ID]],FME_Input[FME_ID],FME_Input[LWC])</f>
        <v>15</v>
      </c>
      <c r="V532" s="178">
        <f>(FME_Ranking1[[#This Row],[LWC Raw]]/$U$2)*100</f>
        <v>0.86355785837651122</v>
      </c>
      <c r="W532" s="178">
        <f>FME_Ranking1[[#This Row],[LWC Score (Normalized, Unweighted)]]*$U$3</f>
        <v>0.17271157167530227</v>
      </c>
      <c r="X532" s="246">
        <f>_xlfn.XLOOKUP(FME_Ranking1[[#This Row],[FME ID]],FME_Input[FME_ID],FME_Input[ROADCLS])</f>
        <v>0</v>
      </c>
      <c r="Y532" s="230">
        <f>(FME_Ranking1[[#This Row],[Closures Raw]]/$X$2)*100</f>
        <v>0</v>
      </c>
      <c r="Z532" s="180">
        <f>FME_Ranking1[[#This Row],[Closures Score (Normalized, Unweighted)]]*$X$3</f>
        <v>0</v>
      </c>
      <c r="AA532" s="253">
        <f>_xlfn.XLOOKUP(FME_Ranking1[[#This Row],[FME ID]],FME_Input[FME_ID],FME_Input[ROAD_MILES100])</f>
        <v>33.762531280517578</v>
      </c>
      <c r="AB532" s="178">
        <f>(FME_Ranking1[[#This Row],[Miles Raw]]/$AA$2)*100</f>
        <v>0.44391673039609164</v>
      </c>
      <c r="AC532" s="178">
        <f>FME_Ranking1[[#This Row],[Miles Score (Normalized, Unweighted)]]*$AA$3</f>
        <v>4.439167303960917E-2</v>
      </c>
      <c r="AD532" s="255">
        <f>_xlfn.XLOOKUP(FME_Ranking1[[#This Row],[FME ID]],FME_Input[FME_ID],FME_Input[FARMACRE100])</f>
        <v>4484.98876953125</v>
      </c>
      <c r="AE532" s="230">
        <f>(FME_Ranking1[[#This Row],[Ag Land Raw]]/$AD$2)*100</f>
        <v>0.18494085978669483</v>
      </c>
      <c r="AF532" s="231">
        <f>FME_Ranking1[[#This Row],[Ag Land Score (Normalized, Unweighted)]]*$AD$3</f>
        <v>9.2470429893347413E-3</v>
      </c>
      <c r="AG53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0.33521885091968745</v>
      </c>
      <c r="AH532" s="406">
        <f t="shared" si="8"/>
        <v>587</v>
      </c>
      <c r="AI53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0.33521885091968745</v>
      </c>
      <c r="AJ532" s="257">
        <f>FME_Ranking1[[#This Row],[Addition check]]-FME_Ranking1[[#This Row],[Weighted Score Based on Normalized Reported Factors]]</f>
        <v>0</v>
      </c>
      <c r="AK532" s="178">
        <f>_xlfn.RANK.EQ(AI532,$AI$6:$AI$2341,0)+COUNTIF($AI$6:AI532,AI532)-1</f>
        <v>587</v>
      </c>
    </row>
    <row r="533" spans="1:37" x14ac:dyDescent="0.25">
      <c r="A533" t="s">
        <v>3534</v>
      </c>
      <c r="B533">
        <f>_xlfn.XLOOKUP(FME_Ranking1[[#This Row],[FME ID]],FME_Input[FME_ID],FME_Input[RFPG_NUM])</f>
        <v>2</v>
      </c>
      <c r="C533" t="str">
        <f>_xlfn.XLOOKUP(FME_Ranking1[[#This Row],[FME ID]],FME_Input[FME_ID],FME_Input[FME_NAME])</f>
        <v>Titus County FIS</v>
      </c>
      <c r="D533" t="str">
        <f>_xlfn.XLOOKUP(FME_Ranking1[[#This Row],[FME ID]],FME_Input[FME_ID],FME_Input[DESCR])</f>
        <v>Update County maps to Zone AE</v>
      </c>
      <c r="E533" s="256">
        <f>_xlfn.XLOOKUP(FME_Ranking1[[#This Row],[FME ID]],FME_Input[FME_ID],FME_Input[FME_COST])</f>
        <v>1219000</v>
      </c>
      <c r="F533" t="str">
        <f>_xlfn.XLOOKUP(FME_Ranking1[[#This Row],[FME ID]],FME_Input[FME_ID],FME_Input[EMER_NEED])</f>
        <v>No</v>
      </c>
      <c r="G533">
        <f>IF(FME_Ranking!F533="Yes",100,0)</f>
        <v>0</v>
      </c>
      <c r="H533">
        <f>FME_Ranking1[[#This Row],[Emergency Need Score (Normalized, Unweighted)]]*$F$3</f>
        <v>0</v>
      </c>
      <c r="I533" s="246">
        <f>_xlfn.XLOOKUP(FME_Ranking1[[#This Row],[FME ID]],FME_Input[FME_ID],FME_Input[STRUCT_100])</f>
        <v>596</v>
      </c>
      <c r="J533" s="178">
        <f>(FME_Ranking1[[#This Row],[Structures 100 Raw]]/I$2)*100</f>
        <v>0.31915349355267103</v>
      </c>
      <c r="K533" s="178">
        <f>FME_Ranking1[[#This Row],[Structures 100  Score (Normalized, Unweighted)]]*$I$3</f>
        <v>4.7873024032900655E-2</v>
      </c>
      <c r="L533" s="246">
        <f>_xlfn.XLOOKUP(FME_Ranking1[[#This Row],[FME ID]],FME_Input[FME_ID],FME_Input[RES_STRUCT100])</f>
        <v>315</v>
      </c>
      <c r="M533" s="230">
        <f>(FME_Ranking1[[#This Row],[Res Structures Raw]]/L$2)*100</f>
        <v>0.22311626127976655</v>
      </c>
      <c r="N533" s="180">
        <f>FME_Ranking1[[#This Row],[Res Structures Score (Normalized, Unweighted)]]*$L$3</f>
        <v>2.2311626127976658E-2</v>
      </c>
      <c r="O533" s="244">
        <f>_xlfn.XLOOKUP(FME_Ranking1[[#This Row],[FME ID]],FME_Input[FME_ID],FME_Input[POP100])</f>
        <v>2890</v>
      </c>
      <c r="P533" s="178">
        <f>(FME_Ranking1[[#This Row],[Pop Raw]]/$O$2)*100</f>
        <v>0.2958646516475259</v>
      </c>
      <c r="Q533" s="178">
        <f>FME_Ranking1[[#This Row],[Pop Score (Normalized, Unweighted)]]*$O$3</f>
        <v>4.4379697747128882E-2</v>
      </c>
      <c r="R533" s="137">
        <f>_xlfn.XLOOKUP(FME_Ranking1[[#This Row],[FME ID]],FME_Input[FME_ID],FME_Input[CRITFAC100])</f>
        <v>8</v>
      </c>
      <c r="S533" s="230">
        <f>(FME_Ranking1[[#This Row],[Critical Facilities Raw]]/$R$2)*100</f>
        <v>0.34305317324185247</v>
      </c>
      <c r="T533" s="180">
        <f>FME_Ranking1[[#This Row],[Critical Facilities Score (Normalized, Unweighted)]]*$R$3</f>
        <v>6.86106346483705E-2</v>
      </c>
      <c r="U533">
        <f>_xlfn.XLOOKUP(FME_Ranking1[[#This Row],[FME ID]],FME_Input[FME_ID],FME_Input[LWC])</f>
        <v>9</v>
      </c>
      <c r="V533" s="178">
        <f>(FME_Ranking1[[#This Row],[LWC Raw]]/$U$2)*100</f>
        <v>0.5181347150259068</v>
      </c>
      <c r="W533" s="178">
        <f>FME_Ranking1[[#This Row],[LWC Score (Normalized, Unweighted)]]*$U$3</f>
        <v>0.10362694300518137</v>
      </c>
      <c r="X533" s="246">
        <f>_xlfn.XLOOKUP(FME_Ranking1[[#This Row],[FME ID]],FME_Input[FME_ID],FME_Input[ROADCLS])</f>
        <v>0</v>
      </c>
      <c r="Y533" s="230">
        <f>(FME_Ranking1[[#This Row],[Closures Raw]]/$X$2)*100</f>
        <v>0</v>
      </c>
      <c r="Z533" s="180">
        <f>FME_Ranking1[[#This Row],[Closures Score (Normalized, Unweighted)]]*$X$3</f>
        <v>0</v>
      </c>
      <c r="AA533" s="253">
        <f>_xlfn.XLOOKUP(FME_Ranking1[[#This Row],[FME ID]],FME_Input[FME_ID],FME_Input[ROAD_MILES100])</f>
        <v>87.111259460449219</v>
      </c>
      <c r="AB533" s="178">
        <f>(FME_Ranking1[[#This Row],[Miles Raw]]/$AA$2)*100</f>
        <v>1.145356820526148</v>
      </c>
      <c r="AC533" s="178">
        <f>FME_Ranking1[[#This Row],[Miles Score (Normalized, Unweighted)]]*$AA$3</f>
        <v>0.1145356820526148</v>
      </c>
      <c r="AD533" s="255">
        <f>_xlfn.XLOOKUP(FME_Ranking1[[#This Row],[FME ID]],FME_Input[FME_ID],FME_Input[FARMACRE100])</f>
        <v>1569.94384765625</v>
      </c>
      <c r="AE533" s="230">
        <f>(FME_Ranking1[[#This Row],[Ag Land Raw]]/$AD$2)*100</f>
        <v>6.4737456417917505E-2</v>
      </c>
      <c r="AF533" s="231">
        <f>FME_Ranking1[[#This Row],[Ag Land Score (Normalized, Unweighted)]]*$AD$3</f>
        <v>3.2368728208958756E-3</v>
      </c>
      <c r="AG53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0.40457448043506877</v>
      </c>
      <c r="AH533" s="406">
        <f t="shared" si="8"/>
        <v>522</v>
      </c>
      <c r="AI53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0.40457448043506877</v>
      </c>
      <c r="AJ533" s="257">
        <f>FME_Ranking1[[#This Row],[Addition check]]-FME_Ranking1[[#This Row],[Weighted Score Based on Normalized Reported Factors]]</f>
        <v>0</v>
      </c>
      <c r="AK533" s="178">
        <f>_xlfn.RANK.EQ(AI533,$AI$6:$AI$2341,0)+COUNTIF($AI$6:AI533,AI533)-1</f>
        <v>522</v>
      </c>
    </row>
    <row r="534" spans="1:37" x14ac:dyDescent="0.25">
      <c r="A534" t="s">
        <v>8798</v>
      </c>
      <c r="B534">
        <f>_xlfn.XLOOKUP(FME_Ranking1[[#This Row],[FME ID]],FME_Input[FME_ID],FME_Input[RFPG_NUM])</f>
        <v>11</v>
      </c>
      <c r="C534" t="str">
        <f>_xlfn.XLOOKUP(FME_Ranking1[[#This Row],[FME ID]],FME_Input[FME_ID],FME_Input[FME_NAME])</f>
        <v>City of Seguin Drainage Improvements Study</v>
      </c>
      <c r="D534" t="str">
        <f>_xlfn.XLOOKUP(FME_Ranking1[[#This Row],[FME ID]],FME_Input[FME_ID],FME_Input[DESCR])</f>
        <v>Study of solutions to increase drainage capacity, add stormwater detention and/or retention basins, and implement drainage improvements as deemed necessary to reduce flood risk.</v>
      </c>
      <c r="E534" s="256">
        <f>_xlfn.XLOOKUP(FME_Ranking1[[#This Row],[FME ID]],FME_Input[FME_ID],FME_Input[FME_COST])</f>
        <v>1100000</v>
      </c>
      <c r="F534" t="str">
        <f>_xlfn.XLOOKUP(FME_Ranking1[[#This Row],[FME ID]],FME_Input[FME_ID],FME_Input[EMER_NEED])</f>
        <v>No</v>
      </c>
      <c r="G534">
        <f>IF(FME_Ranking!F534="Yes",100,0)</f>
        <v>0</v>
      </c>
      <c r="H534">
        <f>FME_Ranking1[[#This Row],[Emergency Need Score (Normalized, Unweighted)]]*$F$3</f>
        <v>0</v>
      </c>
      <c r="I534" s="246">
        <f>_xlfn.XLOOKUP(FME_Ranking1[[#This Row],[FME ID]],FME_Input[FME_ID],FME_Input[STRUCT_100])</f>
        <v>846</v>
      </c>
      <c r="J534" s="178">
        <f>(FME_Ranking1[[#This Row],[Structures 100 Raw]]/I$2)*100</f>
        <v>0.45302660326436195</v>
      </c>
      <c r="K534" s="178">
        <f>FME_Ranking1[[#This Row],[Structures 100  Score (Normalized, Unweighted)]]*$I$3</f>
        <v>6.7953990489654295E-2</v>
      </c>
      <c r="L534" s="246">
        <f>_xlfn.XLOOKUP(FME_Ranking1[[#This Row],[FME ID]],FME_Input[FME_ID],FME_Input[RES_STRUCT100])</f>
        <v>642</v>
      </c>
      <c r="M534" s="230">
        <f>(FME_Ranking1[[#This Row],[Res Structures Raw]]/L$2)*100</f>
        <v>0.45473218965590517</v>
      </c>
      <c r="N534" s="180">
        <f>FME_Ranking1[[#This Row],[Res Structures Score (Normalized, Unweighted)]]*$L$3</f>
        <v>4.547321896559052E-2</v>
      </c>
      <c r="O534" s="244">
        <f>_xlfn.XLOOKUP(FME_Ranking1[[#This Row],[FME ID]],FME_Input[FME_ID],FME_Input[POP100])</f>
        <v>2283</v>
      </c>
      <c r="P534" s="178">
        <f>(FME_Ranking1[[#This Row],[Pop Raw]]/$O$2)*100</f>
        <v>0.2337228372703466</v>
      </c>
      <c r="Q534" s="178">
        <f>FME_Ranking1[[#This Row],[Pop Score (Normalized, Unweighted)]]*$O$3</f>
        <v>3.5058425590551986E-2</v>
      </c>
      <c r="R534" s="137">
        <f>_xlfn.XLOOKUP(FME_Ranking1[[#This Row],[FME ID]],FME_Input[FME_ID],FME_Input[CRITFAC100])</f>
        <v>5</v>
      </c>
      <c r="S534" s="230">
        <f>(FME_Ranking1[[#This Row],[Critical Facilities Raw]]/$R$2)*100</f>
        <v>0.21440823327615782</v>
      </c>
      <c r="T534" s="180">
        <f>FME_Ranking1[[#This Row],[Critical Facilities Score (Normalized, Unweighted)]]*$R$3</f>
        <v>4.2881646655231566E-2</v>
      </c>
      <c r="U534">
        <f>_xlfn.XLOOKUP(FME_Ranking1[[#This Row],[FME ID]],FME_Input[FME_ID],FME_Input[LWC])</f>
        <v>8</v>
      </c>
      <c r="V534" s="178">
        <f>(FME_Ranking1[[#This Row],[LWC Raw]]/$U$2)*100</f>
        <v>0.46056419113413938</v>
      </c>
      <c r="W534" s="178">
        <f>FME_Ranking1[[#This Row],[LWC Score (Normalized, Unweighted)]]*$U$3</f>
        <v>9.2112838226827878E-2</v>
      </c>
      <c r="X534" s="246">
        <f>_xlfn.XLOOKUP(FME_Ranking1[[#This Row],[FME ID]],FME_Input[FME_ID],FME_Input[ROADCLS])</f>
        <v>0</v>
      </c>
      <c r="Y534" s="230">
        <f>(FME_Ranking1[[#This Row],[Closures Raw]]/$X$2)*100</f>
        <v>0</v>
      </c>
      <c r="Z534" s="180">
        <f>FME_Ranking1[[#This Row],[Closures Score (Normalized, Unweighted)]]*$X$3</f>
        <v>0</v>
      </c>
      <c r="AA534" s="253">
        <f>_xlfn.XLOOKUP(FME_Ranking1[[#This Row],[FME ID]],FME_Input[FME_ID],FME_Input[ROAD_MILES100])</f>
        <v>25.202535629272461</v>
      </c>
      <c r="AB534" s="178">
        <f>(FME_Ranking1[[#This Row],[Miles Raw]]/$AA$2)*100</f>
        <v>0.33136814065518516</v>
      </c>
      <c r="AC534" s="178">
        <f>FME_Ranking1[[#This Row],[Miles Score (Normalized, Unweighted)]]*$AA$3</f>
        <v>3.3136814065518515E-2</v>
      </c>
      <c r="AD534" s="255">
        <f>_xlfn.XLOOKUP(FME_Ranking1[[#This Row],[FME ID]],FME_Input[FME_ID],FME_Input[FARMACRE100])</f>
        <v>1157.076171875</v>
      </c>
      <c r="AE534" s="230">
        <f>(FME_Ranking1[[#This Row],[Ag Land Raw]]/$AD$2)*100</f>
        <v>4.771264167237263E-2</v>
      </c>
      <c r="AF534" s="231">
        <f>FME_Ranking1[[#This Row],[Ag Land Score (Normalized, Unweighted)]]*$AD$3</f>
        <v>2.3856320836186315E-3</v>
      </c>
      <c r="AG53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0.3190025660769934</v>
      </c>
      <c r="AH534" s="406">
        <f t="shared" si="8"/>
        <v>593</v>
      </c>
      <c r="AI53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0.3190025660769934</v>
      </c>
      <c r="AJ534" s="257">
        <f>FME_Ranking1[[#This Row],[Addition check]]-FME_Ranking1[[#This Row],[Weighted Score Based on Normalized Reported Factors]]</f>
        <v>0</v>
      </c>
      <c r="AK534" s="178">
        <f>_xlfn.RANK.EQ(AI534,$AI$6:$AI$2341,0)+COUNTIF($AI$6:AI534,AI534)-1</f>
        <v>593</v>
      </c>
    </row>
    <row r="535" spans="1:37" x14ac:dyDescent="0.25">
      <c r="A535" t="s">
        <v>8805</v>
      </c>
      <c r="B535">
        <f>_xlfn.XLOOKUP(FME_Ranking1[[#This Row],[FME ID]],FME_Input[FME_ID],FME_Input[RFPG_NUM])</f>
        <v>11</v>
      </c>
      <c r="C535" t="str">
        <f>_xlfn.XLOOKUP(FME_Ranking1[[#This Row],[FME ID]],FME_Input[FME_ID],FME_Input[FME_NAME])</f>
        <v>City of Seguin Low Water Crossing Improvements Study</v>
      </c>
      <c r="D535" t="str">
        <f>_xlfn.XLOOKUP(FME_Ranking1[[#This Row],[FME ID]],FME_Input[FME_ID],FME_Input[DESCR])</f>
        <v>Study of solutions for drainage improvements at low water crossings.</v>
      </c>
      <c r="E535" s="256">
        <f>_xlfn.XLOOKUP(FME_Ranking1[[#This Row],[FME ID]],FME_Input[FME_ID],FME_Input[FME_COST])</f>
        <v>1500000</v>
      </c>
      <c r="F535" t="str">
        <f>_xlfn.XLOOKUP(FME_Ranking1[[#This Row],[FME ID]],FME_Input[FME_ID],FME_Input[EMER_NEED])</f>
        <v>No</v>
      </c>
      <c r="G535">
        <f>IF(FME_Ranking!F535="Yes",100,0)</f>
        <v>0</v>
      </c>
      <c r="H535">
        <f>FME_Ranking1[[#This Row],[Emergency Need Score (Normalized, Unweighted)]]*$F$3</f>
        <v>0</v>
      </c>
      <c r="I535" s="246">
        <f>_xlfn.XLOOKUP(FME_Ranking1[[#This Row],[FME ID]],FME_Input[FME_ID],FME_Input[STRUCT_100])</f>
        <v>846</v>
      </c>
      <c r="J535" s="178">
        <f>(FME_Ranking1[[#This Row],[Structures 100 Raw]]/I$2)*100</f>
        <v>0.45302660326436195</v>
      </c>
      <c r="K535" s="178">
        <f>FME_Ranking1[[#This Row],[Structures 100  Score (Normalized, Unweighted)]]*$I$3</f>
        <v>6.7953990489654295E-2</v>
      </c>
      <c r="L535" s="246">
        <f>_xlfn.XLOOKUP(FME_Ranking1[[#This Row],[FME ID]],FME_Input[FME_ID],FME_Input[RES_STRUCT100])</f>
        <v>642</v>
      </c>
      <c r="M535" s="230">
        <f>(FME_Ranking1[[#This Row],[Res Structures Raw]]/L$2)*100</f>
        <v>0.45473218965590517</v>
      </c>
      <c r="N535" s="180">
        <f>FME_Ranking1[[#This Row],[Res Structures Score (Normalized, Unweighted)]]*$L$3</f>
        <v>4.547321896559052E-2</v>
      </c>
      <c r="O535" s="244">
        <f>_xlfn.XLOOKUP(FME_Ranking1[[#This Row],[FME ID]],FME_Input[FME_ID],FME_Input[POP100])</f>
        <v>2283</v>
      </c>
      <c r="P535" s="178">
        <f>(FME_Ranking1[[#This Row],[Pop Raw]]/$O$2)*100</f>
        <v>0.2337228372703466</v>
      </c>
      <c r="Q535" s="178">
        <f>FME_Ranking1[[#This Row],[Pop Score (Normalized, Unweighted)]]*$O$3</f>
        <v>3.5058425590551986E-2</v>
      </c>
      <c r="R535" s="137">
        <f>_xlfn.XLOOKUP(FME_Ranking1[[#This Row],[FME ID]],FME_Input[FME_ID],FME_Input[CRITFAC100])</f>
        <v>5</v>
      </c>
      <c r="S535" s="230">
        <f>(FME_Ranking1[[#This Row],[Critical Facilities Raw]]/$R$2)*100</f>
        <v>0.21440823327615782</v>
      </c>
      <c r="T535" s="180">
        <f>FME_Ranking1[[#This Row],[Critical Facilities Score (Normalized, Unweighted)]]*$R$3</f>
        <v>4.2881646655231566E-2</v>
      </c>
      <c r="U535">
        <f>_xlfn.XLOOKUP(FME_Ranking1[[#This Row],[FME ID]],FME_Input[FME_ID],FME_Input[LWC])</f>
        <v>8</v>
      </c>
      <c r="V535" s="178">
        <f>(FME_Ranking1[[#This Row],[LWC Raw]]/$U$2)*100</f>
        <v>0.46056419113413938</v>
      </c>
      <c r="W535" s="178">
        <f>FME_Ranking1[[#This Row],[LWC Score (Normalized, Unweighted)]]*$U$3</f>
        <v>9.2112838226827878E-2</v>
      </c>
      <c r="X535" s="246">
        <f>_xlfn.XLOOKUP(FME_Ranking1[[#This Row],[FME ID]],FME_Input[FME_ID],FME_Input[ROADCLS])</f>
        <v>0</v>
      </c>
      <c r="Y535" s="230">
        <f>(FME_Ranking1[[#This Row],[Closures Raw]]/$X$2)*100</f>
        <v>0</v>
      </c>
      <c r="Z535" s="180">
        <f>FME_Ranking1[[#This Row],[Closures Score (Normalized, Unweighted)]]*$X$3</f>
        <v>0</v>
      </c>
      <c r="AA535" s="253">
        <f>_xlfn.XLOOKUP(FME_Ranking1[[#This Row],[FME ID]],FME_Input[FME_ID],FME_Input[ROAD_MILES100])</f>
        <v>25.202535629272461</v>
      </c>
      <c r="AB535" s="178">
        <f>(FME_Ranking1[[#This Row],[Miles Raw]]/$AA$2)*100</f>
        <v>0.33136814065518516</v>
      </c>
      <c r="AC535" s="178">
        <f>FME_Ranking1[[#This Row],[Miles Score (Normalized, Unweighted)]]*$AA$3</f>
        <v>3.3136814065518515E-2</v>
      </c>
      <c r="AD535" s="255">
        <f>_xlfn.XLOOKUP(FME_Ranking1[[#This Row],[FME ID]],FME_Input[FME_ID],FME_Input[FARMACRE100])</f>
        <v>1157.076171875</v>
      </c>
      <c r="AE535" s="230">
        <f>(FME_Ranking1[[#This Row],[Ag Land Raw]]/$AD$2)*100</f>
        <v>4.771264167237263E-2</v>
      </c>
      <c r="AF535" s="231">
        <f>FME_Ranking1[[#This Row],[Ag Land Score (Normalized, Unweighted)]]*$AD$3</f>
        <v>2.3856320836186315E-3</v>
      </c>
      <c r="AG53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0.3190025660769934</v>
      </c>
      <c r="AH535" s="406">
        <f t="shared" si="8"/>
        <v>593</v>
      </c>
      <c r="AI53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0.3190025660769934</v>
      </c>
      <c r="AJ535" s="257">
        <f>FME_Ranking1[[#This Row],[Addition check]]-FME_Ranking1[[#This Row],[Weighted Score Based on Normalized Reported Factors]]</f>
        <v>0</v>
      </c>
      <c r="AK535" s="178">
        <f>_xlfn.RANK.EQ(AI535,$AI$6:$AI$2341,0)+COUNTIF($AI$6:AI535,AI535)-1</f>
        <v>594</v>
      </c>
    </row>
    <row r="536" spans="1:37" x14ac:dyDescent="0.25">
      <c r="A536" t="s">
        <v>8808</v>
      </c>
      <c r="B536">
        <f>_xlfn.XLOOKUP(FME_Ranking1[[#This Row],[FME ID]],FME_Input[FME_ID],FME_Input[RFPG_NUM])</f>
        <v>11</v>
      </c>
      <c r="C536" t="str">
        <f>_xlfn.XLOOKUP(FME_Ranking1[[#This Row],[FME ID]],FME_Input[FME_ID],FME_Input[FME_NAME])</f>
        <v>City of Seguin Ingress Egress Improvements Project Planning</v>
      </c>
      <c r="D536" t="str">
        <f>_xlfn.XLOOKUP(FME_Ranking1[[#This Row],[FME ID]],FME_Input[FME_ID],FME_Input[DESCR])</f>
        <v>Project planning for proposed project to provide/construct additional means of access into single-entry neighborhoods; Update subdivision codes for a higher level of ingress and egress.</v>
      </c>
      <c r="E536" s="256">
        <f>_xlfn.XLOOKUP(FME_Ranking1[[#This Row],[FME ID]],FME_Input[FME_ID],FME_Input[FME_COST])</f>
        <v>250000</v>
      </c>
      <c r="F536" t="str">
        <f>_xlfn.XLOOKUP(FME_Ranking1[[#This Row],[FME ID]],FME_Input[FME_ID],FME_Input[EMER_NEED])</f>
        <v>No</v>
      </c>
      <c r="G536">
        <f>IF(FME_Ranking!F536="Yes",100,0)</f>
        <v>0</v>
      </c>
      <c r="H536">
        <f>FME_Ranking1[[#This Row],[Emergency Need Score (Normalized, Unweighted)]]*$F$3</f>
        <v>0</v>
      </c>
      <c r="I536" s="246">
        <f>_xlfn.XLOOKUP(FME_Ranking1[[#This Row],[FME ID]],FME_Input[FME_ID],FME_Input[STRUCT_100])</f>
        <v>846</v>
      </c>
      <c r="J536" s="178">
        <f>(FME_Ranking1[[#This Row],[Structures 100 Raw]]/I$2)*100</f>
        <v>0.45302660326436195</v>
      </c>
      <c r="K536" s="178">
        <f>FME_Ranking1[[#This Row],[Structures 100  Score (Normalized, Unweighted)]]*$I$3</f>
        <v>6.7953990489654295E-2</v>
      </c>
      <c r="L536" s="246">
        <f>_xlfn.XLOOKUP(FME_Ranking1[[#This Row],[FME ID]],FME_Input[FME_ID],FME_Input[RES_STRUCT100])</f>
        <v>642</v>
      </c>
      <c r="M536" s="230">
        <f>(FME_Ranking1[[#This Row],[Res Structures Raw]]/L$2)*100</f>
        <v>0.45473218965590517</v>
      </c>
      <c r="N536" s="180">
        <f>FME_Ranking1[[#This Row],[Res Structures Score (Normalized, Unweighted)]]*$L$3</f>
        <v>4.547321896559052E-2</v>
      </c>
      <c r="O536" s="244">
        <f>_xlfn.XLOOKUP(FME_Ranking1[[#This Row],[FME ID]],FME_Input[FME_ID],FME_Input[POP100])</f>
        <v>2283</v>
      </c>
      <c r="P536" s="178">
        <f>(FME_Ranking1[[#This Row],[Pop Raw]]/$O$2)*100</f>
        <v>0.2337228372703466</v>
      </c>
      <c r="Q536" s="178">
        <f>FME_Ranking1[[#This Row],[Pop Score (Normalized, Unweighted)]]*$O$3</f>
        <v>3.5058425590551986E-2</v>
      </c>
      <c r="R536" s="137">
        <f>_xlfn.XLOOKUP(FME_Ranking1[[#This Row],[FME ID]],FME_Input[FME_ID],FME_Input[CRITFAC100])</f>
        <v>5</v>
      </c>
      <c r="S536" s="230">
        <f>(FME_Ranking1[[#This Row],[Critical Facilities Raw]]/$R$2)*100</f>
        <v>0.21440823327615782</v>
      </c>
      <c r="T536" s="180">
        <f>FME_Ranking1[[#This Row],[Critical Facilities Score (Normalized, Unweighted)]]*$R$3</f>
        <v>4.2881646655231566E-2</v>
      </c>
      <c r="U536">
        <f>_xlfn.XLOOKUP(FME_Ranking1[[#This Row],[FME ID]],FME_Input[FME_ID],FME_Input[LWC])</f>
        <v>8</v>
      </c>
      <c r="V536" s="178">
        <f>(FME_Ranking1[[#This Row],[LWC Raw]]/$U$2)*100</f>
        <v>0.46056419113413938</v>
      </c>
      <c r="W536" s="178">
        <f>FME_Ranking1[[#This Row],[LWC Score (Normalized, Unweighted)]]*$U$3</f>
        <v>9.2112838226827878E-2</v>
      </c>
      <c r="X536" s="246">
        <f>_xlfn.XLOOKUP(FME_Ranking1[[#This Row],[FME ID]],FME_Input[FME_ID],FME_Input[ROADCLS])</f>
        <v>0</v>
      </c>
      <c r="Y536" s="230">
        <f>(FME_Ranking1[[#This Row],[Closures Raw]]/$X$2)*100</f>
        <v>0</v>
      </c>
      <c r="Z536" s="180">
        <f>FME_Ranking1[[#This Row],[Closures Score (Normalized, Unweighted)]]*$X$3</f>
        <v>0</v>
      </c>
      <c r="AA536" s="253">
        <f>_xlfn.XLOOKUP(FME_Ranking1[[#This Row],[FME ID]],FME_Input[FME_ID],FME_Input[ROAD_MILES100])</f>
        <v>25.202535629272461</v>
      </c>
      <c r="AB536" s="178">
        <f>(FME_Ranking1[[#This Row],[Miles Raw]]/$AA$2)*100</f>
        <v>0.33136814065518516</v>
      </c>
      <c r="AC536" s="178">
        <f>FME_Ranking1[[#This Row],[Miles Score (Normalized, Unweighted)]]*$AA$3</f>
        <v>3.3136814065518515E-2</v>
      </c>
      <c r="AD536" s="255">
        <f>_xlfn.XLOOKUP(FME_Ranking1[[#This Row],[FME ID]],FME_Input[FME_ID],FME_Input[FARMACRE100])</f>
        <v>1157.076171875</v>
      </c>
      <c r="AE536" s="230">
        <f>(FME_Ranking1[[#This Row],[Ag Land Raw]]/$AD$2)*100</f>
        <v>4.771264167237263E-2</v>
      </c>
      <c r="AF536" s="231">
        <f>FME_Ranking1[[#This Row],[Ag Land Score (Normalized, Unweighted)]]*$AD$3</f>
        <v>2.3856320836186315E-3</v>
      </c>
      <c r="AG53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0.3190025660769934</v>
      </c>
      <c r="AH536" s="406">
        <f t="shared" si="8"/>
        <v>593</v>
      </c>
      <c r="AI53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0.3190025660769934</v>
      </c>
      <c r="AJ536" s="257">
        <f>FME_Ranking1[[#This Row],[Addition check]]-FME_Ranking1[[#This Row],[Weighted Score Based on Normalized Reported Factors]]</f>
        <v>0</v>
      </c>
      <c r="AK536" s="178">
        <f>_xlfn.RANK.EQ(AI536,$AI$6:$AI$2341,0)+COUNTIF($AI$6:AI536,AI536)-1</f>
        <v>595</v>
      </c>
    </row>
    <row r="537" spans="1:37" x14ac:dyDescent="0.25">
      <c r="A537" t="s">
        <v>8811</v>
      </c>
      <c r="B537">
        <f>_xlfn.XLOOKUP(FME_Ranking1[[#This Row],[FME ID]],FME_Input[FME_ID],FME_Input[RFPG_NUM])</f>
        <v>11</v>
      </c>
      <c r="C537" t="str">
        <f>_xlfn.XLOOKUP(FME_Ranking1[[#This Row],[FME ID]],FME_Input[FME_ID],FME_Input[FME_NAME])</f>
        <v>City of Seguin City-wide Drainage Improvements Project Planning</v>
      </c>
      <c r="D537" t="str">
        <f>_xlfn.XLOOKUP(FME_Ranking1[[#This Row],[FME ID]],FME_Input[FME_ID],FME_Input[DESCR])</f>
        <v>Project planning to increase Regional Detention, Channel &amp; Drainage System Improvements.</v>
      </c>
      <c r="E537" s="256">
        <f>_xlfn.XLOOKUP(FME_Ranking1[[#This Row],[FME ID]],FME_Input[FME_ID],FME_Input[FME_COST])</f>
        <v>200000</v>
      </c>
      <c r="F537" t="str">
        <f>_xlfn.XLOOKUP(FME_Ranking1[[#This Row],[FME ID]],FME_Input[FME_ID],FME_Input[EMER_NEED])</f>
        <v>No</v>
      </c>
      <c r="G537">
        <f>IF(FME_Ranking!F537="Yes",100,0)</f>
        <v>0</v>
      </c>
      <c r="H537">
        <f>FME_Ranking1[[#This Row],[Emergency Need Score (Normalized, Unweighted)]]*$F$3</f>
        <v>0</v>
      </c>
      <c r="I537" s="246">
        <f>_xlfn.XLOOKUP(FME_Ranking1[[#This Row],[FME ID]],FME_Input[FME_ID],FME_Input[STRUCT_100])</f>
        <v>846</v>
      </c>
      <c r="J537" s="178">
        <f>(FME_Ranking1[[#This Row],[Structures 100 Raw]]/I$2)*100</f>
        <v>0.45302660326436195</v>
      </c>
      <c r="K537" s="178">
        <f>FME_Ranking1[[#This Row],[Structures 100  Score (Normalized, Unweighted)]]*$I$3</f>
        <v>6.7953990489654295E-2</v>
      </c>
      <c r="L537" s="246">
        <f>_xlfn.XLOOKUP(FME_Ranking1[[#This Row],[FME ID]],FME_Input[FME_ID],FME_Input[RES_STRUCT100])</f>
        <v>642</v>
      </c>
      <c r="M537" s="230">
        <f>(FME_Ranking1[[#This Row],[Res Structures Raw]]/L$2)*100</f>
        <v>0.45473218965590517</v>
      </c>
      <c r="N537" s="180">
        <f>FME_Ranking1[[#This Row],[Res Structures Score (Normalized, Unweighted)]]*$L$3</f>
        <v>4.547321896559052E-2</v>
      </c>
      <c r="O537" s="244">
        <f>_xlfn.XLOOKUP(FME_Ranking1[[#This Row],[FME ID]],FME_Input[FME_ID],FME_Input[POP100])</f>
        <v>2283</v>
      </c>
      <c r="P537" s="178">
        <f>(FME_Ranking1[[#This Row],[Pop Raw]]/$O$2)*100</f>
        <v>0.2337228372703466</v>
      </c>
      <c r="Q537" s="178">
        <f>FME_Ranking1[[#This Row],[Pop Score (Normalized, Unweighted)]]*$O$3</f>
        <v>3.5058425590551986E-2</v>
      </c>
      <c r="R537" s="137">
        <f>_xlfn.XLOOKUP(FME_Ranking1[[#This Row],[FME ID]],FME_Input[FME_ID],FME_Input[CRITFAC100])</f>
        <v>5</v>
      </c>
      <c r="S537" s="230">
        <f>(FME_Ranking1[[#This Row],[Critical Facilities Raw]]/$R$2)*100</f>
        <v>0.21440823327615782</v>
      </c>
      <c r="T537" s="180">
        <f>FME_Ranking1[[#This Row],[Critical Facilities Score (Normalized, Unweighted)]]*$R$3</f>
        <v>4.2881646655231566E-2</v>
      </c>
      <c r="U537">
        <f>_xlfn.XLOOKUP(FME_Ranking1[[#This Row],[FME ID]],FME_Input[FME_ID],FME_Input[LWC])</f>
        <v>8</v>
      </c>
      <c r="V537" s="178">
        <f>(FME_Ranking1[[#This Row],[LWC Raw]]/$U$2)*100</f>
        <v>0.46056419113413938</v>
      </c>
      <c r="W537" s="178">
        <f>FME_Ranking1[[#This Row],[LWC Score (Normalized, Unweighted)]]*$U$3</f>
        <v>9.2112838226827878E-2</v>
      </c>
      <c r="X537" s="246">
        <f>_xlfn.XLOOKUP(FME_Ranking1[[#This Row],[FME ID]],FME_Input[FME_ID],FME_Input[ROADCLS])</f>
        <v>0</v>
      </c>
      <c r="Y537" s="230">
        <f>(FME_Ranking1[[#This Row],[Closures Raw]]/$X$2)*100</f>
        <v>0</v>
      </c>
      <c r="Z537" s="180">
        <f>FME_Ranking1[[#This Row],[Closures Score (Normalized, Unweighted)]]*$X$3</f>
        <v>0</v>
      </c>
      <c r="AA537" s="253">
        <f>_xlfn.XLOOKUP(FME_Ranking1[[#This Row],[FME ID]],FME_Input[FME_ID],FME_Input[ROAD_MILES100])</f>
        <v>25.202535629272461</v>
      </c>
      <c r="AB537" s="178">
        <f>(FME_Ranking1[[#This Row],[Miles Raw]]/$AA$2)*100</f>
        <v>0.33136814065518516</v>
      </c>
      <c r="AC537" s="178">
        <f>FME_Ranking1[[#This Row],[Miles Score (Normalized, Unweighted)]]*$AA$3</f>
        <v>3.3136814065518515E-2</v>
      </c>
      <c r="AD537" s="255">
        <f>_xlfn.XLOOKUP(FME_Ranking1[[#This Row],[FME ID]],FME_Input[FME_ID],FME_Input[FARMACRE100])</f>
        <v>1157.076171875</v>
      </c>
      <c r="AE537" s="230">
        <f>(FME_Ranking1[[#This Row],[Ag Land Raw]]/$AD$2)*100</f>
        <v>4.771264167237263E-2</v>
      </c>
      <c r="AF537" s="231">
        <f>FME_Ranking1[[#This Row],[Ag Land Score (Normalized, Unweighted)]]*$AD$3</f>
        <v>2.3856320836186315E-3</v>
      </c>
      <c r="AG53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0.3190025660769934</v>
      </c>
      <c r="AH537" s="406">
        <f t="shared" si="8"/>
        <v>593</v>
      </c>
      <c r="AI53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0.3190025660769934</v>
      </c>
      <c r="AJ537" s="257">
        <f>FME_Ranking1[[#This Row],[Addition check]]-FME_Ranking1[[#This Row],[Weighted Score Based on Normalized Reported Factors]]</f>
        <v>0</v>
      </c>
      <c r="AK537" s="178">
        <f>_xlfn.RANK.EQ(AI537,$AI$6:$AI$2341,0)+COUNTIF($AI$6:AI537,AI537)-1</f>
        <v>596</v>
      </c>
    </row>
    <row r="538" spans="1:37" x14ac:dyDescent="0.25">
      <c r="A538" t="s">
        <v>8814</v>
      </c>
      <c r="B538">
        <f>_xlfn.XLOOKUP(FME_Ranking1[[#This Row],[FME ID]],FME_Input[FME_ID],FME_Input[RFPG_NUM])</f>
        <v>11</v>
      </c>
      <c r="C538" t="str">
        <f>_xlfn.XLOOKUP(FME_Ranking1[[#This Row],[FME ID]],FME_Input[FME_ID],FME_Input[FME_NAME])</f>
        <v>City of Seguin Voluntary Buyout Program Project Planning</v>
      </c>
      <c r="D538" t="str">
        <f>_xlfn.XLOOKUP(FME_Ranking1[[#This Row],[FME ID]],FME_Input[FME_ID],FME_Input[DESCR])</f>
        <v>Project planning to develop an acquisition and elevation program in flood hazard areas. Elevate or acquire and demolish repetitive loss properties. Acquire high risk vacant land and maintain as open space.</v>
      </c>
      <c r="E538" s="256">
        <f>_xlfn.XLOOKUP(FME_Ranking1[[#This Row],[FME ID]],FME_Input[FME_ID],FME_Input[FME_COST])</f>
        <v>300000</v>
      </c>
      <c r="F538" t="str">
        <f>_xlfn.XLOOKUP(FME_Ranking1[[#This Row],[FME ID]],FME_Input[FME_ID],FME_Input[EMER_NEED])</f>
        <v>No</v>
      </c>
      <c r="G538">
        <f>IF(FME_Ranking!F538="Yes",100,0)</f>
        <v>0</v>
      </c>
      <c r="H538">
        <f>FME_Ranking1[[#This Row],[Emergency Need Score (Normalized, Unweighted)]]*$F$3</f>
        <v>0</v>
      </c>
      <c r="I538" s="246">
        <f>_xlfn.XLOOKUP(FME_Ranking1[[#This Row],[FME ID]],FME_Input[FME_ID],FME_Input[STRUCT_100])</f>
        <v>846</v>
      </c>
      <c r="J538" s="178">
        <f>(FME_Ranking1[[#This Row],[Structures 100 Raw]]/I$2)*100</f>
        <v>0.45302660326436195</v>
      </c>
      <c r="K538" s="178">
        <f>FME_Ranking1[[#This Row],[Structures 100  Score (Normalized, Unweighted)]]*$I$3</f>
        <v>6.7953990489654295E-2</v>
      </c>
      <c r="L538" s="246">
        <f>_xlfn.XLOOKUP(FME_Ranking1[[#This Row],[FME ID]],FME_Input[FME_ID],FME_Input[RES_STRUCT100])</f>
        <v>642</v>
      </c>
      <c r="M538" s="230">
        <f>(FME_Ranking1[[#This Row],[Res Structures Raw]]/L$2)*100</f>
        <v>0.45473218965590517</v>
      </c>
      <c r="N538" s="180">
        <f>FME_Ranking1[[#This Row],[Res Structures Score (Normalized, Unweighted)]]*$L$3</f>
        <v>4.547321896559052E-2</v>
      </c>
      <c r="O538" s="244">
        <f>_xlfn.XLOOKUP(FME_Ranking1[[#This Row],[FME ID]],FME_Input[FME_ID],FME_Input[POP100])</f>
        <v>2283</v>
      </c>
      <c r="P538" s="178">
        <f>(FME_Ranking1[[#This Row],[Pop Raw]]/$O$2)*100</f>
        <v>0.2337228372703466</v>
      </c>
      <c r="Q538" s="178">
        <f>FME_Ranking1[[#This Row],[Pop Score (Normalized, Unweighted)]]*$O$3</f>
        <v>3.5058425590551986E-2</v>
      </c>
      <c r="R538" s="137">
        <f>_xlfn.XLOOKUP(FME_Ranking1[[#This Row],[FME ID]],FME_Input[FME_ID],FME_Input[CRITFAC100])</f>
        <v>5</v>
      </c>
      <c r="S538" s="230">
        <f>(FME_Ranking1[[#This Row],[Critical Facilities Raw]]/$R$2)*100</f>
        <v>0.21440823327615782</v>
      </c>
      <c r="T538" s="180">
        <f>FME_Ranking1[[#This Row],[Critical Facilities Score (Normalized, Unweighted)]]*$R$3</f>
        <v>4.2881646655231566E-2</v>
      </c>
      <c r="U538">
        <f>_xlfn.XLOOKUP(FME_Ranking1[[#This Row],[FME ID]],FME_Input[FME_ID],FME_Input[LWC])</f>
        <v>8</v>
      </c>
      <c r="V538" s="178">
        <f>(FME_Ranking1[[#This Row],[LWC Raw]]/$U$2)*100</f>
        <v>0.46056419113413938</v>
      </c>
      <c r="W538" s="178">
        <f>FME_Ranking1[[#This Row],[LWC Score (Normalized, Unweighted)]]*$U$3</f>
        <v>9.2112838226827878E-2</v>
      </c>
      <c r="X538" s="246">
        <f>_xlfn.XLOOKUP(FME_Ranking1[[#This Row],[FME ID]],FME_Input[FME_ID],FME_Input[ROADCLS])</f>
        <v>0</v>
      </c>
      <c r="Y538" s="230">
        <f>(FME_Ranking1[[#This Row],[Closures Raw]]/$X$2)*100</f>
        <v>0</v>
      </c>
      <c r="Z538" s="180">
        <f>FME_Ranking1[[#This Row],[Closures Score (Normalized, Unweighted)]]*$X$3</f>
        <v>0</v>
      </c>
      <c r="AA538" s="253">
        <f>_xlfn.XLOOKUP(FME_Ranking1[[#This Row],[FME ID]],FME_Input[FME_ID],FME_Input[ROAD_MILES100])</f>
        <v>25.202535629272461</v>
      </c>
      <c r="AB538" s="178">
        <f>(FME_Ranking1[[#This Row],[Miles Raw]]/$AA$2)*100</f>
        <v>0.33136814065518516</v>
      </c>
      <c r="AC538" s="178">
        <f>FME_Ranking1[[#This Row],[Miles Score (Normalized, Unweighted)]]*$AA$3</f>
        <v>3.3136814065518515E-2</v>
      </c>
      <c r="AD538" s="255">
        <f>_xlfn.XLOOKUP(FME_Ranking1[[#This Row],[FME ID]],FME_Input[FME_ID],FME_Input[FARMACRE100])</f>
        <v>1157.076171875</v>
      </c>
      <c r="AE538" s="230">
        <f>(FME_Ranking1[[#This Row],[Ag Land Raw]]/$AD$2)*100</f>
        <v>4.771264167237263E-2</v>
      </c>
      <c r="AF538" s="231">
        <f>FME_Ranking1[[#This Row],[Ag Land Score (Normalized, Unweighted)]]*$AD$3</f>
        <v>2.3856320836186315E-3</v>
      </c>
      <c r="AG53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0.3190025660769934</v>
      </c>
      <c r="AH538" s="406">
        <f t="shared" si="8"/>
        <v>593</v>
      </c>
      <c r="AI53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0.3190025660769934</v>
      </c>
      <c r="AJ538" s="257">
        <f>FME_Ranking1[[#This Row],[Addition check]]-FME_Ranking1[[#This Row],[Weighted Score Based on Normalized Reported Factors]]</f>
        <v>0</v>
      </c>
      <c r="AK538" s="178">
        <f>_xlfn.RANK.EQ(AI538,$AI$6:$AI$2341,0)+COUNTIF($AI$6:AI538,AI538)-1</f>
        <v>597</v>
      </c>
    </row>
    <row r="539" spans="1:37" x14ac:dyDescent="0.25">
      <c r="A539" t="s">
        <v>8817</v>
      </c>
      <c r="B539">
        <f>_xlfn.XLOOKUP(FME_Ranking1[[#This Row],[FME ID]],FME_Input[FME_ID],FME_Input[RFPG_NUM])</f>
        <v>11</v>
      </c>
      <c r="C539" t="str">
        <f>_xlfn.XLOOKUP(FME_Ranking1[[#This Row],[FME ID]],FME_Input[FME_ID],FME_Input[FME_NAME])</f>
        <v>City of Seguin Citywide Drainage Project Planning</v>
      </c>
      <c r="D539" t="str">
        <f>_xlfn.XLOOKUP(FME_Ranking1[[#This Row],[FME ID]],FME_Input[FME_ID],FME_Input[DESCR])</f>
        <v>Project planning for four priority drainage projects within the City of Seguin that would greatly improve the safety of their 25,520 residents. Project areas include North Guadalupe, North Heideke, Mays Creek and Walnut Branch.</v>
      </c>
      <c r="E539" s="256">
        <f>_xlfn.XLOOKUP(FME_Ranking1[[#This Row],[FME ID]],FME_Input[FME_ID],FME_Input[FME_COST])</f>
        <v>4304000</v>
      </c>
      <c r="F539" t="str">
        <f>_xlfn.XLOOKUP(FME_Ranking1[[#This Row],[FME ID]],FME_Input[FME_ID],FME_Input[EMER_NEED])</f>
        <v>No</v>
      </c>
      <c r="G539">
        <f>IF(FME_Ranking!F539="Yes",100,0)</f>
        <v>0</v>
      </c>
      <c r="H539">
        <f>FME_Ranking1[[#This Row],[Emergency Need Score (Normalized, Unweighted)]]*$F$3</f>
        <v>0</v>
      </c>
      <c r="I539" s="246">
        <f>_xlfn.XLOOKUP(FME_Ranking1[[#This Row],[FME ID]],FME_Input[FME_ID],FME_Input[STRUCT_100])</f>
        <v>846</v>
      </c>
      <c r="J539" s="178">
        <f>(FME_Ranking1[[#This Row],[Structures 100 Raw]]/I$2)*100</f>
        <v>0.45302660326436195</v>
      </c>
      <c r="K539" s="178">
        <f>FME_Ranking1[[#This Row],[Structures 100  Score (Normalized, Unweighted)]]*$I$3</f>
        <v>6.7953990489654295E-2</v>
      </c>
      <c r="L539" s="246">
        <f>_xlfn.XLOOKUP(FME_Ranking1[[#This Row],[FME ID]],FME_Input[FME_ID],FME_Input[RES_STRUCT100])</f>
        <v>642</v>
      </c>
      <c r="M539" s="230">
        <f>(FME_Ranking1[[#This Row],[Res Structures Raw]]/L$2)*100</f>
        <v>0.45473218965590517</v>
      </c>
      <c r="N539" s="180">
        <f>FME_Ranking1[[#This Row],[Res Structures Score (Normalized, Unweighted)]]*$L$3</f>
        <v>4.547321896559052E-2</v>
      </c>
      <c r="O539" s="244">
        <f>_xlfn.XLOOKUP(FME_Ranking1[[#This Row],[FME ID]],FME_Input[FME_ID],FME_Input[POP100])</f>
        <v>2283</v>
      </c>
      <c r="P539" s="178">
        <f>(FME_Ranking1[[#This Row],[Pop Raw]]/$O$2)*100</f>
        <v>0.2337228372703466</v>
      </c>
      <c r="Q539" s="178">
        <f>FME_Ranking1[[#This Row],[Pop Score (Normalized, Unweighted)]]*$O$3</f>
        <v>3.5058425590551986E-2</v>
      </c>
      <c r="R539" s="137">
        <f>_xlfn.XLOOKUP(FME_Ranking1[[#This Row],[FME ID]],FME_Input[FME_ID],FME_Input[CRITFAC100])</f>
        <v>5</v>
      </c>
      <c r="S539" s="230">
        <f>(FME_Ranking1[[#This Row],[Critical Facilities Raw]]/$R$2)*100</f>
        <v>0.21440823327615782</v>
      </c>
      <c r="T539" s="180">
        <f>FME_Ranking1[[#This Row],[Critical Facilities Score (Normalized, Unweighted)]]*$R$3</f>
        <v>4.2881646655231566E-2</v>
      </c>
      <c r="U539">
        <f>_xlfn.XLOOKUP(FME_Ranking1[[#This Row],[FME ID]],FME_Input[FME_ID],FME_Input[LWC])</f>
        <v>8</v>
      </c>
      <c r="V539" s="178">
        <f>(FME_Ranking1[[#This Row],[LWC Raw]]/$U$2)*100</f>
        <v>0.46056419113413938</v>
      </c>
      <c r="W539" s="178">
        <f>FME_Ranking1[[#This Row],[LWC Score (Normalized, Unweighted)]]*$U$3</f>
        <v>9.2112838226827878E-2</v>
      </c>
      <c r="X539" s="246">
        <f>_xlfn.XLOOKUP(FME_Ranking1[[#This Row],[FME ID]],FME_Input[FME_ID],FME_Input[ROADCLS])</f>
        <v>0</v>
      </c>
      <c r="Y539" s="230">
        <f>(FME_Ranking1[[#This Row],[Closures Raw]]/$X$2)*100</f>
        <v>0</v>
      </c>
      <c r="Z539" s="180">
        <f>FME_Ranking1[[#This Row],[Closures Score (Normalized, Unweighted)]]*$X$3</f>
        <v>0</v>
      </c>
      <c r="AA539" s="253">
        <f>_xlfn.XLOOKUP(FME_Ranking1[[#This Row],[FME ID]],FME_Input[FME_ID],FME_Input[ROAD_MILES100])</f>
        <v>25.202535629272461</v>
      </c>
      <c r="AB539" s="178">
        <f>(FME_Ranking1[[#This Row],[Miles Raw]]/$AA$2)*100</f>
        <v>0.33136814065518516</v>
      </c>
      <c r="AC539" s="178">
        <f>FME_Ranking1[[#This Row],[Miles Score (Normalized, Unweighted)]]*$AA$3</f>
        <v>3.3136814065518515E-2</v>
      </c>
      <c r="AD539" s="255">
        <f>_xlfn.XLOOKUP(FME_Ranking1[[#This Row],[FME ID]],FME_Input[FME_ID],FME_Input[FARMACRE100])</f>
        <v>1157.076171875</v>
      </c>
      <c r="AE539" s="230">
        <f>(FME_Ranking1[[#This Row],[Ag Land Raw]]/$AD$2)*100</f>
        <v>4.771264167237263E-2</v>
      </c>
      <c r="AF539" s="231">
        <f>FME_Ranking1[[#This Row],[Ag Land Score (Normalized, Unweighted)]]*$AD$3</f>
        <v>2.3856320836186315E-3</v>
      </c>
      <c r="AG53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0.3190025660769934</v>
      </c>
      <c r="AH539" s="406">
        <f t="shared" si="8"/>
        <v>593</v>
      </c>
      <c r="AI53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0.3190025660769934</v>
      </c>
      <c r="AJ539" s="257">
        <f>FME_Ranking1[[#This Row],[Addition check]]-FME_Ranking1[[#This Row],[Weighted Score Based on Normalized Reported Factors]]</f>
        <v>0</v>
      </c>
      <c r="AK539" s="178">
        <f>_xlfn.RANK.EQ(AI539,$AI$6:$AI$2341,0)+COUNTIF($AI$6:AI539,AI539)-1</f>
        <v>598</v>
      </c>
    </row>
    <row r="540" spans="1:37" x14ac:dyDescent="0.25">
      <c r="A540" t="s">
        <v>9074</v>
      </c>
      <c r="B540">
        <f>_xlfn.XLOOKUP(FME_Ranking1[[#This Row],[FME ID]],FME_Input[FME_ID],FME_Input[RFPG_NUM])</f>
        <v>11</v>
      </c>
      <c r="C540" t="str">
        <f>_xlfn.XLOOKUP(FME_Ranking1[[#This Row],[FME ID]],FME_Input[FME_ID],FME_Input[FME_NAME])</f>
        <v>City of Cibolo and Seguin Road Access and Conditions Study</v>
      </c>
      <c r="D540" t="str">
        <f>_xlfn.XLOOKUP(FME_Ranking1[[#This Row],[FME ID]],FME_Input[FME_ID],FME_Input[DESCR])</f>
        <v>Study to evaluate access and road conditions for response vehicles, develop and implement options to improve access and/or add redundant access routes in high risk areas.</v>
      </c>
      <c r="E540" s="256">
        <f>_xlfn.XLOOKUP(FME_Ranking1[[#This Row],[FME ID]],FME_Input[FME_ID],FME_Input[FME_COST])</f>
        <v>500000</v>
      </c>
      <c r="F540" t="str">
        <f>_xlfn.XLOOKUP(FME_Ranking1[[#This Row],[FME ID]],FME_Input[FME_ID],FME_Input[EMER_NEED])</f>
        <v>No</v>
      </c>
      <c r="G540">
        <f>IF(FME_Ranking!F540="Yes",100,0)</f>
        <v>0</v>
      </c>
      <c r="H540">
        <f>FME_Ranking1[[#This Row],[Emergency Need Score (Normalized, Unweighted)]]*$F$3</f>
        <v>0</v>
      </c>
      <c r="I540" s="246">
        <f>_xlfn.XLOOKUP(FME_Ranking1[[#This Row],[FME ID]],FME_Input[FME_ID],FME_Input[STRUCT_100])</f>
        <v>846</v>
      </c>
      <c r="J540" s="178">
        <f>(FME_Ranking1[[#This Row],[Structures 100 Raw]]/I$2)*100</f>
        <v>0.45302660326436195</v>
      </c>
      <c r="K540" s="178">
        <f>FME_Ranking1[[#This Row],[Structures 100  Score (Normalized, Unweighted)]]*$I$3</f>
        <v>6.7953990489654295E-2</v>
      </c>
      <c r="L540" s="246">
        <f>_xlfn.XLOOKUP(FME_Ranking1[[#This Row],[FME ID]],FME_Input[FME_ID],FME_Input[RES_STRUCT100])</f>
        <v>642</v>
      </c>
      <c r="M540" s="230">
        <f>(FME_Ranking1[[#This Row],[Res Structures Raw]]/L$2)*100</f>
        <v>0.45473218965590517</v>
      </c>
      <c r="N540" s="180">
        <f>FME_Ranking1[[#This Row],[Res Structures Score (Normalized, Unweighted)]]*$L$3</f>
        <v>4.547321896559052E-2</v>
      </c>
      <c r="O540" s="244">
        <f>_xlfn.XLOOKUP(FME_Ranking1[[#This Row],[FME ID]],FME_Input[FME_ID],FME_Input[POP100])</f>
        <v>2283</v>
      </c>
      <c r="P540" s="178">
        <f>(FME_Ranking1[[#This Row],[Pop Raw]]/$O$2)*100</f>
        <v>0.2337228372703466</v>
      </c>
      <c r="Q540" s="178">
        <f>FME_Ranking1[[#This Row],[Pop Score (Normalized, Unweighted)]]*$O$3</f>
        <v>3.5058425590551986E-2</v>
      </c>
      <c r="R540" s="137">
        <f>_xlfn.XLOOKUP(FME_Ranking1[[#This Row],[FME ID]],FME_Input[FME_ID],FME_Input[CRITFAC100])</f>
        <v>5</v>
      </c>
      <c r="S540" s="230">
        <f>(FME_Ranking1[[#This Row],[Critical Facilities Raw]]/$R$2)*100</f>
        <v>0.21440823327615782</v>
      </c>
      <c r="T540" s="180">
        <f>FME_Ranking1[[#This Row],[Critical Facilities Score (Normalized, Unweighted)]]*$R$3</f>
        <v>4.2881646655231566E-2</v>
      </c>
      <c r="U540">
        <f>_xlfn.XLOOKUP(FME_Ranking1[[#This Row],[FME ID]],FME_Input[FME_ID],FME_Input[LWC])</f>
        <v>8</v>
      </c>
      <c r="V540" s="178">
        <f>(FME_Ranking1[[#This Row],[LWC Raw]]/$U$2)*100</f>
        <v>0.46056419113413938</v>
      </c>
      <c r="W540" s="178">
        <f>FME_Ranking1[[#This Row],[LWC Score (Normalized, Unweighted)]]*$U$3</f>
        <v>9.2112838226827878E-2</v>
      </c>
      <c r="X540" s="246">
        <f>_xlfn.XLOOKUP(FME_Ranking1[[#This Row],[FME ID]],FME_Input[FME_ID],FME_Input[ROADCLS])</f>
        <v>0</v>
      </c>
      <c r="Y540" s="230">
        <f>(FME_Ranking1[[#This Row],[Closures Raw]]/$X$2)*100</f>
        <v>0</v>
      </c>
      <c r="Z540" s="180">
        <f>FME_Ranking1[[#This Row],[Closures Score (Normalized, Unweighted)]]*$X$3</f>
        <v>0</v>
      </c>
      <c r="AA540" s="253">
        <f>_xlfn.XLOOKUP(FME_Ranking1[[#This Row],[FME ID]],FME_Input[FME_ID],FME_Input[ROAD_MILES100])</f>
        <v>25.202535629272461</v>
      </c>
      <c r="AB540" s="178">
        <f>(FME_Ranking1[[#This Row],[Miles Raw]]/$AA$2)*100</f>
        <v>0.33136814065518516</v>
      </c>
      <c r="AC540" s="178">
        <f>FME_Ranking1[[#This Row],[Miles Score (Normalized, Unweighted)]]*$AA$3</f>
        <v>3.3136814065518515E-2</v>
      </c>
      <c r="AD540" s="255">
        <f>_xlfn.XLOOKUP(FME_Ranking1[[#This Row],[FME ID]],FME_Input[FME_ID],FME_Input[FARMACRE100])</f>
        <v>1157.076171875</v>
      </c>
      <c r="AE540" s="230">
        <f>(FME_Ranking1[[#This Row],[Ag Land Raw]]/$AD$2)*100</f>
        <v>4.771264167237263E-2</v>
      </c>
      <c r="AF540" s="231">
        <f>FME_Ranking1[[#This Row],[Ag Land Score (Normalized, Unweighted)]]*$AD$3</f>
        <v>2.3856320836186315E-3</v>
      </c>
      <c r="AG54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0.3190025660769934</v>
      </c>
      <c r="AH540" s="406">
        <f t="shared" si="8"/>
        <v>593</v>
      </c>
      <c r="AI54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0.3190025660769934</v>
      </c>
      <c r="AJ540" s="257">
        <f>FME_Ranking1[[#This Row],[Addition check]]-FME_Ranking1[[#This Row],[Weighted Score Based on Normalized Reported Factors]]</f>
        <v>0</v>
      </c>
      <c r="AK540" s="178">
        <f>_xlfn.RANK.EQ(AI540,$AI$6:$AI$2341,0)+COUNTIF($AI$6:AI540,AI540)-1</f>
        <v>599</v>
      </c>
    </row>
    <row r="541" spans="1:37" x14ac:dyDescent="0.25">
      <c r="A541" t="s">
        <v>9080</v>
      </c>
      <c r="B541">
        <f>_xlfn.XLOOKUP(FME_Ranking1[[#This Row],[FME ID]],FME_Input[FME_ID],FME_Input[RFPG_NUM])</f>
        <v>11</v>
      </c>
      <c r="C541" t="str">
        <f>_xlfn.XLOOKUP(FME_Ranking1[[#This Row],[FME ID]],FME_Input[FME_ID],FME_Input[FME_NAME])</f>
        <v>City of Cibolo and Seguin USACE Study</v>
      </c>
      <c r="D541" t="str">
        <f>_xlfn.XLOOKUP(FME_Ranking1[[#This Row],[FME ID]],FME_Input[FME_ID],FME_Input[DESCR])</f>
        <v>Undertake a comprehensive study of flood risk and reduction alternatives, with the assistance of the U.S. Army Corps of Engineers. Project planning to implement feasible alternatives for flood reduction.</v>
      </c>
      <c r="E541" s="256">
        <f>_xlfn.XLOOKUP(FME_Ranking1[[#This Row],[FME ID]],FME_Input[FME_ID],FME_Input[FME_COST])</f>
        <v>1000000</v>
      </c>
      <c r="F541" t="str">
        <f>_xlfn.XLOOKUP(FME_Ranking1[[#This Row],[FME ID]],FME_Input[FME_ID],FME_Input[EMER_NEED])</f>
        <v>No</v>
      </c>
      <c r="G541">
        <f>IF(FME_Ranking!F541="Yes",100,0)</f>
        <v>0</v>
      </c>
      <c r="H541">
        <f>FME_Ranking1[[#This Row],[Emergency Need Score (Normalized, Unweighted)]]*$F$3</f>
        <v>0</v>
      </c>
      <c r="I541" s="246">
        <f>_xlfn.XLOOKUP(FME_Ranking1[[#This Row],[FME ID]],FME_Input[FME_ID],FME_Input[STRUCT_100])</f>
        <v>846</v>
      </c>
      <c r="J541" s="178">
        <f>(FME_Ranking1[[#This Row],[Structures 100 Raw]]/I$2)*100</f>
        <v>0.45302660326436195</v>
      </c>
      <c r="K541" s="178">
        <f>FME_Ranking1[[#This Row],[Structures 100  Score (Normalized, Unweighted)]]*$I$3</f>
        <v>6.7953990489654295E-2</v>
      </c>
      <c r="L541" s="246">
        <f>_xlfn.XLOOKUP(FME_Ranking1[[#This Row],[FME ID]],FME_Input[FME_ID],FME_Input[RES_STRUCT100])</f>
        <v>642</v>
      </c>
      <c r="M541" s="230">
        <f>(FME_Ranking1[[#This Row],[Res Structures Raw]]/L$2)*100</f>
        <v>0.45473218965590517</v>
      </c>
      <c r="N541" s="180">
        <f>FME_Ranking1[[#This Row],[Res Structures Score (Normalized, Unweighted)]]*$L$3</f>
        <v>4.547321896559052E-2</v>
      </c>
      <c r="O541" s="244">
        <f>_xlfn.XLOOKUP(FME_Ranking1[[#This Row],[FME ID]],FME_Input[FME_ID],FME_Input[POP100])</f>
        <v>2283</v>
      </c>
      <c r="P541" s="178">
        <f>(FME_Ranking1[[#This Row],[Pop Raw]]/$O$2)*100</f>
        <v>0.2337228372703466</v>
      </c>
      <c r="Q541" s="178">
        <f>FME_Ranking1[[#This Row],[Pop Score (Normalized, Unweighted)]]*$O$3</f>
        <v>3.5058425590551986E-2</v>
      </c>
      <c r="R541" s="137">
        <f>_xlfn.XLOOKUP(FME_Ranking1[[#This Row],[FME ID]],FME_Input[FME_ID],FME_Input[CRITFAC100])</f>
        <v>5</v>
      </c>
      <c r="S541" s="230">
        <f>(FME_Ranking1[[#This Row],[Critical Facilities Raw]]/$R$2)*100</f>
        <v>0.21440823327615782</v>
      </c>
      <c r="T541" s="180">
        <f>FME_Ranking1[[#This Row],[Critical Facilities Score (Normalized, Unweighted)]]*$R$3</f>
        <v>4.2881646655231566E-2</v>
      </c>
      <c r="U541">
        <f>_xlfn.XLOOKUP(FME_Ranking1[[#This Row],[FME ID]],FME_Input[FME_ID],FME_Input[LWC])</f>
        <v>8</v>
      </c>
      <c r="V541" s="178">
        <f>(FME_Ranking1[[#This Row],[LWC Raw]]/$U$2)*100</f>
        <v>0.46056419113413938</v>
      </c>
      <c r="W541" s="178">
        <f>FME_Ranking1[[#This Row],[LWC Score (Normalized, Unweighted)]]*$U$3</f>
        <v>9.2112838226827878E-2</v>
      </c>
      <c r="X541" s="246">
        <f>_xlfn.XLOOKUP(FME_Ranking1[[#This Row],[FME ID]],FME_Input[FME_ID],FME_Input[ROADCLS])</f>
        <v>0</v>
      </c>
      <c r="Y541" s="230">
        <f>(FME_Ranking1[[#This Row],[Closures Raw]]/$X$2)*100</f>
        <v>0</v>
      </c>
      <c r="Z541" s="180">
        <f>FME_Ranking1[[#This Row],[Closures Score (Normalized, Unweighted)]]*$X$3</f>
        <v>0</v>
      </c>
      <c r="AA541" s="253">
        <f>_xlfn.XLOOKUP(FME_Ranking1[[#This Row],[FME ID]],FME_Input[FME_ID],FME_Input[ROAD_MILES100])</f>
        <v>25.202535629272461</v>
      </c>
      <c r="AB541" s="178">
        <f>(FME_Ranking1[[#This Row],[Miles Raw]]/$AA$2)*100</f>
        <v>0.33136814065518516</v>
      </c>
      <c r="AC541" s="178">
        <f>FME_Ranking1[[#This Row],[Miles Score (Normalized, Unweighted)]]*$AA$3</f>
        <v>3.3136814065518515E-2</v>
      </c>
      <c r="AD541" s="255">
        <f>_xlfn.XLOOKUP(FME_Ranking1[[#This Row],[FME ID]],FME_Input[FME_ID],FME_Input[FARMACRE100])</f>
        <v>1157.076171875</v>
      </c>
      <c r="AE541" s="230">
        <f>(FME_Ranking1[[#This Row],[Ag Land Raw]]/$AD$2)*100</f>
        <v>4.771264167237263E-2</v>
      </c>
      <c r="AF541" s="231">
        <f>FME_Ranking1[[#This Row],[Ag Land Score (Normalized, Unweighted)]]*$AD$3</f>
        <v>2.3856320836186315E-3</v>
      </c>
      <c r="AG54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0.3190025660769934</v>
      </c>
      <c r="AH541" s="406">
        <f t="shared" si="8"/>
        <v>593</v>
      </c>
      <c r="AI54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0.3190025660769934</v>
      </c>
      <c r="AJ541" s="257">
        <f>FME_Ranking1[[#This Row],[Addition check]]-FME_Ranking1[[#This Row],[Weighted Score Based on Normalized Reported Factors]]</f>
        <v>0</v>
      </c>
      <c r="AK541" s="178">
        <f>_xlfn.RANK.EQ(AI541,$AI$6:$AI$2341,0)+COUNTIF($AI$6:AI541,AI541)-1</f>
        <v>600</v>
      </c>
    </row>
    <row r="542" spans="1:37" x14ac:dyDescent="0.25">
      <c r="A542" t="s">
        <v>3571</v>
      </c>
      <c r="B542">
        <f>_xlfn.XLOOKUP(FME_Ranking1[[#This Row],[FME ID]],FME_Input[FME_ID],FME_Input[RFPG_NUM])</f>
        <v>2</v>
      </c>
      <c r="C542" t="str">
        <f>_xlfn.XLOOKUP(FME_Ranking1[[#This Row],[FME ID]],FME_Input[FME_ID],FME_Input[FME_NAME])</f>
        <v>Cass County FIS</v>
      </c>
      <c r="D542" t="str">
        <f>_xlfn.XLOOKUP(FME_Ranking1[[#This Row],[FME ID]],FME_Input[FME_ID],FME_Input[DESCR])</f>
        <v>Update County maps to Zone AE</v>
      </c>
      <c r="E542" s="256">
        <f>_xlfn.XLOOKUP(FME_Ranking1[[#This Row],[FME ID]],FME_Input[FME_ID],FME_Input[FME_COST])</f>
        <v>2419000</v>
      </c>
      <c r="F542" t="str">
        <f>_xlfn.XLOOKUP(FME_Ranking1[[#This Row],[FME ID]],FME_Input[FME_ID],FME_Input[EMER_NEED])</f>
        <v>No</v>
      </c>
      <c r="G542">
        <f>IF(FME_Ranking!F542="Yes",100,0)</f>
        <v>0</v>
      </c>
      <c r="H542">
        <f>FME_Ranking1[[#This Row],[Emergency Need Score (Normalized, Unweighted)]]*$F$3</f>
        <v>0</v>
      </c>
      <c r="I542" s="246">
        <f>_xlfn.XLOOKUP(FME_Ranking1[[#This Row],[FME ID]],FME_Input[FME_ID],FME_Input[STRUCT_100])</f>
        <v>574</v>
      </c>
      <c r="J542" s="178">
        <f>(FME_Ranking1[[#This Row],[Structures 100 Raw]]/I$2)*100</f>
        <v>0.30737265989804224</v>
      </c>
      <c r="K542" s="178">
        <f>FME_Ranking1[[#This Row],[Structures 100  Score (Normalized, Unweighted)]]*$I$3</f>
        <v>4.6105898984706337E-2</v>
      </c>
      <c r="L542" s="246">
        <f>_xlfn.XLOOKUP(FME_Ranking1[[#This Row],[FME ID]],FME_Input[FME_ID],FME_Input[RES_STRUCT100])</f>
        <v>303</v>
      </c>
      <c r="M542" s="230">
        <f>(FME_Ranking1[[#This Row],[Res Structures Raw]]/L$2)*100</f>
        <v>0.21461659418339449</v>
      </c>
      <c r="N542" s="180">
        <f>FME_Ranking1[[#This Row],[Res Structures Score (Normalized, Unweighted)]]*$L$3</f>
        <v>2.1461659418339451E-2</v>
      </c>
      <c r="O542" s="244">
        <f>_xlfn.XLOOKUP(FME_Ranking1[[#This Row],[FME ID]],FME_Input[FME_ID],FME_Input[POP100])</f>
        <v>2148</v>
      </c>
      <c r="P542" s="178">
        <f>(FME_Ranking1[[#This Row],[Pop Raw]]/$O$2)*100</f>
        <v>0.21990217015186356</v>
      </c>
      <c r="Q542" s="178">
        <f>FME_Ranking1[[#This Row],[Pop Score (Normalized, Unweighted)]]*$O$3</f>
        <v>3.2985325522779531E-2</v>
      </c>
      <c r="R542" s="137">
        <f>_xlfn.XLOOKUP(FME_Ranking1[[#This Row],[FME ID]],FME_Input[FME_ID],FME_Input[CRITFAC100])</f>
        <v>12</v>
      </c>
      <c r="S542" s="230">
        <f>(FME_Ranking1[[#This Row],[Critical Facilities Raw]]/$R$2)*100</f>
        <v>0.51457975986277882</v>
      </c>
      <c r="T542" s="180">
        <f>FME_Ranking1[[#This Row],[Critical Facilities Score (Normalized, Unweighted)]]*$R$3</f>
        <v>0.10291595197255576</v>
      </c>
      <c r="U542">
        <f>_xlfn.XLOOKUP(FME_Ranking1[[#This Row],[FME ID]],FME_Input[FME_ID],FME_Input[LWC])</f>
        <v>7</v>
      </c>
      <c r="V542" s="178">
        <f>(FME_Ranking1[[#This Row],[LWC Raw]]/$U$2)*100</f>
        <v>0.40299366724237184</v>
      </c>
      <c r="W542" s="178">
        <f>FME_Ranking1[[#This Row],[LWC Score (Normalized, Unweighted)]]*$U$3</f>
        <v>8.0598733448474374E-2</v>
      </c>
      <c r="X542" s="246">
        <f>_xlfn.XLOOKUP(FME_Ranking1[[#This Row],[FME ID]],FME_Input[FME_ID],FME_Input[ROADCLS])</f>
        <v>0</v>
      </c>
      <c r="Y542" s="230">
        <f>(FME_Ranking1[[#This Row],[Closures Raw]]/$X$2)*100</f>
        <v>0</v>
      </c>
      <c r="Z542" s="180">
        <f>FME_Ranking1[[#This Row],[Closures Score (Normalized, Unweighted)]]*$X$3</f>
        <v>0</v>
      </c>
      <c r="AA542" s="253">
        <f>_xlfn.XLOOKUP(FME_Ranking1[[#This Row],[FME ID]],FME_Input[FME_ID],FME_Input[ROAD_MILES100])</f>
        <v>159.4900817871094</v>
      </c>
      <c r="AB542" s="178">
        <f>(FME_Ranking1[[#This Row],[Miles Raw]]/$AA$2)*100</f>
        <v>2.0970085166094656</v>
      </c>
      <c r="AC542" s="178">
        <f>FME_Ranking1[[#This Row],[Miles Score (Normalized, Unweighted)]]*$AA$3</f>
        <v>0.20970085166094657</v>
      </c>
      <c r="AD542" s="255">
        <f>_xlfn.XLOOKUP(FME_Ranking1[[#This Row],[FME ID]],FME_Input[FME_ID],FME_Input[FARMACRE100])</f>
        <v>858.60430908203125</v>
      </c>
      <c r="AE542" s="230">
        <f>(FME_Ranking1[[#This Row],[Ag Land Raw]]/$AD$2)*100</f>
        <v>3.5404998161185586E-2</v>
      </c>
      <c r="AF542" s="231">
        <f>FME_Ranking1[[#This Row],[Ag Land Score (Normalized, Unweighted)]]*$AD$3</f>
        <v>1.7702499080592795E-3</v>
      </c>
      <c r="AG54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0.49553867091586135</v>
      </c>
      <c r="AH542" s="406">
        <f t="shared" si="8"/>
        <v>433</v>
      </c>
      <c r="AI54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0.49553867091586135</v>
      </c>
      <c r="AJ542" s="257">
        <f>FME_Ranking1[[#This Row],[Addition check]]-FME_Ranking1[[#This Row],[Weighted Score Based on Normalized Reported Factors]]</f>
        <v>0</v>
      </c>
      <c r="AK542" s="178">
        <f>_xlfn.RANK.EQ(AI542,$AI$6:$AI$2341,0)+COUNTIF($AI$6:AI542,AI542)-1</f>
        <v>433</v>
      </c>
    </row>
    <row r="543" spans="1:37" x14ac:dyDescent="0.25">
      <c r="A543" t="s">
        <v>5470</v>
      </c>
      <c r="B543">
        <f>_xlfn.XLOOKUP(FME_Ranking1[[#This Row],[FME ID]],FME_Input[FME_ID],FME_Input[RFPG_NUM])</f>
        <v>4</v>
      </c>
      <c r="C543" t="str">
        <f>_xlfn.XLOOKUP(FME_Ranking1[[#This Row],[FME ID]],FME_Input[FME_ID],FME_Input[FME_NAME])</f>
        <v>Smith County Flood Hazard Mapping</v>
      </c>
      <c r="D543" t="str">
        <f>_xlfn.XLOOKUP(FME_Ranking1[[#This Row],[FME ID]],FME_Input[FME_ID],FME_Input[DESCR])</f>
        <v>Complete a detailed study within the county extent to delineate an updated flood hazard area, which can be used for regulatory purposes.</v>
      </c>
      <c r="E543" s="256">
        <f>_xlfn.XLOOKUP(FME_Ranking1[[#This Row],[FME ID]],FME_Input[FME_ID],FME_Input[FME_COST])</f>
        <v>4275000</v>
      </c>
      <c r="F543" t="str">
        <f>_xlfn.XLOOKUP(FME_Ranking1[[#This Row],[FME ID]],FME_Input[FME_ID],FME_Input[EMER_NEED])</f>
        <v>Yes</v>
      </c>
      <c r="G543">
        <f>IF(FME_Ranking!F543="Yes",100,0)</f>
        <v>100</v>
      </c>
      <c r="H543">
        <f>FME_Ranking1[[#This Row],[Emergency Need Score (Normalized, Unweighted)]]*$F$3</f>
        <v>0</v>
      </c>
      <c r="I543" s="246">
        <f>_xlfn.XLOOKUP(FME_Ranking1[[#This Row],[FME ID]],FME_Input[FME_ID],FME_Input[STRUCT_100])</f>
        <v>1303</v>
      </c>
      <c r="J543" s="178">
        <f>(FME_Ranking1[[#This Row],[Structures 100 Raw]]/I$2)*100</f>
        <v>0.69774664781733275</v>
      </c>
      <c r="K543" s="178">
        <f>FME_Ranking1[[#This Row],[Structures 100  Score (Normalized, Unweighted)]]*$I$3</f>
        <v>0.10466199717259991</v>
      </c>
      <c r="L543" s="246">
        <f>_xlfn.XLOOKUP(FME_Ranking1[[#This Row],[FME ID]],FME_Input[FME_ID],FME_Input[RES_STRUCT100])</f>
        <v>767</v>
      </c>
      <c r="M543" s="230">
        <f>(FME_Ranking1[[#This Row],[Res Structures Raw]]/L$2)*100</f>
        <v>0.54327038857644749</v>
      </c>
      <c r="N543" s="180">
        <f>FME_Ranking1[[#This Row],[Res Structures Score (Normalized, Unweighted)]]*$L$3</f>
        <v>5.4327038857644755E-2</v>
      </c>
      <c r="O543" s="244">
        <f>_xlfn.XLOOKUP(FME_Ranking1[[#This Row],[FME ID]],FME_Input[FME_ID],FME_Input[POP100])</f>
        <v>2893</v>
      </c>
      <c r="P543" s="178">
        <f>(FME_Ranking1[[#This Row],[Pop Raw]]/$O$2)*100</f>
        <v>0.29617177758349217</v>
      </c>
      <c r="Q543" s="178">
        <f>FME_Ranking1[[#This Row],[Pop Score (Normalized, Unweighted)]]*$O$3</f>
        <v>4.4425766637523824E-2</v>
      </c>
      <c r="R543" s="137">
        <f>_xlfn.XLOOKUP(FME_Ranking1[[#This Row],[FME ID]],FME_Input[FME_ID],FME_Input[CRITFAC100])</f>
        <v>7</v>
      </c>
      <c r="S543" s="230">
        <f>(FME_Ranking1[[#This Row],[Critical Facilities Raw]]/$R$2)*100</f>
        <v>0.30017152658662088</v>
      </c>
      <c r="T543" s="180">
        <f>FME_Ranking1[[#This Row],[Critical Facilities Score (Normalized, Unweighted)]]*$R$3</f>
        <v>6.0034305317324177E-2</v>
      </c>
      <c r="U543">
        <f>_xlfn.XLOOKUP(FME_Ranking1[[#This Row],[FME ID]],FME_Input[FME_ID],FME_Input[LWC])</f>
        <v>0</v>
      </c>
      <c r="V543" s="178">
        <f>(FME_Ranking1[[#This Row],[LWC Raw]]/$U$2)*100</f>
        <v>0</v>
      </c>
      <c r="W543" s="178">
        <f>FME_Ranking1[[#This Row],[LWC Score (Normalized, Unweighted)]]*$U$3</f>
        <v>0</v>
      </c>
      <c r="X543" s="246">
        <f>_xlfn.XLOOKUP(FME_Ranking1[[#This Row],[FME ID]],FME_Input[FME_ID],FME_Input[ROADCLS])</f>
        <v>0</v>
      </c>
      <c r="Y543" s="230">
        <f>(FME_Ranking1[[#This Row],[Closures Raw]]/$X$2)*100</f>
        <v>0</v>
      </c>
      <c r="Z543" s="180">
        <f>FME_Ranking1[[#This Row],[Closures Score (Normalized, Unweighted)]]*$X$3</f>
        <v>0</v>
      </c>
      <c r="AA543" s="253">
        <f>_xlfn.XLOOKUP(FME_Ranking1[[#This Row],[FME ID]],FME_Input[FME_ID],FME_Input[ROAD_MILES100])</f>
        <v>61.195247650146477</v>
      </c>
      <c r="AB543" s="178">
        <f>(FME_Ranking1[[#This Row],[Miles Raw]]/$AA$2)*100</f>
        <v>0.80460774777002109</v>
      </c>
      <c r="AC543" s="178">
        <f>FME_Ranking1[[#This Row],[Miles Score (Normalized, Unweighted)]]*$AA$3</f>
        <v>8.0460774777002114E-2</v>
      </c>
      <c r="AD543" s="255">
        <f>_xlfn.XLOOKUP(FME_Ranking1[[#This Row],[FME ID]],FME_Input[FME_ID],FME_Input[FARMACRE100])</f>
        <v>10558.55078125</v>
      </c>
      <c r="AE543" s="230">
        <f>(FME_Ranking1[[#This Row],[Ag Land Raw]]/$AD$2)*100</f>
        <v>0.43538736882722251</v>
      </c>
      <c r="AF543" s="231">
        <f>FME_Ranking1[[#This Row],[Ag Land Score (Normalized, Unweighted)]]*$AD$3</f>
        <v>2.1769368441361125E-2</v>
      </c>
      <c r="AG54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0.3656792512034559</v>
      </c>
      <c r="AH543" s="406">
        <f t="shared" si="8"/>
        <v>552</v>
      </c>
      <c r="AI54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0.3656792512034559</v>
      </c>
      <c r="AJ543" s="257">
        <f>FME_Ranking1[[#This Row],[Addition check]]-FME_Ranking1[[#This Row],[Weighted Score Based on Normalized Reported Factors]]</f>
        <v>0</v>
      </c>
      <c r="AK543" s="178">
        <f>_xlfn.RANK.EQ(AI543,$AI$6:$AI$2341,0)+COUNTIF($AI$6:AI543,AI543)-1</f>
        <v>552</v>
      </c>
    </row>
    <row r="544" spans="1:37" x14ac:dyDescent="0.25">
      <c r="A544" t="s">
        <v>5478</v>
      </c>
      <c r="B544">
        <f>_xlfn.XLOOKUP(FME_Ranking1[[#This Row],[FME ID]],FME_Input[FME_ID],FME_Input[RFPG_NUM])</f>
        <v>4</v>
      </c>
      <c r="C544" t="str">
        <f>_xlfn.XLOOKUP(FME_Ranking1[[#This Row],[FME ID]],FME_Input[FME_ID],FME_Input[FME_NAME])</f>
        <v>Smith County Drainage Master Plan</v>
      </c>
      <c r="D544" t="str">
        <f>_xlfn.XLOOKUP(FME_Ranking1[[#This Row],[FME ID]],FME_Input[FME_ID],FME_Input[DESCR])</f>
        <v>Perform H&amp;H modeling to identify and define flood risk, develop conceptual alternatives to reduce flood risk, develop OPCC for conceptual alternatives, and rank projects. Conceptual alternatives should evaluate feasibility of nature based solutions.</v>
      </c>
      <c r="E544" s="256">
        <f>_xlfn.XLOOKUP(FME_Ranking1[[#This Row],[FME ID]],FME_Input[FME_ID],FME_Input[FME_COST])</f>
        <v>1900000</v>
      </c>
      <c r="F544" t="str">
        <f>_xlfn.XLOOKUP(FME_Ranking1[[#This Row],[FME ID]],FME_Input[FME_ID],FME_Input[EMER_NEED])</f>
        <v>Yes</v>
      </c>
      <c r="G544">
        <f>IF(FME_Ranking!F544="Yes",100,0)</f>
        <v>100</v>
      </c>
      <c r="H544">
        <f>FME_Ranking1[[#This Row],[Emergency Need Score (Normalized, Unweighted)]]*$F$3</f>
        <v>0</v>
      </c>
      <c r="I544" s="246">
        <f>_xlfn.XLOOKUP(FME_Ranking1[[#This Row],[FME ID]],FME_Input[FME_ID],FME_Input[STRUCT_100])</f>
        <v>1303</v>
      </c>
      <c r="J544" s="178">
        <f>(FME_Ranking1[[#This Row],[Structures 100 Raw]]/I$2)*100</f>
        <v>0.69774664781733275</v>
      </c>
      <c r="K544" s="178">
        <f>FME_Ranking1[[#This Row],[Structures 100  Score (Normalized, Unweighted)]]*$I$3</f>
        <v>0.10466199717259991</v>
      </c>
      <c r="L544" s="246">
        <f>_xlfn.XLOOKUP(FME_Ranking1[[#This Row],[FME ID]],FME_Input[FME_ID],FME_Input[RES_STRUCT100])</f>
        <v>767</v>
      </c>
      <c r="M544" s="230">
        <f>(FME_Ranking1[[#This Row],[Res Structures Raw]]/L$2)*100</f>
        <v>0.54327038857644749</v>
      </c>
      <c r="N544" s="180">
        <f>FME_Ranking1[[#This Row],[Res Structures Score (Normalized, Unweighted)]]*$L$3</f>
        <v>5.4327038857644755E-2</v>
      </c>
      <c r="O544" s="244">
        <f>_xlfn.XLOOKUP(FME_Ranking1[[#This Row],[FME ID]],FME_Input[FME_ID],FME_Input[POP100])</f>
        <v>2893</v>
      </c>
      <c r="P544" s="178">
        <f>(FME_Ranking1[[#This Row],[Pop Raw]]/$O$2)*100</f>
        <v>0.29617177758349217</v>
      </c>
      <c r="Q544" s="178">
        <f>FME_Ranking1[[#This Row],[Pop Score (Normalized, Unweighted)]]*$O$3</f>
        <v>4.4425766637523824E-2</v>
      </c>
      <c r="R544" s="137">
        <f>_xlfn.XLOOKUP(FME_Ranking1[[#This Row],[FME ID]],FME_Input[FME_ID],FME_Input[CRITFAC100])</f>
        <v>7</v>
      </c>
      <c r="S544" s="230">
        <f>(FME_Ranking1[[#This Row],[Critical Facilities Raw]]/$R$2)*100</f>
        <v>0.30017152658662088</v>
      </c>
      <c r="T544" s="180">
        <f>FME_Ranking1[[#This Row],[Critical Facilities Score (Normalized, Unweighted)]]*$R$3</f>
        <v>6.0034305317324177E-2</v>
      </c>
      <c r="U544">
        <f>_xlfn.XLOOKUP(FME_Ranking1[[#This Row],[FME ID]],FME_Input[FME_ID],FME_Input[LWC])</f>
        <v>0</v>
      </c>
      <c r="V544" s="178">
        <f>(FME_Ranking1[[#This Row],[LWC Raw]]/$U$2)*100</f>
        <v>0</v>
      </c>
      <c r="W544" s="178">
        <f>FME_Ranking1[[#This Row],[LWC Score (Normalized, Unweighted)]]*$U$3</f>
        <v>0</v>
      </c>
      <c r="X544" s="246">
        <f>_xlfn.XLOOKUP(FME_Ranking1[[#This Row],[FME ID]],FME_Input[FME_ID],FME_Input[ROADCLS])</f>
        <v>0</v>
      </c>
      <c r="Y544" s="230">
        <f>(FME_Ranking1[[#This Row],[Closures Raw]]/$X$2)*100</f>
        <v>0</v>
      </c>
      <c r="Z544" s="180">
        <f>FME_Ranking1[[#This Row],[Closures Score (Normalized, Unweighted)]]*$X$3</f>
        <v>0</v>
      </c>
      <c r="AA544" s="253">
        <f>_xlfn.XLOOKUP(FME_Ranking1[[#This Row],[FME ID]],FME_Input[FME_ID],FME_Input[ROAD_MILES100])</f>
        <v>61.195247650146477</v>
      </c>
      <c r="AB544" s="178">
        <f>(FME_Ranking1[[#This Row],[Miles Raw]]/$AA$2)*100</f>
        <v>0.80460774777002109</v>
      </c>
      <c r="AC544" s="178">
        <f>FME_Ranking1[[#This Row],[Miles Score (Normalized, Unweighted)]]*$AA$3</f>
        <v>8.0460774777002114E-2</v>
      </c>
      <c r="AD544" s="255">
        <f>_xlfn.XLOOKUP(FME_Ranking1[[#This Row],[FME ID]],FME_Input[FME_ID],FME_Input[FARMACRE100])</f>
        <v>10558.55078125</v>
      </c>
      <c r="AE544" s="230">
        <f>(FME_Ranking1[[#This Row],[Ag Land Raw]]/$AD$2)*100</f>
        <v>0.43538736882722251</v>
      </c>
      <c r="AF544" s="231">
        <f>FME_Ranking1[[#This Row],[Ag Land Score (Normalized, Unweighted)]]*$AD$3</f>
        <v>2.1769368441361125E-2</v>
      </c>
      <c r="AG54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0.3656792512034559</v>
      </c>
      <c r="AH544" s="406">
        <f t="shared" si="8"/>
        <v>552</v>
      </c>
      <c r="AI54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0.3656792512034559</v>
      </c>
      <c r="AJ544" s="257">
        <f>FME_Ranking1[[#This Row],[Addition check]]-FME_Ranking1[[#This Row],[Weighted Score Based on Normalized Reported Factors]]</f>
        <v>0</v>
      </c>
      <c r="AK544" s="178">
        <f>_xlfn.RANK.EQ(AI544,$AI$6:$AI$2341,0)+COUNTIF($AI$6:AI544,AI544)-1</f>
        <v>553</v>
      </c>
    </row>
    <row r="545" spans="1:37" x14ac:dyDescent="0.25">
      <c r="A545" t="s">
        <v>5155</v>
      </c>
      <c r="B545">
        <f>_xlfn.XLOOKUP(FME_Ranking1[[#This Row],[FME ID]],FME_Input[FME_ID],FME_Input[RFPG_NUM])</f>
        <v>3</v>
      </c>
      <c r="C545" t="str">
        <f>_xlfn.XLOOKUP(FME_Ranking1[[#This Row],[FME ID]],FME_Input[FME_ID],FME_Input[FME_NAME])</f>
        <v>Quil Miller Creek Watershed Study</v>
      </c>
      <c r="D545" t="str">
        <f>_xlfn.XLOOKUP(FME_Ranking1[[#This Row],[FME ID]],FME_Input[FME_ID],FME_Input[DESCR])</f>
        <v>Study to improve knowledge of flood risks and facilitate the analysis of proposed developments within or adjacent to the floodplain.</v>
      </c>
      <c r="E545" s="256">
        <f>_xlfn.XLOOKUP(FME_Ranking1[[#This Row],[FME ID]],FME_Input[FME_ID],FME_Input[FME_COST])</f>
        <v>265000</v>
      </c>
      <c r="F545" t="str">
        <f>_xlfn.XLOOKUP(FME_Ranking1[[#This Row],[FME ID]],FME_Input[FME_ID],FME_Input[EMER_NEED])</f>
        <v>No</v>
      </c>
      <c r="G545">
        <f>IF(FME_Ranking!F545="Yes",100,0)</f>
        <v>0</v>
      </c>
      <c r="H545">
        <f>FME_Ranking1[[#This Row],[Emergency Need Score (Normalized, Unweighted)]]*$F$3</f>
        <v>0</v>
      </c>
      <c r="I545" s="246">
        <f>_xlfn.XLOOKUP(FME_Ranking1[[#This Row],[FME ID]],FME_Input[FME_ID],FME_Input[STRUCT_100])</f>
        <v>234</v>
      </c>
      <c r="J545" s="178">
        <f>(FME_Ranking1[[#This Row],[Structures 100 Raw]]/I$2)*100</f>
        <v>0.12530523069014265</v>
      </c>
      <c r="K545" s="178">
        <f>FME_Ranking1[[#This Row],[Structures 100  Score (Normalized, Unweighted)]]*$I$3</f>
        <v>1.8795784603521399E-2</v>
      </c>
      <c r="L545" s="246">
        <f>_xlfn.XLOOKUP(FME_Ranking1[[#This Row],[FME ID]],FME_Input[FME_ID],FME_Input[RES_STRUCT100])</f>
        <v>215</v>
      </c>
      <c r="M545" s="230">
        <f>(FME_Ranking1[[#This Row],[Res Structures Raw]]/L$2)*100</f>
        <v>0.15228570214333273</v>
      </c>
      <c r="N545" s="180">
        <f>FME_Ranking1[[#This Row],[Res Structures Score (Normalized, Unweighted)]]*$L$3</f>
        <v>1.5228570214333274E-2</v>
      </c>
      <c r="O545" s="244">
        <f>_xlfn.XLOOKUP(FME_Ranking1[[#This Row],[FME ID]],FME_Input[FME_ID],FME_Input[POP100])</f>
        <v>596</v>
      </c>
      <c r="P545" s="178">
        <f>(FME_Ranking1[[#This Row],[Pop Raw]]/$O$2)*100</f>
        <v>6.1015685945302919E-2</v>
      </c>
      <c r="Q545" s="178">
        <f>FME_Ranking1[[#This Row],[Pop Score (Normalized, Unweighted)]]*$O$3</f>
        <v>9.1523528917954369E-3</v>
      </c>
      <c r="R545" s="137">
        <f>_xlfn.XLOOKUP(FME_Ranking1[[#This Row],[FME ID]],FME_Input[FME_ID],FME_Input[CRITFAC100])</f>
        <v>2</v>
      </c>
      <c r="S545" s="230">
        <f>(FME_Ranking1[[#This Row],[Critical Facilities Raw]]/$R$2)*100</f>
        <v>8.5763293310463118E-2</v>
      </c>
      <c r="T545" s="180">
        <f>FME_Ranking1[[#This Row],[Critical Facilities Score (Normalized, Unweighted)]]*$R$3</f>
        <v>1.7152658662092625E-2</v>
      </c>
      <c r="U545">
        <f>_xlfn.XLOOKUP(FME_Ranking1[[#This Row],[FME ID]],FME_Input[FME_ID],FME_Input[LWC])</f>
        <v>19</v>
      </c>
      <c r="V545" s="178">
        <f>(FME_Ranking1[[#This Row],[LWC Raw]]/$U$2)*100</f>
        <v>1.0938399539435808</v>
      </c>
      <c r="W545" s="178">
        <f>FME_Ranking1[[#This Row],[LWC Score (Normalized, Unweighted)]]*$U$3</f>
        <v>0.21876799078871617</v>
      </c>
      <c r="X545" s="246">
        <f>_xlfn.XLOOKUP(FME_Ranking1[[#This Row],[FME ID]],FME_Input[FME_ID],FME_Input[ROADCLS])</f>
        <v>0</v>
      </c>
      <c r="Y545" s="230">
        <f>(FME_Ranking1[[#This Row],[Closures Raw]]/$X$2)*100</f>
        <v>0</v>
      </c>
      <c r="Z545" s="180">
        <f>FME_Ranking1[[#This Row],[Closures Score (Normalized, Unweighted)]]*$X$3</f>
        <v>0</v>
      </c>
      <c r="AA545" s="253">
        <f>_xlfn.XLOOKUP(FME_Ranking1[[#This Row],[FME ID]],FME_Input[FME_ID],FME_Input[ROAD_MILES100])</f>
        <v>6.3262691497802734</v>
      </c>
      <c r="AB545" s="178">
        <f>(FME_Ranking1[[#This Row],[Miles Raw]]/$AA$2)*100</f>
        <v>8.3179092623207773E-2</v>
      </c>
      <c r="AC545" s="178">
        <f>FME_Ranking1[[#This Row],[Miles Score (Normalized, Unweighted)]]*$AA$3</f>
        <v>8.317909262320778E-3</v>
      </c>
      <c r="AD545" s="255">
        <f>_xlfn.XLOOKUP(FME_Ranking1[[#This Row],[FME ID]],FME_Input[FME_ID],FME_Input[FARMACRE100])</f>
        <v>1015.492980957031</v>
      </c>
      <c r="AE545" s="230">
        <f>(FME_Ranking1[[#This Row],[Ag Land Raw]]/$AD$2)*100</f>
        <v>4.1874384676592102E-2</v>
      </c>
      <c r="AF545" s="231">
        <f>FME_Ranking1[[#This Row],[Ag Land Score (Normalized, Unweighted)]]*$AD$3</f>
        <v>2.0937192338296054E-3</v>
      </c>
      <c r="AG54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0.28950898565660932</v>
      </c>
      <c r="AH545" s="406">
        <f t="shared" si="8"/>
        <v>634</v>
      </c>
      <c r="AI54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0.28950898565660932</v>
      </c>
      <c r="AJ545" s="257">
        <f>FME_Ranking1[[#This Row],[Addition check]]-FME_Ranking1[[#This Row],[Weighted Score Based on Normalized Reported Factors]]</f>
        <v>0</v>
      </c>
      <c r="AK545" s="178">
        <f>_xlfn.RANK.EQ(AI545,$AI$6:$AI$2341,0)+COUNTIF($AI$6:AI545,AI545)-1</f>
        <v>634</v>
      </c>
    </row>
    <row r="546" spans="1:37" x14ac:dyDescent="0.25">
      <c r="A546" t="s">
        <v>6763</v>
      </c>
      <c r="B546">
        <f>_xlfn.XLOOKUP(FME_Ranking1[[#This Row],[FME ID]],FME_Input[FME_ID],FME_Input[RFPG_NUM])</f>
        <v>7</v>
      </c>
      <c r="C546" t="str">
        <f>_xlfn.XLOOKUP(FME_Ranking1[[#This Row],[FME ID]],FME_Input[FME_ID],FME_Input[FME_NAME])</f>
        <v>Bailey County Initial FEMA Mapping</v>
      </c>
      <c r="D546" t="str">
        <f>_xlfn.XLOOKUP(FME_Ranking1[[#This Row],[FME ID]],FME_Input[FME_ID],FME_Input[DESCR])</f>
        <v>Create FEMA Mapping in previously unmapped areas</v>
      </c>
      <c r="E546" s="256">
        <f>_xlfn.XLOOKUP(FME_Ranking1[[#This Row],[FME ID]],FME_Input[FME_ID],FME_Input[FME_COST])</f>
        <v>711000</v>
      </c>
      <c r="F546" t="str">
        <f>_xlfn.XLOOKUP(FME_Ranking1[[#This Row],[FME ID]],FME_Input[FME_ID],FME_Input[EMER_NEED])</f>
        <v>No</v>
      </c>
      <c r="G546">
        <f>IF(FME_Ranking!F546="Yes",100,0)</f>
        <v>0</v>
      </c>
      <c r="H546">
        <f>FME_Ranking1[[#This Row],[Emergency Need Score (Normalized, Unweighted)]]*$F$3</f>
        <v>0</v>
      </c>
      <c r="I546" s="246">
        <f>_xlfn.XLOOKUP(FME_Ranking1[[#This Row],[FME ID]],FME_Input[FME_ID],FME_Input[STRUCT_100])</f>
        <v>475</v>
      </c>
      <c r="J546" s="178">
        <f>(FME_Ranking1[[#This Row],[Structures 100 Raw]]/I$2)*100</f>
        <v>0.25435890845221265</v>
      </c>
      <c r="K546" s="178">
        <f>FME_Ranking1[[#This Row],[Structures 100  Score (Normalized, Unweighted)]]*$I$3</f>
        <v>3.8153836267831899E-2</v>
      </c>
      <c r="L546" s="246">
        <f>_xlfn.XLOOKUP(FME_Ranking1[[#This Row],[FME ID]],FME_Input[FME_ID],FME_Input[RES_STRUCT100])</f>
        <v>46</v>
      </c>
      <c r="M546" s="230">
        <f>(FME_Ranking1[[#This Row],[Res Structures Raw]]/L$2)*100</f>
        <v>3.2582057202759557E-2</v>
      </c>
      <c r="N546" s="180">
        <f>FME_Ranking1[[#This Row],[Res Structures Score (Normalized, Unweighted)]]*$L$3</f>
        <v>3.2582057202759558E-3</v>
      </c>
      <c r="O546" s="244">
        <f>_xlfn.XLOOKUP(FME_Ranking1[[#This Row],[FME ID]],FME_Input[FME_ID],FME_Input[POP100])</f>
        <v>759</v>
      </c>
      <c r="P546" s="178">
        <f>(FME_Ranking1[[#This Row],[Pop Raw]]/$O$2)*100</f>
        <v>7.7702861799471334E-2</v>
      </c>
      <c r="Q546" s="178">
        <f>FME_Ranking1[[#This Row],[Pop Score (Normalized, Unweighted)]]*$O$3</f>
        <v>1.1655429269920701E-2</v>
      </c>
      <c r="R546" s="137">
        <f>_xlfn.XLOOKUP(FME_Ranking1[[#This Row],[FME ID]],FME_Input[FME_ID],FME_Input[CRITFAC100])</f>
        <v>1</v>
      </c>
      <c r="S546" s="230">
        <f>(FME_Ranking1[[#This Row],[Critical Facilities Raw]]/$R$2)*100</f>
        <v>4.2881646655231559E-2</v>
      </c>
      <c r="T546" s="180">
        <f>FME_Ranking1[[#This Row],[Critical Facilities Score (Normalized, Unweighted)]]*$R$3</f>
        <v>8.5763293310463125E-3</v>
      </c>
      <c r="U546">
        <f>_xlfn.XLOOKUP(FME_Ranking1[[#This Row],[FME ID]],FME_Input[FME_ID],FME_Input[LWC])</f>
        <v>13</v>
      </c>
      <c r="V546" s="178">
        <f>(FME_Ranking1[[#This Row],[LWC Raw]]/$U$2)*100</f>
        <v>0.74841681059297649</v>
      </c>
      <c r="W546" s="178">
        <f>FME_Ranking1[[#This Row],[LWC Score (Normalized, Unweighted)]]*$U$3</f>
        <v>0.14968336211859531</v>
      </c>
      <c r="X546" s="246">
        <f>_xlfn.XLOOKUP(FME_Ranking1[[#This Row],[FME ID]],FME_Input[FME_ID],FME_Input[ROADCLS])</f>
        <v>0</v>
      </c>
      <c r="Y546" s="230">
        <f>(FME_Ranking1[[#This Row],[Closures Raw]]/$X$2)*100</f>
        <v>0</v>
      </c>
      <c r="Z546" s="180">
        <f>FME_Ranking1[[#This Row],[Closures Score (Normalized, Unweighted)]]*$X$3</f>
        <v>0</v>
      </c>
      <c r="AA546" s="253">
        <f>_xlfn.XLOOKUP(FME_Ranking1[[#This Row],[FME ID]],FME_Input[FME_ID],FME_Input[ROAD_MILES100])</f>
        <v>499.0328369140625</v>
      </c>
      <c r="AB546" s="178">
        <f>(FME_Ranking1[[#This Row],[Miles Raw]]/$AA$2)*100</f>
        <v>6.5613867480074974</v>
      </c>
      <c r="AC546" s="178">
        <f>FME_Ranking1[[#This Row],[Miles Score (Normalized, Unweighted)]]*$AA$3</f>
        <v>0.65613867480074983</v>
      </c>
      <c r="AD546" s="255">
        <f>_xlfn.XLOOKUP(FME_Ranking1[[#This Row],[FME ID]],FME_Input[FME_ID],FME_Input[FARMACRE100])</f>
        <v>32566.796875</v>
      </c>
      <c r="AE546" s="230">
        <f>(FME_Ranking1[[#This Row],[Ag Land Raw]]/$AD$2)*100</f>
        <v>1.3429089177386357</v>
      </c>
      <c r="AF546" s="231">
        <f>FME_Ranking1[[#This Row],[Ag Land Score (Normalized, Unweighted)]]*$AD$3</f>
        <v>6.714544588693179E-2</v>
      </c>
      <c r="AG54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0.93461128339535182</v>
      </c>
      <c r="AH546" s="406">
        <f t="shared" si="8"/>
        <v>292</v>
      </c>
      <c r="AI54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0.93461128339535182</v>
      </c>
      <c r="AJ546" s="257">
        <f>FME_Ranking1[[#This Row],[Addition check]]-FME_Ranking1[[#This Row],[Weighted Score Based on Normalized Reported Factors]]</f>
        <v>0</v>
      </c>
      <c r="AK546" s="178">
        <f>_xlfn.RANK.EQ(AI546,$AI$6:$AI$2341,0)+COUNTIF($AI$6:AI546,AI546)-1</f>
        <v>292</v>
      </c>
    </row>
    <row r="547" spans="1:37" x14ac:dyDescent="0.25">
      <c r="A547" t="s">
        <v>6771</v>
      </c>
      <c r="B547">
        <f>_xlfn.XLOOKUP(FME_Ranking1[[#This Row],[FME ID]],FME_Input[FME_ID],FME_Input[RFPG_NUM])</f>
        <v>7</v>
      </c>
      <c r="C547" t="str">
        <f>_xlfn.XLOOKUP(FME_Ranking1[[#This Row],[FME ID]],FME_Input[FME_ID],FME_Input[FME_NAME])</f>
        <v>Bailey County GIS Development</v>
      </c>
      <c r="D547" t="str">
        <f>_xlfn.XLOOKUP(FME_Ranking1[[#This Row],[FME ID]],FME_Input[FME_ID],FME_Input[DESCR])</f>
        <v>Develop a GIS inventory of stormwater infrastructure</v>
      </c>
      <c r="E547" s="256">
        <f>_xlfn.XLOOKUP(FME_Ranking1[[#This Row],[FME ID]],FME_Input[FME_ID],FME_Input[FME_COST])</f>
        <v>100000</v>
      </c>
      <c r="F547" t="str">
        <f>_xlfn.XLOOKUP(FME_Ranking1[[#This Row],[FME ID]],FME_Input[FME_ID],FME_Input[EMER_NEED])</f>
        <v>No</v>
      </c>
      <c r="G547">
        <f>IF(FME_Ranking!F547="Yes",100,0)</f>
        <v>0</v>
      </c>
      <c r="H547">
        <f>FME_Ranking1[[#This Row],[Emergency Need Score (Normalized, Unweighted)]]*$F$3</f>
        <v>0</v>
      </c>
      <c r="I547" s="246">
        <f>_xlfn.XLOOKUP(FME_Ranking1[[#This Row],[FME ID]],FME_Input[FME_ID],FME_Input[STRUCT_100])</f>
        <v>475</v>
      </c>
      <c r="J547" s="178">
        <f>(FME_Ranking1[[#This Row],[Structures 100 Raw]]/I$2)*100</f>
        <v>0.25435890845221265</v>
      </c>
      <c r="K547" s="178">
        <f>FME_Ranking1[[#This Row],[Structures 100  Score (Normalized, Unweighted)]]*$I$3</f>
        <v>3.8153836267831899E-2</v>
      </c>
      <c r="L547" s="246">
        <f>_xlfn.XLOOKUP(FME_Ranking1[[#This Row],[FME ID]],FME_Input[FME_ID],FME_Input[RES_STRUCT100])</f>
        <v>46</v>
      </c>
      <c r="M547" s="230">
        <f>(FME_Ranking1[[#This Row],[Res Structures Raw]]/L$2)*100</f>
        <v>3.2582057202759557E-2</v>
      </c>
      <c r="N547" s="180">
        <f>FME_Ranking1[[#This Row],[Res Structures Score (Normalized, Unweighted)]]*$L$3</f>
        <v>3.2582057202759558E-3</v>
      </c>
      <c r="O547" s="244">
        <f>_xlfn.XLOOKUP(FME_Ranking1[[#This Row],[FME ID]],FME_Input[FME_ID],FME_Input[POP100])</f>
        <v>759</v>
      </c>
      <c r="P547" s="178">
        <f>(FME_Ranking1[[#This Row],[Pop Raw]]/$O$2)*100</f>
        <v>7.7702861799471334E-2</v>
      </c>
      <c r="Q547" s="178">
        <f>FME_Ranking1[[#This Row],[Pop Score (Normalized, Unweighted)]]*$O$3</f>
        <v>1.1655429269920701E-2</v>
      </c>
      <c r="R547" s="137">
        <f>_xlfn.XLOOKUP(FME_Ranking1[[#This Row],[FME ID]],FME_Input[FME_ID],FME_Input[CRITFAC100])</f>
        <v>1</v>
      </c>
      <c r="S547" s="230">
        <f>(FME_Ranking1[[#This Row],[Critical Facilities Raw]]/$R$2)*100</f>
        <v>4.2881646655231559E-2</v>
      </c>
      <c r="T547" s="180">
        <f>FME_Ranking1[[#This Row],[Critical Facilities Score (Normalized, Unweighted)]]*$R$3</f>
        <v>8.5763293310463125E-3</v>
      </c>
      <c r="U547">
        <f>_xlfn.XLOOKUP(FME_Ranking1[[#This Row],[FME ID]],FME_Input[FME_ID],FME_Input[LWC])</f>
        <v>13</v>
      </c>
      <c r="V547" s="178">
        <f>(FME_Ranking1[[#This Row],[LWC Raw]]/$U$2)*100</f>
        <v>0.74841681059297649</v>
      </c>
      <c r="W547" s="178">
        <f>FME_Ranking1[[#This Row],[LWC Score (Normalized, Unweighted)]]*$U$3</f>
        <v>0.14968336211859531</v>
      </c>
      <c r="X547" s="246">
        <f>_xlfn.XLOOKUP(FME_Ranking1[[#This Row],[FME ID]],FME_Input[FME_ID],FME_Input[ROADCLS])</f>
        <v>0</v>
      </c>
      <c r="Y547" s="230">
        <f>(FME_Ranking1[[#This Row],[Closures Raw]]/$X$2)*100</f>
        <v>0</v>
      </c>
      <c r="Z547" s="180">
        <f>FME_Ranking1[[#This Row],[Closures Score (Normalized, Unweighted)]]*$X$3</f>
        <v>0</v>
      </c>
      <c r="AA547" s="253">
        <f>_xlfn.XLOOKUP(FME_Ranking1[[#This Row],[FME ID]],FME_Input[FME_ID],FME_Input[ROAD_MILES100])</f>
        <v>499.0328369140625</v>
      </c>
      <c r="AB547" s="178">
        <f>(FME_Ranking1[[#This Row],[Miles Raw]]/$AA$2)*100</f>
        <v>6.5613867480074974</v>
      </c>
      <c r="AC547" s="178">
        <f>FME_Ranking1[[#This Row],[Miles Score (Normalized, Unweighted)]]*$AA$3</f>
        <v>0.65613867480074983</v>
      </c>
      <c r="AD547" s="255">
        <f>_xlfn.XLOOKUP(FME_Ranking1[[#This Row],[FME ID]],FME_Input[FME_ID],FME_Input[FARMACRE100])</f>
        <v>32566.796875</v>
      </c>
      <c r="AE547" s="230">
        <f>(FME_Ranking1[[#This Row],[Ag Land Raw]]/$AD$2)*100</f>
        <v>1.3429089177386357</v>
      </c>
      <c r="AF547" s="231">
        <f>FME_Ranking1[[#This Row],[Ag Land Score (Normalized, Unweighted)]]*$AD$3</f>
        <v>6.714544588693179E-2</v>
      </c>
      <c r="AG54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0.93461128339535182</v>
      </c>
      <c r="AH547" s="406">
        <f t="shared" si="8"/>
        <v>292</v>
      </c>
      <c r="AI54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0.93461128339535182</v>
      </c>
      <c r="AJ547" s="257">
        <f>FME_Ranking1[[#This Row],[Addition check]]-FME_Ranking1[[#This Row],[Weighted Score Based on Normalized Reported Factors]]</f>
        <v>0</v>
      </c>
      <c r="AK547" s="178">
        <f>_xlfn.RANK.EQ(AI547,$AI$6:$AI$2341,0)+COUNTIF($AI$6:AI547,AI547)-1</f>
        <v>293</v>
      </c>
    </row>
    <row r="548" spans="1:37" x14ac:dyDescent="0.25">
      <c r="A548" t="s">
        <v>7119</v>
      </c>
      <c r="B548">
        <f>_xlfn.XLOOKUP(FME_Ranking1[[#This Row],[FME ID]],FME_Input[FME_ID],FME_Input[RFPG_NUM])</f>
        <v>7</v>
      </c>
      <c r="C548" t="str">
        <f>_xlfn.XLOOKUP(FME_Ranking1[[#This Row],[FME ID]],FME_Input[FME_ID],FME_Input[FME_NAME])</f>
        <v>Bailey County DCM</v>
      </c>
      <c r="D548" t="str">
        <f>_xlfn.XLOOKUP(FME_Ranking1[[#This Row],[FME ID]],FME_Input[FME_ID],FME_Input[DESCR])</f>
        <v>Consider stormwater criteria for infrastructure and floodplain ordinances to avoid new exposure to flood hazards.</v>
      </c>
      <c r="E548" s="256">
        <f>_xlfn.XLOOKUP(FME_Ranking1[[#This Row],[FME ID]],FME_Input[FME_ID],FME_Input[FME_COST])</f>
        <v>100000</v>
      </c>
      <c r="F548" t="str">
        <f>_xlfn.XLOOKUP(FME_Ranking1[[#This Row],[FME ID]],FME_Input[FME_ID],FME_Input[EMER_NEED])</f>
        <v>No</v>
      </c>
      <c r="G548">
        <f>IF(FME_Ranking!F548="Yes",100,0)</f>
        <v>0</v>
      </c>
      <c r="H548">
        <f>FME_Ranking1[[#This Row],[Emergency Need Score (Normalized, Unweighted)]]*$F$3</f>
        <v>0</v>
      </c>
      <c r="I548" s="246">
        <f>_xlfn.XLOOKUP(FME_Ranking1[[#This Row],[FME ID]],FME_Input[FME_ID],FME_Input[STRUCT_100])</f>
        <v>475</v>
      </c>
      <c r="J548" s="178">
        <f>(FME_Ranking1[[#This Row],[Structures 100 Raw]]/I$2)*100</f>
        <v>0.25435890845221265</v>
      </c>
      <c r="K548" s="178">
        <f>FME_Ranking1[[#This Row],[Structures 100  Score (Normalized, Unweighted)]]*$I$3</f>
        <v>3.8153836267831899E-2</v>
      </c>
      <c r="L548" s="246">
        <f>_xlfn.XLOOKUP(FME_Ranking1[[#This Row],[FME ID]],FME_Input[FME_ID],FME_Input[RES_STRUCT100])</f>
        <v>46</v>
      </c>
      <c r="M548" s="230">
        <f>(FME_Ranking1[[#This Row],[Res Structures Raw]]/L$2)*100</f>
        <v>3.2582057202759557E-2</v>
      </c>
      <c r="N548" s="180">
        <f>FME_Ranking1[[#This Row],[Res Structures Score (Normalized, Unweighted)]]*$L$3</f>
        <v>3.2582057202759558E-3</v>
      </c>
      <c r="O548" s="244">
        <f>_xlfn.XLOOKUP(FME_Ranking1[[#This Row],[FME ID]],FME_Input[FME_ID],FME_Input[POP100])</f>
        <v>759</v>
      </c>
      <c r="P548" s="178">
        <f>(FME_Ranking1[[#This Row],[Pop Raw]]/$O$2)*100</f>
        <v>7.7702861799471334E-2</v>
      </c>
      <c r="Q548" s="178">
        <f>FME_Ranking1[[#This Row],[Pop Score (Normalized, Unweighted)]]*$O$3</f>
        <v>1.1655429269920701E-2</v>
      </c>
      <c r="R548" s="137">
        <f>_xlfn.XLOOKUP(FME_Ranking1[[#This Row],[FME ID]],FME_Input[FME_ID],FME_Input[CRITFAC100])</f>
        <v>1</v>
      </c>
      <c r="S548" s="230">
        <f>(FME_Ranking1[[#This Row],[Critical Facilities Raw]]/$R$2)*100</f>
        <v>4.2881646655231559E-2</v>
      </c>
      <c r="T548" s="180">
        <f>FME_Ranking1[[#This Row],[Critical Facilities Score (Normalized, Unweighted)]]*$R$3</f>
        <v>8.5763293310463125E-3</v>
      </c>
      <c r="U548">
        <f>_xlfn.XLOOKUP(FME_Ranking1[[#This Row],[FME ID]],FME_Input[FME_ID],FME_Input[LWC])</f>
        <v>13</v>
      </c>
      <c r="V548" s="178">
        <f>(FME_Ranking1[[#This Row],[LWC Raw]]/$U$2)*100</f>
        <v>0.74841681059297649</v>
      </c>
      <c r="W548" s="178">
        <f>FME_Ranking1[[#This Row],[LWC Score (Normalized, Unweighted)]]*$U$3</f>
        <v>0.14968336211859531</v>
      </c>
      <c r="X548" s="246">
        <f>_xlfn.XLOOKUP(FME_Ranking1[[#This Row],[FME ID]],FME_Input[FME_ID],FME_Input[ROADCLS])</f>
        <v>0</v>
      </c>
      <c r="Y548" s="230">
        <f>(FME_Ranking1[[#This Row],[Closures Raw]]/$X$2)*100</f>
        <v>0</v>
      </c>
      <c r="Z548" s="180">
        <f>FME_Ranking1[[#This Row],[Closures Score (Normalized, Unweighted)]]*$X$3</f>
        <v>0</v>
      </c>
      <c r="AA548" s="253">
        <f>_xlfn.XLOOKUP(FME_Ranking1[[#This Row],[FME ID]],FME_Input[FME_ID],FME_Input[ROAD_MILES100])</f>
        <v>499.0328369140625</v>
      </c>
      <c r="AB548" s="178">
        <f>(FME_Ranking1[[#This Row],[Miles Raw]]/$AA$2)*100</f>
        <v>6.5613867480074974</v>
      </c>
      <c r="AC548" s="178">
        <f>FME_Ranking1[[#This Row],[Miles Score (Normalized, Unweighted)]]*$AA$3</f>
        <v>0.65613867480074983</v>
      </c>
      <c r="AD548" s="255">
        <f>_xlfn.XLOOKUP(FME_Ranking1[[#This Row],[FME ID]],FME_Input[FME_ID],FME_Input[FARMACRE100])</f>
        <v>32566.796875</v>
      </c>
      <c r="AE548" s="230">
        <f>(FME_Ranking1[[#This Row],[Ag Land Raw]]/$AD$2)*100</f>
        <v>1.3429089177386357</v>
      </c>
      <c r="AF548" s="231">
        <f>FME_Ranking1[[#This Row],[Ag Land Score (Normalized, Unweighted)]]*$AD$3</f>
        <v>6.714544588693179E-2</v>
      </c>
      <c r="AG54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0.93461128339535182</v>
      </c>
      <c r="AH548" s="406">
        <f t="shared" si="8"/>
        <v>292</v>
      </c>
      <c r="AI54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0.93461128339535182</v>
      </c>
      <c r="AJ548" s="257">
        <f>FME_Ranking1[[#This Row],[Addition check]]-FME_Ranking1[[#This Row],[Weighted Score Based on Normalized Reported Factors]]</f>
        <v>0</v>
      </c>
      <c r="AK548" s="178">
        <f>_xlfn.RANK.EQ(AI548,$AI$6:$AI$2341,0)+COUNTIF($AI$6:AI548,AI548)-1</f>
        <v>294</v>
      </c>
    </row>
    <row r="549" spans="1:37" x14ac:dyDescent="0.25">
      <c r="A549" t="s">
        <v>4871</v>
      </c>
      <c r="B549">
        <f>_xlfn.XLOOKUP(FME_Ranking1[[#This Row],[FME ID]],FME_Input[FME_ID],FME_Input[RFPG_NUM])</f>
        <v>3</v>
      </c>
      <c r="C549" t="str">
        <f>_xlfn.XLOOKUP(FME_Ranking1[[#This Row],[FME ID]],FME_Input[FME_ID],FME_Input[FME_NAME])</f>
        <v>Mansfield Stream Stabilization Study</v>
      </c>
      <c r="D549" t="str">
        <f>_xlfn.XLOOKUP(FME_Ranking1[[#This Row],[FME ID]],FME_Input[FME_ID],FME_Input[DESCR])</f>
        <v>Evaluate alternatives to protect public infrastructure and private property from damages due to streambank erosion. Alternatives could include Saddlehorn/Walnut Creek sewer interceptor aerial crossing and Brookfield Hogpen sewer interceptor</v>
      </c>
      <c r="E549" s="256">
        <f>_xlfn.XLOOKUP(FME_Ranking1[[#This Row],[FME ID]],FME_Input[FME_ID],FME_Input[FME_COST])</f>
        <v>182000</v>
      </c>
      <c r="F549" t="str">
        <f>_xlfn.XLOOKUP(FME_Ranking1[[#This Row],[FME ID]],FME_Input[FME_ID],FME_Input[EMER_NEED])</f>
        <v>No</v>
      </c>
      <c r="G549">
        <f>IF(FME_Ranking!F549="Yes",100,0)</f>
        <v>0</v>
      </c>
      <c r="H549">
        <f>FME_Ranking1[[#This Row],[Emergency Need Score (Normalized, Unweighted)]]*$F$3</f>
        <v>0</v>
      </c>
      <c r="I549" s="246">
        <f>_xlfn.XLOOKUP(FME_Ranking1[[#This Row],[FME ID]],FME_Input[FME_ID],FME_Input[STRUCT_100])</f>
        <v>422</v>
      </c>
      <c r="J549" s="178">
        <f>(FME_Ranking1[[#This Row],[Structures 100 Raw]]/I$2)*100</f>
        <v>0.22597780919333421</v>
      </c>
      <c r="K549" s="178">
        <f>FME_Ranking1[[#This Row],[Structures 100  Score (Normalized, Unweighted)]]*$I$3</f>
        <v>3.3896671379000133E-2</v>
      </c>
      <c r="L549" s="246">
        <f>_xlfn.XLOOKUP(FME_Ranking1[[#This Row],[FME ID]],FME_Input[FME_ID],FME_Input[RES_STRUCT100])</f>
        <v>385</v>
      </c>
      <c r="M549" s="230">
        <f>(FME_Ranking1[[#This Row],[Res Structures Raw]]/L$2)*100</f>
        <v>0.27269765267527019</v>
      </c>
      <c r="N549" s="180">
        <f>FME_Ranking1[[#This Row],[Res Structures Score (Normalized, Unweighted)]]*$L$3</f>
        <v>2.7269765267527019E-2</v>
      </c>
      <c r="O549" s="244">
        <f>_xlfn.XLOOKUP(FME_Ranking1[[#This Row],[FME ID]],FME_Input[FME_ID],FME_Input[POP100])</f>
        <v>2492</v>
      </c>
      <c r="P549" s="178">
        <f>(FME_Ranking1[[#This Row],[Pop Raw]]/$O$2)*100</f>
        <v>0.25511927747599811</v>
      </c>
      <c r="Q549" s="178">
        <f>FME_Ranking1[[#This Row],[Pop Score (Normalized, Unweighted)]]*$O$3</f>
        <v>3.8267891621399715E-2</v>
      </c>
      <c r="R549" s="137">
        <f>_xlfn.XLOOKUP(FME_Ranking1[[#This Row],[FME ID]],FME_Input[FME_ID],FME_Input[CRITFAC100])</f>
        <v>4</v>
      </c>
      <c r="S549" s="230">
        <f>(FME_Ranking1[[#This Row],[Critical Facilities Raw]]/$R$2)*100</f>
        <v>0.17152658662092624</v>
      </c>
      <c r="T549" s="180">
        <f>FME_Ranking1[[#This Row],[Critical Facilities Score (Normalized, Unweighted)]]*$R$3</f>
        <v>3.430531732418525E-2</v>
      </c>
      <c r="U549">
        <f>_xlfn.XLOOKUP(FME_Ranking1[[#This Row],[FME ID]],FME_Input[FME_ID],FME_Input[LWC])</f>
        <v>12</v>
      </c>
      <c r="V549" s="178">
        <f>(FME_Ranking1[[#This Row],[LWC Raw]]/$U$2)*100</f>
        <v>0.69084628670120896</v>
      </c>
      <c r="W549" s="178">
        <f>FME_Ranking1[[#This Row],[LWC Score (Normalized, Unweighted)]]*$U$3</f>
        <v>0.1381692573402418</v>
      </c>
      <c r="X549" s="246">
        <f>_xlfn.XLOOKUP(FME_Ranking1[[#This Row],[FME ID]],FME_Input[FME_ID],FME_Input[ROADCLS])</f>
        <v>0</v>
      </c>
      <c r="Y549" s="230">
        <f>(FME_Ranking1[[#This Row],[Closures Raw]]/$X$2)*100</f>
        <v>0</v>
      </c>
      <c r="Z549" s="180">
        <f>FME_Ranking1[[#This Row],[Closures Score (Normalized, Unweighted)]]*$X$3</f>
        <v>0</v>
      </c>
      <c r="AA549" s="253">
        <f>_xlfn.XLOOKUP(FME_Ranking1[[#This Row],[FME ID]],FME_Input[FME_ID],FME_Input[ROAD_MILES100])</f>
        <v>30.21121978759766</v>
      </c>
      <c r="AB549" s="178">
        <f>(FME_Ranking1[[#This Row],[Miles Raw]]/$AA$2)*100</f>
        <v>0.39722335384038376</v>
      </c>
      <c r="AC549" s="178">
        <f>FME_Ranking1[[#This Row],[Miles Score (Normalized, Unweighted)]]*$AA$3</f>
        <v>3.9722335384038382E-2</v>
      </c>
      <c r="AD549" s="255">
        <f>_xlfn.XLOOKUP(FME_Ranking1[[#This Row],[FME ID]],FME_Input[FME_ID],FME_Input[FARMACRE100])</f>
        <v>778.51727294921875</v>
      </c>
      <c r="AE549" s="230">
        <f>(FME_Ranking1[[#This Row],[Ag Land Raw]]/$AD$2)*100</f>
        <v>3.2102567300981127E-2</v>
      </c>
      <c r="AF549" s="231">
        <f>FME_Ranking1[[#This Row],[Ag Land Score (Normalized, Unweighted)]]*$AD$3</f>
        <v>1.6051283650490565E-3</v>
      </c>
      <c r="AG54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0.31323636668144134</v>
      </c>
      <c r="AH549" s="406">
        <f t="shared" si="8"/>
        <v>604</v>
      </c>
      <c r="AI54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0.31323636668144134</v>
      </c>
      <c r="AJ549" s="257">
        <f>FME_Ranking1[[#This Row],[Addition check]]-FME_Ranking1[[#This Row],[Weighted Score Based on Normalized Reported Factors]]</f>
        <v>0</v>
      </c>
      <c r="AK549" s="178">
        <f>_xlfn.RANK.EQ(AI549,$AI$6:$AI$2341,0)+COUNTIF($AI$6:AI549,AI549)-1</f>
        <v>604</v>
      </c>
    </row>
    <row r="550" spans="1:37" x14ac:dyDescent="0.25">
      <c r="A550" t="s">
        <v>2461</v>
      </c>
      <c r="B550">
        <f>_xlfn.XLOOKUP(FME_Ranking1[[#This Row],[FME ID]],FME_Input[FME_ID],FME_Input[RFPG_NUM])</f>
        <v>1</v>
      </c>
      <c r="C550" t="str">
        <f>_xlfn.XLOOKUP(FME_Ranking1[[#This Row],[FME ID]],FME_Input[FME_ID],FME_Input[FME_NAME])</f>
        <v>Roberts County FIS</v>
      </c>
      <c r="D550" t="str">
        <f>_xlfn.XLOOKUP(FME_Ranking1[[#This Row],[FME ID]],FME_Input[FME_ID],FME_Input[DESCR])</f>
        <v>Perform flood insurance study for the county and develop regulatory mapping</v>
      </c>
      <c r="E550" s="256">
        <f>_xlfn.XLOOKUP(FME_Ranking1[[#This Row],[FME ID]],FME_Input[FME_ID],FME_Input[FME_COST])</f>
        <v>870000</v>
      </c>
      <c r="F550" t="str">
        <f>_xlfn.XLOOKUP(FME_Ranking1[[#This Row],[FME ID]],FME_Input[FME_ID],FME_Input[EMER_NEED])</f>
        <v>No</v>
      </c>
      <c r="G550">
        <f>IF(FME_Ranking!F550="Yes",100,0)</f>
        <v>0</v>
      </c>
      <c r="H550">
        <f>FME_Ranking1[[#This Row],[Emergency Need Score (Normalized, Unweighted)]]*$F$3</f>
        <v>0</v>
      </c>
      <c r="I550" s="246">
        <f>_xlfn.XLOOKUP(FME_Ranking1[[#This Row],[FME ID]],FME_Input[FME_ID],FME_Input[STRUCT_100])</f>
        <v>90</v>
      </c>
      <c r="J550" s="178">
        <f>(FME_Ranking1[[#This Row],[Structures 100 Raw]]/I$2)*100</f>
        <v>4.8194319496208712E-2</v>
      </c>
      <c r="K550" s="178">
        <f>FME_Ranking1[[#This Row],[Structures 100  Score (Normalized, Unweighted)]]*$I$3</f>
        <v>7.2291479244313067E-3</v>
      </c>
      <c r="L550" s="246">
        <f>_xlfn.XLOOKUP(FME_Ranking1[[#This Row],[FME ID]],FME_Input[FME_ID],FME_Input[RES_STRUCT100])</f>
        <v>1</v>
      </c>
      <c r="M550" s="230">
        <f>(FME_Ranking1[[#This Row],[Res Structures Raw]]/L$2)*100</f>
        <v>7.0830559136433825E-4</v>
      </c>
      <c r="N550" s="180">
        <f>FME_Ranking1[[#This Row],[Res Structures Score (Normalized, Unweighted)]]*$L$3</f>
        <v>7.0830559136433833E-5</v>
      </c>
      <c r="O550" s="244">
        <f>_xlfn.XLOOKUP(FME_Ranking1[[#This Row],[FME ID]],FME_Input[FME_ID],FME_Input[POP100])</f>
        <v>60</v>
      </c>
      <c r="P550" s="178">
        <f>(FME_Ranking1[[#This Row],[Pop Raw]]/$O$2)*100</f>
        <v>6.1425187193257964E-3</v>
      </c>
      <c r="Q550" s="178">
        <f>FME_Ranking1[[#This Row],[Pop Score (Normalized, Unweighted)]]*$O$3</f>
        <v>9.2137780789886947E-4</v>
      </c>
      <c r="R550" s="137">
        <f>_xlfn.XLOOKUP(FME_Ranking1[[#This Row],[FME ID]],FME_Input[FME_ID],FME_Input[CRITFAC100])</f>
        <v>2</v>
      </c>
      <c r="S550" s="230">
        <f>(FME_Ranking1[[#This Row],[Critical Facilities Raw]]/$R$2)*100</f>
        <v>8.5763293310463118E-2</v>
      </c>
      <c r="T550" s="180">
        <f>FME_Ranking1[[#This Row],[Critical Facilities Score (Normalized, Unweighted)]]*$R$3</f>
        <v>1.7152658662092625E-2</v>
      </c>
      <c r="U550">
        <f>_xlfn.XLOOKUP(FME_Ranking1[[#This Row],[FME ID]],FME_Input[FME_ID],FME_Input[LWC])</f>
        <v>5</v>
      </c>
      <c r="V550" s="178">
        <f>(FME_Ranking1[[#This Row],[LWC Raw]]/$U$2)*100</f>
        <v>0.28785261945883706</v>
      </c>
      <c r="W550" s="178">
        <f>FME_Ranking1[[#This Row],[LWC Score (Normalized, Unweighted)]]*$U$3</f>
        <v>5.7570523891767415E-2</v>
      </c>
      <c r="X550" s="246">
        <f>_xlfn.XLOOKUP(FME_Ranking1[[#This Row],[FME ID]],FME_Input[FME_ID],FME_Input[ROADCLS])</f>
        <v>5</v>
      </c>
      <c r="Y550" s="230">
        <f>(FME_Ranking1[[#This Row],[Closures Raw]]/$X$2)*100</f>
        <v>5.2570707601724324E-2</v>
      </c>
      <c r="Z550" s="180">
        <f>FME_Ranking1[[#This Row],[Closures Score (Normalized, Unweighted)]]*$X$3</f>
        <v>2.6285353800862164E-3</v>
      </c>
      <c r="AA550" s="253">
        <f>_xlfn.XLOOKUP(FME_Ranking1[[#This Row],[FME ID]],FME_Input[FME_ID],FME_Input[ROAD_MILES100])</f>
        <v>20.553482055664059</v>
      </c>
      <c r="AB550" s="178">
        <f>(FME_Ranking1[[#This Row],[Miles Raw]]/$AA$2)*100</f>
        <v>0.27024142463127721</v>
      </c>
      <c r="AC550" s="178">
        <f>FME_Ranking1[[#This Row],[Miles Score (Normalized, Unweighted)]]*$AA$3</f>
        <v>2.7024142463127721E-2</v>
      </c>
      <c r="AD550" s="255">
        <f>_xlfn.XLOOKUP(FME_Ranking1[[#This Row],[FME ID]],FME_Input[FME_ID],FME_Input[FARMACRE100])</f>
        <v>91030.6015625</v>
      </c>
      <c r="AE550" s="230">
        <f>(FME_Ranking1[[#This Row],[Ag Land Raw]]/$AD$2)*100</f>
        <v>3.7536945096137533</v>
      </c>
      <c r="AF550" s="231">
        <f>FME_Ranking1[[#This Row],[Ag Land Score (Normalized, Unweighted)]]*$AD$3</f>
        <v>0.18768472548068768</v>
      </c>
      <c r="AG55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0.30028194216922827</v>
      </c>
      <c r="AH550" s="406">
        <f t="shared" si="8"/>
        <v>613</v>
      </c>
      <c r="AI55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0.30028194216922827</v>
      </c>
      <c r="AJ550" s="257">
        <f>FME_Ranking1[[#This Row],[Addition check]]-FME_Ranking1[[#This Row],[Weighted Score Based on Normalized Reported Factors]]</f>
        <v>0</v>
      </c>
      <c r="AK550" s="178">
        <f>_xlfn.RANK.EQ(AI550,$AI$6:$AI$2341,0)+COUNTIF($AI$6:AI550,AI550)-1</f>
        <v>613</v>
      </c>
    </row>
    <row r="551" spans="1:37" x14ac:dyDescent="0.25">
      <c r="A551" t="s">
        <v>2502</v>
      </c>
      <c r="B551">
        <f>_xlfn.XLOOKUP(FME_Ranking1[[#This Row],[FME ID]],FME_Input[FME_ID],FME_Input[RFPG_NUM])</f>
        <v>1</v>
      </c>
      <c r="C551" t="str">
        <f>_xlfn.XLOOKUP(FME_Ranking1[[#This Row],[FME ID]],FME_Input[FME_ID],FME_Input[FME_NAME])</f>
        <v>Roberts County Drainage Master Plan</v>
      </c>
      <c r="D551" t="str">
        <f>_xlfn.XLOOKUP(FME_Ranking1[[#This Row],[FME ID]],FME_Input[FME_ID],FME_Input[DESCR])</f>
        <v>Perform H&amp;H modeling, develop conceptual alternatives and OPCC, and rank projects; selected based on HMAPs</v>
      </c>
      <c r="E551" s="256">
        <f>_xlfn.XLOOKUP(FME_Ranking1[[#This Row],[FME ID]],FME_Input[FME_ID],FME_Input[FME_COST])</f>
        <v>500000</v>
      </c>
      <c r="F551" t="str">
        <f>_xlfn.XLOOKUP(FME_Ranking1[[#This Row],[FME ID]],FME_Input[FME_ID],FME_Input[EMER_NEED])</f>
        <v>No</v>
      </c>
      <c r="G551">
        <f>IF(FME_Ranking!F551="Yes",100,0)</f>
        <v>0</v>
      </c>
      <c r="H551">
        <f>FME_Ranking1[[#This Row],[Emergency Need Score (Normalized, Unweighted)]]*$F$3</f>
        <v>0</v>
      </c>
      <c r="I551" s="246">
        <f>_xlfn.XLOOKUP(FME_Ranking1[[#This Row],[FME ID]],FME_Input[FME_ID],FME_Input[STRUCT_100])</f>
        <v>90</v>
      </c>
      <c r="J551" s="178">
        <f>(FME_Ranking1[[#This Row],[Structures 100 Raw]]/I$2)*100</f>
        <v>4.8194319496208712E-2</v>
      </c>
      <c r="K551" s="178">
        <f>FME_Ranking1[[#This Row],[Structures 100  Score (Normalized, Unweighted)]]*$I$3</f>
        <v>7.2291479244313067E-3</v>
      </c>
      <c r="L551" s="246">
        <f>_xlfn.XLOOKUP(FME_Ranking1[[#This Row],[FME ID]],FME_Input[FME_ID],FME_Input[RES_STRUCT100])</f>
        <v>1</v>
      </c>
      <c r="M551" s="230">
        <f>(FME_Ranking1[[#This Row],[Res Structures Raw]]/L$2)*100</f>
        <v>7.0830559136433825E-4</v>
      </c>
      <c r="N551" s="180">
        <f>FME_Ranking1[[#This Row],[Res Structures Score (Normalized, Unweighted)]]*$L$3</f>
        <v>7.0830559136433833E-5</v>
      </c>
      <c r="O551" s="244">
        <f>_xlfn.XLOOKUP(FME_Ranking1[[#This Row],[FME ID]],FME_Input[FME_ID],FME_Input[POP100])</f>
        <v>60</v>
      </c>
      <c r="P551" s="178">
        <f>(FME_Ranking1[[#This Row],[Pop Raw]]/$O$2)*100</f>
        <v>6.1425187193257964E-3</v>
      </c>
      <c r="Q551" s="178">
        <f>FME_Ranking1[[#This Row],[Pop Score (Normalized, Unweighted)]]*$O$3</f>
        <v>9.2137780789886947E-4</v>
      </c>
      <c r="R551" s="137">
        <f>_xlfn.XLOOKUP(FME_Ranking1[[#This Row],[FME ID]],FME_Input[FME_ID],FME_Input[CRITFAC100])</f>
        <v>2</v>
      </c>
      <c r="S551" s="230">
        <f>(FME_Ranking1[[#This Row],[Critical Facilities Raw]]/$R$2)*100</f>
        <v>8.5763293310463118E-2</v>
      </c>
      <c r="T551" s="180">
        <f>FME_Ranking1[[#This Row],[Critical Facilities Score (Normalized, Unweighted)]]*$R$3</f>
        <v>1.7152658662092625E-2</v>
      </c>
      <c r="U551">
        <f>_xlfn.XLOOKUP(FME_Ranking1[[#This Row],[FME ID]],FME_Input[FME_ID],FME_Input[LWC])</f>
        <v>5</v>
      </c>
      <c r="V551" s="178">
        <f>(FME_Ranking1[[#This Row],[LWC Raw]]/$U$2)*100</f>
        <v>0.28785261945883706</v>
      </c>
      <c r="W551" s="178">
        <f>FME_Ranking1[[#This Row],[LWC Score (Normalized, Unweighted)]]*$U$3</f>
        <v>5.7570523891767415E-2</v>
      </c>
      <c r="X551" s="246">
        <f>_xlfn.XLOOKUP(FME_Ranking1[[#This Row],[FME ID]],FME_Input[FME_ID],FME_Input[ROADCLS])</f>
        <v>5</v>
      </c>
      <c r="Y551" s="230">
        <f>(FME_Ranking1[[#This Row],[Closures Raw]]/$X$2)*100</f>
        <v>5.2570707601724324E-2</v>
      </c>
      <c r="Z551" s="180">
        <f>FME_Ranking1[[#This Row],[Closures Score (Normalized, Unweighted)]]*$X$3</f>
        <v>2.6285353800862164E-3</v>
      </c>
      <c r="AA551" s="253">
        <f>_xlfn.XLOOKUP(FME_Ranking1[[#This Row],[FME ID]],FME_Input[FME_ID],FME_Input[ROAD_MILES100])</f>
        <v>20.553482055664059</v>
      </c>
      <c r="AB551" s="178">
        <f>(FME_Ranking1[[#This Row],[Miles Raw]]/$AA$2)*100</f>
        <v>0.27024142463127721</v>
      </c>
      <c r="AC551" s="178">
        <f>FME_Ranking1[[#This Row],[Miles Score (Normalized, Unweighted)]]*$AA$3</f>
        <v>2.7024142463127721E-2</v>
      </c>
      <c r="AD551" s="255">
        <f>_xlfn.XLOOKUP(FME_Ranking1[[#This Row],[FME ID]],FME_Input[FME_ID],FME_Input[FARMACRE100])</f>
        <v>91030.6015625</v>
      </c>
      <c r="AE551" s="230">
        <f>(FME_Ranking1[[#This Row],[Ag Land Raw]]/$AD$2)*100</f>
        <v>3.7536945096137533</v>
      </c>
      <c r="AF551" s="231">
        <f>FME_Ranking1[[#This Row],[Ag Land Score (Normalized, Unweighted)]]*$AD$3</f>
        <v>0.18768472548068768</v>
      </c>
      <c r="AG55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0.30028194216922827</v>
      </c>
      <c r="AH551" s="406">
        <f t="shared" si="8"/>
        <v>613</v>
      </c>
      <c r="AI55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0.30028194216922827</v>
      </c>
      <c r="AJ551" s="257">
        <f>FME_Ranking1[[#This Row],[Addition check]]-FME_Ranking1[[#This Row],[Weighted Score Based on Normalized Reported Factors]]</f>
        <v>0</v>
      </c>
      <c r="AK551" s="178">
        <f>_xlfn.RANK.EQ(AI551,$AI$6:$AI$2341,0)+COUNTIF($AI$6:AI551,AI551)-1</f>
        <v>614</v>
      </c>
    </row>
    <row r="552" spans="1:37" x14ac:dyDescent="0.25">
      <c r="A552" t="s">
        <v>1898</v>
      </c>
      <c r="B552">
        <f>_xlfn.XLOOKUP(FME_Ranking1[[#This Row],[FME ID]],FME_Input[FME_ID],FME_Input[RFPG_NUM])</f>
        <v>6</v>
      </c>
      <c r="C552" t="str">
        <f>_xlfn.XLOOKUP(FME_Ranking1[[#This Row],[FME ID]],FME_Input[FME_ID],FME_Input[FME_NAME])</f>
        <v>I100-WP06 for Vince Bayou Watershed Planning Project</v>
      </c>
      <c r="D552" t="str">
        <f>_xlfn.XLOOKUP(FME_Ranking1[[#This Row],[FME ID]],FME_Input[FME_ID],FME_Input[DESCR])</f>
        <v>Study to develop a Benefit Cost Analysis needed for this project to become a FMP. Right-of-way acquisition, design, and construction of a stormwater detention basin and schannel widening near Strawberry Road and Young Street.</v>
      </c>
      <c r="E552" s="256">
        <f>_xlfn.XLOOKUP(FME_Ranking1[[#This Row],[FME ID]],FME_Input[FME_ID],FME_Input[FME_COST])</f>
        <v>30000</v>
      </c>
      <c r="F552" t="str">
        <f>_xlfn.XLOOKUP(FME_Ranking1[[#This Row],[FME ID]],FME_Input[FME_ID],FME_Input[EMER_NEED])</f>
        <v>No</v>
      </c>
      <c r="G552">
        <f>IF(FME_Ranking!F552="Yes",100,0)</f>
        <v>0</v>
      </c>
      <c r="H552">
        <f>FME_Ranking1[[#This Row],[Emergency Need Score (Normalized, Unweighted)]]*$F$3</f>
        <v>0</v>
      </c>
      <c r="I552" s="246">
        <f>_xlfn.XLOOKUP(FME_Ranking1[[#This Row],[FME ID]],FME_Input[FME_ID],FME_Input[STRUCT_100])</f>
        <v>948</v>
      </c>
      <c r="J552" s="178">
        <f>(FME_Ranking1[[#This Row],[Structures 100 Raw]]/I$2)*100</f>
        <v>0.50764683202673178</v>
      </c>
      <c r="K552" s="178">
        <f>FME_Ranking1[[#This Row],[Structures 100  Score (Normalized, Unweighted)]]*$I$3</f>
        <v>7.6147024804009769E-2</v>
      </c>
      <c r="L552" s="246">
        <f>_xlfn.XLOOKUP(FME_Ranking1[[#This Row],[FME ID]],FME_Input[FME_ID],FME_Input[RES_STRUCT100])</f>
        <v>709</v>
      </c>
      <c r="M552" s="230">
        <f>(FME_Ranking1[[#This Row],[Res Structures Raw]]/L$2)*100</f>
        <v>0.50218866427731579</v>
      </c>
      <c r="N552" s="180">
        <f>FME_Ranking1[[#This Row],[Res Structures Score (Normalized, Unweighted)]]*$L$3</f>
        <v>5.021886642773158E-2</v>
      </c>
      <c r="O552" s="244">
        <f>_xlfn.XLOOKUP(FME_Ranking1[[#This Row],[FME ID]],FME_Input[FME_ID],FME_Input[POP100])</f>
        <v>4153</v>
      </c>
      <c r="P552" s="178">
        <f>(FME_Ranking1[[#This Row],[Pop Raw]]/$O$2)*100</f>
        <v>0.42516467068933395</v>
      </c>
      <c r="Q552" s="178">
        <f>FME_Ranking1[[#This Row],[Pop Score (Normalized, Unweighted)]]*$O$3</f>
        <v>6.3774700603400084E-2</v>
      </c>
      <c r="R552" s="137">
        <f>_xlfn.XLOOKUP(FME_Ranking1[[#This Row],[FME ID]],FME_Input[FME_ID],FME_Input[CRITFAC100])</f>
        <v>8</v>
      </c>
      <c r="S552" s="230">
        <f>(FME_Ranking1[[#This Row],[Critical Facilities Raw]]/$R$2)*100</f>
        <v>0.34305317324185247</v>
      </c>
      <c r="T552" s="180">
        <f>FME_Ranking1[[#This Row],[Critical Facilities Score (Normalized, Unweighted)]]*$R$3</f>
        <v>6.86106346483705E-2</v>
      </c>
      <c r="U552">
        <f>_xlfn.XLOOKUP(FME_Ranking1[[#This Row],[FME ID]],FME_Input[FME_ID],FME_Input[LWC])</f>
        <v>1</v>
      </c>
      <c r="V552" s="178">
        <f>(FME_Ranking1[[#This Row],[LWC Raw]]/$U$2)*100</f>
        <v>5.7570523891767422E-2</v>
      </c>
      <c r="W552" s="178">
        <f>FME_Ranking1[[#This Row],[LWC Score (Normalized, Unweighted)]]*$U$3</f>
        <v>1.1514104778353485E-2</v>
      </c>
      <c r="X552" s="246">
        <f>_xlfn.XLOOKUP(FME_Ranking1[[#This Row],[FME ID]],FME_Input[FME_ID],FME_Input[ROADCLS])</f>
        <v>1</v>
      </c>
      <c r="Y552" s="230">
        <f>(FME_Ranking1[[#This Row],[Closures Raw]]/$X$2)*100</f>
        <v>1.0514141520344864E-2</v>
      </c>
      <c r="Z552" s="180">
        <f>FME_Ranking1[[#This Row],[Closures Score (Normalized, Unweighted)]]*$X$3</f>
        <v>5.2570707601724321E-4</v>
      </c>
      <c r="AA552" s="253">
        <f>_xlfn.XLOOKUP(FME_Ranking1[[#This Row],[FME ID]],FME_Input[FME_ID],FME_Input[ROAD_MILES100])</f>
        <v>14.078611373901371</v>
      </c>
      <c r="AB552" s="178">
        <f>(FME_Ranking1[[#This Row],[Miles Raw]]/$AA$2)*100</f>
        <v>0.18510848839186075</v>
      </c>
      <c r="AC552" s="178">
        <f>FME_Ranking1[[#This Row],[Miles Score (Normalized, Unweighted)]]*$AA$3</f>
        <v>1.8510848839186075E-2</v>
      </c>
      <c r="AD552" s="255">
        <f>_xlfn.XLOOKUP(FME_Ranking1[[#This Row],[FME ID]],FME_Input[FME_ID],FME_Input[FARMACRE100])</f>
        <v>1.550874590873718</v>
      </c>
      <c r="AE552" s="230">
        <f>(FME_Ranking1[[#This Row],[Ag Land Raw]]/$AD$2)*100</f>
        <v>6.395112563180422E-5</v>
      </c>
      <c r="AF552" s="231">
        <f>FME_Ranking1[[#This Row],[Ag Land Score (Normalized, Unweighted)]]*$AD$3</f>
        <v>3.1975562815902111E-6</v>
      </c>
      <c r="AG55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0.28930508473335026</v>
      </c>
      <c r="AH552" s="406">
        <f t="shared" si="8"/>
        <v>636</v>
      </c>
      <c r="AI55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0.28930508473335026</v>
      </c>
      <c r="AJ552" s="257">
        <f>FME_Ranking1[[#This Row],[Addition check]]-FME_Ranking1[[#This Row],[Weighted Score Based on Normalized Reported Factors]]</f>
        <v>0</v>
      </c>
      <c r="AK552" s="178">
        <f>_xlfn.RANK.EQ(AI552,$AI$6:$AI$2341,0)+COUNTIF($AI$6:AI552,AI552)-1</f>
        <v>636</v>
      </c>
    </row>
    <row r="553" spans="1:37" x14ac:dyDescent="0.25">
      <c r="A553" t="s">
        <v>1901</v>
      </c>
      <c r="B553">
        <f>_xlfn.XLOOKUP(FME_Ranking1[[#This Row],[FME ID]],FME_Input[FME_ID],FME_Input[RFPG_NUM])</f>
        <v>6</v>
      </c>
      <c r="C553" t="str">
        <f>_xlfn.XLOOKUP(FME_Ranking1[[#This Row],[FME ID]],FME_Input[FME_ID],FME_Input[FME_NAME])</f>
        <v>I100-WP10 for Vince Bayou Watershed Planning Project</v>
      </c>
      <c r="D553" t="str">
        <f>_xlfn.XLOOKUP(FME_Ranking1[[#This Row],[FME ID]],FME_Input[FME_ID],FME_Input[DESCR])</f>
        <v>Study to develop a Benefit Cost Analysis needed for this project to become a FMP.  Right-of-way acquisition, Design, and Consruction of Two Stormwater Detention Basins near Westside Dr. and Westside. Ct.</v>
      </c>
      <c r="E553" s="256">
        <f>_xlfn.XLOOKUP(FME_Ranking1[[#This Row],[FME ID]],FME_Input[FME_ID],FME_Input[FME_COST])</f>
        <v>30000</v>
      </c>
      <c r="F553" t="str">
        <f>_xlfn.XLOOKUP(FME_Ranking1[[#This Row],[FME ID]],FME_Input[FME_ID],FME_Input[EMER_NEED])</f>
        <v>No</v>
      </c>
      <c r="G553">
        <f>IF(FME_Ranking!F553="Yes",100,0)</f>
        <v>0</v>
      </c>
      <c r="H553">
        <f>FME_Ranking1[[#This Row],[Emergency Need Score (Normalized, Unweighted)]]*$F$3</f>
        <v>0</v>
      </c>
      <c r="I553" s="246">
        <f>_xlfn.XLOOKUP(FME_Ranking1[[#This Row],[FME ID]],FME_Input[FME_ID],FME_Input[STRUCT_100])</f>
        <v>948</v>
      </c>
      <c r="J553" s="178">
        <f>(FME_Ranking1[[#This Row],[Structures 100 Raw]]/I$2)*100</f>
        <v>0.50764683202673178</v>
      </c>
      <c r="K553" s="178">
        <f>FME_Ranking1[[#This Row],[Structures 100  Score (Normalized, Unweighted)]]*$I$3</f>
        <v>7.6147024804009769E-2</v>
      </c>
      <c r="L553" s="246">
        <f>_xlfn.XLOOKUP(FME_Ranking1[[#This Row],[FME ID]],FME_Input[FME_ID],FME_Input[RES_STRUCT100])</f>
        <v>709</v>
      </c>
      <c r="M553" s="230">
        <f>(FME_Ranking1[[#This Row],[Res Structures Raw]]/L$2)*100</f>
        <v>0.50218866427731579</v>
      </c>
      <c r="N553" s="180">
        <f>FME_Ranking1[[#This Row],[Res Structures Score (Normalized, Unweighted)]]*$L$3</f>
        <v>5.021886642773158E-2</v>
      </c>
      <c r="O553" s="244">
        <f>_xlfn.XLOOKUP(FME_Ranking1[[#This Row],[FME ID]],FME_Input[FME_ID],FME_Input[POP100])</f>
        <v>4153</v>
      </c>
      <c r="P553" s="178">
        <f>(FME_Ranking1[[#This Row],[Pop Raw]]/$O$2)*100</f>
        <v>0.42516467068933395</v>
      </c>
      <c r="Q553" s="178">
        <f>FME_Ranking1[[#This Row],[Pop Score (Normalized, Unweighted)]]*$O$3</f>
        <v>6.3774700603400084E-2</v>
      </c>
      <c r="R553" s="137">
        <f>_xlfn.XLOOKUP(FME_Ranking1[[#This Row],[FME ID]],FME_Input[FME_ID],FME_Input[CRITFAC100])</f>
        <v>8</v>
      </c>
      <c r="S553" s="230">
        <f>(FME_Ranking1[[#This Row],[Critical Facilities Raw]]/$R$2)*100</f>
        <v>0.34305317324185247</v>
      </c>
      <c r="T553" s="180">
        <f>FME_Ranking1[[#This Row],[Critical Facilities Score (Normalized, Unweighted)]]*$R$3</f>
        <v>6.86106346483705E-2</v>
      </c>
      <c r="U553">
        <f>_xlfn.XLOOKUP(FME_Ranking1[[#This Row],[FME ID]],FME_Input[FME_ID],FME_Input[LWC])</f>
        <v>1</v>
      </c>
      <c r="V553" s="178">
        <f>(FME_Ranking1[[#This Row],[LWC Raw]]/$U$2)*100</f>
        <v>5.7570523891767422E-2</v>
      </c>
      <c r="W553" s="178">
        <f>FME_Ranking1[[#This Row],[LWC Score (Normalized, Unweighted)]]*$U$3</f>
        <v>1.1514104778353485E-2</v>
      </c>
      <c r="X553" s="246">
        <f>_xlfn.XLOOKUP(FME_Ranking1[[#This Row],[FME ID]],FME_Input[FME_ID],FME_Input[ROADCLS])</f>
        <v>1</v>
      </c>
      <c r="Y553" s="230">
        <f>(FME_Ranking1[[#This Row],[Closures Raw]]/$X$2)*100</f>
        <v>1.0514141520344864E-2</v>
      </c>
      <c r="Z553" s="180">
        <f>FME_Ranking1[[#This Row],[Closures Score (Normalized, Unweighted)]]*$X$3</f>
        <v>5.2570707601724321E-4</v>
      </c>
      <c r="AA553" s="253">
        <f>_xlfn.XLOOKUP(FME_Ranking1[[#This Row],[FME ID]],FME_Input[FME_ID],FME_Input[ROAD_MILES100])</f>
        <v>14.078611373901371</v>
      </c>
      <c r="AB553" s="178">
        <f>(FME_Ranking1[[#This Row],[Miles Raw]]/$AA$2)*100</f>
        <v>0.18510848839186075</v>
      </c>
      <c r="AC553" s="178">
        <f>FME_Ranking1[[#This Row],[Miles Score (Normalized, Unweighted)]]*$AA$3</f>
        <v>1.8510848839186075E-2</v>
      </c>
      <c r="AD553" s="255">
        <f>_xlfn.XLOOKUP(FME_Ranking1[[#This Row],[FME ID]],FME_Input[FME_ID],FME_Input[FARMACRE100])</f>
        <v>1.550874590873718</v>
      </c>
      <c r="AE553" s="230">
        <f>(FME_Ranking1[[#This Row],[Ag Land Raw]]/$AD$2)*100</f>
        <v>6.395112563180422E-5</v>
      </c>
      <c r="AF553" s="231">
        <f>FME_Ranking1[[#This Row],[Ag Land Score (Normalized, Unweighted)]]*$AD$3</f>
        <v>3.1975562815902111E-6</v>
      </c>
      <c r="AG55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0.28930508473335026</v>
      </c>
      <c r="AH553" s="406">
        <f t="shared" si="8"/>
        <v>636</v>
      </c>
      <c r="AI55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0.28930508473335026</v>
      </c>
      <c r="AJ553" s="257">
        <f>FME_Ranking1[[#This Row],[Addition check]]-FME_Ranking1[[#This Row],[Weighted Score Based on Normalized Reported Factors]]</f>
        <v>0</v>
      </c>
      <c r="AK553" s="178">
        <f>_xlfn.RANK.EQ(AI553,$AI$6:$AI$2341,0)+COUNTIF($AI$6:AI553,AI553)-1</f>
        <v>637</v>
      </c>
    </row>
    <row r="554" spans="1:37" x14ac:dyDescent="0.25">
      <c r="A554" t="s">
        <v>1904</v>
      </c>
      <c r="B554">
        <f>_xlfn.XLOOKUP(FME_Ranking1[[#This Row],[FME ID]],FME_Input[FME_ID],FME_Input[RFPG_NUM])</f>
        <v>6</v>
      </c>
      <c r="C554" t="str">
        <f>_xlfn.XLOOKUP(FME_Ranking1[[#This Row],[FME ID]],FME_Input[FME_ID],FME_Input[FME_NAME])</f>
        <v>I100-WP07 for Vince Bayou Watershed Planning Project</v>
      </c>
      <c r="D554" t="str">
        <f>_xlfn.XLOOKUP(FME_Ranking1[[#This Row],[FME ID]],FME_Input[FME_ID],FME_Input[DESCR])</f>
        <v>Study to develop a BCR needed for this project to become a FMP. Pasadena (CIP) Street Lowering (Various). Right-of-way acuisition, Design, and Consruction of Stormwaters Detention Basin and construction of Culverts near Pasadena Blvd..</v>
      </c>
      <c r="E554" s="256">
        <f>_xlfn.XLOOKUP(FME_Ranking1[[#This Row],[FME ID]],FME_Input[FME_ID],FME_Input[FME_COST])</f>
        <v>30000</v>
      </c>
      <c r="F554" t="str">
        <f>_xlfn.XLOOKUP(FME_Ranking1[[#This Row],[FME ID]],FME_Input[FME_ID],FME_Input[EMER_NEED])</f>
        <v>No</v>
      </c>
      <c r="G554">
        <f>IF(FME_Ranking!F554="Yes",100,0)</f>
        <v>0</v>
      </c>
      <c r="H554">
        <f>FME_Ranking1[[#This Row],[Emergency Need Score (Normalized, Unweighted)]]*$F$3</f>
        <v>0</v>
      </c>
      <c r="I554" s="246">
        <f>_xlfn.XLOOKUP(FME_Ranking1[[#This Row],[FME ID]],FME_Input[FME_ID],FME_Input[STRUCT_100])</f>
        <v>948</v>
      </c>
      <c r="J554" s="178">
        <f>(FME_Ranking1[[#This Row],[Structures 100 Raw]]/I$2)*100</f>
        <v>0.50764683202673178</v>
      </c>
      <c r="K554" s="178">
        <f>FME_Ranking1[[#This Row],[Structures 100  Score (Normalized, Unweighted)]]*$I$3</f>
        <v>7.6147024804009769E-2</v>
      </c>
      <c r="L554" s="246">
        <f>_xlfn.XLOOKUP(FME_Ranking1[[#This Row],[FME ID]],FME_Input[FME_ID],FME_Input[RES_STRUCT100])</f>
        <v>709</v>
      </c>
      <c r="M554" s="230">
        <f>(FME_Ranking1[[#This Row],[Res Structures Raw]]/L$2)*100</f>
        <v>0.50218866427731579</v>
      </c>
      <c r="N554" s="180">
        <f>FME_Ranking1[[#This Row],[Res Structures Score (Normalized, Unweighted)]]*$L$3</f>
        <v>5.021886642773158E-2</v>
      </c>
      <c r="O554" s="244">
        <f>_xlfn.XLOOKUP(FME_Ranking1[[#This Row],[FME ID]],FME_Input[FME_ID],FME_Input[POP100])</f>
        <v>4153</v>
      </c>
      <c r="P554" s="178">
        <f>(FME_Ranking1[[#This Row],[Pop Raw]]/$O$2)*100</f>
        <v>0.42516467068933395</v>
      </c>
      <c r="Q554" s="178">
        <f>FME_Ranking1[[#This Row],[Pop Score (Normalized, Unweighted)]]*$O$3</f>
        <v>6.3774700603400084E-2</v>
      </c>
      <c r="R554" s="137">
        <f>_xlfn.XLOOKUP(FME_Ranking1[[#This Row],[FME ID]],FME_Input[FME_ID],FME_Input[CRITFAC100])</f>
        <v>8</v>
      </c>
      <c r="S554" s="230">
        <f>(FME_Ranking1[[#This Row],[Critical Facilities Raw]]/$R$2)*100</f>
        <v>0.34305317324185247</v>
      </c>
      <c r="T554" s="180">
        <f>FME_Ranking1[[#This Row],[Critical Facilities Score (Normalized, Unweighted)]]*$R$3</f>
        <v>6.86106346483705E-2</v>
      </c>
      <c r="U554">
        <f>_xlfn.XLOOKUP(FME_Ranking1[[#This Row],[FME ID]],FME_Input[FME_ID],FME_Input[LWC])</f>
        <v>1</v>
      </c>
      <c r="V554" s="178">
        <f>(FME_Ranking1[[#This Row],[LWC Raw]]/$U$2)*100</f>
        <v>5.7570523891767422E-2</v>
      </c>
      <c r="W554" s="178">
        <f>FME_Ranking1[[#This Row],[LWC Score (Normalized, Unweighted)]]*$U$3</f>
        <v>1.1514104778353485E-2</v>
      </c>
      <c r="X554" s="246">
        <f>_xlfn.XLOOKUP(FME_Ranking1[[#This Row],[FME ID]],FME_Input[FME_ID],FME_Input[ROADCLS])</f>
        <v>1</v>
      </c>
      <c r="Y554" s="230">
        <f>(FME_Ranking1[[#This Row],[Closures Raw]]/$X$2)*100</f>
        <v>1.0514141520344864E-2</v>
      </c>
      <c r="Z554" s="180">
        <f>FME_Ranking1[[#This Row],[Closures Score (Normalized, Unweighted)]]*$X$3</f>
        <v>5.2570707601724321E-4</v>
      </c>
      <c r="AA554" s="253">
        <f>_xlfn.XLOOKUP(FME_Ranking1[[#This Row],[FME ID]],FME_Input[FME_ID],FME_Input[ROAD_MILES100])</f>
        <v>14.078611373901371</v>
      </c>
      <c r="AB554" s="178">
        <f>(FME_Ranking1[[#This Row],[Miles Raw]]/$AA$2)*100</f>
        <v>0.18510848839186075</v>
      </c>
      <c r="AC554" s="178">
        <f>FME_Ranking1[[#This Row],[Miles Score (Normalized, Unweighted)]]*$AA$3</f>
        <v>1.8510848839186075E-2</v>
      </c>
      <c r="AD554" s="255">
        <f>_xlfn.XLOOKUP(FME_Ranking1[[#This Row],[FME ID]],FME_Input[FME_ID],FME_Input[FARMACRE100])</f>
        <v>1.550874590873718</v>
      </c>
      <c r="AE554" s="230">
        <f>(FME_Ranking1[[#This Row],[Ag Land Raw]]/$AD$2)*100</f>
        <v>6.395112563180422E-5</v>
      </c>
      <c r="AF554" s="231">
        <f>FME_Ranking1[[#This Row],[Ag Land Score (Normalized, Unweighted)]]*$AD$3</f>
        <v>3.1975562815902111E-6</v>
      </c>
      <c r="AG55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0.28930508473335026</v>
      </c>
      <c r="AH554" s="406">
        <f t="shared" si="8"/>
        <v>636</v>
      </c>
      <c r="AI55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0.28930508473335026</v>
      </c>
      <c r="AJ554" s="257">
        <f>FME_Ranking1[[#This Row],[Addition check]]-FME_Ranking1[[#This Row],[Weighted Score Based on Normalized Reported Factors]]</f>
        <v>0</v>
      </c>
      <c r="AK554" s="178">
        <f>_xlfn.RANK.EQ(AI554,$AI$6:$AI$2341,0)+COUNTIF($AI$6:AI554,AI554)-1</f>
        <v>638</v>
      </c>
    </row>
    <row r="555" spans="1:37" x14ac:dyDescent="0.25">
      <c r="A555" t="s">
        <v>1907</v>
      </c>
      <c r="B555">
        <f>_xlfn.XLOOKUP(FME_Ranking1[[#This Row],[FME ID]],FME_Input[FME_ID],FME_Input[RFPG_NUM])</f>
        <v>6</v>
      </c>
      <c r="C555" t="str">
        <f>_xlfn.XLOOKUP(FME_Ranking1[[#This Row],[FME ID]],FME_Input[FME_ID],FME_Input[FME_NAME])</f>
        <v>I100-WP11 for Vince Bayou Watershed Planning Project</v>
      </c>
      <c r="D555" t="str">
        <f>_xlfn.XLOOKUP(FME_Ranking1[[#This Row],[FME ID]],FME_Input[FME_ID],FME_Input[DESCR])</f>
        <v>Study to develop a Benefit Cost Analysis needed for this project to become a FMP. Right-of-way acquisition, Design, and Consruction of Stormwater Detention Basins near Spencer Hwy. and Tulip Street.</v>
      </c>
      <c r="E555" s="256">
        <f>_xlfn.XLOOKUP(FME_Ranking1[[#This Row],[FME ID]],FME_Input[FME_ID],FME_Input[FME_COST])</f>
        <v>30000</v>
      </c>
      <c r="F555" t="str">
        <f>_xlfn.XLOOKUP(FME_Ranking1[[#This Row],[FME ID]],FME_Input[FME_ID],FME_Input[EMER_NEED])</f>
        <v>No</v>
      </c>
      <c r="G555">
        <f>IF(FME_Ranking!F555="Yes",100,0)</f>
        <v>0</v>
      </c>
      <c r="H555">
        <f>FME_Ranking1[[#This Row],[Emergency Need Score (Normalized, Unweighted)]]*$F$3</f>
        <v>0</v>
      </c>
      <c r="I555" s="246">
        <f>_xlfn.XLOOKUP(FME_Ranking1[[#This Row],[FME ID]],FME_Input[FME_ID],FME_Input[STRUCT_100])</f>
        <v>948</v>
      </c>
      <c r="J555" s="178">
        <f>(FME_Ranking1[[#This Row],[Structures 100 Raw]]/I$2)*100</f>
        <v>0.50764683202673178</v>
      </c>
      <c r="K555" s="178">
        <f>FME_Ranking1[[#This Row],[Structures 100  Score (Normalized, Unweighted)]]*$I$3</f>
        <v>7.6147024804009769E-2</v>
      </c>
      <c r="L555" s="246">
        <f>_xlfn.XLOOKUP(FME_Ranking1[[#This Row],[FME ID]],FME_Input[FME_ID],FME_Input[RES_STRUCT100])</f>
        <v>709</v>
      </c>
      <c r="M555" s="230">
        <f>(FME_Ranking1[[#This Row],[Res Structures Raw]]/L$2)*100</f>
        <v>0.50218866427731579</v>
      </c>
      <c r="N555" s="180">
        <f>FME_Ranking1[[#This Row],[Res Structures Score (Normalized, Unweighted)]]*$L$3</f>
        <v>5.021886642773158E-2</v>
      </c>
      <c r="O555" s="244">
        <f>_xlfn.XLOOKUP(FME_Ranking1[[#This Row],[FME ID]],FME_Input[FME_ID],FME_Input[POP100])</f>
        <v>4153</v>
      </c>
      <c r="P555" s="178">
        <f>(FME_Ranking1[[#This Row],[Pop Raw]]/$O$2)*100</f>
        <v>0.42516467068933395</v>
      </c>
      <c r="Q555" s="178">
        <f>FME_Ranking1[[#This Row],[Pop Score (Normalized, Unweighted)]]*$O$3</f>
        <v>6.3774700603400084E-2</v>
      </c>
      <c r="R555" s="137">
        <f>_xlfn.XLOOKUP(FME_Ranking1[[#This Row],[FME ID]],FME_Input[FME_ID],FME_Input[CRITFAC100])</f>
        <v>8</v>
      </c>
      <c r="S555" s="230">
        <f>(FME_Ranking1[[#This Row],[Critical Facilities Raw]]/$R$2)*100</f>
        <v>0.34305317324185247</v>
      </c>
      <c r="T555" s="180">
        <f>FME_Ranking1[[#This Row],[Critical Facilities Score (Normalized, Unweighted)]]*$R$3</f>
        <v>6.86106346483705E-2</v>
      </c>
      <c r="U555">
        <f>_xlfn.XLOOKUP(FME_Ranking1[[#This Row],[FME ID]],FME_Input[FME_ID],FME_Input[LWC])</f>
        <v>1</v>
      </c>
      <c r="V555" s="178">
        <f>(FME_Ranking1[[#This Row],[LWC Raw]]/$U$2)*100</f>
        <v>5.7570523891767422E-2</v>
      </c>
      <c r="W555" s="178">
        <f>FME_Ranking1[[#This Row],[LWC Score (Normalized, Unweighted)]]*$U$3</f>
        <v>1.1514104778353485E-2</v>
      </c>
      <c r="X555" s="246">
        <f>_xlfn.XLOOKUP(FME_Ranking1[[#This Row],[FME ID]],FME_Input[FME_ID],FME_Input[ROADCLS])</f>
        <v>1</v>
      </c>
      <c r="Y555" s="230">
        <f>(FME_Ranking1[[#This Row],[Closures Raw]]/$X$2)*100</f>
        <v>1.0514141520344864E-2</v>
      </c>
      <c r="Z555" s="180">
        <f>FME_Ranking1[[#This Row],[Closures Score (Normalized, Unweighted)]]*$X$3</f>
        <v>5.2570707601724321E-4</v>
      </c>
      <c r="AA555" s="253">
        <f>_xlfn.XLOOKUP(FME_Ranking1[[#This Row],[FME ID]],FME_Input[FME_ID],FME_Input[ROAD_MILES100])</f>
        <v>14.078611373901371</v>
      </c>
      <c r="AB555" s="178">
        <f>(FME_Ranking1[[#This Row],[Miles Raw]]/$AA$2)*100</f>
        <v>0.18510848839186075</v>
      </c>
      <c r="AC555" s="178">
        <f>FME_Ranking1[[#This Row],[Miles Score (Normalized, Unweighted)]]*$AA$3</f>
        <v>1.8510848839186075E-2</v>
      </c>
      <c r="AD555" s="255">
        <f>_xlfn.XLOOKUP(FME_Ranking1[[#This Row],[FME ID]],FME_Input[FME_ID],FME_Input[FARMACRE100])</f>
        <v>1.550874590873718</v>
      </c>
      <c r="AE555" s="230">
        <f>(FME_Ranking1[[#This Row],[Ag Land Raw]]/$AD$2)*100</f>
        <v>6.395112563180422E-5</v>
      </c>
      <c r="AF555" s="231">
        <f>FME_Ranking1[[#This Row],[Ag Land Score (Normalized, Unweighted)]]*$AD$3</f>
        <v>3.1975562815902111E-6</v>
      </c>
      <c r="AG55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0.28930508473335026</v>
      </c>
      <c r="AH555" s="406">
        <f t="shared" si="8"/>
        <v>636</v>
      </c>
      <c r="AI55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0.28930508473335026</v>
      </c>
      <c r="AJ555" s="257">
        <f>FME_Ranking1[[#This Row],[Addition check]]-FME_Ranking1[[#This Row],[Weighted Score Based on Normalized Reported Factors]]</f>
        <v>0</v>
      </c>
      <c r="AK555" s="178">
        <f>_xlfn.RANK.EQ(AI555,$AI$6:$AI$2341,0)+COUNTIF($AI$6:AI555,AI555)-1</f>
        <v>639</v>
      </c>
    </row>
    <row r="556" spans="1:37" x14ac:dyDescent="0.25">
      <c r="A556" t="s">
        <v>2914</v>
      </c>
      <c r="B556">
        <f>_xlfn.XLOOKUP(FME_Ranking1[[#This Row],[FME ID]],FME_Input[FME_ID],FME_Input[RFPG_NUM])</f>
        <v>1</v>
      </c>
      <c r="C556" t="str">
        <f>_xlfn.XLOOKUP(FME_Ranking1[[#This Row],[FME ID]],FME_Input[FME_ID],FME_Input[FME_NAME])</f>
        <v>Collingsworth County FIS</v>
      </c>
      <c r="D556" t="str">
        <f>_xlfn.XLOOKUP(FME_Ranking1[[#This Row],[FME ID]],FME_Input[FME_ID],FME_Input[DESCR])</f>
        <v>Perform flood insurance study for the county and develop regulatory mapping</v>
      </c>
      <c r="E556" s="256">
        <f>_xlfn.XLOOKUP(FME_Ranking1[[#This Row],[FME ID]],FME_Input[FME_ID],FME_Input[FME_COST])</f>
        <v>909000</v>
      </c>
      <c r="F556" t="str">
        <f>_xlfn.XLOOKUP(FME_Ranking1[[#This Row],[FME ID]],FME_Input[FME_ID],FME_Input[EMER_NEED])</f>
        <v>No</v>
      </c>
      <c r="G556">
        <f>IF(FME_Ranking!F556="Yes",100,0)</f>
        <v>0</v>
      </c>
      <c r="H556">
        <f>FME_Ranking1[[#This Row],[Emergency Need Score (Normalized, Unweighted)]]*$F$3</f>
        <v>0</v>
      </c>
      <c r="I556" s="246">
        <f>_xlfn.XLOOKUP(FME_Ranking1[[#This Row],[FME ID]],FME_Input[FME_ID],FME_Input[STRUCT_100])</f>
        <v>105</v>
      </c>
      <c r="J556" s="178">
        <f>(FME_Ranking1[[#This Row],[Structures 100 Raw]]/I$2)*100</f>
        <v>5.6226706078910171E-2</v>
      </c>
      <c r="K556" s="178">
        <f>FME_Ranking1[[#This Row],[Structures 100  Score (Normalized, Unweighted)]]*$I$3</f>
        <v>8.4340059118365261E-3</v>
      </c>
      <c r="L556" s="246">
        <f>_xlfn.XLOOKUP(FME_Ranking1[[#This Row],[FME ID]],FME_Input[FME_ID],FME_Input[RES_STRUCT100])</f>
        <v>15</v>
      </c>
      <c r="M556" s="230">
        <f>(FME_Ranking1[[#This Row],[Res Structures Raw]]/L$2)*100</f>
        <v>1.0624583870465073E-2</v>
      </c>
      <c r="N556" s="180">
        <f>FME_Ranking1[[#This Row],[Res Structures Score (Normalized, Unweighted)]]*$L$3</f>
        <v>1.0624583870465073E-3</v>
      </c>
      <c r="O556" s="244">
        <f>_xlfn.XLOOKUP(FME_Ranking1[[#This Row],[FME ID]],FME_Input[FME_ID],FME_Input[POP100])</f>
        <v>136</v>
      </c>
      <c r="P556" s="178">
        <f>(FME_Ranking1[[#This Row],[Pop Raw]]/$O$2)*100</f>
        <v>1.3923042430471808E-2</v>
      </c>
      <c r="Q556" s="178">
        <f>FME_Ranking1[[#This Row],[Pop Score (Normalized, Unweighted)]]*$O$3</f>
        <v>2.088456364570771E-3</v>
      </c>
      <c r="R556" s="137">
        <f>_xlfn.XLOOKUP(FME_Ranking1[[#This Row],[FME ID]],FME_Input[FME_ID],FME_Input[CRITFAC100])</f>
        <v>5</v>
      </c>
      <c r="S556" s="230">
        <f>(FME_Ranking1[[#This Row],[Critical Facilities Raw]]/$R$2)*100</f>
        <v>0.21440823327615782</v>
      </c>
      <c r="T556" s="180">
        <f>FME_Ranking1[[#This Row],[Critical Facilities Score (Normalized, Unweighted)]]*$R$3</f>
        <v>4.2881646655231566E-2</v>
      </c>
      <c r="U556">
        <f>_xlfn.XLOOKUP(FME_Ranking1[[#This Row],[FME ID]],FME_Input[FME_ID],FME_Input[LWC])</f>
        <v>5</v>
      </c>
      <c r="V556" s="178">
        <f>(FME_Ranking1[[#This Row],[LWC Raw]]/$U$2)*100</f>
        <v>0.28785261945883706</v>
      </c>
      <c r="W556" s="178">
        <f>FME_Ranking1[[#This Row],[LWC Score (Normalized, Unweighted)]]*$U$3</f>
        <v>5.7570523891767415E-2</v>
      </c>
      <c r="X556" s="246">
        <f>_xlfn.XLOOKUP(FME_Ranking1[[#This Row],[FME ID]],FME_Input[FME_ID],FME_Input[ROADCLS])</f>
        <v>5</v>
      </c>
      <c r="Y556" s="230">
        <f>(FME_Ranking1[[#This Row],[Closures Raw]]/$X$2)*100</f>
        <v>5.2570707601724324E-2</v>
      </c>
      <c r="Z556" s="180">
        <f>FME_Ranking1[[#This Row],[Closures Score (Normalized, Unweighted)]]*$X$3</f>
        <v>2.6285353800862164E-3</v>
      </c>
      <c r="AA556" s="253">
        <f>_xlfn.XLOOKUP(FME_Ranking1[[#This Row],[FME ID]],FME_Input[FME_ID],FME_Input[ROAD_MILES100])</f>
        <v>65.501663208007813</v>
      </c>
      <c r="AB556" s="178">
        <f>(FME_Ranking1[[#This Row],[Miles Raw]]/$AA$2)*100</f>
        <v>0.86122938843698704</v>
      </c>
      <c r="AC556" s="178">
        <f>FME_Ranking1[[#This Row],[Miles Score (Normalized, Unweighted)]]*$AA$3</f>
        <v>8.6122938843698704E-2</v>
      </c>
      <c r="AD556" s="255">
        <f>_xlfn.XLOOKUP(FME_Ranking1[[#This Row],[FME ID]],FME_Input[FME_ID],FME_Input[FARMACRE100])</f>
        <v>75245.8515625</v>
      </c>
      <c r="AE556" s="230">
        <f>(FME_Ranking1[[#This Row],[Ag Land Raw]]/$AD$2)*100</f>
        <v>3.1028020801053651</v>
      </c>
      <c r="AF556" s="231">
        <f>FME_Ranking1[[#This Row],[Ag Land Score (Normalized, Unweighted)]]*$AD$3</f>
        <v>0.15514010400526826</v>
      </c>
      <c r="AG55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0.35592866943950596</v>
      </c>
      <c r="AH556" s="406">
        <f t="shared" si="8"/>
        <v>566</v>
      </c>
      <c r="AI55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0.35592866943950596</v>
      </c>
      <c r="AJ556" s="257">
        <f>FME_Ranking1[[#This Row],[Addition check]]-FME_Ranking1[[#This Row],[Weighted Score Based on Normalized Reported Factors]]</f>
        <v>0</v>
      </c>
      <c r="AK556" s="178">
        <f>_xlfn.RANK.EQ(AI556,$AI$6:$AI$2341,0)+COUNTIF($AI$6:AI556,AI556)-1</f>
        <v>566</v>
      </c>
    </row>
    <row r="557" spans="1:37" x14ac:dyDescent="0.25">
      <c r="A557" t="s">
        <v>2169</v>
      </c>
      <c r="B557">
        <f>_xlfn.XLOOKUP(FME_Ranking1[[#This Row],[FME ID]],FME_Input[FME_ID],FME_Input[RFPG_NUM])</f>
        <v>6</v>
      </c>
      <c r="C557" t="str">
        <f>_xlfn.XLOOKUP(FME_Ranking1[[#This Row],[FME ID]],FME_Input[FME_ID],FME_Input[FME_NAME])</f>
        <v>Spring Shadows South</v>
      </c>
      <c r="D557" t="str">
        <f>_xlfn.XLOOKUP(FME_Ranking1[[#This Row],[FME ID]],FME_Input[FME_ID],FME_Input[DESCR])</f>
        <v>Study to develop a Benefit Cost Analysis needed to elevate project to a FMP. FIF application information unavailable.</v>
      </c>
      <c r="E557" s="256">
        <f>_xlfn.XLOOKUP(FME_Ranking1[[#This Row],[FME ID]],FME_Input[FME_ID],FME_Input[FME_COST])</f>
        <v>30000</v>
      </c>
      <c r="F557" t="str">
        <f>_xlfn.XLOOKUP(FME_Ranking1[[#This Row],[FME ID]],FME_Input[FME_ID],FME_Input[EMER_NEED])</f>
        <v>No</v>
      </c>
      <c r="G557">
        <f>IF(FME_Ranking!F557="Yes",100,0)</f>
        <v>0</v>
      </c>
      <c r="H557">
        <f>FME_Ranking1[[#This Row],[Emergency Need Score (Normalized, Unweighted)]]*$F$3</f>
        <v>0</v>
      </c>
      <c r="I557" s="246">
        <f>_xlfn.XLOOKUP(FME_Ranking1[[#This Row],[FME ID]],FME_Input[FME_ID],FME_Input[STRUCT_100])</f>
        <v>1006</v>
      </c>
      <c r="J557" s="178">
        <f>(FME_Ranking1[[#This Row],[Structures 100 Raw]]/I$2)*100</f>
        <v>0.53870539347984414</v>
      </c>
      <c r="K557" s="178">
        <f>FME_Ranking1[[#This Row],[Structures 100  Score (Normalized, Unweighted)]]*$I$3</f>
        <v>8.0805809021976621E-2</v>
      </c>
      <c r="L557" s="246">
        <f>_xlfn.XLOOKUP(FME_Ranking1[[#This Row],[FME ID]],FME_Input[FME_ID],FME_Input[RES_STRUCT100])</f>
        <v>935</v>
      </c>
      <c r="M557" s="230">
        <f>(FME_Ranking1[[#This Row],[Res Structures Raw]]/L$2)*100</f>
        <v>0.6622657279256563</v>
      </c>
      <c r="N557" s="180">
        <f>FME_Ranking1[[#This Row],[Res Structures Score (Normalized, Unweighted)]]*$L$3</f>
        <v>6.6226572792565636E-2</v>
      </c>
      <c r="O557" s="244">
        <f>_xlfn.XLOOKUP(FME_Ranking1[[#This Row],[FME ID]],FME_Input[FME_ID],FME_Input[POP100])</f>
        <v>4553</v>
      </c>
      <c r="P557" s="178">
        <f>(FME_Ranking1[[#This Row],[Pop Raw]]/$O$2)*100</f>
        <v>0.46611479548483925</v>
      </c>
      <c r="Q557" s="178">
        <f>FME_Ranking1[[#This Row],[Pop Score (Normalized, Unweighted)]]*$O$3</f>
        <v>6.991721932272589E-2</v>
      </c>
      <c r="R557" s="137">
        <f>_xlfn.XLOOKUP(FME_Ranking1[[#This Row],[FME ID]],FME_Input[FME_ID],FME_Input[CRITFAC100])</f>
        <v>6</v>
      </c>
      <c r="S557" s="230">
        <f>(FME_Ranking1[[#This Row],[Critical Facilities Raw]]/$R$2)*100</f>
        <v>0.25728987993138941</v>
      </c>
      <c r="T557" s="180">
        <f>FME_Ranking1[[#This Row],[Critical Facilities Score (Normalized, Unweighted)]]*$R$3</f>
        <v>5.1457975986277882E-2</v>
      </c>
      <c r="U557">
        <f>_xlfn.XLOOKUP(FME_Ranking1[[#This Row],[FME ID]],FME_Input[FME_ID],FME_Input[LWC])</f>
        <v>0</v>
      </c>
      <c r="V557" s="178">
        <f>(FME_Ranking1[[#This Row],[LWC Raw]]/$U$2)*100</f>
        <v>0</v>
      </c>
      <c r="W557" s="178">
        <f>FME_Ranking1[[#This Row],[LWC Score (Normalized, Unweighted)]]*$U$3</f>
        <v>0</v>
      </c>
      <c r="X557" s="246">
        <f>_xlfn.XLOOKUP(FME_Ranking1[[#This Row],[FME ID]],FME_Input[FME_ID],FME_Input[ROADCLS])</f>
        <v>0</v>
      </c>
      <c r="Y557" s="230">
        <f>(FME_Ranking1[[#This Row],[Closures Raw]]/$X$2)*100</f>
        <v>0</v>
      </c>
      <c r="Z557" s="180">
        <f>FME_Ranking1[[#This Row],[Closures Score (Normalized, Unweighted)]]*$X$3</f>
        <v>0</v>
      </c>
      <c r="AA557" s="253">
        <f>_xlfn.XLOOKUP(FME_Ranking1[[#This Row],[FME ID]],FME_Input[FME_ID],FME_Input[ROAD_MILES100])</f>
        <v>11.760966300964361</v>
      </c>
      <c r="AB557" s="178">
        <f>(FME_Ranking1[[#This Row],[Miles Raw]]/$AA$2)*100</f>
        <v>0.15463561257432709</v>
      </c>
      <c r="AC557" s="178">
        <f>FME_Ranking1[[#This Row],[Miles Score (Normalized, Unweighted)]]*$AA$3</f>
        <v>1.5463561257432709E-2</v>
      </c>
      <c r="AD557" s="255">
        <f>_xlfn.XLOOKUP(FME_Ranking1[[#This Row],[FME ID]],FME_Input[FME_ID],FME_Input[FARMACRE100])</f>
        <v>0</v>
      </c>
      <c r="AE557" s="230">
        <f>(FME_Ranking1[[#This Row],[Ag Land Raw]]/$AD$2)*100</f>
        <v>0</v>
      </c>
      <c r="AF557" s="231">
        <f>FME_Ranking1[[#This Row],[Ag Land Score (Normalized, Unweighted)]]*$AD$3</f>
        <v>0</v>
      </c>
      <c r="AG55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0.28387113838097872</v>
      </c>
      <c r="AH557" s="406">
        <f t="shared" si="8"/>
        <v>642</v>
      </c>
      <c r="AI55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0.28387113838097872</v>
      </c>
      <c r="AJ557" s="257">
        <f>FME_Ranking1[[#This Row],[Addition check]]-FME_Ranking1[[#This Row],[Weighted Score Based on Normalized Reported Factors]]</f>
        <v>0</v>
      </c>
      <c r="AK557" s="178">
        <f>_xlfn.RANK.EQ(AI557,$AI$6:$AI$2341,0)+COUNTIF($AI$6:AI557,AI557)-1</f>
        <v>642</v>
      </c>
    </row>
    <row r="558" spans="1:37" x14ac:dyDescent="0.25">
      <c r="A558" t="s">
        <v>8498</v>
      </c>
      <c r="B558">
        <f>_xlfn.XLOOKUP(FME_Ranking1[[#This Row],[FME ID]],FME_Input[FME_ID],FME_Input[RFPG_NUM])</f>
        <v>10</v>
      </c>
      <c r="C558" t="str">
        <f>_xlfn.XLOOKUP(FME_Ranking1[[#This Row],[FME ID]],FME_Input[FME_ID],FME_Input[FME_NAME])</f>
        <v>Jackson County Phase 2 DMP</v>
      </c>
      <c r="D558" t="str">
        <f>_xlfn.XLOOKUP(FME_Ranking1[[#This Row],[FME ID]],FME_Input[FME_ID],FME_Input[DESCR])</f>
        <v>Watershed Study</v>
      </c>
      <c r="E558" s="256">
        <f>_xlfn.XLOOKUP(FME_Ranking1[[#This Row],[FME ID]],FME_Input[FME_ID],FME_Input[FME_COST])</f>
        <v>4000000</v>
      </c>
      <c r="F558" t="str">
        <f>_xlfn.XLOOKUP(FME_Ranking1[[#This Row],[FME ID]],FME_Input[FME_ID],FME_Input[EMER_NEED])</f>
        <v>No</v>
      </c>
      <c r="G558">
        <f>IF(FME_Ranking!F558="Yes",100,0)</f>
        <v>0</v>
      </c>
      <c r="H558">
        <f>FME_Ranking1[[#This Row],[Emergency Need Score (Normalized, Unweighted)]]*$F$3</f>
        <v>0</v>
      </c>
      <c r="I558" s="246">
        <f>_xlfn.XLOOKUP(FME_Ranking1[[#This Row],[FME ID]],FME_Input[FME_ID],FME_Input[STRUCT_100])</f>
        <v>717</v>
      </c>
      <c r="J558" s="178">
        <f>(FME_Ranking1[[#This Row],[Structures 100 Raw]]/I$2)*100</f>
        <v>0.38394807865312941</v>
      </c>
      <c r="K558" s="178">
        <f>FME_Ranking1[[#This Row],[Structures 100  Score (Normalized, Unweighted)]]*$I$3</f>
        <v>5.759221179796941E-2</v>
      </c>
      <c r="L558" s="246">
        <f>_xlfn.XLOOKUP(FME_Ranking1[[#This Row],[FME ID]],FME_Input[FME_ID],FME_Input[RES_STRUCT100])</f>
        <v>483</v>
      </c>
      <c r="M558" s="230">
        <f>(FME_Ranking1[[#This Row],[Res Structures Raw]]/L$2)*100</f>
        <v>0.34211160062897533</v>
      </c>
      <c r="N558" s="180">
        <f>FME_Ranking1[[#This Row],[Res Structures Score (Normalized, Unweighted)]]*$L$3</f>
        <v>3.4211160062897532E-2</v>
      </c>
      <c r="O558" s="244">
        <f>_xlfn.XLOOKUP(FME_Ranking1[[#This Row],[FME ID]],FME_Input[FME_ID],FME_Input[POP100])</f>
        <v>774</v>
      </c>
      <c r="P558" s="178">
        <f>(FME_Ranking1[[#This Row],[Pop Raw]]/$O$2)*100</f>
        <v>7.9238491479302786E-2</v>
      </c>
      <c r="Q558" s="178">
        <f>FME_Ranking1[[#This Row],[Pop Score (Normalized, Unweighted)]]*$O$3</f>
        <v>1.1885773721895417E-2</v>
      </c>
      <c r="R558" s="137">
        <f>_xlfn.XLOOKUP(FME_Ranking1[[#This Row],[FME ID]],FME_Input[FME_ID],FME_Input[CRITFAC100])</f>
        <v>1</v>
      </c>
      <c r="S558" s="230">
        <f>(FME_Ranking1[[#This Row],[Critical Facilities Raw]]/$R$2)*100</f>
        <v>4.2881646655231559E-2</v>
      </c>
      <c r="T558" s="180">
        <f>FME_Ranking1[[#This Row],[Critical Facilities Score (Normalized, Unweighted)]]*$R$3</f>
        <v>8.5763293310463125E-3</v>
      </c>
      <c r="U558">
        <f>_xlfn.XLOOKUP(FME_Ranking1[[#This Row],[FME ID]],FME_Input[FME_ID],FME_Input[LWC])</f>
        <v>3</v>
      </c>
      <c r="V558" s="178">
        <f>(FME_Ranking1[[#This Row],[LWC Raw]]/$U$2)*100</f>
        <v>0.17271157167530224</v>
      </c>
      <c r="W558" s="178">
        <f>FME_Ranking1[[#This Row],[LWC Score (Normalized, Unweighted)]]*$U$3</f>
        <v>3.4542314335060449E-2</v>
      </c>
      <c r="X558" s="246">
        <f>_xlfn.XLOOKUP(FME_Ranking1[[#This Row],[FME ID]],FME_Input[FME_ID],FME_Input[ROADCLS])</f>
        <v>0</v>
      </c>
      <c r="Y558" s="230">
        <f>(FME_Ranking1[[#This Row],[Closures Raw]]/$X$2)*100</f>
        <v>0</v>
      </c>
      <c r="Z558" s="180">
        <f>FME_Ranking1[[#This Row],[Closures Score (Normalized, Unweighted)]]*$X$3</f>
        <v>0</v>
      </c>
      <c r="AA558" s="253">
        <f>_xlfn.XLOOKUP(FME_Ranking1[[#This Row],[FME ID]],FME_Input[FME_ID],FME_Input[ROAD_MILES100])</f>
        <v>58.836460113525391</v>
      </c>
      <c r="AB558" s="178">
        <f>(FME_Ranking1[[#This Row],[Miles Raw]]/$AA$2)*100</f>
        <v>0.77359392234751467</v>
      </c>
      <c r="AC558" s="178">
        <f>FME_Ranking1[[#This Row],[Miles Score (Normalized, Unweighted)]]*$AA$3</f>
        <v>7.7359392234751467E-2</v>
      </c>
      <c r="AD558" s="255">
        <f>_xlfn.XLOOKUP(FME_Ranking1[[#This Row],[FME ID]],FME_Input[FME_ID],FME_Input[FARMACRE100])</f>
        <v>58758.9140625</v>
      </c>
      <c r="AE558" s="230">
        <f>(FME_Ranking1[[#This Row],[Ag Land Raw]]/$AD$2)*100</f>
        <v>2.4229545814419113</v>
      </c>
      <c r="AF558" s="231">
        <f>FME_Ranking1[[#This Row],[Ag Land Score (Normalized, Unweighted)]]*$AD$3</f>
        <v>0.12114772907209558</v>
      </c>
      <c r="AG55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0.34531491055571617</v>
      </c>
      <c r="AH558" s="406">
        <f t="shared" si="8"/>
        <v>571</v>
      </c>
      <c r="AI55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0.34531491055571617</v>
      </c>
      <c r="AJ558" s="257">
        <f>FME_Ranking1[[#This Row],[Addition check]]-FME_Ranking1[[#This Row],[Weighted Score Based on Normalized Reported Factors]]</f>
        <v>0</v>
      </c>
      <c r="AK558" s="178">
        <f>_xlfn.RANK.EQ(AI558,$AI$6:$AI$2341,0)+COUNTIF($AI$6:AI558,AI558)-1</f>
        <v>571</v>
      </c>
    </row>
    <row r="559" spans="1:37" x14ac:dyDescent="0.25">
      <c r="A559" t="s">
        <v>3650</v>
      </c>
      <c r="B559">
        <f>_xlfn.XLOOKUP(FME_Ranking1[[#This Row],[FME ID]],FME_Input[FME_ID],FME_Input[RFPG_NUM])</f>
        <v>2</v>
      </c>
      <c r="C559" t="str">
        <f>_xlfn.XLOOKUP(FME_Ranking1[[#This Row],[FME ID]],FME_Input[FME_ID],FME_Input[FME_NAME])</f>
        <v>Harrison County Property Acquisition</v>
      </c>
      <c r="D559" t="str">
        <f>_xlfn.XLOOKUP(FME_Ranking1[[#This Row],[FME ID]],FME_Input[FME_ID],FME_Input[DESCR])</f>
        <v>Acquisition and management strategies of land to preserve open space within Region 2 for flood mitigation and water quality in the floodplain.</v>
      </c>
      <c r="E559" s="256">
        <f>_xlfn.XLOOKUP(FME_Ranking1[[#This Row],[FME ID]],FME_Input[FME_ID],FME_Input[FME_COST])</f>
        <v>250000</v>
      </c>
      <c r="F559" t="str">
        <f>_xlfn.XLOOKUP(FME_Ranking1[[#This Row],[FME ID]],FME_Input[FME_ID],FME_Input[EMER_NEED])</f>
        <v>No</v>
      </c>
      <c r="G559">
        <f>IF(FME_Ranking!F559="Yes",100,0)</f>
        <v>0</v>
      </c>
      <c r="H559">
        <f>FME_Ranking1[[#This Row],[Emergency Need Score (Normalized, Unweighted)]]*$F$3</f>
        <v>0</v>
      </c>
      <c r="I559" s="246">
        <f>_xlfn.XLOOKUP(FME_Ranking1[[#This Row],[FME ID]],FME_Input[FME_ID],FME_Input[STRUCT_100])</f>
        <v>898</v>
      </c>
      <c r="J559" s="178">
        <f>(FME_Ranking1[[#This Row],[Structures 100 Raw]]/I$2)*100</f>
        <v>0.48087221008439363</v>
      </c>
      <c r="K559" s="178">
        <f>FME_Ranking1[[#This Row],[Structures 100  Score (Normalized, Unweighted)]]*$I$3</f>
        <v>7.2130831512659047E-2</v>
      </c>
      <c r="L559" s="246">
        <f>_xlfn.XLOOKUP(FME_Ranking1[[#This Row],[FME ID]],FME_Input[FME_ID],FME_Input[RES_STRUCT100])</f>
        <v>740</v>
      </c>
      <c r="M559" s="230">
        <f>(FME_Ranking1[[#This Row],[Res Structures Raw]]/L$2)*100</f>
        <v>0.52414613760961037</v>
      </c>
      <c r="N559" s="180">
        <f>FME_Ranking1[[#This Row],[Res Structures Score (Normalized, Unweighted)]]*$L$3</f>
        <v>5.2414613760961043E-2</v>
      </c>
      <c r="O559" s="244">
        <f>_xlfn.XLOOKUP(FME_Ranking1[[#This Row],[FME ID]],FME_Input[FME_ID],FME_Input[POP100])</f>
        <v>2056</v>
      </c>
      <c r="P559" s="178">
        <f>(FME_Ranking1[[#This Row],[Pop Raw]]/$O$2)*100</f>
        <v>0.21048364144889731</v>
      </c>
      <c r="Q559" s="178">
        <f>FME_Ranking1[[#This Row],[Pop Score (Normalized, Unweighted)]]*$O$3</f>
        <v>3.1572546217334595E-2</v>
      </c>
      <c r="R559" s="137">
        <f>_xlfn.XLOOKUP(FME_Ranking1[[#This Row],[FME ID]],FME_Input[FME_ID],FME_Input[CRITFAC100])</f>
        <v>6</v>
      </c>
      <c r="S559" s="230">
        <f>(FME_Ranking1[[#This Row],[Critical Facilities Raw]]/$R$2)*100</f>
        <v>0.25728987993138941</v>
      </c>
      <c r="T559" s="180">
        <f>FME_Ranking1[[#This Row],[Critical Facilities Score (Normalized, Unweighted)]]*$R$3</f>
        <v>5.1457975986277882E-2</v>
      </c>
      <c r="U559">
        <f>_xlfn.XLOOKUP(FME_Ranking1[[#This Row],[FME ID]],FME_Input[FME_ID],FME_Input[LWC])</f>
        <v>5</v>
      </c>
      <c r="V559" s="178">
        <f>(FME_Ranking1[[#This Row],[LWC Raw]]/$U$2)*100</f>
        <v>0.28785261945883706</v>
      </c>
      <c r="W559" s="178">
        <f>FME_Ranking1[[#This Row],[LWC Score (Normalized, Unweighted)]]*$U$3</f>
        <v>5.7570523891767415E-2</v>
      </c>
      <c r="X559" s="246">
        <f>_xlfn.XLOOKUP(FME_Ranking1[[#This Row],[FME ID]],FME_Input[FME_ID],FME_Input[ROADCLS])</f>
        <v>0</v>
      </c>
      <c r="Y559" s="230">
        <f>(FME_Ranking1[[#This Row],[Closures Raw]]/$X$2)*100</f>
        <v>0</v>
      </c>
      <c r="Z559" s="180">
        <f>FME_Ranking1[[#This Row],[Closures Score (Normalized, Unweighted)]]*$X$3</f>
        <v>0</v>
      </c>
      <c r="AA559" s="253">
        <f>_xlfn.XLOOKUP(FME_Ranking1[[#This Row],[FME ID]],FME_Input[FME_ID],FME_Input[ROAD_MILES100])</f>
        <v>96.557937622070313</v>
      </c>
      <c r="AB559" s="178">
        <f>(FME_Ranking1[[#This Row],[Miles Raw]]/$AA$2)*100</f>
        <v>1.2695636949387559</v>
      </c>
      <c r="AC559" s="178">
        <f>FME_Ranking1[[#This Row],[Miles Score (Normalized, Unweighted)]]*$AA$3</f>
        <v>0.12695636949387559</v>
      </c>
      <c r="AD559" s="255">
        <f>_xlfn.XLOOKUP(FME_Ranking1[[#This Row],[FME ID]],FME_Input[FME_ID],FME_Input[FARMACRE100])</f>
        <v>255.00254821777341</v>
      </c>
      <c r="AE559" s="230">
        <f>(FME_Ranking1[[#This Row],[Ag Land Raw]]/$AD$2)*100</f>
        <v>1.0515163568653061E-2</v>
      </c>
      <c r="AF559" s="231">
        <f>FME_Ranking1[[#This Row],[Ag Land Score (Normalized, Unweighted)]]*$AD$3</f>
        <v>5.2575817843265307E-4</v>
      </c>
      <c r="AG55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0.39262861904130825</v>
      </c>
      <c r="AH559" s="406">
        <f t="shared" si="8"/>
        <v>532</v>
      </c>
      <c r="AI55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0.39262861904130825</v>
      </c>
      <c r="AJ559" s="257">
        <f>FME_Ranking1[[#This Row],[Addition check]]-FME_Ranking1[[#This Row],[Weighted Score Based on Normalized Reported Factors]]</f>
        <v>0</v>
      </c>
      <c r="AK559" s="178">
        <f>_xlfn.RANK.EQ(AI559,$AI$6:$AI$2341,0)+COUNTIF($AI$6:AI559,AI559)-1</f>
        <v>532</v>
      </c>
    </row>
    <row r="560" spans="1:37" x14ac:dyDescent="0.25">
      <c r="A560" t="s">
        <v>3557</v>
      </c>
      <c r="B560">
        <f>_xlfn.XLOOKUP(FME_Ranking1[[#This Row],[FME ID]],FME_Input[FME_ID],FME_Input[RFPG_NUM])</f>
        <v>2</v>
      </c>
      <c r="C560" t="str">
        <f>_xlfn.XLOOKUP(FME_Ranking1[[#This Row],[FME ID]],FME_Input[FME_ID],FME_Input[FME_NAME])</f>
        <v>Harrison County FIS</v>
      </c>
      <c r="D560" t="str">
        <f>_xlfn.XLOOKUP(FME_Ranking1[[#This Row],[FME ID]],FME_Input[FME_ID],FME_Input[DESCR])</f>
        <v>Update County maps to Zone AE</v>
      </c>
      <c r="E560" s="256">
        <f>_xlfn.XLOOKUP(FME_Ranking1[[#This Row],[FME ID]],FME_Input[FME_ID],FME_Input[FME_COST])</f>
        <v>2162000</v>
      </c>
      <c r="F560" t="str">
        <f>_xlfn.XLOOKUP(FME_Ranking1[[#This Row],[FME ID]],FME_Input[FME_ID],FME_Input[EMER_NEED])</f>
        <v>No</v>
      </c>
      <c r="G560">
        <f>IF(FME_Ranking!F560="Yes",100,0)</f>
        <v>0</v>
      </c>
      <c r="H560">
        <f>FME_Ranking1[[#This Row],[Emergency Need Score (Normalized, Unweighted)]]*$F$3</f>
        <v>0</v>
      </c>
      <c r="I560" s="246">
        <f>_xlfn.XLOOKUP(FME_Ranking1[[#This Row],[FME ID]],FME_Input[FME_ID],FME_Input[STRUCT_100])</f>
        <v>898</v>
      </c>
      <c r="J560" s="178">
        <f>(FME_Ranking1[[#This Row],[Structures 100 Raw]]/I$2)*100</f>
        <v>0.48087221008439363</v>
      </c>
      <c r="K560" s="178">
        <f>FME_Ranking1[[#This Row],[Structures 100  Score (Normalized, Unweighted)]]*$I$3</f>
        <v>7.2130831512659047E-2</v>
      </c>
      <c r="L560" s="246">
        <f>_xlfn.XLOOKUP(FME_Ranking1[[#This Row],[FME ID]],FME_Input[FME_ID],FME_Input[RES_STRUCT100])</f>
        <v>740</v>
      </c>
      <c r="M560" s="230">
        <f>(FME_Ranking1[[#This Row],[Res Structures Raw]]/L$2)*100</f>
        <v>0.52414613760961037</v>
      </c>
      <c r="N560" s="180">
        <f>FME_Ranking1[[#This Row],[Res Structures Score (Normalized, Unweighted)]]*$L$3</f>
        <v>5.2414613760961043E-2</v>
      </c>
      <c r="O560" s="244">
        <f>_xlfn.XLOOKUP(FME_Ranking1[[#This Row],[FME ID]],FME_Input[FME_ID],FME_Input[POP100])</f>
        <v>2056</v>
      </c>
      <c r="P560" s="178">
        <f>(FME_Ranking1[[#This Row],[Pop Raw]]/$O$2)*100</f>
        <v>0.21048364144889731</v>
      </c>
      <c r="Q560" s="178">
        <f>FME_Ranking1[[#This Row],[Pop Score (Normalized, Unweighted)]]*$O$3</f>
        <v>3.1572546217334595E-2</v>
      </c>
      <c r="R560" s="137">
        <f>_xlfn.XLOOKUP(FME_Ranking1[[#This Row],[FME ID]],FME_Input[FME_ID],FME_Input[CRITFAC100])</f>
        <v>6</v>
      </c>
      <c r="S560" s="230">
        <f>(FME_Ranking1[[#This Row],[Critical Facilities Raw]]/$R$2)*100</f>
        <v>0.25728987993138941</v>
      </c>
      <c r="T560" s="180">
        <f>FME_Ranking1[[#This Row],[Critical Facilities Score (Normalized, Unweighted)]]*$R$3</f>
        <v>5.1457975986277882E-2</v>
      </c>
      <c r="U560">
        <f>_xlfn.XLOOKUP(FME_Ranking1[[#This Row],[FME ID]],FME_Input[FME_ID],FME_Input[LWC])</f>
        <v>5</v>
      </c>
      <c r="V560" s="178">
        <f>(FME_Ranking1[[#This Row],[LWC Raw]]/$U$2)*100</f>
        <v>0.28785261945883706</v>
      </c>
      <c r="W560" s="178">
        <f>FME_Ranking1[[#This Row],[LWC Score (Normalized, Unweighted)]]*$U$3</f>
        <v>5.7570523891767415E-2</v>
      </c>
      <c r="X560" s="246">
        <f>_xlfn.XLOOKUP(FME_Ranking1[[#This Row],[FME ID]],FME_Input[FME_ID],FME_Input[ROADCLS])</f>
        <v>0</v>
      </c>
      <c r="Y560" s="230">
        <f>(FME_Ranking1[[#This Row],[Closures Raw]]/$X$2)*100</f>
        <v>0</v>
      </c>
      <c r="Z560" s="180">
        <f>FME_Ranking1[[#This Row],[Closures Score (Normalized, Unweighted)]]*$X$3</f>
        <v>0</v>
      </c>
      <c r="AA560" s="253">
        <f>_xlfn.XLOOKUP(FME_Ranking1[[#This Row],[FME ID]],FME_Input[FME_ID],FME_Input[ROAD_MILES100])</f>
        <v>96.555709838867188</v>
      </c>
      <c r="AB560" s="178">
        <f>(FME_Ranking1[[#This Row],[Miles Raw]]/$AA$2)*100</f>
        <v>1.2695344035853515</v>
      </c>
      <c r="AC560" s="178">
        <f>FME_Ranking1[[#This Row],[Miles Score (Normalized, Unweighted)]]*$AA$3</f>
        <v>0.12695344035853515</v>
      </c>
      <c r="AD560" s="255">
        <f>_xlfn.XLOOKUP(FME_Ranking1[[#This Row],[FME ID]],FME_Input[FME_ID],FME_Input[FARMACRE100])</f>
        <v>254.9898986816406</v>
      </c>
      <c r="AE560" s="230">
        <f>(FME_Ranking1[[#This Row],[Ag Land Raw]]/$AD$2)*100</f>
        <v>1.0514641958408639E-2</v>
      </c>
      <c r="AF560" s="231">
        <f>FME_Ranking1[[#This Row],[Ag Land Score (Normalized, Unweighted)]]*$AD$3</f>
        <v>5.2573209792043196E-4</v>
      </c>
      <c r="AG56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0.39262566382545555</v>
      </c>
      <c r="AH560" s="406">
        <f t="shared" si="8"/>
        <v>533</v>
      </c>
      <c r="AI56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0.39262566382545555</v>
      </c>
      <c r="AJ560" s="257">
        <f>FME_Ranking1[[#This Row],[Addition check]]-FME_Ranking1[[#This Row],[Weighted Score Based on Normalized Reported Factors]]</f>
        <v>0</v>
      </c>
      <c r="AK560" s="178">
        <f>_xlfn.RANK.EQ(AI560,$AI$6:$AI$2341,0)+COUNTIF($AI$6:AI560,AI560)-1</f>
        <v>533</v>
      </c>
    </row>
    <row r="561" spans="1:37" x14ac:dyDescent="0.25">
      <c r="A561" t="s">
        <v>8526</v>
      </c>
      <c r="B561">
        <f>_xlfn.XLOOKUP(FME_Ranking1[[#This Row],[FME ID]],FME_Input[FME_ID],FME_Input[RFPG_NUM])</f>
        <v>11</v>
      </c>
      <c r="C561" t="str">
        <f>_xlfn.XLOOKUP(FME_Ranking1[[#This Row],[FME ID]],FME_Input[FME_ID],FME_Input[FME_NAME])</f>
        <v xml:space="preserve">Center Point ISD Drainage Improvements Study </v>
      </c>
      <c r="D561" t="str">
        <f>_xlfn.XLOOKUP(FME_Ranking1[[#This Row],[FME ID]],FME_Input[FME_ID],FME_Input[DESCR])</f>
        <v>Study of solutions to construct new storm drainage infrastructure to reduce the potential impacts of future flood events.</v>
      </c>
      <c r="E561" s="256">
        <f>_xlfn.XLOOKUP(FME_Ranking1[[#This Row],[FME ID]],FME_Input[FME_ID],FME_Input[FME_COST])</f>
        <v>100000</v>
      </c>
      <c r="F561" t="str">
        <f>_xlfn.XLOOKUP(FME_Ranking1[[#This Row],[FME ID]],FME_Input[FME_ID],FME_Input[EMER_NEED])</f>
        <v>No</v>
      </c>
      <c r="G561">
        <f>IF(FME_Ranking!F561="Yes",100,0)</f>
        <v>0</v>
      </c>
      <c r="H561">
        <f>FME_Ranking1[[#This Row],[Emergency Need Score (Normalized, Unweighted)]]*$F$3</f>
        <v>0</v>
      </c>
      <c r="I561" s="246">
        <f>_xlfn.XLOOKUP(FME_Ranking1[[#This Row],[FME ID]],FME_Input[FME_ID],FME_Input[STRUCT_100])</f>
        <v>462</v>
      </c>
      <c r="J561" s="178">
        <f>(FME_Ranking1[[#This Row],[Structures 100 Raw]]/I$2)*100</f>
        <v>0.24739750674720473</v>
      </c>
      <c r="K561" s="178">
        <f>FME_Ranking1[[#This Row],[Structures 100  Score (Normalized, Unweighted)]]*$I$3</f>
        <v>3.7109626012080711E-2</v>
      </c>
      <c r="L561" s="246">
        <f>_xlfn.XLOOKUP(FME_Ranking1[[#This Row],[FME ID]],FME_Input[FME_ID],FME_Input[RES_STRUCT100])</f>
        <v>293</v>
      </c>
      <c r="M561" s="230">
        <f>(FME_Ranking1[[#This Row],[Res Structures Raw]]/L$2)*100</f>
        <v>0.2075335382697511</v>
      </c>
      <c r="N561" s="180">
        <f>FME_Ranking1[[#This Row],[Res Structures Score (Normalized, Unweighted)]]*$L$3</f>
        <v>2.0753353826975112E-2</v>
      </c>
      <c r="O561" s="244">
        <f>_xlfn.XLOOKUP(FME_Ranking1[[#This Row],[FME ID]],FME_Input[FME_ID],FME_Input[POP100])</f>
        <v>730</v>
      </c>
      <c r="P561" s="178">
        <f>(FME_Ranking1[[#This Row],[Pop Raw]]/$O$2)*100</f>
        <v>7.4733977751797201E-2</v>
      </c>
      <c r="Q561" s="178">
        <f>FME_Ranking1[[#This Row],[Pop Score (Normalized, Unweighted)]]*$O$3</f>
        <v>1.121009666276958E-2</v>
      </c>
      <c r="R561" s="137">
        <f>_xlfn.XLOOKUP(FME_Ranking1[[#This Row],[FME ID]],FME_Input[FME_ID],FME_Input[CRITFAC100])</f>
        <v>0</v>
      </c>
      <c r="S561" s="230">
        <f>(FME_Ranking1[[#This Row],[Critical Facilities Raw]]/$R$2)*100</f>
        <v>0</v>
      </c>
      <c r="T561" s="180">
        <f>FME_Ranking1[[#This Row],[Critical Facilities Score (Normalized, Unweighted)]]*$R$3</f>
        <v>0</v>
      </c>
      <c r="U561">
        <f>_xlfn.XLOOKUP(FME_Ranking1[[#This Row],[FME ID]],FME_Input[FME_ID],FME_Input[LWC])</f>
        <v>16</v>
      </c>
      <c r="V561" s="178">
        <f>(FME_Ranking1[[#This Row],[LWC Raw]]/$U$2)*100</f>
        <v>0.92112838226827876</v>
      </c>
      <c r="W561" s="178">
        <f>FME_Ranking1[[#This Row],[LWC Score (Normalized, Unweighted)]]*$U$3</f>
        <v>0.18422567645365576</v>
      </c>
      <c r="X561" s="246">
        <f>_xlfn.XLOOKUP(FME_Ranking1[[#This Row],[FME ID]],FME_Input[FME_ID],FME_Input[ROADCLS])</f>
        <v>0</v>
      </c>
      <c r="Y561" s="230">
        <f>(FME_Ranking1[[#This Row],[Closures Raw]]/$X$2)*100</f>
        <v>0</v>
      </c>
      <c r="Z561" s="180">
        <f>FME_Ranking1[[#This Row],[Closures Score (Normalized, Unweighted)]]*$X$3</f>
        <v>0</v>
      </c>
      <c r="AA561" s="253">
        <f>_xlfn.XLOOKUP(FME_Ranking1[[#This Row],[FME ID]],FME_Input[FME_ID],FME_Input[ROAD_MILES100])</f>
        <v>22.855888366699219</v>
      </c>
      <c r="AB561" s="178">
        <f>(FME_Ranking1[[#This Row],[Miles Raw]]/$AA$2)*100</f>
        <v>0.30051393806180415</v>
      </c>
      <c r="AC561" s="178">
        <f>FME_Ranking1[[#This Row],[Miles Score (Normalized, Unweighted)]]*$AA$3</f>
        <v>3.0051393806180417E-2</v>
      </c>
      <c r="AD561" s="255">
        <f>_xlfn.XLOOKUP(FME_Ranking1[[#This Row],[FME ID]],FME_Input[FME_ID],FME_Input[FARMACRE100])</f>
        <v>4927.83349609375</v>
      </c>
      <c r="AE561" s="230">
        <f>(FME_Ranking1[[#This Row],[Ag Land Raw]]/$AD$2)*100</f>
        <v>0.20320179391408</v>
      </c>
      <c r="AF561" s="231">
        <f>FME_Ranking1[[#This Row],[Ag Land Score (Normalized, Unweighted)]]*$AD$3</f>
        <v>1.0160089695704E-2</v>
      </c>
      <c r="AG56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0.29351023645736557</v>
      </c>
      <c r="AH561" s="406">
        <f t="shared" si="8"/>
        <v>623</v>
      </c>
      <c r="AI56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0.29351023645736557</v>
      </c>
      <c r="AJ561" s="257">
        <f>FME_Ranking1[[#This Row],[Addition check]]-FME_Ranking1[[#This Row],[Weighted Score Based on Normalized Reported Factors]]</f>
        <v>0</v>
      </c>
      <c r="AK561" s="178">
        <f>_xlfn.RANK.EQ(AI561,$AI$6:$AI$2341,0)+COUNTIF($AI$6:AI561,AI561)-1</f>
        <v>623</v>
      </c>
    </row>
    <row r="562" spans="1:37" x14ac:dyDescent="0.25">
      <c r="A562" t="s">
        <v>1812</v>
      </c>
      <c r="B562">
        <f>_xlfn.XLOOKUP(FME_Ranking1[[#This Row],[FME ID]],FME_Input[FME_ID],FME_Input[RFPG_NUM])</f>
        <v>6</v>
      </c>
      <c r="C562" t="str">
        <f>_xlfn.XLOOKUP(FME_Ranking1[[#This Row],[FME ID]],FME_Input[FME_ID],FME_Input[FME_NAME])</f>
        <v>City of West University Place  Master Drainage Plan</v>
      </c>
      <c r="D562" t="str">
        <f>_xlfn.XLOOKUP(FME_Ranking1[[#This Row],[FME ID]],FME_Input[FME_ID],FME_Input[DESCR])</f>
        <v>Study to develop refine Master Drainage Plan and Projects using future and existing land use and flood/storm water drainage needs including Atlas 14 rainfall.</v>
      </c>
      <c r="E562" s="256">
        <f>_xlfn.XLOOKUP(FME_Ranking1[[#This Row],[FME ID]],FME_Input[FME_ID],FME_Input[FME_COST])</f>
        <v>190000</v>
      </c>
      <c r="F562" t="str">
        <f>_xlfn.XLOOKUP(FME_Ranking1[[#This Row],[FME ID]],FME_Input[FME_ID],FME_Input[EMER_NEED])</f>
        <v>No</v>
      </c>
      <c r="G562">
        <f>IF(FME_Ranking!F562="Yes",100,0)</f>
        <v>0</v>
      </c>
      <c r="H562">
        <f>FME_Ranking1[[#This Row],[Emergency Need Score (Normalized, Unweighted)]]*$F$3</f>
        <v>0</v>
      </c>
      <c r="I562" s="246">
        <f>_xlfn.XLOOKUP(FME_Ranking1[[#This Row],[FME ID]],FME_Input[FME_ID],FME_Input[STRUCT_100])</f>
        <v>940</v>
      </c>
      <c r="J562" s="178">
        <f>(FME_Ranking1[[#This Row],[Structures 100 Raw]]/I$2)*100</f>
        <v>0.50336289251595767</v>
      </c>
      <c r="K562" s="178">
        <f>FME_Ranking1[[#This Row],[Structures 100  Score (Normalized, Unweighted)]]*$I$3</f>
        <v>7.5504433877393654E-2</v>
      </c>
      <c r="L562" s="246">
        <f>_xlfn.XLOOKUP(FME_Ranking1[[#This Row],[FME ID]],FME_Input[FME_ID],FME_Input[RES_STRUCT100])</f>
        <v>923</v>
      </c>
      <c r="M562" s="230">
        <f>(FME_Ranking1[[#This Row],[Res Structures Raw]]/L$2)*100</f>
        <v>0.65376606082928423</v>
      </c>
      <c r="N562" s="180">
        <f>FME_Ranking1[[#This Row],[Res Structures Score (Normalized, Unweighted)]]*$L$3</f>
        <v>6.5376606082928432E-2</v>
      </c>
      <c r="O562" s="244">
        <f>_xlfn.XLOOKUP(FME_Ranking1[[#This Row],[FME ID]],FME_Input[FME_ID],FME_Input[POP100])</f>
        <v>4613</v>
      </c>
      <c r="P562" s="178">
        <f>(FME_Ranking1[[#This Row],[Pop Raw]]/$O$2)*100</f>
        <v>0.472257314204165</v>
      </c>
      <c r="Q562" s="178">
        <f>FME_Ranking1[[#This Row],[Pop Score (Normalized, Unweighted)]]*$O$3</f>
        <v>7.083859713062475E-2</v>
      </c>
      <c r="R562" s="137">
        <f>_xlfn.XLOOKUP(FME_Ranking1[[#This Row],[FME ID]],FME_Input[FME_ID],FME_Input[CRITFAC100])</f>
        <v>6</v>
      </c>
      <c r="S562" s="230">
        <f>(FME_Ranking1[[#This Row],[Critical Facilities Raw]]/$R$2)*100</f>
        <v>0.25728987993138941</v>
      </c>
      <c r="T562" s="180">
        <f>FME_Ranking1[[#This Row],[Critical Facilities Score (Normalized, Unweighted)]]*$R$3</f>
        <v>5.1457975986277882E-2</v>
      </c>
      <c r="U562">
        <f>_xlfn.XLOOKUP(FME_Ranking1[[#This Row],[FME ID]],FME_Input[FME_ID],FME_Input[LWC])</f>
        <v>0</v>
      </c>
      <c r="V562" s="178">
        <f>(FME_Ranking1[[#This Row],[LWC Raw]]/$U$2)*100</f>
        <v>0</v>
      </c>
      <c r="W562" s="178">
        <f>FME_Ranking1[[#This Row],[LWC Score (Normalized, Unweighted)]]*$U$3</f>
        <v>0</v>
      </c>
      <c r="X562" s="246">
        <f>_xlfn.XLOOKUP(FME_Ranking1[[#This Row],[FME ID]],FME_Input[FME_ID],FME_Input[ROADCLS])</f>
        <v>0</v>
      </c>
      <c r="Y562" s="230">
        <f>(FME_Ranking1[[#This Row],[Closures Raw]]/$X$2)*100</f>
        <v>0</v>
      </c>
      <c r="Z562" s="180">
        <f>FME_Ranking1[[#This Row],[Closures Score (Normalized, Unweighted)]]*$X$3</f>
        <v>0</v>
      </c>
      <c r="AA562" s="253">
        <f>_xlfn.XLOOKUP(FME_Ranking1[[#This Row],[FME ID]],FME_Input[FME_ID],FME_Input[ROAD_MILES100])</f>
        <v>11.892343521118161</v>
      </c>
      <c r="AB562" s="178">
        <f>(FME_Ranking1[[#This Row],[Miles Raw]]/$AA$2)*100</f>
        <v>0.15636298738324303</v>
      </c>
      <c r="AC562" s="178">
        <f>FME_Ranking1[[#This Row],[Miles Score (Normalized, Unweighted)]]*$AA$3</f>
        <v>1.5636298738324304E-2</v>
      </c>
      <c r="AD562" s="255">
        <f>_xlfn.XLOOKUP(FME_Ranking1[[#This Row],[FME ID]],FME_Input[FME_ID],FME_Input[FARMACRE100])</f>
        <v>0</v>
      </c>
      <c r="AE562" s="230">
        <f>(FME_Ranking1[[#This Row],[Ag Land Raw]]/$AD$2)*100</f>
        <v>0</v>
      </c>
      <c r="AF562" s="231">
        <f>FME_Ranking1[[#This Row],[Ag Land Score (Normalized, Unweighted)]]*$AD$3</f>
        <v>0</v>
      </c>
      <c r="AG56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0.27881391181554899</v>
      </c>
      <c r="AH562" s="406">
        <f t="shared" si="8"/>
        <v>644</v>
      </c>
      <c r="AI56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0.27881391181554899</v>
      </c>
      <c r="AJ562" s="257">
        <f>FME_Ranking1[[#This Row],[Addition check]]-FME_Ranking1[[#This Row],[Weighted Score Based on Normalized Reported Factors]]</f>
        <v>0</v>
      </c>
      <c r="AK562" s="178">
        <f>_xlfn.RANK.EQ(AI562,$AI$6:$AI$2341,0)+COUNTIF($AI$6:AI562,AI562)-1</f>
        <v>644</v>
      </c>
    </row>
    <row r="563" spans="1:37" x14ac:dyDescent="0.25">
      <c r="A563" t="s">
        <v>6783</v>
      </c>
      <c r="B563">
        <f>_xlfn.XLOOKUP(FME_Ranking1[[#This Row],[FME ID]],FME_Input[FME_ID],FME_Input[RFPG_NUM])</f>
        <v>7</v>
      </c>
      <c r="C563" t="str">
        <f>_xlfn.XLOOKUP(FME_Ranking1[[#This Row],[FME ID]],FME_Input[FME_ID],FME_Input[FME_NAME])</f>
        <v>Knox County Initial FEMA Mapping</v>
      </c>
      <c r="D563" t="str">
        <f>_xlfn.XLOOKUP(FME_Ranking1[[#This Row],[FME ID]],FME_Input[FME_ID],FME_Input[DESCR])</f>
        <v>Create FEMA Mapping in previously unmapped areas</v>
      </c>
      <c r="E563" s="256">
        <f>_xlfn.XLOOKUP(FME_Ranking1[[#This Row],[FME ID]],FME_Input[FME_ID],FME_Input[FME_COST])</f>
        <v>871000</v>
      </c>
      <c r="F563" t="str">
        <f>_xlfn.XLOOKUP(FME_Ranking1[[#This Row],[FME ID]],FME_Input[FME_ID],FME_Input[EMER_NEED])</f>
        <v>No</v>
      </c>
      <c r="G563">
        <f>IF(FME_Ranking!F563="Yes",100,0)</f>
        <v>0</v>
      </c>
      <c r="H563">
        <f>FME_Ranking1[[#This Row],[Emergency Need Score (Normalized, Unweighted)]]*$F$3</f>
        <v>0</v>
      </c>
      <c r="I563" s="246">
        <f>_xlfn.XLOOKUP(FME_Ranking1[[#This Row],[FME ID]],FME_Input[FME_ID],FME_Input[STRUCT_100])</f>
        <v>968</v>
      </c>
      <c r="J563" s="178">
        <f>(FME_Ranking1[[#This Row],[Structures 100 Raw]]/I$2)*100</f>
        <v>0.51835668080366704</v>
      </c>
      <c r="K563" s="178">
        <f>FME_Ranking1[[#This Row],[Structures 100  Score (Normalized, Unweighted)]]*$I$3</f>
        <v>7.7753502120550058E-2</v>
      </c>
      <c r="L563" s="246">
        <f>_xlfn.XLOOKUP(FME_Ranking1[[#This Row],[FME ID]],FME_Input[FME_ID],FME_Input[RES_STRUCT100])</f>
        <v>526</v>
      </c>
      <c r="M563" s="230">
        <f>(FME_Ranking1[[#This Row],[Res Structures Raw]]/L$2)*100</f>
        <v>0.37256874105764187</v>
      </c>
      <c r="N563" s="180">
        <f>FME_Ranking1[[#This Row],[Res Structures Score (Normalized, Unweighted)]]*$L$3</f>
        <v>3.7256874105764191E-2</v>
      </c>
      <c r="O563" s="244">
        <f>_xlfn.XLOOKUP(FME_Ranking1[[#This Row],[FME ID]],FME_Input[FME_ID],FME_Input[POP100])</f>
        <v>1310</v>
      </c>
      <c r="P563" s="178">
        <f>(FME_Ranking1[[#This Row],[Pop Raw]]/$O$2)*100</f>
        <v>0.13411165870527991</v>
      </c>
      <c r="Q563" s="178">
        <f>FME_Ranking1[[#This Row],[Pop Score (Normalized, Unweighted)]]*$O$3</f>
        <v>2.0116748805791985E-2</v>
      </c>
      <c r="R563" s="137">
        <f>_xlfn.XLOOKUP(FME_Ranking1[[#This Row],[FME ID]],FME_Input[FME_ID],FME_Input[CRITFAC100])</f>
        <v>4</v>
      </c>
      <c r="S563" s="230">
        <f>(FME_Ranking1[[#This Row],[Critical Facilities Raw]]/$R$2)*100</f>
        <v>0.17152658662092624</v>
      </c>
      <c r="T563" s="180">
        <f>FME_Ranking1[[#This Row],[Critical Facilities Score (Normalized, Unweighted)]]*$R$3</f>
        <v>3.430531732418525E-2</v>
      </c>
      <c r="U563">
        <f>_xlfn.XLOOKUP(FME_Ranking1[[#This Row],[FME ID]],FME_Input[FME_ID],FME_Input[LWC])</f>
        <v>2</v>
      </c>
      <c r="V563" s="178">
        <f>(FME_Ranking1[[#This Row],[LWC Raw]]/$U$2)*100</f>
        <v>0.11514104778353484</v>
      </c>
      <c r="W563" s="178">
        <f>FME_Ranking1[[#This Row],[LWC Score (Normalized, Unweighted)]]*$U$3</f>
        <v>2.302820955670697E-2</v>
      </c>
      <c r="X563" s="246">
        <f>_xlfn.XLOOKUP(FME_Ranking1[[#This Row],[FME ID]],FME_Input[FME_ID],FME_Input[ROADCLS])</f>
        <v>0</v>
      </c>
      <c r="Y563" s="230">
        <f>(FME_Ranking1[[#This Row],[Closures Raw]]/$X$2)*100</f>
        <v>0</v>
      </c>
      <c r="Z563" s="180">
        <f>FME_Ranking1[[#This Row],[Closures Score (Normalized, Unweighted)]]*$X$3</f>
        <v>0</v>
      </c>
      <c r="AA563" s="253">
        <f>_xlfn.XLOOKUP(FME_Ranking1[[#This Row],[FME ID]],FME_Input[FME_ID],FME_Input[ROAD_MILES100])</f>
        <v>130.4964294433594</v>
      </c>
      <c r="AB563" s="178">
        <f>(FME_Ranking1[[#This Row],[Miles Raw]]/$AA$2)*100</f>
        <v>1.7157939908459467</v>
      </c>
      <c r="AC563" s="178">
        <f>FME_Ranking1[[#This Row],[Miles Score (Normalized, Unweighted)]]*$AA$3</f>
        <v>0.17157939908459469</v>
      </c>
      <c r="AD563" s="255">
        <f>_xlfn.XLOOKUP(FME_Ranking1[[#This Row],[FME ID]],FME_Input[FME_ID],FME_Input[FARMACRE100])</f>
        <v>33293.21875</v>
      </c>
      <c r="AE563" s="230">
        <f>(FME_Ranking1[[#This Row],[Ag Land Raw]]/$AD$2)*100</f>
        <v>1.3728633040334322</v>
      </c>
      <c r="AF563" s="231">
        <f>FME_Ranking1[[#This Row],[Ag Land Score (Normalized, Unweighted)]]*$AD$3</f>
        <v>6.8643165201671616E-2</v>
      </c>
      <c r="AG56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0.43268321619926475</v>
      </c>
      <c r="AH563" s="406">
        <f t="shared" si="8"/>
        <v>493</v>
      </c>
      <c r="AI56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0.43268321619926475</v>
      </c>
      <c r="AJ563" s="257">
        <f>FME_Ranking1[[#This Row],[Addition check]]-FME_Ranking1[[#This Row],[Weighted Score Based on Normalized Reported Factors]]</f>
        <v>0</v>
      </c>
      <c r="AK563" s="178">
        <f>_xlfn.RANK.EQ(AI563,$AI$6:$AI$2341,0)+COUNTIF($AI$6:AI563,AI563)-1</f>
        <v>493</v>
      </c>
    </row>
    <row r="564" spans="1:37" x14ac:dyDescent="0.25">
      <c r="A564" t="s">
        <v>6789</v>
      </c>
      <c r="B564">
        <f>_xlfn.XLOOKUP(FME_Ranking1[[#This Row],[FME ID]],FME_Input[FME_ID],FME_Input[RFPG_NUM])</f>
        <v>7</v>
      </c>
      <c r="C564" t="str">
        <f>_xlfn.XLOOKUP(FME_Ranking1[[#This Row],[FME ID]],FME_Input[FME_ID],FME_Input[FME_NAME])</f>
        <v>Knox County DMP</v>
      </c>
      <c r="D564" t="str">
        <f>_xlfn.XLOOKUP(FME_Ranking1[[#This Row],[FME ID]],FME_Input[FME_ID],FME_Input[DESCR])</f>
        <v>Evaluate county to identify future projects, analyze roads/stream crossing for emergency response vehicles to high hazard areas</v>
      </c>
      <c r="E564" s="256">
        <f>_xlfn.XLOOKUP(FME_Ranking1[[#This Row],[FME ID]],FME_Input[FME_ID],FME_Input[FME_COST])</f>
        <v>500000</v>
      </c>
      <c r="F564" t="str">
        <f>_xlfn.XLOOKUP(FME_Ranking1[[#This Row],[FME ID]],FME_Input[FME_ID],FME_Input[EMER_NEED])</f>
        <v>No</v>
      </c>
      <c r="G564">
        <f>IF(FME_Ranking!F564="Yes",100,0)</f>
        <v>0</v>
      </c>
      <c r="H564">
        <f>FME_Ranking1[[#This Row],[Emergency Need Score (Normalized, Unweighted)]]*$F$3</f>
        <v>0</v>
      </c>
      <c r="I564" s="246">
        <f>_xlfn.XLOOKUP(FME_Ranking1[[#This Row],[FME ID]],FME_Input[FME_ID],FME_Input[STRUCT_100])</f>
        <v>968</v>
      </c>
      <c r="J564" s="178">
        <f>(FME_Ranking1[[#This Row],[Structures 100 Raw]]/I$2)*100</f>
        <v>0.51835668080366704</v>
      </c>
      <c r="K564" s="178">
        <f>FME_Ranking1[[#This Row],[Structures 100  Score (Normalized, Unweighted)]]*$I$3</f>
        <v>7.7753502120550058E-2</v>
      </c>
      <c r="L564" s="246">
        <f>_xlfn.XLOOKUP(FME_Ranking1[[#This Row],[FME ID]],FME_Input[FME_ID],FME_Input[RES_STRUCT100])</f>
        <v>526</v>
      </c>
      <c r="M564" s="230">
        <f>(FME_Ranking1[[#This Row],[Res Structures Raw]]/L$2)*100</f>
        <v>0.37256874105764187</v>
      </c>
      <c r="N564" s="180">
        <f>FME_Ranking1[[#This Row],[Res Structures Score (Normalized, Unweighted)]]*$L$3</f>
        <v>3.7256874105764191E-2</v>
      </c>
      <c r="O564" s="244">
        <f>_xlfn.XLOOKUP(FME_Ranking1[[#This Row],[FME ID]],FME_Input[FME_ID],FME_Input[POP100])</f>
        <v>1310</v>
      </c>
      <c r="P564" s="178">
        <f>(FME_Ranking1[[#This Row],[Pop Raw]]/$O$2)*100</f>
        <v>0.13411165870527991</v>
      </c>
      <c r="Q564" s="178">
        <f>FME_Ranking1[[#This Row],[Pop Score (Normalized, Unweighted)]]*$O$3</f>
        <v>2.0116748805791985E-2</v>
      </c>
      <c r="R564" s="137">
        <f>_xlfn.XLOOKUP(FME_Ranking1[[#This Row],[FME ID]],FME_Input[FME_ID],FME_Input[CRITFAC100])</f>
        <v>4</v>
      </c>
      <c r="S564" s="230">
        <f>(FME_Ranking1[[#This Row],[Critical Facilities Raw]]/$R$2)*100</f>
        <v>0.17152658662092624</v>
      </c>
      <c r="T564" s="180">
        <f>FME_Ranking1[[#This Row],[Critical Facilities Score (Normalized, Unweighted)]]*$R$3</f>
        <v>3.430531732418525E-2</v>
      </c>
      <c r="U564">
        <f>_xlfn.XLOOKUP(FME_Ranking1[[#This Row],[FME ID]],FME_Input[FME_ID],FME_Input[LWC])</f>
        <v>2</v>
      </c>
      <c r="V564" s="178">
        <f>(FME_Ranking1[[#This Row],[LWC Raw]]/$U$2)*100</f>
        <v>0.11514104778353484</v>
      </c>
      <c r="W564" s="178">
        <f>FME_Ranking1[[#This Row],[LWC Score (Normalized, Unweighted)]]*$U$3</f>
        <v>2.302820955670697E-2</v>
      </c>
      <c r="X564" s="246">
        <f>_xlfn.XLOOKUP(FME_Ranking1[[#This Row],[FME ID]],FME_Input[FME_ID],FME_Input[ROADCLS])</f>
        <v>0</v>
      </c>
      <c r="Y564" s="230">
        <f>(FME_Ranking1[[#This Row],[Closures Raw]]/$X$2)*100</f>
        <v>0</v>
      </c>
      <c r="Z564" s="180">
        <f>FME_Ranking1[[#This Row],[Closures Score (Normalized, Unweighted)]]*$X$3</f>
        <v>0</v>
      </c>
      <c r="AA564" s="253">
        <f>_xlfn.XLOOKUP(FME_Ranking1[[#This Row],[FME ID]],FME_Input[FME_ID],FME_Input[ROAD_MILES100])</f>
        <v>130.4964294433594</v>
      </c>
      <c r="AB564" s="178">
        <f>(FME_Ranking1[[#This Row],[Miles Raw]]/$AA$2)*100</f>
        <v>1.7157939908459467</v>
      </c>
      <c r="AC564" s="178">
        <f>FME_Ranking1[[#This Row],[Miles Score (Normalized, Unweighted)]]*$AA$3</f>
        <v>0.17157939908459469</v>
      </c>
      <c r="AD564" s="255">
        <f>_xlfn.XLOOKUP(FME_Ranking1[[#This Row],[FME ID]],FME_Input[FME_ID],FME_Input[FARMACRE100])</f>
        <v>33293.21875</v>
      </c>
      <c r="AE564" s="230">
        <f>(FME_Ranking1[[#This Row],[Ag Land Raw]]/$AD$2)*100</f>
        <v>1.3728633040334322</v>
      </c>
      <c r="AF564" s="231">
        <f>FME_Ranking1[[#This Row],[Ag Land Score (Normalized, Unweighted)]]*$AD$3</f>
        <v>6.8643165201671616E-2</v>
      </c>
      <c r="AG56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0.43268321619926475</v>
      </c>
      <c r="AH564" s="406">
        <f t="shared" si="8"/>
        <v>493</v>
      </c>
      <c r="AI56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0.43268321619926475</v>
      </c>
      <c r="AJ564" s="257">
        <f>FME_Ranking1[[#This Row],[Addition check]]-FME_Ranking1[[#This Row],[Weighted Score Based on Normalized Reported Factors]]</f>
        <v>0</v>
      </c>
      <c r="AK564" s="178">
        <f>_xlfn.RANK.EQ(AI564,$AI$6:$AI$2341,0)+COUNTIF($AI$6:AI564,AI564)-1</f>
        <v>494</v>
      </c>
    </row>
    <row r="565" spans="1:37" x14ac:dyDescent="0.25">
      <c r="A565" t="s">
        <v>6791</v>
      </c>
      <c r="B565">
        <f>_xlfn.XLOOKUP(FME_Ranking1[[#This Row],[FME ID]],FME_Input[FME_ID],FME_Input[RFPG_NUM])</f>
        <v>7</v>
      </c>
      <c r="C565" t="str">
        <f>_xlfn.XLOOKUP(FME_Ranking1[[#This Row],[FME ID]],FME_Input[FME_ID],FME_Input[FME_NAME])</f>
        <v>Knox County GIS Development</v>
      </c>
      <c r="D565" t="str">
        <f>_xlfn.XLOOKUP(FME_Ranking1[[#This Row],[FME ID]],FME_Input[FME_ID],FME_Input[DESCR])</f>
        <v>Develop a GIS inventory of stormwater infrastructure</v>
      </c>
      <c r="E565" s="256">
        <f>_xlfn.XLOOKUP(FME_Ranking1[[#This Row],[FME ID]],FME_Input[FME_ID],FME_Input[FME_COST])</f>
        <v>100000</v>
      </c>
      <c r="F565" t="str">
        <f>_xlfn.XLOOKUP(FME_Ranking1[[#This Row],[FME ID]],FME_Input[FME_ID],FME_Input[EMER_NEED])</f>
        <v>No</v>
      </c>
      <c r="G565">
        <f>IF(FME_Ranking!F565="Yes",100,0)</f>
        <v>0</v>
      </c>
      <c r="H565">
        <f>FME_Ranking1[[#This Row],[Emergency Need Score (Normalized, Unweighted)]]*$F$3</f>
        <v>0</v>
      </c>
      <c r="I565" s="246">
        <f>_xlfn.XLOOKUP(FME_Ranking1[[#This Row],[FME ID]],FME_Input[FME_ID],FME_Input[STRUCT_100])</f>
        <v>968</v>
      </c>
      <c r="J565" s="178">
        <f>(FME_Ranking1[[#This Row],[Structures 100 Raw]]/I$2)*100</f>
        <v>0.51835668080366704</v>
      </c>
      <c r="K565" s="178">
        <f>FME_Ranking1[[#This Row],[Structures 100  Score (Normalized, Unweighted)]]*$I$3</f>
        <v>7.7753502120550058E-2</v>
      </c>
      <c r="L565" s="246">
        <f>_xlfn.XLOOKUP(FME_Ranking1[[#This Row],[FME ID]],FME_Input[FME_ID],FME_Input[RES_STRUCT100])</f>
        <v>526</v>
      </c>
      <c r="M565" s="230">
        <f>(FME_Ranking1[[#This Row],[Res Structures Raw]]/L$2)*100</f>
        <v>0.37256874105764187</v>
      </c>
      <c r="N565" s="180">
        <f>FME_Ranking1[[#This Row],[Res Structures Score (Normalized, Unweighted)]]*$L$3</f>
        <v>3.7256874105764191E-2</v>
      </c>
      <c r="O565" s="244">
        <f>_xlfn.XLOOKUP(FME_Ranking1[[#This Row],[FME ID]],FME_Input[FME_ID],FME_Input[POP100])</f>
        <v>1310</v>
      </c>
      <c r="P565" s="178">
        <f>(FME_Ranking1[[#This Row],[Pop Raw]]/$O$2)*100</f>
        <v>0.13411165870527991</v>
      </c>
      <c r="Q565" s="178">
        <f>FME_Ranking1[[#This Row],[Pop Score (Normalized, Unweighted)]]*$O$3</f>
        <v>2.0116748805791985E-2</v>
      </c>
      <c r="R565" s="137">
        <f>_xlfn.XLOOKUP(FME_Ranking1[[#This Row],[FME ID]],FME_Input[FME_ID],FME_Input[CRITFAC100])</f>
        <v>4</v>
      </c>
      <c r="S565" s="230">
        <f>(FME_Ranking1[[#This Row],[Critical Facilities Raw]]/$R$2)*100</f>
        <v>0.17152658662092624</v>
      </c>
      <c r="T565" s="180">
        <f>FME_Ranking1[[#This Row],[Critical Facilities Score (Normalized, Unweighted)]]*$R$3</f>
        <v>3.430531732418525E-2</v>
      </c>
      <c r="U565">
        <f>_xlfn.XLOOKUP(FME_Ranking1[[#This Row],[FME ID]],FME_Input[FME_ID],FME_Input[LWC])</f>
        <v>2</v>
      </c>
      <c r="V565" s="178">
        <f>(FME_Ranking1[[#This Row],[LWC Raw]]/$U$2)*100</f>
        <v>0.11514104778353484</v>
      </c>
      <c r="W565" s="178">
        <f>FME_Ranking1[[#This Row],[LWC Score (Normalized, Unweighted)]]*$U$3</f>
        <v>2.302820955670697E-2</v>
      </c>
      <c r="X565" s="246">
        <f>_xlfn.XLOOKUP(FME_Ranking1[[#This Row],[FME ID]],FME_Input[FME_ID],FME_Input[ROADCLS])</f>
        <v>0</v>
      </c>
      <c r="Y565" s="230">
        <f>(FME_Ranking1[[#This Row],[Closures Raw]]/$X$2)*100</f>
        <v>0</v>
      </c>
      <c r="Z565" s="180">
        <f>FME_Ranking1[[#This Row],[Closures Score (Normalized, Unweighted)]]*$X$3</f>
        <v>0</v>
      </c>
      <c r="AA565" s="253">
        <f>_xlfn.XLOOKUP(FME_Ranking1[[#This Row],[FME ID]],FME_Input[FME_ID],FME_Input[ROAD_MILES100])</f>
        <v>130.4964294433594</v>
      </c>
      <c r="AB565" s="178">
        <f>(FME_Ranking1[[#This Row],[Miles Raw]]/$AA$2)*100</f>
        <v>1.7157939908459467</v>
      </c>
      <c r="AC565" s="178">
        <f>FME_Ranking1[[#This Row],[Miles Score (Normalized, Unweighted)]]*$AA$3</f>
        <v>0.17157939908459469</v>
      </c>
      <c r="AD565" s="255">
        <f>_xlfn.XLOOKUP(FME_Ranking1[[#This Row],[FME ID]],FME_Input[FME_ID],FME_Input[FARMACRE100])</f>
        <v>33293.21875</v>
      </c>
      <c r="AE565" s="230">
        <f>(FME_Ranking1[[#This Row],[Ag Land Raw]]/$AD$2)*100</f>
        <v>1.3728633040334322</v>
      </c>
      <c r="AF565" s="231">
        <f>FME_Ranking1[[#This Row],[Ag Land Score (Normalized, Unweighted)]]*$AD$3</f>
        <v>6.8643165201671616E-2</v>
      </c>
      <c r="AG56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0.43268321619926475</v>
      </c>
      <c r="AH565" s="406">
        <f t="shared" si="8"/>
        <v>493</v>
      </c>
      <c r="AI56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0.43268321619926475</v>
      </c>
      <c r="AJ565" s="257">
        <f>FME_Ranking1[[#This Row],[Addition check]]-FME_Ranking1[[#This Row],[Weighted Score Based on Normalized Reported Factors]]</f>
        <v>0</v>
      </c>
      <c r="AK565" s="178">
        <f>_xlfn.RANK.EQ(AI565,$AI$6:$AI$2341,0)+COUNTIF($AI$6:AI565,AI565)-1</f>
        <v>495</v>
      </c>
    </row>
    <row r="566" spans="1:37" x14ac:dyDescent="0.25">
      <c r="A566" t="s">
        <v>6793</v>
      </c>
      <c r="B566">
        <f>_xlfn.XLOOKUP(FME_Ranking1[[#This Row],[FME ID]],FME_Input[FME_ID],FME_Input[RFPG_NUM])</f>
        <v>7</v>
      </c>
      <c r="C566" t="str">
        <f>_xlfn.XLOOKUP(FME_Ranking1[[#This Row],[FME ID]],FME_Input[FME_ID],FME_Input[FME_NAME])</f>
        <v>Lake Benjamin Dam Evaluation</v>
      </c>
      <c r="D566" t="str">
        <f>_xlfn.XLOOKUP(FME_Ranking1[[#This Row],[FME ID]],FME_Input[FME_ID],FME_Input[DESCR])</f>
        <v>Perform full H&amp;H analysis and dam assessment of Lake Benjamin Dam. Assess needs for slope stability and spillway improvements.</v>
      </c>
      <c r="E566" s="256">
        <f>_xlfn.XLOOKUP(FME_Ranking1[[#This Row],[FME ID]],FME_Input[FME_ID],FME_Input[FME_COST])</f>
        <v>58000</v>
      </c>
      <c r="F566" t="str">
        <f>_xlfn.XLOOKUP(FME_Ranking1[[#This Row],[FME ID]],FME_Input[FME_ID],FME_Input[EMER_NEED])</f>
        <v>No</v>
      </c>
      <c r="G566">
        <f>IF(FME_Ranking!F566="Yes",100,0)</f>
        <v>0</v>
      </c>
      <c r="H566">
        <f>FME_Ranking1[[#This Row],[Emergency Need Score (Normalized, Unweighted)]]*$F$3</f>
        <v>0</v>
      </c>
      <c r="I566" s="246">
        <f>_xlfn.XLOOKUP(FME_Ranking1[[#This Row],[FME ID]],FME_Input[FME_ID],FME_Input[STRUCT_100])</f>
        <v>968</v>
      </c>
      <c r="J566" s="178">
        <f>(FME_Ranking1[[#This Row],[Structures 100 Raw]]/I$2)*100</f>
        <v>0.51835668080366704</v>
      </c>
      <c r="K566" s="178">
        <f>FME_Ranking1[[#This Row],[Structures 100  Score (Normalized, Unweighted)]]*$I$3</f>
        <v>7.7753502120550058E-2</v>
      </c>
      <c r="L566" s="246">
        <f>_xlfn.XLOOKUP(FME_Ranking1[[#This Row],[FME ID]],FME_Input[FME_ID],FME_Input[RES_STRUCT100])</f>
        <v>526</v>
      </c>
      <c r="M566" s="230">
        <f>(FME_Ranking1[[#This Row],[Res Structures Raw]]/L$2)*100</f>
        <v>0.37256874105764187</v>
      </c>
      <c r="N566" s="180">
        <f>FME_Ranking1[[#This Row],[Res Structures Score (Normalized, Unweighted)]]*$L$3</f>
        <v>3.7256874105764191E-2</v>
      </c>
      <c r="O566" s="244">
        <f>_xlfn.XLOOKUP(FME_Ranking1[[#This Row],[FME ID]],FME_Input[FME_ID],FME_Input[POP100])</f>
        <v>1310</v>
      </c>
      <c r="P566" s="178">
        <f>(FME_Ranking1[[#This Row],[Pop Raw]]/$O$2)*100</f>
        <v>0.13411165870527991</v>
      </c>
      <c r="Q566" s="178">
        <f>FME_Ranking1[[#This Row],[Pop Score (Normalized, Unweighted)]]*$O$3</f>
        <v>2.0116748805791985E-2</v>
      </c>
      <c r="R566" s="137">
        <f>_xlfn.XLOOKUP(FME_Ranking1[[#This Row],[FME ID]],FME_Input[FME_ID],FME_Input[CRITFAC100])</f>
        <v>4</v>
      </c>
      <c r="S566" s="230">
        <f>(FME_Ranking1[[#This Row],[Critical Facilities Raw]]/$R$2)*100</f>
        <v>0.17152658662092624</v>
      </c>
      <c r="T566" s="180">
        <f>FME_Ranking1[[#This Row],[Critical Facilities Score (Normalized, Unweighted)]]*$R$3</f>
        <v>3.430531732418525E-2</v>
      </c>
      <c r="U566">
        <f>_xlfn.XLOOKUP(FME_Ranking1[[#This Row],[FME ID]],FME_Input[FME_ID],FME_Input[LWC])</f>
        <v>2</v>
      </c>
      <c r="V566" s="178">
        <f>(FME_Ranking1[[#This Row],[LWC Raw]]/$U$2)*100</f>
        <v>0.11514104778353484</v>
      </c>
      <c r="W566" s="178">
        <f>FME_Ranking1[[#This Row],[LWC Score (Normalized, Unweighted)]]*$U$3</f>
        <v>2.302820955670697E-2</v>
      </c>
      <c r="X566" s="246">
        <f>_xlfn.XLOOKUP(FME_Ranking1[[#This Row],[FME ID]],FME_Input[FME_ID],FME_Input[ROADCLS])</f>
        <v>0</v>
      </c>
      <c r="Y566" s="230">
        <f>(FME_Ranking1[[#This Row],[Closures Raw]]/$X$2)*100</f>
        <v>0</v>
      </c>
      <c r="Z566" s="180">
        <f>FME_Ranking1[[#This Row],[Closures Score (Normalized, Unweighted)]]*$X$3</f>
        <v>0</v>
      </c>
      <c r="AA566" s="253">
        <f>_xlfn.XLOOKUP(FME_Ranking1[[#This Row],[FME ID]],FME_Input[FME_ID],FME_Input[ROAD_MILES100])</f>
        <v>130.4964294433594</v>
      </c>
      <c r="AB566" s="178">
        <f>(FME_Ranking1[[#This Row],[Miles Raw]]/$AA$2)*100</f>
        <v>1.7157939908459467</v>
      </c>
      <c r="AC566" s="178">
        <f>FME_Ranking1[[#This Row],[Miles Score (Normalized, Unweighted)]]*$AA$3</f>
        <v>0.17157939908459469</v>
      </c>
      <c r="AD566" s="255">
        <f>_xlfn.XLOOKUP(FME_Ranking1[[#This Row],[FME ID]],FME_Input[FME_ID],FME_Input[FARMACRE100])</f>
        <v>33293.21875</v>
      </c>
      <c r="AE566" s="230">
        <f>(FME_Ranking1[[#This Row],[Ag Land Raw]]/$AD$2)*100</f>
        <v>1.3728633040334322</v>
      </c>
      <c r="AF566" s="231">
        <f>FME_Ranking1[[#This Row],[Ag Land Score (Normalized, Unweighted)]]*$AD$3</f>
        <v>6.8643165201671616E-2</v>
      </c>
      <c r="AG56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0.43268321619926475</v>
      </c>
      <c r="AH566" s="406">
        <f t="shared" si="8"/>
        <v>493</v>
      </c>
      <c r="AI56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0.43268321619926475</v>
      </c>
      <c r="AJ566" s="257">
        <f>FME_Ranking1[[#This Row],[Addition check]]-FME_Ranking1[[#This Row],[Weighted Score Based on Normalized Reported Factors]]</f>
        <v>0</v>
      </c>
      <c r="AK566" s="178">
        <f>_xlfn.RANK.EQ(AI566,$AI$6:$AI$2341,0)+COUNTIF($AI$6:AI566,AI566)-1</f>
        <v>496</v>
      </c>
    </row>
    <row r="567" spans="1:37" x14ac:dyDescent="0.25">
      <c r="A567" t="s">
        <v>7259</v>
      </c>
      <c r="B567">
        <f>_xlfn.XLOOKUP(FME_Ranking1[[#This Row],[FME ID]],FME_Input[FME_ID],FME_Input[RFPG_NUM])</f>
        <v>7</v>
      </c>
      <c r="C567" t="str">
        <f>_xlfn.XLOOKUP(FME_Ranking1[[#This Row],[FME ID]],FME_Input[FME_ID],FME_Input[FME_NAME])</f>
        <v>Knox County Tax Incentive Program</v>
      </c>
      <c r="D567" t="str">
        <f>_xlfn.XLOOKUP(FME_Ranking1[[#This Row],[FME ID]],FME_Input[FME_ID],FME_Input[DESCR])</f>
        <v>Consider providing tax incentives for development of low-hazard land parcels.</v>
      </c>
      <c r="E567" s="256">
        <f>_xlfn.XLOOKUP(FME_Ranking1[[#This Row],[FME ID]],FME_Input[FME_ID],FME_Input[FME_COST])</f>
        <v>25000</v>
      </c>
      <c r="F567" t="str">
        <f>_xlfn.XLOOKUP(FME_Ranking1[[#This Row],[FME ID]],FME_Input[FME_ID],FME_Input[EMER_NEED])</f>
        <v>No</v>
      </c>
      <c r="G567">
        <f>IF(FME_Ranking!F567="Yes",100,0)</f>
        <v>0</v>
      </c>
      <c r="H567">
        <f>FME_Ranking1[[#This Row],[Emergency Need Score (Normalized, Unweighted)]]*$F$3</f>
        <v>0</v>
      </c>
      <c r="I567" s="246">
        <f>_xlfn.XLOOKUP(FME_Ranking1[[#This Row],[FME ID]],FME_Input[FME_ID],FME_Input[STRUCT_100])</f>
        <v>968</v>
      </c>
      <c r="J567" s="178">
        <f>(FME_Ranking1[[#This Row],[Structures 100 Raw]]/I$2)*100</f>
        <v>0.51835668080366704</v>
      </c>
      <c r="K567" s="178">
        <f>FME_Ranking1[[#This Row],[Structures 100  Score (Normalized, Unweighted)]]*$I$3</f>
        <v>7.7753502120550058E-2</v>
      </c>
      <c r="L567" s="246">
        <f>_xlfn.XLOOKUP(FME_Ranking1[[#This Row],[FME ID]],FME_Input[FME_ID],FME_Input[RES_STRUCT100])</f>
        <v>526</v>
      </c>
      <c r="M567" s="230">
        <f>(FME_Ranking1[[#This Row],[Res Structures Raw]]/L$2)*100</f>
        <v>0.37256874105764187</v>
      </c>
      <c r="N567" s="180">
        <f>FME_Ranking1[[#This Row],[Res Structures Score (Normalized, Unweighted)]]*$L$3</f>
        <v>3.7256874105764191E-2</v>
      </c>
      <c r="O567" s="244">
        <f>_xlfn.XLOOKUP(FME_Ranking1[[#This Row],[FME ID]],FME_Input[FME_ID],FME_Input[POP100])</f>
        <v>1310</v>
      </c>
      <c r="P567" s="178">
        <f>(FME_Ranking1[[#This Row],[Pop Raw]]/$O$2)*100</f>
        <v>0.13411165870527991</v>
      </c>
      <c r="Q567" s="178">
        <f>FME_Ranking1[[#This Row],[Pop Score (Normalized, Unweighted)]]*$O$3</f>
        <v>2.0116748805791985E-2</v>
      </c>
      <c r="R567" s="137">
        <f>_xlfn.XLOOKUP(FME_Ranking1[[#This Row],[FME ID]],FME_Input[FME_ID],FME_Input[CRITFAC100])</f>
        <v>4</v>
      </c>
      <c r="S567" s="230">
        <f>(FME_Ranking1[[#This Row],[Critical Facilities Raw]]/$R$2)*100</f>
        <v>0.17152658662092624</v>
      </c>
      <c r="T567" s="180">
        <f>FME_Ranking1[[#This Row],[Critical Facilities Score (Normalized, Unweighted)]]*$R$3</f>
        <v>3.430531732418525E-2</v>
      </c>
      <c r="U567">
        <f>_xlfn.XLOOKUP(FME_Ranking1[[#This Row],[FME ID]],FME_Input[FME_ID],FME_Input[LWC])</f>
        <v>2</v>
      </c>
      <c r="V567" s="178">
        <f>(FME_Ranking1[[#This Row],[LWC Raw]]/$U$2)*100</f>
        <v>0.11514104778353484</v>
      </c>
      <c r="W567" s="178">
        <f>FME_Ranking1[[#This Row],[LWC Score (Normalized, Unweighted)]]*$U$3</f>
        <v>2.302820955670697E-2</v>
      </c>
      <c r="X567" s="246">
        <f>_xlfn.XLOOKUP(FME_Ranking1[[#This Row],[FME ID]],FME_Input[FME_ID],FME_Input[ROADCLS])</f>
        <v>0</v>
      </c>
      <c r="Y567" s="230">
        <f>(FME_Ranking1[[#This Row],[Closures Raw]]/$X$2)*100</f>
        <v>0</v>
      </c>
      <c r="Z567" s="180">
        <f>FME_Ranking1[[#This Row],[Closures Score (Normalized, Unweighted)]]*$X$3</f>
        <v>0</v>
      </c>
      <c r="AA567" s="253">
        <f>_xlfn.XLOOKUP(FME_Ranking1[[#This Row],[FME ID]],FME_Input[FME_ID],FME_Input[ROAD_MILES100])</f>
        <v>130.4964294433594</v>
      </c>
      <c r="AB567" s="178">
        <f>(FME_Ranking1[[#This Row],[Miles Raw]]/$AA$2)*100</f>
        <v>1.7157939908459467</v>
      </c>
      <c r="AC567" s="178">
        <f>FME_Ranking1[[#This Row],[Miles Score (Normalized, Unweighted)]]*$AA$3</f>
        <v>0.17157939908459469</v>
      </c>
      <c r="AD567" s="255">
        <f>_xlfn.XLOOKUP(FME_Ranking1[[#This Row],[FME ID]],FME_Input[FME_ID],FME_Input[FARMACRE100])</f>
        <v>33293.21875</v>
      </c>
      <c r="AE567" s="230">
        <f>(FME_Ranking1[[#This Row],[Ag Land Raw]]/$AD$2)*100</f>
        <v>1.3728633040334322</v>
      </c>
      <c r="AF567" s="231">
        <f>FME_Ranking1[[#This Row],[Ag Land Score (Normalized, Unweighted)]]*$AD$3</f>
        <v>6.8643165201671616E-2</v>
      </c>
      <c r="AG56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0.43268321619926475</v>
      </c>
      <c r="AH567" s="406">
        <f t="shared" si="8"/>
        <v>493</v>
      </c>
      <c r="AI56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0.43268321619926475</v>
      </c>
      <c r="AJ567" s="257">
        <f>FME_Ranking1[[#This Row],[Addition check]]-FME_Ranking1[[#This Row],[Weighted Score Based on Normalized Reported Factors]]</f>
        <v>0</v>
      </c>
      <c r="AK567" s="178">
        <f>_xlfn.RANK.EQ(AI567,$AI$6:$AI$2341,0)+COUNTIF($AI$6:AI567,AI567)-1</f>
        <v>497</v>
      </c>
    </row>
    <row r="568" spans="1:37" x14ac:dyDescent="0.25">
      <c r="A568" t="s">
        <v>7262</v>
      </c>
      <c r="B568">
        <f>_xlfn.XLOOKUP(FME_Ranking1[[#This Row],[FME ID]],FME_Input[FME_ID],FME_Input[RFPG_NUM])</f>
        <v>7</v>
      </c>
      <c r="C568" t="str">
        <f>_xlfn.XLOOKUP(FME_Ranking1[[#This Row],[FME ID]],FME_Input[FME_ID],FME_Input[FME_NAME])</f>
        <v>Knox County DCM</v>
      </c>
      <c r="D568" t="str">
        <f>_xlfn.XLOOKUP(FME_Ranking1[[#This Row],[FME ID]],FME_Input[FME_ID],FME_Input[DESCR])</f>
        <v>Consider stormwater criteria for infrastructure and floodplain ordinances to avoid new exposure to flood hazards.</v>
      </c>
      <c r="E568" s="256">
        <f>_xlfn.XLOOKUP(FME_Ranking1[[#This Row],[FME ID]],FME_Input[FME_ID],FME_Input[FME_COST])</f>
        <v>100000</v>
      </c>
      <c r="F568" t="str">
        <f>_xlfn.XLOOKUP(FME_Ranking1[[#This Row],[FME ID]],FME_Input[FME_ID],FME_Input[EMER_NEED])</f>
        <v>No</v>
      </c>
      <c r="G568">
        <f>IF(FME_Ranking!F568="Yes",100,0)</f>
        <v>0</v>
      </c>
      <c r="H568">
        <f>FME_Ranking1[[#This Row],[Emergency Need Score (Normalized, Unweighted)]]*$F$3</f>
        <v>0</v>
      </c>
      <c r="I568" s="246">
        <f>_xlfn.XLOOKUP(FME_Ranking1[[#This Row],[FME ID]],FME_Input[FME_ID],FME_Input[STRUCT_100])</f>
        <v>968</v>
      </c>
      <c r="J568" s="178">
        <f>(FME_Ranking1[[#This Row],[Structures 100 Raw]]/I$2)*100</f>
        <v>0.51835668080366704</v>
      </c>
      <c r="K568" s="178">
        <f>FME_Ranking1[[#This Row],[Structures 100  Score (Normalized, Unweighted)]]*$I$3</f>
        <v>7.7753502120550058E-2</v>
      </c>
      <c r="L568" s="246">
        <f>_xlfn.XLOOKUP(FME_Ranking1[[#This Row],[FME ID]],FME_Input[FME_ID],FME_Input[RES_STRUCT100])</f>
        <v>526</v>
      </c>
      <c r="M568" s="230">
        <f>(FME_Ranking1[[#This Row],[Res Structures Raw]]/L$2)*100</f>
        <v>0.37256874105764187</v>
      </c>
      <c r="N568" s="180">
        <f>FME_Ranking1[[#This Row],[Res Structures Score (Normalized, Unweighted)]]*$L$3</f>
        <v>3.7256874105764191E-2</v>
      </c>
      <c r="O568" s="244">
        <f>_xlfn.XLOOKUP(FME_Ranking1[[#This Row],[FME ID]],FME_Input[FME_ID],FME_Input[POP100])</f>
        <v>1310</v>
      </c>
      <c r="P568" s="178">
        <f>(FME_Ranking1[[#This Row],[Pop Raw]]/$O$2)*100</f>
        <v>0.13411165870527991</v>
      </c>
      <c r="Q568" s="178">
        <f>FME_Ranking1[[#This Row],[Pop Score (Normalized, Unweighted)]]*$O$3</f>
        <v>2.0116748805791985E-2</v>
      </c>
      <c r="R568" s="137">
        <f>_xlfn.XLOOKUP(FME_Ranking1[[#This Row],[FME ID]],FME_Input[FME_ID],FME_Input[CRITFAC100])</f>
        <v>4</v>
      </c>
      <c r="S568" s="230">
        <f>(FME_Ranking1[[#This Row],[Critical Facilities Raw]]/$R$2)*100</f>
        <v>0.17152658662092624</v>
      </c>
      <c r="T568" s="180">
        <f>FME_Ranking1[[#This Row],[Critical Facilities Score (Normalized, Unweighted)]]*$R$3</f>
        <v>3.430531732418525E-2</v>
      </c>
      <c r="U568">
        <f>_xlfn.XLOOKUP(FME_Ranking1[[#This Row],[FME ID]],FME_Input[FME_ID],FME_Input[LWC])</f>
        <v>2</v>
      </c>
      <c r="V568" s="178">
        <f>(FME_Ranking1[[#This Row],[LWC Raw]]/$U$2)*100</f>
        <v>0.11514104778353484</v>
      </c>
      <c r="W568" s="178">
        <f>FME_Ranking1[[#This Row],[LWC Score (Normalized, Unweighted)]]*$U$3</f>
        <v>2.302820955670697E-2</v>
      </c>
      <c r="X568" s="246">
        <f>_xlfn.XLOOKUP(FME_Ranking1[[#This Row],[FME ID]],FME_Input[FME_ID],FME_Input[ROADCLS])</f>
        <v>0</v>
      </c>
      <c r="Y568" s="230">
        <f>(FME_Ranking1[[#This Row],[Closures Raw]]/$X$2)*100</f>
        <v>0</v>
      </c>
      <c r="Z568" s="180">
        <f>FME_Ranking1[[#This Row],[Closures Score (Normalized, Unweighted)]]*$X$3</f>
        <v>0</v>
      </c>
      <c r="AA568" s="253">
        <f>_xlfn.XLOOKUP(FME_Ranking1[[#This Row],[FME ID]],FME_Input[FME_ID],FME_Input[ROAD_MILES100])</f>
        <v>130.4964294433594</v>
      </c>
      <c r="AB568" s="178">
        <f>(FME_Ranking1[[#This Row],[Miles Raw]]/$AA$2)*100</f>
        <v>1.7157939908459467</v>
      </c>
      <c r="AC568" s="178">
        <f>FME_Ranking1[[#This Row],[Miles Score (Normalized, Unweighted)]]*$AA$3</f>
        <v>0.17157939908459469</v>
      </c>
      <c r="AD568" s="255">
        <f>_xlfn.XLOOKUP(FME_Ranking1[[#This Row],[FME ID]],FME_Input[FME_ID],FME_Input[FARMACRE100])</f>
        <v>33293.21875</v>
      </c>
      <c r="AE568" s="230">
        <f>(FME_Ranking1[[#This Row],[Ag Land Raw]]/$AD$2)*100</f>
        <v>1.3728633040334322</v>
      </c>
      <c r="AF568" s="231">
        <f>FME_Ranking1[[#This Row],[Ag Land Score (Normalized, Unweighted)]]*$AD$3</f>
        <v>6.8643165201671616E-2</v>
      </c>
      <c r="AG56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0.43268321619926475</v>
      </c>
      <c r="AH568" s="406">
        <f t="shared" si="8"/>
        <v>493</v>
      </c>
      <c r="AI56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0.43268321619926475</v>
      </c>
      <c r="AJ568" s="257">
        <f>FME_Ranking1[[#This Row],[Addition check]]-FME_Ranking1[[#This Row],[Weighted Score Based on Normalized Reported Factors]]</f>
        <v>0</v>
      </c>
      <c r="AK568" s="178">
        <f>_xlfn.RANK.EQ(AI568,$AI$6:$AI$2341,0)+COUNTIF($AI$6:AI568,AI568)-1</f>
        <v>498</v>
      </c>
    </row>
    <row r="569" spans="1:37" x14ac:dyDescent="0.25">
      <c r="A569" t="s">
        <v>7264</v>
      </c>
      <c r="B569">
        <f>_xlfn.XLOOKUP(FME_Ranking1[[#This Row],[FME ID]],FME_Input[FME_ID],FME_Input[RFPG_NUM])</f>
        <v>7</v>
      </c>
      <c r="C569" t="str">
        <f>_xlfn.XLOOKUP(FME_Ranking1[[#This Row],[FME ID]],FME_Input[FME_ID],FME_Input[FME_NAME])</f>
        <v>Knox Flood Protection Lift Station Program</v>
      </c>
      <c r="D569" t="str">
        <f>_xlfn.XLOOKUP(FME_Ranking1[[#This Row],[FME ID]],FME_Input[FME_ID],FME_Input[DESCR])</f>
        <v>Flood-proof sewage treatment plants in flood hazard / low-lying areas.</v>
      </c>
      <c r="E569" s="256">
        <f>_xlfn.XLOOKUP(FME_Ranking1[[#This Row],[FME ID]],FME_Input[FME_ID],FME_Input[FME_COST])</f>
        <v>100000</v>
      </c>
      <c r="F569" t="str">
        <f>_xlfn.XLOOKUP(FME_Ranking1[[#This Row],[FME ID]],FME_Input[FME_ID],FME_Input[EMER_NEED])</f>
        <v>No</v>
      </c>
      <c r="G569">
        <f>IF(FME_Ranking!F569="Yes",100,0)</f>
        <v>0</v>
      </c>
      <c r="H569">
        <f>FME_Ranking1[[#This Row],[Emergency Need Score (Normalized, Unweighted)]]*$F$3</f>
        <v>0</v>
      </c>
      <c r="I569" s="246">
        <f>_xlfn.XLOOKUP(FME_Ranking1[[#This Row],[FME ID]],FME_Input[FME_ID],FME_Input[STRUCT_100])</f>
        <v>968</v>
      </c>
      <c r="J569" s="178">
        <f>(FME_Ranking1[[#This Row],[Structures 100 Raw]]/I$2)*100</f>
        <v>0.51835668080366704</v>
      </c>
      <c r="K569" s="178">
        <f>FME_Ranking1[[#This Row],[Structures 100  Score (Normalized, Unweighted)]]*$I$3</f>
        <v>7.7753502120550058E-2</v>
      </c>
      <c r="L569" s="246">
        <f>_xlfn.XLOOKUP(FME_Ranking1[[#This Row],[FME ID]],FME_Input[FME_ID],FME_Input[RES_STRUCT100])</f>
        <v>526</v>
      </c>
      <c r="M569" s="230">
        <f>(FME_Ranking1[[#This Row],[Res Structures Raw]]/L$2)*100</f>
        <v>0.37256874105764187</v>
      </c>
      <c r="N569" s="180">
        <f>FME_Ranking1[[#This Row],[Res Structures Score (Normalized, Unweighted)]]*$L$3</f>
        <v>3.7256874105764191E-2</v>
      </c>
      <c r="O569" s="244">
        <f>_xlfn.XLOOKUP(FME_Ranking1[[#This Row],[FME ID]],FME_Input[FME_ID],FME_Input[POP100])</f>
        <v>1310</v>
      </c>
      <c r="P569" s="178">
        <f>(FME_Ranking1[[#This Row],[Pop Raw]]/$O$2)*100</f>
        <v>0.13411165870527991</v>
      </c>
      <c r="Q569" s="178">
        <f>FME_Ranking1[[#This Row],[Pop Score (Normalized, Unweighted)]]*$O$3</f>
        <v>2.0116748805791985E-2</v>
      </c>
      <c r="R569" s="137">
        <f>_xlfn.XLOOKUP(FME_Ranking1[[#This Row],[FME ID]],FME_Input[FME_ID],FME_Input[CRITFAC100])</f>
        <v>4</v>
      </c>
      <c r="S569" s="230">
        <f>(FME_Ranking1[[#This Row],[Critical Facilities Raw]]/$R$2)*100</f>
        <v>0.17152658662092624</v>
      </c>
      <c r="T569" s="180">
        <f>FME_Ranking1[[#This Row],[Critical Facilities Score (Normalized, Unweighted)]]*$R$3</f>
        <v>3.430531732418525E-2</v>
      </c>
      <c r="U569">
        <f>_xlfn.XLOOKUP(FME_Ranking1[[#This Row],[FME ID]],FME_Input[FME_ID],FME_Input[LWC])</f>
        <v>2</v>
      </c>
      <c r="V569" s="178">
        <f>(FME_Ranking1[[#This Row],[LWC Raw]]/$U$2)*100</f>
        <v>0.11514104778353484</v>
      </c>
      <c r="W569" s="178">
        <f>FME_Ranking1[[#This Row],[LWC Score (Normalized, Unweighted)]]*$U$3</f>
        <v>2.302820955670697E-2</v>
      </c>
      <c r="X569" s="246">
        <f>_xlfn.XLOOKUP(FME_Ranking1[[#This Row],[FME ID]],FME_Input[FME_ID],FME_Input[ROADCLS])</f>
        <v>0</v>
      </c>
      <c r="Y569" s="230">
        <f>(FME_Ranking1[[#This Row],[Closures Raw]]/$X$2)*100</f>
        <v>0</v>
      </c>
      <c r="Z569" s="180">
        <f>FME_Ranking1[[#This Row],[Closures Score (Normalized, Unweighted)]]*$X$3</f>
        <v>0</v>
      </c>
      <c r="AA569" s="253">
        <f>_xlfn.XLOOKUP(FME_Ranking1[[#This Row],[FME ID]],FME_Input[FME_ID],FME_Input[ROAD_MILES100])</f>
        <v>130.4964294433594</v>
      </c>
      <c r="AB569" s="178">
        <f>(FME_Ranking1[[#This Row],[Miles Raw]]/$AA$2)*100</f>
        <v>1.7157939908459467</v>
      </c>
      <c r="AC569" s="178">
        <f>FME_Ranking1[[#This Row],[Miles Score (Normalized, Unweighted)]]*$AA$3</f>
        <v>0.17157939908459469</v>
      </c>
      <c r="AD569" s="255">
        <f>_xlfn.XLOOKUP(FME_Ranking1[[#This Row],[FME ID]],FME_Input[FME_ID],FME_Input[FARMACRE100])</f>
        <v>33293.21875</v>
      </c>
      <c r="AE569" s="230">
        <f>(FME_Ranking1[[#This Row],[Ag Land Raw]]/$AD$2)*100</f>
        <v>1.3728633040334322</v>
      </c>
      <c r="AF569" s="231">
        <f>FME_Ranking1[[#This Row],[Ag Land Score (Normalized, Unweighted)]]*$AD$3</f>
        <v>6.8643165201671616E-2</v>
      </c>
      <c r="AG56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0.43268321619926475</v>
      </c>
      <c r="AH569" s="406">
        <f t="shared" si="8"/>
        <v>493</v>
      </c>
      <c r="AI56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0.43268321619926475</v>
      </c>
      <c r="AJ569" s="257">
        <f>FME_Ranking1[[#This Row],[Addition check]]-FME_Ranking1[[#This Row],[Weighted Score Based on Normalized Reported Factors]]</f>
        <v>0</v>
      </c>
      <c r="AK569" s="178">
        <f>_xlfn.RANK.EQ(AI569,$AI$6:$AI$2341,0)+COUNTIF($AI$6:AI569,AI569)-1</f>
        <v>499</v>
      </c>
    </row>
    <row r="570" spans="1:37" x14ac:dyDescent="0.25">
      <c r="A570" t="s">
        <v>7266</v>
      </c>
      <c r="B570">
        <f>_xlfn.XLOOKUP(FME_Ranking1[[#This Row],[FME ID]],FME_Input[FME_ID],FME_Input[RFPG_NUM])</f>
        <v>7</v>
      </c>
      <c r="C570" t="str">
        <f>_xlfn.XLOOKUP(FME_Ranking1[[#This Row],[FME ID]],FME_Input[FME_ID],FME_Input[FME_NAME])</f>
        <v>Knox County Relocate Critical Facilities High Hazard</v>
      </c>
      <c r="D570" t="str">
        <f>_xlfn.XLOOKUP(FME_Ranking1[[#This Row],[FME ID]],FME_Input[FME_ID],FME_Input[DESCR])</f>
        <v>Relocate critical facilities out of high hazard areas.</v>
      </c>
      <c r="E570" s="256">
        <f>_xlfn.XLOOKUP(FME_Ranking1[[#This Row],[FME ID]],FME_Input[FME_ID],FME_Input[FME_COST])</f>
        <v>2000000</v>
      </c>
      <c r="F570" t="str">
        <f>_xlfn.XLOOKUP(FME_Ranking1[[#This Row],[FME ID]],FME_Input[FME_ID],FME_Input[EMER_NEED])</f>
        <v>No</v>
      </c>
      <c r="G570">
        <f>IF(FME_Ranking!F570="Yes",100,0)</f>
        <v>0</v>
      </c>
      <c r="H570">
        <f>FME_Ranking1[[#This Row],[Emergency Need Score (Normalized, Unweighted)]]*$F$3</f>
        <v>0</v>
      </c>
      <c r="I570" s="246">
        <f>_xlfn.XLOOKUP(FME_Ranking1[[#This Row],[FME ID]],FME_Input[FME_ID],FME_Input[STRUCT_100])</f>
        <v>968</v>
      </c>
      <c r="J570" s="178">
        <f>(FME_Ranking1[[#This Row],[Structures 100 Raw]]/I$2)*100</f>
        <v>0.51835668080366704</v>
      </c>
      <c r="K570" s="178">
        <f>FME_Ranking1[[#This Row],[Structures 100  Score (Normalized, Unweighted)]]*$I$3</f>
        <v>7.7753502120550058E-2</v>
      </c>
      <c r="L570" s="246">
        <f>_xlfn.XLOOKUP(FME_Ranking1[[#This Row],[FME ID]],FME_Input[FME_ID],FME_Input[RES_STRUCT100])</f>
        <v>526</v>
      </c>
      <c r="M570" s="230">
        <f>(FME_Ranking1[[#This Row],[Res Structures Raw]]/L$2)*100</f>
        <v>0.37256874105764187</v>
      </c>
      <c r="N570" s="180">
        <f>FME_Ranking1[[#This Row],[Res Structures Score (Normalized, Unweighted)]]*$L$3</f>
        <v>3.7256874105764191E-2</v>
      </c>
      <c r="O570" s="244">
        <f>_xlfn.XLOOKUP(FME_Ranking1[[#This Row],[FME ID]],FME_Input[FME_ID],FME_Input[POP100])</f>
        <v>1310</v>
      </c>
      <c r="P570" s="178">
        <f>(FME_Ranking1[[#This Row],[Pop Raw]]/$O$2)*100</f>
        <v>0.13411165870527991</v>
      </c>
      <c r="Q570" s="178">
        <f>FME_Ranking1[[#This Row],[Pop Score (Normalized, Unweighted)]]*$O$3</f>
        <v>2.0116748805791985E-2</v>
      </c>
      <c r="R570" s="137">
        <f>_xlfn.XLOOKUP(FME_Ranking1[[#This Row],[FME ID]],FME_Input[FME_ID],FME_Input[CRITFAC100])</f>
        <v>4</v>
      </c>
      <c r="S570" s="230">
        <f>(FME_Ranking1[[#This Row],[Critical Facilities Raw]]/$R$2)*100</f>
        <v>0.17152658662092624</v>
      </c>
      <c r="T570" s="180">
        <f>FME_Ranking1[[#This Row],[Critical Facilities Score (Normalized, Unweighted)]]*$R$3</f>
        <v>3.430531732418525E-2</v>
      </c>
      <c r="U570">
        <f>_xlfn.XLOOKUP(FME_Ranking1[[#This Row],[FME ID]],FME_Input[FME_ID],FME_Input[LWC])</f>
        <v>2</v>
      </c>
      <c r="V570" s="178">
        <f>(FME_Ranking1[[#This Row],[LWC Raw]]/$U$2)*100</f>
        <v>0.11514104778353484</v>
      </c>
      <c r="W570" s="178">
        <f>FME_Ranking1[[#This Row],[LWC Score (Normalized, Unweighted)]]*$U$3</f>
        <v>2.302820955670697E-2</v>
      </c>
      <c r="X570" s="246">
        <f>_xlfn.XLOOKUP(FME_Ranking1[[#This Row],[FME ID]],FME_Input[FME_ID],FME_Input[ROADCLS])</f>
        <v>0</v>
      </c>
      <c r="Y570" s="230">
        <f>(FME_Ranking1[[#This Row],[Closures Raw]]/$X$2)*100</f>
        <v>0</v>
      </c>
      <c r="Z570" s="180">
        <f>FME_Ranking1[[#This Row],[Closures Score (Normalized, Unweighted)]]*$X$3</f>
        <v>0</v>
      </c>
      <c r="AA570" s="253">
        <f>_xlfn.XLOOKUP(FME_Ranking1[[#This Row],[FME ID]],FME_Input[FME_ID],FME_Input[ROAD_MILES100])</f>
        <v>130.4964294433594</v>
      </c>
      <c r="AB570" s="178">
        <f>(FME_Ranking1[[#This Row],[Miles Raw]]/$AA$2)*100</f>
        <v>1.7157939908459467</v>
      </c>
      <c r="AC570" s="178">
        <f>FME_Ranking1[[#This Row],[Miles Score (Normalized, Unweighted)]]*$AA$3</f>
        <v>0.17157939908459469</v>
      </c>
      <c r="AD570" s="255">
        <f>_xlfn.XLOOKUP(FME_Ranking1[[#This Row],[FME ID]],FME_Input[FME_ID],FME_Input[FARMACRE100])</f>
        <v>33293.21875</v>
      </c>
      <c r="AE570" s="230">
        <f>(FME_Ranking1[[#This Row],[Ag Land Raw]]/$AD$2)*100</f>
        <v>1.3728633040334322</v>
      </c>
      <c r="AF570" s="231">
        <f>FME_Ranking1[[#This Row],[Ag Land Score (Normalized, Unweighted)]]*$AD$3</f>
        <v>6.8643165201671616E-2</v>
      </c>
      <c r="AG57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0.43268321619926475</v>
      </c>
      <c r="AH570" s="406">
        <f t="shared" si="8"/>
        <v>493</v>
      </c>
      <c r="AI57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0.43268321619926475</v>
      </c>
      <c r="AJ570" s="257">
        <f>FME_Ranking1[[#This Row],[Addition check]]-FME_Ranking1[[#This Row],[Weighted Score Based on Normalized Reported Factors]]</f>
        <v>0</v>
      </c>
      <c r="AK570" s="178">
        <f>_xlfn.RANK.EQ(AI570,$AI$6:$AI$2341,0)+COUNTIF($AI$6:AI570,AI570)-1</f>
        <v>500</v>
      </c>
    </row>
    <row r="571" spans="1:37" x14ac:dyDescent="0.25">
      <c r="A571" t="s">
        <v>1445</v>
      </c>
      <c r="B571">
        <f>_xlfn.XLOOKUP(FME_Ranking1[[#This Row],[FME ID]],FME_Input[FME_ID],FME_Input[RFPG_NUM])</f>
        <v>6</v>
      </c>
      <c r="C571" t="str">
        <f>_xlfn.XLOOKUP(FME_Ranking1[[#This Row],[FME ID]],FME_Input[FME_ID],FME_Input[FME_NAME])</f>
        <v>Greens Bayou - P142-00-00</v>
      </c>
      <c r="D571" t="str">
        <f>_xlfn.XLOOKUP(FME_Ranking1[[#This Row],[FME ID]],FME_Input[FME_ID],FME_Input[DESCR])</f>
        <v>Further study of Flood Risk Reduction need identified through the HCFCD 'Watershed Planning Tool' to determine channel modifications needed to restore/improve channel conveyance including Atlas 14 rainfall.</v>
      </c>
      <c r="E571" s="256">
        <f>_xlfn.XLOOKUP(FME_Ranking1[[#This Row],[FME ID]],FME_Input[FME_ID],FME_Input[FME_COST])</f>
        <v>100000</v>
      </c>
      <c r="F571" t="str">
        <f>_xlfn.XLOOKUP(FME_Ranking1[[#This Row],[FME ID]],FME_Input[FME_ID],FME_Input[EMER_NEED])</f>
        <v>No</v>
      </c>
      <c r="G571">
        <f>IF(FME_Ranking!F571="Yes",100,0)</f>
        <v>0</v>
      </c>
      <c r="H571">
        <f>FME_Ranking1[[#This Row],[Emergency Need Score (Normalized, Unweighted)]]*$F$3</f>
        <v>0</v>
      </c>
      <c r="I571" s="246">
        <f>_xlfn.XLOOKUP(FME_Ranking1[[#This Row],[FME ID]],FME_Input[FME_ID],FME_Input[STRUCT_100])</f>
        <v>997</v>
      </c>
      <c r="J571" s="178">
        <f>(FME_Ranking1[[#This Row],[Structures 100 Raw]]/I$2)*100</f>
        <v>0.53388596153022316</v>
      </c>
      <c r="K571" s="178">
        <f>FME_Ranking1[[#This Row],[Structures 100  Score (Normalized, Unweighted)]]*$I$3</f>
        <v>8.0082894229533477E-2</v>
      </c>
      <c r="L571" s="246">
        <f>_xlfn.XLOOKUP(FME_Ranking1[[#This Row],[FME ID]],FME_Input[FME_ID],FME_Input[RES_STRUCT100])</f>
        <v>601</v>
      </c>
      <c r="M571" s="230">
        <f>(FME_Ranking1[[#This Row],[Res Structures Raw]]/L$2)*100</f>
        <v>0.42569166040996725</v>
      </c>
      <c r="N571" s="180">
        <f>FME_Ranking1[[#This Row],[Res Structures Score (Normalized, Unweighted)]]*$L$3</f>
        <v>4.2569166040996725E-2</v>
      </c>
      <c r="O571" s="244">
        <f>_xlfn.XLOOKUP(FME_Ranking1[[#This Row],[FME ID]],FME_Input[FME_ID],FME_Input[POP100])</f>
        <v>5085</v>
      </c>
      <c r="P571" s="178">
        <f>(FME_Ranking1[[#This Row],[Pop Raw]]/$O$2)*100</f>
        <v>0.52057846146286135</v>
      </c>
      <c r="Q571" s="178">
        <f>FME_Ranking1[[#This Row],[Pop Score (Normalized, Unweighted)]]*$O$3</f>
        <v>7.8086769219429197E-2</v>
      </c>
      <c r="R571" s="137">
        <f>_xlfn.XLOOKUP(FME_Ranking1[[#This Row],[FME ID]],FME_Input[FME_ID],FME_Input[CRITFAC100])</f>
        <v>7</v>
      </c>
      <c r="S571" s="230">
        <f>(FME_Ranking1[[#This Row],[Critical Facilities Raw]]/$R$2)*100</f>
        <v>0.30017152658662088</v>
      </c>
      <c r="T571" s="180">
        <f>FME_Ranking1[[#This Row],[Critical Facilities Score (Normalized, Unweighted)]]*$R$3</f>
        <v>6.0034305317324177E-2</v>
      </c>
      <c r="U571">
        <f>_xlfn.XLOOKUP(FME_Ranking1[[#This Row],[FME ID]],FME_Input[FME_ID],FME_Input[LWC])</f>
        <v>0</v>
      </c>
      <c r="V571" s="178">
        <f>(FME_Ranking1[[#This Row],[LWC Raw]]/$U$2)*100</f>
        <v>0</v>
      </c>
      <c r="W571" s="178">
        <f>FME_Ranking1[[#This Row],[LWC Score (Normalized, Unweighted)]]*$U$3</f>
        <v>0</v>
      </c>
      <c r="X571" s="246">
        <f>_xlfn.XLOOKUP(FME_Ranking1[[#This Row],[FME ID]],FME_Input[FME_ID],FME_Input[ROADCLS])</f>
        <v>0</v>
      </c>
      <c r="Y571" s="230">
        <f>(FME_Ranking1[[#This Row],[Closures Raw]]/$X$2)*100</f>
        <v>0</v>
      </c>
      <c r="Z571" s="180">
        <f>FME_Ranking1[[#This Row],[Closures Score (Normalized, Unweighted)]]*$X$3</f>
        <v>0</v>
      </c>
      <c r="AA571" s="253">
        <f>_xlfn.XLOOKUP(FME_Ranking1[[#This Row],[FME ID]],FME_Input[FME_ID],FME_Input[ROAD_MILES100])</f>
        <v>23.488595962524411</v>
      </c>
      <c r="AB571" s="178">
        <f>(FME_Ranking1[[#This Row],[Miles Raw]]/$AA$2)*100</f>
        <v>0.30883290813255726</v>
      </c>
      <c r="AC571" s="178">
        <f>FME_Ranking1[[#This Row],[Miles Score (Normalized, Unweighted)]]*$AA$3</f>
        <v>3.0883290813255727E-2</v>
      </c>
      <c r="AD571" s="255">
        <f>_xlfn.XLOOKUP(FME_Ranking1[[#This Row],[FME ID]],FME_Input[FME_ID],FME_Input[FARMACRE100])</f>
        <v>1.4895532131195071</v>
      </c>
      <c r="AE571" s="230">
        <f>(FME_Ranking1[[#This Row],[Ag Land Raw]]/$AD$2)*100</f>
        <v>6.1422506518594316E-5</v>
      </c>
      <c r="AF571" s="231">
        <f>FME_Ranking1[[#This Row],[Ag Land Score (Normalized, Unweighted)]]*$AD$3</f>
        <v>3.071125325929716E-6</v>
      </c>
      <c r="AG57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0.29165949674586528</v>
      </c>
      <c r="AH571" s="406">
        <f t="shared" si="8"/>
        <v>628</v>
      </c>
      <c r="AI57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0.29165949674586528</v>
      </c>
      <c r="AJ571" s="257">
        <f>FME_Ranking1[[#This Row],[Addition check]]-FME_Ranking1[[#This Row],[Weighted Score Based on Normalized Reported Factors]]</f>
        <v>0</v>
      </c>
      <c r="AK571" s="178">
        <f>_xlfn.RANK.EQ(AI571,$AI$6:$AI$2341,0)+COUNTIF($AI$6:AI571,AI571)-1</f>
        <v>628</v>
      </c>
    </row>
    <row r="572" spans="1:37" x14ac:dyDescent="0.25">
      <c r="A572" t="s">
        <v>2495</v>
      </c>
      <c r="B572">
        <f>_xlfn.XLOOKUP(FME_Ranking1[[#This Row],[FME ID]],FME_Input[FME_ID],FME_Input[RFPG_NUM])</f>
        <v>1</v>
      </c>
      <c r="C572" t="str">
        <f>_xlfn.XLOOKUP(FME_Ranking1[[#This Row],[FME ID]],FME_Input[FME_ID],FME_Input[FME_NAME])</f>
        <v>Carson County Drainage Master Plan</v>
      </c>
      <c r="D572" t="str">
        <f>_xlfn.XLOOKUP(FME_Ranking1[[#This Row],[FME ID]],FME_Input[FME_ID],FME_Input[DESCR])</f>
        <v>Perform H&amp;H modeling, develop conceptual alternatives and OPCC, and rank projects; selected based on HMAPs</v>
      </c>
      <c r="E572" s="256">
        <f>_xlfn.XLOOKUP(FME_Ranking1[[#This Row],[FME ID]],FME_Input[FME_ID],FME_Input[FME_COST])</f>
        <v>500000</v>
      </c>
      <c r="F572" t="str">
        <f>_xlfn.XLOOKUP(FME_Ranking1[[#This Row],[FME ID]],FME_Input[FME_ID],FME_Input[EMER_NEED])</f>
        <v>No</v>
      </c>
      <c r="G572">
        <f>IF(FME_Ranking!F572="Yes",100,0)</f>
        <v>0</v>
      </c>
      <c r="H572">
        <f>FME_Ranking1[[#This Row],[Emergency Need Score (Normalized, Unweighted)]]*$F$3</f>
        <v>0</v>
      </c>
      <c r="I572" s="246">
        <f>_xlfn.XLOOKUP(FME_Ranking1[[#This Row],[FME ID]],FME_Input[FME_ID],FME_Input[STRUCT_100])</f>
        <v>87</v>
      </c>
      <c r="J572" s="178">
        <f>(FME_Ranking1[[#This Row],[Structures 100 Raw]]/I$2)*100</f>
        <v>4.6587842179668423E-2</v>
      </c>
      <c r="K572" s="178">
        <f>FME_Ranking1[[#This Row],[Structures 100  Score (Normalized, Unweighted)]]*$I$3</f>
        <v>6.9881763269502633E-3</v>
      </c>
      <c r="L572" s="246">
        <f>_xlfn.XLOOKUP(FME_Ranking1[[#This Row],[FME ID]],FME_Input[FME_ID],FME_Input[RES_STRUCT100])</f>
        <v>43</v>
      </c>
      <c r="M572" s="230">
        <f>(FME_Ranking1[[#This Row],[Res Structures Raw]]/L$2)*100</f>
        <v>3.0457140428666547E-2</v>
      </c>
      <c r="N572" s="180">
        <f>FME_Ranking1[[#This Row],[Res Structures Score (Normalized, Unweighted)]]*$L$3</f>
        <v>3.0457140428666548E-3</v>
      </c>
      <c r="O572" s="244">
        <f>_xlfn.XLOOKUP(FME_Ranking1[[#This Row],[FME ID]],FME_Input[FME_ID],FME_Input[POP100])</f>
        <v>270</v>
      </c>
      <c r="P572" s="178">
        <f>(FME_Ranking1[[#This Row],[Pop Raw]]/$O$2)*100</f>
        <v>2.7641334236966086E-2</v>
      </c>
      <c r="Q572" s="178">
        <f>FME_Ranking1[[#This Row],[Pop Score (Normalized, Unweighted)]]*$O$3</f>
        <v>4.146200135544913E-3</v>
      </c>
      <c r="R572" s="137">
        <f>_xlfn.XLOOKUP(FME_Ranking1[[#This Row],[FME ID]],FME_Input[FME_ID],FME_Input[CRITFAC100])</f>
        <v>4</v>
      </c>
      <c r="S572" s="230">
        <f>(FME_Ranking1[[#This Row],[Critical Facilities Raw]]/$R$2)*100</f>
        <v>0.17152658662092624</v>
      </c>
      <c r="T572" s="180">
        <f>FME_Ranking1[[#This Row],[Critical Facilities Score (Normalized, Unweighted)]]*$R$3</f>
        <v>3.430531732418525E-2</v>
      </c>
      <c r="U572">
        <f>_xlfn.XLOOKUP(FME_Ranking1[[#This Row],[FME ID]],FME_Input[FME_ID],FME_Input[LWC])</f>
        <v>10</v>
      </c>
      <c r="V572" s="178">
        <f>(FME_Ranking1[[#This Row],[LWC Raw]]/$U$2)*100</f>
        <v>0.57570523891767411</v>
      </c>
      <c r="W572" s="178">
        <f>FME_Ranking1[[#This Row],[LWC Score (Normalized, Unweighted)]]*$U$3</f>
        <v>0.11514104778353483</v>
      </c>
      <c r="X572" s="246">
        <f>_xlfn.XLOOKUP(FME_Ranking1[[#This Row],[FME ID]],FME_Input[FME_ID],FME_Input[ROADCLS])</f>
        <v>12</v>
      </c>
      <c r="Y572" s="230">
        <f>(FME_Ranking1[[#This Row],[Closures Raw]]/$X$2)*100</f>
        <v>0.12616969824413837</v>
      </c>
      <c r="Z572" s="180">
        <f>FME_Ranking1[[#This Row],[Closures Score (Normalized, Unweighted)]]*$X$3</f>
        <v>6.308484912206919E-3</v>
      </c>
      <c r="AA572" s="253">
        <f>_xlfn.XLOOKUP(FME_Ranking1[[#This Row],[FME ID]],FME_Input[FME_ID],FME_Input[ROAD_MILES100])</f>
        <v>35.602127075195313</v>
      </c>
      <c r="AB572" s="178">
        <f>(FME_Ranking1[[#This Row],[Miles Raw]]/$AA$2)*100</f>
        <v>0.46810411562614901</v>
      </c>
      <c r="AC572" s="178">
        <f>FME_Ranking1[[#This Row],[Miles Score (Normalized, Unweighted)]]*$AA$3</f>
        <v>4.6810411562614902E-2</v>
      </c>
      <c r="AD572" s="255">
        <f>_xlfn.XLOOKUP(FME_Ranking1[[#This Row],[FME ID]],FME_Input[FME_ID],FME_Input[FARMACRE100])</f>
        <v>43317.89453125</v>
      </c>
      <c r="AE572" s="230">
        <f>(FME_Ranking1[[#This Row],[Ag Land Raw]]/$AD$2)*100</f>
        <v>1.7862360577540621</v>
      </c>
      <c r="AF572" s="231">
        <f>FME_Ranking1[[#This Row],[Ag Land Score (Normalized, Unweighted)]]*$AD$3</f>
        <v>8.9311802887703115E-2</v>
      </c>
      <c r="AG57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0.30605715497560687</v>
      </c>
      <c r="AH572" s="406">
        <f t="shared" si="8"/>
        <v>608</v>
      </c>
      <c r="AI57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0.30605715497560687</v>
      </c>
      <c r="AJ572" s="257">
        <f>FME_Ranking1[[#This Row],[Addition check]]-FME_Ranking1[[#This Row],[Weighted Score Based on Normalized Reported Factors]]</f>
        <v>0</v>
      </c>
      <c r="AK572" s="178">
        <f>_xlfn.RANK.EQ(AI572,$AI$6:$AI$2341,0)+COUNTIF($AI$6:AI572,AI572)-1</f>
        <v>608</v>
      </c>
    </row>
    <row r="573" spans="1:37" x14ac:dyDescent="0.25">
      <c r="A573" t="s">
        <v>2841</v>
      </c>
      <c r="B573">
        <f>_xlfn.XLOOKUP(FME_Ranking1[[#This Row],[FME ID]],FME_Input[FME_ID],FME_Input[RFPG_NUM])</f>
        <v>1</v>
      </c>
      <c r="C573" t="str">
        <f>_xlfn.XLOOKUP(FME_Ranking1[[#This Row],[FME ID]],FME_Input[FME_ID],FME_Input[FME_NAME])</f>
        <v>Carson County FIS</v>
      </c>
      <c r="D573" t="str">
        <f>_xlfn.XLOOKUP(FME_Ranking1[[#This Row],[FME ID]],FME_Input[FME_ID],FME_Input[DESCR])</f>
        <v>Perform flood insurance study for the county and develop regulatory mapping</v>
      </c>
      <c r="E573" s="256">
        <f>_xlfn.XLOOKUP(FME_Ranking1[[#This Row],[FME ID]],FME_Input[FME_ID],FME_Input[FME_COST])</f>
        <v>826000</v>
      </c>
      <c r="F573" t="str">
        <f>_xlfn.XLOOKUP(FME_Ranking1[[#This Row],[FME ID]],FME_Input[FME_ID],FME_Input[EMER_NEED])</f>
        <v>No</v>
      </c>
      <c r="G573">
        <f>IF(FME_Ranking!F573="Yes",100,0)</f>
        <v>0</v>
      </c>
      <c r="H573">
        <f>FME_Ranking1[[#This Row],[Emergency Need Score (Normalized, Unweighted)]]*$F$3</f>
        <v>0</v>
      </c>
      <c r="I573" s="246">
        <f>_xlfn.XLOOKUP(FME_Ranking1[[#This Row],[FME ID]],FME_Input[FME_ID],FME_Input[STRUCT_100])</f>
        <v>87</v>
      </c>
      <c r="J573" s="178">
        <f>(FME_Ranking1[[#This Row],[Structures 100 Raw]]/I$2)*100</f>
        <v>4.6587842179668423E-2</v>
      </c>
      <c r="K573" s="178">
        <f>FME_Ranking1[[#This Row],[Structures 100  Score (Normalized, Unweighted)]]*$I$3</f>
        <v>6.9881763269502633E-3</v>
      </c>
      <c r="L573" s="246">
        <f>_xlfn.XLOOKUP(FME_Ranking1[[#This Row],[FME ID]],FME_Input[FME_ID],FME_Input[RES_STRUCT100])</f>
        <v>43</v>
      </c>
      <c r="M573" s="230">
        <f>(FME_Ranking1[[#This Row],[Res Structures Raw]]/L$2)*100</f>
        <v>3.0457140428666547E-2</v>
      </c>
      <c r="N573" s="180">
        <f>FME_Ranking1[[#This Row],[Res Structures Score (Normalized, Unweighted)]]*$L$3</f>
        <v>3.0457140428666548E-3</v>
      </c>
      <c r="O573" s="244">
        <f>_xlfn.XLOOKUP(FME_Ranking1[[#This Row],[FME ID]],FME_Input[FME_ID],FME_Input[POP100])</f>
        <v>270</v>
      </c>
      <c r="P573" s="178">
        <f>(FME_Ranking1[[#This Row],[Pop Raw]]/$O$2)*100</f>
        <v>2.7641334236966086E-2</v>
      </c>
      <c r="Q573" s="178">
        <f>FME_Ranking1[[#This Row],[Pop Score (Normalized, Unweighted)]]*$O$3</f>
        <v>4.146200135544913E-3</v>
      </c>
      <c r="R573" s="137">
        <f>_xlfn.XLOOKUP(FME_Ranking1[[#This Row],[FME ID]],FME_Input[FME_ID],FME_Input[CRITFAC100])</f>
        <v>4</v>
      </c>
      <c r="S573" s="230">
        <f>(FME_Ranking1[[#This Row],[Critical Facilities Raw]]/$R$2)*100</f>
        <v>0.17152658662092624</v>
      </c>
      <c r="T573" s="180">
        <f>FME_Ranking1[[#This Row],[Critical Facilities Score (Normalized, Unweighted)]]*$R$3</f>
        <v>3.430531732418525E-2</v>
      </c>
      <c r="U573">
        <f>_xlfn.XLOOKUP(FME_Ranking1[[#This Row],[FME ID]],FME_Input[FME_ID],FME_Input[LWC])</f>
        <v>10</v>
      </c>
      <c r="V573" s="178">
        <f>(FME_Ranking1[[#This Row],[LWC Raw]]/$U$2)*100</f>
        <v>0.57570523891767411</v>
      </c>
      <c r="W573" s="178">
        <f>FME_Ranking1[[#This Row],[LWC Score (Normalized, Unweighted)]]*$U$3</f>
        <v>0.11514104778353483</v>
      </c>
      <c r="X573" s="246">
        <f>_xlfn.XLOOKUP(FME_Ranking1[[#This Row],[FME ID]],FME_Input[FME_ID],FME_Input[ROADCLS])</f>
        <v>12</v>
      </c>
      <c r="Y573" s="230">
        <f>(FME_Ranking1[[#This Row],[Closures Raw]]/$X$2)*100</f>
        <v>0.12616969824413837</v>
      </c>
      <c r="Z573" s="180">
        <f>FME_Ranking1[[#This Row],[Closures Score (Normalized, Unweighted)]]*$X$3</f>
        <v>6.308484912206919E-3</v>
      </c>
      <c r="AA573" s="253">
        <f>_xlfn.XLOOKUP(FME_Ranking1[[#This Row],[FME ID]],FME_Input[FME_ID],FME_Input[ROAD_MILES100])</f>
        <v>35.602127075195313</v>
      </c>
      <c r="AB573" s="178">
        <f>(FME_Ranking1[[#This Row],[Miles Raw]]/$AA$2)*100</f>
        <v>0.46810411562614901</v>
      </c>
      <c r="AC573" s="178">
        <f>FME_Ranking1[[#This Row],[Miles Score (Normalized, Unweighted)]]*$AA$3</f>
        <v>4.6810411562614902E-2</v>
      </c>
      <c r="AD573" s="255">
        <f>_xlfn.XLOOKUP(FME_Ranking1[[#This Row],[FME ID]],FME_Input[FME_ID],FME_Input[FARMACRE100])</f>
        <v>43317.89453125</v>
      </c>
      <c r="AE573" s="230">
        <f>(FME_Ranking1[[#This Row],[Ag Land Raw]]/$AD$2)*100</f>
        <v>1.7862360577540621</v>
      </c>
      <c r="AF573" s="231">
        <f>FME_Ranking1[[#This Row],[Ag Land Score (Normalized, Unweighted)]]*$AD$3</f>
        <v>8.9311802887703115E-2</v>
      </c>
      <c r="AG57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0.30605715497560687</v>
      </c>
      <c r="AH573" s="406">
        <f t="shared" si="8"/>
        <v>608</v>
      </c>
      <c r="AI57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0.30605715497560687</v>
      </c>
      <c r="AJ573" s="257">
        <f>FME_Ranking1[[#This Row],[Addition check]]-FME_Ranking1[[#This Row],[Weighted Score Based on Normalized Reported Factors]]</f>
        <v>0</v>
      </c>
      <c r="AK573" s="178">
        <f>_xlfn.RANK.EQ(AI573,$AI$6:$AI$2341,0)+COUNTIF($AI$6:AI573,AI573)-1</f>
        <v>609</v>
      </c>
    </row>
    <row r="574" spans="1:37" x14ac:dyDescent="0.25">
      <c r="A574" t="s">
        <v>1928</v>
      </c>
      <c r="B574">
        <f>_xlfn.XLOOKUP(FME_Ranking1[[#This Row],[FME ID]],FME_Input[FME_ID],FME_Input[RFPG_NUM])</f>
        <v>6</v>
      </c>
      <c r="C574" t="str">
        <f>_xlfn.XLOOKUP(FME_Ranking1[[#This Row],[FME ID]],FME_Input[FME_ID],FME_Input[FME_NAME])</f>
        <v>Willow Creek Watershed Plan-  FM2920 Stormwater Detention Basin</v>
      </c>
      <c r="D574" t="str">
        <f>_xlfn.XLOOKUP(FME_Ranking1[[#This Row],[FME ID]],FME_Input[FME_ID],FME_Input[DESCR])</f>
        <v>Study to develop a Benefit Cost Analysis needed for this project to become a FMP. Proposed 826 acre-feet detention basin located near FM 2920 crossing of Willow Creek.</v>
      </c>
      <c r="E574" s="256">
        <f>_xlfn.XLOOKUP(FME_Ranking1[[#This Row],[FME ID]],FME_Input[FME_ID],FME_Input[FME_COST])</f>
        <v>30000</v>
      </c>
      <c r="F574" t="str">
        <f>_xlfn.XLOOKUP(FME_Ranking1[[#This Row],[FME ID]],FME_Input[FME_ID],FME_Input[EMER_NEED])</f>
        <v>No</v>
      </c>
      <c r="G574">
        <f>IF(FME_Ranking!F574="Yes",100,0)</f>
        <v>0</v>
      </c>
      <c r="H574">
        <f>FME_Ranking1[[#This Row],[Emergency Need Score (Normalized, Unweighted)]]*$F$3</f>
        <v>0</v>
      </c>
      <c r="I574" s="246">
        <f>_xlfn.XLOOKUP(FME_Ranking1[[#This Row],[FME ID]],FME_Input[FME_ID],FME_Input[STRUCT_100])</f>
        <v>828</v>
      </c>
      <c r="J574" s="178">
        <f>(FME_Ranking1[[#This Row],[Structures 100 Raw]]/I$2)*100</f>
        <v>0.44338773936512021</v>
      </c>
      <c r="K574" s="178">
        <f>FME_Ranking1[[#This Row],[Structures 100  Score (Normalized, Unweighted)]]*$I$3</f>
        <v>6.6508160904768035E-2</v>
      </c>
      <c r="L574" s="246">
        <f>_xlfn.XLOOKUP(FME_Ranking1[[#This Row],[FME ID]],FME_Input[FME_ID],FME_Input[RES_STRUCT100])</f>
        <v>581</v>
      </c>
      <c r="M574" s="230">
        <f>(FME_Ranking1[[#This Row],[Res Structures Raw]]/L$2)*100</f>
        <v>0.41152554858268048</v>
      </c>
      <c r="N574" s="180">
        <f>FME_Ranking1[[#This Row],[Res Structures Score (Normalized, Unweighted)]]*$L$3</f>
        <v>4.1152554858268048E-2</v>
      </c>
      <c r="O574" s="244">
        <f>_xlfn.XLOOKUP(FME_Ranking1[[#This Row],[FME ID]],FME_Input[FME_ID],FME_Input[POP100])</f>
        <v>2443</v>
      </c>
      <c r="P574" s="178">
        <f>(FME_Ranking1[[#This Row],[Pop Raw]]/$O$2)*100</f>
        <v>0.25010288718854873</v>
      </c>
      <c r="Q574" s="178">
        <f>FME_Ranking1[[#This Row],[Pop Score (Normalized, Unweighted)]]*$O$3</f>
        <v>3.7515433078282305E-2</v>
      </c>
      <c r="R574" s="137">
        <f>_xlfn.XLOOKUP(FME_Ranking1[[#This Row],[FME ID]],FME_Input[FME_ID],FME_Input[CRITFAC100])</f>
        <v>6</v>
      </c>
      <c r="S574" s="230">
        <f>(FME_Ranking1[[#This Row],[Critical Facilities Raw]]/$R$2)*100</f>
        <v>0.25728987993138941</v>
      </c>
      <c r="T574" s="180">
        <f>FME_Ranking1[[#This Row],[Critical Facilities Score (Normalized, Unweighted)]]*$R$3</f>
        <v>5.1457975986277882E-2</v>
      </c>
      <c r="U574">
        <f>_xlfn.XLOOKUP(FME_Ranking1[[#This Row],[FME ID]],FME_Input[FME_ID],FME_Input[LWC])</f>
        <v>5</v>
      </c>
      <c r="V574" s="178">
        <f>(FME_Ranking1[[#This Row],[LWC Raw]]/$U$2)*100</f>
        <v>0.28785261945883706</v>
      </c>
      <c r="W574" s="178">
        <f>FME_Ranking1[[#This Row],[LWC Score (Normalized, Unweighted)]]*$U$3</f>
        <v>5.7570523891767415E-2</v>
      </c>
      <c r="X574" s="246">
        <f>_xlfn.XLOOKUP(FME_Ranking1[[#This Row],[FME ID]],FME_Input[FME_ID],FME_Input[ROADCLS])</f>
        <v>5</v>
      </c>
      <c r="Y574" s="230">
        <f>(FME_Ranking1[[#This Row],[Closures Raw]]/$X$2)*100</f>
        <v>5.2570707601724324E-2</v>
      </c>
      <c r="Z574" s="180">
        <f>FME_Ranking1[[#This Row],[Closures Score (Normalized, Unweighted)]]*$X$3</f>
        <v>2.6285353800862164E-3</v>
      </c>
      <c r="AA574" s="253">
        <f>_xlfn.XLOOKUP(FME_Ranking1[[#This Row],[FME ID]],FME_Input[FME_ID],FME_Input[ROAD_MILES100])</f>
        <v>24.8491325378418</v>
      </c>
      <c r="AB574" s="178">
        <f>(FME_Ranking1[[#This Row],[Miles Raw]]/$AA$2)*100</f>
        <v>0.32672152386107356</v>
      </c>
      <c r="AC574" s="178">
        <f>FME_Ranking1[[#This Row],[Miles Score (Normalized, Unweighted)]]*$AA$3</f>
        <v>3.2672152386107357E-2</v>
      </c>
      <c r="AD574" s="255">
        <f>_xlfn.XLOOKUP(FME_Ranking1[[#This Row],[FME ID]],FME_Input[FME_ID],FME_Input[FARMACRE100])</f>
        <v>55.808460235595703</v>
      </c>
      <c r="AE574" s="230">
        <f>(FME_Ranking1[[#This Row],[Ag Land Raw]]/$AD$2)*100</f>
        <v>2.3012910733378202E-3</v>
      </c>
      <c r="AF574" s="231">
        <f>FME_Ranking1[[#This Row],[Ag Land Score (Normalized, Unweighted)]]*$AD$3</f>
        <v>1.1506455366689102E-4</v>
      </c>
      <c r="AG57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0.28962040103922415</v>
      </c>
      <c r="AH574" s="406">
        <f t="shared" si="8"/>
        <v>629</v>
      </c>
      <c r="AI57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0.28962040103922415</v>
      </c>
      <c r="AJ574" s="257">
        <f>FME_Ranking1[[#This Row],[Addition check]]-FME_Ranking1[[#This Row],[Weighted Score Based on Normalized Reported Factors]]</f>
        <v>0</v>
      </c>
      <c r="AK574" s="178">
        <f>_xlfn.RANK.EQ(AI574,$AI$6:$AI$2341,0)+COUNTIF($AI$6:AI574,AI574)-1</f>
        <v>629</v>
      </c>
    </row>
    <row r="575" spans="1:37" x14ac:dyDescent="0.25">
      <c r="A575" t="s">
        <v>1931</v>
      </c>
      <c r="B575">
        <f>_xlfn.XLOOKUP(FME_Ranking1[[#This Row],[FME ID]],FME_Input[FME_ID],FME_Input[RFPG_NUM])</f>
        <v>6</v>
      </c>
      <c r="C575" t="str">
        <f>_xlfn.XLOOKUP(FME_Ranking1[[#This Row],[FME ID]],FME_Input[FME_ID],FME_Input[FME_NAME])</f>
        <v>Willow Creek Watershed Plan- Kuykendahl Basin</v>
      </c>
      <c r="D575" t="str">
        <f>_xlfn.XLOOKUP(FME_Ranking1[[#This Row],[FME ID]],FME_Input[FME_ID],FME_Input[DESCR])</f>
        <v>Study to develop a Benefit Cost Analysis needed for this project to become a FMP. Proposed 727 acre-feet detention basin located near Kuykendahl Road crossing of Willow Creek.</v>
      </c>
      <c r="E575" s="256">
        <f>_xlfn.XLOOKUP(FME_Ranking1[[#This Row],[FME ID]],FME_Input[FME_ID],FME_Input[FME_COST])</f>
        <v>30000</v>
      </c>
      <c r="F575" t="str">
        <f>_xlfn.XLOOKUP(FME_Ranking1[[#This Row],[FME ID]],FME_Input[FME_ID],FME_Input[EMER_NEED])</f>
        <v>No</v>
      </c>
      <c r="G575">
        <f>IF(FME_Ranking!F575="Yes",100,0)</f>
        <v>0</v>
      </c>
      <c r="H575">
        <f>FME_Ranking1[[#This Row],[Emergency Need Score (Normalized, Unweighted)]]*$F$3</f>
        <v>0</v>
      </c>
      <c r="I575" s="246">
        <f>_xlfn.XLOOKUP(FME_Ranking1[[#This Row],[FME ID]],FME_Input[FME_ID],FME_Input[STRUCT_100])</f>
        <v>828</v>
      </c>
      <c r="J575" s="178">
        <f>(FME_Ranking1[[#This Row],[Structures 100 Raw]]/I$2)*100</f>
        <v>0.44338773936512021</v>
      </c>
      <c r="K575" s="178">
        <f>FME_Ranking1[[#This Row],[Structures 100  Score (Normalized, Unweighted)]]*$I$3</f>
        <v>6.6508160904768035E-2</v>
      </c>
      <c r="L575" s="246">
        <f>_xlfn.XLOOKUP(FME_Ranking1[[#This Row],[FME ID]],FME_Input[FME_ID],FME_Input[RES_STRUCT100])</f>
        <v>581</v>
      </c>
      <c r="M575" s="230">
        <f>(FME_Ranking1[[#This Row],[Res Structures Raw]]/L$2)*100</f>
        <v>0.41152554858268048</v>
      </c>
      <c r="N575" s="180">
        <f>FME_Ranking1[[#This Row],[Res Structures Score (Normalized, Unweighted)]]*$L$3</f>
        <v>4.1152554858268048E-2</v>
      </c>
      <c r="O575" s="244">
        <f>_xlfn.XLOOKUP(FME_Ranking1[[#This Row],[FME ID]],FME_Input[FME_ID],FME_Input[POP100])</f>
        <v>2443</v>
      </c>
      <c r="P575" s="178">
        <f>(FME_Ranking1[[#This Row],[Pop Raw]]/$O$2)*100</f>
        <v>0.25010288718854873</v>
      </c>
      <c r="Q575" s="178">
        <f>FME_Ranking1[[#This Row],[Pop Score (Normalized, Unweighted)]]*$O$3</f>
        <v>3.7515433078282305E-2</v>
      </c>
      <c r="R575" s="137">
        <f>_xlfn.XLOOKUP(FME_Ranking1[[#This Row],[FME ID]],FME_Input[FME_ID],FME_Input[CRITFAC100])</f>
        <v>6</v>
      </c>
      <c r="S575" s="230">
        <f>(FME_Ranking1[[#This Row],[Critical Facilities Raw]]/$R$2)*100</f>
        <v>0.25728987993138941</v>
      </c>
      <c r="T575" s="180">
        <f>FME_Ranking1[[#This Row],[Critical Facilities Score (Normalized, Unweighted)]]*$R$3</f>
        <v>5.1457975986277882E-2</v>
      </c>
      <c r="U575">
        <f>_xlfn.XLOOKUP(FME_Ranking1[[#This Row],[FME ID]],FME_Input[FME_ID],FME_Input[LWC])</f>
        <v>5</v>
      </c>
      <c r="V575" s="178">
        <f>(FME_Ranking1[[#This Row],[LWC Raw]]/$U$2)*100</f>
        <v>0.28785261945883706</v>
      </c>
      <c r="W575" s="178">
        <f>FME_Ranking1[[#This Row],[LWC Score (Normalized, Unweighted)]]*$U$3</f>
        <v>5.7570523891767415E-2</v>
      </c>
      <c r="X575" s="246">
        <f>_xlfn.XLOOKUP(FME_Ranking1[[#This Row],[FME ID]],FME_Input[FME_ID],FME_Input[ROADCLS])</f>
        <v>5</v>
      </c>
      <c r="Y575" s="230">
        <f>(FME_Ranking1[[#This Row],[Closures Raw]]/$X$2)*100</f>
        <v>5.2570707601724324E-2</v>
      </c>
      <c r="Z575" s="180">
        <f>FME_Ranking1[[#This Row],[Closures Score (Normalized, Unweighted)]]*$X$3</f>
        <v>2.6285353800862164E-3</v>
      </c>
      <c r="AA575" s="253">
        <f>_xlfn.XLOOKUP(FME_Ranking1[[#This Row],[FME ID]],FME_Input[FME_ID],FME_Input[ROAD_MILES100])</f>
        <v>24.8491325378418</v>
      </c>
      <c r="AB575" s="178">
        <f>(FME_Ranking1[[#This Row],[Miles Raw]]/$AA$2)*100</f>
        <v>0.32672152386107356</v>
      </c>
      <c r="AC575" s="178">
        <f>FME_Ranking1[[#This Row],[Miles Score (Normalized, Unweighted)]]*$AA$3</f>
        <v>3.2672152386107357E-2</v>
      </c>
      <c r="AD575" s="255">
        <f>_xlfn.XLOOKUP(FME_Ranking1[[#This Row],[FME ID]],FME_Input[FME_ID],FME_Input[FARMACRE100])</f>
        <v>55.808460235595703</v>
      </c>
      <c r="AE575" s="230">
        <f>(FME_Ranking1[[#This Row],[Ag Land Raw]]/$AD$2)*100</f>
        <v>2.3012910733378202E-3</v>
      </c>
      <c r="AF575" s="231">
        <f>FME_Ranking1[[#This Row],[Ag Land Score (Normalized, Unweighted)]]*$AD$3</f>
        <v>1.1506455366689102E-4</v>
      </c>
      <c r="AG57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0.28962040103922415</v>
      </c>
      <c r="AH575" s="406">
        <f t="shared" si="8"/>
        <v>629</v>
      </c>
      <c r="AI57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0.28962040103922415</v>
      </c>
      <c r="AJ575" s="257">
        <f>FME_Ranking1[[#This Row],[Addition check]]-FME_Ranking1[[#This Row],[Weighted Score Based on Normalized Reported Factors]]</f>
        <v>0</v>
      </c>
      <c r="AK575" s="178">
        <f>_xlfn.RANK.EQ(AI575,$AI$6:$AI$2341,0)+COUNTIF($AI$6:AI575,AI575)-1</f>
        <v>630</v>
      </c>
    </row>
    <row r="576" spans="1:37" x14ac:dyDescent="0.25">
      <c r="A576" t="s">
        <v>1934</v>
      </c>
      <c r="B576">
        <f>_xlfn.XLOOKUP(FME_Ranking1[[#This Row],[FME ID]],FME_Input[FME_ID],FME_Input[RFPG_NUM])</f>
        <v>6</v>
      </c>
      <c r="C576" t="str">
        <f>_xlfn.XLOOKUP(FME_Ranking1[[#This Row],[FME ID]],FME_Input[FME_ID],FME_Input[FME_NAME])</f>
        <v>Willow Creek Watershed Plan-  M121 Basin Stormwater Detention Basin</v>
      </c>
      <c r="D576" t="str">
        <f>_xlfn.XLOOKUP(FME_Ranking1[[#This Row],[FME ID]],FME_Input[FME_ID],FME_Input[DESCR])</f>
        <v>Study to develop a Benefit Cost Analysis needed for this project to become a FMP. Proposed 1010 acre-feet detention basin located near M121 tributary</v>
      </c>
      <c r="E576" s="256">
        <f>_xlfn.XLOOKUP(FME_Ranking1[[#This Row],[FME ID]],FME_Input[FME_ID],FME_Input[FME_COST])</f>
        <v>30000</v>
      </c>
      <c r="F576" t="str">
        <f>_xlfn.XLOOKUP(FME_Ranking1[[#This Row],[FME ID]],FME_Input[FME_ID],FME_Input[EMER_NEED])</f>
        <v>No</v>
      </c>
      <c r="G576">
        <f>IF(FME_Ranking!F576="Yes",100,0)</f>
        <v>0</v>
      </c>
      <c r="H576">
        <f>FME_Ranking1[[#This Row],[Emergency Need Score (Normalized, Unweighted)]]*$F$3</f>
        <v>0</v>
      </c>
      <c r="I576" s="246">
        <f>_xlfn.XLOOKUP(FME_Ranking1[[#This Row],[FME ID]],FME_Input[FME_ID],FME_Input[STRUCT_100])</f>
        <v>828</v>
      </c>
      <c r="J576" s="178">
        <f>(FME_Ranking1[[#This Row],[Structures 100 Raw]]/I$2)*100</f>
        <v>0.44338773936512021</v>
      </c>
      <c r="K576" s="178">
        <f>FME_Ranking1[[#This Row],[Structures 100  Score (Normalized, Unweighted)]]*$I$3</f>
        <v>6.6508160904768035E-2</v>
      </c>
      <c r="L576" s="246">
        <f>_xlfn.XLOOKUP(FME_Ranking1[[#This Row],[FME ID]],FME_Input[FME_ID],FME_Input[RES_STRUCT100])</f>
        <v>581</v>
      </c>
      <c r="M576" s="230">
        <f>(FME_Ranking1[[#This Row],[Res Structures Raw]]/L$2)*100</f>
        <v>0.41152554858268048</v>
      </c>
      <c r="N576" s="180">
        <f>FME_Ranking1[[#This Row],[Res Structures Score (Normalized, Unweighted)]]*$L$3</f>
        <v>4.1152554858268048E-2</v>
      </c>
      <c r="O576" s="244">
        <f>_xlfn.XLOOKUP(FME_Ranking1[[#This Row],[FME ID]],FME_Input[FME_ID],FME_Input[POP100])</f>
        <v>2443</v>
      </c>
      <c r="P576" s="178">
        <f>(FME_Ranking1[[#This Row],[Pop Raw]]/$O$2)*100</f>
        <v>0.25010288718854873</v>
      </c>
      <c r="Q576" s="178">
        <f>FME_Ranking1[[#This Row],[Pop Score (Normalized, Unweighted)]]*$O$3</f>
        <v>3.7515433078282305E-2</v>
      </c>
      <c r="R576" s="137">
        <f>_xlfn.XLOOKUP(FME_Ranking1[[#This Row],[FME ID]],FME_Input[FME_ID],FME_Input[CRITFAC100])</f>
        <v>6</v>
      </c>
      <c r="S576" s="230">
        <f>(FME_Ranking1[[#This Row],[Critical Facilities Raw]]/$R$2)*100</f>
        <v>0.25728987993138941</v>
      </c>
      <c r="T576" s="180">
        <f>FME_Ranking1[[#This Row],[Critical Facilities Score (Normalized, Unweighted)]]*$R$3</f>
        <v>5.1457975986277882E-2</v>
      </c>
      <c r="U576">
        <f>_xlfn.XLOOKUP(FME_Ranking1[[#This Row],[FME ID]],FME_Input[FME_ID],FME_Input[LWC])</f>
        <v>5</v>
      </c>
      <c r="V576" s="178">
        <f>(FME_Ranking1[[#This Row],[LWC Raw]]/$U$2)*100</f>
        <v>0.28785261945883706</v>
      </c>
      <c r="W576" s="178">
        <f>FME_Ranking1[[#This Row],[LWC Score (Normalized, Unweighted)]]*$U$3</f>
        <v>5.7570523891767415E-2</v>
      </c>
      <c r="X576" s="246">
        <f>_xlfn.XLOOKUP(FME_Ranking1[[#This Row],[FME ID]],FME_Input[FME_ID],FME_Input[ROADCLS])</f>
        <v>5</v>
      </c>
      <c r="Y576" s="230">
        <f>(FME_Ranking1[[#This Row],[Closures Raw]]/$X$2)*100</f>
        <v>5.2570707601724324E-2</v>
      </c>
      <c r="Z576" s="180">
        <f>FME_Ranking1[[#This Row],[Closures Score (Normalized, Unweighted)]]*$X$3</f>
        <v>2.6285353800862164E-3</v>
      </c>
      <c r="AA576" s="253">
        <f>_xlfn.XLOOKUP(FME_Ranking1[[#This Row],[FME ID]],FME_Input[FME_ID],FME_Input[ROAD_MILES100])</f>
        <v>24.8491325378418</v>
      </c>
      <c r="AB576" s="178">
        <f>(FME_Ranking1[[#This Row],[Miles Raw]]/$AA$2)*100</f>
        <v>0.32672152386107356</v>
      </c>
      <c r="AC576" s="178">
        <f>FME_Ranking1[[#This Row],[Miles Score (Normalized, Unweighted)]]*$AA$3</f>
        <v>3.2672152386107357E-2</v>
      </c>
      <c r="AD576" s="255">
        <f>_xlfn.XLOOKUP(FME_Ranking1[[#This Row],[FME ID]],FME_Input[FME_ID],FME_Input[FARMACRE100])</f>
        <v>55.808460235595703</v>
      </c>
      <c r="AE576" s="230">
        <f>(FME_Ranking1[[#This Row],[Ag Land Raw]]/$AD$2)*100</f>
        <v>2.3012910733378202E-3</v>
      </c>
      <c r="AF576" s="231">
        <f>FME_Ranking1[[#This Row],[Ag Land Score (Normalized, Unweighted)]]*$AD$3</f>
        <v>1.1506455366689102E-4</v>
      </c>
      <c r="AG57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0.28962040103922415</v>
      </c>
      <c r="AH576" s="406">
        <f t="shared" si="8"/>
        <v>629</v>
      </c>
      <c r="AI57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0.28962040103922415</v>
      </c>
      <c r="AJ576" s="257">
        <f>FME_Ranking1[[#This Row],[Addition check]]-FME_Ranking1[[#This Row],[Weighted Score Based on Normalized Reported Factors]]</f>
        <v>0</v>
      </c>
      <c r="AK576" s="178">
        <f>_xlfn.RANK.EQ(AI576,$AI$6:$AI$2341,0)+COUNTIF($AI$6:AI576,AI576)-1</f>
        <v>631</v>
      </c>
    </row>
    <row r="577" spans="1:37" x14ac:dyDescent="0.25">
      <c r="A577" t="s">
        <v>1920</v>
      </c>
      <c r="B577">
        <f>_xlfn.XLOOKUP(FME_Ranking1[[#This Row],[FME ID]],FME_Input[FME_ID],FME_Input[RFPG_NUM])</f>
        <v>6</v>
      </c>
      <c r="C577" t="str">
        <f>_xlfn.XLOOKUP(FME_Ranking1[[#This Row],[FME ID]],FME_Input[FME_ID],FME_Input[FME_NAME])</f>
        <v>Willow Creek Watershed Plan- Immediate: Selective Clearing BNRR to Mouth</v>
      </c>
      <c r="D577" t="str">
        <f>_xlfn.XLOOKUP(FME_Ranking1[[#This Row],[FME ID]],FME_Input[FME_ID],FME_Input[DESCR])</f>
        <v>Study to develop a BCR required for this project to become a FMP. Selective clearing from BNRR to mouth to increase riverine storm water conveyance, maintain tree canopy &amp; veg. diversity, minimize impact on riparian &amp; uplands habitats.</v>
      </c>
      <c r="E577" s="256">
        <f>_xlfn.XLOOKUP(FME_Ranking1[[#This Row],[FME ID]],FME_Input[FME_ID],FME_Input[FME_COST])</f>
        <v>30000</v>
      </c>
      <c r="F577" t="str">
        <f>_xlfn.XLOOKUP(FME_Ranking1[[#This Row],[FME ID]],FME_Input[FME_ID],FME_Input[EMER_NEED])</f>
        <v>No</v>
      </c>
      <c r="G577">
        <f>IF(FME_Ranking!F577="Yes",100,0)</f>
        <v>0</v>
      </c>
      <c r="H577">
        <f>FME_Ranking1[[#This Row],[Emergency Need Score (Normalized, Unweighted)]]*$F$3</f>
        <v>0</v>
      </c>
      <c r="I577" s="246">
        <f>_xlfn.XLOOKUP(FME_Ranking1[[#This Row],[FME ID]],FME_Input[FME_ID],FME_Input[STRUCT_100])</f>
        <v>828</v>
      </c>
      <c r="J577" s="178">
        <f>(FME_Ranking1[[#This Row],[Structures 100 Raw]]/I$2)*100</f>
        <v>0.44338773936512021</v>
      </c>
      <c r="K577" s="178">
        <f>FME_Ranking1[[#This Row],[Structures 100  Score (Normalized, Unweighted)]]*$I$3</f>
        <v>6.6508160904768035E-2</v>
      </c>
      <c r="L577" s="246">
        <f>_xlfn.XLOOKUP(FME_Ranking1[[#This Row],[FME ID]],FME_Input[FME_ID],FME_Input[RES_STRUCT100])</f>
        <v>581</v>
      </c>
      <c r="M577" s="230">
        <f>(FME_Ranking1[[#This Row],[Res Structures Raw]]/L$2)*100</f>
        <v>0.41152554858268048</v>
      </c>
      <c r="N577" s="180">
        <f>FME_Ranking1[[#This Row],[Res Structures Score (Normalized, Unweighted)]]*$L$3</f>
        <v>4.1152554858268048E-2</v>
      </c>
      <c r="O577" s="244">
        <f>_xlfn.XLOOKUP(FME_Ranking1[[#This Row],[FME ID]],FME_Input[FME_ID],FME_Input[POP100])</f>
        <v>2443</v>
      </c>
      <c r="P577" s="178">
        <f>(FME_Ranking1[[#This Row],[Pop Raw]]/$O$2)*100</f>
        <v>0.25010288718854873</v>
      </c>
      <c r="Q577" s="178">
        <f>FME_Ranking1[[#This Row],[Pop Score (Normalized, Unweighted)]]*$O$3</f>
        <v>3.7515433078282305E-2</v>
      </c>
      <c r="R577" s="137">
        <f>_xlfn.XLOOKUP(FME_Ranking1[[#This Row],[FME ID]],FME_Input[FME_ID],FME_Input[CRITFAC100])</f>
        <v>6</v>
      </c>
      <c r="S577" s="230">
        <f>(FME_Ranking1[[#This Row],[Critical Facilities Raw]]/$R$2)*100</f>
        <v>0.25728987993138941</v>
      </c>
      <c r="T577" s="180">
        <f>FME_Ranking1[[#This Row],[Critical Facilities Score (Normalized, Unweighted)]]*$R$3</f>
        <v>5.1457975986277882E-2</v>
      </c>
      <c r="U577">
        <f>_xlfn.XLOOKUP(FME_Ranking1[[#This Row],[FME ID]],FME_Input[FME_ID],FME_Input[LWC])</f>
        <v>5</v>
      </c>
      <c r="V577" s="178">
        <f>(FME_Ranking1[[#This Row],[LWC Raw]]/$U$2)*100</f>
        <v>0.28785261945883706</v>
      </c>
      <c r="W577" s="178">
        <f>FME_Ranking1[[#This Row],[LWC Score (Normalized, Unweighted)]]*$U$3</f>
        <v>5.7570523891767415E-2</v>
      </c>
      <c r="X577" s="246">
        <f>_xlfn.XLOOKUP(FME_Ranking1[[#This Row],[FME ID]],FME_Input[FME_ID],FME_Input[ROADCLS])</f>
        <v>5</v>
      </c>
      <c r="Y577" s="230">
        <f>(FME_Ranking1[[#This Row],[Closures Raw]]/$X$2)*100</f>
        <v>5.2570707601724324E-2</v>
      </c>
      <c r="Z577" s="180">
        <f>FME_Ranking1[[#This Row],[Closures Score (Normalized, Unweighted)]]*$X$3</f>
        <v>2.6285353800862164E-3</v>
      </c>
      <c r="AA577" s="253">
        <f>_xlfn.XLOOKUP(FME_Ranking1[[#This Row],[FME ID]],FME_Input[FME_ID],FME_Input[ROAD_MILES100])</f>
        <v>24.8491325378418</v>
      </c>
      <c r="AB577" s="178">
        <f>(FME_Ranking1[[#This Row],[Miles Raw]]/$AA$2)*100</f>
        <v>0.32672152386107356</v>
      </c>
      <c r="AC577" s="178">
        <f>FME_Ranking1[[#This Row],[Miles Score (Normalized, Unweighted)]]*$AA$3</f>
        <v>3.2672152386107357E-2</v>
      </c>
      <c r="AD577" s="255">
        <f>_xlfn.XLOOKUP(FME_Ranking1[[#This Row],[FME ID]],FME_Input[FME_ID],FME_Input[FARMACRE100])</f>
        <v>55.808460235595703</v>
      </c>
      <c r="AE577" s="230">
        <f>(FME_Ranking1[[#This Row],[Ag Land Raw]]/$AD$2)*100</f>
        <v>2.3012910733378202E-3</v>
      </c>
      <c r="AF577" s="231">
        <f>FME_Ranking1[[#This Row],[Ag Land Score (Normalized, Unweighted)]]*$AD$3</f>
        <v>1.1506455366689102E-4</v>
      </c>
      <c r="AG57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0.28962040103922415</v>
      </c>
      <c r="AH577" s="406">
        <f t="shared" si="8"/>
        <v>629</v>
      </c>
      <c r="AI57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0.28962040103922415</v>
      </c>
      <c r="AJ577" s="257">
        <f>FME_Ranking1[[#This Row],[Addition check]]-FME_Ranking1[[#This Row],[Weighted Score Based on Normalized Reported Factors]]</f>
        <v>0</v>
      </c>
      <c r="AK577" s="178">
        <f>_xlfn.RANK.EQ(AI577,$AI$6:$AI$2341,0)+COUNTIF($AI$6:AI577,AI577)-1</f>
        <v>632</v>
      </c>
    </row>
    <row r="578" spans="1:37" x14ac:dyDescent="0.25">
      <c r="A578" t="s">
        <v>1925</v>
      </c>
      <c r="B578">
        <f>_xlfn.XLOOKUP(FME_Ranking1[[#This Row],[FME ID]],FME_Input[FME_ID],FME_Input[RFPG_NUM])</f>
        <v>6</v>
      </c>
      <c r="C578" t="str">
        <f>_xlfn.XLOOKUP(FME_Ranking1[[#This Row],[FME ID]],FME_Input[FME_ID],FME_Input[FME_NAME])</f>
        <v>Willow Creek Watershed Plan - M120 Detention/Preservation Site</v>
      </c>
      <c r="D578" t="str">
        <f>_xlfn.XLOOKUP(FME_Ranking1[[#This Row],[FME ID]],FME_Input[FME_ID],FME_Input[DESCR])</f>
        <v>Study to develop BCA to become a FMP. Pursue purchase of  property for regional detention, floodplain preservation, &amp; habitat preservation.</v>
      </c>
      <c r="E578" s="256">
        <f>_xlfn.XLOOKUP(FME_Ranking1[[#This Row],[FME ID]],FME_Input[FME_ID],FME_Input[FME_COST])</f>
        <v>30000</v>
      </c>
      <c r="F578" t="str">
        <f>_xlfn.XLOOKUP(FME_Ranking1[[#This Row],[FME ID]],FME_Input[FME_ID],FME_Input[EMER_NEED])</f>
        <v>No</v>
      </c>
      <c r="G578">
        <f>IF(FME_Ranking!F578="Yes",100,0)</f>
        <v>0</v>
      </c>
      <c r="H578">
        <f>FME_Ranking1[[#This Row],[Emergency Need Score (Normalized, Unweighted)]]*$F$3</f>
        <v>0</v>
      </c>
      <c r="I578" s="246">
        <f>_xlfn.XLOOKUP(FME_Ranking1[[#This Row],[FME ID]],FME_Input[FME_ID],FME_Input[STRUCT_100])</f>
        <v>828</v>
      </c>
      <c r="J578" s="178">
        <f>(FME_Ranking1[[#This Row],[Structures 100 Raw]]/I$2)*100</f>
        <v>0.44338773936512021</v>
      </c>
      <c r="K578" s="178">
        <f>FME_Ranking1[[#This Row],[Structures 100  Score (Normalized, Unweighted)]]*$I$3</f>
        <v>6.6508160904768035E-2</v>
      </c>
      <c r="L578" s="246">
        <f>_xlfn.XLOOKUP(FME_Ranking1[[#This Row],[FME ID]],FME_Input[FME_ID],FME_Input[RES_STRUCT100])</f>
        <v>581</v>
      </c>
      <c r="M578" s="230">
        <f>(FME_Ranking1[[#This Row],[Res Structures Raw]]/L$2)*100</f>
        <v>0.41152554858268048</v>
      </c>
      <c r="N578" s="180">
        <f>FME_Ranking1[[#This Row],[Res Structures Score (Normalized, Unweighted)]]*$L$3</f>
        <v>4.1152554858268048E-2</v>
      </c>
      <c r="O578" s="244">
        <f>_xlfn.XLOOKUP(FME_Ranking1[[#This Row],[FME ID]],FME_Input[FME_ID],FME_Input[POP100])</f>
        <v>2443</v>
      </c>
      <c r="P578" s="178">
        <f>(FME_Ranking1[[#This Row],[Pop Raw]]/$O$2)*100</f>
        <v>0.25010288718854873</v>
      </c>
      <c r="Q578" s="178">
        <f>FME_Ranking1[[#This Row],[Pop Score (Normalized, Unweighted)]]*$O$3</f>
        <v>3.7515433078282305E-2</v>
      </c>
      <c r="R578" s="137">
        <f>_xlfn.XLOOKUP(FME_Ranking1[[#This Row],[FME ID]],FME_Input[FME_ID],FME_Input[CRITFAC100])</f>
        <v>6</v>
      </c>
      <c r="S578" s="230">
        <f>(FME_Ranking1[[#This Row],[Critical Facilities Raw]]/$R$2)*100</f>
        <v>0.25728987993138941</v>
      </c>
      <c r="T578" s="180">
        <f>FME_Ranking1[[#This Row],[Critical Facilities Score (Normalized, Unweighted)]]*$R$3</f>
        <v>5.1457975986277882E-2</v>
      </c>
      <c r="U578">
        <f>_xlfn.XLOOKUP(FME_Ranking1[[#This Row],[FME ID]],FME_Input[FME_ID],FME_Input[LWC])</f>
        <v>5</v>
      </c>
      <c r="V578" s="178">
        <f>(FME_Ranking1[[#This Row],[LWC Raw]]/$U$2)*100</f>
        <v>0.28785261945883706</v>
      </c>
      <c r="W578" s="178">
        <f>FME_Ranking1[[#This Row],[LWC Score (Normalized, Unweighted)]]*$U$3</f>
        <v>5.7570523891767415E-2</v>
      </c>
      <c r="X578" s="246">
        <f>_xlfn.XLOOKUP(FME_Ranking1[[#This Row],[FME ID]],FME_Input[FME_ID],FME_Input[ROADCLS])</f>
        <v>5</v>
      </c>
      <c r="Y578" s="230">
        <f>(FME_Ranking1[[#This Row],[Closures Raw]]/$X$2)*100</f>
        <v>5.2570707601724324E-2</v>
      </c>
      <c r="Z578" s="180">
        <f>FME_Ranking1[[#This Row],[Closures Score (Normalized, Unweighted)]]*$X$3</f>
        <v>2.6285353800862164E-3</v>
      </c>
      <c r="AA578" s="253">
        <f>_xlfn.XLOOKUP(FME_Ranking1[[#This Row],[FME ID]],FME_Input[FME_ID],FME_Input[ROAD_MILES100])</f>
        <v>24.8491325378418</v>
      </c>
      <c r="AB578" s="178">
        <f>(FME_Ranking1[[#This Row],[Miles Raw]]/$AA$2)*100</f>
        <v>0.32672152386107356</v>
      </c>
      <c r="AC578" s="178">
        <f>FME_Ranking1[[#This Row],[Miles Score (Normalized, Unweighted)]]*$AA$3</f>
        <v>3.2672152386107357E-2</v>
      </c>
      <c r="AD578" s="255">
        <f>_xlfn.XLOOKUP(FME_Ranking1[[#This Row],[FME ID]],FME_Input[FME_ID],FME_Input[FARMACRE100])</f>
        <v>55.808460235595703</v>
      </c>
      <c r="AE578" s="230">
        <f>(FME_Ranking1[[#This Row],[Ag Land Raw]]/$AD$2)*100</f>
        <v>2.3012910733378202E-3</v>
      </c>
      <c r="AF578" s="231">
        <f>FME_Ranking1[[#This Row],[Ag Land Score (Normalized, Unweighted)]]*$AD$3</f>
        <v>1.1506455366689102E-4</v>
      </c>
      <c r="AG57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0.28962040103922415</v>
      </c>
      <c r="AH578" s="406">
        <f t="shared" si="8"/>
        <v>629</v>
      </c>
      <c r="AI57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0.28962040103922415</v>
      </c>
      <c r="AJ578" s="257">
        <f>FME_Ranking1[[#This Row],[Addition check]]-FME_Ranking1[[#This Row],[Weighted Score Based on Normalized Reported Factors]]</f>
        <v>0</v>
      </c>
      <c r="AK578" s="178">
        <f>_xlfn.RANK.EQ(AI578,$AI$6:$AI$2341,0)+COUNTIF($AI$6:AI578,AI578)-1</f>
        <v>633</v>
      </c>
    </row>
    <row r="579" spans="1:37" x14ac:dyDescent="0.25">
      <c r="A579" t="s">
        <v>3510</v>
      </c>
      <c r="B579">
        <f>_xlfn.XLOOKUP(FME_Ranking1[[#This Row],[FME ID]],FME_Input[FME_ID],FME_Input[RFPG_NUM])</f>
        <v>2</v>
      </c>
      <c r="C579" t="str">
        <f>_xlfn.XLOOKUP(FME_Ranking1[[#This Row],[FME ID]],FME_Input[FME_ID],FME_Input[FME_NAME])</f>
        <v>Hopkins County FIS</v>
      </c>
      <c r="D579" t="str">
        <f>_xlfn.XLOOKUP(FME_Ranking1[[#This Row],[FME ID]],FME_Input[FME_ID],FME_Input[DESCR])</f>
        <v>Update County maps to Zone AE</v>
      </c>
      <c r="E579" s="256">
        <f>_xlfn.XLOOKUP(FME_Ranking1[[#This Row],[FME ID]],FME_Input[FME_ID],FME_Input[FME_COST])</f>
        <v>2061000</v>
      </c>
      <c r="F579" t="str">
        <f>_xlfn.XLOOKUP(FME_Ranking1[[#This Row],[FME ID]],FME_Input[FME_ID],FME_Input[EMER_NEED])</f>
        <v>No</v>
      </c>
      <c r="G579">
        <f>IF(FME_Ranking!F579="Yes",100,0)</f>
        <v>0</v>
      </c>
      <c r="H579">
        <f>FME_Ranking1[[#This Row],[Emergency Need Score (Normalized, Unweighted)]]*$F$3</f>
        <v>0</v>
      </c>
      <c r="I579" s="246">
        <f>_xlfn.XLOOKUP(FME_Ranking1[[#This Row],[FME ID]],FME_Input[FME_ID],FME_Input[STRUCT_100])</f>
        <v>702</v>
      </c>
      <c r="J579" s="178">
        <f>(FME_Ranking1[[#This Row],[Structures 100 Raw]]/I$2)*100</f>
        <v>0.37591569207042796</v>
      </c>
      <c r="K579" s="178">
        <f>FME_Ranking1[[#This Row],[Structures 100  Score (Normalized, Unweighted)]]*$I$3</f>
        <v>5.6387353810564193E-2</v>
      </c>
      <c r="L579" s="246">
        <f>_xlfn.XLOOKUP(FME_Ranking1[[#This Row],[FME ID]],FME_Input[FME_ID],FME_Input[RES_STRUCT100])</f>
        <v>381</v>
      </c>
      <c r="M579" s="230">
        <f>(FME_Ranking1[[#This Row],[Res Structures Raw]]/L$2)*100</f>
        <v>0.26986443030981289</v>
      </c>
      <c r="N579" s="180">
        <f>FME_Ranking1[[#This Row],[Res Structures Score (Normalized, Unweighted)]]*$L$3</f>
        <v>2.6986443030981289E-2</v>
      </c>
      <c r="O579" s="244">
        <f>_xlfn.XLOOKUP(FME_Ranking1[[#This Row],[FME ID]],FME_Input[FME_ID],FME_Input[POP100])</f>
        <v>5081</v>
      </c>
      <c r="P579" s="178">
        <f>(FME_Ranking1[[#This Row],[Pop Raw]]/$O$2)*100</f>
        <v>0.52016896021490622</v>
      </c>
      <c r="Q579" s="178">
        <f>FME_Ranking1[[#This Row],[Pop Score (Normalized, Unweighted)]]*$O$3</f>
        <v>7.8025344032235933E-2</v>
      </c>
      <c r="R579" s="137">
        <f>_xlfn.XLOOKUP(FME_Ranking1[[#This Row],[FME ID]],FME_Input[FME_ID],FME_Input[CRITFAC100])</f>
        <v>5</v>
      </c>
      <c r="S579" s="230">
        <f>(FME_Ranking1[[#This Row],[Critical Facilities Raw]]/$R$2)*100</f>
        <v>0.21440823327615782</v>
      </c>
      <c r="T579" s="180">
        <f>FME_Ranking1[[#This Row],[Critical Facilities Score (Normalized, Unweighted)]]*$R$3</f>
        <v>4.2881646655231566E-2</v>
      </c>
      <c r="U579">
        <f>_xlfn.XLOOKUP(FME_Ranking1[[#This Row],[FME ID]],FME_Input[FME_ID],FME_Input[LWC])</f>
        <v>3</v>
      </c>
      <c r="V579" s="178">
        <f>(FME_Ranking1[[#This Row],[LWC Raw]]/$U$2)*100</f>
        <v>0.17271157167530224</v>
      </c>
      <c r="W579" s="178">
        <f>FME_Ranking1[[#This Row],[LWC Score (Normalized, Unweighted)]]*$U$3</f>
        <v>3.4542314335060449E-2</v>
      </c>
      <c r="X579" s="246">
        <f>_xlfn.XLOOKUP(FME_Ranking1[[#This Row],[FME ID]],FME_Input[FME_ID],FME_Input[ROADCLS])</f>
        <v>0</v>
      </c>
      <c r="Y579" s="230">
        <f>(FME_Ranking1[[#This Row],[Closures Raw]]/$X$2)*100</f>
        <v>0</v>
      </c>
      <c r="Z579" s="180">
        <f>FME_Ranking1[[#This Row],[Closures Score (Normalized, Unweighted)]]*$X$3</f>
        <v>0</v>
      </c>
      <c r="AA579" s="253">
        <f>_xlfn.XLOOKUP(FME_Ranking1[[#This Row],[FME ID]],FME_Input[FME_ID],FME_Input[ROAD_MILES100])</f>
        <v>148.55351257324219</v>
      </c>
      <c r="AB579" s="178">
        <f>(FME_Ranking1[[#This Row],[Miles Raw]]/$AA$2)*100</f>
        <v>1.9532122471048747</v>
      </c>
      <c r="AC579" s="178">
        <f>FME_Ranking1[[#This Row],[Miles Score (Normalized, Unweighted)]]*$AA$3</f>
        <v>0.19532122471048749</v>
      </c>
      <c r="AD579" s="255">
        <f>_xlfn.XLOOKUP(FME_Ranking1[[#This Row],[FME ID]],FME_Input[FME_ID],FME_Input[FARMACRE100])</f>
        <v>8634.119140625</v>
      </c>
      <c r="AE579" s="230">
        <f>(FME_Ranking1[[#This Row],[Ag Land Raw]]/$AD$2)*100</f>
        <v>0.35603242269318686</v>
      </c>
      <c r="AF579" s="231">
        <f>FME_Ranking1[[#This Row],[Ag Land Score (Normalized, Unweighted)]]*$AD$3</f>
        <v>1.7801621134659343E-2</v>
      </c>
      <c r="AG57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0.45194594770922025</v>
      </c>
      <c r="AH579" s="406">
        <f t="shared" si="8"/>
        <v>475</v>
      </c>
      <c r="AI57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0.45194594770922025</v>
      </c>
      <c r="AJ579" s="257">
        <f>FME_Ranking1[[#This Row],[Addition check]]-FME_Ranking1[[#This Row],[Weighted Score Based on Normalized Reported Factors]]</f>
        <v>0</v>
      </c>
      <c r="AK579" s="178">
        <f>_xlfn.RANK.EQ(AI579,$AI$6:$AI$2341,0)+COUNTIF($AI$6:AI579,AI579)-1</f>
        <v>475</v>
      </c>
    </row>
    <row r="580" spans="1:37" x14ac:dyDescent="0.25">
      <c r="A580" t="s">
        <v>9936</v>
      </c>
      <c r="B580">
        <f>_xlfn.XLOOKUP(FME_Ranking1[[#This Row],[FME ID]],FME_Input[FME_ID],FME_Input[RFPG_NUM])</f>
        <v>13</v>
      </c>
      <c r="C580" t="str">
        <f>_xlfn.XLOOKUP(FME_Ranking1[[#This Row],[FME ID]],FME_Input[FME_ID],FME_Input[FME_NAME])</f>
        <v>D'Hanis Flood Study</v>
      </c>
      <c r="D580" t="str">
        <f>_xlfn.XLOOKUP(FME_Ranking1[[#This Row],[FME ID]],FME_Input[FME_ID],FME_Input[DESCR])</f>
        <v>D'Hanis Flood Study needed from Leakey road show on 3/21/2022</v>
      </c>
      <c r="E580" s="256">
        <f>_xlfn.XLOOKUP(FME_Ranking1[[#This Row],[FME ID]],FME_Input[FME_ID],FME_Input[FME_COST])</f>
        <v>250000</v>
      </c>
      <c r="F580" t="str">
        <f>_xlfn.XLOOKUP(FME_Ranking1[[#This Row],[FME ID]],FME_Input[FME_ID],FME_Input[EMER_NEED])</f>
        <v>Yes</v>
      </c>
      <c r="G580">
        <f>IF(FME_Ranking!F580="Yes",100,0)</f>
        <v>100</v>
      </c>
      <c r="H580">
        <f>FME_Ranking1[[#This Row],[Emergency Need Score (Normalized, Unweighted)]]*$F$3</f>
        <v>0</v>
      </c>
      <c r="I580" s="246">
        <f>_xlfn.XLOOKUP(FME_Ranking1[[#This Row],[FME ID]],FME_Input[FME_ID],FME_Input[STRUCT_100])</f>
        <v>253</v>
      </c>
      <c r="J580" s="178">
        <f>(FME_Ranking1[[#This Row],[Structures 100 Raw]]/I$2)*100</f>
        <v>0.13547958702823118</v>
      </c>
      <c r="K580" s="178">
        <f>FME_Ranking1[[#This Row],[Structures 100  Score (Normalized, Unweighted)]]*$I$3</f>
        <v>2.0321938054234677E-2</v>
      </c>
      <c r="L580" s="246">
        <f>_xlfn.XLOOKUP(FME_Ranking1[[#This Row],[FME ID]],FME_Input[FME_ID],FME_Input[RES_STRUCT100])</f>
        <v>154</v>
      </c>
      <c r="M580" s="230">
        <f>(FME_Ranking1[[#This Row],[Res Structures Raw]]/L$2)*100</f>
        <v>0.10907906107010809</v>
      </c>
      <c r="N580" s="180">
        <f>FME_Ranking1[[#This Row],[Res Structures Score (Normalized, Unweighted)]]*$L$3</f>
        <v>1.090790610701081E-2</v>
      </c>
      <c r="O580" s="244">
        <f>_xlfn.XLOOKUP(FME_Ranking1[[#This Row],[FME ID]],FME_Input[FME_ID],FME_Input[POP100])</f>
        <v>591</v>
      </c>
      <c r="P580" s="178">
        <f>(FME_Ranking1[[#This Row],[Pop Raw]]/$O$2)*100</f>
        <v>6.0503809385359104E-2</v>
      </c>
      <c r="Q580" s="178">
        <f>FME_Ranking1[[#This Row],[Pop Score (Normalized, Unweighted)]]*$O$3</f>
        <v>9.0755714078038646E-3</v>
      </c>
      <c r="R580" s="137">
        <f>_xlfn.XLOOKUP(FME_Ranking1[[#This Row],[FME ID]],FME_Input[FME_ID],FME_Input[CRITFAC100])</f>
        <v>16</v>
      </c>
      <c r="S580" s="230">
        <f>(FME_Ranking1[[#This Row],[Critical Facilities Raw]]/$R$2)*100</f>
        <v>0.68610634648370494</v>
      </c>
      <c r="T580" s="180">
        <f>FME_Ranking1[[#This Row],[Critical Facilities Score (Normalized, Unweighted)]]*$R$3</f>
        <v>0.137221269296741</v>
      </c>
      <c r="U580">
        <f>_xlfn.XLOOKUP(FME_Ranking1[[#This Row],[FME ID]],FME_Input[FME_ID],FME_Input[LWC])</f>
        <v>5</v>
      </c>
      <c r="V580" s="178">
        <f>(FME_Ranking1[[#This Row],[LWC Raw]]/$U$2)*100</f>
        <v>0.28785261945883706</v>
      </c>
      <c r="W580" s="178">
        <f>FME_Ranking1[[#This Row],[LWC Score (Normalized, Unweighted)]]*$U$3</f>
        <v>5.7570523891767415E-2</v>
      </c>
      <c r="X580" s="246">
        <f>_xlfn.XLOOKUP(FME_Ranking1[[#This Row],[FME ID]],FME_Input[FME_ID],FME_Input[ROADCLS])</f>
        <v>39</v>
      </c>
      <c r="Y580" s="230">
        <f>(FME_Ranking1[[#This Row],[Closures Raw]]/$X$2)*100</f>
        <v>0.41005151929344974</v>
      </c>
      <c r="Z580" s="180">
        <f>FME_Ranking1[[#This Row],[Closures Score (Normalized, Unweighted)]]*$X$3</f>
        <v>2.050257596467249E-2</v>
      </c>
      <c r="AA580" s="253">
        <f>_xlfn.XLOOKUP(FME_Ranking1[[#This Row],[FME ID]],FME_Input[FME_ID],FME_Input[ROAD_MILES100])</f>
        <v>15.650216102600099</v>
      </c>
      <c r="AB580" s="178">
        <f>(FME_Ranking1[[#This Row],[Miles Raw]]/$AA$2)*100</f>
        <v>0.20577227176883633</v>
      </c>
      <c r="AC580" s="178">
        <f>FME_Ranking1[[#This Row],[Miles Score (Normalized, Unweighted)]]*$AA$3</f>
        <v>2.0577227176883636E-2</v>
      </c>
      <c r="AD580" s="255">
        <f>_xlfn.XLOOKUP(FME_Ranking1[[#This Row],[FME ID]],FME_Input[FME_ID],FME_Input[FARMACRE100])</f>
        <v>404.71774291992188</v>
      </c>
      <c r="AE580" s="230">
        <f>(FME_Ranking1[[#This Row],[Ag Land Raw]]/$AD$2)*100</f>
        <v>1.6688747997548214E-2</v>
      </c>
      <c r="AF580" s="231">
        <f>FME_Ranking1[[#This Row],[Ag Land Score (Normalized, Unweighted)]]*$AD$3</f>
        <v>8.3443739987741075E-4</v>
      </c>
      <c r="AG58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0.27701144929899135</v>
      </c>
      <c r="AH580" s="406">
        <f t="shared" si="8"/>
        <v>646</v>
      </c>
      <c r="AI58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0.27701144929899135</v>
      </c>
      <c r="AJ580" s="257">
        <f>FME_Ranking1[[#This Row],[Addition check]]-FME_Ranking1[[#This Row],[Weighted Score Based on Normalized Reported Factors]]</f>
        <v>0</v>
      </c>
      <c r="AK580" s="178">
        <f>_xlfn.RANK.EQ(AI580,$AI$6:$AI$2341,0)+COUNTIF($AI$6:AI580,AI580)-1</f>
        <v>646</v>
      </c>
    </row>
    <row r="581" spans="1:37" x14ac:dyDescent="0.25">
      <c r="A581" t="s">
        <v>7780</v>
      </c>
      <c r="B581">
        <f>_xlfn.XLOOKUP(FME_Ranking1[[#This Row],[FME ID]],FME_Input[FME_ID],FME_Input[RFPG_NUM])</f>
        <v>8</v>
      </c>
      <c r="C581" t="str">
        <f>_xlfn.XLOOKUP(FME_Ranking1[[#This Row],[FME ID]],FME_Input[FME_ID],FME_Input[FME_NAME])</f>
        <v>Waller County Master Drainage Plan</v>
      </c>
      <c r="D581" t="str">
        <f>_xlfn.XLOOKUP(FME_Ranking1[[#This Row],[FME ID]],FME_Input[FME_ID],FME_Input[DESCR])</f>
        <v>Study to determine food risk and potential solutions throughout the county.</v>
      </c>
      <c r="E581" s="256">
        <f>_xlfn.XLOOKUP(FME_Ranking1[[#This Row],[FME ID]],FME_Input[FME_ID],FME_Input[FME_COST])</f>
        <v>1430000</v>
      </c>
      <c r="F581" t="str">
        <f>_xlfn.XLOOKUP(FME_Ranking1[[#This Row],[FME ID]],FME_Input[FME_ID],FME_Input[EMER_NEED])</f>
        <v>No</v>
      </c>
      <c r="G581">
        <f>IF(FME_Ranking!F581="Yes",100,0)</f>
        <v>0</v>
      </c>
      <c r="H581">
        <f>FME_Ranking1[[#This Row],[Emergency Need Score (Normalized, Unweighted)]]*$F$3</f>
        <v>0</v>
      </c>
      <c r="I581" s="246">
        <f>_xlfn.XLOOKUP(FME_Ranking1[[#This Row],[FME ID]],FME_Input[FME_ID],FME_Input[STRUCT_100])</f>
        <v>2038</v>
      </c>
      <c r="J581" s="178">
        <f>(FME_Ranking1[[#This Row],[Structures 100 Raw]]/I$2)*100</f>
        <v>1.0913335903697041</v>
      </c>
      <c r="K581" s="178">
        <f>FME_Ranking1[[#This Row],[Structures 100  Score (Normalized, Unweighted)]]*$I$3</f>
        <v>0.16370003855545562</v>
      </c>
      <c r="L581" s="246">
        <f>_xlfn.XLOOKUP(FME_Ranking1[[#This Row],[FME ID]],FME_Input[FME_ID],FME_Input[RES_STRUCT100])</f>
        <v>1007</v>
      </c>
      <c r="M581" s="230">
        <f>(FME_Ranking1[[#This Row],[Res Structures Raw]]/L$2)*100</f>
        <v>0.71326373050388858</v>
      </c>
      <c r="N581" s="180">
        <f>FME_Ranking1[[#This Row],[Res Structures Score (Normalized, Unweighted)]]*$L$3</f>
        <v>7.1326373050388858E-2</v>
      </c>
      <c r="O581" s="244">
        <f>_xlfn.XLOOKUP(FME_Ranking1[[#This Row],[FME ID]],FME_Input[FME_ID],FME_Input[POP100])</f>
        <v>1327</v>
      </c>
      <c r="P581" s="178">
        <f>(FME_Ranking1[[#This Row],[Pop Raw]]/$O$2)*100</f>
        <v>0.13585203900908888</v>
      </c>
      <c r="Q581" s="178">
        <f>FME_Ranking1[[#This Row],[Pop Score (Normalized, Unweighted)]]*$O$3</f>
        <v>2.0377805851363329E-2</v>
      </c>
      <c r="R581" s="137">
        <f>_xlfn.XLOOKUP(FME_Ranking1[[#This Row],[FME ID]],FME_Input[FME_ID],FME_Input[CRITFAC100])</f>
        <v>0</v>
      </c>
      <c r="S581" s="230">
        <f>(FME_Ranking1[[#This Row],[Critical Facilities Raw]]/$R$2)*100</f>
        <v>0</v>
      </c>
      <c r="T581" s="180">
        <f>FME_Ranking1[[#This Row],[Critical Facilities Score (Normalized, Unweighted)]]*$R$3</f>
        <v>0</v>
      </c>
      <c r="U581">
        <f>_xlfn.XLOOKUP(FME_Ranking1[[#This Row],[FME ID]],FME_Input[FME_ID],FME_Input[LWC])</f>
        <v>0</v>
      </c>
      <c r="V581" s="178">
        <f>(FME_Ranking1[[#This Row],[LWC Raw]]/$U$2)*100</f>
        <v>0</v>
      </c>
      <c r="W581" s="178">
        <f>FME_Ranking1[[#This Row],[LWC Score (Normalized, Unweighted)]]*$U$3</f>
        <v>0</v>
      </c>
      <c r="X581" s="246">
        <f>_xlfn.XLOOKUP(FME_Ranking1[[#This Row],[FME ID]],FME_Input[FME_ID],FME_Input[ROADCLS])</f>
        <v>0</v>
      </c>
      <c r="Y581" s="230">
        <f>(FME_Ranking1[[#This Row],[Closures Raw]]/$X$2)*100</f>
        <v>0</v>
      </c>
      <c r="Z581" s="180">
        <f>FME_Ranking1[[#This Row],[Closures Score (Normalized, Unweighted)]]*$X$3</f>
        <v>0</v>
      </c>
      <c r="AA581" s="253">
        <f>_xlfn.XLOOKUP(FME_Ranking1[[#This Row],[FME ID]],FME_Input[FME_ID],FME_Input[ROAD_MILES100])</f>
        <v>90.222297668457031</v>
      </c>
      <c r="AB581" s="178">
        <f>(FME_Ranking1[[#This Row],[Miles Raw]]/$AA$2)*100</f>
        <v>1.1862613930524699</v>
      </c>
      <c r="AC581" s="178">
        <f>FME_Ranking1[[#This Row],[Miles Score (Normalized, Unweighted)]]*$AA$3</f>
        <v>0.118626139305247</v>
      </c>
      <c r="AD581" s="255">
        <f>_xlfn.XLOOKUP(FME_Ranking1[[#This Row],[FME ID]],FME_Input[FME_ID],FME_Input[FARMACRE100])</f>
        <v>3.288199901580811</v>
      </c>
      <c r="AE581" s="230">
        <f>(FME_Ranking1[[#This Row],[Ag Land Raw]]/$AD$2)*100</f>
        <v>1.3559064430220159E-4</v>
      </c>
      <c r="AF581" s="231">
        <f>FME_Ranking1[[#This Row],[Ag Land Score (Normalized, Unweighted)]]*$AD$3</f>
        <v>6.7795322151100801E-6</v>
      </c>
      <c r="AG58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0.37403713629466995</v>
      </c>
      <c r="AH581" s="406">
        <f t="shared" si="8"/>
        <v>543</v>
      </c>
      <c r="AI58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0.37403713629466995</v>
      </c>
      <c r="AJ581" s="257">
        <f>FME_Ranking1[[#This Row],[Addition check]]-FME_Ranking1[[#This Row],[Weighted Score Based on Normalized Reported Factors]]</f>
        <v>0</v>
      </c>
      <c r="AK581" s="178">
        <f>_xlfn.RANK.EQ(AI581,$AI$6:$AI$2341,0)+COUNTIF($AI$6:AI581,AI581)-1</f>
        <v>543</v>
      </c>
    </row>
    <row r="582" spans="1:37" x14ac:dyDescent="0.25">
      <c r="A582" t="s">
        <v>2540</v>
      </c>
      <c r="B582">
        <f>_xlfn.XLOOKUP(FME_Ranking1[[#This Row],[FME ID]],FME_Input[FME_ID],FME_Input[RFPG_NUM])</f>
        <v>1</v>
      </c>
      <c r="C582" t="str">
        <f>_xlfn.XLOOKUP(FME_Ranking1[[#This Row],[FME ID]],FME_Input[FME_ID],FME_Input[FME_NAME])</f>
        <v>Wheeler County Drainage Master Plan</v>
      </c>
      <c r="D582" t="str">
        <f>_xlfn.XLOOKUP(FME_Ranking1[[#This Row],[FME ID]],FME_Input[FME_ID],FME_Input[DESCR])</f>
        <v>Perform H&amp;H modeling, develop conceptual alternatives and OPCC, and rank projects; selected based on HMAPs</v>
      </c>
      <c r="E582" s="256">
        <f>_xlfn.XLOOKUP(FME_Ranking1[[#This Row],[FME ID]],FME_Input[FME_ID],FME_Input[FME_COST])</f>
        <v>500000</v>
      </c>
      <c r="F582" t="str">
        <f>_xlfn.XLOOKUP(FME_Ranking1[[#This Row],[FME ID]],FME_Input[FME_ID],FME_Input[EMER_NEED])</f>
        <v>No</v>
      </c>
      <c r="G582">
        <f>IF(FME_Ranking!F582="Yes",100,0)</f>
        <v>0</v>
      </c>
      <c r="H582">
        <f>FME_Ranking1[[#This Row],[Emergency Need Score (Normalized, Unweighted)]]*$F$3</f>
        <v>0</v>
      </c>
      <c r="I582" s="246">
        <f>_xlfn.XLOOKUP(FME_Ranking1[[#This Row],[FME ID]],FME_Input[FME_ID],FME_Input[STRUCT_100])</f>
        <v>191</v>
      </c>
      <c r="J582" s="178">
        <f>(FME_Ranking1[[#This Row],[Structures 100 Raw]]/I$2)*100</f>
        <v>0.10227905581973182</v>
      </c>
      <c r="K582" s="178">
        <f>FME_Ranking1[[#This Row],[Structures 100  Score (Normalized, Unweighted)]]*$I$3</f>
        <v>1.5341858372959772E-2</v>
      </c>
      <c r="L582" s="246">
        <f>_xlfn.XLOOKUP(FME_Ranking1[[#This Row],[FME ID]],FME_Input[FME_ID],FME_Input[RES_STRUCT100])</f>
        <v>71</v>
      </c>
      <c r="M582" s="230">
        <f>(FME_Ranking1[[#This Row],[Res Structures Raw]]/L$2)*100</f>
        <v>5.0289696986868013E-2</v>
      </c>
      <c r="N582" s="180">
        <f>FME_Ranking1[[#This Row],[Res Structures Score (Normalized, Unweighted)]]*$L$3</f>
        <v>5.0289696986868014E-3</v>
      </c>
      <c r="O582" s="244">
        <f>_xlfn.XLOOKUP(FME_Ranking1[[#This Row],[FME ID]],FME_Input[FME_ID],FME_Input[POP100])</f>
        <v>338</v>
      </c>
      <c r="P582" s="178">
        <f>(FME_Ranking1[[#This Row],[Pop Raw]]/$O$2)*100</f>
        <v>3.4602855452201993E-2</v>
      </c>
      <c r="Q582" s="178">
        <f>FME_Ranking1[[#This Row],[Pop Score (Normalized, Unweighted)]]*$O$3</f>
        <v>5.1904283178302989E-3</v>
      </c>
      <c r="R582" s="137">
        <f>_xlfn.XLOOKUP(FME_Ranking1[[#This Row],[FME ID]],FME_Input[FME_ID],FME_Input[CRITFAC100])</f>
        <v>4</v>
      </c>
      <c r="S582" s="230">
        <f>(FME_Ranking1[[#This Row],[Critical Facilities Raw]]/$R$2)*100</f>
        <v>0.17152658662092624</v>
      </c>
      <c r="T582" s="180">
        <f>FME_Ranking1[[#This Row],[Critical Facilities Score (Normalized, Unweighted)]]*$R$3</f>
        <v>3.430531732418525E-2</v>
      </c>
      <c r="U582">
        <f>_xlfn.XLOOKUP(FME_Ranking1[[#This Row],[FME ID]],FME_Input[FME_ID],FME_Input[LWC])</f>
        <v>4</v>
      </c>
      <c r="V582" s="178">
        <f>(FME_Ranking1[[#This Row],[LWC Raw]]/$U$2)*100</f>
        <v>0.23028209556706969</v>
      </c>
      <c r="W582" s="178">
        <f>FME_Ranking1[[#This Row],[LWC Score (Normalized, Unweighted)]]*$U$3</f>
        <v>4.6056419113413939E-2</v>
      </c>
      <c r="X582" s="246">
        <f>_xlfn.XLOOKUP(FME_Ranking1[[#This Row],[FME ID]],FME_Input[FME_ID],FME_Input[ROADCLS])</f>
        <v>4</v>
      </c>
      <c r="Y582" s="230">
        <f>(FME_Ranking1[[#This Row],[Closures Raw]]/$X$2)*100</f>
        <v>4.2056566081379455E-2</v>
      </c>
      <c r="Z582" s="180">
        <f>FME_Ranking1[[#This Row],[Closures Score (Normalized, Unweighted)]]*$X$3</f>
        <v>2.1028283040689729E-3</v>
      </c>
      <c r="AA582" s="253">
        <f>_xlfn.XLOOKUP(FME_Ranking1[[#This Row],[FME ID]],FME_Input[FME_ID],FME_Input[ROAD_MILES100])</f>
        <v>65.061424255371094</v>
      </c>
      <c r="AB582" s="178">
        <f>(FME_Ranking1[[#This Row],[Miles Raw]]/$AA$2)*100</f>
        <v>0.85544103581544473</v>
      </c>
      <c r="AC582" s="178">
        <f>FME_Ranking1[[#This Row],[Miles Score (Normalized, Unweighted)]]*$AA$3</f>
        <v>8.5544103581544476E-2</v>
      </c>
      <c r="AD582" s="255">
        <f>_xlfn.XLOOKUP(FME_Ranking1[[#This Row],[FME ID]],FME_Input[FME_ID],FME_Input[FARMACRE100])</f>
        <v>70021.9609375</v>
      </c>
      <c r="AE582" s="230">
        <f>(FME_Ranking1[[#This Row],[Ag Land Raw]]/$AD$2)*100</f>
        <v>2.8873922154960212</v>
      </c>
      <c r="AF582" s="231">
        <f>FME_Ranking1[[#This Row],[Ag Land Score (Normalized, Unweighted)]]*$AD$3</f>
        <v>0.14436961077480107</v>
      </c>
      <c r="AG58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0.33793953548749056</v>
      </c>
      <c r="AH582" s="406">
        <f t="shared" ref="AH582:AH645" si="9">_xlfn.RANK.EQ(AG582,$AG$6:$AG$2341,0)</f>
        <v>583</v>
      </c>
      <c r="AI58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0.33793953548749056</v>
      </c>
      <c r="AJ582" s="257">
        <f>FME_Ranking1[[#This Row],[Addition check]]-FME_Ranking1[[#This Row],[Weighted Score Based on Normalized Reported Factors]]</f>
        <v>0</v>
      </c>
      <c r="AK582" s="178">
        <f>_xlfn.RANK.EQ(AI582,$AI$6:$AI$2341,0)+COUNTIF($AI$6:AI582,AI582)-1</f>
        <v>583</v>
      </c>
    </row>
    <row r="583" spans="1:37" x14ac:dyDescent="0.25">
      <c r="A583" t="s">
        <v>2948</v>
      </c>
      <c r="B583">
        <f>_xlfn.XLOOKUP(FME_Ranking1[[#This Row],[FME ID]],FME_Input[FME_ID],FME_Input[RFPG_NUM])</f>
        <v>1</v>
      </c>
      <c r="C583" t="str">
        <f>_xlfn.XLOOKUP(FME_Ranking1[[#This Row],[FME ID]],FME_Input[FME_ID],FME_Input[FME_NAME])</f>
        <v>Wheeler County FIS</v>
      </c>
      <c r="D583" t="str">
        <f>_xlfn.XLOOKUP(FME_Ranking1[[#This Row],[FME ID]],FME_Input[FME_ID],FME_Input[DESCR])</f>
        <v>Perform flood insurance study for the county and develop regulatory mapping</v>
      </c>
      <c r="E583" s="256">
        <f>_xlfn.XLOOKUP(FME_Ranking1[[#This Row],[FME ID]],FME_Input[FME_ID],FME_Input[FME_COST])</f>
        <v>892000</v>
      </c>
      <c r="F583" t="str">
        <f>_xlfn.XLOOKUP(FME_Ranking1[[#This Row],[FME ID]],FME_Input[FME_ID],FME_Input[EMER_NEED])</f>
        <v>No</v>
      </c>
      <c r="G583">
        <f>IF(FME_Ranking!F583="Yes",100,0)</f>
        <v>0</v>
      </c>
      <c r="H583">
        <f>FME_Ranking1[[#This Row],[Emergency Need Score (Normalized, Unweighted)]]*$F$3</f>
        <v>0</v>
      </c>
      <c r="I583" s="246">
        <f>_xlfn.XLOOKUP(FME_Ranking1[[#This Row],[FME ID]],FME_Input[FME_ID],FME_Input[STRUCT_100])</f>
        <v>191</v>
      </c>
      <c r="J583" s="178">
        <f>(FME_Ranking1[[#This Row],[Structures 100 Raw]]/I$2)*100</f>
        <v>0.10227905581973182</v>
      </c>
      <c r="K583" s="178">
        <f>FME_Ranking1[[#This Row],[Structures 100  Score (Normalized, Unweighted)]]*$I$3</f>
        <v>1.5341858372959772E-2</v>
      </c>
      <c r="L583" s="246">
        <f>_xlfn.XLOOKUP(FME_Ranking1[[#This Row],[FME ID]],FME_Input[FME_ID],FME_Input[RES_STRUCT100])</f>
        <v>71</v>
      </c>
      <c r="M583" s="230">
        <f>(FME_Ranking1[[#This Row],[Res Structures Raw]]/L$2)*100</f>
        <v>5.0289696986868013E-2</v>
      </c>
      <c r="N583" s="180">
        <f>FME_Ranking1[[#This Row],[Res Structures Score (Normalized, Unweighted)]]*$L$3</f>
        <v>5.0289696986868014E-3</v>
      </c>
      <c r="O583" s="244">
        <f>_xlfn.XLOOKUP(FME_Ranking1[[#This Row],[FME ID]],FME_Input[FME_ID],FME_Input[POP100])</f>
        <v>338</v>
      </c>
      <c r="P583" s="178">
        <f>(FME_Ranking1[[#This Row],[Pop Raw]]/$O$2)*100</f>
        <v>3.4602855452201993E-2</v>
      </c>
      <c r="Q583" s="178">
        <f>FME_Ranking1[[#This Row],[Pop Score (Normalized, Unweighted)]]*$O$3</f>
        <v>5.1904283178302989E-3</v>
      </c>
      <c r="R583" s="137">
        <f>_xlfn.XLOOKUP(FME_Ranking1[[#This Row],[FME ID]],FME_Input[FME_ID],FME_Input[CRITFAC100])</f>
        <v>4</v>
      </c>
      <c r="S583" s="230">
        <f>(FME_Ranking1[[#This Row],[Critical Facilities Raw]]/$R$2)*100</f>
        <v>0.17152658662092624</v>
      </c>
      <c r="T583" s="180">
        <f>FME_Ranking1[[#This Row],[Critical Facilities Score (Normalized, Unweighted)]]*$R$3</f>
        <v>3.430531732418525E-2</v>
      </c>
      <c r="U583">
        <f>_xlfn.XLOOKUP(FME_Ranking1[[#This Row],[FME ID]],FME_Input[FME_ID],FME_Input[LWC])</f>
        <v>4</v>
      </c>
      <c r="V583" s="178">
        <f>(FME_Ranking1[[#This Row],[LWC Raw]]/$U$2)*100</f>
        <v>0.23028209556706969</v>
      </c>
      <c r="W583" s="178">
        <f>FME_Ranking1[[#This Row],[LWC Score (Normalized, Unweighted)]]*$U$3</f>
        <v>4.6056419113413939E-2</v>
      </c>
      <c r="X583" s="246">
        <f>_xlfn.XLOOKUP(FME_Ranking1[[#This Row],[FME ID]],FME_Input[FME_ID],FME_Input[ROADCLS])</f>
        <v>4</v>
      </c>
      <c r="Y583" s="230">
        <f>(FME_Ranking1[[#This Row],[Closures Raw]]/$X$2)*100</f>
        <v>4.2056566081379455E-2</v>
      </c>
      <c r="Z583" s="180">
        <f>FME_Ranking1[[#This Row],[Closures Score (Normalized, Unweighted)]]*$X$3</f>
        <v>2.1028283040689729E-3</v>
      </c>
      <c r="AA583" s="253">
        <f>_xlfn.XLOOKUP(FME_Ranking1[[#This Row],[FME ID]],FME_Input[FME_ID],FME_Input[ROAD_MILES100])</f>
        <v>65.061424255371094</v>
      </c>
      <c r="AB583" s="178">
        <f>(FME_Ranking1[[#This Row],[Miles Raw]]/$AA$2)*100</f>
        <v>0.85544103581544473</v>
      </c>
      <c r="AC583" s="178">
        <f>FME_Ranking1[[#This Row],[Miles Score (Normalized, Unweighted)]]*$AA$3</f>
        <v>8.5544103581544476E-2</v>
      </c>
      <c r="AD583" s="255">
        <f>_xlfn.XLOOKUP(FME_Ranking1[[#This Row],[FME ID]],FME_Input[FME_ID],FME_Input[FARMACRE100])</f>
        <v>70021.9609375</v>
      </c>
      <c r="AE583" s="230">
        <f>(FME_Ranking1[[#This Row],[Ag Land Raw]]/$AD$2)*100</f>
        <v>2.8873922154960212</v>
      </c>
      <c r="AF583" s="231">
        <f>FME_Ranking1[[#This Row],[Ag Land Score (Normalized, Unweighted)]]*$AD$3</f>
        <v>0.14436961077480107</v>
      </c>
      <c r="AG58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0.33793953548749056</v>
      </c>
      <c r="AH583" s="406">
        <f t="shared" si="9"/>
        <v>583</v>
      </c>
      <c r="AI58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0.33793953548749056</v>
      </c>
      <c r="AJ583" s="257">
        <f>FME_Ranking1[[#This Row],[Addition check]]-FME_Ranking1[[#This Row],[Weighted Score Based on Normalized Reported Factors]]</f>
        <v>0</v>
      </c>
      <c r="AK583" s="178">
        <f>_xlfn.RANK.EQ(AI583,$AI$6:$AI$2341,0)+COUNTIF($AI$6:AI583,AI583)-1</f>
        <v>584</v>
      </c>
    </row>
    <row r="584" spans="1:37" x14ac:dyDescent="0.25">
      <c r="A584" t="s">
        <v>2079</v>
      </c>
      <c r="B584">
        <f>_xlfn.XLOOKUP(FME_Ranking1[[#This Row],[FME ID]],FME_Input[FME_ID],FME_Input[RFPG_NUM])</f>
        <v>6</v>
      </c>
      <c r="C584" t="str">
        <f>_xlfn.XLOOKUP(FME_Ranking1[[#This Row],[FME ID]],FME_Input[FME_ID],FME_Input[FME_NAME])</f>
        <v xml:space="preserve">Addicks Reservoir -  Right-Of-Way Acquisition, Design and Construction of a Stormwater Detention Basin on South Mayde Creek </v>
      </c>
      <c r="D584" t="str">
        <f>_xlfn.XLOOKUP(FME_Ranking1[[#This Row],[FME ID]],FME_Input[FME_ID],FME_Input[DESCR])</f>
        <v>Develop BCA to become a FMP. This project is part of the South Mayde Creek Plan that could reduce the risk of flooding for more than 70 homes and reduce the rainfall event by more than 340 acres in a pre-Atlas 1% rainfall event.</v>
      </c>
      <c r="E584" s="256">
        <f>_xlfn.XLOOKUP(FME_Ranking1[[#This Row],[FME ID]],FME_Input[FME_ID],FME_Input[FME_COST])</f>
        <v>30000</v>
      </c>
      <c r="F584" t="str">
        <f>_xlfn.XLOOKUP(FME_Ranking1[[#This Row],[FME ID]],FME_Input[FME_ID],FME_Input[EMER_NEED])</f>
        <v>No</v>
      </c>
      <c r="G584">
        <f>IF(FME_Ranking!F584="Yes",100,0)</f>
        <v>0</v>
      </c>
      <c r="H584">
        <f>FME_Ranking1[[#This Row],[Emergency Need Score (Normalized, Unweighted)]]*$F$3</f>
        <v>0</v>
      </c>
      <c r="I584" s="246">
        <f>_xlfn.XLOOKUP(FME_Ranking1[[#This Row],[FME ID]],FME_Input[FME_ID],FME_Input[STRUCT_100])</f>
        <v>692</v>
      </c>
      <c r="J584" s="178">
        <f>(FME_Ranking1[[#This Row],[Structures 100 Raw]]/I$2)*100</f>
        <v>0.37056076768196033</v>
      </c>
      <c r="K584" s="178">
        <f>FME_Ranking1[[#This Row],[Structures 100  Score (Normalized, Unweighted)]]*$I$3</f>
        <v>5.5584115152294049E-2</v>
      </c>
      <c r="L584" s="246">
        <f>_xlfn.XLOOKUP(FME_Ranking1[[#This Row],[FME ID]],FME_Input[FME_ID],FME_Input[RES_STRUCT100])</f>
        <v>638</v>
      </c>
      <c r="M584" s="230">
        <f>(FME_Ranking1[[#This Row],[Res Structures Raw]]/L$2)*100</f>
        <v>0.45189896729044782</v>
      </c>
      <c r="N584" s="180">
        <f>FME_Ranking1[[#This Row],[Res Structures Score (Normalized, Unweighted)]]*$L$3</f>
        <v>4.5189896729044783E-2</v>
      </c>
      <c r="O584" s="244">
        <f>_xlfn.XLOOKUP(FME_Ranking1[[#This Row],[FME ID]],FME_Input[FME_ID],FME_Input[POP100])</f>
        <v>3061</v>
      </c>
      <c r="P584" s="178">
        <f>(FME_Ranking1[[#This Row],[Pop Raw]]/$O$2)*100</f>
        <v>0.31337082999760441</v>
      </c>
      <c r="Q584" s="178">
        <f>FME_Ranking1[[#This Row],[Pop Score (Normalized, Unweighted)]]*$O$3</f>
        <v>4.7005624499640658E-2</v>
      </c>
      <c r="R584" s="137">
        <f>_xlfn.XLOOKUP(FME_Ranking1[[#This Row],[FME ID]],FME_Input[FME_ID],FME_Input[CRITFAC100])</f>
        <v>12</v>
      </c>
      <c r="S584" s="230">
        <f>(FME_Ranking1[[#This Row],[Critical Facilities Raw]]/$R$2)*100</f>
        <v>0.51457975986277882</v>
      </c>
      <c r="T584" s="180">
        <f>FME_Ranking1[[#This Row],[Critical Facilities Score (Normalized, Unweighted)]]*$R$3</f>
        <v>0.10291595197255576</v>
      </c>
      <c r="U584">
        <f>_xlfn.XLOOKUP(FME_Ranking1[[#This Row],[FME ID]],FME_Input[FME_ID],FME_Input[LWC])</f>
        <v>0</v>
      </c>
      <c r="V584" s="178">
        <f>(FME_Ranking1[[#This Row],[LWC Raw]]/$U$2)*100</f>
        <v>0</v>
      </c>
      <c r="W584" s="178">
        <f>FME_Ranking1[[#This Row],[LWC Score (Normalized, Unweighted)]]*$U$3</f>
        <v>0</v>
      </c>
      <c r="X584" s="246">
        <f>_xlfn.XLOOKUP(FME_Ranking1[[#This Row],[FME ID]],FME_Input[FME_ID],FME_Input[ROADCLS])</f>
        <v>0</v>
      </c>
      <c r="Y584" s="230">
        <f>(FME_Ranking1[[#This Row],[Closures Raw]]/$X$2)*100</f>
        <v>0</v>
      </c>
      <c r="Z584" s="180">
        <f>FME_Ranking1[[#This Row],[Closures Score (Normalized, Unweighted)]]*$X$3</f>
        <v>0</v>
      </c>
      <c r="AA584" s="253">
        <f>_xlfn.XLOOKUP(FME_Ranking1[[#This Row],[FME ID]],FME_Input[FME_ID],FME_Input[ROAD_MILES100])</f>
        <v>11.64858818054199</v>
      </c>
      <c r="AB584" s="178">
        <f>(FME_Ranking1[[#This Row],[Miles Raw]]/$AA$2)*100</f>
        <v>0.15315804185039431</v>
      </c>
      <c r="AC584" s="178">
        <f>FME_Ranking1[[#This Row],[Miles Score (Normalized, Unweighted)]]*$AA$3</f>
        <v>1.5315804185039431E-2</v>
      </c>
      <c r="AD584" s="255">
        <f>_xlfn.XLOOKUP(FME_Ranking1[[#This Row],[FME ID]],FME_Input[FME_ID],FME_Input[FARMACRE100])</f>
        <v>27.294694900512699</v>
      </c>
      <c r="AE584" s="230">
        <f>(FME_Ranking1[[#This Row],[Ag Land Raw]]/$AD$2)*100</f>
        <v>1.1255110328947193E-3</v>
      </c>
      <c r="AF584" s="231">
        <f>FME_Ranking1[[#This Row],[Ag Land Score (Normalized, Unweighted)]]*$AD$3</f>
        <v>5.6275551644735966E-5</v>
      </c>
      <c r="AG58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0.26606766809021937</v>
      </c>
      <c r="AH584" s="406">
        <f t="shared" si="9"/>
        <v>659</v>
      </c>
      <c r="AI58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0.26606766809021937</v>
      </c>
      <c r="AJ584" s="257">
        <f>FME_Ranking1[[#This Row],[Addition check]]-FME_Ranking1[[#This Row],[Weighted Score Based on Normalized Reported Factors]]</f>
        <v>0</v>
      </c>
      <c r="AK584" s="178">
        <f>_xlfn.RANK.EQ(AI584,$AI$6:$AI$2341,0)+COUNTIF($AI$6:AI584,AI584)-1</f>
        <v>659</v>
      </c>
    </row>
    <row r="585" spans="1:37" x14ac:dyDescent="0.25">
      <c r="A585" t="s">
        <v>2084</v>
      </c>
      <c r="B585">
        <f>_xlfn.XLOOKUP(FME_Ranking1[[#This Row],[FME ID]],FME_Input[FME_ID],FME_Input[RFPG_NUM])</f>
        <v>6</v>
      </c>
      <c r="C585" t="str">
        <f>_xlfn.XLOOKUP(FME_Ranking1[[#This Row],[FME ID]],FME_Input[FME_ID],FME_Input[FME_NAME])</f>
        <v>Addicks Reservoir - Design and Construction of Dinner Creek Stormwater Detention Basin</v>
      </c>
      <c r="D585" t="str">
        <f>_xlfn.XLOOKUP(FME_Ranking1[[#This Row],[FME ID]],FME_Input[FME_ID],FME_Input[DESCR])</f>
        <v>Develop BCA to become a FMP. Project would provide additional stormwater detention in support of flood damage reduction and could reduce the risk of flooding for approximately 30 multi-family structures in Addicks Reservoir Watershed.</v>
      </c>
      <c r="E585" s="256">
        <f>_xlfn.XLOOKUP(FME_Ranking1[[#This Row],[FME ID]],FME_Input[FME_ID],FME_Input[FME_COST])</f>
        <v>30000</v>
      </c>
      <c r="F585" t="str">
        <f>_xlfn.XLOOKUP(FME_Ranking1[[#This Row],[FME ID]],FME_Input[FME_ID],FME_Input[EMER_NEED])</f>
        <v>No</v>
      </c>
      <c r="G585">
        <f>IF(FME_Ranking!F585="Yes",100,0)</f>
        <v>0</v>
      </c>
      <c r="H585">
        <f>FME_Ranking1[[#This Row],[Emergency Need Score (Normalized, Unweighted)]]*$F$3</f>
        <v>0</v>
      </c>
      <c r="I585" s="246">
        <f>_xlfn.XLOOKUP(FME_Ranking1[[#This Row],[FME ID]],FME_Input[FME_ID],FME_Input[STRUCT_100])</f>
        <v>692</v>
      </c>
      <c r="J585" s="178">
        <f>(FME_Ranking1[[#This Row],[Structures 100 Raw]]/I$2)*100</f>
        <v>0.37056076768196033</v>
      </c>
      <c r="K585" s="178">
        <f>FME_Ranking1[[#This Row],[Structures 100  Score (Normalized, Unweighted)]]*$I$3</f>
        <v>5.5584115152294049E-2</v>
      </c>
      <c r="L585" s="246">
        <f>_xlfn.XLOOKUP(FME_Ranking1[[#This Row],[FME ID]],FME_Input[FME_ID],FME_Input[RES_STRUCT100])</f>
        <v>638</v>
      </c>
      <c r="M585" s="230">
        <f>(FME_Ranking1[[#This Row],[Res Structures Raw]]/L$2)*100</f>
        <v>0.45189896729044782</v>
      </c>
      <c r="N585" s="180">
        <f>FME_Ranking1[[#This Row],[Res Structures Score (Normalized, Unweighted)]]*$L$3</f>
        <v>4.5189896729044783E-2</v>
      </c>
      <c r="O585" s="244">
        <f>_xlfn.XLOOKUP(FME_Ranking1[[#This Row],[FME ID]],FME_Input[FME_ID],FME_Input[POP100])</f>
        <v>3061</v>
      </c>
      <c r="P585" s="178">
        <f>(FME_Ranking1[[#This Row],[Pop Raw]]/$O$2)*100</f>
        <v>0.31337082999760441</v>
      </c>
      <c r="Q585" s="178">
        <f>FME_Ranking1[[#This Row],[Pop Score (Normalized, Unweighted)]]*$O$3</f>
        <v>4.7005624499640658E-2</v>
      </c>
      <c r="R585" s="137">
        <f>_xlfn.XLOOKUP(FME_Ranking1[[#This Row],[FME ID]],FME_Input[FME_ID],FME_Input[CRITFAC100])</f>
        <v>12</v>
      </c>
      <c r="S585" s="230">
        <f>(FME_Ranking1[[#This Row],[Critical Facilities Raw]]/$R$2)*100</f>
        <v>0.51457975986277882</v>
      </c>
      <c r="T585" s="180">
        <f>FME_Ranking1[[#This Row],[Critical Facilities Score (Normalized, Unweighted)]]*$R$3</f>
        <v>0.10291595197255576</v>
      </c>
      <c r="U585">
        <f>_xlfn.XLOOKUP(FME_Ranking1[[#This Row],[FME ID]],FME_Input[FME_ID],FME_Input[LWC])</f>
        <v>0</v>
      </c>
      <c r="V585" s="178">
        <f>(FME_Ranking1[[#This Row],[LWC Raw]]/$U$2)*100</f>
        <v>0</v>
      </c>
      <c r="W585" s="178">
        <f>FME_Ranking1[[#This Row],[LWC Score (Normalized, Unweighted)]]*$U$3</f>
        <v>0</v>
      </c>
      <c r="X585" s="246">
        <f>_xlfn.XLOOKUP(FME_Ranking1[[#This Row],[FME ID]],FME_Input[FME_ID],FME_Input[ROADCLS])</f>
        <v>0</v>
      </c>
      <c r="Y585" s="230">
        <f>(FME_Ranking1[[#This Row],[Closures Raw]]/$X$2)*100</f>
        <v>0</v>
      </c>
      <c r="Z585" s="180">
        <f>FME_Ranking1[[#This Row],[Closures Score (Normalized, Unweighted)]]*$X$3</f>
        <v>0</v>
      </c>
      <c r="AA585" s="253">
        <f>_xlfn.XLOOKUP(FME_Ranking1[[#This Row],[FME ID]],FME_Input[FME_ID],FME_Input[ROAD_MILES100])</f>
        <v>11.64858818054199</v>
      </c>
      <c r="AB585" s="178">
        <f>(FME_Ranking1[[#This Row],[Miles Raw]]/$AA$2)*100</f>
        <v>0.15315804185039431</v>
      </c>
      <c r="AC585" s="178">
        <f>FME_Ranking1[[#This Row],[Miles Score (Normalized, Unweighted)]]*$AA$3</f>
        <v>1.5315804185039431E-2</v>
      </c>
      <c r="AD585" s="255">
        <f>_xlfn.XLOOKUP(FME_Ranking1[[#This Row],[FME ID]],FME_Input[FME_ID],FME_Input[FARMACRE100])</f>
        <v>27.294694900512699</v>
      </c>
      <c r="AE585" s="230">
        <f>(FME_Ranking1[[#This Row],[Ag Land Raw]]/$AD$2)*100</f>
        <v>1.1255110328947193E-3</v>
      </c>
      <c r="AF585" s="231">
        <f>FME_Ranking1[[#This Row],[Ag Land Score (Normalized, Unweighted)]]*$AD$3</f>
        <v>5.6275551644735966E-5</v>
      </c>
      <c r="AG58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0.26606766809021937</v>
      </c>
      <c r="AH585" s="406">
        <f t="shared" si="9"/>
        <v>659</v>
      </c>
      <c r="AI58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0.26606766809021937</v>
      </c>
      <c r="AJ585" s="257">
        <f>FME_Ranking1[[#This Row],[Addition check]]-FME_Ranking1[[#This Row],[Weighted Score Based on Normalized Reported Factors]]</f>
        <v>0</v>
      </c>
      <c r="AK585" s="178">
        <f>_xlfn.RANK.EQ(AI585,$AI$6:$AI$2341,0)+COUNTIF($AI$6:AI585,AI585)-1</f>
        <v>660</v>
      </c>
    </row>
    <row r="586" spans="1:37" x14ac:dyDescent="0.25">
      <c r="A586" t="s">
        <v>2120</v>
      </c>
      <c r="B586">
        <f>_xlfn.XLOOKUP(FME_Ranking1[[#This Row],[FME ID]],FME_Input[FME_ID],FME_Input[RFPG_NUM])</f>
        <v>6</v>
      </c>
      <c r="C586" t="str">
        <f>_xlfn.XLOOKUP(FME_Ranking1[[#This Row],[FME ID]],FME_Input[FME_ID],FME_Input[FME_NAME])</f>
        <v>Addicks Reservoir - Design and Construction of a Bridge Replacement for Greenhouse Road at South Mayde Creek</v>
      </c>
      <c r="D586" t="str">
        <f>_xlfn.XLOOKUP(FME_Ranking1[[#This Row],[FME ID]],FME_Input[FME_ID],FME_Input[DESCR])</f>
        <v>Develop BCA to become a FMP. This project is part of the South Mayde Creek Plan that could reduce the risk of flooding for more than 70 homes and reduce the rainfall event by more than 340 acres in a pre-Atlas 1% rainfall event.</v>
      </c>
      <c r="E586" s="256">
        <f>_xlfn.XLOOKUP(FME_Ranking1[[#This Row],[FME ID]],FME_Input[FME_ID],FME_Input[FME_COST])</f>
        <v>30000</v>
      </c>
      <c r="F586" t="str">
        <f>_xlfn.XLOOKUP(FME_Ranking1[[#This Row],[FME ID]],FME_Input[FME_ID],FME_Input[EMER_NEED])</f>
        <v>No</v>
      </c>
      <c r="G586">
        <f>IF(FME_Ranking!F586="Yes",100,0)</f>
        <v>0</v>
      </c>
      <c r="H586">
        <f>FME_Ranking1[[#This Row],[Emergency Need Score (Normalized, Unweighted)]]*$F$3</f>
        <v>0</v>
      </c>
      <c r="I586" s="246">
        <f>_xlfn.XLOOKUP(FME_Ranking1[[#This Row],[FME ID]],FME_Input[FME_ID],FME_Input[STRUCT_100])</f>
        <v>692</v>
      </c>
      <c r="J586" s="178">
        <f>(FME_Ranking1[[#This Row],[Structures 100 Raw]]/I$2)*100</f>
        <v>0.37056076768196033</v>
      </c>
      <c r="K586" s="178">
        <f>FME_Ranking1[[#This Row],[Structures 100  Score (Normalized, Unweighted)]]*$I$3</f>
        <v>5.5584115152294049E-2</v>
      </c>
      <c r="L586" s="246">
        <f>_xlfn.XLOOKUP(FME_Ranking1[[#This Row],[FME ID]],FME_Input[FME_ID],FME_Input[RES_STRUCT100])</f>
        <v>638</v>
      </c>
      <c r="M586" s="230">
        <f>(FME_Ranking1[[#This Row],[Res Structures Raw]]/L$2)*100</f>
        <v>0.45189896729044782</v>
      </c>
      <c r="N586" s="180">
        <f>FME_Ranking1[[#This Row],[Res Structures Score (Normalized, Unweighted)]]*$L$3</f>
        <v>4.5189896729044783E-2</v>
      </c>
      <c r="O586" s="244">
        <f>_xlfn.XLOOKUP(FME_Ranking1[[#This Row],[FME ID]],FME_Input[FME_ID],FME_Input[POP100])</f>
        <v>3061</v>
      </c>
      <c r="P586" s="178">
        <f>(FME_Ranking1[[#This Row],[Pop Raw]]/$O$2)*100</f>
        <v>0.31337082999760441</v>
      </c>
      <c r="Q586" s="178">
        <f>FME_Ranking1[[#This Row],[Pop Score (Normalized, Unweighted)]]*$O$3</f>
        <v>4.7005624499640658E-2</v>
      </c>
      <c r="R586" s="137">
        <f>_xlfn.XLOOKUP(FME_Ranking1[[#This Row],[FME ID]],FME_Input[FME_ID],FME_Input[CRITFAC100])</f>
        <v>12</v>
      </c>
      <c r="S586" s="230">
        <f>(FME_Ranking1[[#This Row],[Critical Facilities Raw]]/$R$2)*100</f>
        <v>0.51457975986277882</v>
      </c>
      <c r="T586" s="180">
        <f>FME_Ranking1[[#This Row],[Critical Facilities Score (Normalized, Unweighted)]]*$R$3</f>
        <v>0.10291595197255576</v>
      </c>
      <c r="U586">
        <f>_xlfn.XLOOKUP(FME_Ranking1[[#This Row],[FME ID]],FME_Input[FME_ID],FME_Input[LWC])</f>
        <v>0</v>
      </c>
      <c r="V586" s="178">
        <f>(FME_Ranking1[[#This Row],[LWC Raw]]/$U$2)*100</f>
        <v>0</v>
      </c>
      <c r="W586" s="178">
        <f>FME_Ranking1[[#This Row],[LWC Score (Normalized, Unweighted)]]*$U$3</f>
        <v>0</v>
      </c>
      <c r="X586" s="246">
        <f>_xlfn.XLOOKUP(FME_Ranking1[[#This Row],[FME ID]],FME_Input[FME_ID],FME_Input[ROADCLS])</f>
        <v>0</v>
      </c>
      <c r="Y586" s="230">
        <f>(FME_Ranking1[[#This Row],[Closures Raw]]/$X$2)*100</f>
        <v>0</v>
      </c>
      <c r="Z586" s="180">
        <f>FME_Ranking1[[#This Row],[Closures Score (Normalized, Unweighted)]]*$X$3</f>
        <v>0</v>
      </c>
      <c r="AA586" s="253">
        <f>_xlfn.XLOOKUP(FME_Ranking1[[#This Row],[FME ID]],FME_Input[FME_ID],FME_Input[ROAD_MILES100])</f>
        <v>11.64858818054199</v>
      </c>
      <c r="AB586" s="178">
        <f>(FME_Ranking1[[#This Row],[Miles Raw]]/$AA$2)*100</f>
        <v>0.15315804185039431</v>
      </c>
      <c r="AC586" s="178">
        <f>FME_Ranking1[[#This Row],[Miles Score (Normalized, Unweighted)]]*$AA$3</f>
        <v>1.5315804185039431E-2</v>
      </c>
      <c r="AD586" s="255">
        <f>_xlfn.XLOOKUP(FME_Ranking1[[#This Row],[FME ID]],FME_Input[FME_ID],FME_Input[FARMACRE100])</f>
        <v>27.294694900512699</v>
      </c>
      <c r="AE586" s="230">
        <f>(FME_Ranking1[[#This Row],[Ag Land Raw]]/$AD$2)*100</f>
        <v>1.1255110328947193E-3</v>
      </c>
      <c r="AF586" s="231">
        <f>FME_Ranking1[[#This Row],[Ag Land Score (Normalized, Unweighted)]]*$AD$3</f>
        <v>5.6275551644735966E-5</v>
      </c>
      <c r="AG58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0.26606766809021937</v>
      </c>
      <c r="AH586" s="406">
        <f t="shared" si="9"/>
        <v>659</v>
      </c>
      <c r="AI58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0.26606766809021937</v>
      </c>
      <c r="AJ586" s="257">
        <f>FME_Ranking1[[#This Row],[Addition check]]-FME_Ranking1[[#This Row],[Weighted Score Based on Normalized Reported Factors]]</f>
        <v>0</v>
      </c>
      <c r="AK586" s="178">
        <f>_xlfn.RANK.EQ(AI586,$AI$6:$AI$2341,0)+COUNTIF($AI$6:AI586,AI586)-1</f>
        <v>661</v>
      </c>
    </row>
    <row r="587" spans="1:37" x14ac:dyDescent="0.25">
      <c r="A587" t="s">
        <v>2815</v>
      </c>
      <c r="B587">
        <f>_xlfn.XLOOKUP(FME_Ranking1[[#This Row],[FME ID]],FME_Input[FME_ID],FME_Input[RFPG_NUM])</f>
        <v>1</v>
      </c>
      <c r="C587" t="str">
        <f>_xlfn.XLOOKUP(FME_Ranking1[[#This Row],[FME ID]],FME_Input[FME_ID],FME_Input[FME_NAME])</f>
        <v>Motley County FIS</v>
      </c>
      <c r="D587" t="str">
        <f>_xlfn.XLOOKUP(FME_Ranking1[[#This Row],[FME ID]],FME_Input[FME_ID],FME_Input[DESCR])</f>
        <v>Perform flood insurance study for the county and develop regulatory mapping</v>
      </c>
      <c r="E587" s="256">
        <f>_xlfn.XLOOKUP(FME_Ranking1[[#This Row],[FME ID]],FME_Input[FME_ID],FME_Input[FME_COST])</f>
        <v>974000</v>
      </c>
      <c r="F587" t="str">
        <f>_xlfn.XLOOKUP(FME_Ranking1[[#This Row],[FME ID]],FME_Input[FME_ID],FME_Input[EMER_NEED])</f>
        <v>No</v>
      </c>
      <c r="G587">
        <f>IF(FME_Ranking!F587="Yes",100,0)</f>
        <v>0</v>
      </c>
      <c r="H587">
        <f>FME_Ranking1[[#This Row],[Emergency Need Score (Normalized, Unweighted)]]*$F$3</f>
        <v>0</v>
      </c>
      <c r="I587" s="246">
        <f>_xlfn.XLOOKUP(FME_Ranking1[[#This Row],[FME ID]],FME_Input[FME_ID],FME_Input[STRUCT_100])</f>
        <v>114</v>
      </c>
      <c r="J587" s="178">
        <f>(FME_Ranking1[[#This Row],[Structures 100 Raw]]/I$2)*100</f>
        <v>6.1046138028531038E-2</v>
      </c>
      <c r="K587" s="178">
        <f>FME_Ranking1[[#This Row],[Structures 100  Score (Normalized, Unweighted)]]*$I$3</f>
        <v>9.1569207042796561E-3</v>
      </c>
      <c r="L587" s="246">
        <f>_xlfn.XLOOKUP(FME_Ranking1[[#This Row],[FME ID]],FME_Input[FME_ID],FME_Input[RES_STRUCT100])</f>
        <v>3</v>
      </c>
      <c r="M587" s="230">
        <f>(FME_Ranking1[[#This Row],[Res Structures Raw]]/L$2)*100</f>
        <v>2.1249167740930146E-3</v>
      </c>
      <c r="N587" s="180">
        <f>FME_Ranking1[[#This Row],[Res Structures Score (Normalized, Unweighted)]]*$L$3</f>
        <v>2.1249167740930149E-4</v>
      </c>
      <c r="O587" s="244">
        <f>_xlfn.XLOOKUP(FME_Ranking1[[#This Row],[FME ID]],FME_Input[FME_ID],FME_Input[POP100])</f>
        <v>156</v>
      </c>
      <c r="P587" s="178">
        <f>(FME_Ranking1[[#This Row],[Pop Raw]]/$O$2)*100</f>
        <v>1.5970548670247074E-2</v>
      </c>
      <c r="Q587" s="178">
        <f>FME_Ranking1[[#This Row],[Pop Score (Normalized, Unweighted)]]*$O$3</f>
        <v>2.3955823005370612E-3</v>
      </c>
      <c r="R587" s="137">
        <f>_xlfn.XLOOKUP(FME_Ranking1[[#This Row],[FME ID]],FME_Input[FME_ID],FME_Input[CRITFAC100])</f>
        <v>0</v>
      </c>
      <c r="S587" s="230">
        <f>(FME_Ranking1[[#This Row],[Critical Facilities Raw]]/$R$2)*100</f>
        <v>0</v>
      </c>
      <c r="T587" s="180">
        <f>FME_Ranking1[[#This Row],[Critical Facilities Score (Normalized, Unweighted)]]*$R$3</f>
        <v>0</v>
      </c>
      <c r="U587">
        <f>_xlfn.XLOOKUP(FME_Ranking1[[#This Row],[FME ID]],FME_Input[FME_ID],FME_Input[LWC])</f>
        <v>6</v>
      </c>
      <c r="V587" s="178">
        <f>(FME_Ranking1[[#This Row],[LWC Raw]]/$U$2)*100</f>
        <v>0.34542314335060448</v>
      </c>
      <c r="W587" s="178">
        <f>FME_Ranking1[[#This Row],[LWC Score (Normalized, Unweighted)]]*$U$3</f>
        <v>6.9084628670120898E-2</v>
      </c>
      <c r="X587" s="246">
        <f>_xlfn.XLOOKUP(FME_Ranking1[[#This Row],[FME ID]],FME_Input[FME_ID],FME_Input[ROADCLS])</f>
        <v>6</v>
      </c>
      <c r="Y587" s="230">
        <f>(FME_Ranking1[[#This Row],[Closures Raw]]/$X$2)*100</f>
        <v>6.3084849122069186E-2</v>
      </c>
      <c r="Z587" s="180">
        <f>FME_Ranking1[[#This Row],[Closures Score (Normalized, Unweighted)]]*$X$3</f>
        <v>3.1542424561034595E-3</v>
      </c>
      <c r="AA587" s="253">
        <f>_xlfn.XLOOKUP(FME_Ranking1[[#This Row],[FME ID]],FME_Input[FME_ID],FME_Input[ROAD_MILES100])</f>
        <v>22.509126663208011</v>
      </c>
      <c r="AB587" s="178">
        <f>(FME_Ranking1[[#This Row],[Miles Raw]]/$AA$2)*100</f>
        <v>0.29595464360720791</v>
      </c>
      <c r="AC587" s="178">
        <f>FME_Ranking1[[#This Row],[Miles Score (Normalized, Unweighted)]]*$AA$3</f>
        <v>2.9595464360720792E-2</v>
      </c>
      <c r="AD587" s="255">
        <f>_xlfn.XLOOKUP(FME_Ranking1[[#This Row],[FME ID]],FME_Input[FME_ID],FME_Input[FARMACRE100])</f>
        <v>80008.1484375</v>
      </c>
      <c r="AE587" s="230">
        <f>(FME_Ranking1[[#This Row],[Ag Land Raw]]/$AD$2)*100</f>
        <v>3.2991778847908342</v>
      </c>
      <c r="AF587" s="231">
        <f>FME_Ranking1[[#This Row],[Ag Land Score (Normalized, Unweighted)]]*$AD$3</f>
        <v>0.16495889423954171</v>
      </c>
      <c r="AG58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0.27855822440871286</v>
      </c>
      <c r="AH587" s="406">
        <f t="shared" si="9"/>
        <v>645</v>
      </c>
      <c r="AI58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0.27855822440871286</v>
      </c>
      <c r="AJ587" s="257">
        <f>FME_Ranking1[[#This Row],[Addition check]]-FME_Ranking1[[#This Row],[Weighted Score Based on Normalized Reported Factors]]</f>
        <v>0</v>
      </c>
      <c r="AK587" s="178">
        <f>_xlfn.RANK.EQ(AI587,$AI$6:$AI$2341,0)+COUNTIF($AI$6:AI587,AI587)-1</f>
        <v>645</v>
      </c>
    </row>
    <row r="588" spans="1:37" x14ac:dyDescent="0.25">
      <c r="A588" t="s">
        <v>2864</v>
      </c>
      <c r="B588">
        <f>_xlfn.XLOOKUP(FME_Ranking1[[#This Row],[FME ID]],FME_Input[FME_ID],FME_Input[RFPG_NUM])</f>
        <v>1</v>
      </c>
      <c r="C588" t="str">
        <f>_xlfn.XLOOKUP(FME_Ranking1[[#This Row],[FME ID]],FME_Input[FME_ID],FME_Input[FME_NAME])</f>
        <v>Moore County FIS</v>
      </c>
      <c r="D588" t="str">
        <f>_xlfn.XLOOKUP(FME_Ranking1[[#This Row],[FME ID]],FME_Input[FME_ID],FME_Input[DESCR])</f>
        <v>Perform flood insurance study for the county and develop regulatory mapping</v>
      </c>
      <c r="E588" s="256">
        <f>_xlfn.XLOOKUP(FME_Ranking1[[#This Row],[FME ID]],FME_Input[FME_ID],FME_Input[FME_COST])</f>
        <v>835000</v>
      </c>
      <c r="F588" t="str">
        <f>_xlfn.XLOOKUP(FME_Ranking1[[#This Row],[FME ID]],FME_Input[FME_ID],FME_Input[EMER_NEED])</f>
        <v>No</v>
      </c>
      <c r="G588">
        <f>IF(FME_Ranking!F588="Yes",100,0)</f>
        <v>0</v>
      </c>
      <c r="H588">
        <f>FME_Ranking1[[#This Row],[Emergency Need Score (Normalized, Unweighted)]]*$F$3</f>
        <v>0</v>
      </c>
      <c r="I588" s="246">
        <f>_xlfn.XLOOKUP(FME_Ranking1[[#This Row],[FME ID]],FME_Input[FME_ID],FME_Input[STRUCT_100])</f>
        <v>75</v>
      </c>
      <c r="J588" s="178">
        <f>(FME_Ranking1[[#This Row],[Structures 100 Raw]]/I$2)*100</f>
        <v>4.016193291350726E-2</v>
      </c>
      <c r="K588" s="178">
        <f>FME_Ranking1[[#This Row],[Structures 100  Score (Normalized, Unweighted)]]*$I$3</f>
        <v>6.024289937026089E-3</v>
      </c>
      <c r="L588" s="246">
        <f>_xlfn.XLOOKUP(FME_Ranking1[[#This Row],[FME ID]],FME_Input[FME_ID],FME_Input[RES_STRUCT100])</f>
        <v>27</v>
      </c>
      <c r="M588" s="230">
        <f>(FME_Ranking1[[#This Row],[Res Structures Raw]]/L$2)*100</f>
        <v>1.9124250966837134E-2</v>
      </c>
      <c r="N588" s="180">
        <f>FME_Ranking1[[#This Row],[Res Structures Score (Normalized, Unweighted)]]*$L$3</f>
        <v>1.9124250966837135E-3</v>
      </c>
      <c r="O588" s="244">
        <f>_xlfn.XLOOKUP(FME_Ranking1[[#This Row],[FME ID]],FME_Input[FME_ID],FME_Input[POP100])</f>
        <v>326</v>
      </c>
      <c r="P588" s="178">
        <f>(FME_Ranking1[[#This Row],[Pop Raw]]/$O$2)*100</f>
        <v>3.337435170833683E-2</v>
      </c>
      <c r="Q588" s="178">
        <f>FME_Ranking1[[#This Row],[Pop Score (Normalized, Unweighted)]]*$O$3</f>
        <v>5.0061527562505247E-3</v>
      </c>
      <c r="R588" s="137">
        <f>_xlfn.XLOOKUP(FME_Ranking1[[#This Row],[FME ID]],FME_Input[FME_ID],FME_Input[CRITFAC100])</f>
        <v>4</v>
      </c>
      <c r="S588" s="230">
        <f>(FME_Ranking1[[#This Row],[Critical Facilities Raw]]/$R$2)*100</f>
        <v>0.17152658662092624</v>
      </c>
      <c r="T588" s="180">
        <f>FME_Ranking1[[#This Row],[Critical Facilities Score (Normalized, Unweighted)]]*$R$3</f>
        <v>3.430531732418525E-2</v>
      </c>
      <c r="U588">
        <f>_xlfn.XLOOKUP(FME_Ranking1[[#This Row],[FME ID]],FME_Input[FME_ID],FME_Input[LWC])</f>
        <v>10</v>
      </c>
      <c r="V588" s="178">
        <f>(FME_Ranking1[[#This Row],[LWC Raw]]/$U$2)*100</f>
        <v>0.57570523891767411</v>
      </c>
      <c r="W588" s="178">
        <f>FME_Ranking1[[#This Row],[LWC Score (Normalized, Unweighted)]]*$U$3</f>
        <v>0.11514104778353483</v>
      </c>
      <c r="X588" s="246">
        <f>_xlfn.XLOOKUP(FME_Ranking1[[#This Row],[FME ID]],FME_Input[FME_ID],FME_Input[ROADCLS])</f>
        <v>13</v>
      </c>
      <c r="Y588" s="230">
        <f>(FME_Ranking1[[#This Row],[Closures Raw]]/$X$2)*100</f>
        <v>0.13668383976448323</v>
      </c>
      <c r="Z588" s="180">
        <f>FME_Ranking1[[#This Row],[Closures Score (Normalized, Unweighted)]]*$X$3</f>
        <v>6.8341919882241621E-3</v>
      </c>
      <c r="AA588" s="253">
        <f>_xlfn.XLOOKUP(FME_Ranking1[[#This Row],[FME ID]],FME_Input[FME_ID],FME_Input[ROAD_MILES100])</f>
        <v>28.651556015014648</v>
      </c>
      <c r="AB588" s="178">
        <f>(FME_Ranking1[[#This Row],[Miles Raw]]/$AA$2)*100</f>
        <v>0.37671657261921965</v>
      </c>
      <c r="AC588" s="178">
        <f>FME_Ranking1[[#This Row],[Miles Score (Normalized, Unweighted)]]*$AA$3</f>
        <v>3.7671657261921968E-2</v>
      </c>
      <c r="AD588" s="255">
        <f>_xlfn.XLOOKUP(FME_Ranking1[[#This Row],[FME ID]],FME_Input[FME_ID],FME_Input[FARMACRE100])</f>
        <v>38661.18359375</v>
      </c>
      <c r="AE588" s="230">
        <f>(FME_Ranking1[[#This Row],[Ag Land Raw]]/$AD$2)*100</f>
        <v>1.5942141444752544</v>
      </c>
      <c r="AF588" s="231">
        <f>FME_Ranking1[[#This Row],[Ag Land Score (Normalized, Unweighted)]]*$AD$3</f>
        <v>7.9710707223762722E-2</v>
      </c>
      <c r="AG58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0.28660578937158926</v>
      </c>
      <c r="AH588" s="406">
        <f t="shared" si="9"/>
        <v>641</v>
      </c>
      <c r="AI58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0.28660578937158926</v>
      </c>
      <c r="AJ588" s="257">
        <f>FME_Ranking1[[#This Row],[Addition check]]-FME_Ranking1[[#This Row],[Weighted Score Based on Normalized Reported Factors]]</f>
        <v>0</v>
      </c>
      <c r="AK588" s="178">
        <f>_xlfn.RANK.EQ(AI588,$AI$6:$AI$2341,0)+COUNTIF($AI$6:AI588,AI588)-1</f>
        <v>641</v>
      </c>
    </row>
    <row r="589" spans="1:37" x14ac:dyDescent="0.25">
      <c r="A589" t="s">
        <v>3791</v>
      </c>
      <c r="B589">
        <f>_xlfn.XLOOKUP(FME_Ranking1[[#This Row],[FME ID]],FME_Input[FME_ID],FME_Input[RFPG_NUM])</f>
        <v>2</v>
      </c>
      <c r="C589" t="str">
        <f>_xlfn.XLOOKUP(FME_Ranking1[[#This Row],[FME ID]],FME_Input[FME_ID],FME_Input[FME_NAME])</f>
        <v>Pig Branch Watershed Culvert Study Update</v>
      </c>
      <c r="D589" t="str">
        <f>_xlfn.XLOOKUP(FME_Ranking1[[#This Row],[FME ID]],FME_Input[FME_ID],FME_Input[DESCR])</f>
        <v>Study to provide the city with updated drainage information to alleviate existing and potential flood damages for various crossings.</v>
      </c>
      <c r="E589" s="256">
        <f>_xlfn.XLOOKUP(FME_Ranking1[[#This Row],[FME ID]],FME_Input[FME_ID],FME_Input[FME_COST])</f>
        <v>250000</v>
      </c>
      <c r="F589" t="str">
        <f>_xlfn.XLOOKUP(FME_Ranking1[[#This Row],[FME ID]],FME_Input[FME_ID],FME_Input[EMER_NEED])</f>
        <v>No</v>
      </c>
      <c r="G589">
        <f>IF(FME_Ranking!F589="Yes",100,0)</f>
        <v>0</v>
      </c>
      <c r="H589">
        <f>FME_Ranking1[[#This Row],[Emergency Need Score (Normalized, Unweighted)]]*$F$3</f>
        <v>0</v>
      </c>
      <c r="I589" s="246">
        <f>_xlfn.XLOOKUP(FME_Ranking1[[#This Row],[FME ID]],FME_Input[FME_ID],FME_Input[STRUCT_100])</f>
        <v>128</v>
      </c>
      <c r="J589" s="178">
        <f>(FME_Ranking1[[#This Row],[Structures 100 Raw]]/I$2)*100</f>
        <v>6.8543032172385734E-2</v>
      </c>
      <c r="K589" s="178">
        <f>FME_Ranking1[[#This Row],[Structures 100  Score (Normalized, Unweighted)]]*$I$3</f>
        <v>1.028145482585786E-2</v>
      </c>
      <c r="L589" s="246">
        <f>_xlfn.XLOOKUP(FME_Ranking1[[#This Row],[FME ID]],FME_Input[FME_ID],FME_Input[RES_STRUCT100])</f>
        <v>72</v>
      </c>
      <c r="M589" s="230">
        <f>(FME_Ranking1[[#This Row],[Res Structures Raw]]/L$2)*100</f>
        <v>5.0998002578232352E-2</v>
      </c>
      <c r="N589" s="180">
        <f>FME_Ranking1[[#This Row],[Res Structures Score (Normalized, Unweighted)]]*$L$3</f>
        <v>5.0998002578232357E-3</v>
      </c>
      <c r="O589" s="244">
        <f>_xlfn.XLOOKUP(FME_Ranking1[[#This Row],[FME ID]],FME_Input[FME_ID],FME_Input[POP100])</f>
        <v>2366</v>
      </c>
      <c r="P589" s="178">
        <f>(FME_Ranking1[[#This Row],[Pop Raw]]/$O$2)*100</f>
        <v>0.24221998816541393</v>
      </c>
      <c r="Q589" s="178">
        <f>FME_Ranking1[[#This Row],[Pop Score (Normalized, Unweighted)]]*$O$3</f>
        <v>3.6332998224812091E-2</v>
      </c>
      <c r="R589" s="137">
        <f>_xlfn.XLOOKUP(FME_Ranking1[[#This Row],[FME ID]],FME_Input[FME_ID],FME_Input[CRITFAC100])</f>
        <v>4</v>
      </c>
      <c r="S589" s="230">
        <f>(FME_Ranking1[[#This Row],[Critical Facilities Raw]]/$R$2)*100</f>
        <v>0.17152658662092624</v>
      </c>
      <c r="T589" s="180">
        <f>FME_Ranking1[[#This Row],[Critical Facilities Score (Normalized, Unweighted)]]*$R$3</f>
        <v>3.430531732418525E-2</v>
      </c>
      <c r="U589">
        <f>_xlfn.XLOOKUP(FME_Ranking1[[#This Row],[FME ID]],FME_Input[FME_ID],FME_Input[LWC])</f>
        <v>14</v>
      </c>
      <c r="V589" s="178">
        <f>(FME_Ranking1[[#This Row],[LWC Raw]]/$U$2)*100</f>
        <v>0.80598733448474369</v>
      </c>
      <c r="W589" s="178">
        <f>FME_Ranking1[[#This Row],[LWC Score (Normalized, Unweighted)]]*$U$3</f>
        <v>0.16119746689694875</v>
      </c>
      <c r="X589" s="246">
        <f>_xlfn.XLOOKUP(FME_Ranking1[[#This Row],[FME ID]],FME_Input[FME_ID],FME_Input[ROADCLS])</f>
        <v>0</v>
      </c>
      <c r="Y589" s="230">
        <f>(FME_Ranking1[[#This Row],[Closures Raw]]/$X$2)*100</f>
        <v>0</v>
      </c>
      <c r="Z589" s="180">
        <f>FME_Ranking1[[#This Row],[Closures Score (Normalized, Unweighted)]]*$X$3</f>
        <v>0</v>
      </c>
      <c r="AA589" s="253">
        <f>_xlfn.XLOOKUP(FME_Ranking1[[#This Row],[FME ID]],FME_Input[FME_ID],FME_Input[ROAD_MILES100])</f>
        <v>4.8000001907348633</v>
      </c>
      <c r="AB589" s="178">
        <f>(FME_Ranking1[[#This Row],[Miles Raw]]/$AA$2)*100</f>
        <v>6.3111393303653132E-2</v>
      </c>
      <c r="AC589" s="178">
        <f>FME_Ranking1[[#This Row],[Miles Score (Normalized, Unweighted)]]*$AA$3</f>
        <v>6.3111393303653136E-3</v>
      </c>
      <c r="AD589" s="255">
        <f>_xlfn.XLOOKUP(FME_Ranking1[[#This Row],[FME ID]],FME_Input[FME_ID],FME_Input[FARMACRE100])</f>
        <v>145.86000061035159</v>
      </c>
      <c r="AE589" s="230">
        <f>(FME_Ranking1[[#This Row],[Ag Land Raw]]/$AD$2)*100</f>
        <v>6.0146134823400249E-3</v>
      </c>
      <c r="AF589" s="231">
        <f>FME_Ranking1[[#This Row],[Ag Land Score (Normalized, Unweighted)]]*$AD$3</f>
        <v>3.0073067411700129E-4</v>
      </c>
      <c r="AG58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0.25382890753410953</v>
      </c>
      <c r="AH589" s="406">
        <f t="shared" si="9"/>
        <v>686</v>
      </c>
      <c r="AI58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0.25382890753410953</v>
      </c>
      <c r="AJ589" s="257">
        <f>FME_Ranking1[[#This Row],[Addition check]]-FME_Ranking1[[#This Row],[Weighted Score Based on Normalized Reported Factors]]</f>
        <v>0</v>
      </c>
      <c r="AK589" s="178">
        <f>_xlfn.RANK.EQ(AI589,$AI$6:$AI$2341,0)+COUNTIF($AI$6:AI589,AI589)-1</f>
        <v>686</v>
      </c>
    </row>
    <row r="590" spans="1:37" x14ac:dyDescent="0.25">
      <c r="A590" t="s">
        <v>7787</v>
      </c>
      <c r="B590">
        <f>_xlfn.XLOOKUP(FME_Ranking1[[#This Row],[FME ID]],FME_Input[FME_ID],FME_Input[RFPG_NUM])</f>
        <v>8</v>
      </c>
      <c r="C590" t="str">
        <f>_xlfn.XLOOKUP(FME_Ranking1[[#This Row],[FME ID]],FME_Input[FME_ID],FME_Input[FME_NAME])</f>
        <v>Sharondale Drainage Improvements</v>
      </c>
      <c r="D590" t="str">
        <f>_xlfn.XLOOKUP(FME_Ranking1[[#This Row],[FME ID]],FME_Input[FME_ID],FME_Input[DESCR])</f>
        <v>Drainage infrastructure improvements to reduce flooding in the Sharondale area.</v>
      </c>
      <c r="E590" s="256">
        <f>_xlfn.XLOOKUP(FME_Ranking1[[#This Row],[FME ID]],FME_Input[FME_ID],FME_Input[FME_COST])</f>
        <v>157000</v>
      </c>
      <c r="F590" t="str">
        <f>_xlfn.XLOOKUP(FME_Ranking1[[#This Row],[FME ID]],FME_Input[FME_ID],FME_Input[EMER_NEED])</f>
        <v>No</v>
      </c>
      <c r="G590">
        <f>IF(FME_Ranking!F590="Yes",100,0)</f>
        <v>0</v>
      </c>
      <c r="H590">
        <f>FME_Ranking1[[#This Row],[Emergency Need Score (Normalized, Unweighted)]]*$F$3</f>
        <v>0</v>
      </c>
      <c r="I590" s="246">
        <f>_xlfn.XLOOKUP(FME_Ranking1[[#This Row],[FME ID]],FME_Input[FME_ID],FME_Input[STRUCT_100])</f>
        <v>578</v>
      </c>
      <c r="J590" s="178">
        <f>(FME_Ranking1[[#This Row],[Structures 100 Raw]]/I$2)*100</f>
        <v>0.3095146296534293</v>
      </c>
      <c r="K590" s="178">
        <f>FME_Ranking1[[#This Row],[Structures 100  Score (Normalized, Unweighted)]]*$I$3</f>
        <v>4.6427194448014394E-2</v>
      </c>
      <c r="L590" s="246">
        <f>_xlfn.XLOOKUP(FME_Ranking1[[#This Row],[FME ID]],FME_Input[FME_ID],FME_Input[RES_STRUCT100])</f>
        <v>328</v>
      </c>
      <c r="M590" s="230">
        <f>(FME_Ranking1[[#This Row],[Res Structures Raw]]/L$2)*100</f>
        <v>0.23232423396750296</v>
      </c>
      <c r="N590" s="180">
        <f>FME_Ranking1[[#This Row],[Res Structures Score (Normalized, Unweighted)]]*$L$3</f>
        <v>2.3232423396750298E-2</v>
      </c>
      <c r="O590" s="244">
        <f>_xlfn.XLOOKUP(FME_Ranking1[[#This Row],[FME ID]],FME_Input[FME_ID],FME_Input[POP100])</f>
        <v>6540</v>
      </c>
      <c r="P590" s="178">
        <f>(FME_Ranking1[[#This Row],[Pop Raw]]/$O$2)*100</f>
        <v>0.66953454040651195</v>
      </c>
      <c r="Q590" s="178">
        <f>FME_Ranking1[[#This Row],[Pop Score (Normalized, Unweighted)]]*$O$3</f>
        <v>0.10043018106097679</v>
      </c>
      <c r="R590" s="137">
        <f>_xlfn.XLOOKUP(FME_Ranking1[[#This Row],[FME ID]],FME_Input[FME_ID],FME_Input[CRITFAC100])</f>
        <v>1</v>
      </c>
      <c r="S590" s="230">
        <f>(FME_Ranking1[[#This Row],[Critical Facilities Raw]]/$R$2)*100</f>
        <v>4.2881646655231559E-2</v>
      </c>
      <c r="T590" s="180">
        <f>FME_Ranking1[[#This Row],[Critical Facilities Score (Normalized, Unweighted)]]*$R$3</f>
        <v>8.5763293310463125E-3</v>
      </c>
      <c r="U590">
        <f>_xlfn.XLOOKUP(FME_Ranking1[[#This Row],[FME ID]],FME_Input[FME_ID],FME_Input[LWC])</f>
        <v>1</v>
      </c>
      <c r="V590" s="178">
        <f>(FME_Ranking1[[#This Row],[LWC Raw]]/$U$2)*100</f>
        <v>5.7570523891767422E-2</v>
      </c>
      <c r="W590" s="178">
        <f>FME_Ranking1[[#This Row],[LWC Score (Normalized, Unweighted)]]*$U$3</f>
        <v>1.1514104778353485E-2</v>
      </c>
      <c r="X590" s="246">
        <f>_xlfn.XLOOKUP(FME_Ranking1[[#This Row],[FME ID]],FME_Input[FME_ID],FME_Input[ROADCLS])</f>
        <v>108</v>
      </c>
      <c r="Y590" s="230">
        <f>(FME_Ranking1[[#This Row],[Closures Raw]]/$X$2)*100</f>
        <v>1.1355272841972452</v>
      </c>
      <c r="Z590" s="180">
        <f>FME_Ranking1[[#This Row],[Closures Score (Normalized, Unweighted)]]*$X$3</f>
        <v>5.6776364209862262E-2</v>
      </c>
      <c r="AA590" s="253">
        <f>_xlfn.XLOOKUP(FME_Ranking1[[#This Row],[FME ID]],FME_Input[FME_ID],FME_Input[ROAD_MILES100])</f>
        <v>31.993400573730469</v>
      </c>
      <c r="AB590" s="178">
        <f>(FME_Ranking1[[#This Row],[Miles Raw]]/$AA$2)*100</f>
        <v>0.42065583468672763</v>
      </c>
      <c r="AC590" s="178">
        <f>FME_Ranking1[[#This Row],[Miles Score (Normalized, Unweighted)]]*$AA$3</f>
        <v>4.2065583468672764E-2</v>
      </c>
      <c r="AD590" s="255">
        <f>_xlfn.XLOOKUP(FME_Ranking1[[#This Row],[FME ID]],FME_Input[FME_ID],FME_Input[FARMACRE100])</f>
        <v>196.13099670410159</v>
      </c>
      <c r="AE590" s="230">
        <f>(FME_Ranking1[[#This Row],[Ag Land Raw]]/$AD$2)*100</f>
        <v>8.0875643229467893E-3</v>
      </c>
      <c r="AF590" s="231">
        <f>FME_Ranking1[[#This Row],[Ag Land Score (Normalized, Unweighted)]]*$AD$3</f>
        <v>4.043782161473395E-4</v>
      </c>
      <c r="AG59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0.28942655890982372</v>
      </c>
      <c r="AH590" s="406">
        <f t="shared" si="9"/>
        <v>635</v>
      </c>
      <c r="AI59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0.28942655890982372</v>
      </c>
      <c r="AJ590" s="257">
        <f>FME_Ranking1[[#This Row],[Addition check]]-FME_Ranking1[[#This Row],[Weighted Score Based on Normalized Reported Factors]]</f>
        <v>0</v>
      </c>
      <c r="AK590" s="178">
        <f>_xlfn.RANK.EQ(AI590,$AI$6:$AI$2341,0)+COUNTIF($AI$6:AI590,AI590)-1</f>
        <v>635</v>
      </c>
    </row>
    <row r="591" spans="1:37" x14ac:dyDescent="0.25">
      <c r="A591" t="s">
        <v>7491</v>
      </c>
      <c r="B591">
        <f>_xlfn.XLOOKUP(FME_Ranking1[[#This Row],[FME ID]],FME_Input[FME_ID],FME_Input[RFPG_NUM])</f>
        <v>8</v>
      </c>
      <c r="C591" t="str">
        <f>_xlfn.XLOOKUP(FME_Ranking1[[#This Row],[FME ID]],FME_Input[FME_ID],FME_Input[FME_NAME])</f>
        <v>Lake Creek Tributary 2</v>
      </c>
      <c r="D591" t="str">
        <f>_xlfn.XLOOKUP(FME_Ranking1[[#This Row],[FME ID]],FME_Input[FME_ID],FME_Input[DESCR])</f>
        <v>Develop H&amp;H models for watershed and evaluate methods to provide flood protection to the area.</v>
      </c>
      <c r="E591" s="256">
        <f>_xlfn.XLOOKUP(FME_Ranking1[[#This Row],[FME ID]],FME_Input[FME_ID],FME_Input[FME_COST])</f>
        <v>166000</v>
      </c>
      <c r="F591" t="str">
        <f>_xlfn.XLOOKUP(FME_Ranking1[[#This Row],[FME ID]],FME_Input[FME_ID],FME_Input[EMER_NEED])</f>
        <v>No</v>
      </c>
      <c r="G591">
        <f>IF(FME_Ranking!F591="Yes",100,0)</f>
        <v>0</v>
      </c>
      <c r="H591">
        <f>FME_Ranking1[[#This Row],[Emergency Need Score (Normalized, Unweighted)]]*$F$3</f>
        <v>0</v>
      </c>
      <c r="I591" s="246">
        <f>_xlfn.XLOOKUP(FME_Ranking1[[#This Row],[FME ID]],FME_Input[FME_ID],FME_Input[STRUCT_100])</f>
        <v>224</v>
      </c>
      <c r="J591" s="178">
        <f>(FME_Ranking1[[#This Row],[Structures 100 Raw]]/I$2)*100</f>
        <v>0.11995030630167502</v>
      </c>
      <c r="K591" s="178">
        <f>FME_Ranking1[[#This Row],[Structures 100  Score (Normalized, Unweighted)]]*$I$3</f>
        <v>1.7992545945251254E-2</v>
      </c>
      <c r="L591" s="246">
        <f>_xlfn.XLOOKUP(FME_Ranking1[[#This Row],[FME ID]],FME_Input[FME_ID],FME_Input[RES_STRUCT100])</f>
        <v>195</v>
      </c>
      <c r="M591" s="230">
        <f>(FME_Ranking1[[#This Row],[Res Structures Raw]]/L$2)*100</f>
        <v>0.13811959031604595</v>
      </c>
      <c r="N591" s="180">
        <f>FME_Ranking1[[#This Row],[Res Structures Score (Normalized, Unweighted)]]*$L$3</f>
        <v>1.3811959031604596E-2</v>
      </c>
      <c r="O591" s="244">
        <f>_xlfn.XLOOKUP(FME_Ranking1[[#This Row],[FME ID]],FME_Input[FME_ID],FME_Input[POP100])</f>
        <v>2120</v>
      </c>
      <c r="P591" s="178">
        <f>(FME_Ranking1[[#This Row],[Pop Raw]]/$O$2)*100</f>
        <v>0.21703566141617817</v>
      </c>
      <c r="Q591" s="178">
        <f>FME_Ranking1[[#This Row],[Pop Score (Normalized, Unweighted)]]*$O$3</f>
        <v>3.2555349212426726E-2</v>
      </c>
      <c r="R591" s="137">
        <f>_xlfn.XLOOKUP(FME_Ranking1[[#This Row],[FME ID]],FME_Input[FME_ID],FME_Input[CRITFAC100])</f>
        <v>1</v>
      </c>
      <c r="S591" s="230">
        <f>(FME_Ranking1[[#This Row],[Critical Facilities Raw]]/$R$2)*100</f>
        <v>4.2881646655231559E-2</v>
      </c>
      <c r="T591" s="180">
        <f>FME_Ranking1[[#This Row],[Critical Facilities Score (Normalized, Unweighted)]]*$R$3</f>
        <v>8.5763293310463125E-3</v>
      </c>
      <c r="U591">
        <f>_xlfn.XLOOKUP(FME_Ranking1[[#This Row],[FME ID]],FME_Input[FME_ID],FME_Input[LWC])</f>
        <v>13</v>
      </c>
      <c r="V591" s="178">
        <f>(FME_Ranking1[[#This Row],[LWC Raw]]/$U$2)*100</f>
        <v>0.74841681059297649</v>
      </c>
      <c r="W591" s="178">
        <f>FME_Ranking1[[#This Row],[LWC Score (Normalized, Unweighted)]]*$U$3</f>
        <v>0.14968336211859531</v>
      </c>
      <c r="X591" s="246">
        <f>_xlfn.XLOOKUP(FME_Ranking1[[#This Row],[FME ID]],FME_Input[FME_ID],FME_Input[ROADCLS])</f>
        <v>45</v>
      </c>
      <c r="Y591" s="230">
        <f>(FME_Ranking1[[#This Row],[Closures Raw]]/$X$2)*100</f>
        <v>0.47313636841551887</v>
      </c>
      <c r="Z591" s="180">
        <f>FME_Ranking1[[#This Row],[Closures Score (Normalized, Unweighted)]]*$X$3</f>
        <v>2.3656818420775945E-2</v>
      </c>
      <c r="AA591" s="253">
        <f>_xlfn.XLOOKUP(FME_Ranking1[[#This Row],[FME ID]],FME_Input[FME_ID],FME_Input[ROAD_MILES100])</f>
        <v>7.218480110168457</v>
      </c>
      <c r="AB591" s="178">
        <f>(FME_Ranking1[[#This Row],[Miles Raw]]/$AA$2)*100</f>
        <v>9.4910066496829246E-2</v>
      </c>
      <c r="AC591" s="178">
        <f>FME_Ranking1[[#This Row],[Miles Score (Normalized, Unweighted)]]*$AA$3</f>
        <v>9.4910066496829253E-3</v>
      </c>
      <c r="AD591" s="255">
        <f>_xlfn.XLOOKUP(FME_Ranking1[[#This Row],[FME ID]],FME_Input[FME_ID],FME_Input[FARMACRE100])</f>
        <v>151.1499938964844</v>
      </c>
      <c r="AE591" s="230">
        <f>(FME_Ranking1[[#This Row],[Ag Land Raw]]/$AD$2)*100</f>
        <v>6.2327491247856793E-3</v>
      </c>
      <c r="AF591" s="231">
        <f>FME_Ranking1[[#This Row],[Ag Land Score (Normalized, Unweighted)]]*$AD$3</f>
        <v>3.1163745623928401E-4</v>
      </c>
      <c r="AG59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0.2560790081656224</v>
      </c>
      <c r="AH591" s="406">
        <f t="shared" si="9"/>
        <v>681</v>
      </c>
      <c r="AI59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0.2560790081656224</v>
      </c>
      <c r="AJ591" s="257">
        <f>FME_Ranking1[[#This Row],[Addition check]]-FME_Ranking1[[#This Row],[Weighted Score Based on Normalized Reported Factors]]</f>
        <v>0</v>
      </c>
      <c r="AK591" s="178">
        <f>_xlfn.RANK.EQ(AI591,$AI$6:$AI$2341,0)+COUNTIF($AI$6:AI591,AI591)-1</f>
        <v>681</v>
      </c>
    </row>
    <row r="592" spans="1:37" x14ac:dyDescent="0.25">
      <c r="A592" t="s">
        <v>1559</v>
      </c>
      <c r="B592">
        <f>_xlfn.XLOOKUP(FME_Ranking1[[#This Row],[FME ID]],FME_Input[FME_ID],FME_Input[RFPG_NUM])</f>
        <v>6</v>
      </c>
      <c r="C592" t="str">
        <f>_xlfn.XLOOKUP(FME_Ranking1[[#This Row],[FME ID]],FME_Input[FME_ID],FME_Input[FME_NAME])</f>
        <v>City of Deer Park  Master Drainage Plan</v>
      </c>
      <c r="D592" t="str">
        <f>_xlfn.XLOOKUP(FME_Ranking1[[#This Row],[FME ID]],FME_Input[FME_ID],FME_Input[DESCR])</f>
        <v>Study to develop Master Drainage Plan using future and existing land use and flood/storm water drainage needs including Atlas 14 rainfall.</v>
      </c>
      <c r="E592" s="256">
        <f>_xlfn.XLOOKUP(FME_Ranking1[[#This Row],[FME ID]],FME_Input[FME_ID],FME_Input[FME_COST])</f>
        <v>320000</v>
      </c>
      <c r="F592" t="str">
        <f>_xlfn.XLOOKUP(FME_Ranking1[[#This Row],[FME ID]],FME_Input[FME_ID],FME_Input[EMER_NEED])</f>
        <v>Yes</v>
      </c>
      <c r="G592">
        <f>IF(FME_Ranking!F592="Yes",100,0)</f>
        <v>100</v>
      </c>
      <c r="H592">
        <f>FME_Ranking1[[#This Row],[Emergency Need Score (Normalized, Unweighted)]]*$F$3</f>
        <v>0</v>
      </c>
      <c r="I592" s="246">
        <f>_xlfn.XLOOKUP(FME_Ranking1[[#This Row],[FME ID]],FME_Input[FME_ID],FME_Input[STRUCT_100])</f>
        <v>469</v>
      </c>
      <c r="J592" s="178">
        <f>(FME_Ranking1[[#This Row],[Structures 100 Raw]]/I$2)*100</f>
        <v>0.25114595381913207</v>
      </c>
      <c r="K592" s="178">
        <f>FME_Ranking1[[#This Row],[Structures 100  Score (Normalized, Unweighted)]]*$I$3</f>
        <v>3.7671893072869812E-2</v>
      </c>
      <c r="L592" s="246">
        <f>_xlfn.XLOOKUP(FME_Ranking1[[#This Row],[FME ID]],FME_Input[FME_ID],FME_Input[RES_STRUCT100])</f>
        <v>241</v>
      </c>
      <c r="M592" s="230">
        <f>(FME_Ranking1[[#This Row],[Res Structures Raw]]/L$2)*100</f>
        <v>0.17070164751880551</v>
      </c>
      <c r="N592" s="180">
        <f>FME_Ranking1[[#This Row],[Res Structures Score (Normalized, Unweighted)]]*$L$3</f>
        <v>1.7070164751880553E-2</v>
      </c>
      <c r="O592" s="244">
        <f>_xlfn.XLOOKUP(FME_Ranking1[[#This Row],[FME ID]],FME_Input[FME_ID],FME_Input[POP100])</f>
        <v>8356</v>
      </c>
      <c r="P592" s="178">
        <f>(FME_Ranking1[[#This Row],[Pop Raw]]/$O$2)*100</f>
        <v>0.85544810697810603</v>
      </c>
      <c r="Q592" s="178">
        <f>FME_Ranking1[[#This Row],[Pop Score (Normalized, Unweighted)]]*$O$3</f>
        <v>0.12831721604671589</v>
      </c>
      <c r="R592" s="137">
        <f>_xlfn.XLOOKUP(FME_Ranking1[[#This Row],[FME ID]],FME_Input[FME_ID],FME_Input[CRITFAC100])</f>
        <v>6</v>
      </c>
      <c r="S592" s="230">
        <f>(FME_Ranking1[[#This Row],[Critical Facilities Raw]]/$R$2)*100</f>
        <v>0.25728987993138941</v>
      </c>
      <c r="T592" s="180">
        <f>FME_Ranking1[[#This Row],[Critical Facilities Score (Normalized, Unweighted)]]*$R$3</f>
        <v>5.1457975986277882E-2</v>
      </c>
      <c r="U592">
        <f>_xlfn.XLOOKUP(FME_Ranking1[[#This Row],[FME ID]],FME_Input[FME_ID],FME_Input[LWC])</f>
        <v>1</v>
      </c>
      <c r="V592" s="178">
        <f>(FME_Ranking1[[#This Row],[LWC Raw]]/$U$2)*100</f>
        <v>5.7570523891767422E-2</v>
      </c>
      <c r="W592" s="178">
        <f>FME_Ranking1[[#This Row],[LWC Score (Normalized, Unweighted)]]*$U$3</f>
        <v>1.1514104778353485E-2</v>
      </c>
      <c r="X592" s="246">
        <f>_xlfn.XLOOKUP(FME_Ranking1[[#This Row],[FME ID]],FME_Input[FME_ID],FME_Input[ROADCLS])</f>
        <v>1</v>
      </c>
      <c r="Y592" s="230">
        <f>(FME_Ranking1[[#This Row],[Closures Raw]]/$X$2)*100</f>
        <v>1.0514141520344864E-2</v>
      </c>
      <c r="Z592" s="180">
        <f>FME_Ranking1[[#This Row],[Closures Score (Normalized, Unweighted)]]*$X$3</f>
        <v>5.2570707601724321E-4</v>
      </c>
      <c r="AA592" s="253">
        <f>_xlfn.XLOOKUP(FME_Ranking1[[#This Row],[FME ID]],FME_Input[FME_ID],FME_Input[ROAD_MILES100])</f>
        <v>9.11767578125</v>
      </c>
      <c r="AB592" s="178">
        <f>(FME_Ranking1[[#This Row],[Miles Raw]]/$AA$2)*100</f>
        <v>0.11988108320419993</v>
      </c>
      <c r="AC592" s="178">
        <f>FME_Ranking1[[#This Row],[Miles Score (Normalized, Unweighted)]]*$AA$3</f>
        <v>1.1988108320419993E-2</v>
      </c>
      <c r="AD592" s="255">
        <f>_xlfn.XLOOKUP(FME_Ranking1[[#This Row],[FME ID]],FME_Input[FME_ID],FME_Input[FARMACRE100])</f>
        <v>4.1067566871643066</v>
      </c>
      <c r="AE592" s="230">
        <f>(FME_Ranking1[[#This Row],[Ag Land Raw]]/$AD$2)*100</f>
        <v>1.6934426186719425E-4</v>
      </c>
      <c r="AF592" s="231">
        <f>FME_Ranking1[[#This Row],[Ag Land Score (Normalized, Unweighted)]]*$AD$3</f>
        <v>8.4672130933597137E-6</v>
      </c>
      <c r="AG59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0.25855363724562819</v>
      </c>
      <c r="AH592" s="406">
        <f t="shared" si="9"/>
        <v>674</v>
      </c>
      <c r="AI59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0.25855363724562819</v>
      </c>
      <c r="AJ592" s="257">
        <f>FME_Ranking1[[#This Row],[Addition check]]-FME_Ranking1[[#This Row],[Weighted Score Based on Normalized Reported Factors]]</f>
        <v>0</v>
      </c>
      <c r="AK592" s="178">
        <f>_xlfn.RANK.EQ(AI592,$AI$6:$AI$2341,0)+COUNTIF($AI$6:AI592,AI592)-1</f>
        <v>674</v>
      </c>
    </row>
    <row r="593" spans="1:37" x14ac:dyDescent="0.25">
      <c r="A593" t="s">
        <v>7570</v>
      </c>
      <c r="B593">
        <f>_xlfn.XLOOKUP(FME_Ranking1[[#This Row],[FME ID]],FME_Input[FME_ID],FME_Input[RFPG_NUM])</f>
        <v>8</v>
      </c>
      <c r="C593" t="str">
        <f>_xlfn.XLOOKUP(FME_Ranking1[[#This Row],[FME ID]],FME_Input[FME_ID],FME_Input[FME_NAME])</f>
        <v>Dam 102</v>
      </c>
      <c r="D593" t="str">
        <f>_xlfn.XLOOKUP(FME_Ranking1[[#This Row],[FME ID]],FME_Input[FME_ID],FME_Input[DESCR])</f>
        <v>Study to design dam to provide flood storage for Lake Creek.</v>
      </c>
      <c r="E593" s="256">
        <f>_xlfn.XLOOKUP(FME_Ranking1[[#This Row],[FME ID]],FME_Input[FME_ID],FME_Input[FME_COST])</f>
        <v>1000000</v>
      </c>
      <c r="F593" t="str">
        <f>_xlfn.XLOOKUP(FME_Ranking1[[#This Row],[FME ID]],FME_Input[FME_ID],FME_Input[EMER_NEED])</f>
        <v>No</v>
      </c>
      <c r="G593">
        <f>IF(FME_Ranking!F593="Yes",100,0)</f>
        <v>0</v>
      </c>
      <c r="H593">
        <f>FME_Ranking1[[#This Row],[Emergency Need Score (Normalized, Unweighted)]]*$F$3</f>
        <v>0</v>
      </c>
      <c r="I593" s="246">
        <f>_xlfn.XLOOKUP(FME_Ranking1[[#This Row],[FME ID]],FME_Input[FME_ID],FME_Input[STRUCT_100])</f>
        <v>224</v>
      </c>
      <c r="J593" s="178">
        <f>(FME_Ranking1[[#This Row],[Structures 100 Raw]]/I$2)*100</f>
        <v>0.11995030630167502</v>
      </c>
      <c r="K593" s="178">
        <f>FME_Ranking1[[#This Row],[Structures 100  Score (Normalized, Unweighted)]]*$I$3</f>
        <v>1.7992545945251254E-2</v>
      </c>
      <c r="L593" s="246">
        <f>_xlfn.XLOOKUP(FME_Ranking1[[#This Row],[FME ID]],FME_Input[FME_ID],FME_Input[RES_STRUCT100])</f>
        <v>195</v>
      </c>
      <c r="M593" s="230">
        <f>(FME_Ranking1[[#This Row],[Res Structures Raw]]/L$2)*100</f>
        <v>0.13811959031604595</v>
      </c>
      <c r="N593" s="180">
        <f>FME_Ranking1[[#This Row],[Res Structures Score (Normalized, Unweighted)]]*$L$3</f>
        <v>1.3811959031604596E-2</v>
      </c>
      <c r="O593" s="244">
        <f>_xlfn.XLOOKUP(FME_Ranking1[[#This Row],[FME ID]],FME_Input[FME_ID],FME_Input[POP100])</f>
        <v>2120</v>
      </c>
      <c r="P593" s="178">
        <f>(FME_Ranking1[[#This Row],[Pop Raw]]/$O$2)*100</f>
        <v>0.21703566141617817</v>
      </c>
      <c r="Q593" s="178">
        <f>FME_Ranking1[[#This Row],[Pop Score (Normalized, Unweighted)]]*$O$3</f>
        <v>3.2555349212426726E-2</v>
      </c>
      <c r="R593" s="137">
        <f>_xlfn.XLOOKUP(FME_Ranking1[[#This Row],[FME ID]],FME_Input[FME_ID],FME_Input[CRITFAC100])</f>
        <v>1</v>
      </c>
      <c r="S593" s="230">
        <f>(FME_Ranking1[[#This Row],[Critical Facilities Raw]]/$R$2)*100</f>
        <v>4.2881646655231559E-2</v>
      </c>
      <c r="T593" s="180">
        <f>FME_Ranking1[[#This Row],[Critical Facilities Score (Normalized, Unweighted)]]*$R$3</f>
        <v>8.5763293310463125E-3</v>
      </c>
      <c r="U593">
        <f>_xlfn.XLOOKUP(FME_Ranking1[[#This Row],[FME ID]],FME_Input[FME_ID],FME_Input[LWC])</f>
        <v>13</v>
      </c>
      <c r="V593" s="178">
        <f>(FME_Ranking1[[#This Row],[LWC Raw]]/$U$2)*100</f>
        <v>0.74841681059297649</v>
      </c>
      <c r="W593" s="178">
        <f>FME_Ranking1[[#This Row],[LWC Score (Normalized, Unweighted)]]*$U$3</f>
        <v>0.14968336211859531</v>
      </c>
      <c r="X593" s="246">
        <f>_xlfn.XLOOKUP(FME_Ranking1[[#This Row],[FME ID]],FME_Input[FME_ID],FME_Input[ROADCLS])</f>
        <v>44</v>
      </c>
      <c r="Y593" s="230">
        <f>(FME_Ranking1[[#This Row],[Closures Raw]]/$X$2)*100</f>
        <v>0.46262222689517402</v>
      </c>
      <c r="Z593" s="180">
        <f>FME_Ranking1[[#This Row],[Closures Score (Normalized, Unweighted)]]*$X$3</f>
        <v>2.3131111344758704E-2</v>
      </c>
      <c r="AA593" s="253">
        <f>_xlfn.XLOOKUP(FME_Ranking1[[#This Row],[FME ID]],FME_Input[FME_ID],FME_Input[ROAD_MILES100])</f>
        <v>7.2137198448181152</v>
      </c>
      <c r="AB593" s="178">
        <f>(FME_Ranking1[[#This Row],[Miles Raw]]/$AA$2)*100</f>
        <v>9.4847477545408981E-2</v>
      </c>
      <c r="AC593" s="178">
        <f>FME_Ranking1[[#This Row],[Miles Score (Normalized, Unweighted)]]*$AA$3</f>
        <v>9.4847477545408985E-3</v>
      </c>
      <c r="AD593" s="255">
        <f>_xlfn.XLOOKUP(FME_Ranking1[[#This Row],[FME ID]],FME_Input[FME_ID],FME_Input[FARMACRE100])</f>
        <v>151.1499938964844</v>
      </c>
      <c r="AE593" s="230">
        <f>(FME_Ranking1[[#This Row],[Ag Land Raw]]/$AD$2)*100</f>
        <v>6.2327491247856793E-3</v>
      </c>
      <c r="AF593" s="231">
        <f>FME_Ranking1[[#This Row],[Ag Land Score (Normalized, Unweighted)]]*$AD$3</f>
        <v>3.1163745623928401E-4</v>
      </c>
      <c r="AG59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0.25554704219446311</v>
      </c>
      <c r="AH593" s="406">
        <f t="shared" si="9"/>
        <v>683</v>
      </c>
      <c r="AI59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0.25554704219446311</v>
      </c>
      <c r="AJ593" s="257">
        <f>FME_Ranking1[[#This Row],[Addition check]]-FME_Ranking1[[#This Row],[Weighted Score Based on Normalized Reported Factors]]</f>
        <v>0</v>
      </c>
      <c r="AK593" s="178">
        <f>_xlfn.RANK.EQ(AI593,$AI$6:$AI$2341,0)+COUNTIF($AI$6:AI593,AI593)-1</f>
        <v>683</v>
      </c>
    </row>
    <row r="594" spans="1:37" x14ac:dyDescent="0.25">
      <c r="A594" t="s">
        <v>7751</v>
      </c>
      <c r="B594">
        <f>_xlfn.XLOOKUP(FME_Ranking1[[#This Row],[FME ID]],FME_Input[FME_ID],FME_Input[RFPG_NUM])</f>
        <v>8</v>
      </c>
      <c r="C594" t="str">
        <f>_xlfn.XLOOKUP(FME_Ranking1[[#This Row],[FME ID]],FME_Input[FME_ID],FME_Input[FME_NAME])</f>
        <v>Dam 101</v>
      </c>
      <c r="D594" t="str">
        <f>_xlfn.XLOOKUP(FME_Ranking1[[#This Row],[FME ID]],FME_Input[FME_ID],FME_Input[DESCR])</f>
        <v>Construction of dam to provide flood storage for Lake Creek.</v>
      </c>
      <c r="E594" s="256">
        <f>_xlfn.XLOOKUP(FME_Ranking1[[#This Row],[FME ID]],FME_Input[FME_ID],FME_Input[FME_COST])</f>
        <v>1262000</v>
      </c>
      <c r="F594" t="str">
        <f>_xlfn.XLOOKUP(FME_Ranking1[[#This Row],[FME ID]],FME_Input[FME_ID],FME_Input[EMER_NEED])</f>
        <v>No</v>
      </c>
      <c r="G594">
        <f>IF(FME_Ranking!F594="Yes",100,0)</f>
        <v>0</v>
      </c>
      <c r="H594">
        <f>FME_Ranking1[[#This Row],[Emergency Need Score (Normalized, Unweighted)]]*$F$3</f>
        <v>0</v>
      </c>
      <c r="I594" s="246">
        <f>_xlfn.XLOOKUP(FME_Ranking1[[#This Row],[FME ID]],FME_Input[FME_ID],FME_Input[STRUCT_100])</f>
        <v>224</v>
      </c>
      <c r="J594" s="178">
        <f>(FME_Ranking1[[#This Row],[Structures 100 Raw]]/I$2)*100</f>
        <v>0.11995030630167502</v>
      </c>
      <c r="K594" s="178">
        <f>FME_Ranking1[[#This Row],[Structures 100  Score (Normalized, Unweighted)]]*$I$3</f>
        <v>1.7992545945251254E-2</v>
      </c>
      <c r="L594" s="246">
        <f>_xlfn.XLOOKUP(FME_Ranking1[[#This Row],[FME ID]],FME_Input[FME_ID],FME_Input[RES_STRUCT100])</f>
        <v>195</v>
      </c>
      <c r="M594" s="230">
        <f>(FME_Ranking1[[#This Row],[Res Structures Raw]]/L$2)*100</f>
        <v>0.13811959031604595</v>
      </c>
      <c r="N594" s="180">
        <f>FME_Ranking1[[#This Row],[Res Structures Score (Normalized, Unweighted)]]*$L$3</f>
        <v>1.3811959031604596E-2</v>
      </c>
      <c r="O594" s="244">
        <f>_xlfn.XLOOKUP(FME_Ranking1[[#This Row],[FME ID]],FME_Input[FME_ID],FME_Input[POP100])</f>
        <v>2120</v>
      </c>
      <c r="P594" s="178">
        <f>(FME_Ranking1[[#This Row],[Pop Raw]]/$O$2)*100</f>
        <v>0.21703566141617817</v>
      </c>
      <c r="Q594" s="178">
        <f>FME_Ranking1[[#This Row],[Pop Score (Normalized, Unweighted)]]*$O$3</f>
        <v>3.2555349212426726E-2</v>
      </c>
      <c r="R594" s="137">
        <f>_xlfn.XLOOKUP(FME_Ranking1[[#This Row],[FME ID]],FME_Input[FME_ID],FME_Input[CRITFAC100])</f>
        <v>1</v>
      </c>
      <c r="S594" s="230">
        <f>(FME_Ranking1[[#This Row],[Critical Facilities Raw]]/$R$2)*100</f>
        <v>4.2881646655231559E-2</v>
      </c>
      <c r="T594" s="180">
        <f>FME_Ranking1[[#This Row],[Critical Facilities Score (Normalized, Unweighted)]]*$R$3</f>
        <v>8.5763293310463125E-3</v>
      </c>
      <c r="U594">
        <f>_xlfn.XLOOKUP(FME_Ranking1[[#This Row],[FME ID]],FME_Input[FME_ID],FME_Input[LWC])</f>
        <v>13</v>
      </c>
      <c r="V594" s="178">
        <f>(FME_Ranking1[[#This Row],[LWC Raw]]/$U$2)*100</f>
        <v>0.74841681059297649</v>
      </c>
      <c r="W594" s="178">
        <f>FME_Ranking1[[#This Row],[LWC Score (Normalized, Unweighted)]]*$U$3</f>
        <v>0.14968336211859531</v>
      </c>
      <c r="X594" s="246">
        <f>_xlfn.XLOOKUP(FME_Ranking1[[#This Row],[FME ID]],FME_Input[FME_ID],FME_Input[ROADCLS])</f>
        <v>44</v>
      </c>
      <c r="Y594" s="230">
        <f>(FME_Ranking1[[#This Row],[Closures Raw]]/$X$2)*100</f>
        <v>0.46262222689517402</v>
      </c>
      <c r="Z594" s="180">
        <f>FME_Ranking1[[#This Row],[Closures Score (Normalized, Unweighted)]]*$X$3</f>
        <v>2.3131111344758704E-2</v>
      </c>
      <c r="AA594" s="253">
        <f>_xlfn.XLOOKUP(FME_Ranking1[[#This Row],[FME ID]],FME_Input[FME_ID],FME_Input[ROAD_MILES100])</f>
        <v>7.2137198448181152</v>
      </c>
      <c r="AB594" s="178">
        <f>(FME_Ranking1[[#This Row],[Miles Raw]]/$AA$2)*100</f>
        <v>9.4847477545408981E-2</v>
      </c>
      <c r="AC594" s="178">
        <f>FME_Ranking1[[#This Row],[Miles Score (Normalized, Unweighted)]]*$AA$3</f>
        <v>9.4847477545408985E-3</v>
      </c>
      <c r="AD594" s="255">
        <f>_xlfn.XLOOKUP(FME_Ranking1[[#This Row],[FME ID]],FME_Input[FME_ID],FME_Input[FARMACRE100])</f>
        <v>151.1499938964844</v>
      </c>
      <c r="AE594" s="230">
        <f>(FME_Ranking1[[#This Row],[Ag Land Raw]]/$AD$2)*100</f>
        <v>6.2327491247856793E-3</v>
      </c>
      <c r="AF594" s="231">
        <f>FME_Ranking1[[#This Row],[Ag Land Score (Normalized, Unweighted)]]*$AD$3</f>
        <v>3.1163745623928401E-4</v>
      </c>
      <c r="AG59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0.25554704219446311</v>
      </c>
      <c r="AH594" s="406">
        <f t="shared" si="9"/>
        <v>683</v>
      </c>
      <c r="AI59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0.25554704219446311</v>
      </c>
      <c r="AJ594" s="257">
        <f>FME_Ranking1[[#This Row],[Addition check]]-FME_Ranking1[[#This Row],[Weighted Score Based on Normalized Reported Factors]]</f>
        <v>0</v>
      </c>
      <c r="AK594" s="178">
        <f>_xlfn.RANK.EQ(AI594,$AI$6:$AI$2341,0)+COUNTIF($AI$6:AI594,AI594)-1</f>
        <v>684</v>
      </c>
    </row>
    <row r="595" spans="1:37" x14ac:dyDescent="0.25">
      <c r="A595" t="s">
        <v>2122</v>
      </c>
      <c r="B595">
        <f>_xlfn.XLOOKUP(FME_Ranking1[[#This Row],[FME ID]],FME_Input[FME_ID],FME_Input[RFPG_NUM])</f>
        <v>6</v>
      </c>
      <c r="C595" t="str">
        <f>_xlfn.XLOOKUP(FME_Ranking1[[#This Row],[FME ID]],FME_Input[FME_ID],FME_Input[FME_NAME])</f>
        <v>Hunting Bayou Wallisville Outfall (H103-00-00) - Gellhorn Drive</v>
      </c>
      <c r="D595" t="str">
        <f>_xlfn.XLOOKUP(FME_Ranking1[[#This Row],[FME ID]],FME_Input[FME_ID],FME_Input[DESCR])</f>
        <v>Study to develop a Benefit Cost Analysis needed for this project to become a FMP. Diversion channel expansion for Gellhorn Drive flood reductions.</v>
      </c>
      <c r="E595" s="256">
        <f>_xlfn.XLOOKUP(FME_Ranking1[[#This Row],[FME ID]],FME_Input[FME_ID],FME_Input[FME_COST])</f>
        <v>30000</v>
      </c>
      <c r="F595" t="str">
        <f>_xlfn.XLOOKUP(FME_Ranking1[[#This Row],[FME ID]],FME_Input[FME_ID],FME_Input[EMER_NEED])</f>
        <v>No</v>
      </c>
      <c r="G595">
        <f>IF(FME_Ranking!F595="Yes",100,0)</f>
        <v>0</v>
      </c>
      <c r="H595">
        <f>FME_Ranking1[[#This Row],[Emergency Need Score (Normalized, Unweighted)]]*$F$3</f>
        <v>0</v>
      </c>
      <c r="I595" s="246">
        <f>_xlfn.XLOOKUP(FME_Ranking1[[#This Row],[FME ID]],FME_Input[FME_ID],FME_Input[STRUCT_100])</f>
        <v>396</v>
      </c>
      <c r="J595" s="178">
        <f>(FME_Ranking1[[#This Row],[Structures 100 Raw]]/I$2)*100</f>
        <v>0.21205500578331832</v>
      </c>
      <c r="K595" s="178">
        <f>FME_Ranking1[[#This Row],[Structures 100  Score (Normalized, Unweighted)]]*$I$3</f>
        <v>3.1808250867497743E-2</v>
      </c>
      <c r="L595" s="246">
        <f>_xlfn.XLOOKUP(FME_Ranking1[[#This Row],[FME ID]],FME_Input[FME_ID],FME_Input[RES_STRUCT100])</f>
        <v>328</v>
      </c>
      <c r="M595" s="230">
        <f>(FME_Ranking1[[#This Row],[Res Structures Raw]]/L$2)*100</f>
        <v>0.23232423396750296</v>
      </c>
      <c r="N595" s="180">
        <f>FME_Ranking1[[#This Row],[Res Structures Score (Normalized, Unweighted)]]*$L$3</f>
        <v>2.3232423396750298E-2</v>
      </c>
      <c r="O595" s="244">
        <f>_xlfn.XLOOKUP(FME_Ranking1[[#This Row],[FME ID]],FME_Input[FME_ID],FME_Input[POP100])</f>
        <v>10304</v>
      </c>
      <c r="P595" s="178">
        <f>(FME_Ranking1[[#This Row],[Pop Raw]]/$O$2)*100</f>
        <v>1.0548752147322169</v>
      </c>
      <c r="Q595" s="178">
        <f>FME_Ranking1[[#This Row],[Pop Score (Normalized, Unweighted)]]*$O$3</f>
        <v>0.15823128220983254</v>
      </c>
      <c r="R595" s="137">
        <f>_xlfn.XLOOKUP(FME_Ranking1[[#This Row],[FME ID]],FME_Input[FME_ID],FME_Input[CRITFAC100])</f>
        <v>1</v>
      </c>
      <c r="S595" s="230">
        <f>(FME_Ranking1[[#This Row],[Critical Facilities Raw]]/$R$2)*100</f>
        <v>4.2881646655231559E-2</v>
      </c>
      <c r="T595" s="180">
        <f>FME_Ranking1[[#This Row],[Critical Facilities Score (Normalized, Unweighted)]]*$R$3</f>
        <v>8.5763293310463125E-3</v>
      </c>
      <c r="U595">
        <f>_xlfn.XLOOKUP(FME_Ranking1[[#This Row],[FME ID]],FME_Input[FME_ID],FME_Input[LWC])</f>
        <v>2</v>
      </c>
      <c r="V595" s="178">
        <f>(FME_Ranking1[[#This Row],[LWC Raw]]/$U$2)*100</f>
        <v>0.11514104778353484</v>
      </c>
      <c r="W595" s="178">
        <f>FME_Ranking1[[#This Row],[LWC Score (Normalized, Unweighted)]]*$U$3</f>
        <v>2.302820955670697E-2</v>
      </c>
      <c r="X595" s="246">
        <f>_xlfn.XLOOKUP(FME_Ranking1[[#This Row],[FME ID]],FME_Input[FME_ID],FME_Input[ROADCLS])</f>
        <v>2</v>
      </c>
      <c r="Y595" s="230">
        <f>(FME_Ranking1[[#This Row],[Closures Raw]]/$X$2)*100</f>
        <v>2.1028283040689728E-2</v>
      </c>
      <c r="Z595" s="180">
        <f>FME_Ranking1[[#This Row],[Closures Score (Normalized, Unweighted)]]*$X$3</f>
        <v>1.0514141520344864E-3</v>
      </c>
      <c r="AA595" s="253">
        <f>_xlfn.XLOOKUP(FME_Ranking1[[#This Row],[FME ID]],FME_Input[FME_ID],FME_Input[ROAD_MILES100])</f>
        <v>13.02831935882568</v>
      </c>
      <c r="AB595" s="178">
        <f>(FME_Ranking1[[#This Row],[Miles Raw]]/$AA$2)*100</f>
        <v>0.17129903218078085</v>
      </c>
      <c r="AC595" s="178">
        <f>FME_Ranking1[[#This Row],[Miles Score (Normalized, Unweighted)]]*$AA$3</f>
        <v>1.7129903218078085E-2</v>
      </c>
      <c r="AD595" s="255">
        <f>_xlfn.XLOOKUP(FME_Ranking1[[#This Row],[FME ID]],FME_Input[FME_ID],FME_Input[FARMACRE100])</f>
        <v>0.66479456424713135</v>
      </c>
      <c r="AE595" s="230">
        <f>(FME_Ranking1[[#This Row],[Ag Land Raw]]/$AD$2)*100</f>
        <v>2.7413151874232124E-5</v>
      </c>
      <c r="AF595" s="231">
        <f>FME_Ranking1[[#This Row],[Ag Land Score (Normalized, Unweighted)]]*$AD$3</f>
        <v>1.3706575937116062E-6</v>
      </c>
      <c r="AG59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0.26305918338954021</v>
      </c>
      <c r="AH595" s="406">
        <f t="shared" si="9"/>
        <v>667</v>
      </c>
      <c r="AI59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0.26305918338954021</v>
      </c>
      <c r="AJ595" s="257">
        <f>FME_Ranking1[[#This Row],[Addition check]]-FME_Ranking1[[#This Row],[Weighted Score Based on Normalized Reported Factors]]</f>
        <v>0</v>
      </c>
      <c r="AK595" s="178">
        <f>_xlfn.RANK.EQ(AI595,$AI$6:$AI$2341,0)+COUNTIF($AI$6:AI595,AI595)-1</f>
        <v>667</v>
      </c>
    </row>
    <row r="596" spans="1:37" x14ac:dyDescent="0.25">
      <c r="A596" t="s">
        <v>2127</v>
      </c>
      <c r="B596">
        <f>_xlfn.XLOOKUP(FME_Ranking1[[#This Row],[FME ID]],FME_Input[FME_ID],FME_Input[RFPG_NUM])</f>
        <v>6</v>
      </c>
      <c r="C596" t="str">
        <f>_xlfn.XLOOKUP(FME_Ranking1[[#This Row],[FME ID]],FME_Input[FME_ID],FME_Input[FME_NAME])</f>
        <v>Hunting Bayou Wallisville Outfall (H103-00-00) - Denver Harbor</v>
      </c>
      <c r="D596" t="str">
        <f>_xlfn.XLOOKUP(FME_Ranking1[[#This Row],[FME ID]],FME_Input[FME_ID],FME_Input[DESCR])</f>
        <v>Study to develop a Benefit Cost Analysis needed for this project to become a FMP. Denver Harbor drainage system improvements.</v>
      </c>
      <c r="E596" s="256">
        <f>_xlfn.XLOOKUP(FME_Ranking1[[#This Row],[FME ID]],FME_Input[FME_ID],FME_Input[FME_COST])</f>
        <v>30000</v>
      </c>
      <c r="F596" t="str">
        <f>_xlfn.XLOOKUP(FME_Ranking1[[#This Row],[FME ID]],FME_Input[FME_ID],FME_Input[EMER_NEED])</f>
        <v>No</v>
      </c>
      <c r="G596">
        <f>IF(FME_Ranking!F596="Yes",100,0)</f>
        <v>0</v>
      </c>
      <c r="H596">
        <f>FME_Ranking1[[#This Row],[Emergency Need Score (Normalized, Unweighted)]]*$F$3</f>
        <v>0</v>
      </c>
      <c r="I596" s="246">
        <f>_xlfn.XLOOKUP(FME_Ranking1[[#This Row],[FME ID]],FME_Input[FME_ID],FME_Input[STRUCT_100])</f>
        <v>396</v>
      </c>
      <c r="J596" s="178">
        <f>(FME_Ranking1[[#This Row],[Structures 100 Raw]]/I$2)*100</f>
        <v>0.21205500578331832</v>
      </c>
      <c r="K596" s="178">
        <f>FME_Ranking1[[#This Row],[Structures 100  Score (Normalized, Unweighted)]]*$I$3</f>
        <v>3.1808250867497743E-2</v>
      </c>
      <c r="L596" s="246">
        <f>_xlfn.XLOOKUP(FME_Ranking1[[#This Row],[FME ID]],FME_Input[FME_ID],FME_Input[RES_STRUCT100])</f>
        <v>328</v>
      </c>
      <c r="M596" s="230">
        <f>(FME_Ranking1[[#This Row],[Res Structures Raw]]/L$2)*100</f>
        <v>0.23232423396750296</v>
      </c>
      <c r="N596" s="180">
        <f>FME_Ranking1[[#This Row],[Res Structures Score (Normalized, Unweighted)]]*$L$3</f>
        <v>2.3232423396750298E-2</v>
      </c>
      <c r="O596" s="244">
        <f>_xlfn.XLOOKUP(FME_Ranking1[[#This Row],[FME ID]],FME_Input[FME_ID],FME_Input[POP100])</f>
        <v>10304</v>
      </c>
      <c r="P596" s="178">
        <f>(FME_Ranking1[[#This Row],[Pop Raw]]/$O$2)*100</f>
        <v>1.0548752147322169</v>
      </c>
      <c r="Q596" s="178">
        <f>FME_Ranking1[[#This Row],[Pop Score (Normalized, Unweighted)]]*$O$3</f>
        <v>0.15823128220983254</v>
      </c>
      <c r="R596" s="137">
        <f>_xlfn.XLOOKUP(FME_Ranking1[[#This Row],[FME ID]],FME_Input[FME_ID],FME_Input[CRITFAC100])</f>
        <v>1</v>
      </c>
      <c r="S596" s="230">
        <f>(FME_Ranking1[[#This Row],[Critical Facilities Raw]]/$R$2)*100</f>
        <v>4.2881646655231559E-2</v>
      </c>
      <c r="T596" s="180">
        <f>FME_Ranking1[[#This Row],[Critical Facilities Score (Normalized, Unweighted)]]*$R$3</f>
        <v>8.5763293310463125E-3</v>
      </c>
      <c r="U596">
        <f>_xlfn.XLOOKUP(FME_Ranking1[[#This Row],[FME ID]],FME_Input[FME_ID],FME_Input[LWC])</f>
        <v>2</v>
      </c>
      <c r="V596" s="178">
        <f>(FME_Ranking1[[#This Row],[LWC Raw]]/$U$2)*100</f>
        <v>0.11514104778353484</v>
      </c>
      <c r="W596" s="178">
        <f>FME_Ranking1[[#This Row],[LWC Score (Normalized, Unweighted)]]*$U$3</f>
        <v>2.302820955670697E-2</v>
      </c>
      <c r="X596" s="246">
        <f>_xlfn.XLOOKUP(FME_Ranking1[[#This Row],[FME ID]],FME_Input[FME_ID],FME_Input[ROADCLS])</f>
        <v>2</v>
      </c>
      <c r="Y596" s="230">
        <f>(FME_Ranking1[[#This Row],[Closures Raw]]/$X$2)*100</f>
        <v>2.1028283040689728E-2</v>
      </c>
      <c r="Z596" s="180">
        <f>FME_Ranking1[[#This Row],[Closures Score (Normalized, Unweighted)]]*$X$3</f>
        <v>1.0514141520344864E-3</v>
      </c>
      <c r="AA596" s="253">
        <f>_xlfn.XLOOKUP(FME_Ranking1[[#This Row],[FME ID]],FME_Input[FME_ID],FME_Input[ROAD_MILES100])</f>
        <v>13.02831935882568</v>
      </c>
      <c r="AB596" s="178">
        <f>(FME_Ranking1[[#This Row],[Miles Raw]]/$AA$2)*100</f>
        <v>0.17129903218078085</v>
      </c>
      <c r="AC596" s="178">
        <f>FME_Ranking1[[#This Row],[Miles Score (Normalized, Unweighted)]]*$AA$3</f>
        <v>1.7129903218078085E-2</v>
      </c>
      <c r="AD596" s="255">
        <f>_xlfn.XLOOKUP(FME_Ranking1[[#This Row],[FME ID]],FME_Input[FME_ID],FME_Input[FARMACRE100])</f>
        <v>0.66479456424713135</v>
      </c>
      <c r="AE596" s="230">
        <f>(FME_Ranking1[[#This Row],[Ag Land Raw]]/$AD$2)*100</f>
        <v>2.7413151874232124E-5</v>
      </c>
      <c r="AF596" s="231">
        <f>FME_Ranking1[[#This Row],[Ag Land Score (Normalized, Unweighted)]]*$AD$3</f>
        <v>1.3706575937116062E-6</v>
      </c>
      <c r="AG59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0.26305918338954021</v>
      </c>
      <c r="AH596" s="406">
        <f t="shared" si="9"/>
        <v>667</v>
      </c>
      <c r="AI59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0.26305918338954021</v>
      </c>
      <c r="AJ596" s="257">
        <f>FME_Ranking1[[#This Row],[Addition check]]-FME_Ranking1[[#This Row],[Weighted Score Based on Normalized Reported Factors]]</f>
        <v>0</v>
      </c>
      <c r="AK596" s="178">
        <f>_xlfn.RANK.EQ(AI596,$AI$6:$AI$2341,0)+COUNTIF($AI$6:AI596,AI596)-1</f>
        <v>668</v>
      </c>
    </row>
    <row r="597" spans="1:37" x14ac:dyDescent="0.25">
      <c r="A597" t="s">
        <v>2518</v>
      </c>
      <c r="B597">
        <f>_xlfn.XLOOKUP(FME_Ranking1[[#This Row],[FME ID]],FME_Input[FME_ID],FME_Input[RFPG_NUM])</f>
        <v>1</v>
      </c>
      <c r="C597" t="str">
        <f>_xlfn.XLOOKUP(FME_Ranking1[[#This Row],[FME ID]],FME_Input[FME_ID],FME_Input[FME_NAME])</f>
        <v>Childress County Drainage Master Plan</v>
      </c>
      <c r="D597" t="str">
        <f>_xlfn.XLOOKUP(FME_Ranking1[[#This Row],[FME ID]],FME_Input[FME_ID],FME_Input[DESCR])</f>
        <v>Perform H&amp;H modeling, develop conceptual alternatives and OPCC, and rank projects; selected based on HMAPs</v>
      </c>
      <c r="E597" s="256">
        <f>_xlfn.XLOOKUP(FME_Ranking1[[#This Row],[FME ID]],FME_Input[FME_ID],FME_Input[FME_COST])</f>
        <v>500000</v>
      </c>
      <c r="F597" t="str">
        <f>_xlfn.XLOOKUP(FME_Ranking1[[#This Row],[FME ID]],FME_Input[FME_ID],FME_Input[EMER_NEED])</f>
        <v>No</v>
      </c>
      <c r="G597">
        <f>IF(FME_Ranking!F597="Yes",100,0)</f>
        <v>0</v>
      </c>
      <c r="H597">
        <f>FME_Ranking1[[#This Row],[Emergency Need Score (Normalized, Unweighted)]]*$F$3</f>
        <v>0</v>
      </c>
      <c r="I597" s="246">
        <f>_xlfn.XLOOKUP(FME_Ranking1[[#This Row],[FME ID]],FME_Input[FME_ID],FME_Input[STRUCT_100])</f>
        <v>47</v>
      </c>
      <c r="J597" s="178">
        <f>(FME_Ranking1[[#This Row],[Structures 100 Raw]]/I$2)*100</f>
        <v>2.5168144625797882E-2</v>
      </c>
      <c r="K597" s="178">
        <f>FME_Ranking1[[#This Row],[Structures 100  Score (Normalized, Unweighted)]]*$I$3</f>
        <v>3.7752216938696822E-3</v>
      </c>
      <c r="L597" s="246">
        <f>_xlfn.XLOOKUP(FME_Ranking1[[#This Row],[FME ID]],FME_Input[FME_ID],FME_Input[RES_STRUCT100])</f>
        <v>17</v>
      </c>
      <c r="M597" s="230">
        <f>(FME_Ranking1[[#This Row],[Res Structures Raw]]/L$2)*100</f>
        <v>1.2041195053193749E-2</v>
      </c>
      <c r="N597" s="180">
        <f>FME_Ranking1[[#This Row],[Res Structures Score (Normalized, Unweighted)]]*$L$3</f>
        <v>1.2041195053193749E-3</v>
      </c>
      <c r="O597" s="244">
        <f>_xlfn.XLOOKUP(FME_Ranking1[[#This Row],[FME ID]],FME_Input[FME_ID],FME_Input[POP100])</f>
        <v>59</v>
      </c>
      <c r="P597" s="178">
        <f>(FME_Ranking1[[#This Row],[Pop Raw]]/$O$2)*100</f>
        <v>6.0401434073370343E-3</v>
      </c>
      <c r="Q597" s="178">
        <f>FME_Ranking1[[#This Row],[Pop Score (Normalized, Unweighted)]]*$O$3</f>
        <v>9.0602151110055513E-4</v>
      </c>
      <c r="R597" s="137">
        <f>_xlfn.XLOOKUP(FME_Ranking1[[#This Row],[FME ID]],FME_Input[FME_ID],FME_Input[CRITFAC100])</f>
        <v>1</v>
      </c>
      <c r="S597" s="230">
        <f>(FME_Ranking1[[#This Row],[Critical Facilities Raw]]/$R$2)*100</f>
        <v>4.2881646655231559E-2</v>
      </c>
      <c r="T597" s="180">
        <f>FME_Ranking1[[#This Row],[Critical Facilities Score (Normalized, Unweighted)]]*$R$3</f>
        <v>8.5763293310463125E-3</v>
      </c>
      <c r="U597">
        <f>_xlfn.XLOOKUP(FME_Ranking1[[#This Row],[FME ID]],FME_Input[FME_ID],FME_Input[LWC])</f>
        <v>8</v>
      </c>
      <c r="V597" s="178">
        <f>(FME_Ranking1[[#This Row],[LWC Raw]]/$U$2)*100</f>
        <v>0.46056419113413938</v>
      </c>
      <c r="W597" s="178">
        <f>FME_Ranking1[[#This Row],[LWC Score (Normalized, Unweighted)]]*$U$3</f>
        <v>9.2112838226827878E-2</v>
      </c>
      <c r="X597" s="246">
        <f>_xlfn.XLOOKUP(FME_Ranking1[[#This Row],[FME ID]],FME_Input[FME_ID],FME_Input[ROADCLS])</f>
        <v>8</v>
      </c>
      <c r="Y597" s="230">
        <f>(FME_Ranking1[[#This Row],[Closures Raw]]/$X$2)*100</f>
        <v>8.4113132162758911E-2</v>
      </c>
      <c r="Z597" s="180">
        <f>FME_Ranking1[[#This Row],[Closures Score (Normalized, Unweighted)]]*$X$3</f>
        <v>4.2056566081379457E-3</v>
      </c>
      <c r="AA597" s="253">
        <f>_xlfn.XLOOKUP(FME_Ranking1[[#This Row],[FME ID]],FME_Input[FME_ID],FME_Input[ROAD_MILES100])</f>
        <v>52.279953002929688</v>
      </c>
      <c r="AB597" s="178">
        <f>(FME_Ranking1[[#This Row],[Miles Raw]]/$AA$2)*100</f>
        <v>0.68738761349075317</v>
      </c>
      <c r="AC597" s="178">
        <f>FME_Ranking1[[#This Row],[Miles Score (Normalized, Unweighted)]]*$AA$3</f>
        <v>6.873876134907532E-2</v>
      </c>
      <c r="AD597" s="255">
        <f>_xlfn.XLOOKUP(FME_Ranking1[[#This Row],[FME ID]],FME_Input[FME_ID],FME_Input[FARMACRE100])</f>
        <v>65435.875</v>
      </c>
      <c r="AE597" s="230">
        <f>(FME_Ranking1[[#This Row],[Ag Land Raw]]/$AD$2)*100</f>
        <v>2.6982825610641403</v>
      </c>
      <c r="AF597" s="231">
        <f>FME_Ranking1[[#This Row],[Ag Land Score (Normalized, Unweighted)]]*$AD$3</f>
        <v>0.13491412805320702</v>
      </c>
      <c r="AG59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0.31443307627858408</v>
      </c>
      <c r="AH597" s="406">
        <f t="shared" si="9"/>
        <v>602</v>
      </c>
      <c r="AI59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0.31443307627858408</v>
      </c>
      <c r="AJ597" s="257">
        <f>FME_Ranking1[[#This Row],[Addition check]]-FME_Ranking1[[#This Row],[Weighted Score Based on Normalized Reported Factors]]</f>
        <v>0</v>
      </c>
      <c r="AK597" s="178">
        <f>_xlfn.RANK.EQ(AI597,$AI$6:$AI$2341,0)+COUNTIF($AI$6:AI597,AI597)-1</f>
        <v>602</v>
      </c>
    </row>
    <row r="598" spans="1:37" x14ac:dyDescent="0.25">
      <c r="A598" t="s">
        <v>2877</v>
      </c>
      <c r="B598">
        <f>_xlfn.XLOOKUP(FME_Ranking1[[#This Row],[FME ID]],FME_Input[FME_ID],FME_Input[RFPG_NUM])</f>
        <v>1</v>
      </c>
      <c r="C598" t="str">
        <f>_xlfn.XLOOKUP(FME_Ranking1[[#This Row],[FME ID]],FME_Input[FME_ID],FME_Input[FME_NAME])</f>
        <v>Childress County FIS</v>
      </c>
      <c r="D598" t="str">
        <f>_xlfn.XLOOKUP(FME_Ranking1[[#This Row],[FME ID]],FME_Input[FME_ID],FME_Input[DESCR])</f>
        <v>Perform flood insurance study for the county and develop regulatory mapping</v>
      </c>
      <c r="E598" s="256">
        <f>_xlfn.XLOOKUP(FME_Ranking1[[#This Row],[FME ID]],FME_Input[FME_ID],FME_Input[FME_COST])</f>
        <v>711000</v>
      </c>
      <c r="F598" t="str">
        <f>_xlfn.XLOOKUP(FME_Ranking1[[#This Row],[FME ID]],FME_Input[FME_ID],FME_Input[EMER_NEED])</f>
        <v>No</v>
      </c>
      <c r="G598">
        <f>IF(FME_Ranking!F598="Yes",100,0)</f>
        <v>0</v>
      </c>
      <c r="H598">
        <f>FME_Ranking1[[#This Row],[Emergency Need Score (Normalized, Unweighted)]]*$F$3</f>
        <v>0</v>
      </c>
      <c r="I598" s="246">
        <f>_xlfn.XLOOKUP(FME_Ranking1[[#This Row],[FME ID]],FME_Input[FME_ID],FME_Input[STRUCT_100])</f>
        <v>47</v>
      </c>
      <c r="J598" s="178">
        <f>(FME_Ranking1[[#This Row],[Structures 100 Raw]]/I$2)*100</f>
        <v>2.5168144625797882E-2</v>
      </c>
      <c r="K598" s="178">
        <f>FME_Ranking1[[#This Row],[Structures 100  Score (Normalized, Unweighted)]]*$I$3</f>
        <v>3.7752216938696822E-3</v>
      </c>
      <c r="L598" s="246">
        <f>_xlfn.XLOOKUP(FME_Ranking1[[#This Row],[FME ID]],FME_Input[FME_ID],FME_Input[RES_STRUCT100])</f>
        <v>17</v>
      </c>
      <c r="M598" s="230">
        <f>(FME_Ranking1[[#This Row],[Res Structures Raw]]/L$2)*100</f>
        <v>1.2041195053193749E-2</v>
      </c>
      <c r="N598" s="180">
        <f>FME_Ranking1[[#This Row],[Res Structures Score (Normalized, Unweighted)]]*$L$3</f>
        <v>1.2041195053193749E-3</v>
      </c>
      <c r="O598" s="244">
        <f>_xlfn.XLOOKUP(FME_Ranking1[[#This Row],[FME ID]],FME_Input[FME_ID],FME_Input[POP100])</f>
        <v>59</v>
      </c>
      <c r="P598" s="178">
        <f>(FME_Ranking1[[#This Row],[Pop Raw]]/$O$2)*100</f>
        <v>6.0401434073370343E-3</v>
      </c>
      <c r="Q598" s="178">
        <f>FME_Ranking1[[#This Row],[Pop Score (Normalized, Unweighted)]]*$O$3</f>
        <v>9.0602151110055513E-4</v>
      </c>
      <c r="R598" s="137">
        <f>_xlfn.XLOOKUP(FME_Ranking1[[#This Row],[FME ID]],FME_Input[FME_ID],FME_Input[CRITFAC100])</f>
        <v>1</v>
      </c>
      <c r="S598" s="230">
        <f>(FME_Ranking1[[#This Row],[Critical Facilities Raw]]/$R$2)*100</f>
        <v>4.2881646655231559E-2</v>
      </c>
      <c r="T598" s="180">
        <f>FME_Ranking1[[#This Row],[Critical Facilities Score (Normalized, Unweighted)]]*$R$3</f>
        <v>8.5763293310463125E-3</v>
      </c>
      <c r="U598">
        <f>_xlfn.XLOOKUP(FME_Ranking1[[#This Row],[FME ID]],FME_Input[FME_ID],FME_Input[LWC])</f>
        <v>8</v>
      </c>
      <c r="V598" s="178">
        <f>(FME_Ranking1[[#This Row],[LWC Raw]]/$U$2)*100</f>
        <v>0.46056419113413938</v>
      </c>
      <c r="W598" s="178">
        <f>FME_Ranking1[[#This Row],[LWC Score (Normalized, Unweighted)]]*$U$3</f>
        <v>9.2112838226827878E-2</v>
      </c>
      <c r="X598" s="246">
        <f>_xlfn.XLOOKUP(FME_Ranking1[[#This Row],[FME ID]],FME_Input[FME_ID],FME_Input[ROADCLS])</f>
        <v>8</v>
      </c>
      <c r="Y598" s="230">
        <f>(FME_Ranking1[[#This Row],[Closures Raw]]/$X$2)*100</f>
        <v>8.4113132162758911E-2</v>
      </c>
      <c r="Z598" s="180">
        <f>FME_Ranking1[[#This Row],[Closures Score (Normalized, Unweighted)]]*$X$3</f>
        <v>4.2056566081379457E-3</v>
      </c>
      <c r="AA598" s="253">
        <f>_xlfn.XLOOKUP(FME_Ranking1[[#This Row],[FME ID]],FME_Input[FME_ID],FME_Input[ROAD_MILES100])</f>
        <v>52.279953002929688</v>
      </c>
      <c r="AB598" s="178">
        <f>(FME_Ranking1[[#This Row],[Miles Raw]]/$AA$2)*100</f>
        <v>0.68738761349075317</v>
      </c>
      <c r="AC598" s="178">
        <f>FME_Ranking1[[#This Row],[Miles Score (Normalized, Unweighted)]]*$AA$3</f>
        <v>6.873876134907532E-2</v>
      </c>
      <c r="AD598" s="255">
        <f>_xlfn.XLOOKUP(FME_Ranking1[[#This Row],[FME ID]],FME_Input[FME_ID],FME_Input[FARMACRE100])</f>
        <v>65435.875</v>
      </c>
      <c r="AE598" s="230">
        <f>(FME_Ranking1[[#This Row],[Ag Land Raw]]/$AD$2)*100</f>
        <v>2.6982825610641403</v>
      </c>
      <c r="AF598" s="231">
        <f>FME_Ranking1[[#This Row],[Ag Land Score (Normalized, Unweighted)]]*$AD$3</f>
        <v>0.13491412805320702</v>
      </c>
      <c r="AG59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0.31443307627858408</v>
      </c>
      <c r="AH598" s="406">
        <f t="shared" si="9"/>
        <v>602</v>
      </c>
      <c r="AI59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0.31443307627858408</v>
      </c>
      <c r="AJ598" s="257">
        <f>FME_Ranking1[[#This Row],[Addition check]]-FME_Ranking1[[#This Row],[Weighted Score Based on Normalized Reported Factors]]</f>
        <v>0</v>
      </c>
      <c r="AK598" s="178">
        <f>_xlfn.RANK.EQ(AI598,$AI$6:$AI$2341,0)+COUNTIF($AI$6:AI598,AI598)-1</f>
        <v>603</v>
      </c>
    </row>
    <row r="599" spans="1:37" x14ac:dyDescent="0.25">
      <c r="A599" t="s">
        <v>743</v>
      </c>
      <c r="B599">
        <f>_xlfn.XLOOKUP(FME_Ranking1[[#This Row],[FME ID]],FME_Input[FME_ID],FME_Input[RFPG_NUM])</f>
        <v>6</v>
      </c>
      <c r="C599" t="str">
        <f>_xlfn.XLOOKUP(FME_Ranking1[[#This Row],[FME ID]],FME_Input[FME_ID],FME_Input[FME_NAME])</f>
        <v>Lilly - Alligator Creek Watershed</v>
      </c>
      <c r="D599" t="str">
        <f>_xlfn.XLOOKUP(FME_Ranking1[[#This Row],[FME ID]],FME_Input[FME_ID],FME_Input[DESCR])</f>
        <v>Develop a benefits cost analysis in support of this project identied in the City of Conroe Master Drainage Plan.</v>
      </c>
      <c r="E599" s="256">
        <f>_xlfn.XLOOKUP(FME_Ranking1[[#This Row],[FME ID]],FME_Input[FME_ID],FME_Input[FME_COST])</f>
        <v>30000</v>
      </c>
      <c r="F599" t="str">
        <f>_xlfn.XLOOKUP(FME_Ranking1[[#This Row],[FME ID]],FME_Input[FME_ID],FME_Input[EMER_NEED])</f>
        <v>No</v>
      </c>
      <c r="G599">
        <f>IF(FME_Ranking!F599="Yes",100,0)</f>
        <v>0</v>
      </c>
      <c r="H599">
        <f>FME_Ranking1[[#This Row],[Emergency Need Score (Normalized, Unweighted)]]*$F$3</f>
        <v>0</v>
      </c>
      <c r="I599" s="246">
        <f>_xlfn.XLOOKUP(FME_Ranking1[[#This Row],[FME ID]],FME_Input[FME_ID],FME_Input[STRUCT_100])</f>
        <v>516</v>
      </c>
      <c r="J599" s="178">
        <f>(FME_Ranking1[[#This Row],[Structures 100 Raw]]/I$2)*100</f>
        <v>0.27631409844492999</v>
      </c>
      <c r="K599" s="178">
        <f>FME_Ranking1[[#This Row],[Structures 100  Score (Normalized, Unweighted)]]*$I$3</f>
        <v>4.1447114766739498E-2</v>
      </c>
      <c r="L599" s="246">
        <f>_xlfn.XLOOKUP(FME_Ranking1[[#This Row],[FME ID]],FME_Input[FME_ID],FME_Input[RES_STRUCT100])</f>
        <v>426</v>
      </c>
      <c r="M599" s="230">
        <f>(FME_Ranking1[[#This Row],[Res Structures Raw]]/L$2)*100</f>
        <v>0.3017381819212081</v>
      </c>
      <c r="N599" s="180">
        <f>FME_Ranking1[[#This Row],[Res Structures Score (Normalized, Unweighted)]]*$L$3</f>
        <v>3.017381819212081E-2</v>
      </c>
      <c r="O599" s="244">
        <f>_xlfn.XLOOKUP(FME_Ranking1[[#This Row],[FME ID]],FME_Input[FME_ID],FME_Input[POP100])</f>
        <v>3099</v>
      </c>
      <c r="P599" s="178">
        <f>(FME_Ranking1[[#This Row],[Pop Raw]]/$O$2)*100</f>
        <v>0.31726109185317741</v>
      </c>
      <c r="Q599" s="178">
        <f>FME_Ranking1[[#This Row],[Pop Score (Normalized, Unweighted)]]*$O$3</f>
        <v>4.7589163777976611E-2</v>
      </c>
      <c r="R599" s="137">
        <f>_xlfn.XLOOKUP(FME_Ranking1[[#This Row],[FME ID]],FME_Input[FME_ID],FME_Input[CRITFAC100])</f>
        <v>2</v>
      </c>
      <c r="S599" s="230">
        <f>(FME_Ranking1[[#This Row],[Critical Facilities Raw]]/$R$2)*100</f>
        <v>8.5763293310463118E-2</v>
      </c>
      <c r="T599" s="180">
        <f>FME_Ranking1[[#This Row],[Critical Facilities Score (Normalized, Unweighted)]]*$R$3</f>
        <v>1.7152658662092625E-2</v>
      </c>
      <c r="U599">
        <f>_xlfn.XLOOKUP(FME_Ranking1[[#This Row],[FME ID]],FME_Input[FME_ID],FME_Input[LWC])</f>
        <v>9</v>
      </c>
      <c r="V599" s="178">
        <f>(FME_Ranking1[[#This Row],[LWC Raw]]/$U$2)*100</f>
        <v>0.5181347150259068</v>
      </c>
      <c r="W599" s="178">
        <f>FME_Ranking1[[#This Row],[LWC Score (Normalized, Unweighted)]]*$U$3</f>
        <v>0.10362694300518137</v>
      </c>
      <c r="X599" s="246">
        <f>_xlfn.XLOOKUP(FME_Ranking1[[#This Row],[FME ID]],FME_Input[FME_ID],FME_Input[ROADCLS])</f>
        <v>9</v>
      </c>
      <c r="Y599" s="230">
        <f>(FME_Ranking1[[#This Row],[Closures Raw]]/$X$2)*100</f>
        <v>9.462727368310378E-2</v>
      </c>
      <c r="Z599" s="180">
        <f>FME_Ranking1[[#This Row],[Closures Score (Normalized, Unweighted)]]*$X$3</f>
        <v>4.7313636841551897E-3</v>
      </c>
      <c r="AA599" s="253">
        <f>_xlfn.XLOOKUP(FME_Ranking1[[#This Row],[FME ID]],FME_Input[FME_ID],FME_Input[ROAD_MILES100])</f>
        <v>9.8994226455688477</v>
      </c>
      <c r="AB599" s="178">
        <f>(FME_Ranking1[[#This Row],[Miles Raw]]/$AA$2)*100</f>
        <v>0.13015965234116719</v>
      </c>
      <c r="AC599" s="178">
        <f>FME_Ranking1[[#This Row],[Miles Score (Normalized, Unweighted)]]*$AA$3</f>
        <v>1.301596523411672E-2</v>
      </c>
      <c r="AD599" s="255">
        <f>_xlfn.XLOOKUP(FME_Ranking1[[#This Row],[FME ID]],FME_Input[FME_ID],FME_Input[FARMACRE100])</f>
        <v>2.4494938850402832</v>
      </c>
      <c r="AE599" s="230">
        <f>(FME_Ranking1[[#This Row],[Ag Land Raw]]/$AD$2)*100</f>
        <v>1.0100616265064762E-4</v>
      </c>
      <c r="AF599" s="231">
        <f>FME_Ranking1[[#This Row],[Ag Land Score (Normalized, Unweighted)]]*$AD$3</f>
        <v>5.0503081325323814E-6</v>
      </c>
      <c r="AG59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0.25774207763051532</v>
      </c>
      <c r="AH599" s="406">
        <f t="shared" si="9"/>
        <v>675</v>
      </c>
      <c r="AI59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0.25774207763051532</v>
      </c>
      <c r="AJ599" s="257">
        <f>FME_Ranking1[[#This Row],[Addition check]]-FME_Ranking1[[#This Row],[Weighted Score Based on Normalized Reported Factors]]</f>
        <v>0</v>
      </c>
      <c r="AK599" s="178">
        <f>_xlfn.RANK.EQ(AI599,$AI$6:$AI$2341,0)+COUNTIF($AI$6:AI599,AI599)-1</f>
        <v>675</v>
      </c>
    </row>
    <row r="600" spans="1:37" x14ac:dyDescent="0.25">
      <c r="A600" t="s">
        <v>745</v>
      </c>
      <c r="B600">
        <f>_xlfn.XLOOKUP(FME_Ranking1[[#This Row],[FME ID]],FME_Input[FME_ID],FME_Input[RFPG_NUM])</f>
        <v>6</v>
      </c>
      <c r="C600" t="str">
        <f>_xlfn.XLOOKUP(FME_Ranking1[[#This Row],[FME ID]],FME_Input[FME_ID],FME_Input[FME_NAME])</f>
        <v>East Fork North - Alligator Creek Watershed
"</v>
      </c>
      <c r="D600" t="str">
        <f>_xlfn.XLOOKUP(FME_Ranking1[[#This Row],[FME ID]],FME_Input[FME_ID],FME_Input[DESCR])</f>
        <v>Develop a benefits cost analysis in support of this project identied in the City of Conroe Master Drainage Plan.</v>
      </c>
      <c r="E600" s="256">
        <f>_xlfn.XLOOKUP(FME_Ranking1[[#This Row],[FME ID]],FME_Input[FME_ID],FME_Input[FME_COST])</f>
        <v>30000</v>
      </c>
      <c r="F600" t="str">
        <f>_xlfn.XLOOKUP(FME_Ranking1[[#This Row],[FME ID]],FME_Input[FME_ID],FME_Input[EMER_NEED])</f>
        <v>No</v>
      </c>
      <c r="G600">
        <f>IF(FME_Ranking!F600="Yes",100,0)</f>
        <v>0</v>
      </c>
      <c r="H600">
        <f>FME_Ranking1[[#This Row],[Emergency Need Score (Normalized, Unweighted)]]*$F$3</f>
        <v>0</v>
      </c>
      <c r="I600" s="246">
        <f>_xlfn.XLOOKUP(FME_Ranking1[[#This Row],[FME ID]],FME_Input[FME_ID],FME_Input[STRUCT_100])</f>
        <v>516</v>
      </c>
      <c r="J600" s="178">
        <f>(FME_Ranking1[[#This Row],[Structures 100 Raw]]/I$2)*100</f>
        <v>0.27631409844492999</v>
      </c>
      <c r="K600" s="178">
        <f>FME_Ranking1[[#This Row],[Structures 100  Score (Normalized, Unweighted)]]*$I$3</f>
        <v>4.1447114766739498E-2</v>
      </c>
      <c r="L600" s="246">
        <f>_xlfn.XLOOKUP(FME_Ranking1[[#This Row],[FME ID]],FME_Input[FME_ID],FME_Input[RES_STRUCT100])</f>
        <v>426</v>
      </c>
      <c r="M600" s="230">
        <f>(FME_Ranking1[[#This Row],[Res Structures Raw]]/L$2)*100</f>
        <v>0.3017381819212081</v>
      </c>
      <c r="N600" s="180">
        <f>FME_Ranking1[[#This Row],[Res Structures Score (Normalized, Unweighted)]]*$L$3</f>
        <v>3.017381819212081E-2</v>
      </c>
      <c r="O600" s="244">
        <f>_xlfn.XLOOKUP(FME_Ranking1[[#This Row],[FME ID]],FME_Input[FME_ID],FME_Input[POP100])</f>
        <v>3099</v>
      </c>
      <c r="P600" s="178">
        <f>(FME_Ranking1[[#This Row],[Pop Raw]]/$O$2)*100</f>
        <v>0.31726109185317741</v>
      </c>
      <c r="Q600" s="178">
        <f>FME_Ranking1[[#This Row],[Pop Score (Normalized, Unweighted)]]*$O$3</f>
        <v>4.7589163777976611E-2</v>
      </c>
      <c r="R600" s="137">
        <f>_xlfn.XLOOKUP(FME_Ranking1[[#This Row],[FME ID]],FME_Input[FME_ID],FME_Input[CRITFAC100])</f>
        <v>2</v>
      </c>
      <c r="S600" s="230">
        <f>(FME_Ranking1[[#This Row],[Critical Facilities Raw]]/$R$2)*100</f>
        <v>8.5763293310463118E-2</v>
      </c>
      <c r="T600" s="180">
        <f>FME_Ranking1[[#This Row],[Critical Facilities Score (Normalized, Unweighted)]]*$R$3</f>
        <v>1.7152658662092625E-2</v>
      </c>
      <c r="U600">
        <f>_xlfn.XLOOKUP(FME_Ranking1[[#This Row],[FME ID]],FME_Input[FME_ID],FME_Input[LWC])</f>
        <v>9</v>
      </c>
      <c r="V600" s="178">
        <f>(FME_Ranking1[[#This Row],[LWC Raw]]/$U$2)*100</f>
        <v>0.5181347150259068</v>
      </c>
      <c r="W600" s="178">
        <f>FME_Ranking1[[#This Row],[LWC Score (Normalized, Unweighted)]]*$U$3</f>
        <v>0.10362694300518137</v>
      </c>
      <c r="X600" s="246">
        <f>_xlfn.XLOOKUP(FME_Ranking1[[#This Row],[FME ID]],FME_Input[FME_ID],FME_Input[ROADCLS])</f>
        <v>9</v>
      </c>
      <c r="Y600" s="230">
        <f>(FME_Ranking1[[#This Row],[Closures Raw]]/$X$2)*100</f>
        <v>9.462727368310378E-2</v>
      </c>
      <c r="Z600" s="180">
        <f>FME_Ranking1[[#This Row],[Closures Score (Normalized, Unweighted)]]*$X$3</f>
        <v>4.7313636841551897E-3</v>
      </c>
      <c r="AA600" s="253">
        <f>_xlfn.XLOOKUP(FME_Ranking1[[#This Row],[FME ID]],FME_Input[FME_ID],FME_Input[ROAD_MILES100])</f>
        <v>9.8994226455688477</v>
      </c>
      <c r="AB600" s="178">
        <f>(FME_Ranking1[[#This Row],[Miles Raw]]/$AA$2)*100</f>
        <v>0.13015965234116719</v>
      </c>
      <c r="AC600" s="178">
        <f>FME_Ranking1[[#This Row],[Miles Score (Normalized, Unweighted)]]*$AA$3</f>
        <v>1.301596523411672E-2</v>
      </c>
      <c r="AD600" s="255">
        <f>_xlfn.XLOOKUP(FME_Ranking1[[#This Row],[FME ID]],FME_Input[FME_ID],FME_Input[FARMACRE100])</f>
        <v>2.4494938850402832</v>
      </c>
      <c r="AE600" s="230">
        <f>(FME_Ranking1[[#This Row],[Ag Land Raw]]/$AD$2)*100</f>
        <v>1.0100616265064762E-4</v>
      </c>
      <c r="AF600" s="231">
        <f>FME_Ranking1[[#This Row],[Ag Land Score (Normalized, Unweighted)]]*$AD$3</f>
        <v>5.0503081325323814E-6</v>
      </c>
      <c r="AG60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0.25774207763051532</v>
      </c>
      <c r="AH600" s="406">
        <f t="shared" si="9"/>
        <v>675</v>
      </c>
      <c r="AI60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0.25774207763051532</v>
      </c>
      <c r="AJ600" s="257">
        <f>FME_Ranking1[[#This Row],[Addition check]]-FME_Ranking1[[#This Row],[Weighted Score Based on Normalized Reported Factors]]</f>
        <v>0</v>
      </c>
      <c r="AK600" s="178">
        <f>_xlfn.RANK.EQ(AI600,$AI$6:$AI$2341,0)+COUNTIF($AI$6:AI600,AI600)-1</f>
        <v>676</v>
      </c>
    </row>
    <row r="601" spans="1:37" x14ac:dyDescent="0.25">
      <c r="A601" t="s">
        <v>747</v>
      </c>
      <c r="B601">
        <f>_xlfn.XLOOKUP(FME_Ranking1[[#This Row],[FME ID]],FME_Input[FME_ID],FME_Input[RFPG_NUM])</f>
        <v>6</v>
      </c>
      <c r="C601" t="str">
        <f>_xlfn.XLOOKUP(FME_Ranking1[[#This Row],[FME ID]],FME_Input[FME_ID],FME_Input[FME_NAME])</f>
        <v>East Fork South - Alligator Creek Watershed
"</v>
      </c>
      <c r="D601" t="str">
        <f>_xlfn.XLOOKUP(FME_Ranking1[[#This Row],[FME ID]],FME_Input[FME_ID],FME_Input[DESCR])</f>
        <v>Develop a benefits cost analysis in support of this project identied in the City of Conroe Master Drainage Plan.</v>
      </c>
      <c r="E601" s="256">
        <f>_xlfn.XLOOKUP(FME_Ranking1[[#This Row],[FME ID]],FME_Input[FME_ID],FME_Input[FME_COST])</f>
        <v>30000</v>
      </c>
      <c r="F601" t="str">
        <f>_xlfn.XLOOKUP(FME_Ranking1[[#This Row],[FME ID]],FME_Input[FME_ID],FME_Input[EMER_NEED])</f>
        <v>No</v>
      </c>
      <c r="G601">
        <f>IF(FME_Ranking!F601="Yes",100,0)</f>
        <v>0</v>
      </c>
      <c r="H601">
        <f>FME_Ranking1[[#This Row],[Emergency Need Score (Normalized, Unweighted)]]*$F$3</f>
        <v>0</v>
      </c>
      <c r="I601" s="246">
        <f>_xlfn.XLOOKUP(FME_Ranking1[[#This Row],[FME ID]],FME_Input[FME_ID],FME_Input[STRUCT_100])</f>
        <v>516</v>
      </c>
      <c r="J601" s="178">
        <f>(FME_Ranking1[[#This Row],[Structures 100 Raw]]/I$2)*100</f>
        <v>0.27631409844492999</v>
      </c>
      <c r="K601" s="178">
        <f>FME_Ranking1[[#This Row],[Structures 100  Score (Normalized, Unweighted)]]*$I$3</f>
        <v>4.1447114766739498E-2</v>
      </c>
      <c r="L601" s="246">
        <f>_xlfn.XLOOKUP(FME_Ranking1[[#This Row],[FME ID]],FME_Input[FME_ID],FME_Input[RES_STRUCT100])</f>
        <v>426</v>
      </c>
      <c r="M601" s="230">
        <f>(FME_Ranking1[[#This Row],[Res Structures Raw]]/L$2)*100</f>
        <v>0.3017381819212081</v>
      </c>
      <c r="N601" s="180">
        <f>FME_Ranking1[[#This Row],[Res Structures Score (Normalized, Unweighted)]]*$L$3</f>
        <v>3.017381819212081E-2</v>
      </c>
      <c r="O601" s="244">
        <f>_xlfn.XLOOKUP(FME_Ranking1[[#This Row],[FME ID]],FME_Input[FME_ID],FME_Input[POP100])</f>
        <v>3099</v>
      </c>
      <c r="P601" s="178">
        <f>(FME_Ranking1[[#This Row],[Pop Raw]]/$O$2)*100</f>
        <v>0.31726109185317741</v>
      </c>
      <c r="Q601" s="178">
        <f>FME_Ranking1[[#This Row],[Pop Score (Normalized, Unweighted)]]*$O$3</f>
        <v>4.7589163777976611E-2</v>
      </c>
      <c r="R601" s="137">
        <f>_xlfn.XLOOKUP(FME_Ranking1[[#This Row],[FME ID]],FME_Input[FME_ID],FME_Input[CRITFAC100])</f>
        <v>2</v>
      </c>
      <c r="S601" s="230">
        <f>(FME_Ranking1[[#This Row],[Critical Facilities Raw]]/$R$2)*100</f>
        <v>8.5763293310463118E-2</v>
      </c>
      <c r="T601" s="180">
        <f>FME_Ranking1[[#This Row],[Critical Facilities Score (Normalized, Unweighted)]]*$R$3</f>
        <v>1.7152658662092625E-2</v>
      </c>
      <c r="U601">
        <f>_xlfn.XLOOKUP(FME_Ranking1[[#This Row],[FME ID]],FME_Input[FME_ID],FME_Input[LWC])</f>
        <v>9</v>
      </c>
      <c r="V601" s="178">
        <f>(FME_Ranking1[[#This Row],[LWC Raw]]/$U$2)*100</f>
        <v>0.5181347150259068</v>
      </c>
      <c r="W601" s="178">
        <f>FME_Ranking1[[#This Row],[LWC Score (Normalized, Unweighted)]]*$U$3</f>
        <v>0.10362694300518137</v>
      </c>
      <c r="X601" s="246">
        <f>_xlfn.XLOOKUP(FME_Ranking1[[#This Row],[FME ID]],FME_Input[FME_ID],FME_Input[ROADCLS])</f>
        <v>9</v>
      </c>
      <c r="Y601" s="230">
        <f>(FME_Ranking1[[#This Row],[Closures Raw]]/$X$2)*100</f>
        <v>9.462727368310378E-2</v>
      </c>
      <c r="Z601" s="180">
        <f>FME_Ranking1[[#This Row],[Closures Score (Normalized, Unweighted)]]*$X$3</f>
        <v>4.7313636841551897E-3</v>
      </c>
      <c r="AA601" s="253">
        <f>_xlfn.XLOOKUP(FME_Ranking1[[#This Row],[FME ID]],FME_Input[FME_ID],FME_Input[ROAD_MILES100])</f>
        <v>9.8994226455688477</v>
      </c>
      <c r="AB601" s="178">
        <f>(FME_Ranking1[[#This Row],[Miles Raw]]/$AA$2)*100</f>
        <v>0.13015965234116719</v>
      </c>
      <c r="AC601" s="178">
        <f>FME_Ranking1[[#This Row],[Miles Score (Normalized, Unweighted)]]*$AA$3</f>
        <v>1.301596523411672E-2</v>
      </c>
      <c r="AD601" s="255">
        <f>_xlfn.XLOOKUP(FME_Ranking1[[#This Row],[FME ID]],FME_Input[FME_ID],FME_Input[FARMACRE100])</f>
        <v>2.4494938850402832</v>
      </c>
      <c r="AE601" s="230">
        <f>(FME_Ranking1[[#This Row],[Ag Land Raw]]/$AD$2)*100</f>
        <v>1.0100616265064762E-4</v>
      </c>
      <c r="AF601" s="231">
        <f>FME_Ranking1[[#This Row],[Ag Land Score (Normalized, Unweighted)]]*$AD$3</f>
        <v>5.0503081325323814E-6</v>
      </c>
      <c r="AG60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0.25774207763051532</v>
      </c>
      <c r="AH601" s="406">
        <f t="shared" si="9"/>
        <v>675</v>
      </c>
      <c r="AI60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0.25774207763051532</v>
      </c>
      <c r="AJ601" s="257">
        <f>FME_Ranking1[[#This Row],[Addition check]]-FME_Ranking1[[#This Row],[Weighted Score Based on Normalized Reported Factors]]</f>
        <v>0</v>
      </c>
      <c r="AK601" s="178">
        <f>_xlfn.RANK.EQ(AI601,$AI$6:$AI$2341,0)+COUNTIF($AI$6:AI601,AI601)-1</f>
        <v>677</v>
      </c>
    </row>
    <row r="602" spans="1:37" x14ac:dyDescent="0.25">
      <c r="A602" t="s">
        <v>749</v>
      </c>
      <c r="B602">
        <f>_xlfn.XLOOKUP(FME_Ranking1[[#This Row],[FME ID]],FME_Input[FME_ID],FME_Input[RFPG_NUM])</f>
        <v>6</v>
      </c>
      <c r="C602" t="str">
        <f>_xlfn.XLOOKUP(FME_Ranking1[[#This Row],[FME ID]],FME_Input[FME_ID],FME_Input[FME_NAME])</f>
        <v>West Branch - Alligator Creek Watershed</v>
      </c>
      <c r="D602" t="str">
        <f>_xlfn.XLOOKUP(FME_Ranking1[[#This Row],[FME ID]],FME_Input[FME_ID],FME_Input[DESCR])</f>
        <v>Develop a benefits cost analysis in support of this project identied in the City of Conroe Master Drainage Plan.</v>
      </c>
      <c r="E602" s="256">
        <f>_xlfn.XLOOKUP(FME_Ranking1[[#This Row],[FME ID]],FME_Input[FME_ID],FME_Input[FME_COST])</f>
        <v>30000</v>
      </c>
      <c r="F602" t="str">
        <f>_xlfn.XLOOKUP(FME_Ranking1[[#This Row],[FME ID]],FME_Input[FME_ID],FME_Input[EMER_NEED])</f>
        <v>No</v>
      </c>
      <c r="G602">
        <f>IF(FME_Ranking!F602="Yes",100,0)</f>
        <v>0</v>
      </c>
      <c r="H602">
        <f>FME_Ranking1[[#This Row],[Emergency Need Score (Normalized, Unweighted)]]*$F$3</f>
        <v>0</v>
      </c>
      <c r="I602" s="246">
        <f>_xlfn.XLOOKUP(FME_Ranking1[[#This Row],[FME ID]],FME_Input[FME_ID],FME_Input[STRUCT_100])</f>
        <v>516</v>
      </c>
      <c r="J602" s="178">
        <f>(FME_Ranking1[[#This Row],[Structures 100 Raw]]/I$2)*100</f>
        <v>0.27631409844492999</v>
      </c>
      <c r="K602" s="178">
        <f>FME_Ranking1[[#This Row],[Structures 100  Score (Normalized, Unweighted)]]*$I$3</f>
        <v>4.1447114766739498E-2</v>
      </c>
      <c r="L602" s="246">
        <f>_xlfn.XLOOKUP(FME_Ranking1[[#This Row],[FME ID]],FME_Input[FME_ID],FME_Input[RES_STRUCT100])</f>
        <v>426</v>
      </c>
      <c r="M602" s="230">
        <f>(FME_Ranking1[[#This Row],[Res Structures Raw]]/L$2)*100</f>
        <v>0.3017381819212081</v>
      </c>
      <c r="N602" s="180">
        <f>FME_Ranking1[[#This Row],[Res Structures Score (Normalized, Unweighted)]]*$L$3</f>
        <v>3.017381819212081E-2</v>
      </c>
      <c r="O602" s="244">
        <f>_xlfn.XLOOKUP(FME_Ranking1[[#This Row],[FME ID]],FME_Input[FME_ID],FME_Input[POP100])</f>
        <v>3099</v>
      </c>
      <c r="P602" s="178">
        <f>(FME_Ranking1[[#This Row],[Pop Raw]]/$O$2)*100</f>
        <v>0.31726109185317741</v>
      </c>
      <c r="Q602" s="178">
        <f>FME_Ranking1[[#This Row],[Pop Score (Normalized, Unweighted)]]*$O$3</f>
        <v>4.7589163777976611E-2</v>
      </c>
      <c r="R602" s="137">
        <f>_xlfn.XLOOKUP(FME_Ranking1[[#This Row],[FME ID]],FME_Input[FME_ID],FME_Input[CRITFAC100])</f>
        <v>2</v>
      </c>
      <c r="S602" s="230">
        <f>(FME_Ranking1[[#This Row],[Critical Facilities Raw]]/$R$2)*100</f>
        <v>8.5763293310463118E-2</v>
      </c>
      <c r="T602" s="180">
        <f>FME_Ranking1[[#This Row],[Critical Facilities Score (Normalized, Unweighted)]]*$R$3</f>
        <v>1.7152658662092625E-2</v>
      </c>
      <c r="U602">
        <f>_xlfn.XLOOKUP(FME_Ranking1[[#This Row],[FME ID]],FME_Input[FME_ID],FME_Input[LWC])</f>
        <v>9</v>
      </c>
      <c r="V602" s="178">
        <f>(FME_Ranking1[[#This Row],[LWC Raw]]/$U$2)*100</f>
        <v>0.5181347150259068</v>
      </c>
      <c r="W602" s="178">
        <f>FME_Ranking1[[#This Row],[LWC Score (Normalized, Unweighted)]]*$U$3</f>
        <v>0.10362694300518137</v>
      </c>
      <c r="X602" s="246">
        <f>_xlfn.XLOOKUP(FME_Ranking1[[#This Row],[FME ID]],FME_Input[FME_ID],FME_Input[ROADCLS])</f>
        <v>9</v>
      </c>
      <c r="Y602" s="230">
        <f>(FME_Ranking1[[#This Row],[Closures Raw]]/$X$2)*100</f>
        <v>9.462727368310378E-2</v>
      </c>
      <c r="Z602" s="180">
        <f>FME_Ranking1[[#This Row],[Closures Score (Normalized, Unweighted)]]*$X$3</f>
        <v>4.7313636841551897E-3</v>
      </c>
      <c r="AA602" s="253">
        <f>_xlfn.XLOOKUP(FME_Ranking1[[#This Row],[FME ID]],FME_Input[FME_ID],FME_Input[ROAD_MILES100])</f>
        <v>9.8994226455688477</v>
      </c>
      <c r="AB602" s="178">
        <f>(FME_Ranking1[[#This Row],[Miles Raw]]/$AA$2)*100</f>
        <v>0.13015965234116719</v>
      </c>
      <c r="AC602" s="178">
        <f>FME_Ranking1[[#This Row],[Miles Score (Normalized, Unweighted)]]*$AA$3</f>
        <v>1.301596523411672E-2</v>
      </c>
      <c r="AD602" s="255">
        <f>_xlfn.XLOOKUP(FME_Ranking1[[#This Row],[FME ID]],FME_Input[FME_ID],FME_Input[FARMACRE100])</f>
        <v>2.4494938850402832</v>
      </c>
      <c r="AE602" s="230">
        <f>(FME_Ranking1[[#This Row],[Ag Land Raw]]/$AD$2)*100</f>
        <v>1.0100616265064762E-4</v>
      </c>
      <c r="AF602" s="231">
        <f>FME_Ranking1[[#This Row],[Ag Land Score (Normalized, Unweighted)]]*$AD$3</f>
        <v>5.0503081325323814E-6</v>
      </c>
      <c r="AG60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0.25774207763051532</v>
      </c>
      <c r="AH602" s="406">
        <f t="shared" si="9"/>
        <v>675</v>
      </c>
      <c r="AI60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0.25774207763051532</v>
      </c>
      <c r="AJ602" s="257">
        <f>FME_Ranking1[[#This Row],[Addition check]]-FME_Ranking1[[#This Row],[Weighted Score Based on Normalized Reported Factors]]</f>
        <v>0</v>
      </c>
      <c r="AK602" s="178">
        <f>_xlfn.RANK.EQ(AI602,$AI$6:$AI$2341,0)+COUNTIF($AI$6:AI602,AI602)-1</f>
        <v>678</v>
      </c>
    </row>
    <row r="603" spans="1:37" x14ac:dyDescent="0.25">
      <c r="A603" t="s">
        <v>751</v>
      </c>
      <c r="B603">
        <f>_xlfn.XLOOKUP(FME_Ranking1[[#This Row],[FME ID]],FME_Input[FME_ID],FME_Input[RFPG_NUM])</f>
        <v>6</v>
      </c>
      <c r="C603" t="str">
        <f>_xlfn.XLOOKUP(FME_Ranking1[[#This Row],[FME ID]],FME_Input[FME_ID],FME_Input[FME_NAME])</f>
        <v>Oak Hollow - Alligator Creek Watershed</v>
      </c>
      <c r="D603" t="str">
        <f>_xlfn.XLOOKUP(FME_Ranking1[[#This Row],[FME ID]],FME_Input[FME_ID],FME_Input[DESCR])</f>
        <v>Develop a benefits cost analysis in support of this project identied in the City of Conroe Master Drainage Plan.</v>
      </c>
      <c r="E603" s="256">
        <f>_xlfn.XLOOKUP(FME_Ranking1[[#This Row],[FME ID]],FME_Input[FME_ID],FME_Input[FME_COST])</f>
        <v>30000</v>
      </c>
      <c r="F603" t="str">
        <f>_xlfn.XLOOKUP(FME_Ranking1[[#This Row],[FME ID]],FME_Input[FME_ID],FME_Input[EMER_NEED])</f>
        <v>No</v>
      </c>
      <c r="G603">
        <f>IF(FME_Ranking!F603="Yes",100,0)</f>
        <v>0</v>
      </c>
      <c r="H603">
        <f>FME_Ranking1[[#This Row],[Emergency Need Score (Normalized, Unweighted)]]*$F$3</f>
        <v>0</v>
      </c>
      <c r="I603" s="246">
        <f>_xlfn.XLOOKUP(FME_Ranking1[[#This Row],[FME ID]],FME_Input[FME_ID],FME_Input[STRUCT_100])</f>
        <v>516</v>
      </c>
      <c r="J603" s="178">
        <f>(FME_Ranking1[[#This Row],[Structures 100 Raw]]/I$2)*100</f>
        <v>0.27631409844492999</v>
      </c>
      <c r="K603" s="178">
        <f>FME_Ranking1[[#This Row],[Structures 100  Score (Normalized, Unweighted)]]*$I$3</f>
        <v>4.1447114766739498E-2</v>
      </c>
      <c r="L603" s="246">
        <f>_xlfn.XLOOKUP(FME_Ranking1[[#This Row],[FME ID]],FME_Input[FME_ID],FME_Input[RES_STRUCT100])</f>
        <v>426</v>
      </c>
      <c r="M603" s="230">
        <f>(FME_Ranking1[[#This Row],[Res Structures Raw]]/L$2)*100</f>
        <v>0.3017381819212081</v>
      </c>
      <c r="N603" s="180">
        <f>FME_Ranking1[[#This Row],[Res Structures Score (Normalized, Unweighted)]]*$L$3</f>
        <v>3.017381819212081E-2</v>
      </c>
      <c r="O603" s="244">
        <f>_xlfn.XLOOKUP(FME_Ranking1[[#This Row],[FME ID]],FME_Input[FME_ID],FME_Input[POP100])</f>
        <v>3099</v>
      </c>
      <c r="P603" s="178">
        <f>(FME_Ranking1[[#This Row],[Pop Raw]]/$O$2)*100</f>
        <v>0.31726109185317741</v>
      </c>
      <c r="Q603" s="178">
        <f>FME_Ranking1[[#This Row],[Pop Score (Normalized, Unweighted)]]*$O$3</f>
        <v>4.7589163777976611E-2</v>
      </c>
      <c r="R603" s="137">
        <f>_xlfn.XLOOKUP(FME_Ranking1[[#This Row],[FME ID]],FME_Input[FME_ID],FME_Input[CRITFAC100])</f>
        <v>2</v>
      </c>
      <c r="S603" s="230">
        <f>(FME_Ranking1[[#This Row],[Critical Facilities Raw]]/$R$2)*100</f>
        <v>8.5763293310463118E-2</v>
      </c>
      <c r="T603" s="180">
        <f>FME_Ranking1[[#This Row],[Critical Facilities Score (Normalized, Unweighted)]]*$R$3</f>
        <v>1.7152658662092625E-2</v>
      </c>
      <c r="U603">
        <f>_xlfn.XLOOKUP(FME_Ranking1[[#This Row],[FME ID]],FME_Input[FME_ID],FME_Input[LWC])</f>
        <v>9</v>
      </c>
      <c r="V603" s="178">
        <f>(FME_Ranking1[[#This Row],[LWC Raw]]/$U$2)*100</f>
        <v>0.5181347150259068</v>
      </c>
      <c r="W603" s="178">
        <f>FME_Ranking1[[#This Row],[LWC Score (Normalized, Unweighted)]]*$U$3</f>
        <v>0.10362694300518137</v>
      </c>
      <c r="X603" s="246">
        <f>_xlfn.XLOOKUP(FME_Ranking1[[#This Row],[FME ID]],FME_Input[FME_ID],FME_Input[ROADCLS])</f>
        <v>9</v>
      </c>
      <c r="Y603" s="230">
        <f>(FME_Ranking1[[#This Row],[Closures Raw]]/$X$2)*100</f>
        <v>9.462727368310378E-2</v>
      </c>
      <c r="Z603" s="180">
        <f>FME_Ranking1[[#This Row],[Closures Score (Normalized, Unweighted)]]*$X$3</f>
        <v>4.7313636841551897E-3</v>
      </c>
      <c r="AA603" s="253">
        <f>_xlfn.XLOOKUP(FME_Ranking1[[#This Row],[FME ID]],FME_Input[FME_ID],FME_Input[ROAD_MILES100])</f>
        <v>9.8994226455688477</v>
      </c>
      <c r="AB603" s="178">
        <f>(FME_Ranking1[[#This Row],[Miles Raw]]/$AA$2)*100</f>
        <v>0.13015965234116719</v>
      </c>
      <c r="AC603" s="178">
        <f>FME_Ranking1[[#This Row],[Miles Score (Normalized, Unweighted)]]*$AA$3</f>
        <v>1.301596523411672E-2</v>
      </c>
      <c r="AD603" s="255">
        <f>_xlfn.XLOOKUP(FME_Ranking1[[#This Row],[FME ID]],FME_Input[FME_ID],FME_Input[FARMACRE100])</f>
        <v>2.4494938850402832</v>
      </c>
      <c r="AE603" s="230">
        <f>(FME_Ranking1[[#This Row],[Ag Land Raw]]/$AD$2)*100</f>
        <v>1.0100616265064762E-4</v>
      </c>
      <c r="AF603" s="231">
        <f>FME_Ranking1[[#This Row],[Ag Land Score (Normalized, Unweighted)]]*$AD$3</f>
        <v>5.0503081325323814E-6</v>
      </c>
      <c r="AG60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0.25774207763051532</v>
      </c>
      <c r="AH603" s="406">
        <f t="shared" si="9"/>
        <v>675</v>
      </c>
      <c r="AI60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0.25774207763051532</v>
      </c>
      <c r="AJ603" s="257">
        <f>FME_Ranking1[[#This Row],[Addition check]]-FME_Ranking1[[#This Row],[Weighted Score Based on Normalized Reported Factors]]</f>
        <v>0</v>
      </c>
      <c r="AK603" s="178">
        <f>_xlfn.RANK.EQ(AI603,$AI$6:$AI$2341,0)+COUNTIF($AI$6:AI603,AI603)-1</f>
        <v>679</v>
      </c>
    </row>
    <row r="604" spans="1:37" x14ac:dyDescent="0.25">
      <c r="A604" t="s">
        <v>753</v>
      </c>
      <c r="B604">
        <f>_xlfn.XLOOKUP(FME_Ranking1[[#This Row],[FME ID]],FME_Input[FME_ID],FME_Input[RFPG_NUM])</f>
        <v>6</v>
      </c>
      <c r="C604" t="str">
        <f>_xlfn.XLOOKUP(FME_Ranking1[[#This Row],[FME ID]],FME_Input[FME_ID],FME_Input[FME_NAME])</f>
        <v>Cable - Alligator Creek Watershed</v>
      </c>
      <c r="D604" t="str">
        <f>_xlfn.XLOOKUP(FME_Ranking1[[#This Row],[FME ID]],FME_Input[FME_ID],FME_Input[DESCR])</f>
        <v>Develop a benefits cost analysis in support of this project identied in the City of Conroe Master Drainage Plan.</v>
      </c>
      <c r="E604" s="256">
        <f>_xlfn.XLOOKUP(FME_Ranking1[[#This Row],[FME ID]],FME_Input[FME_ID],FME_Input[FME_COST])</f>
        <v>30000</v>
      </c>
      <c r="F604" t="str">
        <f>_xlfn.XLOOKUP(FME_Ranking1[[#This Row],[FME ID]],FME_Input[FME_ID],FME_Input[EMER_NEED])</f>
        <v>No</v>
      </c>
      <c r="G604">
        <f>IF(FME_Ranking!F604="Yes",100,0)</f>
        <v>0</v>
      </c>
      <c r="H604">
        <f>FME_Ranking1[[#This Row],[Emergency Need Score (Normalized, Unweighted)]]*$F$3</f>
        <v>0</v>
      </c>
      <c r="I604" s="246">
        <f>_xlfn.XLOOKUP(FME_Ranking1[[#This Row],[FME ID]],FME_Input[FME_ID],FME_Input[STRUCT_100])</f>
        <v>516</v>
      </c>
      <c r="J604" s="178">
        <f>(FME_Ranking1[[#This Row],[Structures 100 Raw]]/I$2)*100</f>
        <v>0.27631409844492999</v>
      </c>
      <c r="K604" s="178">
        <f>FME_Ranking1[[#This Row],[Structures 100  Score (Normalized, Unweighted)]]*$I$3</f>
        <v>4.1447114766739498E-2</v>
      </c>
      <c r="L604" s="246">
        <f>_xlfn.XLOOKUP(FME_Ranking1[[#This Row],[FME ID]],FME_Input[FME_ID],FME_Input[RES_STRUCT100])</f>
        <v>426</v>
      </c>
      <c r="M604" s="230">
        <f>(FME_Ranking1[[#This Row],[Res Structures Raw]]/L$2)*100</f>
        <v>0.3017381819212081</v>
      </c>
      <c r="N604" s="180">
        <f>FME_Ranking1[[#This Row],[Res Structures Score (Normalized, Unweighted)]]*$L$3</f>
        <v>3.017381819212081E-2</v>
      </c>
      <c r="O604" s="244">
        <f>_xlfn.XLOOKUP(FME_Ranking1[[#This Row],[FME ID]],FME_Input[FME_ID],FME_Input[POP100])</f>
        <v>3099</v>
      </c>
      <c r="P604" s="178">
        <f>(FME_Ranking1[[#This Row],[Pop Raw]]/$O$2)*100</f>
        <v>0.31726109185317741</v>
      </c>
      <c r="Q604" s="178">
        <f>FME_Ranking1[[#This Row],[Pop Score (Normalized, Unweighted)]]*$O$3</f>
        <v>4.7589163777976611E-2</v>
      </c>
      <c r="R604" s="137">
        <f>_xlfn.XLOOKUP(FME_Ranking1[[#This Row],[FME ID]],FME_Input[FME_ID],FME_Input[CRITFAC100])</f>
        <v>2</v>
      </c>
      <c r="S604" s="230">
        <f>(FME_Ranking1[[#This Row],[Critical Facilities Raw]]/$R$2)*100</f>
        <v>8.5763293310463118E-2</v>
      </c>
      <c r="T604" s="180">
        <f>FME_Ranking1[[#This Row],[Critical Facilities Score (Normalized, Unweighted)]]*$R$3</f>
        <v>1.7152658662092625E-2</v>
      </c>
      <c r="U604">
        <f>_xlfn.XLOOKUP(FME_Ranking1[[#This Row],[FME ID]],FME_Input[FME_ID],FME_Input[LWC])</f>
        <v>9</v>
      </c>
      <c r="V604" s="178">
        <f>(FME_Ranking1[[#This Row],[LWC Raw]]/$U$2)*100</f>
        <v>0.5181347150259068</v>
      </c>
      <c r="W604" s="178">
        <f>FME_Ranking1[[#This Row],[LWC Score (Normalized, Unweighted)]]*$U$3</f>
        <v>0.10362694300518137</v>
      </c>
      <c r="X604" s="246">
        <f>_xlfn.XLOOKUP(FME_Ranking1[[#This Row],[FME ID]],FME_Input[FME_ID],FME_Input[ROADCLS])</f>
        <v>9</v>
      </c>
      <c r="Y604" s="230">
        <f>(FME_Ranking1[[#This Row],[Closures Raw]]/$X$2)*100</f>
        <v>9.462727368310378E-2</v>
      </c>
      <c r="Z604" s="180">
        <f>FME_Ranking1[[#This Row],[Closures Score (Normalized, Unweighted)]]*$X$3</f>
        <v>4.7313636841551897E-3</v>
      </c>
      <c r="AA604" s="253">
        <f>_xlfn.XLOOKUP(FME_Ranking1[[#This Row],[FME ID]],FME_Input[FME_ID],FME_Input[ROAD_MILES100])</f>
        <v>9.8994226455688477</v>
      </c>
      <c r="AB604" s="178">
        <f>(FME_Ranking1[[#This Row],[Miles Raw]]/$AA$2)*100</f>
        <v>0.13015965234116719</v>
      </c>
      <c r="AC604" s="178">
        <f>FME_Ranking1[[#This Row],[Miles Score (Normalized, Unweighted)]]*$AA$3</f>
        <v>1.301596523411672E-2</v>
      </c>
      <c r="AD604" s="255">
        <f>_xlfn.XLOOKUP(FME_Ranking1[[#This Row],[FME ID]],FME_Input[FME_ID],FME_Input[FARMACRE100])</f>
        <v>2.4494938850402832</v>
      </c>
      <c r="AE604" s="230">
        <f>(FME_Ranking1[[#This Row],[Ag Land Raw]]/$AD$2)*100</f>
        <v>1.0100616265064762E-4</v>
      </c>
      <c r="AF604" s="231">
        <f>FME_Ranking1[[#This Row],[Ag Land Score (Normalized, Unweighted)]]*$AD$3</f>
        <v>5.0503081325323814E-6</v>
      </c>
      <c r="AG60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0.25774207763051532</v>
      </c>
      <c r="AH604" s="406">
        <f t="shared" si="9"/>
        <v>675</v>
      </c>
      <c r="AI60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0.25774207763051532</v>
      </c>
      <c r="AJ604" s="257">
        <f>FME_Ranking1[[#This Row],[Addition check]]-FME_Ranking1[[#This Row],[Weighted Score Based on Normalized Reported Factors]]</f>
        <v>0</v>
      </c>
      <c r="AK604" s="178">
        <f>_xlfn.RANK.EQ(AI604,$AI$6:$AI$2341,0)+COUNTIF($AI$6:AI604,AI604)-1</f>
        <v>680</v>
      </c>
    </row>
    <row r="605" spans="1:37" x14ac:dyDescent="0.25">
      <c r="A605" t="s">
        <v>4657</v>
      </c>
      <c r="B605">
        <f>_xlfn.XLOOKUP(FME_Ranking1[[#This Row],[FME ID]],FME_Input[FME_ID],FME_Input[RFPG_NUM])</f>
        <v>3</v>
      </c>
      <c r="C605" t="str">
        <f>_xlfn.XLOOKUP(FME_Ranking1[[#This Row],[FME ID]],FME_Input[FME_ID],FME_Input[FME_NAME])</f>
        <v>Cotton Bayou PER</v>
      </c>
      <c r="D605" t="str">
        <f>_xlfn.XLOOKUP(FME_Ranking1[[#This Row],[FME ID]],FME_Input[FME_ID],FME_Input[DESCR])</f>
        <v>Evaluate alternatives to construct diversion channel within irrigation canal ROW to drain to Old River; construction of detention basins to serve new development; linear detention through channel improvements; expand existing detention basins</v>
      </c>
      <c r="E605" s="256">
        <f>_xlfn.XLOOKUP(FME_Ranking1[[#This Row],[FME ID]],FME_Input[FME_ID],FME_Input[FME_COST])</f>
        <v>250000</v>
      </c>
      <c r="F605" t="str">
        <f>_xlfn.XLOOKUP(FME_Ranking1[[#This Row],[FME ID]],FME_Input[FME_ID],FME_Input[EMER_NEED])</f>
        <v>No</v>
      </c>
      <c r="G605">
        <f>IF(FME_Ranking!F605="Yes",100,0)</f>
        <v>0</v>
      </c>
      <c r="H605">
        <f>FME_Ranking1[[#This Row],[Emergency Need Score (Normalized, Unweighted)]]*$F$3</f>
        <v>0</v>
      </c>
      <c r="I605" s="246">
        <f>_xlfn.XLOOKUP(FME_Ranking1[[#This Row],[FME ID]],FME_Input[FME_ID],FME_Input[STRUCT_100])</f>
        <v>645</v>
      </c>
      <c r="J605" s="178">
        <f>(FME_Ranking1[[#This Row],[Structures 100 Raw]]/I$2)*100</f>
        <v>0.34539262305616242</v>
      </c>
      <c r="K605" s="178">
        <f>FME_Ranking1[[#This Row],[Structures 100  Score (Normalized, Unweighted)]]*$I$3</f>
        <v>5.1808893458424363E-2</v>
      </c>
      <c r="L605" s="246">
        <f>_xlfn.XLOOKUP(FME_Ranking1[[#This Row],[FME ID]],FME_Input[FME_ID],FME_Input[RES_STRUCT100])</f>
        <v>566</v>
      </c>
      <c r="M605" s="230">
        <f>(FME_Ranking1[[#This Row],[Res Structures Raw]]/L$2)*100</f>
        <v>0.40090096471221542</v>
      </c>
      <c r="N605" s="180">
        <f>FME_Ranking1[[#This Row],[Res Structures Score (Normalized, Unweighted)]]*$L$3</f>
        <v>4.0090096471221547E-2</v>
      </c>
      <c r="O605" s="244">
        <f>_xlfn.XLOOKUP(FME_Ranking1[[#This Row],[FME ID]],FME_Input[FME_ID],FME_Input[POP100])</f>
        <v>3070</v>
      </c>
      <c r="P605" s="178">
        <f>(FME_Ranking1[[#This Row],[Pop Raw]]/$O$2)*100</f>
        <v>0.31429220780550327</v>
      </c>
      <c r="Q605" s="178">
        <f>FME_Ranking1[[#This Row],[Pop Score (Normalized, Unweighted)]]*$O$3</f>
        <v>4.714383117082549E-2</v>
      </c>
      <c r="R605" s="137">
        <f>_xlfn.XLOOKUP(FME_Ranking1[[#This Row],[FME ID]],FME_Input[FME_ID],FME_Input[CRITFAC100])</f>
        <v>12</v>
      </c>
      <c r="S605" s="230">
        <f>(FME_Ranking1[[#This Row],[Critical Facilities Raw]]/$R$2)*100</f>
        <v>0.51457975986277882</v>
      </c>
      <c r="T605" s="180">
        <f>FME_Ranking1[[#This Row],[Critical Facilities Score (Normalized, Unweighted)]]*$R$3</f>
        <v>0.10291595197255576</v>
      </c>
      <c r="U605">
        <f>_xlfn.XLOOKUP(FME_Ranking1[[#This Row],[FME ID]],FME_Input[FME_ID],FME_Input[LWC])</f>
        <v>0</v>
      </c>
      <c r="V605" s="178">
        <f>(FME_Ranking1[[#This Row],[LWC Raw]]/$U$2)*100</f>
        <v>0</v>
      </c>
      <c r="W605" s="178">
        <f>FME_Ranking1[[#This Row],[LWC Score (Normalized, Unweighted)]]*$U$3</f>
        <v>0</v>
      </c>
      <c r="X605" s="246">
        <f>_xlfn.XLOOKUP(FME_Ranking1[[#This Row],[FME ID]],FME_Input[FME_ID],FME_Input[ROADCLS])</f>
        <v>0</v>
      </c>
      <c r="Y605" s="230">
        <f>(FME_Ranking1[[#This Row],[Closures Raw]]/$X$2)*100</f>
        <v>0</v>
      </c>
      <c r="Z605" s="180">
        <f>FME_Ranking1[[#This Row],[Closures Score (Normalized, Unweighted)]]*$X$3</f>
        <v>0</v>
      </c>
      <c r="AA605" s="253">
        <f>_xlfn.XLOOKUP(FME_Ranking1[[#This Row],[FME ID]],FME_Input[FME_ID],FME_Input[ROAD_MILES100])</f>
        <v>14.451809883117679</v>
      </c>
      <c r="AB605" s="178">
        <f>(FME_Ranking1[[#This Row],[Miles Raw]]/$AA$2)*100</f>
        <v>0.19001537942510499</v>
      </c>
      <c r="AC605" s="178">
        <f>FME_Ranking1[[#This Row],[Miles Score (Normalized, Unweighted)]]*$AA$3</f>
        <v>1.9001537942510499E-2</v>
      </c>
      <c r="AD605" s="255">
        <f>_xlfn.XLOOKUP(FME_Ranking1[[#This Row],[FME ID]],FME_Input[FME_ID],FME_Input[FARMACRE100])</f>
        <v>749.456787109375</v>
      </c>
      <c r="AE605" s="230">
        <f>(FME_Ranking1[[#This Row],[Ag Land Raw]]/$AD$2)*100</f>
        <v>3.0904242954318054E-2</v>
      </c>
      <c r="AF605" s="231">
        <f>FME_Ranking1[[#This Row],[Ag Land Score (Normalized, Unweighted)]]*$AD$3</f>
        <v>1.5452121477159027E-3</v>
      </c>
      <c r="AG60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0.26250552316325354</v>
      </c>
      <c r="AH605" s="406">
        <f t="shared" si="9"/>
        <v>673</v>
      </c>
      <c r="AI60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0.26250552316325354</v>
      </c>
      <c r="AJ605" s="257">
        <f>FME_Ranking1[[#This Row],[Addition check]]-FME_Ranking1[[#This Row],[Weighted Score Based on Normalized Reported Factors]]</f>
        <v>0</v>
      </c>
      <c r="AK605" s="178">
        <f>_xlfn.RANK.EQ(AI605,$AI$6:$AI$2341,0)+COUNTIF($AI$6:AI605,AI605)-1</f>
        <v>673</v>
      </c>
    </row>
    <row r="606" spans="1:37" x14ac:dyDescent="0.25">
      <c r="A606" t="s">
        <v>5506</v>
      </c>
      <c r="B606">
        <f>_xlfn.XLOOKUP(FME_Ranking1[[#This Row],[FME ID]],FME_Input[FME_ID],FME_Input[RFPG_NUM])</f>
        <v>4</v>
      </c>
      <c r="C606" t="str">
        <f>_xlfn.XLOOKUP(FME_Ranking1[[#This Row],[FME ID]],FME_Input[FME_ID],FME_Input[FME_NAME])</f>
        <v>Rusk County Flood Hazard Mapping</v>
      </c>
      <c r="D606" t="str">
        <f>_xlfn.XLOOKUP(FME_Ranking1[[#This Row],[FME ID]],FME_Input[FME_ID],FME_Input[DESCR])</f>
        <v>Complete a detailed study within the county extent to delineate an updated flood hazard area, which can be used for regulatory purposes.</v>
      </c>
      <c r="E606" s="256">
        <f>_xlfn.XLOOKUP(FME_Ranking1[[#This Row],[FME ID]],FME_Input[FME_ID],FME_Input[FME_COST])</f>
        <v>1850000</v>
      </c>
      <c r="F606" t="str">
        <f>_xlfn.XLOOKUP(FME_Ranking1[[#This Row],[FME ID]],FME_Input[FME_ID],FME_Input[EMER_NEED])</f>
        <v>Yes</v>
      </c>
      <c r="G606">
        <f>IF(FME_Ranking!F606="Yes",100,0)</f>
        <v>100</v>
      </c>
      <c r="H606">
        <f>FME_Ranking1[[#This Row],[Emergency Need Score (Normalized, Unweighted)]]*$F$3</f>
        <v>0</v>
      </c>
      <c r="I606" s="246">
        <f>_xlfn.XLOOKUP(FME_Ranking1[[#This Row],[FME ID]],FME_Input[FME_ID],FME_Input[STRUCT_100])</f>
        <v>899</v>
      </c>
      <c r="J606" s="178">
        <f>(FME_Ranking1[[#This Row],[Structures 100 Raw]]/I$2)*100</f>
        <v>0.48140770252324039</v>
      </c>
      <c r="K606" s="178">
        <f>FME_Ranking1[[#This Row],[Structures 100  Score (Normalized, Unweighted)]]*$I$3</f>
        <v>7.2211155378486061E-2</v>
      </c>
      <c r="L606" s="246">
        <f>_xlfn.XLOOKUP(FME_Ranking1[[#This Row],[FME ID]],FME_Input[FME_ID],FME_Input[RES_STRUCT100])</f>
        <v>543</v>
      </c>
      <c r="M606" s="230">
        <f>(FME_Ranking1[[#This Row],[Res Structures Raw]]/L$2)*100</f>
        <v>0.38460993611083566</v>
      </c>
      <c r="N606" s="180">
        <f>FME_Ranking1[[#This Row],[Res Structures Score (Normalized, Unweighted)]]*$L$3</f>
        <v>3.8460993611083572E-2</v>
      </c>
      <c r="O606" s="244">
        <f>_xlfn.XLOOKUP(FME_Ranking1[[#This Row],[FME ID]],FME_Input[FME_ID],FME_Input[POP100])</f>
        <v>1789</v>
      </c>
      <c r="P606" s="178">
        <f>(FME_Ranking1[[#This Row],[Pop Raw]]/$O$2)*100</f>
        <v>0.18314943314789753</v>
      </c>
      <c r="Q606" s="178">
        <f>FME_Ranking1[[#This Row],[Pop Score (Normalized, Unweighted)]]*$O$3</f>
        <v>2.7472414972184628E-2</v>
      </c>
      <c r="R606" s="137">
        <f>_xlfn.XLOOKUP(FME_Ranking1[[#This Row],[FME ID]],FME_Input[FME_ID],FME_Input[CRITFAC100])</f>
        <v>2</v>
      </c>
      <c r="S606" s="230">
        <f>(FME_Ranking1[[#This Row],[Critical Facilities Raw]]/$R$2)*100</f>
        <v>8.5763293310463118E-2</v>
      </c>
      <c r="T606" s="180">
        <f>FME_Ranking1[[#This Row],[Critical Facilities Score (Normalized, Unweighted)]]*$R$3</f>
        <v>1.7152658662092625E-2</v>
      </c>
      <c r="U606">
        <f>_xlfn.XLOOKUP(FME_Ranking1[[#This Row],[FME ID]],FME_Input[FME_ID],FME_Input[LWC])</f>
        <v>5</v>
      </c>
      <c r="V606" s="178">
        <f>(FME_Ranking1[[#This Row],[LWC Raw]]/$U$2)*100</f>
        <v>0.28785261945883706</v>
      </c>
      <c r="W606" s="178">
        <f>FME_Ranking1[[#This Row],[LWC Score (Normalized, Unweighted)]]*$U$3</f>
        <v>5.7570523891767415E-2</v>
      </c>
      <c r="X606" s="246">
        <f>_xlfn.XLOOKUP(FME_Ranking1[[#This Row],[FME ID]],FME_Input[FME_ID],FME_Input[ROADCLS])</f>
        <v>5</v>
      </c>
      <c r="Y606" s="230">
        <f>(FME_Ranking1[[#This Row],[Closures Raw]]/$X$2)*100</f>
        <v>5.2570707601724324E-2</v>
      </c>
      <c r="Z606" s="180">
        <f>FME_Ranking1[[#This Row],[Closures Score (Normalized, Unweighted)]]*$X$3</f>
        <v>2.6285353800862164E-3</v>
      </c>
      <c r="AA606" s="253">
        <f>_xlfn.XLOOKUP(FME_Ranking1[[#This Row],[FME ID]],FME_Input[FME_ID],FME_Input[ROAD_MILES100])</f>
        <v>54.854419708251953</v>
      </c>
      <c r="AB606" s="178">
        <f>(FME_Ranking1[[#This Row],[Miles Raw]]/$AA$2)*100</f>
        <v>0.72123723314293042</v>
      </c>
      <c r="AC606" s="178">
        <f>FME_Ranking1[[#This Row],[Miles Score (Normalized, Unweighted)]]*$AA$3</f>
        <v>7.2123723314293051E-2</v>
      </c>
      <c r="AD606" s="255">
        <f>_xlfn.XLOOKUP(FME_Ranking1[[#This Row],[FME ID]],FME_Input[FME_ID],FME_Input[FARMACRE100])</f>
        <v>13283.3291015625</v>
      </c>
      <c r="AE606" s="230">
        <f>(FME_Ranking1[[#This Row],[Ag Land Raw]]/$AD$2)*100</f>
        <v>0.54774502927670621</v>
      </c>
      <c r="AF606" s="231">
        <f>FME_Ranking1[[#This Row],[Ag Land Score (Normalized, Unweighted)]]*$AD$3</f>
        <v>2.7387251463835312E-2</v>
      </c>
      <c r="AG60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0.31500725667382889</v>
      </c>
      <c r="AH606" s="406">
        <f t="shared" si="9"/>
        <v>601</v>
      </c>
      <c r="AI60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0.31500725667382889</v>
      </c>
      <c r="AJ606" s="257">
        <f>FME_Ranking1[[#This Row],[Addition check]]-FME_Ranking1[[#This Row],[Weighted Score Based on Normalized Reported Factors]]</f>
        <v>0</v>
      </c>
      <c r="AK606" s="178">
        <f>_xlfn.RANK.EQ(AI606,$AI$6:$AI$2341,0)+COUNTIF($AI$6:AI606,AI606)-1</f>
        <v>601</v>
      </c>
    </row>
    <row r="607" spans="1:37" x14ac:dyDescent="0.25">
      <c r="A607" t="s">
        <v>5686</v>
      </c>
      <c r="B607">
        <f>_xlfn.XLOOKUP(FME_Ranking1[[#This Row],[FME ID]],FME_Input[FME_ID],FME_Input[RFPG_NUM])</f>
        <v>4</v>
      </c>
      <c r="C607" t="str">
        <f>_xlfn.XLOOKUP(FME_Ranking1[[#This Row],[FME ID]],FME_Input[FME_ID],FME_Input[FME_NAME])</f>
        <v>Newton County Flood and Drainage Study</v>
      </c>
      <c r="D607" t="str">
        <f>_xlfn.XLOOKUP(FME_Ranking1[[#This Row],[FME ID]],FME_Input[FME_ID],FME_Input[DESCR])</f>
        <v>Feasibility study to reconstruct bridges and culverts in a major drainage basin flowing into the Sabine River in Newton County.</v>
      </c>
      <c r="E607" s="256">
        <f>_xlfn.XLOOKUP(FME_Ranking1[[#This Row],[FME ID]],FME_Input[FME_ID],FME_Input[FME_COST])</f>
        <v>600000</v>
      </c>
      <c r="F607" t="str">
        <f>_xlfn.XLOOKUP(FME_Ranking1[[#This Row],[FME ID]],FME_Input[FME_ID],FME_Input[EMER_NEED])</f>
        <v>Yes</v>
      </c>
      <c r="G607">
        <f>IF(FME_Ranking!F607="Yes",100,0)</f>
        <v>100</v>
      </c>
      <c r="H607">
        <f>FME_Ranking1[[#This Row],[Emergency Need Score (Normalized, Unweighted)]]*$F$3</f>
        <v>0</v>
      </c>
      <c r="I607" s="246">
        <f>_xlfn.XLOOKUP(FME_Ranking1[[#This Row],[FME ID]],FME_Input[FME_ID],FME_Input[STRUCT_100])</f>
        <v>260</v>
      </c>
      <c r="J607" s="178">
        <f>(FME_Ranking1[[#This Row],[Structures 100 Raw]]/I$2)*100</f>
        <v>0.13922803410015852</v>
      </c>
      <c r="K607" s="178">
        <f>FME_Ranking1[[#This Row],[Structures 100  Score (Normalized, Unweighted)]]*$I$3</f>
        <v>2.0884205115023778E-2</v>
      </c>
      <c r="L607" s="246">
        <f>_xlfn.XLOOKUP(FME_Ranking1[[#This Row],[FME ID]],FME_Input[FME_ID],FME_Input[RES_STRUCT100])</f>
        <v>132</v>
      </c>
      <c r="M607" s="230">
        <f>(FME_Ranking1[[#This Row],[Res Structures Raw]]/L$2)*100</f>
        <v>9.3496338060092651E-2</v>
      </c>
      <c r="N607" s="180">
        <f>FME_Ranking1[[#This Row],[Res Structures Score (Normalized, Unweighted)]]*$L$3</f>
        <v>9.3496338060092658E-3</v>
      </c>
      <c r="O607" s="244">
        <f>_xlfn.XLOOKUP(FME_Ranking1[[#This Row],[FME ID]],FME_Input[FME_ID],FME_Input[POP100])</f>
        <v>294</v>
      </c>
      <c r="P607" s="178">
        <f>(FME_Ranking1[[#This Row],[Pop Raw]]/$O$2)*100</f>
        <v>3.0098341724696408E-2</v>
      </c>
      <c r="Q607" s="178">
        <f>FME_Ranking1[[#This Row],[Pop Score (Normalized, Unweighted)]]*$O$3</f>
        <v>4.5147512587044606E-3</v>
      </c>
      <c r="R607" s="137">
        <f>_xlfn.XLOOKUP(FME_Ranking1[[#This Row],[FME ID]],FME_Input[FME_ID],FME_Input[CRITFAC100])</f>
        <v>17</v>
      </c>
      <c r="S607" s="230">
        <f>(FME_Ranking1[[#This Row],[Critical Facilities Raw]]/$R$2)*100</f>
        <v>0.72898799313893659</v>
      </c>
      <c r="T607" s="180">
        <f>FME_Ranking1[[#This Row],[Critical Facilities Score (Normalized, Unweighted)]]*$R$3</f>
        <v>0.14579759862778732</v>
      </c>
      <c r="U607">
        <f>_xlfn.XLOOKUP(FME_Ranking1[[#This Row],[FME ID]],FME_Input[FME_ID],FME_Input[LWC])</f>
        <v>5</v>
      </c>
      <c r="V607" s="178">
        <f>(FME_Ranking1[[#This Row],[LWC Raw]]/$U$2)*100</f>
        <v>0.28785261945883706</v>
      </c>
      <c r="W607" s="178">
        <f>FME_Ranking1[[#This Row],[LWC Score (Normalized, Unweighted)]]*$U$3</f>
        <v>5.7570523891767415E-2</v>
      </c>
      <c r="X607" s="246">
        <f>_xlfn.XLOOKUP(FME_Ranking1[[#This Row],[FME ID]],FME_Input[FME_ID],FME_Input[ROADCLS])</f>
        <v>5</v>
      </c>
      <c r="Y607" s="230">
        <f>(FME_Ranking1[[#This Row],[Closures Raw]]/$X$2)*100</f>
        <v>5.2570707601724324E-2</v>
      </c>
      <c r="Z607" s="180">
        <f>FME_Ranking1[[#This Row],[Closures Score (Normalized, Unweighted)]]*$X$3</f>
        <v>2.6285353800862164E-3</v>
      </c>
      <c r="AA607" s="253">
        <f>_xlfn.XLOOKUP(FME_Ranking1[[#This Row],[FME ID]],FME_Input[FME_ID],FME_Input[ROAD_MILES100])</f>
        <v>18.732088088989261</v>
      </c>
      <c r="AB607" s="178">
        <f>(FME_Ranking1[[#This Row],[Miles Raw]]/$AA$2)*100</f>
        <v>0.24629336079294734</v>
      </c>
      <c r="AC607" s="178">
        <f>FME_Ranking1[[#This Row],[Miles Score (Normalized, Unweighted)]]*$AA$3</f>
        <v>2.4629336079294736E-2</v>
      </c>
      <c r="AD607" s="255">
        <f>_xlfn.XLOOKUP(FME_Ranking1[[#This Row],[FME ID]],FME_Input[FME_ID],FME_Input[FARMACRE100])</f>
        <v>891.6334228515625</v>
      </c>
      <c r="AE607" s="230">
        <f>(FME_Ranking1[[#This Row],[Ag Land Raw]]/$AD$2)*100</f>
        <v>3.6766970958091408E-2</v>
      </c>
      <c r="AF607" s="231">
        <f>FME_Ranking1[[#This Row],[Ag Land Score (Normalized, Unweighted)]]*$AD$3</f>
        <v>1.8383485479045705E-3</v>
      </c>
      <c r="AG60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0.26721293270657775</v>
      </c>
      <c r="AH607" s="406">
        <f t="shared" si="9"/>
        <v>658</v>
      </c>
      <c r="AI60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0.26721293270657775</v>
      </c>
      <c r="AJ607" s="257">
        <f>FME_Ranking1[[#This Row],[Addition check]]-FME_Ranking1[[#This Row],[Weighted Score Based on Normalized Reported Factors]]</f>
        <v>0</v>
      </c>
      <c r="AK607" s="178">
        <f>_xlfn.RANK.EQ(AI607,$AI$6:$AI$2341,0)+COUNTIF($AI$6:AI607,AI607)-1</f>
        <v>658</v>
      </c>
    </row>
    <row r="608" spans="1:37" x14ac:dyDescent="0.25">
      <c r="A608" t="s">
        <v>7930</v>
      </c>
      <c r="B608">
        <f>_xlfn.XLOOKUP(FME_Ranking1[[#This Row],[FME ID]],FME_Input[FME_ID],FME_Input[RFPG_NUM])</f>
        <v>9</v>
      </c>
      <c r="C608" t="str">
        <f>_xlfn.XLOOKUP(FME_Ranking1[[#This Row],[FME ID]],FME_Input[FME_ID],FME_Input[FME_NAME])</f>
        <v>Scurry County  FEMA Mapping</v>
      </c>
      <c r="D608" t="str">
        <f>_xlfn.XLOOKUP(FME_Ranking1[[#This Row],[FME ID]],FME_Input[FME_ID],FME_Input[DESCR])</f>
        <v>Update existing FEMA Mapping</v>
      </c>
      <c r="E608" s="256">
        <f>_xlfn.XLOOKUP(FME_Ranking1[[#This Row],[FME ID]],FME_Input[FME_ID],FME_Input[FME_COST])</f>
        <v>903000</v>
      </c>
      <c r="F608" t="str">
        <f>_xlfn.XLOOKUP(FME_Ranking1[[#This Row],[FME ID]],FME_Input[FME_ID],FME_Input[EMER_NEED])</f>
        <v>No</v>
      </c>
      <c r="G608">
        <f>IF(FME_Ranking!F608="Yes",100,0)</f>
        <v>0</v>
      </c>
      <c r="H608">
        <f>FME_Ranking1[[#This Row],[Emergency Need Score (Normalized, Unweighted)]]*$F$3</f>
        <v>0</v>
      </c>
      <c r="I608" s="246">
        <f>_xlfn.XLOOKUP(FME_Ranking1[[#This Row],[FME ID]],FME_Input[FME_ID],FME_Input[STRUCT_100])</f>
        <v>606</v>
      </c>
      <c r="J608" s="178">
        <f>(FME_Ranking1[[#This Row],[Structures 100 Raw]]/I$2)*100</f>
        <v>0.32450841794113866</v>
      </c>
      <c r="K608" s="178">
        <f>FME_Ranking1[[#This Row],[Structures 100  Score (Normalized, Unweighted)]]*$I$3</f>
        <v>4.8676262691170799E-2</v>
      </c>
      <c r="L608" s="246">
        <f>_xlfn.XLOOKUP(FME_Ranking1[[#This Row],[FME ID]],FME_Input[FME_ID],FME_Input[RES_STRUCT100])</f>
        <v>324</v>
      </c>
      <c r="M608" s="230">
        <f>(FME_Ranking1[[#This Row],[Res Structures Raw]]/L$2)*100</f>
        <v>0.22949101160204557</v>
      </c>
      <c r="N608" s="180">
        <f>FME_Ranking1[[#This Row],[Res Structures Score (Normalized, Unweighted)]]*$L$3</f>
        <v>2.2949101160204557E-2</v>
      </c>
      <c r="O608" s="244">
        <f>_xlfn.XLOOKUP(FME_Ranking1[[#This Row],[FME ID]],FME_Input[FME_ID],FME_Input[POP100])</f>
        <v>1486</v>
      </c>
      <c r="P608" s="178">
        <f>(FME_Ranking1[[#This Row],[Pop Raw]]/$O$2)*100</f>
        <v>0.15212971361530225</v>
      </c>
      <c r="Q608" s="178">
        <f>FME_Ranking1[[#This Row],[Pop Score (Normalized, Unweighted)]]*$O$3</f>
        <v>2.2819457042295339E-2</v>
      </c>
      <c r="R608" s="137">
        <f>_xlfn.XLOOKUP(FME_Ranking1[[#This Row],[FME ID]],FME_Input[FME_ID],FME_Input[CRITFAC100])</f>
        <v>1</v>
      </c>
      <c r="S608" s="230">
        <f>(FME_Ranking1[[#This Row],[Critical Facilities Raw]]/$R$2)*100</f>
        <v>4.2881646655231559E-2</v>
      </c>
      <c r="T608" s="180">
        <f>FME_Ranking1[[#This Row],[Critical Facilities Score (Normalized, Unweighted)]]*$R$3</f>
        <v>8.5763293310463125E-3</v>
      </c>
      <c r="U608">
        <f>_xlfn.XLOOKUP(FME_Ranking1[[#This Row],[FME ID]],FME_Input[FME_ID],FME_Input[LWC])</f>
        <v>10</v>
      </c>
      <c r="V608" s="178">
        <f>(FME_Ranking1[[#This Row],[LWC Raw]]/$U$2)*100</f>
        <v>0.57570523891767411</v>
      </c>
      <c r="W608" s="178">
        <f>FME_Ranking1[[#This Row],[LWC Score (Normalized, Unweighted)]]*$U$3</f>
        <v>0.11514104778353483</v>
      </c>
      <c r="X608" s="246">
        <f>_xlfn.XLOOKUP(FME_Ranking1[[#This Row],[FME ID]],FME_Input[FME_ID],FME_Input[ROADCLS])</f>
        <v>0</v>
      </c>
      <c r="Y608" s="230">
        <f>(FME_Ranking1[[#This Row],[Closures Raw]]/$X$2)*100</f>
        <v>0</v>
      </c>
      <c r="Z608" s="180">
        <f>FME_Ranking1[[#This Row],[Closures Score (Normalized, Unweighted)]]*$X$3</f>
        <v>0</v>
      </c>
      <c r="AA608" s="253">
        <f>_xlfn.XLOOKUP(FME_Ranking1[[#This Row],[FME ID]],FME_Input[FME_ID],FME_Input[ROAD_MILES100])</f>
        <v>75.922775268554688</v>
      </c>
      <c r="AB608" s="178">
        <f>(FME_Ranking1[[#This Row],[Miles Raw]]/$AA$2)*100</f>
        <v>0.99824832089122251</v>
      </c>
      <c r="AC608" s="178">
        <f>FME_Ranking1[[#This Row],[Miles Score (Normalized, Unweighted)]]*$AA$3</f>
        <v>9.9824832089122253E-2</v>
      </c>
      <c r="AD608" s="255">
        <f>_xlfn.XLOOKUP(FME_Ranking1[[#This Row],[FME ID]],FME_Input[FME_ID],FME_Input[FARMACRE100])</f>
        <v>11744.6962890625</v>
      </c>
      <c r="AE608" s="230">
        <f>(FME_Ranking1[[#This Row],[Ag Land Raw]]/$AD$2)*100</f>
        <v>0.48429869978466811</v>
      </c>
      <c r="AF608" s="231">
        <f>FME_Ranking1[[#This Row],[Ag Land Score (Normalized, Unweighted)]]*$AD$3</f>
        <v>2.4214934989233407E-2</v>
      </c>
      <c r="AG60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0.34220196508660744</v>
      </c>
      <c r="AH608" s="406">
        <f t="shared" si="9"/>
        <v>580</v>
      </c>
      <c r="AI60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0.34220196508660744</v>
      </c>
      <c r="AJ608" s="257">
        <f>FME_Ranking1[[#This Row],[Addition check]]-FME_Ranking1[[#This Row],[Weighted Score Based on Normalized Reported Factors]]</f>
        <v>0</v>
      </c>
      <c r="AK608" s="178">
        <f>_xlfn.RANK.EQ(AI608,$AI$6:$AI$2341,0)+COUNTIF($AI$6:AI608,AI608)-1</f>
        <v>580</v>
      </c>
    </row>
    <row r="609" spans="1:37" x14ac:dyDescent="0.25">
      <c r="A609" t="s">
        <v>8010</v>
      </c>
      <c r="B609">
        <f>_xlfn.XLOOKUP(FME_Ranking1[[#This Row],[FME ID]],FME_Input[FME_ID],FME_Input[RFPG_NUM])</f>
        <v>9</v>
      </c>
      <c r="C609" t="str">
        <f>_xlfn.XLOOKUP(FME_Ranking1[[#This Row],[FME ID]],FME_Input[FME_ID],FME_Input[FME_NAME])</f>
        <v>Scurry County  GIS Development</v>
      </c>
      <c r="D609" t="str">
        <f>_xlfn.XLOOKUP(FME_Ranking1[[#This Row],[FME ID]],FME_Input[FME_ID],FME_Input[DESCR])</f>
        <v>Develop a GIS inventory of stormwater infrastructure</v>
      </c>
      <c r="E609" s="256">
        <f>_xlfn.XLOOKUP(FME_Ranking1[[#This Row],[FME ID]],FME_Input[FME_ID],FME_Input[FME_COST])</f>
        <v>100000</v>
      </c>
      <c r="F609" t="str">
        <f>_xlfn.XLOOKUP(FME_Ranking1[[#This Row],[FME ID]],FME_Input[FME_ID],FME_Input[EMER_NEED])</f>
        <v>No</v>
      </c>
      <c r="G609">
        <f>IF(FME_Ranking!F609="Yes",100,0)</f>
        <v>0</v>
      </c>
      <c r="H609">
        <f>FME_Ranking1[[#This Row],[Emergency Need Score (Normalized, Unweighted)]]*$F$3</f>
        <v>0</v>
      </c>
      <c r="I609" s="246">
        <f>_xlfn.XLOOKUP(FME_Ranking1[[#This Row],[FME ID]],FME_Input[FME_ID],FME_Input[STRUCT_100])</f>
        <v>606</v>
      </c>
      <c r="J609" s="178">
        <f>(FME_Ranking1[[#This Row],[Structures 100 Raw]]/I$2)*100</f>
        <v>0.32450841794113866</v>
      </c>
      <c r="K609" s="178">
        <f>FME_Ranking1[[#This Row],[Structures 100  Score (Normalized, Unweighted)]]*$I$3</f>
        <v>4.8676262691170799E-2</v>
      </c>
      <c r="L609" s="246">
        <f>_xlfn.XLOOKUP(FME_Ranking1[[#This Row],[FME ID]],FME_Input[FME_ID],FME_Input[RES_STRUCT100])</f>
        <v>324</v>
      </c>
      <c r="M609" s="230">
        <f>(FME_Ranking1[[#This Row],[Res Structures Raw]]/L$2)*100</f>
        <v>0.22949101160204557</v>
      </c>
      <c r="N609" s="180">
        <f>FME_Ranking1[[#This Row],[Res Structures Score (Normalized, Unweighted)]]*$L$3</f>
        <v>2.2949101160204557E-2</v>
      </c>
      <c r="O609" s="244">
        <f>_xlfn.XLOOKUP(FME_Ranking1[[#This Row],[FME ID]],FME_Input[FME_ID],FME_Input[POP100])</f>
        <v>1486</v>
      </c>
      <c r="P609" s="178">
        <f>(FME_Ranking1[[#This Row],[Pop Raw]]/$O$2)*100</f>
        <v>0.15212971361530225</v>
      </c>
      <c r="Q609" s="178">
        <f>FME_Ranking1[[#This Row],[Pop Score (Normalized, Unweighted)]]*$O$3</f>
        <v>2.2819457042295339E-2</v>
      </c>
      <c r="R609" s="137">
        <f>_xlfn.XLOOKUP(FME_Ranking1[[#This Row],[FME ID]],FME_Input[FME_ID],FME_Input[CRITFAC100])</f>
        <v>1</v>
      </c>
      <c r="S609" s="230">
        <f>(FME_Ranking1[[#This Row],[Critical Facilities Raw]]/$R$2)*100</f>
        <v>4.2881646655231559E-2</v>
      </c>
      <c r="T609" s="180">
        <f>FME_Ranking1[[#This Row],[Critical Facilities Score (Normalized, Unweighted)]]*$R$3</f>
        <v>8.5763293310463125E-3</v>
      </c>
      <c r="U609">
        <f>_xlfn.XLOOKUP(FME_Ranking1[[#This Row],[FME ID]],FME_Input[FME_ID],FME_Input[LWC])</f>
        <v>10</v>
      </c>
      <c r="V609" s="178">
        <f>(FME_Ranking1[[#This Row],[LWC Raw]]/$U$2)*100</f>
        <v>0.57570523891767411</v>
      </c>
      <c r="W609" s="178">
        <f>FME_Ranking1[[#This Row],[LWC Score (Normalized, Unweighted)]]*$U$3</f>
        <v>0.11514104778353483</v>
      </c>
      <c r="X609" s="246">
        <f>_xlfn.XLOOKUP(FME_Ranking1[[#This Row],[FME ID]],FME_Input[FME_ID],FME_Input[ROADCLS])</f>
        <v>0</v>
      </c>
      <c r="Y609" s="230">
        <f>(FME_Ranking1[[#This Row],[Closures Raw]]/$X$2)*100</f>
        <v>0</v>
      </c>
      <c r="Z609" s="180">
        <f>FME_Ranking1[[#This Row],[Closures Score (Normalized, Unweighted)]]*$X$3</f>
        <v>0</v>
      </c>
      <c r="AA609" s="253">
        <f>_xlfn.XLOOKUP(FME_Ranking1[[#This Row],[FME ID]],FME_Input[FME_ID],FME_Input[ROAD_MILES100])</f>
        <v>75.922775268554688</v>
      </c>
      <c r="AB609" s="178">
        <f>(FME_Ranking1[[#This Row],[Miles Raw]]/$AA$2)*100</f>
        <v>0.99824832089122251</v>
      </c>
      <c r="AC609" s="178">
        <f>FME_Ranking1[[#This Row],[Miles Score (Normalized, Unweighted)]]*$AA$3</f>
        <v>9.9824832089122253E-2</v>
      </c>
      <c r="AD609" s="255">
        <f>_xlfn.XLOOKUP(FME_Ranking1[[#This Row],[FME ID]],FME_Input[FME_ID],FME_Input[FARMACRE100])</f>
        <v>11744.6962890625</v>
      </c>
      <c r="AE609" s="230">
        <f>(FME_Ranking1[[#This Row],[Ag Land Raw]]/$AD$2)*100</f>
        <v>0.48429869978466811</v>
      </c>
      <c r="AF609" s="231">
        <f>FME_Ranking1[[#This Row],[Ag Land Score (Normalized, Unweighted)]]*$AD$3</f>
        <v>2.4214934989233407E-2</v>
      </c>
      <c r="AG60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0.34220196508660744</v>
      </c>
      <c r="AH609" s="406">
        <f t="shared" si="9"/>
        <v>580</v>
      </c>
      <c r="AI60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0.34220196508660744</v>
      </c>
      <c r="AJ609" s="257">
        <f>FME_Ranking1[[#This Row],[Addition check]]-FME_Ranking1[[#This Row],[Weighted Score Based on Normalized Reported Factors]]</f>
        <v>0</v>
      </c>
      <c r="AK609" s="178">
        <f>_xlfn.RANK.EQ(AI609,$AI$6:$AI$2341,0)+COUNTIF($AI$6:AI609,AI609)-1</f>
        <v>581</v>
      </c>
    </row>
    <row r="610" spans="1:37" x14ac:dyDescent="0.25">
      <c r="A610" t="s">
        <v>8143</v>
      </c>
      <c r="B610">
        <f>_xlfn.XLOOKUP(FME_Ranking1[[#This Row],[FME ID]],FME_Input[FME_ID],FME_Input[RFPG_NUM])</f>
        <v>9</v>
      </c>
      <c r="C610" t="str">
        <f>_xlfn.XLOOKUP(FME_Ranking1[[#This Row],[FME ID]],FME_Input[FME_ID],FME_Input[FME_NAME])</f>
        <v>Scurry County DMP</v>
      </c>
      <c r="D610" t="str">
        <f>_xlfn.XLOOKUP(FME_Ranking1[[#This Row],[FME ID]],FME_Input[FME_ID],FME_Input[DESCR])</f>
        <v xml:space="preserve">Create Drainage Master Plan, including evaluation of potential mitigation projects. </v>
      </c>
      <c r="E610" s="256">
        <f>_xlfn.XLOOKUP(FME_Ranking1[[#This Row],[FME ID]],FME_Input[FME_ID],FME_Input[FME_COST])</f>
        <v>25000</v>
      </c>
      <c r="F610" t="str">
        <f>_xlfn.XLOOKUP(FME_Ranking1[[#This Row],[FME ID]],FME_Input[FME_ID],FME_Input[EMER_NEED])</f>
        <v>No</v>
      </c>
      <c r="G610">
        <f>IF(FME_Ranking!F610="Yes",100,0)</f>
        <v>0</v>
      </c>
      <c r="H610">
        <f>FME_Ranking1[[#This Row],[Emergency Need Score (Normalized, Unweighted)]]*$F$3</f>
        <v>0</v>
      </c>
      <c r="I610" s="246">
        <f>_xlfn.XLOOKUP(FME_Ranking1[[#This Row],[FME ID]],FME_Input[FME_ID],FME_Input[STRUCT_100])</f>
        <v>606</v>
      </c>
      <c r="J610" s="178">
        <f>(FME_Ranking1[[#This Row],[Structures 100 Raw]]/I$2)*100</f>
        <v>0.32450841794113866</v>
      </c>
      <c r="K610" s="178">
        <f>FME_Ranking1[[#This Row],[Structures 100  Score (Normalized, Unweighted)]]*$I$3</f>
        <v>4.8676262691170799E-2</v>
      </c>
      <c r="L610" s="246">
        <f>_xlfn.XLOOKUP(FME_Ranking1[[#This Row],[FME ID]],FME_Input[FME_ID],FME_Input[RES_STRUCT100])</f>
        <v>324</v>
      </c>
      <c r="M610" s="230">
        <f>(FME_Ranking1[[#This Row],[Res Structures Raw]]/L$2)*100</f>
        <v>0.22949101160204557</v>
      </c>
      <c r="N610" s="180">
        <f>FME_Ranking1[[#This Row],[Res Structures Score (Normalized, Unweighted)]]*$L$3</f>
        <v>2.2949101160204557E-2</v>
      </c>
      <c r="O610" s="244">
        <f>_xlfn.XLOOKUP(FME_Ranking1[[#This Row],[FME ID]],FME_Input[FME_ID],FME_Input[POP100])</f>
        <v>1486</v>
      </c>
      <c r="P610" s="178">
        <f>(FME_Ranking1[[#This Row],[Pop Raw]]/$O$2)*100</f>
        <v>0.15212971361530225</v>
      </c>
      <c r="Q610" s="178">
        <f>FME_Ranking1[[#This Row],[Pop Score (Normalized, Unweighted)]]*$O$3</f>
        <v>2.2819457042295339E-2</v>
      </c>
      <c r="R610" s="137">
        <f>_xlfn.XLOOKUP(FME_Ranking1[[#This Row],[FME ID]],FME_Input[FME_ID],FME_Input[CRITFAC100])</f>
        <v>1</v>
      </c>
      <c r="S610" s="230">
        <f>(FME_Ranking1[[#This Row],[Critical Facilities Raw]]/$R$2)*100</f>
        <v>4.2881646655231559E-2</v>
      </c>
      <c r="T610" s="180">
        <f>FME_Ranking1[[#This Row],[Critical Facilities Score (Normalized, Unweighted)]]*$R$3</f>
        <v>8.5763293310463125E-3</v>
      </c>
      <c r="U610">
        <f>_xlfn.XLOOKUP(FME_Ranking1[[#This Row],[FME ID]],FME_Input[FME_ID],FME_Input[LWC])</f>
        <v>10</v>
      </c>
      <c r="V610" s="178">
        <f>(FME_Ranking1[[#This Row],[LWC Raw]]/$U$2)*100</f>
        <v>0.57570523891767411</v>
      </c>
      <c r="W610" s="178">
        <f>FME_Ranking1[[#This Row],[LWC Score (Normalized, Unweighted)]]*$U$3</f>
        <v>0.11514104778353483</v>
      </c>
      <c r="X610" s="246">
        <f>_xlfn.XLOOKUP(FME_Ranking1[[#This Row],[FME ID]],FME_Input[FME_ID],FME_Input[ROADCLS])</f>
        <v>0</v>
      </c>
      <c r="Y610" s="230">
        <f>(FME_Ranking1[[#This Row],[Closures Raw]]/$X$2)*100</f>
        <v>0</v>
      </c>
      <c r="Z610" s="180">
        <f>FME_Ranking1[[#This Row],[Closures Score (Normalized, Unweighted)]]*$X$3</f>
        <v>0</v>
      </c>
      <c r="AA610" s="253">
        <f>_xlfn.XLOOKUP(FME_Ranking1[[#This Row],[FME ID]],FME_Input[FME_ID],FME_Input[ROAD_MILES100])</f>
        <v>75.922775268554688</v>
      </c>
      <c r="AB610" s="178">
        <f>(FME_Ranking1[[#This Row],[Miles Raw]]/$AA$2)*100</f>
        <v>0.99824832089122251</v>
      </c>
      <c r="AC610" s="178">
        <f>FME_Ranking1[[#This Row],[Miles Score (Normalized, Unweighted)]]*$AA$3</f>
        <v>9.9824832089122253E-2</v>
      </c>
      <c r="AD610" s="255">
        <f>_xlfn.XLOOKUP(FME_Ranking1[[#This Row],[FME ID]],FME_Input[FME_ID],FME_Input[FARMACRE100])</f>
        <v>11744.6962890625</v>
      </c>
      <c r="AE610" s="230">
        <f>(FME_Ranking1[[#This Row],[Ag Land Raw]]/$AD$2)*100</f>
        <v>0.48429869978466811</v>
      </c>
      <c r="AF610" s="231">
        <f>FME_Ranking1[[#This Row],[Ag Land Score (Normalized, Unweighted)]]*$AD$3</f>
        <v>2.4214934989233407E-2</v>
      </c>
      <c r="AG61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0.34220196508660744</v>
      </c>
      <c r="AH610" s="406">
        <f t="shared" si="9"/>
        <v>580</v>
      </c>
      <c r="AI61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0.34220196508660744</v>
      </c>
      <c r="AJ610" s="257">
        <f>FME_Ranking1[[#This Row],[Addition check]]-FME_Ranking1[[#This Row],[Weighted Score Based on Normalized Reported Factors]]</f>
        <v>0</v>
      </c>
      <c r="AK610" s="178">
        <f>_xlfn.RANK.EQ(AI610,$AI$6:$AI$2341,0)+COUNTIF($AI$6:AI610,AI610)-1</f>
        <v>582</v>
      </c>
    </row>
    <row r="611" spans="1:37" x14ac:dyDescent="0.25">
      <c r="A611" t="s">
        <v>2853</v>
      </c>
      <c r="B611">
        <f>_xlfn.XLOOKUP(FME_Ranking1[[#This Row],[FME ID]],FME_Input[FME_ID],FME_Input[RFPG_NUM])</f>
        <v>1</v>
      </c>
      <c r="C611" t="str">
        <f>_xlfn.XLOOKUP(FME_Ranking1[[#This Row],[FME ID]],FME_Input[FME_ID],FME_Input[FME_NAME])</f>
        <v>Hemphill County FIS</v>
      </c>
      <c r="D611" t="str">
        <f>_xlfn.XLOOKUP(FME_Ranking1[[#This Row],[FME ID]],FME_Input[FME_ID],FME_Input[DESCR])</f>
        <v>Perform flood insurance study for the county and develop regulatory mapping</v>
      </c>
      <c r="E611" s="256">
        <f>_xlfn.XLOOKUP(FME_Ranking1[[#This Row],[FME ID]],FME_Input[FME_ID],FME_Input[FME_COST])</f>
        <v>887000</v>
      </c>
      <c r="F611" t="str">
        <f>_xlfn.XLOOKUP(FME_Ranking1[[#This Row],[FME ID]],FME_Input[FME_ID],FME_Input[EMER_NEED])</f>
        <v>No</v>
      </c>
      <c r="G611">
        <f>IF(FME_Ranking!F611="Yes",100,0)</f>
        <v>0</v>
      </c>
      <c r="H611">
        <f>FME_Ranking1[[#This Row],[Emergency Need Score (Normalized, Unweighted)]]*$F$3</f>
        <v>0</v>
      </c>
      <c r="I611" s="246">
        <f>_xlfn.XLOOKUP(FME_Ranking1[[#This Row],[FME ID]],FME_Input[FME_ID],FME_Input[STRUCT_100])</f>
        <v>101</v>
      </c>
      <c r="J611" s="178">
        <f>(FME_Ranking1[[#This Row],[Structures 100 Raw]]/I$2)*100</f>
        <v>5.4084736323523105E-2</v>
      </c>
      <c r="K611" s="178">
        <f>FME_Ranking1[[#This Row],[Structures 100  Score (Normalized, Unweighted)]]*$I$3</f>
        <v>8.1127104485284648E-3</v>
      </c>
      <c r="L611" s="246">
        <f>_xlfn.XLOOKUP(FME_Ranking1[[#This Row],[FME ID]],FME_Input[FME_ID],FME_Input[RES_STRUCT100])</f>
        <v>0</v>
      </c>
      <c r="M611" s="230">
        <f>(FME_Ranking1[[#This Row],[Res Structures Raw]]/L$2)*100</f>
        <v>0</v>
      </c>
      <c r="N611" s="180">
        <f>FME_Ranking1[[#This Row],[Res Structures Score (Normalized, Unweighted)]]*$L$3</f>
        <v>0</v>
      </c>
      <c r="O611" s="244">
        <f>_xlfn.XLOOKUP(FME_Ranking1[[#This Row],[FME ID]],FME_Input[FME_ID],FME_Input[POP100])</f>
        <v>100</v>
      </c>
      <c r="P611" s="178">
        <f>(FME_Ranking1[[#This Row],[Pop Raw]]/$O$2)*100</f>
        <v>1.0237531198876328E-2</v>
      </c>
      <c r="Q611" s="178">
        <f>FME_Ranking1[[#This Row],[Pop Score (Normalized, Unweighted)]]*$O$3</f>
        <v>1.5356296798314491E-3</v>
      </c>
      <c r="R611" s="137">
        <f>_xlfn.XLOOKUP(FME_Ranking1[[#This Row],[FME ID]],FME_Input[FME_ID],FME_Input[CRITFAC100])</f>
        <v>0</v>
      </c>
      <c r="S611" s="230">
        <f>(FME_Ranking1[[#This Row],[Critical Facilities Raw]]/$R$2)*100</f>
        <v>0</v>
      </c>
      <c r="T611" s="180">
        <f>FME_Ranking1[[#This Row],[Critical Facilities Score (Normalized, Unweighted)]]*$R$3</f>
        <v>0</v>
      </c>
      <c r="U611">
        <f>_xlfn.XLOOKUP(FME_Ranking1[[#This Row],[FME ID]],FME_Input[FME_ID],FME_Input[LWC])</f>
        <v>6</v>
      </c>
      <c r="V611" s="178">
        <f>(FME_Ranking1[[#This Row],[LWC Raw]]/$U$2)*100</f>
        <v>0.34542314335060448</v>
      </c>
      <c r="W611" s="178">
        <f>FME_Ranking1[[#This Row],[LWC Score (Normalized, Unweighted)]]*$U$3</f>
        <v>6.9084628670120898E-2</v>
      </c>
      <c r="X611" s="246">
        <f>_xlfn.XLOOKUP(FME_Ranking1[[#This Row],[FME ID]],FME_Input[FME_ID],FME_Input[ROADCLS])</f>
        <v>6</v>
      </c>
      <c r="Y611" s="230">
        <f>(FME_Ranking1[[#This Row],[Closures Raw]]/$X$2)*100</f>
        <v>6.3084849122069186E-2</v>
      </c>
      <c r="Z611" s="180">
        <f>FME_Ranking1[[#This Row],[Closures Score (Normalized, Unweighted)]]*$X$3</f>
        <v>3.1542424561034595E-3</v>
      </c>
      <c r="AA611" s="253">
        <f>_xlfn.XLOOKUP(FME_Ranking1[[#This Row],[FME ID]],FME_Input[FME_ID],FME_Input[ROAD_MILES100])</f>
        <v>29.622966766357418</v>
      </c>
      <c r="AB611" s="178">
        <f>(FME_Ranking1[[#This Row],[Miles Raw]]/$AA$2)*100</f>
        <v>0.38948888169240009</v>
      </c>
      <c r="AC611" s="178">
        <f>FME_Ranking1[[#This Row],[Miles Score (Normalized, Unweighted)]]*$AA$3</f>
        <v>3.8948888169240012E-2</v>
      </c>
      <c r="AD611" s="255">
        <f>_xlfn.XLOOKUP(FME_Ranking1[[#This Row],[FME ID]],FME_Input[FME_ID],FME_Input[FARMACRE100])</f>
        <v>77405.3203125</v>
      </c>
      <c r="AE611" s="230">
        <f>(FME_Ranking1[[#This Row],[Ag Land Raw]]/$AD$2)*100</f>
        <v>3.1918489044855383</v>
      </c>
      <c r="AF611" s="231">
        <f>FME_Ranking1[[#This Row],[Ag Land Score (Normalized, Unweighted)]]*$AD$3</f>
        <v>0.15959244522427693</v>
      </c>
      <c r="AG61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0.28042854464810119</v>
      </c>
      <c r="AH611" s="406">
        <f t="shared" si="9"/>
        <v>643</v>
      </c>
      <c r="AI61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0.28042854464810119</v>
      </c>
      <c r="AJ611" s="257">
        <f>FME_Ranking1[[#This Row],[Addition check]]-FME_Ranking1[[#This Row],[Weighted Score Based on Normalized Reported Factors]]</f>
        <v>0</v>
      </c>
      <c r="AK611" s="178">
        <f>_xlfn.RANK.EQ(AI611,$AI$6:$AI$2341,0)+COUNTIF($AI$6:AI611,AI611)-1</f>
        <v>643</v>
      </c>
    </row>
    <row r="612" spans="1:37" x14ac:dyDescent="0.25">
      <c r="A612" t="s">
        <v>4259</v>
      </c>
      <c r="B612">
        <f>_xlfn.XLOOKUP(FME_Ranking1[[#This Row],[FME ID]],FME_Input[FME_ID],FME_Input[RFPG_NUM])</f>
        <v>3</v>
      </c>
      <c r="C612" t="str">
        <f>_xlfn.XLOOKUP(FME_Ranking1[[#This Row],[FME ID]],FME_Input[FME_ID],FME_Input[FME_NAME])</f>
        <v>City of Keller DMP</v>
      </c>
      <c r="D612" t="str">
        <f>_xlfn.XLOOKUP(FME_Ranking1[[#This Row],[FME ID]],FME_Input[FME_ID],FME_Input[DESCR])</f>
        <v>Evaluate City and identify future projects.</v>
      </c>
      <c r="E612" s="256">
        <f>_xlfn.XLOOKUP(FME_Ranking1[[#This Row],[FME ID]],FME_Input[FME_ID],FME_Input[FME_COST])</f>
        <v>500000</v>
      </c>
      <c r="F612" t="str">
        <f>_xlfn.XLOOKUP(FME_Ranking1[[#This Row],[FME ID]],FME_Input[FME_ID],FME_Input[EMER_NEED])</f>
        <v>No</v>
      </c>
      <c r="G612">
        <f>IF(FME_Ranking!F612="Yes",100,0)</f>
        <v>0</v>
      </c>
      <c r="H612">
        <f>FME_Ranking1[[#This Row],[Emergency Need Score (Normalized, Unweighted)]]*$F$3</f>
        <v>0</v>
      </c>
      <c r="I612" s="246">
        <f>_xlfn.XLOOKUP(FME_Ranking1[[#This Row],[FME ID]],FME_Input[FME_ID],FME_Input[STRUCT_100])</f>
        <v>166</v>
      </c>
      <c r="J612" s="178">
        <f>(FME_Ranking1[[#This Row],[Structures 100 Raw]]/I$2)*100</f>
        <v>8.8891744848562729E-2</v>
      </c>
      <c r="K612" s="178">
        <f>FME_Ranking1[[#This Row],[Structures 100  Score (Normalized, Unweighted)]]*$I$3</f>
        <v>1.3333761727284409E-2</v>
      </c>
      <c r="L612" s="246">
        <f>_xlfn.XLOOKUP(FME_Ranking1[[#This Row],[FME ID]],FME_Input[FME_ID],FME_Input[RES_STRUCT100])</f>
        <v>149</v>
      </c>
      <c r="M612" s="230">
        <f>(FME_Ranking1[[#This Row],[Res Structures Raw]]/L$2)*100</f>
        <v>0.10553753311328638</v>
      </c>
      <c r="N612" s="180">
        <f>FME_Ranking1[[#This Row],[Res Structures Score (Normalized, Unweighted)]]*$L$3</f>
        <v>1.0553753311328639E-2</v>
      </c>
      <c r="O612" s="244">
        <f>_xlfn.XLOOKUP(FME_Ranking1[[#This Row],[FME ID]],FME_Input[FME_ID],FME_Input[POP100])</f>
        <v>4380</v>
      </c>
      <c r="P612" s="178">
        <f>(FME_Ranking1[[#This Row],[Pop Raw]]/$O$2)*100</f>
        <v>0.44840386651078318</v>
      </c>
      <c r="Q612" s="178">
        <f>FME_Ranking1[[#This Row],[Pop Score (Normalized, Unweighted)]]*$O$3</f>
        <v>6.7260579976617468E-2</v>
      </c>
      <c r="R612" s="137">
        <f>_xlfn.XLOOKUP(FME_Ranking1[[#This Row],[FME ID]],FME_Input[FME_ID],FME_Input[CRITFAC100])</f>
        <v>4</v>
      </c>
      <c r="S612" s="230">
        <f>(FME_Ranking1[[#This Row],[Critical Facilities Raw]]/$R$2)*100</f>
        <v>0.17152658662092624</v>
      </c>
      <c r="T612" s="180">
        <f>FME_Ranking1[[#This Row],[Critical Facilities Score (Normalized, Unweighted)]]*$R$3</f>
        <v>3.430531732418525E-2</v>
      </c>
      <c r="U612">
        <f>_xlfn.XLOOKUP(FME_Ranking1[[#This Row],[FME ID]],FME_Input[FME_ID],FME_Input[LWC])</f>
        <v>10</v>
      </c>
      <c r="V612" s="178">
        <f>(FME_Ranking1[[#This Row],[LWC Raw]]/$U$2)*100</f>
        <v>0.57570523891767411</v>
      </c>
      <c r="W612" s="178">
        <f>FME_Ranking1[[#This Row],[LWC Score (Normalized, Unweighted)]]*$U$3</f>
        <v>0.11514104778353483</v>
      </c>
      <c r="X612" s="246">
        <f>_xlfn.XLOOKUP(FME_Ranking1[[#This Row],[FME ID]],FME_Input[FME_ID],FME_Input[ROADCLS])</f>
        <v>0</v>
      </c>
      <c r="Y612" s="230">
        <f>(FME_Ranking1[[#This Row],[Closures Raw]]/$X$2)*100</f>
        <v>0</v>
      </c>
      <c r="Z612" s="180">
        <f>FME_Ranking1[[#This Row],[Closures Score (Normalized, Unweighted)]]*$X$3</f>
        <v>0</v>
      </c>
      <c r="AA612" s="253">
        <f>_xlfn.XLOOKUP(FME_Ranking1[[#This Row],[FME ID]],FME_Input[FME_ID],FME_Input[ROAD_MILES100])</f>
        <v>3.9777789115905762</v>
      </c>
      <c r="AB612" s="178">
        <f>(FME_Ranking1[[#This Row],[Miles Raw]]/$AA$2)*100</f>
        <v>5.2300658206002347E-2</v>
      </c>
      <c r="AC612" s="178">
        <f>FME_Ranking1[[#This Row],[Miles Score (Normalized, Unweighted)]]*$AA$3</f>
        <v>5.2300658206002352E-3</v>
      </c>
      <c r="AD612" s="255">
        <f>_xlfn.XLOOKUP(FME_Ranking1[[#This Row],[FME ID]],FME_Input[FME_ID],FME_Input[FARMACRE100])</f>
        <v>199.92140197753909</v>
      </c>
      <c r="AE612" s="230">
        <f>(FME_Ranking1[[#This Row],[Ag Land Raw]]/$AD$2)*100</f>
        <v>8.2438636686601608E-3</v>
      </c>
      <c r="AF612" s="231">
        <f>FME_Ranking1[[#This Row],[Ag Land Score (Normalized, Unweighted)]]*$AD$3</f>
        <v>4.1219318343300808E-4</v>
      </c>
      <c r="AG61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0.24623671912698383</v>
      </c>
      <c r="AH612" s="406">
        <f t="shared" si="9"/>
        <v>700</v>
      </c>
      <c r="AI61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0.24623671912698383</v>
      </c>
      <c r="AJ612" s="257">
        <f>FME_Ranking1[[#This Row],[Addition check]]-FME_Ranking1[[#This Row],[Weighted Score Based on Normalized Reported Factors]]</f>
        <v>0</v>
      </c>
      <c r="AK612" s="178">
        <f>_xlfn.RANK.EQ(AI612,$AI$6:$AI$2341,0)+COUNTIF($AI$6:AI612,AI612)-1</f>
        <v>700</v>
      </c>
    </row>
    <row r="613" spans="1:37" x14ac:dyDescent="0.25">
      <c r="A613" t="s">
        <v>7567</v>
      </c>
      <c r="B613">
        <f>_xlfn.XLOOKUP(FME_Ranking1[[#This Row],[FME ID]],FME_Input[FME_ID],FME_Input[RFPG_NUM])</f>
        <v>8</v>
      </c>
      <c r="C613" t="str">
        <f>_xlfn.XLOOKUP(FME_Ranking1[[#This Row],[FME ID]],FME_Input[FME_ID],FME_Input[FME_NAME])</f>
        <v>620 Quarry Solution</v>
      </c>
      <c r="D613" t="str">
        <f>_xlfn.XLOOKUP(FME_Ranking1[[#This Row],[FME ID]],FME_Input[FME_ID],FME_Input[DESCR])</f>
        <v>Study to determine needed flood storage to address Lake Creek flooding.</v>
      </c>
      <c r="E613" s="256">
        <f>_xlfn.XLOOKUP(FME_Ranking1[[#This Row],[FME ID]],FME_Input[FME_ID],FME_Input[FME_COST])</f>
        <v>877000</v>
      </c>
      <c r="F613" t="str">
        <f>_xlfn.XLOOKUP(FME_Ranking1[[#This Row],[FME ID]],FME_Input[FME_ID],FME_Input[EMER_NEED])</f>
        <v>No</v>
      </c>
      <c r="G613">
        <f>IF(FME_Ranking!F613="Yes",100,0)</f>
        <v>0</v>
      </c>
      <c r="H613">
        <f>FME_Ranking1[[#This Row],[Emergency Need Score (Normalized, Unweighted)]]*$F$3</f>
        <v>0</v>
      </c>
      <c r="I613" s="246">
        <f>_xlfn.XLOOKUP(FME_Ranking1[[#This Row],[FME ID]],FME_Input[FME_ID],FME_Input[STRUCT_100])</f>
        <v>224</v>
      </c>
      <c r="J613" s="178">
        <f>(FME_Ranking1[[#This Row],[Structures 100 Raw]]/I$2)*100</f>
        <v>0.11995030630167502</v>
      </c>
      <c r="K613" s="178">
        <f>FME_Ranking1[[#This Row],[Structures 100  Score (Normalized, Unweighted)]]*$I$3</f>
        <v>1.7992545945251254E-2</v>
      </c>
      <c r="L613" s="246">
        <f>_xlfn.XLOOKUP(FME_Ranking1[[#This Row],[FME ID]],FME_Input[FME_ID],FME_Input[RES_STRUCT100])</f>
        <v>195</v>
      </c>
      <c r="M613" s="230">
        <f>(FME_Ranking1[[#This Row],[Res Structures Raw]]/L$2)*100</f>
        <v>0.13811959031604595</v>
      </c>
      <c r="N613" s="180">
        <f>FME_Ranking1[[#This Row],[Res Structures Score (Normalized, Unweighted)]]*$L$3</f>
        <v>1.3811959031604596E-2</v>
      </c>
      <c r="O613" s="244">
        <f>_xlfn.XLOOKUP(FME_Ranking1[[#This Row],[FME ID]],FME_Input[FME_ID],FME_Input[POP100])</f>
        <v>2120</v>
      </c>
      <c r="P613" s="178">
        <f>(FME_Ranking1[[#This Row],[Pop Raw]]/$O$2)*100</f>
        <v>0.21703566141617817</v>
      </c>
      <c r="Q613" s="178">
        <f>FME_Ranking1[[#This Row],[Pop Score (Normalized, Unweighted)]]*$O$3</f>
        <v>3.2555349212426726E-2</v>
      </c>
      <c r="R613" s="137">
        <f>_xlfn.XLOOKUP(FME_Ranking1[[#This Row],[FME ID]],FME_Input[FME_ID],FME_Input[CRITFAC100])</f>
        <v>0</v>
      </c>
      <c r="S613" s="230">
        <f>(FME_Ranking1[[#This Row],[Critical Facilities Raw]]/$R$2)*100</f>
        <v>0</v>
      </c>
      <c r="T613" s="180">
        <f>FME_Ranking1[[#This Row],[Critical Facilities Score (Normalized, Unweighted)]]*$R$3</f>
        <v>0</v>
      </c>
      <c r="U613">
        <f>_xlfn.XLOOKUP(FME_Ranking1[[#This Row],[FME ID]],FME_Input[FME_ID],FME_Input[LWC])</f>
        <v>13</v>
      </c>
      <c r="V613" s="178">
        <f>(FME_Ranking1[[#This Row],[LWC Raw]]/$U$2)*100</f>
        <v>0.74841681059297649</v>
      </c>
      <c r="W613" s="178">
        <f>FME_Ranking1[[#This Row],[LWC Score (Normalized, Unweighted)]]*$U$3</f>
        <v>0.14968336211859531</v>
      </c>
      <c r="X613" s="246">
        <f>_xlfn.XLOOKUP(FME_Ranking1[[#This Row],[FME ID]],FME_Input[FME_ID],FME_Input[ROADCLS])</f>
        <v>44</v>
      </c>
      <c r="Y613" s="230">
        <f>(FME_Ranking1[[#This Row],[Closures Raw]]/$X$2)*100</f>
        <v>0.46262222689517402</v>
      </c>
      <c r="Z613" s="180">
        <f>FME_Ranking1[[#This Row],[Closures Score (Normalized, Unweighted)]]*$X$3</f>
        <v>2.3131111344758704E-2</v>
      </c>
      <c r="AA613" s="253">
        <f>_xlfn.XLOOKUP(FME_Ranking1[[#This Row],[FME ID]],FME_Input[FME_ID],FME_Input[ROAD_MILES100])</f>
        <v>7.2137198448181152</v>
      </c>
      <c r="AB613" s="178">
        <f>(FME_Ranking1[[#This Row],[Miles Raw]]/$AA$2)*100</f>
        <v>9.4847477545408981E-2</v>
      </c>
      <c r="AC613" s="178">
        <f>FME_Ranking1[[#This Row],[Miles Score (Normalized, Unweighted)]]*$AA$3</f>
        <v>9.4847477545408985E-3</v>
      </c>
      <c r="AD613" s="255">
        <f>_xlfn.XLOOKUP(FME_Ranking1[[#This Row],[FME ID]],FME_Input[FME_ID],FME_Input[FARMACRE100])</f>
        <v>151.1499938964844</v>
      </c>
      <c r="AE613" s="230">
        <f>(FME_Ranking1[[#This Row],[Ag Land Raw]]/$AD$2)*100</f>
        <v>6.2327491247856793E-3</v>
      </c>
      <c r="AF613" s="231">
        <f>FME_Ranking1[[#This Row],[Ag Land Score (Normalized, Unweighted)]]*$AD$3</f>
        <v>3.1163745623928401E-4</v>
      </c>
      <c r="AG61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0.24697071286341676</v>
      </c>
      <c r="AH613" s="406">
        <f t="shared" si="9"/>
        <v>699</v>
      </c>
      <c r="AI61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0.24697071286341676</v>
      </c>
      <c r="AJ613" s="257">
        <f>FME_Ranking1[[#This Row],[Addition check]]-FME_Ranking1[[#This Row],[Weighted Score Based on Normalized Reported Factors]]</f>
        <v>0</v>
      </c>
      <c r="AK613" s="178">
        <f>_xlfn.RANK.EQ(AI613,$AI$6:$AI$2341,0)+COUNTIF($AI$6:AI613,AI613)-1</f>
        <v>699</v>
      </c>
    </row>
    <row r="614" spans="1:37" x14ac:dyDescent="0.25">
      <c r="A614" t="s">
        <v>8068</v>
      </c>
      <c r="B614">
        <f>_xlfn.XLOOKUP(FME_Ranking1[[#This Row],[FME ID]],FME_Input[FME_ID],FME_Input[RFPG_NUM])</f>
        <v>9</v>
      </c>
      <c r="C614" t="str">
        <f>_xlfn.XLOOKUP(FME_Ranking1[[#This Row],[FME ID]],FME_Input[FME_ID],FME_Input[FME_NAME])</f>
        <v>Yoakum County  DMP</v>
      </c>
      <c r="D614" t="str">
        <f>_xlfn.XLOOKUP(FME_Ranking1[[#This Row],[FME ID]],FME_Input[FME_ID],FME_Input[DESCR])</f>
        <v xml:space="preserve">Create Drainage Master Plan, including evaluation of potential mitigation projects. </v>
      </c>
      <c r="E614" s="256">
        <f>_xlfn.XLOOKUP(FME_Ranking1[[#This Row],[FME ID]],FME_Input[FME_ID],FME_Input[FME_COST])</f>
        <v>500000</v>
      </c>
      <c r="F614" t="str">
        <f>_xlfn.XLOOKUP(FME_Ranking1[[#This Row],[FME ID]],FME_Input[FME_ID],FME_Input[EMER_NEED])</f>
        <v>No</v>
      </c>
      <c r="G614">
        <f>IF(FME_Ranking!F614="Yes",100,0)</f>
        <v>0</v>
      </c>
      <c r="H614">
        <f>FME_Ranking1[[#This Row],[Emergency Need Score (Normalized, Unweighted)]]*$F$3</f>
        <v>0</v>
      </c>
      <c r="I614" s="246">
        <f>_xlfn.XLOOKUP(FME_Ranking1[[#This Row],[FME ID]],FME_Input[FME_ID],FME_Input[STRUCT_100])</f>
        <v>543</v>
      </c>
      <c r="J614" s="178">
        <f>(FME_Ranking1[[#This Row],[Structures 100 Raw]]/I$2)*100</f>
        <v>0.29077239429379259</v>
      </c>
      <c r="K614" s="178">
        <f>FME_Ranking1[[#This Row],[Structures 100  Score (Normalized, Unweighted)]]*$I$3</f>
        <v>4.3615859144068889E-2</v>
      </c>
      <c r="L614" s="246">
        <f>_xlfn.XLOOKUP(FME_Ranking1[[#This Row],[FME ID]],FME_Input[FME_ID],FME_Input[RES_STRUCT100])</f>
        <v>263</v>
      </c>
      <c r="M614" s="230">
        <f>(FME_Ranking1[[#This Row],[Res Structures Raw]]/L$2)*100</f>
        <v>0.18628437052882094</v>
      </c>
      <c r="N614" s="180">
        <f>FME_Ranking1[[#This Row],[Res Structures Score (Normalized, Unweighted)]]*$L$3</f>
        <v>1.8628437052882096E-2</v>
      </c>
      <c r="O614" s="244">
        <f>_xlfn.XLOOKUP(FME_Ranking1[[#This Row],[FME ID]],FME_Input[FME_ID],FME_Input[POP100])</f>
        <v>776</v>
      </c>
      <c r="P614" s="178">
        <f>(FME_Ranking1[[#This Row],[Pop Raw]]/$O$2)*100</f>
        <v>7.9443242103280312E-2</v>
      </c>
      <c r="Q614" s="178">
        <f>FME_Ranking1[[#This Row],[Pop Score (Normalized, Unweighted)]]*$O$3</f>
        <v>1.1916486315492046E-2</v>
      </c>
      <c r="R614" s="137">
        <f>_xlfn.XLOOKUP(FME_Ranking1[[#This Row],[FME ID]],FME_Input[FME_ID],FME_Input[CRITFAC100])</f>
        <v>0</v>
      </c>
      <c r="S614" s="230">
        <f>(FME_Ranking1[[#This Row],[Critical Facilities Raw]]/$R$2)*100</f>
        <v>0</v>
      </c>
      <c r="T614" s="180">
        <f>FME_Ranking1[[#This Row],[Critical Facilities Score (Normalized, Unweighted)]]*$R$3</f>
        <v>0</v>
      </c>
      <c r="U614">
        <f>_xlfn.XLOOKUP(FME_Ranking1[[#This Row],[FME ID]],FME_Input[FME_ID],FME_Input[LWC])</f>
        <v>2</v>
      </c>
      <c r="V614" s="178">
        <f>(FME_Ranking1[[#This Row],[LWC Raw]]/$U$2)*100</f>
        <v>0.11514104778353484</v>
      </c>
      <c r="W614" s="178">
        <f>FME_Ranking1[[#This Row],[LWC Score (Normalized, Unweighted)]]*$U$3</f>
        <v>2.302820955670697E-2</v>
      </c>
      <c r="X614" s="246">
        <f>_xlfn.XLOOKUP(FME_Ranking1[[#This Row],[FME ID]],FME_Input[FME_ID],FME_Input[ROADCLS])</f>
        <v>0</v>
      </c>
      <c r="Y614" s="230">
        <f>(FME_Ranking1[[#This Row],[Closures Raw]]/$X$2)*100</f>
        <v>0</v>
      </c>
      <c r="Z614" s="180">
        <f>FME_Ranking1[[#This Row],[Closures Score (Normalized, Unweighted)]]*$X$3</f>
        <v>0</v>
      </c>
      <c r="AA614" s="253">
        <f>_xlfn.XLOOKUP(FME_Ranking1[[#This Row],[FME ID]],FME_Input[FME_ID],FME_Input[ROAD_MILES100])</f>
        <v>292.33428955078119</v>
      </c>
      <c r="AB614" s="178">
        <f>(FME_Ranking1[[#This Row],[Miles Raw]]/$AA$2)*100</f>
        <v>3.8436715814294162</v>
      </c>
      <c r="AC614" s="178">
        <f>FME_Ranking1[[#This Row],[Miles Score (Normalized, Unweighted)]]*$AA$3</f>
        <v>0.38436715814294165</v>
      </c>
      <c r="AD614" s="255">
        <f>_xlfn.XLOOKUP(FME_Ranking1[[#This Row],[FME ID]],FME_Input[FME_ID],FME_Input[FARMACRE100])</f>
        <v>65855.140625</v>
      </c>
      <c r="AE614" s="230">
        <f>(FME_Ranking1[[#This Row],[Ag Land Raw]]/$AD$2)*100</f>
        <v>2.7155711985950233</v>
      </c>
      <c r="AF614" s="231">
        <f>FME_Ranking1[[#This Row],[Ag Land Score (Normalized, Unweighted)]]*$AD$3</f>
        <v>0.13577855992975116</v>
      </c>
      <c r="AG61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0.61733471014184282</v>
      </c>
      <c r="AH614" s="406">
        <f t="shared" si="9"/>
        <v>383</v>
      </c>
      <c r="AI61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0.61733471014184282</v>
      </c>
      <c r="AJ614" s="257">
        <f>FME_Ranking1[[#This Row],[Addition check]]-FME_Ranking1[[#This Row],[Weighted Score Based on Normalized Reported Factors]]</f>
        <v>0</v>
      </c>
      <c r="AK614" s="178">
        <f>_xlfn.RANK.EQ(AI614,$AI$6:$AI$2341,0)+COUNTIF($AI$6:AI614,AI614)-1</f>
        <v>383</v>
      </c>
    </row>
    <row r="615" spans="1:37" x14ac:dyDescent="0.25">
      <c r="A615" t="s">
        <v>8311</v>
      </c>
      <c r="B615">
        <f>_xlfn.XLOOKUP(FME_Ranking1[[#This Row],[FME ID]],FME_Input[FME_ID],FME_Input[RFPG_NUM])</f>
        <v>9</v>
      </c>
      <c r="C615" t="str">
        <f>_xlfn.XLOOKUP(FME_Ranking1[[#This Row],[FME ID]],FME_Input[FME_ID],FME_Input[FME_NAME])</f>
        <v>Yoakum County FEMA Mapping</v>
      </c>
      <c r="D615" t="str">
        <f>_xlfn.XLOOKUP(FME_Ranking1[[#This Row],[FME ID]],FME_Input[FME_ID],FME_Input[DESCR])</f>
        <v>Create FEMA Mapping in previously unmapped areas</v>
      </c>
      <c r="E615" s="256">
        <f>_xlfn.XLOOKUP(FME_Ranking1[[#This Row],[FME ID]],FME_Input[FME_ID],FME_Input[FME_COST])</f>
        <v>717000</v>
      </c>
      <c r="F615" t="str">
        <f>_xlfn.XLOOKUP(FME_Ranking1[[#This Row],[FME ID]],FME_Input[FME_ID],FME_Input[EMER_NEED])</f>
        <v>No</v>
      </c>
      <c r="G615">
        <f>IF(FME_Ranking!F615="Yes",100,0)</f>
        <v>0</v>
      </c>
      <c r="H615">
        <f>FME_Ranking1[[#This Row],[Emergency Need Score (Normalized, Unweighted)]]*$F$3</f>
        <v>0</v>
      </c>
      <c r="I615" s="246">
        <f>_xlfn.XLOOKUP(FME_Ranking1[[#This Row],[FME ID]],FME_Input[FME_ID],FME_Input[STRUCT_100])</f>
        <v>543</v>
      </c>
      <c r="J615" s="178">
        <f>(FME_Ranking1[[#This Row],[Structures 100 Raw]]/I$2)*100</f>
        <v>0.29077239429379259</v>
      </c>
      <c r="K615" s="178">
        <f>FME_Ranking1[[#This Row],[Structures 100  Score (Normalized, Unweighted)]]*$I$3</f>
        <v>4.3615859144068889E-2</v>
      </c>
      <c r="L615" s="246">
        <f>_xlfn.XLOOKUP(FME_Ranking1[[#This Row],[FME ID]],FME_Input[FME_ID],FME_Input[RES_STRUCT100])</f>
        <v>263</v>
      </c>
      <c r="M615" s="230">
        <f>(FME_Ranking1[[#This Row],[Res Structures Raw]]/L$2)*100</f>
        <v>0.18628437052882094</v>
      </c>
      <c r="N615" s="180">
        <f>FME_Ranking1[[#This Row],[Res Structures Score (Normalized, Unweighted)]]*$L$3</f>
        <v>1.8628437052882096E-2</v>
      </c>
      <c r="O615" s="244">
        <f>_xlfn.XLOOKUP(FME_Ranking1[[#This Row],[FME ID]],FME_Input[FME_ID],FME_Input[POP100])</f>
        <v>776</v>
      </c>
      <c r="P615" s="178">
        <f>(FME_Ranking1[[#This Row],[Pop Raw]]/$O$2)*100</f>
        <v>7.9443242103280312E-2</v>
      </c>
      <c r="Q615" s="178">
        <f>FME_Ranking1[[#This Row],[Pop Score (Normalized, Unweighted)]]*$O$3</f>
        <v>1.1916486315492046E-2</v>
      </c>
      <c r="R615" s="137">
        <f>_xlfn.XLOOKUP(FME_Ranking1[[#This Row],[FME ID]],FME_Input[FME_ID],FME_Input[CRITFAC100])</f>
        <v>0</v>
      </c>
      <c r="S615" s="230">
        <f>(FME_Ranking1[[#This Row],[Critical Facilities Raw]]/$R$2)*100</f>
        <v>0</v>
      </c>
      <c r="T615" s="180">
        <f>FME_Ranking1[[#This Row],[Critical Facilities Score (Normalized, Unweighted)]]*$R$3</f>
        <v>0</v>
      </c>
      <c r="U615">
        <f>_xlfn.XLOOKUP(FME_Ranking1[[#This Row],[FME ID]],FME_Input[FME_ID],FME_Input[LWC])</f>
        <v>2</v>
      </c>
      <c r="V615" s="178">
        <f>(FME_Ranking1[[#This Row],[LWC Raw]]/$U$2)*100</f>
        <v>0.11514104778353484</v>
      </c>
      <c r="W615" s="178">
        <f>FME_Ranking1[[#This Row],[LWC Score (Normalized, Unweighted)]]*$U$3</f>
        <v>2.302820955670697E-2</v>
      </c>
      <c r="X615" s="246">
        <f>_xlfn.XLOOKUP(FME_Ranking1[[#This Row],[FME ID]],FME_Input[FME_ID],FME_Input[ROADCLS])</f>
        <v>0</v>
      </c>
      <c r="Y615" s="230">
        <f>(FME_Ranking1[[#This Row],[Closures Raw]]/$X$2)*100</f>
        <v>0</v>
      </c>
      <c r="Z615" s="180">
        <f>FME_Ranking1[[#This Row],[Closures Score (Normalized, Unweighted)]]*$X$3</f>
        <v>0</v>
      </c>
      <c r="AA615" s="253">
        <f>_xlfn.XLOOKUP(FME_Ranking1[[#This Row],[FME ID]],FME_Input[FME_ID],FME_Input[ROAD_MILES100])</f>
        <v>292.33428955078119</v>
      </c>
      <c r="AB615" s="178">
        <f>(FME_Ranking1[[#This Row],[Miles Raw]]/$AA$2)*100</f>
        <v>3.8436715814294162</v>
      </c>
      <c r="AC615" s="178">
        <f>FME_Ranking1[[#This Row],[Miles Score (Normalized, Unweighted)]]*$AA$3</f>
        <v>0.38436715814294165</v>
      </c>
      <c r="AD615" s="255">
        <f>_xlfn.XLOOKUP(FME_Ranking1[[#This Row],[FME ID]],FME_Input[FME_ID],FME_Input[FARMACRE100])</f>
        <v>65855.140625</v>
      </c>
      <c r="AE615" s="230">
        <f>(FME_Ranking1[[#This Row],[Ag Land Raw]]/$AD$2)*100</f>
        <v>2.7155711985950233</v>
      </c>
      <c r="AF615" s="231">
        <f>FME_Ranking1[[#This Row],[Ag Land Score (Normalized, Unweighted)]]*$AD$3</f>
        <v>0.13577855992975116</v>
      </c>
      <c r="AG61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0.61733471014184282</v>
      </c>
      <c r="AH615" s="406">
        <f t="shared" si="9"/>
        <v>383</v>
      </c>
      <c r="AI61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0.61733471014184282</v>
      </c>
      <c r="AJ615" s="257">
        <f>FME_Ranking1[[#This Row],[Addition check]]-FME_Ranking1[[#This Row],[Weighted Score Based on Normalized Reported Factors]]</f>
        <v>0</v>
      </c>
      <c r="AK615" s="178">
        <f>_xlfn.RANK.EQ(AI615,$AI$6:$AI$2341,0)+COUNTIF($AI$6:AI615,AI615)-1</f>
        <v>384</v>
      </c>
    </row>
    <row r="616" spans="1:37" x14ac:dyDescent="0.25">
      <c r="A616" t="s">
        <v>1569</v>
      </c>
      <c r="B616">
        <f>_xlfn.XLOOKUP(FME_Ranking1[[#This Row],[FME ID]],FME_Input[FME_ID],FME_Input[RFPG_NUM])</f>
        <v>6</v>
      </c>
      <c r="C616" t="str">
        <f>_xlfn.XLOOKUP(FME_Ranking1[[#This Row],[FME ID]],FME_Input[FME_ID],FME_Input[FME_NAME])</f>
        <v>City of El Lago  Master Drainage Plan</v>
      </c>
      <c r="D616" t="str">
        <f>_xlfn.XLOOKUP(FME_Ranking1[[#This Row],[FME ID]],FME_Input[FME_ID],FME_Input[DESCR])</f>
        <v>Study to develop Master Drainage Plan using future and existing land use and flood/storm water drainage needs including Atlas 14 rainfall.</v>
      </c>
      <c r="E616" s="256">
        <f>_xlfn.XLOOKUP(FME_Ranking1[[#This Row],[FME ID]],FME_Input[FME_ID],FME_Input[FME_COST])</f>
        <v>140000</v>
      </c>
      <c r="F616" t="str">
        <f>_xlfn.XLOOKUP(FME_Ranking1[[#This Row],[FME ID]],FME_Input[FME_ID],FME_Input[EMER_NEED])</f>
        <v>No</v>
      </c>
      <c r="G616">
        <f>IF(FME_Ranking!F616="Yes",100,0)</f>
        <v>0</v>
      </c>
      <c r="H616">
        <f>FME_Ranking1[[#This Row],[Emergency Need Score (Normalized, Unweighted)]]*$F$3</f>
        <v>0</v>
      </c>
      <c r="I616" s="246">
        <f>_xlfn.XLOOKUP(FME_Ranking1[[#This Row],[FME ID]],FME_Input[FME_ID],FME_Input[STRUCT_100])</f>
        <v>743</v>
      </c>
      <c r="J616" s="178">
        <f>(FME_Ranking1[[#This Row],[Structures 100 Raw]]/I$2)*100</f>
        <v>0.39787088206314525</v>
      </c>
      <c r="K616" s="178">
        <f>FME_Ranking1[[#This Row],[Structures 100  Score (Normalized, Unweighted)]]*$I$3</f>
        <v>5.9680632309471786E-2</v>
      </c>
      <c r="L616" s="246">
        <f>_xlfn.XLOOKUP(FME_Ranking1[[#This Row],[FME ID]],FME_Input[FME_ID],FME_Input[RES_STRUCT100])</f>
        <v>698</v>
      </c>
      <c r="M616" s="230">
        <f>(FME_Ranking1[[#This Row],[Res Structures Raw]]/L$2)*100</f>
        <v>0.49439730277230809</v>
      </c>
      <c r="N616" s="180">
        <f>FME_Ranking1[[#This Row],[Res Structures Score (Normalized, Unweighted)]]*$L$3</f>
        <v>4.9439730277230809E-2</v>
      </c>
      <c r="O616" s="244">
        <f>_xlfn.XLOOKUP(FME_Ranking1[[#This Row],[FME ID]],FME_Input[FME_ID],FME_Input[POP100])</f>
        <v>3033</v>
      </c>
      <c r="P616" s="178">
        <f>(FME_Ranking1[[#This Row],[Pop Raw]]/$O$2)*100</f>
        <v>0.31050432126191907</v>
      </c>
      <c r="Q616" s="178">
        <f>FME_Ranking1[[#This Row],[Pop Score (Normalized, Unweighted)]]*$O$3</f>
        <v>4.657564818928786E-2</v>
      </c>
      <c r="R616" s="137">
        <f>_xlfn.XLOOKUP(FME_Ranking1[[#This Row],[FME ID]],FME_Input[FME_ID],FME_Input[CRITFAC100])</f>
        <v>9</v>
      </c>
      <c r="S616" s="230">
        <f>(FME_Ranking1[[#This Row],[Critical Facilities Raw]]/$R$2)*100</f>
        <v>0.38593481989708406</v>
      </c>
      <c r="T616" s="180">
        <f>FME_Ranking1[[#This Row],[Critical Facilities Score (Normalized, Unweighted)]]*$R$3</f>
        <v>7.7186963979416823E-2</v>
      </c>
      <c r="U616">
        <f>_xlfn.XLOOKUP(FME_Ranking1[[#This Row],[FME ID]],FME_Input[FME_ID],FME_Input[LWC])</f>
        <v>0</v>
      </c>
      <c r="V616" s="178">
        <f>(FME_Ranking1[[#This Row],[LWC Raw]]/$U$2)*100</f>
        <v>0</v>
      </c>
      <c r="W616" s="178">
        <f>FME_Ranking1[[#This Row],[LWC Score (Normalized, Unweighted)]]*$U$3</f>
        <v>0</v>
      </c>
      <c r="X616" s="246">
        <f>_xlfn.XLOOKUP(FME_Ranking1[[#This Row],[FME ID]],FME_Input[FME_ID],FME_Input[ROADCLS])</f>
        <v>0</v>
      </c>
      <c r="Y616" s="230">
        <f>(FME_Ranking1[[#This Row],[Closures Raw]]/$X$2)*100</f>
        <v>0</v>
      </c>
      <c r="Z616" s="180">
        <f>FME_Ranking1[[#This Row],[Closures Score (Normalized, Unweighted)]]*$X$3</f>
        <v>0</v>
      </c>
      <c r="AA616" s="253">
        <f>_xlfn.XLOOKUP(FME_Ranking1[[#This Row],[FME ID]],FME_Input[FME_ID],FME_Input[ROAD_MILES100])</f>
        <v>9.3533601760864258</v>
      </c>
      <c r="AB616" s="178">
        <f>(FME_Ranking1[[#This Row],[Miles Raw]]/$AA$2)*100</f>
        <v>0.12297991027649176</v>
      </c>
      <c r="AC616" s="178">
        <f>FME_Ranking1[[#This Row],[Miles Score (Normalized, Unweighted)]]*$AA$3</f>
        <v>1.2297991027649176E-2</v>
      </c>
      <c r="AD616" s="255">
        <f>_xlfn.XLOOKUP(FME_Ranking1[[#This Row],[FME ID]],FME_Input[FME_ID],FME_Input[FARMACRE100])</f>
        <v>0.44328251481056208</v>
      </c>
      <c r="AE616" s="230">
        <f>(FME_Ranking1[[#This Row],[Ag Land Raw]]/$AD$2)*100</f>
        <v>1.8278986554974565E-5</v>
      </c>
      <c r="AF616" s="231">
        <f>FME_Ranking1[[#This Row],[Ag Land Score (Normalized, Unweighted)]]*$AD$3</f>
        <v>9.1394932774872826E-7</v>
      </c>
      <c r="AG61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0.2451818797323842</v>
      </c>
      <c r="AH616" s="406">
        <f t="shared" si="9"/>
        <v>703</v>
      </c>
      <c r="AI61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0.2451818797323842</v>
      </c>
      <c r="AJ616" s="257">
        <f>FME_Ranking1[[#This Row],[Addition check]]-FME_Ranking1[[#This Row],[Weighted Score Based on Normalized Reported Factors]]</f>
        <v>0</v>
      </c>
      <c r="AK616" s="178">
        <f>_xlfn.RANK.EQ(AI616,$AI$6:$AI$2341,0)+COUNTIF($AI$6:AI616,AI616)-1</f>
        <v>703</v>
      </c>
    </row>
    <row r="617" spans="1:37" x14ac:dyDescent="0.25">
      <c r="A617" t="s">
        <v>9926</v>
      </c>
      <c r="B617">
        <f>_xlfn.XLOOKUP(FME_Ranking1[[#This Row],[FME ID]],FME_Input[FME_ID],FME_Input[RFPG_NUM])</f>
        <v>13</v>
      </c>
      <c r="C617" t="str">
        <f>_xlfn.XLOOKUP(FME_Ranking1[[#This Row],[FME ID]],FME_Input[FME_ID],FME_Input[FME_NAME])</f>
        <v>City of Hondo Drainage Master Plan and Flood Mitigation plan</v>
      </c>
      <c r="D617" t="str">
        <f>_xlfn.XLOOKUP(FME_Ranking1[[#This Row],[FME ID]],FME_Input[FME_ID],FME_Input[DESCR])</f>
        <v>City of Hondo Drainage Master Plan and Flood Mitigation plan</v>
      </c>
      <c r="E617" s="256">
        <f>_xlfn.XLOOKUP(FME_Ranking1[[#This Row],[FME ID]],FME_Input[FME_ID],FME_Input[FME_COST])</f>
        <v>250000</v>
      </c>
      <c r="F617" t="str">
        <f>_xlfn.XLOOKUP(FME_Ranking1[[#This Row],[FME ID]],FME_Input[FME_ID],FME_Input[EMER_NEED])</f>
        <v>Yes</v>
      </c>
      <c r="G617">
        <f>IF(FME_Ranking!F617="Yes",100,0)</f>
        <v>100</v>
      </c>
      <c r="H617">
        <f>FME_Ranking1[[#This Row],[Emergency Need Score (Normalized, Unweighted)]]*$F$3</f>
        <v>0</v>
      </c>
      <c r="I617" s="246">
        <f>_xlfn.XLOOKUP(FME_Ranking1[[#This Row],[FME ID]],FME_Input[FME_ID],FME_Input[STRUCT_100])</f>
        <v>592</v>
      </c>
      <c r="J617" s="178">
        <f>(FME_Ranking1[[#This Row],[Structures 100 Raw]]/I$2)*100</f>
        <v>0.31701152379728398</v>
      </c>
      <c r="K617" s="178">
        <f>FME_Ranking1[[#This Row],[Structures 100  Score (Normalized, Unweighted)]]*$I$3</f>
        <v>4.7551728569592597E-2</v>
      </c>
      <c r="L617" s="246">
        <f>_xlfn.XLOOKUP(FME_Ranking1[[#This Row],[FME ID]],FME_Input[FME_ID],FME_Input[RES_STRUCT100])</f>
        <v>425</v>
      </c>
      <c r="M617" s="230">
        <f>(FME_Ranking1[[#This Row],[Res Structures Raw]]/L$2)*100</f>
        <v>0.30102987632984374</v>
      </c>
      <c r="N617" s="180">
        <f>FME_Ranking1[[#This Row],[Res Structures Score (Normalized, Unweighted)]]*$L$3</f>
        <v>3.0102987632984374E-2</v>
      </c>
      <c r="O617" s="244">
        <f>_xlfn.XLOOKUP(FME_Ranking1[[#This Row],[FME ID]],FME_Input[FME_ID],FME_Input[POP100])</f>
        <v>2211</v>
      </c>
      <c r="P617" s="178">
        <f>(FME_Ranking1[[#This Row],[Pop Raw]]/$O$2)*100</f>
        <v>0.22635181480715563</v>
      </c>
      <c r="Q617" s="178">
        <f>FME_Ranking1[[#This Row],[Pop Score (Normalized, Unweighted)]]*$O$3</f>
        <v>3.3952772221073346E-2</v>
      </c>
      <c r="R617" s="137">
        <f>_xlfn.XLOOKUP(FME_Ranking1[[#This Row],[FME ID]],FME_Input[FME_ID],FME_Input[CRITFAC100])</f>
        <v>3</v>
      </c>
      <c r="S617" s="230">
        <f>(FME_Ranking1[[#This Row],[Critical Facilities Raw]]/$R$2)*100</f>
        <v>0.1286449399656947</v>
      </c>
      <c r="T617" s="180">
        <f>FME_Ranking1[[#This Row],[Critical Facilities Score (Normalized, Unweighted)]]*$R$3</f>
        <v>2.5728987993138941E-2</v>
      </c>
      <c r="U617">
        <f>_xlfn.XLOOKUP(FME_Ranking1[[#This Row],[FME ID]],FME_Input[FME_ID],FME_Input[LWC])</f>
        <v>5</v>
      </c>
      <c r="V617" s="178">
        <f>(FME_Ranking1[[#This Row],[LWC Raw]]/$U$2)*100</f>
        <v>0.28785261945883706</v>
      </c>
      <c r="W617" s="178">
        <f>FME_Ranking1[[#This Row],[LWC Score (Normalized, Unweighted)]]*$U$3</f>
        <v>5.7570523891767415E-2</v>
      </c>
      <c r="X617" s="246">
        <f>_xlfn.XLOOKUP(FME_Ranking1[[#This Row],[FME ID]],FME_Input[FME_ID],FME_Input[ROADCLS])</f>
        <v>67</v>
      </c>
      <c r="Y617" s="230">
        <f>(FME_Ranking1[[#This Row],[Closures Raw]]/$X$2)*100</f>
        <v>0.70444748186310591</v>
      </c>
      <c r="Z617" s="180">
        <f>FME_Ranking1[[#This Row],[Closures Score (Normalized, Unweighted)]]*$X$3</f>
        <v>3.5222374093155297E-2</v>
      </c>
      <c r="AA617" s="253">
        <f>_xlfn.XLOOKUP(FME_Ranking1[[#This Row],[FME ID]],FME_Input[FME_ID],FME_Input[ROAD_MILES100])</f>
        <v>15.18857574462891</v>
      </c>
      <c r="AB617" s="178">
        <f>(FME_Ranking1[[#This Row],[Miles Raw]]/$AA$2)*100</f>
        <v>0.1997025290523681</v>
      </c>
      <c r="AC617" s="178">
        <f>FME_Ranking1[[#This Row],[Miles Score (Normalized, Unweighted)]]*$AA$3</f>
        <v>1.997025290523681E-2</v>
      </c>
      <c r="AD617" s="255">
        <f>_xlfn.XLOOKUP(FME_Ranking1[[#This Row],[FME ID]],FME_Input[FME_ID],FME_Input[FARMACRE100])</f>
        <v>1095.853271484375</v>
      </c>
      <c r="AE617" s="230">
        <f>(FME_Ranking1[[#This Row],[Ag Land Raw]]/$AD$2)*100</f>
        <v>4.5188083324802737E-2</v>
      </c>
      <c r="AF617" s="231">
        <f>FME_Ranking1[[#This Row],[Ag Land Score (Normalized, Unweighted)]]*$AD$3</f>
        <v>2.2594041662401371E-3</v>
      </c>
      <c r="AG61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0.25235903147318894</v>
      </c>
      <c r="AH617" s="406">
        <f t="shared" si="9"/>
        <v>688</v>
      </c>
      <c r="AI61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0.25235903147318894</v>
      </c>
      <c r="AJ617" s="257">
        <f>FME_Ranking1[[#This Row],[Addition check]]-FME_Ranking1[[#This Row],[Weighted Score Based on Normalized Reported Factors]]</f>
        <v>0</v>
      </c>
      <c r="AK617" s="178">
        <f>_xlfn.RANK.EQ(AI617,$AI$6:$AI$2341,0)+COUNTIF($AI$6:AI617,AI617)-1</f>
        <v>688</v>
      </c>
    </row>
    <row r="618" spans="1:37" x14ac:dyDescent="0.25">
      <c r="A618" t="s">
        <v>9945</v>
      </c>
      <c r="B618">
        <f>_xlfn.XLOOKUP(FME_Ranking1[[#This Row],[FME ID]],FME_Input[FME_ID],FME_Input[RFPG_NUM])</f>
        <v>13</v>
      </c>
      <c r="C618" t="str">
        <f>_xlfn.XLOOKUP(FME_Ranking1[[#This Row],[FME ID]],FME_Input[FME_ID],FME_Input[FME_NAME])</f>
        <v>Comprehensive Plan Update</v>
      </c>
      <c r="D618" t="str">
        <f>_xlfn.XLOOKUP(FME_Ranking1[[#This Row],[FME ID]],FME_Input[FME_ID],FME_Input[DESCR])</f>
        <v>Creation of Future Land Use Plan, Thoroughfare Plan, Site Plans for Planned Development, Parks Planning, Implementation</v>
      </c>
      <c r="E618" s="256">
        <f>_xlfn.XLOOKUP(FME_Ranking1[[#This Row],[FME ID]],FME_Input[FME_ID],FME_Input[FME_COST])</f>
        <v>200000</v>
      </c>
      <c r="F618" t="str">
        <f>_xlfn.XLOOKUP(FME_Ranking1[[#This Row],[FME ID]],FME_Input[FME_ID],FME_Input[EMER_NEED])</f>
        <v>Yes</v>
      </c>
      <c r="G618">
        <f>IF(FME_Ranking!F618="Yes",100,0)</f>
        <v>100</v>
      </c>
      <c r="H618">
        <f>FME_Ranking1[[#This Row],[Emergency Need Score (Normalized, Unweighted)]]*$F$3</f>
        <v>0</v>
      </c>
      <c r="I618" s="246">
        <f>_xlfn.XLOOKUP(FME_Ranking1[[#This Row],[FME ID]],FME_Input[FME_ID],FME_Input[STRUCT_100])</f>
        <v>592</v>
      </c>
      <c r="J618" s="178">
        <f>(FME_Ranking1[[#This Row],[Structures 100 Raw]]/I$2)*100</f>
        <v>0.31701152379728398</v>
      </c>
      <c r="K618" s="178">
        <f>FME_Ranking1[[#This Row],[Structures 100  Score (Normalized, Unweighted)]]*$I$3</f>
        <v>4.7551728569592597E-2</v>
      </c>
      <c r="L618" s="246">
        <f>_xlfn.XLOOKUP(FME_Ranking1[[#This Row],[FME ID]],FME_Input[FME_ID],FME_Input[RES_STRUCT100])</f>
        <v>425</v>
      </c>
      <c r="M618" s="230">
        <f>(FME_Ranking1[[#This Row],[Res Structures Raw]]/L$2)*100</f>
        <v>0.30102987632984374</v>
      </c>
      <c r="N618" s="180">
        <f>FME_Ranking1[[#This Row],[Res Structures Score (Normalized, Unweighted)]]*$L$3</f>
        <v>3.0102987632984374E-2</v>
      </c>
      <c r="O618" s="244">
        <f>_xlfn.XLOOKUP(FME_Ranking1[[#This Row],[FME ID]],FME_Input[FME_ID],FME_Input[POP100])</f>
        <v>2211</v>
      </c>
      <c r="P618" s="178">
        <f>(FME_Ranking1[[#This Row],[Pop Raw]]/$O$2)*100</f>
        <v>0.22635181480715563</v>
      </c>
      <c r="Q618" s="178">
        <f>FME_Ranking1[[#This Row],[Pop Score (Normalized, Unweighted)]]*$O$3</f>
        <v>3.3952772221073346E-2</v>
      </c>
      <c r="R618" s="137">
        <f>_xlfn.XLOOKUP(FME_Ranking1[[#This Row],[FME ID]],FME_Input[FME_ID],FME_Input[CRITFAC100])</f>
        <v>3</v>
      </c>
      <c r="S618" s="230">
        <f>(FME_Ranking1[[#This Row],[Critical Facilities Raw]]/$R$2)*100</f>
        <v>0.1286449399656947</v>
      </c>
      <c r="T618" s="180">
        <f>FME_Ranking1[[#This Row],[Critical Facilities Score (Normalized, Unweighted)]]*$R$3</f>
        <v>2.5728987993138941E-2</v>
      </c>
      <c r="U618">
        <f>_xlfn.XLOOKUP(FME_Ranking1[[#This Row],[FME ID]],FME_Input[FME_ID],FME_Input[LWC])</f>
        <v>5</v>
      </c>
      <c r="V618" s="178">
        <f>(FME_Ranking1[[#This Row],[LWC Raw]]/$U$2)*100</f>
        <v>0.28785261945883706</v>
      </c>
      <c r="W618" s="178">
        <f>FME_Ranking1[[#This Row],[LWC Score (Normalized, Unweighted)]]*$U$3</f>
        <v>5.7570523891767415E-2</v>
      </c>
      <c r="X618" s="246">
        <f>_xlfn.XLOOKUP(FME_Ranking1[[#This Row],[FME ID]],FME_Input[FME_ID],FME_Input[ROADCLS])</f>
        <v>67</v>
      </c>
      <c r="Y618" s="230">
        <f>(FME_Ranking1[[#This Row],[Closures Raw]]/$X$2)*100</f>
        <v>0.70444748186310591</v>
      </c>
      <c r="Z618" s="180">
        <f>FME_Ranking1[[#This Row],[Closures Score (Normalized, Unweighted)]]*$X$3</f>
        <v>3.5222374093155297E-2</v>
      </c>
      <c r="AA618" s="253">
        <f>_xlfn.XLOOKUP(FME_Ranking1[[#This Row],[FME ID]],FME_Input[FME_ID],FME_Input[ROAD_MILES100])</f>
        <v>15.18857574462891</v>
      </c>
      <c r="AB618" s="178">
        <f>(FME_Ranking1[[#This Row],[Miles Raw]]/$AA$2)*100</f>
        <v>0.1997025290523681</v>
      </c>
      <c r="AC618" s="178">
        <f>FME_Ranking1[[#This Row],[Miles Score (Normalized, Unweighted)]]*$AA$3</f>
        <v>1.997025290523681E-2</v>
      </c>
      <c r="AD618" s="255">
        <f>_xlfn.XLOOKUP(FME_Ranking1[[#This Row],[FME ID]],FME_Input[FME_ID],FME_Input[FARMACRE100])</f>
        <v>1095.853271484375</v>
      </c>
      <c r="AE618" s="230">
        <f>(FME_Ranking1[[#This Row],[Ag Land Raw]]/$AD$2)*100</f>
        <v>4.5188083324802737E-2</v>
      </c>
      <c r="AF618" s="231">
        <f>FME_Ranking1[[#This Row],[Ag Land Score (Normalized, Unweighted)]]*$AD$3</f>
        <v>2.2594041662401371E-3</v>
      </c>
      <c r="AG61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0.25235903147318894</v>
      </c>
      <c r="AH618" s="406">
        <f t="shared" si="9"/>
        <v>688</v>
      </c>
      <c r="AI61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0.25235903147318894</v>
      </c>
      <c r="AJ618" s="257">
        <f>FME_Ranking1[[#This Row],[Addition check]]-FME_Ranking1[[#This Row],[Weighted Score Based on Normalized Reported Factors]]</f>
        <v>0</v>
      </c>
      <c r="AK618" s="178">
        <f>_xlfn.RANK.EQ(AI618,$AI$6:$AI$2341,0)+COUNTIF($AI$6:AI618,AI618)-1</f>
        <v>689</v>
      </c>
    </row>
    <row r="619" spans="1:37" x14ac:dyDescent="0.25">
      <c r="A619" t="s">
        <v>9949</v>
      </c>
      <c r="B619">
        <f>_xlfn.XLOOKUP(FME_Ranking1[[#This Row],[FME ID]],FME_Input[FME_ID],FME_Input[RFPG_NUM])</f>
        <v>13</v>
      </c>
      <c r="C619" t="str">
        <f>_xlfn.XLOOKUP(FME_Ranking1[[#This Row],[FME ID]],FME_Input[FME_ID],FME_Input[FME_NAME])</f>
        <v>Flood mapping updates and hydrologic and hydraulic modeling</v>
      </c>
      <c r="D619" t="str">
        <f>_xlfn.XLOOKUP(FME_Ranking1[[#This Row],[FME ID]],FME_Input[FME_ID],FME_Input[DESCR])</f>
        <v>Scope would likely include updating the Hydrology and Hydraulic modeling for approximately 5 miles of study stream for the Hondo area. The goal would be to then use this data to apply to FEMA to update the flood mapping within the City and immediate area.</v>
      </c>
      <c r="E619" s="256">
        <f>_xlfn.XLOOKUP(FME_Ranking1[[#This Row],[FME ID]],FME_Input[FME_ID],FME_Input[FME_COST])</f>
        <v>523000</v>
      </c>
      <c r="F619" t="str">
        <f>_xlfn.XLOOKUP(FME_Ranking1[[#This Row],[FME ID]],FME_Input[FME_ID],FME_Input[EMER_NEED])</f>
        <v>Yes</v>
      </c>
      <c r="G619">
        <f>IF(FME_Ranking!F619="Yes",100,0)</f>
        <v>100</v>
      </c>
      <c r="H619">
        <f>FME_Ranking1[[#This Row],[Emergency Need Score (Normalized, Unweighted)]]*$F$3</f>
        <v>0</v>
      </c>
      <c r="I619" s="246">
        <f>_xlfn.XLOOKUP(FME_Ranking1[[#This Row],[FME ID]],FME_Input[FME_ID],FME_Input[STRUCT_100])</f>
        <v>592</v>
      </c>
      <c r="J619" s="178">
        <f>(FME_Ranking1[[#This Row],[Structures 100 Raw]]/I$2)*100</f>
        <v>0.31701152379728398</v>
      </c>
      <c r="K619" s="178">
        <f>FME_Ranking1[[#This Row],[Structures 100  Score (Normalized, Unweighted)]]*$I$3</f>
        <v>4.7551728569592597E-2</v>
      </c>
      <c r="L619" s="246">
        <f>_xlfn.XLOOKUP(FME_Ranking1[[#This Row],[FME ID]],FME_Input[FME_ID],FME_Input[RES_STRUCT100])</f>
        <v>425</v>
      </c>
      <c r="M619" s="230">
        <f>(FME_Ranking1[[#This Row],[Res Structures Raw]]/L$2)*100</f>
        <v>0.30102987632984374</v>
      </c>
      <c r="N619" s="180">
        <f>FME_Ranking1[[#This Row],[Res Structures Score (Normalized, Unweighted)]]*$L$3</f>
        <v>3.0102987632984374E-2</v>
      </c>
      <c r="O619" s="244">
        <f>_xlfn.XLOOKUP(FME_Ranking1[[#This Row],[FME ID]],FME_Input[FME_ID],FME_Input[POP100])</f>
        <v>2211</v>
      </c>
      <c r="P619" s="178">
        <f>(FME_Ranking1[[#This Row],[Pop Raw]]/$O$2)*100</f>
        <v>0.22635181480715563</v>
      </c>
      <c r="Q619" s="178">
        <f>FME_Ranking1[[#This Row],[Pop Score (Normalized, Unweighted)]]*$O$3</f>
        <v>3.3952772221073346E-2</v>
      </c>
      <c r="R619" s="137">
        <f>_xlfn.XLOOKUP(FME_Ranking1[[#This Row],[FME ID]],FME_Input[FME_ID],FME_Input[CRITFAC100])</f>
        <v>3</v>
      </c>
      <c r="S619" s="230">
        <f>(FME_Ranking1[[#This Row],[Critical Facilities Raw]]/$R$2)*100</f>
        <v>0.1286449399656947</v>
      </c>
      <c r="T619" s="180">
        <f>FME_Ranking1[[#This Row],[Critical Facilities Score (Normalized, Unweighted)]]*$R$3</f>
        <v>2.5728987993138941E-2</v>
      </c>
      <c r="U619">
        <f>_xlfn.XLOOKUP(FME_Ranking1[[#This Row],[FME ID]],FME_Input[FME_ID],FME_Input[LWC])</f>
        <v>5</v>
      </c>
      <c r="V619" s="178">
        <f>(FME_Ranking1[[#This Row],[LWC Raw]]/$U$2)*100</f>
        <v>0.28785261945883706</v>
      </c>
      <c r="W619" s="178">
        <f>FME_Ranking1[[#This Row],[LWC Score (Normalized, Unweighted)]]*$U$3</f>
        <v>5.7570523891767415E-2</v>
      </c>
      <c r="X619" s="246">
        <f>_xlfn.XLOOKUP(FME_Ranking1[[#This Row],[FME ID]],FME_Input[FME_ID],FME_Input[ROADCLS])</f>
        <v>67</v>
      </c>
      <c r="Y619" s="230">
        <f>(FME_Ranking1[[#This Row],[Closures Raw]]/$X$2)*100</f>
        <v>0.70444748186310591</v>
      </c>
      <c r="Z619" s="180">
        <f>FME_Ranking1[[#This Row],[Closures Score (Normalized, Unweighted)]]*$X$3</f>
        <v>3.5222374093155297E-2</v>
      </c>
      <c r="AA619" s="253">
        <f>_xlfn.XLOOKUP(FME_Ranking1[[#This Row],[FME ID]],FME_Input[FME_ID],FME_Input[ROAD_MILES100])</f>
        <v>15.18857574462891</v>
      </c>
      <c r="AB619" s="178">
        <f>(FME_Ranking1[[#This Row],[Miles Raw]]/$AA$2)*100</f>
        <v>0.1997025290523681</v>
      </c>
      <c r="AC619" s="178">
        <f>FME_Ranking1[[#This Row],[Miles Score (Normalized, Unweighted)]]*$AA$3</f>
        <v>1.997025290523681E-2</v>
      </c>
      <c r="AD619" s="255">
        <f>_xlfn.XLOOKUP(FME_Ranking1[[#This Row],[FME ID]],FME_Input[FME_ID],FME_Input[FARMACRE100])</f>
        <v>1095.853271484375</v>
      </c>
      <c r="AE619" s="230">
        <f>(FME_Ranking1[[#This Row],[Ag Land Raw]]/$AD$2)*100</f>
        <v>4.5188083324802737E-2</v>
      </c>
      <c r="AF619" s="231">
        <f>FME_Ranking1[[#This Row],[Ag Land Score (Normalized, Unweighted)]]*$AD$3</f>
        <v>2.2594041662401371E-3</v>
      </c>
      <c r="AG61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0.25235903147318894</v>
      </c>
      <c r="AH619" s="406">
        <f t="shared" si="9"/>
        <v>688</v>
      </c>
      <c r="AI61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0.25235903147318894</v>
      </c>
      <c r="AJ619" s="257">
        <f>FME_Ranking1[[#This Row],[Addition check]]-FME_Ranking1[[#This Row],[Weighted Score Based on Normalized Reported Factors]]</f>
        <v>0</v>
      </c>
      <c r="AK619" s="178">
        <f>_xlfn.RANK.EQ(AI619,$AI$6:$AI$2341,0)+COUNTIF($AI$6:AI619,AI619)-1</f>
        <v>690</v>
      </c>
    </row>
    <row r="620" spans="1:37" x14ac:dyDescent="0.25">
      <c r="A620" t="s">
        <v>9952</v>
      </c>
      <c r="B620">
        <f>_xlfn.XLOOKUP(FME_Ranking1[[#This Row],[FME ID]],FME_Input[FME_ID],FME_Input[RFPG_NUM])</f>
        <v>13</v>
      </c>
      <c r="C620" t="str">
        <f>_xlfn.XLOOKUP(FME_Ranking1[[#This Row],[FME ID]],FME_Input[FME_ID],FME_Input[FME_NAME])</f>
        <v>Drainage and Stormwater Master Plan</v>
      </c>
      <c r="D620" t="str">
        <f>_xlfn.XLOOKUP(FME_Ranking1[[#This Row],[FME ID]],FME_Input[FME_ID],FME_Input[DESCR])</f>
        <v>Restudy of the City’s floodplain and creation of a holistic plan for the City’s drainage and stormwater system. This data would then be used as a foundation to update the City’s Subdivision Ordinance and Building Codes to mitigate future flood risks.</v>
      </c>
      <c r="E620" s="256">
        <f>_xlfn.XLOOKUP(FME_Ranking1[[#This Row],[FME ID]],FME_Input[FME_ID],FME_Input[FME_COST])</f>
        <v>250000</v>
      </c>
      <c r="F620" t="str">
        <f>_xlfn.XLOOKUP(FME_Ranking1[[#This Row],[FME ID]],FME_Input[FME_ID],FME_Input[EMER_NEED])</f>
        <v>Yes</v>
      </c>
      <c r="G620">
        <f>IF(FME_Ranking!F620="Yes",100,0)</f>
        <v>100</v>
      </c>
      <c r="H620">
        <f>FME_Ranking1[[#This Row],[Emergency Need Score (Normalized, Unweighted)]]*$F$3</f>
        <v>0</v>
      </c>
      <c r="I620" s="246">
        <f>_xlfn.XLOOKUP(FME_Ranking1[[#This Row],[FME ID]],FME_Input[FME_ID],FME_Input[STRUCT_100])</f>
        <v>592</v>
      </c>
      <c r="J620" s="178">
        <f>(FME_Ranking1[[#This Row],[Structures 100 Raw]]/I$2)*100</f>
        <v>0.31701152379728398</v>
      </c>
      <c r="K620" s="178">
        <f>FME_Ranking1[[#This Row],[Structures 100  Score (Normalized, Unweighted)]]*$I$3</f>
        <v>4.7551728569592597E-2</v>
      </c>
      <c r="L620" s="246">
        <f>_xlfn.XLOOKUP(FME_Ranking1[[#This Row],[FME ID]],FME_Input[FME_ID],FME_Input[RES_STRUCT100])</f>
        <v>425</v>
      </c>
      <c r="M620" s="230">
        <f>(FME_Ranking1[[#This Row],[Res Structures Raw]]/L$2)*100</f>
        <v>0.30102987632984374</v>
      </c>
      <c r="N620" s="180">
        <f>FME_Ranking1[[#This Row],[Res Structures Score (Normalized, Unweighted)]]*$L$3</f>
        <v>3.0102987632984374E-2</v>
      </c>
      <c r="O620" s="244">
        <f>_xlfn.XLOOKUP(FME_Ranking1[[#This Row],[FME ID]],FME_Input[FME_ID],FME_Input[POP100])</f>
        <v>2211</v>
      </c>
      <c r="P620" s="178">
        <f>(FME_Ranking1[[#This Row],[Pop Raw]]/$O$2)*100</f>
        <v>0.22635181480715563</v>
      </c>
      <c r="Q620" s="178">
        <f>FME_Ranking1[[#This Row],[Pop Score (Normalized, Unweighted)]]*$O$3</f>
        <v>3.3952772221073346E-2</v>
      </c>
      <c r="R620" s="137">
        <f>_xlfn.XLOOKUP(FME_Ranking1[[#This Row],[FME ID]],FME_Input[FME_ID],FME_Input[CRITFAC100])</f>
        <v>3</v>
      </c>
      <c r="S620" s="230">
        <f>(FME_Ranking1[[#This Row],[Critical Facilities Raw]]/$R$2)*100</f>
        <v>0.1286449399656947</v>
      </c>
      <c r="T620" s="180">
        <f>FME_Ranking1[[#This Row],[Critical Facilities Score (Normalized, Unweighted)]]*$R$3</f>
        <v>2.5728987993138941E-2</v>
      </c>
      <c r="U620">
        <f>_xlfn.XLOOKUP(FME_Ranking1[[#This Row],[FME ID]],FME_Input[FME_ID],FME_Input[LWC])</f>
        <v>5</v>
      </c>
      <c r="V620" s="178">
        <f>(FME_Ranking1[[#This Row],[LWC Raw]]/$U$2)*100</f>
        <v>0.28785261945883706</v>
      </c>
      <c r="W620" s="178">
        <f>FME_Ranking1[[#This Row],[LWC Score (Normalized, Unweighted)]]*$U$3</f>
        <v>5.7570523891767415E-2</v>
      </c>
      <c r="X620" s="246">
        <f>_xlfn.XLOOKUP(FME_Ranking1[[#This Row],[FME ID]],FME_Input[FME_ID],FME_Input[ROADCLS])</f>
        <v>67</v>
      </c>
      <c r="Y620" s="230">
        <f>(FME_Ranking1[[#This Row],[Closures Raw]]/$X$2)*100</f>
        <v>0.70444748186310591</v>
      </c>
      <c r="Z620" s="180">
        <f>FME_Ranking1[[#This Row],[Closures Score (Normalized, Unweighted)]]*$X$3</f>
        <v>3.5222374093155297E-2</v>
      </c>
      <c r="AA620" s="253">
        <f>_xlfn.XLOOKUP(FME_Ranking1[[#This Row],[FME ID]],FME_Input[FME_ID],FME_Input[ROAD_MILES100])</f>
        <v>15.18857574462891</v>
      </c>
      <c r="AB620" s="178">
        <f>(FME_Ranking1[[#This Row],[Miles Raw]]/$AA$2)*100</f>
        <v>0.1997025290523681</v>
      </c>
      <c r="AC620" s="178">
        <f>FME_Ranking1[[#This Row],[Miles Score (Normalized, Unweighted)]]*$AA$3</f>
        <v>1.997025290523681E-2</v>
      </c>
      <c r="AD620" s="255">
        <f>_xlfn.XLOOKUP(FME_Ranking1[[#This Row],[FME ID]],FME_Input[FME_ID],FME_Input[FARMACRE100])</f>
        <v>1095.853271484375</v>
      </c>
      <c r="AE620" s="230">
        <f>(FME_Ranking1[[#This Row],[Ag Land Raw]]/$AD$2)*100</f>
        <v>4.5188083324802737E-2</v>
      </c>
      <c r="AF620" s="231">
        <f>FME_Ranking1[[#This Row],[Ag Land Score (Normalized, Unweighted)]]*$AD$3</f>
        <v>2.2594041662401371E-3</v>
      </c>
      <c r="AG62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0.25235903147318894</v>
      </c>
      <c r="AH620" s="406">
        <f t="shared" si="9"/>
        <v>688</v>
      </c>
      <c r="AI62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0.25235903147318894</v>
      </c>
      <c r="AJ620" s="257">
        <f>FME_Ranking1[[#This Row],[Addition check]]-FME_Ranking1[[#This Row],[Weighted Score Based on Normalized Reported Factors]]</f>
        <v>0</v>
      </c>
      <c r="AK620" s="178">
        <f>_xlfn.RANK.EQ(AI620,$AI$6:$AI$2341,0)+COUNTIF($AI$6:AI620,AI620)-1</f>
        <v>691</v>
      </c>
    </row>
    <row r="621" spans="1:37" x14ac:dyDescent="0.25">
      <c r="A621" t="s">
        <v>9955</v>
      </c>
      <c r="B621">
        <f>_xlfn.XLOOKUP(FME_Ranking1[[#This Row],[FME ID]],FME_Input[FME_ID],FME_Input[RFPG_NUM])</f>
        <v>13</v>
      </c>
      <c r="C621" t="str">
        <f>_xlfn.XLOOKUP(FME_Ranking1[[#This Row],[FME ID]],FME_Input[FME_ID],FME_Input[FME_NAME])</f>
        <v>Emergency Management Plan and Flood Hazard Mitigation Plan</v>
      </c>
      <c r="D621" t="str">
        <f>_xlfn.XLOOKUP(FME_Ranking1[[#This Row],[FME ID]],FME_Input[FME_ID],FME_Input[DESCR])</f>
        <v>Creation of a plan for disaster preparedness to decrease repetitive losses, financial hardship and loss of life.</v>
      </c>
      <c r="E621" s="256">
        <f>_xlfn.XLOOKUP(FME_Ranking1[[#This Row],[FME ID]],FME_Input[FME_ID],FME_Input[FME_COST])</f>
        <v>300000</v>
      </c>
      <c r="F621" t="str">
        <f>_xlfn.XLOOKUP(FME_Ranking1[[#This Row],[FME ID]],FME_Input[FME_ID],FME_Input[EMER_NEED])</f>
        <v>Yes</v>
      </c>
      <c r="G621">
        <f>IF(FME_Ranking!F621="Yes",100,0)</f>
        <v>100</v>
      </c>
      <c r="H621">
        <f>FME_Ranking1[[#This Row],[Emergency Need Score (Normalized, Unweighted)]]*$F$3</f>
        <v>0</v>
      </c>
      <c r="I621" s="246">
        <f>_xlfn.XLOOKUP(FME_Ranking1[[#This Row],[FME ID]],FME_Input[FME_ID],FME_Input[STRUCT_100])</f>
        <v>592</v>
      </c>
      <c r="J621" s="178">
        <f>(FME_Ranking1[[#This Row],[Structures 100 Raw]]/I$2)*100</f>
        <v>0.31701152379728398</v>
      </c>
      <c r="K621" s="178">
        <f>FME_Ranking1[[#This Row],[Structures 100  Score (Normalized, Unweighted)]]*$I$3</f>
        <v>4.7551728569592597E-2</v>
      </c>
      <c r="L621" s="246">
        <f>_xlfn.XLOOKUP(FME_Ranking1[[#This Row],[FME ID]],FME_Input[FME_ID],FME_Input[RES_STRUCT100])</f>
        <v>425</v>
      </c>
      <c r="M621" s="230">
        <f>(FME_Ranking1[[#This Row],[Res Structures Raw]]/L$2)*100</f>
        <v>0.30102987632984374</v>
      </c>
      <c r="N621" s="180">
        <f>FME_Ranking1[[#This Row],[Res Structures Score (Normalized, Unweighted)]]*$L$3</f>
        <v>3.0102987632984374E-2</v>
      </c>
      <c r="O621" s="244">
        <f>_xlfn.XLOOKUP(FME_Ranking1[[#This Row],[FME ID]],FME_Input[FME_ID],FME_Input[POP100])</f>
        <v>2211</v>
      </c>
      <c r="P621" s="178">
        <f>(FME_Ranking1[[#This Row],[Pop Raw]]/$O$2)*100</f>
        <v>0.22635181480715563</v>
      </c>
      <c r="Q621" s="178">
        <f>FME_Ranking1[[#This Row],[Pop Score (Normalized, Unweighted)]]*$O$3</f>
        <v>3.3952772221073346E-2</v>
      </c>
      <c r="R621" s="137">
        <f>_xlfn.XLOOKUP(FME_Ranking1[[#This Row],[FME ID]],FME_Input[FME_ID],FME_Input[CRITFAC100])</f>
        <v>3</v>
      </c>
      <c r="S621" s="230">
        <f>(FME_Ranking1[[#This Row],[Critical Facilities Raw]]/$R$2)*100</f>
        <v>0.1286449399656947</v>
      </c>
      <c r="T621" s="180">
        <f>FME_Ranking1[[#This Row],[Critical Facilities Score (Normalized, Unweighted)]]*$R$3</f>
        <v>2.5728987993138941E-2</v>
      </c>
      <c r="U621">
        <f>_xlfn.XLOOKUP(FME_Ranking1[[#This Row],[FME ID]],FME_Input[FME_ID],FME_Input[LWC])</f>
        <v>5</v>
      </c>
      <c r="V621" s="178">
        <f>(FME_Ranking1[[#This Row],[LWC Raw]]/$U$2)*100</f>
        <v>0.28785261945883706</v>
      </c>
      <c r="W621" s="178">
        <f>FME_Ranking1[[#This Row],[LWC Score (Normalized, Unweighted)]]*$U$3</f>
        <v>5.7570523891767415E-2</v>
      </c>
      <c r="X621" s="246">
        <f>_xlfn.XLOOKUP(FME_Ranking1[[#This Row],[FME ID]],FME_Input[FME_ID],FME_Input[ROADCLS])</f>
        <v>67</v>
      </c>
      <c r="Y621" s="230">
        <f>(FME_Ranking1[[#This Row],[Closures Raw]]/$X$2)*100</f>
        <v>0.70444748186310591</v>
      </c>
      <c r="Z621" s="180">
        <f>FME_Ranking1[[#This Row],[Closures Score (Normalized, Unweighted)]]*$X$3</f>
        <v>3.5222374093155297E-2</v>
      </c>
      <c r="AA621" s="253">
        <f>_xlfn.XLOOKUP(FME_Ranking1[[#This Row],[FME ID]],FME_Input[FME_ID],FME_Input[ROAD_MILES100])</f>
        <v>15.18857574462891</v>
      </c>
      <c r="AB621" s="178">
        <f>(FME_Ranking1[[#This Row],[Miles Raw]]/$AA$2)*100</f>
        <v>0.1997025290523681</v>
      </c>
      <c r="AC621" s="178">
        <f>FME_Ranking1[[#This Row],[Miles Score (Normalized, Unweighted)]]*$AA$3</f>
        <v>1.997025290523681E-2</v>
      </c>
      <c r="AD621" s="255">
        <f>_xlfn.XLOOKUP(FME_Ranking1[[#This Row],[FME ID]],FME_Input[FME_ID],FME_Input[FARMACRE100])</f>
        <v>1095.853271484375</v>
      </c>
      <c r="AE621" s="230">
        <f>(FME_Ranking1[[#This Row],[Ag Land Raw]]/$AD$2)*100</f>
        <v>4.5188083324802737E-2</v>
      </c>
      <c r="AF621" s="231">
        <f>FME_Ranking1[[#This Row],[Ag Land Score (Normalized, Unweighted)]]*$AD$3</f>
        <v>2.2594041662401371E-3</v>
      </c>
      <c r="AG62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0.25235903147318894</v>
      </c>
      <c r="AH621" s="406">
        <f t="shared" si="9"/>
        <v>688</v>
      </c>
      <c r="AI62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0.25235903147318894</v>
      </c>
      <c r="AJ621" s="257">
        <f>FME_Ranking1[[#This Row],[Addition check]]-FME_Ranking1[[#This Row],[Weighted Score Based on Normalized Reported Factors]]</f>
        <v>0</v>
      </c>
      <c r="AK621" s="178">
        <f>_xlfn.RANK.EQ(AI621,$AI$6:$AI$2341,0)+COUNTIF($AI$6:AI621,AI621)-1</f>
        <v>692</v>
      </c>
    </row>
    <row r="622" spans="1:37" x14ac:dyDescent="0.25">
      <c r="A622" t="s">
        <v>9958</v>
      </c>
      <c r="B622">
        <f>_xlfn.XLOOKUP(FME_Ranking1[[#This Row],[FME ID]],FME_Input[FME_ID],FME_Input[RFPG_NUM])</f>
        <v>13</v>
      </c>
      <c r="C622" t="str">
        <f>_xlfn.XLOOKUP(FME_Ranking1[[#This Row],[FME ID]],FME_Input[FME_ID],FME_Input[FME_NAME])</f>
        <v>Feasibility Study for Regional detention</v>
      </c>
      <c r="D622" t="str">
        <f>_xlfn.XLOOKUP(FME_Ranking1[[#This Row],[FME ID]],FME_Input[FME_ID],FME_Input[DESCR])</f>
        <v>Create a feasibility study for Regional Detention areas to be incorporated into comprehensive drainage planning projects.</v>
      </c>
      <c r="E622" s="256">
        <f>_xlfn.XLOOKUP(FME_Ranking1[[#This Row],[FME ID]],FME_Input[FME_ID],FME_Input[FME_COST])</f>
        <v>250000</v>
      </c>
      <c r="F622" t="str">
        <f>_xlfn.XLOOKUP(FME_Ranking1[[#This Row],[FME ID]],FME_Input[FME_ID],FME_Input[EMER_NEED])</f>
        <v>Yes</v>
      </c>
      <c r="G622">
        <f>IF(FME_Ranking!F622="Yes",100,0)</f>
        <v>100</v>
      </c>
      <c r="H622">
        <f>FME_Ranking1[[#This Row],[Emergency Need Score (Normalized, Unweighted)]]*$F$3</f>
        <v>0</v>
      </c>
      <c r="I622" s="246">
        <f>_xlfn.XLOOKUP(FME_Ranking1[[#This Row],[FME ID]],FME_Input[FME_ID],FME_Input[STRUCT_100])</f>
        <v>592</v>
      </c>
      <c r="J622" s="178">
        <f>(FME_Ranking1[[#This Row],[Structures 100 Raw]]/I$2)*100</f>
        <v>0.31701152379728398</v>
      </c>
      <c r="K622" s="178">
        <f>FME_Ranking1[[#This Row],[Structures 100  Score (Normalized, Unweighted)]]*$I$3</f>
        <v>4.7551728569592597E-2</v>
      </c>
      <c r="L622" s="246">
        <f>_xlfn.XLOOKUP(FME_Ranking1[[#This Row],[FME ID]],FME_Input[FME_ID],FME_Input[RES_STRUCT100])</f>
        <v>425</v>
      </c>
      <c r="M622" s="230">
        <f>(FME_Ranking1[[#This Row],[Res Structures Raw]]/L$2)*100</f>
        <v>0.30102987632984374</v>
      </c>
      <c r="N622" s="180">
        <f>FME_Ranking1[[#This Row],[Res Structures Score (Normalized, Unweighted)]]*$L$3</f>
        <v>3.0102987632984374E-2</v>
      </c>
      <c r="O622" s="244">
        <f>_xlfn.XLOOKUP(FME_Ranking1[[#This Row],[FME ID]],FME_Input[FME_ID],FME_Input[POP100])</f>
        <v>2211</v>
      </c>
      <c r="P622" s="178">
        <f>(FME_Ranking1[[#This Row],[Pop Raw]]/$O$2)*100</f>
        <v>0.22635181480715563</v>
      </c>
      <c r="Q622" s="178">
        <f>FME_Ranking1[[#This Row],[Pop Score (Normalized, Unweighted)]]*$O$3</f>
        <v>3.3952772221073346E-2</v>
      </c>
      <c r="R622" s="137">
        <f>_xlfn.XLOOKUP(FME_Ranking1[[#This Row],[FME ID]],FME_Input[FME_ID],FME_Input[CRITFAC100])</f>
        <v>3</v>
      </c>
      <c r="S622" s="230">
        <f>(FME_Ranking1[[#This Row],[Critical Facilities Raw]]/$R$2)*100</f>
        <v>0.1286449399656947</v>
      </c>
      <c r="T622" s="180">
        <f>FME_Ranking1[[#This Row],[Critical Facilities Score (Normalized, Unweighted)]]*$R$3</f>
        <v>2.5728987993138941E-2</v>
      </c>
      <c r="U622">
        <f>_xlfn.XLOOKUP(FME_Ranking1[[#This Row],[FME ID]],FME_Input[FME_ID],FME_Input[LWC])</f>
        <v>5</v>
      </c>
      <c r="V622" s="178">
        <f>(FME_Ranking1[[#This Row],[LWC Raw]]/$U$2)*100</f>
        <v>0.28785261945883706</v>
      </c>
      <c r="W622" s="178">
        <f>FME_Ranking1[[#This Row],[LWC Score (Normalized, Unweighted)]]*$U$3</f>
        <v>5.7570523891767415E-2</v>
      </c>
      <c r="X622" s="246">
        <f>_xlfn.XLOOKUP(FME_Ranking1[[#This Row],[FME ID]],FME_Input[FME_ID],FME_Input[ROADCLS])</f>
        <v>67</v>
      </c>
      <c r="Y622" s="230">
        <f>(FME_Ranking1[[#This Row],[Closures Raw]]/$X$2)*100</f>
        <v>0.70444748186310591</v>
      </c>
      <c r="Z622" s="180">
        <f>FME_Ranking1[[#This Row],[Closures Score (Normalized, Unweighted)]]*$X$3</f>
        <v>3.5222374093155297E-2</v>
      </c>
      <c r="AA622" s="253">
        <f>_xlfn.XLOOKUP(FME_Ranking1[[#This Row],[FME ID]],FME_Input[FME_ID],FME_Input[ROAD_MILES100])</f>
        <v>15.18857574462891</v>
      </c>
      <c r="AB622" s="178">
        <f>(FME_Ranking1[[#This Row],[Miles Raw]]/$AA$2)*100</f>
        <v>0.1997025290523681</v>
      </c>
      <c r="AC622" s="178">
        <f>FME_Ranking1[[#This Row],[Miles Score (Normalized, Unweighted)]]*$AA$3</f>
        <v>1.997025290523681E-2</v>
      </c>
      <c r="AD622" s="255">
        <f>_xlfn.XLOOKUP(FME_Ranking1[[#This Row],[FME ID]],FME_Input[FME_ID],FME_Input[FARMACRE100])</f>
        <v>1095.853271484375</v>
      </c>
      <c r="AE622" s="230">
        <f>(FME_Ranking1[[#This Row],[Ag Land Raw]]/$AD$2)*100</f>
        <v>4.5188083324802737E-2</v>
      </c>
      <c r="AF622" s="231">
        <f>FME_Ranking1[[#This Row],[Ag Land Score (Normalized, Unweighted)]]*$AD$3</f>
        <v>2.2594041662401371E-3</v>
      </c>
      <c r="AG62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0.25235903147318894</v>
      </c>
      <c r="AH622" s="406">
        <f t="shared" si="9"/>
        <v>688</v>
      </c>
      <c r="AI62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0.25235903147318894</v>
      </c>
      <c r="AJ622" s="257">
        <f>FME_Ranking1[[#This Row],[Addition check]]-FME_Ranking1[[#This Row],[Weighted Score Based on Normalized Reported Factors]]</f>
        <v>0</v>
      </c>
      <c r="AK622" s="178">
        <f>_xlfn.RANK.EQ(AI622,$AI$6:$AI$2341,0)+COUNTIF($AI$6:AI622,AI622)-1</f>
        <v>693</v>
      </c>
    </row>
    <row r="623" spans="1:37" x14ac:dyDescent="0.25">
      <c r="A623" t="s">
        <v>766</v>
      </c>
      <c r="B623">
        <f>_xlfn.XLOOKUP(FME_Ranking1[[#This Row],[FME ID]],FME_Input[FME_ID],FME_Input[RFPG_NUM])</f>
        <v>6</v>
      </c>
      <c r="C623" t="str">
        <f>_xlfn.XLOOKUP(FME_Ranking1[[#This Row],[FME ID]],FME_Input[FME_ID],FME_Input[FME_NAME])</f>
        <v>Valley - Stewarts Creek Watershed</v>
      </c>
      <c r="D623" t="str">
        <f>_xlfn.XLOOKUP(FME_Ranking1[[#This Row],[FME ID]],FME_Input[FME_ID],FME_Input[DESCR])</f>
        <v>Develop a benefits cost analysis in support of this project identied in the City of Conroe Master Drainage Plan.</v>
      </c>
      <c r="E623" s="256">
        <f>_xlfn.XLOOKUP(FME_Ranking1[[#This Row],[FME ID]],FME_Input[FME_ID],FME_Input[FME_COST])</f>
        <v>30000</v>
      </c>
      <c r="F623" t="str">
        <f>_xlfn.XLOOKUP(FME_Ranking1[[#This Row],[FME ID]],FME_Input[FME_ID],FME_Input[EMER_NEED])</f>
        <v>No</v>
      </c>
      <c r="G623">
        <f>IF(FME_Ranking!F623="Yes",100,0)</f>
        <v>0</v>
      </c>
      <c r="H623">
        <f>FME_Ranking1[[#This Row],[Emergency Need Score (Normalized, Unweighted)]]*$F$3</f>
        <v>0</v>
      </c>
      <c r="I623" s="246">
        <f>_xlfn.XLOOKUP(FME_Ranking1[[#This Row],[FME ID]],FME_Input[FME_ID],FME_Input[STRUCT_100])</f>
        <v>374</v>
      </c>
      <c r="J623" s="178">
        <f>(FME_Ranking1[[#This Row],[Structures 100 Raw]]/I$2)*100</f>
        <v>0.20027417212868953</v>
      </c>
      <c r="K623" s="178">
        <f>FME_Ranking1[[#This Row],[Structures 100  Score (Normalized, Unweighted)]]*$I$3</f>
        <v>3.0041125819303429E-2</v>
      </c>
      <c r="L623" s="246">
        <f>_xlfn.XLOOKUP(FME_Ranking1[[#This Row],[FME ID]],FME_Input[FME_ID],FME_Input[RES_STRUCT100])</f>
        <v>277</v>
      </c>
      <c r="M623" s="230">
        <f>(FME_Ranking1[[#This Row],[Res Structures Raw]]/L$2)*100</f>
        <v>0.19620064880792168</v>
      </c>
      <c r="N623" s="180">
        <f>FME_Ranking1[[#This Row],[Res Structures Score (Normalized, Unweighted)]]*$L$3</f>
        <v>1.9620064880792168E-2</v>
      </c>
      <c r="O623" s="244">
        <f>_xlfn.XLOOKUP(FME_Ranking1[[#This Row],[FME ID]],FME_Input[FME_ID],FME_Input[POP100])</f>
        <v>2384</v>
      </c>
      <c r="P623" s="178">
        <f>(FME_Ranking1[[#This Row],[Pop Raw]]/$O$2)*100</f>
        <v>0.24406274378121168</v>
      </c>
      <c r="Q623" s="178">
        <f>FME_Ranking1[[#This Row],[Pop Score (Normalized, Unweighted)]]*$O$3</f>
        <v>3.6609411567181747E-2</v>
      </c>
      <c r="R623" s="137">
        <f>_xlfn.XLOOKUP(FME_Ranking1[[#This Row],[FME ID]],FME_Input[FME_ID],FME_Input[CRITFAC100])</f>
        <v>7</v>
      </c>
      <c r="S623" s="230">
        <f>(FME_Ranking1[[#This Row],[Critical Facilities Raw]]/$R$2)*100</f>
        <v>0.30017152658662088</v>
      </c>
      <c r="T623" s="180">
        <f>FME_Ranking1[[#This Row],[Critical Facilities Score (Normalized, Unweighted)]]*$R$3</f>
        <v>6.0034305317324177E-2</v>
      </c>
      <c r="U623">
        <f>_xlfn.XLOOKUP(FME_Ranking1[[#This Row],[FME ID]],FME_Input[FME_ID],FME_Input[LWC])</f>
        <v>7</v>
      </c>
      <c r="V623" s="178">
        <f>(FME_Ranking1[[#This Row],[LWC Raw]]/$U$2)*100</f>
        <v>0.40299366724237184</v>
      </c>
      <c r="W623" s="178">
        <f>FME_Ranking1[[#This Row],[LWC Score (Normalized, Unweighted)]]*$U$3</f>
        <v>8.0598733448474374E-2</v>
      </c>
      <c r="X623" s="246">
        <f>_xlfn.XLOOKUP(FME_Ranking1[[#This Row],[FME ID]],FME_Input[FME_ID],FME_Input[ROADCLS])</f>
        <v>7</v>
      </c>
      <c r="Y623" s="230">
        <f>(FME_Ranking1[[#This Row],[Closures Raw]]/$X$2)*100</f>
        <v>7.3598990642414042E-2</v>
      </c>
      <c r="Z623" s="180">
        <f>FME_Ranking1[[#This Row],[Closures Score (Normalized, Unweighted)]]*$X$3</f>
        <v>3.6799495321207022E-3</v>
      </c>
      <c r="AA623" s="253">
        <f>_xlfn.XLOOKUP(FME_Ranking1[[#This Row],[FME ID]],FME_Input[FME_ID],FME_Input[ROAD_MILES100])</f>
        <v>10.31031703948975</v>
      </c>
      <c r="AB623" s="178">
        <f>(FME_Ranking1[[#This Row],[Miles Raw]]/$AA$2)*100</f>
        <v>0.13556217664753353</v>
      </c>
      <c r="AC623" s="178">
        <f>FME_Ranking1[[#This Row],[Miles Score (Normalized, Unweighted)]]*$AA$3</f>
        <v>1.3556217664753354E-2</v>
      </c>
      <c r="AD623" s="255">
        <f>_xlfn.XLOOKUP(FME_Ranking1[[#This Row],[FME ID]],FME_Input[FME_ID],FME_Input[FARMACRE100])</f>
        <v>6.7241411209106454</v>
      </c>
      <c r="AE623" s="230">
        <f>(FME_Ranking1[[#This Row],[Ag Land Raw]]/$AD$2)*100</f>
        <v>2.772734791838189E-4</v>
      </c>
      <c r="AF623" s="231">
        <f>FME_Ranking1[[#This Row],[Ag Land Score (Normalized, Unweighted)]]*$AD$3</f>
        <v>1.3863673959190945E-5</v>
      </c>
      <c r="AG62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0.24415367190390913</v>
      </c>
      <c r="AH623" s="406">
        <f t="shared" si="9"/>
        <v>714</v>
      </c>
      <c r="AI62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0.24415367190390913</v>
      </c>
      <c r="AJ623" s="257">
        <f>FME_Ranking1[[#This Row],[Addition check]]-FME_Ranking1[[#This Row],[Weighted Score Based on Normalized Reported Factors]]</f>
        <v>0</v>
      </c>
      <c r="AK623" s="178">
        <f>_xlfn.RANK.EQ(AI623,$AI$6:$AI$2341,0)+COUNTIF($AI$6:AI623,AI623)-1</f>
        <v>714</v>
      </c>
    </row>
    <row r="624" spans="1:37" x14ac:dyDescent="0.25">
      <c r="A624" t="s">
        <v>770</v>
      </c>
      <c r="B624">
        <f>_xlfn.XLOOKUP(FME_Ranking1[[#This Row],[FME ID]],FME_Input[FME_ID],FME_Input[RFPG_NUM])</f>
        <v>6</v>
      </c>
      <c r="C624" t="str">
        <f>_xlfn.XLOOKUP(FME_Ranking1[[#This Row],[FME ID]],FME_Input[FME_ID],FME_Input[FME_NAME])</f>
        <v>Hunnington - Stewarts Creek Watershed</v>
      </c>
      <c r="D624" t="str">
        <f>_xlfn.XLOOKUP(FME_Ranking1[[#This Row],[FME ID]],FME_Input[FME_ID],FME_Input[DESCR])</f>
        <v>Develop a benefits cost analysis in support of this project identied in the City of Conroe Master Drainage Plan.</v>
      </c>
      <c r="E624" s="256">
        <f>_xlfn.XLOOKUP(FME_Ranking1[[#This Row],[FME ID]],FME_Input[FME_ID],FME_Input[FME_COST])</f>
        <v>30000</v>
      </c>
      <c r="F624" t="str">
        <f>_xlfn.XLOOKUP(FME_Ranking1[[#This Row],[FME ID]],FME_Input[FME_ID],FME_Input[EMER_NEED])</f>
        <v>No</v>
      </c>
      <c r="G624">
        <f>IF(FME_Ranking!F624="Yes",100,0)</f>
        <v>0</v>
      </c>
      <c r="H624">
        <f>FME_Ranking1[[#This Row],[Emergency Need Score (Normalized, Unweighted)]]*$F$3</f>
        <v>0</v>
      </c>
      <c r="I624" s="246">
        <f>_xlfn.XLOOKUP(FME_Ranking1[[#This Row],[FME ID]],FME_Input[FME_ID],FME_Input[STRUCT_100])</f>
        <v>374</v>
      </c>
      <c r="J624" s="178">
        <f>(FME_Ranking1[[#This Row],[Structures 100 Raw]]/I$2)*100</f>
        <v>0.20027417212868953</v>
      </c>
      <c r="K624" s="178">
        <f>FME_Ranking1[[#This Row],[Structures 100  Score (Normalized, Unweighted)]]*$I$3</f>
        <v>3.0041125819303429E-2</v>
      </c>
      <c r="L624" s="246">
        <f>_xlfn.XLOOKUP(FME_Ranking1[[#This Row],[FME ID]],FME_Input[FME_ID],FME_Input[RES_STRUCT100])</f>
        <v>277</v>
      </c>
      <c r="M624" s="230">
        <f>(FME_Ranking1[[#This Row],[Res Structures Raw]]/L$2)*100</f>
        <v>0.19620064880792168</v>
      </c>
      <c r="N624" s="180">
        <f>FME_Ranking1[[#This Row],[Res Structures Score (Normalized, Unweighted)]]*$L$3</f>
        <v>1.9620064880792168E-2</v>
      </c>
      <c r="O624" s="244">
        <f>_xlfn.XLOOKUP(FME_Ranking1[[#This Row],[FME ID]],FME_Input[FME_ID],FME_Input[POP100])</f>
        <v>2384</v>
      </c>
      <c r="P624" s="178">
        <f>(FME_Ranking1[[#This Row],[Pop Raw]]/$O$2)*100</f>
        <v>0.24406274378121168</v>
      </c>
      <c r="Q624" s="178">
        <f>FME_Ranking1[[#This Row],[Pop Score (Normalized, Unweighted)]]*$O$3</f>
        <v>3.6609411567181747E-2</v>
      </c>
      <c r="R624" s="137">
        <f>_xlfn.XLOOKUP(FME_Ranking1[[#This Row],[FME ID]],FME_Input[FME_ID],FME_Input[CRITFAC100])</f>
        <v>7</v>
      </c>
      <c r="S624" s="230">
        <f>(FME_Ranking1[[#This Row],[Critical Facilities Raw]]/$R$2)*100</f>
        <v>0.30017152658662088</v>
      </c>
      <c r="T624" s="180">
        <f>FME_Ranking1[[#This Row],[Critical Facilities Score (Normalized, Unweighted)]]*$R$3</f>
        <v>6.0034305317324177E-2</v>
      </c>
      <c r="U624">
        <f>_xlfn.XLOOKUP(FME_Ranking1[[#This Row],[FME ID]],FME_Input[FME_ID],FME_Input[LWC])</f>
        <v>7</v>
      </c>
      <c r="V624" s="178">
        <f>(FME_Ranking1[[#This Row],[LWC Raw]]/$U$2)*100</f>
        <v>0.40299366724237184</v>
      </c>
      <c r="W624" s="178">
        <f>FME_Ranking1[[#This Row],[LWC Score (Normalized, Unweighted)]]*$U$3</f>
        <v>8.0598733448474374E-2</v>
      </c>
      <c r="X624" s="246">
        <f>_xlfn.XLOOKUP(FME_Ranking1[[#This Row],[FME ID]],FME_Input[FME_ID],FME_Input[ROADCLS])</f>
        <v>7</v>
      </c>
      <c r="Y624" s="230">
        <f>(FME_Ranking1[[#This Row],[Closures Raw]]/$X$2)*100</f>
        <v>7.3598990642414042E-2</v>
      </c>
      <c r="Z624" s="180">
        <f>FME_Ranking1[[#This Row],[Closures Score (Normalized, Unweighted)]]*$X$3</f>
        <v>3.6799495321207022E-3</v>
      </c>
      <c r="AA624" s="253">
        <f>_xlfn.XLOOKUP(FME_Ranking1[[#This Row],[FME ID]],FME_Input[FME_ID],FME_Input[ROAD_MILES100])</f>
        <v>10.31031703948975</v>
      </c>
      <c r="AB624" s="178">
        <f>(FME_Ranking1[[#This Row],[Miles Raw]]/$AA$2)*100</f>
        <v>0.13556217664753353</v>
      </c>
      <c r="AC624" s="178">
        <f>FME_Ranking1[[#This Row],[Miles Score (Normalized, Unweighted)]]*$AA$3</f>
        <v>1.3556217664753354E-2</v>
      </c>
      <c r="AD624" s="255">
        <f>_xlfn.XLOOKUP(FME_Ranking1[[#This Row],[FME ID]],FME_Input[FME_ID],FME_Input[FARMACRE100])</f>
        <v>6.7241411209106454</v>
      </c>
      <c r="AE624" s="230">
        <f>(FME_Ranking1[[#This Row],[Ag Land Raw]]/$AD$2)*100</f>
        <v>2.772734791838189E-4</v>
      </c>
      <c r="AF624" s="231">
        <f>FME_Ranking1[[#This Row],[Ag Land Score (Normalized, Unweighted)]]*$AD$3</f>
        <v>1.3863673959190945E-5</v>
      </c>
      <c r="AG62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0.24415367190390913</v>
      </c>
      <c r="AH624" s="406">
        <f t="shared" si="9"/>
        <v>714</v>
      </c>
      <c r="AI62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0.24415367190390913</v>
      </c>
      <c r="AJ624" s="257">
        <f>FME_Ranking1[[#This Row],[Addition check]]-FME_Ranking1[[#This Row],[Weighted Score Based on Normalized Reported Factors]]</f>
        <v>0</v>
      </c>
      <c r="AK624" s="178">
        <f>_xlfn.RANK.EQ(AI624,$AI$6:$AI$2341,0)+COUNTIF($AI$6:AI624,AI624)-1</f>
        <v>715</v>
      </c>
    </row>
    <row r="625" spans="1:37" x14ac:dyDescent="0.25">
      <c r="A625" t="s">
        <v>772</v>
      </c>
      <c r="B625">
        <f>_xlfn.XLOOKUP(FME_Ranking1[[#This Row],[FME ID]],FME_Input[FME_ID],FME_Input[RFPG_NUM])</f>
        <v>6</v>
      </c>
      <c r="C625" t="str">
        <f>_xlfn.XLOOKUP(FME_Ranking1[[#This Row],[FME ID]],FME_Input[FME_ID],FME_Input[FME_NAME])</f>
        <v>Avenue M - Stewarts Creek Watershed</v>
      </c>
      <c r="D625" t="str">
        <f>_xlfn.XLOOKUP(FME_Ranking1[[#This Row],[FME ID]],FME_Input[FME_ID],FME_Input[DESCR])</f>
        <v>Develop a benefits cost analysis in support of this project identied in the City of Conroe Master Drainage Plan.</v>
      </c>
      <c r="E625" s="256">
        <f>_xlfn.XLOOKUP(FME_Ranking1[[#This Row],[FME ID]],FME_Input[FME_ID],FME_Input[FME_COST])</f>
        <v>30000</v>
      </c>
      <c r="F625" t="str">
        <f>_xlfn.XLOOKUP(FME_Ranking1[[#This Row],[FME ID]],FME_Input[FME_ID],FME_Input[EMER_NEED])</f>
        <v>No</v>
      </c>
      <c r="G625">
        <f>IF(FME_Ranking!F625="Yes",100,0)</f>
        <v>0</v>
      </c>
      <c r="H625">
        <f>FME_Ranking1[[#This Row],[Emergency Need Score (Normalized, Unweighted)]]*$F$3</f>
        <v>0</v>
      </c>
      <c r="I625" s="246">
        <f>_xlfn.XLOOKUP(FME_Ranking1[[#This Row],[FME ID]],FME_Input[FME_ID],FME_Input[STRUCT_100])</f>
        <v>374</v>
      </c>
      <c r="J625" s="178">
        <f>(FME_Ranking1[[#This Row],[Structures 100 Raw]]/I$2)*100</f>
        <v>0.20027417212868953</v>
      </c>
      <c r="K625" s="178">
        <f>FME_Ranking1[[#This Row],[Structures 100  Score (Normalized, Unweighted)]]*$I$3</f>
        <v>3.0041125819303429E-2</v>
      </c>
      <c r="L625" s="246">
        <f>_xlfn.XLOOKUP(FME_Ranking1[[#This Row],[FME ID]],FME_Input[FME_ID],FME_Input[RES_STRUCT100])</f>
        <v>277</v>
      </c>
      <c r="M625" s="230">
        <f>(FME_Ranking1[[#This Row],[Res Structures Raw]]/L$2)*100</f>
        <v>0.19620064880792168</v>
      </c>
      <c r="N625" s="180">
        <f>FME_Ranking1[[#This Row],[Res Structures Score (Normalized, Unweighted)]]*$L$3</f>
        <v>1.9620064880792168E-2</v>
      </c>
      <c r="O625" s="244">
        <f>_xlfn.XLOOKUP(FME_Ranking1[[#This Row],[FME ID]],FME_Input[FME_ID],FME_Input[POP100])</f>
        <v>2384</v>
      </c>
      <c r="P625" s="178">
        <f>(FME_Ranking1[[#This Row],[Pop Raw]]/$O$2)*100</f>
        <v>0.24406274378121168</v>
      </c>
      <c r="Q625" s="178">
        <f>FME_Ranking1[[#This Row],[Pop Score (Normalized, Unweighted)]]*$O$3</f>
        <v>3.6609411567181747E-2</v>
      </c>
      <c r="R625" s="137">
        <f>_xlfn.XLOOKUP(FME_Ranking1[[#This Row],[FME ID]],FME_Input[FME_ID],FME_Input[CRITFAC100])</f>
        <v>7</v>
      </c>
      <c r="S625" s="230">
        <f>(FME_Ranking1[[#This Row],[Critical Facilities Raw]]/$R$2)*100</f>
        <v>0.30017152658662088</v>
      </c>
      <c r="T625" s="180">
        <f>FME_Ranking1[[#This Row],[Critical Facilities Score (Normalized, Unweighted)]]*$R$3</f>
        <v>6.0034305317324177E-2</v>
      </c>
      <c r="U625">
        <f>_xlfn.XLOOKUP(FME_Ranking1[[#This Row],[FME ID]],FME_Input[FME_ID],FME_Input[LWC])</f>
        <v>7</v>
      </c>
      <c r="V625" s="178">
        <f>(FME_Ranking1[[#This Row],[LWC Raw]]/$U$2)*100</f>
        <v>0.40299366724237184</v>
      </c>
      <c r="W625" s="178">
        <f>FME_Ranking1[[#This Row],[LWC Score (Normalized, Unweighted)]]*$U$3</f>
        <v>8.0598733448474374E-2</v>
      </c>
      <c r="X625" s="246">
        <f>_xlfn.XLOOKUP(FME_Ranking1[[#This Row],[FME ID]],FME_Input[FME_ID],FME_Input[ROADCLS])</f>
        <v>7</v>
      </c>
      <c r="Y625" s="230">
        <f>(FME_Ranking1[[#This Row],[Closures Raw]]/$X$2)*100</f>
        <v>7.3598990642414042E-2</v>
      </c>
      <c r="Z625" s="180">
        <f>FME_Ranking1[[#This Row],[Closures Score (Normalized, Unweighted)]]*$X$3</f>
        <v>3.6799495321207022E-3</v>
      </c>
      <c r="AA625" s="253">
        <f>_xlfn.XLOOKUP(FME_Ranking1[[#This Row],[FME ID]],FME_Input[FME_ID],FME_Input[ROAD_MILES100])</f>
        <v>10.31031703948975</v>
      </c>
      <c r="AB625" s="178">
        <f>(FME_Ranking1[[#This Row],[Miles Raw]]/$AA$2)*100</f>
        <v>0.13556217664753353</v>
      </c>
      <c r="AC625" s="178">
        <f>FME_Ranking1[[#This Row],[Miles Score (Normalized, Unweighted)]]*$AA$3</f>
        <v>1.3556217664753354E-2</v>
      </c>
      <c r="AD625" s="255">
        <f>_xlfn.XLOOKUP(FME_Ranking1[[#This Row],[FME ID]],FME_Input[FME_ID],FME_Input[FARMACRE100])</f>
        <v>6.7241411209106454</v>
      </c>
      <c r="AE625" s="230">
        <f>(FME_Ranking1[[#This Row],[Ag Land Raw]]/$AD$2)*100</f>
        <v>2.772734791838189E-4</v>
      </c>
      <c r="AF625" s="231">
        <f>FME_Ranking1[[#This Row],[Ag Land Score (Normalized, Unweighted)]]*$AD$3</f>
        <v>1.3863673959190945E-5</v>
      </c>
      <c r="AG62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0.24415367190390913</v>
      </c>
      <c r="AH625" s="406">
        <f t="shared" si="9"/>
        <v>714</v>
      </c>
      <c r="AI62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0.24415367190390913</v>
      </c>
      <c r="AJ625" s="257">
        <f>FME_Ranking1[[#This Row],[Addition check]]-FME_Ranking1[[#This Row],[Weighted Score Based on Normalized Reported Factors]]</f>
        <v>0</v>
      </c>
      <c r="AK625" s="178">
        <f>_xlfn.RANK.EQ(AI625,$AI$6:$AI$2341,0)+COUNTIF($AI$6:AI625,AI625)-1</f>
        <v>716</v>
      </c>
    </row>
    <row r="626" spans="1:37" x14ac:dyDescent="0.25">
      <c r="A626" t="s">
        <v>774</v>
      </c>
      <c r="B626">
        <f>_xlfn.XLOOKUP(FME_Ranking1[[#This Row],[FME ID]],FME_Input[FME_ID],FME_Input[RFPG_NUM])</f>
        <v>6</v>
      </c>
      <c r="C626" t="str">
        <f>_xlfn.XLOOKUP(FME_Ranking1[[#This Row],[FME ID]],FME_Input[FME_ID],FME_Input[FME_NAME])</f>
        <v>South 3rd - Stewarts Creek Watershed</v>
      </c>
      <c r="D626" t="str">
        <f>_xlfn.XLOOKUP(FME_Ranking1[[#This Row],[FME ID]],FME_Input[FME_ID],FME_Input[DESCR])</f>
        <v>Develop a benefits cost analysis in support of this project identied in the City of Conroe Master Drainage Plan.</v>
      </c>
      <c r="E626" s="256">
        <f>_xlfn.XLOOKUP(FME_Ranking1[[#This Row],[FME ID]],FME_Input[FME_ID],FME_Input[FME_COST])</f>
        <v>30000</v>
      </c>
      <c r="F626" t="str">
        <f>_xlfn.XLOOKUP(FME_Ranking1[[#This Row],[FME ID]],FME_Input[FME_ID],FME_Input[EMER_NEED])</f>
        <v>No</v>
      </c>
      <c r="G626">
        <f>IF(FME_Ranking!F626="Yes",100,0)</f>
        <v>0</v>
      </c>
      <c r="H626">
        <f>FME_Ranking1[[#This Row],[Emergency Need Score (Normalized, Unweighted)]]*$F$3</f>
        <v>0</v>
      </c>
      <c r="I626" s="246">
        <f>_xlfn.XLOOKUP(FME_Ranking1[[#This Row],[FME ID]],FME_Input[FME_ID],FME_Input[STRUCT_100])</f>
        <v>374</v>
      </c>
      <c r="J626" s="178">
        <f>(FME_Ranking1[[#This Row],[Structures 100 Raw]]/I$2)*100</f>
        <v>0.20027417212868953</v>
      </c>
      <c r="K626" s="178">
        <f>FME_Ranking1[[#This Row],[Structures 100  Score (Normalized, Unweighted)]]*$I$3</f>
        <v>3.0041125819303429E-2</v>
      </c>
      <c r="L626" s="246">
        <f>_xlfn.XLOOKUP(FME_Ranking1[[#This Row],[FME ID]],FME_Input[FME_ID],FME_Input[RES_STRUCT100])</f>
        <v>277</v>
      </c>
      <c r="M626" s="230">
        <f>(FME_Ranking1[[#This Row],[Res Structures Raw]]/L$2)*100</f>
        <v>0.19620064880792168</v>
      </c>
      <c r="N626" s="180">
        <f>FME_Ranking1[[#This Row],[Res Structures Score (Normalized, Unweighted)]]*$L$3</f>
        <v>1.9620064880792168E-2</v>
      </c>
      <c r="O626" s="244">
        <f>_xlfn.XLOOKUP(FME_Ranking1[[#This Row],[FME ID]],FME_Input[FME_ID],FME_Input[POP100])</f>
        <v>2384</v>
      </c>
      <c r="P626" s="178">
        <f>(FME_Ranking1[[#This Row],[Pop Raw]]/$O$2)*100</f>
        <v>0.24406274378121168</v>
      </c>
      <c r="Q626" s="178">
        <f>FME_Ranking1[[#This Row],[Pop Score (Normalized, Unweighted)]]*$O$3</f>
        <v>3.6609411567181747E-2</v>
      </c>
      <c r="R626" s="137">
        <f>_xlfn.XLOOKUP(FME_Ranking1[[#This Row],[FME ID]],FME_Input[FME_ID],FME_Input[CRITFAC100])</f>
        <v>7</v>
      </c>
      <c r="S626" s="230">
        <f>(FME_Ranking1[[#This Row],[Critical Facilities Raw]]/$R$2)*100</f>
        <v>0.30017152658662088</v>
      </c>
      <c r="T626" s="180">
        <f>FME_Ranking1[[#This Row],[Critical Facilities Score (Normalized, Unweighted)]]*$R$3</f>
        <v>6.0034305317324177E-2</v>
      </c>
      <c r="U626">
        <f>_xlfn.XLOOKUP(FME_Ranking1[[#This Row],[FME ID]],FME_Input[FME_ID],FME_Input[LWC])</f>
        <v>7</v>
      </c>
      <c r="V626" s="178">
        <f>(FME_Ranking1[[#This Row],[LWC Raw]]/$U$2)*100</f>
        <v>0.40299366724237184</v>
      </c>
      <c r="W626" s="178">
        <f>FME_Ranking1[[#This Row],[LWC Score (Normalized, Unweighted)]]*$U$3</f>
        <v>8.0598733448474374E-2</v>
      </c>
      <c r="X626" s="246">
        <f>_xlfn.XLOOKUP(FME_Ranking1[[#This Row],[FME ID]],FME_Input[FME_ID],FME_Input[ROADCLS])</f>
        <v>7</v>
      </c>
      <c r="Y626" s="230">
        <f>(FME_Ranking1[[#This Row],[Closures Raw]]/$X$2)*100</f>
        <v>7.3598990642414042E-2</v>
      </c>
      <c r="Z626" s="180">
        <f>FME_Ranking1[[#This Row],[Closures Score (Normalized, Unweighted)]]*$X$3</f>
        <v>3.6799495321207022E-3</v>
      </c>
      <c r="AA626" s="253">
        <f>_xlfn.XLOOKUP(FME_Ranking1[[#This Row],[FME ID]],FME_Input[FME_ID],FME_Input[ROAD_MILES100])</f>
        <v>10.31031703948975</v>
      </c>
      <c r="AB626" s="178">
        <f>(FME_Ranking1[[#This Row],[Miles Raw]]/$AA$2)*100</f>
        <v>0.13556217664753353</v>
      </c>
      <c r="AC626" s="178">
        <f>FME_Ranking1[[#This Row],[Miles Score (Normalized, Unweighted)]]*$AA$3</f>
        <v>1.3556217664753354E-2</v>
      </c>
      <c r="AD626" s="255">
        <f>_xlfn.XLOOKUP(FME_Ranking1[[#This Row],[FME ID]],FME_Input[FME_ID],FME_Input[FARMACRE100])</f>
        <v>6.7241411209106454</v>
      </c>
      <c r="AE626" s="230">
        <f>(FME_Ranking1[[#This Row],[Ag Land Raw]]/$AD$2)*100</f>
        <v>2.772734791838189E-4</v>
      </c>
      <c r="AF626" s="231">
        <f>FME_Ranking1[[#This Row],[Ag Land Score (Normalized, Unweighted)]]*$AD$3</f>
        <v>1.3863673959190945E-5</v>
      </c>
      <c r="AG62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0.24415367190390913</v>
      </c>
      <c r="AH626" s="406">
        <f t="shared" si="9"/>
        <v>714</v>
      </c>
      <c r="AI62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0.24415367190390913</v>
      </c>
      <c r="AJ626" s="257">
        <f>FME_Ranking1[[#This Row],[Addition check]]-FME_Ranking1[[#This Row],[Weighted Score Based on Normalized Reported Factors]]</f>
        <v>0</v>
      </c>
      <c r="AK626" s="178">
        <f>_xlfn.RANK.EQ(AI626,$AI$6:$AI$2341,0)+COUNTIF($AI$6:AI626,AI626)-1</f>
        <v>717</v>
      </c>
    </row>
    <row r="627" spans="1:37" x14ac:dyDescent="0.25">
      <c r="A627" t="s">
        <v>1249</v>
      </c>
      <c r="B627">
        <f>_xlfn.XLOOKUP(FME_Ranking1[[#This Row],[FME ID]],FME_Input[FME_ID],FME_Input[RFPG_NUM])</f>
        <v>6</v>
      </c>
      <c r="C627" t="str">
        <f>_xlfn.XLOOKUP(FME_Ranking1[[#This Row],[FME ID]],FME_Input[FME_ID],FME_Input[FME_NAME])</f>
        <v>Jamica Cove Rd. Survey</v>
      </c>
      <c r="D627" t="str">
        <f>_xlfn.XLOOKUP(FME_Ranking1[[#This Row],[FME ID]],FME_Input[FME_ID],FME_Input[DESCR])</f>
        <v xml:space="preserve">Engineering assessment needed to determine if elevating the road would reduce future flooding impacts. </v>
      </c>
      <c r="E627" s="256">
        <f>_xlfn.XLOOKUP(FME_Ranking1[[#This Row],[FME ID]],FME_Input[FME_ID],FME_Input[FME_COST])</f>
        <v>140000</v>
      </c>
      <c r="F627" t="str">
        <f>_xlfn.XLOOKUP(FME_Ranking1[[#This Row],[FME ID]],FME_Input[FME_ID],FME_Input[EMER_NEED])</f>
        <v>No</v>
      </c>
      <c r="G627">
        <f>IF(FME_Ranking!F627="Yes",100,0)</f>
        <v>0</v>
      </c>
      <c r="H627">
        <f>FME_Ranking1[[#This Row],[Emergency Need Score (Normalized, Unweighted)]]*$F$3</f>
        <v>0</v>
      </c>
      <c r="I627" s="246">
        <f>_xlfn.XLOOKUP(FME_Ranking1[[#This Row],[FME ID]],FME_Input[FME_ID],FME_Input[STRUCT_100])</f>
        <v>1276</v>
      </c>
      <c r="J627" s="178">
        <f>(FME_Ranking1[[#This Row],[Structures 100 Raw]]/I$2)*100</f>
        <v>0.68328835196847015</v>
      </c>
      <c r="K627" s="178">
        <f>FME_Ranking1[[#This Row],[Structures 100  Score (Normalized, Unweighted)]]*$I$3</f>
        <v>0.10249325279527052</v>
      </c>
      <c r="L627" s="246">
        <f>_xlfn.XLOOKUP(FME_Ranking1[[#This Row],[FME ID]],FME_Input[FME_ID],FME_Input[RES_STRUCT100])</f>
        <v>1238</v>
      </c>
      <c r="M627" s="230">
        <f>(FME_Ranking1[[#This Row],[Res Structures Raw]]/L$2)*100</f>
        <v>0.8768823221090507</v>
      </c>
      <c r="N627" s="180">
        <f>FME_Ranking1[[#This Row],[Res Structures Score (Normalized, Unweighted)]]*$L$3</f>
        <v>8.7688232210905076E-2</v>
      </c>
      <c r="O627" s="244">
        <f>_xlfn.XLOOKUP(FME_Ranking1[[#This Row],[FME ID]],FME_Input[FME_ID],FME_Input[POP100])</f>
        <v>395</v>
      </c>
      <c r="P627" s="178">
        <f>(FME_Ranking1[[#This Row],[Pop Raw]]/$O$2)*100</f>
        <v>4.0438248235561497E-2</v>
      </c>
      <c r="Q627" s="178">
        <f>FME_Ranking1[[#This Row],[Pop Score (Normalized, Unweighted)]]*$O$3</f>
        <v>6.0657372353342242E-3</v>
      </c>
      <c r="R627" s="137">
        <f>_xlfn.XLOOKUP(FME_Ranking1[[#This Row],[FME ID]],FME_Input[FME_ID],FME_Input[CRITFAC100])</f>
        <v>4</v>
      </c>
      <c r="S627" s="230">
        <f>(FME_Ranking1[[#This Row],[Critical Facilities Raw]]/$R$2)*100</f>
        <v>0.17152658662092624</v>
      </c>
      <c r="T627" s="180">
        <f>FME_Ranking1[[#This Row],[Critical Facilities Score (Normalized, Unweighted)]]*$R$3</f>
        <v>3.430531732418525E-2</v>
      </c>
      <c r="U627">
        <f>_xlfn.XLOOKUP(FME_Ranking1[[#This Row],[FME ID]],FME_Input[FME_ID],FME_Input[LWC])</f>
        <v>0</v>
      </c>
      <c r="V627" s="178">
        <f>(FME_Ranking1[[#This Row],[LWC Raw]]/$U$2)*100</f>
        <v>0</v>
      </c>
      <c r="W627" s="178">
        <f>FME_Ranking1[[#This Row],[LWC Score (Normalized, Unweighted)]]*$U$3</f>
        <v>0</v>
      </c>
      <c r="X627" s="246">
        <f>_xlfn.XLOOKUP(FME_Ranking1[[#This Row],[FME ID]],FME_Input[FME_ID],FME_Input[ROADCLS])</f>
        <v>0</v>
      </c>
      <c r="Y627" s="230">
        <f>(FME_Ranking1[[#This Row],[Closures Raw]]/$X$2)*100</f>
        <v>0</v>
      </c>
      <c r="Z627" s="180">
        <f>FME_Ranking1[[#This Row],[Closures Score (Normalized, Unweighted)]]*$X$3</f>
        <v>0</v>
      </c>
      <c r="AA627" s="253">
        <f>_xlfn.XLOOKUP(FME_Ranking1[[#This Row],[FME ID]],FME_Input[FME_ID],FME_Input[ROAD_MILES100])</f>
        <v>13.807454109191889</v>
      </c>
      <c r="AB627" s="178">
        <f>(FME_Ranking1[[#This Row],[Miles Raw]]/$AA$2)*100</f>
        <v>0.18154325670431726</v>
      </c>
      <c r="AC627" s="178">
        <f>FME_Ranking1[[#This Row],[Miles Score (Normalized, Unweighted)]]*$AA$3</f>
        <v>1.8154325670431726E-2</v>
      </c>
      <c r="AD627" s="255">
        <f>_xlfn.XLOOKUP(FME_Ranking1[[#This Row],[FME ID]],FME_Input[FME_ID],FME_Input[FARMACRE100])</f>
        <v>2.8237185478210449</v>
      </c>
      <c r="AE627" s="230">
        <f>(FME_Ranking1[[#This Row],[Ag Land Raw]]/$AD$2)*100</f>
        <v>1.1643751252564262E-4</v>
      </c>
      <c r="AF627" s="231">
        <f>FME_Ranking1[[#This Row],[Ag Land Score (Normalized, Unweighted)]]*$AD$3</f>
        <v>5.8218756262821319E-6</v>
      </c>
      <c r="AG62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0.24871268711175307</v>
      </c>
      <c r="AH627" s="406">
        <f t="shared" si="9"/>
        <v>696</v>
      </c>
      <c r="AI62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0.24871268711175307</v>
      </c>
      <c r="AJ627" s="257">
        <f>FME_Ranking1[[#This Row],[Addition check]]-FME_Ranking1[[#This Row],[Weighted Score Based on Normalized Reported Factors]]</f>
        <v>0</v>
      </c>
      <c r="AK627" s="178">
        <f>_xlfn.RANK.EQ(AI627,$AI$6:$AI$2341,0)+COUNTIF($AI$6:AI627,AI627)-1</f>
        <v>696</v>
      </c>
    </row>
    <row r="628" spans="1:37" x14ac:dyDescent="0.25">
      <c r="A628" t="s">
        <v>1628</v>
      </c>
      <c r="B628">
        <f>_xlfn.XLOOKUP(FME_Ranking1[[#This Row],[FME ID]],FME_Input[FME_ID],FME_Input[RFPG_NUM])</f>
        <v>6</v>
      </c>
      <c r="C628" t="str">
        <f>_xlfn.XLOOKUP(FME_Ranking1[[#This Row],[FME ID]],FME_Input[FME_ID],FME_Input[FME_NAME])</f>
        <v>City of Jamaica Beach Master Drainage Plan</v>
      </c>
      <c r="D628" t="str">
        <f>_xlfn.XLOOKUP(FME_Ranking1[[#This Row],[FME ID]],FME_Input[FME_ID],FME_Input[DESCR])</f>
        <v>Study to develop Master Drainage Plan using future and existing land use and flood/storm water drainage needs including Atlas 14 rainfall.</v>
      </c>
      <c r="E628" s="256">
        <f>_xlfn.XLOOKUP(FME_Ranking1[[#This Row],[FME ID]],FME_Input[FME_ID],FME_Input[FME_COST])</f>
        <v>140000</v>
      </c>
      <c r="F628" t="str">
        <f>_xlfn.XLOOKUP(FME_Ranking1[[#This Row],[FME ID]],FME_Input[FME_ID],FME_Input[EMER_NEED])</f>
        <v>No</v>
      </c>
      <c r="G628">
        <f>IF(FME_Ranking!F628="Yes",100,0)</f>
        <v>0</v>
      </c>
      <c r="H628">
        <f>FME_Ranking1[[#This Row],[Emergency Need Score (Normalized, Unweighted)]]*$F$3</f>
        <v>0</v>
      </c>
      <c r="I628" s="246">
        <f>_xlfn.XLOOKUP(FME_Ranking1[[#This Row],[FME ID]],FME_Input[FME_ID],FME_Input[STRUCT_100])</f>
        <v>1276</v>
      </c>
      <c r="J628" s="178">
        <f>(FME_Ranking1[[#This Row],[Structures 100 Raw]]/I$2)*100</f>
        <v>0.68328835196847015</v>
      </c>
      <c r="K628" s="178">
        <f>FME_Ranking1[[#This Row],[Structures 100  Score (Normalized, Unweighted)]]*$I$3</f>
        <v>0.10249325279527052</v>
      </c>
      <c r="L628" s="246">
        <f>_xlfn.XLOOKUP(FME_Ranking1[[#This Row],[FME ID]],FME_Input[FME_ID],FME_Input[RES_STRUCT100])</f>
        <v>1238</v>
      </c>
      <c r="M628" s="230">
        <f>(FME_Ranking1[[#This Row],[Res Structures Raw]]/L$2)*100</f>
        <v>0.8768823221090507</v>
      </c>
      <c r="N628" s="180">
        <f>FME_Ranking1[[#This Row],[Res Structures Score (Normalized, Unweighted)]]*$L$3</f>
        <v>8.7688232210905076E-2</v>
      </c>
      <c r="O628" s="244">
        <f>_xlfn.XLOOKUP(FME_Ranking1[[#This Row],[FME ID]],FME_Input[FME_ID],FME_Input[POP100])</f>
        <v>395</v>
      </c>
      <c r="P628" s="178">
        <f>(FME_Ranking1[[#This Row],[Pop Raw]]/$O$2)*100</f>
        <v>4.0438248235561497E-2</v>
      </c>
      <c r="Q628" s="178">
        <f>FME_Ranking1[[#This Row],[Pop Score (Normalized, Unweighted)]]*$O$3</f>
        <v>6.0657372353342242E-3</v>
      </c>
      <c r="R628" s="137">
        <f>_xlfn.XLOOKUP(FME_Ranking1[[#This Row],[FME ID]],FME_Input[FME_ID],FME_Input[CRITFAC100])</f>
        <v>4</v>
      </c>
      <c r="S628" s="230">
        <f>(FME_Ranking1[[#This Row],[Critical Facilities Raw]]/$R$2)*100</f>
        <v>0.17152658662092624</v>
      </c>
      <c r="T628" s="180">
        <f>FME_Ranking1[[#This Row],[Critical Facilities Score (Normalized, Unweighted)]]*$R$3</f>
        <v>3.430531732418525E-2</v>
      </c>
      <c r="U628">
        <f>_xlfn.XLOOKUP(FME_Ranking1[[#This Row],[FME ID]],FME_Input[FME_ID],FME_Input[LWC])</f>
        <v>0</v>
      </c>
      <c r="V628" s="178">
        <f>(FME_Ranking1[[#This Row],[LWC Raw]]/$U$2)*100</f>
        <v>0</v>
      </c>
      <c r="W628" s="178">
        <f>FME_Ranking1[[#This Row],[LWC Score (Normalized, Unweighted)]]*$U$3</f>
        <v>0</v>
      </c>
      <c r="X628" s="246">
        <f>_xlfn.XLOOKUP(FME_Ranking1[[#This Row],[FME ID]],FME_Input[FME_ID],FME_Input[ROADCLS])</f>
        <v>0</v>
      </c>
      <c r="Y628" s="230">
        <f>(FME_Ranking1[[#This Row],[Closures Raw]]/$X$2)*100</f>
        <v>0</v>
      </c>
      <c r="Z628" s="180">
        <f>FME_Ranking1[[#This Row],[Closures Score (Normalized, Unweighted)]]*$X$3</f>
        <v>0</v>
      </c>
      <c r="AA628" s="253">
        <f>_xlfn.XLOOKUP(FME_Ranking1[[#This Row],[FME ID]],FME_Input[FME_ID],FME_Input[ROAD_MILES100])</f>
        <v>13.807454109191889</v>
      </c>
      <c r="AB628" s="178">
        <f>(FME_Ranking1[[#This Row],[Miles Raw]]/$AA$2)*100</f>
        <v>0.18154325670431726</v>
      </c>
      <c r="AC628" s="178">
        <f>FME_Ranking1[[#This Row],[Miles Score (Normalized, Unweighted)]]*$AA$3</f>
        <v>1.8154325670431726E-2</v>
      </c>
      <c r="AD628" s="255">
        <f>_xlfn.XLOOKUP(FME_Ranking1[[#This Row],[FME ID]],FME_Input[FME_ID],FME_Input[FARMACRE100])</f>
        <v>2.8237185478210449</v>
      </c>
      <c r="AE628" s="230">
        <f>(FME_Ranking1[[#This Row],[Ag Land Raw]]/$AD$2)*100</f>
        <v>1.1643751252564262E-4</v>
      </c>
      <c r="AF628" s="231">
        <f>FME_Ranking1[[#This Row],[Ag Land Score (Normalized, Unweighted)]]*$AD$3</f>
        <v>5.8218756262821319E-6</v>
      </c>
      <c r="AG62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0.24871268711175307</v>
      </c>
      <c r="AH628" s="406">
        <f t="shared" si="9"/>
        <v>696</v>
      </c>
      <c r="AI62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0.24871268711175307</v>
      </c>
      <c r="AJ628" s="257">
        <f>FME_Ranking1[[#This Row],[Addition check]]-FME_Ranking1[[#This Row],[Weighted Score Based on Normalized Reported Factors]]</f>
        <v>0</v>
      </c>
      <c r="AK628" s="178">
        <f>_xlfn.RANK.EQ(AI628,$AI$6:$AI$2341,0)+COUNTIF($AI$6:AI628,AI628)-1</f>
        <v>697</v>
      </c>
    </row>
    <row r="629" spans="1:37" x14ac:dyDescent="0.25">
      <c r="A629" t="s">
        <v>7945</v>
      </c>
      <c r="B629">
        <f>_xlfn.XLOOKUP(FME_Ranking1[[#This Row],[FME ID]],FME_Input[FME_ID],FME_Input[RFPG_NUM])</f>
        <v>9</v>
      </c>
      <c r="C629" t="str">
        <f>_xlfn.XLOOKUP(FME_Ranking1[[#This Row],[FME ID]],FME_Input[FME_ID],FME_Input[FME_NAME])</f>
        <v>Mitchell County  FEMA Mapping</v>
      </c>
      <c r="D629" t="str">
        <f>_xlfn.XLOOKUP(FME_Ranking1[[#This Row],[FME ID]],FME_Input[FME_ID],FME_Input[DESCR])</f>
        <v>Update Existing FEMA Mapping</v>
      </c>
      <c r="E629" s="256">
        <f>_xlfn.XLOOKUP(FME_Ranking1[[#This Row],[FME ID]],FME_Input[FME_ID],FME_Input[FME_COST])</f>
        <v>929000</v>
      </c>
      <c r="F629" t="str">
        <f>_xlfn.XLOOKUP(FME_Ranking1[[#This Row],[FME ID]],FME_Input[FME_ID],FME_Input[EMER_NEED])</f>
        <v>No</v>
      </c>
      <c r="G629">
        <f>IF(FME_Ranking!F629="Yes",100,0)</f>
        <v>0</v>
      </c>
      <c r="H629">
        <f>FME_Ranking1[[#This Row],[Emergency Need Score (Normalized, Unweighted)]]*$F$3</f>
        <v>0</v>
      </c>
      <c r="I629" s="246">
        <f>_xlfn.XLOOKUP(FME_Ranking1[[#This Row],[FME ID]],FME_Input[FME_ID],FME_Input[STRUCT_100])</f>
        <v>344</v>
      </c>
      <c r="J629" s="178">
        <f>(FME_Ranking1[[#This Row],[Structures 100 Raw]]/I$2)*100</f>
        <v>0.18420939896328664</v>
      </c>
      <c r="K629" s="178">
        <f>FME_Ranking1[[#This Row],[Structures 100  Score (Normalized, Unweighted)]]*$I$3</f>
        <v>2.7631409844492996E-2</v>
      </c>
      <c r="L629" s="246">
        <f>_xlfn.XLOOKUP(FME_Ranking1[[#This Row],[FME ID]],FME_Input[FME_ID],FME_Input[RES_STRUCT100])</f>
        <v>206</v>
      </c>
      <c r="M629" s="230">
        <f>(FME_Ranking1[[#This Row],[Res Structures Raw]]/L$2)*100</f>
        <v>0.14591095182105365</v>
      </c>
      <c r="N629" s="180">
        <f>FME_Ranking1[[#This Row],[Res Structures Score (Normalized, Unweighted)]]*$L$3</f>
        <v>1.4591095182105366E-2</v>
      </c>
      <c r="O629" s="244">
        <f>_xlfn.XLOOKUP(FME_Ranking1[[#This Row],[FME ID]],FME_Input[FME_ID],FME_Input[POP100])</f>
        <v>628</v>
      </c>
      <c r="P629" s="178">
        <f>(FME_Ranking1[[#This Row],[Pop Raw]]/$O$2)*100</f>
        <v>6.4291695928943349E-2</v>
      </c>
      <c r="Q629" s="178">
        <f>FME_Ranking1[[#This Row],[Pop Score (Normalized, Unweighted)]]*$O$3</f>
        <v>9.6437543893415027E-3</v>
      </c>
      <c r="R629" s="137">
        <f>_xlfn.XLOOKUP(FME_Ranking1[[#This Row],[FME ID]],FME_Input[FME_ID],FME_Input[CRITFAC100])</f>
        <v>2</v>
      </c>
      <c r="S629" s="230">
        <f>(FME_Ranking1[[#This Row],[Critical Facilities Raw]]/$R$2)*100</f>
        <v>8.5763293310463118E-2</v>
      </c>
      <c r="T629" s="180">
        <f>FME_Ranking1[[#This Row],[Critical Facilities Score (Normalized, Unweighted)]]*$R$3</f>
        <v>1.7152658662092625E-2</v>
      </c>
      <c r="U629">
        <f>_xlfn.XLOOKUP(FME_Ranking1[[#This Row],[FME ID]],FME_Input[FME_ID],FME_Input[LWC])</f>
        <v>11</v>
      </c>
      <c r="V629" s="178">
        <f>(FME_Ranking1[[#This Row],[LWC Raw]]/$U$2)*100</f>
        <v>0.63327576280944153</v>
      </c>
      <c r="W629" s="178">
        <f>FME_Ranking1[[#This Row],[LWC Score (Normalized, Unweighted)]]*$U$3</f>
        <v>0.12665515256188831</v>
      </c>
      <c r="X629" s="246">
        <f>_xlfn.XLOOKUP(FME_Ranking1[[#This Row],[FME ID]],FME_Input[FME_ID],FME_Input[ROADCLS])</f>
        <v>0</v>
      </c>
      <c r="Y629" s="230">
        <f>(FME_Ranking1[[#This Row],[Closures Raw]]/$X$2)*100</f>
        <v>0</v>
      </c>
      <c r="Z629" s="180">
        <f>FME_Ranking1[[#This Row],[Closures Score (Normalized, Unweighted)]]*$X$3</f>
        <v>0</v>
      </c>
      <c r="AA629" s="253">
        <f>_xlfn.XLOOKUP(FME_Ranking1[[#This Row],[FME ID]],FME_Input[FME_ID],FME_Input[ROAD_MILES100])</f>
        <v>107.64649963378911</v>
      </c>
      <c r="AB629" s="178">
        <f>(FME_Ranking1[[#This Row],[Miles Raw]]/$AA$2)*100</f>
        <v>1.415358397123214</v>
      </c>
      <c r="AC629" s="178">
        <f>FME_Ranking1[[#This Row],[Miles Score (Normalized, Unweighted)]]*$AA$3</f>
        <v>0.14153583971232139</v>
      </c>
      <c r="AD629" s="255">
        <f>_xlfn.XLOOKUP(FME_Ranking1[[#This Row],[FME ID]],FME_Input[FME_ID],FME_Input[FARMACRE100])</f>
        <v>16809.279296875</v>
      </c>
      <c r="AE629" s="230">
        <f>(FME_Ranking1[[#This Row],[Ag Land Raw]]/$AD$2)*100</f>
        <v>0.69313943140233558</v>
      </c>
      <c r="AF629" s="231">
        <f>FME_Ranking1[[#This Row],[Ag Land Score (Normalized, Unweighted)]]*$AD$3</f>
        <v>3.4656971570116782E-2</v>
      </c>
      <c r="AG62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0.37186688192235895</v>
      </c>
      <c r="AH629" s="406">
        <f t="shared" si="9"/>
        <v>546</v>
      </c>
      <c r="AI62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0.37186688192235895</v>
      </c>
      <c r="AJ629" s="257">
        <f>FME_Ranking1[[#This Row],[Addition check]]-FME_Ranking1[[#This Row],[Weighted Score Based on Normalized Reported Factors]]</f>
        <v>0</v>
      </c>
      <c r="AK629" s="178">
        <f>_xlfn.RANK.EQ(AI629,$AI$6:$AI$2341,0)+COUNTIF($AI$6:AI629,AI629)-1</f>
        <v>546</v>
      </c>
    </row>
    <row r="630" spans="1:37" x14ac:dyDescent="0.25">
      <c r="A630" t="s">
        <v>8036</v>
      </c>
      <c r="B630">
        <f>_xlfn.XLOOKUP(FME_Ranking1[[#This Row],[FME ID]],FME_Input[FME_ID],FME_Input[RFPG_NUM])</f>
        <v>9</v>
      </c>
      <c r="C630" t="str">
        <f>_xlfn.XLOOKUP(FME_Ranking1[[#This Row],[FME ID]],FME_Input[FME_ID],FME_Input[FME_NAME])</f>
        <v>Mitchell County  GIS Development</v>
      </c>
      <c r="D630" t="str">
        <f>_xlfn.XLOOKUP(FME_Ranking1[[#This Row],[FME ID]],FME_Input[FME_ID],FME_Input[DESCR])</f>
        <v>Develop a GIS inventory of stormwater infrastructure</v>
      </c>
      <c r="E630" s="256">
        <f>_xlfn.XLOOKUP(FME_Ranking1[[#This Row],[FME ID]],FME_Input[FME_ID],FME_Input[FME_COST])</f>
        <v>100000</v>
      </c>
      <c r="F630" t="str">
        <f>_xlfn.XLOOKUP(FME_Ranking1[[#This Row],[FME ID]],FME_Input[FME_ID],FME_Input[EMER_NEED])</f>
        <v>No</v>
      </c>
      <c r="G630">
        <f>IF(FME_Ranking!F630="Yes",100,0)</f>
        <v>0</v>
      </c>
      <c r="H630">
        <f>FME_Ranking1[[#This Row],[Emergency Need Score (Normalized, Unweighted)]]*$F$3</f>
        <v>0</v>
      </c>
      <c r="I630" s="246">
        <f>_xlfn.XLOOKUP(FME_Ranking1[[#This Row],[FME ID]],FME_Input[FME_ID],FME_Input[STRUCT_100])</f>
        <v>344</v>
      </c>
      <c r="J630" s="178">
        <f>(FME_Ranking1[[#This Row],[Structures 100 Raw]]/I$2)*100</f>
        <v>0.18420939896328664</v>
      </c>
      <c r="K630" s="178">
        <f>FME_Ranking1[[#This Row],[Structures 100  Score (Normalized, Unweighted)]]*$I$3</f>
        <v>2.7631409844492996E-2</v>
      </c>
      <c r="L630" s="246">
        <f>_xlfn.XLOOKUP(FME_Ranking1[[#This Row],[FME ID]],FME_Input[FME_ID],FME_Input[RES_STRUCT100])</f>
        <v>206</v>
      </c>
      <c r="M630" s="230">
        <f>(FME_Ranking1[[#This Row],[Res Structures Raw]]/L$2)*100</f>
        <v>0.14591095182105365</v>
      </c>
      <c r="N630" s="180">
        <f>FME_Ranking1[[#This Row],[Res Structures Score (Normalized, Unweighted)]]*$L$3</f>
        <v>1.4591095182105366E-2</v>
      </c>
      <c r="O630" s="244">
        <f>_xlfn.XLOOKUP(FME_Ranking1[[#This Row],[FME ID]],FME_Input[FME_ID],FME_Input[POP100])</f>
        <v>628</v>
      </c>
      <c r="P630" s="178">
        <f>(FME_Ranking1[[#This Row],[Pop Raw]]/$O$2)*100</f>
        <v>6.4291695928943349E-2</v>
      </c>
      <c r="Q630" s="178">
        <f>FME_Ranking1[[#This Row],[Pop Score (Normalized, Unweighted)]]*$O$3</f>
        <v>9.6437543893415027E-3</v>
      </c>
      <c r="R630" s="137">
        <f>_xlfn.XLOOKUP(FME_Ranking1[[#This Row],[FME ID]],FME_Input[FME_ID],FME_Input[CRITFAC100])</f>
        <v>2</v>
      </c>
      <c r="S630" s="230">
        <f>(FME_Ranking1[[#This Row],[Critical Facilities Raw]]/$R$2)*100</f>
        <v>8.5763293310463118E-2</v>
      </c>
      <c r="T630" s="180">
        <f>FME_Ranking1[[#This Row],[Critical Facilities Score (Normalized, Unweighted)]]*$R$3</f>
        <v>1.7152658662092625E-2</v>
      </c>
      <c r="U630">
        <f>_xlfn.XLOOKUP(FME_Ranking1[[#This Row],[FME ID]],FME_Input[FME_ID],FME_Input[LWC])</f>
        <v>11</v>
      </c>
      <c r="V630" s="178">
        <f>(FME_Ranking1[[#This Row],[LWC Raw]]/$U$2)*100</f>
        <v>0.63327576280944153</v>
      </c>
      <c r="W630" s="178">
        <f>FME_Ranking1[[#This Row],[LWC Score (Normalized, Unweighted)]]*$U$3</f>
        <v>0.12665515256188831</v>
      </c>
      <c r="X630" s="246">
        <f>_xlfn.XLOOKUP(FME_Ranking1[[#This Row],[FME ID]],FME_Input[FME_ID],FME_Input[ROADCLS])</f>
        <v>0</v>
      </c>
      <c r="Y630" s="230">
        <f>(FME_Ranking1[[#This Row],[Closures Raw]]/$X$2)*100</f>
        <v>0</v>
      </c>
      <c r="Z630" s="180">
        <f>FME_Ranking1[[#This Row],[Closures Score (Normalized, Unweighted)]]*$X$3</f>
        <v>0</v>
      </c>
      <c r="AA630" s="253">
        <f>_xlfn.XLOOKUP(FME_Ranking1[[#This Row],[FME ID]],FME_Input[FME_ID],FME_Input[ROAD_MILES100])</f>
        <v>107.64649963378911</v>
      </c>
      <c r="AB630" s="178">
        <f>(FME_Ranking1[[#This Row],[Miles Raw]]/$AA$2)*100</f>
        <v>1.415358397123214</v>
      </c>
      <c r="AC630" s="178">
        <f>FME_Ranking1[[#This Row],[Miles Score (Normalized, Unweighted)]]*$AA$3</f>
        <v>0.14153583971232139</v>
      </c>
      <c r="AD630" s="255">
        <f>_xlfn.XLOOKUP(FME_Ranking1[[#This Row],[FME ID]],FME_Input[FME_ID],FME_Input[FARMACRE100])</f>
        <v>16809.279296875</v>
      </c>
      <c r="AE630" s="230">
        <f>(FME_Ranking1[[#This Row],[Ag Land Raw]]/$AD$2)*100</f>
        <v>0.69313943140233558</v>
      </c>
      <c r="AF630" s="231">
        <f>FME_Ranking1[[#This Row],[Ag Land Score (Normalized, Unweighted)]]*$AD$3</f>
        <v>3.4656971570116782E-2</v>
      </c>
      <c r="AG63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0.37186688192235895</v>
      </c>
      <c r="AH630" s="406">
        <f t="shared" si="9"/>
        <v>546</v>
      </c>
      <c r="AI63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0.37186688192235895</v>
      </c>
      <c r="AJ630" s="257">
        <f>FME_Ranking1[[#This Row],[Addition check]]-FME_Ranking1[[#This Row],[Weighted Score Based on Normalized Reported Factors]]</f>
        <v>0</v>
      </c>
      <c r="AK630" s="178">
        <f>_xlfn.RANK.EQ(AI630,$AI$6:$AI$2341,0)+COUNTIF($AI$6:AI630,AI630)-1</f>
        <v>547</v>
      </c>
    </row>
    <row r="631" spans="1:37" x14ac:dyDescent="0.25">
      <c r="A631" t="s">
        <v>8063</v>
      </c>
      <c r="B631">
        <f>_xlfn.XLOOKUP(FME_Ranking1[[#This Row],[FME ID]],FME_Input[FME_ID],FME_Input[RFPG_NUM])</f>
        <v>9</v>
      </c>
      <c r="C631" t="str">
        <f>_xlfn.XLOOKUP(FME_Ranking1[[#This Row],[FME ID]],FME_Input[FME_ID],FME_Input[FME_NAME])</f>
        <v>Mitchell County DMP</v>
      </c>
      <c r="D631" t="str">
        <f>_xlfn.XLOOKUP(FME_Ranking1[[#This Row],[FME ID]],FME_Input[FME_ID],FME_Input[DESCR])</f>
        <v xml:space="preserve">Create Drainage Master Plan, including evaluation of potential mitigation projects. </v>
      </c>
      <c r="E631" s="256">
        <f>_xlfn.XLOOKUP(FME_Ranking1[[#This Row],[FME ID]],FME_Input[FME_ID],FME_Input[FME_COST])</f>
        <v>500000</v>
      </c>
      <c r="F631" t="str">
        <f>_xlfn.XLOOKUP(FME_Ranking1[[#This Row],[FME ID]],FME_Input[FME_ID],FME_Input[EMER_NEED])</f>
        <v>No</v>
      </c>
      <c r="G631">
        <f>IF(FME_Ranking!F631="Yes",100,0)</f>
        <v>0</v>
      </c>
      <c r="H631">
        <f>FME_Ranking1[[#This Row],[Emergency Need Score (Normalized, Unweighted)]]*$F$3</f>
        <v>0</v>
      </c>
      <c r="I631" s="246">
        <f>_xlfn.XLOOKUP(FME_Ranking1[[#This Row],[FME ID]],FME_Input[FME_ID],FME_Input[STRUCT_100])</f>
        <v>344</v>
      </c>
      <c r="J631" s="178">
        <f>(FME_Ranking1[[#This Row],[Structures 100 Raw]]/I$2)*100</f>
        <v>0.18420939896328664</v>
      </c>
      <c r="K631" s="178">
        <f>FME_Ranking1[[#This Row],[Structures 100  Score (Normalized, Unweighted)]]*$I$3</f>
        <v>2.7631409844492996E-2</v>
      </c>
      <c r="L631" s="246">
        <f>_xlfn.XLOOKUP(FME_Ranking1[[#This Row],[FME ID]],FME_Input[FME_ID],FME_Input[RES_STRUCT100])</f>
        <v>206</v>
      </c>
      <c r="M631" s="230">
        <f>(FME_Ranking1[[#This Row],[Res Structures Raw]]/L$2)*100</f>
        <v>0.14591095182105365</v>
      </c>
      <c r="N631" s="180">
        <f>FME_Ranking1[[#This Row],[Res Structures Score (Normalized, Unweighted)]]*$L$3</f>
        <v>1.4591095182105366E-2</v>
      </c>
      <c r="O631" s="244">
        <f>_xlfn.XLOOKUP(FME_Ranking1[[#This Row],[FME ID]],FME_Input[FME_ID],FME_Input[POP100])</f>
        <v>628</v>
      </c>
      <c r="P631" s="178">
        <f>(FME_Ranking1[[#This Row],[Pop Raw]]/$O$2)*100</f>
        <v>6.4291695928943349E-2</v>
      </c>
      <c r="Q631" s="178">
        <f>FME_Ranking1[[#This Row],[Pop Score (Normalized, Unweighted)]]*$O$3</f>
        <v>9.6437543893415027E-3</v>
      </c>
      <c r="R631" s="137">
        <f>_xlfn.XLOOKUP(FME_Ranking1[[#This Row],[FME ID]],FME_Input[FME_ID],FME_Input[CRITFAC100])</f>
        <v>2</v>
      </c>
      <c r="S631" s="230">
        <f>(FME_Ranking1[[#This Row],[Critical Facilities Raw]]/$R$2)*100</f>
        <v>8.5763293310463118E-2</v>
      </c>
      <c r="T631" s="180">
        <f>FME_Ranking1[[#This Row],[Critical Facilities Score (Normalized, Unweighted)]]*$R$3</f>
        <v>1.7152658662092625E-2</v>
      </c>
      <c r="U631">
        <f>_xlfn.XLOOKUP(FME_Ranking1[[#This Row],[FME ID]],FME_Input[FME_ID],FME_Input[LWC])</f>
        <v>11</v>
      </c>
      <c r="V631" s="178">
        <f>(FME_Ranking1[[#This Row],[LWC Raw]]/$U$2)*100</f>
        <v>0.63327576280944153</v>
      </c>
      <c r="W631" s="178">
        <f>FME_Ranking1[[#This Row],[LWC Score (Normalized, Unweighted)]]*$U$3</f>
        <v>0.12665515256188831</v>
      </c>
      <c r="X631" s="246">
        <f>_xlfn.XLOOKUP(FME_Ranking1[[#This Row],[FME ID]],FME_Input[FME_ID],FME_Input[ROADCLS])</f>
        <v>0</v>
      </c>
      <c r="Y631" s="230">
        <f>(FME_Ranking1[[#This Row],[Closures Raw]]/$X$2)*100</f>
        <v>0</v>
      </c>
      <c r="Z631" s="180">
        <f>FME_Ranking1[[#This Row],[Closures Score (Normalized, Unweighted)]]*$X$3</f>
        <v>0</v>
      </c>
      <c r="AA631" s="253">
        <f>_xlfn.XLOOKUP(FME_Ranking1[[#This Row],[FME ID]],FME_Input[FME_ID],FME_Input[ROAD_MILES100])</f>
        <v>107.64649963378911</v>
      </c>
      <c r="AB631" s="178">
        <f>(FME_Ranking1[[#This Row],[Miles Raw]]/$AA$2)*100</f>
        <v>1.415358397123214</v>
      </c>
      <c r="AC631" s="178">
        <f>FME_Ranking1[[#This Row],[Miles Score (Normalized, Unweighted)]]*$AA$3</f>
        <v>0.14153583971232139</v>
      </c>
      <c r="AD631" s="255">
        <f>_xlfn.XLOOKUP(FME_Ranking1[[#This Row],[FME ID]],FME_Input[FME_ID],FME_Input[FARMACRE100])</f>
        <v>16809.279296875</v>
      </c>
      <c r="AE631" s="230">
        <f>(FME_Ranking1[[#This Row],[Ag Land Raw]]/$AD$2)*100</f>
        <v>0.69313943140233558</v>
      </c>
      <c r="AF631" s="231">
        <f>FME_Ranking1[[#This Row],[Ag Land Score (Normalized, Unweighted)]]*$AD$3</f>
        <v>3.4656971570116782E-2</v>
      </c>
      <c r="AG63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0.37186688192235895</v>
      </c>
      <c r="AH631" s="406">
        <f t="shared" si="9"/>
        <v>546</v>
      </c>
      <c r="AI63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0.37186688192235895</v>
      </c>
      <c r="AJ631" s="257">
        <f>FME_Ranking1[[#This Row],[Addition check]]-FME_Ranking1[[#This Row],[Weighted Score Based on Normalized Reported Factors]]</f>
        <v>0</v>
      </c>
      <c r="AK631" s="178">
        <f>_xlfn.RANK.EQ(AI631,$AI$6:$AI$2341,0)+COUNTIF($AI$6:AI631,AI631)-1</f>
        <v>548</v>
      </c>
    </row>
    <row r="632" spans="1:37" x14ac:dyDescent="0.25">
      <c r="A632" t="s">
        <v>7557</v>
      </c>
      <c r="B632">
        <f>_xlfn.XLOOKUP(FME_Ranking1[[#This Row],[FME ID]],FME_Input[FME_ID],FME_Input[RFPG_NUM])</f>
        <v>8</v>
      </c>
      <c r="C632" t="str">
        <f>_xlfn.XLOOKUP(FME_Ranking1[[#This Row],[FME ID]],FME_Input[FME_ID],FME_Input[FME_NAME])</f>
        <v>Channel Stabilization</v>
      </c>
      <c r="D632" t="str">
        <f>_xlfn.XLOOKUP(FME_Ranking1[[#This Row],[FME ID]],FME_Input[FME_ID],FME_Input[DESCR])</f>
        <v>Stabilize channel at inner loop culverts.</v>
      </c>
      <c r="E632" s="256">
        <f>_xlfn.XLOOKUP(FME_Ranking1[[#This Row],[FME ID]],FME_Input[FME_ID],FME_Input[FME_COST])</f>
        <v>556000</v>
      </c>
      <c r="F632" t="str">
        <f>_xlfn.XLOOKUP(FME_Ranking1[[#This Row],[FME ID]],FME_Input[FME_ID],FME_Input[EMER_NEED])</f>
        <v>No</v>
      </c>
      <c r="G632">
        <f>IF(FME_Ranking!F632="Yes",100,0)</f>
        <v>0</v>
      </c>
      <c r="H632">
        <f>FME_Ranking1[[#This Row],[Emergency Need Score (Normalized, Unweighted)]]*$F$3</f>
        <v>0</v>
      </c>
      <c r="I632" s="246">
        <f>_xlfn.XLOOKUP(FME_Ranking1[[#This Row],[FME ID]],FME_Input[FME_ID],FME_Input[STRUCT_100])</f>
        <v>366</v>
      </c>
      <c r="J632" s="178">
        <f>(FME_Ranking1[[#This Row],[Structures 100 Raw]]/I$2)*100</f>
        <v>0.19599023261791543</v>
      </c>
      <c r="K632" s="178">
        <f>FME_Ranking1[[#This Row],[Structures 100  Score (Normalized, Unweighted)]]*$I$3</f>
        <v>2.9398534892687313E-2</v>
      </c>
      <c r="L632" s="246">
        <f>_xlfn.XLOOKUP(FME_Ranking1[[#This Row],[FME ID]],FME_Input[FME_ID],FME_Input[RES_STRUCT100])</f>
        <v>282</v>
      </c>
      <c r="M632" s="230">
        <f>(FME_Ranking1[[#This Row],[Res Structures Raw]]/L$2)*100</f>
        <v>0.1997421767647434</v>
      </c>
      <c r="N632" s="180">
        <f>FME_Ranking1[[#This Row],[Res Structures Score (Normalized, Unweighted)]]*$L$3</f>
        <v>1.9974217676474341E-2</v>
      </c>
      <c r="O632" s="244">
        <f>_xlfn.XLOOKUP(FME_Ranking1[[#This Row],[FME ID]],FME_Input[FME_ID],FME_Input[POP100])</f>
        <v>1127</v>
      </c>
      <c r="P632" s="178">
        <f>(FME_Ranking1[[#This Row],[Pop Raw]]/$O$2)*100</f>
        <v>0.11537697661133622</v>
      </c>
      <c r="Q632" s="178">
        <f>FME_Ranking1[[#This Row],[Pop Score (Normalized, Unweighted)]]*$O$3</f>
        <v>1.7306546491700433E-2</v>
      </c>
      <c r="R632" s="137">
        <f>_xlfn.XLOOKUP(FME_Ranking1[[#This Row],[FME ID]],FME_Input[FME_ID],FME_Input[CRITFAC100])</f>
        <v>0</v>
      </c>
      <c r="S632" s="230">
        <f>(FME_Ranking1[[#This Row],[Critical Facilities Raw]]/$R$2)*100</f>
        <v>0</v>
      </c>
      <c r="T632" s="180">
        <f>FME_Ranking1[[#This Row],[Critical Facilities Score (Normalized, Unweighted)]]*$R$3</f>
        <v>0</v>
      </c>
      <c r="U632">
        <f>_xlfn.XLOOKUP(FME_Ranking1[[#This Row],[FME ID]],FME_Input[FME_ID],FME_Input[LWC])</f>
        <v>9</v>
      </c>
      <c r="V632" s="178">
        <f>(FME_Ranking1[[#This Row],[LWC Raw]]/$U$2)*100</f>
        <v>0.5181347150259068</v>
      </c>
      <c r="W632" s="178">
        <f>FME_Ranking1[[#This Row],[LWC Score (Normalized, Unweighted)]]*$U$3</f>
        <v>0.10362694300518137</v>
      </c>
      <c r="X632" s="246">
        <f>_xlfn.XLOOKUP(FME_Ranking1[[#This Row],[FME ID]],FME_Input[FME_ID],FME_Input[ROADCLS])</f>
        <v>102</v>
      </c>
      <c r="Y632" s="230">
        <f>(FME_Ranking1[[#This Row],[Closures Raw]]/$X$2)*100</f>
        <v>1.072442435075176</v>
      </c>
      <c r="Z632" s="180">
        <f>FME_Ranking1[[#This Row],[Closures Score (Normalized, Unweighted)]]*$X$3</f>
        <v>5.36221217537588E-2</v>
      </c>
      <c r="AA632" s="253">
        <f>_xlfn.XLOOKUP(FME_Ranking1[[#This Row],[FME ID]],FME_Input[FME_ID],FME_Input[ROAD_MILES100])</f>
        <v>19.273000717163089</v>
      </c>
      <c r="AB632" s="178">
        <f>(FME_Ranking1[[#This Row],[Miles Raw]]/$AA$2)*100</f>
        <v>0.25340539168108878</v>
      </c>
      <c r="AC632" s="178">
        <f>FME_Ranking1[[#This Row],[Miles Score (Normalized, Unweighted)]]*$AA$3</f>
        <v>2.534053916810888E-2</v>
      </c>
      <c r="AD632" s="255">
        <f>_xlfn.XLOOKUP(FME_Ranking1[[#This Row],[FME ID]],FME_Input[FME_ID],FME_Input[FARMACRE100])</f>
        <v>2627.06005859375</v>
      </c>
      <c r="AE632" s="230">
        <f>(FME_Ranking1[[#This Row],[Ag Land Raw]]/$AD$2)*100</f>
        <v>0.10832819677236157</v>
      </c>
      <c r="AF632" s="231">
        <f>FME_Ranking1[[#This Row],[Ag Land Score (Normalized, Unweighted)]]*$AD$3</f>
        <v>5.4164098386180783E-3</v>
      </c>
      <c r="AG63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0.25468531282652923</v>
      </c>
      <c r="AH632" s="406">
        <f t="shared" si="9"/>
        <v>685</v>
      </c>
      <c r="AI63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0.25468531282652923</v>
      </c>
      <c r="AJ632" s="257">
        <f>FME_Ranking1[[#This Row],[Addition check]]-FME_Ranking1[[#This Row],[Weighted Score Based on Normalized Reported Factors]]</f>
        <v>0</v>
      </c>
      <c r="AK632" s="178">
        <f>_xlfn.RANK.EQ(AI632,$AI$6:$AI$2341,0)+COUNTIF($AI$6:AI632,AI632)-1</f>
        <v>685</v>
      </c>
    </row>
    <row r="633" spans="1:37" x14ac:dyDescent="0.25">
      <c r="A633" t="s">
        <v>2159</v>
      </c>
      <c r="B633">
        <f>_xlfn.XLOOKUP(FME_Ranking1[[#This Row],[FME ID]],FME_Input[FME_ID],FME_Input[RFPG_NUM])</f>
        <v>6</v>
      </c>
      <c r="C633" t="str">
        <f>_xlfn.XLOOKUP(FME_Ranking1[[#This Row],[FME ID]],FME_Input[FME_ID],FME_Input[FME_NAME])</f>
        <v>Sawdust Road Bridge Elevation Project</v>
      </c>
      <c r="D633" t="str">
        <f>_xlfn.XLOOKUP(FME_Ranking1[[#This Row],[FME ID]],FME_Input[FME_ID],FME_Input[DESCR])</f>
        <v xml:space="preserve">Further study of study, design, elevation, &amp; replacement of the Sawdust Road Bridge to mitigate the risks associated with riverine flooding for the citizens residing in the Grogan’s Point and Timberlakes - Timberridge Subdivisions. </v>
      </c>
      <c r="E633" s="256">
        <f>_xlfn.XLOOKUP(FME_Ranking1[[#This Row],[FME ID]],FME_Input[FME_ID],FME_Input[FME_COST])</f>
        <v>30000</v>
      </c>
      <c r="F633" t="str">
        <f>_xlfn.XLOOKUP(FME_Ranking1[[#This Row],[FME ID]],FME_Input[FME_ID],FME_Input[EMER_NEED])</f>
        <v>No</v>
      </c>
      <c r="G633">
        <f>IF(FME_Ranking!F633="Yes",100,0)</f>
        <v>0</v>
      </c>
      <c r="H633">
        <f>FME_Ranking1[[#This Row],[Emergency Need Score (Normalized, Unweighted)]]*$F$3</f>
        <v>0</v>
      </c>
      <c r="I633" s="246">
        <f>_xlfn.XLOOKUP(FME_Ranking1[[#This Row],[FME ID]],FME_Input[FME_ID],FME_Input[STRUCT_100])</f>
        <v>794</v>
      </c>
      <c r="J633" s="178">
        <f>(FME_Ranking1[[#This Row],[Structures 100 Raw]]/I$2)*100</f>
        <v>0.42518099644433016</v>
      </c>
      <c r="K633" s="178">
        <f>FME_Ranking1[[#This Row],[Structures 100  Score (Normalized, Unweighted)]]*$I$3</f>
        <v>6.3777149466649516E-2</v>
      </c>
      <c r="L633" s="246">
        <f>_xlfn.XLOOKUP(FME_Ranking1[[#This Row],[FME ID]],FME_Input[FME_ID],FME_Input[RES_STRUCT100])</f>
        <v>633</v>
      </c>
      <c r="M633" s="230">
        <f>(FME_Ranking1[[#This Row],[Res Structures Raw]]/L$2)*100</f>
        <v>0.4483574393336261</v>
      </c>
      <c r="N633" s="180">
        <f>FME_Ranking1[[#This Row],[Res Structures Score (Normalized, Unweighted)]]*$L$3</f>
        <v>4.4835743933362614E-2</v>
      </c>
      <c r="O633" s="244">
        <f>_xlfn.XLOOKUP(FME_Ranking1[[#This Row],[FME ID]],FME_Input[FME_ID],FME_Input[POP100])</f>
        <v>5042</v>
      </c>
      <c r="P633" s="178">
        <f>(FME_Ranking1[[#This Row],[Pop Raw]]/$O$2)*100</f>
        <v>0.51617632304734451</v>
      </c>
      <c r="Q633" s="178">
        <f>FME_Ranking1[[#This Row],[Pop Score (Normalized, Unweighted)]]*$O$3</f>
        <v>7.7426448457101671E-2</v>
      </c>
      <c r="R633" s="137">
        <f>_xlfn.XLOOKUP(FME_Ranking1[[#This Row],[FME ID]],FME_Input[FME_ID],FME_Input[CRITFAC100])</f>
        <v>5</v>
      </c>
      <c r="S633" s="230">
        <f>(FME_Ranking1[[#This Row],[Critical Facilities Raw]]/$R$2)*100</f>
        <v>0.21440823327615782</v>
      </c>
      <c r="T633" s="180">
        <f>FME_Ranking1[[#This Row],[Critical Facilities Score (Normalized, Unweighted)]]*$R$3</f>
        <v>4.2881646655231566E-2</v>
      </c>
      <c r="U633">
        <f>_xlfn.XLOOKUP(FME_Ranking1[[#This Row],[FME ID]],FME_Input[FME_ID],FME_Input[LWC])</f>
        <v>0</v>
      </c>
      <c r="V633" s="178">
        <f>(FME_Ranking1[[#This Row],[LWC Raw]]/$U$2)*100</f>
        <v>0</v>
      </c>
      <c r="W633" s="178">
        <f>FME_Ranking1[[#This Row],[LWC Score (Normalized, Unweighted)]]*$U$3</f>
        <v>0</v>
      </c>
      <c r="X633" s="246">
        <f>_xlfn.XLOOKUP(FME_Ranking1[[#This Row],[FME ID]],FME_Input[FME_ID],FME_Input[ROADCLS])</f>
        <v>0</v>
      </c>
      <c r="Y633" s="230">
        <f>(FME_Ranking1[[#This Row],[Closures Raw]]/$X$2)*100</f>
        <v>0</v>
      </c>
      <c r="Z633" s="180">
        <f>FME_Ranking1[[#This Row],[Closures Score (Normalized, Unweighted)]]*$X$3</f>
        <v>0</v>
      </c>
      <c r="AA633" s="253">
        <f>_xlfn.XLOOKUP(FME_Ranking1[[#This Row],[FME ID]],FME_Input[FME_ID],FME_Input[ROAD_MILES100])</f>
        <v>18.37222862243652</v>
      </c>
      <c r="AB633" s="178">
        <f>(FME_Ranking1[[#This Row],[Miles Raw]]/$AA$2)*100</f>
        <v>0.2415618542460328</v>
      </c>
      <c r="AC633" s="178">
        <f>FME_Ranking1[[#This Row],[Miles Score (Normalized, Unweighted)]]*$AA$3</f>
        <v>2.415618542460328E-2</v>
      </c>
      <c r="AD633" s="255">
        <f>_xlfn.XLOOKUP(FME_Ranking1[[#This Row],[FME ID]],FME_Input[FME_ID],FME_Input[FARMACRE100])</f>
        <v>15.153050422668461</v>
      </c>
      <c r="AE633" s="230">
        <f>(FME_Ranking1[[#This Row],[Ag Land Raw]]/$AD$2)*100</f>
        <v>6.2484396674472391E-4</v>
      </c>
      <c r="AF633" s="231">
        <f>FME_Ranking1[[#This Row],[Ag Land Score (Normalized, Unweighted)]]*$AD$3</f>
        <v>3.1242198337236198E-5</v>
      </c>
      <c r="AG63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0.25310841613528584</v>
      </c>
      <c r="AH633" s="406">
        <f t="shared" si="9"/>
        <v>687</v>
      </c>
      <c r="AI63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0.25310841613528584</v>
      </c>
      <c r="AJ633" s="257">
        <f>FME_Ranking1[[#This Row],[Addition check]]-FME_Ranking1[[#This Row],[Weighted Score Based on Normalized Reported Factors]]</f>
        <v>0</v>
      </c>
      <c r="AK633" s="178">
        <f>_xlfn.RANK.EQ(AI633,$AI$6:$AI$2341,0)+COUNTIF($AI$6:AI633,AI633)-1</f>
        <v>687</v>
      </c>
    </row>
    <row r="634" spans="1:37" x14ac:dyDescent="0.25">
      <c r="A634" t="s">
        <v>3191</v>
      </c>
      <c r="B634">
        <f>_xlfn.XLOOKUP(FME_Ranking1[[#This Row],[FME ID]],FME_Input[FME_ID],FME_Input[RFPG_NUM])</f>
        <v>1</v>
      </c>
      <c r="C634" t="str">
        <f>_xlfn.XLOOKUP(FME_Ranking1[[#This Row],[FME ID]],FME_Input[FME_ID],FME_Input[FME_NAME])</f>
        <v xml:space="preserve">Farmers Creek Watershed Authority Dam Evaluation </v>
      </c>
      <c r="D634" t="str">
        <f>_xlfn.XLOOKUP(FME_Ranking1[[#This Row],[FME ID]],FME_Input[FME_ID],FME_Input[DESCR])</f>
        <v>Investigate survey responses of deficient or non-functioning flood protection dams</v>
      </c>
      <c r="E634" s="256">
        <f>_xlfn.XLOOKUP(FME_Ranking1[[#This Row],[FME ID]],FME_Input[FME_ID],FME_Input[FME_COST])</f>
        <v>517000</v>
      </c>
      <c r="F634" t="str">
        <f>_xlfn.XLOOKUP(FME_Ranking1[[#This Row],[FME ID]],FME_Input[FME_ID],FME_Input[EMER_NEED])</f>
        <v>No</v>
      </c>
      <c r="G634">
        <f>IF(FME_Ranking!F634="Yes",100,0)</f>
        <v>0</v>
      </c>
      <c r="H634">
        <f>FME_Ranking1[[#This Row],[Emergency Need Score (Normalized, Unweighted)]]*$F$3</f>
        <v>0</v>
      </c>
      <c r="I634" s="246">
        <f>_xlfn.XLOOKUP(FME_Ranking1[[#This Row],[FME ID]],FME_Input[FME_ID],FME_Input[STRUCT_100])</f>
        <v>197</v>
      </c>
      <c r="J634" s="178">
        <f>(FME_Ranking1[[#This Row],[Structures 100 Raw]]/I$2)*100</f>
        <v>0.1054920104528124</v>
      </c>
      <c r="K634" s="178">
        <f>FME_Ranking1[[#This Row],[Structures 100  Score (Normalized, Unweighted)]]*$I$3</f>
        <v>1.5823801567921857E-2</v>
      </c>
      <c r="L634" s="246">
        <f>_xlfn.XLOOKUP(FME_Ranking1[[#This Row],[FME ID]],FME_Input[FME_ID],FME_Input[RES_STRUCT100])</f>
        <v>128</v>
      </c>
      <c r="M634" s="230">
        <f>(FME_Ranking1[[#This Row],[Res Structures Raw]]/L$2)*100</f>
        <v>9.0663115694635296E-2</v>
      </c>
      <c r="N634" s="180">
        <f>FME_Ranking1[[#This Row],[Res Structures Score (Normalized, Unweighted)]]*$L$3</f>
        <v>9.0663115694635307E-3</v>
      </c>
      <c r="O634" s="244">
        <f>_xlfn.XLOOKUP(FME_Ranking1[[#This Row],[FME ID]],FME_Input[FME_ID],FME_Input[POP100])</f>
        <v>303</v>
      </c>
      <c r="P634" s="178">
        <f>(FME_Ranking1[[#This Row],[Pop Raw]]/$O$2)*100</f>
        <v>3.1019719532595275E-2</v>
      </c>
      <c r="Q634" s="178">
        <f>FME_Ranking1[[#This Row],[Pop Score (Normalized, Unweighted)]]*$O$3</f>
        <v>4.6529579298892907E-3</v>
      </c>
      <c r="R634" s="137">
        <f>_xlfn.XLOOKUP(FME_Ranking1[[#This Row],[FME ID]],FME_Input[FME_ID],FME_Input[CRITFAC100])</f>
        <v>0</v>
      </c>
      <c r="S634" s="230">
        <f>(FME_Ranking1[[#This Row],[Critical Facilities Raw]]/$R$2)*100</f>
        <v>0</v>
      </c>
      <c r="T634" s="180">
        <f>FME_Ranking1[[#This Row],[Critical Facilities Score (Normalized, Unweighted)]]*$R$3</f>
        <v>0</v>
      </c>
      <c r="U634">
        <f>_xlfn.XLOOKUP(FME_Ranking1[[#This Row],[FME ID]],FME_Input[FME_ID],FME_Input[LWC])</f>
        <v>14</v>
      </c>
      <c r="V634" s="178">
        <f>(FME_Ranking1[[#This Row],[LWC Raw]]/$U$2)*100</f>
        <v>0.80598733448474369</v>
      </c>
      <c r="W634" s="178">
        <f>FME_Ranking1[[#This Row],[LWC Score (Normalized, Unweighted)]]*$U$3</f>
        <v>0.16119746689694875</v>
      </c>
      <c r="X634" s="246">
        <f>_xlfn.XLOOKUP(FME_Ranking1[[#This Row],[FME ID]],FME_Input[FME_ID],FME_Input[ROADCLS])</f>
        <v>34</v>
      </c>
      <c r="Y634" s="230">
        <f>(FME_Ranking1[[#This Row],[Closures Raw]]/$X$2)*100</f>
        <v>0.35748081169172535</v>
      </c>
      <c r="Z634" s="180">
        <f>FME_Ranking1[[#This Row],[Closures Score (Normalized, Unweighted)]]*$X$3</f>
        <v>1.7874040584586269E-2</v>
      </c>
      <c r="AA634" s="253">
        <f>_xlfn.XLOOKUP(FME_Ranking1[[#This Row],[FME ID]],FME_Input[FME_ID],FME_Input[ROAD_MILES100])</f>
        <v>8.3720064163208008</v>
      </c>
      <c r="AB634" s="178">
        <f>(FME_Ranking1[[#This Row],[Miles Raw]]/$AA$2)*100</f>
        <v>0.11007686847617361</v>
      </c>
      <c r="AC634" s="178">
        <f>FME_Ranking1[[#This Row],[Miles Score (Normalized, Unweighted)]]*$AA$3</f>
        <v>1.1007686847617361E-2</v>
      </c>
      <c r="AD634" s="255">
        <f>_xlfn.XLOOKUP(FME_Ranking1[[#This Row],[FME ID]],FME_Input[FME_ID],FME_Input[FARMACRE100])</f>
        <v>9501.72265625</v>
      </c>
      <c r="AE634" s="230">
        <f>(FME_Ranking1[[#This Row],[Ag Land Raw]]/$AD$2)*100</f>
        <v>0.39180850784722321</v>
      </c>
      <c r="AF634" s="231">
        <f>FME_Ranking1[[#This Row],[Ag Land Score (Normalized, Unweighted)]]*$AD$3</f>
        <v>1.9590425392361163E-2</v>
      </c>
      <c r="AG63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0.23921269078878821</v>
      </c>
      <c r="AH634" s="406">
        <f t="shared" si="9"/>
        <v>729</v>
      </c>
      <c r="AI63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0.23921269078878821</v>
      </c>
      <c r="AJ634" s="257">
        <f>FME_Ranking1[[#This Row],[Addition check]]-FME_Ranking1[[#This Row],[Weighted Score Based on Normalized Reported Factors]]</f>
        <v>0</v>
      </c>
      <c r="AK634" s="178">
        <f>_xlfn.RANK.EQ(AI634,$AI$6:$AI$2341,0)+COUNTIF($AI$6:AI634,AI634)-1</f>
        <v>729</v>
      </c>
    </row>
    <row r="635" spans="1:37" x14ac:dyDescent="0.25">
      <c r="A635" t="s">
        <v>2468</v>
      </c>
      <c r="B635">
        <f>_xlfn.XLOOKUP(FME_Ranking1[[#This Row],[FME ID]],FME_Input[FME_ID],FME_Input[RFPG_NUM])</f>
        <v>1</v>
      </c>
      <c r="C635" t="str">
        <f>_xlfn.XLOOKUP(FME_Ranking1[[#This Row],[FME ID]],FME_Input[FME_ID],FME_Input[FME_NAME])</f>
        <v>Sherman County FIS</v>
      </c>
      <c r="D635" t="str">
        <f>_xlfn.XLOOKUP(FME_Ranking1[[#This Row],[FME ID]],FME_Input[FME_ID],FME_Input[DESCR])</f>
        <v>Perform flood insurance study for the county and develop regulatory mapping</v>
      </c>
      <c r="E635" s="256">
        <f>_xlfn.XLOOKUP(FME_Ranking1[[#This Row],[FME ID]],FME_Input[FME_ID],FME_Input[FME_COST])</f>
        <v>838000</v>
      </c>
      <c r="F635" t="str">
        <f>_xlfn.XLOOKUP(FME_Ranking1[[#This Row],[FME ID]],FME_Input[FME_ID],FME_Input[EMER_NEED])</f>
        <v>No</v>
      </c>
      <c r="G635">
        <f>IF(FME_Ranking!F635="Yes",100,0)</f>
        <v>0</v>
      </c>
      <c r="H635">
        <f>FME_Ranking1[[#This Row],[Emergency Need Score (Normalized, Unweighted)]]*$F$3</f>
        <v>0</v>
      </c>
      <c r="I635" s="246">
        <f>_xlfn.XLOOKUP(FME_Ranking1[[#This Row],[FME ID]],FME_Input[FME_ID],FME_Input[STRUCT_100])</f>
        <v>21</v>
      </c>
      <c r="J635" s="178">
        <f>(FME_Ranking1[[#This Row],[Structures 100 Raw]]/I$2)*100</f>
        <v>1.1245341215782032E-2</v>
      </c>
      <c r="K635" s="178">
        <f>FME_Ranking1[[#This Row],[Structures 100  Score (Normalized, Unweighted)]]*$I$3</f>
        <v>1.6868011823673048E-3</v>
      </c>
      <c r="L635" s="246">
        <f>_xlfn.XLOOKUP(FME_Ranking1[[#This Row],[FME ID]],FME_Input[FME_ID],FME_Input[RES_STRUCT100])</f>
        <v>0</v>
      </c>
      <c r="M635" s="230">
        <f>(FME_Ranking1[[#This Row],[Res Structures Raw]]/L$2)*100</f>
        <v>0</v>
      </c>
      <c r="N635" s="180">
        <f>FME_Ranking1[[#This Row],[Res Structures Score (Normalized, Unweighted)]]*$L$3</f>
        <v>0</v>
      </c>
      <c r="O635" s="244">
        <f>_xlfn.XLOOKUP(FME_Ranking1[[#This Row],[FME ID]],FME_Input[FME_ID],FME_Input[POP100])</f>
        <v>32</v>
      </c>
      <c r="P635" s="178">
        <f>(FME_Ranking1[[#This Row],[Pop Raw]]/$O$2)*100</f>
        <v>3.2760099836404251E-3</v>
      </c>
      <c r="Q635" s="178">
        <f>FME_Ranking1[[#This Row],[Pop Score (Normalized, Unweighted)]]*$O$3</f>
        <v>4.9140149754606374E-4</v>
      </c>
      <c r="R635" s="137">
        <f>_xlfn.XLOOKUP(FME_Ranking1[[#This Row],[FME ID]],FME_Input[FME_ID],FME_Input[CRITFAC100])</f>
        <v>3</v>
      </c>
      <c r="S635" s="230">
        <f>(FME_Ranking1[[#This Row],[Critical Facilities Raw]]/$R$2)*100</f>
        <v>0.1286449399656947</v>
      </c>
      <c r="T635" s="180">
        <f>FME_Ranking1[[#This Row],[Critical Facilities Score (Normalized, Unweighted)]]*$R$3</f>
        <v>2.5728987993138941E-2</v>
      </c>
      <c r="U635">
        <f>_xlfn.XLOOKUP(FME_Ranking1[[#This Row],[FME ID]],FME_Input[FME_ID],FME_Input[LWC])</f>
        <v>9</v>
      </c>
      <c r="V635" s="178">
        <f>(FME_Ranking1[[#This Row],[LWC Raw]]/$U$2)*100</f>
        <v>0.5181347150259068</v>
      </c>
      <c r="W635" s="178">
        <f>FME_Ranking1[[#This Row],[LWC Score (Normalized, Unweighted)]]*$U$3</f>
        <v>0.10362694300518137</v>
      </c>
      <c r="X635" s="246">
        <f>_xlfn.XLOOKUP(FME_Ranking1[[#This Row],[FME ID]],FME_Input[FME_ID],FME_Input[ROADCLS])</f>
        <v>10</v>
      </c>
      <c r="Y635" s="230">
        <f>(FME_Ranking1[[#This Row],[Closures Raw]]/$X$2)*100</f>
        <v>0.10514141520344865</v>
      </c>
      <c r="Z635" s="180">
        <f>FME_Ranking1[[#This Row],[Closures Score (Normalized, Unweighted)]]*$X$3</f>
        <v>5.2570707601724328E-3</v>
      </c>
      <c r="AA635" s="253">
        <f>_xlfn.XLOOKUP(FME_Ranking1[[#This Row],[FME ID]],FME_Input[FME_ID],FME_Input[ROAD_MILES100])</f>
        <v>56.692455291748047</v>
      </c>
      <c r="AB635" s="178">
        <f>(FME_Ranking1[[#This Row],[Miles Raw]]/$AA$2)*100</f>
        <v>0.74540410439431937</v>
      </c>
      <c r="AC635" s="178">
        <f>FME_Ranking1[[#This Row],[Miles Score (Normalized, Unweighted)]]*$AA$3</f>
        <v>7.4540410439431937E-2</v>
      </c>
      <c r="AD635" s="255">
        <f>_xlfn.XLOOKUP(FME_Ranking1[[#This Row],[FME ID]],FME_Input[FME_ID],FME_Input[FARMACRE100])</f>
        <v>44312.84375</v>
      </c>
      <c r="AE635" s="230">
        <f>(FME_Ranking1[[#This Row],[Ag Land Raw]]/$AD$2)*100</f>
        <v>1.8272633096414632</v>
      </c>
      <c r="AF635" s="231">
        <f>FME_Ranking1[[#This Row],[Ag Land Score (Normalized, Unweighted)]]*$AD$3</f>
        <v>9.1363165482073169E-2</v>
      </c>
      <c r="AG63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0.30269478035991121</v>
      </c>
      <c r="AH635" s="406">
        <f t="shared" si="9"/>
        <v>612</v>
      </c>
      <c r="AI63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0.30269478035991121</v>
      </c>
      <c r="AJ635" s="257">
        <f>FME_Ranking1[[#This Row],[Addition check]]-FME_Ranking1[[#This Row],[Weighted Score Based on Normalized Reported Factors]]</f>
        <v>0</v>
      </c>
      <c r="AK635" s="178">
        <f>_xlfn.RANK.EQ(AI635,$AI$6:$AI$2341,0)+COUNTIF($AI$6:AI635,AI635)-1</f>
        <v>612</v>
      </c>
    </row>
    <row r="636" spans="1:37" x14ac:dyDescent="0.25">
      <c r="A636" t="s">
        <v>370</v>
      </c>
      <c r="B636">
        <f>_xlfn.XLOOKUP(FME_Ranking1[[#This Row],[FME ID]],FME_Input[FME_ID],FME_Input[RFPG_NUM])</f>
        <v>10</v>
      </c>
      <c r="C636" t="str">
        <f>_xlfn.XLOOKUP(FME_Ranking1[[#This Row],[FME ID]],FME_Input[FME_ID],FME_Input[FME_NAME])</f>
        <v>Stormwater Diversion Project</v>
      </c>
      <c r="D636" t="str">
        <f>_xlfn.XLOOKUP(FME_Ranking1[[#This Row],[FME ID]],FME_Input[FME_ID],FME_Input[DESCR])</f>
        <v xml:space="preserve">Develop stormwater diversion project through town_x000D_
</v>
      </c>
      <c r="E636" s="256">
        <f>_xlfn.XLOOKUP(FME_Ranking1[[#This Row],[FME ID]],FME_Input[FME_ID],FME_Input[FME_COST])</f>
        <v>200000</v>
      </c>
      <c r="F636" t="str">
        <f>_xlfn.XLOOKUP(FME_Ranking1[[#This Row],[FME ID]],FME_Input[FME_ID],FME_Input[EMER_NEED])</f>
        <v>No</v>
      </c>
      <c r="G636">
        <f>IF(FME_Ranking!F636="Yes",100,0)</f>
        <v>0</v>
      </c>
      <c r="H636">
        <f>FME_Ranking1[[#This Row],[Emergency Need Score (Normalized, Unweighted)]]*$F$3</f>
        <v>0</v>
      </c>
      <c r="I636" s="246">
        <f>_xlfn.XLOOKUP(FME_Ranking1[[#This Row],[FME ID]],FME_Input[FME_ID],FME_Input[STRUCT_100])</f>
        <v>1223</v>
      </c>
      <c r="J636" s="178">
        <f>(FME_Ranking1[[#This Row],[Structures 100 Raw]]/I$2)*100</f>
        <v>0.65490725270959171</v>
      </c>
      <c r="K636" s="178">
        <f>FME_Ranking1[[#This Row],[Structures 100  Score (Normalized, Unweighted)]]*$I$3</f>
        <v>9.8236087906438757E-2</v>
      </c>
      <c r="L636" s="246">
        <f>_xlfn.XLOOKUP(FME_Ranking1[[#This Row],[FME ID]],FME_Input[FME_ID],FME_Input[RES_STRUCT100])</f>
        <v>1010</v>
      </c>
      <c r="M636" s="230">
        <f>(FME_Ranking1[[#This Row],[Res Structures Raw]]/L$2)*100</f>
        <v>0.71538864727798157</v>
      </c>
      <c r="N636" s="180">
        <f>FME_Ranking1[[#This Row],[Res Structures Score (Normalized, Unweighted)]]*$L$3</f>
        <v>7.1538864727798163E-2</v>
      </c>
      <c r="O636" s="244">
        <f>_xlfn.XLOOKUP(FME_Ranking1[[#This Row],[FME ID]],FME_Input[FME_ID],FME_Input[POP100])</f>
        <v>1908</v>
      </c>
      <c r="P636" s="178">
        <f>(FME_Ranking1[[#This Row],[Pop Raw]]/$O$2)*100</f>
        <v>0.19533209527456036</v>
      </c>
      <c r="Q636" s="178">
        <f>FME_Ranking1[[#This Row],[Pop Score (Normalized, Unweighted)]]*$O$3</f>
        <v>2.9299814291184053E-2</v>
      </c>
      <c r="R636" s="137">
        <f>_xlfn.XLOOKUP(FME_Ranking1[[#This Row],[FME ID]],FME_Input[FME_ID],FME_Input[CRITFAC100])</f>
        <v>2</v>
      </c>
      <c r="S636" s="230">
        <f>(FME_Ranking1[[#This Row],[Critical Facilities Raw]]/$R$2)*100</f>
        <v>8.5763293310463118E-2</v>
      </c>
      <c r="T636" s="180">
        <f>FME_Ranking1[[#This Row],[Critical Facilities Score (Normalized, Unweighted)]]*$R$3</f>
        <v>1.7152658662092625E-2</v>
      </c>
      <c r="U636">
        <f>_xlfn.XLOOKUP(FME_Ranking1[[#This Row],[FME ID]],FME_Input[FME_ID],FME_Input[LWC])</f>
        <v>1</v>
      </c>
      <c r="V636" s="178">
        <f>(FME_Ranking1[[#This Row],[LWC Raw]]/$U$2)*100</f>
        <v>5.7570523891767422E-2</v>
      </c>
      <c r="W636" s="178">
        <f>FME_Ranking1[[#This Row],[LWC Score (Normalized, Unweighted)]]*$U$3</f>
        <v>1.1514104778353485E-2</v>
      </c>
      <c r="X636" s="246">
        <f>_xlfn.XLOOKUP(FME_Ranking1[[#This Row],[FME ID]],FME_Input[FME_ID],FME_Input[ROADCLS])</f>
        <v>0</v>
      </c>
      <c r="Y636" s="230">
        <f>(FME_Ranking1[[#This Row],[Closures Raw]]/$X$2)*100</f>
        <v>0</v>
      </c>
      <c r="Z636" s="180">
        <f>FME_Ranking1[[#This Row],[Closures Score (Normalized, Unweighted)]]*$X$3</f>
        <v>0</v>
      </c>
      <c r="AA636" s="253">
        <f>_xlfn.XLOOKUP(FME_Ranking1[[#This Row],[FME ID]],FME_Input[FME_ID],FME_Input[ROAD_MILES100])</f>
        <v>26.25538444519043</v>
      </c>
      <c r="AB636" s="178">
        <f>(FME_Ranking1[[#This Row],[Miles Raw]]/$AA$2)*100</f>
        <v>0.34521121421150341</v>
      </c>
      <c r="AC636" s="178">
        <f>FME_Ranking1[[#This Row],[Miles Score (Normalized, Unweighted)]]*$AA$3</f>
        <v>3.4521121421150346E-2</v>
      </c>
      <c r="AD636" s="255">
        <f>_xlfn.XLOOKUP(FME_Ranking1[[#This Row],[FME ID]],FME_Input[FME_ID],FME_Input[FARMACRE100])</f>
        <v>137.2613830566406</v>
      </c>
      <c r="AE636" s="230">
        <f>(FME_Ranking1[[#This Row],[Ag Land Raw]]/$AD$2)*100</f>
        <v>5.6600449861681865E-3</v>
      </c>
      <c r="AF636" s="231">
        <f>FME_Ranking1[[#This Row],[Ag Land Score (Normalized, Unweighted)]]*$AD$3</f>
        <v>2.8300224930840934E-4</v>
      </c>
      <c r="AG63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0.26254565403632579</v>
      </c>
      <c r="AH636" s="406">
        <f t="shared" si="9"/>
        <v>670</v>
      </c>
      <c r="AI63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0.26254565403632579</v>
      </c>
      <c r="AJ636" s="257">
        <f>FME_Ranking1[[#This Row],[Addition check]]-FME_Ranking1[[#This Row],[Weighted Score Based on Normalized Reported Factors]]</f>
        <v>0</v>
      </c>
      <c r="AK636" s="178">
        <f>_xlfn.RANK.EQ(AI636,$AI$6:$AI$2341,0)+COUNTIF($AI$6:AI636,AI636)-1</f>
        <v>670</v>
      </c>
    </row>
    <row r="637" spans="1:37" x14ac:dyDescent="0.25">
      <c r="A637" t="s">
        <v>385</v>
      </c>
      <c r="B637">
        <f>_xlfn.XLOOKUP(FME_Ranking1[[#This Row],[FME ID]],FME_Input[FME_ID],FME_Input[RFPG_NUM])</f>
        <v>10</v>
      </c>
      <c r="C637" t="str">
        <f>_xlfn.XLOOKUP(FME_Ranking1[[#This Row],[FME ID]],FME_Input[FME_ID],FME_Input[FME_NAME])</f>
        <v>Wastewater Treatment Plant Flooding</v>
      </c>
      <c r="D637" t="str">
        <f>_xlfn.XLOOKUP(FME_Ranking1[[#This Row],[FME ID]],FME_Input[FME_ID],FME_Input[DESCR])</f>
        <v>Wastewater Treatment Plant Floodproofing</v>
      </c>
      <c r="E637" s="256">
        <f>_xlfn.XLOOKUP(FME_Ranking1[[#This Row],[FME ID]],FME_Input[FME_ID],FME_Input[FME_COST])</f>
        <v>200000</v>
      </c>
      <c r="F637" t="str">
        <f>_xlfn.XLOOKUP(FME_Ranking1[[#This Row],[FME ID]],FME_Input[FME_ID],FME_Input[EMER_NEED])</f>
        <v>No</v>
      </c>
      <c r="G637">
        <f>IF(FME_Ranking!F637="Yes",100,0)</f>
        <v>0</v>
      </c>
      <c r="H637">
        <f>FME_Ranking1[[#This Row],[Emergency Need Score (Normalized, Unweighted)]]*$F$3</f>
        <v>0</v>
      </c>
      <c r="I637" s="246">
        <f>_xlfn.XLOOKUP(FME_Ranking1[[#This Row],[FME ID]],FME_Input[FME_ID],FME_Input[STRUCT_100])</f>
        <v>1223</v>
      </c>
      <c r="J637" s="178">
        <f>(FME_Ranking1[[#This Row],[Structures 100 Raw]]/I$2)*100</f>
        <v>0.65490725270959171</v>
      </c>
      <c r="K637" s="178">
        <f>FME_Ranking1[[#This Row],[Structures 100  Score (Normalized, Unweighted)]]*$I$3</f>
        <v>9.8236087906438757E-2</v>
      </c>
      <c r="L637" s="246">
        <f>_xlfn.XLOOKUP(FME_Ranking1[[#This Row],[FME ID]],FME_Input[FME_ID],FME_Input[RES_STRUCT100])</f>
        <v>1010</v>
      </c>
      <c r="M637" s="230">
        <f>(FME_Ranking1[[#This Row],[Res Structures Raw]]/L$2)*100</f>
        <v>0.71538864727798157</v>
      </c>
      <c r="N637" s="180">
        <f>FME_Ranking1[[#This Row],[Res Structures Score (Normalized, Unweighted)]]*$L$3</f>
        <v>7.1538864727798163E-2</v>
      </c>
      <c r="O637" s="244">
        <f>_xlfn.XLOOKUP(FME_Ranking1[[#This Row],[FME ID]],FME_Input[FME_ID],FME_Input[POP100])</f>
        <v>1908</v>
      </c>
      <c r="P637" s="178">
        <f>(FME_Ranking1[[#This Row],[Pop Raw]]/$O$2)*100</f>
        <v>0.19533209527456036</v>
      </c>
      <c r="Q637" s="178">
        <f>FME_Ranking1[[#This Row],[Pop Score (Normalized, Unweighted)]]*$O$3</f>
        <v>2.9299814291184053E-2</v>
      </c>
      <c r="R637" s="137">
        <f>_xlfn.XLOOKUP(FME_Ranking1[[#This Row],[FME ID]],FME_Input[FME_ID],FME_Input[CRITFAC100])</f>
        <v>2</v>
      </c>
      <c r="S637" s="230">
        <f>(FME_Ranking1[[#This Row],[Critical Facilities Raw]]/$R$2)*100</f>
        <v>8.5763293310463118E-2</v>
      </c>
      <c r="T637" s="180">
        <f>FME_Ranking1[[#This Row],[Critical Facilities Score (Normalized, Unweighted)]]*$R$3</f>
        <v>1.7152658662092625E-2</v>
      </c>
      <c r="U637">
        <f>_xlfn.XLOOKUP(FME_Ranking1[[#This Row],[FME ID]],FME_Input[FME_ID],FME_Input[LWC])</f>
        <v>1</v>
      </c>
      <c r="V637" s="178">
        <f>(FME_Ranking1[[#This Row],[LWC Raw]]/$U$2)*100</f>
        <v>5.7570523891767422E-2</v>
      </c>
      <c r="W637" s="178">
        <f>FME_Ranking1[[#This Row],[LWC Score (Normalized, Unweighted)]]*$U$3</f>
        <v>1.1514104778353485E-2</v>
      </c>
      <c r="X637" s="246">
        <f>_xlfn.XLOOKUP(FME_Ranking1[[#This Row],[FME ID]],FME_Input[FME_ID],FME_Input[ROADCLS])</f>
        <v>0</v>
      </c>
      <c r="Y637" s="230">
        <f>(FME_Ranking1[[#This Row],[Closures Raw]]/$X$2)*100</f>
        <v>0</v>
      </c>
      <c r="Z637" s="180">
        <f>FME_Ranking1[[#This Row],[Closures Score (Normalized, Unweighted)]]*$X$3</f>
        <v>0</v>
      </c>
      <c r="AA637" s="253">
        <f>_xlfn.XLOOKUP(FME_Ranking1[[#This Row],[FME ID]],FME_Input[FME_ID],FME_Input[ROAD_MILES100])</f>
        <v>26.25538444519043</v>
      </c>
      <c r="AB637" s="178">
        <f>(FME_Ranking1[[#This Row],[Miles Raw]]/$AA$2)*100</f>
        <v>0.34521121421150341</v>
      </c>
      <c r="AC637" s="178">
        <f>FME_Ranking1[[#This Row],[Miles Score (Normalized, Unweighted)]]*$AA$3</f>
        <v>3.4521121421150346E-2</v>
      </c>
      <c r="AD637" s="255">
        <f>_xlfn.XLOOKUP(FME_Ranking1[[#This Row],[FME ID]],FME_Input[FME_ID],FME_Input[FARMACRE100])</f>
        <v>137.2613830566406</v>
      </c>
      <c r="AE637" s="230">
        <f>(FME_Ranking1[[#This Row],[Ag Land Raw]]/$AD$2)*100</f>
        <v>5.6600449861681865E-3</v>
      </c>
      <c r="AF637" s="231">
        <f>FME_Ranking1[[#This Row],[Ag Land Score (Normalized, Unweighted)]]*$AD$3</f>
        <v>2.8300224930840934E-4</v>
      </c>
      <c r="AG63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0.26254565403632579</v>
      </c>
      <c r="AH637" s="406">
        <f t="shared" si="9"/>
        <v>670</v>
      </c>
      <c r="AI63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0.26254565403632579</v>
      </c>
      <c r="AJ637" s="257">
        <f>FME_Ranking1[[#This Row],[Addition check]]-FME_Ranking1[[#This Row],[Weighted Score Based on Normalized Reported Factors]]</f>
        <v>0</v>
      </c>
      <c r="AK637" s="178">
        <f>_xlfn.RANK.EQ(AI637,$AI$6:$AI$2341,0)+COUNTIF($AI$6:AI637,AI637)-1</f>
        <v>671</v>
      </c>
    </row>
    <row r="638" spans="1:37" x14ac:dyDescent="0.25">
      <c r="A638" t="s">
        <v>394</v>
      </c>
      <c r="B638">
        <f>_xlfn.XLOOKUP(FME_Ranking1[[#This Row],[FME ID]],FME_Input[FME_ID],FME_Input[RFPG_NUM])</f>
        <v>10</v>
      </c>
      <c r="C638" t="str">
        <f>_xlfn.XLOOKUP(FME_Ranking1[[#This Row],[FME ID]],FME_Input[FME_ID],FME_Input[FME_NAME])</f>
        <v>City-wide Drainage Master Plan (integrate with Dry Creek Study)</v>
      </c>
      <c r="D638" t="str">
        <f>_xlfn.XLOOKUP(FME_Ranking1[[#This Row],[FME ID]],FME_Input[FME_ID],FME_Input[DESCR])</f>
        <v xml:space="preserve">Develop a City-wide Drainage Master Plan focused on local drainage issues.  This plan will merge with the regional FIF study of Dry Creek </v>
      </c>
      <c r="E638" s="256">
        <f>_xlfn.XLOOKUP(FME_Ranking1[[#This Row],[FME ID]],FME_Input[FME_ID],FME_Input[FME_COST])</f>
        <v>250000</v>
      </c>
      <c r="F638" t="str">
        <f>_xlfn.XLOOKUP(FME_Ranking1[[#This Row],[FME ID]],FME_Input[FME_ID],FME_Input[EMER_NEED])</f>
        <v>No</v>
      </c>
      <c r="G638">
        <f>IF(FME_Ranking!F638="Yes",100,0)</f>
        <v>0</v>
      </c>
      <c r="H638">
        <f>FME_Ranking1[[#This Row],[Emergency Need Score (Normalized, Unweighted)]]*$F$3</f>
        <v>0</v>
      </c>
      <c r="I638" s="246">
        <f>_xlfn.XLOOKUP(FME_Ranking1[[#This Row],[FME ID]],FME_Input[FME_ID],FME_Input[STRUCT_100])</f>
        <v>1223</v>
      </c>
      <c r="J638" s="178">
        <f>(FME_Ranking1[[#This Row],[Structures 100 Raw]]/I$2)*100</f>
        <v>0.65490725270959171</v>
      </c>
      <c r="K638" s="178">
        <f>FME_Ranking1[[#This Row],[Structures 100  Score (Normalized, Unweighted)]]*$I$3</f>
        <v>9.8236087906438757E-2</v>
      </c>
      <c r="L638" s="246">
        <f>_xlfn.XLOOKUP(FME_Ranking1[[#This Row],[FME ID]],FME_Input[FME_ID],FME_Input[RES_STRUCT100])</f>
        <v>1010</v>
      </c>
      <c r="M638" s="230">
        <f>(FME_Ranking1[[#This Row],[Res Structures Raw]]/L$2)*100</f>
        <v>0.71538864727798157</v>
      </c>
      <c r="N638" s="180">
        <f>FME_Ranking1[[#This Row],[Res Structures Score (Normalized, Unweighted)]]*$L$3</f>
        <v>7.1538864727798163E-2</v>
      </c>
      <c r="O638" s="244">
        <f>_xlfn.XLOOKUP(FME_Ranking1[[#This Row],[FME ID]],FME_Input[FME_ID],FME_Input[POP100])</f>
        <v>1908</v>
      </c>
      <c r="P638" s="178">
        <f>(FME_Ranking1[[#This Row],[Pop Raw]]/$O$2)*100</f>
        <v>0.19533209527456036</v>
      </c>
      <c r="Q638" s="178">
        <f>FME_Ranking1[[#This Row],[Pop Score (Normalized, Unweighted)]]*$O$3</f>
        <v>2.9299814291184053E-2</v>
      </c>
      <c r="R638" s="137">
        <f>_xlfn.XLOOKUP(FME_Ranking1[[#This Row],[FME ID]],FME_Input[FME_ID],FME_Input[CRITFAC100])</f>
        <v>2</v>
      </c>
      <c r="S638" s="230">
        <f>(FME_Ranking1[[#This Row],[Critical Facilities Raw]]/$R$2)*100</f>
        <v>8.5763293310463118E-2</v>
      </c>
      <c r="T638" s="180">
        <f>FME_Ranking1[[#This Row],[Critical Facilities Score (Normalized, Unweighted)]]*$R$3</f>
        <v>1.7152658662092625E-2</v>
      </c>
      <c r="U638">
        <f>_xlfn.XLOOKUP(FME_Ranking1[[#This Row],[FME ID]],FME_Input[FME_ID],FME_Input[LWC])</f>
        <v>1</v>
      </c>
      <c r="V638" s="178">
        <f>(FME_Ranking1[[#This Row],[LWC Raw]]/$U$2)*100</f>
        <v>5.7570523891767422E-2</v>
      </c>
      <c r="W638" s="178">
        <f>FME_Ranking1[[#This Row],[LWC Score (Normalized, Unweighted)]]*$U$3</f>
        <v>1.1514104778353485E-2</v>
      </c>
      <c r="X638" s="246">
        <f>_xlfn.XLOOKUP(FME_Ranking1[[#This Row],[FME ID]],FME_Input[FME_ID],FME_Input[ROADCLS])</f>
        <v>0</v>
      </c>
      <c r="Y638" s="230">
        <f>(FME_Ranking1[[#This Row],[Closures Raw]]/$X$2)*100</f>
        <v>0</v>
      </c>
      <c r="Z638" s="180">
        <f>FME_Ranking1[[#This Row],[Closures Score (Normalized, Unweighted)]]*$X$3</f>
        <v>0</v>
      </c>
      <c r="AA638" s="253">
        <f>_xlfn.XLOOKUP(FME_Ranking1[[#This Row],[FME ID]],FME_Input[FME_ID],FME_Input[ROAD_MILES100])</f>
        <v>26.25538444519043</v>
      </c>
      <c r="AB638" s="178">
        <f>(FME_Ranking1[[#This Row],[Miles Raw]]/$AA$2)*100</f>
        <v>0.34521121421150341</v>
      </c>
      <c r="AC638" s="178">
        <f>FME_Ranking1[[#This Row],[Miles Score (Normalized, Unweighted)]]*$AA$3</f>
        <v>3.4521121421150346E-2</v>
      </c>
      <c r="AD638" s="255">
        <f>_xlfn.XLOOKUP(FME_Ranking1[[#This Row],[FME ID]],FME_Input[FME_ID],FME_Input[FARMACRE100])</f>
        <v>137.2613830566406</v>
      </c>
      <c r="AE638" s="230">
        <f>(FME_Ranking1[[#This Row],[Ag Land Raw]]/$AD$2)*100</f>
        <v>5.6600449861681865E-3</v>
      </c>
      <c r="AF638" s="231">
        <f>FME_Ranking1[[#This Row],[Ag Land Score (Normalized, Unweighted)]]*$AD$3</f>
        <v>2.8300224930840934E-4</v>
      </c>
      <c r="AG63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0.26254565403632579</v>
      </c>
      <c r="AH638" s="406">
        <f t="shared" si="9"/>
        <v>670</v>
      </c>
      <c r="AI63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0.26254565403632579</v>
      </c>
      <c r="AJ638" s="257">
        <f>FME_Ranking1[[#This Row],[Addition check]]-FME_Ranking1[[#This Row],[Weighted Score Based on Normalized Reported Factors]]</f>
        <v>0</v>
      </c>
      <c r="AK638" s="178">
        <f>_xlfn.RANK.EQ(AI638,$AI$6:$AI$2341,0)+COUNTIF($AI$6:AI638,AI638)-1</f>
        <v>672</v>
      </c>
    </row>
    <row r="639" spans="1:37" x14ac:dyDescent="0.25">
      <c r="A639" t="s">
        <v>1036</v>
      </c>
      <c r="B639">
        <f>_xlfn.XLOOKUP(FME_Ranking1[[#This Row],[FME ID]],FME_Input[FME_ID],FME_Input[RFPG_NUM])</f>
        <v>6</v>
      </c>
      <c r="C639" t="str">
        <f>_xlfn.XLOOKUP(FME_Ranking1[[#This Row],[FME ID]],FME_Input[FME_ID],FME_Input[FME_NAME])</f>
        <v>Replace the Tiki Drive bridge with improved, hardened bridge to withstand storm surge and debris.</v>
      </c>
      <c r="D639" t="str">
        <f>_xlfn.XLOOKUP(FME_Ranking1[[#This Row],[FME ID]],FME_Input[FME_ID],FME_Input[DESCR])</f>
        <v>Further study of proposed Tiki Drive bridge modifications.</v>
      </c>
      <c r="E639" s="256">
        <f>_xlfn.XLOOKUP(FME_Ranking1[[#This Row],[FME ID]],FME_Input[FME_ID],FME_Input[FME_COST])</f>
        <v>220000</v>
      </c>
      <c r="F639" t="str">
        <f>_xlfn.XLOOKUP(FME_Ranking1[[#This Row],[FME ID]],FME_Input[FME_ID],FME_Input[EMER_NEED])</f>
        <v>No</v>
      </c>
      <c r="G639">
        <f>IF(FME_Ranking!F639="Yes",100,0)</f>
        <v>0</v>
      </c>
      <c r="H639">
        <f>FME_Ranking1[[#This Row],[Emergency Need Score (Normalized, Unweighted)]]*$F$3</f>
        <v>0</v>
      </c>
      <c r="I639" s="246">
        <f>_xlfn.XLOOKUP(FME_Ranking1[[#This Row],[FME ID]],FME_Input[FME_ID],FME_Input[STRUCT_100])</f>
        <v>1006</v>
      </c>
      <c r="J639" s="178">
        <f>(FME_Ranking1[[#This Row],[Structures 100 Raw]]/I$2)*100</f>
        <v>0.53870539347984414</v>
      </c>
      <c r="K639" s="178">
        <f>FME_Ranking1[[#This Row],[Structures 100  Score (Normalized, Unweighted)]]*$I$3</f>
        <v>8.0805809021976621E-2</v>
      </c>
      <c r="L639" s="246">
        <f>_xlfn.XLOOKUP(FME_Ranking1[[#This Row],[FME ID]],FME_Input[FME_ID],FME_Input[RES_STRUCT100])</f>
        <v>978</v>
      </c>
      <c r="M639" s="230">
        <f>(FME_Ranking1[[#This Row],[Res Structures Raw]]/L$2)*100</f>
        <v>0.69272286835432273</v>
      </c>
      <c r="N639" s="180">
        <f>FME_Ranking1[[#This Row],[Res Structures Score (Normalized, Unweighted)]]*$L$3</f>
        <v>6.9272286835432281E-2</v>
      </c>
      <c r="O639" s="244">
        <f>_xlfn.XLOOKUP(FME_Ranking1[[#This Row],[FME ID]],FME_Input[FME_ID],FME_Input[POP100])</f>
        <v>1721</v>
      </c>
      <c r="P639" s="178">
        <f>(FME_Ranking1[[#This Row],[Pop Raw]]/$O$2)*100</f>
        <v>0.17618791193266162</v>
      </c>
      <c r="Q639" s="178">
        <f>FME_Ranking1[[#This Row],[Pop Score (Normalized, Unweighted)]]*$O$3</f>
        <v>2.6428186789899243E-2</v>
      </c>
      <c r="R639" s="137">
        <f>_xlfn.XLOOKUP(FME_Ranking1[[#This Row],[FME ID]],FME_Input[FME_ID],FME_Input[CRITFAC100])</f>
        <v>6</v>
      </c>
      <c r="S639" s="230">
        <f>(FME_Ranking1[[#This Row],[Critical Facilities Raw]]/$R$2)*100</f>
        <v>0.25728987993138941</v>
      </c>
      <c r="T639" s="180">
        <f>FME_Ranking1[[#This Row],[Critical Facilities Score (Normalized, Unweighted)]]*$R$3</f>
        <v>5.1457975986277882E-2</v>
      </c>
      <c r="U639">
        <f>_xlfn.XLOOKUP(FME_Ranking1[[#This Row],[FME ID]],FME_Input[FME_ID],FME_Input[LWC])</f>
        <v>0</v>
      </c>
      <c r="V639" s="178">
        <f>(FME_Ranking1[[#This Row],[LWC Raw]]/$U$2)*100</f>
        <v>0</v>
      </c>
      <c r="W639" s="178">
        <f>FME_Ranking1[[#This Row],[LWC Score (Normalized, Unweighted)]]*$U$3</f>
        <v>0</v>
      </c>
      <c r="X639" s="246">
        <f>_xlfn.XLOOKUP(FME_Ranking1[[#This Row],[FME ID]],FME_Input[FME_ID],FME_Input[ROADCLS])</f>
        <v>0</v>
      </c>
      <c r="Y639" s="230">
        <f>(FME_Ranking1[[#This Row],[Closures Raw]]/$X$2)*100</f>
        <v>0</v>
      </c>
      <c r="Z639" s="180">
        <f>FME_Ranking1[[#This Row],[Closures Score (Normalized, Unweighted)]]*$X$3</f>
        <v>0</v>
      </c>
      <c r="AA639" s="253">
        <f>_xlfn.XLOOKUP(FME_Ranking1[[#This Row],[FME ID]],FME_Input[FME_ID],FME_Input[ROAD_MILES100])</f>
        <v>9.637364387512207</v>
      </c>
      <c r="AB639" s="178">
        <f>(FME_Ranking1[[#This Row],[Miles Raw]]/$AA$2)*100</f>
        <v>0.12671405627127394</v>
      </c>
      <c r="AC639" s="178">
        <f>FME_Ranking1[[#This Row],[Miles Score (Normalized, Unweighted)]]*$AA$3</f>
        <v>1.2671405627127395E-2</v>
      </c>
      <c r="AD639" s="255">
        <f>_xlfn.XLOOKUP(FME_Ranking1[[#This Row],[FME ID]],FME_Input[FME_ID],FME_Input[FARMACRE100])</f>
        <v>3.9110162258148189</v>
      </c>
      <c r="AE639" s="230">
        <f>(FME_Ranking1[[#This Row],[Ag Land Raw]]/$AD$2)*100</f>
        <v>1.6127280147403879E-4</v>
      </c>
      <c r="AF639" s="231">
        <f>FME_Ranking1[[#This Row],[Ag Land Score (Normalized, Unweighted)]]*$AD$3</f>
        <v>8.0636400737019389E-6</v>
      </c>
      <c r="AG63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0.24064372790078711</v>
      </c>
      <c r="AH639" s="406">
        <f t="shared" si="9"/>
        <v>720</v>
      </c>
      <c r="AI63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0.24064372790078711</v>
      </c>
      <c r="AJ639" s="257">
        <f>FME_Ranking1[[#This Row],[Addition check]]-FME_Ranking1[[#This Row],[Weighted Score Based on Normalized Reported Factors]]</f>
        <v>0</v>
      </c>
      <c r="AK639" s="178">
        <f>_xlfn.RANK.EQ(AI639,$AI$6:$AI$2341,0)+COUNTIF($AI$6:AI639,AI639)-1</f>
        <v>720</v>
      </c>
    </row>
    <row r="640" spans="1:37" x14ac:dyDescent="0.25">
      <c r="A640" t="s">
        <v>1793</v>
      </c>
      <c r="B640">
        <f>_xlfn.XLOOKUP(FME_Ranking1[[#This Row],[FME ID]],FME_Input[FME_ID],FME_Input[RFPG_NUM])</f>
        <v>6</v>
      </c>
      <c r="C640" t="str">
        <f>_xlfn.XLOOKUP(FME_Ranking1[[#This Row],[FME ID]],FME_Input[FME_ID],FME_Input[FME_NAME])</f>
        <v>City of Tiki Island  Master Drainage Plan</v>
      </c>
      <c r="D640" t="str">
        <f>_xlfn.XLOOKUP(FME_Ranking1[[#This Row],[FME ID]],FME_Input[FME_ID],FME_Input[DESCR])</f>
        <v>Study to develop Master Drainage Plan using future and existing land use and flood/storm water drainage needs including Atlas 14 rainfall.</v>
      </c>
      <c r="E640" s="256">
        <f>_xlfn.XLOOKUP(FME_Ranking1[[#This Row],[FME ID]],FME_Input[FME_ID],FME_Input[FME_COST])</f>
        <v>180000</v>
      </c>
      <c r="F640" t="str">
        <f>_xlfn.XLOOKUP(FME_Ranking1[[#This Row],[FME ID]],FME_Input[FME_ID],FME_Input[EMER_NEED])</f>
        <v>Yes</v>
      </c>
      <c r="G640">
        <f>IF(FME_Ranking!F640="Yes",100,0)</f>
        <v>100</v>
      </c>
      <c r="H640">
        <f>FME_Ranking1[[#This Row],[Emergency Need Score (Normalized, Unweighted)]]*$F$3</f>
        <v>0</v>
      </c>
      <c r="I640" s="246">
        <f>_xlfn.XLOOKUP(FME_Ranking1[[#This Row],[FME ID]],FME_Input[FME_ID],FME_Input[STRUCT_100])</f>
        <v>1006</v>
      </c>
      <c r="J640" s="178">
        <f>(FME_Ranking1[[#This Row],[Structures 100 Raw]]/I$2)*100</f>
        <v>0.53870539347984414</v>
      </c>
      <c r="K640" s="178">
        <f>FME_Ranking1[[#This Row],[Structures 100  Score (Normalized, Unweighted)]]*$I$3</f>
        <v>8.0805809021976621E-2</v>
      </c>
      <c r="L640" s="246">
        <f>_xlfn.XLOOKUP(FME_Ranking1[[#This Row],[FME ID]],FME_Input[FME_ID],FME_Input[RES_STRUCT100])</f>
        <v>978</v>
      </c>
      <c r="M640" s="230">
        <f>(FME_Ranking1[[#This Row],[Res Structures Raw]]/L$2)*100</f>
        <v>0.69272286835432273</v>
      </c>
      <c r="N640" s="180">
        <f>FME_Ranking1[[#This Row],[Res Structures Score (Normalized, Unweighted)]]*$L$3</f>
        <v>6.9272286835432281E-2</v>
      </c>
      <c r="O640" s="244">
        <f>_xlfn.XLOOKUP(FME_Ranking1[[#This Row],[FME ID]],FME_Input[FME_ID],FME_Input[POP100])</f>
        <v>1721</v>
      </c>
      <c r="P640" s="178">
        <f>(FME_Ranking1[[#This Row],[Pop Raw]]/$O$2)*100</f>
        <v>0.17618791193266162</v>
      </c>
      <c r="Q640" s="178">
        <f>FME_Ranking1[[#This Row],[Pop Score (Normalized, Unweighted)]]*$O$3</f>
        <v>2.6428186789899243E-2</v>
      </c>
      <c r="R640" s="137">
        <f>_xlfn.XLOOKUP(FME_Ranking1[[#This Row],[FME ID]],FME_Input[FME_ID],FME_Input[CRITFAC100])</f>
        <v>6</v>
      </c>
      <c r="S640" s="230">
        <f>(FME_Ranking1[[#This Row],[Critical Facilities Raw]]/$R$2)*100</f>
        <v>0.25728987993138941</v>
      </c>
      <c r="T640" s="180">
        <f>FME_Ranking1[[#This Row],[Critical Facilities Score (Normalized, Unweighted)]]*$R$3</f>
        <v>5.1457975986277882E-2</v>
      </c>
      <c r="U640">
        <f>_xlfn.XLOOKUP(FME_Ranking1[[#This Row],[FME ID]],FME_Input[FME_ID],FME_Input[LWC])</f>
        <v>0</v>
      </c>
      <c r="V640" s="178">
        <f>(FME_Ranking1[[#This Row],[LWC Raw]]/$U$2)*100</f>
        <v>0</v>
      </c>
      <c r="W640" s="178">
        <f>FME_Ranking1[[#This Row],[LWC Score (Normalized, Unweighted)]]*$U$3</f>
        <v>0</v>
      </c>
      <c r="X640" s="246">
        <f>_xlfn.XLOOKUP(FME_Ranking1[[#This Row],[FME ID]],FME_Input[FME_ID],FME_Input[ROADCLS])</f>
        <v>0</v>
      </c>
      <c r="Y640" s="230">
        <f>(FME_Ranking1[[#This Row],[Closures Raw]]/$X$2)*100</f>
        <v>0</v>
      </c>
      <c r="Z640" s="180">
        <f>FME_Ranking1[[#This Row],[Closures Score (Normalized, Unweighted)]]*$X$3</f>
        <v>0</v>
      </c>
      <c r="AA640" s="253">
        <f>_xlfn.XLOOKUP(FME_Ranking1[[#This Row],[FME ID]],FME_Input[FME_ID],FME_Input[ROAD_MILES100])</f>
        <v>9.637364387512207</v>
      </c>
      <c r="AB640" s="178">
        <f>(FME_Ranking1[[#This Row],[Miles Raw]]/$AA$2)*100</f>
        <v>0.12671405627127394</v>
      </c>
      <c r="AC640" s="178">
        <f>FME_Ranking1[[#This Row],[Miles Score (Normalized, Unweighted)]]*$AA$3</f>
        <v>1.2671405627127395E-2</v>
      </c>
      <c r="AD640" s="255">
        <f>_xlfn.XLOOKUP(FME_Ranking1[[#This Row],[FME ID]],FME_Input[FME_ID],FME_Input[FARMACRE100])</f>
        <v>3.9110162258148189</v>
      </c>
      <c r="AE640" s="230">
        <f>(FME_Ranking1[[#This Row],[Ag Land Raw]]/$AD$2)*100</f>
        <v>1.6127280147403879E-4</v>
      </c>
      <c r="AF640" s="231">
        <f>FME_Ranking1[[#This Row],[Ag Land Score (Normalized, Unweighted)]]*$AD$3</f>
        <v>8.0636400737019389E-6</v>
      </c>
      <c r="AG64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0.24064372790078711</v>
      </c>
      <c r="AH640" s="406">
        <f t="shared" si="9"/>
        <v>720</v>
      </c>
      <c r="AI64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0.24064372790078711</v>
      </c>
      <c r="AJ640" s="257">
        <f>FME_Ranking1[[#This Row],[Addition check]]-FME_Ranking1[[#This Row],[Weighted Score Based on Normalized Reported Factors]]</f>
        <v>0</v>
      </c>
      <c r="AK640" s="178">
        <f>_xlfn.RANK.EQ(AI640,$AI$6:$AI$2341,0)+COUNTIF($AI$6:AI640,AI640)-1</f>
        <v>721</v>
      </c>
    </row>
    <row r="641" spans="1:37" x14ac:dyDescent="0.25">
      <c r="A641" t="s">
        <v>5787</v>
      </c>
      <c r="B641">
        <f>_xlfn.XLOOKUP(FME_Ranking1[[#This Row],[FME ID]],FME_Input[FME_ID],FME_Input[RFPG_NUM])</f>
        <v>5</v>
      </c>
      <c r="C641" t="str">
        <f>_xlfn.XLOOKUP(FME_Ranking1[[#This Row],[FME ID]],FME_Input[FME_ID],FME_Input[FME_NAME])</f>
        <v>Cherokee County Update Flood Hazard Mapping</v>
      </c>
      <c r="D641" t="str">
        <f>_xlfn.XLOOKUP(FME_Ranking1[[#This Row],[FME ID]],FME_Input[FME_ID],FME_Input[DESCR])</f>
        <v>Complete a detailed study within the county extent to delineate an updated flood hazard area, which can be used for regulatory purposes.</v>
      </c>
      <c r="E641" s="256">
        <f>_xlfn.XLOOKUP(FME_Ranking1[[#This Row],[FME ID]],FME_Input[FME_ID],FME_Input[FME_COST])</f>
        <v>4800000</v>
      </c>
      <c r="F641" t="str">
        <f>_xlfn.XLOOKUP(FME_Ranking1[[#This Row],[FME ID]],FME_Input[FME_ID],FME_Input[EMER_NEED])</f>
        <v>Yes</v>
      </c>
      <c r="G641">
        <f>IF(FME_Ranking!F641="Yes",100,0)</f>
        <v>100</v>
      </c>
      <c r="H641">
        <f>FME_Ranking1[[#This Row],[Emergency Need Score (Normalized, Unweighted)]]*$F$3</f>
        <v>0</v>
      </c>
      <c r="I641" s="246">
        <f>_xlfn.XLOOKUP(FME_Ranking1[[#This Row],[FME ID]],FME_Input[FME_ID],FME_Input[STRUCT_100])</f>
        <v>672</v>
      </c>
      <c r="J641" s="178">
        <f>(FME_Ranking1[[#This Row],[Structures 100 Raw]]/I$2)*100</f>
        <v>0.35985091890502502</v>
      </c>
      <c r="K641" s="178">
        <f>FME_Ranking1[[#This Row],[Structures 100  Score (Normalized, Unweighted)]]*$I$3</f>
        <v>5.3977637835753753E-2</v>
      </c>
      <c r="L641" s="246">
        <f>_xlfn.XLOOKUP(FME_Ranking1[[#This Row],[FME ID]],FME_Input[FME_ID],FME_Input[RES_STRUCT100])</f>
        <v>302</v>
      </c>
      <c r="M641" s="230">
        <f>(FME_Ranking1[[#This Row],[Res Structures Raw]]/L$2)*100</f>
        <v>0.21390828859203015</v>
      </c>
      <c r="N641" s="180">
        <f>FME_Ranking1[[#This Row],[Res Structures Score (Normalized, Unweighted)]]*$L$3</f>
        <v>2.1390828859203015E-2</v>
      </c>
      <c r="O641" s="244">
        <f>_xlfn.XLOOKUP(FME_Ranking1[[#This Row],[FME ID]],FME_Input[FME_ID],FME_Input[POP100])</f>
        <v>1382</v>
      </c>
      <c r="P641" s="178">
        <f>(FME_Ranking1[[#This Row],[Pop Raw]]/$O$2)*100</f>
        <v>0.14148268116847088</v>
      </c>
      <c r="Q641" s="178">
        <f>FME_Ranking1[[#This Row],[Pop Score (Normalized, Unweighted)]]*$O$3</f>
        <v>2.1222402175270629E-2</v>
      </c>
      <c r="R641" s="137">
        <f>_xlfn.XLOOKUP(FME_Ranking1[[#This Row],[FME ID]],FME_Input[FME_ID],FME_Input[CRITFAC100])</f>
        <v>1</v>
      </c>
      <c r="S641" s="230">
        <f>(FME_Ranking1[[#This Row],[Critical Facilities Raw]]/$R$2)*100</f>
        <v>4.2881646655231559E-2</v>
      </c>
      <c r="T641" s="180">
        <f>FME_Ranking1[[#This Row],[Critical Facilities Score (Normalized, Unweighted)]]*$R$3</f>
        <v>8.5763293310463125E-3</v>
      </c>
      <c r="U641">
        <f>_xlfn.XLOOKUP(FME_Ranking1[[#This Row],[FME ID]],FME_Input[FME_ID],FME_Input[LWC])</f>
        <v>10</v>
      </c>
      <c r="V641" s="178">
        <f>(FME_Ranking1[[#This Row],[LWC Raw]]/$U$2)*100</f>
        <v>0.57570523891767411</v>
      </c>
      <c r="W641" s="178">
        <f>FME_Ranking1[[#This Row],[LWC Score (Normalized, Unweighted)]]*$U$3</f>
        <v>0.11514104778353483</v>
      </c>
      <c r="X641" s="246">
        <f>_xlfn.XLOOKUP(FME_Ranking1[[#This Row],[FME ID]],FME_Input[FME_ID],FME_Input[ROADCLS])</f>
        <v>10</v>
      </c>
      <c r="Y641" s="230">
        <f>(FME_Ranking1[[#This Row],[Closures Raw]]/$X$2)*100</f>
        <v>0.10514141520344865</v>
      </c>
      <c r="Z641" s="180">
        <f>FME_Ranking1[[#This Row],[Closures Score (Normalized, Unweighted)]]*$X$3</f>
        <v>5.2570707601724328E-3</v>
      </c>
      <c r="AA641" s="253">
        <f>_xlfn.XLOOKUP(FME_Ranking1[[#This Row],[FME ID]],FME_Input[FME_ID],FME_Input[ROAD_MILES100])</f>
        <v>49.285110473632813</v>
      </c>
      <c r="AB641" s="178">
        <f>(FME_Ranking1[[#This Row],[Miles Raw]]/$AA$2)*100</f>
        <v>0.64801080573274639</v>
      </c>
      <c r="AC641" s="178">
        <f>FME_Ranking1[[#This Row],[Miles Score (Normalized, Unweighted)]]*$AA$3</f>
        <v>6.4801080573274647E-2</v>
      </c>
      <c r="AD641" s="255">
        <f>_xlfn.XLOOKUP(FME_Ranking1[[#This Row],[FME ID]],FME_Input[FME_ID],FME_Input[FARMACRE100])</f>
        <v>919.81884765625</v>
      </c>
      <c r="AE641" s="230">
        <f>(FME_Ranking1[[#This Row],[Ag Land Raw]]/$AD$2)*100</f>
        <v>3.7929211704878597E-2</v>
      </c>
      <c r="AF641" s="231">
        <f>FME_Ranking1[[#This Row],[Ag Land Score (Normalized, Unweighted)]]*$AD$3</f>
        <v>1.8964605852439299E-3</v>
      </c>
      <c r="AG64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0.29226285790349954</v>
      </c>
      <c r="AH641" s="406">
        <f t="shared" si="9"/>
        <v>626</v>
      </c>
      <c r="AI64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0.29226285790349954</v>
      </c>
      <c r="AJ641" s="257">
        <f>FME_Ranking1[[#This Row],[Addition check]]-FME_Ranking1[[#This Row],[Weighted Score Based on Normalized Reported Factors]]</f>
        <v>0</v>
      </c>
      <c r="AK641" s="178">
        <f>_xlfn.RANK.EQ(AI641,$AI$6:$AI$2341,0)+COUNTIF($AI$6:AI641,AI641)-1</f>
        <v>626</v>
      </c>
    </row>
    <row r="642" spans="1:37" x14ac:dyDescent="0.25">
      <c r="A642" t="s">
        <v>6146</v>
      </c>
      <c r="B642">
        <f>_xlfn.XLOOKUP(FME_Ranking1[[#This Row],[FME ID]],FME_Input[FME_ID],FME_Input[RFPG_NUM])</f>
        <v>5</v>
      </c>
      <c r="C642" t="str">
        <f>_xlfn.XLOOKUP(FME_Ranking1[[#This Row],[FME ID]],FME_Input[FME_ID],FME_Input[FME_NAME])</f>
        <v>Cherokee County Master Drainage Plan</v>
      </c>
      <c r="D642"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642" s="256">
        <f>_xlfn.XLOOKUP(FME_Ranking1[[#This Row],[FME ID]],FME_Input[FME_ID],FME_Input[FME_COST])</f>
        <v>1600000</v>
      </c>
      <c r="F642" t="str">
        <f>_xlfn.XLOOKUP(FME_Ranking1[[#This Row],[FME ID]],FME_Input[FME_ID],FME_Input[EMER_NEED])</f>
        <v>Yes</v>
      </c>
      <c r="G642">
        <f>IF(FME_Ranking!F642="Yes",100,0)</f>
        <v>100</v>
      </c>
      <c r="H642">
        <f>FME_Ranking1[[#This Row],[Emergency Need Score (Normalized, Unweighted)]]*$F$3</f>
        <v>0</v>
      </c>
      <c r="I642" s="246">
        <f>_xlfn.XLOOKUP(FME_Ranking1[[#This Row],[FME ID]],FME_Input[FME_ID],FME_Input[STRUCT_100])</f>
        <v>672</v>
      </c>
      <c r="J642" s="178">
        <f>(FME_Ranking1[[#This Row],[Structures 100 Raw]]/I$2)*100</f>
        <v>0.35985091890502502</v>
      </c>
      <c r="K642" s="178">
        <f>FME_Ranking1[[#This Row],[Structures 100  Score (Normalized, Unweighted)]]*$I$3</f>
        <v>5.3977637835753753E-2</v>
      </c>
      <c r="L642" s="246">
        <f>_xlfn.XLOOKUP(FME_Ranking1[[#This Row],[FME ID]],FME_Input[FME_ID],FME_Input[RES_STRUCT100])</f>
        <v>302</v>
      </c>
      <c r="M642" s="230">
        <f>(FME_Ranking1[[#This Row],[Res Structures Raw]]/L$2)*100</f>
        <v>0.21390828859203015</v>
      </c>
      <c r="N642" s="180">
        <f>FME_Ranking1[[#This Row],[Res Structures Score (Normalized, Unweighted)]]*$L$3</f>
        <v>2.1390828859203015E-2</v>
      </c>
      <c r="O642" s="244">
        <f>_xlfn.XLOOKUP(FME_Ranking1[[#This Row],[FME ID]],FME_Input[FME_ID],FME_Input[POP100])</f>
        <v>1382</v>
      </c>
      <c r="P642" s="178">
        <f>(FME_Ranking1[[#This Row],[Pop Raw]]/$O$2)*100</f>
        <v>0.14148268116847088</v>
      </c>
      <c r="Q642" s="178">
        <f>FME_Ranking1[[#This Row],[Pop Score (Normalized, Unweighted)]]*$O$3</f>
        <v>2.1222402175270629E-2</v>
      </c>
      <c r="R642" s="137">
        <f>_xlfn.XLOOKUP(FME_Ranking1[[#This Row],[FME ID]],FME_Input[FME_ID],FME_Input[CRITFAC100])</f>
        <v>1</v>
      </c>
      <c r="S642" s="230">
        <f>(FME_Ranking1[[#This Row],[Critical Facilities Raw]]/$R$2)*100</f>
        <v>4.2881646655231559E-2</v>
      </c>
      <c r="T642" s="180">
        <f>FME_Ranking1[[#This Row],[Critical Facilities Score (Normalized, Unweighted)]]*$R$3</f>
        <v>8.5763293310463125E-3</v>
      </c>
      <c r="U642">
        <f>_xlfn.XLOOKUP(FME_Ranking1[[#This Row],[FME ID]],FME_Input[FME_ID],FME_Input[LWC])</f>
        <v>10</v>
      </c>
      <c r="V642" s="178">
        <f>(FME_Ranking1[[#This Row],[LWC Raw]]/$U$2)*100</f>
        <v>0.57570523891767411</v>
      </c>
      <c r="W642" s="178">
        <f>FME_Ranking1[[#This Row],[LWC Score (Normalized, Unweighted)]]*$U$3</f>
        <v>0.11514104778353483</v>
      </c>
      <c r="X642" s="246">
        <f>_xlfn.XLOOKUP(FME_Ranking1[[#This Row],[FME ID]],FME_Input[FME_ID],FME_Input[ROADCLS])</f>
        <v>10</v>
      </c>
      <c r="Y642" s="230">
        <f>(FME_Ranking1[[#This Row],[Closures Raw]]/$X$2)*100</f>
        <v>0.10514141520344865</v>
      </c>
      <c r="Z642" s="180">
        <f>FME_Ranking1[[#This Row],[Closures Score (Normalized, Unweighted)]]*$X$3</f>
        <v>5.2570707601724328E-3</v>
      </c>
      <c r="AA642" s="253">
        <f>_xlfn.XLOOKUP(FME_Ranking1[[#This Row],[FME ID]],FME_Input[FME_ID],FME_Input[ROAD_MILES100])</f>
        <v>49.285110473632813</v>
      </c>
      <c r="AB642" s="178">
        <f>(FME_Ranking1[[#This Row],[Miles Raw]]/$AA$2)*100</f>
        <v>0.64801080573274639</v>
      </c>
      <c r="AC642" s="178">
        <f>FME_Ranking1[[#This Row],[Miles Score (Normalized, Unweighted)]]*$AA$3</f>
        <v>6.4801080573274647E-2</v>
      </c>
      <c r="AD642" s="255">
        <f>_xlfn.XLOOKUP(FME_Ranking1[[#This Row],[FME ID]],FME_Input[FME_ID],FME_Input[FARMACRE100])</f>
        <v>919.81884765625</v>
      </c>
      <c r="AE642" s="230">
        <f>(FME_Ranking1[[#This Row],[Ag Land Raw]]/$AD$2)*100</f>
        <v>3.7929211704878597E-2</v>
      </c>
      <c r="AF642" s="231">
        <f>FME_Ranking1[[#This Row],[Ag Land Score (Normalized, Unweighted)]]*$AD$3</f>
        <v>1.8964605852439299E-3</v>
      </c>
      <c r="AG64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0.29226285790349954</v>
      </c>
      <c r="AH642" s="406">
        <f t="shared" si="9"/>
        <v>626</v>
      </c>
      <c r="AI64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0.29226285790349954</v>
      </c>
      <c r="AJ642" s="257">
        <f>FME_Ranking1[[#This Row],[Addition check]]-FME_Ranking1[[#This Row],[Weighted Score Based on Normalized Reported Factors]]</f>
        <v>0</v>
      </c>
      <c r="AK642" s="178">
        <f>_xlfn.RANK.EQ(AI642,$AI$6:$AI$2341,0)+COUNTIF($AI$6:AI642,AI642)-1</f>
        <v>627</v>
      </c>
    </row>
    <row r="643" spans="1:37" x14ac:dyDescent="0.25">
      <c r="A643" t="s">
        <v>3949</v>
      </c>
      <c r="B643">
        <f>_xlfn.XLOOKUP(FME_Ranking1[[#This Row],[FME ID]],FME_Input[FME_ID],FME_Input[RFPG_NUM])</f>
        <v>3</v>
      </c>
      <c r="C643" t="str">
        <f>_xlfn.XLOOKUP(FME_Ranking1[[#This Row],[FME ID]],FME_Input[FME_ID],FME_Input[FME_NAME])</f>
        <v xml:space="preserve">Madison County FEMA Mapping </v>
      </c>
      <c r="D643" t="str">
        <f>_xlfn.XLOOKUP(FME_Ranking1[[#This Row],[FME ID]],FME_Input[FME_ID],FME_Input[DESCR])</f>
        <v>Create FEMA mapping in previously unmapped areas and update existing FEMA maps as needed.</v>
      </c>
      <c r="E643" s="256">
        <f>_xlfn.XLOOKUP(FME_Ranking1[[#This Row],[FME ID]],FME_Input[FME_ID],FME_Input[FME_COST])</f>
        <v>724000</v>
      </c>
      <c r="F643" t="str">
        <f>_xlfn.XLOOKUP(FME_Ranking1[[#This Row],[FME ID]],FME_Input[FME_ID],FME_Input[EMER_NEED])</f>
        <v>No</v>
      </c>
      <c r="G643">
        <f>IF(FME_Ranking!F643="Yes",100,0)</f>
        <v>0</v>
      </c>
      <c r="H643">
        <f>FME_Ranking1[[#This Row],[Emergency Need Score (Normalized, Unweighted)]]*$F$3</f>
        <v>0</v>
      </c>
      <c r="I643" s="246">
        <f>_xlfn.XLOOKUP(FME_Ranking1[[#This Row],[FME ID]],FME_Input[FME_ID],FME_Input[STRUCT_100])</f>
        <v>409</v>
      </c>
      <c r="J643" s="178">
        <f>(FME_Ranking1[[#This Row],[Structures 100 Raw]]/I$2)*100</f>
        <v>0.21901640748832624</v>
      </c>
      <c r="K643" s="178">
        <f>FME_Ranking1[[#This Row],[Structures 100  Score (Normalized, Unweighted)]]*$I$3</f>
        <v>3.2852461123248931E-2</v>
      </c>
      <c r="L643" s="246">
        <f>_xlfn.XLOOKUP(FME_Ranking1[[#This Row],[FME ID]],FME_Input[FME_ID],FME_Input[RES_STRUCT100])</f>
        <v>345</v>
      </c>
      <c r="M643" s="230">
        <f>(FME_Ranking1[[#This Row],[Res Structures Raw]]/L$2)*100</f>
        <v>0.24436542902069669</v>
      </c>
      <c r="N643" s="180">
        <f>FME_Ranking1[[#This Row],[Res Structures Score (Normalized, Unweighted)]]*$L$3</f>
        <v>2.4436542902069671E-2</v>
      </c>
      <c r="O643" s="244">
        <f>_xlfn.XLOOKUP(FME_Ranking1[[#This Row],[FME ID]],FME_Input[FME_ID],FME_Input[POP100])</f>
        <v>327</v>
      </c>
      <c r="P643" s="178">
        <f>(FME_Ranking1[[#This Row],[Pop Raw]]/$O$2)*100</f>
        <v>3.3476727020325593E-2</v>
      </c>
      <c r="Q643" s="178">
        <f>FME_Ranking1[[#This Row],[Pop Score (Normalized, Unweighted)]]*$O$3</f>
        <v>5.0215090530488391E-3</v>
      </c>
      <c r="R643" s="137">
        <f>_xlfn.XLOOKUP(FME_Ranking1[[#This Row],[FME ID]],FME_Input[FME_ID],FME_Input[CRITFAC100])</f>
        <v>7</v>
      </c>
      <c r="S643" s="230">
        <f>(FME_Ranking1[[#This Row],[Critical Facilities Raw]]/$R$2)*100</f>
        <v>0.30017152658662088</v>
      </c>
      <c r="T643" s="180">
        <f>FME_Ranking1[[#This Row],[Critical Facilities Score (Normalized, Unweighted)]]*$R$3</f>
        <v>6.0034305317324177E-2</v>
      </c>
      <c r="U643">
        <f>_xlfn.XLOOKUP(FME_Ranking1[[#This Row],[FME ID]],FME_Input[FME_ID],FME_Input[LWC])</f>
        <v>1</v>
      </c>
      <c r="V643" s="178">
        <f>(FME_Ranking1[[#This Row],[LWC Raw]]/$U$2)*100</f>
        <v>5.7570523891767422E-2</v>
      </c>
      <c r="W643" s="178">
        <f>FME_Ranking1[[#This Row],[LWC Score (Normalized, Unweighted)]]*$U$3</f>
        <v>1.1514104778353485E-2</v>
      </c>
      <c r="X643" s="246">
        <f>_xlfn.XLOOKUP(FME_Ranking1[[#This Row],[FME ID]],FME_Input[FME_ID],FME_Input[ROADCLS])</f>
        <v>0</v>
      </c>
      <c r="Y643" s="230">
        <f>(FME_Ranking1[[#This Row],[Closures Raw]]/$X$2)*100</f>
        <v>0</v>
      </c>
      <c r="Z643" s="180">
        <f>FME_Ranking1[[#This Row],[Closures Score (Normalized, Unweighted)]]*$X$3</f>
        <v>0</v>
      </c>
      <c r="AA643" s="253">
        <f>_xlfn.XLOOKUP(FME_Ranking1[[#This Row],[FME ID]],FME_Input[FME_ID],FME_Input[ROAD_MILES100])</f>
        <v>58.397178649902337</v>
      </c>
      <c r="AB643" s="178">
        <f>(FME_Ranking1[[#This Row],[Miles Raw]]/$AA$2)*100</f>
        <v>0.76781815898916472</v>
      </c>
      <c r="AC643" s="178">
        <f>FME_Ranking1[[#This Row],[Miles Score (Normalized, Unweighted)]]*$AA$3</f>
        <v>7.6781815898916472E-2</v>
      </c>
      <c r="AD643" s="255">
        <f>_xlfn.XLOOKUP(FME_Ranking1[[#This Row],[FME ID]],FME_Input[FME_ID],FME_Input[FARMACRE100])</f>
        <v>45093.890625</v>
      </c>
      <c r="AE643" s="230">
        <f>(FME_Ranking1[[#This Row],[Ag Land Raw]]/$AD$2)*100</f>
        <v>1.8594701864072458</v>
      </c>
      <c r="AF643" s="231">
        <f>FME_Ranking1[[#This Row],[Ag Land Score (Normalized, Unweighted)]]*$AD$3</f>
        <v>9.2973509320362302E-2</v>
      </c>
      <c r="AG64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0.30361424839332385</v>
      </c>
      <c r="AH643" s="406">
        <f t="shared" si="9"/>
        <v>611</v>
      </c>
      <c r="AI64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0.30361424839332385</v>
      </c>
      <c r="AJ643" s="257">
        <f>FME_Ranking1[[#This Row],[Addition check]]-FME_Ranking1[[#This Row],[Weighted Score Based on Normalized Reported Factors]]</f>
        <v>0</v>
      </c>
      <c r="AK643" s="178">
        <f>_xlfn.RANK.EQ(AI643,$AI$6:$AI$2341,0)+COUNTIF($AI$6:AI643,AI643)-1</f>
        <v>611</v>
      </c>
    </row>
    <row r="644" spans="1:37" x14ac:dyDescent="0.25">
      <c r="A644" t="s">
        <v>1089</v>
      </c>
      <c r="B644">
        <f>_xlfn.XLOOKUP(FME_Ranking1[[#This Row],[FME ID]],FME_Input[FME_ID],FME_Input[RFPG_NUM])</f>
        <v>6</v>
      </c>
      <c r="C644" t="str">
        <f>_xlfn.XLOOKUP(FME_Ranking1[[#This Row],[FME ID]],FME_Input[FME_ID],FME_Input[FME_NAME])</f>
        <v>City of La Maque - East Side Storm water detention</v>
      </c>
      <c r="D644" t="str">
        <f>_xlfn.XLOOKUP(FME_Ranking1[[#This Row],[FME ID]],FME_Input[FME_ID],FME_Input[DESCR])</f>
        <v>Feasibility study and a drainage analysis of the new pond row acquisition and associated conveyance improvements on a part of 10 acres of land.</v>
      </c>
      <c r="E644" s="256">
        <f>_xlfn.XLOOKUP(FME_Ranking1[[#This Row],[FME ID]],FME_Input[FME_ID],FME_Input[FME_COST])</f>
        <v>360000</v>
      </c>
      <c r="F644" t="str">
        <f>_xlfn.XLOOKUP(FME_Ranking1[[#This Row],[FME ID]],FME_Input[FME_ID],FME_Input[EMER_NEED])</f>
        <v>No</v>
      </c>
      <c r="G644">
        <f>IF(FME_Ranking!F644="Yes",100,0)</f>
        <v>0</v>
      </c>
      <c r="H644">
        <f>FME_Ranking1[[#This Row],[Emergency Need Score (Normalized, Unweighted)]]*$F$3</f>
        <v>0</v>
      </c>
      <c r="I644" s="246">
        <f>_xlfn.XLOOKUP(FME_Ranking1[[#This Row],[FME ID]],FME_Input[FME_ID],FME_Input[STRUCT_100])</f>
        <v>829</v>
      </c>
      <c r="J644" s="178">
        <f>(FME_Ranking1[[#This Row],[Structures 100 Raw]]/I$2)*100</f>
        <v>0.44392323180396698</v>
      </c>
      <c r="K644" s="178">
        <f>FME_Ranking1[[#This Row],[Structures 100  Score (Normalized, Unweighted)]]*$I$3</f>
        <v>6.6588484770595049E-2</v>
      </c>
      <c r="L644" s="246">
        <f>_xlfn.XLOOKUP(FME_Ranking1[[#This Row],[FME ID]],FME_Input[FME_ID],FME_Input[RES_STRUCT100])</f>
        <v>767</v>
      </c>
      <c r="M644" s="230">
        <f>(FME_Ranking1[[#This Row],[Res Structures Raw]]/L$2)*100</f>
        <v>0.54327038857644749</v>
      </c>
      <c r="N644" s="180">
        <f>FME_Ranking1[[#This Row],[Res Structures Score (Normalized, Unweighted)]]*$L$3</f>
        <v>5.4327038857644755E-2</v>
      </c>
      <c r="O644" s="244">
        <f>_xlfn.XLOOKUP(FME_Ranking1[[#This Row],[FME ID]],FME_Input[FME_ID],FME_Input[POP100])</f>
        <v>1612</v>
      </c>
      <c r="P644" s="178">
        <f>(FME_Ranking1[[#This Row],[Pop Raw]]/$O$2)*100</f>
        <v>0.16502900292588643</v>
      </c>
      <c r="Q644" s="178">
        <f>FME_Ranking1[[#This Row],[Pop Score (Normalized, Unweighted)]]*$O$3</f>
        <v>2.4754350438882963E-2</v>
      </c>
      <c r="R644" s="137">
        <f>_xlfn.XLOOKUP(FME_Ranking1[[#This Row],[FME ID]],FME_Input[FME_ID],FME_Input[CRITFAC100])</f>
        <v>8</v>
      </c>
      <c r="S644" s="230">
        <f>(FME_Ranking1[[#This Row],[Critical Facilities Raw]]/$R$2)*100</f>
        <v>0.34305317324185247</v>
      </c>
      <c r="T644" s="180">
        <f>FME_Ranking1[[#This Row],[Critical Facilities Score (Normalized, Unweighted)]]*$R$3</f>
        <v>6.86106346483705E-2</v>
      </c>
      <c r="U644">
        <f>_xlfn.XLOOKUP(FME_Ranking1[[#This Row],[FME ID]],FME_Input[FME_ID],FME_Input[LWC])</f>
        <v>1</v>
      </c>
      <c r="V644" s="178">
        <f>(FME_Ranking1[[#This Row],[LWC Raw]]/$U$2)*100</f>
        <v>5.7570523891767422E-2</v>
      </c>
      <c r="W644" s="178">
        <f>FME_Ranking1[[#This Row],[LWC Score (Normalized, Unweighted)]]*$U$3</f>
        <v>1.1514104778353485E-2</v>
      </c>
      <c r="X644" s="246">
        <f>_xlfn.XLOOKUP(FME_Ranking1[[#This Row],[FME ID]],FME_Input[FME_ID],FME_Input[ROADCLS])</f>
        <v>1</v>
      </c>
      <c r="Y644" s="230">
        <f>(FME_Ranking1[[#This Row],[Closures Raw]]/$X$2)*100</f>
        <v>1.0514141520344864E-2</v>
      </c>
      <c r="Z644" s="180">
        <f>FME_Ranking1[[#This Row],[Closures Score (Normalized, Unweighted)]]*$X$3</f>
        <v>5.2570707601724321E-4</v>
      </c>
      <c r="AA644" s="253">
        <f>_xlfn.XLOOKUP(FME_Ranking1[[#This Row],[FME ID]],FME_Input[FME_ID],FME_Input[ROAD_MILES100])</f>
        <v>31.114070892333981</v>
      </c>
      <c r="AB644" s="178">
        <f>(FME_Ranking1[[#This Row],[Miles Raw]]/$AA$2)*100</f>
        <v>0.40909422652818844</v>
      </c>
      <c r="AC644" s="178">
        <f>FME_Ranking1[[#This Row],[Miles Score (Normalized, Unweighted)]]*$AA$3</f>
        <v>4.0909422652818848E-2</v>
      </c>
      <c r="AD644" s="255">
        <f>_xlfn.XLOOKUP(FME_Ranking1[[#This Row],[FME ID]],FME_Input[FME_ID],FME_Input[FARMACRE100])</f>
        <v>37.849395751953118</v>
      </c>
      <c r="AE644" s="230">
        <f>(FME_Ranking1[[#This Row],[Ag Land Raw]]/$AD$2)*100</f>
        <v>1.5607396478508194E-3</v>
      </c>
      <c r="AF644" s="231">
        <f>FME_Ranking1[[#This Row],[Ag Land Score (Normalized, Unweighted)]]*$AD$3</f>
        <v>7.8036982392540983E-5</v>
      </c>
      <c r="AG64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0.2673077802050754</v>
      </c>
      <c r="AH644" s="406">
        <f t="shared" si="9"/>
        <v>653</v>
      </c>
      <c r="AI64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0.2673077802050754</v>
      </c>
      <c r="AJ644" s="257">
        <f>FME_Ranking1[[#This Row],[Addition check]]-FME_Ranking1[[#This Row],[Weighted Score Based on Normalized Reported Factors]]</f>
        <v>0</v>
      </c>
      <c r="AK644" s="178">
        <f>_xlfn.RANK.EQ(AI644,$AI$6:$AI$2341,0)+COUNTIF($AI$6:AI644,AI644)-1</f>
        <v>653</v>
      </c>
    </row>
    <row r="645" spans="1:37" x14ac:dyDescent="0.25">
      <c r="A645" t="s">
        <v>1197</v>
      </c>
      <c r="B645">
        <f>_xlfn.XLOOKUP(FME_Ranking1[[#This Row],[FME ID]],FME_Input[FME_ID],FME_Input[RFPG_NUM])</f>
        <v>6</v>
      </c>
      <c r="C645" t="str">
        <f>_xlfn.XLOOKUP(FME_Ranking1[[#This Row],[FME ID]],FME_Input[FME_ID],FME_Input[FME_NAME])</f>
        <v>Corp of Engineers study of the Galveston County Water Reservoir Dam and Levee system</v>
      </c>
      <c r="D645" t="str">
        <f>_xlfn.XLOOKUP(FME_Ranking1[[#This Row],[FME ID]],FME_Input[FME_ID],FME_Input[DESCR])</f>
        <v>Review findings of potential breach to dam/levee system and develop/implement mitigation actions as applicable.</v>
      </c>
      <c r="E645" s="256">
        <f>_xlfn.XLOOKUP(FME_Ranking1[[#This Row],[FME ID]],FME_Input[FME_ID],FME_Input[FME_COST])</f>
        <v>360000</v>
      </c>
      <c r="F645" t="str">
        <f>_xlfn.XLOOKUP(FME_Ranking1[[#This Row],[FME ID]],FME_Input[FME_ID],FME_Input[EMER_NEED])</f>
        <v>No</v>
      </c>
      <c r="G645">
        <f>IF(FME_Ranking!F645="Yes",100,0)</f>
        <v>0</v>
      </c>
      <c r="H645">
        <f>FME_Ranking1[[#This Row],[Emergency Need Score (Normalized, Unweighted)]]*$F$3</f>
        <v>0</v>
      </c>
      <c r="I645" s="246">
        <f>_xlfn.XLOOKUP(FME_Ranking1[[#This Row],[FME ID]],FME_Input[FME_ID],FME_Input[STRUCT_100])</f>
        <v>829</v>
      </c>
      <c r="J645" s="178">
        <f>(FME_Ranking1[[#This Row],[Structures 100 Raw]]/I$2)*100</f>
        <v>0.44392323180396698</v>
      </c>
      <c r="K645" s="178">
        <f>FME_Ranking1[[#This Row],[Structures 100  Score (Normalized, Unweighted)]]*$I$3</f>
        <v>6.6588484770595049E-2</v>
      </c>
      <c r="L645" s="246">
        <f>_xlfn.XLOOKUP(FME_Ranking1[[#This Row],[FME ID]],FME_Input[FME_ID],FME_Input[RES_STRUCT100])</f>
        <v>767</v>
      </c>
      <c r="M645" s="230">
        <f>(FME_Ranking1[[#This Row],[Res Structures Raw]]/L$2)*100</f>
        <v>0.54327038857644749</v>
      </c>
      <c r="N645" s="180">
        <f>FME_Ranking1[[#This Row],[Res Structures Score (Normalized, Unweighted)]]*$L$3</f>
        <v>5.4327038857644755E-2</v>
      </c>
      <c r="O645" s="244">
        <f>_xlfn.XLOOKUP(FME_Ranking1[[#This Row],[FME ID]],FME_Input[FME_ID],FME_Input[POP100])</f>
        <v>1612</v>
      </c>
      <c r="P645" s="178">
        <f>(FME_Ranking1[[#This Row],[Pop Raw]]/$O$2)*100</f>
        <v>0.16502900292588643</v>
      </c>
      <c r="Q645" s="178">
        <f>FME_Ranking1[[#This Row],[Pop Score (Normalized, Unweighted)]]*$O$3</f>
        <v>2.4754350438882963E-2</v>
      </c>
      <c r="R645" s="137">
        <f>_xlfn.XLOOKUP(FME_Ranking1[[#This Row],[FME ID]],FME_Input[FME_ID],FME_Input[CRITFAC100])</f>
        <v>8</v>
      </c>
      <c r="S645" s="230">
        <f>(FME_Ranking1[[#This Row],[Critical Facilities Raw]]/$R$2)*100</f>
        <v>0.34305317324185247</v>
      </c>
      <c r="T645" s="180">
        <f>FME_Ranking1[[#This Row],[Critical Facilities Score (Normalized, Unweighted)]]*$R$3</f>
        <v>6.86106346483705E-2</v>
      </c>
      <c r="U645">
        <f>_xlfn.XLOOKUP(FME_Ranking1[[#This Row],[FME ID]],FME_Input[FME_ID],FME_Input[LWC])</f>
        <v>1</v>
      </c>
      <c r="V645" s="178">
        <f>(FME_Ranking1[[#This Row],[LWC Raw]]/$U$2)*100</f>
        <v>5.7570523891767422E-2</v>
      </c>
      <c r="W645" s="178">
        <f>FME_Ranking1[[#This Row],[LWC Score (Normalized, Unweighted)]]*$U$3</f>
        <v>1.1514104778353485E-2</v>
      </c>
      <c r="X645" s="246">
        <f>_xlfn.XLOOKUP(FME_Ranking1[[#This Row],[FME ID]],FME_Input[FME_ID],FME_Input[ROADCLS])</f>
        <v>1</v>
      </c>
      <c r="Y645" s="230">
        <f>(FME_Ranking1[[#This Row],[Closures Raw]]/$X$2)*100</f>
        <v>1.0514141520344864E-2</v>
      </c>
      <c r="Z645" s="180">
        <f>FME_Ranking1[[#This Row],[Closures Score (Normalized, Unweighted)]]*$X$3</f>
        <v>5.2570707601724321E-4</v>
      </c>
      <c r="AA645" s="253">
        <f>_xlfn.XLOOKUP(FME_Ranking1[[#This Row],[FME ID]],FME_Input[FME_ID],FME_Input[ROAD_MILES100])</f>
        <v>31.114070892333981</v>
      </c>
      <c r="AB645" s="178">
        <f>(FME_Ranking1[[#This Row],[Miles Raw]]/$AA$2)*100</f>
        <v>0.40909422652818844</v>
      </c>
      <c r="AC645" s="178">
        <f>FME_Ranking1[[#This Row],[Miles Score (Normalized, Unweighted)]]*$AA$3</f>
        <v>4.0909422652818848E-2</v>
      </c>
      <c r="AD645" s="255">
        <f>_xlfn.XLOOKUP(FME_Ranking1[[#This Row],[FME ID]],FME_Input[FME_ID],FME_Input[FARMACRE100])</f>
        <v>37.849395751953118</v>
      </c>
      <c r="AE645" s="230">
        <f>(FME_Ranking1[[#This Row],[Ag Land Raw]]/$AD$2)*100</f>
        <v>1.5607396478508194E-3</v>
      </c>
      <c r="AF645" s="231">
        <f>FME_Ranking1[[#This Row],[Ag Land Score (Normalized, Unweighted)]]*$AD$3</f>
        <v>7.8036982392540983E-5</v>
      </c>
      <c r="AG64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0.2673077802050754</v>
      </c>
      <c r="AH645" s="406">
        <f t="shared" si="9"/>
        <v>653</v>
      </c>
      <c r="AI64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0.2673077802050754</v>
      </c>
      <c r="AJ645" s="257">
        <f>FME_Ranking1[[#This Row],[Addition check]]-FME_Ranking1[[#This Row],[Weighted Score Based on Normalized Reported Factors]]</f>
        <v>0</v>
      </c>
      <c r="AK645" s="178">
        <f>_xlfn.RANK.EQ(AI645,$AI$6:$AI$2341,0)+COUNTIF($AI$6:AI645,AI645)-1</f>
        <v>654</v>
      </c>
    </row>
    <row r="646" spans="1:37" x14ac:dyDescent="0.25">
      <c r="A646" t="s">
        <v>1257</v>
      </c>
      <c r="B646">
        <f>_xlfn.XLOOKUP(FME_Ranking1[[#This Row],[FME ID]],FME_Input[FME_ID],FME_Input[RFPG_NUM])</f>
        <v>6</v>
      </c>
      <c r="C646" t="str">
        <f>_xlfn.XLOOKUP(FME_Ranking1[[#This Row],[FME ID]],FME_Input[FME_ID],FME_Input[FME_NAME])</f>
        <v>Implement Drainage Improvements in City of La Marque</v>
      </c>
      <c r="D646" t="str">
        <f>_xlfn.XLOOKUP(FME_Ranking1[[#This Row],[FME ID]],FME_Input[FME_ID],FME_Input[DESCR])</f>
        <v>Implement drainage projects that support low maintenance and cleaning of drainage ditches.</v>
      </c>
      <c r="E646" s="256">
        <f>_xlfn.XLOOKUP(FME_Ranking1[[#This Row],[FME ID]],FME_Input[FME_ID],FME_Input[FME_COST])</f>
        <v>360000</v>
      </c>
      <c r="F646" t="str">
        <f>_xlfn.XLOOKUP(FME_Ranking1[[#This Row],[FME ID]],FME_Input[FME_ID],FME_Input[EMER_NEED])</f>
        <v>No</v>
      </c>
      <c r="G646">
        <f>IF(FME_Ranking!F646="Yes",100,0)</f>
        <v>0</v>
      </c>
      <c r="H646">
        <f>FME_Ranking1[[#This Row],[Emergency Need Score (Normalized, Unweighted)]]*$F$3</f>
        <v>0</v>
      </c>
      <c r="I646" s="246">
        <f>_xlfn.XLOOKUP(FME_Ranking1[[#This Row],[FME ID]],FME_Input[FME_ID],FME_Input[STRUCT_100])</f>
        <v>829</v>
      </c>
      <c r="J646" s="178">
        <f>(FME_Ranking1[[#This Row],[Structures 100 Raw]]/I$2)*100</f>
        <v>0.44392323180396698</v>
      </c>
      <c r="K646" s="178">
        <f>FME_Ranking1[[#This Row],[Structures 100  Score (Normalized, Unweighted)]]*$I$3</f>
        <v>6.6588484770595049E-2</v>
      </c>
      <c r="L646" s="246">
        <f>_xlfn.XLOOKUP(FME_Ranking1[[#This Row],[FME ID]],FME_Input[FME_ID],FME_Input[RES_STRUCT100])</f>
        <v>767</v>
      </c>
      <c r="M646" s="230">
        <f>(FME_Ranking1[[#This Row],[Res Structures Raw]]/L$2)*100</f>
        <v>0.54327038857644749</v>
      </c>
      <c r="N646" s="180">
        <f>FME_Ranking1[[#This Row],[Res Structures Score (Normalized, Unweighted)]]*$L$3</f>
        <v>5.4327038857644755E-2</v>
      </c>
      <c r="O646" s="244">
        <f>_xlfn.XLOOKUP(FME_Ranking1[[#This Row],[FME ID]],FME_Input[FME_ID],FME_Input[POP100])</f>
        <v>1612</v>
      </c>
      <c r="P646" s="178">
        <f>(FME_Ranking1[[#This Row],[Pop Raw]]/$O$2)*100</f>
        <v>0.16502900292588643</v>
      </c>
      <c r="Q646" s="178">
        <f>FME_Ranking1[[#This Row],[Pop Score (Normalized, Unweighted)]]*$O$3</f>
        <v>2.4754350438882963E-2</v>
      </c>
      <c r="R646" s="137">
        <f>_xlfn.XLOOKUP(FME_Ranking1[[#This Row],[FME ID]],FME_Input[FME_ID],FME_Input[CRITFAC100])</f>
        <v>8</v>
      </c>
      <c r="S646" s="230">
        <f>(FME_Ranking1[[#This Row],[Critical Facilities Raw]]/$R$2)*100</f>
        <v>0.34305317324185247</v>
      </c>
      <c r="T646" s="180">
        <f>FME_Ranking1[[#This Row],[Critical Facilities Score (Normalized, Unweighted)]]*$R$3</f>
        <v>6.86106346483705E-2</v>
      </c>
      <c r="U646">
        <f>_xlfn.XLOOKUP(FME_Ranking1[[#This Row],[FME ID]],FME_Input[FME_ID],FME_Input[LWC])</f>
        <v>1</v>
      </c>
      <c r="V646" s="178">
        <f>(FME_Ranking1[[#This Row],[LWC Raw]]/$U$2)*100</f>
        <v>5.7570523891767422E-2</v>
      </c>
      <c r="W646" s="178">
        <f>FME_Ranking1[[#This Row],[LWC Score (Normalized, Unweighted)]]*$U$3</f>
        <v>1.1514104778353485E-2</v>
      </c>
      <c r="X646" s="246">
        <f>_xlfn.XLOOKUP(FME_Ranking1[[#This Row],[FME ID]],FME_Input[FME_ID],FME_Input[ROADCLS])</f>
        <v>1</v>
      </c>
      <c r="Y646" s="230">
        <f>(FME_Ranking1[[#This Row],[Closures Raw]]/$X$2)*100</f>
        <v>1.0514141520344864E-2</v>
      </c>
      <c r="Z646" s="180">
        <f>FME_Ranking1[[#This Row],[Closures Score (Normalized, Unweighted)]]*$X$3</f>
        <v>5.2570707601724321E-4</v>
      </c>
      <c r="AA646" s="253">
        <f>_xlfn.XLOOKUP(FME_Ranking1[[#This Row],[FME ID]],FME_Input[FME_ID],FME_Input[ROAD_MILES100])</f>
        <v>31.114070892333981</v>
      </c>
      <c r="AB646" s="178">
        <f>(FME_Ranking1[[#This Row],[Miles Raw]]/$AA$2)*100</f>
        <v>0.40909422652818844</v>
      </c>
      <c r="AC646" s="178">
        <f>FME_Ranking1[[#This Row],[Miles Score (Normalized, Unweighted)]]*$AA$3</f>
        <v>4.0909422652818848E-2</v>
      </c>
      <c r="AD646" s="255">
        <f>_xlfn.XLOOKUP(FME_Ranking1[[#This Row],[FME ID]],FME_Input[FME_ID],FME_Input[FARMACRE100])</f>
        <v>37.849395751953118</v>
      </c>
      <c r="AE646" s="230">
        <f>(FME_Ranking1[[#This Row],[Ag Land Raw]]/$AD$2)*100</f>
        <v>1.5607396478508194E-3</v>
      </c>
      <c r="AF646" s="231">
        <f>FME_Ranking1[[#This Row],[Ag Land Score (Normalized, Unweighted)]]*$AD$3</f>
        <v>7.8036982392540983E-5</v>
      </c>
      <c r="AG64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0.2673077802050754</v>
      </c>
      <c r="AH646" s="406">
        <f t="shared" ref="AH646:AH709" si="10">_xlfn.RANK.EQ(AG646,$AG$6:$AG$2341,0)</f>
        <v>653</v>
      </c>
      <c r="AI64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0.2673077802050754</v>
      </c>
      <c r="AJ646" s="257">
        <f>FME_Ranking1[[#This Row],[Addition check]]-FME_Ranking1[[#This Row],[Weighted Score Based on Normalized Reported Factors]]</f>
        <v>0</v>
      </c>
      <c r="AK646" s="178">
        <f>_xlfn.RANK.EQ(AI646,$AI$6:$AI$2341,0)+COUNTIF($AI$6:AI646,AI646)-1</f>
        <v>655</v>
      </c>
    </row>
    <row r="647" spans="1:37" x14ac:dyDescent="0.25">
      <c r="A647" t="s">
        <v>1260</v>
      </c>
      <c r="B647">
        <f>_xlfn.XLOOKUP(FME_Ranking1[[#This Row],[FME ID]],FME_Input[FME_ID],FME_Input[RFPG_NUM])</f>
        <v>6</v>
      </c>
      <c r="C647" t="str">
        <f>_xlfn.XLOOKUP(FME_Ranking1[[#This Row],[FME ID]],FME_Input[FME_ID],FME_Input[FME_NAME])</f>
        <v>Evaluatin of Increase Height of Existing Levee Wall System in City of La Marque</v>
      </c>
      <c r="D647" t="str">
        <f>_xlfn.XLOOKUP(FME_Ranking1[[#This Row],[FME ID]],FME_Input[FME_ID],FME_Input[DESCR])</f>
        <v>Increase height of existing Levee wall system to withstand a Category 5 storm surge.</v>
      </c>
      <c r="E647" s="256">
        <f>_xlfn.XLOOKUP(FME_Ranking1[[#This Row],[FME ID]],FME_Input[FME_ID],FME_Input[FME_COST])</f>
        <v>810000</v>
      </c>
      <c r="F647" t="str">
        <f>_xlfn.XLOOKUP(FME_Ranking1[[#This Row],[FME ID]],FME_Input[FME_ID],FME_Input[EMER_NEED])</f>
        <v>No</v>
      </c>
      <c r="G647">
        <f>IF(FME_Ranking!F647="Yes",100,0)</f>
        <v>0</v>
      </c>
      <c r="H647">
        <f>FME_Ranking1[[#This Row],[Emergency Need Score (Normalized, Unweighted)]]*$F$3</f>
        <v>0</v>
      </c>
      <c r="I647" s="246">
        <f>_xlfn.XLOOKUP(FME_Ranking1[[#This Row],[FME ID]],FME_Input[FME_ID],FME_Input[STRUCT_100])</f>
        <v>829</v>
      </c>
      <c r="J647" s="178">
        <f>(FME_Ranking1[[#This Row],[Structures 100 Raw]]/I$2)*100</f>
        <v>0.44392323180396698</v>
      </c>
      <c r="K647" s="178">
        <f>FME_Ranking1[[#This Row],[Structures 100  Score (Normalized, Unweighted)]]*$I$3</f>
        <v>6.6588484770595049E-2</v>
      </c>
      <c r="L647" s="246">
        <f>_xlfn.XLOOKUP(FME_Ranking1[[#This Row],[FME ID]],FME_Input[FME_ID],FME_Input[RES_STRUCT100])</f>
        <v>767</v>
      </c>
      <c r="M647" s="230">
        <f>(FME_Ranking1[[#This Row],[Res Structures Raw]]/L$2)*100</f>
        <v>0.54327038857644749</v>
      </c>
      <c r="N647" s="180">
        <f>FME_Ranking1[[#This Row],[Res Structures Score (Normalized, Unweighted)]]*$L$3</f>
        <v>5.4327038857644755E-2</v>
      </c>
      <c r="O647" s="244">
        <f>_xlfn.XLOOKUP(FME_Ranking1[[#This Row],[FME ID]],FME_Input[FME_ID],FME_Input[POP100])</f>
        <v>1612</v>
      </c>
      <c r="P647" s="178">
        <f>(FME_Ranking1[[#This Row],[Pop Raw]]/$O$2)*100</f>
        <v>0.16502900292588643</v>
      </c>
      <c r="Q647" s="178">
        <f>FME_Ranking1[[#This Row],[Pop Score (Normalized, Unweighted)]]*$O$3</f>
        <v>2.4754350438882963E-2</v>
      </c>
      <c r="R647" s="137">
        <f>_xlfn.XLOOKUP(FME_Ranking1[[#This Row],[FME ID]],FME_Input[FME_ID],FME_Input[CRITFAC100])</f>
        <v>8</v>
      </c>
      <c r="S647" s="230">
        <f>(FME_Ranking1[[#This Row],[Critical Facilities Raw]]/$R$2)*100</f>
        <v>0.34305317324185247</v>
      </c>
      <c r="T647" s="180">
        <f>FME_Ranking1[[#This Row],[Critical Facilities Score (Normalized, Unweighted)]]*$R$3</f>
        <v>6.86106346483705E-2</v>
      </c>
      <c r="U647">
        <f>_xlfn.XLOOKUP(FME_Ranking1[[#This Row],[FME ID]],FME_Input[FME_ID],FME_Input[LWC])</f>
        <v>1</v>
      </c>
      <c r="V647" s="178">
        <f>(FME_Ranking1[[#This Row],[LWC Raw]]/$U$2)*100</f>
        <v>5.7570523891767422E-2</v>
      </c>
      <c r="W647" s="178">
        <f>FME_Ranking1[[#This Row],[LWC Score (Normalized, Unweighted)]]*$U$3</f>
        <v>1.1514104778353485E-2</v>
      </c>
      <c r="X647" s="246">
        <f>_xlfn.XLOOKUP(FME_Ranking1[[#This Row],[FME ID]],FME_Input[FME_ID],FME_Input[ROADCLS])</f>
        <v>1</v>
      </c>
      <c r="Y647" s="230">
        <f>(FME_Ranking1[[#This Row],[Closures Raw]]/$X$2)*100</f>
        <v>1.0514141520344864E-2</v>
      </c>
      <c r="Z647" s="180">
        <f>FME_Ranking1[[#This Row],[Closures Score (Normalized, Unweighted)]]*$X$3</f>
        <v>5.2570707601724321E-4</v>
      </c>
      <c r="AA647" s="253">
        <f>_xlfn.XLOOKUP(FME_Ranking1[[#This Row],[FME ID]],FME_Input[FME_ID],FME_Input[ROAD_MILES100])</f>
        <v>31.114070892333981</v>
      </c>
      <c r="AB647" s="178">
        <f>(FME_Ranking1[[#This Row],[Miles Raw]]/$AA$2)*100</f>
        <v>0.40909422652818844</v>
      </c>
      <c r="AC647" s="178">
        <f>FME_Ranking1[[#This Row],[Miles Score (Normalized, Unweighted)]]*$AA$3</f>
        <v>4.0909422652818848E-2</v>
      </c>
      <c r="AD647" s="255">
        <f>_xlfn.XLOOKUP(FME_Ranking1[[#This Row],[FME ID]],FME_Input[FME_ID],FME_Input[FARMACRE100])</f>
        <v>37.849395751953118</v>
      </c>
      <c r="AE647" s="230">
        <f>(FME_Ranking1[[#This Row],[Ag Land Raw]]/$AD$2)*100</f>
        <v>1.5607396478508194E-3</v>
      </c>
      <c r="AF647" s="231">
        <f>FME_Ranking1[[#This Row],[Ag Land Score (Normalized, Unweighted)]]*$AD$3</f>
        <v>7.8036982392540983E-5</v>
      </c>
      <c r="AG64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0.2673077802050754</v>
      </c>
      <c r="AH647" s="406">
        <f t="shared" si="10"/>
        <v>653</v>
      </c>
      <c r="AI64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0.2673077802050754</v>
      </c>
      <c r="AJ647" s="257">
        <f>FME_Ranking1[[#This Row],[Addition check]]-FME_Ranking1[[#This Row],[Weighted Score Based on Normalized Reported Factors]]</f>
        <v>0</v>
      </c>
      <c r="AK647" s="178">
        <f>_xlfn.RANK.EQ(AI647,$AI$6:$AI$2341,0)+COUNTIF($AI$6:AI647,AI647)-1</f>
        <v>656</v>
      </c>
    </row>
    <row r="648" spans="1:37" x14ac:dyDescent="0.25">
      <c r="A648" t="s">
        <v>1636</v>
      </c>
      <c r="B648">
        <f>_xlfn.XLOOKUP(FME_Ranking1[[#This Row],[FME ID]],FME_Input[FME_ID],FME_Input[RFPG_NUM])</f>
        <v>6</v>
      </c>
      <c r="C648" t="str">
        <f>_xlfn.XLOOKUP(FME_Ranking1[[#This Row],[FME ID]],FME_Input[FME_ID],FME_Input[FME_NAME])</f>
        <v>City of La Marque  Master Drainage Plan</v>
      </c>
      <c r="D648" t="str">
        <f>_xlfn.XLOOKUP(FME_Ranking1[[#This Row],[FME ID]],FME_Input[FME_ID],FME_Input[DESCR])</f>
        <v>Study to develop Master Drainage Plan using future and existing land use and flood/storm water drainage needs including Atlas 14 rainfall.</v>
      </c>
      <c r="E648" s="256">
        <f>_xlfn.XLOOKUP(FME_Ranking1[[#This Row],[FME ID]],FME_Input[FME_ID],FME_Input[FME_COST])</f>
        <v>360000</v>
      </c>
      <c r="F648" t="str">
        <f>_xlfn.XLOOKUP(FME_Ranking1[[#This Row],[FME ID]],FME_Input[FME_ID],FME_Input[EMER_NEED])</f>
        <v>Yes</v>
      </c>
      <c r="G648">
        <f>IF(FME_Ranking!F648="Yes",100,0)</f>
        <v>100</v>
      </c>
      <c r="H648">
        <f>FME_Ranking1[[#This Row],[Emergency Need Score (Normalized, Unweighted)]]*$F$3</f>
        <v>0</v>
      </c>
      <c r="I648" s="246">
        <f>_xlfn.XLOOKUP(FME_Ranking1[[#This Row],[FME ID]],FME_Input[FME_ID],FME_Input[STRUCT_100])</f>
        <v>829</v>
      </c>
      <c r="J648" s="178">
        <f>(FME_Ranking1[[#This Row],[Structures 100 Raw]]/I$2)*100</f>
        <v>0.44392323180396698</v>
      </c>
      <c r="K648" s="178">
        <f>FME_Ranking1[[#This Row],[Structures 100  Score (Normalized, Unweighted)]]*$I$3</f>
        <v>6.6588484770595049E-2</v>
      </c>
      <c r="L648" s="246">
        <f>_xlfn.XLOOKUP(FME_Ranking1[[#This Row],[FME ID]],FME_Input[FME_ID],FME_Input[RES_STRUCT100])</f>
        <v>767</v>
      </c>
      <c r="M648" s="230">
        <f>(FME_Ranking1[[#This Row],[Res Structures Raw]]/L$2)*100</f>
        <v>0.54327038857644749</v>
      </c>
      <c r="N648" s="180">
        <f>FME_Ranking1[[#This Row],[Res Structures Score (Normalized, Unweighted)]]*$L$3</f>
        <v>5.4327038857644755E-2</v>
      </c>
      <c r="O648" s="244">
        <f>_xlfn.XLOOKUP(FME_Ranking1[[#This Row],[FME ID]],FME_Input[FME_ID],FME_Input[POP100])</f>
        <v>1612</v>
      </c>
      <c r="P648" s="178">
        <f>(FME_Ranking1[[#This Row],[Pop Raw]]/$O$2)*100</f>
        <v>0.16502900292588643</v>
      </c>
      <c r="Q648" s="178">
        <f>FME_Ranking1[[#This Row],[Pop Score (Normalized, Unweighted)]]*$O$3</f>
        <v>2.4754350438882963E-2</v>
      </c>
      <c r="R648" s="137">
        <f>_xlfn.XLOOKUP(FME_Ranking1[[#This Row],[FME ID]],FME_Input[FME_ID],FME_Input[CRITFAC100])</f>
        <v>8</v>
      </c>
      <c r="S648" s="230">
        <f>(FME_Ranking1[[#This Row],[Critical Facilities Raw]]/$R$2)*100</f>
        <v>0.34305317324185247</v>
      </c>
      <c r="T648" s="180">
        <f>FME_Ranking1[[#This Row],[Critical Facilities Score (Normalized, Unweighted)]]*$R$3</f>
        <v>6.86106346483705E-2</v>
      </c>
      <c r="U648">
        <f>_xlfn.XLOOKUP(FME_Ranking1[[#This Row],[FME ID]],FME_Input[FME_ID],FME_Input[LWC])</f>
        <v>1</v>
      </c>
      <c r="V648" s="178">
        <f>(FME_Ranking1[[#This Row],[LWC Raw]]/$U$2)*100</f>
        <v>5.7570523891767422E-2</v>
      </c>
      <c r="W648" s="178">
        <f>FME_Ranking1[[#This Row],[LWC Score (Normalized, Unweighted)]]*$U$3</f>
        <v>1.1514104778353485E-2</v>
      </c>
      <c r="X648" s="246">
        <f>_xlfn.XLOOKUP(FME_Ranking1[[#This Row],[FME ID]],FME_Input[FME_ID],FME_Input[ROADCLS])</f>
        <v>1</v>
      </c>
      <c r="Y648" s="230">
        <f>(FME_Ranking1[[#This Row],[Closures Raw]]/$X$2)*100</f>
        <v>1.0514141520344864E-2</v>
      </c>
      <c r="Z648" s="180">
        <f>FME_Ranking1[[#This Row],[Closures Score (Normalized, Unweighted)]]*$X$3</f>
        <v>5.2570707601724321E-4</v>
      </c>
      <c r="AA648" s="253">
        <f>_xlfn.XLOOKUP(FME_Ranking1[[#This Row],[FME ID]],FME_Input[FME_ID],FME_Input[ROAD_MILES100])</f>
        <v>31.114070892333981</v>
      </c>
      <c r="AB648" s="178">
        <f>(FME_Ranking1[[#This Row],[Miles Raw]]/$AA$2)*100</f>
        <v>0.40909422652818844</v>
      </c>
      <c r="AC648" s="178">
        <f>FME_Ranking1[[#This Row],[Miles Score (Normalized, Unweighted)]]*$AA$3</f>
        <v>4.0909422652818848E-2</v>
      </c>
      <c r="AD648" s="255">
        <f>_xlfn.XLOOKUP(FME_Ranking1[[#This Row],[FME ID]],FME_Input[FME_ID],FME_Input[FARMACRE100])</f>
        <v>37.849395751953118</v>
      </c>
      <c r="AE648" s="230">
        <f>(FME_Ranking1[[#This Row],[Ag Land Raw]]/$AD$2)*100</f>
        <v>1.5607396478508194E-3</v>
      </c>
      <c r="AF648" s="231">
        <f>FME_Ranking1[[#This Row],[Ag Land Score (Normalized, Unweighted)]]*$AD$3</f>
        <v>7.8036982392540983E-5</v>
      </c>
      <c r="AG64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0.2673077802050754</v>
      </c>
      <c r="AH648" s="406">
        <f t="shared" si="10"/>
        <v>653</v>
      </c>
      <c r="AI64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0.2673077802050754</v>
      </c>
      <c r="AJ648" s="257">
        <f>FME_Ranking1[[#This Row],[Addition check]]-FME_Ranking1[[#This Row],[Weighted Score Based on Normalized Reported Factors]]</f>
        <v>0</v>
      </c>
      <c r="AK648" s="178">
        <f>_xlfn.RANK.EQ(AI648,$AI$6:$AI$2341,0)+COUNTIF($AI$6:AI648,AI648)-1</f>
        <v>657</v>
      </c>
    </row>
    <row r="649" spans="1:37" x14ac:dyDescent="0.25">
      <c r="A649" t="s">
        <v>1070</v>
      </c>
      <c r="B649">
        <f>_xlfn.XLOOKUP(FME_Ranking1[[#This Row],[FME ID]],FME_Input[FME_ID],FME_Input[RFPG_NUM])</f>
        <v>6</v>
      </c>
      <c r="C649" t="str">
        <f>_xlfn.XLOOKUP(FME_Ranking1[[#This Row],[FME ID]],FME_Input[FME_ID],FME_Input[FME_NAME])</f>
        <v>Cane Island Branch- Alt 2</v>
      </c>
      <c r="D649" t="str">
        <f>_xlfn.XLOOKUP(FME_Ranking1[[#This Row],[FME ID]],FME_Input[FME_ID],FME_Input[DESCR])</f>
        <v>Further study and FMP development of proposed channel modifications to Cane Island Branch including Atlas 14 rainfall.</v>
      </c>
      <c r="E649" s="256">
        <f>_xlfn.XLOOKUP(FME_Ranking1[[#This Row],[FME ID]],FME_Input[FME_ID],FME_Input[FME_COST])</f>
        <v>3270000</v>
      </c>
      <c r="F649" t="str">
        <f>_xlfn.XLOOKUP(FME_Ranking1[[#This Row],[FME ID]],FME_Input[FME_ID],FME_Input[EMER_NEED])</f>
        <v>No</v>
      </c>
      <c r="G649">
        <f>IF(FME_Ranking!F649="Yes",100,0)</f>
        <v>0</v>
      </c>
      <c r="H649">
        <f>FME_Ranking1[[#This Row],[Emergency Need Score (Normalized, Unweighted)]]*$F$3</f>
        <v>0</v>
      </c>
      <c r="I649" s="246">
        <f>_xlfn.XLOOKUP(FME_Ranking1[[#This Row],[FME ID]],FME_Input[FME_ID],FME_Input[STRUCT_100])</f>
        <v>546</v>
      </c>
      <c r="J649" s="178">
        <f>(FME_Ranking1[[#This Row],[Structures 100 Raw]]/I$2)*100</f>
        <v>0.29237887161033288</v>
      </c>
      <c r="K649" s="178">
        <f>FME_Ranking1[[#This Row],[Structures 100  Score (Normalized, Unweighted)]]*$I$3</f>
        <v>4.3856830741549932E-2</v>
      </c>
      <c r="L649" s="246">
        <f>_xlfn.XLOOKUP(FME_Ranking1[[#This Row],[FME ID]],FME_Input[FME_ID],FME_Input[RES_STRUCT100])</f>
        <v>444</v>
      </c>
      <c r="M649" s="230">
        <f>(FME_Ranking1[[#This Row],[Res Structures Raw]]/L$2)*100</f>
        <v>0.31448768256576615</v>
      </c>
      <c r="N649" s="180">
        <f>FME_Ranking1[[#This Row],[Res Structures Score (Normalized, Unweighted)]]*$L$3</f>
        <v>3.1448768256576616E-2</v>
      </c>
      <c r="O649" s="244">
        <f>_xlfn.XLOOKUP(FME_Ranking1[[#This Row],[FME ID]],FME_Input[FME_ID],FME_Input[POP100])</f>
        <v>2216</v>
      </c>
      <c r="P649" s="178">
        <f>(FME_Ranking1[[#This Row],[Pop Raw]]/$O$2)*100</f>
        <v>0.22686369136709944</v>
      </c>
      <c r="Q649" s="178">
        <f>FME_Ranking1[[#This Row],[Pop Score (Normalized, Unweighted)]]*$O$3</f>
        <v>3.4029553705064913E-2</v>
      </c>
      <c r="R649" s="137">
        <f>_xlfn.XLOOKUP(FME_Ranking1[[#This Row],[FME ID]],FME_Input[FME_ID],FME_Input[CRITFAC100])</f>
        <v>8</v>
      </c>
      <c r="S649" s="230">
        <f>(FME_Ranking1[[#This Row],[Critical Facilities Raw]]/$R$2)*100</f>
        <v>0.34305317324185247</v>
      </c>
      <c r="T649" s="180">
        <f>FME_Ranking1[[#This Row],[Critical Facilities Score (Normalized, Unweighted)]]*$R$3</f>
        <v>6.86106346483705E-2</v>
      </c>
      <c r="U649">
        <f>_xlfn.XLOOKUP(FME_Ranking1[[#This Row],[FME ID]],FME_Input[FME_ID],FME_Input[LWC])</f>
        <v>4</v>
      </c>
      <c r="V649" s="178">
        <f>(FME_Ranking1[[#This Row],[LWC Raw]]/$U$2)*100</f>
        <v>0.23028209556706969</v>
      </c>
      <c r="W649" s="178">
        <f>FME_Ranking1[[#This Row],[LWC Score (Normalized, Unweighted)]]*$U$3</f>
        <v>4.6056419113413939E-2</v>
      </c>
      <c r="X649" s="246">
        <f>_xlfn.XLOOKUP(FME_Ranking1[[#This Row],[FME ID]],FME_Input[FME_ID],FME_Input[ROADCLS])</f>
        <v>4</v>
      </c>
      <c r="Y649" s="230">
        <f>(FME_Ranking1[[#This Row],[Closures Raw]]/$X$2)*100</f>
        <v>4.2056566081379455E-2</v>
      </c>
      <c r="Z649" s="180">
        <f>FME_Ranking1[[#This Row],[Closures Score (Normalized, Unweighted)]]*$X$3</f>
        <v>2.1028283040689729E-3</v>
      </c>
      <c r="AA649" s="253">
        <f>_xlfn.XLOOKUP(FME_Ranking1[[#This Row],[FME ID]],FME_Input[FME_ID],FME_Input[ROAD_MILES100])</f>
        <v>10.02671051025391</v>
      </c>
      <c r="AB649" s="178">
        <f>(FME_Ranking1[[#This Row],[Miles Raw]]/$AA$2)*100</f>
        <v>0.13183325946027261</v>
      </c>
      <c r="AC649" s="178">
        <f>FME_Ranking1[[#This Row],[Miles Score (Normalized, Unweighted)]]*$AA$3</f>
        <v>1.3183325946027261E-2</v>
      </c>
      <c r="AD649" s="255">
        <f>_xlfn.XLOOKUP(FME_Ranking1[[#This Row],[FME ID]],FME_Input[FME_ID],FME_Input[FARMACRE100])</f>
        <v>21.652620315551761</v>
      </c>
      <c r="AE649" s="230">
        <f>(FME_Ranking1[[#This Row],[Ag Land Raw]]/$AD$2)*100</f>
        <v>8.9285713377862581E-4</v>
      </c>
      <c r="AF649" s="231">
        <f>FME_Ranking1[[#This Row],[Ag Land Score (Normalized, Unweighted)]]*$AD$3</f>
        <v>4.4642856688931292E-5</v>
      </c>
      <c r="AG64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0.23933300357176104</v>
      </c>
      <c r="AH649" s="406">
        <f t="shared" si="10"/>
        <v>725</v>
      </c>
      <c r="AI64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0.23933300357176104</v>
      </c>
      <c r="AJ649" s="257">
        <f>FME_Ranking1[[#This Row],[Addition check]]-FME_Ranking1[[#This Row],[Weighted Score Based on Normalized Reported Factors]]</f>
        <v>0</v>
      </c>
      <c r="AK649" s="178">
        <f>_xlfn.RANK.EQ(AI649,$AI$6:$AI$2341,0)+COUNTIF($AI$6:AI649,AI649)-1</f>
        <v>725</v>
      </c>
    </row>
    <row r="650" spans="1:37" x14ac:dyDescent="0.25">
      <c r="A650" t="s">
        <v>1227</v>
      </c>
      <c r="B650">
        <f>_xlfn.XLOOKUP(FME_Ranking1[[#This Row],[FME ID]],FME_Input[FME_ID],FME_Input[RFPG_NUM])</f>
        <v>6</v>
      </c>
      <c r="C650" t="str">
        <f>_xlfn.XLOOKUP(FME_Ranking1[[#This Row],[FME ID]],FME_Input[FME_ID],FME_Input[FME_NAME])</f>
        <v>Cane Island Branch- Alt 1</v>
      </c>
      <c r="D650" t="str">
        <f>_xlfn.XLOOKUP(FME_Ranking1[[#This Row],[FME ID]],FME_Input[FME_ID],FME_Input[DESCR])</f>
        <v>Further study of 2,800 ac-ft detention upstream of Pitts road.</v>
      </c>
      <c r="E650" s="256">
        <f>_xlfn.XLOOKUP(FME_Ranking1[[#This Row],[FME ID]],FME_Input[FME_ID],FME_Input[FME_COST])</f>
        <v>180000</v>
      </c>
      <c r="F650" t="str">
        <f>_xlfn.XLOOKUP(FME_Ranking1[[#This Row],[FME ID]],FME_Input[FME_ID],FME_Input[EMER_NEED])</f>
        <v>No</v>
      </c>
      <c r="G650">
        <f>IF(FME_Ranking!F650="Yes",100,0)</f>
        <v>0</v>
      </c>
      <c r="H650">
        <f>FME_Ranking1[[#This Row],[Emergency Need Score (Normalized, Unweighted)]]*$F$3</f>
        <v>0</v>
      </c>
      <c r="I650" s="246">
        <f>_xlfn.XLOOKUP(FME_Ranking1[[#This Row],[FME ID]],FME_Input[FME_ID],FME_Input[STRUCT_100])</f>
        <v>546</v>
      </c>
      <c r="J650" s="178">
        <f>(FME_Ranking1[[#This Row],[Structures 100 Raw]]/I$2)*100</f>
        <v>0.29237887161033288</v>
      </c>
      <c r="K650" s="178">
        <f>FME_Ranking1[[#This Row],[Structures 100  Score (Normalized, Unweighted)]]*$I$3</f>
        <v>4.3856830741549932E-2</v>
      </c>
      <c r="L650" s="246">
        <f>_xlfn.XLOOKUP(FME_Ranking1[[#This Row],[FME ID]],FME_Input[FME_ID],FME_Input[RES_STRUCT100])</f>
        <v>444</v>
      </c>
      <c r="M650" s="230">
        <f>(FME_Ranking1[[#This Row],[Res Structures Raw]]/L$2)*100</f>
        <v>0.31448768256576615</v>
      </c>
      <c r="N650" s="180">
        <f>FME_Ranking1[[#This Row],[Res Structures Score (Normalized, Unweighted)]]*$L$3</f>
        <v>3.1448768256576616E-2</v>
      </c>
      <c r="O650" s="244">
        <f>_xlfn.XLOOKUP(FME_Ranking1[[#This Row],[FME ID]],FME_Input[FME_ID],FME_Input[POP100])</f>
        <v>2216</v>
      </c>
      <c r="P650" s="178">
        <f>(FME_Ranking1[[#This Row],[Pop Raw]]/$O$2)*100</f>
        <v>0.22686369136709944</v>
      </c>
      <c r="Q650" s="178">
        <f>FME_Ranking1[[#This Row],[Pop Score (Normalized, Unweighted)]]*$O$3</f>
        <v>3.4029553705064913E-2</v>
      </c>
      <c r="R650" s="137">
        <f>_xlfn.XLOOKUP(FME_Ranking1[[#This Row],[FME ID]],FME_Input[FME_ID],FME_Input[CRITFAC100])</f>
        <v>8</v>
      </c>
      <c r="S650" s="230">
        <f>(FME_Ranking1[[#This Row],[Critical Facilities Raw]]/$R$2)*100</f>
        <v>0.34305317324185247</v>
      </c>
      <c r="T650" s="180">
        <f>FME_Ranking1[[#This Row],[Critical Facilities Score (Normalized, Unweighted)]]*$R$3</f>
        <v>6.86106346483705E-2</v>
      </c>
      <c r="U650">
        <f>_xlfn.XLOOKUP(FME_Ranking1[[#This Row],[FME ID]],FME_Input[FME_ID],FME_Input[LWC])</f>
        <v>4</v>
      </c>
      <c r="V650" s="178">
        <f>(FME_Ranking1[[#This Row],[LWC Raw]]/$U$2)*100</f>
        <v>0.23028209556706969</v>
      </c>
      <c r="W650" s="178">
        <f>FME_Ranking1[[#This Row],[LWC Score (Normalized, Unweighted)]]*$U$3</f>
        <v>4.6056419113413939E-2</v>
      </c>
      <c r="X650" s="246">
        <f>_xlfn.XLOOKUP(FME_Ranking1[[#This Row],[FME ID]],FME_Input[FME_ID],FME_Input[ROADCLS])</f>
        <v>4</v>
      </c>
      <c r="Y650" s="230">
        <f>(FME_Ranking1[[#This Row],[Closures Raw]]/$X$2)*100</f>
        <v>4.2056566081379455E-2</v>
      </c>
      <c r="Z650" s="180">
        <f>FME_Ranking1[[#This Row],[Closures Score (Normalized, Unweighted)]]*$X$3</f>
        <v>2.1028283040689729E-3</v>
      </c>
      <c r="AA650" s="253">
        <f>_xlfn.XLOOKUP(FME_Ranking1[[#This Row],[FME ID]],FME_Input[FME_ID],FME_Input[ROAD_MILES100])</f>
        <v>10.02671051025391</v>
      </c>
      <c r="AB650" s="178">
        <f>(FME_Ranking1[[#This Row],[Miles Raw]]/$AA$2)*100</f>
        <v>0.13183325946027261</v>
      </c>
      <c r="AC650" s="178">
        <f>FME_Ranking1[[#This Row],[Miles Score (Normalized, Unweighted)]]*$AA$3</f>
        <v>1.3183325946027261E-2</v>
      </c>
      <c r="AD650" s="255">
        <f>_xlfn.XLOOKUP(FME_Ranking1[[#This Row],[FME ID]],FME_Input[FME_ID],FME_Input[FARMACRE100])</f>
        <v>21.652620315551761</v>
      </c>
      <c r="AE650" s="230">
        <f>(FME_Ranking1[[#This Row],[Ag Land Raw]]/$AD$2)*100</f>
        <v>8.9285713377862581E-4</v>
      </c>
      <c r="AF650" s="231">
        <f>FME_Ranking1[[#This Row],[Ag Land Score (Normalized, Unweighted)]]*$AD$3</f>
        <v>4.4642856688931292E-5</v>
      </c>
      <c r="AG65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0.23933300357176104</v>
      </c>
      <c r="AH650" s="406">
        <f t="shared" si="10"/>
        <v>725</v>
      </c>
      <c r="AI65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0.23933300357176104</v>
      </c>
      <c r="AJ650" s="257">
        <f>FME_Ranking1[[#This Row],[Addition check]]-FME_Ranking1[[#This Row],[Weighted Score Based on Normalized Reported Factors]]</f>
        <v>0</v>
      </c>
      <c r="AK650" s="178">
        <f>_xlfn.RANK.EQ(AI650,$AI$6:$AI$2341,0)+COUNTIF($AI$6:AI650,AI650)-1</f>
        <v>726</v>
      </c>
    </row>
    <row r="651" spans="1:37" x14ac:dyDescent="0.25">
      <c r="A651" t="s">
        <v>1631</v>
      </c>
      <c r="B651">
        <f>_xlfn.XLOOKUP(FME_Ranking1[[#This Row],[FME ID]],FME_Input[FME_ID],FME_Input[RFPG_NUM])</f>
        <v>6</v>
      </c>
      <c r="C651" t="str">
        <f>_xlfn.XLOOKUP(FME_Ranking1[[#This Row],[FME ID]],FME_Input[FME_ID],FME_Input[FME_NAME])</f>
        <v>City of Katy Master Drainage Plan</v>
      </c>
      <c r="D651" t="str">
        <f>_xlfn.XLOOKUP(FME_Ranking1[[#This Row],[FME ID]],FME_Input[FME_ID],FME_Input[DESCR])</f>
        <v>Study to develop Master Drainage Plan using future and existing land use and flood/storm water drainage needs including Atlas 14 rainfall.</v>
      </c>
      <c r="E651" s="256">
        <f>_xlfn.XLOOKUP(FME_Ranking1[[#This Row],[FME ID]],FME_Input[FME_ID],FME_Input[FME_COST])</f>
        <v>360000</v>
      </c>
      <c r="F651" t="str">
        <f>_xlfn.XLOOKUP(FME_Ranking1[[#This Row],[FME ID]],FME_Input[FME_ID],FME_Input[EMER_NEED])</f>
        <v>Yes</v>
      </c>
      <c r="G651">
        <f>IF(FME_Ranking!F651="Yes",100,0)</f>
        <v>100</v>
      </c>
      <c r="H651">
        <f>FME_Ranking1[[#This Row],[Emergency Need Score (Normalized, Unweighted)]]*$F$3</f>
        <v>0</v>
      </c>
      <c r="I651" s="246">
        <f>_xlfn.XLOOKUP(FME_Ranking1[[#This Row],[FME ID]],FME_Input[FME_ID],FME_Input[STRUCT_100])</f>
        <v>546</v>
      </c>
      <c r="J651" s="178">
        <f>(FME_Ranking1[[#This Row],[Structures 100 Raw]]/I$2)*100</f>
        <v>0.29237887161033288</v>
      </c>
      <c r="K651" s="178">
        <f>FME_Ranking1[[#This Row],[Structures 100  Score (Normalized, Unweighted)]]*$I$3</f>
        <v>4.3856830741549932E-2</v>
      </c>
      <c r="L651" s="246">
        <f>_xlfn.XLOOKUP(FME_Ranking1[[#This Row],[FME ID]],FME_Input[FME_ID],FME_Input[RES_STRUCT100])</f>
        <v>444</v>
      </c>
      <c r="M651" s="230">
        <f>(FME_Ranking1[[#This Row],[Res Structures Raw]]/L$2)*100</f>
        <v>0.31448768256576615</v>
      </c>
      <c r="N651" s="180">
        <f>FME_Ranking1[[#This Row],[Res Structures Score (Normalized, Unweighted)]]*$L$3</f>
        <v>3.1448768256576616E-2</v>
      </c>
      <c r="O651" s="244">
        <f>_xlfn.XLOOKUP(FME_Ranking1[[#This Row],[FME ID]],FME_Input[FME_ID],FME_Input[POP100])</f>
        <v>2216</v>
      </c>
      <c r="P651" s="178">
        <f>(FME_Ranking1[[#This Row],[Pop Raw]]/$O$2)*100</f>
        <v>0.22686369136709944</v>
      </c>
      <c r="Q651" s="178">
        <f>FME_Ranking1[[#This Row],[Pop Score (Normalized, Unweighted)]]*$O$3</f>
        <v>3.4029553705064913E-2</v>
      </c>
      <c r="R651" s="137">
        <f>_xlfn.XLOOKUP(FME_Ranking1[[#This Row],[FME ID]],FME_Input[FME_ID],FME_Input[CRITFAC100])</f>
        <v>8</v>
      </c>
      <c r="S651" s="230">
        <f>(FME_Ranking1[[#This Row],[Critical Facilities Raw]]/$R$2)*100</f>
        <v>0.34305317324185247</v>
      </c>
      <c r="T651" s="180">
        <f>FME_Ranking1[[#This Row],[Critical Facilities Score (Normalized, Unweighted)]]*$R$3</f>
        <v>6.86106346483705E-2</v>
      </c>
      <c r="U651">
        <f>_xlfn.XLOOKUP(FME_Ranking1[[#This Row],[FME ID]],FME_Input[FME_ID],FME_Input[LWC])</f>
        <v>4</v>
      </c>
      <c r="V651" s="178">
        <f>(FME_Ranking1[[#This Row],[LWC Raw]]/$U$2)*100</f>
        <v>0.23028209556706969</v>
      </c>
      <c r="W651" s="178">
        <f>FME_Ranking1[[#This Row],[LWC Score (Normalized, Unweighted)]]*$U$3</f>
        <v>4.6056419113413939E-2</v>
      </c>
      <c r="X651" s="246">
        <f>_xlfn.XLOOKUP(FME_Ranking1[[#This Row],[FME ID]],FME_Input[FME_ID],FME_Input[ROADCLS])</f>
        <v>4</v>
      </c>
      <c r="Y651" s="230">
        <f>(FME_Ranking1[[#This Row],[Closures Raw]]/$X$2)*100</f>
        <v>4.2056566081379455E-2</v>
      </c>
      <c r="Z651" s="180">
        <f>FME_Ranking1[[#This Row],[Closures Score (Normalized, Unweighted)]]*$X$3</f>
        <v>2.1028283040689729E-3</v>
      </c>
      <c r="AA651" s="253">
        <f>_xlfn.XLOOKUP(FME_Ranking1[[#This Row],[FME ID]],FME_Input[FME_ID],FME_Input[ROAD_MILES100])</f>
        <v>10.02671051025391</v>
      </c>
      <c r="AB651" s="178">
        <f>(FME_Ranking1[[#This Row],[Miles Raw]]/$AA$2)*100</f>
        <v>0.13183325946027261</v>
      </c>
      <c r="AC651" s="178">
        <f>FME_Ranking1[[#This Row],[Miles Score (Normalized, Unweighted)]]*$AA$3</f>
        <v>1.3183325946027261E-2</v>
      </c>
      <c r="AD651" s="255">
        <f>_xlfn.XLOOKUP(FME_Ranking1[[#This Row],[FME ID]],FME_Input[FME_ID],FME_Input[FARMACRE100])</f>
        <v>21.652620315551761</v>
      </c>
      <c r="AE651" s="230">
        <f>(FME_Ranking1[[#This Row],[Ag Land Raw]]/$AD$2)*100</f>
        <v>8.9285713377862581E-4</v>
      </c>
      <c r="AF651" s="231">
        <f>FME_Ranking1[[#This Row],[Ag Land Score (Normalized, Unweighted)]]*$AD$3</f>
        <v>4.4642856688931292E-5</v>
      </c>
      <c r="AG65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0.23933300357176104</v>
      </c>
      <c r="AH651" s="406">
        <f t="shared" si="10"/>
        <v>725</v>
      </c>
      <c r="AI65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0.23933300357176104</v>
      </c>
      <c r="AJ651" s="257">
        <f>FME_Ranking1[[#This Row],[Addition check]]-FME_Ranking1[[#This Row],[Weighted Score Based on Normalized Reported Factors]]</f>
        <v>0</v>
      </c>
      <c r="AK651" s="178">
        <f>_xlfn.RANK.EQ(AI651,$AI$6:$AI$2341,0)+COUNTIF($AI$6:AI651,AI651)-1</f>
        <v>727</v>
      </c>
    </row>
    <row r="652" spans="1:37" x14ac:dyDescent="0.25">
      <c r="A652" t="s">
        <v>4402</v>
      </c>
      <c r="B652">
        <f>_xlfn.XLOOKUP(FME_Ranking1[[#This Row],[FME ID]],FME_Input[FME_ID],FME_Input[RFPG_NUM])</f>
        <v>3</v>
      </c>
      <c r="C652" t="str">
        <f>_xlfn.XLOOKUP(FME_Ranking1[[#This Row],[FME ID]],FME_Input[FME_ID],FME_Input[FME_NAME])</f>
        <v>Sweetbriar-Glenrose Alley Drainage Study Update</v>
      </c>
      <c r="D652" t="str">
        <f>_xlfn.XLOOKUP(FME_Ranking1[[#This Row],[FME ID]],FME_Input[FME_ID],FME_Input[DESCR])</f>
        <v>Area 26</v>
      </c>
      <c r="E652" s="256">
        <f>_xlfn.XLOOKUP(FME_Ranking1[[#This Row],[FME ID]],FME_Input[FME_ID],FME_Input[FME_COST])</f>
        <v>50000</v>
      </c>
      <c r="F652" t="str">
        <f>_xlfn.XLOOKUP(FME_Ranking1[[#This Row],[FME ID]],FME_Input[FME_ID],FME_Input[EMER_NEED])</f>
        <v>No</v>
      </c>
      <c r="G652">
        <f>IF(FME_Ranking!F652="Yes",100,0)</f>
        <v>0</v>
      </c>
      <c r="H652">
        <f>FME_Ranking1[[#This Row],[Emergency Need Score (Normalized, Unweighted)]]*$F$3</f>
        <v>0</v>
      </c>
      <c r="I652" s="246">
        <f>_xlfn.XLOOKUP(FME_Ranking1[[#This Row],[FME ID]],FME_Input[FME_ID],FME_Input[STRUCT_100])</f>
        <v>308</v>
      </c>
      <c r="J652" s="178">
        <f>(FME_Ranking1[[#This Row],[Structures 100 Raw]]/I$2)*100</f>
        <v>0.16493167116480315</v>
      </c>
      <c r="K652" s="178">
        <f>FME_Ranking1[[#This Row],[Structures 100  Score (Normalized, Unweighted)]]*$I$3</f>
        <v>2.4739750674720472E-2</v>
      </c>
      <c r="L652" s="246">
        <f>_xlfn.XLOOKUP(FME_Ranking1[[#This Row],[FME ID]],FME_Input[FME_ID],FME_Input[RES_STRUCT100])</f>
        <v>291</v>
      </c>
      <c r="M652" s="230">
        <f>(FME_Ranking1[[#This Row],[Res Structures Raw]]/L$2)*100</f>
        <v>0.20611692708702242</v>
      </c>
      <c r="N652" s="180">
        <f>FME_Ranking1[[#This Row],[Res Structures Score (Normalized, Unweighted)]]*$L$3</f>
        <v>2.0611692708702244E-2</v>
      </c>
      <c r="O652" s="244">
        <f>_xlfn.XLOOKUP(FME_Ranking1[[#This Row],[FME ID]],FME_Input[FME_ID],FME_Input[POP100])</f>
        <v>4259</v>
      </c>
      <c r="P652" s="178">
        <f>(FME_Ranking1[[#This Row],[Pop Raw]]/$O$2)*100</f>
        <v>0.43601645376014286</v>
      </c>
      <c r="Q652" s="178">
        <f>FME_Ranking1[[#This Row],[Pop Score (Normalized, Unweighted)]]*$O$3</f>
        <v>6.5402468064021432E-2</v>
      </c>
      <c r="R652" s="137">
        <f>_xlfn.XLOOKUP(FME_Ranking1[[#This Row],[FME ID]],FME_Input[FME_ID],FME_Input[CRITFAC100])</f>
        <v>4</v>
      </c>
      <c r="S652" s="230">
        <f>(FME_Ranking1[[#This Row],[Critical Facilities Raw]]/$R$2)*100</f>
        <v>0.17152658662092624</v>
      </c>
      <c r="T652" s="180">
        <f>FME_Ranking1[[#This Row],[Critical Facilities Score (Normalized, Unweighted)]]*$R$3</f>
        <v>3.430531732418525E-2</v>
      </c>
      <c r="U652">
        <f>_xlfn.XLOOKUP(FME_Ranking1[[#This Row],[FME ID]],FME_Input[FME_ID],FME_Input[LWC])</f>
        <v>7</v>
      </c>
      <c r="V652" s="178">
        <f>(FME_Ranking1[[#This Row],[LWC Raw]]/$U$2)*100</f>
        <v>0.40299366724237184</v>
      </c>
      <c r="W652" s="178">
        <f>FME_Ranking1[[#This Row],[LWC Score (Normalized, Unweighted)]]*$U$3</f>
        <v>8.0598733448474374E-2</v>
      </c>
      <c r="X652" s="246">
        <f>_xlfn.XLOOKUP(FME_Ranking1[[#This Row],[FME ID]],FME_Input[FME_ID],FME_Input[ROADCLS])</f>
        <v>0</v>
      </c>
      <c r="Y652" s="230">
        <f>(FME_Ranking1[[#This Row],[Closures Raw]]/$X$2)*100</f>
        <v>0</v>
      </c>
      <c r="Z652" s="180">
        <f>FME_Ranking1[[#This Row],[Closures Score (Normalized, Unweighted)]]*$X$3</f>
        <v>0</v>
      </c>
      <c r="AA652" s="253">
        <f>_xlfn.XLOOKUP(FME_Ranking1[[#This Row],[FME ID]],FME_Input[FME_ID],FME_Input[ROAD_MILES100])</f>
        <v>7.3264060020446777</v>
      </c>
      <c r="AB652" s="178">
        <f>(FME_Ranking1[[#This Row],[Miles Raw]]/$AA$2)*100</f>
        <v>9.6329098400826929E-2</v>
      </c>
      <c r="AC652" s="178">
        <f>FME_Ranking1[[#This Row],[Miles Score (Normalized, Unweighted)]]*$AA$3</f>
        <v>9.6329098400826929E-3</v>
      </c>
      <c r="AD652" s="255">
        <f>_xlfn.XLOOKUP(FME_Ranking1[[#This Row],[FME ID]],FME_Input[FME_ID],FME_Input[FARMACRE100])</f>
        <v>0.92041027545928955</v>
      </c>
      <c r="AE652" s="230">
        <f>(FME_Ranking1[[#This Row],[Ag Land Raw]]/$AD$2)*100</f>
        <v>3.7953599539947209E-5</v>
      </c>
      <c r="AF652" s="231">
        <f>FME_Ranking1[[#This Row],[Ag Land Score (Normalized, Unweighted)]]*$AD$3</f>
        <v>1.8976799769973606E-6</v>
      </c>
      <c r="AG65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0.23529276974016347</v>
      </c>
      <c r="AH652" s="406">
        <f t="shared" si="10"/>
        <v>733</v>
      </c>
      <c r="AI65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0.23529276974016347</v>
      </c>
      <c r="AJ652" s="257">
        <f>FME_Ranking1[[#This Row],[Addition check]]-FME_Ranking1[[#This Row],[Weighted Score Based on Normalized Reported Factors]]</f>
        <v>0</v>
      </c>
      <c r="AK652" s="178">
        <f>_xlfn.RANK.EQ(AI652,$AI$6:$AI$2341,0)+COUNTIF($AI$6:AI652,AI652)-1</f>
        <v>733</v>
      </c>
    </row>
    <row r="653" spans="1:37" x14ac:dyDescent="0.25">
      <c r="A653" t="s">
        <v>5815</v>
      </c>
      <c r="B653">
        <f>_xlfn.XLOOKUP(FME_Ranking1[[#This Row],[FME ID]],FME_Input[FME_ID],FME_Input[RFPG_NUM])</f>
        <v>5</v>
      </c>
      <c r="C653" t="str">
        <f>_xlfn.XLOOKUP(FME_Ranking1[[#This Row],[FME ID]],FME_Input[FME_ID],FME_Input[FME_NAME])</f>
        <v>Chambers County Update Flood Hazard Mapping</v>
      </c>
      <c r="D653" t="str">
        <f>_xlfn.XLOOKUP(FME_Ranking1[[#This Row],[FME ID]],FME_Input[FME_ID],FME_Input[DESCR])</f>
        <v>Complete a detailed study within the county extent to delineate an updated flood hazard area, which can be used for regulatory purposes.</v>
      </c>
      <c r="E653" s="256">
        <f>_xlfn.XLOOKUP(FME_Ranking1[[#This Row],[FME ID]],FME_Input[FME_ID],FME_Input[FME_COST])</f>
        <v>652546</v>
      </c>
      <c r="F653" t="str">
        <f>_xlfn.XLOOKUP(FME_Ranking1[[#This Row],[FME ID]],FME_Input[FME_ID],FME_Input[EMER_NEED])</f>
        <v>Yes</v>
      </c>
      <c r="G653">
        <f>IF(FME_Ranking!F653="Yes",100,0)</f>
        <v>100</v>
      </c>
      <c r="H653">
        <f>FME_Ranking1[[#This Row],[Emergency Need Score (Normalized, Unweighted)]]*$F$3</f>
        <v>0</v>
      </c>
      <c r="I653" s="246">
        <f>_xlfn.XLOOKUP(FME_Ranking1[[#This Row],[FME ID]],FME_Input[FME_ID],FME_Input[STRUCT_100])</f>
        <v>1175</v>
      </c>
      <c r="J653" s="178">
        <f>(FME_Ranking1[[#This Row],[Structures 100 Raw]]/I$2)*100</f>
        <v>0.62920361564494709</v>
      </c>
      <c r="K653" s="178">
        <f>FME_Ranking1[[#This Row],[Structures 100  Score (Normalized, Unweighted)]]*$I$3</f>
        <v>9.4380542346742063E-2</v>
      </c>
      <c r="L653" s="246">
        <f>_xlfn.XLOOKUP(FME_Ranking1[[#This Row],[FME ID]],FME_Input[FME_ID],FME_Input[RES_STRUCT100])</f>
        <v>459</v>
      </c>
      <c r="M653" s="230">
        <f>(FME_Ranking1[[#This Row],[Res Structures Raw]]/L$2)*100</f>
        <v>0.32511226643623126</v>
      </c>
      <c r="N653" s="180">
        <f>FME_Ranking1[[#This Row],[Res Structures Score (Normalized, Unweighted)]]*$L$3</f>
        <v>3.2511226643623124E-2</v>
      </c>
      <c r="O653" s="244">
        <f>_xlfn.XLOOKUP(FME_Ranking1[[#This Row],[FME ID]],FME_Input[FME_ID],FME_Input[POP100])</f>
        <v>1431</v>
      </c>
      <c r="P653" s="178">
        <f>(FME_Ranking1[[#This Row],[Pop Raw]]/$O$2)*100</f>
        <v>0.14649907145592025</v>
      </c>
      <c r="Q653" s="178">
        <f>FME_Ranking1[[#This Row],[Pop Score (Normalized, Unweighted)]]*$O$3</f>
        <v>2.1974860718388039E-2</v>
      </c>
      <c r="R653" s="137">
        <f>_xlfn.XLOOKUP(FME_Ranking1[[#This Row],[FME ID]],FME_Input[FME_ID],FME_Input[CRITFAC100])</f>
        <v>0</v>
      </c>
      <c r="S653" s="230">
        <f>(FME_Ranking1[[#This Row],[Critical Facilities Raw]]/$R$2)*100</f>
        <v>0</v>
      </c>
      <c r="T653" s="180">
        <f>FME_Ranking1[[#This Row],[Critical Facilities Score (Normalized, Unweighted)]]*$R$3</f>
        <v>0</v>
      </c>
      <c r="U653">
        <f>_xlfn.XLOOKUP(FME_Ranking1[[#This Row],[FME ID]],FME_Input[FME_ID],FME_Input[LWC])</f>
        <v>0</v>
      </c>
      <c r="V653" s="178">
        <f>(FME_Ranking1[[#This Row],[LWC Raw]]/$U$2)*100</f>
        <v>0</v>
      </c>
      <c r="W653" s="178">
        <f>FME_Ranking1[[#This Row],[LWC Score (Normalized, Unweighted)]]*$U$3</f>
        <v>0</v>
      </c>
      <c r="X653" s="246">
        <f>_xlfn.XLOOKUP(FME_Ranking1[[#This Row],[FME ID]],FME_Input[FME_ID],FME_Input[ROADCLS])</f>
        <v>0</v>
      </c>
      <c r="Y653" s="230">
        <f>(FME_Ranking1[[#This Row],[Closures Raw]]/$X$2)*100</f>
        <v>0</v>
      </c>
      <c r="Z653" s="180">
        <f>FME_Ranking1[[#This Row],[Closures Score (Normalized, Unweighted)]]*$X$3</f>
        <v>0</v>
      </c>
      <c r="AA653" s="253">
        <f>_xlfn.XLOOKUP(FME_Ranking1[[#This Row],[FME ID]],FME_Input[FME_ID],FME_Input[ROAD_MILES100])</f>
        <v>161.6165466308594</v>
      </c>
      <c r="AB653" s="178">
        <f>(FME_Ranking1[[#This Row],[Miles Raw]]/$AA$2)*100</f>
        <v>2.1249677153110289</v>
      </c>
      <c r="AC653" s="178">
        <f>FME_Ranking1[[#This Row],[Miles Score (Normalized, Unweighted)]]*$AA$3</f>
        <v>0.21249677153110291</v>
      </c>
      <c r="AD653" s="255">
        <f>_xlfn.XLOOKUP(FME_Ranking1[[#This Row],[FME ID]],FME_Input[FME_ID],FME_Input[FARMACRE100])</f>
        <v>36932.59375</v>
      </c>
      <c r="AE653" s="230">
        <f>(FME_Ranking1[[#This Row],[Ag Land Raw]]/$AD$2)*100</f>
        <v>1.5229348373578173</v>
      </c>
      <c r="AF653" s="231">
        <f>FME_Ranking1[[#This Row],[Ag Land Score (Normalized, Unweighted)]]*$AD$3</f>
        <v>7.6146741867890874E-2</v>
      </c>
      <c r="AG65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0.437510143107747</v>
      </c>
      <c r="AH653" s="406">
        <f t="shared" si="10"/>
        <v>487</v>
      </c>
      <c r="AI65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0.437510143107747</v>
      </c>
      <c r="AJ653" s="257">
        <f>FME_Ranking1[[#This Row],[Addition check]]-FME_Ranking1[[#This Row],[Weighted Score Based on Normalized Reported Factors]]</f>
        <v>0</v>
      </c>
      <c r="AK653" s="178">
        <f>_xlfn.RANK.EQ(AI653,$AI$6:$AI$2341,0)+COUNTIF($AI$6:AI653,AI653)-1</f>
        <v>487</v>
      </c>
    </row>
    <row r="654" spans="1:37" x14ac:dyDescent="0.25">
      <c r="A654" t="s">
        <v>6456</v>
      </c>
      <c r="B654">
        <f>_xlfn.XLOOKUP(FME_Ranking1[[#This Row],[FME ID]],FME_Input[FME_ID],FME_Input[RFPG_NUM])</f>
        <v>5</v>
      </c>
      <c r="C654" t="str">
        <f>_xlfn.XLOOKUP(FME_Ranking1[[#This Row],[FME ID]],FME_Input[FME_ID],FME_Input[FME_NAME])</f>
        <v>Chambers County Master Drainage Plan</v>
      </c>
      <c r="D654"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654" s="256">
        <f>_xlfn.XLOOKUP(FME_Ranking1[[#This Row],[FME ID]],FME_Input[FME_ID],FME_Input[FME_COST])</f>
        <v>1600000</v>
      </c>
      <c r="F654" t="str">
        <f>_xlfn.XLOOKUP(FME_Ranking1[[#This Row],[FME ID]],FME_Input[FME_ID],FME_Input[EMER_NEED])</f>
        <v>Yes</v>
      </c>
      <c r="G654">
        <f>IF(FME_Ranking!F654="Yes",100,0)</f>
        <v>100</v>
      </c>
      <c r="H654">
        <f>FME_Ranking1[[#This Row],[Emergency Need Score (Normalized, Unweighted)]]*$F$3</f>
        <v>0</v>
      </c>
      <c r="I654" s="246">
        <f>_xlfn.XLOOKUP(FME_Ranking1[[#This Row],[FME ID]],FME_Input[FME_ID],FME_Input[STRUCT_100])</f>
        <v>1175</v>
      </c>
      <c r="J654" s="178">
        <f>(FME_Ranking1[[#This Row],[Structures 100 Raw]]/I$2)*100</f>
        <v>0.62920361564494709</v>
      </c>
      <c r="K654" s="178">
        <f>FME_Ranking1[[#This Row],[Structures 100  Score (Normalized, Unweighted)]]*$I$3</f>
        <v>9.4380542346742063E-2</v>
      </c>
      <c r="L654" s="246">
        <f>_xlfn.XLOOKUP(FME_Ranking1[[#This Row],[FME ID]],FME_Input[FME_ID],FME_Input[RES_STRUCT100])</f>
        <v>459</v>
      </c>
      <c r="M654" s="230">
        <f>(FME_Ranking1[[#This Row],[Res Structures Raw]]/L$2)*100</f>
        <v>0.32511226643623126</v>
      </c>
      <c r="N654" s="180">
        <f>FME_Ranking1[[#This Row],[Res Structures Score (Normalized, Unweighted)]]*$L$3</f>
        <v>3.2511226643623124E-2</v>
      </c>
      <c r="O654" s="244">
        <f>_xlfn.XLOOKUP(FME_Ranking1[[#This Row],[FME ID]],FME_Input[FME_ID],FME_Input[POP100])</f>
        <v>1431</v>
      </c>
      <c r="P654" s="178">
        <f>(FME_Ranking1[[#This Row],[Pop Raw]]/$O$2)*100</f>
        <v>0.14649907145592025</v>
      </c>
      <c r="Q654" s="178">
        <f>FME_Ranking1[[#This Row],[Pop Score (Normalized, Unweighted)]]*$O$3</f>
        <v>2.1974860718388039E-2</v>
      </c>
      <c r="R654" s="137">
        <f>_xlfn.XLOOKUP(FME_Ranking1[[#This Row],[FME ID]],FME_Input[FME_ID],FME_Input[CRITFAC100])</f>
        <v>0</v>
      </c>
      <c r="S654" s="230">
        <f>(FME_Ranking1[[#This Row],[Critical Facilities Raw]]/$R$2)*100</f>
        <v>0</v>
      </c>
      <c r="T654" s="180">
        <f>FME_Ranking1[[#This Row],[Critical Facilities Score (Normalized, Unweighted)]]*$R$3</f>
        <v>0</v>
      </c>
      <c r="U654">
        <f>_xlfn.XLOOKUP(FME_Ranking1[[#This Row],[FME ID]],FME_Input[FME_ID],FME_Input[LWC])</f>
        <v>0</v>
      </c>
      <c r="V654" s="178">
        <f>(FME_Ranking1[[#This Row],[LWC Raw]]/$U$2)*100</f>
        <v>0</v>
      </c>
      <c r="W654" s="178">
        <f>FME_Ranking1[[#This Row],[LWC Score (Normalized, Unweighted)]]*$U$3</f>
        <v>0</v>
      </c>
      <c r="X654" s="246">
        <f>_xlfn.XLOOKUP(FME_Ranking1[[#This Row],[FME ID]],FME_Input[FME_ID],FME_Input[ROADCLS])</f>
        <v>0</v>
      </c>
      <c r="Y654" s="230">
        <f>(FME_Ranking1[[#This Row],[Closures Raw]]/$X$2)*100</f>
        <v>0</v>
      </c>
      <c r="Z654" s="180">
        <f>FME_Ranking1[[#This Row],[Closures Score (Normalized, Unweighted)]]*$X$3</f>
        <v>0</v>
      </c>
      <c r="AA654" s="253">
        <f>_xlfn.XLOOKUP(FME_Ranking1[[#This Row],[FME ID]],FME_Input[FME_ID],FME_Input[ROAD_MILES100])</f>
        <v>161.6165466308594</v>
      </c>
      <c r="AB654" s="178">
        <f>(FME_Ranking1[[#This Row],[Miles Raw]]/$AA$2)*100</f>
        <v>2.1249677153110289</v>
      </c>
      <c r="AC654" s="178">
        <f>FME_Ranking1[[#This Row],[Miles Score (Normalized, Unweighted)]]*$AA$3</f>
        <v>0.21249677153110291</v>
      </c>
      <c r="AD654" s="255">
        <f>_xlfn.XLOOKUP(FME_Ranking1[[#This Row],[FME ID]],FME_Input[FME_ID],FME_Input[FARMACRE100])</f>
        <v>36932.59375</v>
      </c>
      <c r="AE654" s="230">
        <f>(FME_Ranking1[[#This Row],[Ag Land Raw]]/$AD$2)*100</f>
        <v>1.5229348373578173</v>
      </c>
      <c r="AF654" s="231">
        <f>FME_Ranking1[[#This Row],[Ag Land Score (Normalized, Unweighted)]]*$AD$3</f>
        <v>7.6146741867890874E-2</v>
      </c>
      <c r="AG65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0.437510143107747</v>
      </c>
      <c r="AH654" s="406">
        <f t="shared" si="10"/>
        <v>487</v>
      </c>
      <c r="AI65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0.437510143107747</v>
      </c>
      <c r="AJ654" s="257">
        <f>FME_Ranking1[[#This Row],[Addition check]]-FME_Ranking1[[#This Row],[Weighted Score Based on Normalized Reported Factors]]</f>
        <v>0</v>
      </c>
      <c r="AK654" s="178">
        <f>_xlfn.RANK.EQ(AI654,$AI$6:$AI$2341,0)+COUNTIF($AI$6:AI654,AI654)-1</f>
        <v>488</v>
      </c>
    </row>
    <row r="655" spans="1:37" x14ac:dyDescent="0.25">
      <c r="A655" t="s">
        <v>2532</v>
      </c>
      <c r="B655">
        <f>_xlfn.XLOOKUP(FME_Ranking1[[#This Row],[FME ID]],FME_Input[FME_ID],FME_Input[RFPG_NUM])</f>
        <v>1</v>
      </c>
      <c r="C655" t="str">
        <f>_xlfn.XLOOKUP(FME_Ranking1[[#This Row],[FME ID]],FME_Input[FME_ID],FME_Input[FME_NAME])</f>
        <v>Swisher County Drainage Master Plan</v>
      </c>
      <c r="D655" t="str">
        <f>_xlfn.XLOOKUP(FME_Ranking1[[#This Row],[FME ID]],FME_Input[FME_ID],FME_Input[DESCR])</f>
        <v xml:space="preserve">Perform H&amp;H modeling, develop conceptual alternatives and OPCC, and rank projects; survey responses report issues with rivers, creeks, tributaries, and functioning floodplains and playa lakes. </v>
      </c>
      <c r="E655" s="256">
        <f>_xlfn.XLOOKUP(FME_Ranking1[[#This Row],[FME ID]],FME_Input[FME_ID],FME_Input[FME_COST])</f>
        <v>500000</v>
      </c>
      <c r="F655" t="str">
        <f>_xlfn.XLOOKUP(FME_Ranking1[[#This Row],[FME ID]],FME_Input[FME_ID],FME_Input[EMER_NEED])</f>
        <v>No</v>
      </c>
      <c r="G655">
        <f>IF(FME_Ranking!F655="Yes",100,0)</f>
        <v>0</v>
      </c>
      <c r="H655">
        <f>FME_Ranking1[[#This Row],[Emergency Need Score (Normalized, Unweighted)]]*$F$3</f>
        <v>0</v>
      </c>
      <c r="I655" s="246">
        <f>_xlfn.XLOOKUP(FME_Ranking1[[#This Row],[FME ID]],FME_Input[FME_ID],FME_Input[STRUCT_100])</f>
        <v>57</v>
      </c>
      <c r="J655" s="178">
        <f>(FME_Ranking1[[#This Row],[Structures 100 Raw]]/I$2)*100</f>
        <v>3.0523069014265519E-2</v>
      </c>
      <c r="K655" s="178">
        <f>FME_Ranking1[[#This Row],[Structures 100  Score (Normalized, Unweighted)]]*$I$3</f>
        <v>4.5784603521398281E-3</v>
      </c>
      <c r="L655" s="246">
        <f>_xlfn.XLOOKUP(FME_Ranking1[[#This Row],[FME ID]],FME_Input[FME_ID],FME_Input[RES_STRUCT100])</f>
        <v>21</v>
      </c>
      <c r="M655" s="230">
        <f>(FME_Ranking1[[#This Row],[Res Structures Raw]]/L$2)*100</f>
        <v>1.4874417418651103E-2</v>
      </c>
      <c r="N655" s="180">
        <f>FME_Ranking1[[#This Row],[Res Structures Score (Normalized, Unweighted)]]*$L$3</f>
        <v>1.4874417418651103E-3</v>
      </c>
      <c r="O655" s="244">
        <f>_xlfn.XLOOKUP(FME_Ranking1[[#This Row],[FME ID]],FME_Input[FME_ID],FME_Input[POP100])</f>
        <v>54</v>
      </c>
      <c r="P655" s="178">
        <f>(FME_Ranking1[[#This Row],[Pop Raw]]/$O$2)*100</f>
        <v>5.5282668473932177E-3</v>
      </c>
      <c r="Q655" s="178">
        <f>FME_Ranking1[[#This Row],[Pop Score (Normalized, Unweighted)]]*$O$3</f>
        <v>8.2924002710898267E-4</v>
      </c>
      <c r="R655" s="137">
        <f>_xlfn.XLOOKUP(FME_Ranking1[[#This Row],[FME ID]],FME_Input[FME_ID],FME_Input[CRITFAC100])</f>
        <v>0</v>
      </c>
      <c r="S655" s="230">
        <f>(FME_Ranking1[[#This Row],[Critical Facilities Raw]]/$R$2)*100</f>
        <v>0</v>
      </c>
      <c r="T655" s="180">
        <f>FME_Ranking1[[#This Row],[Critical Facilities Score (Normalized, Unweighted)]]*$R$3</f>
        <v>0</v>
      </c>
      <c r="U655">
        <f>_xlfn.XLOOKUP(FME_Ranking1[[#This Row],[FME ID]],FME_Input[FME_ID],FME_Input[LWC])</f>
        <v>11</v>
      </c>
      <c r="V655" s="178">
        <f>(FME_Ranking1[[#This Row],[LWC Raw]]/$U$2)*100</f>
        <v>0.63327576280944153</v>
      </c>
      <c r="W655" s="178">
        <f>FME_Ranking1[[#This Row],[LWC Score (Normalized, Unweighted)]]*$U$3</f>
        <v>0.12665515256188831</v>
      </c>
      <c r="X655" s="246">
        <f>_xlfn.XLOOKUP(FME_Ranking1[[#This Row],[FME ID]],FME_Input[FME_ID],FME_Input[ROADCLS])</f>
        <v>15</v>
      </c>
      <c r="Y655" s="230">
        <f>(FME_Ranking1[[#This Row],[Closures Raw]]/$X$2)*100</f>
        <v>0.15771212280517297</v>
      </c>
      <c r="Z655" s="180">
        <f>FME_Ranking1[[#This Row],[Closures Score (Normalized, Unweighted)]]*$X$3</f>
        <v>7.8856061402586483E-3</v>
      </c>
      <c r="AA655" s="253">
        <f>_xlfn.XLOOKUP(FME_Ranking1[[#This Row],[FME ID]],FME_Input[FME_ID],FME_Input[ROAD_MILES100])</f>
        <v>203.70433044433591</v>
      </c>
      <c r="AB655" s="178">
        <f>(FME_Ranking1[[#This Row],[Miles Raw]]/$AA$2)*100</f>
        <v>2.6783465844741121</v>
      </c>
      <c r="AC655" s="178">
        <f>FME_Ranking1[[#This Row],[Miles Score (Normalized, Unweighted)]]*$AA$3</f>
        <v>0.26783465844741122</v>
      </c>
      <c r="AD655" s="255">
        <f>_xlfn.XLOOKUP(FME_Ranking1[[#This Row],[FME ID]],FME_Input[FME_ID],FME_Input[FARMACRE100])</f>
        <v>40120.859375</v>
      </c>
      <c r="AE655" s="230">
        <f>(FME_Ranking1[[#This Row],[Ag Land Raw]]/$AD$2)*100</f>
        <v>1.6544046394499843</v>
      </c>
      <c r="AF655" s="231">
        <f>FME_Ranking1[[#This Row],[Ag Land Score (Normalized, Unweighted)]]*$AD$3</f>
        <v>8.2720231972499225E-2</v>
      </c>
      <c r="AG65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0.49199079124317135</v>
      </c>
      <c r="AH655" s="406">
        <f t="shared" si="10"/>
        <v>439</v>
      </c>
      <c r="AI65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0.49199079124317135</v>
      </c>
      <c r="AJ655" s="257">
        <f>FME_Ranking1[[#This Row],[Addition check]]-FME_Ranking1[[#This Row],[Weighted Score Based on Normalized Reported Factors]]</f>
        <v>0</v>
      </c>
      <c r="AK655" s="178">
        <f>_xlfn.RANK.EQ(AI655,$AI$6:$AI$2341,0)+COUNTIF($AI$6:AI655,AI655)-1</f>
        <v>439</v>
      </c>
    </row>
    <row r="656" spans="1:37" x14ac:dyDescent="0.25">
      <c r="A656" t="s">
        <v>2891</v>
      </c>
      <c r="B656">
        <f>_xlfn.XLOOKUP(FME_Ranking1[[#This Row],[FME ID]],FME_Input[FME_ID],FME_Input[RFPG_NUM])</f>
        <v>1</v>
      </c>
      <c r="C656" t="str">
        <f>_xlfn.XLOOKUP(FME_Ranking1[[#This Row],[FME ID]],FME_Input[FME_ID],FME_Input[FME_NAME])</f>
        <v>Swisher County FIS</v>
      </c>
      <c r="D656" t="str">
        <f>_xlfn.XLOOKUP(FME_Ranking1[[#This Row],[FME ID]],FME_Input[FME_ID],FME_Input[DESCR])</f>
        <v>Perform flood insurance study for the county and develop regulatory mapping</v>
      </c>
      <c r="E656" s="256">
        <f>_xlfn.XLOOKUP(FME_Ranking1[[#This Row],[FME ID]],FME_Input[FME_ID],FME_Input[FME_COST])</f>
        <v>929000</v>
      </c>
      <c r="F656" t="str">
        <f>_xlfn.XLOOKUP(FME_Ranking1[[#This Row],[FME ID]],FME_Input[FME_ID],FME_Input[EMER_NEED])</f>
        <v>No</v>
      </c>
      <c r="G656">
        <f>IF(FME_Ranking!F656="Yes",100,0)</f>
        <v>0</v>
      </c>
      <c r="H656">
        <f>FME_Ranking1[[#This Row],[Emergency Need Score (Normalized, Unweighted)]]*$F$3</f>
        <v>0</v>
      </c>
      <c r="I656" s="246">
        <f>_xlfn.XLOOKUP(FME_Ranking1[[#This Row],[FME ID]],FME_Input[FME_ID],FME_Input[STRUCT_100])</f>
        <v>57</v>
      </c>
      <c r="J656" s="178">
        <f>(FME_Ranking1[[#This Row],[Structures 100 Raw]]/I$2)*100</f>
        <v>3.0523069014265519E-2</v>
      </c>
      <c r="K656" s="178">
        <f>FME_Ranking1[[#This Row],[Structures 100  Score (Normalized, Unweighted)]]*$I$3</f>
        <v>4.5784603521398281E-3</v>
      </c>
      <c r="L656" s="246">
        <f>_xlfn.XLOOKUP(FME_Ranking1[[#This Row],[FME ID]],FME_Input[FME_ID],FME_Input[RES_STRUCT100])</f>
        <v>21</v>
      </c>
      <c r="M656" s="230">
        <f>(FME_Ranking1[[#This Row],[Res Structures Raw]]/L$2)*100</f>
        <v>1.4874417418651103E-2</v>
      </c>
      <c r="N656" s="180">
        <f>FME_Ranking1[[#This Row],[Res Structures Score (Normalized, Unweighted)]]*$L$3</f>
        <v>1.4874417418651103E-3</v>
      </c>
      <c r="O656" s="244">
        <f>_xlfn.XLOOKUP(FME_Ranking1[[#This Row],[FME ID]],FME_Input[FME_ID],FME_Input[POP100])</f>
        <v>54</v>
      </c>
      <c r="P656" s="178">
        <f>(FME_Ranking1[[#This Row],[Pop Raw]]/$O$2)*100</f>
        <v>5.5282668473932177E-3</v>
      </c>
      <c r="Q656" s="178">
        <f>FME_Ranking1[[#This Row],[Pop Score (Normalized, Unweighted)]]*$O$3</f>
        <v>8.2924002710898267E-4</v>
      </c>
      <c r="R656" s="137">
        <f>_xlfn.XLOOKUP(FME_Ranking1[[#This Row],[FME ID]],FME_Input[FME_ID],FME_Input[CRITFAC100])</f>
        <v>0</v>
      </c>
      <c r="S656" s="230">
        <f>(FME_Ranking1[[#This Row],[Critical Facilities Raw]]/$R$2)*100</f>
        <v>0</v>
      </c>
      <c r="T656" s="180">
        <f>FME_Ranking1[[#This Row],[Critical Facilities Score (Normalized, Unweighted)]]*$R$3</f>
        <v>0</v>
      </c>
      <c r="U656">
        <f>_xlfn.XLOOKUP(FME_Ranking1[[#This Row],[FME ID]],FME_Input[FME_ID],FME_Input[LWC])</f>
        <v>11</v>
      </c>
      <c r="V656" s="178">
        <f>(FME_Ranking1[[#This Row],[LWC Raw]]/$U$2)*100</f>
        <v>0.63327576280944153</v>
      </c>
      <c r="W656" s="178">
        <f>FME_Ranking1[[#This Row],[LWC Score (Normalized, Unweighted)]]*$U$3</f>
        <v>0.12665515256188831</v>
      </c>
      <c r="X656" s="246">
        <f>_xlfn.XLOOKUP(FME_Ranking1[[#This Row],[FME ID]],FME_Input[FME_ID],FME_Input[ROADCLS])</f>
        <v>15</v>
      </c>
      <c r="Y656" s="230">
        <f>(FME_Ranking1[[#This Row],[Closures Raw]]/$X$2)*100</f>
        <v>0.15771212280517297</v>
      </c>
      <c r="Z656" s="180">
        <f>FME_Ranking1[[#This Row],[Closures Score (Normalized, Unweighted)]]*$X$3</f>
        <v>7.8856061402586483E-3</v>
      </c>
      <c r="AA656" s="253">
        <f>_xlfn.XLOOKUP(FME_Ranking1[[#This Row],[FME ID]],FME_Input[FME_ID],FME_Input[ROAD_MILES100])</f>
        <v>203.70433044433591</v>
      </c>
      <c r="AB656" s="178">
        <f>(FME_Ranking1[[#This Row],[Miles Raw]]/$AA$2)*100</f>
        <v>2.6783465844741121</v>
      </c>
      <c r="AC656" s="178">
        <f>FME_Ranking1[[#This Row],[Miles Score (Normalized, Unweighted)]]*$AA$3</f>
        <v>0.26783465844741122</v>
      </c>
      <c r="AD656" s="255">
        <f>_xlfn.XLOOKUP(FME_Ranking1[[#This Row],[FME ID]],FME_Input[FME_ID],FME_Input[FARMACRE100])</f>
        <v>40120.859375</v>
      </c>
      <c r="AE656" s="230">
        <f>(FME_Ranking1[[#This Row],[Ag Land Raw]]/$AD$2)*100</f>
        <v>1.6544046394499843</v>
      </c>
      <c r="AF656" s="231">
        <f>FME_Ranking1[[#This Row],[Ag Land Score (Normalized, Unweighted)]]*$AD$3</f>
        <v>8.2720231972499225E-2</v>
      </c>
      <c r="AG65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0.49199079124317135</v>
      </c>
      <c r="AH656" s="406">
        <f t="shared" si="10"/>
        <v>439</v>
      </c>
      <c r="AI65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0.49199079124317135</v>
      </c>
      <c r="AJ656" s="257">
        <f>FME_Ranking1[[#This Row],[Addition check]]-FME_Ranking1[[#This Row],[Weighted Score Based on Normalized Reported Factors]]</f>
        <v>0</v>
      </c>
      <c r="AK656" s="178">
        <f>_xlfn.RANK.EQ(AI656,$AI$6:$AI$2341,0)+COUNTIF($AI$6:AI656,AI656)-1</f>
        <v>440</v>
      </c>
    </row>
    <row r="657" spans="1:37" x14ac:dyDescent="0.25">
      <c r="A657" t="s">
        <v>10655</v>
      </c>
      <c r="B657">
        <f>_xlfn.XLOOKUP(FME_Ranking1[[#This Row],[FME ID]],FME_Input[FME_ID],FME_Input[RFPG_NUM])</f>
        <v>13</v>
      </c>
      <c r="C657" t="str">
        <f>_xlfn.XLOOKUP(FME_Ranking1[[#This Row],[FME ID]],FME_Input[FME_ID],FME_Input[FME_NAME])</f>
        <v>Aransas Pass Homeowner Buyout Program</v>
      </c>
      <c r="D657" t="str">
        <f>_xlfn.XLOOKUP(FME_Ranking1[[#This Row],[FME ID]],FME_Input[FME_ID],FME_Input[DESCR])</f>
        <v xml:space="preserve">Develop and implement a buyout program. The purpose is to buy out land owners in areas that have had repeated monetary lose due to storm flooding. </v>
      </c>
      <c r="E657" s="256">
        <f>_xlfn.XLOOKUP(FME_Ranking1[[#This Row],[FME ID]],FME_Input[FME_ID],FME_Input[FME_COST])</f>
        <v>82000</v>
      </c>
      <c r="F657" t="str">
        <f>_xlfn.XLOOKUP(FME_Ranking1[[#This Row],[FME ID]],FME_Input[FME_ID],FME_Input[EMER_NEED])</f>
        <v>Yes</v>
      </c>
      <c r="G657">
        <f>IF(FME_Ranking!F657="Yes",100,0)</f>
        <v>100</v>
      </c>
      <c r="H657">
        <f>FME_Ranking1[[#This Row],[Emergency Need Score (Normalized, Unweighted)]]*$F$3</f>
        <v>0</v>
      </c>
      <c r="I657" s="246">
        <f>_xlfn.XLOOKUP(FME_Ranking1[[#This Row],[FME ID]],FME_Input[FME_ID],FME_Input[STRUCT_100])</f>
        <v>914</v>
      </c>
      <c r="J657" s="178">
        <f>(FME_Ranking1[[#This Row],[Structures 100 Raw]]/I$2)*100</f>
        <v>0.48944008910594183</v>
      </c>
      <c r="K657" s="178">
        <f>FME_Ranking1[[#This Row],[Structures 100  Score (Normalized, Unweighted)]]*$I$3</f>
        <v>7.3416013365891278E-2</v>
      </c>
      <c r="L657" s="246">
        <f>_xlfn.XLOOKUP(FME_Ranking1[[#This Row],[FME ID]],FME_Input[FME_ID],FME_Input[RES_STRUCT100])</f>
        <v>639</v>
      </c>
      <c r="M657" s="230">
        <f>(FME_Ranking1[[#This Row],[Res Structures Raw]]/L$2)*100</f>
        <v>0.45260727288181213</v>
      </c>
      <c r="N657" s="180">
        <f>FME_Ranking1[[#This Row],[Res Structures Score (Normalized, Unweighted)]]*$L$3</f>
        <v>4.5260727288181216E-2</v>
      </c>
      <c r="O657" s="244">
        <f>_xlfn.XLOOKUP(FME_Ranking1[[#This Row],[FME ID]],FME_Input[FME_ID],FME_Input[POP100])</f>
        <v>2022</v>
      </c>
      <c r="P657" s="178">
        <f>(FME_Ranking1[[#This Row],[Pop Raw]]/$O$2)*100</f>
        <v>0.20700288084127935</v>
      </c>
      <c r="Q657" s="178">
        <f>FME_Ranking1[[#This Row],[Pop Score (Normalized, Unweighted)]]*$O$3</f>
        <v>3.10504321261919E-2</v>
      </c>
      <c r="R657" s="137">
        <f>_xlfn.XLOOKUP(FME_Ranking1[[#This Row],[FME ID]],FME_Input[FME_ID],FME_Input[CRITFAC100])</f>
        <v>0</v>
      </c>
      <c r="S657" s="230">
        <f>(FME_Ranking1[[#This Row],[Critical Facilities Raw]]/$R$2)*100</f>
        <v>0</v>
      </c>
      <c r="T657" s="180">
        <f>FME_Ranking1[[#This Row],[Critical Facilities Score (Normalized, Unweighted)]]*$R$3</f>
        <v>0</v>
      </c>
      <c r="U657">
        <f>_xlfn.XLOOKUP(FME_Ranking1[[#This Row],[FME ID]],FME_Input[FME_ID],FME_Input[LWC])</f>
        <v>0</v>
      </c>
      <c r="V657" s="178">
        <f>(FME_Ranking1[[#This Row],[LWC Raw]]/$U$2)*100</f>
        <v>0</v>
      </c>
      <c r="W657" s="178">
        <f>FME_Ranking1[[#This Row],[LWC Score (Normalized, Unweighted)]]*$U$3</f>
        <v>0</v>
      </c>
      <c r="X657" s="246">
        <f>_xlfn.XLOOKUP(FME_Ranking1[[#This Row],[FME ID]],FME_Input[FME_ID],FME_Input[ROADCLS])</f>
        <v>138</v>
      </c>
      <c r="Y657" s="230">
        <f>(FME_Ranking1[[#This Row],[Closures Raw]]/$X$2)*100</f>
        <v>1.4509515298075912</v>
      </c>
      <c r="Z657" s="180">
        <f>FME_Ranking1[[#This Row],[Closures Score (Normalized, Unweighted)]]*$X$3</f>
        <v>7.2547576490379559E-2</v>
      </c>
      <c r="AA657" s="253">
        <f>_xlfn.XLOOKUP(FME_Ranking1[[#This Row],[FME ID]],FME_Input[FME_ID],FME_Input[ROAD_MILES100])</f>
        <v>32.119758605957031</v>
      </c>
      <c r="AB657" s="178">
        <f>(FME_Ranking1[[#This Row],[Miles Raw]]/$AA$2)*100</f>
        <v>0.42231721617673657</v>
      </c>
      <c r="AC657" s="178">
        <f>FME_Ranking1[[#This Row],[Miles Score (Normalized, Unweighted)]]*$AA$3</f>
        <v>4.2231721617673662E-2</v>
      </c>
      <c r="AD657" s="255">
        <f>_xlfn.XLOOKUP(FME_Ranking1[[#This Row],[FME ID]],FME_Input[FME_ID],FME_Input[FARMACRE100])</f>
        <v>4.7731661796569824</v>
      </c>
      <c r="AE657" s="230">
        <f>(FME_Ranking1[[#This Row],[Ag Land Raw]]/$AD$2)*100</f>
        <v>1.9682400615304041E-4</v>
      </c>
      <c r="AF657" s="231">
        <f>FME_Ranking1[[#This Row],[Ag Land Score (Normalized, Unweighted)]]*$AD$3</f>
        <v>9.8412003076520208E-6</v>
      </c>
      <c r="AG65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0.26451631208862525</v>
      </c>
      <c r="AH657" s="406">
        <f t="shared" si="10"/>
        <v>662</v>
      </c>
      <c r="AI65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0.26451631208862525</v>
      </c>
      <c r="AJ657" s="257">
        <f>FME_Ranking1[[#This Row],[Addition check]]-FME_Ranking1[[#This Row],[Weighted Score Based on Normalized Reported Factors]]</f>
        <v>0</v>
      </c>
      <c r="AK657" s="178">
        <f>_xlfn.RANK.EQ(AI657,$AI$6:$AI$2341,0)+COUNTIF($AI$6:AI657,AI657)-1</f>
        <v>662</v>
      </c>
    </row>
    <row r="658" spans="1:37" x14ac:dyDescent="0.25">
      <c r="A658" t="s">
        <v>5429</v>
      </c>
      <c r="B658">
        <f>_xlfn.XLOOKUP(FME_Ranking1[[#This Row],[FME ID]],FME_Input[FME_ID],FME_Input[RFPG_NUM])</f>
        <v>3</v>
      </c>
      <c r="C658" t="str">
        <f>_xlfn.XLOOKUP(FME_Ranking1[[#This Row],[FME ID]],FME_Input[FME_ID],FME_Input[FME_NAME])</f>
        <v>City of Weatherford DMP</v>
      </c>
      <c r="D658" t="str">
        <f>_xlfn.XLOOKUP(FME_Ranking1[[#This Row],[FME ID]],FME_Input[FME_ID],FME_Input[DESCR])</f>
        <v>Evaluate city and identify future projects.</v>
      </c>
      <c r="E658" s="256">
        <f>_xlfn.XLOOKUP(FME_Ranking1[[#This Row],[FME ID]],FME_Input[FME_ID],FME_Input[FME_COST])</f>
        <v>500000</v>
      </c>
      <c r="F658" t="str">
        <f>_xlfn.XLOOKUP(FME_Ranking1[[#This Row],[FME ID]],FME_Input[FME_ID],FME_Input[EMER_NEED])</f>
        <v>No</v>
      </c>
      <c r="G658">
        <f>IF(FME_Ranking!F658="Yes",100,0)</f>
        <v>0</v>
      </c>
      <c r="H658">
        <f>FME_Ranking1[[#This Row],[Emergency Need Score (Normalized, Unweighted)]]*$F$3</f>
        <v>0</v>
      </c>
      <c r="I658" s="246">
        <f>_xlfn.XLOOKUP(FME_Ranking1[[#This Row],[FME ID]],FME_Input[FME_ID],FME_Input[STRUCT_100])</f>
        <v>520</v>
      </c>
      <c r="J658" s="178">
        <f>(FME_Ranking1[[#This Row],[Structures 100 Raw]]/I$2)*100</f>
        <v>0.27845606820031704</v>
      </c>
      <c r="K658" s="178">
        <f>FME_Ranking1[[#This Row],[Structures 100  Score (Normalized, Unweighted)]]*$I$3</f>
        <v>4.1768410230047556E-2</v>
      </c>
      <c r="L658" s="246">
        <f>_xlfn.XLOOKUP(FME_Ranking1[[#This Row],[FME ID]],FME_Input[FME_ID],FME_Input[RES_STRUCT100])</f>
        <v>468</v>
      </c>
      <c r="M658" s="230">
        <f>(FME_Ranking1[[#This Row],[Res Structures Raw]]/L$2)*100</f>
        <v>0.33148701675851033</v>
      </c>
      <c r="N658" s="180">
        <f>FME_Ranking1[[#This Row],[Res Structures Score (Normalized, Unweighted)]]*$L$3</f>
        <v>3.3148701675851037E-2</v>
      </c>
      <c r="O658" s="244">
        <f>_xlfn.XLOOKUP(FME_Ranking1[[#This Row],[FME ID]],FME_Input[FME_ID],FME_Input[POP100])</f>
        <v>2170</v>
      </c>
      <c r="P658" s="178">
        <f>(FME_Ranking1[[#This Row],[Pop Raw]]/$O$2)*100</f>
        <v>0.22215442701561633</v>
      </c>
      <c r="Q658" s="178">
        <f>FME_Ranking1[[#This Row],[Pop Score (Normalized, Unweighted)]]*$O$3</f>
        <v>3.3323164052342445E-2</v>
      </c>
      <c r="R658" s="137">
        <f>_xlfn.XLOOKUP(FME_Ranking1[[#This Row],[FME ID]],FME_Input[FME_ID],FME_Input[CRITFAC100])</f>
        <v>5</v>
      </c>
      <c r="S658" s="230">
        <f>(FME_Ranking1[[#This Row],[Critical Facilities Raw]]/$R$2)*100</f>
        <v>0.21440823327615782</v>
      </c>
      <c r="T658" s="180">
        <f>FME_Ranking1[[#This Row],[Critical Facilities Score (Normalized, Unweighted)]]*$R$3</f>
        <v>4.2881646655231566E-2</v>
      </c>
      <c r="U658">
        <f>_xlfn.XLOOKUP(FME_Ranking1[[#This Row],[FME ID]],FME_Input[FME_ID],FME_Input[LWC])</f>
        <v>6</v>
      </c>
      <c r="V658" s="178">
        <f>(FME_Ranking1[[#This Row],[LWC Raw]]/$U$2)*100</f>
        <v>0.34542314335060448</v>
      </c>
      <c r="W658" s="178">
        <f>FME_Ranking1[[#This Row],[LWC Score (Normalized, Unweighted)]]*$U$3</f>
        <v>6.9084628670120898E-2</v>
      </c>
      <c r="X658" s="246">
        <f>_xlfn.XLOOKUP(FME_Ranking1[[#This Row],[FME ID]],FME_Input[FME_ID],FME_Input[ROADCLS])</f>
        <v>0</v>
      </c>
      <c r="Y658" s="230">
        <f>(FME_Ranking1[[#This Row],[Closures Raw]]/$X$2)*100</f>
        <v>0</v>
      </c>
      <c r="Z658" s="180">
        <f>FME_Ranking1[[#This Row],[Closures Score (Normalized, Unweighted)]]*$X$3</f>
        <v>0</v>
      </c>
      <c r="AA658" s="253">
        <f>_xlfn.XLOOKUP(FME_Ranking1[[#This Row],[FME ID]],FME_Input[FME_ID],FME_Input[ROAD_MILES100])</f>
        <v>17.589120864868161</v>
      </c>
      <c r="AB658" s="178">
        <f>(FME_Ranking1[[#This Row],[Miles Raw]]/$AA$2)*100</f>
        <v>0.23126539180371111</v>
      </c>
      <c r="AC658" s="178">
        <f>FME_Ranking1[[#This Row],[Miles Score (Normalized, Unweighted)]]*$AA$3</f>
        <v>2.3126539180371112E-2</v>
      </c>
      <c r="AD658" s="255">
        <f>_xlfn.XLOOKUP(FME_Ranking1[[#This Row],[FME ID]],FME_Input[FME_ID],FME_Input[FARMACRE100])</f>
        <v>759.00537109375</v>
      </c>
      <c r="AE658" s="230">
        <f>(FME_Ranking1[[#This Row],[Ag Land Raw]]/$AD$2)*100</f>
        <v>3.129798381356224E-2</v>
      </c>
      <c r="AF658" s="231">
        <f>FME_Ranking1[[#This Row],[Ag Land Score (Normalized, Unweighted)]]*$AD$3</f>
        <v>1.564899190678112E-3</v>
      </c>
      <c r="AG65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0.24489798965464274</v>
      </c>
      <c r="AH658" s="406">
        <f t="shared" si="10"/>
        <v>712</v>
      </c>
      <c r="AI65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0.24489798965464274</v>
      </c>
      <c r="AJ658" s="257">
        <f>FME_Ranking1[[#This Row],[Addition check]]-FME_Ranking1[[#This Row],[Weighted Score Based on Normalized Reported Factors]]</f>
        <v>0</v>
      </c>
      <c r="AK658" s="178">
        <f>_xlfn.RANK.EQ(AI658,$AI$6:$AI$2341,0)+COUNTIF($AI$6:AI658,AI658)-1</f>
        <v>712</v>
      </c>
    </row>
    <row r="659" spans="1:37" x14ac:dyDescent="0.25">
      <c r="A659" t="s">
        <v>2970</v>
      </c>
      <c r="B659">
        <f>_xlfn.XLOOKUP(FME_Ranking1[[#This Row],[FME ID]],FME_Input[FME_ID],FME_Input[RFPG_NUM])</f>
        <v>1</v>
      </c>
      <c r="C659" t="str">
        <f>_xlfn.XLOOKUP(FME_Ranking1[[#This Row],[FME ID]],FME_Input[FME_ID],FME_Input[FME_NAME])</f>
        <v>Cooke County FIS</v>
      </c>
      <c r="D659" t="str">
        <f>_xlfn.XLOOKUP(FME_Ranking1[[#This Row],[FME ID]],FME_Input[FME_ID],FME_Input[DESCR])</f>
        <v>Update flood insurance study for the county and develop regulatory mapping</v>
      </c>
      <c r="E659" s="256">
        <f>_xlfn.XLOOKUP(FME_Ranking1[[#This Row],[FME ID]],FME_Input[FME_ID],FME_Input[FME_COST])</f>
        <v>917000</v>
      </c>
      <c r="F659" t="str">
        <f>_xlfn.XLOOKUP(FME_Ranking1[[#This Row],[FME ID]],FME_Input[FME_ID],FME_Input[EMER_NEED])</f>
        <v>No</v>
      </c>
      <c r="G659">
        <f>IF(FME_Ranking!F659="Yes",100,0)</f>
        <v>0</v>
      </c>
      <c r="H659">
        <f>FME_Ranking1[[#This Row],[Emergency Need Score (Normalized, Unweighted)]]*$F$3</f>
        <v>0</v>
      </c>
      <c r="I659" s="246">
        <f>_xlfn.XLOOKUP(FME_Ranking1[[#This Row],[FME ID]],FME_Input[FME_ID],FME_Input[STRUCT_100])</f>
        <v>54</v>
      </c>
      <c r="J659" s="178">
        <f>(FME_Ranking1[[#This Row],[Structures 100 Raw]]/I$2)*100</f>
        <v>2.891659169772523E-2</v>
      </c>
      <c r="K659" s="178">
        <f>FME_Ranking1[[#This Row],[Structures 100  Score (Normalized, Unweighted)]]*$I$3</f>
        <v>4.3374887546587847E-3</v>
      </c>
      <c r="L659" s="246">
        <f>_xlfn.XLOOKUP(FME_Ranking1[[#This Row],[FME ID]],FME_Input[FME_ID],FME_Input[RES_STRUCT100])</f>
        <v>25</v>
      </c>
      <c r="M659" s="230">
        <f>(FME_Ranking1[[#This Row],[Res Structures Raw]]/L$2)*100</f>
        <v>1.7707639784108456E-2</v>
      </c>
      <c r="N659" s="180">
        <f>FME_Ranking1[[#This Row],[Res Structures Score (Normalized, Unweighted)]]*$L$3</f>
        <v>1.7707639784108457E-3</v>
      </c>
      <c r="O659" s="244">
        <f>_xlfn.XLOOKUP(FME_Ranking1[[#This Row],[FME ID]],FME_Input[FME_ID],FME_Input[POP100])</f>
        <v>81</v>
      </c>
      <c r="P659" s="178">
        <f>(FME_Ranking1[[#This Row],[Pop Raw]]/$O$2)*100</f>
        <v>8.2924002710898261E-3</v>
      </c>
      <c r="Q659" s="178">
        <f>FME_Ranking1[[#This Row],[Pop Score (Normalized, Unweighted)]]*$O$3</f>
        <v>1.243860040663474E-3</v>
      </c>
      <c r="R659" s="137">
        <f>_xlfn.XLOOKUP(FME_Ranking1[[#This Row],[FME ID]],FME_Input[FME_ID],FME_Input[CRITFAC100])</f>
        <v>0</v>
      </c>
      <c r="S659" s="230">
        <f>(FME_Ranking1[[#This Row],[Critical Facilities Raw]]/$R$2)*100</f>
        <v>0</v>
      </c>
      <c r="T659" s="180">
        <f>FME_Ranking1[[#This Row],[Critical Facilities Score (Normalized, Unweighted)]]*$R$3</f>
        <v>0</v>
      </c>
      <c r="U659">
        <f>_xlfn.XLOOKUP(FME_Ranking1[[#This Row],[FME ID]],FME_Input[FME_ID],FME_Input[LWC])</f>
        <v>13</v>
      </c>
      <c r="V659" s="178">
        <f>(FME_Ranking1[[#This Row],[LWC Raw]]/$U$2)*100</f>
        <v>0.74841681059297649</v>
      </c>
      <c r="W659" s="178">
        <f>FME_Ranking1[[#This Row],[LWC Score (Normalized, Unweighted)]]*$U$3</f>
        <v>0.14968336211859531</v>
      </c>
      <c r="X659" s="246">
        <f>_xlfn.XLOOKUP(FME_Ranking1[[#This Row],[FME ID]],FME_Input[FME_ID],FME_Input[ROADCLS])</f>
        <v>40</v>
      </c>
      <c r="Y659" s="230">
        <f>(FME_Ranking1[[#This Row],[Closures Raw]]/$X$2)*100</f>
        <v>0.4205656608137946</v>
      </c>
      <c r="Z659" s="180">
        <f>FME_Ranking1[[#This Row],[Closures Score (Normalized, Unweighted)]]*$X$3</f>
        <v>2.1028283040689731E-2</v>
      </c>
      <c r="AA659" s="253">
        <f>_xlfn.XLOOKUP(FME_Ranking1[[#This Row],[FME ID]],FME_Input[FME_ID],FME_Input[ROAD_MILES100])</f>
        <v>8.4499425888061523</v>
      </c>
      <c r="AB659" s="178">
        <f>(FME_Ranking1[[#This Row],[Miles Raw]]/$AA$2)*100</f>
        <v>0.11110158935926827</v>
      </c>
      <c r="AC659" s="178">
        <f>FME_Ranking1[[#This Row],[Miles Score (Normalized, Unweighted)]]*$AA$3</f>
        <v>1.1110158935926828E-2</v>
      </c>
      <c r="AD659" s="255">
        <f>_xlfn.XLOOKUP(FME_Ranking1[[#This Row],[FME ID]],FME_Input[FME_ID],FME_Input[FARMACRE100])</f>
        <v>20721.47265625</v>
      </c>
      <c r="AE659" s="230">
        <f>(FME_Ranking1[[#This Row],[Ag Land Raw]]/$AD$2)*100</f>
        <v>0.85446077259495357</v>
      </c>
      <c r="AF659" s="231">
        <f>FME_Ranking1[[#This Row],[Ag Land Score (Normalized, Unweighted)]]*$AD$3</f>
        <v>4.2723038629747682E-2</v>
      </c>
      <c r="AG65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0.23189695549869266</v>
      </c>
      <c r="AH659" s="406">
        <f t="shared" si="10"/>
        <v>738</v>
      </c>
      <c r="AI65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0.23189695549869266</v>
      </c>
      <c r="AJ659" s="257">
        <f>FME_Ranking1[[#This Row],[Addition check]]-FME_Ranking1[[#This Row],[Weighted Score Based on Normalized Reported Factors]]</f>
        <v>0</v>
      </c>
      <c r="AK659" s="178">
        <f>_xlfn.RANK.EQ(AI659,$AI$6:$AI$2341,0)+COUNTIF($AI$6:AI659,AI659)-1</f>
        <v>738</v>
      </c>
    </row>
    <row r="660" spans="1:37" x14ac:dyDescent="0.25">
      <c r="A660" t="s">
        <v>3030</v>
      </c>
      <c r="B660">
        <f>_xlfn.XLOOKUP(FME_Ranking1[[#This Row],[FME ID]],FME_Input[FME_ID],FME_Input[RFPG_NUM])</f>
        <v>1</v>
      </c>
      <c r="C660" t="str">
        <f>_xlfn.XLOOKUP(FME_Ranking1[[#This Row],[FME ID]],FME_Input[FME_ID],FME_Input[FME_NAME])</f>
        <v>Cooke County Drainage Master Plan</v>
      </c>
      <c r="D660" t="str">
        <f>_xlfn.XLOOKUP(FME_Ranking1[[#This Row],[FME ID]],FME_Input[FME_ID],FME_Input[DESCR])</f>
        <v>Perform H&amp;H modeling, develop conceptual alternatives and OPCC, and rank projects; selected based on HMAPs</v>
      </c>
      <c r="E660" s="256">
        <f>_xlfn.XLOOKUP(FME_Ranking1[[#This Row],[FME ID]],FME_Input[FME_ID],FME_Input[FME_COST])</f>
        <v>500000</v>
      </c>
      <c r="F660" t="str">
        <f>_xlfn.XLOOKUP(FME_Ranking1[[#This Row],[FME ID]],FME_Input[FME_ID],FME_Input[EMER_NEED])</f>
        <v>No</v>
      </c>
      <c r="G660">
        <f>IF(FME_Ranking!F660="Yes",100,0)</f>
        <v>0</v>
      </c>
      <c r="H660">
        <f>FME_Ranking1[[#This Row],[Emergency Need Score (Normalized, Unweighted)]]*$F$3</f>
        <v>0</v>
      </c>
      <c r="I660" s="246">
        <f>_xlfn.XLOOKUP(FME_Ranking1[[#This Row],[FME ID]],FME_Input[FME_ID],FME_Input[STRUCT_100])</f>
        <v>54</v>
      </c>
      <c r="J660" s="178">
        <f>(FME_Ranking1[[#This Row],[Structures 100 Raw]]/I$2)*100</f>
        <v>2.891659169772523E-2</v>
      </c>
      <c r="K660" s="178">
        <f>FME_Ranking1[[#This Row],[Structures 100  Score (Normalized, Unweighted)]]*$I$3</f>
        <v>4.3374887546587847E-3</v>
      </c>
      <c r="L660" s="246">
        <f>_xlfn.XLOOKUP(FME_Ranking1[[#This Row],[FME ID]],FME_Input[FME_ID],FME_Input[RES_STRUCT100])</f>
        <v>25</v>
      </c>
      <c r="M660" s="230">
        <f>(FME_Ranking1[[#This Row],[Res Structures Raw]]/L$2)*100</f>
        <v>1.7707639784108456E-2</v>
      </c>
      <c r="N660" s="180">
        <f>FME_Ranking1[[#This Row],[Res Structures Score (Normalized, Unweighted)]]*$L$3</f>
        <v>1.7707639784108457E-3</v>
      </c>
      <c r="O660" s="244">
        <f>_xlfn.XLOOKUP(FME_Ranking1[[#This Row],[FME ID]],FME_Input[FME_ID],FME_Input[POP100])</f>
        <v>81</v>
      </c>
      <c r="P660" s="178">
        <f>(FME_Ranking1[[#This Row],[Pop Raw]]/$O$2)*100</f>
        <v>8.2924002710898261E-3</v>
      </c>
      <c r="Q660" s="178">
        <f>FME_Ranking1[[#This Row],[Pop Score (Normalized, Unweighted)]]*$O$3</f>
        <v>1.243860040663474E-3</v>
      </c>
      <c r="R660" s="137">
        <f>_xlfn.XLOOKUP(FME_Ranking1[[#This Row],[FME ID]],FME_Input[FME_ID],FME_Input[CRITFAC100])</f>
        <v>0</v>
      </c>
      <c r="S660" s="230">
        <f>(FME_Ranking1[[#This Row],[Critical Facilities Raw]]/$R$2)*100</f>
        <v>0</v>
      </c>
      <c r="T660" s="180">
        <f>FME_Ranking1[[#This Row],[Critical Facilities Score (Normalized, Unweighted)]]*$R$3</f>
        <v>0</v>
      </c>
      <c r="U660">
        <f>_xlfn.XLOOKUP(FME_Ranking1[[#This Row],[FME ID]],FME_Input[FME_ID],FME_Input[LWC])</f>
        <v>13</v>
      </c>
      <c r="V660" s="178">
        <f>(FME_Ranking1[[#This Row],[LWC Raw]]/$U$2)*100</f>
        <v>0.74841681059297649</v>
      </c>
      <c r="W660" s="178">
        <f>FME_Ranking1[[#This Row],[LWC Score (Normalized, Unweighted)]]*$U$3</f>
        <v>0.14968336211859531</v>
      </c>
      <c r="X660" s="246">
        <f>_xlfn.XLOOKUP(FME_Ranking1[[#This Row],[FME ID]],FME_Input[FME_ID],FME_Input[ROADCLS])</f>
        <v>40</v>
      </c>
      <c r="Y660" s="230">
        <f>(FME_Ranking1[[#This Row],[Closures Raw]]/$X$2)*100</f>
        <v>0.4205656608137946</v>
      </c>
      <c r="Z660" s="180">
        <f>FME_Ranking1[[#This Row],[Closures Score (Normalized, Unweighted)]]*$X$3</f>
        <v>2.1028283040689731E-2</v>
      </c>
      <c r="AA660" s="253">
        <f>_xlfn.XLOOKUP(FME_Ranking1[[#This Row],[FME ID]],FME_Input[FME_ID],FME_Input[ROAD_MILES100])</f>
        <v>8.4499425888061523</v>
      </c>
      <c r="AB660" s="178">
        <f>(FME_Ranking1[[#This Row],[Miles Raw]]/$AA$2)*100</f>
        <v>0.11110158935926827</v>
      </c>
      <c r="AC660" s="178">
        <f>FME_Ranking1[[#This Row],[Miles Score (Normalized, Unweighted)]]*$AA$3</f>
        <v>1.1110158935926828E-2</v>
      </c>
      <c r="AD660" s="255">
        <f>_xlfn.XLOOKUP(FME_Ranking1[[#This Row],[FME ID]],FME_Input[FME_ID],FME_Input[FARMACRE100])</f>
        <v>20721.47265625</v>
      </c>
      <c r="AE660" s="230">
        <f>(FME_Ranking1[[#This Row],[Ag Land Raw]]/$AD$2)*100</f>
        <v>0.85446077259495357</v>
      </c>
      <c r="AF660" s="231">
        <f>FME_Ranking1[[#This Row],[Ag Land Score (Normalized, Unweighted)]]*$AD$3</f>
        <v>4.2723038629747682E-2</v>
      </c>
      <c r="AG66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0.23189695549869266</v>
      </c>
      <c r="AH660" s="406">
        <f t="shared" si="10"/>
        <v>738</v>
      </c>
      <c r="AI66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0.23189695549869266</v>
      </c>
      <c r="AJ660" s="257">
        <f>FME_Ranking1[[#This Row],[Addition check]]-FME_Ranking1[[#This Row],[Weighted Score Based on Normalized Reported Factors]]</f>
        <v>0</v>
      </c>
      <c r="AK660" s="178">
        <f>_xlfn.RANK.EQ(AI660,$AI$6:$AI$2341,0)+COUNTIF($AI$6:AI660,AI660)-1</f>
        <v>739</v>
      </c>
    </row>
    <row r="661" spans="1:37" x14ac:dyDescent="0.25">
      <c r="A661" t="s">
        <v>1205</v>
      </c>
      <c r="B661">
        <f>_xlfn.XLOOKUP(FME_Ranking1[[#This Row],[FME ID]],FME_Input[FME_ID],FME_Input[RFPG_NUM])</f>
        <v>6</v>
      </c>
      <c r="C661" t="str">
        <f>_xlfn.XLOOKUP(FME_Ranking1[[#This Row],[FME ID]],FME_Input[FME_ID],FME_Input[FME_NAME])</f>
        <v>Hostetter and Gourd Creek Bridges Elevation Evaluation</v>
      </c>
      <c r="D661" t="str">
        <f>_xlfn.XLOOKUP(FME_Ranking1[[#This Row],[FME ID]],FME_Input[FME_ID],FME_Input[DESCR])</f>
        <v>Further study to elevate and install culverts on Hostetter and Gourd Creek roadways to prevent flooding and/or flood damage on roadway.</v>
      </c>
      <c r="E661" s="256">
        <f>_xlfn.XLOOKUP(FME_Ranking1[[#This Row],[FME ID]],FME_Input[FME_ID],FME_Input[FME_COST])</f>
        <v>130000</v>
      </c>
      <c r="F661" t="str">
        <f>_xlfn.XLOOKUP(FME_Ranking1[[#This Row],[FME ID]],FME_Input[FME_ID],FME_Input[EMER_NEED])</f>
        <v>No</v>
      </c>
      <c r="G661">
        <f>IF(FME_Ranking!F661="Yes",100,0)</f>
        <v>0</v>
      </c>
      <c r="H661">
        <f>FME_Ranking1[[#This Row],[Emergency Need Score (Normalized, Unweighted)]]*$F$3</f>
        <v>0</v>
      </c>
      <c r="I661" s="246">
        <f>_xlfn.XLOOKUP(FME_Ranking1[[#This Row],[FME ID]],FME_Input[FME_ID],FME_Input[STRUCT_100])</f>
        <v>1169</v>
      </c>
      <c r="J661" s="178">
        <f>(FME_Ranking1[[#This Row],[Structures 100 Raw]]/I$2)*100</f>
        <v>0.62599066101186651</v>
      </c>
      <c r="K661" s="178">
        <f>FME_Ranking1[[#This Row],[Structures 100  Score (Normalized, Unweighted)]]*$I$3</f>
        <v>9.3898599151779977E-2</v>
      </c>
      <c r="L661" s="246">
        <f>_xlfn.XLOOKUP(FME_Ranking1[[#This Row],[FME ID]],FME_Input[FME_ID],FME_Input[RES_STRUCT100])</f>
        <v>1023</v>
      </c>
      <c r="M661" s="230">
        <f>(FME_Ranking1[[#This Row],[Res Structures Raw]]/L$2)*100</f>
        <v>0.724596619965718</v>
      </c>
      <c r="N661" s="180">
        <f>FME_Ranking1[[#This Row],[Res Structures Score (Normalized, Unweighted)]]*$L$3</f>
        <v>7.2459661996571806E-2</v>
      </c>
      <c r="O661" s="244">
        <f>_xlfn.XLOOKUP(FME_Ranking1[[#This Row],[FME ID]],FME_Input[FME_ID],FME_Input[POP100])</f>
        <v>1900</v>
      </c>
      <c r="P661" s="178">
        <f>(FME_Ranking1[[#This Row],[Pop Raw]]/$O$2)*100</f>
        <v>0.19451309277865023</v>
      </c>
      <c r="Q661" s="178">
        <f>FME_Ranking1[[#This Row],[Pop Score (Normalized, Unweighted)]]*$O$3</f>
        <v>2.9176963916797534E-2</v>
      </c>
      <c r="R661" s="137">
        <f>_xlfn.XLOOKUP(FME_Ranking1[[#This Row],[FME ID]],FME_Input[FME_ID],FME_Input[CRITFAC100])</f>
        <v>0</v>
      </c>
      <c r="S661" s="230">
        <f>(FME_Ranking1[[#This Row],[Critical Facilities Raw]]/$R$2)*100</f>
        <v>0</v>
      </c>
      <c r="T661" s="180">
        <f>FME_Ranking1[[#This Row],[Critical Facilities Score (Normalized, Unweighted)]]*$R$3</f>
        <v>0</v>
      </c>
      <c r="U661">
        <f>_xlfn.XLOOKUP(FME_Ranking1[[#This Row],[FME ID]],FME_Input[FME_ID],FME_Input[LWC])</f>
        <v>2</v>
      </c>
      <c r="V661" s="178">
        <f>(FME_Ranking1[[#This Row],[LWC Raw]]/$U$2)*100</f>
        <v>0.11514104778353484</v>
      </c>
      <c r="W661" s="178">
        <f>FME_Ranking1[[#This Row],[LWC Score (Normalized, Unweighted)]]*$U$3</f>
        <v>2.302820955670697E-2</v>
      </c>
      <c r="X661" s="246">
        <f>_xlfn.XLOOKUP(FME_Ranking1[[#This Row],[FME ID]],FME_Input[FME_ID],FME_Input[ROADCLS])</f>
        <v>2</v>
      </c>
      <c r="Y661" s="230">
        <f>(FME_Ranking1[[#This Row],[Closures Raw]]/$X$2)*100</f>
        <v>2.1028283040689728E-2</v>
      </c>
      <c r="Z661" s="180">
        <f>FME_Ranking1[[#This Row],[Closures Score (Normalized, Unweighted)]]*$X$3</f>
        <v>1.0514141520344864E-3</v>
      </c>
      <c r="AA661" s="253">
        <f>_xlfn.XLOOKUP(FME_Ranking1[[#This Row],[FME ID]],FME_Input[FME_ID],FME_Input[ROAD_MILES100])</f>
        <v>10.22247982025146</v>
      </c>
      <c r="AB661" s="178">
        <f>(FME_Ranking1[[#This Row],[Miles Raw]]/$AA$2)*100</f>
        <v>0.1344072747579988</v>
      </c>
      <c r="AC661" s="178">
        <f>FME_Ranking1[[#This Row],[Miles Score (Normalized, Unweighted)]]*$AA$3</f>
        <v>1.344072747579988E-2</v>
      </c>
      <c r="AD661" s="255">
        <f>_xlfn.XLOOKUP(FME_Ranking1[[#This Row],[FME ID]],FME_Input[FME_ID],FME_Input[FARMACRE100])</f>
        <v>25.45767974853516</v>
      </c>
      <c r="AE661" s="230">
        <f>(FME_Ranking1[[#This Row],[Ag Land Raw]]/$AD$2)*100</f>
        <v>1.0497607514322711E-3</v>
      </c>
      <c r="AF661" s="231">
        <f>FME_Ranking1[[#This Row],[Ag Land Score (Normalized, Unweighted)]]*$AD$3</f>
        <v>5.2488037571613555E-5</v>
      </c>
      <c r="AG66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0.23310806428726227</v>
      </c>
      <c r="AH661" s="406">
        <f t="shared" si="10"/>
        <v>737</v>
      </c>
      <c r="AI66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0.23310806428726227</v>
      </c>
      <c r="AJ661" s="257">
        <f>FME_Ranking1[[#This Row],[Addition check]]-FME_Ranking1[[#This Row],[Weighted Score Based on Normalized Reported Factors]]</f>
        <v>0</v>
      </c>
      <c r="AK661" s="178">
        <f>_xlfn.RANK.EQ(AI661,$AI$6:$AI$2341,0)+COUNTIF($AI$6:AI661,AI661)-1</f>
        <v>737</v>
      </c>
    </row>
    <row r="662" spans="1:37" x14ac:dyDescent="0.25">
      <c r="A662" t="s">
        <v>1023</v>
      </c>
      <c r="B662">
        <f>_xlfn.XLOOKUP(FME_Ranking1[[#This Row],[FME ID]],FME_Input[FME_ID],FME_Input[RFPG_NUM])</f>
        <v>6</v>
      </c>
      <c r="C662" t="str">
        <f>_xlfn.XLOOKUP(FME_Ranking1[[#This Row],[FME ID]],FME_Input[FME_ID],FME_Input[FME_NAME])</f>
        <v>Mary's Creek Middle Segment</v>
      </c>
      <c r="D662" t="str">
        <f>_xlfn.XLOOKUP(FME_Ranking1[[#This Row],[FME ID]],FME_Input[FME_ID],FME_Input[DESCR])</f>
        <v>Further study including Atlas 14 rainfall incorporation and Benefit Cost Analysis of proposed channel modifications included in the City of Pearland master drainage plan.</v>
      </c>
      <c r="E662" s="256">
        <f>_xlfn.XLOOKUP(FME_Ranking1[[#This Row],[FME ID]],FME_Input[FME_ID],FME_Input[FME_COST])</f>
        <v>628000</v>
      </c>
      <c r="F662" t="str">
        <f>_xlfn.XLOOKUP(FME_Ranking1[[#This Row],[FME ID]],FME_Input[FME_ID],FME_Input[EMER_NEED])</f>
        <v>No</v>
      </c>
      <c r="G662">
        <f>IF(FME_Ranking!F662="Yes",100,0)</f>
        <v>0</v>
      </c>
      <c r="H662">
        <f>FME_Ranking1[[#This Row],[Emergency Need Score (Normalized, Unweighted)]]*$F$3</f>
        <v>0</v>
      </c>
      <c r="I662" s="246">
        <f>_xlfn.XLOOKUP(FME_Ranking1[[#This Row],[FME ID]],FME_Input[FME_ID],FME_Input[STRUCT_100])</f>
        <v>994</v>
      </c>
      <c r="J662" s="178">
        <f>(FME_Ranking1[[#This Row],[Structures 100 Raw]]/I$2)*100</f>
        <v>0.53227948421368287</v>
      </c>
      <c r="K662" s="178">
        <f>FME_Ranking1[[#This Row],[Structures 100  Score (Normalized, Unweighted)]]*$I$3</f>
        <v>7.9841922632052434E-2</v>
      </c>
      <c r="L662" s="246">
        <f>_xlfn.XLOOKUP(FME_Ranking1[[#This Row],[FME ID]],FME_Input[FME_ID],FME_Input[RES_STRUCT100])</f>
        <v>745</v>
      </c>
      <c r="M662" s="230">
        <f>(FME_Ranking1[[#This Row],[Res Structures Raw]]/L$2)*100</f>
        <v>0.52768766556643198</v>
      </c>
      <c r="N662" s="180">
        <f>FME_Ranking1[[#This Row],[Res Structures Score (Normalized, Unweighted)]]*$L$3</f>
        <v>5.2768766556643198E-2</v>
      </c>
      <c r="O662" s="244">
        <f>_xlfn.XLOOKUP(FME_Ranking1[[#This Row],[FME ID]],FME_Input[FME_ID],FME_Input[POP100])</f>
        <v>2861</v>
      </c>
      <c r="P662" s="178">
        <f>(FME_Ranking1[[#This Row],[Pop Raw]]/$O$2)*100</f>
        <v>0.29289576759985175</v>
      </c>
      <c r="Q662" s="178">
        <f>FME_Ranking1[[#This Row],[Pop Score (Normalized, Unweighted)]]*$O$3</f>
        <v>4.3934365139977762E-2</v>
      </c>
      <c r="R662" s="137">
        <f>_xlfn.XLOOKUP(FME_Ranking1[[#This Row],[FME ID]],FME_Input[FME_ID],FME_Input[CRITFAC100])</f>
        <v>5</v>
      </c>
      <c r="S662" s="230">
        <f>(FME_Ranking1[[#This Row],[Critical Facilities Raw]]/$R$2)*100</f>
        <v>0.21440823327615782</v>
      </c>
      <c r="T662" s="180">
        <f>FME_Ranking1[[#This Row],[Critical Facilities Score (Normalized, Unweighted)]]*$R$3</f>
        <v>4.2881646655231566E-2</v>
      </c>
      <c r="U662">
        <f>_xlfn.XLOOKUP(FME_Ranking1[[#This Row],[FME ID]],FME_Input[FME_ID],FME_Input[LWC])</f>
        <v>0</v>
      </c>
      <c r="V662" s="178">
        <f>(FME_Ranking1[[#This Row],[LWC Raw]]/$U$2)*100</f>
        <v>0</v>
      </c>
      <c r="W662" s="178">
        <f>FME_Ranking1[[#This Row],[LWC Score (Normalized, Unweighted)]]*$U$3</f>
        <v>0</v>
      </c>
      <c r="X662" s="246">
        <f>_xlfn.XLOOKUP(FME_Ranking1[[#This Row],[FME ID]],FME_Input[FME_ID],FME_Input[ROADCLS])</f>
        <v>0</v>
      </c>
      <c r="Y662" s="230">
        <f>(FME_Ranking1[[#This Row],[Closures Raw]]/$X$2)*100</f>
        <v>0</v>
      </c>
      <c r="Z662" s="180">
        <f>FME_Ranking1[[#This Row],[Closures Score (Normalized, Unweighted)]]*$X$3</f>
        <v>0</v>
      </c>
      <c r="AA662" s="253">
        <f>_xlfn.XLOOKUP(FME_Ranking1[[#This Row],[FME ID]],FME_Input[FME_ID],FME_Input[ROAD_MILES100])</f>
        <v>19.282693862915039</v>
      </c>
      <c r="AB662" s="178">
        <f>(FME_Ranking1[[#This Row],[Miles Raw]]/$AA$2)*100</f>
        <v>0.25353283916225383</v>
      </c>
      <c r="AC662" s="178">
        <f>FME_Ranking1[[#This Row],[Miles Score (Normalized, Unweighted)]]*$AA$3</f>
        <v>2.5353283916225385E-2</v>
      </c>
      <c r="AD662" s="255">
        <f>_xlfn.XLOOKUP(FME_Ranking1[[#This Row],[FME ID]],FME_Input[FME_ID],FME_Input[FARMACRE100])</f>
        <v>9.7307405471801758</v>
      </c>
      <c r="AE662" s="230">
        <f>(FME_Ranking1[[#This Row],[Ag Land Raw]]/$AD$2)*100</f>
        <v>4.0125218046974993E-4</v>
      </c>
      <c r="AF662" s="231">
        <f>FME_Ranking1[[#This Row],[Ag Land Score (Normalized, Unweighted)]]*$AD$3</f>
        <v>2.0062609023487496E-5</v>
      </c>
      <c r="AG66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0.2448000475091538</v>
      </c>
      <c r="AH662" s="406">
        <f t="shared" si="10"/>
        <v>713</v>
      </c>
      <c r="AI66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0.2448000475091538</v>
      </c>
      <c r="AJ662" s="257">
        <f>FME_Ranking1[[#This Row],[Addition check]]-FME_Ranking1[[#This Row],[Weighted Score Based on Normalized Reported Factors]]</f>
        <v>0</v>
      </c>
      <c r="AK662" s="178">
        <f>_xlfn.RANK.EQ(AI662,$AI$6:$AI$2341,0)+COUNTIF($AI$6:AI662,AI662)-1</f>
        <v>713</v>
      </c>
    </row>
    <row r="663" spans="1:37" x14ac:dyDescent="0.25">
      <c r="A663" t="s">
        <v>10918</v>
      </c>
      <c r="B663">
        <f>_xlfn.XLOOKUP(FME_Ranking1[[#This Row],[FME ID]],FME_Input[FME_ID],FME_Input[RFPG_NUM])</f>
        <v>14</v>
      </c>
      <c r="C663" t="str">
        <f>_xlfn.XLOOKUP(FME_Ranking1[[#This Row],[FME ID]],FME_Input[FME_ID],FME_Input[FME_NAME])</f>
        <v>Dam Improvements at Comanche Creek Reservoir at Fort Stockton</v>
      </c>
      <c r="D663" t="str">
        <f>_xlfn.XLOOKUP(FME_Ranking1[[#This Row],[FME ID]],FME_Input[FME_ID],FME_Input[DESCR])</f>
        <v>Inspect and evaluate rehabilitation improvements for Comanche Creek Reservoir to protect Fort Stockton from similar flooding to that which occurred on April 4, 2004.</v>
      </c>
      <c r="E663" s="256">
        <f>_xlfn.XLOOKUP(FME_Ranking1[[#This Row],[FME ID]],FME_Input[FME_ID],FME_Input[FME_COST])</f>
        <v>68000</v>
      </c>
      <c r="F663" t="str">
        <f>_xlfn.XLOOKUP(FME_Ranking1[[#This Row],[FME ID]],FME_Input[FME_ID],FME_Input[EMER_NEED])</f>
        <v>Yes</v>
      </c>
      <c r="G663">
        <f>IF(FME_Ranking!F663="Yes",100,0)</f>
        <v>100</v>
      </c>
      <c r="H663">
        <f>FME_Ranking1[[#This Row],[Emergency Need Score (Normalized, Unweighted)]]*$F$3</f>
        <v>0</v>
      </c>
      <c r="I663" s="246">
        <f>_xlfn.XLOOKUP(FME_Ranking1[[#This Row],[FME ID]],FME_Input[FME_ID],FME_Input[STRUCT_100])</f>
        <v>169</v>
      </c>
      <c r="J663" s="178">
        <f>(FME_Ranking1[[#This Row],[Structures 100 Raw]]/I$2)*100</f>
        <v>9.0498222165103018E-2</v>
      </c>
      <c r="K663" s="178">
        <f>FME_Ranking1[[#This Row],[Structures 100  Score (Normalized, Unweighted)]]*$I$3</f>
        <v>1.3574733324765453E-2</v>
      </c>
      <c r="L663" s="246">
        <f>_xlfn.XLOOKUP(FME_Ranking1[[#This Row],[FME ID]],FME_Input[FME_ID],FME_Input[RES_STRUCT100])</f>
        <v>111</v>
      </c>
      <c r="M663" s="230">
        <f>(FME_Ranking1[[#This Row],[Res Structures Raw]]/L$2)*100</f>
        <v>7.8621920641441537E-2</v>
      </c>
      <c r="N663" s="180">
        <f>FME_Ranking1[[#This Row],[Res Structures Score (Normalized, Unweighted)]]*$L$3</f>
        <v>7.862192064144154E-3</v>
      </c>
      <c r="O663" s="244">
        <f>_xlfn.XLOOKUP(FME_Ranking1[[#This Row],[FME ID]],FME_Input[FME_ID],FME_Input[POP100])</f>
        <v>7825</v>
      </c>
      <c r="P663" s="178">
        <f>(FME_Ranking1[[#This Row],[Pop Raw]]/$O$2)*100</f>
        <v>0.80108681631207279</v>
      </c>
      <c r="Q663" s="178">
        <f>FME_Ranking1[[#This Row],[Pop Score (Normalized, Unweighted)]]*$O$3</f>
        <v>0.12016302244681092</v>
      </c>
      <c r="R663" s="137">
        <f>_xlfn.XLOOKUP(FME_Ranking1[[#This Row],[FME ID]],FME_Input[FME_ID],FME_Input[CRITFAC100])</f>
        <v>2</v>
      </c>
      <c r="S663" s="230">
        <f>(FME_Ranking1[[#This Row],[Critical Facilities Raw]]/$R$2)*100</f>
        <v>8.5763293310463118E-2</v>
      </c>
      <c r="T663" s="180">
        <f>FME_Ranking1[[#This Row],[Critical Facilities Score (Normalized, Unweighted)]]*$R$3</f>
        <v>1.7152658662092625E-2</v>
      </c>
      <c r="U663">
        <f>_xlfn.XLOOKUP(FME_Ranking1[[#This Row],[FME ID]],FME_Input[FME_ID],FME_Input[LWC])</f>
        <v>4</v>
      </c>
      <c r="V663" s="178">
        <f>(FME_Ranking1[[#This Row],[LWC Raw]]/$U$2)*100</f>
        <v>0.23028209556706969</v>
      </c>
      <c r="W663" s="178">
        <f>FME_Ranking1[[#This Row],[LWC Score (Normalized, Unweighted)]]*$U$3</f>
        <v>4.6056419113413939E-2</v>
      </c>
      <c r="X663" s="246">
        <f>_xlfn.XLOOKUP(FME_Ranking1[[#This Row],[FME ID]],FME_Input[FME_ID],FME_Input[ROADCLS])</f>
        <v>27</v>
      </c>
      <c r="Y663" s="230">
        <f>(FME_Ranking1[[#This Row],[Closures Raw]]/$X$2)*100</f>
        <v>0.28388182104931131</v>
      </c>
      <c r="Z663" s="180">
        <f>FME_Ranking1[[#This Row],[Closures Score (Normalized, Unweighted)]]*$X$3</f>
        <v>1.4194091052465566E-2</v>
      </c>
      <c r="AA663" s="253">
        <f>_xlfn.XLOOKUP(FME_Ranking1[[#This Row],[FME ID]],FME_Input[FME_ID],FME_Input[ROAD_MILES100])</f>
        <v>22.145900726318359</v>
      </c>
      <c r="AB663" s="178">
        <f>(FME_Ranking1[[#This Row],[Miles Raw]]/$AA$2)*100</f>
        <v>0.29117887401341103</v>
      </c>
      <c r="AC663" s="178">
        <f>FME_Ranking1[[#This Row],[Miles Score (Normalized, Unweighted)]]*$AA$3</f>
        <v>2.9117887401341105E-2</v>
      </c>
      <c r="AD663" s="255">
        <f>_xlfn.XLOOKUP(FME_Ranking1[[#This Row],[FME ID]],FME_Input[FME_ID],FME_Input[FARMACRE100])</f>
        <v>14.472900390625</v>
      </c>
      <c r="AE663" s="230">
        <f>(FME_Ranking1[[#This Row],[Ag Land Raw]]/$AD$2)*100</f>
        <v>5.9679762411737945E-4</v>
      </c>
      <c r="AF663" s="231">
        <f>FME_Ranking1[[#This Row],[Ag Land Score (Normalized, Unweighted)]]*$AD$3</f>
        <v>2.9839881205868973E-5</v>
      </c>
      <c r="AG66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0.24815084394623962</v>
      </c>
      <c r="AH663" s="406">
        <f t="shared" si="10"/>
        <v>698</v>
      </c>
      <c r="AI66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0.24815084394623962</v>
      </c>
      <c r="AJ663" s="257">
        <f>FME_Ranking1[[#This Row],[Addition check]]-FME_Ranking1[[#This Row],[Weighted Score Based on Normalized Reported Factors]]</f>
        <v>0</v>
      </c>
      <c r="AK663" s="178">
        <f>_xlfn.RANK.EQ(AI663,$AI$6:$AI$2341,0)+COUNTIF($AI$6:AI663,AI663)-1</f>
        <v>698</v>
      </c>
    </row>
    <row r="664" spans="1:37" x14ac:dyDescent="0.25">
      <c r="A664" t="s">
        <v>2554</v>
      </c>
      <c r="B664">
        <f>_xlfn.XLOOKUP(FME_Ranking1[[#This Row],[FME ID]],FME_Input[FME_ID],FME_Input[RFPG_NUM])</f>
        <v>1</v>
      </c>
      <c r="C664" t="str">
        <f>_xlfn.XLOOKUP(FME_Ranking1[[#This Row],[FME ID]],FME_Input[FME_ID],FME_Input[FME_NAME])</f>
        <v>Lipscomb County Drainage Master Plan</v>
      </c>
      <c r="D664" t="str">
        <f>_xlfn.XLOOKUP(FME_Ranking1[[#This Row],[FME ID]],FME_Input[FME_ID],FME_Input[DESCR])</f>
        <v>Perform H&amp;H modeling, develop conceptual alternatives and OPCC, and rank projects; selected based on HMAPs</v>
      </c>
      <c r="E664" s="256">
        <f>_xlfn.XLOOKUP(FME_Ranking1[[#This Row],[FME ID]],FME_Input[FME_ID],FME_Input[FME_COST])</f>
        <v>500000</v>
      </c>
      <c r="F664" t="str">
        <f>_xlfn.XLOOKUP(FME_Ranking1[[#This Row],[FME ID]],FME_Input[FME_ID],FME_Input[EMER_NEED])</f>
        <v>No</v>
      </c>
      <c r="G664">
        <f>IF(FME_Ranking!F664="Yes",100,0)</f>
        <v>0</v>
      </c>
      <c r="H664">
        <f>FME_Ranking1[[#This Row],[Emergency Need Score (Normalized, Unweighted)]]*$F$3</f>
        <v>0</v>
      </c>
      <c r="I664" s="246">
        <f>_xlfn.XLOOKUP(FME_Ranking1[[#This Row],[FME ID]],FME_Input[FME_ID],FME_Input[STRUCT_100])</f>
        <v>100</v>
      </c>
      <c r="J664" s="178">
        <f>(FME_Ranking1[[#This Row],[Structures 100 Raw]]/I$2)*100</f>
        <v>5.3549243884676342E-2</v>
      </c>
      <c r="K664" s="178">
        <f>FME_Ranking1[[#This Row],[Structures 100  Score (Normalized, Unweighted)]]*$I$3</f>
        <v>8.0323865827014503E-3</v>
      </c>
      <c r="L664" s="246">
        <f>_xlfn.XLOOKUP(FME_Ranking1[[#This Row],[FME ID]],FME_Input[FME_ID],FME_Input[RES_STRUCT100])</f>
        <v>9</v>
      </c>
      <c r="M664" s="230">
        <f>(FME_Ranking1[[#This Row],[Res Structures Raw]]/L$2)*100</f>
        <v>6.3747503222790439E-3</v>
      </c>
      <c r="N664" s="180">
        <f>FME_Ranking1[[#This Row],[Res Structures Score (Normalized, Unweighted)]]*$L$3</f>
        <v>6.3747503222790446E-4</v>
      </c>
      <c r="O664" s="244">
        <f>_xlfn.XLOOKUP(FME_Ranking1[[#This Row],[FME ID]],FME_Input[FME_ID],FME_Input[POP100])</f>
        <v>80</v>
      </c>
      <c r="P664" s="178">
        <f>(FME_Ranking1[[#This Row],[Pop Raw]]/$O$2)*100</f>
        <v>8.1900249591010631E-3</v>
      </c>
      <c r="Q664" s="178">
        <f>FME_Ranking1[[#This Row],[Pop Score (Normalized, Unweighted)]]*$O$3</f>
        <v>1.2285037438651595E-3</v>
      </c>
      <c r="R664" s="137">
        <f>_xlfn.XLOOKUP(FME_Ranking1[[#This Row],[FME ID]],FME_Input[FME_ID],FME_Input[CRITFAC100])</f>
        <v>0</v>
      </c>
      <c r="S664" s="230">
        <f>(FME_Ranking1[[#This Row],[Critical Facilities Raw]]/$R$2)*100</f>
        <v>0</v>
      </c>
      <c r="T664" s="180">
        <f>FME_Ranking1[[#This Row],[Critical Facilities Score (Normalized, Unweighted)]]*$R$3</f>
        <v>0</v>
      </c>
      <c r="U664">
        <f>_xlfn.XLOOKUP(FME_Ranking1[[#This Row],[FME ID]],FME_Input[FME_ID],FME_Input[LWC])</f>
        <v>6</v>
      </c>
      <c r="V664" s="178">
        <f>(FME_Ranking1[[#This Row],[LWC Raw]]/$U$2)*100</f>
        <v>0.34542314335060448</v>
      </c>
      <c r="W664" s="178">
        <f>FME_Ranking1[[#This Row],[LWC Score (Normalized, Unweighted)]]*$U$3</f>
        <v>6.9084628670120898E-2</v>
      </c>
      <c r="X664" s="246">
        <f>_xlfn.XLOOKUP(FME_Ranking1[[#This Row],[FME ID]],FME_Input[FME_ID],FME_Input[ROADCLS])</f>
        <v>6</v>
      </c>
      <c r="Y664" s="230">
        <f>(FME_Ranking1[[#This Row],[Closures Raw]]/$X$2)*100</f>
        <v>6.3084849122069186E-2</v>
      </c>
      <c r="Z664" s="180">
        <f>FME_Ranking1[[#This Row],[Closures Score (Normalized, Unweighted)]]*$X$3</f>
        <v>3.1542424561034595E-3</v>
      </c>
      <c r="AA664" s="253">
        <f>_xlfn.XLOOKUP(FME_Ranking1[[#This Row],[FME ID]],FME_Input[FME_ID],FME_Input[ROAD_MILES100])</f>
        <v>20.320476531982418</v>
      </c>
      <c r="AB664" s="178">
        <f>(FME_Ranking1[[#This Row],[Miles Raw]]/$AA$2)*100</f>
        <v>0.26717781990988981</v>
      </c>
      <c r="AC664" s="178">
        <f>FME_Ranking1[[#This Row],[Miles Score (Normalized, Unweighted)]]*$AA$3</f>
        <v>2.6717781990988981E-2</v>
      </c>
      <c r="AD664" s="255">
        <f>_xlfn.XLOOKUP(FME_Ranking1[[#This Row],[FME ID]],FME_Input[FME_ID],FME_Input[FARMACRE100])</f>
        <v>66275.203125</v>
      </c>
      <c r="AE664" s="230">
        <f>(FME_Ranking1[[#This Row],[Ag Land Raw]]/$AD$2)*100</f>
        <v>2.7328926956836921</v>
      </c>
      <c r="AF664" s="231">
        <f>FME_Ranking1[[#This Row],[Ag Land Score (Normalized, Unweighted)]]*$AD$3</f>
        <v>0.13664463478418462</v>
      </c>
      <c r="AG66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0.24549965326019246</v>
      </c>
      <c r="AH664" s="406">
        <f t="shared" si="10"/>
        <v>701</v>
      </c>
      <c r="AI66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0.24549965326019246</v>
      </c>
      <c r="AJ664" s="257">
        <f>FME_Ranking1[[#This Row],[Addition check]]-FME_Ranking1[[#This Row],[Weighted Score Based on Normalized Reported Factors]]</f>
        <v>0</v>
      </c>
      <c r="AK664" s="178">
        <f>_xlfn.RANK.EQ(AI664,$AI$6:$AI$2341,0)+COUNTIF($AI$6:AI664,AI664)-1</f>
        <v>701</v>
      </c>
    </row>
    <row r="665" spans="1:37" x14ac:dyDescent="0.25">
      <c r="A665" t="s">
        <v>2954</v>
      </c>
      <c r="B665">
        <f>_xlfn.XLOOKUP(FME_Ranking1[[#This Row],[FME ID]],FME_Input[FME_ID],FME_Input[RFPG_NUM])</f>
        <v>1</v>
      </c>
      <c r="C665" t="str">
        <f>_xlfn.XLOOKUP(FME_Ranking1[[#This Row],[FME ID]],FME_Input[FME_ID],FME_Input[FME_NAME])</f>
        <v>Lipscomb County FIS</v>
      </c>
      <c r="D665" t="str">
        <f>_xlfn.XLOOKUP(FME_Ranking1[[#This Row],[FME ID]],FME_Input[FME_ID],FME_Input[DESCR])</f>
        <v>Perform flood insurance study for the county and develop regulatory mapping</v>
      </c>
      <c r="E665" s="256">
        <f>_xlfn.XLOOKUP(FME_Ranking1[[#This Row],[FME ID]],FME_Input[FME_ID],FME_Input[FME_COST])</f>
        <v>924000</v>
      </c>
      <c r="F665" t="str">
        <f>_xlfn.XLOOKUP(FME_Ranking1[[#This Row],[FME ID]],FME_Input[FME_ID],FME_Input[EMER_NEED])</f>
        <v>No</v>
      </c>
      <c r="G665">
        <f>IF(FME_Ranking!F665="Yes",100,0)</f>
        <v>0</v>
      </c>
      <c r="H665">
        <f>FME_Ranking1[[#This Row],[Emergency Need Score (Normalized, Unweighted)]]*$F$3</f>
        <v>0</v>
      </c>
      <c r="I665" s="246">
        <f>_xlfn.XLOOKUP(FME_Ranking1[[#This Row],[FME ID]],FME_Input[FME_ID],FME_Input[STRUCT_100])</f>
        <v>100</v>
      </c>
      <c r="J665" s="178">
        <f>(FME_Ranking1[[#This Row],[Structures 100 Raw]]/I$2)*100</f>
        <v>5.3549243884676342E-2</v>
      </c>
      <c r="K665" s="178">
        <f>FME_Ranking1[[#This Row],[Structures 100  Score (Normalized, Unweighted)]]*$I$3</f>
        <v>8.0323865827014503E-3</v>
      </c>
      <c r="L665" s="246">
        <f>_xlfn.XLOOKUP(FME_Ranking1[[#This Row],[FME ID]],FME_Input[FME_ID],FME_Input[RES_STRUCT100])</f>
        <v>9</v>
      </c>
      <c r="M665" s="230">
        <f>(FME_Ranking1[[#This Row],[Res Structures Raw]]/L$2)*100</f>
        <v>6.3747503222790439E-3</v>
      </c>
      <c r="N665" s="180">
        <f>FME_Ranking1[[#This Row],[Res Structures Score (Normalized, Unweighted)]]*$L$3</f>
        <v>6.3747503222790446E-4</v>
      </c>
      <c r="O665" s="244">
        <f>_xlfn.XLOOKUP(FME_Ranking1[[#This Row],[FME ID]],FME_Input[FME_ID],FME_Input[POP100])</f>
        <v>80</v>
      </c>
      <c r="P665" s="178">
        <f>(FME_Ranking1[[#This Row],[Pop Raw]]/$O$2)*100</f>
        <v>8.1900249591010631E-3</v>
      </c>
      <c r="Q665" s="178">
        <f>FME_Ranking1[[#This Row],[Pop Score (Normalized, Unweighted)]]*$O$3</f>
        <v>1.2285037438651595E-3</v>
      </c>
      <c r="R665" s="137">
        <f>_xlfn.XLOOKUP(FME_Ranking1[[#This Row],[FME ID]],FME_Input[FME_ID],FME_Input[CRITFAC100])</f>
        <v>0</v>
      </c>
      <c r="S665" s="230">
        <f>(FME_Ranking1[[#This Row],[Critical Facilities Raw]]/$R$2)*100</f>
        <v>0</v>
      </c>
      <c r="T665" s="180">
        <f>FME_Ranking1[[#This Row],[Critical Facilities Score (Normalized, Unweighted)]]*$R$3</f>
        <v>0</v>
      </c>
      <c r="U665">
        <f>_xlfn.XLOOKUP(FME_Ranking1[[#This Row],[FME ID]],FME_Input[FME_ID],FME_Input[LWC])</f>
        <v>6</v>
      </c>
      <c r="V665" s="178">
        <f>(FME_Ranking1[[#This Row],[LWC Raw]]/$U$2)*100</f>
        <v>0.34542314335060448</v>
      </c>
      <c r="W665" s="178">
        <f>FME_Ranking1[[#This Row],[LWC Score (Normalized, Unweighted)]]*$U$3</f>
        <v>6.9084628670120898E-2</v>
      </c>
      <c r="X665" s="246">
        <f>_xlfn.XLOOKUP(FME_Ranking1[[#This Row],[FME ID]],FME_Input[FME_ID],FME_Input[ROADCLS])</f>
        <v>6</v>
      </c>
      <c r="Y665" s="230">
        <f>(FME_Ranking1[[#This Row],[Closures Raw]]/$X$2)*100</f>
        <v>6.3084849122069186E-2</v>
      </c>
      <c r="Z665" s="180">
        <f>FME_Ranking1[[#This Row],[Closures Score (Normalized, Unweighted)]]*$X$3</f>
        <v>3.1542424561034595E-3</v>
      </c>
      <c r="AA665" s="253">
        <f>_xlfn.XLOOKUP(FME_Ranking1[[#This Row],[FME ID]],FME_Input[FME_ID],FME_Input[ROAD_MILES100])</f>
        <v>20.320476531982418</v>
      </c>
      <c r="AB665" s="178">
        <f>(FME_Ranking1[[#This Row],[Miles Raw]]/$AA$2)*100</f>
        <v>0.26717781990988981</v>
      </c>
      <c r="AC665" s="178">
        <f>FME_Ranking1[[#This Row],[Miles Score (Normalized, Unweighted)]]*$AA$3</f>
        <v>2.6717781990988981E-2</v>
      </c>
      <c r="AD665" s="255">
        <f>_xlfn.XLOOKUP(FME_Ranking1[[#This Row],[FME ID]],FME_Input[FME_ID],FME_Input[FARMACRE100])</f>
        <v>66275.203125</v>
      </c>
      <c r="AE665" s="230">
        <f>(FME_Ranking1[[#This Row],[Ag Land Raw]]/$AD$2)*100</f>
        <v>2.7328926956836921</v>
      </c>
      <c r="AF665" s="231">
        <f>FME_Ranking1[[#This Row],[Ag Land Score (Normalized, Unweighted)]]*$AD$3</f>
        <v>0.13664463478418462</v>
      </c>
      <c r="AG66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0.24549965326019246</v>
      </c>
      <c r="AH665" s="406">
        <f t="shared" si="10"/>
        <v>701</v>
      </c>
      <c r="AI66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0.24549965326019246</v>
      </c>
      <c r="AJ665" s="257">
        <f>FME_Ranking1[[#This Row],[Addition check]]-FME_Ranking1[[#This Row],[Weighted Score Based on Normalized Reported Factors]]</f>
        <v>0</v>
      </c>
      <c r="AK665" s="178">
        <f>_xlfn.RANK.EQ(AI665,$AI$6:$AI$2341,0)+COUNTIF($AI$6:AI665,AI665)-1</f>
        <v>702</v>
      </c>
    </row>
    <row r="666" spans="1:37" x14ac:dyDescent="0.25">
      <c r="A666" t="s">
        <v>7591</v>
      </c>
      <c r="B666">
        <f>_xlfn.XLOOKUP(FME_Ranking1[[#This Row],[FME ID]],FME_Input[FME_ID],FME_Input[RFPG_NUM])</f>
        <v>8</v>
      </c>
      <c r="C666" t="str">
        <f>_xlfn.XLOOKUP(FME_Ranking1[[#This Row],[FME ID]],FME_Input[FME_ID],FME_Input[FME_NAME])</f>
        <v>Burton Creek Main Stem Improvements</v>
      </c>
      <c r="D666" t="str">
        <f>_xlfn.XLOOKUP(FME_Ranking1[[#This Row],[FME ID]],FME_Input[FME_ID],FME_Input[DESCR])</f>
        <v>Channel and crossing improvements along Burton Creek mainstem from SH 6 to S Coulter Dr.</v>
      </c>
      <c r="E666" s="256">
        <f>_xlfn.XLOOKUP(FME_Ranking1[[#This Row],[FME ID]],FME_Input[FME_ID],FME_Input[FME_COST])</f>
        <v>514000</v>
      </c>
      <c r="F666" t="str">
        <f>_xlfn.XLOOKUP(FME_Ranking1[[#This Row],[FME ID]],FME_Input[FME_ID],FME_Input[EMER_NEED])</f>
        <v>No</v>
      </c>
      <c r="G666">
        <f>IF(FME_Ranking!F666="Yes",100,0)</f>
        <v>0</v>
      </c>
      <c r="H666">
        <f>FME_Ranking1[[#This Row],[Emergency Need Score (Normalized, Unweighted)]]*$F$3</f>
        <v>0</v>
      </c>
      <c r="I666" s="246">
        <f>_xlfn.XLOOKUP(FME_Ranking1[[#This Row],[FME ID]],FME_Input[FME_ID],FME_Input[STRUCT_100])</f>
        <v>348</v>
      </c>
      <c r="J666" s="178">
        <f>(FME_Ranking1[[#This Row],[Structures 100 Raw]]/I$2)*100</f>
        <v>0.18635136871867369</v>
      </c>
      <c r="K666" s="178">
        <f>FME_Ranking1[[#This Row],[Structures 100  Score (Normalized, Unweighted)]]*$I$3</f>
        <v>2.7952705307801053E-2</v>
      </c>
      <c r="L666" s="246">
        <f>_xlfn.XLOOKUP(FME_Ranking1[[#This Row],[FME ID]],FME_Input[FME_ID],FME_Input[RES_STRUCT100])</f>
        <v>254</v>
      </c>
      <c r="M666" s="230">
        <f>(FME_Ranking1[[#This Row],[Res Structures Raw]]/L$2)*100</f>
        <v>0.17990962020654191</v>
      </c>
      <c r="N666" s="180">
        <f>FME_Ranking1[[#This Row],[Res Structures Score (Normalized, Unweighted)]]*$L$3</f>
        <v>1.7990962020654193E-2</v>
      </c>
      <c r="O666" s="244">
        <f>_xlfn.XLOOKUP(FME_Ranking1[[#This Row],[FME ID]],FME_Input[FME_ID],FME_Input[POP100])</f>
        <v>1697</v>
      </c>
      <c r="P666" s="178">
        <f>(FME_Ranking1[[#This Row],[Pop Raw]]/$O$2)*100</f>
        <v>0.17373090444493131</v>
      </c>
      <c r="Q666" s="178">
        <f>FME_Ranking1[[#This Row],[Pop Score (Normalized, Unweighted)]]*$O$3</f>
        <v>2.6059635666739696E-2</v>
      </c>
      <c r="R666" s="137">
        <f>_xlfn.XLOOKUP(FME_Ranking1[[#This Row],[FME ID]],FME_Input[FME_ID],FME_Input[CRITFAC100])</f>
        <v>2</v>
      </c>
      <c r="S666" s="230">
        <f>(FME_Ranking1[[#This Row],[Critical Facilities Raw]]/$R$2)*100</f>
        <v>8.5763293310463118E-2</v>
      </c>
      <c r="T666" s="180">
        <f>FME_Ranking1[[#This Row],[Critical Facilities Score (Normalized, Unweighted)]]*$R$3</f>
        <v>1.7152658662092625E-2</v>
      </c>
      <c r="U666">
        <f>_xlfn.XLOOKUP(FME_Ranking1[[#This Row],[FME ID]],FME_Input[FME_ID],FME_Input[LWC])</f>
        <v>9</v>
      </c>
      <c r="V666" s="178">
        <f>(FME_Ranking1[[#This Row],[LWC Raw]]/$U$2)*100</f>
        <v>0.5181347150259068</v>
      </c>
      <c r="W666" s="178">
        <f>FME_Ranking1[[#This Row],[LWC Score (Normalized, Unweighted)]]*$U$3</f>
        <v>0.10362694300518137</v>
      </c>
      <c r="X666" s="246">
        <f>_xlfn.XLOOKUP(FME_Ranking1[[#This Row],[FME ID]],FME_Input[FME_ID],FME_Input[ROADCLS])</f>
        <v>47</v>
      </c>
      <c r="Y666" s="230">
        <f>(FME_Ranking1[[#This Row],[Closures Raw]]/$X$2)*100</f>
        <v>0.49416465145620858</v>
      </c>
      <c r="Z666" s="180">
        <f>FME_Ranking1[[#This Row],[Closures Score (Normalized, Unweighted)]]*$X$3</f>
        <v>2.4708232572810431E-2</v>
      </c>
      <c r="AA666" s="253">
        <f>_xlfn.XLOOKUP(FME_Ranking1[[#This Row],[FME ID]],FME_Input[FME_ID],FME_Input[ROAD_MILES100])</f>
        <v>4.3193001747131348</v>
      </c>
      <c r="AB666" s="178">
        <f>(FME_Ranking1[[#This Row],[Miles Raw]]/$AA$2)*100</f>
        <v>5.6791050268921908E-2</v>
      </c>
      <c r="AC666" s="178">
        <f>FME_Ranking1[[#This Row],[Miles Score (Normalized, Unweighted)]]*$AA$3</f>
        <v>5.679105026892191E-3</v>
      </c>
      <c r="AD666" s="255">
        <f>_xlfn.XLOOKUP(FME_Ranking1[[#This Row],[FME ID]],FME_Input[FME_ID],FME_Input[FARMACRE100])</f>
        <v>0.30882900953292852</v>
      </c>
      <c r="AE666" s="230">
        <f>(FME_Ranking1[[#This Row],[Ag Land Raw]]/$AD$2)*100</f>
        <v>1.273472587893739E-5</v>
      </c>
      <c r="AF666" s="231">
        <f>FME_Ranking1[[#This Row],[Ag Land Score (Normalized, Unweighted)]]*$AD$3</f>
        <v>6.3673629394686957E-7</v>
      </c>
      <c r="AG66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0.22317087899846552</v>
      </c>
      <c r="AH666" s="406">
        <f t="shared" si="10"/>
        <v>764</v>
      </c>
      <c r="AI66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0.22317087899846552</v>
      </c>
      <c r="AJ666" s="257">
        <f>FME_Ranking1[[#This Row],[Addition check]]-FME_Ranking1[[#This Row],[Weighted Score Based on Normalized Reported Factors]]</f>
        <v>0</v>
      </c>
      <c r="AK666" s="178">
        <f>_xlfn.RANK.EQ(AI666,$AI$6:$AI$2341,0)+COUNTIF($AI$6:AI666,AI666)-1</f>
        <v>764</v>
      </c>
    </row>
    <row r="667" spans="1:37" x14ac:dyDescent="0.25">
      <c r="A667" t="s">
        <v>7646</v>
      </c>
      <c r="B667">
        <f>_xlfn.XLOOKUP(FME_Ranking1[[#This Row],[FME ID]],FME_Input[FME_ID],FME_Input[RFPG_NUM])</f>
        <v>8</v>
      </c>
      <c r="C667" t="str">
        <f>_xlfn.XLOOKUP(FME_Ranking1[[#This Row],[FME ID]],FME_Input[FME_ID],FME_Input[FME_NAME])</f>
        <v>Improve Undersized Storm Sewers in Burton Creek DB</v>
      </c>
      <c r="D667" t="str">
        <f>_xlfn.XLOOKUP(FME_Ranking1[[#This Row],[FME ID]],FME_Input[FME_ID],FME_Input[DESCR])</f>
        <v>Update modeling to Atlas 14 to determine appropriate sizing for storm sewer in the region.</v>
      </c>
      <c r="E667" s="256">
        <f>_xlfn.XLOOKUP(FME_Ranking1[[#This Row],[FME ID]],FME_Input[FME_ID],FME_Input[FME_COST])</f>
        <v>300000</v>
      </c>
      <c r="F667" t="str">
        <f>_xlfn.XLOOKUP(FME_Ranking1[[#This Row],[FME ID]],FME_Input[FME_ID],FME_Input[EMER_NEED])</f>
        <v>No</v>
      </c>
      <c r="G667">
        <f>IF(FME_Ranking!F667="Yes",100,0)</f>
        <v>0</v>
      </c>
      <c r="H667">
        <f>FME_Ranking1[[#This Row],[Emergency Need Score (Normalized, Unweighted)]]*$F$3</f>
        <v>0</v>
      </c>
      <c r="I667" s="246">
        <f>_xlfn.XLOOKUP(FME_Ranking1[[#This Row],[FME ID]],FME_Input[FME_ID],FME_Input[STRUCT_100])</f>
        <v>348</v>
      </c>
      <c r="J667" s="178">
        <f>(FME_Ranking1[[#This Row],[Structures 100 Raw]]/I$2)*100</f>
        <v>0.18635136871867369</v>
      </c>
      <c r="K667" s="178">
        <f>FME_Ranking1[[#This Row],[Structures 100  Score (Normalized, Unweighted)]]*$I$3</f>
        <v>2.7952705307801053E-2</v>
      </c>
      <c r="L667" s="246">
        <f>_xlfn.XLOOKUP(FME_Ranking1[[#This Row],[FME ID]],FME_Input[FME_ID],FME_Input[RES_STRUCT100])</f>
        <v>254</v>
      </c>
      <c r="M667" s="230">
        <f>(FME_Ranking1[[#This Row],[Res Structures Raw]]/L$2)*100</f>
        <v>0.17990962020654191</v>
      </c>
      <c r="N667" s="180">
        <f>FME_Ranking1[[#This Row],[Res Structures Score (Normalized, Unweighted)]]*$L$3</f>
        <v>1.7990962020654193E-2</v>
      </c>
      <c r="O667" s="244">
        <f>_xlfn.XLOOKUP(FME_Ranking1[[#This Row],[FME ID]],FME_Input[FME_ID],FME_Input[POP100])</f>
        <v>1697</v>
      </c>
      <c r="P667" s="178">
        <f>(FME_Ranking1[[#This Row],[Pop Raw]]/$O$2)*100</f>
        <v>0.17373090444493131</v>
      </c>
      <c r="Q667" s="178">
        <f>FME_Ranking1[[#This Row],[Pop Score (Normalized, Unweighted)]]*$O$3</f>
        <v>2.6059635666739696E-2</v>
      </c>
      <c r="R667" s="137">
        <f>_xlfn.XLOOKUP(FME_Ranking1[[#This Row],[FME ID]],FME_Input[FME_ID],FME_Input[CRITFAC100])</f>
        <v>2</v>
      </c>
      <c r="S667" s="230">
        <f>(FME_Ranking1[[#This Row],[Critical Facilities Raw]]/$R$2)*100</f>
        <v>8.5763293310463118E-2</v>
      </c>
      <c r="T667" s="180">
        <f>FME_Ranking1[[#This Row],[Critical Facilities Score (Normalized, Unweighted)]]*$R$3</f>
        <v>1.7152658662092625E-2</v>
      </c>
      <c r="U667">
        <f>_xlfn.XLOOKUP(FME_Ranking1[[#This Row],[FME ID]],FME_Input[FME_ID],FME_Input[LWC])</f>
        <v>9</v>
      </c>
      <c r="V667" s="178">
        <f>(FME_Ranking1[[#This Row],[LWC Raw]]/$U$2)*100</f>
        <v>0.5181347150259068</v>
      </c>
      <c r="W667" s="178">
        <f>FME_Ranking1[[#This Row],[LWC Score (Normalized, Unweighted)]]*$U$3</f>
        <v>0.10362694300518137</v>
      </c>
      <c r="X667" s="246">
        <f>_xlfn.XLOOKUP(FME_Ranking1[[#This Row],[FME ID]],FME_Input[FME_ID],FME_Input[ROADCLS])</f>
        <v>47</v>
      </c>
      <c r="Y667" s="230">
        <f>(FME_Ranking1[[#This Row],[Closures Raw]]/$X$2)*100</f>
        <v>0.49416465145620858</v>
      </c>
      <c r="Z667" s="180">
        <f>FME_Ranking1[[#This Row],[Closures Score (Normalized, Unweighted)]]*$X$3</f>
        <v>2.4708232572810431E-2</v>
      </c>
      <c r="AA667" s="253">
        <f>_xlfn.XLOOKUP(FME_Ranking1[[#This Row],[FME ID]],FME_Input[FME_ID],FME_Input[ROAD_MILES100])</f>
        <v>4.3193001747131348</v>
      </c>
      <c r="AB667" s="178">
        <f>(FME_Ranking1[[#This Row],[Miles Raw]]/$AA$2)*100</f>
        <v>5.6791050268921908E-2</v>
      </c>
      <c r="AC667" s="178">
        <f>FME_Ranking1[[#This Row],[Miles Score (Normalized, Unweighted)]]*$AA$3</f>
        <v>5.679105026892191E-3</v>
      </c>
      <c r="AD667" s="255">
        <f>_xlfn.XLOOKUP(FME_Ranking1[[#This Row],[FME ID]],FME_Input[FME_ID],FME_Input[FARMACRE100])</f>
        <v>0.30882900953292852</v>
      </c>
      <c r="AE667" s="230">
        <f>(FME_Ranking1[[#This Row],[Ag Land Raw]]/$AD$2)*100</f>
        <v>1.273472587893739E-5</v>
      </c>
      <c r="AF667" s="231">
        <f>FME_Ranking1[[#This Row],[Ag Land Score (Normalized, Unweighted)]]*$AD$3</f>
        <v>6.3673629394686957E-7</v>
      </c>
      <c r="AG66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0.22317087899846552</v>
      </c>
      <c r="AH667" s="406">
        <f t="shared" si="10"/>
        <v>764</v>
      </c>
      <c r="AI66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0.22317087899846552</v>
      </c>
      <c r="AJ667" s="257">
        <f>FME_Ranking1[[#This Row],[Addition check]]-FME_Ranking1[[#This Row],[Weighted Score Based on Normalized Reported Factors]]</f>
        <v>0</v>
      </c>
      <c r="AK667" s="178">
        <f>_xlfn.RANK.EQ(AI667,$AI$6:$AI$2341,0)+COUNTIF($AI$6:AI667,AI667)-1</f>
        <v>765</v>
      </c>
    </row>
    <row r="668" spans="1:37" x14ac:dyDescent="0.25">
      <c r="A668" t="s">
        <v>7772</v>
      </c>
      <c r="B668">
        <f>_xlfn.XLOOKUP(FME_Ranking1[[#This Row],[FME ID]],FME_Input[FME_ID],FME_Input[RFPG_NUM])</f>
        <v>8</v>
      </c>
      <c r="C668" t="str">
        <f>_xlfn.XLOOKUP(FME_Ranking1[[#This Row],[FME ID]],FME_Input[FME_ID],FME_Input[FME_NAME])</f>
        <v>Burton Creek Extension of Flood Study</v>
      </c>
      <c r="D668" t="str">
        <f>_xlfn.XLOOKUP(FME_Ranking1[[#This Row],[FME ID]],FME_Input[FME_ID],FME_Input[DESCR])</f>
        <v>Expansion of previous study to improve characterization of flood risk.</v>
      </c>
      <c r="E668" s="256">
        <f>_xlfn.XLOOKUP(FME_Ranking1[[#This Row],[FME ID]],FME_Input[FME_ID],FME_Input[FME_COST])</f>
        <v>71000</v>
      </c>
      <c r="F668" t="str">
        <f>_xlfn.XLOOKUP(FME_Ranking1[[#This Row],[FME ID]],FME_Input[FME_ID],FME_Input[EMER_NEED])</f>
        <v>No</v>
      </c>
      <c r="G668">
        <f>IF(FME_Ranking!F668="Yes",100,0)</f>
        <v>0</v>
      </c>
      <c r="H668">
        <f>FME_Ranking1[[#This Row],[Emergency Need Score (Normalized, Unweighted)]]*$F$3</f>
        <v>0</v>
      </c>
      <c r="I668" s="246">
        <f>_xlfn.XLOOKUP(FME_Ranking1[[#This Row],[FME ID]],FME_Input[FME_ID],FME_Input[STRUCT_100])</f>
        <v>348</v>
      </c>
      <c r="J668" s="178">
        <f>(FME_Ranking1[[#This Row],[Structures 100 Raw]]/I$2)*100</f>
        <v>0.18635136871867369</v>
      </c>
      <c r="K668" s="178">
        <f>FME_Ranking1[[#This Row],[Structures 100  Score (Normalized, Unweighted)]]*$I$3</f>
        <v>2.7952705307801053E-2</v>
      </c>
      <c r="L668" s="246">
        <f>_xlfn.XLOOKUP(FME_Ranking1[[#This Row],[FME ID]],FME_Input[FME_ID],FME_Input[RES_STRUCT100])</f>
        <v>254</v>
      </c>
      <c r="M668" s="230">
        <f>(FME_Ranking1[[#This Row],[Res Structures Raw]]/L$2)*100</f>
        <v>0.17990962020654191</v>
      </c>
      <c r="N668" s="180">
        <f>FME_Ranking1[[#This Row],[Res Structures Score (Normalized, Unweighted)]]*$L$3</f>
        <v>1.7990962020654193E-2</v>
      </c>
      <c r="O668" s="244">
        <f>_xlfn.XLOOKUP(FME_Ranking1[[#This Row],[FME ID]],FME_Input[FME_ID],FME_Input[POP100])</f>
        <v>1697</v>
      </c>
      <c r="P668" s="178">
        <f>(FME_Ranking1[[#This Row],[Pop Raw]]/$O$2)*100</f>
        <v>0.17373090444493131</v>
      </c>
      <c r="Q668" s="178">
        <f>FME_Ranking1[[#This Row],[Pop Score (Normalized, Unweighted)]]*$O$3</f>
        <v>2.6059635666739696E-2</v>
      </c>
      <c r="R668" s="137">
        <f>_xlfn.XLOOKUP(FME_Ranking1[[#This Row],[FME ID]],FME_Input[FME_ID],FME_Input[CRITFAC100])</f>
        <v>2</v>
      </c>
      <c r="S668" s="230">
        <f>(FME_Ranking1[[#This Row],[Critical Facilities Raw]]/$R$2)*100</f>
        <v>8.5763293310463118E-2</v>
      </c>
      <c r="T668" s="180">
        <f>FME_Ranking1[[#This Row],[Critical Facilities Score (Normalized, Unweighted)]]*$R$3</f>
        <v>1.7152658662092625E-2</v>
      </c>
      <c r="U668">
        <f>_xlfn.XLOOKUP(FME_Ranking1[[#This Row],[FME ID]],FME_Input[FME_ID],FME_Input[LWC])</f>
        <v>9</v>
      </c>
      <c r="V668" s="178">
        <f>(FME_Ranking1[[#This Row],[LWC Raw]]/$U$2)*100</f>
        <v>0.5181347150259068</v>
      </c>
      <c r="W668" s="178">
        <f>FME_Ranking1[[#This Row],[LWC Score (Normalized, Unweighted)]]*$U$3</f>
        <v>0.10362694300518137</v>
      </c>
      <c r="X668" s="246">
        <f>_xlfn.XLOOKUP(FME_Ranking1[[#This Row],[FME ID]],FME_Input[FME_ID],FME_Input[ROADCLS])</f>
        <v>47</v>
      </c>
      <c r="Y668" s="230">
        <f>(FME_Ranking1[[#This Row],[Closures Raw]]/$X$2)*100</f>
        <v>0.49416465145620858</v>
      </c>
      <c r="Z668" s="180">
        <f>FME_Ranking1[[#This Row],[Closures Score (Normalized, Unweighted)]]*$X$3</f>
        <v>2.4708232572810431E-2</v>
      </c>
      <c r="AA668" s="253">
        <f>_xlfn.XLOOKUP(FME_Ranking1[[#This Row],[FME ID]],FME_Input[FME_ID],FME_Input[ROAD_MILES100])</f>
        <v>4.3193001747131348</v>
      </c>
      <c r="AB668" s="178">
        <f>(FME_Ranking1[[#This Row],[Miles Raw]]/$AA$2)*100</f>
        <v>5.6791050268921908E-2</v>
      </c>
      <c r="AC668" s="178">
        <f>FME_Ranking1[[#This Row],[Miles Score (Normalized, Unweighted)]]*$AA$3</f>
        <v>5.679105026892191E-3</v>
      </c>
      <c r="AD668" s="255">
        <f>_xlfn.XLOOKUP(FME_Ranking1[[#This Row],[FME ID]],FME_Input[FME_ID],FME_Input[FARMACRE100])</f>
        <v>0.30882900953292852</v>
      </c>
      <c r="AE668" s="230">
        <f>(FME_Ranking1[[#This Row],[Ag Land Raw]]/$AD$2)*100</f>
        <v>1.273472587893739E-5</v>
      </c>
      <c r="AF668" s="231">
        <f>FME_Ranking1[[#This Row],[Ag Land Score (Normalized, Unweighted)]]*$AD$3</f>
        <v>6.3673629394686957E-7</v>
      </c>
      <c r="AG66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0.22317087899846552</v>
      </c>
      <c r="AH668" s="406">
        <f t="shared" si="10"/>
        <v>764</v>
      </c>
      <c r="AI66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0.22317087899846552</v>
      </c>
      <c r="AJ668" s="257">
        <f>FME_Ranking1[[#This Row],[Addition check]]-FME_Ranking1[[#This Row],[Weighted Score Based on Normalized Reported Factors]]</f>
        <v>0</v>
      </c>
      <c r="AK668" s="178">
        <f>_xlfn.RANK.EQ(AI668,$AI$6:$AI$2341,0)+COUNTIF($AI$6:AI668,AI668)-1</f>
        <v>766</v>
      </c>
    </row>
    <row r="669" spans="1:37" x14ac:dyDescent="0.25">
      <c r="A669" t="s">
        <v>9901</v>
      </c>
      <c r="B669">
        <f>_xlfn.XLOOKUP(FME_Ranking1[[#This Row],[FME ID]],FME_Input[FME_ID],FME_Input[RFPG_NUM])</f>
        <v>13</v>
      </c>
      <c r="C669" t="str">
        <f>_xlfn.XLOOKUP(FME_Ranking1[[#This Row],[FME ID]],FME_Input[FME_ID],FME_Input[FME_NAME])</f>
        <v>Others (Flood Prevention/Planning Study, LOMR etc)</v>
      </c>
      <c r="D669" t="str">
        <f>_xlfn.XLOOKUP(FME_Ranking1[[#This Row],[FME ID]],FME_Input[FME_ID],FME_Input[DESCR])</f>
        <v>Atascosa Flood Prevention Project - Pleasanton</v>
      </c>
      <c r="E669" s="256">
        <f>_xlfn.XLOOKUP(FME_Ranking1[[#This Row],[FME ID]],FME_Input[FME_ID],FME_Input[FME_COST])</f>
        <v>79000</v>
      </c>
      <c r="F669" t="str">
        <f>_xlfn.XLOOKUP(FME_Ranking1[[#This Row],[FME ID]],FME_Input[FME_ID],FME_Input[EMER_NEED])</f>
        <v>Yes</v>
      </c>
      <c r="G669">
        <f>IF(FME_Ranking!F669="Yes",100,0)</f>
        <v>100</v>
      </c>
      <c r="H669">
        <f>FME_Ranking1[[#This Row],[Emergency Need Score (Normalized, Unweighted)]]*$F$3</f>
        <v>0</v>
      </c>
      <c r="I669" s="246">
        <f>_xlfn.XLOOKUP(FME_Ranking1[[#This Row],[FME ID]],FME_Input[FME_ID],FME_Input[STRUCT_100])</f>
        <v>464</v>
      </c>
      <c r="J669" s="178">
        <f>(FME_Ranking1[[#This Row],[Structures 100 Raw]]/I$2)*100</f>
        <v>0.24846849162489826</v>
      </c>
      <c r="K669" s="178">
        <f>FME_Ranking1[[#This Row],[Structures 100  Score (Normalized, Unweighted)]]*$I$3</f>
        <v>3.727027374373474E-2</v>
      </c>
      <c r="L669" s="246">
        <f>_xlfn.XLOOKUP(FME_Ranking1[[#This Row],[FME ID]],FME_Input[FME_ID],FME_Input[RES_STRUCT100])</f>
        <v>322</v>
      </c>
      <c r="M669" s="230">
        <f>(FME_Ranking1[[#This Row],[Res Structures Raw]]/L$2)*100</f>
        <v>0.22807440041931692</v>
      </c>
      <c r="N669" s="180">
        <f>FME_Ranking1[[#This Row],[Res Structures Score (Normalized, Unweighted)]]*$L$3</f>
        <v>2.2807440041931692E-2</v>
      </c>
      <c r="O669" s="244">
        <f>_xlfn.XLOOKUP(FME_Ranking1[[#This Row],[FME ID]],FME_Input[FME_ID],FME_Input[POP100])</f>
        <v>2226</v>
      </c>
      <c r="P669" s="178">
        <f>(FME_Ranking1[[#This Row],[Pop Raw]]/$O$2)*100</f>
        <v>0.22788744448698708</v>
      </c>
      <c r="Q669" s="178">
        <f>FME_Ranking1[[#This Row],[Pop Score (Normalized, Unweighted)]]*$O$3</f>
        <v>3.4183116673048061E-2</v>
      </c>
      <c r="R669" s="137">
        <f>_xlfn.XLOOKUP(FME_Ranking1[[#This Row],[FME ID]],FME_Input[FME_ID],FME_Input[CRITFAC100])</f>
        <v>1</v>
      </c>
      <c r="S669" s="230">
        <f>(FME_Ranking1[[#This Row],[Critical Facilities Raw]]/$R$2)*100</f>
        <v>4.2881646655231559E-2</v>
      </c>
      <c r="T669" s="180">
        <f>FME_Ranking1[[#This Row],[Critical Facilities Score (Normalized, Unweighted)]]*$R$3</f>
        <v>8.5763293310463125E-3</v>
      </c>
      <c r="U669">
        <f>_xlfn.XLOOKUP(FME_Ranking1[[#This Row],[FME ID]],FME_Input[FME_ID],FME_Input[LWC])</f>
        <v>5</v>
      </c>
      <c r="V669" s="178">
        <f>(FME_Ranking1[[#This Row],[LWC Raw]]/$U$2)*100</f>
        <v>0.28785261945883706</v>
      </c>
      <c r="W669" s="178">
        <f>FME_Ranking1[[#This Row],[LWC Score (Normalized, Unweighted)]]*$U$3</f>
        <v>5.7570523891767415E-2</v>
      </c>
      <c r="X669" s="246">
        <f>_xlfn.XLOOKUP(FME_Ranking1[[#This Row],[FME ID]],FME_Input[FME_ID],FME_Input[ROADCLS])</f>
        <v>107</v>
      </c>
      <c r="Y669" s="230">
        <f>(FME_Ranking1[[#This Row],[Closures Raw]]/$X$2)*100</f>
        <v>1.1250131426769003</v>
      </c>
      <c r="Z669" s="180">
        <f>FME_Ranking1[[#This Row],[Closures Score (Normalized, Unweighted)]]*$X$3</f>
        <v>5.6250657133845021E-2</v>
      </c>
      <c r="AA669" s="253">
        <f>_xlfn.XLOOKUP(FME_Ranking1[[#This Row],[FME ID]],FME_Input[FME_ID],FME_Input[ROAD_MILES100])</f>
        <v>15.55598068237305</v>
      </c>
      <c r="AB669" s="178">
        <f>(FME_Ranking1[[#This Row],[Miles Raw]]/$AA$2)*100</f>
        <v>0.20453324501201162</v>
      </c>
      <c r="AC669" s="178">
        <f>FME_Ranking1[[#This Row],[Miles Score (Normalized, Unweighted)]]*$AA$3</f>
        <v>2.0453324501201162E-2</v>
      </c>
      <c r="AD669" s="255">
        <f>_xlfn.XLOOKUP(FME_Ranking1[[#This Row],[FME ID]],FME_Input[FME_ID],FME_Input[FARMACRE100])</f>
        <v>7.7421112060546884</v>
      </c>
      <c r="AE669" s="230">
        <f>(FME_Ranking1[[#This Row],[Ag Land Raw]]/$AD$2)*100</f>
        <v>3.1925000854831736E-4</v>
      </c>
      <c r="AF669" s="231">
        <f>FME_Ranking1[[#This Row],[Ag Land Score (Normalized, Unweighted)]]*$AD$3</f>
        <v>1.5962500427415869E-5</v>
      </c>
      <c r="AG66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0.23712762781700181</v>
      </c>
      <c r="AH669" s="406">
        <f t="shared" si="10"/>
        <v>730</v>
      </c>
      <c r="AI66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0.23712762781700181</v>
      </c>
      <c r="AJ669" s="257">
        <f>FME_Ranking1[[#This Row],[Addition check]]-FME_Ranking1[[#This Row],[Weighted Score Based on Normalized Reported Factors]]</f>
        <v>0</v>
      </c>
      <c r="AK669" s="178">
        <f>_xlfn.RANK.EQ(AI669,$AI$6:$AI$2341,0)+COUNTIF($AI$6:AI669,AI669)-1</f>
        <v>730</v>
      </c>
    </row>
    <row r="670" spans="1:37" x14ac:dyDescent="0.25">
      <c r="A670" t="s">
        <v>9982</v>
      </c>
      <c r="B670">
        <f>_xlfn.XLOOKUP(FME_Ranking1[[#This Row],[FME ID]],FME_Input[FME_ID],FME_Input[RFPG_NUM])</f>
        <v>13</v>
      </c>
      <c r="C670" t="str">
        <f>_xlfn.XLOOKUP(FME_Ranking1[[#This Row],[FME ID]],FME_Input[FME_ID],FME_Input[FME_NAME])</f>
        <v>Atascosa McMullen Hazard Mitigation Plan - City of Pleasanton Action #10</v>
      </c>
      <c r="D670" t="str">
        <f>_xlfn.XLOOKUP(FME_Ranking1[[#This Row],[FME ID]],FME_Input[FME_ID],FME_Input[DESCR])</f>
        <v>reduce flooding and poor drainage by increasing maintenance of existing storm water system.</v>
      </c>
      <c r="E670" s="256">
        <f>_xlfn.XLOOKUP(FME_Ranking1[[#This Row],[FME ID]],FME_Input[FME_ID],FME_Input[FME_COST])</f>
        <v>3150000</v>
      </c>
      <c r="F670" t="str">
        <f>_xlfn.XLOOKUP(FME_Ranking1[[#This Row],[FME ID]],FME_Input[FME_ID],FME_Input[EMER_NEED])</f>
        <v>Yes</v>
      </c>
      <c r="G670">
        <f>IF(FME_Ranking!F670="Yes",100,0)</f>
        <v>100</v>
      </c>
      <c r="H670">
        <f>FME_Ranking1[[#This Row],[Emergency Need Score (Normalized, Unweighted)]]*$F$3</f>
        <v>0</v>
      </c>
      <c r="I670" s="246">
        <f>_xlfn.XLOOKUP(FME_Ranking1[[#This Row],[FME ID]],FME_Input[FME_ID],FME_Input[STRUCT_100])</f>
        <v>464</v>
      </c>
      <c r="J670" s="178">
        <f>(FME_Ranking1[[#This Row],[Structures 100 Raw]]/I$2)*100</f>
        <v>0.24846849162489826</v>
      </c>
      <c r="K670" s="178">
        <f>FME_Ranking1[[#This Row],[Structures 100  Score (Normalized, Unweighted)]]*$I$3</f>
        <v>3.727027374373474E-2</v>
      </c>
      <c r="L670" s="246">
        <f>_xlfn.XLOOKUP(FME_Ranking1[[#This Row],[FME ID]],FME_Input[FME_ID],FME_Input[RES_STRUCT100])</f>
        <v>322</v>
      </c>
      <c r="M670" s="230">
        <f>(FME_Ranking1[[#This Row],[Res Structures Raw]]/L$2)*100</f>
        <v>0.22807440041931692</v>
      </c>
      <c r="N670" s="180">
        <f>FME_Ranking1[[#This Row],[Res Structures Score (Normalized, Unweighted)]]*$L$3</f>
        <v>2.2807440041931692E-2</v>
      </c>
      <c r="O670" s="244">
        <f>_xlfn.XLOOKUP(FME_Ranking1[[#This Row],[FME ID]],FME_Input[FME_ID],FME_Input[POP100])</f>
        <v>2226</v>
      </c>
      <c r="P670" s="178">
        <f>(FME_Ranking1[[#This Row],[Pop Raw]]/$O$2)*100</f>
        <v>0.22788744448698708</v>
      </c>
      <c r="Q670" s="178">
        <f>FME_Ranking1[[#This Row],[Pop Score (Normalized, Unweighted)]]*$O$3</f>
        <v>3.4183116673048061E-2</v>
      </c>
      <c r="R670" s="137">
        <f>_xlfn.XLOOKUP(FME_Ranking1[[#This Row],[FME ID]],FME_Input[FME_ID],FME_Input[CRITFAC100])</f>
        <v>1</v>
      </c>
      <c r="S670" s="230">
        <f>(FME_Ranking1[[#This Row],[Critical Facilities Raw]]/$R$2)*100</f>
        <v>4.2881646655231559E-2</v>
      </c>
      <c r="T670" s="180">
        <f>FME_Ranking1[[#This Row],[Critical Facilities Score (Normalized, Unweighted)]]*$R$3</f>
        <v>8.5763293310463125E-3</v>
      </c>
      <c r="U670">
        <f>_xlfn.XLOOKUP(FME_Ranking1[[#This Row],[FME ID]],FME_Input[FME_ID],FME_Input[LWC])</f>
        <v>5</v>
      </c>
      <c r="V670" s="178">
        <f>(FME_Ranking1[[#This Row],[LWC Raw]]/$U$2)*100</f>
        <v>0.28785261945883706</v>
      </c>
      <c r="W670" s="178">
        <f>FME_Ranking1[[#This Row],[LWC Score (Normalized, Unweighted)]]*$U$3</f>
        <v>5.7570523891767415E-2</v>
      </c>
      <c r="X670" s="246">
        <f>_xlfn.XLOOKUP(FME_Ranking1[[#This Row],[FME ID]],FME_Input[FME_ID],FME_Input[ROADCLS])</f>
        <v>107</v>
      </c>
      <c r="Y670" s="230">
        <f>(FME_Ranking1[[#This Row],[Closures Raw]]/$X$2)*100</f>
        <v>1.1250131426769003</v>
      </c>
      <c r="Z670" s="180">
        <f>FME_Ranking1[[#This Row],[Closures Score (Normalized, Unweighted)]]*$X$3</f>
        <v>5.6250657133845021E-2</v>
      </c>
      <c r="AA670" s="253">
        <f>_xlfn.XLOOKUP(FME_Ranking1[[#This Row],[FME ID]],FME_Input[FME_ID],FME_Input[ROAD_MILES100])</f>
        <v>15.55598068237305</v>
      </c>
      <c r="AB670" s="178">
        <f>(FME_Ranking1[[#This Row],[Miles Raw]]/$AA$2)*100</f>
        <v>0.20453324501201162</v>
      </c>
      <c r="AC670" s="178">
        <f>FME_Ranking1[[#This Row],[Miles Score (Normalized, Unweighted)]]*$AA$3</f>
        <v>2.0453324501201162E-2</v>
      </c>
      <c r="AD670" s="255">
        <f>_xlfn.XLOOKUP(FME_Ranking1[[#This Row],[FME ID]],FME_Input[FME_ID],FME_Input[FARMACRE100])</f>
        <v>7.7421112060546884</v>
      </c>
      <c r="AE670" s="230">
        <f>(FME_Ranking1[[#This Row],[Ag Land Raw]]/$AD$2)*100</f>
        <v>3.1925000854831736E-4</v>
      </c>
      <c r="AF670" s="231">
        <f>FME_Ranking1[[#This Row],[Ag Land Score (Normalized, Unweighted)]]*$AD$3</f>
        <v>1.5962500427415869E-5</v>
      </c>
      <c r="AG67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0.23712762781700181</v>
      </c>
      <c r="AH670" s="406">
        <f t="shared" si="10"/>
        <v>730</v>
      </c>
      <c r="AI67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0.23712762781700181</v>
      </c>
      <c r="AJ670" s="257">
        <f>FME_Ranking1[[#This Row],[Addition check]]-FME_Ranking1[[#This Row],[Weighted Score Based on Normalized Reported Factors]]</f>
        <v>0</v>
      </c>
      <c r="AK670" s="178">
        <f>_xlfn.RANK.EQ(AI670,$AI$6:$AI$2341,0)+COUNTIF($AI$6:AI670,AI670)-1</f>
        <v>731</v>
      </c>
    </row>
    <row r="671" spans="1:37" x14ac:dyDescent="0.25">
      <c r="A671" t="s">
        <v>1146</v>
      </c>
      <c r="B671">
        <f>_xlfn.XLOOKUP(FME_Ranking1[[#This Row],[FME ID]],FME_Input[FME_ID],FME_Input[RFPG_NUM])</f>
        <v>6</v>
      </c>
      <c r="C671" t="str">
        <f>_xlfn.XLOOKUP(FME_Ranking1[[#This Row],[FME ID]],FME_Input[FME_ID],FME_Input[FME_NAME])</f>
        <v>City of Bayou Vista - Drainage Improvement Program</v>
      </c>
      <c r="D671" t="str">
        <f>_xlfn.XLOOKUP(FME_Ranking1[[#This Row],[FME ID]],FME_Input[FME_ID],FME_Input[DESCR])</f>
        <v>Study to develop drainage improvement program to reduce standing water and runoff, and reduce minor flooding for residents located in District No. 12.</v>
      </c>
      <c r="E671" s="256">
        <f>_xlfn.XLOOKUP(FME_Ranking1[[#This Row],[FME ID]],FME_Input[FME_ID],FME_Input[FME_COST])</f>
        <v>100000</v>
      </c>
      <c r="F671" t="str">
        <f>_xlfn.XLOOKUP(FME_Ranking1[[#This Row],[FME ID]],FME_Input[FME_ID],FME_Input[EMER_NEED])</f>
        <v>No</v>
      </c>
      <c r="G671">
        <f>IF(FME_Ranking!F671="Yes",100,0)</f>
        <v>0</v>
      </c>
      <c r="H671">
        <f>FME_Ranking1[[#This Row],[Emergency Need Score (Normalized, Unweighted)]]*$F$3</f>
        <v>0</v>
      </c>
      <c r="I671" s="246">
        <f>_xlfn.XLOOKUP(FME_Ranking1[[#This Row],[FME ID]],FME_Input[FME_ID],FME_Input[STRUCT_100])</f>
        <v>1123</v>
      </c>
      <c r="J671" s="178">
        <f>(FME_Ranking1[[#This Row],[Structures 100 Raw]]/I$2)*100</f>
        <v>0.60135800882491541</v>
      </c>
      <c r="K671" s="178">
        <f>FME_Ranking1[[#This Row],[Structures 100  Score (Normalized, Unweighted)]]*$I$3</f>
        <v>9.0203701323737312E-2</v>
      </c>
      <c r="L671" s="246">
        <f>_xlfn.XLOOKUP(FME_Ranking1[[#This Row],[FME ID]],FME_Input[FME_ID],FME_Input[RES_STRUCT100])</f>
        <v>1095</v>
      </c>
      <c r="M671" s="230">
        <f>(FME_Ranking1[[#This Row],[Res Structures Raw]]/L$2)*100</f>
        <v>0.7755946225439504</v>
      </c>
      <c r="N671" s="180">
        <f>FME_Ranking1[[#This Row],[Res Structures Score (Normalized, Unweighted)]]*$L$3</f>
        <v>7.7559462254395042E-2</v>
      </c>
      <c r="O671" s="244">
        <f>_xlfn.XLOOKUP(FME_Ranking1[[#This Row],[FME ID]],FME_Input[FME_ID],FME_Input[POP100])</f>
        <v>1508</v>
      </c>
      <c r="P671" s="178">
        <f>(FME_Ranking1[[#This Row],[Pop Raw]]/$O$2)*100</f>
        <v>0.15438197047905505</v>
      </c>
      <c r="Q671" s="178">
        <f>FME_Ranking1[[#This Row],[Pop Score (Normalized, Unweighted)]]*$O$3</f>
        <v>2.3157295571858257E-2</v>
      </c>
      <c r="R671" s="137">
        <f>_xlfn.XLOOKUP(FME_Ranking1[[#This Row],[FME ID]],FME_Input[FME_ID],FME_Input[CRITFAC100])</f>
        <v>3</v>
      </c>
      <c r="S671" s="230">
        <f>(FME_Ranking1[[#This Row],[Critical Facilities Raw]]/$R$2)*100</f>
        <v>0.1286449399656947</v>
      </c>
      <c r="T671" s="180">
        <f>FME_Ranking1[[#This Row],[Critical Facilities Score (Normalized, Unweighted)]]*$R$3</f>
        <v>2.5728987993138941E-2</v>
      </c>
      <c r="U671">
        <f>_xlfn.XLOOKUP(FME_Ranking1[[#This Row],[FME ID]],FME_Input[FME_ID],FME_Input[LWC])</f>
        <v>0</v>
      </c>
      <c r="V671" s="178">
        <f>(FME_Ranking1[[#This Row],[LWC Raw]]/$U$2)*100</f>
        <v>0</v>
      </c>
      <c r="W671" s="178">
        <f>FME_Ranking1[[#This Row],[LWC Score (Normalized, Unweighted)]]*$U$3</f>
        <v>0</v>
      </c>
      <c r="X671" s="246">
        <f>_xlfn.XLOOKUP(FME_Ranking1[[#This Row],[FME ID]],FME_Input[FME_ID],FME_Input[ROADCLS])</f>
        <v>0</v>
      </c>
      <c r="Y671" s="230">
        <f>(FME_Ranking1[[#This Row],[Closures Raw]]/$X$2)*100</f>
        <v>0</v>
      </c>
      <c r="Z671" s="180">
        <f>FME_Ranking1[[#This Row],[Closures Score (Normalized, Unweighted)]]*$X$3</f>
        <v>0</v>
      </c>
      <c r="AA671" s="253">
        <f>_xlfn.XLOOKUP(FME_Ranking1[[#This Row],[FME ID]],FME_Input[FME_ID],FME_Input[ROAD_MILES100])</f>
        <v>7.4649877548217773</v>
      </c>
      <c r="AB671" s="178">
        <f>(FME_Ranking1[[#This Row],[Miles Raw]]/$AA$2)*100</f>
        <v>9.8151199891803362E-2</v>
      </c>
      <c r="AC671" s="178">
        <f>FME_Ranking1[[#This Row],[Miles Score (Normalized, Unweighted)]]*$AA$3</f>
        <v>9.8151199891803372E-3</v>
      </c>
      <c r="AD671" s="255">
        <f>_xlfn.XLOOKUP(FME_Ranking1[[#This Row],[FME ID]],FME_Input[FME_ID],FME_Input[FARMACRE100])</f>
        <v>0</v>
      </c>
      <c r="AE671" s="230">
        <f>(FME_Ranking1[[#This Row],[Ag Land Raw]]/$AD$2)*100</f>
        <v>0</v>
      </c>
      <c r="AF671" s="231">
        <f>FME_Ranking1[[#This Row],[Ag Land Score (Normalized, Unweighted)]]*$AD$3</f>
        <v>0</v>
      </c>
      <c r="AG67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0.22646456713230989</v>
      </c>
      <c r="AH671" s="406">
        <f t="shared" si="10"/>
        <v>754</v>
      </c>
      <c r="AI67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0.22646456713230989</v>
      </c>
      <c r="AJ671" s="257">
        <f>FME_Ranking1[[#This Row],[Addition check]]-FME_Ranking1[[#This Row],[Weighted Score Based on Normalized Reported Factors]]</f>
        <v>0</v>
      </c>
      <c r="AK671" s="178">
        <f>_xlfn.RANK.EQ(AI671,$AI$6:$AI$2341,0)+COUNTIF($AI$6:AI671,AI671)-1</f>
        <v>754</v>
      </c>
    </row>
    <row r="672" spans="1:37" x14ac:dyDescent="0.25">
      <c r="A672" t="s">
        <v>1066</v>
      </c>
      <c r="B672">
        <f>_xlfn.XLOOKUP(FME_Ranking1[[#This Row],[FME ID]],FME_Input[FME_ID],FME_Input[RFPG_NUM])</f>
        <v>6</v>
      </c>
      <c r="C672" t="str">
        <f>_xlfn.XLOOKUP(FME_Ranking1[[#This Row],[FME ID]],FME_Input[FME_ID],FME_Input[FME_NAME])</f>
        <v>City of Bayou Vista Master Drainage Plan</v>
      </c>
      <c r="D672" t="str">
        <f>_xlfn.XLOOKUP(FME_Ranking1[[#This Row],[FME ID]],FME_Input[FME_ID],FME_Input[DESCR])</f>
        <v>Study to develop Master Drainage Plan using future and existing land use and flood/storm water drainage needs including Atlas 14 rainfall.</v>
      </c>
      <c r="E672" s="256">
        <f>_xlfn.XLOOKUP(FME_Ranking1[[#This Row],[FME ID]],FME_Input[FME_ID],FME_Input[FME_COST])</f>
        <v>130000</v>
      </c>
      <c r="F672" t="str">
        <f>_xlfn.XLOOKUP(FME_Ranking1[[#This Row],[FME ID]],FME_Input[FME_ID],FME_Input[EMER_NEED])</f>
        <v>Yes</v>
      </c>
      <c r="G672">
        <f>IF(FME_Ranking!F672="Yes",100,0)</f>
        <v>100</v>
      </c>
      <c r="H672">
        <f>FME_Ranking1[[#This Row],[Emergency Need Score (Normalized, Unweighted)]]*$F$3</f>
        <v>0</v>
      </c>
      <c r="I672" s="246">
        <f>_xlfn.XLOOKUP(FME_Ranking1[[#This Row],[FME ID]],FME_Input[FME_ID],FME_Input[STRUCT_100])</f>
        <v>1122</v>
      </c>
      <c r="J672" s="178">
        <f>(FME_Ranking1[[#This Row],[Structures 100 Raw]]/I$2)*100</f>
        <v>0.60082251638606865</v>
      </c>
      <c r="K672" s="178">
        <f>FME_Ranking1[[#This Row],[Structures 100  Score (Normalized, Unweighted)]]*$I$3</f>
        <v>9.0123377457910298E-2</v>
      </c>
      <c r="L672" s="246">
        <f>_xlfn.XLOOKUP(FME_Ranking1[[#This Row],[FME ID]],FME_Input[FME_ID],FME_Input[RES_STRUCT100])</f>
        <v>1095</v>
      </c>
      <c r="M672" s="230">
        <f>(FME_Ranking1[[#This Row],[Res Structures Raw]]/L$2)*100</f>
        <v>0.7755946225439504</v>
      </c>
      <c r="N672" s="180">
        <f>FME_Ranking1[[#This Row],[Res Structures Score (Normalized, Unweighted)]]*$L$3</f>
        <v>7.7559462254395042E-2</v>
      </c>
      <c r="O672" s="244">
        <f>_xlfn.XLOOKUP(FME_Ranking1[[#This Row],[FME ID]],FME_Input[FME_ID],FME_Input[POP100])</f>
        <v>1502</v>
      </c>
      <c r="P672" s="178">
        <f>(FME_Ranking1[[#This Row],[Pop Raw]]/$O$2)*100</f>
        <v>0.15376771860712246</v>
      </c>
      <c r="Q672" s="178">
        <f>FME_Ranking1[[#This Row],[Pop Score (Normalized, Unweighted)]]*$O$3</f>
        <v>2.306515779106837E-2</v>
      </c>
      <c r="R672" s="137">
        <f>_xlfn.XLOOKUP(FME_Ranking1[[#This Row],[FME ID]],FME_Input[FME_ID],FME_Input[CRITFAC100])</f>
        <v>3</v>
      </c>
      <c r="S672" s="230">
        <f>(FME_Ranking1[[#This Row],[Critical Facilities Raw]]/$R$2)*100</f>
        <v>0.1286449399656947</v>
      </c>
      <c r="T672" s="180">
        <f>FME_Ranking1[[#This Row],[Critical Facilities Score (Normalized, Unweighted)]]*$R$3</f>
        <v>2.5728987993138941E-2</v>
      </c>
      <c r="U672">
        <f>_xlfn.XLOOKUP(FME_Ranking1[[#This Row],[FME ID]],FME_Input[FME_ID],FME_Input[LWC])</f>
        <v>0</v>
      </c>
      <c r="V672" s="178">
        <f>(FME_Ranking1[[#This Row],[LWC Raw]]/$U$2)*100</f>
        <v>0</v>
      </c>
      <c r="W672" s="178">
        <f>FME_Ranking1[[#This Row],[LWC Score (Normalized, Unweighted)]]*$U$3</f>
        <v>0</v>
      </c>
      <c r="X672" s="246">
        <f>_xlfn.XLOOKUP(FME_Ranking1[[#This Row],[FME ID]],FME_Input[FME_ID],FME_Input[ROADCLS])</f>
        <v>0</v>
      </c>
      <c r="Y672" s="230">
        <f>(FME_Ranking1[[#This Row],[Closures Raw]]/$X$2)*100</f>
        <v>0</v>
      </c>
      <c r="Z672" s="180">
        <f>FME_Ranking1[[#This Row],[Closures Score (Normalized, Unweighted)]]*$X$3</f>
        <v>0</v>
      </c>
      <c r="AA672" s="253">
        <f>_xlfn.XLOOKUP(FME_Ranking1[[#This Row],[FME ID]],FME_Input[FME_ID],FME_Input[ROAD_MILES100])</f>
        <v>7.7089004516601563</v>
      </c>
      <c r="AB672" s="178">
        <f>(FME_Ranking1[[#This Row],[Miles Raw]]/$AA$2)*100</f>
        <v>0.1013582143772684</v>
      </c>
      <c r="AC672" s="178">
        <f>FME_Ranking1[[#This Row],[Miles Score (Normalized, Unweighted)]]*$AA$3</f>
        <v>1.0135821437726841E-2</v>
      </c>
      <c r="AD672" s="255">
        <f>_xlfn.XLOOKUP(FME_Ranking1[[#This Row],[FME ID]],FME_Input[FME_ID],FME_Input[FARMACRE100])</f>
        <v>0</v>
      </c>
      <c r="AE672" s="230">
        <f>(FME_Ranking1[[#This Row],[Ag Land Raw]]/$AD$2)*100</f>
        <v>0</v>
      </c>
      <c r="AF672" s="231">
        <f>FME_Ranking1[[#This Row],[Ag Land Score (Normalized, Unweighted)]]*$AD$3</f>
        <v>0</v>
      </c>
      <c r="AG67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0.22661280693423952</v>
      </c>
      <c r="AH672" s="406">
        <f t="shared" si="10"/>
        <v>752</v>
      </c>
      <c r="AI67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0.22661280693423952</v>
      </c>
      <c r="AJ672" s="257">
        <f>FME_Ranking1[[#This Row],[Addition check]]-FME_Ranking1[[#This Row],[Weighted Score Based on Normalized Reported Factors]]</f>
        <v>0</v>
      </c>
      <c r="AK672" s="178">
        <f>_xlfn.RANK.EQ(AI672,$AI$6:$AI$2341,0)+COUNTIF($AI$6:AI672,AI672)-1</f>
        <v>752</v>
      </c>
    </row>
    <row r="673" spans="1:37" x14ac:dyDescent="0.25">
      <c r="A673" t="s">
        <v>1289</v>
      </c>
      <c r="B673">
        <f>_xlfn.XLOOKUP(FME_Ranking1[[#This Row],[FME ID]],FME_Input[FME_ID],FME_Input[RFPG_NUM])</f>
        <v>6</v>
      </c>
      <c r="C673" t="str">
        <f>_xlfn.XLOOKUP(FME_Ranking1[[#This Row],[FME ID]],FME_Input[FME_ID],FME_Input[FME_NAME])</f>
        <v>City of Bayou Vista Canal Dredging Study</v>
      </c>
      <c r="D673" t="str">
        <f>_xlfn.XLOOKUP(FME_Ranking1[[#This Row],[FME ID]],FME_Input[FME_ID],FME_Input[DESCR])</f>
        <v>Plan for Canal Dredging to reduce sediment deposited during storm events. Study to develop and implement canal dredging program.</v>
      </c>
      <c r="E673" s="256">
        <f>_xlfn.XLOOKUP(FME_Ranking1[[#This Row],[FME ID]],FME_Input[FME_ID],FME_Input[FME_COST])</f>
        <v>130000</v>
      </c>
      <c r="F673" t="str">
        <f>_xlfn.XLOOKUP(FME_Ranking1[[#This Row],[FME ID]],FME_Input[FME_ID],FME_Input[EMER_NEED])</f>
        <v>No</v>
      </c>
      <c r="G673">
        <f>IF(FME_Ranking!F673="Yes",100,0)</f>
        <v>0</v>
      </c>
      <c r="H673">
        <f>FME_Ranking1[[#This Row],[Emergency Need Score (Normalized, Unweighted)]]*$F$3</f>
        <v>0</v>
      </c>
      <c r="I673" s="246">
        <f>_xlfn.XLOOKUP(FME_Ranking1[[#This Row],[FME ID]],FME_Input[FME_ID],FME_Input[STRUCT_100])</f>
        <v>1122</v>
      </c>
      <c r="J673" s="178">
        <f>(FME_Ranking1[[#This Row],[Structures 100 Raw]]/I$2)*100</f>
        <v>0.60082251638606865</v>
      </c>
      <c r="K673" s="178">
        <f>FME_Ranking1[[#This Row],[Structures 100  Score (Normalized, Unweighted)]]*$I$3</f>
        <v>9.0123377457910298E-2</v>
      </c>
      <c r="L673" s="246">
        <f>_xlfn.XLOOKUP(FME_Ranking1[[#This Row],[FME ID]],FME_Input[FME_ID],FME_Input[RES_STRUCT100])</f>
        <v>1095</v>
      </c>
      <c r="M673" s="230">
        <f>(FME_Ranking1[[#This Row],[Res Structures Raw]]/L$2)*100</f>
        <v>0.7755946225439504</v>
      </c>
      <c r="N673" s="180">
        <f>FME_Ranking1[[#This Row],[Res Structures Score (Normalized, Unweighted)]]*$L$3</f>
        <v>7.7559462254395042E-2</v>
      </c>
      <c r="O673" s="244">
        <f>_xlfn.XLOOKUP(FME_Ranking1[[#This Row],[FME ID]],FME_Input[FME_ID],FME_Input[POP100])</f>
        <v>1502</v>
      </c>
      <c r="P673" s="178">
        <f>(FME_Ranking1[[#This Row],[Pop Raw]]/$O$2)*100</f>
        <v>0.15376771860712246</v>
      </c>
      <c r="Q673" s="178">
        <f>FME_Ranking1[[#This Row],[Pop Score (Normalized, Unweighted)]]*$O$3</f>
        <v>2.306515779106837E-2</v>
      </c>
      <c r="R673" s="137">
        <f>_xlfn.XLOOKUP(FME_Ranking1[[#This Row],[FME ID]],FME_Input[FME_ID],FME_Input[CRITFAC100])</f>
        <v>3</v>
      </c>
      <c r="S673" s="230">
        <f>(FME_Ranking1[[#This Row],[Critical Facilities Raw]]/$R$2)*100</f>
        <v>0.1286449399656947</v>
      </c>
      <c r="T673" s="180">
        <f>FME_Ranking1[[#This Row],[Critical Facilities Score (Normalized, Unweighted)]]*$R$3</f>
        <v>2.5728987993138941E-2</v>
      </c>
      <c r="U673">
        <f>_xlfn.XLOOKUP(FME_Ranking1[[#This Row],[FME ID]],FME_Input[FME_ID],FME_Input[LWC])</f>
        <v>0</v>
      </c>
      <c r="V673" s="178">
        <f>(FME_Ranking1[[#This Row],[LWC Raw]]/$U$2)*100</f>
        <v>0</v>
      </c>
      <c r="W673" s="178">
        <f>FME_Ranking1[[#This Row],[LWC Score (Normalized, Unweighted)]]*$U$3</f>
        <v>0</v>
      </c>
      <c r="X673" s="246">
        <f>_xlfn.XLOOKUP(FME_Ranking1[[#This Row],[FME ID]],FME_Input[FME_ID],FME_Input[ROADCLS])</f>
        <v>0</v>
      </c>
      <c r="Y673" s="230">
        <f>(FME_Ranking1[[#This Row],[Closures Raw]]/$X$2)*100</f>
        <v>0</v>
      </c>
      <c r="Z673" s="180">
        <f>FME_Ranking1[[#This Row],[Closures Score (Normalized, Unweighted)]]*$X$3</f>
        <v>0</v>
      </c>
      <c r="AA673" s="253">
        <f>_xlfn.XLOOKUP(FME_Ranking1[[#This Row],[FME ID]],FME_Input[FME_ID],FME_Input[ROAD_MILES100])</f>
        <v>7.7089004516601563</v>
      </c>
      <c r="AB673" s="178">
        <f>(FME_Ranking1[[#This Row],[Miles Raw]]/$AA$2)*100</f>
        <v>0.1013582143772684</v>
      </c>
      <c r="AC673" s="178">
        <f>FME_Ranking1[[#This Row],[Miles Score (Normalized, Unweighted)]]*$AA$3</f>
        <v>1.0135821437726841E-2</v>
      </c>
      <c r="AD673" s="255">
        <f>_xlfn.XLOOKUP(FME_Ranking1[[#This Row],[FME ID]],FME_Input[FME_ID],FME_Input[FARMACRE100])</f>
        <v>0</v>
      </c>
      <c r="AE673" s="230">
        <f>(FME_Ranking1[[#This Row],[Ag Land Raw]]/$AD$2)*100</f>
        <v>0</v>
      </c>
      <c r="AF673" s="231">
        <f>FME_Ranking1[[#This Row],[Ag Land Score (Normalized, Unweighted)]]*$AD$3</f>
        <v>0</v>
      </c>
      <c r="AG67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0.22661280693423952</v>
      </c>
      <c r="AH673" s="406">
        <f t="shared" si="10"/>
        <v>752</v>
      </c>
      <c r="AI67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0.22661280693423952</v>
      </c>
      <c r="AJ673" s="257">
        <f>FME_Ranking1[[#This Row],[Addition check]]-FME_Ranking1[[#This Row],[Weighted Score Based on Normalized Reported Factors]]</f>
        <v>0</v>
      </c>
      <c r="AK673" s="178">
        <f>_xlfn.RANK.EQ(AI673,$AI$6:$AI$2341,0)+COUNTIF($AI$6:AI673,AI673)-1</f>
        <v>753</v>
      </c>
    </row>
    <row r="674" spans="1:37" x14ac:dyDescent="0.25">
      <c r="A674" t="s">
        <v>3856</v>
      </c>
      <c r="B674">
        <f>_xlfn.XLOOKUP(FME_Ranking1[[#This Row],[FME ID]],FME_Input[FME_ID],FME_Input[RFPG_NUM])</f>
        <v>3</v>
      </c>
      <c r="C674" t="str">
        <f>_xlfn.XLOOKUP(FME_Ranking1[[#This Row],[FME ID]],FME_Input[FME_ID],FME_Input[FME_NAME])</f>
        <v xml:space="preserve">Freestone County FEMA Mapping </v>
      </c>
      <c r="D674" t="str">
        <f>_xlfn.XLOOKUP(FME_Ranking1[[#This Row],[FME ID]],FME_Input[FME_ID],FME_Input[DESCR])</f>
        <v>Create FEMA mapping in previously unmapped areas and update existing FEMA maps as needed.</v>
      </c>
      <c r="E674" s="256">
        <f>_xlfn.XLOOKUP(FME_Ranking1[[#This Row],[FME ID]],FME_Input[FME_ID],FME_Input[FME_COST])</f>
        <v>1201000</v>
      </c>
      <c r="F674" t="str">
        <f>_xlfn.XLOOKUP(FME_Ranking1[[#This Row],[FME ID]],FME_Input[FME_ID],FME_Input[EMER_NEED])</f>
        <v>No</v>
      </c>
      <c r="G674">
        <f>IF(FME_Ranking!F674="Yes",100,0)</f>
        <v>0</v>
      </c>
      <c r="H674">
        <f>FME_Ranking1[[#This Row],[Emergency Need Score (Normalized, Unweighted)]]*$F$3</f>
        <v>0</v>
      </c>
      <c r="I674" s="246">
        <f>_xlfn.XLOOKUP(FME_Ranking1[[#This Row],[FME ID]],FME_Input[FME_ID],FME_Input[STRUCT_100])</f>
        <v>557</v>
      </c>
      <c r="J674" s="178">
        <f>(FME_Ranking1[[#This Row],[Structures 100 Raw]]/I$2)*100</f>
        <v>0.29826928843764727</v>
      </c>
      <c r="K674" s="178">
        <f>FME_Ranking1[[#This Row],[Structures 100  Score (Normalized, Unweighted)]]*$I$3</f>
        <v>4.4740393265647091E-2</v>
      </c>
      <c r="L674" s="246">
        <f>_xlfn.XLOOKUP(FME_Ranking1[[#This Row],[FME ID]],FME_Input[FME_ID],FME_Input[RES_STRUCT100])</f>
        <v>237</v>
      </c>
      <c r="M674" s="230">
        <f>(FME_Ranking1[[#This Row],[Res Structures Raw]]/L$2)*100</f>
        <v>0.16786842515334818</v>
      </c>
      <c r="N674" s="180">
        <f>FME_Ranking1[[#This Row],[Res Structures Score (Normalized, Unweighted)]]*$L$3</f>
        <v>1.678684251533482E-2</v>
      </c>
      <c r="O674" s="244">
        <f>_xlfn.XLOOKUP(FME_Ranking1[[#This Row],[FME ID]],FME_Input[FME_ID],FME_Input[POP100])</f>
        <v>389</v>
      </c>
      <c r="P674" s="178">
        <f>(FME_Ranking1[[#This Row],[Pop Raw]]/$O$2)*100</f>
        <v>3.9823996363628919E-2</v>
      </c>
      <c r="Q674" s="178">
        <f>FME_Ranking1[[#This Row],[Pop Score (Normalized, Unweighted)]]*$O$3</f>
        <v>5.9735994545443375E-3</v>
      </c>
      <c r="R674" s="137">
        <f>_xlfn.XLOOKUP(FME_Ranking1[[#This Row],[FME ID]],FME_Input[FME_ID],FME_Input[CRITFAC100])</f>
        <v>3</v>
      </c>
      <c r="S674" s="230">
        <f>(FME_Ranking1[[#This Row],[Critical Facilities Raw]]/$R$2)*100</f>
        <v>0.1286449399656947</v>
      </c>
      <c r="T674" s="180">
        <f>FME_Ranking1[[#This Row],[Critical Facilities Score (Normalized, Unweighted)]]*$R$3</f>
        <v>2.5728987993138941E-2</v>
      </c>
      <c r="U674">
        <f>_xlfn.XLOOKUP(FME_Ranking1[[#This Row],[FME ID]],FME_Input[FME_ID],FME_Input[LWC])</f>
        <v>2</v>
      </c>
      <c r="V674" s="178">
        <f>(FME_Ranking1[[#This Row],[LWC Raw]]/$U$2)*100</f>
        <v>0.11514104778353484</v>
      </c>
      <c r="W674" s="178">
        <f>FME_Ranking1[[#This Row],[LWC Score (Normalized, Unweighted)]]*$U$3</f>
        <v>2.302820955670697E-2</v>
      </c>
      <c r="X674" s="246">
        <f>_xlfn.XLOOKUP(FME_Ranking1[[#This Row],[FME ID]],FME_Input[FME_ID],FME_Input[ROADCLS])</f>
        <v>0</v>
      </c>
      <c r="Y674" s="230">
        <f>(FME_Ranking1[[#This Row],[Closures Raw]]/$X$2)*100</f>
        <v>0</v>
      </c>
      <c r="Z674" s="180">
        <f>FME_Ranking1[[#This Row],[Closures Score (Normalized, Unweighted)]]*$X$3</f>
        <v>0</v>
      </c>
      <c r="AA674" s="253">
        <f>_xlfn.XLOOKUP(FME_Ranking1[[#This Row],[FME ID]],FME_Input[FME_ID],FME_Input[ROAD_MILES100])</f>
        <v>90.633773803710938</v>
      </c>
      <c r="AB674" s="178">
        <f>(FME_Ranking1[[#This Row],[Miles Raw]]/$AA$2)*100</f>
        <v>1.1916715662139632</v>
      </c>
      <c r="AC674" s="178">
        <f>FME_Ranking1[[#This Row],[Miles Score (Normalized, Unweighted)]]*$AA$3</f>
        <v>0.11916715662139632</v>
      </c>
      <c r="AD674" s="255">
        <f>_xlfn.XLOOKUP(FME_Ranking1[[#This Row],[FME ID]],FME_Input[FME_ID],FME_Input[FARMACRE100])</f>
        <v>48504.25</v>
      </c>
      <c r="AE674" s="230">
        <f>(FME_Ranking1[[#This Row],[Ag Land Raw]]/$AD$2)*100</f>
        <v>2.0000981405459211</v>
      </c>
      <c r="AF674" s="231">
        <f>FME_Ranking1[[#This Row],[Ag Land Score (Normalized, Unweighted)]]*$AD$3</f>
        <v>0.10000490702729606</v>
      </c>
      <c r="AG67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0.33543009643406452</v>
      </c>
      <c r="AH674" s="406">
        <f t="shared" si="10"/>
        <v>585</v>
      </c>
      <c r="AI67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0.33543009643406452</v>
      </c>
      <c r="AJ674" s="257">
        <f>FME_Ranking1[[#This Row],[Addition check]]-FME_Ranking1[[#This Row],[Weighted Score Based on Normalized Reported Factors]]</f>
        <v>0</v>
      </c>
      <c r="AK674" s="178">
        <f>_xlfn.RANK.EQ(AI674,$AI$6:$AI$2341,0)+COUNTIF($AI$6:AI674,AI674)-1</f>
        <v>585</v>
      </c>
    </row>
    <row r="675" spans="1:37" x14ac:dyDescent="0.25">
      <c r="A675" t="s">
        <v>4273</v>
      </c>
      <c r="B675">
        <f>_xlfn.XLOOKUP(FME_Ranking1[[#This Row],[FME ID]],FME_Input[FME_ID],FME_Input[RFPG_NUM])</f>
        <v>3</v>
      </c>
      <c r="C675" t="str">
        <f>_xlfn.XLOOKUP(FME_Ranking1[[#This Row],[FME ID]],FME_Input[FME_ID],FME_Input[FME_NAME])</f>
        <v>Freestone County DMP</v>
      </c>
      <c r="D675" t="str">
        <f>_xlfn.XLOOKUP(FME_Ranking1[[#This Row],[FME ID]],FME_Input[FME_ID],FME_Input[DESCR])</f>
        <v>Evaluate County and identify future projects.</v>
      </c>
      <c r="E675" s="256">
        <f>_xlfn.XLOOKUP(FME_Ranking1[[#This Row],[FME ID]],FME_Input[FME_ID],FME_Input[FME_COST])</f>
        <v>500000</v>
      </c>
      <c r="F675" t="str">
        <f>_xlfn.XLOOKUP(FME_Ranking1[[#This Row],[FME ID]],FME_Input[FME_ID],FME_Input[EMER_NEED])</f>
        <v>No</v>
      </c>
      <c r="G675">
        <f>IF(FME_Ranking!F675="Yes",100,0)</f>
        <v>0</v>
      </c>
      <c r="H675">
        <f>FME_Ranking1[[#This Row],[Emergency Need Score (Normalized, Unweighted)]]*$F$3</f>
        <v>0</v>
      </c>
      <c r="I675" s="246">
        <f>_xlfn.XLOOKUP(FME_Ranking1[[#This Row],[FME ID]],FME_Input[FME_ID],FME_Input[STRUCT_100])</f>
        <v>557</v>
      </c>
      <c r="J675" s="178">
        <f>(FME_Ranking1[[#This Row],[Structures 100 Raw]]/I$2)*100</f>
        <v>0.29826928843764727</v>
      </c>
      <c r="K675" s="178">
        <f>FME_Ranking1[[#This Row],[Structures 100  Score (Normalized, Unweighted)]]*$I$3</f>
        <v>4.4740393265647091E-2</v>
      </c>
      <c r="L675" s="246">
        <f>_xlfn.XLOOKUP(FME_Ranking1[[#This Row],[FME ID]],FME_Input[FME_ID],FME_Input[RES_STRUCT100])</f>
        <v>237</v>
      </c>
      <c r="M675" s="230">
        <f>(FME_Ranking1[[#This Row],[Res Structures Raw]]/L$2)*100</f>
        <v>0.16786842515334818</v>
      </c>
      <c r="N675" s="180">
        <f>FME_Ranking1[[#This Row],[Res Structures Score (Normalized, Unweighted)]]*$L$3</f>
        <v>1.678684251533482E-2</v>
      </c>
      <c r="O675" s="244">
        <f>_xlfn.XLOOKUP(FME_Ranking1[[#This Row],[FME ID]],FME_Input[FME_ID],FME_Input[POP100])</f>
        <v>389</v>
      </c>
      <c r="P675" s="178">
        <f>(FME_Ranking1[[#This Row],[Pop Raw]]/$O$2)*100</f>
        <v>3.9823996363628919E-2</v>
      </c>
      <c r="Q675" s="178">
        <f>FME_Ranking1[[#This Row],[Pop Score (Normalized, Unweighted)]]*$O$3</f>
        <v>5.9735994545443375E-3</v>
      </c>
      <c r="R675" s="137">
        <f>_xlfn.XLOOKUP(FME_Ranking1[[#This Row],[FME ID]],FME_Input[FME_ID],FME_Input[CRITFAC100])</f>
        <v>3</v>
      </c>
      <c r="S675" s="230">
        <f>(FME_Ranking1[[#This Row],[Critical Facilities Raw]]/$R$2)*100</f>
        <v>0.1286449399656947</v>
      </c>
      <c r="T675" s="180">
        <f>FME_Ranking1[[#This Row],[Critical Facilities Score (Normalized, Unweighted)]]*$R$3</f>
        <v>2.5728987993138941E-2</v>
      </c>
      <c r="U675">
        <f>_xlfn.XLOOKUP(FME_Ranking1[[#This Row],[FME ID]],FME_Input[FME_ID],FME_Input[LWC])</f>
        <v>2</v>
      </c>
      <c r="V675" s="178">
        <f>(FME_Ranking1[[#This Row],[LWC Raw]]/$U$2)*100</f>
        <v>0.11514104778353484</v>
      </c>
      <c r="W675" s="178">
        <f>FME_Ranking1[[#This Row],[LWC Score (Normalized, Unweighted)]]*$U$3</f>
        <v>2.302820955670697E-2</v>
      </c>
      <c r="X675" s="246">
        <f>_xlfn.XLOOKUP(FME_Ranking1[[#This Row],[FME ID]],FME_Input[FME_ID],FME_Input[ROADCLS])</f>
        <v>0</v>
      </c>
      <c r="Y675" s="230">
        <f>(FME_Ranking1[[#This Row],[Closures Raw]]/$X$2)*100</f>
        <v>0</v>
      </c>
      <c r="Z675" s="180">
        <f>FME_Ranking1[[#This Row],[Closures Score (Normalized, Unweighted)]]*$X$3</f>
        <v>0</v>
      </c>
      <c r="AA675" s="253">
        <f>_xlfn.XLOOKUP(FME_Ranking1[[#This Row],[FME ID]],FME_Input[FME_ID],FME_Input[ROAD_MILES100])</f>
        <v>90.633773803710938</v>
      </c>
      <c r="AB675" s="178">
        <f>(FME_Ranking1[[#This Row],[Miles Raw]]/$AA$2)*100</f>
        <v>1.1916715662139632</v>
      </c>
      <c r="AC675" s="178">
        <f>FME_Ranking1[[#This Row],[Miles Score (Normalized, Unweighted)]]*$AA$3</f>
        <v>0.11916715662139632</v>
      </c>
      <c r="AD675" s="255">
        <f>_xlfn.XLOOKUP(FME_Ranking1[[#This Row],[FME ID]],FME_Input[FME_ID],FME_Input[FARMACRE100])</f>
        <v>48504.25</v>
      </c>
      <c r="AE675" s="230">
        <f>(FME_Ranking1[[#This Row],[Ag Land Raw]]/$AD$2)*100</f>
        <v>2.0000981405459211</v>
      </c>
      <c r="AF675" s="231">
        <f>FME_Ranking1[[#This Row],[Ag Land Score (Normalized, Unweighted)]]*$AD$3</f>
        <v>0.10000490702729606</v>
      </c>
      <c r="AG67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0.33543009643406452</v>
      </c>
      <c r="AH675" s="406">
        <f t="shared" si="10"/>
        <v>585</v>
      </c>
      <c r="AI67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0.33543009643406452</v>
      </c>
      <c r="AJ675" s="257">
        <f>FME_Ranking1[[#This Row],[Addition check]]-FME_Ranking1[[#This Row],[Weighted Score Based on Normalized Reported Factors]]</f>
        <v>0</v>
      </c>
      <c r="AK675" s="178">
        <f>_xlfn.RANK.EQ(AI675,$AI$6:$AI$2341,0)+COUNTIF($AI$6:AI675,AI675)-1</f>
        <v>586</v>
      </c>
    </row>
    <row r="676" spans="1:37" x14ac:dyDescent="0.25">
      <c r="A676" t="s">
        <v>9971</v>
      </c>
      <c r="B676">
        <f>_xlfn.XLOOKUP(FME_Ranking1[[#This Row],[FME ID]],FME_Input[FME_ID],FME_Input[RFPG_NUM])</f>
        <v>13</v>
      </c>
      <c r="C676" t="str">
        <f>_xlfn.XLOOKUP(FME_Ranking1[[#This Row],[FME ID]],FME_Input[FME_ID],FME_Input[FME_NAME])</f>
        <v>Crystal City City-wide Drainage Study</v>
      </c>
      <c r="D676" t="str">
        <f>_xlfn.XLOOKUP(FME_Ranking1[[#This Row],[FME ID]],FME_Input[FME_ID],FME_Input[DESCR])</f>
        <v>Crystal City City-wide Drainage Study</v>
      </c>
      <c r="E676" s="256">
        <f>_xlfn.XLOOKUP(FME_Ranking1[[#This Row],[FME ID]],FME_Input[FME_ID],FME_Input[FME_COST])</f>
        <v>250000</v>
      </c>
      <c r="F676" t="str">
        <f>_xlfn.XLOOKUP(FME_Ranking1[[#This Row],[FME ID]],FME_Input[FME_ID],FME_Input[EMER_NEED])</f>
        <v>Yes</v>
      </c>
      <c r="G676">
        <f>IF(FME_Ranking!F676="Yes",100,0)</f>
        <v>100</v>
      </c>
      <c r="H676">
        <f>FME_Ranking1[[#This Row],[Emergency Need Score (Normalized, Unweighted)]]*$F$3</f>
        <v>0</v>
      </c>
      <c r="I676" s="246">
        <f>_xlfn.XLOOKUP(FME_Ranking1[[#This Row],[FME ID]],FME_Input[FME_ID],FME_Input[STRUCT_100])</f>
        <v>772</v>
      </c>
      <c r="J676" s="178">
        <f>(FME_Ranking1[[#This Row],[Structures 100 Raw]]/I$2)*100</f>
        <v>0.41340016278970138</v>
      </c>
      <c r="K676" s="178">
        <f>FME_Ranking1[[#This Row],[Structures 100  Score (Normalized, Unweighted)]]*$I$3</f>
        <v>6.2010024418455205E-2</v>
      </c>
      <c r="L676" s="246">
        <f>_xlfn.XLOOKUP(FME_Ranking1[[#This Row],[FME ID]],FME_Input[FME_ID],FME_Input[RES_STRUCT100])</f>
        <v>655</v>
      </c>
      <c r="M676" s="230">
        <f>(FME_Ranking1[[#This Row],[Res Structures Raw]]/L$2)*100</f>
        <v>0.4639401623436416</v>
      </c>
      <c r="N676" s="180">
        <f>FME_Ranking1[[#This Row],[Res Structures Score (Normalized, Unweighted)]]*$L$3</f>
        <v>4.6394016234364163E-2</v>
      </c>
      <c r="O676" s="244">
        <f>_xlfn.XLOOKUP(FME_Ranking1[[#This Row],[FME ID]],FME_Input[FME_ID],FME_Input[POP100])</f>
        <v>2376</v>
      </c>
      <c r="P676" s="178">
        <f>(FME_Ranking1[[#This Row],[Pop Raw]]/$O$2)*100</f>
        <v>0.24324374128530157</v>
      </c>
      <c r="Q676" s="178">
        <f>FME_Ranking1[[#This Row],[Pop Score (Normalized, Unweighted)]]*$O$3</f>
        <v>3.6486561192795232E-2</v>
      </c>
      <c r="R676" s="137">
        <f>_xlfn.XLOOKUP(FME_Ranking1[[#This Row],[FME ID]],FME_Input[FME_ID],FME_Input[CRITFAC100])</f>
        <v>3</v>
      </c>
      <c r="S676" s="230">
        <f>(FME_Ranking1[[#This Row],[Critical Facilities Raw]]/$R$2)*100</f>
        <v>0.1286449399656947</v>
      </c>
      <c r="T676" s="180">
        <f>FME_Ranking1[[#This Row],[Critical Facilities Score (Normalized, Unweighted)]]*$R$3</f>
        <v>2.5728987993138941E-2</v>
      </c>
      <c r="U676">
        <f>_xlfn.XLOOKUP(FME_Ranking1[[#This Row],[FME ID]],FME_Input[FME_ID],FME_Input[LWC])</f>
        <v>0</v>
      </c>
      <c r="V676" s="178">
        <f>(FME_Ranking1[[#This Row],[LWC Raw]]/$U$2)*100</f>
        <v>0</v>
      </c>
      <c r="W676" s="178">
        <f>FME_Ranking1[[#This Row],[LWC Score (Normalized, Unweighted)]]*$U$3</f>
        <v>0</v>
      </c>
      <c r="X676" s="246">
        <f>_xlfn.XLOOKUP(FME_Ranking1[[#This Row],[FME ID]],FME_Input[FME_ID],FME_Input[ROADCLS])</f>
        <v>82</v>
      </c>
      <c r="Y676" s="230">
        <f>(FME_Ranking1[[#This Row],[Closures Raw]]/$X$2)*100</f>
        <v>0.86215960466827879</v>
      </c>
      <c r="Z676" s="180">
        <f>FME_Ranking1[[#This Row],[Closures Score (Normalized, Unweighted)]]*$X$3</f>
        <v>4.3107980233413945E-2</v>
      </c>
      <c r="AA676" s="253">
        <f>_xlfn.XLOOKUP(FME_Ranking1[[#This Row],[FME ID]],FME_Input[FME_ID],FME_Input[ROAD_MILES100])</f>
        <v>16.1968879699707</v>
      </c>
      <c r="AB676" s="178">
        <f>(FME_Ranking1[[#This Row],[Miles Raw]]/$AA$2)*100</f>
        <v>0.21296002632273489</v>
      </c>
      <c r="AC676" s="178">
        <f>FME_Ranking1[[#This Row],[Miles Score (Normalized, Unweighted)]]*$AA$3</f>
        <v>2.1296002632273492E-2</v>
      </c>
      <c r="AD676" s="255">
        <f>_xlfn.XLOOKUP(FME_Ranking1[[#This Row],[FME ID]],FME_Input[FME_ID],FME_Input[FARMACRE100])</f>
        <v>2.9646928310394292</v>
      </c>
      <c r="AE676" s="230">
        <f>(FME_Ranking1[[#This Row],[Ag Land Raw]]/$AD$2)*100</f>
        <v>1.2225066089366983E-4</v>
      </c>
      <c r="AF676" s="231">
        <f>FME_Ranking1[[#This Row],[Ag Land Score (Normalized, Unweighted)]]*$AD$3</f>
        <v>6.1125330446834916E-6</v>
      </c>
      <c r="AG67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0.23502968523748566</v>
      </c>
      <c r="AH676" s="406">
        <f t="shared" si="10"/>
        <v>735</v>
      </c>
      <c r="AI67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0.23502968523748566</v>
      </c>
      <c r="AJ676" s="257">
        <f>FME_Ranking1[[#This Row],[Addition check]]-FME_Ranking1[[#This Row],[Weighted Score Based on Normalized Reported Factors]]</f>
        <v>0</v>
      </c>
      <c r="AK676" s="178">
        <f>_xlfn.RANK.EQ(AI676,$AI$6:$AI$2341,0)+COUNTIF($AI$6:AI676,AI676)-1</f>
        <v>735</v>
      </c>
    </row>
    <row r="677" spans="1:37" x14ac:dyDescent="0.25">
      <c r="A677" t="s">
        <v>6824</v>
      </c>
      <c r="B677">
        <f>_xlfn.XLOOKUP(FME_Ranking1[[#This Row],[FME ID]],FME_Input[FME_ID],FME_Input[RFPG_NUM])</f>
        <v>7</v>
      </c>
      <c r="C677" t="str">
        <f>_xlfn.XLOOKUP(FME_Ranking1[[#This Row],[FME ID]],FME_Input[FME_ID],FME_Input[FME_NAME])</f>
        <v>Crosby County Initial FEMA Mapping</v>
      </c>
      <c r="D677" t="str">
        <f>_xlfn.XLOOKUP(FME_Ranking1[[#This Row],[FME ID]],FME_Input[FME_ID],FME_Input[DESCR])</f>
        <v>Create FEMA Mapping in previously unmapped areas</v>
      </c>
      <c r="E677" s="256">
        <f>_xlfn.XLOOKUP(FME_Ranking1[[#This Row],[FME ID]],FME_Input[FME_ID],FME_Input[FME_COST])</f>
        <v>834000</v>
      </c>
      <c r="F677" t="str">
        <f>_xlfn.XLOOKUP(FME_Ranking1[[#This Row],[FME ID]],FME_Input[FME_ID],FME_Input[EMER_NEED])</f>
        <v>No</v>
      </c>
      <c r="G677">
        <f>IF(FME_Ranking!F677="Yes",100,0)</f>
        <v>0</v>
      </c>
      <c r="H677">
        <f>FME_Ranking1[[#This Row],[Emergency Need Score (Normalized, Unweighted)]]*$F$3</f>
        <v>0</v>
      </c>
      <c r="I677" s="246">
        <f>_xlfn.XLOOKUP(FME_Ranking1[[#This Row],[FME ID]],FME_Input[FME_ID],FME_Input[STRUCT_100])</f>
        <v>279</v>
      </c>
      <c r="J677" s="178">
        <f>(FME_Ranking1[[#This Row],[Structures 100 Raw]]/I$2)*100</f>
        <v>0.14940239043824702</v>
      </c>
      <c r="K677" s="178">
        <f>FME_Ranking1[[#This Row],[Structures 100  Score (Normalized, Unweighted)]]*$I$3</f>
        <v>2.2410358565737053E-2</v>
      </c>
      <c r="L677" s="246">
        <f>_xlfn.XLOOKUP(FME_Ranking1[[#This Row],[FME ID]],FME_Input[FME_ID],FME_Input[RES_STRUCT100])</f>
        <v>62</v>
      </c>
      <c r="M677" s="230">
        <f>(FME_Ranking1[[#This Row],[Res Structures Raw]]/L$2)*100</f>
        <v>4.3914946664588971E-2</v>
      </c>
      <c r="N677" s="180">
        <f>FME_Ranking1[[#This Row],[Res Structures Score (Normalized, Unweighted)]]*$L$3</f>
        <v>4.3914946664588969E-3</v>
      </c>
      <c r="O677" s="244">
        <f>_xlfn.XLOOKUP(FME_Ranking1[[#This Row],[FME ID]],FME_Input[FME_ID],FME_Input[POP100])</f>
        <v>325</v>
      </c>
      <c r="P677" s="178">
        <f>(FME_Ranking1[[#This Row],[Pop Raw]]/$O$2)*100</f>
        <v>3.3271976396348067E-2</v>
      </c>
      <c r="Q677" s="178">
        <f>FME_Ranking1[[#This Row],[Pop Score (Normalized, Unweighted)]]*$O$3</f>
        <v>4.9907964594522103E-3</v>
      </c>
      <c r="R677" s="137">
        <f>_xlfn.XLOOKUP(FME_Ranking1[[#This Row],[FME ID]],FME_Input[FME_ID],FME_Input[CRITFAC100])</f>
        <v>2</v>
      </c>
      <c r="S677" s="230">
        <f>(FME_Ranking1[[#This Row],[Critical Facilities Raw]]/$R$2)*100</f>
        <v>8.5763293310463118E-2</v>
      </c>
      <c r="T677" s="180">
        <f>FME_Ranking1[[#This Row],[Critical Facilities Score (Normalized, Unweighted)]]*$R$3</f>
        <v>1.7152658662092625E-2</v>
      </c>
      <c r="U677">
        <f>_xlfn.XLOOKUP(FME_Ranking1[[#This Row],[FME ID]],FME_Input[FME_ID],FME_Input[LWC])</f>
        <v>6</v>
      </c>
      <c r="V677" s="178">
        <f>(FME_Ranking1[[#This Row],[LWC Raw]]/$U$2)*100</f>
        <v>0.34542314335060448</v>
      </c>
      <c r="W677" s="178">
        <f>FME_Ranking1[[#This Row],[LWC Score (Normalized, Unweighted)]]*$U$3</f>
        <v>6.9084628670120898E-2</v>
      </c>
      <c r="X677" s="246">
        <f>_xlfn.XLOOKUP(FME_Ranking1[[#This Row],[FME ID]],FME_Input[FME_ID],FME_Input[ROADCLS])</f>
        <v>0</v>
      </c>
      <c r="Y677" s="230">
        <f>(FME_Ranking1[[#This Row],[Closures Raw]]/$X$2)*100</f>
        <v>0</v>
      </c>
      <c r="Z677" s="180">
        <f>FME_Ranking1[[#This Row],[Closures Score (Normalized, Unweighted)]]*$X$3</f>
        <v>0</v>
      </c>
      <c r="AA677" s="253">
        <f>_xlfn.XLOOKUP(FME_Ranking1[[#This Row],[FME ID]],FME_Input[FME_ID],FME_Input[ROAD_MILES100])</f>
        <v>349.60302734375</v>
      </c>
      <c r="AB677" s="178">
        <f>(FME_Ranking1[[#This Row],[Miles Raw]]/$AA$2)*100</f>
        <v>4.5966527671035982</v>
      </c>
      <c r="AC677" s="178">
        <f>FME_Ranking1[[#This Row],[Miles Score (Normalized, Unweighted)]]*$AA$3</f>
        <v>0.45966527671035984</v>
      </c>
      <c r="AD677" s="255">
        <f>_xlfn.XLOOKUP(FME_Ranking1[[#This Row],[FME ID]],FME_Input[FME_ID],FME_Input[FARMACRE100])</f>
        <v>45936.109375</v>
      </c>
      <c r="AE677" s="230">
        <f>(FME_Ranking1[[#This Row],[Ag Land Raw]]/$AD$2)*100</f>
        <v>1.8941995174619042</v>
      </c>
      <c r="AF677" s="231">
        <f>FME_Ranking1[[#This Row],[Ag Land Score (Normalized, Unweighted)]]*$AD$3</f>
        <v>9.4709975873095209E-2</v>
      </c>
      <c r="AG67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0.67240518960731666</v>
      </c>
      <c r="AH677" s="406">
        <f t="shared" si="10"/>
        <v>366</v>
      </c>
      <c r="AI67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0.67240518960731666</v>
      </c>
      <c r="AJ677" s="257">
        <f>FME_Ranking1[[#This Row],[Addition check]]-FME_Ranking1[[#This Row],[Weighted Score Based on Normalized Reported Factors]]</f>
        <v>0</v>
      </c>
      <c r="AK677" s="178">
        <f>_xlfn.RANK.EQ(AI677,$AI$6:$AI$2341,0)+COUNTIF($AI$6:AI677,AI677)-1</f>
        <v>366</v>
      </c>
    </row>
    <row r="678" spans="1:37" x14ac:dyDescent="0.25">
      <c r="A678" t="s">
        <v>6832</v>
      </c>
      <c r="B678">
        <f>_xlfn.XLOOKUP(FME_Ranking1[[#This Row],[FME ID]],FME_Input[FME_ID],FME_Input[RFPG_NUM])</f>
        <v>7</v>
      </c>
      <c r="C678" t="str">
        <f>_xlfn.XLOOKUP(FME_Ranking1[[#This Row],[FME ID]],FME_Input[FME_ID],FME_Input[FME_NAME])</f>
        <v>Crosby County GIS Development</v>
      </c>
      <c r="D678" t="str">
        <f>_xlfn.XLOOKUP(FME_Ranking1[[#This Row],[FME ID]],FME_Input[FME_ID],FME_Input[DESCR])</f>
        <v>Develop a GIS inventory of stormwater infrastructure</v>
      </c>
      <c r="E678" s="256">
        <f>_xlfn.XLOOKUP(FME_Ranking1[[#This Row],[FME ID]],FME_Input[FME_ID],FME_Input[FME_COST])</f>
        <v>100000</v>
      </c>
      <c r="F678" t="str">
        <f>_xlfn.XLOOKUP(FME_Ranking1[[#This Row],[FME ID]],FME_Input[FME_ID],FME_Input[EMER_NEED])</f>
        <v>No</v>
      </c>
      <c r="G678">
        <f>IF(FME_Ranking!F678="Yes",100,0)</f>
        <v>0</v>
      </c>
      <c r="H678">
        <f>FME_Ranking1[[#This Row],[Emergency Need Score (Normalized, Unweighted)]]*$F$3</f>
        <v>0</v>
      </c>
      <c r="I678" s="246">
        <f>_xlfn.XLOOKUP(FME_Ranking1[[#This Row],[FME ID]],FME_Input[FME_ID],FME_Input[STRUCT_100])</f>
        <v>279</v>
      </c>
      <c r="J678" s="178">
        <f>(FME_Ranking1[[#This Row],[Structures 100 Raw]]/I$2)*100</f>
        <v>0.14940239043824702</v>
      </c>
      <c r="K678" s="178">
        <f>FME_Ranking1[[#This Row],[Structures 100  Score (Normalized, Unweighted)]]*$I$3</f>
        <v>2.2410358565737053E-2</v>
      </c>
      <c r="L678" s="246">
        <f>_xlfn.XLOOKUP(FME_Ranking1[[#This Row],[FME ID]],FME_Input[FME_ID],FME_Input[RES_STRUCT100])</f>
        <v>62</v>
      </c>
      <c r="M678" s="230">
        <f>(FME_Ranking1[[#This Row],[Res Structures Raw]]/L$2)*100</f>
        <v>4.3914946664588971E-2</v>
      </c>
      <c r="N678" s="180">
        <f>FME_Ranking1[[#This Row],[Res Structures Score (Normalized, Unweighted)]]*$L$3</f>
        <v>4.3914946664588969E-3</v>
      </c>
      <c r="O678" s="244">
        <f>_xlfn.XLOOKUP(FME_Ranking1[[#This Row],[FME ID]],FME_Input[FME_ID],FME_Input[POP100])</f>
        <v>325</v>
      </c>
      <c r="P678" s="178">
        <f>(FME_Ranking1[[#This Row],[Pop Raw]]/$O$2)*100</f>
        <v>3.3271976396348067E-2</v>
      </c>
      <c r="Q678" s="178">
        <f>FME_Ranking1[[#This Row],[Pop Score (Normalized, Unweighted)]]*$O$3</f>
        <v>4.9907964594522103E-3</v>
      </c>
      <c r="R678" s="137">
        <f>_xlfn.XLOOKUP(FME_Ranking1[[#This Row],[FME ID]],FME_Input[FME_ID],FME_Input[CRITFAC100])</f>
        <v>2</v>
      </c>
      <c r="S678" s="230">
        <f>(FME_Ranking1[[#This Row],[Critical Facilities Raw]]/$R$2)*100</f>
        <v>8.5763293310463118E-2</v>
      </c>
      <c r="T678" s="180">
        <f>FME_Ranking1[[#This Row],[Critical Facilities Score (Normalized, Unweighted)]]*$R$3</f>
        <v>1.7152658662092625E-2</v>
      </c>
      <c r="U678">
        <f>_xlfn.XLOOKUP(FME_Ranking1[[#This Row],[FME ID]],FME_Input[FME_ID],FME_Input[LWC])</f>
        <v>6</v>
      </c>
      <c r="V678" s="178">
        <f>(FME_Ranking1[[#This Row],[LWC Raw]]/$U$2)*100</f>
        <v>0.34542314335060448</v>
      </c>
      <c r="W678" s="178">
        <f>FME_Ranking1[[#This Row],[LWC Score (Normalized, Unweighted)]]*$U$3</f>
        <v>6.9084628670120898E-2</v>
      </c>
      <c r="X678" s="246">
        <f>_xlfn.XLOOKUP(FME_Ranking1[[#This Row],[FME ID]],FME_Input[FME_ID],FME_Input[ROADCLS])</f>
        <v>0</v>
      </c>
      <c r="Y678" s="230">
        <f>(FME_Ranking1[[#This Row],[Closures Raw]]/$X$2)*100</f>
        <v>0</v>
      </c>
      <c r="Z678" s="180">
        <f>FME_Ranking1[[#This Row],[Closures Score (Normalized, Unweighted)]]*$X$3</f>
        <v>0</v>
      </c>
      <c r="AA678" s="253">
        <f>_xlfn.XLOOKUP(FME_Ranking1[[#This Row],[FME ID]],FME_Input[FME_ID],FME_Input[ROAD_MILES100])</f>
        <v>349.60302734375</v>
      </c>
      <c r="AB678" s="178">
        <f>(FME_Ranking1[[#This Row],[Miles Raw]]/$AA$2)*100</f>
        <v>4.5966527671035982</v>
      </c>
      <c r="AC678" s="178">
        <f>FME_Ranking1[[#This Row],[Miles Score (Normalized, Unweighted)]]*$AA$3</f>
        <v>0.45966527671035984</v>
      </c>
      <c r="AD678" s="255">
        <f>_xlfn.XLOOKUP(FME_Ranking1[[#This Row],[FME ID]],FME_Input[FME_ID],FME_Input[FARMACRE100])</f>
        <v>45936.109375</v>
      </c>
      <c r="AE678" s="230">
        <f>(FME_Ranking1[[#This Row],[Ag Land Raw]]/$AD$2)*100</f>
        <v>1.8941995174619042</v>
      </c>
      <c r="AF678" s="231">
        <f>FME_Ranking1[[#This Row],[Ag Land Score (Normalized, Unweighted)]]*$AD$3</f>
        <v>9.4709975873095209E-2</v>
      </c>
      <c r="AG67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0.67240518960731666</v>
      </c>
      <c r="AH678" s="406">
        <f t="shared" si="10"/>
        <v>366</v>
      </c>
      <c r="AI67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0.67240518960731666</v>
      </c>
      <c r="AJ678" s="257">
        <f>FME_Ranking1[[#This Row],[Addition check]]-FME_Ranking1[[#This Row],[Weighted Score Based on Normalized Reported Factors]]</f>
        <v>0</v>
      </c>
      <c r="AK678" s="178">
        <f>_xlfn.RANK.EQ(AI678,$AI$6:$AI$2341,0)+COUNTIF($AI$6:AI678,AI678)-1</f>
        <v>367</v>
      </c>
    </row>
    <row r="679" spans="1:37" x14ac:dyDescent="0.25">
      <c r="A679" t="s">
        <v>7237</v>
      </c>
      <c r="B679">
        <f>_xlfn.XLOOKUP(FME_Ranking1[[#This Row],[FME ID]],FME_Input[FME_ID],FME_Input[RFPG_NUM])</f>
        <v>7</v>
      </c>
      <c r="C679" t="str">
        <f>_xlfn.XLOOKUP(FME_Ranking1[[#This Row],[FME ID]],FME_Input[FME_ID],FME_Input[FME_NAME])</f>
        <v>Crosby County DCM</v>
      </c>
      <c r="D679" t="str">
        <f>_xlfn.XLOOKUP(FME_Ranking1[[#This Row],[FME ID]],FME_Input[FME_ID],FME_Input[DESCR])</f>
        <v>Consider stormwater criteria for infrastructure and floodplain ordinances to avoid new exposure to flood hazards.</v>
      </c>
      <c r="E679" s="256">
        <f>_xlfn.XLOOKUP(FME_Ranking1[[#This Row],[FME ID]],FME_Input[FME_ID],FME_Input[FME_COST])</f>
        <v>100000</v>
      </c>
      <c r="F679" t="str">
        <f>_xlfn.XLOOKUP(FME_Ranking1[[#This Row],[FME ID]],FME_Input[FME_ID],FME_Input[EMER_NEED])</f>
        <v>No</v>
      </c>
      <c r="G679">
        <f>IF(FME_Ranking!F679="Yes",100,0)</f>
        <v>0</v>
      </c>
      <c r="H679">
        <f>FME_Ranking1[[#This Row],[Emergency Need Score (Normalized, Unweighted)]]*$F$3</f>
        <v>0</v>
      </c>
      <c r="I679" s="246">
        <f>_xlfn.XLOOKUP(FME_Ranking1[[#This Row],[FME ID]],FME_Input[FME_ID],FME_Input[STRUCT_100])</f>
        <v>279</v>
      </c>
      <c r="J679" s="178">
        <f>(FME_Ranking1[[#This Row],[Structures 100 Raw]]/I$2)*100</f>
        <v>0.14940239043824702</v>
      </c>
      <c r="K679" s="178">
        <f>FME_Ranking1[[#This Row],[Structures 100  Score (Normalized, Unweighted)]]*$I$3</f>
        <v>2.2410358565737053E-2</v>
      </c>
      <c r="L679" s="246">
        <f>_xlfn.XLOOKUP(FME_Ranking1[[#This Row],[FME ID]],FME_Input[FME_ID],FME_Input[RES_STRUCT100])</f>
        <v>62</v>
      </c>
      <c r="M679" s="230">
        <f>(FME_Ranking1[[#This Row],[Res Structures Raw]]/L$2)*100</f>
        <v>4.3914946664588971E-2</v>
      </c>
      <c r="N679" s="180">
        <f>FME_Ranking1[[#This Row],[Res Structures Score (Normalized, Unweighted)]]*$L$3</f>
        <v>4.3914946664588969E-3</v>
      </c>
      <c r="O679" s="244">
        <f>_xlfn.XLOOKUP(FME_Ranking1[[#This Row],[FME ID]],FME_Input[FME_ID],FME_Input[POP100])</f>
        <v>325</v>
      </c>
      <c r="P679" s="178">
        <f>(FME_Ranking1[[#This Row],[Pop Raw]]/$O$2)*100</f>
        <v>3.3271976396348067E-2</v>
      </c>
      <c r="Q679" s="178">
        <f>FME_Ranking1[[#This Row],[Pop Score (Normalized, Unweighted)]]*$O$3</f>
        <v>4.9907964594522103E-3</v>
      </c>
      <c r="R679" s="137">
        <f>_xlfn.XLOOKUP(FME_Ranking1[[#This Row],[FME ID]],FME_Input[FME_ID],FME_Input[CRITFAC100])</f>
        <v>2</v>
      </c>
      <c r="S679" s="230">
        <f>(FME_Ranking1[[#This Row],[Critical Facilities Raw]]/$R$2)*100</f>
        <v>8.5763293310463118E-2</v>
      </c>
      <c r="T679" s="180">
        <f>FME_Ranking1[[#This Row],[Critical Facilities Score (Normalized, Unweighted)]]*$R$3</f>
        <v>1.7152658662092625E-2</v>
      </c>
      <c r="U679">
        <f>_xlfn.XLOOKUP(FME_Ranking1[[#This Row],[FME ID]],FME_Input[FME_ID],FME_Input[LWC])</f>
        <v>6</v>
      </c>
      <c r="V679" s="178">
        <f>(FME_Ranking1[[#This Row],[LWC Raw]]/$U$2)*100</f>
        <v>0.34542314335060448</v>
      </c>
      <c r="W679" s="178">
        <f>FME_Ranking1[[#This Row],[LWC Score (Normalized, Unweighted)]]*$U$3</f>
        <v>6.9084628670120898E-2</v>
      </c>
      <c r="X679" s="246">
        <f>_xlfn.XLOOKUP(FME_Ranking1[[#This Row],[FME ID]],FME_Input[FME_ID],FME_Input[ROADCLS])</f>
        <v>0</v>
      </c>
      <c r="Y679" s="230">
        <f>(FME_Ranking1[[#This Row],[Closures Raw]]/$X$2)*100</f>
        <v>0</v>
      </c>
      <c r="Z679" s="180">
        <f>FME_Ranking1[[#This Row],[Closures Score (Normalized, Unweighted)]]*$X$3</f>
        <v>0</v>
      </c>
      <c r="AA679" s="253">
        <f>_xlfn.XLOOKUP(FME_Ranking1[[#This Row],[FME ID]],FME_Input[FME_ID],FME_Input[ROAD_MILES100])</f>
        <v>349.60302734375</v>
      </c>
      <c r="AB679" s="178">
        <f>(FME_Ranking1[[#This Row],[Miles Raw]]/$AA$2)*100</f>
        <v>4.5966527671035982</v>
      </c>
      <c r="AC679" s="178">
        <f>FME_Ranking1[[#This Row],[Miles Score (Normalized, Unweighted)]]*$AA$3</f>
        <v>0.45966527671035984</v>
      </c>
      <c r="AD679" s="255">
        <f>_xlfn.XLOOKUP(FME_Ranking1[[#This Row],[FME ID]],FME_Input[FME_ID],FME_Input[FARMACRE100])</f>
        <v>45936.109375</v>
      </c>
      <c r="AE679" s="230">
        <f>(FME_Ranking1[[#This Row],[Ag Land Raw]]/$AD$2)*100</f>
        <v>1.8941995174619042</v>
      </c>
      <c r="AF679" s="231">
        <f>FME_Ranking1[[#This Row],[Ag Land Score (Normalized, Unweighted)]]*$AD$3</f>
        <v>9.4709975873095209E-2</v>
      </c>
      <c r="AG67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0.67240518960731666</v>
      </c>
      <c r="AH679" s="406">
        <f t="shared" si="10"/>
        <v>366</v>
      </c>
      <c r="AI67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0.67240518960731666</v>
      </c>
      <c r="AJ679" s="257">
        <f>FME_Ranking1[[#This Row],[Addition check]]-FME_Ranking1[[#This Row],[Weighted Score Based on Normalized Reported Factors]]</f>
        <v>0</v>
      </c>
      <c r="AK679" s="178">
        <f>_xlfn.RANK.EQ(AI679,$AI$6:$AI$2341,0)+COUNTIF($AI$6:AI679,AI679)-1</f>
        <v>368</v>
      </c>
    </row>
    <row r="680" spans="1:37" x14ac:dyDescent="0.25">
      <c r="A680" t="s">
        <v>4059</v>
      </c>
      <c r="B680">
        <f>_xlfn.XLOOKUP(FME_Ranking1[[#This Row],[FME ID]],FME_Input[FME_ID],FME_Input[RFPG_NUM])</f>
        <v>3</v>
      </c>
      <c r="C680" t="str">
        <f>_xlfn.XLOOKUP(FME_Ranking1[[#This Row],[FME ID]],FME_Input[FME_ID],FME_Input[FME_NAME])</f>
        <v>Madison County Dam Inundation Study</v>
      </c>
      <c r="D680" t="str">
        <f>_xlfn.XLOOKUP(FME_Ranking1[[#This Row],[FME ID]],FME_Input[FME_ID],FME_Input[DESCR])</f>
        <v>Create dam failure inundation maps</v>
      </c>
      <c r="E680" s="256">
        <f>_xlfn.XLOOKUP(FME_Ranking1[[#This Row],[FME ID]],FME_Input[FME_ID],FME_Input[FME_COST])</f>
        <v>478000</v>
      </c>
      <c r="F680" t="str">
        <f>_xlfn.XLOOKUP(FME_Ranking1[[#This Row],[FME ID]],FME_Input[FME_ID],FME_Input[EMER_NEED])</f>
        <v>No</v>
      </c>
      <c r="G680">
        <f>IF(FME_Ranking!F680="Yes",100,0)</f>
        <v>0</v>
      </c>
      <c r="H680">
        <f>FME_Ranking1[[#This Row],[Emergency Need Score (Normalized, Unweighted)]]*$F$3</f>
        <v>0</v>
      </c>
      <c r="I680" s="246">
        <f>_xlfn.XLOOKUP(FME_Ranking1[[#This Row],[FME ID]],FME_Input[FME_ID],FME_Input[STRUCT_100])</f>
        <v>338</v>
      </c>
      <c r="J680" s="178">
        <f>(FME_Ranking1[[#This Row],[Structures 100 Raw]]/I$2)*100</f>
        <v>0.18099644433020604</v>
      </c>
      <c r="K680" s="178">
        <f>FME_Ranking1[[#This Row],[Structures 100  Score (Normalized, Unweighted)]]*$I$3</f>
        <v>2.7149466649530905E-2</v>
      </c>
      <c r="L680" s="246">
        <f>_xlfn.XLOOKUP(FME_Ranking1[[#This Row],[FME ID]],FME_Input[FME_ID],FME_Input[RES_STRUCT100])</f>
        <v>297</v>
      </c>
      <c r="M680" s="230">
        <f>(FME_Ranking1[[#This Row],[Res Structures Raw]]/L$2)*100</f>
        <v>0.21036676063520846</v>
      </c>
      <c r="N680" s="180">
        <f>FME_Ranking1[[#This Row],[Res Structures Score (Normalized, Unweighted)]]*$L$3</f>
        <v>2.1036676063520846E-2</v>
      </c>
      <c r="O680" s="244">
        <f>_xlfn.XLOOKUP(FME_Ranking1[[#This Row],[FME ID]],FME_Input[FME_ID],FME_Input[POP100])</f>
        <v>241</v>
      </c>
      <c r="P680" s="178">
        <f>(FME_Ranking1[[#This Row],[Pop Raw]]/$O$2)*100</f>
        <v>2.4672450189291952E-2</v>
      </c>
      <c r="Q680" s="178">
        <f>FME_Ranking1[[#This Row],[Pop Score (Normalized, Unweighted)]]*$O$3</f>
        <v>3.7008675283937927E-3</v>
      </c>
      <c r="R680" s="137">
        <f>_xlfn.XLOOKUP(FME_Ranking1[[#This Row],[FME ID]],FME_Input[FME_ID],FME_Input[CRITFAC100])</f>
        <v>7</v>
      </c>
      <c r="S680" s="230">
        <f>(FME_Ranking1[[#This Row],[Critical Facilities Raw]]/$R$2)*100</f>
        <v>0.30017152658662088</v>
      </c>
      <c r="T680" s="180">
        <f>FME_Ranking1[[#This Row],[Critical Facilities Score (Normalized, Unweighted)]]*$R$3</f>
        <v>6.0034305317324177E-2</v>
      </c>
      <c r="U680">
        <f>_xlfn.XLOOKUP(FME_Ranking1[[#This Row],[FME ID]],FME_Input[FME_ID],FME_Input[LWC])</f>
        <v>1</v>
      </c>
      <c r="V680" s="178">
        <f>(FME_Ranking1[[#This Row],[LWC Raw]]/$U$2)*100</f>
        <v>5.7570523891767422E-2</v>
      </c>
      <c r="W680" s="178">
        <f>FME_Ranking1[[#This Row],[LWC Score (Normalized, Unweighted)]]*$U$3</f>
        <v>1.1514104778353485E-2</v>
      </c>
      <c r="X680" s="246">
        <f>_xlfn.XLOOKUP(FME_Ranking1[[#This Row],[FME ID]],FME_Input[FME_ID],FME_Input[ROADCLS])</f>
        <v>0</v>
      </c>
      <c r="Y680" s="230">
        <f>(FME_Ranking1[[#This Row],[Closures Raw]]/$X$2)*100</f>
        <v>0</v>
      </c>
      <c r="Z680" s="180">
        <f>FME_Ranking1[[#This Row],[Closures Score (Normalized, Unweighted)]]*$X$3</f>
        <v>0</v>
      </c>
      <c r="AA680" s="253">
        <f>_xlfn.XLOOKUP(FME_Ranking1[[#This Row],[FME ID]],FME_Input[FME_ID],FME_Input[ROAD_MILES100])</f>
        <v>58.397178649902337</v>
      </c>
      <c r="AB680" s="178">
        <f>(FME_Ranking1[[#This Row],[Miles Raw]]/$AA$2)*100</f>
        <v>0.76781815898916472</v>
      </c>
      <c r="AC680" s="178">
        <f>FME_Ranking1[[#This Row],[Miles Score (Normalized, Unweighted)]]*$AA$3</f>
        <v>7.6781815898916472E-2</v>
      </c>
      <c r="AD680" s="255">
        <f>_xlfn.XLOOKUP(FME_Ranking1[[#This Row],[FME ID]],FME_Input[FME_ID],FME_Input[FARMACRE100])</f>
        <v>43020.87890625</v>
      </c>
      <c r="AE680" s="230">
        <f>(FME_Ranking1[[#This Row],[Ag Land Raw]]/$AD$2)*100</f>
        <v>1.7739884629706031</v>
      </c>
      <c r="AF680" s="231">
        <f>FME_Ranking1[[#This Row],[Ag Land Score (Normalized, Unweighted)]]*$AD$3</f>
        <v>8.869942314853016E-2</v>
      </c>
      <c r="AG68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0.28891665938456984</v>
      </c>
      <c r="AH680" s="406">
        <f t="shared" si="10"/>
        <v>640</v>
      </c>
      <c r="AI68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0.28891665938456984</v>
      </c>
      <c r="AJ680" s="257">
        <f>FME_Ranking1[[#This Row],[Addition check]]-FME_Ranking1[[#This Row],[Weighted Score Based on Normalized Reported Factors]]</f>
        <v>0</v>
      </c>
      <c r="AK680" s="178">
        <f>_xlfn.RANK.EQ(AI680,$AI$6:$AI$2341,0)+COUNTIF($AI$6:AI680,AI680)-1</f>
        <v>640</v>
      </c>
    </row>
    <row r="681" spans="1:37" x14ac:dyDescent="0.25">
      <c r="A681" t="s">
        <v>1600</v>
      </c>
      <c r="B681">
        <f>_xlfn.XLOOKUP(FME_Ranking1[[#This Row],[FME ID]],FME_Input[FME_ID],FME_Input[RFPG_NUM])</f>
        <v>6</v>
      </c>
      <c r="C681" t="str">
        <f>_xlfn.XLOOKUP(FME_Ranking1[[#This Row],[FME ID]],FME_Input[FME_ID],FME_Input[FME_NAME])</f>
        <v>City of Humble  Master Drainage Plan</v>
      </c>
      <c r="D681" t="str">
        <f>_xlfn.XLOOKUP(FME_Ranking1[[#This Row],[FME ID]],FME_Input[FME_ID],FME_Input[DESCR])</f>
        <v>Study to develop Master Drainage Plan using future and existing land use and flood/storm water drainage needs including Atlas 14 rainfall.</v>
      </c>
      <c r="E681" s="256">
        <f>_xlfn.XLOOKUP(FME_Ranking1[[#This Row],[FME ID]],FME_Input[FME_ID],FME_Input[FME_COST])</f>
        <v>320000</v>
      </c>
      <c r="F681" t="str">
        <f>_xlfn.XLOOKUP(FME_Ranking1[[#This Row],[FME ID]],FME_Input[FME_ID],FME_Input[EMER_NEED])</f>
        <v>Yes</v>
      </c>
      <c r="G681">
        <f>IF(FME_Ranking!F681="Yes",100,0)</f>
        <v>100</v>
      </c>
      <c r="H681">
        <f>FME_Ranking1[[#This Row],[Emergency Need Score (Normalized, Unweighted)]]*$F$3</f>
        <v>0</v>
      </c>
      <c r="I681" s="246">
        <f>_xlfn.XLOOKUP(FME_Ranking1[[#This Row],[FME ID]],FME_Input[FME_ID],FME_Input[STRUCT_100])</f>
        <v>652</v>
      </c>
      <c r="J681" s="178">
        <f>(FME_Ranking1[[#This Row],[Structures 100 Raw]]/I$2)*100</f>
        <v>0.34914107012808976</v>
      </c>
      <c r="K681" s="178">
        <f>FME_Ranking1[[#This Row],[Structures 100  Score (Normalized, Unweighted)]]*$I$3</f>
        <v>5.2371160519213464E-2</v>
      </c>
      <c r="L681" s="246">
        <f>_xlfn.XLOOKUP(FME_Ranking1[[#This Row],[FME ID]],FME_Input[FME_ID],FME_Input[RES_STRUCT100])</f>
        <v>489</v>
      </c>
      <c r="M681" s="230">
        <f>(FME_Ranking1[[#This Row],[Res Structures Raw]]/L$2)*100</f>
        <v>0.34636143417716136</v>
      </c>
      <c r="N681" s="180">
        <f>FME_Ranking1[[#This Row],[Res Structures Score (Normalized, Unweighted)]]*$L$3</f>
        <v>3.4636143417716141E-2</v>
      </c>
      <c r="O681" s="244">
        <f>_xlfn.XLOOKUP(FME_Ranking1[[#This Row],[FME ID]],FME_Input[FME_ID],FME_Input[POP100])</f>
        <v>4566</v>
      </c>
      <c r="P681" s="178">
        <f>(FME_Ranking1[[#This Row],[Pop Raw]]/$O$2)*100</f>
        <v>0.46744567454069319</v>
      </c>
      <c r="Q681" s="178">
        <f>FME_Ranking1[[#This Row],[Pop Score (Normalized, Unweighted)]]*$O$3</f>
        <v>7.0116851181103973E-2</v>
      </c>
      <c r="R681" s="137">
        <f>_xlfn.XLOOKUP(FME_Ranking1[[#This Row],[FME ID]],FME_Input[FME_ID],FME_Input[CRITFAC100])</f>
        <v>5</v>
      </c>
      <c r="S681" s="230">
        <f>(FME_Ranking1[[#This Row],[Critical Facilities Raw]]/$R$2)*100</f>
        <v>0.21440823327615782</v>
      </c>
      <c r="T681" s="180">
        <f>FME_Ranking1[[#This Row],[Critical Facilities Score (Normalized, Unweighted)]]*$R$3</f>
        <v>4.2881646655231566E-2</v>
      </c>
      <c r="U681">
        <f>_xlfn.XLOOKUP(FME_Ranking1[[#This Row],[FME ID]],FME_Input[FME_ID],FME_Input[LWC])</f>
        <v>1</v>
      </c>
      <c r="V681" s="178">
        <f>(FME_Ranking1[[#This Row],[LWC Raw]]/$U$2)*100</f>
        <v>5.7570523891767422E-2</v>
      </c>
      <c r="W681" s="178">
        <f>FME_Ranking1[[#This Row],[LWC Score (Normalized, Unweighted)]]*$U$3</f>
        <v>1.1514104778353485E-2</v>
      </c>
      <c r="X681" s="246">
        <f>_xlfn.XLOOKUP(FME_Ranking1[[#This Row],[FME ID]],FME_Input[FME_ID],FME_Input[ROADCLS])</f>
        <v>1</v>
      </c>
      <c r="Y681" s="230">
        <f>(FME_Ranking1[[#This Row],[Closures Raw]]/$X$2)*100</f>
        <v>1.0514141520344864E-2</v>
      </c>
      <c r="Z681" s="180">
        <f>FME_Ranking1[[#This Row],[Closures Score (Normalized, Unweighted)]]*$X$3</f>
        <v>5.2570707601724321E-4</v>
      </c>
      <c r="AA681" s="253">
        <f>_xlfn.XLOOKUP(FME_Ranking1[[#This Row],[FME ID]],FME_Input[FME_ID],FME_Input[ROAD_MILES100])</f>
        <v>16.950300216674801</v>
      </c>
      <c r="AB681" s="178">
        <f>(FME_Ranking1[[#This Row],[Miles Raw]]/$AA$2)*100</f>
        <v>0.22286604605859076</v>
      </c>
      <c r="AC681" s="178">
        <f>FME_Ranking1[[#This Row],[Miles Score (Normalized, Unweighted)]]*$AA$3</f>
        <v>2.2286604605859076E-2</v>
      </c>
      <c r="AD681" s="255">
        <f>_xlfn.XLOOKUP(FME_Ranking1[[#This Row],[FME ID]],FME_Input[FME_ID],FME_Input[FARMACRE100])</f>
        <v>25.1372184753418</v>
      </c>
      <c r="AE681" s="230">
        <f>(FME_Ranking1[[#This Row],[Ag Land Raw]]/$AD$2)*100</f>
        <v>1.0365463630718486E-3</v>
      </c>
      <c r="AF681" s="231">
        <f>FME_Ranking1[[#This Row],[Ag Land Score (Normalized, Unweighted)]]*$AD$3</f>
        <v>5.182731815359243E-5</v>
      </c>
      <c r="AG68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0.23438404555164852</v>
      </c>
      <c r="AH681" s="406">
        <f t="shared" si="10"/>
        <v>736</v>
      </c>
      <c r="AI68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0.23438404555164852</v>
      </c>
      <c r="AJ681" s="257">
        <f>FME_Ranking1[[#This Row],[Addition check]]-FME_Ranking1[[#This Row],[Weighted Score Based on Normalized Reported Factors]]</f>
        <v>0</v>
      </c>
      <c r="AK681" s="178">
        <f>_xlfn.RANK.EQ(AI681,$AI$6:$AI$2341,0)+COUNTIF($AI$6:AI681,AI681)-1</f>
        <v>736</v>
      </c>
    </row>
    <row r="682" spans="1:37" x14ac:dyDescent="0.25">
      <c r="A682" t="s">
        <v>7474</v>
      </c>
      <c r="B682">
        <f>_xlfn.XLOOKUP(FME_Ranking1[[#This Row],[FME ID]],FME_Input[FME_ID],FME_Input[RFPG_NUM])</f>
        <v>8</v>
      </c>
      <c r="C682" t="str">
        <f>_xlfn.XLOOKUP(FME_Ranking1[[#This Row],[FME ID]],FME_Input[FME_ID],FME_Input[FME_NAME])</f>
        <v>Lake Creek Structural Elevation</v>
      </c>
      <c r="D682" t="str">
        <f>_xlfn.XLOOKUP(FME_Ranking1[[#This Row],[FME ID]],FME_Input[FME_ID],FME_Input[DESCR])</f>
        <v>Elevate or floodproof structures currently in high risk areas. Use H&amp;H modeling to prioritize properties.</v>
      </c>
      <c r="E682" s="256">
        <f>_xlfn.XLOOKUP(FME_Ranking1[[#This Row],[FME ID]],FME_Input[FME_ID],FME_Input[FME_COST])</f>
        <v>510000</v>
      </c>
      <c r="F682" t="str">
        <f>_xlfn.XLOOKUP(FME_Ranking1[[#This Row],[FME ID]],FME_Input[FME_ID],FME_Input[EMER_NEED])</f>
        <v>No</v>
      </c>
      <c r="G682">
        <f>IF(FME_Ranking!F682="Yes",100,0)</f>
        <v>0</v>
      </c>
      <c r="H682">
        <f>FME_Ranking1[[#This Row],[Emergency Need Score (Normalized, Unweighted)]]*$F$3</f>
        <v>0</v>
      </c>
      <c r="I682" s="246">
        <f>_xlfn.XLOOKUP(FME_Ranking1[[#This Row],[FME ID]],FME_Input[FME_ID],FME_Input[STRUCT_100])</f>
        <v>234</v>
      </c>
      <c r="J682" s="178">
        <f>(FME_Ranking1[[#This Row],[Structures 100 Raw]]/I$2)*100</f>
        <v>0.12530523069014265</v>
      </c>
      <c r="K682" s="178">
        <f>FME_Ranking1[[#This Row],[Structures 100  Score (Normalized, Unweighted)]]*$I$3</f>
        <v>1.8795784603521399E-2</v>
      </c>
      <c r="L682" s="246">
        <f>_xlfn.XLOOKUP(FME_Ranking1[[#This Row],[FME ID]],FME_Input[FME_ID],FME_Input[RES_STRUCT100])</f>
        <v>192</v>
      </c>
      <c r="M682" s="230">
        <f>(FME_Ranking1[[#This Row],[Res Structures Raw]]/L$2)*100</f>
        <v>0.13599467354195294</v>
      </c>
      <c r="N682" s="180">
        <f>FME_Ranking1[[#This Row],[Res Structures Score (Normalized, Unweighted)]]*$L$3</f>
        <v>1.3599467354195295E-2</v>
      </c>
      <c r="O682" s="244">
        <f>_xlfn.XLOOKUP(FME_Ranking1[[#This Row],[FME ID]],FME_Input[FME_ID],FME_Input[POP100])</f>
        <v>838</v>
      </c>
      <c r="P682" s="178">
        <f>(FME_Ranking1[[#This Row],[Pop Raw]]/$O$2)*100</f>
        <v>8.5790511446583631E-2</v>
      </c>
      <c r="Q682" s="178">
        <f>FME_Ranking1[[#This Row],[Pop Score (Normalized, Unweighted)]]*$O$3</f>
        <v>1.2868576716987544E-2</v>
      </c>
      <c r="R682" s="137">
        <f>_xlfn.XLOOKUP(FME_Ranking1[[#This Row],[FME ID]],FME_Input[FME_ID],FME_Input[CRITFAC100])</f>
        <v>1</v>
      </c>
      <c r="S682" s="230">
        <f>(FME_Ranking1[[#This Row],[Critical Facilities Raw]]/$R$2)*100</f>
        <v>4.2881646655231559E-2</v>
      </c>
      <c r="T682" s="180">
        <f>FME_Ranking1[[#This Row],[Critical Facilities Score (Normalized, Unweighted)]]*$R$3</f>
        <v>8.5763293310463125E-3</v>
      </c>
      <c r="U682">
        <f>_xlfn.XLOOKUP(FME_Ranking1[[#This Row],[FME ID]],FME_Input[FME_ID],FME_Input[LWC])</f>
        <v>11</v>
      </c>
      <c r="V682" s="178">
        <f>(FME_Ranking1[[#This Row],[LWC Raw]]/$U$2)*100</f>
        <v>0.63327576280944153</v>
      </c>
      <c r="W682" s="178">
        <f>FME_Ranking1[[#This Row],[LWC Score (Normalized, Unweighted)]]*$U$3</f>
        <v>0.12665515256188831</v>
      </c>
      <c r="X682" s="246">
        <f>_xlfn.XLOOKUP(FME_Ranking1[[#This Row],[FME ID]],FME_Input[FME_ID],FME_Input[ROADCLS])</f>
        <v>57</v>
      </c>
      <c r="Y682" s="230">
        <f>(FME_Ranking1[[#This Row],[Closures Raw]]/$X$2)*100</f>
        <v>0.59930606665965724</v>
      </c>
      <c r="Z682" s="180">
        <f>FME_Ranking1[[#This Row],[Closures Score (Normalized, Unweighted)]]*$X$3</f>
        <v>2.9965303332982862E-2</v>
      </c>
      <c r="AA682" s="253">
        <f>_xlfn.XLOOKUP(FME_Ranking1[[#This Row],[FME ID]],FME_Input[FME_ID],FME_Input[ROAD_MILES100])</f>
        <v>5.0250701904296884</v>
      </c>
      <c r="AB682" s="178">
        <f>(FME_Ranking1[[#This Row],[Miles Raw]]/$AA$2)*100</f>
        <v>6.607066011764437E-2</v>
      </c>
      <c r="AC682" s="178">
        <f>FME_Ranking1[[#This Row],[Miles Score (Normalized, Unweighted)]]*$AA$3</f>
        <v>6.6070660117644375E-3</v>
      </c>
      <c r="AD682" s="255">
        <f>_xlfn.XLOOKUP(FME_Ranking1[[#This Row],[FME ID]],FME_Input[FME_ID],FME_Input[FARMACRE100])</f>
        <v>414.20498657226563</v>
      </c>
      <c r="AE682" s="230">
        <f>(FME_Ranking1[[#This Row],[Ag Land Raw]]/$AD$2)*100</f>
        <v>1.7079959456089658E-2</v>
      </c>
      <c r="AF682" s="231">
        <f>FME_Ranking1[[#This Row],[Ag Land Score (Normalized, Unweighted)]]*$AD$3</f>
        <v>8.5399797280448291E-4</v>
      </c>
      <c r="AG68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0.21792167788519062</v>
      </c>
      <c r="AH682" s="406">
        <f t="shared" si="10"/>
        <v>781</v>
      </c>
      <c r="AI68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0.21792167788519062</v>
      </c>
      <c r="AJ682" s="257">
        <f>FME_Ranking1[[#This Row],[Addition check]]-FME_Ranking1[[#This Row],[Weighted Score Based on Normalized Reported Factors]]</f>
        <v>0</v>
      </c>
      <c r="AK682" s="178">
        <f>_xlfn.RANK.EQ(AI682,$AI$6:$AI$2341,0)+COUNTIF($AI$6:AI682,AI682)-1</f>
        <v>781</v>
      </c>
    </row>
    <row r="683" spans="1:37" x14ac:dyDescent="0.25">
      <c r="A683" t="s">
        <v>6677</v>
      </c>
      <c r="B683">
        <f>_xlfn.XLOOKUP(FME_Ranking1[[#This Row],[FME ID]],FME_Input[FME_ID],FME_Input[RFPG_NUM])</f>
        <v>7</v>
      </c>
      <c r="C683" t="str">
        <f>_xlfn.XLOOKUP(FME_Ranking1[[#This Row],[FME ID]],FME_Input[FME_ID],FME_Input[FME_NAME])</f>
        <v>Throckmorton County Update FEMA Mapping</v>
      </c>
      <c r="D683" t="str">
        <f>_xlfn.XLOOKUP(FME_Ranking1[[#This Row],[FME ID]],FME_Input[FME_ID],FME_Input[DESCR])</f>
        <v>Update existing FEMA mapping</v>
      </c>
      <c r="E683" s="256">
        <f>_xlfn.XLOOKUP(FME_Ranking1[[#This Row],[FME ID]],FME_Input[FME_ID],FME_Input[FME_COST])</f>
        <v>1010000</v>
      </c>
      <c r="F683" t="str">
        <f>_xlfn.XLOOKUP(FME_Ranking1[[#This Row],[FME ID]],FME_Input[FME_ID],FME_Input[EMER_NEED])</f>
        <v>No</v>
      </c>
      <c r="G683">
        <f>IF(FME_Ranking!F683="Yes",100,0)</f>
        <v>0</v>
      </c>
      <c r="H683">
        <f>FME_Ranking1[[#This Row],[Emergency Need Score (Normalized, Unweighted)]]*$F$3</f>
        <v>0</v>
      </c>
      <c r="I683" s="246">
        <f>_xlfn.XLOOKUP(FME_Ranking1[[#This Row],[FME ID]],FME_Input[FME_ID],FME_Input[STRUCT_100])</f>
        <v>98</v>
      </c>
      <c r="J683" s="178">
        <f>(FME_Ranking1[[#This Row],[Structures 100 Raw]]/I$2)*100</f>
        <v>5.2478259006982816E-2</v>
      </c>
      <c r="K683" s="178">
        <f>FME_Ranking1[[#This Row],[Structures 100  Score (Normalized, Unweighted)]]*$I$3</f>
        <v>7.8717388510474214E-3</v>
      </c>
      <c r="L683" s="246">
        <f>_xlfn.XLOOKUP(FME_Ranking1[[#This Row],[FME ID]],FME_Input[FME_ID],FME_Input[RES_STRUCT100])</f>
        <v>20</v>
      </c>
      <c r="M683" s="230">
        <f>(FME_Ranking1[[#This Row],[Res Structures Raw]]/L$2)*100</f>
        <v>1.4166111827286764E-2</v>
      </c>
      <c r="N683" s="180">
        <f>FME_Ranking1[[#This Row],[Res Structures Score (Normalized, Unweighted)]]*$L$3</f>
        <v>1.4166111827286765E-3</v>
      </c>
      <c r="O683" s="244">
        <f>_xlfn.XLOOKUP(FME_Ranking1[[#This Row],[FME ID]],FME_Input[FME_ID],FME_Input[POP100])</f>
        <v>67</v>
      </c>
      <c r="P683" s="178">
        <f>(FME_Ranking1[[#This Row],[Pop Raw]]/$O$2)*100</f>
        <v>6.8591459032471399E-3</v>
      </c>
      <c r="Q683" s="178">
        <f>FME_Ranking1[[#This Row],[Pop Score (Normalized, Unweighted)]]*$O$3</f>
        <v>1.028871885487071E-3</v>
      </c>
      <c r="R683" s="137">
        <f>_xlfn.XLOOKUP(FME_Ranking1[[#This Row],[FME ID]],FME_Input[FME_ID],FME_Input[CRITFAC100])</f>
        <v>0</v>
      </c>
      <c r="S683" s="230">
        <f>(FME_Ranking1[[#This Row],[Critical Facilities Raw]]/$R$2)*100</f>
        <v>0</v>
      </c>
      <c r="T683" s="180">
        <f>FME_Ranking1[[#This Row],[Critical Facilities Score (Normalized, Unweighted)]]*$R$3</f>
        <v>0</v>
      </c>
      <c r="U683">
        <f>_xlfn.XLOOKUP(FME_Ranking1[[#This Row],[FME ID]],FME_Input[FME_ID],FME_Input[LWC])</f>
        <v>6</v>
      </c>
      <c r="V683" s="178">
        <f>(FME_Ranking1[[#This Row],[LWC Raw]]/$U$2)*100</f>
        <v>0.34542314335060448</v>
      </c>
      <c r="W683" s="178">
        <f>FME_Ranking1[[#This Row],[LWC Score (Normalized, Unweighted)]]*$U$3</f>
        <v>6.9084628670120898E-2</v>
      </c>
      <c r="X683" s="246">
        <f>_xlfn.XLOOKUP(FME_Ranking1[[#This Row],[FME ID]],FME_Input[FME_ID],FME_Input[ROADCLS])</f>
        <v>0</v>
      </c>
      <c r="Y683" s="230">
        <f>(FME_Ranking1[[#This Row],[Closures Raw]]/$X$2)*100</f>
        <v>0</v>
      </c>
      <c r="Z683" s="180">
        <f>FME_Ranking1[[#This Row],[Closures Score (Normalized, Unweighted)]]*$X$3</f>
        <v>0</v>
      </c>
      <c r="AA683" s="253">
        <f>_xlfn.XLOOKUP(FME_Ranking1[[#This Row],[FME ID]],FME_Input[FME_ID],FME_Input[ROAD_MILES100])</f>
        <v>65.27435302734375</v>
      </c>
      <c r="AB683" s="178">
        <f>(FME_Ranking1[[#This Row],[Miles Raw]]/$AA$2)*100</f>
        <v>0.85824066726120363</v>
      </c>
      <c r="AC683" s="178">
        <f>FME_Ranking1[[#This Row],[Miles Score (Normalized, Unweighted)]]*$AA$3</f>
        <v>8.5824066726120363E-2</v>
      </c>
      <c r="AD683" s="255">
        <f>_xlfn.XLOOKUP(FME_Ranking1[[#This Row],[FME ID]],FME_Input[FME_ID],FME_Input[FARMACRE100])</f>
        <v>63522.12890625</v>
      </c>
      <c r="AE683" s="230">
        <f>(FME_Ranking1[[#This Row],[Ag Land Raw]]/$AD$2)*100</f>
        <v>2.6193682390493396</v>
      </c>
      <c r="AF683" s="231">
        <f>FME_Ranking1[[#This Row],[Ag Land Score (Normalized, Unweighted)]]*$AD$3</f>
        <v>0.13096841195246697</v>
      </c>
      <c r="AG68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0.2961943292679714</v>
      </c>
      <c r="AH683" s="406">
        <f t="shared" si="10"/>
        <v>615</v>
      </c>
      <c r="AI68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0.2961943292679714</v>
      </c>
      <c r="AJ683" s="257">
        <f>FME_Ranking1[[#This Row],[Addition check]]-FME_Ranking1[[#This Row],[Weighted Score Based on Normalized Reported Factors]]</f>
        <v>0</v>
      </c>
      <c r="AK683" s="178">
        <f>_xlfn.RANK.EQ(AI683,$AI$6:$AI$2341,0)+COUNTIF($AI$6:AI683,AI683)-1</f>
        <v>615</v>
      </c>
    </row>
    <row r="684" spans="1:37" x14ac:dyDescent="0.25">
      <c r="A684" t="s">
        <v>6685</v>
      </c>
      <c r="B684">
        <f>_xlfn.XLOOKUP(FME_Ranking1[[#This Row],[FME ID]],FME_Input[FME_ID],FME_Input[RFPG_NUM])</f>
        <v>7</v>
      </c>
      <c r="C684" t="str">
        <f>_xlfn.XLOOKUP(FME_Ranking1[[#This Row],[FME ID]],FME_Input[FME_ID],FME_Input[FME_NAME])</f>
        <v>Throckmorton County DMP</v>
      </c>
      <c r="D684" t="str">
        <f>_xlfn.XLOOKUP(FME_Ranking1[[#This Row],[FME ID]],FME_Input[FME_ID],FME_Input[DESCR])</f>
        <v>Evaluate county to identify future projects, analyze roads/stream crossing for emergency response vehicles to high hazard areas</v>
      </c>
      <c r="E684" s="256">
        <f>_xlfn.XLOOKUP(FME_Ranking1[[#This Row],[FME ID]],FME_Input[FME_ID],FME_Input[FME_COST])</f>
        <v>500000</v>
      </c>
      <c r="F684" t="str">
        <f>_xlfn.XLOOKUP(FME_Ranking1[[#This Row],[FME ID]],FME_Input[FME_ID],FME_Input[EMER_NEED])</f>
        <v>No</v>
      </c>
      <c r="G684">
        <f>IF(FME_Ranking!F684="Yes",100,0)</f>
        <v>0</v>
      </c>
      <c r="H684">
        <f>FME_Ranking1[[#This Row],[Emergency Need Score (Normalized, Unweighted)]]*$F$3</f>
        <v>0</v>
      </c>
      <c r="I684" s="246">
        <f>_xlfn.XLOOKUP(FME_Ranking1[[#This Row],[FME ID]],FME_Input[FME_ID],FME_Input[STRUCT_100])</f>
        <v>98</v>
      </c>
      <c r="J684" s="178">
        <f>(FME_Ranking1[[#This Row],[Structures 100 Raw]]/I$2)*100</f>
        <v>5.2478259006982816E-2</v>
      </c>
      <c r="K684" s="178">
        <f>FME_Ranking1[[#This Row],[Structures 100  Score (Normalized, Unweighted)]]*$I$3</f>
        <v>7.8717388510474214E-3</v>
      </c>
      <c r="L684" s="246">
        <f>_xlfn.XLOOKUP(FME_Ranking1[[#This Row],[FME ID]],FME_Input[FME_ID],FME_Input[RES_STRUCT100])</f>
        <v>20</v>
      </c>
      <c r="M684" s="230">
        <f>(FME_Ranking1[[#This Row],[Res Structures Raw]]/L$2)*100</f>
        <v>1.4166111827286764E-2</v>
      </c>
      <c r="N684" s="180">
        <f>FME_Ranking1[[#This Row],[Res Structures Score (Normalized, Unweighted)]]*$L$3</f>
        <v>1.4166111827286765E-3</v>
      </c>
      <c r="O684" s="244">
        <f>_xlfn.XLOOKUP(FME_Ranking1[[#This Row],[FME ID]],FME_Input[FME_ID],FME_Input[POP100])</f>
        <v>67</v>
      </c>
      <c r="P684" s="178">
        <f>(FME_Ranking1[[#This Row],[Pop Raw]]/$O$2)*100</f>
        <v>6.8591459032471399E-3</v>
      </c>
      <c r="Q684" s="178">
        <f>FME_Ranking1[[#This Row],[Pop Score (Normalized, Unweighted)]]*$O$3</f>
        <v>1.028871885487071E-3</v>
      </c>
      <c r="R684" s="137">
        <f>_xlfn.XLOOKUP(FME_Ranking1[[#This Row],[FME ID]],FME_Input[FME_ID],FME_Input[CRITFAC100])</f>
        <v>0</v>
      </c>
      <c r="S684" s="230">
        <f>(FME_Ranking1[[#This Row],[Critical Facilities Raw]]/$R$2)*100</f>
        <v>0</v>
      </c>
      <c r="T684" s="180">
        <f>FME_Ranking1[[#This Row],[Critical Facilities Score (Normalized, Unweighted)]]*$R$3</f>
        <v>0</v>
      </c>
      <c r="U684">
        <f>_xlfn.XLOOKUP(FME_Ranking1[[#This Row],[FME ID]],FME_Input[FME_ID],FME_Input[LWC])</f>
        <v>6</v>
      </c>
      <c r="V684" s="178">
        <f>(FME_Ranking1[[#This Row],[LWC Raw]]/$U$2)*100</f>
        <v>0.34542314335060448</v>
      </c>
      <c r="W684" s="178">
        <f>FME_Ranking1[[#This Row],[LWC Score (Normalized, Unweighted)]]*$U$3</f>
        <v>6.9084628670120898E-2</v>
      </c>
      <c r="X684" s="246">
        <f>_xlfn.XLOOKUP(FME_Ranking1[[#This Row],[FME ID]],FME_Input[FME_ID],FME_Input[ROADCLS])</f>
        <v>0</v>
      </c>
      <c r="Y684" s="230">
        <f>(FME_Ranking1[[#This Row],[Closures Raw]]/$X$2)*100</f>
        <v>0</v>
      </c>
      <c r="Z684" s="180">
        <f>FME_Ranking1[[#This Row],[Closures Score (Normalized, Unweighted)]]*$X$3</f>
        <v>0</v>
      </c>
      <c r="AA684" s="253">
        <f>_xlfn.XLOOKUP(FME_Ranking1[[#This Row],[FME ID]],FME_Input[FME_ID],FME_Input[ROAD_MILES100])</f>
        <v>65.27435302734375</v>
      </c>
      <c r="AB684" s="178">
        <f>(FME_Ranking1[[#This Row],[Miles Raw]]/$AA$2)*100</f>
        <v>0.85824066726120363</v>
      </c>
      <c r="AC684" s="178">
        <f>FME_Ranking1[[#This Row],[Miles Score (Normalized, Unweighted)]]*$AA$3</f>
        <v>8.5824066726120363E-2</v>
      </c>
      <c r="AD684" s="255">
        <f>_xlfn.XLOOKUP(FME_Ranking1[[#This Row],[FME ID]],FME_Input[FME_ID],FME_Input[FARMACRE100])</f>
        <v>63522.12890625</v>
      </c>
      <c r="AE684" s="230">
        <f>(FME_Ranking1[[#This Row],[Ag Land Raw]]/$AD$2)*100</f>
        <v>2.6193682390493396</v>
      </c>
      <c r="AF684" s="231">
        <f>FME_Ranking1[[#This Row],[Ag Land Score (Normalized, Unweighted)]]*$AD$3</f>
        <v>0.13096841195246697</v>
      </c>
      <c r="AG68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0.2961943292679714</v>
      </c>
      <c r="AH684" s="406">
        <f t="shared" si="10"/>
        <v>615</v>
      </c>
      <c r="AI68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0.2961943292679714</v>
      </c>
      <c r="AJ684" s="257">
        <f>FME_Ranking1[[#This Row],[Addition check]]-FME_Ranking1[[#This Row],[Weighted Score Based on Normalized Reported Factors]]</f>
        <v>0</v>
      </c>
      <c r="AK684" s="178">
        <f>_xlfn.RANK.EQ(AI684,$AI$6:$AI$2341,0)+COUNTIF($AI$6:AI684,AI684)-1</f>
        <v>616</v>
      </c>
    </row>
    <row r="685" spans="1:37" x14ac:dyDescent="0.25">
      <c r="A685" t="s">
        <v>6687</v>
      </c>
      <c r="B685">
        <f>_xlfn.XLOOKUP(FME_Ranking1[[#This Row],[FME ID]],FME_Input[FME_ID],FME_Input[RFPG_NUM])</f>
        <v>7</v>
      </c>
      <c r="C685" t="str">
        <f>_xlfn.XLOOKUP(FME_Ranking1[[#This Row],[FME ID]],FME_Input[FME_ID],FME_Input[FME_NAME])</f>
        <v>Throckmorton County GIS Development</v>
      </c>
      <c r="D685" t="str">
        <f>_xlfn.XLOOKUP(FME_Ranking1[[#This Row],[FME ID]],FME_Input[FME_ID],FME_Input[DESCR])</f>
        <v>Develop a GIS inventory of stormwater infrastructure</v>
      </c>
      <c r="E685" s="256">
        <f>_xlfn.XLOOKUP(FME_Ranking1[[#This Row],[FME ID]],FME_Input[FME_ID],FME_Input[FME_COST])</f>
        <v>100000</v>
      </c>
      <c r="F685" t="str">
        <f>_xlfn.XLOOKUP(FME_Ranking1[[#This Row],[FME ID]],FME_Input[FME_ID],FME_Input[EMER_NEED])</f>
        <v>No</v>
      </c>
      <c r="G685">
        <f>IF(FME_Ranking!F685="Yes",100,0)</f>
        <v>0</v>
      </c>
      <c r="H685">
        <f>FME_Ranking1[[#This Row],[Emergency Need Score (Normalized, Unweighted)]]*$F$3</f>
        <v>0</v>
      </c>
      <c r="I685" s="246">
        <f>_xlfn.XLOOKUP(FME_Ranking1[[#This Row],[FME ID]],FME_Input[FME_ID],FME_Input[STRUCT_100])</f>
        <v>98</v>
      </c>
      <c r="J685" s="178">
        <f>(FME_Ranking1[[#This Row],[Structures 100 Raw]]/I$2)*100</f>
        <v>5.2478259006982816E-2</v>
      </c>
      <c r="K685" s="178">
        <f>FME_Ranking1[[#This Row],[Structures 100  Score (Normalized, Unweighted)]]*$I$3</f>
        <v>7.8717388510474214E-3</v>
      </c>
      <c r="L685" s="246">
        <f>_xlfn.XLOOKUP(FME_Ranking1[[#This Row],[FME ID]],FME_Input[FME_ID],FME_Input[RES_STRUCT100])</f>
        <v>20</v>
      </c>
      <c r="M685" s="230">
        <f>(FME_Ranking1[[#This Row],[Res Structures Raw]]/L$2)*100</f>
        <v>1.4166111827286764E-2</v>
      </c>
      <c r="N685" s="180">
        <f>FME_Ranking1[[#This Row],[Res Structures Score (Normalized, Unweighted)]]*$L$3</f>
        <v>1.4166111827286765E-3</v>
      </c>
      <c r="O685" s="244">
        <f>_xlfn.XLOOKUP(FME_Ranking1[[#This Row],[FME ID]],FME_Input[FME_ID],FME_Input[POP100])</f>
        <v>67</v>
      </c>
      <c r="P685" s="178">
        <f>(FME_Ranking1[[#This Row],[Pop Raw]]/$O$2)*100</f>
        <v>6.8591459032471399E-3</v>
      </c>
      <c r="Q685" s="178">
        <f>FME_Ranking1[[#This Row],[Pop Score (Normalized, Unweighted)]]*$O$3</f>
        <v>1.028871885487071E-3</v>
      </c>
      <c r="R685" s="137">
        <f>_xlfn.XLOOKUP(FME_Ranking1[[#This Row],[FME ID]],FME_Input[FME_ID],FME_Input[CRITFAC100])</f>
        <v>0</v>
      </c>
      <c r="S685" s="230">
        <f>(FME_Ranking1[[#This Row],[Critical Facilities Raw]]/$R$2)*100</f>
        <v>0</v>
      </c>
      <c r="T685" s="180">
        <f>FME_Ranking1[[#This Row],[Critical Facilities Score (Normalized, Unweighted)]]*$R$3</f>
        <v>0</v>
      </c>
      <c r="U685">
        <f>_xlfn.XLOOKUP(FME_Ranking1[[#This Row],[FME ID]],FME_Input[FME_ID],FME_Input[LWC])</f>
        <v>6</v>
      </c>
      <c r="V685" s="178">
        <f>(FME_Ranking1[[#This Row],[LWC Raw]]/$U$2)*100</f>
        <v>0.34542314335060448</v>
      </c>
      <c r="W685" s="178">
        <f>FME_Ranking1[[#This Row],[LWC Score (Normalized, Unweighted)]]*$U$3</f>
        <v>6.9084628670120898E-2</v>
      </c>
      <c r="X685" s="246">
        <f>_xlfn.XLOOKUP(FME_Ranking1[[#This Row],[FME ID]],FME_Input[FME_ID],FME_Input[ROADCLS])</f>
        <v>0</v>
      </c>
      <c r="Y685" s="230">
        <f>(FME_Ranking1[[#This Row],[Closures Raw]]/$X$2)*100</f>
        <v>0</v>
      </c>
      <c r="Z685" s="180">
        <f>FME_Ranking1[[#This Row],[Closures Score (Normalized, Unweighted)]]*$X$3</f>
        <v>0</v>
      </c>
      <c r="AA685" s="253">
        <f>_xlfn.XLOOKUP(FME_Ranking1[[#This Row],[FME ID]],FME_Input[FME_ID],FME_Input[ROAD_MILES100])</f>
        <v>65.27435302734375</v>
      </c>
      <c r="AB685" s="178">
        <f>(FME_Ranking1[[#This Row],[Miles Raw]]/$AA$2)*100</f>
        <v>0.85824066726120363</v>
      </c>
      <c r="AC685" s="178">
        <f>FME_Ranking1[[#This Row],[Miles Score (Normalized, Unweighted)]]*$AA$3</f>
        <v>8.5824066726120363E-2</v>
      </c>
      <c r="AD685" s="255">
        <f>_xlfn.XLOOKUP(FME_Ranking1[[#This Row],[FME ID]],FME_Input[FME_ID],FME_Input[FARMACRE100])</f>
        <v>63522.12890625</v>
      </c>
      <c r="AE685" s="230">
        <f>(FME_Ranking1[[#This Row],[Ag Land Raw]]/$AD$2)*100</f>
        <v>2.6193682390493396</v>
      </c>
      <c r="AF685" s="231">
        <f>FME_Ranking1[[#This Row],[Ag Land Score (Normalized, Unweighted)]]*$AD$3</f>
        <v>0.13096841195246697</v>
      </c>
      <c r="AG68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0.2961943292679714</v>
      </c>
      <c r="AH685" s="406">
        <f t="shared" si="10"/>
        <v>615</v>
      </c>
      <c r="AI68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0.2961943292679714</v>
      </c>
      <c r="AJ685" s="257">
        <f>FME_Ranking1[[#This Row],[Addition check]]-FME_Ranking1[[#This Row],[Weighted Score Based on Normalized Reported Factors]]</f>
        <v>0</v>
      </c>
      <c r="AK685" s="178">
        <f>_xlfn.RANK.EQ(AI685,$AI$6:$AI$2341,0)+COUNTIF($AI$6:AI685,AI685)-1</f>
        <v>617</v>
      </c>
    </row>
    <row r="686" spans="1:37" x14ac:dyDescent="0.25">
      <c r="A686" t="s">
        <v>7207</v>
      </c>
      <c r="B686">
        <f>_xlfn.XLOOKUP(FME_Ranking1[[#This Row],[FME ID]],FME_Input[FME_ID],FME_Input[RFPG_NUM])</f>
        <v>7</v>
      </c>
      <c r="C686" t="str">
        <f>_xlfn.XLOOKUP(FME_Ranking1[[#This Row],[FME ID]],FME_Input[FME_ID],FME_Input[FME_NAME])</f>
        <v>Throckmorton County DCM</v>
      </c>
      <c r="D686" t="str">
        <f>_xlfn.XLOOKUP(FME_Ranking1[[#This Row],[FME ID]],FME_Input[FME_ID],FME_Input[DESCR])</f>
        <v>Consider stormwater criteria for infrastructure and floodplain ordinances to avoid new exposure to flood hazards.</v>
      </c>
      <c r="E686" s="256">
        <f>_xlfn.XLOOKUP(FME_Ranking1[[#This Row],[FME ID]],FME_Input[FME_ID],FME_Input[FME_COST])</f>
        <v>100000</v>
      </c>
      <c r="F686" t="str">
        <f>_xlfn.XLOOKUP(FME_Ranking1[[#This Row],[FME ID]],FME_Input[FME_ID],FME_Input[EMER_NEED])</f>
        <v>No</v>
      </c>
      <c r="G686">
        <f>IF(FME_Ranking!F686="Yes",100,0)</f>
        <v>0</v>
      </c>
      <c r="H686">
        <f>FME_Ranking1[[#This Row],[Emergency Need Score (Normalized, Unweighted)]]*$F$3</f>
        <v>0</v>
      </c>
      <c r="I686" s="246">
        <f>_xlfn.XLOOKUP(FME_Ranking1[[#This Row],[FME ID]],FME_Input[FME_ID],FME_Input[STRUCT_100])</f>
        <v>98</v>
      </c>
      <c r="J686" s="178">
        <f>(FME_Ranking1[[#This Row],[Structures 100 Raw]]/I$2)*100</f>
        <v>5.2478259006982816E-2</v>
      </c>
      <c r="K686" s="178">
        <f>FME_Ranking1[[#This Row],[Structures 100  Score (Normalized, Unweighted)]]*$I$3</f>
        <v>7.8717388510474214E-3</v>
      </c>
      <c r="L686" s="246">
        <f>_xlfn.XLOOKUP(FME_Ranking1[[#This Row],[FME ID]],FME_Input[FME_ID],FME_Input[RES_STRUCT100])</f>
        <v>20</v>
      </c>
      <c r="M686" s="230">
        <f>(FME_Ranking1[[#This Row],[Res Structures Raw]]/L$2)*100</f>
        <v>1.4166111827286764E-2</v>
      </c>
      <c r="N686" s="180">
        <f>FME_Ranking1[[#This Row],[Res Structures Score (Normalized, Unweighted)]]*$L$3</f>
        <v>1.4166111827286765E-3</v>
      </c>
      <c r="O686" s="244">
        <f>_xlfn.XLOOKUP(FME_Ranking1[[#This Row],[FME ID]],FME_Input[FME_ID],FME_Input[POP100])</f>
        <v>67</v>
      </c>
      <c r="P686" s="178">
        <f>(FME_Ranking1[[#This Row],[Pop Raw]]/$O$2)*100</f>
        <v>6.8591459032471399E-3</v>
      </c>
      <c r="Q686" s="178">
        <f>FME_Ranking1[[#This Row],[Pop Score (Normalized, Unweighted)]]*$O$3</f>
        <v>1.028871885487071E-3</v>
      </c>
      <c r="R686" s="137">
        <f>_xlfn.XLOOKUP(FME_Ranking1[[#This Row],[FME ID]],FME_Input[FME_ID],FME_Input[CRITFAC100])</f>
        <v>0</v>
      </c>
      <c r="S686" s="230">
        <f>(FME_Ranking1[[#This Row],[Critical Facilities Raw]]/$R$2)*100</f>
        <v>0</v>
      </c>
      <c r="T686" s="180">
        <f>FME_Ranking1[[#This Row],[Critical Facilities Score (Normalized, Unweighted)]]*$R$3</f>
        <v>0</v>
      </c>
      <c r="U686">
        <f>_xlfn.XLOOKUP(FME_Ranking1[[#This Row],[FME ID]],FME_Input[FME_ID],FME_Input[LWC])</f>
        <v>6</v>
      </c>
      <c r="V686" s="178">
        <f>(FME_Ranking1[[#This Row],[LWC Raw]]/$U$2)*100</f>
        <v>0.34542314335060448</v>
      </c>
      <c r="W686" s="178">
        <f>FME_Ranking1[[#This Row],[LWC Score (Normalized, Unweighted)]]*$U$3</f>
        <v>6.9084628670120898E-2</v>
      </c>
      <c r="X686" s="246">
        <f>_xlfn.XLOOKUP(FME_Ranking1[[#This Row],[FME ID]],FME_Input[FME_ID],FME_Input[ROADCLS])</f>
        <v>0</v>
      </c>
      <c r="Y686" s="230">
        <f>(FME_Ranking1[[#This Row],[Closures Raw]]/$X$2)*100</f>
        <v>0</v>
      </c>
      <c r="Z686" s="180">
        <f>FME_Ranking1[[#This Row],[Closures Score (Normalized, Unweighted)]]*$X$3</f>
        <v>0</v>
      </c>
      <c r="AA686" s="253">
        <f>_xlfn.XLOOKUP(FME_Ranking1[[#This Row],[FME ID]],FME_Input[FME_ID],FME_Input[ROAD_MILES100])</f>
        <v>65.27435302734375</v>
      </c>
      <c r="AB686" s="178">
        <f>(FME_Ranking1[[#This Row],[Miles Raw]]/$AA$2)*100</f>
        <v>0.85824066726120363</v>
      </c>
      <c r="AC686" s="178">
        <f>FME_Ranking1[[#This Row],[Miles Score (Normalized, Unweighted)]]*$AA$3</f>
        <v>8.5824066726120363E-2</v>
      </c>
      <c r="AD686" s="255">
        <f>_xlfn.XLOOKUP(FME_Ranking1[[#This Row],[FME ID]],FME_Input[FME_ID],FME_Input[FARMACRE100])</f>
        <v>63522.12890625</v>
      </c>
      <c r="AE686" s="230">
        <f>(FME_Ranking1[[#This Row],[Ag Land Raw]]/$AD$2)*100</f>
        <v>2.6193682390493396</v>
      </c>
      <c r="AF686" s="231">
        <f>FME_Ranking1[[#This Row],[Ag Land Score (Normalized, Unweighted)]]*$AD$3</f>
        <v>0.13096841195246697</v>
      </c>
      <c r="AG68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0.2961943292679714</v>
      </c>
      <c r="AH686" s="406">
        <f t="shared" si="10"/>
        <v>615</v>
      </c>
      <c r="AI68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0.2961943292679714</v>
      </c>
      <c r="AJ686" s="257">
        <f>FME_Ranking1[[#This Row],[Addition check]]-FME_Ranking1[[#This Row],[Weighted Score Based on Normalized Reported Factors]]</f>
        <v>0</v>
      </c>
      <c r="AK686" s="178">
        <f>_xlfn.RANK.EQ(AI686,$AI$6:$AI$2341,0)+COUNTIF($AI$6:AI686,AI686)-1</f>
        <v>618</v>
      </c>
    </row>
    <row r="687" spans="1:37" x14ac:dyDescent="0.25">
      <c r="A687" t="s">
        <v>5697</v>
      </c>
      <c r="B687">
        <f>_xlfn.XLOOKUP(FME_Ranking1[[#This Row],[FME ID]],FME_Input[FME_ID],FME_Input[RFPG_NUM])</f>
        <v>4</v>
      </c>
      <c r="C687" t="str">
        <f>_xlfn.XLOOKUP(FME_Ranking1[[#This Row],[FME ID]],FME_Input[FME_ID],FME_Input[FME_NAME])</f>
        <v>West Orange Drainage Improvements Study</v>
      </c>
      <c r="D687" t="str">
        <f>_xlfn.XLOOKUP(FME_Ranking1[[#This Row],[FME ID]],FME_Input[FME_ID],FME_Input[DESCR])</f>
        <v xml:space="preserve">West Orange Drainage Improvements Study to quantify benefits, evaluate impacts, and begin design. </v>
      </c>
      <c r="E687" s="256">
        <f>_xlfn.XLOOKUP(FME_Ranking1[[#This Row],[FME ID]],FME_Input[FME_ID],FME_Input[FME_COST])</f>
        <v>350000</v>
      </c>
      <c r="F687" t="str">
        <f>_xlfn.XLOOKUP(FME_Ranking1[[#This Row],[FME ID]],FME_Input[FME_ID],FME_Input[EMER_NEED])</f>
        <v>Yes</v>
      </c>
      <c r="G687">
        <f>IF(FME_Ranking!F687="Yes",100,0)</f>
        <v>100</v>
      </c>
      <c r="H687">
        <f>FME_Ranking1[[#This Row],[Emergency Need Score (Normalized, Unweighted)]]*$F$3</f>
        <v>0</v>
      </c>
      <c r="I687" s="246">
        <f>_xlfn.XLOOKUP(FME_Ranking1[[#This Row],[FME ID]],FME_Input[FME_ID],FME_Input[STRUCT_100])</f>
        <v>1143</v>
      </c>
      <c r="J687" s="178">
        <f>(FME_Ranking1[[#This Row],[Structures 100 Raw]]/I$2)*100</f>
        <v>0.61206785760185067</v>
      </c>
      <c r="K687" s="178">
        <f>FME_Ranking1[[#This Row],[Structures 100  Score (Normalized, Unweighted)]]*$I$3</f>
        <v>9.1810178640277601E-2</v>
      </c>
      <c r="L687" s="246">
        <f>_xlfn.XLOOKUP(FME_Ranking1[[#This Row],[FME ID]],FME_Input[FME_ID],FME_Input[RES_STRUCT100])</f>
        <v>1007</v>
      </c>
      <c r="M687" s="230">
        <f>(FME_Ranking1[[#This Row],[Res Structures Raw]]/L$2)*100</f>
        <v>0.71326373050388858</v>
      </c>
      <c r="N687" s="180">
        <f>FME_Ranking1[[#This Row],[Res Structures Score (Normalized, Unweighted)]]*$L$3</f>
        <v>7.1326373050388858E-2</v>
      </c>
      <c r="O687" s="244">
        <f>_xlfn.XLOOKUP(FME_Ranking1[[#This Row],[FME ID]],FME_Input[FME_ID],FME_Input[POP100])</f>
        <v>2990</v>
      </c>
      <c r="P687" s="178">
        <f>(FME_Ranking1[[#This Row],[Pop Raw]]/$O$2)*100</f>
        <v>0.30610218284640223</v>
      </c>
      <c r="Q687" s="178">
        <f>FME_Ranking1[[#This Row],[Pop Score (Normalized, Unweighted)]]*$O$3</f>
        <v>4.5915327426960334E-2</v>
      </c>
      <c r="R687" s="137">
        <f>_xlfn.XLOOKUP(FME_Ranking1[[#This Row],[FME ID]],FME_Input[FME_ID],FME_Input[CRITFAC100])</f>
        <v>0</v>
      </c>
      <c r="S687" s="230">
        <f>(FME_Ranking1[[#This Row],[Critical Facilities Raw]]/$R$2)*100</f>
        <v>0</v>
      </c>
      <c r="T687" s="180">
        <f>FME_Ranking1[[#This Row],[Critical Facilities Score (Normalized, Unweighted)]]*$R$3</f>
        <v>0</v>
      </c>
      <c r="U687">
        <f>_xlfn.XLOOKUP(FME_Ranking1[[#This Row],[FME ID]],FME_Input[FME_ID],FME_Input[LWC])</f>
        <v>0</v>
      </c>
      <c r="V687" s="178">
        <f>(FME_Ranking1[[#This Row],[LWC Raw]]/$U$2)*100</f>
        <v>0</v>
      </c>
      <c r="W687" s="178">
        <f>FME_Ranking1[[#This Row],[LWC Score (Normalized, Unweighted)]]*$U$3</f>
        <v>0</v>
      </c>
      <c r="X687" s="246">
        <f>_xlfn.XLOOKUP(FME_Ranking1[[#This Row],[FME ID]],FME_Input[FME_ID],FME_Input[ROADCLS])</f>
        <v>0</v>
      </c>
      <c r="Y687" s="230">
        <f>(FME_Ranking1[[#This Row],[Closures Raw]]/$X$2)*100</f>
        <v>0</v>
      </c>
      <c r="Z687" s="180">
        <f>FME_Ranking1[[#This Row],[Closures Score (Normalized, Unweighted)]]*$X$3</f>
        <v>0</v>
      </c>
      <c r="AA687" s="253">
        <f>_xlfn.XLOOKUP(FME_Ranking1[[#This Row],[FME ID]],FME_Input[FME_ID],FME_Input[ROAD_MILES100])</f>
        <v>20.229312896728519</v>
      </c>
      <c r="AB687" s="178">
        <f>(FME_Ranking1[[#This Row],[Miles Raw]]/$AA$2)*100</f>
        <v>0.26597918161595702</v>
      </c>
      <c r="AC687" s="178">
        <f>FME_Ranking1[[#This Row],[Miles Score (Normalized, Unweighted)]]*$AA$3</f>
        <v>2.6597918161595704E-2</v>
      </c>
      <c r="AD687" s="255">
        <f>_xlfn.XLOOKUP(FME_Ranking1[[#This Row],[FME ID]],FME_Input[FME_ID],FME_Input[FARMACRE100])</f>
        <v>30.463947296142582</v>
      </c>
      <c r="AE687" s="230">
        <f>(FME_Ranking1[[#This Row],[Ag Land Raw]]/$AD$2)*100</f>
        <v>1.2561968145204537E-3</v>
      </c>
      <c r="AF687" s="231">
        <f>FME_Ranking1[[#This Row],[Ag Land Score (Normalized, Unweighted)]]*$AD$3</f>
        <v>6.2809840726022682E-5</v>
      </c>
      <c r="AG68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0.23571260711994851</v>
      </c>
      <c r="AH687" s="406">
        <f t="shared" si="10"/>
        <v>732</v>
      </c>
      <c r="AI68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0.23571260711994851</v>
      </c>
      <c r="AJ687" s="257">
        <f>FME_Ranking1[[#This Row],[Addition check]]-FME_Ranking1[[#This Row],[Weighted Score Based on Normalized Reported Factors]]</f>
        <v>0</v>
      </c>
      <c r="AK687" s="178">
        <f>_xlfn.RANK.EQ(AI687,$AI$6:$AI$2341,0)+COUNTIF($AI$6:AI687,AI687)-1</f>
        <v>732</v>
      </c>
    </row>
    <row r="688" spans="1:37" x14ac:dyDescent="0.25">
      <c r="A688" t="s">
        <v>5880</v>
      </c>
      <c r="B688">
        <f>_xlfn.XLOOKUP(FME_Ranking1[[#This Row],[FME ID]],FME_Input[FME_ID],FME_Input[RFPG_NUM])</f>
        <v>5</v>
      </c>
      <c r="C688" t="str">
        <f>_xlfn.XLOOKUP(FME_Ranking1[[#This Row],[FME ID]],FME_Input[FME_ID],FME_Input[FME_NAME])</f>
        <v>Jasper County Update Flood Hazard Mapping</v>
      </c>
      <c r="D688" t="str">
        <f>_xlfn.XLOOKUP(FME_Ranking1[[#This Row],[FME ID]],FME_Input[FME_ID],FME_Input[DESCR])</f>
        <v>Complete a detailed study within the county extent to delineate an updated flood hazard area, which can be used for regulatory purposes.</v>
      </c>
      <c r="E688" s="256">
        <f>_xlfn.XLOOKUP(FME_Ranking1[[#This Row],[FME ID]],FME_Input[FME_ID],FME_Input[FME_COST])</f>
        <v>1210721</v>
      </c>
      <c r="F688" t="str">
        <f>_xlfn.XLOOKUP(FME_Ranking1[[#This Row],[FME ID]],FME_Input[FME_ID],FME_Input[EMER_NEED])</f>
        <v>Yes</v>
      </c>
      <c r="G688">
        <f>IF(FME_Ranking!F688="Yes",100,0)</f>
        <v>100</v>
      </c>
      <c r="H688">
        <f>FME_Ranking1[[#This Row],[Emergency Need Score (Normalized, Unweighted)]]*$F$3</f>
        <v>0</v>
      </c>
      <c r="I688" s="246">
        <f>_xlfn.XLOOKUP(FME_Ranking1[[#This Row],[FME ID]],FME_Input[FME_ID],FME_Input[STRUCT_100])</f>
        <v>756</v>
      </c>
      <c r="J688" s="178">
        <f>(FME_Ranking1[[#This Row],[Structures 100 Raw]]/I$2)*100</f>
        <v>0.40483228376815317</v>
      </c>
      <c r="K688" s="178">
        <f>FME_Ranking1[[#This Row],[Structures 100  Score (Normalized, Unweighted)]]*$I$3</f>
        <v>6.0724842565222974E-2</v>
      </c>
      <c r="L688" s="246">
        <f>_xlfn.XLOOKUP(FME_Ranking1[[#This Row],[FME ID]],FME_Input[FME_ID],FME_Input[RES_STRUCT100])</f>
        <v>367</v>
      </c>
      <c r="M688" s="230">
        <f>(FME_Ranking1[[#This Row],[Res Structures Raw]]/L$2)*100</f>
        <v>0.25994815203071214</v>
      </c>
      <c r="N688" s="180">
        <f>FME_Ranking1[[#This Row],[Res Structures Score (Normalized, Unweighted)]]*$L$3</f>
        <v>2.5994815203071217E-2</v>
      </c>
      <c r="O688" s="244">
        <f>_xlfn.XLOOKUP(FME_Ranking1[[#This Row],[FME ID]],FME_Input[FME_ID],FME_Input[POP100])</f>
        <v>1655</v>
      </c>
      <c r="P688" s="178">
        <f>(FME_Ranking1[[#This Row],[Pop Raw]]/$O$2)*100</f>
        <v>0.16943114134140325</v>
      </c>
      <c r="Q688" s="178">
        <f>FME_Ranking1[[#This Row],[Pop Score (Normalized, Unweighted)]]*$O$3</f>
        <v>2.5414671201210486E-2</v>
      </c>
      <c r="R688" s="137">
        <f>_xlfn.XLOOKUP(FME_Ranking1[[#This Row],[FME ID]],FME_Input[FME_ID],FME_Input[CRITFAC100])</f>
        <v>7</v>
      </c>
      <c r="S688" s="230">
        <f>(FME_Ranking1[[#This Row],[Critical Facilities Raw]]/$R$2)*100</f>
        <v>0.30017152658662088</v>
      </c>
      <c r="T688" s="180">
        <f>FME_Ranking1[[#This Row],[Critical Facilities Score (Normalized, Unweighted)]]*$R$3</f>
        <v>6.0034305317324177E-2</v>
      </c>
      <c r="U688">
        <f>_xlfn.XLOOKUP(FME_Ranking1[[#This Row],[FME ID]],FME_Input[FME_ID],FME_Input[LWC])</f>
        <v>3</v>
      </c>
      <c r="V688" s="178">
        <f>(FME_Ranking1[[#This Row],[LWC Raw]]/$U$2)*100</f>
        <v>0.17271157167530224</v>
      </c>
      <c r="W688" s="178">
        <f>FME_Ranking1[[#This Row],[LWC Score (Normalized, Unweighted)]]*$U$3</f>
        <v>3.4542314335060449E-2</v>
      </c>
      <c r="X688" s="246">
        <f>_xlfn.XLOOKUP(FME_Ranking1[[#This Row],[FME ID]],FME_Input[FME_ID],FME_Input[ROADCLS])</f>
        <v>3</v>
      </c>
      <c r="Y688" s="230">
        <f>(FME_Ranking1[[#This Row],[Closures Raw]]/$X$2)*100</f>
        <v>3.1542424561034593E-2</v>
      </c>
      <c r="Z688" s="180">
        <f>FME_Ranking1[[#This Row],[Closures Score (Normalized, Unweighted)]]*$X$3</f>
        <v>1.5771212280517297E-3</v>
      </c>
      <c r="AA688" s="253">
        <f>_xlfn.XLOOKUP(FME_Ranking1[[#This Row],[FME ID]],FME_Input[FME_ID],FME_Input[ROAD_MILES100])</f>
        <v>45.697433471679688</v>
      </c>
      <c r="AB688" s="178">
        <f>(FME_Ranking1[[#This Row],[Miles Raw]]/$AA$2)*100</f>
        <v>0.60083928795785435</v>
      </c>
      <c r="AC688" s="178">
        <f>FME_Ranking1[[#This Row],[Miles Score (Normalized, Unweighted)]]*$AA$3</f>
        <v>6.0083928795785439E-2</v>
      </c>
      <c r="AD688" s="255">
        <f>_xlfn.XLOOKUP(FME_Ranking1[[#This Row],[FME ID]],FME_Input[FME_ID],FME_Input[FARMACRE100])</f>
        <v>103.863899230957</v>
      </c>
      <c r="AE688" s="230">
        <f>(FME_Ranking1[[#This Row],[Ag Land Raw]]/$AD$2)*100</f>
        <v>4.2828822571565591E-3</v>
      </c>
      <c r="AF688" s="231">
        <f>FME_Ranking1[[#This Row],[Ag Land Score (Normalized, Unweighted)]]*$AD$3</f>
        <v>2.1414411285782797E-4</v>
      </c>
      <c r="AG68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0.26858614275858428</v>
      </c>
      <c r="AH688" s="406">
        <f t="shared" si="10"/>
        <v>651</v>
      </c>
      <c r="AI68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0.26858614275858428</v>
      </c>
      <c r="AJ688" s="257">
        <f>FME_Ranking1[[#This Row],[Addition check]]-FME_Ranking1[[#This Row],[Weighted Score Based on Normalized Reported Factors]]</f>
        <v>0</v>
      </c>
      <c r="AK688" s="178">
        <f>_xlfn.RANK.EQ(AI688,$AI$6:$AI$2341,0)+COUNTIF($AI$6:AI688,AI688)-1</f>
        <v>651</v>
      </c>
    </row>
    <row r="689" spans="1:37" x14ac:dyDescent="0.25">
      <c r="A689" t="s">
        <v>6154</v>
      </c>
      <c r="B689">
        <f>_xlfn.XLOOKUP(FME_Ranking1[[#This Row],[FME ID]],FME_Input[FME_ID],FME_Input[RFPG_NUM])</f>
        <v>5</v>
      </c>
      <c r="C689" t="str">
        <f>_xlfn.XLOOKUP(FME_Ranking1[[#This Row],[FME ID]],FME_Input[FME_ID],FME_Input[FME_NAME])</f>
        <v>Jasper County Master Drainage Plan</v>
      </c>
      <c r="D689"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689" s="256">
        <f>_xlfn.XLOOKUP(FME_Ranking1[[#This Row],[FME ID]],FME_Input[FME_ID],FME_Input[FME_COST])</f>
        <v>1200000</v>
      </c>
      <c r="F689" t="str">
        <f>_xlfn.XLOOKUP(FME_Ranking1[[#This Row],[FME ID]],FME_Input[FME_ID],FME_Input[EMER_NEED])</f>
        <v>Yes</v>
      </c>
      <c r="G689">
        <f>IF(FME_Ranking!F689="Yes",100,0)</f>
        <v>100</v>
      </c>
      <c r="H689">
        <f>FME_Ranking1[[#This Row],[Emergency Need Score (Normalized, Unweighted)]]*$F$3</f>
        <v>0</v>
      </c>
      <c r="I689" s="246">
        <f>_xlfn.XLOOKUP(FME_Ranking1[[#This Row],[FME ID]],FME_Input[FME_ID],FME_Input[STRUCT_100])</f>
        <v>756</v>
      </c>
      <c r="J689" s="178">
        <f>(FME_Ranking1[[#This Row],[Structures 100 Raw]]/I$2)*100</f>
        <v>0.40483228376815317</v>
      </c>
      <c r="K689" s="178">
        <f>FME_Ranking1[[#This Row],[Structures 100  Score (Normalized, Unweighted)]]*$I$3</f>
        <v>6.0724842565222974E-2</v>
      </c>
      <c r="L689" s="246">
        <f>_xlfn.XLOOKUP(FME_Ranking1[[#This Row],[FME ID]],FME_Input[FME_ID],FME_Input[RES_STRUCT100])</f>
        <v>367</v>
      </c>
      <c r="M689" s="230">
        <f>(FME_Ranking1[[#This Row],[Res Structures Raw]]/L$2)*100</f>
        <v>0.25994815203071214</v>
      </c>
      <c r="N689" s="180">
        <f>FME_Ranking1[[#This Row],[Res Structures Score (Normalized, Unweighted)]]*$L$3</f>
        <v>2.5994815203071217E-2</v>
      </c>
      <c r="O689" s="244">
        <f>_xlfn.XLOOKUP(FME_Ranking1[[#This Row],[FME ID]],FME_Input[FME_ID],FME_Input[POP100])</f>
        <v>1655</v>
      </c>
      <c r="P689" s="178">
        <f>(FME_Ranking1[[#This Row],[Pop Raw]]/$O$2)*100</f>
        <v>0.16943114134140325</v>
      </c>
      <c r="Q689" s="178">
        <f>FME_Ranking1[[#This Row],[Pop Score (Normalized, Unweighted)]]*$O$3</f>
        <v>2.5414671201210486E-2</v>
      </c>
      <c r="R689" s="137">
        <f>_xlfn.XLOOKUP(FME_Ranking1[[#This Row],[FME ID]],FME_Input[FME_ID],FME_Input[CRITFAC100])</f>
        <v>7</v>
      </c>
      <c r="S689" s="230">
        <f>(FME_Ranking1[[#This Row],[Critical Facilities Raw]]/$R$2)*100</f>
        <v>0.30017152658662088</v>
      </c>
      <c r="T689" s="180">
        <f>FME_Ranking1[[#This Row],[Critical Facilities Score (Normalized, Unweighted)]]*$R$3</f>
        <v>6.0034305317324177E-2</v>
      </c>
      <c r="U689">
        <f>_xlfn.XLOOKUP(FME_Ranking1[[#This Row],[FME ID]],FME_Input[FME_ID],FME_Input[LWC])</f>
        <v>3</v>
      </c>
      <c r="V689" s="178">
        <f>(FME_Ranking1[[#This Row],[LWC Raw]]/$U$2)*100</f>
        <v>0.17271157167530224</v>
      </c>
      <c r="W689" s="178">
        <f>FME_Ranking1[[#This Row],[LWC Score (Normalized, Unweighted)]]*$U$3</f>
        <v>3.4542314335060449E-2</v>
      </c>
      <c r="X689" s="246">
        <f>_xlfn.XLOOKUP(FME_Ranking1[[#This Row],[FME ID]],FME_Input[FME_ID],FME_Input[ROADCLS])</f>
        <v>3</v>
      </c>
      <c r="Y689" s="230">
        <f>(FME_Ranking1[[#This Row],[Closures Raw]]/$X$2)*100</f>
        <v>3.1542424561034593E-2</v>
      </c>
      <c r="Z689" s="180">
        <f>FME_Ranking1[[#This Row],[Closures Score (Normalized, Unweighted)]]*$X$3</f>
        <v>1.5771212280517297E-3</v>
      </c>
      <c r="AA689" s="253">
        <f>_xlfn.XLOOKUP(FME_Ranking1[[#This Row],[FME ID]],FME_Input[FME_ID],FME_Input[ROAD_MILES100])</f>
        <v>45.697433471679688</v>
      </c>
      <c r="AB689" s="178">
        <f>(FME_Ranking1[[#This Row],[Miles Raw]]/$AA$2)*100</f>
        <v>0.60083928795785435</v>
      </c>
      <c r="AC689" s="178">
        <f>FME_Ranking1[[#This Row],[Miles Score (Normalized, Unweighted)]]*$AA$3</f>
        <v>6.0083928795785439E-2</v>
      </c>
      <c r="AD689" s="255">
        <f>_xlfn.XLOOKUP(FME_Ranking1[[#This Row],[FME ID]],FME_Input[FME_ID],FME_Input[FARMACRE100])</f>
        <v>103.863899230957</v>
      </c>
      <c r="AE689" s="230">
        <f>(FME_Ranking1[[#This Row],[Ag Land Raw]]/$AD$2)*100</f>
        <v>4.2828822571565591E-3</v>
      </c>
      <c r="AF689" s="231">
        <f>FME_Ranking1[[#This Row],[Ag Land Score (Normalized, Unweighted)]]*$AD$3</f>
        <v>2.1414411285782797E-4</v>
      </c>
      <c r="AG68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0.26858614275858428</v>
      </c>
      <c r="AH689" s="406">
        <f t="shared" si="10"/>
        <v>651</v>
      </c>
      <c r="AI68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0.26858614275858428</v>
      </c>
      <c r="AJ689" s="257">
        <f>FME_Ranking1[[#This Row],[Addition check]]-FME_Ranking1[[#This Row],[Weighted Score Based on Normalized Reported Factors]]</f>
        <v>0</v>
      </c>
      <c r="AK689" s="178">
        <f>_xlfn.RANK.EQ(AI689,$AI$6:$AI$2341,0)+COUNTIF($AI$6:AI689,AI689)-1</f>
        <v>652</v>
      </c>
    </row>
    <row r="690" spans="1:37" x14ac:dyDescent="0.25">
      <c r="A690" t="s">
        <v>7639</v>
      </c>
      <c r="B690">
        <f>_xlfn.XLOOKUP(FME_Ranking1[[#This Row],[FME ID]],FME_Input[FME_ID],FME_Input[RFPG_NUM])</f>
        <v>8</v>
      </c>
      <c r="C690" t="str">
        <f>_xlfn.XLOOKUP(FME_Ranking1[[#This Row],[FME ID]],FME_Input[FME_ID],FME_Input[FME_NAME])</f>
        <v>Improve Undersized Storm Sewers in Cottonwood Branch/Still Creek DB</v>
      </c>
      <c r="D690" t="str">
        <f>_xlfn.XLOOKUP(FME_Ranking1[[#This Row],[FME ID]],FME_Input[FME_ID],FME_Input[DESCR])</f>
        <v>Update modeling to Atlas 14 to determine appropriate sizing for storm sewer in the region.</v>
      </c>
      <c r="E690" s="256">
        <f>_xlfn.XLOOKUP(FME_Ranking1[[#This Row],[FME ID]],FME_Input[FME_ID],FME_Input[FME_COST])</f>
        <v>100000</v>
      </c>
      <c r="F690" t="str">
        <f>_xlfn.XLOOKUP(FME_Ranking1[[#This Row],[FME ID]],FME_Input[FME_ID],FME_Input[EMER_NEED])</f>
        <v>No</v>
      </c>
      <c r="G690">
        <f>IF(FME_Ranking!F690="Yes",100,0)</f>
        <v>0</v>
      </c>
      <c r="H690">
        <f>FME_Ranking1[[#This Row],[Emergency Need Score (Normalized, Unweighted)]]*$F$3</f>
        <v>0</v>
      </c>
      <c r="I690" s="246">
        <f>_xlfn.XLOOKUP(FME_Ranking1[[#This Row],[FME ID]],FME_Input[FME_ID],FME_Input[STRUCT_100])</f>
        <v>254</v>
      </c>
      <c r="J690" s="178">
        <f>(FME_Ranking1[[#This Row],[Structures 100 Raw]]/I$2)*100</f>
        <v>0.13601507946707794</v>
      </c>
      <c r="K690" s="178">
        <f>FME_Ranking1[[#This Row],[Structures 100  Score (Normalized, Unweighted)]]*$I$3</f>
        <v>2.0402261920061691E-2</v>
      </c>
      <c r="L690" s="246">
        <f>_xlfn.XLOOKUP(FME_Ranking1[[#This Row],[FME ID]],FME_Input[FME_ID],FME_Input[RES_STRUCT100])</f>
        <v>166</v>
      </c>
      <c r="M690" s="230">
        <f>(FME_Ranking1[[#This Row],[Res Structures Raw]]/L$2)*100</f>
        <v>0.11757872816648014</v>
      </c>
      <c r="N690" s="180">
        <f>FME_Ranking1[[#This Row],[Res Structures Score (Normalized, Unweighted)]]*$L$3</f>
        <v>1.1757872816648016E-2</v>
      </c>
      <c r="O690" s="244">
        <f>_xlfn.XLOOKUP(FME_Ranking1[[#This Row],[FME ID]],FME_Input[FME_ID],FME_Input[POP100])</f>
        <v>692</v>
      </c>
      <c r="P690" s="178">
        <f>(FME_Ranking1[[#This Row],[Pop Raw]]/$O$2)*100</f>
        <v>7.0843715896224194E-2</v>
      </c>
      <c r="Q690" s="178">
        <f>FME_Ranking1[[#This Row],[Pop Score (Normalized, Unweighted)]]*$O$3</f>
        <v>1.0626557384433629E-2</v>
      </c>
      <c r="R690" s="137">
        <f>_xlfn.XLOOKUP(FME_Ranking1[[#This Row],[FME ID]],FME_Input[FME_ID],FME_Input[CRITFAC100])</f>
        <v>0</v>
      </c>
      <c r="S690" s="230">
        <f>(FME_Ranking1[[#This Row],[Critical Facilities Raw]]/$R$2)*100</f>
        <v>0</v>
      </c>
      <c r="T690" s="180">
        <f>FME_Ranking1[[#This Row],[Critical Facilities Score (Normalized, Unweighted)]]*$R$3</f>
        <v>0</v>
      </c>
      <c r="U690">
        <f>_xlfn.XLOOKUP(FME_Ranking1[[#This Row],[FME ID]],FME_Input[FME_ID],FME_Input[LWC])</f>
        <v>12</v>
      </c>
      <c r="V690" s="178">
        <f>(FME_Ranking1[[#This Row],[LWC Raw]]/$U$2)*100</f>
        <v>0.69084628670120896</v>
      </c>
      <c r="W690" s="178">
        <f>FME_Ranking1[[#This Row],[LWC Score (Normalized, Unweighted)]]*$U$3</f>
        <v>0.1381692573402418</v>
      </c>
      <c r="X690" s="246">
        <f>_xlfn.XLOOKUP(FME_Ranking1[[#This Row],[FME ID]],FME_Input[FME_ID],FME_Input[ROADCLS])</f>
        <v>51</v>
      </c>
      <c r="Y690" s="230">
        <f>(FME_Ranking1[[#This Row],[Closures Raw]]/$X$2)*100</f>
        <v>0.536221217537588</v>
      </c>
      <c r="Z690" s="180">
        <f>FME_Ranking1[[#This Row],[Closures Score (Normalized, Unweighted)]]*$X$3</f>
        <v>2.68110608768794E-2</v>
      </c>
      <c r="AA690" s="253">
        <f>_xlfn.XLOOKUP(FME_Ranking1[[#This Row],[FME ID]],FME_Input[FME_ID],FME_Input[ROAD_MILES100])</f>
        <v>5.4814300537109384</v>
      </c>
      <c r="AB690" s="178">
        <f>(FME_Ranking1[[#This Row],[Miles Raw]]/$AA$2)*100</f>
        <v>7.2070973799951726E-2</v>
      </c>
      <c r="AC690" s="178">
        <f>FME_Ranking1[[#This Row],[Miles Score (Normalized, Unweighted)]]*$AA$3</f>
        <v>7.2070973799951733E-3</v>
      </c>
      <c r="AD690" s="255">
        <f>_xlfn.XLOOKUP(FME_Ranking1[[#This Row],[FME ID]],FME_Input[FME_ID],FME_Input[FARMACRE100])</f>
        <v>292.25698852539063</v>
      </c>
      <c r="AE690" s="230">
        <f>(FME_Ranking1[[#This Row],[Ag Land Raw]]/$AD$2)*100</f>
        <v>1.2051369917299709E-2</v>
      </c>
      <c r="AF690" s="231">
        <f>FME_Ranking1[[#This Row],[Ag Land Score (Normalized, Unweighted)]]*$AD$3</f>
        <v>6.0256849586498551E-4</v>
      </c>
      <c r="AG69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0.21557667621412469</v>
      </c>
      <c r="AH690" s="406">
        <f t="shared" si="10"/>
        <v>783</v>
      </c>
      <c r="AI69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0.21557667621412469</v>
      </c>
      <c r="AJ690" s="257">
        <f>FME_Ranking1[[#This Row],[Addition check]]-FME_Ranking1[[#This Row],[Weighted Score Based on Normalized Reported Factors]]</f>
        <v>0</v>
      </c>
      <c r="AK690" s="178">
        <f>_xlfn.RANK.EQ(AI690,$AI$6:$AI$2341,0)+COUNTIF($AI$6:AI690,AI690)-1</f>
        <v>783</v>
      </c>
    </row>
    <row r="691" spans="1:37" x14ac:dyDescent="0.25">
      <c r="A691" t="s">
        <v>3550</v>
      </c>
      <c r="B691">
        <f>_xlfn.XLOOKUP(FME_Ranking1[[#This Row],[FME ID]],FME_Input[FME_ID],FME_Input[RFPG_NUM])</f>
        <v>2</v>
      </c>
      <c r="C691" t="str">
        <f>_xlfn.XLOOKUP(FME_Ranking1[[#This Row],[FME ID]],FME_Input[FME_ID],FME_Input[FME_NAME])</f>
        <v>Upshur County FIS</v>
      </c>
      <c r="D691" t="str">
        <f>_xlfn.XLOOKUP(FME_Ranking1[[#This Row],[FME ID]],FME_Input[FME_ID],FME_Input[DESCR])</f>
        <v>Update County maps to Zone AE</v>
      </c>
      <c r="E691" s="256">
        <f>_xlfn.XLOOKUP(FME_Ranking1[[#This Row],[FME ID]],FME_Input[FME_ID],FME_Input[FME_COST])</f>
        <v>1834000</v>
      </c>
      <c r="F691" t="str">
        <f>_xlfn.XLOOKUP(FME_Ranking1[[#This Row],[FME ID]],FME_Input[FME_ID],FME_Input[EMER_NEED])</f>
        <v>No</v>
      </c>
      <c r="G691">
        <f>IF(FME_Ranking!F691="Yes",100,0)</f>
        <v>0</v>
      </c>
      <c r="H691">
        <f>FME_Ranking1[[#This Row],[Emergency Need Score (Normalized, Unweighted)]]*$F$3</f>
        <v>0</v>
      </c>
      <c r="I691" s="246">
        <f>_xlfn.XLOOKUP(FME_Ranking1[[#This Row],[FME ID]],FME_Input[FME_ID],FME_Input[STRUCT_100])</f>
        <v>425</v>
      </c>
      <c r="J691" s="178">
        <f>(FME_Ranking1[[#This Row],[Structures 100 Raw]]/I$2)*100</f>
        <v>0.2275842865098745</v>
      </c>
      <c r="K691" s="178">
        <f>FME_Ranking1[[#This Row],[Structures 100  Score (Normalized, Unweighted)]]*$I$3</f>
        <v>3.4137642976481176E-2</v>
      </c>
      <c r="L691" s="246">
        <f>_xlfn.XLOOKUP(FME_Ranking1[[#This Row],[FME ID]],FME_Input[FME_ID],FME_Input[RES_STRUCT100])</f>
        <v>250</v>
      </c>
      <c r="M691" s="230">
        <f>(FME_Ranking1[[#This Row],[Res Structures Raw]]/L$2)*100</f>
        <v>0.17707639784108456</v>
      </c>
      <c r="N691" s="180">
        <f>FME_Ranking1[[#This Row],[Res Structures Score (Normalized, Unweighted)]]*$L$3</f>
        <v>1.7707639784108456E-2</v>
      </c>
      <c r="O691" s="244">
        <f>_xlfn.XLOOKUP(FME_Ranking1[[#This Row],[FME ID]],FME_Input[FME_ID],FME_Input[POP100])</f>
        <v>2262</v>
      </c>
      <c r="P691" s="178">
        <f>(FME_Ranking1[[#This Row],[Pop Raw]]/$O$2)*100</f>
        <v>0.23157295571858255</v>
      </c>
      <c r="Q691" s="178">
        <f>FME_Ranking1[[#This Row],[Pop Score (Normalized, Unweighted)]]*$O$3</f>
        <v>3.4735943357787381E-2</v>
      </c>
      <c r="R691" s="137">
        <f>_xlfn.XLOOKUP(FME_Ranking1[[#This Row],[FME ID]],FME_Input[FME_ID],FME_Input[CRITFAC100])</f>
        <v>10</v>
      </c>
      <c r="S691" s="230">
        <f>(FME_Ranking1[[#This Row],[Critical Facilities Raw]]/$R$2)*100</f>
        <v>0.42881646655231564</v>
      </c>
      <c r="T691" s="180">
        <f>FME_Ranking1[[#This Row],[Critical Facilities Score (Normalized, Unweighted)]]*$R$3</f>
        <v>8.5763293310463132E-2</v>
      </c>
      <c r="U691">
        <f>_xlfn.XLOOKUP(FME_Ranking1[[#This Row],[FME ID]],FME_Input[FME_ID],FME_Input[LWC])</f>
        <v>3</v>
      </c>
      <c r="V691" s="178">
        <f>(FME_Ranking1[[#This Row],[LWC Raw]]/$U$2)*100</f>
        <v>0.17271157167530224</v>
      </c>
      <c r="W691" s="178">
        <f>FME_Ranking1[[#This Row],[LWC Score (Normalized, Unweighted)]]*$U$3</f>
        <v>3.4542314335060449E-2</v>
      </c>
      <c r="X691" s="246">
        <f>_xlfn.XLOOKUP(FME_Ranking1[[#This Row],[FME ID]],FME_Input[FME_ID],FME_Input[ROADCLS])</f>
        <v>0</v>
      </c>
      <c r="Y691" s="230">
        <f>(FME_Ranking1[[#This Row],[Closures Raw]]/$X$2)*100</f>
        <v>0</v>
      </c>
      <c r="Z691" s="180">
        <f>FME_Ranking1[[#This Row],[Closures Score (Normalized, Unweighted)]]*$X$3</f>
        <v>0</v>
      </c>
      <c r="AA691" s="253">
        <f>_xlfn.XLOOKUP(FME_Ranking1[[#This Row],[FME ID]],FME_Input[FME_ID],FME_Input[ROAD_MILES100])</f>
        <v>90.7698974609375</v>
      </c>
      <c r="AB691" s="178">
        <f>(FME_Ranking1[[#This Row],[Miles Raw]]/$AA$2)*100</f>
        <v>1.1934613481572514</v>
      </c>
      <c r="AC691" s="178">
        <f>FME_Ranking1[[#This Row],[Miles Score (Normalized, Unweighted)]]*$AA$3</f>
        <v>0.11934613481572515</v>
      </c>
      <c r="AD691" s="255">
        <f>_xlfn.XLOOKUP(FME_Ranking1[[#This Row],[FME ID]],FME_Input[FME_ID],FME_Input[FARMACRE100])</f>
        <v>611.69171142578125</v>
      </c>
      <c r="AE691" s="230">
        <f>(FME_Ranking1[[#This Row],[Ag Land Raw]]/$AD$2)*100</f>
        <v>2.5223427938996217E-2</v>
      </c>
      <c r="AF691" s="231">
        <f>FME_Ranking1[[#This Row],[Ag Land Score (Normalized, Unweighted)]]*$AD$3</f>
        <v>1.2611713969498109E-3</v>
      </c>
      <c r="AG69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0.32749413997657556</v>
      </c>
      <c r="AH691" s="406">
        <f t="shared" si="10"/>
        <v>589</v>
      </c>
      <c r="AI69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0.32749413997657556</v>
      </c>
      <c r="AJ691" s="257">
        <f>FME_Ranking1[[#This Row],[Addition check]]-FME_Ranking1[[#This Row],[Weighted Score Based on Normalized Reported Factors]]</f>
        <v>0</v>
      </c>
      <c r="AK691" s="178">
        <f>_xlfn.RANK.EQ(AI691,$AI$6:$AI$2341,0)+COUNTIF($AI$6:AI691,AI691)-1</f>
        <v>589</v>
      </c>
    </row>
    <row r="692" spans="1:37" x14ac:dyDescent="0.25">
      <c r="A692" t="s">
        <v>3617</v>
      </c>
      <c r="B692">
        <f>_xlfn.XLOOKUP(FME_Ranking1[[#This Row],[FME ID]],FME_Input[FME_ID],FME_Input[RFPG_NUM])</f>
        <v>2</v>
      </c>
      <c r="C692" t="str">
        <f>_xlfn.XLOOKUP(FME_Ranking1[[#This Row],[FME ID]],FME_Input[FME_ID],FME_Input[FME_NAME])</f>
        <v>Upshur County Drainage</v>
      </c>
      <c r="D692" t="str">
        <f>_xlfn.XLOOKUP(FME_Ranking1[[#This Row],[FME ID]],FME_Input[FME_ID],FME_Input[DESCR])</f>
        <v>Raise elevations and improve drainage for certain roads and streets within Region 2</v>
      </c>
      <c r="E692" s="256">
        <f>_xlfn.XLOOKUP(FME_Ranking1[[#This Row],[FME ID]],FME_Input[FME_ID],FME_Input[FME_COST])</f>
        <v>1000000</v>
      </c>
      <c r="F692" t="str">
        <f>_xlfn.XLOOKUP(FME_Ranking1[[#This Row],[FME ID]],FME_Input[FME_ID],FME_Input[EMER_NEED])</f>
        <v>No</v>
      </c>
      <c r="G692">
        <f>IF(FME_Ranking!F692="Yes",100,0)</f>
        <v>0</v>
      </c>
      <c r="H692">
        <f>FME_Ranking1[[#This Row],[Emergency Need Score (Normalized, Unweighted)]]*$F$3</f>
        <v>0</v>
      </c>
      <c r="I692" s="246">
        <f>_xlfn.XLOOKUP(FME_Ranking1[[#This Row],[FME ID]],FME_Input[FME_ID],FME_Input[STRUCT_100])</f>
        <v>425</v>
      </c>
      <c r="J692" s="178">
        <f>(FME_Ranking1[[#This Row],[Structures 100 Raw]]/I$2)*100</f>
        <v>0.2275842865098745</v>
      </c>
      <c r="K692" s="178">
        <f>FME_Ranking1[[#This Row],[Structures 100  Score (Normalized, Unweighted)]]*$I$3</f>
        <v>3.4137642976481176E-2</v>
      </c>
      <c r="L692" s="246">
        <f>_xlfn.XLOOKUP(FME_Ranking1[[#This Row],[FME ID]],FME_Input[FME_ID],FME_Input[RES_STRUCT100])</f>
        <v>250</v>
      </c>
      <c r="M692" s="230">
        <f>(FME_Ranking1[[#This Row],[Res Structures Raw]]/L$2)*100</f>
        <v>0.17707639784108456</v>
      </c>
      <c r="N692" s="180">
        <f>FME_Ranking1[[#This Row],[Res Structures Score (Normalized, Unweighted)]]*$L$3</f>
        <v>1.7707639784108456E-2</v>
      </c>
      <c r="O692" s="244">
        <f>_xlfn.XLOOKUP(FME_Ranking1[[#This Row],[FME ID]],FME_Input[FME_ID],FME_Input[POP100])</f>
        <v>2262</v>
      </c>
      <c r="P692" s="178">
        <f>(FME_Ranking1[[#This Row],[Pop Raw]]/$O$2)*100</f>
        <v>0.23157295571858255</v>
      </c>
      <c r="Q692" s="178">
        <f>FME_Ranking1[[#This Row],[Pop Score (Normalized, Unweighted)]]*$O$3</f>
        <v>3.4735943357787381E-2</v>
      </c>
      <c r="R692" s="137">
        <f>_xlfn.XLOOKUP(FME_Ranking1[[#This Row],[FME ID]],FME_Input[FME_ID],FME_Input[CRITFAC100])</f>
        <v>10</v>
      </c>
      <c r="S692" s="230">
        <f>(FME_Ranking1[[#This Row],[Critical Facilities Raw]]/$R$2)*100</f>
        <v>0.42881646655231564</v>
      </c>
      <c r="T692" s="180">
        <f>FME_Ranking1[[#This Row],[Critical Facilities Score (Normalized, Unweighted)]]*$R$3</f>
        <v>8.5763293310463132E-2</v>
      </c>
      <c r="U692">
        <f>_xlfn.XLOOKUP(FME_Ranking1[[#This Row],[FME ID]],FME_Input[FME_ID],FME_Input[LWC])</f>
        <v>3</v>
      </c>
      <c r="V692" s="178">
        <f>(FME_Ranking1[[#This Row],[LWC Raw]]/$U$2)*100</f>
        <v>0.17271157167530224</v>
      </c>
      <c r="W692" s="178">
        <f>FME_Ranking1[[#This Row],[LWC Score (Normalized, Unweighted)]]*$U$3</f>
        <v>3.4542314335060449E-2</v>
      </c>
      <c r="X692" s="246">
        <f>_xlfn.XLOOKUP(FME_Ranking1[[#This Row],[FME ID]],FME_Input[FME_ID],FME_Input[ROADCLS])</f>
        <v>0</v>
      </c>
      <c r="Y692" s="230">
        <f>(FME_Ranking1[[#This Row],[Closures Raw]]/$X$2)*100</f>
        <v>0</v>
      </c>
      <c r="Z692" s="180">
        <f>FME_Ranking1[[#This Row],[Closures Score (Normalized, Unweighted)]]*$X$3</f>
        <v>0</v>
      </c>
      <c r="AA692" s="253">
        <f>_xlfn.XLOOKUP(FME_Ranking1[[#This Row],[FME ID]],FME_Input[FME_ID],FME_Input[ROAD_MILES100])</f>
        <v>90.7698974609375</v>
      </c>
      <c r="AB692" s="178">
        <f>(FME_Ranking1[[#This Row],[Miles Raw]]/$AA$2)*100</f>
        <v>1.1934613481572514</v>
      </c>
      <c r="AC692" s="178">
        <f>FME_Ranking1[[#This Row],[Miles Score (Normalized, Unweighted)]]*$AA$3</f>
        <v>0.11934613481572515</v>
      </c>
      <c r="AD692" s="255">
        <f>_xlfn.XLOOKUP(FME_Ranking1[[#This Row],[FME ID]],FME_Input[FME_ID],FME_Input[FARMACRE100])</f>
        <v>611.69171142578125</v>
      </c>
      <c r="AE692" s="230">
        <f>(FME_Ranking1[[#This Row],[Ag Land Raw]]/$AD$2)*100</f>
        <v>2.5223427938996217E-2</v>
      </c>
      <c r="AF692" s="231">
        <f>FME_Ranking1[[#This Row],[Ag Land Score (Normalized, Unweighted)]]*$AD$3</f>
        <v>1.2611713969498109E-3</v>
      </c>
      <c r="AG69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0.32749413997657556</v>
      </c>
      <c r="AH692" s="406">
        <f t="shared" si="10"/>
        <v>589</v>
      </c>
      <c r="AI69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0.32749413997657556</v>
      </c>
      <c r="AJ692" s="257">
        <f>FME_Ranking1[[#This Row],[Addition check]]-FME_Ranking1[[#This Row],[Weighted Score Based on Normalized Reported Factors]]</f>
        <v>0</v>
      </c>
      <c r="AK692" s="178">
        <f>_xlfn.RANK.EQ(AI692,$AI$6:$AI$2341,0)+COUNTIF($AI$6:AI692,AI692)-1</f>
        <v>590</v>
      </c>
    </row>
    <row r="693" spans="1:37" x14ac:dyDescent="0.25">
      <c r="A693" t="s">
        <v>2415</v>
      </c>
      <c r="B693">
        <f>_xlfn.XLOOKUP(FME_Ranking1[[#This Row],[FME ID]],FME_Input[FME_ID],FME_Input[RFPG_NUM])</f>
        <v>1</v>
      </c>
      <c r="C693" t="str">
        <f>_xlfn.XLOOKUP(FME_Ranking1[[#This Row],[FME ID]],FME_Input[FME_ID],FME_Input[FME_NAME])</f>
        <v>Cottle County FIS</v>
      </c>
      <c r="D693" t="str">
        <f>_xlfn.XLOOKUP(FME_Ranking1[[#This Row],[FME ID]],FME_Input[FME_ID],FME_Input[DESCR])</f>
        <v>Perform flood insurance study for the county and develop regulatory mapping</v>
      </c>
      <c r="E693" s="256">
        <f>_xlfn.XLOOKUP(FME_Ranking1[[#This Row],[FME ID]],FME_Input[FME_ID],FME_Input[FME_COST])</f>
        <v>926000</v>
      </c>
      <c r="F693" t="str">
        <f>_xlfn.XLOOKUP(FME_Ranking1[[#This Row],[FME ID]],FME_Input[FME_ID],FME_Input[EMER_NEED])</f>
        <v>No</v>
      </c>
      <c r="G693">
        <f>IF(FME_Ranking!F693="Yes",100,0)</f>
        <v>0</v>
      </c>
      <c r="H693">
        <f>FME_Ranking1[[#This Row],[Emergency Need Score (Normalized, Unweighted)]]*$F$3</f>
        <v>0</v>
      </c>
      <c r="I693" s="246">
        <f>_xlfn.XLOOKUP(FME_Ranking1[[#This Row],[FME ID]],FME_Input[FME_ID],FME_Input[STRUCT_100])</f>
        <v>7</v>
      </c>
      <c r="J693" s="178">
        <f>(FME_Ranking1[[#This Row],[Structures 100 Raw]]/I$2)*100</f>
        <v>3.7484470719273445E-3</v>
      </c>
      <c r="K693" s="178">
        <f>FME_Ranking1[[#This Row],[Structures 100  Score (Normalized, Unweighted)]]*$I$3</f>
        <v>5.622670607891017E-4</v>
      </c>
      <c r="L693" s="246">
        <f>_xlfn.XLOOKUP(FME_Ranking1[[#This Row],[FME ID]],FME_Input[FME_ID],FME_Input[RES_STRUCT100])</f>
        <v>1</v>
      </c>
      <c r="M693" s="230">
        <f>(FME_Ranking1[[#This Row],[Res Structures Raw]]/L$2)*100</f>
        <v>7.0830559136433825E-4</v>
      </c>
      <c r="N693" s="180">
        <f>FME_Ranking1[[#This Row],[Res Structures Score (Normalized, Unweighted)]]*$L$3</f>
        <v>7.0830559136433833E-5</v>
      </c>
      <c r="O693" s="244">
        <f>_xlfn.XLOOKUP(FME_Ranking1[[#This Row],[FME ID]],FME_Input[FME_ID],FME_Input[POP100])</f>
        <v>3</v>
      </c>
      <c r="P693" s="178">
        <f>(FME_Ranking1[[#This Row],[Pop Raw]]/$O$2)*100</f>
        <v>3.0712593596628988E-4</v>
      </c>
      <c r="Q693" s="178">
        <f>FME_Ranking1[[#This Row],[Pop Score (Normalized, Unweighted)]]*$O$3</f>
        <v>4.6068890394943479E-5</v>
      </c>
      <c r="R693" s="137">
        <f>_xlfn.XLOOKUP(FME_Ranking1[[#This Row],[FME ID]],FME_Input[FME_ID],FME_Input[CRITFAC100])</f>
        <v>0</v>
      </c>
      <c r="S693" s="230">
        <f>(FME_Ranking1[[#This Row],[Critical Facilities Raw]]/$R$2)*100</f>
        <v>0</v>
      </c>
      <c r="T693" s="180">
        <f>FME_Ranking1[[#This Row],[Critical Facilities Score (Normalized, Unweighted)]]*$R$3</f>
        <v>0</v>
      </c>
      <c r="U693">
        <f>_xlfn.XLOOKUP(FME_Ranking1[[#This Row],[FME ID]],FME_Input[FME_ID],FME_Input[LWC])</f>
        <v>5</v>
      </c>
      <c r="V693" s="178">
        <f>(FME_Ranking1[[#This Row],[LWC Raw]]/$U$2)*100</f>
        <v>0.28785261945883706</v>
      </c>
      <c r="W693" s="178">
        <f>FME_Ranking1[[#This Row],[LWC Score (Normalized, Unweighted)]]*$U$3</f>
        <v>5.7570523891767415E-2</v>
      </c>
      <c r="X693" s="246">
        <f>_xlfn.XLOOKUP(FME_Ranking1[[#This Row],[FME ID]],FME_Input[FME_ID],FME_Input[ROADCLS])</f>
        <v>5</v>
      </c>
      <c r="Y693" s="230">
        <f>(FME_Ranking1[[#This Row],[Closures Raw]]/$X$2)*100</f>
        <v>5.2570707601724324E-2</v>
      </c>
      <c r="Z693" s="180">
        <f>FME_Ranking1[[#This Row],[Closures Score (Normalized, Unweighted)]]*$X$3</f>
        <v>2.6285353800862164E-3</v>
      </c>
      <c r="AA693" s="253">
        <f>_xlfn.XLOOKUP(FME_Ranking1[[#This Row],[FME ID]],FME_Input[FME_ID],FME_Input[ROAD_MILES100])</f>
        <v>33.463203430175781</v>
      </c>
      <c r="AB693" s="178">
        <f>(FME_Ranking1[[#This Row],[Miles Raw]]/$AA$2)*100</f>
        <v>0.43998110603380053</v>
      </c>
      <c r="AC693" s="178">
        <f>FME_Ranking1[[#This Row],[Miles Score (Normalized, Unweighted)]]*$AA$3</f>
        <v>4.3998110603380054E-2</v>
      </c>
      <c r="AD693" s="255">
        <f>_xlfn.XLOOKUP(FME_Ranking1[[#This Row],[FME ID]],FME_Input[FME_ID],FME_Input[FARMACRE100])</f>
        <v>71380.671875</v>
      </c>
      <c r="AE693" s="230">
        <f>(FME_Ranking1[[#This Row],[Ag Land Raw]]/$AD$2)*100</f>
        <v>2.9434193722839965</v>
      </c>
      <c r="AF693" s="231">
        <f>FME_Ranking1[[#This Row],[Ag Land Score (Normalized, Unweighted)]]*$AD$3</f>
        <v>0.14717096861419984</v>
      </c>
      <c r="AG69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0.25204730499975403</v>
      </c>
      <c r="AH693" s="406">
        <f t="shared" si="10"/>
        <v>694</v>
      </c>
      <c r="AI69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0.25204730499975403</v>
      </c>
      <c r="AJ693" s="257">
        <f>FME_Ranking1[[#This Row],[Addition check]]-FME_Ranking1[[#This Row],[Weighted Score Based on Normalized Reported Factors]]</f>
        <v>0</v>
      </c>
      <c r="AK693" s="178">
        <f>_xlfn.RANK.EQ(AI693,$AI$6:$AI$2341,0)+COUNTIF($AI$6:AI693,AI693)-1</f>
        <v>694</v>
      </c>
    </row>
    <row r="694" spans="1:37" x14ac:dyDescent="0.25">
      <c r="A694" t="s">
        <v>5535</v>
      </c>
      <c r="B694">
        <f>_xlfn.XLOOKUP(FME_Ranking1[[#This Row],[FME ID]],FME_Input[FME_ID],FME_Input[RFPG_NUM])</f>
        <v>4</v>
      </c>
      <c r="C694" t="str">
        <f>_xlfn.XLOOKUP(FME_Ranking1[[#This Row],[FME ID]],FME_Input[FME_ID],FME_Input[FME_NAME])</f>
        <v>Vidor Drainage Master Plan</v>
      </c>
      <c r="D694" t="str">
        <f>_xlfn.XLOOKUP(FME_Ranking1[[#This Row],[FME ID]],FME_Input[FME_ID],FME_Input[DESCR])</f>
        <v>Perform study of existing culverts and drainage capabilities in town. Identify upgrades to drainage infrastructure capacity where needed.</v>
      </c>
      <c r="E694" s="256">
        <f>_xlfn.XLOOKUP(FME_Ranking1[[#This Row],[FME ID]],FME_Input[FME_ID],FME_Input[FME_COST])</f>
        <v>1200000</v>
      </c>
      <c r="F694" t="str">
        <f>_xlfn.XLOOKUP(FME_Ranking1[[#This Row],[FME ID]],FME_Input[FME_ID],FME_Input[EMER_NEED])</f>
        <v>Yes</v>
      </c>
      <c r="G694">
        <f>IF(FME_Ranking!F694="Yes",100,0)</f>
        <v>100</v>
      </c>
      <c r="H694">
        <f>FME_Ranking1[[#This Row],[Emergency Need Score (Normalized, Unweighted)]]*$F$3</f>
        <v>0</v>
      </c>
      <c r="I694" s="246">
        <f>_xlfn.XLOOKUP(FME_Ranking1[[#This Row],[FME ID]],FME_Input[FME_ID],FME_Input[STRUCT_100])</f>
        <v>1154</v>
      </c>
      <c r="J694" s="178">
        <f>(FME_Ranking1[[#This Row],[Structures 100 Raw]]/I$2)*100</f>
        <v>0.61795827442916507</v>
      </c>
      <c r="K694" s="178">
        <f>FME_Ranking1[[#This Row],[Structures 100  Score (Normalized, Unweighted)]]*$I$3</f>
        <v>9.269374116437476E-2</v>
      </c>
      <c r="L694" s="246">
        <f>_xlfn.XLOOKUP(FME_Ranking1[[#This Row],[FME ID]],FME_Input[FME_ID],FME_Input[RES_STRUCT100])</f>
        <v>1031</v>
      </c>
      <c r="M694" s="230">
        <f>(FME_Ranking1[[#This Row],[Res Structures Raw]]/L$2)*100</f>
        <v>0.73026306469663271</v>
      </c>
      <c r="N694" s="180">
        <f>FME_Ranking1[[#This Row],[Res Structures Score (Normalized, Unweighted)]]*$L$3</f>
        <v>7.302630646966328E-2</v>
      </c>
      <c r="O694" s="244">
        <f>_xlfn.XLOOKUP(FME_Ranking1[[#This Row],[FME ID]],FME_Input[FME_ID],FME_Input[POP100])</f>
        <v>2657</v>
      </c>
      <c r="P694" s="178">
        <f>(FME_Ranking1[[#This Row],[Pop Raw]]/$O$2)*100</f>
        <v>0.27201120395414408</v>
      </c>
      <c r="Q694" s="178">
        <f>FME_Ranking1[[#This Row],[Pop Score (Normalized, Unweighted)]]*$O$3</f>
        <v>4.0801680593121607E-2</v>
      </c>
      <c r="R694" s="137">
        <f>_xlfn.XLOOKUP(FME_Ranking1[[#This Row],[FME ID]],FME_Input[FME_ID],FME_Input[CRITFAC100])</f>
        <v>0</v>
      </c>
      <c r="S694" s="230">
        <f>(FME_Ranking1[[#This Row],[Critical Facilities Raw]]/$R$2)*100</f>
        <v>0</v>
      </c>
      <c r="T694" s="180">
        <f>FME_Ranking1[[#This Row],[Critical Facilities Score (Normalized, Unweighted)]]*$R$3</f>
        <v>0</v>
      </c>
      <c r="U694">
        <f>_xlfn.XLOOKUP(FME_Ranking1[[#This Row],[FME ID]],FME_Input[FME_ID],FME_Input[LWC])</f>
        <v>0</v>
      </c>
      <c r="V694" s="178">
        <f>(FME_Ranking1[[#This Row],[LWC Raw]]/$U$2)*100</f>
        <v>0</v>
      </c>
      <c r="W694" s="178">
        <f>FME_Ranking1[[#This Row],[LWC Score (Normalized, Unweighted)]]*$U$3</f>
        <v>0</v>
      </c>
      <c r="X694" s="246">
        <f>_xlfn.XLOOKUP(FME_Ranking1[[#This Row],[FME ID]],FME_Input[FME_ID],FME_Input[ROADCLS])</f>
        <v>0</v>
      </c>
      <c r="Y694" s="230">
        <f>(FME_Ranking1[[#This Row],[Closures Raw]]/$X$2)*100</f>
        <v>0</v>
      </c>
      <c r="Z694" s="180">
        <f>FME_Ranking1[[#This Row],[Closures Score (Normalized, Unweighted)]]*$X$3</f>
        <v>0</v>
      </c>
      <c r="AA694" s="253">
        <f>_xlfn.XLOOKUP(FME_Ranking1[[#This Row],[FME ID]],FME_Input[FME_ID],FME_Input[ROAD_MILES100])</f>
        <v>25.67121505737305</v>
      </c>
      <c r="AB694" s="178">
        <f>(FME_Ranking1[[#This Row],[Miles Raw]]/$AA$2)*100</f>
        <v>0.33753043451868997</v>
      </c>
      <c r="AC694" s="178">
        <f>FME_Ranking1[[#This Row],[Miles Score (Normalized, Unweighted)]]*$AA$3</f>
        <v>3.3753043451868997E-2</v>
      </c>
      <c r="AD694" s="255">
        <f>_xlfn.XLOOKUP(FME_Ranking1[[#This Row],[FME ID]],FME_Input[FME_ID],FME_Input[FARMACRE100])</f>
        <v>58.084396362304688</v>
      </c>
      <c r="AE694" s="230">
        <f>(FME_Ranking1[[#This Row],[Ag Land Raw]]/$AD$2)*100</f>
        <v>2.3951404909668302E-3</v>
      </c>
      <c r="AF694" s="231">
        <f>FME_Ranking1[[#This Row],[Ag Land Score (Normalized, Unweighted)]]*$AD$3</f>
        <v>1.1975702454834151E-4</v>
      </c>
      <c r="AG69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0.24039452870357697</v>
      </c>
      <c r="AH694" s="406">
        <f t="shared" si="10"/>
        <v>723</v>
      </c>
      <c r="AI69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0.24039452870357697</v>
      </c>
      <c r="AJ694" s="257">
        <f>FME_Ranking1[[#This Row],[Addition check]]-FME_Ranking1[[#This Row],[Weighted Score Based on Normalized Reported Factors]]</f>
        <v>0</v>
      </c>
      <c r="AK694" s="178">
        <f>_xlfn.RANK.EQ(AI694,$AI$6:$AI$2341,0)+COUNTIF($AI$6:AI694,AI694)-1</f>
        <v>723</v>
      </c>
    </row>
    <row r="695" spans="1:37" x14ac:dyDescent="0.25">
      <c r="A695" t="s">
        <v>7917</v>
      </c>
      <c r="B695">
        <f>_xlfn.XLOOKUP(FME_Ranking1[[#This Row],[FME ID]],FME_Input[FME_ID],FME_Input[RFPG_NUM])</f>
        <v>9</v>
      </c>
      <c r="C695" t="str">
        <f>_xlfn.XLOOKUP(FME_Ranking1[[#This Row],[FME ID]],FME_Input[FME_ID],FME_Input[FME_NAME])</f>
        <v>Andrews County FEMA Mapping</v>
      </c>
      <c r="D695" t="str">
        <f>_xlfn.XLOOKUP(FME_Ranking1[[#This Row],[FME ID]],FME_Input[FME_ID],FME_Input[DESCR])</f>
        <v>Create FEMA Mapping in previously unmapped areas</v>
      </c>
      <c r="E695" s="256">
        <f>_xlfn.XLOOKUP(FME_Ranking1[[#This Row],[FME ID]],FME_Input[FME_ID],FME_Input[FME_COST])</f>
        <v>1288000</v>
      </c>
      <c r="F695" t="str">
        <f>_xlfn.XLOOKUP(FME_Ranking1[[#This Row],[FME ID]],FME_Input[FME_ID],FME_Input[EMER_NEED])</f>
        <v>No</v>
      </c>
      <c r="G695">
        <f>IF(FME_Ranking!F695="Yes",100,0)</f>
        <v>0</v>
      </c>
      <c r="H695">
        <f>FME_Ranking1[[#This Row],[Emergency Need Score (Normalized, Unweighted)]]*$F$3</f>
        <v>0</v>
      </c>
      <c r="I695" s="246">
        <f>_xlfn.XLOOKUP(FME_Ranking1[[#This Row],[FME ID]],FME_Input[FME_ID],FME_Input[STRUCT_100])</f>
        <v>959</v>
      </c>
      <c r="J695" s="178">
        <f>(FME_Ranking1[[#This Row],[Structures 100 Raw]]/I$2)*100</f>
        <v>0.51353724885404617</v>
      </c>
      <c r="K695" s="178">
        <f>FME_Ranking1[[#This Row],[Structures 100  Score (Normalized, Unweighted)]]*$I$3</f>
        <v>7.7030587328106928E-2</v>
      </c>
      <c r="L695" s="246">
        <f>_xlfn.XLOOKUP(FME_Ranking1[[#This Row],[FME ID]],FME_Input[FME_ID],FME_Input[RES_STRUCT100])</f>
        <v>763</v>
      </c>
      <c r="M695" s="230">
        <f>(FME_Ranking1[[#This Row],[Res Structures Raw]]/L$2)*100</f>
        <v>0.54043716621099003</v>
      </c>
      <c r="N695" s="180">
        <f>FME_Ranking1[[#This Row],[Res Structures Score (Normalized, Unweighted)]]*$L$3</f>
        <v>5.4043716621099004E-2</v>
      </c>
      <c r="O695" s="244">
        <f>_xlfn.XLOOKUP(FME_Ranking1[[#This Row],[FME ID]],FME_Input[FME_ID],FME_Input[POP100])</f>
        <v>1455</v>
      </c>
      <c r="P695" s="178">
        <f>(FME_Ranking1[[#This Row],[Pop Raw]]/$O$2)*100</f>
        <v>0.14895607894365057</v>
      </c>
      <c r="Q695" s="178">
        <f>FME_Ranking1[[#This Row],[Pop Score (Normalized, Unweighted)]]*$O$3</f>
        <v>2.2343411841547586E-2</v>
      </c>
      <c r="R695" s="137">
        <f>_xlfn.XLOOKUP(FME_Ranking1[[#This Row],[FME ID]],FME_Input[FME_ID],FME_Input[CRITFAC100])</f>
        <v>0</v>
      </c>
      <c r="S695" s="230">
        <f>(FME_Ranking1[[#This Row],[Critical Facilities Raw]]/$R$2)*100</f>
        <v>0</v>
      </c>
      <c r="T695" s="180">
        <f>FME_Ranking1[[#This Row],[Critical Facilities Score (Normalized, Unweighted)]]*$R$3</f>
        <v>0</v>
      </c>
      <c r="U695">
        <f>_xlfn.XLOOKUP(FME_Ranking1[[#This Row],[FME ID]],FME_Input[FME_ID],FME_Input[LWC])</f>
        <v>3</v>
      </c>
      <c r="V695" s="178">
        <f>(FME_Ranking1[[#This Row],[LWC Raw]]/$U$2)*100</f>
        <v>0.17271157167530224</v>
      </c>
      <c r="W695" s="178">
        <f>FME_Ranking1[[#This Row],[LWC Score (Normalized, Unweighted)]]*$U$3</f>
        <v>3.4542314335060449E-2</v>
      </c>
      <c r="X695" s="246">
        <f>_xlfn.XLOOKUP(FME_Ranking1[[#This Row],[FME ID]],FME_Input[FME_ID],FME_Input[ROADCLS])</f>
        <v>0</v>
      </c>
      <c r="Y695" s="230">
        <f>(FME_Ranking1[[#This Row],[Closures Raw]]/$X$2)*100</f>
        <v>0</v>
      </c>
      <c r="Z695" s="180">
        <f>FME_Ranking1[[#This Row],[Closures Score (Normalized, Unweighted)]]*$X$3</f>
        <v>0</v>
      </c>
      <c r="AA695" s="253">
        <f>_xlfn.XLOOKUP(FME_Ranking1[[#This Row],[FME ID]],FME_Input[FME_ID],FME_Input[ROAD_MILES100])</f>
        <v>173.238037109375</v>
      </c>
      <c r="AB695" s="178">
        <f>(FME_Ranking1[[#This Row],[Miles Raw]]/$AA$2)*100</f>
        <v>2.2777694709817866</v>
      </c>
      <c r="AC695" s="178">
        <f>FME_Ranking1[[#This Row],[Miles Score (Normalized, Unweighted)]]*$AA$3</f>
        <v>0.22777694709817867</v>
      </c>
      <c r="AD695" s="255">
        <f>_xlfn.XLOOKUP(FME_Ranking1[[#This Row],[FME ID]],FME_Input[FME_ID],FME_Input[FARMACRE100])</f>
        <v>8416.5166015625</v>
      </c>
      <c r="AE695" s="230">
        <f>(FME_Ranking1[[#This Row],[Ag Land Raw]]/$AD$2)*100</f>
        <v>0.34705946808081833</v>
      </c>
      <c r="AF695" s="231">
        <f>FME_Ranking1[[#This Row],[Ag Land Score (Normalized, Unweighted)]]*$AD$3</f>
        <v>1.7352973404040916E-2</v>
      </c>
      <c r="AG69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0.43308995062803352</v>
      </c>
      <c r="AH695" s="406">
        <f t="shared" si="10"/>
        <v>490</v>
      </c>
      <c r="AI69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0.43308995062803352</v>
      </c>
      <c r="AJ695" s="257">
        <f>FME_Ranking1[[#This Row],[Addition check]]-FME_Ranking1[[#This Row],[Weighted Score Based on Normalized Reported Factors]]</f>
        <v>0</v>
      </c>
      <c r="AK695" s="178">
        <f>_xlfn.RANK.EQ(AI695,$AI$6:$AI$2341,0)+COUNTIF($AI$6:AI695,AI695)-1</f>
        <v>490</v>
      </c>
    </row>
    <row r="696" spans="1:37" x14ac:dyDescent="0.25">
      <c r="A696" t="s">
        <v>8007</v>
      </c>
      <c r="B696">
        <f>_xlfn.XLOOKUP(FME_Ranking1[[#This Row],[FME ID]],FME_Input[FME_ID],FME_Input[RFPG_NUM])</f>
        <v>9</v>
      </c>
      <c r="C696" t="str">
        <f>_xlfn.XLOOKUP(FME_Ranking1[[#This Row],[FME ID]],FME_Input[FME_ID],FME_Input[FME_NAME])</f>
        <v>Andrews County GIS Development</v>
      </c>
      <c r="D696" t="str">
        <f>_xlfn.XLOOKUP(FME_Ranking1[[#This Row],[FME ID]],FME_Input[FME_ID],FME_Input[DESCR])</f>
        <v>Develop GIS an inventory of stormwater infrastructure</v>
      </c>
      <c r="E696" s="256">
        <f>_xlfn.XLOOKUP(FME_Ranking1[[#This Row],[FME ID]],FME_Input[FME_ID],FME_Input[FME_COST])</f>
        <v>100000</v>
      </c>
      <c r="F696" t="str">
        <f>_xlfn.XLOOKUP(FME_Ranking1[[#This Row],[FME ID]],FME_Input[FME_ID],FME_Input[EMER_NEED])</f>
        <v>No</v>
      </c>
      <c r="G696">
        <f>IF(FME_Ranking!F696="Yes",100,0)</f>
        <v>0</v>
      </c>
      <c r="H696">
        <f>FME_Ranking1[[#This Row],[Emergency Need Score (Normalized, Unweighted)]]*$F$3</f>
        <v>0</v>
      </c>
      <c r="I696" s="246">
        <f>_xlfn.XLOOKUP(FME_Ranking1[[#This Row],[FME ID]],FME_Input[FME_ID],FME_Input[STRUCT_100])</f>
        <v>959</v>
      </c>
      <c r="J696" s="178">
        <f>(FME_Ranking1[[#This Row],[Structures 100 Raw]]/I$2)*100</f>
        <v>0.51353724885404617</v>
      </c>
      <c r="K696" s="178">
        <f>FME_Ranking1[[#This Row],[Structures 100  Score (Normalized, Unweighted)]]*$I$3</f>
        <v>7.7030587328106928E-2</v>
      </c>
      <c r="L696" s="246">
        <f>_xlfn.XLOOKUP(FME_Ranking1[[#This Row],[FME ID]],FME_Input[FME_ID],FME_Input[RES_STRUCT100])</f>
        <v>763</v>
      </c>
      <c r="M696" s="230">
        <f>(FME_Ranking1[[#This Row],[Res Structures Raw]]/L$2)*100</f>
        <v>0.54043716621099003</v>
      </c>
      <c r="N696" s="180">
        <f>FME_Ranking1[[#This Row],[Res Structures Score (Normalized, Unweighted)]]*$L$3</f>
        <v>5.4043716621099004E-2</v>
      </c>
      <c r="O696" s="244">
        <f>_xlfn.XLOOKUP(FME_Ranking1[[#This Row],[FME ID]],FME_Input[FME_ID],FME_Input[POP100])</f>
        <v>1455</v>
      </c>
      <c r="P696" s="178">
        <f>(FME_Ranking1[[#This Row],[Pop Raw]]/$O$2)*100</f>
        <v>0.14895607894365057</v>
      </c>
      <c r="Q696" s="178">
        <f>FME_Ranking1[[#This Row],[Pop Score (Normalized, Unweighted)]]*$O$3</f>
        <v>2.2343411841547586E-2</v>
      </c>
      <c r="R696" s="137">
        <f>_xlfn.XLOOKUP(FME_Ranking1[[#This Row],[FME ID]],FME_Input[FME_ID],FME_Input[CRITFAC100])</f>
        <v>0</v>
      </c>
      <c r="S696" s="230">
        <f>(FME_Ranking1[[#This Row],[Critical Facilities Raw]]/$R$2)*100</f>
        <v>0</v>
      </c>
      <c r="T696" s="180">
        <f>FME_Ranking1[[#This Row],[Critical Facilities Score (Normalized, Unweighted)]]*$R$3</f>
        <v>0</v>
      </c>
      <c r="U696">
        <f>_xlfn.XLOOKUP(FME_Ranking1[[#This Row],[FME ID]],FME_Input[FME_ID],FME_Input[LWC])</f>
        <v>3</v>
      </c>
      <c r="V696" s="178">
        <f>(FME_Ranking1[[#This Row],[LWC Raw]]/$U$2)*100</f>
        <v>0.17271157167530224</v>
      </c>
      <c r="W696" s="178">
        <f>FME_Ranking1[[#This Row],[LWC Score (Normalized, Unweighted)]]*$U$3</f>
        <v>3.4542314335060449E-2</v>
      </c>
      <c r="X696" s="246">
        <f>_xlfn.XLOOKUP(FME_Ranking1[[#This Row],[FME ID]],FME_Input[FME_ID],FME_Input[ROADCLS])</f>
        <v>0</v>
      </c>
      <c r="Y696" s="230">
        <f>(FME_Ranking1[[#This Row],[Closures Raw]]/$X$2)*100</f>
        <v>0</v>
      </c>
      <c r="Z696" s="180">
        <f>FME_Ranking1[[#This Row],[Closures Score (Normalized, Unweighted)]]*$X$3</f>
        <v>0</v>
      </c>
      <c r="AA696" s="253">
        <f>_xlfn.XLOOKUP(FME_Ranking1[[#This Row],[FME ID]],FME_Input[FME_ID],FME_Input[ROAD_MILES100])</f>
        <v>173.238037109375</v>
      </c>
      <c r="AB696" s="178">
        <f>(FME_Ranking1[[#This Row],[Miles Raw]]/$AA$2)*100</f>
        <v>2.2777694709817866</v>
      </c>
      <c r="AC696" s="178">
        <f>FME_Ranking1[[#This Row],[Miles Score (Normalized, Unweighted)]]*$AA$3</f>
        <v>0.22777694709817867</v>
      </c>
      <c r="AD696" s="255">
        <f>_xlfn.XLOOKUP(FME_Ranking1[[#This Row],[FME ID]],FME_Input[FME_ID],FME_Input[FARMACRE100])</f>
        <v>8416.5166015625</v>
      </c>
      <c r="AE696" s="230">
        <f>(FME_Ranking1[[#This Row],[Ag Land Raw]]/$AD$2)*100</f>
        <v>0.34705946808081833</v>
      </c>
      <c r="AF696" s="231">
        <f>FME_Ranking1[[#This Row],[Ag Land Score (Normalized, Unweighted)]]*$AD$3</f>
        <v>1.7352973404040916E-2</v>
      </c>
      <c r="AG69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0.43308995062803352</v>
      </c>
      <c r="AH696" s="406">
        <f t="shared" si="10"/>
        <v>490</v>
      </c>
      <c r="AI69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0.43308995062803352</v>
      </c>
      <c r="AJ696" s="257">
        <f>FME_Ranking1[[#This Row],[Addition check]]-FME_Ranking1[[#This Row],[Weighted Score Based on Normalized Reported Factors]]</f>
        <v>0</v>
      </c>
      <c r="AK696" s="178">
        <f>_xlfn.RANK.EQ(AI696,$AI$6:$AI$2341,0)+COUNTIF($AI$6:AI696,AI696)-1</f>
        <v>491</v>
      </c>
    </row>
    <row r="697" spans="1:37" x14ac:dyDescent="0.25">
      <c r="A697" t="s">
        <v>8051</v>
      </c>
      <c r="B697">
        <f>_xlfn.XLOOKUP(FME_Ranking1[[#This Row],[FME ID]],FME_Input[FME_ID],FME_Input[RFPG_NUM])</f>
        <v>9</v>
      </c>
      <c r="C697" t="str">
        <f>_xlfn.XLOOKUP(FME_Ranking1[[#This Row],[FME ID]],FME_Input[FME_ID],FME_Input[FME_NAME])</f>
        <v>Andrews County DMP</v>
      </c>
      <c r="D697" t="str">
        <f>_xlfn.XLOOKUP(FME_Ranking1[[#This Row],[FME ID]],FME_Input[FME_ID],FME_Input[DESCR])</f>
        <v xml:space="preserve">Create Drainage Master Plan, including evaluation of potential mitigation projects. </v>
      </c>
      <c r="E697" s="256">
        <f>_xlfn.XLOOKUP(FME_Ranking1[[#This Row],[FME ID]],FME_Input[FME_ID],FME_Input[FME_COST])</f>
        <v>500000</v>
      </c>
      <c r="F697" t="str">
        <f>_xlfn.XLOOKUP(FME_Ranking1[[#This Row],[FME ID]],FME_Input[FME_ID],FME_Input[EMER_NEED])</f>
        <v>No</v>
      </c>
      <c r="G697">
        <f>IF(FME_Ranking!F697="Yes",100,0)</f>
        <v>0</v>
      </c>
      <c r="H697">
        <f>FME_Ranking1[[#This Row],[Emergency Need Score (Normalized, Unweighted)]]*$F$3</f>
        <v>0</v>
      </c>
      <c r="I697" s="246">
        <f>_xlfn.XLOOKUP(FME_Ranking1[[#This Row],[FME ID]],FME_Input[FME_ID],FME_Input[STRUCT_100])</f>
        <v>959</v>
      </c>
      <c r="J697" s="178">
        <f>(FME_Ranking1[[#This Row],[Structures 100 Raw]]/I$2)*100</f>
        <v>0.51353724885404617</v>
      </c>
      <c r="K697" s="178">
        <f>FME_Ranking1[[#This Row],[Structures 100  Score (Normalized, Unweighted)]]*$I$3</f>
        <v>7.7030587328106928E-2</v>
      </c>
      <c r="L697" s="246">
        <f>_xlfn.XLOOKUP(FME_Ranking1[[#This Row],[FME ID]],FME_Input[FME_ID],FME_Input[RES_STRUCT100])</f>
        <v>763</v>
      </c>
      <c r="M697" s="230">
        <f>(FME_Ranking1[[#This Row],[Res Structures Raw]]/L$2)*100</f>
        <v>0.54043716621099003</v>
      </c>
      <c r="N697" s="180">
        <f>FME_Ranking1[[#This Row],[Res Structures Score (Normalized, Unweighted)]]*$L$3</f>
        <v>5.4043716621099004E-2</v>
      </c>
      <c r="O697" s="244">
        <f>_xlfn.XLOOKUP(FME_Ranking1[[#This Row],[FME ID]],FME_Input[FME_ID],FME_Input[POP100])</f>
        <v>1455</v>
      </c>
      <c r="P697" s="178">
        <f>(FME_Ranking1[[#This Row],[Pop Raw]]/$O$2)*100</f>
        <v>0.14895607894365057</v>
      </c>
      <c r="Q697" s="178">
        <f>FME_Ranking1[[#This Row],[Pop Score (Normalized, Unweighted)]]*$O$3</f>
        <v>2.2343411841547586E-2</v>
      </c>
      <c r="R697" s="137">
        <f>_xlfn.XLOOKUP(FME_Ranking1[[#This Row],[FME ID]],FME_Input[FME_ID],FME_Input[CRITFAC100])</f>
        <v>0</v>
      </c>
      <c r="S697" s="230">
        <f>(FME_Ranking1[[#This Row],[Critical Facilities Raw]]/$R$2)*100</f>
        <v>0</v>
      </c>
      <c r="T697" s="180">
        <f>FME_Ranking1[[#This Row],[Critical Facilities Score (Normalized, Unweighted)]]*$R$3</f>
        <v>0</v>
      </c>
      <c r="U697">
        <f>_xlfn.XLOOKUP(FME_Ranking1[[#This Row],[FME ID]],FME_Input[FME_ID],FME_Input[LWC])</f>
        <v>3</v>
      </c>
      <c r="V697" s="178">
        <f>(FME_Ranking1[[#This Row],[LWC Raw]]/$U$2)*100</f>
        <v>0.17271157167530224</v>
      </c>
      <c r="W697" s="178">
        <f>FME_Ranking1[[#This Row],[LWC Score (Normalized, Unweighted)]]*$U$3</f>
        <v>3.4542314335060449E-2</v>
      </c>
      <c r="X697" s="246">
        <f>_xlfn.XLOOKUP(FME_Ranking1[[#This Row],[FME ID]],FME_Input[FME_ID],FME_Input[ROADCLS])</f>
        <v>0</v>
      </c>
      <c r="Y697" s="230">
        <f>(FME_Ranking1[[#This Row],[Closures Raw]]/$X$2)*100</f>
        <v>0</v>
      </c>
      <c r="Z697" s="180">
        <f>FME_Ranking1[[#This Row],[Closures Score (Normalized, Unweighted)]]*$X$3</f>
        <v>0</v>
      </c>
      <c r="AA697" s="253">
        <f>_xlfn.XLOOKUP(FME_Ranking1[[#This Row],[FME ID]],FME_Input[FME_ID],FME_Input[ROAD_MILES100])</f>
        <v>173.238037109375</v>
      </c>
      <c r="AB697" s="178">
        <f>(FME_Ranking1[[#This Row],[Miles Raw]]/$AA$2)*100</f>
        <v>2.2777694709817866</v>
      </c>
      <c r="AC697" s="178">
        <f>FME_Ranking1[[#This Row],[Miles Score (Normalized, Unweighted)]]*$AA$3</f>
        <v>0.22777694709817867</v>
      </c>
      <c r="AD697" s="255">
        <f>_xlfn.XLOOKUP(FME_Ranking1[[#This Row],[FME ID]],FME_Input[FME_ID],FME_Input[FARMACRE100])</f>
        <v>8416.5166015625</v>
      </c>
      <c r="AE697" s="230">
        <f>(FME_Ranking1[[#This Row],[Ag Land Raw]]/$AD$2)*100</f>
        <v>0.34705946808081833</v>
      </c>
      <c r="AF697" s="231">
        <f>FME_Ranking1[[#This Row],[Ag Land Score (Normalized, Unweighted)]]*$AD$3</f>
        <v>1.7352973404040916E-2</v>
      </c>
      <c r="AG69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0.43308995062803352</v>
      </c>
      <c r="AH697" s="406">
        <f t="shared" si="10"/>
        <v>490</v>
      </c>
      <c r="AI69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0.43308995062803352</v>
      </c>
      <c r="AJ697" s="257">
        <f>FME_Ranking1[[#This Row],[Addition check]]-FME_Ranking1[[#This Row],[Weighted Score Based on Normalized Reported Factors]]</f>
        <v>0</v>
      </c>
      <c r="AK697" s="178">
        <f>_xlfn.RANK.EQ(AI697,$AI$6:$AI$2341,0)+COUNTIF($AI$6:AI697,AI697)-1</f>
        <v>492</v>
      </c>
    </row>
    <row r="698" spans="1:37" x14ac:dyDescent="0.25">
      <c r="A698" t="s">
        <v>5683</v>
      </c>
      <c r="B698">
        <f>_xlfn.XLOOKUP(FME_Ranking1[[#This Row],[FME ID]],FME_Input[FME_ID],FME_Input[RFPG_NUM])</f>
        <v>4</v>
      </c>
      <c r="C698" t="str">
        <f>_xlfn.XLOOKUP(FME_Ranking1[[#This Row],[FME ID]],FME_Input[FME_ID],FME_Input[FME_NAME])</f>
        <v>City of Fate Culvert Improvement Study</v>
      </c>
      <c r="D698" t="str">
        <f>_xlfn.XLOOKUP(FME_Ranking1[[#This Row],[FME ID]],FME_Input[FME_ID],FME_Input[DESCR])</f>
        <v>Culverts improvements to meet 100-YR fully developed conditions</v>
      </c>
      <c r="E698" s="256">
        <f>_xlfn.XLOOKUP(FME_Ranking1[[#This Row],[FME ID]],FME_Input[FME_ID],FME_Input[FME_COST])</f>
        <v>100000</v>
      </c>
      <c r="F698" t="str">
        <f>_xlfn.XLOOKUP(FME_Ranking1[[#This Row],[FME ID]],FME_Input[FME_ID],FME_Input[EMER_NEED])</f>
        <v>No</v>
      </c>
      <c r="G698">
        <f>IF(FME_Ranking!F698="Yes",100,0)</f>
        <v>0</v>
      </c>
      <c r="H698">
        <f>FME_Ranking1[[#This Row],[Emergency Need Score (Normalized, Unweighted)]]*$F$3</f>
        <v>0</v>
      </c>
      <c r="I698" s="246">
        <f>_xlfn.XLOOKUP(FME_Ranking1[[#This Row],[FME ID]],FME_Input[FME_ID],FME_Input[STRUCT_100])</f>
        <v>295</v>
      </c>
      <c r="J698" s="178">
        <f>(FME_Ranking1[[#This Row],[Structures 100 Raw]]/I$2)*100</f>
        <v>0.15797026945979523</v>
      </c>
      <c r="K698" s="178">
        <f>FME_Ranking1[[#This Row],[Structures 100  Score (Normalized, Unweighted)]]*$I$3</f>
        <v>2.3695540418969284E-2</v>
      </c>
      <c r="L698" s="246">
        <f>_xlfn.XLOOKUP(FME_Ranking1[[#This Row],[FME ID]],FME_Input[FME_ID],FME_Input[RES_STRUCT100])</f>
        <v>220</v>
      </c>
      <c r="M698" s="230">
        <f>(FME_Ranking1[[#This Row],[Res Structures Raw]]/L$2)*100</f>
        <v>0.1558272301001544</v>
      </c>
      <c r="N698" s="180">
        <f>FME_Ranking1[[#This Row],[Res Structures Score (Normalized, Unweighted)]]*$L$3</f>
        <v>1.558272301001544E-2</v>
      </c>
      <c r="O698" s="244">
        <f>_xlfn.XLOOKUP(FME_Ranking1[[#This Row],[FME ID]],FME_Input[FME_ID],FME_Input[POP100])</f>
        <v>828</v>
      </c>
      <c r="P698" s="178">
        <f>(FME_Ranking1[[#This Row],[Pop Raw]]/$O$2)*100</f>
        <v>8.4766758326696001E-2</v>
      </c>
      <c r="Q698" s="178">
        <f>FME_Ranking1[[#This Row],[Pop Score (Normalized, Unweighted)]]*$O$3</f>
        <v>1.2715013749004399E-2</v>
      </c>
      <c r="R698" s="137">
        <f>_xlfn.XLOOKUP(FME_Ranking1[[#This Row],[FME ID]],FME_Input[FME_ID],FME_Input[CRITFAC100])</f>
        <v>0</v>
      </c>
      <c r="S698" s="230">
        <f>(FME_Ranking1[[#This Row],[Critical Facilities Raw]]/$R$2)*100</f>
        <v>0</v>
      </c>
      <c r="T698" s="180">
        <f>FME_Ranking1[[#This Row],[Critical Facilities Score (Normalized, Unweighted)]]*$R$3</f>
        <v>0</v>
      </c>
      <c r="U698">
        <f>_xlfn.XLOOKUP(FME_Ranking1[[#This Row],[FME ID]],FME_Input[FME_ID],FME_Input[LWC])</f>
        <v>12</v>
      </c>
      <c r="V698" s="178">
        <f>(FME_Ranking1[[#This Row],[LWC Raw]]/$U$2)*100</f>
        <v>0.69084628670120896</v>
      </c>
      <c r="W698" s="178">
        <f>FME_Ranking1[[#This Row],[LWC Score (Normalized, Unweighted)]]*$U$3</f>
        <v>0.1381692573402418</v>
      </c>
      <c r="X698" s="246">
        <f>_xlfn.XLOOKUP(FME_Ranking1[[#This Row],[FME ID]],FME_Input[FME_ID],FME_Input[ROADCLS])</f>
        <v>12</v>
      </c>
      <c r="Y698" s="230">
        <f>(FME_Ranking1[[#This Row],[Closures Raw]]/$X$2)*100</f>
        <v>0.12616969824413837</v>
      </c>
      <c r="Z698" s="180">
        <f>FME_Ranking1[[#This Row],[Closures Score (Normalized, Unweighted)]]*$X$3</f>
        <v>6.308484912206919E-3</v>
      </c>
      <c r="AA698" s="253">
        <f>_xlfn.XLOOKUP(FME_Ranking1[[#This Row],[FME ID]],FME_Input[FME_ID],FME_Input[ROAD_MILES100])</f>
        <v>18.467290878295898</v>
      </c>
      <c r="AB698" s="178">
        <f>(FME_Ranking1[[#This Row],[Miles Raw]]/$AA$2)*100</f>
        <v>0.24281175240842334</v>
      </c>
      <c r="AC698" s="178">
        <f>FME_Ranking1[[#This Row],[Miles Score (Normalized, Unweighted)]]*$AA$3</f>
        <v>2.4281175240842334E-2</v>
      </c>
      <c r="AD698" s="255">
        <f>_xlfn.XLOOKUP(FME_Ranking1[[#This Row],[FME ID]],FME_Input[FME_ID],FME_Input[FARMACRE100])</f>
        <v>4103.857421875</v>
      </c>
      <c r="AE698" s="230">
        <f>(FME_Ranking1[[#This Row],[Ag Land Raw]]/$AD$2)*100</f>
        <v>0.16922470914523502</v>
      </c>
      <c r="AF698" s="231">
        <f>FME_Ranking1[[#This Row],[Ag Land Score (Normalized, Unweighted)]]*$AD$3</f>
        <v>8.461235457261752E-3</v>
      </c>
      <c r="AG69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0.22921343012854192</v>
      </c>
      <c r="AH698" s="406">
        <f t="shared" si="10"/>
        <v>740</v>
      </c>
      <c r="AI69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0.22921343012854192</v>
      </c>
      <c r="AJ698" s="257">
        <f>FME_Ranking1[[#This Row],[Addition check]]-FME_Ranking1[[#This Row],[Weighted Score Based on Normalized Reported Factors]]</f>
        <v>0</v>
      </c>
      <c r="AK698" s="178">
        <f>_xlfn.RANK.EQ(AI698,$AI$6:$AI$2341,0)+COUNTIF($AI$6:AI698,AI698)-1</f>
        <v>740</v>
      </c>
    </row>
    <row r="699" spans="1:37" x14ac:dyDescent="0.25">
      <c r="A699" t="s">
        <v>7438</v>
      </c>
      <c r="B699">
        <f>_xlfn.XLOOKUP(FME_Ranking1[[#This Row],[FME ID]],FME_Input[FME_ID],FME_Input[RFPG_NUM])</f>
        <v>8</v>
      </c>
      <c r="C699" t="str">
        <f>_xlfn.XLOOKUP(FME_Ranking1[[#This Row],[FME ID]],FME_Input[FME_ID],FME_Input[FME_NAME])</f>
        <v>Mustang Creek Study</v>
      </c>
      <c r="D699" t="str">
        <f>_xlfn.XLOOKUP(FME_Ranking1[[#This Row],[FME ID]],FME_Input[FME_ID],FME_Input[DESCR])</f>
        <v>Detailed H&amp;H modeling to mitigate flooding from Upper Mustang Creek on the City of Taylor.</v>
      </c>
      <c r="E699" s="256">
        <f>_xlfn.XLOOKUP(FME_Ranking1[[#This Row],[FME ID]],FME_Input[FME_ID],FME_Input[FME_COST])</f>
        <v>290000</v>
      </c>
      <c r="F699" t="str">
        <f>_xlfn.XLOOKUP(FME_Ranking1[[#This Row],[FME ID]],FME_Input[FME_ID],FME_Input[EMER_NEED])</f>
        <v>No</v>
      </c>
      <c r="G699">
        <f>IF(FME_Ranking!F699="Yes",100,0)</f>
        <v>0</v>
      </c>
      <c r="H699">
        <f>FME_Ranking1[[#This Row],[Emergency Need Score (Normalized, Unweighted)]]*$F$3</f>
        <v>0</v>
      </c>
      <c r="I699" s="246">
        <f>_xlfn.XLOOKUP(FME_Ranking1[[#This Row],[FME ID]],FME_Input[FME_ID],FME_Input[STRUCT_100])</f>
        <v>111</v>
      </c>
      <c r="J699" s="178">
        <f>(FME_Ranking1[[#This Row],[Structures 100 Raw]]/I$2)*100</f>
        <v>5.9439660711990749E-2</v>
      </c>
      <c r="K699" s="178">
        <f>FME_Ranking1[[#This Row],[Structures 100  Score (Normalized, Unweighted)]]*$I$3</f>
        <v>8.9159491067986128E-3</v>
      </c>
      <c r="L699" s="246">
        <f>_xlfn.XLOOKUP(FME_Ranking1[[#This Row],[FME ID]],FME_Input[FME_ID],FME_Input[RES_STRUCT100])</f>
        <v>71</v>
      </c>
      <c r="M699" s="230">
        <f>(FME_Ranking1[[#This Row],[Res Structures Raw]]/L$2)*100</f>
        <v>5.0289696986868013E-2</v>
      </c>
      <c r="N699" s="180">
        <f>FME_Ranking1[[#This Row],[Res Structures Score (Normalized, Unweighted)]]*$L$3</f>
        <v>5.0289696986868014E-3</v>
      </c>
      <c r="O699" s="244">
        <f>_xlfn.XLOOKUP(FME_Ranking1[[#This Row],[FME ID]],FME_Input[FME_ID],FME_Input[POP100])</f>
        <v>352</v>
      </c>
      <c r="P699" s="178">
        <f>(FME_Ranking1[[#This Row],[Pop Raw]]/$O$2)*100</f>
        <v>3.6036109820044675E-2</v>
      </c>
      <c r="Q699" s="178">
        <f>FME_Ranking1[[#This Row],[Pop Score (Normalized, Unweighted)]]*$O$3</f>
        <v>5.4054164730067012E-3</v>
      </c>
      <c r="R699" s="137">
        <f>_xlfn.XLOOKUP(FME_Ranking1[[#This Row],[FME ID]],FME_Input[FME_ID],FME_Input[CRITFAC100])</f>
        <v>0</v>
      </c>
      <c r="S699" s="230">
        <f>(FME_Ranking1[[#This Row],[Critical Facilities Raw]]/$R$2)*100</f>
        <v>0</v>
      </c>
      <c r="T699" s="180">
        <f>FME_Ranking1[[#This Row],[Critical Facilities Score (Normalized, Unweighted)]]*$R$3</f>
        <v>0</v>
      </c>
      <c r="U699">
        <f>_xlfn.XLOOKUP(FME_Ranking1[[#This Row],[FME ID]],FME_Input[FME_ID],FME_Input[LWC])</f>
        <v>13</v>
      </c>
      <c r="V699" s="178">
        <f>(FME_Ranking1[[#This Row],[LWC Raw]]/$U$2)*100</f>
        <v>0.74841681059297649</v>
      </c>
      <c r="W699" s="178">
        <f>FME_Ranking1[[#This Row],[LWC Score (Normalized, Unweighted)]]*$U$3</f>
        <v>0.14968336211859531</v>
      </c>
      <c r="X699" s="246">
        <f>_xlfn.XLOOKUP(FME_Ranking1[[#This Row],[FME ID]],FME_Input[FME_ID],FME_Input[ROADCLS])</f>
        <v>51</v>
      </c>
      <c r="Y699" s="230">
        <f>(FME_Ranking1[[#This Row],[Closures Raw]]/$X$2)*100</f>
        <v>0.536221217537588</v>
      </c>
      <c r="Z699" s="180">
        <f>FME_Ranking1[[#This Row],[Closures Score (Normalized, Unweighted)]]*$X$3</f>
        <v>2.68110608768794E-2</v>
      </c>
      <c r="AA699" s="253">
        <f>_xlfn.XLOOKUP(FME_Ranking1[[#This Row],[FME ID]],FME_Input[FME_ID],FME_Input[ROAD_MILES100])</f>
        <v>6.5623397827148438</v>
      </c>
      <c r="AB699" s="178">
        <f>(FME_Ranking1[[#This Row],[Miles Raw]]/$AA$2)*100</f>
        <v>8.6282998033739663E-2</v>
      </c>
      <c r="AC699" s="178">
        <f>FME_Ranking1[[#This Row],[Miles Score (Normalized, Unweighted)]]*$AA$3</f>
        <v>8.628299803373967E-3</v>
      </c>
      <c r="AD699" s="255">
        <f>_xlfn.XLOOKUP(FME_Ranking1[[#This Row],[FME ID]],FME_Input[FME_ID],FME_Input[FARMACRE100])</f>
        <v>4157.240234375</v>
      </c>
      <c r="AE699" s="230">
        <f>(FME_Ranking1[[#This Row],[Ag Land Raw]]/$AD$2)*100</f>
        <v>0.17142597736437792</v>
      </c>
      <c r="AF699" s="231">
        <f>FME_Ranking1[[#This Row],[Ag Land Score (Normalized, Unweighted)]]*$AD$3</f>
        <v>8.5712988682188958E-3</v>
      </c>
      <c r="AG69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0.21304435694555968</v>
      </c>
      <c r="AH699" s="406">
        <f t="shared" si="10"/>
        <v>784</v>
      </c>
      <c r="AI69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0.21304435694555968</v>
      </c>
      <c r="AJ699" s="257">
        <f>FME_Ranking1[[#This Row],[Addition check]]-FME_Ranking1[[#This Row],[Weighted Score Based on Normalized Reported Factors]]</f>
        <v>0</v>
      </c>
      <c r="AK699" s="178">
        <f>_xlfn.RANK.EQ(AI699,$AI$6:$AI$2341,0)+COUNTIF($AI$6:AI699,AI699)-1</f>
        <v>784</v>
      </c>
    </row>
    <row r="700" spans="1:37" x14ac:dyDescent="0.25">
      <c r="A700" t="s">
        <v>6005</v>
      </c>
      <c r="B700">
        <f>_xlfn.XLOOKUP(FME_Ranking1[[#This Row],[FME ID]],FME_Input[FME_ID],FME_Input[RFPG_NUM])</f>
        <v>5</v>
      </c>
      <c r="C700" t="str">
        <f>_xlfn.XLOOKUP(FME_Ranking1[[#This Row],[FME ID]],FME_Input[FME_ID],FME_Input[FME_NAME])</f>
        <v>Feasibility Assessment of Widening and Deepening Segments of Tiger Creek</v>
      </c>
      <c r="D700" t="str">
        <f>_xlfn.XLOOKUP(FME_Ranking1[[#This Row],[FME ID]],FME_Input[FME_ID],FME_Input[DESCR])</f>
        <v>H&amp;H Study to analyze most efficient alternatives for constructing improvements to segments of Tiger Creek.</v>
      </c>
      <c r="E700" s="256">
        <f>_xlfn.XLOOKUP(FME_Ranking1[[#This Row],[FME ID]],FME_Input[FME_ID],FME_Input[FME_COST])</f>
        <v>150000</v>
      </c>
      <c r="F700" t="str">
        <f>_xlfn.XLOOKUP(FME_Ranking1[[#This Row],[FME ID]],FME_Input[FME_ID],FME_Input[EMER_NEED])</f>
        <v>Yes</v>
      </c>
      <c r="G700">
        <f>IF(FME_Ranking!F700="Yes",100,0)</f>
        <v>100</v>
      </c>
      <c r="H700">
        <f>FME_Ranking1[[#This Row],[Emergency Need Score (Normalized, Unweighted)]]*$F$3</f>
        <v>0</v>
      </c>
      <c r="I700" s="246">
        <f>_xlfn.XLOOKUP(FME_Ranking1[[#This Row],[FME ID]],FME_Input[FME_ID],FME_Input[STRUCT_100])</f>
        <v>848</v>
      </c>
      <c r="J700" s="178">
        <f>(FME_Ranking1[[#This Row],[Structures 100 Raw]]/I$2)*100</f>
        <v>0.45409758814205547</v>
      </c>
      <c r="K700" s="178">
        <f>FME_Ranking1[[#This Row],[Structures 100  Score (Normalized, Unweighted)]]*$I$3</f>
        <v>6.8114638221308324E-2</v>
      </c>
      <c r="L700" s="246">
        <f>_xlfn.XLOOKUP(FME_Ranking1[[#This Row],[FME ID]],FME_Input[FME_ID],FME_Input[RES_STRUCT100])</f>
        <v>762</v>
      </c>
      <c r="M700" s="230">
        <f>(FME_Ranking1[[#This Row],[Res Structures Raw]]/L$2)*100</f>
        <v>0.53972886061962577</v>
      </c>
      <c r="N700" s="180">
        <f>FME_Ranking1[[#This Row],[Res Structures Score (Normalized, Unweighted)]]*$L$3</f>
        <v>5.3972886061962579E-2</v>
      </c>
      <c r="O700" s="244">
        <f>_xlfn.XLOOKUP(FME_Ranking1[[#This Row],[FME ID]],FME_Input[FME_ID],FME_Input[POP100])</f>
        <v>1290</v>
      </c>
      <c r="P700" s="178">
        <f>(FME_Ranking1[[#This Row],[Pop Raw]]/$O$2)*100</f>
        <v>0.13206415246550465</v>
      </c>
      <c r="Q700" s="178">
        <f>FME_Ranking1[[#This Row],[Pop Score (Normalized, Unweighted)]]*$O$3</f>
        <v>1.9809622869825697E-2</v>
      </c>
      <c r="R700" s="137">
        <f>_xlfn.XLOOKUP(FME_Ranking1[[#This Row],[FME ID]],FME_Input[FME_ID],FME_Input[CRITFAC100])</f>
        <v>0</v>
      </c>
      <c r="S700" s="230">
        <f>(FME_Ranking1[[#This Row],[Critical Facilities Raw]]/$R$2)*100</f>
        <v>0</v>
      </c>
      <c r="T700" s="180">
        <f>FME_Ranking1[[#This Row],[Critical Facilities Score (Normalized, Unweighted)]]*$R$3</f>
        <v>0</v>
      </c>
      <c r="U700">
        <f>_xlfn.XLOOKUP(FME_Ranking1[[#This Row],[FME ID]],FME_Input[FME_ID],FME_Input[LWC])</f>
        <v>5</v>
      </c>
      <c r="V700" s="178">
        <f>(FME_Ranking1[[#This Row],[LWC Raw]]/$U$2)*100</f>
        <v>0.28785261945883706</v>
      </c>
      <c r="W700" s="178">
        <f>FME_Ranking1[[#This Row],[LWC Score (Normalized, Unweighted)]]*$U$3</f>
        <v>5.7570523891767415E-2</v>
      </c>
      <c r="X700" s="246">
        <f>_xlfn.XLOOKUP(FME_Ranking1[[#This Row],[FME ID]],FME_Input[FME_ID],FME_Input[ROADCLS])</f>
        <v>5</v>
      </c>
      <c r="Y700" s="230">
        <f>(FME_Ranking1[[#This Row],[Closures Raw]]/$X$2)*100</f>
        <v>5.2570707601724324E-2</v>
      </c>
      <c r="Z700" s="180">
        <f>FME_Ranking1[[#This Row],[Closures Score (Normalized, Unweighted)]]*$X$3</f>
        <v>2.6285353800862164E-3</v>
      </c>
      <c r="AA700" s="253">
        <f>_xlfn.XLOOKUP(FME_Ranking1[[#This Row],[FME ID]],FME_Input[FME_ID],FME_Input[ROAD_MILES100])</f>
        <v>17.357673645019531</v>
      </c>
      <c r="AB700" s="178">
        <f>(FME_Ranking1[[#This Row],[Miles Raw]]/$AA$2)*100</f>
        <v>0.22822227598277867</v>
      </c>
      <c r="AC700" s="178">
        <f>FME_Ranking1[[#This Row],[Miles Score (Normalized, Unweighted)]]*$AA$3</f>
        <v>2.2822227598277869E-2</v>
      </c>
      <c r="AD700" s="255">
        <f>_xlfn.XLOOKUP(FME_Ranking1[[#This Row],[FME ID]],FME_Input[FME_ID],FME_Input[FARMACRE100])</f>
        <v>15.306471824646</v>
      </c>
      <c r="AE700" s="230">
        <f>(FME_Ranking1[[#This Row],[Ag Land Raw]]/$AD$2)*100</f>
        <v>6.3117037857080558E-4</v>
      </c>
      <c r="AF700" s="231">
        <f>FME_Ranking1[[#This Row],[Ag Land Score (Normalized, Unweighted)]]*$AD$3</f>
        <v>3.155851892854028E-5</v>
      </c>
      <c r="AG70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0.22494999254215667</v>
      </c>
      <c r="AH700" s="406">
        <f t="shared" si="10"/>
        <v>759</v>
      </c>
      <c r="AI70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0.22494999254215667</v>
      </c>
      <c r="AJ700" s="257">
        <f>FME_Ranking1[[#This Row],[Addition check]]-FME_Ranking1[[#This Row],[Weighted Score Based on Normalized Reported Factors]]</f>
        <v>0</v>
      </c>
      <c r="AK700" s="178">
        <f>_xlfn.RANK.EQ(AI700,$AI$6:$AI$2341,0)+COUNTIF($AI$6:AI700,AI700)-1</f>
        <v>759</v>
      </c>
    </row>
    <row r="701" spans="1:37" x14ac:dyDescent="0.25">
      <c r="A701" t="s">
        <v>6014</v>
      </c>
      <c r="B701">
        <f>_xlfn.XLOOKUP(FME_Ranking1[[#This Row],[FME ID]],FME_Input[FME_ID],FME_Input[RFPG_NUM])</f>
        <v>5</v>
      </c>
      <c r="C701" t="str">
        <f>_xlfn.XLOOKUP(FME_Ranking1[[#This Row],[FME ID]],FME_Input[FME_ID],FME_Input[FME_NAME])</f>
        <v>Feasibility Assessment of Construction of a Stormwater Detention Pond Adjacent to Tiger Creek</v>
      </c>
      <c r="D701" t="str">
        <f>_xlfn.XLOOKUP(FME_Ranking1[[#This Row],[FME ID]],FME_Input[FME_ID],FME_Input[DESCR])</f>
        <v>H&amp;H Study to analyze most efficient alternatives for constructing a stormwater detention pond in the vicinity of Tiger Creek.</v>
      </c>
      <c r="E701" s="256">
        <f>_xlfn.XLOOKUP(FME_Ranking1[[#This Row],[FME ID]],FME_Input[FME_ID],FME_Input[FME_COST])</f>
        <v>100000</v>
      </c>
      <c r="F701" t="str">
        <f>_xlfn.XLOOKUP(FME_Ranking1[[#This Row],[FME ID]],FME_Input[FME_ID],FME_Input[EMER_NEED])</f>
        <v>Yes</v>
      </c>
      <c r="G701">
        <f>IF(FME_Ranking!F701="Yes",100,0)</f>
        <v>100</v>
      </c>
      <c r="H701">
        <f>FME_Ranking1[[#This Row],[Emergency Need Score (Normalized, Unweighted)]]*$F$3</f>
        <v>0</v>
      </c>
      <c r="I701" s="246">
        <f>_xlfn.XLOOKUP(FME_Ranking1[[#This Row],[FME ID]],FME_Input[FME_ID],FME_Input[STRUCT_100])</f>
        <v>848</v>
      </c>
      <c r="J701" s="178">
        <f>(FME_Ranking1[[#This Row],[Structures 100 Raw]]/I$2)*100</f>
        <v>0.45409758814205547</v>
      </c>
      <c r="K701" s="178">
        <f>FME_Ranking1[[#This Row],[Structures 100  Score (Normalized, Unweighted)]]*$I$3</f>
        <v>6.8114638221308324E-2</v>
      </c>
      <c r="L701" s="246">
        <f>_xlfn.XLOOKUP(FME_Ranking1[[#This Row],[FME ID]],FME_Input[FME_ID],FME_Input[RES_STRUCT100])</f>
        <v>762</v>
      </c>
      <c r="M701" s="230">
        <f>(FME_Ranking1[[#This Row],[Res Structures Raw]]/L$2)*100</f>
        <v>0.53972886061962577</v>
      </c>
      <c r="N701" s="180">
        <f>FME_Ranking1[[#This Row],[Res Structures Score (Normalized, Unweighted)]]*$L$3</f>
        <v>5.3972886061962579E-2</v>
      </c>
      <c r="O701" s="244">
        <f>_xlfn.XLOOKUP(FME_Ranking1[[#This Row],[FME ID]],FME_Input[FME_ID],FME_Input[POP100])</f>
        <v>1290</v>
      </c>
      <c r="P701" s="178">
        <f>(FME_Ranking1[[#This Row],[Pop Raw]]/$O$2)*100</f>
        <v>0.13206415246550465</v>
      </c>
      <c r="Q701" s="178">
        <f>FME_Ranking1[[#This Row],[Pop Score (Normalized, Unweighted)]]*$O$3</f>
        <v>1.9809622869825697E-2</v>
      </c>
      <c r="R701" s="137">
        <f>_xlfn.XLOOKUP(FME_Ranking1[[#This Row],[FME ID]],FME_Input[FME_ID],FME_Input[CRITFAC100])</f>
        <v>0</v>
      </c>
      <c r="S701" s="230">
        <f>(FME_Ranking1[[#This Row],[Critical Facilities Raw]]/$R$2)*100</f>
        <v>0</v>
      </c>
      <c r="T701" s="180">
        <f>FME_Ranking1[[#This Row],[Critical Facilities Score (Normalized, Unweighted)]]*$R$3</f>
        <v>0</v>
      </c>
      <c r="U701">
        <f>_xlfn.XLOOKUP(FME_Ranking1[[#This Row],[FME ID]],FME_Input[FME_ID],FME_Input[LWC])</f>
        <v>5</v>
      </c>
      <c r="V701" s="178">
        <f>(FME_Ranking1[[#This Row],[LWC Raw]]/$U$2)*100</f>
        <v>0.28785261945883706</v>
      </c>
      <c r="W701" s="178">
        <f>FME_Ranking1[[#This Row],[LWC Score (Normalized, Unweighted)]]*$U$3</f>
        <v>5.7570523891767415E-2</v>
      </c>
      <c r="X701" s="246">
        <f>_xlfn.XLOOKUP(FME_Ranking1[[#This Row],[FME ID]],FME_Input[FME_ID],FME_Input[ROADCLS])</f>
        <v>5</v>
      </c>
      <c r="Y701" s="230">
        <f>(FME_Ranking1[[#This Row],[Closures Raw]]/$X$2)*100</f>
        <v>5.2570707601724324E-2</v>
      </c>
      <c r="Z701" s="180">
        <f>FME_Ranking1[[#This Row],[Closures Score (Normalized, Unweighted)]]*$X$3</f>
        <v>2.6285353800862164E-3</v>
      </c>
      <c r="AA701" s="253">
        <f>_xlfn.XLOOKUP(FME_Ranking1[[#This Row],[FME ID]],FME_Input[FME_ID],FME_Input[ROAD_MILES100])</f>
        <v>17.357673645019531</v>
      </c>
      <c r="AB701" s="178">
        <f>(FME_Ranking1[[#This Row],[Miles Raw]]/$AA$2)*100</f>
        <v>0.22822227598277867</v>
      </c>
      <c r="AC701" s="178">
        <f>FME_Ranking1[[#This Row],[Miles Score (Normalized, Unweighted)]]*$AA$3</f>
        <v>2.2822227598277869E-2</v>
      </c>
      <c r="AD701" s="255">
        <f>_xlfn.XLOOKUP(FME_Ranking1[[#This Row],[FME ID]],FME_Input[FME_ID],FME_Input[FARMACRE100])</f>
        <v>15.306471824646</v>
      </c>
      <c r="AE701" s="230">
        <f>(FME_Ranking1[[#This Row],[Ag Land Raw]]/$AD$2)*100</f>
        <v>6.3117037857080558E-4</v>
      </c>
      <c r="AF701" s="231">
        <f>FME_Ranking1[[#This Row],[Ag Land Score (Normalized, Unweighted)]]*$AD$3</f>
        <v>3.155851892854028E-5</v>
      </c>
      <c r="AG70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0.22494999254215667</v>
      </c>
      <c r="AH701" s="406">
        <f t="shared" si="10"/>
        <v>759</v>
      </c>
      <c r="AI70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0.22494999254215667</v>
      </c>
      <c r="AJ701" s="257">
        <f>FME_Ranking1[[#This Row],[Addition check]]-FME_Ranking1[[#This Row],[Weighted Score Based on Normalized Reported Factors]]</f>
        <v>0</v>
      </c>
      <c r="AK701" s="178">
        <f>_xlfn.RANK.EQ(AI701,$AI$6:$AI$2341,0)+COUNTIF($AI$6:AI701,AI701)-1</f>
        <v>760</v>
      </c>
    </row>
    <row r="702" spans="1:37" x14ac:dyDescent="0.25">
      <c r="A702" t="s">
        <v>8164</v>
      </c>
      <c r="B702">
        <f>_xlfn.XLOOKUP(FME_Ranking1[[#This Row],[FME ID]],FME_Input[FME_ID],FME_Input[RFPG_NUM])</f>
        <v>9</v>
      </c>
      <c r="C702" t="str">
        <f>_xlfn.XLOOKUP(FME_Ranking1[[#This Row],[FME ID]],FME_Input[FME_ID],FME_Input[FME_NAME])</f>
        <v>Coke County FEMA Mapping</v>
      </c>
      <c r="D702" t="str">
        <f>_xlfn.XLOOKUP(FME_Ranking1[[#This Row],[FME ID]],FME_Input[FME_ID],FME_Input[DESCR])</f>
        <v>Create FEMA Mapping in previously unmapped areas</v>
      </c>
      <c r="E702" s="256">
        <f>_xlfn.XLOOKUP(FME_Ranking1[[#This Row],[FME ID]],FME_Input[FME_ID],FME_Input[FME_COST])</f>
        <v>920000</v>
      </c>
      <c r="F702" t="str">
        <f>_xlfn.XLOOKUP(FME_Ranking1[[#This Row],[FME ID]],FME_Input[FME_ID],FME_Input[EMER_NEED])</f>
        <v>No</v>
      </c>
      <c r="G702">
        <f>IF(FME_Ranking!F702="Yes",100,0)</f>
        <v>0</v>
      </c>
      <c r="H702">
        <f>FME_Ranking1[[#This Row],[Emergency Need Score (Normalized, Unweighted)]]*$F$3</f>
        <v>0</v>
      </c>
      <c r="I702" s="246">
        <f>_xlfn.XLOOKUP(FME_Ranking1[[#This Row],[FME ID]],FME_Input[FME_ID],FME_Input[STRUCT_100])</f>
        <v>245</v>
      </c>
      <c r="J702" s="178">
        <f>(FME_Ranking1[[#This Row],[Structures 100 Raw]]/I$2)*100</f>
        <v>0.13119564751745705</v>
      </c>
      <c r="K702" s="178">
        <f>FME_Ranking1[[#This Row],[Structures 100  Score (Normalized, Unweighted)]]*$I$3</f>
        <v>1.9679347127618558E-2</v>
      </c>
      <c r="L702" s="246">
        <f>_xlfn.XLOOKUP(FME_Ranking1[[#This Row],[FME ID]],FME_Input[FME_ID],FME_Input[RES_STRUCT100])</f>
        <v>104</v>
      </c>
      <c r="M702" s="230">
        <f>(FME_Ranking1[[#This Row],[Res Structures Raw]]/L$2)*100</f>
        <v>7.3663781501891179E-2</v>
      </c>
      <c r="N702" s="180">
        <f>FME_Ranking1[[#This Row],[Res Structures Score (Normalized, Unweighted)]]*$L$3</f>
        <v>7.3663781501891179E-3</v>
      </c>
      <c r="O702" s="244">
        <f>_xlfn.XLOOKUP(FME_Ranking1[[#This Row],[FME ID]],FME_Input[FME_ID],FME_Input[POP100])</f>
        <v>123</v>
      </c>
      <c r="P702" s="178">
        <f>(FME_Ranking1[[#This Row],[Pop Raw]]/$O$2)*100</f>
        <v>1.2592163374617884E-2</v>
      </c>
      <c r="Q702" s="178">
        <f>FME_Ranking1[[#This Row],[Pop Score (Normalized, Unweighted)]]*$O$3</f>
        <v>1.8888245061926825E-3</v>
      </c>
      <c r="R702" s="137">
        <f>_xlfn.XLOOKUP(FME_Ranking1[[#This Row],[FME ID]],FME_Input[FME_ID],FME_Input[CRITFAC100])</f>
        <v>0</v>
      </c>
      <c r="S702" s="230">
        <f>(FME_Ranking1[[#This Row],[Critical Facilities Raw]]/$R$2)*100</f>
        <v>0</v>
      </c>
      <c r="T702" s="180">
        <f>FME_Ranking1[[#This Row],[Critical Facilities Score (Normalized, Unweighted)]]*$R$3</f>
        <v>0</v>
      </c>
      <c r="U702">
        <f>_xlfn.XLOOKUP(FME_Ranking1[[#This Row],[FME ID]],FME_Input[FME_ID],FME_Input[LWC])</f>
        <v>14</v>
      </c>
      <c r="V702" s="178">
        <f>(FME_Ranking1[[#This Row],[LWC Raw]]/$U$2)*100</f>
        <v>0.80598733448474369</v>
      </c>
      <c r="W702" s="178">
        <f>FME_Ranking1[[#This Row],[LWC Score (Normalized, Unweighted)]]*$U$3</f>
        <v>0.16119746689694875</v>
      </c>
      <c r="X702" s="246">
        <f>_xlfn.XLOOKUP(FME_Ranking1[[#This Row],[FME ID]],FME_Input[FME_ID],FME_Input[ROADCLS])</f>
        <v>0</v>
      </c>
      <c r="Y702" s="230">
        <f>(FME_Ranking1[[#This Row],[Closures Raw]]/$X$2)*100</f>
        <v>0</v>
      </c>
      <c r="Z702" s="180">
        <f>FME_Ranking1[[#This Row],[Closures Score (Normalized, Unweighted)]]*$X$3</f>
        <v>0</v>
      </c>
      <c r="AA702" s="253">
        <f>_xlfn.XLOOKUP(FME_Ranking1[[#This Row],[FME ID]],FME_Input[FME_ID],FME_Input[ROAD_MILES100])</f>
        <v>55.430126190185547</v>
      </c>
      <c r="AB702" s="178">
        <f>(FME_Ranking1[[#This Row],[Miles Raw]]/$AA$2)*100</f>
        <v>0.72880674080230634</v>
      </c>
      <c r="AC702" s="178">
        <f>FME_Ranking1[[#This Row],[Miles Score (Normalized, Unweighted)]]*$AA$3</f>
        <v>7.2880674080230634E-2</v>
      </c>
      <c r="AD702" s="255">
        <f>_xlfn.XLOOKUP(FME_Ranking1[[#This Row],[FME ID]],FME_Input[FME_ID],FME_Input[FARMACRE100])</f>
        <v>5509.60693359375</v>
      </c>
      <c r="AE702" s="230">
        <f>(FME_Ranking1[[#This Row],[Ag Land Raw]]/$AD$2)*100</f>
        <v>0.22719152616564064</v>
      </c>
      <c r="AF702" s="231">
        <f>FME_Ranking1[[#This Row],[Ag Land Score (Normalized, Unweighted)]]*$AD$3</f>
        <v>1.1359576308282033E-2</v>
      </c>
      <c r="AG70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0.27437226706946177</v>
      </c>
      <c r="AH702" s="406">
        <f t="shared" si="10"/>
        <v>647</v>
      </c>
      <c r="AI70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0.27437226706946177</v>
      </c>
      <c r="AJ702" s="257">
        <f>FME_Ranking1[[#This Row],[Addition check]]-FME_Ranking1[[#This Row],[Weighted Score Based on Normalized Reported Factors]]</f>
        <v>0</v>
      </c>
      <c r="AK702" s="178">
        <f>_xlfn.RANK.EQ(AI702,$AI$6:$AI$2341,0)+COUNTIF($AI$6:AI702,AI702)-1</f>
        <v>647</v>
      </c>
    </row>
    <row r="703" spans="1:37" x14ac:dyDescent="0.25">
      <c r="A703" t="s">
        <v>8236</v>
      </c>
      <c r="B703">
        <f>_xlfn.XLOOKUP(FME_Ranking1[[#This Row],[FME ID]],FME_Input[FME_ID],FME_Input[RFPG_NUM])</f>
        <v>9</v>
      </c>
      <c r="C703" t="str">
        <f>_xlfn.XLOOKUP(FME_Ranking1[[#This Row],[FME ID]],FME_Input[FME_ID],FME_Input[FME_NAME])</f>
        <v>Coke County DMP</v>
      </c>
      <c r="D703" t="str">
        <f>_xlfn.XLOOKUP(FME_Ranking1[[#This Row],[FME ID]],FME_Input[FME_ID],FME_Input[DESCR])</f>
        <v xml:space="preserve">Create Drainage Master Plan, including evaluation of potential mitigation projects. </v>
      </c>
      <c r="E703" s="256">
        <f>_xlfn.XLOOKUP(FME_Ranking1[[#This Row],[FME ID]],FME_Input[FME_ID],FME_Input[FME_COST])</f>
        <v>500000</v>
      </c>
      <c r="F703" t="str">
        <f>_xlfn.XLOOKUP(FME_Ranking1[[#This Row],[FME ID]],FME_Input[FME_ID],FME_Input[EMER_NEED])</f>
        <v>No</v>
      </c>
      <c r="G703">
        <f>IF(FME_Ranking!F703="Yes",100,0)</f>
        <v>0</v>
      </c>
      <c r="H703">
        <f>FME_Ranking1[[#This Row],[Emergency Need Score (Normalized, Unweighted)]]*$F$3</f>
        <v>0</v>
      </c>
      <c r="I703" s="246">
        <f>_xlfn.XLOOKUP(FME_Ranking1[[#This Row],[FME ID]],FME_Input[FME_ID],FME_Input[STRUCT_100])</f>
        <v>245</v>
      </c>
      <c r="J703" s="178">
        <f>(FME_Ranking1[[#This Row],[Structures 100 Raw]]/I$2)*100</f>
        <v>0.13119564751745705</v>
      </c>
      <c r="K703" s="178">
        <f>FME_Ranking1[[#This Row],[Structures 100  Score (Normalized, Unweighted)]]*$I$3</f>
        <v>1.9679347127618558E-2</v>
      </c>
      <c r="L703" s="246">
        <f>_xlfn.XLOOKUP(FME_Ranking1[[#This Row],[FME ID]],FME_Input[FME_ID],FME_Input[RES_STRUCT100])</f>
        <v>104</v>
      </c>
      <c r="M703" s="230">
        <f>(FME_Ranking1[[#This Row],[Res Structures Raw]]/L$2)*100</f>
        <v>7.3663781501891179E-2</v>
      </c>
      <c r="N703" s="180">
        <f>FME_Ranking1[[#This Row],[Res Structures Score (Normalized, Unweighted)]]*$L$3</f>
        <v>7.3663781501891179E-3</v>
      </c>
      <c r="O703" s="244">
        <f>_xlfn.XLOOKUP(FME_Ranking1[[#This Row],[FME ID]],FME_Input[FME_ID],FME_Input[POP100])</f>
        <v>123</v>
      </c>
      <c r="P703" s="178">
        <f>(FME_Ranking1[[#This Row],[Pop Raw]]/$O$2)*100</f>
        <v>1.2592163374617884E-2</v>
      </c>
      <c r="Q703" s="178">
        <f>FME_Ranking1[[#This Row],[Pop Score (Normalized, Unweighted)]]*$O$3</f>
        <v>1.8888245061926825E-3</v>
      </c>
      <c r="R703" s="137">
        <f>_xlfn.XLOOKUP(FME_Ranking1[[#This Row],[FME ID]],FME_Input[FME_ID],FME_Input[CRITFAC100])</f>
        <v>0</v>
      </c>
      <c r="S703" s="230">
        <f>(FME_Ranking1[[#This Row],[Critical Facilities Raw]]/$R$2)*100</f>
        <v>0</v>
      </c>
      <c r="T703" s="180">
        <f>FME_Ranking1[[#This Row],[Critical Facilities Score (Normalized, Unweighted)]]*$R$3</f>
        <v>0</v>
      </c>
      <c r="U703">
        <f>_xlfn.XLOOKUP(FME_Ranking1[[#This Row],[FME ID]],FME_Input[FME_ID],FME_Input[LWC])</f>
        <v>14</v>
      </c>
      <c r="V703" s="178">
        <f>(FME_Ranking1[[#This Row],[LWC Raw]]/$U$2)*100</f>
        <v>0.80598733448474369</v>
      </c>
      <c r="W703" s="178">
        <f>FME_Ranking1[[#This Row],[LWC Score (Normalized, Unweighted)]]*$U$3</f>
        <v>0.16119746689694875</v>
      </c>
      <c r="X703" s="246">
        <f>_xlfn.XLOOKUP(FME_Ranking1[[#This Row],[FME ID]],FME_Input[FME_ID],FME_Input[ROADCLS])</f>
        <v>0</v>
      </c>
      <c r="Y703" s="230">
        <f>(FME_Ranking1[[#This Row],[Closures Raw]]/$X$2)*100</f>
        <v>0</v>
      </c>
      <c r="Z703" s="180">
        <f>FME_Ranking1[[#This Row],[Closures Score (Normalized, Unweighted)]]*$X$3</f>
        <v>0</v>
      </c>
      <c r="AA703" s="253">
        <f>_xlfn.XLOOKUP(FME_Ranking1[[#This Row],[FME ID]],FME_Input[FME_ID],FME_Input[ROAD_MILES100])</f>
        <v>55.430126190185547</v>
      </c>
      <c r="AB703" s="178">
        <f>(FME_Ranking1[[#This Row],[Miles Raw]]/$AA$2)*100</f>
        <v>0.72880674080230634</v>
      </c>
      <c r="AC703" s="178">
        <f>FME_Ranking1[[#This Row],[Miles Score (Normalized, Unweighted)]]*$AA$3</f>
        <v>7.2880674080230634E-2</v>
      </c>
      <c r="AD703" s="255">
        <f>_xlfn.XLOOKUP(FME_Ranking1[[#This Row],[FME ID]],FME_Input[FME_ID],FME_Input[FARMACRE100])</f>
        <v>5509.60693359375</v>
      </c>
      <c r="AE703" s="230">
        <f>(FME_Ranking1[[#This Row],[Ag Land Raw]]/$AD$2)*100</f>
        <v>0.22719152616564064</v>
      </c>
      <c r="AF703" s="231">
        <f>FME_Ranking1[[#This Row],[Ag Land Score (Normalized, Unweighted)]]*$AD$3</f>
        <v>1.1359576308282033E-2</v>
      </c>
      <c r="AG70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0.27437226706946177</v>
      </c>
      <c r="AH703" s="406">
        <f t="shared" si="10"/>
        <v>647</v>
      </c>
      <c r="AI70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0.27437226706946177</v>
      </c>
      <c r="AJ703" s="257">
        <f>FME_Ranking1[[#This Row],[Addition check]]-FME_Ranking1[[#This Row],[Weighted Score Based on Normalized Reported Factors]]</f>
        <v>0</v>
      </c>
      <c r="AK703" s="178">
        <f>_xlfn.RANK.EQ(AI703,$AI$6:$AI$2341,0)+COUNTIF($AI$6:AI703,AI703)-1</f>
        <v>648</v>
      </c>
    </row>
    <row r="704" spans="1:37" x14ac:dyDescent="0.25">
      <c r="A704" t="s">
        <v>8239</v>
      </c>
      <c r="B704">
        <f>_xlfn.XLOOKUP(FME_Ranking1[[#This Row],[FME ID]],FME_Input[FME_ID],FME_Input[RFPG_NUM])</f>
        <v>9</v>
      </c>
      <c r="C704" t="str">
        <f>_xlfn.XLOOKUP(FME_Ranking1[[#This Row],[FME ID]],FME_Input[FME_ID],FME_Input[FME_NAME])</f>
        <v>Coke County GIS Development</v>
      </c>
      <c r="D704" t="str">
        <f>_xlfn.XLOOKUP(FME_Ranking1[[#This Row],[FME ID]],FME_Input[FME_ID],FME_Input[DESCR])</f>
        <v>Develop a GIS inventory of stormwater infrastructure</v>
      </c>
      <c r="E704" s="256">
        <f>_xlfn.XLOOKUP(FME_Ranking1[[#This Row],[FME ID]],FME_Input[FME_ID],FME_Input[FME_COST])</f>
        <v>100000</v>
      </c>
      <c r="F704" t="str">
        <f>_xlfn.XLOOKUP(FME_Ranking1[[#This Row],[FME ID]],FME_Input[FME_ID],FME_Input[EMER_NEED])</f>
        <v>No</v>
      </c>
      <c r="G704">
        <f>IF(FME_Ranking!F704="Yes",100,0)</f>
        <v>0</v>
      </c>
      <c r="H704">
        <f>FME_Ranking1[[#This Row],[Emergency Need Score (Normalized, Unweighted)]]*$F$3</f>
        <v>0</v>
      </c>
      <c r="I704" s="246">
        <f>_xlfn.XLOOKUP(FME_Ranking1[[#This Row],[FME ID]],FME_Input[FME_ID],FME_Input[STRUCT_100])</f>
        <v>245</v>
      </c>
      <c r="J704" s="178">
        <f>(FME_Ranking1[[#This Row],[Structures 100 Raw]]/I$2)*100</f>
        <v>0.13119564751745705</v>
      </c>
      <c r="K704" s="178">
        <f>FME_Ranking1[[#This Row],[Structures 100  Score (Normalized, Unweighted)]]*$I$3</f>
        <v>1.9679347127618558E-2</v>
      </c>
      <c r="L704" s="246">
        <f>_xlfn.XLOOKUP(FME_Ranking1[[#This Row],[FME ID]],FME_Input[FME_ID],FME_Input[RES_STRUCT100])</f>
        <v>104</v>
      </c>
      <c r="M704" s="230">
        <f>(FME_Ranking1[[#This Row],[Res Structures Raw]]/L$2)*100</f>
        <v>7.3663781501891179E-2</v>
      </c>
      <c r="N704" s="180">
        <f>FME_Ranking1[[#This Row],[Res Structures Score (Normalized, Unweighted)]]*$L$3</f>
        <v>7.3663781501891179E-3</v>
      </c>
      <c r="O704" s="244">
        <f>_xlfn.XLOOKUP(FME_Ranking1[[#This Row],[FME ID]],FME_Input[FME_ID],FME_Input[POP100])</f>
        <v>123</v>
      </c>
      <c r="P704" s="178">
        <f>(FME_Ranking1[[#This Row],[Pop Raw]]/$O$2)*100</f>
        <v>1.2592163374617884E-2</v>
      </c>
      <c r="Q704" s="178">
        <f>FME_Ranking1[[#This Row],[Pop Score (Normalized, Unweighted)]]*$O$3</f>
        <v>1.8888245061926825E-3</v>
      </c>
      <c r="R704" s="137">
        <f>_xlfn.XLOOKUP(FME_Ranking1[[#This Row],[FME ID]],FME_Input[FME_ID],FME_Input[CRITFAC100])</f>
        <v>0</v>
      </c>
      <c r="S704" s="230">
        <f>(FME_Ranking1[[#This Row],[Critical Facilities Raw]]/$R$2)*100</f>
        <v>0</v>
      </c>
      <c r="T704" s="180">
        <f>FME_Ranking1[[#This Row],[Critical Facilities Score (Normalized, Unweighted)]]*$R$3</f>
        <v>0</v>
      </c>
      <c r="U704">
        <f>_xlfn.XLOOKUP(FME_Ranking1[[#This Row],[FME ID]],FME_Input[FME_ID],FME_Input[LWC])</f>
        <v>14</v>
      </c>
      <c r="V704" s="178">
        <f>(FME_Ranking1[[#This Row],[LWC Raw]]/$U$2)*100</f>
        <v>0.80598733448474369</v>
      </c>
      <c r="W704" s="178">
        <f>FME_Ranking1[[#This Row],[LWC Score (Normalized, Unweighted)]]*$U$3</f>
        <v>0.16119746689694875</v>
      </c>
      <c r="X704" s="246">
        <f>_xlfn.XLOOKUP(FME_Ranking1[[#This Row],[FME ID]],FME_Input[FME_ID],FME_Input[ROADCLS])</f>
        <v>0</v>
      </c>
      <c r="Y704" s="230">
        <f>(FME_Ranking1[[#This Row],[Closures Raw]]/$X$2)*100</f>
        <v>0</v>
      </c>
      <c r="Z704" s="180">
        <f>FME_Ranking1[[#This Row],[Closures Score (Normalized, Unweighted)]]*$X$3</f>
        <v>0</v>
      </c>
      <c r="AA704" s="253">
        <f>_xlfn.XLOOKUP(FME_Ranking1[[#This Row],[FME ID]],FME_Input[FME_ID],FME_Input[ROAD_MILES100])</f>
        <v>55.430126190185547</v>
      </c>
      <c r="AB704" s="178">
        <f>(FME_Ranking1[[#This Row],[Miles Raw]]/$AA$2)*100</f>
        <v>0.72880674080230634</v>
      </c>
      <c r="AC704" s="178">
        <f>FME_Ranking1[[#This Row],[Miles Score (Normalized, Unweighted)]]*$AA$3</f>
        <v>7.2880674080230634E-2</v>
      </c>
      <c r="AD704" s="255">
        <f>_xlfn.XLOOKUP(FME_Ranking1[[#This Row],[FME ID]],FME_Input[FME_ID],FME_Input[FARMACRE100])</f>
        <v>5509.60693359375</v>
      </c>
      <c r="AE704" s="230">
        <f>(FME_Ranking1[[#This Row],[Ag Land Raw]]/$AD$2)*100</f>
        <v>0.22719152616564064</v>
      </c>
      <c r="AF704" s="231">
        <f>FME_Ranking1[[#This Row],[Ag Land Score (Normalized, Unweighted)]]*$AD$3</f>
        <v>1.1359576308282033E-2</v>
      </c>
      <c r="AG70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0.27437226706946177</v>
      </c>
      <c r="AH704" s="406">
        <f t="shared" si="10"/>
        <v>647</v>
      </c>
      <c r="AI70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0.27437226706946177</v>
      </c>
      <c r="AJ704" s="257">
        <f>FME_Ranking1[[#This Row],[Addition check]]-FME_Ranking1[[#This Row],[Weighted Score Based on Normalized Reported Factors]]</f>
        <v>0</v>
      </c>
      <c r="AK704" s="178">
        <f>_xlfn.RANK.EQ(AI704,$AI$6:$AI$2341,0)+COUNTIF($AI$6:AI704,AI704)-1</f>
        <v>649</v>
      </c>
    </row>
    <row r="705" spans="1:37" x14ac:dyDescent="0.25">
      <c r="A705" t="s">
        <v>3769</v>
      </c>
      <c r="B705">
        <f>_xlfn.XLOOKUP(FME_Ranking1[[#This Row],[FME ID]],FME_Input[FME_ID],FME_Input[RFPG_NUM])</f>
        <v>2</v>
      </c>
      <c r="C705" t="str">
        <f>_xlfn.XLOOKUP(FME_Ranking1[[#This Row],[FME ID]],FME_Input[FME_ID],FME_Input[FME_NAME])</f>
        <v>Update to City of Paris Comprehensive Stormwater Plan Study</v>
      </c>
      <c r="D705" t="str">
        <f>_xlfn.XLOOKUP(FME_Ranking1[[#This Row],[FME ID]],FME_Input[FME_ID],FME_Input[DESCR])</f>
        <v>Comprehensive Hydrologic and Hydraulic study to evaluate drainage improvements along 5th St., 7th St., Trail de Paris, E. Sycamore, 31st St., Wilburn St., and 4th St.</v>
      </c>
      <c r="E705" s="256">
        <f>_xlfn.XLOOKUP(FME_Ranking1[[#This Row],[FME ID]],FME_Input[FME_ID],FME_Input[FME_COST])</f>
        <v>250000</v>
      </c>
      <c r="F705" t="str">
        <f>_xlfn.XLOOKUP(FME_Ranking1[[#This Row],[FME ID]],FME_Input[FME_ID],FME_Input[EMER_NEED])</f>
        <v>No</v>
      </c>
      <c r="G705">
        <f>IF(FME_Ranking!F705="Yes",100,0)</f>
        <v>0</v>
      </c>
      <c r="H705">
        <f>FME_Ranking1[[#This Row],[Emergency Need Score (Normalized, Unweighted)]]*$F$3</f>
        <v>0</v>
      </c>
      <c r="I705" s="246">
        <f>_xlfn.XLOOKUP(FME_Ranking1[[#This Row],[FME ID]],FME_Input[FME_ID],FME_Input[STRUCT_100])</f>
        <v>612</v>
      </c>
      <c r="J705" s="178">
        <f>(FME_Ranking1[[#This Row],[Structures 100 Raw]]/I$2)*100</f>
        <v>0.32772137257421924</v>
      </c>
      <c r="K705" s="178">
        <f>FME_Ranking1[[#This Row],[Structures 100  Score (Normalized, Unweighted)]]*$I$3</f>
        <v>4.9158205886132886E-2</v>
      </c>
      <c r="L705" s="246">
        <f>_xlfn.XLOOKUP(FME_Ranking1[[#This Row],[FME ID]],FME_Input[FME_ID],FME_Input[RES_STRUCT100])</f>
        <v>459</v>
      </c>
      <c r="M705" s="230">
        <f>(FME_Ranking1[[#This Row],[Res Structures Raw]]/L$2)*100</f>
        <v>0.32511226643623126</v>
      </c>
      <c r="N705" s="180">
        <f>FME_Ranking1[[#This Row],[Res Structures Score (Normalized, Unweighted)]]*$L$3</f>
        <v>3.2511226643623124E-2</v>
      </c>
      <c r="O705" s="244">
        <f>_xlfn.XLOOKUP(FME_Ranking1[[#This Row],[FME ID]],FME_Input[FME_ID],FME_Input[POP100])</f>
        <v>2747</v>
      </c>
      <c r="P705" s="178">
        <f>(FME_Ranking1[[#This Row],[Pop Raw]]/$O$2)*100</f>
        <v>0.28122498203313273</v>
      </c>
      <c r="Q705" s="178">
        <f>FME_Ranking1[[#This Row],[Pop Score (Normalized, Unweighted)]]*$O$3</f>
        <v>4.2183747304969911E-2</v>
      </c>
      <c r="R705" s="137">
        <f>_xlfn.XLOOKUP(FME_Ranking1[[#This Row],[FME ID]],FME_Input[FME_ID],FME_Input[CRITFAC100])</f>
        <v>9</v>
      </c>
      <c r="S705" s="230">
        <f>(FME_Ranking1[[#This Row],[Critical Facilities Raw]]/$R$2)*100</f>
        <v>0.38593481989708406</v>
      </c>
      <c r="T705" s="180">
        <f>FME_Ranking1[[#This Row],[Critical Facilities Score (Normalized, Unweighted)]]*$R$3</f>
        <v>7.7186963979416823E-2</v>
      </c>
      <c r="U705">
        <f>_xlfn.XLOOKUP(FME_Ranking1[[#This Row],[FME ID]],FME_Input[FME_ID],FME_Input[LWC])</f>
        <v>0</v>
      </c>
      <c r="V705" s="178">
        <f>(FME_Ranking1[[#This Row],[LWC Raw]]/$U$2)*100</f>
        <v>0</v>
      </c>
      <c r="W705" s="178">
        <f>FME_Ranking1[[#This Row],[LWC Score (Normalized, Unweighted)]]*$U$3</f>
        <v>0</v>
      </c>
      <c r="X705" s="246">
        <f>_xlfn.XLOOKUP(FME_Ranking1[[#This Row],[FME ID]],FME_Input[FME_ID],FME_Input[ROADCLS])</f>
        <v>0</v>
      </c>
      <c r="Y705" s="230">
        <f>(FME_Ranking1[[#This Row],[Closures Raw]]/$X$2)*100</f>
        <v>0</v>
      </c>
      <c r="Z705" s="180">
        <f>FME_Ranking1[[#This Row],[Closures Score (Normalized, Unweighted)]]*$X$3</f>
        <v>0</v>
      </c>
      <c r="AA705" s="253">
        <f>_xlfn.XLOOKUP(FME_Ranking1[[#This Row],[FME ID]],FME_Input[FME_ID],FME_Input[ROAD_MILES100])</f>
        <v>12.812558174133301</v>
      </c>
      <c r="AB705" s="178">
        <f>(FME_Ranking1[[#This Row],[Miles Raw]]/$AA$2)*100</f>
        <v>0.16846215958792829</v>
      </c>
      <c r="AC705" s="178">
        <f>FME_Ranking1[[#This Row],[Miles Score (Normalized, Unweighted)]]*$AA$3</f>
        <v>1.6846215958792831E-2</v>
      </c>
      <c r="AD705" s="255">
        <f>_xlfn.XLOOKUP(FME_Ranking1[[#This Row],[FME ID]],FME_Input[FME_ID],FME_Input[FARMACRE100])</f>
        <v>164.33416748046881</v>
      </c>
      <c r="AE705" s="230">
        <f>(FME_Ranking1[[#This Row],[Ag Land Raw]]/$AD$2)*100</f>
        <v>6.7764054243875053E-3</v>
      </c>
      <c r="AF705" s="231">
        <f>FME_Ranking1[[#This Row],[Ag Land Score (Normalized, Unweighted)]]*$AD$3</f>
        <v>3.3882027121937529E-4</v>
      </c>
      <c r="AG70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0.21822518004415492</v>
      </c>
      <c r="AH705" s="406">
        <f t="shared" si="10"/>
        <v>777</v>
      </c>
      <c r="AI70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0.21822518004415492</v>
      </c>
      <c r="AJ705" s="257">
        <f>FME_Ranking1[[#This Row],[Addition check]]-FME_Ranking1[[#This Row],[Weighted Score Based on Normalized Reported Factors]]</f>
        <v>0</v>
      </c>
      <c r="AK705" s="178">
        <f>_xlfn.RANK.EQ(AI705,$AI$6:$AI$2341,0)+COUNTIF($AI$6:AI705,AI705)-1</f>
        <v>777</v>
      </c>
    </row>
    <row r="706" spans="1:37" x14ac:dyDescent="0.25">
      <c r="A706" t="s">
        <v>6701</v>
      </c>
      <c r="B706">
        <f>_xlfn.XLOOKUP(FME_Ranking1[[#This Row],[FME ID]],FME_Input[FME_ID],FME_Input[RFPG_NUM])</f>
        <v>7</v>
      </c>
      <c r="C706" t="str">
        <f>_xlfn.XLOOKUP(FME_Ranking1[[#This Row],[FME ID]],FME_Input[FME_ID],FME_Input[FME_NAME])</f>
        <v>Lynn County Initial FEMA Mapping</v>
      </c>
      <c r="D706" t="str">
        <f>_xlfn.XLOOKUP(FME_Ranking1[[#This Row],[FME ID]],FME_Input[FME_ID],FME_Input[DESCR])</f>
        <v>Create FEMA Mapping in previously unmapped areas</v>
      </c>
      <c r="E706" s="256">
        <f>_xlfn.XLOOKUP(FME_Ranking1[[#This Row],[FME ID]],FME_Input[FME_ID],FME_Input[FME_COST])</f>
        <v>778000</v>
      </c>
      <c r="F706" t="str">
        <f>_xlfn.XLOOKUP(FME_Ranking1[[#This Row],[FME ID]],FME_Input[FME_ID],FME_Input[EMER_NEED])</f>
        <v>No</v>
      </c>
      <c r="G706">
        <f>IF(FME_Ranking!F706="Yes",100,0)</f>
        <v>0</v>
      </c>
      <c r="H706">
        <f>FME_Ranking1[[#This Row],[Emergency Need Score (Normalized, Unweighted)]]*$F$3</f>
        <v>0</v>
      </c>
      <c r="I706" s="246">
        <f>_xlfn.XLOOKUP(FME_Ranking1[[#This Row],[FME ID]],FME_Input[FME_ID],FME_Input[STRUCT_100])</f>
        <v>81</v>
      </c>
      <c r="J706" s="178">
        <f>(FME_Ranking1[[#This Row],[Structures 100 Raw]]/I$2)*100</f>
        <v>4.3374887546587838E-2</v>
      </c>
      <c r="K706" s="178">
        <f>FME_Ranking1[[#This Row],[Structures 100  Score (Normalized, Unweighted)]]*$I$3</f>
        <v>6.5062331319881758E-3</v>
      </c>
      <c r="L706" s="246">
        <f>_xlfn.XLOOKUP(FME_Ranking1[[#This Row],[FME ID]],FME_Input[FME_ID],FME_Input[RES_STRUCT100])</f>
        <v>29</v>
      </c>
      <c r="M706" s="230">
        <f>(FME_Ranking1[[#This Row],[Res Structures Raw]]/L$2)*100</f>
        <v>2.0540862149565808E-2</v>
      </c>
      <c r="N706" s="180">
        <f>FME_Ranking1[[#This Row],[Res Structures Score (Normalized, Unweighted)]]*$L$3</f>
        <v>2.0540862149565809E-3</v>
      </c>
      <c r="O706" s="244">
        <f>_xlfn.XLOOKUP(FME_Ranking1[[#This Row],[FME ID]],FME_Input[FME_ID],FME_Input[POP100])</f>
        <v>217</v>
      </c>
      <c r="P706" s="178">
        <f>(FME_Ranking1[[#This Row],[Pop Raw]]/$O$2)*100</f>
        <v>2.2215442701561634E-2</v>
      </c>
      <c r="Q706" s="178">
        <f>FME_Ranking1[[#This Row],[Pop Score (Normalized, Unweighted)]]*$O$3</f>
        <v>3.3323164052342451E-3</v>
      </c>
      <c r="R706" s="137">
        <f>_xlfn.XLOOKUP(FME_Ranking1[[#This Row],[FME ID]],FME_Input[FME_ID],FME_Input[CRITFAC100])</f>
        <v>0</v>
      </c>
      <c r="S706" s="230">
        <f>(FME_Ranking1[[#This Row],[Critical Facilities Raw]]/$R$2)*100</f>
        <v>0</v>
      </c>
      <c r="T706" s="180">
        <f>FME_Ranking1[[#This Row],[Critical Facilities Score (Normalized, Unweighted)]]*$R$3</f>
        <v>0</v>
      </c>
      <c r="U706">
        <f>_xlfn.XLOOKUP(FME_Ranking1[[#This Row],[FME ID]],FME_Input[FME_ID],FME_Input[LWC])</f>
        <v>7</v>
      </c>
      <c r="V706" s="178">
        <f>(FME_Ranking1[[#This Row],[LWC Raw]]/$U$2)*100</f>
        <v>0.40299366724237184</v>
      </c>
      <c r="W706" s="178">
        <f>FME_Ranking1[[#This Row],[LWC Score (Normalized, Unweighted)]]*$U$3</f>
        <v>8.0598733448474374E-2</v>
      </c>
      <c r="X706" s="246">
        <f>_xlfn.XLOOKUP(FME_Ranking1[[#This Row],[FME ID]],FME_Input[FME_ID],FME_Input[ROADCLS])</f>
        <v>0</v>
      </c>
      <c r="Y706" s="230">
        <f>(FME_Ranking1[[#This Row],[Closures Raw]]/$X$2)*100</f>
        <v>0</v>
      </c>
      <c r="Z706" s="180">
        <f>FME_Ranking1[[#This Row],[Closures Score (Normalized, Unweighted)]]*$X$3</f>
        <v>0</v>
      </c>
      <c r="AA706" s="253">
        <f>_xlfn.XLOOKUP(FME_Ranking1[[#This Row],[FME ID]],FME_Input[FME_ID],FME_Input[ROAD_MILES100])</f>
        <v>475.17532348632813</v>
      </c>
      <c r="AB706" s="178">
        <f>(FME_Ranking1[[#This Row],[Miles Raw]]/$AA$2)*100</f>
        <v>6.2477032368919669</v>
      </c>
      <c r="AC706" s="178">
        <f>FME_Ranking1[[#This Row],[Miles Score (Normalized, Unweighted)]]*$AA$3</f>
        <v>0.62477032368919672</v>
      </c>
      <c r="AD706" s="255">
        <f>_xlfn.XLOOKUP(FME_Ranking1[[#This Row],[FME ID]],FME_Input[FME_ID],FME_Input[FARMACRE100])</f>
        <v>52668.8515625</v>
      </c>
      <c r="AE706" s="230">
        <f>(FME_Ranking1[[#This Row],[Ag Land Raw]]/$AD$2)*100</f>
        <v>2.1718276661291616</v>
      </c>
      <c r="AF706" s="231">
        <f>FME_Ranking1[[#This Row],[Ag Land Score (Normalized, Unweighted)]]*$AD$3</f>
        <v>0.10859138330645808</v>
      </c>
      <c r="AG70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0.82585307619630821</v>
      </c>
      <c r="AH706" s="406">
        <f t="shared" si="10"/>
        <v>320</v>
      </c>
      <c r="AI70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0.82585307619630821</v>
      </c>
      <c r="AJ706" s="257">
        <f>FME_Ranking1[[#This Row],[Addition check]]-FME_Ranking1[[#This Row],[Weighted Score Based on Normalized Reported Factors]]</f>
        <v>0</v>
      </c>
      <c r="AK706" s="178">
        <f>_xlfn.RANK.EQ(AI706,$AI$6:$AI$2341,0)+COUNTIF($AI$6:AI706,AI706)-1</f>
        <v>320</v>
      </c>
    </row>
    <row r="707" spans="1:37" x14ac:dyDescent="0.25">
      <c r="A707" t="s">
        <v>6709</v>
      </c>
      <c r="B707">
        <f>_xlfn.XLOOKUP(FME_Ranking1[[#This Row],[FME ID]],FME_Input[FME_ID],FME_Input[RFPG_NUM])</f>
        <v>7</v>
      </c>
      <c r="C707" t="str">
        <f>_xlfn.XLOOKUP(FME_Ranking1[[#This Row],[FME ID]],FME_Input[FME_ID],FME_Input[FME_NAME])</f>
        <v>Lynn County DMP</v>
      </c>
      <c r="D707" t="str">
        <f>_xlfn.XLOOKUP(FME_Ranking1[[#This Row],[FME ID]],FME_Input[FME_ID],FME_Input[DESCR])</f>
        <v>Evaluate county to identify future projects, analyze roads/stream crossing for emergency response vehicles to high hazard areas</v>
      </c>
      <c r="E707" s="256">
        <f>_xlfn.XLOOKUP(FME_Ranking1[[#This Row],[FME ID]],FME_Input[FME_ID],FME_Input[FME_COST])</f>
        <v>500000</v>
      </c>
      <c r="F707" t="str">
        <f>_xlfn.XLOOKUP(FME_Ranking1[[#This Row],[FME ID]],FME_Input[FME_ID],FME_Input[EMER_NEED])</f>
        <v>No</v>
      </c>
      <c r="G707">
        <f>IF(FME_Ranking!F707="Yes",100,0)</f>
        <v>0</v>
      </c>
      <c r="H707">
        <f>FME_Ranking1[[#This Row],[Emergency Need Score (Normalized, Unweighted)]]*$F$3</f>
        <v>0</v>
      </c>
      <c r="I707" s="246">
        <f>_xlfn.XLOOKUP(FME_Ranking1[[#This Row],[FME ID]],FME_Input[FME_ID],FME_Input[STRUCT_100])</f>
        <v>81</v>
      </c>
      <c r="J707" s="178">
        <f>(FME_Ranking1[[#This Row],[Structures 100 Raw]]/I$2)*100</f>
        <v>4.3374887546587838E-2</v>
      </c>
      <c r="K707" s="178">
        <f>FME_Ranking1[[#This Row],[Structures 100  Score (Normalized, Unweighted)]]*$I$3</f>
        <v>6.5062331319881758E-3</v>
      </c>
      <c r="L707" s="246">
        <f>_xlfn.XLOOKUP(FME_Ranking1[[#This Row],[FME ID]],FME_Input[FME_ID],FME_Input[RES_STRUCT100])</f>
        <v>29</v>
      </c>
      <c r="M707" s="230">
        <f>(FME_Ranking1[[#This Row],[Res Structures Raw]]/L$2)*100</f>
        <v>2.0540862149565808E-2</v>
      </c>
      <c r="N707" s="180">
        <f>FME_Ranking1[[#This Row],[Res Structures Score (Normalized, Unweighted)]]*$L$3</f>
        <v>2.0540862149565809E-3</v>
      </c>
      <c r="O707" s="244">
        <f>_xlfn.XLOOKUP(FME_Ranking1[[#This Row],[FME ID]],FME_Input[FME_ID],FME_Input[POP100])</f>
        <v>217</v>
      </c>
      <c r="P707" s="178">
        <f>(FME_Ranking1[[#This Row],[Pop Raw]]/$O$2)*100</f>
        <v>2.2215442701561634E-2</v>
      </c>
      <c r="Q707" s="178">
        <f>FME_Ranking1[[#This Row],[Pop Score (Normalized, Unweighted)]]*$O$3</f>
        <v>3.3323164052342451E-3</v>
      </c>
      <c r="R707" s="137">
        <f>_xlfn.XLOOKUP(FME_Ranking1[[#This Row],[FME ID]],FME_Input[FME_ID],FME_Input[CRITFAC100])</f>
        <v>0</v>
      </c>
      <c r="S707" s="230">
        <f>(FME_Ranking1[[#This Row],[Critical Facilities Raw]]/$R$2)*100</f>
        <v>0</v>
      </c>
      <c r="T707" s="180">
        <f>FME_Ranking1[[#This Row],[Critical Facilities Score (Normalized, Unweighted)]]*$R$3</f>
        <v>0</v>
      </c>
      <c r="U707">
        <f>_xlfn.XLOOKUP(FME_Ranking1[[#This Row],[FME ID]],FME_Input[FME_ID],FME_Input[LWC])</f>
        <v>7</v>
      </c>
      <c r="V707" s="178">
        <f>(FME_Ranking1[[#This Row],[LWC Raw]]/$U$2)*100</f>
        <v>0.40299366724237184</v>
      </c>
      <c r="W707" s="178">
        <f>FME_Ranking1[[#This Row],[LWC Score (Normalized, Unweighted)]]*$U$3</f>
        <v>8.0598733448474374E-2</v>
      </c>
      <c r="X707" s="246">
        <f>_xlfn.XLOOKUP(FME_Ranking1[[#This Row],[FME ID]],FME_Input[FME_ID],FME_Input[ROADCLS])</f>
        <v>0</v>
      </c>
      <c r="Y707" s="230">
        <f>(FME_Ranking1[[#This Row],[Closures Raw]]/$X$2)*100</f>
        <v>0</v>
      </c>
      <c r="Z707" s="180">
        <f>FME_Ranking1[[#This Row],[Closures Score (Normalized, Unweighted)]]*$X$3</f>
        <v>0</v>
      </c>
      <c r="AA707" s="253">
        <f>_xlfn.XLOOKUP(FME_Ranking1[[#This Row],[FME ID]],FME_Input[FME_ID],FME_Input[ROAD_MILES100])</f>
        <v>475.17532348632813</v>
      </c>
      <c r="AB707" s="178">
        <f>(FME_Ranking1[[#This Row],[Miles Raw]]/$AA$2)*100</f>
        <v>6.2477032368919669</v>
      </c>
      <c r="AC707" s="178">
        <f>FME_Ranking1[[#This Row],[Miles Score (Normalized, Unweighted)]]*$AA$3</f>
        <v>0.62477032368919672</v>
      </c>
      <c r="AD707" s="255">
        <f>_xlfn.XLOOKUP(FME_Ranking1[[#This Row],[FME ID]],FME_Input[FME_ID],FME_Input[FARMACRE100])</f>
        <v>52668.8515625</v>
      </c>
      <c r="AE707" s="230">
        <f>(FME_Ranking1[[#This Row],[Ag Land Raw]]/$AD$2)*100</f>
        <v>2.1718276661291616</v>
      </c>
      <c r="AF707" s="231">
        <f>FME_Ranking1[[#This Row],[Ag Land Score (Normalized, Unweighted)]]*$AD$3</f>
        <v>0.10859138330645808</v>
      </c>
      <c r="AG70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0.82585307619630821</v>
      </c>
      <c r="AH707" s="406">
        <f t="shared" si="10"/>
        <v>320</v>
      </c>
      <c r="AI70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0.82585307619630821</v>
      </c>
      <c r="AJ707" s="257">
        <f>FME_Ranking1[[#This Row],[Addition check]]-FME_Ranking1[[#This Row],[Weighted Score Based on Normalized Reported Factors]]</f>
        <v>0</v>
      </c>
      <c r="AK707" s="178">
        <f>_xlfn.RANK.EQ(AI707,$AI$6:$AI$2341,0)+COUNTIF($AI$6:AI707,AI707)-1</f>
        <v>321</v>
      </c>
    </row>
    <row r="708" spans="1:37" x14ac:dyDescent="0.25">
      <c r="A708" t="s">
        <v>6711</v>
      </c>
      <c r="B708">
        <f>_xlfn.XLOOKUP(FME_Ranking1[[#This Row],[FME ID]],FME_Input[FME_ID],FME_Input[RFPG_NUM])</f>
        <v>7</v>
      </c>
      <c r="C708" t="str">
        <f>_xlfn.XLOOKUP(FME_Ranking1[[#This Row],[FME ID]],FME_Input[FME_ID],FME_Input[FME_NAME])</f>
        <v>Lynn County GIS Development</v>
      </c>
      <c r="D708" t="str">
        <f>_xlfn.XLOOKUP(FME_Ranking1[[#This Row],[FME ID]],FME_Input[FME_ID],FME_Input[DESCR])</f>
        <v>Develop a GIS inventory of stormwater infrastructure</v>
      </c>
      <c r="E708" s="256">
        <f>_xlfn.XLOOKUP(FME_Ranking1[[#This Row],[FME ID]],FME_Input[FME_ID],FME_Input[FME_COST])</f>
        <v>100000</v>
      </c>
      <c r="F708" t="str">
        <f>_xlfn.XLOOKUP(FME_Ranking1[[#This Row],[FME ID]],FME_Input[FME_ID],FME_Input[EMER_NEED])</f>
        <v>No</v>
      </c>
      <c r="G708">
        <f>IF(FME_Ranking!F708="Yes",100,0)</f>
        <v>0</v>
      </c>
      <c r="H708">
        <f>FME_Ranking1[[#This Row],[Emergency Need Score (Normalized, Unweighted)]]*$F$3</f>
        <v>0</v>
      </c>
      <c r="I708" s="246">
        <f>_xlfn.XLOOKUP(FME_Ranking1[[#This Row],[FME ID]],FME_Input[FME_ID],FME_Input[STRUCT_100])</f>
        <v>81</v>
      </c>
      <c r="J708" s="178">
        <f>(FME_Ranking1[[#This Row],[Structures 100 Raw]]/I$2)*100</f>
        <v>4.3374887546587838E-2</v>
      </c>
      <c r="K708" s="178">
        <f>FME_Ranking1[[#This Row],[Structures 100  Score (Normalized, Unweighted)]]*$I$3</f>
        <v>6.5062331319881758E-3</v>
      </c>
      <c r="L708" s="246">
        <f>_xlfn.XLOOKUP(FME_Ranking1[[#This Row],[FME ID]],FME_Input[FME_ID],FME_Input[RES_STRUCT100])</f>
        <v>29</v>
      </c>
      <c r="M708" s="230">
        <f>(FME_Ranking1[[#This Row],[Res Structures Raw]]/L$2)*100</f>
        <v>2.0540862149565808E-2</v>
      </c>
      <c r="N708" s="180">
        <f>FME_Ranking1[[#This Row],[Res Structures Score (Normalized, Unweighted)]]*$L$3</f>
        <v>2.0540862149565809E-3</v>
      </c>
      <c r="O708" s="244">
        <f>_xlfn.XLOOKUP(FME_Ranking1[[#This Row],[FME ID]],FME_Input[FME_ID],FME_Input[POP100])</f>
        <v>217</v>
      </c>
      <c r="P708" s="178">
        <f>(FME_Ranking1[[#This Row],[Pop Raw]]/$O$2)*100</f>
        <v>2.2215442701561634E-2</v>
      </c>
      <c r="Q708" s="178">
        <f>FME_Ranking1[[#This Row],[Pop Score (Normalized, Unweighted)]]*$O$3</f>
        <v>3.3323164052342451E-3</v>
      </c>
      <c r="R708" s="137">
        <f>_xlfn.XLOOKUP(FME_Ranking1[[#This Row],[FME ID]],FME_Input[FME_ID],FME_Input[CRITFAC100])</f>
        <v>0</v>
      </c>
      <c r="S708" s="230">
        <f>(FME_Ranking1[[#This Row],[Critical Facilities Raw]]/$R$2)*100</f>
        <v>0</v>
      </c>
      <c r="T708" s="180">
        <f>FME_Ranking1[[#This Row],[Critical Facilities Score (Normalized, Unweighted)]]*$R$3</f>
        <v>0</v>
      </c>
      <c r="U708">
        <f>_xlfn.XLOOKUP(FME_Ranking1[[#This Row],[FME ID]],FME_Input[FME_ID],FME_Input[LWC])</f>
        <v>7</v>
      </c>
      <c r="V708" s="178">
        <f>(FME_Ranking1[[#This Row],[LWC Raw]]/$U$2)*100</f>
        <v>0.40299366724237184</v>
      </c>
      <c r="W708" s="178">
        <f>FME_Ranking1[[#This Row],[LWC Score (Normalized, Unweighted)]]*$U$3</f>
        <v>8.0598733448474374E-2</v>
      </c>
      <c r="X708" s="246">
        <f>_xlfn.XLOOKUP(FME_Ranking1[[#This Row],[FME ID]],FME_Input[FME_ID],FME_Input[ROADCLS])</f>
        <v>0</v>
      </c>
      <c r="Y708" s="230">
        <f>(FME_Ranking1[[#This Row],[Closures Raw]]/$X$2)*100</f>
        <v>0</v>
      </c>
      <c r="Z708" s="180">
        <f>FME_Ranking1[[#This Row],[Closures Score (Normalized, Unweighted)]]*$X$3</f>
        <v>0</v>
      </c>
      <c r="AA708" s="253">
        <f>_xlfn.XLOOKUP(FME_Ranking1[[#This Row],[FME ID]],FME_Input[FME_ID],FME_Input[ROAD_MILES100])</f>
        <v>475.17532348632813</v>
      </c>
      <c r="AB708" s="178">
        <f>(FME_Ranking1[[#This Row],[Miles Raw]]/$AA$2)*100</f>
        <v>6.2477032368919669</v>
      </c>
      <c r="AC708" s="178">
        <f>FME_Ranking1[[#This Row],[Miles Score (Normalized, Unweighted)]]*$AA$3</f>
        <v>0.62477032368919672</v>
      </c>
      <c r="AD708" s="255">
        <f>_xlfn.XLOOKUP(FME_Ranking1[[#This Row],[FME ID]],FME_Input[FME_ID],FME_Input[FARMACRE100])</f>
        <v>52668.8515625</v>
      </c>
      <c r="AE708" s="230">
        <f>(FME_Ranking1[[#This Row],[Ag Land Raw]]/$AD$2)*100</f>
        <v>2.1718276661291616</v>
      </c>
      <c r="AF708" s="231">
        <f>FME_Ranking1[[#This Row],[Ag Land Score (Normalized, Unweighted)]]*$AD$3</f>
        <v>0.10859138330645808</v>
      </c>
      <c r="AG70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0.82585307619630821</v>
      </c>
      <c r="AH708" s="406">
        <f t="shared" si="10"/>
        <v>320</v>
      </c>
      <c r="AI70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0.82585307619630821</v>
      </c>
      <c r="AJ708" s="257">
        <f>FME_Ranking1[[#This Row],[Addition check]]-FME_Ranking1[[#This Row],[Weighted Score Based on Normalized Reported Factors]]</f>
        <v>0</v>
      </c>
      <c r="AK708" s="178">
        <f>_xlfn.RANK.EQ(AI708,$AI$6:$AI$2341,0)+COUNTIF($AI$6:AI708,AI708)-1</f>
        <v>322</v>
      </c>
    </row>
    <row r="709" spans="1:37" x14ac:dyDescent="0.25">
      <c r="A709" t="s">
        <v>7248</v>
      </c>
      <c r="B709">
        <f>_xlfn.XLOOKUP(FME_Ranking1[[#This Row],[FME ID]],FME_Input[FME_ID],FME_Input[RFPG_NUM])</f>
        <v>7</v>
      </c>
      <c r="C709" t="str">
        <f>_xlfn.XLOOKUP(FME_Ranking1[[#This Row],[FME ID]],FME_Input[FME_ID],FME_Input[FME_NAME])</f>
        <v>Lynn County DCM</v>
      </c>
      <c r="D709" t="str">
        <f>_xlfn.XLOOKUP(FME_Ranking1[[#This Row],[FME ID]],FME_Input[FME_ID],FME_Input[DESCR])</f>
        <v>Consider stormwater criteria for infrastructure and floodplain ordinances to avoid new exposure to flood hazards.</v>
      </c>
      <c r="E709" s="256">
        <f>_xlfn.XLOOKUP(FME_Ranking1[[#This Row],[FME ID]],FME_Input[FME_ID],FME_Input[FME_COST])</f>
        <v>100000</v>
      </c>
      <c r="F709" t="str">
        <f>_xlfn.XLOOKUP(FME_Ranking1[[#This Row],[FME ID]],FME_Input[FME_ID],FME_Input[EMER_NEED])</f>
        <v>No</v>
      </c>
      <c r="G709">
        <f>IF(FME_Ranking!F709="Yes",100,0)</f>
        <v>0</v>
      </c>
      <c r="H709">
        <f>FME_Ranking1[[#This Row],[Emergency Need Score (Normalized, Unweighted)]]*$F$3</f>
        <v>0</v>
      </c>
      <c r="I709" s="246">
        <f>_xlfn.XLOOKUP(FME_Ranking1[[#This Row],[FME ID]],FME_Input[FME_ID],FME_Input[STRUCT_100])</f>
        <v>81</v>
      </c>
      <c r="J709" s="178">
        <f>(FME_Ranking1[[#This Row],[Structures 100 Raw]]/I$2)*100</f>
        <v>4.3374887546587838E-2</v>
      </c>
      <c r="K709" s="178">
        <f>FME_Ranking1[[#This Row],[Structures 100  Score (Normalized, Unweighted)]]*$I$3</f>
        <v>6.5062331319881758E-3</v>
      </c>
      <c r="L709" s="246">
        <f>_xlfn.XLOOKUP(FME_Ranking1[[#This Row],[FME ID]],FME_Input[FME_ID],FME_Input[RES_STRUCT100])</f>
        <v>29</v>
      </c>
      <c r="M709" s="230">
        <f>(FME_Ranking1[[#This Row],[Res Structures Raw]]/L$2)*100</f>
        <v>2.0540862149565808E-2</v>
      </c>
      <c r="N709" s="180">
        <f>FME_Ranking1[[#This Row],[Res Structures Score (Normalized, Unweighted)]]*$L$3</f>
        <v>2.0540862149565809E-3</v>
      </c>
      <c r="O709" s="244">
        <f>_xlfn.XLOOKUP(FME_Ranking1[[#This Row],[FME ID]],FME_Input[FME_ID],FME_Input[POP100])</f>
        <v>217</v>
      </c>
      <c r="P709" s="178">
        <f>(FME_Ranking1[[#This Row],[Pop Raw]]/$O$2)*100</f>
        <v>2.2215442701561634E-2</v>
      </c>
      <c r="Q709" s="178">
        <f>FME_Ranking1[[#This Row],[Pop Score (Normalized, Unweighted)]]*$O$3</f>
        <v>3.3323164052342451E-3</v>
      </c>
      <c r="R709" s="137">
        <f>_xlfn.XLOOKUP(FME_Ranking1[[#This Row],[FME ID]],FME_Input[FME_ID],FME_Input[CRITFAC100])</f>
        <v>0</v>
      </c>
      <c r="S709" s="230">
        <f>(FME_Ranking1[[#This Row],[Critical Facilities Raw]]/$R$2)*100</f>
        <v>0</v>
      </c>
      <c r="T709" s="180">
        <f>FME_Ranking1[[#This Row],[Critical Facilities Score (Normalized, Unweighted)]]*$R$3</f>
        <v>0</v>
      </c>
      <c r="U709">
        <f>_xlfn.XLOOKUP(FME_Ranking1[[#This Row],[FME ID]],FME_Input[FME_ID],FME_Input[LWC])</f>
        <v>7</v>
      </c>
      <c r="V709" s="178">
        <f>(FME_Ranking1[[#This Row],[LWC Raw]]/$U$2)*100</f>
        <v>0.40299366724237184</v>
      </c>
      <c r="W709" s="178">
        <f>FME_Ranking1[[#This Row],[LWC Score (Normalized, Unweighted)]]*$U$3</f>
        <v>8.0598733448474374E-2</v>
      </c>
      <c r="X709" s="246">
        <f>_xlfn.XLOOKUP(FME_Ranking1[[#This Row],[FME ID]],FME_Input[FME_ID],FME_Input[ROADCLS])</f>
        <v>0</v>
      </c>
      <c r="Y709" s="230">
        <f>(FME_Ranking1[[#This Row],[Closures Raw]]/$X$2)*100</f>
        <v>0</v>
      </c>
      <c r="Z709" s="180">
        <f>FME_Ranking1[[#This Row],[Closures Score (Normalized, Unweighted)]]*$X$3</f>
        <v>0</v>
      </c>
      <c r="AA709" s="253">
        <f>_xlfn.XLOOKUP(FME_Ranking1[[#This Row],[FME ID]],FME_Input[FME_ID],FME_Input[ROAD_MILES100])</f>
        <v>475.17532348632813</v>
      </c>
      <c r="AB709" s="178">
        <f>(FME_Ranking1[[#This Row],[Miles Raw]]/$AA$2)*100</f>
        <v>6.2477032368919669</v>
      </c>
      <c r="AC709" s="178">
        <f>FME_Ranking1[[#This Row],[Miles Score (Normalized, Unweighted)]]*$AA$3</f>
        <v>0.62477032368919672</v>
      </c>
      <c r="AD709" s="255">
        <f>_xlfn.XLOOKUP(FME_Ranking1[[#This Row],[FME ID]],FME_Input[FME_ID],FME_Input[FARMACRE100])</f>
        <v>52668.8515625</v>
      </c>
      <c r="AE709" s="230">
        <f>(FME_Ranking1[[#This Row],[Ag Land Raw]]/$AD$2)*100</f>
        <v>2.1718276661291616</v>
      </c>
      <c r="AF709" s="231">
        <f>FME_Ranking1[[#This Row],[Ag Land Score (Normalized, Unweighted)]]*$AD$3</f>
        <v>0.10859138330645808</v>
      </c>
      <c r="AG70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0.82585307619630821</v>
      </c>
      <c r="AH709" s="406">
        <f t="shared" si="10"/>
        <v>320</v>
      </c>
      <c r="AI70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0.82585307619630821</v>
      </c>
      <c r="AJ709" s="257">
        <f>FME_Ranking1[[#This Row],[Addition check]]-FME_Ranking1[[#This Row],[Weighted Score Based on Normalized Reported Factors]]</f>
        <v>0</v>
      </c>
      <c r="AK709" s="178">
        <f>_xlfn.RANK.EQ(AI709,$AI$6:$AI$2341,0)+COUNTIF($AI$6:AI709,AI709)-1</f>
        <v>323</v>
      </c>
    </row>
    <row r="710" spans="1:37" x14ac:dyDescent="0.25">
      <c r="A710" t="s">
        <v>10664</v>
      </c>
      <c r="B710">
        <f>_xlfn.XLOOKUP(FME_Ranking1[[#This Row],[FME ID]],FME_Input[FME_ID],FME_Input[RFPG_NUM])</f>
        <v>13</v>
      </c>
      <c r="C710" t="str">
        <f>_xlfn.XLOOKUP(FME_Ranking1[[#This Row],[FME ID]],FME_Input[FME_ID],FME_Input[FME_NAME])</f>
        <v>Sinton Repetitive Loss Property Reduction</v>
      </c>
      <c r="D710" t="str">
        <f>_xlfn.XLOOKUP(FME_Ranking1[[#This Row],[FME ID]],FME_Input[FME_ID],FME_Input[DESCR])</f>
        <v>San Patricio County Hazard Mitigation Action Plan - City of Sinton, Action #13: Identify and implement feasible actions to reduce risk for repetitive loss properties. </v>
      </c>
      <c r="E710" s="256">
        <f>_xlfn.XLOOKUP(FME_Ranking1[[#This Row],[FME ID]],FME_Input[FME_ID],FME_Input[FME_COST])</f>
        <v>159000</v>
      </c>
      <c r="F710" t="str">
        <f>_xlfn.XLOOKUP(FME_Ranking1[[#This Row],[FME ID]],FME_Input[FME_ID],FME_Input[EMER_NEED])</f>
        <v>Yes</v>
      </c>
      <c r="G710">
        <f>IF(FME_Ranking!F710="Yes",100,0)</f>
        <v>100</v>
      </c>
      <c r="H710">
        <f>FME_Ranking1[[#This Row],[Emergency Need Score (Normalized, Unweighted)]]*$F$3</f>
        <v>0</v>
      </c>
      <c r="I710" s="246">
        <f>_xlfn.XLOOKUP(FME_Ranking1[[#This Row],[FME ID]],FME_Input[FME_ID],FME_Input[STRUCT_100])</f>
        <v>762</v>
      </c>
      <c r="J710" s="178">
        <f>(FME_Ranking1[[#This Row],[Structures 100 Raw]]/I$2)*100</f>
        <v>0.40804523840123375</v>
      </c>
      <c r="K710" s="178">
        <f>FME_Ranking1[[#This Row],[Structures 100  Score (Normalized, Unweighted)]]*$I$3</f>
        <v>6.120678576018506E-2</v>
      </c>
      <c r="L710" s="246">
        <f>_xlfn.XLOOKUP(FME_Ranking1[[#This Row],[FME ID]],FME_Input[FME_ID],FME_Input[RES_STRUCT100])</f>
        <v>612</v>
      </c>
      <c r="M710" s="230">
        <f>(FME_Ranking1[[#This Row],[Res Structures Raw]]/L$2)*100</f>
        <v>0.43348302191497501</v>
      </c>
      <c r="N710" s="180">
        <f>FME_Ranking1[[#This Row],[Res Structures Score (Normalized, Unweighted)]]*$L$3</f>
        <v>4.3348302191497504E-2</v>
      </c>
      <c r="O710" s="244">
        <f>_xlfn.XLOOKUP(FME_Ranking1[[#This Row],[FME ID]],FME_Input[FME_ID],FME_Input[POP100])</f>
        <v>2145</v>
      </c>
      <c r="P710" s="178">
        <f>(FME_Ranking1[[#This Row],[Pop Raw]]/$O$2)*100</f>
        <v>0.21959504421589726</v>
      </c>
      <c r="Q710" s="178">
        <f>FME_Ranking1[[#This Row],[Pop Score (Normalized, Unweighted)]]*$O$3</f>
        <v>3.2939256632384589E-2</v>
      </c>
      <c r="R710" s="137">
        <f>_xlfn.XLOOKUP(FME_Ranking1[[#This Row],[FME ID]],FME_Input[FME_ID],FME_Input[CRITFAC100])</f>
        <v>2</v>
      </c>
      <c r="S710" s="230">
        <f>(FME_Ranking1[[#This Row],[Critical Facilities Raw]]/$R$2)*100</f>
        <v>8.5763293310463118E-2</v>
      </c>
      <c r="T710" s="180">
        <f>FME_Ranking1[[#This Row],[Critical Facilities Score (Normalized, Unweighted)]]*$R$3</f>
        <v>1.7152658662092625E-2</v>
      </c>
      <c r="U710">
        <f>_xlfn.XLOOKUP(FME_Ranking1[[#This Row],[FME ID]],FME_Input[FME_ID],FME_Input[LWC])</f>
        <v>0</v>
      </c>
      <c r="V710" s="178">
        <f>(FME_Ranking1[[#This Row],[LWC Raw]]/$U$2)*100</f>
        <v>0</v>
      </c>
      <c r="W710" s="178">
        <f>FME_Ranking1[[#This Row],[LWC Score (Normalized, Unweighted)]]*$U$3</f>
        <v>0</v>
      </c>
      <c r="X710" s="246">
        <f>_xlfn.XLOOKUP(FME_Ranking1[[#This Row],[FME ID]],FME_Input[FME_ID],FME_Input[ROADCLS])</f>
        <v>87</v>
      </c>
      <c r="Y710" s="230">
        <f>(FME_Ranking1[[#This Row],[Closures Raw]]/$X$2)*100</f>
        <v>0.91473031227000312</v>
      </c>
      <c r="Z710" s="180">
        <f>FME_Ranking1[[#This Row],[Closures Score (Normalized, Unweighted)]]*$X$3</f>
        <v>4.5736515613500159E-2</v>
      </c>
      <c r="AA710" s="253">
        <f>_xlfn.XLOOKUP(FME_Ranking1[[#This Row],[FME ID]],FME_Input[FME_ID],FME_Input[ROAD_MILES100])</f>
        <v>15.066633224487299</v>
      </c>
      <c r="AB710" s="178">
        <f>(FME_Ranking1[[#This Row],[Miles Raw]]/$AA$2)*100</f>
        <v>0.1980992036266836</v>
      </c>
      <c r="AC710" s="178">
        <f>FME_Ranking1[[#This Row],[Miles Score (Normalized, Unweighted)]]*$AA$3</f>
        <v>1.9809920362668362E-2</v>
      </c>
      <c r="AD710" s="255">
        <f>_xlfn.XLOOKUP(FME_Ranking1[[#This Row],[FME ID]],FME_Input[FME_ID],FME_Input[FARMACRE100])</f>
        <v>69.114486694335938</v>
      </c>
      <c r="AE710" s="230">
        <f>(FME_Ranking1[[#This Row],[Ag Land Raw]]/$AD$2)*100</f>
        <v>2.8499720400197328E-3</v>
      </c>
      <c r="AF710" s="231">
        <f>FME_Ranking1[[#This Row],[Ag Land Score (Normalized, Unweighted)]]*$AD$3</f>
        <v>1.4249860200098665E-4</v>
      </c>
      <c r="AG71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0.22033593782432931</v>
      </c>
      <c r="AH710" s="406">
        <f t="shared" ref="AH710:AH773" si="11">_xlfn.RANK.EQ(AG710,$AG$6:$AG$2341,0)</f>
        <v>767</v>
      </c>
      <c r="AI71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0.22033593782432931</v>
      </c>
      <c r="AJ710" s="257">
        <f>FME_Ranking1[[#This Row],[Addition check]]-FME_Ranking1[[#This Row],[Weighted Score Based on Normalized Reported Factors]]</f>
        <v>0</v>
      </c>
      <c r="AK710" s="178">
        <f>_xlfn.RANK.EQ(AI710,$AI$6:$AI$2341,0)+COUNTIF($AI$6:AI710,AI710)-1</f>
        <v>767</v>
      </c>
    </row>
    <row r="711" spans="1:37" x14ac:dyDescent="0.25">
      <c r="A711" t="s">
        <v>10768</v>
      </c>
      <c r="B711">
        <f>_xlfn.XLOOKUP(FME_Ranking1[[#This Row],[FME ID]],FME_Input[FME_ID],FME_Input[RFPG_NUM])</f>
        <v>13</v>
      </c>
      <c r="C711" t="str">
        <f>_xlfn.XLOOKUP(FME_Ranking1[[#This Row],[FME ID]],FME_Input[FME_ID],FME_Input[FME_NAME])</f>
        <v>San Patricio County Hazard Mitigation Action Plan - City of Sinton, Action #15</v>
      </c>
      <c r="D711" t="str">
        <f>_xlfn.XLOOKUP(FME_Ranking1[[#This Row],[FME ID]],FME_Input[FME_ID],FME_Input[DESCR])</f>
        <v xml:space="preserve">Clean and repair stormwater drains. Upgrade undersized stormwater drains. </v>
      </c>
      <c r="E711" s="256">
        <f>_xlfn.XLOOKUP(FME_Ranking1[[#This Row],[FME ID]],FME_Input[FME_ID],FME_Input[FME_COST])</f>
        <v>477000</v>
      </c>
      <c r="F711" t="str">
        <f>_xlfn.XLOOKUP(FME_Ranking1[[#This Row],[FME ID]],FME_Input[FME_ID],FME_Input[EMER_NEED])</f>
        <v>Yes</v>
      </c>
      <c r="G711">
        <f>IF(FME_Ranking!F711="Yes",100,0)</f>
        <v>100</v>
      </c>
      <c r="H711">
        <f>FME_Ranking1[[#This Row],[Emergency Need Score (Normalized, Unweighted)]]*$F$3</f>
        <v>0</v>
      </c>
      <c r="I711" s="246">
        <f>_xlfn.XLOOKUP(FME_Ranking1[[#This Row],[FME ID]],FME_Input[FME_ID],FME_Input[STRUCT_100])</f>
        <v>762</v>
      </c>
      <c r="J711" s="178">
        <f>(FME_Ranking1[[#This Row],[Structures 100 Raw]]/I$2)*100</f>
        <v>0.40804523840123375</v>
      </c>
      <c r="K711" s="178">
        <f>FME_Ranking1[[#This Row],[Structures 100  Score (Normalized, Unweighted)]]*$I$3</f>
        <v>6.120678576018506E-2</v>
      </c>
      <c r="L711" s="246">
        <f>_xlfn.XLOOKUP(FME_Ranking1[[#This Row],[FME ID]],FME_Input[FME_ID],FME_Input[RES_STRUCT100])</f>
        <v>612</v>
      </c>
      <c r="M711" s="230">
        <f>(FME_Ranking1[[#This Row],[Res Structures Raw]]/L$2)*100</f>
        <v>0.43348302191497501</v>
      </c>
      <c r="N711" s="180">
        <f>FME_Ranking1[[#This Row],[Res Structures Score (Normalized, Unweighted)]]*$L$3</f>
        <v>4.3348302191497504E-2</v>
      </c>
      <c r="O711" s="244">
        <f>_xlfn.XLOOKUP(FME_Ranking1[[#This Row],[FME ID]],FME_Input[FME_ID],FME_Input[POP100])</f>
        <v>2145</v>
      </c>
      <c r="P711" s="178">
        <f>(FME_Ranking1[[#This Row],[Pop Raw]]/$O$2)*100</f>
        <v>0.21959504421589726</v>
      </c>
      <c r="Q711" s="178">
        <f>FME_Ranking1[[#This Row],[Pop Score (Normalized, Unweighted)]]*$O$3</f>
        <v>3.2939256632384589E-2</v>
      </c>
      <c r="R711" s="137">
        <f>_xlfn.XLOOKUP(FME_Ranking1[[#This Row],[FME ID]],FME_Input[FME_ID],FME_Input[CRITFAC100])</f>
        <v>2</v>
      </c>
      <c r="S711" s="230">
        <f>(FME_Ranking1[[#This Row],[Critical Facilities Raw]]/$R$2)*100</f>
        <v>8.5763293310463118E-2</v>
      </c>
      <c r="T711" s="180">
        <f>FME_Ranking1[[#This Row],[Critical Facilities Score (Normalized, Unweighted)]]*$R$3</f>
        <v>1.7152658662092625E-2</v>
      </c>
      <c r="U711">
        <f>_xlfn.XLOOKUP(FME_Ranking1[[#This Row],[FME ID]],FME_Input[FME_ID],FME_Input[LWC])</f>
        <v>0</v>
      </c>
      <c r="V711" s="178">
        <f>(FME_Ranking1[[#This Row],[LWC Raw]]/$U$2)*100</f>
        <v>0</v>
      </c>
      <c r="W711" s="178">
        <f>FME_Ranking1[[#This Row],[LWC Score (Normalized, Unweighted)]]*$U$3</f>
        <v>0</v>
      </c>
      <c r="X711" s="246">
        <f>_xlfn.XLOOKUP(FME_Ranking1[[#This Row],[FME ID]],FME_Input[FME_ID],FME_Input[ROADCLS])</f>
        <v>87</v>
      </c>
      <c r="Y711" s="230">
        <f>(FME_Ranking1[[#This Row],[Closures Raw]]/$X$2)*100</f>
        <v>0.91473031227000312</v>
      </c>
      <c r="Z711" s="180">
        <f>FME_Ranking1[[#This Row],[Closures Score (Normalized, Unweighted)]]*$X$3</f>
        <v>4.5736515613500159E-2</v>
      </c>
      <c r="AA711" s="253">
        <f>_xlfn.XLOOKUP(FME_Ranking1[[#This Row],[FME ID]],FME_Input[FME_ID],FME_Input[ROAD_MILES100])</f>
        <v>15.066633224487299</v>
      </c>
      <c r="AB711" s="178">
        <f>(FME_Ranking1[[#This Row],[Miles Raw]]/$AA$2)*100</f>
        <v>0.1980992036266836</v>
      </c>
      <c r="AC711" s="178">
        <f>FME_Ranking1[[#This Row],[Miles Score (Normalized, Unweighted)]]*$AA$3</f>
        <v>1.9809920362668362E-2</v>
      </c>
      <c r="AD711" s="255">
        <f>_xlfn.XLOOKUP(FME_Ranking1[[#This Row],[FME ID]],FME_Input[FME_ID],FME_Input[FARMACRE100])</f>
        <v>69.114486694335938</v>
      </c>
      <c r="AE711" s="230">
        <f>(FME_Ranking1[[#This Row],[Ag Land Raw]]/$AD$2)*100</f>
        <v>2.8499720400197328E-3</v>
      </c>
      <c r="AF711" s="231">
        <f>FME_Ranking1[[#This Row],[Ag Land Score (Normalized, Unweighted)]]*$AD$3</f>
        <v>1.4249860200098665E-4</v>
      </c>
      <c r="AG71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0.22033593782432931</v>
      </c>
      <c r="AH711" s="406">
        <f t="shared" si="11"/>
        <v>767</v>
      </c>
      <c r="AI71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0.22033593782432931</v>
      </c>
      <c r="AJ711" s="257">
        <f>FME_Ranking1[[#This Row],[Addition check]]-FME_Ranking1[[#This Row],[Weighted Score Based on Normalized Reported Factors]]</f>
        <v>0</v>
      </c>
      <c r="AK711" s="178">
        <f>_xlfn.RANK.EQ(AI711,$AI$6:$AI$2341,0)+COUNTIF($AI$6:AI711,AI711)-1</f>
        <v>768</v>
      </c>
    </row>
    <row r="712" spans="1:37" x14ac:dyDescent="0.25">
      <c r="A712" t="s">
        <v>7482</v>
      </c>
      <c r="B712">
        <f>_xlfn.XLOOKUP(FME_Ranking1[[#This Row],[FME ID]],FME_Input[FME_ID],FME_Input[RFPG_NUM])</f>
        <v>8</v>
      </c>
      <c r="C712" t="str">
        <f>_xlfn.XLOOKUP(FME_Ranking1[[#This Row],[FME ID]],FME_Input[FME_ID],FME_Input[FME_NAME])</f>
        <v>Barker Street Neighborhood Improvements</v>
      </c>
      <c r="D712" t="str">
        <f>_xlfn.XLOOKUP(FME_Ranking1[[#This Row],[FME ID]],FME_Input[FME_ID],FME_Input[DESCR])</f>
        <v>Determine optimal drainage improvements to maximize flood protection for the area.</v>
      </c>
      <c r="E712" s="256">
        <f>_xlfn.XLOOKUP(FME_Ranking1[[#This Row],[FME ID]],FME_Input[FME_ID],FME_Input[FME_COST])</f>
        <v>440000</v>
      </c>
      <c r="F712" t="str">
        <f>_xlfn.XLOOKUP(FME_Ranking1[[#This Row],[FME ID]],FME_Input[FME_ID],FME_Input[EMER_NEED])</f>
        <v>No</v>
      </c>
      <c r="G712">
        <f>IF(FME_Ranking!F712="Yes",100,0)</f>
        <v>0</v>
      </c>
      <c r="H712">
        <f>FME_Ranking1[[#This Row],[Emergency Need Score (Normalized, Unweighted)]]*$F$3</f>
        <v>0</v>
      </c>
      <c r="I712" s="246">
        <f>_xlfn.XLOOKUP(FME_Ranking1[[#This Row],[FME ID]],FME_Input[FME_ID],FME_Input[STRUCT_100])</f>
        <v>269</v>
      </c>
      <c r="J712" s="178">
        <f>(FME_Ranking1[[#This Row],[Structures 100 Raw]]/I$2)*100</f>
        <v>0.14404746604977939</v>
      </c>
      <c r="K712" s="178">
        <f>FME_Ranking1[[#This Row],[Structures 100  Score (Normalized, Unweighted)]]*$I$3</f>
        <v>2.1607119907466908E-2</v>
      </c>
      <c r="L712" s="246">
        <f>_xlfn.XLOOKUP(FME_Ranking1[[#This Row],[FME ID]],FME_Input[FME_ID],FME_Input[RES_STRUCT100])</f>
        <v>230</v>
      </c>
      <c r="M712" s="230">
        <f>(FME_Ranking1[[#This Row],[Res Structures Raw]]/L$2)*100</f>
        <v>0.16291028601379778</v>
      </c>
      <c r="N712" s="180">
        <f>FME_Ranking1[[#This Row],[Res Structures Score (Normalized, Unweighted)]]*$L$3</f>
        <v>1.6291028601379778E-2</v>
      </c>
      <c r="O712" s="244">
        <f>_xlfn.XLOOKUP(FME_Ranking1[[#This Row],[FME ID]],FME_Input[FME_ID],FME_Input[POP100])</f>
        <v>902</v>
      </c>
      <c r="P712" s="178">
        <f>(FME_Ranking1[[#This Row],[Pop Raw]]/$O$2)*100</f>
        <v>9.234253141386449E-2</v>
      </c>
      <c r="Q712" s="178">
        <f>FME_Ranking1[[#This Row],[Pop Score (Normalized, Unweighted)]]*$O$3</f>
        <v>1.3851379712079673E-2</v>
      </c>
      <c r="R712" s="137">
        <f>_xlfn.XLOOKUP(FME_Ranking1[[#This Row],[FME ID]],FME_Input[FME_ID],FME_Input[CRITFAC100])</f>
        <v>0</v>
      </c>
      <c r="S712" s="230">
        <f>(FME_Ranking1[[#This Row],[Critical Facilities Raw]]/$R$2)*100</f>
        <v>0</v>
      </c>
      <c r="T712" s="180">
        <f>FME_Ranking1[[#This Row],[Critical Facilities Score (Normalized, Unweighted)]]*$R$3</f>
        <v>0</v>
      </c>
      <c r="U712">
        <f>_xlfn.XLOOKUP(FME_Ranking1[[#This Row],[FME ID]],FME_Input[FME_ID],FME_Input[LWC])</f>
        <v>11</v>
      </c>
      <c r="V712" s="178">
        <f>(FME_Ranking1[[#This Row],[LWC Raw]]/$U$2)*100</f>
        <v>0.63327576280944153</v>
      </c>
      <c r="W712" s="178">
        <f>FME_Ranking1[[#This Row],[LWC Score (Normalized, Unweighted)]]*$U$3</f>
        <v>0.12665515256188831</v>
      </c>
      <c r="X712" s="246">
        <f>_xlfn.XLOOKUP(FME_Ranking1[[#This Row],[FME ID]],FME_Input[FME_ID],FME_Input[ROADCLS])</f>
        <v>41</v>
      </c>
      <c r="Y712" s="230">
        <f>(FME_Ranking1[[#This Row],[Closures Raw]]/$X$2)*100</f>
        <v>0.43107980233413939</v>
      </c>
      <c r="Z712" s="180">
        <f>FME_Ranking1[[#This Row],[Closures Score (Normalized, Unweighted)]]*$X$3</f>
        <v>2.1553990116706973E-2</v>
      </c>
      <c r="AA712" s="253">
        <f>_xlfn.XLOOKUP(FME_Ranking1[[#This Row],[FME ID]],FME_Input[FME_ID],FME_Input[ROAD_MILES100])</f>
        <v>5.4057497978210449</v>
      </c>
      <c r="AB712" s="178">
        <f>(FME_Ranking1[[#This Row],[Miles Raw]]/$AA$2)*100</f>
        <v>7.1075914173910959E-2</v>
      </c>
      <c r="AC712" s="178">
        <f>FME_Ranking1[[#This Row],[Miles Score (Normalized, Unweighted)]]*$AA$3</f>
        <v>7.1075914173910964E-3</v>
      </c>
      <c r="AD712" s="255">
        <f>_xlfn.XLOOKUP(FME_Ranking1[[#This Row],[FME ID]],FME_Input[FME_ID],FME_Input[FARMACRE100])</f>
        <v>101.86399841308589</v>
      </c>
      <c r="AE712" s="230">
        <f>(FME_Ranking1[[#This Row],[Ag Land Raw]]/$AD$2)*100</f>
        <v>4.2004152999909443E-3</v>
      </c>
      <c r="AF712" s="231">
        <f>FME_Ranking1[[#This Row],[Ag Land Score (Normalized, Unweighted)]]*$AD$3</f>
        <v>2.1002076499954721E-4</v>
      </c>
      <c r="AG71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0.20727628308191229</v>
      </c>
      <c r="AH712" s="406">
        <f t="shared" si="11"/>
        <v>789</v>
      </c>
      <c r="AI71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0.20727628308191229</v>
      </c>
      <c r="AJ712" s="257">
        <f>FME_Ranking1[[#This Row],[Addition check]]-FME_Ranking1[[#This Row],[Weighted Score Based on Normalized Reported Factors]]</f>
        <v>0</v>
      </c>
      <c r="AK712" s="178">
        <f>_xlfn.RANK.EQ(AI712,$AI$6:$AI$2341,0)+COUNTIF($AI$6:AI712,AI712)-1</f>
        <v>789</v>
      </c>
    </row>
    <row r="713" spans="1:37" x14ac:dyDescent="0.25">
      <c r="A713" t="s">
        <v>2832</v>
      </c>
      <c r="B713">
        <f>_xlfn.XLOOKUP(FME_Ranking1[[#This Row],[FME ID]],FME_Input[FME_ID],FME_Input[RFPG_NUM])</f>
        <v>1</v>
      </c>
      <c r="C713" t="str">
        <f>_xlfn.XLOOKUP(FME_Ranking1[[#This Row],[FME ID]],FME_Input[FME_ID],FME_Input[FME_NAME])</f>
        <v>Hardeman County FIS</v>
      </c>
      <c r="D713" t="str">
        <f>_xlfn.XLOOKUP(FME_Ranking1[[#This Row],[FME ID]],FME_Input[FME_ID],FME_Input[DESCR])</f>
        <v>Perform flood insurance study for the county and develop regulatory mapping</v>
      </c>
      <c r="E713" s="256">
        <f>_xlfn.XLOOKUP(FME_Ranking1[[#This Row],[FME ID]],FME_Input[FME_ID],FME_Input[FME_COST])</f>
        <v>678000</v>
      </c>
      <c r="F713" t="str">
        <f>_xlfn.XLOOKUP(FME_Ranking1[[#This Row],[FME ID]],FME_Input[FME_ID],FME_Input[EMER_NEED])</f>
        <v>No</v>
      </c>
      <c r="G713">
        <f>IF(FME_Ranking!F713="Yes",100,0)</f>
        <v>0</v>
      </c>
      <c r="H713">
        <f>FME_Ranking1[[#This Row],[Emergency Need Score (Normalized, Unweighted)]]*$F$3</f>
        <v>0</v>
      </c>
      <c r="I713" s="246">
        <f>_xlfn.XLOOKUP(FME_Ranking1[[#This Row],[FME ID]],FME_Input[FME_ID],FME_Input[STRUCT_100])</f>
        <v>43</v>
      </c>
      <c r="J713" s="178">
        <f>(FME_Ranking1[[#This Row],[Structures 100 Raw]]/I$2)*100</f>
        <v>2.302617487041083E-2</v>
      </c>
      <c r="K713" s="178">
        <f>FME_Ranking1[[#This Row],[Structures 100  Score (Normalized, Unweighted)]]*$I$3</f>
        <v>3.4539262305616244E-3</v>
      </c>
      <c r="L713" s="246">
        <f>_xlfn.XLOOKUP(FME_Ranking1[[#This Row],[FME ID]],FME_Input[FME_ID],FME_Input[RES_STRUCT100])</f>
        <v>3</v>
      </c>
      <c r="M713" s="230">
        <f>(FME_Ranking1[[#This Row],[Res Structures Raw]]/L$2)*100</f>
        <v>2.1249167740930146E-3</v>
      </c>
      <c r="N713" s="180">
        <f>FME_Ranking1[[#This Row],[Res Structures Score (Normalized, Unweighted)]]*$L$3</f>
        <v>2.1249167740930149E-4</v>
      </c>
      <c r="O713" s="244">
        <f>_xlfn.XLOOKUP(FME_Ranking1[[#This Row],[FME ID]],FME_Input[FME_ID],FME_Input[POP100])</f>
        <v>157</v>
      </c>
      <c r="P713" s="178">
        <f>(FME_Ranking1[[#This Row],[Pop Raw]]/$O$2)*100</f>
        <v>1.6072923982235837E-2</v>
      </c>
      <c r="Q713" s="178">
        <f>FME_Ranking1[[#This Row],[Pop Score (Normalized, Unweighted)]]*$O$3</f>
        <v>2.4109385973353757E-3</v>
      </c>
      <c r="R713" s="137">
        <f>_xlfn.XLOOKUP(FME_Ranking1[[#This Row],[FME ID]],FME_Input[FME_ID],FME_Input[CRITFAC100])</f>
        <v>0</v>
      </c>
      <c r="S713" s="230">
        <f>(FME_Ranking1[[#This Row],[Critical Facilities Raw]]/$R$2)*100</f>
        <v>0</v>
      </c>
      <c r="T713" s="180">
        <f>FME_Ranking1[[#This Row],[Critical Facilities Score (Normalized, Unweighted)]]*$R$3</f>
        <v>0</v>
      </c>
      <c r="U713">
        <f>_xlfn.XLOOKUP(FME_Ranking1[[#This Row],[FME ID]],FME_Input[FME_ID],FME_Input[LWC])</f>
        <v>6</v>
      </c>
      <c r="V713" s="178">
        <f>(FME_Ranking1[[#This Row],[LWC Raw]]/$U$2)*100</f>
        <v>0.34542314335060448</v>
      </c>
      <c r="W713" s="178">
        <f>FME_Ranking1[[#This Row],[LWC Score (Normalized, Unweighted)]]*$U$3</f>
        <v>6.9084628670120898E-2</v>
      </c>
      <c r="X713" s="246">
        <f>_xlfn.XLOOKUP(FME_Ranking1[[#This Row],[FME ID]],FME_Input[FME_ID],FME_Input[ROADCLS])</f>
        <v>6</v>
      </c>
      <c r="Y713" s="230">
        <f>(FME_Ranking1[[#This Row],[Closures Raw]]/$X$2)*100</f>
        <v>6.3084849122069186E-2</v>
      </c>
      <c r="Z713" s="180">
        <f>FME_Ranking1[[#This Row],[Closures Score (Normalized, Unweighted)]]*$X$3</f>
        <v>3.1542424561034595E-3</v>
      </c>
      <c r="AA713" s="253">
        <f>_xlfn.XLOOKUP(FME_Ranking1[[#This Row],[FME ID]],FME_Input[FME_ID],FME_Input[ROAD_MILES100])</f>
        <v>54.346111297607422</v>
      </c>
      <c r="AB713" s="178">
        <f>(FME_Ranking1[[#This Row],[Miles Raw]]/$AA$2)*100</f>
        <v>0.71455388923688978</v>
      </c>
      <c r="AC713" s="178">
        <f>FME_Ranking1[[#This Row],[Miles Score (Normalized, Unweighted)]]*$AA$3</f>
        <v>7.1455388923688981E-2</v>
      </c>
      <c r="AD713" s="255">
        <f>_xlfn.XLOOKUP(FME_Ranking1[[#This Row],[FME ID]],FME_Input[FME_ID],FME_Input[FARMACRE100])</f>
        <v>59006.796875</v>
      </c>
      <c r="AE713" s="230">
        <f>(FME_Ranking1[[#This Row],[Ag Land Raw]]/$AD$2)*100</f>
        <v>2.4331761589810865</v>
      </c>
      <c r="AF713" s="231">
        <f>FME_Ranking1[[#This Row],[Ag Land Score (Normalized, Unweighted)]]*$AD$3</f>
        <v>0.12165880794905433</v>
      </c>
      <c r="AG71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0.27143042450427396</v>
      </c>
      <c r="AH713" s="406">
        <f t="shared" si="11"/>
        <v>650</v>
      </c>
      <c r="AI71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0.27143042450427396</v>
      </c>
      <c r="AJ713" s="257">
        <f>FME_Ranking1[[#This Row],[Addition check]]-FME_Ranking1[[#This Row],[Weighted Score Based on Normalized Reported Factors]]</f>
        <v>0</v>
      </c>
      <c r="AK713" s="178">
        <f>_xlfn.RANK.EQ(AI713,$AI$6:$AI$2341,0)+COUNTIF($AI$6:AI713,AI713)-1</f>
        <v>650</v>
      </c>
    </row>
    <row r="714" spans="1:37" x14ac:dyDescent="0.25">
      <c r="A714" t="s">
        <v>10980</v>
      </c>
      <c r="B714">
        <f>_xlfn.XLOOKUP(FME_Ranking1[[#This Row],[FME ID]],FME_Input[FME_ID],FME_Input[RFPG_NUM])</f>
        <v>14</v>
      </c>
      <c r="C714" t="str">
        <f>_xlfn.XLOOKUP(FME_Ranking1[[#This Row],[FME ID]],FME_Input[FME_ID],FME_Input[FME_NAME])</f>
        <v>Develop city-wide drainage study and stormwater master plan for the City of Kermit.</v>
      </c>
      <c r="D714" t="str">
        <f>_xlfn.XLOOKUP(FME_Ranking1[[#This Row],[FME ID]],FME_Input[FME_ID],FME_Input[DESCR])</f>
        <v>Develop city-wide drainage study and stormwater master plan for Kermit.  Develop detailed H&amp;H models and floodplain maps.  Evaluate FMP alternatives.</v>
      </c>
      <c r="E714" s="256">
        <f>_xlfn.XLOOKUP(FME_Ranking1[[#This Row],[FME ID]],FME_Input[FME_ID],FME_Input[FME_COST])</f>
        <v>75000</v>
      </c>
      <c r="F714" t="str">
        <f>_xlfn.XLOOKUP(FME_Ranking1[[#This Row],[FME ID]],FME_Input[FME_ID],FME_Input[EMER_NEED])</f>
        <v>No</v>
      </c>
      <c r="G714">
        <f>IF(FME_Ranking!F714="Yes",100,0)</f>
        <v>0</v>
      </c>
      <c r="H714">
        <f>FME_Ranking1[[#This Row],[Emergency Need Score (Normalized, Unweighted)]]*$F$3</f>
        <v>0</v>
      </c>
      <c r="I714" s="246">
        <f>_xlfn.XLOOKUP(FME_Ranking1[[#This Row],[FME ID]],FME_Input[FME_ID],FME_Input[STRUCT_100])</f>
        <v>1119</v>
      </c>
      <c r="J714" s="178">
        <f>(FME_Ranking1[[#This Row],[Structures 100 Raw]]/I$2)*100</f>
        <v>0.59921603906952836</v>
      </c>
      <c r="K714" s="178">
        <f>FME_Ranking1[[#This Row],[Structures 100  Score (Normalized, Unweighted)]]*$I$3</f>
        <v>8.9882405860429254E-2</v>
      </c>
      <c r="L714" s="246">
        <f>_xlfn.XLOOKUP(FME_Ranking1[[#This Row],[FME ID]],FME_Input[FME_ID],FME_Input[RES_STRUCT100])</f>
        <v>916</v>
      </c>
      <c r="M714" s="230">
        <f>(FME_Ranking1[[#This Row],[Res Structures Raw]]/L$2)*100</f>
        <v>0.64880792168973389</v>
      </c>
      <c r="N714" s="180">
        <f>FME_Ranking1[[#This Row],[Res Structures Score (Normalized, Unweighted)]]*$L$3</f>
        <v>6.4880792168973397E-2</v>
      </c>
      <c r="O714" s="244">
        <f>_xlfn.XLOOKUP(FME_Ranking1[[#This Row],[FME ID]],FME_Input[FME_ID],FME_Input[POP100])</f>
        <v>2152</v>
      </c>
      <c r="P714" s="178">
        <f>(FME_Ranking1[[#This Row],[Pop Raw]]/$O$2)*100</f>
        <v>0.22031167139981858</v>
      </c>
      <c r="Q714" s="178">
        <f>FME_Ranking1[[#This Row],[Pop Score (Normalized, Unweighted)]]*$O$3</f>
        <v>3.3046750709972789E-2</v>
      </c>
      <c r="R714" s="137">
        <f>_xlfn.XLOOKUP(FME_Ranking1[[#This Row],[FME ID]],FME_Input[FME_ID],FME_Input[CRITFAC100])</f>
        <v>1</v>
      </c>
      <c r="S714" s="230">
        <f>(FME_Ranking1[[#This Row],[Critical Facilities Raw]]/$R$2)*100</f>
        <v>4.2881646655231559E-2</v>
      </c>
      <c r="T714" s="180">
        <f>FME_Ranking1[[#This Row],[Critical Facilities Score (Normalized, Unweighted)]]*$R$3</f>
        <v>8.5763293310463125E-3</v>
      </c>
      <c r="U714">
        <f>_xlfn.XLOOKUP(FME_Ranking1[[#This Row],[FME ID]],FME_Input[FME_ID],FME_Input[LWC])</f>
        <v>0</v>
      </c>
      <c r="V714" s="178">
        <f>(FME_Ranking1[[#This Row],[LWC Raw]]/$U$2)*100</f>
        <v>0</v>
      </c>
      <c r="W714" s="178">
        <f>FME_Ranking1[[#This Row],[LWC Score (Normalized, Unweighted)]]*$U$3</f>
        <v>0</v>
      </c>
      <c r="X714" s="246">
        <f>_xlfn.XLOOKUP(FME_Ranking1[[#This Row],[FME ID]],FME_Input[FME_ID],FME_Input[ROADCLS])</f>
        <v>5</v>
      </c>
      <c r="Y714" s="230">
        <f>(FME_Ranking1[[#This Row],[Closures Raw]]/$X$2)*100</f>
        <v>5.2570707601724324E-2</v>
      </c>
      <c r="Z714" s="180">
        <f>FME_Ranking1[[#This Row],[Closures Score (Normalized, Unweighted)]]*$X$3</f>
        <v>2.6285353800862164E-3</v>
      </c>
      <c r="AA714" s="253">
        <f>_xlfn.XLOOKUP(FME_Ranking1[[#This Row],[FME ID]],FME_Input[FME_ID],FME_Input[ROAD_MILES100])</f>
        <v>31.625600814819339</v>
      </c>
      <c r="AB714" s="178">
        <f>(FME_Ranking1[[#This Row],[Miles Raw]]/$AA$2)*100</f>
        <v>0.41581992753688324</v>
      </c>
      <c r="AC714" s="178">
        <f>FME_Ranking1[[#This Row],[Miles Score (Normalized, Unweighted)]]*$AA$3</f>
        <v>4.1581992753688325E-2</v>
      </c>
      <c r="AD714" s="255">
        <f>_xlfn.XLOOKUP(FME_Ranking1[[#This Row],[FME ID]],FME_Input[FME_ID],FME_Input[FARMACRE100])</f>
        <v>2.671740055084229</v>
      </c>
      <c r="AE714" s="230">
        <f>(FME_Ranking1[[#This Row],[Ag Land Raw]]/$AD$2)*100</f>
        <v>1.1017059981745978E-4</v>
      </c>
      <c r="AF714" s="231">
        <f>FME_Ranking1[[#This Row],[Ag Land Score (Normalized, Unweighted)]]*$AD$3</f>
        <v>5.508529990872989E-6</v>
      </c>
      <c r="AG71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0.24060231473418717</v>
      </c>
      <c r="AH714" s="406">
        <f t="shared" si="11"/>
        <v>722</v>
      </c>
      <c r="AI71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0.24060231473418717</v>
      </c>
      <c r="AJ714" s="257">
        <f>FME_Ranking1[[#This Row],[Addition check]]-FME_Ranking1[[#This Row],[Weighted Score Based on Normalized Reported Factors]]</f>
        <v>0</v>
      </c>
      <c r="AK714" s="178">
        <f>_xlfn.RANK.EQ(AI714,$AI$6:$AI$2341,0)+COUNTIF($AI$6:AI714,AI714)-1</f>
        <v>722</v>
      </c>
    </row>
    <row r="715" spans="1:37" x14ac:dyDescent="0.25">
      <c r="A715" t="s">
        <v>1618</v>
      </c>
      <c r="B715">
        <f>_xlfn.XLOOKUP(FME_Ranking1[[#This Row],[FME ID]],FME_Input[FME_ID],FME_Input[RFPG_NUM])</f>
        <v>6</v>
      </c>
      <c r="C715" t="str">
        <f>_xlfn.XLOOKUP(FME_Ranking1[[#This Row],[FME ID]],FME_Input[FME_ID],FME_Input[FME_NAME])</f>
        <v>City of Iowa Colony Master Drainage Plan</v>
      </c>
      <c r="D715" t="str">
        <f>_xlfn.XLOOKUP(FME_Ranking1[[#This Row],[FME ID]],FME_Input[FME_ID],FME_Input[DESCR])</f>
        <v>Study to develop Master Drainage Plan using future and existing land use and flood/storm water drainage needs including Atlas 14 rainfall.</v>
      </c>
      <c r="E715" s="256">
        <f>_xlfn.XLOOKUP(FME_Ranking1[[#This Row],[FME ID]],FME_Input[FME_ID],FME_Input[FME_COST])</f>
        <v>310000</v>
      </c>
      <c r="F715" t="str">
        <f>_xlfn.XLOOKUP(FME_Ranking1[[#This Row],[FME ID]],FME_Input[FME_ID],FME_Input[EMER_NEED])</f>
        <v>Yes</v>
      </c>
      <c r="G715">
        <f>IF(FME_Ranking!F715="Yes",100,0)</f>
        <v>100</v>
      </c>
      <c r="H715">
        <f>FME_Ranking1[[#This Row],[Emergency Need Score (Normalized, Unweighted)]]*$F$3</f>
        <v>0</v>
      </c>
      <c r="I715" s="246">
        <f>_xlfn.XLOOKUP(FME_Ranking1[[#This Row],[FME ID]],FME_Input[FME_ID],FME_Input[STRUCT_100])</f>
        <v>1162</v>
      </c>
      <c r="J715" s="178">
        <f>(FME_Ranking1[[#This Row],[Structures 100 Raw]]/I$2)*100</f>
        <v>0.62224221393993917</v>
      </c>
      <c r="K715" s="178">
        <f>FME_Ranking1[[#This Row],[Structures 100  Score (Normalized, Unweighted)]]*$I$3</f>
        <v>9.3336332090990876E-2</v>
      </c>
      <c r="L715" s="246">
        <f>_xlfn.XLOOKUP(FME_Ranking1[[#This Row],[FME ID]],FME_Input[FME_ID],FME_Input[RES_STRUCT100])</f>
        <v>1030</v>
      </c>
      <c r="M715" s="230">
        <f>(FME_Ranking1[[#This Row],[Res Structures Raw]]/L$2)*100</f>
        <v>0.72955475910526835</v>
      </c>
      <c r="N715" s="180">
        <f>FME_Ranking1[[#This Row],[Res Structures Score (Normalized, Unweighted)]]*$L$3</f>
        <v>7.295547591052684E-2</v>
      </c>
      <c r="O715" s="244">
        <f>_xlfn.XLOOKUP(FME_Ranking1[[#This Row],[FME ID]],FME_Input[FME_ID],FME_Input[POP100])</f>
        <v>1448</v>
      </c>
      <c r="P715" s="178">
        <f>(FME_Ranking1[[#This Row],[Pop Raw]]/$O$2)*100</f>
        <v>0.14823945175972925</v>
      </c>
      <c r="Q715" s="178">
        <f>FME_Ranking1[[#This Row],[Pop Score (Normalized, Unweighted)]]*$O$3</f>
        <v>2.2235917763959386E-2</v>
      </c>
      <c r="R715" s="137">
        <f>_xlfn.XLOOKUP(FME_Ranking1[[#This Row],[FME ID]],FME_Input[FME_ID],FME_Input[CRITFAC100])</f>
        <v>1</v>
      </c>
      <c r="S715" s="230">
        <f>(FME_Ranking1[[#This Row],[Critical Facilities Raw]]/$R$2)*100</f>
        <v>4.2881646655231559E-2</v>
      </c>
      <c r="T715" s="180">
        <f>FME_Ranking1[[#This Row],[Critical Facilities Score (Normalized, Unweighted)]]*$R$3</f>
        <v>8.5763293310463125E-3</v>
      </c>
      <c r="U715">
        <f>_xlfn.XLOOKUP(FME_Ranking1[[#This Row],[FME ID]],FME_Input[FME_ID],FME_Input[LWC])</f>
        <v>0</v>
      </c>
      <c r="V715" s="178">
        <f>(FME_Ranking1[[#This Row],[LWC Raw]]/$U$2)*100</f>
        <v>0</v>
      </c>
      <c r="W715" s="178">
        <f>FME_Ranking1[[#This Row],[LWC Score (Normalized, Unweighted)]]*$U$3</f>
        <v>0</v>
      </c>
      <c r="X715" s="246">
        <f>_xlfn.XLOOKUP(FME_Ranking1[[#This Row],[FME ID]],FME_Input[FME_ID],FME_Input[ROADCLS])</f>
        <v>0</v>
      </c>
      <c r="Y715" s="230">
        <f>(FME_Ranking1[[#This Row],[Closures Raw]]/$X$2)*100</f>
        <v>0</v>
      </c>
      <c r="Z715" s="180">
        <f>FME_Ranking1[[#This Row],[Closures Score (Normalized, Unweighted)]]*$X$3</f>
        <v>0</v>
      </c>
      <c r="AA715" s="253">
        <f>_xlfn.XLOOKUP(FME_Ranking1[[#This Row],[FME ID]],FME_Input[FME_ID],FME_Input[ROAD_MILES100])</f>
        <v>28.462604522705082</v>
      </c>
      <c r="AB715" s="178">
        <f>(FME_Ranking1[[#This Row],[Miles Raw]]/$AA$2)*100</f>
        <v>0.37423219939576036</v>
      </c>
      <c r="AC715" s="178">
        <f>FME_Ranking1[[#This Row],[Miles Score (Normalized, Unweighted)]]*$AA$3</f>
        <v>3.7423219939576036E-2</v>
      </c>
      <c r="AD715" s="255">
        <f>_xlfn.XLOOKUP(FME_Ranking1[[#This Row],[FME ID]],FME_Input[FME_ID],FME_Input[FARMACRE100])</f>
        <v>338.52609252929688</v>
      </c>
      <c r="AE715" s="230">
        <f>(FME_Ranking1[[#This Row],[Ag Land Raw]]/$AD$2)*100</f>
        <v>1.3959300642606023E-2</v>
      </c>
      <c r="AF715" s="231">
        <f>FME_Ranking1[[#This Row],[Ag Land Score (Normalized, Unweighted)]]*$AD$3</f>
        <v>6.9796503213030118E-4</v>
      </c>
      <c r="AG71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0.23522524006822976</v>
      </c>
      <c r="AH715" s="406">
        <f t="shared" si="11"/>
        <v>734</v>
      </c>
      <c r="AI71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0.23522524006822976</v>
      </c>
      <c r="AJ715" s="257">
        <f>FME_Ranking1[[#This Row],[Addition check]]-FME_Ranking1[[#This Row],[Weighted Score Based on Normalized Reported Factors]]</f>
        <v>0</v>
      </c>
      <c r="AK715" s="178">
        <f>_xlfn.RANK.EQ(AI715,$AI$6:$AI$2341,0)+COUNTIF($AI$6:AI715,AI715)-1</f>
        <v>734</v>
      </c>
    </row>
    <row r="716" spans="1:37" x14ac:dyDescent="0.25">
      <c r="A716" t="s">
        <v>4186</v>
      </c>
      <c r="B716">
        <f>_xlfn.XLOOKUP(FME_Ranking1[[#This Row],[FME ID]],FME_Input[FME_ID],FME_Input[RFPG_NUM])</f>
        <v>3</v>
      </c>
      <c r="C716" t="str">
        <f>_xlfn.XLOOKUP(FME_Ranking1[[#This Row],[FME ID]],FME_Input[FME_ID],FME_Input[FME_NAME])</f>
        <v>City of North Richland Hills DMP</v>
      </c>
      <c r="D716" t="str">
        <f>_xlfn.XLOOKUP(FME_Ranking1[[#This Row],[FME ID]],FME_Input[FME_ID],FME_Input[DESCR])</f>
        <v>Evaluate City and identify future projects.</v>
      </c>
      <c r="E716" s="256">
        <f>_xlfn.XLOOKUP(FME_Ranking1[[#This Row],[FME ID]],FME_Input[FME_ID],FME_Input[FME_COST])</f>
        <v>500000</v>
      </c>
      <c r="F716" t="str">
        <f>_xlfn.XLOOKUP(FME_Ranking1[[#This Row],[FME ID]],FME_Input[FME_ID],FME_Input[EMER_NEED])</f>
        <v>No</v>
      </c>
      <c r="G716">
        <f>IF(FME_Ranking!F716="Yes",100,0)</f>
        <v>0</v>
      </c>
      <c r="H716">
        <f>FME_Ranking1[[#This Row],[Emergency Need Score (Normalized, Unweighted)]]*$F$3</f>
        <v>0</v>
      </c>
      <c r="I716" s="246">
        <f>_xlfn.XLOOKUP(FME_Ranking1[[#This Row],[FME ID]],FME_Input[FME_ID],FME_Input[STRUCT_100])</f>
        <v>314</v>
      </c>
      <c r="J716" s="178">
        <f>(FME_Ranking1[[#This Row],[Structures 100 Raw]]/I$2)*100</f>
        <v>0.16814462579788372</v>
      </c>
      <c r="K716" s="178">
        <f>FME_Ranking1[[#This Row],[Structures 100  Score (Normalized, Unweighted)]]*$I$3</f>
        <v>2.5221693869682558E-2</v>
      </c>
      <c r="L716" s="246">
        <f>_xlfn.XLOOKUP(FME_Ranking1[[#This Row],[FME ID]],FME_Input[FME_ID],FME_Input[RES_STRUCT100])</f>
        <v>301</v>
      </c>
      <c r="M716" s="230">
        <f>(FME_Ranking1[[#This Row],[Res Structures Raw]]/L$2)*100</f>
        <v>0.21319998300066578</v>
      </c>
      <c r="N716" s="180">
        <f>FME_Ranking1[[#This Row],[Res Structures Score (Normalized, Unweighted)]]*$L$3</f>
        <v>2.1319998300066579E-2</v>
      </c>
      <c r="O716" s="244">
        <f>_xlfn.XLOOKUP(FME_Ranking1[[#This Row],[FME ID]],FME_Input[FME_ID],FME_Input[POP100])</f>
        <v>1194</v>
      </c>
      <c r="P716" s="178">
        <f>(FME_Ranking1[[#This Row],[Pop Raw]]/$O$2)*100</f>
        <v>0.12223612251458335</v>
      </c>
      <c r="Q716" s="178">
        <f>FME_Ranking1[[#This Row],[Pop Score (Normalized, Unweighted)]]*$O$3</f>
        <v>1.8335418377187503E-2</v>
      </c>
      <c r="R716" s="137">
        <f>_xlfn.XLOOKUP(FME_Ranking1[[#This Row],[FME ID]],FME_Input[FME_ID],FME_Input[CRITFAC100])</f>
        <v>2</v>
      </c>
      <c r="S716" s="230">
        <f>(FME_Ranking1[[#This Row],[Critical Facilities Raw]]/$R$2)*100</f>
        <v>8.5763293310463118E-2</v>
      </c>
      <c r="T716" s="180">
        <f>FME_Ranking1[[#This Row],[Critical Facilities Score (Normalized, Unweighted)]]*$R$3</f>
        <v>1.7152658662092625E-2</v>
      </c>
      <c r="U716">
        <f>_xlfn.XLOOKUP(FME_Ranking1[[#This Row],[FME ID]],FME_Input[FME_ID],FME_Input[LWC])</f>
        <v>10</v>
      </c>
      <c r="V716" s="178">
        <f>(FME_Ranking1[[#This Row],[LWC Raw]]/$U$2)*100</f>
        <v>0.57570523891767411</v>
      </c>
      <c r="W716" s="178">
        <f>FME_Ranking1[[#This Row],[LWC Score (Normalized, Unweighted)]]*$U$3</f>
        <v>0.11514104778353483</v>
      </c>
      <c r="X716" s="246">
        <f>_xlfn.XLOOKUP(FME_Ranking1[[#This Row],[FME ID]],FME_Input[FME_ID],FME_Input[ROADCLS])</f>
        <v>0</v>
      </c>
      <c r="Y716" s="230">
        <f>(FME_Ranking1[[#This Row],[Closures Raw]]/$X$2)*100</f>
        <v>0</v>
      </c>
      <c r="Z716" s="180">
        <f>FME_Ranking1[[#This Row],[Closures Score (Normalized, Unweighted)]]*$X$3</f>
        <v>0</v>
      </c>
      <c r="AA716" s="253">
        <f>_xlfn.XLOOKUP(FME_Ranking1[[#This Row],[FME ID]],FME_Input[FME_ID],FME_Input[ROAD_MILES100])</f>
        <v>9.4085597991943359</v>
      </c>
      <c r="AB716" s="178">
        <f>(FME_Ranking1[[#This Row],[Miles Raw]]/$AA$2)*100</f>
        <v>0.12370568631518883</v>
      </c>
      <c r="AC716" s="178">
        <f>FME_Ranking1[[#This Row],[Miles Score (Normalized, Unweighted)]]*$AA$3</f>
        <v>1.2370568631518884E-2</v>
      </c>
      <c r="AD716" s="255">
        <f>_xlfn.XLOOKUP(FME_Ranking1[[#This Row],[FME ID]],FME_Input[FME_ID],FME_Input[FARMACRE100])</f>
        <v>44.357879638671882</v>
      </c>
      <c r="AE716" s="230">
        <f>(FME_Ranking1[[#This Row],[Ag Land Raw]]/$AD$2)*100</f>
        <v>1.8291203880869697E-3</v>
      </c>
      <c r="AF716" s="231">
        <f>FME_Ranking1[[#This Row],[Ag Land Score (Normalized, Unweighted)]]*$AD$3</f>
        <v>9.1456019404348489E-5</v>
      </c>
      <c r="AG71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0.20963284164348736</v>
      </c>
      <c r="AH716" s="406">
        <f t="shared" si="11"/>
        <v>787</v>
      </c>
      <c r="AI71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0.20963284164348736</v>
      </c>
      <c r="AJ716" s="257">
        <f>FME_Ranking1[[#This Row],[Addition check]]-FME_Ranking1[[#This Row],[Weighted Score Based on Normalized Reported Factors]]</f>
        <v>0</v>
      </c>
      <c r="AK716" s="178">
        <f>_xlfn.RANK.EQ(AI716,$AI$6:$AI$2341,0)+COUNTIF($AI$6:AI716,AI716)-1</f>
        <v>787</v>
      </c>
    </row>
    <row r="717" spans="1:37" x14ac:dyDescent="0.25">
      <c r="A717" t="s">
        <v>845</v>
      </c>
      <c r="B717">
        <f>_xlfn.XLOOKUP(FME_Ranking1[[#This Row],[FME ID]],FME_Input[FME_ID],FME_Input[RFPG_NUM])</f>
        <v>6</v>
      </c>
      <c r="C717" t="str">
        <f>_xlfn.XLOOKUP(FME_Ranking1[[#This Row],[FME ID]],FME_Input[FME_ID],FME_Input[FME_NAME])</f>
        <v>Shoreacres Drainage Assessment</v>
      </c>
      <c r="D717" t="str">
        <f>_xlfn.XLOOKUP(FME_Ranking1[[#This Row],[FME ID]],FME_Input[FME_ID],FME_Input[DESCR])</f>
        <v>Further analysis necessary to determine downstream impacts and whether any additional volume in A104-11-00 would be available during a coincident event on Taylor Bayou.</v>
      </c>
      <c r="E717" s="256">
        <f>_xlfn.XLOOKUP(FME_Ranking1[[#This Row],[FME ID]],FME_Input[FME_ID],FME_Input[FME_COST])</f>
        <v>100000</v>
      </c>
      <c r="F717" t="str">
        <f>_xlfn.XLOOKUP(FME_Ranking1[[#This Row],[FME ID]],FME_Input[FME_ID],FME_Input[EMER_NEED])</f>
        <v>No</v>
      </c>
      <c r="G717">
        <f>IF(FME_Ranking!F717="Yes",100,0)</f>
        <v>0</v>
      </c>
      <c r="H717">
        <f>FME_Ranking1[[#This Row],[Emergency Need Score (Normalized, Unweighted)]]*$F$3</f>
        <v>0</v>
      </c>
      <c r="I717" s="246">
        <f>_xlfn.XLOOKUP(FME_Ranking1[[#This Row],[FME ID]],FME_Input[FME_ID],FME_Input[STRUCT_100])</f>
        <v>801</v>
      </c>
      <c r="J717" s="178">
        <f>(FME_Ranking1[[#This Row],[Structures 100 Raw]]/I$2)*100</f>
        <v>0.4289294435162575</v>
      </c>
      <c r="K717" s="178">
        <f>FME_Ranking1[[#This Row],[Structures 100  Score (Normalized, Unweighted)]]*$I$3</f>
        <v>6.4339416527438617E-2</v>
      </c>
      <c r="L717" s="246">
        <f>_xlfn.XLOOKUP(FME_Ranking1[[#This Row],[FME ID]],FME_Input[FME_ID],FME_Input[RES_STRUCT100])</f>
        <v>787</v>
      </c>
      <c r="M717" s="230">
        <f>(FME_Ranking1[[#This Row],[Res Structures Raw]]/L$2)*100</f>
        <v>0.55743650040373416</v>
      </c>
      <c r="N717" s="180">
        <f>FME_Ranking1[[#This Row],[Res Structures Score (Normalized, Unweighted)]]*$L$3</f>
        <v>5.5743650040373419E-2</v>
      </c>
      <c r="O717" s="244">
        <f>_xlfn.XLOOKUP(FME_Ranking1[[#This Row],[FME ID]],FME_Input[FME_ID],FME_Input[POP100])</f>
        <v>2456</v>
      </c>
      <c r="P717" s="178">
        <f>(FME_Ranking1[[#This Row],[Pop Raw]]/$O$2)*100</f>
        <v>0.25143376624440267</v>
      </c>
      <c r="Q717" s="178">
        <f>FME_Ranking1[[#This Row],[Pop Score (Normalized, Unweighted)]]*$O$3</f>
        <v>3.7715064936660402E-2</v>
      </c>
      <c r="R717" s="137">
        <f>_xlfn.XLOOKUP(FME_Ranking1[[#This Row],[FME ID]],FME_Input[FME_ID],FME_Input[CRITFAC100])</f>
        <v>3</v>
      </c>
      <c r="S717" s="230">
        <f>(FME_Ranking1[[#This Row],[Critical Facilities Raw]]/$R$2)*100</f>
        <v>0.1286449399656947</v>
      </c>
      <c r="T717" s="180">
        <f>FME_Ranking1[[#This Row],[Critical Facilities Score (Normalized, Unweighted)]]*$R$3</f>
        <v>2.5728987993138941E-2</v>
      </c>
      <c r="U717">
        <f>_xlfn.XLOOKUP(FME_Ranking1[[#This Row],[FME ID]],FME_Input[FME_ID],FME_Input[LWC])</f>
        <v>1</v>
      </c>
      <c r="V717" s="178">
        <f>(FME_Ranking1[[#This Row],[LWC Raw]]/$U$2)*100</f>
        <v>5.7570523891767422E-2</v>
      </c>
      <c r="W717" s="178">
        <f>FME_Ranking1[[#This Row],[LWC Score (Normalized, Unweighted)]]*$U$3</f>
        <v>1.1514104778353485E-2</v>
      </c>
      <c r="X717" s="246">
        <f>_xlfn.XLOOKUP(FME_Ranking1[[#This Row],[FME ID]],FME_Input[FME_ID],FME_Input[ROADCLS])</f>
        <v>1</v>
      </c>
      <c r="Y717" s="230">
        <f>(FME_Ranking1[[#This Row],[Closures Raw]]/$X$2)*100</f>
        <v>1.0514141520344864E-2</v>
      </c>
      <c r="Z717" s="180">
        <f>FME_Ranking1[[#This Row],[Closures Score (Normalized, Unweighted)]]*$X$3</f>
        <v>5.2570707601724321E-4</v>
      </c>
      <c r="AA717" s="253">
        <f>_xlfn.XLOOKUP(FME_Ranking1[[#This Row],[FME ID]],FME_Input[FME_ID],FME_Input[ROAD_MILES100])</f>
        <v>17.1647834777832</v>
      </c>
      <c r="AB717" s="178">
        <f>(FME_Ranking1[[#This Row],[Miles Raw]]/$AA$2)*100</f>
        <v>0.22568611624837753</v>
      </c>
      <c r="AC717" s="178">
        <f>FME_Ranking1[[#This Row],[Miles Score (Normalized, Unweighted)]]*$AA$3</f>
        <v>2.2568611624837753E-2</v>
      </c>
      <c r="AD717" s="255">
        <f>_xlfn.XLOOKUP(FME_Ranking1[[#This Row],[FME ID]],FME_Input[FME_ID],FME_Input[FARMACRE100])</f>
        <v>0.221631184220314</v>
      </c>
      <c r="AE717" s="230">
        <f>(FME_Ranking1[[#This Row],[Ag Land Raw]]/$AD$2)*100</f>
        <v>9.1390779044318917E-6</v>
      </c>
      <c r="AF717" s="231">
        <f>FME_Ranking1[[#This Row],[Ag Land Score (Normalized, Unweighted)]]*$AD$3</f>
        <v>4.5695389522159459E-7</v>
      </c>
      <c r="AG71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0.21813599993071509</v>
      </c>
      <c r="AH717" s="406">
        <f t="shared" si="11"/>
        <v>778</v>
      </c>
      <c r="AI71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0.21813599993071509</v>
      </c>
      <c r="AJ717" s="257">
        <f>FME_Ranking1[[#This Row],[Addition check]]-FME_Ranking1[[#This Row],[Weighted Score Based on Normalized Reported Factors]]</f>
        <v>0</v>
      </c>
      <c r="AK717" s="178">
        <f>_xlfn.RANK.EQ(AI717,$AI$6:$AI$2341,0)+COUNTIF($AI$6:AI717,AI717)-1</f>
        <v>778</v>
      </c>
    </row>
    <row r="718" spans="1:37" x14ac:dyDescent="0.25">
      <c r="A718" t="s">
        <v>1750</v>
      </c>
      <c r="B718">
        <f>_xlfn.XLOOKUP(FME_Ranking1[[#This Row],[FME ID]],FME_Input[FME_ID],FME_Input[RFPG_NUM])</f>
        <v>6</v>
      </c>
      <c r="C718" t="str">
        <f>_xlfn.XLOOKUP(FME_Ranking1[[#This Row],[FME ID]],FME_Input[FME_ID],FME_Input[FME_NAME])</f>
        <v>City of Shoreacres  Master Drainage Plan</v>
      </c>
      <c r="D718" t="str">
        <f>_xlfn.XLOOKUP(FME_Ranking1[[#This Row],[FME ID]],FME_Input[FME_ID],FME_Input[DESCR])</f>
        <v>Study to develop Master Drainage Plan using future and existing land use and flood/storm water drainage needs including Atlas 14 rainfall.</v>
      </c>
      <c r="E718" s="256">
        <f>_xlfn.XLOOKUP(FME_Ranking1[[#This Row],[FME ID]],FME_Input[FME_ID],FME_Input[FME_COST])</f>
        <v>150000</v>
      </c>
      <c r="F718" t="str">
        <f>_xlfn.XLOOKUP(FME_Ranking1[[#This Row],[FME ID]],FME_Input[FME_ID],FME_Input[EMER_NEED])</f>
        <v>No</v>
      </c>
      <c r="G718">
        <f>IF(FME_Ranking!F718="Yes",100,0)</f>
        <v>0</v>
      </c>
      <c r="H718">
        <f>FME_Ranking1[[#This Row],[Emergency Need Score (Normalized, Unweighted)]]*$F$3</f>
        <v>0</v>
      </c>
      <c r="I718" s="246">
        <f>_xlfn.XLOOKUP(FME_Ranking1[[#This Row],[FME ID]],FME_Input[FME_ID],FME_Input[STRUCT_100])</f>
        <v>801</v>
      </c>
      <c r="J718" s="178">
        <f>(FME_Ranking1[[#This Row],[Structures 100 Raw]]/I$2)*100</f>
        <v>0.4289294435162575</v>
      </c>
      <c r="K718" s="178">
        <f>FME_Ranking1[[#This Row],[Structures 100  Score (Normalized, Unweighted)]]*$I$3</f>
        <v>6.4339416527438617E-2</v>
      </c>
      <c r="L718" s="246">
        <f>_xlfn.XLOOKUP(FME_Ranking1[[#This Row],[FME ID]],FME_Input[FME_ID],FME_Input[RES_STRUCT100])</f>
        <v>787</v>
      </c>
      <c r="M718" s="230">
        <f>(FME_Ranking1[[#This Row],[Res Structures Raw]]/L$2)*100</f>
        <v>0.55743650040373416</v>
      </c>
      <c r="N718" s="180">
        <f>FME_Ranking1[[#This Row],[Res Structures Score (Normalized, Unweighted)]]*$L$3</f>
        <v>5.5743650040373419E-2</v>
      </c>
      <c r="O718" s="244">
        <f>_xlfn.XLOOKUP(FME_Ranking1[[#This Row],[FME ID]],FME_Input[FME_ID],FME_Input[POP100])</f>
        <v>2456</v>
      </c>
      <c r="P718" s="178">
        <f>(FME_Ranking1[[#This Row],[Pop Raw]]/$O$2)*100</f>
        <v>0.25143376624440267</v>
      </c>
      <c r="Q718" s="178">
        <f>FME_Ranking1[[#This Row],[Pop Score (Normalized, Unweighted)]]*$O$3</f>
        <v>3.7715064936660402E-2</v>
      </c>
      <c r="R718" s="137">
        <f>_xlfn.XLOOKUP(FME_Ranking1[[#This Row],[FME ID]],FME_Input[FME_ID],FME_Input[CRITFAC100])</f>
        <v>3</v>
      </c>
      <c r="S718" s="230">
        <f>(FME_Ranking1[[#This Row],[Critical Facilities Raw]]/$R$2)*100</f>
        <v>0.1286449399656947</v>
      </c>
      <c r="T718" s="180">
        <f>FME_Ranking1[[#This Row],[Critical Facilities Score (Normalized, Unweighted)]]*$R$3</f>
        <v>2.5728987993138941E-2</v>
      </c>
      <c r="U718">
        <f>_xlfn.XLOOKUP(FME_Ranking1[[#This Row],[FME ID]],FME_Input[FME_ID],FME_Input[LWC])</f>
        <v>1</v>
      </c>
      <c r="V718" s="178">
        <f>(FME_Ranking1[[#This Row],[LWC Raw]]/$U$2)*100</f>
        <v>5.7570523891767422E-2</v>
      </c>
      <c r="W718" s="178">
        <f>FME_Ranking1[[#This Row],[LWC Score (Normalized, Unweighted)]]*$U$3</f>
        <v>1.1514104778353485E-2</v>
      </c>
      <c r="X718" s="246">
        <f>_xlfn.XLOOKUP(FME_Ranking1[[#This Row],[FME ID]],FME_Input[FME_ID],FME_Input[ROADCLS])</f>
        <v>1</v>
      </c>
      <c r="Y718" s="230">
        <f>(FME_Ranking1[[#This Row],[Closures Raw]]/$X$2)*100</f>
        <v>1.0514141520344864E-2</v>
      </c>
      <c r="Z718" s="180">
        <f>FME_Ranking1[[#This Row],[Closures Score (Normalized, Unweighted)]]*$X$3</f>
        <v>5.2570707601724321E-4</v>
      </c>
      <c r="AA718" s="253">
        <f>_xlfn.XLOOKUP(FME_Ranking1[[#This Row],[FME ID]],FME_Input[FME_ID],FME_Input[ROAD_MILES100])</f>
        <v>17.1647834777832</v>
      </c>
      <c r="AB718" s="178">
        <f>(FME_Ranking1[[#This Row],[Miles Raw]]/$AA$2)*100</f>
        <v>0.22568611624837753</v>
      </c>
      <c r="AC718" s="178">
        <f>FME_Ranking1[[#This Row],[Miles Score (Normalized, Unweighted)]]*$AA$3</f>
        <v>2.2568611624837753E-2</v>
      </c>
      <c r="AD718" s="255">
        <f>_xlfn.XLOOKUP(FME_Ranking1[[#This Row],[FME ID]],FME_Input[FME_ID],FME_Input[FARMACRE100])</f>
        <v>0.221631184220314</v>
      </c>
      <c r="AE718" s="230">
        <f>(FME_Ranking1[[#This Row],[Ag Land Raw]]/$AD$2)*100</f>
        <v>9.1390779044318917E-6</v>
      </c>
      <c r="AF718" s="231">
        <f>FME_Ranking1[[#This Row],[Ag Land Score (Normalized, Unweighted)]]*$AD$3</f>
        <v>4.5695389522159459E-7</v>
      </c>
      <c r="AG71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0.21813599993071509</v>
      </c>
      <c r="AH718" s="406">
        <f t="shared" si="11"/>
        <v>778</v>
      </c>
      <c r="AI71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0.21813599993071509</v>
      </c>
      <c r="AJ718" s="257">
        <f>FME_Ranking1[[#This Row],[Addition check]]-FME_Ranking1[[#This Row],[Weighted Score Based on Normalized Reported Factors]]</f>
        <v>0</v>
      </c>
      <c r="AK718" s="178">
        <f>_xlfn.RANK.EQ(AI718,$AI$6:$AI$2341,0)+COUNTIF($AI$6:AI718,AI718)-1</f>
        <v>779</v>
      </c>
    </row>
    <row r="719" spans="1:37" x14ac:dyDescent="0.25">
      <c r="A719" t="s">
        <v>1893</v>
      </c>
      <c r="B719">
        <f>_xlfn.XLOOKUP(FME_Ranking1[[#This Row],[FME ID]],FME_Input[FME_ID],FME_Input[RFPG_NUM])</f>
        <v>6</v>
      </c>
      <c r="C719" t="str">
        <f>_xlfn.XLOOKUP(FME_Ranking1[[#This Row],[FME ID]],FME_Input[FME_ID],FME_Input[FME_NAME])</f>
        <v xml:space="preserve">I100-WP01 Vince Bayou Watershed Planning Project Recommendation </v>
      </c>
      <c r="D719" t="str">
        <f>_xlfn.XLOOKUP(FME_Ranking1[[#This Row],[FME ID]],FME_Input[FME_ID],FME_Input[DESCR])</f>
        <v xml:space="preserve">Study to develop a BCR required for this project to become a FMP. Alt-6 Detention basin and channel widening near Strawberry road on left bank of Vince Bayou. </v>
      </c>
      <c r="E719" s="256">
        <f>_xlfn.XLOOKUP(FME_Ranking1[[#This Row],[FME ID]],FME_Input[FME_ID],FME_Input[FME_COST])</f>
        <v>30000</v>
      </c>
      <c r="F719" t="str">
        <f>_xlfn.XLOOKUP(FME_Ranking1[[#This Row],[FME ID]],FME_Input[FME_ID],FME_Input[EMER_NEED])</f>
        <v>No</v>
      </c>
      <c r="G719">
        <f>IF(FME_Ranking!F719="Yes",100,0)</f>
        <v>0</v>
      </c>
      <c r="H719">
        <f>FME_Ranking1[[#This Row],[Emergency Need Score (Normalized, Unweighted)]]*$F$3</f>
        <v>0</v>
      </c>
      <c r="I719" s="246">
        <f>_xlfn.XLOOKUP(FME_Ranking1[[#This Row],[FME ID]],FME_Input[FME_ID],FME_Input[STRUCT_100])</f>
        <v>766</v>
      </c>
      <c r="J719" s="178">
        <f>(FME_Ranking1[[#This Row],[Structures 100 Raw]]/I$2)*100</f>
        <v>0.4101872081566208</v>
      </c>
      <c r="K719" s="178">
        <f>FME_Ranking1[[#This Row],[Structures 100  Score (Normalized, Unweighted)]]*$I$3</f>
        <v>6.1528081223493118E-2</v>
      </c>
      <c r="L719" s="246">
        <f>_xlfn.XLOOKUP(FME_Ranking1[[#This Row],[FME ID]],FME_Input[FME_ID],FME_Input[RES_STRUCT100])</f>
        <v>571</v>
      </c>
      <c r="M719" s="230">
        <f>(FME_Ranking1[[#This Row],[Res Structures Raw]]/L$2)*100</f>
        <v>0.40444249266903715</v>
      </c>
      <c r="N719" s="180">
        <f>FME_Ranking1[[#This Row],[Res Structures Score (Normalized, Unweighted)]]*$L$3</f>
        <v>4.0444249266903716E-2</v>
      </c>
      <c r="O719" s="244">
        <f>_xlfn.XLOOKUP(FME_Ranking1[[#This Row],[FME ID]],FME_Input[FME_ID],FME_Input[POP100])</f>
        <v>3202</v>
      </c>
      <c r="P719" s="178">
        <f>(FME_Ranking1[[#This Row],[Pop Raw]]/$O$2)*100</f>
        <v>0.32780574898802001</v>
      </c>
      <c r="Q719" s="178">
        <f>FME_Ranking1[[#This Row],[Pop Score (Normalized, Unweighted)]]*$O$3</f>
        <v>4.9170862348202997E-2</v>
      </c>
      <c r="R719" s="137">
        <f>_xlfn.XLOOKUP(FME_Ranking1[[#This Row],[FME ID]],FME_Input[FME_ID],FME_Input[CRITFAC100])</f>
        <v>5</v>
      </c>
      <c r="S719" s="230">
        <f>(FME_Ranking1[[#This Row],[Critical Facilities Raw]]/$R$2)*100</f>
        <v>0.21440823327615782</v>
      </c>
      <c r="T719" s="180">
        <f>FME_Ranking1[[#This Row],[Critical Facilities Score (Normalized, Unweighted)]]*$R$3</f>
        <v>4.2881646655231566E-2</v>
      </c>
      <c r="U719">
        <f>_xlfn.XLOOKUP(FME_Ranking1[[#This Row],[FME ID]],FME_Input[FME_ID],FME_Input[LWC])</f>
        <v>0</v>
      </c>
      <c r="V719" s="178">
        <f>(FME_Ranking1[[#This Row],[LWC Raw]]/$U$2)*100</f>
        <v>0</v>
      </c>
      <c r="W719" s="178">
        <f>FME_Ranking1[[#This Row],[LWC Score (Normalized, Unweighted)]]*$U$3</f>
        <v>0</v>
      </c>
      <c r="X719" s="246">
        <f>_xlfn.XLOOKUP(FME_Ranking1[[#This Row],[FME ID]],FME_Input[FME_ID],FME_Input[ROADCLS])</f>
        <v>0</v>
      </c>
      <c r="Y719" s="230">
        <f>(FME_Ranking1[[#This Row],[Closures Raw]]/$X$2)*100</f>
        <v>0</v>
      </c>
      <c r="Z719" s="180">
        <f>FME_Ranking1[[#This Row],[Closures Score (Normalized, Unweighted)]]*$X$3</f>
        <v>0</v>
      </c>
      <c r="AA719" s="253">
        <f>_xlfn.XLOOKUP(FME_Ranking1[[#This Row],[FME ID]],FME_Input[FME_ID],FME_Input[ROAD_MILES100])</f>
        <v>7.6052932739257813</v>
      </c>
      <c r="AB719" s="178">
        <f>(FME_Ranking1[[#This Row],[Miles Raw]]/$AA$2)*100</f>
        <v>9.9995965818258536E-2</v>
      </c>
      <c r="AC719" s="178">
        <f>FME_Ranking1[[#This Row],[Miles Score (Normalized, Unweighted)]]*$AA$3</f>
        <v>9.9995965818258543E-3</v>
      </c>
      <c r="AD719" s="255">
        <f>_xlfn.XLOOKUP(FME_Ranking1[[#This Row],[FME ID]],FME_Input[FME_ID],FME_Input[FARMACRE100])</f>
        <v>0.22120149433612821</v>
      </c>
      <c r="AE719" s="230">
        <f>(FME_Ranking1[[#This Row],[Ag Land Raw]]/$AD$2)*100</f>
        <v>9.1213594171164197E-6</v>
      </c>
      <c r="AF719" s="231">
        <f>FME_Ranking1[[#This Row],[Ag Land Score (Normalized, Unweighted)]]*$AD$3</f>
        <v>4.56067970855821E-7</v>
      </c>
      <c r="AG71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0.20402489214362812</v>
      </c>
      <c r="AH719" s="406">
        <f t="shared" si="11"/>
        <v>793</v>
      </c>
      <c r="AI71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0.20402489214362812</v>
      </c>
      <c r="AJ719" s="257">
        <f>FME_Ranking1[[#This Row],[Addition check]]-FME_Ranking1[[#This Row],[Weighted Score Based on Normalized Reported Factors]]</f>
        <v>0</v>
      </c>
      <c r="AK719" s="178">
        <f>_xlfn.RANK.EQ(AI719,$AI$6:$AI$2341,0)+COUNTIF($AI$6:AI719,AI719)-1</f>
        <v>793</v>
      </c>
    </row>
    <row r="720" spans="1:37" x14ac:dyDescent="0.25">
      <c r="A720" t="s">
        <v>4646</v>
      </c>
      <c r="B720">
        <f>_xlfn.XLOOKUP(FME_Ranking1[[#This Row],[FME ID]],FME_Input[FME_ID],FME_Input[RFPG_NUM])</f>
        <v>3</v>
      </c>
      <c r="C720" t="str">
        <f>_xlfn.XLOOKUP(FME_Ranking1[[#This Row],[FME ID]],FME_Input[FME_ID],FME_Input[FME_NAME])</f>
        <v>Regional Detention at Mayfair Park</v>
      </c>
      <c r="D720" t="str">
        <f>_xlfn.XLOOKUP(FME_Ranking1[[#This Row],[FME ID]],FME_Input[FME_ID],FME_Input[DESCR])</f>
        <v>Valley View watershed; Estimated construction cost of $ 1,900,000; from 2017 study</v>
      </c>
      <c r="E720" s="256">
        <f>_xlfn.XLOOKUP(FME_Ranking1[[#This Row],[FME ID]],FME_Input[FME_ID],FME_Input[FME_COST])</f>
        <v>250000</v>
      </c>
      <c r="F720" t="str">
        <f>_xlfn.XLOOKUP(FME_Ranking1[[#This Row],[FME ID]],FME_Input[FME_ID],FME_Input[EMER_NEED])</f>
        <v>No</v>
      </c>
      <c r="G720">
        <f>IF(FME_Ranking!F720="Yes",100,0)</f>
        <v>0</v>
      </c>
      <c r="H720">
        <f>FME_Ranking1[[#This Row],[Emergency Need Score (Normalized, Unweighted)]]*$F$3</f>
        <v>0</v>
      </c>
      <c r="I720" s="246">
        <f>_xlfn.XLOOKUP(FME_Ranking1[[#This Row],[FME ID]],FME_Input[FME_ID],FME_Input[STRUCT_100])</f>
        <v>189</v>
      </c>
      <c r="J720" s="178">
        <f>(FME_Ranking1[[#This Row],[Structures 100 Raw]]/I$2)*100</f>
        <v>0.10120807094203829</v>
      </c>
      <c r="K720" s="178">
        <f>FME_Ranking1[[#This Row],[Structures 100  Score (Normalized, Unweighted)]]*$I$3</f>
        <v>1.5181210641305743E-2</v>
      </c>
      <c r="L720" s="246">
        <f>_xlfn.XLOOKUP(FME_Ranking1[[#This Row],[FME ID]],FME_Input[FME_ID],FME_Input[RES_STRUCT100])</f>
        <v>187</v>
      </c>
      <c r="M720" s="230">
        <f>(FME_Ranking1[[#This Row],[Res Structures Raw]]/L$2)*100</f>
        <v>0.13245314558513124</v>
      </c>
      <c r="N720" s="180">
        <f>FME_Ranking1[[#This Row],[Res Structures Score (Normalized, Unweighted)]]*$L$3</f>
        <v>1.3245314558513126E-2</v>
      </c>
      <c r="O720" s="244">
        <f>_xlfn.XLOOKUP(FME_Ranking1[[#This Row],[FME ID]],FME_Input[FME_ID],FME_Input[POP100])</f>
        <v>1199</v>
      </c>
      <c r="P720" s="178">
        <f>(FME_Ranking1[[#This Row],[Pop Raw]]/$O$2)*100</f>
        <v>0.12274799907452717</v>
      </c>
      <c r="Q720" s="178">
        <f>FME_Ranking1[[#This Row],[Pop Score (Normalized, Unweighted)]]*$O$3</f>
        <v>1.8412199861179077E-2</v>
      </c>
      <c r="R720" s="137">
        <f>_xlfn.XLOOKUP(FME_Ranking1[[#This Row],[FME ID]],FME_Input[FME_ID],FME_Input[CRITFAC100])</f>
        <v>1</v>
      </c>
      <c r="S720" s="230">
        <f>(FME_Ranking1[[#This Row],[Critical Facilities Raw]]/$R$2)*100</f>
        <v>4.2881646655231559E-2</v>
      </c>
      <c r="T720" s="180">
        <f>FME_Ranking1[[#This Row],[Critical Facilities Score (Normalized, Unweighted)]]*$R$3</f>
        <v>8.5763293310463125E-3</v>
      </c>
      <c r="U720">
        <f>_xlfn.XLOOKUP(FME_Ranking1[[#This Row],[FME ID]],FME_Input[FME_ID],FME_Input[LWC])</f>
        <v>12</v>
      </c>
      <c r="V720" s="178">
        <f>(FME_Ranking1[[#This Row],[LWC Raw]]/$U$2)*100</f>
        <v>0.69084628670120896</v>
      </c>
      <c r="W720" s="178">
        <f>FME_Ranking1[[#This Row],[LWC Score (Normalized, Unweighted)]]*$U$3</f>
        <v>0.1381692573402418</v>
      </c>
      <c r="X720" s="246">
        <f>_xlfn.XLOOKUP(FME_Ranking1[[#This Row],[FME ID]],FME_Input[FME_ID],FME_Input[ROADCLS])</f>
        <v>0</v>
      </c>
      <c r="Y720" s="230">
        <f>(FME_Ranking1[[#This Row],[Closures Raw]]/$X$2)*100</f>
        <v>0</v>
      </c>
      <c r="Z720" s="180">
        <f>FME_Ranking1[[#This Row],[Closures Score (Normalized, Unweighted)]]*$X$3</f>
        <v>0</v>
      </c>
      <c r="AA720" s="253">
        <f>_xlfn.XLOOKUP(FME_Ranking1[[#This Row],[FME ID]],FME_Input[FME_ID],FME_Input[ROAD_MILES100])</f>
        <v>5.2272529602050781</v>
      </c>
      <c r="AB720" s="178">
        <f>(FME_Ranking1[[#This Row],[Miles Raw]]/$AA$2)*100</f>
        <v>6.8729000908369003E-2</v>
      </c>
      <c r="AC720" s="178">
        <f>FME_Ranking1[[#This Row],[Miles Score (Normalized, Unweighted)]]*$AA$3</f>
        <v>6.8729000908369009E-3</v>
      </c>
      <c r="AD720" s="255">
        <f>_xlfn.XLOOKUP(FME_Ranking1[[#This Row],[FME ID]],FME_Input[FME_ID],FME_Input[FARMACRE100])</f>
        <v>9.0235385894775391</v>
      </c>
      <c r="AE720" s="230">
        <f>(FME_Ranking1[[#This Row],[Ag Land Raw]]/$AD$2)*100</f>
        <v>3.7209033752626605E-4</v>
      </c>
      <c r="AF720" s="231">
        <f>FME_Ranking1[[#This Row],[Ag Land Score (Normalized, Unweighted)]]*$AD$3</f>
        <v>1.8604516876313302E-5</v>
      </c>
      <c r="AG72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0.20047581633999931</v>
      </c>
      <c r="AH720" s="406">
        <f t="shared" si="11"/>
        <v>795</v>
      </c>
      <c r="AI72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0.20047581633999931</v>
      </c>
      <c r="AJ720" s="257">
        <f>FME_Ranking1[[#This Row],[Addition check]]-FME_Ranking1[[#This Row],[Weighted Score Based on Normalized Reported Factors]]</f>
        <v>0</v>
      </c>
      <c r="AK720" s="178">
        <f>_xlfn.RANK.EQ(AI720,$AI$6:$AI$2341,0)+COUNTIF($AI$6:AI720,AI720)-1</f>
        <v>795</v>
      </c>
    </row>
    <row r="721" spans="1:37" x14ac:dyDescent="0.25">
      <c r="A721" t="s">
        <v>11360</v>
      </c>
      <c r="B721">
        <f>_xlfn.XLOOKUP(FME_Ranking1[[#This Row],[FME ID]],FME_Input[FME_ID],FME_Input[RFPG_NUM])</f>
        <v>15</v>
      </c>
      <c r="C721" t="str">
        <f>_xlfn.XLOOKUP(FME_Ranking1[[#This Row],[FME ID]],FME_Input[FME_ID],FME_Input[FME_NAME])</f>
        <v>City of Roma</v>
      </c>
      <c r="D721" t="str">
        <f>_xlfn.XLOOKUP(FME_Ranking1[[#This Row],[FME ID]],FME_Input[FME_ID],FME_Input[DESCR])</f>
        <v>Develop Flood risk maps for the city of Roma and develop CIP</v>
      </c>
      <c r="E721" s="256">
        <f>_xlfn.XLOOKUP(FME_Ranking1[[#This Row],[FME ID]],FME_Input[FME_ID],FME_Input[FME_COST])</f>
        <v>250000</v>
      </c>
      <c r="F721" t="str">
        <f>_xlfn.XLOOKUP(FME_Ranking1[[#This Row],[FME ID]],FME_Input[FME_ID],FME_Input[EMER_NEED])</f>
        <v>Yes</v>
      </c>
      <c r="G721">
        <f>IF(FME_Ranking!F721="Yes",100,0)</f>
        <v>100</v>
      </c>
      <c r="H721">
        <f>FME_Ranking1[[#This Row],[Emergency Need Score (Normalized, Unweighted)]]*$F$3</f>
        <v>0</v>
      </c>
      <c r="I721" s="246">
        <f>_xlfn.XLOOKUP(FME_Ranking1[[#This Row],[FME ID]],FME_Input[FME_ID],FME_Input[STRUCT_100])</f>
        <v>0</v>
      </c>
      <c r="J721" s="178">
        <f>(FME_Ranking1[[#This Row],[Structures 100 Raw]]/I$2)*100</f>
        <v>0</v>
      </c>
      <c r="K721" s="178">
        <f>FME_Ranking1[[#This Row],[Structures 100  Score (Normalized, Unweighted)]]*$I$3</f>
        <v>0</v>
      </c>
      <c r="L721" s="246">
        <f>_xlfn.XLOOKUP(FME_Ranking1[[#This Row],[FME ID]],FME_Input[FME_ID],FME_Input[RES_STRUCT100])</f>
        <v>1137</v>
      </c>
      <c r="M721" s="230">
        <f>(FME_Ranking1[[#This Row],[Res Structures Raw]]/L$2)*100</f>
        <v>0.80534345738125257</v>
      </c>
      <c r="N721" s="180">
        <f>FME_Ranking1[[#This Row],[Res Structures Score (Normalized, Unweighted)]]*$L$3</f>
        <v>8.0534345738125263E-2</v>
      </c>
      <c r="O721" s="244">
        <f>_xlfn.XLOOKUP(FME_Ranking1[[#This Row],[FME ID]],FME_Input[FME_ID],FME_Input[POP100])</f>
        <v>6775</v>
      </c>
      <c r="P721" s="178">
        <f>(FME_Ranking1[[#This Row],[Pop Raw]]/$O$2)*100</f>
        <v>0.69359273872387128</v>
      </c>
      <c r="Q721" s="178">
        <f>FME_Ranking1[[#This Row],[Pop Score (Normalized, Unweighted)]]*$O$3</f>
        <v>0.10403891080858069</v>
      </c>
      <c r="R721" s="137">
        <f>_xlfn.XLOOKUP(FME_Ranking1[[#This Row],[FME ID]],FME_Input[FME_ID],FME_Input[CRITFAC100])</f>
        <v>1</v>
      </c>
      <c r="S721" s="230">
        <f>(FME_Ranking1[[#This Row],[Critical Facilities Raw]]/$R$2)*100</f>
        <v>4.2881646655231559E-2</v>
      </c>
      <c r="T721" s="180">
        <f>FME_Ranking1[[#This Row],[Critical Facilities Score (Normalized, Unweighted)]]*$R$3</f>
        <v>8.5763293310463125E-3</v>
      </c>
      <c r="U721">
        <f>_xlfn.XLOOKUP(FME_Ranking1[[#This Row],[FME ID]],FME_Input[FME_ID],FME_Input[LWC])</f>
        <v>0</v>
      </c>
      <c r="V721" s="178">
        <f>(FME_Ranking1[[#This Row],[LWC Raw]]/$U$2)*100</f>
        <v>0</v>
      </c>
      <c r="W721" s="178">
        <f>FME_Ranking1[[#This Row],[LWC Score (Normalized, Unweighted)]]*$U$3</f>
        <v>0</v>
      </c>
      <c r="X721" s="246">
        <f>_xlfn.XLOOKUP(FME_Ranking1[[#This Row],[FME ID]],FME_Input[FME_ID],FME_Input[ROADCLS])</f>
        <v>0</v>
      </c>
      <c r="Y721" s="230">
        <f>(FME_Ranking1[[#This Row],[Closures Raw]]/$X$2)*100</f>
        <v>0</v>
      </c>
      <c r="Z721" s="180">
        <f>FME_Ranking1[[#This Row],[Closures Score (Normalized, Unweighted)]]*$X$3</f>
        <v>0</v>
      </c>
      <c r="AA721" s="253">
        <f>_xlfn.XLOOKUP(FME_Ranking1[[#This Row],[FME ID]],FME_Input[FME_ID],FME_Input[ROAD_MILES100])</f>
        <v>24.482500076293949</v>
      </c>
      <c r="AB721" s="178">
        <f>(FME_Ranking1[[#This Row],[Miles Raw]]/$AA$2)*100</f>
        <v>0.32190096457791023</v>
      </c>
      <c r="AC721" s="178">
        <f>FME_Ranking1[[#This Row],[Miles Score (Normalized, Unweighted)]]*$AA$3</f>
        <v>3.2190096457791022E-2</v>
      </c>
      <c r="AD721" s="255">
        <f>_xlfn.XLOOKUP(FME_Ranking1[[#This Row],[FME ID]],FME_Input[FME_ID],FME_Input[FARMACRE100])</f>
        <v>0</v>
      </c>
      <c r="AE721" s="230">
        <f>(FME_Ranking1[[#This Row],[Ag Land Raw]]/$AD$2)*100</f>
        <v>0</v>
      </c>
      <c r="AF721" s="231">
        <f>FME_Ranking1[[#This Row],[Ag Land Score (Normalized, Unweighted)]]*$AD$3</f>
        <v>0</v>
      </c>
      <c r="AG72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0.2253396823355433</v>
      </c>
      <c r="AH721" s="406">
        <f t="shared" si="11"/>
        <v>757</v>
      </c>
      <c r="AI72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0.2253396823355433</v>
      </c>
      <c r="AJ721" s="257">
        <f>FME_Ranking1[[#This Row],[Addition check]]-FME_Ranking1[[#This Row],[Weighted Score Based on Normalized Reported Factors]]</f>
        <v>0</v>
      </c>
      <c r="AK721" s="178">
        <f>_xlfn.RANK.EQ(AI721,$AI$6:$AI$2341,0)+COUNTIF($AI$6:AI721,AI721)-1</f>
        <v>757</v>
      </c>
    </row>
    <row r="722" spans="1:37" x14ac:dyDescent="0.25">
      <c r="A722" t="s">
        <v>6814</v>
      </c>
      <c r="B722">
        <f>_xlfn.XLOOKUP(FME_Ranking1[[#This Row],[FME ID]],FME_Input[FME_ID],FME_Input[RFPG_NUM])</f>
        <v>7</v>
      </c>
      <c r="C722" t="str">
        <f>_xlfn.XLOOKUP(FME_Ranking1[[#This Row],[FME ID]],FME_Input[FME_ID],FME_Input[FME_NAME])</f>
        <v>Baylor County Initial FEMA Mapping</v>
      </c>
      <c r="D722" t="str">
        <f>_xlfn.XLOOKUP(FME_Ranking1[[#This Row],[FME ID]],FME_Input[FME_ID],FME_Input[DESCR])</f>
        <v>Create FEMA Mapping in previously unmapped areas</v>
      </c>
      <c r="E722" s="256">
        <f>_xlfn.XLOOKUP(FME_Ranking1[[#This Row],[FME ID]],FME_Input[FME_ID],FME_Input[FME_COST])</f>
        <v>888000</v>
      </c>
      <c r="F722" t="str">
        <f>_xlfn.XLOOKUP(FME_Ranking1[[#This Row],[FME ID]],FME_Input[FME_ID],FME_Input[EMER_NEED])</f>
        <v>No</v>
      </c>
      <c r="G722">
        <f>IF(FME_Ranking!F722="Yes",100,0)</f>
        <v>0</v>
      </c>
      <c r="H722">
        <f>FME_Ranking1[[#This Row],[Emergency Need Score (Normalized, Unweighted)]]*$F$3</f>
        <v>0</v>
      </c>
      <c r="I722" s="246">
        <f>_xlfn.XLOOKUP(FME_Ranking1[[#This Row],[FME ID]],FME_Input[FME_ID],FME_Input[STRUCT_100])</f>
        <v>361</v>
      </c>
      <c r="J722" s="178">
        <f>(FME_Ranking1[[#This Row],[Structures 100 Raw]]/I$2)*100</f>
        <v>0.19331277042368161</v>
      </c>
      <c r="K722" s="178">
        <f>FME_Ranking1[[#This Row],[Structures 100  Score (Normalized, Unweighted)]]*$I$3</f>
        <v>2.8996915563552241E-2</v>
      </c>
      <c r="L722" s="246">
        <f>_xlfn.XLOOKUP(FME_Ranking1[[#This Row],[FME ID]],FME_Input[FME_ID],FME_Input[RES_STRUCT100])</f>
        <v>199</v>
      </c>
      <c r="M722" s="230">
        <f>(FME_Ranking1[[#This Row],[Res Structures Raw]]/L$2)*100</f>
        <v>0.14095281268150331</v>
      </c>
      <c r="N722" s="180">
        <f>FME_Ranking1[[#This Row],[Res Structures Score (Normalized, Unweighted)]]*$L$3</f>
        <v>1.4095281268150331E-2</v>
      </c>
      <c r="O722" s="244">
        <f>_xlfn.XLOOKUP(FME_Ranking1[[#This Row],[FME ID]],FME_Input[FME_ID],FME_Input[POP100])</f>
        <v>684</v>
      </c>
      <c r="P722" s="178">
        <f>(FME_Ranking1[[#This Row],[Pop Raw]]/$O$2)*100</f>
        <v>7.002471340031409E-2</v>
      </c>
      <c r="Q722" s="178">
        <f>FME_Ranking1[[#This Row],[Pop Score (Normalized, Unweighted)]]*$O$3</f>
        <v>1.0503707010047113E-2</v>
      </c>
      <c r="R722" s="137">
        <f>_xlfn.XLOOKUP(FME_Ranking1[[#This Row],[FME ID]],FME_Input[FME_ID],FME_Input[CRITFAC100])</f>
        <v>0</v>
      </c>
      <c r="S722" s="230">
        <f>(FME_Ranking1[[#This Row],[Critical Facilities Raw]]/$R$2)*100</f>
        <v>0</v>
      </c>
      <c r="T722" s="180">
        <f>FME_Ranking1[[#This Row],[Critical Facilities Score (Normalized, Unweighted)]]*$R$3</f>
        <v>0</v>
      </c>
      <c r="U722">
        <f>_xlfn.XLOOKUP(FME_Ranking1[[#This Row],[FME ID]],FME_Input[FME_ID],FME_Input[LWC])</f>
        <v>7</v>
      </c>
      <c r="V722" s="178">
        <f>(FME_Ranking1[[#This Row],[LWC Raw]]/$U$2)*100</f>
        <v>0.40299366724237184</v>
      </c>
      <c r="W722" s="178">
        <f>FME_Ranking1[[#This Row],[LWC Score (Normalized, Unweighted)]]*$U$3</f>
        <v>8.0598733448474374E-2</v>
      </c>
      <c r="X722" s="246">
        <f>_xlfn.XLOOKUP(FME_Ranking1[[#This Row],[FME ID]],FME_Input[FME_ID],FME_Input[ROADCLS])</f>
        <v>0</v>
      </c>
      <c r="Y722" s="230">
        <f>(FME_Ranking1[[#This Row],[Closures Raw]]/$X$2)*100</f>
        <v>0</v>
      </c>
      <c r="Z722" s="180">
        <f>FME_Ranking1[[#This Row],[Closures Score (Normalized, Unweighted)]]*$X$3</f>
        <v>0</v>
      </c>
      <c r="AA722" s="253">
        <f>_xlfn.XLOOKUP(FME_Ranking1[[#This Row],[FME ID]],FME_Input[FME_ID],FME_Input[ROAD_MILES100])</f>
        <v>53.909332275390618</v>
      </c>
      <c r="AB722" s="178">
        <f>(FME_Ranking1[[#This Row],[Miles Raw]]/$AA$2)*100</f>
        <v>0.70881102849469269</v>
      </c>
      <c r="AC722" s="178">
        <f>FME_Ranking1[[#This Row],[Miles Score (Normalized, Unweighted)]]*$AA$3</f>
        <v>7.0881102849469274E-2</v>
      </c>
      <c r="AD722" s="255">
        <f>_xlfn.XLOOKUP(FME_Ranking1[[#This Row],[FME ID]],FME_Input[FME_ID],FME_Input[FARMACRE100])</f>
        <v>28476.49609375</v>
      </c>
      <c r="AE722" s="230">
        <f>(FME_Ranking1[[#This Row],[Ag Land Raw]]/$AD$2)*100</f>
        <v>1.1742432237664238</v>
      </c>
      <c r="AF722" s="231">
        <f>FME_Ranking1[[#This Row],[Ag Land Score (Normalized, Unweighted)]]*$AD$3</f>
        <v>5.8712161188321191E-2</v>
      </c>
      <c r="AG72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0.26378790132801455</v>
      </c>
      <c r="AH722" s="406">
        <f t="shared" si="11"/>
        <v>663</v>
      </c>
      <c r="AI72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0.26378790132801455</v>
      </c>
      <c r="AJ722" s="257">
        <f>FME_Ranking1[[#This Row],[Addition check]]-FME_Ranking1[[#This Row],[Weighted Score Based on Normalized Reported Factors]]</f>
        <v>0</v>
      </c>
      <c r="AK722" s="178">
        <f>_xlfn.RANK.EQ(AI722,$AI$6:$AI$2341,0)+COUNTIF($AI$6:AI722,AI722)-1</f>
        <v>663</v>
      </c>
    </row>
    <row r="723" spans="1:37" x14ac:dyDescent="0.25">
      <c r="A723" t="s">
        <v>6820</v>
      </c>
      <c r="B723">
        <f>_xlfn.XLOOKUP(FME_Ranking1[[#This Row],[FME ID]],FME_Input[FME_ID],FME_Input[RFPG_NUM])</f>
        <v>7</v>
      </c>
      <c r="C723" t="str">
        <f>_xlfn.XLOOKUP(FME_Ranking1[[#This Row],[FME ID]],FME_Input[FME_ID],FME_Input[FME_NAME])</f>
        <v>Baylor County DMP</v>
      </c>
      <c r="D723" t="str">
        <f>_xlfn.XLOOKUP(FME_Ranking1[[#This Row],[FME ID]],FME_Input[FME_ID],FME_Input[DESCR])</f>
        <v>Evaluate county to identify future projects, analyze roads/stream crossing for emergency response vehicles to high hazard areas</v>
      </c>
      <c r="E723" s="256">
        <f>_xlfn.XLOOKUP(FME_Ranking1[[#This Row],[FME ID]],FME_Input[FME_ID],FME_Input[FME_COST])</f>
        <v>500000</v>
      </c>
      <c r="F723" t="str">
        <f>_xlfn.XLOOKUP(FME_Ranking1[[#This Row],[FME ID]],FME_Input[FME_ID],FME_Input[EMER_NEED])</f>
        <v>No</v>
      </c>
      <c r="G723">
        <f>IF(FME_Ranking!F723="Yes",100,0)</f>
        <v>0</v>
      </c>
      <c r="H723">
        <f>FME_Ranking1[[#This Row],[Emergency Need Score (Normalized, Unweighted)]]*$F$3</f>
        <v>0</v>
      </c>
      <c r="I723" s="246">
        <f>_xlfn.XLOOKUP(FME_Ranking1[[#This Row],[FME ID]],FME_Input[FME_ID],FME_Input[STRUCT_100])</f>
        <v>361</v>
      </c>
      <c r="J723" s="178">
        <f>(FME_Ranking1[[#This Row],[Structures 100 Raw]]/I$2)*100</f>
        <v>0.19331277042368161</v>
      </c>
      <c r="K723" s="178">
        <f>FME_Ranking1[[#This Row],[Structures 100  Score (Normalized, Unweighted)]]*$I$3</f>
        <v>2.8996915563552241E-2</v>
      </c>
      <c r="L723" s="246">
        <f>_xlfn.XLOOKUP(FME_Ranking1[[#This Row],[FME ID]],FME_Input[FME_ID],FME_Input[RES_STRUCT100])</f>
        <v>199</v>
      </c>
      <c r="M723" s="230">
        <f>(FME_Ranking1[[#This Row],[Res Structures Raw]]/L$2)*100</f>
        <v>0.14095281268150331</v>
      </c>
      <c r="N723" s="180">
        <f>FME_Ranking1[[#This Row],[Res Structures Score (Normalized, Unweighted)]]*$L$3</f>
        <v>1.4095281268150331E-2</v>
      </c>
      <c r="O723" s="244">
        <f>_xlfn.XLOOKUP(FME_Ranking1[[#This Row],[FME ID]],FME_Input[FME_ID],FME_Input[POP100])</f>
        <v>684</v>
      </c>
      <c r="P723" s="178">
        <f>(FME_Ranking1[[#This Row],[Pop Raw]]/$O$2)*100</f>
        <v>7.002471340031409E-2</v>
      </c>
      <c r="Q723" s="178">
        <f>FME_Ranking1[[#This Row],[Pop Score (Normalized, Unweighted)]]*$O$3</f>
        <v>1.0503707010047113E-2</v>
      </c>
      <c r="R723" s="137">
        <f>_xlfn.XLOOKUP(FME_Ranking1[[#This Row],[FME ID]],FME_Input[FME_ID],FME_Input[CRITFAC100])</f>
        <v>0</v>
      </c>
      <c r="S723" s="230">
        <f>(FME_Ranking1[[#This Row],[Critical Facilities Raw]]/$R$2)*100</f>
        <v>0</v>
      </c>
      <c r="T723" s="180">
        <f>FME_Ranking1[[#This Row],[Critical Facilities Score (Normalized, Unweighted)]]*$R$3</f>
        <v>0</v>
      </c>
      <c r="U723">
        <f>_xlfn.XLOOKUP(FME_Ranking1[[#This Row],[FME ID]],FME_Input[FME_ID],FME_Input[LWC])</f>
        <v>7</v>
      </c>
      <c r="V723" s="178">
        <f>(FME_Ranking1[[#This Row],[LWC Raw]]/$U$2)*100</f>
        <v>0.40299366724237184</v>
      </c>
      <c r="W723" s="178">
        <f>FME_Ranking1[[#This Row],[LWC Score (Normalized, Unweighted)]]*$U$3</f>
        <v>8.0598733448474374E-2</v>
      </c>
      <c r="X723" s="246">
        <f>_xlfn.XLOOKUP(FME_Ranking1[[#This Row],[FME ID]],FME_Input[FME_ID],FME_Input[ROADCLS])</f>
        <v>0</v>
      </c>
      <c r="Y723" s="230">
        <f>(FME_Ranking1[[#This Row],[Closures Raw]]/$X$2)*100</f>
        <v>0</v>
      </c>
      <c r="Z723" s="180">
        <f>FME_Ranking1[[#This Row],[Closures Score (Normalized, Unweighted)]]*$X$3</f>
        <v>0</v>
      </c>
      <c r="AA723" s="253">
        <f>_xlfn.XLOOKUP(FME_Ranking1[[#This Row],[FME ID]],FME_Input[FME_ID],FME_Input[ROAD_MILES100])</f>
        <v>53.909332275390618</v>
      </c>
      <c r="AB723" s="178">
        <f>(FME_Ranking1[[#This Row],[Miles Raw]]/$AA$2)*100</f>
        <v>0.70881102849469269</v>
      </c>
      <c r="AC723" s="178">
        <f>FME_Ranking1[[#This Row],[Miles Score (Normalized, Unweighted)]]*$AA$3</f>
        <v>7.0881102849469274E-2</v>
      </c>
      <c r="AD723" s="255">
        <f>_xlfn.XLOOKUP(FME_Ranking1[[#This Row],[FME ID]],FME_Input[FME_ID],FME_Input[FARMACRE100])</f>
        <v>28476.49609375</v>
      </c>
      <c r="AE723" s="230">
        <f>(FME_Ranking1[[#This Row],[Ag Land Raw]]/$AD$2)*100</f>
        <v>1.1742432237664238</v>
      </c>
      <c r="AF723" s="231">
        <f>FME_Ranking1[[#This Row],[Ag Land Score (Normalized, Unweighted)]]*$AD$3</f>
        <v>5.8712161188321191E-2</v>
      </c>
      <c r="AG72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0.26378790132801455</v>
      </c>
      <c r="AH723" s="406">
        <f t="shared" si="11"/>
        <v>663</v>
      </c>
      <c r="AI72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0.26378790132801455</v>
      </c>
      <c r="AJ723" s="257">
        <f>FME_Ranking1[[#This Row],[Addition check]]-FME_Ranking1[[#This Row],[Weighted Score Based on Normalized Reported Factors]]</f>
        <v>0</v>
      </c>
      <c r="AK723" s="178">
        <f>_xlfn.RANK.EQ(AI723,$AI$6:$AI$2341,0)+COUNTIF($AI$6:AI723,AI723)-1</f>
        <v>664</v>
      </c>
    </row>
    <row r="724" spans="1:37" x14ac:dyDescent="0.25">
      <c r="A724" t="s">
        <v>6822</v>
      </c>
      <c r="B724">
        <f>_xlfn.XLOOKUP(FME_Ranking1[[#This Row],[FME ID]],FME_Input[FME_ID],FME_Input[RFPG_NUM])</f>
        <v>7</v>
      </c>
      <c r="C724" t="str">
        <f>_xlfn.XLOOKUP(FME_Ranking1[[#This Row],[FME ID]],FME_Input[FME_ID],FME_Input[FME_NAME])</f>
        <v>Baylor County GIS Development</v>
      </c>
      <c r="D724" t="str">
        <f>_xlfn.XLOOKUP(FME_Ranking1[[#This Row],[FME ID]],FME_Input[FME_ID],FME_Input[DESCR])</f>
        <v>Develop a GIS inventory of stormwater infrastructure</v>
      </c>
      <c r="E724" s="256">
        <f>_xlfn.XLOOKUP(FME_Ranking1[[#This Row],[FME ID]],FME_Input[FME_ID],FME_Input[FME_COST])</f>
        <v>100000</v>
      </c>
      <c r="F724" t="str">
        <f>_xlfn.XLOOKUP(FME_Ranking1[[#This Row],[FME ID]],FME_Input[FME_ID],FME_Input[EMER_NEED])</f>
        <v>No</v>
      </c>
      <c r="G724">
        <f>IF(FME_Ranking!F724="Yes",100,0)</f>
        <v>0</v>
      </c>
      <c r="H724">
        <f>FME_Ranking1[[#This Row],[Emergency Need Score (Normalized, Unweighted)]]*$F$3</f>
        <v>0</v>
      </c>
      <c r="I724" s="246">
        <f>_xlfn.XLOOKUP(FME_Ranking1[[#This Row],[FME ID]],FME_Input[FME_ID],FME_Input[STRUCT_100])</f>
        <v>361</v>
      </c>
      <c r="J724" s="178">
        <f>(FME_Ranking1[[#This Row],[Structures 100 Raw]]/I$2)*100</f>
        <v>0.19331277042368161</v>
      </c>
      <c r="K724" s="178">
        <f>FME_Ranking1[[#This Row],[Structures 100  Score (Normalized, Unweighted)]]*$I$3</f>
        <v>2.8996915563552241E-2</v>
      </c>
      <c r="L724" s="246">
        <f>_xlfn.XLOOKUP(FME_Ranking1[[#This Row],[FME ID]],FME_Input[FME_ID],FME_Input[RES_STRUCT100])</f>
        <v>199</v>
      </c>
      <c r="M724" s="230">
        <f>(FME_Ranking1[[#This Row],[Res Structures Raw]]/L$2)*100</f>
        <v>0.14095281268150331</v>
      </c>
      <c r="N724" s="180">
        <f>FME_Ranking1[[#This Row],[Res Structures Score (Normalized, Unweighted)]]*$L$3</f>
        <v>1.4095281268150331E-2</v>
      </c>
      <c r="O724" s="244">
        <f>_xlfn.XLOOKUP(FME_Ranking1[[#This Row],[FME ID]],FME_Input[FME_ID],FME_Input[POP100])</f>
        <v>684</v>
      </c>
      <c r="P724" s="178">
        <f>(FME_Ranking1[[#This Row],[Pop Raw]]/$O$2)*100</f>
        <v>7.002471340031409E-2</v>
      </c>
      <c r="Q724" s="178">
        <f>FME_Ranking1[[#This Row],[Pop Score (Normalized, Unweighted)]]*$O$3</f>
        <v>1.0503707010047113E-2</v>
      </c>
      <c r="R724" s="137">
        <f>_xlfn.XLOOKUP(FME_Ranking1[[#This Row],[FME ID]],FME_Input[FME_ID],FME_Input[CRITFAC100])</f>
        <v>0</v>
      </c>
      <c r="S724" s="230">
        <f>(FME_Ranking1[[#This Row],[Critical Facilities Raw]]/$R$2)*100</f>
        <v>0</v>
      </c>
      <c r="T724" s="180">
        <f>FME_Ranking1[[#This Row],[Critical Facilities Score (Normalized, Unweighted)]]*$R$3</f>
        <v>0</v>
      </c>
      <c r="U724">
        <f>_xlfn.XLOOKUP(FME_Ranking1[[#This Row],[FME ID]],FME_Input[FME_ID],FME_Input[LWC])</f>
        <v>7</v>
      </c>
      <c r="V724" s="178">
        <f>(FME_Ranking1[[#This Row],[LWC Raw]]/$U$2)*100</f>
        <v>0.40299366724237184</v>
      </c>
      <c r="W724" s="178">
        <f>FME_Ranking1[[#This Row],[LWC Score (Normalized, Unweighted)]]*$U$3</f>
        <v>8.0598733448474374E-2</v>
      </c>
      <c r="X724" s="246">
        <f>_xlfn.XLOOKUP(FME_Ranking1[[#This Row],[FME ID]],FME_Input[FME_ID],FME_Input[ROADCLS])</f>
        <v>0</v>
      </c>
      <c r="Y724" s="230">
        <f>(FME_Ranking1[[#This Row],[Closures Raw]]/$X$2)*100</f>
        <v>0</v>
      </c>
      <c r="Z724" s="180">
        <f>FME_Ranking1[[#This Row],[Closures Score (Normalized, Unweighted)]]*$X$3</f>
        <v>0</v>
      </c>
      <c r="AA724" s="253">
        <f>_xlfn.XLOOKUP(FME_Ranking1[[#This Row],[FME ID]],FME_Input[FME_ID],FME_Input[ROAD_MILES100])</f>
        <v>53.909332275390618</v>
      </c>
      <c r="AB724" s="178">
        <f>(FME_Ranking1[[#This Row],[Miles Raw]]/$AA$2)*100</f>
        <v>0.70881102849469269</v>
      </c>
      <c r="AC724" s="178">
        <f>FME_Ranking1[[#This Row],[Miles Score (Normalized, Unweighted)]]*$AA$3</f>
        <v>7.0881102849469274E-2</v>
      </c>
      <c r="AD724" s="255">
        <f>_xlfn.XLOOKUP(FME_Ranking1[[#This Row],[FME ID]],FME_Input[FME_ID],FME_Input[FARMACRE100])</f>
        <v>28476.49609375</v>
      </c>
      <c r="AE724" s="230">
        <f>(FME_Ranking1[[#This Row],[Ag Land Raw]]/$AD$2)*100</f>
        <v>1.1742432237664238</v>
      </c>
      <c r="AF724" s="231">
        <f>FME_Ranking1[[#This Row],[Ag Land Score (Normalized, Unweighted)]]*$AD$3</f>
        <v>5.8712161188321191E-2</v>
      </c>
      <c r="AG72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0.26378790132801455</v>
      </c>
      <c r="AH724" s="406">
        <f t="shared" si="11"/>
        <v>663</v>
      </c>
      <c r="AI72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0.26378790132801455</v>
      </c>
      <c r="AJ724" s="257">
        <f>FME_Ranking1[[#This Row],[Addition check]]-FME_Ranking1[[#This Row],[Weighted Score Based on Normalized Reported Factors]]</f>
        <v>0</v>
      </c>
      <c r="AK724" s="178">
        <f>_xlfn.RANK.EQ(AI724,$AI$6:$AI$2341,0)+COUNTIF($AI$6:AI724,AI724)-1</f>
        <v>665</v>
      </c>
    </row>
    <row r="725" spans="1:37" x14ac:dyDescent="0.25">
      <c r="A725" t="s">
        <v>7121</v>
      </c>
      <c r="B725">
        <f>_xlfn.XLOOKUP(FME_Ranking1[[#This Row],[FME ID]],FME_Input[FME_ID],FME_Input[RFPG_NUM])</f>
        <v>7</v>
      </c>
      <c r="C725" t="str">
        <f>_xlfn.XLOOKUP(FME_Ranking1[[#This Row],[FME ID]],FME_Input[FME_ID],FME_Input[FME_NAME])</f>
        <v>Baylor County DCM</v>
      </c>
      <c r="D725" t="str">
        <f>_xlfn.XLOOKUP(FME_Ranking1[[#This Row],[FME ID]],FME_Input[FME_ID],FME_Input[DESCR])</f>
        <v>Consider stormwater criteria for infrastructure and floodplain ordinances to avoid new exposure to flood hazards.</v>
      </c>
      <c r="E725" s="256">
        <f>_xlfn.XLOOKUP(FME_Ranking1[[#This Row],[FME ID]],FME_Input[FME_ID],FME_Input[FME_COST])</f>
        <v>100000</v>
      </c>
      <c r="F725" t="str">
        <f>_xlfn.XLOOKUP(FME_Ranking1[[#This Row],[FME ID]],FME_Input[FME_ID],FME_Input[EMER_NEED])</f>
        <v>No</v>
      </c>
      <c r="G725">
        <f>IF(FME_Ranking!F725="Yes",100,0)</f>
        <v>0</v>
      </c>
      <c r="H725">
        <f>FME_Ranking1[[#This Row],[Emergency Need Score (Normalized, Unweighted)]]*$F$3</f>
        <v>0</v>
      </c>
      <c r="I725" s="246">
        <f>_xlfn.XLOOKUP(FME_Ranking1[[#This Row],[FME ID]],FME_Input[FME_ID],FME_Input[STRUCT_100])</f>
        <v>361</v>
      </c>
      <c r="J725" s="178">
        <f>(FME_Ranking1[[#This Row],[Structures 100 Raw]]/I$2)*100</f>
        <v>0.19331277042368161</v>
      </c>
      <c r="K725" s="178">
        <f>FME_Ranking1[[#This Row],[Structures 100  Score (Normalized, Unweighted)]]*$I$3</f>
        <v>2.8996915563552241E-2</v>
      </c>
      <c r="L725" s="246">
        <f>_xlfn.XLOOKUP(FME_Ranking1[[#This Row],[FME ID]],FME_Input[FME_ID],FME_Input[RES_STRUCT100])</f>
        <v>199</v>
      </c>
      <c r="M725" s="230">
        <f>(FME_Ranking1[[#This Row],[Res Structures Raw]]/L$2)*100</f>
        <v>0.14095281268150331</v>
      </c>
      <c r="N725" s="180">
        <f>FME_Ranking1[[#This Row],[Res Structures Score (Normalized, Unweighted)]]*$L$3</f>
        <v>1.4095281268150331E-2</v>
      </c>
      <c r="O725" s="244">
        <f>_xlfn.XLOOKUP(FME_Ranking1[[#This Row],[FME ID]],FME_Input[FME_ID],FME_Input[POP100])</f>
        <v>684</v>
      </c>
      <c r="P725" s="178">
        <f>(FME_Ranking1[[#This Row],[Pop Raw]]/$O$2)*100</f>
        <v>7.002471340031409E-2</v>
      </c>
      <c r="Q725" s="178">
        <f>FME_Ranking1[[#This Row],[Pop Score (Normalized, Unweighted)]]*$O$3</f>
        <v>1.0503707010047113E-2</v>
      </c>
      <c r="R725" s="137">
        <f>_xlfn.XLOOKUP(FME_Ranking1[[#This Row],[FME ID]],FME_Input[FME_ID],FME_Input[CRITFAC100])</f>
        <v>0</v>
      </c>
      <c r="S725" s="230">
        <f>(FME_Ranking1[[#This Row],[Critical Facilities Raw]]/$R$2)*100</f>
        <v>0</v>
      </c>
      <c r="T725" s="180">
        <f>FME_Ranking1[[#This Row],[Critical Facilities Score (Normalized, Unweighted)]]*$R$3</f>
        <v>0</v>
      </c>
      <c r="U725">
        <f>_xlfn.XLOOKUP(FME_Ranking1[[#This Row],[FME ID]],FME_Input[FME_ID],FME_Input[LWC])</f>
        <v>7</v>
      </c>
      <c r="V725" s="178">
        <f>(FME_Ranking1[[#This Row],[LWC Raw]]/$U$2)*100</f>
        <v>0.40299366724237184</v>
      </c>
      <c r="W725" s="178">
        <f>FME_Ranking1[[#This Row],[LWC Score (Normalized, Unweighted)]]*$U$3</f>
        <v>8.0598733448474374E-2</v>
      </c>
      <c r="X725" s="246">
        <f>_xlfn.XLOOKUP(FME_Ranking1[[#This Row],[FME ID]],FME_Input[FME_ID],FME_Input[ROADCLS])</f>
        <v>0</v>
      </c>
      <c r="Y725" s="230">
        <f>(FME_Ranking1[[#This Row],[Closures Raw]]/$X$2)*100</f>
        <v>0</v>
      </c>
      <c r="Z725" s="180">
        <f>FME_Ranking1[[#This Row],[Closures Score (Normalized, Unweighted)]]*$X$3</f>
        <v>0</v>
      </c>
      <c r="AA725" s="253">
        <f>_xlfn.XLOOKUP(FME_Ranking1[[#This Row],[FME ID]],FME_Input[FME_ID],FME_Input[ROAD_MILES100])</f>
        <v>53.909332275390618</v>
      </c>
      <c r="AB725" s="178">
        <f>(FME_Ranking1[[#This Row],[Miles Raw]]/$AA$2)*100</f>
        <v>0.70881102849469269</v>
      </c>
      <c r="AC725" s="178">
        <f>FME_Ranking1[[#This Row],[Miles Score (Normalized, Unweighted)]]*$AA$3</f>
        <v>7.0881102849469274E-2</v>
      </c>
      <c r="AD725" s="255">
        <f>_xlfn.XLOOKUP(FME_Ranking1[[#This Row],[FME ID]],FME_Input[FME_ID],FME_Input[FARMACRE100])</f>
        <v>28476.49609375</v>
      </c>
      <c r="AE725" s="230">
        <f>(FME_Ranking1[[#This Row],[Ag Land Raw]]/$AD$2)*100</f>
        <v>1.1742432237664238</v>
      </c>
      <c r="AF725" s="231">
        <f>FME_Ranking1[[#This Row],[Ag Land Score (Normalized, Unweighted)]]*$AD$3</f>
        <v>5.8712161188321191E-2</v>
      </c>
      <c r="AG72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0.26378790132801455</v>
      </c>
      <c r="AH725" s="406">
        <f t="shared" si="11"/>
        <v>663</v>
      </c>
      <c r="AI72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0.26378790132801455</v>
      </c>
      <c r="AJ725" s="257">
        <f>FME_Ranking1[[#This Row],[Addition check]]-FME_Ranking1[[#This Row],[Weighted Score Based on Normalized Reported Factors]]</f>
        <v>0</v>
      </c>
      <c r="AK725" s="178">
        <f>_xlfn.RANK.EQ(AI725,$AI$6:$AI$2341,0)+COUNTIF($AI$6:AI725,AI725)-1</f>
        <v>666</v>
      </c>
    </row>
    <row r="726" spans="1:37" x14ac:dyDescent="0.25">
      <c r="A726" t="s">
        <v>2475</v>
      </c>
      <c r="B726">
        <f>_xlfn.XLOOKUP(FME_Ranking1[[#This Row],[FME ID]],FME_Input[FME_ID],FME_Input[RFPG_NUM])</f>
        <v>1</v>
      </c>
      <c r="C726" t="str">
        <f>_xlfn.XLOOKUP(FME_Ranking1[[#This Row],[FME ID]],FME_Input[FME_ID],FME_Input[FME_NAME])</f>
        <v>Floyd County Drainage Master Plan</v>
      </c>
      <c r="D726" t="str">
        <f>_xlfn.XLOOKUP(FME_Ranking1[[#This Row],[FME ID]],FME_Input[FME_ID],FME_Input[DESCR])</f>
        <v>Perform H&amp;H modeling, develop conceptual alternatives and OPCC, and rank projects; survey responses report issues with rivers, creeks, tributaries, and functioning floodplains</v>
      </c>
      <c r="E726" s="256">
        <f>_xlfn.XLOOKUP(FME_Ranking1[[#This Row],[FME ID]],FME_Input[FME_ID],FME_Input[FME_COST])</f>
        <v>500000</v>
      </c>
      <c r="F726" t="str">
        <f>_xlfn.XLOOKUP(FME_Ranking1[[#This Row],[FME ID]],FME_Input[FME_ID],FME_Input[EMER_NEED])</f>
        <v>No</v>
      </c>
      <c r="G726">
        <f>IF(FME_Ranking!F726="Yes",100,0)</f>
        <v>0</v>
      </c>
      <c r="H726">
        <f>FME_Ranking1[[#This Row],[Emergency Need Score (Normalized, Unweighted)]]*$F$3</f>
        <v>0</v>
      </c>
      <c r="I726" s="246">
        <f>_xlfn.XLOOKUP(FME_Ranking1[[#This Row],[FME ID]],FME_Input[FME_ID],FME_Input[STRUCT_100])</f>
        <v>35</v>
      </c>
      <c r="J726" s="178">
        <f>(FME_Ranking1[[#This Row],[Structures 100 Raw]]/I$2)*100</f>
        <v>1.8742235359636723E-2</v>
      </c>
      <c r="K726" s="178">
        <f>FME_Ranking1[[#This Row],[Structures 100  Score (Normalized, Unweighted)]]*$I$3</f>
        <v>2.8113353039455084E-3</v>
      </c>
      <c r="L726" s="246">
        <f>_xlfn.XLOOKUP(FME_Ranking1[[#This Row],[FME ID]],FME_Input[FME_ID],FME_Input[RES_STRUCT100])</f>
        <v>3</v>
      </c>
      <c r="M726" s="230">
        <f>(FME_Ranking1[[#This Row],[Res Structures Raw]]/L$2)*100</f>
        <v>2.1249167740930146E-3</v>
      </c>
      <c r="N726" s="180">
        <f>FME_Ranking1[[#This Row],[Res Structures Score (Normalized, Unweighted)]]*$L$3</f>
        <v>2.1249167740930149E-4</v>
      </c>
      <c r="O726" s="244">
        <f>_xlfn.XLOOKUP(FME_Ranking1[[#This Row],[FME ID]],FME_Input[FME_ID],FME_Input[POP100])</f>
        <v>22</v>
      </c>
      <c r="P726" s="178">
        <f>(FME_Ranking1[[#This Row],[Pop Raw]]/$O$2)*100</f>
        <v>2.2522568637527922E-3</v>
      </c>
      <c r="Q726" s="178">
        <f>FME_Ranking1[[#This Row],[Pop Score (Normalized, Unweighted)]]*$O$3</f>
        <v>3.3783852956291883E-4</v>
      </c>
      <c r="R726" s="137">
        <f>_xlfn.XLOOKUP(FME_Ranking1[[#This Row],[FME ID]],FME_Input[FME_ID],FME_Input[CRITFAC100])</f>
        <v>0</v>
      </c>
      <c r="S726" s="230">
        <f>(FME_Ranking1[[#This Row],[Critical Facilities Raw]]/$R$2)*100</f>
        <v>0</v>
      </c>
      <c r="T726" s="180">
        <f>FME_Ranking1[[#This Row],[Critical Facilities Score (Normalized, Unweighted)]]*$R$3</f>
        <v>0</v>
      </c>
      <c r="U726">
        <f>_xlfn.XLOOKUP(FME_Ranking1[[#This Row],[FME ID]],FME_Input[FME_ID],FME_Input[LWC])</f>
        <v>10</v>
      </c>
      <c r="V726" s="178">
        <f>(FME_Ranking1[[#This Row],[LWC Raw]]/$U$2)*100</f>
        <v>0.57570523891767411</v>
      </c>
      <c r="W726" s="178">
        <f>FME_Ranking1[[#This Row],[LWC Score (Normalized, Unweighted)]]*$U$3</f>
        <v>0.11514104778353483</v>
      </c>
      <c r="X726" s="246">
        <f>_xlfn.XLOOKUP(FME_Ranking1[[#This Row],[FME ID]],FME_Input[FME_ID],FME_Input[ROADCLS])</f>
        <v>37</v>
      </c>
      <c r="Y726" s="230">
        <f>(FME_Ranking1[[#This Row],[Closures Raw]]/$X$2)*100</f>
        <v>0.38902323625275997</v>
      </c>
      <c r="Z726" s="180">
        <f>FME_Ranking1[[#This Row],[Closures Score (Normalized, Unweighted)]]*$X$3</f>
        <v>1.9451161812638E-2</v>
      </c>
      <c r="AA726" s="253">
        <f>_xlfn.XLOOKUP(FME_Ranking1[[#This Row],[FME ID]],FME_Input[FME_ID],FME_Input[ROAD_MILES100])</f>
        <v>76.583122253417969</v>
      </c>
      <c r="AB726" s="178">
        <f>(FME_Ranking1[[#This Row],[Miles Raw]]/$AA$2)*100</f>
        <v>1.0069306993542548</v>
      </c>
      <c r="AC726" s="178">
        <f>FME_Ranking1[[#This Row],[Miles Score (Normalized, Unweighted)]]*$AA$3</f>
        <v>0.10069306993542548</v>
      </c>
      <c r="AD726" s="255">
        <f>_xlfn.XLOOKUP(FME_Ranking1[[#This Row],[FME ID]],FME_Input[FME_ID],FME_Input[FARMACRE100])</f>
        <v>26594.5234375</v>
      </c>
      <c r="AE726" s="230">
        <f>(FME_Ranking1[[#This Row],[Ag Land Raw]]/$AD$2)*100</f>
        <v>1.096639096080213</v>
      </c>
      <c r="AF726" s="231">
        <f>FME_Ranking1[[#This Row],[Ag Land Score (Normalized, Unweighted)]]*$AD$3</f>
        <v>5.4831954804010652E-2</v>
      </c>
      <c r="AG72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0.2934788998465267</v>
      </c>
      <c r="AH726" s="406">
        <f t="shared" si="11"/>
        <v>624</v>
      </c>
      <c r="AI72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0.2934788998465267</v>
      </c>
      <c r="AJ726" s="257">
        <f>FME_Ranking1[[#This Row],[Addition check]]-FME_Ranking1[[#This Row],[Weighted Score Based on Normalized Reported Factors]]</f>
        <v>0</v>
      </c>
      <c r="AK726" s="178">
        <f>_xlfn.RANK.EQ(AI726,$AI$6:$AI$2341,0)+COUNTIF($AI$6:AI726,AI726)-1</f>
        <v>624</v>
      </c>
    </row>
    <row r="727" spans="1:37" x14ac:dyDescent="0.25">
      <c r="A727" t="s">
        <v>2824</v>
      </c>
      <c r="B727">
        <f>_xlfn.XLOOKUP(FME_Ranking1[[#This Row],[FME ID]],FME_Input[FME_ID],FME_Input[RFPG_NUM])</f>
        <v>1</v>
      </c>
      <c r="C727" t="str">
        <f>_xlfn.XLOOKUP(FME_Ranking1[[#This Row],[FME ID]],FME_Input[FME_ID],FME_Input[FME_NAME])</f>
        <v>Floyd County FIS</v>
      </c>
      <c r="D727" t="str">
        <f>_xlfn.XLOOKUP(FME_Ranking1[[#This Row],[FME ID]],FME_Input[FME_ID],FME_Input[DESCR])</f>
        <v>Perform flood insurance study for the county and develop regulatory mapping</v>
      </c>
      <c r="E727" s="256">
        <f>_xlfn.XLOOKUP(FME_Ranking1[[#This Row],[FME ID]],FME_Input[FME_ID],FME_Input[FME_COST])</f>
        <v>1115000</v>
      </c>
      <c r="F727" t="str">
        <f>_xlfn.XLOOKUP(FME_Ranking1[[#This Row],[FME ID]],FME_Input[FME_ID],FME_Input[EMER_NEED])</f>
        <v>No</v>
      </c>
      <c r="G727">
        <f>IF(FME_Ranking!F727="Yes",100,0)</f>
        <v>0</v>
      </c>
      <c r="H727">
        <f>FME_Ranking1[[#This Row],[Emergency Need Score (Normalized, Unweighted)]]*$F$3</f>
        <v>0</v>
      </c>
      <c r="I727" s="246">
        <f>_xlfn.XLOOKUP(FME_Ranking1[[#This Row],[FME ID]],FME_Input[FME_ID],FME_Input[STRUCT_100])</f>
        <v>35</v>
      </c>
      <c r="J727" s="178">
        <f>(FME_Ranking1[[#This Row],[Structures 100 Raw]]/I$2)*100</f>
        <v>1.8742235359636723E-2</v>
      </c>
      <c r="K727" s="178">
        <f>FME_Ranking1[[#This Row],[Structures 100  Score (Normalized, Unweighted)]]*$I$3</f>
        <v>2.8113353039455084E-3</v>
      </c>
      <c r="L727" s="246">
        <f>_xlfn.XLOOKUP(FME_Ranking1[[#This Row],[FME ID]],FME_Input[FME_ID],FME_Input[RES_STRUCT100])</f>
        <v>3</v>
      </c>
      <c r="M727" s="230">
        <f>(FME_Ranking1[[#This Row],[Res Structures Raw]]/L$2)*100</f>
        <v>2.1249167740930146E-3</v>
      </c>
      <c r="N727" s="180">
        <f>FME_Ranking1[[#This Row],[Res Structures Score (Normalized, Unweighted)]]*$L$3</f>
        <v>2.1249167740930149E-4</v>
      </c>
      <c r="O727" s="244">
        <f>_xlfn.XLOOKUP(FME_Ranking1[[#This Row],[FME ID]],FME_Input[FME_ID],FME_Input[POP100])</f>
        <v>22</v>
      </c>
      <c r="P727" s="178">
        <f>(FME_Ranking1[[#This Row],[Pop Raw]]/$O$2)*100</f>
        <v>2.2522568637527922E-3</v>
      </c>
      <c r="Q727" s="178">
        <f>FME_Ranking1[[#This Row],[Pop Score (Normalized, Unweighted)]]*$O$3</f>
        <v>3.3783852956291883E-4</v>
      </c>
      <c r="R727" s="137">
        <f>_xlfn.XLOOKUP(FME_Ranking1[[#This Row],[FME ID]],FME_Input[FME_ID],FME_Input[CRITFAC100])</f>
        <v>0</v>
      </c>
      <c r="S727" s="230">
        <f>(FME_Ranking1[[#This Row],[Critical Facilities Raw]]/$R$2)*100</f>
        <v>0</v>
      </c>
      <c r="T727" s="180">
        <f>FME_Ranking1[[#This Row],[Critical Facilities Score (Normalized, Unweighted)]]*$R$3</f>
        <v>0</v>
      </c>
      <c r="U727">
        <f>_xlfn.XLOOKUP(FME_Ranking1[[#This Row],[FME ID]],FME_Input[FME_ID],FME_Input[LWC])</f>
        <v>10</v>
      </c>
      <c r="V727" s="178">
        <f>(FME_Ranking1[[#This Row],[LWC Raw]]/$U$2)*100</f>
        <v>0.57570523891767411</v>
      </c>
      <c r="W727" s="178">
        <f>FME_Ranking1[[#This Row],[LWC Score (Normalized, Unweighted)]]*$U$3</f>
        <v>0.11514104778353483</v>
      </c>
      <c r="X727" s="246">
        <f>_xlfn.XLOOKUP(FME_Ranking1[[#This Row],[FME ID]],FME_Input[FME_ID],FME_Input[ROADCLS])</f>
        <v>37</v>
      </c>
      <c r="Y727" s="230">
        <f>(FME_Ranking1[[#This Row],[Closures Raw]]/$X$2)*100</f>
        <v>0.38902323625275997</v>
      </c>
      <c r="Z727" s="180">
        <f>FME_Ranking1[[#This Row],[Closures Score (Normalized, Unweighted)]]*$X$3</f>
        <v>1.9451161812638E-2</v>
      </c>
      <c r="AA727" s="253">
        <f>_xlfn.XLOOKUP(FME_Ranking1[[#This Row],[FME ID]],FME_Input[FME_ID],FME_Input[ROAD_MILES100])</f>
        <v>76.583122253417969</v>
      </c>
      <c r="AB727" s="178">
        <f>(FME_Ranking1[[#This Row],[Miles Raw]]/$AA$2)*100</f>
        <v>1.0069306993542548</v>
      </c>
      <c r="AC727" s="178">
        <f>FME_Ranking1[[#This Row],[Miles Score (Normalized, Unweighted)]]*$AA$3</f>
        <v>0.10069306993542548</v>
      </c>
      <c r="AD727" s="255">
        <f>_xlfn.XLOOKUP(FME_Ranking1[[#This Row],[FME ID]],FME_Input[FME_ID],FME_Input[FARMACRE100])</f>
        <v>26594.5234375</v>
      </c>
      <c r="AE727" s="230">
        <f>(FME_Ranking1[[#This Row],[Ag Land Raw]]/$AD$2)*100</f>
        <v>1.096639096080213</v>
      </c>
      <c r="AF727" s="231">
        <f>FME_Ranking1[[#This Row],[Ag Land Score (Normalized, Unweighted)]]*$AD$3</f>
        <v>5.4831954804010652E-2</v>
      </c>
      <c r="AG72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0.2934788998465267</v>
      </c>
      <c r="AH727" s="406">
        <f t="shared" si="11"/>
        <v>624</v>
      </c>
      <c r="AI72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0.2934788998465267</v>
      </c>
      <c r="AJ727" s="257">
        <f>FME_Ranking1[[#This Row],[Addition check]]-FME_Ranking1[[#This Row],[Weighted Score Based on Normalized Reported Factors]]</f>
        <v>0</v>
      </c>
      <c r="AK727" s="178">
        <f>_xlfn.RANK.EQ(AI727,$AI$6:$AI$2341,0)+COUNTIF($AI$6:AI727,AI727)-1</f>
        <v>625</v>
      </c>
    </row>
    <row r="728" spans="1:37" x14ac:dyDescent="0.25">
      <c r="A728" t="s">
        <v>175</v>
      </c>
      <c r="B728">
        <f>_xlfn.XLOOKUP(FME_Ranking1[[#This Row],[FME ID]],FME_Input[FME_ID],FME_Input[RFPG_NUM])</f>
        <v>10</v>
      </c>
      <c r="C728" t="str">
        <f>_xlfn.XLOOKUP(FME_Ranking1[[#This Row],[FME ID]],FME_Input[FME_ID],FME_Input[FME_NAME])</f>
        <v>Highway Drainage</v>
      </c>
      <c r="D728" t="str">
        <f>_xlfn.XLOOKUP(FME_Ranking1[[#This Row],[FME ID]],FME_Input[FME_ID],FME_Input[DESCR])</f>
        <v>Highway 36 drainage ditches to be widened/reshaped, upgrade culverts</v>
      </c>
      <c r="E728" s="256">
        <f>_xlfn.XLOOKUP(FME_Ranking1[[#This Row],[FME ID]],FME_Input[FME_ID],FME_Input[FME_COST])</f>
        <v>100000</v>
      </c>
      <c r="F728" t="str">
        <f>_xlfn.XLOOKUP(FME_Ranking1[[#This Row],[FME ID]],FME_Input[FME_ID],FME_Input[EMER_NEED])</f>
        <v>No</v>
      </c>
      <c r="G728">
        <f>IF(FME_Ranking!F728="Yes",100,0)</f>
        <v>0</v>
      </c>
      <c r="H728">
        <f>FME_Ranking1[[#This Row],[Emergency Need Score (Normalized, Unweighted)]]*$F$3</f>
        <v>0</v>
      </c>
      <c r="I728" s="246">
        <f>_xlfn.XLOOKUP(FME_Ranking1[[#This Row],[FME ID]],FME_Input[FME_ID],FME_Input[STRUCT_100])</f>
        <v>999</v>
      </c>
      <c r="J728" s="178">
        <f>(FME_Ranking1[[#This Row],[Structures 100 Raw]]/I$2)*100</f>
        <v>0.53495694640791669</v>
      </c>
      <c r="K728" s="178">
        <f>FME_Ranking1[[#This Row],[Structures 100  Score (Normalized, Unweighted)]]*$I$3</f>
        <v>8.0243541961187506E-2</v>
      </c>
      <c r="L728" s="246">
        <f>_xlfn.XLOOKUP(FME_Ranking1[[#This Row],[FME ID]],FME_Input[FME_ID],FME_Input[RES_STRUCT100])</f>
        <v>797</v>
      </c>
      <c r="M728" s="230">
        <f>(FME_Ranking1[[#This Row],[Res Structures Raw]]/L$2)*100</f>
        <v>0.56451955631737749</v>
      </c>
      <c r="N728" s="180">
        <f>FME_Ranking1[[#This Row],[Res Structures Score (Normalized, Unweighted)]]*$L$3</f>
        <v>5.645195563173775E-2</v>
      </c>
      <c r="O728" s="244">
        <f>_xlfn.XLOOKUP(FME_Ranking1[[#This Row],[FME ID]],FME_Input[FME_ID],FME_Input[POP100])</f>
        <v>1420</v>
      </c>
      <c r="P728" s="178">
        <f>(FME_Ranking1[[#This Row],[Pop Raw]]/$O$2)*100</f>
        <v>0.14537294302404388</v>
      </c>
      <c r="Q728" s="178">
        <f>FME_Ranking1[[#This Row],[Pop Score (Normalized, Unweighted)]]*$O$3</f>
        <v>2.1805941453606582E-2</v>
      </c>
      <c r="R728" s="137">
        <f>_xlfn.XLOOKUP(FME_Ranking1[[#This Row],[FME ID]],FME_Input[FME_ID],FME_Input[CRITFAC100])</f>
        <v>3</v>
      </c>
      <c r="S728" s="230">
        <f>(FME_Ranking1[[#This Row],[Critical Facilities Raw]]/$R$2)*100</f>
        <v>0.1286449399656947</v>
      </c>
      <c r="T728" s="180">
        <f>FME_Ranking1[[#This Row],[Critical Facilities Score (Normalized, Unweighted)]]*$R$3</f>
        <v>2.5728987993138941E-2</v>
      </c>
      <c r="U728">
        <f>_xlfn.XLOOKUP(FME_Ranking1[[#This Row],[FME ID]],FME_Input[FME_ID],FME_Input[LWC])</f>
        <v>0</v>
      </c>
      <c r="V728" s="178">
        <f>(FME_Ranking1[[#This Row],[LWC Raw]]/$U$2)*100</f>
        <v>0</v>
      </c>
      <c r="W728" s="178">
        <f>FME_Ranking1[[#This Row],[LWC Score (Normalized, Unweighted)]]*$U$3</f>
        <v>0</v>
      </c>
      <c r="X728" s="246">
        <f>_xlfn.XLOOKUP(FME_Ranking1[[#This Row],[FME ID]],FME_Input[FME_ID],FME_Input[ROADCLS])</f>
        <v>0</v>
      </c>
      <c r="Y728" s="230">
        <f>(FME_Ranking1[[#This Row],[Closures Raw]]/$X$2)*100</f>
        <v>0</v>
      </c>
      <c r="Z728" s="180">
        <f>FME_Ranking1[[#This Row],[Closures Score (Normalized, Unweighted)]]*$X$3</f>
        <v>0</v>
      </c>
      <c r="AA728" s="253">
        <f>_xlfn.XLOOKUP(FME_Ranking1[[#This Row],[FME ID]],FME_Input[FME_ID],FME_Input[ROAD_MILES100])</f>
        <v>23.102596282958981</v>
      </c>
      <c r="AB728" s="178">
        <f>(FME_Ranking1[[#This Row],[Miles Raw]]/$AA$2)*100</f>
        <v>0.30375770466919899</v>
      </c>
      <c r="AC728" s="178">
        <f>FME_Ranking1[[#This Row],[Miles Score (Normalized, Unweighted)]]*$AA$3</f>
        <v>3.0375770466919902E-2</v>
      </c>
      <c r="AD728" s="255">
        <f>_xlfn.XLOOKUP(FME_Ranking1[[#This Row],[FME ID]],FME_Input[FME_ID],FME_Input[FARMACRE100])</f>
        <v>2546.681640625</v>
      </c>
      <c r="AE728" s="230">
        <f>(FME_Ranking1[[#This Row],[Ag Land Raw]]/$AD$2)*100</f>
        <v>0.10501375062961489</v>
      </c>
      <c r="AF728" s="231">
        <f>FME_Ranking1[[#This Row],[Ag Land Score (Normalized, Unweighted)]]*$AD$3</f>
        <v>5.2506875314807452E-3</v>
      </c>
      <c r="AG72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0.21985688503807146</v>
      </c>
      <c r="AH728" s="406">
        <f t="shared" si="11"/>
        <v>774</v>
      </c>
      <c r="AI72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0.21985688503807146</v>
      </c>
      <c r="AJ728" s="257">
        <f>FME_Ranking1[[#This Row],[Addition check]]-FME_Ranking1[[#This Row],[Weighted Score Based on Normalized Reported Factors]]</f>
        <v>0</v>
      </c>
      <c r="AK728" s="178">
        <f>_xlfn.RANK.EQ(AI728,$AI$6:$AI$2341,0)+COUNTIF($AI$6:AI728,AI728)-1</f>
        <v>774</v>
      </c>
    </row>
    <row r="729" spans="1:37" x14ac:dyDescent="0.25">
      <c r="A729" t="s">
        <v>1163</v>
      </c>
      <c r="B729">
        <f>_xlfn.XLOOKUP(FME_Ranking1[[#This Row],[FME ID]],FME_Input[FME_ID],FME_Input[RFPG_NUM])</f>
        <v>6</v>
      </c>
      <c r="C729" t="str">
        <f>_xlfn.XLOOKUP(FME_Ranking1[[#This Row],[FME ID]],FME_Input[FME_ID],FME_Input[FME_NAME])</f>
        <v>Widen Drainage Systems and Culverts in City of Kemah</v>
      </c>
      <c r="D729" t="str">
        <f>_xlfn.XLOOKUP(FME_Ranking1[[#This Row],[FME ID]],FME_Input[FME_ID],FME_Input[DESCR])</f>
        <v>Further study to widen drainage systems and increase culvert size to accommodate increased water flows. Coordinate efforts with water district.</v>
      </c>
      <c r="E729" s="256">
        <f>_xlfn.XLOOKUP(FME_Ranking1[[#This Row],[FME ID]],FME_Input[FME_ID],FME_Input[FME_COST])</f>
        <v>100000</v>
      </c>
      <c r="F729" t="str">
        <f>_xlfn.XLOOKUP(FME_Ranking1[[#This Row],[FME ID]],FME_Input[FME_ID],FME_Input[EMER_NEED])</f>
        <v>No</v>
      </c>
      <c r="G729">
        <f>IF(FME_Ranking!F729="Yes",100,0)</f>
        <v>0</v>
      </c>
      <c r="H729">
        <f>FME_Ranking1[[#This Row],[Emergency Need Score (Normalized, Unweighted)]]*$F$3</f>
        <v>0</v>
      </c>
      <c r="I729" s="246">
        <f>_xlfn.XLOOKUP(FME_Ranking1[[#This Row],[FME ID]],FME_Input[FME_ID],FME_Input[STRUCT_100])</f>
        <v>562</v>
      </c>
      <c r="J729" s="178">
        <f>(FME_Ranking1[[#This Row],[Structures 100 Raw]]/I$2)*100</f>
        <v>0.30094675063188109</v>
      </c>
      <c r="K729" s="178">
        <f>FME_Ranking1[[#This Row],[Structures 100  Score (Normalized, Unweighted)]]*$I$3</f>
        <v>4.5142012594782163E-2</v>
      </c>
      <c r="L729" s="246">
        <f>_xlfn.XLOOKUP(FME_Ranking1[[#This Row],[FME ID]],FME_Input[FME_ID],FME_Input[RES_STRUCT100])</f>
        <v>425</v>
      </c>
      <c r="M729" s="230">
        <f>(FME_Ranking1[[#This Row],[Res Structures Raw]]/L$2)*100</f>
        <v>0.30102987632984374</v>
      </c>
      <c r="N729" s="180">
        <f>FME_Ranking1[[#This Row],[Res Structures Score (Normalized, Unweighted)]]*$L$3</f>
        <v>3.0102987632984374E-2</v>
      </c>
      <c r="O729" s="244">
        <f>_xlfn.XLOOKUP(FME_Ranking1[[#This Row],[FME ID]],FME_Input[FME_ID],FME_Input[POP100])</f>
        <v>3492</v>
      </c>
      <c r="P729" s="178">
        <f>(FME_Ranking1[[#This Row],[Pop Raw]]/$O$2)*100</f>
        <v>0.35749458946476137</v>
      </c>
      <c r="Q729" s="178">
        <f>FME_Ranking1[[#This Row],[Pop Score (Normalized, Unweighted)]]*$O$3</f>
        <v>5.3624188419714204E-2</v>
      </c>
      <c r="R729" s="137">
        <f>_xlfn.XLOOKUP(FME_Ranking1[[#This Row],[FME ID]],FME_Input[FME_ID],FME_Input[CRITFAC100])</f>
        <v>7</v>
      </c>
      <c r="S729" s="230">
        <f>(FME_Ranking1[[#This Row],[Critical Facilities Raw]]/$R$2)*100</f>
        <v>0.30017152658662088</v>
      </c>
      <c r="T729" s="180">
        <f>FME_Ranking1[[#This Row],[Critical Facilities Score (Normalized, Unweighted)]]*$R$3</f>
        <v>6.0034305317324177E-2</v>
      </c>
      <c r="U729">
        <f>_xlfn.XLOOKUP(FME_Ranking1[[#This Row],[FME ID]],FME_Input[FME_ID],FME_Input[LWC])</f>
        <v>0</v>
      </c>
      <c r="V729" s="178">
        <f>(FME_Ranking1[[#This Row],[LWC Raw]]/$U$2)*100</f>
        <v>0</v>
      </c>
      <c r="W729" s="178">
        <f>FME_Ranking1[[#This Row],[LWC Score (Normalized, Unweighted)]]*$U$3</f>
        <v>0</v>
      </c>
      <c r="X729" s="246">
        <f>_xlfn.XLOOKUP(FME_Ranking1[[#This Row],[FME ID]],FME_Input[FME_ID],FME_Input[ROADCLS])</f>
        <v>0</v>
      </c>
      <c r="Y729" s="230">
        <f>(FME_Ranking1[[#This Row],[Closures Raw]]/$X$2)*100</f>
        <v>0</v>
      </c>
      <c r="Z729" s="180">
        <f>FME_Ranking1[[#This Row],[Closures Score (Normalized, Unweighted)]]*$X$3</f>
        <v>0</v>
      </c>
      <c r="AA729" s="253">
        <f>_xlfn.XLOOKUP(FME_Ranking1[[#This Row],[FME ID]],FME_Input[FME_ID],FME_Input[ROAD_MILES100])</f>
        <v>12.005941390991209</v>
      </c>
      <c r="AB729" s="178">
        <f>(FME_Ranking1[[#This Row],[Miles Raw]]/$AA$2)*100</f>
        <v>0.15785659562472884</v>
      </c>
      <c r="AC729" s="178">
        <f>FME_Ranking1[[#This Row],[Miles Score (Normalized, Unweighted)]]*$AA$3</f>
        <v>1.5785659562472885E-2</v>
      </c>
      <c r="AD729" s="255">
        <f>_xlfn.XLOOKUP(FME_Ranking1[[#This Row],[FME ID]],FME_Input[FME_ID],FME_Input[FARMACRE100])</f>
        <v>0.72296905517578125</v>
      </c>
      <c r="AE729" s="230">
        <f>(FME_Ranking1[[#This Row],[Ag Land Raw]]/$AD$2)*100</f>
        <v>2.9812007461806372E-5</v>
      </c>
      <c r="AF729" s="231">
        <f>FME_Ranking1[[#This Row],[Ag Land Score (Normalized, Unweighted)]]*$AD$3</f>
        <v>1.4906003730903186E-6</v>
      </c>
      <c r="AG72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0.20469064412765087</v>
      </c>
      <c r="AH729" s="406">
        <f t="shared" si="11"/>
        <v>790</v>
      </c>
      <c r="AI72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0.20469064412765087</v>
      </c>
      <c r="AJ729" s="257">
        <f>FME_Ranking1[[#This Row],[Addition check]]-FME_Ranking1[[#This Row],[Weighted Score Based on Normalized Reported Factors]]</f>
        <v>0</v>
      </c>
      <c r="AK729" s="178">
        <f>_xlfn.RANK.EQ(AI729,$AI$6:$AI$2341,0)+COUNTIF($AI$6:AI729,AI729)-1</f>
        <v>790</v>
      </c>
    </row>
    <row r="730" spans="1:37" x14ac:dyDescent="0.25">
      <c r="A730" t="s">
        <v>1177</v>
      </c>
      <c r="B730">
        <f>_xlfn.XLOOKUP(FME_Ranking1[[#This Row],[FME ID]],FME_Input[FME_ID],FME_Input[RFPG_NUM])</f>
        <v>6</v>
      </c>
      <c r="C730" t="str">
        <f>_xlfn.XLOOKUP(FME_Ranking1[[#This Row],[FME ID]],FME_Input[FME_ID],FME_Input[FME_NAME])</f>
        <v>Implemention Study of Storm Sewer System Re-engineering in City of Kemah</v>
      </c>
      <c r="D730" t="str">
        <f>_xlfn.XLOOKUP(FME_Ranking1[[#This Row],[FME ID]],FME_Input[FME_ID],FME_Input[DESCR])</f>
        <v>Study of storm sewer system re-engineering and follow-up construction project to mitigate flood related impacts.</v>
      </c>
      <c r="E730" s="256">
        <f>_xlfn.XLOOKUP(FME_Ranking1[[#This Row],[FME ID]],FME_Input[FME_ID],FME_Input[FME_COST])</f>
        <v>190000</v>
      </c>
      <c r="F730" t="str">
        <f>_xlfn.XLOOKUP(FME_Ranking1[[#This Row],[FME ID]],FME_Input[FME_ID],FME_Input[EMER_NEED])</f>
        <v>No</v>
      </c>
      <c r="G730">
        <f>IF(FME_Ranking!F730="Yes",100,0)</f>
        <v>0</v>
      </c>
      <c r="H730">
        <f>FME_Ranking1[[#This Row],[Emergency Need Score (Normalized, Unweighted)]]*$F$3</f>
        <v>0</v>
      </c>
      <c r="I730" s="246">
        <f>_xlfn.XLOOKUP(FME_Ranking1[[#This Row],[FME ID]],FME_Input[FME_ID],FME_Input[STRUCT_100])</f>
        <v>562</v>
      </c>
      <c r="J730" s="178">
        <f>(FME_Ranking1[[#This Row],[Structures 100 Raw]]/I$2)*100</f>
        <v>0.30094675063188109</v>
      </c>
      <c r="K730" s="178">
        <f>FME_Ranking1[[#This Row],[Structures 100  Score (Normalized, Unweighted)]]*$I$3</f>
        <v>4.5142012594782163E-2</v>
      </c>
      <c r="L730" s="246">
        <f>_xlfn.XLOOKUP(FME_Ranking1[[#This Row],[FME ID]],FME_Input[FME_ID],FME_Input[RES_STRUCT100])</f>
        <v>425</v>
      </c>
      <c r="M730" s="230">
        <f>(FME_Ranking1[[#This Row],[Res Structures Raw]]/L$2)*100</f>
        <v>0.30102987632984374</v>
      </c>
      <c r="N730" s="180">
        <f>FME_Ranking1[[#This Row],[Res Structures Score (Normalized, Unweighted)]]*$L$3</f>
        <v>3.0102987632984374E-2</v>
      </c>
      <c r="O730" s="244">
        <f>_xlfn.XLOOKUP(FME_Ranking1[[#This Row],[FME ID]],FME_Input[FME_ID],FME_Input[POP100])</f>
        <v>3492</v>
      </c>
      <c r="P730" s="178">
        <f>(FME_Ranking1[[#This Row],[Pop Raw]]/$O$2)*100</f>
        <v>0.35749458946476137</v>
      </c>
      <c r="Q730" s="178">
        <f>FME_Ranking1[[#This Row],[Pop Score (Normalized, Unweighted)]]*$O$3</f>
        <v>5.3624188419714204E-2</v>
      </c>
      <c r="R730" s="137">
        <f>_xlfn.XLOOKUP(FME_Ranking1[[#This Row],[FME ID]],FME_Input[FME_ID],FME_Input[CRITFAC100])</f>
        <v>7</v>
      </c>
      <c r="S730" s="230">
        <f>(FME_Ranking1[[#This Row],[Critical Facilities Raw]]/$R$2)*100</f>
        <v>0.30017152658662088</v>
      </c>
      <c r="T730" s="180">
        <f>FME_Ranking1[[#This Row],[Critical Facilities Score (Normalized, Unweighted)]]*$R$3</f>
        <v>6.0034305317324177E-2</v>
      </c>
      <c r="U730">
        <f>_xlfn.XLOOKUP(FME_Ranking1[[#This Row],[FME ID]],FME_Input[FME_ID],FME_Input[LWC])</f>
        <v>0</v>
      </c>
      <c r="V730" s="178">
        <f>(FME_Ranking1[[#This Row],[LWC Raw]]/$U$2)*100</f>
        <v>0</v>
      </c>
      <c r="W730" s="178">
        <f>FME_Ranking1[[#This Row],[LWC Score (Normalized, Unweighted)]]*$U$3</f>
        <v>0</v>
      </c>
      <c r="X730" s="246">
        <f>_xlfn.XLOOKUP(FME_Ranking1[[#This Row],[FME ID]],FME_Input[FME_ID],FME_Input[ROADCLS])</f>
        <v>0</v>
      </c>
      <c r="Y730" s="230">
        <f>(FME_Ranking1[[#This Row],[Closures Raw]]/$X$2)*100</f>
        <v>0</v>
      </c>
      <c r="Z730" s="180">
        <f>FME_Ranking1[[#This Row],[Closures Score (Normalized, Unweighted)]]*$X$3</f>
        <v>0</v>
      </c>
      <c r="AA730" s="253">
        <f>_xlfn.XLOOKUP(FME_Ranking1[[#This Row],[FME ID]],FME_Input[FME_ID],FME_Input[ROAD_MILES100])</f>
        <v>12.005941390991209</v>
      </c>
      <c r="AB730" s="178">
        <f>(FME_Ranking1[[#This Row],[Miles Raw]]/$AA$2)*100</f>
        <v>0.15785659562472884</v>
      </c>
      <c r="AC730" s="178">
        <f>FME_Ranking1[[#This Row],[Miles Score (Normalized, Unweighted)]]*$AA$3</f>
        <v>1.5785659562472885E-2</v>
      </c>
      <c r="AD730" s="255">
        <f>_xlfn.XLOOKUP(FME_Ranking1[[#This Row],[FME ID]],FME_Input[FME_ID],FME_Input[FARMACRE100])</f>
        <v>0.72296905517578125</v>
      </c>
      <c r="AE730" s="230">
        <f>(FME_Ranking1[[#This Row],[Ag Land Raw]]/$AD$2)*100</f>
        <v>2.9812007461806372E-5</v>
      </c>
      <c r="AF730" s="231">
        <f>FME_Ranking1[[#This Row],[Ag Land Score (Normalized, Unweighted)]]*$AD$3</f>
        <v>1.4906003730903186E-6</v>
      </c>
      <c r="AG73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0.20469064412765087</v>
      </c>
      <c r="AH730" s="406">
        <f t="shared" si="11"/>
        <v>790</v>
      </c>
      <c r="AI73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0.20469064412765087</v>
      </c>
      <c r="AJ730" s="257">
        <f>FME_Ranking1[[#This Row],[Addition check]]-FME_Ranking1[[#This Row],[Weighted Score Based on Normalized Reported Factors]]</f>
        <v>0</v>
      </c>
      <c r="AK730" s="178">
        <f>_xlfn.RANK.EQ(AI730,$AI$6:$AI$2341,0)+COUNTIF($AI$6:AI730,AI730)-1</f>
        <v>791</v>
      </c>
    </row>
    <row r="731" spans="1:37" x14ac:dyDescent="0.25">
      <c r="A731" t="s">
        <v>1634</v>
      </c>
      <c r="B731">
        <f>_xlfn.XLOOKUP(FME_Ranking1[[#This Row],[FME ID]],FME_Input[FME_ID],FME_Input[RFPG_NUM])</f>
        <v>6</v>
      </c>
      <c r="C731" t="str">
        <f>_xlfn.XLOOKUP(FME_Ranking1[[#This Row],[FME ID]],FME_Input[FME_ID],FME_Input[FME_NAME])</f>
        <v>City of Kemah Master Drainage Plan</v>
      </c>
      <c r="D731" t="str">
        <f>_xlfn.XLOOKUP(FME_Ranking1[[#This Row],[FME ID]],FME_Input[FME_ID],FME_Input[DESCR])</f>
        <v>Study to develop Master Drainage Plan using future and existing land use and flood/storm water drainage needs including Atlas 14 rainfall.</v>
      </c>
      <c r="E731" s="256">
        <f>_xlfn.XLOOKUP(FME_Ranking1[[#This Row],[FME ID]],FME_Input[FME_ID],FME_Input[FME_COST])</f>
        <v>190000</v>
      </c>
      <c r="F731" t="str">
        <f>_xlfn.XLOOKUP(FME_Ranking1[[#This Row],[FME ID]],FME_Input[FME_ID],FME_Input[EMER_NEED])</f>
        <v>Yes</v>
      </c>
      <c r="G731">
        <f>IF(FME_Ranking!F731="Yes",100,0)</f>
        <v>100</v>
      </c>
      <c r="H731">
        <f>FME_Ranking1[[#This Row],[Emergency Need Score (Normalized, Unweighted)]]*$F$3</f>
        <v>0</v>
      </c>
      <c r="I731" s="246">
        <f>_xlfn.XLOOKUP(FME_Ranking1[[#This Row],[FME ID]],FME_Input[FME_ID],FME_Input[STRUCT_100])</f>
        <v>562</v>
      </c>
      <c r="J731" s="178">
        <f>(FME_Ranking1[[#This Row],[Structures 100 Raw]]/I$2)*100</f>
        <v>0.30094675063188109</v>
      </c>
      <c r="K731" s="178">
        <f>FME_Ranking1[[#This Row],[Structures 100  Score (Normalized, Unweighted)]]*$I$3</f>
        <v>4.5142012594782163E-2</v>
      </c>
      <c r="L731" s="246">
        <f>_xlfn.XLOOKUP(FME_Ranking1[[#This Row],[FME ID]],FME_Input[FME_ID],FME_Input[RES_STRUCT100])</f>
        <v>425</v>
      </c>
      <c r="M731" s="230">
        <f>(FME_Ranking1[[#This Row],[Res Structures Raw]]/L$2)*100</f>
        <v>0.30102987632984374</v>
      </c>
      <c r="N731" s="180">
        <f>FME_Ranking1[[#This Row],[Res Structures Score (Normalized, Unweighted)]]*$L$3</f>
        <v>3.0102987632984374E-2</v>
      </c>
      <c r="O731" s="244">
        <f>_xlfn.XLOOKUP(FME_Ranking1[[#This Row],[FME ID]],FME_Input[FME_ID],FME_Input[POP100])</f>
        <v>3492</v>
      </c>
      <c r="P731" s="178">
        <f>(FME_Ranking1[[#This Row],[Pop Raw]]/$O$2)*100</f>
        <v>0.35749458946476137</v>
      </c>
      <c r="Q731" s="178">
        <f>FME_Ranking1[[#This Row],[Pop Score (Normalized, Unweighted)]]*$O$3</f>
        <v>5.3624188419714204E-2</v>
      </c>
      <c r="R731" s="137">
        <f>_xlfn.XLOOKUP(FME_Ranking1[[#This Row],[FME ID]],FME_Input[FME_ID],FME_Input[CRITFAC100])</f>
        <v>7</v>
      </c>
      <c r="S731" s="230">
        <f>(FME_Ranking1[[#This Row],[Critical Facilities Raw]]/$R$2)*100</f>
        <v>0.30017152658662088</v>
      </c>
      <c r="T731" s="180">
        <f>FME_Ranking1[[#This Row],[Critical Facilities Score (Normalized, Unweighted)]]*$R$3</f>
        <v>6.0034305317324177E-2</v>
      </c>
      <c r="U731">
        <f>_xlfn.XLOOKUP(FME_Ranking1[[#This Row],[FME ID]],FME_Input[FME_ID],FME_Input[LWC])</f>
        <v>0</v>
      </c>
      <c r="V731" s="178">
        <f>(FME_Ranking1[[#This Row],[LWC Raw]]/$U$2)*100</f>
        <v>0</v>
      </c>
      <c r="W731" s="178">
        <f>FME_Ranking1[[#This Row],[LWC Score (Normalized, Unweighted)]]*$U$3</f>
        <v>0</v>
      </c>
      <c r="X731" s="246">
        <f>_xlfn.XLOOKUP(FME_Ranking1[[#This Row],[FME ID]],FME_Input[FME_ID],FME_Input[ROADCLS])</f>
        <v>0</v>
      </c>
      <c r="Y731" s="230">
        <f>(FME_Ranking1[[#This Row],[Closures Raw]]/$X$2)*100</f>
        <v>0</v>
      </c>
      <c r="Z731" s="180">
        <f>FME_Ranking1[[#This Row],[Closures Score (Normalized, Unweighted)]]*$X$3</f>
        <v>0</v>
      </c>
      <c r="AA731" s="253">
        <f>_xlfn.XLOOKUP(FME_Ranking1[[#This Row],[FME ID]],FME_Input[FME_ID],FME_Input[ROAD_MILES100])</f>
        <v>12.005941390991209</v>
      </c>
      <c r="AB731" s="178">
        <f>(FME_Ranking1[[#This Row],[Miles Raw]]/$AA$2)*100</f>
        <v>0.15785659562472884</v>
      </c>
      <c r="AC731" s="178">
        <f>FME_Ranking1[[#This Row],[Miles Score (Normalized, Unweighted)]]*$AA$3</f>
        <v>1.5785659562472885E-2</v>
      </c>
      <c r="AD731" s="255">
        <f>_xlfn.XLOOKUP(FME_Ranking1[[#This Row],[FME ID]],FME_Input[FME_ID],FME_Input[FARMACRE100])</f>
        <v>0.72296905517578125</v>
      </c>
      <c r="AE731" s="230">
        <f>(FME_Ranking1[[#This Row],[Ag Land Raw]]/$AD$2)*100</f>
        <v>2.9812007461806372E-5</v>
      </c>
      <c r="AF731" s="231">
        <f>FME_Ranking1[[#This Row],[Ag Land Score (Normalized, Unweighted)]]*$AD$3</f>
        <v>1.4906003730903186E-6</v>
      </c>
      <c r="AG73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0.20469064412765087</v>
      </c>
      <c r="AH731" s="406">
        <f t="shared" si="11"/>
        <v>790</v>
      </c>
      <c r="AI73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0.20469064412765087</v>
      </c>
      <c r="AJ731" s="257">
        <f>FME_Ranking1[[#This Row],[Addition check]]-FME_Ranking1[[#This Row],[Weighted Score Based on Normalized Reported Factors]]</f>
        <v>0</v>
      </c>
      <c r="AK731" s="178">
        <f>_xlfn.RANK.EQ(AI731,$AI$6:$AI$2341,0)+COUNTIF($AI$6:AI731,AI731)-1</f>
        <v>792</v>
      </c>
    </row>
    <row r="732" spans="1:37" x14ac:dyDescent="0.25">
      <c r="A732" t="s">
        <v>8697</v>
      </c>
      <c r="B732">
        <f>_xlfn.XLOOKUP(FME_Ranking1[[#This Row],[FME ID]],FME_Input[FME_ID],FME_Input[RFPG_NUM])</f>
        <v>11</v>
      </c>
      <c r="C732" t="str">
        <f>_xlfn.XLOOKUP(FME_Ranking1[[#This Row],[FME ID]],FME_Input[FME_ID],FME_Input[FME_NAME])</f>
        <v>City of Kyle Prairie and Woodland Restoration Plan</v>
      </c>
      <c r="D732" t="str">
        <f>_xlfn.XLOOKUP(FME_Ranking1[[#This Row],[FME ID]],FME_Input[FME_ID],FME_Input[DESCR])</f>
        <v>Prepare and implement a prairie or woodland restoration plan for 1 or more of Kyle’s park properties. Selection of a municipal park where all or a portion of the site may be restored to a natural grassland or woodland</v>
      </c>
      <c r="E732" s="256">
        <f>_xlfn.XLOOKUP(FME_Ranking1[[#This Row],[FME ID]],FME_Input[FME_ID],FME_Input[FME_COST])</f>
        <v>250000</v>
      </c>
      <c r="F732" t="str">
        <f>_xlfn.XLOOKUP(FME_Ranking1[[#This Row],[FME ID]],FME_Input[FME_ID],FME_Input[EMER_NEED])</f>
        <v>No</v>
      </c>
      <c r="G732">
        <f>IF(FME_Ranking!F732="Yes",100,0)</f>
        <v>0</v>
      </c>
      <c r="H732">
        <f>FME_Ranking1[[#This Row],[Emergency Need Score (Normalized, Unweighted)]]*$F$3</f>
        <v>0</v>
      </c>
      <c r="I732" s="246">
        <f>_xlfn.XLOOKUP(FME_Ranking1[[#This Row],[FME ID]],FME_Input[FME_ID],FME_Input[STRUCT_100])</f>
        <v>422</v>
      </c>
      <c r="J732" s="178">
        <f>(FME_Ranking1[[#This Row],[Structures 100 Raw]]/I$2)*100</f>
        <v>0.22597780919333421</v>
      </c>
      <c r="K732" s="178">
        <f>FME_Ranking1[[#This Row],[Structures 100  Score (Normalized, Unweighted)]]*$I$3</f>
        <v>3.3896671379000133E-2</v>
      </c>
      <c r="L732" s="246">
        <f>_xlfn.XLOOKUP(FME_Ranking1[[#This Row],[FME ID]],FME_Input[FME_ID],FME_Input[RES_STRUCT100])</f>
        <v>360</v>
      </c>
      <c r="M732" s="230">
        <f>(FME_Ranking1[[#This Row],[Res Structures Raw]]/L$2)*100</f>
        <v>0.2549900128911618</v>
      </c>
      <c r="N732" s="180">
        <f>FME_Ranking1[[#This Row],[Res Structures Score (Normalized, Unweighted)]]*$L$3</f>
        <v>2.5499001289116183E-2</v>
      </c>
      <c r="O732" s="244">
        <f>_xlfn.XLOOKUP(FME_Ranking1[[#This Row],[FME ID]],FME_Input[FME_ID],FME_Input[POP100])</f>
        <v>1368</v>
      </c>
      <c r="P732" s="178">
        <f>(FME_Ranking1[[#This Row],[Pop Raw]]/$O$2)*100</f>
        <v>0.14004942680062818</v>
      </c>
      <c r="Q732" s="178">
        <f>FME_Ranking1[[#This Row],[Pop Score (Normalized, Unweighted)]]*$O$3</f>
        <v>2.1007414020094227E-2</v>
      </c>
      <c r="R732" s="137">
        <f>_xlfn.XLOOKUP(FME_Ranking1[[#This Row],[FME ID]],FME_Input[FME_ID],FME_Input[CRITFAC100])</f>
        <v>0</v>
      </c>
      <c r="S732" s="230">
        <f>(FME_Ranking1[[#This Row],[Critical Facilities Raw]]/$R$2)*100</f>
        <v>0</v>
      </c>
      <c r="T732" s="180">
        <f>FME_Ranking1[[#This Row],[Critical Facilities Score (Normalized, Unweighted)]]*$R$3</f>
        <v>0</v>
      </c>
      <c r="U732">
        <f>_xlfn.XLOOKUP(FME_Ranking1[[#This Row],[FME ID]],FME_Input[FME_ID],FME_Input[LWC])</f>
        <v>9</v>
      </c>
      <c r="V732" s="178">
        <f>(FME_Ranking1[[#This Row],[LWC Raw]]/$U$2)*100</f>
        <v>0.5181347150259068</v>
      </c>
      <c r="W732" s="178">
        <f>FME_Ranking1[[#This Row],[LWC Score (Normalized, Unweighted)]]*$U$3</f>
        <v>0.10362694300518137</v>
      </c>
      <c r="X732" s="246">
        <f>_xlfn.XLOOKUP(FME_Ranking1[[#This Row],[FME ID]],FME_Input[FME_ID],FME_Input[ROADCLS])</f>
        <v>0</v>
      </c>
      <c r="Y732" s="230">
        <f>(FME_Ranking1[[#This Row],[Closures Raw]]/$X$2)*100</f>
        <v>0</v>
      </c>
      <c r="Z732" s="180">
        <f>FME_Ranking1[[#This Row],[Closures Score (Normalized, Unweighted)]]*$X$3</f>
        <v>0</v>
      </c>
      <c r="AA732" s="253">
        <f>_xlfn.XLOOKUP(FME_Ranking1[[#This Row],[FME ID]],FME_Input[FME_ID],FME_Input[ROAD_MILES100])</f>
        <v>7.1581621170043954</v>
      </c>
      <c r="AB732" s="178">
        <f>(FME_Ranking1[[#This Row],[Miles Raw]]/$AA$2)*100</f>
        <v>9.4116993072121458E-2</v>
      </c>
      <c r="AC732" s="178">
        <f>FME_Ranking1[[#This Row],[Miles Score (Normalized, Unweighted)]]*$AA$3</f>
        <v>9.4116993072121471E-3</v>
      </c>
      <c r="AD732" s="255">
        <f>_xlfn.XLOOKUP(FME_Ranking1[[#This Row],[FME ID]],FME_Input[FME_ID],FME_Input[FARMACRE100])</f>
        <v>727.1070556640625</v>
      </c>
      <c r="AE732" s="230">
        <f>(FME_Ranking1[[#This Row],[Ag Land Raw]]/$AD$2)*100</f>
        <v>2.9982640078168636E-2</v>
      </c>
      <c r="AF732" s="231">
        <f>FME_Ranking1[[#This Row],[Ag Land Score (Normalized, Unweighted)]]*$AD$3</f>
        <v>1.499132003908432E-3</v>
      </c>
      <c r="AG73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0.19494086100451249</v>
      </c>
      <c r="AH732" s="406">
        <f t="shared" si="11"/>
        <v>807</v>
      </c>
      <c r="AI73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0.19494086100451249</v>
      </c>
      <c r="AJ732" s="257">
        <f>FME_Ranking1[[#This Row],[Addition check]]-FME_Ranking1[[#This Row],[Weighted Score Based on Normalized Reported Factors]]</f>
        <v>0</v>
      </c>
      <c r="AK732" s="178">
        <f>_xlfn.RANK.EQ(AI732,$AI$6:$AI$2341,0)+COUNTIF($AI$6:AI732,AI732)-1</f>
        <v>807</v>
      </c>
    </row>
    <row r="733" spans="1:37" x14ac:dyDescent="0.25">
      <c r="A733" t="s">
        <v>1974</v>
      </c>
      <c r="B733">
        <f>_xlfn.XLOOKUP(FME_Ranking1[[#This Row],[FME ID]],FME_Input[FME_ID],FME_Input[RFPG_NUM])</f>
        <v>6</v>
      </c>
      <c r="C733" t="str">
        <f>_xlfn.XLOOKUP(FME_Ranking1[[#This Row],[FME ID]],FME_Input[FME_ID],FME_Input[FME_NAME])</f>
        <v xml:space="preserve">Fort Bend County Willow Fork Channel Improvements </v>
      </c>
      <c r="D733" t="str">
        <f>_xlfn.XLOOKUP(FME_Ranking1[[#This Row],[FME ID]],FME_Input[FME_ID],FME_Input[DESCR])</f>
        <v>Further study and BCA development. Combo of 11 different channel improvements were identified along Willow Fork and its tributaries as part of the Fort Bend County Master Drainage Plan that, when combined, will provide a 100-year level of service.</v>
      </c>
      <c r="E733" s="256">
        <f>_xlfn.XLOOKUP(FME_Ranking1[[#This Row],[FME ID]],FME_Input[FME_ID],FME_Input[FME_COST])</f>
        <v>30000</v>
      </c>
      <c r="F733" t="str">
        <f>_xlfn.XLOOKUP(FME_Ranking1[[#This Row],[FME ID]],FME_Input[FME_ID],FME_Input[EMER_NEED])</f>
        <v>No</v>
      </c>
      <c r="G733">
        <f>IF(FME_Ranking!F733="Yes",100,0)</f>
        <v>0</v>
      </c>
      <c r="H733">
        <f>FME_Ranking1[[#This Row],[Emergency Need Score (Normalized, Unweighted)]]*$F$3</f>
        <v>0</v>
      </c>
      <c r="I733" s="246">
        <f>_xlfn.XLOOKUP(FME_Ranking1[[#This Row],[FME ID]],FME_Input[FME_ID],FME_Input[STRUCT_100])</f>
        <v>404</v>
      </c>
      <c r="J733" s="178">
        <f>(FME_Ranking1[[#This Row],[Structures 100 Raw]]/I$2)*100</f>
        <v>0.21633894529409242</v>
      </c>
      <c r="K733" s="178">
        <f>FME_Ranking1[[#This Row],[Structures 100  Score (Normalized, Unweighted)]]*$I$3</f>
        <v>3.2450841794113859E-2</v>
      </c>
      <c r="L733" s="246">
        <f>_xlfn.XLOOKUP(FME_Ranking1[[#This Row],[FME ID]],FME_Input[FME_ID],FME_Input[RES_STRUCT100])</f>
        <v>288</v>
      </c>
      <c r="M733" s="230">
        <f>(FME_Ranking1[[#This Row],[Res Structures Raw]]/L$2)*100</f>
        <v>0.20399201031292941</v>
      </c>
      <c r="N733" s="180">
        <f>FME_Ranking1[[#This Row],[Res Structures Score (Normalized, Unweighted)]]*$L$3</f>
        <v>2.0399201031292943E-2</v>
      </c>
      <c r="O733" s="244">
        <f>_xlfn.XLOOKUP(FME_Ranking1[[#This Row],[FME ID]],FME_Input[FME_ID],FME_Input[POP100])</f>
        <v>1450</v>
      </c>
      <c r="P733" s="178">
        <f>(FME_Ranking1[[#This Row],[Pop Raw]]/$O$2)*100</f>
        <v>0.14844420238370676</v>
      </c>
      <c r="Q733" s="178">
        <f>FME_Ranking1[[#This Row],[Pop Score (Normalized, Unweighted)]]*$O$3</f>
        <v>2.2266630357556012E-2</v>
      </c>
      <c r="R733" s="137">
        <f>_xlfn.XLOOKUP(FME_Ranking1[[#This Row],[FME ID]],FME_Input[FME_ID],FME_Input[CRITFAC100])</f>
        <v>10</v>
      </c>
      <c r="S733" s="230">
        <f>(FME_Ranking1[[#This Row],[Critical Facilities Raw]]/$R$2)*100</f>
        <v>0.42881646655231564</v>
      </c>
      <c r="T733" s="180">
        <f>FME_Ranking1[[#This Row],[Critical Facilities Score (Normalized, Unweighted)]]*$R$3</f>
        <v>8.5763293310463132E-2</v>
      </c>
      <c r="U733">
        <f>_xlfn.XLOOKUP(FME_Ranking1[[#This Row],[FME ID]],FME_Input[FME_ID],FME_Input[LWC])</f>
        <v>2</v>
      </c>
      <c r="V733" s="178">
        <f>(FME_Ranking1[[#This Row],[LWC Raw]]/$U$2)*100</f>
        <v>0.11514104778353484</v>
      </c>
      <c r="W733" s="178">
        <f>FME_Ranking1[[#This Row],[LWC Score (Normalized, Unweighted)]]*$U$3</f>
        <v>2.302820955670697E-2</v>
      </c>
      <c r="X733" s="246">
        <f>_xlfn.XLOOKUP(FME_Ranking1[[#This Row],[FME ID]],FME_Input[FME_ID],FME_Input[ROADCLS])</f>
        <v>2</v>
      </c>
      <c r="Y733" s="230">
        <f>(FME_Ranking1[[#This Row],[Closures Raw]]/$X$2)*100</f>
        <v>2.1028283040689728E-2</v>
      </c>
      <c r="Z733" s="180">
        <f>FME_Ranking1[[#This Row],[Closures Score (Normalized, Unweighted)]]*$X$3</f>
        <v>1.0514141520344864E-3</v>
      </c>
      <c r="AA733" s="253">
        <f>_xlfn.XLOOKUP(FME_Ranking1[[#This Row],[FME ID]],FME_Input[FME_ID],FME_Input[ROAD_MILES100])</f>
        <v>8.4666957855224609</v>
      </c>
      <c r="AB733" s="178">
        <f>(FME_Ranking1[[#This Row],[Miles Raw]]/$AA$2)*100</f>
        <v>0.11132186384781877</v>
      </c>
      <c r="AC733" s="178">
        <f>FME_Ranking1[[#This Row],[Miles Score (Normalized, Unweighted)]]*$AA$3</f>
        <v>1.1132186384781877E-2</v>
      </c>
      <c r="AD733" s="255">
        <f>_xlfn.XLOOKUP(FME_Ranking1[[#This Row],[FME ID]],FME_Input[FME_ID],FME_Input[FARMACRE100])</f>
        <v>80.03497314453125</v>
      </c>
      <c r="AE733" s="230">
        <f>(FME_Ranking1[[#This Row],[Ag Land Raw]]/$AD$2)*100</f>
        <v>3.3002840156279027E-3</v>
      </c>
      <c r="AF733" s="231">
        <f>FME_Ranking1[[#This Row],[Ag Land Score (Normalized, Unweighted)]]*$AD$3</f>
        <v>1.6501420078139515E-4</v>
      </c>
      <c r="AG73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0.1962567907877307</v>
      </c>
      <c r="AH733" s="406">
        <f t="shared" si="11"/>
        <v>806</v>
      </c>
      <c r="AI73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0.1962567907877307</v>
      </c>
      <c r="AJ733" s="257">
        <f>FME_Ranking1[[#This Row],[Addition check]]-FME_Ranking1[[#This Row],[Weighted Score Based on Normalized Reported Factors]]</f>
        <v>0</v>
      </c>
      <c r="AK733" s="178">
        <f>_xlfn.RANK.EQ(AI733,$AI$6:$AI$2341,0)+COUNTIF($AI$6:AI733,AI733)-1</f>
        <v>806</v>
      </c>
    </row>
    <row r="734" spans="1:37" x14ac:dyDescent="0.25">
      <c r="A734" t="s">
        <v>3046</v>
      </c>
      <c r="B734">
        <f>_xlfn.XLOOKUP(FME_Ranking1[[#This Row],[FME ID]],FME_Input[FME_ID],FME_Input[RFPG_NUM])</f>
        <v>1</v>
      </c>
      <c r="C734" t="str">
        <f>_xlfn.XLOOKUP(FME_Ranking1[[#This Row],[FME ID]],FME_Input[FME_ID],FME_Input[FME_NAME])</f>
        <v>Lake Tanglewood City Drainage Master Plan</v>
      </c>
      <c r="D734" t="str">
        <f>_xlfn.XLOOKUP(FME_Ranking1[[#This Row],[FME ID]],FME_Input[FME_ID],FME_Input[DESCR])</f>
        <v xml:space="preserve">Perform H&amp;H modeling, develop conceptual alternatives and OPCC, and rank projects; selected based on HMAPs and the needs analysis </v>
      </c>
      <c r="E734" s="256">
        <f>_xlfn.XLOOKUP(FME_Ranking1[[#This Row],[FME ID]],FME_Input[FME_ID],FME_Input[FME_COST])</f>
        <v>250000</v>
      </c>
      <c r="F734" t="str">
        <f>_xlfn.XLOOKUP(FME_Ranking1[[#This Row],[FME ID]],FME_Input[FME_ID],FME_Input[EMER_NEED])</f>
        <v>No</v>
      </c>
      <c r="G734">
        <f>IF(FME_Ranking!F734="Yes",100,0)</f>
        <v>0</v>
      </c>
      <c r="H734">
        <f>FME_Ranking1[[#This Row],[Emergency Need Score (Normalized, Unweighted)]]*$F$3</f>
        <v>0</v>
      </c>
      <c r="I734" s="246">
        <f>_xlfn.XLOOKUP(FME_Ranking1[[#This Row],[FME ID]],FME_Input[FME_ID],FME_Input[STRUCT_100])</f>
        <v>121</v>
      </c>
      <c r="J734" s="178">
        <f>(FME_Ranking1[[#This Row],[Structures 100 Raw]]/I$2)*100</f>
        <v>6.4794585100458379E-2</v>
      </c>
      <c r="K734" s="178">
        <f>FME_Ranking1[[#This Row],[Structures 100  Score (Normalized, Unweighted)]]*$I$3</f>
        <v>9.7191877650687573E-3</v>
      </c>
      <c r="L734" s="246">
        <f>_xlfn.XLOOKUP(FME_Ranking1[[#This Row],[FME ID]],FME_Input[FME_ID],FME_Input[RES_STRUCT100])</f>
        <v>101</v>
      </c>
      <c r="M734" s="230">
        <f>(FME_Ranking1[[#This Row],[Res Structures Raw]]/L$2)*100</f>
        <v>7.1538864727798163E-2</v>
      </c>
      <c r="N734" s="180">
        <f>FME_Ranking1[[#This Row],[Res Structures Score (Normalized, Unweighted)]]*$L$3</f>
        <v>7.153886472779817E-3</v>
      </c>
      <c r="O734" s="244">
        <f>_xlfn.XLOOKUP(FME_Ranking1[[#This Row],[FME ID]],FME_Input[FME_ID],FME_Input[POP100])</f>
        <v>297</v>
      </c>
      <c r="P734" s="178">
        <f>(FME_Ranking1[[#This Row],[Pop Raw]]/$O$2)*100</f>
        <v>3.0405467660662697E-2</v>
      </c>
      <c r="Q734" s="178">
        <f>FME_Ranking1[[#This Row],[Pop Score (Normalized, Unweighted)]]*$O$3</f>
        <v>4.560820149099404E-3</v>
      </c>
      <c r="R734" s="137">
        <f>_xlfn.XLOOKUP(FME_Ranking1[[#This Row],[FME ID]],FME_Input[FME_ID],FME_Input[CRITFAC100])</f>
        <v>19</v>
      </c>
      <c r="S734" s="230">
        <f>(FME_Ranking1[[#This Row],[Critical Facilities Raw]]/$R$2)*100</f>
        <v>0.81475128644939965</v>
      </c>
      <c r="T734" s="180">
        <f>FME_Ranking1[[#This Row],[Critical Facilities Score (Normalized, Unweighted)]]*$R$3</f>
        <v>0.16295025728987994</v>
      </c>
      <c r="U734">
        <f>_xlfn.XLOOKUP(FME_Ranking1[[#This Row],[FME ID]],FME_Input[FME_ID],FME_Input[LWC])</f>
        <v>0</v>
      </c>
      <c r="V734" s="178">
        <f>(FME_Ranking1[[#This Row],[LWC Raw]]/$U$2)*100</f>
        <v>0</v>
      </c>
      <c r="W734" s="178">
        <f>FME_Ranking1[[#This Row],[LWC Score (Normalized, Unweighted)]]*$U$3</f>
        <v>0</v>
      </c>
      <c r="X734" s="246">
        <f>_xlfn.XLOOKUP(FME_Ranking1[[#This Row],[FME ID]],FME_Input[FME_ID],FME_Input[ROADCLS])</f>
        <v>0</v>
      </c>
      <c r="Y734" s="230">
        <f>(FME_Ranking1[[#This Row],[Closures Raw]]/$X$2)*100</f>
        <v>0</v>
      </c>
      <c r="Z734" s="180">
        <f>FME_Ranking1[[#This Row],[Closures Score (Normalized, Unweighted)]]*$X$3</f>
        <v>0</v>
      </c>
      <c r="AA734" s="253">
        <f>_xlfn.XLOOKUP(FME_Ranking1[[#This Row],[FME ID]],FME_Input[FME_ID],FME_Input[ROAD_MILES100])</f>
        <v>0.46627020835876459</v>
      </c>
      <c r="AB734" s="178">
        <f>(FME_Ranking1[[#This Row],[Miles Raw]]/$AA$2)*100</f>
        <v>6.1306169450383143E-3</v>
      </c>
      <c r="AC734" s="178">
        <f>FME_Ranking1[[#This Row],[Miles Score (Normalized, Unweighted)]]*$AA$3</f>
        <v>6.1306169450383143E-4</v>
      </c>
      <c r="AD734" s="255">
        <f>_xlfn.XLOOKUP(FME_Ranking1[[#This Row],[FME ID]],FME_Input[FME_ID],FME_Input[FARMACRE100])</f>
        <v>7.4024147987365723</v>
      </c>
      <c r="AE734" s="230">
        <f>(FME_Ranking1[[#This Row],[Ag Land Raw]]/$AD$2)*100</f>
        <v>3.0524244936273886E-4</v>
      </c>
      <c r="AF734" s="231">
        <f>FME_Ranking1[[#This Row],[Ag Land Score (Normalized, Unweighted)]]*$AD$3</f>
        <v>1.5262122468136944E-5</v>
      </c>
      <c r="AG73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0.1850124754937999</v>
      </c>
      <c r="AH734" s="406">
        <f t="shared" si="11"/>
        <v>837</v>
      </c>
      <c r="AI73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0.1850124754937999</v>
      </c>
      <c r="AJ734" s="257">
        <f>FME_Ranking1[[#This Row],[Addition check]]-FME_Ranking1[[#This Row],[Weighted Score Based on Normalized Reported Factors]]</f>
        <v>0</v>
      </c>
      <c r="AK734" s="178">
        <f>_xlfn.RANK.EQ(AI734,$AI$6:$AI$2341,0)+COUNTIF($AI$6:AI734,AI734)-1</f>
        <v>837</v>
      </c>
    </row>
    <row r="735" spans="1:37" x14ac:dyDescent="0.25">
      <c r="A735" t="s">
        <v>5556</v>
      </c>
      <c r="B735">
        <f>_xlfn.XLOOKUP(FME_Ranking1[[#This Row],[FME ID]],FME_Input[FME_ID],FME_Input[RFPG_NUM])</f>
        <v>4</v>
      </c>
      <c r="C735" t="str">
        <f>_xlfn.XLOOKUP(FME_Ranking1[[#This Row],[FME ID]],FME_Input[FME_ID],FME_Input[FME_NAME])</f>
        <v>City of Newton Drainage Master Plan</v>
      </c>
      <c r="D735" t="str">
        <f>_xlfn.XLOOKUP(FME_Ranking1[[#This Row],[FME ID]],FME_Input[FME_ID],FME_Input[DESCR])</f>
        <v>Perform H&amp;H modeling to identify and define flood risk, develop conceptual alternatives to reduce flood risk, develop OPCC for conceptual alternatives, and rank projects. Conceptual alternatives should evaluate feasibility of nature based solutions.</v>
      </c>
      <c r="E735" s="256">
        <f>_xlfn.XLOOKUP(FME_Ranking1[[#This Row],[FME ID]],FME_Input[FME_ID],FME_Input[FME_COST])</f>
        <v>100000</v>
      </c>
      <c r="F735" t="str">
        <f>_xlfn.XLOOKUP(FME_Ranking1[[#This Row],[FME ID]],FME_Input[FME_ID],FME_Input[EMER_NEED])</f>
        <v>No</v>
      </c>
      <c r="G735">
        <f>IF(FME_Ranking!F735="Yes",100,0)</f>
        <v>0</v>
      </c>
      <c r="H735">
        <f>FME_Ranking1[[#This Row],[Emergency Need Score (Normalized, Unweighted)]]*$F$3</f>
        <v>0</v>
      </c>
      <c r="I735" s="246">
        <f>_xlfn.XLOOKUP(FME_Ranking1[[#This Row],[FME ID]],FME_Input[FME_ID],FME_Input[STRUCT_100])</f>
        <v>96</v>
      </c>
      <c r="J735" s="178">
        <f>(FME_Ranking1[[#This Row],[Structures 100 Raw]]/I$2)*100</f>
        <v>5.140727412928929E-2</v>
      </c>
      <c r="K735" s="178">
        <f>FME_Ranking1[[#This Row],[Structures 100  Score (Normalized, Unweighted)]]*$I$3</f>
        <v>7.7110911193933934E-3</v>
      </c>
      <c r="L735" s="246">
        <f>_xlfn.XLOOKUP(FME_Ranking1[[#This Row],[FME ID]],FME_Input[FME_ID],FME_Input[RES_STRUCT100])</f>
        <v>48</v>
      </c>
      <c r="M735" s="230">
        <f>(FME_Ranking1[[#This Row],[Res Structures Raw]]/L$2)*100</f>
        <v>3.3998668385488234E-2</v>
      </c>
      <c r="N735" s="180">
        <f>FME_Ranking1[[#This Row],[Res Structures Score (Normalized, Unweighted)]]*$L$3</f>
        <v>3.3998668385488238E-3</v>
      </c>
      <c r="O735" s="244">
        <f>_xlfn.XLOOKUP(FME_Ranking1[[#This Row],[FME ID]],FME_Input[FME_ID],FME_Input[POP100])</f>
        <v>181</v>
      </c>
      <c r="P735" s="178">
        <f>(FME_Ranking1[[#This Row],[Pop Raw]]/$O$2)*100</f>
        <v>1.8529931469966156E-2</v>
      </c>
      <c r="Q735" s="178">
        <f>FME_Ranking1[[#This Row],[Pop Score (Normalized, Unweighted)]]*$O$3</f>
        <v>2.7794897204949233E-3</v>
      </c>
      <c r="R735" s="137">
        <f>_xlfn.XLOOKUP(FME_Ranking1[[#This Row],[FME ID]],FME_Input[FME_ID],FME_Input[CRITFAC100])</f>
        <v>17</v>
      </c>
      <c r="S735" s="230">
        <f>(FME_Ranking1[[#This Row],[Critical Facilities Raw]]/$R$2)*100</f>
        <v>0.72898799313893659</v>
      </c>
      <c r="T735" s="180">
        <f>FME_Ranking1[[#This Row],[Critical Facilities Score (Normalized, Unweighted)]]*$R$3</f>
        <v>0.14579759862778732</v>
      </c>
      <c r="U735">
        <f>_xlfn.XLOOKUP(FME_Ranking1[[#This Row],[FME ID]],FME_Input[FME_ID],FME_Input[LWC])</f>
        <v>2</v>
      </c>
      <c r="V735" s="178">
        <f>(FME_Ranking1[[#This Row],[LWC Raw]]/$U$2)*100</f>
        <v>0.11514104778353484</v>
      </c>
      <c r="W735" s="178">
        <f>FME_Ranking1[[#This Row],[LWC Score (Normalized, Unweighted)]]*$U$3</f>
        <v>2.302820955670697E-2</v>
      </c>
      <c r="X735" s="246">
        <f>_xlfn.XLOOKUP(FME_Ranking1[[#This Row],[FME ID]],FME_Input[FME_ID],FME_Input[ROADCLS])</f>
        <v>2</v>
      </c>
      <c r="Y735" s="230">
        <f>(FME_Ranking1[[#This Row],[Closures Raw]]/$X$2)*100</f>
        <v>2.1028283040689728E-2</v>
      </c>
      <c r="Z735" s="180">
        <f>FME_Ranking1[[#This Row],[Closures Score (Normalized, Unweighted)]]*$X$3</f>
        <v>1.0514141520344864E-3</v>
      </c>
      <c r="AA735" s="253">
        <f>_xlfn.XLOOKUP(FME_Ranking1[[#This Row],[FME ID]],FME_Input[FME_ID],FME_Input[ROAD_MILES100])</f>
        <v>2.6785495281219478</v>
      </c>
      <c r="AB735" s="178">
        <f>(FME_Ranking1[[#This Row],[Miles Raw]]/$AA$2)*100</f>
        <v>3.5218122090686477E-2</v>
      </c>
      <c r="AC735" s="178">
        <f>FME_Ranking1[[#This Row],[Miles Score (Normalized, Unweighted)]]*$AA$3</f>
        <v>3.5218122090686478E-3</v>
      </c>
      <c r="AD735" s="255">
        <f>_xlfn.XLOOKUP(FME_Ranking1[[#This Row],[FME ID]],FME_Input[FME_ID],FME_Input[FARMACRE100])</f>
        <v>33.131988525390618</v>
      </c>
      <c r="AE735" s="230">
        <f>(FME_Ranking1[[#This Row],[Ag Land Raw]]/$AD$2)*100</f>
        <v>1.3662148913182366E-3</v>
      </c>
      <c r="AF735" s="231">
        <f>FME_Ranking1[[#This Row],[Ag Land Score (Normalized, Unweighted)]]*$AD$3</f>
        <v>6.831074456591183E-5</v>
      </c>
      <c r="AG73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0.1873577929686005</v>
      </c>
      <c r="AH735" s="406">
        <f t="shared" si="11"/>
        <v>828</v>
      </c>
      <c r="AI73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0.1873577929686005</v>
      </c>
      <c r="AJ735" s="257">
        <f>FME_Ranking1[[#This Row],[Addition check]]-FME_Ranking1[[#This Row],[Weighted Score Based on Normalized Reported Factors]]</f>
        <v>0</v>
      </c>
      <c r="AK735" s="178">
        <f>_xlfn.RANK.EQ(AI735,$AI$6:$AI$2341,0)+COUNTIF($AI$6:AI735,AI735)-1</f>
        <v>828</v>
      </c>
    </row>
    <row r="736" spans="1:37" x14ac:dyDescent="0.25">
      <c r="A736" t="s">
        <v>5560</v>
      </c>
      <c r="B736">
        <f>_xlfn.XLOOKUP(FME_Ranking1[[#This Row],[FME ID]],FME_Input[FME_ID],FME_Input[RFPG_NUM])</f>
        <v>4</v>
      </c>
      <c r="C736" t="str">
        <f>_xlfn.XLOOKUP(FME_Ranking1[[#This Row],[FME ID]],FME_Input[FME_ID],FME_Input[FME_NAME])</f>
        <v>Newton Drainage Master Plan</v>
      </c>
      <c r="D736" t="str">
        <f>_xlfn.XLOOKUP(FME_Ranking1[[#This Row],[FME ID]],FME_Input[FME_ID],FME_Input[DESCR])</f>
        <v>Perform study of existing culverts and drainage capabilities in town. Identify upgrades to drainage infrastructure capacity where needed.</v>
      </c>
      <c r="E736" s="256">
        <f>_xlfn.XLOOKUP(FME_Ranking1[[#This Row],[FME ID]],FME_Input[FME_ID],FME_Input[FME_COST])</f>
        <v>400000</v>
      </c>
      <c r="F736" t="str">
        <f>_xlfn.XLOOKUP(FME_Ranking1[[#This Row],[FME ID]],FME_Input[FME_ID],FME_Input[EMER_NEED])</f>
        <v>No</v>
      </c>
      <c r="G736">
        <f>IF(FME_Ranking!F736="Yes",100,0)</f>
        <v>0</v>
      </c>
      <c r="H736">
        <f>FME_Ranking1[[#This Row],[Emergency Need Score (Normalized, Unweighted)]]*$F$3</f>
        <v>0</v>
      </c>
      <c r="I736" s="246">
        <f>_xlfn.XLOOKUP(FME_Ranking1[[#This Row],[FME ID]],FME_Input[FME_ID],FME_Input[STRUCT_100])</f>
        <v>96</v>
      </c>
      <c r="J736" s="178">
        <f>(FME_Ranking1[[#This Row],[Structures 100 Raw]]/I$2)*100</f>
        <v>5.140727412928929E-2</v>
      </c>
      <c r="K736" s="178">
        <f>FME_Ranking1[[#This Row],[Structures 100  Score (Normalized, Unweighted)]]*$I$3</f>
        <v>7.7110911193933934E-3</v>
      </c>
      <c r="L736" s="246">
        <f>_xlfn.XLOOKUP(FME_Ranking1[[#This Row],[FME ID]],FME_Input[FME_ID],FME_Input[RES_STRUCT100])</f>
        <v>48</v>
      </c>
      <c r="M736" s="230">
        <f>(FME_Ranking1[[#This Row],[Res Structures Raw]]/L$2)*100</f>
        <v>3.3998668385488234E-2</v>
      </c>
      <c r="N736" s="180">
        <f>FME_Ranking1[[#This Row],[Res Structures Score (Normalized, Unweighted)]]*$L$3</f>
        <v>3.3998668385488238E-3</v>
      </c>
      <c r="O736" s="244">
        <f>_xlfn.XLOOKUP(FME_Ranking1[[#This Row],[FME ID]],FME_Input[FME_ID],FME_Input[POP100])</f>
        <v>181</v>
      </c>
      <c r="P736" s="178">
        <f>(FME_Ranking1[[#This Row],[Pop Raw]]/$O$2)*100</f>
        <v>1.8529931469966156E-2</v>
      </c>
      <c r="Q736" s="178">
        <f>FME_Ranking1[[#This Row],[Pop Score (Normalized, Unweighted)]]*$O$3</f>
        <v>2.7794897204949233E-3</v>
      </c>
      <c r="R736" s="137">
        <f>_xlfn.XLOOKUP(FME_Ranking1[[#This Row],[FME ID]],FME_Input[FME_ID],FME_Input[CRITFAC100])</f>
        <v>17</v>
      </c>
      <c r="S736" s="230">
        <f>(FME_Ranking1[[#This Row],[Critical Facilities Raw]]/$R$2)*100</f>
        <v>0.72898799313893659</v>
      </c>
      <c r="T736" s="180">
        <f>FME_Ranking1[[#This Row],[Critical Facilities Score (Normalized, Unweighted)]]*$R$3</f>
        <v>0.14579759862778732</v>
      </c>
      <c r="U736">
        <f>_xlfn.XLOOKUP(FME_Ranking1[[#This Row],[FME ID]],FME_Input[FME_ID],FME_Input[LWC])</f>
        <v>2</v>
      </c>
      <c r="V736" s="178">
        <f>(FME_Ranking1[[#This Row],[LWC Raw]]/$U$2)*100</f>
        <v>0.11514104778353484</v>
      </c>
      <c r="W736" s="178">
        <f>FME_Ranking1[[#This Row],[LWC Score (Normalized, Unweighted)]]*$U$3</f>
        <v>2.302820955670697E-2</v>
      </c>
      <c r="X736" s="246">
        <f>_xlfn.XLOOKUP(FME_Ranking1[[#This Row],[FME ID]],FME_Input[FME_ID],FME_Input[ROADCLS])</f>
        <v>2</v>
      </c>
      <c r="Y736" s="230">
        <f>(FME_Ranking1[[#This Row],[Closures Raw]]/$X$2)*100</f>
        <v>2.1028283040689728E-2</v>
      </c>
      <c r="Z736" s="180">
        <f>FME_Ranking1[[#This Row],[Closures Score (Normalized, Unweighted)]]*$X$3</f>
        <v>1.0514141520344864E-3</v>
      </c>
      <c r="AA736" s="253">
        <f>_xlfn.XLOOKUP(FME_Ranking1[[#This Row],[FME ID]],FME_Input[FME_ID],FME_Input[ROAD_MILES100])</f>
        <v>2.6785495281219478</v>
      </c>
      <c r="AB736" s="178">
        <f>(FME_Ranking1[[#This Row],[Miles Raw]]/$AA$2)*100</f>
        <v>3.5218122090686477E-2</v>
      </c>
      <c r="AC736" s="178">
        <f>FME_Ranking1[[#This Row],[Miles Score (Normalized, Unweighted)]]*$AA$3</f>
        <v>3.5218122090686478E-3</v>
      </c>
      <c r="AD736" s="255">
        <f>_xlfn.XLOOKUP(FME_Ranking1[[#This Row],[FME ID]],FME_Input[FME_ID],FME_Input[FARMACRE100])</f>
        <v>33.131988525390618</v>
      </c>
      <c r="AE736" s="230">
        <f>(FME_Ranking1[[#This Row],[Ag Land Raw]]/$AD$2)*100</f>
        <v>1.3662148913182366E-3</v>
      </c>
      <c r="AF736" s="231">
        <f>FME_Ranking1[[#This Row],[Ag Land Score (Normalized, Unweighted)]]*$AD$3</f>
        <v>6.831074456591183E-5</v>
      </c>
      <c r="AG73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0.1873577929686005</v>
      </c>
      <c r="AH736" s="406">
        <f t="shared" si="11"/>
        <v>828</v>
      </c>
      <c r="AI73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0.1873577929686005</v>
      </c>
      <c r="AJ736" s="257">
        <f>FME_Ranking1[[#This Row],[Addition check]]-FME_Ranking1[[#This Row],[Weighted Score Based on Normalized Reported Factors]]</f>
        <v>0</v>
      </c>
      <c r="AK736" s="178">
        <f>_xlfn.RANK.EQ(AI736,$AI$6:$AI$2341,0)+COUNTIF($AI$6:AI736,AI736)-1</f>
        <v>829</v>
      </c>
    </row>
    <row r="737" spans="1:37" x14ac:dyDescent="0.25">
      <c r="A737" t="s">
        <v>1219</v>
      </c>
      <c r="B737">
        <f>_xlfn.XLOOKUP(FME_Ranking1[[#This Row],[FME ID]],FME_Input[FME_ID],FME_Input[RFPG_NUM])</f>
        <v>6</v>
      </c>
      <c r="C737" t="str">
        <f>_xlfn.XLOOKUP(FME_Ranking1[[#This Row],[FME ID]],FME_Input[FME_ID],FME_Input[FME_NAME])</f>
        <v>City of Sante Fe - Storm Water Detention &amp; Widening Drainage System and Cuvlerts Study</v>
      </c>
      <c r="D737" t="str">
        <f>_xlfn.XLOOKUP(FME_Ranking1[[#This Row],[FME ID]],FME_Input[FME_ID],FME_Input[DESCR])</f>
        <v>Study to plan for storm sewer detention and drainage system modifications.</v>
      </c>
      <c r="E737" s="256">
        <f>_xlfn.XLOOKUP(FME_Ranking1[[#This Row],[FME ID]],FME_Input[FME_ID],FME_Input[FME_COST])</f>
        <v>300000</v>
      </c>
      <c r="F737" t="str">
        <f>_xlfn.XLOOKUP(FME_Ranking1[[#This Row],[FME ID]],FME_Input[FME_ID],FME_Input[EMER_NEED])</f>
        <v>No</v>
      </c>
      <c r="G737">
        <f>IF(FME_Ranking!F737="Yes",100,0)</f>
        <v>0</v>
      </c>
      <c r="H737">
        <f>FME_Ranking1[[#This Row],[Emergency Need Score (Normalized, Unweighted)]]*$F$3</f>
        <v>0</v>
      </c>
      <c r="I737" s="246">
        <f>_xlfn.XLOOKUP(FME_Ranking1[[#This Row],[FME ID]],FME_Input[FME_ID],FME_Input[STRUCT_100])</f>
        <v>400</v>
      </c>
      <c r="J737" s="178">
        <f>(FME_Ranking1[[#This Row],[Structures 100 Raw]]/I$2)*100</f>
        <v>0.21419697553870537</v>
      </c>
      <c r="K737" s="178">
        <f>FME_Ranking1[[#This Row],[Structures 100  Score (Normalized, Unweighted)]]*$I$3</f>
        <v>3.2129546330805801E-2</v>
      </c>
      <c r="L737" s="246">
        <f>_xlfn.XLOOKUP(FME_Ranking1[[#This Row],[FME ID]],FME_Input[FME_ID],FME_Input[RES_STRUCT100])</f>
        <v>306</v>
      </c>
      <c r="M737" s="230">
        <f>(FME_Ranking1[[#This Row],[Res Structures Raw]]/L$2)*100</f>
        <v>0.2167415109574875</v>
      </c>
      <c r="N737" s="180">
        <f>FME_Ranking1[[#This Row],[Res Structures Score (Normalized, Unweighted)]]*$L$3</f>
        <v>2.1674151095748752E-2</v>
      </c>
      <c r="O737" s="244">
        <f>_xlfn.XLOOKUP(FME_Ranking1[[#This Row],[FME ID]],FME_Input[FME_ID],FME_Input[POP100])</f>
        <v>798</v>
      </c>
      <c r="P737" s="178">
        <f>(FME_Ranking1[[#This Row],[Pop Raw]]/$O$2)*100</f>
        <v>8.1695498967033098E-2</v>
      </c>
      <c r="Q737" s="178">
        <f>FME_Ranking1[[#This Row],[Pop Score (Normalized, Unweighted)]]*$O$3</f>
        <v>1.2254324845054964E-2</v>
      </c>
      <c r="R737" s="137">
        <f>_xlfn.XLOOKUP(FME_Ranking1[[#This Row],[FME ID]],FME_Input[FME_ID],FME_Input[CRITFAC100])</f>
        <v>1</v>
      </c>
      <c r="S737" s="230">
        <f>(FME_Ranking1[[#This Row],[Critical Facilities Raw]]/$R$2)*100</f>
        <v>4.2881646655231559E-2</v>
      </c>
      <c r="T737" s="180">
        <f>FME_Ranking1[[#This Row],[Critical Facilities Score (Normalized, Unweighted)]]*$R$3</f>
        <v>8.5763293310463125E-3</v>
      </c>
      <c r="U737">
        <f>_xlfn.XLOOKUP(FME_Ranking1[[#This Row],[FME ID]],FME_Input[FME_ID],FME_Input[LWC])</f>
        <v>9</v>
      </c>
      <c r="V737" s="178">
        <f>(FME_Ranking1[[#This Row],[LWC Raw]]/$U$2)*100</f>
        <v>0.5181347150259068</v>
      </c>
      <c r="W737" s="178">
        <f>FME_Ranking1[[#This Row],[LWC Score (Normalized, Unweighted)]]*$U$3</f>
        <v>0.10362694300518137</v>
      </c>
      <c r="X737" s="246">
        <f>_xlfn.XLOOKUP(FME_Ranking1[[#This Row],[FME ID]],FME_Input[FME_ID],FME_Input[ROADCLS])</f>
        <v>9</v>
      </c>
      <c r="Y737" s="230">
        <f>(FME_Ranking1[[#This Row],[Closures Raw]]/$X$2)*100</f>
        <v>9.462727368310378E-2</v>
      </c>
      <c r="Z737" s="180">
        <f>FME_Ranking1[[#This Row],[Closures Score (Normalized, Unweighted)]]*$X$3</f>
        <v>4.7313636841551897E-3</v>
      </c>
      <c r="AA737" s="253">
        <f>_xlfn.XLOOKUP(FME_Ranking1[[#This Row],[FME ID]],FME_Input[FME_ID],FME_Input[ROAD_MILES100])</f>
        <v>4.122429370880127</v>
      </c>
      <c r="AB737" s="178">
        <f>(FME_Ranking1[[#This Row],[Miles Raw]]/$AA$2)*100</f>
        <v>5.4202552302881388E-2</v>
      </c>
      <c r="AC737" s="178">
        <f>FME_Ranking1[[#This Row],[Miles Score (Normalized, Unweighted)]]*$AA$3</f>
        <v>5.4202552302881389E-3</v>
      </c>
      <c r="AD737" s="255">
        <f>_xlfn.XLOOKUP(FME_Ranking1[[#This Row],[FME ID]],FME_Input[FME_ID],FME_Input[FARMACRE100])</f>
        <v>12.12156867980957</v>
      </c>
      <c r="AE737" s="230">
        <f>(FME_Ranking1[[#This Row],[Ag Land Raw]]/$AD$2)*100</f>
        <v>4.9983923010842957E-4</v>
      </c>
      <c r="AF737" s="231">
        <f>FME_Ranking1[[#This Row],[Ag Land Score (Normalized, Unweighted)]]*$AD$3</f>
        <v>2.499196150542148E-5</v>
      </c>
      <c r="AG73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0.18843790548378594</v>
      </c>
      <c r="AH737" s="406">
        <f t="shared" si="11"/>
        <v>823</v>
      </c>
      <c r="AI73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0.18843790548378594</v>
      </c>
      <c r="AJ737" s="257">
        <f>FME_Ranking1[[#This Row],[Addition check]]-FME_Ranking1[[#This Row],[Weighted Score Based on Normalized Reported Factors]]</f>
        <v>0</v>
      </c>
      <c r="AK737" s="178">
        <f>_xlfn.RANK.EQ(AI737,$AI$6:$AI$2341,0)+COUNTIF($AI$6:AI737,AI737)-1</f>
        <v>823</v>
      </c>
    </row>
    <row r="738" spans="1:37" x14ac:dyDescent="0.25">
      <c r="A738" t="s">
        <v>1303</v>
      </c>
      <c r="B738">
        <f>_xlfn.XLOOKUP(FME_Ranking1[[#This Row],[FME ID]],FME_Input[FME_ID],FME_Input[RFPG_NUM])</f>
        <v>6</v>
      </c>
      <c r="C738" t="str">
        <f>_xlfn.XLOOKUP(FME_Ranking1[[#This Row],[FME ID]],FME_Input[FME_ID],FME_Input[FME_NAME])</f>
        <v>Storm Water Detention Ponds Evalution in the City of Santa Fe</v>
      </c>
      <c r="D738" t="str">
        <f>_xlfn.XLOOKUP(FME_Ranking1[[#This Row],[FME ID]],FME_Input[FME_ID],FME_Input[DESCR])</f>
        <v>Further study to determine detention ponds/basin could be solution for addressing flood impacts.</v>
      </c>
      <c r="E738" s="256">
        <f>_xlfn.XLOOKUP(FME_Ranking1[[#This Row],[FME ID]],FME_Input[FME_ID],FME_Input[FME_COST])</f>
        <v>380000</v>
      </c>
      <c r="F738" t="str">
        <f>_xlfn.XLOOKUP(FME_Ranking1[[#This Row],[FME ID]],FME_Input[FME_ID],FME_Input[EMER_NEED])</f>
        <v>No</v>
      </c>
      <c r="G738">
        <f>IF(FME_Ranking!F738="Yes",100,0)</f>
        <v>0</v>
      </c>
      <c r="H738">
        <f>FME_Ranking1[[#This Row],[Emergency Need Score (Normalized, Unweighted)]]*$F$3</f>
        <v>0</v>
      </c>
      <c r="I738" s="246">
        <f>_xlfn.XLOOKUP(FME_Ranking1[[#This Row],[FME ID]],FME_Input[FME_ID],FME_Input[STRUCT_100])</f>
        <v>400</v>
      </c>
      <c r="J738" s="178">
        <f>(FME_Ranking1[[#This Row],[Structures 100 Raw]]/I$2)*100</f>
        <v>0.21419697553870537</v>
      </c>
      <c r="K738" s="178">
        <f>FME_Ranking1[[#This Row],[Structures 100  Score (Normalized, Unweighted)]]*$I$3</f>
        <v>3.2129546330805801E-2</v>
      </c>
      <c r="L738" s="246">
        <f>_xlfn.XLOOKUP(FME_Ranking1[[#This Row],[FME ID]],FME_Input[FME_ID],FME_Input[RES_STRUCT100])</f>
        <v>306</v>
      </c>
      <c r="M738" s="230">
        <f>(FME_Ranking1[[#This Row],[Res Structures Raw]]/L$2)*100</f>
        <v>0.2167415109574875</v>
      </c>
      <c r="N738" s="180">
        <f>FME_Ranking1[[#This Row],[Res Structures Score (Normalized, Unweighted)]]*$L$3</f>
        <v>2.1674151095748752E-2</v>
      </c>
      <c r="O738" s="244">
        <f>_xlfn.XLOOKUP(FME_Ranking1[[#This Row],[FME ID]],FME_Input[FME_ID],FME_Input[POP100])</f>
        <v>798</v>
      </c>
      <c r="P738" s="178">
        <f>(FME_Ranking1[[#This Row],[Pop Raw]]/$O$2)*100</f>
        <v>8.1695498967033098E-2</v>
      </c>
      <c r="Q738" s="178">
        <f>FME_Ranking1[[#This Row],[Pop Score (Normalized, Unweighted)]]*$O$3</f>
        <v>1.2254324845054964E-2</v>
      </c>
      <c r="R738" s="137">
        <f>_xlfn.XLOOKUP(FME_Ranking1[[#This Row],[FME ID]],FME_Input[FME_ID],FME_Input[CRITFAC100])</f>
        <v>1</v>
      </c>
      <c r="S738" s="230">
        <f>(FME_Ranking1[[#This Row],[Critical Facilities Raw]]/$R$2)*100</f>
        <v>4.2881646655231559E-2</v>
      </c>
      <c r="T738" s="180">
        <f>FME_Ranking1[[#This Row],[Critical Facilities Score (Normalized, Unweighted)]]*$R$3</f>
        <v>8.5763293310463125E-3</v>
      </c>
      <c r="U738">
        <f>_xlfn.XLOOKUP(FME_Ranking1[[#This Row],[FME ID]],FME_Input[FME_ID],FME_Input[LWC])</f>
        <v>9</v>
      </c>
      <c r="V738" s="178">
        <f>(FME_Ranking1[[#This Row],[LWC Raw]]/$U$2)*100</f>
        <v>0.5181347150259068</v>
      </c>
      <c r="W738" s="178">
        <f>FME_Ranking1[[#This Row],[LWC Score (Normalized, Unweighted)]]*$U$3</f>
        <v>0.10362694300518137</v>
      </c>
      <c r="X738" s="246">
        <f>_xlfn.XLOOKUP(FME_Ranking1[[#This Row],[FME ID]],FME_Input[FME_ID],FME_Input[ROADCLS])</f>
        <v>9</v>
      </c>
      <c r="Y738" s="230">
        <f>(FME_Ranking1[[#This Row],[Closures Raw]]/$X$2)*100</f>
        <v>9.462727368310378E-2</v>
      </c>
      <c r="Z738" s="180">
        <f>FME_Ranking1[[#This Row],[Closures Score (Normalized, Unweighted)]]*$X$3</f>
        <v>4.7313636841551897E-3</v>
      </c>
      <c r="AA738" s="253">
        <f>_xlfn.XLOOKUP(FME_Ranking1[[#This Row],[FME ID]],FME_Input[FME_ID],FME_Input[ROAD_MILES100])</f>
        <v>4.122429370880127</v>
      </c>
      <c r="AB738" s="178">
        <f>(FME_Ranking1[[#This Row],[Miles Raw]]/$AA$2)*100</f>
        <v>5.4202552302881388E-2</v>
      </c>
      <c r="AC738" s="178">
        <f>FME_Ranking1[[#This Row],[Miles Score (Normalized, Unweighted)]]*$AA$3</f>
        <v>5.4202552302881389E-3</v>
      </c>
      <c r="AD738" s="255">
        <f>_xlfn.XLOOKUP(FME_Ranking1[[#This Row],[FME ID]],FME_Input[FME_ID],FME_Input[FARMACRE100])</f>
        <v>12.12156867980957</v>
      </c>
      <c r="AE738" s="230">
        <f>(FME_Ranking1[[#This Row],[Ag Land Raw]]/$AD$2)*100</f>
        <v>4.9983923010842957E-4</v>
      </c>
      <c r="AF738" s="231">
        <f>FME_Ranking1[[#This Row],[Ag Land Score (Normalized, Unweighted)]]*$AD$3</f>
        <v>2.499196150542148E-5</v>
      </c>
      <c r="AG73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0.18843790548378594</v>
      </c>
      <c r="AH738" s="406">
        <f t="shared" si="11"/>
        <v>823</v>
      </c>
      <c r="AI73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0.18843790548378594</v>
      </c>
      <c r="AJ738" s="257">
        <f>FME_Ranking1[[#This Row],[Addition check]]-FME_Ranking1[[#This Row],[Weighted Score Based on Normalized Reported Factors]]</f>
        <v>0</v>
      </c>
      <c r="AK738" s="178">
        <f>_xlfn.RANK.EQ(AI738,$AI$6:$AI$2341,0)+COUNTIF($AI$6:AI738,AI738)-1</f>
        <v>824</v>
      </c>
    </row>
    <row r="739" spans="1:37" x14ac:dyDescent="0.25">
      <c r="A739" t="s">
        <v>1306</v>
      </c>
      <c r="B739">
        <f>_xlfn.XLOOKUP(FME_Ranking1[[#This Row],[FME ID]],FME_Input[FME_ID],FME_Input[RFPG_NUM])</f>
        <v>6</v>
      </c>
      <c r="C739" t="str">
        <f>_xlfn.XLOOKUP(FME_Ranking1[[#This Row],[FME ID]],FME_Input[FME_ID],FME_Input[FME_NAME])</f>
        <v>Drainage System Analysis for City of Santa Fe</v>
      </c>
      <c r="D739" t="str">
        <f>_xlfn.XLOOKUP(FME_Ranking1[[#This Row],[FME ID]],FME_Input[FME_ID],FME_Input[DESCR])</f>
        <v>Further study to widen drainage systems and increase culvert size to accommodate increased water flows. Coordinate efforts with water district.</v>
      </c>
      <c r="E739" s="256">
        <f>_xlfn.XLOOKUP(FME_Ranking1[[#This Row],[FME ID]],FME_Input[FME_ID],FME_Input[FME_COST])</f>
        <v>300000</v>
      </c>
      <c r="F739" t="str">
        <f>_xlfn.XLOOKUP(FME_Ranking1[[#This Row],[FME ID]],FME_Input[FME_ID],FME_Input[EMER_NEED])</f>
        <v>No</v>
      </c>
      <c r="G739">
        <f>IF(FME_Ranking!F739="Yes",100,0)</f>
        <v>0</v>
      </c>
      <c r="H739">
        <f>FME_Ranking1[[#This Row],[Emergency Need Score (Normalized, Unweighted)]]*$F$3</f>
        <v>0</v>
      </c>
      <c r="I739" s="246">
        <f>_xlfn.XLOOKUP(FME_Ranking1[[#This Row],[FME ID]],FME_Input[FME_ID],FME_Input[STRUCT_100])</f>
        <v>400</v>
      </c>
      <c r="J739" s="178">
        <f>(FME_Ranking1[[#This Row],[Structures 100 Raw]]/I$2)*100</f>
        <v>0.21419697553870537</v>
      </c>
      <c r="K739" s="178">
        <f>FME_Ranking1[[#This Row],[Structures 100  Score (Normalized, Unweighted)]]*$I$3</f>
        <v>3.2129546330805801E-2</v>
      </c>
      <c r="L739" s="246">
        <f>_xlfn.XLOOKUP(FME_Ranking1[[#This Row],[FME ID]],FME_Input[FME_ID],FME_Input[RES_STRUCT100])</f>
        <v>306</v>
      </c>
      <c r="M739" s="230">
        <f>(FME_Ranking1[[#This Row],[Res Structures Raw]]/L$2)*100</f>
        <v>0.2167415109574875</v>
      </c>
      <c r="N739" s="180">
        <f>FME_Ranking1[[#This Row],[Res Structures Score (Normalized, Unweighted)]]*$L$3</f>
        <v>2.1674151095748752E-2</v>
      </c>
      <c r="O739" s="244">
        <f>_xlfn.XLOOKUP(FME_Ranking1[[#This Row],[FME ID]],FME_Input[FME_ID],FME_Input[POP100])</f>
        <v>798</v>
      </c>
      <c r="P739" s="178">
        <f>(FME_Ranking1[[#This Row],[Pop Raw]]/$O$2)*100</f>
        <v>8.1695498967033098E-2</v>
      </c>
      <c r="Q739" s="178">
        <f>FME_Ranking1[[#This Row],[Pop Score (Normalized, Unweighted)]]*$O$3</f>
        <v>1.2254324845054964E-2</v>
      </c>
      <c r="R739" s="137">
        <f>_xlfn.XLOOKUP(FME_Ranking1[[#This Row],[FME ID]],FME_Input[FME_ID],FME_Input[CRITFAC100])</f>
        <v>1</v>
      </c>
      <c r="S739" s="230">
        <f>(FME_Ranking1[[#This Row],[Critical Facilities Raw]]/$R$2)*100</f>
        <v>4.2881646655231559E-2</v>
      </c>
      <c r="T739" s="180">
        <f>FME_Ranking1[[#This Row],[Critical Facilities Score (Normalized, Unweighted)]]*$R$3</f>
        <v>8.5763293310463125E-3</v>
      </c>
      <c r="U739">
        <f>_xlfn.XLOOKUP(FME_Ranking1[[#This Row],[FME ID]],FME_Input[FME_ID],FME_Input[LWC])</f>
        <v>9</v>
      </c>
      <c r="V739" s="178">
        <f>(FME_Ranking1[[#This Row],[LWC Raw]]/$U$2)*100</f>
        <v>0.5181347150259068</v>
      </c>
      <c r="W739" s="178">
        <f>FME_Ranking1[[#This Row],[LWC Score (Normalized, Unweighted)]]*$U$3</f>
        <v>0.10362694300518137</v>
      </c>
      <c r="X739" s="246">
        <f>_xlfn.XLOOKUP(FME_Ranking1[[#This Row],[FME ID]],FME_Input[FME_ID],FME_Input[ROADCLS])</f>
        <v>9</v>
      </c>
      <c r="Y739" s="230">
        <f>(FME_Ranking1[[#This Row],[Closures Raw]]/$X$2)*100</f>
        <v>9.462727368310378E-2</v>
      </c>
      <c r="Z739" s="180">
        <f>FME_Ranking1[[#This Row],[Closures Score (Normalized, Unweighted)]]*$X$3</f>
        <v>4.7313636841551897E-3</v>
      </c>
      <c r="AA739" s="253">
        <f>_xlfn.XLOOKUP(FME_Ranking1[[#This Row],[FME ID]],FME_Input[FME_ID],FME_Input[ROAD_MILES100])</f>
        <v>4.122429370880127</v>
      </c>
      <c r="AB739" s="178">
        <f>(FME_Ranking1[[#This Row],[Miles Raw]]/$AA$2)*100</f>
        <v>5.4202552302881388E-2</v>
      </c>
      <c r="AC739" s="178">
        <f>FME_Ranking1[[#This Row],[Miles Score (Normalized, Unweighted)]]*$AA$3</f>
        <v>5.4202552302881389E-3</v>
      </c>
      <c r="AD739" s="255">
        <f>_xlfn.XLOOKUP(FME_Ranking1[[#This Row],[FME ID]],FME_Input[FME_ID],FME_Input[FARMACRE100])</f>
        <v>12.12156867980957</v>
      </c>
      <c r="AE739" s="230">
        <f>(FME_Ranking1[[#This Row],[Ag Land Raw]]/$AD$2)*100</f>
        <v>4.9983923010842957E-4</v>
      </c>
      <c r="AF739" s="231">
        <f>FME_Ranking1[[#This Row],[Ag Land Score (Normalized, Unweighted)]]*$AD$3</f>
        <v>2.499196150542148E-5</v>
      </c>
      <c r="AG73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0.18843790548378594</v>
      </c>
      <c r="AH739" s="406">
        <f t="shared" si="11"/>
        <v>823</v>
      </c>
      <c r="AI73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0.18843790548378594</v>
      </c>
      <c r="AJ739" s="257">
        <f>FME_Ranking1[[#This Row],[Addition check]]-FME_Ranking1[[#This Row],[Weighted Score Based on Normalized Reported Factors]]</f>
        <v>0</v>
      </c>
      <c r="AK739" s="178">
        <f>_xlfn.RANK.EQ(AI739,$AI$6:$AI$2341,0)+COUNTIF($AI$6:AI739,AI739)-1</f>
        <v>825</v>
      </c>
    </row>
    <row r="740" spans="1:37" x14ac:dyDescent="0.25">
      <c r="A740" t="s">
        <v>1737</v>
      </c>
      <c r="B740">
        <f>_xlfn.XLOOKUP(FME_Ranking1[[#This Row],[FME ID]],FME_Input[FME_ID],FME_Input[RFPG_NUM])</f>
        <v>6</v>
      </c>
      <c r="C740" t="str">
        <f>_xlfn.XLOOKUP(FME_Ranking1[[#This Row],[FME ID]],FME_Input[FME_ID],FME_Input[FME_NAME])</f>
        <v>City of Santa Fe  Master Drainage Plan</v>
      </c>
      <c r="D740" t="str">
        <f>_xlfn.XLOOKUP(FME_Ranking1[[#This Row],[FME ID]],FME_Input[FME_ID],FME_Input[DESCR])</f>
        <v>Study to develop Master Drainage Plan using future and existing land use and flood/storm water drainage needs including Atlas 14 rainfall.</v>
      </c>
      <c r="E740" s="256">
        <f>_xlfn.XLOOKUP(FME_Ranking1[[#This Row],[FME ID]],FME_Input[FME_ID],FME_Input[FME_COST])</f>
        <v>380000</v>
      </c>
      <c r="F740" t="str">
        <f>_xlfn.XLOOKUP(FME_Ranking1[[#This Row],[FME ID]],FME_Input[FME_ID],FME_Input[EMER_NEED])</f>
        <v>Yes</v>
      </c>
      <c r="G740">
        <f>IF(FME_Ranking!F740="Yes",100,0)</f>
        <v>100</v>
      </c>
      <c r="H740">
        <f>FME_Ranking1[[#This Row],[Emergency Need Score (Normalized, Unweighted)]]*$F$3</f>
        <v>0</v>
      </c>
      <c r="I740" s="246">
        <f>_xlfn.XLOOKUP(FME_Ranking1[[#This Row],[FME ID]],FME_Input[FME_ID],FME_Input[STRUCT_100])</f>
        <v>400</v>
      </c>
      <c r="J740" s="178">
        <f>(FME_Ranking1[[#This Row],[Structures 100 Raw]]/I$2)*100</f>
        <v>0.21419697553870537</v>
      </c>
      <c r="K740" s="178">
        <f>FME_Ranking1[[#This Row],[Structures 100  Score (Normalized, Unweighted)]]*$I$3</f>
        <v>3.2129546330805801E-2</v>
      </c>
      <c r="L740" s="246">
        <f>_xlfn.XLOOKUP(FME_Ranking1[[#This Row],[FME ID]],FME_Input[FME_ID],FME_Input[RES_STRUCT100])</f>
        <v>306</v>
      </c>
      <c r="M740" s="230">
        <f>(FME_Ranking1[[#This Row],[Res Structures Raw]]/L$2)*100</f>
        <v>0.2167415109574875</v>
      </c>
      <c r="N740" s="180">
        <f>FME_Ranking1[[#This Row],[Res Structures Score (Normalized, Unweighted)]]*$L$3</f>
        <v>2.1674151095748752E-2</v>
      </c>
      <c r="O740" s="244">
        <f>_xlfn.XLOOKUP(FME_Ranking1[[#This Row],[FME ID]],FME_Input[FME_ID],FME_Input[POP100])</f>
        <v>798</v>
      </c>
      <c r="P740" s="178">
        <f>(FME_Ranking1[[#This Row],[Pop Raw]]/$O$2)*100</f>
        <v>8.1695498967033098E-2</v>
      </c>
      <c r="Q740" s="178">
        <f>FME_Ranking1[[#This Row],[Pop Score (Normalized, Unweighted)]]*$O$3</f>
        <v>1.2254324845054964E-2</v>
      </c>
      <c r="R740" s="137">
        <f>_xlfn.XLOOKUP(FME_Ranking1[[#This Row],[FME ID]],FME_Input[FME_ID],FME_Input[CRITFAC100])</f>
        <v>1</v>
      </c>
      <c r="S740" s="230">
        <f>(FME_Ranking1[[#This Row],[Critical Facilities Raw]]/$R$2)*100</f>
        <v>4.2881646655231559E-2</v>
      </c>
      <c r="T740" s="180">
        <f>FME_Ranking1[[#This Row],[Critical Facilities Score (Normalized, Unweighted)]]*$R$3</f>
        <v>8.5763293310463125E-3</v>
      </c>
      <c r="U740">
        <f>_xlfn.XLOOKUP(FME_Ranking1[[#This Row],[FME ID]],FME_Input[FME_ID],FME_Input[LWC])</f>
        <v>9</v>
      </c>
      <c r="V740" s="178">
        <f>(FME_Ranking1[[#This Row],[LWC Raw]]/$U$2)*100</f>
        <v>0.5181347150259068</v>
      </c>
      <c r="W740" s="178">
        <f>FME_Ranking1[[#This Row],[LWC Score (Normalized, Unweighted)]]*$U$3</f>
        <v>0.10362694300518137</v>
      </c>
      <c r="X740" s="246">
        <f>_xlfn.XLOOKUP(FME_Ranking1[[#This Row],[FME ID]],FME_Input[FME_ID],FME_Input[ROADCLS])</f>
        <v>9</v>
      </c>
      <c r="Y740" s="230">
        <f>(FME_Ranking1[[#This Row],[Closures Raw]]/$X$2)*100</f>
        <v>9.462727368310378E-2</v>
      </c>
      <c r="Z740" s="180">
        <f>FME_Ranking1[[#This Row],[Closures Score (Normalized, Unweighted)]]*$X$3</f>
        <v>4.7313636841551897E-3</v>
      </c>
      <c r="AA740" s="253">
        <f>_xlfn.XLOOKUP(FME_Ranking1[[#This Row],[FME ID]],FME_Input[FME_ID],FME_Input[ROAD_MILES100])</f>
        <v>4.122429370880127</v>
      </c>
      <c r="AB740" s="178">
        <f>(FME_Ranking1[[#This Row],[Miles Raw]]/$AA$2)*100</f>
        <v>5.4202552302881388E-2</v>
      </c>
      <c r="AC740" s="178">
        <f>FME_Ranking1[[#This Row],[Miles Score (Normalized, Unweighted)]]*$AA$3</f>
        <v>5.4202552302881389E-3</v>
      </c>
      <c r="AD740" s="255">
        <f>_xlfn.XLOOKUP(FME_Ranking1[[#This Row],[FME ID]],FME_Input[FME_ID],FME_Input[FARMACRE100])</f>
        <v>12.12156867980957</v>
      </c>
      <c r="AE740" s="230">
        <f>(FME_Ranking1[[#This Row],[Ag Land Raw]]/$AD$2)*100</f>
        <v>4.9983923010842957E-4</v>
      </c>
      <c r="AF740" s="231">
        <f>FME_Ranking1[[#This Row],[Ag Land Score (Normalized, Unweighted)]]*$AD$3</f>
        <v>2.499196150542148E-5</v>
      </c>
      <c r="AG74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0.18843790548378594</v>
      </c>
      <c r="AH740" s="406">
        <f t="shared" si="11"/>
        <v>823</v>
      </c>
      <c r="AI74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0.18843790548378594</v>
      </c>
      <c r="AJ740" s="257">
        <f>FME_Ranking1[[#This Row],[Addition check]]-FME_Ranking1[[#This Row],[Weighted Score Based on Normalized Reported Factors]]</f>
        <v>0</v>
      </c>
      <c r="AK740" s="178">
        <f>_xlfn.RANK.EQ(AI740,$AI$6:$AI$2341,0)+COUNTIF($AI$6:AI740,AI740)-1</f>
        <v>826</v>
      </c>
    </row>
    <row r="741" spans="1:37" x14ac:dyDescent="0.25">
      <c r="A741" t="s">
        <v>1850</v>
      </c>
      <c r="B741">
        <f>_xlfn.XLOOKUP(FME_Ranking1[[#This Row],[FME ID]],FME_Input[FME_ID],FME_Input[RFPG_NUM])</f>
        <v>6</v>
      </c>
      <c r="C741" t="str">
        <f>_xlfn.XLOOKUP(FME_Ranking1[[#This Row],[FME ID]],FME_Input[FME_ID],FME_Input[FME_NAME])</f>
        <v>San Jacinto Flood Mapping Updates</v>
      </c>
      <c r="D741" t="str">
        <f>_xlfn.XLOOKUP(FME_Ranking1[[#This Row],[FME ID]],FME_Input[FME_ID],FME_Input[DESCR])</f>
        <v>County wide study to produce flood mappping updates including Atlas 14 rainfall.</v>
      </c>
      <c r="E741" s="256">
        <f>_xlfn.XLOOKUP(FME_Ranking1[[#This Row],[FME ID]],FME_Input[FME_ID],FME_Input[FME_COST])</f>
        <v>1419000</v>
      </c>
      <c r="F741" t="str">
        <f>_xlfn.XLOOKUP(FME_Ranking1[[#This Row],[FME ID]],FME_Input[FME_ID],FME_Input[EMER_NEED])</f>
        <v>Yes</v>
      </c>
      <c r="G741">
        <f>IF(FME_Ranking!F741="Yes",100,0)</f>
        <v>100</v>
      </c>
      <c r="H741">
        <f>FME_Ranking1[[#This Row],[Emergency Need Score (Normalized, Unweighted)]]*$F$3</f>
        <v>0</v>
      </c>
      <c r="I741" s="246">
        <f>_xlfn.XLOOKUP(FME_Ranking1[[#This Row],[FME ID]],FME_Input[FME_ID],FME_Input[STRUCT_100])</f>
        <v>1028</v>
      </c>
      <c r="J741" s="178">
        <f>(FME_Ranking1[[#This Row],[Structures 100 Raw]]/I$2)*100</f>
        <v>0.55048622713447293</v>
      </c>
      <c r="K741" s="178">
        <f>FME_Ranking1[[#This Row],[Structures 100  Score (Normalized, Unweighted)]]*$I$3</f>
        <v>8.2572934070170939E-2</v>
      </c>
      <c r="L741" s="246">
        <f>_xlfn.XLOOKUP(FME_Ranking1[[#This Row],[FME ID]],FME_Input[FME_ID],FME_Input[RES_STRUCT100])</f>
        <v>933</v>
      </c>
      <c r="M741" s="230">
        <f>(FME_Ranking1[[#This Row],[Res Structures Raw]]/L$2)*100</f>
        <v>0.66084911674292757</v>
      </c>
      <c r="N741" s="180">
        <f>FME_Ranking1[[#This Row],[Res Structures Score (Normalized, Unweighted)]]*$L$3</f>
        <v>6.6084911674292757E-2</v>
      </c>
      <c r="O741" s="244">
        <f>_xlfn.XLOOKUP(FME_Ranking1[[#This Row],[FME ID]],FME_Input[FME_ID],FME_Input[POP100])</f>
        <v>1376</v>
      </c>
      <c r="P741" s="178">
        <f>(FME_Ranking1[[#This Row],[Pop Raw]]/$O$2)*100</f>
        <v>0.14086842929653828</v>
      </c>
      <c r="Q741" s="178">
        <f>FME_Ranking1[[#This Row],[Pop Score (Normalized, Unweighted)]]*$O$3</f>
        <v>2.1130264394480743E-2</v>
      </c>
      <c r="R741" s="137">
        <f>_xlfn.XLOOKUP(FME_Ranking1[[#This Row],[FME ID]],FME_Input[FME_ID],FME_Input[CRITFAC100])</f>
        <v>0</v>
      </c>
      <c r="S741" s="230">
        <f>(FME_Ranking1[[#This Row],[Critical Facilities Raw]]/$R$2)*100</f>
        <v>0</v>
      </c>
      <c r="T741" s="180">
        <f>FME_Ranking1[[#This Row],[Critical Facilities Score (Normalized, Unweighted)]]*$R$3</f>
        <v>0</v>
      </c>
      <c r="U741">
        <f>_xlfn.XLOOKUP(FME_Ranking1[[#This Row],[FME ID]],FME_Input[FME_ID],FME_Input[LWC])</f>
        <v>1</v>
      </c>
      <c r="V741" s="178">
        <f>(FME_Ranking1[[#This Row],[LWC Raw]]/$U$2)*100</f>
        <v>5.7570523891767422E-2</v>
      </c>
      <c r="W741" s="178">
        <f>FME_Ranking1[[#This Row],[LWC Score (Normalized, Unweighted)]]*$U$3</f>
        <v>1.1514104778353485E-2</v>
      </c>
      <c r="X741" s="246">
        <f>_xlfn.XLOOKUP(FME_Ranking1[[#This Row],[FME ID]],FME_Input[FME_ID],FME_Input[ROADCLS])</f>
        <v>1</v>
      </c>
      <c r="Y741" s="230">
        <f>(FME_Ranking1[[#This Row],[Closures Raw]]/$X$2)*100</f>
        <v>1.0514141520344864E-2</v>
      </c>
      <c r="Z741" s="180">
        <f>FME_Ranking1[[#This Row],[Closures Score (Normalized, Unweighted)]]*$X$3</f>
        <v>5.2570707601724321E-4</v>
      </c>
      <c r="AA741" s="253">
        <f>_xlfn.XLOOKUP(FME_Ranking1[[#This Row],[FME ID]],FME_Input[FME_ID],FME_Input[ROAD_MILES100])</f>
        <v>47.923286437988281</v>
      </c>
      <c r="AB741" s="178">
        <f>(FME_Ranking1[[#This Row],[Miles Raw]]/$AA$2)*100</f>
        <v>0.63010526221009666</v>
      </c>
      <c r="AC741" s="178">
        <f>FME_Ranking1[[#This Row],[Miles Score (Normalized, Unweighted)]]*$AA$3</f>
        <v>6.3010526221009666E-2</v>
      </c>
      <c r="AD741" s="255">
        <f>_xlfn.XLOOKUP(FME_Ranking1[[#This Row],[FME ID]],FME_Input[FME_ID],FME_Input[FARMACRE100])</f>
        <v>63.117862701416023</v>
      </c>
      <c r="AE741" s="230">
        <f>(FME_Ranking1[[#This Row],[Ag Land Raw]]/$AD$2)*100</f>
        <v>2.6026981104611442E-3</v>
      </c>
      <c r="AF741" s="231">
        <f>FME_Ranking1[[#This Row],[Ag Land Score (Normalized, Unweighted)]]*$AD$3</f>
        <v>1.3013490552305721E-4</v>
      </c>
      <c r="AG74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0.24496858311984787</v>
      </c>
      <c r="AH741" s="406">
        <f t="shared" si="11"/>
        <v>711</v>
      </c>
      <c r="AI74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0.24496858311984787</v>
      </c>
      <c r="AJ741" s="257">
        <f>FME_Ranking1[[#This Row],[Addition check]]-FME_Ranking1[[#This Row],[Weighted Score Based on Normalized Reported Factors]]</f>
        <v>0</v>
      </c>
      <c r="AK741" s="178">
        <f>_xlfn.RANK.EQ(AI741,$AI$6:$AI$2341,0)+COUNTIF($AI$6:AI741,AI741)-1</f>
        <v>711</v>
      </c>
    </row>
    <row r="742" spans="1:37" x14ac:dyDescent="0.25">
      <c r="A742" t="s">
        <v>243</v>
      </c>
      <c r="B742">
        <f>_xlfn.XLOOKUP(FME_Ranking1[[#This Row],[FME ID]],FME_Input[FME_ID],FME_Input[RFPG_NUM])</f>
        <v>10</v>
      </c>
      <c r="C742" t="str">
        <f>_xlfn.XLOOKUP(FME_Ranking1[[#This Row],[FME ID]],FME_Input[FME_ID],FME_Input[FME_NAME])</f>
        <v>Marble Falls Creek Walk</v>
      </c>
      <c r="D742" t="str">
        <f>_xlfn.XLOOKUP(FME_Ranking1[[#This Row],[FME ID]],FME_Input[FME_ID],FME_Input[DESCR])</f>
        <v>The creek walk would be on the Whitman Branch in Downtown Marble Falls.  It would include flood reduction, pedestrian access/trails, and education</v>
      </c>
      <c r="E742" s="256">
        <f>_xlfn.XLOOKUP(FME_Ranking1[[#This Row],[FME ID]],FME_Input[FME_ID],FME_Input[FME_COST])</f>
        <v>100000</v>
      </c>
      <c r="F742" t="str">
        <f>_xlfn.XLOOKUP(FME_Ranking1[[#This Row],[FME ID]],FME_Input[FME_ID],FME_Input[EMER_NEED])</f>
        <v>No</v>
      </c>
      <c r="G742">
        <f>IF(FME_Ranking!F742="Yes",100,0)</f>
        <v>0</v>
      </c>
      <c r="H742">
        <f>FME_Ranking1[[#This Row],[Emergency Need Score (Normalized, Unweighted)]]*$F$3</f>
        <v>0</v>
      </c>
      <c r="I742" s="246">
        <f>_xlfn.XLOOKUP(FME_Ranking1[[#This Row],[FME ID]],FME_Input[FME_ID],FME_Input[STRUCT_100])</f>
        <v>80</v>
      </c>
      <c r="J742" s="178">
        <f>(FME_Ranking1[[#This Row],[Structures 100 Raw]]/I$2)*100</f>
        <v>4.2839395107741075E-2</v>
      </c>
      <c r="K742" s="178">
        <f>FME_Ranking1[[#This Row],[Structures 100  Score (Normalized, Unweighted)]]*$I$3</f>
        <v>6.4259092661611613E-3</v>
      </c>
      <c r="L742" s="246">
        <f>_xlfn.XLOOKUP(FME_Ranking1[[#This Row],[FME ID]],FME_Input[FME_ID],FME_Input[RES_STRUCT100])</f>
        <v>5</v>
      </c>
      <c r="M742" s="230">
        <f>(FME_Ranking1[[#This Row],[Res Structures Raw]]/L$2)*100</f>
        <v>3.5415279568216909E-3</v>
      </c>
      <c r="N742" s="180">
        <f>FME_Ranking1[[#This Row],[Res Structures Score (Normalized, Unweighted)]]*$L$3</f>
        <v>3.5415279568216913E-4</v>
      </c>
      <c r="O742" s="244">
        <f>_xlfn.XLOOKUP(FME_Ranking1[[#This Row],[FME ID]],FME_Input[FME_ID],FME_Input[POP100])</f>
        <v>821</v>
      </c>
      <c r="P742" s="178">
        <f>(FME_Ranking1[[#This Row],[Pop Raw]]/$O$2)*100</f>
        <v>8.4050131142774653E-2</v>
      </c>
      <c r="Q742" s="178">
        <f>FME_Ranking1[[#This Row],[Pop Score (Normalized, Unweighted)]]*$O$3</f>
        <v>1.2607519671416198E-2</v>
      </c>
      <c r="R742" s="137">
        <f>_xlfn.XLOOKUP(FME_Ranking1[[#This Row],[FME ID]],FME_Input[FME_ID],FME_Input[CRITFAC100])</f>
        <v>0</v>
      </c>
      <c r="S742" s="230">
        <f>(FME_Ranking1[[#This Row],[Critical Facilities Raw]]/$R$2)*100</f>
        <v>0</v>
      </c>
      <c r="T742" s="180">
        <f>FME_Ranking1[[#This Row],[Critical Facilities Score (Normalized, Unweighted)]]*$R$3</f>
        <v>0</v>
      </c>
      <c r="U742">
        <f>_xlfn.XLOOKUP(FME_Ranking1[[#This Row],[FME ID]],FME_Input[FME_ID],FME_Input[LWC])</f>
        <v>14</v>
      </c>
      <c r="V742" s="178">
        <f>(FME_Ranking1[[#This Row],[LWC Raw]]/$U$2)*100</f>
        <v>0.80598733448474369</v>
      </c>
      <c r="W742" s="178">
        <f>FME_Ranking1[[#This Row],[LWC Score (Normalized, Unweighted)]]*$U$3</f>
        <v>0.16119746689694875</v>
      </c>
      <c r="X742" s="246">
        <f>_xlfn.XLOOKUP(FME_Ranking1[[#This Row],[FME ID]],FME_Input[FME_ID],FME_Input[ROADCLS])</f>
        <v>0</v>
      </c>
      <c r="Y742" s="230">
        <f>(FME_Ranking1[[#This Row],[Closures Raw]]/$X$2)*100</f>
        <v>0</v>
      </c>
      <c r="Z742" s="180">
        <f>FME_Ranking1[[#This Row],[Closures Score (Normalized, Unweighted)]]*$X$3</f>
        <v>0</v>
      </c>
      <c r="AA742" s="253">
        <f>_xlfn.XLOOKUP(FME_Ranking1[[#This Row],[FME ID]],FME_Input[FME_ID],FME_Input[ROAD_MILES100])</f>
        <v>2.069035530090332</v>
      </c>
      <c r="AB742" s="178">
        <f>(FME_Ranking1[[#This Row],[Miles Raw]]/$AA$2)*100</f>
        <v>2.7204106231248318E-2</v>
      </c>
      <c r="AC742" s="178">
        <f>FME_Ranking1[[#This Row],[Miles Score (Normalized, Unweighted)]]*$AA$3</f>
        <v>2.720410623124832E-3</v>
      </c>
      <c r="AD742" s="255">
        <f>_xlfn.XLOOKUP(FME_Ranking1[[#This Row],[FME ID]],FME_Input[FME_ID],FME_Input[FARMACRE100])</f>
        <v>171.42329406738281</v>
      </c>
      <c r="AE742" s="230">
        <f>(FME_Ranking1[[#This Row],[Ag Land Raw]]/$AD$2)*100</f>
        <v>7.0687292703305177E-3</v>
      </c>
      <c r="AF742" s="231">
        <f>FME_Ranking1[[#This Row],[Ag Land Score (Normalized, Unweighted)]]*$AD$3</f>
        <v>3.5343646351652588E-4</v>
      </c>
      <c r="AG74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0.18365889571684962</v>
      </c>
      <c r="AH742" s="406">
        <f t="shared" si="11"/>
        <v>838</v>
      </c>
      <c r="AI74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0.18365889571684962</v>
      </c>
      <c r="AJ742" s="257">
        <f>FME_Ranking1[[#This Row],[Addition check]]-FME_Ranking1[[#This Row],[Weighted Score Based on Normalized Reported Factors]]</f>
        <v>0</v>
      </c>
      <c r="AK742" s="178">
        <f>_xlfn.RANK.EQ(AI742,$AI$6:$AI$2341,0)+COUNTIF($AI$6:AI742,AI742)-1</f>
        <v>838</v>
      </c>
    </row>
    <row r="743" spans="1:37" x14ac:dyDescent="0.25">
      <c r="A743" t="s">
        <v>8536</v>
      </c>
      <c r="B743">
        <f>_xlfn.XLOOKUP(FME_Ranking1[[#This Row],[FME ID]],FME_Input[FME_ID],FME_Input[RFPG_NUM])</f>
        <v>11</v>
      </c>
      <c r="C743" t="str">
        <f>_xlfn.XLOOKUP(FME_Ranking1[[#This Row],[FME ID]],FME_Input[FME_ID],FME_Input[FME_NAME])</f>
        <v xml:space="preserve">Caldwell County Emergency Service District #1 Drainage and Utility Plan </v>
      </c>
      <c r="D743" t="str">
        <f>_xlfn.XLOOKUP(FME_Ranking1[[#This Row],[FME ID]],FME_Input[FME_ID],FME_Input[DESCR])</f>
        <v>Develop a drainage and utility plan.</v>
      </c>
      <c r="E743" s="256">
        <f>_xlfn.XLOOKUP(FME_Ranking1[[#This Row],[FME ID]],FME_Input[FME_ID],FME_Input[FME_COST])</f>
        <v>100000</v>
      </c>
      <c r="F743" t="str">
        <f>_xlfn.XLOOKUP(FME_Ranking1[[#This Row],[FME ID]],FME_Input[FME_ID],FME_Input[EMER_NEED])</f>
        <v>No</v>
      </c>
      <c r="G743">
        <f>IF(FME_Ranking!F743="Yes",100,0)</f>
        <v>0</v>
      </c>
      <c r="H743">
        <f>FME_Ranking1[[#This Row],[Emergency Need Score (Normalized, Unweighted)]]*$F$3</f>
        <v>0</v>
      </c>
      <c r="I743" s="246">
        <f>_xlfn.XLOOKUP(FME_Ranking1[[#This Row],[FME ID]],FME_Input[FME_ID],FME_Input[STRUCT_100])</f>
        <v>136</v>
      </c>
      <c r="J743" s="178">
        <f>(FME_Ranking1[[#This Row],[Structures 100 Raw]]/I$2)*100</f>
        <v>7.2826971683159838E-2</v>
      </c>
      <c r="K743" s="178">
        <f>FME_Ranking1[[#This Row],[Structures 100  Score (Normalized, Unweighted)]]*$I$3</f>
        <v>1.0924045752473976E-2</v>
      </c>
      <c r="L743" s="246">
        <f>_xlfn.XLOOKUP(FME_Ranking1[[#This Row],[FME ID]],FME_Input[FME_ID],FME_Input[RES_STRUCT100])</f>
        <v>74</v>
      </c>
      <c r="M743" s="230">
        <f>(FME_Ranking1[[#This Row],[Res Structures Raw]]/L$2)*100</f>
        <v>5.2414613760961029E-2</v>
      </c>
      <c r="N743" s="180">
        <f>FME_Ranking1[[#This Row],[Res Structures Score (Normalized, Unweighted)]]*$L$3</f>
        <v>5.2414613760961033E-3</v>
      </c>
      <c r="O743" s="244">
        <f>_xlfn.XLOOKUP(FME_Ranking1[[#This Row],[FME ID]],FME_Input[FME_ID],FME_Input[POP100])</f>
        <v>289</v>
      </c>
      <c r="P743" s="178">
        <f>(FME_Ranking1[[#This Row],[Pop Raw]]/$O$2)*100</f>
        <v>2.9586465164752589E-2</v>
      </c>
      <c r="Q743" s="178">
        <f>FME_Ranking1[[#This Row],[Pop Score (Normalized, Unweighted)]]*$O$3</f>
        <v>4.4379697747128884E-3</v>
      </c>
      <c r="R743" s="137">
        <f>_xlfn.XLOOKUP(FME_Ranking1[[#This Row],[FME ID]],FME_Input[FME_ID],FME_Input[CRITFAC100])</f>
        <v>0</v>
      </c>
      <c r="S743" s="230">
        <f>(FME_Ranking1[[#This Row],[Critical Facilities Raw]]/$R$2)*100</f>
        <v>0</v>
      </c>
      <c r="T743" s="180">
        <f>FME_Ranking1[[#This Row],[Critical Facilities Score (Normalized, Unweighted)]]*$R$3</f>
        <v>0</v>
      </c>
      <c r="U743">
        <f>_xlfn.XLOOKUP(FME_Ranking1[[#This Row],[FME ID]],FME_Input[FME_ID],FME_Input[LWC])</f>
        <v>13</v>
      </c>
      <c r="V743" s="178">
        <f>(FME_Ranking1[[#This Row],[LWC Raw]]/$U$2)*100</f>
        <v>0.74841681059297649</v>
      </c>
      <c r="W743" s="178">
        <f>FME_Ranking1[[#This Row],[LWC Score (Normalized, Unweighted)]]*$U$3</f>
        <v>0.14968336211859531</v>
      </c>
      <c r="X743" s="246">
        <f>_xlfn.XLOOKUP(FME_Ranking1[[#This Row],[FME ID]],FME_Input[FME_ID],FME_Input[ROADCLS])</f>
        <v>0</v>
      </c>
      <c r="Y743" s="230">
        <f>(FME_Ranking1[[#This Row],[Closures Raw]]/$X$2)*100</f>
        <v>0</v>
      </c>
      <c r="Z743" s="180">
        <f>FME_Ranking1[[#This Row],[Closures Score (Normalized, Unweighted)]]*$X$3</f>
        <v>0</v>
      </c>
      <c r="AA743" s="253">
        <f>_xlfn.XLOOKUP(FME_Ranking1[[#This Row],[FME ID]],FME_Input[FME_ID],FME_Input[ROAD_MILES100])</f>
        <v>10.853768348693849</v>
      </c>
      <c r="AB743" s="178">
        <f>(FME_Ranking1[[#This Row],[Miles Raw]]/$AA$2)*100</f>
        <v>0.14270758663788488</v>
      </c>
      <c r="AC743" s="178">
        <f>FME_Ranking1[[#This Row],[Miles Score (Normalized, Unweighted)]]*$AA$3</f>
        <v>1.4270758663788489E-2</v>
      </c>
      <c r="AD743" s="255">
        <f>_xlfn.XLOOKUP(FME_Ranking1[[#This Row],[FME ID]],FME_Input[FME_ID],FME_Input[FARMACRE100])</f>
        <v>4872.78125</v>
      </c>
      <c r="AE743" s="230">
        <f>(FME_Ranking1[[#This Row],[Ag Land Raw]]/$AD$2)*100</f>
        <v>0.20093168572675651</v>
      </c>
      <c r="AF743" s="231">
        <f>FME_Ranking1[[#This Row],[Ag Land Score (Normalized, Unweighted)]]*$AD$3</f>
        <v>1.0046584286337826E-2</v>
      </c>
      <c r="AG74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0.19460418197200458</v>
      </c>
      <c r="AH743" s="406">
        <f t="shared" si="11"/>
        <v>808</v>
      </c>
      <c r="AI74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0.19460418197200458</v>
      </c>
      <c r="AJ743" s="257">
        <f>FME_Ranking1[[#This Row],[Addition check]]-FME_Ranking1[[#This Row],[Weighted Score Based on Normalized Reported Factors]]</f>
        <v>0</v>
      </c>
      <c r="AK743" s="178">
        <f>_xlfn.RANK.EQ(AI743,$AI$6:$AI$2341,0)+COUNTIF($AI$6:AI743,AI743)-1</f>
        <v>808</v>
      </c>
    </row>
    <row r="744" spans="1:37" x14ac:dyDescent="0.25">
      <c r="A744" t="s">
        <v>251</v>
      </c>
      <c r="B744">
        <f>_xlfn.XLOOKUP(FME_Ranking1[[#This Row],[FME ID]],FME_Input[FME_ID],FME_Input[RFPG_NUM])</f>
        <v>10</v>
      </c>
      <c r="C744" t="str">
        <f>_xlfn.XLOOKUP(FME_Ranking1[[#This Row],[FME ID]],FME_Input[FME_ID],FME_Input[FME_NAME])</f>
        <v xml:space="preserve">Ave L at Whitman Creek Low Water Crossing_x000D_
</v>
      </c>
      <c r="D744" t="str">
        <f>_xlfn.XLOOKUP(FME_Ranking1[[#This Row],[FME ID]],FME_Input[FME_ID],FME_Input[DESCR])</f>
        <v>This crossing is regularly closed due to flooding.</v>
      </c>
      <c r="E744" s="256">
        <f>_xlfn.XLOOKUP(FME_Ranking1[[#This Row],[FME ID]],FME_Input[FME_ID],FME_Input[FME_COST])</f>
        <v>100000</v>
      </c>
      <c r="F744" t="str">
        <f>_xlfn.XLOOKUP(FME_Ranking1[[#This Row],[FME ID]],FME_Input[FME_ID],FME_Input[EMER_NEED])</f>
        <v>No</v>
      </c>
      <c r="G744">
        <f>IF(FME_Ranking!F744="Yes",100,0)</f>
        <v>0</v>
      </c>
      <c r="H744">
        <f>FME_Ranking1[[#This Row],[Emergency Need Score (Normalized, Unweighted)]]*$F$3</f>
        <v>0</v>
      </c>
      <c r="I744" s="246">
        <f>_xlfn.XLOOKUP(FME_Ranking1[[#This Row],[FME ID]],FME_Input[FME_ID],FME_Input[STRUCT_100])</f>
        <v>86</v>
      </c>
      <c r="J744" s="178">
        <f>(FME_Ranking1[[#This Row],[Structures 100 Raw]]/I$2)*100</f>
        <v>4.605234974082166E-2</v>
      </c>
      <c r="K744" s="178">
        <f>FME_Ranking1[[#This Row],[Structures 100  Score (Normalized, Unweighted)]]*$I$3</f>
        <v>6.9078524611232489E-3</v>
      </c>
      <c r="L744" s="246">
        <f>_xlfn.XLOOKUP(FME_Ranking1[[#This Row],[FME ID]],FME_Input[FME_ID],FME_Input[RES_STRUCT100])</f>
        <v>14</v>
      </c>
      <c r="M744" s="230">
        <f>(FME_Ranking1[[#This Row],[Res Structures Raw]]/L$2)*100</f>
        <v>9.9162782791007362E-3</v>
      </c>
      <c r="N744" s="180">
        <f>FME_Ranking1[[#This Row],[Res Structures Score (Normalized, Unweighted)]]*$L$3</f>
        <v>9.9162782791007375E-4</v>
      </c>
      <c r="O744" s="244">
        <f>_xlfn.XLOOKUP(FME_Ranking1[[#This Row],[FME ID]],FME_Input[FME_ID],FME_Input[POP100])</f>
        <v>724</v>
      </c>
      <c r="P744" s="178">
        <f>(FME_Ranking1[[#This Row],[Pop Raw]]/$O$2)*100</f>
        <v>7.4119725879864623E-2</v>
      </c>
      <c r="Q744" s="178">
        <f>FME_Ranking1[[#This Row],[Pop Score (Normalized, Unweighted)]]*$O$3</f>
        <v>1.1117958881979693E-2</v>
      </c>
      <c r="R744" s="137">
        <f>_xlfn.XLOOKUP(FME_Ranking1[[#This Row],[FME ID]],FME_Input[FME_ID],FME_Input[CRITFAC100])</f>
        <v>0</v>
      </c>
      <c r="S744" s="230">
        <f>(FME_Ranking1[[#This Row],[Critical Facilities Raw]]/$R$2)*100</f>
        <v>0</v>
      </c>
      <c r="T744" s="180">
        <f>FME_Ranking1[[#This Row],[Critical Facilities Score (Normalized, Unweighted)]]*$R$3</f>
        <v>0</v>
      </c>
      <c r="U744">
        <f>_xlfn.XLOOKUP(FME_Ranking1[[#This Row],[FME ID]],FME_Input[FME_ID],FME_Input[LWC])</f>
        <v>14</v>
      </c>
      <c r="V744" s="178">
        <f>(FME_Ranking1[[#This Row],[LWC Raw]]/$U$2)*100</f>
        <v>0.80598733448474369</v>
      </c>
      <c r="W744" s="178">
        <f>FME_Ranking1[[#This Row],[LWC Score (Normalized, Unweighted)]]*$U$3</f>
        <v>0.16119746689694875</v>
      </c>
      <c r="X744" s="246">
        <f>_xlfn.XLOOKUP(FME_Ranking1[[#This Row],[FME ID]],FME_Input[FME_ID],FME_Input[ROADCLS])</f>
        <v>0</v>
      </c>
      <c r="Y744" s="230">
        <f>(FME_Ranking1[[#This Row],[Closures Raw]]/$X$2)*100</f>
        <v>0</v>
      </c>
      <c r="Z744" s="180">
        <f>FME_Ranking1[[#This Row],[Closures Score (Normalized, Unweighted)]]*$X$3</f>
        <v>0</v>
      </c>
      <c r="AA744" s="253">
        <f>_xlfn.XLOOKUP(FME_Ranking1[[#This Row],[FME ID]],FME_Input[FME_ID],FME_Input[ROAD_MILES100])</f>
        <v>2.3940379619598389</v>
      </c>
      <c r="AB744" s="178">
        <f>(FME_Ranking1[[#This Row],[Miles Raw]]/$AA$2)*100</f>
        <v>3.1477305291105012E-2</v>
      </c>
      <c r="AC744" s="178">
        <f>FME_Ranking1[[#This Row],[Miles Score (Normalized, Unweighted)]]*$AA$3</f>
        <v>3.1477305291105016E-3</v>
      </c>
      <c r="AD744" s="255">
        <f>_xlfn.XLOOKUP(FME_Ranking1[[#This Row],[FME ID]],FME_Input[FME_ID],FME_Input[FARMACRE100])</f>
        <v>45.066783905029297</v>
      </c>
      <c r="AE744" s="230">
        <f>(FME_Ranking1[[#This Row],[Ag Land Raw]]/$AD$2)*100</f>
        <v>1.858352426618986E-3</v>
      </c>
      <c r="AF744" s="231">
        <f>FME_Ranking1[[#This Row],[Ag Land Score (Normalized, Unweighted)]]*$AD$3</f>
        <v>9.2917621330949302E-5</v>
      </c>
      <c r="AG74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0.18345555421840321</v>
      </c>
      <c r="AH744" s="406">
        <f t="shared" si="11"/>
        <v>839</v>
      </c>
      <c r="AI74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0.18345555421840321</v>
      </c>
      <c r="AJ744" s="257">
        <f>FME_Ranking1[[#This Row],[Addition check]]-FME_Ranking1[[#This Row],[Weighted Score Based on Normalized Reported Factors]]</f>
        <v>0</v>
      </c>
      <c r="AK744" s="178">
        <f>_xlfn.RANK.EQ(AI744,$AI$6:$AI$2341,0)+COUNTIF($AI$6:AI744,AI744)-1</f>
        <v>839</v>
      </c>
    </row>
    <row r="745" spans="1:37" x14ac:dyDescent="0.25">
      <c r="A745" t="s">
        <v>4159</v>
      </c>
      <c r="B745">
        <f>_xlfn.XLOOKUP(FME_Ranking1[[#This Row],[FME ID]],FME_Input[FME_ID],FME_Input[RFPG_NUM])</f>
        <v>3</v>
      </c>
      <c r="C745" t="str">
        <f>_xlfn.XLOOKUP(FME_Ranking1[[#This Row],[FME ID]],FME_Input[FME_ID],FME_Input[FME_NAME])</f>
        <v>City of Everman DMP</v>
      </c>
      <c r="D745" t="str">
        <f>_xlfn.XLOOKUP(FME_Ranking1[[#This Row],[FME ID]],FME_Input[FME_ID],FME_Input[DESCR])</f>
        <v>Evaluate City and identify future projects.</v>
      </c>
      <c r="E745" s="256">
        <f>_xlfn.XLOOKUP(FME_Ranking1[[#This Row],[FME ID]],FME_Input[FME_ID],FME_Input[FME_COST])</f>
        <v>250000</v>
      </c>
      <c r="F745" t="str">
        <f>_xlfn.XLOOKUP(FME_Ranking1[[#This Row],[FME ID]],FME_Input[FME_ID],FME_Input[EMER_NEED])</f>
        <v>No</v>
      </c>
      <c r="G745">
        <f>IF(FME_Ranking!F745="Yes",100,0)</f>
        <v>0</v>
      </c>
      <c r="H745">
        <f>FME_Ranking1[[#This Row],[Emergency Need Score (Normalized, Unweighted)]]*$F$3</f>
        <v>0</v>
      </c>
      <c r="I745" s="246">
        <f>_xlfn.XLOOKUP(FME_Ranking1[[#This Row],[FME ID]],FME_Input[FME_ID],FME_Input[STRUCT_100])</f>
        <v>272</v>
      </c>
      <c r="J745" s="178">
        <f>(FME_Ranking1[[#This Row],[Structures 100 Raw]]/I$2)*100</f>
        <v>0.14565394336631968</v>
      </c>
      <c r="K745" s="178">
        <f>FME_Ranking1[[#This Row],[Structures 100  Score (Normalized, Unweighted)]]*$I$3</f>
        <v>2.1848091504947952E-2</v>
      </c>
      <c r="L745" s="246">
        <f>_xlfn.XLOOKUP(FME_Ranking1[[#This Row],[FME ID]],FME_Input[FME_ID],FME_Input[RES_STRUCT100])</f>
        <v>225</v>
      </c>
      <c r="M745" s="230">
        <f>(FME_Ranking1[[#This Row],[Res Structures Raw]]/L$2)*100</f>
        <v>0.15936875805697609</v>
      </c>
      <c r="N745" s="180">
        <f>FME_Ranking1[[#This Row],[Res Structures Score (Normalized, Unweighted)]]*$L$3</f>
        <v>1.5936875805697609E-2</v>
      </c>
      <c r="O745" s="244">
        <f>_xlfn.XLOOKUP(FME_Ranking1[[#This Row],[FME ID]],FME_Input[FME_ID],FME_Input[POP100])</f>
        <v>1006</v>
      </c>
      <c r="P745" s="178">
        <f>(FME_Ranking1[[#This Row],[Pop Raw]]/$O$2)*100</f>
        <v>0.10298956386069587</v>
      </c>
      <c r="Q745" s="178">
        <f>FME_Ranking1[[#This Row],[Pop Score (Normalized, Unweighted)]]*$O$3</f>
        <v>1.544843457910438E-2</v>
      </c>
      <c r="R745" s="137">
        <f>_xlfn.XLOOKUP(FME_Ranking1[[#This Row],[FME ID]],FME_Input[FME_ID],FME_Input[CRITFAC100])</f>
        <v>4</v>
      </c>
      <c r="S745" s="230">
        <f>(FME_Ranking1[[#This Row],[Critical Facilities Raw]]/$R$2)*100</f>
        <v>0.17152658662092624</v>
      </c>
      <c r="T745" s="180">
        <f>FME_Ranking1[[#This Row],[Critical Facilities Score (Normalized, Unweighted)]]*$R$3</f>
        <v>3.430531732418525E-2</v>
      </c>
      <c r="U745">
        <f>_xlfn.XLOOKUP(FME_Ranking1[[#This Row],[FME ID]],FME_Input[FME_ID],FME_Input[LWC])</f>
        <v>8</v>
      </c>
      <c r="V745" s="178">
        <f>(FME_Ranking1[[#This Row],[LWC Raw]]/$U$2)*100</f>
        <v>0.46056419113413938</v>
      </c>
      <c r="W745" s="178">
        <f>FME_Ranking1[[#This Row],[LWC Score (Normalized, Unweighted)]]*$U$3</f>
        <v>9.2112838226827878E-2</v>
      </c>
      <c r="X745" s="246">
        <f>_xlfn.XLOOKUP(FME_Ranking1[[#This Row],[FME ID]],FME_Input[FME_ID],FME_Input[ROADCLS])</f>
        <v>0</v>
      </c>
      <c r="Y745" s="230">
        <f>(FME_Ranking1[[#This Row],[Closures Raw]]/$X$2)*100</f>
        <v>0</v>
      </c>
      <c r="Z745" s="180">
        <f>FME_Ranking1[[#This Row],[Closures Score (Normalized, Unweighted)]]*$X$3</f>
        <v>0</v>
      </c>
      <c r="AA745" s="253">
        <f>_xlfn.XLOOKUP(FME_Ranking1[[#This Row],[FME ID]],FME_Input[FME_ID],FME_Input[ROAD_MILES100])</f>
        <v>5.6888017654418954</v>
      </c>
      <c r="AB745" s="178">
        <f>(FME_Ranking1[[#This Row],[Miles Raw]]/$AA$2)*100</f>
        <v>7.4797539870587765E-2</v>
      </c>
      <c r="AC745" s="178">
        <f>FME_Ranking1[[#This Row],[Miles Score (Normalized, Unweighted)]]*$AA$3</f>
        <v>7.4797539870587772E-3</v>
      </c>
      <c r="AD745" s="255">
        <f>_xlfn.XLOOKUP(FME_Ranking1[[#This Row],[FME ID]],FME_Input[FME_ID],FME_Input[FARMACRE100])</f>
        <v>86.027656555175781</v>
      </c>
      <c r="AE745" s="230">
        <f>(FME_Ranking1[[#This Row],[Ag Land Raw]]/$AD$2)*100</f>
        <v>3.5473954532134855E-3</v>
      </c>
      <c r="AF745" s="231">
        <f>FME_Ranking1[[#This Row],[Ag Land Score (Normalized, Unweighted)]]*$AD$3</f>
        <v>1.7736977266067429E-4</v>
      </c>
      <c r="AG74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0.1873086812004825</v>
      </c>
      <c r="AH745" s="406">
        <f t="shared" si="11"/>
        <v>830</v>
      </c>
      <c r="AI74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0.1873086812004825</v>
      </c>
      <c r="AJ745" s="257">
        <f>FME_Ranking1[[#This Row],[Addition check]]-FME_Ranking1[[#This Row],[Weighted Score Based on Normalized Reported Factors]]</f>
        <v>0</v>
      </c>
      <c r="AK745" s="178">
        <f>_xlfn.RANK.EQ(AI745,$AI$6:$AI$2341,0)+COUNTIF($AI$6:AI745,AI745)-1</f>
        <v>830</v>
      </c>
    </row>
    <row r="746" spans="1:37" x14ac:dyDescent="0.25">
      <c r="A746" t="s">
        <v>187</v>
      </c>
      <c r="B746">
        <f>_xlfn.XLOOKUP(FME_Ranking1[[#This Row],[FME ID]],FME_Input[FME_ID],FME_Input[RFPG_NUM])</f>
        <v>10</v>
      </c>
      <c r="C746" t="str">
        <f>_xlfn.XLOOKUP(FME_Ranking1[[#This Row],[FME ID]],FME_Input[FME_ID],FME_Input[FME_NAME])</f>
        <v xml:space="preserve">Willis Creek Detention_x000D_
</v>
      </c>
      <c r="D746" t="str">
        <f>_xlfn.XLOOKUP(FME_Ranking1[[#This Row],[FME ID]],FME_Input[FME_ID],FME_Input[DESCR])</f>
        <v>Willis Creek Detention construction</v>
      </c>
      <c r="E746" s="256">
        <f>_xlfn.XLOOKUP(FME_Ranking1[[#This Row],[FME ID]],FME_Input[FME_ID],FME_Input[FME_COST])</f>
        <v>250000</v>
      </c>
      <c r="F746" t="str">
        <f>_xlfn.XLOOKUP(FME_Ranking1[[#This Row],[FME ID]],FME_Input[FME_ID],FME_Input[EMER_NEED])</f>
        <v>No</v>
      </c>
      <c r="G746">
        <f>IF(FME_Ranking!F746="Yes",100,0)</f>
        <v>0</v>
      </c>
      <c r="H746">
        <f>FME_Ranking1[[#This Row],[Emergency Need Score (Normalized, Unweighted)]]*$F$3</f>
        <v>0</v>
      </c>
      <c r="I746" s="246">
        <f>_xlfn.XLOOKUP(FME_Ranking1[[#This Row],[FME ID]],FME_Input[FME_ID],FME_Input[STRUCT_100])</f>
        <v>758</v>
      </c>
      <c r="J746" s="178">
        <f>(FME_Ranking1[[#This Row],[Structures 100 Raw]]/I$2)*100</f>
        <v>0.40590326864584669</v>
      </c>
      <c r="K746" s="178">
        <f>FME_Ranking1[[#This Row],[Structures 100  Score (Normalized, Unweighted)]]*$I$3</f>
        <v>6.0885490296877003E-2</v>
      </c>
      <c r="L746" s="246">
        <f>_xlfn.XLOOKUP(FME_Ranking1[[#This Row],[FME ID]],FME_Input[FME_ID],FME_Input[RES_STRUCT100])</f>
        <v>661</v>
      </c>
      <c r="M746" s="230">
        <f>(FME_Ranking1[[#This Row],[Res Structures Raw]]/L$2)*100</f>
        <v>0.46818999589182753</v>
      </c>
      <c r="N746" s="180">
        <f>FME_Ranking1[[#This Row],[Res Structures Score (Normalized, Unweighted)]]*$L$3</f>
        <v>4.6818999589182758E-2</v>
      </c>
      <c r="O746" s="244">
        <f>_xlfn.XLOOKUP(FME_Ranking1[[#This Row],[FME ID]],FME_Input[FME_ID],FME_Input[POP100])</f>
        <v>2415</v>
      </c>
      <c r="P746" s="178">
        <f>(FME_Ranking1[[#This Row],[Pop Raw]]/$O$2)*100</f>
        <v>0.24723637845286334</v>
      </c>
      <c r="Q746" s="178">
        <f>FME_Ranking1[[#This Row],[Pop Score (Normalized, Unweighted)]]*$O$3</f>
        <v>3.7085456767929501E-2</v>
      </c>
      <c r="R746" s="137">
        <f>_xlfn.XLOOKUP(FME_Ranking1[[#This Row],[FME ID]],FME_Input[FME_ID],FME_Input[CRITFAC100])</f>
        <v>1</v>
      </c>
      <c r="S746" s="230">
        <f>(FME_Ranking1[[#This Row],[Critical Facilities Raw]]/$R$2)*100</f>
        <v>4.2881646655231559E-2</v>
      </c>
      <c r="T746" s="180">
        <f>FME_Ranking1[[#This Row],[Critical Facilities Score (Normalized, Unweighted)]]*$R$3</f>
        <v>8.5763293310463125E-3</v>
      </c>
      <c r="U746">
        <f>_xlfn.XLOOKUP(FME_Ranking1[[#This Row],[FME ID]],FME_Input[FME_ID],FME_Input[LWC])</f>
        <v>2</v>
      </c>
      <c r="V746" s="178">
        <f>(FME_Ranking1[[#This Row],[LWC Raw]]/$U$2)*100</f>
        <v>0.11514104778353484</v>
      </c>
      <c r="W746" s="178">
        <f>FME_Ranking1[[#This Row],[LWC Score (Normalized, Unweighted)]]*$U$3</f>
        <v>2.302820955670697E-2</v>
      </c>
      <c r="X746" s="246">
        <f>_xlfn.XLOOKUP(FME_Ranking1[[#This Row],[FME ID]],FME_Input[FME_ID],FME_Input[ROADCLS])</f>
        <v>0</v>
      </c>
      <c r="Y746" s="230">
        <f>(FME_Ranking1[[#This Row],[Closures Raw]]/$X$2)*100</f>
        <v>0</v>
      </c>
      <c r="Z746" s="180">
        <f>FME_Ranking1[[#This Row],[Closures Score (Normalized, Unweighted)]]*$X$3</f>
        <v>0</v>
      </c>
      <c r="AA746" s="253">
        <f>_xlfn.XLOOKUP(FME_Ranking1[[#This Row],[FME ID]],FME_Input[FME_ID],FME_Input[ROAD_MILES100])</f>
        <v>14.132053375244141</v>
      </c>
      <c r="AB746" s="178">
        <f>(FME_Ranking1[[#This Row],[Miles Raw]]/$AA$2)*100</f>
        <v>0.18581115485678887</v>
      </c>
      <c r="AC746" s="178">
        <f>FME_Ranking1[[#This Row],[Miles Score (Normalized, Unweighted)]]*$AA$3</f>
        <v>1.8581115485678888E-2</v>
      </c>
      <c r="AD746" s="255">
        <f>_xlfn.XLOOKUP(FME_Ranking1[[#This Row],[FME ID]],FME_Input[FME_ID],FME_Input[FARMACRE100])</f>
        <v>1350.157958984375</v>
      </c>
      <c r="AE746" s="230">
        <f>(FME_Ranking1[[#This Row],[Ag Land Raw]]/$AD$2)*100</f>
        <v>5.56744702414309E-2</v>
      </c>
      <c r="AF746" s="231">
        <f>FME_Ranking1[[#This Row],[Ag Land Score (Normalized, Unweighted)]]*$AD$3</f>
        <v>2.783723512071545E-3</v>
      </c>
      <c r="AG74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0.19775932453949299</v>
      </c>
      <c r="AH746" s="406">
        <f t="shared" si="11"/>
        <v>802</v>
      </c>
      <c r="AI74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0.19775932453949299</v>
      </c>
      <c r="AJ746" s="257">
        <f>FME_Ranking1[[#This Row],[Addition check]]-FME_Ranking1[[#This Row],[Weighted Score Based on Normalized Reported Factors]]</f>
        <v>0</v>
      </c>
      <c r="AK746" s="178">
        <f>_xlfn.RANK.EQ(AI746,$AI$6:$AI$2341,0)+COUNTIF($AI$6:AI746,AI746)-1</f>
        <v>802</v>
      </c>
    </row>
    <row r="747" spans="1:37" x14ac:dyDescent="0.25">
      <c r="A747" t="s">
        <v>4660</v>
      </c>
      <c r="B747">
        <f>_xlfn.XLOOKUP(FME_Ranking1[[#This Row],[FME ID]],FME_Input[FME_ID],FME_Input[RFPG_NUM])</f>
        <v>3</v>
      </c>
      <c r="C747" t="str">
        <f>_xlfn.XLOOKUP(FME_Ranking1[[#This Row],[FME ID]],FME_Input[FME_ID],FME_Input[FME_NAME])</f>
        <v>Belt Line Rd (FM1382) at Cottonwood Creek</v>
      </c>
      <c r="D747" t="str">
        <f>_xlfn.XLOOKUP(FME_Ranking1[[#This Row],[FME ID]],FME_Input[FME_ID],FME_Input[DESCR])</f>
        <v>Study update - Channel Improvements; Estimated construction cost of $4,502,500</v>
      </c>
      <c r="E747" s="256">
        <f>_xlfn.XLOOKUP(FME_Ranking1[[#This Row],[FME ID]],FME_Input[FME_ID],FME_Input[FME_COST])</f>
        <v>250000</v>
      </c>
      <c r="F747" t="str">
        <f>_xlfn.XLOOKUP(FME_Ranking1[[#This Row],[FME ID]],FME_Input[FME_ID],FME_Input[EMER_NEED])</f>
        <v>No</v>
      </c>
      <c r="G747">
        <f>IF(FME_Ranking!F747="Yes",100,0)</f>
        <v>0</v>
      </c>
      <c r="H747">
        <f>FME_Ranking1[[#This Row],[Emergency Need Score (Normalized, Unweighted)]]*$F$3</f>
        <v>0</v>
      </c>
      <c r="I747" s="246">
        <f>_xlfn.XLOOKUP(FME_Ranking1[[#This Row],[FME ID]],FME_Input[FME_ID],FME_Input[STRUCT_100])</f>
        <v>122</v>
      </c>
      <c r="J747" s="178">
        <f>(FME_Ranking1[[#This Row],[Structures 100 Raw]]/I$2)*100</f>
        <v>6.5330077539305142E-2</v>
      </c>
      <c r="K747" s="178">
        <f>FME_Ranking1[[#This Row],[Structures 100  Score (Normalized, Unweighted)]]*$I$3</f>
        <v>9.7995116308957717E-3</v>
      </c>
      <c r="L747" s="246">
        <f>_xlfn.XLOOKUP(FME_Ranking1[[#This Row],[FME ID]],FME_Input[FME_ID],FME_Input[RES_STRUCT100])</f>
        <v>113</v>
      </c>
      <c r="M747" s="230">
        <f>(FME_Ranking1[[#This Row],[Res Structures Raw]]/L$2)*100</f>
        <v>8.0038531824170228E-2</v>
      </c>
      <c r="N747" s="180">
        <f>FME_Ranking1[[#This Row],[Res Structures Score (Normalized, Unweighted)]]*$L$3</f>
        <v>8.0038531824170225E-3</v>
      </c>
      <c r="O747" s="244">
        <f>_xlfn.XLOOKUP(FME_Ranking1[[#This Row],[FME ID]],FME_Input[FME_ID],FME_Input[POP100])</f>
        <v>890</v>
      </c>
      <c r="P747" s="178">
        <f>(FME_Ranking1[[#This Row],[Pop Raw]]/$O$2)*100</f>
        <v>9.1114027669999334E-2</v>
      </c>
      <c r="Q747" s="178">
        <f>FME_Ranking1[[#This Row],[Pop Score (Normalized, Unweighted)]]*$O$3</f>
        <v>1.36671041504999E-2</v>
      </c>
      <c r="R747" s="137">
        <f>_xlfn.XLOOKUP(FME_Ranking1[[#This Row],[FME ID]],FME_Input[FME_ID],FME_Input[CRITFAC100])</f>
        <v>1</v>
      </c>
      <c r="S747" s="230">
        <f>(FME_Ranking1[[#This Row],[Critical Facilities Raw]]/$R$2)*100</f>
        <v>4.2881646655231559E-2</v>
      </c>
      <c r="T747" s="180">
        <f>FME_Ranking1[[#This Row],[Critical Facilities Score (Normalized, Unweighted)]]*$R$3</f>
        <v>8.5763293310463125E-3</v>
      </c>
      <c r="U747">
        <f>_xlfn.XLOOKUP(FME_Ranking1[[#This Row],[FME ID]],FME_Input[FME_ID],FME_Input[LWC])</f>
        <v>12</v>
      </c>
      <c r="V747" s="178">
        <f>(FME_Ranking1[[#This Row],[LWC Raw]]/$U$2)*100</f>
        <v>0.69084628670120896</v>
      </c>
      <c r="W747" s="178">
        <f>FME_Ranking1[[#This Row],[LWC Score (Normalized, Unweighted)]]*$U$3</f>
        <v>0.1381692573402418</v>
      </c>
      <c r="X747" s="246">
        <f>_xlfn.XLOOKUP(FME_Ranking1[[#This Row],[FME ID]],FME_Input[FME_ID],FME_Input[ROADCLS])</f>
        <v>0</v>
      </c>
      <c r="Y747" s="230">
        <f>(FME_Ranking1[[#This Row],[Closures Raw]]/$X$2)*100</f>
        <v>0</v>
      </c>
      <c r="Z747" s="180">
        <f>FME_Ranking1[[#This Row],[Closures Score (Normalized, Unweighted)]]*$X$3</f>
        <v>0</v>
      </c>
      <c r="AA747" s="253">
        <f>_xlfn.XLOOKUP(FME_Ranking1[[#This Row],[FME ID]],FME_Input[FME_ID],FME_Input[ROAD_MILES100])</f>
        <v>5.9768939018249512</v>
      </c>
      <c r="AB747" s="178">
        <f>(FME_Ranking1[[#This Row],[Miles Raw]]/$AA$2)*100</f>
        <v>7.8585434746520494E-2</v>
      </c>
      <c r="AC747" s="178">
        <f>FME_Ranking1[[#This Row],[Miles Score (Normalized, Unweighted)]]*$AA$3</f>
        <v>7.8585434746520494E-3</v>
      </c>
      <c r="AD747" s="255">
        <f>_xlfn.XLOOKUP(FME_Ranking1[[#This Row],[FME ID]],FME_Input[FME_ID],FME_Input[FARMACRE100])</f>
        <v>32.31842041015625</v>
      </c>
      <c r="AE747" s="230">
        <f>(FME_Ranking1[[#This Row],[Ag Land Raw]]/$AD$2)*100</f>
        <v>1.3326669841866405E-3</v>
      </c>
      <c r="AF747" s="231">
        <f>FME_Ranking1[[#This Row],[Ag Land Score (Normalized, Unweighted)]]*$AD$3</f>
        <v>6.6633349209332035E-5</v>
      </c>
      <c r="AG74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0.18614123245896216</v>
      </c>
      <c r="AH747" s="406">
        <f t="shared" si="11"/>
        <v>834</v>
      </c>
      <c r="AI74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0.18614123245896216</v>
      </c>
      <c r="AJ747" s="257">
        <f>FME_Ranking1[[#This Row],[Addition check]]-FME_Ranking1[[#This Row],[Weighted Score Based on Normalized Reported Factors]]</f>
        <v>0</v>
      </c>
      <c r="AK747" s="178">
        <f>_xlfn.RANK.EQ(AI747,$AI$6:$AI$2341,0)+COUNTIF($AI$6:AI747,AI747)-1</f>
        <v>834</v>
      </c>
    </row>
    <row r="748" spans="1:37" x14ac:dyDescent="0.25">
      <c r="A748" t="s">
        <v>4999</v>
      </c>
      <c r="B748">
        <f>_xlfn.XLOOKUP(FME_Ranking1[[#This Row],[FME ID]],FME_Input[FME_ID],FME_Input[RFPG_NUM])</f>
        <v>3</v>
      </c>
      <c r="C748" t="str">
        <f>_xlfn.XLOOKUP(FME_Ranking1[[#This Row],[FME ID]],FME_Input[FME_ID],FME_Input[FME_NAME])</f>
        <v>3rd St at Cottonwood Creek and Cottonwood Creek from SW 3rd to FM 1382</v>
      </c>
      <c r="D748" t="str">
        <f>_xlfn.XLOOKUP(FME_Ranking1[[#This Row],[FME ID]],FME_Input[FME_ID],FME_Input[DESCR])</f>
        <v>Study update - Channel Improvements; Estimated construction cost of $12,733,000</v>
      </c>
      <c r="E748" s="256">
        <f>_xlfn.XLOOKUP(FME_Ranking1[[#This Row],[FME ID]],FME_Input[FME_ID],FME_Input[FME_COST])</f>
        <v>637000</v>
      </c>
      <c r="F748" t="str">
        <f>_xlfn.XLOOKUP(FME_Ranking1[[#This Row],[FME ID]],FME_Input[FME_ID],FME_Input[EMER_NEED])</f>
        <v>No</v>
      </c>
      <c r="G748">
        <f>IF(FME_Ranking!F748="Yes",100,0)</f>
        <v>0</v>
      </c>
      <c r="H748">
        <f>FME_Ranking1[[#This Row],[Emergency Need Score (Normalized, Unweighted)]]*$F$3</f>
        <v>0</v>
      </c>
      <c r="I748" s="246">
        <f>_xlfn.XLOOKUP(FME_Ranking1[[#This Row],[FME ID]],FME_Input[FME_ID],FME_Input[STRUCT_100])</f>
        <v>122</v>
      </c>
      <c r="J748" s="178">
        <f>(FME_Ranking1[[#This Row],[Structures 100 Raw]]/I$2)*100</f>
        <v>6.5330077539305142E-2</v>
      </c>
      <c r="K748" s="178">
        <f>FME_Ranking1[[#This Row],[Structures 100  Score (Normalized, Unweighted)]]*$I$3</f>
        <v>9.7995116308957717E-3</v>
      </c>
      <c r="L748" s="246">
        <f>_xlfn.XLOOKUP(FME_Ranking1[[#This Row],[FME ID]],FME_Input[FME_ID],FME_Input[RES_STRUCT100])</f>
        <v>113</v>
      </c>
      <c r="M748" s="230">
        <f>(FME_Ranking1[[#This Row],[Res Structures Raw]]/L$2)*100</f>
        <v>8.0038531824170228E-2</v>
      </c>
      <c r="N748" s="180">
        <f>FME_Ranking1[[#This Row],[Res Structures Score (Normalized, Unweighted)]]*$L$3</f>
        <v>8.0038531824170225E-3</v>
      </c>
      <c r="O748" s="244">
        <f>_xlfn.XLOOKUP(FME_Ranking1[[#This Row],[FME ID]],FME_Input[FME_ID],FME_Input[POP100])</f>
        <v>890</v>
      </c>
      <c r="P748" s="178">
        <f>(FME_Ranking1[[#This Row],[Pop Raw]]/$O$2)*100</f>
        <v>9.1114027669999334E-2</v>
      </c>
      <c r="Q748" s="178">
        <f>FME_Ranking1[[#This Row],[Pop Score (Normalized, Unweighted)]]*$O$3</f>
        <v>1.36671041504999E-2</v>
      </c>
      <c r="R748" s="137">
        <f>_xlfn.XLOOKUP(FME_Ranking1[[#This Row],[FME ID]],FME_Input[FME_ID],FME_Input[CRITFAC100])</f>
        <v>1</v>
      </c>
      <c r="S748" s="230">
        <f>(FME_Ranking1[[#This Row],[Critical Facilities Raw]]/$R$2)*100</f>
        <v>4.2881646655231559E-2</v>
      </c>
      <c r="T748" s="180">
        <f>FME_Ranking1[[#This Row],[Critical Facilities Score (Normalized, Unweighted)]]*$R$3</f>
        <v>8.5763293310463125E-3</v>
      </c>
      <c r="U748">
        <f>_xlfn.XLOOKUP(FME_Ranking1[[#This Row],[FME ID]],FME_Input[FME_ID],FME_Input[LWC])</f>
        <v>12</v>
      </c>
      <c r="V748" s="178">
        <f>(FME_Ranking1[[#This Row],[LWC Raw]]/$U$2)*100</f>
        <v>0.69084628670120896</v>
      </c>
      <c r="W748" s="178">
        <f>FME_Ranking1[[#This Row],[LWC Score (Normalized, Unweighted)]]*$U$3</f>
        <v>0.1381692573402418</v>
      </c>
      <c r="X748" s="246">
        <f>_xlfn.XLOOKUP(FME_Ranking1[[#This Row],[FME ID]],FME_Input[FME_ID],FME_Input[ROADCLS])</f>
        <v>0</v>
      </c>
      <c r="Y748" s="230">
        <f>(FME_Ranking1[[#This Row],[Closures Raw]]/$X$2)*100</f>
        <v>0</v>
      </c>
      <c r="Z748" s="180">
        <f>FME_Ranking1[[#This Row],[Closures Score (Normalized, Unweighted)]]*$X$3</f>
        <v>0</v>
      </c>
      <c r="AA748" s="253">
        <f>_xlfn.XLOOKUP(FME_Ranking1[[#This Row],[FME ID]],FME_Input[FME_ID],FME_Input[ROAD_MILES100])</f>
        <v>5.9768939018249512</v>
      </c>
      <c r="AB748" s="178">
        <f>(FME_Ranking1[[#This Row],[Miles Raw]]/$AA$2)*100</f>
        <v>7.8585434746520494E-2</v>
      </c>
      <c r="AC748" s="178">
        <f>FME_Ranking1[[#This Row],[Miles Score (Normalized, Unweighted)]]*$AA$3</f>
        <v>7.8585434746520494E-3</v>
      </c>
      <c r="AD748" s="255">
        <f>_xlfn.XLOOKUP(FME_Ranking1[[#This Row],[FME ID]],FME_Input[FME_ID],FME_Input[FARMACRE100])</f>
        <v>32.31842041015625</v>
      </c>
      <c r="AE748" s="230">
        <f>(FME_Ranking1[[#This Row],[Ag Land Raw]]/$AD$2)*100</f>
        <v>1.3326669841866405E-3</v>
      </c>
      <c r="AF748" s="231">
        <f>FME_Ranking1[[#This Row],[Ag Land Score (Normalized, Unweighted)]]*$AD$3</f>
        <v>6.6633349209332035E-5</v>
      </c>
      <c r="AG74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0.18614123245896216</v>
      </c>
      <c r="AH748" s="406">
        <f t="shared" si="11"/>
        <v>834</v>
      </c>
      <c r="AI74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0.18614123245896216</v>
      </c>
      <c r="AJ748" s="257">
        <f>FME_Ranking1[[#This Row],[Addition check]]-FME_Ranking1[[#This Row],[Weighted Score Based on Normalized Reported Factors]]</f>
        <v>0</v>
      </c>
      <c r="AK748" s="178">
        <f>_xlfn.RANK.EQ(AI748,$AI$6:$AI$2341,0)+COUNTIF($AI$6:AI748,AI748)-1</f>
        <v>835</v>
      </c>
    </row>
    <row r="749" spans="1:37" x14ac:dyDescent="0.25">
      <c r="A749" t="s">
        <v>5135</v>
      </c>
      <c r="B749">
        <f>_xlfn.XLOOKUP(FME_Ranking1[[#This Row],[FME ID]],FME_Input[FME_ID],FME_Input[RFPG_NUM])</f>
        <v>3</v>
      </c>
      <c r="C749" t="str">
        <f>_xlfn.XLOOKUP(FME_Ranking1[[#This Row],[FME ID]],FME_Input[FME_ID],FME_Input[FME_NAME])</f>
        <v>Rock Creek Watershed Study</v>
      </c>
      <c r="D749" t="str">
        <f>_xlfn.XLOOKUP(FME_Ranking1[[#This Row],[FME ID]],FME_Input[FME_ID],FME_Input[DESCR])</f>
        <v>Study to improve knowledge of flood risks and facilitate the analysis of proposed developments within or adjacent to the floodplain.</v>
      </c>
      <c r="E749" s="256">
        <f>_xlfn.XLOOKUP(FME_Ranking1[[#This Row],[FME ID]],FME_Input[FME_ID],FME_Input[FME_COST])</f>
        <v>100000</v>
      </c>
      <c r="F749" t="str">
        <f>_xlfn.XLOOKUP(FME_Ranking1[[#This Row],[FME ID]],FME_Input[FME_ID],FME_Input[EMER_NEED])</f>
        <v>No</v>
      </c>
      <c r="G749">
        <f>IF(FME_Ranking!F749="Yes",100,0)</f>
        <v>0</v>
      </c>
      <c r="H749">
        <f>FME_Ranking1[[#This Row],[Emergency Need Score (Normalized, Unweighted)]]*$F$3</f>
        <v>0</v>
      </c>
      <c r="I749" s="246">
        <f>_xlfn.XLOOKUP(FME_Ranking1[[#This Row],[FME ID]],FME_Input[FME_ID],FME_Input[STRUCT_100])</f>
        <v>88</v>
      </c>
      <c r="J749" s="178">
        <f>(FME_Ranking1[[#This Row],[Structures 100 Raw]]/I$2)*100</f>
        <v>4.7123334618515186E-2</v>
      </c>
      <c r="K749" s="178">
        <f>FME_Ranking1[[#This Row],[Structures 100  Score (Normalized, Unweighted)]]*$I$3</f>
        <v>7.0685001927772778E-3</v>
      </c>
      <c r="L749" s="246">
        <f>_xlfn.XLOOKUP(FME_Ranking1[[#This Row],[FME ID]],FME_Input[FME_ID],FME_Input[RES_STRUCT100])</f>
        <v>73</v>
      </c>
      <c r="M749" s="230">
        <f>(FME_Ranking1[[#This Row],[Res Structures Raw]]/L$2)*100</f>
        <v>5.1706308169596697E-2</v>
      </c>
      <c r="N749" s="180">
        <f>FME_Ranking1[[#This Row],[Res Structures Score (Normalized, Unweighted)]]*$L$3</f>
        <v>5.1706308169596699E-3</v>
      </c>
      <c r="O749" s="244">
        <f>_xlfn.XLOOKUP(FME_Ranking1[[#This Row],[FME ID]],FME_Input[FME_ID],FME_Input[POP100])</f>
        <v>226</v>
      </c>
      <c r="P749" s="178">
        <f>(FME_Ranking1[[#This Row],[Pop Raw]]/$O$2)*100</f>
        <v>2.3136820509460504E-2</v>
      </c>
      <c r="Q749" s="178">
        <f>FME_Ranking1[[#This Row],[Pop Score (Normalized, Unweighted)]]*$O$3</f>
        <v>3.4705230764190756E-3</v>
      </c>
      <c r="R749" s="137">
        <f>_xlfn.XLOOKUP(FME_Ranking1[[#This Row],[FME ID]],FME_Input[FME_ID],FME_Input[CRITFAC100])</f>
        <v>0</v>
      </c>
      <c r="S749" s="230">
        <f>(FME_Ranking1[[#This Row],[Critical Facilities Raw]]/$R$2)*100</f>
        <v>0</v>
      </c>
      <c r="T749" s="180">
        <f>FME_Ranking1[[#This Row],[Critical Facilities Score (Normalized, Unweighted)]]*$R$3</f>
        <v>0</v>
      </c>
      <c r="U749">
        <f>_xlfn.XLOOKUP(FME_Ranking1[[#This Row],[FME ID]],FME_Input[FME_ID],FME_Input[LWC])</f>
        <v>14</v>
      </c>
      <c r="V749" s="178">
        <f>(FME_Ranking1[[#This Row],[LWC Raw]]/$U$2)*100</f>
        <v>0.80598733448474369</v>
      </c>
      <c r="W749" s="178">
        <f>FME_Ranking1[[#This Row],[LWC Score (Normalized, Unweighted)]]*$U$3</f>
        <v>0.16119746689694875</v>
      </c>
      <c r="X749" s="246">
        <f>_xlfn.XLOOKUP(FME_Ranking1[[#This Row],[FME ID]],FME_Input[FME_ID],FME_Input[ROADCLS])</f>
        <v>0</v>
      </c>
      <c r="Y749" s="230">
        <f>(FME_Ranking1[[#This Row],[Closures Raw]]/$X$2)*100</f>
        <v>0</v>
      </c>
      <c r="Z749" s="180">
        <f>FME_Ranking1[[#This Row],[Closures Score (Normalized, Unweighted)]]*$X$3</f>
        <v>0</v>
      </c>
      <c r="AA749" s="253">
        <f>_xlfn.XLOOKUP(FME_Ranking1[[#This Row],[FME ID]],FME_Input[FME_ID],FME_Input[ROAD_MILES100])</f>
        <v>3.1670610904693599</v>
      </c>
      <c r="AB749" s="178">
        <f>(FME_Ranking1[[#This Row],[Miles Raw]]/$AA$2)*100</f>
        <v>4.1641172948934366E-2</v>
      </c>
      <c r="AC749" s="178">
        <f>FME_Ranking1[[#This Row],[Miles Score (Normalized, Unweighted)]]*$AA$3</f>
        <v>4.1641172948934371E-3</v>
      </c>
      <c r="AD749" s="255">
        <f>_xlfn.XLOOKUP(FME_Ranking1[[#This Row],[FME ID]],FME_Input[FME_ID],FME_Input[FARMACRE100])</f>
        <v>636.59259033203125</v>
      </c>
      <c r="AE749" s="230">
        <f>(FME_Ranking1[[#This Row],[Ag Land Raw]]/$AD$2)*100</f>
        <v>2.6250228716213676E-2</v>
      </c>
      <c r="AF749" s="231">
        <f>FME_Ranking1[[#This Row],[Ag Land Score (Normalized, Unweighted)]]*$AD$3</f>
        <v>1.3125114358106839E-3</v>
      </c>
      <c r="AG74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0.18238374971380888</v>
      </c>
      <c r="AH749" s="406">
        <f t="shared" si="11"/>
        <v>840</v>
      </c>
      <c r="AI74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0.18238374971380888</v>
      </c>
      <c r="AJ749" s="257">
        <f>FME_Ranking1[[#This Row],[Addition check]]-FME_Ranking1[[#This Row],[Weighted Score Based on Normalized Reported Factors]]</f>
        <v>0</v>
      </c>
      <c r="AK749" s="178">
        <f>_xlfn.RANK.EQ(AI749,$AI$6:$AI$2341,0)+COUNTIF($AI$6:AI749,AI749)-1</f>
        <v>840</v>
      </c>
    </row>
    <row r="750" spans="1:37" x14ac:dyDescent="0.25">
      <c r="A750" t="s">
        <v>10857</v>
      </c>
      <c r="B750">
        <f>_xlfn.XLOOKUP(FME_Ranking1[[#This Row],[FME ID]],FME_Input[FME_ID],FME_Input[RFPG_NUM])</f>
        <v>13</v>
      </c>
      <c r="C750" t="str">
        <f>_xlfn.XLOOKUP(FME_Ranking1[[#This Row],[FME ID]],FME_Input[FME_ID],FME_Input[FME_NAME])</f>
        <v>COASTAL BEND MITIGATION ACTION PLAN - NU - 64</v>
      </c>
      <c r="D750" t="str">
        <f>_xlfn.XLOOKUP(FME_Ranking1[[#This Row],[FME ID]],FME_Input[FME_ID],FME_Input[DESCR])</f>
        <v>To improve drainage throughout the City of Agua Dulce, it is necessary to properly assess the community drainage needs and establish a local prioritization plan to serve as a guide to successful flood mitigation.</v>
      </c>
      <c r="E750" s="256">
        <f>_xlfn.XLOOKUP(FME_Ranking1[[#This Row],[FME ID]],FME_Input[FME_ID],FME_Input[FME_COST])</f>
        <v>250000</v>
      </c>
      <c r="F750" t="str">
        <f>_xlfn.XLOOKUP(FME_Ranking1[[#This Row],[FME ID]],FME_Input[FME_ID],FME_Input[EMER_NEED])</f>
        <v>Yes</v>
      </c>
      <c r="G750">
        <f>IF(FME_Ranking!F750="Yes",100,0)</f>
        <v>100</v>
      </c>
      <c r="H750">
        <f>FME_Ranking1[[#This Row],[Emergency Need Score (Normalized, Unweighted)]]*$F$3</f>
        <v>0</v>
      </c>
      <c r="I750" s="246">
        <f>_xlfn.XLOOKUP(FME_Ranking1[[#This Row],[FME ID]],FME_Input[FME_ID],FME_Input[STRUCT_100])</f>
        <v>213</v>
      </c>
      <c r="J750" s="178">
        <f>(FME_Ranking1[[#This Row],[Structures 100 Raw]]/I$2)*100</f>
        <v>0.11405988947436063</v>
      </c>
      <c r="K750" s="178">
        <f>FME_Ranking1[[#This Row],[Structures 100  Score (Normalized, Unweighted)]]*$I$3</f>
        <v>1.7108983421154095E-2</v>
      </c>
      <c r="L750" s="246">
        <f>_xlfn.XLOOKUP(FME_Ranking1[[#This Row],[FME ID]],FME_Input[FME_ID],FME_Input[RES_STRUCT100])</f>
        <v>177</v>
      </c>
      <c r="M750" s="230">
        <f>(FME_Ranking1[[#This Row],[Res Structures Raw]]/L$2)*100</f>
        <v>0.12537008967148788</v>
      </c>
      <c r="N750" s="180">
        <f>FME_Ranking1[[#This Row],[Res Structures Score (Normalized, Unweighted)]]*$L$3</f>
        <v>1.2537008967148789E-2</v>
      </c>
      <c r="O750" s="244">
        <f>_xlfn.XLOOKUP(FME_Ranking1[[#This Row],[FME ID]],FME_Input[FME_ID],FME_Input[POP100])</f>
        <v>407</v>
      </c>
      <c r="P750" s="178">
        <f>(FME_Ranking1[[#This Row],[Pop Raw]]/$O$2)*100</f>
        <v>4.1666751979426653E-2</v>
      </c>
      <c r="Q750" s="178">
        <f>FME_Ranking1[[#This Row],[Pop Score (Normalized, Unweighted)]]*$O$3</f>
        <v>6.2500127969139976E-3</v>
      </c>
      <c r="R750" s="137">
        <f>_xlfn.XLOOKUP(FME_Ranking1[[#This Row],[FME ID]],FME_Input[FME_ID],FME_Input[CRITFAC100])</f>
        <v>15</v>
      </c>
      <c r="S750" s="230">
        <f>(FME_Ranking1[[#This Row],[Critical Facilities Raw]]/$R$2)*100</f>
        <v>0.64322469982847341</v>
      </c>
      <c r="T750" s="180">
        <f>FME_Ranking1[[#This Row],[Critical Facilities Score (Normalized, Unweighted)]]*$R$3</f>
        <v>0.12864493996569468</v>
      </c>
      <c r="U750">
        <f>_xlfn.XLOOKUP(FME_Ranking1[[#This Row],[FME ID]],FME_Input[FME_ID],FME_Input[LWC])</f>
        <v>0</v>
      </c>
      <c r="V750" s="178">
        <f>(FME_Ranking1[[#This Row],[LWC Raw]]/$U$2)*100</f>
        <v>0</v>
      </c>
      <c r="W750" s="178">
        <f>FME_Ranking1[[#This Row],[LWC Score (Normalized, Unweighted)]]*$U$3</f>
        <v>0</v>
      </c>
      <c r="X750" s="246">
        <f>_xlfn.XLOOKUP(FME_Ranking1[[#This Row],[FME ID]],FME_Input[FME_ID],FME_Input[ROADCLS])</f>
        <v>26</v>
      </c>
      <c r="Y750" s="230">
        <f>(FME_Ranking1[[#This Row],[Closures Raw]]/$X$2)*100</f>
        <v>0.27336767952896646</v>
      </c>
      <c r="Z750" s="180">
        <f>FME_Ranking1[[#This Row],[Closures Score (Normalized, Unweighted)]]*$X$3</f>
        <v>1.3668383976448324E-2</v>
      </c>
      <c r="AA750" s="253">
        <f>_xlfn.XLOOKUP(FME_Ranking1[[#This Row],[FME ID]],FME_Input[FME_ID],FME_Input[ROAD_MILES100])</f>
        <v>7.302342414855957</v>
      </c>
      <c r="AB750" s="178">
        <f>(FME_Ranking1[[#This Row],[Miles Raw]]/$AA$2)*100</f>
        <v>9.6012705389365072E-2</v>
      </c>
      <c r="AC750" s="178">
        <f>FME_Ranking1[[#This Row],[Miles Score (Normalized, Unweighted)]]*$AA$3</f>
        <v>9.6012705389365086E-3</v>
      </c>
      <c r="AD750" s="255">
        <f>_xlfn.XLOOKUP(FME_Ranking1[[#This Row],[FME ID]],FME_Input[FME_ID],FME_Input[FARMACRE100])</f>
        <v>1.085465669631958</v>
      </c>
      <c r="AE750" s="230">
        <f>(FME_Ranking1[[#This Row],[Ag Land Raw]]/$AD$2)*100</f>
        <v>4.4759745124547075E-5</v>
      </c>
      <c r="AF750" s="231">
        <f>FME_Ranking1[[#This Row],[Ag Land Score (Normalized, Unweighted)]]*$AD$3</f>
        <v>2.2379872562273537E-6</v>
      </c>
      <c r="AG75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0.18781283765355261</v>
      </c>
      <c r="AH750" s="406">
        <f t="shared" si="11"/>
        <v>827</v>
      </c>
      <c r="AI75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0.18781283765355261</v>
      </c>
      <c r="AJ750" s="257">
        <f>FME_Ranking1[[#This Row],[Addition check]]-FME_Ranking1[[#This Row],[Weighted Score Based on Normalized Reported Factors]]</f>
        <v>0</v>
      </c>
      <c r="AK750" s="178">
        <f>_xlfn.RANK.EQ(AI750,$AI$6:$AI$2341,0)+COUNTIF($AI$6:AI750,AI750)-1</f>
        <v>827</v>
      </c>
    </row>
    <row r="751" spans="1:37" x14ac:dyDescent="0.25">
      <c r="A751" t="s">
        <v>1195</v>
      </c>
      <c r="B751">
        <f>_xlfn.XLOOKUP(FME_Ranking1[[#This Row],[FME ID]],FME_Input[FME_ID],FME_Input[RFPG_NUM])</f>
        <v>6</v>
      </c>
      <c r="C751" t="str">
        <f>_xlfn.XLOOKUP(FME_Ranking1[[#This Row],[FME ID]],FME_Input[FME_ID],FME_Input[FME_NAME])</f>
        <v>Corp of Engineers study of the Galveston County Water Reservoir Dam and Levee system</v>
      </c>
      <c r="D751" t="str">
        <f>_xlfn.XLOOKUP(FME_Ranking1[[#This Row],[FME ID]],FME_Input[FME_ID],FME_Input[DESCR])</f>
        <v>Review findings of potential breach to dam/levee system and develop/implement mitigation actions as applicable.</v>
      </c>
      <c r="E751" s="256">
        <f>_xlfn.XLOOKUP(FME_Ranking1[[#This Row],[FME ID]],FME_Input[FME_ID],FME_Input[FME_COST])</f>
        <v>140000</v>
      </c>
      <c r="F751" t="str">
        <f>_xlfn.XLOOKUP(FME_Ranking1[[#This Row],[FME ID]],FME_Input[FME_ID],FME_Input[EMER_NEED])</f>
        <v>No</v>
      </c>
      <c r="G751">
        <f>IF(FME_Ranking!F751="Yes",100,0)</f>
        <v>0</v>
      </c>
      <c r="H751">
        <f>FME_Ranking1[[#This Row],[Emergency Need Score (Normalized, Unweighted)]]*$F$3</f>
        <v>0</v>
      </c>
      <c r="I751" s="246">
        <f>_xlfn.XLOOKUP(FME_Ranking1[[#This Row],[FME ID]],FME_Input[FME_ID],FME_Input[STRUCT_100])</f>
        <v>633</v>
      </c>
      <c r="J751" s="178">
        <f>(FME_Ranking1[[#This Row],[Structures 100 Raw]]/I$2)*100</f>
        <v>0.33896671379000126</v>
      </c>
      <c r="K751" s="178">
        <f>FME_Ranking1[[#This Row],[Structures 100  Score (Normalized, Unweighted)]]*$I$3</f>
        <v>5.0845007068500189E-2</v>
      </c>
      <c r="L751" s="246">
        <f>_xlfn.XLOOKUP(FME_Ranking1[[#This Row],[FME ID]],FME_Input[FME_ID],FME_Input[RES_STRUCT100])</f>
        <v>529</v>
      </c>
      <c r="M751" s="230">
        <f>(FME_Ranking1[[#This Row],[Res Structures Raw]]/L$2)*100</f>
        <v>0.37469365783173492</v>
      </c>
      <c r="N751" s="180">
        <f>FME_Ranking1[[#This Row],[Res Structures Score (Normalized, Unweighted)]]*$L$3</f>
        <v>3.7469365783173496E-2</v>
      </c>
      <c r="O751" s="244">
        <f>_xlfn.XLOOKUP(FME_Ranking1[[#This Row],[FME ID]],FME_Input[FME_ID],FME_Input[POP100])</f>
        <v>3407</v>
      </c>
      <c r="P751" s="178">
        <f>(FME_Ranking1[[#This Row],[Pop Raw]]/$O$2)*100</f>
        <v>0.3487926879457165</v>
      </c>
      <c r="Q751" s="178">
        <f>FME_Ranking1[[#This Row],[Pop Score (Normalized, Unweighted)]]*$O$3</f>
        <v>5.2318903191857474E-2</v>
      </c>
      <c r="R751" s="137">
        <f>_xlfn.XLOOKUP(FME_Ranking1[[#This Row],[FME ID]],FME_Input[FME_ID],FME_Input[CRITFAC100])</f>
        <v>4</v>
      </c>
      <c r="S751" s="230">
        <f>(FME_Ranking1[[#This Row],[Critical Facilities Raw]]/$R$2)*100</f>
        <v>0.17152658662092624</v>
      </c>
      <c r="T751" s="180">
        <f>FME_Ranking1[[#This Row],[Critical Facilities Score (Normalized, Unweighted)]]*$R$3</f>
        <v>3.430531732418525E-2</v>
      </c>
      <c r="U751">
        <f>_xlfn.XLOOKUP(FME_Ranking1[[#This Row],[FME ID]],FME_Input[FME_ID],FME_Input[LWC])</f>
        <v>0</v>
      </c>
      <c r="V751" s="178">
        <f>(FME_Ranking1[[#This Row],[LWC Raw]]/$U$2)*100</f>
        <v>0</v>
      </c>
      <c r="W751" s="178">
        <f>FME_Ranking1[[#This Row],[LWC Score (Normalized, Unweighted)]]*$U$3</f>
        <v>0</v>
      </c>
      <c r="X751" s="246">
        <f>_xlfn.XLOOKUP(FME_Ranking1[[#This Row],[FME ID]],FME_Input[FME_ID],FME_Input[ROADCLS])</f>
        <v>0</v>
      </c>
      <c r="Y751" s="230">
        <f>(FME_Ranking1[[#This Row],[Closures Raw]]/$X$2)*100</f>
        <v>0</v>
      </c>
      <c r="Z751" s="180">
        <f>FME_Ranking1[[#This Row],[Closures Score (Normalized, Unweighted)]]*$X$3</f>
        <v>0</v>
      </c>
      <c r="AA751" s="253">
        <f>_xlfn.XLOOKUP(FME_Ranking1[[#This Row],[FME ID]],FME_Input[FME_ID],FME_Input[ROAD_MILES100])</f>
        <v>8.820770263671875</v>
      </c>
      <c r="AB751" s="178">
        <f>(FME_Ranking1[[#This Row],[Miles Raw]]/$AA$2)*100</f>
        <v>0.11597730817309332</v>
      </c>
      <c r="AC751" s="178">
        <f>FME_Ranking1[[#This Row],[Miles Score (Normalized, Unweighted)]]*$AA$3</f>
        <v>1.1597730817309332E-2</v>
      </c>
      <c r="AD751" s="255">
        <f>_xlfn.XLOOKUP(FME_Ranking1[[#This Row],[FME ID]],FME_Input[FME_ID],FME_Input[FARMACRE100])</f>
        <v>0</v>
      </c>
      <c r="AE751" s="230">
        <f>(FME_Ranking1[[#This Row],[Ag Land Raw]]/$AD$2)*100</f>
        <v>0</v>
      </c>
      <c r="AF751" s="231">
        <f>FME_Ranking1[[#This Row],[Ag Land Score (Normalized, Unweighted)]]*$AD$3</f>
        <v>0</v>
      </c>
      <c r="AG75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0.18653632418502572</v>
      </c>
      <c r="AH751" s="406">
        <f t="shared" si="11"/>
        <v>831</v>
      </c>
      <c r="AI75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0.18653632418502572</v>
      </c>
      <c r="AJ751" s="257">
        <f>FME_Ranking1[[#This Row],[Addition check]]-FME_Ranking1[[#This Row],[Weighted Score Based on Normalized Reported Factors]]</f>
        <v>0</v>
      </c>
      <c r="AK751" s="178">
        <f>_xlfn.RANK.EQ(AI751,$AI$6:$AI$2341,0)+COUNTIF($AI$6:AI751,AI751)-1</f>
        <v>831</v>
      </c>
    </row>
    <row r="752" spans="1:37" x14ac:dyDescent="0.25">
      <c r="A752" t="s">
        <v>1532</v>
      </c>
      <c r="B752">
        <f>_xlfn.XLOOKUP(FME_Ranking1[[#This Row],[FME ID]],FME_Input[FME_ID],FME_Input[RFPG_NUM])</f>
        <v>6</v>
      </c>
      <c r="C752" t="str">
        <f>_xlfn.XLOOKUP(FME_Ranking1[[#This Row],[FME ID]],FME_Input[FME_ID],FME_Input[FME_NAME])</f>
        <v>City of Clear Lake Shores  Master Drainage Plan</v>
      </c>
      <c r="D752" t="str">
        <f>_xlfn.XLOOKUP(FME_Ranking1[[#This Row],[FME ID]],FME_Input[FME_ID],FME_Input[DESCR])</f>
        <v>Study to develop Master Drainage Plan using future and existing land use and flood/storm water drainage needs including Atlas 14 rainfall</v>
      </c>
      <c r="E752" s="256">
        <f>_xlfn.XLOOKUP(FME_Ranking1[[#This Row],[FME ID]],FME_Input[FME_ID],FME_Input[FME_COST])</f>
        <v>140000</v>
      </c>
      <c r="F752" t="str">
        <f>_xlfn.XLOOKUP(FME_Ranking1[[#This Row],[FME ID]],FME_Input[FME_ID],FME_Input[EMER_NEED])</f>
        <v>Yes</v>
      </c>
      <c r="G752">
        <f>IF(FME_Ranking!F752="Yes",100,0)</f>
        <v>100</v>
      </c>
      <c r="H752">
        <f>FME_Ranking1[[#This Row],[Emergency Need Score (Normalized, Unweighted)]]*$F$3</f>
        <v>0</v>
      </c>
      <c r="I752" s="246">
        <f>_xlfn.XLOOKUP(FME_Ranking1[[#This Row],[FME ID]],FME_Input[FME_ID],FME_Input[STRUCT_100])</f>
        <v>633</v>
      </c>
      <c r="J752" s="178">
        <f>(FME_Ranking1[[#This Row],[Structures 100 Raw]]/I$2)*100</f>
        <v>0.33896671379000126</v>
      </c>
      <c r="K752" s="178">
        <f>FME_Ranking1[[#This Row],[Structures 100  Score (Normalized, Unweighted)]]*$I$3</f>
        <v>5.0845007068500189E-2</v>
      </c>
      <c r="L752" s="246">
        <f>_xlfn.XLOOKUP(FME_Ranking1[[#This Row],[FME ID]],FME_Input[FME_ID],FME_Input[RES_STRUCT100])</f>
        <v>529</v>
      </c>
      <c r="M752" s="230">
        <f>(FME_Ranking1[[#This Row],[Res Structures Raw]]/L$2)*100</f>
        <v>0.37469365783173492</v>
      </c>
      <c r="N752" s="180">
        <f>FME_Ranking1[[#This Row],[Res Structures Score (Normalized, Unweighted)]]*$L$3</f>
        <v>3.7469365783173496E-2</v>
      </c>
      <c r="O752" s="244">
        <f>_xlfn.XLOOKUP(FME_Ranking1[[#This Row],[FME ID]],FME_Input[FME_ID],FME_Input[POP100])</f>
        <v>3407</v>
      </c>
      <c r="P752" s="178">
        <f>(FME_Ranking1[[#This Row],[Pop Raw]]/$O$2)*100</f>
        <v>0.3487926879457165</v>
      </c>
      <c r="Q752" s="178">
        <f>FME_Ranking1[[#This Row],[Pop Score (Normalized, Unweighted)]]*$O$3</f>
        <v>5.2318903191857474E-2</v>
      </c>
      <c r="R752" s="137">
        <f>_xlfn.XLOOKUP(FME_Ranking1[[#This Row],[FME ID]],FME_Input[FME_ID],FME_Input[CRITFAC100])</f>
        <v>4</v>
      </c>
      <c r="S752" s="230">
        <f>(FME_Ranking1[[#This Row],[Critical Facilities Raw]]/$R$2)*100</f>
        <v>0.17152658662092624</v>
      </c>
      <c r="T752" s="180">
        <f>FME_Ranking1[[#This Row],[Critical Facilities Score (Normalized, Unweighted)]]*$R$3</f>
        <v>3.430531732418525E-2</v>
      </c>
      <c r="U752">
        <f>_xlfn.XLOOKUP(FME_Ranking1[[#This Row],[FME ID]],FME_Input[FME_ID],FME_Input[LWC])</f>
        <v>0</v>
      </c>
      <c r="V752" s="178">
        <f>(FME_Ranking1[[#This Row],[LWC Raw]]/$U$2)*100</f>
        <v>0</v>
      </c>
      <c r="W752" s="178">
        <f>FME_Ranking1[[#This Row],[LWC Score (Normalized, Unweighted)]]*$U$3</f>
        <v>0</v>
      </c>
      <c r="X752" s="246">
        <f>_xlfn.XLOOKUP(FME_Ranking1[[#This Row],[FME ID]],FME_Input[FME_ID],FME_Input[ROADCLS])</f>
        <v>0</v>
      </c>
      <c r="Y752" s="230">
        <f>(FME_Ranking1[[#This Row],[Closures Raw]]/$X$2)*100</f>
        <v>0</v>
      </c>
      <c r="Z752" s="180">
        <f>FME_Ranking1[[#This Row],[Closures Score (Normalized, Unweighted)]]*$X$3</f>
        <v>0</v>
      </c>
      <c r="AA752" s="253">
        <f>_xlfn.XLOOKUP(FME_Ranking1[[#This Row],[FME ID]],FME_Input[FME_ID],FME_Input[ROAD_MILES100])</f>
        <v>8.820770263671875</v>
      </c>
      <c r="AB752" s="178">
        <f>(FME_Ranking1[[#This Row],[Miles Raw]]/$AA$2)*100</f>
        <v>0.11597730817309332</v>
      </c>
      <c r="AC752" s="178">
        <f>FME_Ranking1[[#This Row],[Miles Score (Normalized, Unweighted)]]*$AA$3</f>
        <v>1.1597730817309332E-2</v>
      </c>
      <c r="AD752" s="255">
        <f>_xlfn.XLOOKUP(FME_Ranking1[[#This Row],[FME ID]],FME_Input[FME_ID],FME_Input[FARMACRE100])</f>
        <v>0</v>
      </c>
      <c r="AE752" s="230">
        <f>(FME_Ranking1[[#This Row],[Ag Land Raw]]/$AD$2)*100</f>
        <v>0</v>
      </c>
      <c r="AF752" s="231">
        <f>FME_Ranking1[[#This Row],[Ag Land Score (Normalized, Unweighted)]]*$AD$3</f>
        <v>0</v>
      </c>
      <c r="AG75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0.18653632418502572</v>
      </c>
      <c r="AH752" s="406">
        <f t="shared" si="11"/>
        <v>831</v>
      </c>
      <c r="AI75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0.18653632418502572</v>
      </c>
      <c r="AJ752" s="257">
        <f>FME_Ranking1[[#This Row],[Addition check]]-FME_Ranking1[[#This Row],[Weighted Score Based on Normalized Reported Factors]]</f>
        <v>0</v>
      </c>
      <c r="AK752" s="178">
        <f>_xlfn.RANK.EQ(AI752,$AI$6:$AI$2341,0)+COUNTIF($AI$6:AI752,AI752)-1</f>
        <v>832</v>
      </c>
    </row>
    <row r="753" spans="1:37" x14ac:dyDescent="0.25">
      <c r="A753" t="s">
        <v>1169</v>
      </c>
      <c r="B753">
        <f>_xlfn.XLOOKUP(FME_Ranking1[[#This Row],[FME ID]],FME_Input[FME_ID],FME_Input[RFPG_NUM])</f>
        <v>6</v>
      </c>
      <c r="C753" t="str">
        <f>_xlfn.XLOOKUP(FME_Ranking1[[#This Row],[FME ID]],FME_Input[FME_ID],FME_Input[FME_NAME])</f>
        <v>Widen Drainage Systems and Culverts in City of Clear Lake Shores</v>
      </c>
      <c r="D753" t="str">
        <f>_xlfn.XLOOKUP(FME_Ranking1[[#This Row],[FME ID]],FME_Input[FME_ID],FME_Input[DESCR])</f>
        <v>Further study to widen drainage systems and increase culvert size to accommodate increased water flows. Coordinate efforts with water district.</v>
      </c>
      <c r="E753" s="256">
        <f>_xlfn.XLOOKUP(FME_Ranking1[[#This Row],[FME ID]],FME_Input[FME_ID],FME_Input[FME_COST])</f>
        <v>100000</v>
      </c>
      <c r="F753" t="str">
        <f>_xlfn.XLOOKUP(FME_Ranking1[[#This Row],[FME ID]],FME_Input[FME_ID],FME_Input[EMER_NEED])</f>
        <v>No</v>
      </c>
      <c r="G753">
        <f>IF(FME_Ranking!F753="Yes",100,0)</f>
        <v>0</v>
      </c>
      <c r="H753">
        <f>FME_Ranking1[[#This Row],[Emergency Need Score (Normalized, Unweighted)]]*$F$3</f>
        <v>0</v>
      </c>
      <c r="I753" s="246">
        <f>_xlfn.XLOOKUP(FME_Ranking1[[#This Row],[FME ID]],FME_Input[FME_ID],FME_Input[STRUCT_100])</f>
        <v>633</v>
      </c>
      <c r="J753" s="178">
        <f>(FME_Ranking1[[#This Row],[Structures 100 Raw]]/I$2)*100</f>
        <v>0.33896671379000126</v>
      </c>
      <c r="K753" s="178">
        <f>FME_Ranking1[[#This Row],[Structures 100  Score (Normalized, Unweighted)]]*$I$3</f>
        <v>5.0845007068500189E-2</v>
      </c>
      <c r="L753" s="246">
        <f>_xlfn.XLOOKUP(FME_Ranking1[[#This Row],[FME ID]],FME_Input[FME_ID],FME_Input[RES_STRUCT100])</f>
        <v>529</v>
      </c>
      <c r="M753" s="230">
        <f>(FME_Ranking1[[#This Row],[Res Structures Raw]]/L$2)*100</f>
        <v>0.37469365783173492</v>
      </c>
      <c r="N753" s="180">
        <f>FME_Ranking1[[#This Row],[Res Structures Score (Normalized, Unweighted)]]*$L$3</f>
        <v>3.7469365783173496E-2</v>
      </c>
      <c r="O753" s="244">
        <f>_xlfn.XLOOKUP(FME_Ranking1[[#This Row],[FME ID]],FME_Input[FME_ID],FME_Input[POP100])</f>
        <v>3407</v>
      </c>
      <c r="P753" s="178">
        <f>(FME_Ranking1[[#This Row],[Pop Raw]]/$O$2)*100</f>
        <v>0.3487926879457165</v>
      </c>
      <c r="Q753" s="178">
        <f>FME_Ranking1[[#This Row],[Pop Score (Normalized, Unweighted)]]*$O$3</f>
        <v>5.2318903191857474E-2</v>
      </c>
      <c r="R753" s="137">
        <f>_xlfn.XLOOKUP(FME_Ranking1[[#This Row],[FME ID]],FME_Input[FME_ID],FME_Input[CRITFAC100])</f>
        <v>4</v>
      </c>
      <c r="S753" s="230">
        <f>(FME_Ranking1[[#This Row],[Critical Facilities Raw]]/$R$2)*100</f>
        <v>0.17152658662092624</v>
      </c>
      <c r="T753" s="180">
        <f>FME_Ranking1[[#This Row],[Critical Facilities Score (Normalized, Unweighted)]]*$R$3</f>
        <v>3.430531732418525E-2</v>
      </c>
      <c r="U753">
        <f>_xlfn.XLOOKUP(FME_Ranking1[[#This Row],[FME ID]],FME_Input[FME_ID],FME_Input[LWC])</f>
        <v>0</v>
      </c>
      <c r="V753" s="178">
        <f>(FME_Ranking1[[#This Row],[LWC Raw]]/$U$2)*100</f>
        <v>0</v>
      </c>
      <c r="W753" s="178">
        <f>FME_Ranking1[[#This Row],[LWC Score (Normalized, Unweighted)]]*$U$3</f>
        <v>0</v>
      </c>
      <c r="X753" s="246">
        <f>_xlfn.XLOOKUP(FME_Ranking1[[#This Row],[FME ID]],FME_Input[FME_ID],FME_Input[ROADCLS])</f>
        <v>0</v>
      </c>
      <c r="Y753" s="230">
        <f>(FME_Ranking1[[#This Row],[Closures Raw]]/$X$2)*100</f>
        <v>0</v>
      </c>
      <c r="Z753" s="180">
        <f>FME_Ranking1[[#This Row],[Closures Score (Normalized, Unweighted)]]*$X$3</f>
        <v>0</v>
      </c>
      <c r="AA753" s="253">
        <f>_xlfn.XLOOKUP(FME_Ranking1[[#This Row],[FME ID]],FME_Input[FME_ID],FME_Input[ROAD_MILES100])</f>
        <v>8.820770263671875</v>
      </c>
      <c r="AB753" s="178">
        <f>(FME_Ranking1[[#This Row],[Miles Raw]]/$AA$2)*100</f>
        <v>0.11597730817309332</v>
      </c>
      <c r="AC753" s="178">
        <f>FME_Ranking1[[#This Row],[Miles Score (Normalized, Unweighted)]]*$AA$3</f>
        <v>1.1597730817309332E-2</v>
      </c>
      <c r="AD753" s="255">
        <f>_xlfn.XLOOKUP(FME_Ranking1[[#This Row],[FME ID]],FME_Input[FME_ID],FME_Input[FARMACRE100])</f>
        <v>0</v>
      </c>
      <c r="AE753" s="230">
        <f>(FME_Ranking1[[#This Row],[Ag Land Raw]]/$AD$2)*100</f>
        <v>0</v>
      </c>
      <c r="AF753" s="231">
        <f>FME_Ranking1[[#This Row],[Ag Land Score (Normalized, Unweighted)]]*$AD$3</f>
        <v>0</v>
      </c>
      <c r="AG75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0.18653632418502572</v>
      </c>
      <c r="AH753" s="406">
        <f t="shared" si="11"/>
        <v>831</v>
      </c>
      <c r="AI75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0.18653632418502572</v>
      </c>
      <c r="AJ753" s="257">
        <f>FME_Ranking1[[#This Row],[Addition check]]-FME_Ranking1[[#This Row],[Weighted Score Based on Normalized Reported Factors]]</f>
        <v>0</v>
      </c>
      <c r="AK753" s="178">
        <f>_xlfn.RANK.EQ(AI753,$AI$6:$AI$2341,0)+COUNTIF($AI$6:AI753,AI753)-1</f>
        <v>833</v>
      </c>
    </row>
    <row r="754" spans="1:37" x14ac:dyDescent="0.25">
      <c r="A754" t="s">
        <v>11186</v>
      </c>
      <c r="B754">
        <f>_xlfn.XLOOKUP(FME_Ranking1[[#This Row],[FME ID]],FME_Input[FME_ID],FME_Input[RFPG_NUM])</f>
        <v>15</v>
      </c>
      <c r="C754" t="str">
        <f>_xlfn.XLOOKUP(FME_Ranking1[[#This Row],[FME ID]],FME_Input[FME_ID],FME_Input[FME_NAME])</f>
        <v>Port Isabel Action #19</v>
      </c>
      <c r="D754" t="str">
        <f>_xlfn.XLOOKUP(FME_Ranking1[[#This Row],[FME ID]],FME_Input[FME_ID],FME_Input[DESCR])</f>
        <v>Elevate and widen coastal roads as well as evacuation routes to reduce risk of flood damages and maintain emergency access</v>
      </c>
      <c r="E754" s="256">
        <f>_xlfn.XLOOKUP(FME_Ranking1[[#This Row],[FME ID]],FME_Input[FME_ID],FME_Input[FME_COST])</f>
        <v>554400</v>
      </c>
      <c r="F754" t="str">
        <f>_xlfn.XLOOKUP(FME_Ranking1[[#This Row],[FME ID]],FME_Input[FME_ID],FME_Input[EMER_NEED])</f>
        <v>Yes</v>
      </c>
      <c r="G754">
        <f>IF(FME_Ranking!F754="Yes",100,0)</f>
        <v>100</v>
      </c>
      <c r="H754">
        <f>FME_Ranking1[[#This Row],[Emergency Need Score (Normalized, Unweighted)]]*$F$3</f>
        <v>0</v>
      </c>
      <c r="I754" s="246">
        <f>_xlfn.XLOOKUP(FME_Ranking1[[#This Row],[FME ID]],FME_Input[FME_ID],FME_Input[STRUCT_100])</f>
        <v>0</v>
      </c>
      <c r="J754" s="178">
        <f>(FME_Ranking1[[#This Row],[Structures 100 Raw]]/I$2)*100</f>
        <v>0</v>
      </c>
      <c r="K754" s="178">
        <f>FME_Ranking1[[#This Row],[Structures 100  Score (Normalized, Unweighted)]]*$I$3</f>
        <v>0</v>
      </c>
      <c r="L754" s="246">
        <f>_xlfn.XLOOKUP(FME_Ranking1[[#This Row],[FME ID]],FME_Input[FME_ID],FME_Input[RES_STRUCT100])</f>
        <v>1398</v>
      </c>
      <c r="M754" s="230">
        <f>(FME_Ranking1[[#This Row],[Res Structures Raw]]/L$2)*100</f>
        <v>0.9902112167273448</v>
      </c>
      <c r="N754" s="180">
        <f>FME_Ranking1[[#This Row],[Res Structures Score (Normalized, Unweighted)]]*$L$3</f>
        <v>9.9021121672734483E-2</v>
      </c>
      <c r="O754" s="244">
        <f>_xlfn.XLOOKUP(FME_Ranking1[[#This Row],[FME ID]],FME_Input[FME_ID],FME_Input[POP100])</f>
        <v>4349</v>
      </c>
      <c r="P754" s="178">
        <f>(FME_Ranking1[[#This Row],[Pop Raw]]/$O$2)*100</f>
        <v>0.44523023183913152</v>
      </c>
      <c r="Q754" s="178">
        <f>FME_Ranking1[[#This Row],[Pop Score (Normalized, Unweighted)]]*$O$3</f>
        <v>6.6784534775869722E-2</v>
      </c>
      <c r="R754" s="137">
        <f>_xlfn.XLOOKUP(FME_Ranking1[[#This Row],[FME ID]],FME_Input[FME_ID],FME_Input[CRITFAC100])</f>
        <v>1</v>
      </c>
      <c r="S754" s="230">
        <f>(FME_Ranking1[[#This Row],[Critical Facilities Raw]]/$R$2)*100</f>
        <v>4.2881646655231559E-2</v>
      </c>
      <c r="T754" s="180">
        <f>FME_Ranking1[[#This Row],[Critical Facilities Score (Normalized, Unweighted)]]*$R$3</f>
        <v>8.5763293310463125E-3</v>
      </c>
      <c r="U754">
        <f>_xlfn.XLOOKUP(FME_Ranking1[[#This Row],[FME ID]],FME_Input[FME_ID],FME_Input[LWC])</f>
        <v>0</v>
      </c>
      <c r="V754" s="178">
        <f>(FME_Ranking1[[#This Row],[LWC Raw]]/$U$2)*100</f>
        <v>0</v>
      </c>
      <c r="W754" s="178">
        <f>FME_Ranking1[[#This Row],[LWC Score (Normalized, Unweighted)]]*$U$3</f>
        <v>0</v>
      </c>
      <c r="X754" s="246">
        <f>_xlfn.XLOOKUP(FME_Ranking1[[#This Row],[FME ID]],FME_Input[FME_ID],FME_Input[ROADCLS])</f>
        <v>0</v>
      </c>
      <c r="Y754" s="230">
        <f>(FME_Ranking1[[#This Row],[Closures Raw]]/$X$2)*100</f>
        <v>0</v>
      </c>
      <c r="Z754" s="180">
        <f>FME_Ranking1[[#This Row],[Closures Score (Normalized, Unweighted)]]*$X$3</f>
        <v>0</v>
      </c>
      <c r="AA754" s="253">
        <f>_xlfn.XLOOKUP(FME_Ranking1[[#This Row],[FME ID]],FME_Input[FME_ID],FME_Input[ROAD_MILES100])</f>
        <v>38.670200347900391</v>
      </c>
      <c r="AB754" s="178">
        <f>(FME_Ranking1[[#This Row],[Miles Raw]]/$AA$2)*100</f>
        <v>0.50844377631446913</v>
      </c>
      <c r="AC754" s="178">
        <f>FME_Ranking1[[#This Row],[Miles Score (Normalized, Unweighted)]]*$AA$3</f>
        <v>5.0844377631446919E-2</v>
      </c>
      <c r="AD754" s="255">
        <f>_xlfn.XLOOKUP(FME_Ranking1[[#This Row],[FME ID]],FME_Input[FME_ID],FME_Input[FARMACRE100])</f>
        <v>0</v>
      </c>
      <c r="AE754" s="230">
        <f>(FME_Ranking1[[#This Row],[Ag Land Raw]]/$AD$2)*100</f>
        <v>0</v>
      </c>
      <c r="AF754" s="231">
        <f>FME_Ranking1[[#This Row],[Ag Land Score (Normalized, Unweighted)]]*$AD$3</f>
        <v>0</v>
      </c>
      <c r="AG75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0.22522636341109745</v>
      </c>
      <c r="AH754" s="406">
        <f t="shared" si="11"/>
        <v>758</v>
      </c>
      <c r="AI75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0.22522636341109745</v>
      </c>
      <c r="AJ754" s="257">
        <f>FME_Ranking1[[#This Row],[Addition check]]-FME_Ranking1[[#This Row],[Weighted Score Based on Normalized Reported Factors]]</f>
        <v>0</v>
      </c>
      <c r="AK754" s="178">
        <f>_xlfn.RANK.EQ(AI754,$AI$6:$AI$2341,0)+COUNTIF($AI$6:AI754,AI754)-1</f>
        <v>758</v>
      </c>
    </row>
    <row r="755" spans="1:37" x14ac:dyDescent="0.25">
      <c r="A755" t="s">
        <v>11352</v>
      </c>
      <c r="B755">
        <f>_xlfn.XLOOKUP(FME_Ranking1[[#This Row],[FME ID]],FME_Input[FME_ID],FME_Input[RFPG_NUM])</f>
        <v>15</v>
      </c>
      <c r="C755" t="str">
        <f>_xlfn.XLOOKUP(FME_Ranking1[[#This Row],[FME ID]],FME_Input[FME_ID],FME_Input[FME_NAME])</f>
        <v>City of Rio Grande</v>
      </c>
      <c r="D755" t="str">
        <f>_xlfn.XLOOKUP(FME_Ranking1[[#This Row],[FME ID]],FME_Input[FME_ID],FME_Input[DESCR])</f>
        <v>Develop Flood risk maps for the city of Rio Grande City and develop CIP</v>
      </c>
      <c r="E755" s="256">
        <f>_xlfn.XLOOKUP(FME_Ranking1[[#This Row],[FME ID]],FME_Input[FME_ID],FME_Input[FME_COST])</f>
        <v>250000</v>
      </c>
      <c r="F755" t="str">
        <f>_xlfn.XLOOKUP(FME_Ranking1[[#This Row],[FME ID]],FME_Input[FME_ID],FME_Input[EMER_NEED])</f>
        <v>Yes</v>
      </c>
      <c r="G755">
        <f>IF(FME_Ranking!F755="Yes",100,0)</f>
        <v>100</v>
      </c>
      <c r="H755">
        <f>FME_Ranking1[[#This Row],[Emergency Need Score (Normalized, Unweighted)]]*$F$3</f>
        <v>0</v>
      </c>
      <c r="I755" s="246">
        <f>_xlfn.XLOOKUP(FME_Ranking1[[#This Row],[FME ID]],FME_Input[FME_ID],FME_Input[STRUCT_100])</f>
        <v>0</v>
      </c>
      <c r="J755" s="178">
        <f>(FME_Ranking1[[#This Row],[Structures 100 Raw]]/I$2)*100</f>
        <v>0</v>
      </c>
      <c r="K755" s="178">
        <f>FME_Ranking1[[#This Row],[Structures 100  Score (Normalized, Unweighted)]]*$I$3</f>
        <v>0</v>
      </c>
      <c r="L755" s="246">
        <f>_xlfn.XLOOKUP(FME_Ranking1[[#This Row],[FME ID]],FME_Input[FME_ID],FME_Input[RES_STRUCT100])</f>
        <v>789</v>
      </c>
      <c r="M755" s="230">
        <f>(FME_Ranking1[[#This Row],[Res Structures Raw]]/L$2)*100</f>
        <v>0.55885311158646289</v>
      </c>
      <c r="N755" s="180">
        <f>FME_Ranking1[[#This Row],[Res Structures Score (Normalized, Unweighted)]]*$L$3</f>
        <v>5.5885311158646291E-2</v>
      </c>
      <c r="O755" s="244">
        <f>_xlfn.XLOOKUP(FME_Ranking1[[#This Row],[FME ID]],FME_Input[FME_ID],FME_Input[POP100])</f>
        <v>6035</v>
      </c>
      <c r="P755" s="178">
        <f>(FME_Ranking1[[#This Row],[Pop Raw]]/$O$2)*100</f>
        <v>0.61783500785218648</v>
      </c>
      <c r="Q755" s="178">
        <f>FME_Ranking1[[#This Row],[Pop Score (Normalized, Unweighted)]]*$O$3</f>
        <v>9.2675251177827975E-2</v>
      </c>
      <c r="R755" s="137">
        <f>_xlfn.XLOOKUP(FME_Ranking1[[#This Row],[FME ID]],FME_Input[FME_ID],FME_Input[CRITFAC100])</f>
        <v>3</v>
      </c>
      <c r="S755" s="230">
        <f>(FME_Ranking1[[#This Row],[Critical Facilities Raw]]/$R$2)*100</f>
        <v>0.1286449399656947</v>
      </c>
      <c r="T755" s="180">
        <f>FME_Ranking1[[#This Row],[Critical Facilities Score (Normalized, Unweighted)]]*$R$3</f>
        <v>2.5728987993138941E-2</v>
      </c>
      <c r="U755">
        <f>_xlfn.XLOOKUP(FME_Ranking1[[#This Row],[FME ID]],FME_Input[FME_ID],FME_Input[LWC])</f>
        <v>0</v>
      </c>
      <c r="V755" s="178">
        <f>(FME_Ranking1[[#This Row],[LWC Raw]]/$U$2)*100</f>
        <v>0</v>
      </c>
      <c r="W755" s="178">
        <f>FME_Ranking1[[#This Row],[LWC Score (Normalized, Unweighted)]]*$U$3</f>
        <v>0</v>
      </c>
      <c r="X755" s="246">
        <f>_xlfn.XLOOKUP(FME_Ranking1[[#This Row],[FME ID]],FME_Input[FME_ID],FME_Input[ROADCLS])</f>
        <v>0</v>
      </c>
      <c r="Y755" s="230">
        <f>(FME_Ranking1[[#This Row],[Closures Raw]]/$X$2)*100</f>
        <v>0</v>
      </c>
      <c r="Z755" s="180">
        <f>FME_Ranking1[[#This Row],[Closures Score (Normalized, Unweighted)]]*$X$3</f>
        <v>0</v>
      </c>
      <c r="AA755" s="253">
        <f>_xlfn.XLOOKUP(FME_Ranking1[[#This Row],[FME ID]],FME_Input[FME_ID],FME_Input[ROAD_MILES100])</f>
        <v>61.967899322509773</v>
      </c>
      <c r="AB755" s="178">
        <f>(FME_Ranking1[[#This Row],[Miles Raw]]/$AA$2)*100</f>
        <v>0.8147667314457655</v>
      </c>
      <c r="AC755" s="178">
        <f>FME_Ranking1[[#This Row],[Miles Score (Normalized, Unweighted)]]*$AA$3</f>
        <v>8.1476673144576559E-2</v>
      </c>
      <c r="AD755" s="255">
        <f>_xlfn.XLOOKUP(FME_Ranking1[[#This Row],[FME ID]],FME_Input[FME_ID],FME_Input[FARMACRE100])</f>
        <v>0</v>
      </c>
      <c r="AE755" s="230">
        <f>(FME_Ranking1[[#This Row],[Ag Land Raw]]/$AD$2)*100</f>
        <v>0</v>
      </c>
      <c r="AF755" s="231">
        <f>FME_Ranking1[[#This Row],[Ag Land Score (Normalized, Unweighted)]]*$AD$3</f>
        <v>0</v>
      </c>
      <c r="AG75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0.25576622347418976</v>
      </c>
      <c r="AH755" s="406">
        <f t="shared" si="11"/>
        <v>682</v>
      </c>
      <c r="AI75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0.25576622347418976</v>
      </c>
      <c r="AJ755" s="257">
        <f>FME_Ranking1[[#This Row],[Addition check]]-FME_Ranking1[[#This Row],[Weighted Score Based on Normalized Reported Factors]]</f>
        <v>0</v>
      </c>
      <c r="AK755" s="178">
        <f>_xlfn.RANK.EQ(AI755,$AI$6:$AI$2341,0)+COUNTIF($AI$6:AI755,AI755)-1</f>
        <v>682</v>
      </c>
    </row>
    <row r="756" spans="1:37" x14ac:dyDescent="0.25">
      <c r="A756" t="s">
        <v>5123</v>
      </c>
      <c r="B756">
        <f>_xlfn.XLOOKUP(FME_Ranking1[[#This Row],[FME ID]],FME_Input[FME_ID],FME_Input[RFPG_NUM])</f>
        <v>3</v>
      </c>
      <c r="C756" t="str">
        <f>_xlfn.XLOOKUP(FME_Ranking1[[#This Row],[FME ID]],FME_Input[FME_ID],FME_Input[FME_NAME])</f>
        <v>Mountain Creek and Tribs Regulatory Floodplain Determination Study</v>
      </c>
      <c r="D756" t="str">
        <f>_xlfn.XLOOKUP(FME_Ranking1[[#This Row],[FME ID]],FME_Input[FME_ID],FME_Input[DESCR])</f>
        <v>Mapping study for Mountain Creek and Tribs through Mansfield ETJ.</v>
      </c>
      <c r="E756" s="256">
        <f>_xlfn.XLOOKUP(FME_Ranking1[[#This Row],[FME ID]],FME_Input[FME_ID],FME_Input[FME_COST])</f>
        <v>396000</v>
      </c>
      <c r="F756" t="str">
        <f>_xlfn.XLOOKUP(FME_Ranking1[[#This Row],[FME ID]],FME_Input[FME_ID],FME_Input[EMER_NEED])</f>
        <v>No</v>
      </c>
      <c r="G756">
        <f>IF(FME_Ranking!F756="Yes",100,0)</f>
        <v>0</v>
      </c>
      <c r="H756">
        <f>FME_Ranking1[[#This Row],[Emergency Need Score (Normalized, Unweighted)]]*$F$3</f>
        <v>0</v>
      </c>
      <c r="I756" s="246">
        <f>_xlfn.XLOOKUP(FME_Ranking1[[#This Row],[FME ID]],FME_Input[FME_ID],FME_Input[STRUCT_100])</f>
        <v>61</v>
      </c>
      <c r="J756" s="178">
        <f>(FME_Ranking1[[#This Row],[Structures 100 Raw]]/I$2)*100</f>
        <v>3.2665038769652571E-2</v>
      </c>
      <c r="K756" s="178">
        <f>FME_Ranking1[[#This Row],[Structures 100  Score (Normalized, Unweighted)]]*$I$3</f>
        <v>4.8997558154478859E-3</v>
      </c>
      <c r="L756" s="246">
        <f>_xlfn.XLOOKUP(FME_Ranking1[[#This Row],[FME ID]],FME_Input[FME_ID],FME_Input[RES_STRUCT100])</f>
        <v>45</v>
      </c>
      <c r="M756" s="230">
        <f>(FME_Ranking1[[#This Row],[Res Structures Raw]]/L$2)*100</f>
        <v>3.1873751611395225E-2</v>
      </c>
      <c r="N756" s="180">
        <f>FME_Ranking1[[#This Row],[Res Structures Score (Normalized, Unweighted)]]*$L$3</f>
        <v>3.1873751611395228E-3</v>
      </c>
      <c r="O756" s="244">
        <f>_xlfn.XLOOKUP(FME_Ranking1[[#This Row],[FME ID]],FME_Input[FME_ID],FME_Input[POP100])</f>
        <v>118</v>
      </c>
      <c r="P756" s="178">
        <f>(FME_Ranking1[[#This Row],[Pop Raw]]/$O$2)*100</f>
        <v>1.2080286814674069E-2</v>
      </c>
      <c r="Q756" s="178">
        <f>FME_Ranking1[[#This Row],[Pop Score (Normalized, Unweighted)]]*$O$3</f>
        <v>1.8120430222011103E-3</v>
      </c>
      <c r="R756" s="137">
        <f>_xlfn.XLOOKUP(FME_Ranking1[[#This Row],[FME ID]],FME_Input[FME_ID],FME_Input[CRITFAC100])</f>
        <v>0</v>
      </c>
      <c r="S756" s="230">
        <f>(FME_Ranking1[[#This Row],[Critical Facilities Raw]]/$R$2)*100</f>
        <v>0</v>
      </c>
      <c r="T756" s="180">
        <f>FME_Ranking1[[#This Row],[Critical Facilities Score (Normalized, Unweighted)]]*$R$3</f>
        <v>0</v>
      </c>
      <c r="U756">
        <f>_xlfn.XLOOKUP(FME_Ranking1[[#This Row],[FME ID]],FME_Input[FME_ID],FME_Input[LWC])</f>
        <v>14</v>
      </c>
      <c r="V756" s="178">
        <f>(FME_Ranking1[[#This Row],[LWC Raw]]/$U$2)*100</f>
        <v>0.80598733448474369</v>
      </c>
      <c r="W756" s="178">
        <f>FME_Ranking1[[#This Row],[LWC Score (Normalized, Unweighted)]]*$U$3</f>
        <v>0.16119746689694875</v>
      </c>
      <c r="X756" s="246">
        <f>_xlfn.XLOOKUP(FME_Ranking1[[#This Row],[FME ID]],FME_Input[FME_ID],FME_Input[ROADCLS])</f>
        <v>0</v>
      </c>
      <c r="Y756" s="230">
        <f>(FME_Ranking1[[#This Row],[Closures Raw]]/$X$2)*100</f>
        <v>0</v>
      </c>
      <c r="Z756" s="180">
        <f>FME_Ranking1[[#This Row],[Closures Score (Normalized, Unweighted)]]*$X$3</f>
        <v>0</v>
      </c>
      <c r="AA756" s="253">
        <f>_xlfn.XLOOKUP(FME_Ranking1[[#This Row],[FME ID]],FME_Input[FME_ID],FME_Input[ROAD_MILES100])</f>
        <v>4.2645502090454102</v>
      </c>
      <c r="AB756" s="178">
        <f>(FME_Ranking1[[#This Row],[Miles Raw]]/$AA$2)*100</f>
        <v>5.6071186419064792E-2</v>
      </c>
      <c r="AC756" s="178">
        <f>FME_Ranking1[[#This Row],[Miles Score (Normalized, Unweighted)]]*$AA$3</f>
        <v>5.6071186419064797E-3</v>
      </c>
      <c r="AD756" s="255">
        <f>_xlfn.XLOOKUP(FME_Ranking1[[#This Row],[FME ID]],FME_Input[FME_ID],FME_Input[FARMACRE100])</f>
        <v>1346.765991210938</v>
      </c>
      <c r="AE756" s="230">
        <f>(FME_Ranking1[[#This Row],[Ag Land Raw]]/$AD$2)*100</f>
        <v>5.55346006746106E-2</v>
      </c>
      <c r="AF756" s="231">
        <f>FME_Ranking1[[#This Row],[Ag Land Score (Normalized, Unweighted)]]*$AD$3</f>
        <v>2.7767300337305303E-3</v>
      </c>
      <c r="AG75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0.17948048957137425</v>
      </c>
      <c r="AH756" s="406">
        <f t="shared" si="11"/>
        <v>845</v>
      </c>
      <c r="AI75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0.17948048957137425</v>
      </c>
      <c r="AJ756" s="257">
        <f>FME_Ranking1[[#This Row],[Addition check]]-FME_Ranking1[[#This Row],[Weighted Score Based on Normalized Reported Factors]]</f>
        <v>0</v>
      </c>
      <c r="AK756" s="178">
        <f>_xlfn.RANK.EQ(AI756,$AI$6:$AI$2341,0)+COUNTIF($AI$6:AI756,AI756)-1</f>
        <v>845</v>
      </c>
    </row>
    <row r="757" spans="1:37" x14ac:dyDescent="0.25">
      <c r="A757" t="s">
        <v>11012</v>
      </c>
      <c r="B757">
        <f>_xlfn.XLOOKUP(FME_Ranking1[[#This Row],[FME ID]],FME_Input[FME_ID],FME_Input[RFPG_NUM])</f>
        <v>14</v>
      </c>
      <c r="C757" t="str">
        <f>_xlfn.XLOOKUP(FME_Ranking1[[#This Row],[FME ID]],FME_Input[FME_ID],FME_Input[FME_NAME])</f>
        <v>Develop city-wide drainage study and stormwater master plan for Monahans/ Southwest Sandhill</v>
      </c>
      <c r="D757" t="str">
        <f>_xlfn.XLOOKUP(FME_Ranking1[[#This Row],[FME ID]],FME_Input[FME_ID],FME_Input[DESCR])</f>
        <v>Develop drainage study and stormwater master plan for City of Monahans and Southwest Sandhill Census Designated Place.  Develop detailed H&amp;H models and floodplain maps.  Evaluate FMP alternatives.</v>
      </c>
      <c r="E757" s="256">
        <f>_xlfn.XLOOKUP(FME_Ranking1[[#This Row],[FME ID]],FME_Input[FME_ID],FME_Input[FME_COST])</f>
        <v>104000</v>
      </c>
      <c r="F757" t="str">
        <f>_xlfn.XLOOKUP(FME_Ranking1[[#This Row],[FME ID]],FME_Input[FME_ID],FME_Input[EMER_NEED])</f>
        <v>No</v>
      </c>
      <c r="G757">
        <f>IF(FME_Ranking!F757="Yes",100,0)</f>
        <v>0</v>
      </c>
      <c r="H757">
        <f>FME_Ranking1[[#This Row],[Emergency Need Score (Normalized, Unweighted)]]*$F$3</f>
        <v>0</v>
      </c>
      <c r="I757" s="246">
        <f>_xlfn.XLOOKUP(FME_Ranking1[[#This Row],[FME ID]],FME_Input[FME_ID],FME_Input[STRUCT_100])</f>
        <v>1222</v>
      </c>
      <c r="J757" s="178">
        <f>(FME_Ranking1[[#This Row],[Structures 100 Raw]]/I$2)*100</f>
        <v>0.65437176027074495</v>
      </c>
      <c r="K757" s="178">
        <f>FME_Ranking1[[#This Row],[Structures 100  Score (Normalized, Unweighted)]]*$I$3</f>
        <v>9.8155764040611743E-2</v>
      </c>
      <c r="L757" s="246">
        <f>_xlfn.XLOOKUP(FME_Ranking1[[#This Row],[FME ID]],FME_Input[FME_ID],FME_Input[RES_STRUCT100])</f>
        <v>92</v>
      </c>
      <c r="M757" s="230">
        <f>(FME_Ranking1[[#This Row],[Res Structures Raw]]/L$2)*100</f>
        <v>6.5164114405519113E-2</v>
      </c>
      <c r="N757" s="180">
        <f>FME_Ranking1[[#This Row],[Res Structures Score (Normalized, Unweighted)]]*$L$3</f>
        <v>6.5164114405519115E-3</v>
      </c>
      <c r="O757" s="244">
        <f>_xlfn.XLOOKUP(FME_Ranking1[[#This Row],[FME ID]],FME_Input[FME_ID],FME_Input[POP100])</f>
        <v>2550</v>
      </c>
      <c r="P757" s="178">
        <f>(FME_Ranking1[[#This Row],[Pop Raw]]/$O$2)*100</f>
        <v>0.2610570455713464</v>
      </c>
      <c r="Q757" s="178">
        <f>FME_Ranking1[[#This Row],[Pop Score (Normalized, Unweighted)]]*$O$3</f>
        <v>3.9158556835701956E-2</v>
      </c>
      <c r="R757" s="137">
        <f>_xlfn.XLOOKUP(FME_Ranking1[[#This Row],[FME ID]],FME_Input[FME_ID],FME_Input[CRITFAC100])</f>
        <v>1</v>
      </c>
      <c r="S757" s="230">
        <f>(FME_Ranking1[[#This Row],[Critical Facilities Raw]]/$R$2)*100</f>
        <v>4.2881646655231559E-2</v>
      </c>
      <c r="T757" s="180">
        <f>FME_Ranking1[[#This Row],[Critical Facilities Score (Normalized, Unweighted)]]*$R$3</f>
        <v>8.5763293310463125E-3</v>
      </c>
      <c r="U757">
        <f>_xlfn.XLOOKUP(FME_Ranking1[[#This Row],[FME ID]],FME_Input[FME_ID],FME_Input[LWC])</f>
        <v>0</v>
      </c>
      <c r="V757" s="178">
        <f>(FME_Ranking1[[#This Row],[LWC Raw]]/$U$2)*100</f>
        <v>0</v>
      </c>
      <c r="W757" s="178">
        <f>FME_Ranking1[[#This Row],[LWC Score (Normalized, Unweighted)]]*$U$3</f>
        <v>0</v>
      </c>
      <c r="X757" s="246">
        <f>_xlfn.XLOOKUP(FME_Ranking1[[#This Row],[FME ID]],FME_Input[FME_ID],FME_Input[ROADCLS])</f>
        <v>38</v>
      </c>
      <c r="Y757" s="230">
        <f>(FME_Ranking1[[#This Row],[Closures Raw]]/$X$2)*100</f>
        <v>0.39953737777310477</v>
      </c>
      <c r="Z757" s="180">
        <f>FME_Ranking1[[#This Row],[Closures Score (Normalized, Unweighted)]]*$X$3</f>
        <v>1.9976868888655241E-2</v>
      </c>
      <c r="AA757" s="253">
        <f>_xlfn.XLOOKUP(FME_Ranking1[[#This Row],[FME ID]],FME_Input[FME_ID],FME_Input[ROAD_MILES100])</f>
        <v>51.267299652099609</v>
      </c>
      <c r="AB757" s="178">
        <f>(FME_Ranking1[[#This Row],[Miles Raw]]/$AA$2)*100</f>
        <v>0.67407303820638953</v>
      </c>
      <c r="AC757" s="178">
        <f>FME_Ranking1[[#This Row],[Miles Score (Normalized, Unweighted)]]*$AA$3</f>
        <v>6.7407303820638961E-2</v>
      </c>
      <c r="AD757" s="255">
        <f>_xlfn.XLOOKUP(FME_Ranking1[[#This Row],[FME ID]],FME_Input[FME_ID],FME_Input[FARMACRE100])</f>
        <v>57.443901062011719</v>
      </c>
      <c r="AE757" s="230">
        <f>(FME_Ranking1[[#This Row],[Ag Land Raw]]/$AD$2)*100</f>
        <v>2.3687293319623231E-3</v>
      </c>
      <c r="AF757" s="231">
        <f>FME_Ranking1[[#This Row],[Ag Land Score (Normalized, Unweighted)]]*$AD$3</f>
        <v>1.1843646659811616E-4</v>
      </c>
      <c r="AG75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0.23990967082380424</v>
      </c>
      <c r="AH757" s="406">
        <f t="shared" si="11"/>
        <v>724</v>
      </c>
      <c r="AI75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0.23990967082380424</v>
      </c>
      <c r="AJ757" s="257">
        <f>FME_Ranking1[[#This Row],[Addition check]]-FME_Ranking1[[#This Row],[Weighted Score Based on Normalized Reported Factors]]</f>
        <v>0</v>
      </c>
      <c r="AK757" s="178">
        <f>_xlfn.RANK.EQ(AI757,$AI$6:$AI$2341,0)+COUNTIF($AI$6:AI757,AI757)-1</f>
        <v>724</v>
      </c>
    </row>
    <row r="758" spans="1:37" x14ac:dyDescent="0.25">
      <c r="A758" t="s">
        <v>5977</v>
      </c>
      <c r="B758">
        <f>_xlfn.XLOOKUP(FME_Ranking1[[#This Row],[FME ID]],FME_Input[FME_ID],FME_Input[RFPG_NUM])</f>
        <v>5</v>
      </c>
      <c r="C758" t="str">
        <f>_xlfn.XLOOKUP(FME_Ranking1[[#This Row],[FME ID]],FME_Input[FME_ID],FME_Input[FME_NAME])</f>
        <v>Tyler County Update Flood Hazard Mapping</v>
      </c>
      <c r="D758" t="str">
        <f>_xlfn.XLOOKUP(FME_Ranking1[[#This Row],[FME ID]],FME_Input[FME_ID],FME_Input[DESCR])</f>
        <v>Complete a detailed study within the county extent to delineate an updated flood hazard area, which can be used for regulatory purposes.</v>
      </c>
      <c r="E758" s="256">
        <f>_xlfn.XLOOKUP(FME_Ranking1[[#This Row],[FME ID]],FME_Input[FME_ID],FME_Input[FME_COST])</f>
        <v>1800000</v>
      </c>
      <c r="F758" t="str">
        <f>_xlfn.XLOOKUP(FME_Ranking1[[#This Row],[FME ID]],FME_Input[FME_ID],FME_Input[EMER_NEED])</f>
        <v>Yes</v>
      </c>
      <c r="G758">
        <f>IF(FME_Ranking!F758="Yes",100,0)</f>
        <v>100</v>
      </c>
      <c r="H758">
        <f>FME_Ranking1[[#This Row],[Emergency Need Score (Normalized, Unweighted)]]*$F$3</f>
        <v>0</v>
      </c>
      <c r="I758" s="246">
        <f>_xlfn.XLOOKUP(FME_Ranking1[[#This Row],[FME ID]],FME_Input[FME_ID],FME_Input[STRUCT_100])</f>
        <v>545</v>
      </c>
      <c r="J758" s="178">
        <f>(FME_Ranking1[[#This Row],[Structures 100 Raw]]/I$2)*100</f>
        <v>0.29184337917148612</v>
      </c>
      <c r="K758" s="178">
        <f>FME_Ranking1[[#This Row],[Structures 100  Score (Normalized, Unweighted)]]*$I$3</f>
        <v>4.3776506875722918E-2</v>
      </c>
      <c r="L758" s="246">
        <f>_xlfn.XLOOKUP(FME_Ranking1[[#This Row],[FME ID]],FME_Input[FME_ID],FME_Input[RES_STRUCT100])</f>
        <v>377</v>
      </c>
      <c r="M758" s="230">
        <f>(FME_Ranking1[[#This Row],[Res Structures Raw]]/L$2)*100</f>
        <v>0.26703120794435553</v>
      </c>
      <c r="N758" s="180">
        <f>FME_Ranking1[[#This Row],[Res Structures Score (Normalized, Unweighted)]]*$L$3</f>
        <v>2.6703120794435556E-2</v>
      </c>
      <c r="O758" s="244">
        <f>_xlfn.XLOOKUP(FME_Ranking1[[#This Row],[FME ID]],FME_Input[FME_ID],FME_Input[POP100])</f>
        <v>329</v>
      </c>
      <c r="P758" s="178">
        <f>(FME_Ranking1[[#This Row],[Pop Raw]]/$O$2)*100</f>
        <v>3.3681477644303119E-2</v>
      </c>
      <c r="Q758" s="178">
        <f>FME_Ranking1[[#This Row],[Pop Score (Normalized, Unweighted)]]*$O$3</f>
        <v>5.052221646645468E-3</v>
      </c>
      <c r="R758" s="137">
        <f>_xlfn.XLOOKUP(FME_Ranking1[[#This Row],[FME ID]],FME_Input[FME_ID],FME_Input[CRITFAC100])</f>
        <v>0</v>
      </c>
      <c r="S758" s="230">
        <f>(FME_Ranking1[[#This Row],[Critical Facilities Raw]]/$R$2)*100</f>
        <v>0</v>
      </c>
      <c r="T758" s="180">
        <f>FME_Ranking1[[#This Row],[Critical Facilities Score (Normalized, Unweighted)]]*$R$3</f>
        <v>0</v>
      </c>
      <c r="U758">
        <f>_xlfn.XLOOKUP(FME_Ranking1[[#This Row],[FME ID]],FME_Input[FME_ID],FME_Input[LWC])</f>
        <v>8</v>
      </c>
      <c r="V758" s="178">
        <f>(FME_Ranking1[[#This Row],[LWC Raw]]/$U$2)*100</f>
        <v>0.46056419113413938</v>
      </c>
      <c r="W758" s="178">
        <f>FME_Ranking1[[#This Row],[LWC Score (Normalized, Unweighted)]]*$U$3</f>
        <v>9.2112838226827878E-2</v>
      </c>
      <c r="X758" s="246">
        <f>_xlfn.XLOOKUP(FME_Ranking1[[#This Row],[FME ID]],FME_Input[FME_ID],FME_Input[ROADCLS])</f>
        <v>8</v>
      </c>
      <c r="Y758" s="230">
        <f>(FME_Ranking1[[#This Row],[Closures Raw]]/$X$2)*100</f>
        <v>8.4113132162758911E-2</v>
      </c>
      <c r="Z758" s="180">
        <f>FME_Ranking1[[#This Row],[Closures Score (Normalized, Unweighted)]]*$X$3</f>
        <v>4.2056566081379457E-3</v>
      </c>
      <c r="AA758" s="253">
        <f>_xlfn.XLOOKUP(FME_Ranking1[[#This Row],[FME ID]],FME_Input[FME_ID],FME_Input[ROAD_MILES100])</f>
        <v>41.875286102294922</v>
      </c>
      <c r="AB758" s="178">
        <f>(FME_Ranking1[[#This Row],[Miles Raw]]/$AA$2)*100</f>
        <v>0.55058490539358296</v>
      </c>
      <c r="AC758" s="178">
        <f>FME_Ranking1[[#This Row],[Miles Score (Normalized, Unweighted)]]*$AA$3</f>
        <v>5.5058490539358296E-2</v>
      </c>
      <c r="AD758" s="255">
        <f>_xlfn.XLOOKUP(FME_Ranking1[[#This Row],[FME ID]],FME_Input[FME_ID],FME_Input[FARMACRE100])</f>
        <v>81.637687683105469</v>
      </c>
      <c r="AE758" s="230">
        <f>(FME_Ranking1[[#This Row],[Ag Land Raw]]/$AD$2)*100</f>
        <v>3.3663727886411583E-3</v>
      </c>
      <c r="AF758" s="231">
        <f>FME_Ranking1[[#This Row],[Ag Land Score (Normalized, Unweighted)]]*$AD$3</f>
        <v>1.6831863943205793E-4</v>
      </c>
      <c r="AG75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0.22707715333056014</v>
      </c>
      <c r="AH758" s="406">
        <f t="shared" si="11"/>
        <v>750</v>
      </c>
      <c r="AI75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0.22707715333056014</v>
      </c>
      <c r="AJ758" s="257">
        <f>FME_Ranking1[[#This Row],[Addition check]]-FME_Ranking1[[#This Row],[Weighted Score Based on Normalized Reported Factors]]</f>
        <v>0</v>
      </c>
      <c r="AK758" s="178">
        <f>_xlfn.RANK.EQ(AI758,$AI$6:$AI$2341,0)+COUNTIF($AI$6:AI758,AI758)-1</f>
        <v>750</v>
      </c>
    </row>
    <row r="759" spans="1:37" x14ac:dyDescent="0.25">
      <c r="A759" t="s">
        <v>6175</v>
      </c>
      <c r="B759">
        <f>_xlfn.XLOOKUP(FME_Ranking1[[#This Row],[FME ID]],FME_Input[FME_ID],FME_Input[RFPG_NUM])</f>
        <v>5</v>
      </c>
      <c r="C759" t="str">
        <f>_xlfn.XLOOKUP(FME_Ranking1[[#This Row],[FME ID]],FME_Input[FME_ID],FME_Input[FME_NAME])</f>
        <v>Tyler County Master Drainage Plan</v>
      </c>
      <c r="D759"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759" s="256">
        <f>_xlfn.XLOOKUP(FME_Ranking1[[#This Row],[FME ID]],FME_Input[FME_ID],FME_Input[FME_COST])</f>
        <v>700000</v>
      </c>
      <c r="F759" t="str">
        <f>_xlfn.XLOOKUP(FME_Ranking1[[#This Row],[FME ID]],FME_Input[FME_ID],FME_Input[EMER_NEED])</f>
        <v>Yes</v>
      </c>
      <c r="G759">
        <f>IF(FME_Ranking!F759="Yes",100,0)</f>
        <v>100</v>
      </c>
      <c r="H759">
        <f>FME_Ranking1[[#This Row],[Emergency Need Score (Normalized, Unweighted)]]*$F$3</f>
        <v>0</v>
      </c>
      <c r="I759" s="246">
        <f>_xlfn.XLOOKUP(FME_Ranking1[[#This Row],[FME ID]],FME_Input[FME_ID],FME_Input[STRUCT_100])</f>
        <v>545</v>
      </c>
      <c r="J759" s="178">
        <f>(FME_Ranking1[[#This Row],[Structures 100 Raw]]/I$2)*100</f>
        <v>0.29184337917148612</v>
      </c>
      <c r="K759" s="178">
        <f>FME_Ranking1[[#This Row],[Structures 100  Score (Normalized, Unweighted)]]*$I$3</f>
        <v>4.3776506875722918E-2</v>
      </c>
      <c r="L759" s="246">
        <f>_xlfn.XLOOKUP(FME_Ranking1[[#This Row],[FME ID]],FME_Input[FME_ID],FME_Input[RES_STRUCT100])</f>
        <v>377</v>
      </c>
      <c r="M759" s="230">
        <f>(FME_Ranking1[[#This Row],[Res Structures Raw]]/L$2)*100</f>
        <v>0.26703120794435553</v>
      </c>
      <c r="N759" s="180">
        <f>FME_Ranking1[[#This Row],[Res Structures Score (Normalized, Unweighted)]]*$L$3</f>
        <v>2.6703120794435556E-2</v>
      </c>
      <c r="O759" s="244">
        <f>_xlfn.XLOOKUP(FME_Ranking1[[#This Row],[FME ID]],FME_Input[FME_ID],FME_Input[POP100])</f>
        <v>329</v>
      </c>
      <c r="P759" s="178">
        <f>(FME_Ranking1[[#This Row],[Pop Raw]]/$O$2)*100</f>
        <v>3.3681477644303119E-2</v>
      </c>
      <c r="Q759" s="178">
        <f>FME_Ranking1[[#This Row],[Pop Score (Normalized, Unweighted)]]*$O$3</f>
        <v>5.052221646645468E-3</v>
      </c>
      <c r="R759" s="137">
        <f>_xlfn.XLOOKUP(FME_Ranking1[[#This Row],[FME ID]],FME_Input[FME_ID],FME_Input[CRITFAC100])</f>
        <v>0</v>
      </c>
      <c r="S759" s="230">
        <f>(FME_Ranking1[[#This Row],[Critical Facilities Raw]]/$R$2)*100</f>
        <v>0</v>
      </c>
      <c r="T759" s="180">
        <f>FME_Ranking1[[#This Row],[Critical Facilities Score (Normalized, Unweighted)]]*$R$3</f>
        <v>0</v>
      </c>
      <c r="U759">
        <f>_xlfn.XLOOKUP(FME_Ranking1[[#This Row],[FME ID]],FME_Input[FME_ID],FME_Input[LWC])</f>
        <v>8</v>
      </c>
      <c r="V759" s="178">
        <f>(FME_Ranking1[[#This Row],[LWC Raw]]/$U$2)*100</f>
        <v>0.46056419113413938</v>
      </c>
      <c r="W759" s="178">
        <f>FME_Ranking1[[#This Row],[LWC Score (Normalized, Unweighted)]]*$U$3</f>
        <v>9.2112838226827878E-2</v>
      </c>
      <c r="X759" s="246">
        <f>_xlfn.XLOOKUP(FME_Ranking1[[#This Row],[FME ID]],FME_Input[FME_ID],FME_Input[ROADCLS])</f>
        <v>8</v>
      </c>
      <c r="Y759" s="230">
        <f>(FME_Ranking1[[#This Row],[Closures Raw]]/$X$2)*100</f>
        <v>8.4113132162758911E-2</v>
      </c>
      <c r="Z759" s="180">
        <f>FME_Ranking1[[#This Row],[Closures Score (Normalized, Unweighted)]]*$X$3</f>
        <v>4.2056566081379457E-3</v>
      </c>
      <c r="AA759" s="253">
        <f>_xlfn.XLOOKUP(FME_Ranking1[[#This Row],[FME ID]],FME_Input[FME_ID],FME_Input[ROAD_MILES100])</f>
        <v>41.875286102294922</v>
      </c>
      <c r="AB759" s="178">
        <f>(FME_Ranking1[[#This Row],[Miles Raw]]/$AA$2)*100</f>
        <v>0.55058490539358296</v>
      </c>
      <c r="AC759" s="178">
        <f>FME_Ranking1[[#This Row],[Miles Score (Normalized, Unweighted)]]*$AA$3</f>
        <v>5.5058490539358296E-2</v>
      </c>
      <c r="AD759" s="255">
        <f>_xlfn.XLOOKUP(FME_Ranking1[[#This Row],[FME ID]],FME_Input[FME_ID],FME_Input[FARMACRE100])</f>
        <v>81.637687683105469</v>
      </c>
      <c r="AE759" s="230">
        <f>(FME_Ranking1[[#This Row],[Ag Land Raw]]/$AD$2)*100</f>
        <v>3.3663727886411583E-3</v>
      </c>
      <c r="AF759" s="231">
        <f>FME_Ranking1[[#This Row],[Ag Land Score (Normalized, Unweighted)]]*$AD$3</f>
        <v>1.6831863943205793E-4</v>
      </c>
      <c r="AG75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0.22707715333056014</v>
      </c>
      <c r="AH759" s="406">
        <f t="shared" si="11"/>
        <v>750</v>
      </c>
      <c r="AI75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0.22707715333056014</v>
      </c>
      <c r="AJ759" s="257">
        <f>FME_Ranking1[[#This Row],[Addition check]]-FME_Ranking1[[#This Row],[Weighted Score Based on Normalized Reported Factors]]</f>
        <v>0</v>
      </c>
      <c r="AK759" s="178">
        <f>_xlfn.RANK.EQ(AI759,$AI$6:$AI$2341,0)+COUNTIF($AI$6:AI759,AI759)-1</f>
        <v>751</v>
      </c>
    </row>
    <row r="760" spans="1:37" x14ac:dyDescent="0.25">
      <c r="A760" t="s">
        <v>10901</v>
      </c>
      <c r="B760">
        <f>_xlfn.XLOOKUP(FME_Ranking1[[#This Row],[FME ID]],FME_Input[FME_ID],FME_Input[RFPG_NUM])</f>
        <v>14</v>
      </c>
      <c r="C760" t="str">
        <f>_xlfn.XLOOKUP(FME_Ranking1[[#This Row],[FME ID]],FME_Input[FME_ID],FME_Input[FME_NAME])</f>
        <v>Develop solution for flooding of San Elizario historic district, and localized flooding in San Elizario and adjacent communities</v>
      </c>
      <c r="D760" t="str">
        <f>_xlfn.XLOOKUP(FME_Ranking1[[#This Row],[FME ID]],FME_Input[FME_ID],FME_Input[DESCR])</f>
        <v>Develop Stormwater Master Plan for San Elizario, including drainage swales to convey runoff into the River Drain and relieve localized ponding, as well as plantings along flowpaths for butterfly habitat.</v>
      </c>
      <c r="E760" s="256">
        <f>_xlfn.XLOOKUP(FME_Ranking1[[#This Row],[FME ID]],FME_Input[FME_ID],FME_Input[FME_COST])</f>
        <v>73000</v>
      </c>
      <c r="F760" t="str">
        <f>_xlfn.XLOOKUP(FME_Ranking1[[#This Row],[FME ID]],FME_Input[FME_ID],FME_Input[EMER_NEED])</f>
        <v>No</v>
      </c>
      <c r="G760">
        <f>IF(FME_Ranking!F760="Yes",100,0)</f>
        <v>0</v>
      </c>
      <c r="H760">
        <f>FME_Ranking1[[#This Row],[Emergency Need Score (Normalized, Unweighted)]]*$F$3</f>
        <v>0</v>
      </c>
      <c r="I760" s="246">
        <f>_xlfn.XLOOKUP(FME_Ranking1[[#This Row],[FME ID]],FME_Input[FME_ID],FME_Input[STRUCT_100])</f>
        <v>641</v>
      </c>
      <c r="J760" s="178">
        <f>(FME_Ranking1[[#This Row],[Structures 100 Raw]]/I$2)*100</f>
        <v>0.34325065330077537</v>
      </c>
      <c r="K760" s="178">
        <f>FME_Ranking1[[#This Row],[Structures 100  Score (Normalized, Unweighted)]]*$I$3</f>
        <v>5.1487597995116305E-2</v>
      </c>
      <c r="L760" s="246">
        <f>_xlfn.XLOOKUP(FME_Ranking1[[#This Row],[FME ID]],FME_Input[FME_ID],FME_Input[RES_STRUCT100])</f>
        <v>598</v>
      </c>
      <c r="M760" s="230">
        <f>(FME_Ranking1[[#This Row],[Res Structures Raw]]/L$2)*100</f>
        <v>0.42356674363587427</v>
      </c>
      <c r="N760" s="180">
        <f>FME_Ranking1[[#This Row],[Res Structures Score (Normalized, Unweighted)]]*$L$3</f>
        <v>4.2356674363587428E-2</v>
      </c>
      <c r="O760" s="244">
        <f>_xlfn.XLOOKUP(FME_Ranking1[[#This Row],[FME ID]],FME_Input[FME_ID],FME_Input[POP100])</f>
        <v>4364</v>
      </c>
      <c r="P760" s="178">
        <f>(FME_Ranking1[[#This Row],[Pop Raw]]/$O$2)*100</f>
        <v>0.44676586151896297</v>
      </c>
      <c r="Q760" s="178">
        <f>FME_Ranking1[[#This Row],[Pop Score (Normalized, Unweighted)]]*$O$3</f>
        <v>6.7014879227844437E-2</v>
      </c>
      <c r="R760" s="137">
        <f>_xlfn.XLOOKUP(FME_Ranking1[[#This Row],[FME ID]],FME_Input[FME_ID],FME_Input[CRITFAC100])</f>
        <v>1</v>
      </c>
      <c r="S760" s="230">
        <f>(FME_Ranking1[[#This Row],[Critical Facilities Raw]]/$R$2)*100</f>
        <v>4.2881646655231559E-2</v>
      </c>
      <c r="T760" s="180">
        <f>FME_Ranking1[[#This Row],[Critical Facilities Score (Normalized, Unweighted)]]*$R$3</f>
        <v>8.5763293310463125E-3</v>
      </c>
      <c r="U760">
        <f>_xlfn.XLOOKUP(FME_Ranking1[[#This Row],[FME ID]],FME_Input[FME_ID],FME_Input[LWC])</f>
        <v>0</v>
      </c>
      <c r="V760" s="178">
        <f>(FME_Ranking1[[#This Row],[LWC Raw]]/$U$2)*100</f>
        <v>0</v>
      </c>
      <c r="W760" s="178">
        <f>FME_Ranking1[[#This Row],[LWC Score (Normalized, Unweighted)]]*$U$3</f>
        <v>0</v>
      </c>
      <c r="X760" s="246">
        <f>_xlfn.XLOOKUP(FME_Ranking1[[#This Row],[FME ID]],FME_Input[FME_ID],FME_Input[ROADCLS])</f>
        <v>0</v>
      </c>
      <c r="Y760" s="230">
        <f>(FME_Ranking1[[#This Row],[Closures Raw]]/$X$2)*100</f>
        <v>0</v>
      </c>
      <c r="Z760" s="180">
        <f>FME_Ranking1[[#This Row],[Closures Score (Normalized, Unweighted)]]*$X$3</f>
        <v>0</v>
      </c>
      <c r="AA760" s="253">
        <f>_xlfn.XLOOKUP(FME_Ranking1[[#This Row],[FME ID]],FME_Input[FME_ID],FME_Input[ROAD_MILES100])</f>
        <v>10.38809967041016</v>
      </c>
      <c r="AB760" s="178">
        <f>(FME_Ranking1[[#This Row],[Miles Raw]]/$AA$2)*100</f>
        <v>0.13658487873443895</v>
      </c>
      <c r="AC760" s="178">
        <f>FME_Ranking1[[#This Row],[Miles Score (Normalized, Unweighted)]]*$AA$3</f>
        <v>1.3658487873443896E-2</v>
      </c>
      <c r="AD760" s="255">
        <f>_xlfn.XLOOKUP(FME_Ranking1[[#This Row],[FME ID]],FME_Input[FME_ID],FME_Input[FARMACRE100])</f>
        <v>1201.380004882812</v>
      </c>
      <c r="AE760" s="230">
        <f>(FME_Ranking1[[#This Row],[Ag Land Raw]]/$AD$2)*100</f>
        <v>4.9539533419342884E-2</v>
      </c>
      <c r="AF760" s="231">
        <f>FME_Ranking1[[#This Row],[Ag Land Score (Normalized, Unweighted)]]*$AD$3</f>
        <v>2.4769766709671443E-3</v>
      </c>
      <c r="AG76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0.18557094546200553</v>
      </c>
      <c r="AH760" s="406">
        <f t="shared" si="11"/>
        <v>836</v>
      </c>
      <c r="AI76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0.18557094546200553</v>
      </c>
      <c r="AJ760" s="257">
        <f>FME_Ranking1[[#This Row],[Addition check]]-FME_Ranking1[[#This Row],[Weighted Score Based on Normalized Reported Factors]]</f>
        <v>0</v>
      </c>
      <c r="AK760" s="178">
        <f>_xlfn.RANK.EQ(AI760,$AI$6:$AI$2341,0)+COUNTIF($AI$6:AI760,AI760)-1</f>
        <v>836</v>
      </c>
    </row>
    <row r="761" spans="1:37" x14ac:dyDescent="0.25">
      <c r="A761" t="s">
        <v>3909</v>
      </c>
      <c r="B761">
        <f>_xlfn.XLOOKUP(FME_Ranking1[[#This Row],[FME ID]],FME_Input[FME_ID],FME_Input[RFPG_NUM])</f>
        <v>3</v>
      </c>
      <c r="C761" t="str">
        <f>_xlfn.XLOOKUP(FME_Ranking1[[#This Row],[FME ID]],FME_Input[FME_ID],FME_Input[FME_NAME])</f>
        <v xml:space="preserve">Jack County FEMA Mapping </v>
      </c>
      <c r="D761" t="str">
        <f>_xlfn.XLOOKUP(FME_Ranking1[[#This Row],[FME ID]],FME_Input[FME_ID],FME_Input[DESCR])</f>
        <v>Create FEMA mapping in previously unmapped areas and update existing FEMA maps as needed.</v>
      </c>
      <c r="E761" s="256">
        <f>_xlfn.XLOOKUP(FME_Ranking1[[#This Row],[FME ID]],FME_Input[FME_ID],FME_Input[FME_COST])</f>
        <v>1122000</v>
      </c>
      <c r="F761" t="str">
        <f>_xlfn.XLOOKUP(FME_Ranking1[[#This Row],[FME ID]],FME_Input[FME_ID],FME_Input[EMER_NEED])</f>
        <v>No</v>
      </c>
      <c r="G761">
        <f>IF(FME_Ranking!F761="Yes",100,0)</f>
        <v>0</v>
      </c>
      <c r="H761">
        <f>FME_Ranking1[[#This Row],[Emergency Need Score (Normalized, Unweighted)]]*$F$3</f>
        <v>0</v>
      </c>
      <c r="I761" s="246">
        <f>_xlfn.XLOOKUP(FME_Ranking1[[#This Row],[FME ID]],FME_Input[FME_ID],FME_Input[STRUCT_100])</f>
        <v>268</v>
      </c>
      <c r="J761" s="178">
        <f>(FME_Ranking1[[#This Row],[Structures 100 Raw]]/I$2)*100</f>
        <v>0.14351197361093262</v>
      </c>
      <c r="K761" s="178">
        <f>FME_Ranking1[[#This Row],[Structures 100  Score (Normalized, Unweighted)]]*$I$3</f>
        <v>2.1526796041639894E-2</v>
      </c>
      <c r="L761" s="246">
        <f>_xlfn.XLOOKUP(FME_Ranking1[[#This Row],[FME ID]],FME_Input[FME_ID],FME_Input[RES_STRUCT100])</f>
        <v>105</v>
      </c>
      <c r="M761" s="230">
        <f>(FME_Ranking1[[#This Row],[Res Structures Raw]]/L$2)*100</f>
        <v>7.4372087093255518E-2</v>
      </c>
      <c r="N761" s="180">
        <f>FME_Ranking1[[#This Row],[Res Structures Score (Normalized, Unweighted)]]*$L$3</f>
        <v>7.4372087093255521E-3</v>
      </c>
      <c r="O761" s="244">
        <f>_xlfn.XLOOKUP(FME_Ranking1[[#This Row],[FME ID]],FME_Input[FME_ID],FME_Input[POP100])</f>
        <v>231</v>
      </c>
      <c r="P761" s="178">
        <f>(FME_Ranking1[[#This Row],[Pop Raw]]/$O$2)*100</f>
        <v>2.3648697069404319E-2</v>
      </c>
      <c r="Q761" s="178">
        <f>FME_Ranking1[[#This Row],[Pop Score (Normalized, Unweighted)]]*$O$3</f>
        <v>3.5473045604106478E-3</v>
      </c>
      <c r="R761" s="137">
        <f>_xlfn.XLOOKUP(FME_Ranking1[[#This Row],[FME ID]],FME_Input[FME_ID],FME_Input[CRITFAC100])</f>
        <v>0</v>
      </c>
      <c r="S761" s="230">
        <f>(FME_Ranking1[[#This Row],[Critical Facilities Raw]]/$R$2)*100</f>
        <v>0</v>
      </c>
      <c r="T761" s="180">
        <f>FME_Ranking1[[#This Row],[Critical Facilities Score (Normalized, Unweighted)]]*$R$3</f>
        <v>0</v>
      </c>
      <c r="U761">
        <f>_xlfn.XLOOKUP(FME_Ranking1[[#This Row],[FME ID]],FME_Input[FME_ID],FME_Input[LWC])</f>
        <v>6</v>
      </c>
      <c r="V761" s="178">
        <f>(FME_Ranking1[[#This Row],[LWC Raw]]/$U$2)*100</f>
        <v>0.34542314335060448</v>
      </c>
      <c r="W761" s="178">
        <f>FME_Ranking1[[#This Row],[LWC Score (Normalized, Unweighted)]]*$U$3</f>
        <v>6.9084628670120898E-2</v>
      </c>
      <c r="X761" s="246">
        <f>_xlfn.XLOOKUP(FME_Ranking1[[#This Row],[FME ID]],FME_Input[FME_ID],FME_Input[ROADCLS])</f>
        <v>0</v>
      </c>
      <c r="Y761" s="230">
        <f>(FME_Ranking1[[#This Row],[Closures Raw]]/$X$2)*100</f>
        <v>0</v>
      </c>
      <c r="Z761" s="180">
        <f>FME_Ranking1[[#This Row],[Closures Score (Normalized, Unweighted)]]*$X$3</f>
        <v>0</v>
      </c>
      <c r="AA761" s="253">
        <f>_xlfn.XLOOKUP(FME_Ranking1[[#This Row],[FME ID]],FME_Input[FME_ID],FME_Input[ROAD_MILES100])</f>
        <v>54.576850891113281</v>
      </c>
      <c r="AB761" s="178">
        <f>(FME_Ranking1[[#This Row],[Miles Raw]]/$AA$2)*100</f>
        <v>0.71758770104060221</v>
      </c>
      <c r="AC761" s="178">
        <f>FME_Ranking1[[#This Row],[Miles Score (Normalized, Unweighted)]]*$AA$3</f>
        <v>7.1758770104060218E-2</v>
      </c>
      <c r="AD761" s="255">
        <f>_xlfn.XLOOKUP(FME_Ranking1[[#This Row],[FME ID]],FME_Input[FME_ID],FME_Input[FARMACRE100])</f>
        <v>33805.23828125</v>
      </c>
      <c r="AE761" s="230">
        <f>(FME_Ranking1[[#This Row],[Ag Land Raw]]/$AD$2)*100</f>
        <v>1.3939766974448615</v>
      </c>
      <c r="AF761" s="231">
        <f>FME_Ranking1[[#This Row],[Ag Land Score (Normalized, Unweighted)]]*$AD$3</f>
        <v>6.9698834872243084E-2</v>
      </c>
      <c r="AG76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0.24305354295780029</v>
      </c>
      <c r="AH761" s="406">
        <f t="shared" si="11"/>
        <v>718</v>
      </c>
      <c r="AI76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0.24305354295780029</v>
      </c>
      <c r="AJ761" s="257">
        <f>FME_Ranking1[[#This Row],[Addition check]]-FME_Ranking1[[#This Row],[Weighted Score Based on Normalized Reported Factors]]</f>
        <v>0</v>
      </c>
      <c r="AK761" s="178">
        <f>_xlfn.RANK.EQ(AI761,$AI$6:$AI$2341,0)+COUNTIF($AI$6:AI761,AI761)-1</f>
        <v>718</v>
      </c>
    </row>
    <row r="762" spans="1:37" x14ac:dyDescent="0.25">
      <c r="A762" t="s">
        <v>4279</v>
      </c>
      <c r="B762">
        <f>_xlfn.XLOOKUP(FME_Ranking1[[#This Row],[FME ID]],FME_Input[FME_ID],FME_Input[RFPG_NUM])</f>
        <v>3</v>
      </c>
      <c r="C762" t="str">
        <f>_xlfn.XLOOKUP(FME_Ranking1[[#This Row],[FME ID]],FME_Input[FME_ID],FME_Input[FME_NAME])</f>
        <v>Jack County DMP</v>
      </c>
      <c r="D762" t="str">
        <f>_xlfn.XLOOKUP(FME_Ranking1[[#This Row],[FME ID]],FME_Input[FME_ID],FME_Input[DESCR])</f>
        <v>Evaluate County and identify future projects.</v>
      </c>
      <c r="E762" s="256">
        <f>_xlfn.XLOOKUP(FME_Ranking1[[#This Row],[FME ID]],FME_Input[FME_ID],FME_Input[FME_COST])</f>
        <v>500000</v>
      </c>
      <c r="F762" t="str">
        <f>_xlfn.XLOOKUP(FME_Ranking1[[#This Row],[FME ID]],FME_Input[FME_ID],FME_Input[EMER_NEED])</f>
        <v>No</v>
      </c>
      <c r="G762">
        <f>IF(FME_Ranking!F762="Yes",100,0)</f>
        <v>0</v>
      </c>
      <c r="H762">
        <f>FME_Ranking1[[#This Row],[Emergency Need Score (Normalized, Unweighted)]]*$F$3</f>
        <v>0</v>
      </c>
      <c r="I762" s="246">
        <f>_xlfn.XLOOKUP(FME_Ranking1[[#This Row],[FME ID]],FME_Input[FME_ID],FME_Input[STRUCT_100])</f>
        <v>268</v>
      </c>
      <c r="J762" s="178">
        <f>(FME_Ranking1[[#This Row],[Structures 100 Raw]]/I$2)*100</f>
        <v>0.14351197361093262</v>
      </c>
      <c r="K762" s="178">
        <f>FME_Ranking1[[#This Row],[Structures 100  Score (Normalized, Unweighted)]]*$I$3</f>
        <v>2.1526796041639894E-2</v>
      </c>
      <c r="L762" s="246">
        <f>_xlfn.XLOOKUP(FME_Ranking1[[#This Row],[FME ID]],FME_Input[FME_ID],FME_Input[RES_STRUCT100])</f>
        <v>105</v>
      </c>
      <c r="M762" s="230">
        <f>(FME_Ranking1[[#This Row],[Res Structures Raw]]/L$2)*100</f>
        <v>7.4372087093255518E-2</v>
      </c>
      <c r="N762" s="180">
        <f>FME_Ranking1[[#This Row],[Res Structures Score (Normalized, Unweighted)]]*$L$3</f>
        <v>7.4372087093255521E-3</v>
      </c>
      <c r="O762" s="244">
        <f>_xlfn.XLOOKUP(FME_Ranking1[[#This Row],[FME ID]],FME_Input[FME_ID],FME_Input[POP100])</f>
        <v>231</v>
      </c>
      <c r="P762" s="178">
        <f>(FME_Ranking1[[#This Row],[Pop Raw]]/$O$2)*100</f>
        <v>2.3648697069404319E-2</v>
      </c>
      <c r="Q762" s="178">
        <f>FME_Ranking1[[#This Row],[Pop Score (Normalized, Unweighted)]]*$O$3</f>
        <v>3.5473045604106478E-3</v>
      </c>
      <c r="R762" s="137">
        <f>_xlfn.XLOOKUP(FME_Ranking1[[#This Row],[FME ID]],FME_Input[FME_ID],FME_Input[CRITFAC100])</f>
        <v>0</v>
      </c>
      <c r="S762" s="230">
        <f>(FME_Ranking1[[#This Row],[Critical Facilities Raw]]/$R$2)*100</f>
        <v>0</v>
      </c>
      <c r="T762" s="180">
        <f>FME_Ranking1[[#This Row],[Critical Facilities Score (Normalized, Unweighted)]]*$R$3</f>
        <v>0</v>
      </c>
      <c r="U762">
        <f>_xlfn.XLOOKUP(FME_Ranking1[[#This Row],[FME ID]],FME_Input[FME_ID],FME_Input[LWC])</f>
        <v>6</v>
      </c>
      <c r="V762" s="178">
        <f>(FME_Ranking1[[#This Row],[LWC Raw]]/$U$2)*100</f>
        <v>0.34542314335060448</v>
      </c>
      <c r="W762" s="178">
        <f>FME_Ranking1[[#This Row],[LWC Score (Normalized, Unweighted)]]*$U$3</f>
        <v>6.9084628670120898E-2</v>
      </c>
      <c r="X762" s="246">
        <f>_xlfn.XLOOKUP(FME_Ranking1[[#This Row],[FME ID]],FME_Input[FME_ID],FME_Input[ROADCLS])</f>
        <v>0</v>
      </c>
      <c r="Y762" s="230">
        <f>(FME_Ranking1[[#This Row],[Closures Raw]]/$X$2)*100</f>
        <v>0</v>
      </c>
      <c r="Z762" s="180">
        <f>FME_Ranking1[[#This Row],[Closures Score (Normalized, Unweighted)]]*$X$3</f>
        <v>0</v>
      </c>
      <c r="AA762" s="253">
        <f>_xlfn.XLOOKUP(FME_Ranking1[[#This Row],[FME ID]],FME_Input[FME_ID],FME_Input[ROAD_MILES100])</f>
        <v>54.576850891113281</v>
      </c>
      <c r="AB762" s="178">
        <f>(FME_Ranking1[[#This Row],[Miles Raw]]/$AA$2)*100</f>
        <v>0.71758770104060221</v>
      </c>
      <c r="AC762" s="178">
        <f>FME_Ranking1[[#This Row],[Miles Score (Normalized, Unweighted)]]*$AA$3</f>
        <v>7.1758770104060218E-2</v>
      </c>
      <c r="AD762" s="255">
        <f>_xlfn.XLOOKUP(FME_Ranking1[[#This Row],[FME ID]],FME_Input[FME_ID],FME_Input[FARMACRE100])</f>
        <v>33805.23828125</v>
      </c>
      <c r="AE762" s="230">
        <f>(FME_Ranking1[[#This Row],[Ag Land Raw]]/$AD$2)*100</f>
        <v>1.3939766974448615</v>
      </c>
      <c r="AF762" s="231">
        <f>FME_Ranking1[[#This Row],[Ag Land Score (Normalized, Unweighted)]]*$AD$3</f>
        <v>6.9698834872243084E-2</v>
      </c>
      <c r="AG76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0.24305354295780029</v>
      </c>
      <c r="AH762" s="406">
        <f t="shared" si="11"/>
        <v>718</v>
      </c>
      <c r="AI76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0.24305354295780029</v>
      </c>
      <c r="AJ762" s="257">
        <f>FME_Ranking1[[#This Row],[Addition check]]-FME_Ranking1[[#This Row],[Weighted Score Based on Normalized Reported Factors]]</f>
        <v>0</v>
      </c>
      <c r="AK762" s="178">
        <f>_xlfn.RANK.EQ(AI762,$AI$6:$AI$2341,0)+COUNTIF($AI$6:AI762,AI762)-1</f>
        <v>719</v>
      </c>
    </row>
    <row r="763" spans="1:37" x14ac:dyDescent="0.25">
      <c r="A763" t="s">
        <v>2148</v>
      </c>
      <c r="B763">
        <f>_xlfn.XLOOKUP(FME_Ranking1[[#This Row],[FME ID]],FME_Input[FME_ID],FME_Input[RFPG_NUM])</f>
        <v>6</v>
      </c>
      <c r="C763" t="str">
        <f>_xlfn.XLOOKUP(FME_Ranking1[[#This Row],[FME ID]],FME_Input[FME_ID],FME_Input[FME_NAME])</f>
        <v>Danubina Drainage Improvements</v>
      </c>
      <c r="D763" t="str">
        <f>_xlfn.XLOOKUP(FME_Ranking1[[#This Row],[FME ID]],FME_Input[FME_ID],FME_Input[DESCR])</f>
        <v xml:space="preserve">Study to further this project and develop an FMP. This CDBG-MIT application involves the installation and construction of various storm sewer and detention infrastructure. </v>
      </c>
      <c r="E763" s="256">
        <f>_xlfn.XLOOKUP(FME_Ranking1[[#This Row],[FME ID]],FME_Input[FME_ID],FME_Input[FME_COST])</f>
        <v>30000</v>
      </c>
      <c r="F763" t="str">
        <f>_xlfn.XLOOKUP(FME_Ranking1[[#This Row],[FME ID]],FME_Input[FME_ID],FME_Input[EMER_NEED])</f>
        <v>No</v>
      </c>
      <c r="G763">
        <f>IF(FME_Ranking!F763="Yes",100,0)</f>
        <v>0</v>
      </c>
      <c r="H763">
        <f>FME_Ranking1[[#This Row],[Emergency Need Score (Normalized, Unweighted)]]*$F$3</f>
        <v>0</v>
      </c>
      <c r="I763" s="246">
        <f>_xlfn.XLOOKUP(FME_Ranking1[[#This Row],[FME ID]],FME_Input[FME_ID],FME_Input[STRUCT_100])</f>
        <v>550</v>
      </c>
      <c r="J763" s="178">
        <f>(FME_Ranking1[[#This Row],[Structures 100 Raw]]/I$2)*100</f>
        <v>0.29452084136571993</v>
      </c>
      <c r="K763" s="178">
        <f>FME_Ranking1[[#This Row],[Structures 100  Score (Normalized, Unweighted)]]*$I$3</f>
        <v>4.417812620485799E-2</v>
      </c>
      <c r="L763" s="246">
        <f>_xlfn.XLOOKUP(FME_Ranking1[[#This Row],[FME ID]],FME_Input[FME_ID],FME_Input[RES_STRUCT100])</f>
        <v>440</v>
      </c>
      <c r="M763" s="230">
        <f>(FME_Ranking1[[#This Row],[Res Structures Raw]]/L$2)*100</f>
        <v>0.31165446020030879</v>
      </c>
      <c r="N763" s="180">
        <f>FME_Ranking1[[#This Row],[Res Structures Score (Normalized, Unweighted)]]*$L$3</f>
        <v>3.1165446020030879E-2</v>
      </c>
      <c r="O763" s="244">
        <f>_xlfn.XLOOKUP(FME_Ranking1[[#This Row],[FME ID]],FME_Input[FME_ID],FME_Input[POP100])</f>
        <v>2324</v>
      </c>
      <c r="P763" s="178">
        <f>(FME_Ranking1[[#This Row],[Pop Raw]]/$O$2)*100</f>
        <v>0.2379202250618859</v>
      </c>
      <c r="Q763" s="178">
        <f>FME_Ranking1[[#This Row],[Pop Score (Normalized, Unweighted)]]*$O$3</f>
        <v>3.5688033759282881E-2</v>
      </c>
      <c r="R763" s="137">
        <f>_xlfn.XLOOKUP(FME_Ranking1[[#This Row],[FME ID]],FME_Input[FME_ID],FME_Input[CRITFAC100])</f>
        <v>7</v>
      </c>
      <c r="S763" s="230">
        <f>(FME_Ranking1[[#This Row],[Critical Facilities Raw]]/$R$2)*100</f>
        <v>0.30017152658662088</v>
      </c>
      <c r="T763" s="180">
        <f>FME_Ranking1[[#This Row],[Critical Facilities Score (Normalized, Unweighted)]]*$R$3</f>
        <v>6.0034305317324177E-2</v>
      </c>
      <c r="U763">
        <f>_xlfn.XLOOKUP(FME_Ranking1[[#This Row],[FME ID]],FME_Input[FME_ID],FME_Input[LWC])</f>
        <v>0</v>
      </c>
      <c r="V763" s="178">
        <f>(FME_Ranking1[[#This Row],[LWC Raw]]/$U$2)*100</f>
        <v>0</v>
      </c>
      <c r="W763" s="178">
        <f>FME_Ranking1[[#This Row],[LWC Score (Normalized, Unweighted)]]*$U$3</f>
        <v>0</v>
      </c>
      <c r="X763" s="246">
        <f>_xlfn.XLOOKUP(FME_Ranking1[[#This Row],[FME ID]],FME_Input[FME_ID],FME_Input[ROADCLS])</f>
        <v>0</v>
      </c>
      <c r="Y763" s="230">
        <f>(FME_Ranking1[[#This Row],[Closures Raw]]/$X$2)*100</f>
        <v>0</v>
      </c>
      <c r="Z763" s="180">
        <f>FME_Ranking1[[#This Row],[Closures Score (Normalized, Unweighted)]]*$X$3</f>
        <v>0</v>
      </c>
      <c r="AA763" s="253">
        <f>_xlfn.XLOOKUP(FME_Ranking1[[#This Row],[FME ID]],FME_Input[FME_ID],FME_Input[ROAD_MILES100])</f>
        <v>13.82215690612793</v>
      </c>
      <c r="AB763" s="178">
        <f>(FME_Ranking1[[#This Row],[Miles Raw]]/$AA$2)*100</f>
        <v>0.18173657211332186</v>
      </c>
      <c r="AC763" s="178">
        <f>FME_Ranking1[[#This Row],[Miles Score (Normalized, Unweighted)]]*$AA$3</f>
        <v>1.8173657211332187E-2</v>
      </c>
      <c r="AD763" s="255">
        <f>_xlfn.XLOOKUP(FME_Ranking1[[#This Row],[FME ID]],FME_Input[FME_ID],FME_Input[FARMACRE100])</f>
        <v>98.242111206054688</v>
      </c>
      <c r="AE763" s="230">
        <f>(FME_Ranking1[[#This Row],[Ag Land Raw]]/$AD$2)*100</f>
        <v>4.0510648849644221E-3</v>
      </c>
      <c r="AF763" s="231">
        <f>FME_Ranking1[[#This Row],[Ag Land Score (Normalized, Unweighted)]]*$AD$3</f>
        <v>2.0255324424822111E-4</v>
      </c>
      <c r="AG76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0.18944212175707634</v>
      </c>
      <c r="AH763" s="406">
        <f t="shared" si="11"/>
        <v>821</v>
      </c>
      <c r="AI76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0.18944212175707634</v>
      </c>
      <c r="AJ763" s="257">
        <f>FME_Ranking1[[#This Row],[Addition check]]-FME_Ranking1[[#This Row],[Weighted Score Based on Normalized Reported Factors]]</f>
        <v>0</v>
      </c>
      <c r="AK763" s="178">
        <f>_xlfn.RANK.EQ(AI763,$AI$6:$AI$2341,0)+COUNTIF($AI$6:AI763,AI763)-1</f>
        <v>821</v>
      </c>
    </row>
    <row r="764" spans="1:37" x14ac:dyDescent="0.25">
      <c r="A764" t="s">
        <v>2153</v>
      </c>
      <c r="B764">
        <f>_xlfn.XLOOKUP(FME_Ranking1[[#This Row],[FME ID]],FME_Input[FME_ID],FME_Input[RFPG_NUM])</f>
        <v>6</v>
      </c>
      <c r="C764" t="str">
        <f>_xlfn.XLOOKUP(FME_Ranking1[[#This Row],[FME ID]],FME_Input[FME_ID],FME_Input[FME_NAME])</f>
        <v>North Alexander Drainage Improvements</v>
      </c>
      <c r="D764" t="str">
        <f>_xlfn.XLOOKUP(FME_Ranking1[[#This Row],[FME ID]],FME_Input[FME_ID],FME_Input[DESCR])</f>
        <v xml:space="preserve">Further study to develop this project into a FMP. This CDBG-MIT application involves the installation and construction of various storm sewer and detention infrastructure. </v>
      </c>
      <c r="E764" s="256">
        <f>_xlfn.XLOOKUP(FME_Ranking1[[#This Row],[FME ID]],FME_Input[FME_ID],FME_Input[FME_COST])</f>
        <v>30000</v>
      </c>
      <c r="F764" t="str">
        <f>_xlfn.XLOOKUP(FME_Ranking1[[#This Row],[FME ID]],FME_Input[FME_ID],FME_Input[EMER_NEED])</f>
        <v>No</v>
      </c>
      <c r="G764">
        <f>IF(FME_Ranking!F764="Yes",100,0)</f>
        <v>0</v>
      </c>
      <c r="H764">
        <f>FME_Ranking1[[#This Row],[Emergency Need Score (Normalized, Unweighted)]]*$F$3</f>
        <v>0</v>
      </c>
      <c r="I764" s="246">
        <f>_xlfn.XLOOKUP(FME_Ranking1[[#This Row],[FME ID]],FME_Input[FME_ID],FME_Input[STRUCT_100])</f>
        <v>550</v>
      </c>
      <c r="J764" s="178">
        <f>(FME_Ranking1[[#This Row],[Structures 100 Raw]]/I$2)*100</f>
        <v>0.29452084136571993</v>
      </c>
      <c r="K764" s="178">
        <f>FME_Ranking1[[#This Row],[Structures 100  Score (Normalized, Unweighted)]]*$I$3</f>
        <v>4.417812620485799E-2</v>
      </c>
      <c r="L764" s="246">
        <f>_xlfn.XLOOKUP(FME_Ranking1[[#This Row],[FME ID]],FME_Input[FME_ID],FME_Input[RES_STRUCT100])</f>
        <v>440</v>
      </c>
      <c r="M764" s="230">
        <f>(FME_Ranking1[[#This Row],[Res Structures Raw]]/L$2)*100</f>
        <v>0.31165446020030879</v>
      </c>
      <c r="N764" s="180">
        <f>FME_Ranking1[[#This Row],[Res Structures Score (Normalized, Unweighted)]]*$L$3</f>
        <v>3.1165446020030879E-2</v>
      </c>
      <c r="O764" s="244">
        <f>_xlfn.XLOOKUP(FME_Ranking1[[#This Row],[FME ID]],FME_Input[FME_ID],FME_Input[POP100])</f>
        <v>2324</v>
      </c>
      <c r="P764" s="178">
        <f>(FME_Ranking1[[#This Row],[Pop Raw]]/$O$2)*100</f>
        <v>0.2379202250618859</v>
      </c>
      <c r="Q764" s="178">
        <f>FME_Ranking1[[#This Row],[Pop Score (Normalized, Unweighted)]]*$O$3</f>
        <v>3.5688033759282881E-2</v>
      </c>
      <c r="R764" s="137">
        <f>_xlfn.XLOOKUP(FME_Ranking1[[#This Row],[FME ID]],FME_Input[FME_ID],FME_Input[CRITFAC100])</f>
        <v>7</v>
      </c>
      <c r="S764" s="230">
        <f>(FME_Ranking1[[#This Row],[Critical Facilities Raw]]/$R$2)*100</f>
        <v>0.30017152658662088</v>
      </c>
      <c r="T764" s="180">
        <f>FME_Ranking1[[#This Row],[Critical Facilities Score (Normalized, Unweighted)]]*$R$3</f>
        <v>6.0034305317324177E-2</v>
      </c>
      <c r="U764">
        <f>_xlfn.XLOOKUP(FME_Ranking1[[#This Row],[FME ID]],FME_Input[FME_ID],FME_Input[LWC])</f>
        <v>0</v>
      </c>
      <c r="V764" s="178">
        <f>(FME_Ranking1[[#This Row],[LWC Raw]]/$U$2)*100</f>
        <v>0</v>
      </c>
      <c r="W764" s="178">
        <f>FME_Ranking1[[#This Row],[LWC Score (Normalized, Unweighted)]]*$U$3</f>
        <v>0</v>
      </c>
      <c r="X764" s="246">
        <f>_xlfn.XLOOKUP(FME_Ranking1[[#This Row],[FME ID]],FME_Input[FME_ID],FME_Input[ROADCLS])</f>
        <v>0</v>
      </c>
      <c r="Y764" s="230">
        <f>(FME_Ranking1[[#This Row],[Closures Raw]]/$X$2)*100</f>
        <v>0</v>
      </c>
      <c r="Z764" s="180">
        <f>FME_Ranking1[[#This Row],[Closures Score (Normalized, Unweighted)]]*$X$3</f>
        <v>0</v>
      </c>
      <c r="AA764" s="253">
        <f>_xlfn.XLOOKUP(FME_Ranking1[[#This Row],[FME ID]],FME_Input[FME_ID],FME_Input[ROAD_MILES100])</f>
        <v>13.82215690612793</v>
      </c>
      <c r="AB764" s="178">
        <f>(FME_Ranking1[[#This Row],[Miles Raw]]/$AA$2)*100</f>
        <v>0.18173657211332186</v>
      </c>
      <c r="AC764" s="178">
        <f>FME_Ranking1[[#This Row],[Miles Score (Normalized, Unweighted)]]*$AA$3</f>
        <v>1.8173657211332187E-2</v>
      </c>
      <c r="AD764" s="255">
        <f>_xlfn.XLOOKUP(FME_Ranking1[[#This Row],[FME ID]],FME_Input[FME_ID],FME_Input[FARMACRE100])</f>
        <v>98.242111206054688</v>
      </c>
      <c r="AE764" s="230">
        <f>(FME_Ranking1[[#This Row],[Ag Land Raw]]/$AD$2)*100</f>
        <v>4.0510648849644221E-3</v>
      </c>
      <c r="AF764" s="231">
        <f>FME_Ranking1[[#This Row],[Ag Land Score (Normalized, Unweighted)]]*$AD$3</f>
        <v>2.0255324424822111E-4</v>
      </c>
      <c r="AG76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0.18944212175707634</v>
      </c>
      <c r="AH764" s="406">
        <f t="shared" si="11"/>
        <v>821</v>
      </c>
      <c r="AI76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0.18944212175707634</v>
      </c>
      <c r="AJ764" s="257">
        <f>FME_Ranking1[[#This Row],[Addition check]]-FME_Ranking1[[#This Row],[Weighted Score Based on Normalized Reported Factors]]</f>
        <v>0</v>
      </c>
      <c r="AK764" s="178">
        <f>_xlfn.RANK.EQ(AI764,$AI$6:$AI$2341,0)+COUNTIF($AI$6:AI764,AI764)-1</f>
        <v>822</v>
      </c>
    </row>
    <row r="765" spans="1:37" x14ac:dyDescent="0.25">
      <c r="A765" t="s">
        <v>2561</v>
      </c>
      <c r="B765">
        <f>_xlfn.XLOOKUP(FME_Ranking1[[#This Row],[FME ID]],FME_Input[FME_ID],FME_Input[RFPG_NUM])</f>
        <v>1</v>
      </c>
      <c r="C765" t="str">
        <f>_xlfn.XLOOKUP(FME_Ranking1[[#This Row],[FME ID]],FME_Input[FME_ID],FME_Input[FME_NAME])</f>
        <v>Ochiltree County Drainage Master Plan</v>
      </c>
      <c r="D765" t="str">
        <f>_xlfn.XLOOKUP(FME_Ranking1[[#This Row],[FME ID]],FME_Input[FME_ID],FME_Input[DESCR])</f>
        <v>Perform H&amp;H modeling, develop conceptual alternatives and OPCC, and rank projects; selected based on HMAPs</v>
      </c>
      <c r="E765" s="256">
        <f>_xlfn.XLOOKUP(FME_Ranking1[[#This Row],[FME ID]],FME_Input[FME_ID],FME_Input[FME_COST])</f>
        <v>500000</v>
      </c>
      <c r="F765" t="str">
        <f>_xlfn.XLOOKUP(FME_Ranking1[[#This Row],[FME ID]],FME_Input[FME_ID],FME_Input[EMER_NEED])</f>
        <v>No</v>
      </c>
      <c r="G765">
        <f>IF(FME_Ranking!F765="Yes",100,0)</f>
        <v>0</v>
      </c>
      <c r="H765">
        <f>FME_Ranking1[[#This Row],[Emergency Need Score (Normalized, Unweighted)]]*$F$3</f>
        <v>0</v>
      </c>
      <c r="I765" s="246">
        <f>_xlfn.XLOOKUP(FME_Ranking1[[#This Row],[FME ID]],FME_Input[FME_ID],FME_Input[STRUCT_100])</f>
        <v>369</v>
      </c>
      <c r="J765" s="178">
        <f>(FME_Ranking1[[#This Row],[Structures 100 Raw]]/I$2)*100</f>
        <v>0.19759670993445572</v>
      </c>
      <c r="K765" s="178">
        <f>FME_Ranking1[[#This Row],[Structures 100  Score (Normalized, Unweighted)]]*$I$3</f>
        <v>2.9639506490168357E-2</v>
      </c>
      <c r="L765" s="246">
        <f>_xlfn.XLOOKUP(FME_Ranking1[[#This Row],[FME ID]],FME_Input[FME_ID],FME_Input[RES_STRUCT100])</f>
        <v>161</v>
      </c>
      <c r="M765" s="230">
        <f>(FME_Ranking1[[#This Row],[Res Structures Raw]]/L$2)*100</f>
        <v>0.11403720020965846</v>
      </c>
      <c r="N765" s="180">
        <f>FME_Ranking1[[#This Row],[Res Structures Score (Normalized, Unweighted)]]*$L$3</f>
        <v>1.1403720020965846E-2</v>
      </c>
      <c r="O765" s="244">
        <f>_xlfn.XLOOKUP(FME_Ranking1[[#This Row],[FME ID]],FME_Input[FME_ID],FME_Input[POP100])</f>
        <v>658</v>
      </c>
      <c r="P765" s="178">
        <f>(FME_Ranking1[[#This Row],[Pop Raw]]/$O$2)*100</f>
        <v>6.7362955288606238E-2</v>
      </c>
      <c r="Q765" s="178">
        <f>FME_Ranking1[[#This Row],[Pop Score (Normalized, Unweighted)]]*$O$3</f>
        <v>1.0104443293290936E-2</v>
      </c>
      <c r="R765" s="137">
        <f>_xlfn.XLOOKUP(FME_Ranking1[[#This Row],[FME ID]],FME_Input[FME_ID],FME_Input[CRITFAC100])</f>
        <v>1</v>
      </c>
      <c r="S765" s="230">
        <f>(FME_Ranking1[[#This Row],[Critical Facilities Raw]]/$R$2)*100</f>
        <v>4.2881646655231559E-2</v>
      </c>
      <c r="T765" s="180">
        <f>FME_Ranking1[[#This Row],[Critical Facilities Score (Normalized, Unweighted)]]*$R$3</f>
        <v>8.5763293310463125E-3</v>
      </c>
      <c r="U765">
        <f>_xlfn.XLOOKUP(FME_Ranking1[[#This Row],[FME ID]],FME_Input[FME_ID],FME_Input[LWC])</f>
        <v>1</v>
      </c>
      <c r="V765" s="178">
        <f>(FME_Ranking1[[#This Row],[LWC Raw]]/$U$2)*100</f>
        <v>5.7570523891767422E-2</v>
      </c>
      <c r="W765" s="178">
        <f>FME_Ranking1[[#This Row],[LWC Score (Normalized, Unweighted)]]*$U$3</f>
        <v>1.1514104778353485E-2</v>
      </c>
      <c r="X765" s="246">
        <f>_xlfn.XLOOKUP(FME_Ranking1[[#This Row],[FME ID]],FME_Input[FME_ID],FME_Input[ROADCLS])</f>
        <v>1</v>
      </c>
      <c r="Y765" s="230">
        <f>(FME_Ranking1[[#This Row],[Closures Raw]]/$X$2)*100</f>
        <v>1.0514141520344864E-2</v>
      </c>
      <c r="Z765" s="180">
        <f>FME_Ranking1[[#This Row],[Closures Score (Normalized, Unweighted)]]*$X$3</f>
        <v>5.2570707601724321E-4</v>
      </c>
      <c r="AA765" s="253">
        <f>_xlfn.XLOOKUP(FME_Ranking1[[#This Row],[FME ID]],FME_Input[FME_ID],FME_Input[ROAD_MILES100])</f>
        <v>30.917278289794918</v>
      </c>
      <c r="AB765" s="178">
        <f>(FME_Ranking1[[#This Row],[Miles Raw]]/$AA$2)*100</f>
        <v>0.40650675676890274</v>
      </c>
      <c r="AC765" s="178">
        <f>FME_Ranking1[[#This Row],[Miles Score (Normalized, Unweighted)]]*$AA$3</f>
        <v>4.0650675676890277E-2</v>
      </c>
      <c r="AD765" s="255">
        <f>_xlfn.XLOOKUP(FME_Ranking1[[#This Row],[FME ID]],FME_Input[FME_ID],FME_Input[FARMACRE100])</f>
        <v>48149.85546875</v>
      </c>
      <c r="AE765" s="230">
        <f>(FME_Ranking1[[#This Row],[Ag Land Raw]]/$AD$2)*100</f>
        <v>1.985484496525598</v>
      </c>
      <c r="AF765" s="231">
        <f>FME_Ranking1[[#This Row],[Ag Land Score (Normalized, Unweighted)]]*$AD$3</f>
        <v>9.92742248262799E-2</v>
      </c>
      <c r="AG76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0.21168871149301238</v>
      </c>
      <c r="AH765" s="406">
        <f t="shared" si="11"/>
        <v>785</v>
      </c>
      <c r="AI76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0.21168871149301238</v>
      </c>
      <c r="AJ765" s="257">
        <f>FME_Ranking1[[#This Row],[Addition check]]-FME_Ranking1[[#This Row],[Weighted Score Based on Normalized Reported Factors]]</f>
        <v>0</v>
      </c>
      <c r="AK765" s="178">
        <f>_xlfn.RANK.EQ(AI765,$AI$6:$AI$2341,0)+COUNTIF($AI$6:AI765,AI765)-1</f>
        <v>785</v>
      </c>
    </row>
    <row r="766" spans="1:37" x14ac:dyDescent="0.25">
      <c r="A766" t="s">
        <v>2958</v>
      </c>
      <c r="B766">
        <f>_xlfn.XLOOKUP(FME_Ranking1[[#This Row],[FME ID]],FME_Input[FME_ID],FME_Input[RFPG_NUM])</f>
        <v>1</v>
      </c>
      <c r="C766" t="str">
        <f>_xlfn.XLOOKUP(FME_Ranking1[[#This Row],[FME ID]],FME_Input[FME_ID],FME_Input[FME_NAME])</f>
        <v>Ochiltree County FIS</v>
      </c>
      <c r="D766" t="str">
        <f>_xlfn.XLOOKUP(FME_Ranking1[[#This Row],[FME ID]],FME_Input[FME_ID],FME_Input[DESCR])</f>
        <v>Perform flood insurance study for the county and develop regulatory mapping</v>
      </c>
      <c r="E766" s="256">
        <f>_xlfn.XLOOKUP(FME_Ranking1[[#This Row],[FME ID]],FME_Input[FME_ID],FME_Input[FME_COST])</f>
        <v>859000</v>
      </c>
      <c r="F766" t="str">
        <f>_xlfn.XLOOKUP(FME_Ranking1[[#This Row],[FME ID]],FME_Input[FME_ID],FME_Input[EMER_NEED])</f>
        <v>No</v>
      </c>
      <c r="G766">
        <f>IF(FME_Ranking!F766="Yes",100,0)</f>
        <v>0</v>
      </c>
      <c r="H766">
        <f>FME_Ranking1[[#This Row],[Emergency Need Score (Normalized, Unweighted)]]*$F$3</f>
        <v>0</v>
      </c>
      <c r="I766" s="246">
        <f>_xlfn.XLOOKUP(FME_Ranking1[[#This Row],[FME ID]],FME_Input[FME_ID],FME_Input[STRUCT_100])</f>
        <v>369</v>
      </c>
      <c r="J766" s="178">
        <f>(FME_Ranking1[[#This Row],[Structures 100 Raw]]/I$2)*100</f>
        <v>0.19759670993445572</v>
      </c>
      <c r="K766" s="178">
        <f>FME_Ranking1[[#This Row],[Structures 100  Score (Normalized, Unweighted)]]*$I$3</f>
        <v>2.9639506490168357E-2</v>
      </c>
      <c r="L766" s="246">
        <f>_xlfn.XLOOKUP(FME_Ranking1[[#This Row],[FME ID]],FME_Input[FME_ID],FME_Input[RES_STRUCT100])</f>
        <v>161</v>
      </c>
      <c r="M766" s="230">
        <f>(FME_Ranking1[[#This Row],[Res Structures Raw]]/L$2)*100</f>
        <v>0.11403720020965846</v>
      </c>
      <c r="N766" s="180">
        <f>FME_Ranking1[[#This Row],[Res Structures Score (Normalized, Unweighted)]]*$L$3</f>
        <v>1.1403720020965846E-2</v>
      </c>
      <c r="O766" s="244">
        <f>_xlfn.XLOOKUP(FME_Ranking1[[#This Row],[FME ID]],FME_Input[FME_ID],FME_Input[POP100])</f>
        <v>658</v>
      </c>
      <c r="P766" s="178">
        <f>(FME_Ranking1[[#This Row],[Pop Raw]]/$O$2)*100</f>
        <v>6.7362955288606238E-2</v>
      </c>
      <c r="Q766" s="178">
        <f>FME_Ranking1[[#This Row],[Pop Score (Normalized, Unweighted)]]*$O$3</f>
        <v>1.0104443293290936E-2</v>
      </c>
      <c r="R766" s="137">
        <f>_xlfn.XLOOKUP(FME_Ranking1[[#This Row],[FME ID]],FME_Input[FME_ID],FME_Input[CRITFAC100])</f>
        <v>1</v>
      </c>
      <c r="S766" s="230">
        <f>(FME_Ranking1[[#This Row],[Critical Facilities Raw]]/$R$2)*100</f>
        <v>4.2881646655231559E-2</v>
      </c>
      <c r="T766" s="180">
        <f>FME_Ranking1[[#This Row],[Critical Facilities Score (Normalized, Unweighted)]]*$R$3</f>
        <v>8.5763293310463125E-3</v>
      </c>
      <c r="U766">
        <f>_xlfn.XLOOKUP(FME_Ranking1[[#This Row],[FME ID]],FME_Input[FME_ID],FME_Input[LWC])</f>
        <v>1</v>
      </c>
      <c r="V766" s="178">
        <f>(FME_Ranking1[[#This Row],[LWC Raw]]/$U$2)*100</f>
        <v>5.7570523891767422E-2</v>
      </c>
      <c r="W766" s="178">
        <f>FME_Ranking1[[#This Row],[LWC Score (Normalized, Unweighted)]]*$U$3</f>
        <v>1.1514104778353485E-2</v>
      </c>
      <c r="X766" s="246">
        <f>_xlfn.XLOOKUP(FME_Ranking1[[#This Row],[FME ID]],FME_Input[FME_ID],FME_Input[ROADCLS])</f>
        <v>1</v>
      </c>
      <c r="Y766" s="230">
        <f>(FME_Ranking1[[#This Row],[Closures Raw]]/$X$2)*100</f>
        <v>1.0514141520344864E-2</v>
      </c>
      <c r="Z766" s="180">
        <f>FME_Ranking1[[#This Row],[Closures Score (Normalized, Unweighted)]]*$X$3</f>
        <v>5.2570707601724321E-4</v>
      </c>
      <c r="AA766" s="253">
        <f>_xlfn.XLOOKUP(FME_Ranking1[[#This Row],[FME ID]],FME_Input[FME_ID],FME_Input[ROAD_MILES100])</f>
        <v>30.917278289794918</v>
      </c>
      <c r="AB766" s="178">
        <f>(FME_Ranking1[[#This Row],[Miles Raw]]/$AA$2)*100</f>
        <v>0.40650675676890274</v>
      </c>
      <c r="AC766" s="178">
        <f>FME_Ranking1[[#This Row],[Miles Score (Normalized, Unweighted)]]*$AA$3</f>
        <v>4.0650675676890277E-2</v>
      </c>
      <c r="AD766" s="255">
        <f>_xlfn.XLOOKUP(FME_Ranking1[[#This Row],[FME ID]],FME_Input[FME_ID],FME_Input[FARMACRE100])</f>
        <v>48149.85546875</v>
      </c>
      <c r="AE766" s="230">
        <f>(FME_Ranking1[[#This Row],[Ag Land Raw]]/$AD$2)*100</f>
        <v>1.985484496525598</v>
      </c>
      <c r="AF766" s="231">
        <f>FME_Ranking1[[#This Row],[Ag Land Score (Normalized, Unweighted)]]*$AD$3</f>
        <v>9.92742248262799E-2</v>
      </c>
      <c r="AG76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0.21168871149301238</v>
      </c>
      <c r="AH766" s="406">
        <f t="shared" si="11"/>
        <v>785</v>
      </c>
      <c r="AI76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0.21168871149301238</v>
      </c>
      <c r="AJ766" s="257">
        <f>FME_Ranking1[[#This Row],[Addition check]]-FME_Ranking1[[#This Row],[Weighted Score Based on Normalized Reported Factors]]</f>
        <v>0</v>
      </c>
      <c r="AK766" s="178">
        <f>_xlfn.RANK.EQ(AI766,$AI$6:$AI$2341,0)+COUNTIF($AI$6:AI766,AI766)-1</f>
        <v>786</v>
      </c>
    </row>
    <row r="767" spans="1:37" x14ac:dyDescent="0.25">
      <c r="A767" t="s">
        <v>2806</v>
      </c>
      <c r="B767">
        <f>_xlfn.XLOOKUP(FME_Ranking1[[#This Row],[FME ID]],FME_Input[FME_ID],FME_Input[RFPG_NUM])</f>
        <v>1</v>
      </c>
      <c r="C767" t="str">
        <f>_xlfn.XLOOKUP(FME_Ranking1[[#This Row],[FME ID]],FME_Input[FME_ID],FME_Input[FME_NAME])</f>
        <v>Foard County FIS</v>
      </c>
      <c r="D767" t="str">
        <f>_xlfn.XLOOKUP(FME_Ranking1[[#This Row],[FME ID]],FME_Input[FME_ID],FME_Input[DESCR])</f>
        <v>Perform flood insurance study for the county and develop regulatory mapping</v>
      </c>
      <c r="E767" s="256">
        <f>_xlfn.XLOOKUP(FME_Ranking1[[#This Row],[FME ID]],FME_Input[FME_ID],FME_Input[FME_COST])</f>
        <v>749000</v>
      </c>
      <c r="F767" t="str">
        <f>_xlfn.XLOOKUP(FME_Ranking1[[#This Row],[FME ID]],FME_Input[FME_ID],FME_Input[EMER_NEED])</f>
        <v>No</v>
      </c>
      <c r="G767">
        <f>IF(FME_Ranking!F767="Yes",100,0)</f>
        <v>0</v>
      </c>
      <c r="H767">
        <f>FME_Ranking1[[#This Row],[Emergency Need Score (Normalized, Unweighted)]]*$F$3</f>
        <v>0</v>
      </c>
      <c r="I767" s="246">
        <f>_xlfn.XLOOKUP(FME_Ranking1[[#This Row],[FME ID]],FME_Input[FME_ID],FME_Input[STRUCT_100])</f>
        <v>23</v>
      </c>
      <c r="J767" s="178">
        <f>(FME_Ranking1[[#This Row],[Structures 100 Raw]]/I$2)*100</f>
        <v>1.231632609347556E-2</v>
      </c>
      <c r="K767" s="178">
        <f>FME_Ranking1[[#This Row],[Structures 100  Score (Normalized, Unweighted)]]*$I$3</f>
        <v>1.8474489140213339E-3</v>
      </c>
      <c r="L767" s="246">
        <f>_xlfn.XLOOKUP(FME_Ranking1[[#This Row],[FME ID]],FME_Input[FME_ID],FME_Input[RES_STRUCT100])</f>
        <v>3</v>
      </c>
      <c r="M767" s="230">
        <f>(FME_Ranking1[[#This Row],[Res Structures Raw]]/L$2)*100</f>
        <v>2.1249167740930146E-3</v>
      </c>
      <c r="N767" s="180">
        <f>FME_Ranking1[[#This Row],[Res Structures Score (Normalized, Unweighted)]]*$L$3</f>
        <v>2.1249167740930149E-4</v>
      </c>
      <c r="O767" s="244">
        <f>_xlfn.XLOOKUP(FME_Ranking1[[#This Row],[FME ID]],FME_Input[FME_ID],FME_Input[POP100])</f>
        <v>14</v>
      </c>
      <c r="P767" s="178">
        <f>(FME_Ranking1[[#This Row],[Pop Raw]]/$O$2)*100</f>
        <v>1.4332543678426859E-3</v>
      </c>
      <c r="Q767" s="178">
        <f>FME_Ranking1[[#This Row],[Pop Score (Normalized, Unweighted)]]*$O$3</f>
        <v>2.1498815517640289E-4</v>
      </c>
      <c r="R767" s="137">
        <f>_xlfn.XLOOKUP(FME_Ranking1[[#This Row],[FME ID]],FME_Input[FME_ID],FME_Input[CRITFAC100])</f>
        <v>0</v>
      </c>
      <c r="S767" s="230">
        <f>(FME_Ranking1[[#This Row],[Critical Facilities Raw]]/$R$2)*100</f>
        <v>0</v>
      </c>
      <c r="T767" s="180">
        <f>FME_Ranking1[[#This Row],[Critical Facilities Score (Normalized, Unweighted)]]*$R$3</f>
        <v>0</v>
      </c>
      <c r="U767">
        <f>_xlfn.XLOOKUP(FME_Ranking1[[#This Row],[FME ID]],FME_Input[FME_ID],FME_Input[LWC])</f>
        <v>4</v>
      </c>
      <c r="V767" s="178">
        <f>(FME_Ranking1[[#This Row],[LWC Raw]]/$U$2)*100</f>
        <v>0.23028209556706969</v>
      </c>
      <c r="W767" s="178">
        <f>FME_Ranking1[[#This Row],[LWC Score (Normalized, Unweighted)]]*$U$3</f>
        <v>4.6056419113413939E-2</v>
      </c>
      <c r="X767" s="246">
        <f>_xlfn.XLOOKUP(FME_Ranking1[[#This Row],[FME ID]],FME_Input[FME_ID],FME_Input[ROADCLS])</f>
        <v>5</v>
      </c>
      <c r="Y767" s="230">
        <f>(FME_Ranking1[[#This Row],[Closures Raw]]/$X$2)*100</f>
        <v>5.2570707601724324E-2</v>
      </c>
      <c r="Z767" s="180">
        <f>FME_Ranking1[[#This Row],[Closures Score (Normalized, Unweighted)]]*$X$3</f>
        <v>2.6285353800862164E-3</v>
      </c>
      <c r="AA767" s="253">
        <f>_xlfn.XLOOKUP(FME_Ranking1[[#This Row],[FME ID]],FME_Input[FME_ID],FME_Input[ROAD_MILES100])</f>
        <v>35.839027404785163</v>
      </c>
      <c r="AB767" s="178">
        <f>(FME_Ranking1[[#This Row],[Miles Raw]]/$AA$2)*100</f>
        <v>0.471218930059567</v>
      </c>
      <c r="AC767" s="178">
        <f>FME_Ranking1[[#This Row],[Miles Score (Normalized, Unweighted)]]*$AA$3</f>
        <v>4.7121893005956705E-2</v>
      </c>
      <c r="AD767" s="255">
        <f>_xlfn.XLOOKUP(FME_Ranking1[[#This Row],[FME ID]],FME_Input[FME_ID],FME_Input[FARMACRE100])</f>
        <v>58148.12890625</v>
      </c>
      <c r="AE767" s="230">
        <f>(FME_Ranking1[[#This Row],[Ag Land Raw]]/$AD$2)*100</f>
        <v>2.397768535780167</v>
      </c>
      <c r="AF767" s="231">
        <f>FME_Ranking1[[#This Row],[Ag Land Score (Normalized, Unweighted)]]*$AD$3</f>
        <v>0.11988842678900835</v>
      </c>
      <c r="AG76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0.21797020303507225</v>
      </c>
      <c r="AH767" s="406">
        <f t="shared" si="11"/>
        <v>780</v>
      </c>
      <c r="AI76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0.21797020303507225</v>
      </c>
      <c r="AJ767" s="257">
        <f>FME_Ranking1[[#This Row],[Addition check]]-FME_Ranking1[[#This Row],[Weighted Score Based on Normalized Reported Factors]]</f>
        <v>0</v>
      </c>
      <c r="AK767" s="178">
        <f>_xlfn.RANK.EQ(AI767,$AI$6:$AI$2341,0)+COUNTIF($AI$6:AI767,AI767)-1</f>
        <v>780</v>
      </c>
    </row>
    <row r="768" spans="1:37" x14ac:dyDescent="0.25">
      <c r="A768" t="s">
        <v>3525</v>
      </c>
      <c r="B768">
        <f>_xlfn.XLOOKUP(FME_Ranking1[[#This Row],[FME ID]],FME_Input[FME_ID],FME_Input[RFPG_NUM])</f>
        <v>2</v>
      </c>
      <c r="C768" t="str">
        <f>_xlfn.XLOOKUP(FME_Ranking1[[#This Row],[FME ID]],FME_Input[FME_ID],FME_Input[FME_NAME])</f>
        <v>Franklin County FIS</v>
      </c>
      <c r="D768" t="str">
        <f>_xlfn.XLOOKUP(FME_Ranking1[[#This Row],[FME ID]],FME_Input[FME_ID],FME_Input[DESCR])</f>
        <v>Develop FIS for the County</v>
      </c>
      <c r="E768" s="256">
        <f>_xlfn.XLOOKUP(FME_Ranking1[[#This Row],[FME ID]],FME_Input[FME_ID],FME_Input[FME_COST])</f>
        <v>666000</v>
      </c>
      <c r="F768" t="str">
        <f>_xlfn.XLOOKUP(FME_Ranking1[[#This Row],[FME ID]],FME_Input[FME_ID],FME_Input[EMER_NEED])</f>
        <v>No</v>
      </c>
      <c r="G768">
        <f>IF(FME_Ranking!F768="Yes",100,0)</f>
        <v>0</v>
      </c>
      <c r="H768">
        <f>FME_Ranking1[[#This Row],[Emergency Need Score (Normalized, Unweighted)]]*$F$3</f>
        <v>0</v>
      </c>
      <c r="I768" s="246">
        <f>_xlfn.XLOOKUP(FME_Ranking1[[#This Row],[FME ID]],FME_Input[FME_ID],FME_Input[STRUCT_100])</f>
        <v>455</v>
      </c>
      <c r="J768" s="178">
        <f>(FME_Ranking1[[#This Row],[Structures 100 Raw]]/I$2)*100</f>
        <v>0.24364905967527739</v>
      </c>
      <c r="K768" s="178">
        <f>FME_Ranking1[[#This Row],[Structures 100  Score (Normalized, Unweighted)]]*$I$3</f>
        <v>3.654735895129161E-2</v>
      </c>
      <c r="L768" s="246">
        <f>_xlfn.XLOOKUP(FME_Ranking1[[#This Row],[FME ID]],FME_Input[FME_ID],FME_Input[RES_STRUCT100])</f>
        <v>341</v>
      </c>
      <c r="M768" s="230">
        <f>(FME_Ranking1[[#This Row],[Res Structures Raw]]/L$2)*100</f>
        <v>0.24153220665523936</v>
      </c>
      <c r="N768" s="180">
        <f>FME_Ranking1[[#This Row],[Res Structures Score (Normalized, Unweighted)]]*$L$3</f>
        <v>2.4153220665523938E-2</v>
      </c>
      <c r="O768" s="244">
        <f>_xlfn.XLOOKUP(FME_Ranking1[[#This Row],[FME ID]],FME_Input[FME_ID],FME_Input[POP100])</f>
        <v>2507</v>
      </c>
      <c r="P768" s="178">
        <f>(FME_Ranking1[[#This Row],[Pop Raw]]/$O$2)*100</f>
        <v>0.25665490715582956</v>
      </c>
      <c r="Q768" s="178">
        <f>FME_Ranking1[[#This Row],[Pop Score (Normalized, Unweighted)]]*$O$3</f>
        <v>3.849823607337443E-2</v>
      </c>
      <c r="R768" s="137">
        <f>_xlfn.XLOOKUP(FME_Ranking1[[#This Row],[FME ID]],FME_Input[FME_ID],FME_Input[CRITFAC100])</f>
        <v>1</v>
      </c>
      <c r="S768" s="230">
        <f>(FME_Ranking1[[#This Row],[Critical Facilities Raw]]/$R$2)*100</f>
        <v>4.2881646655231559E-2</v>
      </c>
      <c r="T768" s="180">
        <f>FME_Ranking1[[#This Row],[Critical Facilities Score (Normalized, Unweighted)]]*$R$3</f>
        <v>8.5763293310463125E-3</v>
      </c>
      <c r="U768">
        <f>_xlfn.XLOOKUP(FME_Ranking1[[#This Row],[FME ID]],FME_Input[FME_ID],FME_Input[LWC])</f>
        <v>5</v>
      </c>
      <c r="V768" s="178">
        <f>(FME_Ranking1[[#This Row],[LWC Raw]]/$U$2)*100</f>
        <v>0.28785261945883706</v>
      </c>
      <c r="W768" s="178">
        <f>FME_Ranking1[[#This Row],[LWC Score (Normalized, Unweighted)]]*$U$3</f>
        <v>5.7570523891767415E-2</v>
      </c>
      <c r="X768" s="246">
        <f>_xlfn.XLOOKUP(FME_Ranking1[[#This Row],[FME ID]],FME_Input[FME_ID],FME_Input[ROADCLS])</f>
        <v>0</v>
      </c>
      <c r="Y768" s="230">
        <f>(FME_Ranking1[[#This Row],[Closures Raw]]/$X$2)*100</f>
        <v>0</v>
      </c>
      <c r="Z768" s="180">
        <f>FME_Ranking1[[#This Row],[Closures Score (Normalized, Unweighted)]]*$X$3</f>
        <v>0</v>
      </c>
      <c r="AA768" s="253">
        <f>_xlfn.XLOOKUP(FME_Ranking1[[#This Row],[FME ID]],FME_Input[FME_ID],FME_Input[ROAD_MILES100])</f>
        <v>38.617843627929688</v>
      </c>
      <c r="AB768" s="178">
        <f>(FME_Ranking1[[#This Row],[Miles Raw]]/$AA$2)*100</f>
        <v>0.50775537935304027</v>
      </c>
      <c r="AC768" s="178">
        <f>FME_Ranking1[[#This Row],[Miles Score (Normalized, Unweighted)]]*$AA$3</f>
        <v>5.0775537935304031E-2</v>
      </c>
      <c r="AD768" s="255">
        <f>_xlfn.XLOOKUP(FME_Ranking1[[#This Row],[FME ID]],FME_Input[FME_ID],FME_Input[FARMACRE100])</f>
        <v>1573.289672851562</v>
      </c>
      <c r="AE768" s="230">
        <f>(FME_Ranking1[[#This Row],[Ag Land Raw]]/$AD$2)*100</f>
        <v>6.4875423271373328E-2</v>
      </c>
      <c r="AF768" s="231">
        <f>FME_Ranking1[[#This Row],[Ag Land Score (Normalized, Unweighted)]]*$AD$3</f>
        <v>3.2437711635686668E-3</v>
      </c>
      <c r="AG76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0.2193649780118764</v>
      </c>
      <c r="AH768" s="406">
        <f t="shared" si="11"/>
        <v>775</v>
      </c>
      <c r="AI76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0.2193649780118764</v>
      </c>
      <c r="AJ768" s="257">
        <f>FME_Ranking1[[#This Row],[Addition check]]-FME_Ranking1[[#This Row],[Weighted Score Based on Normalized Reported Factors]]</f>
        <v>0</v>
      </c>
      <c r="AK768" s="178">
        <f>_xlfn.RANK.EQ(AI768,$AI$6:$AI$2341,0)+COUNTIF($AI$6:AI768,AI768)-1</f>
        <v>775</v>
      </c>
    </row>
    <row r="769" spans="1:37" x14ac:dyDescent="0.25">
      <c r="A769" t="s">
        <v>3862</v>
      </c>
      <c r="B769">
        <f>_xlfn.XLOOKUP(FME_Ranking1[[#This Row],[FME ID]],FME_Input[FME_ID],FME_Input[RFPG_NUM])</f>
        <v>3</v>
      </c>
      <c r="C769" t="str">
        <f>_xlfn.XLOOKUP(FME_Ranking1[[#This Row],[FME ID]],FME_Input[FME_ID],FME_Input[FME_NAME])</f>
        <v xml:space="preserve">Grayson County FEMA Mapping </v>
      </c>
      <c r="D769" t="str">
        <f>_xlfn.XLOOKUP(FME_Ranking1[[#This Row],[FME ID]],FME_Input[FME_ID],FME_Input[DESCR])</f>
        <v>Create FEMA mapping in previously unmapped areas and update existing FEMA maps as needed.</v>
      </c>
      <c r="E769" s="256">
        <f>_xlfn.XLOOKUP(FME_Ranking1[[#This Row],[FME ID]],FME_Input[FME_ID],FME_Input[FME_COST])</f>
        <v>1228000</v>
      </c>
      <c r="F769" t="str">
        <f>_xlfn.XLOOKUP(FME_Ranking1[[#This Row],[FME ID]],FME_Input[FME_ID],FME_Input[EMER_NEED])</f>
        <v>No</v>
      </c>
      <c r="G769">
        <f>IF(FME_Ranking!F769="Yes",100,0)</f>
        <v>0</v>
      </c>
      <c r="H769">
        <f>FME_Ranking1[[#This Row],[Emergency Need Score (Normalized, Unweighted)]]*$F$3</f>
        <v>0</v>
      </c>
      <c r="I769" s="246">
        <f>_xlfn.XLOOKUP(FME_Ranking1[[#This Row],[FME ID]],FME_Input[FME_ID],FME_Input[STRUCT_100])</f>
        <v>436</v>
      </c>
      <c r="J769" s="178">
        <f>(FME_Ranking1[[#This Row],[Structures 100 Raw]]/I$2)*100</f>
        <v>0.23347470333718889</v>
      </c>
      <c r="K769" s="178">
        <f>FME_Ranking1[[#This Row],[Structures 100  Score (Normalized, Unweighted)]]*$I$3</f>
        <v>3.5021205500578335E-2</v>
      </c>
      <c r="L769" s="246">
        <f>_xlfn.XLOOKUP(FME_Ranking1[[#This Row],[FME ID]],FME_Input[FME_ID],FME_Input[RES_STRUCT100])</f>
        <v>376</v>
      </c>
      <c r="M769" s="230">
        <f>(FME_Ranking1[[#This Row],[Res Structures Raw]]/L$2)*100</f>
        <v>0.26632290235299116</v>
      </c>
      <c r="N769" s="180">
        <f>FME_Ranking1[[#This Row],[Res Structures Score (Normalized, Unweighted)]]*$L$3</f>
        <v>2.6632290235299116E-2</v>
      </c>
      <c r="O769" s="244">
        <f>_xlfn.XLOOKUP(FME_Ranking1[[#This Row],[FME ID]],FME_Input[FME_ID],FME_Input[POP100])</f>
        <v>541</v>
      </c>
      <c r="P769" s="178">
        <f>(FME_Ranking1[[#This Row],[Pop Raw]]/$O$2)*100</f>
        <v>5.5385043785920934E-2</v>
      </c>
      <c r="Q769" s="178">
        <f>FME_Ranking1[[#This Row],[Pop Score (Normalized, Unweighted)]]*$O$3</f>
        <v>8.3077565678881405E-3</v>
      </c>
      <c r="R769" s="137">
        <f>_xlfn.XLOOKUP(FME_Ranking1[[#This Row],[FME ID]],FME_Input[FME_ID],FME_Input[CRITFAC100])</f>
        <v>5</v>
      </c>
      <c r="S769" s="230">
        <f>(FME_Ranking1[[#This Row],[Critical Facilities Raw]]/$R$2)*100</f>
        <v>0.21440823327615782</v>
      </c>
      <c r="T769" s="180">
        <f>FME_Ranking1[[#This Row],[Critical Facilities Score (Normalized, Unweighted)]]*$R$3</f>
        <v>4.2881646655231566E-2</v>
      </c>
      <c r="U769">
        <f>_xlfn.XLOOKUP(FME_Ranking1[[#This Row],[FME ID]],FME_Input[FME_ID],FME_Input[LWC])</f>
        <v>1</v>
      </c>
      <c r="V769" s="178">
        <f>(FME_Ranking1[[#This Row],[LWC Raw]]/$U$2)*100</f>
        <v>5.7570523891767422E-2</v>
      </c>
      <c r="W769" s="178">
        <f>FME_Ranking1[[#This Row],[LWC Score (Normalized, Unweighted)]]*$U$3</f>
        <v>1.1514104778353485E-2</v>
      </c>
      <c r="X769" s="246">
        <f>_xlfn.XLOOKUP(FME_Ranking1[[#This Row],[FME ID]],FME_Input[FME_ID],FME_Input[ROADCLS])</f>
        <v>0</v>
      </c>
      <c r="Y769" s="230">
        <f>(FME_Ranking1[[#This Row],[Closures Raw]]/$X$2)*100</f>
        <v>0</v>
      </c>
      <c r="Z769" s="180">
        <f>FME_Ranking1[[#This Row],[Closures Score (Normalized, Unweighted)]]*$X$3</f>
        <v>0</v>
      </c>
      <c r="AA769" s="253">
        <f>_xlfn.XLOOKUP(FME_Ranking1[[#This Row],[FME ID]],FME_Input[FME_ID],FME_Input[ROAD_MILES100])</f>
        <v>42.703140258789063</v>
      </c>
      <c r="AB769" s="178">
        <f>(FME_Ranking1[[#This Row],[Miles Raw]]/$AA$2)*100</f>
        <v>0.56146970272534458</v>
      </c>
      <c r="AC769" s="178">
        <f>FME_Ranking1[[#This Row],[Miles Score (Normalized, Unweighted)]]*$AA$3</f>
        <v>5.6146970272534458E-2</v>
      </c>
      <c r="AD769" s="255">
        <f>_xlfn.XLOOKUP(FME_Ranking1[[#This Row],[FME ID]],FME_Input[FME_ID],FME_Input[FARMACRE100])</f>
        <v>21311.83984375</v>
      </c>
      <c r="AE769" s="230">
        <f>(FME_Ranking1[[#This Row],[Ag Land Raw]]/$AD$2)*100</f>
        <v>0.8788048726265606</v>
      </c>
      <c r="AF769" s="231">
        <f>FME_Ranking1[[#This Row],[Ag Land Score (Normalized, Unweighted)]]*$AD$3</f>
        <v>4.3940243631328035E-2</v>
      </c>
      <c r="AG76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0.22444421764121314</v>
      </c>
      <c r="AH769" s="406">
        <f t="shared" si="11"/>
        <v>762</v>
      </c>
      <c r="AI76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0.22444421764121314</v>
      </c>
      <c r="AJ769" s="257">
        <f>FME_Ranking1[[#This Row],[Addition check]]-FME_Ranking1[[#This Row],[Weighted Score Based on Normalized Reported Factors]]</f>
        <v>0</v>
      </c>
      <c r="AK769" s="178">
        <f>_xlfn.RANK.EQ(AI769,$AI$6:$AI$2341,0)+COUNTIF($AI$6:AI769,AI769)-1</f>
        <v>762</v>
      </c>
    </row>
    <row r="770" spans="1:37" x14ac:dyDescent="0.25">
      <c r="A770" t="s">
        <v>4786</v>
      </c>
      <c r="B770">
        <f>_xlfn.XLOOKUP(FME_Ranking1[[#This Row],[FME ID]],FME_Input[FME_ID],FME_Input[RFPG_NUM])</f>
        <v>3</v>
      </c>
      <c r="C770" t="str">
        <f>_xlfn.XLOOKUP(FME_Ranking1[[#This Row],[FME ID]],FME_Input[FME_ID],FME_Input[FME_NAME])</f>
        <v>Grayson County Dams Compliance Assessment</v>
      </c>
      <c r="D770" t="str">
        <f>_xlfn.XLOOKUP(FME_Ranking1[[#This Row],[FME ID]],FME_Input[FME_ID],FME_Input[DESCR])</f>
        <v>Determine owners of all high and significant hazard dams and obtain copies of all EAPs. Obtain available dam failure impact data necessary for determining most appropriate mitigation approach that would achieve compliance with the State’s TCEQ regulations</v>
      </c>
      <c r="E770" s="256">
        <f>_xlfn.XLOOKUP(FME_Ranking1[[#This Row],[FME ID]],FME_Input[FME_ID],FME_Input[FME_COST])</f>
        <v>1000000</v>
      </c>
      <c r="F770" t="str">
        <f>_xlfn.XLOOKUP(FME_Ranking1[[#This Row],[FME ID]],FME_Input[FME_ID],FME_Input[EMER_NEED])</f>
        <v>No</v>
      </c>
      <c r="G770">
        <f>IF(FME_Ranking!F770="Yes",100,0)</f>
        <v>0</v>
      </c>
      <c r="H770">
        <f>FME_Ranking1[[#This Row],[Emergency Need Score (Normalized, Unweighted)]]*$F$3</f>
        <v>0</v>
      </c>
      <c r="I770" s="246">
        <f>_xlfn.XLOOKUP(FME_Ranking1[[#This Row],[FME ID]],FME_Input[FME_ID],FME_Input[STRUCT_100])</f>
        <v>436</v>
      </c>
      <c r="J770" s="178">
        <f>(FME_Ranking1[[#This Row],[Structures 100 Raw]]/I$2)*100</f>
        <v>0.23347470333718889</v>
      </c>
      <c r="K770" s="178">
        <f>FME_Ranking1[[#This Row],[Structures 100  Score (Normalized, Unweighted)]]*$I$3</f>
        <v>3.5021205500578335E-2</v>
      </c>
      <c r="L770" s="246">
        <f>_xlfn.XLOOKUP(FME_Ranking1[[#This Row],[FME ID]],FME_Input[FME_ID],FME_Input[RES_STRUCT100])</f>
        <v>376</v>
      </c>
      <c r="M770" s="230">
        <f>(FME_Ranking1[[#This Row],[Res Structures Raw]]/L$2)*100</f>
        <v>0.26632290235299116</v>
      </c>
      <c r="N770" s="180">
        <f>FME_Ranking1[[#This Row],[Res Structures Score (Normalized, Unweighted)]]*$L$3</f>
        <v>2.6632290235299116E-2</v>
      </c>
      <c r="O770" s="244">
        <f>_xlfn.XLOOKUP(FME_Ranking1[[#This Row],[FME ID]],FME_Input[FME_ID],FME_Input[POP100])</f>
        <v>541</v>
      </c>
      <c r="P770" s="178">
        <f>(FME_Ranking1[[#This Row],[Pop Raw]]/$O$2)*100</f>
        <v>5.5385043785920934E-2</v>
      </c>
      <c r="Q770" s="178">
        <f>FME_Ranking1[[#This Row],[Pop Score (Normalized, Unweighted)]]*$O$3</f>
        <v>8.3077565678881405E-3</v>
      </c>
      <c r="R770" s="137">
        <f>_xlfn.XLOOKUP(FME_Ranking1[[#This Row],[FME ID]],FME_Input[FME_ID],FME_Input[CRITFAC100])</f>
        <v>5</v>
      </c>
      <c r="S770" s="230">
        <f>(FME_Ranking1[[#This Row],[Critical Facilities Raw]]/$R$2)*100</f>
        <v>0.21440823327615782</v>
      </c>
      <c r="T770" s="180">
        <f>FME_Ranking1[[#This Row],[Critical Facilities Score (Normalized, Unweighted)]]*$R$3</f>
        <v>4.2881646655231566E-2</v>
      </c>
      <c r="U770">
        <f>_xlfn.XLOOKUP(FME_Ranking1[[#This Row],[FME ID]],FME_Input[FME_ID],FME_Input[LWC])</f>
        <v>1</v>
      </c>
      <c r="V770" s="178">
        <f>(FME_Ranking1[[#This Row],[LWC Raw]]/$U$2)*100</f>
        <v>5.7570523891767422E-2</v>
      </c>
      <c r="W770" s="178">
        <f>FME_Ranking1[[#This Row],[LWC Score (Normalized, Unweighted)]]*$U$3</f>
        <v>1.1514104778353485E-2</v>
      </c>
      <c r="X770" s="246">
        <f>_xlfn.XLOOKUP(FME_Ranking1[[#This Row],[FME ID]],FME_Input[FME_ID],FME_Input[ROADCLS])</f>
        <v>0</v>
      </c>
      <c r="Y770" s="230">
        <f>(FME_Ranking1[[#This Row],[Closures Raw]]/$X$2)*100</f>
        <v>0</v>
      </c>
      <c r="Z770" s="180">
        <f>FME_Ranking1[[#This Row],[Closures Score (Normalized, Unweighted)]]*$X$3</f>
        <v>0</v>
      </c>
      <c r="AA770" s="253">
        <f>_xlfn.XLOOKUP(FME_Ranking1[[#This Row],[FME ID]],FME_Input[FME_ID],FME_Input[ROAD_MILES100])</f>
        <v>42.703140258789063</v>
      </c>
      <c r="AB770" s="178">
        <f>(FME_Ranking1[[#This Row],[Miles Raw]]/$AA$2)*100</f>
        <v>0.56146970272534458</v>
      </c>
      <c r="AC770" s="178">
        <f>FME_Ranking1[[#This Row],[Miles Score (Normalized, Unweighted)]]*$AA$3</f>
        <v>5.6146970272534458E-2</v>
      </c>
      <c r="AD770" s="255">
        <f>_xlfn.XLOOKUP(FME_Ranking1[[#This Row],[FME ID]],FME_Input[FME_ID],FME_Input[FARMACRE100])</f>
        <v>21311.83984375</v>
      </c>
      <c r="AE770" s="230">
        <f>(FME_Ranking1[[#This Row],[Ag Land Raw]]/$AD$2)*100</f>
        <v>0.8788048726265606</v>
      </c>
      <c r="AF770" s="231">
        <f>FME_Ranking1[[#This Row],[Ag Land Score (Normalized, Unweighted)]]*$AD$3</f>
        <v>4.3940243631328035E-2</v>
      </c>
      <c r="AG77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0.22444421764121314</v>
      </c>
      <c r="AH770" s="406">
        <f t="shared" si="11"/>
        <v>762</v>
      </c>
      <c r="AI77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0.22444421764121314</v>
      </c>
      <c r="AJ770" s="257">
        <f>FME_Ranking1[[#This Row],[Addition check]]-FME_Ranking1[[#This Row],[Weighted Score Based on Normalized Reported Factors]]</f>
        <v>0</v>
      </c>
      <c r="AK770" s="178">
        <f>_xlfn.RANK.EQ(AI770,$AI$6:$AI$2341,0)+COUNTIF($AI$6:AI770,AI770)-1</f>
        <v>763</v>
      </c>
    </row>
    <row r="771" spans="1:37" x14ac:dyDescent="0.25">
      <c r="A771" t="s">
        <v>7524</v>
      </c>
      <c r="B771">
        <f>_xlfn.XLOOKUP(FME_Ranking1[[#This Row],[FME ID]],FME_Input[FME_ID],FME_Input[RFPG_NUM])</f>
        <v>8</v>
      </c>
      <c r="C771" t="str">
        <f>_xlfn.XLOOKUP(FME_Ranking1[[#This Row],[FME ID]],FME_Input[FME_ID],FME_Input[FME_NAME])</f>
        <v>City of Georgetown Increase River/Channel Flow Capacity</v>
      </c>
      <c r="D771" t="str">
        <f>_xlfn.XLOOKUP(FME_Ranking1[[#This Row],[FME ID]],FME_Input[FME_ID],FME_Input[DESCR])</f>
        <v>Increase flow by deepening and widening the channel.</v>
      </c>
      <c r="E771" s="256">
        <f>_xlfn.XLOOKUP(FME_Ranking1[[#This Row],[FME ID]],FME_Input[FME_ID],FME_Input[FME_COST])</f>
        <v>606000</v>
      </c>
      <c r="F771" t="str">
        <f>_xlfn.XLOOKUP(FME_Ranking1[[#This Row],[FME ID]],FME_Input[FME_ID],FME_Input[EMER_NEED])</f>
        <v>No</v>
      </c>
      <c r="G771">
        <f>IF(FME_Ranking!F771="Yes",100,0)</f>
        <v>0</v>
      </c>
      <c r="H771">
        <f>FME_Ranking1[[#This Row],[Emergency Need Score (Normalized, Unweighted)]]*$F$3</f>
        <v>0</v>
      </c>
      <c r="I771" s="246">
        <f>_xlfn.XLOOKUP(FME_Ranking1[[#This Row],[FME ID]],FME_Input[FME_ID],FME_Input[STRUCT_100])</f>
        <v>175</v>
      </c>
      <c r="J771" s="178">
        <f>(FME_Ranking1[[#This Row],[Structures 100 Raw]]/I$2)*100</f>
        <v>9.371117679818361E-2</v>
      </c>
      <c r="K771" s="178">
        <f>FME_Ranking1[[#This Row],[Structures 100  Score (Normalized, Unweighted)]]*$I$3</f>
        <v>1.4056676519727541E-2</v>
      </c>
      <c r="L771" s="246">
        <f>_xlfn.XLOOKUP(FME_Ranking1[[#This Row],[FME ID]],FME_Input[FME_ID],FME_Input[RES_STRUCT100])</f>
        <v>123</v>
      </c>
      <c r="M771" s="230">
        <f>(FME_Ranking1[[#This Row],[Res Structures Raw]]/L$2)*100</f>
        <v>8.7121587737813602E-2</v>
      </c>
      <c r="N771" s="180">
        <f>FME_Ranking1[[#This Row],[Res Structures Score (Normalized, Unweighted)]]*$L$3</f>
        <v>8.7121587737813613E-3</v>
      </c>
      <c r="O771" s="244">
        <f>_xlfn.XLOOKUP(FME_Ranking1[[#This Row],[FME ID]],FME_Input[FME_ID],FME_Input[POP100])</f>
        <v>1930</v>
      </c>
      <c r="P771" s="178">
        <f>(FME_Ranking1[[#This Row],[Pop Raw]]/$O$2)*100</f>
        <v>0.19758435213831313</v>
      </c>
      <c r="Q771" s="178">
        <f>FME_Ranking1[[#This Row],[Pop Score (Normalized, Unweighted)]]*$O$3</f>
        <v>2.9637652820746967E-2</v>
      </c>
      <c r="R771" s="137">
        <f>_xlfn.XLOOKUP(FME_Ranking1[[#This Row],[FME ID]],FME_Input[FME_ID],FME_Input[CRITFAC100])</f>
        <v>0</v>
      </c>
      <c r="S771" s="230">
        <f>(FME_Ranking1[[#This Row],[Critical Facilities Raw]]/$R$2)*100</f>
        <v>0</v>
      </c>
      <c r="T771" s="180">
        <f>FME_Ranking1[[#This Row],[Critical Facilities Score (Normalized, Unweighted)]]*$R$3</f>
        <v>0</v>
      </c>
      <c r="U771">
        <f>_xlfn.XLOOKUP(FME_Ranking1[[#This Row],[FME ID]],FME_Input[FME_ID],FME_Input[LWC])</f>
        <v>6</v>
      </c>
      <c r="V771" s="178">
        <f>(FME_Ranking1[[#This Row],[LWC Raw]]/$U$2)*100</f>
        <v>0.34542314335060448</v>
      </c>
      <c r="W771" s="178">
        <f>FME_Ranking1[[#This Row],[LWC Score (Normalized, Unweighted)]]*$U$3</f>
        <v>6.9084628670120898E-2</v>
      </c>
      <c r="X771" s="246">
        <f>_xlfn.XLOOKUP(FME_Ranking1[[#This Row],[FME ID]],FME_Input[FME_ID],FME_Input[ROADCLS])</f>
        <v>82</v>
      </c>
      <c r="Y771" s="230">
        <f>(FME_Ranking1[[#This Row],[Closures Raw]]/$X$2)*100</f>
        <v>0.86215960466827879</v>
      </c>
      <c r="Z771" s="180">
        <f>FME_Ranking1[[#This Row],[Closures Score (Normalized, Unweighted)]]*$X$3</f>
        <v>4.3107980233413945E-2</v>
      </c>
      <c r="AA771" s="253">
        <f>_xlfn.XLOOKUP(FME_Ranking1[[#This Row],[FME ID]],FME_Input[FME_ID],FME_Input[ROAD_MILES100])</f>
        <v>18.656099319458011</v>
      </c>
      <c r="AB771" s="178">
        <f>(FME_Ranking1[[#This Row],[Miles Raw]]/$AA$2)*100</f>
        <v>0.24529424476586792</v>
      </c>
      <c r="AC771" s="178">
        <f>FME_Ranking1[[#This Row],[Miles Score (Normalized, Unweighted)]]*$AA$3</f>
        <v>2.4529424476586792E-2</v>
      </c>
      <c r="AD771" s="255">
        <f>_xlfn.XLOOKUP(FME_Ranking1[[#This Row],[FME ID]],FME_Input[FME_ID],FME_Input[FARMACRE100])</f>
        <v>1791.969970703125</v>
      </c>
      <c r="AE771" s="230">
        <f>(FME_Ranking1[[#This Row],[Ag Land Raw]]/$AD$2)*100</f>
        <v>7.3892819831611653E-2</v>
      </c>
      <c r="AF771" s="231">
        <f>FME_Ranking1[[#This Row],[Ag Land Score (Normalized, Unweighted)]]*$AD$3</f>
        <v>3.6946409915805827E-3</v>
      </c>
      <c r="AG77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0.1928231624859581</v>
      </c>
      <c r="AH771" s="406">
        <f t="shared" si="11"/>
        <v>810</v>
      </c>
      <c r="AI77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0.1928231624859581</v>
      </c>
      <c r="AJ771" s="257">
        <f>FME_Ranking1[[#This Row],[Addition check]]-FME_Ranking1[[#This Row],[Weighted Score Based on Normalized Reported Factors]]</f>
        <v>0</v>
      </c>
      <c r="AK771" s="178">
        <f>_xlfn.RANK.EQ(AI771,$AI$6:$AI$2341,0)+COUNTIF($AI$6:AI771,AI771)-1</f>
        <v>810</v>
      </c>
    </row>
    <row r="772" spans="1:37" x14ac:dyDescent="0.25">
      <c r="A772" t="s">
        <v>7530</v>
      </c>
      <c r="B772">
        <f>_xlfn.XLOOKUP(FME_Ranking1[[#This Row],[FME ID]],FME_Input[FME_ID],FME_Input[RFPG_NUM])</f>
        <v>8</v>
      </c>
      <c r="C772" t="str">
        <f>_xlfn.XLOOKUP(FME_Ranking1[[#This Row],[FME ID]],FME_Input[FME_ID],FME_Input[FME_NAME])</f>
        <v>City of Georgetown River Erosion Control</v>
      </c>
      <c r="D772" t="str">
        <f>_xlfn.XLOOKUP(FME_Ranking1[[#This Row],[FME ID]],FME_Input[FME_ID],FME_Input[DESCR])</f>
        <v>Reduce flood and erosion risk with riverbank stabilization and riverbank walls.</v>
      </c>
      <c r="E772" s="256">
        <f>_xlfn.XLOOKUP(FME_Ranking1[[#This Row],[FME ID]],FME_Input[FME_ID],FME_Input[FME_COST])</f>
        <v>606000</v>
      </c>
      <c r="F772" t="str">
        <f>_xlfn.XLOOKUP(FME_Ranking1[[#This Row],[FME ID]],FME_Input[FME_ID],FME_Input[EMER_NEED])</f>
        <v>No</v>
      </c>
      <c r="G772">
        <f>IF(FME_Ranking!F772="Yes",100,0)</f>
        <v>0</v>
      </c>
      <c r="H772">
        <f>FME_Ranking1[[#This Row],[Emergency Need Score (Normalized, Unweighted)]]*$F$3</f>
        <v>0</v>
      </c>
      <c r="I772" s="246">
        <f>_xlfn.XLOOKUP(FME_Ranking1[[#This Row],[FME ID]],FME_Input[FME_ID],FME_Input[STRUCT_100])</f>
        <v>175</v>
      </c>
      <c r="J772" s="178">
        <f>(FME_Ranking1[[#This Row],[Structures 100 Raw]]/I$2)*100</f>
        <v>9.371117679818361E-2</v>
      </c>
      <c r="K772" s="178">
        <f>FME_Ranking1[[#This Row],[Structures 100  Score (Normalized, Unweighted)]]*$I$3</f>
        <v>1.4056676519727541E-2</v>
      </c>
      <c r="L772" s="246">
        <f>_xlfn.XLOOKUP(FME_Ranking1[[#This Row],[FME ID]],FME_Input[FME_ID],FME_Input[RES_STRUCT100])</f>
        <v>123</v>
      </c>
      <c r="M772" s="230">
        <f>(FME_Ranking1[[#This Row],[Res Structures Raw]]/L$2)*100</f>
        <v>8.7121587737813602E-2</v>
      </c>
      <c r="N772" s="180">
        <f>FME_Ranking1[[#This Row],[Res Structures Score (Normalized, Unweighted)]]*$L$3</f>
        <v>8.7121587737813613E-3</v>
      </c>
      <c r="O772" s="244">
        <f>_xlfn.XLOOKUP(FME_Ranking1[[#This Row],[FME ID]],FME_Input[FME_ID],FME_Input[POP100])</f>
        <v>1930</v>
      </c>
      <c r="P772" s="178">
        <f>(FME_Ranking1[[#This Row],[Pop Raw]]/$O$2)*100</f>
        <v>0.19758435213831313</v>
      </c>
      <c r="Q772" s="178">
        <f>FME_Ranking1[[#This Row],[Pop Score (Normalized, Unweighted)]]*$O$3</f>
        <v>2.9637652820746967E-2</v>
      </c>
      <c r="R772" s="137">
        <f>_xlfn.XLOOKUP(FME_Ranking1[[#This Row],[FME ID]],FME_Input[FME_ID],FME_Input[CRITFAC100])</f>
        <v>0</v>
      </c>
      <c r="S772" s="230">
        <f>(FME_Ranking1[[#This Row],[Critical Facilities Raw]]/$R$2)*100</f>
        <v>0</v>
      </c>
      <c r="T772" s="180">
        <f>FME_Ranking1[[#This Row],[Critical Facilities Score (Normalized, Unweighted)]]*$R$3</f>
        <v>0</v>
      </c>
      <c r="U772">
        <f>_xlfn.XLOOKUP(FME_Ranking1[[#This Row],[FME ID]],FME_Input[FME_ID],FME_Input[LWC])</f>
        <v>6</v>
      </c>
      <c r="V772" s="178">
        <f>(FME_Ranking1[[#This Row],[LWC Raw]]/$U$2)*100</f>
        <v>0.34542314335060448</v>
      </c>
      <c r="W772" s="178">
        <f>FME_Ranking1[[#This Row],[LWC Score (Normalized, Unweighted)]]*$U$3</f>
        <v>6.9084628670120898E-2</v>
      </c>
      <c r="X772" s="246">
        <f>_xlfn.XLOOKUP(FME_Ranking1[[#This Row],[FME ID]],FME_Input[FME_ID],FME_Input[ROADCLS])</f>
        <v>82</v>
      </c>
      <c r="Y772" s="230">
        <f>(FME_Ranking1[[#This Row],[Closures Raw]]/$X$2)*100</f>
        <v>0.86215960466827879</v>
      </c>
      <c r="Z772" s="180">
        <f>FME_Ranking1[[#This Row],[Closures Score (Normalized, Unweighted)]]*$X$3</f>
        <v>4.3107980233413945E-2</v>
      </c>
      <c r="AA772" s="253">
        <f>_xlfn.XLOOKUP(FME_Ranking1[[#This Row],[FME ID]],FME_Input[FME_ID],FME_Input[ROAD_MILES100])</f>
        <v>18.656099319458011</v>
      </c>
      <c r="AB772" s="178">
        <f>(FME_Ranking1[[#This Row],[Miles Raw]]/$AA$2)*100</f>
        <v>0.24529424476586792</v>
      </c>
      <c r="AC772" s="178">
        <f>FME_Ranking1[[#This Row],[Miles Score (Normalized, Unweighted)]]*$AA$3</f>
        <v>2.4529424476586792E-2</v>
      </c>
      <c r="AD772" s="255">
        <f>_xlfn.XLOOKUP(FME_Ranking1[[#This Row],[FME ID]],FME_Input[FME_ID],FME_Input[FARMACRE100])</f>
        <v>1791.969970703125</v>
      </c>
      <c r="AE772" s="230">
        <f>(FME_Ranking1[[#This Row],[Ag Land Raw]]/$AD$2)*100</f>
        <v>7.3892819831611653E-2</v>
      </c>
      <c r="AF772" s="231">
        <f>FME_Ranking1[[#This Row],[Ag Land Score (Normalized, Unweighted)]]*$AD$3</f>
        <v>3.6946409915805827E-3</v>
      </c>
      <c r="AG77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0.1928231624859581</v>
      </c>
      <c r="AH772" s="406">
        <f t="shared" si="11"/>
        <v>810</v>
      </c>
      <c r="AI77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0.1928231624859581</v>
      </c>
      <c r="AJ772" s="257">
        <f>FME_Ranking1[[#This Row],[Addition check]]-FME_Ranking1[[#This Row],[Weighted Score Based on Normalized Reported Factors]]</f>
        <v>0</v>
      </c>
      <c r="AK772" s="178">
        <f>_xlfn.RANK.EQ(AI772,$AI$6:$AI$2341,0)+COUNTIF($AI$6:AI772,AI772)-1</f>
        <v>811</v>
      </c>
    </row>
    <row r="773" spans="1:37" x14ac:dyDescent="0.25">
      <c r="A773" t="s">
        <v>7533</v>
      </c>
      <c r="B773">
        <f>_xlfn.XLOOKUP(FME_Ranking1[[#This Row],[FME ID]],FME_Input[FME_ID],FME_Input[RFPG_NUM])</f>
        <v>8</v>
      </c>
      <c r="C773" t="str">
        <f>_xlfn.XLOOKUP(FME_Ranking1[[#This Row],[FME ID]],FME_Input[FME_ID],FME_Input[FME_NAME])</f>
        <v>City of Georgetown Culvert Improvements</v>
      </c>
      <c r="D773" t="str">
        <f>_xlfn.XLOOKUP(FME_Ranking1[[#This Row],[FME ID]],FME_Input[FME_ID],FME_Input[DESCR])</f>
        <v>Increase size of culverts at key locations to adequately convey storm water.</v>
      </c>
      <c r="E773" s="256">
        <f>_xlfn.XLOOKUP(FME_Ranking1[[#This Row],[FME ID]],FME_Input[FME_ID],FME_Input[FME_COST])</f>
        <v>606000</v>
      </c>
      <c r="F773" t="str">
        <f>_xlfn.XLOOKUP(FME_Ranking1[[#This Row],[FME ID]],FME_Input[FME_ID],FME_Input[EMER_NEED])</f>
        <v>No</v>
      </c>
      <c r="G773">
        <f>IF(FME_Ranking!F773="Yes",100,0)</f>
        <v>0</v>
      </c>
      <c r="H773">
        <f>FME_Ranking1[[#This Row],[Emergency Need Score (Normalized, Unweighted)]]*$F$3</f>
        <v>0</v>
      </c>
      <c r="I773" s="246">
        <f>_xlfn.XLOOKUP(FME_Ranking1[[#This Row],[FME ID]],FME_Input[FME_ID],FME_Input[STRUCT_100])</f>
        <v>175</v>
      </c>
      <c r="J773" s="178">
        <f>(FME_Ranking1[[#This Row],[Structures 100 Raw]]/I$2)*100</f>
        <v>9.371117679818361E-2</v>
      </c>
      <c r="K773" s="178">
        <f>FME_Ranking1[[#This Row],[Structures 100  Score (Normalized, Unweighted)]]*$I$3</f>
        <v>1.4056676519727541E-2</v>
      </c>
      <c r="L773" s="246">
        <f>_xlfn.XLOOKUP(FME_Ranking1[[#This Row],[FME ID]],FME_Input[FME_ID],FME_Input[RES_STRUCT100])</f>
        <v>123</v>
      </c>
      <c r="M773" s="230">
        <f>(FME_Ranking1[[#This Row],[Res Structures Raw]]/L$2)*100</f>
        <v>8.7121587737813602E-2</v>
      </c>
      <c r="N773" s="180">
        <f>FME_Ranking1[[#This Row],[Res Structures Score (Normalized, Unweighted)]]*$L$3</f>
        <v>8.7121587737813613E-3</v>
      </c>
      <c r="O773" s="244">
        <f>_xlfn.XLOOKUP(FME_Ranking1[[#This Row],[FME ID]],FME_Input[FME_ID],FME_Input[POP100])</f>
        <v>1930</v>
      </c>
      <c r="P773" s="178">
        <f>(FME_Ranking1[[#This Row],[Pop Raw]]/$O$2)*100</f>
        <v>0.19758435213831313</v>
      </c>
      <c r="Q773" s="178">
        <f>FME_Ranking1[[#This Row],[Pop Score (Normalized, Unweighted)]]*$O$3</f>
        <v>2.9637652820746967E-2</v>
      </c>
      <c r="R773" s="137">
        <f>_xlfn.XLOOKUP(FME_Ranking1[[#This Row],[FME ID]],FME_Input[FME_ID],FME_Input[CRITFAC100])</f>
        <v>0</v>
      </c>
      <c r="S773" s="230">
        <f>(FME_Ranking1[[#This Row],[Critical Facilities Raw]]/$R$2)*100</f>
        <v>0</v>
      </c>
      <c r="T773" s="180">
        <f>FME_Ranking1[[#This Row],[Critical Facilities Score (Normalized, Unweighted)]]*$R$3</f>
        <v>0</v>
      </c>
      <c r="U773">
        <f>_xlfn.XLOOKUP(FME_Ranking1[[#This Row],[FME ID]],FME_Input[FME_ID],FME_Input[LWC])</f>
        <v>6</v>
      </c>
      <c r="V773" s="178">
        <f>(FME_Ranking1[[#This Row],[LWC Raw]]/$U$2)*100</f>
        <v>0.34542314335060448</v>
      </c>
      <c r="W773" s="178">
        <f>FME_Ranking1[[#This Row],[LWC Score (Normalized, Unweighted)]]*$U$3</f>
        <v>6.9084628670120898E-2</v>
      </c>
      <c r="X773" s="246">
        <f>_xlfn.XLOOKUP(FME_Ranking1[[#This Row],[FME ID]],FME_Input[FME_ID],FME_Input[ROADCLS])</f>
        <v>82</v>
      </c>
      <c r="Y773" s="230">
        <f>(FME_Ranking1[[#This Row],[Closures Raw]]/$X$2)*100</f>
        <v>0.86215960466827879</v>
      </c>
      <c r="Z773" s="180">
        <f>FME_Ranking1[[#This Row],[Closures Score (Normalized, Unweighted)]]*$X$3</f>
        <v>4.3107980233413945E-2</v>
      </c>
      <c r="AA773" s="253">
        <f>_xlfn.XLOOKUP(FME_Ranking1[[#This Row],[FME ID]],FME_Input[FME_ID],FME_Input[ROAD_MILES100])</f>
        <v>18.656099319458011</v>
      </c>
      <c r="AB773" s="178">
        <f>(FME_Ranking1[[#This Row],[Miles Raw]]/$AA$2)*100</f>
        <v>0.24529424476586792</v>
      </c>
      <c r="AC773" s="178">
        <f>FME_Ranking1[[#This Row],[Miles Score (Normalized, Unweighted)]]*$AA$3</f>
        <v>2.4529424476586792E-2</v>
      </c>
      <c r="AD773" s="255">
        <f>_xlfn.XLOOKUP(FME_Ranking1[[#This Row],[FME ID]],FME_Input[FME_ID],FME_Input[FARMACRE100])</f>
        <v>1791.969970703125</v>
      </c>
      <c r="AE773" s="230">
        <f>(FME_Ranking1[[#This Row],[Ag Land Raw]]/$AD$2)*100</f>
        <v>7.3892819831611653E-2</v>
      </c>
      <c r="AF773" s="231">
        <f>FME_Ranking1[[#This Row],[Ag Land Score (Normalized, Unweighted)]]*$AD$3</f>
        <v>3.6946409915805827E-3</v>
      </c>
      <c r="AG77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0.1928231624859581</v>
      </c>
      <c r="AH773" s="406">
        <f t="shared" si="11"/>
        <v>810</v>
      </c>
      <c r="AI77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0.1928231624859581</v>
      </c>
      <c r="AJ773" s="257">
        <f>FME_Ranking1[[#This Row],[Addition check]]-FME_Ranking1[[#This Row],[Weighted Score Based on Normalized Reported Factors]]</f>
        <v>0</v>
      </c>
      <c r="AK773" s="178">
        <f>_xlfn.RANK.EQ(AI773,$AI$6:$AI$2341,0)+COUNTIF($AI$6:AI773,AI773)-1</f>
        <v>812</v>
      </c>
    </row>
    <row r="774" spans="1:37" x14ac:dyDescent="0.25">
      <c r="A774" t="s">
        <v>6730</v>
      </c>
      <c r="B774">
        <f>_xlfn.XLOOKUP(FME_Ranking1[[#This Row],[FME ID]],FME_Input[FME_ID],FME_Input[RFPG_NUM])</f>
        <v>7</v>
      </c>
      <c r="C774" t="str">
        <f>_xlfn.XLOOKUP(FME_Ranking1[[#This Row],[FME ID]],FME_Input[FME_ID],FME_Input[FME_NAME])</f>
        <v>Cochran County Initial FEMA Mapping</v>
      </c>
      <c r="D774" t="str">
        <f>_xlfn.XLOOKUP(FME_Ranking1[[#This Row],[FME ID]],FME_Input[FME_ID],FME_Input[DESCR])</f>
        <v>Create FEMA Mapping in previously unmapped areas</v>
      </c>
      <c r="E774" s="256">
        <f>_xlfn.XLOOKUP(FME_Ranking1[[#This Row],[FME ID]],FME_Input[FME_ID],FME_Input[FME_COST])</f>
        <v>671000</v>
      </c>
      <c r="F774" t="str">
        <f>_xlfn.XLOOKUP(FME_Ranking1[[#This Row],[FME ID]],FME_Input[FME_ID],FME_Input[EMER_NEED])</f>
        <v>No</v>
      </c>
      <c r="G774">
        <f>IF(FME_Ranking!F774="Yes",100,0)</f>
        <v>0</v>
      </c>
      <c r="H774">
        <f>FME_Ranking1[[#This Row],[Emergency Need Score (Normalized, Unweighted)]]*$F$3</f>
        <v>0</v>
      </c>
      <c r="I774" s="246">
        <f>_xlfn.XLOOKUP(FME_Ranking1[[#This Row],[FME ID]],FME_Input[FME_ID],FME_Input[STRUCT_100])</f>
        <v>278</v>
      </c>
      <c r="J774" s="178">
        <f>(FME_Ranking1[[#This Row],[Structures 100 Raw]]/I$2)*100</f>
        <v>0.14886689799940026</v>
      </c>
      <c r="K774" s="178">
        <f>FME_Ranking1[[#This Row],[Structures 100  Score (Normalized, Unweighted)]]*$I$3</f>
        <v>2.2330034699910038E-2</v>
      </c>
      <c r="L774" s="246">
        <f>_xlfn.XLOOKUP(FME_Ranking1[[#This Row],[FME ID]],FME_Input[FME_ID],FME_Input[RES_STRUCT100])</f>
        <v>134</v>
      </c>
      <c r="M774" s="230">
        <f>(FME_Ranking1[[#This Row],[Res Structures Raw]]/L$2)*100</f>
        <v>9.4912949242821329E-2</v>
      </c>
      <c r="N774" s="180">
        <f>FME_Ranking1[[#This Row],[Res Structures Score (Normalized, Unweighted)]]*$L$3</f>
        <v>9.4912949242821343E-3</v>
      </c>
      <c r="O774" s="244">
        <f>_xlfn.XLOOKUP(FME_Ranking1[[#This Row],[FME ID]],FME_Input[FME_ID],FME_Input[POP100])</f>
        <v>340</v>
      </c>
      <c r="P774" s="178">
        <f>(FME_Ranking1[[#This Row],[Pop Raw]]/$O$2)*100</f>
        <v>3.4807606076179519E-2</v>
      </c>
      <c r="Q774" s="178">
        <f>FME_Ranking1[[#This Row],[Pop Score (Normalized, Unweighted)]]*$O$3</f>
        <v>5.2211409114269278E-3</v>
      </c>
      <c r="R774" s="137">
        <f>_xlfn.XLOOKUP(FME_Ranking1[[#This Row],[FME ID]],FME_Input[FME_ID],FME_Input[CRITFAC100])</f>
        <v>2</v>
      </c>
      <c r="S774" s="230">
        <f>(FME_Ranking1[[#This Row],[Critical Facilities Raw]]/$R$2)*100</f>
        <v>8.5763293310463118E-2</v>
      </c>
      <c r="T774" s="180">
        <f>FME_Ranking1[[#This Row],[Critical Facilities Score (Normalized, Unweighted)]]*$R$3</f>
        <v>1.7152658662092625E-2</v>
      </c>
      <c r="U774">
        <f>_xlfn.XLOOKUP(FME_Ranking1[[#This Row],[FME ID]],FME_Input[FME_ID],FME_Input[LWC])</f>
        <v>1</v>
      </c>
      <c r="V774" s="178">
        <f>(FME_Ranking1[[#This Row],[LWC Raw]]/$U$2)*100</f>
        <v>5.7570523891767422E-2</v>
      </c>
      <c r="W774" s="178">
        <f>FME_Ranking1[[#This Row],[LWC Score (Normalized, Unweighted)]]*$U$3</f>
        <v>1.1514104778353485E-2</v>
      </c>
      <c r="X774" s="246">
        <f>_xlfn.XLOOKUP(FME_Ranking1[[#This Row],[FME ID]],FME_Input[FME_ID],FME_Input[ROADCLS])</f>
        <v>0</v>
      </c>
      <c r="Y774" s="230">
        <f>(FME_Ranking1[[#This Row],[Closures Raw]]/$X$2)*100</f>
        <v>0</v>
      </c>
      <c r="Z774" s="180">
        <f>FME_Ranking1[[#This Row],[Closures Score (Normalized, Unweighted)]]*$X$3</f>
        <v>0</v>
      </c>
      <c r="AA774" s="253">
        <f>_xlfn.XLOOKUP(FME_Ranking1[[#This Row],[FME ID]],FME_Input[FME_ID],FME_Input[ROAD_MILES100])</f>
        <v>246.07391357421881</v>
      </c>
      <c r="AB774" s="178">
        <f>(FME_Ranking1[[#This Row],[Miles Raw]]/$AA$2)*100</f>
        <v>3.2354306092171372</v>
      </c>
      <c r="AC774" s="178">
        <f>FME_Ranking1[[#This Row],[Miles Score (Normalized, Unweighted)]]*$AA$3</f>
        <v>0.32354306092171375</v>
      </c>
      <c r="AD774" s="255">
        <f>_xlfn.XLOOKUP(FME_Ranking1[[#This Row],[FME ID]],FME_Input[FME_ID],FME_Input[FARMACRE100])</f>
        <v>49749.90234375</v>
      </c>
      <c r="AE774" s="230">
        <f>(FME_Ranking1[[#This Row],[Ag Land Raw]]/$AD$2)*100</f>
        <v>2.0514632670348587</v>
      </c>
      <c r="AF774" s="231">
        <f>FME_Ranking1[[#This Row],[Ag Land Score (Normalized, Unweighted)]]*$AD$3</f>
        <v>0.10257316335174294</v>
      </c>
      <c r="AG77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0.4918254582495219</v>
      </c>
      <c r="AH774" s="406">
        <f t="shared" ref="AH774:AH837" si="12">_xlfn.RANK.EQ(AG774,$AG$6:$AG$2341,0)</f>
        <v>441</v>
      </c>
      <c r="AI77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0.4918254582495219</v>
      </c>
      <c r="AJ774" s="257">
        <f>FME_Ranking1[[#This Row],[Addition check]]-FME_Ranking1[[#This Row],[Weighted Score Based on Normalized Reported Factors]]</f>
        <v>0</v>
      </c>
      <c r="AK774" s="178">
        <f>_xlfn.RANK.EQ(AI774,$AI$6:$AI$2341,0)+COUNTIF($AI$6:AI774,AI774)-1</f>
        <v>441</v>
      </c>
    </row>
    <row r="775" spans="1:37" x14ac:dyDescent="0.25">
      <c r="A775" t="s">
        <v>6738</v>
      </c>
      <c r="B775">
        <f>_xlfn.XLOOKUP(FME_Ranking1[[#This Row],[FME ID]],FME_Input[FME_ID],FME_Input[RFPG_NUM])</f>
        <v>7</v>
      </c>
      <c r="C775" t="str">
        <f>_xlfn.XLOOKUP(FME_Ranking1[[#This Row],[FME ID]],FME_Input[FME_ID],FME_Input[FME_NAME])</f>
        <v>Cochran County DMP</v>
      </c>
      <c r="D775" t="str">
        <f>_xlfn.XLOOKUP(FME_Ranking1[[#This Row],[FME ID]],FME_Input[FME_ID],FME_Input[DESCR])</f>
        <v>Identify bridge and culvert crossings damaged by past flooding events. Create a GIS map and assessment condition report for each structure.</v>
      </c>
      <c r="E775" s="256">
        <f>_xlfn.XLOOKUP(FME_Ranking1[[#This Row],[FME ID]],FME_Input[FME_ID],FME_Input[FME_COST])</f>
        <v>500000</v>
      </c>
      <c r="F775" t="str">
        <f>_xlfn.XLOOKUP(FME_Ranking1[[#This Row],[FME ID]],FME_Input[FME_ID],FME_Input[EMER_NEED])</f>
        <v>No</v>
      </c>
      <c r="G775">
        <f>IF(FME_Ranking!F775="Yes",100,0)</f>
        <v>0</v>
      </c>
      <c r="H775">
        <f>FME_Ranking1[[#This Row],[Emergency Need Score (Normalized, Unweighted)]]*$F$3</f>
        <v>0</v>
      </c>
      <c r="I775" s="246">
        <f>_xlfn.XLOOKUP(FME_Ranking1[[#This Row],[FME ID]],FME_Input[FME_ID],FME_Input[STRUCT_100])</f>
        <v>278</v>
      </c>
      <c r="J775" s="178">
        <f>(FME_Ranking1[[#This Row],[Structures 100 Raw]]/I$2)*100</f>
        <v>0.14886689799940026</v>
      </c>
      <c r="K775" s="178">
        <f>FME_Ranking1[[#This Row],[Structures 100  Score (Normalized, Unweighted)]]*$I$3</f>
        <v>2.2330034699910038E-2</v>
      </c>
      <c r="L775" s="246">
        <f>_xlfn.XLOOKUP(FME_Ranking1[[#This Row],[FME ID]],FME_Input[FME_ID],FME_Input[RES_STRUCT100])</f>
        <v>134</v>
      </c>
      <c r="M775" s="230">
        <f>(FME_Ranking1[[#This Row],[Res Structures Raw]]/L$2)*100</f>
        <v>9.4912949242821329E-2</v>
      </c>
      <c r="N775" s="180">
        <f>FME_Ranking1[[#This Row],[Res Structures Score (Normalized, Unweighted)]]*$L$3</f>
        <v>9.4912949242821343E-3</v>
      </c>
      <c r="O775" s="244">
        <f>_xlfn.XLOOKUP(FME_Ranking1[[#This Row],[FME ID]],FME_Input[FME_ID],FME_Input[POP100])</f>
        <v>340</v>
      </c>
      <c r="P775" s="178">
        <f>(FME_Ranking1[[#This Row],[Pop Raw]]/$O$2)*100</f>
        <v>3.4807606076179519E-2</v>
      </c>
      <c r="Q775" s="178">
        <f>FME_Ranking1[[#This Row],[Pop Score (Normalized, Unweighted)]]*$O$3</f>
        <v>5.2211409114269278E-3</v>
      </c>
      <c r="R775" s="137">
        <f>_xlfn.XLOOKUP(FME_Ranking1[[#This Row],[FME ID]],FME_Input[FME_ID],FME_Input[CRITFAC100])</f>
        <v>2</v>
      </c>
      <c r="S775" s="230">
        <f>(FME_Ranking1[[#This Row],[Critical Facilities Raw]]/$R$2)*100</f>
        <v>8.5763293310463118E-2</v>
      </c>
      <c r="T775" s="180">
        <f>FME_Ranking1[[#This Row],[Critical Facilities Score (Normalized, Unweighted)]]*$R$3</f>
        <v>1.7152658662092625E-2</v>
      </c>
      <c r="U775">
        <f>_xlfn.XLOOKUP(FME_Ranking1[[#This Row],[FME ID]],FME_Input[FME_ID],FME_Input[LWC])</f>
        <v>1</v>
      </c>
      <c r="V775" s="178">
        <f>(FME_Ranking1[[#This Row],[LWC Raw]]/$U$2)*100</f>
        <v>5.7570523891767422E-2</v>
      </c>
      <c r="W775" s="178">
        <f>FME_Ranking1[[#This Row],[LWC Score (Normalized, Unweighted)]]*$U$3</f>
        <v>1.1514104778353485E-2</v>
      </c>
      <c r="X775" s="246">
        <f>_xlfn.XLOOKUP(FME_Ranking1[[#This Row],[FME ID]],FME_Input[FME_ID],FME_Input[ROADCLS])</f>
        <v>0</v>
      </c>
      <c r="Y775" s="230">
        <f>(FME_Ranking1[[#This Row],[Closures Raw]]/$X$2)*100</f>
        <v>0</v>
      </c>
      <c r="Z775" s="180">
        <f>FME_Ranking1[[#This Row],[Closures Score (Normalized, Unweighted)]]*$X$3</f>
        <v>0</v>
      </c>
      <c r="AA775" s="253">
        <f>_xlfn.XLOOKUP(FME_Ranking1[[#This Row],[FME ID]],FME_Input[FME_ID],FME_Input[ROAD_MILES100])</f>
        <v>246.07391357421881</v>
      </c>
      <c r="AB775" s="178">
        <f>(FME_Ranking1[[#This Row],[Miles Raw]]/$AA$2)*100</f>
        <v>3.2354306092171372</v>
      </c>
      <c r="AC775" s="178">
        <f>FME_Ranking1[[#This Row],[Miles Score (Normalized, Unweighted)]]*$AA$3</f>
        <v>0.32354306092171375</v>
      </c>
      <c r="AD775" s="255">
        <f>_xlfn.XLOOKUP(FME_Ranking1[[#This Row],[FME ID]],FME_Input[FME_ID],FME_Input[FARMACRE100])</f>
        <v>49749.90234375</v>
      </c>
      <c r="AE775" s="230">
        <f>(FME_Ranking1[[#This Row],[Ag Land Raw]]/$AD$2)*100</f>
        <v>2.0514632670348587</v>
      </c>
      <c r="AF775" s="231">
        <f>FME_Ranking1[[#This Row],[Ag Land Score (Normalized, Unweighted)]]*$AD$3</f>
        <v>0.10257316335174294</v>
      </c>
      <c r="AG77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0.4918254582495219</v>
      </c>
      <c r="AH775" s="406">
        <f t="shared" si="12"/>
        <v>441</v>
      </c>
      <c r="AI77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0.4918254582495219</v>
      </c>
      <c r="AJ775" s="257">
        <f>FME_Ranking1[[#This Row],[Addition check]]-FME_Ranking1[[#This Row],[Weighted Score Based on Normalized Reported Factors]]</f>
        <v>0</v>
      </c>
      <c r="AK775" s="178">
        <f>_xlfn.RANK.EQ(AI775,$AI$6:$AI$2341,0)+COUNTIF($AI$6:AI775,AI775)-1</f>
        <v>442</v>
      </c>
    </row>
    <row r="776" spans="1:37" x14ac:dyDescent="0.25">
      <c r="A776" t="s">
        <v>6741</v>
      </c>
      <c r="B776">
        <f>_xlfn.XLOOKUP(FME_Ranking1[[#This Row],[FME ID]],FME_Input[FME_ID],FME_Input[RFPG_NUM])</f>
        <v>7</v>
      </c>
      <c r="C776" t="str">
        <f>_xlfn.XLOOKUP(FME_Ranking1[[#This Row],[FME ID]],FME_Input[FME_ID],FME_Input[FME_NAME])</f>
        <v>Cochran County GIS Development</v>
      </c>
      <c r="D776" t="str">
        <f>_xlfn.XLOOKUP(FME_Ranking1[[#This Row],[FME ID]],FME_Input[FME_ID],FME_Input[DESCR])</f>
        <v>Develop a GIS inventory of stormwater infrastructure</v>
      </c>
      <c r="E776" s="256">
        <f>_xlfn.XLOOKUP(FME_Ranking1[[#This Row],[FME ID]],FME_Input[FME_ID],FME_Input[FME_COST])</f>
        <v>100000</v>
      </c>
      <c r="F776" t="str">
        <f>_xlfn.XLOOKUP(FME_Ranking1[[#This Row],[FME ID]],FME_Input[FME_ID],FME_Input[EMER_NEED])</f>
        <v>No</v>
      </c>
      <c r="G776">
        <f>IF(FME_Ranking!F776="Yes",100,0)</f>
        <v>0</v>
      </c>
      <c r="H776">
        <f>FME_Ranking1[[#This Row],[Emergency Need Score (Normalized, Unweighted)]]*$F$3</f>
        <v>0</v>
      </c>
      <c r="I776" s="246">
        <f>_xlfn.XLOOKUP(FME_Ranking1[[#This Row],[FME ID]],FME_Input[FME_ID],FME_Input[STRUCT_100])</f>
        <v>278</v>
      </c>
      <c r="J776" s="178">
        <f>(FME_Ranking1[[#This Row],[Structures 100 Raw]]/I$2)*100</f>
        <v>0.14886689799940026</v>
      </c>
      <c r="K776" s="178">
        <f>FME_Ranking1[[#This Row],[Structures 100  Score (Normalized, Unweighted)]]*$I$3</f>
        <v>2.2330034699910038E-2</v>
      </c>
      <c r="L776" s="246">
        <f>_xlfn.XLOOKUP(FME_Ranking1[[#This Row],[FME ID]],FME_Input[FME_ID],FME_Input[RES_STRUCT100])</f>
        <v>134</v>
      </c>
      <c r="M776" s="230">
        <f>(FME_Ranking1[[#This Row],[Res Structures Raw]]/L$2)*100</f>
        <v>9.4912949242821329E-2</v>
      </c>
      <c r="N776" s="180">
        <f>FME_Ranking1[[#This Row],[Res Structures Score (Normalized, Unweighted)]]*$L$3</f>
        <v>9.4912949242821343E-3</v>
      </c>
      <c r="O776" s="244">
        <f>_xlfn.XLOOKUP(FME_Ranking1[[#This Row],[FME ID]],FME_Input[FME_ID],FME_Input[POP100])</f>
        <v>340</v>
      </c>
      <c r="P776" s="178">
        <f>(FME_Ranking1[[#This Row],[Pop Raw]]/$O$2)*100</f>
        <v>3.4807606076179519E-2</v>
      </c>
      <c r="Q776" s="178">
        <f>FME_Ranking1[[#This Row],[Pop Score (Normalized, Unweighted)]]*$O$3</f>
        <v>5.2211409114269278E-3</v>
      </c>
      <c r="R776" s="137">
        <f>_xlfn.XLOOKUP(FME_Ranking1[[#This Row],[FME ID]],FME_Input[FME_ID],FME_Input[CRITFAC100])</f>
        <v>2</v>
      </c>
      <c r="S776" s="230">
        <f>(FME_Ranking1[[#This Row],[Critical Facilities Raw]]/$R$2)*100</f>
        <v>8.5763293310463118E-2</v>
      </c>
      <c r="T776" s="180">
        <f>FME_Ranking1[[#This Row],[Critical Facilities Score (Normalized, Unweighted)]]*$R$3</f>
        <v>1.7152658662092625E-2</v>
      </c>
      <c r="U776">
        <f>_xlfn.XLOOKUP(FME_Ranking1[[#This Row],[FME ID]],FME_Input[FME_ID],FME_Input[LWC])</f>
        <v>1</v>
      </c>
      <c r="V776" s="178">
        <f>(FME_Ranking1[[#This Row],[LWC Raw]]/$U$2)*100</f>
        <v>5.7570523891767422E-2</v>
      </c>
      <c r="W776" s="178">
        <f>FME_Ranking1[[#This Row],[LWC Score (Normalized, Unweighted)]]*$U$3</f>
        <v>1.1514104778353485E-2</v>
      </c>
      <c r="X776" s="246">
        <f>_xlfn.XLOOKUP(FME_Ranking1[[#This Row],[FME ID]],FME_Input[FME_ID],FME_Input[ROADCLS])</f>
        <v>0</v>
      </c>
      <c r="Y776" s="230">
        <f>(FME_Ranking1[[#This Row],[Closures Raw]]/$X$2)*100</f>
        <v>0</v>
      </c>
      <c r="Z776" s="180">
        <f>FME_Ranking1[[#This Row],[Closures Score (Normalized, Unweighted)]]*$X$3</f>
        <v>0</v>
      </c>
      <c r="AA776" s="253">
        <f>_xlfn.XLOOKUP(FME_Ranking1[[#This Row],[FME ID]],FME_Input[FME_ID],FME_Input[ROAD_MILES100])</f>
        <v>246.07391357421881</v>
      </c>
      <c r="AB776" s="178">
        <f>(FME_Ranking1[[#This Row],[Miles Raw]]/$AA$2)*100</f>
        <v>3.2354306092171372</v>
      </c>
      <c r="AC776" s="178">
        <f>FME_Ranking1[[#This Row],[Miles Score (Normalized, Unweighted)]]*$AA$3</f>
        <v>0.32354306092171375</v>
      </c>
      <c r="AD776" s="255">
        <f>_xlfn.XLOOKUP(FME_Ranking1[[#This Row],[FME ID]],FME_Input[FME_ID],FME_Input[FARMACRE100])</f>
        <v>49749.90234375</v>
      </c>
      <c r="AE776" s="230">
        <f>(FME_Ranking1[[#This Row],[Ag Land Raw]]/$AD$2)*100</f>
        <v>2.0514632670348587</v>
      </c>
      <c r="AF776" s="231">
        <f>FME_Ranking1[[#This Row],[Ag Land Score (Normalized, Unweighted)]]*$AD$3</f>
        <v>0.10257316335174294</v>
      </c>
      <c r="AG77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0.4918254582495219</v>
      </c>
      <c r="AH776" s="406">
        <f t="shared" si="12"/>
        <v>441</v>
      </c>
      <c r="AI77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0.4918254582495219</v>
      </c>
      <c r="AJ776" s="257">
        <f>FME_Ranking1[[#This Row],[Addition check]]-FME_Ranking1[[#This Row],[Weighted Score Based on Normalized Reported Factors]]</f>
        <v>0</v>
      </c>
      <c r="AK776" s="178">
        <f>_xlfn.RANK.EQ(AI776,$AI$6:$AI$2341,0)+COUNTIF($AI$6:AI776,AI776)-1</f>
        <v>443</v>
      </c>
    </row>
    <row r="777" spans="1:37" x14ac:dyDescent="0.25">
      <c r="A777" t="s">
        <v>7268</v>
      </c>
      <c r="B777">
        <f>_xlfn.XLOOKUP(FME_Ranking1[[#This Row],[FME ID]],FME_Input[FME_ID],FME_Input[RFPG_NUM])</f>
        <v>7</v>
      </c>
      <c r="C777" t="str">
        <f>_xlfn.XLOOKUP(FME_Ranking1[[#This Row],[FME ID]],FME_Input[FME_ID],FME_Input[FME_NAME])</f>
        <v>Cochran County DCM</v>
      </c>
      <c r="D777" t="str">
        <f>_xlfn.XLOOKUP(FME_Ranking1[[#This Row],[FME ID]],FME_Input[FME_ID],FME_Input[DESCR])</f>
        <v>Consider stormwater criteria for infrastructure and floodplain ordinances to avoid new exposure to flood hazards.</v>
      </c>
      <c r="E777" s="256">
        <f>_xlfn.XLOOKUP(FME_Ranking1[[#This Row],[FME ID]],FME_Input[FME_ID],FME_Input[FME_COST])</f>
        <v>100000</v>
      </c>
      <c r="F777" t="str">
        <f>_xlfn.XLOOKUP(FME_Ranking1[[#This Row],[FME ID]],FME_Input[FME_ID],FME_Input[EMER_NEED])</f>
        <v>No</v>
      </c>
      <c r="G777">
        <f>IF(FME_Ranking!F777="Yes",100,0)</f>
        <v>0</v>
      </c>
      <c r="H777">
        <f>FME_Ranking1[[#This Row],[Emergency Need Score (Normalized, Unweighted)]]*$F$3</f>
        <v>0</v>
      </c>
      <c r="I777" s="246">
        <f>_xlfn.XLOOKUP(FME_Ranking1[[#This Row],[FME ID]],FME_Input[FME_ID],FME_Input[STRUCT_100])</f>
        <v>278</v>
      </c>
      <c r="J777" s="178">
        <f>(FME_Ranking1[[#This Row],[Structures 100 Raw]]/I$2)*100</f>
        <v>0.14886689799940026</v>
      </c>
      <c r="K777" s="178">
        <f>FME_Ranking1[[#This Row],[Structures 100  Score (Normalized, Unweighted)]]*$I$3</f>
        <v>2.2330034699910038E-2</v>
      </c>
      <c r="L777" s="246">
        <f>_xlfn.XLOOKUP(FME_Ranking1[[#This Row],[FME ID]],FME_Input[FME_ID],FME_Input[RES_STRUCT100])</f>
        <v>134</v>
      </c>
      <c r="M777" s="230">
        <f>(FME_Ranking1[[#This Row],[Res Structures Raw]]/L$2)*100</f>
        <v>9.4912949242821329E-2</v>
      </c>
      <c r="N777" s="180">
        <f>FME_Ranking1[[#This Row],[Res Structures Score (Normalized, Unweighted)]]*$L$3</f>
        <v>9.4912949242821343E-3</v>
      </c>
      <c r="O777" s="244">
        <f>_xlfn.XLOOKUP(FME_Ranking1[[#This Row],[FME ID]],FME_Input[FME_ID],FME_Input[POP100])</f>
        <v>340</v>
      </c>
      <c r="P777" s="178">
        <f>(FME_Ranking1[[#This Row],[Pop Raw]]/$O$2)*100</f>
        <v>3.4807606076179519E-2</v>
      </c>
      <c r="Q777" s="178">
        <f>FME_Ranking1[[#This Row],[Pop Score (Normalized, Unweighted)]]*$O$3</f>
        <v>5.2211409114269278E-3</v>
      </c>
      <c r="R777" s="137">
        <f>_xlfn.XLOOKUP(FME_Ranking1[[#This Row],[FME ID]],FME_Input[FME_ID],FME_Input[CRITFAC100])</f>
        <v>2</v>
      </c>
      <c r="S777" s="230">
        <f>(FME_Ranking1[[#This Row],[Critical Facilities Raw]]/$R$2)*100</f>
        <v>8.5763293310463118E-2</v>
      </c>
      <c r="T777" s="180">
        <f>FME_Ranking1[[#This Row],[Critical Facilities Score (Normalized, Unweighted)]]*$R$3</f>
        <v>1.7152658662092625E-2</v>
      </c>
      <c r="U777">
        <f>_xlfn.XLOOKUP(FME_Ranking1[[#This Row],[FME ID]],FME_Input[FME_ID],FME_Input[LWC])</f>
        <v>1</v>
      </c>
      <c r="V777" s="178">
        <f>(FME_Ranking1[[#This Row],[LWC Raw]]/$U$2)*100</f>
        <v>5.7570523891767422E-2</v>
      </c>
      <c r="W777" s="178">
        <f>FME_Ranking1[[#This Row],[LWC Score (Normalized, Unweighted)]]*$U$3</f>
        <v>1.1514104778353485E-2</v>
      </c>
      <c r="X777" s="246">
        <f>_xlfn.XLOOKUP(FME_Ranking1[[#This Row],[FME ID]],FME_Input[FME_ID],FME_Input[ROADCLS])</f>
        <v>0</v>
      </c>
      <c r="Y777" s="230">
        <f>(FME_Ranking1[[#This Row],[Closures Raw]]/$X$2)*100</f>
        <v>0</v>
      </c>
      <c r="Z777" s="180">
        <f>FME_Ranking1[[#This Row],[Closures Score (Normalized, Unweighted)]]*$X$3</f>
        <v>0</v>
      </c>
      <c r="AA777" s="253">
        <f>_xlfn.XLOOKUP(FME_Ranking1[[#This Row],[FME ID]],FME_Input[FME_ID],FME_Input[ROAD_MILES100])</f>
        <v>246.07391357421881</v>
      </c>
      <c r="AB777" s="178">
        <f>(FME_Ranking1[[#This Row],[Miles Raw]]/$AA$2)*100</f>
        <v>3.2354306092171372</v>
      </c>
      <c r="AC777" s="178">
        <f>FME_Ranking1[[#This Row],[Miles Score (Normalized, Unweighted)]]*$AA$3</f>
        <v>0.32354306092171375</v>
      </c>
      <c r="AD777" s="255">
        <f>_xlfn.XLOOKUP(FME_Ranking1[[#This Row],[FME ID]],FME_Input[FME_ID],FME_Input[FARMACRE100])</f>
        <v>49749.90234375</v>
      </c>
      <c r="AE777" s="230">
        <f>(FME_Ranking1[[#This Row],[Ag Land Raw]]/$AD$2)*100</f>
        <v>2.0514632670348587</v>
      </c>
      <c r="AF777" s="231">
        <f>FME_Ranking1[[#This Row],[Ag Land Score (Normalized, Unweighted)]]*$AD$3</f>
        <v>0.10257316335174294</v>
      </c>
      <c r="AG77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0.4918254582495219</v>
      </c>
      <c r="AH777" s="406">
        <f t="shared" si="12"/>
        <v>441</v>
      </c>
      <c r="AI77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0.4918254582495219</v>
      </c>
      <c r="AJ777" s="257">
        <f>FME_Ranking1[[#This Row],[Addition check]]-FME_Ranking1[[#This Row],[Weighted Score Based on Normalized Reported Factors]]</f>
        <v>0</v>
      </c>
      <c r="AK777" s="178">
        <f>_xlfn.RANK.EQ(AI777,$AI$6:$AI$2341,0)+COUNTIF($AI$6:AI777,AI777)-1</f>
        <v>444</v>
      </c>
    </row>
    <row r="778" spans="1:37" x14ac:dyDescent="0.25">
      <c r="A778" t="s">
        <v>248</v>
      </c>
      <c r="B778">
        <f>_xlfn.XLOOKUP(FME_Ranking1[[#This Row],[FME ID]],FME_Input[FME_ID],FME_Input[RFPG_NUM])</f>
        <v>10</v>
      </c>
      <c r="C778" t="str">
        <f>_xlfn.XLOOKUP(FME_Ranking1[[#This Row],[FME ID]],FME_Input[FME_ID],FME_Input[FME_NAME])</f>
        <v>2nd Street at Backbone Creek Low Water Crossing</v>
      </c>
      <c r="D778" t="str">
        <f>_xlfn.XLOOKUP(FME_Ranking1[[#This Row],[FME ID]],FME_Input[FME_ID],FME_Input[DESCR])</f>
        <v>This route regularly floods and is an emergency vehicle response route as well as a truck route.</v>
      </c>
      <c r="E778" s="256">
        <f>_xlfn.XLOOKUP(FME_Ranking1[[#This Row],[FME ID]],FME_Input[FME_ID],FME_Input[FME_COST])</f>
        <v>100000</v>
      </c>
      <c r="F778" t="str">
        <f>_xlfn.XLOOKUP(FME_Ranking1[[#This Row],[FME ID]],FME_Input[FME_ID],FME_Input[EMER_NEED])</f>
        <v>No</v>
      </c>
      <c r="G778">
        <f>IF(FME_Ranking!F778="Yes",100,0)</f>
        <v>0</v>
      </c>
      <c r="H778">
        <f>FME_Ranking1[[#This Row],[Emergency Need Score (Normalized, Unweighted)]]*$F$3</f>
        <v>0</v>
      </c>
      <c r="I778" s="246">
        <f>_xlfn.XLOOKUP(FME_Ranking1[[#This Row],[FME ID]],FME_Input[FME_ID],FME_Input[STRUCT_100])</f>
        <v>78</v>
      </c>
      <c r="J778" s="178">
        <f>(FME_Ranking1[[#This Row],[Structures 100 Raw]]/I$2)*100</f>
        <v>4.1768410230047549E-2</v>
      </c>
      <c r="K778" s="178">
        <f>FME_Ranking1[[#This Row],[Structures 100  Score (Normalized, Unweighted)]]*$I$3</f>
        <v>6.2652615345071324E-3</v>
      </c>
      <c r="L778" s="246">
        <f>_xlfn.XLOOKUP(FME_Ranking1[[#This Row],[FME ID]],FME_Input[FME_ID],FME_Input[RES_STRUCT100])</f>
        <v>8</v>
      </c>
      <c r="M778" s="230">
        <f>(FME_Ranking1[[#This Row],[Res Structures Raw]]/L$2)*100</f>
        <v>5.666444730914706E-3</v>
      </c>
      <c r="N778" s="180">
        <f>FME_Ranking1[[#This Row],[Res Structures Score (Normalized, Unweighted)]]*$L$3</f>
        <v>5.6664447309147067E-4</v>
      </c>
      <c r="O778" s="244">
        <f>_xlfn.XLOOKUP(FME_Ranking1[[#This Row],[FME ID]],FME_Input[FME_ID],FME_Input[POP100])</f>
        <v>717</v>
      </c>
      <c r="P778" s="178">
        <f>(FME_Ranking1[[#This Row],[Pop Raw]]/$O$2)*100</f>
        <v>7.3403098695943275E-2</v>
      </c>
      <c r="Q778" s="178">
        <f>FME_Ranking1[[#This Row],[Pop Score (Normalized, Unweighted)]]*$O$3</f>
        <v>1.101046480439149E-2</v>
      </c>
      <c r="R778" s="137">
        <f>_xlfn.XLOOKUP(FME_Ranking1[[#This Row],[FME ID]],FME_Input[FME_ID],FME_Input[CRITFAC100])</f>
        <v>0</v>
      </c>
      <c r="S778" s="230">
        <f>(FME_Ranking1[[#This Row],[Critical Facilities Raw]]/$R$2)*100</f>
        <v>0</v>
      </c>
      <c r="T778" s="180">
        <f>FME_Ranking1[[#This Row],[Critical Facilities Score (Normalized, Unweighted)]]*$R$3</f>
        <v>0</v>
      </c>
      <c r="U778">
        <f>_xlfn.XLOOKUP(FME_Ranking1[[#This Row],[FME ID]],FME_Input[FME_ID],FME_Input[LWC])</f>
        <v>13</v>
      </c>
      <c r="V778" s="178">
        <f>(FME_Ranking1[[#This Row],[LWC Raw]]/$U$2)*100</f>
        <v>0.74841681059297649</v>
      </c>
      <c r="W778" s="178">
        <f>FME_Ranking1[[#This Row],[LWC Score (Normalized, Unweighted)]]*$U$3</f>
        <v>0.14968336211859531</v>
      </c>
      <c r="X778" s="246">
        <f>_xlfn.XLOOKUP(FME_Ranking1[[#This Row],[FME ID]],FME_Input[FME_ID],FME_Input[ROADCLS])</f>
        <v>0</v>
      </c>
      <c r="Y778" s="230">
        <f>(FME_Ranking1[[#This Row],[Closures Raw]]/$X$2)*100</f>
        <v>0</v>
      </c>
      <c r="Z778" s="180">
        <f>FME_Ranking1[[#This Row],[Closures Score (Normalized, Unweighted)]]*$X$3</f>
        <v>0</v>
      </c>
      <c r="AA778" s="253">
        <f>_xlfn.XLOOKUP(FME_Ranking1[[#This Row],[FME ID]],FME_Input[FME_ID],FME_Input[ROAD_MILES100])</f>
        <v>1.8694180250167849</v>
      </c>
      <c r="AB778" s="178">
        <f>(FME_Ranking1[[#This Row],[Miles Raw]]/$AA$2)*100</f>
        <v>2.4579494070334659E-2</v>
      </c>
      <c r="AC778" s="178">
        <f>FME_Ranking1[[#This Row],[Miles Score (Normalized, Unweighted)]]*$AA$3</f>
        <v>2.457949407033466E-3</v>
      </c>
      <c r="AD778" s="255">
        <f>_xlfn.XLOOKUP(FME_Ranking1[[#This Row],[FME ID]],FME_Input[FME_ID],FME_Input[FARMACRE100])</f>
        <v>45.066783905029297</v>
      </c>
      <c r="AE778" s="230">
        <f>(FME_Ranking1[[#This Row],[Ag Land Raw]]/$AD$2)*100</f>
        <v>1.858352426618986E-3</v>
      </c>
      <c r="AF778" s="231">
        <f>FME_Ranking1[[#This Row],[Ag Land Score (Normalized, Unweighted)]]*$AD$3</f>
        <v>9.2917621330949302E-5</v>
      </c>
      <c r="AG77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0.17007659995894983</v>
      </c>
      <c r="AH778" s="406">
        <f t="shared" si="12"/>
        <v>864</v>
      </c>
      <c r="AI77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0.17007659995894983</v>
      </c>
      <c r="AJ778" s="257">
        <f>FME_Ranking1[[#This Row],[Addition check]]-FME_Ranking1[[#This Row],[Weighted Score Based on Normalized Reported Factors]]</f>
        <v>0</v>
      </c>
      <c r="AK778" s="178">
        <f>_xlfn.RANK.EQ(AI778,$AI$6:$AI$2341,0)+COUNTIF($AI$6:AI778,AI778)-1</f>
        <v>864</v>
      </c>
    </row>
    <row r="779" spans="1:37" x14ac:dyDescent="0.25">
      <c r="A779" t="s">
        <v>4552</v>
      </c>
      <c r="B779">
        <f>_xlfn.XLOOKUP(FME_Ranking1[[#This Row],[FME ID]],FME_Input[FME_ID],FME_Input[RFPG_NUM])</f>
        <v>3</v>
      </c>
      <c r="C779" t="str">
        <f>_xlfn.XLOOKUP(FME_Ranking1[[#This Row],[FME ID]],FME_Input[FME_ID],FME_Input[FME_NAME])</f>
        <v>Jack County WWTP and Lift Station Flood-Proofing.</v>
      </c>
      <c r="D779" t="str">
        <f>_xlfn.XLOOKUP(FME_Ranking1[[#This Row],[FME ID]],FME_Input[FME_ID],FME_Input[DESCR])</f>
        <v>Evaluate alternatives to flood-proof sewage treatment plans in flood hazard / low-lying areas. Raise electrical components of sewage lift stations above the BFE.</v>
      </c>
      <c r="E779" s="256">
        <f>_xlfn.XLOOKUP(FME_Ranking1[[#This Row],[FME ID]],FME_Input[FME_ID],FME_Input[FME_COST])</f>
        <v>250000</v>
      </c>
      <c r="F779" t="str">
        <f>_xlfn.XLOOKUP(FME_Ranking1[[#This Row],[FME ID]],FME_Input[FME_ID],FME_Input[EMER_NEED])</f>
        <v>No</v>
      </c>
      <c r="G779">
        <f>IF(FME_Ranking!F779="Yes",100,0)</f>
        <v>0</v>
      </c>
      <c r="H779">
        <f>FME_Ranking1[[#This Row],[Emergency Need Score (Normalized, Unweighted)]]*$F$3</f>
        <v>0</v>
      </c>
      <c r="I779" s="246">
        <f>_xlfn.XLOOKUP(FME_Ranking1[[#This Row],[FME ID]],FME_Input[FME_ID],FME_Input[STRUCT_100])</f>
        <v>265</v>
      </c>
      <c r="J779" s="178">
        <f>(FME_Ranking1[[#This Row],[Structures 100 Raw]]/I$2)*100</f>
        <v>0.14190549629439234</v>
      </c>
      <c r="K779" s="178">
        <f>FME_Ranking1[[#This Row],[Structures 100  Score (Normalized, Unweighted)]]*$I$3</f>
        <v>2.128582444415885E-2</v>
      </c>
      <c r="L779" s="246">
        <f>_xlfn.XLOOKUP(FME_Ranking1[[#This Row],[FME ID]],FME_Input[FME_ID],FME_Input[RES_STRUCT100])</f>
        <v>105</v>
      </c>
      <c r="M779" s="230">
        <f>(FME_Ranking1[[#This Row],[Res Structures Raw]]/L$2)*100</f>
        <v>7.4372087093255518E-2</v>
      </c>
      <c r="N779" s="180">
        <f>FME_Ranking1[[#This Row],[Res Structures Score (Normalized, Unweighted)]]*$L$3</f>
        <v>7.4372087093255521E-3</v>
      </c>
      <c r="O779" s="244">
        <f>_xlfn.XLOOKUP(FME_Ranking1[[#This Row],[FME ID]],FME_Input[FME_ID],FME_Input[POP100])</f>
        <v>230</v>
      </c>
      <c r="P779" s="178">
        <f>(FME_Ranking1[[#This Row],[Pop Raw]]/$O$2)*100</f>
        <v>2.3546321757415556E-2</v>
      </c>
      <c r="Q779" s="178">
        <f>FME_Ranking1[[#This Row],[Pop Score (Normalized, Unweighted)]]*$O$3</f>
        <v>3.5319482636123334E-3</v>
      </c>
      <c r="R779" s="137">
        <f>_xlfn.XLOOKUP(FME_Ranking1[[#This Row],[FME ID]],FME_Input[FME_ID],FME_Input[CRITFAC100])</f>
        <v>0</v>
      </c>
      <c r="S779" s="230">
        <f>(FME_Ranking1[[#This Row],[Critical Facilities Raw]]/$R$2)*100</f>
        <v>0</v>
      </c>
      <c r="T779" s="180">
        <f>FME_Ranking1[[#This Row],[Critical Facilities Score (Normalized, Unweighted)]]*$R$3</f>
        <v>0</v>
      </c>
      <c r="U779">
        <f>_xlfn.XLOOKUP(FME_Ranking1[[#This Row],[FME ID]],FME_Input[FME_ID],FME_Input[LWC])</f>
        <v>6</v>
      </c>
      <c r="V779" s="178">
        <f>(FME_Ranking1[[#This Row],[LWC Raw]]/$U$2)*100</f>
        <v>0.34542314335060448</v>
      </c>
      <c r="W779" s="178">
        <f>FME_Ranking1[[#This Row],[LWC Score (Normalized, Unweighted)]]*$U$3</f>
        <v>6.9084628670120898E-2</v>
      </c>
      <c r="X779" s="246">
        <f>_xlfn.XLOOKUP(FME_Ranking1[[#This Row],[FME ID]],FME_Input[FME_ID],FME_Input[ROADCLS])</f>
        <v>0</v>
      </c>
      <c r="Y779" s="230">
        <f>(FME_Ranking1[[#This Row],[Closures Raw]]/$X$2)*100</f>
        <v>0</v>
      </c>
      <c r="Z779" s="180">
        <f>FME_Ranking1[[#This Row],[Closures Score (Normalized, Unweighted)]]*$X$3</f>
        <v>0</v>
      </c>
      <c r="AA779" s="253">
        <f>_xlfn.XLOOKUP(FME_Ranking1[[#This Row],[FME ID]],FME_Input[FME_ID],FME_Input[ROAD_MILES100])</f>
        <v>54.576850891113281</v>
      </c>
      <c r="AB779" s="178">
        <f>(FME_Ranking1[[#This Row],[Miles Raw]]/$AA$2)*100</f>
        <v>0.71758770104060221</v>
      </c>
      <c r="AC779" s="178">
        <f>FME_Ranking1[[#This Row],[Miles Score (Normalized, Unweighted)]]*$AA$3</f>
        <v>7.1758770104060218E-2</v>
      </c>
      <c r="AD779" s="255">
        <f>_xlfn.XLOOKUP(FME_Ranking1[[#This Row],[FME ID]],FME_Input[FME_ID],FME_Input[FARMACRE100])</f>
        <v>32105.580078125</v>
      </c>
      <c r="AE779" s="230">
        <f>(FME_Ranking1[[#This Row],[Ag Land Raw]]/$AD$2)*100</f>
        <v>1.3238904016742035</v>
      </c>
      <c r="AF779" s="231">
        <f>FME_Ranking1[[#This Row],[Ag Land Score (Normalized, Unweighted)]]*$AD$3</f>
        <v>6.619452008371017E-2</v>
      </c>
      <c r="AG77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0.23929290027498801</v>
      </c>
      <c r="AH779" s="406">
        <f t="shared" si="12"/>
        <v>728</v>
      </c>
      <c r="AI77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0.23929290027498801</v>
      </c>
      <c r="AJ779" s="257">
        <f>FME_Ranking1[[#This Row],[Addition check]]-FME_Ranking1[[#This Row],[Weighted Score Based on Normalized Reported Factors]]</f>
        <v>0</v>
      </c>
      <c r="AK779" s="178">
        <f>_xlfn.RANK.EQ(AI779,$AI$6:$AI$2341,0)+COUNTIF($AI$6:AI779,AI779)-1</f>
        <v>728</v>
      </c>
    </row>
    <row r="780" spans="1:37" x14ac:dyDescent="0.25">
      <c r="A780" t="s">
        <v>6689</v>
      </c>
      <c r="B780">
        <f>_xlfn.XLOOKUP(FME_Ranking1[[#This Row],[FME ID]],FME_Input[FME_ID],FME_Input[RFPG_NUM])</f>
        <v>7</v>
      </c>
      <c r="C780" t="str">
        <f>_xlfn.XLOOKUP(FME_Ranking1[[#This Row],[FME ID]],FME_Input[FME_ID],FME_Input[FME_NAME])</f>
        <v>Garza County Initial FEMA Mapping</v>
      </c>
      <c r="D780" t="str">
        <f>_xlfn.XLOOKUP(FME_Ranking1[[#This Row],[FME ID]],FME_Input[FME_ID],FME_Input[DESCR])</f>
        <v>Create FEMA Mapping in previously unmapped areas</v>
      </c>
      <c r="E780" s="256">
        <f>_xlfn.XLOOKUP(FME_Ranking1[[#This Row],[FME ID]],FME_Input[FME_ID],FME_Input[FME_COST])</f>
        <v>882000</v>
      </c>
      <c r="F780" t="str">
        <f>_xlfn.XLOOKUP(FME_Ranking1[[#This Row],[FME ID]],FME_Input[FME_ID],FME_Input[EMER_NEED])</f>
        <v>No</v>
      </c>
      <c r="G780">
        <f>IF(FME_Ranking!F780="Yes",100,0)</f>
        <v>0</v>
      </c>
      <c r="H780">
        <f>FME_Ranking1[[#This Row],[Emergency Need Score (Normalized, Unweighted)]]*$F$3</f>
        <v>0</v>
      </c>
      <c r="I780" s="246">
        <f>_xlfn.XLOOKUP(FME_Ranking1[[#This Row],[FME ID]],FME_Input[FME_ID],FME_Input[STRUCT_100])</f>
        <v>158</v>
      </c>
      <c r="J780" s="178">
        <f>(FME_Ranking1[[#This Row],[Structures 100 Raw]]/I$2)*100</f>
        <v>8.4607805337788625E-2</v>
      </c>
      <c r="K780" s="178">
        <f>FME_Ranking1[[#This Row],[Structures 100  Score (Normalized, Unweighted)]]*$I$3</f>
        <v>1.2691170800668294E-2</v>
      </c>
      <c r="L780" s="246">
        <f>_xlfn.XLOOKUP(FME_Ranking1[[#This Row],[FME ID]],FME_Input[FME_ID],FME_Input[RES_STRUCT100])</f>
        <v>34</v>
      </c>
      <c r="M780" s="230">
        <f>(FME_Ranking1[[#This Row],[Res Structures Raw]]/L$2)*100</f>
        <v>2.4082390106387498E-2</v>
      </c>
      <c r="N780" s="180">
        <f>FME_Ranking1[[#This Row],[Res Structures Score (Normalized, Unweighted)]]*$L$3</f>
        <v>2.4082390106387498E-3</v>
      </c>
      <c r="O780" s="244">
        <f>_xlfn.XLOOKUP(FME_Ranking1[[#This Row],[FME ID]],FME_Input[FME_ID],FME_Input[POP100])</f>
        <v>315</v>
      </c>
      <c r="P780" s="178">
        <f>(FME_Ranking1[[#This Row],[Pop Raw]]/$O$2)*100</f>
        <v>3.224822327646043E-2</v>
      </c>
      <c r="Q780" s="178">
        <f>FME_Ranking1[[#This Row],[Pop Score (Normalized, Unweighted)]]*$O$3</f>
        <v>4.837233491469064E-3</v>
      </c>
      <c r="R780" s="137">
        <f>_xlfn.XLOOKUP(FME_Ranking1[[#This Row],[FME ID]],FME_Input[FME_ID],FME_Input[CRITFAC100])</f>
        <v>0</v>
      </c>
      <c r="S780" s="230">
        <f>(FME_Ranking1[[#This Row],[Critical Facilities Raw]]/$R$2)*100</f>
        <v>0</v>
      </c>
      <c r="T780" s="180">
        <f>FME_Ranking1[[#This Row],[Critical Facilities Score (Normalized, Unweighted)]]*$R$3</f>
        <v>0</v>
      </c>
      <c r="U780">
        <f>_xlfn.XLOOKUP(FME_Ranking1[[#This Row],[FME ID]],FME_Input[FME_ID],FME_Input[LWC])</f>
        <v>11</v>
      </c>
      <c r="V780" s="178">
        <f>(FME_Ranking1[[#This Row],[LWC Raw]]/$U$2)*100</f>
        <v>0.63327576280944153</v>
      </c>
      <c r="W780" s="178">
        <f>FME_Ranking1[[#This Row],[LWC Score (Normalized, Unweighted)]]*$U$3</f>
        <v>0.12665515256188831</v>
      </c>
      <c r="X780" s="246">
        <f>_xlfn.XLOOKUP(FME_Ranking1[[#This Row],[FME ID]],FME_Input[FME_ID],FME_Input[ROADCLS])</f>
        <v>0</v>
      </c>
      <c r="Y780" s="230">
        <f>(FME_Ranking1[[#This Row],[Closures Raw]]/$X$2)*100</f>
        <v>0</v>
      </c>
      <c r="Z780" s="180">
        <f>FME_Ranking1[[#This Row],[Closures Score (Normalized, Unweighted)]]*$X$3</f>
        <v>0</v>
      </c>
      <c r="AA780" s="253">
        <f>_xlfn.XLOOKUP(FME_Ranking1[[#This Row],[FME ID]],FME_Input[FME_ID],FME_Input[ROAD_MILES100])</f>
        <v>97.674766540527344</v>
      </c>
      <c r="AB780" s="178">
        <f>(FME_Ranking1[[#This Row],[Miles Raw]]/$AA$2)*100</f>
        <v>1.2842479920897618</v>
      </c>
      <c r="AC780" s="178">
        <f>FME_Ranking1[[#This Row],[Miles Score (Normalized, Unweighted)]]*$AA$3</f>
        <v>0.12842479920897618</v>
      </c>
      <c r="AD780" s="255">
        <f>_xlfn.XLOOKUP(FME_Ranking1[[#This Row],[FME ID]],FME_Input[FME_ID],FME_Input[FARMACRE100])</f>
        <v>10113.4794921875</v>
      </c>
      <c r="AE780" s="230">
        <f>(FME_Ranking1[[#This Row],[Ag Land Raw]]/$AD$2)*100</f>
        <v>0.41703462122955259</v>
      </c>
      <c r="AF780" s="231">
        <f>FME_Ranking1[[#This Row],[Ag Land Score (Normalized, Unweighted)]]*$AD$3</f>
        <v>2.085173106147763E-2</v>
      </c>
      <c r="AG78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0.29586832613511826</v>
      </c>
      <c r="AH780" s="406">
        <f t="shared" si="12"/>
        <v>619</v>
      </c>
      <c r="AI78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0.29586832613511826</v>
      </c>
      <c r="AJ780" s="257">
        <f>FME_Ranking1[[#This Row],[Addition check]]-FME_Ranking1[[#This Row],[Weighted Score Based on Normalized Reported Factors]]</f>
        <v>0</v>
      </c>
      <c r="AK780" s="178">
        <f>_xlfn.RANK.EQ(AI780,$AI$6:$AI$2341,0)+COUNTIF($AI$6:AI780,AI780)-1</f>
        <v>619</v>
      </c>
    </row>
    <row r="781" spans="1:37" x14ac:dyDescent="0.25">
      <c r="A781" t="s">
        <v>6697</v>
      </c>
      <c r="B781">
        <f>_xlfn.XLOOKUP(FME_Ranking1[[#This Row],[FME ID]],FME_Input[FME_ID],FME_Input[RFPG_NUM])</f>
        <v>7</v>
      </c>
      <c r="C781" t="str">
        <f>_xlfn.XLOOKUP(FME_Ranking1[[#This Row],[FME ID]],FME_Input[FME_ID],FME_Input[FME_NAME])</f>
        <v>Garza County DMP</v>
      </c>
      <c r="D781" t="str">
        <f>_xlfn.XLOOKUP(FME_Ranking1[[#This Row],[FME ID]],FME_Input[FME_ID],FME_Input[DESCR])</f>
        <v>Evaluate county to identify future projects, analyze roads/stream crossing for emergency response vehicles to high hazard areas</v>
      </c>
      <c r="E781" s="256">
        <f>_xlfn.XLOOKUP(FME_Ranking1[[#This Row],[FME ID]],FME_Input[FME_ID],FME_Input[FME_COST])</f>
        <v>500000</v>
      </c>
      <c r="F781" t="str">
        <f>_xlfn.XLOOKUP(FME_Ranking1[[#This Row],[FME ID]],FME_Input[FME_ID],FME_Input[EMER_NEED])</f>
        <v>No</v>
      </c>
      <c r="G781">
        <f>IF(FME_Ranking!F781="Yes",100,0)</f>
        <v>0</v>
      </c>
      <c r="H781">
        <f>FME_Ranking1[[#This Row],[Emergency Need Score (Normalized, Unweighted)]]*$F$3</f>
        <v>0</v>
      </c>
      <c r="I781" s="246">
        <f>_xlfn.XLOOKUP(FME_Ranking1[[#This Row],[FME ID]],FME_Input[FME_ID],FME_Input[STRUCT_100])</f>
        <v>158</v>
      </c>
      <c r="J781" s="178">
        <f>(FME_Ranking1[[#This Row],[Structures 100 Raw]]/I$2)*100</f>
        <v>8.4607805337788625E-2</v>
      </c>
      <c r="K781" s="178">
        <f>FME_Ranking1[[#This Row],[Structures 100  Score (Normalized, Unweighted)]]*$I$3</f>
        <v>1.2691170800668294E-2</v>
      </c>
      <c r="L781" s="246">
        <f>_xlfn.XLOOKUP(FME_Ranking1[[#This Row],[FME ID]],FME_Input[FME_ID],FME_Input[RES_STRUCT100])</f>
        <v>34</v>
      </c>
      <c r="M781" s="230">
        <f>(FME_Ranking1[[#This Row],[Res Structures Raw]]/L$2)*100</f>
        <v>2.4082390106387498E-2</v>
      </c>
      <c r="N781" s="180">
        <f>FME_Ranking1[[#This Row],[Res Structures Score (Normalized, Unweighted)]]*$L$3</f>
        <v>2.4082390106387498E-3</v>
      </c>
      <c r="O781" s="244">
        <f>_xlfn.XLOOKUP(FME_Ranking1[[#This Row],[FME ID]],FME_Input[FME_ID],FME_Input[POP100])</f>
        <v>315</v>
      </c>
      <c r="P781" s="178">
        <f>(FME_Ranking1[[#This Row],[Pop Raw]]/$O$2)*100</f>
        <v>3.224822327646043E-2</v>
      </c>
      <c r="Q781" s="178">
        <f>FME_Ranking1[[#This Row],[Pop Score (Normalized, Unweighted)]]*$O$3</f>
        <v>4.837233491469064E-3</v>
      </c>
      <c r="R781" s="137">
        <f>_xlfn.XLOOKUP(FME_Ranking1[[#This Row],[FME ID]],FME_Input[FME_ID],FME_Input[CRITFAC100])</f>
        <v>0</v>
      </c>
      <c r="S781" s="230">
        <f>(FME_Ranking1[[#This Row],[Critical Facilities Raw]]/$R$2)*100</f>
        <v>0</v>
      </c>
      <c r="T781" s="180">
        <f>FME_Ranking1[[#This Row],[Critical Facilities Score (Normalized, Unweighted)]]*$R$3</f>
        <v>0</v>
      </c>
      <c r="U781">
        <f>_xlfn.XLOOKUP(FME_Ranking1[[#This Row],[FME ID]],FME_Input[FME_ID],FME_Input[LWC])</f>
        <v>11</v>
      </c>
      <c r="V781" s="178">
        <f>(FME_Ranking1[[#This Row],[LWC Raw]]/$U$2)*100</f>
        <v>0.63327576280944153</v>
      </c>
      <c r="W781" s="178">
        <f>FME_Ranking1[[#This Row],[LWC Score (Normalized, Unweighted)]]*$U$3</f>
        <v>0.12665515256188831</v>
      </c>
      <c r="X781" s="246">
        <f>_xlfn.XLOOKUP(FME_Ranking1[[#This Row],[FME ID]],FME_Input[FME_ID],FME_Input[ROADCLS])</f>
        <v>0</v>
      </c>
      <c r="Y781" s="230">
        <f>(FME_Ranking1[[#This Row],[Closures Raw]]/$X$2)*100</f>
        <v>0</v>
      </c>
      <c r="Z781" s="180">
        <f>FME_Ranking1[[#This Row],[Closures Score (Normalized, Unweighted)]]*$X$3</f>
        <v>0</v>
      </c>
      <c r="AA781" s="253">
        <f>_xlfn.XLOOKUP(FME_Ranking1[[#This Row],[FME ID]],FME_Input[FME_ID],FME_Input[ROAD_MILES100])</f>
        <v>97.674766540527344</v>
      </c>
      <c r="AB781" s="178">
        <f>(FME_Ranking1[[#This Row],[Miles Raw]]/$AA$2)*100</f>
        <v>1.2842479920897618</v>
      </c>
      <c r="AC781" s="178">
        <f>FME_Ranking1[[#This Row],[Miles Score (Normalized, Unweighted)]]*$AA$3</f>
        <v>0.12842479920897618</v>
      </c>
      <c r="AD781" s="255">
        <f>_xlfn.XLOOKUP(FME_Ranking1[[#This Row],[FME ID]],FME_Input[FME_ID],FME_Input[FARMACRE100])</f>
        <v>10113.4794921875</v>
      </c>
      <c r="AE781" s="230">
        <f>(FME_Ranking1[[#This Row],[Ag Land Raw]]/$AD$2)*100</f>
        <v>0.41703462122955259</v>
      </c>
      <c r="AF781" s="231">
        <f>FME_Ranking1[[#This Row],[Ag Land Score (Normalized, Unweighted)]]*$AD$3</f>
        <v>2.085173106147763E-2</v>
      </c>
      <c r="AG78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0.29586832613511826</v>
      </c>
      <c r="AH781" s="406">
        <f t="shared" si="12"/>
        <v>619</v>
      </c>
      <c r="AI78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0.29586832613511826</v>
      </c>
      <c r="AJ781" s="257">
        <f>FME_Ranking1[[#This Row],[Addition check]]-FME_Ranking1[[#This Row],[Weighted Score Based on Normalized Reported Factors]]</f>
        <v>0</v>
      </c>
      <c r="AK781" s="178">
        <f>_xlfn.RANK.EQ(AI781,$AI$6:$AI$2341,0)+COUNTIF($AI$6:AI781,AI781)-1</f>
        <v>620</v>
      </c>
    </row>
    <row r="782" spans="1:37" x14ac:dyDescent="0.25">
      <c r="A782" t="s">
        <v>6699</v>
      </c>
      <c r="B782">
        <f>_xlfn.XLOOKUP(FME_Ranking1[[#This Row],[FME ID]],FME_Input[FME_ID],FME_Input[RFPG_NUM])</f>
        <v>7</v>
      </c>
      <c r="C782" t="str">
        <f>_xlfn.XLOOKUP(FME_Ranking1[[#This Row],[FME ID]],FME_Input[FME_ID],FME_Input[FME_NAME])</f>
        <v>Garza County GIS Development</v>
      </c>
      <c r="D782" t="str">
        <f>_xlfn.XLOOKUP(FME_Ranking1[[#This Row],[FME ID]],FME_Input[FME_ID],FME_Input[DESCR])</f>
        <v>Develop a GIS inventory of stormwater infrastructure</v>
      </c>
      <c r="E782" s="256">
        <f>_xlfn.XLOOKUP(FME_Ranking1[[#This Row],[FME ID]],FME_Input[FME_ID],FME_Input[FME_COST])</f>
        <v>100000</v>
      </c>
      <c r="F782" t="str">
        <f>_xlfn.XLOOKUP(FME_Ranking1[[#This Row],[FME ID]],FME_Input[FME_ID],FME_Input[EMER_NEED])</f>
        <v>No</v>
      </c>
      <c r="G782">
        <f>IF(FME_Ranking!F782="Yes",100,0)</f>
        <v>0</v>
      </c>
      <c r="H782">
        <f>FME_Ranking1[[#This Row],[Emergency Need Score (Normalized, Unweighted)]]*$F$3</f>
        <v>0</v>
      </c>
      <c r="I782" s="246">
        <f>_xlfn.XLOOKUP(FME_Ranking1[[#This Row],[FME ID]],FME_Input[FME_ID],FME_Input[STRUCT_100])</f>
        <v>158</v>
      </c>
      <c r="J782" s="178">
        <f>(FME_Ranking1[[#This Row],[Structures 100 Raw]]/I$2)*100</f>
        <v>8.4607805337788625E-2</v>
      </c>
      <c r="K782" s="178">
        <f>FME_Ranking1[[#This Row],[Structures 100  Score (Normalized, Unweighted)]]*$I$3</f>
        <v>1.2691170800668294E-2</v>
      </c>
      <c r="L782" s="246">
        <f>_xlfn.XLOOKUP(FME_Ranking1[[#This Row],[FME ID]],FME_Input[FME_ID],FME_Input[RES_STRUCT100])</f>
        <v>34</v>
      </c>
      <c r="M782" s="230">
        <f>(FME_Ranking1[[#This Row],[Res Structures Raw]]/L$2)*100</f>
        <v>2.4082390106387498E-2</v>
      </c>
      <c r="N782" s="180">
        <f>FME_Ranking1[[#This Row],[Res Structures Score (Normalized, Unweighted)]]*$L$3</f>
        <v>2.4082390106387498E-3</v>
      </c>
      <c r="O782" s="244">
        <f>_xlfn.XLOOKUP(FME_Ranking1[[#This Row],[FME ID]],FME_Input[FME_ID],FME_Input[POP100])</f>
        <v>315</v>
      </c>
      <c r="P782" s="178">
        <f>(FME_Ranking1[[#This Row],[Pop Raw]]/$O$2)*100</f>
        <v>3.224822327646043E-2</v>
      </c>
      <c r="Q782" s="178">
        <f>FME_Ranking1[[#This Row],[Pop Score (Normalized, Unweighted)]]*$O$3</f>
        <v>4.837233491469064E-3</v>
      </c>
      <c r="R782" s="137">
        <f>_xlfn.XLOOKUP(FME_Ranking1[[#This Row],[FME ID]],FME_Input[FME_ID],FME_Input[CRITFAC100])</f>
        <v>0</v>
      </c>
      <c r="S782" s="230">
        <f>(FME_Ranking1[[#This Row],[Critical Facilities Raw]]/$R$2)*100</f>
        <v>0</v>
      </c>
      <c r="T782" s="180">
        <f>FME_Ranking1[[#This Row],[Critical Facilities Score (Normalized, Unweighted)]]*$R$3</f>
        <v>0</v>
      </c>
      <c r="U782">
        <f>_xlfn.XLOOKUP(FME_Ranking1[[#This Row],[FME ID]],FME_Input[FME_ID],FME_Input[LWC])</f>
        <v>11</v>
      </c>
      <c r="V782" s="178">
        <f>(FME_Ranking1[[#This Row],[LWC Raw]]/$U$2)*100</f>
        <v>0.63327576280944153</v>
      </c>
      <c r="W782" s="178">
        <f>FME_Ranking1[[#This Row],[LWC Score (Normalized, Unweighted)]]*$U$3</f>
        <v>0.12665515256188831</v>
      </c>
      <c r="X782" s="246">
        <f>_xlfn.XLOOKUP(FME_Ranking1[[#This Row],[FME ID]],FME_Input[FME_ID],FME_Input[ROADCLS])</f>
        <v>0</v>
      </c>
      <c r="Y782" s="230">
        <f>(FME_Ranking1[[#This Row],[Closures Raw]]/$X$2)*100</f>
        <v>0</v>
      </c>
      <c r="Z782" s="180">
        <f>FME_Ranking1[[#This Row],[Closures Score (Normalized, Unweighted)]]*$X$3</f>
        <v>0</v>
      </c>
      <c r="AA782" s="253">
        <f>_xlfn.XLOOKUP(FME_Ranking1[[#This Row],[FME ID]],FME_Input[FME_ID],FME_Input[ROAD_MILES100])</f>
        <v>97.674766540527344</v>
      </c>
      <c r="AB782" s="178">
        <f>(FME_Ranking1[[#This Row],[Miles Raw]]/$AA$2)*100</f>
        <v>1.2842479920897618</v>
      </c>
      <c r="AC782" s="178">
        <f>FME_Ranking1[[#This Row],[Miles Score (Normalized, Unweighted)]]*$AA$3</f>
        <v>0.12842479920897618</v>
      </c>
      <c r="AD782" s="255">
        <f>_xlfn.XLOOKUP(FME_Ranking1[[#This Row],[FME ID]],FME_Input[FME_ID],FME_Input[FARMACRE100])</f>
        <v>10113.4794921875</v>
      </c>
      <c r="AE782" s="230">
        <f>(FME_Ranking1[[#This Row],[Ag Land Raw]]/$AD$2)*100</f>
        <v>0.41703462122955259</v>
      </c>
      <c r="AF782" s="231">
        <f>FME_Ranking1[[#This Row],[Ag Land Score (Normalized, Unweighted)]]*$AD$3</f>
        <v>2.085173106147763E-2</v>
      </c>
      <c r="AG78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0.29586832613511826</v>
      </c>
      <c r="AH782" s="406">
        <f t="shared" si="12"/>
        <v>619</v>
      </c>
      <c r="AI78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0.29586832613511826</v>
      </c>
      <c r="AJ782" s="257">
        <f>FME_Ranking1[[#This Row],[Addition check]]-FME_Ranking1[[#This Row],[Weighted Score Based on Normalized Reported Factors]]</f>
        <v>0</v>
      </c>
      <c r="AK782" s="178">
        <f>_xlfn.RANK.EQ(AI782,$AI$6:$AI$2341,0)+COUNTIF($AI$6:AI782,AI782)-1</f>
        <v>621</v>
      </c>
    </row>
    <row r="783" spans="1:37" x14ac:dyDescent="0.25">
      <c r="A783" t="s">
        <v>7246</v>
      </c>
      <c r="B783">
        <f>_xlfn.XLOOKUP(FME_Ranking1[[#This Row],[FME ID]],FME_Input[FME_ID],FME_Input[RFPG_NUM])</f>
        <v>7</v>
      </c>
      <c r="C783" t="str">
        <f>_xlfn.XLOOKUP(FME_Ranking1[[#This Row],[FME ID]],FME_Input[FME_ID],FME_Input[FME_NAME])</f>
        <v>Garza County DCM</v>
      </c>
      <c r="D783" t="str">
        <f>_xlfn.XLOOKUP(FME_Ranking1[[#This Row],[FME ID]],FME_Input[FME_ID],FME_Input[DESCR])</f>
        <v>Consider stormwater criteria for infrastructure and floodplain ordinances to avoid new exposure to flood hazards.</v>
      </c>
      <c r="E783" s="256">
        <f>_xlfn.XLOOKUP(FME_Ranking1[[#This Row],[FME ID]],FME_Input[FME_ID],FME_Input[FME_COST])</f>
        <v>100000</v>
      </c>
      <c r="F783" t="str">
        <f>_xlfn.XLOOKUP(FME_Ranking1[[#This Row],[FME ID]],FME_Input[FME_ID],FME_Input[EMER_NEED])</f>
        <v>No</v>
      </c>
      <c r="G783">
        <f>IF(FME_Ranking!F783="Yes",100,0)</f>
        <v>0</v>
      </c>
      <c r="H783">
        <f>FME_Ranking1[[#This Row],[Emergency Need Score (Normalized, Unweighted)]]*$F$3</f>
        <v>0</v>
      </c>
      <c r="I783" s="246">
        <f>_xlfn.XLOOKUP(FME_Ranking1[[#This Row],[FME ID]],FME_Input[FME_ID],FME_Input[STRUCT_100])</f>
        <v>158</v>
      </c>
      <c r="J783" s="178">
        <f>(FME_Ranking1[[#This Row],[Structures 100 Raw]]/I$2)*100</f>
        <v>8.4607805337788625E-2</v>
      </c>
      <c r="K783" s="178">
        <f>FME_Ranking1[[#This Row],[Structures 100  Score (Normalized, Unweighted)]]*$I$3</f>
        <v>1.2691170800668294E-2</v>
      </c>
      <c r="L783" s="246">
        <f>_xlfn.XLOOKUP(FME_Ranking1[[#This Row],[FME ID]],FME_Input[FME_ID],FME_Input[RES_STRUCT100])</f>
        <v>34</v>
      </c>
      <c r="M783" s="230">
        <f>(FME_Ranking1[[#This Row],[Res Structures Raw]]/L$2)*100</f>
        <v>2.4082390106387498E-2</v>
      </c>
      <c r="N783" s="180">
        <f>FME_Ranking1[[#This Row],[Res Structures Score (Normalized, Unweighted)]]*$L$3</f>
        <v>2.4082390106387498E-3</v>
      </c>
      <c r="O783" s="244">
        <f>_xlfn.XLOOKUP(FME_Ranking1[[#This Row],[FME ID]],FME_Input[FME_ID],FME_Input[POP100])</f>
        <v>315</v>
      </c>
      <c r="P783" s="178">
        <f>(FME_Ranking1[[#This Row],[Pop Raw]]/$O$2)*100</f>
        <v>3.224822327646043E-2</v>
      </c>
      <c r="Q783" s="178">
        <f>FME_Ranking1[[#This Row],[Pop Score (Normalized, Unweighted)]]*$O$3</f>
        <v>4.837233491469064E-3</v>
      </c>
      <c r="R783" s="137">
        <f>_xlfn.XLOOKUP(FME_Ranking1[[#This Row],[FME ID]],FME_Input[FME_ID],FME_Input[CRITFAC100])</f>
        <v>0</v>
      </c>
      <c r="S783" s="230">
        <f>(FME_Ranking1[[#This Row],[Critical Facilities Raw]]/$R$2)*100</f>
        <v>0</v>
      </c>
      <c r="T783" s="180">
        <f>FME_Ranking1[[#This Row],[Critical Facilities Score (Normalized, Unweighted)]]*$R$3</f>
        <v>0</v>
      </c>
      <c r="U783">
        <f>_xlfn.XLOOKUP(FME_Ranking1[[#This Row],[FME ID]],FME_Input[FME_ID],FME_Input[LWC])</f>
        <v>11</v>
      </c>
      <c r="V783" s="178">
        <f>(FME_Ranking1[[#This Row],[LWC Raw]]/$U$2)*100</f>
        <v>0.63327576280944153</v>
      </c>
      <c r="W783" s="178">
        <f>FME_Ranking1[[#This Row],[LWC Score (Normalized, Unweighted)]]*$U$3</f>
        <v>0.12665515256188831</v>
      </c>
      <c r="X783" s="246">
        <f>_xlfn.XLOOKUP(FME_Ranking1[[#This Row],[FME ID]],FME_Input[FME_ID],FME_Input[ROADCLS])</f>
        <v>0</v>
      </c>
      <c r="Y783" s="230">
        <f>(FME_Ranking1[[#This Row],[Closures Raw]]/$X$2)*100</f>
        <v>0</v>
      </c>
      <c r="Z783" s="180">
        <f>FME_Ranking1[[#This Row],[Closures Score (Normalized, Unweighted)]]*$X$3</f>
        <v>0</v>
      </c>
      <c r="AA783" s="253">
        <f>_xlfn.XLOOKUP(FME_Ranking1[[#This Row],[FME ID]],FME_Input[FME_ID],FME_Input[ROAD_MILES100])</f>
        <v>97.674766540527344</v>
      </c>
      <c r="AB783" s="178">
        <f>(FME_Ranking1[[#This Row],[Miles Raw]]/$AA$2)*100</f>
        <v>1.2842479920897618</v>
      </c>
      <c r="AC783" s="178">
        <f>FME_Ranking1[[#This Row],[Miles Score (Normalized, Unweighted)]]*$AA$3</f>
        <v>0.12842479920897618</v>
      </c>
      <c r="AD783" s="255">
        <f>_xlfn.XLOOKUP(FME_Ranking1[[#This Row],[FME ID]],FME_Input[FME_ID],FME_Input[FARMACRE100])</f>
        <v>10113.4794921875</v>
      </c>
      <c r="AE783" s="230">
        <f>(FME_Ranking1[[#This Row],[Ag Land Raw]]/$AD$2)*100</f>
        <v>0.41703462122955259</v>
      </c>
      <c r="AF783" s="231">
        <f>FME_Ranking1[[#This Row],[Ag Land Score (Normalized, Unweighted)]]*$AD$3</f>
        <v>2.085173106147763E-2</v>
      </c>
      <c r="AG78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0.29586832613511826</v>
      </c>
      <c r="AH783" s="406">
        <f t="shared" si="12"/>
        <v>619</v>
      </c>
      <c r="AI78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0.29586832613511826</v>
      </c>
      <c r="AJ783" s="257">
        <f>FME_Ranking1[[#This Row],[Addition check]]-FME_Ranking1[[#This Row],[Weighted Score Based on Normalized Reported Factors]]</f>
        <v>0</v>
      </c>
      <c r="AK783" s="178">
        <f>_xlfn.RANK.EQ(AI783,$AI$6:$AI$2341,0)+COUNTIF($AI$6:AI783,AI783)-1</f>
        <v>622</v>
      </c>
    </row>
    <row r="784" spans="1:37" x14ac:dyDescent="0.25">
      <c r="A784" t="s">
        <v>5718</v>
      </c>
      <c r="B784">
        <f>_xlfn.XLOOKUP(FME_Ranking1[[#This Row],[FME ID]],FME_Input[FME_ID],FME_Input[RFPG_NUM])</f>
        <v>4</v>
      </c>
      <c r="C784" t="str">
        <f>_xlfn.XLOOKUP(FME_Ranking1[[#This Row],[FME ID]],FME_Input[FME_ID],FME_Input[FME_NAME])</f>
        <v>Parker Creek Detention Pond</v>
      </c>
      <c r="D784" t="str">
        <f>_xlfn.XLOOKUP(FME_Ranking1[[#This Row],[FME ID]],FME_Input[FME_ID],FME_Input[DESCR])</f>
        <v>Feasibility Study of Parker Creek Detention Pond</v>
      </c>
      <c r="E784" s="256">
        <f>_xlfn.XLOOKUP(FME_Ranking1[[#This Row],[FME ID]],FME_Input[FME_ID],FME_Input[FME_COST])</f>
        <v>380000</v>
      </c>
      <c r="F784" t="str">
        <f>_xlfn.XLOOKUP(FME_Ranking1[[#This Row],[FME ID]],FME_Input[FME_ID],FME_Input[EMER_NEED])</f>
        <v>Yes</v>
      </c>
      <c r="G784">
        <f>IF(FME_Ranking!F784="Yes",100,0)</f>
        <v>100</v>
      </c>
      <c r="H784">
        <f>FME_Ranking1[[#This Row],[Emergency Need Score (Normalized, Unweighted)]]*$F$3</f>
        <v>0</v>
      </c>
      <c r="I784" s="246">
        <f>_xlfn.XLOOKUP(FME_Ranking1[[#This Row],[FME ID]],FME_Input[FME_ID],FME_Input[STRUCT_100])</f>
        <v>598</v>
      </c>
      <c r="J784" s="178">
        <f>(FME_Ranking1[[#This Row],[Structures 100 Raw]]/I$2)*100</f>
        <v>0.32022447843036456</v>
      </c>
      <c r="K784" s="178">
        <f>FME_Ranking1[[#This Row],[Structures 100  Score (Normalized, Unweighted)]]*$I$3</f>
        <v>4.8033671764554683E-2</v>
      </c>
      <c r="L784" s="246">
        <f>_xlfn.XLOOKUP(FME_Ranking1[[#This Row],[FME ID]],FME_Input[FME_ID],FME_Input[RES_STRUCT100])</f>
        <v>397</v>
      </c>
      <c r="M784" s="230">
        <f>(FME_Ranking1[[#This Row],[Res Structures Raw]]/L$2)*100</f>
        <v>0.28119731977164231</v>
      </c>
      <c r="N784" s="180">
        <f>FME_Ranking1[[#This Row],[Res Structures Score (Normalized, Unweighted)]]*$L$3</f>
        <v>2.8119731977164233E-2</v>
      </c>
      <c r="O784" s="244">
        <f>_xlfn.XLOOKUP(FME_Ranking1[[#This Row],[FME ID]],FME_Input[FME_ID],FME_Input[POP100])</f>
        <v>5258</v>
      </c>
      <c r="P784" s="178">
        <f>(FME_Ranking1[[#This Row],[Pop Raw]]/$O$2)*100</f>
        <v>0.53828939043691737</v>
      </c>
      <c r="Q784" s="178">
        <f>FME_Ranking1[[#This Row],[Pop Score (Normalized, Unweighted)]]*$O$3</f>
        <v>8.0743408565537605E-2</v>
      </c>
      <c r="R784" s="137">
        <f>_xlfn.XLOOKUP(FME_Ranking1[[#This Row],[FME ID]],FME_Input[FME_ID],FME_Input[CRITFAC100])</f>
        <v>1</v>
      </c>
      <c r="S784" s="230">
        <f>(FME_Ranking1[[#This Row],[Critical Facilities Raw]]/$R$2)*100</f>
        <v>4.2881646655231559E-2</v>
      </c>
      <c r="T784" s="180">
        <f>FME_Ranking1[[#This Row],[Critical Facilities Score (Normalized, Unweighted)]]*$R$3</f>
        <v>8.5763293310463125E-3</v>
      </c>
      <c r="U784">
        <f>_xlfn.XLOOKUP(FME_Ranking1[[#This Row],[FME ID]],FME_Input[FME_ID],FME_Input[LWC])</f>
        <v>0</v>
      </c>
      <c r="V784" s="178">
        <f>(FME_Ranking1[[#This Row],[LWC Raw]]/$U$2)*100</f>
        <v>0</v>
      </c>
      <c r="W784" s="178">
        <f>FME_Ranking1[[#This Row],[LWC Score (Normalized, Unweighted)]]*$U$3</f>
        <v>0</v>
      </c>
      <c r="X784" s="246">
        <f>_xlfn.XLOOKUP(FME_Ranking1[[#This Row],[FME ID]],FME_Input[FME_ID],FME_Input[ROADCLS])</f>
        <v>0</v>
      </c>
      <c r="Y784" s="230">
        <f>(FME_Ranking1[[#This Row],[Closures Raw]]/$X$2)*100</f>
        <v>0</v>
      </c>
      <c r="Z784" s="180">
        <f>FME_Ranking1[[#This Row],[Closures Score (Normalized, Unweighted)]]*$X$3</f>
        <v>0</v>
      </c>
      <c r="AA784" s="253">
        <f>_xlfn.XLOOKUP(FME_Ranking1[[#This Row],[FME ID]],FME_Input[FME_ID],FME_Input[ROAD_MILES100])</f>
        <v>23.022161483764648</v>
      </c>
      <c r="AB784" s="178">
        <f>(FME_Ranking1[[#This Row],[Miles Raw]]/$AA$2)*100</f>
        <v>0.30270013132637863</v>
      </c>
      <c r="AC784" s="178">
        <f>FME_Ranking1[[#This Row],[Miles Score (Normalized, Unweighted)]]*$AA$3</f>
        <v>3.0270013132637864E-2</v>
      </c>
      <c r="AD784" s="255">
        <f>_xlfn.XLOOKUP(FME_Ranking1[[#This Row],[FME ID]],FME_Input[FME_ID],FME_Input[FARMACRE100])</f>
        <v>897.06304931640625</v>
      </c>
      <c r="AE784" s="230">
        <f>(FME_Ranking1[[#This Row],[Ag Land Raw]]/$AD$2)*100</f>
        <v>3.6990864447758662E-2</v>
      </c>
      <c r="AF784" s="231">
        <f>FME_Ranking1[[#This Row],[Ag Land Score (Normalized, Unweighted)]]*$AD$3</f>
        <v>1.8495432223879331E-3</v>
      </c>
      <c r="AG78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0.19759269799332863</v>
      </c>
      <c r="AH784" s="406">
        <f t="shared" si="12"/>
        <v>803</v>
      </c>
      <c r="AI78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0.19759269799332863</v>
      </c>
      <c r="AJ784" s="257">
        <f>FME_Ranking1[[#This Row],[Addition check]]-FME_Ranking1[[#This Row],[Weighted Score Based on Normalized Reported Factors]]</f>
        <v>0</v>
      </c>
      <c r="AK784" s="178">
        <f>_xlfn.RANK.EQ(AI784,$AI$6:$AI$2341,0)+COUNTIF($AI$6:AI784,AI784)-1</f>
        <v>803</v>
      </c>
    </row>
    <row r="785" spans="1:37" x14ac:dyDescent="0.25">
      <c r="A785" t="s">
        <v>5767</v>
      </c>
      <c r="B785">
        <f>_xlfn.XLOOKUP(FME_Ranking1[[#This Row],[FME ID]],FME_Input[FME_ID],FME_Input[RFPG_NUM])</f>
        <v>4</v>
      </c>
      <c r="C785" t="str">
        <f>_xlfn.XLOOKUP(FME_Ranking1[[#This Row],[FME ID]],FME_Input[FME_ID],FME_Input[FME_NAME])</f>
        <v>Parker Creek Corridor Study</v>
      </c>
      <c r="D785" t="str">
        <f>_xlfn.XLOOKUP(FME_Ranking1[[#This Row],[FME ID]],FME_Input[FME_ID],FME_Input[DESCR])</f>
        <v>Study of Parker Creek Corridor</v>
      </c>
      <c r="E785" s="256">
        <f>_xlfn.XLOOKUP(FME_Ranking1[[#This Row],[FME ID]],FME_Input[FME_ID],FME_Input[FME_COST])</f>
        <v>380000</v>
      </c>
      <c r="F785" t="str">
        <f>_xlfn.XLOOKUP(FME_Ranking1[[#This Row],[FME ID]],FME_Input[FME_ID],FME_Input[EMER_NEED])</f>
        <v>Yes</v>
      </c>
      <c r="G785">
        <f>IF(FME_Ranking!F785="Yes",100,0)</f>
        <v>100</v>
      </c>
      <c r="H785">
        <f>FME_Ranking1[[#This Row],[Emergency Need Score (Normalized, Unweighted)]]*$F$3</f>
        <v>0</v>
      </c>
      <c r="I785" s="246">
        <f>_xlfn.XLOOKUP(FME_Ranking1[[#This Row],[FME ID]],FME_Input[FME_ID],FME_Input[STRUCT_100])</f>
        <v>598</v>
      </c>
      <c r="J785" s="178">
        <f>(FME_Ranking1[[#This Row],[Structures 100 Raw]]/I$2)*100</f>
        <v>0.32022447843036456</v>
      </c>
      <c r="K785" s="178">
        <f>FME_Ranking1[[#This Row],[Structures 100  Score (Normalized, Unweighted)]]*$I$3</f>
        <v>4.8033671764554683E-2</v>
      </c>
      <c r="L785" s="246">
        <f>_xlfn.XLOOKUP(FME_Ranking1[[#This Row],[FME ID]],FME_Input[FME_ID],FME_Input[RES_STRUCT100])</f>
        <v>397</v>
      </c>
      <c r="M785" s="230">
        <f>(FME_Ranking1[[#This Row],[Res Structures Raw]]/L$2)*100</f>
        <v>0.28119731977164231</v>
      </c>
      <c r="N785" s="180">
        <f>FME_Ranking1[[#This Row],[Res Structures Score (Normalized, Unweighted)]]*$L$3</f>
        <v>2.8119731977164233E-2</v>
      </c>
      <c r="O785" s="244">
        <f>_xlfn.XLOOKUP(FME_Ranking1[[#This Row],[FME ID]],FME_Input[FME_ID],FME_Input[POP100])</f>
        <v>5258</v>
      </c>
      <c r="P785" s="178">
        <f>(FME_Ranking1[[#This Row],[Pop Raw]]/$O$2)*100</f>
        <v>0.53828939043691737</v>
      </c>
      <c r="Q785" s="178">
        <f>FME_Ranking1[[#This Row],[Pop Score (Normalized, Unweighted)]]*$O$3</f>
        <v>8.0743408565537605E-2</v>
      </c>
      <c r="R785" s="137">
        <f>_xlfn.XLOOKUP(FME_Ranking1[[#This Row],[FME ID]],FME_Input[FME_ID],FME_Input[CRITFAC100])</f>
        <v>1</v>
      </c>
      <c r="S785" s="230">
        <f>(FME_Ranking1[[#This Row],[Critical Facilities Raw]]/$R$2)*100</f>
        <v>4.2881646655231559E-2</v>
      </c>
      <c r="T785" s="180">
        <f>FME_Ranking1[[#This Row],[Critical Facilities Score (Normalized, Unweighted)]]*$R$3</f>
        <v>8.5763293310463125E-3</v>
      </c>
      <c r="U785">
        <f>_xlfn.XLOOKUP(FME_Ranking1[[#This Row],[FME ID]],FME_Input[FME_ID],FME_Input[LWC])</f>
        <v>0</v>
      </c>
      <c r="V785" s="178">
        <f>(FME_Ranking1[[#This Row],[LWC Raw]]/$U$2)*100</f>
        <v>0</v>
      </c>
      <c r="W785" s="178">
        <f>FME_Ranking1[[#This Row],[LWC Score (Normalized, Unweighted)]]*$U$3</f>
        <v>0</v>
      </c>
      <c r="X785" s="246">
        <f>_xlfn.XLOOKUP(FME_Ranking1[[#This Row],[FME ID]],FME_Input[FME_ID],FME_Input[ROADCLS])</f>
        <v>0</v>
      </c>
      <c r="Y785" s="230">
        <f>(FME_Ranking1[[#This Row],[Closures Raw]]/$X$2)*100</f>
        <v>0</v>
      </c>
      <c r="Z785" s="180">
        <f>FME_Ranking1[[#This Row],[Closures Score (Normalized, Unweighted)]]*$X$3</f>
        <v>0</v>
      </c>
      <c r="AA785" s="253">
        <f>_xlfn.XLOOKUP(FME_Ranking1[[#This Row],[FME ID]],FME_Input[FME_ID],FME_Input[ROAD_MILES100])</f>
        <v>23.022161483764648</v>
      </c>
      <c r="AB785" s="178">
        <f>(FME_Ranking1[[#This Row],[Miles Raw]]/$AA$2)*100</f>
        <v>0.30270013132637863</v>
      </c>
      <c r="AC785" s="178">
        <f>FME_Ranking1[[#This Row],[Miles Score (Normalized, Unweighted)]]*$AA$3</f>
        <v>3.0270013132637864E-2</v>
      </c>
      <c r="AD785" s="255">
        <f>_xlfn.XLOOKUP(FME_Ranking1[[#This Row],[FME ID]],FME_Input[FME_ID],FME_Input[FARMACRE100])</f>
        <v>897.06304931640625</v>
      </c>
      <c r="AE785" s="230">
        <f>(FME_Ranking1[[#This Row],[Ag Land Raw]]/$AD$2)*100</f>
        <v>3.6990864447758662E-2</v>
      </c>
      <c r="AF785" s="231">
        <f>FME_Ranking1[[#This Row],[Ag Land Score (Normalized, Unweighted)]]*$AD$3</f>
        <v>1.8495432223879331E-3</v>
      </c>
      <c r="AG78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0.19759269799332863</v>
      </c>
      <c r="AH785" s="406">
        <f t="shared" si="12"/>
        <v>803</v>
      </c>
      <c r="AI78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0.19759269799332863</v>
      </c>
      <c r="AJ785" s="257">
        <f>FME_Ranking1[[#This Row],[Addition check]]-FME_Ranking1[[#This Row],[Weighted Score Based on Normalized Reported Factors]]</f>
        <v>0</v>
      </c>
      <c r="AK785" s="178">
        <f>_xlfn.RANK.EQ(AI785,$AI$6:$AI$2341,0)+COUNTIF($AI$6:AI785,AI785)-1</f>
        <v>804</v>
      </c>
    </row>
    <row r="786" spans="1:37" x14ac:dyDescent="0.25">
      <c r="A786" t="s">
        <v>2894</v>
      </c>
      <c r="B786">
        <f>_xlfn.XLOOKUP(FME_Ranking1[[#This Row],[FME ID]],FME_Input[FME_ID],FME_Input[RFPG_NUM])</f>
        <v>1</v>
      </c>
      <c r="C786" t="str">
        <f>_xlfn.XLOOKUP(FME_Ranking1[[#This Row],[FME ID]],FME_Input[FME_ID],FME_Input[FME_NAME])</f>
        <v>Castro County FIS</v>
      </c>
      <c r="D786" t="str">
        <f>_xlfn.XLOOKUP(FME_Ranking1[[#This Row],[FME ID]],FME_Input[FME_ID],FME_Input[DESCR])</f>
        <v>Perform flood insurance study for the county and develop regulatory mapping</v>
      </c>
      <c r="E786" s="256">
        <f>_xlfn.XLOOKUP(FME_Ranking1[[#This Row],[FME ID]],FME_Input[FME_ID],FME_Input[FME_COST])</f>
        <v>873000</v>
      </c>
      <c r="F786" t="str">
        <f>_xlfn.XLOOKUP(FME_Ranking1[[#This Row],[FME ID]],FME_Input[FME_ID],FME_Input[EMER_NEED])</f>
        <v>No</v>
      </c>
      <c r="G786">
        <f>IF(FME_Ranking!F786="Yes",100,0)</f>
        <v>0</v>
      </c>
      <c r="H786">
        <f>FME_Ranking1[[#This Row],[Emergency Need Score (Normalized, Unweighted)]]*$F$3</f>
        <v>0</v>
      </c>
      <c r="I786" s="246">
        <f>_xlfn.XLOOKUP(FME_Ranking1[[#This Row],[FME ID]],FME_Input[FME_ID],FME_Input[STRUCT_100])</f>
        <v>44</v>
      </c>
      <c r="J786" s="178">
        <f>(FME_Ranking1[[#This Row],[Structures 100 Raw]]/I$2)*100</f>
        <v>2.3561667309257593E-2</v>
      </c>
      <c r="K786" s="178">
        <f>FME_Ranking1[[#This Row],[Structures 100  Score (Normalized, Unweighted)]]*$I$3</f>
        <v>3.5342500963886389E-3</v>
      </c>
      <c r="L786" s="246">
        <f>_xlfn.XLOOKUP(FME_Ranking1[[#This Row],[FME ID]],FME_Input[FME_ID],FME_Input[RES_STRUCT100])</f>
        <v>3</v>
      </c>
      <c r="M786" s="230">
        <f>(FME_Ranking1[[#This Row],[Res Structures Raw]]/L$2)*100</f>
        <v>2.1249167740930146E-3</v>
      </c>
      <c r="N786" s="180">
        <f>FME_Ranking1[[#This Row],[Res Structures Score (Normalized, Unweighted)]]*$L$3</f>
        <v>2.1249167740930149E-4</v>
      </c>
      <c r="O786" s="244">
        <f>_xlfn.XLOOKUP(FME_Ranking1[[#This Row],[FME ID]],FME_Input[FME_ID],FME_Input[POP100])</f>
        <v>29</v>
      </c>
      <c r="P786" s="178">
        <f>(FME_Ranking1[[#This Row],[Pop Raw]]/$O$2)*100</f>
        <v>2.9688840476741352E-3</v>
      </c>
      <c r="Q786" s="178">
        <f>FME_Ranking1[[#This Row],[Pop Score (Normalized, Unweighted)]]*$O$3</f>
        <v>4.4533260715112028E-4</v>
      </c>
      <c r="R786" s="137">
        <f>_xlfn.XLOOKUP(FME_Ranking1[[#This Row],[FME ID]],FME_Input[FME_ID],FME_Input[CRITFAC100])</f>
        <v>0</v>
      </c>
      <c r="S786" s="230">
        <f>(FME_Ranking1[[#This Row],[Critical Facilities Raw]]/$R$2)*100</f>
        <v>0</v>
      </c>
      <c r="T786" s="180">
        <f>FME_Ranking1[[#This Row],[Critical Facilities Score (Normalized, Unweighted)]]*$R$3</f>
        <v>0</v>
      </c>
      <c r="U786">
        <f>_xlfn.XLOOKUP(FME_Ranking1[[#This Row],[FME ID]],FME_Input[FME_ID],FME_Input[LWC])</f>
        <v>8</v>
      </c>
      <c r="V786" s="178">
        <f>(FME_Ranking1[[#This Row],[LWC Raw]]/$U$2)*100</f>
        <v>0.46056419113413938</v>
      </c>
      <c r="W786" s="178">
        <f>FME_Ranking1[[#This Row],[LWC Score (Normalized, Unweighted)]]*$U$3</f>
        <v>9.2112838226827878E-2</v>
      </c>
      <c r="X786" s="246">
        <f>_xlfn.XLOOKUP(FME_Ranking1[[#This Row],[FME ID]],FME_Input[FME_ID],FME_Input[ROADCLS])</f>
        <v>53</v>
      </c>
      <c r="Y786" s="230">
        <f>(FME_Ranking1[[#This Row],[Closures Raw]]/$X$2)*100</f>
        <v>0.55724950057827782</v>
      </c>
      <c r="Z786" s="180">
        <f>FME_Ranking1[[#This Row],[Closures Score (Normalized, Unweighted)]]*$X$3</f>
        <v>2.7862475028913893E-2</v>
      </c>
      <c r="AA786" s="253">
        <f>_xlfn.XLOOKUP(FME_Ranking1[[#This Row],[FME ID]],FME_Input[FME_ID],FME_Input[ROAD_MILES100])</f>
        <v>74.270683288574219</v>
      </c>
      <c r="AB786" s="178">
        <f>(FME_Ranking1[[#This Row],[Miles Raw]]/$AA$2)*100</f>
        <v>0.97652627452055429</v>
      </c>
      <c r="AC786" s="178">
        <f>FME_Ranking1[[#This Row],[Miles Score (Normalized, Unweighted)]]*$AA$3</f>
        <v>9.765262745205544E-2</v>
      </c>
      <c r="AD786" s="255">
        <f>_xlfn.XLOOKUP(FME_Ranking1[[#This Row],[FME ID]],FME_Input[FME_ID],FME_Input[FARMACRE100])</f>
        <v>19990.001953125</v>
      </c>
      <c r="AE786" s="230">
        <f>(FME_Ranking1[[#This Row],[Ag Land Raw]]/$AD$2)*100</f>
        <v>0.82429819522937975</v>
      </c>
      <c r="AF786" s="231">
        <f>FME_Ranking1[[#This Row],[Ag Land Score (Normalized, Unweighted)]]*$AD$3</f>
        <v>4.1214909761468993E-2</v>
      </c>
      <c r="AG78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0.26303492485021529</v>
      </c>
      <c r="AH786" s="406">
        <f t="shared" si="12"/>
        <v>669</v>
      </c>
      <c r="AI78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0.26303492485021529</v>
      </c>
      <c r="AJ786" s="257">
        <f>FME_Ranking1[[#This Row],[Addition check]]-FME_Ranking1[[#This Row],[Weighted Score Based on Normalized Reported Factors]]</f>
        <v>0</v>
      </c>
      <c r="AK786" s="178">
        <f>_xlfn.RANK.EQ(AI786,$AI$6:$AI$2341,0)+COUNTIF($AI$6:AI786,AI786)-1</f>
        <v>669</v>
      </c>
    </row>
    <row r="787" spans="1:37" x14ac:dyDescent="0.25">
      <c r="A787" t="s">
        <v>5623</v>
      </c>
      <c r="B787">
        <f>_xlfn.XLOOKUP(FME_Ranking1[[#This Row],[FME ID]],FME_Input[FME_ID],FME_Input[RFPG_NUM])</f>
        <v>4</v>
      </c>
      <c r="C787" t="str">
        <f>_xlfn.XLOOKUP(FME_Ranking1[[#This Row],[FME ID]],FME_Input[FME_ID],FME_Input[FME_NAME])</f>
        <v>City of Canton Drainage Infrastructure Improvements Study</v>
      </c>
      <c r="D787" t="str">
        <f>_xlfn.XLOOKUP(FME_Ranking1[[#This Row],[FME ID]],FME_Input[FME_ID],FME_Input[DESCR])</f>
        <v>Feasibility study to increase drainage capacity; install french drains or elevate building and upgrade undersized pipe under state Hwy</v>
      </c>
      <c r="E787" s="256">
        <f>_xlfn.XLOOKUP(FME_Ranking1[[#This Row],[FME ID]],FME_Input[FME_ID],FME_Input[FME_COST])</f>
        <v>300000</v>
      </c>
      <c r="F787" t="str">
        <f>_xlfn.XLOOKUP(FME_Ranking1[[#This Row],[FME ID]],FME_Input[FME_ID],FME_Input[EMER_NEED])</f>
        <v>No</v>
      </c>
      <c r="G787">
        <f>IF(FME_Ranking!F787="Yes",100,0)</f>
        <v>0</v>
      </c>
      <c r="H787">
        <f>FME_Ranking1[[#This Row],[Emergency Need Score (Normalized, Unweighted)]]*$F$3</f>
        <v>0</v>
      </c>
      <c r="I787" s="246">
        <f>_xlfn.XLOOKUP(FME_Ranking1[[#This Row],[FME ID]],FME_Input[FME_ID],FME_Input[STRUCT_100])</f>
        <v>231</v>
      </c>
      <c r="J787" s="178">
        <f>(FME_Ranking1[[#This Row],[Structures 100 Raw]]/I$2)*100</f>
        <v>0.12369875337360237</v>
      </c>
      <c r="K787" s="178">
        <f>FME_Ranking1[[#This Row],[Structures 100  Score (Normalized, Unweighted)]]*$I$3</f>
        <v>1.8554813006040356E-2</v>
      </c>
      <c r="L787" s="246">
        <f>_xlfn.XLOOKUP(FME_Ranking1[[#This Row],[FME ID]],FME_Input[FME_ID],FME_Input[RES_STRUCT100])</f>
        <v>45</v>
      </c>
      <c r="M787" s="230">
        <f>(FME_Ranking1[[#This Row],[Res Structures Raw]]/L$2)*100</f>
        <v>3.1873751611395225E-2</v>
      </c>
      <c r="N787" s="180">
        <f>FME_Ranking1[[#This Row],[Res Structures Score (Normalized, Unweighted)]]*$L$3</f>
        <v>3.1873751611395228E-3</v>
      </c>
      <c r="O787" s="244">
        <f>_xlfn.XLOOKUP(FME_Ranking1[[#This Row],[FME ID]],FME_Input[FME_ID],FME_Input[POP100])</f>
        <v>1054</v>
      </c>
      <c r="P787" s="178">
        <f>(FME_Ranking1[[#This Row],[Pop Raw]]/$O$2)*100</f>
        <v>0.10790357883615649</v>
      </c>
      <c r="Q787" s="178">
        <f>FME_Ranking1[[#This Row],[Pop Score (Normalized, Unweighted)]]*$O$3</f>
        <v>1.6185536825423473E-2</v>
      </c>
      <c r="R787" s="137">
        <f>_xlfn.XLOOKUP(FME_Ranking1[[#This Row],[FME ID]],FME_Input[FME_ID],FME_Input[CRITFAC100])</f>
        <v>12</v>
      </c>
      <c r="S787" s="230">
        <f>(FME_Ranking1[[#This Row],[Critical Facilities Raw]]/$R$2)*100</f>
        <v>0.51457975986277882</v>
      </c>
      <c r="T787" s="180">
        <f>FME_Ranking1[[#This Row],[Critical Facilities Score (Normalized, Unweighted)]]*$R$3</f>
        <v>0.10291595197255576</v>
      </c>
      <c r="U787">
        <f>_xlfn.XLOOKUP(FME_Ranking1[[#This Row],[FME ID]],FME_Input[FME_ID],FME_Input[LWC])</f>
        <v>2</v>
      </c>
      <c r="V787" s="178">
        <f>(FME_Ranking1[[#This Row],[LWC Raw]]/$U$2)*100</f>
        <v>0.11514104778353484</v>
      </c>
      <c r="W787" s="178">
        <f>FME_Ranking1[[#This Row],[LWC Score (Normalized, Unweighted)]]*$U$3</f>
        <v>2.302820955670697E-2</v>
      </c>
      <c r="X787" s="246">
        <f>_xlfn.XLOOKUP(FME_Ranking1[[#This Row],[FME ID]],FME_Input[FME_ID],FME_Input[ROADCLS])</f>
        <v>2</v>
      </c>
      <c r="Y787" s="230">
        <f>(FME_Ranking1[[#This Row],[Closures Raw]]/$X$2)*100</f>
        <v>2.1028283040689728E-2</v>
      </c>
      <c r="Z787" s="180">
        <f>FME_Ranking1[[#This Row],[Closures Score (Normalized, Unweighted)]]*$X$3</f>
        <v>1.0514141520344864E-3</v>
      </c>
      <c r="AA787" s="253">
        <f>_xlfn.XLOOKUP(FME_Ranking1[[#This Row],[FME ID]],FME_Input[FME_ID],FME_Input[ROAD_MILES100])</f>
        <v>4.0424723625183114</v>
      </c>
      <c r="AB787" s="178">
        <f>(FME_Ranking1[[#This Row],[Miles Raw]]/$AA$2)*100</f>
        <v>5.3151261052550532E-2</v>
      </c>
      <c r="AC787" s="178">
        <f>FME_Ranking1[[#This Row],[Miles Score (Normalized, Unweighted)]]*$AA$3</f>
        <v>5.3151261052550537E-3</v>
      </c>
      <c r="AD787" s="255">
        <f>_xlfn.XLOOKUP(FME_Ranking1[[#This Row],[FME ID]],FME_Input[FME_ID],FME_Input[FARMACRE100])</f>
        <v>146.59025573730469</v>
      </c>
      <c r="AE787" s="230">
        <f>(FME_Ranking1[[#This Row],[Ag Land Raw]]/$AD$2)*100</f>
        <v>6.0447259347858008E-3</v>
      </c>
      <c r="AF787" s="231">
        <f>FME_Ranking1[[#This Row],[Ag Land Score (Normalized, Unweighted)]]*$AD$3</f>
        <v>3.0223629673929004E-4</v>
      </c>
      <c r="AG78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0.17054066307589494</v>
      </c>
      <c r="AH787" s="406">
        <f t="shared" si="12"/>
        <v>861</v>
      </c>
      <c r="AI78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0.17054066307589494</v>
      </c>
      <c r="AJ787" s="257">
        <f>FME_Ranking1[[#This Row],[Addition check]]-FME_Ranking1[[#This Row],[Weighted Score Based on Normalized Reported Factors]]</f>
        <v>0</v>
      </c>
      <c r="AK787" s="178">
        <f>_xlfn.RANK.EQ(AI787,$AI$6:$AI$2341,0)+COUNTIF($AI$6:AI787,AI787)-1</f>
        <v>861</v>
      </c>
    </row>
    <row r="788" spans="1:37" x14ac:dyDescent="0.25">
      <c r="A788" t="s">
        <v>4385</v>
      </c>
      <c r="B788">
        <f>_xlfn.XLOOKUP(FME_Ranking1[[#This Row],[FME ID]],FME_Input[FME_ID],FME_Input[RFPG_NUM])</f>
        <v>3</v>
      </c>
      <c r="C788" t="str">
        <f>_xlfn.XLOOKUP(FME_Ranking1[[#This Row],[FME ID]],FME_Input[FME_ID],FME_Input[FME_NAME])</f>
        <v>Garvon West, Innovation &amp; Kingsley Ind. Park Drainage Study Update</v>
      </c>
      <c r="D788" t="str">
        <f>_xlfn.XLOOKUP(FME_Ranking1[[#This Row],[FME ID]],FME_Input[FME_ID],FME_Input[DESCR])</f>
        <v>Area 20</v>
      </c>
      <c r="E788" s="256">
        <f>_xlfn.XLOOKUP(FME_Ranking1[[#This Row],[FME ID]],FME_Input[FME_ID],FME_Input[FME_COST])</f>
        <v>150000</v>
      </c>
      <c r="F788" t="str">
        <f>_xlfn.XLOOKUP(FME_Ranking1[[#This Row],[FME ID]],FME_Input[FME_ID],FME_Input[EMER_NEED])</f>
        <v>No</v>
      </c>
      <c r="G788">
        <f>IF(FME_Ranking!F788="Yes",100,0)</f>
        <v>0</v>
      </c>
      <c r="H788">
        <f>FME_Ranking1[[#This Row],[Emergency Need Score (Normalized, Unweighted)]]*$F$3</f>
        <v>0</v>
      </c>
      <c r="I788" s="246">
        <f>_xlfn.XLOOKUP(FME_Ranking1[[#This Row],[FME ID]],FME_Input[FME_ID],FME_Input[STRUCT_100])</f>
        <v>219</v>
      </c>
      <c r="J788" s="178">
        <f>(FME_Ranking1[[#This Row],[Structures 100 Raw]]/I$2)*100</f>
        <v>0.11727284410744121</v>
      </c>
      <c r="K788" s="178">
        <f>FME_Ranking1[[#This Row],[Structures 100  Score (Normalized, Unweighted)]]*$I$3</f>
        <v>1.7590926616116182E-2</v>
      </c>
      <c r="L788" s="246">
        <f>_xlfn.XLOOKUP(FME_Ranking1[[#This Row],[FME ID]],FME_Input[FME_ID],FME_Input[RES_STRUCT100])</f>
        <v>207</v>
      </c>
      <c r="M788" s="230">
        <f>(FME_Ranking1[[#This Row],[Res Structures Raw]]/L$2)*100</f>
        <v>0.14661925741241802</v>
      </c>
      <c r="N788" s="180">
        <f>FME_Ranking1[[#This Row],[Res Structures Score (Normalized, Unweighted)]]*$L$3</f>
        <v>1.4661925741241803E-2</v>
      </c>
      <c r="O788" s="244">
        <f>_xlfn.XLOOKUP(FME_Ranking1[[#This Row],[FME ID]],FME_Input[FME_ID],FME_Input[POP100])</f>
        <v>1298</v>
      </c>
      <c r="P788" s="178">
        <f>(FME_Ranking1[[#This Row],[Pop Raw]]/$O$2)*100</f>
        <v>0.13288315496141476</v>
      </c>
      <c r="Q788" s="178">
        <f>FME_Ranking1[[#This Row],[Pop Score (Normalized, Unweighted)]]*$O$3</f>
        <v>1.9932473244212212E-2</v>
      </c>
      <c r="R788" s="137">
        <f>_xlfn.XLOOKUP(FME_Ranking1[[#This Row],[FME ID]],FME_Input[FME_ID],FME_Input[CRITFAC100])</f>
        <v>1</v>
      </c>
      <c r="S788" s="230">
        <f>(FME_Ranking1[[#This Row],[Critical Facilities Raw]]/$R$2)*100</f>
        <v>4.2881646655231559E-2</v>
      </c>
      <c r="T788" s="180">
        <f>FME_Ranking1[[#This Row],[Critical Facilities Score (Normalized, Unweighted)]]*$R$3</f>
        <v>8.5763293310463125E-3</v>
      </c>
      <c r="U788">
        <f>_xlfn.XLOOKUP(FME_Ranking1[[#This Row],[FME ID]],FME_Input[FME_ID],FME_Input[LWC])</f>
        <v>9</v>
      </c>
      <c r="V788" s="178">
        <f>(FME_Ranking1[[#This Row],[LWC Raw]]/$U$2)*100</f>
        <v>0.5181347150259068</v>
      </c>
      <c r="W788" s="178">
        <f>FME_Ranking1[[#This Row],[LWC Score (Normalized, Unweighted)]]*$U$3</f>
        <v>0.10362694300518137</v>
      </c>
      <c r="X788" s="246">
        <f>_xlfn.XLOOKUP(FME_Ranking1[[#This Row],[FME ID]],FME_Input[FME_ID],FME_Input[ROADCLS])</f>
        <v>0</v>
      </c>
      <c r="Y788" s="230">
        <f>(FME_Ranking1[[#This Row],[Closures Raw]]/$X$2)*100</f>
        <v>0</v>
      </c>
      <c r="Z788" s="180">
        <f>FME_Ranking1[[#This Row],[Closures Score (Normalized, Unweighted)]]*$X$3</f>
        <v>0</v>
      </c>
      <c r="AA788" s="253">
        <f>_xlfn.XLOOKUP(FME_Ranking1[[#This Row],[FME ID]],FME_Input[FME_ID],FME_Input[ROAD_MILES100])</f>
        <v>3.682285070419312</v>
      </c>
      <c r="AB788" s="178">
        <f>(FME_Ranking1[[#This Row],[Miles Raw]]/$AA$2)*100</f>
        <v>4.8415444187685452E-2</v>
      </c>
      <c r="AC788" s="178">
        <f>FME_Ranking1[[#This Row],[Miles Score (Normalized, Unweighted)]]*$AA$3</f>
        <v>4.8415444187685456E-3</v>
      </c>
      <c r="AD788" s="255">
        <f>_xlfn.XLOOKUP(FME_Ranking1[[#This Row],[FME ID]],FME_Input[FME_ID],FME_Input[FARMACRE100])</f>
        <v>0.1136263981461525</v>
      </c>
      <c r="AE788" s="230">
        <f>(FME_Ranking1[[#This Row],[Ag Land Raw]]/$AD$2)*100</f>
        <v>4.6854440105568092E-6</v>
      </c>
      <c r="AF788" s="231">
        <f>FME_Ranking1[[#This Row],[Ag Land Score (Normalized, Unweighted)]]*$AD$3</f>
        <v>2.3427220052784047E-7</v>
      </c>
      <c r="AG78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0.16923037662876694</v>
      </c>
      <c r="AH788" s="406">
        <f t="shared" si="12"/>
        <v>865</v>
      </c>
      <c r="AI78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0.16923037662876694</v>
      </c>
      <c r="AJ788" s="257">
        <f>FME_Ranking1[[#This Row],[Addition check]]-FME_Ranking1[[#This Row],[Weighted Score Based on Normalized Reported Factors]]</f>
        <v>0</v>
      </c>
      <c r="AK788" s="178">
        <f>_xlfn.RANK.EQ(AI788,$AI$6:$AI$2341,0)+COUNTIF($AI$6:AI788,AI788)-1</f>
        <v>865</v>
      </c>
    </row>
    <row r="789" spans="1:37" x14ac:dyDescent="0.25">
      <c r="A789" t="s">
        <v>2736</v>
      </c>
      <c r="B789">
        <f>_xlfn.XLOOKUP(FME_Ranking1[[#This Row],[FME ID]],FME_Input[FME_ID],FME_Input[RFPG_NUM])</f>
        <v>1</v>
      </c>
      <c r="C789" t="str">
        <f>_xlfn.XLOOKUP(FME_Ranking1[[#This Row],[FME ID]],FME_Input[FME_ID],FME_Input[FME_NAME])</f>
        <v>Dalhart City Drainage Master Plan</v>
      </c>
      <c r="D789" t="str">
        <f>_xlfn.XLOOKUP(FME_Ranking1[[#This Row],[FME ID]],FME_Input[FME_ID],FME_Input[DESCR])</f>
        <v xml:space="preserve">Perform H&amp;H modeling, develop conceptual alternatives and OPCC, and rank projects; selected based on the needs analysis </v>
      </c>
      <c r="E789" s="256">
        <f>_xlfn.XLOOKUP(FME_Ranking1[[#This Row],[FME ID]],FME_Input[FME_ID],FME_Input[FME_COST])</f>
        <v>250000</v>
      </c>
      <c r="F789" t="str">
        <f>_xlfn.XLOOKUP(FME_Ranking1[[#This Row],[FME ID]],FME_Input[FME_ID],FME_Input[EMER_NEED])</f>
        <v>No</v>
      </c>
      <c r="G789">
        <f>IF(FME_Ranking!F789="Yes",100,0)</f>
        <v>0</v>
      </c>
      <c r="H789">
        <f>FME_Ranking1[[#This Row],[Emergency Need Score (Normalized, Unweighted)]]*$F$3</f>
        <v>0</v>
      </c>
      <c r="I789" s="246">
        <f>_xlfn.XLOOKUP(FME_Ranking1[[#This Row],[FME ID]],FME_Input[FME_ID],FME_Input[STRUCT_100])</f>
        <v>887</v>
      </c>
      <c r="J789" s="178">
        <f>(FME_Ranking1[[#This Row],[Structures 100 Raw]]/I$2)*100</f>
        <v>0.47498179325707923</v>
      </c>
      <c r="K789" s="178">
        <f>FME_Ranking1[[#This Row],[Structures 100  Score (Normalized, Unweighted)]]*$I$3</f>
        <v>7.1247268988561888E-2</v>
      </c>
      <c r="L789" s="246">
        <f>_xlfn.XLOOKUP(FME_Ranking1[[#This Row],[FME ID]],FME_Input[FME_ID],FME_Input[RES_STRUCT100])</f>
        <v>698</v>
      </c>
      <c r="M789" s="230">
        <f>(FME_Ranking1[[#This Row],[Res Structures Raw]]/L$2)*100</f>
        <v>0.49439730277230809</v>
      </c>
      <c r="N789" s="180">
        <f>FME_Ranking1[[#This Row],[Res Structures Score (Normalized, Unweighted)]]*$L$3</f>
        <v>4.9439730277230809E-2</v>
      </c>
      <c r="O789" s="244">
        <f>_xlfn.XLOOKUP(FME_Ranking1[[#This Row],[FME ID]],FME_Input[FME_ID],FME_Input[POP100])</f>
        <v>2054</v>
      </c>
      <c r="P789" s="178">
        <f>(FME_Ranking1[[#This Row],[Pop Raw]]/$O$2)*100</f>
        <v>0.2102788908249198</v>
      </c>
      <c r="Q789" s="178">
        <f>FME_Ranking1[[#This Row],[Pop Score (Normalized, Unweighted)]]*$O$3</f>
        <v>3.1541833623737969E-2</v>
      </c>
      <c r="R789" s="137">
        <f>_xlfn.XLOOKUP(FME_Ranking1[[#This Row],[FME ID]],FME_Input[FME_ID],FME_Input[CRITFAC100])</f>
        <v>0</v>
      </c>
      <c r="S789" s="230">
        <f>(FME_Ranking1[[#This Row],[Critical Facilities Raw]]/$R$2)*100</f>
        <v>0</v>
      </c>
      <c r="T789" s="180">
        <f>FME_Ranking1[[#This Row],[Critical Facilities Score (Normalized, Unweighted)]]*$R$3</f>
        <v>0</v>
      </c>
      <c r="U789">
        <f>_xlfn.XLOOKUP(FME_Ranking1[[#This Row],[FME ID]],FME_Input[FME_ID],FME_Input[LWC])</f>
        <v>1</v>
      </c>
      <c r="V789" s="178">
        <f>(FME_Ranking1[[#This Row],[LWC Raw]]/$U$2)*100</f>
        <v>5.7570523891767422E-2</v>
      </c>
      <c r="W789" s="178">
        <f>FME_Ranking1[[#This Row],[LWC Score (Normalized, Unweighted)]]*$U$3</f>
        <v>1.1514104778353485E-2</v>
      </c>
      <c r="X789" s="246">
        <f>_xlfn.XLOOKUP(FME_Ranking1[[#This Row],[FME ID]],FME_Input[FME_ID],FME_Input[ROADCLS])</f>
        <v>1</v>
      </c>
      <c r="Y789" s="230">
        <f>(FME_Ranking1[[#This Row],[Closures Raw]]/$X$2)*100</f>
        <v>1.0514141520344864E-2</v>
      </c>
      <c r="Z789" s="180">
        <f>FME_Ranking1[[#This Row],[Closures Score (Normalized, Unweighted)]]*$X$3</f>
        <v>5.2570707601724321E-4</v>
      </c>
      <c r="AA789" s="253">
        <f>_xlfn.XLOOKUP(FME_Ranking1[[#This Row],[FME ID]],FME_Input[FME_ID],FME_Input[ROAD_MILES100])</f>
        <v>21.0089111328125</v>
      </c>
      <c r="AB789" s="178">
        <f>(FME_Ranking1[[#This Row],[Miles Raw]]/$AA$2)*100</f>
        <v>0.27622950014538139</v>
      </c>
      <c r="AC789" s="178">
        <f>FME_Ranking1[[#This Row],[Miles Score (Normalized, Unweighted)]]*$AA$3</f>
        <v>2.7622950014538142E-2</v>
      </c>
      <c r="AD789" s="255">
        <f>_xlfn.XLOOKUP(FME_Ranking1[[#This Row],[FME ID]],FME_Input[FME_ID],FME_Input[FARMACRE100])</f>
        <v>3.996855735778809</v>
      </c>
      <c r="AE789" s="230">
        <f>(FME_Ranking1[[#This Row],[Ag Land Raw]]/$AD$2)*100</f>
        <v>1.6481243860407067E-4</v>
      </c>
      <c r="AF789" s="231">
        <f>FME_Ranking1[[#This Row],[Ag Land Score (Normalized, Unweighted)]]*$AD$3</f>
        <v>8.2406219302035336E-6</v>
      </c>
      <c r="AG78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0.19189983538036973</v>
      </c>
      <c r="AH789" s="406">
        <f t="shared" si="12"/>
        <v>817</v>
      </c>
      <c r="AI78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0.19189983538036973</v>
      </c>
      <c r="AJ789" s="257">
        <f>FME_Ranking1[[#This Row],[Addition check]]-FME_Ranking1[[#This Row],[Weighted Score Based on Normalized Reported Factors]]</f>
        <v>0</v>
      </c>
      <c r="AK789" s="178">
        <f>_xlfn.RANK.EQ(AI789,$AI$6:$AI$2341,0)+COUNTIF($AI$6:AI789,AI789)-1</f>
        <v>817</v>
      </c>
    </row>
    <row r="790" spans="1:37" x14ac:dyDescent="0.25">
      <c r="A790" t="s">
        <v>2782</v>
      </c>
      <c r="B790">
        <f>_xlfn.XLOOKUP(FME_Ranking1[[#This Row],[FME ID]],FME_Input[FME_ID],FME_Input[RFPG_NUM])</f>
        <v>1</v>
      </c>
      <c r="C790" t="str">
        <f>_xlfn.XLOOKUP(FME_Ranking1[[#This Row],[FME ID]],FME_Input[FME_ID],FME_Input[FME_NAME])</f>
        <v>City of Dalhart GIS Development</v>
      </c>
      <c r="D790" t="str">
        <f>_xlfn.XLOOKUP(FME_Ranking1[[#This Row],[FME ID]],FME_Input[FME_ID],FME_Input[DESCR])</f>
        <v>Develop GIS inventory and condition assessment for flood infrastructure; selected based on survey response</v>
      </c>
      <c r="E790" s="256">
        <f>_xlfn.XLOOKUP(FME_Ranking1[[#This Row],[FME ID]],FME_Input[FME_ID],FME_Input[FME_COST])</f>
        <v>50000</v>
      </c>
      <c r="F790" t="str">
        <f>_xlfn.XLOOKUP(FME_Ranking1[[#This Row],[FME ID]],FME_Input[FME_ID],FME_Input[EMER_NEED])</f>
        <v>No</v>
      </c>
      <c r="G790">
        <f>IF(FME_Ranking!F790="Yes",100,0)</f>
        <v>0</v>
      </c>
      <c r="H790">
        <f>FME_Ranking1[[#This Row],[Emergency Need Score (Normalized, Unweighted)]]*$F$3</f>
        <v>0</v>
      </c>
      <c r="I790" s="246">
        <f>_xlfn.XLOOKUP(FME_Ranking1[[#This Row],[FME ID]],FME_Input[FME_ID],FME_Input[STRUCT_100])</f>
        <v>887</v>
      </c>
      <c r="J790" s="178">
        <f>(FME_Ranking1[[#This Row],[Structures 100 Raw]]/I$2)*100</f>
        <v>0.47498179325707923</v>
      </c>
      <c r="K790" s="178">
        <f>FME_Ranking1[[#This Row],[Structures 100  Score (Normalized, Unweighted)]]*$I$3</f>
        <v>7.1247268988561888E-2</v>
      </c>
      <c r="L790" s="246">
        <f>_xlfn.XLOOKUP(FME_Ranking1[[#This Row],[FME ID]],FME_Input[FME_ID],FME_Input[RES_STRUCT100])</f>
        <v>698</v>
      </c>
      <c r="M790" s="230">
        <f>(FME_Ranking1[[#This Row],[Res Structures Raw]]/L$2)*100</f>
        <v>0.49439730277230809</v>
      </c>
      <c r="N790" s="180">
        <f>FME_Ranking1[[#This Row],[Res Structures Score (Normalized, Unweighted)]]*$L$3</f>
        <v>4.9439730277230809E-2</v>
      </c>
      <c r="O790" s="244">
        <f>_xlfn.XLOOKUP(FME_Ranking1[[#This Row],[FME ID]],FME_Input[FME_ID],FME_Input[POP100])</f>
        <v>2054</v>
      </c>
      <c r="P790" s="178">
        <f>(FME_Ranking1[[#This Row],[Pop Raw]]/$O$2)*100</f>
        <v>0.2102788908249198</v>
      </c>
      <c r="Q790" s="178">
        <f>FME_Ranking1[[#This Row],[Pop Score (Normalized, Unweighted)]]*$O$3</f>
        <v>3.1541833623737969E-2</v>
      </c>
      <c r="R790" s="137">
        <f>_xlfn.XLOOKUP(FME_Ranking1[[#This Row],[FME ID]],FME_Input[FME_ID],FME_Input[CRITFAC100])</f>
        <v>0</v>
      </c>
      <c r="S790" s="230">
        <f>(FME_Ranking1[[#This Row],[Critical Facilities Raw]]/$R$2)*100</f>
        <v>0</v>
      </c>
      <c r="T790" s="180">
        <f>FME_Ranking1[[#This Row],[Critical Facilities Score (Normalized, Unweighted)]]*$R$3</f>
        <v>0</v>
      </c>
      <c r="U790">
        <f>_xlfn.XLOOKUP(FME_Ranking1[[#This Row],[FME ID]],FME_Input[FME_ID],FME_Input[LWC])</f>
        <v>1</v>
      </c>
      <c r="V790" s="178">
        <f>(FME_Ranking1[[#This Row],[LWC Raw]]/$U$2)*100</f>
        <v>5.7570523891767422E-2</v>
      </c>
      <c r="W790" s="178">
        <f>FME_Ranking1[[#This Row],[LWC Score (Normalized, Unweighted)]]*$U$3</f>
        <v>1.1514104778353485E-2</v>
      </c>
      <c r="X790" s="246">
        <f>_xlfn.XLOOKUP(FME_Ranking1[[#This Row],[FME ID]],FME_Input[FME_ID],FME_Input[ROADCLS])</f>
        <v>1</v>
      </c>
      <c r="Y790" s="230">
        <f>(FME_Ranking1[[#This Row],[Closures Raw]]/$X$2)*100</f>
        <v>1.0514141520344864E-2</v>
      </c>
      <c r="Z790" s="180">
        <f>FME_Ranking1[[#This Row],[Closures Score (Normalized, Unweighted)]]*$X$3</f>
        <v>5.2570707601724321E-4</v>
      </c>
      <c r="AA790" s="253">
        <f>_xlfn.XLOOKUP(FME_Ranking1[[#This Row],[FME ID]],FME_Input[FME_ID],FME_Input[ROAD_MILES100])</f>
        <v>21.0089111328125</v>
      </c>
      <c r="AB790" s="178">
        <f>(FME_Ranking1[[#This Row],[Miles Raw]]/$AA$2)*100</f>
        <v>0.27622950014538139</v>
      </c>
      <c r="AC790" s="178">
        <f>FME_Ranking1[[#This Row],[Miles Score (Normalized, Unweighted)]]*$AA$3</f>
        <v>2.7622950014538142E-2</v>
      </c>
      <c r="AD790" s="255">
        <f>_xlfn.XLOOKUP(FME_Ranking1[[#This Row],[FME ID]],FME_Input[FME_ID],FME_Input[FARMACRE100])</f>
        <v>3.996855735778809</v>
      </c>
      <c r="AE790" s="230">
        <f>(FME_Ranking1[[#This Row],[Ag Land Raw]]/$AD$2)*100</f>
        <v>1.6481243860407067E-4</v>
      </c>
      <c r="AF790" s="231">
        <f>FME_Ranking1[[#This Row],[Ag Land Score (Normalized, Unweighted)]]*$AD$3</f>
        <v>8.2406219302035336E-6</v>
      </c>
      <c r="AG79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0.19189983538036973</v>
      </c>
      <c r="AH790" s="406">
        <f t="shared" si="12"/>
        <v>817</v>
      </c>
      <c r="AI79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0.19189983538036973</v>
      </c>
      <c r="AJ790" s="257">
        <f>FME_Ranking1[[#This Row],[Addition check]]-FME_Ranking1[[#This Row],[Weighted Score Based on Normalized Reported Factors]]</f>
        <v>0</v>
      </c>
      <c r="AK790" s="178">
        <f>_xlfn.RANK.EQ(AI790,$AI$6:$AI$2341,0)+COUNTIF($AI$6:AI790,AI790)-1</f>
        <v>818</v>
      </c>
    </row>
    <row r="791" spans="1:37" x14ac:dyDescent="0.25">
      <c r="A791" t="s">
        <v>6407</v>
      </c>
      <c r="B791">
        <f>_xlfn.XLOOKUP(FME_Ranking1[[#This Row],[FME ID]],FME_Input[FME_ID],FME_Input[RFPG_NUM])</f>
        <v>5</v>
      </c>
      <c r="C791" t="str">
        <f>_xlfn.XLOOKUP(FME_Ranking1[[#This Row],[FME ID]],FME_Input[FME_ID],FME_Input[FME_NAME])</f>
        <v>City of Vidor Drainage Improvements</v>
      </c>
      <c r="D791"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791" s="256">
        <f>_xlfn.XLOOKUP(FME_Ranking1[[#This Row],[FME ID]],FME_Input[FME_ID],FME_Input[FME_COST])</f>
        <v>100000</v>
      </c>
      <c r="F791" t="str">
        <f>_xlfn.XLOOKUP(FME_Ranking1[[#This Row],[FME ID]],FME_Input[FME_ID],FME_Input[EMER_NEED])</f>
        <v>Yes</v>
      </c>
      <c r="G791">
        <f>IF(FME_Ranking!F791="Yes",100,0)</f>
        <v>100</v>
      </c>
      <c r="H791">
        <f>FME_Ranking1[[#This Row],[Emergency Need Score (Normalized, Unweighted)]]*$F$3</f>
        <v>0</v>
      </c>
      <c r="I791" s="246">
        <f>_xlfn.XLOOKUP(FME_Ranking1[[#This Row],[FME ID]],FME_Input[FME_ID],FME_Input[STRUCT_100])</f>
        <v>541</v>
      </c>
      <c r="J791" s="178">
        <f>(FME_Ranking1[[#This Row],[Structures 100 Raw]]/I$2)*100</f>
        <v>0.28970140941609906</v>
      </c>
      <c r="K791" s="178">
        <f>FME_Ranking1[[#This Row],[Structures 100  Score (Normalized, Unweighted)]]*$I$3</f>
        <v>4.345521141241486E-2</v>
      </c>
      <c r="L791" s="246">
        <f>_xlfn.XLOOKUP(FME_Ranking1[[#This Row],[FME ID]],FME_Input[FME_ID],FME_Input[RES_STRUCT100])</f>
        <v>416</v>
      </c>
      <c r="M791" s="230">
        <f>(FME_Ranking1[[#This Row],[Res Structures Raw]]/L$2)*100</f>
        <v>0.29465512600756472</v>
      </c>
      <c r="N791" s="180">
        <f>FME_Ranking1[[#This Row],[Res Structures Score (Normalized, Unweighted)]]*$L$3</f>
        <v>2.9465512600756472E-2</v>
      </c>
      <c r="O791" s="244">
        <f>_xlfn.XLOOKUP(FME_Ranking1[[#This Row],[FME ID]],FME_Input[FME_ID],FME_Input[POP100])</f>
        <v>1462</v>
      </c>
      <c r="P791" s="178">
        <f>(FME_Ranking1[[#This Row],[Pop Raw]]/$O$2)*100</f>
        <v>0.14967270612757194</v>
      </c>
      <c r="Q791" s="178">
        <f>FME_Ranking1[[#This Row],[Pop Score (Normalized, Unweighted)]]*$O$3</f>
        <v>2.2450905919135792E-2</v>
      </c>
      <c r="R791" s="137">
        <f>_xlfn.XLOOKUP(FME_Ranking1[[#This Row],[FME ID]],FME_Input[FME_ID],FME_Input[CRITFAC100])</f>
        <v>1</v>
      </c>
      <c r="S791" s="230">
        <f>(FME_Ranking1[[#This Row],[Critical Facilities Raw]]/$R$2)*100</f>
        <v>4.2881646655231559E-2</v>
      </c>
      <c r="T791" s="180">
        <f>FME_Ranking1[[#This Row],[Critical Facilities Score (Normalized, Unweighted)]]*$R$3</f>
        <v>8.5763293310463125E-3</v>
      </c>
      <c r="U791">
        <f>_xlfn.XLOOKUP(FME_Ranking1[[#This Row],[FME ID]],FME_Input[FME_ID],FME_Input[LWC])</f>
        <v>5</v>
      </c>
      <c r="V791" s="178">
        <f>(FME_Ranking1[[#This Row],[LWC Raw]]/$U$2)*100</f>
        <v>0.28785261945883706</v>
      </c>
      <c r="W791" s="178">
        <f>FME_Ranking1[[#This Row],[LWC Score (Normalized, Unweighted)]]*$U$3</f>
        <v>5.7570523891767415E-2</v>
      </c>
      <c r="X791" s="246">
        <f>_xlfn.XLOOKUP(FME_Ranking1[[#This Row],[FME ID]],FME_Input[FME_ID],FME_Input[ROADCLS])</f>
        <v>5</v>
      </c>
      <c r="Y791" s="230">
        <f>(FME_Ranking1[[#This Row],[Closures Raw]]/$X$2)*100</f>
        <v>5.2570707601724324E-2</v>
      </c>
      <c r="Z791" s="180">
        <f>FME_Ranking1[[#This Row],[Closures Score (Normalized, Unweighted)]]*$X$3</f>
        <v>2.6285353800862164E-3</v>
      </c>
      <c r="AA791" s="253">
        <f>_xlfn.XLOOKUP(FME_Ranking1[[#This Row],[FME ID]],FME_Input[FME_ID],FME_Input[ROAD_MILES100])</f>
        <v>13.10560512542725</v>
      </c>
      <c r="AB791" s="178">
        <f>(FME_Ranking1[[#This Row],[Miles Raw]]/$AA$2)*100</f>
        <v>0.1723152013930615</v>
      </c>
      <c r="AC791" s="178">
        <f>FME_Ranking1[[#This Row],[Miles Score (Normalized, Unweighted)]]*$AA$3</f>
        <v>1.723152013930615E-2</v>
      </c>
      <c r="AD791" s="255">
        <f>_xlfn.XLOOKUP(FME_Ranking1[[#This Row],[FME ID]],FME_Input[FME_ID],FME_Input[FARMACRE100])</f>
        <v>1.0961142778396611</v>
      </c>
      <c r="AE791" s="230">
        <f>(FME_Ranking1[[#This Row],[Ag Land Raw]]/$AD$2)*100</f>
        <v>4.5198846058498824E-5</v>
      </c>
      <c r="AF791" s="231">
        <f>FME_Ranking1[[#This Row],[Ag Land Score (Normalized, Unweighted)]]*$AD$3</f>
        <v>2.2599423029249414E-6</v>
      </c>
      <c r="AG79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0.18138079861681616</v>
      </c>
      <c r="AH791" s="406">
        <f t="shared" si="12"/>
        <v>841</v>
      </c>
      <c r="AI79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0.18138079861681616</v>
      </c>
      <c r="AJ791" s="257">
        <f>FME_Ranking1[[#This Row],[Addition check]]-FME_Ranking1[[#This Row],[Weighted Score Based on Normalized Reported Factors]]</f>
        <v>0</v>
      </c>
      <c r="AK791" s="178">
        <f>_xlfn.RANK.EQ(AI791,$AI$6:$AI$2341,0)+COUNTIF($AI$6:AI791,AI791)-1</f>
        <v>841</v>
      </c>
    </row>
    <row r="792" spans="1:37" x14ac:dyDescent="0.25">
      <c r="A792" t="s">
        <v>8647</v>
      </c>
      <c r="B792">
        <f>_xlfn.XLOOKUP(FME_Ranking1[[#This Row],[FME ID]],FME_Input[FME_ID],FME_Input[RFPG_NUM])</f>
        <v>11</v>
      </c>
      <c r="C792" t="str">
        <f>_xlfn.XLOOKUP(FME_Ranking1[[#This Row],[FME ID]],FME_Input[FME_ID],FME_Input[FME_NAME])</f>
        <v>City of Gonzales Tinsley Creek Improvement Project Planning</v>
      </c>
      <c r="D792" t="str">
        <f>_xlfn.XLOOKUP(FME_Ranking1[[#This Row],[FME ID]],FME_Input[FME_ID],FME_Input[DESCR])</f>
        <v>Project planning to upgrade aging infrastructure that was overwhelmed during Hurricane Harvey. Projects may include replacing box culvert bridges, replacing box culvert bridges with clear span bridges, and relocating utilities within the stream bed.</v>
      </c>
      <c r="E792" s="256">
        <f>_xlfn.XLOOKUP(FME_Ranking1[[#This Row],[FME ID]],FME_Input[FME_ID],FME_Input[FME_COST])</f>
        <v>600000</v>
      </c>
      <c r="F792" t="str">
        <f>_xlfn.XLOOKUP(FME_Ranking1[[#This Row],[FME ID]],FME_Input[FME_ID],FME_Input[EMER_NEED])</f>
        <v>No</v>
      </c>
      <c r="G792">
        <f>IF(FME_Ranking!F792="Yes",100,0)</f>
        <v>0</v>
      </c>
      <c r="H792">
        <f>FME_Ranking1[[#This Row],[Emergency Need Score (Normalized, Unweighted)]]*$F$3</f>
        <v>0</v>
      </c>
      <c r="I792" s="246">
        <f>_xlfn.XLOOKUP(FME_Ranking1[[#This Row],[FME ID]],FME_Input[FME_ID],FME_Input[STRUCT_100])</f>
        <v>532</v>
      </c>
      <c r="J792" s="178">
        <f>(FME_Ranking1[[#This Row],[Structures 100 Raw]]/I$2)*100</f>
        <v>0.2848819774664782</v>
      </c>
      <c r="K792" s="178">
        <f>FME_Ranking1[[#This Row],[Structures 100  Score (Normalized, Unweighted)]]*$I$3</f>
        <v>4.273229661997173E-2</v>
      </c>
      <c r="L792" s="246">
        <f>_xlfn.XLOOKUP(FME_Ranking1[[#This Row],[FME ID]],FME_Input[FME_ID],FME_Input[RES_STRUCT100])</f>
        <v>412</v>
      </c>
      <c r="M792" s="230">
        <f>(FME_Ranking1[[#This Row],[Res Structures Raw]]/L$2)*100</f>
        <v>0.29182190364210731</v>
      </c>
      <c r="N792" s="180">
        <f>FME_Ranking1[[#This Row],[Res Structures Score (Normalized, Unweighted)]]*$L$3</f>
        <v>2.9182190364210731E-2</v>
      </c>
      <c r="O792" s="244">
        <f>_xlfn.XLOOKUP(FME_Ranking1[[#This Row],[FME ID]],FME_Input[FME_ID],FME_Input[POP100])</f>
        <v>1070</v>
      </c>
      <c r="P792" s="178">
        <f>(FME_Ranking1[[#This Row],[Pop Raw]]/$O$2)*100</f>
        <v>0.10954158382797671</v>
      </c>
      <c r="Q792" s="178">
        <f>FME_Ranking1[[#This Row],[Pop Score (Normalized, Unweighted)]]*$O$3</f>
        <v>1.6431237574196508E-2</v>
      </c>
      <c r="R792" s="137">
        <f>_xlfn.XLOOKUP(FME_Ranking1[[#This Row],[FME ID]],FME_Input[FME_ID],FME_Input[CRITFAC100])</f>
        <v>2</v>
      </c>
      <c r="S792" s="230">
        <f>(FME_Ranking1[[#This Row],[Critical Facilities Raw]]/$R$2)*100</f>
        <v>8.5763293310463118E-2</v>
      </c>
      <c r="T792" s="180">
        <f>FME_Ranking1[[#This Row],[Critical Facilities Score (Normalized, Unweighted)]]*$R$3</f>
        <v>1.7152658662092625E-2</v>
      </c>
      <c r="U792">
        <f>_xlfn.XLOOKUP(FME_Ranking1[[#This Row],[FME ID]],FME_Input[FME_ID],FME_Input[LWC])</f>
        <v>5</v>
      </c>
      <c r="V792" s="178">
        <f>(FME_Ranking1[[#This Row],[LWC Raw]]/$U$2)*100</f>
        <v>0.28785261945883706</v>
      </c>
      <c r="W792" s="178">
        <f>FME_Ranking1[[#This Row],[LWC Score (Normalized, Unweighted)]]*$U$3</f>
        <v>5.7570523891767415E-2</v>
      </c>
      <c r="X792" s="246">
        <f>_xlfn.XLOOKUP(FME_Ranking1[[#This Row],[FME ID]],FME_Input[FME_ID],FME_Input[ROADCLS])</f>
        <v>0</v>
      </c>
      <c r="Y792" s="230">
        <f>(FME_Ranking1[[#This Row],[Closures Raw]]/$X$2)*100</f>
        <v>0</v>
      </c>
      <c r="Z792" s="180">
        <f>FME_Ranking1[[#This Row],[Closures Score (Normalized, Unweighted)]]*$X$3</f>
        <v>0</v>
      </c>
      <c r="AA792" s="253">
        <f>_xlfn.XLOOKUP(FME_Ranking1[[#This Row],[FME ID]],FME_Input[FME_ID],FME_Input[ROAD_MILES100])</f>
        <v>13.42215633392334</v>
      </c>
      <c r="AB792" s="178">
        <f>(FME_Ranking1[[#This Row],[Miles Raw]]/$AA$2)*100</f>
        <v>0.17647728202353849</v>
      </c>
      <c r="AC792" s="178">
        <f>FME_Ranking1[[#This Row],[Miles Score (Normalized, Unweighted)]]*$AA$3</f>
        <v>1.764772820235385E-2</v>
      </c>
      <c r="AD792" s="255">
        <f>_xlfn.XLOOKUP(FME_Ranking1[[#This Row],[FME ID]],FME_Input[FME_ID],FME_Input[FARMACRE100])</f>
        <v>127.734733581543</v>
      </c>
      <c r="AE792" s="230">
        <f>(FME_Ranking1[[#This Row],[Ag Land Raw]]/$AD$2)*100</f>
        <v>5.267208607896685E-3</v>
      </c>
      <c r="AF792" s="231">
        <f>FME_Ranking1[[#This Row],[Ag Land Score (Normalized, Unweighted)]]*$AD$3</f>
        <v>2.6336043039483427E-4</v>
      </c>
      <c r="AG79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0.18097999574498769</v>
      </c>
      <c r="AH792" s="406">
        <f t="shared" si="12"/>
        <v>843</v>
      </c>
      <c r="AI79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0.18097999574498769</v>
      </c>
      <c r="AJ792" s="257">
        <f>FME_Ranking1[[#This Row],[Addition check]]-FME_Ranking1[[#This Row],[Weighted Score Based on Normalized Reported Factors]]</f>
        <v>0</v>
      </c>
      <c r="AK792" s="178">
        <f>_xlfn.RANK.EQ(AI792,$AI$6:$AI$2341,0)+COUNTIF($AI$6:AI792,AI792)-1</f>
        <v>843</v>
      </c>
    </row>
    <row r="793" spans="1:37" x14ac:dyDescent="0.25">
      <c r="A793" t="s">
        <v>8655</v>
      </c>
      <c r="B793">
        <f>_xlfn.XLOOKUP(FME_Ranking1[[#This Row],[FME ID]],FME_Input[FME_ID],FME_Input[RFPG_NUM])</f>
        <v>11</v>
      </c>
      <c r="C793" t="str">
        <f>_xlfn.XLOOKUP(FME_Ranking1[[#This Row],[FME ID]],FME_Input[FME_ID],FME_Input[FME_NAME])</f>
        <v>City of Gonzales Tinsley Creek Flood Mitigation Project Planning</v>
      </c>
      <c r="D793" t="str">
        <f>_xlfn.XLOOKUP(FME_Ranking1[[#This Row],[FME ID]],FME_Input[FME_ID],FME_Input[DESCR])</f>
        <v xml:space="preserve">Project planning for proposed improvements along Tinsley Creek include replacing a low water crossing at Johnson Street, adding culverts under Johnson Street, and replacing box culvert crossings with free span bridge crossings at several streets.
</v>
      </c>
      <c r="E793" s="256">
        <f>_xlfn.XLOOKUP(FME_Ranking1[[#This Row],[FME ID]],FME_Input[FME_ID],FME_Input[FME_COST])</f>
        <v>430000</v>
      </c>
      <c r="F793" t="str">
        <f>_xlfn.XLOOKUP(FME_Ranking1[[#This Row],[FME ID]],FME_Input[FME_ID],FME_Input[EMER_NEED])</f>
        <v>No</v>
      </c>
      <c r="G793">
        <f>IF(FME_Ranking!F793="Yes",100,0)</f>
        <v>0</v>
      </c>
      <c r="H793">
        <f>FME_Ranking1[[#This Row],[Emergency Need Score (Normalized, Unweighted)]]*$F$3</f>
        <v>0</v>
      </c>
      <c r="I793" s="246">
        <f>_xlfn.XLOOKUP(FME_Ranking1[[#This Row],[FME ID]],FME_Input[FME_ID],FME_Input[STRUCT_100])</f>
        <v>532</v>
      </c>
      <c r="J793" s="178">
        <f>(FME_Ranking1[[#This Row],[Structures 100 Raw]]/I$2)*100</f>
        <v>0.2848819774664782</v>
      </c>
      <c r="K793" s="178">
        <f>FME_Ranking1[[#This Row],[Structures 100  Score (Normalized, Unweighted)]]*$I$3</f>
        <v>4.273229661997173E-2</v>
      </c>
      <c r="L793" s="246">
        <f>_xlfn.XLOOKUP(FME_Ranking1[[#This Row],[FME ID]],FME_Input[FME_ID],FME_Input[RES_STRUCT100])</f>
        <v>412</v>
      </c>
      <c r="M793" s="230">
        <f>(FME_Ranking1[[#This Row],[Res Structures Raw]]/L$2)*100</f>
        <v>0.29182190364210731</v>
      </c>
      <c r="N793" s="180">
        <f>FME_Ranking1[[#This Row],[Res Structures Score (Normalized, Unweighted)]]*$L$3</f>
        <v>2.9182190364210731E-2</v>
      </c>
      <c r="O793" s="244">
        <f>_xlfn.XLOOKUP(FME_Ranking1[[#This Row],[FME ID]],FME_Input[FME_ID],FME_Input[POP100])</f>
        <v>1070</v>
      </c>
      <c r="P793" s="178">
        <f>(FME_Ranking1[[#This Row],[Pop Raw]]/$O$2)*100</f>
        <v>0.10954158382797671</v>
      </c>
      <c r="Q793" s="178">
        <f>FME_Ranking1[[#This Row],[Pop Score (Normalized, Unweighted)]]*$O$3</f>
        <v>1.6431237574196508E-2</v>
      </c>
      <c r="R793" s="137">
        <f>_xlfn.XLOOKUP(FME_Ranking1[[#This Row],[FME ID]],FME_Input[FME_ID],FME_Input[CRITFAC100])</f>
        <v>2</v>
      </c>
      <c r="S793" s="230">
        <f>(FME_Ranking1[[#This Row],[Critical Facilities Raw]]/$R$2)*100</f>
        <v>8.5763293310463118E-2</v>
      </c>
      <c r="T793" s="180">
        <f>FME_Ranking1[[#This Row],[Critical Facilities Score (Normalized, Unweighted)]]*$R$3</f>
        <v>1.7152658662092625E-2</v>
      </c>
      <c r="U793">
        <f>_xlfn.XLOOKUP(FME_Ranking1[[#This Row],[FME ID]],FME_Input[FME_ID],FME_Input[LWC])</f>
        <v>5</v>
      </c>
      <c r="V793" s="178">
        <f>(FME_Ranking1[[#This Row],[LWC Raw]]/$U$2)*100</f>
        <v>0.28785261945883706</v>
      </c>
      <c r="W793" s="178">
        <f>FME_Ranking1[[#This Row],[LWC Score (Normalized, Unweighted)]]*$U$3</f>
        <v>5.7570523891767415E-2</v>
      </c>
      <c r="X793" s="246">
        <f>_xlfn.XLOOKUP(FME_Ranking1[[#This Row],[FME ID]],FME_Input[FME_ID],FME_Input[ROADCLS])</f>
        <v>0</v>
      </c>
      <c r="Y793" s="230">
        <f>(FME_Ranking1[[#This Row],[Closures Raw]]/$X$2)*100</f>
        <v>0</v>
      </c>
      <c r="Z793" s="180">
        <f>FME_Ranking1[[#This Row],[Closures Score (Normalized, Unweighted)]]*$X$3</f>
        <v>0</v>
      </c>
      <c r="AA793" s="253">
        <f>_xlfn.XLOOKUP(FME_Ranking1[[#This Row],[FME ID]],FME_Input[FME_ID],FME_Input[ROAD_MILES100])</f>
        <v>13.42215633392334</v>
      </c>
      <c r="AB793" s="178">
        <f>(FME_Ranking1[[#This Row],[Miles Raw]]/$AA$2)*100</f>
        <v>0.17647728202353849</v>
      </c>
      <c r="AC793" s="178">
        <f>FME_Ranking1[[#This Row],[Miles Score (Normalized, Unweighted)]]*$AA$3</f>
        <v>1.764772820235385E-2</v>
      </c>
      <c r="AD793" s="255">
        <f>_xlfn.XLOOKUP(FME_Ranking1[[#This Row],[FME ID]],FME_Input[FME_ID],FME_Input[FARMACRE100])</f>
        <v>127.734733581543</v>
      </c>
      <c r="AE793" s="230">
        <f>(FME_Ranking1[[#This Row],[Ag Land Raw]]/$AD$2)*100</f>
        <v>5.267208607896685E-3</v>
      </c>
      <c r="AF793" s="231">
        <f>FME_Ranking1[[#This Row],[Ag Land Score (Normalized, Unweighted)]]*$AD$3</f>
        <v>2.6336043039483427E-4</v>
      </c>
      <c r="AG79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0.18097999574498769</v>
      </c>
      <c r="AH793" s="406">
        <f t="shared" si="12"/>
        <v>843</v>
      </c>
      <c r="AI79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0.18097999574498769</v>
      </c>
      <c r="AJ793" s="257">
        <f>FME_Ranking1[[#This Row],[Addition check]]-FME_Ranking1[[#This Row],[Weighted Score Based on Normalized Reported Factors]]</f>
        <v>0</v>
      </c>
      <c r="AK793" s="178">
        <f>_xlfn.RANK.EQ(AI793,$AI$6:$AI$2341,0)+COUNTIF($AI$6:AI793,AI793)-1</f>
        <v>844</v>
      </c>
    </row>
    <row r="794" spans="1:37" x14ac:dyDescent="0.25">
      <c r="A794" t="s">
        <v>11239</v>
      </c>
      <c r="B794">
        <f>_xlfn.XLOOKUP(FME_Ranking1[[#This Row],[FME ID]],FME_Input[FME_ID],FME_Input[RFPG_NUM])</f>
        <v>15</v>
      </c>
      <c r="C794" t="str">
        <f>_xlfn.XLOOKUP(FME_Ranking1[[#This Row],[FME ID]],FME_Input[FME_ID],FME_Input[FME_NAME])</f>
        <v>Precinct 4 MDP - Risk Area D at S. McColl &amp; Canton Rd.</v>
      </c>
      <c r="D794" t="str">
        <f>_xlfn.XLOOKUP(FME_Ranking1[[#This Row],[FME ID]],FME_Input[FME_ID],FME_Input[DESCR])</f>
        <v>Channel Improvements (Widening &amp; Regrading) to Existing McAllen Lateral &amp; North Main Drain with approximately 2.25 miles of proposed improvements from S McColl St. to State Highway 107. Crossings at W Canton Rd., W Freddy Gonzalez Dr., and W Sprague St.</v>
      </c>
      <c r="E794" s="256">
        <f>_xlfn.XLOOKUP(FME_Ranking1[[#This Row],[FME ID]],FME_Input[FME_ID],FME_Input[FME_COST])</f>
        <v>953700</v>
      </c>
      <c r="F794" t="str">
        <f>_xlfn.XLOOKUP(FME_Ranking1[[#This Row],[FME ID]],FME_Input[FME_ID],FME_Input[EMER_NEED])</f>
        <v>Yes</v>
      </c>
      <c r="G794">
        <f>IF(FME_Ranking!F794="Yes",100,0)</f>
        <v>100</v>
      </c>
      <c r="H794">
        <f>FME_Ranking1[[#This Row],[Emergency Need Score (Normalized, Unweighted)]]*$F$3</f>
        <v>0</v>
      </c>
      <c r="I794" s="246">
        <f>_xlfn.XLOOKUP(FME_Ranking1[[#This Row],[FME ID]],FME_Input[FME_ID],FME_Input[STRUCT_100])</f>
        <v>0</v>
      </c>
      <c r="J794" s="178">
        <f>(FME_Ranking1[[#This Row],[Structures 100 Raw]]/I$2)*100</f>
        <v>0</v>
      </c>
      <c r="K794" s="178">
        <f>FME_Ranking1[[#This Row],[Structures 100  Score (Normalized, Unweighted)]]*$I$3</f>
        <v>0</v>
      </c>
      <c r="L794" s="246">
        <f>_xlfn.XLOOKUP(FME_Ranking1[[#This Row],[FME ID]],FME_Input[FME_ID],FME_Input[RES_STRUCT100])</f>
        <v>735</v>
      </c>
      <c r="M794" s="230">
        <f>(FME_Ranking1[[#This Row],[Res Structures Raw]]/L$2)*100</f>
        <v>0.52060460965278865</v>
      </c>
      <c r="N794" s="180">
        <f>FME_Ranking1[[#This Row],[Res Structures Score (Normalized, Unweighted)]]*$L$3</f>
        <v>5.2060460965278867E-2</v>
      </c>
      <c r="O794" s="244">
        <f>_xlfn.XLOOKUP(FME_Ranking1[[#This Row],[FME ID]],FME_Input[FME_ID],FME_Input[POP100])</f>
        <v>6686</v>
      </c>
      <c r="P794" s="178">
        <f>(FME_Ranking1[[#This Row],[Pop Raw]]/$O$2)*100</f>
        <v>0.68448133595687133</v>
      </c>
      <c r="Q794" s="178">
        <f>FME_Ranking1[[#This Row],[Pop Score (Normalized, Unweighted)]]*$O$3</f>
        <v>0.1026722003935307</v>
      </c>
      <c r="R794" s="137">
        <f>_xlfn.XLOOKUP(FME_Ranking1[[#This Row],[FME ID]],FME_Input[FME_ID],FME_Input[CRITFAC100])</f>
        <v>1</v>
      </c>
      <c r="S794" s="230">
        <f>(FME_Ranking1[[#This Row],[Critical Facilities Raw]]/$R$2)*100</f>
        <v>4.2881646655231559E-2</v>
      </c>
      <c r="T794" s="180">
        <f>FME_Ranking1[[#This Row],[Critical Facilities Score (Normalized, Unweighted)]]*$R$3</f>
        <v>8.5763293310463125E-3</v>
      </c>
      <c r="U794">
        <f>_xlfn.XLOOKUP(FME_Ranking1[[#This Row],[FME ID]],FME_Input[FME_ID],FME_Input[LWC])</f>
        <v>0</v>
      </c>
      <c r="V794" s="178">
        <f>(FME_Ranking1[[#This Row],[LWC Raw]]/$U$2)*100</f>
        <v>0</v>
      </c>
      <c r="W794" s="178">
        <f>FME_Ranking1[[#This Row],[LWC Score (Normalized, Unweighted)]]*$U$3</f>
        <v>0</v>
      </c>
      <c r="X794" s="246">
        <f>_xlfn.XLOOKUP(FME_Ranking1[[#This Row],[FME ID]],FME_Input[FME_ID],FME_Input[ROADCLS])</f>
        <v>0</v>
      </c>
      <c r="Y794" s="230">
        <f>(FME_Ranking1[[#This Row],[Closures Raw]]/$X$2)*100</f>
        <v>0</v>
      </c>
      <c r="Z794" s="180">
        <f>FME_Ranking1[[#This Row],[Closures Score (Normalized, Unweighted)]]*$X$3</f>
        <v>0</v>
      </c>
      <c r="AA794" s="253">
        <f>_xlfn.XLOOKUP(FME_Ranking1[[#This Row],[FME ID]],FME_Input[FME_ID],FME_Input[ROAD_MILES100])</f>
        <v>46.661998748779297</v>
      </c>
      <c r="AB794" s="178">
        <f>(FME_Ranking1[[#This Row],[Miles Raw]]/$AA$2)*100</f>
        <v>0.6135215913226717</v>
      </c>
      <c r="AC794" s="178">
        <f>FME_Ranking1[[#This Row],[Miles Score (Normalized, Unweighted)]]*$AA$3</f>
        <v>6.1352159132267173E-2</v>
      </c>
      <c r="AD794" s="255">
        <f>_xlfn.XLOOKUP(FME_Ranking1[[#This Row],[FME ID]],FME_Input[FME_ID],FME_Input[FARMACRE100])</f>
        <v>0</v>
      </c>
      <c r="AE794" s="230">
        <f>(FME_Ranking1[[#This Row],[Ag Land Raw]]/$AD$2)*100</f>
        <v>0</v>
      </c>
      <c r="AF794" s="231">
        <f>FME_Ranking1[[#This Row],[Ag Land Score (Normalized, Unweighted)]]*$AD$3</f>
        <v>0</v>
      </c>
      <c r="AG79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0.22466114982212304</v>
      </c>
      <c r="AH794" s="406">
        <f t="shared" si="12"/>
        <v>761</v>
      </c>
      <c r="AI79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0.22466114982212304</v>
      </c>
      <c r="AJ794" s="257">
        <f>FME_Ranking1[[#This Row],[Addition check]]-FME_Ranking1[[#This Row],[Weighted Score Based on Normalized Reported Factors]]</f>
        <v>0</v>
      </c>
      <c r="AK794" s="178">
        <f>_xlfn.RANK.EQ(AI794,$AI$6:$AI$2341,0)+COUNTIF($AI$6:AI794,AI794)-1</f>
        <v>761</v>
      </c>
    </row>
    <row r="795" spans="1:37" x14ac:dyDescent="0.25">
      <c r="A795" t="s">
        <v>7301</v>
      </c>
      <c r="B795">
        <f>_xlfn.XLOOKUP(FME_Ranking1[[#This Row],[FME ID]],FME_Input[FME_ID],FME_Input[RFPG_NUM])</f>
        <v>7</v>
      </c>
      <c r="C795" t="str">
        <f>_xlfn.XLOOKUP(FME_Ranking1[[#This Row],[FME ID]],FME_Input[FME_ID],FME_Input[FME_NAME])</f>
        <v>City of Haskell Relocate Critical Facilities High Hazard</v>
      </c>
      <c r="D795" t="str">
        <f>_xlfn.XLOOKUP(FME_Ranking1[[#This Row],[FME ID]],FME_Input[FME_ID],FME_Input[DESCR])</f>
        <v>Relocate critical facilities out of high hazard areas.</v>
      </c>
      <c r="E795" s="256">
        <f>_xlfn.XLOOKUP(FME_Ranking1[[#This Row],[FME ID]],FME_Input[FME_ID],FME_Input[FME_COST])</f>
        <v>1000000</v>
      </c>
      <c r="F795" t="str">
        <f>_xlfn.XLOOKUP(FME_Ranking1[[#This Row],[FME ID]],FME_Input[FME_ID],FME_Input[EMER_NEED])</f>
        <v>No</v>
      </c>
      <c r="G795">
        <f>IF(FME_Ranking!F795="Yes",100,0)</f>
        <v>0</v>
      </c>
      <c r="H795">
        <f>FME_Ranking1[[#This Row],[Emergency Need Score (Normalized, Unweighted)]]*$F$3</f>
        <v>0</v>
      </c>
      <c r="I795" s="246">
        <f>_xlfn.XLOOKUP(FME_Ranking1[[#This Row],[FME ID]],FME_Input[FME_ID],FME_Input[STRUCT_100])</f>
        <v>181</v>
      </c>
      <c r="J795" s="178">
        <f>(FME_Ranking1[[#This Row],[Structures 100 Raw]]/I$2)*100</f>
        <v>9.6924131431264188E-2</v>
      </c>
      <c r="K795" s="178">
        <f>FME_Ranking1[[#This Row],[Structures 100  Score (Normalized, Unweighted)]]*$I$3</f>
        <v>1.4538619714689628E-2</v>
      </c>
      <c r="L795" s="246">
        <f>_xlfn.XLOOKUP(FME_Ranking1[[#This Row],[FME ID]],FME_Input[FME_ID],FME_Input[RES_STRUCT100])</f>
        <v>110</v>
      </c>
      <c r="M795" s="230">
        <f>(FME_Ranking1[[#This Row],[Res Structures Raw]]/L$2)*100</f>
        <v>7.7913615050077198E-2</v>
      </c>
      <c r="N795" s="180">
        <f>FME_Ranking1[[#This Row],[Res Structures Score (Normalized, Unweighted)]]*$L$3</f>
        <v>7.7913615050077198E-3</v>
      </c>
      <c r="O795" s="244">
        <f>_xlfn.XLOOKUP(FME_Ranking1[[#This Row],[FME ID]],FME_Input[FME_ID],FME_Input[POP100])</f>
        <v>324</v>
      </c>
      <c r="P795" s="178">
        <f>(FME_Ranking1[[#This Row],[Pop Raw]]/$O$2)*100</f>
        <v>3.3169601084359304E-2</v>
      </c>
      <c r="Q795" s="178">
        <f>FME_Ranking1[[#This Row],[Pop Score (Normalized, Unweighted)]]*$O$3</f>
        <v>4.9754401626538958E-3</v>
      </c>
      <c r="R795" s="137">
        <f>_xlfn.XLOOKUP(FME_Ranking1[[#This Row],[FME ID]],FME_Input[FME_ID],FME_Input[CRITFAC100])</f>
        <v>1</v>
      </c>
      <c r="S795" s="230">
        <f>(FME_Ranking1[[#This Row],[Critical Facilities Raw]]/$R$2)*100</f>
        <v>4.2881646655231559E-2</v>
      </c>
      <c r="T795" s="180">
        <f>FME_Ranking1[[#This Row],[Critical Facilities Score (Normalized, Unweighted)]]*$R$3</f>
        <v>8.5763293310463125E-3</v>
      </c>
      <c r="U795">
        <f>_xlfn.XLOOKUP(FME_Ranking1[[#This Row],[FME ID]],FME_Input[FME_ID],FME_Input[LWC])</f>
        <v>11</v>
      </c>
      <c r="V795" s="178">
        <f>(FME_Ranking1[[#This Row],[LWC Raw]]/$U$2)*100</f>
        <v>0.63327576280944153</v>
      </c>
      <c r="W795" s="178">
        <f>FME_Ranking1[[#This Row],[LWC Score (Normalized, Unweighted)]]*$U$3</f>
        <v>0.12665515256188831</v>
      </c>
      <c r="X795" s="246">
        <f>_xlfn.XLOOKUP(FME_Ranking1[[#This Row],[FME ID]],FME_Input[FME_ID],FME_Input[ROADCLS])</f>
        <v>0</v>
      </c>
      <c r="Y795" s="230">
        <f>(FME_Ranking1[[#This Row],[Closures Raw]]/$X$2)*100</f>
        <v>0</v>
      </c>
      <c r="Z795" s="180">
        <f>FME_Ranking1[[#This Row],[Closures Score (Normalized, Unweighted)]]*$X$3</f>
        <v>0</v>
      </c>
      <c r="AA795" s="253">
        <f>_xlfn.XLOOKUP(FME_Ranking1[[#This Row],[FME ID]],FME_Input[FME_ID],FME_Input[ROAD_MILES100])</f>
        <v>13.9953670501709</v>
      </c>
      <c r="AB795" s="178">
        <f>(FME_Ranking1[[#This Row],[Miles Raw]]/$AA$2)*100</f>
        <v>0.18401397484050899</v>
      </c>
      <c r="AC795" s="178">
        <f>FME_Ranking1[[#This Row],[Miles Score (Normalized, Unweighted)]]*$AA$3</f>
        <v>1.84013974840509E-2</v>
      </c>
      <c r="AD795" s="255">
        <f>_xlfn.XLOOKUP(FME_Ranking1[[#This Row],[FME ID]],FME_Input[FME_ID],FME_Input[FARMACRE100])</f>
        <v>37.440525054931641</v>
      </c>
      <c r="AE795" s="230">
        <f>(FME_Ranking1[[#This Row],[Ag Land Raw]]/$AD$2)*100</f>
        <v>1.5438796506168377E-3</v>
      </c>
      <c r="AF795" s="231">
        <f>FME_Ranking1[[#This Row],[Ag Land Score (Normalized, Unweighted)]]*$AD$3</f>
        <v>7.7193982530841888E-5</v>
      </c>
      <c r="AG79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0.18101549474186759</v>
      </c>
      <c r="AH795" s="406">
        <f t="shared" si="12"/>
        <v>842</v>
      </c>
      <c r="AI79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0.18101549474186759</v>
      </c>
      <c r="AJ795" s="257">
        <f>FME_Ranking1[[#This Row],[Addition check]]-FME_Ranking1[[#This Row],[Weighted Score Based on Normalized Reported Factors]]</f>
        <v>0</v>
      </c>
      <c r="AK795" s="178">
        <f>_xlfn.RANK.EQ(AI795,$AI$6:$AI$2341,0)+COUNTIF($AI$6:AI795,AI795)-1</f>
        <v>842</v>
      </c>
    </row>
    <row r="796" spans="1:37" x14ac:dyDescent="0.25">
      <c r="A796" t="s">
        <v>4228</v>
      </c>
      <c r="B796">
        <f>_xlfn.XLOOKUP(FME_Ranking1[[#This Row],[FME ID]],FME_Input[FME_ID],FME_Input[RFPG_NUM])</f>
        <v>3</v>
      </c>
      <c r="C796" t="str">
        <f>_xlfn.XLOOKUP(FME_Ranking1[[#This Row],[FME ID]],FME_Input[FME_ID],FME_Input[FME_NAME])</f>
        <v>City of Waxahachie DMP (Phase 2 Continuation)</v>
      </c>
      <c r="D796" t="str">
        <f>_xlfn.XLOOKUP(FME_Ranking1[[#This Row],[FME ID]],FME_Input[FME_ID],FME_Input[DESCR])</f>
        <v>Evaluate City and identify future projects. Continue efforts of current DMP Phase 2 efforts.</v>
      </c>
      <c r="E796" s="256">
        <f>_xlfn.XLOOKUP(FME_Ranking1[[#This Row],[FME ID]],FME_Input[FME_ID],FME_Input[FME_COST])</f>
        <v>752000</v>
      </c>
      <c r="F796" t="str">
        <f>_xlfn.XLOOKUP(FME_Ranking1[[#This Row],[FME ID]],FME_Input[FME_ID],FME_Input[EMER_NEED])</f>
        <v>No</v>
      </c>
      <c r="G796">
        <f>IF(FME_Ranking!F796="Yes",100,0)</f>
        <v>0</v>
      </c>
      <c r="H796">
        <f>FME_Ranking1[[#This Row],[Emergency Need Score (Normalized, Unweighted)]]*$F$3</f>
        <v>0</v>
      </c>
      <c r="I796" s="246">
        <f>_xlfn.XLOOKUP(FME_Ranking1[[#This Row],[FME ID]],FME_Input[FME_ID],FME_Input[STRUCT_100])</f>
        <v>490</v>
      </c>
      <c r="J796" s="178">
        <f>(FME_Ranking1[[#This Row],[Structures 100 Raw]]/I$2)*100</f>
        <v>0.2623912950349141</v>
      </c>
      <c r="K796" s="178">
        <f>FME_Ranking1[[#This Row],[Structures 100  Score (Normalized, Unweighted)]]*$I$3</f>
        <v>3.9358694255237116E-2</v>
      </c>
      <c r="L796" s="246">
        <f>_xlfn.XLOOKUP(FME_Ranking1[[#This Row],[FME ID]],FME_Input[FME_ID],FME_Input[RES_STRUCT100])</f>
        <v>424</v>
      </c>
      <c r="M796" s="230">
        <f>(FME_Ranking1[[#This Row],[Res Structures Raw]]/L$2)*100</f>
        <v>0.30032157073847943</v>
      </c>
      <c r="N796" s="180">
        <f>FME_Ranking1[[#This Row],[Res Structures Score (Normalized, Unweighted)]]*$L$3</f>
        <v>3.0032157073847945E-2</v>
      </c>
      <c r="O796" s="244">
        <f>_xlfn.XLOOKUP(FME_Ranking1[[#This Row],[FME ID]],FME_Input[FME_ID],FME_Input[POP100])</f>
        <v>2389</v>
      </c>
      <c r="P796" s="178">
        <f>(FME_Ranking1[[#This Row],[Pop Raw]]/$O$2)*100</f>
        <v>0.24457462034115549</v>
      </c>
      <c r="Q796" s="178">
        <f>FME_Ranking1[[#This Row],[Pop Score (Normalized, Unweighted)]]*$O$3</f>
        <v>3.6686193051173321E-2</v>
      </c>
      <c r="R796" s="137">
        <f>_xlfn.XLOOKUP(FME_Ranking1[[#This Row],[FME ID]],FME_Input[FME_ID],FME_Input[CRITFAC100])</f>
        <v>6</v>
      </c>
      <c r="S796" s="230">
        <f>(FME_Ranking1[[#This Row],[Critical Facilities Raw]]/$R$2)*100</f>
        <v>0.25728987993138941</v>
      </c>
      <c r="T796" s="180">
        <f>FME_Ranking1[[#This Row],[Critical Facilities Score (Normalized, Unweighted)]]*$R$3</f>
        <v>5.1457975986277882E-2</v>
      </c>
      <c r="U796">
        <f>_xlfn.XLOOKUP(FME_Ranking1[[#This Row],[FME ID]],FME_Input[FME_ID],FME_Input[LWC])</f>
        <v>0</v>
      </c>
      <c r="V796" s="178">
        <f>(FME_Ranking1[[#This Row],[LWC Raw]]/$U$2)*100</f>
        <v>0</v>
      </c>
      <c r="W796" s="178">
        <f>FME_Ranking1[[#This Row],[LWC Score (Normalized, Unweighted)]]*$U$3</f>
        <v>0</v>
      </c>
      <c r="X796" s="246">
        <f>_xlfn.XLOOKUP(FME_Ranking1[[#This Row],[FME ID]],FME_Input[FME_ID],FME_Input[ROADCLS])</f>
        <v>0</v>
      </c>
      <c r="Y796" s="230">
        <f>(FME_Ranking1[[#This Row],[Closures Raw]]/$X$2)*100</f>
        <v>0</v>
      </c>
      <c r="Z796" s="180">
        <f>FME_Ranking1[[#This Row],[Closures Score (Normalized, Unweighted)]]*$X$3</f>
        <v>0</v>
      </c>
      <c r="AA796" s="253">
        <f>_xlfn.XLOOKUP(FME_Ranking1[[#This Row],[FME ID]],FME_Input[FME_ID],FME_Input[ROAD_MILES100])</f>
        <v>31.529470443725589</v>
      </c>
      <c r="AB796" s="178">
        <f>(FME_Ranking1[[#This Row],[Miles Raw]]/$AA$2)*100</f>
        <v>0.4145559855749153</v>
      </c>
      <c r="AC796" s="178">
        <f>FME_Ranking1[[#This Row],[Miles Score (Normalized, Unweighted)]]*$AA$3</f>
        <v>4.1455598557491535E-2</v>
      </c>
      <c r="AD796" s="255">
        <f>_xlfn.XLOOKUP(FME_Ranking1[[#This Row],[FME ID]],FME_Input[FME_ID],FME_Input[FARMACRE100])</f>
        <v>2152.152099609375</v>
      </c>
      <c r="AE796" s="230">
        <f>(FME_Ranking1[[#This Row],[Ag Land Raw]]/$AD$2)*100</f>
        <v>8.8745118471076467E-2</v>
      </c>
      <c r="AF796" s="231">
        <f>FME_Ranking1[[#This Row],[Ag Land Score (Normalized, Unweighted)]]*$AD$3</f>
        <v>4.4372559235538239E-3</v>
      </c>
      <c r="AG79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0.20342787484758162</v>
      </c>
      <c r="AH796" s="406">
        <f t="shared" si="12"/>
        <v>794</v>
      </c>
      <c r="AI79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0.20342787484758162</v>
      </c>
      <c r="AJ796" s="257">
        <f>FME_Ranking1[[#This Row],[Addition check]]-FME_Ranking1[[#This Row],[Weighted Score Based on Normalized Reported Factors]]</f>
        <v>0</v>
      </c>
      <c r="AK796" s="178">
        <f>_xlfn.RANK.EQ(AI796,$AI$6:$AI$2341,0)+COUNTIF($AI$6:AI796,AI796)-1</f>
        <v>794</v>
      </c>
    </row>
    <row r="797" spans="1:37" x14ac:dyDescent="0.25">
      <c r="A797" t="s">
        <v>6527</v>
      </c>
      <c r="B797">
        <f>_xlfn.XLOOKUP(FME_Ranking1[[#This Row],[FME ID]],FME_Input[FME_ID],FME_Input[RFPG_NUM])</f>
        <v>7</v>
      </c>
      <c r="C797" t="str">
        <f>_xlfn.XLOOKUP(FME_Ranking1[[#This Row],[FME ID]],FME_Input[FME_ID],FME_Input[FME_NAME])</f>
        <v>Stephens County Update FEMA Mapping</v>
      </c>
      <c r="D797" t="str">
        <f>_xlfn.XLOOKUP(FME_Ranking1[[#This Row],[FME ID]],FME_Input[FME_ID],FME_Input[DESCR])</f>
        <v>Update existing FEMA mapping</v>
      </c>
      <c r="E797" s="256">
        <f>_xlfn.XLOOKUP(FME_Ranking1[[#This Row],[FME ID]],FME_Input[FME_ID],FME_Input[FME_COST])</f>
        <v>920000</v>
      </c>
      <c r="F797" t="str">
        <f>_xlfn.XLOOKUP(FME_Ranking1[[#This Row],[FME ID]],FME_Input[FME_ID],FME_Input[EMER_NEED])</f>
        <v>No</v>
      </c>
      <c r="G797">
        <f>IF(FME_Ranking!F797="Yes",100,0)</f>
        <v>0</v>
      </c>
      <c r="H797">
        <f>FME_Ranking1[[#This Row],[Emergency Need Score (Normalized, Unweighted)]]*$F$3</f>
        <v>0</v>
      </c>
      <c r="I797" s="246">
        <f>_xlfn.XLOOKUP(FME_Ranking1[[#This Row],[FME ID]],FME_Input[FME_ID],FME_Input[STRUCT_100])</f>
        <v>657</v>
      </c>
      <c r="J797" s="178">
        <f>(FME_Ranking1[[#This Row],[Structures 100 Raw]]/I$2)*100</f>
        <v>0.35181853232232357</v>
      </c>
      <c r="K797" s="178">
        <f>FME_Ranking1[[#This Row],[Structures 100  Score (Normalized, Unweighted)]]*$I$3</f>
        <v>5.2772779848348536E-2</v>
      </c>
      <c r="L797" s="246">
        <f>_xlfn.XLOOKUP(FME_Ranking1[[#This Row],[FME ID]],FME_Input[FME_ID],FME_Input[RES_STRUCT100])</f>
        <v>99</v>
      </c>
      <c r="M797" s="230">
        <f>(FME_Ranking1[[#This Row],[Res Structures Raw]]/L$2)*100</f>
        <v>7.0122253545069485E-2</v>
      </c>
      <c r="N797" s="180">
        <f>FME_Ranking1[[#This Row],[Res Structures Score (Normalized, Unweighted)]]*$L$3</f>
        <v>7.0122253545069485E-3</v>
      </c>
      <c r="O797" s="244">
        <f>_xlfn.XLOOKUP(FME_Ranking1[[#This Row],[FME ID]],FME_Input[FME_ID],FME_Input[POP100])</f>
        <v>709</v>
      </c>
      <c r="P797" s="178">
        <f>(FME_Ranking1[[#This Row],[Pop Raw]]/$O$2)*100</f>
        <v>7.2584096200033171E-2</v>
      </c>
      <c r="Q797" s="178">
        <f>FME_Ranking1[[#This Row],[Pop Score (Normalized, Unweighted)]]*$O$3</f>
        <v>1.0887614430004975E-2</v>
      </c>
      <c r="R797" s="137">
        <f>_xlfn.XLOOKUP(FME_Ranking1[[#This Row],[FME ID]],FME_Input[FME_ID],FME_Input[CRITFAC100])</f>
        <v>1</v>
      </c>
      <c r="S797" s="230">
        <f>(FME_Ranking1[[#This Row],[Critical Facilities Raw]]/$R$2)*100</f>
        <v>4.2881646655231559E-2</v>
      </c>
      <c r="T797" s="180">
        <f>FME_Ranking1[[#This Row],[Critical Facilities Score (Normalized, Unweighted)]]*$R$3</f>
        <v>8.5763293310463125E-3</v>
      </c>
      <c r="U797">
        <f>_xlfn.XLOOKUP(FME_Ranking1[[#This Row],[FME ID]],FME_Input[FME_ID],FME_Input[LWC])</f>
        <v>2</v>
      </c>
      <c r="V797" s="178">
        <f>(FME_Ranking1[[#This Row],[LWC Raw]]/$U$2)*100</f>
        <v>0.11514104778353484</v>
      </c>
      <c r="W797" s="178">
        <f>FME_Ranking1[[#This Row],[LWC Score (Normalized, Unweighted)]]*$U$3</f>
        <v>2.302820955670697E-2</v>
      </c>
      <c r="X797" s="246">
        <f>_xlfn.XLOOKUP(FME_Ranking1[[#This Row],[FME ID]],FME_Input[FME_ID],FME_Input[ROADCLS])</f>
        <v>0</v>
      </c>
      <c r="Y797" s="230">
        <f>(FME_Ranking1[[#This Row],[Closures Raw]]/$X$2)*100</f>
        <v>0</v>
      </c>
      <c r="Z797" s="180">
        <f>FME_Ranking1[[#This Row],[Closures Score (Normalized, Unweighted)]]*$X$3</f>
        <v>0</v>
      </c>
      <c r="AA797" s="253">
        <f>_xlfn.XLOOKUP(FME_Ranking1[[#This Row],[FME ID]],FME_Input[FME_ID],FME_Input[ROAD_MILES100])</f>
        <v>64.184860229492188</v>
      </c>
      <c r="AB797" s="178">
        <f>(FME_Ranking1[[#This Row],[Miles Raw]]/$AA$2)*100</f>
        <v>0.84391579106652559</v>
      </c>
      <c r="AC797" s="178">
        <f>FME_Ranking1[[#This Row],[Miles Score (Normalized, Unweighted)]]*$AA$3</f>
        <v>8.439157910665257E-2</v>
      </c>
      <c r="AD797" s="255">
        <f>_xlfn.XLOOKUP(FME_Ranking1[[#This Row],[FME ID]],FME_Input[FME_ID],FME_Input[FARMACRE100])</f>
        <v>28369.01171875</v>
      </c>
      <c r="AE797" s="230">
        <f>(FME_Ranking1[[#This Row],[Ag Land Raw]]/$AD$2)*100</f>
        <v>1.1698110492956251</v>
      </c>
      <c r="AF797" s="231">
        <f>FME_Ranking1[[#This Row],[Ag Land Score (Normalized, Unweighted)]]*$AD$3</f>
        <v>5.8490552464781256E-2</v>
      </c>
      <c r="AG79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0.24515929009204757</v>
      </c>
      <c r="AH797" s="406">
        <f t="shared" si="12"/>
        <v>704</v>
      </c>
      <c r="AI79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0.24515929009204757</v>
      </c>
      <c r="AJ797" s="257">
        <f>FME_Ranking1[[#This Row],[Addition check]]-FME_Ranking1[[#This Row],[Weighted Score Based on Normalized Reported Factors]]</f>
        <v>0</v>
      </c>
      <c r="AK797" s="178">
        <f>_xlfn.RANK.EQ(AI797,$AI$6:$AI$2341,0)+COUNTIF($AI$6:AI797,AI797)-1</f>
        <v>704</v>
      </c>
    </row>
    <row r="798" spans="1:37" x14ac:dyDescent="0.25">
      <c r="A798" t="s">
        <v>6535</v>
      </c>
      <c r="B798">
        <f>_xlfn.XLOOKUP(FME_Ranking1[[#This Row],[FME ID]],FME_Input[FME_ID],FME_Input[RFPG_NUM])</f>
        <v>7</v>
      </c>
      <c r="C798" t="str">
        <f>_xlfn.XLOOKUP(FME_Ranking1[[#This Row],[FME ID]],FME_Input[FME_ID],FME_Input[FME_NAME])</f>
        <v>Stephens County DMP</v>
      </c>
      <c r="D798" t="str">
        <f>_xlfn.XLOOKUP(FME_Ranking1[[#This Row],[FME ID]],FME_Input[FME_ID],FME_Input[DESCR])</f>
        <v>Evaluate county to identify future projects, analyze roads/stream crossing for emergency response vehicles to high hazard areas</v>
      </c>
      <c r="E798" s="256">
        <f>_xlfn.XLOOKUP(FME_Ranking1[[#This Row],[FME ID]],FME_Input[FME_ID],FME_Input[FME_COST])</f>
        <v>500000</v>
      </c>
      <c r="F798" t="str">
        <f>_xlfn.XLOOKUP(FME_Ranking1[[#This Row],[FME ID]],FME_Input[FME_ID],FME_Input[EMER_NEED])</f>
        <v>No</v>
      </c>
      <c r="G798">
        <f>IF(FME_Ranking!F798="Yes",100,0)</f>
        <v>0</v>
      </c>
      <c r="H798">
        <f>FME_Ranking1[[#This Row],[Emergency Need Score (Normalized, Unweighted)]]*$F$3</f>
        <v>0</v>
      </c>
      <c r="I798" s="246">
        <f>_xlfn.XLOOKUP(FME_Ranking1[[#This Row],[FME ID]],FME_Input[FME_ID],FME_Input[STRUCT_100])</f>
        <v>657</v>
      </c>
      <c r="J798" s="178">
        <f>(FME_Ranking1[[#This Row],[Structures 100 Raw]]/I$2)*100</f>
        <v>0.35181853232232357</v>
      </c>
      <c r="K798" s="178">
        <f>FME_Ranking1[[#This Row],[Structures 100  Score (Normalized, Unweighted)]]*$I$3</f>
        <v>5.2772779848348536E-2</v>
      </c>
      <c r="L798" s="246">
        <f>_xlfn.XLOOKUP(FME_Ranking1[[#This Row],[FME ID]],FME_Input[FME_ID],FME_Input[RES_STRUCT100])</f>
        <v>99</v>
      </c>
      <c r="M798" s="230">
        <f>(FME_Ranking1[[#This Row],[Res Structures Raw]]/L$2)*100</f>
        <v>7.0122253545069485E-2</v>
      </c>
      <c r="N798" s="180">
        <f>FME_Ranking1[[#This Row],[Res Structures Score (Normalized, Unweighted)]]*$L$3</f>
        <v>7.0122253545069485E-3</v>
      </c>
      <c r="O798" s="244">
        <f>_xlfn.XLOOKUP(FME_Ranking1[[#This Row],[FME ID]],FME_Input[FME_ID],FME_Input[POP100])</f>
        <v>709</v>
      </c>
      <c r="P798" s="178">
        <f>(FME_Ranking1[[#This Row],[Pop Raw]]/$O$2)*100</f>
        <v>7.2584096200033171E-2</v>
      </c>
      <c r="Q798" s="178">
        <f>FME_Ranking1[[#This Row],[Pop Score (Normalized, Unweighted)]]*$O$3</f>
        <v>1.0887614430004975E-2</v>
      </c>
      <c r="R798" s="137">
        <f>_xlfn.XLOOKUP(FME_Ranking1[[#This Row],[FME ID]],FME_Input[FME_ID],FME_Input[CRITFAC100])</f>
        <v>1</v>
      </c>
      <c r="S798" s="230">
        <f>(FME_Ranking1[[#This Row],[Critical Facilities Raw]]/$R$2)*100</f>
        <v>4.2881646655231559E-2</v>
      </c>
      <c r="T798" s="180">
        <f>FME_Ranking1[[#This Row],[Critical Facilities Score (Normalized, Unweighted)]]*$R$3</f>
        <v>8.5763293310463125E-3</v>
      </c>
      <c r="U798">
        <f>_xlfn.XLOOKUP(FME_Ranking1[[#This Row],[FME ID]],FME_Input[FME_ID],FME_Input[LWC])</f>
        <v>2</v>
      </c>
      <c r="V798" s="178">
        <f>(FME_Ranking1[[#This Row],[LWC Raw]]/$U$2)*100</f>
        <v>0.11514104778353484</v>
      </c>
      <c r="W798" s="178">
        <f>FME_Ranking1[[#This Row],[LWC Score (Normalized, Unweighted)]]*$U$3</f>
        <v>2.302820955670697E-2</v>
      </c>
      <c r="X798" s="246">
        <f>_xlfn.XLOOKUP(FME_Ranking1[[#This Row],[FME ID]],FME_Input[FME_ID],FME_Input[ROADCLS])</f>
        <v>0</v>
      </c>
      <c r="Y798" s="230">
        <f>(FME_Ranking1[[#This Row],[Closures Raw]]/$X$2)*100</f>
        <v>0</v>
      </c>
      <c r="Z798" s="180">
        <f>FME_Ranking1[[#This Row],[Closures Score (Normalized, Unweighted)]]*$X$3</f>
        <v>0</v>
      </c>
      <c r="AA798" s="253">
        <f>_xlfn.XLOOKUP(FME_Ranking1[[#This Row],[FME ID]],FME_Input[FME_ID],FME_Input[ROAD_MILES100])</f>
        <v>64.184860229492188</v>
      </c>
      <c r="AB798" s="178">
        <f>(FME_Ranking1[[#This Row],[Miles Raw]]/$AA$2)*100</f>
        <v>0.84391579106652559</v>
      </c>
      <c r="AC798" s="178">
        <f>FME_Ranking1[[#This Row],[Miles Score (Normalized, Unweighted)]]*$AA$3</f>
        <v>8.439157910665257E-2</v>
      </c>
      <c r="AD798" s="255">
        <f>_xlfn.XLOOKUP(FME_Ranking1[[#This Row],[FME ID]],FME_Input[FME_ID],FME_Input[FARMACRE100])</f>
        <v>28369.01171875</v>
      </c>
      <c r="AE798" s="230">
        <f>(FME_Ranking1[[#This Row],[Ag Land Raw]]/$AD$2)*100</f>
        <v>1.1698110492956251</v>
      </c>
      <c r="AF798" s="231">
        <f>FME_Ranking1[[#This Row],[Ag Land Score (Normalized, Unweighted)]]*$AD$3</f>
        <v>5.8490552464781256E-2</v>
      </c>
      <c r="AG79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0.24515929009204757</v>
      </c>
      <c r="AH798" s="406">
        <f t="shared" si="12"/>
        <v>704</v>
      </c>
      <c r="AI79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0.24515929009204757</v>
      </c>
      <c r="AJ798" s="257">
        <f>FME_Ranking1[[#This Row],[Addition check]]-FME_Ranking1[[#This Row],[Weighted Score Based on Normalized Reported Factors]]</f>
        <v>0</v>
      </c>
      <c r="AK798" s="178">
        <f>_xlfn.RANK.EQ(AI798,$AI$6:$AI$2341,0)+COUNTIF($AI$6:AI798,AI798)-1</f>
        <v>705</v>
      </c>
    </row>
    <row r="799" spans="1:37" x14ac:dyDescent="0.25">
      <c r="A799" t="s">
        <v>6538</v>
      </c>
      <c r="B799">
        <f>_xlfn.XLOOKUP(FME_Ranking1[[#This Row],[FME ID]],FME_Input[FME_ID],FME_Input[RFPG_NUM])</f>
        <v>7</v>
      </c>
      <c r="C799" t="str">
        <f>_xlfn.XLOOKUP(FME_Ranking1[[#This Row],[FME ID]],FME_Input[FME_ID],FME_Input[FME_NAME])</f>
        <v>Stephens County GIS Development</v>
      </c>
      <c r="D799" t="str">
        <f>_xlfn.XLOOKUP(FME_Ranking1[[#This Row],[FME ID]],FME_Input[FME_ID],FME_Input[DESCR])</f>
        <v>Develop a GIS inventory of stormwater infrastructure</v>
      </c>
      <c r="E799" s="256">
        <f>_xlfn.XLOOKUP(FME_Ranking1[[#This Row],[FME ID]],FME_Input[FME_ID],FME_Input[FME_COST])</f>
        <v>100000</v>
      </c>
      <c r="F799" t="str">
        <f>_xlfn.XLOOKUP(FME_Ranking1[[#This Row],[FME ID]],FME_Input[FME_ID],FME_Input[EMER_NEED])</f>
        <v>No</v>
      </c>
      <c r="G799">
        <f>IF(FME_Ranking!F799="Yes",100,0)</f>
        <v>0</v>
      </c>
      <c r="H799">
        <f>FME_Ranking1[[#This Row],[Emergency Need Score (Normalized, Unweighted)]]*$F$3</f>
        <v>0</v>
      </c>
      <c r="I799" s="246">
        <f>_xlfn.XLOOKUP(FME_Ranking1[[#This Row],[FME ID]],FME_Input[FME_ID],FME_Input[STRUCT_100])</f>
        <v>657</v>
      </c>
      <c r="J799" s="178">
        <f>(FME_Ranking1[[#This Row],[Structures 100 Raw]]/I$2)*100</f>
        <v>0.35181853232232357</v>
      </c>
      <c r="K799" s="178">
        <f>FME_Ranking1[[#This Row],[Structures 100  Score (Normalized, Unweighted)]]*$I$3</f>
        <v>5.2772779848348536E-2</v>
      </c>
      <c r="L799" s="246">
        <f>_xlfn.XLOOKUP(FME_Ranking1[[#This Row],[FME ID]],FME_Input[FME_ID],FME_Input[RES_STRUCT100])</f>
        <v>99</v>
      </c>
      <c r="M799" s="230">
        <f>(FME_Ranking1[[#This Row],[Res Structures Raw]]/L$2)*100</f>
        <v>7.0122253545069485E-2</v>
      </c>
      <c r="N799" s="180">
        <f>FME_Ranking1[[#This Row],[Res Structures Score (Normalized, Unweighted)]]*$L$3</f>
        <v>7.0122253545069485E-3</v>
      </c>
      <c r="O799" s="244">
        <f>_xlfn.XLOOKUP(FME_Ranking1[[#This Row],[FME ID]],FME_Input[FME_ID],FME_Input[POP100])</f>
        <v>709</v>
      </c>
      <c r="P799" s="178">
        <f>(FME_Ranking1[[#This Row],[Pop Raw]]/$O$2)*100</f>
        <v>7.2584096200033171E-2</v>
      </c>
      <c r="Q799" s="178">
        <f>FME_Ranking1[[#This Row],[Pop Score (Normalized, Unweighted)]]*$O$3</f>
        <v>1.0887614430004975E-2</v>
      </c>
      <c r="R799" s="137">
        <f>_xlfn.XLOOKUP(FME_Ranking1[[#This Row],[FME ID]],FME_Input[FME_ID],FME_Input[CRITFAC100])</f>
        <v>1</v>
      </c>
      <c r="S799" s="230">
        <f>(FME_Ranking1[[#This Row],[Critical Facilities Raw]]/$R$2)*100</f>
        <v>4.2881646655231559E-2</v>
      </c>
      <c r="T799" s="180">
        <f>FME_Ranking1[[#This Row],[Critical Facilities Score (Normalized, Unweighted)]]*$R$3</f>
        <v>8.5763293310463125E-3</v>
      </c>
      <c r="U799">
        <f>_xlfn.XLOOKUP(FME_Ranking1[[#This Row],[FME ID]],FME_Input[FME_ID],FME_Input[LWC])</f>
        <v>2</v>
      </c>
      <c r="V799" s="178">
        <f>(FME_Ranking1[[#This Row],[LWC Raw]]/$U$2)*100</f>
        <v>0.11514104778353484</v>
      </c>
      <c r="W799" s="178">
        <f>FME_Ranking1[[#This Row],[LWC Score (Normalized, Unweighted)]]*$U$3</f>
        <v>2.302820955670697E-2</v>
      </c>
      <c r="X799" s="246">
        <f>_xlfn.XLOOKUP(FME_Ranking1[[#This Row],[FME ID]],FME_Input[FME_ID],FME_Input[ROADCLS])</f>
        <v>0</v>
      </c>
      <c r="Y799" s="230">
        <f>(FME_Ranking1[[#This Row],[Closures Raw]]/$X$2)*100</f>
        <v>0</v>
      </c>
      <c r="Z799" s="180">
        <f>FME_Ranking1[[#This Row],[Closures Score (Normalized, Unweighted)]]*$X$3</f>
        <v>0</v>
      </c>
      <c r="AA799" s="253">
        <f>_xlfn.XLOOKUP(FME_Ranking1[[#This Row],[FME ID]],FME_Input[FME_ID],FME_Input[ROAD_MILES100])</f>
        <v>64.184860229492188</v>
      </c>
      <c r="AB799" s="178">
        <f>(FME_Ranking1[[#This Row],[Miles Raw]]/$AA$2)*100</f>
        <v>0.84391579106652559</v>
      </c>
      <c r="AC799" s="178">
        <f>FME_Ranking1[[#This Row],[Miles Score (Normalized, Unweighted)]]*$AA$3</f>
        <v>8.439157910665257E-2</v>
      </c>
      <c r="AD799" s="255">
        <f>_xlfn.XLOOKUP(FME_Ranking1[[#This Row],[FME ID]],FME_Input[FME_ID],FME_Input[FARMACRE100])</f>
        <v>28369.01171875</v>
      </c>
      <c r="AE799" s="230">
        <f>(FME_Ranking1[[#This Row],[Ag Land Raw]]/$AD$2)*100</f>
        <v>1.1698110492956251</v>
      </c>
      <c r="AF799" s="231">
        <f>FME_Ranking1[[#This Row],[Ag Land Score (Normalized, Unweighted)]]*$AD$3</f>
        <v>5.8490552464781256E-2</v>
      </c>
      <c r="AG79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0.24515929009204757</v>
      </c>
      <c r="AH799" s="406">
        <f t="shared" si="12"/>
        <v>704</v>
      </c>
      <c r="AI79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0.24515929009204757</v>
      </c>
      <c r="AJ799" s="257">
        <f>FME_Ranking1[[#This Row],[Addition check]]-FME_Ranking1[[#This Row],[Weighted Score Based on Normalized Reported Factors]]</f>
        <v>0</v>
      </c>
      <c r="AK799" s="178">
        <f>_xlfn.RANK.EQ(AI799,$AI$6:$AI$2341,0)+COUNTIF($AI$6:AI799,AI799)-1</f>
        <v>706</v>
      </c>
    </row>
    <row r="800" spans="1:37" x14ac:dyDescent="0.25">
      <c r="A800" t="s">
        <v>7189</v>
      </c>
      <c r="B800">
        <f>_xlfn.XLOOKUP(FME_Ranking1[[#This Row],[FME ID]],FME_Input[FME_ID],FME_Input[RFPG_NUM])</f>
        <v>7</v>
      </c>
      <c r="C800" t="str">
        <f>_xlfn.XLOOKUP(FME_Ranking1[[#This Row],[FME ID]],FME_Input[FME_ID],FME_Input[FME_NAME])</f>
        <v>Stephens County Buyout Program</v>
      </c>
      <c r="D800" t="str">
        <f>_xlfn.XLOOKUP(FME_Ranking1[[#This Row],[FME ID]],FME_Input[FME_ID],FME_Input[DESCR])</f>
        <v>Develop a land acquisition program in flood hazard areas.</v>
      </c>
      <c r="E800" s="256">
        <f>_xlfn.XLOOKUP(FME_Ranking1[[#This Row],[FME ID]],FME_Input[FME_ID],FME_Input[FME_COST])</f>
        <v>1000000</v>
      </c>
      <c r="F800" t="str">
        <f>_xlfn.XLOOKUP(FME_Ranking1[[#This Row],[FME ID]],FME_Input[FME_ID],FME_Input[EMER_NEED])</f>
        <v>No</v>
      </c>
      <c r="G800">
        <f>IF(FME_Ranking!F800="Yes",100,0)</f>
        <v>0</v>
      </c>
      <c r="H800">
        <f>FME_Ranking1[[#This Row],[Emergency Need Score (Normalized, Unweighted)]]*$F$3</f>
        <v>0</v>
      </c>
      <c r="I800" s="246">
        <f>_xlfn.XLOOKUP(FME_Ranking1[[#This Row],[FME ID]],FME_Input[FME_ID],FME_Input[STRUCT_100])</f>
        <v>657</v>
      </c>
      <c r="J800" s="178">
        <f>(FME_Ranking1[[#This Row],[Structures 100 Raw]]/I$2)*100</f>
        <v>0.35181853232232357</v>
      </c>
      <c r="K800" s="178">
        <f>FME_Ranking1[[#This Row],[Structures 100  Score (Normalized, Unweighted)]]*$I$3</f>
        <v>5.2772779848348536E-2</v>
      </c>
      <c r="L800" s="246">
        <f>_xlfn.XLOOKUP(FME_Ranking1[[#This Row],[FME ID]],FME_Input[FME_ID],FME_Input[RES_STRUCT100])</f>
        <v>99</v>
      </c>
      <c r="M800" s="230">
        <f>(FME_Ranking1[[#This Row],[Res Structures Raw]]/L$2)*100</f>
        <v>7.0122253545069485E-2</v>
      </c>
      <c r="N800" s="180">
        <f>FME_Ranking1[[#This Row],[Res Structures Score (Normalized, Unweighted)]]*$L$3</f>
        <v>7.0122253545069485E-3</v>
      </c>
      <c r="O800" s="244">
        <f>_xlfn.XLOOKUP(FME_Ranking1[[#This Row],[FME ID]],FME_Input[FME_ID],FME_Input[POP100])</f>
        <v>709</v>
      </c>
      <c r="P800" s="178">
        <f>(FME_Ranking1[[#This Row],[Pop Raw]]/$O$2)*100</f>
        <v>7.2584096200033171E-2</v>
      </c>
      <c r="Q800" s="178">
        <f>FME_Ranking1[[#This Row],[Pop Score (Normalized, Unweighted)]]*$O$3</f>
        <v>1.0887614430004975E-2</v>
      </c>
      <c r="R800" s="137">
        <f>_xlfn.XLOOKUP(FME_Ranking1[[#This Row],[FME ID]],FME_Input[FME_ID],FME_Input[CRITFAC100])</f>
        <v>1</v>
      </c>
      <c r="S800" s="230">
        <f>(FME_Ranking1[[#This Row],[Critical Facilities Raw]]/$R$2)*100</f>
        <v>4.2881646655231559E-2</v>
      </c>
      <c r="T800" s="180">
        <f>FME_Ranking1[[#This Row],[Critical Facilities Score (Normalized, Unweighted)]]*$R$3</f>
        <v>8.5763293310463125E-3</v>
      </c>
      <c r="U800">
        <f>_xlfn.XLOOKUP(FME_Ranking1[[#This Row],[FME ID]],FME_Input[FME_ID],FME_Input[LWC])</f>
        <v>2</v>
      </c>
      <c r="V800" s="178">
        <f>(FME_Ranking1[[#This Row],[LWC Raw]]/$U$2)*100</f>
        <v>0.11514104778353484</v>
      </c>
      <c r="W800" s="178">
        <f>FME_Ranking1[[#This Row],[LWC Score (Normalized, Unweighted)]]*$U$3</f>
        <v>2.302820955670697E-2</v>
      </c>
      <c r="X800" s="246">
        <f>_xlfn.XLOOKUP(FME_Ranking1[[#This Row],[FME ID]],FME_Input[FME_ID],FME_Input[ROADCLS])</f>
        <v>0</v>
      </c>
      <c r="Y800" s="230">
        <f>(FME_Ranking1[[#This Row],[Closures Raw]]/$X$2)*100</f>
        <v>0</v>
      </c>
      <c r="Z800" s="180">
        <f>FME_Ranking1[[#This Row],[Closures Score (Normalized, Unweighted)]]*$X$3</f>
        <v>0</v>
      </c>
      <c r="AA800" s="253">
        <f>_xlfn.XLOOKUP(FME_Ranking1[[#This Row],[FME ID]],FME_Input[FME_ID],FME_Input[ROAD_MILES100])</f>
        <v>64.184860229492188</v>
      </c>
      <c r="AB800" s="178">
        <f>(FME_Ranking1[[#This Row],[Miles Raw]]/$AA$2)*100</f>
        <v>0.84391579106652559</v>
      </c>
      <c r="AC800" s="178">
        <f>FME_Ranking1[[#This Row],[Miles Score (Normalized, Unweighted)]]*$AA$3</f>
        <v>8.439157910665257E-2</v>
      </c>
      <c r="AD800" s="255">
        <f>_xlfn.XLOOKUP(FME_Ranking1[[#This Row],[FME ID]],FME_Input[FME_ID],FME_Input[FARMACRE100])</f>
        <v>28369.01171875</v>
      </c>
      <c r="AE800" s="230">
        <f>(FME_Ranking1[[#This Row],[Ag Land Raw]]/$AD$2)*100</f>
        <v>1.1698110492956251</v>
      </c>
      <c r="AF800" s="231">
        <f>FME_Ranking1[[#This Row],[Ag Land Score (Normalized, Unweighted)]]*$AD$3</f>
        <v>5.8490552464781256E-2</v>
      </c>
      <c r="AG80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0.24515929009204757</v>
      </c>
      <c r="AH800" s="406">
        <f t="shared" si="12"/>
        <v>704</v>
      </c>
      <c r="AI80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0.24515929009204757</v>
      </c>
      <c r="AJ800" s="257">
        <f>FME_Ranking1[[#This Row],[Addition check]]-FME_Ranking1[[#This Row],[Weighted Score Based on Normalized Reported Factors]]</f>
        <v>0</v>
      </c>
      <c r="AK800" s="178">
        <f>_xlfn.RANK.EQ(AI800,$AI$6:$AI$2341,0)+COUNTIF($AI$6:AI800,AI800)-1</f>
        <v>707</v>
      </c>
    </row>
    <row r="801" spans="1:37" x14ac:dyDescent="0.25">
      <c r="A801" t="s">
        <v>7191</v>
      </c>
      <c r="B801">
        <f>_xlfn.XLOOKUP(FME_Ranking1[[#This Row],[FME ID]],FME_Input[FME_ID],FME_Input[RFPG_NUM])</f>
        <v>7</v>
      </c>
      <c r="C801" t="str">
        <f>_xlfn.XLOOKUP(FME_Ranking1[[#This Row],[FME ID]],FME_Input[FME_ID],FME_Input[FME_NAME])</f>
        <v>Stephens County DCM</v>
      </c>
      <c r="D801" t="str">
        <f>_xlfn.XLOOKUP(FME_Ranking1[[#This Row],[FME ID]],FME_Input[FME_ID],FME_Input[DESCR])</f>
        <v>Consider stormwater criteria for infrastructure and floodplain ordinances to avoid new exposure to flood hazards.</v>
      </c>
      <c r="E801" s="256">
        <f>_xlfn.XLOOKUP(FME_Ranking1[[#This Row],[FME ID]],FME_Input[FME_ID],FME_Input[FME_COST])</f>
        <v>100000</v>
      </c>
      <c r="F801" t="str">
        <f>_xlfn.XLOOKUP(FME_Ranking1[[#This Row],[FME ID]],FME_Input[FME_ID],FME_Input[EMER_NEED])</f>
        <v>No</v>
      </c>
      <c r="G801">
        <f>IF(FME_Ranking!F801="Yes",100,0)</f>
        <v>0</v>
      </c>
      <c r="H801">
        <f>FME_Ranking1[[#This Row],[Emergency Need Score (Normalized, Unweighted)]]*$F$3</f>
        <v>0</v>
      </c>
      <c r="I801" s="246">
        <f>_xlfn.XLOOKUP(FME_Ranking1[[#This Row],[FME ID]],FME_Input[FME_ID],FME_Input[STRUCT_100])</f>
        <v>657</v>
      </c>
      <c r="J801" s="178">
        <f>(FME_Ranking1[[#This Row],[Structures 100 Raw]]/I$2)*100</f>
        <v>0.35181853232232357</v>
      </c>
      <c r="K801" s="178">
        <f>FME_Ranking1[[#This Row],[Structures 100  Score (Normalized, Unweighted)]]*$I$3</f>
        <v>5.2772779848348536E-2</v>
      </c>
      <c r="L801" s="246">
        <f>_xlfn.XLOOKUP(FME_Ranking1[[#This Row],[FME ID]],FME_Input[FME_ID],FME_Input[RES_STRUCT100])</f>
        <v>99</v>
      </c>
      <c r="M801" s="230">
        <f>(FME_Ranking1[[#This Row],[Res Structures Raw]]/L$2)*100</f>
        <v>7.0122253545069485E-2</v>
      </c>
      <c r="N801" s="180">
        <f>FME_Ranking1[[#This Row],[Res Structures Score (Normalized, Unweighted)]]*$L$3</f>
        <v>7.0122253545069485E-3</v>
      </c>
      <c r="O801" s="244">
        <f>_xlfn.XLOOKUP(FME_Ranking1[[#This Row],[FME ID]],FME_Input[FME_ID],FME_Input[POP100])</f>
        <v>709</v>
      </c>
      <c r="P801" s="178">
        <f>(FME_Ranking1[[#This Row],[Pop Raw]]/$O$2)*100</f>
        <v>7.2584096200033171E-2</v>
      </c>
      <c r="Q801" s="178">
        <f>FME_Ranking1[[#This Row],[Pop Score (Normalized, Unweighted)]]*$O$3</f>
        <v>1.0887614430004975E-2</v>
      </c>
      <c r="R801" s="137">
        <f>_xlfn.XLOOKUP(FME_Ranking1[[#This Row],[FME ID]],FME_Input[FME_ID],FME_Input[CRITFAC100])</f>
        <v>1</v>
      </c>
      <c r="S801" s="230">
        <f>(FME_Ranking1[[#This Row],[Critical Facilities Raw]]/$R$2)*100</f>
        <v>4.2881646655231559E-2</v>
      </c>
      <c r="T801" s="180">
        <f>FME_Ranking1[[#This Row],[Critical Facilities Score (Normalized, Unweighted)]]*$R$3</f>
        <v>8.5763293310463125E-3</v>
      </c>
      <c r="U801">
        <f>_xlfn.XLOOKUP(FME_Ranking1[[#This Row],[FME ID]],FME_Input[FME_ID],FME_Input[LWC])</f>
        <v>2</v>
      </c>
      <c r="V801" s="178">
        <f>(FME_Ranking1[[#This Row],[LWC Raw]]/$U$2)*100</f>
        <v>0.11514104778353484</v>
      </c>
      <c r="W801" s="178">
        <f>FME_Ranking1[[#This Row],[LWC Score (Normalized, Unweighted)]]*$U$3</f>
        <v>2.302820955670697E-2</v>
      </c>
      <c r="X801" s="246">
        <f>_xlfn.XLOOKUP(FME_Ranking1[[#This Row],[FME ID]],FME_Input[FME_ID],FME_Input[ROADCLS])</f>
        <v>0</v>
      </c>
      <c r="Y801" s="230">
        <f>(FME_Ranking1[[#This Row],[Closures Raw]]/$X$2)*100</f>
        <v>0</v>
      </c>
      <c r="Z801" s="180">
        <f>FME_Ranking1[[#This Row],[Closures Score (Normalized, Unweighted)]]*$X$3</f>
        <v>0</v>
      </c>
      <c r="AA801" s="253">
        <f>_xlfn.XLOOKUP(FME_Ranking1[[#This Row],[FME ID]],FME_Input[FME_ID],FME_Input[ROAD_MILES100])</f>
        <v>64.184860229492188</v>
      </c>
      <c r="AB801" s="178">
        <f>(FME_Ranking1[[#This Row],[Miles Raw]]/$AA$2)*100</f>
        <v>0.84391579106652559</v>
      </c>
      <c r="AC801" s="178">
        <f>FME_Ranking1[[#This Row],[Miles Score (Normalized, Unweighted)]]*$AA$3</f>
        <v>8.439157910665257E-2</v>
      </c>
      <c r="AD801" s="255">
        <f>_xlfn.XLOOKUP(FME_Ranking1[[#This Row],[FME ID]],FME_Input[FME_ID],FME_Input[FARMACRE100])</f>
        <v>28369.01171875</v>
      </c>
      <c r="AE801" s="230">
        <f>(FME_Ranking1[[#This Row],[Ag Land Raw]]/$AD$2)*100</f>
        <v>1.1698110492956251</v>
      </c>
      <c r="AF801" s="231">
        <f>FME_Ranking1[[#This Row],[Ag Land Score (Normalized, Unweighted)]]*$AD$3</f>
        <v>5.8490552464781256E-2</v>
      </c>
      <c r="AG80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0.24515929009204757</v>
      </c>
      <c r="AH801" s="406">
        <f t="shared" si="12"/>
        <v>704</v>
      </c>
      <c r="AI80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0.24515929009204757</v>
      </c>
      <c r="AJ801" s="257">
        <f>FME_Ranking1[[#This Row],[Addition check]]-FME_Ranking1[[#This Row],[Weighted Score Based on Normalized Reported Factors]]</f>
        <v>0</v>
      </c>
      <c r="AK801" s="178">
        <f>_xlfn.RANK.EQ(AI801,$AI$6:$AI$2341,0)+COUNTIF($AI$6:AI801,AI801)-1</f>
        <v>708</v>
      </c>
    </row>
    <row r="802" spans="1:37" x14ac:dyDescent="0.25">
      <c r="A802" t="s">
        <v>7193</v>
      </c>
      <c r="B802">
        <f>_xlfn.XLOOKUP(FME_Ranking1[[#This Row],[FME ID]],FME_Input[FME_ID],FME_Input[RFPG_NUM])</f>
        <v>7</v>
      </c>
      <c r="C802" t="str">
        <f>_xlfn.XLOOKUP(FME_Ranking1[[#This Row],[FME ID]],FME_Input[FME_ID],FME_Input[FME_NAME])</f>
        <v>Stephens Flood Protection Lift Station Program</v>
      </c>
      <c r="D802" t="str">
        <f>_xlfn.XLOOKUP(FME_Ranking1[[#This Row],[FME ID]],FME_Input[FME_ID],FME_Input[DESCR])</f>
        <v>Flood-proof sewage treatment plants in flood hazard / low-lying areas.</v>
      </c>
      <c r="E802" s="256">
        <f>_xlfn.XLOOKUP(FME_Ranking1[[#This Row],[FME ID]],FME_Input[FME_ID],FME_Input[FME_COST])</f>
        <v>100000</v>
      </c>
      <c r="F802" t="str">
        <f>_xlfn.XLOOKUP(FME_Ranking1[[#This Row],[FME ID]],FME_Input[FME_ID],FME_Input[EMER_NEED])</f>
        <v>No</v>
      </c>
      <c r="G802">
        <f>IF(FME_Ranking!F802="Yes",100,0)</f>
        <v>0</v>
      </c>
      <c r="H802">
        <f>FME_Ranking1[[#This Row],[Emergency Need Score (Normalized, Unweighted)]]*$F$3</f>
        <v>0</v>
      </c>
      <c r="I802" s="246">
        <f>_xlfn.XLOOKUP(FME_Ranking1[[#This Row],[FME ID]],FME_Input[FME_ID],FME_Input[STRUCT_100])</f>
        <v>657</v>
      </c>
      <c r="J802" s="178">
        <f>(FME_Ranking1[[#This Row],[Structures 100 Raw]]/I$2)*100</f>
        <v>0.35181853232232357</v>
      </c>
      <c r="K802" s="178">
        <f>FME_Ranking1[[#This Row],[Structures 100  Score (Normalized, Unweighted)]]*$I$3</f>
        <v>5.2772779848348536E-2</v>
      </c>
      <c r="L802" s="246">
        <f>_xlfn.XLOOKUP(FME_Ranking1[[#This Row],[FME ID]],FME_Input[FME_ID],FME_Input[RES_STRUCT100])</f>
        <v>99</v>
      </c>
      <c r="M802" s="230">
        <f>(FME_Ranking1[[#This Row],[Res Structures Raw]]/L$2)*100</f>
        <v>7.0122253545069485E-2</v>
      </c>
      <c r="N802" s="180">
        <f>FME_Ranking1[[#This Row],[Res Structures Score (Normalized, Unweighted)]]*$L$3</f>
        <v>7.0122253545069485E-3</v>
      </c>
      <c r="O802" s="244">
        <f>_xlfn.XLOOKUP(FME_Ranking1[[#This Row],[FME ID]],FME_Input[FME_ID],FME_Input[POP100])</f>
        <v>709</v>
      </c>
      <c r="P802" s="178">
        <f>(FME_Ranking1[[#This Row],[Pop Raw]]/$O$2)*100</f>
        <v>7.2584096200033171E-2</v>
      </c>
      <c r="Q802" s="178">
        <f>FME_Ranking1[[#This Row],[Pop Score (Normalized, Unweighted)]]*$O$3</f>
        <v>1.0887614430004975E-2</v>
      </c>
      <c r="R802" s="137">
        <f>_xlfn.XLOOKUP(FME_Ranking1[[#This Row],[FME ID]],FME_Input[FME_ID],FME_Input[CRITFAC100])</f>
        <v>1</v>
      </c>
      <c r="S802" s="230">
        <f>(FME_Ranking1[[#This Row],[Critical Facilities Raw]]/$R$2)*100</f>
        <v>4.2881646655231559E-2</v>
      </c>
      <c r="T802" s="180">
        <f>FME_Ranking1[[#This Row],[Critical Facilities Score (Normalized, Unweighted)]]*$R$3</f>
        <v>8.5763293310463125E-3</v>
      </c>
      <c r="U802">
        <f>_xlfn.XLOOKUP(FME_Ranking1[[#This Row],[FME ID]],FME_Input[FME_ID],FME_Input[LWC])</f>
        <v>2</v>
      </c>
      <c r="V802" s="178">
        <f>(FME_Ranking1[[#This Row],[LWC Raw]]/$U$2)*100</f>
        <v>0.11514104778353484</v>
      </c>
      <c r="W802" s="178">
        <f>FME_Ranking1[[#This Row],[LWC Score (Normalized, Unweighted)]]*$U$3</f>
        <v>2.302820955670697E-2</v>
      </c>
      <c r="X802" s="246">
        <f>_xlfn.XLOOKUP(FME_Ranking1[[#This Row],[FME ID]],FME_Input[FME_ID],FME_Input[ROADCLS])</f>
        <v>0</v>
      </c>
      <c r="Y802" s="230">
        <f>(FME_Ranking1[[#This Row],[Closures Raw]]/$X$2)*100</f>
        <v>0</v>
      </c>
      <c r="Z802" s="180">
        <f>FME_Ranking1[[#This Row],[Closures Score (Normalized, Unweighted)]]*$X$3</f>
        <v>0</v>
      </c>
      <c r="AA802" s="253">
        <f>_xlfn.XLOOKUP(FME_Ranking1[[#This Row],[FME ID]],FME_Input[FME_ID],FME_Input[ROAD_MILES100])</f>
        <v>64.184860229492188</v>
      </c>
      <c r="AB802" s="178">
        <f>(FME_Ranking1[[#This Row],[Miles Raw]]/$AA$2)*100</f>
        <v>0.84391579106652559</v>
      </c>
      <c r="AC802" s="178">
        <f>FME_Ranking1[[#This Row],[Miles Score (Normalized, Unweighted)]]*$AA$3</f>
        <v>8.439157910665257E-2</v>
      </c>
      <c r="AD802" s="255">
        <f>_xlfn.XLOOKUP(FME_Ranking1[[#This Row],[FME ID]],FME_Input[FME_ID],FME_Input[FARMACRE100])</f>
        <v>28369.01171875</v>
      </c>
      <c r="AE802" s="230">
        <f>(FME_Ranking1[[#This Row],[Ag Land Raw]]/$AD$2)*100</f>
        <v>1.1698110492956251</v>
      </c>
      <c r="AF802" s="231">
        <f>FME_Ranking1[[#This Row],[Ag Land Score (Normalized, Unweighted)]]*$AD$3</f>
        <v>5.8490552464781256E-2</v>
      </c>
      <c r="AG80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0.24515929009204757</v>
      </c>
      <c r="AH802" s="406">
        <f t="shared" si="12"/>
        <v>704</v>
      </c>
      <c r="AI80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0.24515929009204757</v>
      </c>
      <c r="AJ802" s="257">
        <f>FME_Ranking1[[#This Row],[Addition check]]-FME_Ranking1[[#This Row],[Weighted Score Based on Normalized Reported Factors]]</f>
        <v>0</v>
      </c>
      <c r="AK802" s="178">
        <f>_xlfn.RANK.EQ(AI802,$AI$6:$AI$2341,0)+COUNTIF($AI$6:AI802,AI802)-1</f>
        <v>709</v>
      </c>
    </row>
    <row r="803" spans="1:37" x14ac:dyDescent="0.25">
      <c r="A803" t="s">
        <v>7196</v>
      </c>
      <c r="B803">
        <f>_xlfn.XLOOKUP(FME_Ranking1[[#This Row],[FME ID]],FME_Input[FME_ID],FME_Input[RFPG_NUM])</f>
        <v>7</v>
      </c>
      <c r="C803" t="str">
        <f>_xlfn.XLOOKUP(FME_Ranking1[[#This Row],[FME ID]],FME_Input[FME_ID],FME_Input[FME_NAME])</f>
        <v>Stephens County Stream Restoration Program</v>
      </c>
      <c r="D803" t="str">
        <f>_xlfn.XLOOKUP(FME_Ranking1[[#This Row],[FME ID]],FME_Input[FME_ID],FME_Input[DESCR])</f>
        <v>Implement stream restoration / channelization program to ensure adequate drainage / diversion of stormwater.</v>
      </c>
      <c r="E803" s="256">
        <f>_xlfn.XLOOKUP(FME_Ranking1[[#This Row],[FME ID]],FME_Input[FME_ID],FME_Input[FME_COST])</f>
        <v>500000</v>
      </c>
      <c r="F803" t="str">
        <f>_xlfn.XLOOKUP(FME_Ranking1[[#This Row],[FME ID]],FME_Input[FME_ID],FME_Input[EMER_NEED])</f>
        <v>No</v>
      </c>
      <c r="G803">
        <f>IF(FME_Ranking!F803="Yes",100,0)</f>
        <v>0</v>
      </c>
      <c r="H803">
        <f>FME_Ranking1[[#This Row],[Emergency Need Score (Normalized, Unweighted)]]*$F$3</f>
        <v>0</v>
      </c>
      <c r="I803" s="246">
        <f>_xlfn.XLOOKUP(FME_Ranking1[[#This Row],[FME ID]],FME_Input[FME_ID],FME_Input[STRUCT_100])</f>
        <v>657</v>
      </c>
      <c r="J803" s="178">
        <f>(FME_Ranking1[[#This Row],[Structures 100 Raw]]/I$2)*100</f>
        <v>0.35181853232232357</v>
      </c>
      <c r="K803" s="178">
        <f>FME_Ranking1[[#This Row],[Structures 100  Score (Normalized, Unweighted)]]*$I$3</f>
        <v>5.2772779848348536E-2</v>
      </c>
      <c r="L803" s="246">
        <f>_xlfn.XLOOKUP(FME_Ranking1[[#This Row],[FME ID]],FME_Input[FME_ID],FME_Input[RES_STRUCT100])</f>
        <v>99</v>
      </c>
      <c r="M803" s="230">
        <f>(FME_Ranking1[[#This Row],[Res Structures Raw]]/L$2)*100</f>
        <v>7.0122253545069485E-2</v>
      </c>
      <c r="N803" s="180">
        <f>FME_Ranking1[[#This Row],[Res Structures Score (Normalized, Unweighted)]]*$L$3</f>
        <v>7.0122253545069485E-3</v>
      </c>
      <c r="O803" s="244">
        <f>_xlfn.XLOOKUP(FME_Ranking1[[#This Row],[FME ID]],FME_Input[FME_ID],FME_Input[POP100])</f>
        <v>709</v>
      </c>
      <c r="P803" s="178">
        <f>(FME_Ranking1[[#This Row],[Pop Raw]]/$O$2)*100</f>
        <v>7.2584096200033171E-2</v>
      </c>
      <c r="Q803" s="178">
        <f>FME_Ranking1[[#This Row],[Pop Score (Normalized, Unweighted)]]*$O$3</f>
        <v>1.0887614430004975E-2</v>
      </c>
      <c r="R803" s="137">
        <f>_xlfn.XLOOKUP(FME_Ranking1[[#This Row],[FME ID]],FME_Input[FME_ID],FME_Input[CRITFAC100])</f>
        <v>1</v>
      </c>
      <c r="S803" s="230">
        <f>(FME_Ranking1[[#This Row],[Critical Facilities Raw]]/$R$2)*100</f>
        <v>4.2881646655231559E-2</v>
      </c>
      <c r="T803" s="180">
        <f>FME_Ranking1[[#This Row],[Critical Facilities Score (Normalized, Unweighted)]]*$R$3</f>
        <v>8.5763293310463125E-3</v>
      </c>
      <c r="U803">
        <f>_xlfn.XLOOKUP(FME_Ranking1[[#This Row],[FME ID]],FME_Input[FME_ID],FME_Input[LWC])</f>
        <v>2</v>
      </c>
      <c r="V803" s="178">
        <f>(FME_Ranking1[[#This Row],[LWC Raw]]/$U$2)*100</f>
        <v>0.11514104778353484</v>
      </c>
      <c r="W803" s="178">
        <f>FME_Ranking1[[#This Row],[LWC Score (Normalized, Unweighted)]]*$U$3</f>
        <v>2.302820955670697E-2</v>
      </c>
      <c r="X803" s="246">
        <f>_xlfn.XLOOKUP(FME_Ranking1[[#This Row],[FME ID]],FME_Input[FME_ID],FME_Input[ROADCLS])</f>
        <v>0</v>
      </c>
      <c r="Y803" s="230">
        <f>(FME_Ranking1[[#This Row],[Closures Raw]]/$X$2)*100</f>
        <v>0</v>
      </c>
      <c r="Z803" s="180">
        <f>FME_Ranking1[[#This Row],[Closures Score (Normalized, Unweighted)]]*$X$3</f>
        <v>0</v>
      </c>
      <c r="AA803" s="253">
        <f>_xlfn.XLOOKUP(FME_Ranking1[[#This Row],[FME ID]],FME_Input[FME_ID],FME_Input[ROAD_MILES100])</f>
        <v>64.184860229492188</v>
      </c>
      <c r="AB803" s="178">
        <f>(FME_Ranking1[[#This Row],[Miles Raw]]/$AA$2)*100</f>
        <v>0.84391579106652559</v>
      </c>
      <c r="AC803" s="178">
        <f>FME_Ranking1[[#This Row],[Miles Score (Normalized, Unweighted)]]*$AA$3</f>
        <v>8.439157910665257E-2</v>
      </c>
      <c r="AD803" s="255">
        <f>_xlfn.XLOOKUP(FME_Ranking1[[#This Row],[FME ID]],FME_Input[FME_ID],FME_Input[FARMACRE100])</f>
        <v>28369.01171875</v>
      </c>
      <c r="AE803" s="230">
        <f>(FME_Ranking1[[#This Row],[Ag Land Raw]]/$AD$2)*100</f>
        <v>1.1698110492956251</v>
      </c>
      <c r="AF803" s="231">
        <f>FME_Ranking1[[#This Row],[Ag Land Score (Normalized, Unweighted)]]*$AD$3</f>
        <v>5.8490552464781256E-2</v>
      </c>
      <c r="AG80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0.24515929009204757</v>
      </c>
      <c r="AH803" s="406">
        <f t="shared" si="12"/>
        <v>704</v>
      </c>
      <c r="AI80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0.24515929009204757</v>
      </c>
      <c r="AJ803" s="257">
        <f>FME_Ranking1[[#This Row],[Addition check]]-FME_Ranking1[[#This Row],[Weighted Score Based on Normalized Reported Factors]]</f>
        <v>0</v>
      </c>
      <c r="AK803" s="178">
        <f>_xlfn.RANK.EQ(AI803,$AI$6:$AI$2341,0)+COUNTIF($AI$6:AI803,AI803)-1</f>
        <v>710</v>
      </c>
    </row>
    <row r="804" spans="1:37" x14ac:dyDescent="0.25">
      <c r="A804" t="s">
        <v>2884</v>
      </c>
      <c r="B804">
        <f>_xlfn.XLOOKUP(FME_Ranking1[[#This Row],[FME ID]],FME_Input[FME_ID],FME_Input[RFPG_NUM])</f>
        <v>1</v>
      </c>
      <c r="C804" t="str">
        <f>_xlfn.XLOOKUP(FME_Ranking1[[#This Row],[FME ID]],FME_Input[FME_ID],FME_Input[FME_NAME])</f>
        <v>Briscoe County FIS</v>
      </c>
      <c r="D804" t="str">
        <f>_xlfn.XLOOKUP(FME_Ranking1[[#This Row],[FME ID]],FME_Input[FME_ID],FME_Input[DESCR])</f>
        <v>Perform flood insurance study for the county and develop regulatory mapping</v>
      </c>
      <c r="E804" s="256">
        <f>_xlfn.XLOOKUP(FME_Ranking1[[#This Row],[FME ID]],FME_Input[FME_ID],FME_Input[FME_COST])</f>
        <v>902000</v>
      </c>
      <c r="F804" t="str">
        <f>_xlfn.XLOOKUP(FME_Ranking1[[#This Row],[FME ID]],FME_Input[FME_ID],FME_Input[EMER_NEED])</f>
        <v>No</v>
      </c>
      <c r="G804">
        <f>IF(FME_Ranking!F804="Yes",100,0)</f>
        <v>0</v>
      </c>
      <c r="H804">
        <f>FME_Ranking1[[#This Row],[Emergency Need Score (Normalized, Unweighted)]]*$F$3</f>
        <v>0</v>
      </c>
      <c r="I804" s="246">
        <f>_xlfn.XLOOKUP(FME_Ranking1[[#This Row],[FME ID]],FME_Input[FME_ID],FME_Input[STRUCT_100])</f>
        <v>36</v>
      </c>
      <c r="J804" s="178">
        <f>(FME_Ranking1[[#This Row],[Structures 100 Raw]]/I$2)*100</f>
        <v>1.9277727798483486E-2</v>
      </c>
      <c r="K804" s="178">
        <f>FME_Ranking1[[#This Row],[Structures 100  Score (Normalized, Unweighted)]]*$I$3</f>
        <v>2.8916591697725228E-3</v>
      </c>
      <c r="L804" s="246">
        <f>_xlfn.XLOOKUP(FME_Ranking1[[#This Row],[FME ID]],FME_Input[FME_ID],FME_Input[RES_STRUCT100])</f>
        <v>0</v>
      </c>
      <c r="M804" s="230">
        <f>(FME_Ranking1[[#This Row],[Res Structures Raw]]/L$2)*100</f>
        <v>0</v>
      </c>
      <c r="N804" s="180">
        <f>FME_Ranking1[[#This Row],[Res Structures Score (Normalized, Unweighted)]]*$L$3</f>
        <v>0</v>
      </c>
      <c r="O804" s="244">
        <f>_xlfn.XLOOKUP(FME_Ranking1[[#This Row],[FME ID]],FME_Input[FME_ID],FME_Input[POP100])</f>
        <v>23</v>
      </c>
      <c r="P804" s="178">
        <f>(FME_Ranking1[[#This Row],[Pop Raw]]/$O$2)*100</f>
        <v>2.3546321757415556E-3</v>
      </c>
      <c r="Q804" s="178">
        <f>FME_Ranking1[[#This Row],[Pop Score (Normalized, Unweighted)]]*$O$3</f>
        <v>3.5319482636123333E-4</v>
      </c>
      <c r="R804" s="137">
        <f>_xlfn.XLOOKUP(FME_Ranking1[[#This Row],[FME ID]],FME_Input[FME_ID],FME_Input[CRITFAC100])</f>
        <v>0</v>
      </c>
      <c r="S804" s="230">
        <f>(FME_Ranking1[[#This Row],[Critical Facilities Raw]]/$R$2)*100</f>
        <v>0</v>
      </c>
      <c r="T804" s="180">
        <f>FME_Ranking1[[#This Row],[Critical Facilities Score (Normalized, Unweighted)]]*$R$3</f>
        <v>0</v>
      </c>
      <c r="U804">
        <f>_xlfn.XLOOKUP(FME_Ranking1[[#This Row],[FME ID]],FME_Input[FME_ID],FME_Input[LWC])</f>
        <v>2</v>
      </c>
      <c r="V804" s="178">
        <f>(FME_Ranking1[[#This Row],[LWC Raw]]/$U$2)*100</f>
        <v>0.11514104778353484</v>
      </c>
      <c r="W804" s="178">
        <f>FME_Ranking1[[#This Row],[LWC Score (Normalized, Unweighted)]]*$U$3</f>
        <v>2.302820955670697E-2</v>
      </c>
      <c r="X804" s="246">
        <f>_xlfn.XLOOKUP(FME_Ranking1[[#This Row],[FME ID]],FME_Input[FME_ID],FME_Input[ROADCLS])</f>
        <v>2</v>
      </c>
      <c r="Y804" s="230">
        <f>(FME_Ranking1[[#This Row],[Closures Raw]]/$X$2)*100</f>
        <v>2.1028283040689728E-2</v>
      </c>
      <c r="Z804" s="180">
        <f>FME_Ranking1[[#This Row],[Closures Score (Normalized, Unweighted)]]*$X$3</f>
        <v>1.0514141520344864E-3</v>
      </c>
      <c r="AA804" s="253">
        <f>_xlfn.XLOOKUP(FME_Ranking1[[#This Row],[FME ID]],FME_Input[FME_ID],FME_Input[ROAD_MILES100])</f>
        <v>45.101932525634773</v>
      </c>
      <c r="AB804" s="178">
        <f>(FME_Ranking1[[#This Row],[Miles Raw]]/$AA$2)*100</f>
        <v>0.59300951859845263</v>
      </c>
      <c r="AC804" s="178">
        <f>FME_Ranking1[[#This Row],[Miles Score (Normalized, Unweighted)]]*$AA$3</f>
        <v>5.9300951859845269E-2</v>
      </c>
      <c r="AD804" s="255">
        <f>_xlfn.XLOOKUP(FME_Ranking1[[#This Row],[FME ID]],FME_Input[FME_ID],FME_Input[FARMACRE100])</f>
        <v>64354.15234375</v>
      </c>
      <c r="AE804" s="230">
        <f>(FME_Ranking1[[#This Row],[Ag Land Raw]]/$AD$2)*100</f>
        <v>2.6536771610558523</v>
      </c>
      <c r="AF804" s="231">
        <f>FME_Ranking1[[#This Row],[Ag Land Score (Normalized, Unweighted)]]*$AD$3</f>
        <v>0.13268385805279262</v>
      </c>
      <c r="AG80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0.21930928761751312</v>
      </c>
      <c r="AH804" s="406">
        <f t="shared" si="12"/>
        <v>776</v>
      </c>
      <c r="AI80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0.21930928761751312</v>
      </c>
      <c r="AJ804" s="257">
        <f>FME_Ranking1[[#This Row],[Addition check]]-FME_Ranking1[[#This Row],[Weighted Score Based on Normalized Reported Factors]]</f>
        <v>0</v>
      </c>
      <c r="AK804" s="178">
        <f>_xlfn.RANK.EQ(AI804,$AI$6:$AI$2341,0)+COUNTIF($AI$6:AI804,AI804)-1</f>
        <v>776</v>
      </c>
    </row>
    <row r="805" spans="1:37" x14ac:dyDescent="0.25">
      <c r="A805" t="s">
        <v>1785</v>
      </c>
      <c r="B805">
        <f>_xlfn.XLOOKUP(FME_Ranking1[[#This Row],[FME ID]],FME_Input[FME_ID],FME_Input[RFPG_NUM])</f>
        <v>6</v>
      </c>
      <c r="C805" t="str">
        <f>_xlfn.XLOOKUP(FME_Ranking1[[#This Row],[FME ID]],FME_Input[FME_ID],FME_Input[FME_NAME])</f>
        <v>City of Taylor Lake Village Master Drainage Plan</v>
      </c>
      <c r="D805" t="str">
        <f>_xlfn.XLOOKUP(FME_Ranking1[[#This Row],[FME ID]],FME_Input[FME_ID],FME_Input[DESCR])</f>
        <v>Study to develop Master Drainage Plan using future and existing land use and flood/storm water drainage needs including Atlas 14 rainfall.</v>
      </c>
      <c r="E805" s="256">
        <f>_xlfn.XLOOKUP(FME_Ranking1[[#This Row],[FME ID]],FME_Input[FME_ID],FME_Input[FME_COST])</f>
        <v>170000</v>
      </c>
      <c r="F805" t="str">
        <f>_xlfn.XLOOKUP(FME_Ranking1[[#This Row],[FME ID]],FME_Input[FME_ID],FME_Input[EMER_NEED])</f>
        <v>No</v>
      </c>
      <c r="G805">
        <f>IF(FME_Ranking!F805="Yes",100,0)</f>
        <v>0</v>
      </c>
      <c r="H805">
        <f>FME_Ranking1[[#This Row],[Emergency Need Score (Normalized, Unweighted)]]*$F$3</f>
        <v>0</v>
      </c>
      <c r="I805" s="246">
        <f>_xlfn.XLOOKUP(FME_Ranking1[[#This Row],[FME ID]],FME_Input[FME_ID],FME_Input[STRUCT_100])</f>
        <v>852</v>
      </c>
      <c r="J805" s="178">
        <f>(FME_Ranking1[[#This Row],[Structures 100 Raw]]/I$2)*100</f>
        <v>0.45623955789744253</v>
      </c>
      <c r="K805" s="178">
        <f>FME_Ranking1[[#This Row],[Structures 100  Score (Normalized, Unweighted)]]*$I$3</f>
        <v>6.8435933684616382E-2</v>
      </c>
      <c r="L805" s="246">
        <f>_xlfn.XLOOKUP(FME_Ranking1[[#This Row],[FME ID]],FME_Input[FME_ID],FME_Input[RES_STRUCT100])</f>
        <v>838</v>
      </c>
      <c r="M805" s="230">
        <f>(FME_Ranking1[[#This Row],[Res Structures Raw]]/L$2)*100</f>
        <v>0.59356008556331552</v>
      </c>
      <c r="N805" s="180">
        <f>FME_Ranking1[[#This Row],[Res Structures Score (Normalized, Unweighted)]]*$L$3</f>
        <v>5.9356008556331552E-2</v>
      </c>
      <c r="O805" s="244">
        <f>_xlfn.XLOOKUP(FME_Ranking1[[#This Row],[FME ID]],FME_Input[FME_ID],FME_Input[POP100])</f>
        <v>2000</v>
      </c>
      <c r="P805" s="178">
        <f>(FME_Ranking1[[#This Row],[Pop Raw]]/$O$2)*100</f>
        <v>0.20475062397752658</v>
      </c>
      <c r="Q805" s="178">
        <f>FME_Ranking1[[#This Row],[Pop Score (Normalized, Unweighted)]]*$O$3</f>
        <v>3.0712593596628986E-2</v>
      </c>
      <c r="R805" s="137">
        <f>_xlfn.XLOOKUP(FME_Ranking1[[#This Row],[FME ID]],FME_Input[FME_ID],FME_Input[CRITFAC100])</f>
        <v>0</v>
      </c>
      <c r="S805" s="230">
        <f>(FME_Ranking1[[#This Row],[Critical Facilities Raw]]/$R$2)*100</f>
        <v>0</v>
      </c>
      <c r="T805" s="180">
        <f>FME_Ranking1[[#This Row],[Critical Facilities Score (Normalized, Unweighted)]]*$R$3</f>
        <v>0</v>
      </c>
      <c r="U805">
        <f>_xlfn.XLOOKUP(FME_Ranking1[[#This Row],[FME ID]],FME_Input[FME_ID],FME_Input[LWC])</f>
        <v>0</v>
      </c>
      <c r="V805" s="178">
        <f>(FME_Ranking1[[#This Row],[LWC Raw]]/$U$2)*100</f>
        <v>0</v>
      </c>
      <c r="W805" s="178">
        <f>FME_Ranking1[[#This Row],[LWC Score (Normalized, Unweighted)]]*$U$3</f>
        <v>0</v>
      </c>
      <c r="X805" s="246">
        <f>_xlfn.XLOOKUP(FME_Ranking1[[#This Row],[FME ID]],FME_Input[FME_ID],FME_Input[ROADCLS])</f>
        <v>0</v>
      </c>
      <c r="Y805" s="230">
        <f>(FME_Ranking1[[#This Row],[Closures Raw]]/$X$2)*100</f>
        <v>0</v>
      </c>
      <c r="Z805" s="180">
        <f>FME_Ranking1[[#This Row],[Closures Score (Normalized, Unweighted)]]*$X$3</f>
        <v>0</v>
      </c>
      <c r="AA805" s="253">
        <f>_xlfn.XLOOKUP(FME_Ranking1[[#This Row],[FME ID]],FME_Input[FME_ID],FME_Input[ROAD_MILES100])</f>
        <v>13.32064056396484</v>
      </c>
      <c r="AB805" s="178">
        <f>(FME_Ranking1[[#This Row],[Miles Raw]]/$AA$2)*100</f>
        <v>0.17514253172566546</v>
      </c>
      <c r="AC805" s="178">
        <f>FME_Ranking1[[#This Row],[Miles Score (Normalized, Unweighted)]]*$AA$3</f>
        <v>1.7514253172566548E-2</v>
      </c>
      <c r="AD805" s="255">
        <f>_xlfn.XLOOKUP(FME_Ranking1[[#This Row],[FME ID]],FME_Input[FME_ID],FME_Input[FARMACRE100])</f>
        <v>0</v>
      </c>
      <c r="AE805" s="230">
        <f>(FME_Ranking1[[#This Row],[Ag Land Raw]]/$AD$2)*100</f>
        <v>0</v>
      </c>
      <c r="AF805" s="231">
        <f>FME_Ranking1[[#This Row],[Ag Land Score (Normalized, Unweighted)]]*$AD$3</f>
        <v>0</v>
      </c>
      <c r="AG80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0.17601878901014345</v>
      </c>
      <c r="AH805" s="406">
        <f t="shared" si="12"/>
        <v>856</v>
      </c>
      <c r="AI80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0.17601878901014345</v>
      </c>
      <c r="AJ805" s="257">
        <f>FME_Ranking1[[#This Row],[Addition check]]-FME_Ranking1[[#This Row],[Weighted Score Based on Normalized Reported Factors]]</f>
        <v>0</v>
      </c>
      <c r="AK805" s="178">
        <f>_xlfn.RANK.EQ(AI805,$AI$6:$AI$2341,0)+COUNTIF($AI$6:AI805,AI805)-1</f>
        <v>856</v>
      </c>
    </row>
    <row r="806" spans="1:37" x14ac:dyDescent="0.25">
      <c r="A806" t="s">
        <v>4305</v>
      </c>
      <c r="B806">
        <f>_xlfn.XLOOKUP(FME_Ranking1[[#This Row],[FME ID]],FME_Input[FME_ID],FME_Input[RFPG_NUM])</f>
        <v>3</v>
      </c>
      <c r="C806" t="str">
        <f>_xlfn.XLOOKUP(FME_Ranking1[[#This Row],[FME ID]],FME_Input[FME_ID],FME_Input[FME_NAME])</f>
        <v>Merritt Road, Sachse Road, and Willow Lake Improvements</v>
      </c>
      <c r="D806" t="str">
        <f>_xlfn.XLOOKUP(FME_Ranking1[[#This Row],[FME ID]],FME_Input[FME_ID],FME_Input[DESCR])</f>
        <v>Hydrologic and Hydraulic Study of Stream 2E3, 2E4 and Willow Lake to determine causes of flooding along Merrit Rd and identify necessary drainage improvements.</v>
      </c>
      <c r="E806" s="256">
        <f>_xlfn.XLOOKUP(FME_Ranking1[[#This Row],[FME ID]],FME_Input[FME_ID],FME_Input[FME_COST])</f>
        <v>144000</v>
      </c>
      <c r="F806" t="str">
        <f>_xlfn.XLOOKUP(FME_Ranking1[[#This Row],[FME ID]],FME_Input[FME_ID],FME_Input[EMER_NEED])</f>
        <v>No</v>
      </c>
      <c r="G806">
        <f>IF(FME_Ranking!F806="Yes",100,0)</f>
        <v>0</v>
      </c>
      <c r="H806">
        <f>FME_Ranking1[[#This Row],[Emergency Need Score (Normalized, Unweighted)]]*$F$3</f>
        <v>0</v>
      </c>
      <c r="I806" s="246">
        <f>_xlfn.XLOOKUP(FME_Ranking1[[#This Row],[FME ID]],FME_Input[FME_ID],FME_Input[STRUCT_100])</f>
        <v>343</v>
      </c>
      <c r="J806" s="178">
        <f>(FME_Ranking1[[#This Row],[Structures 100 Raw]]/I$2)*100</f>
        <v>0.18367390652443988</v>
      </c>
      <c r="K806" s="178">
        <f>FME_Ranking1[[#This Row],[Structures 100  Score (Normalized, Unweighted)]]*$I$3</f>
        <v>2.7551085978665981E-2</v>
      </c>
      <c r="L806" s="246">
        <f>_xlfn.XLOOKUP(FME_Ranking1[[#This Row],[FME ID]],FME_Input[FME_ID],FME_Input[RES_STRUCT100])</f>
        <v>316</v>
      </c>
      <c r="M806" s="230">
        <f>(FME_Ranking1[[#This Row],[Res Structures Raw]]/L$2)*100</f>
        <v>0.22382456687113089</v>
      </c>
      <c r="N806" s="180">
        <f>FME_Ranking1[[#This Row],[Res Structures Score (Normalized, Unweighted)]]*$L$3</f>
        <v>2.2382456687113091E-2</v>
      </c>
      <c r="O806" s="244">
        <f>_xlfn.XLOOKUP(FME_Ranking1[[#This Row],[FME ID]],FME_Input[FME_ID],FME_Input[POP100])</f>
        <v>991</v>
      </c>
      <c r="P806" s="178">
        <f>(FME_Ranking1[[#This Row],[Pop Raw]]/$O$2)*100</f>
        <v>0.10145393418086442</v>
      </c>
      <c r="Q806" s="178">
        <f>FME_Ranking1[[#This Row],[Pop Score (Normalized, Unweighted)]]*$O$3</f>
        <v>1.5218090127129661E-2</v>
      </c>
      <c r="R806" s="137">
        <f>_xlfn.XLOOKUP(FME_Ranking1[[#This Row],[FME ID]],FME_Input[FME_ID],FME_Input[CRITFAC100])</f>
        <v>1</v>
      </c>
      <c r="S806" s="230">
        <f>(FME_Ranking1[[#This Row],[Critical Facilities Raw]]/$R$2)*100</f>
        <v>4.2881646655231559E-2</v>
      </c>
      <c r="T806" s="180">
        <f>FME_Ranking1[[#This Row],[Critical Facilities Score (Normalized, Unweighted)]]*$R$3</f>
        <v>8.5763293310463125E-3</v>
      </c>
      <c r="U806">
        <f>_xlfn.XLOOKUP(FME_Ranking1[[#This Row],[FME ID]],FME_Input[FME_ID],FME_Input[LWC])</f>
        <v>7</v>
      </c>
      <c r="V806" s="178">
        <f>(FME_Ranking1[[#This Row],[LWC Raw]]/$U$2)*100</f>
        <v>0.40299366724237184</v>
      </c>
      <c r="W806" s="178">
        <f>FME_Ranking1[[#This Row],[LWC Score (Normalized, Unweighted)]]*$U$3</f>
        <v>8.0598733448474374E-2</v>
      </c>
      <c r="X806" s="246">
        <f>_xlfn.XLOOKUP(FME_Ranking1[[#This Row],[FME ID]],FME_Input[FME_ID],FME_Input[ROADCLS])</f>
        <v>0</v>
      </c>
      <c r="Y806" s="230">
        <f>(FME_Ranking1[[#This Row],[Closures Raw]]/$X$2)*100</f>
        <v>0</v>
      </c>
      <c r="Z806" s="180">
        <f>FME_Ranking1[[#This Row],[Closures Score (Normalized, Unweighted)]]*$X$3</f>
        <v>0</v>
      </c>
      <c r="AA806" s="253">
        <f>_xlfn.XLOOKUP(FME_Ranking1[[#This Row],[FME ID]],FME_Input[FME_ID],FME_Input[ROAD_MILES100])</f>
        <v>11.93311977386475</v>
      </c>
      <c r="AB806" s="178">
        <f>(FME_Ranking1[[#This Row],[Miles Raw]]/$AA$2)*100</f>
        <v>0.15689912197121791</v>
      </c>
      <c r="AC806" s="178">
        <f>FME_Ranking1[[#This Row],[Miles Score (Normalized, Unweighted)]]*$AA$3</f>
        <v>1.5689912197121791E-2</v>
      </c>
      <c r="AD806" s="255">
        <f>_xlfn.XLOOKUP(FME_Ranking1[[#This Row],[FME ID]],FME_Input[FME_ID],FME_Input[FARMACRE100])</f>
        <v>1090.109985351562</v>
      </c>
      <c r="AE806" s="230">
        <f>(FME_Ranking1[[#This Row],[Ag Land Raw]]/$AD$2)*100</f>
        <v>4.4951255914527095E-2</v>
      </c>
      <c r="AF806" s="231">
        <f>FME_Ranking1[[#This Row],[Ag Land Score (Normalized, Unweighted)]]*$AD$3</f>
        <v>2.2475627957263549E-3</v>
      </c>
      <c r="AG80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0.17226417056527754</v>
      </c>
      <c r="AH806" s="406">
        <f t="shared" si="12"/>
        <v>858</v>
      </c>
      <c r="AI80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0.17226417056527754</v>
      </c>
      <c r="AJ806" s="257">
        <f>FME_Ranking1[[#This Row],[Addition check]]-FME_Ranking1[[#This Row],[Weighted Score Based on Normalized Reported Factors]]</f>
        <v>0</v>
      </c>
      <c r="AK806" s="178">
        <f>_xlfn.RANK.EQ(AI806,$AI$6:$AI$2341,0)+COUNTIF($AI$6:AI806,AI806)-1</f>
        <v>858</v>
      </c>
    </row>
    <row r="807" spans="1:37" x14ac:dyDescent="0.25">
      <c r="A807" t="s">
        <v>8869</v>
      </c>
      <c r="B807">
        <f>_xlfn.XLOOKUP(FME_Ranking1[[#This Row],[FME ID]],FME_Input[FME_ID],FME_Input[RFPG_NUM])</f>
        <v>11</v>
      </c>
      <c r="C807" t="str">
        <f>_xlfn.XLOOKUP(FME_Ranking1[[#This Row],[FME ID]],FME_Input[FME_ID],FME_Input[FME_NAME])</f>
        <v>City of Wimberley Drainage Master Plan</v>
      </c>
      <c r="D807" t="str">
        <f>_xlfn.XLOOKUP(FME_Ranking1[[#This Row],[FME ID]],FME_Input[FME_ID],FME_Input[DESCR])</f>
        <v xml:space="preserve">Creation of drainage master plan for City of Wimberley to mitigate the flood hazard by defining priorities, policies, and strategies to address and remedy the drainage needs and challenges in Wimberley. </v>
      </c>
      <c r="E807" s="256">
        <f>_xlfn.XLOOKUP(FME_Ranking1[[#This Row],[FME ID]],FME_Input[FME_ID],FME_Input[FME_COST])</f>
        <v>150000</v>
      </c>
      <c r="F807" t="str">
        <f>_xlfn.XLOOKUP(FME_Ranking1[[#This Row],[FME ID]],FME_Input[FME_ID],FME_Input[EMER_NEED])</f>
        <v>No</v>
      </c>
      <c r="G807">
        <f>IF(FME_Ranking!F807="Yes",100,0)</f>
        <v>0</v>
      </c>
      <c r="H807">
        <f>FME_Ranking1[[#This Row],[Emergency Need Score (Normalized, Unweighted)]]*$F$3</f>
        <v>0</v>
      </c>
      <c r="I807" s="246">
        <f>_xlfn.XLOOKUP(FME_Ranking1[[#This Row],[FME ID]],FME_Input[FME_ID],FME_Input[STRUCT_100])</f>
        <v>503</v>
      </c>
      <c r="J807" s="178">
        <f>(FME_Ranking1[[#This Row],[Structures 100 Raw]]/I$2)*100</f>
        <v>0.26935269673992207</v>
      </c>
      <c r="K807" s="178">
        <f>FME_Ranking1[[#This Row],[Structures 100  Score (Normalized, Unweighted)]]*$I$3</f>
        <v>4.0402904510988311E-2</v>
      </c>
      <c r="L807" s="246">
        <f>_xlfn.XLOOKUP(FME_Ranking1[[#This Row],[FME ID]],FME_Input[FME_ID],FME_Input[RES_STRUCT100])</f>
        <v>421</v>
      </c>
      <c r="M807" s="230">
        <f>(FME_Ranking1[[#This Row],[Res Structures Raw]]/L$2)*100</f>
        <v>0.29819665396438638</v>
      </c>
      <c r="N807" s="180">
        <f>FME_Ranking1[[#This Row],[Res Structures Score (Normalized, Unweighted)]]*$L$3</f>
        <v>2.9819665396438641E-2</v>
      </c>
      <c r="O807" s="244">
        <f>_xlfn.XLOOKUP(FME_Ranking1[[#This Row],[FME ID]],FME_Input[FME_ID],FME_Input[POP100])</f>
        <v>1045</v>
      </c>
      <c r="P807" s="178">
        <f>(FME_Ranking1[[#This Row],[Pop Raw]]/$O$2)*100</f>
        <v>0.10698220102825765</v>
      </c>
      <c r="Q807" s="178">
        <f>FME_Ranking1[[#This Row],[Pop Score (Normalized, Unweighted)]]*$O$3</f>
        <v>1.6047330154238645E-2</v>
      </c>
      <c r="R807" s="137">
        <f>_xlfn.XLOOKUP(FME_Ranking1[[#This Row],[FME ID]],FME_Input[FME_ID],FME_Input[CRITFAC100])</f>
        <v>0</v>
      </c>
      <c r="S807" s="230">
        <f>(FME_Ranking1[[#This Row],[Critical Facilities Raw]]/$R$2)*100</f>
        <v>0</v>
      </c>
      <c r="T807" s="180">
        <f>FME_Ranking1[[#This Row],[Critical Facilities Score (Normalized, Unweighted)]]*$R$3</f>
        <v>0</v>
      </c>
      <c r="U807">
        <f>_xlfn.XLOOKUP(FME_Ranking1[[#This Row],[FME ID]],FME_Input[FME_ID],FME_Input[LWC])</f>
        <v>6</v>
      </c>
      <c r="V807" s="178">
        <f>(FME_Ranking1[[#This Row],[LWC Raw]]/$U$2)*100</f>
        <v>0.34542314335060448</v>
      </c>
      <c r="W807" s="178">
        <f>FME_Ranking1[[#This Row],[LWC Score (Normalized, Unweighted)]]*$U$3</f>
        <v>6.9084628670120898E-2</v>
      </c>
      <c r="X807" s="246">
        <f>_xlfn.XLOOKUP(FME_Ranking1[[#This Row],[FME ID]],FME_Input[FME_ID],FME_Input[ROADCLS])</f>
        <v>0</v>
      </c>
      <c r="Y807" s="230">
        <f>(FME_Ranking1[[#This Row],[Closures Raw]]/$X$2)*100</f>
        <v>0</v>
      </c>
      <c r="Z807" s="180">
        <f>FME_Ranking1[[#This Row],[Closures Score (Normalized, Unweighted)]]*$X$3</f>
        <v>0</v>
      </c>
      <c r="AA807" s="253">
        <f>_xlfn.XLOOKUP(FME_Ranking1[[#This Row],[FME ID]],FME_Input[FME_ID],FME_Input[ROAD_MILES100])</f>
        <v>7.670809268951416</v>
      </c>
      <c r="AB807" s="178">
        <f>(FME_Ranking1[[#This Row],[Miles Raw]]/$AA$2)*100</f>
        <v>0.10085738364439201</v>
      </c>
      <c r="AC807" s="178">
        <f>FME_Ranking1[[#This Row],[Miles Score (Normalized, Unweighted)]]*$AA$3</f>
        <v>1.0085738364439201E-2</v>
      </c>
      <c r="AD807" s="255">
        <f>_xlfn.XLOOKUP(FME_Ranking1[[#This Row],[FME ID]],FME_Input[FME_ID],FME_Input[FARMACRE100])</f>
        <v>25.4622688293457</v>
      </c>
      <c r="AE807" s="230">
        <f>(FME_Ranking1[[#This Row],[Ag Land Raw]]/$AD$2)*100</f>
        <v>1.0499499845818604E-3</v>
      </c>
      <c r="AF807" s="231">
        <f>FME_Ranking1[[#This Row],[Ag Land Score (Normalized, Unweighted)]]*$AD$3</f>
        <v>5.2497499229093024E-5</v>
      </c>
      <c r="AG80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0.16549276459545481</v>
      </c>
      <c r="AH807" s="406">
        <f t="shared" si="12"/>
        <v>868</v>
      </c>
      <c r="AI80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0.16549276459545481</v>
      </c>
      <c r="AJ807" s="257">
        <f>FME_Ranking1[[#This Row],[Addition check]]-FME_Ranking1[[#This Row],[Weighted Score Based on Normalized Reported Factors]]</f>
        <v>0</v>
      </c>
      <c r="AK807" s="178">
        <f>_xlfn.RANK.EQ(AI807,$AI$6:$AI$2341,0)+COUNTIF($AI$6:AI807,AI807)-1</f>
        <v>868</v>
      </c>
    </row>
    <row r="808" spans="1:37" x14ac:dyDescent="0.25">
      <c r="A808" t="s">
        <v>3500</v>
      </c>
      <c r="B808">
        <f>_xlfn.XLOOKUP(FME_Ranking1[[#This Row],[FME ID]],FME_Input[FME_ID],FME_Input[RFPG_NUM])</f>
        <v>2</v>
      </c>
      <c r="C808" t="str">
        <f>_xlfn.XLOOKUP(FME_Ranking1[[#This Row],[FME ID]],FME_Input[FME_ID],FME_Input[FME_NAME])</f>
        <v>Delta County FIS</v>
      </c>
      <c r="D808" t="str">
        <f>_xlfn.XLOOKUP(FME_Ranking1[[#This Row],[FME ID]],FME_Input[FME_ID],FME_Input[DESCR])</f>
        <v>Develop FIS for the County</v>
      </c>
      <c r="E808" s="256">
        <f>_xlfn.XLOOKUP(FME_Ranking1[[#This Row],[FME ID]],FME_Input[FME_ID],FME_Input[FME_COST])</f>
        <v>682000</v>
      </c>
      <c r="F808" t="str">
        <f>_xlfn.XLOOKUP(FME_Ranking1[[#This Row],[FME ID]],FME_Input[FME_ID],FME_Input[EMER_NEED])</f>
        <v>No</v>
      </c>
      <c r="G808">
        <f>IF(FME_Ranking!F808="Yes",100,0)</f>
        <v>0</v>
      </c>
      <c r="H808">
        <f>FME_Ranking1[[#This Row],[Emergency Need Score (Normalized, Unweighted)]]*$F$3</f>
        <v>0</v>
      </c>
      <c r="I808" s="246">
        <f>_xlfn.XLOOKUP(FME_Ranking1[[#This Row],[FME ID]],FME_Input[FME_ID],FME_Input[STRUCT_100])</f>
        <v>121</v>
      </c>
      <c r="J808" s="178">
        <f>(FME_Ranking1[[#This Row],[Structures 100 Raw]]/I$2)*100</f>
        <v>6.4794585100458379E-2</v>
      </c>
      <c r="K808" s="178">
        <f>FME_Ranking1[[#This Row],[Structures 100  Score (Normalized, Unweighted)]]*$I$3</f>
        <v>9.7191877650687573E-3</v>
      </c>
      <c r="L808" s="246">
        <f>_xlfn.XLOOKUP(FME_Ranking1[[#This Row],[FME ID]],FME_Input[FME_ID],FME_Input[RES_STRUCT100])</f>
        <v>59</v>
      </c>
      <c r="M808" s="230">
        <f>(FME_Ranking1[[#This Row],[Res Structures Raw]]/L$2)*100</f>
        <v>4.1790029890495954E-2</v>
      </c>
      <c r="N808" s="180">
        <f>FME_Ranking1[[#This Row],[Res Structures Score (Normalized, Unweighted)]]*$L$3</f>
        <v>4.1790029890495959E-3</v>
      </c>
      <c r="O808" s="244">
        <f>_xlfn.XLOOKUP(FME_Ranking1[[#This Row],[FME ID]],FME_Input[FME_ID],FME_Input[POP100])</f>
        <v>85</v>
      </c>
      <c r="P808" s="178">
        <f>(FME_Ranking1[[#This Row],[Pop Raw]]/$O$2)*100</f>
        <v>8.7019015190448797E-3</v>
      </c>
      <c r="Q808" s="178">
        <f>FME_Ranking1[[#This Row],[Pop Score (Normalized, Unweighted)]]*$O$3</f>
        <v>1.305285227856732E-3</v>
      </c>
      <c r="R808" s="137">
        <f>_xlfn.XLOOKUP(FME_Ranking1[[#This Row],[FME ID]],FME_Input[FME_ID],FME_Input[CRITFAC100])</f>
        <v>2</v>
      </c>
      <c r="S808" s="230">
        <f>(FME_Ranking1[[#This Row],[Critical Facilities Raw]]/$R$2)*100</f>
        <v>8.5763293310463118E-2</v>
      </c>
      <c r="T808" s="180">
        <f>FME_Ranking1[[#This Row],[Critical Facilities Score (Normalized, Unweighted)]]*$R$3</f>
        <v>1.7152658662092625E-2</v>
      </c>
      <c r="U808">
        <f>_xlfn.XLOOKUP(FME_Ranking1[[#This Row],[FME ID]],FME_Input[FME_ID],FME_Input[LWC])</f>
        <v>8</v>
      </c>
      <c r="V808" s="178">
        <f>(FME_Ranking1[[#This Row],[LWC Raw]]/$U$2)*100</f>
        <v>0.46056419113413938</v>
      </c>
      <c r="W808" s="178">
        <f>FME_Ranking1[[#This Row],[LWC Score (Normalized, Unweighted)]]*$U$3</f>
        <v>9.2112838226827878E-2</v>
      </c>
      <c r="X808" s="246">
        <f>_xlfn.XLOOKUP(FME_Ranking1[[#This Row],[FME ID]],FME_Input[FME_ID],FME_Input[ROADCLS])</f>
        <v>0</v>
      </c>
      <c r="Y808" s="230">
        <f>(FME_Ranking1[[#This Row],[Closures Raw]]/$X$2)*100</f>
        <v>0</v>
      </c>
      <c r="Z808" s="180">
        <f>FME_Ranking1[[#This Row],[Closures Score (Normalized, Unweighted)]]*$X$3</f>
        <v>0</v>
      </c>
      <c r="AA808" s="253">
        <f>_xlfn.XLOOKUP(FME_Ranking1[[#This Row],[FME ID]],FME_Input[FME_ID],FME_Input[ROAD_MILES100])</f>
        <v>41.511665344238281</v>
      </c>
      <c r="AB808" s="178">
        <f>(FME_Ranking1[[#This Row],[Miles Raw]]/$AA$2)*100</f>
        <v>0.54580394460958526</v>
      </c>
      <c r="AC808" s="178">
        <f>FME_Ranking1[[#This Row],[Miles Score (Normalized, Unweighted)]]*$AA$3</f>
        <v>5.4580394460958526E-2</v>
      </c>
      <c r="AD808" s="255">
        <f>_xlfn.XLOOKUP(FME_Ranking1[[#This Row],[FME ID]],FME_Input[FME_ID],FME_Input[FARMACRE100])</f>
        <v>14657.0947265625</v>
      </c>
      <c r="AE808" s="230">
        <f>(FME_Ranking1[[#This Row],[Ag Land Raw]]/$AD$2)*100</f>
        <v>0.60439297398481751</v>
      </c>
      <c r="AF808" s="231">
        <f>FME_Ranking1[[#This Row],[Ag Land Score (Normalized, Unweighted)]]*$AD$3</f>
        <v>3.0219648699240875E-2</v>
      </c>
      <c r="AG80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0.20926901603109499</v>
      </c>
      <c r="AH808" s="406">
        <f t="shared" si="12"/>
        <v>788</v>
      </c>
      <c r="AI80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0.20926901603109499</v>
      </c>
      <c r="AJ808" s="257">
        <f>FME_Ranking1[[#This Row],[Addition check]]-FME_Ranking1[[#This Row],[Weighted Score Based on Normalized Reported Factors]]</f>
        <v>0</v>
      </c>
      <c r="AK808" s="178">
        <f>_xlfn.RANK.EQ(AI808,$AI$6:$AI$2341,0)+COUNTIF($AI$6:AI808,AI808)-1</f>
        <v>788</v>
      </c>
    </row>
    <row r="809" spans="1:37" x14ac:dyDescent="0.25">
      <c r="A809" t="s">
        <v>6585</v>
      </c>
      <c r="B809">
        <f>_xlfn.XLOOKUP(FME_Ranking1[[#This Row],[FME ID]],FME_Input[FME_ID],FME_Input[RFPG_NUM])</f>
        <v>7</v>
      </c>
      <c r="C809" t="str">
        <f>_xlfn.XLOOKUP(FME_Ranking1[[#This Row],[FME ID]],FME_Input[FME_ID],FME_Input[FME_NAME])</f>
        <v>Callahan County Initial FEMA Mapping</v>
      </c>
      <c r="D809" t="str">
        <f>_xlfn.XLOOKUP(FME_Ranking1[[#This Row],[FME ID]],FME_Input[FME_ID],FME_Input[DESCR])</f>
        <v>Create FEMA Mapping in previously unmapped areas</v>
      </c>
      <c r="E809" s="256">
        <f>_xlfn.XLOOKUP(FME_Ranking1[[#This Row],[FME ID]],FME_Input[FME_ID],FME_Input[FME_COST])</f>
        <v>895000</v>
      </c>
      <c r="F809" t="str">
        <f>_xlfn.XLOOKUP(FME_Ranking1[[#This Row],[FME ID]],FME_Input[FME_ID],FME_Input[EMER_NEED])</f>
        <v>No</v>
      </c>
      <c r="G809">
        <f>IF(FME_Ranking!F809="Yes",100,0)</f>
        <v>0</v>
      </c>
      <c r="H809">
        <f>FME_Ranking1[[#This Row],[Emergency Need Score (Normalized, Unweighted)]]*$F$3</f>
        <v>0</v>
      </c>
      <c r="I809" s="246">
        <f>_xlfn.XLOOKUP(FME_Ranking1[[#This Row],[FME ID]],FME_Input[FME_ID],FME_Input[STRUCT_100])</f>
        <v>81</v>
      </c>
      <c r="J809" s="178">
        <f>(FME_Ranking1[[#This Row],[Structures 100 Raw]]/I$2)*100</f>
        <v>4.3374887546587838E-2</v>
      </c>
      <c r="K809" s="178">
        <f>FME_Ranking1[[#This Row],[Structures 100  Score (Normalized, Unweighted)]]*$I$3</f>
        <v>6.5062331319881758E-3</v>
      </c>
      <c r="L809" s="246">
        <f>_xlfn.XLOOKUP(FME_Ranking1[[#This Row],[FME ID]],FME_Input[FME_ID],FME_Input[RES_STRUCT100])</f>
        <v>21</v>
      </c>
      <c r="M809" s="230">
        <f>(FME_Ranking1[[#This Row],[Res Structures Raw]]/L$2)*100</f>
        <v>1.4874417418651103E-2</v>
      </c>
      <c r="N809" s="180">
        <f>FME_Ranking1[[#This Row],[Res Structures Score (Normalized, Unweighted)]]*$L$3</f>
        <v>1.4874417418651103E-3</v>
      </c>
      <c r="O809" s="244">
        <f>_xlfn.XLOOKUP(FME_Ranking1[[#This Row],[FME ID]],FME_Input[FME_ID],FME_Input[POP100])</f>
        <v>86</v>
      </c>
      <c r="P809" s="178">
        <f>(FME_Ranking1[[#This Row],[Pop Raw]]/$O$2)*100</f>
        <v>8.8042768310336427E-3</v>
      </c>
      <c r="Q809" s="178">
        <f>FME_Ranking1[[#This Row],[Pop Score (Normalized, Unweighted)]]*$O$3</f>
        <v>1.3206415246550464E-3</v>
      </c>
      <c r="R809" s="137">
        <f>_xlfn.XLOOKUP(FME_Ranking1[[#This Row],[FME ID]],FME_Input[FME_ID],FME_Input[CRITFAC100])</f>
        <v>0</v>
      </c>
      <c r="S809" s="230">
        <f>(FME_Ranking1[[#This Row],[Critical Facilities Raw]]/$R$2)*100</f>
        <v>0</v>
      </c>
      <c r="T809" s="180">
        <f>FME_Ranking1[[#This Row],[Critical Facilities Score (Normalized, Unweighted)]]*$R$3</f>
        <v>0</v>
      </c>
      <c r="U809">
        <f>_xlfn.XLOOKUP(FME_Ranking1[[#This Row],[FME ID]],FME_Input[FME_ID],FME_Input[LWC])</f>
        <v>12</v>
      </c>
      <c r="V809" s="178">
        <f>(FME_Ranking1[[#This Row],[LWC Raw]]/$U$2)*100</f>
        <v>0.69084628670120896</v>
      </c>
      <c r="W809" s="178">
        <f>FME_Ranking1[[#This Row],[LWC Score (Normalized, Unweighted)]]*$U$3</f>
        <v>0.1381692573402418</v>
      </c>
      <c r="X809" s="246">
        <f>_xlfn.XLOOKUP(FME_Ranking1[[#This Row],[FME ID]],FME_Input[FME_ID],FME_Input[ROADCLS])</f>
        <v>0</v>
      </c>
      <c r="Y809" s="230">
        <f>(FME_Ranking1[[#This Row],[Closures Raw]]/$X$2)*100</f>
        <v>0</v>
      </c>
      <c r="Z809" s="180">
        <f>FME_Ranking1[[#This Row],[Closures Score (Normalized, Unweighted)]]*$X$3</f>
        <v>0</v>
      </c>
      <c r="AA809" s="253">
        <f>_xlfn.XLOOKUP(FME_Ranking1[[#This Row],[FME ID]],FME_Input[FME_ID],FME_Input[ROAD_MILES100])</f>
        <v>56.145484924316413</v>
      </c>
      <c r="AB809" s="178">
        <f>(FME_Ranking1[[#This Row],[Miles Raw]]/$AA$2)*100</f>
        <v>0.73821242510000318</v>
      </c>
      <c r="AC809" s="178">
        <f>FME_Ranking1[[#This Row],[Miles Score (Normalized, Unweighted)]]*$AA$3</f>
        <v>7.3821242510000315E-2</v>
      </c>
      <c r="AD809" s="255">
        <f>_xlfn.XLOOKUP(FME_Ranking1[[#This Row],[FME ID]],FME_Input[FME_ID],FME_Input[FARMACRE100])</f>
        <v>3073.50634765625</v>
      </c>
      <c r="AE809" s="230">
        <f>(FME_Ranking1[[#This Row],[Ag Land Raw]]/$AD$2)*100</f>
        <v>0.12673764321483894</v>
      </c>
      <c r="AF809" s="231">
        <f>FME_Ranking1[[#This Row],[Ag Land Score (Normalized, Unweighted)]]*$AD$3</f>
        <v>6.3368821607419469E-3</v>
      </c>
      <c r="AG80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0.22764169840949236</v>
      </c>
      <c r="AH809" s="406">
        <f t="shared" si="12"/>
        <v>745</v>
      </c>
      <c r="AI80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0.22764169840949236</v>
      </c>
      <c r="AJ809" s="257">
        <f>FME_Ranking1[[#This Row],[Addition check]]-FME_Ranking1[[#This Row],[Weighted Score Based on Normalized Reported Factors]]</f>
        <v>0</v>
      </c>
      <c r="AK809" s="178">
        <f>_xlfn.RANK.EQ(AI809,$AI$6:$AI$2341,0)+COUNTIF($AI$6:AI809,AI809)-1</f>
        <v>745</v>
      </c>
    </row>
    <row r="810" spans="1:37" x14ac:dyDescent="0.25">
      <c r="A810" t="s">
        <v>6593</v>
      </c>
      <c r="B810">
        <f>_xlfn.XLOOKUP(FME_Ranking1[[#This Row],[FME ID]],FME_Input[FME_ID],FME_Input[RFPG_NUM])</f>
        <v>7</v>
      </c>
      <c r="C810" t="str">
        <f>_xlfn.XLOOKUP(FME_Ranking1[[#This Row],[FME ID]],FME_Input[FME_ID],FME_Input[FME_NAME])</f>
        <v>Callahan County DMP</v>
      </c>
      <c r="D810" t="str">
        <f>_xlfn.XLOOKUP(FME_Ranking1[[#This Row],[FME ID]],FME_Input[FME_ID],FME_Input[DESCR])</f>
        <v>Evaluate county to identify future projects, analyze roads/stream crossing for emergency response vehicles to high hazard areas</v>
      </c>
      <c r="E810" s="256">
        <f>_xlfn.XLOOKUP(FME_Ranking1[[#This Row],[FME ID]],FME_Input[FME_ID],FME_Input[FME_COST])</f>
        <v>500000</v>
      </c>
      <c r="F810" t="str">
        <f>_xlfn.XLOOKUP(FME_Ranking1[[#This Row],[FME ID]],FME_Input[FME_ID],FME_Input[EMER_NEED])</f>
        <v>No</v>
      </c>
      <c r="G810">
        <f>IF(FME_Ranking!F810="Yes",100,0)</f>
        <v>0</v>
      </c>
      <c r="H810">
        <f>FME_Ranking1[[#This Row],[Emergency Need Score (Normalized, Unweighted)]]*$F$3</f>
        <v>0</v>
      </c>
      <c r="I810" s="246">
        <f>_xlfn.XLOOKUP(FME_Ranking1[[#This Row],[FME ID]],FME_Input[FME_ID],FME_Input[STRUCT_100])</f>
        <v>81</v>
      </c>
      <c r="J810" s="178">
        <f>(FME_Ranking1[[#This Row],[Structures 100 Raw]]/I$2)*100</f>
        <v>4.3374887546587838E-2</v>
      </c>
      <c r="K810" s="178">
        <f>FME_Ranking1[[#This Row],[Structures 100  Score (Normalized, Unweighted)]]*$I$3</f>
        <v>6.5062331319881758E-3</v>
      </c>
      <c r="L810" s="246">
        <f>_xlfn.XLOOKUP(FME_Ranking1[[#This Row],[FME ID]],FME_Input[FME_ID],FME_Input[RES_STRUCT100])</f>
        <v>21</v>
      </c>
      <c r="M810" s="230">
        <f>(FME_Ranking1[[#This Row],[Res Structures Raw]]/L$2)*100</f>
        <v>1.4874417418651103E-2</v>
      </c>
      <c r="N810" s="180">
        <f>FME_Ranking1[[#This Row],[Res Structures Score (Normalized, Unweighted)]]*$L$3</f>
        <v>1.4874417418651103E-3</v>
      </c>
      <c r="O810" s="244">
        <f>_xlfn.XLOOKUP(FME_Ranking1[[#This Row],[FME ID]],FME_Input[FME_ID],FME_Input[POP100])</f>
        <v>86</v>
      </c>
      <c r="P810" s="178">
        <f>(FME_Ranking1[[#This Row],[Pop Raw]]/$O$2)*100</f>
        <v>8.8042768310336427E-3</v>
      </c>
      <c r="Q810" s="178">
        <f>FME_Ranking1[[#This Row],[Pop Score (Normalized, Unweighted)]]*$O$3</f>
        <v>1.3206415246550464E-3</v>
      </c>
      <c r="R810" s="137">
        <f>_xlfn.XLOOKUP(FME_Ranking1[[#This Row],[FME ID]],FME_Input[FME_ID],FME_Input[CRITFAC100])</f>
        <v>0</v>
      </c>
      <c r="S810" s="230">
        <f>(FME_Ranking1[[#This Row],[Critical Facilities Raw]]/$R$2)*100</f>
        <v>0</v>
      </c>
      <c r="T810" s="180">
        <f>FME_Ranking1[[#This Row],[Critical Facilities Score (Normalized, Unweighted)]]*$R$3</f>
        <v>0</v>
      </c>
      <c r="U810">
        <f>_xlfn.XLOOKUP(FME_Ranking1[[#This Row],[FME ID]],FME_Input[FME_ID],FME_Input[LWC])</f>
        <v>12</v>
      </c>
      <c r="V810" s="178">
        <f>(FME_Ranking1[[#This Row],[LWC Raw]]/$U$2)*100</f>
        <v>0.69084628670120896</v>
      </c>
      <c r="W810" s="178">
        <f>FME_Ranking1[[#This Row],[LWC Score (Normalized, Unweighted)]]*$U$3</f>
        <v>0.1381692573402418</v>
      </c>
      <c r="X810" s="246">
        <f>_xlfn.XLOOKUP(FME_Ranking1[[#This Row],[FME ID]],FME_Input[FME_ID],FME_Input[ROADCLS])</f>
        <v>0</v>
      </c>
      <c r="Y810" s="230">
        <f>(FME_Ranking1[[#This Row],[Closures Raw]]/$X$2)*100</f>
        <v>0</v>
      </c>
      <c r="Z810" s="180">
        <f>FME_Ranking1[[#This Row],[Closures Score (Normalized, Unweighted)]]*$X$3</f>
        <v>0</v>
      </c>
      <c r="AA810" s="253">
        <f>_xlfn.XLOOKUP(FME_Ranking1[[#This Row],[FME ID]],FME_Input[FME_ID],FME_Input[ROAD_MILES100])</f>
        <v>56.145484924316413</v>
      </c>
      <c r="AB810" s="178">
        <f>(FME_Ranking1[[#This Row],[Miles Raw]]/$AA$2)*100</f>
        <v>0.73821242510000318</v>
      </c>
      <c r="AC810" s="178">
        <f>FME_Ranking1[[#This Row],[Miles Score (Normalized, Unweighted)]]*$AA$3</f>
        <v>7.3821242510000315E-2</v>
      </c>
      <c r="AD810" s="255">
        <f>_xlfn.XLOOKUP(FME_Ranking1[[#This Row],[FME ID]],FME_Input[FME_ID],FME_Input[FARMACRE100])</f>
        <v>3073.50634765625</v>
      </c>
      <c r="AE810" s="230">
        <f>(FME_Ranking1[[#This Row],[Ag Land Raw]]/$AD$2)*100</f>
        <v>0.12673764321483894</v>
      </c>
      <c r="AF810" s="231">
        <f>FME_Ranking1[[#This Row],[Ag Land Score (Normalized, Unweighted)]]*$AD$3</f>
        <v>6.3368821607419469E-3</v>
      </c>
      <c r="AG81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0.22764169840949236</v>
      </c>
      <c r="AH810" s="406">
        <f t="shared" si="12"/>
        <v>745</v>
      </c>
      <c r="AI81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0.22764169840949236</v>
      </c>
      <c r="AJ810" s="257">
        <f>FME_Ranking1[[#This Row],[Addition check]]-FME_Ranking1[[#This Row],[Weighted Score Based on Normalized Reported Factors]]</f>
        <v>0</v>
      </c>
      <c r="AK810" s="178">
        <f>_xlfn.RANK.EQ(AI810,$AI$6:$AI$2341,0)+COUNTIF($AI$6:AI810,AI810)-1</f>
        <v>746</v>
      </c>
    </row>
    <row r="811" spans="1:37" x14ac:dyDescent="0.25">
      <c r="A811" t="s">
        <v>6596</v>
      </c>
      <c r="B811">
        <f>_xlfn.XLOOKUP(FME_Ranking1[[#This Row],[FME ID]],FME_Input[FME_ID],FME_Input[RFPG_NUM])</f>
        <v>7</v>
      </c>
      <c r="C811" t="str">
        <f>_xlfn.XLOOKUP(FME_Ranking1[[#This Row],[FME ID]],FME_Input[FME_ID],FME_Input[FME_NAME])</f>
        <v>Callahan County GIS Development</v>
      </c>
      <c r="D811" t="str">
        <f>_xlfn.XLOOKUP(FME_Ranking1[[#This Row],[FME ID]],FME_Input[FME_ID],FME_Input[DESCR])</f>
        <v>Develop a GIS inventory of stormwater infrastructure</v>
      </c>
      <c r="E811" s="256">
        <f>_xlfn.XLOOKUP(FME_Ranking1[[#This Row],[FME ID]],FME_Input[FME_ID],FME_Input[FME_COST])</f>
        <v>100000</v>
      </c>
      <c r="F811" t="str">
        <f>_xlfn.XLOOKUP(FME_Ranking1[[#This Row],[FME ID]],FME_Input[FME_ID],FME_Input[EMER_NEED])</f>
        <v>No</v>
      </c>
      <c r="G811">
        <f>IF(FME_Ranking!F811="Yes",100,0)</f>
        <v>0</v>
      </c>
      <c r="H811">
        <f>FME_Ranking1[[#This Row],[Emergency Need Score (Normalized, Unweighted)]]*$F$3</f>
        <v>0</v>
      </c>
      <c r="I811" s="246">
        <f>_xlfn.XLOOKUP(FME_Ranking1[[#This Row],[FME ID]],FME_Input[FME_ID],FME_Input[STRUCT_100])</f>
        <v>81</v>
      </c>
      <c r="J811" s="178">
        <f>(FME_Ranking1[[#This Row],[Structures 100 Raw]]/I$2)*100</f>
        <v>4.3374887546587838E-2</v>
      </c>
      <c r="K811" s="178">
        <f>FME_Ranking1[[#This Row],[Structures 100  Score (Normalized, Unweighted)]]*$I$3</f>
        <v>6.5062331319881758E-3</v>
      </c>
      <c r="L811" s="246">
        <f>_xlfn.XLOOKUP(FME_Ranking1[[#This Row],[FME ID]],FME_Input[FME_ID],FME_Input[RES_STRUCT100])</f>
        <v>21</v>
      </c>
      <c r="M811" s="230">
        <f>(FME_Ranking1[[#This Row],[Res Structures Raw]]/L$2)*100</f>
        <v>1.4874417418651103E-2</v>
      </c>
      <c r="N811" s="180">
        <f>FME_Ranking1[[#This Row],[Res Structures Score (Normalized, Unweighted)]]*$L$3</f>
        <v>1.4874417418651103E-3</v>
      </c>
      <c r="O811" s="244">
        <f>_xlfn.XLOOKUP(FME_Ranking1[[#This Row],[FME ID]],FME_Input[FME_ID],FME_Input[POP100])</f>
        <v>86</v>
      </c>
      <c r="P811" s="178">
        <f>(FME_Ranking1[[#This Row],[Pop Raw]]/$O$2)*100</f>
        <v>8.8042768310336427E-3</v>
      </c>
      <c r="Q811" s="178">
        <f>FME_Ranking1[[#This Row],[Pop Score (Normalized, Unweighted)]]*$O$3</f>
        <v>1.3206415246550464E-3</v>
      </c>
      <c r="R811" s="137">
        <f>_xlfn.XLOOKUP(FME_Ranking1[[#This Row],[FME ID]],FME_Input[FME_ID],FME_Input[CRITFAC100])</f>
        <v>0</v>
      </c>
      <c r="S811" s="230">
        <f>(FME_Ranking1[[#This Row],[Critical Facilities Raw]]/$R$2)*100</f>
        <v>0</v>
      </c>
      <c r="T811" s="180">
        <f>FME_Ranking1[[#This Row],[Critical Facilities Score (Normalized, Unweighted)]]*$R$3</f>
        <v>0</v>
      </c>
      <c r="U811">
        <f>_xlfn.XLOOKUP(FME_Ranking1[[#This Row],[FME ID]],FME_Input[FME_ID],FME_Input[LWC])</f>
        <v>12</v>
      </c>
      <c r="V811" s="178">
        <f>(FME_Ranking1[[#This Row],[LWC Raw]]/$U$2)*100</f>
        <v>0.69084628670120896</v>
      </c>
      <c r="W811" s="178">
        <f>FME_Ranking1[[#This Row],[LWC Score (Normalized, Unweighted)]]*$U$3</f>
        <v>0.1381692573402418</v>
      </c>
      <c r="X811" s="246">
        <f>_xlfn.XLOOKUP(FME_Ranking1[[#This Row],[FME ID]],FME_Input[FME_ID],FME_Input[ROADCLS])</f>
        <v>0</v>
      </c>
      <c r="Y811" s="230">
        <f>(FME_Ranking1[[#This Row],[Closures Raw]]/$X$2)*100</f>
        <v>0</v>
      </c>
      <c r="Z811" s="180">
        <f>FME_Ranking1[[#This Row],[Closures Score (Normalized, Unweighted)]]*$X$3</f>
        <v>0</v>
      </c>
      <c r="AA811" s="253">
        <f>_xlfn.XLOOKUP(FME_Ranking1[[#This Row],[FME ID]],FME_Input[FME_ID],FME_Input[ROAD_MILES100])</f>
        <v>56.145484924316413</v>
      </c>
      <c r="AB811" s="178">
        <f>(FME_Ranking1[[#This Row],[Miles Raw]]/$AA$2)*100</f>
        <v>0.73821242510000318</v>
      </c>
      <c r="AC811" s="178">
        <f>FME_Ranking1[[#This Row],[Miles Score (Normalized, Unweighted)]]*$AA$3</f>
        <v>7.3821242510000315E-2</v>
      </c>
      <c r="AD811" s="255">
        <f>_xlfn.XLOOKUP(FME_Ranking1[[#This Row],[FME ID]],FME_Input[FME_ID],FME_Input[FARMACRE100])</f>
        <v>3073.50634765625</v>
      </c>
      <c r="AE811" s="230">
        <f>(FME_Ranking1[[#This Row],[Ag Land Raw]]/$AD$2)*100</f>
        <v>0.12673764321483894</v>
      </c>
      <c r="AF811" s="231">
        <f>FME_Ranking1[[#This Row],[Ag Land Score (Normalized, Unweighted)]]*$AD$3</f>
        <v>6.3368821607419469E-3</v>
      </c>
      <c r="AG81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0.22764169840949236</v>
      </c>
      <c r="AH811" s="406">
        <f t="shared" si="12"/>
        <v>745</v>
      </c>
      <c r="AI81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0.22764169840949236</v>
      </c>
      <c r="AJ811" s="257">
        <f>FME_Ranking1[[#This Row],[Addition check]]-FME_Ranking1[[#This Row],[Weighted Score Based on Normalized Reported Factors]]</f>
        <v>0</v>
      </c>
      <c r="AK811" s="178">
        <f>_xlfn.RANK.EQ(AI811,$AI$6:$AI$2341,0)+COUNTIF($AI$6:AI811,AI811)-1</f>
        <v>747</v>
      </c>
    </row>
    <row r="812" spans="1:37" x14ac:dyDescent="0.25">
      <c r="A812" t="s">
        <v>7125</v>
      </c>
      <c r="B812">
        <f>_xlfn.XLOOKUP(FME_Ranking1[[#This Row],[FME ID]],FME_Input[FME_ID],FME_Input[RFPG_NUM])</f>
        <v>7</v>
      </c>
      <c r="C812" t="str">
        <f>_xlfn.XLOOKUP(FME_Ranking1[[#This Row],[FME ID]],FME_Input[FME_ID],FME_Input[FME_NAME])</f>
        <v>Callahan County Buyout Program</v>
      </c>
      <c r="D812" t="str">
        <f>_xlfn.XLOOKUP(FME_Ranking1[[#This Row],[FME ID]],FME_Input[FME_ID],FME_Input[DESCR])</f>
        <v>Develop a land acquisition program in flood hazard areas.</v>
      </c>
      <c r="E812" s="256">
        <f>_xlfn.XLOOKUP(FME_Ranking1[[#This Row],[FME ID]],FME_Input[FME_ID],FME_Input[FME_COST])</f>
        <v>2000000</v>
      </c>
      <c r="F812" t="str">
        <f>_xlfn.XLOOKUP(FME_Ranking1[[#This Row],[FME ID]],FME_Input[FME_ID],FME_Input[EMER_NEED])</f>
        <v>No</v>
      </c>
      <c r="G812">
        <f>IF(FME_Ranking!F812="Yes",100,0)</f>
        <v>0</v>
      </c>
      <c r="H812">
        <f>FME_Ranking1[[#This Row],[Emergency Need Score (Normalized, Unweighted)]]*$F$3</f>
        <v>0</v>
      </c>
      <c r="I812" s="246">
        <f>_xlfn.XLOOKUP(FME_Ranking1[[#This Row],[FME ID]],FME_Input[FME_ID],FME_Input[STRUCT_100])</f>
        <v>81</v>
      </c>
      <c r="J812" s="178">
        <f>(FME_Ranking1[[#This Row],[Structures 100 Raw]]/I$2)*100</f>
        <v>4.3374887546587838E-2</v>
      </c>
      <c r="K812" s="178">
        <f>FME_Ranking1[[#This Row],[Structures 100  Score (Normalized, Unweighted)]]*$I$3</f>
        <v>6.5062331319881758E-3</v>
      </c>
      <c r="L812" s="246">
        <f>_xlfn.XLOOKUP(FME_Ranking1[[#This Row],[FME ID]],FME_Input[FME_ID],FME_Input[RES_STRUCT100])</f>
        <v>21</v>
      </c>
      <c r="M812" s="230">
        <f>(FME_Ranking1[[#This Row],[Res Structures Raw]]/L$2)*100</f>
        <v>1.4874417418651103E-2</v>
      </c>
      <c r="N812" s="180">
        <f>FME_Ranking1[[#This Row],[Res Structures Score (Normalized, Unweighted)]]*$L$3</f>
        <v>1.4874417418651103E-3</v>
      </c>
      <c r="O812" s="244">
        <f>_xlfn.XLOOKUP(FME_Ranking1[[#This Row],[FME ID]],FME_Input[FME_ID],FME_Input[POP100])</f>
        <v>86</v>
      </c>
      <c r="P812" s="178">
        <f>(FME_Ranking1[[#This Row],[Pop Raw]]/$O$2)*100</f>
        <v>8.8042768310336427E-3</v>
      </c>
      <c r="Q812" s="178">
        <f>FME_Ranking1[[#This Row],[Pop Score (Normalized, Unweighted)]]*$O$3</f>
        <v>1.3206415246550464E-3</v>
      </c>
      <c r="R812" s="137">
        <f>_xlfn.XLOOKUP(FME_Ranking1[[#This Row],[FME ID]],FME_Input[FME_ID],FME_Input[CRITFAC100])</f>
        <v>0</v>
      </c>
      <c r="S812" s="230">
        <f>(FME_Ranking1[[#This Row],[Critical Facilities Raw]]/$R$2)*100</f>
        <v>0</v>
      </c>
      <c r="T812" s="180">
        <f>FME_Ranking1[[#This Row],[Critical Facilities Score (Normalized, Unweighted)]]*$R$3</f>
        <v>0</v>
      </c>
      <c r="U812">
        <f>_xlfn.XLOOKUP(FME_Ranking1[[#This Row],[FME ID]],FME_Input[FME_ID],FME_Input[LWC])</f>
        <v>12</v>
      </c>
      <c r="V812" s="178">
        <f>(FME_Ranking1[[#This Row],[LWC Raw]]/$U$2)*100</f>
        <v>0.69084628670120896</v>
      </c>
      <c r="W812" s="178">
        <f>FME_Ranking1[[#This Row],[LWC Score (Normalized, Unweighted)]]*$U$3</f>
        <v>0.1381692573402418</v>
      </c>
      <c r="X812" s="246">
        <f>_xlfn.XLOOKUP(FME_Ranking1[[#This Row],[FME ID]],FME_Input[FME_ID],FME_Input[ROADCLS])</f>
        <v>0</v>
      </c>
      <c r="Y812" s="230">
        <f>(FME_Ranking1[[#This Row],[Closures Raw]]/$X$2)*100</f>
        <v>0</v>
      </c>
      <c r="Z812" s="180">
        <f>FME_Ranking1[[#This Row],[Closures Score (Normalized, Unweighted)]]*$X$3</f>
        <v>0</v>
      </c>
      <c r="AA812" s="253">
        <f>_xlfn.XLOOKUP(FME_Ranking1[[#This Row],[FME ID]],FME_Input[FME_ID],FME_Input[ROAD_MILES100])</f>
        <v>56.145484924316413</v>
      </c>
      <c r="AB812" s="178">
        <f>(FME_Ranking1[[#This Row],[Miles Raw]]/$AA$2)*100</f>
        <v>0.73821242510000318</v>
      </c>
      <c r="AC812" s="178">
        <f>FME_Ranking1[[#This Row],[Miles Score (Normalized, Unweighted)]]*$AA$3</f>
        <v>7.3821242510000315E-2</v>
      </c>
      <c r="AD812" s="255">
        <f>_xlfn.XLOOKUP(FME_Ranking1[[#This Row],[FME ID]],FME_Input[FME_ID],FME_Input[FARMACRE100])</f>
        <v>3073.50634765625</v>
      </c>
      <c r="AE812" s="230">
        <f>(FME_Ranking1[[#This Row],[Ag Land Raw]]/$AD$2)*100</f>
        <v>0.12673764321483894</v>
      </c>
      <c r="AF812" s="231">
        <f>FME_Ranking1[[#This Row],[Ag Land Score (Normalized, Unweighted)]]*$AD$3</f>
        <v>6.3368821607419469E-3</v>
      </c>
      <c r="AG81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0.22764169840949236</v>
      </c>
      <c r="AH812" s="406">
        <f t="shared" si="12"/>
        <v>745</v>
      </c>
      <c r="AI81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0.22764169840949236</v>
      </c>
      <c r="AJ812" s="257">
        <f>FME_Ranking1[[#This Row],[Addition check]]-FME_Ranking1[[#This Row],[Weighted Score Based on Normalized Reported Factors]]</f>
        <v>0</v>
      </c>
      <c r="AK812" s="178">
        <f>_xlfn.RANK.EQ(AI812,$AI$6:$AI$2341,0)+COUNTIF($AI$6:AI812,AI812)-1</f>
        <v>748</v>
      </c>
    </row>
    <row r="813" spans="1:37" x14ac:dyDescent="0.25">
      <c r="A813" t="s">
        <v>7128</v>
      </c>
      <c r="B813">
        <f>_xlfn.XLOOKUP(FME_Ranking1[[#This Row],[FME ID]],FME_Input[FME_ID],FME_Input[RFPG_NUM])</f>
        <v>7</v>
      </c>
      <c r="C813" t="str">
        <f>_xlfn.XLOOKUP(FME_Ranking1[[#This Row],[FME ID]],FME_Input[FME_ID],FME_Input[FME_NAME])</f>
        <v>Callahan County DCM</v>
      </c>
      <c r="D813" t="str">
        <f>_xlfn.XLOOKUP(FME_Ranking1[[#This Row],[FME ID]],FME_Input[FME_ID],FME_Input[DESCR])</f>
        <v>Consider stormwater criteria for infrastructure and floodplain ordinances to avoid new exposure to flood hazards.</v>
      </c>
      <c r="E813" s="256">
        <f>_xlfn.XLOOKUP(FME_Ranking1[[#This Row],[FME ID]],FME_Input[FME_ID],FME_Input[FME_COST])</f>
        <v>100000</v>
      </c>
      <c r="F813" t="str">
        <f>_xlfn.XLOOKUP(FME_Ranking1[[#This Row],[FME ID]],FME_Input[FME_ID],FME_Input[EMER_NEED])</f>
        <v>No</v>
      </c>
      <c r="G813">
        <f>IF(FME_Ranking!F813="Yes",100,0)</f>
        <v>0</v>
      </c>
      <c r="H813">
        <f>FME_Ranking1[[#This Row],[Emergency Need Score (Normalized, Unweighted)]]*$F$3</f>
        <v>0</v>
      </c>
      <c r="I813" s="246">
        <f>_xlfn.XLOOKUP(FME_Ranking1[[#This Row],[FME ID]],FME_Input[FME_ID],FME_Input[STRUCT_100])</f>
        <v>81</v>
      </c>
      <c r="J813" s="178">
        <f>(FME_Ranking1[[#This Row],[Structures 100 Raw]]/I$2)*100</f>
        <v>4.3374887546587838E-2</v>
      </c>
      <c r="K813" s="178">
        <f>FME_Ranking1[[#This Row],[Structures 100  Score (Normalized, Unweighted)]]*$I$3</f>
        <v>6.5062331319881758E-3</v>
      </c>
      <c r="L813" s="246">
        <f>_xlfn.XLOOKUP(FME_Ranking1[[#This Row],[FME ID]],FME_Input[FME_ID],FME_Input[RES_STRUCT100])</f>
        <v>21</v>
      </c>
      <c r="M813" s="230">
        <f>(FME_Ranking1[[#This Row],[Res Structures Raw]]/L$2)*100</f>
        <v>1.4874417418651103E-2</v>
      </c>
      <c r="N813" s="180">
        <f>FME_Ranking1[[#This Row],[Res Structures Score (Normalized, Unweighted)]]*$L$3</f>
        <v>1.4874417418651103E-3</v>
      </c>
      <c r="O813" s="244">
        <f>_xlfn.XLOOKUP(FME_Ranking1[[#This Row],[FME ID]],FME_Input[FME_ID],FME_Input[POP100])</f>
        <v>86</v>
      </c>
      <c r="P813" s="178">
        <f>(FME_Ranking1[[#This Row],[Pop Raw]]/$O$2)*100</f>
        <v>8.8042768310336427E-3</v>
      </c>
      <c r="Q813" s="178">
        <f>FME_Ranking1[[#This Row],[Pop Score (Normalized, Unweighted)]]*$O$3</f>
        <v>1.3206415246550464E-3</v>
      </c>
      <c r="R813" s="137">
        <f>_xlfn.XLOOKUP(FME_Ranking1[[#This Row],[FME ID]],FME_Input[FME_ID],FME_Input[CRITFAC100])</f>
        <v>0</v>
      </c>
      <c r="S813" s="230">
        <f>(FME_Ranking1[[#This Row],[Critical Facilities Raw]]/$R$2)*100</f>
        <v>0</v>
      </c>
      <c r="T813" s="180">
        <f>FME_Ranking1[[#This Row],[Critical Facilities Score (Normalized, Unweighted)]]*$R$3</f>
        <v>0</v>
      </c>
      <c r="U813">
        <f>_xlfn.XLOOKUP(FME_Ranking1[[#This Row],[FME ID]],FME_Input[FME_ID],FME_Input[LWC])</f>
        <v>12</v>
      </c>
      <c r="V813" s="178">
        <f>(FME_Ranking1[[#This Row],[LWC Raw]]/$U$2)*100</f>
        <v>0.69084628670120896</v>
      </c>
      <c r="W813" s="178">
        <f>FME_Ranking1[[#This Row],[LWC Score (Normalized, Unweighted)]]*$U$3</f>
        <v>0.1381692573402418</v>
      </c>
      <c r="X813" s="246">
        <f>_xlfn.XLOOKUP(FME_Ranking1[[#This Row],[FME ID]],FME_Input[FME_ID],FME_Input[ROADCLS])</f>
        <v>0</v>
      </c>
      <c r="Y813" s="230">
        <f>(FME_Ranking1[[#This Row],[Closures Raw]]/$X$2)*100</f>
        <v>0</v>
      </c>
      <c r="Z813" s="180">
        <f>FME_Ranking1[[#This Row],[Closures Score (Normalized, Unweighted)]]*$X$3</f>
        <v>0</v>
      </c>
      <c r="AA813" s="253">
        <f>_xlfn.XLOOKUP(FME_Ranking1[[#This Row],[FME ID]],FME_Input[FME_ID],FME_Input[ROAD_MILES100])</f>
        <v>56.145484924316413</v>
      </c>
      <c r="AB813" s="178">
        <f>(FME_Ranking1[[#This Row],[Miles Raw]]/$AA$2)*100</f>
        <v>0.73821242510000318</v>
      </c>
      <c r="AC813" s="178">
        <f>FME_Ranking1[[#This Row],[Miles Score (Normalized, Unweighted)]]*$AA$3</f>
        <v>7.3821242510000315E-2</v>
      </c>
      <c r="AD813" s="255">
        <f>_xlfn.XLOOKUP(FME_Ranking1[[#This Row],[FME ID]],FME_Input[FME_ID],FME_Input[FARMACRE100])</f>
        <v>3073.50634765625</v>
      </c>
      <c r="AE813" s="230">
        <f>(FME_Ranking1[[#This Row],[Ag Land Raw]]/$AD$2)*100</f>
        <v>0.12673764321483894</v>
      </c>
      <c r="AF813" s="231">
        <f>FME_Ranking1[[#This Row],[Ag Land Score (Normalized, Unweighted)]]*$AD$3</f>
        <v>6.3368821607419469E-3</v>
      </c>
      <c r="AG81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0.22764169840949236</v>
      </c>
      <c r="AH813" s="406">
        <f t="shared" si="12"/>
        <v>745</v>
      </c>
      <c r="AI81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0.22764169840949236</v>
      </c>
      <c r="AJ813" s="257">
        <f>FME_Ranking1[[#This Row],[Addition check]]-FME_Ranking1[[#This Row],[Weighted Score Based on Normalized Reported Factors]]</f>
        <v>0</v>
      </c>
      <c r="AK813" s="178">
        <f>_xlfn.RANK.EQ(AI813,$AI$6:$AI$2341,0)+COUNTIF($AI$6:AI813,AI813)-1</f>
        <v>749</v>
      </c>
    </row>
    <row r="814" spans="1:37" x14ac:dyDescent="0.25">
      <c r="A814" t="s">
        <v>8545</v>
      </c>
      <c r="B814">
        <f>_xlfn.XLOOKUP(FME_Ranking1[[#This Row],[FME ID]],FME_Input[FME_ID],FME_Input[RFPG_NUM])</f>
        <v>11</v>
      </c>
      <c r="C814" t="str">
        <f>_xlfn.XLOOKUP(FME_Ranking1[[#This Row],[FME ID]],FME_Input[FME_ID],FME_Input[FME_NAME])</f>
        <v>Caldwell County Emergency Service District #3 River Crossing Improvements Study</v>
      </c>
      <c r="D814" t="str">
        <f>_xlfn.XLOOKUP(FME_Ranking1[[#This Row],[FME ID]],FME_Input[FME_ID],FME_Input[DESCR])</f>
        <v>Study solutions to upgrade river crossings throughout the district including but not limited to Scull Road Bridge.</v>
      </c>
      <c r="E814" s="256">
        <f>_xlfn.XLOOKUP(FME_Ranking1[[#This Row],[FME ID]],FME_Input[FME_ID],FME_Input[FME_COST])</f>
        <v>1000000</v>
      </c>
      <c r="F814" t="str">
        <f>_xlfn.XLOOKUP(FME_Ranking1[[#This Row],[FME ID]],FME_Input[FME_ID],FME_Input[EMER_NEED])</f>
        <v>No</v>
      </c>
      <c r="G814">
        <f>IF(FME_Ranking!F814="Yes",100,0)</f>
        <v>0</v>
      </c>
      <c r="H814">
        <f>FME_Ranking1[[#This Row],[Emergency Need Score (Normalized, Unweighted)]]*$F$3</f>
        <v>0</v>
      </c>
      <c r="I814" s="246">
        <f>_xlfn.XLOOKUP(FME_Ranking1[[#This Row],[FME ID]],FME_Input[FME_ID],FME_Input[STRUCT_100])</f>
        <v>465</v>
      </c>
      <c r="J814" s="178">
        <f>(FME_Ranking1[[#This Row],[Structures 100 Raw]]/I$2)*100</f>
        <v>0.24900398406374502</v>
      </c>
      <c r="K814" s="178">
        <f>FME_Ranking1[[#This Row],[Structures 100  Score (Normalized, Unweighted)]]*$I$3</f>
        <v>3.7350597609561755E-2</v>
      </c>
      <c r="L814" s="246">
        <f>_xlfn.XLOOKUP(FME_Ranking1[[#This Row],[FME ID]],FME_Input[FME_ID],FME_Input[RES_STRUCT100])</f>
        <v>347</v>
      </c>
      <c r="M814" s="230">
        <f>(FME_Ranking1[[#This Row],[Res Structures Raw]]/L$2)*100</f>
        <v>0.24578204020342539</v>
      </c>
      <c r="N814" s="180">
        <f>FME_Ranking1[[#This Row],[Res Structures Score (Normalized, Unweighted)]]*$L$3</f>
        <v>2.4578204020342539E-2</v>
      </c>
      <c r="O814" s="244">
        <f>_xlfn.XLOOKUP(FME_Ranking1[[#This Row],[FME ID]],FME_Input[FME_ID],FME_Input[POP100])</f>
        <v>1254</v>
      </c>
      <c r="P814" s="178">
        <f>(FME_Ranking1[[#This Row],[Pop Raw]]/$O$2)*100</f>
        <v>0.12837864123390916</v>
      </c>
      <c r="Q814" s="178">
        <f>FME_Ranking1[[#This Row],[Pop Score (Normalized, Unweighted)]]*$O$3</f>
        <v>1.9256796185086373E-2</v>
      </c>
      <c r="R814" s="137">
        <f>_xlfn.XLOOKUP(FME_Ranking1[[#This Row],[FME ID]],FME_Input[FME_ID],FME_Input[CRITFAC100])</f>
        <v>1</v>
      </c>
      <c r="S814" s="230">
        <f>(FME_Ranking1[[#This Row],[Critical Facilities Raw]]/$R$2)*100</f>
        <v>4.2881646655231559E-2</v>
      </c>
      <c r="T814" s="180">
        <f>FME_Ranking1[[#This Row],[Critical Facilities Score (Normalized, Unweighted)]]*$R$3</f>
        <v>8.5763293310463125E-3</v>
      </c>
      <c r="U814">
        <f>_xlfn.XLOOKUP(FME_Ranking1[[#This Row],[FME ID]],FME_Input[FME_ID],FME_Input[LWC])</f>
        <v>5</v>
      </c>
      <c r="V814" s="178">
        <f>(FME_Ranking1[[#This Row],[LWC Raw]]/$U$2)*100</f>
        <v>0.28785261945883706</v>
      </c>
      <c r="W814" s="178">
        <f>FME_Ranking1[[#This Row],[LWC Score (Normalized, Unweighted)]]*$U$3</f>
        <v>5.7570523891767415E-2</v>
      </c>
      <c r="X814" s="246">
        <f>_xlfn.XLOOKUP(FME_Ranking1[[#This Row],[FME ID]],FME_Input[FME_ID],FME_Input[ROADCLS])</f>
        <v>0</v>
      </c>
      <c r="Y814" s="230">
        <f>(FME_Ranking1[[#This Row],[Closures Raw]]/$X$2)*100</f>
        <v>0</v>
      </c>
      <c r="Z814" s="180">
        <f>FME_Ranking1[[#This Row],[Closures Score (Normalized, Unweighted)]]*$X$3</f>
        <v>0</v>
      </c>
      <c r="AA814" s="253">
        <f>_xlfn.XLOOKUP(FME_Ranking1[[#This Row],[FME ID]],FME_Input[FME_ID],FME_Input[ROAD_MILES100])</f>
        <v>12.589627265930179</v>
      </c>
      <c r="AB814" s="178">
        <f>(FME_Ranking1[[#This Row],[Miles Raw]]/$AA$2)*100</f>
        <v>0.16553101799041225</v>
      </c>
      <c r="AC814" s="178">
        <f>FME_Ranking1[[#This Row],[Miles Score (Normalized, Unweighted)]]*$AA$3</f>
        <v>1.6553101799041226E-2</v>
      </c>
      <c r="AD814" s="255">
        <f>_xlfn.XLOOKUP(FME_Ranking1[[#This Row],[FME ID]],FME_Input[FME_ID],FME_Input[FARMACRE100])</f>
        <v>3124.1123046875</v>
      </c>
      <c r="AE814" s="230">
        <f>(FME_Ranking1[[#This Row],[Ag Land Raw]]/$AD$2)*100</f>
        <v>0.12882440634505432</v>
      </c>
      <c r="AF814" s="231">
        <f>FME_Ranking1[[#This Row],[Ag Land Score (Normalized, Unweighted)]]*$AD$3</f>
        <v>6.4412203172527164E-3</v>
      </c>
      <c r="AG81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0.17032677315409836</v>
      </c>
      <c r="AH814" s="406">
        <f t="shared" si="12"/>
        <v>862</v>
      </c>
      <c r="AI81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0.17032677315409836</v>
      </c>
      <c r="AJ814" s="257">
        <f>FME_Ranking1[[#This Row],[Addition check]]-FME_Ranking1[[#This Row],[Weighted Score Based on Normalized Reported Factors]]</f>
        <v>0</v>
      </c>
      <c r="AK814" s="178">
        <f>_xlfn.RANK.EQ(AI814,$AI$6:$AI$2341,0)+COUNTIF($AI$6:AI814,AI814)-1</f>
        <v>862</v>
      </c>
    </row>
    <row r="815" spans="1:37" x14ac:dyDescent="0.25">
      <c r="A815" t="s">
        <v>8553</v>
      </c>
      <c r="B815">
        <f>_xlfn.XLOOKUP(FME_Ranking1[[#This Row],[FME ID]],FME_Input[FME_ID],FME_Input[RFPG_NUM])</f>
        <v>11</v>
      </c>
      <c r="C815" t="str">
        <f>_xlfn.XLOOKUP(FME_Ranking1[[#This Row],[FME ID]],FME_Input[FME_ID],FME_Input[FME_NAME])</f>
        <v>Caldwell County Emergency Service District #3 Repetitive Loss Property Mitigation Study</v>
      </c>
      <c r="D815" t="str">
        <f>_xlfn.XLOOKUP(FME_Ranking1[[#This Row],[FME ID]],FME_Input[FME_ID],FME_Input[DESCR])</f>
        <v>Study of identify flood-prone and repetitive loss properties through the Texas Water Development Board and identify and study solutions to reduce or eliminate flooding at identified properties.</v>
      </c>
      <c r="E815" s="256">
        <f>_xlfn.XLOOKUP(FME_Ranking1[[#This Row],[FME ID]],FME_Input[FME_ID],FME_Input[FME_COST])</f>
        <v>1000000</v>
      </c>
      <c r="F815" t="str">
        <f>_xlfn.XLOOKUP(FME_Ranking1[[#This Row],[FME ID]],FME_Input[FME_ID],FME_Input[EMER_NEED])</f>
        <v>No</v>
      </c>
      <c r="G815">
        <f>IF(FME_Ranking!F815="Yes",100,0)</f>
        <v>0</v>
      </c>
      <c r="H815">
        <f>FME_Ranking1[[#This Row],[Emergency Need Score (Normalized, Unweighted)]]*$F$3</f>
        <v>0</v>
      </c>
      <c r="I815" s="246">
        <f>_xlfn.XLOOKUP(FME_Ranking1[[#This Row],[FME ID]],FME_Input[FME_ID],FME_Input[STRUCT_100])</f>
        <v>465</v>
      </c>
      <c r="J815" s="178">
        <f>(FME_Ranking1[[#This Row],[Structures 100 Raw]]/I$2)*100</f>
        <v>0.24900398406374502</v>
      </c>
      <c r="K815" s="178">
        <f>FME_Ranking1[[#This Row],[Structures 100  Score (Normalized, Unweighted)]]*$I$3</f>
        <v>3.7350597609561755E-2</v>
      </c>
      <c r="L815" s="246">
        <f>_xlfn.XLOOKUP(FME_Ranking1[[#This Row],[FME ID]],FME_Input[FME_ID],FME_Input[RES_STRUCT100])</f>
        <v>347</v>
      </c>
      <c r="M815" s="230">
        <f>(FME_Ranking1[[#This Row],[Res Structures Raw]]/L$2)*100</f>
        <v>0.24578204020342539</v>
      </c>
      <c r="N815" s="180">
        <f>FME_Ranking1[[#This Row],[Res Structures Score (Normalized, Unweighted)]]*$L$3</f>
        <v>2.4578204020342539E-2</v>
      </c>
      <c r="O815" s="244">
        <f>_xlfn.XLOOKUP(FME_Ranking1[[#This Row],[FME ID]],FME_Input[FME_ID],FME_Input[POP100])</f>
        <v>1254</v>
      </c>
      <c r="P815" s="178">
        <f>(FME_Ranking1[[#This Row],[Pop Raw]]/$O$2)*100</f>
        <v>0.12837864123390916</v>
      </c>
      <c r="Q815" s="178">
        <f>FME_Ranking1[[#This Row],[Pop Score (Normalized, Unweighted)]]*$O$3</f>
        <v>1.9256796185086373E-2</v>
      </c>
      <c r="R815" s="137">
        <f>_xlfn.XLOOKUP(FME_Ranking1[[#This Row],[FME ID]],FME_Input[FME_ID],FME_Input[CRITFAC100])</f>
        <v>1</v>
      </c>
      <c r="S815" s="230">
        <f>(FME_Ranking1[[#This Row],[Critical Facilities Raw]]/$R$2)*100</f>
        <v>4.2881646655231559E-2</v>
      </c>
      <c r="T815" s="180">
        <f>FME_Ranking1[[#This Row],[Critical Facilities Score (Normalized, Unweighted)]]*$R$3</f>
        <v>8.5763293310463125E-3</v>
      </c>
      <c r="U815">
        <f>_xlfn.XLOOKUP(FME_Ranking1[[#This Row],[FME ID]],FME_Input[FME_ID],FME_Input[LWC])</f>
        <v>5</v>
      </c>
      <c r="V815" s="178">
        <f>(FME_Ranking1[[#This Row],[LWC Raw]]/$U$2)*100</f>
        <v>0.28785261945883706</v>
      </c>
      <c r="W815" s="178">
        <f>FME_Ranking1[[#This Row],[LWC Score (Normalized, Unweighted)]]*$U$3</f>
        <v>5.7570523891767415E-2</v>
      </c>
      <c r="X815" s="246">
        <f>_xlfn.XLOOKUP(FME_Ranking1[[#This Row],[FME ID]],FME_Input[FME_ID],FME_Input[ROADCLS])</f>
        <v>0</v>
      </c>
      <c r="Y815" s="230">
        <f>(FME_Ranking1[[#This Row],[Closures Raw]]/$X$2)*100</f>
        <v>0</v>
      </c>
      <c r="Z815" s="180">
        <f>FME_Ranking1[[#This Row],[Closures Score (Normalized, Unweighted)]]*$X$3</f>
        <v>0</v>
      </c>
      <c r="AA815" s="253">
        <f>_xlfn.XLOOKUP(FME_Ranking1[[#This Row],[FME ID]],FME_Input[FME_ID],FME_Input[ROAD_MILES100])</f>
        <v>12.589627265930179</v>
      </c>
      <c r="AB815" s="178">
        <f>(FME_Ranking1[[#This Row],[Miles Raw]]/$AA$2)*100</f>
        <v>0.16553101799041225</v>
      </c>
      <c r="AC815" s="178">
        <f>FME_Ranking1[[#This Row],[Miles Score (Normalized, Unweighted)]]*$AA$3</f>
        <v>1.6553101799041226E-2</v>
      </c>
      <c r="AD815" s="255">
        <f>_xlfn.XLOOKUP(FME_Ranking1[[#This Row],[FME ID]],FME_Input[FME_ID],FME_Input[FARMACRE100])</f>
        <v>3124.1123046875</v>
      </c>
      <c r="AE815" s="230">
        <f>(FME_Ranking1[[#This Row],[Ag Land Raw]]/$AD$2)*100</f>
        <v>0.12882440634505432</v>
      </c>
      <c r="AF815" s="231">
        <f>FME_Ranking1[[#This Row],[Ag Land Score (Normalized, Unweighted)]]*$AD$3</f>
        <v>6.4412203172527164E-3</v>
      </c>
      <c r="AG81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0.17032677315409836</v>
      </c>
      <c r="AH815" s="406">
        <f t="shared" si="12"/>
        <v>862</v>
      </c>
      <c r="AI81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0.17032677315409836</v>
      </c>
      <c r="AJ815" s="257">
        <f>FME_Ranking1[[#This Row],[Addition check]]-FME_Ranking1[[#This Row],[Weighted Score Based on Normalized Reported Factors]]</f>
        <v>0</v>
      </c>
      <c r="AK815" s="178">
        <f>_xlfn.RANK.EQ(AI815,$AI$6:$AI$2341,0)+COUNTIF($AI$6:AI815,AI815)-1</f>
        <v>863</v>
      </c>
    </row>
    <row r="816" spans="1:37" x14ac:dyDescent="0.25">
      <c r="A816" t="s">
        <v>7448</v>
      </c>
      <c r="B816">
        <f>_xlfn.XLOOKUP(FME_Ranking1[[#This Row],[FME ID]],FME_Input[FME_ID],FME_Input[RFPG_NUM])</f>
        <v>8</v>
      </c>
      <c r="C816" t="str">
        <f>_xlfn.XLOOKUP(FME_Ranking1[[#This Row],[FME ID]],FME_Input[FME_ID],FME_Input[FME_NAME])</f>
        <v>Sugar Land MDP - Master Drainage Plan Updates</v>
      </c>
      <c r="D816" t="str">
        <f>_xlfn.XLOOKUP(FME_Ranking1[[#This Row],[FME ID]],FME_Input[FME_ID],FME_Input[DESCR])</f>
        <v>Review comprehensive plan goals, update detention facility ownership and assets, consider funding mechanisms, evaluate ranking criteria.</v>
      </c>
      <c r="E816" s="256">
        <f>_xlfn.XLOOKUP(FME_Ranking1[[#This Row],[FME ID]],FME_Input[FME_ID],FME_Input[FME_COST])</f>
        <v>534000</v>
      </c>
      <c r="F816" t="str">
        <f>_xlfn.XLOOKUP(FME_Ranking1[[#This Row],[FME ID]],FME_Input[FME_ID],FME_Input[EMER_NEED])</f>
        <v>No</v>
      </c>
      <c r="G816">
        <f>IF(FME_Ranking!F816="Yes",100,0)</f>
        <v>0</v>
      </c>
      <c r="H816">
        <f>FME_Ranking1[[#This Row],[Emergency Need Score (Normalized, Unweighted)]]*$F$3</f>
        <v>0</v>
      </c>
      <c r="I816" s="246">
        <f>_xlfn.XLOOKUP(FME_Ranking1[[#This Row],[FME ID]],FME_Input[FME_ID],FME_Input[STRUCT_100])</f>
        <v>442</v>
      </c>
      <c r="J816" s="178">
        <f>(FME_Ranking1[[#This Row],[Structures 100 Raw]]/I$2)*100</f>
        <v>0.23668765797026947</v>
      </c>
      <c r="K816" s="178">
        <f>FME_Ranking1[[#This Row],[Structures 100  Score (Normalized, Unweighted)]]*$I$3</f>
        <v>3.5503148695540422E-2</v>
      </c>
      <c r="L816" s="246">
        <f>_xlfn.XLOOKUP(FME_Ranking1[[#This Row],[FME ID]],FME_Input[FME_ID],FME_Input[RES_STRUCT100])</f>
        <v>350</v>
      </c>
      <c r="M816" s="230">
        <f>(FME_Ranking1[[#This Row],[Res Structures Raw]]/L$2)*100</f>
        <v>0.24790695697751836</v>
      </c>
      <c r="N816" s="180">
        <f>FME_Ranking1[[#This Row],[Res Structures Score (Normalized, Unweighted)]]*$L$3</f>
        <v>2.4790695697751837E-2</v>
      </c>
      <c r="O816" s="244">
        <f>_xlfn.XLOOKUP(FME_Ranking1[[#This Row],[FME ID]],FME_Input[FME_ID],FME_Input[POP100])</f>
        <v>1403</v>
      </c>
      <c r="P816" s="178">
        <f>(FME_Ranking1[[#This Row],[Pop Raw]]/$O$2)*100</f>
        <v>0.14363256272023489</v>
      </c>
      <c r="Q816" s="178">
        <f>FME_Ranking1[[#This Row],[Pop Score (Normalized, Unweighted)]]*$O$3</f>
        <v>2.1544884408035234E-2</v>
      </c>
      <c r="R816" s="137">
        <f>_xlfn.XLOOKUP(FME_Ranking1[[#This Row],[FME ID]],FME_Input[FME_ID],FME_Input[CRITFAC100])</f>
        <v>2</v>
      </c>
      <c r="S816" s="230">
        <f>(FME_Ranking1[[#This Row],[Critical Facilities Raw]]/$R$2)*100</f>
        <v>8.5763293310463118E-2</v>
      </c>
      <c r="T816" s="180">
        <f>FME_Ranking1[[#This Row],[Critical Facilities Score (Normalized, Unweighted)]]*$R$3</f>
        <v>1.7152658662092625E-2</v>
      </c>
      <c r="U816">
        <f>_xlfn.XLOOKUP(FME_Ranking1[[#This Row],[FME ID]],FME_Input[FME_ID],FME_Input[LWC])</f>
        <v>0</v>
      </c>
      <c r="V816" s="178">
        <f>(FME_Ranking1[[#This Row],[LWC Raw]]/$U$2)*100</f>
        <v>0</v>
      </c>
      <c r="W816" s="178">
        <f>FME_Ranking1[[#This Row],[LWC Score (Normalized, Unweighted)]]*$U$3</f>
        <v>0</v>
      </c>
      <c r="X816" s="246">
        <f>_xlfn.XLOOKUP(FME_Ranking1[[#This Row],[FME ID]],FME_Input[FME_ID],FME_Input[ROADCLS])</f>
        <v>96</v>
      </c>
      <c r="Y816" s="230">
        <f>(FME_Ranking1[[#This Row],[Closures Raw]]/$X$2)*100</f>
        <v>1.009357585953107</v>
      </c>
      <c r="Z816" s="180">
        <f>FME_Ranking1[[#This Row],[Closures Score (Normalized, Unweighted)]]*$X$3</f>
        <v>5.0467879297655352E-2</v>
      </c>
      <c r="AA816" s="253">
        <f>_xlfn.XLOOKUP(FME_Ranking1[[#This Row],[FME ID]],FME_Input[FME_ID],FME_Input[ROAD_MILES100])</f>
        <v>18.439199447631839</v>
      </c>
      <c r="AB816" s="178">
        <f>(FME_Ranking1[[#This Row],[Miles Raw]]/$AA$2)*100</f>
        <v>0.24244240047953722</v>
      </c>
      <c r="AC816" s="178">
        <f>FME_Ranking1[[#This Row],[Miles Score (Normalized, Unweighted)]]*$AA$3</f>
        <v>2.4244240047953725E-2</v>
      </c>
      <c r="AD816" s="255">
        <f>_xlfn.XLOOKUP(FME_Ranking1[[#This Row],[FME ID]],FME_Input[FME_ID],FME_Input[FARMACRE100])</f>
        <v>1687.170043945312</v>
      </c>
      <c r="AE816" s="230">
        <f>(FME_Ranking1[[#This Row],[Ag Land Raw]]/$AD$2)*100</f>
        <v>6.9571339989378228E-2</v>
      </c>
      <c r="AF816" s="231">
        <f>FME_Ranking1[[#This Row],[Ag Land Score (Normalized, Unweighted)]]*$AD$3</f>
        <v>3.4785669994689115E-3</v>
      </c>
      <c r="AG81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0.1771820738084981</v>
      </c>
      <c r="AH816" s="406">
        <f t="shared" si="12"/>
        <v>851</v>
      </c>
      <c r="AI81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0.1771820738084981</v>
      </c>
      <c r="AJ816" s="257">
        <f>FME_Ranking1[[#This Row],[Addition check]]-FME_Ranking1[[#This Row],[Weighted Score Based on Normalized Reported Factors]]</f>
        <v>0</v>
      </c>
      <c r="AK816" s="178">
        <f>_xlfn.RANK.EQ(AI816,$AI$6:$AI$2341,0)+COUNTIF($AI$6:AI816,AI816)-1</f>
        <v>851</v>
      </c>
    </row>
    <row r="817" spans="1:37" x14ac:dyDescent="0.25">
      <c r="A817" t="s">
        <v>7503</v>
      </c>
      <c r="B817">
        <f>_xlfn.XLOOKUP(FME_Ranking1[[#This Row],[FME ID]],FME_Input[FME_ID],FME_Input[RFPG_NUM])</f>
        <v>8</v>
      </c>
      <c r="C817" t="str">
        <f>_xlfn.XLOOKUP(FME_Ranking1[[#This Row],[FME ID]],FME_Input[FME_ID],FME_Input[FME_NAME])</f>
        <v>Sugar Land Citywide Flood Prevention &amp; Drainage Studies</v>
      </c>
      <c r="D817" t="str">
        <f>_xlfn.XLOOKUP(FME_Ranking1[[#This Row],[FME ID]],FME_Input[FME_ID],FME_Input[DESCR])</f>
        <v>Study to determine how to replace B-B inlets with C-2 or H2 inlets in areas of ponding and structural risk.</v>
      </c>
      <c r="E817" s="256">
        <f>_xlfn.XLOOKUP(FME_Ranking1[[#This Row],[FME ID]],FME_Input[FME_ID],FME_Input[FME_COST])</f>
        <v>219000</v>
      </c>
      <c r="F817" t="str">
        <f>_xlfn.XLOOKUP(FME_Ranking1[[#This Row],[FME ID]],FME_Input[FME_ID],FME_Input[EMER_NEED])</f>
        <v>No</v>
      </c>
      <c r="G817">
        <f>IF(FME_Ranking!F817="Yes",100,0)</f>
        <v>0</v>
      </c>
      <c r="H817">
        <f>FME_Ranking1[[#This Row],[Emergency Need Score (Normalized, Unweighted)]]*$F$3</f>
        <v>0</v>
      </c>
      <c r="I817" s="246">
        <f>_xlfn.XLOOKUP(FME_Ranking1[[#This Row],[FME ID]],FME_Input[FME_ID],FME_Input[STRUCT_100])</f>
        <v>442</v>
      </c>
      <c r="J817" s="178">
        <f>(FME_Ranking1[[#This Row],[Structures 100 Raw]]/I$2)*100</f>
        <v>0.23668765797026947</v>
      </c>
      <c r="K817" s="178">
        <f>FME_Ranking1[[#This Row],[Structures 100  Score (Normalized, Unweighted)]]*$I$3</f>
        <v>3.5503148695540422E-2</v>
      </c>
      <c r="L817" s="246">
        <f>_xlfn.XLOOKUP(FME_Ranking1[[#This Row],[FME ID]],FME_Input[FME_ID],FME_Input[RES_STRUCT100])</f>
        <v>350</v>
      </c>
      <c r="M817" s="230">
        <f>(FME_Ranking1[[#This Row],[Res Structures Raw]]/L$2)*100</f>
        <v>0.24790695697751836</v>
      </c>
      <c r="N817" s="180">
        <f>FME_Ranking1[[#This Row],[Res Structures Score (Normalized, Unweighted)]]*$L$3</f>
        <v>2.4790695697751837E-2</v>
      </c>
      <c r="O817" s="244">
        <f>_xlfn.XLOOKUP(FME_Ranking1[[#This Row],[FME ID]],FME_Input[FME_ID],FME_Input[POP100])</f>
        <v>1403</v>
      </c>
      <c r="P817" s="178">
        <f>(FME_Ranking1[[#This Row],[Pop Raw]]/$O$2)*100</f>
        <v>0.14363256272023489</v>
      </c>
      <c r="Q817" s="178">
        <f>FME_Ranking1[[#This Row],[Pop Score (Normalized, Unweighted)]]*$O$3</f>
        <v>2.1544884408035234E-2</v>
      </c>
      <c r="R817" s="137">
        <f>_xlfn.XLOOKUP(FME_Ranking1[[#This Row],[FME ID]],FME_Input[FME_ID],FME_Input[CRITFAC100])</f>
        <v>2</v>
      </c>
      <c r="S817" s="230">
        <f>(FME_Ranking1[[#This Row],[Critical Facilities Raw]]/$R$2)*100</f>
        <v>8.5763293310463118E-2</v>
      </c>
      <c r="T817" s="180">
        <f>FME_Ranking1[[#This Row],[Critical Facilities Score (Normalized, Unweighted)]]*$R$3</f>
        <v>1.7152658662092625E-2</v>
      </c>
      <c r="U817">
        <f>_xlfn.XLOOKUP(FME_Ranking1[[#This Row],[FME ID]],FME_Input[FME_ID],FME_Input[LWC])</f>
        <v>0</v>
      </c>
      <c r="V817" s="178">
        <f>(FME_Ranking1[[#This Row],[LWC Raw]]/$U$2)*100</f>
        <v>0</v>
      </c>
      <c r="W817" s="178">
        <f>FME_Ranking1[[#This Row],[LWC Score (Normalized, Unweighted)]]*$U$3</f>
        <v>0</v>
      </c>
      <c r="X817" s="246">
        <f>_xlfn.XLOOKUP(FME_Ranking1[[#This Row],[FME ID]],FME_Input[FME_ID],FME_Input[ROADCLS])</f>
        <v>96</v>
      </c>
      <c r="Y817" s="230">
        <f>(FME_Ranking1[[#This Row],[Closures Raw]]/$X$2)*100</f>
        <v>1.009357585953107</v>
      </c>
      <c r="Z817" s="180">
        <f>FME_Ranking1[[#This Row],[Closures Score (Normalized, Unweighted)]]*$X$3</f>
        <v>5.0467879297655352E-2</v>
      </c>
      <c r="AA817" s="253">
        <f>_xlfn.XLOOKUP(FME_Ranking1[[#This Row],[FME ID]],FME_Input[FME_ID],FME_Input[ROAD_MILES100])</f>
        <v>18.439199447631839</v>
      </c>
      <c r="AB817" s="178">
        <f>(FME_Ranking1[[#This Row],[Miles Raw]]/$AA$2)*100</f>
        <v>0.24244240047953722</v>
      </c>
      <c r="AC817" s="178">
        <f>FME_Ranking1[[#This Row],[Miles Score (Normalized, Unweighted)]]*$AA$3</f>
        <v>2.4244240047953725E-2</v>
      </c>
      <c r="AD817" s="255">
        <f>_xlfn.XLOOKUP(FME_Ranking1[[#This Row],[FME ID]],FME_Input[FME_ID],FME_Input[FARMACRE100])</f>
        <v>1687.170043945312</v>
      </c>
      <c r="AE817" s="230">
        <f>(FME_Ranking1[[#This Row],[Ag Land Raw]]/$AD$2)*100</f>
        <v>6.9571339989378228E-2</v>
      </c>
      <c r="AF817" s="231">
        <f>FME_Ranking1[[#This Row],[Ag Land Score (Normalized, Unweighted)]]*$AD$3</f>
        <v>3.4785669994689115E-3</v>
      </c>
      <c r="AG81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0.1771820738084981</v>
      </c>
      <c r="AH817" s="406">
        <f t="shared" si="12"/>
        <v>851</v>
      </c>
      <c r="AI81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0.1771820738084981</v>
      </c>
      <c r="AJ817" s="257">
        <f>FME_Ranking1[[#This Row],[Addition check]]-FME_Ranking1[[#This Row],[Weighted Score Based on Normalized Reported Factors]]</f>
        <v>0</v>
      </c>
      <c r="AK817" s="178">
        <f>_xlfn.RANK.EQ(AI817,$AI$6:$AI$2341,0)+COUNTIF($AI$6:AI817,AI817)-1</f>
        <v>852</v>
      </c>
    </row>
    <row r="818" spans="1:37" x14ac:dyDescent="0.25">
      <c r="A818" t="s">
        <v>7727</v>
      </c>
      <c r="B818">
        <f>_xlfn.XLOOKUP(FME_Ranking1[[#This Row],[FME ID]],FME_Input[FME_ID],FME_Input[RFPG_NUM])</f>
        <v>8</v>
      </c>
      <c r="C818" t="str">
        <f>_xlfn.XLOOKUP(FME_Ranking1[[#This Row],[FME ID]],FME_Input[FME_ID],FME_Input[FME_NAME])</f>
        <v>Sugar Creek Drainage Improvements</v>
      </c>
      <c r="D818" t="str">
        <f>_xlfn.XLOOKUP(FME_Ranking1[[#This Row],[FME ID]],FME_Input[FME_ID],FME_Input[DESCR])</f>
        <v>Design of storm drain updates throughout neighborhood.</v>
      </c>
      <c r="E818" s="256">
        <f>_xlfn.XLOOKUP(FME_Ranking1[[#This Row],[FME ID]],FME_Input[FME_ID],FME_Input[FME_COST])</f>
        <v>388000</v>
      </c>
      <c r="F818" t="str">
        <f>_xlfn.XLOOKUP(FME_Ranking1[[#This Row],[FME ID]],FME_Input[FME_ID],FME_Input[EMER_NEED])</f>
        <v>No</v>
      </c>
      <c r="G818">
        <f>IF(FME_Ranking!F818="Yes",100,0)</f>
        <v>0</v>
      </c>
      <c r="H818">
        <f>FME_Ranking1[[#This Row],[Emergency Need Score (Normalized, Unweighted)]]*$F$3</f>
        <v>0</v>
      </c>
      <c r="I818" s="246">
        <f>_xlfn.XLOOKUP(FME_Ranking1[[#This Row],[FME ID]],FME_Input[FME_ID],FME_Input[STRUCT_100])</f>
        <v>442</v>
      </c>
      <c r="J818" s="178">
        <f>(FME_Ranking1[[#This Row],[Structures 100 Raw]]/I$2)*100</f>
        <v>0.23668765797026947</v>
      </c>
      <c r="K818" s="178">
        <f>FME_Ranking1[[#This Row],[Structures 100  Score (Normalized, Unweighted)]]*$I$3</f>
        <v>3.5503148695540422E-2</v>
      </c>
      <c r="L818" s="246">
        <f>_xlfn.XLOOKUP(FME_Ranking1[[#This Row],[FME ID]],FME_Input[FME_ID],FME_Input[RES_STRUCT100])</f>
        <v>350</v>
      </c>
      <c r="M818" s="230">
        <f>(FME_Ranking1[[#This Row],[Res Structures Raw]]/L$2)*100</f>
        <v>0.24790695697751836</v>
      </c>
      <c r="N818" s="180">
        <f>FME_Ranking1[[#This Row],[Res Structures Score (Normalized, Unweighted)]]*$L$3</f>
        <v>2.4790695697751837E-2</v>
      </c>
      <c r="O818" s="244">
        <f>_xlfn.XLOOKUP(FME_Ranking1[[#This Row],[FME ID]],FME_Input[FME_ID],FME_Input[POP100])</f>
        <v>1403</v>
      </c>
      <c r="P818" s="178">
        <f>(FME_Ranking1[[#This Row],[Pop Raw]]/$O$2)*100</f>
        <v>0.14363256272023489</v>
      </c>
      <c r="Q818" s="178">
        <f>FME_Ranking1[[#This Row],[Pop Score (Normalized, Unweighted)]]*$O$3</f>
        <v>2.1544884408035234E-2</v>
      </c>
      <c r="R818" s="137">
        <f>_xlfn.XLOOKUP(FME_Ranking1[[#This Row],[FME ID]],FME_Input[FME_ID],FME_Input[CRITFAC100])</f>
        <v>2</v>
      </c>
      <c r="S818" s="230">
        <f>(FME_Ranking1[[#This Row],[Critical Facilities Raw]]/$R$2)*100</f>
        <v>8.5763293310463118E-2</v>
      </c>
      <c r="T818" s="180">
        <f>FME_Ranking1[[#This Row],[Critical Facilities Score (Normalized, Unweighted)]]*$R$3</f>
        <v>1.7152658662092625E-2</v>
      </c>
      <c r="U818">
        <f>_xlfn.XLOOKUP(FME_Ranking1[[#This Row],[FME ID]],FME_Input[FME_ID],FME_Input[LWC])</f>
        <v>0</v>
      </c>
      <c r="V818" s="178">
        <f>(FME_Ranking1[[#This Row],[LWC Raw]]/$U$2)*100</f>
        <v>0</v>
      </c>
      <c r="W818" s="178">
        <f>FME_Ranking1[[#This Row],[LWC Score (Normalized, Unweighted)]]*$U$3</f>
        <v>0</v>
      </c>
      <c r="X818" s="246">
        <f>_xlfn.XLOOKUP(FME_Ranking1[[#This Row],[FME ID]],FME_Input[FME_ID],FME_Input[ROADCLS])</f>
        <v>96</v>
      </c>
      <c r="Y818" s="230">
        <f>(FME_Ranking1[[#This Row],[Closures Raw]]/$X$2)*100</f>
        <v>1.009357585953107</v>
      </c>
      <c r="Z818" s="180">
        <f>FME_Ranking1[[#This Row],[Closures Score (Normalized, Unweighted)]]*$X$3</f>
        <v>5.0467879297655352E-2</v>
      </c>
      <c r="AA818" s="253">
        <f>_xlfn.XLOOKUP(FME_Ranking1[[#This Row],[FME ID]],FME_Input[FME_ID],FME_Input[ROAD_MILES100])</f>
        <v>18.439199447631839</v>
      </c>
      <c r="AB818" s="178">
        <f>(FME_Ranking1[[#This Row],[Miles Raw]]/$AA$2)*100</f>
        <v>0.24244240047953722</v>
      </c>
      <c r="AC818" s="178">
        <f>FME_Ranking1[[#This Row],[Miles Score (Normalized, Unweighted)]]*$AA$3</f>
        <v>2.4244240047953725E-2</v>
      </c>
      <c r="AD818" s="255">
        <f>_xlfn.XLOOKUP(FME_Ranking1[[#This Row],[FME ID]],FME_Input[FME_ID],FME_Input[FARMACRE100])</f>
        <v>1687.170043945312</v>
      </c>
      <c r="AE818" s="230">
        <f>(FME_Ranking1[[#This Row],[Ag Land Raw]]/$AD$2)*100</f>
        <v>6.9571339989378228E-2</v>
      </c>
      <c r="AF818" s="231">
        <f>FME_Ranking1[[#This Row],[Ag Land Score (Normalized, Unweighted)]]*$AD$3</f>
        <v>3.4785669994689115E-3</v>
      </c>
      <c r="AG81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0.1771820738084981</v>
      </c>
      <c r="AH818" s="406">
        <f t="shared" si="12"/>
        <v>851</v>
      </c>
      <c r="AI81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0.1771820738084981</v>
      </c>
      <c r="AJ818" s="257">
        <f>FME_Ranking1[[#This Row],[Addition check]]-FME_Ranking1[[#This Row],[Weighted Score Based on Normalized Reported Factors]]</f>
        <v>0</v>
      </c>
      <c r="AK818" s="178">
        <f>_xlfn.RANK.EQ(AI818,$AI$6:$AI$2341,0)+COUNTIF($AI$6:AI818,AI818)-1</f>
        <v>853</v>
      </c>
    </row>
    <row r="819" spans="1:37" x14ac:dyDescent="0.25">
      <c r="A819" t="s">
        <v>7730</v>
      </c>
      <c r="B819">
        <f>_xlfn.XLOOKUP(FME_Ranking1[[#This Row],[FME ID]],FME_Input[FME_ID],FME_Input[RFPG_NUM])</f>
        <v>8</v>
      </c>
      <c r="C819" t="str">
        <f>_xlfn.XLOOKUP(FME_Ranking1[[#This Row],[FME ID]],FME_Input[FME_ID],FME_Input[FME_NAME])</f>
        <v>Sugar Creek Regional Detention</v>
      </c>
      <c r="D819" t="str">
        <f>_xlfn.XLOOKUP(FME_Ranking1[[#This Row],[FME ID]],FME_Input[FME_ID],FME_Input[DESCR])</f>
        <v>Update design to account for Atlas 14 rainfall.</v>
      </c>
      <c r="E819" s="256">
        <f>_xlfn.XLOOKUP(FME_Ranking1[[#This Row],[FME ID]],FME_Input[FME_ID],FME_Input[FME_COST])</f>
        <v>300000</v>
      </c>
      <c r="F819" t="str">
        <f>_xlfn.XLOOKUP(FME_Ranking1[[#This Row],[FME ID]],FME_Input[FME_ID],FME_Input[EMER_NEED])</f>
        <v>No</v>
      </c>
      <c r="G819">
        <f>IF(FME_Ranking!F819="Yes",100,0)</f>
        <v>0</v>
      </c>
      <c r="H819">
        <f>FME_Ranking1[[#This Row],[Emergency Need Score (Normalized, Unweighted)]]*$F$3</f>
        <v>0</v>
      </c>
      <c r="I819" s="246">
        <f>_xlfn.XLOOKUP(FME_Ranking1[[#This Row],[FME ID]],FME_Input[FME_ID],FME_Input[STRUCT_100])</f>
        <v>442</v>
      </c>
      <c r="J819" s="178">
        <f>(FME_Ranking1[[#This Row],[Structures 100 Raw]]/I$2)*100</f>
        <v>0.23668765797026947</v>
      </c>
      <c r="K819" s="178">
        <f>FME_Ranking1[[#This Row],[Structures 100  Score (Normalized, Unweighted)]]*$I$3</f>
        <v>3.5503148695540422E-2</v>
      </c>
      <c r="L819" s="246">
        <f>_xlfn.XLOOKUP(FME_Ranking1[[#This Row],[FME ID]],FME_Input[FME_ID],FME_Input[RES_STRUCT100])</f>
        <v>350</v>
      </c>
      <c r="M819" s="230">
        <f>(FME_Ranking1[[#This Row],[Res Structures Raw]]/L$2)*100</f>
        <v>0.24790695697751836</v>
      </c>
      <c r="N819" s="180">
        <f>FME_Ranking1[[#This Row],[Res Structures Score (Normalized, Unweighted)]]*$L$3</f>
        <v>2.4790695697751837E-2</v>
      </c>
      <c r="O819" s="244">
        <f>_xlfn.XLOOKUP(FME_Ranking1[[#This Row],[FME ID]],FME_Input[FME_ID],FME_Input[POP100])</f>
        <v>1403</v>
      </c>
      <c r="P819" s="178">
        <f>(FME_Ranking1[[#This Row],[Pop Raw]]/$O$2)*100</f>
        <v>0.14363256272023489</v>
      </c>
      <c r="Q819" s="178">
        <f>FME_Ranking1[[#This Row],[Pop Score (Normalized, Unweighted)]]*$O$3</f>
        <v>2.1544884408035234E-2</v>
      </c>
      <c r="R819" s="137">
        <f>_xlfn.XLOOKUP(FME_Ranking1[[#This Row],[FME ID]],FME_Input[FME_ID],FME_Input[CRITFAC100])</f>
        <v>2</v>
      </c>
      <c r="S819" s="230">
        <f>(FME_Ranking1[[#This Row],[Critical Facilities Raw]]/$R$2)*100</f>
        <v>8.5763293310463118E-2</v>
      </c>
      <c r="T819" s="180">
        <f>FME_Ranking1[[#This Row],[Critical Facilities Score (Normalized, Unweighted)]]*$R$3</f>
        <v>1.7152658662092625E-2</v>
      </c>
      <c r="U819">
        <f>_xlfn.XLOOKUP(FME_Ranking1[[#This Row],[FME ID]],FME_Input[FME_ID],FME_Input[LWC])</f>
        <v>0</v>
      </c>
      <c r="V819" s="178">
        <f>(FME_Ranking1[[#This Row],[LWC Raw]]/$U$2)*100</f>
        <v>0</v>
      </c>
      <c r="W819" s="178">
        <f>FME_Ranking1[[#This Row],[LWC Score (Normalized, Unweighted)]]*$U$3</f>
        <v>0</v>
      </c>
      <c r="X819" s="246">
        <f>_xlfn.XLOOKUP(FME_Ranking1[[#This Row],[FME ID]],FME_Input[FME_ID],FME_Input[ROADCLS])</f>
        <v>96</v>
      </c>
      <c r="Y819" s="230">
        <f>(FME_Ranking1[[#This Row],[Closures Raw]]/$X$2)*100</f>
        <v>1.009357585953107</v>
      </c>
      <c r="Z819" s="180">
        <f>FME_Ranking1[[#This Row],[Closures Score (Normalized, Unweighted)]]*$X$3</f>
        <v>5.0467879297655352E-2</v>
      </c>
      <c r="AA819" s="253">
        <f>_xlfn.XLOOKUP(FME_Ranking1[[#This Row],[FME ID]],FME_Input[FME_ID],FME_Input[ROAD_MILES100])</f>
        <v>18.439199447631839</v>
      </c>
      <c r="AB819" s="178">
        <f>(FME_Ranking1[[#This Row],[Miles Raw]]/$AA$2)*100</f>
        <v>0.24244240047953722</v>
      </c>
      <c r="AC819" s="178">
        <f>FME_Ranking1[[#This Row],[Miles Score (Normalized, Unweighted)]]*$AA$3</f>
        <v>2.4244240047953725E-2</v>
      </c>
      <c r="AD819" s="255">
        <f>_xlfn.XLOOKUP(FME_Ranking1[[#This Row],[FME ID]],FME_Input[FME_ID],FME_Input[FARMACRE100])</f>
        <v>1687.170043945312</v>
      </c>
      <c r="AE819" s="230">
        <f>(FME_Ranking1[[#This Row],[Ag Land Raw]]/$AD$2)*100</f>
        <v>6.9571339989378228E-2</v>
      </c>
      <c r="AF819" s="231">
        <f>FME_Ranking1[[#This Row],[Ag Land Score (Normalized, Unweighted)]]*$AD$3</f>
        <v>3.4785669994689115E-3</v>
      </c>
      <c r="AG81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0.1771820738084981</v>
      </c>
      <c r="AH819" s="406">
        <f t="shared" si="12"/>
        <v>851</v>
      </c>
      <c r="AI81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0.1771820738084981</v>
      </c>
      <c r="AJ819" s="257">
        <f>FME_Ranking1[[#This Row],[Addition check]]-FME_Ranking1[[#This Row],[Weighted Score Based on Normalized Reported Factors]]</f>
        <v>0</v>
      </c>
      <c r="AK819" s="178">
        <f>_xlfn.RANK.EQ(AI819,$AI$6:$AI$2341,0)+COUNTIF($AI$6:AI819,AI819)-1</f>
        <v>854</v>
      </c>
    </row>
    <row r="820" spans="1:37" x14ac:dyDescent="0.25">
      <c r="A820" t="s">
        <v>7734</v>
      </c>
      <c r="B820">
        <f>_xlfn.XLOOKUP(FME_Ranking1[[#This Row],[FME ID]],FME_Input[FME_ID],FME_Input[RFPG_NUM])</f>
        <v>8</v>
      </c>
      <c r="C820" t="str">
        <f>_xlfn.XLOOKUP(FME_Ranking1[[#This Row],[FME ID]],FME_Input[FME_ID],FME_Input[FME_NAME])</f>
        <v>City of Sugar Land Flood Innundation Mapping</v>
      </c>
      <c r="D820" t="str">
        <f>_xlfn.XLOOKUP(FME_Ranking1[[#This Row],[FME ID]],FME_Input[FME_ID],FME_Input[DESCR])</f>
        <v>Update of the Integrated Stormwater Management Model to include improvements to predictions in leveed areas.</v>
      </c>
      <c r="E820" s="256">
        <f>_xlfn.XLOOKUP(FME_Ranking1[[#This Row],[FME ID]],FME_Input[FME_ID],FME_Input[FME_COST])</f>
        <v>233000</v>
      </c>
      <c r="F820" t="str">
        <f>_xlfn.XLOOKUP(FME_Ranking1[[#This Row],[FME ID]],FME_Input[FME_ID],FME_Input[EMER_NEED])</f>
        <v>No</v>
      </c>
      <c r="G820">
        <f>IF(FME_Ranking!F820="Yes",100,0)</f>
        <v>0</v>
      </c>
      <c r="H820">
        <f>FME_Ranking1[[#This Row],[Emergency Need Score (Normalized, Unweighted)]]*$F$3</f>
        <v>0</v>
      </c>
      <c r="I820" s="246">
        <f>_xlfn.XLOOKUP(FME_Ranking1[[#This Row],[FME ID]],FME_Input[FME_ID],FME_Input[STRUCT_100])</f>
        <v>442</v>
      </c>
      <c r="J820" s="178">
        <f>(FME_Ranking1[[#This Row],[Structures 100 Raw]]/I$2)*100</f>
        <v>0.23668765797026947</v>
      </c>
      <c r="K820" s="178">
        <f>FME_Ranking1[[#This Row],[Structures 100  Score (Normalized, Unweighted)]]*$I$3</f>
        <v>3.5503148695540422E-2</v>
      </c>
      <c r="L820" s="246">
        <f>_xlfn.XLOOKUP(FME_Ranking1[[#This Row],[FME ID]],FME_Input[FME_ID],FME_Input[RES_STRUCT100])</f>
        <v>350</v>
      </c>
      <c r="M820" s="230">
        <f>(FME_Ranking1[[#This Row],[Res Structures Raw]]/L$2)*100</f>
        <v>0.24790695697751836</v>
      </c>
      <c r="N820" s="180">
        <f>FME_Ranking1[[#This Row],[Res Structures Score (Normalized, Unweighted)]]*$L$3</f>
        <v>2.4790695697751837E-2</v>
      </c>
      <c r="O820" s="244">
        <f>_xlfn.XLOOKUP(FME_Ranking1[[#This Row],[FME ID]],FME_Input[FME_ID],FME_Input[POP100])</f>
        <v>1403</v>
      </c>
      <c r="P820" s="178">
        <f>(FME_Ranking1[[#This Row],[Pop Raw]]/$O$2)*100</f>
        <v>0.14363256272023489</v>
      </c>
      <c r="Q820" s="178">
        <f>FME_Ranking1[[#This Row],[Pop Score (Normalized, Unweighted)]]*$O$3</f>
        <v>2.1544884408035234E-2</v>
      </c>
      <c r="R820" s="137">
        <f>_xlfn.XLOOKUP(FME_Ranking1[[#This Row],[FME ID]],FME_Input[FME_ID],FME_Input[CRITFAC100])</f>
        <v>2</v>
      </c>
      <c r="S820" s="230">
        <f>(FME_Ranking1[[#This Row],[Critical Facilities Raw]]/$R$2)*100</f>
        <v>8.5763293310463118E-2</v>
      </c>
      <c r="T820" s="180">
        <f>FME_Ranking1[[#This Row],[Critical Facilities Score (Normalized, Unweighted)]]*$R$3</f>
        <v>1.7152658662092625E-2</v>
      </c>
      <c r="U820">
        <f>_xlfn.XLOOKUP(FME_Ranking1[[#This Row],[FME ID]],FME_Input[FME_ID],FME_Input[LWC])</f>
        <v>0</v>
      </c>
      <c r="V820" s="178">
        <f>(FME_Ranking1[[#This Row],[LWC Raw]]/$U$2)*100</f>
        <v>0</v>
      </c>
      <c r="W820" s="178">
        <f>FME_Ranking1[[#This Row],[LWC Score (Normalized, Unweighted)]]*$U$3</f>
        <v>0</v>
      </c>
      <c r="X820" s="246">
        <f>_xlfn.XLOOKUP(FME_Ranking1[[#This Row],[FME ID]],FME_Input[FME_ID],FME_Input[ROADCLS])</f>
        <v>96</v>
      </c>
      <c r="Y820" s="230">
        <f>(FME_Ranking1[[#This Row],[Closures Raw]]/$X$2)*100</f>
        <v>1.009357585953107</v>
      </c>
      <c r="Z820" s="180">
        <f>FME_Ranking1[[#This Row],[Closures Score (Normalized, Unweighted)]]*$X$3</f>
        <v>5.0467879297655352E-2</v>
      </c>
      <c r="AA820" s="253">
        <f>_xlfn.XLOOKUP(FME_Ranking1[[#This Row],[FME ID]],FME_Input[FME_ID],FME_Input[ROAD_MILES100])</f>
        <v>18.439199447631839</v>
      </c>
      <c r="AB820" s="178">
        <f>(FME_Ranking1[[#This Row],[Miles Raw]]/$AA$2)*100</f>
        <v>0.24244240047953722</v>
      </c>
      <c r="AC820" s="178">
        <f>FME_Ranking1[[#This Row],[Miles Score (Normalized, Unweighted)]]*$AA$3</f>
        <v>2.4244240047953725E-2</v>
      </c>
      <c r="AD820" s="255">
        <f>_xlfn.XLOOKUP(FME_Ranking1[[#This Row],[FME ID]],FME_Input[FME_ID],FME_Input[FARMACRE100])</f>
        <v>1687.170043945312</v>
      </c>
      <c r="AE820" s="230">
        <f>(FME_Ranking1[[#This Row],[Ag Land Raw]]/$AD$2)*100</f>
        <v>6.9571339989378228E-2</v>
      </c>
      <c r="AF820" s="231">
        <f>FME_Ranking1[[#This Row],[Ag Land Score (Normalized, Unweighted)]]*$AD$3</f>
        <v>3.4785669994689115E-3</v>
      </c>
      <c r="AG82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0.1771820738084981</v>
      </c>
      <c r="AH820" s="406">
        <f t="shared" si="12"/>
        <v>851</v>
      </c>
      <c r="AI82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0.1771820738084981</v>
      </c>
      <c r="AJ820" s="257">
        <f>FME_Ranking1[[#This Row],[Addition check]]-FME_Ranking1[[#This Row],[Weighted Score Based on Normalized Reported Factors]]</f>
        <v>0</v>
      </c>
      <c r="AK820" s="178">
        <f>_xlfn.RANK.EQ(AI820,$AI$6:$AI$2341,0)+COUNTIF($AI$6:AI820,AI820)-1</f>
        <v>855</v>
      </c>
    </row>
    <row r="821" spans="1:37" x14ac:dyDescent="0.25">
      <c r="A821" t="s">
        <v>1759</v>
      </c>
      <c r="B821">
        <f>_xlfn.XLOOKUP(FME_Ranking1[[#This Row],[FME ID]],FME_Input[FME_ID],FME_Input[RFPG_NUM])</f>
        <v>6</v>
      </c>
      <c r="C821" t="str">
        <f>_xlfn.XLOOKUP(FME_Ranking1[[#This Row],[FME ID]],FME_Input[FME_ID],FME_Input[FME_NAME])</f>
        <v>City of Southside Place Master Drainage Plan</v>
      </c>
      <c r="D821" t="str">
        <f>_xlfn.XLOOKUP(FME_Ranking1[[#This Row],[FME ID]],FME_Input[FME_ID],FME_Input[DESCR])</f>
        <v>Study to develop Master Drainage Plan using future and existing land use and flood/storm water drainage needs including Atlas 14 rainfall.</v>
      </c>
      <c r="E821" s="256">
        <f>_xlfn.XLOOKUP(FME_Ranking1[[#This Row],[FME ID]],FME_Input[FME_ID],FME_Input[FME_COST])</f>
        <v>110000</v>
      </c>
      <c r="F821" t="str">
        <f>_xlfn.XLOOKUP(FME_Ranking1[[#This Row],[FME ID]],FME_Input[FME_ID],FME_Input[EMER_NEED])</f>
        <v>No</v>
      </c>
      <c r="G821">
        <f>IF(FME_Ranking!F821="Yes",100,0)</f>
        <v>0</v>
      </c>
      <c r="H821">
        <f>FME_Ranking1[[#This Row],[Emergency Need Score (Normalized, Unweighted)]]*$F$3</f>
        <v>0</v>
      </c>
      <c r="I821" s="246">
        <f>_xlfn.XLOOKUP(FME_Ranking1[[#This Row],[FME ID]],FME_Input[FME_ID],FME_Input[STRUCT_100])</f>
        <v>500</v>
      </c>
      <c r="J821" s="178">
        <f>(FME_Ranking1[[#This Row],[Structures 100 Raw]]/I$2)*100</f>
        <v>0.26774621942338173</v>
      </c>
      <c r="K821" s="178">
        <f>FME_Ranking1[[#This Row],[Structures 100  Score (Normalized, Unweighted)]]*$I$3</f>
        <v>4.016193291350726E-2</v>
      </c>
      <c r="L821" s="246">
        <f>_xlfn.XLOOKUP(FME_Ranking1[[#This Row],[FME ID]],FME_Input[FME_ID],FME_Input[RES_STRUCT100])</f>
        <v>476</v>
      </c>
      <c r="M821" s="230">
        <f>(FME_Ranking1[[#This Row],[Res Structures Raw]]/L$2)*100</f>
        <v>0.33715346148942499</v>
      </c>
      <c r="N821" s="180">
        <f>FME_Ranking1[[#This Row],[Res Structures Score (Normalized, Unweighted)]]*$L$3</f>
        <v>3.3715346148942497E-2</v>
      </c>
      <c r="O821" s="244">
        <f>_xlfn.XLOOKUP(FME_Ranking1[[#This Row],[FME ID]],FME_Input[FME_ID],FME_Input[POP100])</f>
        <v>2317</v>
      </c>
      <c r="P821" s="178">
        <f>(FME_Ranking1[[#This Row],[Pop Raw]]/$O$2)*100</f>
        <v>0.23720359787796452</v>
      </c>
      <c r="Q821" s="178">
        <f>FME_Ranking1[[#This Row],[Pop Score (Normalized, Unweighted)]]*$O$3</f>
        <v>3.5580539681694674E-2</v>
      </c>
      <c r="R821" s="137">
        <f>_xlfn.XLOOKUP(FME_Ranking1[[#This Row],[FME ID]],FME_Input[FME_ID],FME_Input[CRITFAC100])</f>
        <v>5</v>
      </c>
      <c r="S821" s="230">
        <f>(FME_Ranking1[[#This Row],[Critical Facilities Raw]]/$R$2)*100</f>
        <v>0.21440823327615782</v>
      </c>
      <c r="T821" s="180">
        <f>FME_Ranking1[[#This Row],[Critical Facilities Score (Normalized, Unweighted)]]*$R$3</f>
        <v>4.2881646655231566E-2</v>
      </c>
      <c r="U821">
        <f>_xlfn.XLOOKUP(FME_Ranking1[[#This Row],[FME ID]],FME_Input[FME_ID],FME_Input[LWC])</f>
        <v>0</v>
      </c>
      <c r="V821" s="178">
        <f>(FME_Ranking1[[#This Row],[LWC Raw]]/$U$2)*100</f>
        <v>0</v>
      </c>
      <c r="W821" s="178">
        <f>FME_Ranking1[[#This Row],[LWC Score (Normalized, Unweighted)]]*$U$3</f>
        <v>0</v>
      </c>
      <c r="X821" s="246">
        <f>_xlfn.XLOOKUP(FME_Ranking1[[#This Row],[FME ID]],FME_Input[FME_ID],FME_Input[ROADCLS])</f>
        <v>0</v>
      </c>
      <c r="Y821" s="230">
        <f>(FME_Ranking1[[#This Row],[Closures Raw]]/$X$2)*100</f>
        <v>0</v>
      </c>
      <c r="Z821" s="180">
        <f>FME_Ranking1[[#This Row],[Closures Score (Normalized, Unweighted)]]*$X$3</f>
        <v>0</v>
      </c>
      <c r="AA821" s="253">
        <f>_xlfn.XLOOKUP(FME_Ranking1[[#This Row],[FME ID]],FME_Input[FME_ID],FME_Input[ROAD_MILES100])</f>
        <v>3.839272022247314</v>
      </c>
      <c r="AB821" s="178">
        <f>(FME_Ranking1[[#This Row],[Miles Raw]]/$AA$2)*100</f>
        <v>5.0479541034907011E-2</v>
      </c>
      <c r="AC821" s="178">
        <f>FME_Ranking1[[#This Row],[Miles Score (Normalized, Unweighted)]]*$AA$3</f>
        <v>5.0479541034907016E-3</v>
      </c>
      <c r="AD821" s="255">
        <f>_xlfn.XLOOKUP(FME_Ranking1[[#This Row],[FME ID]],FME_Input[FME_ID],FME_Input[FARMACRE100])</f>
        <v>0</v>
      </c>
      <c r="AE821" s="230">
        <f>(FME_Ranking1[[#This Row],[Ag Land Raw]]/$AD$2)*100</f>
        <v>0</v>
      </c>
      <c r="AF821" s="231">
        <f>FME_Ranking1[[#This Row],[Ag Land Score (Normalized, Unweighted)]]*$AD$3</f>
        <v>0</v>
      </c>
      <c r="AG82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0.15738741950286669</v>
      </c>
      <c r="AH821" s="406">
        <f t="shared" si="12"/>
        <v>878</v>
      </c>
      <c r="AI82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0.15738741950286669</v>
      </c>
      <c r="AJ821" s="257">
        <f>FME_Ranking1[[#This Row],[Addition check]]-FME_Ranking1[[#This Row],[Weighted Score Based on Normalized Reported Factors]]</f>
        <v>0</v>
      </c>
      <c r="AK821" s="178">
        <f>_xlfn.RANK.EQ(AI821,$AI$6:$AI$2341,0)+COUNTIF($AI$6:AI821,AI821)-1</f>
        <v>878</v>
      </c>
    </row>
    <row r="822" spans="1:37" x14ac:dyDescent="0.25">
      <c r="A822" t="s">
        <v>6355</v>
      </c>
      <c r="B822">
        <f>_xlfn.XLOOKUP(FME_Ranking1[[#This Row],[FME ID]],FME_Input[FME_ID],FME_Input[RFPG_NUM])</f>
        <v>5</v>
      </c>
      <c r="C822" t="str">
        <f>_xlfn.XLOOKUP(FME_Ranking1[[#This Row],[FME ID]],FME_Input[FME_ID],FME_Input[FME_NAME])</f>
        <v>Delaware Diversion</v>
      </c>
      <c r="D822" t="str">
        <f>_xlfn.XLOOKUP(FME_Ranking1[[#This Row],[FME ID]],FME_Input[FME_ID],FME_Input[DESCR])</f>
        <v xml:space="preserve">Divert storm runoff out of Beaumont from the Hillebrandt watershed to the Neches River. </v>
      </c>
      <c r="E822" s="256">
        <f>_xlfn.XLOOKUP(FME_Ranking1[[#This Row],[FME ID]],FME_Input[FME_ID],FME_Input[FME_COST])</f>
        <v>500000</v>
      </c>
      <c r="F822" t="str">
        <f>_xlfn.XLOOKUP(FME_Ranking1[[#This Row],[FME ID]],FME_Input[FME_ID],FME_Input[EMER_NEED])</f>
        <v>Yes</v>
      </c>
      <c r="G822">
        <f>IF(FME_Ranking!F822="Yes",100,0)</f>
        <v>100</v>
      </c>
      <c r="H822">
        <f>FME_Ranking1[[#This Row],[Emergency Need Score (Normalized, Unweighted)]]*$F$3</f>
        <v>0</v>
      </c>
      <c r="I822" s="246">
        <f>_xlfn.XLOOKUP(FME_Ranking1[[#This Row],[FME ID]],FME_Input[FME_ID],FME_Input[STRUCT_100])</f>
        <v>583</v>
      </c>
      <c r="J822" s="178">
        <f>(FME_Ranking1[[#This Row],[Structures 100 Raw]]/I$2)*100</f>
        <v>0.31219209184766311</v>
      </c>
      <c r="K822" s="178">
        <f>FME_Ranking1[[#This Row],[Structures 100  Score (Normalized, Unweighted)]]*$I$3</f>
        <v>4.6828813777149467E-2</v>
      </c>
      <c r="L822" s="246">
        <f>_xlfn.XLOOKUP(FME_Ranking1[[#This Row],[FME ID]],FME_Input[FME_ID],FME_Input[RES_STRUCT100])</f>
        <v>476</v>
      </c>
      <c r="M822" s="230">
        <f>(FME_Ranking1[[#This Row],[Res Structures Raw]]/L$2)*100</f>
        <v>0.33715346148942499</v>
      </c>
      <c r="N822" s="180">
        <f>FME_Ranking1[[#This Row],[Res Structures Score (Normalized, Unweighted)]]*$L$3</f>
        <v>3.3715346148942497E-2</v>
      </c>
      <c r="O822" s="244">
        <f>_xlfn.XLOOKUP(FME_Ranking1[[#This Row],[FME ID]],FME_Input[FME_ID],FME_Input[POP100])</f>
        <v>3971</v>
      </c>
      <c r="P822" s="178">
        <f>(FME_Ranking1[[#This Row],[Pop Raw]]/$O$2)*100</f>
        <v>0.40653236390737907</v>
      </c>
      <c r="Q822" s="178">
        <f>FME_Ranking1[[#This Row],[Pop Score (Normalized, Unweighted)]]*$O$3</f>
        <v>6.0979854586106857E-2</v>
      </c>
      <c r="R822" s="137">
        <f>_xlfn.XLOOKUP(FME_Ranking1[[#This Row],[FME ID]],FME_Input[FME_ID],FME_Input[CRITFAC100])</f>
        <v>1</v>
      </c>
      <c r="S822" s="230">
        <f>(FME_Ranking1[[#This Row],[Critical Facilities Raw]]/$R$2)*100</f>
        <v>4.2881646655231559E-2</v>
      </c>
      <c r="T822" s="180">
        <f>FME_Ranking1[[#This Row],[Critical Facilities Score (Normalized, Unweighted)]]*$R$3</f>
        <v>8.5763293310463125E-3</v>
      </c>
      <c r="U822">
        <f>_xlfn.XLOOKUP(FME_Ranking1[[#This Row],[FME ID]],FME_Input[FME_ID],FME_Input[LWC])</f>
        <v>0</v>
      </c>
      <c r="V822" s="178">
        <f>(FME_Ranking1[[#This Row],[LWC Raw]]/$U$2)*100</f>
        <v>0</v>
      </c>
      <c r="W822" s="178">
        <f>FME_Ranking1[[#This Row],[LWC Score (Normalized, Unweighted)]]*$U$3</f>
        <v>0</v>
      </c>
      <c r="X822" s="246">
        <f>_xlfn.XLOOKUP(FME_Ranking1[[#This Row],[FME ID]],FME_Input[FME_ID],FME_Input[ROADCLS])</f>
        <v>0</v>
      </c>
      <c r="Y822" s="230">
        <f>(FME_Ranking1[[#This Row],[Closures Raw]]/$X$2)*100</f>
        <v>0</v>
      </c>
      <c r="Z822" s="180">
        <f>FME_Ranking1[[#This Row],[Closures Score (Normalized, Unweighted)]]*$X$3</f>
        <v>0</v>
      </c>
      <c r="AA822" s="253">
        <f>_xlfn.XLOOKUP(FME_Ranking1[[#This Row],[FME ID]],FME_Input[FME_ID],FME_Input[ROAD_MILES100])</f>
        <v>11.64713668823242</v>
      </c>
      <c r="AB822" s="178">
        <f>(FME_Ranking1[[#This Row],[Miles Raw]]/$AA$2)*100</f>
        <v>0.15313895732989713</v>
      </c>
      <c r="AC822" s="178">
        <f>FME_Ranking1[[#This Row],[Miles Score (Normalized, Unweighted)]]*$AA$3</f>
        <v>1.5313895732989713E-2</v>
      </c>
      <c r="AD822" s="255">
        <f>_xlfn.XLOOKUP(FME_Ranking1[[#This Row],[FME ID]],FME_Input[FME_ID],FME_Input[FARMACRE100])</f>
        <v>0.23840318620204931</v>
      </c>
      <c r="AE822" s="230">
        <f>(FME_Ranking1[[#This Row],[Ag Land Raw]]/$AD$2)*100</f>
        <v>9.8306801862299047E-6</v>
      </c>
      <c r="AF822" s="231">
        <f>FME_Ranking1[[#This Row],[Ag Land Score (Normalized, Unweighted)]]*$AD$3</f>
        <v>4.915340093114953E-7</v>
      </c>
      <c r="AG82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0.16541473111024416</v>
      </c>
      <c r="AH822" s="406">
        <f t="shared" si="12"/>
        <v>869</v>
      </c>
      <c r="AI82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0.16541473111024416</v>
      </c>
      <c r="AJ822" s="257">
        <f>FME_Ranking1[[#This Row],[Addition check]]-FME_Ranking1[[#This Row],[Weighted Score Based on Normalized Reported Factors]]</f>
        <v>0</v>
      </c>
      <c r="AK822" s="178">
        <f>_xlfn.RANK.EQ(AI822,$AI$6:$AI$2341,0)+COUNTIF($AI$6:AI822,AI822)-1</f>
        <v>869</v>
      </c>
    </row>
    <row r="823" spans="1:37" x14ac:dyDescent="0.25">
      <c r="A823" t="s">
        <v>9521</v>
      </c>
      <c r="B823">
        <f>_xlfn.XLOOKUP(FME_Ranking1[[#This Row],[FME ID]],FME_Input[FME_ID],FME_Input[RFPG_NUM])</f>
        <v>12</v>
      </c>
      <c r="C823" t="str">
        <f>_xlfn.XLOOKUP(FME_Ranking1[[#This Row],[FME ID]],FME_Input[FME_ID],FME_Input[FME_NAME])</f>
        <v>Damage Center 7- Zarzamora Creek</v>
      </c>
      <c r="D823" t="str">
        <f>_xlfn.XLOOKUP(FME_Ranking1[[#This Row],[FME ID]],FME_Input[FME_ID],FME_Input[DESCR])</f>
        <v>Based  on  the  value  of  the  homes  within  this  damage  center,  VPAs  appear  to  be  a  practical  option  that  may  be  well  received</v>
      </c>
      <c r="E823" s="256">
        <f>_xlfn.XLOOKUP(FME_Ranking1[[#This Row],[FME ID]],FME_Input[FME_ID],FME_Input[FME_COST])</f>
        <v>14775612</v>
      </c>
      <c r="F823" t="str">
        <f>_xlfn.XLOOKUP(FME_Ranking1[[#This Row],[FME ID]],FME_Input[FME_ID],FME_Input[EMER_NEED])</f>
        <v>Yes</v>
      </c>
      <c r="G823">
        <f>IF(FME_Ranking!F823="Yes",100,0)</f>
        <v>100</v>
      </c>
      <c r="H823">
        <f>FME_Ranking1[[#This Row],[Emergency Need Score (Normalized, Unweighted)]]*$F$3</f>
        <v>0</v>
      </c>
      <c r="I823" s="246">
        <f>_xlfn.XLOOKUP(FME_Ranking1[[#This Row],[FME ID]],FME_Input[FME_ID],FME_Input[STRUCT_100])</f>
        <v>259</v>
      </c>
      <c r="J823" s="178">
        <f>(FME_Ranking1[[#This Row],[Structures 100 Raw]]/I$2)*100</f>
        <v>0.13869254166131176</v>
      </c>
      <c r="K823" s="178">
        <f>FME_Ranking1[[#This Row],[Structures 100  Score (Normalized, Unweighted)]]*$I$3</f>
        <v>2.0803881249196764E-2</v>
      </c>
      <c r="L823" s="246">
        <f>_xlfn.XLOOKUP(FME_Ranking1[[#This Row],[FME ID]],FME_Input[FME_ID],FME_Input[RES_STRUCT100])</f>
        <v>249</v>
      </c>
      <c r="M823" s="230">
        <f>(FME_Ranking1[[#This Row],[Res Structures Raw]]/L$2)*100</f>
        <v>0.17636809224972022</v>
      </c>
      <c r="N823" s="180">
        <f>FME_Ranking1[[#This Row],[Res Structures Score (Normalized, Unweighted)]]*$L$3</f>
        <v>1.7636809224972023E-2</v>
      </c>
      <c r="O823" s="244">
        <f>_xlfn.XLOOKUP(FME_Ranking1[[#This Row],[FME ID]],FME_Input[FME_ID],FME_Input[POP100])</f>
        <v>729</v>
      </c>
      <c r="P823" s="178">
        <f>(FME_Ranking1[[#This Row],[Pop Raw]]/$O$2)*100</f>
        <v>7.4631602439808431E-2</v>
      </c>
      <c r="Q823" s="178">
        <f>FME_Ranking1[[#This Row],[Pop Score (Normalized, Unweighted)]]*$O$3</f>
        <v>1.1194740365971264E-2</v>
      </c>
      <c r="R823" s="137">
        <f>_xlfn.XLOOKUP(FME_Ranking1[[#This Row],[FME ID]],FME_Input[FME_ID],FME_Input[CRITFAC100])</f>
        <v>10</v>
      </c>
      <c r="S823" s="230">
        <f>(FME_Ranking1[[#This Row],[Critical Facilities Raw]]/$R$2)*100</f>
        <v>0.42881646655231564</v>
      </c>
      <c r="T823" s="180">
        <f>FME_Ranking1[[#This Row],[Critical Facilities Score (Normalized, Unweighted)]]*$R$3</f>
        <v>8.5763293310463132E-2</v>
      </c>
      <c r="U823">
        <f>_xlfn.XLOOKUP(FME_Ranking1[[#This Row],[FME ID]],FME_Input[FME_ID],FME_Input[LWC])</f>
        <v>0</v>
      </c>
      <c r="V823" s="178">
        <f>(FME_Ranking1[[#This Row],[LWC Raw]]/$U$2)*100</f>
        <v>0</v>
      </c>
      <c r="W823" s="178">
        <f>FME_Ranking1[[#This Row],[LWC Score (Normalized, Unweighted)]]*$U$3</f>
        <v>0</v>
      </c>
      <c r="X823" s="246">
        <f>_xlfn.XLOOKUP(FME_Ranking1[[#This Row],[FME ID]],FME_Input[FME_ID],FME_Input[ROADCLS])</f>
        <v>27</v>
      </c>
      <c r="Y823" s="230">
        <f>(FME_Ranking1[[#This Row],[Closures Raw]]/$X$2)*100</f>
        <v>0.28388182104931131</v>
      </c>
      <c r="Z823" s="180">
        <f>FME_Ranking1[[#This Row],[Closures Score (Normalized, Unweighted)]]*$X$3</f>
        <v>1.4194091052465566E-2</v>
      </c>
      <c r="AA823" s="253">
        <f>_xlfn.XLOOKUP(FME_Ranking1[[#This Row],[FME ID]],FME_Input[FME_ID],FME_Input[ROAD_MILES100])</f>
        <v>3.7000000476837158</v>
      </c>
      <c r="AB823" s="178">
        <f>(FME_Ranking1[[#This Row],[Miles Raw]]/$AA$2)*100</f>
        <v>4.8648364365409008E-2</v>
      </c>
      <c r="AC823" s="178">
        <f>FME_Ranking1[[#This Row],[Miles Score (Normalized, Unweighted)]]*$AA$3</f>
        <v>4.8648364365409015E-3</v>
      </c>
      <c r="AD823" s="255">
        <f>_xlfn.XLOOKUP(FME_Ranking1[[#This Row],[FME ID]],FME_Input[FME_ID],FME_Input[FARMACRE100])</f>
        <v>0.44479000568389893</v>
      </c>
      <c r="AE823" s="230">
        <f>(FME_Ranking1[[#This Row],[Ag Land Raw]]/$AD$2)*100</f>
        <v>1.8341148730302518E-5</v>
      </c>
      <c r="AF823" s="231">
        <f>FME_Ranking1[[#This Row],[Ag Land Score (Normalized, Unweighted)]]*$AD$3</f>
        <v>9.1705743651512589E-7</v>
      </c>
      <c r="AG82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0.15445856869704613</v>
      </c>
      <c r="AH823" s="406">
        <f t="shared" si="12"/>
        <v>885</v>
      </c>
      <c r="AI82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0.15445856869704613</v>
      </c>
      <c r="AJ823" s="257">
        <f>FME_Ranking1[[#This Row],[Addition check]]-FME_Ranking1[[#This Row],[Weighted Score Based on Normalized Reported Factors]]</f>
        <v>0</v>
      </c>
      <c r="AK823" s="178">
        <f>_xlfn.RANK.EQ(AI823,$AI$6:$AI$2341,0)+COUNTIF($AI$6:AI823,AI823)-1</f>
        <v>885</v>
      </c>
    </row>
    <row r="824" spans="1:37" x14ac:dyDescent="0.25">
      <c r="A824" t="s">
        <v>5584</v>
      </c>
      <c r="B824">
        <f>_xlfn.XLOOKUP(FME_Ranking1[[#This Row],[FME ID]],FME_Input[FME_ID],FME_Input[RFPG_NUM])</f>
        <v>4</v>
      </c>
      <c r="C824" t="str">
        <f>_xlfn.XLOOKUP(FME_Ranking1[[#This Row],[FME ID]],FME_Input[FME_ID],FME_Input[FME_NAME])</f>
        <v>Marshall Drainage Master Plan</v>
      </c>
      <c r="D824" t="str">
        <f>_xlfn.XLOOKUP(FME_Ranking1[[#This Row],[FME ID]],FME_Input[FME_ID],FME_Input[DESCR])</f>
        <v>Perform study of existing culverts and drainage capabilities in town. Identify upgrades to drainage infrastructure capacity where needed.</v>
      </c>
      <c r="E824" s="256">
        <f>_xlfn.XLOOKUP(FME_Ranking1[[#This Row],[FME ID]],FME_Input[FME_ID],FME_Input[FME_COST])</f>
        <v>500000</v>
      </c>
      <c r="F824" t="str">
        <f>_xlfn.XLOOKUP(FME_Ranking1[[#This Row],[FME ID]],FME_Input[FME_ID],FME_Input[EMER_NEED])</f>
        <v>No</v>
      </c>
      <c r="G824">
        <f>IF(FME_Ranking!F824="Yes",100,0)</f>
        <v>0</v>
      </c>
      <c r="H824">
        <f>FME_Ranking1[[#This Row],[Emergency Need Score (Normalized, Unweighted)]]*$F$3</f>
        <v>0</v>
      </c>
      <c r="I824" s="246">
        <f>_xlfn.XLOOKUP(FME_Ranking1[[#This Row],[FME ID]],FME_Input[FME_ID],FME_Input[STRUCT_100])</f>
        <v>561</v>
      </c>
      <c r="J824" s="178">
        <f>(FME_Ranking1[[#This Row],[Structures 100 Raw]]/I$2)*100</f>
        <v>0.30041125819303433</v>
      </c>
      <c r="K824" s="178">
        <f>FME_Ranking1[[#This Row],[Structures 100  Score (Normalized, Unweighted)]]*$I$3</f>
        <v>4.5061688728955149E-2</v>
      </c>
      <c r="L824" s="246">
        <f>_xlfn.XLOOKUP(FME_Ranking1[[#This Row],[FME ID]],FME_Input[FME_ID],FME_Input[RES_STRUCT100])</f>
        <v>374</v>
      </c>
      <c r="M824" s="230">
        <f>(FME_Ranking1[[#This Row],[Res Structures Raw]]/L$2)*100</f>
        <v>0.26490629117026249</v>
      </c>
      <c r="N824" s="180">
        <f>FME_Ranking1[[#This Row],[Res Structures Score (Normalized, Unweighted)]]*$L$3</f>
        <v>2.6490629117026251E-2</v>
      </c>
      <c r="O824" s="244">
        <f>_xlfn.XLOOKUP(FME_Ranking1[[#This Row],[FME ID]],FME_Input[FME_ID],FME_Input[POP100])</f>
        <v>4969</v>
      </c>
      <c r="P824" s="178">
        <f>(FME_Ranking1[[#This Row],[Pop Raw]]/$O$2)*100</f>
        <v>0.50870292527216476</v>
      </c>
      <c r="Q824" s="178">
        <f>FME_Ranking1[[#This Row],[Pop Score (Normalized, Unweighted)]]*$O$3</f>
        <v>7.6305438790824714E-2</v>
      </c>
      <c r="R824" s="137">
        <f>_xlfn.XLOOKUP(FME_Ranking1[[#This Row],[FME ID]],FME_Input[FME_ID],FME_Input[CRITFAC100])</f>
        <v>0</v>
      </c>
      <c r="S824" s="230">
        <f>(FME_Ranking1[[#This Row],[Critical Facilities Raw]]/$R$2)*100</f>
        <v>0</v>
      </c>
      <c r="T824" s="180">
        <f>FME_Ranking1[[#This Row],[Critical Facilities Score (Normalized, Unweighted)]]*$R$3</f>
        <v>0</v>
      </c>
      <c r="U824">
        <f>_xlfn.XLOOKUP(FME_Ranking1[[#This Row],[FME ID]],FME_Input[FME_ID],FME_Input[LWC])</f>
        <v>0</v>
      </c>
      <c r="V824" s="178">
        <f>(FME_Ranking1[[#This Row],[LWC Raw]]/$U$2)*100</f>
        <v>0</v>
      </c>
      <c r="W824" s="178">
        <f>FME_Ranking1[[#This Row],[LWC Score (Normalized, Unweighted)]]*$U$3</f>
        <v>0</v>
      </c>
      <c r="X824" s="246">
        <f>_xlfn.XLOOKUP(FME_Ranking1[[#This Row],[FME ID]],FME_Input[FME_ID],FME_Input[ROADCLS])</f>
        <v>0</v>
      </c>
      <c r="Y824" s="230">
        <f>(FME_Ranking1[[#This Row],[Closures Raw]]/$X$2)*100</f>
        <v>0</v>
      </c>
      <c r="Z824" s="180">
        <f>FME_Ranking1[[#This Row],[Closures Score (Normalized, Unweighted)]]*$X$3</f>
        <v>0</v>
      </c>
      <c r="AA824" s="253">
        <f>_xlfn.XLOOKUP(FME_Ranking1[[#This Row],[FME ID]],FME_Input[FME_ID],FME_Input[ROAD_MILES100])</f>
        <v>17.809392929077148</v>
      </c>
      <c r="AB824" s="178">
        <f>(FME_Ranking1[[#This Row],[Miles Raw]]/$AA$2)*100</f>
        <v>0.23416157437156485</v>
      </c>
      <c r="AC824" s="178">
        <f>FME_Ranking1[[#This Row],[Miles Score (Normalized, Unweighted)]]*$AA$3</f>
        <v>2.3416157437156485E-2</v>
      </c>
      <c r="AD824" s="255">
        <f>_xlfn.XLOOKUP(FME_Ranking1[[#This Row],[FME ID]],FME_Input[FME_ID],FME_Input[FARMACRE100])</f>
        <v>221.511962890625</v>
      </c>
      <c r="AE824" s="230">
        <f>(FME_Ranking1[[#This Row],[Ag Land Raw]]/$AD$2)*100</f>
        <v>9.1341617504902394E-3</v>
      </c>
      <c r="AF824" s="231">
        <f>FME_Ranking1[[#This Row],[Ag Land Score (Normalized, Unweighted)]]*$AD$3</f>
        <v>4.56708087524512E-4</v>
      </c>
      <c r="AG82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0.1717306221614871</v>
      </c>
      <c r="AH824" s="406">
        <f t="shared" si="12"/>
        <v>859</v>
      </c>
      <c r="AI82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0.1717306221614871</v>
      </c>
      <c r="AJ824" s="257">
        <f>FME_Ranking1[[#This Row],[Addition check]]-FME_Ranking1[[#This Row],[Weighted Score Based on Normalized Reported Factors]]</f>
        <v>0</v>
      </c>
      <c r="AK824" s="178">
        <f>_xlfn.RANK.EQ(AI824,$AI$6:$AI$2341,0)+COUNTIF($AI$6:AI824,AI824)-1</f>
        <v>859</v>
      </c>
    </row>
    <row r="825" spans="1:37" x14ac:dyDescent="0.25">
      <c r="A825" t="s">
        <v>1803</v>
      </c>
      <c r="B825">
        <f>_xlfn.XLOOKUP(FME_Ranking1[[#This Row],[FME ID]],FME_Input[FME_ID],FME_Input[RFPG_NUM])</f>
        <v>6</v>
      </c>
      <c r="C825" t="str">
        <f>_xlfn.XLOOKUP(FME_Ranking1[[#This Row],[FME ID]],FME_Input[FME_ID],FME_Input[FME_NAME])</f>
        <v>City of Waller Master Drainage Plan</v>
      </c>
      <c r="D825" t="str">
        <f>_xlfn.XLOOKUP(FME_Ranking1[[#This Row],[FME ID]],FME_Input[FME_ID],FME_Input[DESCR])</f>
        <v>Study to develop Master Drainage Plan using future and existing land use and flood/storm water drainage needs including Atlas 14 rainfall.</v>
      </c>
      <c r="E825" s="256">
        <f>_xlfn.XLOOKUP(FME_Ranking1[[#This Row],[FME ID]],FME_Input[FME_ID],FME_Input[FME_COST])</f>
        <v>100000</v>
      </c>
      <c r="F825" t="str">
        <f>_xlfn.XLOOKUP(FME_Ranking1[[#This Row],[FME ID]],FME_Input[FME_ID],FME_Input[EMER_NEED])</f>
        <v>No</v>
      </c>
      <c r="G825">
        <f>IF(FME_Ranking!F825="Yes",100,0)</f>
        <v>0</v>
      </c>
      <c r="H825">
        <f>FME_Ranking1[[#This Row],[Emergency Need Score (Normalized, Unweighted)]]*$F$3</f>
        <v>0</v>
      </c>
      <c r="I825" s="246">
        <f>_xlfn.XLOOKUP(FME_Ranking1[[#This Row],[FME ID]],FME_Input[FME_ID],FME_Input[STRUCT_100])</f>
        <v>149</v>
      </c>
      <c r="J825" s="178">
        <f>(FME_Ranking1[[#This Row],[Structures 100 Raw]]/I$2)*100</f>
        <v>7.9788373388167758E-2</v>
      </c>
      <c r="K825" s="178">
        <f>FME_Ranking1[[#This Row],[Structures 100  Score (Normalized, Unweighted)]]*$I$3</f>
        <v>1.1968256008225164E-2</v>
      </c>
      <c r="L825" s="246">
        <f>_xlfn.XLOOKUP(FME_Ranking1[[#This Row],[FME ID]],FME_Input[FME_ID],FME_Input[RES_STRUCT100])</f>
        <v>83</v>
      </c>
      <c r="M825" s="230">
        <f>(FME_Ranking1[[#This Row],[Res Structures Raw]]/L$2)*100</f>
        <v>5.8789364083240071E-2</v>
      </c>
      <c r="N825" s="180">
        <f>FME_Ranking1[[#This Row],[Res Structures Score (Normalized, Unweighted)]]*$L$3</f>
        <v>5.8789364083240078E-3</v>
      </c>
      <c r="O825" s="244">
        <f>_xlfn.XLOOKUP(FME_Ranking1[[#This Row],[FME ID]],FME_Input[FME_ID],FME_Input[POP100])</f>
        <v>666</v>
      </c>
      <c r="P825" s="178">
        <f>(FME_Ranking1[[#This Row],[Pop Raw]]/$O$2)*100</f>
        <v>6.8181957784516356E-2</v>
      </c>
      <c r="Q825" s="178">
        <f>FME_Ranking1[[#This Row],[Pop Score (Normalized, Unweighted)]]*$O$3</f>
        <v>1.0227293667677453E-2</v>
      </c>
      <c r="R825" s="137">
        <f>_xlfn.XLOOKUP(FME_Ranking1[[#This Row],[FME ID]],FME_Input[FME_ID],FME_Input[CRITFAC100])</f>
        <v>4</v>
      </c>
      <c r="S825" s="230">
        <f>(FME_Ranking1[[#This Row],[Critical Facilities Raw]]/$R$2)*100</f>
        <v>0.17152658662092624</v>
      </c>
      <c r="T825" s="180">
        <f>FME_Ranking1[[#This Row],[Critical Facilities Score (Normalized, Unweighted)]]*$R$3</f>
        <v>3.430531732418525E-2</v>
      </c>
      <c r="U825">
        <f>_xlfn.XLOOKUP(FME_Ranking1[[#This Row],[FME ID]],FME_Input[FME_ID],FME_Input[LWC])</f>
        <v>7</v>
      </c>
      <c r="V825" s="178">
        <f>(FME_Ranking1[[#This Row],[LWC Raw]]/$U$2)*100</f>
        <v>0.40299366724237184</v>
      </c>
      <c r="W825" s="178">
        <f>FME_Ranking1[[#This Row],[LWC Score (Normalized, Unweighted)]]*$U$3</f>
        <v>8.0598733448474374E-2</v>
      </c>
      <c r="X825" s="246">
        <f>_xlfn.XLOOKUP(FME_Ranking1[[#This Row],[FME ID]],FME_Input[FME_ID],FME_Input[ROADCLS])</f>
        <v>7</v>
      </c>
      <c r="Y825" s="230">
        <f>(FME_Ranking1[[#This Row],[Closures Raw]]/$X$2)*100</f>
        <v>7.3598990642414042E-2</v>
      </c>
      <c r="Z825" s="180">
        <f>FME_Ranking1[[#This Row],[Closures Score (Normalized, Unweighted)]]*$X$3</f>
        <v>3.6799495321207022E-3</v>
      </c>
      <c r="AA825" s="253">
        <f>_xlfn.XLOOKUP(FME_Ranking1[[#This Row],[FME ID]],FME_Input[FME_ID],FME_Input[ROAD_MILES100])</f>
        <v>5.3338570594787598</v>
      </c>
      <c r="AB825" s="178">
        <f>(FME_Ranking1[[#This Row],[Miles Raw]]/$AA$2)*100</f>
        <v>7.0130653610389629E-2</v>
      </c>
      <c r="AC825" s="178">
        <f>FME_Ranking1[[#This Row],[Miles Score (Normalized, Unweighted)]]*$AA$3</f>
        <v>7.0130653610389632E-3</v>
      </c>
      <c r="AD825" s="255">
        <f>_xlfn.XLOOKUP(FME_Ranking1[[#This Row],[FME ID]],FME_Input[FME_ID],FME_Input[FARMACRE100])</f>
        <v>47.5040283203125</v>
      </c>
      <c r="AE825" s="230">
        <f>(FME_Ranking1[[#This Row],[Ag Land Raw]]/$AD$2)*100</f>
        <v>1.9588534759716484E-3</v>
      </c>
      <c r="AF825" s="231">
        <f>FME_Ranking1[[#This Row],[Ag Land Score (Normalized, Unweighted)]]*$AD$3</f>
        <v>9.7942673798582418E-5</v>
      </c>
      <c r="AG82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0.15376949442384449</v>
      </c>
      <c r="AH825" s="406">
        <f t="shared" si="12"/>
        <v>891</v>
      </c>
      <c r="AI82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0.15376949442384449</v>
      </c>
      <c r="AJ825" s="257">
        <f>FME_Ranking1[[#This Row],[Addition check]]-FME_Ranking1[[#This Row],[Weighted Score Based on Normalized Reported Factors]]</f>
        <v>0</v>
      </c>
      <c r="AK825" s="178">
        <f>_xlfn.RANK.EQ(AI825,$AI$6:$AI$2341,0)+COUNTIF($AI$6:AI825,AI825)-1</f>
        <v>891</v>
      </c>
    </row>
    <row r="826" spans="1:37" x14ac:dyDescent="0.25">
      <c r="A826" t="s">
        <v>5046</v>
      </c>
      <c r="B826">
        <f>_xlfn.XLOOKUP(FME_Ranking1[[#This Row],[FME ID]],FME_Input[FME_ID],FME_Input[RFPG_NUM])</f>
        <v>3</v>
      </c>
      <c r="C826" t="str">
        <f>_xlfn.XLOOKUP(FME_Ranking1[[#This Row],[FME ID]],FME_Input[FME_ID],FME_Input[FME_NAME])</f>
        <v>Shady Grove Rd, Gilbert Rd, Wright Blvd</v>
      </c>
      <c r="D826" t="str">
        <f>_xlfn.XLOOKUP(FME_Ranking1[[#This Row],[FME ID]],FME_Input[FME_ID],FME_Input[DESCR])</f>
        <v>Study update - Storm Drain Improvements; Estimated construction cost of $2,860,900</v>
      </c>
      <c r="E826" s="256">
        <f>_xlfn.XLOOKUP(FME_Ranking1[[#This Row],[FME ID]],FME_Input[FME_ID],FME_Input[FME_COST])</f>
        <v>250000</v>
      </c>
      <c r="F826" t="str">
        <f>_xlfn.XLOOKUP(FME_Ranking1[[#This Row],[FME ID]],FME_Input[FME_ID],FME_Input[EMER_NEED])</f>
        <v>No</v>
      </c>
      <c r="G826">
        <f>IF(FME_Ranking!F826="Yes",100,0)</f>
        <v>0</v>
      </c>
      <c r="H826">
        <f>FME_Ranking1[[#This Row],[Emergency Need Score (Normalized, Unweighted)]]*$F$3</f>
        <v>0</v>
      </c>
      <c r="I826" s="246">
        <f>_xlfn.XLOOKUP(FME_Ranking1[[#This Row],[FME ID]],FME_Input[FME_ID],FME_Input[STRUCT_100])</f>
        <v>215</v>
      </c>
      <c r="J826" s="178">
        <f>(FME_Ranking1[[#This Row],[Structures 100 Raw]]/I$2)*100</f>
        <v>0.11513087435205416</v>
      </c>
      <c r="K826" s="178">
        <f>FME_Ranking1[[#This Row],[Structures 100  Score (Normalized, Unweighted)]]*$I$3</f>
        <v>1.7269631152808124E-2</v>
      </c>
      <c r="L826" s="246">
        <f>_xlfn.XLOOKUP(FME_Ranking1[[#This Row],[FME ID]],FME_Input[FME_ID],FME_Input[RES_STRUCT100])</f>
        <v>206</v>
      </c>
      <c r="M826" s="230">
        <f>(FME_Ranking1[[#This Row],[Res Structures Raw]]/L$2)*100</f>
        <v>0.14591095182105365</v>
      </c>
      <c r="N826" s="180">
        <f>FME_Ranking1[[#This Row],[Res Structures Score (Normalized, Unweighted)]]*$L$3</f>
        <v>1.4591095182105366E-2</v>
      </c>
      <c r="O826" s="244">
        <f>_xlfn.XLOOKUP(FME_Ranking1[[#This Row],[FME ID]],FME_Input[FME_ID],FME_Input[POP100])</f>
        <v>2764</v>
      </c>
      <c r="P826" s="178">
        <f>(FME_Ranking1[[#This Row],[Pop Raw]]/$O$2)*100</f>
        <v>0.28296536233694175</v>
      </c>
      <c r="Q826" s="178">
        <f>FME_Ranking1[[#This Row],[Pop Score (Normalized, Unweighted)]]*$O$3</f>
        <v>4.2444804350541258E-2</v>
      </c>
      <c r="R826" s="137">
        <f>_xlfn.XLOOKUP(FME_Ranking1[[#This Row],[FME ID]],FME_Input[FME_ID],FME_Input[CRITFAC100])</f>
        <v>3</v>
      </c>
      <c r="S826" s="230">
        <f>(FME_Ranking1[[#This Row],[Critical Facilities Raw]]/$R$2)*100</f>
        <v>0.1286449399656947</v>
      </c>
      <c r="T826" s="180">
        <f>FME_Ranking1[[#This Row],[Critical Facilities Score (Normalized, Unweighted)]]*$R$3</f>
        <v>2.5728987993138941E-2</v>
      </c>
      <c r="U826">
        <f>_xlfn.XLOOKUP(FME_Ranking1[[#This Row],[FME ID]],FME_Input[FME_ID],FME_Input[LWC])</f>
        <v>4</v>
      </c>
      <c r="V826" s="178">
        <f>(FME_Ranking1[[#This Row],[LWC Raw]]/$U$2)*100</f>
        <v>0.23028209556706969</v>
      </c>
      <c r="W826" s="178">
        <f>FME_Ranking1[[#This Row],[LWC Score (Normalized, Unweighted)]]*$U$3</f>
        <v>4.6056419113413939E-2</v>
      </c>
      <c r="X826" s="246">
        <f>_xlfn.XLOOKUP(FME_Ranking1[[#This Row],[FME ID]],FME_Input[FME_ID],FME_Input[ROADCLS])</f>
        <v>0</v>
      </c>
      <c r="Y826" s="230">
        <f>(FME_Ranking1[[#This Row],[Closures Raw]]/$X$2)*100</f>
        <v>0</v>
      </c>
      <c r="Z826" s="180">
        <f>FME_Ranking1[[#This Row],[Closures Score (Normalized, Unweighted)]]*$X$3</f>
        <v>0</v>
      </c>
      <c r="AA826" s="253">
        <f>_xlfn.XLOOKUP(FME_Ranking1[[#This Row],[FME ID]],FME_Input[FME_ID],FME_Input[ROAD_MILES100])</f>
        <v>6.0910649299621582</v>
      </c>
      <c r="AB826" s="178">
        <f>(FME_Ranking1[[#This Row],[Miles Raw]]/$AA$2)*100</f>
        <v>8.00865789911724E-2</v>
      </c>
      <c r="AC826" s="178">
        <f>FME_Ranking1[[#This Row],[Miles Score (Normalized, Unweighted)]]*$AA$3</f>
        <v>8.0086578991172396E-3</v>
      </c>
      <c r="AD826" s="255">
        <f>_xlfn.XLOOKUP(FME_Ranking1[[#This Row],[FME ID]],FME_Input[FME_ID],FME_Input[FARMACRE100])</f>
        <v>170.2008972167969</v>
      </c>
      <c r="AE826" s="230">
        <f>(FME_Ranking1[[#This Row],[Ag Land Raw]]/$AD$2)*100</f>
        <v>7.0183230962763661E-3</v>
      </c>
      <c r="AF826" s="231">
        <f>FME_Ranking1[[#This Row],[Ag Land Score (Normalized, Unweighted)]]*$AD$3</f>
        <v>3.5091615481381834E-4</v>
      </c>
      <c r="AG82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0.15445051184593867</v>
      </c>
      <c r="AH826" s="406">
        <f t="shared" si="12"/>
        <v>886</v>
      </c>
      <c r="AI82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0.15445051184593867</v>
      </c>
      <c r="AJ826" s="257">
        <f>FME_Ranking1[[#This Row],[Addition check]]-FME_Ranking1[[#This Row],[Weighted Score Based on Normalized Reported Factors]]</f>
        <v>0</v>
      </c>
      <c r="AK826" s="178">
        <f>_xlfn.RANK.EQ(AI826,$AI$6:$AI$2341,0)+COUNTIF($AI$6:AI826,AI826)-1</f>
        <v>886</v>
      </c>
    </row>
    <row r="827" spans="1:37" x14ac:dyDescent="0.25">
      <c r="A827" t="s">
        <v>7695</v>
      </c>
      <c r="B827">
        <f>_xlfn.XLOOKUP(FME_Ranking1[[#This Row],[FME ID]],FME_Input[FME_ID],FME_Input[RFPG_NUM])</f>
        <v>8</v>
      </c>
      <c r="C827" t="str">
        <f>_xlfn.XLOOKUP(FME_Ranking1[[#This Row],[FME ID]],FME_Input[FME_ID],FME_Input[FME_NAME])</f>
        <v>Burton Creek Crossings</v>
      </c>
      <c r="D827" t="str">
        <f>_xlfn.XLOOKUP(FME_Ranking1[[#This Row],[FME ID]],FME_Input[FME_ID],FME_Input[DESCR])</f>
        <v>Update design to account for Atlas 14 rainfall.</v>
      </c>
      <c r="E827" s="256">
        <f>_xlfn.XLOOKUP(FME_Ranking1[[#This Row],[FME ID]],FME_Input[FME_ID],FME_Input[FME_COST])</f>
        <v>100000</v>
      </c>
      <c r="F827" t="str">
        <f>_xlfn.XLOOKUP(FME_Ranking1[[#This Row],[FME ID]],FME_Input[FME_ID],FME_Input[EMER_NEED])</f>
        <v>No</v>
      </c>
      <c r="G827">
        <f>IF(FME_Ranking!F827="Yes",100,0)</f>
        <v>0</v>
      </c>
      <c r="H827">
        <f>FME_Ranking1[[#This Row],[Emergency Need Score (Normalized, Unweighted)]]*$F$3</f>
        <v>0</v>
      </c>
      <c r="I827" s="246">
        <f>_xlfn.XLOOKUP(FME_Ranking1[[#This Row],[FME ID]],FME_Input[FME_ID],FME_Input[STRUCT_100])</f>
        <v>276</v>
      </c>
      <c r="J827" s="178">
        <f>(FME_Ranking1[[#This Row],[Structures 100 Raw]]/I$2)*100</f>
        <v>0.14779591312170673</v>
      </c>
      <c r="K827" s="178">
        <f>FME_Ranking1[[#This Row],[Structures 100  Score (Normalized, Unweighted)]]*$I$3</f>
        <v>2.2169386968256009E-2</v>
      </c>
      <c r="L827" s="246">
        <f>_xlfn.XLOOKUP(FME_Ranking1[[#This Row],[FME ID]],FME_Input[FME_ID],FME_Input[RES_STRUCT100])</f>
        <v>224</v>
      </c>
      <c r="M827" s="230">
        <f>(FME_Ranking1[[#This Row],[Res Structures Raw]]/L$2)*100</f>
        <v>0.15866045246561178</v>
      </c>
      <c r="N827" s="180">
        <f>FME_Ranking1[[#This Row],[Res Structures Score (Normalized, Unweighted)]]*$L$3</f>
        <v>1.586604524656118E-2</v>
      </c>
      <c r="O827" s="244">
        <f>_xlfn.XLOOKUP(FME_Ranking1[[#This Row],[FME ID]],FME_Input[FME_ID],FME_Input[POP100])</f>
        <v>1496</v>
      </c>
      <c r="P827" s="178">
        <f>(FME_Ranking1[[#This Row],[Pop Raw]]/$O$2)*100</f>
        <v>0.15315346673518987</v>
      </c>
      <c r="Q827" s="178">
        <f>FME_Ranking1[[#This Row],[Pop Score (Normalized, Unweighted)]]*$O$3</f>
        <v>2.297302001027848E-2</v>
      </c>
      <c r="R827" s="137">
        <f>_xlfn.XLOOKUP(FME_Ranking1[[#This Row],[FME ID]],FME_Input[FME_ID],FME_Input[CRITFAC100])</f>
        <v>1</v>
      </c>
      <c r="S827" s="230">
        <f>(FME_Ranking1[[#This Row],[Critical Facilities Raw]]/$R$2)*100</f>
        <v>4.2881646655231559E-2</v>
      </c>
      <c r="T827" s="180">
        <f>FME_Ranking1[[#This Row],[Critical Facilities Score (Normalized, Unweighted)]]*$R$3</f>
        <v>8.5763293310463125E-3</v>
      </c>
      <c r="U827">
        <f>_xlfn.XLOOKUP(FME_Ranking1[[#This Row],[FME ID]],FME_Input[FME_ID],FME_Input[LWC])</f>
        <v>5</v>
      </c>
      <c r="V827" s="178">
        <f>(FME_Ranking1[[#This Row],[LWC Raw]]/$U$2)*100</f>
        <v>0.28785261945883706</v>
      </c>
      <c r="W827" s="178">
        <f>FME_Ranking1[[#This Row],[LWC Score (Normalized, Unweighted)]]*$U$3</f>
        <v>5.7570523891767415E-2</v>
      </c>
      <c r="X827" s="246">
        <f>_xlfn.XLOOKUP(FME_Ranking1[[#This Row],[FME ID]],FME_Input[FME_ID],FME_Input[ROADCLS])</f>
        <v>36</v>
      </c>
      <c r="Y827" s="230">
        <f>(FME_Ranking1[[#This Row],[Closures Raw]]/$X$2)*100</f>
        <v>0.37850909473241512</v>
      </c>
      <c r="Z827" s="180">
        <f>FME_Ranking1[[#This Row],[Closures Score (Normalized, Unweighted)]]*$X$3</f>
        <v>1.8925454736620759E-2</v>
      </c>
      <c r="AA827" s="253">
        <f>_xlfn.XLOOKUP(FME_Ranking1[[#This Row],[FME ID]],FME_Input[FME_ID],FME_Input[ROAD_MILES100])</f>
        <v>2.7953600883483891</v>
      </c>
      <c r="AB827" s="178">
        <f>(FME_Ranking1[[#This Row],[Miles Raw]]/$AA$2)*100</f>
        <v>3.6753971448088757E-2</v>
      </c>
      <c r="AC827" s="178">
        <f>FME_Ranking1[[#This Row],[Miles Score (Normalized, Unweighted)]]*$AA$3</f>
        <v>3.6753971448088758E-3</v>
      </c>
      <c r="AD827" s="255">
        <f>_xlfn.XLOOKUP(FME_Ranking1[[#This Row],[FME ID]],FME_Input[FME_ID],FME_Input[FARMACRE100])</f>
        <v>0</v>
      </c>
      <c r="AE827" s="230">
        <f>(FME_Ranking1[[#This Row],[Ag Land Raw]]/$AD$2)*100</f>
        <v>0</v>
      </c>
      <c r="AF827" s="231">
        <f>FME_Ranking1[[#This Row],[Ag Land Score (Normalized, Unweighted)]]*$AD$3</f>
        <v>0</v>
      </c>
      <c r="AG82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0.14975615732933903</v>
      </c>
      <c r="AH827" s="406">
        <f t="shared" si="12"/>
        <v>902</v>
      </c>
      <c r="AI82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0.14975615732933903</v>
      </c>
      <c r="AJ827" s="257">
        <f>FME_Ranking1[[#This Row],[Addition check]]-FME_Ranking1[[#This Row],[Weighted Score Based on Normalized Reported Factors]]</f>
        <v>0</v>
      </c>
      <c r="AK827" s="178">
        <f>_xlfn.RANK.EQ(AI827,$AI$6:$AI$2341,0)+COUNTIF($AI$6:AI827,AI827)-1</f>
        <v>902</v>
      </c>
    </row>
    <row r="828" spans="1:37" x14ac:dyDescent="0.25">
      <c r="A828" t="s">
        <v>9985</v>
      </c>
      <c r="B828">
        <f>_xlfn.XLOOKUP(FME_Ranking1[[#This Row],[FME ID]],FME_Input[FME_ID],FME_Input[RFPG_NUM])</f>
        <v>13</v>
      </c>
      <c r="C828" t="str">
        <f>_xlfn.XLOOKUP(FME_Ranking1[[#This Row],[FME ID]],FME_Input[FME_ID],FME_Input[FME_NAME])</f>
        <v>Atascosa McMullen Hazard Mitigation Plan - McMullen County Action #2</v>
      </c>
      <c r="D828" t="str">
        <f>_xlfn.XLOOKUP(FME_Ranking1[[#This Row],[FME ID]],FME_Input[FME_ID],FME_Input[DESCR])</f>
        <v xml:space="preserve">Conduct a countywide floodplain study and mapping to understand the limits of the 1% annual chance and 0.2% annual chance floodplain boundaries and their effects on the community, infrastructure and critical facilities. </v>
      </c>
      <c r="E828" s="256">
        <f>_xlfn.XLOOKUP(FME_Ranking1[[#This Row],[FME ID]],FME_Input[FME_ID],FME_Input[FME_COST])</f>
        <v>450000</v>
      </c>
      <c r="F828" t="str">
        <f>_xlfn.XLOOKUP(FME_Ranking1[[#This Row],[FME ID]],FME_Input[FME_ID],FME_Input[EMER_NEED])</f>
        <v>Yes</v>
      </c>
      <c r="G828">
        <f>IF(FME_Ranking!F828="Yes",100,0)</f>
        <v>100</v>
      </c>
      <c r="H828">
        <f>FME_Ranking1[[#This Row],[Emergency Need Score (Normalized, Unweighted)]]*$F$3</f>
        <v>0</v>
      </c>
      <c r="I828" s="246">
        <f>_xlfn.XLOOKUP(FME_Ranking1[[#This Row],[FME ID]],FME_Input[FME_ID],FME_Input[STRUCT_100])</f>
        <v>339</v>
      </c>
      <c r="J828" s="178">
        <f>(FME_Ranking1[[#This Row],[Structures 100 Raw]]/I$2)*100</f>
        <v>0.1815319367690528</v>
      </c>
      <c r="K828" s="178">
        <f>FME_Ranking1[[#This Row],[Structures 100  Score (Normalized, Unweighted)]]*$I$3</f>
        <v>2.722979051535792E-2</v>
      </c>
      <c r="L828" s="246">
        <f>_xlfn.XLOOKUP(FME_Ranking1[[#This Row],[FME ID]],FME_Input[FME_ID],FME_Input[RES_STRUCT100])</f>
        <v>90</v>
      </c>
      <c r="M828" s="230">
        <f>(FME_Ranking1[[#This Row],[Res Structures Raw]]/L$2)*100</f>
        <v>6.374750322279045E-2</v>
      </c>
      <c r="N828" s="180">
        <f>FME_Ranking1[[#This Row],[Res Structures Score (Normalized, Unweighted)]]*$L$3</f>
        <v>6.3747503222790457E-3</v>
      </c>
      <c r="O828" s="244">
        <f>_xlfn.XLOOKUP(FME_Ranking1[[#This Row],[FME ID]],FME_Input[FME_ID],FME_Input[POP100])</f>
        <v>103</v>
      </c>
      <c r="P828" s="178">
        <f>(FME_Ranking1[[#This Row],[Pop Raw]]/$O$2)*100</f>
        <v>1.0544657134842619E-2</v>
      </c>
      <c r="Q828" s="178">
        <f>FME_Ranking1[[#This Row],[Pop Score (Normalized, Unweighted)]]*$O$3</f>
        <v>1.5816985702263927E-3</v>
      </c>
      <c r="R828" s="137">
        <f>_xlfn.XLOOKUP(FME_Ranking1[[#This Row],[FME ID]],FME_Input[FME_ID],FME_Input[CRITFAC100])</f>
        <v>0</v>
      </c>
      <c r="S828" s="230">
        <f>(FME_Ranking1[[#This Row],[Critical Facilities Raw]]/$R$2)*100</f>
        <v>0</v>
      </c>
      <c r="T828" s="180">
        <f>FME_Ranking1[[#This Row],[Critical Facilities Score (Normalized, Unweighted)]]*$R$3</f>
        <v>0</v>
      </c>
      <c r="U828">
        <f>_xlfn.XLOOKUP(FME_Ranking1[[#This Row],[FME ID]],FME_Input[FME_ID],FME_Input[LWC])</f>
        <v>6</v>
      </c>
      <c r="V828" s="178">
        <f>(FME_Ranking1[[#This Row],[LWC Raw]]/$U$2)*100</f>
        <v>0.34542314335060448</v>
      </c>
      <c r="W828" s="178">
        <f>FME_Ranking1[[#This Row],[LWC Score (Normalized, Unweighted)]]*$U$3</f>
        <v>6.9084628670120898E-2</v>
      </c>
      <c r="X828" s="246">
        <f>_xlfn.XLOOKUP(FME_Ranking1[[#This Row],[FME ID]],FME_Input[FME_ID],FME_Input[ROADCLS])</f>
        <v>70</v>
      </c>
      <c r="Y828" s="230">
        <f>(FME_Ranking1[[#This Row],[Closures Raw]]/$X$2)*100</f>
        <v>0.73598990642414042</v>
      </c>
      <c r="Z828" s="180">
        <f>FME_Ranking1[[#This Row],[Closures Score (Normalized, Unweighted)]]*$X$3</f>
        <v>3.6799495321207021E-2</v>
      </c>
      <c r="AA828" s="253">
        <f>_xlfn.XLOOKUP(FME_Ranking1[[#This Row],[FME ID]],FME_Input[FME_ID],FME_Input[ROAD_MILES100])</f>
        <v>39.451866149902337</v>
      </c>
      <c r="AB828" s="178">
        <f>(FME_Ranking1[[#This Row],[Miles Raw]]/$AA$2)*100</f>
        <v>0.51872127962736125</v>
      </c>
      <c r="AC828" s="178">
        <f>FME_Ranking1[[#This Row],[Miles Score (Normalized, Unweighted)]]*$AA$3</f>
        <v>5.1872127962736131E-2</v>
      </c>
      <c r="AD828" s="255">
        <f>_xlfn.XLOOKUP(FME_Ranking1[[#This Row],[FME ID]],FME_Input[FME_ID],FME_Input[FARMACRE100])</f>
        <v>2424.652587890625</v>
      </c>
      <c r="AE828" s="230">
        <f>(FME_Ranking1[[#This Row],[Ag Land Raw]]/$AD$2)*100</f>
        <v>9.9981818758354074E-2</v>
      </c>
      <c r="AF828" s="231">
        <f>FME_Ranking1[[#This Row],[Ag Land Score (Normalized, Unweighted)]]*$AD$3</f>
        <v>4.9990909379177039E-3</v>
      </c>
      <c r="AG82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0.1979415822998451</v>
      </c>
      <c r="AH828" s="406">
        <f t="shared" si="12"/>
        <v>799</v>
      </c>
      <c r="AI82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0.1979415822998451</v>
      </c>
      <c r="AJ828" s="257">
        <f>FME_Ranking1[[#This Row],[Addition check]]-FME_Ranking1[[#This Row],[Weighted Score Based on Normalized Reported Factors]]</f>
        <v>0</v>
      </c>
      <c r="AK828" s="178">
        <f>_xlfn.RANK.EQ(AI828,$AI$6:$AI$2341,0)+COUNTIF($AI$6:AI828,AI828)-1</f>
        <v>799</v>
      </c>
    </row>
    <row r="829" spans="1:37" x14ac:dyDescent="0.25">
      <c r="A829" t="s">
        <v>9994</v>
      </c>
      <c r="B829">
        <f>_xlfn.XLOOKUP(FME_Ranking1[[#This Row],[FME ID]],FME_Input[FME_ID],FME_Input[RFPG_NUM])</f>
        <v>13</v>
      </c>
      <c r="C829" t="str">
        <f>_xlfn.XLOOKUP(FME_Ranking1[[#This Row],[FME ID]],FME_Input[FME_ID],FME_Input[FME_NAME])</f>
        <v>Atascosa McMullen Hazard Mitigation Plan - McMullen County Action #3</v>
      </c>
      <c r="D829" t="str">
        <f>_xlfn.XLOOKUP(FME_Ranking1[[#This Row],[FME ID]],FME_Input[FME_ID],FME_Input[DESCR])</f>
        <v>Study and prioritize low water crossing improvements</v>
      </c>
      <c r="E829" s="256">
        <f>_xlfn.XLOOKUP(FME_Ranking1[[#This Row],[FME ID]],FME_Input[FME_ID],FME_Input[FME_COST])</f>
        <v>50000</v>
      </c>
      <c r="F829" t="str">
        <f>_xlfn.XLOOKUP(FME_Ranking1[[#This Row],[FME ID]],FME_Input[FME_ID],FME_Input[EMER_NEED])</f>
        <v>Yes</v>
      </c>
      <c r="G829">
        <f>IF(FME_Ranking!F829="Yes",100,0)</f>
        <v>100</v>
      </c>
      <c r="H829">
        <f>FME_Ranking1[[#This Row],[Emergency Need Score (Normalized, Unweighted)]]*$F$3</f>
        <v>0</v>
      </c>
      <c r="I829" s="246">
        <f>_xlfn.XLOOKUP(FME_Ranking1[[#This Row],[FME ID]],FME_Input[FME_ID],FME_Input[STRUCT_100])</f>
        <v>339</v>
      </c>
      <c r="J829" s="178">
        <f>(FME_Ranking1[[#This Row],[Structures 100 Raw]]/I$2)*100</f>
        <v>0.1815319367690528</v>
      </c>
      <c r="K829" s="178">
        <f>FME_Ranking1[[#This Row],[Structures 100  Score (Normalized, Unweighted)]]*$I$3</f>
        <v>2.722979051535792E-2</v>
      </c>
      <c r="L829" s="246">
        <f>_xlfn.XLOOKUP(FME_Ranking1[[#This Row],[FME ID]],FME_Input[FME_ID],FME_Input[RES_STRUCT100])</f>
        <v>90</v>
      </c>
      <c r="M829" s="230">
        <f>(FME_Ranking1[[#This Row],[Res Structures Raw]]/L$2)*100</f>
        <v>6.374750322279045E-2</v>
      </c>
      <c r="N829" s="180">
        <f>FME_Ranking1[[#This Row],[Res Structures Score (Normalized, Unweighted)]]*$L$3</f>
        <v>6.3747503222790457E-3</v>
      </c>
      <c r="O829" s="244">
        <f>_xlfn.XLOOKUP(FME_Ranking1[[#This Row],[FME ID]],FME_Input[FME_ID],FME_Input[POP100])</f>
        <v>103</v>
      </c>
      <c r="P829" s="178">
        <f>(FME_Ranking1[[#This Row],[Pop Raw]]/$O$2)*100</f>
        <v>1.0544657134842619E-2</v>
      </c>
      <c r="Q829" s="178">
        <f>FME_Ranking1[[#This Row],[Pop Score (Normalized, Unweighted)]]*$O$3</f>
        <v>1.5816985702263927E-3</v>
      </c>
      <c r="R829" s="137">
        <f>_xlfn.XLOOKUP(FME_Ranking1[[#This Row],[FME ID]],FME_Input[FME_ID],FME_Input[CRITFAC100])</f>
        <v>0</v>
      </c>
      <c r="S829" s="230">
        <f>(FME_Ranking1[[#This Row],[Critical Facilities Raw]]/$R$2)*100</f>
        <v>0</v>
      </c>
      <c r="T829" s="180">
        <f>FME_Ranking1[[#This Row],[Critical Facilities Score (Normalized, Unweighted)]]*$R$3</f>
        <v>0</v>
      </c>
      <c r="U829">
        <f>_xlfn.XLOOKUP(FME_Ranking1[[#This Row],[FME ID]],FME_Input[FME_ID],FME_Input[LWC])</f>
        <v>6</v>
      </c>
      <c r="V829" s="178">
        <f>(FME_Ranking1[[#This Row],[LWC Raw]]/$U$2)*100</f>
        <v>0.34542314335060448</v>
      </c>
      <c r="W829" s="178">
        <f>FME_Ranking1[[#This Row],[LWC Score (Normalized, Unweighted)]]*$U$3</f>
        <v>6.9084628670120898E-2</v>
      </c>
      <c r="X829" s="246">
        <f>_xlfn.XLOOKUP(FME_Ranking1[[#This Row],[FME ID]],FME_Input[FME_ID],FME_Input[ROADCLS])</f>
        <v>70</v>
      </c>
      <c r="Y829" s="230">
        <f>(FME_Ranking1[[#This Row],[Closures Raw]]/$X$2)*100</f>
        <v>0.73598990642414042</v>
      </c>
      <c r="Z829" s="180">
        <f>FME_Ranking1[[#This Row],[Closures Score (Normalized, Unweighted)]]*$X$3</f>
        <v>3.6799495321207021E-2</v>
      </c>
      <c r="AA829" s="253">
        <f>_xlfn.XLOOKUP(FME_Ranking1[[#This Row],[FME ID]],FME_Input[FME_ID],FME_Input[ROAD_MILES100])</f>
        <v>39.451866149902337</v>
      </c>
      <c r="AB829" s="178">
        <f>(FME_Ranking1[[#This Row],[Miles Raw]]/$AA$2)*100</f>
        <v>0.51872127962736125</v>
      </c>
      <c r="AC829" s="178">
        <f>FME_Ranking1[[#This Row],[Miles Score (Normalized, Unweighted)]]*$AA$3</f>
        <v>5.1872127962736131E-2</v>
      </c>
      <c r="AD829" s="255">
        <f>_xlfn.XLOOKUP(FME_Ranking1[[#This Row],[FME ID]],FME_Input[FME_ID],FME_Input[FARMACRE100])</f>
        <v>2424.652587890625</v>
      </c>
      <c r="AE829" s="230">
        <f>(FME_Ranking1[[#This Row],[Ag Land Raw]]/$AD$2)*100</f>
        <v>9.9981818758354074E-2</v>
      </c>
      <c r="AF829" s="231">
        <f>FME_Ranking1[[#This Row],[Ag Land Score (Normalized, Unweighted)]]*$AD$3</f>
        <v>4.9990909379177039E-3</v>
      </c>
      <c r="AG82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0.1979415822998451</v>
      </c>
      <c r="AH829" s="406">
        <f t="shared" si="12"/>
        <v>799</v>
      </c>
      <c r="AI82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0.1979415822998451</v>
      </c>
      <c r="AJ829" s="257">
        <f>FME_Ranking1[[#This Row],[Addition check]]-FME_Ranking1[[#This Row],[Weighted Score Based on Normalized Reported Factors]]</f>
        <v>0</v>
      </c>
      <c r="AK829" s="178">
        <f>_xlfn.RANK.EQ(AI829,$AI$6:$AI$2341,0)+COUNTIF($AI$6:AI829,AI829)-1</f>
        <v>800</v>
      </c>
    </row>
    <row r="830" spans="1:37" x14ac:dyDescent="0.25">
      <c r="A830" t="s">
        <v>9998</v>
      </c>
      <c r="B830">
        <f>_xlfn.XLOOKUP(FME_Ranking1[[#This Row],[FME ID]],FME_Input[FME_ID],FME_Input[RFPG_NUM])</f>
        <v>13</v>
      </c>
      <c r="C830" t="str">
        <f>_xlfn.XLOOKUP(FME_Ranking1[[#This Row],[FME ID]],FME_Input[FME_ID],FME_Input[FME_NAME])</f>
        <v>Atascosa McMullen Hazard Mitigation Plan - McMullen County Action #5</v>
      </c>
      <c r="D830" t="str">
        <f>_xlfn.XLOOKUP(FME_Ranking1[[#This Row],[FME ID]],FME_Input[FME_ID],FME_Input[DESCR])</f>
        <v>Provide FEMA review of floodplain management criteria by ensuring that the community correct NRP program deficiencies and enforces existing ordinances that regular planning and development.</v>
      </c>
      <c r="E830" s="256">
        <f>_xlfn.XLOOKUP(FME_Ranking1[[#This Row],[FME ID]],FME_Input[FME_ID],FME_Input[FME_COST])</f>
        <v>10000</v>
      </c>
      <c r="F830" t="str">
        <f>_xlfn.XLOOKUP(FME_Ranking1[[#This Row],[FME ID]],FME_Input[FME_ID],FME_Input[EMER_NEED])</f>
        <v>Yes</v>
      </c>
      <c r="G830">
        <f>IF(FME_Ranking!F830="Yes",100,0)</f>
        <v>100</v>
      </c>
      <c r="H830">
        <f>FME_Ranking1[[#This Row],[Emergency Need Score (Normalized, Unweighted)]]*$F$3</f>
        <v>0</v>
      </c>
      <c r="I830" s="246">
        <f>_xlfn.XLOOKUP(FME_Ranking1[[#This Row],[FME ID]],FME_Input[FME_ID],FME_Input[STRUCT_100])</f>
        <v>339</v>
      </c>
      <c r="J830" s="178">
        <f>(FME_Ranking1[[#This Row],[Structures 100 Raw]]/I$2)*100</f>
        <v>0.1815319367690528</v>
      </c>
      <c r="K830" s="178">
        <f>FME_Ranking1[[#This Row],[Structures 100  Score (Normalized, Unweighted)]]*$I$3</f>
        <v>2.722979051535792E-2</v>
      </c>
      <c r="L830" s="246">
        <f>_xlfn.XLOOKUP(FME_Ranking1[[#This Row],[FME ID]],FME_Input[FME_ID],FME_Input[RES_STRUCT100])</f>
        <v>90</v>
      </c>
      <c r="M830" s="230">
        <f>(FME_Ranking1[[#This Row],[Res Structures Raw]]/L$2)*100</f>
        <v>6.374750322279045E-2</v>
      </c>
      <c r="N830" s="180">
        <f>FME_Ranking1[[#This Row],[Res Structures Score (Normalized, Unweighted)]]*$L$3</f>
        <v>6.3747503222790457E-3</v>
      </c>
      <c r="O830" s="244">
        <f>_xlfn.XLOOKUP(FME_Ranking1[[#This Row],[FME ID]],FME_Input[FME_ID],FME_Input[POP100])</f>
        <v>103</v>
      </c>
      <c r="P830" s="178">
        <f>(FME_Ranking1[[#This Row],[Pop Raw]]/$O$2)*100</f>
        <v>1.0544657134842619E-2</v>
      </c>
      <c r="Q830" s="178">
        <f>FME_Ranking1[[#This Row],[Pop Score (Normalized, Unweighted)]]*$O$3</f>
        <v>1.5816985702263927E-3</v>
      </c>
      <c r="R830" s="137">
        <f>_xlfn.XLOOKUP(FME_Ranking1[[#This Row],[FME ID]],FME_Input[FME_ID],FME_Input[CRITFAC100])</f>
        <v>0</v>
      </c>
      <c r="S830" s="230">
        <f>(FME_Ranking1[[#This Row],[Critical Facilities Raw]]/$R$2)*100</f>
        <v>0</v>
      </c>
      <c r="T830" s="180">
        <f>FME_Ranking1[[#This Row],[Critical Facilities Score (Normalized, Unweighted)]]*$R$3</f>
        <v>0</v>
      </c>
      <c r="U830">
        <f>_xlfn.XLOOKUP(FME_Ranking1[[#This Row],[FME ID]],FME_Input[FME_ID],FME_Input[LWC])</f>
        <v>6</v>
      </c>
      <c r="V830" s="178">
        <f>(FME_Ranking1[[#This Row],[LWC Raw]]/$U$2)*100</f>
        <v>0.34542314335060448</v>
      </c>
      <c r="W830" s="178">
        <f>FME_Ranking1[[#This Row],[LWC Score (Normalized, Unweighted)]]*$U$3</f>
        <v>6.9084628670120898E-2</v>
      </c>
      <c r="X830" s="246">
        <f>_xlfn.XLOOKUP(FME_Ranking1[[#This Row],[FME ID]],FME_Input[FME_ID],FME_Input[ROADCLS])</f>
        <v>70</v>
      </c>
      <c r="Y830" s="230">
        <f>(FME_Ranking1[[#This Row],[Closures Raw]]/$X$2)*100</f>
        <v>0.73598990642414042</v>
      </c>
      <c r="Z830" s="180">
        <f>FME_Ranking1[[#This Row],[Closures Score (Normalized, Unweighted)]]*$X$3</f>
        <v>3.6799495321207021E-2</v>
      </c>
      <c r="AA830" s="253">
        <f>_xlfn.XLOOKUP(FME_Ranking1[[#This Row],[FME ID]],FME_Input[FME_ID],FME_Input[ROAD_MILES100])</f>
        <v>39.451866149902337</v>
      </c>
      <c r="AB830" s="178">
        <f>(FME_Ranking1[[#This Row],[Miles Raw]]/$AA$2)*100</f>
        <v>0.51872127962736125</v>
      </c>
      <c r="AC830" s="178">
        <f>FME_Ranking1[[#This Row],[Miles Score (Normalized, Unweighted)]]*$AA$3</f>
        <v>5.1872127962736131E-2</v>
      </c>
      <c r="AD830" s="255">
        <f>_xlfn.XLOOKUP(FME_Ranking1[[#This Row],[FME ID]],FME_Input[FME_ID],FME_Input[FARMACRE100])</f>
        <v>2424.652587890625</v>
      </c>
      <c r="AE830" s="230">
        <f>(FME_Ranking1[[#This Row],[Ag Land Raw]]/$AD$2)*100</f>
        <v>9.9981818758354074E-2</v>
      </c>
      <c r="AF830" s="231">
        <f>FME_Ranking1[[#This Row],[Ag Land Score (Normalized, Unweighted)]]*$AD$3</f>
        <v>4.9990909379177039E-3</v>
      </c>
      <c r="AG83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0.1979415822998451</v>
      </c>
      <c r="AH830" s="406">
        <f t="shared" si="12"/>
        <v>799</v>
      </c>
      <c r="AI83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0.1979415822998451</v>
      </c>
      <c r="AJ830" s="257">
        <f>FME_Ranking1[[#This Row],[Addition check]]-FME_Ranking1[[#This Row],[Weighted Score Based on Normalized Reported Factors]]</f>
        <v>0</v>
      </c>
      <c r="AK830" s="178">
        <f>_xlfn.RANK.EQ(AI830,$AI$6:$AI$2341,0)+COUNTIF($AI$6:AI830,AI830)-1</f>
        <v>801</v>
      </c>
    </row>
    <row r="831" spans="1:37" x14ac:dyDescent="0.25">
      <c r="A831" t="s">
        <v>11203</v>
      </c>
      <c r="B831">
        <f>_xlfn.XLOOKUP(FME_Ranking1[[#This Row],[FME ID]],FME_Input[FME_ID],FME_Input[RFPG_NUM])</f>
        <v>15</v>
      </c>
      <c r="C831" t="str">
        <f>_xlfn.XLOOKUP(FME_Ranking1[[#This Row],[FME ID]],FME_Input[FME_ID],FME_Input[FME_NAME])</f>
        <v>South Padre Island #6</v>
      </c>
      <c r="D831" t="str">
        <f>_xlfn.XLOOKUP(FME_Ranking1[[#This Row],[FME ID]],FME_Input[FME_ID],FME_Input[DESCR])</f>
        <v xml:space="preserve"> Upgrade undersized culverts throughout the Island to increase capacity and reduce flood risk</v>
      </c>
      <c r="E831" s="256">
        <f>_xlfn.XLOOKUP(FME_Ranking1[[#This Row],[FME ID]],FME_Input[FME_ID],FME_Input[FME_COST])</f>
        <v>1848000</v>
      </c>
      <c r="F831" t="str">
        <f>_xlfn.XLOOKUP(FME_Ranking1[[#This Row],[FME ID]],FME_Input[FME_ID],FME_Input[EMER_NEED])</f>
        <v>Yes</v>
      </c>
      <c r="G831">
        <f>IF(FME_Ranking!F831="Yes",100,0)</f>
        <v>100</v>
      </c>
      <c r="H831">
        <f>FME_Ranking1[[#This Row],[Emergency Need Score (Normalized, Unweighted)]]*$F$3</f>
        <v>0</v>
      </c>
      <c r="I831" s="246">
        <f>_xlfn.XLOOKUP(FME_Ranking1[[#This Row],[FME ID]],FME_Input[FME_ID],FME_Input[STRUCT_100])</f>
        <v>0</v>
      </c>
      <c r="J831" s="178">
        <f>(FME_Ranking1[[#This Row],[Structures 100 Raw]]/I$2)*100</f>
        <v>0</v>
      </c>
      <c r="K831" s="178">
        <f>FME_Ranking1[[#This Row],[Structures 100  Score (Normalized, Unweighted)]]*$I$3</f>
        <v>0</v>
      </c>
      <c r="L831" s="246">
        <f>_xlfn.XLOOKUP(FME_Ranking1[[#This Row],[FME ID]],FME_Input[FME_ID],FME_Input[RES_STRUCT100])</f>
        <v>894</v>
      </c>
      <c r="M831" s="230">
        <f>(FME_Ranking1[[#This Row],[Res Structures Raw]]/L$2)*100</f>
        <v>0.63322519867971838</v>
      </c>
      <c r="N831" s="180">
        <f>FME_Ranking1[[#This Row],[Res Structures Score (Normalized, Unweighted)]]*$L$3</f>
        <v>6.3322519867971841E-2</v>
      </c>
      <c r="O831" s="244">
        <f>_xlfn.XLOOKUP(FME_Ranking1[[#This Row],[FME ID]],FME_Input[FME_ID],FME_Input[POP100])</f>
        <v>3555</v>
      </c>
      <c r="P831" s="178">
        <f>(FME_Ranking1[[#This Row],[Pop Raw]]/$O$2)*100</f>
        <v>0.3639442341200535</v>
      </c>
      <c r="Q831" s="178">
        <f>FME_Ranking1[[#This Row],[Pop Score (Normalized, Unweighted)]]*$O$3</f>
        <v>5.4591635118008026E-2</v>
      </c>
      <c r="R831" s="137">
        <f>_xlfn.XLOOKUP(FME_Ranking1[[#This Row],[FME ID]],FME_Input[FME_ID],FME_Input[CRITFAC100])</f>
        <v>3</v>
      </c>
      <c r="S831" s="230">
        <f>(FME_Ranking1[[#This Row],[Critical Facilities Raw]]/$R$2)*100</f>
        <v>0.1286449399656947</v>
      </c>
      <c r="T831" s="180">
        <f>FME_Ranking1[[#This Row],[Critical Facilities Score (Normalized, Unweighted)]]*$R$3</f>
        <v>2.5728987993138941E-2</v>
      </c>
      <c r="U831">
        <f>_xlfn.XLOOKUP(FME_Ranking1[[#This Row],[FME ID]],FME_Input[FME_ID],FME_Input[LWC])</f>
        <v>0</v>
      </c>
      <c r="V831" s="178">
        <f>(FME_Ranking1[[#This Row],[LWC Raw]]/$U$2)*100</f>
        <v>0</v>
      </c>
      <c r="W831" s="178">
        <f>FME_Ranking1[[#This Row],[LWC Score (Normalized, Unweighted)]]*$U$3</f>
        <v>0</v>
      </c>
      <c r="X831" s="246">
        <f>_xlfn.XLOOKUP(FME_Ranking1[[#This Row],[FME ID]],FME_Input[FME_ID],FME_Input[ROADCLS])</f>
        <v>0</v>
      </c>
      <c r="Y831" s="230">
        <f>(FME_Ranking1[[#This Row],[Closures Raw]]/$X$2)*100</f>
        <v>0</v>
      </c>
      <c r="Z831" s="180">
        <f>FME_Ranking1[[#This Row],[Closures Score (Normalized, Unweighted)]]*$X$3</f>
        <v>0</v>
      </c>
      <c r="AA831" s="253">
        <f>_xlfn.XLOOKUP(FME_Ranking1[[#This Row],[FME ID]],FME_Input[FME_ID],FME_Input[ROAD_MILES100])</f>
        <v>38.737400054931641</v>
      </c>
      <c r="AB831" s="178">
        <f>(FME_Ranking1[[#This Row],[Miles Raw]]/$AA$2)*100</f>
        <v>0.50932733193359725</v>
      </c>
      <c r="AC831" s="178">
        <f>FME_Ranking1[[#This Row],[Miles Score (Normalized, Unweighted)]]*$AA$3</f>
        <v>5.0932733193359725E-2</v>
      </c>
      <c r="AD831" s="255">
        <f>_xlfn.XLOOKUP(FME_Ranking1[[#This Row],[FME ID]],FME_Input[FME_ID],FME_Input[FARMACRE100])</f>
        <v>0</v>
      </c>
      <c r="AE831" s="230">
        <f>(FME_Ranking1[[#This Row],[Ag Land Raw]]/$AD$2)*100</f>
        <v>0</v>
      </c>
      <c r="AF831" s="231">
        <f>FME_Ranking1[[#This Row],[Ag Land Score (Normalized, Unweighted)]]*$AD$3</f>
        <v>0</v>
      </c>
      <c r="AG83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0.19457587617247854</v>
      </c>
      <c r="AH831" s="406">
        <f t="shared" si="12"/>
        <v>809</v>
      </c>
      <c r="AI83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0.19457587617247854</v>
      </c>
      <c r="AJ831" s="257">
        <f>FME_Ranking1[[#This Row],[Addition check]]-FME_Ranking1[[#This Row],[Weighted Score Based on Normalized Reported Factors]]</f>
        <v>0</v>
      </c>
      <c r="AK831" s="178">
        <f>_xlfn.RANK.EQ(AI831,$AI$6:$AI$2341,0)+COUNTIF($AI$6:AI831,AI831)-1</f>
        <v>809</v>
      </c>
    </row>
    <row r="832" spans="1:37" x14ac:dyDescent="0.25">
      <c r="A832" t="s">
        <v>7669</v>
      </c>
      <c r="B832">
        <f>_xlfn.XLOOKUP(FME_Ranking1[[#This Row],[FME ID]],FME_Input[FME_ID],FME_Input[RFPG_NUM])</f>
        <v>8</v>
      </c>
      <c r="C832" t="str">
        <f>_xlfn.XLOOKUP(FME_Ranking1[[#This Row],[FME ID]],FME_Input[FME_ID],FME_Input[FME_NAME])</f>
        <v>Improve Undersized Storm Sewers in Carter Creek DB</v>
      </c>
      <c r="D832" t="str">
        <f>_xlfn.XLOOKUP(FME_Ranking1[[#This Row],[FME ID]],FME_Input[FME_ID],FME_Input[DESCR])</f>
        <v>Update modeling to Atlas 14 to determine appropriate sizing for storm sewer in the region.</v>
      </c>
      <c r="E832" s="256">
        <f>_xlfn.XLOOKUP(FME_Ranking1[[#This Row],[FME ID]],FME_Input[FME_ID],FME_Input[FME_COST])</f>
        <v>100000</v>
      </c>
      <c r="F832" t="str">
        <f>_xlfn.XLOOKUP(FME_Ranking1[[#This Row],[FME ID]],FME_Input[FME_ID],FME_Input[EMER_NEED])</f>
        <v>No</v>
      </c>
      <c r="G832">
        <f>IF(FME_Ranking!F832="Yes",100,0)</f>
        <v>0</v>
      </c>
      <c r="H832">
        <f>FME_Ranking1[[#This Row],[Emergency Need Score (Normalized, Unweighted)]]*$F$3</f>
        <v>0</v>
      </c>
      <c r="I832" s="246">
        <f>_xlfn.XLOOKUP(FME_Ranking1[[#This Row],[FME ID]],FME_Input[FME_ID],FME_Input[STRUCT_100])</f>
        <v>190</v>
      </c>
      <c r="J832" s="178">
        <f>(FME_Ranking1[[#This Row],[Structures 100 Raw]]/I$2)*100</f>
        <v>0.10174356338088505</v>
      </c>
      <c r="K832" s="178">
        <f>FME_Ranking1[[#This Row],[Structures 100  Score (Normalized, Unweighted)]]*$I$3</f>
        <v>1.5261534507132758E-2</v>
      </c>
      <c r="L832" s="246">
        <f>_xlfn.XLOOKUP(FME_Ranking1[[#This Row],[FME ID]],FME_Input[FME_ID],FME_Input[RES_STRUCT100])</f>
        <v>158</v>
      </c>
      <c r="M832" s="230">
        <f>(FME_Ranking1[[#This Row],[Res Structures Raw]]/L$2)*100</f>
        <v>0.11191228343556545</v>
      </c>
      <c r="N832" s="180">
        <f>FME_Ranking1[[#This Row],[Res Structures Score (Normalized, Unweighted)]]*$L$3</f>
        <v>1.1191228343556545E-2</v>
      </c>
      <c r="O832" s="244">
        <f>_xlfn.XLOOKUP(FME_Ranking1[[#This Row],[FME ID]],FME_Input[FME_ID],FME_Input[POP100])</f>
        <v>883</v>
      </c>
      <c r="P832" s="178">
        <f>(FME_Ranking1[[#This Row],[Pop Raw]]/$O$2)*100</f>
        <v>9.0397400486077986E-2</v>
      </c>
      <c r="Q832" s="178">
        <f>FME_Ranking1[[#This Row],[Pop Score (Normalized, Unweighted)]]*$O$3</f>
        <v>1.3559610072911697E-2</v>
      </c>
      <c r="R832" s="137">
        <f>_xlfn.XLOOKUP(FME_Ranking1[[#This Row],[FME ID]],FME_Input[FME_ID],FME_Input[CRITFAC100])</f>
        <v>1</v>
      </c>
      <c r="S832" s="230">
        <f>(FME_Ranking1[[#This Row],[Critical Facilities Raw]]/$R$2)*100</f>
        <v>4.2881646655231559E-2</v>
      </c>
      <c r="T832" s="180">
        <f>FME_Ranking1[[#This Row],[Critical Facilities Score (Normalized, Unweighted)]]*$R$3</f>
        <v>8.5763293310463125E-3</v>
      </c>
      <c r="U832">
        <f>_xlfn.XLOOKUP(FME_Ranking1[[#This Row],[FME ID]],FME_Input[FME_ID],FME_Input[LWC])</f>
        <v>6</v>
      </c>
      <c r="V832" s="178">
        <f>(FME_Ranking1[[#This Row],[LWC Raw]]/$U$2)*100</f>
        <v>0.34542314335060448</v>
      </c>
      <c r="W832" s="178">
        <f>FME_Ranking1[[#This Row],[LWC Score (Normalized, Unweighted)]]*$U$3</f>
        <v>6.9084628670120898E-2</v>
      </c>
      <c r="X832" s="246">
        <f>_xlfn.XLOOKUP(FME_Ranking1[[#This Row],[FME ID]],FME_Input[FME_ID],FME_Input[ROADCLS])</f>
        <v>48</v>
      </c>
      <c r="Y832" s="230">
        <f>(FME_Ranking1[[#This Row],[Closures Raw]]/$X$2)*100</f>
        <v>0.50467879297655349</v>
      </c>
      <c r="Z832" s="180">
        <f>FME_Ranking1[[#This Row],[Closures Score (Normalized, Unweighted)]]*$X$3</f>
        <v>2.5233939648827676E-2</v>
      </c>
      <c r="AA832" s="253">
        <f>_xlfn.XLOOKUP(FME_Ranking1[[#This Row],[FME ID]],FME_Input[FME_ID],FME_Input[ROAD_MILES100])</f>
        <v>4.9509401321411133</v>
      </c>
      <c r="AB832" s="178">
        <f>(FME_Ranking1[[#This Row],[Miles Raw]]/$AA$2)*100</f>
        <v>6.5095982809651023E-2</v>
      </c>
      <c r="AC832" s="178">
        <f>FME_Ranking1[[#This Row],[Miles Score (Normalized, Unweighted)]]*$AA$3</f>
        <v>6.5095982809651029E-3</v>
      </c>
      <c r="AD832" s="255">
        <f>_xlfn.XLOOKUP(FME_Ranking1[[#This Row],[FME ID]],FME_Input[FME_ID],FME_Input[FARMACRE100])</f>
        <v>184.2879943847656</v>
      </c>
      <c r="AE832" s="230">
        <f>(FME_Ranking1[[#This Row],[Ag Land Raw]]/$AD$2)*100</f>
        <v>7.5992119225409497E-3</v>
      </c>
      <c r="AF832" s="231">
        <f>FME_Ranking1[[#This Row],[Ag Land Score (Normalized, Unweighted)]]*$AD$3</f>
        <v>3.7996059612704751E-4</v>
      </c>
      <c r="AG83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0.14979682945068803</v>
      </c>
      <c r="AH832" s="406">
        <f t="shared" si="12"/>
        <v>901</v>
      </c>
      <c r="AI83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0.14979682945068803</v>
      </c>
      <c r="AJ832" s="257">
        <f>FME_Ranking1[[#This Row],[Addition check]]-FME_Ranking1[[#This Row],[Weighted Score Based on Normalized Reported Factors]]</f>
        <v>0</v>
      </c>
      <c r="AK832" s="178">
        <f>_xlfn.RANK.EQ(AI832,$AI$6:$AI$2341,0)+COUNTIF($AI$6:AI832,AI832)-1</f>
        <v>901</v>
      </c>
    </row>
    <row r="833" spans="1:37" x14ac:dyDescent="0.25">
      <c r="A833" t="s">
        <v>5804</v>
      </c>
      <c r="B833">
        <f>_xlfn.XLOOKUP(FME_Ranking1[[#This Row],[FME ID]],FME_Input[FME_ID],FME_Input[RFPG_NUM])</f>
        <v>5</v>
      </c>
      <c r="C833" t="str">
        <f>_xlfn.XLOOKUP(FME_Ranking1[[#This Row],[FME ID]],FME_Input[FME_ID],FME_Input[FME_NAME])</f>
        <v>Anahuac, North of Canal Drainage</v>
      </c>
      <c r="D833" t="str">
        <f>_xlfn.XLOOKUP(FME_Ranking1[[#This Row],[FME ID]],FME_Input[FME_ID],FME_Input[DESCR])</f>
        <v xml:space="preserve">Study to identify possible drainage improvements in the city limits of Anahuac.  Study will focus on the area north of the Chambers-Liberty Counties Navigation District canal generally along N. Main Street, Texas Avenue, and Work Street.
</v>
      </c>
      <c r="E833" s="256">
        <f>_xlfn.XLOOKUP(FME_Ranking1[[#This Row],[FME ID]],FME_Input[FME_ID],FME_Input[FME_COST])</f>
        <v>100000</v>
      </c>
      <c r="F833" t="str">
        <f>_xlfn.XLOOKUP(FME_Ranking1[[#This Row],[FME ID]],FME_Input[FME_ID],FME_Input[EMER_NEED])</f>
        <v>Yes</v>
      </c>
      <c r="G833">
        <f>IF(FME_Ranking!F833="Yes",100,0)</f>
        <v>100</v>
      </c>
      <c r="H833">
        <f>FME_Ranking1[[#This Row],[Emergency Need Score (Normalized, Unweighted)]]*$F$3</f>
        <v>0</v>
      </c>
      <c r="I833" s="246">
        <f>_xlfn.XLOOKUP(FME_Ranking1[[#This Row],[FME ID]],FME_Input[FME_ID],FME_Input[STRUCT_100])</f>
        <v>949</v>
      </c>
      <c r="J833" s="178">
        <f>(FME_Ranking1[[#This Row],[Structures 100 Raw]]/I$2)*100</f>
        <v>0.50818232446557854</v>
      </c>
      <c r="K833" s="178">
        <f>FME_Ranking1[[#This Row],[Structures 100  Score (Normalized, Unweighted)]]*$I$3</f>
        <v>7.6227348669836784E-2</v>
      </c>
      <c r="L833" s="246">
        <f>_xlfn.XLOOKUP(FME_Ranking1[[#This Row],[FME ID]],FME_Input[FME_ID],FME_Input[RES_STRUCT100])</f>
        <v>379</v>
      </c>
      <c r="M833" s="230">
        <f>(FME_Ranking1[[#This Row],[Res Structures Raw]]/L$2)*100</f>
        <v>0.26844781912708415</v>
      </c>
      <c r="N833" s="180">
        <f>FME_Ranking1[[#This Row],[Res Structures Score (Normalized, Unweighted)]]*$L$3</f>
        <v>2.6844781912708417E-2</v>
      </c>
      <c r="O833" s="244">
        <f>_xlfn.XLOOKUP(FME_Ranking1[[#This Row],[FME ID]],FME_Input[FME_ID],FME_Input[POP100])</f>
        <v>1134</v>
      </c>
      <c r="P833" s="178">
        <f>(FME_Ranking1[[#This Row],[Pop Raw]]/$O$2)*100</f>
        <v>0.11609360379525757</v>
      </c>
      <c r="Q833" s="178">
        <f>FME_Ranking1[[#This Row],[Pop Score (Normalized, Unweighted)]]*$O$3</f>
        <v>1.7414040569288636E-2</v>
      </c>
      <c r="R833" s="137">
        <f>_xlfn.XLOOKUP(FME_Ranking1[[#This Row],[FME ID]],FME_Input[FME_ID],FME_Input[CRITFAC100])</f>
        <v>0</v>
      </c>
      <c r="S833" s="230">
        <f>(FME_Ranking1[[#This Row],[Critical Facilities Raw]]/$R$2)*100</f>
        <v>0</v>
      </c>
      <c r="T833" s="180">
        <f>FME_Ranking1[[#This Row],[Critical Facilities Score (Normalized, Unweighted)]]*$R$3</f>
        <v>0</v>
      </c>
      <c r="U833">
        <f>_xlfn.XLOOKUP(FME_Ranking1[[#This Row],[FME ID]],FME_Input[FME_ID],FME_Input[LWC])</f>
        <v>0</v>
      </c>
      <c r="V833" s="178">
        <f>(FME_Ranking1[[#This Row],[LWC Raw]]/$U$2)*100</f>
        <v>0</v>
      </c>
      <c r="W833" s="178">
        <f>FME_Ranking1[[#This Row],[LWC Score (Normalized, Unweighted)]]*$U$3</f>
        <v>0</v>
      </c>
      <c r="X833" s="246">
        <f>_xlfn.XLOOKUP(FME_Ranking1[[#This Row],[FME ID]],FME_Input[FME_ID],FME_Input[ROADCLS])</f>
        <v>0</v>
      </c>
      <c r="Y833" s="230">
        <f>(FME_Ranking1[[#This Row],[Closures Raw]]/$X$2)*100</f>
        <v>0</v>
      </c>
      <c r="Z833" s="180">
        <f>FME_Ranking1[[#This Row],[Closures Score (Normalized, Unweighted)]]*$X$3</f>
        <v>0</v>
      </c>
      <c r="AA833" s="253">
        <f>_xlfn.XLOOKUP(FME_Ranking1[[#This Row],[FME ID]],FME_Input[FME_ID],FME_Input[ROAD_MILES100])</f>
        <v>58.6669921875</v>
      </c>
      <c r="AB833" s="178">
        <f>(FME_Ranking1[[#This Row],[Miles Raw]]/$AA$2)*100</f>
        <v>0.77136572307527562</v>
      </c>
      <c r="AC833" s="178">
        <f>FME_Ranking1[[#This Row],[Miles Score (Normalized, Unweighted)]]*$AA$3</f>
        <v>7.7136572307527573E-2</v>
      </c>
      <c r="AD833" s="255">
        <f>_xlfn.XLOOKUP(FME_Ranking1[[#This Row],[FME ID]],FME_Input[FME_ID],FME_Input[FARMACRE100])</f>
        <v>10885.9072265625</v>
      </c>
      <c r="AE833" s="230">
        <f>(FME_Ranking1[[#This Row],[Ag Land Raw]]/$AD$2)*100</f>
        <v>0.44888608321957479</v>
      </c>
      <c r="AF833" s="231">
        <f>FME_Ranking1[[#This Row],[Ag Land Score (Normalized, Unweighted)]]*$AD$3</f>
        <v>2.2444304160978742E-2</v>
      </c>
      <c r="AG83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0.22006704762034018</v>
      </c>
      <c r="AH833" s="406">
        <f t="shared" si="12"/>
        <v>769</v>
      </c>
      <c r="AI83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0.22006704762034018</v>
      </c>
      <c r="AJ833" s="257">
        <f>FME_Ranking1[[#This Row],[Addition check]]-FME_Ranking1[[#This Row],[Weighted Score Based on Normalized Reported Factors]]</f>
        <v>0</v>
      </c>
      <c r="AK833" s="178">
        <f>_xlfn.RANK.EQ(AI833,$AI$6:$AI$2341,0)+COUNTIF($AI$6:AI833,AI833)-1</f>
        <v>769</v>
      </c>
    </row>
    <row r="834" spans="1:37" x14ac:dyDescent="0.25">
      <c r="A834" t="s">
        <v>5860</v>
      </c>
      <c r="B834">
        <f>_xlfn.XLOOKUP(FME_Ranking1[[#This Row],[FME ID]],FME_Input[FME_ID],FME_Input[RFPG_NUM])</f>
        <v>5</v>
      </c>
      <c r="C834" t="str">
        <f>_xlfn.XLOOKUP(FME_Ranking1[[#This Row],[FME ID]],FME_Input[FME_ID],FME_Input[FME_NAME])</f>
        <v>Dredging West Fork- Double Bayou</v>
      </c>
      <c r="D834" t="str">
        <f>_xlfn.XLOOKUP(FME_Ranking1[[#This Row],[FME ID]],FME_Input[FME_ID],FME_Input[DESCR])</f>
        <v xml:space="preserve">Evaluate project to quantify benefits, evaluate impacts, and begin design. Improvements include dredging West Fork- Double Bayou from mouth to FM 562 bridge.
</v>
      </c>
      <c r="E834" s="256">
        <f>_xlfn.XLOOKUP(FME_Ranking1[[#This Row],[FME ID]],FME_Input[FME_ID],FME_Input[FME_COST])</f>
        <v>1400000</v>
      </c>
      <c r="F834" t="str">
        <f>_xlfn.XLOOKUP(FME_Ranking1[[#This Row],[FME ID]],FME_Input[FME_ID],FME_Input[EMER_NEED])</f>
        <v>Yes</v>
      </c>
      <c r="G834">
        <f>IF(FME_Ranking!F834="Yes",100,0)</f>
        <v>100</v>
      </c>
      <c r="H834">
        <f>FME_Ranking1[[#This Row],[Emergency Need Score (Normalized, Unweighted)]]*$F$3</f>
        <v>0</v>
      </c>
      <c r="I834" s="246">
        <f>_xlfn.XLOOKUP(FME_Ranking1[[#This Row],[FME ID]],FME_Input[FME_ID],FME_Input[STRUCT_100])</f>
        <v>949</v>
      </c>
      <c r="J834" s="178">
        <f>(FME_Ranking1[[#This Row],[Structures 100 Raw]]/I$2)*100</f>
        <v>0.50818232446557854</v>
      </c>
      <c r="K834" s="178">
        <f>FME_Ranking1[[#This Row],[Structures 100  Score (Normalized, Unweighted)]]*$I$3</f>
        <v>7.6227348669836784E-2</v>
      </c>
      <c r="L834" s="246">
        <f>_xlfn.XLOOKUP(FME_Ranking1[[#This Row],[FME ID]],FME_Input[FME_ID],FME_Input[RES_STRUCT100])</f>
        <v>379</v>
      </c>
      <c r="M834" s="230">
        <f>(FME_Ranking1[[#This Row],[Res Structures Raw]]/L$2)*100</f>
        <v>0.26844781912708415</v>
      </c>
      <c r="N834" s="180">
        <f>FME_Ranking1[[#This Row],[Res Structures Score (Normalized, Unweighted)]]*$L$3</f>
        <v>2.6844781912708417E-2</v>
      </c>
      <c r="O834" s="244">
        <f>_xlfn.XLOOKUP(FME_Ranking1[[#This Row],[FME ID]],FME_Input[FME_ID],FME_Input[POP100])</f>
        <v>1134</v>
      </c>
      <c r="P834" s="178">
        <f>(FME_Ranking1[[#This Row],[Pop Raw]]/$O$2)*100</f>
        <v>0.11609360379525757</v>
      </c>
      <c r="Q834" s="178">
        <f>FME_Ranking1[[#This Row],[Pop Score (Normalized, Unweighted)]]*$O$3</f>
        <v>1.7414040569288636E-2</v>
      </c>
      <c r="R834" s="137">
        <f>_xlfn.XLOOKUP(FME_Ranking1[[#This Row],[FME ID]],FME_Input[FME_ID],FME_Input[CRITFAC100])</f>
        <v>0</v>
      </c>
      <c r="S834" s="230">
        <f>(FME_Ranking1[[#This Row],[Critical Facilities Raw]]/$R$2)*100</f>
        <v>0</v>
      </c>
      <c r="T834" s="180">
        <f>FME_Ranking1[[#This Row],[Critical Facilities Score (Normalized, Unweighted)]]*$R$3</f>
        <v>0</v>
      </c>
      <c r="U834">
        <f>_xlfn.XLOOKUP(FME_Ranking1[[#This Row],[FME ID]],FME_Input[FME_ID],FME_Input[LWC])</f>
        <v>0</v>
      </c>
      <c r="V834" s="178">
        <f>(FME_Ranking1[[#This Row],[LWC Raw]]/$U$2)*100</f>
        <v>0</v>
      </c>
      <c r="W834" s="178">
        <f>FME_Ranking1[[#This Row],[LWC Score (Normalized, Unweighted)]]*$U$3</f>
        <v>0</v>
      </c>
      <c r="X834" s="246">
        <f>_xlfn.XLOOKUP(FME_Ranking1[[#This Row],[FME ID]],FME_Input[FME_ID],FME_Input[ROADCLS])</f>
        <v>0</v>
      </c>
      <c r="Y834" s="230">
        <f>(FME_Ranking1[[#This Row],[Closures Raw]]/$X$2)*100</f>
        <v>0</v>
      </c>
      <c r="Z834" s="180">
        <f>FME_Ranking1[[#This Row],[Closures Score (Normalized, Unweighted)]]*$X$3</f>
        <v>0</v>
      </c>
      <c r="AA834" s="253">
        <f>_xlfn.XLOOKUP(FME_Ranking1[[#This Row],[FME ID]],FME_Input[FME_ID],FME_Input[ROAD_MILES100])</f>
        <v>58.6669921875</v>
      </c>
      <c r="AB834" s="178">
        <f>(FME_Ranking1[[#This Row],[Miles Raw]]/$AA$2)*100</f>
        <v>0.77136572307527562</v>
      </c>
      <c r="AC834" s="178">
        <f>FME_Ranking1[[#This Row],[Miles Score (Normalized, Unweighted)]]*$AA$3</f>
        <v>7.7136572307527573E-2</v>
      </c>
      <c r="AD834" s="255">
        <f>_xlfn.XLOOKUP(FME_Ranking1[[#This Row],[FME ID]],FME_Input[FME_ID],FME_Input[FARMACRE100])</f>
        <v>10885.9072265625</v>
      </c>
      <c r="AE834" s="230">
        <f>(FME_Ranking1[[#This Row],[Ag Land Raw]]/$AD$2)*100</f>
        <v>0.44888608321957479</v>
      </c>
      <c r="AF834" s="231">
        <f>FME_Ranking1[[#This Row],[Ag Land Score (Normalized, Unweighted)]]*$AD$3</f>
        <v>2.2444304160978742E-2</v>
      </c>
      <c r="AG83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0.22006704762034018</v>
      </c>
      <c r="AH834" s="406">
        <f t="shared" si="12"/>
        <v>769</v>
      </c>
      <c r="AI83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0.22006704762034018</v>
      </c>
      <c r="AJ834" s="257">
        <f>FME_Ranking1[[#This Row],[Addition check]]-FME_Ranking1[[#This Row],[Weighted Score Based on Normalized Reported Factors]]</f>
        <v>0</v>
      </c>
      <c r="AK834" s="178">
        <f>_xlfn.RANK.EQ(AI834,$AI$6:$AI$2341,0)+COUNTIF($AI$6:AI834,AI834)-1</f>
        <v>770</v>
      </c>
    </row>
    <row r="835" spans="1:37" x14ac:dyDescent="0.25">
      <c r="A835" t="s">
        <v>5914</v>
      </c>
      <c r="B835">
        <f>_xlfn.XLOOKUP(FME_Ranking1[[#This Row],[FME ID]],FME_Input[FME_ID],FME_Input[RFPG_NUM])</f>
        <v>5</v>
      </c>
      <c r="C835" t="str">
        <f>_xlfn.XLOOKUP(FME_Ranking1[[#This Row],[FME ID]],FME_Input[FME_ID],FME_Input[FME_NAME])</f>
        <v>North Anahuac Drainage</v>
      </c>
      <c r="D835" t="str">
        <f>_xlfn.XLOOKUP(FME_Ranking1[[#This Row],[FME ID]],FME_Input[FME_ID],FME_Input[DESCR])</f>
        <v>Evaluate project to quantify benefits, evaluate impacts, and begin design. Improvements include expanding/repairing road ditches and culverts and channelizing the drainage outfall for the area north of Lonestar Canal.</v>
      </c>
      <c r="E835" s="256">
        <f>_xlfn.XLOOKUP(FME_Ranking1[[#This Row],[FME ID]],FME_Input[FME_ID],FME_Input[FME_COST])</f>
        <v>800000</v>
      </c>
      <c r="F835" t="str">
        <f>_xlfn.XLOOKUP(FME_Ranking1[[#This Row],[FME ID]],FME_Input[FME_ID],FME_Input[EMER_NEED])</f>
        <v>Yes</v>
      </c>
      <c r="G835">
        <f>IF(FME_Ranking!F835="Yes",100,0)</f>
        <v>100</v>
      </c>
      <c r="H835">
        <f>FME_Ranking1[[#This Row],[Emergency Need Score (Normalized, Unweighted)]]*$F$3</f>
        <v>0</v>
      </c>
      <c r="I835" s="246">
        <f>_xlfn.XLOOKUP(FME_Ranking1[[#This Row],[FME ID]],FME_Input[FME_ID],FME_Input[STRUCT_100])</f>
        <v>949</v>
      </c>
      <c r="J835" s="178">
        <f>(FME_Ranking1[[#This Row],[Structures 100 Raw]]/I$2)*100</f>
        <v>0.50818232446557854</v>
      </c>
      <c r="K835" s="178">
        <f>FME_Ranking1[[#This Row],[Structures 100  Score (Normalized, Unweighted)]]*$I$3</f>
        <v>7.6227348669836784E-2</v>
      </c>
      <c r="L835" s="246">
        <f>_xlfn.XLOOKUP(FME_Ranking1[[#This Row],[FME ID]],FME_Input[FME_ID],FME_Input[RES_STRUCT100])</f>
        <v>379</v>
      </c>
      <c r="M835" s="230">
        <f>(FME_Ranking1[[#This Row],[Res Structures Raw]]/L$2)*100</f>
        <v>0.26844781912708415</v>
      </c>
      <c r="N835" s="180">
        <f>FME_Ranking1[[#This Row],[Res Structures Score (Normalized, Unweighted)]]*$L$3</f>
        <v>2.6844781912708417E-2</v>
      </c>
      <c r="O835" s="244">
        <f>_xlfn.XLOOKUP(FME_Ranking1[[#This Row],[FME ID]],FME_Input[FME_ID],FME_Input[POP100])</f>
        <v>1134</v>
      </c>
      <c r="P835" s="178">
        <f>(FME_Ranking1[[#This Row],[Pop Raw]]/$O$2)*100</f>
        <v>0.11609360379525757</v>
      </c>
      <c r="Q835" s="178">
        <f>FME_Ranking1[[#This Row],[Pop Score (Normalized, Unweighted)]]*$O$3</f>
        <v>1.7414040569288636E-2</v>
      </c>
      <c r="R835" s="137">
        <f>_xlfn.XLOOKUP(FME_Ranking1[[#This Row],[FME ID]],FME_Input[FME_ID],FME_Input[CRITFAC100])</f>
        <v>0</v>
      </c>
      <c r="S835" s="230">
        <f>(FME_Ranking1[[#This Row],[Critical Facilities Raw]]/$R$2)*100</f>
        <v>0</v>
      </c>
      <c r="T835" s="180">
        <f>FME_Ranking1[[#This Row],[Critical Facilities Score (Normalized, Unweighted)]]*$R$3</f>
        <v>0</v>
      </c>
      <c r="U835">
        <f>_xlfn.XLOOKUP(FME_Ranking1[[#This Row],[FME ID]],FME_Input[FME_ID],FME_Input[LWC])</f>
        <v>0</v>
      </c>
      <c r="V835" s="178">
        <f>(FME_Ranking1[[#This Row],[LWC Raw]]/$U$2)*100</f>
        <v>0</v>
      </c>
      <c r="W835" s="178">
        <f>FME_Ranking1[[#This Row],[LWC Score (Normalized, Unweighted)]]*$U$3</f>
        <v>0</v>
      </c>
      <c r="X835" s="246">
        <f>_xlfn.XLOOKUP(FME_Ranking1[[#This Row],[FME ID]],FME_Input[FME_ID],FME_Input[ROADCLS])</f>
        <v>0</v>
      </c>
      <c r="Y835" s="230">
        <f>(FME_Ranking1[[#This Row],[Closures Raw]]/$X$2)*100</f>
        <v>0</v>
      </c>
      <c r="Z835" s="180">
        <f>FME_Ranking1[[#This Row],[Closures Score (Normalized, Unweighted)]]*$X$3</f>
        <v>0</v>
      </c>
      <c r="AA835" s="253">
        <f>_xlfn.XLOOKUP(FME_Ranking1[[#This Row],[FME ID]],FME_Input[FME_ID],FME_Input[ROAD_MILES100])</f>
        <v>58.6669921875</v>
      </c>
      <c r="AB835" s="178">
        <f>(FME_Ranking1[[#This Row],[Miles Raw]]/$AA$2)*100</f>
        <v>0.77136572307527562</v>
      </c>
      <c r="AC835" s="178">
        <f>FME_Ranking1[[#This Row],[Miles Score (Normalized, Unweighted)]]*$AA$3</f>
        <v>7.7136572307527573E-2</v>
      </c>
      <c r="AD835" s="255">
        <f>_xlfn.XLOOKUP(FME_Ranking1[[#This Row],[FME ID]],FME_Input[FME_ID],FME_Input[FARMACRE100])</f>
        <v>10885.9072265625</v>
      </c>
      <c r="AE835" s="230">
        <f>(FME_Ranking1[[#This Row],[Ag Land Raw]]/$AD$2)*100</f>
        <v>0.44888608321957479</v>
      </c>
      <c r="AF835" s="231">
        <f>FME_Ranking1[[#This Row],[Ag Land Score (Normalized, Unweighted)]]*$AD$3</f>
        <v>2.2444304160978742E-2</v>
      </c>
      <c r="AG83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0.22006704762034018</v>
      </c>
      <c r="AH835" s="406">
        <f t="shared" si="12"/>
        <v>769</v>
      </c>
      <c r="AI83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0.22006704762034018</v>
      </c>
      <c r="AJ835" s="257">
        <f>FME_Ranking1[[#This Row],[Addition check]]-FME_Ranking1[[#This Row],[Weighted Score Based on Normalized Reported Factors]]</f>
        <v>0</v>
      </c>
      <c r="AK835" s="178">
        <f>_xlfn.RANK.EQ(AI835,$AI$6:$AI$2341,0)+COUNTIF($AI$6:AI835,AI835)-1</f>
        <v>771</v>
      </c>
    </row>
    <row r="836" spans="1:37" x14ac:dyDescent="0.25">
      <c r="A836" t="s">
        <v>5959</v>
      </c>
      <c r="B836">
        <f>_xlfn.XLOOKUP(FME_Ranking1[[#This Row],[FME ID]],FME_Input[FME_ID],FME_Input[RFPG_NUM])</f>
        <v>5</v>
      </c>
      <c r="C836" t="str">
        <f>_xlfn.XLOOKUP(FME_Ranking1[[#This Row],[FME ID]],FME_Input[FME_ID],FME_Input[FME_NAME])</f>
        <v>Southeast Drainage Ditch</v>
      </c>
      <c r="D836" t="str">
        <f>_xlfn.XLOOKUP(FME_Ranking1[[#This Row],[FME ID]],FME_Input[FME_ID],FME_Input[DESCR])</f>
        <v>Evaluate project to quantify benefits, evaluate impacts, and begin design. Improvements include channelization and crossing upgrades from Benton Lane to FM 563.</v>
      </c>
      <c r="E836" s="256">
        <f>_xlfn.XLOOKUP(FME_Ranking1[[#This Row],[FME ID]],FME_Input[FME_ID],FME_Input[FME_COST])</f>
        <v>125000</v>
      </c>
      <c r="F836" t="str">
        <f>_xlfn.XLOOKUP(FME_Ranking1[[#This Row],[FME ID]],FME_Input[FME_ID],FME_Input[EMER_NEED])</f>
        <v>Yes</v>
      </c>
      <c r="G836">
        <f>IF(FME_Ranking!F836="Yes",100,0)</f>
        <v>100</v>
      </c>
      <c r="H836">
        <f>FME_Ranking1[[#This Row],[Emergency Need Score (Normalized, Unweighted)]]*$F$3</f>
        <v>0</v>
      </c>
      <c r="I836" s="246">
        <f>_xlfn.XLOOKUP(FME_Ranking1[[#This Row],[FME ID]],FME_Input[FME_ID],FME_Input[STRUCT_100])</f>
        <v>949</v>
      </c>
      <c r="J836" s="178">
        <f>(FME_Ranking1[[#This Row],[Structures 100 Raw]]/I$2)*100</f>
        <v>0.50818232446557854</v>
      </c>
      <c r="K836" s="178">
        <f>FME_Ranking1[[#This Row],[Structures 100  Score (Normalized, Unweighted)]]*$I$3</f>
        <v>7.6227348669836784E-2</v>
      </c>
      <c r="L836" s="246">
        <f>_xlfn.XLOOKUP(FME_Ranking1[[#This Row],[FME ID]],FME_Input[FME_ID],FME_Input[RES_STRUCT100])</f>
        <v>379</v>
      </c>
      <c r="M836" s="230">
        <f>(FME_Ranking1[[#This Row],[Res Structures Raw]]/L$2)*100</f>
        <v>0.26844781912708415</v>
      </c>
      <c r="N836" s="180">
        <f>FME_Ranking1[[#This Row],[Res Structures Score (Normalized, Unweighted)]]*$L$3</f>
        <v>2.6844781912708417E-2</v>
      </c>
      <c r="O836" s="244">
        <f>_xlfn.XLOOKUP(FME_Ranking1[[#This Row],[FME ID]],FME_Input[FME_ID],FME_Input[POP100])</f>
        <v>1134</v>
      </c>
      <c r="P836" s="178">
        <f>(FME_Ranking1[[#This Row],[Pop Raw]]/$O$2)*100</f>
        <v>0.11609360379525757</v>
      </c>
      <c r="Q836" s="178">
        <f>FME_Ranking1[[#This Row],[Pop Score (Normalized, Unweighted)]]*$O$3</f>
        <v>1.7414040569288636E-2</v>
      </c>
      <c r="R836" s="137">
        <f>_xlfn.XLOOKUP(FME_Ranking1[[#This Row],[FME ID]],FME_Input[FME_ID],FME_Input[CRITFAC100])</f>
        <v>0</v>
      </c>
      <c r="S836" s="230">
        <f>(FME_Ranking1[[#This Row],[Critical Facilities Raw]]/$R$2)*100</f>
        <v>0</v>
      </c>
      <c r="T836" s="180">
        <f>FME_Ranking1[[#This Row],[Critical Facilities Score (Normalized, Unweighted)]]*$R$3</f>
        <v>0</v>
      </c>
      <c r="U836">
        <f>_xlfn.XLOOKUP(FME_Ranking1[[#This Row],[FME ID]],FME_Input[FME_ID],FME_Input[LWC])</f>
        <v>0</v>
      </c>
      <c r="V836" s="178">
        <f>(FME_Ranking1[[#This Row],[LWC Raw]]/$U$2)*100</f>
        <v>0</v>
      </c>
      <c r="W836" s="178">
        <f>FME_Ranking1[[#This Row],[LWC Score (Normalized, Unweighted)]]*$U$3</f>
        <v>0</v>
      </c>
      <c r="X836" s="246">
        <f>_xlfn.XLOOKUP(FME_Ranking1[[#This Row],[FME ID]],FME_Input[FME_ID],FME_Input[ROADCLS])</f>
        <v>0</v>
      </c>
      <c r="Y836" s="230">
        <f>(FME_Ranking1[[#This Row],[Closures Raw]]/$X$2)*100</f>
        <v>0</v>
      </c>
      <c r="Z836" s="180">
        <f>FME_Ranking1[[#This Row],[Closures Score (Normalized, Unweighted)]]*$X$3</f>
        <v>0</v>
      </c>
      <c r="AA836" s="253">
        <f>_xlfn.XLOOKUP(FME_Ranking1[[#This Row],[FME ID]],FME_Input[FME_ID],FME_Input[ROAD_MILES100])</f>
        <v>58.6669921875</v>
      </c>
      <c r="AB836" s="178">
        <f>(FME_Ranking1[[#This Row],[Miles Raw]]/$AA$2)*100</f>
        <v>0.77136572307527562</v>
      </c>
      <c r="AC836" s="178">
        <f>FME_Ranking1[[#This Row],[Miles Score (Normalized, Unweighted)]]*$AA$3</f>
        <v>7.7136572307527573E-2</v>
      </c>
      <c r="AD836" s="255">
        <f>_xlfn.XLOOKUP(FME_Ranking1[[#This Row],[FME ID]],FME_Input[FME_ID],FME_Input[FARMACRE100])</f>
        <v>10885.9072265625</v>
      </c>
      <c r="AE836" s="230">
        <f>(FME_Ranking1[[#This Row],[Ag Land Raw]]/$AD$2)*100</f>
        <v>0.44888608321957479</v>
      </c>
      <c r="AF836" s="231">
        <f>FME_Ranking1[[#This Row],[Ag Land Score (Normalized, Unweighted)]]*$AD$3</f>
        <v>2.2444304160978742E-2</v>
      </c>
      <c r="AG83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0.22006704762034018</v>
      </c>
      <c r="AH836" s="406">
        <f t="shared" si="12"/>
        <v>769</v>
      </c>
      <c r="AI83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0.22006704762034018</v>
      </c>
      <c r="AJ836" s="257">
        <f>FME_Ranking1[[#This Row],[Addition check]]-FME_Ranking1[[#This Row],[Weighted Score Based on Normalized Reported Factors]]</f>
        <v>0</v>
      </c>
      <c r="AK836" s="178">
        <f>_xlfn.RANK.EQ(AI836,$AI$6:$AI$2341,0)+COUNTIF($AI$6:AI836,AI836)-1</f>
        <v>772</v>
      </c>
    </row>
    <row r="837" spans="1:37" x14ac:dyDescent="0.25">
      <c r="A837" t="s">
        <v>5962</v>
      </c>
      <c r="B837">
        <f>_xlfn.XLOOKUP(FME_Ranking1[[#This Row],[FME ID]],FME_Input[FME_ID],FME_Input[RFPG_NUM])</f>
        <v>5</v>
      </c>
      <c r="C837" t="str">
        <f>_xlfn.XLOOKUP(FME_Ranking1[[#This Row],[FME ID]],FME_Input[FME_ID],FME_Input[FME_NAME])</f>
        <v>Southwest Anahuac Ditch</v>
      </c>
      <c r="D837" t="str">
        <f>_xlfn.XLOOKUP(FME_Ranking1[[#This Row],[FME ID]],FME_Input[FME_ID],FME_Input[DESCR])</f>
        <v xml:space="preserve">Evaluate project to quantify benefits, evaluate impacts, and begin design. Improvements include channelization and crossing upgrades from Main Street to Bay.
</v>
      </c>
      <c r="E837" s="256">
        <f>_xlfn.XLOOKUP(FME_Ranking1[[#This Row],[FME ID]],FME_Input[FME_ID],FME_Input[FME_COST])</f>
        <v>125000</v>
      </c>
      <c r="F837" t="str">
        <f>_xlfn.XLOOKUP(FME_Ranking1[[#This Row],[FME ID]],FME_Input[FME_ID],FME_Input[EMER_NEED])</f>
        <v>Yes</v>
      </c>
      <c r="G837">
        <f>IF(FME_Ranking!F837="Yes",100,0)</f>
        <v>100</v>
      </c>
      <c r="H837">
        <f>FME_Ranking1[[#This Row],[Emergency Need Score (Normalized, Unweighted)]]*$F$3</f>
        <v>0</v>
      </c>
      <c r="I837" s="246">
        <f>_xlfn.XLOOKUP(FME_Ranking1[[#This Row],[FME ID]],FME_Input[FME_ID],FME_Input[STRUCT_100])</f>
        <v>949</v>
      </c>
      <c r="J837" s="178">
        <f>(FME_Ranking1[[#This Row],[Structures 100 Raw]]/I$2)*100</f>
        <v>0.50818232446557854</v>
      </c>
      <c r="K837" s="178">
        <f>FME_Ranking1[[#This Row],[Structures 100  Score (Normalized, Unweighted)]]*$I$3</f>
        <v>7.6227348669836784E-2</v>
      </c>
      <c r="L837" s="246">
        <f>_xlfn.XLOOKUP(FME_Ranking1[[#This Row],[FME ID]],FME_Input[FME_ID],FME_Input[RES_STRUCT100])</f>
        <v>379</v>
      </c>
      <c r="M837" s="230">
        <f>(FME_Ranking1[[#This Row],[Res Structures Raw]]/L$2)*100</f>
        <v>0.26844781912708415</v>
      </c>
      <c r="N837" s="180">
        <f>FME_Ranking1[[#This Row],[Res Structures Score (Normalized, Unweighted)]]*$L$3</f>
        <v>2.6844781912708417E-2</v>
      </c>
      <c r="O837" s="244">
        <f>_xlfn.XLOOKUP(FME_Ranking1[[#This Row],[FME ID]],FME_Input[FME_ID],FME_Input[POP100])</f>
        <v>1134</v>
      </c>
      <c r="P837" s="178">
        <f>(FME_Ranking1[[#This Row],[Pop Raw]]/$O$2)*100</f>
        <v>0.11609360379525757</v>
      </c>
      <c r="Q837" s="178">
        <f>FME_Ranking1[[#This Row],[Pop Score (Normalized, Unweighted)]]*$O$3</f>
        <v>1.7414040569288636E-2</v>
      </c>
      <c r="R837" s="137">
        <f>_xlfn.XLOOKUP(FME_Ranking1[[#This Row],[FME ID]],FME_Input[FME_ID],FME_Input[CRITFAC100])</f>
        <v>0</v>
      </c>
      <c r="S837" s="230">
        <f>(FME_Ranking1[[#This Row],[Critical Facilities Raw]]/$R$2)*100</f>
        <v>0</v>
      </c>
      <c r="T837" s="180">
        <f>FME_Ranking1[[#This Row],[Critical Facilities Score (Normalized, Unweighted)]]*$R$3</f>
        <v>0</v>
      </c>
      <c r="U837">
        <f>_xlfn.XLOOKUP(FME_Ranking1[[#This Row],[FME ID]],FME_Input[FME_ID],FME_Input[LWC])</f>
        <v>0</v>
      </c>
      <c r="V837" s="178">
        <f>(FME_Ranking1[[#This Row],[LWC Raw]]/$U$2)*100</f>
        <v>0</v>
      </c>
      <c r="W837" s="178">
        <f>FME_Ranking1[[#This Row],[LWC Score (Normalized, Unweighted)]]*$U$3</f>
        <v>0</v>
      </c>
      <c r="X837" s="246">
        <f>_xlfn.XLOOKUP(FME_Ranking1[[#This Row],[FME ID]],FME_Input[FME_ID],FME_Input[ROADCLS])</f>
        <v>0</v>
      </c>
      <c r="Y837" s="230">
        <f>(FME_Ranking1[[#This Row],[Closures Raw]]/$X$2)*100</f>
        <v>0</v>
      </c>
      <c r="Z837" s="180">
        <f>FME_Ranking1[[#This Row],[Closures Score (Normalized, Unweighted)]]*$X$3</f>
        <v>0</v>
      </c>
      <c r="AA837" s="253">
        <f>_xlfn.XLOOKUP(FME_Ranking1[[#This Row],[FME ID]],FME_Input[FME_ID],FME_Input[ROAD_MILES100])</f>
        <v>58.6669921875</v>
      </c>
      <c r="AB837" s="178">
        <f>(FME_Ranking1[[#This Row],[Miles Raw]]/$AA$2)*100</f>
        <v>0.77136572307527562</v>
      </c>
      <c r="AC837" s="178">
        <f>FME_Ranking1[[#This Row],[Miles Score (Normalized, Unweighted)]]*$AA$3</f>
        <v>7.7136572307527573E-2</v>
      </c>
      <c r="AD837" s="255">
        <f>_xlfn.XLOOKUP(FME_Ranking1[[#This Row],[FME ID]],FME_Input[FME_ID],FME_Input[FARMACRE100])</f>
        <v>10885.9072265625</v>
      </c>
      <c r="AE837" s="230">
        <f>(FME_Ranking1[[#This Row],[Ag Land Raw]]/$AD$2)*100</f>
        <v>0.44888608321957479</v>
      </c>
      <c r="AF837" s="231">
        <f>FME_Ranking1[[#This Row],[Ag Land Score (Normalized, Unweighted)]]*$AD$3</f>
        <v>2.2444304160978742E-2</v>
      </c>
      <c r="AG83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0.22006704762034018</v>
      </c>
      <c r="AH837" s="406">
        <f t="shared" si="12"/>
        <v>769</v>
      </c>
      <c r="AI83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0.22006704762034018</v>
      </c>
      <c r="AJ837" s="257">
        <f>FME_Ranking1[[#This Row],[Addition check]]-FME_Ranking1[[#This Row],[Weighted Score Based on Normalized Reported Factors]]</f>
        <v>0</v>
      </c>
      <c r="AK837" s="178">
        <f>_xlfn.RANK.EQ(AI837,$AI$6:$AI$2341,0)+COUNTIF($AI$6:AI837,AI837)-1</f>
        <v>773</v>
      </c>
    </row>
    <row r="838" spans="1:37" x14ac:dyDescent="0.25">
      <c r="A838" t="s">
        <v>4855</v>
      </c>
      <c r="B838">
        <f>_xlfn.XLOOKUP(FME_Ranking1[[#This Row],[FME ID]],FME_Input[FME_ID],FME_Input[RFPG_NUM])</f>
        <v>3</v>
      </c>
      <c r="C838" t="str">
        <f>_xlfn.XLOOKUP(FME_Ranking1[[#This Row],[FME ID]],FME_Input[FME_ID],FME_Input[FME_NAME])</f>
        <v xml:space="preserve">Warrior Creek Stabilization </v>
      </c>
      <c r="D838" t="str">
        <f>_xlfn.XLOOKUP(FME_Ranking1[[#This Row],[FME ID]],FME_Input[FME_ID],FME_Input[DESCR])</f>
        <v>From Great Southwest to South Fork Cottonwood Creek; Estimated construction cost of $518,500</v>
      </c>
      <c r="E838" s="256">
        <f>_xlfn.XLOOKUP(FME_Ranking1[[#This Row],[FME ID]],FME_Input[FME_ID],FME_Input[FME_COST])</f>
        <v>250000</v>
      </c>
      <c r="F838" t="str">
        <f>_xlfn.XLOOKUP(FME_Ranking1[[#This Row],[FME ID]],FME_Input[FME_ID],FME_Input[EMER_NEED])</f>
        <v>No</v>
      </c>
      <c r="G838">
        <f>IF(FME_Ranking!F838="Yes",100,0)</f>
        <v>0</v>
      </c>
      <c r="H838">
        <f>FME_Ranking1[[#This Row],[Emergency Need Score (Normalized, Unweighted)]]*$F$3</f>
        <v>0</v>
      </c>
      <c r="I838" s="246">
        <f>_xlfn.XLOOKUP(FME_Ranking1[[#This Row],[FME ID]],FME_Input[FME_ID],FME_Input[STRUCT_100])</f>
        <v>80</v>
      </c>
      <c r="J838" s="178">
        <f>(FME_Ranking1[[#This Row],[Structures 100 Raw]]/I$2)*100</f>
        <v>4.2839395107741075E-2</v>
      </c>
      <c r="K838" s="178">
        <f>FME_Ranking1[[#This Row],[Structures 100  Score (Normalized, Unweighted)]]*$I$3</f>
        <v>6.4259092661611613E-3</v>
      </c>
      <c r="L838" s="246">
        <f>_xlfn.XLOOKUP(FME_Ranking1[[#This Row],[FME ID]],FME_Input[FME_ID],FME_Input[RES_STRUCT100])</f>
        <v>77</v>
      </c>
      <c r="M838" s="230">
        <f>(FME_Ranking1[[#This Row],[Res Structures Raw]]/L$2)*100</f>
        <v>5.4539530535054045E-2</v>
      </c>
      <c r="N838" s="180">
        <f>FME_Ranking1[[#This Row],[Res Structures Score (Normalized, Unweighted)]]*$L$3</f>
        <v>5.4539530535054051E-3</v>
      </c>
      <c r="O838" s="244">
        <f>_xlfn.XLOOKUP(FME_Ranking1[[#This Row],[FME ID]],FME_Input[FME_ID],FME_Input[POP100])</f>
        <v>457</v>
      </c>
      <c r="P838" s="178">
        <f>(FME_Ranking1[[#This Row],[Pop Raw]]/$O$2)*100</f>
        <v>4.6785517578864823E-2</v>
      </c>
      <c r="Q838" s="178">
        <f>FME_Ranking1[[#This Row],[Pop Score (Normalized, Unweighted)]]*$O$3</f>
        <v>7.0178276368297234E-3</v>
      </c>
      <c r="R838" s="137">
        <f>_xlfn.XLOOKUP(FME_Ranking1[[#This Row],[FME ID]],FME_Input[FME_ID],FME_Input[CRITFAC100])</f>
        <v>1</v>
      </c>
      <c r="S838" s="230">
        <f>(FME_Ranking1[[#This Row],[Critical Facilities Raw]]/$R$2)*100</f>
        <v>4.2881646655231559E-2</v>
      </c>
      <c r="T838" s="180">
        <f>FME_Ranking1[[#This Row],[Critical Facilities Score (Normalized, Unweighted)]]*$R$3</f>
        <v>8.5763293310463125E-3</v>
      </c>
      <c r="U838">
        <f>_xlfn.XLOOKUP(FME_Ranking1[[#This Row],[FME ID]],FME_Input[FME_ID],FME_Input[LWC])</f>
        <v>10</v>
      </c>
      <c r="V838" s="178">
        <f>(FME_Ranking1[[#This Row],[LWC Raw]]/$U$2)*100</f>
        <v>0.57570523891767411</v>
      </c>
      <c r="W838" s="178">
        <f>FME_Ranking1[[#This Row],[LWC Score (Normalized, Unweighted)]]*$U$3</f>
        <v>0.11514104778353483</v>
      </c>
      <c r="X838" s="246">
        <f>_xlfn.XLOOKUP(FME_Ranking1[[#This Row],[FME ID]],FME_Input[FME_ID],FME_Input[ROADCLS])</f>
        <v>0</v>
      </c>
      <c r="Y838" s="230">
        <f>(FME_Ranking1[[#This Row],[Closures Raw]]/$X$2)*100</f>
        <v>0</v>
      </c>
      <c r="Z838" s="180">
        <f>FME_Ranking1[[#This Row],[Closures Score (Normalized, Unweighted)]]*$X$3</f>
        <v>0</v>
      </c>
      <c r="AA838" s="253">
        <f>_xlfn.XLOOKUP(FME_Ranking1[[#This Row],[FME ID]],FME_Input[FME_ID],FME_Input[ROAD_MILES100])</f>
        <v>4.8415470123291016</v>
      </c>
      <c r="AB838" s="178">
        <f>(FME_Ranking1[[#This Row],[Miles Raw]]/$AA$2)*100</f>
        <v>6.3657659489894533E-2</v>
      </c>
      <c r="AC838" s="178">
        <f>FME_Ranking1[[#This Row],[Miles Score (Normalized, Unweighted)]]*$AA$3</f>
        <v>6.3657659489894537E-3</v>
      </c>
      <c r="AD838" s="255">
        <f>_xlfn.XLOOKUP(FME_Ranking1[[#This Row],[FME ID]],FME_Input[FME_ID],FME_Input[FARMACRE100])</f>
        <v>24.375980377197269</v>
      </c>
      <c r="AE838" s="230">
        <f>(FME_Ranking1[[#This Row],[Ag Land Raw]]/$AD$2)*100</f>
        <v>1.005156311589523E-3</v>
      </c>
      <c r="AF838" s="231">
        <f>FME_Ranking1[[#This Row],[Ag Land Score (Normalized, Unweighted)]]*$AD$3</f>
        <v>5.025781557947615E-5</v>
      </c>
      <c r="AG83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0.14903109083564636</v>
      </c>
      <c r="AH838" s="406">
        <f t="shared" ref="AH838:AH901" si="13">_xlfn.RANK.EQ(AG838,$AG$6:$AG$2341,0)</f>
        <v>903</v>
      </c>
      <c r="AI83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0.14903109083564636</v>
      </c>
      <c r="AJ838" s="257">
        <f>FME_Ranking1[[#This Row],[Addition check]]-FME_Ranking1[[#This Row],[Weighted Score Based on Normalized Reported Factors]]</f>
        <v>0</v>
      </c>
      <c r="AK838" s="178">
        <f>_xlfn.RANK.EQ(AI838,$AI$6:$AI$2341,0)+COUNTIF($AI$6:AI838,AI838)-1</f>
        <v>903</v>
      </c>
    </row>
    <row r="839" spans="1:37" x14ac:dyDescent="0.25">
      <c r="A839" t="s">
        <v>4178</v>
      </c>
      <c r="B839">
        <f>_xlfn.XLOOKUP(FME_Ranking1[[#This Row],[FME ID]],FME_Input[FME_ID],FME_Input[RFPG_NUM])</f>
        <v>3</v>
      </c>
      <c r="C839" t="str">
        <f>_xlfn.XLOOKUP(FME_Ranking1[[#This Row],[FME ID]],FME_Input[FME_ID],FME_Input[FME_NAME])</f>
        <v>City of Southlake DMP</v>
      </c>
      <c r="D839" t="str">
        <f>_xlfn.XLOOKUP(FME_Ranking1[[#This Row],[FME ID]],FME_Input[FME_ID],FME_Input[DESCR])</f>
        <v>Evaluate City and identify future projects.</v>
      </c>
      <c r="E839" s="256">
        <f>_xlfn.XLOOKUP(FME_Ranking1[[#This Row],[FME ID]],FME_Input[FME_ID],FME_Input[FME_COST])</f>
        <v>500000</v>
      </c>
      <c r="F839" t="str">
        <f>_xlfn.XLOOKUP(FME_Ranking1[[#This Row],[FME ID]],FME_Input[FME_ID],FME_Input[EMER_NEED])</f>
        <v>No</v>
      </c>
      <c r="G839">
        <f>IF(FME_Ranking!F839="Yes",100,0)</f>
        <v>0</v>
      </c>
      <c r="H839">
        <f>FME_Ranking1[[#This Row],[Emergency Need Score (Normalized, Unweighted)]]*$F$3</f>
        <v>0</v>
      </c>
      <c r="I839" s="246">
        <f>_xlfn.XLOOKUP(FME_Ranking1[[#This Row],[FME ID]],FME_Input[FME_ID],FME_Input[STRUCT_100])</f>
        <v>88</v>
      </c>
      <c r="J839" s="178">
        <f>(FME_Ranking1[[#This Row],[Structures 100 Raw]]/I$2)*100</f>
        <v>4.7123334618515186E-2</v>
      </c>
      <c r="K839" s="178">
        <f>FME_Ranking1[[#This Row],[Structures 100  Score (Normalized, Unweighted)]]*$I$3</f>
        <v>7.0685001927772778E-3</v>
      </c>
      <c r="L839" s="246">
        <f>_xlfn.XLOOKUP(FME_Ranking1[[#This Row],[FME ID]],FME_Input[FME_ID],FME_Input[RES_STRUCT100])</f>
        <v>82</v>
      </c>
      <c r="M839" s="230">
        <f>(FME_Ranking1[[#This Row],[Res Structures Raw]]/L$2)*100</f>
        <v>5.8081058491875739E-2</v>
      </c>
      <c r="N839" s="180">
        <f>FME_Ranking1[[#This Row],[Res Structures Score (Normalized, Unweighted)]]*$L$3</f>
        <v>5.8081058491875745E-3</v>
      </c>
      <c r="O839" s="244">
        <f>_xlfn.XLOOKUP(FME_Ranking1[[#This Row],[FME ID]],FME_Input[FME_ID],FME_Input[POP100])</f>
        <v>359</v>
      </c>
      <c r="P839" s="178">
        <f>(FME_Ranking1[[#This Row],[Pop Raw]]/$O$2)*100</f>
        <v>3.6752737003966016E-2</v>
      </c>
      <c r="Q839" s="178">
        <f>FME_Ranking1[[#This Row],[Pop Score (Normalized, Unweighted)]]*$O$3</f>
        <v>5.5129105505949023E-3</v>
      </c>
      <c r="R839" s="137">
        <f>_xlfn.XLOOKUP(FME_Ranking1[[#This Row],[FME ID]],FME_Input[FME_ID],FME_Input[CRITFAC100])</f>
        <v>1</v>
      </c>
      <c r="S839" s="230">
        <f>(FME_Ranking1[[#This Row],[Critical Facilities Raw]]/$R$2)*100</f>
        <v>4.2881646655231559E-2</v>
      </c>
      <c r="T839" s="180">
        <f>FME_Ranking1[[#This Row],[Critical Facilities Score (Normalized, Unweighted)]]*$R$3</f>
        <v>8.5763293310463125E-3</v>
      </c>
      <c r="U839">
        <f>_xlfn.XLOOKUP(FME_Ranking1[[#This Row],[FME ID]],FME_Input[FME_ID],FME_Input[LWC])</f>
        <v>10</v>
      </c>
      <c r="V839" s="178">
        <f>(FME_Ranking1[[#This Row],[LWC Raw]]/$U$2)*100</f>
        <v>0.57570523891767411</v>
      </c>
      <c r="W839" s="178">
        <f>FME_Ranking1[[#This Row],[LWC Score (Normalized, Unweighted)]]*$U$3</f>
        <v>0.11514104778353483</v>
      </c>
      <c r="X839" s="246">
        <f>_xlfn.XLOOKUP(FME_Ranking1[[#This Row],[FME ID]],FME_Input[FME_ID],FME_Input[ROADCLS])</f>
        <v>0</v>
      </c>
      <c r="Y839" s="230">
        <f>(FME_Ranking1[[#This Row],[Closures Raw]]/$X$2)*100</f>
        <v>0</v>
      </c>
      <c r="Z839" s="180">
        <f>FME_Ranking1[[#This Row],[Closures Score (Normalized, Unweighted)]]*$X$3</f>
        <v>0</v>
      </c>
      <c r="AA839" s="253">
        <f>_xlfn.XLOOKUP(FME_Ranking1[[#This Row],[FME ID]],FME_Input[FME_ID],FME_Input[ROAD_MILES100])</f>
        <v>3.4184279441833501</v>
      </c>
      <c r="AB839" s="178">
        <f>(FME_Ranking1[[#This Row],[Miles Raw]]/$AA$2)*100</f>
        <v>4.494619622765568E-2</v>
      </c>
      <c r="AC839" s="178">
        <f>FME_Ranking1[[#This Row],[Miles Score (Normalized, Unweighted)]]*$AA$3</f>
        <v>4.4946196227655683E-3</v>
      </c>
      <c r="AD839" s="255">
        <f>_xlfn.XLOOKUP(FME_Ranking1[[#This Row],[FME ID]],FME_Input[FME_ID],FME_Input[FARMACRE100])</f>
        <v>121.24420166015619</v>
      </c>
      <c r="AE839" s="230">
        <f>(FME_Ranking1[[#This Row],[Ag Land Raw]]/$AD$2)*100</f>
        <v>4.9995681263487858E-3</v>
      </c>
      <c r="AF839" s="231">
        <f>FME_Ranking1[[#This Row],[Ag Land Score (Normalized, Unweighted)]]*$AD$3</f>
        <v>2.4997840631743931E-4</v>
      </c>
      <c r="AG83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0.14685149173622389</v>
      </c>
      <c r="AH839" s="406">
        <f t="shared" si="13"/>
        <v>910</v>
      </c>
      <c r="AI83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0.14685149173622389</v>
      </c>
      <c r="AJ839" s="257">
        <f>FME_Ranking1[[#This Row],[Addition check]]-FME_Ranking1[[#This Row],[Weighted Score Based on Normalized Reported Factors]]</f>
        <v>0</v>
      </c>
      <c r="AK839" s="178">
        <f>_xlfn.RANK.EQ(AI839,$AI$6:$AI$2341,0)+COUNTIF($AI$6:AI839,AI839)-1</f>
        <v>910</v>
      </c>
    </row>
    <row r="840" spans="1:37" x14ac:dyDescent="0.25">
      <c r="A840" t="s">
        <v>1525</v>
      </c>
      <c r="B840">
        <f>_xlfn.XLOOKUP(FME_Ranking1[[#This Row],[FME ID]],FME_Input[FME_ID],FME_Input[RFPG_NUM])</f>
        <v>6</v>
      </c>
      <c r="C840" t="str">
        <f>_xlfn.XLOOKUP(FME_Ranking1[[#This Row],[FME ID]],FME_Input[FME_ID],FME_Input[FME_NAME])</f>
        <v>City of Brookside Village  Master Drainage Plan</v>
      </c>
      <c r="D840" t="str">
        <f>_xlfn.XLOOKUP(FME_Ranking1[[#This Row],[FME ID]],FME_Input[FME_ID],FME_Input[DESCR])</f>
        <v>Study to develop Master Drainage Plan using future and existing land use and flood/storm water drainage needs including Atlas 14 rainfall.</v>
      </c>
      <c r="E840" s="256">
        <f>_xlfn.XLOOKUP(FME_Ranking1[[#This Row],[FME ID]],FME_Input[FME_ID],FME_Input[FME_COST])</f>
        <v>190000</v>
      </c>
      <c r="F840" t="str">
        <f>_xlfn.XLOOKUP(FME_Ranking1[[#This Row],[FME ID]],FME_Input[FME_ID],FME_Input[EMER_NEED])</f>
        <v>Yes</v>
      </c>
      <c r="G840">
        <f>IF(FME_Ranking!F840="Yes",100,0)</f>
        <v>100</v>
      </c>
      <c r="H840">
        <f>FME_Ranking1[[#This Row],[Emergency Need Score (Normalized, Unweighted)]]*$F$3</f>
        <v>0</v>
      </c>
      <c r="I840" s="246">
        <f>_xlfn.XLOOKUP(FME_Ranking1[[#This Row],[FME ID]],FME_Input[FME_ID],FME_Input[STRUCT_100])</f>
        <v>809</v>
      </c>
      <c r="J840" s="178">
        <f>(FME_Ranking1[[#This Row],[Structures 100 Raw]]/I$2)*100</f>
        <v>0.43321338302703161</v>
      </c>
      <c r="K840" s="178">
        <f>FME_Ranking1[[#This Row],[Structures 100  Score (Normalized, Unweighted)]]*$I$3</f>
        <v>6.4982007454054733E-2</v>
      </c>
      <c r="L840" s="246">
        <f>_xlfn.XLOOKUP(FME_Ranking1[[#This Row],[FME ID]],FME_Input[FME_ID],FME_Input[RES_STRUCT100])</f>
        <v>743</v>
      </c>
      <c r="M840" s="230">
        <f>(FME_Ranking1[[#This Row],[Res Structures Raw]]/L$2)*100</f>
        <v>0.52627105438370325</v>
      </c>
      <c r="N840" s="180">
        <f>FME_Ranking1[[#This Row],[Res Structures Score (Normalized, Unweighted)]]*$L$3</f>
        <v>5.2627105438370327E-2</v>
      </c>
      <c r="O840" s="244">
        <f>_xlfn.XLOOKUP(FME_Ranking1[[#This Row],[FME ID]],FME_Input[FME_ID],FME_Input[POP100])</f>
        <v>1607</v>
      </c>
      <c r="P840" s="178">
        <f>(FME_Ranking1[[#This Row],[Pop Raw]]/$O$2)*100</f>
        <v>0.1645171263659426</v>
      </c>
      <c r="Q840" s="178">
        <f>FME_Ranking1[[#This Row],[Pop Score (Normalized, Unweighted)]]*$O$3</f>
        <v>2.4677568954891389E-2</v>
      </c>
      <c r="R840" s="137">
        <f>_xlfn.XLOOKUP(FME_Ranking1[[#This Row],[FME ID]],FME_Input[FME_ID],FME_Input[CRITFAC100])</f>
        <v>0</v>
      </c>
      <c r="S840" s="230">
        <f>(FME_Ranking1[[#This Row],[Critical Facilities Raw]]/$R$2)*100</f>
        <v>0</v>
      </c>
      <c r="T840" s="180">
        <f>FME_Ranking1[[#This Row],[Critical Facilities Score (Normalized, Unweighted)]]*$R$3</f>
        <v>0</v>
      </c>
      <c r="U840">
        <f>_xlfn.XLOOKUP(FME_Ranking1[[#This Row],[FME ID]],FME_Input[FME_ID],FME_Input[LWC])</f>
        <v>0</v>
      </c>
      <c r="V840" s="178">
        <f>(FME_Ranking1[[#This Row],[LWC Raw]]/$U$2)*100</f>
        <v>0</v>
      </c>
      <c r="W840" s="178">
        <f>FME_Ranking1[[#This Row],[LWC Score (Normalized, Unweighted)]]*$U$3</f>
        <v>0</v>
      </c>
      <c r="X840" s="246">
        <f>_xlfn.XLOOKUP(FME_Ranking1[[#This Row],[FME ID]],FME_Input[FME_ID],FME_Input[ROADCLS])</f>
        <v>0</v>
      </c>
      <c r="Y840" s="230">
        <f>(FME_Ranking1[[#This Row],[Closures Raw]]/$X$2)*100</f>
        <v>0</v>
      </c>
      <c r="Z840" s="180">
        <f>FME_Ranking1[[#This Row],[Closures Score (Normalized, Unweighted)]]*$X$3</f>
        <v>0</v>
      </c>
      <c r="AA840" s="253">
        <f>_xlfn.XLOOKUP(FME_Ranking1[[#This Row],[FME ID]],FME_Input[FME_ID],FME_Input[ROAD_MILES100])</f>
        <v>12.39437866210938</v>
      </c>
      <c r="AB840" s="178">
        <f>(FME_Ranking1[[#This Row],[Miles Raw]]/$AA$2)*100</f>
        <v>0.16296384904497999</v>
      </c>
      <c r="AC840" s="178">
        <f>FME_Ranking1[[#This Row],[Miles Score (Normalized, Unweighted)]]*$AA$3</f>
        <v>1.6296384904497998E-2</v>
      </c>
      <c r="AD840" s="255">
        <f>_xlfn.XLOOKUP(FME_Ranking1[[#This Row],[FME ID]],FME_Input[FME_ID],FME_Input[FARMACRE100])</f>
        <v>3.0689480304718022</v>
      </c>
      <c r="AE840" s="230">
        <f>(FME_Ranking1[[#This Row],[Ag Land Raw]]/$AD$2)*100</f>
        <v>1.2654967861947599E-4</v>
      </c>
      <c r="AF840" s="231">
        <f>FME_Ranking1[[#This Row],[Ag Land Score (Normalized, Unweighted)]]*$AD$3</f>
        <v>6.3274839309737998E-6</v>
      </c>
      <c r="AG84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0.15858939423574545</v>
      </c>
      <c r="AH840" s="406">
        <f t="shared" si="13"/>
        <v>874</v>
      </c>
      <c r="AI84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0.15858939423574545</v>
      </c>
      <c r="AJ840" s="257">
        <f>FME_Ranking1[[#This Row],[Addition check]]-FME_Ranking1[[#This Row],[Weighted Score Based on Normalized Reported Factors]]</f>
        <v>0</v>
      </c>
      <c r="AK840" s="178">
        <f>_xlfn.RANK.EQ(AI840,$AI$6:$AI$2341,0)+COUNTIF($AI$6:AI840,AI840)-1</f>
        <v>874</v>
      </c>
    </row>
    <row r="841" spans="1:37" x14ac:dyDescent="0.25">
      <c r="A841" t="s">
        <v>491</v>
      </c>
      <c r="B841">
        <f>_xlfn.XLOOKUP(FME_Ranking1[[#This Row],[FME ID]],FME_Input[FME_ID],FME_Input[RFPG_NUM])</f>
        <v>10</v>
      </c>
      <c r="C841" t="str">
        <f>_xlfn.XLOOKUP(FME_Ranking1[[#This Row],[FME ID]],FME_Input[FME_ID],FME_Input[FME_NAME])</f>
        <v>Harris Hollow Neighborhood Flooding</v>
      </c>
      <c r="D841" t="str">
        <f>_xlfn.XLOOKUP(FME_Ranking1[[#This Row],[FME ID]],FME_Input[FME_ID],FME_Input[DESCR])</f>
        <v xml:space="preserve">Study area often flooded during large storm events. </v>
      </c>
      <c r="E841" s="256">
        <f>_xlfn.XLOOKUP(FME_Ranking1[[#This Row],[FME ID]],FME_Input[FME_ID],FME_Input[FME_COST])</f>
        <v>100000</v>
      </c>
      <c r="F841" t="str">
        <f>_xlfn.XLOOKUP(FME_Ranking1[[#This Row],[FME ID]],FME_Input[FME_ID],FME_Input[EMER_NEED])</f>
        <v>No</v>
      </c>
      <c r="G841">
        <f>IF(FME_Ranking!F841="Yes",100,0)</f>
        <v>0</v>
      </c>
      <c r="H841">
        <f>FME_Ranking1[[#This Row],[Emergency Need Score (Normalized, Unweighted)]]*$F$3</f>
        <v>0</v>
      </c>
      <c r="I841" s="246">
        <f>_xlfn.XLOOKUP(FME_Ranking1[[#This Row],[FME ID]],FME_Input[FME_ID],FME_Input[STRUCT_100])</f>
        <v>107</v>
      </c>
      <c r="J841" s="178">
        <f>(FME_Ranking1[[#This Row],[Structures 100 Raw]]/I$2)*100</f>
        <v>5.7297690956603697E-2</v>
      </c>
      <c r="K841" s="178">
        <f>FME_Ranking1[[#This Row],[Structures 100  Score (Normalized, Unweighted)]]*$I$3</f>
        <v>8.594653643490555E-3</v>
      </c>
      <c r="L841" s="246">
        <f>_xlfn.XLOOKUP(FME_Ranking1[[#This Row],[FME ID]],FME_Input[FME_ID],FME_Input[RES_STRUCT100])</f>
        <v>97</v>
      </c>
      <c r="M841" s="230">
        <f>(FME_Ranking1[[#This Row],[Res Structures Raw]]/L$2)*100</f>
        <v>6.8705642362340807E-2</v>
      </c>
      <c r="N841" s="180">
        <f>FME_Ranking1[[#This Row],[Res Structures Score (Normalized, Unweighted)]]*$L$3</f>
        <v>6.8705642362340809E-3</v>
      </c>
      <c r="O841" s="244">
        <f>_xlfn.XLOOKUP(FME_Ranking1[[#This Row],[FME ID]],FME_Input[FME_ID],FME_Input[POP100])</f>
        <v>104</v>
      </c>
      <c r="P841" s="178">
        <f>(FME_Ranking1[[#This Row],[Pop Raw]]/$O$2)*100</f>
        <v>1.0647032446831382E-2</v>
      </c>
      <c r="Q841" s="178">
        <f>FME_Ranking1[[#This Row],[Pop Score (Normalized, Unweighted)]]*$O$3</f>
        <v>1.5970548670247071E-3</v>
      </c>
      <c r="R841" s="137">
        <f>_xlfn.XLOOKUP(FME_Ranking1[[#This Row],[FME ID]],FME_Input[FME_ID],FME_Input[CRITFAC100])</f>
        <v>1</v>
      </c>
      <c r="S841" s="230">
        <f>(FME_Ranking1[[#This Row],[Critical Facilities Raw]]/$R$2)*100</f>
        <v>4.2881646655231559E-2</v>
      </c>
      <c r="T841" s="180">
        <f>FME_Ranking1[[#This Row],[Critical Facilities Score (Normalized, Unweighted)]]*$R$3</f>
        <v>8.5763293310463125E-3</v>
      </c>
      <c r="U841">
        <f>_xlfn.XLOOKUP(FME_Ranking1[[#This Row],[FME ID]],FME_Input[FME_ID],FME_Input[LWC])</f>
        <v>10</v>
      </c>
      <c r="V841" s="178">
        <f>(FME_Ranking1[[#This Row],[LWC Raw]]/$U$2)*100</f>
        <v>0.57570523891767411</v>
      </c>
      <c r="W841" s="178">
        <f>FME_Ranking1[[#This Row],[LWC Score (Normalized, Unweighted)]]*$U$3</f>
        <v>0.11514104778353483</v>
      </c>
      <c r="X841" s="246">
        <f>_xlfn.XLOOKUP(FME_Ranking1[[#This Row],[FME ID]],FME_Input[FME_ID],FME_Input[ROADCLS])</f>
        <v>0</v>
      </c>
      <c r="Y841" s="230">
        <f>(FME_Ranking1[[#This Row],[Closures Raw]]/$X$2)*100</f>
        <v>0</v>
      </c>
      <c r="Z841" s="180">
        <f>FME_Ranking1[[#This Row],[Closures Score (Normalized, Unweighted)]]*$X$3</f>
        <v>0</v>
      </c>
      <c r="AA841" s="253">
        <f>_xlfn.XLOOKUP(FME_Ranking1[[#This Row],[FME ID]],FME_Input[FME_ID],FME_Input[ROAD_MILES100])</f>
        <v>0</v>
      </c>
      <c r="AB841" s="178">
        <f>(FME_Ranking1[[#This Row],[Miles Raw]]/$AA$2)*100</f>
        <v>0</v>
      </c>
      <c r="AC841" s="178">
        <f>FME_Ranking1[[#This Row],[Miles Score (Normalized, Unweighted)]]*$AA$3</f>
        <v>0</v>
      </c>
      <c r="AD841" s="255">
        <f>_xlfn.XLOOKUP(FME_Ranking1[[#This Row],[FME ID]],FME_Input[FME_ID],FME_Input[FARMACRE100])</f>
        <v>25.12473106384277</v>
      </c>
      <c r="AE841" s="230">
        <f>(FME_Ranking1[[#This Row],[Ag Land Raw]]/$AD$2)*100</f>
        <v>1.0360314381215722E-3</v>
      </c>
      <c r="AF841" s="231">
        <f>FME_Ranking1[[#This Row],[Ag Land Score (Normalized, Unweighted)]]*$AD$3</f>
        <v>5.1801571906078614E-5</v>
      </c>
      <c r="AG84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0.14083145143323655</v>
      </c>
      <c r="AH841" s="406">
        <f t="shared" si="13"/>
        <v>922</v>
      </c>
      <c r="AI84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0.14083145143323655</v>
      </c>
      <c r="AJ841" s="257">
        <f>FME_Ranking1[[#This Row],[Addition check]]-FME_Ranking1[[#This Row],[Weighted Score Based on Normalized Reported Factors]]</f>
        <v>0</v>
      </c>
      <c r="AK841" s="178">
        <f>_xlfn.RANK.EQ(AI841,$AI$6:$AI$2341,0)+COUNTIF($AI$6:AI841,AI841)-1</f>
        <v>922</v>
      </c>
    </row>
    <row r="842" spans="1:37" x14ac:dyDescent="0.25">
      <c r="A842" t="s">
        <v>6066</v>
      </c>
      <c r="B842">
        <f>_xlfn.XLOOKUP(FME_Ranking1[[#This Row],[FME ID]],FME_Input[FME_ID],FME_Input[RFPG_NUM])</f>
        <v>5</v>
      </c>
      <c r="C842" t="str">
        <f>_xlfn.XLOOKUP(FME_Ranking1[[#This Row],[FME ID]],FME_Input[FME_ID],FME_Input[FME_NAME])</f>
        <v>City of Nacogdoches Update Flood Control Study</v>
      </c>
      <c r="D842" t="str">
        <f>_xlfn.XLOOKUP(FME_Ranking1[[#This Row],[FME ID]],FME_Input[FME_ID],FME_Input[DESCR])</f>
        <v>Conduct Flood Control Study and implement actions such as channelization, detention, retention, etc to stop repetitive flood losses.</v>
      </c>
      <c r="E842" s="256">
        <f>_xlfn.XLOOKUP(FME_Ranking1[[#This Row],[FME ID]],FME_Input[FME_ID],FME_Input[FME_COST])</f>
        <v>1080000</v>
      </c>
      <c r="F842" t="str">
        <f>_xlfn.XLOOKUP(FME_Ranking1[[#This Row],[FME ID]],FME_Input[FME_ID],FME_Input[EMER_NEED])</f>
        <v>Yes</v>
      </c>
      <c r="G842">
        <f>IF(FME_Ranking!F842="Yes",100,0)</f>
        <v>100</v>
      </c>
      <c r="H842">
        <f>FME_Ranking1[[#This Row],[Emergency Need Score (Normalized, Unweighted)]]*$F$3</f>
        <v>0</v>
      </c>
      <c r="I842" s="246">
        <f>_xlfn.XLOOKUP(FME_Ranking1[[#This Row],[FME ID]],FME_Input[FME_ID],FME_Input[STRUCT_100])</f>
        <v>446</v>
      </c>
      <c r="J842" s="178">
        <f>(FME_Ranking1[[#This Row],[Structures 100 Raw]]/I$2)*100</f>
        <v>0.23882962772565652</v>
      </c>
      <c r="K842" s="178">
        <f>FME_Ranking1[[#This Row],[Structures 100  Score (Normalized, Unweighted)]]*$I$3</f>
        <v>3.582444415884848E-2</v>
      </c>
      <c r="L842" s="246">
        <f>_xlfn.XLOOKUP(FME_Ranking1[[#This Row],[FME ID]],FME_Input[FME_ID],FME_Input[RES_STRUCT100])</f>
        <v>185</v>
      </c>
      <c r="M842" s="230">
        <f>(FME_Ranking1[[#This Row],[Res Structures Raw]]/L$2)*100</f>
        <v>0.13103653440240259</v>
      </c>
      <c r="N842" s="180">
        <f>FME_Ranking1[[#This Row],[Res Structures Score (Normalized, Unweighted)]]*$L$3</f>
        <v>1.3103653440240261E-2</v>
      </c>
      <c r="O842" s="244">
        <f>_xlfn.XLOOKUP(FME_Ranking1[[#This Row],[FME ID]],FME_Input[FME_ID],FME_Input[POP100])</f>
        <v>5331</v>
      </c>
      <c r="P842" s="178">
        <f>(FME_Ranking1[[#This Row],[Pop Raw]]/$O$2)*100</f>
        <v>0.54576278821209701</v>
      </c>
      <c r="Q842" s="178">
        <f>FME_Ranking1[[#This Row],[Pop Score (Normalized, Unweighted)]]*$O$3</f>
        <v>8.1864418231814548E-2</v>
      </c>
      <c r="R842" s="137">
        <f>_xlfn.XLOOKUP(FME_Ranking1[[#This Row],[FME ID]],FME_Input[FME_ID],FME_Input[CRITFAC100])</f>
        <v>1</v>
      </c>
      <c r="S842" s="230">
        <f>(FME_Ranking1[[#This Row],[Critical Facilities Raw]]/$R$2)*100</f>
        <v>4.2881646655231559E-2</v>
      </c>
      <c r="T842" s="180">
        <f>FME_Ranking1[[#This Row],[Critical Facilities Score (Normalized, Unweighted)]]*$R$3</f>
        <v>8.5763293310463125E-3</v>
      </c>
      <c r="U842">
        <f>_xlfn.XLOOKUP(FME_Ranking1[[#This Row],[FME ID]],FME_Input[FME_ID],FME_Input[LWC])</f>
        <v>0</v>
      </c>
      <c r="V842" s="178">
        <f>(FME_Ranking1[[#This Row],[LWC Raw]]/$U$2)*100</f>
        <v>0</v>
      </c>
      <c r="W842" s="178">
        <f>FME_Ranking1[[#This Row],[LWC Score (Normalized, Unweighted)]]*$U$3</f>
        <v>0</v>
      </c>
      <c r="X842" s="246">
        <f>_xlfn.XLOOKUP(FME_Ranking1[[#This Row],[FME ID]],FME_Input[FME_ID],FME_Input[ROADCLS])</f>
        <v>0</v>
      </c>
      <c r="Y842" s="230">
        <f>(FME_Ranking1[[#This Row],[Closures Raw]]/$X$2)*100</f>
        <v>0</v>
      </c>
      <c r="Z842" s="180">
        <f>FME_Ranking1[[#This Row],[Closures Score (Normalized, Unweighted)]]*$X$3</f>
        <v>0</v>
      </c>
      <c r="AA842" s="253">
        <f>_xlfn.XLOOKUP(FME_Ranking1[[#This Row],[FME ID]],FME_Input[FME_ID],FME_Input[ROAD_MILES100])</f>
        <v>13.783140182495121</v>
      </c>
      <c r="AB842" s="178">
        <f>(FME_Ranking1[[#This Row],[Miles Raw]]/$AA$2)*100</f>
        <v>0.18122357217732957</v>
      </c>
      <c r="AC842" s="178">
        <f>FME_Ranking1[[#This Row],[Miles Score (Normalized, Unweighted)]]*$AA$3</f>
        <v>1.8122357217732959E-2</v>
      </c>
      <c r="AD842" s="255">
        <f>_xlfn.XLOOKUP(FME_Ranking1[[#This Row],[FME ID]],FME_Input[FME_ID],FME_Input[FARMACRE100])</f>
        <v>4.4304699897766113</v>
      </c>
      <c r="AE842" s="230">
        <f>(FME_Ranking1[[#This Row],[Ag Land Raw]]/$AD$2)*100</f>
        <v>1.8269274936313223E-4</v>
      </c>
      <c r="AF842" s="231">
        <f>FME_Ranking1[[#This Row],[Ag Land Score (Normalized, Unweighted)]]*$AD$3</f>
        <v>9.1346374681566127E-6</v>
      </c>
      <c r="AG84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0.15750033701715072</v>
      </c>
      <c r="AH842" s="406">
        <f t="shared" si="13"/>
        <v>876</v>
      </c>
      <c r="AI84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0.15750033701715072</v>
      </c>
      <c r="AJ842" s="257">
        <f>FME_Ranking1[[#This Row],[Addition check]]-FME_Ranking1[[#This Row],[Weighted Score Based on Normalized Reported Factors]]</f>
        <v>0</v>
      </c>
      <c r="AK842" s="178">
        <f>_xlfn.RANK.EQ(AI842,$AI$6:$AI$2341,0)+COUNTIF($AI$6:AI842,AI842)-1</f>
        <v>876</v>
      </c>
    </row>
    <row r="843" spans="1:37" x14ac:dyDescent="0.25">
      <c r="A843" t="s">
        <v>6385</v>
      </c>
      <c r="B843">
        <f>_xlfn.XLOOKUP(FME_Ranking1[[#This Row],[FME ID]],FME_Input[FME_ID],FME_Input[RFPG_NUM])</f>
        <v>5</v>
      </c>
      <c r="C843" t="str">
        <f>_xlfn.XLOOKUP(FME_Ranking1[[#This Row],[FME ID]],FME_Input[FME_ID],FME_Input[FME_NAME])</f>
        <v>City of Nacogdoches Flood Mitigation Project</v>
      </c>
      <c r="D843" t="str">
        <f>_xlfn.XLOOKUP(FME_Ranking1[[#This Row],[FME ID]],FME_Input[FME_ID],FME_Input[DESCR])</f>
        <v>H&amp;H study to mitigate the wide-spread flooding that occurs along LaNana and Banita Creeks in the City of Nacogdoches</v>
      </c>
      <c r="E843" s="256">
        <f>_xlfn.XLOOKUP(FME_Ranking1[[#This Row],[FME ID]],FME_Input[FME_ID],FME_Input[FME_COST])</f>
        <v>100000</v>
      </c>
      <c r="F843" t="str">
        <f>_xlfn.XLOOKUP(FME_Ranking1[[#This Row],[FME ID]],FME_Input[FME_ID],FME_Input[EMER_NEED])</f>
        <v>Yes</v>
      </c>
      <c r="G843">
        <f>IF(FME_Ranking!F843="Yes",100,0)</f>
        <v>100</v>
      </c>
      <c r="H843">
        <f>FME_Ranking1[[#This Row],[Emergency Need Score (Normalized, Unweighted)]]*$F$3</f>
        <v>0</v>
      </c>
      <c r="I843" s="246">
        <f>_xlfn.XLOOKUP(FME_Ranking1[[#This Row],[FME ID]],FME_Input[FME_ID],FME_Input[STRUCT_100])</f>
        <v>446</v>
      </c>
      <c r="J843" s="178">
        <f>(FME_Ranking1[[#This Row],[Structures 100 Raw]]/I$2)*100</f>
        <v>0.23882962772565652</v>
      </c>
      <c r="K843" s="178">
        <f>FME_Ranking1[[#This Row],[Structures 100  Score (Normalized, Unweighted)]]*$I$3</f>
        <v>3.582444415884848E-2</v>
      </c>
      <c r="L843" s="246">
        <f>_xlfn.XLOOKUP(FME_Ranking1[[#This Row],[FME ID]],FME_Input[FME_ID],FME_Input[RES_STRUCT100])</f>
        <v>185</v>
      </c>
      <c r="M843" s="230">
        <f>(FME_Ranking1[[#This Row],[Res Structures Raw]]/L$2)*100</f>
        <v>0.13103653440240259</v>
      </c>
      <c r="N843" s="180">
        <f>FME_Ranking1[[#This Row],[Res Structures Score (Normalized, Unweighted)]]*$L$3</f>
        <v>1.3103653440240261E-2</v>
      </c>
      <c r="O843" s="244">
        <f>_xlfn.XLOOKUP(FME_Ranking1[[#This Row],[FME ID]],FME_Input[FME_ID],FME_Input[POP100])</f>
        <v>5331</v>
      </c>
      <c r="P843" s="178">
        <f>(FME_Ranking1[[#This Row],[Pop Raw]]/$O$2)*100</f>
        <v>0.54576278821209701</v>
      </c>
      <c r="Q843" s="178">
        <f>FME_Ranking1[[#This Row],[Pop Score (Normalized, Unweighted)]]*$O$3</f>
        <v>8.1864418231814548E-2</v>
      </c>
      <c r="R843" s="137">
        <f>_xlfn.XLOOKUP(FME_Ranking1[[#This Row],[FME ID]],FME_Input[FME_ID],FME_Input[CRITFAC100])</f>
        <v>1</v>
      </c>
      <c r="S843" s="230">
        <f>(FME_Ranking1[[#This Row],[Critical Facilities Raw]]/$R$2)*100</f>
        <v>4.2881646655231559E-2</v>
      </c>
      <c r="T843" s="180">
        <f>FME_Ranking1[[#This Row],[Critical Facilities Score (Normalized, Unweighted)]]*$R$3</f>
        <v>8.5763293310463125E-3</v>
      </c>
      <c r="U843">
        <f>_xlfn.XLOOKUP(FME_Ranking1[[#This Row],[FME ID]],FME_Input[FME_ID],FME_Input[LWC])</f>
        <v>0</v>
      </c>
      <c r="V843" s="178">
        <f>(FME_Ranking1[[#This Row],[LWC Raw]]/$U$2)*100</f>
        <v>0</v>
      </c>
      <c r="W843" s="178">
        <f>FME_Ranking1[[#This Row],[LWC Score (Normalized, Unweighted)]]*$U$3</f>
        <v>0</v>
      </c>
      <c r="X843" s="246">
        <f>_xlfn.XLOOKUP(FME_Ranking1[[#This Row],[FME ID]],FME_Input[FME_ID],FME_Input[ROADCLS])</f>
        <v>0</v>
      </c>
      <c r="Y843" s="230">
        <f>(FME_Ranking1[[#This Row],[Closures Raw]]/$X$2)*100</f>
        <v>0</v>
      </c>
      <c r="Z843" s="180">
        <f>FME_Ranking1[[#This Row],[Closures Score (Normalized, Unweighted)]]*$X$3</f>
        <v>0</v>
      </c>
      <c r="AA843" s="253">
        <f>_xlfn.XLOOKUP(FME_Ranking1[[#This Row],[FME ID]],FME_Input[FME_ID],FME_Input[ROAD_MILES100])</f>
        <v>13.783140182495121</v>
      </c>
      <c r="AB843" s="178">
        <f>(FME_Ranking1[[#This Row],[Miles Raw]]/$AA$2)*100</f>
        <v>0.18122357217732957</v>
      </c>
      <c r="AC843" s="178">
        <f>FME_Ranking1[[#This Row],[Miles Score (Normalized, Unweighted)]]*$AA$3</f>
        <v>1.8122357217732959E-2</v>
      </c>
      <c r="AD843" s="255">
        <f>_xlfn.XLOOKUP(FME_Ranking1[[#This Row],[FME ID]],FME_Input[FME_ID],FME_Input[FARMACRE100])</f>
        <v>4.4304699897766113</v>
      </c>
      <c r="AE843" s="230">
        <f>(FME_Ranking1[[#This Row],[Ag Land Raw]]/$AD$2)*100</f>
        <v>1.8269274936313223E-4</v>
      </c>
      <c r="AF843" s="231">
        <f>FME_Ranking1[[#This Row],[Ag Land Score (Normalized, Unweighted)]]*$AD$3</f>
        <v>9.1346374681566127E-6</v>
      </c>
      <c r="AG84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0.15750033701715072</v>
      </c>
      <c r="AH843" s="406">
        <f t="shared" si="13"/>
        <v>876</v>
      </c>
      <c r="AI84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0.15750033701715072</v>
      </c>
      <c r="AJ843" s="257">
        <f>FME_Ranking1[[#This Row],[Addition check]]-FME_Ranking1[[#This Row],[Weighted Score Based on Normalized Reported Factors]]</f>
        <v>0</v>
      </c>
      <c r="AK843" s="178">
        <f>_xlfn.RANK.EQ(AI843,$AI$6:$AI$2341,0)+COUNTIF($AI$6:AI843,AI843)-1</f>
        <v>877</v>
      </c>
    </row>
    <row r="844" spans="1:37" x14ac:dyDescent="0.25">
      <c r="A844" t="s">
        <v>10037</v>
      </c>
      <c r="B844">
        <f>_xlfn.XLOOKUP(FME_Ranking1[[#This Row],[FME ID]],FME_Input[FME_ID],FME_Input[RFPG_NUM])</f>
        <v>13</v>
      </c>
      <c r="C844" t="str">
        <f>_xlfn.XLOOKUP(FME_Ranking1[[#This Row],[FME ID]],FME_Input[FME_ID],FME_Input[FME_NAME])</f>
        <v>Atascosa McMullen Hazard Mitigation Plan - City of Lytle Action #11</v>
      </c>
      <c r="D844" t="str">
        <f>_xlfn.XLOOKUP(FME_Ranking1[[#This Row],[FME ID]],FME_Input[FME_ID],FME_Input[DESCR])</f>
        <v>Develop a stormwater management plan and implement the structural and non-structural solutions to mitigate flooding.</v>
      </c>
      <c r="E844" s="256">
        <f>_xlfn.XLOOKUP(FME_Ranking1[[#This Row],[FME ID]],FME_Input[FME_ID],FME_Input[FME_COST])</f>
        <v>750000</v>
      </c>
      <c r="F844" t="str">
        <f>_xlfn.XLOOKUP(FME_Ranking1[[#This Row],[FME ID]],FME_Input[FME_ID],FME_Input[EMER_NEED])</f>
        <v>Yes</v>
      </c>
      <c r="G844">
        <f>IF(FME_Ranking!F844="Yes",100,0)</f>
        <v>100</v>
      </c>
      <c r="H844">
        <f>FME_Ranking1[[#This Row],[Emergency Need Score (Normalized, Unweighted)]]*$F$3</f>
        <v>0</v>
      </c>
      <c r="I844" s="246">
        <f>_xlfn.XLOOKUP(FME_Ranking1[[#This Row],[FME ID]],FME_Input[FME_ID],FME_Input[STRUCT_100])</f>
        <v>112</v>
      </c>
      <c r="J844" s="178">
        <f>(FME_Ranking1[[#This Row],[Structures 100 Raw]]/I$2)*100</f>
        <v>5.9975153150837512E-2</v>
      </c>
      <c r="K844" s="178">
        <f>FME_Ranking1[[#This Row],[Structures 100  Score (Normalized, Unweighted)]]*$I$3</f>
        <v>8.9962729726256272E-3</v>
      </c>
      <c r="L844" s="246">
        <f>_xlfn.XLOOKUP(FME_Ranking1[[#This Row],[FME ID]],FME_Input[FME_ID],FME_Input[RES_STRUCT100])</f>
        <v>92</v>
      </c>
      <c r="M844" s="230">
        <f>(FME_Ranking1[[#This Row],[Res Structures Raw]]/L$2)*100</f>
        <v>6.5164114405519113E-2</v>
      </c>
      <c r="N844" s="180">
        <f>FME_Ranking1[[#This Row],[Res Structures Score (Normalized, Unweighted)]]*$L$3</f>
        <v>6.5164114405519115E-3</v>
      </c>
      <c r="O844" s="244">
        <f>_xlfn.XLOOKUP(FME_Ranking1[[#This Row],[FME ID]],FME_Input[FME_ID],FME_Input[POP100])</f>
        <v>288</v>
      </c>
      <c r="P844" s="178">
        <f>(FME_Ranking1[[#This Row],[Pop Raw]]/$O$2)*100</f>
        <v>2.9484089852763823E-2</v>
      </c>
      <c r="Q844" s="178">
        <f>FME_Ranking1[[#This Row],[Pop Score (Normalized, Unweighted)]]*$O$3</f>
        <v>4.4226134779145731E-3</v>
      </c>
      <c r="R844" s="137">
        <f>_xlfn.XLOOKUP(FME_Ranking1[[#This Row],[FME ID]],FME_Input[FME_ID],FME_Input[CRITFAC100])</f>
        <v>0</v>
      </c>
      <c r="S844" s="230">
        <f>(FME_Ranking1[[#This Row],[Critical Facilities Raw]]/$R$2)*100</f>
        <v>0</v>
      </c>
      <c r="T844" s="180">
        <f>FME_Ranking1[[#This Row],[Critical Facilities Score (Normalized, Unweighted)]]*$R$3</f>
        <v>0</v>
      </c>
      <c r="U844">
        <f>_xlfn.XLOOKUP(FME_Ranking1[[#This Row],[FME ID]],FME_Input[FME_ID],FME_Input[LWC])</f>
        <v>9</v>
      </c>
      <c r="V844" s="178">
        <f>(FME_Ranking1[[#This Row],[LWC Raw]]/$U$2)*100</f>
        <v>0.5181347150259068</v>
      </c>
      <c r="W844" s="178">
        <f>FME_Ranking1[[#This Row],[LWC Score (Normalized, Unweighted)]]*$U$3</f>
        <v>0.10362694300518137</v>
      </c>
      <c r="X844" s="246">
        <f>_xlfn.XLOOKUP(FME_Ranking1[[#This Row],[FME ID]],FME_Input[FME_ID],FME_Input[ROADCLS])</f>
        <v>29</v>
      </c>
      <c r="Y844" s="230">
        <f>(FME_Ranking1[[#This Row],[Closures Raw]]/$X$2)*100</f>
        <v>0.30491010409000108</v>
      </c>
      <c r="Z844" s="180">
        <f>FME_Ranking1[[#This Row],[Closures Score (Normalized, Unweighted)]]*$X$3</f>
        <v>1.5245505204500055E-2</v>
      </c>
      <c r="AA844" s="253">
        <f>_xlfn.XLOOKUP(FME_Ranking1[[#This Row],[FME ID]],FME_Input[FME_ID],FME_Input[ROAD_MILES100])</f>
        <v>2.9408247470855708</v>
      </c>
      <c r="AB844" s="178">
        <f>(FME_Ranking1[[#This Row],[Miles Raw]]/$AA$2)*100</f>
        <v>3.8666570807368884E-2</v>
      </c>
      <c r="AC844" s="178">
        <f>FME_Ranking1[[#This Row],[Miles Score (Normalized, Unweighted)]]*$AA$3</f>
        <v>3.8666570807368884E-3</v>
      </c>
      <c r="AD844" s="255">
        <f>_xlfn.XLOOKUP(FME_Ranking1[[#This Row],[FME ID]],FME_Input[FME_ID],FME_Input[FARMACRE100])</f>
        <v>7.4427151679992676</v>
      </c>
      <c r="AE844" s="230">
        <f>(FME_Ranking1[[#This Row],[Ag Land Raw]]/$AD$2)*100</f>
        <v>3.0690425618638074E-4</v>
      </c>
      <c r="AF844" s="231">
        <f>FME_Ranking1[[#This Row],[Ag Land Score (Normalized, Unweighted)]]*$AD$3</f>
        <v>1.5345212809319039E-5</v>
      </c>
      <c r="AG84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0.14268974839431975</v>
      </c>
      <c r="AH844" s="406">
        <f t="shared" si="13"/>
        <v>917</v>
      </c>
      <c r="AI84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0.14268974839431975</v>
      </c>
      <c r="AJ844" s="257">
        <f>FME_Ranking1[[#This Row],[Addition check]]-FME_Ranking1[[#This Row],[Weighted Score Based on Normalized Reported Factors]]</f>
        <v>0</v>
      </c>
      <c r="AK844" s="178">
        <f>_xlfn.RANK.EQ(AI844,$AI$6:$AI$2341,0)+COUNTIF($AI$6:AI844,AI844)-1</f>
        <v>917</v>
      </c>
    </row>
    <row r="845" spans="1:37" x14ac:dyDescent="0.25">
      <c r="A845" t="s">
        <v>10046</v>
      </c>
      <c r="B845">
        <f>_xlfn.XLOOKUP(FME_Ranking1[[#This Row],[FME ID]],FME_Input[FME_ID],FME_Input[RFPG_NUM])</f>
        <v>13</v>
      </c>
      <c r="C845" t="str">
        <f>_xlfn.XLOOKUP(FME_Ranking1[[#This Row],[FME ID]],FME_Input[FME_ID],FME_Input[FME_NAME])</f>
        <v>Atascosa McMullen Hazard Mitigation Plan - City of Lytle Action #4</v>
      </c>
      <c r="D845" t="str">
        <f>_xlfn.XLOOKUP(FME_Ranking1[[#This Row],[FME ID]],FME_Input[FME_ID],FME_Input[DESCR])</f>
        <v>Enforcement of code and floodplain development is improving with meetings with new businesses.</v>
      </c>
      <c r="E845" s="256">
        <f>_xlfn.XLOOKUP(FME_Ranking1[[#This Row],[FME ID]],FME_Input[FME_ID],FME_Input[FME_COST])</f>
        <v>30000</v>
      </c>
      <c r="F845" t="str">
        <f>_xlfn.XLOOKUP(FME_Ranking1[[#This Row],[FME ID]],FME_Input[FME_ID],FME_Input[EMER_NEED])</f>
        <v>Yes</v>
      </c>
      <c r="G845">
        <f>IF(FME_Ranking!F845="Yes",100,0)</f>
        <v>100</v>
      </c>
      <c r="H845">
        <f>FME_Ranking1[[#This Row],[Emergency Need Score (Normalized, Unweighted)]]*$F$3</f>
        <v>0</v>
      </c>
      <c r="I845" s="246">
        <f>_xlfn.XLOOKUP(FME_Ranking1[[#This Row],[FME ID]],FME_Input[FME_ID],FME_Input[STRUCT_100])</f>
        <v>112</v>
      </c>
      <c r="J845" s="178">
        <f>(FME_Ranking1[[#This Row],[Structures 100 Raw]]/I$2)*100</f>
        <v>5.9975153150837512E-2</v>
      </c>
      <c r="K845" s="178">
        <f>FME_Ranking1[[#This Row],[Structures 100  Score (Normalized, Unweighted)]]*$I$3</f>
        <v>8.9962729726256272E-3</v>
      </c>
      <c r="L845" s="246">
        <f>_xlfn.XLOOKUP(FME_Ranking1[[#This Row],[FME ID]],FME_Input[FME_ID],FME_Input[RES_STRUCT100])</f>
        <v>92</v>
      </c>
      <c r="M845" s="230">
        <f>(FME_Ranking1[[#This Row],[Res Structures Raw]]/L$2)*100</f>
        <v>6.5164114405519113E-2</v>
      </c>
      <c r="N845" s="180">
        <f>FME_Ranking1[[#This Row],[Res Structures Score (Normalized, Unweighted)]]*$L$3</f>
        <v>6.5164114405519115E-3</v>
      </c>
      <c r="O845" s="244">
        <f>_xlfn.XLOOKUP(FME_Ranking1[[#This Row],[FME ID]],FME_Input[FME_ID],FME_Input[POP100])</f>
        <v>288</v>
      </c>
      <c r="P845" s="178">
        <f>(FME_Ranking1[[#This Row],[Pop Raw]]/$O$2)*100</f>
        <v>2.9484089852763823E-2</v>
      </c>
      <c r="Q845" s="178">
        <f>FME_Ranking1[[#This Row],[Pop Score (Normalized, Unweighted)]]*$O$3</f>
        <v>4.4226134779145731E-3</v>
      </c>
      <c r="R845" s="137">
        <f>_xlfn.XLOOKUP(FME_Ranking1[[#This Row],[FME ID]],FME_Input[FME_ID],FME_Input[CRITFAC100])</f>
        <v>0</v>
      </c>
      <c r="S845" s="230">
        <f>(FME_Ranking1[[#This Row],[Critical Facilities Raw]]/$R$2)*100</f>
        <v>0</v>
      </c>
      <c r="T845" s="180">
        <f>FME_Ranking1[[#This Row],[Critical Facilities Score (Normalized, Unweighted)]]*$R$3</f>
        <v>0</v>
      </c>
      <c r="U845">
        <f>_xlfn.XLOOKUP(FME_Ranking1[[#This Row],[FME ID]],FME_Input[FME_ID],FME_Input[LWC])</f>
        <v>9</v>
      </c>
      <c r="V845" s="178">
        <f>(FME_Ranking1[[#This Row],[LWC Raw]]/$U$2)*100</f>
        <v>0.5181347150259068</v>
      </c>
      <c r="W845" s="178">
        <f>FME_Ranking1[[#This Row],[LWC Score (Normalized, Unweighted)]]*$U$3</f>
        <v>0.10362694300518137</v>
      </c>
      <c r="X845" s="246">
        <f>_xlfn.XLOOKUP(FME_Ranking1[[#This Row],[FME ID]],FME_Input[FME_ID],FME_Input[ROADCLS])</f>
        <v>29</v>
      </c>
      <c r="Y845" s="230">
        <f>(FME_Ranking1[[#This Row],[Closures Raw]]/$X$2)*100</f>
        <v>0.30491010409000108</v>
      </c>
      <c r="Z845" s="180">
        <f>FME_Ranking1[[#This Row],[Closures Score (Normalized, Unweighted)]]*$X$3</f>
        <v>1.5245505204500055E-2</v>
      </c>
      <c r="AA845" s="253">
        <f>_xlfn.XLOOKUP(FME_Ranking1[[#This Row],[FME ID]],FME_Input[FME_ID],FME_Input[ROAD_MILES100])</f>
        <v>2.9408247470855708</v>
      </c>
      <c r="AB845" s="178">
        <f>(FME_Ranking1[[#This Row],[Miles Raw]]/$AA$2)*100</f>
        <v>3.8666570807368884E-2</v>
      </c>
      <c r="AC845" s="178">
        <f>FME_Ranking1[[#This Row],[Miles Score (Normalized, Unweighted)]]*$AA$3</f>
        <v>3.8666570807368884E-3</v>
      </c>
      <c r="AD845" s="255">
        <f>_xlfn.XLOOKUP(FME_Ranking1[[#This Row],[FME ID]],FME_Input[FME_ID],FME_Input[FARMACRE100])</f>
        <v>7.4427151679992676</v>
      </c>
      <c r="AE845" s="230">
        <f>(FME_Ranking1[[#This Row],[Ag Land Raw]]/$AD$2)*100</f>
        <v>3.0690425618638074E-4</v>
      </c>
      <c r="AF845" s="231">
        <f>FME_Ranking1[[#This Row],[Ag Land Score (Normalized, Unweighted)]]*$AD$3</f>
        <v>1.5345212809319039E-5</v>
      </c>
      <c r="AG84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0.14268974839431975</v>
      </c>
      <c r="AH845" s="406">
        <f t="shared" si="13"/>
        <v>917</v>
      </c>
      <c r="AI84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0.14268974839431975</v>
      </c>
      <c r="AJ845" s="257">
        <f>FME_Ranking1[[#This Row],[Addition check]]-FME_Ranking1[[#This Row],[Weighted Score Based on Normalized Reported Factors]]</f>
        <v>0</v>
      </c>
      <c r="AK845" s="178">
        <f>_xlfn.RANK.EQ(AI845,$AI$6:$AI$2341,0)+COUNTIF($AI$6:AI845,AI845)-1</f>
        <v>918</v>
      </c>
    </row>
    <row r="846" spans="1:37" x14ac:dyDescent="0.25">
      <c r="A846" t="s">
        <v>10212</v>
      </c>
      <c r="B846">
        <f>_xlfn.XLOOKUP(FME_Ranking1[[#This Row],[FME ID]],FME_Input[FME_ID],FME_Input[RFPG_NUM])</f>
        <v>13</v>
      </c>
      <c r="C846" t="str">
        <f>_xlfn.XLOOKUP(FME_Ranking1[[#This Row],[FME ID]],FME_Input[FME_ID],FME_Input[FME_NAME])</f>
        <v>Uvalde City-wide Drainage Study</v>
      </c>
      <c r="D846" t="str">
        <f>_xlfn.XLOOKUP(FME_Ranking1[[#This Row],[FME ID]],FME_Input[FME_ID],FME_Input[DESCR])</f>
        <v xml:space="preserve">Uvalde City-wide Drainage study to further define existing flood risk and to recommend flood risk reduction measures. </v>
      </c>
      <c r="E846" s="256">
        <f>_xlfn.XLOOKUP(FME_Ranking1[[#This Row],[FME ID]],FME_Input[FME_ID],FME_Input[FME_COST])</f>
        <v>250000</v>
      </c>
      <c r="F846" t="str">
        <f>_xlfn.XLOOKUP(FME_Ranking1[[#This Row],[FME ID]],FME_Input[FME_ID],FME_Input[EMER_NEED])</f>
        <v>Yes</v>
      </c>
      <c r="G846">
        <f>IF(FME_Ranking!F846="Yes",100,0)</f>
        <v>100</v>
      </c>
      <c r="H846">
        <f>FME_Ranking1[[#This Row],[Emergency Need Score (Normalized, Unweighted)]]*$F$3</f>
        <v>0</v>
      </c>
      <c r="I846" s="246">
        <f>_xlfn.XLOOKUP(FME_Ranking1[[#This Row],[FME ID]],FME_Input[FME_ID],FME_Input[STRUCT_100])</f>
        <v>176</v>
      </c>
      <c r="J846" s="178">
        <f>(FME_Ranking1[[#This Row],[Structures 100 Raw]]/I$2)*100</f>
        <v>9.4246669237030373E-2</v>
      </c>
      <c r="K846" s="178">
        <f>FME_Ranking1[[#This Row],[Structures 100  Score (Normalized, Unweighted)]]*$I$3</f>
        <v>1.4137000385554556E-2</v>
      </c>
      <c r="L846" s="246">
        <f>_xlfn.XLOOKUP(FME_Ranking1[[#This Row],[FME ID]],FME_Input[FME_ID],FME_Input[RES_STRUCT100])</f>
        <v>142</v>
      </c>
      <c r="M846" s="230">
        <f>(FME_Ranking1[[#This Row],[Res Structures Raw]]/L$2)*100</f>
        <v>0.10057939397373603</v>
      </c>
      <c r="N846" s="180">
        <f>FME_Ranking1[[#This Row],[Res Structures Score (Normalized, Unweighted)]]*$L$3</f>
        <v>1.0057939397373603E-2</v>
      </c>
      <c r="O846" s="244">
        <f>_xlfn.XLOOKUP(FME_Ranking1[[#This Row],[FME ID]],FME_Input[FME_ID],FME_Input[POP100])</f>
        <v>543</v>
      </c>
      <c r="P846" s="178">
        <f>(FME_Ranking1[[#This Row],[Pop Raw]]/$O$2)*100</f>
        <v>5.558979440989846E-2</v>
      </c>
      <c r="Q846" s="178">
        <f>FME_Ranking1[[#This Row],[Pop Score (Normalized, Unweighted)]]*$O$3</f>
        <v>8.3384691614847694E-3</v>
      </c>
      <c r="R846" s="137">
        <f>_xlfn.XLOOKUP(FME_Ranking1[[#This Row],[FME ID]],FME_Input[FME_ID],FME_Input[CRITFAC100])</f>
        <v>2</v>
      </c>
      <c r="S846" s="230">
        <f>(FME_Ranking1[[#This Row],[Critical Facilities Raw]]/$R$2)*100</f>
        <v>8.5763293310463118E-2</v>
      </c>
      <c r="T846" s="180">
        <f>FME_Ranking1[[#This Row],[Critical Facilities Score (Normalized, Unweighted)]]*$R$3</f>
        <v>1.7152658662092625E-2</v>
      </c>
      <c r="U846">
        <f>_xlfn.XLOOKUP(FME_Ranking1[[#This Row],[FME ID]],FME_Input[FME_ID],FME_Input[LWC])</f>
        <v>6</v>
      </c>
      <c r="V846" s="178">
        <f>(FME_Ranking1[[#This Row],[LWC Raw]]/$U$2)*100</f>
        <v>0.34542314335060448</v>
      </c>
      <c r="W846" s="178">
        <f>FME_Ranking1[[#This Row],[LWC Score (Normalized, Unweighted)]]*$U$3</f>
        <v>6.9084628670120898E-2</v>
      </c>
      <c r="X846" s="246">
        <f>_xlfn.XLOOKUP(FME_Ranking1[[#This Row],[FME ID]],FME_Input[FME_ID],FME_Input[ROADCLS])</f>
        <v>38</v>
      </c>
      <c r="Y846" s="230">
        <f>(FME_Ranking1[[#This Row],[Closures Raw]]/$X$2)*100</f>
        <v>0.39953737777310477</v>
      </c>
      <c r="Z846" s="180">
        <f>FME_Ranking1[[#This Row],[Closures Score (Normalized, Unweighted)]]*$X$3</f>
        <v>1.9976868888655241E-2</v>
      </c>
      <c r="AA846" s="253">
        <f>_xlfn.XLOOKUP(FME_Ranking1[[#This Row],[FME ID]],FME_Input[FME_ID],FME_Input[ROAD_MILES100])</f>
        <v>2.8450744152069092</v>
      </c>
      <c r="AB846" s="178">
        <f>(FME_Ranking1[[#This Row],[Miles Raw]]/$AA$2)*100</f>
        <v>3.7407625679447047E-2</v>
      </c>
      <c r="AC846" s="178">
        <f>FME_Ranking1[[#This Row],[Miles Score (Normalized, Unweighted)]]*$AA$3</f>
        <v>3.7407625679447051E-3</v>
      </c>
      <c r="AD846" s="255">
        <f>_xlfn.XLOOKUP(FME_Ranking1[[#This Row],[FME ID]],FME_Input[FME_ID],FME_Input[FARMACRE100])</f>
        <v>7.1010441780090332</v>
      </c>
      <c r="AE846" s="230">
        <f>(FME_Ranking1[[#This Row],[Ag Land Raw]]/$AD$2)*100</f>
        <v>2.9281527405063075E-4</v>
      </c>
      <c r="AF846" s="231">
        <f>FME_Ranking1[[#This Row],[Ag Land Score (Normalized, Unweighted)]]*$AD$3</f>
        <v>1.4640763702531538E-5</v>
      </c>
      <c r="AG84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0.14250296849692892</v>
      </c>
      <c r="AH846" s="406">
        <f t="shared" si="13"/>
        <v>919</v>
      </c>
      <c r="AI84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0.14250296849692892</v>
      </c>
      <c r="AJ846" s="257">
        <f>FME_Ranking1[[#This Row],[Addition check]]-FME_Ranking1[[#This Row],[Weighted Score Based on Normalized Reported Factors]]</f>
        <v>0</v>
      </c>
      <c r="AK846" s="178">
        <f>_xlfn.RANK.EQ(AI846,$AI$6:$AI$2341,0)+COUNTIF($AI$6:AI846,AI846)-1</f>
        <v>919</v>
      </c>
    </row>
    <row r="847" spans="1:37" x14ac:dyDescent="0.25">
      <c r="A847" t="s">
        <v>5353</v>
      </c>
      <c r="B847">
        <f>_xlfn.XLOOKUP(FME_Ranking1[[#This Row],[FME ID]],FME_Input[FME_ID],FME_Input[RFPG_NUM])</f>
        <v>3</v>
      </c>
      <c r="C847" t="str">
        <f>_xlfn.XLOOKUP(FME_Ranking1[[#This Row],[FME ID]],FME_Input[FME_ID],FME_Input[FME_NAME])</f>
        <v>City of Seagoville DMP</v>
      </c>
      <c r="D847" t="str">
        <f>_xlfn.XLOOKUP(FME_Ranking1[[#This Row],[FME ID]],FME_Input[FME_ID],FME_Input[DESCR])</f>
        <v>Evaluate city and identify future projects.</v>
      </c>
      <c r="E847" s="256">
        <f>_xlfn.XLOOKUP(FME_Ranking1[[#This Row],[FME ID]],FME_Input[FME_ID],FME_Input[FME_COST])</f>
        <v>250000</v>
      </c>
      <c r="F847" t="str">
        <f>_xlfn.XLOOKUP(FME_Ranking1[[#This Row],[FME ID]],FME_Input[FME_ID],FME_Input[EMER_NEED])</f>
        <v>No</v>
      </c>
      <c r="G847">
        <f>IF(FME_Ranking!F847="Yes",100,0)</f>
        <v>0</v>
      </c>
      <c r="H847">
        <f>FME_Ranking1[[#This Row],[Emergency Need Score (Normalized, Unweighted)]]*$F$3</f>
        <v>0</v>
      </c>
      <c r="I847" s="246">
        <f>_xlfn.XLOOKUP(FME_Ranking1[[#This Row],[FME ID]],FME_Input[FME_ID],FME_Input[STRUCT_100])</f>
        <v>180</v>
      </c>
      <c r="J847" s="178">
        <f>(FME_Ranking1[[#This Row],[Structures 100 Raw]]/I$2)*100</f>
        <v>9.6388638992417425E-2</v>
      </c>
      <c r="K847" s="178">
        <f>FME_Ranking1[[#This Row],[Structures 100  Score (Normalized, Unweighted)]]*$I$3</f>
        <v>1.4458295848862613E-2</v>
      </c>
      <c r="L847" s="246">
        <f>_xlfn.XLOOKUP(FME_Ranking1[[#This Row],[FME ID]],FME_Input[FME_ID],FME_Input[RES_STRUCT100])</f>
        <v>170</v>
      </c>
      <c r="M847" s="230">
        <f>(FME_Ranking1[[#This Row],[Res Structures Raw]]/L$2)*100</f>
        <v>0.12041195053193748</v>
      </c>
      <c r="N847" s="180">
        <f>FME_Ranking1[[#This Row],[Res Structures Score (Normalized, Unweighted)]]*$L$3</f>
        <v>1.2041195053193749E-2</v>
      </c>
      <c r="O847" s="244">
        <f>_xlfn.XLOOKUP(FME_Ranking1[[#This Row],[FME ID]],FME_Input[FME_ID],FME_Input[POP100])</f>
        <v>627</v>
      </c>
      <c r="P847" s="178">
        <f>(FME_Ranking1[[#This Row],[Pop Raw]]/$O$2)*100</f>
        <v>6.4189320616954579E-2</v>
      </c>
      <c r="Q847" s="178">
        <f>FME_Ranking1[[#This Row],[Pop Score (Normalized, Unweighted)]]*$O$3</f>
        <v>9.6283980925431865E-3</v>
      </c>
      <c r="R847" s="137">
        <f>_xlfn.XLOOKUP(FME_Ranking1[[#This Row],[FME ID]],FME_Input[FME_ID],FME_Input[CRITFAC100])</f>
        <v>2</v>
      </c>
      <c r="S847" s="230">
        <f>(FME_Ranking1[[#This Row],[Critical Facilities Raw]]/$R$2)*100</f>
        <v>8.5763293310463118E-2</v>
      </c>
      <c r="T847" s="180">
        <f>FME_Ranking1[[#This Row],[Critical Facilities Score (Normalized, Unweighted)]]*$R$3</f>
        <v>1.7152658662092625E-2</v>
      </c>
      <c r="U847">
        <f>_xlfn.XLOOKUP(FME_Ranking1[[#This Row],[FME ID]],FME_Input[FME_ID],FME_Input[LWC])</f>
        <v>7</v>
      </c>
      <c r="V847" s="178">
        <f>(FME_Ranking1[[#This Row],[LWC Raw]]/$U$2)*100</f>
        <v>0.40299366724237184</v>
      </c>
      <c r="W847" s="178">
        <f>FME_Ranking1[[#This Row],[LWC Score (Normalized, Unweighted)]]*$U$3</f>
        <v>8.0598733448474374E-2</v>
      </c>
      <c r="X847" s="246">
        <f>_xlfn.XLOOKUP(FME_Ranking1[[#This Row],[FME ID]],FME_Input[FME_ID],FME_Input[ROADCLS])</f>
        <v>0</v>
      </c>
      <c r="Y847" s="230">
        <f>(FME_Ranking1[[#This Row],[Closures Raw]]/$X$2)*100</f>
        <v>0</v>
      </c>
      <c r="Z847" s="180">
        <f>FME_Ranking1[[#This Row],[Closures Score (Normalized, Unweighted)]]*$X$3</f>
        <v>0</v>
      </c>
      <c r="AA847" s="253">
        <f>_xlfn.XLOOKUP(FME_Ranking1[[#This Row],[FME ID]],FME_Input[FME_ID],FME_Input[ROAD_MILES100])</f>
        <v>10.38786029815674</v>
      </c>
      <c r="AB847" s="178">
        <f>(FME_Ranking1[[#This Row],[Miles Raw]]/$AA$2)*100</f>
        <v>0.13658173141864077</v>
      </c>
      <c r="AC847" s="178">
        <f>FME_Ranking1[[#This Row],[Miles Score (Normalized, Unweighted)]]*$AA$3</f>
        <v>1.3658173141864079E-2</v>
      </c>
      <c r="AD847" s="255">
        <f>_xlfn.XLOOKUP(FME_Ranking1[[#This Row],[FME ID]],FME_Input[FME_ID],FME_Input[FARMACRE100])</f>
        <v>1728.285034179688</v>
      </c>
      <c r="AE847" s="230">
        <f>(FME_Ranking1[[#This Row],[Ag Land Raw]]/$AD$2)*100</f>
        <v>7.1266738135238414E-2</v>
      </c>
      <c r="AF847" s="231">
        <f>FME_Ranking1[[#This Row],[Ag Land Score (Normalized, Unweighted)]]*$AD$3</f>
        <v>3.563336906761921E-3</v>
      </c>
      <c r="AG84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0.15110079115379255</v>
      </c>
      <c r="AH847" s="406">
        <f t="shared" si="13"/>
        <v>899</v>
      </c>
      <c r="AI84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0.15110079115379255</v>
      </c>
      <c r="AJ847" s="257">
        <f>FME_Ranking1[[#This Row],[Addition check]]-FME_Ranking1[[#This Row],[Weighted Score Based on Normalized Reported Factors]]</f>
        <v>0</v>
      </c>
      <c r="AK847" s="178">
        <f>_xlfn.RANK.EQ(AI847,$AI$6:$AI$2341,0)+COUNTIF($AI$6:AI847,AI847)-1</f>
        <v>899</v>
      </c>
    </row>
    <row r="848" spans="1:37" x14ac:dyDescent="0.25">
      <c r="A848" t="s">
        <v>5711</v>
      </c>
      <c r="B848">
        <f>_xlfn.XLOOKUP(FME_Ranking1[[#This Row],[FME ID]],FME_Input[FME_ID],FME_Input[RFPG_NUM])</f>
        <v>4</v>
      </c>
      <c r="C848" t="str">
        <f>_xlfn.XLOOKUP(FME_Ranking1[[#This Row],[FME ID]],FME_Input[FME_ID],FME_Input[FME_NAME])</f>
        <v>North Airport Retention Pond</v>
      </c>
      <c r="D848" t="str">
        <f>_xlfn.XLOOKUP(FME_Ranking1[[#This Row],[FME ID]],FME_Input[FME_ID],FME_Input[DESCR])</f>
        <v>Feasibility Study of North Airport Retention Pond</v>
      </c>
      <c r="E848" s="256">
        <f>_xlfn.XLOOKUP(FME_Ranking1[[#This Row],[FME ID]],FME_Input[FME_ID],FME_Input[FME_COST])</f>
        <v>640000</v>
      </c>
      <c r="F848" t="str">
        <f>_xlfn.XLOOKUP(FME_Ranking1[[#This Row],[FME ID]],FME_Input[FME_ID],FME_Input[EMER_NEED])</f>
        <v>Yes</v>
      </c>
      <c r="G848">
        <f>IF(FME_Ranking!F848="Yes",100,0)</f>
        <v>100</v>
      </c>
      <c r="H848">
        <f>FME_Ranking1[[#This Row],[Emergency Need Score (Normalized, Unweighted)]]*$F$3</f>
        <v>0</v>
      </c>
      <c r="I848" s="246">
        <f>_xlfn.XLOOKUP(FME_Ranking1[[#This Row],[FME ID]],FME_Input[FME_ID],FME_Input[STRUCT_100])</f>
        <v>489</v>
      </c>
      <c r="J848" s="178">
        <f>(FME_Ranking1[[#This Row],[Structures 100 Raw]]/I$2)*100</f>
        <v>0.26185580259606733</v>
      </c>
      <c r="K848" s="178">
        <f>FME_Ranking1[[#This Row],[Structures 100  Score (Normalized, Unweighted)]]*$I$3</f>
        <v>3.9278370389410101E-2</v>
      </c>
      <c r="L848" s="246">
        <f>_xlfn.XLOOKUP(FME_Ranking1[[#This Row],[FME ID]],FME_Input[FME_ID],FME_Input[RES_STRUCT100])</f>
        <v>310</v>
      </c>
      <c r="M848" s="230">
        <f>(FME_Ranking1[[#This Row],[Res Structures Raw]]/L$2)*100</f>
        <v>0.21957473332294483</v>
      </c>
      <c r="N848" s="180">
        <f>FME_Ranking1[[#This Row],[Res Structures Score (Normalized, Unweighted)]]*$L$3</f>
        <v>2.1957473332294485E-2</v>
      </c>
      <c r="O848" s="244">
        <f>_xlfn.XLOOKUP(FME_Ranking1[[#This Row],[FME ID]],FME_Input[FME_ID],FME_Input[POP100])</f>
        <v>2472</v>
      </c>
      <c r="P848" s="178">
        <f>(FME_Ranking1[[#This Row],[Pop Raw]]/$O$2)*100</f>
        <v>0.25307177123622282</v>
      </c>
      <c r="Q848" s="178">
        <f>FME_Ranking1[[#This Row],[Pop Score (Normalized, Unweighted)]]*$O$3</f>
        <v>3.7960765685433419E-2</v>
      </c>
      <c r="R848" s="137">
        <f>_xlfn.XLOOKUP(FME_Ranking1[[#This Row],[FME ID]],FME_Input[FME_ID],FME_Input[CRITFAC100])</f>
        <v>3</v>
      </c>
      <c r="S848" s="230">
        <f>(FME_Ranking1[[#This Row],[Critical Facilities Raw]]/$R$2)*100</f>
        <v>0.1286449399656947</v>
      </c>
      <c r="T848" s="180">
        <f>FME_Ranking1[[#This Row],[Critical Facilities Score (Normalized, Unweighted)]]*$R$3</f>
        <v>2.5728987993138941E-2</v>
      </c>
      <c r="U848">
        <f>_xlfn.XLOOKUP(FME_Ranking1[[#This Row],[FME ID]],FME_Input[FME_ID],FME_Input[LWC])</f>
        <v>0</v>
      </c>
      <c r="V848" s="178">
        <f>(FME_Ranking1[[#This Row],[LWC Raw]]/$U$2)*100</f>
        <v>0</v>
      </c>
      <c r="W848" s="178">
        <f>FME_Ranking1[[#This Row],[LWC Score (Normalized, Unweighted)]]*$U$3</f>
        <v>0</v>
      </c>
      <c r="X848" s="246">
        <f>_xlfn.XLOOKUP(FME_Ranking1[[#This Row],[FME ID]],FME_Input[FME_ID],FME_Input[ROADCLS])</f>
        <v>0</v>
      </c>
      <c r="Y848" s="230">
        <f>(FME_Ranking1[[#This Row],[Closures Raw]]/$X$2)*100</f>
        <v>0</v>
      </c>
      <c r="Z848" s="180">
        <f>FME_Ranking1[[#This Row],[Closures Score (Normalized, Unweighted)]]*$X$3</f>
        <v>0</v>
      </c>
      <c r="AA848" s="253">
        <f>_xlfn.XLOOKUP(FME_Ranking1[[#This Row],[FME ID]],FME_Input[FME_ID],FME_Input[ROAD_MILES100])</f>
        <v>28.946884155273441</v>
      </c>
      <c r="AB848" s="178">
        <f>(FME_Ranking1[[#This Row],[Miles Raw]]/$AA$2)*100</f>
        <v>0.38059960796773606</v>
      </c>
      <c r="AC848" s="178">
        <f>FME_Ranking1[[#This Row],[Miles Score (Normalized, Unweighted)]]*$AA$3</f>
        <v>3.8059960796773609E-2</v>
      </c>
      <c r="AD848" s="255">
        <f>_xlfn.XLOOKUP(FME_Ranking1[[#This Row],[FME ID]],FME_Input[FME_ID],FME_Input[FARMACRE100])</f>
        <v>5956.8193359375</v>
      </c>
      <c r="AE848" s="230">
        <f>(FME_Ranking1[[#This Row],[Ag Land Raw]]/$AD$2)*100</f>
        <v>0.24563256369032779</v>
      </c>
      <c r="AF848" s="231">
        <f>FME_Ranking1[[#This Row],[Ag Land Score (Normalized, Unweighted)]]*$AD$3</f>
        <v>1.2281628184516391E-2</v>
      </c>
      <c r="AG84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0.17526718638156696</v>
      </c>
      <c r="AH848" s="406">
        <f t="shared" si="13"/>
        <v>857</v>
      </c>
      <c r="AI84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0.17526718638156696</v>
      </c>
      <c r="AJ848" s="257">
        <f>FME_Ranking1[[#This Row],[Addition check]]-FME_Ranking1[[#This Row],[Weighted Score Based on Normalized Reported Factors]]</f>
        <v>0</v>
      </c>
      <c r="AK848" s="178">
        <f>_xlfn.RANK.EQ(AI848,$AI$6:$AI$2341,0)+COUNTIF($AI$6:AI848,AI848)-1</f>
        <v>857</v>
      </c>
    </row>
    <row r="849" spans="1:37" x14ac:dyDescent="0.25">
      <c r="A849" t="s">
        <v>4501</v>
      </c>
      <c r="B849">
        <f>_xlfn.XLOOKUP(FME_Ranking1[[#This Row],[FME ID]],FME_Input[FME_ID],FME_Input[RFPG_NUM])</f>
        <v>3</v>
      </c>
      <c r="C849" t="str">
        <f>_xlfn.XLOOKUP(FME_Ranking1[[#This Row],[FME ID]],FME_Input[FME_ID],FME_Input[FME_NAME])</f>
        <v>Little Elm Drainage Improvements</v>
      </c>
      <c r="D849" t="str">
        <f>_xlfn.XLOOKUP(FME_Ranking1[[#This Row],[FME ID]],FME_Input[FME_ID],FME_Input[DESCR])</f>
        <v>Evaluate drainage improvements to mitigate future flash and lake flooding problems.</v>
      </c>
      <c r="E849" s="256">
        <f>_xlfn.XLOOKUP(FME_Ranking1[[#This Row],[FME ID]],FME_Input[FME_ID],FME_Input[FME_COST])</f>
        <v>1000000</v>
      </c>
      <c r="F849" t="str">
        <f>_xlfn.XLOOKUP(FME_Ranking1[[#This Row],[FME ID]],FME_Input[FME_ID],FME_Input[EMER_NEED])</f>
        <v>No</v>
      </c>
      <c r="G849">
        <f>IF(FME_Ranking!F849="Yes",100,0)</f>
        <v>0</v>
      </c>
      <c r="H849">
        <f>FME_Ranking1[[#This Row],[Emergency Need Score (Normalized, Unweighted)]]*$F$3</f>
        <v>0</v>
      </c>
      <c r="I849" s="246">
        <f>_xlfn.XLOOKUP(FME_Ranking1[[#This Row],[FME ID]],FME_Input[FME_ID],FME_Input[STRUCT_100])</f>
        <v>71</v>
      </c>
      <c r="J849" s="178">
        <f>(FME_Ranking1[[#This Row],[Structures 100 Raw]]/I$2)*100</f>
        <v>3.8019963158120208E-2</v>
      </c>
      <c r="K849" s="178">
        <f>FME_Ranking1[[#This Row],[Structures 100  Score (Normalized, Unweighted)]]*$I$3</f>
        <v>5.7029944737180312E-3</v>
      </c>
      <c r="L849" s="246">
        <f>_xlfn.XLOOKUP(FME_Ranking1[[#This Row],[FME ID]],FME_Input[FME_ID],FME_Input[RES_STRUCT100])</f>
        <v>69</v>
      </c>
      <c r="M849" s="230">
        <f>(FME_Ranking1[[#This Row],[Res Structures Raw]]/L$2)*100</f>
        <v>4.8873085804139342E-2</v>
      </c>
      <c r="N849" s="180">
        <f>FME_Ranking1[[#This Row],[Res Structures Score (Normalized, Unweighted)]]*$L$3</f>
        <v>4.8873085804139347E-3</v>
      </c>
      <c r="O849" s="244">
        <f>_xlfn.XLOOKUP(FME_Ranking1[[#This Row],[FME ID]],FME_Input[FME_ID],FME_Input[POP100])</f>
        <v>282</v>
      </c>
      <c r="P849" s="178">
        <f>(FME_Ranking1[[#This Row],[Pop Raw]]/$O$2)*100</f>
        <v>2.8869837980831245E-2</v>
      </c>
      <c r="Q849" s="178">
        <f>FME_Ranking1[[#This Row],[Pop Score (Normalized, Unweighted)]]*$O$3</f>
        <v>4.3304756971246864E-3</v>
      </c>
      <c r="R849" s="137">
        <f>_xlfn.XLOOKUP(FME_Ranking1[[#This Row],[FME ID]],FME_Input[FME_ID],FME_Input[CRITFAC100])</f>
        <v>14</v>
      </c>
      <c r="S849" s="230">
        <f>(FME_Ranking1[[#This Row],[Critical Facilities Raw]]/$R$2)*100</f>
        <v>0.60034305317324177</v>
      </c>
      <c r="T849" s="180">
        <f>FME_Ranking1[[#This Row],[Critical Facilities Score (Normalized, Unweighted)]]*$R$3</f>
        <v>0.12006861063464835</v>
      </c>
      <c r="U849">
        <f>_xlfn.XLOOKUP(FME_Ranking1[[#This Row],[FME ID]],FME_Input[FME_ID],FME_Input[LWC])</f>
        <v>0</v>
      </c>
      <c r="V849" s="178">
        <f>(FME_Ranking1[[#This Row],[LWC Raw]]/$U$2)*100</f>
        <v>0</v>
      </c>
      <c r="W849" s="178">
        <f>FME_Ranking1[[#This Row],[LWC Score (Normalized, Unweighted)]]*$U$3</f>
        <v>0</v>
      </c>
      <c r="X849" s="246">
        <f>_xlfn.XLOOKUP(FME_Ranking1[[#This Row],[FME ID]],FME_Input[FME_ID],FME_Input[ROADCLS])</f>
        <v>0</v>
      </c>
      <c r="Y849" s="230">
        <f>(FME_Ranking1[[#This Row],[Closures Raw]]/$X$2)*100</f>
        <v>0</v>
      </c>
      <c r="Z849" s="180">
        <f>FME_Ranking1[[#This Row],[Closures Score (Normalized, Unweighted)]]*$X$3</f>
        <v>0</v>
      </c>
      <c r="AA849" s="253">
        <f>_xlfn.XLOOKUP(FME_Ranking1[[#This Row],[FME ID]],FME_Input[FME_ID],FME_Input[ROAD_MILES100])</f>
        <v>5.8883070945739746</v>
      </c>
      <c r="AB849" s="178">
        <f>(FME_Ranking1[[#This Row],[Miles Raw]]/$AA$2)*100</f>
        <v>7.742067711906811E-2</v>
      </c>
      <c r="AC849" s="178">
        <f>FME_Ranking1[[#This Row],[Miles Score (Normalized, Unweighted)]]*$AA$3</f>
        <v>7.7420677119068113E-3</v>
      </c>
      <c r="AD849" s="255">
        <f>_xlfn.XLOOKUP(FME_Ranking1[[#This Row],[FME ID]],FME_Input[FME_ID],FME_Input[FARMACRE100])</f>
        <v>788.032470703125</v>
      </c>
      <c r="AE849" s="230">
        <f>(FME_Ranking1[[#This Row],[Ag Land Raw]]/$AD$2)*100</f>
        <v>3.2494931461534371E-2</v>
      </c>
      <c r="AF849" s="231">
        <f>FME_Ranking1[[#This Row],[Ag Land Score (Normalized, Unweighted)]]*$AD$3</f>
        <v>1.6247465730767187E-3</v>
      </c>
      <c r="AG84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0.14435620367088853</v>
      </c>
      <c r="AH849" s="406">
        <f t="shared" si="13"/>
        <v>914</v>
      </c>
      <c r="AI84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0.14435620367088853</v>
      </c>
      <c r="AJ849" s="257">
        <f>FME_Ranking1[[#This Row],[Addition check]]-FME_Ranking1[[#This Row],[Weighted Score Based on Normalized Reported Factors]]</f>
        <v>0</v>
      </c>
      <c r="AK849" s="178">
        <f>_xlfn.RANK.EQ(AI849,$AI$6:$AI$2341,0)+COUNTIF($AI$6:AI849,AI849)-1</f>
        <v>914</v>
      </c>
    </row>
    <row r="850" spans="1:37" x14ac:dyDescent="0.25">
      <c r="A850" t="s">
        <v>6938</v>
      </c>
      <c r="B850">
        <f>_xlfn.XLOOKUP(FME_Ranking1[[#This Row],[FME ID]],FME_Input[FME_ID],FME_Input[RFPG_NUM])</f>
        <v>7</v>
      </c>
      <c r="C850" t="str">
        <f>_xlfn.XLOOKUP(FME_Ranking1[[#This Row],[FME ID]],FME_Input[FME_ID],FME_Input[FME_NAME])</f>
        <v>City of Munday DMP</v>
      </c>
      <c r="D850" t="str">
        <f>_xlfn.XLOOKUP(FME_Ranking1[[#This Row],[FME ID]],FME_Input[FME_ID],FME_Input[DESCR])</f>
        <v>Evaluate city to identify future projects, analyze roads/stream crossing for emergency response vehicles to high hazard areas</v>
      </c>
      <c r="E850" s="256">
        <f>_xlfn.XLOOKUP(FME_Ranking1[[#This Row],[FME ID]],FME_Input[FME_ID],FME_Input[FME_COST])</f>
        <v>250000</v>
      </c>
      <c r="F850" t="str">
        <f>_xlfn.XLOOKUP(FME_Ranking1[[#This Row],[FME ID]],FME_Input[FME_ID],FME_Input[EMER_NEED])</f>
        <v>No</v>
      </c>
      <c r="G850">
        <f>IF(FME_Ranking!F850="Yes",100,0)</f>
        <v>0</v>
      </c>
      <c r="H850">
        <f>FME_Ranking1[[#This Row],[Emergency Need Score (Normalized, Unweighted)]]*$F$3</f>
        <v>0</v>
      </c>
      <c r="I850" s="246">
        <f>_xlfn.XLOOKUP(FME_Ranking1[[#This Row],[FME ID]],FME_Input[FME_ID],FME_Input[STRUCT_100])</f>
        <v>690</v>
      </c>
      <c r="J850" s="178">
        <f>(FME_Ranking1[[#This Row],[Structures 100 Raw]]/I$2)*100</f>
        <v>0.36948978280426681</v>
      </c>
      <c r="K850" s="178">
        <f>FME_Ranking1[[#This Row],[Structures 100  Score (Normalized, Unweighted)]]*$I$3</f>
        <v>5.542346742064002E-2</v>
      </c>
      <c r="L850" s="246">
        <f>_xlfn.XLOOKUP(FME_Ranking1[[#This Row],[FME ID]],FME_Input[FME_ID],FME_Input[RES_STRUCT100])</f>
        <v>417</v>
      </c>
      <c r="M850" s="230">
        <f>(FME_Ranking1[[#This Row],[Res Structures Raw]]/L$2)*100</f>
        <v>0.29536343159892903</v>
      </c>
      <c r="N850" s="180">
        <f>FME_Ranking1[[#This Row],[Res Structures Score (Normalized, Unweighted)]]*$L$3</f>
        <v>2.9536343159892904E-2</v>
      </c>
      <c r="O850" s="244">
        <f>_xlfn.XLOOKUP(FME_Ranking1[[#This Row],[FME ID]],FME_Input[FME_ID],FME_Input[POP100])</f>
        <v>1065</v>
      </c>
      <c r="P850" s="178">
        <f>(FME_Ranking1[[#This Row],[Pop Raw]]/$O$2)*100</f>
        <v>0.1090297072680329</v>
      </c>
      <c r="Q850" s="178">
        <f>FME_Ranking1[[#This Row],[Pop Score (Normalized, Unweighted)]]*$O$3</f>
        <v>1.6354456090204934E-2</v>
      </c>
      <c r="R850" s="137">
        <f>_xlfn.XLOOKUP(FME_Ranking1[[#This Row],[FME ID]],FME_Input[FME_ID],FME_Input[CRITFAC100])</f>
        <v>4</v>
      </c>
      <c r="S850" s="230">
        <f>(FME_Ranking1[[#This Row],[Critical Facilities Raw]]/$R$2)*100</f>
        <v>0.17152658662092624</v>
      </c>
      <c r="T850" s="180">
        <f>FME_Ranking1[[#This Row],[Critical Facilities Score (Normalized, Unweighted)]]*$R$3</f>
        <v>3.430531732418525E-2</v>
      </c>
      <c r="U850">
        <f>_xlfn.XLOOKUP(FME_Ranking1[[#This Row],[FME ID]],FME_Input[FME_ID],FME_Input[LWC])</f>
        <v>0</v>
      </c>
      <c r="V850" s="178">
        <f>(FME_Ranking1[[#This Row],[LWC Raw]]/$U$2)*100</f>
        <v>0</v>
      </c>
      <c r="W850" s="178">
        <f>FME_Ranking1[[#This Row],[LWC Score (Normalized, Unweighted)]]*$U$3</f>
        <v>0</v>
      </c>
      <c r="X850" s="246">
        <f>_xlfn.XLOOKUP(FME_Ranking1[[#This Row],[FME ID]],FME_Input[FME_ID],FME_Input[ROADCLS])</f>
        <v>0</v>
      </c>
      <c r="Y850" s="230">
        <f>(FME_Ranking1[[#This Row],[Closures Raw]]/$X$2)*100</f>
        <v>0</v>
      </c>
      <c r="Z850" s="180">
        <f>FME_Ranking1[[#This Row],[Closures Score (Normalized, Unweighted)]]*$X$3</f>
        <v>0</v>
      </c>
      <c r="AA850" s="253">
        <f>_xlfn.XLOOKUP(FME_Ranking1[[#This Row],[FME ID]],FME_Input[FME_ID],FME_Input[ROAD_MILES100])</f>
        <v>19.823005676269531</v>
      </c>
      <c r="AB850" s="178">
        <f>(FME_Ranking1[[#This Row],[Miles Raw]]/$AA$2)*100</f>
        <v>0.26063697041313294</v>
      </c>
      <c r="AC850" s="178">
        <f>FME_Ranking1[[#This Row],[Miles Score (Normalized, Unweighted)]]*$AA$3</f>
        <v>2.6063697041313297E-2</v>
      </c>
      <c r="AD850" s="255">
        <f>_xlfn.XLOOKUP(FME_Ranking1[[#This Row],[FME ID]],FME_Input[FME_ID],FME_Input[FARMACRE100])</f>
        <v>182.70198059082031</v>
      </c>
      <c r="AE850" s="230">
        <f>(FME_Ranking1[[#This Row],[Ag Land Raw]]/$AD$2)*100</f>
        <v>7.533811813475246E-3</v>
      </c>
      <c r="AF850" s="231">
        <f>FME_Ranking1[[#This Row],[Ag Land Score (Normalized, Unweighted)]]*$AD$3</f>
        <v>3.7669059067376234E-4</v>
      </c>
      <c r="AG85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0.16205997162691019</v>
      </c>
      <c r="AH850" s="406">
        <f t="shared" si="13"/>
        <v>871</v>
      </c>
      <c r="AI85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0.16205997162691019</v>
      </c>
      <c r="AJ850" s="257">
        <f>FME_Ranking1[[#This Row],[Addition check]]-FME_Ranking1[[#This Row],[Weighted Score Based on Normalized Reported Factors]]</f>
        <v>0</v>
      </c>
      <c r="AK850" s="178">
        <f>_xlfn.RANK.EQ(AI850,$AI$6:$AI$2341,0)+COUNTIF($AI$6:AI850,AI850)-1</f>
        <v>871</v>
      </c>
    </row>
    <row r="851" spans="1:37" x14ac:dyDescent="0.25">
      <c r="A851" t="s">
        <v>7335</v>
      </c>
      <c r="B851">
        <f>_xlfn.XLOOKUP(FME_Ranking1[[#This Row],[FME ID]],FME_Input[FME_ID],FME_Input[RFPG_NUM])</f>
        <v>7</v>
      </c>
      <c r="C851" t="str">
        <f>_xlfn.XLOOKUP(FME_Ranking1[[#This Row],[FME ID]],FME_Input[FME_ID],FME_Input[FME_NAME])</f>
        <v>City of Munday Flood Protection Lift Station Program</v>
      </c>
      <c r="D851" t="str">
        <f>_xlfn.XLOOKUP(FME_Ranking1[[#This Row],[FME ID]],FME_Input[FME_ID],FME_Input[DESCR])</f>
        <v>Raise electrical components of sewage lift stations above the Base Flood Elevation (BFE).</v>
      </c>
      <c r="E851" s="256">
        <f>_xlfn.XLOOKUP(FME_Ranking1[[#This Row],[FME ID]],FME_Input[FME_ID],FME_Input[FME_COST])</f>
        <v>100000</v>
      </c>
      <c r="F851" t="str">
        <f>_xlfn.XLOOKUP(FME_Ranking1[[#This Row],[FME ID]],FME_Input[FME_ID],FME_Input[EMER_NEED])</f>
        <v>No</v>
      </c>
      <c r="G851">
        <f>IF(FME_Ranking!F851="Yes",100,0)</f>
        <v>0</v>
      </c>
      <c r="H851">
        <f>FME_Ranking1[[#This Row],[Emergency Need Score (Normalized, Unweighted)]]*$F$3</f>
        <v>0</v>
      </c>
      <c r="I851" s="246">
        <f>_xlfn.XLOOKUP(FME_Ranking1[[#This Row],[FME ID]],FME_Input[FME_ID],FME_Input[STRUCT_100])</f>
        <v>690</v>
      </c>
      <c r="J851" s="178">
        <f>(FME_Ranking1[[#This Row],[Structures 100 Raw]]/I$2)*100</f>
        <v>0.36948978280426681</v>
      </c>
      <c r="K851" s="178">
        <f>FME_Ranking1[[#This Row],[Structures 100  Score (Normalized, Unweighted)]]*$I$3</f>
        <v>5.542346742064002E-2</v>
      </c>
      <c r="L851" s="246">
        <f>_xlfn.XLOOKUP(FME_Ranking1[[#This Row],[FME ID]],FME_Input[FME_ID],FME_Input[RES_STRUCT100])</f>
        <v>417</v>
      </c>
      <c r="M851" s="230">
        <f>(FME_Ranking1[[#This Row],[Res Structures Raw]]/L$2)*100</f>
        <v>0.29536343159892903</v>
      </c>
      <c r="N851" s="180">
        <f>FME_Ranking1[[#This Row],[Res Structures Score (Normalized, Unweighted)]]*$L$3</f>
        <v>2.9536343159892904E-2</v>
      </c>
      <c r="O851" s="244">
        <f>_xlfn.XLOOKUP(FME_Ranking1[[#This Row],[FME ID]],FME_Input[FME_ID],FME_Input[POP100])</f>
        <v>1065</v>
      </c>
      <c r="P851" s="178">
        <f>(FME_Ranking1[[#This Row],[Pop Raw]]/$O$2)*100</f>
        <v>0.1090297072680329</v>
      </c>
      <c r="Q851" s="178">
        <f>FME_Ranking1[[#This Row],[Pop Score (Normalized, Unweighted)]]*$O$3</f>
        <v>1.6354456090204934E-2</v>
      </c>
      <c r="R851" s="137">
        <f>_xlfn.XLOOKUP(FME_Ranking1[[#This Row],[FME ID]],FME_Input[FME_ID],FME_Input[CRITFAC100])</f>
        <v>4</v>
      </c>
      <c r="S851" s="230">
        <f>(FME_Ranking1[[#This Row],[Critical Facilities Raw]]/$R$2)*100</f>
        <v>0.17152658662092624</v>
      </c>
      <c r="T851" s="180">
        <f>FME_Ranking1[[#This Row],[Critical Facilities Score (Normalized, Unweighted)]]*$R$3</f>
        <v>3.430531732418525E-2</v>
      </c>
      <c r="U851">
        <f>_xlfn.XLOOKUP(FME_Ranking1[[#This Row],[FME ID]],FME_Input[FME_ID],FME_Input[LWC])</f>
        <v>0</v>
      </c>
      <c r="V851" s="178">
        <f>(FME_Ranking1[[#This Row],[LWC Raw]]/$U$2)*100</f>
        <v>0</v>
      </c>
      <c r="W851" s="178">
        <f>FME_Ranking1[[#This Row],[LWC Score (Normalized, Unweighted)]]*$U$3</f>
        <v>0</v>
      </c>
      <c r="X851" s="246">
        <f>_xlfn.XLOOKUP(FME_Ranking1[[#This Row],[FME ID]],FME_Input[FME_ID],FME_Input[ROADCLS])</f>
        <v>0</v>
      </c>
      <c r="Y851" s="230">
        <f>(FME_Ranking1[[#This Row],[Closures Raw]]/$X$2)*100</f>
        <v>0</v>
      </c>
      <c r="Z851" s="180">
        <f>FME_Ranking1[[#This Row],[Closures Score (Normalized, Unweighted)]]*$X$3</f>
        <v>0</v>
      </c>
      <c r="AA851" s="253">
        <f>_xlfn.XLOOKUP(FME_Ranking1[[#This Row],[FME ID]],FME_Input[FME_ID],FME_Input[ROAD_MILES100])</f>
        <v>19.823005676269531</v>
      </c>
      <c r="AB851" s="178">
        <f>(FME_Ranking1[[#This Row],[Miles Raw]]/$AA$2)*100</f>
        <v>0.26063697041313294</v>
      </c>
      <c r="AC851" s="178">
        <f>FME_Ranking1[[#This Row],[Miles Score (Normalized, Unweighted)]]*$AA$3</f>
        <v>2.6063697041313297E-2</v>
      </c>
      <c r="AD851" s="255">
        <f>_xlfn.XLOOKUP(FME_Ranking1[[#This Row],[FME ID]],FME_Input[FME_ID],FME_Input[FARMACRE100])</f>
        <v>182.70198059082031</v>
      </c>
      <c r="AE851" s="230">
        <f>(FME_Ranking1[[#This Row],[Ag Land Raw]]/$AD$2)*100</f>
        <v>7.533811813475246E-3</v>
      </c>
      <c r="AF851" s="231">
        <f>FME_Ranking1[[#This Row],[Ag Land Score (Normalized, Unweighted)]]*$AD$3</f>
        <v>3.7669059067376234E-4</v>
      </c>
      <c r="AG85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0.16205997162691019</v>
      </c>
      <c r="AH851" s="406">
        <f t="shared" si="13"/>
        <v>871</v>
      </c>
      <c r="AI85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0.16205997162691019</v>
      </c>
      <c r="AJ851" s="257">
        <f>FME_Ranking1[[#This Row],[Addition check]]-FME_Ranking1[[#This Row],[Weighted Score Based on Normalized Reported Factors]]</f>
        <v>0</v>
      </c>
      <c r="AK851" s="178">
        <f>_xlfn.RANK.EQ(AI851,$AI$6:$AI$2341,0)+COUNTIF($AI$6:AI851,AI851)-1</f>
        <v>872</v>
      </c>
    </row>
    <row r="852" spans="1:37" x14ac:dyDescent="0.25">
      <c r="A852" t="s">
        <v>8191</v>
      </c>
      <c r="B852">
        <f>_xlfn.XLOOKUP(FME_Ranking1[[#This Row],[FME ID]],FME_Input[FME_ID],FME_Input[RFPG_NUM])</f>
        <v>9</v>
      </c>
      <c r="C852" t="str">
        <f>_xlfn.XLOOKUP(FME_Ranking1[[#This Row],[FME ID]],FME_Input[FME_ID],FME_Input[FME_NAME])</f>
        <v>Irion County FEMA Mapping</v>
      </c>
      <c r="D852" t="str">
        <f>_xlfn.XLOOKUP(FME_Ranking1[[#This Row],[FME ID]],FME_Input[FME_ID],FME_Input[DESCR])</f>
        <v>Create FEMA Mapping in previously unmapped areas</v>
      </c>
      <c r="E852" s="256">
        <f>_xlfn.XLOOKUP(FME_Ranking1[[#This Row],[FME ID]],FME_Input[FME_ID],FME_Input[FME_COST])</f>
        <v>962000</v>
      </c>
      <c r="F852" t="str">
        <f>_xlfn.XLOOKUP(FME_Ranking1[[#This Row],[FME ID]],FME_Input[FME_ID],FME_Input[EMER_NEED])</f>
        <v>No</v>
      </c>
      <c r="G852">
        <f>IF(FME_Ranking!F852="Yes",100,0)</f>
        <v>0</v>
      </c>
      <c r="H852">
        <f>FME_Ranking1[[#This Row],[Emergency Need Score (Normalized, Unweighted)]]*$F$3</f>
        <v>0</v>
      </c>
      <c r="I852" s="246">
        <f>_xlfn.XLOOKUP(FME_Ranking1[[#This Row],[FME ID]],FME_Input[FME_ID],FME_Input[STRUCT_100])</f>
        <v>354</v>
      </c>
      <c r="J852" s="178">
        <f>(FME_Ranking1[[#This Row],[Structures 100 Raw]]/I$2)*100</f>
        <v>0.18956432335175427</v>
      </c>
      <c r="K852" s="178">
        <f>FME_Ranking1[[#This Row],[Structures 100  Score (Normalized, Unweighted)]]*$I$3</f>
        <v>2.843464850276314E-2</v>
      </c>
      <c r="L852" s="246">
        <f>_xlfn.XLOOKUP(FME_Ranking1[[#This Row],[FME ID]],FME_Input[FME_ID],FME_Input[RES_STRUCT100])</f>
        <v>104</v>
      </c>
      <c r="M852" s="230">
        <f>(FME_Ranking1[[#This Row],[Res Structures Raw]]/L$2)*100</f>
        <v>7.3663781501891179E-2</v>
      </c>
      <c r="N852" s="180">
        <f>FME_Ranking1[[#This Row],[Res Structures Score (Normalized, Unweighted)]]*$L$3</f>
        <v>7.3663781501891179E-3</v>
      </c>
      <c r="O852" s="244">
        <f>_xlfn.XLOOKUP(FME_Ranking1[[#This Row],[FME ID]],FME_Input[FME_ID],FME_Input[POP100])</f>
        <v>181</v>
      </c>
      <c r="P852" s="178">
        <f>(FME_Ranking1[[#This Row],[Pop Raw]]/$O$2)*100</f>
        <v>1.8529931469966156E-2</v>
      </c>
      <c r="Q852" s="178">
        <f>FME_Ranking1[[#This Row],[Pop Score (Normalized, Unweighted)]]*$O$3</f>
        <v>2.7794897204949233E-3</v>
      </c>
      <c r="R852" s="137">
        <f>_xlfn.XLOOKUP(FME_Ranking1[[#This Row],[FME ID]],FME_Input[FME_ID],FME_Input[CRITFAC100])</f>
        <v>0</v>
      </c>
      <c r="S852" s="230">
        <f>(FME_Ranking1[[#This Row],[Critical Facilities Raw]]/$R$2)*100</f>
        <v>0</v>
      </c>
      <c r="T852" s="180">
        <f>FME_Ranking1[[#This Row],[Critical Facilities Score (Normalized, Unweighted)]]*$R$3</f>
        <v>0</v>
      </c>
      <c r="U852">
        <f>_xlfn.XLOOKUP(FME_Ranking1[[#This Row],[FME ID]],FME_Input[FME_ID],FME_Input[LWC])</f>
        <v>8</v>
      </c>
      <c r="V852" s="178">
        <f>(FME_Ranking1[[#This Row],[LWC Raw]]/$U$2)*100</f>
        <v>0.46056419113413938</v>
      </c>
      <c r="W852" s="178">
        <f>FME_Ranking1[[#This Row],[LWC Score (Normalized, Unweighted)]]*$U$3</f>
        <v>9.2112838226827878E-2</v>
      </c>
      <c r="X852" s="246">
        <f>_xlfn.XLOOKUP(FME_Ranking1[[#This Row],[FME ID]],FME_Input[FME_ID],FME_Input[ROADCLS])</f>
        <v>0</v>
      </c>
      <c r="Y852" s="230">
        <f>(FME_Ranking1[[#This Row],[Closures Raw]]/$X$2)*100</f>
        <v>0</v>
      </c>
      <c r="Z852" s="180">
        <f>FME_Ranking1[[#This Row],[Closures Score (Normalized, Unweighted)]]*$X$3</f>
        <v>0</v>
      </c>
      <c r="AA852" s="253">
        <f>_xlfn.XLOOKUP(FME_Ranking1[[#This Row],[FME ID]],FME_Input[FME_ID],FME_Input[ROAD_MILES100])</f>
        <v>47.764579772949219</v>
      </c>
      <c r="AB852" s="178">
        <f>(FME_Ranking1[[#This Row],[Miles Raw]]/$AA$2)*100</f>
        <v>0.62801855421860009</v>
      </c>
      <c r="AC852" s="178">
        <f>FME_Ranking1[[#This Row],[Miles Score (Normalized, Unweighted)]]*$AA$3</f>
        <v>6.2801855421860009E-2</v>
      </c>
      <c r="AD852" s="255">
        <f>_xlfn.XLOOKUP(FME_Ranking1[[#This Row],[FME ID]],FME_Input[FME_ID],FME_Input[FARMACRE100])</f>
        <v>2460.403564453125</v>
      </c>
      <c r="AE852" s="230">
        <f>(FME_Ranking1[[#This Row],[Ag Land Raw]]/$AD$2)*100</f>
        <v>0.10145602899241307</v>
      </c>
      <c r="AF852" s="231">
        <f>FME_Ranking1[[#This Row],[Ag Land Score (Normalized, Unweighted)]]*$AD$3</f>
        <v>5.0728014496206541E-3</v>
      </c>
      <c r="AG85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0.19856801147175573</v>
      </c>
      <c r="AH852" s="406">
        <f t="shared" si="13"/>
        <v>796</v>
      </c>
      <c r="AI85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0.19856801147175573</v>
      </c>
      <c r="AJ852" s="257">
        <f>FME_Ranking1[[#This Row],[Addition check]]-FME_Ranking1[[#This Row],[Weighted Score Based on Normalized Reported Factors]]</f>
        <v>0</v>
      </c>
      <c r="AK852" s="178">
        <f>_xlfn.RANK.EQ(AI852,$AI$6:$AI$2341,0)+COUNTIF($AI$6:AI852,AI852)-1</f>
        <v>796</v>
      </c>
    </row>
    <row r="853" spans="1:37" x14ac:dyDescent="0.25">
      <c r="A853" t="s">
        <v>8292</v>
      </c>
      <c r="B853">
        <f>_xlfn.XLOOKUP(FME_Ranking1[[#This Row],[FME ID]],FME_Input[FME_ID],FME_Input[RFPG_NUM])</f>
        <v>9</v>
      </c>
      <c r="C853" t="str">
        <f>_xlfn.XLOOKUP(FME_Ranking1[[#This Row],[FME ID]],FME_Input[FME_ID],FME_Input[FME_NAME])</f>
        <v>Irion County DMP</v>
      </c>
      <c r="D853" t="str">
        <f>_xlfn.XLOOKUP(FME_Ranking1[[#This Row],[FME ID]],FME_Input[FME_ID],FME_Input[DESCR])</f>
        <v xml:space="preserve">Create Drainage Master Plan, including evaluation of potential mitigation projects. </v>
      </c>
      <c r="E853" s="256">
        <f>_xlfn.XLOOKUP(FME_Ranking1[[#This Row],[FME ID]],FME_Input[FME_ID],FME_Input[FME_COST])</f>
        <v>500000</v>
      </c>
      <c r="F853" t="str">
        <f>_xlfn.XLOOKUP(FME_Ranking1[[#This Row],[FME ID]],FME_Input[FME_ID],FME_Input[EMER_NEED])</f>
        <v>No</v>
      </c>
      <c r="G853">
        <f>IF(FME_Ranking!F853="Yes",100,0)</f>
        <v>0</v>
      </c>
      <c r="H853">
        <f>FME_Ranking1[[#This Row],[Emergency Need Score (Normalized, Unweighted)]]*$F$3</f>
        <v>0</v>
      </c>
      <c r="I853" s="246">
        <f>_xlfn.XLOOKUP(FME_Ranking1[[#This Row],[FME ID]],FME_Input[FME_ID],FME_Input[STRUCT_100])</f>
        <v>354</v>
      </c>
      <c r="J853" s="178">
        <f>(FME_Ranking1[[#This Row],[Structures 100 Raw]]/I$2)*100</f>
        <v>0.18956432335175427</v>
      </c>
      <c r="K853" s="178">
        <f>FME_Ranking1[[#This Row],[Structures 100  Score (Normalized, Unweighted)]]*$I$3</f>
        <v>2.843464850276314E-2</v>
      </c>
      <c r="L853" s="246">
        <f>_xlfn.XLOOKUP(FME_Ranking1[[#This Row],[FME ID]],FME_Input[FME_ID],FME_Input[RES_STRUCT100])</f>
        <v>104</v>
      </c>
      <c r="M853" s="230">
        <f>(FME_Ranking1[[#This Row],[Res Structures Raw]]/L$2)*100</f>
        <v>7.3663781501891179E-2</v>
      </c>
      <c r="N853" s="180">
        <f>FME_Ranking1[[#This Row],[Res Structures Score (Normalized, Unweighted)]]*$L$3</f>
        <v>7.3663781501891179E-3</v>
      </c>
      <c r="O853" s="244">
        <f>_xlfn.XLOOKUP(FME_Ranking1[[#This Row],[FME ID]],FME_Input[FME_ID],FME_Input[POP100])</f>
        <v>181</v>
      </c>
      <c r="P853" s="178">
        <f>(FME_Ranking1[[#This Row],[Pop Raw]]/$O$2)*100</f>
        <v>1.8529931469966156E-2</v>
      </c>
      <c r="Q853" s="178">
        <f>FME_Ranking1[[#This Row],[Pop Score (Normalized, Unweighted)]]*$O$3</f>
        <v>2.7794897204949233E-3</v>
      </c>
      <c r="R853" s="137">
        <f>_xlfn.XLOOKUP(FME_Ranking1[[#This Row],[FME ID]],FME_Input[FME_ID],FME_Input[CRITFAC100])</f>
        <v>0</v>
      </c>
      <c r="S853" s="230">
        <f>(FME_Ranking1[[#This Row],[Critical Facilities Raw]]/$R$2)*100</f>
        <v>0</v>
      </c>
      <c r="T853" s="180">
        <f>FME_Ranking1[[#This Row],[Critical Facilities Score (Normalized, Unweighted)]]*$R$3</f>
        <v>0</v>
      </c>
      <c r="U853">
        <f>_xlfn.XLOOKUP(FME_Ranking1[[#This Row],[FME ID]],FME_Input[FME_ID],FME_Input[LWC])</f>
        <v>8</v>
      </c>
      <c r="V853" s="178">
        <f>(FME_Ranking1[[#This Row],[LWC Raw]]/$U$2)*100</f>
        <v>0.46056419113413938</v>
      </c>
      <c r="W853" s="178">
        <f>FME_Ranking1[[#This Row],[LWC Score (Normalized, Unweighted)]]*$U$3</f>
        <v>9.2112838226827878E-2</v>
      </c>
      <c r="X853" s="246">
        <f>_xlfn.XLOOKUP(FME_Ranking1[[#This Row],[FME ID]],FME_Input[FME_ID],FME_Input[ROADCLS])</f>
        <v>0</v>
      </c>
      <c r="Y853" s="230">
        <f>(FME_Ranking1[[#This Row],[Closures Raw]]/$X$2)*100</f>
        <v>0</v>
      </c>
      <c r="Z853" s="180">
        <f>FME_Ranking1[[#This Row],[Closures Score (Normalized, Unweighted)]]*$X$3</f>
        <v>0</v>
      </c>
      <c r="AA853" s="253">
        <f>_xlfn.XLOOKUP(FME_Ranking1[[#This Row],[FME ID]],FME_Input[FME_ID],FME_Input[ROAD_MILES100])</f>
        <v>47.764579772949219</v>
      </c>
      <c r="AB853" s="178">
        <f>(FME_Ranking1[[#This Row],[Miles Raw]]/$AA$2)*100</f>
        <v>0.62801855421860009</v>
      </c>
      <c r="AC853" s="178">
        <f>FME_Ranking1[[#This Row],[Miles Score (Normalized, Unweighted)]]*$AA$3</f>
        <v>6.2801855421860009E-2</v>
      </c>
      <c r="AD853" s="255">
        <f>_xlfn.XLOOKUP(FME_Ranking1[[#This Row],[FME ID]],FME_Input[FME_ID],FME_Input[FARMACRE100])</f>
        <v>2460.403564453125</v>
      </c>
      <c r="AE853" s="230">
        <f>(FME_Ranking1[[#This Row],[Ag Land Raw]]/$AD$2)*100</f>
        <v>0.10145602899241307</v>
      </c>
      <c r="AF853" s="231">
        <f>FME_Ranking1[[#This Row],[Ag Land Score (Normalized, Unweighted)]]*$AD$3</f>
        <v>5.0728014496206541E-3</v>
      </c>
      <c r="AG85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0.19856801147175573</v>
      </c>
      <c r="AH853" s="406">
        <f t="shared" si="13"/>
        <v>796</v>
      </c>
      <c r="AI85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0.19856801147175573</v>
      </c>
      <c r="AJ853" s="257">
        <f>FME_Ranking1[[#This Row],[Addition check]]-FME_Ranking1[[#This Row],[Weighted Score Based on Normalized Reported Factors]]</f>
        <v>0</v>
      </c>
      <c r="AK853" s="178">
        <f>_xlfn.RANK.EQ(AI853,$AI$6:$AI$2341,0)+COUNTIF($AI$6:AI853,AI853)-1</f>
        <v>797</v>
      </c>
    </row>
    <row r="854" spans="1:37" x14ac:dyDescent="0.25">
      <c r="A854" t="s">
        <v>8296</v>
      </c>
      <c r="B854">
        <f>_xlfn.XLOOKUP(FME_Ranking1[[#This Row],[FME ID]],FME_Input[FME_ID],FME_Input[RFPG_NUM])</f>
        <v>9</v>
      </c>
      <c r="C854" t="str">
        <f>_xlfn.XLOOKUP(FME_Ranking1[[#This Row],[FME ID]],FME_Input[FME_ID],FME_Input[FME_NAME])</f>
        <v>Irion County GIS Development</v>
      </c>
      <c r="D854" t="str">
        <f>_xlfn.XLOOKUP(FME_Ranking1[[#This Row],[FME ID]],FME_Input[FME_ID],FME_Input[DESCR])</f>
        <v>Develop a GIS inventory of stormwater infrastructure</v>
      </c>
      <c r="E854" s="256">
        <f>_xlfn.XLOOKUP(FME_Ranking1[[#This Row],[FME ID]],FME_Input[FME_ID],FME_Input[FME_COST])</f>
        <v>100000</v>
      </c>
      <c r="F854" t="str">
        <f>_xlfn.XLOOKUP(FME_Ranking1[[#This Row],[FME ID]],FME_Input[FME_ID],FME_Input[EMER_NEED])</f>
        <v>No</v>
      </c>
      <c r="G854">
        <f>IF(FME_Ranking!F854="Yes",100,0)</f>
        <v>0</v>
      </c>
      <c r="H854">
        <f>FME_Ranking1[[#This Row],[Emergency Need Score (Normalized, Unweighted)]]*$F$3</f>
        <v>0</v>
      </c>
      <c r="I854" s="246">
        <f>_xlfn.XLOOKUP(FME_Ranking1[[#This Row],[FME ID]],FME_Input[FME_ID],FME_Input[STRUCT_100])</f>
        <v>354</v>
      </c>
      <c r="J854" s="178">
        <f>(FME_Ranking1[[#This Row],[Structures 100 Raw]]/I$2)*100</f>
        <v>0.18956432335175427</v>
      </c>
      <c r="K854" s="178">
        <f>FME_Ranking1[[#This Row],[Structures 100  Score (Normalized, Unweighted)]]*$I$3</f>
        <v>2.843464850276314E-2</v>
      </c>
      <c r="L854" s="246">
        <f>_xlfn.XLOOKUP(FME_Ranking1[[#This Row],[FME ID]],FME_Input[FME_ID],FME_Input[RES_STRUCT100])</f>
        <v>104</v>
      </c>
      <c r="M854" s="230">
        <f>(FME_Ranking1[[#This Row],[Res Structures Raw]]/L$2)*100</f>
        <v>7.3663781501891179E-2</v>
      </c>
      <c r="N854" s="180">
        <f>FME_Ranking1[[#This Row],[Res Structures Score (Normalized, Unweighted)]]*$L$3</f>
        <v>7.3663781501891179E-3</v>
      </c>
      <c r="O854" s="244">
        <f>_xlfn.XLOOKUP(FME_Ranking1[[#This Row],[FME ID]],FME_Input[FME_ID],FME_Input[POP100])</f>
        <v>181</v>
      </c>
      <c r="P854" s="178">
        <f>(FME_Ranking1[[#This Row],[Pop Raw]]/$O$2)*100</f>
        <v>1.8529931469966156E-2</v>
      </c>
      <c r="Q854" s="178">
        <f>FME_Ranking1[[#This Row],[Pop Score (Normalized, Unweighted)]]*$O$3</f>
        <v>2.7794897204949233E-3</v>
      </c>
      <c r="R854" s="137">
        <f>_xlfn.XLOOKUP(FME_Ranking1[[#This Row],[FME ID]],FME_Input[FME_ID],FME_Input[CRITFAC100])</f>
        <v>0</v>
      </c>
      <c r="S854" s="230">
        <f>(FME_Ranking1[[#This Row],[Critical Facilities Raw]]/$R$2)*100</f>
        <v>0</v>
      </c>
      <c r="T854" s="180">
        <f>FME_Ranking1[[#This Row],[Critical Facilities Score (Normalized, Unweighted)]]*$R$3</f>
        <v>0</v>
      </c>
      <c r="U854">
        <f>_xlfn.XLOOKUP(FME_Ranking1[[#This Row],[FME ID]],FME_Input[FME_ID],FME_Input[LWC])</f>
        <v>8</v>
      </c>
      <c r="V854" s="178">
        <f>(FME_Ranking1[[#This Row],[LWC Raw]]/$U$2)*100</f>
        <v>0.46056419113413938</v>
      </c>
      <c r="W854" s="178">
        <f>FME_Ranking1[[#This Row],[LWC Score (Normalized, Unweighted)]]*$U$3</f>
        <v>9.2112838226827878E-2</v>
      </c>
      <c r="X854" s="246">
        <f>_xlfn.XLOOKUP(FME_Ranking1[[#This Row],[FME ID]],FME_Input[FME_ID],FME_Input[ROADCLS])</f>
        <v>0</v>
      </c>
      <c r="Y854" s="230">
        <f>(FME_Ranking1[[#This Row],[Closures Raw]]/$X$2)*100</f>
        <v>0</v>
      </c>
      <c r="Z854" s="180">
        <f>FME_Ranking1[[#This Row],[Closures Score (Normalized, Unweighted)]]*$X$3</f>
        <v>0</v>
      </c>
      <c r="AA854" s="253">
        <f>_xlfn.XLOOKUP(FME_Ranking1[[#This Row],[FME ID]],FME_Input[FME_ID],FME_Input[ROAD_MILES100])</f>
        <v>47.764579772949219</v>
      </c>
      <c r="AB854" s="178">
        <f>(FME_Ranking1[[#This Row],[Miles Raw]]/$AA$2)*100</f>
        <v>0.62801855421860009</v>
      </c>
      <c r="AC854" s="178">
        <f>FME_Ranking1[[#This Row],[Miles Score (Normalized, Unweighted)]]*$AA$3</f>
        <v>6.2801855421860009E-2</v>
      </c>
      <c r="AD854" s="255">
        <f>_xlfn.XLOOKUP(FME_Ranking1[[#This Row],[FME ID]],FME_Input[FME_ID],FME_Input[FARMACRE100])</f>
        <v>2460.403564453125</v>
      </c>
      <c r="AE854" s="230">
        <f>(FME_Ranking1[[#This Row],[Ag Land Raw]]/$AD$2)*100</f>
        <v>0.10145602899241307</v>
      </c>
      <c r="AF854" s="231">
        <f>FME_Ranking1[[#This Row],[Ag Land Score (Normalized, Unweighted)]]*$AD$3</f>
        <v>5.0728014496206541E-3</v>
      </c>
      <c r="AG85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0.19856801147175573</v>
      </c>
      <c r="AH854" s="406">
        <f t="shared" si="13"/>
        <v>796</v>
      </c>
      <c r="AI85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0.19856801147175573</v>
      </c>
      <c r="AJ854" s="257">
        <f>FME_Ranking1[[#This Row],[Addition check]]-FME_Ranking1[[#This Row],[Weighted Score Based on Normalized Reported Factors]]</f>
        <v>0</v>
      </c>
      <c r="AK854" s="178">
        <f>_xlfn.RANK.EQ(AI854,$AI$6:$AI$2341,0)+COUNTIF($AI$6:AI854,AI854)-1</f>
        <v>798</v>
      </c>
    </row>
    <row r="855" spans="1:37" x14ac:dyDescent="0.25">
      <c r="A855" t="s">
        <v>6498</v>
      </c>
      <c r="B855">
        <f>_xlfn.XLOOKUP(FME_Ranking1[[#This Row],[FME ID]],FME_Input[FME_ID],FME_Input[RFPG_NUM])</f>
        <v>7</v>
      </c>
      <c r="C855" t="str">
        <f>_xlfn.XLOOKUP(FME_Ranking1[[#This Row],[FME ID]],FME_Input[FME_ID],FME_Input[FME_NAME])</f>
        <v>Shackelford County Update FEMA Mapping</v>
      </c>
      <c r="D855" t="str">
        <f>_xlfn.XLOOKUP(FME_Ranking1[[#This Row],[FME ID]],FME_Input[FME_ID],FME_Input[DESCR])</f>
        <v>Update existing FEMA mapping</v>
      </c>
      <c r="E855" s="256">
        <f>_xlfn.XLOOKUP(FME_Ranking1[[#This Row],[FME ID]],FME_Input[FME_ID],FME_Input[FME_COST])</f>
        <v>932000</v>
      </c>
      <c r="F855" t="str">
        <f>_xlfn.XLOOKUP(FME_Ranking1[[#This Row],[FME ID]],FME_Input[FME_ID],FME_Input[EMER_NEED])</f>
        <v>No</v>
      </c>
      <c r="G855">
        <f>IF(FME_Ranking!F855="Yes",100,0)</f>
        <v>0</v>
      </c>
      <c r="H855">
        <f>FME_Ranking1[[#This Row],[Emergency Need Score (Normalized, Unweighted)]]*$F$3</f>
        <v>0</v>
      </c>
      <c r="I855" s="246">
        <f>_xlfn.XLOOKUP(FME_Ranking1[[#This Row],[FME ID]],FME_Input[FME_ID],FME_Input[STRUCT_100])</f>
        <v>347</v>
      </c>
      <c r="J855" s="178">
        <f>(FME_Ranking1[[#This Row],[Structures 100 Raw]]/I$2)*100</f>
        <v>0.18581587627982693</v>
      </c>
      <c r="K855" s="178">
        <f>FME_Ranking1[[#This Row],[Structures 100  Score (Normalized, Unweighted)]]*$I$3</f>
        <v>2.7872381441974039E-2</v>
      </c>
      <c r="L855" s="246">
        <f>_xlfn.XLOOKUP(FME_Ranking1[[#This Row],[FME ID]],FME_Input[FME_ID],FME_Input[RES_STRUCT100])</f>
        <v>134</v>
      </c>
      <c r="M855" s="230">
        <f>(FME_Ranking1[[#This Row],[Res Structures Raw]]/L$2)*100</f>
        <v>9.4912949242821329E-2</v>
      </c>
      <c r="N855" s="180">
        <f>FME_Ranking1[[#This Row],[Res Structures Score (Normalized, Unweighted)]]*$L$3</f>
        <v>9.4912949242821343E-3</v>
      </c>
      <c r="O855" s="244">
        <f>_xlfn.XLOOKUP(FME_Ranking1[[#This Row],[FME ID]],FME_Input[FME_ID],FME_Input[POP100])</f>
        <v>178</v>
      </c>
      <c r="P855" s="178">
        <f>(FME_Ranking1[[#This Row],[Pop Raw]]/$O$2)*100</f>
        <v>1.8222805533999867E-2</v>
      </c>
      <c r="Q855" s="178">
        <f>FME_Ranking1[[#This Row],[Pop Score (Normalized, Unweighted)]]*$O$3</f>
        <v>2.7334208300999799E-3</v>
      </c>
      <c r="R855" s="137">
        <f>_xlfn.XLOOKUP(FME_Ranking1[[#This Row],[FME ID]],FME_Input[FME_ID],FME_Input[CRITFAC100])</f>
        <v>0</v>
      </c>
      <c r="S855" s="230">
        <f>(FME_Ranking1[[#This Row],[Critical Facilities Raw]]/$R$2)*100</f>
        <v>0</v>
      </c>
      <c r="T855" s="180">
        <f>FME_Ranking1[[#This Row],[Critical Facilities Score (Normalized, Unweighted)]]*$R$3</f>
        <v>0</v>
      </c>
      <c r="U855">
        <f>_xlfn.XLOOKUP(FME_Ranking1[[#This Row],[FME ID]],FME_Input[FME_ID],FME_Input[LWC])</f>
        <v>4</v>
      </c>
      <c r="V855" s="178">
        <f>(FME_Ranking1[[#This Row],[LWC Raw]]/$U$2)*100</f>
        <v>0.23028209556706969</v>
      </c>
      <c r="W855" s="178">
        <f>FME_Ranking1[[#This Row],[LWC Score (Normalized, Unweighted)]]*$U$3</f>
        <v>4.6056419113413939E-2</v>
      </c>
      <c r="X855" s="246">
        <f>_xlfn.XLOOKUP(FME_Ranking1[[#This Row],[FME ID]],FME_Input[FME_ID],FME_Input[ROADCLS])</f>
        <v>0</v>
      </c>
      <c r="Y855" s="230">
        <f>(FME_Ranking1[[#This Row],[Closures Raw]]/$X$2)*100</f>
        <v>0</v>
      </c>
      <c r="Z855" s="180">
        <f>FME_Ranking1[[#This Row],[Closures Score (Normalized, Unweighted)]]*$X$3</f>
        <v>0</v>
      </c>
      <c r="AA855" s="253">
        <f>_xlfn.XLOOKUP(FME_Ranking1[[#This Row],[FME ID]],FME_Input[FME_ID],FME_Input[ROAD_MILES100])</f>
        <v>43.328845977783203</v>
      </c>
      <c r="AB855" s="178">
        <f>(FME_Ranking1[[#This Row],[Miles Raw]]/$AA$2)*100</f>
        <v>0.56969661067422495</v>
      </c>
      <c r="AC855" s="178">
        <f>FME_Ranking1[[#This Row],[Miles Score (Normalized, Unweighted)]]*$AA$3</f>
        <v>5.6969661067422496E-2</v>
      </c>
      <c r="AD855" s="255">
        <f>_xlfn.XLOOKUP(FME_Ranking1[[#This Row],[FME ID]],FME_Input[FME_ID],FME_Input[FARMACRE100])</f>
        <v>23798.978515625</v>
      </c>
      <c r="AE855" s="230">
        <f>(FME_Ranking1[[#This Row],[Ag Land Raw]]/$AD$2)*100</f>
        <v>0.98136333776924467</v>
      </c>
      <c r="AF855" s="231">
        <f>FME_Ranking1[[#This Row],[Ag Land Score (Normalized, Unweighted)]]*$AD$3</f>
        <v>4.9068166888462238E-2</v>
      </c>
      <c r="AG85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0.19219134426565485</v>
      </c>
      <c r="AH855" s="406">
        <f t="shared" si="13"/>
        <v>813</v>
      </c>
      <c r="AI85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0.19219134426565485</v>
      </c>
      <c r="AJ855" s="257">
        <f>FME_Ranking1[[#This Row],[Addition check]]-FME_Ranking1[[#This Row],[Weighted Score Based on Normalized Reported Factors]]</f>
        <v>0</v>
      </c>
      <c r="AK855" s="178">
        <f>_xlfn.RANK.EQ(AI855,$AI$6:$AI$2341,0)+COUNTIF($AI$6:AI855,AI855)-1</f>
        <v>813</v>
      </c>
    </row>
    <row r="856" spans="1:37" x14ac:dyDescent="0.25">
      <c r="A856" t="s">
        <v>6513</v>
      </c>
      <c r="B856">
        <f>_xlfn.XLOOKUP(FME_Ranking1[[#This Row],[FME ID]],FME_Input[FME_ID],FME_Input[RFPG_NUM])</f>
        <v>7</v>
      </c>
      <c r="C856" t="str">
        <f>_xlfn.XLOOKUP(FME_Ranking1[[#This Row],[FME ID]],FME_Input[FME_ID],FME_Input[FME_NAME])</f>
        <v>Shackelford County DMP</v>
      </c>
      <c r="D856" t="str">
        <f>_xlfn.XLOOKUP(FME_Ranking1[[#This Row],[FME ID]],FME_Input[FME_ID],FME_Input[DESCR])</f>
        <v>Evaluate county to identify future projects, analyze roads/stream crossing for emergency response vehicles to high hazard areas</v>
      </c>
      <c r="E856" s="256">
        <f>_xlfn.XLOOKUP(FME_Ranking1[[#This Row],[FME ID]],FME_Input[FME_ID],FME_Input[FME_COST])</f>
        <v>500000</v>
      </c>
      <c r="F856" t="str">
        <f>_xlfn.XLOOKUP(FME_Ranking1[[#This Row],[FME ID]],FME_Input[FME_ID],FME_Input[EMER_NEED])</f>
        <v>No</v>
      </c>
      <c r="G856">
        <f>IF(FME_Ranking!F856="Yes",100,0)</f>
        <v>0</v>
      </c>
      <c r="H856">
        <f>FME_Ranking1[[#This Row],[Emergency Need Score (Normalized, Unweighted)]]*$F$3</f>
        <v>0</v>
      </c>
      <c r="I856" s="246">
        <f>_xlfn.XLOOKUP(FME_Ranking1[[#This Row],[FME ID]],FME_Input[FME_ID],FME_Input[STRUCT_100])</f>
        <v>347</v>
      </c>
      <c r="J856" s="178">
        <f>(FME_Ranking1[[#This Row],[Structures 100 Raw]]/I$2)*100</f>
        <v>0.18581587627982693</v>
      </c>
      <c r="K856" s="178">
        <f>FME_Ranking1[[#This Row],[Structures 100  Score (Normalized, Unweighted)]]*$I$3</f>
        <v>2.7872381441974039E-2</v>
      </c>
      <c r="L856" s="246">
        <f>_xlfn.XLOOKUP(FME_Ranking1[[#This Row],[FME ID]],FME_Input[FME_ID],FME_Input[RES_STRUCT100])</f>
        <v>134</v>
      </c>
      <c r="M856" s="230">
        <f>(FME_Ranking1[[#This Row],[Res Structures Raw]]/L$2)*100</f>
        <v>9.4912949242821329E-2</v>
      </c>
      <c r="N856" s="180">
        <f>FME_Ranking1[[#This Row],[Res Structures Score (Normalized, Unweighted)]]*$L$3</f>
        <v>9.4912949242821343E-3</v>
      </c>
      <c r="O856" s="244">
        <f>_xlfn.XLOOKUP(FME_Ranking1[[#This Row],[FME ID]],FME_Input[FME_ID],FME_Input[POP100])</f>
        <v>178</v>
      </c>
      <c r="P856" s="178">
        <f>(FME_Ranking1[[#This Row],[Pop Raw]]/$O$2)*100</f>
        <v>1.8222805533999867E-2</v>
      </c>
      <c r="Q856" s="178">
        <f>FME_Ranking1[[#This Row],[Pop Score (Normalized, Unweighted)]]*$O$3</f>
        <v>2.7334208300999799E-3</v>
      </c>
      <c r="R856" s="137">
        <f>_xlfn.XLOOKUP(FME_Ranking1[[#This Row],[FME ID]],FME_Input[FME_ID],FME_Input[CRITFAC100])</f>
        <v>0</v>
      </c>
      <c r="S856" s="230">
        <f>(FME_Ranking1[[#This Row],[Critical Facilities Raw]]/$R$2)*100</f>
        <v>0</v>
      </c>
      <c r="T856" s="180">
        <f>FME_Ranking1[[#This Row],[Critical Facilities Score (Normalized, Unweighted)]]*$R$3</f>
        <v>0</v>
      </c>
      <c r="U856">
        <f>_xlfn.XLOOKUP(FME_Ranking1[[#This Row],[FME ID]],FME_Input[FME_ID],FME_Input[LWC])</f>
        <v>4</v>
      </c>
      <c r="V856" s="178">
        <f>(FME_Ranking1[[#This Row],[LWC Raw]]/$U$2)*100</f>
        <v>0.23028209556706969</v>
      </c>
      <c r="W856" s="178">
        <f>FME_Ranking1[[#This Row],[LWC Score (Normalized, Unweighted)]]*$U$3</f>
        <v>4.6056419113413939E-2</v>
      </c>
      <c r="X856" s="246">
        <f>_xlfn.XLOOKUP(FME_Ranking1[[#This Row],[FME ID]],FME_Input[FME_ID],FME_Input[ROADCLS])</f>
        <v>0</v>
      </c>
      <c r="Y856" s="230">
        <f>(FME_Ranking1[[#This Row],[Closures Raw]]/$X$2)*100</f>
        <v>0</v>
      </c>
      <c r="Z856" s="180">
        <f>FME_Ranking1[[#This Row],[Closures Score (Normalized, Unweighted)]]*$X$3</f>
        <v>0</v>
      </c>
      <c r="AA856" s="253">
        <f>_xlfn.XLOOKUP(FME_Ranking1[[#This Row],[FME ID]],FME_Input[FME_ID],FME_Input[ROAD_MILES100])</f>
        <v>43.328845977783203</v>
      </c>
      <c r="AB856" s="178">
        <f>(FME_Ranking1[[#This Row],[Miles Raw]]/$AA$2)*100</f>
        <v>0.56969661067422495</v>
      </c>
      <c r="AC856" s="178">
        <f>FME_Ranking1[[#This Row],[Miles Score (Normalized, Unweighted)]]*$AA$3</f>
        <v>5.6969661067422496E-2</v>
      </c>
      <c r="AD856" s="255">
        <f>_xlfn.XLOOKUP(FME_Ranking1[[#This Row],[FME ID]],FME_Input[FME_ID],FME_Input[FARMACRE100])</f>
        <v>23798.978515625</v>
      </c>
      <c r="AE856" s="230">
        <f>(FME_Ranking1[[#This Row],[Ag Land Raw]]/$AD$2)*100</f>
        <v>0.98136333776924467</v>
      </c>
      <c r="AF856" s="231">
        <f>FME_Ranking1[[#This Row],[Ag Land Score (Normalized, Unweighted)]]*$AD$3</f>
        <v>4.9068166888462238E-2</v>
      </c>
      <c r="AG85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0.19219134426565485</v>
      </c>
      <c r="AH856" s="406">
        <f t="shared" si="13"/>
        <v>813</v>
      </c>
      <c r="AI85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0.19219134426565485</v>
      </c>
      <c r="AJ856" s="257">
        <f>FME_Ranking1[[#This Row],[Addition check]]-FME_Ranking1[[#This Row],[Weighted Score Based on Normalized Reported Factors]]</f>
        <v>0</v>
      </c>
      <c r="AK856" s="178">
        <f>_xlfn.RANK.EQ(AI856,$AI$6:$AI$2341,0)+COUNTIF($AI$6:AI856,AI856)-1</f>
        <v>814</v>
      </c>
    </row>
    <row r="857" spans="1:37" x14ac:dyDescent="0.25">
      <c r="A857" t="s">
        <v>6516</v>
      </c>
      <c r="B857">
        <f>_xlfn.XLOOKUP(FME_Ranking1[[#This Row],[FME ID]],FME_Input[FME_ID],FME_Input[RFPG_NUM])</f>
        <v>7</v>
      </c>
      <c r="C857" t="str">
        <f>_xlfn.XLOOKUP(FME_Ranking1[[#This Row],[FME ID]],FME_Input[FME_ID],FME_Input[FME_NAME])</f>
        <v>Shackelford County GIS Development</v>
      </c>
      <c r="D857" t="str">
        <f>_xlfn.XLOOKUP(FME_Ranking1[[#This Row],[FME ID]],FME_Input[FME_ID],FME_Input[DESCR])</f>
        <v>Develop a GIS inventory of stormwater infrastructure</v>
      </c>
      <c r="E857" s="256">
        <f>_xlfn.XLOOKUP(FME_Ranking1[[#This Row],[FME ID]],FME_Input[FME_ID],FME_Input[FME_COST])</f>
        <v>100000</v>
      </c>
      <c r="F857" t="str">
        <f>_xlfn.XLOOKUP(FME_Ranking1[[#This Row],[FME ID]],FME_Input[FME_ID],FME_Input[EMER_NEED])</f>
        <v>No</v>
      </c>
      <c r="G857">
        <f>IF(FME_Ranking!F857="Yes",100,0)</f>
        <v>0</v>
      </c>
      <c r="H857">
        <f>FME_Ranking1[[#This Row],[Emergency Need Score (Normalized, Unweighted)]]*$F$3</f>
        <v>0</v>
      </c>
      <c r="I857" s="246">
        <f>_xlfn.XLOOKUP(FME_Ranking1[[#This Row],[FME ID]],FME_Input[FME_ID],FME_Input[STRUCT_100])</f>
        <v>347</v>
      </c>
      <c r="J857" s="178">
        <f>(FME_Ranking1[[#This Row],[Structures 100 Raw]]/I$2)*100</f>
        <v>0.18581587627982693</v>
      </c>
      <c r="K857" s="178">
        <f>FME_Ranking1[[#This Row],[Structures 100  Score (Normalized, Unweighted)]]*$I$3</f>
        <v>2.7872381441974039E-2</v>
      </c>
      <c r="L857" s="246">
        <f>_xlfn.XLOOKUP(FME_Ranking1[[#This Row],[FME ID]],FME_Input[FME_ID],FME_Input[RES_STRUCT100])</f>
        <v>134</v>
      </c>
      <c r="M857" s="230">
        <f>(FME_Ranking1[[#This Row],[Res Structures Raw]]/L$2)*100</f>
        <v>9.4912949242821329E-2</v>
      </c>
      <c r="N857" s="180">
        <f>FME_Ranking1[[#This Row],[Res Structures Score (Normalized, Unweighted)]]*$L$3</f>
        <v>9.4912949242821343E-3</v>
      </c>
      <c r="O857" s="244">
        <f>_xlfn.XLOOKUP(FME_Ranking1[[#This Row],[FME ID]],FME_Input[FME_ID],FME_Input[POP100])</f>
        <v>178</v>
      </c>
      <c r="P857" s="178">
        <f>(FME_Ranking1[[#This Row],[Pop Raw]]/$O$2)*100</f>
        <v>1.8222805533999867E-2</v>
      </c>
      <c r="Q857" s="178">
        <f>FME_Ranking1[[#This Row],[Pop Score (Normalized, Unweighted)]]*$O$3</f>
        <v>2.7334208300999799E-3</v>
      </c>
      <c r="R857" s="137">
        <f>_xlfn.XLOOKUP(FME_Ranking1[[#This Row],[FME ID]],FME_Input[FME_ID],FME_Input[CRITFAC100])</f>
        <v>0</v>
      </c>
      <c r="S857" s="230">
        <f>(FME_Ranking1[[#This Row],[Critical Facilities Raw]]/$R$2)*100</f>
        <v>0</v>
      </c>
      <c r="T857" s="180">
        <f>FME_Ranking1[[#This Row],[Critical Facilities Score (Normalized, Unweighted)]]*$R$3</f>
        <v>0</v>
      </c>
      <c r="U857">
        <f>_xlfn.XLOOKUP(FME_Ranking1[[#This Row],[FME ID]],FME_Input[FME_ID],FME_Input[LWC])</f>
        <v>4</v>
      </c>
      <c r="V857" s="178">
        <f>(FME_Ranking1[[#This Row],[LWC Raw]]/$U$2)*100</f>
        <v>0.23028209556706969</v>
      </c>
      <c r="W857" s="178">
        <f>FME_Ranking1[[#This Row],[LWC Score (Normalized, Unweighted)]]*$U$3</f>
        <v>4.6056419113413939E-2</v>
      </c>
      <c r="X857" s="246">
        <f>_xlfn.XLOOKUP(FME_Ranking1[[#This Row],[FME ID]],FME_Input[FME_ID],FME_Input[ROADCLS])</f>
        <v>0</v>
      </c>
      <c r="Y857" s="230">
        <f>(FME_Ranking1[[#This Row],[Closures Raw]]/$X$2)*100</f>
        <v>0</v>
      </c>
      <c r="Z857" s="180">
        <f>FME_Ranking1[[#This Row],[Closures Score (Normalized, Unweighted)]]*$X$3</f>
        <v>0</v>
      </c>
      <c r="AA857" s="253">
        <f>_xlfn.XLOOKUP(FME_Ranking1[[#This Row],[FME ID]],FME_Input[FME_ID],FME_Input[ROAD_MILES100])</f>
        <v>43.328845977783203</v>
      </c>
      <c r="AB857" s="178">
        <f>(FME_Ranking1[[#This Row],[Miles Raw]]/$AA$2)*100</f>
        <v>0.56969661067422495</v>
      </c>
      <c r="AC857" s="178">
        <f>FME_Ranking1[[#This Row],[Miles Score (Normalized, Unweighted)]]*$AA$3</f>
        <v>5.6969661067422496E-2</v>
      </c>
      <c r="AD857" s="255">
        <f>_xlfn.XLOOKUP(FME_Ranking1[[#This Row],[FME ID]],FME_Input[FME_ID],FME_Input[FARMACRE100])</f>
        <v>23798.978515625</v>
      </c>
      <c r="AE857" s="230">
        <f>(FME_Ranking1[[#This Row],[Ag Land Raw]]/$AD$2)*100</f>
        <v>0.98136333776924467</v>
      </c>
      <c r="AF857" s="231">
        <f>FME_Ranking1[[#This Row],[Ag Land Score (Normalized, Unweighted)]]*$AD$3</f>
        <v>4.9068166888462238E-2</v>
      </c>
      <c r="AG85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0.19219134426565485</v>
      </c>
      <c r="AH857" s="406">
        <f t="shared" si="13"/>
        <v>813</v>
      </c>
      <c r="AI85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0.19219134426565485</v>
      </c>
      <c r="AJ857" s="257">
        <f>FME_Ranking1[[#This Row],[Addition check]]-FME_Ranking1[[#This Row],[Weighted Score Based on Normalized Reported Factors]]</f>
        <v>0</v>
      </c>
      <c r="AK857" s="178">
        <f>_xlfn.RANK.EQ(AI857,$AI$6:$AI$2341,0)+COUNTIF($AI$6:AI857,AI857)-1</f>
        <v>815</v>
      </c>
    </row>
    <row r="858" spans="1:37" x14ac:dyDescent="0.25">
      <c r="A858" t="s">
        <v>7209</v>
      </c>
      <c r="B858">
        <f>_xlfn.XLOOKUP(FME_Ranking1[[#This Row],[FME ID]],FME_Input[FME_ID],FME_Input[RFPG_NUM])</f>
        <v>7</v>
      </c>
      <c r="C858" t="str">
        <f>_xlfn.XLOOKUP(FME_Ranking1[[#This Row],[FME ID]],FME_Input[FME_ID],FME_Input[FME_NAME])</f>
        <v>Shackelford County DCM</v>
      </c>
      <c r="D858" t="str">
        <f>_xlfn.XLOOKUP(FME_Ranking1[[#This Row],[FME ID]],FME_Input[FME_ID],FME_Input[DESCR])</f>
        <v>Consider stormwater criteria for infrastructure and floodplain ordinances to avoid new exposure to flood hazards.</v>
      </c>
      <c r="E858" s="256">
        <f>_xlfn.XLOOKUP(FME_Ranking1[[#This Row],[FME ID]],FME_Input[FME_ID],FME_Input[FME_COST])</f>
        <v>100000</v>
      </c>
      <c r="F858" t="str">
        <f>_xlfn.XLOOKUP(FME_Ranking1[[#This Row],[FME ID]],FME_Input[FME_ID],FME_Input[EMER_NEED])</f>
        <v>No</v>
      </c>
      <c r="G858">
        <f>IF(FME_Ranking!F858="Yes",100,0)</f>
        <v>0</v>
      </c>
      <c r="H858">
        <f>FME_Ranking1[[#This Row],[Emergency Need Score (Normalized, Unweighted)]]*$F$3</f>
        <v>0</v>
      </c>
      <c r="I858" s="246">
        <f>_xlfn.XLOOKUP(FME_Ranking1[[#This Row],[FME ID]],FME_Input[FME_ID],FME_Input[STRUCT_100])</f>
        <v>347</v>
      </c>
      <c r="J858" s="178">
        <f>(FME_Ranking1[[#This Row],[Structures 100 Raw]]/I$2)*100</f>
        <v>0.18581587627982693</v>
      </c>
      <c r="K858" s="178">
        <f>FME_Ranking1[[#This Row],[Structures 100  Score (Normalized, Unweighted)]]*$I$3</f>
        <v>2.7872381441974039E-2</v>
      </c>
      <c r="L858" s="246">
        <f>_xlfn.XLOOKUP(FME_Ranking1[[#This Row],[FME ID]],FME_Input[FME_ID],FME_Input[RES_STRUCT100])</f>
        <v>134</v>
      </c>
      <c r="M858" s="230">
        <f>(FME_Ranking1[[#This Row],[Res Structures Raw]]/L$2)*100</f>
        <v>9.4912949242821329E-2</v>
      </c>
      <c r="N858" s="180">
        <f>FME_Ranking1[[#This Row],[Res Structures Score (Normalized, Unweighted)]]*$L$3</f>
        <v>9.4912949242821343E-3</v>
      </c>
      <c r="O858" s="244">
        <f>_xlfn.XLOOKUP(FME_Ranking1[[#This Row],[FME ID]],FME_Input[FME_ID],FME_Input[POP100])</f>
        <v>178</v>
      </c>
      <c r="P858" s="178">
        <f>(FME_Ranking1[[#This Row],[Pop Raw]]/$O$2)*100</f>
        <v>1.8222805533999867E-2</v>
      </c>
      <c r="Q858" s="178">
        <f>FME_Ranking1[[#This Row],[Pop Score (Normalized, Unweighted)]]*$O$3</f>
        <v>2.7334208300999799E-3</v>
      </c>
      <c r="R858" s="137">
        <f>_xlfn.XLOOKUP(FME_Ranking1[[#This Row],[FME ID]],FME_Input[FME_ID],FME_Input[CRITFAC100])</f>
        <v>0</v>
      </c>
      <c r="S858" s="230">
        <f>(FME_Ranking1[[#This Row],[Critical Facilities Raw]]/$R$2)*100</f>
        <v>0</v>
      </c>
      <c r="T858" s="180">
        <f>FME_Ranking1[[#This Row],[Critical Facilities Score (Normalized, Unweighted)]]*$R$3</f>
        <v>0</v>
      </c>
      <c r="U858">
        <f>_xlfn.XLOOKUP(FME_Ranking1[[#This Row],[FME ID]],FME_Input[FME_ID],FME_Input[LWC])</f>
        <v>4</v>
      </c>
      <c r="V858" s="178">
        <f>(FME_Ranking1[[#This Row],[LWC Raw]]/$U$2)*100</f>
        <v>0.23028209556706969</v>
      </c>
      <c r="W858" s="178">
        <f>FME_Ranking1[[#This Row],[LWC Score (Normalized, Unweighted)]]*$U$3</f>
        <v>4.6056419113413939E-2</v>
      </c>
      <c r="X858" s="246">
        <f>_xlfn.XLOOKUP(FME_Ranking1[[#This Row],[FME ID]],FME_Input[FME_ID],FME_Input[ROADCLS])</f>
        <v>0</v>
      </c>
      <c r="Y858" s="230">
        <f>(FME_Ranking1[[#This Row],[Closures Raw]]/$X$2)*100</f>
        <v>0</v>
      </c>
      <c r="Z858" s="180">
        <f>FME_Ranking1[[#This Row],[Closures Score (Normalized, Unweighted)]]*$X$3</f>
        <v>0</v>
      </c>
      <c r="AA858" s="253">
        <f>_xlfn.XLOOKUP(FME_Ranking1[[#This Row],[FME ID]],FME_Input[FME_ID],FME_Input[ROAD_MILES100])</f>
        <v>43.328845977783203</v>
      </c>
      <c r="AB858" s="178">
        <f>(FME_Ranking1[[#This Row],[Miles Raw]]/$AA$2)*100</f>
        <v>0.56969661067422495</v>
      </c>
      <c r="AC858" s="178">
        <f>FME_Ranking1[[#This Row],[Miles Score (Normalized, Unweighted)]]*$AA$3</f>
        <v>5.6969661067422496E-2</v>
      </c>
      <c r="AD858" s="255">
        <f>_xlfn.XLOOKUP(FME_Ranking1[[#This Row],[FME ID]],FME_Input[FME_ID],FME_Input[FARMACRE100])</f>
        <v>23798.978515625</v>
      </c>
      <c r="AE858" s="230">
        <f>(FME_Ranking1[[#This Row],[Ag Land Raw]]/$AD$2)*100</f>
        <v>0.98136333776924467</v>
      </c>
      <c r="AF858" s="231">
        <f>FME_Ranking1[[#This Row],[Ag Land Score (Normalized, Unweighted)]]*$AD$3</f>
        <v>4.9068166888462238E-2</v>
      </c>
      <c r="AG85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0.19219134426565485</v>
      </c>
      <c r="AH858" s="406">
        <f t="shared" si="13"/>
        <v>813</v>
      </c>
      <c r="AI85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0.19219134426565485</v>
      </c>
      <c r="AJ858" s="257">
        <f>FME_Ranking1[[#This Row],[Addition check]]-FME_Ranking1[[#This Row],[Weighted Score Based on Normalized Reported Factors]]</f>
        <v>0</v>
      </c>
      <c r="AK858" s="178">
        <f>_xlfn.RANK.EQ(AI858,$AI$6:$AI$2341,0)+COUNTIF($AI$6:AI858,AI858)-1</f>
        <v>816</v>
      </c>
    </row>
    <row r="859" spans="1:37" x14ac:dyDescent="0.25">
      <c r="A859" t="s">
        <v>6201</v>
      </c>
      <c r="B859">
        <f>_xlfn.XLOOKUP(FME_Ranking1[[#This Row],[FME ID]],FME_Input[FME_ID],FME_Input[RFPG_NUM])</f>
        <v>5</v>
      </c>
      <c r="C859" t="str">
        <f>_xlfn.XLOOKUP(FME_Ranking1[[#This Row],[FME ID]],FME_Input[FME_ID],FME_Input[FME_NAME])</f>
        <v>City of Jacksonville Master Drainage Plan</v>
      </c>
      <c r="D859"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859" s="256">
        <f>_xlfn.XLOOKUP(FME_Ranking1[[#This Row],[FME ID]],FME_Input[FME_ID],FME_Input[FME_COST])</f>
        <v>560000</v>
      </c>
      <c r="F859" t="str">
        <f>_xlfn.XLOOKUP(FME_Ranking1[[#This Row],[FME ID]],FME_Input[FME_ID],FME_Input[EMER_NEED])</f>
        <v>Yes</v>
      </c>
      <c r="G859">
        <f>IF(FME_Ranking!F859="Yes",100,0)</f>
        <v>100</v>
      </c>
      <c r="H859">
        <f>FME_Ranking1[[#This Row],[Emergency Need Score (Normalized, Unweighted)]]*$F$3</f>
        <v>0</v>
      </c>
      <c r="I859" s="246">
        <f>_xlfn.XLOOKUP(FME_Ranking1[[#This Row],[FME ID]],FME_Input[FME_ID],FME_Input[STRUCT_100])</f>
        <v>367</v>
      </c>
      <c r="J859" s="178">
        <f>(FME_Ranking1[[#This Row],[Structures 100 Raw]]/I$2)*100</f>
        <v>0.19652572505676219</v>
      </c>
      <c r="K859" s="178">
        <f>FME_Ranking1[[#This Row],[Structures 100  Score (Normalized, Unweighted)]]*$I$3</f>
        <v>2.9478858758514328E-2</v>
      </c>
      <c r="L859" s="246">
        <f>_xlfn.XLOOKUP(FME_Ranking1[[#This Row],[FME ID]],FME_Input[FME_ID],FME_Input[RES_STRUCT100])</f>
        <v>152</v>
      </c>
      <c r="M859" s="230">
        <f>(FME_Ranking1[[#This Row],[Res Structures Raw]]/L$2)*100</f>
        <v>0.1076624498873794</v>
      </c>
      <c r="N859" s="180">
        <f>FME_Ranking1[[#This Row],[Res Structures Score (Normalized, Unweighted)]]*$L$3</f>
        <v>1.076624498873794E-2</v>
      </c>
      <c r="O859" s="244">
        <f>_xlfn.XLOOKUP(FME_Ranking1[[#This Row],[FME ID]],FME_Input[FME_ID],FME_Input[POP100])</f>
        <v>663</v>
      </c>
      <c r="P859" s="178">
        <f>(FME_Ranking1[[#This Row],[Pop Raw]]/$O$2)*100</f>
        <v>6.787483184855006E-2</v>
      </c>
      <c r="Q859" s="178">
        <f>FME_Ranking1[[#This Row],[Pop Score (Normalized, Unweighted)]]*$O$3</f>
        <v>1.0181224777282508E-2</v>
      </c>
      <c r="R859" s="137">
        <f>_xlfn.XLOOKUP(FME_Ranking1[[#This Row],[FME ID]],FME_Input[FME_ID],FME_Input[CRITFAC100])</f>
        <v>0</v>
      </c>
      <c r="S859" s="230">
        <f>(FME_Ranking1[[#This Row],[Critical Facilities Raw]]/$R$2)*100</f>
        <v>0</v>
      </c>
      <c r="T859" s="180">
        <f>FME_Ranking1[[#This Row],[Critical Facilities Score (Normalized, Unweighted)]]*$R$3</f>
        <v>0</v>
      </c>
      <c r="U859">
        <f>_xlfn.XLOOKUP(FME_Ranking1[[#This Row],[FME ID]],FME_Input[FME_ID],FME_Input[LWC])</f>
        <v>7</v>
      </c>
      <c r="V859" s="178">
        <f>(FME_Ranking1[[#This Row],[LWC Raw]]/$U$2)*100</f>
        <v>0.40299366724237184</v>
      </c>
      <c r="W859" s="178">
        <f>FME_Ranking1[[#This Row],[LWC Score (Normalized, Unweighted)]]*$U$3</f>
        <v>8.0598733448474374E-2</v>
      </c>
      <c r="X859" s="246">
        <f>_xlfn.XLOOKUP(FME_Ranking1[[#This Row],[FME ID]],FME_Input[FME_ID],FME_Input[ROADCLS])</f>
        <v>7</v>
      </c>
      <c r="Y859" s="230">
        <f>(FME_Ranking1[[#This Row],[Closures Raw]]/$X$2)*100</f>
        <v>7.3598990642414042E-2</v>
      </c>
      <c r="Z859" s="180">
        <f>FME_Ranking1[[#This Row],[Closures Score (Normalized, Unweighted)]]*$X$3</f>
        <v>3.6799495321207022E-3</v>
      </c>
      <c r="AA859" s="253">
        <f>_xlfn.XLOOKUP(FME_Ranking1[[#This Row],[FME ID]],FME_Input[FME_ID],FME_Input[ROAD_MILES100])</f>
        <v>3.8827764987945561</v>
      </c>
      <c r="AB859" s="178">
        <f>(FME_Ranking1[[#This Row],[Miles Raw]]/$AA$2)*100</f>
        <v>5.1051546872561401E-2</v>
      </c>
      <c r="AC859" s="178">
        <f>FME_Ranking1[[#This Row],[Miles Score (Normalized, Unweighted)]]*$AA$3</f>
        <v>5.1051546872561407E-3</v>
      </c>
      <c r="AD859" s="255">
        <f>_xlfn.XLOOKUP(FME_Ranking1[[#This Row],[FME ID]],FME_Input[FME_ID],FME_Input[FARMACRE100])</f>
        <v>4.9887614250183114</v>
      </c>
      <c r="AE859" s="230">
        <f>(FME_Ranking1[[#This Row],[Ag Land Raw]]/$AD$2)*100</f>
        <v>2.0571418895883029E-4</v>
      </c>
      <c r="AF859" s="231">
        <f>FME_Ranking1[[#This Row],[Ag Land Score (Normalized, Unweighted)]]*$AD$3</f>
        <v>1.0285709447941516E-5</v>
      </c>
      <c r="AG85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0.13982045190183393</v>
      </c>
      <c r="AH859" s="406">
        <f t="shared" si="13"/>
        <v>924</v>
      </c>
      <c r="AI85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0.13982045190183393</v>
      </c>
      <c r="AJ859" s="257">
        <f>FME_Ranking1[[#This Row],[Addition check]]-FME_Ranking1[[#This Row],[Weighted Score Based on Normalized Reported Factors]]</f>
        <v>0</v>
      </c>
      <c r="AK859" s="178">
        <f>_xlfn.RANK.EQ(AI859,$AI$6:$AI$2341,0)+COUNTIF($AI$6:AI859,AI859)-1</f>
        <v>924</v>
      </c>
    </row>
    <row r="860" spans="1:37" x14ac:dyDescent="0.25">
      <c r="A860" t="s">
        <v>8507</v>
      </c>
      <c r="B860">
        <f>_xlfn.XLOOKUP(FME_Ranking1[[#This Row],[FME ID]],FME_Input[FME_ID],FME_Input[RFPG_NUM])</f>
        <v>10</v>
      </c>
      <c r="C860" t="str">
        <f>_xlfn.XLOOKUP(FME_Ranking1[[#This Row],[FME ID]],FME_Input[FME_ID],FME_Input[FME_NAME])</f>
        <v>Jarvis Creek Channel Widening and Regional Detention Project</v>
      </c>
      <c r="D860" t="str">
        <f>_xlfn.XLOOKUP(FME_Ranking1[[#This Row],[FME ID]],FME_Input[FME_ID],FME_Input[DESCR])</f>
        <v>Drainage System Improvements</v>
      </c>
      <c r="E860" s="256">
        <f>_xlfn.XLOOKUP(FME_Ranking1[[#This Row],[FME ID]],FME_Input[FME_ID],FME_Input[FME_COST])</f>
        <v>150000</v>
      </c>
      <c r="F860" t="str">
        <f>_xlfn.XLOOKUP(FME_Ranking1[[#This Row],[FME ID]],FME_Input[FME_ID],FME_Input[EMER_NEED])</f>
        <v>No</v>
      </c>
      <c r="G860">
        <f>IF(FME_Ranking!F860="Yes",100,0)</f>
        <v>0</v>
      </c>
      <c r="H860">
        <f>FME_Ranking1[[#This Row],[Emergency Need Score (Normalized, Unweighted)]]*$F$3</f>
        <v>0</v>
      </c>
      <c r="I860" s="246">
        <f>_xlfn.XLOOKUP(FME_Ranking1[[#This Row],[FME ID]],FME_Input[FME_ID],FME_Input[STRUCT_100])</f>
        <v>755</v>
      </c>
      <c r="J860" s="178">
        <f>(FME_Ranking1[[#This Row],[Structures 100 Raw]]/I$2)*100</f>
        <v>0.4042967913293064</v>
      </c>
      <c r="K860" s="178">
        <f>FME_Ranking1[[#This Row],[Structures 100  Score (Normalized, Unweighted)]]*$I$3</f>
        <v>6.0644518699395959E-2</v>
      </c>
      <c r="L860" s="246">
        <f>_xlfn.XLOOKUP(FME_Ranking1[[#This Row],[FME ID]],FME_Input[FME_ID],FME_Input[RES_STRUCT100])</f>
        <v>618</v>
      </c>
      <c r="M860" s="230">
        <f>(FME_Ranking1[[#This Row],[Res Structures Raw]]/L$2)*100</f>
        <v>0.43773285546316104</v>
      </c>
      <c r="N860" s="180">
        <f>FME_Ranking1[[#This Row],[Res Structures Score (Normalized, Unweighted)]]*$L$3</f>
        <v>4.3773285546316106E-2</v>
      </c>
      <c r="O860" s="244">
        <f>_xlfn.XLOOKUP(FME_Ranking1[[#This Row],[FME ID]],FME_Input[FME_ID],FME_Input[POP100])</f>
        <v>1235</v>
      </c>
      <c r="P860" s="178">
        <f>(FME_Ranking1[[#This Row],[Pop Raw]]/$O$2)*100</f>
        <v>0.12643351030612265</v>
      </c>
      <c r="Q860" s="178">
        <f>FME_Ranking1[[#This Row],[Pop Score (Normalized, Unweighted)]]*$O$3</f>
        <v>1.8965026545918397E-2</v>
      </c>
      <c r="R860" s="137">
        <f>_xlfn.XLOOKUP(FME_Ranking1[[#This Row],[FME ID]],FME_Input[FME_ID],FME_Input[CRITFAC100])</f>
        <v>0</v>
      </c>
      <c r="S860" s="230">
        <f>(FME_Ranking1[[#This Row],[Critical Facilities Raw]]/$R$2)*100</f>
        <v>0</v>
      </c>
      <c r="T860" s="180">
        <f>FME_Ranking1[[#This Row],[Critical Facilities Score (Normalized, Unweighted)]]*$R$3</f>
        <v>0</v>
      </c>
      <c r="U860">
        <f>_xlfn.XLOOKUP(FME_Ranking1[[#This Row],[FME ID]],FME_Input[FME_ID],FME_Input[LWC])</f>
        <v>0</v>
      </c>
      <c r="V860" s="178">
        <f>(FME_Ranking1[[#This Row],[LWC Raw]]/$U$2)*100</f>
        <v>0</v>
      </c>
      <c r="W860" s="178">
        <f>FME_Ranking1[[#This Row],[LWC Score (Normalized, Unweighted)]]*$U$3</f>
        <v>0</v>
      </c>
      <c r="X860" s="246">
        <f>_xlfn.XLOOKUP(FME_Ranking1[[#This Row],[FME ID]],FME_Input[FME_ID],FME_Input[ROADCLS])</f>
        <v>0</v>
      </c>
      <c r="Y860" s="230">
        <f>(FME_Ranking1[[#This Row],[Closures Raw]]/$X$2)*100</f>
        <v>0</v>
      </c>
      <c r="Z860" s="180">
        <f>FME_Ranking1[[#This Row],[Closures Score (Normalized, Unweighted)]]*$X$3</f>
        <v>0</v>
      </c>
      <c r="AA860" s="253">
        <f>_xlfn.XLOOKUP(FME_Ranking1[[#This Row],[FME ID]],FME_Input[FME_ID],FME_Input[ROAD_MILES100])</f>
        <v>22.303960800170898</v>
      </c>
      <c r="AB860" s="178">
        <f>(FME_Ranking1[[#This Row],[Miles Raw]]/$AA$2)*100</f>
        <v>0.29325708049052057</v>
      </c>
      <c r="AC860" s="178">
        <f>FME_Ranking1[[#This Row],[Miles Score (Normalized, Unweighted)]]*$AA$3</f>
        <v>2.932570804905206E-2</v>
      </c>
      <c r="AD860" s="255">
        <f>_xlfn.XLOOKUP(FME_Ranking1[[#This Row],[FME ID]],FME_Input[FME_ID],FME_Input[FARMACRE100])</f>
        <v>5475.359375</v>
      </c>
      <c r="AE860" s="230">
        <f>(FME_Ranking1[[#This Row],[Ag Land Raw]]/$AD$2)*100</f>
        <v>0.22577931015855679</v>
      </c>
      <c r="AF860" s="231">
        <f>FME_Ranking1[[#This Row],[Ag Land Score (Normalized, Unweighted)]]*$AD$3</f>
        <v>1.128896550792784E-2</v>
      </c>
      <c r="AG86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0.16399750434861038</v>
      </c>
      <c r="AH860" s="406">
        <f t="shared" si="13"/>
        <v>870</v>
      </c>
      <c r="AI86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0.16399750434861038</v>
      </c>
      <c r="AJ860" s="257">
        <f>FME_Ranking1[[#This Row],[Addition check]]-FME_Ranking1[[#This Row],[Weighted Score Based on Normalized Reported Factors]]</f>
        <v>0</v>
      </c>
      <c r="AK860" s="178">
        <f>_xlfn.RANK.EQ(AI860,$AI$6:$AI$2341,0)+COUNTIF($AI$6:AI860,AI860)-1</f>
        <v>870</v>
      </c>
    </row>
    <row r="861" spans="1:37" x14ac:dyDescent="0.25">
      <c r="A861" t="s">
        <v>4205</v>
      </c>
      <c r="B861">
        <f>_xlfn.XLOOKUP(FME_Ranking1[[#This Row],[FME ID]],FME_Input[FME_ID],FME_Input[RFPG_NUM])</f>
        <v>3</v>
      </c>
      <c r="C861" t="str">
        <f>_xlfn.XLOOKUP(FME_Ranking1[[#This Row],[FME ID]],FME_Input[FME_ID],FME_Input[FME_NAME])</f>
        <v>City of Athens DMP</v>
      </c>
      <c r="D861" t="str">
        <f>_xlfn.XLOOKUP(FME_Ranking1[[#This Row],[FME ID]],FME_Input[FME_ID],FME_Input[DESCR])</f>
        <v>Evaluate City and identify future projects.</v>
      </c>
      <c r="E861" s="256">
        <f>_xlfn.XLOOKUP(FME_Ranking1[[#This Row],[FME ID]],FME_Input[FME_ID],FME_Input[FME_COST])</f>
        <v>250000</v>
      </c>
      <c r="F861" t="str">
        <f>_xlfn.XLOOKUP(FME_Ranking1[[#This Row],[FME ID]],FME_Input[FME_ID],FME_Input[EMER_NEED])</f>
        <v>No</v>
      </c>
      <c r="G861">
        <f>IF(FME_Ranking!F861="Yes",100,0)</f>
        <v>0</v>
      </c>
      <c r="H861">
        <f>FME_Ranking1[[#This Row],[Emergency Need Score (Normalized, Unweighted)]]*$F$3</f>
        <v>0</v>
      </c>
      <c r="I861" s="246">
        <f>_xlfn.XLOOKUP(FME_Ranking1[[#This Row],[FME ID]],FME_Input[FME_ID],FME_Input[STRUCT_100])</f>
        <v>125</v>
      </c>
      <c r="J861" s="178">
        <f>(FME_Ranking1[[#This Row],[Structures 100 Raw]]/I$2)*100</f>
        <v>6.6936554855845432E-2</v>
      </c>
      <c r="K861" s="178">
        <f>FME_Ranking1[[#This Row],[Structures 100  Score (Normalized, Unweighted)]]*$I$3</f>
        <v>1.0040483228376815E-2</v>
      </c>
      <c r="L861" s="246">
        <f>_xlfn.XLOOKUP(FME_Ranking1[[#This Row],[FME ID]],FME_Input[FME_ID],FME_Input[RES_STRUCT100])</f>
        <v>84</v>
      </c>
      <c r="M861" s="230">
        <f>(FME_Ranking1[[#This Row],[Res Structures Raw]]/L$2)*100</f>
        <v>5.949766967460441E-2</v>
      </c>
      <c r="N861" s="180">
        <f>FME_Ranking1[[#This Row],[Res Structures Score (Normalized, Unweighted)]]*$L$3</f>
        <v>5.9497669674604412E-3</v>
      </c>
      <c r="O861" s="244">
        <f>_xlfn.XLOOKUP(FME_Ranking1[[#This Row],[FME ID]],FME_Input[FME_ID],FME_Input[POP100])</f>
        <v>964</v>
      </c>
      <c r="P861" s="178">
        <f>(FME_Ranking1[[#This Row],[Pop Raw]]/$O$2)*100</f>
        <v>9.8689800757167809E-2</v>
      </c>
      <c r="Q861" s="178">
        <f>FME_Ranking1[[#This Row],[Pop Score (Normalized, Unweighted)]]*$O$3</f>
        <v>1.4803470113575171E-2</v>
      </c>
      <c r="R861" s="137">
        <f>_xlfn.XLOOKUP(FME_Ranking1[[#This Row],[FME ID]],FME_Input[FME_ID],FME_Input[CRITFAC100])</f>
        <v>4</v>
      </c>
      <c r="S861" s="230">
        <f>(FME_Ranking1[[#This Row],[Critical Facilities Raw]]/$R$2)*100</f>
        <v>0.17152658662092624</v>
      </c>
      <c r="T861" s="180">
        <f>FME_Ranking1[[#This Row],[Critical Facilities Score (Normalized, Unweighted)]]*$R$3</f>
        <v>3.430531732418525E-2</v>
      </c>
      <c r="U861">
        <f>_xlfn.XLOOKUP(FME_Ranking1[[#This Row],[FME ID]],FME_Input[FME_ID],FME_Input[LWC])</f>
        <v>6</v>
      </c>
      <c r="V861" s="178">
        <f>(FME_Ranking1[[#This Row],[LWC Raw]]/$U$2)*100</f>
        <v>0.34542314335060448</v>
      </c>
      <c r="W861" s="178">
        <f>FME_Ranking1[[#This Row],[LWC Score (Normalized, Unweighted)]]*$U$3</f>
        <v>6.9084628670120898E-2</v>
      </c>
      <c r="X861" s="246">
        <f>_xlfn.XLOOKUP(FME_Ranking1[[#This Row],[FME ID]],FME_Input[FME_ID],FME_Input[ROADCLS])</f>
        <v>0</v>
      </c>
      <c r="Y861" s="230">
        <f>(FME_Ranking1[[#This Row],[Closures Raw]]/$X$2)*100</f>
        <v>0</v>
      </c>
      <c r="Z861" s="180">
        <f>FME_Ranking1[[#This Row],[Closures Score (Normalized, Unweighted)]]*$X$3</f>
        <v>0</v>
      </c>
      <c r="AA861" s="253">
        <f>_xlfn.XLOOKUP(FME_Ranking1[[#This Row],[FME ID]],FME_Input[FME_ID],FME_Input[ROAD_MILES100])</f>
        <v>7.1465492248535156</v>
      </c>
      <c r="AB861" s="178">
        <f>(FME_Ranking1[[#This Row],[Miles Raw]]/$AA$2)*100</f>
        <v>9.3964304369037285E-2</v>
      </c>
      <c r="AC861" s="178">
        <f>FME_Ranking1[[#This Row],[Miles Score (Normalized, Unweighted)]]*$AA$3</f>
        <v>9.3964304369037292E-3</v>
      </c>
      <c r="AD861" s="255">
        <f>_xlfn.XLOOKUP(FME_Ranking1[[#This Row],[FME ID]],FME_Input[FME_ID],FME_Input[FARMACRE100])</f>
        <v>138.9837951660156</v>
      </c>
      <c r="AE861" s="230">
        <f>(FME_Ranking1[[#This Row],[Ag Land Raw]]/$AD$2)*100</f>
        <v>5.7310695511746494E-3</v>
      </c>
      <c r="AF861" s="231">
        <f>FME_Ranking1[[#This Row],[Ag Land Score (Normalized, Unweighted)]]*$AD$3</f>
        <v>2.8655347755873246E-4</v>
      </c>
      <c r="AG86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0.14386665021818104</v>
      </c>
      <c r="AH861" s="406">
        <f t="shared" si="13"/>
        <v>915</v>
      </c>
      <c r="AI86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0.14386665021818104</v>
      </c>
      <c r="AJ861" s="257">
        <f>FME_Ranking1[[#This Row],[Addition check]]-FME_Ranking1[[#This Row],[Weighted Score Based on Normalized Reported Factors]]</f>
        <v>0</v>
      </c>
      <c r="AK861" s="178">
        <f>_xlfn.RANK.EQ(AI861,$AI$6:$AI$2341,0)+COUNTIF($AI$6:AI861,AI861)-1</f>
        <v>915</v>
      </c>
    </row>
    <row r="862" spans="1:37" x14ac:dyDescent="0.25">
      <c r="A862" t="s">
        <v>3439</v>
      </c>
      <c r="B862">
        <f>_xlfn.XLOOKUP(FME_Ranking1[[#This Row],[FME ID]],FME_Input[FME_ID],FME_Input[RFPG_NUM])</f>
        <v>1</v>
      </c>
      <c r="C862" t="str">
        <f>_xlfn.XLOOKUP(FME_Ranking1[[#This Row],[FME ID]],FME_Input[FME_ID],FME_Input[FME_NAME])</f>
        <v xml:space="preserve">Canyon Drainage Master Plan _x000D_
</v>
      </c>
      <c r="D862" t="str">
        <f>_xlfn.XLOOKUP(FME_Ranking1[[#This Row],[FME ID]],FME_Input[FME_ID],FME_Input[DESCR])</f>
        <v>Perform H&amp;H modeling, develop conceptual alternatives and OPCC, and rank projects, with a focus on downtown Canyon. Project identified from HMAP</v>
      </c>
      <c r="E862" s="256">
        <f>_xlfn.XLOOKUP(FME_Ranking1[[#This Row],[FME ID]],FME_Input[FME_ID],FME_Input[FME_COST])</f>
        <v>250000</v>
      </c>
      <c r="F862" t="str">
        <f>_xlfn.XLOOKUP(FME_Ranking1[[#This Row],[FME ID]],FME_Input[FME_ID],FME_Input[EMER_NEED])</f>
        <v>No</v>
      </c>
      <c r="G862">
        <f>IF(FME_Ranking!F862="Yes",100,0)</f>
        <v>0</v>
      </c>
      <c r="H862">
        <f>FME_Ranking1[[#This Row],[Emergency Need Score (Normalized, Unweighted)]]*$F$3</f>
        <v>0</v>
      </c>
      <c r="I862" s="246">
        <f>_xlfn.XLOOKUP(FME_Ranking1[[#This Row],[FME ID]],FME_Input[FME_ID],FME_Input[STRUCT_100])</f>
        <v>206</v>
      </c>
      <c r="J862" s="178">
        <f>(FME_Ranking1[[#This Row],[Structures 100 Raw]]/I$2)*100</f>
        <v>0.11031144240243329</v>
      </c>
      <c r="K862" s="178">
        <f>FME_Ranking1[[#This Row],[Structures 100  Score (Normalized, Unweighted)]]*$I$3</f>
        <v>1.6546716360364994E-2</v>
      </c>
      <c r="L862" s="246">
        <f>_xlfn.XLOOKUP(FME_Ranking1[[#This Row],[FME ID]],FME_Input[FME_ID],FME_Input[RES_STRUCT100])</f>
        <v>193</v>
      </c>
      <c r="M862" s="230">
        <f>(FME_Ranking1[[#This Row],[Res Structures Raw]]/L$2)*100</f>
        <v>0.13670297913331728</v>
      </c>
      <c r="N862" s="180">
        <f>FME_Ranking1[[#This Row],[Res Structures Score (Normalized, Unweighted)]]*$L$3</f>
        <v>1.3670297913331728E-2</v>
      </c>
      <c r="O862" s="244">
        <f>_xlfn.XLOOKUP(FME_Ranking1[[#This Row],[FME ID]],FME_Input[FME_ID],FME_Input[POP100])</f>
        <v>1265</v>
      </c>
      <c r="P862" s="178">
        <f>(FME_Ranking1[[#This Row],[Pop Raw]]/$O$2)*100</f>
        <v>0.12950476966578556</v>
      </c>
      <c r="Q862" s="178">
        <f>FME_Ranking1[[#This Row],[Pop Score (Normalized, Unweighted)]]*$O$3</f>
        <v>1.9425715449867834E-2</v>
      </c>
      <c r="R862" s="137">
        <f>_xlfn.XLOOKUP(FME_Ranking1[[#This Row],[FME ID]],FME_Input[FME_ID],FME_Input[CRITFAC100])</f>
        <v>0</v>
      </c>
      <c r="S862" s="230">
        <f>(FME_Ranking1[[#This Row],[Critical Facilities Raw]]/$R$2)*100</f>
        <v>0</v>
      </c>
      <c r="T862" s="180">
        <f>FME_Ranking1[[#This Row],[Critical Facilities Score (Normalized, Unweighted)]]*$R$3</f>
        <v>0</v>
      </c>
      <c r="U862">
        <f>_xlfn.XLOOKUP(FME_Ranking1[[#This Row],[FME ID]],FME_Input[FME_ID],FME_Input[LWC])</f>
        <v>7</v>
      </c>
      <c r="V862" s="178">
        <f>(FME_Ranking1[[#This Row],[LWC Raw]]/$U$2)*100</f>
        <v>0.40299366724237184</v>
      </c>
      <c r="W862" s="178">
        <f>FME_Ranking1[[#This Row],[LWC Score (Normalized, Unweighted)]]*$U$3</f>
        <v>8.0598733448474374E-2</v>
      </c>
      <c r="X862" s="246">
        <f>_xlfn.XLOOKUP(FME_Ranking1[[#This Row],[FME ID]],FME_Input[FME_ID],FME_Input[ROADCLS])</f>
        <v>7</v>
      </c>
      <c r="Y862" s="230">
        <f>(FME_Ranking1[[#This Row],[Closures Raw]]/$X$2)*100</f>
        <v>7.3598990642414042E-2</v>
      </c>
      <c r="Z862" s="180">
        <f>FME_Ranking1[[#This Row],[Closures Score (Normalized, Unweighted)]]*$X$3</f>
        <v>3.6799495321207022E-3</v>
      </c>
      <c r="AA862" s="253">
        <f>_xlfn.XLOOKUP(FME_Ranking1[[#This Row],[FME ID]],FME_Input[FME_ID],FME_Input[ROAD_MILES100])</f>
        <v>14.990657806396481</v>
      </c>
      <c r="AB862" s="178">
        <f>(FME_Ranking1[[#This Row],[Miles Raw]]/$AA$2)*100</f>
        <v>0.19710026314709891</v>
      </c>
      <c r="AC862" s="178">
        <f>FME_Ranking1[[#This Row],[Miles Score (Normalized, Unweighted)]]*$AA$3</f>
        <v>1.9710026314709892E-2</v>
      </c>
      <c r="AD862" s="255">
        <f>_xlfn.XLOOKUP(FME_Ranking1[[#This Row],[FME ID]],FME_Input[FME_ID],FME_Input[FARMACRE100])</f>
        <v>150.2604675292969</v>
      </c>
      <c r="AE862" s="230">
        <f>(FME_Ranking1[[#This Row],[Ag Land Raw]]/$AD$2)*100</f>
        <v>6.1960690393709321E-3</v>
      </c>
      <c r="AF862" s="231">
        <f>FME_Ranking1[[#This Row],[Ag Land Score (Normalized, Unweighted)]]*$AD$3</f>
        <v>3.0980345196854662E-4</v>
      </c>
      <c r="AG86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0.15394124247083807</v>
      </c>
      <c r="AH862" s="406">
        <f t="shared" si="13"/>
        <v>887</v>
      </c>
      <c r="AI86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0.15394124247083807</v>
      </c>
      <c r="AJ862" s="257">
        <f>FME_Ranking1[[#This Row],[Addition check]]-FME_Ranking1[[#This Row],[Weighted Score Based on Normalized Reported Factors]]</f>
        <v>0</v>
      </c>
      <c r="AK862" s="178">
        <f>_xlfn.RANK.EQ(AI862,$AI$6:$AI$2341,0)+COUNTIF($AI$6:AI862,AI862)-1</f>
        <v>887</v>
      </c>
    </row>
    <row r="863" spans="1:37" x14ac:dyDescent="0.25">
      <c r="A863" t="s">
        <v>3448</v>
      </c>
      <c r="B863">
        <f>_xlfn.XLOOKUP(FME_Ranking1[[#This Row],[FME ID]],FME_Input[FME_ID],FME_Input[RFPG_NUM])</f>
        <v>1</v>
      </c>
      <c r="C863" t="str">
        <f>_xlfn.XLOOKUP(FME_Ranking1[[#This Row],[FME ID]],FME_Input[FME_ID],FME_Input[FME_NAME])</f>
        <v>Improve Storm Water Drainage and Control Systems (City of Canyon)</v>
      </c>
      <c r="D863" t="str">
        <f>_xlfn.XLOOKUP(FME_Ranking1[[#This Row],[FME ID]],FME_Input[FME_ID],FME_Input[DESCR])</f>
        <v>Initiate a centralized data collection program to identify recurring flooding locations based on citizen complaints and road maintenance logs; selected based on stakeholder feedback</v>
      </c>
      <c r="E863" s="256">
        <f>_xlfn.XLOOKUP(FME_Ranking1[[#This Row],[FME ID]],FME_Input[FME_ID],FME_Input[FME_COST])</f>
        <v>50000</v>
      </c>
      <c r="F863" t="str">
        <f>_xlfn.XLOOKUP(FME_Ranking1[[#This Row],[FME ID]],FME_Input[FME_ID],FME_Input[EMER_NEED])</f>
        <v>No</v>
      </c>
      <c r="G863">
        <f>IF(FME_Ranking!F863="Yes",100,0)</f>
        <v>0</v>
      </c>
      <c r="H863">
        <f>FME_Ranking1[[#This Row],[Emergency Need Score (Normalized, Unweighted)]]*$F$3</f>
        <v>0</v>
      </c>
      <c r="I863" s="246">
        <f>_xlfn.XLOOKUP(FME_Ranking1[[#This Row],[FME ID]],FME_Input[FME_ID],FME_Input[STRUCT_100])</f>
        <v>206</v>
      </c>
      <c r="J863" s="178">
        <f>(FME_Ranking1[[#This Row],[Structures 100 Raw]]/I$2)*100</f>
        <v>0.11031144240243329</v>
      </c>
      <c r="K863" s="178">
        <f>FME_Ranking1[[#This Row],[Structures 100  Score (Normalized, Unweighted)]]*$I$3</f>
        <v>1.6546716360364994E-2</v>
      </c>
      <c r="L863" s="246">
        <f>_xlfn.XLOOKUP(FME_Ranking1[[#This Row],[FME ID]],FME_Input[FME_ID],FME_Input[RES_STRUCT100])</f>
        <v>193</v>
      </c>
      <c r="M863" s="230">
        <f>(FME_Ranking1[[#This Row],[Res Structures Raw]]/L$2)*100</f>
        <v>0.13670297913331728</v>
      </c>
      <c r="N863" s="180">
        <f>FME_Ranking1[[#This Row],[Res Structures Score (Normalized, Unweighted)]]*$L$3</f>
        <v>1.3670297913331728E-2</v>
      </c>
      <c r="O863" s="244">
        <f>_xlfn.XLOOKUP(FME_Ranking1[[#This Row],[FME ID]],FME_Input[FME_ID],FME_Input[POP100])</f>
        <v>1265</v>
      </c>
      <c r="P863" s="178">
        <f>(FME_Ranking1[[#This Row],[Pop Raw]]/$O$2)*100</f>
        <v>0.12950476966578556</v>
      </c>
      <c r="Q863" s="178">
        <f>FME_Ranking1[[#This Row],[Pop Score (Normalized, Unweighted)]]*$O$3</f>
        <v>1.9425715449867834E-2</v>
      </c>
      <c r="R863" s="137">
        <f>_xlfn.XLOOKUP(FME_Ranking1[[#This Row],[FME ID]],FME_Input[FME_ID],FME_Input[CRITFAC100])</f>
        <v>0</v>
      </c>
      <c r="S863" s="230">
        <f>(FME_Ranking1[[#This Row],[Critical Facilities Raw]]/$R$2)*100</f>
        <v>0</v>
      </c>
      <c r="T863" s="180">
        <f>FME_Ranking1[[#This Row],[Critical Facilities Score (Normalized, Unweighted)]]*$R$3</f>
        <v>0</v>
      </c>
      <c r="U863">
        <f>_xlfn.XLOOKUP(FME_Ranking1[[#This Row],[FME ID]],FME_Input[FME_ID],FME_Input[LWC])</f>
        <v>7</v>
      </c>
      <c r="V863" s="178">
        <f>(FME_Ranking1[[#This Row],[LWC Raw]]/$U$2)*100</f>
        <v>0.40299366724237184</v>
      </c>
      <c r="W863" s="178">
        <f>FME_Ranking1[[#This Row],[LWC Score (Normalized, Unweighted)]]*$U$3</f>
        <v>8.0598733448474374E-2</v>
      </c>
      <c r="X863" s="246">
        <f>_xlfn.XLOOKUP(FME_Ranking1[[#This Row],[FME ID]],FME_Input[FME_ID],FME_Input[ROADCLS])</f>
        <v>7</v>
      </c>
      <c r="Y863" s="230">
        <f>(FME_Ranking1[[#This Row],[Closures Raw]]/$X$2)*100</f>
        <v>7.3598990642414042E-2</v>
      </c>
      <c r="Z863" s="180">
        <f>FME_Ranking1[[#This Row],[Closures Score (Normalized, Unweighted)]]*$X$3</f>
        <v>3.6799495321207022E-3</v>
      </c>
      <c r="AA863" s="253">
        <f>_xlfn.XLOOKUP(FME_Ranking1[[#This Row],[FME ID]],FME_Input[FME_ID],FME_Input[ROAD_MILES100])</f>
        <v>14.990657806396481</v>
      </c>
      <c r="AB863" s="178">
        <f>(FME_Ranking1[[#This Row],[Miles Raw]]/$AA$2)*100</f>
        <v>0.19710026314709891</v>
      </c>
      <c r="AC863" s="178">
        <f>FME_Ranking1[[#This Row],[Miles Score (Normalized, Unweighted)]]*$AA$3</f>
        <v>1.9710026314709892E-2</v>
      </c>
      <c r="AD863" s="255">
        <f>_xlfn.XLOOKUP(FME_Ranking1[[#This Row],[FME ID]],FME_Input[FME_ID],FME_Input[FARMACRE100])</f>
        <v>150.2604675292969</v>
      </c>
      <c r="AE863" s="230">
        <f>(FME_Ranking1[[#This Row],[Ag Land Raw]]/$AD$2)*100</f>
        <v>6.1960690393709321E-3</v>
      </c>
      <c r="AF863" s="231">
        <f>FME_Ranking1[[#This Row],[Ag Land Score (Normalized, Unweighted)]]*$AD$3</f>
        <v>3.0980345196854662E-4</v>
      </c>
      <c r="AG86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0.15394124247083807</v>
      </c>
      <c r="AH863" s="406">
        <f t="shared" si="13"/>
        <v>887</v>
      </c>
      <c r="AI86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0.15394124247083807</v>
      </c>
      <c r="AJ863" s="257">
        <f>FME_Ranking1[[#This Row],[Addition check]]-FME_Ranking1[[#This Row],[Weighted Score Based on Normalized Reported Factors]]</f>
        <v>0</v>
      </c>
      <c r="AK863" s="178">
        <f>_xlfn.RANK.EQ(AI863,$AI$6:$AI$2341,0)+COUNTIF($AI$6:AI863,AI863)-1</f>
        <v>888</v>
      </c>
    </row>
    <row r="864" spans="1:37" x14ac:dyDescent="0.25">
      <c r="A864" t="s">
        <v>235</v>
      </c>
      <c r="B864">
        <f>_xlfn.XLOOKUP(FME_Ranking1[[#This Row],[FME ID]],FME_Input[FME_ID],FME_Input[RFPG_NUM])</f>
        <v>10</v>
      </c>
      <c r="C864" t="str">
        <f>_xlfn.XLOOKUP(FME_Ranking1[[#This Row],[FME ID]],FME_Input[FME_ID],FME_Input[FME_NAME])</f>
        <v>Broadway Street at Whitman Branch Low Water Crossing</v>
      </c>
      <c r="D864" t="str">
        <f>_xlfn.XLOOKUP(FME_Ranking1[[#This Row],[FME ID]],FME_Input[FME_ID],FME_Input[DESCR])</f>
        <v>Low Water Crossing upgrade for one of the most commonly closed low water crossings in Marble Falls.  It is a heavily trafficked street, providing an alternative route to 281/1431 intersection</v>
      </c>
      <c r="E864" s="256">
        <f>_xlfn.XLOOKUP(FME_Ranking1[[#This Row],[FME ID]],FME_Input[FME_ID],FME_Input[FME_COST])</f>
        <v>100000</v>
      </c>
      <c r="F864" t="str">
        <f>_xlfn.XLOOKUP(FME_Ranking1[[#This Row],[FME ID]],FME_Input[FME_ID],FME_Input[EMER_NEED])</f>
        <v>No</v>
      </c>
      <c r="G864">
        <f>IF(FME_Ranking!F864="Yes",100,0)</f>
        <v>0</v>
      </c>
      <c r="H864">
        <f>FME_Ranking1[[#This Row],[Emergency Need Score (Normalized, Unweighted)]]*$F$3</f>
        <v>0</v>
      </c>
      <c r="I864" s="246">
        <f>_xlfn.XLOOKUP(FME_Ranking1[[#This Row],[FME ID]],FME_Input[FME_ID],FME_Input[STRUCT_100])</f>
        <v>75</v>
      </c>
      <c r="J864" s="178">
        <f>(FME_Ranking1[[#This Row],[Structures 100 Raw]]/I$2)*100</f>
        <v>4.016193291350726E-2</v>
      </c>
      <c r="K864" s="178">
        <f>FME_Ranking1[[#This Row],[Structures 100  Score (Normalized, Unweighted)]]*$I$3</f>
        <v>6.024289937026089E-3</v>
      </c>
      <c r="L864" s="246">
        <f>_xlfn.XLOOKUP(FME_Ranking1[[#This Row],[FME ID]],FME_Input[FME_ID],FME_Input[RES_STRUCT100])</f>
        <v>3</v>
      </c>
      <c r="M864" s="230">
        <f>(FME_Ranking1[[#This Row],[Res Structures Raw]]/L$2)*100</f>
        <v>2.1249167740930146E-3</v>
      </c>
      <c r="N864" s="180">
        <f>FME_Ranking1[[#This Row],[Res Structures Score (Normalized, Unweighted)]]*$L$3</f>
        <v>2.1249167740930149E-4</v>
      </c>
      <c r="O864" s="244">
        <f>_xlfn.XLOOKUP(FME_Ranking1[[#This Row],[FME ID]],FME_Input[FME_ID],FME_Input[POP100])</f>
        <v>809</v>
      </c>
      <c r="P864" s="178">
        <f>(FME_Ranking1[[#This Row],[Pop Raw]]/$O$2)*100</f>
        <v>8.2821627398909498E-2</v>
      </c>
      <c r="Q864" s="178">
        <f>FME_Ranking1[[#This Row],[Pop Score (Normalized, Unweighted)]]*$O$3</f>
        <v>1.2423244109836425E-2</v>
      </c>
      <c r="R864" s="137">
        <f>_xlfn.XLOOKUP(FME_Ranking1[[#This Row],[FME ID]],FME_Input[FME_ID],FME_Input[CRITFAC100])</f>
        <v>0</v>
      </c>
      <c r="S864" s="230">
        <f>(FME_Ranking1[[#This Row],[Critical Facilities Raw]]/$R$2)*100</f>
        <v>0</v>
      </c>
      <c r="T864" s="180">
        <f>FME_Ranking1[[#This Row],[Critical Facilities Score (Normalized, Unweighted)]]*$R$3</f>
        <v>0</v>
      </c>
      <c r="U864">
        <f>_xlfn.XLOOKUP(FME_Ranking1[[#This Row],[FME ID]],FME_Input[FME_ID],FME_Input[LWC])</f>
        <v>10</v>
      </c>
      <c r="V864" s="178">
        <f>(FME_Ranking1[[#This Row],[LWC Raw]]/$U$2)*100</f>
        <v>0.57570523891767411</v>
      </c>
      <c r="W864" s="178">
        <f>FME_Ranking1[[#This Row],[LWC Score (Normalized, Unweighted)]]*$U$3</f>
        <v>0.11514104778353483</v>
      </c>
      <c r="X864" s="246">
        <f>_xlfn.XLOOKUP(FME_Ranking1[[#This Row],[FME ID]],FME_Input[FME_ID],FME_Input[ROADCLS])</f>
        <v>0</v>
      </c>
      <c r="Y864" s="230">
        <f>(FME_Ranking1[[#This Row],[Closures Raw]]/$X$2)*100</f>
        <v>0</v>
      </c>
      <c r="Z864" s="180">
        <f>FME_Ranking1[[#This Row],[Closures Score (Normalized, Unweighted)]]*$X$3</f>
        <v>0</v>
      </c>
      <c r="AA864" s="253">
        <f>_xlfn.XLOOKUP(FME_Ranking1[[#This Row],[FME ID]],FME_Input[FME_ID],FME_Input[ROAD_MILES100])</f>
        <v>1.427320599555969</v>
      </c>
      <c r="AB864" s="178">
        <f>(FME_Ranking1[[#This Row],[Miles Raw]]/$AA$2)*100</f>
        <v>1.8766705864482851E-2</v>
      </c>
      <c r="AC864" s="178">
        <f>FME_Ranking1[[#This Row],[Miles Score (Normalized, Unweighted)]]*$AA$3</f>
        <v>1.8766705864482853E-3</v>
      </c>
      <c r="AD864" s="255">
        <f>_xlfn.XLOOKUP(FME_Ranking1[[#This Row],[FME ID]],FME_Input[FME_ID],FME_Input[FARMACRE100])</f>
        <v>170.98002624511719</v>
      </c>
      <c r="AE864" s="230">
        <f>(FME_Ranking1[[#This Row],[Ag Land Raw]]/$AD$2)*100</f>
        <v>7.0504508896303249E-3</v>
      </c>
      <c r="AF864" s="231">
        <f>FME_Ranking1[[#This Row],[Ag Land Score (Normalized, Unweighted)]]*$AD$3</f>
        <v>3.5252254448151627E-4</v>
      </c>
      <c r="AG86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0.13603026663873644</v>
      </c>
      <c r="AH864" s="406">
        <f t="shared" si="13"/>
        <v>933</v>
      </c>
      <c r="AI86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0.13603026663873644</v>
      </c>
      <c r="AJ864" s="257">
        <f>FME_Ranking1[[#This Row],[Addition check]]-FME_Ranking1[[#This Row],[Weighted Score Based on Normalized Reported Factors]]</f>
        <v>0</v>
      </c>
      <c r="AK864" s="178">
        <f>_xlfn.RANK.EQ(AI864,$AI$6:$AI$2341,0)+COUNTIF($AI$6:AI864,AI864)-1</f>
        <v>933</v>
      </c>
    </row>
    <row r="865" spans="1:37" x14ac:dyDescent="0.25">
      <c r="A865" t="s">
        <v>7723</v>
      </c>
      <c r="B865">
        <f>_xlfn.XLOOKUP(FME_Ranking1[[#This Row],[FME ID]],FME_Input[FME_ID],FME_Input[RFPG_NUM])</f>
        <v>8</v>
      </c>
      <c r="C865" t="str">
        <f>_xlfn.XLOOKUP(FME_Ranking1[[#This Row],[FME ID]],FME_Input[FME_ID],FME_Input[FME_NAME])</f>
        <v>Texas Ave Crossing &amp; Channel Improvements (Hwy 6 to Texas) &amp; Detenton Pond</v>
      </c>
      <c r="D865" t="str">
        <f>_xlfn.XLOOKUP(FME_Ranking1[[#This Row],[FME ID]],FME_Input[FME_ID],FME_Input[DESCR])</f>
        <v>Update design to account for Atlas 14 rainfall.</v>
      </c>
      <c r="E865" s="256">
        <f>_xlfn.XLOOKUP(FME_Ranking1[[#This Row],[FME ID]],FME_Input[FME_ID],FME_Input[FME_COST])</f>
        <v>100000</v>
      </c>
      <c r="F865" t="str">
        <f>_xlfn.XLOOKUP(FME_Ranking1[[#This Row],[FME ID]],FME_Input[FME_ID],FME_Input[EMER_NEED])</f>
        <v>No</v>
      </c>
      <c r="G865">
        <f>IF(FME_Ranking!F865="Yes",100,0)</f>
        <v>0</v>
      </c>
      <c r="H865">
        <f>FME_Ranking1[[#This Row],[Emergency Need Score (Normalized, Unweighted)]]*$F$3</f>
        <v>0</v>
      </c>
      <c r="I865" s="246">
        <f>_xlfn.XLOOKUP(FME_Ranking1[[#This Row],[FME ID]],FME_Input[FME_ID],FME_Input[STRUCT_100])</f>
        <v>69</v>
      </c>
      <c r="J865" s="178">
        <f>(FME_Ranking1[[#This Row],[Structures 100 Raw]]/I$2)*100</f>
        <v>3.6948978280426682E-2</v>
      </c>
      <c r="K865" s="178">
        <f>FME_Ranking1[[#This Row],[Structures 100  Score (Normalized, Unweighted)]]*$I$3</f>
        <v>5.5423467420640023E-3</v>
      </c>
      <c r="L865" s="246">
        <f>_xlfn.XLOOKUP(FME_Ranking1[[#This Row],[FME ID]],FME_Input[FME_ID],FME_Input[RES_STRUCT100])</f>
        <v>50</v>
      </c>
      <c r="M865" s="230">
        <f>(FME_Ranking1[[#This Row],[Res Structures Raw]]/L$2)*100</f>
        <v>3.5415279568216912E-2</v>
      </c>
      <c r="N865" s="180">
        <f>FME_Ranking1[[#This Row],[Res Structures Score (Normalized, Unweighted)]]*$L$3</f>
        <v>3.5415279568216914E-3</v>
      </c>
      <c r="O865" s="244">
        <f>_xlfn.XLOOKUP(FME_Ranking1[[#This Row],[FME ID]],FME_Input[FME_ID],FME_Input[POP100])</f>
        <v>111</v>
      </c>
      <c r="P865" s="178">
        <f>(FME_Ranking1[[#This Row],[Pop Raw]]/$O$2)*100</f>
        <v>1.1363659630752724E-2</v>
      </c>
      <c r="Q865" s="178">
        <f>FME_Ranking1[[#This Row],[Pop Score (Normalized, Unweighted)]]*$O$3</f>
        <v>1.7045489446129087E-3</v>
      </c>
      <c r="R865" s="137">
        <f>_xlfn.XLOOKUP(FME_Ranking1[[#This Row],[FME ID]],FME_Input[FME_ID],FME_Input[CRITFAC100])</f>
        <v>1</v>
      </c>
      <c r="S865" s="230">
        <f>(FME_Ranking1[[#This Row],[Critical Facilities Raw]]/$R$2)*100</f>
        <v>4.2881646655231559E-2</v>
      </c>
      <c r="T865" s="180">
        <f>FME_Ranking1[[#This Row],[Critical Facilities Score (Normalized, Unweighted)]]*$R$3</f>
        <v>8.5763293310463125E-3</v>
      </c>
      <c r="U865">
        <f>_xlfn.XLOOKUP(FME_Ranking1[[#This Row],[FME ID]],FME_Input[FME_ID],FME_Input[LWC])</f>
        <v>9</v>
      </c>
      <c r="V865" s="178">
        <f>(FME_Ranking1[[#This Row],[LWC Raw]]/$U$2)*100</f>
        <v>0.5181347150259068</v>
      </c>
      <c r="W865" s="178">
        <f>FME_Ranking1[[#This Row],[LWC Score (Normalized, Unweighted)]]*$U$3</f>
        <v>0.10362694300518137</v>
      </c>
      <c r="X865" s="246">
        <f>_xlfn.XLOOKUP(FME_Ranking1[[#This Row],[FME ID]],FME_Input[FME_ID],FME_Input[ROADCLS])</f>
        <v>19</v>
      </c>
      <c r="Y865" s="230">
        <f>(FME_Ranking1[[#This Row],[Closures Raw]]/$X$2)*100</f>
        <v>0.19976868888655239</v>
      </c>
      <c r="Z865" s="180">
        <f>FME_Ranking1[[#This Row],[Closures Score (Normalized, Unweighted)]]*$X$3</f>
        <v>9.9884344443276207E-3</v>
      </c>
      <c r="AA865" s="253">
        <f>_xlfn.XLOOKUP(FME_Ranking1[[#This Row],[FME ID]],FME_Input[FME_ID],FME_Input[ROAD_MILES100])</f>
        <v>2.126060009002686</v>
      </c>
      <c r="AB865" s="178">
        <f>(FME_Ranking1[[#This Row],[Miles Raw]]/$AA$2)*100</f>
        <v>2.7953875850741283E-2</v>
      </c>
      <c r="AC865" s="178">
        <f>FME_Ranking1[[#This Row],[Miles Score (Normalized, Unweighted)]]*$AA$3</f>
        <v>2.7953875850741283E-3</v>
      </c>
      <c r="AD865" s="255">
        <f>_xlfn.XLOOKUP(FME_Ranking1[[#This Row],[FME ID]],FME_Input[FME_ID],FME_Input[FARMACRE100])</f>
        <v>75.054000854492188</v>
      </c>
      <c r="AE865" s="230">
        <f>(FME_Ranking1[[#This Row],[Ag Land Raw]]/$AD$2)*100</f>
        <v>3.0948910157275254E-3</v>
      </c>
      <c r="AF865" s="231">
        <f>FME_Ranking1[[#This Row],[Ag Land Score (Normalized, Unweighted)]]*$AD$3</f>
        <v>1.5474455078637629E-4</v>
      </c>
      <c r="AG86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0.13593026255991442</v>
      </c>
      <c r="AH865" s="406">
        <f t="shared" si="13"/>
        <v>937</v>
      </c>
      <c r="AI86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0.13593026255991442</v>
      </c>
      <c r="AJ865" s="257">
        <f>FME_Ranking1[[#This Row],[Addition check]]-FME_Ranking1[[#This Row],[Weighted Score Based on Normalized Reported Factors]]</f>
        <v>0</v>
      </c>
      <c r="AK865" s="178">
        <f>_xlfn.RANK.EQ(AI865,$AI$6:$AI$2341,0)+COUNTIF($AI$6:AI865,AI865)-1</f>
        <v>937</v>
      </c>
    </row>
    <row r="866" spans="1:37" x14ac:dyDescent="0.25">
      <c r="A866" t="s">
        <v>535</v>
      </c>
      <c r="B866">
        <f>_xlfn.XLOOKUP(FME_Ranking1[[#This Row],[FME ID]],FME_Input[FME_ID],FME_Input[RFPG_NUM])</f>
        <v>10</v>
      </c>
      <c r="C866" t="str">
        <f>_xlfn.XLOOKUP(FME_Ranking1[[#This Row],[FME ID]],FME_Input[FME_ID],FME_Input[FME_NAME])</f>
        <v>Jones Brothers Park Flooding</v>
      </c>
      <c r="D866" t="str">
        <f>_xlfn.XLOOKUP(FME_Ranking1[[#This Row],[FME ID]],FME_Input[FME_ID],FME_Input[DESCR])</f>
        <v>Study area/ infrastructure often flooded during large storm events. Could also potentially be a buyout situation</v>
      </c>
      <c r="E866" s="256">
        <f>_xlfn.XLOOKUP(FME_Ranking1[[#This Row],[FME ID]],FME_Input[FME_ID],FME_Input[FME_COST])</f>
        <v>100000</v>
      </c>
      <c r="F866" t="str">
        <f>_xlfn.XLOOKUP(FME_Ranking1[[#This Row],[FME ID]],FME_Input[FME_ID],FME_Input[EMER_NEED])</f>
        <v>No</v>
      </c>
      <c r="G866">
        <f>IF(FME_Ranking!F866="Yes",100,0)</f>
        <v>0</v>
      </c>
      <c r="H866">
        <f>FME_Ranking1[[#This Row],[Emergency Need Score (Normalized, Unweighted)]]*$F$3</f>
        <v>0</v>
      </c>
      <c r="I866" s="246">
        <f>_xlfn.XLOOKUP(FME_Ranking1[[#This Row],[FME ID]],FME_Input[FME_ID],FME_Input[STRUCT_100])</f>
        <v>297</v>
      </c>
      <c r="J866" s="178">
        <f>(FME_Ranking1[[#This Row],[Structures 100 Raw]]/I$2)*100</f>
        <v>0.15904125433748875</v>
      </c>
      <c r="K866" s="178">
        <f>FME_Ranking1[[#This Row],[Structures 100  Score (Normalized, Unweighted)]]*$I$3</f>
        <v>2.3856188150623313E-2</v>
      </c>
      <c r="L866" s="246">
        <f>_xlfn.XLOOKUP(FME_Ranking1[[#This Row],[FME ID]],FME_Input[FME_ID],FME_Input[RES_STRUCT100])</f>
        <v>269</v>
      </c>
      <c r="M866" s="230">
        <f>(FME_Ranking1[[#This Row],[Res Structures Raw]]/L$2)*100</f>
        <v>0.19053420407700697</v>
      </c>
      <c r="N866" s="180">
        <f>FME_Ranking1[[#This Row],[Res Structures Score (Normalized, Unweighted)]]*$L$3</f>
        <v>1.9053420407700698E-2</v>
      </c>
      <c r="O866" s="244">
        <f>_xlfn.XLOOKUP(FME_Ranking1[[#This Row],[FME ID]],FME_Input[FME_ID],FME_Input[POP100])</f>
        <v>397</v>
      </c>
      <c r="P866" s="178">
        <f>(FME_Ranking1[[#This Row],[Pop Raw]]/$O$2)*100</f>
        <v>4.0642998859539023E-2</v>
      </c>
      <c r="Q866" s="178">
        <f>FME_Ranking1[[#This Row],[Pop Score (Normalized, Unweighted)]]*$O$3</f>
        <v>6.0964498289308531E-3</v>
      </c>
      <c r="R866" s="137">
        <f>_xlfn.XLOOKUP(FME_Ranking1[[#This Row],[FME ID]],FME_Input[FME_ID],FME_Input[CRITFAC100])</f>
        <v>0</v>
      </c>
      <c r="S866" s="230">
        <f>(FME_Ranking1[[#This Row],[Critical Facilities Raw]]/$R$2)*100</f>
        <v>0</v>
      </c>
      <c r="T866" s="180">
        <f>FME_Ranking1[[#This Row],[Critical Facilities Score (Normalized, Unweighted)]]*$R$3</f>
        <v>0</v>
      </c>
      <c r="U866">
        <f>_xlfn.XLOOKUP(FME_Ranking1[[#This Row],[FME ID]],FME_Input[FME_ID],FME_Input[LWC])</f>
        <v>7</v>
      </c>
      <c r="V866" s="178">
        <f>(FME_Ranking1[[#This Row],[LWC Raw]]/$U$2)*100</f>
        <v>0.40299366724237184</v>
      </c>
      <c r="W866" s="178">
        <f>FME_Ranking1[[#This Row],[LWC Score (Normalized, Unweighted)]]*$U$3</f>
        <v>8.0598733448474374E-2</v>
      </c>
      <c r="X866" s="246">
        <f>_xlfn.XLOOKUP(FME_Ranking1[[#This Row],[FME ID]],FME_Input[FME_ID],FME_Input[ROADCLS])</f>
        <v>0</v>
      </c>
      <c r="Y866" s="230">
        <f>(FME_Ranking1[[#This Row],[Closures Raw]]/$X$2)*100</f>
        <v>0</v>
      </c>
      <c r="Z866" s="180">
        <f>FME_Ranking1[[#This Row],[Closures Score (Normalized, Unweighted)]]*$X$3</f>
        <v>0</v>
      </c>
      <c r="AA866" s="253">
        <f>_xlfn.XLOOKUP(FME_Ranking1[[#This Row],[FME ID]],FME_Input[FME_ID],FME_Input[ROAD_MILES100])</f>
        <v>3.9056942462921138</v>
      </c>
      <c r="AB866" s="178">
        <f>(FME_Ranking1[[#This Row],[Miles Raw]]/$AA$2)*100</f>
        <v>5.1352874147244439E-2</v>
      </c>
      <c r="AC866" s="178">
        <f>FME_Ranking1[[#This Row],[Miles Score (Normalized, Unweighted)]]*$AA$3</f>
        <v>5.1352874147244446E-3</v>
      </c>
      <c r="AD866" s="255">
        <f>_xlfn.XLOOKUP(FME_Ranking1[[#This Row],[FME ID]],FME_Input[FME_ID],FME_Input[FARMACRE100])</f>
        <v>1595.408935546875</v>
      </c>
      <c r="AE866" s="230">
        <f>(FME_Ranking1[[#This Row],[Ag Land Raw]]/$AD$2)*100</f>
        <v>6.5787522647966987E-2</v>
      </c>
      <c r="AF866" s="231">
        <f>FME_Ranking1[[#This Row],[Ag Land Score (Normalized, Unweighted)]]*$AD$3</f>
        <v>3.2893761323983493E-3</v>
      </c>
      <c r="AG86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0.13802945538285202</v>
      </c>
      <c r="AH866" s="406">
        <f t="shared" si="13"/>
        <v>927</v>
      </c>
      <c r="AI86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0.13802945538285202</v>
      </c>
      <c r="AJ866" s="257">
        <f>FME_Ranking1[[#This Row],[Addition check]]-FME_Ranking1[[#This Row],[Weighted Score Based on Normalized Reported Factors]]</f>
        <v>0</v>
      </c>
      <c r="AK866" s="178">
        <f>_xlfn.RANK.EQ(AI866,$AI$6:$AI$2341,0)+COUNTIF($AI$6:AI866,AI866)-1</f>
        <v>927</v>
      </c>
    </row>
    <row r="867" spans="1:37" x14ac:dyDescent="0.25">
      <c r="A867" t="s">
        <v>8026</v>
      </c>
      <c r="B867">
        <f>_xlfn.XLOOKUP(FME_Ranking1[[#This Row],[FME ID]],FME_Input[FME_ID],FME_Input[RFPG_NUM])</f>
        <v>9</v>
      </c>
      <c r="C867" t="str">
        <f>_xlfn.XLOOKUP(FME_Ranking1[[#This Row],[FME ID]],FME_Input[FME_ID],FME_Input[FME_NAME])</f>
        <v>Taylor County  GIS Development</v>
      </c>
      <c r="D867" t="str">
        <f>_xlfn.XLOOKUP(FME_Ranking1[[#This Row],[FME ID]],FME_Input[FME_ID],FME_Input[DESCR])</f>
        <v>Develop a GIS inventory of stormwater infrastructure</v>
      </c>
      <c r="E867" s="256">
        <f>_xlfn.XLOOKUP(FME_Ranking1[[#This Row],[FME ID]],FME_Input[FME_ID],FME_Input[FME_COST])</f>
        <v>100000</v>
      </c>
      <c r="F867" t="str">
        <f>_xlfn.XLOOKUP(FME_Ranking1[[#This Row],[FME ID]],FME_Input[FME_ID],FME_Input[EMER_NEED])</f>
        <v>No</v>
      </c>
      <c r="G867">
        <f>IF(FME_Ranking!F867="Yes",100,0)</f>
        <v>0</v>
      </c>
      <c r="H867">
        <f>FME_Ranking1[[#This Row],[Emergency Need Score (Normalized, Unweighted)]]*$F$3</f>
        <v>0</v>
      </c>
      <c r="I867" s="246">
        <f>_xlfn.XLOOKUP(FME_Ranking1[[#This Row],[FME ID]],FME_Input[FME_ID],FME_Input[STRUCT_100])</f>
        <v>70</v>
      </c>
      <c r="J867" s="178">
        <f>(FME_Ranking1[[#This Row],[Structures 100 Raw]]/I$2)*100</f>
        <v>3.7484470719273445E-2</v>
      </c>
      <c r="K867" s="178">
        <f>FME_Ranking1[[#This Row],[Structures 100  Score (Normalized, Unweighted)]]*$I$3</f>
        <v>5.6226706078910168E-3</v>
      </c>
      <c r="L867" s="246">
        <f>_xlfn.XLOOKUP(FME_Ranking1[[#This Row],[FME ID]],FME_Input[FME_ID],FME_Input[RES_STRUCT100])</f>
        <v>51</v>
      </c>
      <c r="M867" s="230">
        <f>(FME_Ranking1[[#This Row],[Res Structures Raw]]/L$2)*100</f>
        <v>3.6123585159581251E-2</v>
      </c>
      <c r="N867" s="180">
        <f>FME_Ranking1[[#This Row],[Res Structures Score (Normalized, Unweighted)]]*$L$3</f>
        <v>3.6123585159581252E-3</v>
      </c>
      <c r="O867" s="244">
        <f>_xlfn.XLOOKUP(FME_Ranking1[[#This Row],[FME ID]],FME_Input[FME_ID],FME_Input[POP100])</f>
        <v>46</v>
      </c>
      <c r="P867" s="178">
        <f>(FME_Ranking1[[#This Row],[Pop Raw]]/$O$2)*100</f>
        <v>4.7092643514831112E-3</v>
      </c>
      <c r="Q867" s="178">
        <f>FME_Ranking1[[#This Row],[Pop Score (Normalized, Unweighted)]]*$O$3</f>
        <v>7.0638965272246665E-4</v>
      </c>
      <c r="R867" s="137">
        <f>_xlfn.XLOOKUP(FME_Ranking1[[#This Row],[FME ID]],FME_Input[FME_ID],FME_Input[CRITFAC100])</f>
        <v>0</v>
      </c>
      <c r="S867" s="230">
        <f>(FME_Ranking1[[#This Row],[Critical Facilities Raw]]/$R$2)*100</f>
        <v>0</v>
      </c>
      <c r="T867" s="180">
        <f>FME_Ranking1[[#This Row],[Critical Facilities Score (Normalized, Unweighted)]]*$R$3</f>
        <v>0</v>
      </c>
      <c r="U867">
        <f>_xlfn.XLOOKUP(FME_Ranking1[[#This Row],[FME ID]],FME_Input[FME_ID],FME_Input[LWC])</f>
        <v>10</v>
      </c>
      <c r="V867" s="178">
        <f>(FME_Ranking1[[#This Row],[LWC Raw]]/$U$2)*100</f>
        <v>0.57570523891767411</v>
      </c>
      <c r="W867" s="178">
        <f>FME_Ranking1[[#This Row],[LWC Score (Normalized, Unweighted)]]*$U$3</f>
        <v>0.11514104778353483</v>
      </c>
      <c r="X867" s="246">
        <f>_xlfn.XLOOKUP(FME_Ranking1[[#This Row],[FME ID]],FME_Input[FME_ID],FME_Input[ROADCLS])</f>
        <v>0</v>
      </c>
      <c r="Y867" s="230">
        <f>(FME_Ranking1[[#This Row],[Closures Raw]]/$X$2)*100</f>
        <v>0</v>
      </c>
      <c r="Z867" s="180">
        <f>FME_Ranking1[[#This Row],[Closures Score (Normalized, Unweighted)]]*$X$3</f>
        <v>0</v>
      </c>
      <c r="AA867" s="253">
        <f>_xlfn.XLOOKUP(FME_Ranking1[[#This Row],[FME ID]],FME_Input[FME_ID],FME_Input[ROAD_MILES100])</f>
        <v>17.8416633605957</v>
      </c>
      <c r="AB867" s="178">
        <f>(FME_Ranking1[[#This Row],[Miles Raw]]/$AA$2)*100</f>
        <v>0.23458587266629766</v>
      </c>
      <c r="AC867" s="178">
        <f>FME_Ranking1[[#This Row],[Miles Score (Normalized, Unweighted)]]*$AA$3</f>
        <v>2.3458587266629766E-2</v>
      </c>
      <c r="AD867" s="255">
        <f>_xlfn.XLOOKUP(FME_Ranking1[[#This Row],[FME ID]],FME_Input[FME_ID],FME_Input[FARMACRE100])</f>
        <v>3752.04443359375</v>
      </c>
      <c r="AE867" s="230">
        <f>(FME_Ranking1[[#This Row],[Ag Land Raw]]/$AD$2)*100</f>
        <v>0.15471751640065631</v>
      </c>
      <c r="AF867" s="231">
        <f>FME_Ranking1[[#This Row],[Ag Land Score (Normalized, Unweighted)]]*$AD$3</f>
        <v>7.7358758200328157E-3</v>
      </c>
      <c r="AG86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0.15627692964676904</v>
      </c>
      <c r="AH867" s="406">
        <f t="shared" si="13"/>
        <v>879</v>
      </c>
      <c r="AI86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0.15627692964676904</v>
      </c>
      <c r="AJ867" s="257">
        <f>FME_Ranking1[[#This Row],[Addition check]]-FME_Ranking1[[#This Row],[Weighted Score Based on Normalized Reported Factors]]</f>
        <v>0</v>
      </c>
      <c r="AK867" s="178">
        <f>_xlfn.RANK.EQ(AI867,$AI$6:$AI$2341,0)+COUNTIF($AI$6:AI867,AI867)-1</f>
        <v>879</v>
      </c>
    </row>
    <row r="868" spans="1:37" x14ac:dyDescent="0.25">
      <c r="A868" t="s">
        <v>8122</v>
      </c>
      <c r="B868">
        <f>_xlfn.XLOOKUP(FME_Ranking1[[#This Row],[FME ID]],FME_Input[FME_ID],FME_Input[RFPG_NUM])</f>
        <v>9</v>
      </c>
      <c r="C868" t="str">
        <f>_xlfn.XLOOKUP(FME_Ranking1[[#This Row],[FME ID]],FME_Input[FME_ID],FME_Input[FME_NAME])</f>
        <v>Taylor County Repetitive Loss Properties Study</v>
      </c>
      <c r="D868" t="str">
        <f>_xlfn.XLOOKUP(FME_Ranking1[[#This Row],[FME ID]],FME_Input[FME_ID],FME_Input[DESCR])</f>
        <v xml:space="preserve">Proposed evaluation of potential mitigation project for repetitive loss properties in Taylor County. </v>
      </c>
      <c r="E868" s="256">
        <f>_xlfn.XLOOKUP(FME_Ranking1[[#This Row],[FME ID]],FME_Input[FME_ID],FME_Input[FME_COST])</f>
        <v>100000</v>
      </c>
      <c r="F868" t="str">
        <f>_xlfn.XLOOKUP(FME_Ranking1[[#This Row],[FME ID]],FME_Input[FME_ID],FME_Input[EMER_NEED])</f>
        <v>No</v>
      </c>
      <c r="G868">
        <f>IF(FME_Ranking!F868="Yes",100,0)</f>
        <v>0</v>
      </c>
      <c r="H868">
        <f>FME_Ranking1[[#This Row],[Emergency Need Score (Normalized, Unweighted)]]*$F$3</f>
        <v>0</v>
      </c>
      <c r="I868" s="246">
        <f>_xlfn.XLOOKUP(FME_Ranking1[[#This Row],[FME ID]],FME_Input[FME_ID],FME_Input[STRUCT_100])</f>
        <v>70</v>
      </c>
      <c r="J868" s="178">
        <f>(FME_Ranking1[[#This Row],[Structures 100 Raw]]/I$2)*100</f>
        <v>3.7484470719273445E-2</v>
      </c>
      <c r="K868" s="178">
        <f>FME_Ranking1[[#This Row],[Structures 100  Score (Normalized, Unweighted)]]*$I$3</f>
        <v>5.6226706078910168E-3</v>
      </c>
      <c r="L868" s="246">
        <f>_xlfn.XLOOKUP(FME_Ranking1[[#This Row],[FME ID]],FME_Input[FME_ID],FME_Input[RES_STRUCT100])</f>
        <v>51</v>
      </c>
      <c r="M868" s="230">
        <f>(FME_Ranking1[[#This Row],[Res Structures Raw]]/L$2)*100</f>
        <v>3.6123585159581251E-2</v>
      </c>
      <c r="N868" s="180">
        <f>FME_Ranking1[[#This Row],[Res Structures Score (Normalized, Unweighted)]]*$L$3</f>
        <v>3.6123585159581252E-3</v>
      </c>
      <c r="O868" s="244">
        <f>_xlfn.XLOOKUP(FME_Ranking1[[#This Row],[FME ID]],FME_Input[FME_ID],FME_Input[POP100])</f>
        <v>46</v>
      </c>
      <c r="P868" s="178">
        <f>(FME_Ranking1[[#This Row],[Pop Raw]]/$O$2)*100</f>
        <v>4.7092643514831112E-3</v>
      </c>
      <c r="Q868" s="178">
        <f>FME_Ranking1[[#This Row],[Pop Score (Normalized, Unweighted)]]*$O$3</f>
        <v>7.0638965272246665E-4</v>
      </c>
      <c r="R868" s="137">
        <f>_xlfn.XLOOKUP(FME_Ranking1[[#This Row],[FME ID]],FME_Input[FME_ID],FME_Input[CRITFAC100])</f>
        <v>0</v>
      </c>
      <c r="S868" s="230">
        <f>(FME_Ranking1[[#This Row],[Critical Facilities Raw]]/$R$2)*100</f>
        <v>0</v>
      </c>
      <c r="T868" s="180">
        <f>FME_Ranking1[[#This Row],[Critical Facilities Score (Normalized, Unweighted)]]*$R$3</f>
        <v>0</v>
      </c>
      <c r="U868">
        <f>_xlfn.XLOOKUP(FME_Ranking1[[#This Row],[FME ID]],FME_Input[FME_ID],FME_Input[LWC])</f>
        <v>10</v>
      </c>
      <c r="V868" s="178">
        <f>(FME_Ranking1[[#This Row],[LWC Raw]]/$U$2)*100</f>
        <v>0.57570523891767411</v>
      </c>
      <c r="W868" s="178">
        <f>FME_Ranking1[[#This Row],[LWC Score (Normalized, Unweighted)]]*$U$3</f>
        <v>0.11514104778353483</v>
      </c>
      <c r="X868" s="246">
        <f>_xlfn.XLOOKUP(FME_Ranking1[[#This Row],[FME ID]],FME_Input[FME_ID],FME_Input[ROADCLS])</f>
        <v>0</v>
      </c>
      <c r="Y868" s="230">
        <f>(FME_Ranking1[[#This Row],[Closures Raw]]/$X$2)*100</f>
        <v>0</v>
      </c>
      <c r="Z868" s="180">
        <f>FME_Ranking1[[#This Row],[Closures Score (Normalized, Unweighted)]]*$X$3</f>
        <v>0</v>
      </c>
      <c r="AA868" s="253">
        <f>_xlfn.XLOOKUP(FME_Ranking1[[#This Row],[FME ID]],FME_Input[FME_ID],FME_Input[ROAD_MILES100])</f>
        <v>17.8400764465332</v>
      </c>
      <c r="AB868" s="178">
        <f>(FME_Ranking1[[#This Row],[Miles Raw]]/$AA$2)*100</f>
        <v>0.23456500759263973</v>
      </c>
      <c r="AC868" s="178">
        <f>FME_Ranking1[[#This Row],[Miles Score (Normalized, Unweighted)]]*$AA$3</f>
        <v>2.3456500759263976E-2</v>
      </c>
      <c r="AD868" s="255">
        <f>_xlfn.XLOOKUP(FME_Ranking1[[#This Row],[FME ID]],FME_Input[FME_ID],FME_Input[FARMACRE100])</f>
        <v>3752.04443359375</v>
      </c>
      <c r="AE868" s="230">
        <f>(FME_Ranking1[[#This Row],[Ag Land Raw]]/$AD$2)*100</f>
        <v>0.15471751640065631</v>
      </c>
      <c r="AF868" s="231">
        <f>FME_Ranking1[[#This Row],[Ag Land Score (Normalized, Unweighted)]]*$AD$3</f>
        <v>7.7358758200328157E-3</v>
      </c>
      <c r="AG86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0.15627484313940324</v>
      </c>
      <c r="AH868" s="406">
        <f t="shared" si="13"/>
        <v>882</v>
      </c>
      <c r="AI86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0.15627484313940324</v>
      </c>
      <c r="AJ868" s="257">
        <f>FME_Ranking1[[#This Row],[Addition check]]-FME_Ranking1[[#This Row],[Weighted Score Based on Normalized Reported Factors]]</f>
        <v>0</v>
      </c>
      <c r="AK868" s="178">
        <f>_xlfn.RANK.EQ(AI868,$AI$6:$AI$2341,0)+COUNTIF($AI$6:AI868,AI868)-1</f>
        <v>882</v>
      </c>
    </row>
    <row r="869" spans="1:37" x14ac:dyDescent="0.25">
      <c r="A869" t="s">
        <v>8127</v>
      </c>
      <c r="B869">
        <f>_xlfn.XLOOKUP(FME_Ranking1[[#This Row],[FME ID]],FME_Input[FME_ID],FME_Input[RFPG_NUM])</f>
        <v>9</v>
      </c>
      <c r="C869" t="str">
        <f>_xlfn.XLOOKUP(FME_Ranking1[[#This Row],[FME ID]],FME_Input[FME_ID],FME_Input[FME_NAME])</f>
        <v>Taylor County USACE Comprehensive Flood Risk Study</v>
      </c>
      <c r="D869" t="str">
        <f>_xlfn.XLOOKUP(FME_Ranking1[[#This Row],[FME ID]],FME_Input[FME_ID],FME_Input[DESCR])</f>
        <v>Undertake a comprehensive study of flood risk and reduction alternatives, with the assistance of the US Army Corps of Engineering. Implement feasible alternative for flood reduction. Revise flood damage prevention ordinance to include flood risk areas ide</v>
      </c>
      <c r="E869" s="256">
        <f>_xlfn.XLOOKUP(FME_Ranking1[[#This Row],[FME ID]],FME_Input[FME_ID],FME_Input[FME_COST])</f>
        <v>2000000</v>
      </c>
      <c r="F869" t="str">
        <f>_xlfn.XLOOKUP(FME_Ranking1[[#This Row],[FME ID]],FME_Input[FME_ID],FME_Input[EMER_NEED])</f>
        <v>No</v>
      </c>
      <c r="G869">
        <f>IF(FME_Ranking!F869="Yes",100,0)</f>
        <v>0</v>
      </c>
      <c r="H869">
        <f>FME_Ranking1[[#This Row],[Emergency Need Score (Normalized, Unweighted)]]*$F$3</f>
        <v>0</v>
      </c>
      <c r="I869" s="246">
        <f>_xlfn.XLOOKUP(FME_Ranking1[[#This Row],[FME ID]],FME_Input[FME_ID],FME_Input[STRUCT_100])</f>
        <v>70</v>
      </c>
      <c r="J869" s="178">
        <f>(FME_Ranking1[[#This Row],[Structures 100 Raw]]/I$2)*100</f>
        <v>3.7484470719273445E-2</v>
      </c>
      <c r="K869" s="178">
        <f>FME_Ranking1[[#This Row],[Structures 100  Score (Normalized, Unweighted)]]*$I$3</f>
        <v>5.6226706078910168E-3</v>
      </c>
      <c r="L869" s="246">
        <f>_xlfn.XLOOKUP(FME_Ranking1[[#This Row],[FME ID]],FME_Input[FME_ID],FME_Input[RES_STRUCT100])</f>
        <v>51</v>
      </c>
      <c r="M869" s="230">
        <f>(FME_Ranking1[[#This Row],[Res Structures Raw]]/L$2)*100</f>
        <v>3.6123585159581251E-2</v>
      </c>
      <c r="N869" s="180">
        <f>FME_Ranking1[[#This Row],[Res Structures Score (Normalized, Unweighted)]]*$L$3</f>
        <v>3.6123585159581252E-3</v>
      </c>
      <c r="O869" s="244">
        <f>_xlfn.XLOOKUP(FME_Ranking1[[#This Row],[FME ID]],FME_Input[FME_ID],FME_Input[POP100])</f>
        <v>46</v>
      </c>
      <c r="P869" s="178">
        <f>(FME_Ranking1[[#This Row],[Pop Raw]]/$O$2)*100</f>
        <v>4.7092643514831112E-3</v>
      </c>
      <c r="Q869" s="178">
        <f>FME_Ranking1[[#This Row],[Pop Score (Normalized, Unweighted)]]*$O$3</f>
        <v>7.0638965272246665E-4</v>
      </c>
      <c r="R869" s="137">
        <f>_xlfn.XLOOKUP(FME_Ranking1[[#This Row],[FME ID]],FME_Input[FME_ID],FME_Input[CRITFAC100])</f>
        <v>0</v>
      </c>
      <c r="S869" s="230">
        <f>(FME_Ranking1[[#This Row],[Critical Facilities Raw]]/$R$2)*100</f>
        <v>0</v>
      </c>
      <c r="T869" s="180">
        <f>FME_Ranking1[[#This Row],[Critical Facilities Score (Normalized, Unweighted)]]*$R$3</f>
        <v>0</v>
      </c>
      <c r="U869">
        <f>_xlfn.XLOOKUP(FME_Ranking1[[#This Row],[FME ID]],FME_Input[FME_ID],FME_Input[LWC])</f>
        <v>10</v>
      </c>
      <c r="V869" s="178">
        <f>(FME_Ranking1[[#This Row],[LWC Raw]]/$U$2)*100</f>
        <v>0.57570523891767411</v>
      </c>
      <c r="W869" s="178">
        <f>FME_Ranking1[[#This Row],[LWC Score (Normalized, Unweighted)]]*$U$3</f>
        <v>0.11514104778353483</v>
      </c>
      <c r="X869" s="246">
        <f>_xlfn.XLOOKUP(FME_Ranking1[[#This Row],[FME ID]],FME_Input[FME_ID],FME_Input[ROADCLS])</f>
        <v>0</v>
      </c>
      <c r="Y869" s="230">
        <f>(FME_Ranking1[[#This Row],[Closures Raw]]/$X$2)*100</f>
        <v>0</v>
      </c>
      <c r="Z869" s="180">
        <f>FME_Ranking1[[#This Row],[Closures Score (Normalized, Unweighted)]]*$X$3</f>
        <v>0</v>
      </c>
      <c r="AA869" s="253">
        <f>_xlfn.XLOOKUP(FME_Ranking1[[#This Row],[FME ID]],FME_Input[FME_ID],FME_Input[ROAD_MILES100])</f>
        <v>17.8400764465332</v>
      </c>
      <c r="AB869" s="178">
        <f>(FME_Ranking1[[#This Row],[Miles Raw]]/$AA$2)*100</f>
        <v>0.23456500759263973</v>
      </c>
      <c r="AC869" s="178">
        <f>FME_Ranking1[[#This Row],[Miles Score (Normalized, Unweighted)]]*$AA$3</f>
        <v>2.3456500759263976E-2</v>
      </c>
      <c r="AD869" s="255">
        <f>_xlfn.XLOOKUP(FME_Ranking1[[#This Row],[FME ID]],FME_Input[FME_ID],FME_Input[FARMACRE100])</f>
        <v>3752.04443359375</v>
      </c>
      <c r="AE869" s="230">
        <f>(FME_Ranking1[[#This Row],[Ag Land Raw]]/$AD$2)*100</f>
        <v>0.15471751640065631</v>
      </c>
      <c r="AF869" s="231">
        <f>FME_Ranking1[[#This Row],[Ag Land Score (Normalized, Unweighted)]]*$AD$3</f>
        <v>7.7358758200328157E-3</v>
      </c>
      <c r="AG86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0.15627484313940324</v>
      </c>
      <c r="AH869" s="406">
        <f t="shared" si="13"/>
        <v>882</v>
      </c>
      <c r="AI86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0.15627484313940324</v>
      </c>
      <c r="AJ869" s="257">
        <f>FME_Ranking1[[#This Row],[Addition check]]-FME_Ranking1[[#This Row],[Weighted Score Based on Normalized Reported Factors]]</f>
        <v>0</v>
      </c>
      <c r="AK869" s="178">
        <f>_xlfn.RANK.EQ(AI869,$AI$6:$AI$2341,0)+COUNTIF($AI$6:AI869,AI869)-1</f>
        <v>883</v>
      </c>
    </row>
    <row r="870" spans="1:37" x14ac:dyDescent="0.25">
      <c r="A870" t="s">
        <v>8130</v>
      </c>
      <c r="B870">
        <f>_xlfn.XLOOKUP(FME_Ranking1[[#This Row],[FME ID]],FME_Input[FME_ID],FME_Input[RFPG_NUM])</f>
        <v>9</v>
      </c>
      <c r="C870" t="str">
        <f>_xlfn.XLOOKUP(FME_Ranking1[[#This Row],[FME ID]],FME_Input[FME_ID],FME_Input[FME_NAME])</f>
        <v>Taylor County DMP</v>
      </c>
      <c r="D870" t="str">
        <f>_xlfn.XLOOKUP(FME_Ranking1[[#This Row],[FME ID]],FME_Input[FME_ID],FME_Input[DESCR])</f>
        <v xml:space="preserve">Create Drainage Master Plan, including evaluation of potential mitigation projects. </v>
      </c>
      <c r="E870" s="256">
        <f>_xlfn.XLOOKUP(FME_Ranking1[[#This Row],[FME ID]],FME_Input[FME_ID],FME_Input[FME_COST])</f>
        <v>500000</v>
      </c>
      <c r="F870" t="str">
        <f>_xlfn.XLOOKUP(FME_Ranking1[[#This Row],[FME ID]],FME_Input[FME_ID],FME_Input[EMER_NEED])</f>
        <v>No</v>
      </c>
      <c r="G870">
        <f>IF(FME_Ranking!F870="Yes",100,0)</f>
        <v>0</v>
      </c>
      <c r="H870">
        <f>FME_Ranking1[[#This Row],[Emergency Need Score (Normalized, Unweighted)]]*$F$3</f>
        <v>0</v>
      </c>
      <c r="I870" s="246">
        <f>_xlfn.XLOOKUP(FME_Ranking1[[#This Row],[FME ID]],FME_Input[FME_ID],FME_Input[STRUCT_100])</f>
        <v>70</v>
      </c>
      <c r="J870" s="178">
        <f>(FME_Ranking1[[#This Row],[Structures 100 Raw]]/I$2)*100</f>
        <v>3.7484470719273445E-2</v>
      </c>
      <c r="K870" s="178">
        <f>FME_Ranking1[[#This Row],[Structures 100  Score (Normalized, Unweighted)]]*$I$3</f>
        <v>5.6226706078910168E-3</v>
      </c>
      <c r="L870" s="246">
        <f>_xlfn.XLOOKUP(FME_Ranking1[[#This Row],[FME ID]],FME_Input[FME_ID],FME_Input[RES_STRUCT100])</f>
        <v>51</v>
      </c>
      <c r="M870" s="230">
        <f>(FME_Ranking1[[#This Row],[Res Structures Raw]]/L$2)*100</f>
        <v>3.6123585159581251E-2</v>
      </c>
      <c r="N870" s="180">
        <f>FME_Ranking1[[#This Row],[Res Structures Score (Normalized, Unweighted)]]*$L$3</f>
        <v>3.6123585159581252E-3</v>
      </c>
      <c r="O870" s="244">
        <f>_xlfn.XLOOKUP(FME_Ranking1[[#This Row],[FME ID]],FME_Input[FME_ID],FME_Input[POP100])</f>
        <v>46</v>
      </c>
      <c r="P870" s="178">
        <f>(FME_Ranking1[[#This Row],[Pop Raw]]/$O$2)*100</f>
        <v>4.7092643514831112E-3</v>
      </c>
      <c r="Q870" s="178">
        <f>FME_Ranking1[[#This Row],[Pop Score (Normalized, Unweighted)]]*$O$3</f>
        <v>7.0638965272246665E-4</v>
      </c>
      <c r="R870" s="137">
        <f>_xlfn.XLOOKUP(FME_Ranking1[[#This Row],[FME ID]],FME_Input[FME_ID],FME_Input[CRITFAC100])</f>
        <v>0</v>
      </c>
      <c r="S870" s="230">
        <f>(FME_Ranking1[[#This Row],[Critical Facilities Raw]]/$R$2)*100</f>
        <v>0</v>
      </c>
      <c r="T870" s="180">
        <f>FME_Ranking1[[#This Row],[Critical Facilities Score (Normalized, Unweighted)]]*$R$3</f>
        <v>0</v>
      </c>
      <c r="U870">
        <f>_xlfn.XLOOKUP(FME_Ranking1[[#This Row],[FME ID]],FME_Input[FME_ID],FME_Input[LWC])</f>
        <v>10</v>
      </c>
      <c r="V870" s="178">
        <f>(FME_Ranking1[[#This Row],[LWC Raw]]/$U$2)*100</f>
        <v>0.57570523891767411</v>
      </c>
      <c r="W870" s="178">
        <f>FME_Ranking1[[#This Row],[LWC Score (Normalized, Unweighted)]]*$U$3</f>
        <v>0.11514104778353483</v>
      </c>
      <c r="X870" s="246">
        <f>_xlfn.XLOOKUP(FME_Ranking1[[#This Row],[FME ID]],FME_Input[FME_ID],FME_Input[ROADCLS])</f>
        <v>0</v>
      </c>
      <c r="Y870" s="230">
        <f>(FME_Ranking1[[#This Row],[Closures Raw]]/$X$2)*100</f>
        <v>0</v>
      </c>
      <c r="Z870" s="180">
        <f>FME_Ranking1[[#This Row],[Closures Score (Normalized, Unweighted)]]*$X$3</f>
        <v>0</v>
      </c>
      <c r="AA870" s="253">
        <f>_xlfn.XLOOKUP(FME_Ranking1[[#This Row],[FME ID]],FME_Input[FME_ID],FME_Input[ROAD_MILES100])</f>
        <v>17.8400764465332</v>
      </c>
      <c r="AB870" s="178">
        <f>(FME_Ranking1[[#This Row],[Miles Raw]]/$AA$2)*100</f>
        <v>0.23456500759263973</v>
      </c>
      <c r="AC870" s="178">
        <f>FME_Ranking1[[#This Row],[Miles Score (Normalized, Unweighted)]]*$AA$3</f>
        <v>2.3456500759263976E-2</v>
      </c>
      <c r="AD870" s="255">
        <f>_xlfn.XLOOKUP(FME_Ranking1[[#This Row],[FME ID]],FME_Input[FME_ID],FME_Input[FARMACRE100])</f>
        <v>3752.04443359375</v>
      </c>
      <c r="AE870" s="230">
        <f>(FME_Ranking1[[#This Row],[Ag Land Raw]]/$AD$2)*100</f>
        <v>0.15471751640065631</v>
      </c>
      <c r="AF870" s="231">
        <f>FME_Ranking1[[#This Row],[Ag Land Score (Normalized, Unweighted)]]*$AD$3</f>
        <v>7.7358758200328157E-3</v>
      </c>
      <c r="AG87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0.15627484313940324</v>
      </c>
      <c r="AH870" s="406">
        <f t="shared" si="13"/>
        <v>882</v>
      </c>
      <c r="AI87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0.15627484313940324</v>
      </c>
      <c r="AJ870" s="257">
        <f>FME_Ranking1[[#This Row],[Addition check]]-FME_Ranking1[[#This Row],[Weighted Score Based on Normalized Reported Factors]]</f>
        <v>0</v>
      </c>
      <c r="AK870" s="178">
        <f>_xlfn.RANK.EQ(AI870,$AI$6:$AI$2341,0)+COUNTIF($AI$6:AI870,AI870)-1</f>
        <v>884</v>
      </c>
    </row>
    <row r="871" spans="1:37" x14ac:dyDescent="0.25">
      <c r="A871" t="s">
        <v>8151</v>
      </c>
      <c r="B871">
        <f>_xlfn.XLOOKUP(FME_Ranking1[[#This Row],[FME ID]],FME_Input[FME_ID],FME_Input[RFPG_NUM])</f>
        <v>9</v>
      </c>
      <c r="C871" t="str">
        <f>_xlfn.XLOOKUP(FME_Ranking1[[#This Row],[FME ID]],FME_Input[FME_ID],FME_Input[FME_NAME])</f>
        <v>Taylor County Dam Inspection Program</v>
      </c>
      <c r="D871" t="str">
        <f>_xlfn.XLOOKUP(FME_Ranking1[[#This Row],[FME ID]],FME_Input[FME_ID],FME_Input[DESCR])</f>
        <v xml:space="preserve">Annual dam inspection, partner with SWCD to help fund repairs and maintenance, partner with property owners to report new damage or erosion, and patrol for illegal dumping at dams. </v>
      </c>
      <c r="E871" s="256">
        <f>_xlfn.XLOOKUP(FME_Ranking1[[#This Row],[FME ID]],FME_Input[FME_ID],FME_Input[FME_COST])</f>
        <v>100000</v>
      </c>
      <c r="F871" t="str">
        <f>_xlfn.XLOOKUP(FME_Ranking1[[#This Row],[FME ID]],FME_Input[FME_ID],FME_Input[EMER_NEED])</f>
        <v>No</v>
      </c>
      <c r="G871">
        <f>IF(FME_Ranking!F871="Yes",100,0)</f>
        <v>0</v>
      </c>
      <c r="H871">
        <f>FME_Ranking1[[#This Row],[Emergency Need Score (Normalized, Unweighted)]]*$F$3</f>
        <v>0</v>
      </c>
      <c r="I871" s="246">
        <f>_xlfn.XLOOKUP(FME_Ranking1[[#This Row],[FME ID]],FME_Input[FME_ID],FME_Input[STRUCT_100])</f>
        <v>70</v>
      </c>
      <c r="J871" s="178">
        <f>(FME_Ranking1[[#This Row],[Structures 100 Raw]]/I$2)*100</f>
        <v>3.7484470719273445E-2</v>
      </c>
      <c r="K871" s="178">
        <f>FME_Ranking1[[#This Row],[Structures 100  Score (Normalized, Unweighted)]]*$I$3</f>
        <v>5.6226706078910168E-3</v>
      </c>
      <c r="L871" s="246">
        <f>_xlfn.XLOOKUP(FME_Ranking1[[#This Row],[FME ID]],FME_Input[FME_ID],FME_Input[RES_STRUCT100])</f>
        <v>51</v>
      </c>
      <c r="M871" s="230">
        <f>(FME_Ranking1[[#This Row],[Res Structures Raw]]/L$2)*100</f>
        <v>3.6123585159581251E-2</v>
      </c>
      <c r="N871" s="180">
        <f>FME_Ranking1[[#This Row],[Res Structures Score (Normalized, Unweighted)]]*$L$3</f>
        <v>3.6123585159581252E-3</v>
      </c>
      <c r="O871" s="244">
        <f>_xlfn.XLOOKUP(FME_Ranking1[[#This Row],[FME ID]],FME_Input[FME_ID],FME_Input[POP100])</f>
        <v>46</v>
      </c>
      <c r="P871" s="178">
        <f>(FME_Ranking1[[#This Row],[Pop Raw]]/$O$2)*100</f>
        <v>4.7092643514831112E-3</v>
      </c>
      <c r="Q871" s="178">
        <f>FME_Ranking1[[#This Row],[Pop Score (Normalized, Unweighted)]]*$O$3</f>
        <v>7.0638965272246665E-4</v>
      </c>
      <c r="R871" s="137">
        <f>_xlfn.XLOOKUP(FME_Ranking1[[#This Row],[FME ID]],FME_Input[FME_ID],FME_Input[CRITFAC100])</f>
        <v>0</v>
      </c>
      <c r="S871" s="230">
        <f>(FME_Ranking1[[#This Row],[Critical Facilities Raw]]/$R$2)*100</f>
        <v>0</v>
      </c>
      <c r="T871" s="180">
        <f>FME_Ranking1[[#This Row],[Critical Facilities Score (Normalized, Unweighted)]]*$R$3</f>
        <v>0</v>
      </c>
      <c r="U871">
        <f>_xlfn.XLOOKUP(FME_Ranking1[[#This Row],[FME ID]],FME_Input[FME_ID],FME_Input[LWC])</f>
        <v>10</v>
      </c>
      <c r="V871" s="178">
        <f>(FME_Ranking1[[#This Row],[LWC Raw]]/$U$2)*100</f>
        <v>0.57570523891767411</v>
      </c>
      <c r="W871" s="178">
        <f>FME_Ranking1[[#This Row],[LWC Score (Normalized, Unweighted)]]*$U$3</f>
        <v>0.11514104778353483</v>
      </c>
      <c r="X871" s="246">
        <f>_xlfn.XLOOKUP(FME_Ranking1[[#This Row],[FME ID]],FME_Input[FME_ID],FME_Input[ROADCLS])</f>
        <v>0</v>
      </c>
      <c r="Y871" s="230">
        <f>(FME_Ranking1[[#This Row],[Closures Raw]]/$X$2)*100</f>
        <v>0</v>
      </c>
      <c r="Z871" s="180">
        <f>FME_Ranking1[[#This Row],[Closures Score (Normalized, Unweighted)]]*$X$3</f>
        <v>0</v>
      </c>
      <c r="AA871" s="253">
        <f>_xlfn.XLOOKUP(FME_Ranking1[[#This Row],[FME ID]],FME_Input[FME_ID],FME_Input[ROAD_MILES100])</f>
        <v>17.8416633605957</v>
      </c>
      <c r="AB871" s="178">
        <f>(FME_Ranking1[[#This Row],[Miles Raw]]/$AA$2)*100</f>
        <v>0.23458587266629766</v>
      </c>
      <c r="AC871" s="178">
        <f>FME_Ranking1[[#This Row],[Miles Score (Normalized, Unweighted)]]*$AA$3</f>
        <v>2.3458587266629766E-2</v>
      </c>
      <c r="AD871" s="255">
        <f>_xlfn.XLOOKUP(FME_Ranking1[[#This Row],[FME ID]],FME_Input[FME_ID],FME_Input[FARMACRE100])</f>
        <v>3752.04443359375</v>
      </c>
      <c r="AE871" s="230">
        <f>(FME_Ranking1[[#This Row],[Ag Land Raw]]/$AD$2)*100</f>
        <v>0.15471751640065631</v>
      </c>
      <c r="AF871" s="231">
        <f>FME_Ranking1[[#This Row],[Ag Land Score (Normalized, Unweighted)]]*$AD$3</f>
        <v>7.7358758200328157E-3</v>
      </c>
      <c r="AG87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0.15627692964676904</v>
      </c>
      <c r="AH871" s="406">
        <f t="shared" si="13"/>
        <v>879</v>
      </c>
      <c r="AI87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0.15627692964676904</v>
      </c>
      <c r="AJ871" s="257">
        <f>FME_Ranking1[[#This Row],[Addition check]]-FME_Ranking1[[#This Row],[Weighted Score Based on Normalized Reported Factors]]</f>
        <v>0</v>
      </c>
      <c r="AK871" s="178">
        <f>_xlfn.RANK.EQ(AI871,$AI$6:$AI$2341,0)+COUNTIF($AI$6:AI871,AI871)-1</f>
        <v>880</v>
      </c>
    </row>
    <row r="872" spans="1:37" x14ac:dyDescent="0.25">
      <c r="A872" t="s">
        <v>8226</v>
      </c>
      <c r="B872">
        <f>_xlfn.XLOOKUP(FME_Ranking1[[#This Row],[FME ID]],FME_Input[FME_ID],FME_Input[RFPG_NUM])</f>
        <v>9</v>
      </c>
      <c r="C872" t="str">
        <f>_xlfn.XLOOKUP(FME_Ranking1[[#This Row],[FME ID]],FME_Input[FME_ID],FME_Input[FME_NAME])</f>
        <v>Taylor County FEMA Mapping</v>
      </c>
      <c r="D872" t="str">
        <f>_xlfn.XLOOKUP(FME_Ranking1[[#This Row],[FME ID]],FME_Input[FME_ID],FME_Input[DESCR])</f>
        <v>Update Existing FEMA Mapping</v>
      </c>
      <c r="E872" s="256">
        <f>_xlfn.XLOOKUP(FME_Ranking1[[#This Row],[FME ID]],FME_Input[FME_ID],FME_Input[FME_COST])</f>
        <v>955000</v>
      </c>
      <c r="F872" t="str">
        <f>_xlfn.XLOOKUP(FME_Ranking1[[#This Row],[FME ID]],FME_Input[FME_ID],FME_Input[EMER_NEED])</f>
        <v>No</v>
      </c>
      <c r="G872">
        <f>IF(FME_Ranking!F872="Yes",100,0)</f>
        <v>0</v>
      </c>
      <c r="H872">
        <f>FME_Ranking1[[#This Row],[Emergency Need Score (Normalized, Unweighted)]]*$F$3</f>
        <v>0</v>
      </c>
      <c r="I872" s="246">
        <f>_xlfn.XLOOKUP(FME_Ranking1[[#This Row],[FME ID]],FME_Input[FME_ID],FME_Input[STRUCT_100])</f>
        <v>70</v>
      </c>
      <c r="J872" s="178">
        <f>(FME_Ranking1[[#This Row],[Structures 100 Raw]]/I$2)*100</f>
        <v>3.7484470719273445E-2</v>
      </c>
      <c r="K872" s="178">
        <f>FME_Ranking1[[#This Row],[Structures 100  Score (Normalized, Unweighted)]]*$I$3</f>
        <v>5.6226706078910168E-3</v>
      </c>
      <c r="L872" s="246">
        <f>_xlfn.XLOOKUP(FME_Ranking1[[#This Row],[FME ID]],FME_Input[FME_ID],FME_Input[RES_STRUCT100])</f>
        <v>51</v>
      </c>
      <c r="M872" s="230">
        <f>(FME_Ranking1[[#This Row],[Res Structures Raw]]/L$2)*100</f>
        <v>3.6123585159581251E-2</v>
      </c>
      <c r="N872" s="180">
        <f>FME_Ranking1[[#This Row],[Res Structures Score (Normalized, Unweighted)]]*$L$3</f>
        <v>3.6123585159581252E-3</v>
      </c>
      <c r="O872" s="244">
        <f>_xlfn.XLOOKUP(FME_Ranking1[[#This Row],[FME ID]],FME_Input[FME_ID],FME_Input[POP100])</f>
        <v>46</v>
      </c>
      <c r="P872" s="178">
        <f>(FME_Ranking1[[#This Row],[Pop Raw]]/$O$2)*100</f>
        <v>4.7092643514831112E-3</v>
      </c>
      <c r="Q872" s="178">
        <f>FME_Ranking1[[#This Row],[Pop Score (Normalized, Unweighted)]]*$O$3</f>
        <v>7.0638965272246665E-4</v>
      </c>
      <c r="R872" s="137">
        <f>_xlfn.XLOOKUP(FME_Ranking1[[#This Row],[FME ID]],FME_Input[FME_ID],FME_Input[CRITFAC100])</f>
        <v>0</v>
      </c>
      <c r="S872" s="230">
        <f>(FME_Ranking1[[#This Row],[Critical Facilities Raw]]/$R$2)*100</f>
        <v>0</v>
      </c>
      <c r="T872" s="180">
        <f>FME_Ranking1[[#This Row],[Critical Facilities Score (Normalized, Unweighted)]]*$R$3</f>
        <v>0</v>
      </c>
      <c r="U872">
        <f>_xlfn.XLOOKUP(FME_Ranking1[[#This Row],[FME ID]],FME_Input[FME_ID],FME_Input[LWC])</f>
        <v>10</v>
      </c>
      <c r="V872" s="178">
        <f>(FME_Ranking1[[#This Row],[LWC Raw]]/$U$2)*100</f>
        <v>0.57570523891767411</v>
      </c>
      <c r="W872" s="178">
        <f>FME_Ranking1[[#This Row],[LWC Score (Normalized, Unweighted)]]*$U$3</f>
        <v>0.11514104778353483</v>
      </c>
      <c r="X872" s="246">
        <f>_xlfn.XLOOKUP(FME_Ranking1[[#This Row],[FME ID]],FME_Input[FME_ID],FME_Input[ROADCLS])</f>
        <v>0</v>
      </c>
      <c r="Y872" s="230">
        <f>(FME_Ranking1[[#This Row],[Closures Raw]]/$X$2)*100</f>
        <v>0</v>
      </c>
      <c r="Z872" s="180">
        <f>FME_Ranking1[[#This Row],[Closures Score (Normalized, Unweighted)]]*$X$3</f>
        <v>0</v>
      </c>
      <c r="AA872" s="253">
        <f>_xlfn.XLOOKUP(FME_Ranking1[[#This Row],[FME ID]],FME_Input[FME_ID],FME_Input[ROAD_MILES100])</f>
        <v>17.8416633605957</v>
      </c>
      <c r="AB872" s="178">
        <f>(FME_Ranking1[[#This Row],[Miles Raw]]/$AA$2)*100</f>
        <v>0.23458587266629766</v>
      </c>
      <c r="AC872" s="178">
        <f>FME_Ranking1[[#This Row],[Miles Score (Normalized, Unweighted)]]*$AA$3</f>
        <v>2.3458587266629766E-2</v>
      </c>
      <c r="AD872" s="255">
        <f>_xlfn.XLOOKUP(FME_Ranking1[[#This Row],[FME ID]],FME_Input[FME_ID],FME_Input[FARMACRE100])</f>
        <v>3752.04443359375</v>
      </c>
      <c r="AE872" s="230">
        <f>(FME_Ranking1[[#This Row],[Ag Land Raw]]/$AD$2)*100</f>
        <v>0.15471751640065631</v>
      </c>
      <c r="AF872" s="231">
        <f>FME_Ranking1[[#This Row],[Ag Land Score (Normalized, Unweighted)]]*$AD$3</f>
        <v>7.7358758200328157E-3</v>
      </c>
      <c r="AG87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0.15627692964676904</v>
      </c>
      <c r="AH872" s="406">
        <f t="shared" si="13"/>
        <v>879</v>
      </c>
      <c r="AI87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0.15627692964676904</v>
      </c>
      <c r="AJ872" s="257">
        <f>FME_Ranking1[[#This Row],[Addition check]]-FME_Ranking1[[#This Row],[Weighted Score Based on Normalized Reported Factors]]</f>
        <v>0</v>
      </c>
      <c r="AK872" s="178">
        <f>_xlfn.RANK.EQ(AI872,$AI$6:$AI$2341,0)+COUNTIF($AI$6:AI872,AI872)-1</f>
        <v>881</v>
      </c>
    </row>
    <row r="873" spans="1:37" x14ac:dyDescent="0.25">
      <c r="A873" t="s">
        <v>9316</v>
      </c>
      <c r="B873">
        <f>_xlfn.XLOOKUP(FME_Ranking1[[#This Row],[FME ID]],FME_Input[FME_ID],FME_Input[RFPG_NUM])</f>
        <v>12</v>
      </c>
      <c r="C873" t="str">
        <f>_xlfn.XLOOKUP(FME_Ranking1[[#This Row],[FME ID]],FME_Input[FME_ID],FME_Input[FME_NAME])</f>
        <v>Apache Creek &amp; Elmendorf Lake Dam</v>
      </c>
      <c r="D873" t="str">
        <f>_xlfn.XLOOKUP(FME_Ranking1[[#This Row],[FME ID]],FME_Input[FME_ID],FME_Input[DESCR])</f>
        <v>The Elmendorf Lake Dam area is prone to flooding and will require an extensive drainage project to mitigate the floodplain. A Preliminary Engineering Report (PER) will need to be provided to assess a feasible solution</v>
      </c>
      <c r="E873" s="256">
        <f>_xlfn.XLOOKUP(FME_Ranking1[[#This Row],[FME ID]],FME_Input[FME_ID],FME_Input[FME_COST])</f>
        <v>350000</v>
      </c>
      <c r="F873" t="str">
        <f>_xlfn.XLOOKUP(FME_Ranking1[[#This Row],[FME ID]],FME_Input[FME_ID],FME_Input[EMER_NEED])</f>
        <v>Yes</v>
      </c>
      <c r="G873">
        <f>IF(FME_Ranking!F873="Yes",100,0)</f>
        <v>100</v>
      </c>
      <c r="H873">
        <f>FME_Ranking1[[#This Row],[Emergency Need Score (Normalized, Unweighted)]]*$F$3</f>
        <v>0</v>
      </c>
      <c r="I873" s="246">
        <f>_xlfn.XLOOKUP(FME_Ranking1[[#This Row],[FME ID]],FME_Input[FME_ID],FME_Input[STRUCT_100])</f>
        <v>470</v>
      </c>
      <c r="J873" s="178">
        <f>(FME_Ranking1[[#This Row],[Structures 100 Raw]]/I$2)*100</f>
        <v>0.25168144625797884</v>
      </c>
      <c r="K873" s="178">
        <f>FME_Ranking1[[#This Row],[Structures 100  Score (Normalized, Unweighted)]]*$I$3</f>
        <v>3.7752216938696827E-2</v>
      </c>
      <c r="L873" s="246">
        <f>_xlfn.XLOOKUP(FME_Ranking1[[#This Row],[FME ID]],FME_Input[FME_ID],FME_Input[RES_STRUCT100])</f>
        <v>410</v>
      </c>
      <c r="M873" s="230">
        <f>(FME_Ranking1[[#This Row],[Res Structures Raw]]/L$2)*100</f>
        <v>0.29040529245937868</v>
      </c>
      <c r="N873" s="180">
        <f>FME_Ranking1[[#This Row],[Res Structures Score (Normalized, Unweighted)]]*$L$3</f>
        <v>2.904052924593787E-2</v>
      </c>
      <c r="O873" s="244">
        <f>_xlfn.XLOOKUP(FME_Ranking1[[#This Row],[FME ID]],FME_Input[FME_ID],FME_Input[POP100])</f>
        <v>1568</v>
      </c>
      <c r="P873" s="178">
        <f>(FME_Ranking1[[#This Row],[Pop Raw]]/$O$2)*100</f>
        <v>0.16052448919838083</v>
      </c>
      <c r="Q873" s="178">
        <f>FME_Ranking1[[#This Row],[Pop Score (Normalized, Unweighted)]]*$O$3</f>
        <v>2.4078673379757123E-2</v>
      </c>
      <c r="R873" s="137">
        <f>_xlfn.XLOOKUP(FME_Ranking1[[#This Row],[FME ID]],FME_Input[FME_ID],FME_Input[CRITFAC100])</f>
        <v>2</v>
      </c>
      <c r="S873" s="230">
        <f>(FME_Ranking1[[#This Row],[Critical Facilities Raw]]/$R$2)*100</f>
        <v>8.5763293310463118E-2</v>
      </c>
      <c r="T873" s="180">
        <f>FME_Ranking1[[#This Row],[Critical Facilities Score (Normalized, Unweighted)]]*$R$3</f>
        <v>1.7152658662092625E-2</v>
      </c>
      <c r="U873">
        <f>_xlfn.XLOOKUP(FME_Ranking1[[#This Row],[FME ID]],FME_Input[FME_ID],FME_Input[LWC])</f>
        <v>0</v>
      </c>
      <c r="V873" s="178">
        <f>(FME_Ranking1[[#This Row],[LWC Raw]]/$U$2)*100</f>
        <v>0</v>
      </c>
      <c r="W873" s="178">
        <f>FME_Ranking1[[#This Row],[LWC Score (Normalized, Unweighted)]]*$U$3</f>
        <v>0</v>
      </c>
      <c r="X873" s="246">
        <f>_xlfn.XLOOKUP(FME_Ranking1[[#This Row],[FME ID]],FME_Input[FME_ID],FME_Input[ROADCLS])</f>
        <v>41</v>
      </c>
      <c r="Y873" s="230">
        <f>(FME_Ranking1[[#This Row],[Closures Raw]]/$X$2)*100</f>
        <v>0.43107980233413939</v>
      </c>
      <c r="Z873" s="180">
        <f>FME_Ranking1[[#This Row],[Closures Score (Normalized, Unweighted)]]*$X$3</f>
        <v>2.1553990116706973E-2</v>
      </c>
      <c r="AA873" s="253">
        <f>_xlfn.XLOOKUP(FME_Ranking1[[#This Row],[FME ID]],FME_Input[FME_ID],FME_Input[ROAD_MILES100])</f>
        <v>6.4800000190734863</v>
      </c>
      <c r="AB873" s="178">
        <f>(FME_Ranking1[[#This Row],[Miles Raw]]/$AA$2)*100</f>
        <v>8.5200377825155049E-2</v>
      </c>
      <c r="AC873" s="178">
        <f>FME_Ranking1[[#This Row],[Miles Score (Normalized, Unweighted)]]*$AA$3</f>
        <v>8.5200377825155049E-3</v>
      </c>
      <c r="AD873" s="255">
        <f>_xlfn.XLOOKUP(FME_Ranking1[[#This Row],[FME ID]],FME_Input[FME_ID],FME_Input[FARMACRE100])</f>
        <v>0.92471098899841309</v>
      </c>
      <c r="AE873" s="230">
        <f>(FME_Ranking1[[#This Row],[Ag Land Raw]]/$AD$2)*100</f>
        <v>3.8130941714140637E-5</v>
      </c>
      <c r="AF873" s="231">
        <f>FME_Ranking1[[#This Row],[Ag Land Score (Normalized, Unweighted)]]*$AD$3</f>
        <v>1.9065470857070318E-6</v>
      </c>
      <c r="AG87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0.13810001267279262</v>
      </c>
      <c r="AH873" s="406">
        <f t="shared" si="13"/>
        <v>926</v>
      </c>
      <c r="AI87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0.13810001267279262</v>
      </c>
      <c r="AJ873" s="257">
        <f>FME_Ranking1[[#This Row],[Addition check]]-FME_Ranking1[[#This Row],[Weighted Score Based on Normalized Reported Factors]]</f>
        <v>0</v>
      </c>
      <c r="AK873" s="178">
        <f>_xlfn.RANK.EQ(AI873,$AI$6:$AI$2341,0)+COUNTIF($AI$6:AI873,AI873)-1</f>
        <v>926</v>
      </c>
    </row>
    <row r="874" spans="1:37" x14ac:dyDescent="0.25">
      <c r="A874" t="s">
        <v>755</v>
      </c>
      <c r="B874">
        <f>_xlfn.XLOOKUP(FME_Ranking1[[#This Row],[FME ID]],FME_Input[FME_ID],FME_Input[RFPG_NUM])</f>
        <v>6</v>
      </c>
      <c r="C874" t="str">
        <f>_xlfn.XLOOKUP(FME_Ranking1[[#This Row],[FME ID]],FME_Input[FME_ID],FME_Input[FME_NAME])</f>
        <v>Rivershire East - Grand Lake Creek Watershed</v>
      </c>
      <c r="D874" t="str">
        <f>_xlfn.XLOOKUP(FME_Ranking1[[#This Row],[FME ID]],FME_Input[FME_ID],FME_Input[DESCR])</f>
        <v>Develop a benefits cost analysis in support of this project identied in the City of Conroe Master Drainage Plan.</v>
      </c>
      <c r="E874" s="256">
        <f>_xlfn.XLOOKUP(FME_Ranking1[[#This Row],[FME ID]],FME_Input[FME_ID],FME_Input[FME_COST])</f>
        <v>30000</v>
      </c>
      <c r="F874" t="str">
        <f>_xlfn.XLOOKUP(FME_Ranking1[[#This Row],[FME ID]],FME_Input[FME_ID],FME_Input[EMER_NEED])</f>
        <v>No</v>
      </c>
      <c r="G874">
        <f>IF(FME_Ranking!F874="Yes",100,0)</f>
        <v>0</v>
      </c>
      <c r="H874">
        <f>FME_Ranking1[[#This Row],[Emergency Need Score (Normalized, Unweighted)]]*$F$3</f>
        <v>0</v>
      </c>
      <c r="I874" s="246">
        <f>_xlfn.XLOOKUP(FME_Ranking1[[#This Row],[FME ID]],FME_Input[FME_ID],FME_Input[STRUCT_100])</f>
        <v>365</v>
      </c>
      <c r="J874" s="178">
        <f>(FME_Ranking1[[#This Row],[Structures 100 Raw]]/I$2)*100</f>
        <v>0.19545474017906866</v>
      </c>
      <c r="K874" s="178">
        <f>FME_Ranking1[[#This Row],[Structures 100  Score (Normalized, Unweighted)]]*$I$3</f>
        <v>2.9318211026860299E-2</v>
      </c>
      <c r="L874" s="246">
        <f>_xlfn.XLOOKUP(FME_Ranking1[[#This Row],[FME ID]],FME_Input[FME_ID],FME_Input[RES_STRUCT100])</f>
        <v>257</v>
      </c>
      <c r="M874" s="230">
        <f>(FME_Ranking1[[#This Row],[Res Structures Raw]]/L$2)*100</f>
        <v>0.18203453698063493</v>
      </c>
      <c r="N874" s="180">
        <f>FME_Ranking1[[#This Row],[Res Structures Score (Normalized, Unweighted)]]*$L$3</f>
        <v>1.8203453698063494E-2</v>
      </c>
      <c r="O874" s="244">
        <f>_xlfn.XLOOKUP(FME_Ranking1[[#This Row],[FME ID]],FME_Input[FME_ID],FME_Input[POP100])</f>
        <v>1873</v>
      </c>
      <c r="P874" s="178">
        <f>(FME_Ranking1[[#This Row],[Pop Raw]]/$O$2)*100</f>
        <v>0.19174895935495365</v>
      </c>
      <c r="Q874" s="178">
        <f>FME_Ranking1[[#This Row],[Pop Score (Normalized, Unweighted)]]*$O$3</f>
        <v>2.8762343903243046E-2</v>
      </c>
      <c r="R874" s="137">
        <f>_xlfn.XLOOKUP(FME_Ranking1[[#This Row],[FME ID]],FME_Input[FME_ID],FME_Input[CRITFAC100])</f>
        <v>6</v>
      </c>
      <c r="S874" s="230">
        <f>(FME_Ranking1[[#This Row],[Critical Facilities Raw]]/$R$2)*100</f>
        <v>0.25728987993138941</v>
      </c>
      <c r="T874" s="180">
        <f>FME_Ranking1[[#This Row],[Critical Facilities Score (Normalized, Unweighted)]]*$R$3</f>
        <v>5.1457975986277882E-2</v>
      </c>
      <c r="U874">
        <f>_xlfn.XLOOKUP(FME_Ranking1[[#This Row],[FME ID]],FME_Input[FME_ID],FME_Input[LWC])</f>
        <v>0</v>
      </c>
      <c r="V874" s="178">
        <f>(FME_Ranking1[[#This Row],[LWC Raw]]/$U$2)*100</f>
        <v>0</v>
      </c>
      <c r="W874" s="178">
        <f>FME_Ranking1[[#This Row],[LWC Score (Normalized, Unweighted)]]*$U$3</f>
        <v>0</v>
      </c>
      <c r="X874" s="246">
        <f>_xlfn.XLOOKUP(FME_Ranking1[[#This Row],[FME ID]],FME_Input[FME_ID],FME_Input[ROADCLS])</f>
        <v>0</v>
      </c>
      <c r="Y874" s="230">
        <f>(FME_Ranking1[[#This Row],[Closures Raw]]/$X$2)*100</f>
        <v>0</v>
      </c>
      <c r="Z874" s="180">
        <f>FME_Ranking1[[#This Row],[Closures Score (Normalized, Unweighted)]]*$X$3</f>
        <v>0</v>
      </c>
      <c r="AA874" s="253">
        <f>_xlfn.XLOOKUP(FME_Ranking1[[#This Row],[FME ID]],FME_Input[FME_ID],FME_Input[ROAD_MILES100])</f>
        <v>6.663978099822998</v>
      </c>
      <c r="AB874" s="178">
        <f>(FME_Ranking1[[#This Row],[Miles Raw]]/$AA$2)*100</f>
        <v>8.7619359606832023E-2</v>
      </c>
      <c r="AC874" s="178">
        <f>FME_Ranking1[[#This Row],[Miles Score (Normalized, Unweighted)]]*$AA$3</f>
        <v>8.7619359606832033E-3</v>
      </c>
      <c r="AD874" s="255">
        <f>_xlfn.XLOOKUP(FME_Ranking1[[#This Row],[FME ID]],FME_Input[FME_ID],FME_Input[FARMACRE100])</f>
        <v>2.980953693389893</v>
      </c>
      <c r="AE874" s="230">
        <f>(FME_Ranking1[[#This Row],[Ag Land Raw]]/$AD$2)*100</f>
        <v>1.2292118606519267E-4</v>
      </c>
      <c r="AF874" s="231">
        <f>FME_Ranking1[[#This Row],[Ag Land Score (Normalized, Unweighted)]]*$AD$3</f>
        <v>6.146059303259634E-6</v>
      </c>
      <c r="AG87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0.13651006663443119</v>
      </c>
      <c r="AH874" s="406">
        <f t="shared" si="13"/>
        <v>931</v>
      </c>
      <c r="AI87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0.13651006663443119</v>
      </c>
      <c r="AJ874" s="257">
        <f>FME_Ranking1[[#This Row],[Addition check]]-FME_Ranking1[[#This Row],[Weighted Score Based on Normalized Reported Factors]]</f>
        <v>0</v>
      </c>
      <c r="AK874" s="178">
        <f>_xlfn.RANK.EQ(AI874,$AI$6:$AI$2341,0)+COUNTIF($AI$6:AI874,AI874)-1</f>
        <v>931</v>
      </c>
    </row>
    <row r="875" spans="1:37" x14ac:dyDescent="0.25">
      <c r="A875" t="s">
        <v>757</v>
      </c>
      <c r="B875">
        <f>_xlfn.XLOOKUP(FME_Ranking1[[#This Row],[FME ID]],FME_Input[FME_ID],FME_Input[RFPG_NUM])</f>
        <v>6</v>
      </c>
      <c r="C875" t="str">
        <f>_xlfn.XLOOKUP(FME_Ranking1[[#This Row],[FME ID]],FME_Input[FME_ID],FME_Input[FME_NAME])</f>
        <v>South Frazier - Grand Lake Creek Watershed</v>
      </c>
      <c r="D875" t="str">
        <f>_xlfn.XLOOKUP(FME_Ranking1[[#This Row],[FME ID]],FME_Input[FME_ID],FME_Input[DESCR])</f>
        <v>Develop a benefits cost analysis in support of this project identied in the City of Conroe Master Drainage Plan.</v>
      </c>
      <c r="E875" s="256">
        <f>_xlfn.XLOOKUP(FME_Ranking1[[#This Row],[FME ID]],FME_Input[FME_ID],FME_Input[FME_COST])</f>
        <v>30000</v>
      </c>
      <c r="F875" t="str">
        <f>_xlfn.XLOOKUP(FME_Ranking1[[#This Row],[FME ID]],FME_Input[FME_ID],FME_Input[EMER_NEED])</f>
        <v>No</v>
      </c>
      <c r="G875">
        <f>IF(FME_Ranking!F875="Yes",100,0)</f>
        <v>0</v>
      </c>
      <c r="H875">
        <f>FME_Ranking1[[#This Row],[Emergency Need Score (Normalized, Unweighted)]]*$F$3</f>
        <v>0</v>
      </c>
      <c r="I875" s="246">
        <f>_xlfn.XLOOKUP(FME_Ranking1[[#This Row],[FME ID]],FME_Input[FME_ID],FME_Input[STRUCT_100])</f>
        <v>365</v>
      </c>
      <c r="J875" s="178">
        <f>(FME_Ranking1[[#This Row],[Structures 100 Raw]]/I$2)*100</f>
        <v>0.19545474017906866</v>
      </c>
      <c r="K875" s="178">
        <f>FME_Ranking1[[#This Row],[Structures 100  Score (Normalized, Unweighted)]]*$I$3</f>
        <v>2.9318211026860299E-2</v>
      </c>
      <c r="L875" s="246">
        <f>_xlfn.XLOOKUP(FME_Ranking1[[#This Row],[FME ID]],FME_Input[FME_ID],FME_Input[RES_STRUCT100])</f>
        <v>257</v>
      </c>
      <c r="M875" s="230">
        <f>(FME_Ranking1[[#This Row],[Res Structures Raw]]/L$2)*100</f>
        <v>0.18203453698063493</v>
      </c>
      <c r="N875" s="180">
        <f>FME_Ranking1[[#This Row],[Res Structures Score (Normalized, Unweighted)]]*$L$3</f>
        <v>1.8203453698063494E-2</v>
      </c>
      <c r="O875" s="244">
        <f>_xlfn.XLOOKUP(FME_Ranking1[[#This Row],[FME ID]],FME_Input[FME_ID],FME_Input[POP100])</f>
        <v>1873</v>
      </c>
      <c r="P875" s="178">
        <f>(FME_Ranking1[[#This Row],[Pop Raw]]/$O$2)*100</f>
        <v>0.19174895935495365</v>
      </c>
      <c r="Q875" s="178">
        <f>FME_Ranking1[[#This Row],[Pop Score (Normalized, Unweighted)]]*$O$3</f>
        <v>2.8762343903243046E-2</v>
      </c>
      <c r="R875" s="137">
        <f>_xlfn.XLOOKUP(FME_Ranking1[[#This Row],[FME ID]],FME_Input[FME_ID],FME_Input[CRITFAC100])</f>
        <v>6</v>
      </c>
      <c r="S875" s="230">
        <f>(FME_Ranking1[[#This Row],[Critical Facilities Raw]]/$R$2)*100</f>
        <v>0.25728987993138941</v>
      </c>
      <c r="T875" s="180">
        <f>FME_Ranking1[[#This Row],[Critical Facilities Score (Normalized, Unweighted)]]*$R$3</f>
        <v>5.1457975986277882E-2</v>
      </c>
      <c r="U875">
        <f>_xlfn.XLOOKUP(FME_Ranking1[[#This Row],[FME ID]],FME_Input[FME_ID],FME_Input[LWC])</f>
        <v>0</v>
      </c>
      <c r="V875" s="178">
        <f>(FME_Ranking1[[#This Row],[LWC Raw]]/$U$2)*100</f>
        <v>0</v>
      </c>
      <c r="W875" s="178">
        <f>FME_Ranking1[[#This Row],[LWC Score (Normalized, Unweighted)]]*$U$3</f>
        <v>0</v>
      </c>
      <c r="X875" s="246">
        <f>_xlfn.XLOOKUP(FME_Ranking1[[#This Row],[FME ID]],FME_Input[FME_ID],FME_Input[ROADCLS])</f>
        <v>0</v>
      </c>
      <c r="Y875" s="230">
        <f>(FME_Ranking1[[#This Row],[Closures Raw]]/$X$2)*100</f>
        <v>0</v>
      </c>
      <c r="Z875" s="180">
        <f>FME_Ranking1[[#This Row],[Closures Score (Normalized, Unweighted)]]*$X$3</f>
        <v>0</v>
      </c>
      <c r="AA875" s="253">
        <f>_xlfn.XLOOKUP(FME_Ranking1[[#This Row],[FME ID]],FME_Input[FME_ID],FME_Input[ROAD_MILES100])</f>
        <v>6.663978099822998</v>
      </c>
      <c r="AB875" s="178">
        <f>(FME_Ranking1[[#This Row],[Miles Raw]]/$AA$2)*100</f>
        <v>8.7619359606832023E-2</v>
      </c>
      <c r="AC875" s="178">
        <f>FME_Ranking1[[#This Row],[Miles Score (Normalized, Unweighted)]]*$AA$3</f>
        <v>8.7619359606832033E-3</v>
      </c>
      <c r="AD875" s="255">
        <f>_xlfn.XLOOKUP(FME_Ranking1[[#This Row],[FME ID]],FME_Input[FME_ID],FME_Input[FARMACRE100])</f>
        <v>2.980953693389893</v>
      </c>
      <c r="AE875" s="230">
        <f>(FME_Ranking1[[#This Row],[Ag Land Raw]]/$AD$2)*100</f>
        <v>1.2292118606519267E-4</v>
      </c>
      <c r="AF875" s="231">
        <f>FME_Ranking1[[#This Row],[Ag Land Score (Normalized, Unweighted)]]*$AD$3</f>
        <v>6.146059303259634E-6</v>
      </c>
      <c r="AG87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0.13651006663443119</v>
      </c>
      <c r="AH875" s="406">
        <f t="shared" si="13"/>
        <v>931</v>
      </c>
      <c r="AI87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0.13651006663443119</v>
      </c>
      <c r="AJ875" s="257">
        <f>FME_Ranking1[[#This Row],[Addition check]]-FME_Ranking1[[#This Row],[Weighted Score Based on Normalized Reported Factors]]</f>
        <v>0</v>
      </c>
      <c r="AK875" s="178">
        <f>_xlfn.RANK.EQ(AI875,$AI$6:$AI$2341,0)+COUNTIF($AI$6:AI875,AI875)-1</f>
        <v>932</v>
      </c>
    </row>
    <row r="876" spans="1:37" x14ac:dyDescent="0.25">
      <c r="A876" t="s">
        <v>4508</v>
      </c>
      <c r="B876">
        <f>_xlfn.XLOOKUP(FME_Ranking1[[#This Row],[FME ID]],FME_Input[FME_ID],FME_Input[RFPG_NUM])</f>
        <v>3</v>
      </c>
      <c r="C876" t="str">
        <f>_xlfn.XLOOKUP(FME_Ranking1[[#This Row],[FME ID]],FME_Input[FME_ID],FME_Input[FME_NAME])</f>
        <v>Shady Shores Rd Elevation Study</v>
      </c>
      <c r="D876" t="str">
        <f>_xlfn.XLOOKUP(FME_Ranking1[[#This Row],[FME ID]],FME_Input[FME_ID],FME_Input[DESCR])</f>
        <v>Evaluate alternatives to elevate Shady Shores Rd to reduce future loss due to flooding</v>
      </c>
      <c r="E876" s="256">
        <f>_xlfn.XLOOKUP(FME_Ranking1[[#This Row],[FME ID]],FME_Input[FME_ID],FME_Input[FME_COST])</f>
        <v>250000</v>
      </c>
      <c r="F876" t="str">
        <f>_xlfn.XLOOKUP(FME_Ranking1[[#This Row],[FME ID]],FME_Input[FME_ID],FME_Input[EMER_NEED])</f>
        <v>No</v>
      </c>
      <c r="G876">
        <f>IF(FME_Ranking!F876="Yes",100,0)</f>
        <v>0</v>
      </c>
      <c r="H876">
        <f>FME_Ranking1[[#This Row],[Emergency Need Score (Normalized, Unweighted)]]*$F$3</f>
        <v>0</v>
      </c>
      <c r="I876" s="246">
        <f>_xlfn.XLOOKUP(FME_Ranking1[[#This Row],[FME ID]],FME_Input[FME_ID],FME_Input[STRUCT_100])</f>
        <v>206</v>
      </c>
      <c r="J876" s="178">
        <f>(FME_Ranking1[[#This Row],[Structures 100 Raw]]/I$2)*100</f>
        <v>0.11031144240243329</v>
      </c>
      <c r="K876" s="178">
        <f>FME_Ranking1[[#This Row],[Structures 100  Score (Normalized, Unweighted)]]*$I$3</f>
        <v>1.6546716360364994E-2</v>
      </c>
      <c r="L876" s="246">
        <f>_xlfn.XLOOKUP(FME_Ranking1[[#This Row],[FME ID]],FME_Input[FME_ID],FME_Input[RES_STRUCT100])</f>
        <v>170</v>
      </c>
      <c r="M876" s="230">
        <f>(FME_Ranking1[[#This Row],[Res Structures Raw]]/L$2)*100</f>
        <v>0.12041195053193748</v>
      </c>
      <c r="N876" s="180">
        <f>FME_Ranking1[[#This Row],[Res Structures Score (Normalized, Unweighted)]]*$L$3</f>
        <v>1.2041195053193749E-2</v>
      </c>
      <c r="O876" s="244">
        <f>_xlfn.XLOOKUP(FME_Ranking1[[#This Row],[FME ID]],FME_Input[FME_ID],FME_Input[POP100])</f>
        <v>583</v>
      </c>
      <c r="P876" s="178">
        <f>(FME_Ranking1[[#This Row],[Pop Raw]]/$O$2)*100</f>
        <v>5.9684806889448994E-2</v>
      </c>
      <c r="Q876" s="178">
        <f>FME_Ranking1[[#This Row],[Pop Score (Normalized, Unweighted)]]*$O$3</f>
        <v>8.952721033417349E-3</v>
      </c>
      <c r="R876" s="137">
        <f>_xlfn.XLOOKUP(FME_Ranking1[[#This Row],[FME ID]],FME_Input[FME_ID],FME_Input[CRITFAC100])</f>
        <v>5</v>
      </c>
      <c r="S876" s="230">
        <f>(FME_Ranking1[[#This Row],[Critical Facilities Raw]]/$R$2)*100</f>
        <v>0.21440823327615782</v>
      </c>
      <c r="T876" s="180">
        <f>FME_Ranking1[[#This Row],[Critical Facilities Score (Normalized, Unweighted)]]*$R$3</f>
        <v>4.2881646655231566E-2</v>
      </c>
      <c r="U876">
        <f>_xlfn.XLOOKUP(FME_Ranking1[[#This Row],[FME ID]],FME_Input[FME_ID],FME_Input[LWC])</f>
        <v>4</v>
      </c>
      <c r="V876" s="178">
        <f>(FME_Ranking1[[#This Row],[LWC Raw]]/$U$2)*100</f>
        <v>0.23028209556706969</v>
      </c>
      <c r="W876" s="178">
        <f>FME_Ranking1[[#This Row],[LWC Score (Normalized, Unweighted)]]*$U$3</f>
        <v>4.6056419113413939E-2</v>
      </c>
      <c r="X876" s="246">
        <f>_xlfn.XLOOKUP(FME_Ranking1[[#This Row],[FME ID]],FME_Input[FME_ID],FME_Input[ROADCLS])</f>
        <v>0</v>
      </c>
      <c r="Y876" s="230">
        <f>(FME_Ranking1[[#This Row],[Closures Raw]]/$X$2)*100</f>
        <v>0</v>
      </c>
      <c r="Z876" s="180">
        <f>FME_Ranking1[[#This Row],[Closures Score (Normalized, Unweighted)]]*$X$3</f>
        <v>0</v>
      </c>
      <c r="AA876" s="253">
        <f>_xlfn.XLOOKUP(FME_Ranking1[[#This Row],[FME ID]],FME_Input[FME_ID],FME_Input[ROAD_MILES100])</f>
        <v>12.44211959838867</v>
      </c>
      <c r="AB876" s="178">
        <f>(FME_Ranking1[[#This Row],[Miles Raw]]/$AA$2)*100</f>
        <v>0.16359155672966355</v>
      </c>
      <c r="AC876" s="178">
        <f>FME_Ranking1[[#This Row],[Miles Score (Normalized, Unweighted)]]*$AA$3</f>
        <v>1.6359155672966356E-2</v>
      </c>
      <c r="AD876" s="255">
        <f>_xlfn.XLOOKUP(FME_Ranking1[[#This Row],[FME ID]],FME_Input[FME_ID],FME_Input[FARMACRE100])</f>
        <v>218.44270324707031</v>
      </c>
      <c r="AE876" s="230">
        <f>(FME_Ranking1[[#This Row],[Ag Land Raw]]/$AD$2)*100</f>
        <v>9.0075992223421619E-3</v>
      </c>
      <c r="AF876" s="231">
        <f>FME_Ranking1[[#This Row],[Ag Land Score (Normalized, Unweighted)]]*$AD$3</f>
        <v>4.5037996111710809E-4</v>
      </c>
      <c r="AG87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0.14328823384970507</v>
      </c>
      <c r="AH876" s="406">
        <f t="shared" si="13"/>
        <v>916</v>
      </c>
      <c r="AI87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0.14328823384970507</v>
      </c>
      <c r="AJ876" s="257">
        <f>FME_Ranking1[[#This Row],[Addition check]]-FME_Ranking1[[#This Row],[Weighted Score Based on Normalized Reported Factors]]</f>
        <v>0</v>
      </c>
      <c r="AK876" s="178">
        <f>_xlfn.RANK.EQ(AI876,$AI$6:$AI$2341,0)+COUNTIF($AI$6:AI876,AI876)-1</f>
        <v>916</v>
      </c>
    </row>
    <row r="877" spans="1:37" x14ac:dyDescent="0.25">
      <c r="A877" t="s">
        <v>8864</v>
      </c>
      <c r="B877">
        <f>_xlfn.XLOOKUP(FME_Ranking1[[#This Row],[FME ID]],FME_Input[FME_ID],FME_Input[RFPG_NUM])</f>
        <v>11</v>
      </c>
      <c r="C877" t="str">
        <f>_xlfn.XLOOKUP(FME_Ranking1[[#This Row],[FME ID]],FME_Input[FME_ID],FME_Input[FME_NAME])</f>
        <v>City of Waelder Voluntary Buyout Program Project Planning</v>
      </c>
      <c r="D877" t="str">
        <f>_xlfn.XLOOKUP(FME_Ranking1[[#This Row],[FME ID]],FME_Input[FME_ID],FME_Input[DESCR])</f>
        <v>Project planning to develop and implement a program to buyout NFIP repetitive loss properties.</v>
      </c>
      <c r="E877" s="256">
        <f>_xlfn.XLOOKUP(FME_Ranking1[[#This Row],[FME ID]],FME_Input[FME_ID],FME_Input[FME_COST])</f>
        <v>150000</v>
      </c>
      <c r="F877" t="str">
        <f>_xlfn.XLOOKUP(FME_Ranking1[[#This Row],[FME ID]],FME_Input[FME_ID],FME_Input[EMER_NEED])</f>
        <v>No</v>
      </c>
      <c r="G877">
        <f>IF(FME_Ranking!F877="Yes",100,0)</f>
        <v>0</v>
      </c>
      <c r="H877">
        <f>FME_Ranking1[[#This Row],[Emergency Need Score (Normalized, Unweighted)]]*$F$3</f>
        <v>0</v>
      </c>
      <c r="I877" s="246">
        <f>_xlfn.XLOOKUP(FME_Ranking1[[#This Row],[FME ID]],FME_Input[FME_ID],FME_Input[STRUCT_100])</f>
        <v>170</v>
      </c>
      <c r="J877" s="178">
        <f>(FME_Ranking1[[#This Row],[Structures 100 Raw]]/I$2)*100</f>
        <v>9.1033714603949781E-2</v>
      </c>
      <c r="K877" s="178">
        <f>FME_Ranking1[[#This Row],[Structures 100  Score (Normalized, Unweighted)]]*$I$3</f>
        <v>1.3655057190592467E-2</v>
      </c>
      <c r="L877" s="246">
        <f>_xlfn.XLOOKUP(FME_Ranking1[[#This Row],[FME ID]],FME_Input[FME_ID],FME_Input[RES_STRUCT100])</f>
        <v>88</v>
      </c>
      <c r="M877" s="230">
        <f>(FME_Ranking1[[#This Row],[Res Structures Raw]]/L$2)*100</f>
        <v>6.2330892040061765E-2</v>
      </c>
      <c r="N877" s="180">
        <f>FME_Ranking1[[#This Row],[Res Structures Score (Normalized, Unweighted)]]*$L$3</f>
        <v>6.2330892040061772E-3</v>
      </c>
      <c r="O877" s="244">
        <f>_xlfn.XLOOKUP(FME_Ranking1[[#This Row],[FME ID]],FME_Input[FME_ID],FME_Input[POP100])</f>
        <v>207</v>
      </c>
      <c r="P877" s="178">
        <f>(FME_Ranking1[[#This Row],[Pop Raw]]/$O$2)*100</f>
        <v>2.1191689581674E-2</v>
      </c>
      <c r="Q877" s="178">
        <f>FME_Ranking1[[#This Row],[Pop Score (Normalized, Unweighted)]]*$O$3</f>
        <v>3.1787534372510998E-3</v>
      </c>
      <c r="R877" s="137">
        <f>_xlfn.XLOOKUP(FME_Ranking1[[#This Row],[FME ID]],FME_Input[FME_ID],FME_Input[CRITFAC100])</f>
        <v>0</v>
      </c>
      <c r="S877" s="230">
        <f>(FME_Ranking1[[#This Row],[Critical Facilities Raw]]/$R$2)*100</f>
        <v>0</v>
      </c>
      <c r="T877" s="180">
        <f>FME_Ranking1[[#This Row],[Critical Facilities Score (Normalized, Unweighted)]]*$R$3</f>
        <v>0</v>
      </c>
      <c r="U877">
        <f>_xlfn.XLOOKUP(FME_Ranking1[[#This Row],[FME ID]],FME_Input[FME_ID],FME_Input[LWC])</f>
        <v>9</v>
      </c>
      <c r="V877" s="178">
        <f>(FME_Ranking1[[#This Row],[LWC Raw]]/$U$2)*100</f>
        <v>0.5181347150259068</v>
      </c>
      <c r="W877" s="178">
        <f>FME_Ranking1[[#This Row],[LWC Score (Normalized, Unweighted)]]*$U$3</f>
        <v>0.10362694300518137</v>
      </c>
      <c r="X877" s="246">
        <f>_xlfn.XLOOKUP(FME_Ranking1[[#This Row],[FME ID]],FME_Input[FME_ID],FME_Input[ROADCLS])</f>
        <v>0</v>
      </c>
      <c r="Y877" s="230">
        <f>(FME_Ranking1[[#This Row],[Closures Raw]]/$X$2)*100</f>
        <v>0</v>
      </c>
      <c r="Z877" s="180">
        <f>FME_Ranking1[[#This Row],[Closures Score (Normalized, Unweighted)]]*$X$3</f>
        <v>0</v>
      </c>
      <c r="AA877" s="253">
        <f>_xlfn.XLOOKUP(FME_Ranking1[[#This Row],[FME ID]],FME_Input[FME_ID],FME_Input[ROAD_MILES100])</f>
        <v>4.0123615264892578</v>
      </c>
      <c r="AB877" s="178">
        <f>(FME_Ranking1[[#This Row],[Miles Raw]]/$AA$2)*100</f>
        <v>5.2755357565088278E-2</v>
      </c>
      <c r="AC877" s="178">
        <f>FME_Ranking1[[#This Row],[Miles Score (Normalized, Unweighted)]]*$AA$3</f>
        <v>5.2755357565088283E-3</v>
      </c>
      <c r="AD877" s="255">
        <f>_xlfn.XLOOKUP(FME_Ranking1[[#This Row],[FME ID]],FME_Input[FME_ID],FME_Input[FARMACRE100])</f>
        <v>4.3307490348815918</v>
      </c>
      <c r="AE877" s="230">
        <f>(FME_Ranking1[[#This Row],[Ag Land Raw]]/$AD$2)*100</f>
        <v>1.7858070358448415E-4</v>
      </c>
      <c r="AF877" s="231">
        <f>FME_Ranking1[[#This Row],[Ag Land Score (Normalized, Unweighted)]]*$AD$3</f>
        <v>8.9290351792242073E-6</v>
      </c>
      <c r="AG87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0.13197830762871915</v>
      </c>
      <c r="AH877" s="406">
        <f t="shared" si="13"/>
        <v>946</v>
      </c>
      <c r="AI87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0.13197830762871915</v>
      </c>
      <c r="AJ877" s="257">
        <f>FME_Ranking1[[#This Row],[Addition check]]-FME_Ranking1[[#This Row],[Weighted Score Based on Normalized Reported Factors]]</f>
        <v>0</v>
      </c>
      <c r="AK877" s="178">
        <f>_xlfn.RANK.EQ(AI877,$AI$6:$AI$2341,0)+COUNTIF($AI$6:AI877,AI877)-1</f>
        <v>946</v>
      </c>
    </row>
    <row r="878" spans="1:37" x14ac:dyDescent="0.25">
      <c r="A878" t="s">
        <v>5395</v>
      </c>
      <c r="B878">
        <f>_xlfn.XLOOKUP(FME_Ranking1[[#This Row],[FME ID]],FME_Input[FME_ID],FME_Input[RFPG_NUM])</f>
        <v>3</v>
      </c>
      <c r="C878" t="str">
        <f>_xlfn.XLOOKUP(FME_Ranking1[[#This Row],[FME ID]],FME_Input[FME_ID],FME_Input[FME_NAME])</f>
        <v>City of Huntsville DMP</v>
      </c>
      <c r="D878" t="str">
        <f>_xlfn.XLOOKUP(FME_Ranking1[[#This Row],[FME ID]],FME_Input[FME_ID],FME_Input[DESCR])</f>
        <v>Evaluate city and identify future projects.</v>
      </c>
      <c r="E878" s="256">
        <f>_xlfn.XLOOKUP(FME_Ranking1[[#This Row],[FME ID]],FME_Input[FME_ID],FME_Input[FME_COST])</f>
        <v>500000</v>
      </c>
      <c r="F878" t="str">
        <f>_xlfn.XLOOKUP(FME_Ranking1[[#This Row],[FME ID]],FME_Input[FME_ID],FME_Input[EMER_NEED])</f>
        <v>No</v>
      </c>
      <c r="G878">
        <f>IF(FME_Ranking!F878="Yes",100,0)</f>
        <v>0</v>
      </c>
      <c r="H878">
        <f>FME_Ranking1[[#This Row],[Emergency Need Score (Normalized, Unweighted)]]*$F$3</f>
        <v>0</v>
      </c>
      <c r="I878" s="246">
        <f>_xlfn.XLOOKUP(FME_Ranking1[[#This Row],[FME ID]],FME_Input[FME_ID],FME_Input[STRUCT_100])</f>
        <v>238</v>
      </c>
      <c r="J878" s="178">
        <f>(FME_Ranking1[[#This Row],[Structures 100 Raw]]/I$2)*100</f>
        <v>0.12744720044552971</v>
      </c>
      <c r="K878" s="178">
        <f>FME_Ranking1[[#This Row],[Structures 100  Score (Normalized, Unweighted)]]*$I$3</f>
        <v>1.9117080066829457E-2</v>
      </c>
      <c r="L878" s="246">
        <f>_xlfn.XLOOKUP(FME_Ranking1[[#This Row],[FME ID]],FME_Input[FME_ID],FME_Input[RES_STRUCT100])</f>
        <v>211</v>
      </c>
      <c r="M878" s="230">
        <f>(FME_Ranking1[[#This Row],[Res Structures Raw]]/L$2)*100</f>
        <v>0.14945247977787537</v>
      </c>
      <c r="N878" s="180">
        <f>FME_Ranking1[[#This Row],[Res Structures Score (Normalized, Unweighted)]]*$L$3</f>
        <v>1.4945247977787538E-2</v>
      </c>
      <c r="O878" s="244">
        <f>_xlfn.XLOOKUP(FME_Ranking1[[#This Row],[FME ID]],FME_Input[FME_ID],FME_Input[POP100])</f>
        <v>2819</v>
      </c>
      <c r="P878" s="178">
        <f>(FME_Ranking1[[#This Row],[Pop Raw]]/$O$2)*100</f>
        <v>0.28859600449632372</v>
      </c>
      <c r="Q878" s="178">
        <f>FME_Ranking1[[#This Row],[Pop Score (Normalized, Unweighted)]]*$O$3</f>
        <v>4.3289400674448558E-2</v>
      </c>
      <c r="R878" s="137">
        <f>_xlfn.XLOOKUP(FME_Ranking1[[#This Row],[FME ID]],FME_Input[FME_ID],FME_Input[CRITFAC100])</f>
        <v>3</v>
      </c>
      <c r="S878" s="230">
        <f>(FME_Ranking1[[#This Row],[Critical Facilities Raw]]/$R$2)*100</f>
        <v>0.1286449399656947</v>
      </c>
      <c r="T878" s="180">
        <f>FME_Ranking1[[#This Row],[Critical Facilities Score (Normalized, Unweighted)]]*$R$3</f>
        <v>2.5728987993138941E-2</v>
      </c>
      <c r="U878">
        <f>_xlfn.XLOOKUP(FME_Ranking1[[#This Row],[FME ID]],FME_Input[FME_ID],FME_Input[LWC])</f>
        <v>2</v>
      </c>
      <c r="V878" s="178">
        <f>(FME_Ranking1[[#This Row],[LWC Raw]]/$U$2)*100</f>
        <v>0.11514104778353484</v>
      </c>
      <c r="W878" s="178">
        <f>FME_Ranking1[[#This Row],[LWC Score (Normalized, Unweighted)]]*$U$3</f>
        <v>2.302820955670697E-2</v>
      </c>
      <c r="X878" s="246">
        <f>_xlfn.XLOOKUP(FME_Ranking1[[#This Row],[FME ID]],FME_Input[FME_ID],FME_Input[ROADCLS])</f>
        <v>0</v>
      </c>
      <c r="Y878" s="230">
        <f>(FME_Ranking1[[#This Row],[Closures Raw]]/$X$2)*100</f>
        <v>0</v>
      </c>
      <c r="Z878" s="180">
        <f>FME_Ranking1[[#This Row],[Closures Score (Normalized, Unweighted)]]*$X$3</f>
        <v>0</v>
      </c>
      <c r="AA878" s="253">
        <f>_xlfn.XLOOKUP(FME_Ranking1[[#This Row],[FME ID]],FME_Input[FME_ID],FME_Input[ROAD_MILES100])</f>
        <v>6.2058939933776864</v>
      </c>
      <c r="AB878" s="178">
        <f>(FME_Ranking1[[#This Row],[Miles Raw]]/$AA$2)*100</f>
        <v>8.1596375219492562E-2</v>
      </c>
      <c r="AC878" s="178">
        <f>FME_Ranking1[[#This Row],[Miles Score (Normalized, Unweighted)]]*$AA$3</f>
        <v>8.1596375219492572E-3</v>
      </c>
      <c r="AD878" s="255">
        <f>_xlfn.XLOOKUP(FME_Ranking1[[#This Row],[FME ID]],FME_Input[FME_ID],FME_Input[FARMACRE100])</f>
        <v>107.4017028808594</v>
      </c>
      <c r="AE878" s="230">
        <f>(FME_Ranking1[[#This Row],[Ag Land Raw]]/$AD$2)*100</f>
        <v>4.4287654426874434E-3</v>
      </c>
      <c r="AF878" s="231">
        <f>FME_Ranking1[[#This Row],[Ag Land Score (Normalized, Unweighted)]]*$AD$3</f>
        <v>2.2143827213437218E-4</v>
      </c>
      <c r="AG87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0.13449000206299508</v>
      </c>
      <c r="AH878" s="406">
        <f t="shared" si="13"/>
        <v>938</v>
      </c>
      <c r="AI87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0.13449000206299508</v>
      </c>
      <c r="AJ878" s="257">
        <f>FME_Ranking1[[#This Row],[Addition check]]-FME_Ranking1[[#This Row],[Weighted Score Based on Normalized Reported Factors]]</f>
        <v>0</v>
      </c>
      <c r="AK878" s="178">
        <f>_xlfn.RANK.EQ(AI878,$AI$6:$AI$2341,0)+COUNTIF($AI$6:AI878,AI878)-1</f>
        <v>938</v>
      </c>
    </row>
    <row r="879" spans="1:37" x14ac:dyDescent="0.25">
      <c r="A879" t="s">
        <v>5501</v>
      </c>
      <c r="B879">
        <f>_xlfn.XLOOKUP(FME_Ranking1[[#This Row],[FME ID]],FME_Input[FME_ID],FME_Input[RFPG_NUM])</f>
        <v>4</v>
      </c>
      <c r="C879" t="str">
        <f>_xlfn.XLOOKUP(FME_Ranking1[[#This Row],[FME ID]],FME_Input[FME_ID],FME_Input[FME_NAME])</f>
        <v>Shelby County Flood Hazard Mapping</v>
      </c>
      <c r="D879" t="str">
        <f>_xlfn.XLOOKUP(FME_Ranking1[[#This Row],[FME ID]],FME_Input[FME_ID],FME_Input[DESCR])</f>
        <v>Complete a detailed study within the county extent to delineate an updated flood hazard area, which can be used for regulatory purposes.</v>
      </c>
      <c r="E879" s="256">
        <f>_xlfn.XLOOKUP(FME_Ranking1[[#This Row],[FME ID]],FME_Input[FME_ID],FME_Input[FME_COST])</f>
        <v>375500</v>
      </c>
      <c r="F879" t="str">
        <f>_xlfn.XLOOKUP(FME_Ranking1[[#This Row],[FME ID]],FME_Input[FME_ID],FME_Input[EMER_NEED])</f>
        <v>Yes</v>
      </c>
      <c r="G879">
        <f>IF(FME_Ranking!F879="Yes",100,0)</f>
        <v>100</v>
      </c>
      <c r="H879">
        <f>FME_Ranking1[[#This Row],[Emergency Need Score (Normalized, Unweighted)]]*$F$3</f>
        <v>0</v>
      </c>
      <c r="I879" s="246">
        <f>_xlfn.XLOOKUP(FME_Ranking1[[#This Row],[FME ID]],FME_Input[FME_ID],FME_Input[STRUCT_100])</f>
        <v>800</v>
      </c>
      <c r="J879" s="178">
        <f>(FME_Ranking1[[#This Row],[Structures 100 Raw]]/I$2)*100</f>
        <v>0.42839395107741074</v>
      </c>
      <c r="K879" s="178">
        <f>FME_Ranking1[[#This Row],[Structures 100  Score (Normalized, Unweighted)]]*$I$3</f>
        <v>6.4259092661611603E-2</v>
      </c>
      <c r="L879" s="246">
        <f>_xlfn.XLOOKUP(FME_Ranking1[[#This Row],[FME ID]],FME_Input[FME_ID],FME_Input[RES_STRUCT100])</f>
        <v>0</v>
      </c>
      <c r="M879" s="230">
        <f>(FME_Ranking1[[#This Row],[Res Structures Raw]]/L$2)*100</f>
        <v>0</v>
      </c>
      <c r="N879" s="180">
        <f>FME_Ranking1[[#This Row],[Res Structures Score (Normalized, Unweighted)]]*$L$3</f>
        <v>0</v>
      </c>
      <c r="O879" s="244">
        <f>_xlfn.XLOOKUP(FME_Ranking1[[#This Row],[FME ID]],FME_Input[FME_ID],FME_Input[POP100])</f>
        <v>317</v>
      </c>
      <c r="P879" s="178">
        <f>(FME_Ranking1[[#This Row],[Pop Raw]]/$O$2)*100</f>
        <v>3.2452973900437963E-2</v>
      </c>
      <c r="Q879" s="178">
        <f>FME_Ranking1[[#This Row],[Pop Score (Normalized, Unweighted)]]*$O$3</f>
        <v>4.8679460850656947E-3</v>
      </c>
      <c r="R879" s="137">
        <f>_xlfn.XLOOKUP(FME_Ranking1[[#This Row],[FME ID]],FME_Input[FME_ID],FME_Input[CRITFAC100])</f>
        <v>0</v>
      </c>
      <c r="S879" s="230">
        <f>(FME_Ranking1[[#This Row],[Critical Facilities Raw]]/$R$2)*100</f>
        <v>0</v>
      </c>
      <c r="T879" s="180">
        <f>FME_Ranking1[[#This Row],[Critical Facilities Score (Normalized, Unweighted)]]*$R$3</f>
        <v>0</v>
      </c>
      <c r="U879">
        <f>_xlfn.XLOOKUP(FME_Ranking1[[#This Row],[FME ID]],FME_Input[FME_ID],FME_Input[LWC])</f>
        <v>3</v>
      </c>
      <c r="V879" s="178">
        <f>(FME_Ranking1[[#This Row],[LWC Raw]]/$U$2)*100</f>
        <v>0.17271157167530224</v>
      </c>
      <c r="W879" s="178">
        <f>FME_Ranking1[[#This Row],[LWC Score (Normalized, Unweighted)]]*$U$3</f>
        <v>3.4542314335060449E-2</v>
      </c>
      <c r="X879" s="246">
        <f>_xlfn.XLOOKUP(FME_Ranking1[[#This Row],[FME ID]],FME_Input[FME_ID],FME_Input[ROADCLS])</f>
        <v>3</v>
      </c>
      <c r="Y879" s="230">
        <f>(FME_Ranking1[[#This Row],[Closures Raw]]/$X$2)*100</f>
        <v>3.1542424561034593E-2</v>
      </c>
      <c r="Z879" s="180">
        <f>FME_Ranking1[[#This Row],[Closures Score (Normalized, Unweighted)]]*$X$3</f>
        <v>1.5771212280517297E-3</v>
      </c>
      <c r="AA879" s="253">
        <f>_xlfn.XLOOKUP(FME_Ranking1[[#This Row],[FME ID]],FME_Input[FME_ID],FME_Input[ROAD_MILES100])</f>
        <v>49.374275207519531</v>
      </c>
      <c r="AB879" s="178">
        <f>(FME_Ranking1[[#This Row],[Miles Raw]]/$AA$2)*100</f>
        <v>0.6491831620588987</v>
      </c>
      <c r="AC879" s="178">
        <f>FME_Ranking1[[#This Row],[Miles Score (Normalized, Unweighted)]]*$AA$3</f>
        <v>6.4918316205889878E-2</v>
      </c>
      <c r="AD879" s="255">
        <f>_xlfn.XLOOKUP(FME_Ranking1[[#This Row],[FME ID]],FME_Input[FME_ID],FME_Input[FARMACRE100])</f>
        <v>9764.271484375</v>
      </c>
      <c r="AE879" s="230">
        <f>(FME_Ranking1[[#This Row],[Ag Land Raw]]/$AD$2)*100</f>
        <v>0.40263484621830042</v>
      </c>
      <c r="AF879" s="231">
        <f>FME_Ranking1[[#This Row],[Ag Land Score (Normalized, Unweighted)]]*$AD$3</f>
        <v>2.0131742310915024E-2</v>
      </c>
      <c r="AG87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0.19029653282659437</v>
      </c>
      <c r="AH879" s="406">
        <f t="shared" si="13"/>
        <v>820</v>
      </c>
      <c r="AI87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0.19029653282659437</v>
      </c>
      <c r="AJ879" s="257">
        <f>FME_Ranking1[[#This Row],[Addition check]]-FME_Ranking1[[#This Row],[Weighted Score Based on Normalized Reported Factors]]</f>
        <v>0</v>
      </c>
      <c r="AK879" s="178">
        <f>_xlfn.RANK.EQ(AI879,$AI$6:$AI$2341,0)+COUNTIF($AI$6:AI879,AI879)-1</f>
        <v>820</v>
      </c>
    </row>
    <row r="880" spans="1:37" x14ac:dyDescent="0.25">
      <c r="A880" t="s">
        <v>219</v>
      </c>
      <c r="B880">
        <f>_xlfn.XLOOKUP(FME_Ranking1[[#This Row],[FME ID]],FME_Input[FME_ID],FME_Input[RFPG_NUM])</f>
        <v>10</v>
      </c>
      <c r="C880" t="str">
        <f>_xlfn.XLOOKUP(FME_Ranking1[[#This Row],[FME ID]],FME_Input[FME_ID],FME_Input[FME_NAME])</f>
        <v>Dam Emergency Action Plan</v>
      </c>
      <c r="D880" t="str">
        <f>_xlfn.XLOOKUP(FME_Ranking1[[#This Row],[FME ID]],FME_Input[FME_ID],FME_Input[DESCR])</f>
        <v>Dam Emergency Action Plan</v>
      </c>
      <c r="E880" s="256">
        <f>_xlfn.XLOOKUP(FME_Ranking1[[#This Row],[FME ID]],FME_Input[FME_ID],FME_Input[FME_COST])</f>
        <v>50000</v>
      </c>
      <c r="F880" t="str">
        <f>_xlfn.XLOOKUP(FME_Ranking1[[#This Row],[FME ID]],FME_Input[FME_ID],FME_Input[EMER_NEED])</f>
        <v>No</v>
      </c>
      <c r="G880">
        <f>IF(FME_Ranking!F880="Yes",100,0)</f>
        <v>0</v>
      </c>
      <c r="H880">
        <f>FME_Ranking1[[#This Row],[Emergency Need Score (Normalized, Unweighted)]]*$F$3</f>
        <v>0</v>
      </c>
      <c r="I880" s="246">
        <f>_xlfn.XLOOKUP(FME_Ranking1[[#This Row],[FME ID]],FME_Input[FME_ID],FME_Input[STRUCT_100])</f>
        <v>187</v>
      </c>
      <c r="J880" s="178">
        <f>(FME_Ranking1[[#This Row],[Structures 100 Raw]]/I$2)*100</f>
        <v>0.10013708606434477</v>
      </c>
      <c r="K880" s="178">
        <f>FME_Ranking1[[#This Row],[Structures 100  Score (Normalized, Unweighted)]]*$I$3</f>
        <v>1.5020562909651715E-2</v>
      </c>
      <c r="L880" s="246">
        <f>_xlfn.XLOOKUP(FME_Ranking1[[#This Row],[FME ID]],FME_Input[FME_ID],FME_Input[RES_STRUCT100])</f>
        <v>127</v>
      </c>
      <c r="M880" s="230">
        <f>(FME_Ranking1[[#This Row],[Res Structures Raw]]/L$2)*100</f>
        <v>8.9954810103270957E-2</v>
      </c>
      <c r="N880" s="180">
        <f>FME_Ranking1[[#This Row],[Res Structures Score (Normalized, Unweighted)]]*$L$3</f>
        <v>8.9954810103270964E-3</v>
      </c>
      <c r="O880" s="244">
        <f>_xlfn.XLOOKUP(FME_Ranking1[[#This Row],[FME ID]],FME_Input[FME_ID],FME_Input[POP100])</f>
        <v>514</v>
      </c>
      <c r="P880" s="178">
        <f>(FME_Ranking1[[#This Row],[Pop Raw]]/$O$2)*100</f>
        <v>5.2620910362224327E-2</v>
      </c>
      <c r="Q880" s="178">
        <f>FME_Ranking1[[#This Row],[Pop Score (Normalized, Unweighted)]]*$O$3</f>
        <v>7.8931365543336487E-3</v>
      </c>
      <c r="R880" s="137">
        <f>_xlfn.XLOOKUP(FME_Ranking1[[#This Row],[FME ID]],FME_Input[FME_ID],FME_Input[CRITFAC100])</f>
        <v>0</v>
      </c>
      <c r="S880" s="230">
        <f>(FME_Ranking1[[#This Row],[Critical Facilities Raw]]/$R$2)*100</f>
        <v>0</v>
      </c>
      <c r="T880" s="180">
        <f>FME_Ranking1[[#This Row],[Critical Facilities Score (Normalized, Unweighted)]]*$R$3</f>
        <v>0</v>
      </c>
      <c r="U880">
        <f>_xlfn.XLOOKUP(FME_Ranking1[[#This Row],[FME ID]],FME_Input[FME_ID],FME_Input[LWC])</f>
        <v>8</v>
      </c>
      <c r="V880" s="178">
        <f>(FME_Ranking1[[#This Row],[LWC Raw]]/$U$2)*100</f>
        <v>0.46056419113413938</v>
      </c>
      <c r="W880" s="178">
        <f>FME_Ranking1[[#This Row],[LWC Score (Normalized, Unweighted)]]*$U$3</f>
        <v>9.2112838226827878E-2</v>
      </c>
      <c r="X880" s="246">
        <f>_xlfn.XLOOKUP(FME_Ranking1[[#This Row],[FME ID]],FME_Input[FME_ID],FME_Input[ROADCLS])</f>
        <v>0</v>
      </c>
      <c r="Y880" s="230">
        <f>(FME_Ranking1[[#This Row],[Closures Raw]]/$X$2)*100</f>
        <v>0</v>
      </c>
      <c r="Z880" s="180">
        <f>FME_Ranking1[[#This Row],[Closures Score (Normalized, Unweighted)]]*$X$3</f>
        <v>0</v>
      </c>
      <c r="AA880" s="253">
        <f>_xlfn.XLOOKUP(FME_Ranking1[[#This Row],[FME ID]],FME_Input[FME_ID],FME_Input[ROAD_MILES100])</f>
        <v>4.1813511848449707</v>
      </c>
      <c r="AB880" s="178">
        <f>(FME_Ranking1[[#This Row],[Miles Raw]]/$AA$2)*100</f>
        <v>5.4977268475284419E-2</v>
      </c>
      <c r="AC880" s="178">
        <f>FME_Ranking1[[#This Row],[Miles Score (Normalized, Unweighted)]]*$AA$3</f>
        <v>5.497726847528442E-3</v>
      </c>
      <c r="AD880" s="255">
        <f>_xlfn.XLOOKUP(FME_Ranking1[[#This Row],[FME ID]],FME_Input[FME_ID],FME_Input[FARMACRE100])</f>
        <v>589.1605224609375</v>
      </c>
      <c r="AE880" s="230">
        <f>(FME_Ranking1[[#This Row],[Ag Land Raw]]/$AD$2)*100</f>
        <v>2.4294342567036588E-2</v>
      </c>
      <c r="AF880" s="231">
        <f>FME_Ranking1[[#This Row],[Ag Land Score (Normalized, Unweighted)]]*$AD$3</f>
        <v>1.2147171283518295E-3</v>
      </c>
      <c r="AG88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0.1307344626770206</v>
      </c>
      <c r="AH880" s="406">
        <f t="shared" si="13"/>
        <v>947</v>
      </c>
      <c r="AI88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0.1307344626770206</v>
      </c>
      <c r="AJ880" s="257">
        <f>FME_Ranking1[[#This Row],[Addition check]]-FME_Ranking1[[#This Row],[Weighted Score Based on Normalized Reported Factors]]</f>
        <v>0</v>
      </c>
      <c r="AK880" s="178">
        <f>_xlfn.RANK.EQ(AI880,$AI$6:$AI$2341,0)+COUNTIF($AI$6:AI880,AI880)-1</f>
        <v>947</v>
      </c>
    </row>
    <row r="881" spans="1:37" x14ac:dyDescent="0.25">
      <c r="A881" t="s">
        <v>6341</v>
      </c>
      <c r="B881">
        <f>_xlfn.XLOOKUP(FME_Ranking1[[#This Row],[FME ID]],FME_Input[FME_ID],FME_Input[RFPG_NUM])</f>
        <v>5</v>
      </c>
      <c r="C881" t="str">
        <f>_xlfn.XLOOKUP(FME_Ranking1[[#This Row],[FME ID]],FME_Input[FME_ID],FME_Input[FME_NAME])</f>
        <v>Delmar Upgrade Pumping Equipment</v>
      </c>
      <c r="D881" t="str">
        <f>_xlfn.XLOOKUP(FME_Ranking1[[#This Row],[FME ID]],FME_Input[FME_ID],FME_Input[DESCR])</f>
        <v xml:space="preserve">H&amp;H study to size pump upgrades and improve existing level of service. </v>
      </c>
      <c r="E881" s="256">
        <f>_xlfn.XLOOKUP(FME_Ranking1[[#This Row],[FME ID]],FME_Input[FME_ID],FME_Input[FME_COST])</f>
        <v>100000</v>
      </c>
      <c r="F881" t="str">
        <f>_xlfn.XLOOKUP(FME_Ranking1[[#This Row],[FME ID]],FME_Input[FME_ID],FME_Input[EMER_NEED])</f>
        <v>Yes</v>
      </c>
      <c r="G881">
        <f>IF(FME_Ranking!F881="Yes",100,0)</f>
        <v>100</v>
      </c>
      <c r="H881">
        <f>FME_Ranking1[[#This Row],[Emergency Need Score (Normalized, Unweighted)]]*$F$3</f>
        <v>0</v>
      </c>
      <c r="I881" s="246">
        <f>_xlfn.XLOOKUP(FME_Ranking1[[#This Row],[FME ID]],FME_Input[FME_ID],FME_Input[STRUCT_100])</f>
        <v>676</v>
      </c>
      <c r="J881" s="178">
        <f>(FME_Ranking1[[#This Row],[Structures 100 Raw]]/I$2)*100</f>
        <v>0.36199288866041207</v>
      </c>
      <c r="K881" s="178">
        <f>FME_Ranking1[[#This Row],[Structures 100  Score (Normalized, Unweighted)]]*$I$3</f>
        <v>5.4298933299061811E-2</v>
      </c>
      <c r="L881" s="246">
        <f>_xlfn.XLOOKUP(FME_Ranking1[[#This Row],[FME ID]],FME_Input[FME_ID],FME_Input[RES_STRUCT100])</f>
        <v>646</v>
      </c>
      <c r="M881" s="230">
        <f>(FME_Ranking1[[#This Row],[Res Structures Raw]]/L$2)*100</f>
        <v>0.45756541202136247</v>
      </c>
      <c r="N881" s="180">
        <f>FME_Ranking1[[#This Row],[Res Structures Score (Normalized, Unweighted)]]*$L$3</f>
        <v>4.575654120213625E-2</v>
      </c>
      <c r="O881" s="244">
        <f>_xlfn.XLOOKUP(FME_Ranking1[[#This Row],[FME ID]],FME_Input[FME_ID],FME_Input[POP100])</f>
        <v>1618</v>
      </c>
      <c r="P881" s="178">
        <f>(FME_Ranking1[[#This Row],[Pop Raw]]/$O$2)*100</f>
        <v>0.165643254797819</v>
      </c>
      <c r="Q881" s="178">
        <f>FME_Ranking1[[#This Row],[Pop Score (Normalized, Unweighted)]]*$O$3</f>
        <v>2.4846488219672849E-2</v>
      </c>
      <c r="R881" s="137">
        <f>_xlfn.XLOOKUP(FME_Ranking1[[#This Row],[FME ID]],FME_Input[FME_ID],FME_Input[CRITFAC100])</f>
        <v>0</v>
      </c>
      <c r="S881" s="230">
        <f>(FME_Ranking1[[#This Row],[Critical Facilities Raw]]/$R$2)*100</f>
        <v>0</v>
      </c>
      <c r="T881" s="180">
        <f>FME_Ranking1[[#This Row],[Critical Facilities Score (Normalized, Unweighted)]]*$R$3</f>
        <v>0</v>
      </c>
      <c r="U881">
        <f>_xlfn.XLOOKUP(FME_Ranking1[[#This Row],[FME ID]],FME_Input[FME_ID],FME_Input[LWC])</f>
        <v>0</v>
      </c>
      <c r="V881" s="178">
        <f>(FME_Ranking1[[#This Row],[LWC Raw]]/$U$2)*100</f>
        <v>0</v>
      </c>
      <c r="W881" s="178">
        <f>FME_Ranking1[[#This Row],[LWC Score (Normalized, Unweighted)]]*$U$3</f>
        <v>0</v>
      </c>
      <c r="X881" s="246">
        <f>_xlfn.XLOOKUP(FME_Ranking1[[#This Row],[FME ID]],FME_Input[FME_ID],FME_Input[ROADCLS])</f>
        <v>0</v>
      </c>
      <c r="Y881" s="230">
        <f>(FME_Ranking1[[#This Row],[Closures Raw]]/$X$2)*100</f>
        <v>0</v>
      </c>
      <c r="Z881" s="180">
        <f>FME_Ranking1[[#This Row],[Closures Score (Normalized, Unweighted)]]*$X$3</f>
        <v>0</v>
      </c>
      <c r="AA881" s="253">
        <f>_xlfn.XLOOKUP(FME_Ranking1[[#This Row],[FME ID]],FME_Input[FME_ID],FME_Input[ROAD_MILES100])</f>
        <v>6.4248523712158203</v>
      </c>
      <c r="AB881" s="178">
        <f>(FME_Ranking1[[#This Row],[Miles Raw]]/$AA$2)*100</f>
        <v>8.4475285167776692E-2</v>
      </c>
      <c r="AC881" s="178">
        <f>FME_Ranking1[[#This Row],[Miles Score (Normalized, Unweighted)]]*$AA$3</f>
        <v>8.4475285167776703E-3</v>
      </c>
      <c r="AD881" s="255">
        <f>_xlfn.XLOOKUP(FME_Ranking1[[#This Row],[FME ID]],FME_Input[FME_ID],FME_Input[FARMACRE100])</f>
        <v>0.21761010587215421</v>
      </c>
      <c r="AE881" s="230">
        <f>(FME_Ranking1[[#This Row],[Ag Land Raw]]/$AD$2)*100</f>
        <v>8.9732666337258409E-6</v>
      </c>
      <c r="AF881" s="231">
        <f>FME_Ranking1[[#This Row],[Ag Land Score (Normalized, Unweighted)]]*$AD$3</f>
        <v>4.4866333168629204E-7</v>
      </c>
      <c r="AG88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0.13334993990098026</v>
      </c>
      <c r="AH881" s="406">
        <f t="shared" si="13"/>
        <v>944</v>
      </c>
      <c r="AI88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0.13334993990098026</v>
      </c>
      <c r="AJ881" s="257">
        <f>FME_Ranking1[[#This Row],[Addition check]]-FME_Ranking1[[#This Row],[Weighted Score Based on Normalized Reported Factors]]</f>
        <v>0</v>
      </c>
      <c r="AK881" s="178">
        <f>_xlfn.RANK.EQ(AI881,$AI$6:$AI$2341,0)+COUNTIF($AI$6:AI881,AI881)-1</f>
        <v>944</v>
      </c>
    </row>
    <row r="882" spans="1:37" x14ac:dyDescent="0.25">
      <c r="A882" t="s">
        <v>9083</v>
      </c>
      <c r="B882">
        <f>_xlfn.XLOOKUP(FME_Ranking1[[#This Row],[FME ID]],FME_Input[FME_ID],FME_Input[RFPG_NUM])</f>
        <v>11</v>
      </c>
      <c r="C882" t="str">
        <f>_xlfn.XLOOKUP(FME_Ranking1[[#This Row],[FME ID]],FME_Input[FME_ID],FME_Input[FME_NAME])</f>
        <v xml:space="preserve">Cypress Creek Regional detention            </v>
      </c>
      <c r="D882" t="str">
        <f>_xlfn.XLOOKUP(FME_Ranking1[[#This Row],[FME ID]],FME_Input[FME_ID],FME_Input[DESCR])</f>
        <v>Project planning for regional detention project on Cypress Creek that will reduce flooding through the unincorporated town of Comfort, TX and possibly provide enhanced aquifer recharge.</v>
      </c>
      <c r="E882" s="256">
        <f>_xlfn.XLOOKUP(FME_Ranking1[[#This Row],[FME ID]],FME_Input[FME_ID],FME_Input[FME_COST])</f>
        <v>113855</v>
      </c>
      <c r="F882" t="str">
        <f>_xlfn.XLOOKUP(FME_Ranking1[[#This Row],[FME ID]],FME_Input[FME_ID],FME_Input[EMER_NEED])</f>
        <v>No</v>
      </c>
      <c r="G882">
        <f>IF(FME_Ranking!F882="Yes",100,0)</f>
        <v>0</v>
      </c>
      <c r="H882">
        <f>FME_Ranking1[[#This Row],[Emergency Need Score (Normalized, Unweighted)]]*$F$3</f>
        <v>0</v>
      </c>
      <c r="I882" s="246">
        <f>_xlfn.XLOOKUP(FME_Ranking1[[#This Row],[FME ID]],FME_Input[FME_ID],FME_Input[STRUCT_100])</f>
        <v>439</v>
      </c>
      <c r="J882" s="178">
        <f>(FME_Ranking1[[#This Row],[Structures 100 Raw]]/I$2)*100</f>
        <v>0.23508118065372918</v>
      </c>
      <c r="K882" s="178">
        <f>FME_Ranking1[[#This Row],[Structures 100  Score (Normalized, Unweighted)]]*$I$3</f>
        <v>3.5262177098059379E-2</v>
      </c>
      <c r="L882" s="246">
        <f>_xlfn.XLOOKUP(FME_Ranking1[[#This Row],[FME ID]],FME_Input[FME_ID],FME_Input[RES_STRUCT100])</f>
        <v>290</v>
      </c>
      <c r="M882" s="230">
        <f>(FME_Ranking1[[#This Row],[Res Structures Raw]]/L$2)*100</f>
        <v>0.20540862149565808</v>
      </c>
      <c r="N882" s="180">
        <f>FME_Ranking1[[#This Row],[Res Structures Score (Normalized, Unweighted)]]*$L$3</f>
        <v>2.0540862149565811E-2</v>
      </c>
      <c r="O882" s="244">
        <f>_xlfn.XLOOKUP(FME_Ranking1[[#This Row],[FME ID]],FME_Input[FME_ID],FME_Input[POP100])</f>
        <v>574</v>
      </c>
      <c r="P882" s="178">
        <f>(FME_Ranking1[[#This Row],[Pop Raw]]/$O$2)*100</f>
        <v>5.8763429081550134E-2</v>
      </c>
      <c r="Q882" s="178">
        <f>FME_Ranking1[[#This Row],[Pop Score (Normalized, Unweighted)]]*$O$3</f>
        <v>8.814514362232519E-3</v>
      </c>
      <c r="R882" s="137">
        <f>_xlfn.XLOOKUP(FME_Ranking1[[#This Row],[FME ID]],FME_Input[FME_ID],FME_Input[CRITFAC100])</f>
        <v>0</v>
      </c>
      <c r="S882" s="230">
        <f>(FME_Ranking1[[#This Row],[Critical Facilities Raw]]/$R$2)*100</f>
        <v>0</v>
      </c>
      <c r="T882" s="180">
        <f>FME_Ranking1[[#This Row],[Critical Facilities Score (Normalized, Unweighted)]]*$R$3</f>
        <v>0</v>
      </c>
      <c r="U882">
        <f>_xlfn.XLOOKUP(FME_Ranking1[[#This Row],[FME ID]],FME_Input[FME_ID],FME_Input[LWC])</f>
        <v>5</v>
      </c>
      <c r="V882" s="178">
        <f>(FME_Ranking1[[#This Row],[LWC Raw]]/$U$2)*100</f>
        <v>0.28785261945883706</v>
      </c>
      <c r="W882" s="178">
        <f>FME_Ranking1[[#This Row],[LWC Score (Normalized, Unweighted)]]*$U$3</f>
        <v>5.7570523891767415E-2</v>
      </c>
      <c r="X882" s="246">
        <f>_xlfn.XLOOKUP(FME_Ranking1[[#This Row],[FME ID]],FME_Input[FME_ID],FME_Input[ROADCLS])</f>
        <v>0</v>
      </c>
      <c r="Y882" s="230">
        <f>(FME_Ranking1[[#This Row],[Closures Raw]]/$X$2)*100</f>
        <v>0</v>
      </c>
      <c r="Z882" s="180">
        <f>FME_Ranking1[[#This Row],[Closures Score (Normalized, Unweighted)]]*$X$3</f>
        <v>0</v>
      </c>
      <c r="AA882" s="253">
        <f>_xlfn.XLOOKUP(FME_Ranking1[[#This Row],[FME ID]],FME_Input[FME_ID],FME_Input[ROAD_MILES100])</f>
        <v>10.69052696228027</v>
      </c>
      <c r="AB882" s="178">
        <f>(FME_Ranking1[[#This Row],[Miles Raw]]/$AA$2)*100</f>
        <v>0.14056125519371804</v>
      </c>
      <c r="AC882" s="178">
        <f>FME_Ranking1[[#This Row],[Miles Score (Normalized, Unweighted)]]*$AA$3</f>
        <v>1.4056125519371805E-2</v>
      </c>
      <c r="AD882" s="255">
        <f>_xlfn.XLOOKUP(FME_Ranking1[[#This Row],[FME ID]],FME_Input[FME_ID],FME_Input[FARMACRE100])</f>
        <v>745.26556396484375</v>
      </c>
      <c r="AE882" s="230">
        <f>(FME_Ranking1[[#This Row],[Ag Land Raw]]/$AD$2)*100</f>
        <v>3.0731415673863449E-2</v>
      </c>
      <c r="AF882" s="231">
        <f>FME_Ranking1[[#This Row],[Ag Land Score (Normalized, Unweighted)]]*$AD$3</f>
        <v>1.5365707836931725E-3</v>
      </c>
      <c r="AG88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0.13778077380469012</v>
      </c>
      <c r="AH882" s="406">
        <f t="shared" si="13"/>
        <v>929</v>
      </c>
      <c r="AI88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0.13778077380469012</v>
      </c>
      <c r="AJ882" s="257">
        <f>FME_Ranking1[[#This Row],[Addition check]]-FME_Ranking1[[#This Row],[Weighted Score Based on Normalized Reported Factors]]</f>
        <v>0</v>
      </c>
      <c r="AK882" s="178">
        <f>_xlfn.RANK.EQ(AI882,$AI$6:$AI$2341,0)+COUNTIF($AI$6:AI882,AI882)-1</f>
        <v>929</v>
      </c>
    </row>
    <row r="883" spans="1:37" x14ac:dyDescent="0.25">
      <c r="A883" t="s">
        <v>10800</v>
      </c>
      <c r="B883">
        <f>_xlfn.XLOOKUP(FME_Ranking1[[#This Row],[FME ID]],FME_Input[FME_ID],FME_Input[RFPG_NUM])</f>
        <v>13</v>
      </c>
      <c r="C883" t="str">
        <f>_xlfn.XLOOKUP(FME_Ranking1[[#This Row],[FME ID]],FME_Input[FME_ID],FME_Input[FME_NAME])</f>
        <v>Sediment Removal in Lake Corpus Christi</v>
      </c>
      <c r="D883" t="str">
        <f>_xlfn.XLOOKUP(FME_Ranking1[[#This Row],[FME ID]],FME_Input[FME_ID],FME_Input[DESCR])</f>
        <v>The accumulation of sediment in Lake Corpus Christi is a long-term concern. The 2001 Costal Bend Regional Water Plan studied a water supply option that involved the dredging of Lake Corpus Christi.</v>
      </c>
      <c r="E883" s="256">
        <f>_xlfn.XLOOKUP(FME_Ranking1[[#This Row],[FME ID]],FME_Input[FME_ID],FME_Input[FME_COST])</f>
        <v>2536000</v>
      </c>
      <c r="F883" t="str">
        <f>_xlfn.XLOOKUP(FME_Ranking1[[#This Row],[FME ID]],FME_Input[FME_ID],FME_Input[EMER_NEED])</f>
        <v>Yes</v>
      </c>
      <c r="G883">
        <f>IF(FME_Ranking!F883="Yes",100,0)</f>
        <v>100</v>
      </c>
      <c r="H883">
        <f>FME_Ranking1[[#This Row],[Emergency Need Score (Normalized, Unweighted)]]*$F$3</f>
        <v>0</v>
      </c>
      <c r="I883" s="246">
        <f>_xlfn.XLOOKUP(FME_Ranking1[[#This Row],[FME ID]],FME_Input[FME_ID],FME_Input[STRUCT_100])</f>
        <v>702</v>
      </c>
      <c r="J883" s="178">
        <f>(FME_Ranking1[[#This Row],[Structures 100 Raw]]/I$2)*100</f>
        <v>0.37591569207042796</v>
      </c>
      <c r="K883" s="178">
        <f>FME_Ranking1[[#This Row],[Structures 100  Score (Normalized, Unweighted)]]*$I$3</f>
        <v>5.6387353810564193E-2</v>
      </c>
      <c r="L883" s="246">
        <f>_xlfn.XLOOKUP(FME_Ranking1[[#This Row],[FME ID]],FME_Input[FME_ID],FME_Input[RES_STRUCT100])</f>
        <v>537</v>
      </c>
      <c r="M883" s="230">
        <f>(FME_Ranking1[[#This Row],[Res Structures Raw]]/L$2)*100</f>
        <v>0.38036010256264963</v>
      </c>
      <c r="N883" s="180">
        <f>FME_Ranking1[[#This Row],[Res Structures Score (Normalized, Unweighted)]]*$L$3</f>
        <v>3.8036010256264963E-2</v>
      </c>
      <c r="O883" s="244">
        <f>_xlfn.XLOOKUP(FME_Ranking1[[#This Row],[FME ID]],FME_Input[FME_ID],FME_Input[POP100])</f>
        <v>675</v>
      </c>
      <c r="P883" s="178">
        <f>(FME_Ranking1[[#This Row],[Pop Raw]]/$O$2)*100</f>
        <v>6.9103335592415216E-2</v>
      </c>
      <c r="Q883" s="178">
        <f>FME_Ranking1[[#This Row],[Pop Score (Normalized, Unweighted)]]*$O$3</f>
        <v>1.0365500338862282E-2</v>
      </c>
      <c r="R883" s="137">
        <f>_xlfn.XLOOKUP(FME_Ranking1[[#This Row],[FME ID]],FME_Input[FME_ID],FME_Input[CRITFAC100])</f>
        <v>0</v>
      </c>
      <c r="S883" s="230">
        <f>(FME_Ranking1[[#This Row],[Critical Facilities Raw]]/$R$2)*100</f>
        <v>0</v>
      </c>
      <c r="T883" s="180">
        <f>FME_Ranking1[[#This Row],[Critical Facilities Score (Normalized, Unweighted)]]*$R$3</f>
        <v>0</v>
      </c>
      <c r="U883">
        <f>_xlfn.XLOOKUP(FME_Ranking1[[#This Row],[FME ID]],FME_Input[FME_ID],FME_Input[LWC])</f>
        <v>0</v>
      </c>
      <c r="V883" s="178">
        <f>(FME_Ranking1[[#This Row],[LWC Raw]]/$U$2)*100</f>
        <v>0</v>
      </c>
      <c r="W883" s="178">
        <f>FME_Ranking1[[#This Row],[LWC Score (Normalized, Unweighted)]]*$U$3</f>
        <v>0</v>
      </c>
      <c r="X883" s="246">
        <f>_xlfn.XLOOKUP(FME_Ranking1[[#This Row],[FME ID]],FME_Input[FME_ID],FME_Input[ROADCLS])</f>
        <v>35</v>
      </c>
      <c r="Y883" s="230">
        <f>(FME_Ranking1[[#This Row],[Closures Raw]]/$X$2)*100</f>
        <v>0.36799495321207021</v>
      </c>
      <c r="Z883" s="180">
        <f>FME_Ranking1[[#This Row],[Closures Score (Normalized, Unweighted)]]*$X$3</f>
        <v>1.839974766060351E-2</v>
      </c>
      <c r="AA883" s="253">
        <f>_xlfn.XLOOKUP(FME_Ranking1[[#This Row],[FME ID]],FME_Input[FME_ID],FME_Input[ROAD_MILES100])</f>
        <v>7.1814799308776864</v>
      </c>
      <c r="AB883" s="178">
        <f>(FME_Ranking1[[#This Row],[Miles Raw]]/$AA$2)*100</f>
        <v>9.4423580502092652E-2</v>
      </c>
      <c r="AC883" s="178">
        <f>FME_Ranking1[[#This Row],[Miles Score (Normalized, Unweighted)]]*$AA$3</f>
        <v>9.4423580502092652E-3</v>
      </c>
      <c r="AD883" s="255">
        <f>_xlfn.XLOOKUP(FME_Ranking1[[#This Row],[FME ID]],FME_Input[FME_ID],FME_Input[FARMACRE100])</f>
        <v>227.72674560546881</v>
      </c>
      <c r="AE883" s="230">
        <f>(FME_Ranking1[[#This Row],[Ag Land Raw]]/$AD$2)*100</f>
        <v>9.3904315691526463E-3</v>
      </c>
      <c r="AF883" s="231">
        <f>FME_Ranking1[[#This Row],[Ag Land Score (Normalized, Unweighted)]]*$AD$3</f>
        <v>4.6952157845763236E-4</v>
      </c>
      <c r="AG88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0.13310049169496185</v>
      </c>
      <c r="AH883" s="406">
        <f t="shared" si="13"/>
        <v>945</v>
      </c>
      <c r="AI88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0.13310049169496185</v>
      </c>
      <c r="AJ883" s="257">
        <f>FME_Ranking1[[#This Row],[Addition check]]-FME_Ranking1[[#This Row],[Weighted Score Based on Normalized Reported Factors]]</f>
        <v>0</v>
      </c>
      <c r="AK883" s="178">
        <f>_xlfn.RANK.EQ(AI883,$AI$6:$AI$2341,0)+COUNTIF($AI$6:AI883,AI883)-1</f>
        <v>945</v>
      </c>
    </row>
    <row r="884" spans="1:37" x14ac:dyDescent="0.25">
      <c r="A884" t="s">
        <v>5178</v>
      </c>
      <c r="B884">
        <f>_xlfn.XLOOKUP(FME_Ranking1[[#This Row],[FME ID]],FME_Input[FME_ID],FME_Input[RFPG_NUM])</f>
        <v>3</v>
      </c>
      <c r="C884" t="str">
        <f>_xlfn.XLOOKUP(FME_Ranking1[[#This Row],[FME ID]],FME_Input[FME_ID],FME_Input[FME_NAME])</f>
        <v>City of Wilmer DMP</v>
      </c>
      <c r="D884" t="str">
        <f>_xlfn.XLOOKUP(FME_Ranking1[[#This Row],[FME ID]],FME_Input[FME_ID],FME_Input[DESCR])</f>
        <v xml:space="preserve">Evaluate City and identify future projects. </v>
      </c>
      <c r="E884" s="256">
        <f>_xlfn.XLOOKUP(FME_Ranking1[[#This Row],[FME ID]],FME_Input[FME_ID],FME_Input[FME_COST])</f>
        <v>250000</v>
      </c>
      <c r="F884" t="str">
        <f>_xlfn.XLOOKUP(FME_Ranking1[[#This Row],[FME ID]],FME_Input[FME_ID],FME_Input[EMER_NEED])</f>
        <v>No</v>
      </c>
      <c r="G884">
        <f>IF(FME_Ranking!F884="Yes",100,0)</f>
        <v>0</v>
      </c>
      <c r="H884">
        <f>FME_Ranking1[[#This Row],[Emergency Need Score (Normalized, Unweighted)]]*$F$3</f>
        <v>0</v>
      </c>
      <c r="I884" s="246">
        <f>_xlfn.XLOOKUP(FME_Ranking1[[#This Row],[FME ID]],FME_Input[FME_ID],FME_Input[STRUCT_100])</f>
        <v>71</v>
      </c>
      <c r="J884" s="178">
        <f>(FME_Ranking1[[#This Row],[Structures 100 Raw]]/I$2)*100</f>
        <v>3.8019963158120208E-2</v>
      </c>
      <c r="K884" s="178">
        <f>FME_Ranking1[[#This Row],[Structures 100  Score (Normalized, Unweighted)]]*$I$3</f>
        <v>5.7029944737180312E-3</v>
      </c>
      <c r="L884" s="246">
        <f>_xlfn.XLOOKUP(FME_Ranking1[[#This Row],[FME ID]],FME_Input[FME_ID],FME_Input[RES_STRUCT100])</f>
        <v>69</v>
      </c>
      <c r="M884" s="230">
        <f>(FME_Ranking1[[#This Row],[Res Structures Raw]]/L$2)*100</f>
        <v>4.8873085804139342E-2</v>
      </c>
      <c r="N884" s="180">
        <f>FME_Ranking1[[#This Row],[Res Structures Score (Normalized, Unweighted)]]*$L$3</f>
        <v>4.8873085804139347E-3</v>
      </c>
      <c r="O884" s="244">
        <f>_xlfn.XLOOKUP(FME_Ranking1[[#This Row],[FME ID]],FME_Input[FME_ID],FME_Input[POP100])</f>
        <v>573</v>
      </c>
      <c r="P884" s="178">
        <f>(FME_Ranking1[[#This Row],[Pop Raw]]/$O$2)*100</f>
        <v>5.8661053769561364E-2</v>
      </c>
      <c r="Q884" s="178">
        <f>FME_Ranking1[[#This Row],[Pop Score (Normalized, Unweighted)]]*$O$3</f>
        <v>8.7991580654342046E-3</v>
      </c>
      <c r="R884" s="137">
        <f>_xlfn.XLOOKUP(FME_Ranking1[[#This Row],[FME ID]],FME_Input[FME_ID],FME_Input[CRITFAC100])</f>
        <v>0</v>
      </c>
      <c r="S884" s="230">
        <f>(FME_Ranking1[[#This Row],[Critical Facilities Raw]]/$R$2)*100</f>
        <v>0</v>
      </c>
      <c r="T884" s="180">
        <f>FME_Ranking1[[#This Row],[Critical Facilities Score (Normalized, Unweighted)]]*$R$3</f>
        <v>0</v>
      </c>
      <c r="U884">
        <f>_xlfn.XLOOKUP(FME_Ranking1[[#This Row],[FME ID]],FME_Input[FME_ID],FME_Input[LWC])</f>
        <v>9</v>
      </c>
      <c r="V884" s="178">
        <f>(FME_Ranking1[[#This Row],[LWC Raw]]/$U$2)*100</f>
        <v>0.5181347150259068</v>
      </c>
      <c r="W884" s="178">
        <f>FME_Ranking1[[#This Row],[LWC Score (Normalized, Unweighted)]]*$U$3</f>
        <v>0.10362694300518137</v>
      </c>
      <c r="X884" s="246">
        <f>_xlfn.XLOOKUP(FME_Ranking1[[#This Row],[FME ID]],FME_Input[FME_ID],FME_Input[ROADCLS])</f>
        <v>0</v>
      </c>
      <c r="Y884" s="230">
        <f>(FME_Ranking1[[#This Row],[Closures Raw]]/$X$2)*100</f>
        <v>0</v>
      </c>
      <c r="Z884" s="180">
        <f>FME_Ranking1[[#This Row],[Closures Score (Normalized, Unweighted)]]*$X$3</f>
        <v>0</v>
      </c>
      <c r="AA884" s="253">
        <f>_xlfn.XLOOKUP(FME_Ranking1[[#This Row],[FME ID]],FME_Input[FME_ID],FME_Input[ROAD_MILES100])</f>
        <v>4.0030980110168457</v>
      </c>
      <c r="AB884" s="178">
        <f>(FME_Ranking1[[#This Row],[Miles Raw]]/$AA$2)*100</f>
        <v>5.263355895152106E-2</v>
      </c>
      <c r="AC884" s="178">
        <f>FME_Ranking1[[#This Row],[Miles Score (Normalized, Unweighted)]]*$AA$3</f>
        <v>5.263355895152106E-3</v>
      </c>
      <c r="AD884" s="255">
        <f>_xlfn.XLOOKUP(FME_Ranking1[[#This Row],[FME ID]],FME_Input[FME_ID],FME_Input[FARMACRE100])</f>
        <v>195.08369445800781</v>
      </c>
      <c r="AE884" s="230">
        <f>(FME_Ranking1[[#This Row],[Ag Land Raw]]/$AD$2)*100</f>
        <v>8.0443782665702498E-3</v>
      </c>
      <c r="AF884" s="231">
        <f>FME_Ranking1[[#This Row],[Ag Land Score (Normalized, Unweighted)]]*$AD$3</f>
        <v>4.0221891332851251E-4</v>
      </c>
      <c r="AG88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0.12868197893322816</v>
      </c>
      <c r="AH884" s="406">
        <f t="shared" si="13"/>
        <v>953</v>
      </c>
      <c r="AI88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0.12868197893322816</v>
      </c>
      <c r="AJ884" s="257">
        <f>FME_Ranking1[[#This Row],[Addition check]]-FME_Ranking1[[#This Row],[Weighted Score Based on Normalized Reported Factors]]</f>
        <v>0</v>
      </c>
      <c r="AK884" s="178">
        <f>_xlfn.RANK.EQ(AI884,$AI$6:$AI$2341,0)+COUNTIF($AI$6:AI884,AI884)-1</f>
        <v>953</v>
      </c>
    </row>
    <row r="885" spans="1:37" x14ac:dyDescent="0.25">
      <c r="A885" t="s">
        <v>7546</v>
      </c>
      <c r="B885">
        <f>_xlfn.XLOOKUP(FME_Ranking1[[#This Row],[FME ID]],FME_Input[FME_ID],FME_Input[RFPG_NUM])</f>
        <v>8</v>
      </c>
      <c r="C885" t="str">
        <f>_xlfn.XLOOKUP(FME_Ranking1[[#This Row],[FME ID]],FME_Input[FME_ID],FME_Input[FME_NAME])</f>
        <v>Bee Creek Basin Detention Pond</v>
      </c>
      <c r="D885" t="str">
        <f>_xlfn.XLOOKUP(FME_Ranking1[[#This Row],[FME ID]],FME_Input[FME_ID],FME_Input[DESCR])</f>
        <v>Design of detention facility to contain and mitigate flooding.</v>
      </c>
      <c r="E885" s="256">
        <f>_xlfn.XLOOKUP(FME_Ranking1[[#This Row],[FME ID]],FME_Input[FME_ID],FME_Input[FME_COST])</f>
        <v>111000</v>
      </c>
      <c r="F885" t="str">
        <f>_xlfn.XLOOKUP(FME_Ranking1[[#This Row],[FME ID]],FME_Input[FME_ID],FME_Input[EMER_NEED])</f>
        <v>No</v>
      </c>
      <c r="G885">
        <f>IF(FME_Ranking!F885="Yes",100,0)</f>
        <v>0</v>
      </c>
      <c r="H885">
        <f>FME_Ranking1[[#This Row],[Emergency Need Score (Normalized, Unweighted)]]*$F$3</f>
        <v>0</v>
      </c>
      <c r="I885" s="246">
        <f>_xlfn.XLOOKUP(FME_Ranking1[[#This Row],[FME ID]],FME_Input[FME_ID],FME_Input[STRUCT_100])</f>
        <v>66</v>
      </c>
      <c r="J885" s="178">
        <f>(FME_Ranking1[[#This Row],[Structures 100 Raw]]/I$2)*100</f>
        <v>3.5342500963886393E-2</v>
      </c>
      <c r="K885" s="178">
        <f>FME_Ranking1[[#This Row],[Structures 100  Score (Normalized, Unweighted)]]*$I$3</f>
        <v>5.301375144582959E-3</v>
      </c>
      <c r="L885" s="246">
        <f>_xlfn.XLOOKUP(FME_Ranking1[[#This Row],[FME ID]],FME_Input[FME_ID],FME_Input[RES_STRUCT100])</f>
        <v>47</v>
      </c>
      <c r="M885" s="230">
        <f>(FME_Ranking1[[#This Row],[Res Structures Raw]]/L$2)*100</f>
        <v>3.3290362794123896E-2</v>
      </c>
      <c r="N885" s="180">
        <f>FME_Ranking1[[#This Row],[Res Structures Score (Normalized, Unweighted)]]*$L$3</f>
        <v>3.3290362794123896E-3</v>
      </c>
      <c r="O885" s="244">
        <f>_xlfn.XLOOKUP(FME_Ranking1[[#This Row],[FME ID]],FME_Input[FME_ID],FME_Input[POP100])</f>
        <v>233</v>
      </c>
      <c r="P885" s="178">
        <f>(FME_Ranking1[[#This Row],[Pop Raw]]/$O$2)*100</f>
        <v>2.3853447693381845E-2</v>
      </c>
      <c r="Q885" s="178">
        <f>FME_Ranking1[[#This Row],[Pop Score (Normalized, Unweighted)]]*$O$3</f>
        <v>3.5780171540072767E-3</v>
      </c>
      <c r="R885" s="137">
        <f>_xlfn.XLOOKUP(FME_Ranking1[[#This Row],[FME ID]],FME_Input[FME_ID],FME_Input[CRITFAC100])</f>
        <v>1</v>
      </c>
      <c r="S885" s="230">
        <f>(FME_Ranking1[[#This Row],[Critical Facilities Raw]]/$R$2)*100</f>
        <v>4.2881646655231559E-2</v>
      </c>
      <c r="T885" s="180">
        <f>FME_Ranking1[[#This Row],[Critical Facilities Score (Normalized, Unweighted)]]*$R$3</f>
        <v>8.5763293310463125E-3</v>
      </c>
      <c r="U885">
        <f>_xlfn.XLOOKUP(FME_Ranking1[[#This Row],[FME ID]],FME_Input[FME_ID],FME_Input[LWC])</f>
        <v>8</v>
      </c>
      <c r="V885" s="178">
        <f>(FME_Ranking1[[#This Row],[LWC Raw]]/$U$2)*100</f>
        <v>0.46056419113413938</v>
      </c>
      <c r="W885" s="178">
        <f>FME_Ranking1[[#This Row],[LWC Score (Normalized, Unweighted)]]*$U$3</f>
        <v>9.2112838226827878E-2</v>
      </c>
      <c r="X885" s="246">
        <f>_xlfn.XLOOKUP(FME_Ranking1[[#This Row],[FME ID]],FME_Input[FME_ID],FME_Input[ROADCLS])</f>
        <v>19</v>
      </c>
      <c r="Y885" s="230">
        <f>(FME_Ranking1[[#This Row],[Closures Raw]]/$X$2)*100</f>
        <v>0.19976868888655239</v>
      </c>
      <c r="Z885" s="180">
        <f>FME_Ranking1[[#This Row],[Closures Score (Normalized, Unweighted)]]*$X$3</f>
        <v>9.9884344443276207E-3</v>
      </c>
      <c r="AA885" s="253">
        <f>_xlfn.XLOOKUP(FME_Ranking1[[#This Row],[FME ID]],FME_Input[FME_ID],FME_Input[ROAD_MILES100])</f>
        <v>2.126060009002686</v>
      </c>
      <c r="AB885" s="178">
        <f>(FME_Ranking1[[#This Row],[Miles Raw]]/$AA$2)*100</f>
        <v>2.7953875850741283E-2</v>
      </c>
      <c r="AC885" s="178">
        <f>FME_Ranking1[[#This Row],[Miles Score (Normalized, Unweighted)]]*$AA$3</f>
        <v>2.7953875850741283E-3</v>
      </c>
      <c r="AD885" s="255">
        <f>_xlfn.XLOOKUP(FME_Ranking1[[#This Row],[FME ID]],FME_Input[FME_ID],FME_Input[FARMACRE100])</f>
        <v>75.054000854492188</v>
      </c>
      <c r="AE885" s="230">
        <f>(FME_Ranking1[[#This Row],[Ag Land Raw]]/$AD$2)*100</f>
        <v>3.0948910157275254E-3</v>
      </c>
      <c r="AF885" s="231">
        <f>FME_Ranking1[[#This Row],[Ag Land Score (Normalized, Unweighted)]]*$AD$3</f>
        <v>1.5474455078637629E-4</v>
      </c>
      <c r="AG88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0.12583616271606493</v>
      </c>
      <c r="AH885" s="406">
        <f t="shared" si="13"/>
        <v>968</v>
      </c>
      <c r="AI88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0.12583616271606493</v>
      </c>
      <c r="AJ885" s="257">
        <f>FME_Ranking1[[#This Row],[Addition check]]-FME_Ranking1[[#This Row],[Weighted Score Based on Normalized Reported Factors]]</f>
        <v>0</v>
      </c>
      <c r="AK885" s="178">
        <f>_xlfn.RANK.EQ(AI885,$AI$6:$AI$2341,0)+COUNTIF($AI$6:AI885,AI885)-1</f>
        <v>968</v>
      </c>
    </row>
    <row r="886" spans="1:37" x14ac:dyDescent="0.25">
      <c r="A886" t="s">
        <v>6860</v>
      </c>
      <c r="B886">
        <f>_xlfn.XLOOKUP(FME_Ranking1[[#This Row],[FME ID]],FME_Input[FME_ID],FME_Input[RFPG_NUM])</f>
        <v>7</v>
      </c>
      <c r="C886" t="str">
        <f>_xlfn.XLOOKUP(FME_Ranking1[[#This Row],[FME ID]],FME_Input[FME_ID],FME_Input[FME_NAME])</f>
        <v>Castro County Update FEMA Mapping</v>
      </c>
      <c r="D886" t="str">
        <f>_xlfn.XLOOKUP(FME_Ranking1[[#This Row],[FME ID]],FME_Input[FME_ID],FME_Input[DESCR])</f>
        <v>Update existing FEMA mapping</v>
      </c>
      <c r="E886" s="256">
        <f>_xlfn.XLOOKUP(FME_Ranking1[[#This Row],[FME ID]],FME_Input[FME_ID],FME_Input[FME_COST])</f>
        <v>870000</v>
      </c>
      <c r="F886" t="str">
        <f>_xlfn.XLOOKUP(FME_Ranking1[[#This Row],[FME ID]],FME_Input[FME_ID],FME_Input[EMER_NEED])</f>
        <v>No</v>
      </c>
      <c r="G886">
        <f>IF(FME_Ranking!F886="Yes",100,0)</f>
        <v>0</v>
      </c>
      <c r="H886">
        <f>FME_Ranking1[[#This Row],[Emergency Need Score (Normalized, Unweighted)]]*$F$3</f>
        <v>0</v>
      </c>
      <c r="I886" s="246">
        <f>_xlfn.XLOOKUP(FME_Ranking1[[#This Row],[FME ID]],FME_Input[FME_ID],FME_Input[STRUCT_100])</f>
        <v>51</v>
      </c>
      <c r="J886" s="178">
        <f>(FME_Ranking1[[#This Row],[Structures 100 Raw]]/I$2)*100</f>
        <v>2.7310114381184934E-2</v>
      </c>
      <c r="K886" s="178">
        <f>FME_Ranking1[[#This Row],[Structures 100  Score (Normalized, Unweighted)]]*$I$3</f>
        <v>4.0965171571777396E-3</v>
      </c>
      <c r="L886" s="246">
        <f>_xlfn.XLOOKUP(FME_Ranking1[[#This Row],[FME ID]],FME_Input[FME_ID],FME_Input[RES_STRUCT100])</f>
        <v>0</v>
      </c>
      <c r="M886" s="230">
        <f>(FME_Ranking1[[#This Row],[Res Structures Raw]]/L$2)*100</f>
        <v>0</v>
      </c>
      <c r="N886" s="180">
        <f>FME_Ranking1[[#This Row],[Res Structures Score (Normalized, Unweighted)]]*$L$3</f>
        <v>0</v>
      </c>
      <c r="O886" s="244">
        <f>_xlfn.XLOOKUP(FME_Ranking1[[#This Row],[FME ID]],FME_Input[FME_ID],FME_Input[POP100])</f>
        <v>82</v>
      </c>
      <c r="P886" s="178">
        <f>(FME_Ranking1[[#This Row],[Pop Raw]]/$O$2)*100</f>
        <v>8.3947755830785908E-3</v>
      </c>
      <c r="Q886" s="178">
        <f>FME_Ranking1[[#This Row],[Pop Score (Normalized, Unweighted)]]*$O$3</f>
        <v>1.2592163374617886E-3</v>
      </c>
      <c r="R886" s="137">
        <f>_xlfn.XLOOKUP(FME_Ranking1[[#This Row],[FME ID]],FME_Input[FME_ID],FME_Input[CRITFAC100])</f>
        <v>0</v>
      </c>
      <c r="S886" s="230">
        <f>(FME_Ranking1[[#This Row],[Critical Facilities Raw]]/$R$2)*100</f>
        <v>0</v>
      </c>
      <c r="T886" s="180">
        <f>FME_Ranking1[[#This Row],[Critical Facilities Score (Normalized, Unweighted)]]*$R$3</f>
        <v>0</v>
      </c>
      <c r="U886">
        <f>_xlfn.XLOOKUP(FME_Ranking1[[#This Row],[FME ID]],FME_Input[FME_ID],FME_Input[LWC])</f>
        <v>6</v>
      </c>
      <c r="V886" s="178">
        <f>(FME_Ranking1[[#This Row],[LWC Raw]]/$U$2)*100</f>
        <v>0.34542314335060448</v>
      </c>
      <c r="W886" s="178">
        <f>FME_Ranking1[[#This Row],[LWC Score (Normalized, Unweighted)]]*$U$3</f>
        <v>6.9084628670120898E-2</v>
      </c>
      <c r="X886" s="246">
        <f>_xlfn.XLOOKUP(FME_Ranking1[[#This Row],[FME ID]],FME_Input[FME_ID],FME_Input[ROADCLS])</f>
        <v>0</v>
      </c>
      <c r="Y886" s="230">
        <f>(FME_Ranking1[[#This Row],[Closures Raw]]/$X$2)*100</f>
        <v>0</v>
      </c>
      <c r="Z886" s="180">
        <f>FME_Ranking1[[#This Row],[Closures Score (Normalized, Unweighted)]]*$X$3</f>
        <v>0</v>
      </c>
      <c r="AA886" s="253">
        <f>_xlfn.XLOOKUP(FME_Ranking1[[#This Row],[FME ID]],FME_Input[FME_ID],FME_Input[ROAD_MILES100])</f>
        <v>280.89724731445313</v>
      </c>
      <c r="AB886" s="178">
        <f>(FME_Ranking1[[#This Row],[Miles Raw]]/$AA$2)*100</f>
        <v>3.6932949893199716</v>
      </c>
      <c r="AC886" s="178">
        <f>FME_Ranking1[[#This Row],[Miles Score (Normalized, Unweighted)]]*$AA$3</f>
        <v>0.36932949893199718</v>
      </c>
      <c r="AD886" s="255">
        <f>_xlfn.XLOOKUP(FME_Ranking1[[#This Row],[FME ID]],FME_Input[FME_ID],FME_Input[FARMACRE100])</f>
        <v>23504.32421875</v>
      </c>
      <c r="AE886" s="230">
        <f>(FME_Ranking1[[#This Row],[Ag Land Raw]]/$AD$2)*100</f>
        <v>0.96921311358716677</v>
      </c>
      <c r="AF886" s="231">
        <f>FME_Ranking1[[#This Row],[Ag Land Score (Normalized, Unweighted)]]*$AD$3</f>
        <v>4.8460655679358339E-2</v>
      </c>
      <c r="AG88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0.49223051677611596</v>
      </c>
      <c r="AH886" s="406">
        <f t="shared" si="13"/>
        <v>435</v>
      </c>
      <c r="AI88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0.49223051677611596</v>
      </c>
      <c r="AJ886" s="257">
        <f>FME_Ranking1[[#This Row],[Addition check]]-FME_Ranking1[[#This Row],[Weighted Score Based on Normalized Reported Factors]]</f>
        <v>0</v>
      </c>
      <c r="AK886" s="178">
        <f>_xlfn.RANK.EQ(AI886,$AI$6:$AI$2341,0)+COUNTIF($AI$6:AI886,AI886)-1</f>
        <v>435</v>
      </c>
    </row>
    <row r="887" spans="1:37" x14ac:dyDescent="0.25">
      <c r="A887" t="s">
        <v>6866</v>
      </c>
      <c r="B887">
        <f>_xlfn.XLOOKUP(FME_Ranking1[[#This Row],[FME ID]],FME_Input[FME_ID],FME_Input[RFPG_NUM])</f>
        <v>7</v>
      </c>
      <c r="C887" t="str">
        <f>_xlfn.XLOOKUP(FME_Ranking1[[#This Row],[FME ID]],FME_Input[FME_ID],FME_Input[FME_NAME])</f>
        <v>Castro County DMP</v>
      </c>
      <c r="D887" t="str">
        <f>_xlfn.XLOOKUP(FME_Ranking1[[#This Row],[FME ID]],FME_Input[FME_ID],FME_Input[DESCR])</f>
        <v>Evaluate county to identify future projects, analyze roads/stream crossing for emergency response vehicles to high hazard areas</v>
      </c>
      <c r="E887" s="256">
        <f>_xlfn.XLOOKUP(FME_Ranking1[[#This Row],[FME ID]],FME_Input[FME_ID],FME_Input[FME_COST])</f>
        <v>500000</v>
      </c>
      <c r="F887" t="str">
        <f>_xlfn.XLOOKUP(FME_Ranking1[[#This Row],[FME ID]],FME_Input[FME_ID],FME_Input[EMER_NEED])</f>
        <v>No</v>
      </c>
      <c r="G887">
        <f>IF(FME_Ranking!F887="Yes",100,0)</f>
        <v>0</v>
      </c>
      <c r="H887">
        <f>FME_Ranking1[[#This Row],[Emergency Need Score (Normalized, Unweighted)]]*$F$3</f>
        <v>0</v>
      </c>
      <c r="I887" s="246">
        <f>_xlfn.XLOOKUP(FME_Ranking1[[#This Row],[FME ID]],FME_Input[FME_ID],FME_Input[STRUCT_100])</f>
        <v>51</v>
      </c>
      <c r="J887" s="178">
        <f>(FME_Ranking1[[#This Row],[Structures 100 Raw]]/I$2)*100</f>
        <v>2.7310114381184934E-2</v>
      </c>
      <c r="K887" s="178">
        <f>FME_Ranking1[[#This Row],[Structures 100  Score (Normalized, Unweighted)]]*$I$3</f>
        <v>4.0965171571777396E-3</v>
      </c>
      <c r="L887" s="246">
        <f>_xlfn.XLOOKUP(FME_Ranking1[[#This Row],[FME ID]],FME_Input[FME_ID],FME_Input[RES_STRUCT100])</f>
        <v>0</v>
      </c>
      <c r="M887" s="230">
        <f>(FME_Ranking1[[#This Row],[Res Structures Raw]]/L$2)*100</f>
        <v>0</v>
      </c>
      <c r="N887" s="180">
        <f>FME_Ranking1[[#This Row],[Res Structures Score (Normalized, Unweighted)]]*$L$3</f>
        <v>0</v>
      </c>
      <c r="O887" s="244">
        <f>_xlfn.XLOOKUP(FME_Ranking1[[#This Row],[FME ID]],FME_Input[FME_ID],FME_Input[POP100])</f>
        <v>82</v>
      </c>
      <c r="P887" s="178">
        <f>(FME_Ranking1[[#This Row],[Pop Raw]]/$O$2)*100</f>
        <v>8.3947755830785908E-3</v>
      </c>
      <c r="Q887" s="178">
        <f>FME_Ranking1[[#This Row],[Pop Score (Normalized, Unweighted)]]*$O$3</f>
        <v>1.2592163374617886E-3</v>
      </c>
      <c r="R887" s="137">
        <f>_xlfn.XLOOKUP(FME_Ranking1[[#This Row],[FME ID]],FME_Input[FME_ID],FME_Input[CRITFAC100])</f>
        <v>0</v>
      </c>
      <c r="S887" s="230">
        <f>(FME_Ranking1[[#This Row],[Critical Facilities Raw]]/$R$2)*100</f>
        <v>0</v>
      </c>
      <c r="T887" s="180">
        <f>FME_Ranking1[[#This Row],[Critical Facilities Score (Normalized, Unweighted)]]*$R$3</f>
        <v>0</v>
      </c>
      <c r="U887">
        <f>_xlfn.XLOOKUP(FME_Ranking1[[#This Row],[FME ID]],FME_Input[FME_ID],FME_Input[LWC])</f>
        <v>6</v>
      </c>
      <c r="V887" s="178">
        <f>(FME_Ranking1[[#This Row],[LWC Raw]]/$U$2)*100</f>
        <v>0.34542314335060448</v>
      </c>
      <c r="W887" s="178">
        <f>FME_Ranking1[[#This Row],[LWC Score (Normalized, Unweighted)]]*$U$3</f>
        <v>6.9084628670120898E-2</v>
      </c>
      <c r="X887" s="246">
        <f>_xlfn.XLOOKUP(FME_Ranking1[[#This Row],[FME ID]],FME_Input[FME_ID],FME_Input[ROADCLS])</f>
        <v>0</v>
      </c>
      <c r="Y887" s="230">
        <f>(FME_Ranking1[[#This Row],[Closures Raw]]/$X$2)*100</f>
        <v>0</v>
      </c>
      <c r="Z887" s="180">
        <f>FME_Ranking1[[#This Row],[Closures Score (Normalized, Unweighted)]]*$X$3</f>
        <v>0</v>
      </c>
      <c r="AA887" s="253">
        <f>_xlfn.XLOOKUP(FME_Ranking1[[#This Row],[FME ID]],FME_Input[FME_ID],FME_Input[ROAD_MILES100])</f>
        <v>280.89724731445313</v>
      </c>
      <c r="AB887" s="178">
        <f>(FME_Ranking1[[#This Row],[Miles Raw]]/$AA$2)*100</f>
        <v>3.6932949893199716</v>
      </c>
      <c r="AC887" s="178">
        <f>FME_Ranking1[[#This Row],[Miles Score (Normalized, Unweighted)]]*$AA$3</f>
        <v>0.36932949893199718</v>
      </c>
      <c r="AD887" s="255">
        <f>_xlfn.XLOOKUP(FME_Ranking1[[#This Row],[FME ID]],FME_Input[FME_ID],FME_Input[FARMACRE100])</f>
        <v>23504.32421875</v>
      </c>
      <c r="AE887" s="230">
        <f>(FME_Ranking1[[#This Row],[Ag Land Raw]]/$AD$2)*100</f>
        <v>0.96921311358716677</v>
      </c>
      <c r="AF887" s="231">
        <f>FME_Ranking1[[#This Row],[Ag Land Score (Normalized, Unweighted)]]*$AD$3</f>
        <v>4.8460655679358339E-2</v>
      </c>
      <c r="AG88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0.49223051677611596</v>
      </c>
      <c r="AH887" s="406">
        <f t="shared" si="13"/>
        <v>435</v>
      </c>
      <c r="AI88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0.49223051677611596</v>
      </c>
      <c r="AJ887" s="257">
        <f>FME_Ranking1[[#This Row],[Addition check]]-FME_Ranking1[[#This Row],[Weighted Score Based on Normalized Reported Factors]]</f>
        <v>0</v>
      </c>
      <c r="AK887" s="178">
        <f>_xlfn.RANK.EQ(AI887,$AI$6:$AI$2341,0)+COUNTIF($AI$6:AI887,AI887)-1</f>
        <v>436</v>
      </c>
    </row>
    <row r="888" spans="1:37" x14ac:dyDescent="0.25">
      <c r="A888" t="s">
        <v>6868</v>
      </c>
      <c r="B888">
        <f>_xlfn.XLOOKUP(FME_Ranking1[[#This Row],[FME ID]],FME_Input[FME_ID],FME_Input[RFPG_NUM])</f>
        <v>7</v>
      </c>
      <c r="C888" t="str">
        <f>_xlfn.XLOOKUP(FME_Ranking1[[#This Row],[FME ID]],FME_Input[FME_ID],FME_Input[FME_NAME])</f>
        <v>Castro County GIS Development</v>
      </c>
      <c r="D888" t="str">
        <f>_xlfn.XLOOKUP(FME_Ranking1[[#This Row],[FME ID]],FME_Input[FME_ID],FME_Input[DESCR])</f>
        <v>Develop a GIS inventory of stormwater infrastructure</v>
      </c>
      <c r="E888" s="256">
        <f>_xlfn.XLOOKUP(FME_Ranking1[[#This Row],[FME ID]],FME_Input[FME_ID],FME_Input[FME_COST])</f>
        <v>100000</v>
      </c>
      <c r="F888" t="str">
        <f>_xlfn.XLOOKUP(FME_Ranking1[[#This Row],[FME ID]],FME_Input[FME_ID],FME_Input[EMER_NEED])</f>
        <v>No</v>
      </c>
      <c r="G888">
        <f>IF(FME_Ranking!F888="Yes",100,0)</f>
        <v>0</v>
      </c>
      <c r="H888">
        <f>FME_Ranking1[[#This Row],[Emergency Need Score (Normalized, Unweighted)]]*$F$3</f>
        <v>0</v>
      </c>
      <c r="I888" s="246">
        <f>_xlfn.XLOOKUP(FME_Ranking1[[#This Row],[FME ID]],FME_Input[FME_ID],FME_Input[STRUCT_100])</f>
        <v>51</v>
      </c>
      <c r="J888" s="178">
        <f>(FME_Ranking1[[#This Row],[Structures 100 Raw]]/I$2)*100</f>
        <v>2.7310114381184934E-2</v>
      </c>
      <c r="K888" s="178">
        <f>FME_Ranking1[[#This Row],[Structures 100  Score (Normalized, Unweighted)]]*$I$3</f>
        <v>4.0965171571777396E-3</v>
      </c>
      <c r="L888" s="246">
        <f>_xlfn.XLOOKUP(FME_Ranking1[[#This Row],[FME ID]],FME_Input[FME_ID],FME_Input[RES_STRUCT100])</f>
        <v>0</v>
      </c>
      <c r="M888" s="230">
        <f>(FME_Ranking1[[#This Row],[Res Structures Raw]]/L$2)*100</f>
        <v>0</v>
      </c>
      <c r="N888" s="180">
        <f>FME_Ranking1[[#This Row],[Res Structures Score (Normalized, Unweighted)]]*$L$3</f>
        <v>0</v>
      </c>
      <c r="O888" s="244">
        <f>_xlfn.XLOOKUP(FME_Ranking1[[#This Row],[FME ID]],FME_Input[FME_ID],FME_Input[POP100])</f>
        <v>82</v>
      </c>
      <c r="P888" s="178">
        <f>(FME_Ranking1[[#This Row],[Pop Raw]]/$O$2)*100</f>
        <v>8.3947755830785908E-3</v>
      </c>
      <c r="Q888" s="178">
        <f>FME_Ranking1[[#This Row],[Pop Score (Normalized, Unweighted)]]*$O$3</f>
        <v>1.2592163374617886E-3</v>
      </c>
      <c r="R888" s="137">
        <f>_xlfn.XLOOKUP(FME_Ranking1[[#This Row],[FME ID]],FME_Input[FME_ID],FME_Input[CRITFAC100])</f>
        <v>0</v>
      </c>
      <c r="S888" s="230">
        <f>(FME_Ranking1[[#This Row],[Critical Facilities Raw]]/$R$2)*100</f>
        <v>0</v>
      </c>
      <c r="T888" s="180">
        <f>FME_Ranking1[[#This Row],[Critical Facilities Score (Normalized, Unweighted)]]*$R$3</f>
        <v>0</v>
      </c>
      <c r="U888">
        <f>_xlfn.XLOOKUP(FME_Ranking1[[#This Row],[FME ID]],FME_Input[FME_ID],FME_Input[LWC])</f>
        <v>6</v>
      </c>
      <c r="V888" s="178">
        <f>(FME_Ranking1[[#This Row],[LWC Raw]]/$U$2)*100</f>
        <v>0.34542314335060448</v>
      </c>
      <c r="W888" s="178">
        <f>FME_Ranking1[[#This Row],[LWC Score (Normalized, Unweighted)]]*$U$3</f>
        <v>6.9084628670120898E-2</v>
      </c>
      <c r="X888" s="246">
        <f>_xlfn.XLOOKUP(FME_Ranking1[[#This Row],[FME ID]],FME_Input[FME_ID],FME_Input[ROADCLS])</f>
        <v>0</v>
      </c>
      <c r="Y888" s="230">
        <f>(FME_Ranking1[[#This Row],[Closures Raw]]/$X$2)*100</f>
        <v>0</v>
      </c>
      <c r="Z888" s="180">
        <f>FME_Ranking1[[#This Row],[Closures Score (Normalized, Unweighted)]]*$X$3</f>
        <v>0</v>
      </c>
      <c r="AA888" s="253">
        <f>_xlfn.XLOOKUP(FME_Ranking1[[#This Row],[FME ID]],FME_Input[FME_ID],FME_Input[ROAD_MILES100])</f>
        <v>280.89724731445313</v>
      </c>
      <c r="AB888" s="178">
        <f>(FME_Ranking1[[#This Row],[Miles Raw]]/$AA$2)*100</f>
        <v>3.6932949893199716</v>
      </c>
      <c r="AC888" s="178">
        <f>FME_Ranking1[[#This Row],[Miles Score (Normalized, Unweighted)]]*$AA$3</f>
        <v>0.36932949893199718</v>
      </c>
      <c r="AD888" s="255">
        <f>_xlfn.XLOOKUP(FME_Ranking1[[#This Row],[FME ID]],FME_Input[FME_ID],FME_Input[FARMACRE100])</f>
        <v>23504.32421875</v>
      </c>
      <c r="AE888" s="230">
        <f>(FME_Ranking1[[#This Row],[Ag Land Raw]]/$AD$2)*100</f>
        <v>0.96921311358716677</v>
      </c>
      <c r="AF888" s="231">
        <f>FME_Ranking1[[#This Row],[Ag Land Score (Normalized, Unweighted)]]*$AD$3</f>
        <v>4.8460655679358339E-2</v>
      </c>
      <c r="AG88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0.49223051677611596</v>
      </c>
      <c r="AH888" s="406">
        <f t="shared" si="13"/>
        <v>435</v>
      </c>
      <c r="AI88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0.49223051677611596</v>
      </c>
      <c r="AJ888" s="257">
        <f>FME_Ranking1[[#This Row],[Addition check]]-FME_Ranking1[[#This Row],[Weighted Score Based on Normalized Reported Factors]]</f>
        <v>0</v>
      </c>
      <c r="AK888" s="178">
        <f>_xlfn.RANK.EQ(AI888,$AI$6:$AI$2341,0)+COUNTIF($AI$6:AI888,AI888)-1</f>
        <v>437</v>
      </c>
    </row>
    <row r="889" spans="1:37" x14ac:dyDescent="0.25">
      <c r="A889" t="s">
        <v>7130</v>
      </c>
      <c r="B889">
        <f>_xlfn.XLOOKUP(FME_Ranking1[[#This Row],[FME ID]],FME_Input[FME_ID],FME_Input[RFPG_NUM])</f>
        <v>7</v>
      </c>
      <c r="C889" t="str">
        <f>_xlfn.XLOOKUP(FME_Ranking1[[#This Row],[FME ID]],FME_Input[FME_ID],FME_Input[FME_NAME])</f>
        <v>Castro County DCM</v>
      </c>
      <c r="D889" t="str">
        <f>_xlfn.XLOOKUP(FME_Ranking1[[#This Row],[FME ID]],FME_Input[FME_ID],FME_Input[DESCR])</f>
        <v>Consider stormwater criteria for infrastructure and floodplain ordinances to avoid new exposure to flood hazards.</v>
      </c>
      <c r="E889" s="256">
        <f>_xlfn.XLOOKUP(FME_Ranking1[[#This Row],[FME ID]],FME_Input[FME_ID],FME_Input[FME_COST])</f>
        <v>100000</v>
      </c>
      <c r="F889" t="str">
        <f>_xlfn.XLOOKUP(FME_Ranking1[[#This Row],[FME ID]],FME_Input[FME_ID],FME_Input[EMER_NEED])</f>
        <v>No</v>
      </c>
      <c r="G889">
        <f>IF(FME_Ranking!F889="Yes",100,0)</f>
        <v>0</v>
      </c>
      <c r="H889">
        <f>FME_Ranking1[[#This Row],[Emergency Need Score (Normalized, Unweighted)]]*$F$3</f>
        <v>0</v>
      </c>
      <c r="I889" s="246">
        <f>_xlfn.XLOOKUP(FME_Ranking1[[#This Row],[FME ID]],FME_Input[FME_ID],FME_Input[STRUCT_100])</f>
        <v>51</v>
      </c>
      <c r="J889" s="178">
        <f>(FME_Ranking1[[#This Row],[Structures 100 Raw]]/I$2)*100</f>
        <v>2.7310114381184934E-2</v>
      </c>
      <c r="K889" s="178">
        <f>FME_Ranking1[[#This Row],[Structures 100  Score (Normalized, Unweighted)]]*$I$3</f>
        <v>4.0965171571777396E-3</v>
      </c>
      <c r="L889" s="246">
        <f>_xlfn.XLOOKUP(FME_Ranking1[[#This Row],[FME ID]],FME_Input[FME_ID],FME_Input[RES_STRUCT100])</f>
        <v>0</v>
      </c>
      <c r="M889" s="230">
        <f>(FME_Ranking1[[#This Row],[Res Structures Raw]]/L$2)*100</f>
        <v>0</v>
      </c>
      <c r="N889" s="180">
        <f>FME_Ranking1[[#This Row],[Res Structures Score (Normalized, Unweighted)]]*$L$3</f>
        <v>0</v>
      </c>
      <c r="O889" s="244">
        <f>_xlfn.XLOOKUP(FME_Ranking1[[#This Row],[FME ID]],FME_Input[FME_ID],FME_Input[POP100])</f>
        <v>82</v>
      </c>
      <c r="P889" s="178">
        <f>(FME_Ranking1[[#This Row],[Pop Raw]]/$O$2)*100</f>
        <v>8.3947755830785908E-3</v>
      </c>
      <c r="Q889" s="178">
        <f>FME_Ranking1[[#This Row],[Pop Score (Normalized, Unweighted)]]*$O$3</f>
        <v>1.2592163374617886E-3</v>
      </c>
      <c r="R889" s="137">
        <f>_xlfn.XLOOKUP(FME_Ranking1[[#This Row],[FME ID]],FME_Input[FME_ID],FME_Input[CRITFAC100])</f>
        <v>0</v>
      </c>
      <c r="S889" s="230">
        <f>(FME_Ranking1[[#This Row],[Critical Facilities Raw]]/$R$2)*100</f>
        <v>0</v>
      </c>
      <c r="T889" s="180">
        <f>FME_Ranking1[[#This Row],[Critical Facilities Score (Normalized, Unweighted)]]*$R$3</f>
        <v>0</v>
      </c>
      <c r="U889">
        <f>_xlfn.XLOOKUP(FME_Ranking1[[#This Row],[FME ID]],FME_Input[FME_ID],FME_Input[LWC])</f>
        <v>6</v>
      </c>
      <c r="V889" s="178">
        <f>(FME_Ranking1[[#This Row],[LWC Raw]]/$U$2)*100</f>
        <v>0.34542314335060448</v>
      </c>
      <c r="W889" s="178">
        <f>FME_Ranking1[[#This Row],[LWC Score (Normalized, Unweighted)]]*$U$3</f>
        <v>6.9084628670120898E-2</v>
      </c>
      <c r="X889" s="246">
        <f>_xlfn.XLOOKUP(FME_Ranking1[[#This Row],[FME ID]],FME_Input[FME_ID],FME_Input[ROADCLS])</f>
        <v>0</v>
      </c>
      <c r="Y889" s="230">
        <f>(FME_Ranking1[[#This Row],[Closures Raw]]/$X$2)*100</f>
        <v>0</v>
      </c>
      <c r="Z889" s="180">
        <f>FME_Ranking1[[#This Row],[Closures Score (Normalized, Unweighted)]]*$X$3</f>
        <v>0</v>
      </c>
      <c r="AA889" s="253">
        <f>_xlfn.XLOOKUP(FME_Ranking1[[#This Row],[FME ID]],FME_Input[FME_ID],FME_Input[ROAD_MILES100])</f>
        <v>280.89724731445313</v>
      </c>
      <c r="AB889" s="178">
        <f>(FME_Ranking1[[#This Row],[Miles Raw]]/$AA$2)*100</f>
        <v>3.6932949893199716</v>
      </c>
      <c r="AC889" s="178">
        <f>FME_Ranking1[[#This Row],[Miles Score (Normalized, Unweighted)]]*$AA$3</f>
        <v>0.36932949893199718</v>
      </c>
      <c r="AD889" s="255">
        <f>_xlfn.XLOOKUP(FME_Ranking1[[#This Row],[FME ID]],FME_Input[FME_ID],FME_Input[FARMACRE100])</f>
        <v>23504.32421875</v>
      </c>
      <c r="AE889" s="230">
        <f>(FME_Ranking1[[#This Row],[Ag Land Raw]]/$AD$2)*100</f>
        <v>0.96921311358716677</v>
      </c>
      <c r="AF889" s="231">
        <f>FME_Ranking1[[#This Row],[Ag Land Score (Normalized, Unweighted)]]*$AD$3</f>
        <v>4.8460655679358339E-2</v>
      </c>
      <c r="AG88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0.49223051677611596</v>
      </c>
      <c r="AH889" s="406">
        <f t="shared" si="13"/>
        <v>435</v>
      </c>
      <c r="AI88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0.49223051677611596</v>
      </c>
      <c r="AJ889" s="257">
        <f>FME_Ranking1[[#This Row],[Addition check]]-FME_Ranking1[[#This Row],[Weighted Score Based on Normalized Reported Factors]]</f>
        <v>0</v>
      </c>
      <c r="AK889" s="178">
        <f>_xlfn.RANK.EQ(AI889,$AI$6:$AI$2341,0)+COUNTIF($AI$6:AI889,AI889)-1</f>
        <v>438</v>
      </c>
    </row>
    <row r="890" spans="1:37" x14ac:dyDescent="0.25">
      <c r="A890" t="s">
        <v>4348</v>
      </c>
      <c r="B890">
        <f>_xlfn.XLOOKUP(FME_Ranking1[[#This Row],[FME ID]],FME_Input[FME_ID],FME_Input[RFPG_NUM])</f>
        <v>3</v>
      </c>
      <c r="C890" t="str">
        <f>_xlfn.XLOOKUP(FME_Ranking1[[#This Row],[FME ID]],FME_Input[FME_ID],FME_Input[FME_NAME])</f>
        <v>Ridgewood Park-Regal Estates-Meadowcreek Square Drainage Study Update</v>
      </c>
      <c r="D890" t="str">
        <f>_xlfn.XLOOKUP(FME_Ranking1[[#This Row],[FME ID]],FME_Input[FME_ID],FME_Input[DESCR])</f>
        <v>Area 9</v>
      </c>
      <c r="E890" s="256">
        <f>_xlfn.XLOOKUP(FME_Ranking1[[#This Row],[FME ID]],FME_Input[FME_ID],FME_Input[FME_COST])</f>
        <v>134000</v>
      </c>
      <c r="F890" t="str">
        <f>_xlfn.XLOOKUP(FME_Ranking1[[#This Row],[FME ID]],FME_Input[FME_ID],FME_Input[EMER_NEED])</f>
        <v>No</v>
      </c>
      <c r="G890">
        <f>IF(FME_Ranking!F890="Yes",100,0)</f>
        <v>0</v>
      </c>
      <c r="H890">
        <f>FME_Ranking1[[#This Row],[Emergency Need Score (Normalized, Unweighted)]]*$F$3</f>
        <v>0</v>
      </c>
      <c r="I890" s="246">
        <f>_xlfn.XLOOKUP(FME_Ranking1[[#This Row],[FME ID]],FME_Input[FME_ID],FME_Input[STRUCT_100])</f>
        <v>232</v>
      </c>
      <c r="J890" s="178">
        <f>(FME_Ranking1[[#This Row],[Structures 100 Raw]]/I$2)*100</f>
        <v>0.12423424581244913</v>
      </c>
      <c r="K890" s="178">
        <f>FME_Ranking1[[#This Row],[Structures 100  Score (Normalized, Unweighted)]]*$I$3</f>
        <v>1.863513687186737E-2</v>
      </c>
      <c r="L890" s="246">
        <f>_xlfn.XLOOKUP(FME_Ranking1[[#This Row],[FME ID]],FME_Input[FME_ID],FME_Input[RES_STRUCT100])</f>
        <v>227</v>
      </c>
      <c r="M890" s="230">
        <f>(FME_Ranking1[[#This Row],[Res Structures Raw]]/L$2)*100</f>
        <v>0.16078536923970477</v>
      </c>
      <c r="N890" s="180">
        <f>FME_Ranking1[[#This Row],[Res Structures Score (Normalized, Unweighted)]]*$L$3</f>
        <v>1.6078536923970477E-2</v>
      </c>
      <c r="O890" s="244">
        <f>_xlfn.XLOOKUP(FME_Ranking1[[#This Row],[FME ID]],FME_Input[FME_ID],FME_Input[POP100])</f>
        <v>863</v>
      </c>
      <c r="P890" s="178">
        <f>(FME_Ranking1[[#This Row],[Pop Raw]]/$O$2)*100</f>
        <v>8.8349894246302713E-2</v>
      </c>
      <c r="Q890" s="178">
        <f>FME_Ranking1[[#This Row],[Pop Score (Normalized, Unweighted)]]*$O$3</f>
        <v>1.3252484136945407E-2</v>
      </c>
      <c r="R890" s="137">
        <f>_xlfn.XLOOKUP(FME_Ranking1[[#This Row],[FME ID]],FME_Input[FME_ID],FME_Input[CRITFAC100])</f>
        <v>2</v>
      </c>
      <c r="S890" s="230">
        <f>(FME_Ranking1[[#This Row],[Critical Facilities Raw]]/$R$2)*100</f>
        <v>8.5763293310463118E-2</v>
      </c>
      <c r="T890" s="180">
        <f>FME_Ranking1[[#This Row],[Critical Facilities Score (Normalized, Unweighted)]]*$R$3</f>
        <v>1.7152658662092625E-2</v>
      </c>
      <c r="U890">
        <f>_xlfn.XLOOKUP(FME_Ranking1[[#This Row],[FME ID]],FME_Input[FME_ID],FME_Input[LWC])</f>
        <v>5</v>
      </c>
      <c r="V890" s="178">
        <f>(FME_Ranking1[[#This Row],[LWC Raw]]/$U$2)*100</f>
        <v>0.28785261945883706</v>
      </c>
      <c r="W890" s="178">
        <f>FME_Ranking1[[#This Row],[LWC Score (Normalized, Unweighted)]]*$U$3</f>
        <v>5.7570523891767415E-2</v>
      </c>
      <c r="X890" s="246">
        <f>_xlfn.XLOOKUP(FME_Ranking1[[#This Row],[FME ID]],FME_Input[FME_ID],FME_Input[ROADCLS])</f>
        <v>0</v>
      </c>
      <c r="Y890" s="230">
        <f>(FME_Ranking1[[#This Row],[Closures Raw]]/$X$2)*100</f>
        <v>0</v>
      </c>
      <c r="Z890" s="180">
        <f>FME_Ranking1[[#This Row],[Closures Score (Normalized, Unweighted)]]*$X$3</f>
        <v>0</v>
      </c>
      <c r="AA890" s="253">
        <f>_xlfn.XLOOKUP(FME_Ranking1[[#This Row],[FME ID]],FME_Input[FME_ID],FME_Input[ROAD_MILES100])</f>
        <v>3.980118989944458</v>
      </c>
      <c r="AB890" s="178">
        <f>(FME_Ranking1[[#This Row],[Miles Raw]]/$AA$2)*100</f>
        <v>5.2331426039228322E-2</v>
      </c>
      <c r="AC890" s="178">
        <f>FME_Ranking1[[#This Row],[Miles Score (Normalized, Unweighted)]]*$AA$3</f>
        <v>5.2331426039228324E-3</v>
      </c>
      <c r="AD890" s="255">
        <f>_xlfn.XLOOKUP(FME_Ranking1[[#This Row],[FME ID]],FME_Input[FME_ID],FME_Input[FARMACRE100])</f>
        <v>44.775051116943359</v>
      </c>
      <c r="AE890" s="230">
        <f>(FME_Ranking1[[#This Row],[Ag Land Raw]]/$AD$2)*100</f>
        <v>1.8463226723812239E-3</v>
      </c>
      <c r="AF890" s="231">
        <f>FME_Ranking1[[#This Row],[Ag Land Score (Normalized, Unweighted)]]*$AD$3</f>
        <v>9.2316133619061198E-5</v>
      </c>
      <c r="AG89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0.12801479922418518</v>
      </c>
      <c r="AH890" s="406">
        <f t="shared" si="13"/>
        <v>955</v>
      </c>
      <c r="AI89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0.12801479922418518</v>
      </c>
      <c r="AJ890" s="257">
        <f>FME_Ranking1[[#This Row],[Addition check]]-FME_Ranking1[[#This Row],[Weighted Score Based on Normalized Reported Factors]]</f>
        <v>0</v>
      </c>
      <c r="AK890" s="178">
        <f>_xlfn.RANK.EQ(AI890,$AI$6:$AI$2341,0)+COUNTIF($AI$6:AI890,AI890)-1</f>
        <v>955</v>
      </c>
    </row>
    <row r="891" spans="1:37" x14ac:dyDescent="0.25">
      <c r="A891" t="s">
        <v>4356</v>
      </c>
      <c r="B891">
        <f>_xlfn.XLOOKUP(FME_Ranking1[[#This Row],[FME ID]],FME_Input[FME_ID],FME_Input[RFPG_NUM])</f>
        <v>3</v>
      </c>
      <c r="C891" t="str">
        <f>_xlfn.XLOOKUP(FME_Ranking1[[#This Row],[FME ID]],FME_Input[FME_ID],FME_Input[FME_NAME])</f>
        <v>La Prada 7 &amp; 8 Drainage Study Update</v>
      </c>
      <c r="D891" t="str">
        <f>_xlfn.XLOOKUP(FME_Ranking1[[#This Row],[FME ID]],FME_Input[FME_ID],FME_Input[DESCR])</f>
        <v>Area 11</v>
      </c>
      <c r="E891" s="256">
        <f>_xlfn.XLOOKUP(FME_Ranking1[[#This Row],[FME ID]],FME_Input[FME_ID],FME_Input[FME_COST])</f>
        <v>50000</v>
      </c>
      <c r="F891" t="str">
        <f>_xlfn.XLOOKUP(FME_Ranking1[[#This Row],[FME ID]],FME_Input[FME_ID],FME_Input[EMER_NEED])</f>
        <v>No</v>
      </c>
      <c r="G891">
        <f>IF(FME_Ranking!F891="Yes",100,0)</f>
        <v>0</v>
      </c>
      <c r="H891">
        <f>FME_Ranking1[[#This Row],[Emergency Need Score (Normalized, Unweighted)]]*$F$3</f>
        <v>0</v>
      </c>
      <c r="I891" s="246">
        <f>_xlfn.XLOOKUP(FME_Ranking1[[#This Row],[FME ID]],FME_Input[FME_ID],FME_Input[STRUCT_100])</f>
        <v>232</v>
      </c>
      <c r="J891" s="178">
        <f>(FME_Ranking1[[#This Row],[Structures 100 Raw]]/I$2)*100</f>
        <v>0.12423424581244913</v>
      </c>
      <c r="K891" s="178">
        <f>FME_Ranking1[[#This Row],[Structures 100  Score (Normalized, Unweighted)]]*$I$3</f>
        <v>1.863513687186737E-2</v>
      </c>
      <c r="L891" s="246">
        <f>_xlfn.XLOOKUP(FME_Ranking1[[#This Row],[FME ID]],FME_Input[FME_ID],FME_Input[RES_STRUCT100])</f>
        <v>227</v>
      </c>
      <c r="M891" s="230">
        <f>(FME_Ranking1[[#This Row],[Res Structures Raw]]/L$2)*100</f>
        <v>0.16078536923970477</v>
      </c>
      <c r="N891" s="180">
        <f>FME_Ranking1[[#This Row],[Res Structures Score (Normalized, Unweighted)]]*$L$3</f>
        <v>1.6078536923970477E-2</v>
      </c>
      <c r="O891" s="244">
        <f>_xlfn.XLOOKUP(FME_Ranking1[[#This Row],[FME ID]],FME_Input[FME_ID],FME_Input[POP100])</f>
        <v>863</v>
      </c>
      <c r="P891" s="178">
        <f>(FME_Ranking1[[#This Row],[Pop Raw]]/$O$2)*100</f>
        <v>8.8349894246302713E-2</v>
      </c>
      <c r="Q891" s="178">
        <f>FME_Ranking1[[#This Row],[Pop Score (Normalized, Unweighted)]]*$O$3</f>
        <v>1.3252484136945407E-2</v>
      </c>
      <c r="R891" s="137">
        <f>_xlfn.XLOOKUP(FME_Ranking1[[#This Row],[FME ID]],FME_Input[FME_ID],FME_Input[CRITFAC100])</f>
        <v>2</v>
      </c>
      <c r="S891" s="230">
        <f>(FME_Ranking1[[#This Row],[Critical Facilities Raw]]/$R$2)*100</f>
        <v>8.5763293310463118E-2</v>
      </c>
      <c r="T891" s="180">
        <f>FME_Ranking1[[#This Row],[Critical Facilities Score (Normalized, Unweighted)]]*$R$3</f>
        <v>1.7152658662092625E-2</v>
      </c>
      <c r="U891">
        <f>_xlfn.XLOOKUP(FME_Ranking1[[#This Row],[FME ID]],FME_Input[FME_ID],FME_Input[LWC])</f>
        <v>5</v>
      </c>
      <c r="V891" s="178">
        <f>(FME_Ranking1[[#This Row],[LWC Raw]]/$U$2)*100</f>
        <v>0.28785261945883706</v>
      </c>
      <c r="W891" s="178">
        <f>FME_Ranking1[[#This Row],[LWC Score (Normalized, Unweighted)]]*$U$3</f>
        <v>5.7570523891767415E-2</v>
      </c>
      <c r="X891" s="246">
        <f>_xlfn.XLOOKUP(FME_Ranking1[[#This Row],[FME ID]],FME_Input[FME_ID],FME_Input[ROADCLS])</f>
        <v>0</v>
      </c>
      <c r="Y891" s="230">
        <f>(FME_Ranking1[[#This Row],[Closures Raw]]/$X$2)*100</f>
        <v>0</v>
      </c>
      <c r="Z891" s="180">
        <f>FME_Ranking1[[#This Row],[Closures Score (Normalized, Unweighted)]]*$X$3</f>
        <v>0</v>
      </c>
      <c r="AA891" s="253">
        <f>_xlfn.XLOOKUP(FME_Ranking1[[#This Row],[FME ID]],FME_Input[FME_ID],FME_Input[ROAD_MILES100])</f>
        <v>3.980118989944458</v>
      </c>
      <c r="AB891" s="178">
        <f>(FME_Ranking1[[#This Row],[Miles Raw]]/$AA$2)*100</f>
        <v>5.2331426039228322E-2</v>
      </c>
      <c r="AC891" s="178">
        <f>FME_Ranking1[[#This Row],[Miles Score (Normalized, Unweighted)]]*$AA$3</f>
        <v>5.2331426039228324E-3</v>
      </c>
      <c r="AD891" s="255">
        <f>_xlfn.XLOOKUP(FME_Ranking1[[#This Row],[FME ID]],FME_Input[FME_ID],FME_Input[FARMACRE100])</f>
        <v>44.775051116943359</v>
      </c>
      <c r="AE891" s="230">
        <f>(FME_Ranking1[[#This Row],[Ag Land Raw]]/$AD$2)*100</f>
        <v>1.8463226723812239E-3</v>
      </c>
      <c r="AF891" s="231">
        <f>FME_Ranking1[[#This Row],[Ag Land Score (Normalized, Unweighted)]]*$AD$3</f>
        <v>9.2316133619061198E-5</v>
      </c>
      <c r="AG89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0.12801479922418518</v>
      </c>
      <c r="AH891" s="406">
        <f t="shared" si="13"/>
        <v>955</v>
      </c>
      <c r="AI89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0.12801479922418518</v>
      </c>
      <c r="AJ891" s="257">
        <f>FME_Ranking1[[#This Row],[Addition check]]-FME_Ranking1[[#This Row],[Weighted Score Based on Normalized Reported Factors]]</f>
        <v>0</v>
      </c>
      <c r="AK891" s="178">
        <f>_xlfn.RANK.EQ(AI891,$AI$6:$AI$2341,0)+COUNTIF($AI$6:AI891,AI891)-1</f>
        <v>956</v>
      </c>
    </row>
    <row r="892" spans="1:37" x14ac:dyDescent="0.25">
      <c r="A892" t="s">
        <v>4359</v>
      </c>
      <c r="B892">
        <f>_xlfn.XLOOKUP(FME_Ranking1[[#This Row],[FME ID]],FME_Input[FME_ID],FME_Input[RFPG_NUM])</f>
        <v>3</v>
      </c>
      <c r="C892" t="str">
        <f>_xlfn.XLOOKUP(FME_Ranking1[[#This Row],[FME ID]],FME_Input[FME_ID],FME_Input[FME_NAME])</f>
        <v>Gatewood Drainage Study Update</v>
      </c>
      <c r="D892" t="str">
        <f>_xlfn.XLOOKUP(FME_Ranking1[[#This Row],[FME ID]],FME_Input[FME_ID],FME_Input[DESCR])</f>
        <v>Area 12</v>
      </c>
      <c r="E892" s="256">
        <f>_xlfn.XLOOKUP(FME_Ranking1[[#This Row],[FME ID]],FME_Input[FME_ID],FME_Input[FME_COST])</f>
        <v>50000</v>
      </c>
      <c r="F892" t="str">
        <f>_xlfn.XLOOKUP(FME_Ranking1[[#This Row],[FME ID]],FME_Input[FME_ID],FME_Input[EMER_NEED])</f>
        <v>No</v>
      </c>
      <c r="G892">
        <f>IF(FME_Ranking!F892="Yes",100,0)</f>
        <v>0</v>
      </c>
      <c r="H892">
        <f>FME_Ranking1[[#This Row],[Emergency Need Score (Normalized, Unweighted)]]*$F$3</f>
        <v>0</v>
      </c>
      <c r="I892" s="246">
        <f>_xlfn.XLOOKUP(FME_Ranking1[[#This Row],[FME ID]],FME_Input[FME_ID],FME_Input[STRUCT_100])</f>
        <v>232</v>
      </c>
      <c r="J892" s="178">
        <f>(FME_Ranking1[[#This Row],[Structures 100 Raw]]/I$2)*100</f>
        <v>0.12423424581244913</v>
      </c>
      <c r="K892" s="178">
        <f>FME_Ranking1[[#This Row],[Structures 100  Score (Normalized, Unweighted)]]*$I$3</f>
        <v>1.863513687186737E-2</v>
      </c>
      <c r="L892" s="246">
        <f>_xlfn.XLOOKUP(FME_Ranking1[[#This Row],[FME ID]],FME_Input[FME_ID],FME_Input[RES_STRUCT100])</f>
        <v>227</v>
      </c>
      <c r="M892" s="230">
        <f>(FME_Ranking1[[#This Row],[Res Structures Raw]]/L$2)*100</f>
        <v>0.16078536923970477</v>
      </c>
      <c r="N892" s="180">
        <f>FME_Ranking1[[#This Row],[Res Structures Score (Normalized, Unweighted)]]*$L$3</f>
        <v>1.6078536923970477E-2</v>
      </c>
      <c r="O892" s="244">
        <f>_xlfn.XLOOKUP(FME_Ranking1[[#This Row],[FME ID]],FME_Input[FME_ID],FME_Input[POP100])</f>
        <v>863</v>
      </c>
      <c r="P892" s="178">
        <f>(FME_Ranking1[[#This Row],[Pop Raw]]/$O$2)*100</f>
        <v>8.8349894246302713E-2</v>
      </c>
      <c r="Q892" s="178">
        <f>FME_Ranking1[[#This Row],[Pop Score (Normalized, Unweighted)]]*$O$3</f>
        <v>1.3252484136945407E-2</v>
      </c>
      <c r="R892" s="137">
        <f>_xlfn.XLOOKUP(FME_Ranking1[[#This Row],[FME ID]],FME_Input[FME_ID],FME_Input[CRITFAC100])</f>
        <v>2</v>
      </c>
      <c r="S892" s="230">
        <f>(FME_Ranking1[[#This Row],[Critical Facilities Raw]]/$R$2)*100</f>
        <v>8.5763293310463118E-2</v>
      </c>
      <c r="T892" s="180">
        <f>FME_Ranking1[[#This Row],[Critical Facilities Score (Normalized, Unweighted)]]*$R$3</f>
        <v>1.7152658662092625E-2</v>
      </c>
      <c r="U892">
        <f>_xlfn.XLOOKUP(FME_Ranking1[[#This Row],[FME ID]],FME_Input[FME_ID],FME_Input[LWC])</f>
        <v>5</v>
      </c>
      <c r="V892" s="178">
        <f>(FME_Ranking1[[#This Row],[LWC Raw]]/$U$2)*100</f>
        <v>0.28785261945883706</v>
      </c>
      <c r="W892" s="178">
        <f>FME_Ranking1[[#This Row],[LWC Score (Normalized, Unweighted)]]*$U$3</f>
        <v>5.7570523891767415E-2</v>
      </c>
      <c r="X892" s="246">
        <f>_xlfn.XLOOKUP(FME_Ranking1[[#This Row],[FME ID]],FME_Input[FME_ID],FME_Input[ROADCLS])</f>
        <v>0</v>
      </c>
      <c r="Y892" s="230">
        <f>(FME_Ranking1[[#This Row],[Closures Raw]]/$X$2)*100</f>
        <v>0</v>
      </c>
      <c r="Z892" s="180">
        <f>FME_Ranking1[[#This Row],[Closures Score (Normalized, Unweighted)]]*$X$3</f>
        <v>0</v>
      </c>
      <c r="AA892" s="253">
        <f>_xlfn.XLOOKUP(FME_Ranking1[[#This Row],[FME ID]],FME_Input[FME_ID],FME_Input[ROAD_MILES100])</f>
        <v>3.980118989944458</v>
      </c>
      <c r="AB892" s="178">
        <f>(FME_Ranking1[[#This Row],[Miles Raw]]/$AA$2)*100</f>
        <v>5.2331426039228322E-2</v>
      </c>
      <c r="AC892" s="178">
        <f>FME_Ranking1[[#This Row],[Miles Score (Normalized, Unweighted)]]*$AA$3</f>
        <v>5.2331426039228324E-3</v>
      </c>
      <c r="AD892" s="255">
        <f>_xlfn.XLOOKUP(FME_Ranking1[[#This Row],[FME ID]],FME_Input[FME_ID],FME_Input[FARMACRE100])</f>
        <v>44.775051116943359</v>
      </c>
      <c r="AE892" s="230">
        <f>(FME_Ranking1[[#This Row],[Ag Land Raw]]/$AD$2)*100</f>
        <v>1.8463226723812239E-3</v>
      </c>
      <c r="AF892" s="231">
        <f>FME_Ranking1[[#This Row],[Ag Land Score (Normalized, Unweighted)]]*$AD$3</f>
        <v>9.2316133619061198E-5</v>
      </c>
      <c r="AG89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0.12801479922418518</v>
      </c>
      <c r="AH892" s="406">
        <f t="shared" si="13"/>
        <v>955</v>
      </c>
      <c r="AI89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0.12801479922418518</v>
      </c>
      <c r="AJ892" s="257">
        <f>FME_Ranking1[[#This Row],[Addition check]]-FME_Ranking1[[#This Row],[Weighted Score Based on Normalized Reported Factors]]</f>
        <v>0</v>
      </c>
      <c r="AK892" s="178">
        <f>_xlfn.RANK.EQ(AI892,$AI$6:$AI$2341,0)+COUNTIF($AI$6:AI892,AI892)-1</f>
        <v>957</v>
      </c>
    </row>
    <row r="893" spans="1:37" x14ac:dyDescent="0.25">
      <c r="A893" t="s">
        <v>4365</v>
      </c>
      <c r="B893">
        <f>_xlfn.XLOOKUP(FME_Ranking1[[#This Row],[FME ID]],FME_Input[FME_ID],FME_Input[RFPG_NUM])</f>
        <v>3</v>
      </c>
      <c r="C893" t="str">
        <f>_xlfn.XLOOKUP(FME_Ranking1[[#This Row],[FME ID]],FME_Input[FME_ID],FME_Input[FME_NAME])</f>
        <v>Center Creek Plaza 8 Southgate Estates Drainage Study Update</v>
      </c>
      <c r="D893" t="str">
        <f>_xlfn.XLOOKUP(FME_Ranking1[[#This Row],[FME ID]],FME_Input[FME_ID],FME_Input[DESCR])</f>
        <v>Area 14</v>
      </c>
      <c r="E893" s="256">
        <f>_xlfn.XLOOKUP(FME_Ranking1[[#This Row],[FME ID]],FME_Input[FME_ID],FME_Input[FME_COST])</f>
        <v>50000</v>
      </c>
      <c r="F893" t="str">
        <f>_xlfn.XLOOKUP(FME_Ranking1[[#This Row],[FME ID]],FME_Input[FME_ID],FME_Input[EMER_NEED])</f>
        <v>No</v>
      </c>
      <c r="G893">
        <f>IF(FME_Ranking!F893="Yes",100,0)</f>
        <v>0</v>
      </c>
      <c r="H893">
        <f>FME_Ranking1[[#This Row],[Emergency Need Score (Normalized, Unweighted)]]*$F$3</f>
        <v>0</v>
      </c>
      <c r="I893" s="246">
        <f>_xlfn.XLOOKUP(FME_Ranking1[[#This Row],[FME ID]],FME_Input[FME_ID],FME_Input[STRUCT_100])</f>
        <v>232</v>
      </c>
      <c r="J893" s="178">
        <f>(FME_Ranking1[[#This Row],[Structures 100 Raw]]/I$2)*100</f>
        <v>0.12423424581244913</v>
      </c>
      <c r="K893" s="178">
        <f>FME_Ranking1[[#This Row],[Structures 100  Score (Normalized, Unweighted)]]*$I$3</f>
        <v>1.863513687186737E-2</v>
      </c>
      <c r="L893" s="246">
        <f>_xlfn.XLOOKUP(FME_Ranking1[[#This Row],[FME ID]],FME_Input[FME_ID],FME_Input[RES_STRUCT100])</f>
        <v>227</v>
      </c>
      <c r="M893" s="230">
        <f>(FME_Ranking1[[#This Row],[Res Structures Raw]]/L$2)*100</f>
        <v>0.16078536923970477</v>
      </c>
      <c r="N893" s="180">
        <f>FME_Ranking1[[#This Row],[Res Structures Score (Normalized, Unweighted)]]*$L$3</f>
        <v>1.6078536923970477E-2</v>
      </c>
      <c r="O893" s="244">
        <f>_xlfn.XLOOKUP(FME_Ranking1[[#This Row],[FME ID]],FME_Input[FME_ID],FME_Input[POP100])</f>
        <v>863</v>
      </c>
      <c r="P893" s="178">
        <f>(FME_Ranking1[[#This Row],[Pop Raw]]/$O$2)*100</f>
        <v>8.8349894246302713E-2</v>
      </c>
      <c r="Q893" s="178">
        <f>FME_Ranking1[[#This Row],[Pop Score (Normalized, Unweighted)]]*$O$3</f>
        <v>1.3252484136945407E-2</v>
      </c>
      <c r="R893" s="137">
        <f>_xlfn.XLOOKUP(FME_Ranking1[[#This Row],[FME ID]],FME_Input[FME_ID],FME_Input[CRITFAC100])</f>
        <v>2</v>
      </c>
      <c r="S893" s="230">
        <f>(FME_Ranking1[[#This Row],[Critical Facilities Raw]]/$R$2)*100</f>
        <v>8.5763293310463118E-2</v>
      </c>
      <c r="T893" s="180">
        <f>FME_Ranking1[[#This Row],[Critical Facilities Score (Normalized, Unweighted)]]*$R$3</f>
        <v>1.7152658662092625E-2</v>
      </c>
      <c r="U893">
        <f>_xlfn.XLOOKUP(FME_Ranking1[[#This Row],[FME ID]],FME_Input[FME_ID],FME_Input[LWC])</f>
        <v>5</v>
      </c>
      <c r="V893" s="178">
        <f>(FME_Ranking1[[#This Row],[LWC Raw]]/$U$2)*100</f>
        <v>0.28785261945883706</v>
      </c>
      <c r="W893" s="178">
        <f>FME_Ranking1[[#This Row],[LWC Score (Normalized, Unweighted)]]*$U$3</f>
        <v>5.7570523891767415E-2</v>
      </c>
      <c r="X893" s="246">
        <f>_xlfn.XLOOKUP(FME_Ranking1[[#This Row],[FME ID]],FME_Input[FME_ID],FME_Input[ROADCLS])</f>
        <v>0</v>
      </c>
      <c r="Y893" s="230">
        <f>(FME_Ranking1[[#This Row],[Closures Raw]]/$X$2)*100</f>
        <v>0</v>
      </c>
      <c r="Z893" s="180">
        <f>FME_Ranking1[[#This Row],[Closures Score (Normalized, Unweighted)]]*$X$3</f>
        <v>0</v>
      </c>
      <c r="AA893" s="253">
        <f>_xlfn.XLOOKUP(FME_Ranking1[[#This Row],[FME ID]],FME_Input[FME_ID],FME_Input[ROAD_MILES100])</f>
        <v>3.980118989944458</v>
      </c>
      <c r="AB893" s="178">
        <f>(FME_Ranking1[[#This Row],[Miles Raw]]/$AA$2)*100</f>
        <v>5.2331426039228322E-2</v>
      </c>
      <c r="AC893" s="178">
        <f>FME_Ranking1[[#This Row],[Miles Score (Normalized, Unweighted)]]*$AA$3</f>
        <v>5.2331426039228324E-3</v>
      </c>
      <c r="AD893" s="255">
        <f>_xlfn.XLOOKUP(FME_Ranking1[[#This Row],[FME ID]],FME_Input[FME_ID],FME_Input[FARMACRE100])</f>
        <v>44.775051116943359</v>
      </c>
      <c r="AE893" s="230">
        <f>(FME_Ranking1[[#This Row],[Ag Land Raw]]/$AD$2)*100</f>
        <v>1.8463226723812239E-3</v>
      </c>
      <c r="AF893" s="231">
        <f>FME_Ranking1[[#This Row],[Ag Land Score (Normalized, Unweighted)]]*$AD$3</f>
        <v>9.2316133619061198E-5</v>
      </c>
      <c r="AG89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0.12801479922418518</v>
      </c>
      <c r="AH893" s="406">
        <f t="shared" si="13"/>
        <v>955</v>
      </c>
      <c r="AI89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0.12801479922418518</v>
      </c>
      <c r="AJ893" s="257">
        <f>FME_Ranking1[[#This Row],[Addition check]]-FME_Ranking1[[#This Row],[Weighted Score Based on Normalized Reported Factors]]</f>
        <v>0</v>
      </c>
      <c r="AK893" s="178">
        <f>_xlfn.RANK.EQ(AI893,$AI$6:$AI$2341,0)+COUNTIF($AI$6:AI893,AI893)-1</f>
        <v>958</v>
      </c>
    </row>
    <row r="894" spans="1:37" x14ac:dyDescent="0.25">
      <c r="A894" t="s">
        <v>4399</v>
      </c>
      <c r="B894">
        <f>_xlfn.XLOOKUP(FME_Ranking1[[#This Row],[FME ID]],FME_Input[FME_ID],FME_Input[RFPG_NUM])</f>
        <v>3</v>
      </c>
      <c r="C894" t="str">
        <f>_xlfn.XLOOKUP(FME_Ranking1[[#This Row],[FME ID]],FME_Input[FME_ID],FME_Input[FME_NAME])</f>
        <v>Brazos Drive Drainage Study Update</v>
      </c>
      <c r="D894" t="str">
        <f>_xlfn.XLOOKUP(FME_Ranking1[[#This Row],[FME ID]],FME_Input[FME_ID],FME_Input[DESCR])</f>
        <v>Area 23</v>
      </c>
      <c r="E894" s="256">
        <f>_xlfn.XLOOKUP(FME_Ranking1[[#This Row],[FME ID]],FME_Input[FME_ID],FME_Input[FME_COST])</f>
        <v>50000</v>
      </c>
      <c r="F894" t="str">
        <f>_xlfn.XLOOKUP(FME_Ranking1[[#This Row],[FME ID]],FME_Input[FME_ID],FME_Input[EMER_NEED])</f>
        <v>No</v>
      </c>
      <c r="G894">
        <f>IF(FME_Ranking!F894="Yes",100,0)</f>
        <v>0</v>
      </c>
      <c r="H894">
        <f>FME_Ranking1[[#This Row],[Emergency Need Score (Normalized, Unweighted)]]*$F$3</f>
        <v>0</v>
      </c>
      <c r="I894" s="246">
        <f>_xlfn.XLOOKUP(FME_Ranking1[[#This Row],[FME ID]],FME_Input[FME_ID],FME_Input[STRUCT_100])</f>
        <v>232</v>
      </c>
      <c r="J894" s="178">
        <f>(FME_Ranking1[[#This Row],[Structures 100 Raw]]/I$2)*100</f>
        <v>0.12423424581244913</v>
      </c>
      <c r="K894" s="178">
        <f>FME_Ranking1[[#This Row],[Structures 100  Score (Normalized, Unweighted)]]*$I$3</f>
        <v>1.863513687186737E-2</v>
      </c>
      <c r="L894" s="246">
        <f>_xlfn.XLOOKUP(FME_Ranking1[[#This Row],[FME ID]],FME_Input[FME_ID],FME_Input[RES_STRUCT100])</f>
        <v>227</v>
      </c>
      <c r="M894" s="230">
        <f>(FME_Ranking1[[#This Row],[Res Structures Raw]]/L$2)*100</f>
        <v>0.16078536923970477</v>
      </c>
      <c r="N894" s="180">
        <f>FME_Ranking1[[#This Row],[Res Structures Score (Normalized, Unweighted)]]*$L$3</f>
        <v>1.6078536923970477E-2</v>
      </c>
      <c r="O894" s="244">
        <f>_xlfn.XLOOKUP(FME_Ranking1[[#This Row],[FME ID]],FME_Input[FME_ID],FME_Input[POP100])</f>
        <v>863</v>
      </c>
      <c r="P894" s="178">
        <f>(FME_Ranking1[[#This Row],[Pop Raw]]/$O$2)*100</f>
        <v>8.8349894246302713E-2</v>
      </c>
      <c r="Q894" s="178">
        <f>FME_Ranking1[[#This Row],[Pop Score (Normalized, Unweighted)]]*$O$3</f>
        <v>1.3252484136945407E-2</v>
      </c>
      <c r="R894" s="137">
        <f>_xlfn.XLOOKUP(FME_Ranking1[[#This Row],[FME ID]],FME_Input[FME_ID],FME_Input[CRITFAC100])</f>
        <v>2</v>
      </c>
      <c r="S894" s="230">
        <f>(FME_Ranking1[[#This Row],[Critical Facilities Raw]]/$R$2)*100</f>
        <v>8.5763293310463118E-2</v>
      </c>
      <c r="T894" s="180">
        <f>FME_Ranking1[[#This Row],[Critical Facilities Score (Normalized, Unweighted)]]*$R$3</f>
        <v>1.7152658662092625E-2</v>
      </c>
      <c r="U894">
        <f>_xlfn.XLOOKUP(FME_Ranking1[[#This Row],[FME ID]],FME_Input[FME_ID],FME_Input[LWC])</f>
        <v>5</v>
      </c>
      <c r="V894" s="178">
        <f>(FME_Ranking1[[#This Row],[LWC Raw]]/$U$2)*100</f>
        <v>0.28785261945883706</v>
      </c>
      <c r="W894" s="178">
        <f>FME_Ranking1[[#This Row],[LWC Score (Normalized, Unweighted)]]*$U$3</f>
        <v>5.7570523891767415E-2</v>
      </c>
      <c r="X894" s="246">
        <f>_xlfn.XLOOKUP(FME_Ranking1[[#This Row],[FME ID]],FME_Input[FME_ID],FME_Input[ROADCLS])</f>
        <v>0</v>
      </c>
      <c r="Y894" s="230">
        <f>(FME_Ranking1[[#This Row],[Closures Raw]]/$X$2)*100</f>
        <v>0</v>
      </c>
      <c r="Z894" s="180">
        <f>FME_Ranking1[[#This Row],[Closures Score (Normalized, Unweighted)]]*$X$3</f>
        <v>0</v>
      </c>
      <c r="AA894" s="253">
        <f>_xlfn.XLOOKUP(FME_Ranking1[[#This Row],[FME ID]],FME_Input[FME_ID],FME_Input[ROAD_MILES100])</f>
        <v>3.980118989944458</v>
      </c>
      <c r="AB894" s="178">
        <f>(FME_Ranking1[[#This Row],[Miles Raw]]/$AA$2)*100</f>
        <v>5.2331426039228322E-2</v>
      </c>
      <c r="AC894" s="178">
        <f>FME_Ranking1[[#This Row],[Miles Score (Normalized, Unweighted)]]*$AA$3</f>
        <v>5.2331426039228324E-3</v>
      </c>
      <c r="AD894" s="255">
        <f>_xlfn.XLOOKUP(FME_Ranking1[[#This Row],[FME ID]],FME_Input[FME_ID],FME_Input[FARMACRE100])</f>
        <v>44.775051116943359</v>
      </c>
      <c r="AE894" s="230">
        <f>(FME_Ranking1[[#This Row],[Ag Land Raw]]/$AD$2)*100</f>
        <v>1.8463226723812239E-3</v>
      </c>
      <c r="AF894" s="231">
        <f>FME_Ranking1[[#This Row],[Ag Land Score (Normalized, Unweighted)]]*$AD$3</f>
        <v>9.2316133619061198E-5</v>
      </c>
      <c r="AG89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0.12801479922418518</v>
      </c>
      <c r="AH894" s="406">
        <f t="shared" si="13"/>
        <v>955</v>
      </c>
      <c r="AI89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0.12801479922418518</v>
      </c>
      <c r="AJ894" s="257">
        <f>FME_Ranking1[[#This Row],[Addition check]]-FME_Ranking1[[#This Row],[Weighted Score Based on Normalized Reported Factors]]</f>
        <v>0</v>
      </c>
      <c r="AK894" s="178">
        <f>_xlfn.RANK.EQ(AI894,$AI$6:$AI$2341,0)+COUNTIF($AI$6:AI894,AI894)-1</f>
        <v>959</v>
      </c>
    </row>
    <row r="895" spans="1:37" x14ac:dyDescent="0.25">
      <c r="A895" t="s">
        <v>5071</v>
      </c>
      <c r="B895">
        <f>_xlfn.XLOOKUP(FME_Ranking1[[#This Row],[FME ID]],FME_Input[FME_ID],FME_Input[RFPG_NUM])</f>
        <v>3</v>
      </c>
      <c r="C895" t="str">
        <f>_xlfn.XLOOKUP(FME_Ranking1[[#This Row],[FME ID]],FME_Input[FME_ID],FME_Input[FME_NAME])</f>
        <v>Ashville Drive Drainage Improvements</v>
      </c>
      <c r="D895" t="str">
        <f>_xlfn.XLOOKUP(FME_Ranking1[[#This Row],[FME ID]],FME_Input[FME_ID],FME_Input[DESCR])</f>
        <v>Implement results from the Ashville Drainage Study. This study identified recommended mitigation options that can provide 100-year protection and minimal improvements for greater frequency storm events.</v>
      </c>
      <c r="E895" s="256">
        <f>_xlfn.XLOOKUP(FME_Ranking1[[#This Row],[FME ID]],FME_Input[FME_ID],FME_Input[FME_COST])</f>
        <v>150000</v>
      </c>
      <c r="F895" t="str">
        <f>_xlfn.XLOOKUP(FME_Ranking1[[#This Row],[FME ID]],FME_Input[FME_ID],FME_Input[EMER_NEED])</f>
        <v>No</v>
      </c>
      <c r="G895">
        <f>IF(FME_Ranking!F895="Yes",100,0)</f>
        <v>0</v>
      </c>
      <c r="H895">
        <f>FME_Ranking1[[#This Row],[Emergency Need Score (Normalized, Unweighted)]]*$F$3</f>
        <v>0</v>
      </c>
      <c r="I895" s="246">
        <f>_xlfn.XLOOKUP(FME_Ranking1[[#This Row],[FME ID]],FME_Input[FME_ID],FME_Input[STRUCT_100])</f>
        <v>232</v>
      </c>
      <c r="J895" s="178">
        <f>(FME_Ranking1[[#This Row],[Structures 100 Raw]]/I$2)*100</f>
        <v>0.12423424581244913</v>
      </c>
      <c r="K895" s="178">
        <f>FME_Ranking1[[#This Row],[Structures 100  Score (Normalized, Unweighted)]]*$I$3</f>
        <v>1.863513687186737E-2</v>
      </c>
      <c r="L895" s="246">
        <f>_xlfn.XLOOKUP(FME_Ranking1[[#This Row],[FME ID]],FME_Input[FME_ID],FME_Input[RES_STRUCT100])</f>
        <v>227</v>
      </c>
      <c r="M895" s="230">
        <f>(FME_Ranking1[[#This Row],[Res Structures Raw]]/L$2)*100</f>
        <v>0.16078536923970477</v>
      </c>
      <c r="N895" s="180">
        <f>FME_Ranking1[[#This Row],[Res Structures Score (Normalized, Unweighted)]]*$L$3</f>
        <v>1.6078536923970477E-2</v>
      </c>
      <c r="O895" s="244">
        <f>_xlfn.XLOOKUP(FME_Ranking1[[#This Row],[FME ID]],FME_Input[FME_ID],FME_Input[POP100])</f>
        <v>863</v>
      </c>
      <c r="P895" s="178">
        <f>(FME_Ranking1[[#This Row],[Pop Raw]]/$O$2)*100</f>
        <v>8.8349894246302713E-2</v>
      </c>
      <c r="Q895" s="178">
        <f>FME_Ranking1[[#This Row],[Pop Score (Normalized, Unweighted)]]*$O$3</f>
        <v>1.3252484136945407E-2</v>
      </c>
      <c r="R895" s="137">
        <f>_xlfn.XLOOKUP(FME_Ranking1[[#This Row],[FME ID]],FME_Input[FME_ID],FME_Input[CRITFAC100])</f>
        <v>2</v>
      </c>
      <c r="S895" s="230">
        <f>(FME_Ranking1[[#This Row],[Critical Facilities Raw]]/$R$2)*100</f>
        <v>8.5763293310463118E-2</v>
      </c>
      <c r="T895" s="180">
        <f>FME_Ranking1[[#This Row],[Critical Facilities Score (Normalized, Unweighted)]]*$R$3</f>
        <v>1.7152658662092625E-2</v>
      </c>
      <c r="U895">
        <f>_xlfn.XLOOKUP(FME_Ranking1[[#This Row],[FME ID]],FME_Input[FME_ID],FME_Input[LWC])</f>
        <v>5</v>
      </c>
      <c r="V895" s="178">
        <f>(FME_Ranking1[[#This Row],[LWC Raw]]/$U$2)*100</f>
        <v>0.28785261945883706</v>
      </c>
      <c r="W895" s="178">
        <f>FME_Ranking1[[#This Row],[LWC Score (Normalized, Unweighted)]]*$U$3</f>
        <v>5.7570523891767415E-2</v>
      </c>
      <c r="X895" s="246">
        <f>_xlfn.XLOOKUP(FME_Ranking1[[#This Row],[FME ID]],FME_Input[FME_ID],FME_Input[ROADCLS])</f>
        <v>0</v>
      </c>
      <c r="Y895" s="230">
        <f>(FME_Ranking1[[#This Row],[Closures Raw]]/$X$2)*100</f>
        <v>0</v>
      </c>
      <c r="Z895" s="180">
        <f>FME_Ranking1[[#This Row],[Closures Score (Normalized, Unweighted)]]*$X$3</f>
        <v>0</v>
      </c>
      <c r="AA895" s="253">
        <f>_xlfn.XLOOKUP(FME_Ranking1[[#This Row],[FME ID]],FME_Input[FME_ID],FME_Input[ROAD_MILES100])</f>
        <v>3.980118989944458</v>
      </c>
      <c r="AB895" s="178">
        <f>(FME_Ranking1[[#This Row],[Miles Raw]]/$AA$2)*100</f>
        <v>5.2331426039228322E-2</v>
      </c>
      <c r="AC895" s="178">
        <f>FME_Ranking1[[#This Row],[Miles Score (Normalized, Unweighted)]]*$AA$3</f>
        <v>5.2331426039228324E-3</v>
      </c>
      <c r="AD895" s="255">
        <f>_xlfn.XLOOKUP(FME_Ranking1[[#This Row],[FME ID]],FME_Input[FME_ID],FME_Input[FARMACRE100])</f>
        <v>44.775051116943359</v>
      </c>
      <c r="AE895" s="230">
        <f>(FME_Ranking1[[#This Row],[Ag Land Raw]]/$AD$2)*100</f>
        <v>1.8463226723812239E-3</v>
      </c>
      <c r="AF895" s="231">
        <f>FME_Ranking1[[#This Row],[Ag Land Score (Normalized, Unweighted)]]*$AD$3</f>
        <v>9.2316133619061198E-5</v>
      </c>
      <c r="AG89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0.12801479922418518</v>
      </c>
      <c r="AH895" s="406">
        <f t="shared" si="13"/>
        <v>955</v>
      </c>
      <c r="AI89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0.12801479922418518</v>
      </c>
      <c r="AJ895" s="257">
        <f>FME_Ranking1[[#This Row],[Addition check]]-FME_Ranking1[[#This Row],[Weighted Score Based on Normalized Reported Factors]]</f>
        <v>0</v>
      </c>
      <c r="AK895" s="178">
        <f>_xlfn.RANK.EQ(AI895,$AI$6:$AI$2341,0)+COUNTIF($AI$6:AI895,AI895)-1</f>
        <v>960</v>
      </c>
    </row>
    <row r="896" spans="1:37" x14ac:dyDescent="0.25">
      <c r="A896" t="s">
        <v>5074</v>
      </c>
      <c r="B896">
        <f>_xlfn.XLOOKUP(FME_Ranking1[[#This Row],[FME ID]],FME_Input[FME_ID],FME_Input[RFPG_NUM])</f>
        <v>3</v>
      </c>
      <c r="C896" t="str">
        <f>_xlfn.XLOOKUP(FME_Ranking1[[#This Row],[FME ID]],FME_Input[FME_ID],FME_Input[FME_NAME])</f>
        <v>Tobin Trail Drainage Analysis</v>
      </c>
      <c r="D896" t="str">
        <f>_xlfn.XLOOKUP(FME_Ranking1[[#This Row],[FME ID]],FME_Input[FME_ID],FME_Input[DESCR])</f>
        <v>Implement results from the Tobin Trail Drainage Study. This study identified mitigation options to determine what solutions can be provided to eliminate or reduce flooding that occurs in Tobin Trail.</v>
      </c>
      <c r="E896" s="256">
        <f>_xlfn.XLOOKUP(FME_Ranking1[[#This Row],[FME ID]],FME_Input[FME_ID],FME_Input[FME_COST])</f>
        <v>150000</v>
      </c>
      <c r="F896" t="str">
        <f>_xlfn.XLOOKUP(FME_Ranking1[[#This Row],[FME ID]],FME_Input[FME_ID],FME_Input[EMER_NEED])</f>
        <v>No</v>
      </c>
      <c r="G896">
        <f>IF(FME_Ranking!F896="Yes",100,0)</f>
        <v>0</v>
      </c>
      <c r="H896">
        <f>FME_Ranking1[[#This Row],[Emergency Need Score (Normalized, Unweighted)]]*$F$3</f>
        <v>0</v>
      </c>
      <c r="I896" s="246">
        <f>_xlfn.XLOOKUP(FME_Ranking1[[#This Row],[FME ID]],FME_Input[FME_ID],FME_Input[STRUCT_100])</f>
        <v>232</v>
      </c>
      <c r="J896" s="178">
        <f>(FME_Ranking1[[#This Row],[Structures 100 Raw]]/I$2)*100</f>
        <v>0.12423424581244913</v>
      </c>
      <c r="K896" s="178">
        <f>FME_Ranking1[[#This Row],[Structures 100  Score (Normalized, Unweighted)]]*$I$3</f>
        <v>1.863513687186737E-2</v>
      </c>
      <c r="L896" s="246">
        <f>_xlfn.XLOOKUP(FME_Ranking1[[#This Row],[FME ID]],FME_Input[FME_ID],FME_Input[RES_STRUCT100])</f>
        <v>227</v>
      </c>
      <c r="M896" s="230">
        <f>(FME_Ranking1[[#This Row],[Res Structures Raw]]/L$2)*100</f>
        <v>0.16078536923970477</v>
      </c>
      <c r="N896" s="180">
        <f>FME_Ranking1[[#This Row],[Res Structures Score (Normalized, Unweighted)]]*$L$3</f>
        <v>1.6078536923970477E-2</v>
      </c>
      <c r="O896" s="244">
        <f>_xlfn.XLOOKUP(FME_Ranking1[[#This Row],[FME ID]],FME_Input[FME_ID],FME_Input[POP100])</f>
        <v>863</v>
      </c>
      <c r="P896" s="178">
        <f>(FME_Ranking1[[#This Row],[Pop Raw]]/$O$2)*100</f>
        <v>8.8349894246302713E-2</v>
      </c>
      <c r="Q896" s="178">
        <f>FME_Ranking1[[#This Row],[Pop Score (Normalized, Unweighted)]]*$O$3</f>
        <v>1.3252484136945407E-2</v>
      </c>
      <c r="R896" s="137">
        <f>_xlfn.XLOOKUP(FME_Ranking1[[#This Row],[FME ID]],FME_Input[FME_ID],FME_Input[CRITFAC100])</f>
        <v>2</v>
      </c>
      <c r="S896" s="230">
        <f>(FME_Ranking1[[#This Row],[Critical Facilities Raw]]/$R$2)*100</f>
        <v>8.5763293310463118E-2</v>
      </c>
      <c r="T896" s="180">
        <f>FME_Ranking1[[#This Row],[Critical Facilities Score (Normalized, Unweighted)]]*$R$3</f>
        <v>1.7152658662092625E-2</v>
      </c>
      <c r="U896">
        <f>_xlfn.XLOOKUP(FME_Ranking1[[#This Row],[FME ID]],FME_Input[FME_ID],FME_Input[LWC])</f>
        <v>5</v>
      </c>
      <c r="V896" s="178">
        <f>(FME_Ranking1[[#This Row],[LWC Raw]]/$U$2)*100</f>
        <v>0.28785261945883706</v>
      </c>
      <c r="W896" s="178">
        <f>FME_Ranking1[[#This Row],[LWC Score (Normalized, Unweighted)]]*$U$3</f>
        <v>5.7570523891767415E-2</v>
      </c>
      <c r="X896" s="246">
        <f>_xlfn.XLOOKUP(FME_Ranking1[[#This Row],[FME ID]],FME_Input[FME_ID],FME_Input[ROADCLS])</f>
        <v>0</v>
      </c>
      <c r="Y896" s="230">
        <f>(FME_Ranking1[[#This Row],[Closures Raw]]/$X$2)*100</f>
        <v>0</v>
      </c>
      <c r="Z896" s="180">
        <f>FME_Ranking1[[#This Row],[Closures Score (Normalized, Unweighted)]]*$X$3</f>
        <v>0</v>
      </c>
      <c r="AA896" s="253">
        <f>_xlfn.XLOOKUP(FME_Ranking1[[#This Row],[FME ID]],FME_Input[FME_ID],FME_Input[ROAD_MILES100])</f>
        <v>3.980118989944458</v>
      </c>
      <c r="AB896" s="178">
        <f>(FME_Ranking1[[#This Row],[Miles Raw]]/$AA$2)*100</f>
        <v>5.2331426039228322E-2</v>
      </c>
      <c r="AC896" s="178">
        <f>FME_Ranking1[[#This Row],[Miles Score (Normalized, Unweighted)]]*$AA$3</f>
        <v>5.2331426039228324E-3</v>
      </c>
      <c r="AD896" s="255">
        <f>_xlfn.XLOOKUP(FME_Ranking1[[#This Row],[FME ID]],FME_Input[FME_ID],FME_Input[FARMACRE100])</f>
        <v>44.775051116943359</v>
      </c>
      <c r="AE896" s="230">
        <f>(FME_Ranking1[[#This Row],[Ag Land Raw]]/$AD$2)*100</f>
        <v>1.8463226723812239E-3</v>
      </c>
      <c r="AF896" s="231">
        <f>FME_Ranking1[[#This Row],[Ag Land Score (Normalized, Unweighted)]]*$AD$3</f>
        <v>9.2316133619061198E-5</v>
      </c>
      <c r="AG89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0.12801479922418518</v>
      </c>
      <c r="AH896" s="406">
        <f t="shared" si="13"/>
        <v>955</v>
      </c>
      <c r="AI89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0.12801479922418518</v>
      </c>
      <c r="AJ896" s="257">
        <f>FME_Ranking1[[#This Row],[Addition check]]-FME_Ranking1[[#This Row],[Weighted Score Based on Normalized Reported Factors]]</f>
        <v>0</v>
      </c>
      <c r="AK896" s="178">
        <f>_xlfn.RANK.EQ(AI896,$AI$6:$AI$2341,0)+COUNTIF($AI$6:AI896,AI896)-1</f>
        <v>961</v>
      </c>
    </row>
    <row r="897" spans="1:37" x14ac:dyDescent="0.25">
      <c r="A897" t="s">
        <v>253</v>
      </c>
      <c r="B897">
        <f>_xlfn.XLOOKUP(FME_Ranking1[[#This Row],[FME ID]],FME_Input[FME_ID],FME_Input[RFPG_NUM])</f>
        <v>10</v>
      </c>
      <c r="C897" t="str">
        <f>_xlfn.XLOOKUP(FME_Ranking1[[#This Row],[FME ID]],FME_Input[FME_ID],FME_Input[FME_NAME])</f>
        <v>Broadway at Backbone Creek Low Water Crossing</v>
      </c>
      <c r="D897" t="str">
        <f>_xlfn.XLOOKUP(FME_Ranking1[[#This Row],[FME ID]],FME_Input[FME_ID],FME_Input[DESCR])</f>
        <v>This crossing frequently floods and is right by Marble Falls Elementary.</v>
      </c>
      <c r="E897" s="256">
        <f>_xlfn.XLOOKUP(FME_Ranking1[[#This Row],[FME ID]],FME_Input[FME_ID],FME_Input[FME_COST])</f>
        <v>100000</v>
      </c>
      <c r="F897" t="str">
        <f>_xlfn.XLOOKUP(FME_Ranking1[[#This Row],[FME ID]],FME_Input[FME_ID],FME_Input[EMER_NEED])</f>
        <v>No</v>
      </c>
      <c r="G897">
        <f>IF(FME_Ranking!F897="Yes",100,0)</f>
        <v>0</v>
      </c>
      <c r="H897">
        <f>FME_Ranking1[[#This Row],[Emergency Need Score (Normalized, Unweighted)]]*$F$3</f>
        <v>0</v>
      </c>
      <c r="I897" s="246">
        <f>_xlfn.XLOOKUP(FME_Ranking1[[#This Row],[FME ID]],FME_Input[FME_ID],FME_Input[STRUCT_100])</f>
        <v>202</v>
      </c>
      <c r="J897" s="178">
        <f>(FME_Ranking1[[#This Row],[Structures 100 Raw]]/I$2)*100</f>
        <v>0.10816947264704621</v>
      </c>
      <c r="K897" s="178">
        <f>FME_Ranking1[[#This Row],[Structures 100  Score (Normalized, Unweighted)]]*$I$3</f>
        <v>1.622542089705693E-2</v>
      </c>
      <c r="L897" s="246">
        <f>_xlfn.XLOOKUP(FME_Ranking1[[#This Row],[FME ID]],FME_Input[FME_ID],FME_Input[RES_STRUCT100])</f>
        <v>141</v>
      </c>
      <c r="M897" s="230">
        <f>(FME_Ranking1[[#This Row],[Res Structures Raw]]/L$2)*100</f>
        <v>9.98710883823717E-2</v>
      </c>
      <c r="N897" s="180">
        <f>FME_Ranking1[[#This Row],[Res Structures Score (Normalized, Unweighted)]]*$L$3</f>
        <v>9.9871088382371704E-3</v>
      </c>
      <c r="O897" s="244">
        <f>_xlfn.XLOOKUP(FME_Ranking1[[#This Row],[FME ID]],FME_Input[FME_ID],FME_Input[POP100])</f>
        <v>966</v>
      </c>
      <c r="P897" s="178">
        <f>(FME_Ranking1[[#This Row],[Pop Raw]]/$O$2)*100</f>
        <v>9.8894551381145349E-2</v>
      </c>
      <c r="Q897" s="178">
        <f>FME_Ranking1[[#This Row],[Pop Score (Normalized, Unweighted)]]*$O$3</f>
        <v>1.4834182707171802E-2</v>
      </c>
      <c r="R897" s="137">
        <f>_xlfn.XLOOKUP(FME_Ranking1[[#This Row],[FME ID]],FME_Input[FME_ID],FME_Input[CRITFAC100])</f>
        <v>1</v>
      </c>
      <c r="S897" s="230">
        <f>(FME_Ranking1[[#This Row],[Critical Facilities Raw]]/$R$2)*100</f>
        <v>4.2881646655231559E-2</v>
      </c>
      <c r="T897" s="180">
        <f>FME_Ranking1[[#This Row],[Critical Facilities Score (Normalized, Unweighted)]]*$R$3</f>
        <v>8.5763293310463125E-3</v>
      </c>
      <c r="U897">
        <f>_xlfn.XLOOKUP(FME_Ranking1[[#This Row],[FME ID]],FME_Input[FME_ID],FME_Input[LWC])</f>
        <v>6</v>
      </c>
      <c r="V897" s="178">
        <f>(FME_Ranking1[[#This Row],[LWC Raw]]/$U$2)*100</f>
        <v>0.34542314335060448</v>
      </c>
      <c r="W897" s="178">
        <f>FME_Ranking1[[#This Row],[LWC Score (Normalized, Unweighted)]]*$U$3</f>
        <v>6.9084628670120898E-2</v>
      </c>
      <c r="X897" s="246">
        <f>_xlfn.XLOOKUP(FME_Ranking1[[#This Row],[FME ID]],FME_Input[FME_ID],FME_Input[ROADCLS])</f>
        <v>0</v>
      </c>
      <c r="Y897" s="230">
        <f>(FME_Ranking1[[#This Row],[Closures Raw]]/$X$2)*100</f>
        <v>0</v>
      </c>
      <c r="Z897" s="180">
        <f>FME_Ranking1[[#This Row],[Closures Score (Normalized, Unweighted)]]*$X$3</f>
        <v>0</v>
      </c>
      <c r="AA897" s="253">
        <f>_xlfn.XLOOKUP(FME_Ranking1[[#This Row],[FME ID]],FME_Input[FME_ID],FME_Input[ROAD_MILES100])</f>
        <v>4.7701678276062012</v>
      </c>
      <c r="AB897" s="178">
        <f>(FME_Ranking1[[#This Row],[Miles Raw]]/$AA$2)*100</f>
        <v>6.2719151235366435E-2</v>
      </c>
      <c r="AC897" s="178">
        <f>FME_Ranking1[[#This Row],[Miles Score (Normalized, Unweighted)]]*$AA$3</f>
        <v>6.2719151235366439E-3</v>
      </c>
      <c r="AD897" s="255">
        <f>_xlfn.XLOOKUP(FME_Ranking1[[#This Row],[FME ID]],FME_Input[FME_ID],FME_Input[FARMACRE100])</f>
        <v>1749.266723632812</v>
      </c>
      <c r="AE897" s="230">
        <f>(FME_Ranking1[[#This Row],[Ag Land Raw]]/$AD$2)*100</f>
        <v>7.2131929083674995E-2</v>
      </c>
      <c r="AF897" s="231">
        <f>FME_Ranking1[[#This Row],[Ag Land Score (Normalized, Unweighted)]]*$AD$3</f>
        <v>3.6065964541837497E-3</v>
      </c>
      <c r="AG89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0.12858618202135352</v>
      </c>
      <c r="AH897" s="406">
        <f t="shared" si="13"/>
        <v>954</v>
      </c>
      <c r="AI89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0.12858618202135352</v>
      </c>
      <c r="AJ897" s="257">
        <f>FME_Ranking1[[#This Row],[Addition check]]-FME_Ranking1[[#This Row],[Weighted Score Based on Normalized Reported Factors]]</f>
        <v>0</v>
      </c>
      <c r="AK897" s="178">
        <f>_xlfn.RANK.EQ(AI897,$AI$6:$AI$2341,0)+COUNTIF($AI$6:AI897,AI897)-1</f>
        <v>954</v>
      </c>
    </row>
    <row r="898" spans="1:37" x14ac:dyDescent="0.25">
      <c r="A898" t="s">
        <v>10604</v>
      </c>
      <c r="B898">
        <f>_xlfn.XLOOKUP(FME_Ranking1[[#This Row],[FME ID]],FME_Input[FME_ID],FME_Input[RFPG_NUM])</f>
        <v>13</v>
      </c>
      <c r="C898" t="str">
        <f>_xlfn.XLOOKUP(FME_Ranking1[[#This Row],[FME ID]],FME_Input[FME_ID],FME_Input[FME_NAME])</f>
        <v>Portland Stream Gauges</v>
      </c>
      <c r="D898" t="str">
        <f>_xlfn.XLOOKUP(FME_Ranking1[[#This Row],[FME ID]],FME_Input[FME_ID],FME_Input[DESCR])</f>
        <v>San Patricio County Hazard Mitigation Action Plan - City of Portland, Action #5 Identify and install stream and rain gauges at critical  sites,  upgrade  gauges  at  established  sites  where  necessary, coordinate installation requests. </v>
      </c>
      <c r="E898" s="256">
        <f>_xlfn.XLOOKUP(FME_Ranking1[[#This Row],[FME ID]],FME_Input[FME_ID],FME_Input[FME_COST])</f>
        <v>2000</v>
      </c>
      <c r="F898" t="str">
        <f>_xlfn.XLOOKUP(FME_Ranking1[[#This Row],[FME ID]],FME_Input[FME_ID],FME_Input[EMER_NEED])</f>
        <v>Yes</v>
      </c>
      <c r="G898">
        <f>IF(FME_Ranking!F898="Yes",100,0)</f>
        <v>100</v>
      </c>
      <c r="H898">
        <f>FME_Ranking1[[#This Row],[Emergency Need Score (Normalized, Unweighted)]]*$F$3</f>
        <v>0</v>
      </c>
      <c r="I898" s="246">
        <f>_xlfn.XLOOKUP(FME_Ranking1[[#This Row],[FME ID]],FME_Input[FME_ID],FME_Input[STRUCT_100])</f>
        <v>285</v>
      </c>
      <c r="J898" s="178">
        <f>(FME_Ranking1[[#This Row],[Structures 100 Raw]]/I$2)*100</f>
        <v>0.1526153450713276</v>
      </c>
      <c r="K898" s="178">
        <f>FME_Ranking1[[#This Row],[Structures 100  Score (Normalized, Unweighted)]]*$I$3</f>
        <v>2.2892301760699139E-2</v>
      </c>
      <c r="L898" s="246">
        <f>_xlfn.XLOOKUP(FME_Ranking1[[#This Row],[FME ID]],FME_Input[FME_ID],FME_Input[RES_STRUCT100])</f>
        <v>251</v>
      </c>
      <c r="M898" s="230">
        <f>(FME_Ranking1[[#This Row],[Res Structures Raw]]/L$2)*100</f>
        <v>0.1777847034324489</v>
      </c>
      <c r="N898" s="180">
        <f>FME_Ranking1[[#This Row],[Res Structures Score (Normalized, Unweighted)]]*$L$3</f>
        <v>1.7778470343244892E-2</v>
      </c>
      <c r="O898" s="244">
        <f>_xlfn.XLOOKUP(FME_Ranking1[[#This Row],[FME ID]],FME_Input[FME_ID],FME_Input[POP100])</f>
        <v>600</v>
      </c>
      <c r="P898" s="178">
        <f>(FME_Ranking1[[#This Row],[Pop Raw]]/$O$2)*100</f>
        <v>6.1425187193257978E-2</v>
      </c>
      <c r="Q898" s="178">
        <f>FME_Ranking1[[#This Row],[Pop Score (Normalized, Unweighted)]]*$O$3</f>
        <v>9.2137780789886964E-3</v>
      </c>
      <c r="R898" s="137">
        <f>_xlfn.XLOOKUP(FME_Ranking1[[#This Row],[FME ID]],FME_Input[FME_ID],FME_Input[CRITFAC100])</f>
        <v>3</v>
      </c>
      <c r="S898" s="230">
        <f>(FME_Ranking1[[#This Row],[Critical Facilities Raw]]/$R$2)*100</f>
        <v>0.1286449399656947</v>
      </c>
      <c r="T898" s="180">
        <f>FME_Ranking1[[#This Row],[Critical Facilities Score (Normalized, Unweighted)]]*$R$3</f>
        <v>2.5728987993138941E-2</v>
      </c>
      <c r="U898">
        <f>_xlfn.XLOOKUP(FME_Ranking1[[#This Row],[FME ID]],FME_Input[FME_ID],FME_Input[LWC])</f>
        <v>0</v>
      </c>
      <c r="V898" s="178">
        <f>(FME_Ranking1[[#This Row],[LWC Raw]]/$U$2)*100</f>
        <v>0</v>
      </c>
      <c r="W898" s="178">
        <f>FME_Ranking1[[#This Row],[LWC Score (Normalized, Unweighted)]]*$U$3</f>
        <v>0</v>
      </c>
      <c r="X898" s="246">
        <f>_xlfn.XLOOKUP(FME_Ranking1[[#This Row],[FME ID]],FME_Input[FME_ID],FME_Input[ROADCLS])</f>
        <v>87</v>
      </c>
      <c r="Y898" s="230">
        <f>(FME_Ranking1[[#This Row],[Closures Raw]]/$X$2)*100</f>
        <v>0.91473031227000312</v>
      </c>
      <c r="Z898" s="180">
        <f>FME_Ranking1[[#This Row],[Closures Score (Normalized, Unweighted)]]*$X$3</f>
        <v>4.5736515613500159E-2</v>
      </c>
      <c r="AA898" s="253">
        <f>_xlfn.XLOOKUP(FME_Ranking1[[#This Row],[FME ID]],FME_Input[FME_ID],FME_Input[ROAD_MILES100])</f>
        <v>19.089162826538089</v>
      </c>
      <c r="AB898" s="178">
        <f>(FME_Ranking1[[#This Row],[Miles Raw]]/$AA$2)*100</f>
        <v>0.2509882531481063</v>
      </c>
      <c r="AC898" s="178">
        <f>FME_Ranking1[[#This Row],[Miles Score (Normalized, Unweighted)]]*$AA$3</f>
        <v>2.5098825314810631E-2</v>
      </c>
      <c r="AD898" s="255">
        <f>_xlfn.XLOOKUP(FME_Ranking1[[#This Row],[FME ID]],FME_Input[FME_ID],FME_Input[FARMACRE100])</f>
        <v>267.54840087890619</v>
      </c>
      <c r="AE898" s="230">
        <f>(FME_Ranking1[[#This Row],[Ag Land Raw]]/$AD$2)*100</f>
        <v>1.1032498370842452E-2</v>
      </c>
      <c r="AF898" s="231">
        <f>FME_Ranking1[[#This Row],[Ag Land Score (Normalized, Unweighted)]]*$AD$3</f>
        <v>5.5162491854212259E-4</v>
      </c>
      <c r="AG89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0.14700050402292458</v>
      </c>
      <c r="AH898" s="406">
        <f t="shared" si="13"/>
        <v>909</v>
      </c>
      <c r="AI89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0.14700050402292458</v>
      </c>
      <c r="AJ898" s="257">
        <f>FME_Ranking1[[#This Row],[Addition check]]-FME_Ranking1[[#This Row],[Weighted Score Based on Normalized Reported Factors]]</f>
        <v>0</v>
      </c>
      <c r="AK898" s="178">
        <f>_xlfn.RANK.EQ(AI898,$AI$6:$AI$2341,0)+COUNTIF($AI$6:AI898,AI898)-1</f>
        <v>909</v>
      </c>
    </row>
    <row r="899" spans="1:37" x14ac:dyDescent="0.25">
      <c r="A899" t="s">
        <v>5630</v>
      </c>
      <c r="B899">
        <f>_xlfn.XLOOKUP(FME_Ranking1[[#This Row],[FME ID]],FME_Input[FME_ID],FME_Input[RFPG_NUM])</f>
        <v>4</v>
      </c>
      <c r="C899" t="str">
        <f>_xlfn.XLOOKUP(FME_Ranking1[[#This Row],[FME ID]],FME_Input[FME_ID],FME_Input[FME_NAME])</f>
        <v>City of Kilgore Drainage Infrastructure Improvements Study</v>
      </c>
      <c r="D899" t="str">
        <f>_xlfn.XLOOKUP(FME_Ranking1[[#This Row],[FME ID]],FME_Input[FME_ID],FME_Input[DESCR])</f>
        <v>Study improvements to drainage infrastructure in the downtown area by installing new inlets and storm drains</v>
      </c>
      <c r="E899" s="256">
        <f>_xlfn.XLOOKUP(FME_Ranking1[[#This Row],[FME ID]],FME_Input[FME_ID],FME_Input[FME_COST])</f>
        <v>300000</v>
      </c>
      <c r="F899" t="str">
        <f>_xlfn.XLOOKUP(FME_Ranking1[[#This Row],[FME ID]],FME_Input[FME_ID],FME_Input[EMER_NEED])</f>
        <v>No</v>
      </c>
      <c r="G899">
        <f>IF(FME_Ranking!F899="Yes",100,0)</f>
        <v>0</v>
      </c>
      <c r="H899">
        <f>FME_Ranking1[[#This Row],[Emergency Need Score (Normalized, Unweighted)]]*$F$3</f>
        <v>0</v>
      </c>
      <c r="I899" s="246">
        <f>_xlfn.XLOOKUP(FME_Ranking1[[#This Row],[FME ID]],FME_Input[FME_ID],FME_Input[STRUCT_100])</f>
        <v>296</v>
      </c>
      <c r="J899" s="178">
        <f>(FME_Ranking1[[#This Row],[Structures 100 Raw]]/I$2)*100</f>
        <v>0.15850576189864199</v>
      </c>
      <c r="K899" s="178">
        <f>FME_Ranking1[[#This Row],[Structures 100  Score (Normalized, Unweighted)]]*$I$3</f>
        <v>2.3775864284796298E-2</v>
      </c>
      <c r="L899" s="246">
        <f>_xlfn.XLOOKUP(FME_Ranking1[[#This Row],[FME ID]],FME_Input[FME_ID],FME_Input[RES_STRUCT100])</f>
        <v>224</v>
      </c>
      <c r="M899" s="230">
        <f>(FME_Ranking1[[#This Row],[Res Structures Raw]]/L$2)*100</f>
        <v>0.15866045246561178</v>
      </c>
      <c r="N899" s="180">
        <f>FME_Ranking1[[#This Row],[Res Structures Score (Normalized, Unweighted)]]*$L$3</f>
        <v>1.586604524656118E-2</v>
      </c>
      <c r="O899" s="244">
        <f>_xlfn.XLOOKUP(FME_Ranking1[[#This Row],[FME ID]],FME_Input[FME_ID],FME_Input[POP100])</f>
        <v>1284</v>
      </c>
      <c r="P899" s="178">
        <f>(FME_Ranking1[[#This Row],[Pop Raw]]/$O$2)*100</f>
        <v>0.13144990059357206</v>
      </c>
      <c r="Q899" s="178">
        <f>FME_Ranking1[[#This Row],[Pop Score (Normalized, Unweighted)]]*$O$3</f>
        <v>1.971748508903581E-2</v>
      </c>
      <c r="R899" s="137">
        <f>_xlfn.XLOOKUP(FME_Ranking1[[#This Row],[FME ID]],FME_Input[FME_ID],FME_Input[CRITFAC100])</f>
        <v>3</v>
      </c>
      <c r="S899" s="230">
        <f>(FME_Ranking1[[#This Row],[Critical Facilities Raw]]/$R$2)*100</f>
        <v>0.1286449399656947</v>
      </c>
      <c r="T899" s="180">
        <f>FME_Ranking1[[#This Row],[Critical Facilities Score (Normalized, Unweighted)]]*$R$3</f>
        <v>2.5728987993138941E-2</v>
      </c>
      <c r="U899">
        <f>_xlfn.XLOOKUP(FME_Ranking1[[#This Row],[FME ID]],FME_Input[FME_ID],FME_Input[LWC])</f>
        <v>3</v>
      </c>
      <c r="V899" s="178">
        <f>(FME_Ranking1[[#This Row],[LWC Raw]]/$U$2)*100</f>
        <v>0.17271157167530224</v>
      </c>
      <c r="W899" s="178">
        <f>FME_Ranking1[[#This Row],[LWC Score (Normalized, Unweighted)]]*$U$3</f>
        <v>3.4542314335060449E-2</v>
      </c>
      <c r="X899" s="246">
        <f>_xlfn.XLOOKUP(FME_Ranking1[[#This Row],[FME ID]],FME_Input[FME_ID],FME_Input[ROADCLS])</f>
        <v>3</v>
      </c>
      <c r="Y899" s="230">
        <f>(FME_Ranking1[[#This Row],[Closures Raw]]/$X$2)*100</f>
        <v>3.1542424561034593E-2</v>
      </c>
      <c r="Z899" s="180">
        <f>FME_Ranking1[[#This Row],[Closures Score (Normalized, Unweighted)]]*$X$3</f>
        <v>1.5771212280517297E-3</v>
      </c>
      <c r="AA899" s="253">
        <f>_xlfn.XLOOKUP(FME_Ranking1[[#This Row],[FME ID]],FME_Input[FME_ID],FME_Input[ROAD_MILES100])</f>
        <v>15.24395275115967</v>
      </c>
      <c r="AB899" s="178">
        <f>(FME_Ranking1[[#This Row],[Miles Raw]]/$AA$2)*100</f>
        <v>0.20043063736492356</v>
      </c>
      <c r="AC899" s="178">
        <f>FME_Ranking1[[#This Row],[Miles Score (Normalized, Unweighted)]]*$AA$3</f>
        <v>2.0043063736492357E-2</v>
      </c>
      <c r="AD899" s="255">
        <f>_xlfn.XLOOKUP(FME_Ranking1[[#This Row],[FME ID]],FME_Input[FME_ID],FME_Input[FARMACRE100])</f>
        <v>95.777946472167969</v>
      </c>
      <c r="AE899" s="230">
        <f>(FME_Ranking1[[#This Row],[Ag Land Raw]]/$AD$2)*100</f>
        <v>3.9494537621814572E-3</v>
      </c>
      <c r="AF899" s="231">
        <f>FME_Ranking1[[#This Row],[Ag Land Score (Normalized, Unweighted)]]*$AD$3</f>
        <v>1.9747268810907286E-4</v>
      </c>
      <c r="AG89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0.14144835460124586</v>
      </c>
      <c r="AH899" s="406">
        <f t="shared" si="13"/>
        <v>920</v>
      </c>
      <c r="AI89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0.14144835460124586</v>
      </c>
      <c r="AJ899" s="257">
        <f>FME_Ranking1[[#This Row],[Addition check]]-FME_Ranking1[[#This Row],[Weighted Score Based on Normalized Reported Factors]]</f>
        <v>0</v>
      </c>
      <c r="AK899" s="178">
        <f>_xlfn.RANK.EQ(AI899,$AI$6:$AI$2341,0)+COUNTIF($AI$6:AI899,AI899)-1</f>
        <v>920</v>
      </c>
    </row>
    <row r="900" spans="1:37" x14ac:dyDescent="0.25">
      <c r="A900" t="s">
        <v>5639</v>
      </c>
      <c r="B900">
        <f>_xlfn.XLOOKUP(FME_Ranking1[[#This Row],[FME ID]],FME_Input[FME_ID],FME_Input[RFPG_NUM])</f>
        <v>4</v>
      </c>
      <c r="C900" t="str">
        <f>_xlfn.XLOOKUP(FME_Ranking1[[#This Row],[FME ID]],FME_Input[FME_ID],FME_Input[FME_NAME])</f>
        <v>City of Kilgore Library Drainage Improvement Study</v>
      </c>
      <c r="D900" t="str">
        <f>_xlfn.XLOOKUP(FME_Ranking1[[#This Row],[FME ID]],FME_Input[FME_ID],FME_Input[DESCR])</f>
        <v>Feasibility study of underground drainage structures to capture and direct subsurface water away from the library structure</v>
      </c>
      <c r="E900" s="256">
        <f>_xlfn.XLOOKUP(FME_Ranking1[[#This Row],[FME ID]],FME_Input[FME_ID],FME_Input[FME_COST])</f>
        <v>400000</v>
      </c>
      <c r="F900" t="str">
        <f>_xlfn.XLOOKUP(FME_Ranking1[[#This Row],[FME ID]],FME_Input[FME_ID],FME_Input[EMER_NEED])</f>
        <v>Yes</v>
      </c>
      <c r="G900">
        <f>IF(FME_Ranking!F900="Yes",100,0)</f>
        <v>100</v>
      </c>
      <c r="H900">
        <f>FME_Ranking1[[#This Row],[Emergency Need Score (Normalized, Unweighted)]]*$F$3</f>
        <v>0</v>
      </c>
      <c r="I900" s="246">
        <f>_xlfn.XLOOKUP(FME_Ranking1[[#This Row],[FME ID]],FME_Input[FME_ID],FME_Input[STRUCT_100])</f>
        <v>296</v>
      </c>
      <c r="J900" s="178">
        <f>(FME_Ranking1[[#This Row],[Structures 100 Raw]]/I$2)*100</f>
        <v>0.15850576189864199</v>
      </c>
      <c r="K900" s="178">
        <f>FME_Ranking1[[#This Row],[Structures 100  Score (Normalized, Unweighted)]]*$I$3</f>
        <v>2.3775864284796298E-2</v>
      </c>
      <c r="L900" s="246">
        <f>_xlfn.XLOOKUP(FME_Ranking1[[#This Row],[FME ID]],FME_Input[FME_ID],FME_Input[RES_STRUCT100])</f>
        <v>224</v>
      </c>
      <c r="M900" s="230">
        <f>(FME_Ranking1[[#This Row],[Res Structures Raw]]/L$2)*100</f>
        <v>0.15866045246561178</v>
      </c>
      <c r="N900" s="180">
        <f>FME_Ranking1[[#This Row],[Res Structures Score (Normalized, Unweighted)]]*$L$3</f>
        <v>1.586604524656118E-2</v>
      </c>
      <c r="O900" s="244">
        <f>_xlfn.XLOOKUP(FME_Ranking1[[#This Row],[FME ID]],FME_Input[FME_ID],FME_Input[POP100])</f>
        <v>1284</v>
      </c>
      <c r="P900" s="178">
        <f>(FME_Ranking1[[#This Row],[Pop Raw]]/$O$2)*100</f>
        <v>0.13144990059357206</v>
      </c>
      <c r="Q900" s="178">
        <f>FME_Ranking1[[#This Row],[Pop Score (Normalized, Unweighted)]]*$O$3</f>
        <v>1.971748508903581E-2</v>
      </c>
      <c r="R900" s="137">
        <f>_xlfn.XLOOKUP(FME_Ranking1[[#This Row],[FME ID]],FME_Input[FME_ID],FME_Input[CRITFAC100])</f>
        <v>3</v>
      </c>
      <c r="S900" s="230">
        <f>(FME_Ranking1[[#This Row],[Critical Facilities Raw]]/$R$2)*100</f>
        <v>0.1286449399656947</v>
      </c>
      <c r="T900" s="180">
        <f>FME_Ranking1[[#This Row],[Critical Facilities Score (Normalized, Unweighted)]]*$R$3</f>
        <v>2.5728987993138941E-2</v>
      </c>
      <c r="U900">
        <f>_xlfn.XLOOKUP(FME_Ranking1[[#This Row],[FME ID]],FME_Input[FME_ID],FME_Input[LWC])</f>
        <v>3</v>
      </c>
      <c r="V900" s="178">
        <f>(FME_Ranking1[[#This Row],[LWC Raw]]/$U$2)*100</f>
        <v>0.17271157167530224</v>
      </c>
      <c r="W900" s="178">
        <f>FME_Ranking1[[#This Row],[LWC Score (Normalized, Unweighted)]]*$U$3</f>
        <v>3.4542314335060449E-2</v>
      </c>
      <c r="X900" s="246">
        <f>_xlfn.XLOOKUP(FME_Ranking1[[#This Row],[FME ID]],FME_Input[FME_ID],FME_Input[ROADCLS])</f>
        <v>3</v>
      </c>
      <c r="Y900" s="230">
        <f>(FME_Ranking1[[#This Row],[Closures Raw]]/$X$2)*100</f>
        <v>3.1542424561034593E-2</v>
      </c>
      <c r="Z900" s="180">
        <f>FME_Ranking1[[#This Row],[Closures Score (Normalized, Unweighted)]]*$X$3</f>
        <v>1.5771212280517297E-3</v>
      </c>
      <c r="AA900" s="253">
        <f>_xlfn.XLOOKUP(FME_Ranking1[[#This Row],[FME ID]],FME_Input[FME_ID],FME_Input[ROAD_MILES100])</f>
        <v>15.24395275115967</v>
      </c>
      <c r="AB900" s="178">
        <f>(FME_Ranking1[[#This Row],[Miles Raw]]/$AA$2)*100</f>
        <v>0.20043063736492356</v>
      </c>
      <c r="AC900" s="178">
        <f>FME_Ranking1[[#This Row],[Miles Score (Normalized, Unweighted)]]*$AA$3</f>
        <v>2.0043063736492357E-2</v>
      </c>
      <c r="AD900" s="255">
        <f>_xlfn.XLOOKUP(FME_Ranking1[[#This Row],[FME ID]],FME_Input[FME_ID],FME_Input[FARMACRE100])</f>
        <v>95.777946472167969</v>
      </c>
      <c r="AE900" s="230">
        <f>(FME_Ranking1[[#This Row],[Ag Land Raw]]/$AD$2)*100</f>
        <v>3.9494537621814572E-3</v>
      </c>
      <c r="AF900" s="231">
        <f>FME_Ranking1[[#This Row],[Ag Land Score (Normalized, Unweighted)]]*$AD$3</f>
        <v>1.9747268810907286E-4</v>
      </c>
      <c r="AG90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0.14144835460124586</v>
      </c>
      <c r="AH900" s="406">
        <f t="shared" si="13"/>
        <v>920</v>
      </c>
      <c r="AI90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0.14144835460124586</v>
      </c>
      <c r="AJ900" s="257">
        <f>FME_Ranking1[[#This Row],[Addition check]]-FME_Ranking1[[#This Row],[Weighted Score Based on Normalized Reported Factors]]</f>
        <v>0</v>
      </c>
      <c r="AK900" s="178">
        <f>_xlfn.RANK.EQ(AI900,$AI$6:$AI$2341,0)+COUNTIF($AI$6:AI900,AI900)-1</f>
        <v>921</v>
      </c>
    </row>
    <row r="901" spans="1:37" x14ac:dyDescent="0.25">
      <c r="A901" t="s">
        <v>3929</v>
      </c>
      <c r="B901">
        <f>_xlfn.XLOOKUP(FME_Ranking1[[#This Row],[FME ID]],FME_Input[FME_ID],FME_Input[RFPG_NUM])</f>
        <v>3</v>
      </c>
      <c r="C901" t="str">
        <f>_xlfn.XLOOKUP(FME_Ranking1[[#This Row],[FME ID]],FME_Input[FME_ID],FME_Input[FME_NAME])</f>
        <v xml:space="preserve">Leon County FEMA Mapping </v>
      </c>
      <c r="D901" t="str">
        <f>_xlfn.XLOOKUP(FME_Ranking1[[#This Row],[FME ID]],FME_Input[FME_ID],FME_Input[DESCR])</f>
        <v>Create FEMA mapping in previously unmapped areas and update existing FEMA maps as needed.</v>
      </c>
      <c r="E901" s="256">
        <f>_xlfn.XLOOKUP(FME_Ranking1[[#This Row],[FME ID]],FME_Input[FME_ID],FME_Input[FME_COST])</f>
        <v>1503000</v>
      </c>
      <c r="F901" t="str">
        <f>_xlfn.XLOOKUP(FME_Ranking1[[#This Row],[FME ID]],FME_Input[FME_ID],FME_Input[EMER_NEED])</f>
        <v>No</v>
      </c>
      <c r="G901">
        <f>IF(FME_Ranking!F901="Yes",100,0)</f>
        <v>0</v>
      </c>
      <c r="H901">
        <f>FME_Ranking1[[#This Row],[Emergency Need Score (Normalized, Unweighted)]]*$F$3</f>
        <v>0</v>
      </c>
      <c r="I901" s="246">
        <f>_xlfn.XLOOKUP(FME_Ranking1[[#This Row],[FME ID]],FME_Input[FME_ID],FME_Input[STRUCT_100])</f>
        <v>50</v>
      </c>
      <c r="J901" s="178">
        <f>(FME_Ranking1[[#This Row],[Structures 100 Raw]]/I$2)*100</f>
        <v>2.6774621942338171E-2</v>
      </c>
      <c r="K901" s="178">
        <f>FME_Ranking1[[#This Row],[Structures 100  Score (Normalized, Unweighted)]]*$I$3</f>
        <v>4.0161932913507252E-3</v>
      </c>
      <c r="L901" s="246">
        <f>_xlfn.XLOOKUP(FME_Ranking1[[#This Row],[FME ID]],FME_Input[FME_ID],FME_Input[RES_STRUCT100])</f>
        <v>43</v>
      </c>
      <c r="M901" s="230">
        <f>(FME_Ranking1[[#This Row],[Res Structures Raw]]/L$2)*100</f>
        <v>3.0457140428666547E-2</v>
      </c>
      <c r="N901" s="180">
        <f>FME_Ranking1[[#This Row],[Res Structures Score (Normalized, Unweighted)]]*$L$3</f>
        <v>3.0457140428666548E-3</v>
      </c>
      <c r="O901" s="244">
        <f>_xlfn.XLOOKUP(FME_Ranking1[[#This Row],[FME ID]],FME_Input[FME_ID],FME_Input[POP100])</f>
        <v>40</v>
      </c>
      <c r="P901" s="178">
        <f>(FME_Ranking1[[#This Row],[Pop Raw]]/$O$2)*100</f>
        <v>4.0950124795505315E-3</v>
      </c>
      <c r="Q901" s="178">
        <f>FME_Ranking1[[#This Row],[Pop Score (Normalized, Unweighted)]]*$O$3</f>
        <v>6.1425187193257975E-4</v>
      </c>
      <c r="R901" s="137">
        <f>_xlfn.XLOOKUP(FME_Ranking1[[#This Row],[FME ID]],FME_Input[FME_ID],FME_Input[CRITFAC100])</f>
        <v>6</v>
      </c>
      <c r="S901" s="230">
        <f>(FME_Ranking1[[#This Row],[Critical Facilities Raw]]/$R$2)*100</f>
        <v>0.25728987993138941</v>
      </c>
      <c r="T901" s="180">
        <f>FME_Ranking1[[#This Row],[Critical Facilities Score (Normalized, Unweighted)]]*$R$3</f>
        <v>5.1457975986277882E-2</v>
      </c>
      <c r="U901">
        <f>_xlfn.XLOOKUP(FME_Ranking1[[#This Row],[FME ID]],FME_Input[FME_ID],FME_Input[LWC])</f>
        <v>5</v>
      </c>
      <c r="V901" s="178">
        <f>(FME_Ranking1[[#This Row],[LWC Raw]]/$U$2)*100</f>
        <v>0.28785261945883706</v>
      </c>
      <c r="W901" s="178">
        <f>FME_Ranking1[[#This Row],[LWC Score (Normalized, Unweighted)]]*$U$3</f>
        <v>5.7570523891767415E-2</v>
      </c>
      <c r="X901" s="246">
        <f>_xlfn.XLOOKUP(FME_Ranking1[[#This Row],[FME ID]],FME_Input[FME_ID],FME_Input[ROADCLS])</f>
        <v>0</v>
      </c>
      <c r="Y901" s="230">
        <f>(FME_Ranking1[[#This Row],[Closures Raw]]/$X$2)*100</f>
        <v>0</v>
      </c>
      <c r="Z901" s="180">
        <f>FME_Ranking1[[#This Row],[Closures Score (Normalized, Unweighted)]]*$X$3</f>
        <v>0</v>
      </c>
      <c r="AA901" s="253">
        <f>_xlfn.XLOOKUP(FME_Ranking1[[#This Row],[FME ID]],FME_Input[FME_ID],FME_Input[ROAD_MILES100])</f>
        <v>99.558799743652344</v>
      </c>
      <c r="AB901" s="178">
        <f>(FME_Ranking1[[#This Row],[Miles Raw]]/$AA$2)*100</f>
        <v>1.3090196495386668</v>
      </c>
      <c r="AC901" s="178">
        <f>FME_Ranking1[[#This Row],[Miles Score (Normalized, Unweighted)]]*$AA$3</f>
        <v>0.13090196495386669</v>
      </c>
      <c r="AD901" s="255">
        <f>_xlfn.XLOOKUP(FME_Ranking1[[#This Row],[FME ID]],FME_Input[FME_ID],FME_Input[FARMACRE100])</f>
        <v>2040.316040039062</v>
      </c>
      <c r="AE901" s="230">
        <f>(FME_Ranking1[[#This Row],[Ag Land Raw]]/$AD$2)*100</f>
        <v>8.4133500008930051E-2</v>
      </c>
      <c r="AF901" s="231">
        <f>FME_Ranking1[[#This Row],[Ag Land Score (Normalized, Unweighted)]]*$AD$3</f>
        <v>4.2066750004465031E-3</v>
      </c>
      <c r="AG90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0.25181329903850846</v>
      </c>
      <c r="AH901" s="406">
        <f t="shared" si="13"/>
        <v>695</v>
      </c>
      <c r="AI90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0.25181329903850846</v>
      </c>
      <c r="AJ901" s="257">
        <f>FME_Ranking1[[#This Row],[Addition check]]-FME_Ranking1[[#This Row],[Weighted Score Based on Normalized Reported Factors]]</f>
        <v>0</v>
      </c>
      <c r="AK901" s="178">
        <f>_xlfn.RANK.EQ(AI901,$AI$6:$AI$2341,0)+COUNTIF($AI$6:AI901,AI901)-1</f>
        <v>695</v>
      </c>
    </row>
    <row r="902" spans="1:37" x14ac:dyDescent="0.25">
      <c r="A902" t="s">
        <v>5299</v>
      </c>
      <c r="B902">
        <f>_xlfn.XLOOKUP(FME_Ranking1[[#This Row],[FME ID]],FME_Input[FME_ID],FME_Input[RFPG_NUM])</f>
        <v>3</v>
      </c>
      <c r="C902" t="str">
        <f>_xlfn.XLOOKUP(FME_Ranking1[[#This Row],[FME ID]],FME_Input[FME_ID],FME_Input[FME_NAME])</f>
        <v>Ten Mile Creek at Houston School Road</v>
      </c>
      <c r="D902" t="str">
        <f>_xlfn.XLOOKUP(FME_Ranking1[[#This Row],[FME ID]],FME_Input[FME_ID],FME_Input[DESCR])</f>
        <v>Evaluate bridge improvements for Houston School Road over Ten Mile Creek</v>
      </c>
      <c r="E902" s="256">
        <f>_xlfn.XLOOKUP(FME_Ranking1[[#This Row],[FME ID]],FME_Input[FME_ID],FME_Input[FME_COST])</f>
        <v>250000</v>
      </c>
      <c r="F902" t="str">
        <f>_xlfn.XLOOKUP(FME_Ranking1[[#This Row],[FME ID]],FME_Input[FME_ID],FME_Input[EMER_NEED])</f>
        <v>No</v>
      </c>
      <c r="G902">
        <f>IF(FME_Ranking!F902="Yes",100,0)</f>
        <v>0</v>
      </c>
      <c r="H902">
        <f>FME_Ranking1[[#This Row],[Emergency Need Score (Normalized, Unweighted)]]*$F$3</f>
        <v>0</v>
      </c>
      <c r="I902" s="246">
        <f>_xlfn.XLOOKUP(FME_Ranking1[[#This Row],[FME ID]],FME_Input[FME_ID],FME_Input[STRUCT_100])</f>
        <v>193</v>
      </c>
      <c r="J902" s="178">
        <f>(FME_Ranking1[[#This Row],[Structures 100 Raw]]/I$2)*100</f>
        <v>0.10335004069742534</v>
      </c>
      <c r="K902" s="178">
        <f>FME_Ranking1[[#This Row],[Structures 100  Score (Normalized, Unweighted)]]*$I$3</f>
        <v>1.5502506104613801E-2</v>
      </c>
      <c r="L902" s="246">
        <f>_xlfn.XLOOKUP(FME_Ranking1[[#This Row],[FME ID]],FME_Input[FME_ID],FME_Input[RES_STRUCT100])</f>
        <v>173</v>
      </c>
      <c r="M902" s="230">
        <f>(FME_Ranking1[[#This Row],[Res Structures Raw]]/L$2)*100</f>
        <v>0.12253686730603051</v>
      </c>
      <c r="N902" s="180">
        <f>FME_Ranking1[[#This Row],[Res Structures Score (Normalized, Unweighted)]]*$L$3</f>
        <v>1.2253686730603052E-2</v>
      </c>
      <c r="O902" s="244">
        <f>_xlfn.XLOOKUP(FME_Ranking1[[#This Row],[FME ID]],FME_Input[FME_ID],FME_Input[POP100])</f>
        <v>1166</v>
      </c>
      <c r="P902" s="178">
        <f>(FME_Ranking1[[#This Row],[Pop Raw]]/$O$2)*100</f>
        <v>0.11936961377889799</v>
      </c>
      <c r="Q902" s="178">
        <f>FME_Ranking1[[#This Row],[Pop Score (Normalized, Unweighted)]]*$O$3</f>
        <v>1.7905442066834698E-2</v>
      </c>
      <c r="R902" s="137">
        <f>_xlfn.XLOOKUP(FME_Ranking1[[#This Row],[FME ID]],FME_Input[FME_ID],FME_Input[CRITFAC100])</f>
        <v>2</v>
      </c>
      <c r="S902" s="230">
        <f>(FME_Ranking1[[#This Row],[Critical Facilities Raw]]/$R$2)*100</f>
        <v>8.5763293310463118E-2</v>
      </c>
      <c r="T902" s="180">
        <f>FME_Ranking1[[#This Row],[Critical Facilities Score (Normalized, Unweighted)]]*$R$3</f>
        <v>1.7152658662092625E-2</v>
      </c>
      <c r="U902">
        <f>_xlfn.XLOOKUP(FME_Ranking1[[#This Row],[FME ID]],FME_Input[FME_ID],FME_Input[LWC])</f>
        <v>5</v>
      </c>
      <c r="V902" s="178">
        <f>(FME_Ranking1[[#This Row],[LWC Raw]]/$U$2)*100</f>
        <v>0.28785261945883706</v>
      </c>
      <c r="W902" s="178">
        <f>FME_Ranking1[[#This Row],[LWC Score (Normalized, Unweighted)]]*$U$3</f>
        <v>5.7570523891767415E-2</v>
      </c>
      <c r="X902" s="246">
        <f>_xlfn.XLOOKUP(FME_Ranking1[[#This Row],[FME ID]],FME_Input[FME_ID],FME_Input[ROADCLS])</f>
        <v>0</v>
      </c>
      <c r="Y902" s="230">
        <f>(FME_Ranking1[[#This Row],[Closures Raw]]/$X$2)*100</f>
        <v>0</v>
      </c>
      <c r="Z902" s="180">
        <f>FME_Ranking1[[#This Row],[Closures Score (Normalized, Unweighted)]]*$X$3</f>
        <v>0</v>
      </c>
      <c r="AA902" s="253">
        <f>_xlfn.XLOOKUP(FME_Ranking1[[#This Row],[FME ID]],FME_Input[FME_ID],FME_Input[ROAD_MILES100])</f>
        <v>7.356712818145752</v>
      </c>
      <c r="AB902" s="178">
        <f>(FME_Ranking1[[#This Row],[Miles Raw]]/$AA$2)*100</f>
        <v>9.6727578674729489E-2</v>
      </c>
      <c r="AC902" s="178">
        <f>FME_Ranking1[[#This Row],[Miles Score (Normalized, Unweighted)]]*$AA$3</f>
        <v>9.67275786747295E-3</v>
      </c>
      <c r="AD902" s="255">
        <f>_xlfn.XLOOKUP(FME_Ranking1[[#This Row],[FME ID]],FME_Input[FME_ID],FME_Input[FARMACRE100])</f>
        <v>81.915672302246094</v>
      </c>
      <c r="AE902" s="230">
        <f>(FME_Ranking1[[#This Row],[Ag Land Raw]]/$AD$2)*100</f>
        <v>3.3778356299353444E-3</v>
      </c>
      <c r="AF902" s="231">
        <f>FME_Ranking1[[#This Row],[Ag Land Score (Normalized, Unweighted)]]*$AD$3</f>
        <v>1.6889178149676724E-4</v>
      </c>
      <c r="AG90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0.13022646710488131</v>
      </c>
      <c r="AH902" s="406">
        <f t="shared" ref="AH902:AH965" si="14">_xlfn.RANK.EQ(AG902,$AG$6:$AG$2341,0)</f>
        <v>949</v>
      </c>
      <c r="AI90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0.13022646710488131</v>
      </c>
      <c r="AJ902" s="257">
        <f>FME_Ranking1[[#This Row],[Addition check]]-FME_Ranking1[[#This Row],[Weighted Score Based on Normalized Reported Factors]]</f>
        <v>0</v>
      </c>
      <c r="AK902" s="178">
        <f>_xlfn.RANK.EQ(AI902,$AI$6:$AI$2341,0)+COUNTIF($AI$6:AI902,AI902)-1</f>
        <v>949</v>
      </c>
    </row>
    <row r="903" spans="1:37" x14ac:dyDescent="0.25">
      <c r="A903" t="s">
        <v>5304</v>
      </c>
      <c r="B903">
        <f>_xlfn.XLOOKUP(FME_Ranking1[[#This Row],[FME ID]],FME_Input[FME_ID],FME_Input[RFPG_NUM])</f>
        <v>3</v>
      </c>
      <c r="C903" t="str">
        <f>_xlfn.XLOOKUP(FME_Ranking1[[#This Row],[FME ID]],FME_Input[FME_ID],FME_Input[FME_NAME])</f>
        <v>Ten Mile Creek at IH 35E Service</v>
      </c>
      <c r="D903" t="str">
        <f>_xlfn.XLOOKUP(FME_Ranking1[[#This Row],[FME ID]],FME_Input[FME_ID],FME_Input[DESCR])</f>
        <v>Evaluate bridge improvements for IH 35E Service over Ten Mile Creek</v>
      </c>
      <c r="E903" s="256">
        <f>_xlfn.XLOOKUP(FME_Ranking1[[#This Row],[FME ID]],FME_Input[FME_ID],FME_Input[FME_COST])</f>
        <v>250000</v>
      </c>
      <c r="F903" t="str">
        <f>_xlfn.XLOOKUP(FME_Ranking1[[#This Row],[FME ID]],FME_Input[FME_ID],FME_Input[EMER_NEED])</f>
        <v>No</v>
      </c>
      <c r="G903">
        <f>IF(FME_Ranking!F903="Yes",100,0)</f>
        <v>0</v>
      </c>
      <c r="H903">
        <f>FME_Ranking1[[#This Row],[Emergency Need Score (Normalized, Unweighted)]]*$F$3</f>
        <v>0</v>
      </c>
      <c r="I903" s="246">
        <f>_xlfn.XLOOKUP(FME_Ranking1[[#This Row],[FME ID]],FME_Input[FME_ID],FME_Input[STRUCT_100])</f>
        <v>193</v>
      </c>
      <c r="J903" s="178">
        <f>(FME_Ranking1[[#This Row],[Structures 100 Raw]]/I$2)*100</f>
        <v>0.10335004069742534</v>
      </c>
      <c r="K903" s="178">
        <f>FME_Ranking1[[#This Row],[Structures 100  Score (Normalized, Unweighted)]]*$I$3</f>
        <v>1.5502506104613801E-2</v>
      </c>
      <c r="L903" s="246">
        <f>_xlfn.XLOOKUP(FME_Ranking1[[#This Row],[FME ID]],FME_Input[FME_ID],FME_Input[RES_STRUCT100])</f>
        <v>173</v>
      </c>
      <c r="M903" s="230">
        <f>(FME_Ranking1[[#This Row],[Res Structures Raw]]/L$2)*100</f>
        <v>0.12253686730603051</v>
      </c>
      <c r="N903" s="180">
        <f>FME_Ranking1[[#This Row],[Res Structures Score (Normalized, Unweighted)]]*$L$3</f>
        <v>1.2253686730603052E-2</v>
      </c>
      <c r="O903" s="244">
        <f>_xlfn.XLOOKUP(FME_Ranking1[[#This Row],[FME ID]],FME_Input[FME_ID],FME_Input[POP100])</f>
        <v>1166</v>
      </c>
      <c r="P903" s="178">
        <f>(FME_Ranking1[[#This Row],[Pop Raw]]/$O$2)*100</f>
        <v>0.11936961377889799</v>
      </c>
      <c r="Q903" s="178">
        <f>FME_Ranking1[[#This Row],[Pop Score (Normalized, Unweighted)]]*$O$3</f>
        <v>1.7905442066834698E-2</v>
      </c>
      <c r="R903" s="137">
        <f>_xlfn.XLOOKUP(FME_Ranking1[[#This Row],[FME ID]],FME_Input[FME_ID],FME_Input[CRITFAC100])</f>
        <v>2</v>
      </c>
      <c r="S903" s="230">
        <f>(FME_Ranking1[[#This Row],[Critical Facilities Raw]]/$R$2)*100</f>
        <v>8.5763293310463118E-2</v>
      </c>
      <c r="T903" s="180">
        <f>FME_Ranking1[[#This Row],[Critical Facilities Score (Normalized, Unweighted)]]*$R$3</f>
        <v>1.7152658662092625E-2</v>
      </c>
      <c r="U903">
        <f>_xlfn.XLOOKUP(FME_Ranking1[[#This Row],[FME ID]],FME_Input[FME_ID],FME_Input[LWC])</f>
        <v>5</v>
      </c>
      <c r="V903" s="178">
        <f>(FME_Ranking1[[#This Row],[LWC Raw]]/$U$2)*100</f>
        <v>0.28785261945883706</v>
      </c>
      <c r="W903" s="178">
        <f>FME_Ranking1[[#This Row],[LWC Score (Normalized, Unweighted)]]*$U$3</f>
        <v>5.7570523891767415E-2</v>
      </c>
      <c r="X903" s="246">
        <f>_xlfn.XLOOKUP(FME_Ranking1[[#This Row],[FME ID]],FME_Input[FME_ID],FME_Input[ROADCLS])</f>
        <v>0</v>
      </c>
      <c r="Y903" s="230">
        <f>(FME_Ranking1[[#This Row],[Closures Raw]]/$X$2)*100</f>
        <v>0</v>
      </c>
      <c r="Z903" s="180">
        <f>FME_Ranking1[[#This Row],[Closures Score (Normalized, Unweighted)]]*$X$3</f>
        <v>0</v>
      </c>
      <c r="AA903" s="253">
        <f>_xlfn.XLOOKUP(FME_Ranking1[[#This Row],[FME ID]],FME_Input[FME_ID],FME_Input[ROAD_MILES100])</f>
        <v>7.356712818145752</v>
      </c>
      <c r="AB903" s="178">
        <f>(FME_Ranking1[[#This Row],[Miles Raw]]/$AA$2)*100</f>
        <v>9.6727578674729489E-2</v>
      </c>
      <c r="AC903" s="178">
        <f>FME_Ranking1[[#This Row],[Miles Score (Normalized, Unweighted)]]*$AA$3</f>
        <v>9.67275786747295E-3</v>
      </c>
      <c r="AD903" s="255">
        <f>_xlfn.XLOOKUP(FME_Ranking1[[#This Row],[FME ID]],FME_Input[FME_ID],FME_Input[FARMACRE100])</f>
        <v>81.915672302246094</v>
      </c>
      <c r="AE903" s="230">
        <f>(FME_Ranking1[[#This Row],[Ag Land Raw]]/$AD$2)*100</f>
        <v>3.3778356299353444E-3</v>
      </c>
      <c r="AF903" s="231">
        <f>FME_Ranking1[[#This Row],[Ag Land Score (Normalized, Unweighted)]]*$AD$3</f>
        <v>1.6889178149676724E-4</v>
      </c>
      <c r="AG90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0.13022646710488131</v>
      </c>
      <c r="AH903" s="406">
        <f t="shared" si="14"/>
        <v>949</v>
      </c>
      <c r="AI90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0.13022646710488131</v>
      </c>
      <c r="AJ903" s="257">
        <f>FME_Ranking1[[#This Row],[Addition check]]-FME_Ranking1[[#This Row],[Weighted Score Based on Normalized Reported Factors]]</f>
        <v>0</v>
      </c>
      <c r="AK903" s="178">
        <f>_xlfn.RANK.EQ(AI903,$AI$6:$AI$2341,0)+COUNTIF($AI$6:AI903,AI903)-1</f>
        <v>950</v>
      </c>
    </row>
    <row r="904" spans="1:37" x14ac:dyDescent="0.25">
      <c r="A904" t="s">
        <v>5307</v>
      </c>
      <c r="B904">
        <f>_xlfn.XLOOKUP(FME_Ranking1[[#This Row],[FME ID]],FME_Input[FME_ID],FME_Input[RFPG_NUM])</f>
        <v>3</v>
      </c>
      <c r="C904" t="str">
        <f>_xlfn.XLOOKUP(FME_Ranking1[[#This Row],[FME ID]],FME_Input[FME_ID],FME_Input[FME_NAME])</f>
        <v>Ten Mile Creek at IH 35E Service (County Highway 1382)</v>
      </c>
      <c r="D904" t="str">
        <f>_xlfn.XLOOKUP(FME_Ranking1[[#This Row],[FME ID]],FME_Input[FME_ID],FME_Input[DESCR])</f>
        <v>Evaluate bridge improvements for IH 35E Service (County Highway 1382) over Ten Mile Creek</v>
      </c>
      <c r="E904" s="256">
        <f>_xlfn.XLOOKUP(FME_Ranking1[[#This Row],[FME ID]],FME_Input[FME_ID],FME_Input[FME_COST])</f>
        <v>250000</v>
      </c>
      <c r="F904" t="str">
        <f>_xlfn.XLOOKUP(FME_Ranking1[[#This Row],[FME ID]],FME_Input[FME_ID],FME_Input[EMER_NEED])</f>
        <v>No</v>
      </c>
      <c r="G904">
        <f>IF(FME_Ranking!F904="Yes",100,0)</f>
        <v>0</v>
      </c>
      <c r="H904">
        <f>FME_Ranking1[[#This Row],[Emergency Need Score (Normalized, Unweighted)]]*$F$3</f>
        <v>0</v>
      </c>
      <c r="I904" s="246">
        <f>_xlfn.XLOOKUP(FME_Ranking1[[#This Row],[FME ID]],FME_Input[FME_ID],FME_Input[STRUCT_100])</f>
        <v>193</v>
      </c>
      <c r="J904" s="178">
        <f>(FME_Ranking1[[#This Row],[Structures 100 Raw]]/I$2)*100</f>
        <v>0.10335004069742534</v>
      </c>
      <c r="K904" s="178">
        <f>FME_Ranking1[[#This Row],[Structures 100  Score (Normalized, Unweighted)]]*$I$3</f>
        <v>1.5502506104613801E-2</v>
      </c>
      <c r="L904" s="246">
        <f>_xlfn.XLOOKUP(FME_Ranking1[[#This Row],[FME ID]],FME_Input[FME_ID],FME_Input[RES_STRUCT100])</f>
        <v>173</v>
      </c>
      <c r="M904" s="230">
        <f>(FME_Ranking1[[#This Row],[Res Structures Raw]]/L$2)*100</f>
        <v>0.12253686730603051</v>
      </c>
      <c r="N904" s="180">
        <f>FME_Ranking1[[#This Row],[Res Structures Score (Normalized, Unweighted)]]*$L$3</f>
        <v>1.2253686730603052E-2</v>
      </c>
      <c r="O904" s="244">
        <f>_xlfn.XLOOKUP(FME_Ranking1[[#This Row],[FME ID]],FME_Input[FME_ID],FME_Input[POP100])</f>
        <v>1166</v>
      </c>
      <c r="P904" s="178">
        <f>(FME_Ranking1[[#This Row],[Pop Raw]]/$O$2)*100</f>
        <v>0.11936961377889799</v>
      </c>
      <c r="Q904" s="178">
        <f>FME_Ranking1[[#This Row],[Pop Score (Normalized, Unweighted)]]*$O$3</f>
        <v>1.7905442066834698E-2</v>
      </c>
      <c r="R904" s="137">
        <f>_xlfn.XLOOKUP(FME_Ranking1[[#This Row],[FME ID]],FME_Input[FME_ID],FME_Input[CRITFAC100])</f>
        <v>2</v>
      </c>
      <c r="S904" s="230">
        <f>(FME_Ranking1[[#This Row],[Critical Facilities Raw]]/$R$2)*100</f>
        <v>8.5763293310463118E-2</v>
      </c>
      <c r="T904" s="180">
        <f>FME_Ranking1[[#This Row],[Critical Facilities Score (Normalized, Unweighted)]]*$R$3</f>
        <v>1.7152658662092625E-2</v>
      </c>
      <c r="U904">
        <f>_xlfn.XLOOKUP(FME_Ranking1[[#This Row],[FME ID]],FME_Input[FME_ID],FME_Input[LWC])</f>
        <v>5</v>
      </c>
      <c r="V904" s="178">
        <f>(FME_Ranking1[[#This Row],[LWC Raw]]/$U$2)*100</f>
        <v>0.28785261945883706</v>
      </c>
      <c r="W904" s="178">
        <f>FME_Ranking1[[#This Row],[LWC Score (Normalized, Unweighted)]]*$U$3</f>
        <v>5.7570523891767415E-2</v>
      </c>
      <c r="X904" s="246">
        <f>_xlfn.XLOOKUP(FME_Ranking1[[#This Row],[FME ID]],FME_Input[FME_ID],FME_Input[ROADCLS])</f>
        <v>0</v>
      </c>
      <c r="Y904" s="230">
        <f>(FME_Ranking1[[#This Row],[Closures Raw]]/$X$2)*100</f>
        <v>0</v>
      </c>
      <c r="Z904" s="180">
        <f>FME_Ranking1[[#This Row],[Closures Score (Normalized, Unweighted)]]*$X$3</f>
        <v>0</v>
      </c>
      <c r="AA904" s="253">
        <f>_xlfn.XLOOKUP(FME_Ranking1[[#This Row],[FME ID]],FME_Input[FME_ID],FME_Input[ROAD_MILES100])</f>
        <v>7.356712818145752</v>
      </c>
      <c r="AB904" s="178">
        <f>(FME_Ranking1[[#This Row],[Miles Raw]]/$AA$2)*100</f>
        <v>9.6727578674729489E-2</v>
      </c>
      <c r="AC904" s="178">
        <f>FME_Ranking1[[#This Row],[Miles Score (Normalized, Unweighted)]]*$AA$3</f>
        <v>9.67275786747295E-3</v>
      </c>
      <c r="AD904" s="255">
        <f>_xlfn.XLOOKUP(FME_Ranking1[[#This Row],[FME ID]],FME_Input[FME_ID],FME_Input[FARMACRE100])</f>
        <v>81.915672302246094</v>
      </c>
      <c r="AE904" s="230">
        <f>(FME_Ranking1[[#This Row],[Ag Land Raw]]/$AD$2)*100</f>
        <v>3.3778356299353444E-3</v>
      </c>
      <c r="AF904" s="231">
        <f>FME_Ranking1[[#This Row],[Ag Land Score (Normalized, Unweighted)]]*$AD$3</f>
        <v>1.6889178149676724E-4</v>
      </c>
      <c r="AG90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0.13022646710488131</v>
      </c>
      <c r="AH904" s="406">
        <f t="shared" si="14"/>
        <v>949</v>
      </c>
      <c r="AI90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0.13022646710488131</v>
      </c>
      <c r="AJ904" s="257">
        <f>FME_Ranking1[[#This Row],[Addition check]]-FME_Ranking1[[#This Row],[Weighted Score Based on Normalized Reported Factors]]</f>
        <v>0</v>
      </c>
      <c r="AK904" s="178">
        <f>_xlfn.RANK.EQ(AI904,$AI$6:$AI$2341,0)+COUNTIF($AI$6:AI904,AI904)-1</f>
        <v>951</v>
      </c>
    </row>
    <row r="905" spans="1:37" x14ac:dyDescent="0.25">
      <c r="A905" t="s">
        <v>6213</v>
      </c>
      <c r="B905">
        <f>_xlfn.XLOOKUP(FME_Ranking1[[#This Row],[FME ID]],FME_Input[FME_ID],FME_Input[RFPG_NUM])</f>
        <v>5</v>
      </c>
      <c r="C905" t="str">
        <f>_xlfn.XLOOKUP(FME_Ranking1[[#This Row],[FME ID]],FME_Input[FME_ID],FME_Input[FME_NAME])</f>
        <v>City of Jasper Master Drainage Plan</v>
      </c>
      <c r="D905"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905" s="256">
        <f>_xlfn.XLOOKUP(FME_Ranking1[[#This Row],[FME ID]],FME_Input[FME_ID],FME_Input[FME_COST])</f>
        <v>440000</v>
      </c>
      <c r="F905" t="str">
        <f>_xlfn.XLOOKUP(FME_Ranking1[[#This Row],[FME ID]],FME_Input[FME_ID],FME_Input[EMER_NEED])</f>
        <v>Yes</v>
      </c>
      <c r="G905">
        <f>IF(FME_Ranking!F905="Yes",100,0)</f>
        <v>100</v>
      </c>
      <c r="H905">
        <f>FME_Ranking1[[#This Row],[Emergency Need Score (Normalized, Unweighted)]]*$F$3</f>
        <v>0</v>
      </c>
      <c r="I905" s="246">
        <f>_xlfn.XLOOKUP(FME_Ranking1[[#This Row],[FME ID]],FME_Input[FME_ID],FME_Input[STRUCT_100])</f>
        <v>171</v>
      </c>
      <c r="J905" s="178">
        <f>(FME_Ranking1[[#This Row],[Structures 100 Raw]]/I$2)*100</f>
        <v>9.1569207042796558E-2</v>
      </c>
      <c r="K905" s="178">
        <f>FME_Ranking1[[#This Row],[Structures 100  Score (Normalized, Unweighted)]]*$I$3</f>
        <v>1.3735381056419483E-2</v>
      </c>
      <c r="L905" s="246">
        <f>_xlfn.XLOOKUP(FME_Ranking1[[#This Row],[FME ID]],FME_Input[FME_ID],FME_Input[RES_STRUCT100])</f>
        <v>66</v>
      </c>
      <c r="M905" s="230">
        <f>(FME_Ranking1[[#This Row],[Res Structures Raw]]/L$2)*100</f>
        <v>4.6748169030046326E-2</v>
      </c>
      <c r="N905" s="180">
        <f>FME_Ranking1[[#This Row],[Res Structures Score (Normalized, Unweighted)]]*$L$3</f>
        <v>4.6748169030046329E-3</v>
      </c>
      <c r="O905" s="244">
        <f>_xlfn.XLOOKUP(FME_Ranking1[[#This Row],[FME ID]],FME_Input[FME_ID],FME_Input[POP100])</f>
        <v>1141</v>
      </c>
      <c r="P905" s="178">
        <f>(FME_Ranking1[[#This Row],[Pop Raw]]/$O$2)*100</f>
        <v>0.11681023097917891</v>
      </c>
      <c r="Q905" s="178">
        <f>FME_Ranking1[[#This Row],[Pop Score (Normalized, Unweighted)]]*$O$3</f>
        <v>1.7521534646876835E-2</v>
      </c>
      <c r="R905" s="137">
        <f>_xlfn.XLOOKUP(FME_Ranking1[[#This Row],[FME ID]],FME_Input[FME_ID],FME_Input[CRITFAC100])</f>
        <v>7</v>
      </c>
      <c r="S905" s="230">
        <f>(FME_Ranking1[[#This Row],[Critical Facilities Raw]]/$R$2)*100</f>
        <v>0.30017152658662088</v>
      </c>
      <c r="T905" s="180">
        <f>FME_Ranking1[[#This Row],[Critical Facilities Score (Normalized, Unweighted)]]*$R$3</f>
        <v>6.0034305317324177E-2</v>
      </c>
      <c r="U905">
        <f>_xlfn.XLOOKUP(FME_Ranking1[[#This Row],[FME ID]],FME_Input[FME_ID],FME_Input[LWC])</f>
        <v>2</v>
      </c>
      <c r="V905" s="178">
        <f>(FME_Ranking1[[#This Row],[LWC Raw]]/$U$2)*100</f>
        <v>0.11514104778353484</v>
      </c>
      <c r="W905" s="178">
        <f>FME_Ranking1[[#This Row],[LWC Score (Normalized, Unweighted)]]*$U$3</f>
        <v>2.302820955670697E-2</v>
      </c>
      <c r="X905" s="246">
        <f>_xlfn.XLOOKUP(FME_Ranking1[[#This Row],[FME ID]],FME_Input[FME_ID],FME_Input[ROADCLS])</f>
        <v>2</v>
      </c>
      <c r="Y905" s="230">
        <f>(FME_Ranking1[[#This Row],[Closures Raw]]/$X$2)*100</f>
        <v>2.1028283040689728E-2</v>
      </c>
      <c r="Z905" s="180">
        <f>FME_Ranking1[[#This Row],[Closures Score (Normalized, Unweighted)]]*$X$3</f>
        <v>1.0514141520344864E-3</v>
      </c>
      <c r="AA905" s="253">
        <f>_xlfn.XLOOKUP(FME_Ranking1[[#This Row],[FME ID]],FME_Input[FME_ID],FME_Input[ROAD_MILES100])</f>
        <v>5.5198202133178711</v>
      </c>
      <c r="AB905" s="178">
        <f>(FME_Ranking1[[#This Row],[Miles Raw]]/$AA$2)*100</f>
        <v>7.2575735542799114E-2</v>
      </c>
      <c r="AC905" s="178">
        <f>FME_Ranking1[[#This Row],[Miles Score (Normalized, Unweighted)]]*$AA$3</f>
        <v>7.2575735542799117E-3</v>
      </c>
      <c r="AD905" s="255">
        <f>_xlfn.XLOOKUP(FME_Ranking1[[#This Row],[FME ID]],FME_Input[FME_ID],FME_Input[FARMACRE100])</f>
        <v>1.9578878879547119</v>
      </c>
      <c r="AE905" s="230">
        <f>(FME_Ranking1[[#This Row],[Ag Land Raw]]/$AD$2)*100</f>
        <v>8.0734532006898364E-5</v>
      </c>
      <c r="AF905" s="231">
        <f>FME_Ranking1[[#This Row],[Ag Land Score (Normalized, Unweighted)]]*$AD$3</f>
        <v>4.0367266003449183E-6</v>
      </c>
      <c r="AG90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0.12730727191324684</v>
      </c>
      <c r="AH905" s="406">
        <f t="shared" si="14"/>
        <v>963</v>
      </c>
      <c r="AI90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0.12730727191324684</v>
      </c>
      <c r="AJ905" s="257">
        <f>FME_Ranking1[[#This Row],[Addition check]]-FME_Ranking1[[#This Row],[Weighted Score Based on Normalized Reported Factors]]</f>
        <v>0</v>
      </c>
      <c r="AK905" s="178">
        <f>_xlfn.RANK.EQ(AI905,$AI$6:$AI$2341,0)+COUNTIF($AI$6:AI905,AI905)-1</f>
        <v>963</v>
      </c>
    </row>
    <row r="906" spans="1:37" x14ac:dyDescent="0.25">
      <c r="A906" t="s">
        <v>7720</v>
      </c>
      <c r="B906">
        <f>_xlfn.XLOOKUP(FME_Ranking1[[#This Row],[FME ID]],FME_Input[FME_ID],FME_Input[RFPG_NUM])</f>
        <v>8</v>
      </c>
      <c r="C906" t="str">
        <f>_xlfn.XLOOKUP(FME_Ranking1[[#This Row],[FME ID]],FME_Input[FME_ID],FME_Input[FME_NAME])</f>
        <v>FM 2818 Crossing &amp; Channel Improvements (FM- 2818 to Welsh) &amp; Detention Pond</v>
      </c>
      <c r="D906" t="str">
        <f>_xlfn.XLOOKUP(FME_Ranking1[[#This Row],[FME ID]],FME_Input[FME_ID],FME_Input[DESCR])</f>
        <v>Update design to account for Atlas 14 rainfall.</v>
      </c>
      <c r="E906" s="256">
        <f>_xlfn.XLOOKUP(FME_Ranking1[[#This Row],[FME ID]],FME_Input[FME_ID],FME_Input[FME_COST])</f>
        <v>100000</v>
      </c>
      <c r="F906" t="str">
        <f>_xlfn.XLOOKUP(FME_Ranking1[[#This Row],[FME ID]],FME_Input[FME_ID],FME_Input[EMER_NEED])</f>
        <v>No</v>
      </c>
      <c r="G906">
        <f>IF(FME_Ranking!F906="Yes",100,0)</f>
        <v>0</v>
      </c>
      <c r="H906">
        <f>FME_Ranking1[[#This Row],[Emergency Need Score (Normalized, Unweighted)]]*$F$3</f>
        <v>0</v>
      </c>
      <c r="I906" s="246">
        <f>_xlfn.XLOOKUP(FME_Ranking1[[#This Row],[FME ID]],FME_Input[FME_ID],FME_Input[STRUCT_100])</f>
        <v>22</v>
      </c>
      <c r="J906" s="178">
        <f>(FME_Ranking1[[#This Row],[Structures 100 Raw]]/I$2)*100</f>
        <v>1.1780833654628797E-2</v>
      </c>
      <c r="K906" s="178">
        <f>FME_Ranking1[[#This Row],[Structures 100  Score (Normalized, Unweighted)]]*$I$3</f>
        <v>1.7671250481943194E-3</v>
      </c>
      <c r="L906" s="246">
        <f>_xlfn.XLOOKUP(FME_Ranking1[[#This Row],[FME ID]],FME_Input[FME_ID],FME_Input[RES_STRUCT100])</f>
        <v>19</v>
      </c>
      <c r="M906" s="230">
        <f>(FME_Ranking1[[#This Row],[Res Structures Raw]]/L$2)*100</f>
        <v>1.3457806235922425E-2</v>
      </c>
      <c r="N906" s="180">
        <f>FME_Ranking1[[#This Row],[Res Structures Score (Normalized, Unweighted)]]*$L$3</f>
        <v>1.3457806235922425E-3</v>
      </c>
      <c r="O906" s="244">
        <f>_xlfn.XLOOKUP(FME_Ranking1[[#This Row],[FME ID]],FME_Input[FME_ID],FME_Input[POP100])</f>
        <v>61</v>
      </c>
      <c r="P906" s="178">
        <f>(FME_Ranking1[[#This Row],[Pop Raw]]/$O$2)*100</f>
        <v>6.2448940313145612E-3</v>
      </c>
      <c r="Q906" s="178">
        <f>FME_Ranking1[[#This Row],[Pop Score (Normalized, Unweighted)]]*$O$3</f>
        <v>9.3673410469718413E-4</v>
      </c>
      <c r="R906" s="137">
        <f>_xlfn.XLOOKUP(FME_Ranking1[[#This Row],[FME ID]],FME_Input[FME_ID],FME_Input[CRITFAC100])</f>
        <v>1</v>
      </c>
      <c r="S906" s="230">
        <f>(FME_Ranking1[[#This Row],[Critical Facilities Raw]]/$R$2)*100</f>
        <v>4.2881646655231559E-2</v>
      </c>
      <c r="T906" s="180">
        <f>FME_Ranking1[[#This Row],[Critical Facilities Score (Normalized, Unweighted)]]*$R$3</f>
        <v>8.5763293310463125E-3</v>
      </c>
      <c r="U906">
        <f>_xlfn.XLOOKUP(FME_Ranking1[[#This Row],[FME ID]],FME_Input[FME_ID],FME_Input[LWC])</f>
        <v>9</v>
      </c>
      <c r="V906" s="178">
        <f>(FME_Ranking1[[#This Row],[LWC Raw]]/$U$2)*100</f>
        <v>0.5181347150259068</v>
      </c>
      <c r="W906" s="178">
        <f>FME_Ranking1[[#This Row],[LWC Score (Normalized, Unweighted)]]*$U$3</f>
        <v>0.10362694300518137</v>
      </c>
      <c r="X906" s="246">
        <f>_xlfn.XLOOKUP(FME_Ranking1[[#This Row],[FME ID]],FME_Input[FME_ID],FME_Input[ROADCLS])</f>
        <v>7</v>
      </c>
      <c r="Y906" s="230">
        <f>(FME_Ranking1[[#This Row],[Closures Raw]]/$X$2)*100</f>
        <v>7.3598990642414042E-2</v>
      </c>
      <c r="Z906" s="180">
        <f>FME_Ranking1[[#This Row],[Closures Score (Normalized, Unweighted)]]*$X$3</f>
        <v>3.6799495321207022E-3</v>
      </c>
      <c r="AA906" s="253">
        <f>_xlfn.XLOOKUP(FME_Ranking1[[#This Row],[FME ID]],FME_Input[FME_ID],FME_Input[ROAD_MILES100])</f>
        <v>1.2154500484466551</v>
      </c>
      <c r="AB906" s="178">
        <f>(FME_Ranking1[[#This Row],[Miles Raw]]/$AA$2)*100</f>
        <v>1.5980988125068651E-2</v>
      </c>
      <c r="AC906" s="178">
        <f>FME_Ranking1[[#This Row],[Miles Score (Normalized, Unweighted)]]*$AA$3</f>
        <v>1.5980988125068652E-3</v>
      </c>
      <c r="AD906" s="255">
        <f>_xlfn.XLOOKUP(FME_Ranking1[[#This Row],[FME ID]],FME_Input[FME_ID],FME_Input[FARMACRE100])</f>
        <v>32.554100036621087</v>
      </c>
      <c r="AE906" s="230">
        <f>(FME_Ranking1[[#This Row],[Ag Land Raw]]/$AD$2)*100</f>
        <v>1.3423853569613331E-3</v>
      </c>
      <c r="AF906" s="231">
        <f>FME_Ranking1[[#This Row],[Ag Land Score (Normalized, Unweighted)]]*$AD$3</f>
        <v>6.7119267848066662E-5</v>
      </c>
      <c r="AG90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0.12159807972518705</v>
      </c>
      <c r="AH906" s="406">
        <f t="shared" si="14"/>
        <v>973</v>
      </c>
      <c r="AI90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0.12159807972518705</v>
      </c>
      <c r="AJ906" s="257">
        <f>FME_Ranking1[[#This Row],[Addition check]]-FME_Ranking1[[#This Row],[Weighted Score Based on Normalized Reported Factors]]</f>
        <v>0</v>
      </c>
      <c r="AK906" s="178">
        <f>_xlfn.RANK.EQ(AI906,$AI$6:$AI$2341,0)+COUNTIF($AI$6:AI906,AI906)-1</f>
        <v>973</v>
      </c>
    </row>
    <row r="907" spans="1:37" x14ac:dyDescent="0.25">
      <c r="A907" t="s">
        <v>5520</v>
      </c>
      <c r="B907">
        <f>_xlfn.XLOOKUP(FME_Ranking1[[#This Row],[FME ID]],FME_Input[FME_ID],FME_Input[RFPG_NUM])</f>
        <v>4</v>
      </c>
      <c r="C907" t="str">
        <f>_xlfn.XLOOKUP(FME_Ranking1[[#This Row],[FME ID]],FME_Input[FME_ID],FME_Input[FME_NAME])</f>
        <v>Rains County Flood Hazard Mapping</v>
      </c>
      <c r="D907" t="str">
        <f>_xlfn.XLOOKUP(FME_Ranking1[[#This Row],[FME ID]],FME_Input[FME_ID],FME_Input[DESCR])</f>
        <v>Complete a detailed study within the county extent to delineate an updated flood hazard area, which can be used for regulatory purposes.</v>
      </c>
      <c r="E907" s="256">
        <f>_xlfn.XLOOKUP(FME_Ranking1[[#This Row],[FME ID]],FME_Input[FME_ID],FME_Input[FME_COST])</f>
        <v>2100000</v>
      </c>
      <c r="F907" t="str">
        <f>_xlfn.XLOOKUP(FME_Ranking1[[#This Row],[FME ID]],FME_Input[FME_ID],FME_Input[EMER_NEED])</f>
        <v>Yes</v>
      </c>
      <c r="G907">
        <f>IF(FME_Ranking!F907="Yes",100,0)</f>
        <v>100</v>
      </c>
      <c r="H907">
        <f>FME_Ranking1[[#This Row],[Emergency Need Score (Normalized, Unweighted)]]*$F$3</f>
        <v>0</v>
      </c>
      <c r="I907" s="246">
        <f>_xlfn.XLOOKUP(FME_Ranking1[[#This Row],[FME ID]],FME_Input[FME_ID],FME_Input[STRUCT_100])</f>
        <v>277</v>
      </c>
      <c r="J907" s="178">
        <f>(FME_Ranking1[[#This Row],[Structures 100 Raw]]/I$2)*100</f>
        <v>0.14833140556055349</v>
      </c>
      <c r="K907" s="178">
        <f>FME_Ranking1[[#This Row],[Structures 100  Score (Normalized, Unweighted)]]*$I$3</f>
        <v>2.2249710834083024E-2</v>
      </c>
      <c r="L907" s="246">
        <f>_xlfn.XLOOKUP(FME_Ranking1[[#This Row],[FME ID]],FME_Input[FME_ID],FME_Input[RES_STRUCT100])</f>
        <v>211</v>
      </c>
      <c r="M907" s="230">
        <f>(FME_Ranking1[[#This Row],[Res Structures Raw]]/L$2)*100</f>
        <v>0.14945247977787537</v>
      </c>
      <c r="N907" s="180">
        <f>FME_Ranking1[[#This Row],[Res Structures Score (Normalized, Unweighted)]]*$L$3</f>
        <v>1.4945247977787538E-2</v>
      </c>
      <c r="O907" s="244">
        <f>_xlfn.XLOOKUP(FME_Ranking1[[#This Row],[FME ID]],FME_Input[FME_ID],FME_Input[POP100])</f>
        <v>352</v>
      </c>
      <c r="P907" s="178">
        <f>(FME_Ranking1[[#This Row],[Pop Raw]]/$O$2)*100</f>
        <v>3.6036109820044675E-2</v>
      </c>
      <c r="Q907" s="178">
        <f>FME_Ranking1[[#This Row],[Pop Score (Normalized, Unweighted)]]*$O$3</f>
        <v>5.4054164730067012E-3</v>
      </c>
      <c r="R907" s="137">
        <f>_xlfn.XLOOKUP(FME_Ranking1[[#This Row],[FME ID]],FME_Input[FME_ID],FME_Input[CRITFAC100])</f>
        <v>0</v>
      </c>
      <c r="S907" s="230">
        <f>(FME_Ranking1[[#This Row],[Critical Facilities Raw]]/$R$2)*100</f>
        <v>0</v>
      </c>
      <c r="T907" s="180">
        <f>FME_Ranking1[[#This Row],[Critical Facilities Score (Normalized, Unweighted)]]*$R$3</f>
        <v>0</v>
      </c>
      <c r="U907">
        <f>_xlfn.XLOOKUP(FME_Ranking1[[#This Row],[FME ID]],FME_Input[FME_ID],FME_Input[LWC])</f>
        <v>4</v>
      </c>
      <c r="V907" s="178">
        <f>(FME_Ranking1[[#This Row],[LWC Raw]]/$U$2)*100</f>
        <v>0.23028209556706969</v>
      </c>
      <c r="W907" s="178">
        <f>FME_Ranking1[[#This Row],[LWC Score (Normalized, Unweighted)]]*$U$3</f>
        <v>4.6056419113413939E-2</v>
      </c>
      <c r="X907" s="246">
        <f>_xlfn.XLOOKUP(FME_Ranking1[[#This Row],[FME ID]],FME_Input[FME_ID],FME_Input[ROADCLS])</f>
        <v>4</v>
      </c>
      <c r="Y907" s="230">
        <f>(FME_Ranking1[[#This Row],[Closures Raw]]/$X$2)*100</f>
        <v>4.2056566081379455E-2</v>
      </c>
      <c r="Z907" s="180">
        <f>FME_Ranking1[[#This Row],[Closures Score (Normalized, Unweighted)]]*$X$3</f>
        <v>2.1028283040689729E-3</v>
      </c>
      <c r="AA907" s="253">
        <f>_xlfn.XLOOKUP(FME_Ranking1[[#This Row],[FME ID]],FME_Input[FME_ID],FME_Input[ROAD_MILES100])</f>
        <v>35.197212219238281</v>
      </c>
      <c r="AB907" s="178">
        <f>(FME_Ranking1[[#This Row],[Miles Raw]]/$AA$2)*100</f>
        <v>0.46278021151920273</v>
      </c>
      <c r="AC907" s="178">
        <f>FME_Ranking1[[#This Row],[Miles Score (Normalized, Unweighted)]]*$AA$3</f>
        <v>4.6278021151920277E-2</v>
      </c>
      <c r="AD907" s="255">
        <f>_xlfn.XLOOKUP(FME_Ranking1[[#This Row],[FME ID]],FME_Input[FME_ID],FME_Input[FARMACRE100])</f>
        <v>13841.5205078125</v>
      </c>
      <c r="AE907" s="230">
        <f>(FME_Ranking1[[#This Row],[Ag Land Raw]]/$AD$2)*100</f>
        <v>0.57076234412456683</v>
      </c>
      <c r="AF907" s="231">
        <f>FME_Ranking1[[#This Row],[Ag Land Score (Normalized, Unweighted)]]*$AD$3</f>
        <v>2.8538117206228342E-2</v>
      </c>
      <c r="AG90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0.16557576106050881</v>
      </c>
      <c r="AH907" s="406">
        <f t="shared" si="14"/>
        <v>866</v>
      </c>
      <c r="AI90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0.16557576106050881</v>
      </c>
      <c r="AJ907" s="257">
        <f>FME_Ranking1[[#This Row],[Addition check]]-FME_Ranking1[[#This Row],[Weighted Score Based on Normalized Reported Factors]]</f>
        <v>0</v>
      </c>
      <c r="AK907" s="178">
        <f>_xlfn.RANK.EQ(AI907,$AI$6:$AI$2341,0)+COUNTIF($AI$6:AI907,AI907)-1</f>
        <v>866</v>
      </c>
    </row>
    <row r="908" spans="1:37" x14ac:dyDescent="0.25">
      <c r="A908" t="s">
        <v>5527</v>
      </c>
      <c r="B908">
        <f>_xlfn.XLOOKUP(FME_Ranking1[[#This Row],[FME ID]],FME_Input[FME_ID],FME_Input[RFPG_NUM])</f>
        <v>4</v>
      </c>
      <c r="C908" t="str">
        <f>_xlfn.XLOOKUP(FME_Ranking1[[#This Row],[FME ID]],FME_Input[FME_ID],FME_Input[FME_NAME])</f>
        <v>Rains County Drainage Master Plan</v>
      </c>
      <c r="D908" t="str">
        <f>_xlfn.XLOOKUP(FME_Ranking1[[#This Row],[FME ID]],FME_Input[FME_ID],FME_Input[DESCR])</f>
        <v>Perform H&amp;H modeling to identify and define flood risk, develop conceptual alternatives to reduce flood risk, develop OPCC for conceptual alternatives, and rank projects. Conceptual alternatives should evaluate feasibility of nature based solutions.</v>
      </c>
      <c r="E908" s="256">
        <f>_xlfn.XLOOKUP(FME_Ranking1[[#This Row],[FME ID]],FME_Input[FME_ID],FME_Input[FME_COST])</f>
        <v>600000</v>
      </c>
      <c r="F908" t="str">
        <f>_xlfn.XLOOKUP(FME_Ranking1[[#This Row],[FME ID]],FME_Input[FME_ID],FME_Input[EMER_NEED])</f>
        <v>Yes</v>
      </c>
      <c r="G908">
        <f>IF(FME_Ranking!F908="Yes",100,0)</f>
        <v>100</v>
      </c>
      <c r="H908">
        <f>FME_Ranking1[[#This Row],[Emergency Need Score (Normalized, Unweighted)]]*$F$3</f>
        <v>0</v>
      </c>
      <c r="I908" s="246">
        <f>_xlfn.XLOOKUP(FME_Ranking1[[#This Row],[FME ID]],FME_Input[FME_ID],FME_Input[STRUCT_100])</f>
        <v>277</v>
      </c>
      <c r="J908" s="178">
        <f>(FME_Ranking1[[#This Row],[Structures 100 Raw]]/I$2)*100</f>
        <v>0.14833140556055349</v>
      </c>
      <c r="K908" s="178">
        <f>FME_Ranking1[[#This Row],[Structures 100  Score (Normalized, Unweighted)]]*$I$3</f>
        <v>2.2249710834083024E-2</v>
      </c>
      <c r="L908" s="246">
        <f>_xlfn.XLOOKUP(FME_Ranking1[[#This Row],[FME ID]],FME_Input[FME_ID],FME_Input[RES_STRUCT100])</f>
        <v>211</v>
      </c>
      <c r="M908" s="230">
        <f>(FME_Ranking1[[#This Row],[Res Structures Raw]]/L$2)*100</f>
        <v>0.14945247977787537</v>
      </c>
      <c r="N908" s="180">
        <f>FME_Ranking1[[#This Row],[Res Structures Score (Normalized, Unweighted)]]*$L$3</f>
        <v>1.4945247977787538E-2</v>
      </c>
      <c r="O908" s="244">
        <f>_xlfn.XLOOKUP(FME_Ranking1[[#This Row],[FME ID]],FME_Input[FME_ID],FME_Input[POP100])</f>
        <v>352</v>
      </c>
      <c r="P908" s="178">
        <f>(FME_Ranking1[[#This Row],[Pop Raw]]/$O$2)*100</f>
        <v>3.6036109820044675E-2</v>
      </c>
      <c r="Q908" s="178">
        <f>FME_Ranking1[[#This Row],[Pop Score (Normalized, Unweighted)]]*$O$3</f>
        <v>5.4054164730067012E-3</v>
      </c>
      <c r="R908" s="137">
        <f>_xlfn.XLOOKUP(FME_Ranking1[[#This Row],[FME ID]],FME_Input[FME_ID],FME_Input[CRITFAC100])</f>
        <v>0</v>
      </c>
      <c r="S908" s="230">
        <f>(FME_Ranking1[[#This Row],[Critical Facilities Raw]]/$R$2)*100</f>
        <v>0</v>
      </c>
      <c r="T908" s="180">
        <f>FME_Ranking1[[#This Row],[Critical Facilities Score (Normalized, Unweighted)]]*$R$3</f>
        <v>0</v>
      </c>
      <c r="U908">
        <f>_xlfn.XLOOKUP(FME_Ranking1[[#This Row],[FME ID]],FME_Input[FME_ID],FME_Input[LWC])</f>
        <v>4</v>
      </c>
      <c r="V908" s="178">
        <f>(FME_Ranking1[[#This Row],[LWC Raw]]/$U$2)*100</f>
        <v>0.23028209556706969</v>
      </c>
      <c r="W908" s="178">
        <f>FME_Ranking1[[#This Row],[LWC Score (Normalized, Unweighted)]]*$U$3</f>
        <v>4.6056419113413939E-2</v>
      </c>
      <c r="X908" s="246">
        <f>_xlfn.XLOOKUP(FME_Ranking1[[#This Row],[FME ID]],FME_Input[FME_ID],FME_Input[ROADCLS])</f>
        <v>4</v>
      </c>
      <c r="Y908" s="230">
        <f>(FME_Ranking1[[#This Row],[Closures Raw]]/$X$2)*100</f>
        <v>4.2056566081379455E-2</v>
      </c>
      <c r="Z908" s="180">
        <f>FME_Ranking1[[#This Row],[Closures Score (Normalized, Unweighted)]]*$X$3</f>
        <v>2.1028283040689729E-3</v>
      </c>
      <c r="AA908" s="253">
        <f>_xlfn.XLOOKUP(FME_Ranking1[[#This Row],[FME ID]],FME_Input[FME_ID],FME_Input[ROAD_MILES100])</f>
        <v>35.197212219238281</v>
      </c>
      <c r="AB908" s="178">
        <f>(FME_Ranking1[[#This Row],[Miles Raw]]/$AA$2)*100</f>
        <v>0.46278021151920273</v>
      </c>
      <c r="AC908" s="178">
        <f>FME_Ranking1[[#This Row],[Miles Score (Normalized, Unweighted)]]*$AA$3</f>
        <v>4.6278021151920277E-2</v>
      </c>
      <c r="AD908" s="255">
        <f>_xlfn.XLOOKUP(FME_Ranking1[[#This Row],[FME ID]],FME_Input[FME_ID],FME_Input[FARMACRE100])</f>
        <v>13841.5205078125</v>
      </c>
      <c r="AE908" s="230">
        <f>(FME_Ranking1[[#This Row],[Ag Land Raw]]/$AD$2)*100</f>
        <v>0.57076234412456683</v>
      </c>
      <c r="AF908" s="231">
        <f>FME_Ranking1[[#This Row],[Ag Land Score (Normalized, Unweighted)]]*$AD$3</f>
        <v>2.8538117206228342E-2</v>
      </c>
      <c r="AG90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0.16557576106050881</v>
      </c>
      <c r="AH908" s="406">
        <f t="shared" si="14"/>
        <v>866</v>
      </c>
      <c r="AI90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0.16557576106050881</v>
      </c>
      <c r="AJ908" s="257">
        <f>FME_Ranking1[[#This Row],[Addition check]]-FME_Ranking1[[#This Row],[Weighted Score Based on Normalized Reported Factors]]</f>
        <v>0</v>
      </c>
      <c r="AK908" s="178">
        <f>_xlfn.RANK.EQ(AI908,$AI$6:$AI$2341,0)+COUNTIF($AI$6:AI908,AI908)-1</f>
        <v>867</v>
      </c>
    </row>
    <row r="909" spans="1:37" x14ac:dyDescent="0.25">
      <c r="A909" t="s">
        <v>7887</v>
      </c>
      <c r="B909">
        <f>_xlfn.XLOOKUP(FME_Ranking1[[#This Row],[FME ID]],FME_Input[FME_ID],FME_Input[RFPG_NUM])</f>
        <v>9</v>
      </c>
      <c r="C909" t="str">
        <f>_xlfn.XLOOKUP(FME_Ranking1[[#This Row],[FME ID]],FME_Input[FME_ID],FME_Input[FME_NAME])</f>
        <v>Scurry County USACE Flood Study</v>
      </c>
      <c r="D909" t="str">
        <f>_xlfn.XLOOKUP(FME_Ranking1[[#This Row],[FME ID]],FME_Input[FME_ID],FME_Input[DESCR])</f>
        <v>Comprehensive study of flood risk and reduction alternatives, with the assistance of the USACE.</v>
      </c>
      <c r="E909" s="256">
        <f>_xlfn.XLOOKUP(FME_Ranking1[[#This Row],[FME ID]],FME_Input[FME_ID],FME_Input[FME_COST])</f>
        <v>2000000</v>
      </c>
      <c r="F909" t="str">
        <f>_xlfn.XLOOKUP(FME_Ranking1[[#This Row],[FME ID]],FME_Input[FME_ID],FME_Input[EMER_NEED])</f>
        <v>No</v>
      </c>
      <c r="G909">
        <f>IF(FME_Ranking!F909="Yes",100,0)</f>
        <v>0</v>
      </c>
      <c r="H909">
        <f>FME_Ranking1[[#This Row],[Emergency Need Score (Normalized, Unweighted)]]*$F$3</f>
        <v>0</v>
      </c>
      <c r="I909" s="246">
        <f>_xlfn.XLOOKUP(FME_Ranking1[[#This Row],[FME ID]],FME_Input[FME_ID],FME_Input[STRUCT_100])</f>
        <v>445</v>
      </c>
      <c r="J909" s="178">
        <f>(FME_Ranking1[[#This Row],[Structures 100 Raw]]/I$2)*100</f>
        <v>0.23829413528680976</v>
      </c>
      <c r="K909" s="178">
        <f>FME_Ranking1[[#This Row],[Structures 100  Score (Normalized, Unweighted)]]*$I$3</f>
        <v>3.5744120293021465E-2</v>
      </c>
      <c r="L909" s="246">
        <f>_xlfn.XLOOKUP(FME_Ranking1[[#This Row],[FME ID]],FME_Input[FME_ID],FME_Input[RES_STRUCT100])</f>
        <v>266</v>
      </c>
      <c r="M909" s="230">
        <f>(FME_Ranking1[[#This Row],[Res Structures Raw]]/L$2)*100</f>
        <v>0.18840928730291395</v>
      </c>
      <c r="N909" s="180">
        <f>FME_Ranking1[[#This Row],[Res Structures Score (Normalized, Unweighted)]]*$L$3</f>
        <v>1.8840928730291397E-2</v>
      </c>
      <c r="O909" s="244">
        <f>_xlfn.XLOOKUP(FME_Ranking1[[#This Row],[FME ID]],FME_Input[FME_ID],FME_Input[POP100])</f>
        <v>1365</v>
      </c>
      <c r="P909" s="178">
        <f>(FME_Ranking1[[#This Row],[Pop Raw]]/$O$2)*100</f>
        <v>0.13974230086466188</v>
      </c>
      <c r="Q909" s="178">
        <f>FME_Ranking1[[#This Row],[Pop Score (Normalized, Unweighted)]]*$O$3</f>
        <v>2.0961345129699282E-2</v>
      </c>
      <c r="R909" s="137">
        <f>_xlfn.XLOOKUP(FME_Ranking1[[#This Row],[FME ID]],FME_Input[FME_ID],FME_Input[CRITFAC100])</f>
        <v>1</v>
      </c>
      <c r="S909" s="230">
        <f>(FME_Ranking1[[#This Row],[Critical Facilities Raw]]/$R$2)*100</f>
        <v>4.2881646655231559E-2</v>
      </c>
      <c r="T909" s="180">
        <f>FME_Ranking1[[#This Row],[Critical Facilities Score (Normalized, Unweighted)]]*$R$3</f>
        <v>8.5763293310463125E-3</v>
      </c>
      <c r="U909">
        <f>_xlfn.XLOOKUP(FME_Ranking1[[#This Row],[FME ID]],FME_Input[FME_ID],FME_Input[LWC])</f>
        <v>3</v>
      </c>
      <c r="V909" s="178">
        <f>(FME_Ranking1[[#This Row],[LWC Raw]]/$U$2)*100</f>
        <v>0.17271157167530224</v>
      </c>
      <c r="W909" s="178">
        <f>FME_Ranking1[[#This Row],[LWC Score (Normalized, Unweighted)]]*$U$3</f>
        <v>3.4542314335060449E-2</v>
      </c>
      <c r="X909" s="246">
        <f>_xlfn.XLOOKUP(FME_Ranking1[[#This Row],[FME ID]],FME_Input[FME_ID],FME_Input[ROADCLS])</f>
        <v>0</v>
      </c>
      <c r="Y909" s="230">
        <f>(FME_Ranking1[[#This Row],[Closures Raw]]/$X$2)*100</f>
        <v>0</v>
      </c>
      <c r="Z909" s="180">
        <f>FME_Ranking1[[#This Row],[Closures Score (Normalized, Unweighted)]]*$X$3</f>
        <v>0</v>
      </c>
      <c r="AA909" s="253">
        <f>_xlfn.XLOOKUP(FME_Ranking1[[#This Row],[FME ID]],FME_Input[FME_ID],FME_Input[ROAD_MILES100])</f>
        <v>20.6167106628418</v>
      </c>
      <c r="AB909" s="178">
        <f>(FME_Ranking1[[#This Row],[Miles Raw]]/$AA$2)*100</f>
        <v>0.27107276740983355</v>
      </c>
      <c r="AC909" s="178">
        <f>FME_Ranking1[[#This Row],[Miles Score (Normalized, Unweighted)]]*$AA$3</f>
        <v>2.7107276740983358E-2</v>
      </c>
      <c r="AD909" s="255">
        <f>_xlfn.XLOOKUP(FME_Ranking1[[#This Row],[FME ID]],FME_Input[FME_ID],FME_Input[FARMACRE100])</f>
        <v>70.465789794921875</v>
      </c>
      <c r="AE909" s="230">
        <f>(FME_Ranking1[[#This Row],[Ag Land Raw]]/$AD$2)*100</f>
        <v>2.9056937307745815E-3</v>
      </c>
      <c r="AF909" s="231">
        <f>FME_Ranking1[[#This Row],[Ag Land Score (Normalized, Unweighted)]]*$AD$3</f>
        <v>1.4528468653872908E-4</v>
      </c>
      <c r="AG90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0.14591759924664099</v>
      </c>
      <c r="AH909" s="406">
        <f t="shared" si="14"/>
        <v>911</v>
      </c>
      <c r="AI90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0.14591759924664099</v>
      </c>
      <c r="AJ909" s="257">
        <f>FME_Ranking1[[#This Row],[Addition check]]-FME_Ranking1[[#This Row],[Weighted Score Based on Normalized Reported Factors]]</f>
        <v>0</v>
      </c>
      <c r="AK909" s="178">
        <f>_xlfn.RANK.EQ(AI909,$AI$6:$AI$2341,0)+COUNTIF($AI$6:AI909,AI909)-1</f>
        <v>911</v>
      </c>
    </row>
    <row r="910" spans="1:37" x14ac:dyDescent="0.25">
      <c r="A910" t="s">
        <v>8053</v>
      </c>
      <c r="B910">
        <f>_xlfn.XLOOKUP(FME_Ranking1[[#This Row],[FME ID]],FME_Input[FME_ID],FME_Input[RFPG_NUM])</f>
        <v>9</v>
      </c>
      <c r="C910" t="str">
        <f>_xlfn.XLOOKUP(FME_Ranking1[[#This Row],[FME ID]],FME_Input[FME_ID],FME_Input[FME_NAME])</f>
        <v>City of Snyder DMP</v>
      </c>
      <c r="D910" t="str">
        <f>_xlfn.XLOOKUP(FME_Ranking1[[#This Row],[FME ID]],FME_Input[FME_ID],FME_Input[DESCR])</f>
        <v xml:space="preserve">Create Drainage Master Plan, including evaluation of potential mitigation projects. </v>
      </c>
      <c r="E910" s="256">
        <f>_xlfn.XLOOKUP(FME_Ranking1[[#This Row],[FME ID]],FME_Input[FME_ID],FME_Input[FME_COST])</f>
        <v>250000</v>
      </c>
      <c r="F910" t="str">
        <f>_xlfn.XLOOKUP(FME_Ranking1[[#This Row],[FME ID]],FME_Input[FME_ID],FME_Input[EMER_NEED])</f>
        <v>No</v>
      </c>
      <c r="G910">
        <f>IF(FME_Ranking!F910="Yes",100,0)</f>
        <v>0</v>
      </c>
      <c r="H910">
        <f>FME_Ranking1[[#This Row],[Emergency Need Score (Normalized, Unweighted)]]*$F$3</f>
        <v>0</v>
      </c>
      <c r="I910" s="246">
        <f>_xlfn.XLOOKUP(FME_Ranking1[[#This Row],[FME ID]],FME_Input[FME_ID],FME_Input[STRUCT_100])</f>
        <v>445</v>
      </c>
      <c r="J910" s="178">
        <f>(FME_Ranking1[[#This Row],[Structures 100 Raw]]/I$2)*100</f>
        <v>0.23829413528680976</v>
      </c>
      <c r="K910" s="178">
        <f>FME_Ranking1[[#This Row],[Structures 100  Score (Normalized, Unweighted)]]*$I$3</f>
        <v>3.5744120293021465E-2</v>
      </c>
      <c r="L910" s="246">
        <f>_xlfn.XLOOKUP(FME_Ranking1[[#This Row],[FME ID]],FME_Input[FME_ID],FME_Input[RES_STRUCT100])</f>
        <v>266</v>
      </c>
      <c r="M910" s="230">
        <f>(FME_Ranking1[[#This Row],[Res Structures Raw]]/L$2)*100</f>
        <v>0.18840928730291395</v>
      </c>
      <c r="N910" s="180">
        <f>FME_Ranking1[[#This Row],[Res Structures Score (Normalized, Unweighted)]]*$L$3</f>
        <v>1.8840928730291397E-2</v>
      </c>
      <c r="O910" s="244">
        <f>_xlfn.XLOOKUP(FME_Ranking1[[#This Row],[FME ID]],FME_Input[FME_ID],FME_Input[POP100])</f>
        <v>1365</v>
      </c>
      <c r="P910" s="178">
        <f>(FME_Ranking1[[#This Row],[Pop Raw]]/$O$2)*100</f>
        <v>0.13974230086466188</v>
      </c>
      <c r="Q910" s="178">
        <f>FME_Ranking1[[#This Row],[Pop Score (Normalized, Unweighted)]]*$O$3</f>
        <v>2.0961345129699282E-2</v>
      </c>
      <c r="R910" s="137">
        <f>_xlfn.XLOOKUP(FME_Ranking1[[#This Row],[FME ID]],FME_Input[FME_ID],FME_Input[CRITFAC100])</f>
        <v>1</v>
      </c>
      <c r="S910" s="230">
        <f>(FME_Ranking1[[#This Row],[Critical Facilities Raw]]/$R$2)*100</f>
        <v>4.2881646655231559E-2</v>
      </c>
      <c r="T910" s="180">
        <f>FME_Ranking1[[#This Row],[Critical Facilities Score (Normalized, Unweighted)]]*$R$3</f>
        <v>8.5763293310463125E-3</v>
      </c>
      <c r="U910">
        <f>_xlfn.XLOOKUP(FME_Ranking1[[#This Row],[FME ID]],FME_Input[FME_ID],FME_Input[LWC])</f>
        <v>3</v>
      </c>
      <c r="V910" s="178">
        <f>(FME_Ranking1[[#This Row],[LWC Raw]]/$U$2)*100</f>
        <v>0.17271157167530224</v>
      </c>
      <c r="W910" s="178">
        <f>FME_Ranking1[[#This Row],[LWC Score (Normalized, Unweighted)]]*$U$3</f>
        <v>3.4542314335060449E-2</v>
      </c>
      <c r="X910" s="246">
        <f>_xlfn.XLOOKUP(FME_Ranking1[[#This Row],[FME ID]],FME_Input[FME_ID],FME_Input[ROADCLS])</f>
        <v>0</v>
      </c>
      <c r="Y910" s="230">
        <f>(FME_Ranking1[[#This Row],[Closures Raw]]/$X$2)*100</f>
        <v>0</v>
      </c>
      <c r="Z910" s="180">
        <f>FME_Ranking1[[#This Row],[Closures Score (Normalized, Unweighted)]]*$X$3</f>
        <v>0</v>
      </c>
      <c r="AA910" s="253">
        <f>_xlfn.XLOOKUP(FME_Ranking1[[#This Row],[FME ID]],FME_Input[FME_ID],FME_Input[ROAD_MILES100])</f>
        <v>20.6167106628418</v>
      </c>
      <c r="AB910" s="178">
        <f>(FME_Ranking1[[#This Row],[Miles Raw]]/$AA$2)*100</f>
        <v>0.27107276740983355</v>
      </c>
      <c r="AC910" s="178">
        <f>FME_Ranking1[[#This Row],[Miles Score (Normalized, Unweighted)]]*$AA$3</f>
        <v>2.7107276740983358E-2</v>
      </c>
      <c r="AD910" s="255">
        <f>_xlfn.XLOOKUP(FME_Ranking1[[#This Row],[FME ID]],FME_Input[FME_ID],FME_Input[FARMACRE100])</f>
        <v>70.465789794921875</v>
      </c>
      <c r="AE910" s="230">
        <f>(FME_Ranking1[[#This Row],[Ag Land Raw]]/$AD$2)*100</f>
        <v>2.9056937307745815E-3</v>
      </c>
      <c r="AF910" s="231">
        <f>FME_Ranking1[[#This Row],[Ag Land Score (Normalized, Unweighted)]]*$AD$3</f>
        <v>1.4528468653872908E-4</v>
      </c>
      <c r="AG91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0.14591759924664099</v>
      </c>
      <c r="AH910" s="406">
        <f t="shared" si="14"/>
        <v>911</v>
      </c>
      <c r="AI91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0.14591759924664099</v>
      </c>
      <c r="AJ910" s="257">
        <f>FME_Ranking1[[#This Row],[Addition check]]-FME_Ranking1[[#This Row],[Weighted Score Based on Normalized Reported Factors]]</f>
        <v>0</v>
      </c>
      <c r="AK910" s="178">
        <f>_xlfn.RANK.EQ(AI910,$AI$6:$AI$2341,0)+COUNTIF($AI$6:AI910,AI910)-1</f>
        <v>912</v>
      </c>
    </row>
    <row r="911" spans="1:37" x14ac:dyDescent="0.25">
      <c r="A911" t="s">
        <v>6743</v>
      </c>
      <c r="B911">
        <f>_xlfn.XLOOKUP(FME_Ranking1[[#This Row],[FME ID]],FME_Input[FME_ID],FME_Input[RFPG_NUM])</f>
        <v>7</v>
      </c>
      <c r="C911" t="str">
        <f>_xlfn.XLOOKUP(FME_Ranking1[[#This Row],[FME ID]],FME_Input[FME_ID],FME_Input[FME_NAME])</f>
        <v>Floyd County Update FEMA Mapping</v>
      </c>
      <c r="D911" t="str">
        <f>_xlfn.XLOOKUP(FME_Ranking1[[#This Row],[FME ID]],FME_Input[FME_ID],FME_Input[DESCR])</f>
        <v>Update existing FEMA mapping</v>
      </c>
      <c r="E911" s="256">
        <f>_xlfn.XLOOKUP(FME_Ranking1[[#This Row],[FME ID]],FME_Input[FME_ID],FME_Input[FME_COST])</f>
        <v>1116000</v>
      </c>
      <c r="F911" t="str">
        <f>_xlfn.XLOOKUP(FME_Ranking1[[#This Row],[FME ID]],FME_Input[FME_ID],FME_Input[EMER_NEED])</f>
        <v>No</v>
      </c>
      <c r="G911">
        <f>IF(FME_Ranking!F911="Yes",100,0)</f>
        <v>0</v>
      </c>
      <c r="H911">
        <f>FME_Ranking1[[#This Row],[Emergency Need Score (Normalized, Unweighted)]]*$F$3</f>
        <v>0</v>
      </c>
      <c r="I911" s="246">
        <f>_xlfn.XLOOKUP(FME_Ranking1[[#This Row],[FME ID]],FME_Input[FME_ID],FME_Input[STRUCT_100])</f>
        <v>116</v>
      </c>
      <c r="J911" s="178">
        <f>(FME_Ranking1[[#This Row],[Structures 100 Raw]]/I$2)*100</f>
        <v>6.2117122906224564E-2</v>
      </c>
      <c r="K911" s="178">
        <f>FME_Ranking1[[#This Row],[Structures 100  Score (Normalized, Unweighted)]]*$I$3</f>
        <v>9.317568435933685E-3</v>
      </c>
      <c r="L911" s="246">
        <f>_xlfn.XLOOKUP(FME_Ranking1[[#This Row],[FME ID]],FME_Input[FME_ID],FME_Input[RES_STRUCT100])</f>
        <v>14</v>
      </c>
      <c r="M911" s="230">
        <f>(FME_Ranking1[[#This Row],[Res Structures Raw]]/L$2)*100</f>
        <v>9.9162782791007362E-3</v>
      </c>
      <c r="N911" s="180">
        <f>FME_Ranking1[[#This Row],[Res Structures Score (Normalized, Unweighted)]]*$L$3</f>
        <v>9.9162782791007375E-4</v>
      </c>
      <c r="O911" s="244">
        <f>_xlfn.XLOOKUP(FME_Ranking1[[#This Row],[FME ID]],FME_Input[FME_ID],FME_Input[POP100])</f>
        <v>99</v>
      </c>
      <c r="P911" s="178">
        <f>(FME_Ranking1[[#This Row],[Pop Raw]]/$O$2)*100</f>
        <v>1.0135155886887565E-2</v>
      </c>
      <c r="Q911" s="178">
        <f>FME_Ranking1[[#This Row],[Pop Score (Normalized, Unweighted)]]*$O$3</f>
        <v>1.5202733830331347E-3</v>
      </c>
      <c r="R911" s="137">
        <f>_xlfn.XLOOKUP(FME_Ranking1[[#This Row],[FME ID]],FME_Input[FME_ID],FME_Input[CRITFAC100])</f>
        <v>0</v>
      </c>
      <c r="S911" s="230">
        <f>(FME_Ranking1[[#This Row],[Critical Facilities Raw]]/$R$2)*100</f>
        <v>0</v>
      </c>
      <c r="T911" s="180">
        <f>FME_Ranking1[[#This Row],[Critical Facilities Score (Normalized, Unweighted)]]*$R$3</f>
        <v>0</v>
      </c>
      <c r="U911">
        <f>_xlfn.XLOOKUP(FME_Ranking1[[#This Row],[FME ID]],FME_Input[FME_ID],FME_Input[LWC])</f>
        <v>4</v>
      </c>
      <c r="V911" s="178">
        <f>(FME_Ranking1[[#This Row],[LWC Raw]]/$U$2)*100</f>
        <v>0.23028209556706969</v>
      </c>
      <c r="W911" s="178">
        <f>FME_Ranking1[[#This Row],[LWC Score (Normalized, Unweighted)]]*$U$3</f>
        <v>4.6056419113413939E-2</v>
      </c>
      <c r="X911" s="246">
        <f>_xlfn.XLOOKUP(FME_Ranking1[[#This Row],[FME ID]],FME_Input[FME_ID],FME_Input[ROADCLS])</f>
        <v>0</v>
      </c>
      <c r="Y911" s="230">
        <f>(FME_Ranking1[[#This Row],[Closures Raw]]/$X$2)*100</f>
        <v>0</v>
      </c>
      <c r="Z911" s="180">
        <f>FME_Ranking1[[#This Row],[Closures Score (Normalized, Unweighted)]]*$X$3</f>
        <v>0</v>
      </c>
      <c r="AA911" s="253">
        <f>_xlfn.XLOOKUP(FME_Ranking1[[#This Row],[FME ID]],FME_Input[FME_ID],FME_Input[ROAD_MILES100])</f>
        <v>254.519775390625</v>
      </c>
      <c r="AB911" s="178">
        <f>(FME_Ranking1[[#This Row],[Miles Raw]]/$AA$2)*100</f>
        <v>3.3464785437385549</v>
      </c>
      <c r="AC911" s="178">
        <f>FME_Ranking1[[#This Row],[Miles Score (Normalized, Unweighted)]]*$AA$3</f>
        <v>0.33464785437385552</v>
      </c>
      <c r="AD911" s="255">
        <f>_xlfn.XLOOKUP(FME_Ranking1[[#This Row],[FME ID]],FME_Input[FME_ID],FME_Input[FARMACRE100])</f>
        <v>28586.623046875</v>
      </c>
      <c r="AE911" s="230">
        <f>(FME_Ranking1[[#This Row],[Ag Land Raw]]/$AD$2)*100</f>
        <v>1.1787843663295869</v>
      </c>
      <c r="AF911" s="231">
        <f>FME_Ranking1[[#This Row],[Ag Land Score (Normalized, Unweighted)]]*$AD$3</f>
        <v>5.8939218316479351E-2</v>
      </c>
      <c r="AG91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0.45147296145062571</v>
      </c>
      <c r="AH911" s="406">
        <f t="shared" si="14"/>
        <v>476</v>
      </c>
      <c r="AI91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0.45147296145062571</v>
      </c>
      <c r="AJ911" s="257">
        <f>FME_Ranking1[[#This Row],[Addition check]]-FME_Ranking1[[#This Row],[Weighted Score Based on Normalized Reported Factors]]</f>
        <v>0</v>
      </c>
      <c r="AK911" s="178">
        <f>_xlfn.RANK.EQ(AI911,$AI$6:$AI$2341,0)+COUNTIF($AI$6:AI911,AI911)-1</f>
        <v>476</v>
      </c>
    </row>
    <row r="912" spans="1:37" x14ac:dyDescent="0.25">
      <c r="A912" t="s">
        <v>6749</v>
      </c>
      <c r="B912">
        <f>_xlfn.XLOOKUP(FME_Ranking1[[#This Row],[FME ID]],FME_Input[FME_ID],FME_Input[RFPG_NUM])</f>
        <v>7</v>
      </c>
      <c r="C912" t="str">
        <f>_xlfn.XLOOKUP(FME_Ranking1[[#This Row],[FME ID]],FME_Input[FME_ID],FME_Input[FME_NAME])</f>
        <v>Floyd County GIS Development</v>
      </c>
      <c r="D912" t="str">
        <f>_xlfn.XLOOKUP(FME_Ranking1[[#This Row],[FME ID]],FME_Input[FME_ID],FME_Input[DESCR])</f>
        <v>Develop a GIS inventory of stormwater infrastructure</v>
      </c>
      <c r="E912" s="256">
        <f>_xlfn.XLOOKUP(FME_Ranking1[[#This Row],[FME ID]],FME_Input[FME_ID],FME_Input[FME_COST])</f>
        <v>100000</v>
      </c>
      <c r="F912" t="str">
        <f>_xlfn.XLOOKUP(FME_Ranking1[[#This Row],[FME ID]],FME_Input[FME_ID],FME_Input[EMER_NEED])</f>
        <v>No</v>
      </c>
      <c r="G912">
        <f>IF(FME_Ranking!F912="Yes",100,0)</f>
        <v>0</v>
      </c>
      <c r="H912">
        <f>FME_Ranking1[[#This Row],[Emergency Need Score (Normalized, Unweighted)]]*$F$3</f>
        <v>0</v>
      </c>
      <c r="I912" s="246">
        <f>_xlfn.XLOOKUP(FME_Ranking1[[#This Row],[FME ID]],FME_Input[FME_ID],FME_Input[STRUCT_100])</f>
        <v>116</v>
      </c>
      <c r="J912" s="178">
        <f>(FME_Ranking1[[#This Row],[Structures 100 Raw]]/I$2)*100</f>
        <v>6.2117122906224564E-2</v>
      </c>
      <c r="K912" s="178">
        <f>FME_Ranking1[[#This Row],[Structures 100  Score (Normalized, Unweighted)]]*$I$3</f>
        <v>9.317568435933685E-3</v>
      </c>
      <c r="L912" s="246">
        <f>_xlfn.XLOOKUP(FME_Ranking1[[#This Row],[FME ID]],FME_Input[FME_ID],FME_Input[RES_STRUCT100])</f>
        <v>14</v>
      </c>
      <c r="M912" s="230">
        <f>(FME_Ranking1[[#This Row],[Res Structures Raw]]/L$2)*100</f>
        <v>9.9162782791007362E-3</v>
      </c>
      <c r="N912" s="180">
        <f>FME_Ranking1[[#This Row],[Res Structures Score (Normalized, Unweighted)]]*$L$3</f>
        <v>9.9162782791007375E-4</v>
      </c>
      <c r="O912" s="244">
        <f>_xlfn.XLOOKUP(FME_Ranking1[[#This Row],[FME ID]],FME_Input[FME_ID],FME_Input[POP100])</f>
        <v>99</v>
      </c>
      <c r="P912" s="178">
        <f>(FME_Ranking1[[#This Row],[Pop Raw]]/$O$2)*100</f>
        <v>1.0135155886887565E-2</v>
      </c>
      <c r="Q912" s="178">
        <f>FME_Ranking1[[#This Row],[Pop Score (Normalized, Unweighted)]]*$O$3</f>
        <v>1.5202733830331347E-3</v>
      </c>
      <c r="R912" s="137">
        <f>_xlfn.XLOOKUP(FME_Ranking1[[#This Row],[FME ID]],FME_Input[FME_ID],FME_Input[CRITFAC100])</f>
        <v>0</v>
      </c>
      <c r="S912" s="230">
        <f>(FME_Ranking1[[#This Row],[Critical Facilities Raw]]/$R$2)*100</f>
        <v>0</v>
      </c>
      <c r="T912" s="180">
        <f>FME_Ranking1[[#This Row],[Critical Facilities Score (Normalized, Unweighted)]]*$R$3</f>
        <v>0</v>
      </c>
      <c r="U912">
        <f>_xlfn.XLOOKUP(FME_Ranking1[[#This Row],[FME ID]],FME_Input[FME_ID],FME_Input[LWC])</f>
        <v>4</v>
      </c>
      <c r="V912" s="178">
        <f>(FME_Ranking1[[#This Row],[LWC Raw]]/$U$2)*100</f>
        <v>0.23028209556706969</v>
      </c>
      <c r="W912" s="178">
        <f>FME_Ranking1[[#This Row],[LWC Score (Normalized, Unweighted)]]*$U$3</f>
        <v>4.6056419113413939E-2</v>
      </c>
      <c r="X912" s="246">
        <f>_xlfn.XLOOKUP(FME_Ranking1[[#This Row],[FME ID]],FME_Input[FME_ID],FME_Input[ROADCLS])</f>
        <v>0</v>
      </c>
      <c r="Y912" s="230">
        <f>(FME_Ranking1[[#This Row],[Closures Raw]]/$X$2)*100</f>
        <v>0</v>
      </c>
      <c r="Z912" s="180">
        <f>FME_Ranking1[[#This Row],[Closures Score (Normalized, Unweighted)]]*$X$3</f>
        <v>0</v>
      </c>
      <c r="AA912" s="253">
        <f>_xlfn.XLOOKUP(FME_Ranking1[[#This Row],[FME ID]],FME_Input[FME_ID],FME_Input[ROAD_MILES100])</f>
        <v>254.519775390625</v>
      </c>
      <c r="AB912" s="178">
        <f>(FME_Ranking1[[#This Row],[Miles Raw]]/$AA$2)*100</f>
        <v>3.3464785437385549</v>
      </c>
      <c r="AC912" s="178">
        <f>FME_Ranking1[[#This Row],[Miles Score (Normalized, Unweighted)]]*$AA$3</f>
        <v>0.33464785437385552</v>
      </c>
      <c r="AD912" s="255">
        <f>_xlfn.XLOOKUP(FME_Ranking1[[#This Row],[FME ID]],FME_Input[FME_ID],FME_Input[FARMACRE100])</f>
        <v>28586.623046875</v>
      </c>
      <c r="AE912" s="230">
        <f>(FME_Ranking1[[#This Row],[Ag Land Raw]]/$AD$2)*100</f>
        <v>1.1787843663295869</v>
      </c>
      <c r="AF912" s="231">
        <f>FME_Ranking1[[#This Row],[Ag Land Score (Normalized, Unweighted)]]*$AD$3</f>
        <v>5.8939218316479351E-2</v>
      </c>
      <c r="AG91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0.45147296145062571</v>
      </c>
      <c r="AH912" s="406">
        <f t="shared" si="14"/>
        <v>476</v>
      </c>
      <c r="AI91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0.45147296145062571</v>
      </c>
      <c r="AJ912" s="257">
        <f>FME_Ranking1[[#This Row],[Addition check]]-FME_Ranking1[[#This Row],[Weighted Score Based on Normalized Reported Factors]]</f>
        <v>0</v>
      </c>
      <c r="AK912" s="178">
        <f>_xlfn.RANK.EQ(AI912,$AI$6:$AI$2341,0)+COUNTIF($AI$6:AI912,AI912)-1</f>
        <v>477</v>
      </c>
    </row>
    <row r="913" spans="1:37" x14ac:dyDescent="0.25">
      <c r="A913" t="s">
        <v>7175</v>
      </c>
      <c r="B913">
        <f>_xlfn.XLOOKUP(FME_Ranking1[[#This Row],[FME ID]],FME_Input[FME_ID],FME_Input[RFPG_NUM])</f>
        <v>7</v>
      </c>
      <c r="C913" t="str">
        <f>_xlfn.XLOOKUP(FME_Ranking1[[#This Row],[FME ID]],FME_Input[FME_ID],FME_Input[FME_NAME])</f>
        <v>Floyd County DCM</v>
      </c>
      <c r="D913" t="str">
        <f>_xlfn.XLOOKUP(FME_Ranking1[[#This Row],[FME ID]],FME_Input[FME_ID],FME_Input[DESCR])</f>
        <v>Consider stormwater criteria for infrastructure and floodplain ordinances to avoid new exposure to flood hazards.</v>
      </c>
      <c r="E913" s="256">
        <f>_xlfn.XLOOKUP(FME_Ranking1[[#This Row],[FME ID]],FME_Input[FME_ID],FME_Input[FME_COST])</f>
        <v>100000</v>
      </c>
      <c r="F913" t="str">
        <f>_xlfn.XLOOKUP(FME_Ranking1[[#This Row],[FME ID]],FME_Input[FME_ID],FME_Input[EMER_NEED])</f>
        <v>No</v>
      </c>
      <c r="G913">
        <f>IF(FME_Ranking!F913="Yes",100,0)</f>
        <v>0</v>
      </c>
      <c r="H913">
        <f>FME_Ranking1[[#This Row],[Emergency Need Score (Normalized, Unweighted)]]*$F$3</f>
        <v>0</v>
      </c>
      <c r="I913" s="246">
        <f>_xlfn.XLOOKUP(FME_Ranking1[[#This Row],[FME ID]],FME_Input[FME_ID],FME_Input[STRUCT_100])</f>
        <v>116</v>
      </c>
      <c r="J913" s="178">
        <f>(FME_Ranking1[[#This Row],[Structures 100 Raw]]/I$2)*100</f>
        <v>6.2117122906224564E-2</v>
      </c>
      <c r="K913" s="178">
        <f>FME_Ranking1[[#This Row],[Structures 100  Score (Normalized, Unweighted)]]*$I$3</f>
        <v>9.317568435933685E-3</v>
      </c>
      <c r="L913" s="246">
        <f>_xlfn.XLOOKUP(FME_Ranking1[[#This Row],[FME ID]],FME_Input[FME_ID],FME_Input[RES_STRUCT100])</f>
        <v>14</v>
      </c>
      <c r="M913" s="230">
        <f>(FME_Ranking1[[#This Row],[Res Structures Raw]]/L$2)*100</f>
        <v>9.9162782791007362E-3</v>
      </c>
      <c r="N913" s="180">
        <f>FME_Ranking1[[#This Row],[Res Structures Score (Normalized, Unweighted)]]*$L$3</f>
        <v>9.9162782791007375E-4</v>
      </c>
      <c r="O913" s="244">
        <f>_xlfn.XLOOKUP(FME_Ranking1[[#This Row],[FME ID]],FME_Input[FME_ID],FME_Input[POP100])</f>
        <v>99</v>
      </c>
      <c r="P913" s="178">
        <f>(FME_Ranking1[[#This Row],[Pop Raw]]/$O$2)*100</f>
        <v>1.0135155886887565E-2</v>
      </c>
      <c r="Q913" s="178">
        <f>FME_Ranking1[[#This Row],[Pop Score (Normalized, Unweighted)]]*$O$3</f>
        <v>1.5202733830331347E-3</v>
      </c>
      <c r="R913" s="137">
        <f>_xlfn.XLOOKUP(FME_Ranking1[[#This Row],[FME ID]],FME_Input[FME_ID],FME_Input[CRITFAC100])</f>
        <v>0</v>
      </c>
      <c r="S913" s="230">
        <f>(FME_Ranking1[[#This Row],[Critical Facilities Raw]]/$R$2)*100</f>
        <v>0</v>
      </c>
      <c r="T913" s="180">
        <f>FME_Ranking1[[#This Row],[Critical Facilities Score (Normalized, Unweighted)]]*$R$3</f>
        <v>0</v>
      </c>
      <c r="U913">
        <f>_xlfn.XLOOKUP(FME_Ranking1[[#This Row],[FME ID]],FME_Input[FME_ID],FME_Input[LWC])</f>
        <v>4</v>
      </c>
      <c r="V913" s="178">
        <f>(FME_Ranking1[[#This Row],[LWC Raw]]/$U$2)*100</f>
        <v>0.23028209556706969</v>
      </c>
      <c r="W913" s="178">
        <f>FME_Ranking1[[#This Row],[LWC Score (Normalized, Unweighted)]]*$U$3</f>
        <v>4.6056419113413939E-2</v>
      </c>
      <c r="X913" s="246">
        <f>_xlfn.XLOOKUP(FME_Ranking1[[#This Row],[FME ID]],FME_Input[FME_ID],FME_Input[ROADCLS])</f>
        <v>0</v>
      </c>
      <c r="Y913" s="230">
        <f>(FME_Ranking1[[#This Row],[Closures Raw]]/$X$2)*100</f>
        <v>0</v>
      </c>
      <c r="Z913" s="180">
        <f>FME_Ranking1[[#This Row],[Closures Score (Normalized, Unweighted)]]*$X$3</f>
        <v>0</v>
      </c>
      <c r="AA913" s="253">
        <f>_xlfn.XLOOKUP(FME_Ranking1[[#This Row],[FME ID]],FME_Input[FME_ID],FME_Input[ROAD_MILES100])</f>
        <v>254.519775390625</v>
      </c>
      <c r="AB913" s="178">
        <f>(FME_Ranking1[[#This Row],[Miles Raw]]/$AA$2)*100</f>
        <v>3.3464785437385549</v>
      </c>
      <c r="AC913" s="178">
        <f>FME_Ranking1[[#This Row],[Miles Score (Normalized, Unweighted)]]*$AA$3</f>
        <v>0.33464785437385552</v>
      </c>
      <c r="AD913" s="255">
        <f>_xlfn.XLOOKUP(FME_Ranking1[[#This Row],[FME ID]],FME_Input[FME_ID],FME_Input[FARMACRE100])</f>
        <v>28586.623046875</v>
      </c>
      <c r="AE913" s="230">
        <f>(FME_Ranking1[[#This Row],[Ag Land Raw]]/$AD$2)*100</f>
        <v>1.1787843663295869</v>
      </c>
      <c r="AF913" s="231">
        <f>FME_Ranking1[[#This Row],[Ag Land Score (Normalized, Unweighted)]]*$AD$3</f>
        <v>5.8939218316479351E-2</v>
      </c>
      <c r="AG91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0.45147296145062571</v>
      </c>
      <c r="AH913" s="406">
        <f t="shared" si="14"/>
        <v>476</v>
      </c>
      <c r="AI91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0.45147296145062571</v>
      </c>
      <c r="AJ913" s="257">
        <f>FME_Ranking1[[#This Row],[Addition check]]-FME_Ranking1[[#This Row],[Weighted Score Based on Normalized Reported Factors]]</f>
        <v>0</v>
      </c>
      <c r="AK913" s="178">
        <f>_xlfn.RANK.EQ(AI913,$AI$6:$AI$2341,0)+COUNTIF($AI$6:AI913,AI913)-1</f>
        <v>478</v>
      </c>
    </row>
    <row r="914" spans="1:37" x14ac:dyDescent="0.25">
      <c r="A914" t="s">
        <v>8572</v>
      </c>
      <c r="B914">
        <f>_xlfn.XLOOKUP(FME_Ranking1[[#This Row],[FME ID]],FME_Input[FME_ID],FME_Input[RFPG_NUM])</f>
        <v>11</v>
      </c>
      <c r="C914" t="str">
        <f>_xlfn.XLOOKUP(FME_Ranking1[[#This Row],[FME ID]],FME_Input[FME_ID],FME_Input[FME_NAME])</f>
        <v>Comal County Master WID River Road Low Water Crossing Improvement Project Planning</v>
      </c>
      <c r="D914" t="str">
        <f>_xlfn.XLOOKUP(FME_Ranking1[[#This Row],[FME ID]],FME_Input[FME_ID],FME_Input[DESCR])</f>
        <v xml:space="preserve">Project planning for proposed project to implement low water crossing improvements at River Road. </v>
      </c>
      <c r="E914" s="256">
        <f>_xlfn.XLOOKUP(FME_Ranking1[[#This Row],[FME ID]],FME_Input[FME_ID],FME_Input[FME_COST])</f>
        <v>700000</v>
      </c>
      <c r="F914" t="str">
        <f>_xlfn.XLOOKUP(FME_Ranking1[[#This Row],[FME ID]],FME_Input[FME_ID],FME_Input[EMER_NEED])</f>
        <v>No</v>
      </c>
      <c r="G914">
        <f>IF(FME_Ranking!F914="Yes",100,0)</f>
        <v>0</v>
      </c>
      <c r="H914">
        <f>FME_Ranking1[[#This Row],[Emergency Need Score (Normalized, Unweighted)]]*$F$3</f>
        <v>0</v>
      </c>
      <c r="I914" s="246">
        <f>_xlfn.XLOOKUP(FME_Ranking1[[#This Row],[FME ID]],FME_Input[FME_ID],FME_Input[STRUCT_100])</f>
        <v>139</v>
      </c>
      <c r="J914" s="178">
        <f>(FME_Ranking1[[#This Row],[Structures 100 Raw]]/I$2)*100</f>
        <v>7.4433448999700128E-2</v>
      </c>
      <c r="K914" s="178">
        <f>FME_Ranking1[[#This Row],[Structures 100  Score (Normalized, Unweighted)]]*$I$3</f>
        <v>1.1165017349955019E-2</v>
      </c>
      <c r="L914" s="246">
        <f>_xlfn.XLOOKUP(FME_Ranking1[[#This Row],[FME ID]],FME_Input[FME_ID],FME_Input[RES_STRUCT100])</f>
        <v>121</v>
      </c>
      <c r="M914" s="230">
        <f>(FME_Ranking1[[#This Row],[Res Structures Raw]]/L$2)*100</f>
        <v>8.5704976555084925E-2</v>
      </c>
      <c r="N914" s="180">
        <f>FME_Ranking1[[#This Row],[Res Structures Score (Normalized, Unweighted)]]*$L$3</f>
        <v>8.5704976555084928E-3</v>
      </c>
      <c r="O914" s="244">
        <f>_xlfn.XLOOKUP(FME_Ranking1[[#This Row],[FME ID]],FME_Input[FME_ID],FME_Input[POP100])</f>
        <v>282</v>
      </c>
      <c r="P914" s="178">
        <f>(FME_Ranking1[[#This Row],[Pop Raw]]/$O$2)*100</f>
        <v>2.8869837980831245E-2</v>
      </c>
      <c r="Q914" s="178">
        <f>FME_Ranking1[[#This Row],[Pop Score (Normalized, Unweighted)]]*$O$3</f>
        <v>4.3304756971246864E-3</v>
      </c>
      <c r="R914" s="137">
        <f>_xlfn.XLOOKUP(FME_Ranking1[[#This Row],[FME ID]],FME_Input[FME_ID],FME_Input[CRITFAC100])</f>
        <v>0</v>
      </c>
      <c r="S914" s="230">
        <f>(FME_Ranking1[[#This Row],[Critical Facilities Raw]]/$R$2)*100</f>
        <v>0</v>
      </c>
      <c r="T914" s="180">
        <f>FME_Ranking1[[#This Row],[Critical Facilities Score (Normalized, Unweighted)]]*$R$3</f>
        <v>0</v>
      </c>
      <c r="U914">
        <f>_xlfn.XLOOKUP(FME_Ranking1[[#This Row],[FME ID]],FME_Input[FME_ID],FME_Input[LWC])</f>
        <v>8</v>
      </c>
      <c r="V914" s="178">
        <f>(FME_Ranking1[[#This Row],[LWC Raw]]/$U$2)*100</f>
        <v>0.46056419113413938</v>
      </c>
      <c r="W914" s="178">
        <f>FME_Ranking1[[#This Row],[LWC Score (Normalized, Unweighted)]]*$U$3</f>
        <v>9.2112838226827878E-2</v>
      </c>
      <c r="X914" s="246">
        <f>_xlfn.XLOOKUP(FME_Ranking1[[#This Row],[FME ID]],FME_Input[FME_ID],FME_Input[ROADCLS])</f>
        <v>0</v>
      </c>
      <c r="Y914" s="230">
        <f>(FME_Ranking1[[#This Row],[Closures Raw]]/$X$2)*100</f>
        <v>0</v>
      </c>
      <c r="Z914" s="180">
        <f>FME_Ranking1[[#This Row],[Closures Score (Normalized, Unweighted)]]*$X$3</f>
        <v>0</v>
      </c>
      <c r="AA914" s="253">
        <f>_xlfn.XLOOKUP(FME_Ranking1[[#This Row],[FME ID]],FME_Input[FME_ID],FME_Input[ROAD_MILES100])</f>
        <v>6.1370925903320313</v>
      </c>
      <c r="AB914" s="178">
        <f>(FME_Ranking1[[#This Row],[Miles Raw]]/$AA$2)*100</f>
        <v>8.0691760170551755E-2</v>
      </c>
      <c r="AC914" s="178">
        <f>FME_Ranking1[[#This Row],[Miles Score (Normalized, Unweighted)]]*$AA$3</f>
        <v>8.0691760170551758E-3</v>
      </c>
      <c r="AD914" s="255">
        <f>_xlfn.XLOOKUP(FME_Ranking1[[#This Row],[FME ID]],FME_Input[FME_ID],FME_Input[FARMACRE100])</f>
        <v>97.576156616210938</v>
      </c>
      <c r="AE914" s="230">
        <f>(FME_Ranking1[[#This Row],[Ag Land Raw]]/$AD$2)*100</f>
        <v>4.0236038988274445E-3</v>
      </c>
      <c r="AF914" s="231">
        <f>FME_Ranking1[[#This Row],[Ag Land Score (Normalized, Unweighted)]]*$AD$3</f>
        <v>2.0118019494137223E-4</v>
      </c>
      <c r="AG91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0.12444918514141264</v>
      </c>
      <c r="AH914" s="406">
        <f t="shared" si="14"/>
        <v>970</v>
      </c>
      <c r="AI91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0.12444918514141264</v>
      </c>
      <c r="AJ914" s="257">
        <f>FME_Ranking1[[#This Row],[Addition check]]-FME_Ranking1[[#This Row],[Weighted Score Based on Normalized Reported Factors]]</f>
        <v>0</v>
      </c>
      <c r="AK914" s="178">
        <f>_xlfn.RANK.EQ(AI914,$AI$6:$AI$2341,0)+COUNTIF($AI$6:AI914,AI914)-1</f>
        <v>970</v>
      </c>
    </row>
    <row r="915" spans="1:37" x14ac:dyDescent="0.25">
      <c r="A915" t="s">
        <v>286</v>
      </c>
      <c r="B915">
        <f>_xlfn.XLOOKUP(FME_Ranking1[[#This Row],[FME ID]],FME_Input[FME_ID],FME_Input[RFPG_NUM])</f>
        <v>10</v>
      </c>
      <c r="C915" t="str">
        <f>_xlfn.XLOOKUP(FME_Ranking1[[#This Row],[FME ID]],FME_Input[FME_ID],FME_Input[FME_NAME])</f>
        <v>Various Streets - Install Flood Early Warning Systems</v>
      </c>
      <c r="D915" t="str">
        <f>_xlfn.XLOOKUP(FME_Ranking1[[#This Row],[FME ID]],FME_Input[FME_ID],FME_Input[DESCR])</f>
        <v>High water barricades in several locations</v>
      </c>
      <c r="E915" s="256">
        <f>_xlfn.XLOOKUP(FME_Ranking1[[#This Row],[FME ID]],FME_Input[FME_ID],FME_Input[FME_COST])</f>
        <v>150000</v>
      </c>
      <c r="F915" t="str">
        <f>_xlfn.XLOOKUP(FME_Ranking1[[#This Row],[FME ID]],FME_Input[FME_ID],FME_Input[EMER_NEED])</f>
        <v>No</v>
      </c>
      <c r="G915">
        <f>IF(FME_Ranking!F915="Yes",100,0)</f>
        <v>0</v>
      </c>
      <c r="H915">
        <f>FME_Ranking1[[#This Row],[Emergency Need Score (Normalized, Unweighted)]]*$F$3</f>
        <v>0</v>
      </c>
      <c r="I915" s="246">
        <f>_xlfn.XLOOKUP(FME_Ranking1[[#This Row],[FME ID]],FME_Input[FME_ID],FME_Input[STRUCT_100])</f>
        <v>582</v>
      </c>
      <c r="J915" s="178">
        <f>(FME_Ranking1[[#This Row],[Structures 100 Raw]]/I$2)*100</f>
        <v>0.31165659940881635</v>
      </c>
      <c r="K915" s="178">
        <f>FME_Ranking1[[#This Row],[Structures 100  Score (Normalized, Unweighted)]]*$I$3</f>
        <v>4.6748489911322452E-2</v>
      </c>
      <c r="L915" s="246">
        <f>_xlfn.XLOOKUP(FME_Ranking1[[#This Row],[FME ID]],FME_Input[FME_ID],FME_Input[RES_STRUCT100])</f>
        <v>393</v>
      </c>
      <c r="M915" s="230">
        <f>(FME_Ranking1[[#This Row],[Res Structures Raw]]/L$2)*100</f>
        <v>0.27836409740618495</v>
      </c>
      <c r="N915" s="180">
        <f>FME_Ranking1[[#This Row],[Res Structures Score (Normalized, Unweighted)]]*$L$3</f>
        <v>2.7836409740618497E-2</v>
      </c>
      <c r="O915" s="244">
        <f>_xlfn.XLOOKUP(FME_Ranking1[[#This Row],[FME ID]],FME_Input[FME_ID],FME_Input[POP100])</f>
        <v>628</v>
      </c>
      <c r="P915" s="178">
        <f>(FME_Ranking1[[#This Row],[Pop Raw]]/$O$2)*100</f>
        <v>6.4291695928943349E-2</v>
      </c>
      <c r="Q915" s="178">
        <f>FME_Ranking1[[#This Row],[Pop Score (Normalized, Unweighted)]]*$O$3</f>
        <v>9.6437543893415027E-3</v>
      </c>
      <c r="R915" s="137">
        <f>_xlfn.XLOOKUP(FME_Ranking1[[#This Row],[FME ID]],FME_Input[FME_ID],FME_Input[CRITFAC100])</f>
        <v>0</v>
      </c>
      <c r="S915" s="230">
        <f>(FME_Ranking1[[#This Row],[Critical Facilities Raw]]/$R$2)*100</f>
        <v>0</v>
      </c>
      <c r="T915" s="180">
        <f>FME_Ranking1[[#This Row],[Critical Facilities Score (Normalized, Unweighted)]]*$R$3</f>
        <v>0</v>
      </c>
      <c r="U915">
        <f>_xlfn.XLOOKUP(FME_Ranking1[[#This Row],[FME ID]],FME_Input[FME_ID],FME_Input[LWC])</f>
        <v>0</v>
      </c>
      <c r="V915" s="178">
        <f>(FME_Ranking1[[#This Row],[LWC Raw]]/$U$2)*100</f>
        <v>0</v>
      </c>
      <c r="W915" s="178">
        <f>FME_Ranking1[[#This Row],[LWC Score (Normalized, Unweighted)]]*$U$3</f>
        <v>0</v>
      </c>
      <c r="X915" s="246">
        <f>_xlfn.XLOOKUP(FME_Ranking1[[#This Row],[FME ID]],FME_Input[FME_ID],FME_Input[ROADCLS])</f>
        <v>0</v>
      </c>
      <c r="Y915" s="230">
        <f>(FME_Ranking1[[#This Row],[Closures Raw]]/$X$2)*100</f>
        <v>0</v>
      </c>
      <c r="Z915" s="180">
        <f>FME_Ranking1[[#This Row],[Closures Score (Normalized, Unweighted)]]*$X$3</f>
        <v>0</v>
      </c>
      <c r="AA915" s="253">
        <f>_xlfn.XLOOKUP(FME_Ranking1[[#This Row],[FME ID]],FME_Input[FME_ID],FME_Input[ROAD_MILES100])</f>
        <v>26.02658843994141</v>
      </c>
      <c r="AB915" s="178">
        <f>(FME_Ranking1[[#This Row],[Miles Raw]]/$AA$2)*100</f>
        <v>0.34220295710737925</v>
      </c>
      <c r="AC915" s="178">
        <f>FME_Ranking1[[#This Row],[Miles Score (Normalized, Unweighted)]]*$AA$3</f>
        <v>3.4220295710737925E-2</v>
      </c>
      <c r="AD915" s="255">
        <f>_xlfn.XLOOKUP(FME_Ranking1[[#This Row],[FME ID]],FME_Input[FME_ID],FME_Input[FARMACRE100])</f>
        <v>15359.0576171875</v>
      </c>
      <c r="AE915" s="230">
        <f>(FME_Ranking1[[#This Row],[Ag Land Raw]]/$AD$2)*100</f>
        <v>0.63333878125472276</v>
      </c>
      <c r="AF915" s="231">
        <f>FME_Ranking1[[#This Row],[Ag Land Score (Normalized, Unweighted)]]*$AD$3</f>
        <v>3.1666939062736141E-2</v>
      </c>
      <c r="AG91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0.15011588881475652</v>
      </c>
      <c r="AH915" s="406">
        <f t="shared" si="14"/>
        <v>900</v>
      </c>
      <c r="AI91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0.15011588881475652</v>
      </c>
      <c r="AJ915" s="257">
        <f>FME_Ranking1[[#This Row],[Addition check]]-FME_Ranking1[[#This Row],[Weighted Score Based on Normalized Reported Factors]]</f>
        <v>0</v>
      </c>
      <c r="AK915" s="178">
        <f>_xlfn.RANK.EQ(AI915,$AI$6:$AI$2341,0)+COUNTIF($AI$6:AI915,AI915)-1</f>
        <v>900</v>
      </c>
    </row>
    <row r="916" spans="1:37" x14ac:dyDescent="0.25">
      <c r="A916" t="s">
        <v>1581</v>
      </c>
      <c r="B916">
        <f>_xlfn.XLOOKUP(FME_Ranking1[[#This Row],[FME ID]],FME_Input[FME_ID],FME_Input[RFPG_NUM])</f>
        <v>6</v>
      </c>
      <c r="C916" t="str">
        <f>_xlfn.XLOOKUP(FME_Ranking1[[#This Row],[FME ID]],FME_Input[FME_ID],FME_Input[FME_NAME])</f>
        <v>City of Galena Park Master Drainage Plan</v>
      </c>
      <c r="D916" t="str">
        <f>_xlfn.XLOOKUP(FME_Ranking1[[#This Row],[FME ID]],FME_Input[FME_ID],FME_Input[DESCR])</f>
        <v>Study to develop Master Drainage Plan using future and existing land use and flood/storm water drainage needs including Atlas 14 rainfall.</v>
      </c>
      <c r="E916" s="256">
        <f>_xlfn.XLOOKUP(FME_Ranking1[[#This Row],[FME ID]],FME_Input[FME_ID],FME_Input[FME_COST])</f>
        <v>250000</v>
      </c>
      <c r="F916" t="str">
        <f>_xlfn.XLOOKUP(FME_Ranking1[[#This Row],[FME ID]],FME_Input[FME_ID],FME_Input[EMER_NEED])</f>
        <v>Yes</v>
      </c>
      <c r="G916">
        <f>IF(FME_Ranking!F916="Yes",100,0)</f>
        <v>100</v>
      </c>
      <c r="H916">
        <f>FME_Ranking1[[#This Row],[Emergency Need Score (Normalized, Unweighted)]]*$F$3</f>
        <v>0</v>
      </c>
      <c r="I916" s="246">
        <f>_xlfn.XLOOKUP(FME_Ranking1[[#This Row],[FME ID]],FME_Input[FME_ID],FME_Input[STRUCT_100])</f>
        <v>205</v>
      </c>
      <c r="J916" s="178">
        <f>(FME_Ranking1[[#This Row],[Structures 100 Raw]]/I$2)*100</f>
        <v>0.1097759499635865</v>
      </c>
      <c r="K916" s="178">
        <f>FME_Ranking1[[#This Row],[Structures 100  Score (Normalized, Unweighted)]]*$I$3</f>
        <v>1.6466392494537973E-2</v>
      </c>
      <c r="L916" s="246">
        <f>_xlfn.XLOOKUP(FME_Ranking1[[#This Row],[FME ID]],FME_Input[FME_ID],FME_Input[RES_STRUCT100])</f>
        <v>156</v>
      </c>
      <c r="M916" s="230">
        <f>(FME_Ranking1[[#This Row],[Res Structures Raw]]/L$2)*100</f>
        <v>0.11049567225283677</v>
      </c>
      <c r="N916" s="180">
        <f>FME_Ranking1[[#This Row],[Res Structures Score (Normalized, Unweighted)]]*$L$3</f>
        <v>1.1049567225283677E-2</v>
      </c>
      <c r="O916" s="244">
        <f>_xlfn.XLOOKUP(FME_Ranking1[[#This Row],[FME ID]],FME_Input[FME_ID],FME_Input[POP100])</f>
        <v>712</v>
      </c>
      <c r="P916" s="178">
        <f>(FME_Ranking1[[#This Row],[Pop Raw]]/$O$2)*100</f>
        <v>7.2891222135999467E-2</v>
      </c>
      <c r="Q916" s="178">
        <f>FME_Ranking1[[#This Row],[Pop Score (Normalized, Unweighted)]]*$O$3</f>
        <v>1.093368332039992E-2</v>
      </c>
      <c r="R916" s="137">
        <f>_xlfn.XLOOKUP(FME_Ranking1[[#This Row],[FME ID]],FME_Input[FME_ID],FME_Input[CRITFAC100])</f>
        <v>9</v>
      </c>
      <c r="S916" s="230">
        <f>(FME_Ranking1[[#This Row],[Critical Facilities Raw]]/$R$2)*100</f>
        <v>0.38593481989708406</v>
      </c>
      <c r="T916" s="180">
        <f>FME_Ranking1[[#This Row],[Critical Facilities Score (Normalized, Unweighted)]]*$R$3</f>
        <v>7.7186963979416823E-2</v>
      </c>
      <c r="U916">
        <f>_xlfn.XLOOKUP(FME_Ranking1[[#This Row],[FME ID]],FME_Input[FME_ID],FME_Input[LWC])</f>
        <v>0</v>
      </c>
      <c r="V916" s="178">
        <f>(FME_Ranking1[[#This Row],[LWC Raw]]/$U$2)*100</f>
        <v>0</v>
      </c>
      <c r="W916" s="178">
        <f>FME_Ranking1[[#This Row],[LWC Score (Normalized, Unweighted)]]*$U$3</f>
        <v>0</v>
      </c>
      <c r="X916" s="246">
        <f>_xlfn.XLOOKUP(FME_Ranking1[[#This Row],[FME ID]],FME_Input[FME_ID],FME_Input[ROADCLS])</f>
        <v>0</v>
      </c>
      <c r="Y916" s="230">
        <f>(FME_Ranking1[[#This Row],[Closures Raw]]/$X$2)*100</f>
        <v>0</v>
      </c>
      <c r="Z916" s="180">
        <f>FME_Ranking1[[#This Row],[Closures Score (Normalized, Unweighted)]]*$X$3</f>
        <v>0</v>
      </c>
      <c r="AA916" s="253">
        <f>_xlfn.XLOOKUP(FME_Ranking1[[#This Row],[FME ID]],FME_Input[FME_ID],FME_Input[ROAD_MILES100])</f>
        <v>2.63109278678894</v>
      </c>
      <c r="AB916" s="178">
        <f>(FME_Ranking1[[#This Row],[Miles Raw]]/$AA$2)*100</f>
        <v>3.4594151059818938E-2</v>
      </c>
      <c r="AC916" s="178">
        <f>FME_Ranking1[[#This Row],[Miles Score (Normalized, Unweighted)]]*$AA$3</f>
        <v>3.4594151059818938E-3</v>
      </c>
      <c r="AD916" s="255">
        <f>_xlfn.XLOOKUP(FME_Ranking1[[#This Row],[FME ID]],FME_Input[FME_ID],FME_Input[FARMACRE100])</f>
        <v>3.4449305534362789</v>
      </c>
      <c r="AE916" s="230">
        <f>(FME_Ranking1[[#This Row],[Ag Land Raw]]/$AD$2)*100</f>
        <v>1.420535147793798E-4</v>
      </c>
      <c r="AF916" s="231">
        <f>FME_Ranking1[[#This Row],[Ag Land Score (Normalized, Unweighted)]]*$AD$3</f>
        <v>7.1026757389689901E-6</v>
      </c>
      <c r="AG91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0.11910312480135926</v>
      </c>
      <c r="AH916" s="406">
        <f t="shared" si="14"/>
        <v>976</v>
      </c>
      <c r="AI91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0.11910312480135926</v>
      </c>
      <c r="AJ916" s="257">
        <f>FME_Ranking1[[#This Row],[Addition check]]-FME_Ranking1[[#This Row],[Weighted Score Based on Normalized Reported Factors]]</f>
        <v>0</v>
      </c>
      <c r="AK916" s="178">
        <f>_xlfn.RANK.EQ(AI916,$AI$6:$AI$2341,0)+COUNTIF($AI$6:AI916,AI916)-1</f>
        <v>976</v>
      </c>
    </row>
    <row r="917" spans="1:37" x14ac:dyDescent="0.25">
      <c r="A917" t="s">
        <v>6427</v>
      </c>
      <c r="B917">
        <f>_xlfn.XLOOKUP(FME_Ranking1[[#This Row],[FME ID]],FME_Input[FME_ID],FME_Input[RFPG_NUM])</f>
        <v>5</v>
      </c>
      <c r="C917" t="str">
        <f>_xlfn.XLOOKUP(FME_Ranking1[[#This Row],[FME ID]],FME_Input[FME_ID],FME_Input[FME_NAME])</f>
        <v>Hardin County Boggy Creek Detention Pond</v>
      </c>
      <c r="D917" t="str">
        <f>_xlfn.XLOOKUP(FME_Ranking1[[#This Row],[FME ID]],FME_Input[FME_ID],FME_Input[DESCR])</f>
        <v xml:space="preserve">H&amp;H Study to develop alternatives for detention on Boggy Creek. </v>
      </c>
      <c r="E917" s="256">
        <f>_xlfn.XLOOKUP(FME_Ranking1[[#This Row],[FME ID]],FME_Input[FME_ID],FME_Input[FME_COST])</f>
        <v>150000</v>
      </c>
      <c r="F917" t="str">
        <f>_xlfn.XLOOKUP(FME_Ranking1[[#This Row],[FME ID]],FME_Input[FME_ID],FME_Input[EMER_NEED])</f>
        <v>Yes</v>
      </c>
      <c r="G917">
        <f>IF(FME_Ranking!F917="Yes",100,0)</f>
        <v>100</v>
      </c>
      <c r="H917">
        <f>FME_Ranking1[[#This Row],[Emergency Need Score (Normalized, Unweighted)]]*$F$3</f>
        <v>0</v>
      </c>
      <c r="I917" s="246">
        <f>_xlfn.XLOOKUP(FME_Ranking1[[#This Row],[FME ID]],FME_Input[FME_ID],FME_Input[STRUCT_100])</f>
        <v>648</v>
      </c>
      <c r="J917" s="178">
        <f>(FME_Ranking1[[#This Row],[Structures 100 Raw]]/I$2)*100</f>
        <v>0.34699910037270271</v>
      </c>
      <c r="K917" s="178">
        <f>FME_Ranking1[[#This Row],[Structures 100  Score (Normalized, Unweighted)]]*$I$3</f>
        <v>5.2049865055905406E-2</v>
      </c>
      <c r="L917" s="246">
        <f>_xlfn.XLOOKUP(FME_Ranking1[[#This Row],[FME ID]],FME_Input[FME_ID],FME_Input[RES_STRUCT100])</f>
        <v>497</v>
      </c>
      <c r="M917" s="230">
        <f>(FME_Ranking1[[#This Row],[Res Structures Raw]]/L$2)*100</f>
        <v>0.35202787890807613</v>
      </c>
      <c r="N917" s="180">
        <f>FME_Ranking1[[#This Row],[Res Structures Score (Normalized, Unweighted)]]*$L$3</f>
        <v>3.5202787890807614E-2</v>
      </c>
      <c r="O917" s="244">
        <f>_xlfn.XLOOKUP(FME_Ranking1[[#This Row],[FME ID]],FME_Input[FME_ID],FME_Input[POP100])</f>
        <v>1277</v>
      </c>
      <c r="P917" s="178">
        <f>(FME_Ranking1[[#This Row],[Pop Raw]]/$O$2)*100</f>
        <v>0.13073327340965071</v>
      </c>
      <c r="Q917" s="178">
        <f>FME_Ranking1[[#This Row],[Pop Score (Normalized, Unweighted)]]*$O$3</f>
        <v>1.9609991011447607E-2</v>
      </c>
      <c r="R917" s="137">
        <f>_xlfn.XLOOKUP(FME_Ranking1[[#This Row],[FME ID]],FME_Input[FME_ID],FME_Input[CRITFAC100])</f>
        <v>1</v>
      </c>
      <c r="S917" s="230">
        <f>(FME_Ranking1[[#This Row],[Critical Facilities Raw]]/$R$2)*100</f>
        <v>4.2881646655231559E-2</v>
      </c>
      <c r="T917" s="180">
        <f>FME_Ranking1[[#This Row],[Critical Facilities Score (Normalized, Unweighted)]]*$R$3</f>
        <v>8.5763293310463125E-3</v>
      </c>
      <c r="U917">
        <f>_xlfn.XLOOKUP(FME_Ranking1[[#This Row],[FME ID]],FME_Input[FME_ID],FME_Input[LWC])</f>
        <v>0</v>
      </c>
      <c r="V917" s="178">
        <f>(FME_Ranking1[[#This Row],[LWC Raw]]/$U$2)*100</f>
        <v>0</v>
      </c>
      <c r="W917" s="178">
        <f>FME_Ranking1[[#This Row],[LWC Score (Normalized, Unweighted)]]*$U$3</f>
        <v>0</v>
      </c>
      <c r="X917" s="246">
        <f>_xlfn.XLOOKUP(FME_Ranking1[[#This Row],[FME ID]],FME_Input[FME_ID],FME_Input[ROADCLS])</f>
        <v>0</v>
      </c>
      <c r="Y917" s="230">
        <f>(FME_Ranking1[[#This Row],[Closures Raw]]/$X$2)*100</f>
        <v>0</v>
      </c>
      <c r="Z917" s="180">
        <f>FME_Ranking1[[#This Row],[Closures Score (Normalized, Unweighted)]]*$X$3</f>
        <v>0</v>
      </c>
      <c r="AA917" s="253">
        <f>_xlfn.XLOOKUP(FME_Ranking1[[#This Row],[FME ID]],FME_Input[FME_ID],FME_Input[ROAD_MILES100])</f>
        <v>13.646213531494141</v>
      </c>
      <c r="AB917" s="178">
        <f>(FME_Ranking1[[#This Row],[Miles Raw]]/$AA$2)*100</f>
        <v>0.17942323230614468</v>
      </c>
      <c r="AC917" s="178">
        <f>FME_Ranking1[[#This Row],[Miles Score (Normalized, Unweighted)]]*$AA$3</f>
        <v>1.7942323230614468E-2</v>
      </c>
      <c r="AD917" s="255">
        <f>_xlfn.XLOOKUP(FME_Ranking1[[#This Row],[FME ID]],FME_Input[FME_ID],FME_Input[FARMACRE100])</f>
        <v>43.22467041015625</v>
      </c>
      <c r="AE917" s="230">
        <f>(FME_Ranking1[[#This Row],[Ag Land Raw]]/$AD$2)*100</f>
        <v>1.7823919123182777E-3</v>
      </c>
      <c r="AF917" s="231">
        <f>FME_Ranking1[[#This Row],[Ag Land Score (Normalized, Unweighted)]]*$AD$3</f>
        <v>8.9119595615913888E-5</v>
      </c>
      <c r="AG91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0.13347041611543733</v>
      </c>
      <c r="AH917" s="406">
        <f t="shared" si="14"/>
        <v>943</v>
      </c>
      <c r="AI91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0.13347041611543733</v>
      </c>
      <c r="AJ917" s="257">
        <f>FME_Ranking1[[#This Row],[Addition check]]-FME_Ranking1[[#This Row],[Weighted Score Based on Normalized Reported Factors]]</f>
        <v>0</v>
      </c>
      <c r="AK917" s="178">
        <f>_xlfn.RANK.EQ(AI917,$AI$6:$AI$2341,0)+COUNTIF($AI$6:AI917,AI917)-1</f>
        <v>943</v>
      </c>
    </row>
    <row r="918" spans="1:37" x14ac:dyDescent="0.25">
      <c r="A918" t="s">
        <v>6440</v>
      </c>
      <c r="B918">
        <f>_xlfn.XLOOKUP(FME_Ranking1[[#This Row],[FME ID]],FME_Input[FME_ID],FME_Input[RFPG_NUM])</f>
        <v>5</v>
      </c>
      <c r="C918" t="str">
        <f>_xlfn.XLOOKUP(FME_Ranking1[[#This Row],[FME ID]],FME_Input[FME_ID],FME_Input[FME_NAME])</f>
        <v>Hardin County Reservoir</v>
      </c>
      <c r="D918" t="str">
        <f>_xlfn.XLOOKUP(FME_Ranking1[[#This Row],[FME ID]],FME_Input[FME_ID],FME_Input[DESCR])</f>
        <v>H&amp;H study of large reservoir for flood control / drought assistance.</v>
      </c>
      <c r="E918" s="256">
        <f>_xlfn.XLOOKUP(FME_Ranking1[[#This Row],[FME ID]],FME_Input[FME_ID],FME_Input[FME_COST])</f>
        <v>500000</v>
      </c>
      <c r="F918" t="str">
        <f>_xlfn.XLOOKUP(FME_Ranking1[[#This Row],[FME ID]],FME_Input[FME_ID],FME_Input[EMER_NEED])</f>
        <v>Yes</v>
      </c>
      <c r="G918">
        <f>IF(FME_Ranking!F918="Yes",100,0)</f>
        <v>100</v>
      </c>
      <c r="H918">
        <f>FME_Ranking1[[#This Row],[Emergency Need Score (Normalized, Unweighted)]]*$F$3</f>
        <v>0</v>
      </c>
      <c r="I918" s="246">
        <f>_xlfn.XLOOKUP(FME_Ranking1[[#This Row],[FME ID]],FME_Input[FME_ID],FME_Input[STRUCT_100])</f>
        <v>648</v>
      </c>
      <c r="J918" s="178">
        <f>(FME_Ranking1[[#This Row],[Structures 100 Raw]]/I$2)*100</f>
        <v>0.34699910037270271</v>
      </c>
      <c r="K918" s="178">
        <f>FME_Ranking1[[#This Row],[Structures 100  Score (Normalized, Unweighted)]]*$I$3</f>
        <v>5.2049865055905406E-2</v>
      </c>
      <c r="L918" s="246">
        <f>_xlfn.XLOOKUP(FME_Ranking1[[#This Row],[FME ID]],FME_Input[FME_ID],FME_Input[RES_STRUCT100])</f>
        <v>497</v>
      </c>
      <c r="M918" s="230">
        <f>(FME_Ranking1[[#This Row],[Res Structures Raw]]/L$2)*100</f>
        <v>0.35202787890807613</v>
      </c>
      <c r="N918" s="180">
        <f>FME_Ranking1[[#This Row],[Res Structures Score (Normalized, Unweighted)]]*$L$3</f>
        <v>3.5202787890807614E-2</v>
      </c>
      <c r="O918" s="244">
        <f>_xlfn.XLOOKUP(FME_Ranking1[[#This Row],[FME ID]],FME_Input[FME_ID],FME_Input[POP100])</f>
        <v>1277</v>
      </c>
      <c r="P918" s="178">
        <f>(FME_Ranking1[[#This Row],[Pop Raw]]/$O$2)*100</f>
        <v>0.13073327340965071</v>
      </c>
      <c r="Q918" s="178">
        <f>FME_Ranking1[[#This Row],[Pop Score (Normalized, Unweighted)]]*$O$3</f>
        <v>1.9609991011447607E-2</v>
      </c>
      <c r="R918" s="137">
        <f>_xlfn.XLOOKUP(FME_Ranking1[[#This Row],[FME ID]],FME_Input[FME_ID],FME_Input[CRITFAC100])</f>
        <v>1</v>
      </c>
      <c r="S918" s="230">
        <f>(FME_Ranking1[[#This Row],[Critical Facilities Raw]]/$R$2)*100</f>
        <v>4.2881646655231559E-2</v>
      </c>
      <c r="T918" s="180">
        <f>FME_Ranking1[[#This Row],[Critical Facilities Score (Normalized, Unweighted)]]*$R$3</f>
        <v>8.5763293310463125E-3</v>
      </c>
      <c r="U918">
        <f>_xlfn.XLOOKUP(FME_Ranking1[[#This Row],[FME ID]],FME_Input[FME_ID],FME_Input[LWC])</f>
        <v>0</v>
      </c>
      <c r="V918" s="178">
        <f>(FME_Ranking1[[#This Row],[LWC Raw]]/$U$2)*100</f>
        <v>0</v>
      </c>
      <c r="W918" s="178">
        <f>FME_Ranking1[[#This Row],[LWC Score (Normalized, Unweighted)]]*$U$3</f>
        <v>0</v>
      </c>
      <c r="X918" s="246">
        <f>_xlfn.XLOOKUP(FME_Ranking1[[#This Row],[FME ID]],FME_Input[FME_ID],FME_Input[ROADCLS])</f>
        <v>0</v>
      </c>
      <c r="Y918" s="230">
        <f>(FME_Ranking1[[#This Row],[Closures Raw]]/$X$2)*100</f>
        <v>0</v>
      </c>
      <c r="Z918" s="180">
        <f>FME_Ranking1[[#This Row],[Closures Score (Normalized, Unweighted)]]*$X$3</f>
        <v>0</v>
      </c>
      <c r="AA918" s="253">
        <f>_xlfn.XLOOKUP(FME_Ranking1[[#This Row],[FME ID]],FME_Input[FME_ID],FME_Input[ROAD_MILES100])</f>
        <v>13.67707538604736</v>
      </c>
      <c r="AB918" s="178">
        <f>(FME_Ranking1[[#This Row],[Miles Raw]]/$AA$2)*100</f>
        <v>0.17982901034018475</v>
      </c>
      <c r="AC918" s="178">
        <f>FME_Ranking1[[#This Row],[Miles Score (Normalized, Unweighted)]]*$AA$3</f>
        <v>1.7982901034018475E-2</v>
      </c>
      <c r="AD918" s="255">
        <f>_xlfn.XLOOKUP(FME_Ranking1[[#This Row],[FME ID]],FME_Input[FME_ID],FME_Input[FARMACRE100])</f>
        <v>43.22467041015625</v>
      </c>
      <c r="AE918" s="230">
        <f>(FME_Ranking1[[#This Row],[Ag Land Raw]]/$AD$2)*100</f>
        <v>1.7823919123182777E-3</v>
      </c>
      <c r="AF918" s="231">
        <f>FME_Ranking1[[#This Row],[Ag Land Score (Normalized, Unweighted)]]*$AD$3</f>
        <v>8.9119595615913888E-5</v>
      </c>
      <c r="AG91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0.13351099391884133</v>
      </c>
      <c r="AH918" s="406">
        <f t="shared" si="14"/>
        <v>941</v>
      </c>
      <c r="AI91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0.13351099391884133</v>
      </c>
      <c r="AJ918" s="257">
        <f>FME_Ranking1[[#This Row],[Addition check]]-FME_Ranking1[[#This Row],[Weighted Score Based on Normalized Reported Factors]]</f>
        <v>0</v>
      </c>
      <c r="AK918" s="178">
        <f>_xlfn.RANK.EQ(AI918,$AI$6:$AI$2341,0)+COUNTIF($AI$6:AI918,AI918)-1</f>
        <v>941</v>
      </c>
    </row>
    <row r="919" spans="1:37" x14ac:dyDescent="0.25">
      <c r="A919" t="s">
        <v>6443</v>
      </c>
      <c r="B919">
        <f>_xlfn.XLOOKUP(FME_Ranking1[[#This Row],[FME ID]],FME_Input[FME_ID],FME_Input[RFPG_NUM])</f>
        <v>5</v>
      </c>
      <c r="C919" t="str">
        <f>_xlfn.XLOOKUP(FME_Ranking1[[#This Row],[FME ID]],FME_Input[FME_ID],FME_Input[FME_NAME])</f>
        <v>Hardin County Pinewood Drainage Improvements</v>
      </c>
      <c r="D919" t="str">
        <f>_xlfn.XLOOKUP(FME_Ranking1[[#This Row],[FME ID]],FME_Input[FME_ID],FME_Input[DESCR])</f>
        <v>H&amp;H Study to identify alternatives for improving existing drainage within Pinewood.</v>
      </c>
      <c r="E919" s="256">
        <f>_xlfn.XLOOKUP(FME_Ranking1[[#This Row],[FME ID]],FME_Input[FME_ID],FME_Input[FME_COST])</f>
        <v>350000</v>
      </c>
      <c r="F919" t="str">
        <f>_xlfn.XLOOKUP(FME_Ranking1[[#This Row],[FME ID]],FME_Input[FME_ID],FME_Input[EMER_NEED])</f>
        <v>Yes</v>
      </c>
      <c r="G919">
        <f>IF(FME_Ranking!F919="Yes",100,0)</f>
        <v>100</v>
      </c>
      <c r="H919">
        <f>FME_Ranking1[[#This Row],[Emergency Need Score (Normalized, Unweighted)]]*$F$3</f>
        <v>0</v>
      </c>
      <c r="I919" s="246">
        <f>_xlfn.XLOOKUP(FME_Ranking1[[#This Row],[FME ID]],FME_Input[FME_ID],FME_Input[STRUCT_100])</f>
        <v>648</v>
      </c>
      <c r="J919" s="178">
        <f>(FME_Ranking1[[#This Row],[Structures 100 Raw]]/I$2)*100</f>
        <v>0.34699910037270271</v>
      </c>
      <c r="K919" s="178">
        <f>FME_Ranking1[[#This Row],[Structures 100  Score (Normalized, Unweighted)]]*$I$3</f>
        <v>5.2049865055905406E-2</v>
      </c>
      <c r="L919" s="246">
        <f>_xlfn.XLOOKUP(FME_Ranking1[[#This Row],[FME ID]],FME_Input[FME_ID],FME_Input[RES_STRUCT100])</f>
        <v>497</v>
      </c>
      <c r="M919" s="230">
        <f>(FME_Ranking1[[#This Row],[Res Structures Raw]]/L$2)*100</f>
        <v>0.35202787890807613</v>
      </c>
      <c r="N919" s="180">
        <f>FME_Ranking1[[#This Row],[Res Structures Score (Normalized, Unweighted)]]*$L$3</f>
        <v>3.5202787890807614E-2</v>
      </c>
      <c r="O919" s="244">
        <f>_xlfn.XLOOKUP(FME_Ranking1[[#This Row],[FME ID]],FME_Input[FME_ID],FME_Input[POP100])</f>
        <v>1277</v>
      </c>
      <c r="P919" s="178">
        <f>(FME_Ranking1[[#This Row],[Pop Raw]]/$O$2)*100</f>
        <v>0.13073327340965071</v>
      </c>
      <c r="Q919" s="178">
        <f>FME_Ranking1[[#This Row],[Pop Score (Normalized, Unweighted)]]*$O$3</f>
        <v>1.9609991011447607E-2</v>
      </c>
      <c r="R919" s="137">
        <f>_xlfn.XLOOKUP(FME_Ranking1[[#This Row],[FME ID]],FME_Input[FME_ID],FME_Input[CRITFAC100])</f>
        <v>1</v>
      </c>
      <c r="S919" s="230">
        <f>(FME_Ranking1[[#This Row],[Critical Facilities Raw]]/$R$2)*100</f>
        <v>4.2881646655231559E-2</v>
      </c>
      <c r="T919" s="180">
        <f>FME_Ranking1[[#This Row],[Critical Facilities Score (Normalized, Unweighted)]]*$R$3</f>
        <v>8.5763293310463125E-3</v>
      </c>
      <c r="U919">
        <f>_xlfn.XLOOKUP(FME_Ranking1[[#This Row],[FME ID]],FME_Input[FME_ID],FME_Input[LWC])</f>
        <v>0</v>
      </c>
      <c r="V919" s="178">
        <f>(FME_Ranking1[[#This Row],[LWC Raw]]/$U$2)*100</f>
        <v>0</v>
      </c>
      <c r="W919" s="178">
        <f>FME_Ranking1[[#This Row],[LWC Score (Normalized, Unweighted)]]*$U$3</f>
        <v>0</v>
      </c>
      <c r="X919" s="246">
        <f>_xlfn.XLOOKUP(FME_Ranking1[[#This Row],[FME ID]],FME_Input[FME_ID],FME_Input[ROADCLS])</f>
        <v>0</v>
      </c>
      <c r="Y919" s="230">
        <f>(FME_Ranking1[[#This Row],[Closures Raw]]/$X$2)*100</f>
        <v>0</v>
      </c>
      <c r="Z919" s="180">
        <f>FME_Ranking1[[#This Row],[Closures Score (Normalized, Unweighted)]]*$X$3</f>
        <v>0</v>
      </c>
      <c r="AA919" s="253">
        <f>_xlfn.XLOOKUP(FME_Ranking1[[#This Row],[FME ID]],FME_Input[FME_ID],FME_Input[ROAD_MILES100])</f>
        <v>13.67707538604736</v>
      </c>
      <c r="AB919" s="178">
        <f>(FME_Ranking1[[#This Row],[Miles Raw]]/$AA$2)*100</f>
        <v>0.17982901034018475</v>
      </c>
      <c r="AC919" s="178">
        <f>FME_Ranking1[[#This Row],[Miles Score (Normalized, Unweighted)]]*$AA$3</f>
        <v>1.7982901034018475E-2</v>
      </c>
      <c r="AD919" s="255">
        <f>_xlfn.XLOOKUP(FME_Ranking1[[#This Row],[FME ID]],FME_Input[FME_ID],FME_Input[FARMACRE100])</f>
        <v>43.22467041015625</v>
      </c>
      <c r="AE919" s="230">
        <f>(FME_Ranking1[[#This Row],[Ag Land Raw]]/$AD$2)*100</f>
        <v>1.7823919123182777E-3</v>
      </c>
      <c r="AF919" s="231">
        <f>FME_Ranking1[[#This Row],[Ag Land Score (Normalized, Unweighted)]]*$AD$3</f>
        <v>8.9119595615913888E-5</v>
      </c>
      <c r="AG91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0.13351099391884133</v>
      </c>
      <c r="AH919" s="406">
        <f t="shared" si="14"/>
        <v>941</v>
      </c>
      <c r="AI91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0.13351099391884133</v>
      </c>
      <c r="AJ919" s="257">
        <f>FME_Ranking1[[#This Row],[Addition check]]-FME_Ranking1[[#This Row],[Weighted Score Based on Normalized Reported Factors]]</f>
        <v>0</v>
      </c>
      <c r="AK919" s="178">
        <f>_xlfn.RANK.EQ(AI919,$AI$6:$AI$2341,0)+COUNTIF($AI$6:AI919,AI919)-1</f>
        <v>942</v>
      </c>
    </row>
    <row r="920" spans="1:37" x14ac:dyDescent="0.25">
      <c r="A920" t="s">
        <v>5255</v>
      </c>
      <c r="B920">
        <f>_xlfn.XLOOKUP(FME_Ranking1[[#This Row],[FME ID]],FME_Input[FME_ID],FME_Input[RFPG_NUM])</f>
        <v>3</v>
      </c>
      <c r="C920" t="str">
        <f>_xlfn.XLOOKUP(FME_Ranking1[[#This Row],[FME ID]],FME_Input[FME_ID],FME_Input[FME_NAME])</f>
        <v>Halls Branch at 1st Street</v>
      </c>
      <c r="D920" t="str">
        <f>_xlfn.XLOOKUP(FME_Ranking1[[#This Row],[FME ID]],FME_Input[FME_ID],FME_Input[DESCR])</f>
        <v>Evaluate bridge improvements for 1st Street over Halls Branch</v>
      </c>
      <c r="E920" s="256">
        <f>_xlfn.XLOOKUP(FME_Ranking1[[#This Row],[FME ID]],FME_Input[FME_ID],FME_Input[FME_COST])</f>
        <v>250000</v>
      </c>
      <c r="F920" t="str">
        <f>_xlfn.XLOOKUP(FME_Ranking1[[#This Row],[FME ID]],FME_Input[FME_ID],FME_Input[EMER_NEED])</f>
        <v>No</v>
      </c>
      <c r="G920">
        <f>IF(FME_Ranking!F920="Yes",100,0)</f>
        <v>0</v>
      </c>
      <c r="H920">
        <f>FME_Ranking1[[#This Row],[Emergency Need Score (Normalized, Unweighted)]]*$F$3</f>
        <v>0</v>
      </c>
      <c r="I920" s="246">
        <f>_xlfn.XLOOKUP(FME_Ranking1[[#This Row],[FME ID]],FME_Input[FME_ID],FME_Input[STRUCT_100])</f>
        <v>67</v>
      </c>
      <c r="J920" s="178">
        <f>(FME_Ranking1[[#This Row],[Structures 100 Raw]]/I$2)*100</f>
        <v>3.5877993402733156E-2</v>
      </c>
      <c r="K920" s="178">
        <f>FME_Ranking1[[#This Row],[Structures 100  Score (Normalized, Unweighted)]]*$I$3</f>
        <v>5.3816990104099734E-3</v>
      </c>
      <c r="L920" s="246">
        <f>_xlfn.XLOOKUP(FME_Ranking1[[#This Row],[FME ID]],FME_Input[FME_ID],FME_Input[RES_STRUCT100])</f>
        <v>57</v>
      </c>
      <c r="M920" s="230">
        <f>(FME_Ranking1[[#This Row],[Res Structures Raw]]/L$2)*100</f>
        <v>4.0373418707767277E-2</v>
      </c>
      <c r="N920" s="180">
        <f>FME_Ranking1[[#This Row],[Res Structures Score (Normalized, Unweighted)]]*$L$3</f>
        <v>4.0373418707767275E-3</v>
      </c>
      <c r="O920" s="244">
        <f>_xlfn.XLOOKUP(FME_Ranking1[[#This Row],[FME ID]],FME_Input[FME_ID],FME_Input[POP100])</f>
        <v>333</v>
      </c>
      <c r="P920" s="178">
        <f>(FME_Ranking1[[#This Row],[Pop Raw]]/$O$2)*100</f>
        <v>3.4090978892258178E-2</v>
      </c>
      <c r="Q920" s="178">
        <f>FME_Ranking1[[#This Row],[Pop Score (Normalized, Unweighted)]]*$O$3</f>
        <v>5.1136468338387267E-3</v>
      </c>
      <c r="R920" s="137">
        <f>_xlfn.XLOOKUP(FME_Ranking1[[#This Row],[FME ID]],FME_Input[FME_ID],FME_Input[CRITFAC100])</f>
        <v>1</v>
      </c>
      <c r="S920" s="230">
        <f>(FME_Ranking1[[#This Row],[Critical Facilities Raw]]/$R$2)*100</f>
        <v>4.2881646655231559E-2</v>
      </c>
      <c r="T920" s="180">
        <f>FME_Ranking1[[#This Row],[Critical Facilities Score (Normalized, Unweighted)]]*$R$3</f>
        <v>8.5763293310463125E-3</v>
      </c>
      <c r="U920">
        <f>_xlfn.XLOOKUP(FME_Ranking1[[#This Row],[FME ID]],FME_Input[FME_ID],FME_Input[LWC])</f>
        <v>8</v>
      </c>
      <c r="V920" s="178">
        <f>(FME_Ranking1[[#This Row],[LWC Raw]]/$U$2)*100</f>
        <v>0.46056419113413938</v>
      </c>
      <c r="W920" s="178">
        <f>FME_Ranking1[[#This Row],[LWC Score (Normalized, Unweighted)]]*$U$3</f>
        <v>9.2112838226827878E-2</v>
      </c>
      <c r="X920" s="246">
        <f>_xlfn.XLOOKUP(FME_Ranking1[[#This Row],[FME ID]],FME_Input[FME_ID],FME_Input[ROADCLS])</f>
        <v>0</v>
      </c>
      <c r="Y920" s="230">
        <f>(FME_Ranking1[[#This Row],[Closures Raw]]/$X$2)*100</f>
        <v>0</v>
      </c>
      <c r="Z920" s="180">
        <f>FME_Ranking1[[#This Row],[Closures Score (Normalized, Unweighted)]]*$X$3</f>
        <v>0</v>
      </c>
      <c r="AA920" s="253">
        <f>_xlfn.XLOOKUP(FME_Ranking1[[#This Row],[FME ID]],FME_Input[FME_ID],FME_Input[ROAD_MILES100])</f>
        <v>2.031960010528564</v>
      </c>
      <c r="AB920" s="178">
        <f>(FME_Ranking1[[#This Row],[Miles Raw]]/$AA$2)*100</f>
        <v>2.6716629647077224E-2</v>
      </c>
      <c r="AC920" s="178">
        <f>FME_Ranking1[[#This Row],[Miles Score (Normalized, Unweighted)]]*$AA$3</f>
        <v>2.6716629647077226E-3</v>
      </c>
      <c r="AD920" s="255">
        <f>_xlfn.XLOOKUP(FME_Ranking1[[#This Row],[FME ID]],FME_Input[FME_ID],FME_Input[FARMACRE100])</f>
        <v>32.621261596679688</v>
      </c>
      <c r="AE920" s="230">
        <f>(FME_Ranking1[[#This Row],[Ag Land Raw]]/$AD$2)*100</f>
        <v>1.3451547990491783E-3</v>
      </c>
      <c r="AF920" s="231">
        <f>FME_Ranking1[[#This Row],[Ag Land Score (Normalized, Unweighted)]]*$AD$3</f>
        <v>6.7257739952458921E-5</v>
      </c>
      <c r="AG92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0.1179607759775598</v>
      </c>
      <c r="AH920" s="406">
        <f t="shared" si="14"/>
        <v>977</v>
      </c>
      <c r="AI92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0.1179607759775598</v>
      </c>
      <c r="AJ920" s="257">
        <f>FME_Ranking1[[#This Row],[Addition check]]-FME_Ranking1[[#This Row],[Weighted Score Based on Normalized Reported Factors]]</f>
        <v>0</v>
      </c>
      <c r="AK920" s="178">
        <f>_xlfn.RANK.EQ(AI920,$AI$6:$AI$2341,0)+COUNTIF($AI$6:AI920,AI920)-1</f>
        <v>977</v>
      </c>
    </row>
    <row r="921" spans="1:37" x14ac:dyDescent="0.25">
      <c r="A921" t="s">
        <v>5261</v>
      </c>
      <c r="B921">
        <f>_xlfn.XLOOKUP(FME_Ranking1[[#This Row],[FME ID]],FME_Input[FME_ID],FME_Input[RFPG_NUM])</f>
        <v>3</v>
      </c>
      <c r="C921" t="str">
        <f>_xlfn.XLOOKUP(FME_Ranking1[[#This Row],[FME ID]],FME_Input[FME_ID],FME_Input[FME_NAME])</f>
        <v>Halls Branch at 4th Street</v>
      </c>
      <c r="D921" t="str">
        <f>_xlfn.XLOOKUP(FME_Ranking1[[#This Row],[FME ID]],FME_Input[FME_ID],FME_Input[DESCR])</f>
        <v>Evaluate bridge improvements for 4th Street over Halls Branch</v>
      </c>
      <c r="E921" s="256">
        <f>_xlfn.XLOOKUP(FME_Ranking1[[#This Row],[FME ID]],FME_Input[FME_ID],FME_Input[FME_COST])</f>
        <v>250000</v>
      </c>
      <c r="F921" t="str">
        <f>_xlfn.XLOOKUP(FME_Ranking1[[#This Row],[FME ID]],FME_Input[FME_ID],FME_Input[EMER_NEED])</f>
        <v>No</v>
      </c>
      <c r="G921">
        <f>IF(FME_Ranking!F921="Yes",100,0)</f>
        <v>0</v>
      </c>
      <c r="H921">
        <f>FME_Ranking1[[#This Row],[Emergency Need Score (Normalized, Unweighted)]]*$F$3</f>
        <v>0</v>
      </c>
      <c r="I921" s="246">
        <f>_xlfn.XLOOKUP(FME_Ranking1[[#This Row],[FME ID]],FME_Input[FME_ID],FME_Input[STRUCT_100])</f>
        <v>67</v>
      </c>
      <c r="J921" s="178">
        <f>(FME_Ranking1[[#This Row],[Structures 100 Raw]]/I$2)*100</f>
        <v>3.5877993402733156E-2</v>
      </c>
      <c r="K921" s="178">
        <f>FME_Ranking1[[#This Row],[Structures 100  Score (Normalized, Unweighted)]]*$I$3</f>
        <v>5.3816990104099734E-3</v>
      </c>
      <c r="L921" s="246">
        <f>_xlfn.XLOOKUP(FME_Ranking1[[#This Row],[FME ID]],FME_Input[FME_ID],FME_Input[RES_STRUCT100])</f>
        <v>57</v>
      </c>
      <c r="M921" s="230">
        <f>(FME_Ranking1[[#This Row],[Res Structures Raw]]/L$2)*100</f>
        <v>4.0373418707767277E-2</v>
      </c>
      <c r="N921" s="180">
        <f>FME_Ranking1[[#This Row],[Res Structures Score (Normalized, Unweighted)]]*$L$3</f>
        <v>4.0373418707767275E-3</v>
      </c>
      <c r="O921" s="244">
        <f>_xlfn.XLOOKUP(FME_Ranking1[[#This Row],[FME ID]],FME_Input[FME_ID],FME_Input[POP100])</f>
        <v>333</v>
      </c>
      <c r="P921" s="178">
        <f>(FME_Ranking1[[#This Row],[Pop Raw]]/$O$2)*100</f>
        <v>3.4090978892258178E-2</v>
      </c>
      <c r="Q921" s="178">
        <f>FME_Ranking1[[#This Row],[Pop Score (Normalized, Unweighted)]]*$O$3</f>
        <v>5.1136468338387267E-3</v>
      </c>
      <c r="R921" s="137">
        <f>_xlfn.XLOOKUP(FME_Ranking1[[#This Row],[FME ID]],FME_Input[FME_ID],FME_Input[CRITFAC100])</f>
        <v>1</v>
      </c>
      <c r="S921" s="230">
        <f>(FME_Ranking1[[#This Row],[Critical Facilities Raw]]/$R$2)*100</f>
        <v>4.2881646655231559E-2</v>
      </c>
      <c r="T921" s="180">
        <f>FME_Ranking1[[#This Row],[Critical Facilities Score (Normalized, Unweighted)]]*$R$3</f>
        <v>8.5763293310463125E-3</v>
      </c>
      <c r="U921">
        <f>_xlfn.XLOOKUP(FME_Ranking1[[#This Row],[FME ID]],FME_Input[FME_ID],FME_Input[LWC])</f>
        <v>8</v>
      </c>
      <c r="V921" s="178">
        <f>(FME_Ranking1[[#This Row],[LWC Raw]]/$U$2)*100</f>
        <v>0.46056419113413938</v>
      </c>
      <c r="W921" s="178">
        <f>FME_Ranking1[[#This Row],[LWC Score (Normalized, Unweighted)]]*$U$3</f>
        <v>9.2112838226827878E-2</v>
      </c>
      <c r="X921" s="246">
        <f>_xlfn.XLOOKUP(FME_Ranking1[[#This Row],[FME ID]],FME_Input[FME_ID],FME_Input[ROADCLS])</f>
        <v>0</v>
      </c>
      <c r="Y921" s="230">
        <f>(FME_Ranking1[[#This Row],[Closures Raw]]/$X$2)*100</f>
        <v>0</v>
      </c>
      <c r="Z921" s="180">
        <f>FME_Ranking1[[#This Row],[Closures Score (Normalized, Unweighted)]]*$X$3</f>
        <v>0</v>
      </c>
      <c r="AA921" s="253">
        <f>_xlfn.XLOOKUP(FME_Ranking1[[#This Row],[FME ID]],FME_Input[FME_ID],FME_Input[ROAD_MILES100])</f>
        <v>2.031960010528564</v>
      </c>
      <c r="AB921" s="178">
        <f>(FME_Ranking1[[#This Row],[Miles Raw]]/$AA$2)*100</f>
        <v>2.6716629647077224E-2</v>
      </c>
      <c r="AC921" s="178">
        <f>FME_Ranking1[[#This Row],[Miles Score (Normalized, Unweighted)]]*$AA$3</f>
        <v>2.6716629647077226E-3</v>
      </c>
      <c r="AD921" s="255">
        <f>_xlfn.XLOOKUP(FME_Ranking1[[#This Row],[FME ID]],FME_Input[FME_ID],FME_Input[FARMACRE100])</f>
        <v>32.621261596679688</v>
      </c>
      <c r="AE921" s="230">
        <f>(FME_Ranking1[[#This Row],[Ag Land Raw]]/$AD$2)*100</f>
        <v>1.3451547990491783E-3</v>
      </c>
      <c r="AF921" s="231">
        <f>FME_Ranking1[[#This Row],[Ag Land Score (Normalized, Unweighted)]]*$AD$3</f>
        <v>6.7257739952458921E-5</v>
      </c>
      <c r="AG92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0.1179607759775598</v>
      </c>
      <c r="AH921" s="406">
        <f t="shared" si="14"/>
        <v>977</v>
      </c>
      <c r="AI92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0.1179607759775598</v>
      </c>
      <c r="AJ921" s="257">
        <f>FME_Ranking1[[#This Row],[Addition check]]-FME_Ranking1[[#This Row],[Weighted Score Based on Normalized Reported Factors]]</f>
        <v>0</v>
      </c>
      <c r="AK921" s="178">
        <f>_xlfn.RANK.EQ(AI921,$AI$6:$AI$2341,0)+COUNTIF($AI$6:AI921,AI921)-1</f>
        <v>978</v>
      </c>
    </row>
    <row r="922" spans="1:37" x14ac:dyDescent="0.25">
      <c r="A922" t="s">
        <v>5264</v>
      </c>
      <c r="B922">
        <f>_xlfn.XLOOKUP(FME_Ranking1[[#This Row],[FME ID]],FME_Input[FME_ID],FME_Input[RFPG_NUM])</f>
        <v>3</v>
      </c>
      <c r="C922" t="str">
        <f>_xlfn.XLOOKUP(FME_Ranking1[[#This Row],[FME ID]],FME_Input[FME_ID],FME_Input[FME_NAME])</f>
        <v>Halls Branch at 6th Street</v>
      </c>
      <c r="D922" t="str">
        <f>_xlfn.XLOOKUP(FME_Ranking1[[#This Row],[FME ID]],FME_Input[FME_ID],FME_Input[DESCR])</f>
        <v>Evaluate bridge improvements for 6th Street over Halls Branch</v>
      </c>
      <c r="E922" s="256">
        <f>_xlfn.XLOOKUP(FME_Ranking1[[#This Row],[FME ID]],FME_Input[FME_ID],FME_Input[FME_COST])</f>
        <v>250000</v>
      </c>
      <c r="F922" t="str">
        <f>_xlfn.XLOOKUP(FME_Ranking1[[#This Row],[FME ID]],FME_Input[FME_ID],FME_Input[EMER_NEED])</f>
        <v>No</v>
      </c>
      <c r="G922">
        <f>IF(FME_Ranking!F922="Yes",100,0)</f>
        <v>0</v>
      </c>
      <c r="H922">
        <f>FME_Ranking1[[#This Row],[Emergency Need Score (Normalized, Unweighted)]]*$F$3</f>
        <v>0</v>
      </c>
      <c r="I922" s="246">
        <f>_xlfn.XLOOKUP(FME_Ranking1[[#This Row],[FME ID]],FME_Input[FME_ID],FME_Input[STRUCT_100])</f>
        <v>67</v>
      </c>
      <c r="J922" s="178">
        <f>(FME_Ranking1[[#This Row],[Structures 100 Raw]]/I$2)*100</f>
        <v>3.5877993402733156E-2</v>
      </c>
      <c r="K922" s="178">
        <f>FME_Ranking1[[#This Row],[Structures 100  Score (Normalized, Unweighted)]]*$I$3</f>
        <v>5.3816990104099734E-3</v>
      </c>
      <c r="L922" s="246">
        <f>_xlfn.XLOOKUP(FME_Ranking1[[#This Row],[FME ID]],FME_Input[FME_ID],FME_Input[RES_STRUCT100])</f>
        <v>57</v>
      </c>
      <c r="M922" s="230">
        <f>(FME_Ranking1[[#This Row],[Res Structures Raw]]/L$2)*100</f>
        <v>4.0373418707767277E-2</v>
      </c>
      <c r="N922" s="180">
        <f>FME_Ranking1[[#This Row],[Res Structures Score (Normalized, Unweighted)]]*$L$3</f>
        <v>4.0373418707767275E-3</v>
      </c>
      <c r="O922" s="244">
        <f>_xlfn.XLOOKUP(FME_Ranking1[[#This Row],[FME ID]],FME_Input[FME_ID],FME_Input[POP100])</f>
        <v>333</v>
      </c>
      <c r="P922" s="178">
        <f>(FME_Ranking1[[#This Row],[Pop Raw]]/$O$2)*100</f>
        <v>3.4090978892258178E-2</v>
      </c>
      <c r="Q922" s="178">
        <f>FME_Ranking1[[#This Row],[Pop Score (Normalized, Unweighted)]]*$O$3</f>
        <v>5.1136468338387267E-3</v>
      </c>
      <c r="R922" s="137">
        <f>_xlfn.XLOOKUP(FME_Ranking1[[#This Row],[FME ID]],FME_Input[FME_ID],FME_Input[CRITFAC100])</f>
        <v>1</v>
      </c>
      <c r="S922" s="230">
        <f>(FME_Ranking1[[#This Row],[Critical Facilities Raw]]/$R$2)*100</f>
        <v>4.2881646655231559E-2</v>
      </c>
      <c r="T922" s="180">
        <f>FME_Ranking1[[#This Row],[Critical Facilities Score (Normalized, Unweighted)]]*$R$3</f>
        <v>8.5763293310463125E-3</v>
      </c>
      <c r="U922">
        <f>_xlfn.XLOOKUP(FME_Ranking1[[#This Row],[FME ID]],FME_Input[FME_ID],FME_Input[LWC])</f>
        <v>8</v>
      </c>
      <c r="V922" s="178">
        <f>(FME_Ranking1[[#This Row],[LWC Raw]]/$U$2)*100</f>
        <v>0.46056419113413938</v>
      </c>
      <c r="W922" s="178">
        <f>FME_Ranking1[[#This Row],[LWC Score (Normalized, Unweighted)]]*$U$3</f>
        <v>9.2112838226827878E-2</v>
      </c>
      <c r="X922" s="246">
        <f>_xlfn.XLOOKUP(FME_Ranking1[[#This Row],[FME ID]],FME_Input[FME_ID],FME_Input[ROADCLS])</f>
        <v>0</v>
      </c>
      <c r="Y922" s="230">
        <f>(FME_Ranking1[[#This Row],[Closures Raw]]/$X$2)*100</f>
        <v>0</v>
      </c>
      <c r="Z922" s="180">
        <f>FME_Ranking1[[#This Row],[Closures Score (Normalized, Unweighted)]]*$X$3</f>
        <v>0</v>
      </c>
      <c r="AA922" s="253">
        <f>_xlfn.XLOOKUP(FME_Ranking1[[#This Row],[FME ID]],FME_Input[FME_ID],FME_Input[ROAD_MILES100])</f>
        <v>2.031960010528564</v>
      </c>
      <c r="AB922" s="178">
        <f>(FME_Ranking1[[#This Row],[Miles Raw]]/$AA$2)*100</f>
        <v>2.6716629647077224E-2</v>
      </c>
      <c r="AC922" s="178">
        <f>FME_Ranking1[[#This Row],[Miles Score (Normalized, Unweighted)]]*$AA$3</f>
        <v>2.6716629647077226E-3</v>
      </c>
      <c r="AD922" s="255">
        <f>_xlfn.XLOOKUP(FME_Ranking1[[#This Row],[FME ID]],FME_Input[FME_ID],FME_Input[FARMACRE100])</f>
        <v>32.621261596679688</v>
      </c>
      <c r="AE922" s="230">
        <f>(FME_Ranking1[[#This Row],[Ag Land Raw]]/$AD$2)*100</f>
        <v>1.3451547990491783E-3</v>
      </c>
      <c r="AF922" s="231">
        <f>FME_Ranking1[[#This Row],[Ag Land Score (Normalized, Unweighted)]]*$AD$3</f>
        <v>6.7257739952458921E-5</v>
      </c>
      <c r="AG92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0.1179607759775598</v>
      </c>
      <c r="AH922" s="406">
        <f t="shared" si="14"/>
        <v>977</v>
      </c>
      <c r="AI92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0.1179607759775598</v>
      </c>
      <c r="AJ922" s="257">
        <f>FME_Ranking1[[#This Row],[Addition check]]-FME_Ranking1[[#This Row],[Weighted Score Based on Normalized Reported Factors]]</f>
        <v>0</v>
      </c>
      <c r="AK922" s="178">
        <f>_xlfn.RANK.EQ(AI922,$AI$6:$AI$2341,0)+COUNTIF($AI$6:AI922,AI922)-1</f>
        <v>979</v>
      </c>
    </row>
    <row r="923" spans="1:37" x14ac:dyDescent="0.25">
      <c r="A923" t="s">
        <v>5267</v>
      </c>
      <c r="B923">
        <f>_xlfn.XLOOKUP(FME_Ranking1[[#This Row],[FME ID]],FME_Input[FME_ID],FME_Input[RFPG_NUM])</f>
        <v>3</v>
      </c>
      <c r="C923" t="str">
        <f>_xlfn.XLOOKUP(FME_Ranking1[[#This Row],[FME ID]],FME_Input[FME_ID],FME_Input[FME_NAME])</f>
        <v>Halls Branch at Cedar Street</v>
      </c>
      <c r="D923" t="str">
        <f>_xlfn.XLOOKUP(FME_Ranking1[[#This Row],[FME ID]],FME_Input[FME_ID],FME_Input[DESCR])</f>
        <v>Evaluate bridge improvements for Cedar Street over Halls Branch</v>
      </c>
      <c r="E923" s="256">
        <f>_xlfn.XLOOKUP(FME_Ranking1[[#This Row],[FME ID]],FME_Input[FME_ID],FME_Input[FME_COST])</f>
        <v>250000</v>
      </c>
      <c r="F923" t="str">
        <f>_xlfn.XLOOKUP(FME_Ranking1[[#This Row],[FME ID]],FME_Input[FME_ID],FME_Input[EMER_NEED])</f>
        <v>No</v>
      </c>
      <c r="G923">
        <f>IF(FME_Ranking!F923="Yes",100,0)</f>
        <v>0</v>
      </c>
      <c r="H923">
        <f>FME_Ranking1[[#This Row],[Emergency Need Score (Normalized, Unweighted)]]*$F$3</f>
        <v>0</v>
      </c>
      <c r="I923" s="246">
        <f>_xlfn.XLOOKUP(FME_Ranking1[[#This Row],[FME ID]],FME_Input[FME_ID],FME_Input[STRUCT_100])</f>
        <v>67</v>
      </c>
      <c r="J923" s="178">
        <f>(FME_Ranking1[[#This Row],[Structures 100 Raw]]/I$2)*100</f>
        <v>3.5877993402733156E-2</v>
      </c>
      <c r="K923" s="178">
        <f>FME_Ranking1[[#This Row],[Structures 100  Score (Normalized, Unweighted)]]*$I$3</f>
        <v>5.3816990104099734E-3</v>
      </c>
      <c r="L923" s="246">
        <f>_xlfn.XLOOKUP(FME_Ranking1[[#This Row],[FME ID]],FME_Input[FME_ID],FME_Input[RES_STRUCT100])</f>
        <v>57</v>
      </c>
      <c r="M923" s="230">
        <f>(FME_Ranking1[[#This Row],[Res Structures Raw]]/L$2)*100</f>
        <v>4.0373418707767277E-2</v>
      </c>
      <c r="N923" s="180">
        <f>FME_Ranking1[[#This Row],[Res Structures Score (Normalized, Unweighted)]]*$L$3</f>
        <v>4.0373418707767275E-3</v>
      </c>
      <c r="O923" s="244">
        <f>_xlfn.XLOOKUP(FME_Ranking1[[#This Row],[FME ID]],FME_Input[FME_ID],FME_Input[POP100])</f>
        <v>333</v>
      </c>
      <c r="P923" s="178">
        <f>(FME_Ranking1[[#This Row],[Pop Raw]]/$O$2)*100</f>
        <v>3.4090978892258178E-2</v>
      </c>
      <c r="Q923" s="178">
        <f>FME_Ranking1[[#This Row],[Pop Score (Normalized, Unweighted)]]*$O$3</f>
        <v>5.1136468338387267E-3</v>
      </c>
      <c r="R923" s="137">
        <f>_xlfn.XLOOKUP(FME_Ranking1[[#This Row],[FME ID]],FME_Input[FME_ID],FME_Input[CRITFAC100])</f>
        <v>1</v>
      </c>
      <c r="S923" s="230">
        <f>(FME_Ranking1[[#This Row],[Critical Facilities Raw]]/$R$2)*100</f>
        <v>4.2881646655231559E-2</v>
      </c>
      <c r="T923" s="180">
        <f>FME_Ranking1[[#This Row],[Critical Facilities Score (Normalized, Unweighted)]]*$R$3</f>
        <v>8.5763293310463125E-3</v>
      </c>
      <c r="U923">
        <f>_xlfn.XLOOKUP(FME_Ranking1[[#This Row],[FME ID]],FME_Input[FME_ID],FME_Input[LWC])</f>
        <v>8</v>
      </c>
      <c r="V923" s="178">
        <f>(FME_Ranking1[[#This Row],[LWC Raw]]/$U$2)*100</f>
        <v>0.46056419113413938</v>
      </c>
      <c r="W923" s="178">
        <f>FME_Ranking1[[#This Row],[LWC Score (Normalized, Unweighted)]]*$U$3</f>
        <v>9.2112838226827878E-2</v>
      </c>
      <c r="X923" s="246">
        <f>_xlfn.XLOOKUP(FME_Ranking1[[#This Row],[FME ID]],FME_Input[FME_ID],FME_Input[ROADCLS])</f>
        <v>0</v>
      </c>
      <c r="Y923" s="230">
        <f>(FME_Ranking1[[#This Row],[Closures Raw]]/$X$2)*100</f>
        <v>0</v>
      </c>
      <c r="Z923" s="180">
        <f>FME_Ranking1[[#This Row],[Closures Score (Normalized, Unweighted)]]*$X$3</f>
        <v>0</v>
      </c>
      <c r="AA923" s="253">
        <f>_xlfn.XLOOKUP(FME_Ranking1[[#This Row],[FME ID]],FME_Input[FME_ID],FME_Input[ROAD_MILES100])</f>
        <v>2.031960010528564</v>
      </c>
      <c r="AB923" s="178">
        <f>(FME_Ranking1[[#This Row],[Miles Raw]]/$AA$2)*100</f>
        <v>2.6716629647077224E-2</v>
      </c>
      <c r="AC923" s="178">
        <f>FME_Ranking1[[#This Row],[Miles Score (Normalized, Unweighted)]]*$AA$3</f>
        <v>2.6716629647077226E-3</v>
      </c>
      <c r="AD923" s="255">
        <f>_xlfn.XLOOKUP(FME_Ranking1[[#This Row],[FME ID]],FME_Input[FME_ID],FME_Input[FARMACRE100])</f>
        <v>32.621261596679688</v>
      </c>
      <c r="AE923" s="230">
        <f>(FME_Ranking1[[#This Row],[Ag Land Raw]]/$AD$2)*100</f>
        <v>1.3451547990491783E-3</v>
      </c>
      <c r="AF923" s="231">
        <f>FME_Ranking1[[#This Row],[Ag Land Score (Normalized, Unweighted)]]*$AD$3</f>
        <v>6.7257739952458921E-5</v>
      </c>
      <c r="AG92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0.1179607759775598</v>
      </c>
      <c r="AH923" s="406">
        <f t="shared" si="14"/>
        <v>977</v>
      </c>
      <c r="AI92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0.1179607759775598</v>
      </c>
      <c r="AJ923" s="257">
        <f>FME_Ranking1[[#This Row],[Addition check]]-FME_Ranking1[[#This Row],[Weighted Score Based on Normalized Reported Factors]]</f>
        <v>0</v>
      </c>
      <c r="AK923" s="178">
        <f>_xlfn.RANK.EQ(AI923,$AI$6:$AI$2341,0)+COUNTIF($AI$6:AI923,AI923)-1</f>
        <v>980</v>
      </c>
    </row>
    <row r="924" spans="1:37" x14ac:dyDescent="0.25">
      <c r="A924" t="s">
        <v>5270</v>
      </c>
      <c r="B924">
        <f>_xlfn.XLOOKUP(FME_Ranking1[[#This Row],[FME ID]],FME_Input[FME_ID],FME_Input[RFPG_NUM])</f>
        <v>3</v>
      </c>
      <c r="C924" t="str">
        <f>_xlfn.XLOOKUP(FME_Ranking1[[#This Row],[FME ID]],FME_Input[FME_ID],FME_Input[FME_NAME])</f>
        <v>Halls Branch at Main Street</v>
      </c>
      <c r="D924" t="str">
        <f>_xlfn.XLOOKUP(FME_Ranking1[[#This Row],[FME ID]],FME_Input[FME_ID],FME_Input[DESCR])</f>
        <v>Evaluate bridge improvements for Main Street over Halls Branch</v>
      </c>
      <c r="E924" s="256">
        <f>_xlfn.XLOOKUP(FME_Ranking1[[#This Row],[FME ID]],FME_Input[FME_ID],FME_Input[FME_COST])</f>
        <v>250000</v>
      </c>
      <c r="F924" t="str">
        <f>_xlfn.XLOOKUP(FME_Ranking1[[#This Row],[FME ID]],FME_Input[FME_ID],FME_Input[EMER_NEED])</f>
        <v>No</v>
      </c>
      <c r="G924">
        <f>IF(FME_Ranking!F924="Yes",100,0)</f>
        <v>0</v>
      </c>
      <c r="H924">
        <f>FME_Ranking1[[#This Row],[Emergency Need Score (Normalized, Unweighted)]]*$F$3</f>
        <v>0</v>
      </c>
      <c r="I924" s="246">
        <f>_xlfn.XLOOKUP(FME_Ranking1[[#This Row],[FME ID]],FME_Input[FME_ID],FME_Input[STRUCT_100])</f>
        <v>67</v>
      </c>
      <c r="J924" s="178">
        <f>(FME_Ranking1[[#This Row],[Structures 100 Raw]]/I$2)*100</f>
        <v>3.5877993402733156E-2</v>
      </c>
      <c r="K924" s="178">
        <f>FME_Ranking1[[#This Row],[Structures 100  Score (Normalized, Unweighted)]]*$I$3</f>
        <v>5.3816990104099734E-3</v>
      </c>
      <c r="L924" s="246">
        <f>_xlfn.XLOOKUP(FME_Ranking1[[#This Row],[FME ID]],FME_Input[FME_ID],FME_Input[RES_STRUCT100])</f>
        <v>57</v>
      </c>
      <c r="M924" s="230">
        <f>(FME_Ranking1[[#This Row],[Res Structures Raw]]/L$2)*100</f>
        <v>4.0373418707767277E-2</v>
      </c>
      <c r="N924" s="180">
        <f>FME_Ranking1[[#This Row],[Res Structures Score (Normalized, Unweighted)]]*$L$3</f>
        <v>4.0373418707767275E-3</v>
      </c>
      <c r="O924" s="244">
        <f>_xlfn.XLOOKUP(FME_Ranking1[[#This Row],[FME ID]],FME_Input[FME_ID],FME_Input[POP100])</f>
        <v>333</v>
      </c>
      <c r="P924" s="178">
        <f>(FME_Ranking1[[#This Row],[Pop Raw]]/$O$2)*100</f>
        <v>3.4090978892258178E-2</v>
      </c>
      <c r="Q924" s="178">
        <f>FME_Ranking1[[#This Row],[Pop Score (Normalized, Unweighted)]]*$O$3</f>
        <v>5.1136468338387267E-3</v>
      </c>
      <c r="R924" s="137">
        <f>_xlfn.XLOOKUP(FME_Ranking1[[#This Row],[FME ID]],FME_Input[FME_ID],FME_Input[CRITFAC100])</f>
        <v>1</v>
      </c>
      <c r="S924" s="230">
        <f>(FME_Ranking1[[#This Row],[Critical Facilities Raw]]/$R$2)*100</f>
        <v>4.2881646655231559E-2</v>
      </c>
      <c r="T924" s="180">
        <f>FME_Ranking1[[#This Row],[Critical Facilities Score (Normalized, Unweighted)]]*$R$3</f>
        <v>8.5763293310463125E-3</v>
      </c>
      <c r="U924">
        <f>_xlfn.XLOOKUP(FME_Ranking1[[#This Row],[FME ID]],FME_Input[FME_ID],FME_Input[LWC])</f>
        <v>8</v>
      </c>
      <c r="V924" s="178">
        <f>(FME_Ranking1[[#This Row],[LWC Raw]]/$U$2)*100</f>
        <v>0.46056419113413938</v>
      </c>
      <c r="W924" s="178">
        <f>FME_Ranking1[[#This Row],[LWC Score (Normalized, Unweighted)]]*$U$3</f>
        <v>9.2112838226827878E-2</v>
      </c>
      <c r="X924" s="246">
        <f>_xlfn.XLOOKUP(FME_Ranking1[[#This Row],[FME ID]],FME_Input[FME_ID],FME_Input[ROADCLS])</f>
        <v>0</v>
      </c>
      <c r="Y924" s="230">
        <f>(FME_Ranking1[[#This Row],[Closures Raw]]/$X$2)*100</f>
        <v>0</v>
      </c>
      <c r="Z924" s="180">
        <f>FME_Ranking1[[#This Row],[Closures Score (Normalized, Unweighted)]]*$X$3</f>
        <v>0</v>
      </c>
      <c r="AA924" s="253">
        <f>_xlfn.XLOOKUP(FME_Ranking1[[#This Row],[FME ID]],FME_Input[FME_ID],FME_Input[ROAD_MILES100])</f>
        <v>2.031960010528564</v>
      </c>
      <c r="AB924" s="178">
        <f>(FME_Ranking1[[#This Row],[Miles Raw]]/$AA$2)*100</f>
        <v>2.6716629647077224E-2</v>
      </c>
      <c r="AC924" s="178">
        <f>FME_Ranking1[[#This Row],[Miles Score (Normalized, Unweighted)]]*$AA$3</f>
        <v>2.6716629647077226E-3</v>
      </c>
      <c r="AD924" s="255">
        <f>_xlfn.XLOOKUP(FME_Ranking1[[#This Row],[FME ID]],FME_Input[FME_ID],FME_Input[FARMACRE100])</f>
        <v>32.621261596679688</v>
      </c>
      <c r="AE924" s="230">
        <f>(FME_Ranking1[[#This Row],[Ag Land Raw]]/$AD$2)*100</f>
        <v>1.3451547990491783E-3</v>
      </c>
      <c r="AF924" s="231">
        <f>FME_Ranking1[[#This Row],[Ag Land Score (Normalized, Unweighted)]]*$AD$3</f>
        <v>6.7257739952458921E-5</v>
      </c>
      <c r="AG92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0.1179607759775598</v>
      </c>
      <c r="AH924" s="406">
        <f t="shared" si="14"/>
        <v>977</v>
      </c>
      <c r="AI92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0.1179607759775598</v>
      </c>
      <c r="AJ924" s="257">
        <f>FME_Ranking1[[#This Row],[Addition check]]-FME_Ranking1[[#This Row],[Weighted Score Based on Normalized Reported Factors]]</f>
        <v>0</v>
      </c>
      <c r="AK924" s="178">
        <f>_xlfn.RANK.EQ(AI924,$AI$6:$AI$2341,0)+COUNTIF($AI$6:AI924,AI924)-1</f>
        <v>981</v>
      </c>
    </row>
    <row r="925" spans="1:37" x14ac:dyDescent="0.25">
      <c r="A925" t="s">
        <v>5273</v>
      </c>
      <c r="B925">
        <f>_xlfn.XLOOKUP(FME_Ranking1[[#This Row],[FME ID]],FME_Input[FME_ID],FME_Input[RFPG_NUM])</f>
        <v>3</v>
      </c>
      <c r="C925" t="str">
        <f>_xlfn.XLOOKUP(FME_Ranking1[[#This Row],[FME ID]],FME_Input[FME_ID],FME_Input[FME_NAME])</f>
        <v>Halls Branch at Redbud Lane</v>
      </c>
      <c r="D925" t="str">
        <f>_xlfn.XLOOKUP(FME_Ranking1[[#This Row],[FME ID]],FME_Input[FME_ID],FME_Input[DESCR])</f>
        <v>Evaluate bridge improvements for Redbud Lane over Halls Branch</v>
      </c>
      <c r="E925" s="256">
        <f>_xlfn.XLOOKUP(FME_Ranking1[[#This Row],[FME ID]],FME_Input[FME_ID],FME_Input[FME_COST])</f>
        <v>250000</v>
      </c>
      <c r="F925" t="str">
        <f>_xlfn.XLOOKUP(FME_Ranking1[[#This Row],[FME ID]],FME_Input[FME_ID],FME_Input[EMER_NEED])</f>
        <v>No</v>
      </c>
      <c r="G925">
        <f>IF(FME_Ranking!F925="Yes",100,0)</f>
        <v>0</v>
      </c>
      <c r="H925">
        <f>FME_Ranking1[[#This Row],[Emergency Need Score (Normalized, Unweighted)]]*$F$3</f>
        <v>0</v>
      </c>
      <c r="I925" s="246">
        <f>_xlfn.XLOOKUP(FME_Ranking1[[#This Row],[FME ID]],FME_Input[FME_ID],FME_Input[STRUCT_100])</f>
        <v>67</v>
      </c>
      <c r="J925" s="178">
        <f>(FME_Ranking1[[#This Row],[Structures 100 Raw]]/I$2)*100</f>
        <v>3.5877993402733156E-2</v>
      </c>
      <c r="K925" s="178">
        <f>FME_Ranking1[[#This Row],[Structures 100  Score (Normalized, Unweighted)]]*$I$3</f>
        <v>5.3816990104099734E-3</v>
      </c>
      <c r="L925" s="246">
        <f>_xlfn.XLOOKUP(FME_Ranking1[[#This Row],[FME ID]],FME_Input[FME_ID],FME_Input[RES_STRUCT100])</f>
        <v>57</v>
      </c>
      <c r="M925" s="230">
        <f>(FME_Ranking1[[#This Row],[Res Structures Raw]]/L$2)*100</f>
        <v>4.0373418707767277E-2</v>
      </c>
      <c r="N925" s="180">
        <f>FME_Ranking1[[#This Row],[Res Structures Score (Normalized, Unweighted)]]*$L$3</f>
        <v>4.0373418707767275E-3</v>
      </c>
      <c r="O925" s="244">
        <f>_xlfn.XLOOKUP(FME_Ranking1[[#This Row],[FME ID]],FME_Input[FME_ID],FME_Input[POP100])</f>
        <v>333</v>
      </c>
      <c r="P925" s="178">
        <f>(FME_Ranking1[[#This Row],[Pop Raw]]/$O$2)*100</f>
        <v>3.4090978892258178E-2</v>
      </c>
      <c r="Q925" s="178">
        <f>FME_Ranking1[[#This Row],[Pop Score (Normalized, Unweighted)]]*$O$3</f>
        <v>5.1136468338387267E-3</v>
      </c>
      <c r="R925" s="137">
        <f>_xlfn.XLOOKUP(FME_Ranking1[[#This Row],[FME ID]],FME_Input[FME_ID],FME_Input[CRITFAC100])</f>
        <v>1</v>
      </c>
      <c r="S925" s="230">
        <f>(FME_Ranking1[[#This Row],[Critical Facilities Raw]]/$R$2)*100</f>
        <v>4.2881646655231559E-2</v>
      </c>
      <c r="T925" s="180">
        <f>FME_Ranking1[[#This Row],[Critical Facilities Score (Normalized, Unweighted)]]*$R$3</f>
        <v>8.5763293310463125E-3</v>
      </c>
      <c r="U925">
        <f>_xlfn.XLOOKUP(FME_Ranking1[[#This Row],[FME ID]],FME_Input[FME_ID],FME_Input[LWC])</f>
        <v>8</v>
      </c>
      <c r="V925" s="178">
        <f>(FME_Ranking1[[#This Row],[LWC Raw]]/$U$2)*100</f>
        <v>0.46056419113413938</v>
      </c>
      <c r="W925" s="178">
        <f>FME_Ranking1[[#This Row],[LWC Score (Normalized, Unweighted)]]*$U$3</f>
        <v>9.2112838226827878E-2</v>
      </c>
      <c r="X925" s="246">
        <f>_xlfn.XLOOKUP(FME_Ranking1[[#This Row],[FME ID]],FME_Input[FME_ID],FME_Input[ROADCLS])</f>
        <v>0</v>
      </c>
      <c r="Y925" s="230">
        <f>(FME_Ranking1[[#This Row],[Closures Raw]]/$X$2)*100</f>
        <v>0</v>
      </c>
      <c r="Z925" s="180">
        <f>FME_Ranking1[[#This Row],[Closures Score (Normalized, Unweighted)]]*$X$3</f>
        <v>0</v>
      </c>
      <c r="AA925" s="253">
        <f>_xlfn.XLOOKUP(FME_Ranking1[[#This Row],[FME ID]],FME_Input[FME_ID],FME_Input[ROAD_MILES100])</f>
        <v>2.031960010528564</v>
      </c>
      <c r="AB925" s="178">
        <f>(FME_Ranking1[[#This Row],[Miles Raw]]/$AA$2)*100</f>
        <v>2.6716629647077224E-2</v>
      </c>
      <c r="AC925" s="178">
        <f>FME_Ranking1[[#This Row],[Miles Score (Normalized, Unweighted)]]*$AA$3</f>
        <v>2.6716629647077226E-3</v>
      </c>
      <c r="AD925" s="255">
        <f>_xlfn.XLOOKUP(FME_Ranking1[[#This Row],[FME ID]],FME_Input[FME_ID],FME_Input[FARMACRE100])</f>
        <v>32.621261596679688</v>
      </c>
      <c r="AE925" s="230">
        <f>(FME_Ranking1[[#This Row],[Ag Land Raw]]/$AD$2)*100</f>
        <v>1.3451547990491783E-3</v>
      </c>
      <c r="AF925" s="231">
        <f>FME_Ranking1[[#This Row],[Ag Land Score (Normalized, Unweighted)]]*$AD$3</f>
        <v>6.7257739952458921E-5</v>
      </c>
      <c r="AG92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0.1179607759775598</v>
      </c>
      <c r="AH925" s="406">
        <f t="shared" si="14"/>
        <v>977</v>
      </c>
      <c r="AI92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0.1179607759775598</v>
      </c>
      <c r="AJ925" s="257">
        <f>FME_Ranking1[[#This Row],[Addition check]]-FME_Ranking1[[#This Row],[Weighted Score Based on Normalized Reported Factors]]</f>
        <v>0</v>
      </c>
      <c r="AK925" s="178">
        <f>_xlfn.RANK.EQ(AI925,$AI$6:$AI$2341,0)+COUNTIF($AI$6:AI925,AI925)-1</f>
        <v>982</v>
      </c>
    </row>
    <row r="926" spans="1:37" x14ac:dyDescent="0.25">
      <c r="A926" t="s">
        <v>5310</v>
      </c>
      <c r="B926">
        <f>_xlfn.XLOOKUP(FME_Ranking1[[#This Row],[FME ID]],FME_Input[FME_ID],FME_Input[RFPG_NUM])</f>
        <v>3</v>
      </c>
      <c r="C926" t="str">
        <f>_xlfn.XLOOKUP(FME_Ranking1[[#This Row],[FME ID]],FME_Input[FME_ID],FME_Input[FME_NAME])</f>
        <v>Ten Mile Creek at Nokomis Road</v>
      </c>
      <c r="D926" t="str">
        <f>_xlfn.XLOOKUP(FME_Ranking1[[#This Row],[FME ID]],FME_Input[FME_ID],FME_Input[DESCR])</f>
        <v>Evaluate bridge improvements for Nokomis Road over Ten Mile Creek</v>
      </c>
      <c r="E926" s="256">
        <f>_xlfn.XLOOKUP(FME_Ranking1[[#This Row],[FME ID]],FME_Input[FME_ID],FME_Input[FME_COST])</f>
        <v>250000</v>
      </c>
      <c r="F926" t="str">
        <f>_xlfn.XLOOKUP(FME_Ranking1[[#This Row],[FME ID]],FME_Input[FME_ID],FME_Input[EMER_NEED])</f>
        <v>No</v>
      </c>
      <c r="G926">
        <f>IF(FME_Ranking!F926="Yes",100,0)</f>
        <v>0</v>
      </c>
      <c r="H926">
        <f>FME_Ranking1[[#This Row],[Emergency Need Score (Normalized, Unweighted)]]*$F$3</f>
        <v>0</v>
      </c>
      <c r="I926" s="246">
        <f>_xlfn.XLOOKUP(FME_Ranking1[[#This Row],[FME ID]],FME_Input[FME_ID],FME_Input[STRUCT_100])</f>
        <v>67</v>
      </c>
      <c r="J926" s="178">
        <f>(FME_Ranking1[[#This Row],[Structures 100 Raw]]/I$2)*100</f>
        <v>3.5877993402733156E-2</v>
      </c>
      <c r="K926" s="178">
        <f>FME_Ranking1[[#This Row],[Structures 100  Score (Normalized, Unweighted)]]*$I$3</f>
        <v>5.3816990104099734E-3</v>
      </c>
      <c r="L926" s="246">
        <f>_xlfn.XLOOKUP(FME_Ranking1[[#This Row],[FME ID]],FME_Input[FME_ID],FME_Input[RES_STRUCT100])</f>
        <v>57</v>
      </c>
      <c r="M926" s="230">
        <f>(FME_Ranking1[[#This Row],[Res Structures Raw]]/L$2)*100</f>
        <v>4.0373418707767277E-2</v>
      </c>
      <c r="N926" s="180">
        <f>FME_Ranking1[[#This Row],[Res Structures Score (Normalized, Unweighted)]]*$L$3</f>
        <v>4.0373418707767275E-3</v>
      </c>
      <c r="O926" s="244">
        <f>_xlfn.XLOOKUP(FME_Ranking1[[#This Row],[FME ID]],FME_Input[FME_ID],FME_Input[POP100])</f>
        <v>333</v>
      </c>
      <c r="P926" s="178">
        <f>(FME_Ranking1[[#This Row],[Pop Raw]]/$O$2)*100</f>
        <v>3.4090978892258178E-2</v>
      </c>
      <c r="Q926" s="178">
        <f>FME_Ranking1[[#This Row],[Pop Score (Normalized, Unweighted)]]*$O$3</f>
        <v>5.1136468338387267E-3</v>
      </c>
      <c r="R926" s="137">
        <f>_xlfn.XLOOKUP(FME_Ranking1[[#This Row],[FME ID]],FME_Input[FME_ID],FME_Input[CRITFAC100])</f>
        <v>1</v>
      </c>
      <c r="S926" s="230">
        <f>(FME_Ranking1[[#This Row],[Critical Facilities Raw]]/$R$2)*100</f>
        <v>4.2881646655231559E-2</v>
      </c>
      <c r="T926" s="180">
        <f>FME_Ranking1[[#This Row],[Critical Facilities Score (Normalized, Unweighted)]]*$R$3</f>
        <v>8.5763293310463125E-3</v>
      </c>
      <c r="U926">
        <f>_xlfn.XLOOKUP(FME_Ranking1[[#This Row],[FME ID]],FME_Input[FME_ID],FME_Input[LWC])</f>
        <v>8</v>
      </c>
      <c r="V926" s="178">
        <f>(FME_Ranking1[[#This Row],[LWC Raw]]/$U$2)*100</f>
        <v>0.46056419113413938</v>
      </c>
      <c r="W926" s="178">
        <f>FME_Ranking1[[#This Row],[LWC Score (Normalized, Unweighted)]]*$U$3</f>
        <v>9.2112838226827878E-2</v>
      </c>
      <c r="X926" s="246">
        <f>_xlfn.XLOOKUP(FME_Ranking1[[#This Row],[FME ID]],FME_Input[FME_ID],FME_Input[ROADCLS])</f>
        <v>0</v>
      </c>
      <c r="Y926" s="230">
        <f>(FME_Ranking1[[#This Row],[Closures Raw]]/$X$2)*100</f>
        <v>0</v>
      </c>
      <c r="Z926" s="180">
        <f>FME_Ranking1[[#This Row],[Closures Score (Normalized, Unweighted)]]*$X$3</f>
        <v>0</v>
      </c>
      <c r="AA926" s="253">
        <f>_xlfn.XLOOKUP(FME_Ranking1[[#This Row],[FME ID]],FME_Input[FME_ID],FME_Input[ROAD_MILES100])</f>
        <v>2.031960010528564</v>
      </c>
      <c r="AB926" s="178">
        <f>(FME_Ranking1[[#This Row],[Miles Raw]]/$AA$2)*100</f>
        <v>2.6716629647077224E-2</v>
      </c>
      <c r="AC926" s="178">
        <f>FME_Ranking1[[#This Row],[Miles Score (Normalized, Unweighted)]]*$AA$3</f>
        <v>2.6716629647077226E-3</v>
      </c>
      <c r="AD926" s="255">
        <f>_xlfn.XLOOKUP(FME_Ranking1[[#This Row],[FME ID]],FME_Input[FME_ID],FME_Input[FARMACRE100])</f>
        <v>32.621261596679688</v>
      </c>
      <c r="AE926" s="230">
        <f>(FME_Ranking1[[#This Row],[Ag Land Raw]]/$AD$2)*100</f>
        <v>1.3451547990491783E-3</v>
      </c>
      <c r="AF926" s="231">
        <f>FME_Ranking1[[#This Row],[Ag Land Score (Normalized, Unweighted)]]*$AD$3</f>
        <v>6.7257739952458921E-5</v>
      </c>
      <c r="AG92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0.1179607759775598</v>
      </c>
      <c r="AH926" s="406">
        <f t="shared" si="14"/>
        <v>977</v>
      </c>
      <c r="AI92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0.1179607759775598</v>
      </c>
      <c r="AJ926" s="257">
        <f>FME_Ranking1[[#This Row],[Addition check]]-FME_Ranking1[[#This Row],[Weighted Score Based on Normalized Reported Factors]]</f>
        <v>0</v>
      </c>
      <c r="AK926" s="178">
        <f>_xlfn.RANK.EQ(AI926,$AI$6:$AI$2341,0)+COUNTIF($AI$6:AI926,AI926)-1</f>
        <v>983</v>
      </c>
    </row>
    <row r="927" spans="1:37" x14ac:dyDescent="0.25">
      <c r="A927" t="s">
        <v>5313</v>
      </c>
      <c r="B927">
        <f>_xlfn.XLOOKUP(FME_Ranking1[[#This Row],[FME ID]],FME_Input[FME_ID],FME_Input[RFPG_NUM])</f>
        <v>3</v>
      </c>
      <c r="C927" t="str">
        <f>_xlfn.XLOOKUP(FME_Ranking1[[#This Row],[FME ID]],FME_Input[FME_ID],FME_Input[FME_NAME])</f>
        <v>Ten Mile Creek at Old Red Oak Road</v>
      </c>
      <c r="D927" t="str">
        <f>_xlfn.XLOOKUP(FME_Ranking1[[#This Row],[FME ID]],FME_Input[FME_ID],FME_Input[DESCR])</f>
        <v>Evaluate bridge improvements for Road over Ten Mile Creek at Old Red</v>
      </c>
      <c r="E927" s="256">
        <f>_xlfn.XLOOKUP(FME_Ranking1[[#This Row],[FME ID]],FME_Input[FME_ID],FME_Input[FME_COST])</f>
        <v>250000</v>
      </c>
      <c r="F927" t="str">
        <f>_xlfn.XLOOKUP(FME_Ranking1[[#This Row],[FME ID]],FME_Input[FME_ID],FME_Input[EMER_NEED])</f>
        <v>No</v>
      </c>
      <c r="G927">
        <f>IF(FME_Ranking!F927="Yes",100,0)</f>
        <v>0</v>
      </c>
      <c r="H927">
        <f>FME_Ranking1[[#This Row],[Emergency Need Score (Normalized, Unweighted)]]*$F$3</f>
        <v>0</v>
      </c>
      <c r="I927" s="246">
        <f>_xlfn.XLOOKUP(FME_Ranking1[[#This Row],[FME ID]],FME_Input[FME_ID],FME_Input[STRUCT_100])</f>
        <v>67</v>
      </c>
      <c r="J927" s="178">
        <f>(FME_Ranking1[[#This Row],[Structures 100 Raw]]/I$2)*100</f>
        <v>3.5877993402733156E-2</v>
      </c>
      <c r="K927" s="178">
        <f>FME_Ranking1[[#This Row],[Structures 100  Score (Normalized, Unweighted)]]*$I$3</f>
        <v>5.3816990104099734E-3</v>
      </c>
      <c r="L927" s="246">
        <f>_xlfn.XLOOKUP(FME_Ranking1[[#This Row],[FME ID]],FME_Input[FME_ID],FME_Input[RES_STRUCT100])</f>
        <v>57</v>
      </c>
      <c r="M927" s="230">
        <f>(FME_Ranking1[[#This Row],[Res Structures Raw]]/L$2)*100</f>
        <v>4.0373418707767277E-2</v>
      </c>
      <c r="N927" s="180">
        <f>FME_Ranking1[[#This Row],[Res Structures Score (Normalized, Unweighted)]]*$L$3</f>
        <v>4.0373418707767275E-3</v>
      </c>
      <c r="O927" s="244">
        <f>_xlfn.XLOOKUP(FME_Ranking1[[#This Row],[FME ID]],FME_Input[FME_ID],FME_Input[POP100])</f>
        <v>333</v>
      </c>
      <c r="P927" s="178">
        <f>(FME_Ranking1[[#This Row],[Pop Raw]]/$O$2)*100</f>
        <v>3.4090978892258178E-2</v>
      </c>
      <c r="Q927" s="178">
        <f>FME_Ranking1[[#This Row],[Pop Score (Normalized, Unweighted)]]*$O$3</f>
        <v>5.1136468338387267E-3</v>
      </c>
      <c r="R927" s="137">
        <f>_xlfn.XLOOKUP(FME_Ranking1[[#This Row],[FME ID]],FME_Input[FME_ID],FME_Input[CRITFAC100])</f>
        <v>1</v>
      </c>
      <c r="S927" s="230">
        <f>(FME_Ranking1[[#This Row],[Critical Facilities Raw]]/$R$2)*100</f>
        <v>4.2881646655231559E-2</v>
      </c>
      <c r="T927" s="180">
        <f>FME_Ranking1[[#This Row],[Critical Facilities Score (Normalized, Unweighted)]]*$R$3</f>
        <v>8.5763293310463125E-3</v>
      </c>
      <c r="U927">
        <f>_xlfn.XLOOKUP(FME_Ranking1[[#This Row],[FME ID]],FME_Input[FME_ID],FME_Input[LWC])</f>
        <v>8</v>
      </c>
      <c r="V927" s="178">
        <f>(FME_Ranking1[[#This Row],[LWC Raw]]/$U$2)*100</f>
        <v>0.46056419113413938</v>
      </c>
      <c r="W927" s="178">
        <f>FME_Ranking1[[#This Row],[LWC Score (Normalized, Unweighted)]]*$U$3</f>
        <v>9.2112838226827878E-2</v>
      </c>
      <c r="X927" s="246">
        <f>_xlfn.XLOOKUP(FME_Ranking1[[#This Row],[FME ID]],FME_Input[FME_ID],FME_Input[ROADCLS])</f>
        <v>0</v>
      </c>
      <c r="Y927" s="230">
        <f>(FME_Ranking1[[#This Row],[Closures Raw]]/$X$2)*100</f>
        <v>0</v>
      </c>
      <c r="Z927" s="180">
        <f>FME_Ranking1[[#This Row],[Closures Score (Normalized, Unweighted)]]*$X$3</f>
        <v>0</v>
      </c>
      <c r="AA927" s="253">
        <f>_xlfn.XLOOKUP(FME_Ranking1[[#This Row],[FME ID]],FME_Input[FME_ID],FME_Input[ROAD_MILES100])</f>
        <v>2.031960010528564</v>
      </c>
      <c r="AB927" s="178">
        <f>(FME_Ranking1[[#This Row],[Miles Raw]]/$AA$2)*100</f>
        <v>2.6716629647077224E-2</v>
      </c>
      <c r="AC927" s="178">
        <f>FME_Ranking1[[#This Row],[Miles Score (Normalized, Unweighted)]]*$AA$3</f>
        <v>2.6716629647077226E-3</v>
      </c>
      <c r="AD927" s="255">
        <f>_xlfn.XLOOKUP(FME_Ranking1[[#This Row],[FME ID]],FME_Input[FME_ID],FME_Input[FARMACRE100])</f>
        <v>32.621261596679688</v>
      </c>
      <c r="AE927" s="230">
        <f>(FME_Ranking1[[#This Row],[Ag Land Raw]]/$AD$2)*100</f>
        <v>1.3451547990491783E-3</v>
      </c>
      <c r="AF927" s="231">
        <f>FME_Ranking1[[#This Row],[Ag Land Score (Normalized, Unweighted)]]*$AD$3</f>
        <v>6.7257739952458921E-5</v>
      </c>
      <c r="AG92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0.1179607759775598</v>
      </c>
      <c r="AH927" s="406">
        <f t="shared" si="14"/>
        <v>977</v>
      </c>
      <c r="AI92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0.1179607759775598</v>
      </c>
      <c r="AJ927" s="257">
        <f>FME_Ranking1[[#This Row],[Addition check]]-FME_Ranking1[[#This Row],[Weighted Score Based on Normalized Reported Factors]]</f>
        <v>0</v>
      </c>
      <c r="AK927" s="178">
        <f>_xlfn.RANK.EQ(AI927,$AI$6:$AI$2341,0)+COUNTIF($AI$6:AI927,AI927)-1</f>
        <v>984</v>
      </c>
    </row>
    <row r="928" spans="1:37" x14ac:dyDescent="0.25">
      <c r="A928" t="s">
        <v>5316</v>
      </c>
      <c r="B928">
        <f>_xlfn.XLOOKUP(FME_Ranking1[[#This Row],[FME ID]],FME_Input[FME_ID],FME_Input[RFPG_NUM])</f>
        <v>3</v>
      </c>
      <c r="C928" t="str">
        <f>_xlfn.XLOOKUP(FME_Ranking1[[#This Row],[FME ID]],FME_Input[FME_ID],FME_Input[FME_NAME])</f>
        <v>Ten Mile Creek at SH 342</v>
      </c>
      <c r="D928" t="str">
        <f>_xlfn.XLOOKUP(FME_Ranking1[[#This Row],[FME ID]],FME_Input[FME_ID],FME_Input[DESCR])</f>
        <v>Evaluate bridge improvements for SH 342 over Ten Mile Creek</v>
      </c>
      <c r="E928" s="256">
        <f>_xlfn.XLOOKUP(FME_Ranking1[[#This Row],[FME ID]],FME_Input[FME_ID],FME_Input[FME_COST])</f>
        <v>250000</v>
      </c>
      <c r="F928" t="str">
        <f>_xlfn.XLOOKUP(FME_Ranking1[[#This Row],[FME ID]],FME_Input[FME_ID],FME_Input[EMER_NEED])</f>
        <v>No</v>
      </c>
      <c r="G928">
        <f>IF(FME_Ranking!F928="Yes",100,0)</f>
        <v>0</v>
      </c>
      <c r="H928">
        <f>FME_Ranking1[[#This Row],[Emergency Need Score (Normalized, Unweighted)]]*$F$3</f>
        <v>0</v>
      </c>
      <c r="I928" s="246">
        <f>_xlfn.XLOOKUP(FME_Ranking1[[#This Row],[FME ID]],FME_Input[FME_ID],FME_Input[STRUCT_100])</f>
        <v>67</v>
      </c>
      <c r="J928" s="178">
        <f>(FME_Ranking1[[#This Row],[Structures 100 Raw]]/I$2)*100</f>
        <v>3.5877993402733156E-2</v>
      </c>
      <c r="K928" s="178">
        <f>FME_Ranking1[[#This Row],[Structures 100  Score (Normalized, Unweighted)]]*$I$3</f>
        <v>5.3816990104099734E-3</v>
      </c>
      <c r="L928" s="246">
        <f>_xlfn.XLOOKUP(FME_Ranking1[[#This Row],[FME ID]],FME_Input[FME_ID],FME_Input[RES_STRUCT100])</f>
        <v>57</v>
      </c>
      <c r="M928" s="230">
        <f>(FME_Ranking1[[#This Row],[Res Structures Raw]]/L$2)*100</f>
        <v>4.0373418707767277E-2</v>
      </c>
      <c r="N928" s="180">
        <f>FME_Ranking1[[#This Row],[Res Structures Score (Normalized, Unweighted)]]*$L$3</f>
        <v>4.0373418707767275E-3</v>
      </c>
      <c r="O928" s="244">
        <f>_xlfn.XLOOKUP(FME_Ranking1[[#This Row],[FME ID]],FME_Input[FME_ID],FME_Input[POP100])</f>
        <v>333</v>
      </c>
      <c r="P928" s="178">
        <f>(FME_Ranking1[[#This Row],[Pop Raw]]/$O$2)*100</f>
        <v>3.4090978892258178E-2</v>
      </c>
      <c r="Q928" s="178">
        <f>FME_Ranking1[[#This Row],[Pop Score (Normalized, Unweighted)]]*$O$3</f>
        <v>5.1136468338387267E-3</v>
      </c>
      <c r="R928" s="137">
        <f>_xlfn.XLOOKUP(FME_Ranking1[[#This Row],[FME ID]],FME_Input[FME_ID],FME_Input[CRITFAC100])</f>
        <v>1</v>
      </c>
      <c r="S928" s="230">
        <f>(FME_Ranking1[[#This Row],[Critical Facilities Raw]]/$R$2)*100</f>
        <v>4.2881646655231559E-2</v>
      </c>
      <c r="T928" s="180">
        <f>FME_Ranking1[[#This Row],[Critical Facilities Score (Normalized, Unweighted)]]*$R$3</f>
        <v>8.5763293310463125E-3</v>
      </c>
      <c r="U928">
        <f>_xlfn.XLOOKUP(FME_Ranking1[[#This Row],[FME ID]],FME_Input[FME_ID],FME_Input[LWC])</f>
        <v>8</v>
      </c>
      <c r="V928" s="178">
        <f>(FME_Ranking1[[#This Row],[LWC Raw]]/$U$2)*100</f>
        <v>0.46056419113413938</v>
      </c>
      <c r="W928" s="178">
        <f>FME_Ranking1[[#This Row],[LWC Score (Normalized, Unweighted)]]*$U$3</f>
        <v>9.2112838226827878E-2</v>
      </c>
      <c r="X928" s="246">
        <f>_xlfn.XLOOKUP(FME_Ranking1[[#This Row],[FME ID]],FME_Input[FME_ID],FME_Input[ROADCLS])</f>
        <v>0</v>
      </c>
      <c r="Y928" s="230">
        <f>(FME_Ranking1[[#This Row],[Closures Raw]]/$X$2)*100</f>
        <v>0</v>
      </c>
      <c r="Z928" s="180">
        <f>FME_Ranking1[[#This Row],[Closures Score (Normalized, Unweighted)]]*$X$3</f>
        <v>0</v>
      </c>
      <c r="AA928" s="253">
        <f>_xlfn.XLOOKUP(FME_Ranking1[[#This Row],[FME ID]],FME_Input[FME_ID],FME_Input[ROAD_MILES100])</f>
        <v>2.031960010528564</v>
      </c>
      <c r="AB928" s="178">
        <f>(FME_Ranking1[[#This Row],[Miles Raw]]/$AA$2)*100</f>
        <v>2.6716629647077224E-2</v>
      </c>
      <c r="AC928" s="178">
        <f>FME_Ranking1[[#This Row],[Miles Score (Normalized, Unweighted)]]*$AA$3</f>
        <v>2.6716629647077226E-3</v>
      </c>
      <c r="AD928" s="255">
        <f>_xlfn.XLOOKUP(FME_Ranking1[[#This Row],[FME ID]],FME_Input[FME_ID],FME_Input[FARMACRE100])</f>
        <v>32.621261596679688</v>
      </c>
      <c r="AE928" s="230">
        <f>(FME_Ranking1[[#This Row],[Ag Land Raw]]/$AD$2)*100</f>
        <v>1.3451547990491783E-3</v>
      </c>
      <c r="AF928" s="231">
        <f>FME_Ranking1[[#This Row],[Ag Land Score (Normalized, Unweighted)]]*$AD$3</f>
        <v>6.7257739952458921E-5</v>
      </c>
      <c r="AG92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0.1179607759775598</v>
      </c>
      <c r="AH928" s="406">
        <f t="shared" si="14"/>
        <v>977</v>
      </c>
      <c r="AI92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0.1179607759775598</v>
      </c>
      <c r="AJ928" s="257">
        <f>FME_Ranking1[[#This Row],[Addition check]]-FME_Ranking1[[#This Row],[Weighted Score Based on Normalized Reported Factors]]</f>
        <v>0</v>
      </c>
      <c r="AK928" s="178">
        <f>_xlfn.RANK.EQ(AI928,$AI$6:$AI$2341,0)+COUNTIF($AI$6:AI928,AI928)-1</f>
        <v>985</v>
      </c>
    </row>
    <row r="929" spans="1:37" x14ac:dyDescent="0.25">
      <c r="A929" t="s">
        <v>1482</v>
      </c>
      <c r="B929">
        <f>_xlfn.XLOOKUP(FME_Ranking1[[#This Row],[FME ID]],FME_Input[FME_ID],FME_Input[RFPG_NUM])</f>
        <v>6</v>
      </c>
      <c r="C929" t="str">
        <f>_xlfn.XLOOKUP(FME_Ranking1[[#This Row],[FME ID]],FME_Input[FME_ID],FME_Input[FME_NAME])</f>
        <v>Greens Bayou - P103-00-00</v>
      </c>
      <c r="D929" t="str">
        <f>_xlfn.XLOOKUP(FME_Ranking1[[#This Row],[FME ID]],FME_Input[FME_ID],FME_Input[DESCR])</f>
        <v>Further study of Flood Risk Reduction need identified through the HCFCD 'Watershed Planning Tool' to determine channel modifications needed to restore/improve channel conveyance including Atlas 14 rainfall.</v>
      </c>
      <c r="E929" s="256">
        <f>_xlfn.XLOOKUP(FME_Ranking1[[#This Row],[FME ID]],FME_Input[FME_ID],FME_Input[FME_COST])</f>
        <v>100000</v>
      </c>
      <c r="F929" t="str">
        <f>_xlfn.XLOOKUP(FME_Ranking1[[#This Row],[FME ID]],FME_Input[FME_ID],FME_Input[EMER_NEED])</f>
        <v>No</v>
      </c>
      <c r="G929">
        <f>IF(FME_Ranking!F929="Yes",100,0)</f>
        <v>0</v>
      </c>
      <c r="H929">
        <f>FME_Ranking1[[#This Row],[Emergency Need Score (Normalized, Unweighted)]]*$F$3</f>
        <v>0</v>
      </c>
      <c r="I929" s="246">
        <f>_xlfn.XLOOKUP(FME_Ranking1[[#This Row],[FME ID]],FME_Input[FME_ID],FME_Input[STRUCT_100])</f>
        <v>391</v>
      </c>
      <c r="J929" s="178">
        <f>(FME_Ranking1[[#This Row],[Structures 100 Raw]]/I$2)*100</f>
        <v>0.2093775435890845</v>
      </c>
      <c r="K929" s="178">
        <f>FME_Ranking1[[#This Row],[Structures 100  Score (Normalized, Unweighted)]]*$I$3</f>
        <v>3.1406631538362671E-2</v>
      </c>
      <c r="L929" s="246">
        <f>_xlfn.XLOOKUP(FME_Ranking1[[#This Row],[FME ID]],FME_Input[FME_ID],FME_Input[RES_STRUCT100])</f>
        <v>197</v>
      </c>
      <c r="M929" s="230">
        <f>(FME_Ranking1[[#This Row],[Res Structures Raw]]/L$2)*100</f>
        <v>0.13953620149877463</v>
      </c>
      <c r="N929" s="180">
        <f>FME_Ranking1[[#This Row],[Res Structures Score (Normalized, Unweighted)]]*$L$3</f>
        <v>1.3953620149877465E-2</v>
      </c>
      <c r="O929" s="244">
        <f>_xlfn.XLOOKUP(FME_Ranking1[[#This Row],[FME ID]],FME_Input[FME_ID],FME_Input[POP100])</f>
        <v>1750</v>
      </c>
      <c r="P929" s="178">
        <f>(FME_Ranking1[[#This Row],[Pop Raw]]/$O$2)*100</f>
        <v>0.17915679598033574</v>
      </c>
      <c r="Q929" s="178">
        <f>FME_Ranking1[[#This Row],[Pop Score (Normalized, Unweighted)]]*$O$3</f>
        <v>2.687351939705036E-2</v>
      </c>
      <c r="R929" s="137">
        <f>_xlfn.XLOOKUP(FME_Ranking1[[#This Row],[FME ID]],FME_Input[FME_ID],FME_Input[CRITFAC100])</f>
        <v>5</v>
      </c>
      <c r="S929" s="230">
        <f>(FME_Ranking1[[#This Row],[Critical Facilities Raw]]/$R$2)*100</f>
        <v>0.21440823327615782</v>
      </c>
      <c r="T929" s="180">
        <f>FME_Ranking1[[#This Row],[Critical Facilities Score (Normalized, Unweighted)]]*$R$3</f>
        <v>4.2881646655231566E-2</v>
      </c>
      <c r="U929">
        <f>_xlfn.XLOOKUP(FME_Ranking1[[#This Row],[FME ID]],FME_Input[FME_ID],FME_Input[LWC])</f>
        <v>0</v>
      </c>
      <c r="V929" s="178">
        <f>(FME_Ranking1[[#This Row],[LWC Raw]]/$U$2)*100</f>
        <v>0</v>
      </c>
      <c r="W929" s="178">
        <f>FME_Ranking1[[#This Row],[LWC Score (Normalized, Unweighted)]]*$U$3</f>
        <v>0</v>
      </c>
      <c r="X929" s="246">
        <f>_xlfn.XLOOKUP(FME_Ranking1[[#This Row],[FME ID]],FME_Input[FME_ID],FME_Input[ROADCLS])</f>
        <v>0</v>
      </c>
      <c r="Y929" s="230">
        <f>(FME_Ranking1[[#This Row],[Closures Raw]]/$X$2)*100</f>
        <v>0</v>
      </c>
      <c r="Z929" s="180">
        <f>FME_Ranking1[[#This Row],[Closures Score (Normalized, Unweighted)]]*$X$3</f>
        <v>0</v>
      </c>
      <c r="AA929" s="253">
        <f>_xlfn.XLOOKUP(FME_Ranking1[[#This Row],[FME ID]],FME_Input[FME_ID],FME_Input[ROAD_MILES100])</f>
        <v>6.689638614654541</v>
      </c>
      <c r="AB929" s="178">
        <f>(FME_Ranking1[[#This Row],[Miles Raw]]/$AA$2)*100</f>
        <v>8.7956749352572819E-2</v>
      </c>
      <c r="AC929" s="178">
        <f>FME_Ranking1[[#This Row],[Miles Score (Normalized, Unweighted)]]*$AA$3</f>
        <v>8.7956749352572829E-3</v>
      </c>
      <c r="AD929" s="255">
        <f>_xlfn.XLOOKUP(FME_Ranking1[[#This Row],[FME ID]],FME_Input[FME_ID],FME_Input[FARMACRE100])</f>
        <v>15.068278312683111</v>
      </c>
      <c r="AE929" s="230">
        <f>(FME_Ranking1[[#This Row],[Ag Land Raw]]/$AD$2)*100</f>
        <v>6.2134834441159113E-4</v>
      </c>
      <c r="AF929" s="231">
        <f>FME_Ranking1[[#This Row],[Ag Land Score (Normalized, Unweighted)]]*$AD$3</f>
        <v>3.1067417220579556E-5</v>
      </c>
      <c r="AG92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0.12394216009299991</v>
      </c>
      <c r="AH929" s="406">
        <f t="shared" si="14"/>
        <v>971</v>
      </c>
      <c r="AI92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0.12394216009299991</v>
      </c>
      <c r="AJ929" s="257">
        <f>FME_Ranking1[[#This Row],[Addition check]]-FME_Ranking1[[#This Row],[Weighted Score Based on Normalized Reported Factors]]</f>
        <v>0</v>
      </c>
      <c r="AK929" s="178">
        <f>_xlfn.RANK.EQ(AI929,$AI$6:$AI$2341,0)+COUNTIF($AI$6:AI929,AI929)-1</f>
        <v>971</v>
      </c>
    </row>
    <row r="930" spans="1:37" x14ac:dyDescent="0.25">
      <c r="A930" t="s">
        <v>1282</v>
      </c>
      <c r="B930">
        <f>_xlfn.XLOOKUP(FME_Ranking1[[#This Row],[FME ID]],FME_Input[FME_ID],FME_Input[RFPG_NUM])</f>
        <v>6</v>
      </c>
      <c r="C930" t="str">
        <f>_xlfn.XLOOKUP(FME_Ranking1[[#This Row],[FME ID]],FME_Input[FME_ID],FME_Input[FME_NAME])</f>
        <v>Flood Gates Evaluation at Walker County Annex #2</v>
      </c>
      <c r="D930" t="str">
        <f>_xlfn.XLOOKUP(FME_Ranking1[[#This Row],[FME ID]],FME_Input[FME_ID],FME_Input[DESCR])</f>
        <v>Evaluation of proposed removable facility flood gates at Walker County Annex #2</v>
      </c>
      <c r="E930" s="256">
        <f>_xlfn.XLOOKUP(FME_Ranking1[[#This Row],[FME ID]],FME_Input[FME_ID],FME_Input[FME_COST])</f>
        <v>20000</v>
      </c>
      <c r="F930" t="str">
        <f>_xlfn.XLOOKUP(FME_Ranking1[[#This Row],[FME ID]],FME_Input[FME_ID],FME_Input[EMER_NEED])</f>
        <v>No</v>
      </c>
      <c r="G930">
        <f>IF(FME_Ranking!F930="Yes",100,0)</f>
        <v>0</v>
      </c>
      <c r="H930">
        <f>FME_Ranking1[[#This Row],[Emergency Need Score (Normalized, Unweighted)]]*$F$3</f>
        <v>0</v>
      </c>
      <c r="I930" s="246">
        <f>_xlfn.XLOOKUP(FME_Ranking1[[#This Row],[FME ID]],FME_Input[FME_ID],FME_Input[STRUCT_100])</f>
        <v>505</v>
      </c>
      <c r="J930" s="178">
        <f>(FME_Ranking1[[#This Row],[Structures 100 Raw]]/I$2)*100</f>
        <v>0.2704236816176156</v>
      </c>
      <c r="K930" s="178">
        <f>FME_Ranking1[[#This Row],[Structures 100  Score (Normalized, Unweighted)]]*$I$3</f>
        <v>4.0563552242642339E-2</v>
      </c>
      <c r="L930" s="246">
        <f>_xlfn.XLOOKUP(FME_Ranking1[[#This Row],[FME ID]],FME_Input[FME_ID],FME_Input[RES_STRUCT100])</f>
        <v>437</v>
      </c>
      <c r="M930" s="230">
        <f>(FME_Ranking1[[#This Row],[Res Structures Raw]]/L$2)*100</f>
        <v>0.3095295434262158</v>
      </c>
      <c r="N930" s="180">
        <f>FME_Ranking1[[#This Row],[Res Structures Score (Normalized, Unweighted)]]*$L$3</f>
        <v>3.0952954342621582E-2</v>
      </c>
      <c r="O930" s="244">
        <f>_xlfn.XLOOKUP(FME_Ranking1[[#This Row],[FME ID]],FME_Input[FME_ID],FME_Input[POP100])</f>
        <v>657</v>
      </c>
      <c r="P930" s="178">
        <f>(FME_Ranking1[[#This Row],[Pop Raw]]/$O$2)*100</f>
        <v>6.7260579976617482E-2</v>
      </c>
      <c r="Q930" s="178">
        <f>FME_Ranking1[[#This Row],[Pop Score (Normalized, Unweighted)]]*$O$3</f>
        <v>1.0089086996492622E-2</v>
      </c>
      <c r="R930" s="137">
        <f>_xlfn.XLOOKUP(FME_Ranking1[[#This Row],[FME ID]],FME_Input[FME_ID],FME_Input[CRITFAC100])</f>
        <v>1</v>
      </c>
      <c r="S930" s="230">
        <f>(FME_Ranking1[[#This Row],[Critical Facilities Raw]]/$R$2)*100</f>
        <v>4.2881646655231559E-2</v>
      </c>
      <c r="T930" s="180">
        <f>FME_Ranking1[[#This Row],[Critical Facilities Score (Normalized, Unweighted)]]*$R$3</f>
        <v>8.5763293310463125E-3</v>
      </c>
      <c r="U930">
        <f>_xlfn.XLOOKUP(FME_Ranking1[[#This Row],[FME ID]],FME_Input[FME_ID],FME_Input[LWC])</f>
        <v>2</v>
      </c>
      <c r="V930" s="178">
        <f>(FME_Ranking1[[#This Row],[LWC Raw]]/$U$2)*100</f>
        <v>0.11514104778353484</v>
      </c>
      <c r="W930" s="178">
        <f>FME_Ranking1[[#This Row],[LWC Score (Normalized, Unweighted)]]*$U$3</f>
        <v>2.302820955670697E-2</v>
      </c>
      <c r="X930" s="246">
        <f>_xlfn.XLOOKUP(FME_Ranking1[[#This Row],[FME ID]],FME_Input[FME_ID],FME_Input[ROADCLS])</f>
        <v>2</v>
      </c>
      <c r="Y930" s="230">
        <f>(FME_Ranking1[[#This Row],[Closures Raw]]/$X$2)*100</f>
        <v>2.1028283040689728E-2</v>
      </c>
      <c r="Z930" s="180">
        <f>FME_Ranking1[[#This Row],[Closures Score (Normalized, Unweighted)]]*$X$3</f>
        <v>1.0514141520344864E-3</v>
      </c>
      <c r="AA930" s="253">
        <f>_xlfn.XLOOKUP(FME_Ranking1[[#This Row],[FME ID]],FME_Input[FME_ID],FME_Input[ROAD_MILES100])</f>
        <v>25.42570877075195</v>
      </c>
      <c r="AB930" s="178">
        <f>(FME_Ranking1[[#This Row],[Miles Raw]]/$AA$2)*100</f>
        <v>0.33430246718581963</v>
      </c>
      <c r="AC930" s="178">
        <f>FME_Ranking1[[#This Row],[Miles Score (Normalized, Unweighted)]]*$AA$3</f>
        <v>3.3430246718581962E-2</v>
      </c>
      <c r="AD930" s="255">
        <f>_xlfn.XLOOKUP(FME_Ranking1[[#This Row],[FME ID]],FME_Input[FME_ID],FME_Input[FARMACRE100])</f>
        <v>180.46466064453119</v>
      </c>
      <c r="AE930" s="230">
        <f>(FME_Ranking1[[#This Row],[Ag Land Raw]]/$AD$2)*100</f>
        <v>7.4415547542612771E-3</v>
      </c>
      <c r="AF930" s="231">
        <f>FME_Ranking1[[#This Row],[Ag Land Score (Normalized, Unweighted)]]*$AD$3</f>
        <v>3.7207773771306388E-4</v>
      </c>
      <c r="AG93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0.14806387107783933</v>
      </c>
      <c r="AH930" s="406">
        <f t="shared" si="14"/>
        <v>907</v>
      </c>
      <c r="AI93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0.14806387107783933</v>
      </c>
      <c r="AJ930" s="257">
        <f>FME_Ranking1[[#This Row],[Addition check]]-FME_Ranking1[[#This Row],[Weighted Score Based on Normalized Reported Factors]]</f>
        <v>0</v>
      </c>
      <c r="AK930" s="178">
        <f>_xlfn.RANK.EQ(AI930,$AI$6:$AI$2341,0)+COUNTIF($AI$6:AI930,AI930)-1</f>
        <v>907</v>
      </c>
    </row>
    <row r="931" spans="1:37" x14ac:dyDescent="0.25">
      <c r="A931" t="s">
        <v>1856</v>
      </c>
      <c r="B931">
        <f>_xlfn.XLOOKUP(FME_Ranking1[[#This Row],[FME ID]],FME_Input[FME_ID],FME_Input[RFPG_NUM])</f>
        <v>6</v>
      </c>
      <c r="C931" t="str">
        <f>_xlfn.XLOOKUP(FME_Ranking1[[#This Row],[FME ID]],FME_Input[FME_ID],FME_Input[FME_NAME])</f>
        <v>Walker Flood Mapping Updates</v>
      </c>
      <c r="D931" t="str">
        <f>_xlfn.XLOOKUP(FME_Ranking1[[#This Row],[FME ID]],FME_Input[FME_ID],FME_Input[DESCR])</f>
        <v>County wide study to produce flood mappping updates including Atlas 14 rainfall.</v>
      </c>
      <c r="E931" s="256">
        <f>_xlfn.XLOOKUP(FME_Ranking1[[#This Row],[FME ID]],FME_Input[FME_ID],FME_Input[FME_COST])</f>
        <v>1747000</v>
      </c>
      <c r="F931" t="str">
        <f>_xlfn.XLOOKUP(FME_Ranking1[[#This Row],[FME ID]],FME_Input[FME_ID],FME_Input[EMER_NEED])</f>
        <v>Yes</v>
      </c>
      <c r="G931">
        <f>IF(FME_Ranking!F931="Yes",100,0)</f>
        <v>100</v>
      </c>
      <c r="H931">
        <f>FME_Ranking1[[#This Row],[Emergency Need Score (Normalized, Unweighted)]]*$F$3</f>
        <v>0</v>
      </c>
      <c r="I931" s="246">
        <f>_xlfn.XLOOKUP(FME_Ranking1[[#This Row],[FME ID]],FME_Input[FME_ID],FME_Input[STRUCT_100])</f>
        <v>505</v>
      </c>
      <c r="J931" s="178">
        <f>(FME_Ranking1[[#This Row],[Structures 100 Raw]]/I$2)*100</f>
        <v>0.2704236816176156</v>
      </c>
      <c r="K931" s="178">
        <f>FME_Ranking1[[#This Row],[Structures 100  Score (Normalized, Unweighted)]]*$I$3</f>
        <v>4.0563552242642339E-2</v>
      </c>
      <c r="L931" s="246">
        <f>_xlfn.XLOOKUP(FME_Ranking1[[#This Row],[FME ID]],FME_Input[FME_ID],FME_Input[RES_STRUCT100])</f>
        <v>437</v>
      </c>
      <c r="M931" s="230">
        <f>(FME_Ranking1[[#This Row],[Res Structures Raw]]/L$2)*100</f>
        <v>0.3095295434262158</v>
      </c>
      <c r="N931" s="180">
        <f>FME_Ranking1[[#This Row],[Res Structures Score (Normalized, Unweighted)]]*$L$3</f>
        <v>3.0952954342621582E-2</v>
      </c>
      <c r="O931" s="244">
        <f>_xlfn.XLOOKUP(FME_Ranking1[[#This Row],[FME ID]],FME_Input[FME_ID],FME_Input[POP100])</f>
        <v>657</v>
      </c>
      <c r="P931" s="178">
        <f>(FME_Ranking1[[#This Row],[Pop Raw]]/$O$2)*100</f>
        <v>6.7260579976617482E-2</v>
      </c>
      <c r="Q931" s="178">
        <f>FME_Ranking1[[#This Row],[Pop Score (Normalized, Unweighted)]]*$O$3</f>
        <v>1.0089086996492622E-2</v>
      </c>
      <c r="R931" s="137">
        <f>_xlfn.XLOOKUP(FME_Ranking1[[#This Row],[FME ID]],FME_Input[FME_ID],FME_Input[CRITFAC100])</f>
        <v>1</v>
      </c>
      <c r="S931" s="230">
        <f>(FME_Ranking1[[#This Row],[Critical Facilities Raw]]/$R$2)*100</f>
        <v>4.2881646655231559E-2</v>
      </c>
      <c r="T931" s="180">
        <f>FME_Ranking1[[#This Row],[Critical Facilities Score (Normalized, Unweighted)]]*$R$3</f>
        <v>8.5763293310463125E-3</v>
      </c>
      <c r="U931">
        <f>_xlfn.XLOOKUP(FME_Ranking1[[#This Row],[FME ID]],FME_Input[FME_ID],FME_Input[LWC])</f>
        <v>2</v>
      </c>
      <c r="V931" s="178">
        <f>(FME_Ranking1[[#This Row],[LWC Raw]]/$U$2)*100</f>
        <v>0.11514104778353484</v>
      </c>
      <c r="W931" s="178">
        <f>FME_Ranking1[[#This Row],[LWC Score (Normalized, Unweighted)]]*$U$3</f>
        <v>2.302820955670697E-2</v>
      </c>
      <c r="X931" s="246">
        <f>_xlfn.XLOOKUP(FME_Ranking1[[#This Row],[FME ID]],FME_Input[FME_ID],FME_Input[ROADCLS])</f>
        <v>2</v>
      </c>
      <c r="Y931" s="230">
        <f>(FME_Ranking1[[#This Row],[Closures Raw]]/$X$2)*100</f>
        <v>2.1028283040689728E-2</v>
      </c>
      <c r="Z931" s="180">
        <f>FME_Ranking1[[#This Row],[Closures Score (Normalized, Unweighted)]]*$X$3</f>
        <v>1.0514141520344864E-3</v>
      </c>
      <c r="AA931" s="253">
        <f>_xlfn.XLOOKUP(FME_Ranking1[[#This Row],[FME ID]],FME_Input[FME_ID],FME_Input[ROAD_MILES100])</f>
        <v>25.42570877075195</v>
      </c>
      <c r="AB931" s="178">
        <f>(FME_Ranking1[[#This Row],[Miles Raw]]/$AA$2)*100</f>
        <v>0.33430246718581963</v>
      </c>
      <c r="AC931" s="178">
        <f>FME_Ranking1[[#This Row],[Miles Score (Normalized, Unweighted)]]*$AA$3</f>
        <v>3.3430246718581962E-2</v>
      </c>
      <c r="AD931" s="255">
        <f>_xlfn.XLOOKUP(FME_Ranking1[[#This Row],[FME ID]],FME_Input[FME_ID],FME_Input[FARMACRE100])</f>
        <v>180.46466064453119</v>
      </c>
      <c r="AE931" s="230">
        <f>(FME_Ranking1[[#This Row],[Ag Land Raw]]/$AD$2)*100</f>
        <v>7.4415547542612771E-3</v>
      </c>
      <c r="AF931" s="231">
        <f>FME_Ranking1[[#This Row],[Ag Land Score (Normalized, Unweighted)]]*$AD$3</f>
        <v>3.7207773771306388E-4</v>
      </c>
      <c r="AG93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0.14806387107783933</v>
      </c>
      <c r="AH931" s="406">
        <f t="shared" si="14"/>
        <v>907</v>
      </c>
      <c r="AI93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0.14806387107783933</v>
      </c>
      <c r="AJ931" s="257">
        <f>FME_Ranking1[[#This Row],[Addition check]]-FME_Ranking1[[#This Row],[Weighted Score Based on Normalized Reported Factors]]</f>
        <v>0</v>
      </c>
      <c r="AK931" s="178">
        <f>_xlfn.RANK.EQ(AI931,$AI$6:$AI$2341,0)+COUNTIF($AI$6:AI931,AI931)-1</f>
        <v>908</v>
      </c>
    </row>
    <row r="932" spans="1:37" x14ac:dyDescent="0.25">
      <c r="A932" t="s">
        <v>4154</v>
      </c>
      <c r="B932">
        <f>_xlfn.XLOOKUP(FME_Ranking1[[#This Row],[FME ID]],FME_Input[FME_ID],FME_Input[RFPG_NUM])</f>
        <v>3</v>
      </c>
      <c r="C932" t="str">
        <f>_xlfn.XLOOKUP(FME_Ranking1[[#This Row],[FME ID]],FME_Input[FME_ID],FME_Input[FME_NAME])</f>
        <v>City of Rockwall DMP</v>
      </c>
      <c r="D932" t="str">
        <f>_xlfn.XLOOKUP(FME_Ranking1[[#This Row],[FME ID]],FME_Input[FME_ID],FME_Input[DESCR])</f>
        <v>Evaluate City and identify future projects.</v>
      </c>
      <c r="E932" s="256">
        <f>_xlfn.XLOOKUP(FME_Ranking1[[#This Row],[FME ID]],FME_Input[FME_ID],FME_Input[FME_COST])</f>
        <v>500000</v>
      </c>
      <c r="F932" t="str">
        <f>_xlfn.XLOOKUP(FME_Ranking1[[#This Row],[FME ID]],FME_Input[FME_ID],FME_Input[EMER_NEED])</f>
        <v>No</v>
      </c>
      <c r="G932">
        <f>IF(FME_Ranking!F932="Yes",100,0)</f>
        <v>0</v>
      </c>
      <c r="H932">
        <f>FME_Ranking1[[#This Row],[Emergency Need Score (Normalized, Unweighted)]]*$F$3</f>
        <v>0</v>
      </c>
      <c r="I932" s="246">
        <f>_xlfn.XLOOKUP(FME_Ranking1[[#This Row],[FME ID]],FME_Input[FME_ID],FME_Input[STRUCT_100])</f>
        <v>209</v>
      </c>
      <c r="J932" s="178">
        <f>(FME_Ranking1[[#This Row],[Structures 100 Raw]]/I$2)*100</f>
        <v>0.11191791971897358</v>
      </c>
      <c r="K932" s="178">
        <f>FME_Ranking1[[#This Row],[Structures 100  Score (Normalized, Unweighted)]]*$I$3</f>
        <v>1.6787687957846038E-2</v>
      </c>
      <c r="L932" s="246">
        <f>_xlfn.XLOOKUP(FME_Ranking1[[#This Row],[FME ID]],FME_Input[FME_ID],FME_Input[RES_STRUCT100])</f>
        <v>200</v>
      </c>
      <c r="M932" s="230">
        <f>(FME_Ranking1[[#This Row],[Res Structures Raw]]/L$2)*100</f>
        <v>0.14166111827286765</v>
      </c>
      <c r="N932" s="180">
        <f>FME_Ranking1[[#This Row],[Res Structures Score (Normalized, Unweighted)]]*$L$3</f>
        <v>1.4166111827286765E-2</v>
      </c>
      <c r="O932" s="244">
        <f>_xlfn.XLOOKUP(FME_Ranking1[[#This Row],[FME ID]],FME_Input[FME_ID],FME_Input[POP100])</f>
        <v>1012</v>
      </c>
      <c r="P932" s="178">
        <f>(FME_Ranking1[[#This Row],[Pop Raw]]/$O$2)*100</f>
        <v>0.10360381573262843</v>
      </c>
      <c r="Q932" s="178">
        <f>FME_Ranking1[[#This Row],[Pop Score (Normalized, Unweighted)]]*$O$3</f>
        <v>1.5540572359894264E-2</v>
      </c>
      <c r="R932" s="137">
        <f>_xlfn.XLOOKUP(FME_Ranking1[[#This Row],[FME ID]],FME_Input[FME_ID],FME_Input[CRITFAC100])</f>
        <v>1</v>
      </c>
      <c r="S932" s="230">
        <f>(FME_Ranking1[[#This Row],[Critical Facilities Raw]]/$R$2)*100</f>
        <v>4.2881646655231559E-2</v>
      </c>
      <c r="T932" s="180">
        <f>FME_Ranking1[[#This Row],[Critical Facilities Score (Normalized, Unweighted)]]*$R$3</f>
        <v>8.5763293310463125E-3</v>
      </c>
      <c r="U932">
        <f>_xlfn.XLOOKUP(FME_Ranking1[[#This Row],[FME ID]],FME_Input[FME_ID],FME_Input[LWC])</f>
        <v>5</v>
      </c>
      <c r="V932" s="178">
        <f>(FME_Ranking1[[#This Row],[LWC Raw]]/$U$2)*100</f>
        <v>0.28785261945883706</v>
      </c>
      <c r="W932" s="178">
        <f>FME_Ranking1[[#This Row],[LWC Score (Normalized, Unweighted)]]*$U$3</f>
        <v>5.7570523891767415E-2</v>
      </c>
      <c r="X932" s="246">
        <f>_xlfn.XLOOKUP(FME_Ranking1[[#This Row],[FME ID]],FME_Input[FME_ID],FME_Input[ROADCLS])</f>
        <v>0</v>
      </c>
      <c r="Y932" s="230">
        <f>(FME_Ranking1[[#This Row],[Closures Raw]]/$X$2)*100</f>
        <v>0</v>
      </c>
      <c r="Z932" s="180">
        <f>FME_Ranking1[[#This Row],[Closures Score (Normalized, Unweighted)]]*$X$3</f>
        <v>0</v>
      </c>
      <c r="AA932" s="253">
        <f>_xlfn.XLOOKUP(FME_Ranking1[[#This Row],[FME ID]],FME_Input[FME_ID],FME_Input[ROAD_MILES100])</f>
        <v>10.471480369567869</v>
      </c>
      <c r="AB932" s="178">
        <f>(FME_Ranking1[[#This Row],[Miles Raw]]/$AA$2)*100</f>
        <v>0.1376811853780581</v>
      </c>
      <c r="AC932" s="178">
        <f>FME_Ranking1[[#This Row],[Miles Score (Normalized, Unweighted)]]*$AA$3</f>
        <v>1.376811853780581E-2</v>
      </c>
      <c r="AD932" s="255">
        <f>_xlfn.XLOOKUP(FME_Ranking1[[#This Row],[FME ID]],FME_Input[FME_ID],FME_Input[FARMACRE100])</f>
        <v>693.15478515625</v>
      </c>
      <c r="AE932" s="230">
        <f>(FME_Ranking1[[#This Row],[Ag Land Raw]]/$AD$2)*100</f>
        <v>2.8582600429890644E-2</v>
      </c>
      <c r="AF932" s="231">
        <f>FME_Ranking1[[#This Row],[Ag Land Score (Normalized, Unweighted)]]*$AD$3</f>
        <v>1.4291300214945323E-3</v>
      </c>
      <c r="AG93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0.12783847392714115</v>
      </c>
      <c r="AH932" s="406">
        <f t="shared" si="14"/>
        <v>962</v>
      </c>
      <c r="AI93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0.12783847392714115</v>
      </c>
      <c r="AJ932" s="257">
        <f>FME_Ranking1[[#This Row],[Addition check]]-FME_Ranking1[[#This Row],[Weighted Score Based on Normalized Reported Factors]]</f>
        <v>0</v>
      </c>
      <c r="AK932" s="178">
        <f>_xlfn.RANK.EQ(AI932,$AI$6:$AI$2341,0)+COUNTIF($AI$6:AI932,AI932)-1</f>
        <v>962</v>
      </c>
    </row>
    <row r="933" spans="1:37" x14ac:dyDescent="0.25">
      <c r="A933" t="s">
        <v>5350</v>
      </c>
      <c r="B933">
        <f>_xlfn.XLOOKUP(FME_Ranking1[[#This Row],[FME ID]],FME_Input[FME_ID],FME_Input[RFPG_NUM])</f>
        <v>3</v>
      </c>
      <c r="C933" t="str">
        <f>_xlfn.XLOOKUP(FME_Ranking1[[#This Row],[FME ID]],FME_Input[FME_ID],FME_Input[FME_NAME])</f>
        <v>City of Hutchins DMP</v>
      </c>
      <c r="D933" t="str">
        <f>_xlfn.XLOOKUP(FME_Ranking1[[#This Row],[FME ID]],FME_Input[FME_ID],FME_Input[DESCR])</f>
        <v>Evaluate city and identify future projects.</v>
      </c>
      <c r="E933" s="256">
        <f>_xlfn.XLOOKUP(FME_Ranking1[[#This Row],[FME ID]],FME_Input[FME_ID],FME_Input[FME_COST])</f>
        <v>250000</v>
      </c>
      <c r="F933" t="str">
        <f>_xlfn.XLOOKUP(FME_Ranking1[[#This Row],[FME ID]],FME_Input[FME_ID],FME_Input[EMER_NEED])</f>
        <v>No</v>
      </c>
      <c r="G933">
        <f>IF(FME_Ranking!F933="Yes",100,0)</f>
        <v>0</v>
      </c>
      <c r="H933">
        <f>FME_Ranking1[[#This Row],[Emergency Need Score (Normalized, Unweighted)]]*$F$3</f>
        <v>0</v>
      </c>
      <c r="I933" s="246">
        <f>_xlfn.XLOOKUP(FME_Ranking1[[#This Row],[FME ID]],FME_Input[FME_ID],FME_Input[STRUCT_100])</f>
        <v>45</v>
      </c>
      <c r="J933" s="178">
        <f>(FME_Ranking1[[#This Row],[Structures 100 Raw]]/I$2)*100</f>
        <v>2.4097159748104356E-2</v>
      </c>
      <c r="K933" s="178">
        <f>FME_Ranking1[[#This Row],[Structures 100  Score (Normalized, Unweighted)]]*$I$3</f>
        <v>3.6145739622156533E-3</v>
      </c>
      <c r="L933" s="246">
        <f>_xlfn.XLOOKUP(FME_Ranking1[[#This Row],[FME ID]],FME_Input[FME_ID],FME_Input[RES_STRUCT100])</f>
        <v>32</v>
      </c>
      <c r="M933" s="230">
        <f>(FME_Ranking1[[#This Row],[Res Structures Raw]]/L$2)*100</f>
        <v>2.2665778923658824E-2</v>
      </c>
      <c r="N933" s="180">
        <f>FME_Ranking1[[#This Row],[Res Structures Score (Normalized, Unweighted)]]*$L$3</f>
        <v>2.2665778923658827E-3</v>
      </c>
      <c r="O933" s="244">
        <f>_xlfn.XLOOKUP(FME_Ranking1[[#This Row],[FME ID]],FME_Input[FME_ID],FME_Input[POP100])</f>
        <v>369</v>
      </c>
      <c r="P933" s="178">
        <f>(FME_Ranking1[[#This Row],[Pop Raw]]/$O$2)*100</f>
        <v>3.7776490123853652E-2</v>
      </c>
      <c r="Q933" s="178">
        <f>FME_Ranking1[[#This Row],[Pop Score (Normalized, Unweighted)]]*$O$3</f>
        <v>5.6664735185780477E-3</v>
      </c>
      <c r="R933" s="137">
        <f>_xlfn.XLOOKUP(FME_Ranking1[[#This Row],[FME ID]],FME_Input[FME_ID],FME_Input[CRITFAC100])</f>
        <v>1</v>
      </c>
      <c r="S933" s="230">
        <f>(FME_Ranking1[[#This Row],[Critical Facilities Raw]]/$R$2)*100</f>
        <v>4.2881646655231559E-2</v>
      </c>
      <c r="T933" s="180">
        <f>FME_Ranking1[[#This Row],[Critical Facilities Score (Normalized, Unweighted)]]*$R$3</f>
        <v>8.5763293310463125E-3</v>
      </c>
      <c r="U933">
        <f>_xlfn.XLOOKUP(FME_Ranking1[[#This Row],[FME ID]],FME_Input[FME_ID],FME_Input[LWC])</f>
        <v>8</v>
      </c>
      <c r="V933" s="178">
        <f>(FME_Ranking1[[#This Row],[LWC Raw]]/$U$2)*100</f>
        <v>0.46056419113413938</v>
      </c>
      <c r="W933" s="178">
        <f>FME_Ranking1[[#This Row],[LWC Score (Normalized, Unweighted)]]*$U$3</f>
        <v>9.2112838226827878E-2</v>
      </c>
      <c r="X933" s="246">
        <f>_xlfn.XLOOKUP(FME_Ranking1[[#This Row],[FME ID]],FME_Input[FME_ID],FME_Input[ROADCLS])</f>
        <v>0</v>
      </c>
      <c r="Y933" s="230">
        <f>(FME_Ranking1[[#This Row],[Closures Raw]]/$X$2)*100</f>
        <v>0</v>
      </c>
      <c r="Z933" s="180">
        <f>FME_Ranking1[[#This Row],[Closures Score (Normalized, Unweighted)]]*$X$3</f>
        <v>0</v>
      </c>
      <c r="AA933" s="253">
        <f>_xlfn.XLOOKUP(FME_Ranking1[[#This Row],[FME ID]],FME_Input[FME_ID],FME_Input[ROAD_MILES100])</f>
        <v>2.2264149188995361</v>
      </c>
      <c r="AB933" s="178">
        <f>(FME_Ranking1[[#This Row],[Miles Raw]]/$AA$2)*100</f>
        <v>2.9273362920903909E-2</v>
      </c>
      <c r="AC933" s="178">
        <f>FME_Ranking1[[#This Row],[Miles Score (Normalized, Unweighted)]]*$AA$3</f>
        <v>2.9273362920903909E-3</v>
      </c>
      <c r="AD933" s="255">
        <f>_xlfn.XLOOKUP(FME_Ranking1[[#This Row],[FME ID]],FME_Input[FME_ID],FME_Input[FARMACRE100])</f>
        <v>140.3887939453125</v>
      </c>
      <c r="AE933" s="230">
        <f>(FME_Ranking1[[#This Row],[Ag Land Raw]]/$AD$2)*100</f>
        <v>5.789005411350634E-3</v>
      </c>
      <c r="AF933" s="231">
        <f>FME_Ranking1[[#This Row],[Ag Land Score (Normalized, Unweighted)]]*$AD$3</f>
        <v>2.8945027056753172E-4</v>
      </c>
      <c r="AG93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0.11545357949369171</v>
      </c>
      <c r="AH933" s="406">
        <f t="shared" si="14"/>
        <v>1001</v>
      </c>
      <c r="AI93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0.11545357949369171</v>
      </c>
      <c r="AJ933" s="257">
        <f>FME_Ranking1[[#This Row],[Addition check]]-FME_Ranking1[[#This Row],[Weighted Score Based on Normalized Reported Factors]]</f>
        <v>0</v>
      </c>
      <c r="AK933" s="178">
        <f>_xlfn.RANK.EQ(AI933,$AI$6:$AI$2341,0)+COUNTIF($AI$6:AI933,AI933)-1</f>
        <v>1001</v>
      </c>
    </row>
    <row r="934" spans="1:37" x14ac:dyDescent="0.25">
      <c r="A934" t="s">
        <v>5924</v>
      </c>
      <c r="B934">
        <f>_xlfn.XLOOKUP(FME_Ranking1[[#This Row],[FME ID]],FME_Input[FME_ID],FME_Input[RFPG_NUM])</f>
        <v>5</v>
      </c>
      <c r="C934" t="str">
        <f>_xlfn.XLOOKUP(FME_Ranking1[[#This Row],[FME ID]],FME_Input[FME_ID],FME_Input[FME_NAME])</f>
        <v>Polk County Update Flood Hazard Mapping</v>
      </c>
      <c r="D934" t="str">
        <f>_xlfn.XLOOKUP(FME_Ranking1[[#This Row],[FME ID]],FME_Input[FME_ID],FME_Input[DESCR])</f>
        <v>Complete a detailed study within the county extent to delineate an updated flood hazard area, which can be used for regulatory purposes.</v>
      </c>
      <c r="E934" s="256">
        <f>_xlfn.XLOOKUP(FME_Ranking1[[#This Row],[FME ID]],FME_Input[FME_ID],FME_Input[FME_COST])</f>
        <v>375054</v>
      </c>
      <c r="F934" t="str">
        <f>_xlfn.XLOOKUP(FME_Ranking1[[#This Row],[FME ID]],FME_Input[FME_ID],FME_Input[EMER_NEED])</f>
        <v>Yes</v>
      </c>
      <c r="G934">
        <f>IF(FME_Ranking!F934="Yes",100,0)</f>
        <v>100</v>
      </c>
      <c r="H934">
        <f>FME_Ranking1[[#This Row],[Emergency Need Score (Normalized, Unweighted)]]*$F$3</f>
        <v>0</v>
      </c>
      <c r="I934" s="246">
        <f>_xlfn.XLOOKUP(FME_Ranking1[[#This Row],[FME ID]],FME_Input[FME_ID],FME_Input[STRUCT_100])</f>
        <v>84</v>
      </c>
      <c r="J934" s="178">
        <f>(FME_Ranking1[[#This Row],[Structures 100 Raw]]/I$2)*100</f>
        <v>4.4981364863128127E-2</v>
      </c>
      <c r="K934" s="178">
        <f>FME_Ranking1[[#This Row],[Structures 100  Score (Normalized, Unweighted)]]*$I$3</f>
        <v>6.7472047294692191E-3</v>
      </c>
      <c r="L934" s="246">
        <f>_xlfn.XLOOKUP(FME_Ranking1[[#This Row],[FME ID]],FME_Input[FME_ID],FME_Input[RES_STRUCT100])</f>
        <v>45</v>
      </c>
      <c r="M934" s="230">
        <f>(FME_Ranking1[[#This Row],[Res Structures Raw]]/L$2)*100</f>
        <v>3.1873751611395225E-2</v>
      </c>
      <c r="N934" s="180">
        <f>FME_Ranking1[[#This Row],[Res Structures Score (Normalized, Unweighted)]]*$L$3</f>
        <v>3.1873751611395228E-3</v>
      </c>
      <c r="O934" s="244">
        <f>_xlfn.XLOOKUP(FME_Ranking1[[#This Row],[FME ID]],FME_Input[FME_ID],FME_Input[POP100])</f>
        <v>368</v>
      </c>
      <c r="P934" s="178">
        <f>(FME_Ranking1[[#This Row],[Pop Raw]]/$O$2)*100</f>
        <v>3.7674114811864889E-2</v>
      </c>
      <c r="Q934" s="178">
        <f>FME_Ranking1[[#This Row],[Pop Score (Normalized, Unweighted)]]*$O$3</f>
        <v>5.6511172217797332E-3</v>
      </c>
      <c r="R934" s="137">
        <f>_xlfn.XLOOKUP(FME_Ranking1[[#This Row],[FME ID]],FME_Input[FME_ID],FME_Input[CRITFAC100])</f>
        <v>0</v>
      </c>
      <c r="S934" s="230">
        <f>(FME_Ranking1[[#This Row],[Critical Facilities Raw]]/$R$2)*100</f>
        <v>0</v>
      </c>
      <c r="T934" s="180">
        <f>FME_Ranking1[[#This Row],[Critical Facilities Score (Normalized, Unweighted)]]*$R$3</f>
        <v>0</v>
      </c>
      <c r="U934">
        <f>_xlfn.XLOOKUP(FME_Ranking1[[#This Row],[FME ID]],FME_Input[FME_ID],FME_Input[LWC])</f>
        <v>8</v>
      </c>
      <c r="V934" s="178">
        <f>(FME_Ranking1[[#This Row],[LWC Raw]]/$U$2)*100</f>
        <v>0.46056419113413938</v>
      </c>
      <c r="W934" s="178">
        <f>FME_Ranking1[[#This Row],[LWC Score (Normalized, Unweighted)]]*$U$3</f>
        <v>9.2112838226827878E-2</v>
      </c>
      <c r="X934" s="246">
        <f>_xlfn.XLOOKUP(FME_Ranking1[[#This Row],[FME ID]],FME_Input[FME_ID],FME_Input[ROADCLS])</f>
        <v>8</v>
      </c>
      <c r="Y934" s="230">
        <f>(FME_Ranking1[[#This Row],[Closures Raw]]/$X$2)*100</f>
        <v>8.4113132162758911E-2</v>
      </c>
      <c r="Z934" s="180">
        <f>FME_Ranking1[[#This Row],[Closures Score (Normalized, Unweighted)]]*$X$3</f>
        <v>4.2056566081379457E-3</v>
      </c>
      <c r="AA934" s="253">
        <f>_xlfn.XLOOKUP(FME_Ranking1[[#This Row],[FME ID]],FME_Input[FME_ID],FME_Input[ROAD_MILES100])</f>
        <v>16.79930305480957</v>
      </c>
      <c r="AB934" s="178">
        <f>(FME_Ranking1[[#This Row],[Miles Raw]]/$AA$2)*100</f>
        <v>0.22088070420618697</v>
      </c>
      <c r="AC934" s="178">
        <f>FME_Ranking1[[#This Row],[Miles Score (Normalized, Unweighted)]]*$AA$3</f>
        <v>2.2088070420618697E-2</v>
      </c>
      <c r="AD934" s="255">
        <f>_xlfn.XLOOKUP(FME_Ranking1[[#This Row],[FME ID]],FME_Input[FME_ID],FME_Input[FARMACRE100])</f>
        <v>62.190280914306641</v>
      </c>
      <c r="AE934" s="230">
        <f>(FME_Ranking1[[#This Row],[Ag Land Raw]]/$AD$2)*100</f>
        <v>2.5644487898840453E-3</v>
      </c>
      <c r="AF934" s="231">
        <f>FME_Ranking1[[#This Row],[Ag Land Score (Normalized, Unweighted)]]*$AD$3</f>
        <v>1.2822243949420228E-4</v>
      </c>
      <c r="AG93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0.13412048480746722</v>
      </c>
      <c r="AH934" s="406">
        <f t="shared" si="14"/>
        <v>939</v>
      </c>
      <c r="AI93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0.13412048480746722</v>
      </c>
      <c r="AJ934" s="257">
        <f>FME_Ranking1[[#This Row],[Addition check]]-FME_Ranking1[[#This Row],[Weighted Score Based on Normalized Reported Factors]]</f>
        <v>0</v>
      </c>
      <c r="AK934" s="178">
        <f>_xlfn.RANK.EQ(AI934,$AI$6:$AI$2341,0)+COUNTIF($AI$6:AI934,AI934)-1</f>
        <v>939</v>
      </c>
    </row>
    <row r="935" spans="1:37" x14ac:dyDescent="0.25">
      <c r="A935" t="s">
        <v>6160</v>
      </c>
      <c r="B935">
        <f>_xlfn.XLOOKUP(FME_Ranking1[[#This Row],[FME ID]],FME_Input[FME_ID],FME_Input[RFPG_NUM])</f>
        <v>5</v>
      </c>
      <c r="C935" t="str">
        <f>_xlfn.XLOOKUP(FME_Ranking1[[#This Row],[FME ID]],FME_Input[FME_ID],FME_Input[FME_NAME])</f>
        <v>Polk County Master Drainage Plan</v>
      </c>
      <c r="D935"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935" s="256">
        <f>_xlfn.XLOOKUP(FME_Ranking1[[#This Row],[FME ID]],FME_Input[FME_ID],FME_Input[FME_COST])</f>
        <v>150021</v>
      </c>
      <c r="F935" t="str">
        <f>_xlfn.XLOOKUP(FME_Ranking1[[#This Row],[FME ID]],FME_Input[FME_ID],FME_Input[EMER_NEED])</f>
        <v>Yes</v>
      </c>
      <c r="G935">
        <f>IF(FME_Ranking!F935="Yes",100,0)</f>
        <v>100</v>
      </c>
      <c r="H935">
        <f>FME_Ranking1[[#This Row],[Emergency Need Score (Normalized, Unweighted)]]*$F$3</f>
        <v>0</v>
      </c>
      <c r="I935" s="246">
        <f>_xlfn.XLOOKUP(FME_Ranking1[[#This Row],[FME ID]],FME_Input[FME_ID],FME_Input[STRUCT_100])</f>
        <v>84</v>
      </c>
      <c r="J935" s="178">
        <f>(FME_Ranking1[[#This Row],[Structures 100 Raw]]/I$2)*100</f>
        <v>4.4981364863128127E-2</v>
      </c>
      <c r="K935" s="178">
        <f>FME_Ranking1[[#This Row],[Structures 100  Score (Normalized, Unweighted)]]*$I$3</f>
        <v>6.7472047294692191E-3</v>
      </c>
      <c r="L935" s="246">
        <f>_xlfn.XLOOKUP(FME_Ranking1[[#This Row],[FME ID]],FME_Input[FME_ID],FME_Input[RES_STRUCT100])</f>
        <v>45</v>
      </c>
      <c r="M935" s="230">
        <f>(FME_Ranking1[[#This Row],[Res Structures Raw]]/L$2)*100</f>
        <v>3.1873751611395225E-2</v>
      </c>
      <c r="N935" s="180">
        <f>FME_Ranking1[[#This Row],[Res Structures Score (Normalized, Unweighted)]]*$L$3</f>
        <v>3.1873751611395228E-3</v>
      </c>
      <c r="O935" s="244">
        <f>_xlfn.XLOOKUP(FME_Ranking1[[#This Row],[FME ID]],FME_Input[FME_ID],FME_Input[POP100])</f>
        <v>368</v>
      </c>
      <c r="P935" s="178">
        <f>(FME_Ranking1[[#This Row],[Pop Raw]]/$O$2)*100</f>
        <v>3.7674114811864889E-2</v>
      </c>
      <c r="Q935" s="178">
        <f>FME_Ranking1[[#This Row],[Pop Score (Normalized, Unweighted)]]*$O$3</f>
        <v>5.6511172217797332E-3</v>
      </c>
      <c r="R935" s="137">
        <f>_xlfn.XLOOKUP(FME_Ranking1[[#This Row],[FME ID]],FME_Input[FME_ID],FME_Input[CRITFAC100])</f>
        <v>0</v>
      </c>
      <c r="S935" s="230">
        <f>(FME_Ranking1[[#This Row],[Critical Facilities Raw]]/$R$2)*100</f>
        <v>0</v>
      </c>
      <c r="T935" s="180">
        <f>FME_Ranking1[[#This Row],[Critical Facilities Score (Normalized, Unweighted)]]*$R$3</f>
        <v>0</v>
      </c>
      <c r="U935">
        <f>_xlfn.XLOOKUP(FME_Ranking1[[#This Row],[FME ID]],FME_Input[FME_ID],FME_Input[LWC])</f>
        <v>8</v>
      </c>
      <c r="V935" s="178">
        <f>(FME_Ranking1[[#This Row],[LWC Raw]]/$U$2)*100</f>
        <v>0.46056419113413938</v>
      </c>
      <c r="W935" s="178">
        <f>FME_Ranking1[[#This Row],[LWC Score (Normalized, Unweighted)]]*$U$3</f>
        <v>9.2112838226827878E-2</v>
      </c>
      <c r="X935" s="246">
        <f>_xlfn.XLOOKUP(FME_Ranking1[[#This Row],[FME ID]],FME_Input[FME_ID],FME_Input[ROADCLS])</f>
        <v>8</v>
      </c>
      <c r="Y935" s="230">
        <f>(FME_Ranking1[[#This Row],[Closures Raw]]/$X$2)*100</f>
        <v>8.4113132162758911E-2</v>
      </c>
      <c r="Z935" s="180">
        <f>FME_Ranking1[[#This Row],[Closures Score (Normalized, Unweighted)]]*$X$3</f>
        <v>4.2056566081379457E-3</v>
      </c>
      <c r="AA935" s="253">
        <f>_xlfn.XLOOKUP(FME_Ranking1[[#This Row],[FME ID]],FME_Input[FME_ID],FME_Input[ROAD_MILES100])</f>
        <v>16.79930305480957</v>
      </c>
      <c r="AB935" s="178">
        <f>(FME_Ranking1[[#This Row],[Miles Raw]]/$AA$2)*100</f>
        <v>0.22088070420618697</v>
      </c>
      <c r="AC935" s="178">
        <f>FME_Ranking1[[#This Row],[Miles Score (Normalized, Unweighted)]]*$AA$3</f>
        <v>2.2088070420618697E-2</v>
      </c>
      <c r="AD935" s="255">
        <f>_xlfn.XLOOKUP(FME_Ranking1[[#This Row],[FME ID]],FME_Input[FME_ID],FME_Input[FARMACRE100])</f>
        <v>62.190280914306641</v>
      </c>
      <c r="AE935" s="230">
        <f>(FME_Ranking1[[#This Row],[Ag Land Raw]]/$AD$2)*100</f>
        <v>2.5644487898840453E-3</v>
      </c>
      <c r="AF935" s="231">
        <f>FME_Ranking1[[#This Row],[Ag Land Score (Normalized, Unweighted)]]*$AD$3</f>
        <v>1.2822243949420228E-4</v>
      </c>
      <c r="AG93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0.13412048480746722</v>
      </c>
      <c r="AH935" s="406">
        <f t="shared" si="14"/>
        <v>939</v>
      </c>
      <c r="AI93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0.13412048480746722</v>
      </c>
      <c r="AJ935" s="257">
        <f>FME_Ranking1[[#This Row],[Addition check]]-FME_Ranking1[[#This Row],[Weighted Score Based on Normalized Reported Factors]]</f>
        <v>0</v>
      </c>
      <c r="AK935" s="178">
        <f>_xlfn.RANK.EQ(AI935,$AI$6:$AI$2341,0)+COUNTIF($AI$6:AI935,AI935)-1</f>
        <v>940</v>
      </c>
    </row>
    <row r="936" spans="1:37" x14ac:dyDescent="0.25">
      <c r="A936" t="s">
        <v>2435</v>
      </c>
      <c r="B936">
        <f>_xlfn.XLOOKUP(FME_Ranking1[[#This Row],[FME ID]],FME_Input[FME_ID],FME_Input[RFPG_NUM])</f>
        <v>1</v>
      </c>
      <c r="C936" t="str">
        <f>_xlfn.XLOOKUP(FME_Ranking1[[#This Row],[FME ID]],FME_Input[FME_ID],FME_Input[FME_NAME])</f>
        <v>King County FIS</v>
      </c>
      <c r="D936" t="str">
        <f>_xlfn.XLOOKUP(FME_Ranking1[[#This Row],[FME ID]],FME_Input[FME_ID],FME_Input[DESCR])</f>
        <v>Perform flood insurance study for the county and develop regulatory mapping</v>
      </c>
      <c r="E936" s="256">
        <f>_xlfn.XLOOKUP(FME_Ranking1[[#This Row],[FME ID]],FME_Input[FME_ID],FME_Input[FME_COST])</f>
        <v>955000</v>
      </c>
      <c r="F936" t="str">
        <f>_xlfn.XLOOKUP(FME_Ranking1[[#This Row],[FME ID]],FME_Input[FME_ID],FME_Input[EMER_NEED])</f>
        <v>No</v>
      </c>
      <c r="G936">
        <f>IF(FME_Ranking!F936="Yes",100,0)</f>
        <v>0</v>
      </c>
      <c r="H936">
        <f>FME_Ranking1[[#This Row],[Emergency Need Score (Normalized, Unweighted)]]*$F$3</f>
        <v>0</v>
      </c>
      <c r="I936" s="246">
        <f>_xlfn.XLOOKUP(FME_Ranking1[[#This Row],[FME ID]],FME_Input[FME_ID],FME_Input[STRUCT_100])</f>
        <v>10</v>
      </c>
      <c r="J936" s="178">
        <f>(FME_Ranking1[[#This Row],[Structures 100 Raw]]/I$2)*100</f>
        <v>5.3549243884676344E-3</v>
      </c>
      <c r="K936" s="178">
        <f>FME_Ranking1[[#This Row],[Structures 100  Score (Normalized, Unweighted)]]*$I$3</f>
        <v>8.0323865827014516E-4</v>
      </c>
      <c r="L936" s="246">
        <f>_xlfn.XLOOKUP(FME_Ranking1[[#This Row],[FME ID]],FME_Input[FME_ID],FME_Input[RES_STRUCT100])</f>
        <v>2</v>
      </c>
      <c r="M936" s="230">
        <f>(FME_Ranking1[[#This Row],[Res Structures Raw]]/L$2)*100</f>
        <v>1.4166111827286765E-3</v>
      </c>
      <c r="N936" s="180">
        <f>FME_Ranking1[[#This Row],[Res Structures Score (Normalized, Unweighted)]]*$L$3</f>
        <v>1.4166111827286767E-4</v>
      </c>
      <c r="O936" s="244">
        <f>_xlfn.XLOOKUP(FME_Ranking1[[#This Row],[FME ID]],FME_Input[FME_ID],FME_Input[POP100])</f>
        <v>7</v>
      </c>
      <c r="P936" s="178">
        <f>(FME_Ranking1[[#This Row],[Pop Raw]]/$O$2)*100</f>
        <v>7.1662718392134295E-4</v>
      </c>
      <c r="Q936" s="178">
        <f>FME_Ranking1[[#This Row],[Pop Score (Normalized, Unweighted)]]*$O$3</f>
        <v>1.0749407758820145E-4</v>
      </c>
      <c r="R936" s="137">
        <f>_xlfn.XLOOKUP(FME_Ranking1[[#This Row],[FME ID]],FME_Input[FME_ID],FME_Input[CRITFAC100])</f>
        <v>0</v>
      </c>
      <c r="S936" s="230">
        <f>(FME_Ranking1[[#This Row],[Critical Facilities Raw]]/$R$2)*100</f>
        <v>0</v>
      </c>
      <c r="T936" s="180">
        <f>FME_Ranking1[[#This Row],[Critical Facilities Score (Normalized, Unweighted)]]*$R$3</f>
        <v>0</v>
      </c>
      <c r="U936">
        <f>_xlfn.XLOOKUP(FME_Ranking1[[#This Row],[FME ID]],FME_Input[FME_ID],FME_Input[LWC])</f>
        <v>1</v>
      </c>
      <c r="V936" s="178">
        <f>(FME_Ranking1[[#This Row],[LWC Raw]]/$U$2)*100</f>
        <v>5.7570523891767422E-2</v>
      </c>
      <c r="W936" s="178">
        <f>FME_Ranking1[[#This Row],[LWC Score (Normalized, Unweighted)]]*$U$3</f>
        <v>1.1514104778353485E-2</v>
      </c>
      <c r="X936" s="246">
        <f>_xlfn.XLOOKUP(FME_Ranking1[[#This Row],[FME ID]],FME_Input[FME_ID],FME_Input[ROADCLS])</f>
        <v>1</v>
      </c>
      <c r="Y936" s="230">
        <f>(FME_Ranking1[[#This Row],[Closures Raw]]/$X$2)*100</f>
        <v>1.0514141520344864E-2</v>
      </c>
      <c r="Z936" s="180">
        <f>FME_Ranking1[[#This Row],[Closures Score (Normalized, Unweighted)]]*$X$3</f>
        <v>5.2570707601724321E-4</v>
      </c>
      <c r="AA936" s="253">
        <f>_xlfn.XLOOKUP(FME_Ranking1[[#This Row],[FME ID]],FME_Input[FME_ID],FME_Input[ROAD_MILES100])</f>
        <v>10.699201583862299</v>
      </c>
      <c r="AB936" s="178">
        <f>(FME_Ranking1[[#This Row],[Miles Raw]]/$AA$2)*100</f>
        <v>0.14067531090885749</v>
      </c>
      <c r="AC936" s="178">
        <f>FME_Ranking1[[#This Row],[Miles Score (Normalized, Unweighted)]]*$AA$3</f>
        <v>1.406753109088575E-2</v>
      </c>
      <c r="AD936" s="255">
        <f>_xlfn.XLOOKUP(FME_Ranking1[[#This Row],[FME ID]],FME_Input[FME_ID],FME_Input[FARMACRE100])</f>
        <v>46809.7265625</v>
      </c>
      <c r="AE936" s="230">
        <f>(FME_Ranking1[[#This Row],[Ag Land Raw]]/$AD$2)*100</f>
        <v>1.9302235795238412</v>
      </c>
      <c r="AF936" s="231">
        <f>FME_Ranking1[[#This Row],[Ag Land Score (Normalized, Unweighted)]]*$AD$3</f>
        <v>9.6511178976192061E-2</v>
      </c>
      <c r="AG93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0.12367091577557976</v>
      </c>
      <c r="AH936" s="406">
        <f t="shared" si="14"/>
        <v>972</v>
      </c>
      <c r="AI93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0.12367091577557976</v>
      </c>
      <c r="AJ936" s="257">
        <f>FME_Ranking1[[#This Row],[Addition check]]-FME_Ranking1[[#This Row],[Weighted Score Based on Normalized Reported Factors]]</f>
        <v>0</v>
      </c>
      <c r="AK936" s="178">
        <f>_xlfn.RANK.EQ(AI936,$AI$6:$AI$2341,0)+COUNTIF($AI$6:AI936,AI936)-1</f>
        <v>972</v>
      </c>
    </row>
    <row r="937" spans="1:37" x14ac:dyDescent="0.25">
      <c r="A937" t="s">
        <v>11436</v>
      </c>
      <c r="B937">
        <f>_xlfn.XLOOKUP(FME_Ranking1[[#This Row],[FME ID]],FME_Input[FME_ID],FME_Input[RFPG_NUM])</f>
        <v>15</v>
      </c>
      <c r="C937" t="str">
        <f>_xlfn.XLOOKUP(FME_Ranking1[[#This Row],[FME ID]],FME_Input[FME_ID],FME_Input[FME_NAME])</f>
        <v>Weslaco Stormwater Improvement Plan - West Weslaco</v>
      </c>
      <c r="D937" t="str">
        <f>_xlfn.XLOOKUP(FME_Ranking1[[#This Row],[FME ID]],FME_Input[FME_ID],FME_Input[DESCR])</f>
        <v>The project is located just west of Border Avenue, between US 83 and Zelma Street. Construction of three detention ponds, 18 acres east of Vaughn Road and Midway Road, 26 acres near West 6th Street and Milano Road and 60 acres at Harlon Block Sports Comp</v>
      </c>
      <c r="E937" s="256">
        <f>_xlfn.XLOOKUP(FME_Ranking1[[#This Row],[FME ID]],FME_Input[FME_ID],FME_Input[FME_COST])</f>
        <v>5595880</v>
      </c>
      <c r="F937" t="str">
        <f>_xlfn.XLOOKUP(FME_Ranking1[[#This Row],[FME ID]],FME_Input[FME_ID],FME_Input[EMER_NEED])</f>
        <v>Yes</v>
      </c>
      <c r="G937">
        <f>IF(FME_Ranking!F937="Yes",100,0)</f>
        <v>100</v>
      </c>
      <c r="H937">
        <f>FME_Ranking1[[#This Row],[Emergency Need Score (Normalized, Unweighted)]]*$F$3</f>
        <v>0</v>
      </c>
      <c r="I937" s="246">
        <f>_xlfn.XLOOKUP(FME_Ranking1[[#This Row],[FME ID]],FME_Input[FME_ID],FME_Input[STRUCT_100])</f>
        <v>0</v>
      </c>
      <c r="J937" s="178">
        <f>(FME_Ranking1[[#This Row],[Structures 100 Raw]]/I$2)*100</f>
        <v>0</v>
      </c>
      <c r="K937" s="178">
        <f>FME_Ranking1[[#This Row],[Structures 100  Score (Normalized, Unweighted)]]*$I$3</f>
        <v>0</v>
      </c>
      <c r="L937" s="246">
        <f>_xlfn.XLOOKUP(FME_Ranking1[[#This Row],[FME ID]],FME_Input[FME_ID],FME_Input[RES_STRUCT100])</f>
        <v>638</v>
      </c>
      <c r="M937" s="230">
        <f>(FME_Ranking1[[#This Row],[Res Structures Raw]]/L$2)*100</f>
        <v>0.45189896729044782</v>
      </c>
      <c r="N937" s="180">
        <f>FME_Ranking1[[#This Row],[Res Structures Score (Normalized, Unweighted)]]*$L$3</f>
        <v>4.5189896729044783E-2</v>
      </c>
      <c r="O937" s="244">
        <f>_xlfn.XLOOKUP(FME_Ranking1[[#This Row],[FME ID]],FME_Input[FME_ID],FME_Input[POP100])</f>
        <v>3620</v>
      </c>
      <c r="P937" s="178">
        <f>(FME_Ranking1[[#This Row],[Pop Raw]]/$O$2)*100</f>
        <v>0.37059862939932309</v>
      </c>
      <c r="Q937" s="178">
        <f>FME_Ranking1[[#This Row],[Pop Score (Normalized, Unweighted)]]*$O$3</f>
        <v>5.558979440989846E-2</v>
      </c>
      <c r="R937" s="137">
        <f>_xlfn.XLOOKUP(FME_Ranking1[[#This Row],[FME ID]],FME_Input[FME_ID],FME_Input[CRITFAC100])</f>
        <v>1</v>
      </c>
      <c r="S937" s="230">
        <f>(FME_Ranking1[[#This Row],[Critical Facilities Raw]]/$R$2)*100</f>
        <v>4.2881646655231559E-2</v>
      </c>
      <c r="T937" s="180">
        <f>FME_Ranking1[[#This Row],[Critical Facilities Score (Normalized, Unweighted)]]*$R$3</f>
        <v>8.5763293310463125E-3</v>
      </c>
      <c r="U937">
        <f>_xlfn.XLOOKUP(FME_Ranking1[[#This Row],[FME ID]],FME_Input[FME_ID],FME_Input[LWC])</f>
        <v>0</v>
      </c>
      <c r="V937" s="178">
        <f>(FME_Ranking1[[#This Row],[LWC Raw]]/$U$2)*100</f>
        <v>0</v>
      </c>
      <c r="W937" s="178">
        <f>FME_Ranking1[[#This Row],[LWC Score (Normalized, Unweighted)]]*$U$3</f>
        <v>0</v>
      </c>
      <c r="X937" s="246">
        <f>_xlfn.XLOOKUP(FME_Ranking1[[#This Row],[FME ID]],FME_Input[FME_ID],FME_Input[ROADCLS])</f>
        <v>0</v>
      </c>
      <c r="Y937" s="230">
        <f>(FME_Ranking1[[#This Row],[Closures Raw]]/$X$2)*100</f>
        <v>0</v>
      </c>
      <c r="Z937" s="180">
        <f>FME_Ranking1[[#This Row],[Closures Score (Normalized, Unweighted)]]*$X$3</f>
        <v>0</v>
      </c>
      <c r="AA937" s="253">
        <f>_xlfn.XLOOKUP(FME_Ranking1[[#This Row],[FME ID]],FME_Input[FME_ID],FME_Input[ROAD_MILES100])</f>
        <v>27.7765998840332</v>
      </c>
      <c r="AB937" s="178">
        <f>(FME_Ranking1[[#This Row],[Miles Raw]]/$AA$2)*100</f>
        <v>0.3652124688043073</v>
      </c>
      <c r="AC937" s="178">
        <f>FME_Ranking1[[#This Row],[Miles Score (Normalized, Unweighted)]]*$AA$3</f>
        <v>3.6521246880430729E-2</v>
      </c>
      <c r="AD937" s="255">
        <f>_xlfn.XLOOKUP(FME_Ranking1[[#This Row],[FME ID]],FME_Input[FME_ID],FME_Input[FARMACRE100])</f>
        <v>0</v>
      </c>
      <c r="AE937" s="230">
        <f>(FME_Ranking1[[#This Row],[Ag Land Raw]]/$AD$2)*100</f>
        <v>0</v>
      </c>
      <c r="AF937" s="231">
        <f>FME_Ranking1[[#This Row],[Ag Land Score (Normalized, Unweighted)]]*$AD$3</f>
        <v>0</v>
      </c>
      <c r="AG93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0.14587726735042028</v>
      </c>
      <c r="AH937" s="406">
        <f t="shared" si="14"/>
        <v>913</v>
      </c>
      <c r="AI93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0.14587726735042028</v>
      </c>
      <c r="AJ937" s="257">
        <f>FME_Ranking1[[#This Row],[Addition check]]-FME_Ranking1[[#This Row],[Weighted Score Based on Normalized Reported Factors]]</f>
        <v>0</v>
      </c>
      <c r="AK937" s="178">
        <f>_xlfn.RANK.EQ(AI937,$AI$6:$AI$2341,0)+COUNTIF($AI$6:AI937,AI937)-1</f>
        <v>913</v>
      </c>
    </row>
    <row r="938" spans="1:37" x14ac:dyDescent="0.25">
      <c r="A938" t="s">
        <v>8272</v>
      </c>
      <c r="B938">
        <f>_xlfn.XLOOKUP(FME_Ranking1[[#This Row],[FME ID]],FME_Input[FME_ID],FME_Input[RFPG_NUM])</f>
        <v>9</v>
      </c>
      <c r="C938" t="str">
        <f>_xlfn.XLOOKUP(FME_Ranking1[[#This Row],[FME ID]],FME_Input[FME_ID],FME_Input[FME_NAME])</f>
        <v>Sterling County DMP</v>
      </c>
      <c r="D938" t="str">
        <f>_xlfn.XLOOKUP(FME_Ranking1[[#This Row],[FME ID]],FME_Input[FME_ID],FME_Input[DESCR])</f>
        <v xml:space="preserve">Create Drainage Master Plan, including evaluation of potential mitigation projects. </v>
      </c>
      <c r="E938" s="256">
        <f>_xlfn.XLOOKUP(FME_Ranking1[[#This Row],[FME ID]],FME_Input[FME_ID],FME_Input[FME_COST])</f>
        <v>500000</v>
      </c>
      <c r="F938" t="str">
        <f>_xlfn.XLOOKUP(FME_Ranking1[[#This Row],[FME ID]],FME_Input[FME_ID],FME_Input[EMER_NEED])</f>
        <v>No</v>
      </c>
      <c r="G938">
        <f>IF(FME_Ranking!F938="Yes",100,0)</f>
        <v>0</v>
      </c>
      <c r="H938">
        <f>FME_Ranking1[[#This Row],[Emergency Need Score (Normalized, Unweighted)]]*$F$3</f>
        <v>0</v>
      </c>
      <c r="I938" s="246">
        <f>_xlfn.XLOOKUP(FME_Ranking1[[#This Row],[FME ID]],FME_Input[FME_ID],FME_Input[STRUCT_100])</f>
        <v>179</v>
      </c>
      <c r="J938" s="178">
        <f>(FME_Ranking1[[#This Row],[Structures 100 Raw]]/I$2)*100</f>
        <v>9.5853146553570662E-2</v>
      </c>
      <c r="K938" s="178">
        <f>FME_Ranking1[[#This Row],[Structures 100  Score (Normalized, Unweighted)]]*$I$3</f>
        <v>1.4377971983035599E-2</v>
      </c>
      <c r="L938" s="246">
        <f>_xlfn.XLOOKUP(FME_Ranking1[[#This Row],[FME ID]],FME_Input[FME_ID],FME_Input[RES_STRUCT100])</f>
        <v>97</v>
      </c>
      <c r="M938" s="230">
        <f>(FME_Ranking1[[#This Row],[Res Structures Raw]]/L$2)*100</f>
        <v>6.8705642362340807E-2</v>
      </c>
      <c r="N938" s="180">
        <f>FME_Ranking1[[#This Row],[Res Structures Score (Normalized, Unweighted)]]*$L$3</f>
        <v>6.8705642362340809E-3</v>
      </c>
      <c r="O938" s="244">
        <f>_xlfn.XLOOKUP(FME_Ranking1[[#This Row],[FME ID]],FME_Input[FME_ID],FME_Input[POP100])</f>
        <v>172</v>
      </c>
      <c r="P938" s="178">
        <f>(FME_Ranking1[[#This Row],[Pop Raw]]/$O$2)*100</f>
        <v>1.7608553662067285E-2</v>
      </c>
      <c r="Q938" s="178">
        <f>FME_Ranking1[[#This Row],[Pop Score (Normalized, Unweighted)]]*$O$3</f>
        <v>2.6412830493100928E-3</v>
      </c>
      <c r="R938" s="137">
        <f>_xlfn.XLOOKUP(FME_Ranking1[[#This Row],[FME ID]],FME_Input[FME_ID],FME_Input[CRITFAC100])</f>
        <v>0</v>
      </c>
      <c r="S938" s="230">
        <f>(FME_Ranking1[[#This Row],[Critical Facilities Raw]]/$R$2)*100</f>
        <v>0</v>
      </c>
      <c r="T938" s="180">
        <f>FME_Ranking1[[#This Row],[Critical Facilities Score (Normalized, Unweighted)]]*$R$3</f>
        <v>0</v>
      </c>
      <c r="U938">
        <f>_xlfn.XLOOKUP(FME_Ranking1[[#This Row],[FME ID]],FME_Input[FME_ID],FME_Input[LWC])</f>
        <v>7</v>
      </c>
      <c r="V938" s="178">
        <f>(FME_Ranking1[[#This Row],[LWC Raw]]/$U$2)*100</f>
        <v>0.40299366724237184</v>
      </c>
      <c r="W938" s="178">
        <f>FME_Ranking1[[#This Row],[LWC Score (Normalized, Unweighted)]]*$U$3</f>
        <v>8.0598733448474374E-2</v>
      </c>
      <c r="X938" s="246">
        <f>_xlfn.XLOOKUP(FME_Ranking1[[#This Row],[FME ID]],FME_Input[FME_ID],FME_Input[ROADCLS])</f>
        <v>0</v>
      </c>
      <c r="Y938" s="230">
        <f>(FME_Ranking1[[#This Row],[Closures Raw]]/$X$2)*100</f>
        <v>0</v>
      </c>
      <c r="Z938" s="180">
        <f>FME_Ranking1[[#This Row],[Closures Score (Normalized, Unweighted)]]*$X$3</f>
        <v>0</v>
      </c>
      <c r="AA938" s="253">
        <f>_xlfn.XLOOKUP(FME_Ranking1[[#This Row],[FME ID]],FME_Input[FME_ID],FME_Input[ROAD_MILES100])</f>
        <v>29.674396514892582</v>
      </c>
      <c r="AB938" s="178">
        <f>(FME_Ranking1[[#This Row],[Miles Raw]]/$AA$2)*100</f>
        <v>0.39016509064205301</v>
      </c>
      <c r="AC938" s="178">
        <f>FME_Ranking1[[#This Row],[Miles Score (Normalized, Unweighted)]]*$AA$3</f>
        <v>3.9016509064205306E-2</v>
      </c>
      <c r="AD938" s="255">
        <f>_xlfn.XLOOKUP(FME_Ranking1[[#This Row],[FME ID]],FME_Input[FME_ID],FME_Input[FARMACRE100])</f>
        <v>2289.66552734375</v>
      </c>
      <c r="AE938" s="230">
        <f>(FME_Ranking1[[#This Row],[Ag Land Raw]]/$AD$2)*100</f>
        <v>9.441555665147551E-2</v>
      </c>
      <c r="AF938" s="231">
        <f>FME_Ranking1[[#This Row],[Ag Land Score (Normalized, Unweighted)]]*$AD$3</f>
        <v>4.7207778325737762E-3</v>
      </c>
      <c r="AG93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0.14822583961383323</v>
      </c>
      <c r="AH938" s="406">
        <f t="shared" si="14"/>
        <v>904</v>
      </c>
      <c r="AI93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0.14822583961383323</v>
      </c>
      <c r="AJ938" s="257">
        <f>FME_Ranking1[[#This Row],[Addition check]]-FME_Ranking1[[#This Row],[Weighted Score Based on Normalized Reported Factors]]</f>
        <v>0</v>
      </c>
      <c r="AK938" s="178">
        <f>_xlfn.RANK.EQ(AI938,$AI$6:$AI$2341,0)+COUNTIF($AI$6:AI938,AI938)-1</f>
        <v>904</v>
      </c>
    </row>
    <row r="939" spans="1:37" x14ac:dyDescent="0.25">
      <c r="A939" t="s">
        <v>8276</v>
      </c>
      <c r="B939">
        <f>_xlfn.XLOOKUP(FME_Ranking1[[#This Row],[FME ID]],FME_Input[FME_ID],FME_Input[RFPG_NUM])</f>
        <v>9</v>
      </c>
      <c r="C939" t="str">
        <f>_xlfn.XLOOKUP(FME_Ranking1[[#This Row],[FME ID]],FME_Input[FME_ID],FME_Input[FME_NAME])</f>
        <v>Sterling County FEMA Mapping</v>
      </c>
      <c r="D939" t="str">
        <f>_xlfn.XLOOKUP(FME_Ranking1[[#This Row],[FME ID]],FME_Input[FME_ID],FME_Input[DESCR])</f>
        <v>Create FEMA Mapping in previously unmapped areas</v>
      </c>
      <c r="E939" s="256">
        <f>_xlfn.XLOOKUP(FME_Ranking1[[#This Row],[FME ID]],FME_Input[FME_ID],FME_Input[FME_COST])</f>
        <v>897000</v>
      </c>
      <c r="F939" t="str">
        <f>_xlfn.XLOOKUP(FME_Ranking1[[#This Row],[FME ID]],FME_Input[FME_ID],FME_Input[EMER_NEED])</f>
        <v>No</v>
      </c>
      <c r="G939">
        <f>IF(FME_Ranking!F939="Yes",100,0)</f>
        <v>0</v>
      </c>
      <c r="H939">
        <f>FME_Ranking1[[#This Row],[Emergency Need Score (Normalized, Unweighted)]]*$F$3</f>
        <v>0</v>
      </c>
      <c r="I939" s="246">
        <f>_xlfn.XLOOKUP(FME_Ranking1[[#This Row],[FME ID]],FME_Input[FME_ID],FME_Input[STRUCT_100])</f>
        <v>179</v>
      </c>
      <c r="J939" s="178">
        <f>(FME_Ranking1[[#This Row],[Structures 100 Raw]]/I$2)*100</f>
        <v>9.5853146553570662E-2</v>
      </c>
      <c r="K939" s="178">
        <f>FME_Ranking1[[#This Row],[Structures 100  Score (Normalized, Unweighted)]]*$I$3</f>
        <v>1.4377971983035599E-2</v>
      </c>
      <c r="L939" s="246">
        <f>_xlfn.XLOOKUP(FME_Ranking1[[#This Row],[FME ID]],FME_Input[FME_ID],FME_Input[RES_STRUCT100])</f>
        <v>97</v>
      </c>
      <c r="M939" s="230">
        <f>(FME_Ranking1[[#This Row],[Res Structures Raw]]/L$2)*100</f>
        <v>6.8705642362340807E-2</v>
      </c>
      <c r="N939" s="180">
        <f>FME_Ranking1[[#This Row],[Res Structures Score (Normalized, Unweighted)]]*$L$3</f>
        <v>6.8705642362340809E-3</v>
      </c>
      <c r="O939" s="244">
        <f>_xlfn.XLOOKUP(FME_Ranking1[[#This Row],[FME ID]],FME_Input[FME_ID],FME_Input[POP100])</f>
        <v>172</v>
      </c>
      <c r="P939" s="178">
        <f>(FME_Ranking1[[#This Row],[Pop Raw]]/$O$2)*100</f>
        <v>1.7608553662067285E-2</v>
      </c>
      <c r="Q939" s="178">
        <f>FME_Ranking1[[#This Row],[Pop Score (Normalized, Unweighted)]]*$O$3</f>
        <v>2.6412830493100928E-3</v>
      </c>
      <c r="R939" s="137">
        <f>_xlfn.XLOOKUP(FME_Ranking1[[#This Row],[FME ID]],FME_Input[FME_ID],FME_Input[CRITFAC100])</f>
        <v>0</v>
      </c>
      <c r="S939" s="230">
        <f>(FME_Ranking1[[#This Row],[Critical Facilities Raw]]/$R$2)*100</f>
        <v>0</v>
      </c>
      <c r="T939" s="180">
        <f>FME_Ranking1[[#This Row],[Critical Facilities Score (Normalized, Unweighted)]]*$R$3</f>
        <v>0</v>
      </c>
      <c r="U939">
        <f>_xlfn.XLOOKUP(FME_Ranking1[[#This Row],[FME ID]],FME_Input[FME_ID],FME_Input[LWC])</f>
        <v>7</v>
      </c>
      <c r="V939" s="178">
        <f>(FME_Ranking1[[#This Row],[LWC Raw]]/$U$2)*100</f>
        <v>0.40299366724237184</v>
      </c>
      <c r="W939" s="178">
        <f>FME_Ranking1[[#This Row],[LWC Score (Normalized, Unweighted)]]*$U$3</f>
        <v>8.0598733448474374E-2</v>
      </c>
      <c r="X939" s="246">
        <f>_xlfn.XLOOKUP(FME_Ranking1[[#This Row],[FME ID]],FME_Input[FME_ID],FME_Input[ROADCLS])</f>
        <v>0</v>
      </c>
      <c r="Y939" s="230">
        <f>(FME_Ranking1[[#This Row],[Closures Raw]]/$X$2)*100</f>
        <v>0</v>
      </c>
      <c r="Z939" s="180">
        <f>FME_Ranking1[[#This Row],[Closures Score (Normalized, Unweighted)]]*$X$3</f>
        <v>0</v>
      </c>
      <c r="AA939" s="253">
        <f>_xlfn.XLOOKUP(FME_Ranking1[[#This Row],[FME ID]],FME_Input[FME_ID],FME_Input[ROAD_MILES100])</f>
        <v>29.674396514892582</v>
      </c>
      <c r="AB939" s="178">
        <f>(FME_Ranking1[[#This Row],[Miles Raw]]/$AA$2)*100</f>
        <v>0.39016509064205301</v>
      </c>
      <c r="AC939" s="178">
        <f>FME_Ranking1[[#This Row],[Miles Score (Normalized, Unweighted)]]*$AA$3</f>
        <v>3.9016509064205306E-2</v>
      </c>
      <c r="AD939" s="255">
        <f>_xlfn.XLOOKUP(FME_Ranking1[[#This Row],[FME ID]],FME_Input[FME_ID],FME_Input[FARMACRE100])</f>
        <v>2289.66552734375</v>
      </c>
      <c r="AE939" s="230">
        <f>(FME_Ranking1[[#This Row],[Ag Land Raw]]/$AD$2)*100</f>
        <v>9.441555665147551E-2</v>
      </c>
      <c r="AF939" s="231">
        <f>FME_Ranking1[[#This Row],[Ag Land Score (Normalized, Unweighted)]]*$AD$3</f>
        <v>4.7207778325737762E-3</v>
      </c>
      <c r="AG93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0.14822583961383323</v>
      </c>
      <c r="AH939" s="406">
        <f t="shared" si="14"/>
        <v>904</v>
      </c>
      <c r="AI93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0.14822583961383323</v>
      </c>
      <c r="AJ939" s="257">
        <f>FME_Ranking1[[#This Row],[Addition check]]-FME_Ranking1[[#This Row],[Weighted Score Based on Normalized Reported Factors]]</f>
        <v>0</v>
      </c>
      <c r="AK939" s="178">
        <f>_xlfn.RANK.EQ(AI939,$AI$6:$AI$2341,0)+COUNTIF($AI$6:AI939,AI939)-1</f>
        <v>905</v>
      </c>
    </row>
    <row r="940" spans="1:37" x14ac:dyDescent="0.25">
      <c r="A940" t="s">
        <v>8278</v>
      </c>
      <c r="B940">
        <f>_xlfn.XLOOKUP(FME_Ranking1[[#This Row],[FME ID]],FME_Input[FME_ID],FME_Input[RFPG_NUM])</f>
        <v>9</v>
      </c>
      <c r="C940" t="str">
        <f>_xlfn.XLOOKUP(FME_Ranking1[[#This Row],[FME ID]],FME_Input[FME_ID],FME_Input[FME_NAME])</f>
        <v>Sterling County GIS Development</v>
      </c>
      <c r="D940" t="str">
        <f>_xlfn.XLOOKUP(FME_Ranking1[[#This Row],[FME ID]],FME_Input[FME_ID],FME_Input[DESCR])</f>
        <v>Develop a GIS inventory of stormwater infrastructure</v>
      </c>
      <c r="E940" s="256">
        <f>_xlfn.XLOOKUP(FME_Ranking1[[#This Row],[FME ID]],FME_Input[FME_ID],FME_Input[FME_COST])</f>
        <v>100000</v>
      </c>
      <c r="F940" t="str">
        <f>_xlfn.XLOOKUP(FME_Ranking1[[#This Row],[FME ID]],FME_Input[FME_ID],FME_Input[EMER_NEED])</f>
        <v>No</v>
      </c>
      <c r="G940">
        <f>IF(FME_Ranking!F940="Yes",100,0)</f>
        <v>0</v>
      </c>
      <c r="H940">
        <f>FME_Ranking1[[#This Row],[Emergency Need Score (Normalized, Unweighted)]]*$F$3</f>
        <v>0</v>
      </c>
      <c r="I940" s="246">
        <f>_xlfn.XLOOKUP(FME_Ranking1[[#This Row],[FME ID]],FME_Input[FME_ID],FME_Input[STRUCT_100])</f>
        <v>179</v>
      </c>
      <c r="J940" s="178">
        <f>(FME_Ranking1[[#This Row],[Structures 100 Raw]]/I$2)*100</f>
        <v>9.5853146553570662E-2</v>
      </c>
      <c r="K940" s="178">
        <f>FME_Ranking1[[#This Row],[Structures 100  Score (Normalized, Unweighted)]]*$I$3</f>
        <v>1.4377971983035599E-2</v>
      </c>
      <c r="L940" s="246">
        <f>_xlfn.XLOOKUP(FME_Ranking1[[#This Row],[FME ID]],FME_Input[FME_ID],FME_Input[RES_STRUCT100])</f>
        <v>97</v>
      </c>
      <c r="M940" s="230">
        <f>(FME_Ranking1[[#This Row],[Res Structures Raw]]/L$2)*100</f>
        <v>6.8705642362340807E-2</v>
      </c>
      <c r="N940" s="180">
        <f>FME_Ranking1[[#This Row],[Res Structures Score (Normalized, Unweighted)]]*$L$3</f>
        <v>6.8705642362340809E-3</v>
      </c>
      <c r="O940" s="244">
        <f>_xlfn.XLOOKUP(FME_Ranking1[[#This Row],[FME ID]],FME_Input[FME_ID],FME_Input[POP100])</f>
        <v>172</v>
      </c>
      <c r="P940" s="178">
        <f>(FME_Ranking1[[#This Row],[Pop Raw]]/$O$2)*100</f>
        <v>1.7608553662067285E-2</v>
      </c>
      <c r="Q940" s="178">
        <f>FME_Ranking1[[#This Row],[Pop Score (Normalized, Unweighted)]]*$O$3</f>
        <v>2.6412830493100928E-3</v>
      </c>
      <c r="R940" s="137">
        <f>_xlfn.XLOOKUP(FME_Ranking1[[#This Row],[FME ID]],FME_Input[FME_ID],FME_Input[CRITFAC100])</f>
        <v>0</v>
      </c>
      <c r="S940" s="230">
        <f>(FME_Ranking1[[#This Row],[Critical Facilities Raw]]/$R$2)*100</f>
        <v>0</v>
      </c>
      <c r="T940" s="180">
        <f>FME_Ranking1[[#This Row],[Critical Facilities Score (Normalized, Unweighted)]]*$R$3</f>
        <v>0</v>
      </c>
      <c r="U940">
        <f>_xlfn.XLOOKUP(FME_Ranking1[[#This Row],[FME ID]],FME_Input[FME_ID],FME_Input[LWC])</f>
        <v>7</v>
      </c>
      <c r="V940" s="178">
        <f>(FME_Ranking1[[#This Row],[LWC Raw]]/$U$2)*100</f>
        <v>0.40299366724237184</v>
      </c>
      <c r="W940" s="178">
        <f>FME_Ranking1[[#This Row],[LWC Score (Normalized, Unweighted)]]*$U$3</f>
        <v>8.0598733448474374E-2</v>
      </c>
      <c r="X940" s="246">
        <f>_xlfn.XLOOKUP(FME_Ranking1[[#This Row],[FME ID]],FME_Input[FME_ID],FME_Input[ROADCLS])</f>
        <v>0</v>
      </c>
      <c r="Y940" s="230">
        <f>(FME_Ranking1[[#This Row],[Closures Raw]]/$X$2)*100</f>
        <v>0</v>
      </c>
      <c r="Z940" s="180">
        <f>FME_Ranking1[[#This Row],[Closures Score (Normalized, Unweighted)]]*$X$3</f>
        <v>0</v>
      </c>
      <c r="AA940" s="253">
        <f>_xlfn.XLOOKUP(FME_Ranking1[[#This Row],[FME ID]],FME_Input[FME_ID],FME_Input[ROAD_MILES100])</f>
        <v>29.674396514892582</v>
      </c>
      <c r="AB940" s="178">
        <f>(FME_Ranking1[[#This Row],[Miles Raw]]/$AA$2)*100</f>
        <v>0.39016509064205301</v>
      </c>
      <c r="AC940" s="178">
        <f>FME_Ranking1[[#This Row],[Miles Score (Normalized, Unweighted)]]*$AA$3</f>
        <v>3.9016509064205306E-2</v>
      </c>
      <c r="AD940" s="255">
        <f>_xlfn.XLOOKUP(FME_Ranking1[[#This Row],[FME ID]],FME_Input[FME_ID],FME_Input[FARMACRE100])</f>
        <v>2289.66552734375</v>
      </c>
      <c r="AE940" s="230">
        <f>(FME_Ranking1[[#This Row],[Ag Land Raw]]/$AD$2)*100</f>
        <v>9.441555665147551E-2</v>
      </c>
      <c r="AF940" s="231">
        <f>FME_Ranking1[[#This Row],[Ag Land Score (Normalized, Unweighted)]]*$AD$3</f>
        <v>4.7207778325737762E-3</v>
      </c>
      <c r="AG94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0.14822583961383323</v>
      </c>
      <c r="AH940" s="406">
        <f t="shared" si="14"/>
        <v>904</v>
      </c>
      <c r="AI94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0.14822583961383323</v>
      </c>
      <c r="AJ940" s="257">
        <f>FME_Ranking1[[#This Row],[Addition check]]-FME_Ranking1[[#This Row],[Weighted Score Based on Normalized Reported Factors]]</f>
        <v>0</v>
      </c>
      <c r="AK940" s="178">
        <f>_xlfn.RANK.EQ(AI940,$AI$6:$AI$2341,0)+COUNTIF($AI$6:AI940,AI940)-1</f>
        <v>906</v>
      </c>
    </row>
    <row r="941" spans="1:37" x14ac:dyDescent="0.25">
      <c r="A941" t="s">
        <v>4108</v>
      </c>
      <c r="B941">
        <f>_xlfn.XLOOKUP(FME_Ranking1[[#This Row],[FME ID]],FME_Input[FME_ID],FME_Input[RFPG_NUM])</f>
        <v>3</v>
      </c>
      <c r="C941" t="str">
        <f>_xlfn.XLOOKUP(FME_Ranking1[[#This Row],[FME ID]],FME_Input[FME_ID],FME_Input[FME_NAME])</f>
        <v>City of Rowlett DMP</v>
      </c>
      <c r="D941" t="str">
        <f>_xlfn.XLOOKUP(FME_Ranking1[[#This Row],[FME ID]],FME_Input[FME_ID],FME_Input[DESCR])</f>
        <v>Evaluate City and identify future projects.</v>
      </c>
      <c r="E941" s="256">
        <f>_xlfn.XLOOKUP(FME_Ranking1[[#This Row],[FME ID]],FME_Input[FME_ID],FME_Input[FME_COST])</f>
        <v>500000</v>
      </c>
      <c r="F941" t="str">
        <f>_xlfn.XLOOKUP(FME_Ranking1[[#This Row],[FME ID]],FME_Input[FME_ID],FME_Input[EMER_NEED])</f>
        <v>No</v>
      </c>
      <c r="G941">
        <f>IF(FME_Ranking!F941="Yes",100,0)</f>
        <v>0</v>
      </c>
      <c r="H941">
        <f>FME_Ranking1[[#This Row],[Emergency Need Score (Normalized, Unweighted)]]*$F$3</f>
        <v>0</v>
      </c>
      <c r="I941" s="246">
        <f>_xlfn.XLOOKUP(FME_Ranking1[[#This Row],[FME ID]],FME_Input[FME_ID],FME_Input[STRUCT_100])</f>
        <v>142</v>
      </c>
      <c r="J941" s="178">
        <f>(FME_Ranking1[[#This Row],[Structures 100 Raw]]/I$2)*100</f>
        <v>7.6039926316240417E-2</v>
      </c>
      <c r="K941" s="178">
        <f>FME_Ranking1[[#This Row],[Structures 100  Score (Normalized, Unweighted)]]*$I$3</f>
        <v>1.1405988947436062E-2</v>
      </c>
      <c r="L941" s="246">
        <f>_xlfn.XLOOKUP(FME_Ranking1[[#This Row],[FME ID]],FME_Input[FME_ID],FME_Input[RES_STRUCT100])</f>
        <v>134</v>
      </c>
      <c r="M941" s="230">
        <f>(FME_Ranking1[[#This Row],[Res Structures Raw]]/L$2)*100</f>
        <v>9.4912949242821329E-2</v>
      </c>
      <c r="N941" s="180">
        <f>FME_Ranking1[[#This Row],[Res Structures Score (Normalized, Unweighted)]]*$L$3</f>
        <v>9.4912949242821343E-3</v>
      </c>
      <c r="O941" s="244">
        <f>_xlfn.XLOOKUP(FME_Ranking1[[#This Row],[FME ID]],FME_Input[FME_ID],FME_Input[POP100])</f>
        <v>432</v>
      </c>
      <c r="P941" s="178">
        <f>(FME_Ranking1[[#This Row],[Pop Raw]]/$O$2)*100</f>
        <v>4.4226134779145741E-2</v>
      </c>
      <c r="Q941" s="178">
        <f>FME_Ranking1[[#This Row],[Pop Score (Normalized, Unweighted)]]*$O$3</f>
        <v>6.6339202168718614E-3</v>
      </c>
      <c r="R941" s="137">
        <f>_xlfn.XLOOKUP(FME_Ranking1[[#This Row],[FME ID]],FME_Input[FME_ID],FME_Input[CRITFAC100])</f>
        <v>0</v>
      </c>
      <c r="S941" s="230">
        <f>(FME_Ranking1[[#This Row],[Critical Facilities Raw]]/$R$2)*100</f>
        <v>0</v>
      </c>
      <c r="T941" s="180">
        <f>FME_Ranking1[[#This Row],[Critical Facilities Score (Normalized, Unweighted)]]*$R$3</f>
        <v>0</v>
      </c>
      <c r="U941">
        <f>_xlfn.XLOOKUP(FME_Ranking1[[#This Row],[FME ID]],FME_Input[FME_ID],FME_Input[LWC])</f>
        <v>7</v>
      </c>
      <c r="V941" s="178">
        <f>(FME_Ranking1[[#This Row],[LWC Raw]]/$U$2)*100</f>
        <v>0.40299366724237184</v>
      </c>
      <c r="W941" s="178">
        <f>FME_Ranking1[[#This Row],[LWC Score (Normalized, Unweighted)]]*$U$3</f>
        <v>8.0598733448474374E-2</v>
      </c>
      <c r="X941" s="246">
        <f>_xlfn.XLOOKUP(FME_Ranking1[[#This Row],[FME ID]],FME_Input[FME_ID],FME_Input[ROADCLS])</f>
        <v>0</v>
      </c>
      <c r="Y941" s="230">
        <f>(FME_Ranking1[[#This Row],[Closures Raw]]/$X$2)*100</f>
        <v>0</v>
      </c>
      <c r="Z941" s="180">
        <f>FME_Ranking1[[#This Row],[Closures Score (Normalized, Unweighted)]]*$X$3</f>
        <v>0</v>
      </c>
      <c r="AA941" s="253">
        <f>_xlfn.XLOOKUP(FME_Ranking1[[#This Row],[FME ID]],FME_Input[FME_ID],FME_Input[ROAD_MILES100])</f>
        <v>5.2370848655700684</v>
      </c>
      <c r="AB941" s="178">
        <f>(FME_Ranking1[[#This Row],[Miles Raw]]/$AA$2)*100</f>
        <v>6.8858272829568495E-2</v>
      </c>
      <c r="AC941" s="178">
        <f>FME_Ranking1[[#This Row],[Miles Score (Normalized, Unweighted)]]*$AA$3</f>
        <v>6.8858272829568495E-3</v>
      </c>
      <c r="AD941" s="255">
        <f>_xlfn.XLOOKUP(FME_Ranking1[[#This Row],[FME ID]],FME_Input[FME_ID],FME_Input[FARMACRE100])</f>
        <v>293.26779174804688</v>
      </c>
      <c r="AE941" s="230">
        <f>(FME_Ranking1[[#This Row],[Ag Land Raw]]/$AD$2)*100</f>
        <v>1.2093050917337698E-2</v>
      </c>
      <c r="AF941" s="231">
        <f>FME_Ranking1[[#This Row],[Ag Land Score (Normalized, Unweighted)]]*$AD$3</f>
        <v>6.0465254586688491E-4</v>
      </c>
      <c r="AG94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0.11562041736588817</v>
      </c>
      <c r="AH941" s="406">
        <f t="shared" si="14"/>
        <v>998</v>
      </c>
      <c r="AI94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0.11562041736588817</v>
      </c>
      <c r="AJ941" s="257">
        <f>FME_Ranking1[[#This Row],[Addition check]]-FME_Ranking1[[#This Row],[Weighted Score Based on Normalized Reported Factors]]</f>
        <v>0</v>
      </c>
      <c r="AK941" s="178">
        <f>_xlfn.RANK.EQ(AI941,$AI$6:$AI$2341,0)+COUNTIF($AI$6:AI941,AI941)-1</f>
        <v>998</v>
      </c>
    </row>
    <row r="942" spans="1:37" x14ac:dyDescent="0.25">
      <c r="A942" t="s">
        <v>3708</v>
      </c>
      <c r="B942">
        <f>_xlfn.XLOOKUP(FME_Ranking1[[#This Row],[FME ID]],FME_Input[FME_ID],FME_Input[RFPG_NUM])</f>
        <v>2</v>
      </c>
      <c r="C942" t="str">
        <f>_xlfn.XLOOKUP(FME_Ranking1[[#This Row],[FME ID]],FME_Input[FME_ID],FME_Input[FME_NAME])</f>
        <v>City of Atlanta High School Lane Project/Phase No. 2</v>
      </c>
      <c r="D942" t="str">
        <f>_xlfn.XLOOKUP(FME_Ranking1[[#This Row],[FME ID]],FME_Input[FME_ID],FME_Input[DESCR])</f>
        <v>Perform channel improvements between Hwy 77 &amp; Main St</v>
      </c>
      <c r="E942" s="256">
        <f>_xlfn.XLOOKUP(FME_Ranking1[[#This Row],[FME ID]],FME_Input[FME_ID],FME_Input[FME_COST])</f>
        <v>250000</v>
      </c>
      <c r="F942" t="str">
        <f>_xlfn.XLOOKUP(FME_Ranking1[[#This Row],[FME ID]],FME_Input[FME_ID],FME_Input[EMER_NEED])</f>
        <v>No</v>
      </c>
      <c r="G942">
        <f>IF(FME_Ranking!F942="Yes",100,0)</f>
        <v>0</v>
      </c>
      <c r="H942">
        <f>FME_Ranking1[[#This Row],[Emergency Need Score (Normalized, Unweighted)]]*$F$3</f>
        <v>0</v>
      </c>
      <c r="I942" s="246">
        <f>_xlfn.XLOOKUP(FME_Ranking1[[#This Row],[FME ID]],FME_Input[FME_ID],FME_Input[STRUCT_100])</f>
        <v>92</v>
      </c>
      <c r="J942" s="178">
        <f>(FME_Ranking1[[#This Row],[Structures 100 Raw]]/I$2)*100</f>
        <v>4.9265304373902238E-2</v>
      </c>
      <c r="K942" s="178">
        <f>FME_Ranking1[[#This Row],[Structures 100  Score (Normalized, Unweighted)]]*$I$3</f>
        <v>7.3897956560853356E-3</v>
      </c>
      <c r="L942" s="246">
        <f>_xlfn.XLOOKUP(FME_Ranking1[[#This Row],[FME ID]],FME_Input[FME_ID],FME_Input[RES_STRUCT100])</f>
        <v>31</v>
      </c>
      <c r="M942" s="230">
        <f>(FME_Ranking1[[#This Row],[Res Structures Raw]]/L$2)*100</f>
        <v>2.1957473332294485E-2</v>
      </c>
      <c r="N942" s="180">
        <f>FME_Ranking1[[#This Row],[Res Structures Score (Normalized, Unweighted)]]*$L$3</f>
        <v>2.1957473332294484E-3</v>
      </c>
      <c r="O942" s="244">
        <f>_xlfn.XLOOKUP(FME_Ranking1[[#This Row],[FME ID]],FME_Input[FME_ID],FME_Input[POP100])</f>
        <v>840</v>
      </c>
      <c r="P942" s="178">
        <f>(FME_Ranking1[[#This Row],[Pop Raw]]/$O$2)*100</f>
        <v>8.5995262070561157E-2</v>
      </c>
      <c r="Q942" s="178">
        <f>FME_Ranking1[[#This Row],[Pop Score (Normalized, Unweighted)]]*$O$3</f>
        <v>1.2899289310584173E-2</v>
      </c>
      <c r="R942" s="137">
        <f>_xlfn.XLOOKUP(FME_Ranking1[[#This Row],[FME ID]],FME_Input[FME_ID],FME_Input[CRITFAC100])</f>
        <v>2</v>
      </c>
      <c r="S942" s="230">
        <f>(FME_Ranking1[[#This Row],[Critical Facilities Raw]]/$R$2)*100</f>
        <v>8.5763293310463118E-2</v>
      </c>
      <c r="T942" s="180">
        <f>FME_Ranking1[[#This Row],[Critical Facilities Score (Normalized, Unweighted)]]*$R$3</f>
        <v>1.7152658662092625E-2</v>
      </c>
      <c r="U942">
        <f>_xlfn.XLOOKUP(FME_Ranking1[[#This Row],[FME ID]],FME_Input[FME_ID],FME_Input[LWC])</f>
        <v>6</v>
      </c>
      <c r="V942" s="178">
        <f>(FME_Ranking1[[#This Row],[LWC Raw]]/$U$2)*100</f>
        <v>0.34542314335060448</v>
      </c>
      <c r="W942" s="178">
        <f>FME_Ranking1[[#This Row],[LWC Score (Normalized, Unweighted)]]*$U$3</f>
        <v>6.9084628670120898E-2</v>
      </c>
      <c r="X942" s="246">
        <f>_xlfn.XLOOKUP(FME_Ranking1[[#This Row],[FME ID]],FME_Input[FME_ID],FME_Input[ROADCLS])</f>
        <v>0</v>
      </c>
      <c r="Y942" s="230">
        <f>(FME_Ranking1[[#This Row],[Closures Raw]]/$X$2)*100</f>
        <v>0</v>
      </c>
      <c r="Z942" s="180">
        <f>FME_Ranking1[[#This Row],[Closures Score (Normalized, Unweighted)]]*$X$3</f>
        <v>0</v>
      </c>
      <c r="AA942" s="253">
        <f>_xlfn.XLOOKUP(FME_Ranking1[[#This Row],[FME ID]],FME_Input[FME_ID],FME_Input[ROAD_MILES100])</f>
        <v>3.3698806762695308</v>
      </c>
      <c r="AB942" s="178">
        <f>(FME_Ranking1[[#This Row],[Miles Raw]]/$AA$2)*100</f>
        <v>4.4307886728201719E-2</v>
      </c>
      <c r="AC942" s="178">
        <f>FME_Ranking1[[#This Row],[Miles Score (Normalized, Unweighted)]]*$AA$3</f>
        <v>4.4307886728201717E-3</v>
      </c>
      <c r="AD942" s="255">
        <f>_xlfn.XLOOKUP(FME_Ranking1[[#This Row],[FME ID]],FME_Input[FME_ID],FME_Input[FARMACRE100])</f>
        <v>0.88116133213043213</v>
      </c>
      <c r="AE942" s="230">
        <f>(FME_Ranking1[[#This Row],[Ag Land Raw]]/$AD$2)*100</f>
        <v>3.6335148815104747E-5</v>
      </c>
      <c r="AF942" s="231">
        <f>FME_Ranking1[[#This Row],[Ag Land Score (Normalized, Unweighted)]]*$AD$3</f>
        <v>1.8167574407552373E-6</v>
      </c>
      <c r="AG94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0.1131547250623734</v>
      </c>
      <c r="AH942" s="406">
        <f t="shared" si="14"/>
        <v>1007</v>
      </c>
      <c r="AI94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0.1131547250623734</v>
      </c>
      <c r="AJ942" s="257">
        <f>FME_Ranking1[[#This Row],[Addition check]]-FME_Ranking1[[#This Row],[Weighted Score Based on Normalized Reported Factors]]</f>
        <v>0</v>
      </c>
      <c r="AK942" s="178">
        <f>_xlfn.RANK.EQ(AI942,$AI$6:$AI$2341,0)+COUNTIF($AI$6:AI942,AI942)-1</f>
        <v>1007</v>
      </c>
    </row>
    <row r="943" spans="1:37" x14ac:dyDescent="0.25">
      <c r="A943" t="s">
        <v>3718</v>
      </c>
      <c r="B943">
        <f>_xlfn.XLOOKUP(FME_Ranking1[[#This Row],[FME ID]],FME_Input[FME_ID],FME_Input[RFPG_NUM])</f>
        <v>2</v>
      </c>
      <c r="C943" t="str">
        <f>_xlfn.XLOOKUP(FME_Ranking1[[#This Row],[FME ID]],FME_Input[FME_ID],FME_Input[FME_NAME])</f>
        <v>City of Atlanta Eleanor St and Red Bluff St. Project/Phase No. 3</v>
      </c>
      <c r="D943" t="str">
        <f>_xlfn.XLOOKUP(FME_Ranking1[[#This Row],[FME ID]],FME_Input[FME_ID],FME_Input[DESCR])</f>
        <v>Replace culvert crossings</v>
      </c>
      <c r="E943" s="256">
        <f>_xlfn.XLOOKUP(FME_Ranking1[[#This Row],[FME ID]],FME_Input[FME_ID],FME_Input[FME_COST])</f>
        <v>61000</v>
      </c>
      <c r="F943" t="str">
        <f>_xlfn.XLOOKUP(FME_Ranking1[[#This Row],[FME ID]],FME_Input[FME_ID],FME_Input[EMER_NEED])</f>
        <v>No</v>
      </c>
      <c r="G943">
        <f>IF(FME_Ranking!F943="Yes",100,0)</f>
        <v>0</v>
      </c>
      <c r="H943">
        <f>FME_Ranking1[[#This Row],[Emergency Need Score (Normalized, Unweighted)]]*$F$3</f>
        <v>0</v>
      </c>
      <c r="I943" s="246">
        <f>_xlfn.XLOOKUP(FME_Ranking1[[#This Row],[FME ID]],FME_Input[FME_ID],FME_Input[STRUCT_100])</f>
        <v>92</v>
      </c>
      <c r="J943" s="178">
        <f>(FME_Ranking1[[#This Row],[Structures 100 Raw]]/I$2)*100</f>
        <v>4.9265304373902238E-2</v>
      </c>
      <c r="K943" s="178">
        <f>FME_Ranking1[[#This Row],[Structures 100  Score (Normalized, Unweighted)]]*$I$3</f>
        <v>7.3897956560853356E-3</v>
      </c>
      <c r="L943" s="246">
        <f>_xlfn.XLOOKUP(FME_Ranking1[[#This Row],[FME ID]],FME_Input[FME_ID],FME_Input[RES_STRUCT100])</f>
        <v>31</v>
      </c>
      <c r="M943" s="230">
        <f>(FME_Ranking1[[#This Row],[Res Structures Raw]]/L$2)*100</f>
        <v>2.1957473332294485E-2</v>
      </c>
      <c r="N943" s="180">
        <f>FME_Ranking1[[#This Row],[Res Structures Score (Normalized, Unweighted)]]*$L$3</f>
        <v>2.1957473332294484E-3</v>
      </c>
      <c r="O943" s="244">
        <f>_xlfn.XLOOKUP(FME_Ranking1[[#This Row],[FME ID]],FME_Input[FME_ID],FME_Input[POP100])</f>
        <v>840</v>
      </c>
      <c r="P943" s="178">
        <f>(FME_Ranking1[[#This Row],[Pop Raw]]/$O$2)*100</f>
        <v>8.5995262070561157E-2</v>
      </c>
      <c r="Q943" s="178">
        <f>FME_Ranking1[[#This Row],[Pop Score (Normalized, Unweighted)]]*$O$3</f>
        <v>1.2899289310584173E-2</v>
      </c>
      <c r="R943" s="137">
        <f>_xlfn.XLOOKUP(FME_Ranking1[[#This Row],[FME ID]],FME_Input[FME_ID],FME_Input[CRITFAC100])</f>
        <v>2</v>
      </c>
      <c r="S943" s="230">
        <f>(FME_Ranking1[[#This Row],[Critical Facilities Raw]]/$R$2)*100</f>
        <v>8.5763293310463118E-2</v>
      </c>
      <c r="T943" s="180">
        <f>FME_Ranking1[[#This Row],[Critical Facilities Score (Normalized, Unweighted)]]*$R$3</f>
        <v>1.7152658662092625E-2</v>
      </c>
      <c r="U943">
        <f>_xlfn.XLOOKUP(FME_Ranking1[[#This Row],[FME ID]],FME_Input[FME_ID],FME_Input[LWC])</f>
        <v>6</v>
      </c>
      <c r="V943" s="178">
        <f>(FME_Ranking1[[#This Row],[LWC Raw]]/$U$2)*100</f>
        <v>0.34542314335060448</v>
      </c>
      <c r="W943" s="178">
        <f>FME_Ranking1[[#This Row],[LWC Score (Normalized, Unweighted)]]*$U$3</f>
        <v>6.9084628670120898E-2</v>
      </c>
      <c r="X943" s="246">
        <f>_xlfn.XLOOKUP(FME_Ranking1[[#This Row],[FME ID]],FME_Input[FME_ID],FME_Input[ROADCLS])</f>
        <v>0</v>
      </c>
      <c r="Y943" s="230">
        <f>(FME_Ranking1[[#This Row],[Closures Raw]]/$X$2)*100</f>
        <v>0</v>
      </c>
      <c r="Z943" s="180">
        <f>FME_Ranking1[[#This Row],[Closures Score (Normalized, Unweighted)]]*$X$3</f>
        <v>0</v>
      </c>
      <c r="AA943" s="253">
        <f>_xlfn.XLOOKUP(FME_Ranking1[[#This Row],[FME ID]],FME_Input[FME_ID],FME_Input[ROAD_MILES100])</f>
        <v>3.3698806762695308</v>
      </c>
      <c r="AB943" s="178">
        <f>(FME_Ranking1[[#This Row],[Miles Raw]]/$AA$2)*100</f>
        <v>4.4307886728201719E-2</v>
      </c>
      <c r="AC943" s="178">
        <f>FME_Ranking1[[#This Row],[Miles Score (Normalized, Unweighted)]]*$AA$3</f>
        <v>4.4307886728201717E-3</v>
      </c>
      <c r="AD943" s="255">
        <f>_xlfn.XLOOKUP(FME_Ranking1[[#This Row],[FME ID]],FME_Input[FME_ID],FME_Input[FARMACRE100])</f>
        <v>0.88116133213043213</v>
      </c>
      <c r="AE943" s="230">
        <f>(FME_Ranking1[[#This Row],[Ag Land Raw]]/$AD$2)*100</f>
        <v>3.6335148815104747E-5</v>
      </c>
      <c r="AF943" s="231">
        <f>FME_Ranking1[[#This Row],[Ag Land Score (Normalized, Unweighted)]]*$AD$3</f>
        <v>1.8167574407552373E-6</v>
      </c>
      <c r="AG94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0.1131547250623734</v>
      </c>
      <c r="AH943" s="406">
        <f t="shared" si="14"/>
        <v>1007</v>
      </c>
      <c r="AI94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0.1131547250623734</v>
      </c>
      <c r="AJ943" s="257">
        <f>FME_Ranking1[[#This Row],[Addition check]]-FME_Ranking1[[#This Row],[Weighted Score Based on Normalized Reported Factors]]</f>
        <v>0</v>
      </c>
      <c r="AK943" s="178">
        <f>_xlfn.RANK.EQ(AI943,$AI$6:$AI$2341,0)+COUNTIF($AI$6:AI943,AI943)-1</f>
        <v>1008</v>
      </c>
    </row>
    <row r="944" spans="1:37" x14ac:dyDescent="0.25">
      <c r="A944" t="s">
        <v>3721</v>
      </c>
      <c r="B944">
        <f>_xlfn.XLOOKUP(FME_Ranking1[[#This Row],[FME ID]],FME_Input[FME_ID],FME_Input[RFPG_NUM])</f>
        <v>2</v>
      </c>
      <c r="C944" t="str">
        <f>_xlfn.XLOOKUP(FME_Ranking1[[#This Row],[FME ID]],FME_Input[FME_ID],FME_Input[FME_NAME])</f>
        <v>City of Atlanta Park View St and Jefferson St. Project/Phase No. 4</v>
      </c>
      <c r="D944" t="str">
        <f>_xlfn.XLOOKUP(FME_Ranking1[[#This Row],[FME ID]],FME_Input[FME_ID],FME_Input[DESCR])</f>
        <v>Install culvert crossing</v>
      </c>
      <c r="E944" s="256">
        <f>_xlfn.XLOOKUP(FME_Ranking1[[#This Row],[FME ID]],FME_Input[FME_ID],FME_Input[FME_COST])</f>
        <v>61000</v>
      </c>
      <c r="F944" t="str">
        <f>_xlfn.XLOOKUP(FME_Ranking1[[#This Row],[FME ID]],FME_Input[FME_ID],FME_Input[EMER_NEED])</f>
        <v>No</v>
      </c>
      <c r="G944">
        <f>IF(FME_Ranking!F944="Yes",100,0)</f>
        <v>0</v>
      </c>
      <c r="H944">
        <f>FME_Ranking1[[#This Row],[Emergency Need Score (Normalized, Unweighted)]]*$F$3</f>
        <v>0</v>
      </c>
      <c r="I944" s="246">
        <f>_xlfn.XLOOKUP(FME_Ranking1[[#This Row],[FME ID]],FME_Input[FME_ID],FME_Input[STRUCT_100])</f>
        <v>92</v>
      </c>
      <c r="J944" s="178">
        <f>(FME_Ranking1[[#This Row],[Structures 100 Raw]]/I$2)*100</f>
        <v>4.9265304373902238E-2</v>
      </c>
      <c r="K944" s="178">
        <f>FME_Ranking1[[#This Row],[Structures 100  Score (Normalized, Unweighted)]]*$I$3</f>
        <v>7.3897956560853356E-3</v>
      </c>
      <c r="L944" s="246">
        <f>_xlfn.XLOOKUP(FME_Ranking1[[#This Row],[FME ID]],FME_Input[FME_ID],FME_Input[RES_STRUCT100])</f>
        <v>31</v>
      </c>
      <c r="M944" s="230">
        <f>(FME_Ranking1[[#This Row],[Res Structures Raw]]/L$2)*100</f>
        <v>2.1957473332294485E-2</v>
      </c>
      <c r="N944" s="180">
        <f>FME_Ranking1[[#This Row],[Res Structures Score (Normalized, Unweighted)]]*$L$3</f>
        <v>2.1957473332294484E-3</v>
      </c>
      <c r="O944" s="244">
        <f>_xlfn.XLOOKUP(FME_Ranking1[[#This Row],[FME ID]],FME_Input[FME_ID],FME_Input[POP100])</f>
        <v>840</v>
      </c>
      <c r="P944" s="178">
        <f>(FME_Ranking1[[#This Row],[Pop Raw]]/$O$2)*100</f>
        <v>8.5995262070561157E-2</v>
      </c>
      <c r="Q944" s="178">
        <f>FME_Ranking1[[#This Row],[Pop Score (Normalized, Unweighted)]]*$O$3</f>
        <v>1.2899289310584173E-2</v>
      </c>
      <c r="R944" s="137">
        <f>_xlfn.XLOOKUP(FME_Ranking1[[#This Row],[FME ID]],FME_Input[FME_ID],FME_Input[CRITFAC100])</f>
        <v>2</v>
      </c>
      <c r="S944" s="230">
        <f>(FME_Ranking1[[#This Row],[Critical Facilities Raw]]/$R$2)*100</f>
        <v>8.5763293310463118E-2</v>
      </c>
      <c r="T944" s="180">
        <f>FME_Ranking1[[#This Row],[Critical Facilities Score (Normalized, Unweighted)]]*$R$3</f>
        <v>1.7152658662092625E-2</v>
      </c>
      <c r="U944">
        <f>_xlfn.XLOOKUP(FME_Ranking1[[#This Row],[FME ID]],FME_Input[FME_ID],FME_Input[LWC])</f>
        <v>6</v>
      </c>
      <c r="V944" s="178">
        <f>(FME_Ranking1[[#This Row],[LWC Raw]]/$U$2)*100</f>
        <v>0.34542314335060448</v>
      </c>
      <c r="W944" s="178">
        <f>FME_Ranking1[[#This Row],[LWC Score (Normalized, Unweighted)]]*$U$3</f>
        <v>6.9084628670120898E-2</v>
      </c>
      <c r="X944" s="246">
        <f>_xlfn.XLOOKUP(FME_Ranking1[[#This Row],[FME ID]],FME_Input[FME_ID],FME_Input[ROADCLS])</f>
        <v>0</v>
      </c>
      <c r="Y944" s="230">
        <f>(FME_Ranking1[[#This Row],[Closures Raw]]/$X$2)*100</f>
        <v>0</v>
      </c>
      <c r="Z944" s="180">
        <f>FME_Ranking1[[#This Row],[Closures Score (Normalized, Unweighted)]]*$X$3</f>
        <v>0</v>
      </c>
      <c r="AA944" s="253">
        <f>_xlfn.XLOOKUP(FME_Ranking1[[#This Row],[FME ID]],FME_Input[FME_ID],FME_Input[ROAD_MILES100])</f>
        <v>3.3698806762695308</v>
      </c>
      <c r="AB944" s="178">
        <f>(FME_Ranking1[[#This Row],[Miles Raw]]/$AA$2)*100</f>
        <v>4.4307886728201719E-2</v>
      </c>
      <c r="AC944" s="178">
        <f>FME_Ranking1[[#This Row],[Miles Score (Normalized, Unweighted)]]*$AA$3</f>
        <v>4.4307886728201717E-3</v>
      </c>
      <c r="AD944" s="255">
        <f>_xlfn.XLOOKUP(FME_Ranking1[[#This Row],[FME ID]],FME_Input[FME_ID],FME_Input[FARMACRE100])</f>
        <v>0.88116133213043213</v>
      </c>
      <c r="AE944" s="230">
        <f>(FME_Ranking1[[#This Row],[Ag Land Raw]]/$AD$2)*100</f>
        <v>3.6335148815104747E-5</v>
      </c>
      <c r="AF944" s="231">
        <f>FME_Ranking1[[#This Row],[Ag Land Score (Normalized, Unweighted)]]*$AD$3</f>
        <v>1.8167574407552373E-6</v>
      </c>
      <c r="AG94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0.1131547250623734</v>
      </c>
      <c r="AH944" s="406">
        <f t="shared" si="14"/>
        <v>1007</v>
      </c>
      <c r="AI94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0.1131547250623734</v>
      </c>
      <c r="AJ944" s="257">
        <f>FME_Ranking1[[#This Row],[Addition check]]-FME_Ranking1[[#This Row],[Weighted Score Based on Normalized Reported Factors]]</f>
        <v>0</v>
      </c>
      <c r="AK944" s="178">
        <f>_xlfn.RANK.EQ(AI944,$AI$6:$AI$2341,0)+COUNTIF($AI$6:AI944,AI944)-1</f>
        <v>1009</v>
      </c>
    </row>
    <row r="945" spans="1:37" x14ac:dyDescent="0.25">
      <c r="A945" t="s">
        <v>7959</v>
      </c>
      <c r="B945">
        <f>_xlfn.XLOOKUP(FME_Ranking1[[#This Row],[FME ID]],FME_Input[FME_ID],FME_Input[RFPG_NUM])</f>
        <v>9</v>
      </c>
      <c r="C945" t="str">
        <f>_xlfn.XLOOKUP(FME_Ranking1[[#This Row],[FME ID]],FME_Input[FME_ID],FME_Input[FME_NAME])</f>
        <v>Lynn County  FEMA Mapping</v>
      </c>
      <c r="D945" t="str">
        <f>_xlfn.XLOOKUP(FME_Ranking1[[#This Row],[FME ID]],FME_Input[FME_ID],FME_Input[DESCR])</f>
        <v>Create FEMA Mapping in previously unmapped areas</v>
      </c>
      <c r="E945" s="256">
        <f>_xlfn.XLOOKUP(FME_Ranking1[[#This Row],[FME ID]],FME_Input[FME_ID],FME_Input[FME_COST])</f>
        <v>780000</v>
      </c>
      <c r="F945" t="str">
        <f>_xlfn.XLOOKUP(FME_Ranking1[[#This Row],[FME ID]],FME_Input[FME_ID],FME_Input[EMER_NEED])</f>
        <v>No</v>
      </c>
      <c r="G945">
        <f>IF(FME_Ranking!F945="Yes",100,0)</f>
        <v>0</v>
      </c>
      <c r="H945">
        <f>FME_Ranking1[[#This Row],[Emergency Need Score (Normalized, Unweighted)]]*$F$3</f>
        <v>0</v>
      </c>
      <c r="I945" s="246">
        <f>_xlfn.XLOOKUP(FME_Ranking1[[#This Row],[FME ID]],FME_Input[FME_ID],FME_Input[STRUCT_100])</f>
        <v>340</v>
      </c>
      <c r="J945" s="178">
        <f>(FME_Ranking1[[#This Row],[Structures 100 Raw]]/I$2)*100</f>
        <v>0.18206742920789956</v>
      </c>
      <c r="K945" s="178">
        <f>FME_Ranking1[[#This Row],[Structures 100  Score (Normalized, Unweighted)]]*$I$3</f>
        <v>2.7310114381184934E-2</v>
      </c>
      <c r="L945" s="246">
        <f>_xlfn.XLOOKUP(FME_Ranking1[[#This Row],[FME ID]],FME_Input[FME_ID],FME_Input[RES_STRUCT100])</f>
        <v>204</v>
      </c>
      <c r="M945" s="230">
        <f>(FME_Ranking1[[#This Row],[Res Structures Raw]]/L$2)*100</f>
        <v>0.144494340638325</v>
      </c>
      <c r="N945" s="180">
        <f>FME_Ranking1[[#This Row],[Res Structures Score (Normalized, Unweighted)]]*$L$3</f>
        <v>1.4449434063832501E-2</v>
      </c>
      <c r="O945" s="244">
        <f>_xlfn.XLOOKUP(FME_Ranking1[[#This Row],[FME ID]],FME_Input[FME_ID],FME_Input[POP100])</f>
        <v>347</v>
      </c>
      <c r="P945" s="178">
        <f>(FME_Ranking1[[#This Row],[Pop Raw]]/$O$2)*100</f>
        <v>3.552423326010086E-2</v>
      </c>
      <c r="Q945" s="178">
        <f>FME_Ranking1[[#This Row],[Pop Score (Normalized, Unweighted)]]*$O$3</f>
        <v>5.328634989015129E-3</v>
      </c>
      <c r="R945" s="137">
        <f>_xlfn.XLOOKUP(FME_Ranking1[[#This Row],[FME ID]],FME_Input[FME_ID],FME_Input[CRITFAC100])</f>
        <v>1</v>
      </c>
      <c r="S945" s="230">
        <f>(FME_Ranking1[[#This Row],[Critical Facilities Raw]]/$R$2)*100</f>
        <v>4.2881646655231559E-2</v>
      </c>
      <c r="T945" s="180">
        <f>FME_Ranking1[[#This Row],[Critical Facilities Score (Normalized, Unweighted)]]*$R$3</f>
        <v>8.5763293310463125E-3</v>
      </c>
      <c r="U945">
        <f>_xlfn.XLOOKUP(FME_Ranking1[[#This Row],[FME ID]],FME_Input[FME_ID],FME_Input[LWC])</f>
        <v>0</v>
      </c>
      <c r="V945" s="178">
        <f>(FME_Ranking1[[#This Row],[LWC Raw]]/$U$2)*100</f>
        <v>0</v>
      </c>
      <c r="W945" s="178">
        <f>FME_Ranking1[[#This Row],[LWC Score (Normalized, Unweighted)]]*$U$3</f>
        <v>0</v>
      </c>
      <c r="X945" s="246">
        <f>_xlfn.XLOOKUP(FME_Ranking1[[#This Row],[FME ID]],FME_Input[FME_ID],FME_Input[ROADCLS])</f>
        <v>0</v>
      </c>
      <c r="Y945" s="230">
        <f>(FME_Ranking1[[#This Row],[Closures Raw]]/$X$2)*100</f>
        <v>0</v>
      </c>
      <c r="Z945" s="180">
        <f>FME_Ranking1[[#This Row],[Closures Score (Normalized, Unweighted)]]*$X$3</f>
        <v>0</v>
      </c>
      <c r="AA945" s="253">
        <f>_xlfn.XLOOKUP(FME_Ranking1[[#This Row],[FME ID]],FME_Input[FME_ID],FME_Input[ROAD_MILES100])</f>
        <v>151.99676513671881</v>
      </c>
      <c r="AB945" s="178">
        <f>(FME_Ranking1[[#This Row],[Miles Raw]]/$AA$2)*100</f>
        <v>1.9984848425511921</v>
      </c>
      <c r="AC945" s="178">
        <f>FME_Ranking1[[#This Row],[Miles Score (Normalized, Unweighted)]]*$AA$3</f>
        <v>0.19984848425511922</v>
      </c>
      <c r="AD945" s="255">
        <f>_xlfn.XLOOKUP(FME_Ranking1[[#This Row],[FME ID]],FME_Input[FME_ID],FME_Input[FARMACRE100])</f>
        <v>25468.806640625</v>
      </c>
      <c r="AE945" s="230">
        <f>(FME_Ranking1[[#This Row],[Ag Land Raw]]/$AD$2)*100</f>
        <v>1.0502195746524825</v>
      </c>
      <c r="AF945" s="231">
        <f>FME_Ranking1[[#This Row],[Ag Land Score (Normalized, Unweighted)]]*$AD$3</f>
        <v>5.2510978732624128E-2</v>
      </c>
      <c r="AG94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0.3080239757528222</v>
      </c>
      <c r="AH945" s="406">
        <f t="shared" si="14"/>
        <v>606</v>
      </c>
      <c r="AI94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0.3080239757528222</v>
      </c>
      <c r="AJ945" s="257">
        <f>FME_Ranking1[[#This Row],[Addition check]]-FME_Ranking1[[#This Row],[Weighted Score Based on Normalized Reported Factors]]</f>
        <v>0</v>
      </c>
      <c r="AK945" s="178">
        <f>_xlfn.RANK.EQ(AI945,$AI$6:$AI$2341,0)+COUNTIF($AI$6:AI945,AI945)-1</f>
        <v>606</v>
      </c>
    </row>
    <row r="946" spans="1:37" x14ac:dyDescent="0.25">
      <c r="A946" t="s">
        <v>8004</v>
      </c>
      <c r="B946">
        <f>_xlfn.XLOOKUP(FME_Ranking1[[#This Row],[FME ID]],FME_Input[FME_ID],FME_Input[RFPG_NUM])</f>
        <v>9</v>
      </c>
      <c r="C946" t="str">
        <f>_xlfn.XLOOKUP(FME_Ranking1[[#This Row],[FME ID]],FME_Input[FME_ID],FME_Input[FME_NAME])</f>
        <v>Lynn County  DMP</v>
      </c>
      <c r="D946" t="str">
        <f>_xlfn.XLOOKUP(FME_Ranking1[[#This Row],[FME ID]],FME_Input[FME_ID],FME_Input[DESCR])</f>
        <v xml:space="preserve">Create Drainage Master Plan, including evaluation of potential mitigation projects. </v>
      </c>
      <c r="E946" s="256">
        <f>_xlfn.XLOOKUP(FME_Ranking1[[#This Row],[FME ID]],FME_Input[FME_ID],FME_Input[FME_COST])</f>
        <v>500000</v>
      </c>
      <c r="F946" t="str">
        <f>_xlfn.XLOOKUP(FME_Ranking1[[#This Row],[FME ID]],FME_Input[FME_ID],FME_Input[EMER_NEED])</f>
        <v>No</v>
      </c>
      <c r="G946">
        <f>IF(FME_Ranking!F946="Yes",100,0)</f>
        <v>0</v>
      </c>
      <c r="H946">
        <f>FME_Ranking1[[#This Row],[Emergency Need Score (Normalized, Unweighted)]]*$F$3</f>
        <v>0</v>
      </c>
      <c r="I946" s="246">
        <f>_xlfn.XLOOKUP(FME_Ranking1[[#This Row],[FME ID]],FME_Input[FME_ID],FME_Input[STRUCT_100])</f>
        <v>340</v>
      </c>
      <c r="J946" s="178">
        <f>(FME_Ranking1[[#This Row],[Structures 100 Raw]]/I$2)*100</f>
        <v>0.18206742920789956</v>
      </c>
      <c r="K946" s="178">
        <f>FME_Ranking1[[#This Row],[Structures 100  Score (Normalized, Unweighted)]]*$I$3</f>
        <v>2.7310114381184934E-2</v>
      </c>
      <c r="L946" s="246">
        <f>_xlfn.XLOOKUP(FME_Ranking1[[#This Row],[FME ID]],FME_Input[FME_ID],FME_Input[RES_STRUCT100])</f>
        <v>204</v>
      </c>
      <c r="M946" s="230">
        <f>(FME_Ranking1[[#This Row],[Res Structures Raw]]/L$2)*100</f>
        <v>0.144494340638325</v>
      </c>
      <c r="N946" s="180">
        <f>FME_Ranking1[[#This Row],[Res Structures Score (Normalized, Unweighted)]]*$L$3</f>
        <v>1.4449434063832501E-2</v>
      </c>
      <c r="O946" s="244">
        <f>_xlfn.XLOOKUP(FME_Ranking1[[#This Row],[FME ID]],FME_Input[FME_ID],FME_Input[POP100])</f>
        <v>347</v>
      </c>
      <c r="P946" s="178">
        <f>(FME_Ranking1[[#This Row],[Pop Raw]]/$O$2)*100</f>
        <v>3.552423326010086E-2</v>
      </c>
      <c r="Q946" s="178">
        <f>FME_Ranking1[[#This Row],[Pop Score (Normalized, Unweighted)]]*$O$3</f>
        <v>5.328634989015129E-3</v>
      </c>
      <c r="R946" s="137">
        <f>_xlfn.XLOOKUP(FME_Ranking1[[#This Row],[FME ID]],FME_Input[FME_ID],FME_Input[CRITFAC100])</f>
        <v>1</v>
      </c>
      <c r="S946" s="230">
        <f>(FME_Ranking1[[#This Row],[Critical Facilities Raw]]/$R$2)*100</f>
        <v>4.2881646655231559E-2</v>
      </c>
      <c r="T946" s="180">
        <f>FME_Ranking1[[#This Row],[Critical Facilities Score (Normalized, Unweighted)]]*$R$3</f>
        <v>8.5763293310463125E-3</v>
      </c>
      <c r="U946">
        <f>_xlfn.XLOOKUP(FME_Ranking1[[#This Row],[FME ID]],FME_Input[FME_ID],FME_Input[LWC])</f>
        <v>0</v>
      </c>
      <c r="V946" s="178">
        <f>(FME_Ranking1[[#This Row],[LWC Raw]]/$U$2)*100</f>
        <v>0</v>
      </c>
      <c r="W946" s="178">
        <f>FME_Ranking1[[#This Row],[LWC Score (Normalized, Unweighted)]]*$U$3</f>
        <v>0</v>
      </c>
      <c r="X946" s="246">
        <f>_xlfn.XLOOKUP(FME_Ranking1[[#This Row],[FME ID]],FME_Input[FME_ID],FME_Input[ROADCLS])</f>
        <v>0</v>
      </c>
      <c r="Y946" s="230">
        <f>(FME_Ranking1[[#This Row],[Closures Raw]]/$X$2)*100</f>
        <v>0</v>
      </c>
      <c r="Z946" s="180">
        <f>FME_Ranking1[[#This Row],[Closures Score (Normalized, Unweighted)]]*$X$3</f>
        <v>0</v>
      </c>
      <c r="AA946" s="253">
        <f>_xlfn.XLOOKUP(FME_Ranking1[[#This Row],[FME ID]],FME_Input[FME_ID],FME_Input[ROAD_MILES100])</f>
        <v>151.99676513671881</v>
      </c>
      <c r="AB946" s="178">
        <f>(FME_Ranking1[[#This Row],[Miles Raw]]/$AA$2)*100</f>
        <v>1.9984848425511921</v>
      </c>
      <c r="AC946" s="178">
        <f>FME_Ranking1[[#This Row],[Miles Score (Normalized, Unweighted)]]*$AA$3</f>
        <v>0.19984848425511922</v>
      </c>
      <c r="AD946" s="255">
        <f>_xlfn.XLOOKUP(FME_Ranking1[[#This Row],[FME ID]],FME_Input[FME_ID],FME_Input[FARMACRE100])</f>
        <v>25468.806640625</v>
      </c>
      <c r="AE946" s="230">
        <f>(FME_Ranking1[[#This Row],[Ag Land Raw]]/$AD$2)*100</f>
        <v>1.0502195746524825</v>
      </c>
      <c r="AF946" s="231">
        <f>FME_Ranking1[[#This Row],[Ag Land Score (Normalized, Unweighted)]]*$AD$3</f>
        <v>5.2510978732624128E-2</v>
      </c>
      <c r="AG94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0.3080239757528222</v>
      </c>
      <c r="AH946" s="406">
        <f t="shared" si="14"/>
        <v>606</v>
      </c>
      <c r="AI94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0.3080239757528222</v>
      </c>
      <c r="AJ946" s="257">
        <f>FME_Ranking1[[#This Row],[Addition check]]-FME_Ranking1[[#This Row],[Weighted Score Based on Normalized Reported Factors]]</f>
        <v>0</v>
      </c>
      <c r="AK946" s="178">
        <f>_xlfn.RANK.EQ(AI946,$AI$6:$AI$2341,0)+COUNTIF($AI$6:AI946,AI946)-1</f>
        <v>607</v>
      </c>
    </row>
    <row r="947" spans="1:37" x14ac:dyDescent="0.25">
      <c r="A947" t="s">
        <v>3586</v>
      </c>
      <c r="B947">
        <f>_xlfn.XLOOKUP(FME_Ranking1[[#This Row],[FME ID]],FME_Input[FME_ID],FME_Input[RFPG_NUM])</f>
        <v>2</v>
      </c>
      <c r="C947" t="str">
        <f>_xlfn.XLOOKUP(FME_Ranking1[[#This Row],[FME ID]],FME_Input[FME_ID],FME_Input[FME_NAME])</f>
        <v>Morris County FIS</v>
      </c>
      <c r="D947" t="str">
        <f>_xlfn.XLOOKUP(FME_Ranking1[[#This Row],[FME ID]],FME_Input[FME_ID],FME_Input[DESCR])</f>
        <v>Update County maps to Zone AE</v>
      </c>
      <c r="E947" s="256">
        <f>_xlfn.XLOOKUP(FME_Ranking1[[#This Row],[FME ID]],FME_Input[FME_ID],FME_Input[FME_COST])</f>
        <v>804000</v>
      </c>
      <c r="F947" t="str">
        <f>_xlfn.XLOOKUP(FME_Ranking1[[#This Row],[FME ID]],FME_Input[FME_ID],FME_Input[EMER_NEED])</f>
        <v>No</v>
      </c>
      <c r="G947">
        <f>IF(FME_Ranking!F947="Yes",100,0)</f>
        <v>0</v>
      </c>
      <c r="H947">
        <f>FME_Ranking1[[#This Row],[Emergency Need Score (Normalized, Unweighted)]]*$F$3</f>
        <v>0</v>
      </c>
      <c r="I947" s="246">
        <f>_xlfn.XLOOKUP(FME_Ranking1[[#This Row],[FME ID]],FME_Input[FME_ID],FME_Input[STRUCT_100])</f>
        <v>234</v>
      </c>
      <c r="J947" s="178">
        <f>(FME_Ranking1[[#This Row],[Structures 100 Raw]]/I$2)*100</f>
        <v>0.12530523069014265</v>
      </c>
      <c r="K947" s="178">
        <f>FME_Ranking1[[#This Row],[Structures 100  Score (Normalized, Unweighted)]]*$I$3</f>
        <v>1.8795784603521399E-2</v>
      </c>
      <c r="L947" s="246">
        <f>_xlfn.XLOOKUP(FME_Ranking1[[#This Row],[FME ID]],FME_Input[FME_ID],FME_Input[RES_STRUCT100])</f>
        <v>102</v>
      </c>
      <c r="M947" s="230">
        <f>(FME_Ranking1[[#This Row],[Res Structures Raw]]/L$2)*100</f>
        <v>7.2247170319162501E-2</v>
      </c>
      <c r="N947" s="180">
        <f>FME_Ranking1[[#This Row],[Res Structures Score (Normalized, Unweighted)]]*$L$3</f>
        <v>7.2247170319162503E-3</v>
      </c>
      <c r="O947" s="244">
        <f>_xlfn.XLOOKUP(FME_Ranking1[[#This Row],[FME ID]],FME_Input[FME_ID],FME_Input[POP100])</f>
        <v>419</v>
      </c>
      <c r="P947" s="178">
        <f>(FME_Ranking1[[#This Row],[Pop Raw]]/$O$2)*100</f>
        <v>4.2895255723291816E-2</v>
      </c>
      <c r="Q947" s="178">
        <f>FME_Ranking1[[#This Row],[Pop Score (Normalized, Unweighted)]]*$O$3</f>
        <v>6.4342883584937718E-3</v>
      </c>
      <c r="R947" s="137">
        <f>_xlfn.XLOOKUP(FME_Ranking1[[#This Row],[FME ID]],FME_Input[FME_ID],FME_Input[CRITFAC100])</f>
        <v>6</v>
      </c>
      <c r="S947" s="230">
        <f>(FME_Ranking1[[#This Row],[Critical Facilities Raw]]/$R$2)*100</f>
        <v>0.25728987993138941</v>
      </c>
      <c r="T947" s="180">
        <f>FME_Ranking1[[#This Row],[Critical Facilities Score (Normalized, Unweighted)]]*$R$3</f>
        <v>5.1457975986277882E-2</v>
      </c>
      <c r="U947">
        <f>_xlfn.XLOOKUP(FME_Ranking1[[#This Row],[FME ID]],FME_Input[FME_ID],FME_Input[LWC])</f>
        <v>2</v>
      </c>
      <c r="V947" s="178">
        <f>(FME_Ranking1[[#This Row],[LWC Raw]]/$U$2)*100</f>
        <v>0.11514104778353484</v>
      </c>
      <c r="W947" s="178">
        <f>FME_Ranking1[[#This Row],[LWC Score (Normalized, Unweighted)]]*$U$3</f>
        <v>2.302820955670697E-2</v>
      </c>
      <c r="X947" s="246">
        <f>_xlfn.XLOOKUP(FME_Ranking1[[#This Row],[FME ID]],FME_Input[FME_ID],FME_Input[ROADCLS])</f>
        <v>0</v>
      </c>
      <c r="Y947" s="230">
        <f>(FME_Ranking1[[#This Row],[Closures Raw]]/$X$2)*100</f>
        <v>0</v>
      </c>
      <c r="Z947" s="180">
        <f>FME_Ranking1[[#This Row],[Closures Score (Normalized, Unweighted)]]*$X$3</f>
        <v>0</v>
      </c>
      <c r="AA947" s="253">
        <f>_xlfn.XLOOKUP(FME_Ranking1[[#This Row],[FME ID]],FME_Input[FME_ID],FME_Input[ROAD_MILES100])</f>
        <v>38.446529388427727</v>
      </c>
      <c r="AB947" s="178">
        <f>(FME_Ranking1[[#This Row],[Miles Raw]]/$AA$2)*100</f>
        <v>0.50550290437010292</v>
      </c>
      <c r="AC947" s="178">
        <f>FME_Ranking1[[#This Row],[Miles Score (Normalized, Unweighted)]]*$AA$3</f>
        <v>5.0550290437010294E-2</v>
      </c>
      <c r="AD947" s="255">
        <f>_xlfn.XLOOKUP(FME_Ranking1[[#This Row],[FME ID]],FME_Input[FME_ID],FME_Input[FARMACRE100])</f>
        <v>394.99609375</v>
      </c>
      <c r="AE947" s="230">
        <f>(FME_Ranking1[[#This Row],[Ag Land Raw]]/$AD$2)*100</f>
        <v>1.6287870704779012E-2</v>
      </c>
      <c r="AF947" s="231">
        <f>FME_Ranking1[[#This Row],[Ag Land Score (Normalized, Unweighted)]]*$AD$3</f>
        <v>8.1439353523895066E-4</v>
      </c>
      <c r="AG94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0.15830565950916553</v>
      </c>
      <c r="AH947" s="406">
        <f t="shared" si="14"/>
        <v>875</v>
      </c>
      <c r="AI94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0.15830565950916553</v>
      </c>
      <c r="AJ947" s="257">
        <f>FME_Ranking1[[#This Row],[Addition check]]-FME_Ranking1[[#This Row],[Weighted Score Based on Normalized Reported Factors]]</f>
        <v>0</v>
      </c>
      <c r="AK947" s="178">
        <f>_xlfn.RANK.EQ(AI947,$AI$6:$AI$2341,0)+COUNTIF($AI$6:AI947,AI947)-1</f>
        <v>875</v>
      </c>
    </row>
    <row r="948" spans="1:37" x14ac:dyDescent="0.25">
      <c r="A948" t="s">
        <v>5754</v>
      </c>
      <c r="B948">
        <f>_xlfn.XLOOKUP(FME_Ranking1[[#This Row],[FME ID]],FME_Input[FME_ID],FME_Input[RFPG_NUM])</f>
        <v>4</v>
      </c>
      <c r="C948" t="str">
        <f>_xlfn.XLOOKUP(FME_Ranking1[[#This Row],[FME ID]],FME_Input[FME_ID],FME_Input[FME_NAME])</f>
        <v>Hopkins County Flood Hazard Mapping</v>
      </c>
      <c r="D948" t="str">
        <f>_xlfn.XLOOKUP(FME_Ranking1[[#This Row],[FME ID]],FME_Input[FME_ID],FME_Input[DESCR])</f>
        <v>Complete a detailed study within the county extent to delineate an updated flood hazard area, which can be used for regulatory purposes.</v>
      </c>
      <c r="E948" s="256">
        <f>_xlfn.XLOOKUP(FME_Ranking1[[#This Row],[FME ID]],FME_Input[FME_ID],FME_Input[FME_COST])</f>
        <v>1550000</v>
      </c>
      <c r="F948" t="str">
        <f>_xlfn.XLOOKUP(FME_Ranking1[[#This Row],[FME ID]],FME_Input[FME_ID],FME_Input[EMER_NEED])</f>
        <v>Yes</v>
      </c>
      <c r="G948">
        <f>IF(FME_Ranking!F948="Yes",100,0)</f>
        <v>100</v>
      </c>
      <c r="H948">
        <f>FME_Ranking1[[#This Row],[Emergency Need Score (Normalized, Unweighted)]]*$F$3</f>
        <v>0</v>
      </c>
      <c r="I948" s="246">
        <f>_xlfn.XLOOKUP(FME_Ranking1[[#This Row],[FME ID]],FME_Input[FME_ID],FME_Input[STRUCT_100])</f>
        <v>156</v>
      </c>
      <c r="J948" s="178">
        <f>(FME_Ranking1[[#This Row],[Structures 100 Raw]]/I$2)*100</f>
        <v>8.3536820460095099E-2</v>
      </c>
      <c r="K948" s="178">
        <f>FME_Ranking1[[#This Row],[Structures 100  Score (Normalized, Unweighted)]]*$I$3</f>
        <v>1.2530523069014265E-2</v>
      </c>
      <c r="L948" s="246">
        <f>_xlfn.XLOOKUP(FME_Ranking1[[#This Row],[FME ID]],FME_Input[FME_ID],FME_Input[RES_STRUCT100])</f>
        <v>87</v>
      </c>
      <c r="M948" s="230">
        <f>(FME_Ranking1[[#This Row],[Res Structures Raw]]/L$2)*100</f>
        <v>6.1622586448697426E-2</v>
      </c>
      <c r="N948" s="180">
        <f>FME_Ranking1[[#This Row],[Res Structures Score (Normalized, Unweighted)]]*$L$3</f>
        <v>6.162258644869743E-3</v>
      </c>
      <c r="O948" s="244">
        <f>_xlfn.XLOOKUP(FME_Ranking1[[#This Row],[FME ID]],FME_Input[FME_ID],FME_Input[POP100])</f>
        <v>104</v>
      </c>
      <c r="P948" s="178">
        <f>(FME_Ranking1[[#This Row],[Pop Raw]]/$O$2)*100</f>
        <v>1.0647032446831382E-2</v>
      </c>
      <c r="Q948" s="178">
        <f>FME_Ranking1[[#This Row],[Pop Score (Normalized, Unweighted)]]*$O$3</f>
        <v>1.5970548670247071E-3</v>
      </c>
      <c r="R948" s="137">
        <f>_xlfn.XLOOKUP(FME_Ranking1[[#This Row],[FME ID]],FME_Input[FME_ID],FME_Input[CRITFAC100])</f>
        <v>0</v>
      </c>
      <c r="S948" s="230">
        <f>(FME_Ranking1[[#This Row],[Critical Facilities Raw]]/$R$2)*100</f>
        <v>0</v>
      </c>
      <c r="T948" s="180">
        <f>FME_Ranking1[[#This Row],[Critical Facilities Score (Normalized, Unweighted)]]*$R$3</f>
        <v>0</v>
      </c>
      <c r="U948">
        <f>_xlfn.XLOOKUP(FME_Ranking1[[#This Row],[FME ID]],FME_Input[FME_ID],FME_Input[LWC])</f>
        <v>5</v>
      </c>
      <c r="V948" s="178">
        <f>(FME_Ranking1[[#This Row],[LWC Raw]]/$U$2)*100</f>
        <v>0.28785261945883706</v>
      </c>
      <c r="W948" s="178">
        <f>FME_Ranking1[[#This Row],[LWC Score (Normalized, Unweighted)]]*$U$3</f>
        <v>5.7570523891767415E-2</v>
      </c>
      <c r="X948" s="246">
        <f>_xlfn.XLOOKUP(FME_Ranking1[[#This Row],[FME ID]],FME_Input[FME_ID],FME_Input[ROADCLS])</f>
        <v>5</v>
      </c>
      <c r="Y948" s="230">
        <f>(FME_Ranking1[[#This Row],[Closures Raw]]/$X$2)*100</f>
        <v>5.2570707601724324E-2</v>
      </c>
      <c r="Z948" s="180">
        <f>FME_Ranking1[[#This Row],[Closures Score (Normalized, Unweighted)]]*$X$3</f>
        <v>2.6285353800862164E-3</v>
      </c>
      <c r="AA948" s="253">
        <f>_xlfn.XLOOKUP(FME_Ranking1[[#This Row],[FME ID]],FME_Input[FME_ID],FME_Input[ROAD_MILES100])</f>
        <v>48.436382293701172</v>
      </c>
      <c r="AB948" s="178">
        <f>(FME_Ranking1[[#This Row],[Miles Raw]]/$AA$2)*100</f>
        <v>0.63685155243210045</v>
      </c>
      <c r="AC948" s="178">
        <f>FME_Ranking1[[#This Row],[Miles Score (Normalized, Unweighted)]]*$AA$3</f>
        <v>6.3685155243210043E-2</v>
      </c>
      <c r="AD948" s="255">
        <f>_xlfn.XLOOKUP(FME_Ranking1[[#This Row],[FME ID]],FME_Input[FME_ID],FME_Input[FARMACRE100])</f>
        <v>13195.1875</v>
      </c>
      <c r="AE948" s="230">
        <f>(FME_Ranking1[[#This Row],[Ag Land Raw]]/$AD$2)*100</f>
        <v>0.54411046419447329</v>
      </c>
      <c r="AF948" s="231">
        <f>FME_Ranking1[[#This Row],[Ag Land Score (Normalized, Unweighted)]]*$AD$3</f>
        <v>2.7205523209723664E-2</v>
      </c>
      <c r="AG94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0.17137957430569603</v>
      </c>
      <c r="AH948" s="406">
        <f t="shared" si="14"/>
        <v>860</v>
      </c>
      <c r="AI94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0.17137957430569603</v>
      </c>
      <c r="AJ948" s="257">
        <f>FME_Ranking1[[#This Row],[Addition check]]-FME_Ranking1[[#This Row],[Weighted Score Based on Normalized Reported Factors]]</f>
        <v>0</v>
      </c>
      <c r="AK948" s="178">
        <f>_xlfn.RANK.EQ(AI948,$AI$6:$AI$2341,0)+COUNTIF($AI$6:AI948,AI948)-1</f>
        <v>860</v>
      </c>
    </row>
    <row r="949" spans="1:37" x14ac:dyDescent="0.25">
      <c r="A949" t="s">
        <v>1028</v>
      </c>
      <c r="B949">
        <f>_xlfn.XLOOKUP(FME_Ranking1[[#This Row],[FME ID]],FME_Input[FME_ID],FME_Input[RFPG_NUM])</f>
        <v>6</v>
      </c>
      <c r="C949" t="str">
        <f>_xlfn.XLOOKUP(FME_Ranking1[[#This Row],[FME ID]],FME_Input[FME_ID],FME_Input[FME_NAME])</f>
        <v xml:space="preserve">Mustang Bayou Upper Segment </v>
      </c>
      <c r="D949" t="str">
        <f>_xlfn.XLOOKUP(FME_Ranking1[[#This Row],[FME ID]],FME_Input[FME_ID],FME_Input[DESCR])</f>
        <v>Further study including Atlas 14 rainfall incorporation and Benefit Cost Analysis of proposed channel modifications included in the City of Pearland master drainage plan.</v>
      </c>
      <c r="E949" s="256">
        <f>_xlfn.XLOOKUP(FME_Ranking1[[#This Row],[FME ID]],FME_Input[FME_ID],FME_Input[FME_COST])</f>
        <v>2040000</v>
      </c>
      <c r="F949" t="str">
        <f>_xlfn.XLOOKUP(FME_Ranking1[[#This Row],[FME ID]],FME_Input[FME_ID],FME_Input[EMER_NEED])</f>
        <v>No</v>
      </c>
      <c r="G949">
        <f>IF(FME_Ranking!F949="Yes",100,0)</f>
        <v>0</v>
      </c>
      <c r="H949">
        <f>FME_Ranking1[[#This Row],[Emergency Need Score (Normalized, Unweighted)]]*$F$3</f>
        <v>0</v>
      </c>
      <c r="I949" s="246">
        <f>_xlfn.XLOOKUP(FME_Ranking1[[#This Row],[FME ID]],FME_Input[FME_ID],FME_Input[STRUCT_100])</f>
        <v>415</v>
      </c>
      <c r="J949" s="178">
        <f>(FME_Ranking1[[#This Row],[Structures 100 Raw]]/I$2)*100</f>
        <v>0.22222936212140687</v>
      </c>
      <c r="K949" s="178">
        <f>FME_Ranking1[[#This Row],[Structures 100  Score (Normalized, Unweighted)]]*$I$3</f>
        <v>3.3334404318211032E-2</v>
      </c>
      <c r="L949" s="246">
        <f>_xlfn.XLOOKUP(FME_Ranking1[[#This Row],[FME ID]],FME_Input[FME_ID],FME_Input[RES_STRUCT100])</f>
        <v>367</v>
      </c>
      <c r="M949" s="230">
        <f>(FME_Ranking1[[#This Row],[Res Structures Raw]]/L$2)*100</f>
        <v>0.25994815203071214</v>
      </c>
      <c r="N949" s="180">
        <f>FME_Ranking1[[#This Row],[Res Structures Score (Normalized, Unweighted)]]*$L$3</f>
        <v>2.5994815203071217E-2</v>
      </c>
      <c r="O949" s="244">
        <f>_xlfn.XLOOKUP(FME_Ranking1[[#This Row],[FME ID]],FME_Input[FME_ID],FME_Input[POP100])</f>
        <v>778</v>
      </c>
      <c r="P949" s="178">
        <f>(FME_Ranking1[[#This Row],[Pop Raw]]/$O$2)*100</f>
        <v>7.9647992727257838E-2</v>
      </c>
      <c r="Q949" s="178">
        <f>FME_Ranking1[[#This Row],[Pop Score (Normalized, Unweighted)]]*$O$3</f>
        <v>1.1947198909088675E-2</v>
      </c>
      <c r="R949" s="137">
        <f>_xlfn.XLOOKUP(FME_Ranking1[[#This Row],[FME ID]],FME_Input[FME_ID],FME_Input[CRITFAC100])</f>
        <v>0</v>
      </c>
      <c r="S949" s="230">
        <f>(FME_Ranking1[[#This Row],[Critical Facilities Raw]]/$R$2)*100</f>
        <v>0</v>
      </c>
      <c r="T949" s="180">
        <f>FME_Ranking1[[#This Row],[Critical Facilities Score (Normalized, Unweighted)]]*$R$3</f>
        <v>0</v>
      </c>
      <c r="U949">
        <f>_xlfn.XLOOKUP(FME_Ranking1[[#This Row],[FME ID]],FME_Input[FME_ID],FME_Input[LWC])</f>
        <v>3</v>
      </c>
      <c r="V949" s="178">
        <f>(FME_Ranking1[[#This Row],[LWC Raw]]/$U$2)*100</f>
        <v>0.17271157167530224</v>
      </c>
      <c r="W949" s="178">
        <f>FME_Ranking1[[#This Row],[LWC Score (Normalized, Unweighted)]]*$U$3</f>
        <v>3.4542314335060449E-2</v>
      </c>
      <c r="X949" s="246">
        <f>_xlfn.XLOOKUP(FME_Ranking1[[#This Row],[FME ID]],FME_Input[FME_ID],FME_Input[ROADCLS])</f>
        <v>3</v>
      </c>
      <c r="Y949" s="230">
        <f>(FME_Ranking1[[#This Row],[Closures Raw]]/$X$2)*100</f>
        <v>3.1542424561034593E-2</v>
      </c>
      <c r="Z949" s="180">
        <f>FME_Ranking1[[#This Row],[Closures Score (Normalized, Unweighted)]]*$X$3</f>
        <v>1.5771212280517297E-3</v>
      </c>
      <c r="AA949" s="253">
        <f>_xlfn.XLOOKUP(FME_Ranking1[[#This Row],[FME ID]],FME_Input[FME_ID],FME_Input[ROAD_MILES100])</f>
        <v>4.4755477905273438</v>
      </c>
      <c r="AB949" s="178">
        <f>(FME_Ranking1[[#This Row],[Miles Raw]]/$AA$2)*100</f>
        <v>5.8845426173623476E-2</v>
      </c>
      <c r="AC949" s="178">
        <f>FME_Ranking1[[#This Row],[Miles Score (Normalized, Unweighted)]]*$AA$3</f>
        <v>5.8845426173623483E-3</v>
      </c>
      <c r="AD949" s="255">
        <f>_xlfn.XLOOKUP(FME_Ranking1[[#This Row],[FME ID]],FME_Input[FME_ID],FME_Input[FARMACRE100])</f>
        <v>19.513925552368161</v>
      </c>
      <c r="AE949" s="230">
        <f>(FME_Ranking1[[#This Row],[Ag Land Raw]]/$AD$2)*100</f>
        <v>8.0466693561993222E-4</v>
      </c>
      <c r="AF949" s="231">
        <f>FME_Ranking1[[#This Row],[Ag Land Score (Normalized, Unweighted)]]*$AD$3</f>
        <v>4.0233346780996611E-5</v>
      </c>
      <c r="AG94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0.11332062995762646</v>
      </c>
      <c r="AH949" s="406">
        <f t="shared" si="14"/>
        <v>1006</v>
      </c>
      <c r="AI94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0.11332062995762646</v>
      </c>
      <c r="AJ949" s="257">
        <f>FME_Ranking1[[#This Row],[Addition check]]-FME_Ranking1[[#This Row],[Weighted Score Based on Normalized Reported Factors]]</f>
        <v>0</v>
      </c>
      <c r="AK949" s="178">
        <f>_xlfn.RANK.EQ(AI949,$AI$6:$AI$2341,0)+COUNTIF($AI$6:AI949,AI949)-1</f>
        <v>1006</v>
      </c>
    </row>
    <row r="950" spans="1:37" x14ac:dyDescent="0.25">
      <c r="A950" t="s">
        <v>1937</v>
      </c>
      <c r="B950">
        <f>_xlfn.XLOOKUP(FME_Ranking1[[#This Row],[FME ID]],FME_Input[FME_ID],FME_Input[RFPG_NUM])</f>
        <v>6</v>
      </c>
      <c r="C950" t="str">
        <f>_xlfn.XLOOKUP(FME_Ranking1[[#This Row],[FME ID]],FME_Input[FME_ID],FME_Input[FME_NAME])</f>
        <v>Galveston Bay Watershed Plan-  PA01 (N+6) Channel &amp; Crossing Improvements</v>
      </c>
      <c r="D950" t="str">
        <f>_xlfn.XLOOKUP(FME_Ranking1[[#This Row],[FME ID]],FME_Input[FME_ID],FME_Input[DESCR])</f>
        <v>Develop BCA to become FMP. Channel deepening from N Broadway St to N Utah St, convert open channel segment to closed conduit w/ 8'x5' concrete boxes b/w N Utah St &amp; Main St, replace concrete pipe w/ dual 8'x5' concrete box culvert outfall to F212.</v>
      </c>
      <c r="E950" s="256">
        <f>_xlfn.XLOOKUP(FME_Ranking1[[#This Row],[FME ID]],FME_Input[FME_ID],FME_Input[FME_COST])</f>
        <v>30000</v>
      </c>
      <c r="F950" t="str">
        <f>_xlfn.XLOOKUP(FME_Ranking1[[#This Row],[FME ID]],FME_Input[FME_ID],FME_Input[EMER_NEED])</f>
        <v>No</v>
      </c>
      <c r="G950">
        <f>IF(FME_Ranking!F950="Yes",100,0)</f>
        <v>0</v>
      </c>
      <c r="H950">
        <f>FME_Ranking1[[#This Row],[Emergency Need Score (Normalized, Unweighted)]]*$F$3</f>
        <v>0</v>
      </c>
      <c r="I950" s="246">
        <f>_xlfn.XLOOKUP(FME_Ranking1[[#This Row],[FME ID]],FME_Input[FME_ID],FME_Input[STRUCT_100])</f>
        <v>259</v>
      </c>
      <c r="J950" s="178">
        <f>(FME_Ranking1[[#This Row],[Structures 100 Raw]]/I$2)*100</f>
        <v>0.13869254166131176</v>
      </c>
      <c r="K950" s="178">
        <f>FME_Ranking1[[#This Row],[Structures 100  Score (Normalized, Unweighted)]]*$I$3</f>
        <v>2.0803881249196764E-2</v>
      </c>
      <c r="L950" s="246">
        <f>_xlfn.XLOOKUP(FME_Ranking1[[#This Row],[FME ID]],FME_Input[FME_ID],FME_Input[RES_STRUCT100])</f>
        <v>234</v>
      </c>
      <c r="M950" s="230">
        <f>(FME_Ranking1[[#This Row],[Res Structures Raw]]/L$2)*100</f>
        <v>0.16574350837925517</v>
      </c>
      <c r="N950" s="180">
        <f>FME_Ranking1[[#This Row],[Res Structures Score (Normalized, Unweighted)]]*$L$3</f>
        <v>1.6574350837925519E-2</v>
      </c>
      <c r="O950" s="244">
        <f>_xlfn.XLOOKUP(FME_Ranking1[[#This Row],[FME ID]],FME_Input[FME_ID],FME_Input[POP100])</f>
        <v>648</v>
      </c>
      <c r="P950" s="178">
        <f>(FME_Ranking1[[#This Row],[Pop Raw]]/$O$2)*100</f>
        <v>6.6339202168718608E-2</v>
      </c>
      <c r="Q950" s="178">
        <f>FME_Ranking1[[#This Row],[Pop Score (Normalized, Unweighted)]]*$O$3</f>
        <v>9.9508803253077916E-3</v>
      </c>
      <c r="R950" s="137">
        <f>_xlfn.XLOOKUP(FME_Ranking1[[#This Row],[FME ID]],FME_Input[FME_ID],FME_Input[CRITFAC100])</f>
        <v>7</v>
      </c>
      <c r="S950" s="230">
        <f>(FME_Ranking1[[#This Row],[Critical Facilities Raw]]/$R$2)*100</f>
        <v>0.30017152658662088</v>
      </c>
      <c r="T950" s="180">
        <f>FME_Ranking1[[#This Row],[Critical Facilities Score (Normalized, Unweighted)]]*$R$3</f>
        <v>6.0034305317324177E-2</v>
      </c>
      <c r="U950">
        <f>_xlfn.XLOOKUP(FME_Ranking1[[#This Row],[FME ID]],FME_Input[FME_ID],FME_Input[LWC])</f>
        <v>0</v>
      </c>
      <c r="V950" s="178">
        <f>(FME_Ranking1[[#This Row],[LWC Raw]]/$U$2)*100</f>
        <v>0</v>
      </c>
      <c r="W950" s="178">
        <f>FME_Ranking1[[#This Row],[LWC Score (Normalized, Unweighted)]]*$U$3</f>
        <v>0</v>
      </c>
      <c r="X950" s="246">
        <f>_xlfn.XLOOKUP(FME_Ranking1[[#This Row],[FME ID]],FME_Input[FME_ID],FME_Input[ROADCLS])</f>
        <v>0</v>
      </c>
      <c r="Y950" s="230">
        <f>(FME_Ranking1[[#This Row],[Closures Raw]]/$X$2)*100</f>
        <v>0</v>
      </c>
      <c r="Z950" s="180">
        <f>FME_Ranking1[[#This Row],[Closures Score (Normalized, Unweighted)]]*$X$3</f>
        <v>0</v>
      </c>
      <c r="AA950" s="253">
        <f>_xlfn.XLOOKUP(FME_Ranking1[[#This Row],[FME ID]],FME_Input[FME_ID],FME_Input[ROAD_MILES100])</f>
        <v>5.095984935760498</v>
      </c>
      <c r="AB950" s="178">
        <f>(FME_Ranking1[[#This Row],[Miles Raw]]/$AA$2)*100</f>
        <v>6.7003061827177621E-2</v>
      </c>
      <c r="AC950" s="178">
        <f>FME_Ranking1[[#This Row],[Miles Score (Normalized, Unweighted)]]*$AA$3</f>
        <v>6.7003061827177624E-3</v>
      </c>
      <c r="AD950" s="255">
        <f>_xlfn.XLOOKUP(FME_Ranking1[[#This Row],[FME ID]],FME_Input[FME_ID],FME_Input[FARMACRE100])</f>
        <v>0.13703711330890661</v>
      </c>
      <c r="AE950" s="230">
        <f>(FME_Ranking1[[#This Row],[Ag Land Raw]]/$AD$2)*100</f>
        <v>5.6507971057159903E-6</v>
      </c>
      <c r="AF950" s="231">
        <f>FME_Ranking1[[#This Row],[Ag Land Score (Normalized, Unweighted)]]*$AD$3</f>
        <v>2.8253985528579955E-7</v>
      </c>
      <c r="AG95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0.1140640064523273</v>
      </c>
      <c r="AH950" s="406">
        <f t="shared" si="14"/>
        <v>1004</v>
      </c>
      <c r="AI95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0.1140640064523273</v>
      </c>
      <c r="AJ950" s="257">
        <f>FME_Ranking1[[#This Row],[Addition check]]-FME_Ranking1[[#This Row],[Weighted Score Based on Normalized Reported Factors]]</f>
        <v>0</v>
      </c>
      <c r="AK950" s="178">
        <f>_xlfn.RANK.EQ(AI950,$AI$6:$AI$2341,0)+COUNTIF($AI$6:AI950,AI950)-1</f>
        <v>1004</v>
      </c>
    </row>
    <row r="951" spans="1:37" x14ac:dyDescent="0.25">
      <c r="A951" t="s">
        <v>2035</v>
      </c>
      <c r="B951">
        <f>_xlfn.XLOOKUP(FME_Ranking1[[#This Row],[FME ID]],FME_Input[FME_ID],FME_Input[RFPG_NUM])</f>
        <v>6</v>
      </c>
      <c r="C951" t="str">
        <f>_xlfn.XLOOKUP(FME_Ranking1[[#This Row],[FME ID]],FME_Input[FME_ID],FME_Input[FME_NAME])</f>
        <v>Cedar Bayou Flood Risk Reduction Study - Property Acquisition in segment from SH 146 to Galveston Bay  along Cedar Bayou (Q100-00-00)</v>
      </c>
      <c r="D951" t="str">
        <f>_xlfn.XLOOKUP(FME_Ranking1[[#This Row],[FME ID]],FME_Input[FME_ID],FME_Input[DESCR])</f>
        <v>Study to develop a Benefit Cost Analysis needed for this project to become a FMP. Property Acquisition in segment from SH 146 to Galveston Bay  along Cedar Bayou.</v>
      </c>
      <c r="E951" s="256">
        <f>_xlfn.XLOOKUP(FME_Ranking1[[#This Row],[FME ID]],FME_Input[FME_ID],FME_Input[FME_COST])</f>
        <v>30000</v>
      </c>
      <c r="F951" t="str">
        <f>_xlfn.XLOOKUP(FME_Ranking1[[#This Row],[FME ID]],FME_Input[FME_ID],FME_Input[EMER_NEED])</f>
        <v>No</v>
      </c>
      <c r="G951">
        <f>IF(FME_Ranking!F951="Yes",100,0)</f>
        <v>0</v>
      </c>
      <c r="H951">
        <f>FME_Ranking1[[#This Row],[Emergency Need Score (Normalized, Unweighted)]]*$F$3</f>
        <v>0</v>
      </c>
      <c r="I951" s="246">
        <f>_xlfn.XLOOKUP(FME_Ranking1[[#This Row],[FME ID]],FME_Input[FME_ID],FME_Input[STRUCT_100])</f>
        <v>230</v>
      </c>
      <c r="J951" s="178">
        <f>(FME_Ranking1[[#This Row],[Structures 100 Raw]]/I$2)*100</f>
        <v>0.1231632609347556</v>
      </c>
      <c r="K951" s="178">
        <f>FME_Ranking1[[#This Row],[Structures 100  Score (Normalized, Unweighted)]]*$I$3</f>
        <v>1.8474489140213341E-2</v>
      </c>
      <c r="L951" s="246">
        <f>_xlfn.XLOOKUP(FME_Ranking1[[#This Row],[FME ID]],FME_Input[FME_ID],FME_Input[RES_STRUCT100])</f>
        <v>174</v>
      </c>
      <c r="M951" s="230">
        <f>(FME_Ranking1[[#This Row],[Res Structures Raw]]/L$2)*100</f>
        <v>0.12324517289739485</v>
      </c>
      <c r="N951" s="180">
        <f>FME_Ranking1[[#This Row],[Res Structures Score (Normalized, Unweighted)]]*$L$3</f>
        <v>1.2324517289739486E-2</v>
      </c>
      <c r="O951" s="244">
        <f>_xlfn.XLOOKUP(FME_Ranking1[[#This Row],[FME ID]],FME_Input[FME_ID],FME_Input[POP100])</f>
        <v>1046</v>
      </c>
      <c r="P951" s="178">
        <f>(FME_Ranking1[[#This Row],[Pop Raw]]/$O$2)*100</f>
        <v>0.1070845763402464</v>
      </c>
      <c r="Q951" s="178">
        <f>FME_Ranking1[[#This Row],[Pop Score (Normalized, Unweighted)]]*$O$3</f>
        <v>1.6062686451036961E-2</v>
      </c>
      <c r="R951" s="137">
        <f>_xlfn.XLOOKUP(FME_Ranking1[[#This Row],[FME ID]],FME_Input[FME_ID],FME_Input[CRITFAC100])</f>
        <v>7</v>
      </c>
      <c r="S951" s="230">
        <f>(FME_Ranking1[[#This Row],[Critical Facilities Raw]]/$R$2)*100</f>
        <v>0.30017152658662088</v>
      </c>
      <c r="T951" s="180">
        <f>FME_Ranking1[[#This Row],[Critical Facilities Score (Normalized, Unweighted)]]*$R$3</f>
        <v>6.0034305317324177E-2</v>
      </c>
      <c r="U951">
        <f>_xlfn.XLOOKUP(FME_Ranking1[[#This Row],[FME ID]],FME_Input[FME_ID],FME_Input[LWC])</f>
        <v>0</v>
      </c>
      <c r="V951" s="178">
        <f>(FME_Ranking1[[#This Row],[LWC Raw]]/$U$2)*100</f>
        <v>0</v>
      </c>
      <c r="W951" s="178">
        <f>FME_Ranking1[[#This Row],[LWC Score (Normalized, Unweighted)]]*$U$3</f>
        <v>0</v>
      </c>
      <c r="X951" s="246">
        <f>_xlfn.XLOOKUP(FME_Ranking1[[#This Row],[FME ID]],FME_Input[FME_ID],FME_Input[ROADCLS])</f>
        <v>0</v>
      </c>
      <c r="Y951" s="230">
        <f>(FME_Ranking1[[#This Row],[Closures Raw]]/$X$2)*100</f>
        <v>0</v>
      </c>
      <c r="Z951" s="180">
        <f>FME_Ranking1[[#This Row],[Closures Score (Normalized, Unweighted)]]*$X$3</f>
        <v>0</v>
      </c>
      <c r="AA951" s="253">
        <f>_xlfn.XLOOKUP(FME_Ranking1[[#This Row],[FME ID]],FME_Input[FME_ID],FME_Input[ROAD_MILES100])</f>
        <v>7.6220617294311523</v>
      </c>
      <c r="AB951" s="178">
        <f>(FME_Ranking1[[#This Row],[Miles Raw]]/$AA$2)*100</f>
        <v>0.10021644093251728</v>
      </c>
      <c r="AC951" s="178">
        <f>FME_Ranking1[[#This Row],[Miles Score (Normalized, Unweighted)]]*$AA$3</f>
        <v>1.0021644093251729E-2</v>
      </c>
      <c r="AD951" s="255">
        <f>_xlfn.XLOOKUP(FME_Ranking1[[#This Row],[FME ID]],FME_Input[FME_ID],FME_Input[FARMACRE100])</f>
        <v>47.402359008789063</v>
      </c>
      <c r="AE951" s="230">
        <f>(FME_Ranking1[[#This Row],[Ag Land Raw]]/$AD$2)*100</f>
        <v>1.9546610886874696E-3</v>
      </c>
      <c r="AF951" s="231">
        <f>FME_Ranking1[[#This Row],[Ag Land Score (Normalized, Unweighted)]]*$AD$3</f>
        <v>9.773305443437348E-5</v>
      </c>
      <c r="AG95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0.11701537534600008</v>
      </c>
      <c r="AH951" s="406">
        <f t="shared" si="14"/>
        <v>995</v>
      </c>
      <c r="AI95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0.11701537534600008</v>
      </c>
      <c r="AJ951" s="257">
        <f>FME_Ranking1[[#This Row],[Addition check]]-FME_Ranking1[[#This Row],[Weighted Score Based on Normalized Reported Factors]]</f>
        <v>0</v>
      </c>
      <c r="AK951" s="178">
        <f>_xlfn.RANK.EQ(AI951,$AI$6:$AI$2341,0)+COUNTIF($AI$6:AI951,AI951)-1</f>
        <v>995</v>
      </c>
    </row>
    <row r="952" spans="1:37" x14ac:dyDescent="0.25">
      <c r="A952" t="s">
        <v>11267</v>
      </c>
      <c r="B952">
        <f>_xlfn.XLOOKUP(FME_Ranking1[[#This Row],[FME ID]],FME_Input[FME_ID],FME_Input[RFPG_NUM])</f>
        <v>15</v>
      </c>
      <c r="C952" t="str">
        <f>_xlfn.XLOOKUP(FME_Ranking1[[#This Row],[FME ID]],FME_Input[FME_ID],FME_Input[FME_NAME])</f>
        <v>City of Laredo Project 6</v>
      </c>
      <c r="D952" t="str">
        <f>_xlfn.XLOOKUP(FME_Ranking1[[#This Row],[FME ID]],FME_Input[FME_ID],FME_Input[DESCR])</f>
        <v>Vidaurri Avenue Roadway Drainage Improvements to prevent future drainage in the area.  Street improvements from Scott Street to Jefferson Street.</v>
      </c>
      <c r="E952" s="256">
        <f>_xlfn.XLOOKUP(FME_Ranking1[[#This Row],[FME ID]],FME_Input[FME_ID],FME_Input[FME_COST])</f>
        <v>330000</v>
      </c>
      <c r="F952" t="str">
        <f>_xlfn.XLOOKUP(FME_Ranking1[[#This Row],[FME ID]],FME_Input[FME_ID],FME_Input[EMER_NEED])</f>
        <v>Yes</v>
      </c>
      <c r="G952">
        <f>IF(FME_Ranking!F952="Yes",100,0)</f>
        <v>100</v>
      </c>
      <c r="H952">
        <f>FME_Ranking1[[#This Row],[Emergency Need Score (Normalized, Unweighted)]]*$F$3</f>
        <v>0</v>
      </c>
      <c r="I952" s="246">
        <f>_xlfn.XLOOKUP(FME_Ranking1[[#This Row],[FME ID]],FME_Input[FME_ID],FME_Input[STRUCT_100])</f>
        <v>0</v>
      </c>
      <c r="J952" s="178">
        <f>(FME_Ranking1[[#This Row],[Structures 100 Raw]]/I$2)*100</f>
        <v>0</v>
      </c>
      <c r="K952" s="178">
        <f>FME_Ranking1[[#This Row],[Structures 100  Score (Normalized, Unweighted)]]*$I$3</f>
        <v>0</v>
      </c>
      <c r="L952" s="246">
        <f>_xlfn.XLOOKUP(FME_Ranking1[[#This Row],[FME ID]],FME_Input[FME_ID],FME_Input[RES_STRUCT100])</f>
        <v>570</v>
      </c>
      <c r="M952" s="230">
        <f>(FME_Ranking1[[#This Row],[Res Structures Raw]]/L$2)*100</f>
        <v>0.40373418707767272</v>
      </c>
      <c r="N952" s="180">
        <f>FME_Ranking1[[#This Row],[Res Structures Score (Normalized, Unweighted)]]*$L$3</f>
        <v>4.0373418707767277E-2</v>
      </c>
      <c r="O952" s="244">
        <f>_xlfn.XLOOKUP(FME_Ranking1[[#This Row],[FME ID]],FME_Input[FME_ID],FME_Input[POP100])</f>
        <v>3707</v>
      </c>
      <c r="P952" s="178">
        <f>(FME_Ranking1[[#This Row],[Pop Raw]]/$O$2)*100</f>
        <v>0.37950528154234553</v>
      </c>
      <c r="Q952" s="178">
        <f>FME_Ranking1[[#This Row],[Pop Score (Normalized, Unweighted)]]*$O$3</f>
        <v>5.6925792231351829E-2</v>
      </c>
      <c r="R952" s="137">
        <f>_xlfn.XLOOKUP(FME_Ranking1[[#This Row],[FME ID]],FME_Input[FME_ID],FME_Input[CRITFAC100])</f>
        <v>1</v>
      </c>
      <c r="S952" s="230">
        <f>(FME_Ranking1[[#This Row],[Critical Facilities Raw]]/$R$2)*100</f>
        <v>4.2881646655231559E-2</v>
      </c>
      <c r="T952" s="180">
        <f>FME_Ranking1[[#This Row],[Critical Facilities Score (Normalized, Unweighted)]]*$R$3</f>
        <v>8.5763293310463125E-3</v>
      </c>
      <c r="U952">
        <f>_xlfn.XLOOKUP(FME_Ranking1[[#This Row],[FME ID]],FME_Input[FME_ID],FME_Input[LWC])</f>
        <v>0</v>
      </c>
      <c r="V952" s="178">
        <f>(FME_Ranking1[[#This Row],[LWC Raw]]/$U$2)*100</f>
        <v>0</v>
      </c>
      <c r="W952" s="178">
        <f>FME_Ranking1[[#This Row],[LWC Score (Normalized, Unweighted)]]*$U$3</f>
        <v>0</v>
      </c>
      <c r="X952" s="246">
        <f>_xlfn.XLOOKUP(FME_Ranking1[[#This Row],[FME ID]],FME_Input[FME_ID],FME_Input[ROADCLS])</f>
        <v>0</v>
      </c>
      <c r="Y952" s="230">
        <f>(FME_Ranking1[[#This Row],[Closures Raw]]/$X$2)*100</f>
        <v>0</v>
      </c>
      <c r="Z952" s="180">
        <f>FME_Ranking1[[#This Row],[Closures Score (Normalized, Unweighted)]]*$X$3</f>
        <v>0</v>
      </c>
      <c r="AA952" s="253">
        <f>_xlfn.XLOOKUP(FME_Ranking1[[#This Row],[FME ID]],FME_Input[FME_ID],FME_Input[ROAD_MILES100])</f>
        <v>24.324300765991211</v>
      </c>
      <c r="AB952" s="178">
        <f>(FME_Ranking1[[#This Row],[Miles Raw]]/$AA$2)*100</f>
        <v>0.31982092739121287</v>
      </c>
      <c r="AC952" s="178">
        <f>FME_Ranking1[[#This Row],[Miles Score (Normalized, Unweighted)]]*$AA$3</f>
        <v>3.1982092739121289E-2</v>
      </c>
      <c r="AD952" s="255">
        <f>_xlfn.XLOOKUP(FME_Ranking1[[#This Row],[FME ID]],FME_Input[FME_ID],FME_Input[FARMACRE100])</f>
        <v>0</v>
      </c>
      <c r="AE952" s="230">
        <f>(FME_Ranking1[[#This Row],[Ag Land Raw]]/$AD$2)*100</f>
        <v>0</v>
      </c>
      <c r="AF952" s="231">
        <f>FME_Ranking1[[#This Row],[Ag Land Score (Normalized, Unweighted)]]*$AD$3</f>
        <v>0</v>
      </c>
      <c r="AG95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0.13785763300928672</v>
      </c>
      <c r="AH952" s="406">
        <f t="shared" si="14"/>
        <v>928</v>
      </c>
      <c r="AI95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0.13785763300928672</v>
      </c>
      <c r="AJ952" s="257">
        <f>FME_Ranking1[[#This Row],[Addition check]]-FME_Ranking1[[#This Row],[Weighted Score Based on Normalized Reported Factors]]</f>
        <v>0</v>
      </c>
      <c r="AK952" s="178">
        <f>_xlfn.RANK.EQ(AI952,$AI$6:$AI$2341,0)+COUNTIF($AI$6:AI952,AI952)-1</f>
        <v>928</v>
      </c>
    </row>
    <row r="953" spans="1:37" x14ac:dyDescent="0.25">
      <c r="A953" t="s">
        <v>2904</v>
      </c>
      <c r="B953">
        <f>_xlfn.XLOOKUP(FME_Ranking1[[#This Row],[FME ID]],FME_Input[FME_ID],FME_Input[RFPG_NUM])</f>
        <v>1</v>
      </c>
      <c r="C953" t="str">
        <f>_xlfn.XLOOKUP(FME_Ranking1[[#This Row],[FME ID]],FME_Input[FME_ID],FME_Input[FME_NAME])</f>
        <v>Parmer County FIS</v>
      </c>
      <c r="D953" t="str">
        <f>_xlfn.XLOOKUP(FME_Ranking1[[#This Row],[FME ID]],FME_Input[FME_ID],FME_Input[DESCR])</f>
        <v>Perform flood insurance study for the county and develop regulatory mapping</v>
      </c>
      <c r="E953" s="256">
        <f>_xlfn.XLOOKUP(FME_Ranking1[[#This Row],[FME ID]],FME_Input[FME_ID],FME_Input[FME_COST])</f>
        <v>789000</v>
      </c>
      <c r="F953" t="str">
        <f>_xlfn.XLOOKUP(FME_Ranking1[[#This Row],[FME ID]],FME_Input[FME_ID],FME_Input[EMER_NEED])</f>
        <v>No</v>
      </c>
      <c r="G953">
        <f>IF(FME_Ranking!F953="Yes",100,0)</f>
        <v>0</v>
      </c>
      <c r="H953">
        <f>FME_Ranking1[[#This Row],[Emergency Need Score (Normalized, Unweighted)]]*$F$3</f>
        <v>0</v>
      </c>
      <c r="I953" s="246">
        <f>_xlfn.XLOOKUP(FME_Ranking1[[#This Row],[FME ID]],FME_Input[FME_ID],FME_Input[STRUCT_100])</f>
        <v>86</v>
      </c>
      <c r="J953" s="178">
        <f>(FME_Ranking1[[#This Row],[Structures 100 Raw]]/I$2)*100</f>
        <v>4.605234974082166E-2</v>
      </c>
      <c r="K953" s="178">
        <f>FME_Ranking1[[#This Row],[Structures 100  Score (Normalized, Unweighted)]]*$I$3</f>
        <v>6.9078524611232489E-3</v>
      </c>
      <c r="L953" s="246">
        <f>_xlfn.XLOOKUP(FME_Ranking1[[#This Row],[FME ID]],FME_Input[FME_ID],FME_Input[RES_STRUCT100])</f>
        <v>51</v>
      </c>
      <c r="M953" s="230">
        <f>(FME_Ranking1[[#This Row],[Res Structures Raw]]/L$2)*100</f>
        <v>3.6123585159581251E-2</v>
      </c>
      <c r="N953" s="180">
        <f>FME_Ranking1[[#This Row],[Res Structures Score (Normalized, Unweighted)]]*$L$3</f>
        <v>3.6123585159581252E-3</v>
      </c>
      <c r="O953" s="244">
        <f>_xlfn.XLOOKUP(FME_Ranking1[[#This Row],[FME ID]],FME_Input[FME_ID],FME_Input[POP100])</f>
        <v>178</v>
      </c>
      <c r="P953" s="178">
        <f>(FME_Ranking1[[#This Row],[Pop Raw]]/$O$2)*100</f>
        <v>1.8222805533999867E-2</v>
      </c>
      <c r="Q953" s="178">
        <f>FME_Ranking1[[#This Row],[Pop Score (Normalized, Unweighted)]]*$O$3</f>
        <v>2.7334208300999799E-3</v>
      </c>
      <c r="R953" s="137">
        <f>_xlfn.XLOOKUP(FME_Ranking1[[#This Row],[FME ID]],FME_Input[FME_ID],FME_Input[CRITFAC100])</f>
        <v>0</v>
      </c>
      <c r="S953" s="230">
        <f>(FME_Ranking1[[#This Row],[Critical Facilities Raw]]/$R$2)*100</f>
        <v>0</v>
      </c>
      <c r="T953" s="180">
        <f>FME_Ranking1[[#This Row],[Critical Facilities Score (Normalized, Unweighted)]]*$R$3</f>
        <v>0</v>
      </c>
      <c r="U953">
        <f>_xlfn.XLOOKUP(FME_Ranking1[[#This Row],[FME ID]],FME_Input[FME_ID],FME_Input[LWC])</f>
        <v>5</v>
      </c>
      <c r="V953" s="178">
        <f>(FME_Ranking1[[#This Row],[LWC Raw]]/$U$2)*100</f>
        <v>0.28785261945883706</v>
      </c>
      <c r="W953" s="178">
        <f>FME_Ranking1[[#This Row],[LWC Score (Normalized, Unweighted)]]*$U$3</f>
        <v>5.7570523891767415E-2</v>
      </c>
      <c r="X953" s="246">
        <f>_xlfn.XLOOKUP(FME_Ranking1[[#This Row],[FME ID]],FME_Input[FME_ID],FME_Input[ROADCLS])</f>
        <v>11</v>
      </c>
      <c r="Y953" s="230">
        <f>(FME_Ranking1[[#This Row],[Closures Raw]]/$X$2)*100</f>
        <v>0.1156555567237935</v>
      </c>
      <c r="Z953" s="180">
        <f>FME_Ranking1[[#This Row],[Closures Score (Normalized, Unweighted)]]*$X$3</f>
        <v>5.7827778361896759E-3</v>
      </c>
      <c r="AA953" s="253">
        <f>_xlfn.XLOOKUP(FME_Ranking1[[#This Row],[FME ID]],FME_Input[FME_ID],FME_Input[ROAD_MILES100])</f>
        <v>65.651115417480469</v>
      </c>
      <c r="AB953" s="178">
        <f>(FME_Ranking1[[#This Row],[Miles Raw]]/$AA$2)*100</f>
        <v>0.86319441693643062</v>
      </c>
      <c r="AC953" s="178">
        <f>FME_Ranking1[[#This Row],[Miles Score (Normalized, Unweighted)]]*$AA$3</f>
        <v>8.631944169364307E-2</v>
      </c>
      <c r="AD953" s="255">
        <f>_xlfn.XLOOKUP(FME_Ranking1[[#This Row],[FME ID]],FME_Input[FME_ID],FME_Input[FARMACRE100])</f>
        <v>13564.474609375</v>
      </c>
      <c r="AE953" s="230">
        <f>(FME_Ranking1[[#This Row],[Ag Land Raw]]/$AD$2)*100</f>
        <v>0.55933821146999074</v>
      </c>
      <c r="AF953" s="231">
        <f>FME_Ranking1[[#This Row],[Ag Land Score (Normalized, Unweighted)]]*$AD$3</f>
        <v>2.7966910573499537E-2</v>
      </c>
      <c r="AG95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0.19089328580228104</v>
      </c>
      <c r="AH953" s="406">
        <f t="shared" si="14"/>
        <v>819</v>
      </c>
      <c r="AI95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0.19089328580228104</v>
      </c>
      <c r="AJ953" s="257">
        <f>FME_Ranking1[[#This Row],[Addition check]]-FME_Ranking1[[#This Row],[Weighted Score Based on Normalized Reported Factors]]</f>
        <v>0</v>
      </c>
      <c r="AK953" s="178">
        <f>_xlfn.RANK.EQ(AI953,$AI$6:$AI$2341,0)+COUNTIF($AI$6:AI953,AI953)-1</f>
        <v>819</v>
      </c>
    </row>
    <row r="954" spans="1:37" x14ac:dyDescent="0.25">
      <c r="A954" t="s">
        <v>8480</v>
      </c>
      <c r="B954">
        <f>_xlfn.XLOOKUP(FME_Ranking1[[#This Row],[FME ID]],FME_Input[FME_ID],FME_Input[RFPG_NUM])</f>
        <v>10</v>
      </c>
      <c r="C954" t="str">
        <f>_xlfn.XLOOKUP(FME_Ranking1[[#This Row],[FME ID]],FME_Input[FME_ID],FME_Input[FME_NAME])</f>
        <v>Waller Creek - Guadalupe St Flood Risk Reduction Project Planning</v>
      </c>
      <c r="D954" t="str">
        <f>_xlfn.XLOOKUP(FME_Ranking1[[#This Row],[FME ID]],FME_Input[FME_ID],FME_Input[DESCR])</f>
        <v>Project planning for project to upgrade 28,000 linear feet of subsurface stormwater drains east of Guadalupe Street and west of Avenue G, between 33rd and 46th streets. Develop technical data required for FMP.</v>
      </c>
      <c r="E954" s="256">
        <f>_xlfn.XLOOKUP(FME_Ranking1[[#This Row],[FME ID]],FME_Input[FME_ID],FME_Input[FME_COST])</f>
        <v>150000</v>
      </c>
      <c r="F954" t="str">
        <f>_xlfn.XLOOKUP(FME_Ranking1[[#This Row],[FME ID]],FME_Input[FME_ID],FME_Input[EMER_NEED])</f>
        <v>No</v>
      </c>
      <c r="G954">
        <f>IF(FME_Ranking!F954="Yes",100,0)</f>
        <v>0</v>
      </c>
      <c r="H954">
        <f>FME_Ranking1[[#This Row],[Emergency Need Score (Normalized, Unweighted)]]*$F$3</f>
        <v>0</v>
      </c>
      <c r="I954" s="246">
        <f>_xlfn.XLOOKUP(FME_Ranking1[[#This Row],[FME ID]],FME_Input[FME_ID],FME_Input[STRUCT_100])</f>
        <v>207</v>
      </c>
      <c r="J954" s="178">
        <f>(FME_Ranking1[[#This Row],[Structures 100 Raw]]/I$2)*100</f>
        <v>0.11084693484128005</v>
      </c>
      <c r="K954" s="178">
        <f>FME_Ranking1[[#This Row],[Structures 100  Score (Normalized, Unweighted)]]*$I$3</f>
        <v>1.6627040226192009E-2</v>
      </c>
      <c r="L954" s="246">
        <f>_xlfn.XLOOKUP(FME_Ranking1[[#This Row],[FME ID]],FME_Input[FME_ID],FME_Input[RES_STRUCT100])</f>
        <v>179</v>
      </c>
      <c r="M954" s="230">
        <f>(FME_Ranking1[[#This Row],[Res Structures Raw]]/L$2)*100</f>
        <v>0.12678670085421653</v>
      </c>
      <c r="N954" s="180">
        <f>FME_Ranking1[[#This Row],[Res Structures Score (Normalized, Unweighted)]]*$L$3</f>
        <v>1.2678670085421654E-2</v>
      </c>
      <c r="O954" s="244">
        <f>_xlfn.XLOOKUP(FME_Ranking1[[#This Row],[FME ID]],FME_Input[FME_ID],FME_Input[POP100])</f>
        <v>1103</v>
      </c>
      <c r="P954" s="178">
        <f>(FME_Ranking1[[#This Row],[Pop Raw]]/$O$2)*100</f>
        <v>0.11291996912360591</v>
      </c>
      <c r="Q954" s="178">
        <f>FME_Ranking1[[#This Row],[Pop Score (Normalized, Unweighted)]]*$O$3</f>
        <v>1.6937995368540886E-2</v>
      </c>
      <c r="R954" s="137">
        <f>_xlfn.XLOOKUP(FME_Ranking1[[#This Row],[FME ID]],FME_Input[FME_ID],FME_Input[CRITFAC100])</f>
        <v>0</v>
      </c>
      <c r="S954" s="230">
        <f>(FME_Ranking1[[#This Row],[Critical Facilities Raw]]/$R$2)*100</f>
        <v>0</v>
      </c>
      <c r="T954" s="180">
        <f>FME_Ranking1[[#This Row],[Critical Facilities Score (Normalized, Unweighted)]]*$R$3</f>
        <v>0</v>
      </c>
      <c r="U954">
        <f>_xlfn.XLOOKUP(FME_Ranking1[[#This Row],[FME ID]],FME_Input[FME_ID],FME_Input[LWC])</f>
        <v>5</v>
      </c>
      <c r="V954" s="178">
        <f>(FME_Ranking1[[#This Row],[LWC Raw]]/$U$2)*100</f>
        <v>0.28785261945883706</v>
      </c>
      <c r="W954" s="178">
        <f>FME_Ranking1[[#This Row],[LWC Score (Normalized, Unweighted)]]*$U$3</f>
        <v>5.7570523891767415E-2</v>
      </c>
      <c r="X954" s="246">
        <f>_xlfn.XLOOKUP(FME_Ranking1[[#This Row],[FME ID]],FME_Input[FME_ID],FME_Input[ROADCLS])</f>
        <v>0</v>
      </c>
      <c r="Y954" s="230">
        <f>(FME_Ranking1[[#This Row],[Closures Raw]]/$X$2)*100</f>
        <v>0</v>
      </c>
      <c r="Z954" s="180">
        <f>FME_Ranking1[[#This Row],[Closures Score (Normalized, Unweighted)]]*$X$3</f>
        <v>0</v>
      </c>
      <c r="AA954" s="253">
        <f>_xlfn.XLOOKUP(FME_Ranking1[[#This Row],[FME ID]],FME_Input[FME_ID],FME_Input[ROAD_MILES100])</f>
        <v>2.5807714462280269</v>
      </c>
      <c r="AB954" s="178">
        <f>(FME_Ranking1[[#This Row],[Miles Raw]]/$AA$2)*100</f>
        <v>3.3932515687004373E-2</v>
      </c>
      <c r="AC954" s="178">
        <f>FME_Ranking1[[#This Row],[Miles Score (Normalized, Unweighted)]]*$AA$3</f>
        <v>3.3932515687004373E-3</v>
      </c>
      <c r="AD954" s="255">
        <f>_xlfn.XLOOKUP(FME_Ranking1[[#This Row],[FME ID]],FME_Input[FME_ID],FME_Input[FARMACRE100])</f>
        <v>0.41466644406318659</v>
      </c>
      <c r="AE954" s="230">
        <f>(FME_Ranking1[[#This Row],[Ag Land Raw]]/$AD$2)*100</f>
        <v>1.7098987897299079E-5</v>
      </c>
      <c r="AF954" s="231">
        <f>FME_Ranking1[[#This Row],[Ag Land Score (Normalized, Unweighted)]]*$AD$3</f>
        <v>8.5494939486495393E-7</v>
      </c>
      <c r="AG95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0.10720833609001726</v>
      </c>
      <c r="AH954" s="406">
        <f t="shared" si="14"/>
        <v>1026</v>
      </c>
      <c r="AI95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0.10720833609001726</v>
      </c>
      <c r="AJ954" s="257">
        <f>FME_Ranking1[[#This Row],[Addition check]]-FME_Ranking1[[#This Row],[Weighted Score Based on Normalized Reported Factors]]</f>
        <v>0</v>
      </c>
      <c r="AK954" s="178">
        <f>_xlfn.RANK.EQ(AI954,$AI$6:$AI$2341,0)+COUNTIF($AI$6:AI954,AI954)-1</f>
        <v>1026</v>
      </c>
    </row>
    <row r="955" spans="1:37" x14ac:dyDescent="0.25">
      <c r="A955" t="s">
        <v>5748</v>
      </c>
      <c r="B955">
        <f>_xlfn.XLOOKUP(FME_Ranking1[[#This Row],[FME ID]],FME_Input[FME_ID],FME_Input[RFPG_NUM])</f>
        <v>4</v>
      </c>
      <c r="C955" t="str">
        <f>_xlfn.XLOOKUP(FME_Ranking1[[#This Row],[FME ID]],FME_Input[FME_ID],FME_Input[FME_NAME])</f>
        <v>Upshur County Drainage Master Plan</v>
      </c>
      <c r="D955" t="str">
        <f>_xlfn.XLOOKUP(FME_Ranking1[[#This Row],[FME ID]],FME_Input[FME_ID],FME_Input[DESCR])</f>
        <v>Perform H&amp;H modeling to identify and define flood risk, develop conceptual alternatives to reduce flood risk, develop OPCC for conceptual alternatives, and rank projects. Conceptual alternatives should evaluate feasibility of nature based solutions.</v>
      </c>
      <c r="E955" s="256">
        <f>_xlfn.XLOOKUP(FME_Ranking1[[#This Row],[FME ID]],FME_Input[FME_ID],FME_Input[FME_COST])</f>
        <v>200000</v>
      </c>
      <c r="F955" t="str">
        <f>_xlfn.XLOOKUP(FME_Ranking1[[#This Row],[FME ID]],FME_Input[FME_ID],FME_Input[EMER_NEED])</f>
        <v>Yes</v>
      </c>
      <c r="G955">
        <f>IF(FME_Ranking!F955="Yes",100,0)</f>
        <v>100</v>
      </c>
      <c r="H955">
        <f>FME_Ranking1[[#This Row],[Emergency Need Score (Normalized, Unweighted)]]*$F$3</f>
        <v>0</v>
      </c>
      <c r="I955" s="246">
        <f>_xlfn.XLOOKUP(FME_Ranking1[[#This Row],[FME ID]],FME_Input[FME_ID],FME_Input[STRUCT_100])</f>
        <v>328</v>
      </c>
      <c r="J955" s="178">
        <f>(FME_Ranking1[[#This Row],[Structures 100 Raw]]/I$2)*100</f>
        <v>0.17564151994173841</v>
      </c>
      <c r="K955" s="178">
        <f>FME_Ranking1[[#This Row],[Structures 100  Score (Normalized, Unweighted)]]*$I$3</f>
        <v>2.6346227991260761E-2</v>
      </c>
      <c r="L955" s="246">
        <f>_xlfn.XLOOKUP(FME_Ranking1[[#This Row],[FME ID]],FME_Input[FME_ID],FME_Input[RES_STRUCT100])</f>
        <v>222</v>
      </c>
      <c r="M955" s="230">
        <f>(FME_Ranking1[[#This Row],[Res Structures Raw]]/L$2)*100</f>
        <v>0.15724384128288307</v>
      </c>
      <c r="N955" s="180">
        <f>FME_Ranking1[[#This Row],[Res Structures Score (Normalized, Unweighted)]]*$L$3</f>
        <v>1.5724384128288308E-2</v>
      </c>
      <c r="O955" s="244">
        <f>_xlfn.XLOOKUP(FME_Ranking1[[#This Row],[FME ID]],FME_Input[FME_ID],FME_Input[POP100])</f>
        <v>299</v>
      </c>
      <c r="P955" s="178">
        <f>(FME_Ranking1[[#This Row],[Pop Raw]]/$O$2)*100</f>
        <v>3.0610218284640223E-2</v>
      </c>
      <c r="Q955" s="178">
        <f>FME_Ranking1[[#This Row],[Pop Score (Normalized, Unweighted)]]*$O$3</f>
        <v>4.5915327426960329E-3</v>
      </c>
      <c r="R955" s="137">
        <f>_xlfn.XLOOKUP(FME_Ranking1[[#This Row],[FME ID]],FME_Input[FME_ID],FME_Input[CRITFAC100])</f>
        <v>0</v>
      </c>
      <c r="S955" s="230">
        <f>(FME_Ranking1[[#This Row],[Critical Facilities Raw]]/$R$2)*100</f>
        <v>0</v>
      </c>
      <c r="T955" s="180">
        <f>FME_Ranking1[[#This Row],[Critical Facilities Score (Normalized, Unweighted)]]*$R$3</f>
        <v>0</v>
      </c>
      <c r="U955">
        <f>_xlfn.XLOOKUP(FME_Ranking1[[#This Row],[FME ID]],FME_Input[FME_ID],FME_Input[LWC])</f>
        <v>4</v>
      </c>
      <c r="V955" s="178">
        <f>(FME_Ranking1[[#This Row],[LWC Raw]]/$U$2)*100</f>
        <v>0.23028209556706969</v>
      </c>
      <c r="W955" s="178">
        <f>FME_Ranking1[[#This Row],[LWC Score (Normalized, Unweighted)]]*$U$3</f>
        <v>4.6056419113413939E-2</v>
      </c>
      <c r="X955" s="246">
        <f>_xlfn.XLOOKUP(FME_Ranking1[[#This Row],[FME ID]],FME_Input[FME_ID],FME_Input[ROADCLS])</f>
        <v>4</v>
      </c>
      <c r="Y955" s="230">
        <f>(FME_Ranking1[[#This Row],[Closures Raw]]/$X$2)*100</f>
        <v>4.2056566081379455E-2</v>
      </c>
      <c r="Z955" s="180">
        <f>FME_Ranking1[[#This Row],[Closures Score (Normalized, Unweighted)]]*$X$3</f>
        <v>2.1028283040689729E-3</v>
      </c>
      <c r="AA955" s="253">
        <f>_xlfn.XLOOKUP(FME_Ranking1[[#This Row],[FME ID]],FME_Input[FME_ID],FME_Input[ROAD_MILES100])</f>
        <v>28.283998489379879</v>
      </c>
      <c r="AB955" s="178">
        <f>(FME_Ranking1[[#This Row],[Miles Raw]]/$AA$2)*100</f>
        <v>0.37188385040249361</v>
      </c>
      <c r="AC955" s="178">
        <f>FME_Ranking1[[#This Row],[Miles Score (Normalized, Unweighted)]]*$AA$3</f>
        <v>3.7188385040249364E-2</v>
      </c>
      <c r="AD955" s="255">
        <f>_xlfn.XLOOKUP(FME_Ranking1[[#This Row],[FME ID]],FME_Input[FME_ID],FME_Input[FARMACRE100])</f>
        <v>4148.17041015625</v>
      </c>
      <c r="AE955" s="230">
        <f>(FME_Ranking1[[#This Row],[Ag Land Raw]]/$AD$2)*100</f>
        <v>0.17105197841469824</v>
      </c>
      <c r="AF955" s="231">
        <f>FME_Ranking1[[#This Row],[Ag Land Score (Normalized, Unweighted)]]*$AD$3</f>
        <v>8.5525989207349117E-3</v>
      </c>
      <c r="AG95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0.14056237624071227</v>
      </c>
      <c r="AH955" s="406">
        <f t="shared" si="14"/>
        <v>923</v>
      </c>
      <c r="AI95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0.14056237624071227</v>
      </c>
      <c r="AJ955" s="257">
        <f>FME_Ranking1[[#This Row],[Addition check]]-FME_Ranking1[[#This Row],[Weighted Score Based on Normalized Reported Factors]]</f>
        <v>0</v>
      </c>
      <c r="AK955" s="178">
        <f>_xlfn.RANK.EQ(AI955,$AI$6:$AI$2341,0)+COUNTIF($AI$6:AI955,AI955)-1</f>
        <v>923</v>
      </c>
    </row>
    <row r="956" spans="1:37" x14ac:dyDescent="0.25">
      <c r="A956" t="s">
        <v>9357</v>
      </c>
      <c r="B956">
        <f>_xlfn.XLOOKUP(FME_Ranking1[[#This Row],[FME ID]],FME_Input[FME_ID],FME_Input[RFPG_NUM])</f>
        <v>12</v>
      </c>
      <c r="C956" t="str">
        <f>_xlfn.XLOOKUP(FME_Ranking1[[#This Row],[FME ID]],FME_Input[FME_ID],FME_Input[FME_NAME])</f>
        <v>Develop and implement a Stormwater Management Plan for Stockdale Creek</v>
      </c>
      <c r="D956" t="str">
        <f>_xlfn.XLOOKUP(FME_Ranking1[[#This Row],[FME ID]],FME_Input[FME_ID],FME_Input[DESCR])</f>
        <v>Stockdale Creek, sa tributary of Clinton Branch which flows into Cibolo Creek, does not have sufficient capacity to contain floodwater as it flows through the center of Stockdale. The railroad on the east side of town used to act as a levee, but when it</v>
      </c>
      <c r="E956" s="256">
        <f>_xlfn.XLOOKUP(FME_Ranking1[[#This Row],[FME ID]],FME_Input[FME_ID],FME_Input[FME_COST])</f>
        <v>1203489</v>
      </c>
      <c r="F956" t="str">
        <f>_xlfn.XLOOKUP(FME_Ranking1[[#This Row],[FME ID]],FME_Input[FME_ID],FME_Input[EMER_NEED])</f>
        <v>Yes</v>
      </c>
      <c r="G956">
        <f>IF(FME_Ranking!F956="Yes",100,0)</f>
        <v>100</v>
      </c>
      <c r="H956">
        <f>FME_Ranking1[[#This Row],[Emergency Need Score (Normalized, Unweighted)]]*$F$3</f>
        <v>0</v>
      </c>
      <c r="I956" s="246">
        <f>_xlfn.XLOOKUP(FME_Ranking1[[#This Row],[FME ID]],FME_Input[FME_ID],FME_Input[STRUCT_100])</f>
        <v>73</v>
      </c>
      <c r="J956" s="178">
        <f>(FME_Ranking1[[#This Row],[Structures 100 Raw]]/I$2)*100</f>
        <v>3.9090948035813734E-2</v>
      </c>
      <c r="K956" s="178">
        <f>FME_Ranking1[[#This Row],[Structures 100  Score (Normalized, Unweighted)]]*$I$3</f>
        <v>5.8636422053720601E-3</v>
      </c>
      <c r="L956" s="246">
        <f>_xlfn.XLOOKUP(FME_Ranking1[[#This Row],[FME ID]],FME_Input[FME_ID],FME_Input[RES_STRUCT100])</f>
        <v>44</v>
      </c>
      <c r="M956" s="230">
        <f>(FME_Ranking1[[#This Row],[Res Structures Raw]]/L$2)*100</f>
        <v>3.1165446020030883E-2</v>
      </c>
      <c r="N956" s="180">
        <f>FME_Ranking1[[#This Row],[Res Structures Score (Normalized, Unweighted)]]*$L$3</f>
        <v>3.1165446020030886E-3</v>
      </c>
      <c r="O956" s="244">
        <f>_xlfn.XLOOKUP(FME_Ranking1[[#This Row],[FME ID]],FME_Input[FME_ID],FME_Input[POP100])</f>
        <v>102</v>
      </c>
      <c r="P956" s="178">
        <f>(FME_Ranking1[[#This Row],[Pop Raw]]/$O$2)*100</f>
        <v>1.0442281822853856E-2</v>
      </c>
      <c r="Q956" s="178">
        <f>FME_Ranking1[[#This Row],[Pop Score (Normalized, Unweighted)]]*$O$3</f>
        <v>1.5663422734280782E-3</v>
      </c>
      <c r="R956" s="137">
        <f>_xlfn.XLOOKUP(FME_Ranking1[[#This Row],[FME ID]],FME_Input[FME_ID],FME_Input[CRITFAC100])</f>
        <v>0</v>
      </c>
      <c r="S956" s="230">
        <f>(FME_Ranking1[[#This Row],[Critical Facilities Raw]]/$R$2)*100</f>
        <v>0</v>
      </c>
      <c r="T956" s="180">
        <f>FME_Ranking1[[#This Row],[Critical Facilities Score (Normalized, Unweighted)]]*$R$3</f>
        <v>0</v>
      </c>
      <c r="U956">
        <f>_xlfn.XLOOKUP(FME_Ranking1[[#This Row],[FME ID]],FME_Input[FME_ID],FME_Input[LWC])</f>
        <v>7</v>
      </c>
      <c r="V956" s="178">
        <f>(FME_Ranking1[[#This Row],[LWC Raw]]/$U$2)*100</f>
        <v>0.40299366724237184</v>
      </c>
      <c r="W956" s="178">
        <f>FME_Ranking1[[#This Row],[LWC Score (Normalized, Unweighted)]]*$U$3</f>
        <v>8.0598733448474374E-2</v>
      </c>
      <c r="X956" s="246">
        <f>_xlfn.XLOOKUP(FME_Ranking1[[#This Row],[FME ID]],FME_Input[FME_ID],FME_Input[ROADCLS])</f>
        <v>22</v>
      </c>
      <c r="Y956" s="230">
        <f>(FME_Ranking1[[#This Row],[Closures Raw]]/$X$2)*100</f>
        <v>0.23131111344758701</v>
      </c>
      <c r="Z956" s="180">
        <f>FME_Ranking1[[#This Row],[Closures Score (Normalized, Unweighted)]]*$X$3</f>
        <v>1.1565555672379352E-2</v>
      </c>
      <c r="AA956" s="253">
        <f>_xlfn.XLOOKUP(FME_Ranking1[[#This Row],[FME ID]],FME_Input[FME_ID],FME_Input[ROAD_MILES100])</f>
        <v>1.75</v>
      </c>
      <c r="AB956" s="178">
        <f>(FME_Ranking1[[#This Row],[Miles Raw]]/$AA$2)*100</f>
        <v>2.3009361227647008E-2</v>
      </c>
      <c r="AC956" s="178">
        <f>FME_Ranking1[[#This Row],[Miles Score (Normalized, Unweighted)]]*$AA$3</f>
        <v>2.3009361227647007E-3</v>
      </c>
      <c r="AD956" s="255">
        <f>_xlfn.XLOOKUP(FME_Ranking1[[#This Row],[FME ID]],FME_Input[FME_ID],FME_Input[FARMACRE100])</f>
        <v>3.1808099746704102</v>
      </c>
      <c r="AE956" s="230">
        <f>(FME_Ranking1[[#This Row],[Ag Land Raw]]/$AD$2)*100</f>
        <v>1.3116236444782068E-4</v>
      </c>
      <c r="AF956" s="231">
        <f>FME_Ranking1[[#This Row],[Ag Land Score (Normalized, Unweighted)]]*$AD$3</f>
        <v>6.5581182223910346E-6</v>
      </c>
      <c r="AG95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0.10501831244264405</v>
      </c>
      <c r="AH956" s="406">
        <f t="shared" si="14"/>
        <v>1032</v>
      </c>
      <c r="AI95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0.10501831244264405</v>
      </c>
      <c r="AJ956" s="257">
        <f>FME_Ranking1[[#This Row],[Addition check]]-FME_Ranking1[[#This Row],[Weighted Score Based on Normalized Reported Factors]]</f>
        <v>0</v>
      </c>
      <c r="AK956" s="178">
        <f>_xlfn.RANK.EQ(AI956,$AI$6:$AI$2341,0)+COUNTIF($AI$6:AI956,AI956)-1</f>
        <v>1032</v>
      </c>
    </row>
    <row r="957" spans="1:37" x14ac:dyDescent="0.25">
      <c r="A957" t="s">
        <v>9373</v>
      </c>
      <c r="B957">
        <f>_xlfn.XLOOKUP(FME_Ranking1[[#This Row],[FME ID]],FME_Input[FME_ID],FME_Input[RFPG_NUM])</f>
        <v>12</v>
      </c>
      <c r="C957" t="str">
        <f>_xlfn.XLOOKUP(FME_Ranking1[[#This Row],[FME ID]],FME_Input[FME_ID],FME_Input[FME_NAME])</f>
        <v>Drainage improvements to wastewater treatment plants</v>
      </c>
      <c r="D957" t="str">
        <f>_xlfn.XLOOKUP(FME_Ranking1[[#This Row],[FME ID]],FME_Input[FME_ID],FME_Input[DESCR])</f>
        <v>A drainage improvement was completed in 2018 with 2016 disaster relief funding. Internal plumbing was buried and the size of the weir box was increased. Funding and improvements are still needed to connect 2 and 3 and cross CR401 to increase discharge ca</v>
      </c>
      <c r="E957" s="256">
        <f>_xlfn.XLOOKUP(FME_Ranking1[[#This Row],[FME ID]],FME_Input[FME_ID],FME_Input[FME_COST])</f>
        <v>852326</v>
      </c>
      <c r="F957" t="str">
        <f>_xlfn.XLOOKUP(FME_Ranking1[[#This Row],[FME ID]],FME_Input[FME_ID],FME_Input[EMER_NEED])</f>
        <v>Yes</v>
      </c>
      <c r="G957">
        <f>IF(FME_Ranking!F957="Yes",100,0)</f>
        <v>100</v>
      </c>
      <c r="H957">
        <f>FME_Ranking1[[#This Row],[Emergency Need Score (Normalized, Unweighted)]]*$F$3</f>
        <v>0</v>
      </c>
      <c r="I957" s="246">
        <f>_xlfn.XLOOKUP(FME_Ranking1[[#This Row],[FME ID]],FME_Input[FME_ID],FME_Input[STRUCT_100])</f>
        <v>73</v>
      </c>
      <c r="J957" s="178">
        <f>(FME_Ranking1[[#This Row],[Structures 100 Raw]]/I$2)*100</f>
        <v>3.9090948035813734E-2</v>
      </c>
      <c r="K957" s="178">
        <f>FME_Ranking1[[#This Row],[Structures 100  Score (Normalized, Unweighted)]]*$I$3</f>
        <v>5.8636422053720601E-3</v>
      </c>
      <c r="L957" s="246">
        <f>_xlfn.XLOOKUP(FME_Ranking1[[#This Row],[FME ID]],FME_Input[FME_ID],FME_Input[RES_STRUCT100])</f>
        <v>44</v>
      </c>
      <c r="M957" s="230">
        <f>(FME_Ranking1[[#This Row],[Res Structures Raw]]/L$2)*100</f>
        <v>3.1165446020030883E-2</v>
      </c>
      <c r="N957" s="180">
        <f>FME_Ranking1[[#This Row],[Res Structures Score (Normalized, Unweighted)]]*$L$3</f>
        <v>3.1165446020030886E-3</v>
      </c>
      <c r="O957" s="244">
        <f>_xlfn.XLOOKUP(FME_Ranking1[[#This Row],[FME ID]],FME_Input[FME_ID],FME_Input[POP100])</f>
        <v>102</v>
      </c>
      <c r="P957" s="178">
        <f>(FME_Ranking1[[#This Row],[Pop Raw]]/$O$2)*100</f>
        <v>1.0442281822853856E-2</v>
      </c>
      <c r="Q957" s="178">
        <f>FME_Ranking1[[#This Row],[Pop Score (Normalized, Unweighted)]]*$O$3</f>
        <v>1.5663422734280782E-3</v>
      </c>
      <c r="R957" s="137">
        <f>_xlfn.XLOOKUP(FME_Ranking1[[#This Row],[FME ID]],FME_Input[FME_ID],FME_Input[CRITFAC100])</f>
        <v>0</v>
      </c>
      <c r="S957" s="230">
        <f>(FME_Ranking1[[#This Row],[Critical Facilities Raw]]/$R$2)*100</f>
        <v>0</v>
      </c>
      <c r="T957" s="180">
        <f>FME_Ranking1[[#This Row],[Critical Facilities Score (Normalized, Unweighted)]]*$R$3</f>
        <v>0</v>
      </c>
      <c r="U957">
        <f>_xlfn.XLOOKUP(FME_Ranking1[[#This Row],[FME ID]],FME_Input[FME_ID],FME_Input[LWC])</f>
        <v>7</v>
      </c>
      <c r="V957" s="178">
        <f>(FME_Ranking1[[#This Row],[LWC Raw]]/$U$2)*100</f>
        <v>0.40299366724237184</v>
      </c>
      <c r="W957" s="178">
        <f>FME_Ranking1[[#This Row],[LWC Score (Normalized, Unweighted)]]*$U$3</f>
        <v>8.0598733448474374E-2</v>
      </c>
      <c r="X957" s="246">
        <f>_xlfn.XLOOKUP(FME_Ranking1[[#This Row],[FME ID]],FME_Input[FME_ID],FME_Input[ROADCLS])</f>
        <v>22</v>
      </c>
      <c r="Y957" s="230">
        <f>(FME_Ranking1[[#This Row],[Closures Raw]]/$X$2)*100</f>
        <v>0.23131111344758701</v>
      </c>
      <c r="Z957" s="180">
        <f>FME_Ranking1[[#This Row],[Closures Score (Normalized, Unweighted)]]*$X$3</f>
        <v>1.1565555672379352E-2</v>
      </c>
      <c r="AA957" s="253">
        <f>_xlfn.XLOOKUP(FME_Ranking1[[#This Row],[FME ID]],FME_Input[FME_ID],FME_Input[ROAD_MILES100])</f>
        <v>1.75</v>
      </c>
      <c r="AB957" s="178">
        <f>(FME_Ranking1[[#This Row],[Miles Raw]]/$AA$2)*100</f>
        <v>2.3009361227647008E-2</v>
      </c>
      <c r="AC957" s="178">
        <f>FME_Ranking1[[#This Row],[Miles Score (Normalized, Unweighted)]]*$AA$3</f>
        <v>2.3009361227647007E-3</v>
      </c>
      <c r="AD957" s="255">
        <f>_xlfn.XLOOKUP(FME_Ranking1[[#This Row],[FME ID]],FME_Input[FME_ID],FME_Input[FARMACRE100])</f>
        <v>3.1808099746704102</v>
      </c>
      <c r="AE957" s="230">
        <f>(FME_Ranking1[[#This Row],[Ag Land Raw]]/$AD$2)*100</f>
        <v>1.3116236444782068E-4</v>
      </c>
      <c r="AF957" s="231">
        <f>FME_Ranking1[[#This Row],[Ag Land Score (Normalized, Unweighted)]]*$AD$3</f>
        <v>6.5581182223910346E-6</v>
      </c>
      <c r="AG95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0.10501831244264405</v>
      </c>
      <c r="AH957" s="406">
        <f t="shared" si="14"/>
        <v>1032</v>
      </c>
      <c r="AI95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0.10501831244264405</v>
      </c>
      <c r="AJ957" s="257">
        <f>FME_Ranking1[[#This Row],[Addition check]]-FME_Ranking1[[#This Row],[Weighted Score Based on Normalized Reported Factors]]</f>
        <v>0</v>
      </c>
      <c r="AK957" s="178">
        <f>_xlfn.RANK.EQ(AI957,$AI$6:$AI$2341,0)+COUNTIF($AI$6:AI957,AI957)-1</f>
        <v>1033</v>
      </c>
    </row>
    <row r="958" spans="1:37" x14ac:dyDescent="0.25">
      <c r="A958" t="s">
        <v>9376</v>
      </c>
      <c r="B958">
        <f>_xlfn.XLOOKUP(FME_Ranking1[[#This Row],[FME ID]],FME_Input[FME_ID],FME_Input[RFPG_NUM])</f>
        <v>12</v>
      </c>
      <c r="C958" t="str">
        <f>_xlfn.XLOOKUP(FME_Ranking1[[#This Row],[FME ID]],FME_Input[FME_ID],FME_Input[FME_NAME])</f>
        <v>New Bridges on 6th and 8th Streets</v>
      </c>
      <c r="D958" t="str">
        <f>_xlfn.XLOOKUP(FME_Ranking1[[#This Row],[FME ID]],FME_Input[FME_ID],FME_Input[DESCR])</f>
        <v>New construction of waterway bridges on 6th and 8th Streets crossing Stockdale Creek. Lift elevation profile of the two bridges that provide access to critical facilities and services within the city as well as access from the City to the surrounding reg</v>
      </c>
      <c r="E958" s="256">
        <f>_xlfn.XLOOKUP(FME_Ranking1[[#This Row],[FME ID]],FME_Input[FME_ID],FME_Input[FME_COST])</f>
        <v>651454</v>
      </c>
      <c r="F958" t="str">
        <f>_xlfn.XLOOKUP(FME_Ranking1[[#This Row],[FME ID]],FME_Input[FME_ID],FME_Input[EMER_NEED])</f>
        <v>Yes</v>
      </c>
      <c r="G958">
        <f>IF(FME_Ranking!F958="Yes",100,0)</f>
        <v>100</v>
      </c>
      <c r="H958">
        <f>FME_Ranking1[[#This Row],[Emergency Need Score (Normalized, Unweighted)]]*$F$3</f>
        <v>0</v>
      </c>
      <c r="I958" s="246">
        <f>_xlfn.XLOOKUP(FME_Ranking1[[#This Row],[FME ID]],FME_Input[FME_ID],FME_Input[STRUCT_100])</f>
        <v>73</v>
      </c>
      <c r="J958" s="178">
        <f>(FME_Ranking1[[#This Row],[Structures 100 Raw]]/I$2)*100</f>
        <v>3.9090948035813734E-2</v>
      </c>
      <c r="K958" s="178">
        <f>FME_Ranking1[[#This Row],[Structures 100  Score (Normalized, Unweighted)]]*$I$3</f>
        <v>5.8636422053720601E-3</v>
      </c>
      <c r="L958" s="246">
        <f>_xlfn.XLOOKUP(FME_Ranking1[[#This Row],[FME ID]],FME_Input[FME_ID],FME_Input[RES_STRUCT100])</f>
        <v>44</v>
      </c>
      <c r="M958" s="230">
        <f>(FME_Ranking1[[#This Row],[Res Structures Raw]]/L$2)*100</f>
        <v>3.1165446020030883E-2</v>
      </c>
      <c r="N958" s="180">
        <f>FME_Ranking1[[#This Row],[Res Structures Score (Normalized, Unweighted)]]*$L$3</f>
        <v>3.1165446020030886E-3</v>
      </c>
      <c r="O958" s="244">
        <f>_xlfn.XLOOKUP(FME_Ranking1[[#This Row],[FME ID]],FME_Input[FME_ID],FME_Input[POP100])</f>
        <v>102</v>
      </c>
      <c r="P958" s="178">
        <f>(FME_Ranking1[[#This Row],[Pop Raw]]/$O$2)*100</f>
        <v>1.0442281822853856E-2</v>
      </c>
      <c r="Q958" s="178">
        <f>FME_Ranking1[[#This Row],[Pop Score (Normalized, Unweighted)]]*$O$3</f>
        <v>1.5663422734280782E-3</v>
      </c>
      <c r="R958" s="137">
        <f>_xlfn.XLOOKUP(FME_Ranking1[[#This Row],[FME ID]],FME_Input[FME_ID],FME_Input[CRITFAC100])</f>
        <v>0</v>
      </c>
      <c r="S958" s="230">
        <f>(FME_Ranking1[[#This Row],[Critical Facilities Raw]]/$R$2)*100</f>
        <v>0</v>
      </c>
      <c r="T958" s="180">
        <f>FME_Ranking1[[#This Row],[Critical Facilities Score (Normalized, Unweighted)]]*$R$3</f>
        <v>0</v>
      </c>
      <c r="U958">
        <f>_xlfn.XLOOKUP(FME_Ranking1[[#This Row],[FME ID]],FME_Input[FME_ID],FME_Input[LWC])</f>
        <v>7</v>
      </c>
      <c r="V958" s="178">
        <f>(FME_Ranking1[[#This Row],[LWC Raw]]/$U$2)*100</f>
        <v>0.40299366724237184</v>
      </c>
      <c r="W958" s="178">
        <f>FME_Ranking1[[#This Row],[LWC Score (Normalized, Unweighted)]]*$U$3</f>
        <v>8.0598733448474374E-2</v>
      </c>
      <c r="X958" s="246">
        <f>_xlfn.XLOOKUP(FME_Ranking1[[#This Row],[FME ID]],FME_Input[FME_ID],FME_Input[ROADCLS])</f>
        <v>22</v>
      </c>
      <c r="Y958" s="230">
        <f>(FME_Ranking1[[#This Row],[Closures Raw]]/$X$2)*100</f>
        <v>0.23131111344758701</v>
      </c>
      <c r="Z958" s="180">
        <f>FME_Ranking1[[#This Row],[Closures Score (Normalized, Unweighted)]]*$X$3</f>
        <v>1.1565555672379352E-2</v>
      </c>
      <c r="AA958" s="253">
        <f>_xlfn.XLOOKUP(FME_Ranking1[[#This Row],[FME ID]],FME_Input[FME_ID],FME_Input[ROAD_MILES100])</f>
        <v>1.75</v>
      </c>
      <c r="AB958" s="178">
        <f>(FME_Ranking1[[#This Row],[Miles Raw]]/$AA$2)*100</f>
        <v>2.3009361227647008E-2</v>
      </c>
      <c r="AC958" s="178">
        <f>FME_Ranking1[[#This Row],[Miles Score (Normalized, Unweighted)]]*$AA$3</f>
        <v>2.3009361227647007E-3</v>
      </c>
      <c r="AD958" s="255">
        <f>_xlfn.XLOOKUP(FME_Ranking1[[#This Row],[FME ID]],FME_Input[FME_ID],FME_Input[FARMACRE100])</f>
        <v>3.1808099746704102</v>
      </c>
      <c r="AE958" s="230">
        <f>(FME_Ranking1[[#This Row],[Ag Land Raw]]/$AD$2)*100</f>
        <v>1.3116236444782068E-4</v>
      </c>
      <c r="AF958" s="231">
        <f>FME_Ranking1[[#This Row],[Ag Land Score (Normalized, Unweighted)]]*$AD$3</f>
        <v>6.5581182223910346E-6</v>
      </c>
      <c r="AG95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0.10501831244264405</v>
      </c>
      <c r="AH958" s="406">
        <f t="shared" si="14"/>
        <v>1032</v>
      </c>
      <c r="AI95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0.10501831244264405</v>
      </c>
      <c r="AJ958" s="257">
        <f>FME_Ranking1[[#This Row],[Addition check]]-FME_Ranking1[[#This Row],[Weighted Score Based on Normalized Reported Factors]]</f>
        <v>0</v>
      </c>
      <c r="AK958" s="178">
        <f>_xlfn.RANK.EQ(AI958,$AI$6:$AI$2341,0)+COUNTIF($AI$6:AI958,AI958)-1</f>
        <v>1034</v>
      </c>
    </row>
    <row r="959" spans="1:37" x14ac:dyDescent="0.25">
      <c r="A959" t="s">
        <v>9379</v>
      </c>
      <c r="B959">
        <f>_xlfn.XLOOKUP(FME_Ranking1[[#This Row],[FME ID]],FME_Input[FME_ID],FME_Input[RFPG_NUM])</f>
        <v>12</v>
      </c>
      <c r="C959" t="str">
        <f>_xlfn.XLOOKUP(FME_Ranking1[[#This Row],[FME ID]],FME_Input[FME_ID],FME_Input[FME_NAME])</f>
        <v>Detention/Retention pond on school property</v>
      </c>
      <c r="D959" t="str">
        <f>_xlfn.XLOOKUP(FME_Ranking1[[#This Row],[FME ID]],FME_Input[FME_ID],FME_Input[DESCR])</f>
        <v>Install a Detention/Retention pond and reservoir to store excess stormwater on school property along Fordtran Street</v>
      </c>
      <c r="E959" s="256">
        <f>_xlfn.XLOOKUP(FME_Ranking1[[#This Row],[FME ID]],FME_Input[FME_ID],FME_Input[FME_COST])</f>
        <v>1604361</v>
      </c>
      <c r="F959" t="str">
        <f>_xlfn.XLOOKUP(FME_Ranking1[[#This Row],[FME ID]],FME_Input[FME_ID],FME_Input[EMER_NEED])</f>
        <v>Yes</v>
      </c>
      <c r="G959">
        <f>IF(FME_Ranking!F959="Yes",100,0)</f>
        <v>100</v>
      </c>
      <c r="H959">
        <f>FME_Ranking1[[#This Row],[Emergency Need Score (Normalized, Unweighted)]]*$F$3</f>
        <v>0</v>
      </c>
      <c r="I959" s="246">
        <f>_xlfn.XLOOKUP(FME_Ranking1[[#This Row],[FME ID]],FME_Input[FME_ID],FME_Input[STRUCT_100])</f>
        <v>73</v>
      </c>
      <c r="J959" s="178">
        <f>(FME_Ranking1[[#This Row],[Structures 100 Raw]]/I$2)*100</f>
        <v>3.9090948035813734E-2</v>
      </c>
      <c r="K959" s="178">
        <f>FME_Ranking1[[#This Row],[Structures 100  Score (Normalized, Unweighted)]]*$I$3</f>
        <v>5.8636422053720601E-3</v>
      </c>
      <c r="L959" s="246">
        <f>_xlfn.XLOOKUP(FME_Ranking1[[#This Row],[FME ID]],FME_Input[FME_ID],FME_Input[RES_STRUCT100])</f>
        <v>44</v>
      </c>
      <c r="M959" s="230">
        <f>(FME_Ranking1[[#This Row],[Res Structures Raw]]/L$2)*100</f>
        <v>3.1165446020030883E-2</v>
      </c>
      <c r="N959" s="180">
        <f>FME_Ranking1[[#This Row],[Res Structures Score (Normalized, Unweighted)]]*$L$3</f>
        <v>3.1165446020030886E-3</v>
      </c>
      <c r="O959" s="244">
        <f>_xlfn.XLOOKUP(FME_Ranking1[[#This Row],[FME ID]],FME_Input[FME_ID],FME_Input[POP100])</f>
        <v>102</v>
      </c>
      <c r="P959" s="178">
        <f>(FME_Ranking1[[#This Row],[Pop Raw]]/$O$2)*100</f>
        <v>1.0442281822853856E-2</v>
      </c>
      <c r="Q959" s="178">
        <f>FME_Ranking1[[#This Row],[Pop Score (Normalized, Unweighted)]]*$O$3</f>
        <v>1.5663422734280782E-3</v>
      </c>
      <c r="R959" s="137">
        <f>_xlfn.XLOOKUP(FME_Ranking1[[#This Row],[FME ID]],FME_Input[FME_ID],FME_Input[CRITFAC100])</f>
        <v>0</v>
      </c>
      <c r="S959" s="230">
        <f>(FME_Ranking1[[#This Row],[Critical Facilities Raw]]/$R$2)*100</f>
        <v>0</v>
      </c>
      <c r="T959" s="180">
        <f>FME_Ranking1[[#This Row],[Critical Facilities Score (Normalized, Unweighted)]]*$R$3</f>
        <v>0</v>
      </c>
      <c r="U959">
        <f>_xlfn.XLOOKUP(FME_Ranking1[[#This Row],[FME ID]],FME_Input[FME_ID],FME_Input[LWC])</f>
        <v>7</v>
      </c>
      <c r="V959" s="178">
        <f>(FME_Ranking1[[#This Row],[LWC Raw]]/$U$2)*100</f>
        <v>0.40299366724237184</v>
      </c>
      <c r="W959" s="178">
        <f>FME_Ranking1[[#This Row],[LWC Score (Normalized, Unweighted)]]*$U$3</f>
        <v>8.0598733448474374E-2</v>
      </c>
      <c r="X959" s="246">
        <f>_xlfn.XLOOKUP(FME_Ranking1[[#This Row],[FME ID]],FME_Input[FME_ID],FME_Input[ROADCLS])</f>
        <v>22</v>
      </c>
      <c r="Y959" s="230">
        <f>(FME_Ranking1[[#This Row],[Closures Raw]]/$X$2)*100</f>
        <v>0.23131111344758701</v>
      </c>
      <c r="Z959" s="180">
        <f>FME_Ranking1[[#This Row],[Closures Score (Normalized, Unweighted)]]*$X$3</f>
        <v>1.1565555672379352E-2</v>
      </c>
      <c r="AA959" s="253">
        <f>_xlfn.XLOOKUP(FME_Ranking1[[#This Row],[FME ID]],FME_Input[FME_ID],FME_Input[ROAD_MILES100])</f>
        <v>1.75</v>
      </c>
      <c r="AB959" s="178">
        <f>(FME_Ranking1[[#This Row],[Miles Raw]]/$AA$2)*100</f>
        <v>2.3009361227647008E-2</v>
      </c>
      <c r="AC959" s="178">
        <f>FME_Ranking1[[#This Row],[Miles Score (Normalized, Unweighted)]]*$AA$3</f>
        <v>2.3009361227647007E-3</v>
      </c>
      <c r="AD959" s="255">
        <f>_xlfn.XLOOKUP(FME_Ranking1[[#This Row],[FME ID]],FME_Input[FME_ID],FME_Input[FARMACRE100])</f>
        <v>3.1808099746704102</v>
      </c>
      <c r="AE959" s="230">
        <f>(FME_Ranking1[[#This Row],[Ag Land Raw]]/$AD$2)*100</f>
        <v>1.3116236444782068E-4</v>
      </c>
      <c r="AF959" s="231">
        <f>FME_Ranking1[[#This Row],[Ag Land Score (Normalized, Unweighted)]]*$AD$3</f>
        <v>6.5581182223910346E-6</v>
      </c>
      <c r="AG95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0.10501831244264405</v>
      </c>
      <c r="AH959" s="406">
        <f t="shared" si="14"/>
        <v>1032</v>
      </c>
      <c r="AI95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0.10501831244264405</v>
      </c>
      <c r="AJ959" s="257">
        <f>FME_Ranking1[[#This Row],[Addition check]]-FME_Ranking1[[#This Row],[Weighted Score Based on Normalized Reported Factors]]</f>
        <v>0</v>
      </c>
      <c r="AK959" s="178">
        <f>_xlfn.RANK.EQ(AI959,$AI$6:$AI$2341,0)+COUNTIF($AI$6:AI959,AI959)-1</f>
        <v>1035</v>
      </c>
    </row>
    <row r="960" spans="1:37" x14ac:dyDescent="0.25">
      <c r="A960" t="s">
        <v>9578</v>
      </c>
      <c r="B960">
        <f>_xlfn.XLOOKUP(FME_Ranking1[[#This Row],[FME ID]],FME_Input[FME_ID],FME_Input[RFPG_NUM])</f>
        <v>12</v>
      </c>
      <c r="C960" t="str">
        <f>_xlfn.XLOOKUP(FME_Ranking1[[#This Row],[FME ID]],FME_Input[FME_ID],FME_Input[FME_NAME])</f>
        <v>Maintain Drainage System</v>
      </c>
      <c r="D960" t="str">
        <f>_xlfn.XLOOKUP(FME_Ranking1[[#This Row],[FME ID]],FME_Input[FME_ID],FME_Input[DESCR])</f>
        <v>Improve storm water drainage within residential and commercial areas by removing brush and debris,opening and widening waterways, restricting building in the flood zone, and widening bridges. Status or project was 90% complete in 2012 plan awaiting purch</v>
      </c>
      <c r="E960" s="256">
        <f>_xlfn.XLOOKUP(FME_Ranking1[[#This Row],[FME ID]],FME_Input[FME_ID],FME_Input[FME_COST])</f>
        <v>2073414</v>
      </c>
      <c r="F960" t="str">
        <f>_xlfn.XLOOKUP(FME_Ranking1[[#This Row],[FME ID]],FME_Input[FME_ID],FME_Input[EMER_NEED])</f>
        <v>Yes</v>
      </c>
      <c r="G960">
        <f>IF(FME_Ranking!F960="Yes",100,0)</f>
        <v>100</v>
      </c>
      <c r="H960">
        <f>FME_Ranking1[[#This Row],[Emergency Need Score (Normalized, Unweighted)]]*$F$3</f>
        <v>0</v>
      </c>
      <c r="I960" s="246">
        <f>_xlfn.XLOOKUP(FME_Ranking1[[#This Row],[FME ID]],FME_Input[FME_ID],FME_Input[STRUCT_100])</f>
        <v>73</v>
      </c>
      <c r="J960" s="178">
        <f>(FME_Ranking1[[#This Row],[Structures 100 Raw]]/I$2)*100</f>
        <v>3.9090948035813734E-2</v>
      </c>
      <c r="K960" s="178">
        <f>FME_Ranking1[[#This Row],[Structures 100  Score (Normalized, Unweighted)]]*$I$3</f>
        <v>5.8636422053720601E-3</v>
      </c>
      <c r="L960" s="246">
        <f>_xlfn.XLOOKUP(FME_Ranking1[[#This Row],[FME ID]],FME_Input[FME_ID],FME_Input[RES_STRUCT100])</f>
        <v>44</v>
      </c>
      <c r="M960" s="230">
        <f>(FME_Ranking1[[#This Row],[Res Structures Raw]]/L$2)*100</f>
        <v>3.1165446020030883E-2</v>
      </c>
      <c r="N960" s="180">
        <f>FME_Ranking1[[#This Row],[Res Structures Score (Normalized, Unweighted)]]*$L$3</f>
        <v>3.1165446020030886E-3</v>
      </c>
      <c r="O960" s="244">
        <f>_xlfn.XLOOKUP(FME_Ranking1[[#This Row],[FME ID]],FME_Input[FME_ID],FME_Input[POP100])</f>
        <v>102</v>
      </c>
      <c r="P960" s="178">
        <f>(FME_Ranking1[[#This Row],[Pop Raw]]/$O$2)*100</f>
        <v>1.0442281822853856E-2</v>
      </c>
      <c r="Q960" s="178">
        <f>FME_Ranking1[[#This Row],[Pop Score (Normalized, Unweighted)]]*$O$3</f>
        <v>1.5663422734280782E-3</v>
      </c>
      <c r="R960" s="137">
        <f>_xlfn.XLOOKUP(FME_Ranking1[[#This Row],[FME ID]],FME_Input[FME_ID],FME_Input[CRITFAC100])</f>
        <v>0</v>
      </c>
      <c r="S960" s="230">
        <f>(FME_Ranking1[[#This Row],[Critical Facilities Raw]]/$R$2)*100</f>
        <v>0</v>
      </c>
      <c r="T960" s="180">
        <f>FME_Ranking1[[#This Row],[Critical Facilities Score (Normalized, Unweighted)]]*$R$3</f>
        <v>0</v>
      </c>
      <c r="U960">
        <f>_xlfn.XLOOKUP(FME_Ranking1[[#This Row],[FME ID]],FME_Input[FME_ID],FME_Input[LWC])</f>
        <v>7</v>
      </c>
      <c r="V960" s="178">
        <f>(FME_Ranking1[[#This Row],[LWC Raw]]/$U$2)*100</f>
        <v>0.40299366724237184</v>
      </c>
      <c r="W960" s="178">
        <f>FME_Ranking1[[#This Row],[LWC Score (Normalized, Unweighted)]]*$U$3</f>
        <v>8.0598733448474374E-2</v>
      </c>
      <c r="X960" s="246">
        <f>_xlfn.XLOOKUP(FME_Ranking1[[#This Row],[FME ID]],FME_Input[FME_ID],FME_Input[ROADCLS])</f>
        <v>22</v>
      </c>
      <c r="Y960" s="230">
        <f>(FME_Ranking1[[#This Row],[Closures Raw]]/$X$2)*100</f>
        <v>0.23131111344758701</v>
      </c>
      <c r="Z960" s="180">
        <f>FME_Ranking1[[#This Row],[Closures Score (Normalized, Unweighted)]]*$X$3</f>
        <v>1.1565555672379352E-2</v>
      </c>
      <c r="AA960" s="253">
        <f>_xlfn.XLOOKUP(FME_Ranking1[[#This Row],[FME ID]],FME_Input[FME_ID],FME_Input[ROAD_MILES100])</f>
        <v>1.75</v>
      </c>
      <c r="AB960" s="178">
        <f>(FME_Ranking1[[#This Row],[Miles Raw]]/$AA$2)*100</f>
        <v>2.3009361227647008E-2</v>
      </c>
      <c r="AC960" s="178">
        <f>FME_Ranking1[[#This Row],[Miles Score (Normalized, Unweighted)]]*$AA$3</f>
        <v>2.3009361227647007E-3</v>
      </c>
      <c r="AD960" s="255">
        <f>_xlfn.XLOOKUP(FME_Ranking1[[#This Row],[FME ID]],FME_Input[FME_ID],FME_Input[FARMACRE100])</f>
        <v>3.1808099746704102</v>
      </c>
      <c r="AE960" s="230">
        <f>(FME_Ranking1[[#This Row],[Ag Land Raw]]/$AD$2)*100</f>
        <v>1.3116236444782068E-4</v>
      </c>
      <c r="AF960" s="231">
        <f>FME_Ranking1[[#This Row],[Ag Land Score (Normalized, Unweighted)]]*$AD$3</f>
        <v>6.5581182223910346E-6</v>
      </c>
      <c r="AG96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0.10501831244264405</v>
      </c>
      <c r="AH960" s="406">
        <f t="shared" si="14"/>
        <v>1032</v>
      </c>
      <c r="AI96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0.10501831244264405</v>
      </c>
      <c r="AJ960" s="257">
        <f>FME_Ranking1[[#This Row],[Addition check]]-FME_Ranking1[[#This Row],[Weighted Score Based on Normalized Reported Factors]]</f>
        <v>0</v>
      </c>
      <c r="AK960" s="178">
        <f>_xlfn.RANK.EQ(AI960,$AI$6:$AI$2341,0)+COUNTIF($AI$6:AI960,AI960)-1</f>
        <v>1036</v>
      </c>
    </row>
    <row r="961" spans="1:37" x14ac:dyDescent="0.25">
      <c r="A961" t="s">
        <v>7704</v>
      </c>
      <c r="B961">
        <f>_xlfn.XLOOKUP(FME_Ranking1[[#This Row],[FME ID]],FME_Input[FME_ID],FME_Input[RFPG_NUM])</f>
        <v>8</v>
      </c>
      <c r="C961" t="str">
        <f>_xlfn.XLOOKUP(FME_Ranking1[[#This Row],[FME ID]],FME_Input[FME_ID],FME_Input[FME_NAME])</f>
        <v>Burton Creek Trib 5 Mitigation</v>
      </c>
      <c r="D961" t="str">
        <f>_xlfn.XLOOKUP(FME_Ranking1[[#This Row],[FME ID]],FME_Input[FME_ID],FME_Input[DESCR])</f>
        <v>Design of erosion control and channel improvements for Trib 5 of Burton Creek.</v>
      </c>
      <c r="E961" s="256">
        <f>_xlfn.XLOOKUP(FME_Ranking1[[#This Row],[FME ID]],FME_Input[FME_ID],FME_Input[FME_COST])</f>
        <v>194000</v>
      </c>
      <c r="F961" t="str">
        <f>_xlfn.XLOOKUP(FME_Ranking1[[#This Row],[FME ID]],FME_Input[FME_ID],FME_Input[EMER_NEED])</f>
        <v>No</v>
      </c>
      <c r="G961">
        <f>IF(FME_Ranking!F961="Yes",100,0)</f>
        <v>0</v>
      </c>
      <c r="H961">
        <f>FME_Ranking1[[#This Row],[Emergency Need Score (Normalized, Unweighted)]]*$F$3</f>
        <v>0</v>
      </c>
      <c r="I961" s="246">
        <f>_xlfn.XLOOKUP(FME_Ranking1[[#This Row],[FME ID]],FME_Input[FME_ID],FME_Input[STRUCT_100])</f>
        <v>159</v>
      </c>
      <c r="J961" s="178">
        <f>(FME_Ranking1[[#This Row],[Structures 100 Raw]]/I$2)*100</f>
        <v>8.5143297776635388E-2</v>
      </c>
      <c r="K961" s="178">
        <f>FME_Ranking1[[#This Row],[Structures 100  Score (Normalized, Unweighted)]]*$I$3</f>
        <v>1.2771494666495308E-2</v>
      </c>
      <c r="L961" s="246">
        <f>_xlfn.XLOOKUP(FME_Ranking1[[#This Row],[FME ID]],FME_Input[FME_ID],FME_Input[RES_STRUCT100])</f>
        <v>105</v>
      </c>
      <c r="M961" s="230">
        <f>(FME_Ranking1[[#This Row],[Res Structures Raw]]/L$2)*100</f>
        <v>7.4372087093255518E-2</v>
      </c>
      <c r="N961" s="180">
        <f>FME_Ranking1[[#This Row],[Res Structures Score (Normalized, Unweighted)]]*$L$3</f>
        <v>7.4372087093255521E-3</v>
      </c>
      <c r="O961" s="244">
        <f>_xlfn.XLOOKUP(FME_Ranking1[[#This Row],[FME ID]],FME_Input[FME_ID],FME_Input[POP100])</f>
        <v>1162</v>
      </c>
      <c r="P961" s="178">
        <f>(FME_Ranking1[[#This Row],[Pop Raw]]/$O$2)*100</f>
        <v>0.11896011253094295</v>
      </c>
      <c r="Q961" s="178">
        <f>FME_Ranking1[[#This Row],[Pop Score (Normalized, Unweighted)]]*$O$3</f>
        <v>1.784401687964144E-2</v>
      </c>
      <c r="R961" s="137">
        <f>_xlfn.XLOOKUP(FME_Ranking1[[#This Row],[FME ID]],FME_Input[FME_ID],FME_Input[CRITFAC100])</f>
        <v>1</v>
      </c>
      <c r="S961" s="230">
        <f>(FME_Ranking1[[#This Row],[Critical Facilities Raw]]/$R$2)*100</f>
        <v>4.2881646655231559E-2</v>
      </c>
      <c r="T961" s="180">
        <f>FME_Ranking1[[#This Row],[Critical Facilities Score (Normalized, Unweighted)]]*$R$3</f>
        <v>8.5763293310463125E-3</v>
      </c>
      <c r="U961">
        <f>_xlfn.XLOOKUP(FME_Ranking1[[#This Row],[FME ID]],FME_Input[FME_ID],FME_Input[LWC])</f>
        <v>4</v>
      </c>
      <c r="V961" s="178">
        <f>(FME_Ranking1[[#This Row],[LWC Raw]]/$U$2)*100</f>
        <v>0.23028209556706969</v>
      </c>
      <c r="W961" s="178">
        <f>FME_Ranking1[[#This Row],[LWC Score (Normalized, Unweighted)]]*$U$3</f>
        <v>4.6056419113413939E-2</v>
      </c>
      <c r="X961" s="246">
        <f>_xlfn.XLOOKUP(FME_Ranking1[[#This Row],[FME ID]],FME_Input[FME_ID],FME_Input[ROADCLS])</f>
        <v>18</v>
      </c>
      <c r="Y961" s="230">
        <f>(FME_Ranking1[[#This Row],[Closures Raw]]/$X$2)*100</f>
        <v>0.18925454736620756</v>
      </c>
      <c r="Z961" s="180">
        <f>FME_Ranking1[[#This Row],[Closures Score (Normalized, Unweighted)]]*$X$3</f>
        <v>9.4627273683103794E-3</v>
      </c>
      <c r="AA961" s="253">
        <f>_xlfn.XLOOKUP(FME_Ranking1[[#This Row],[FME ID]],FME_Input[FME_ID],FME_Input[ROAD_MILES100])</f>
        <v>1.7613400220870969</v>
      </c>
      <c r="AB961" s="178">
        <f>(FME_Ranking1[[#This Row],[Miles Raw]]/$AA$2)*100</f>
        <v>2.3158462178807869E-2</v>
      </c>
      <c r="AC961" s="178">
        <f>FME_Ranking1[[#This Row],[Miles Score (Normalized, Unweighted)]]*$AA$3</f>
        <v>2.3158462178807871E-3</v>
      </c>
      <c r="AD961" s="255">
        <f>_xlfn.XLOOKUP(FME_Ranking1[[#This Row],[FME ID]],FME_Input[FME_ID],FME_Input[FARMACRE100])</f>
        <v>0</v>
      </c>
      <c r="AE961" s="230">
        <f>(FME_Ranking1[[#This Row],[Ag Land Raw]]/$AD$2)*100</f>
        <v>0</v>
      </c>
      <c r="AF961" s="231">
        <f>FME_Ranking1[[#This Row],[Ag Land Score (Normalized, Unweighted)]]*$AD$3</f>
        <v>0</v>
      </c>
      <c r="AG96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0.10446404228611374</v>
      </c>
      <c r="AH961" s="406">
        <f t="shared" si="14"/>
        <v>1037</v>
      </c>
      <c r="AI96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0.10446404228611374</v>
      </c>
      <c r="AJ961" s="257">
        <f>FME_Ranking1[[#This Row],[Addition check]]-FME_Ranking1[[#This Row],[Weighted Score Based on Normalized Reported Factors]]</f>
        <v>0</v>
      </c>
      <c r="AK961" s="178">
        <f>_xlfn.RANK.EQ(AI961,$AI$6:$AI$2341,0)+COUNTIF($AI$6:AI961,AI961)-1</f>
        <v>1037</v>
      </c>
    </row>
    <row r="962" spans="1:37" x14ac:dyDescent="0.25">
      <c r="A962" t="s">
        <v>3751</v>
      </c>
      <c r="B962">
        <f>_xlfn.XLOOKUP(FME_Ranking1[[#This Row],[FME ID]],FME_Input[FME_ID],FME_Input[RFPG_NUM])</f>
        <v>2</v>
      </c>
      <c r="C962" t="str">
        <f>_xlfn.XLOOKUP(FME_Ranking1[[#This Row],[FME ID]],FME_Input[FME_ID],FME_Input[FME_NAME])</f>
        <v>Wadley Hospital Flood Study</v>
      </c>
      <c r="D962" t="str">
        <f>_xlfn.XLOOKUP(FME_Ranking1[[#This Row],[FME ID]],FME_Input[FME_ID],FME_Input[DESCR])</f>
        <v>Flood study to define flood risk and mitigation options.</v>
      </c>
      <c r="E962" s="256">
        <f>_xlfn.XLOOKUP(FME_Ranking1[[#This Row],[FME ID]],FME_Input[FME_ID],FME_Input[FME_COST])</f>
        <v>250000</v>
      </c>
      <c r="F962" t="str">
        <f>_xlfn.XLOOKUP(FME_Ranking1[[#This Row],[FME ID]],FME_Input[FME_ID],FME_Input[EMER_NEED])</f>
        <v>No</v>
      </c>
      <c r="G962">
        <f>IF(FME_Ranking!F962="Yes",100,0)</f>
        <v>0</v>
      </c>
      <c r="H962">
        <f>FME_Ranking1[[#This Row],[Emergency Need Score (Normalized, Unweighted)]]*$F$3</f>
        <v>0</v>
      </c>
      <c r="I962" s="246">
        <f>_xlfn.XLOOKUP(FME_Ranking1[[#This Row],[FME ID]],FME_Input[FME_ID],FME_Input[STRUCT_100])</f>
        <v>226</v>
      </c>
      <c r="J962" s="178">
        <f>(FME_Ranking1[[#This Row],[Structures 100 Raw]]/I$2)*100</f>
        <v>0.12102129117936855</v>
      </c>
      <c r="K962" s="178">
        <f>FME_Ranking1[[#This Row],[Structures 100  Score (Normalized, Unweighted)]]*$I$3</f>
        <v>1.8153193676905283E-2</v>
      </c>
      <c r="L962" s="246">
        <f>_xlfn.XLOOKUP(FME_Ranking1[[#This Row],[FME ID]],FME_Input[FME_ID],FME_Input[RES_STRUCT100])</f>
        <v>137</v>
      </c>
      <c r="M962" s="230">
        <f>(FME_Ranking1[[#This Row],[Res Structures Raw]]/L$2)*100</f>
        <v>9.7037866016914331E-2</v>
      </c>
      <c r="N962" s="180">
        <f>FME_Ranking1[[#This Row],[Res Structures Score (Normalized, Unweighted)]]*$L$3</f>
        <v>9.7037866016914335E-3</v>
      </c>
      <c r="O962" s="244">
        <f>_xlfn.XLOOKUP(FME_Ranking1[[#This Row],[FME ID]],FME_Input[FME_ID],FME_Input[POP100])</f>
        <v>1476</v>
      </c>
      <c r="P962" s="178">
        <f>(FME_Ranking1[[#This Row],[Pop Raw]]/$O$2)*100</f>
        <v>0.15110596049541461</v>
      </c>
      <c r="Q962" s="178">
        <f>FME_Ranking1[[#This Row],[Pop Score (Normalized, Unweighted)]]*$O$3</f>
        <v>2.2665894074312191E-2</v>
      </c>
      <c r="R962" s="137">
        <f>_xlfn.XLOOKUP(FME_Ranking1[[#This Row],[FME ID]],FME_Input[FME_ID],FME_Input[CRITFAC100])</f>
        <v>6</v>
      </c>
      <c r="S962" s="230">
        <f>(FME_Ranking1[[#This Row],[Critical Facilities Raw]]/$R$2)*100</f>
        <v>0.25728987993138941</v>
      </c>
      <c r="T962" s="180">
        <f>FME_Ranking1[[#This Row],[Critical Facilities Score (Normalized, Unweighted)]]*$R$3</f>
        <v>5.1457975986277882E-2</v>
      </c>
      <c r="U962">
        <f>_xlfn.XLOOKUP(FME_Ranking1[[#This Row],[FME ID]],FME_Input[FME_ID],FME_Input[LWC])</f>
        <v>0</v>
      </c>
      <c r="V962" s="178">
        <f>(FME_Ranking1[[#This Row],[LWC Raw]]/$U$2)*100</f>
        <v>0</v>
      </c>
      <c r="W962" s="178">
        <f>FME_Ranking1[[#This Row],[LWC Score (Normalized, Unweighted)]]*$U$3</f>
        <v>0</v>
      </c>
      <c r="X962" s="246">
        <f>_xlfn.XLOOKUP(FME_Ranking1[[#This Row],[FME ID]],FME_Input[FME_ID],FME_Input[ROADCLS])</f>
        <v>0</v>
      </c>
      <c r="Y962" s="230">
        <f>(FME_Ranking1[[#This Row],[Closures Raw]]/$X$2)*100</f>
        <v>0</v>
      </c>
      <c r="Z962" s="180">
        <f>FME_Ranking1[[#This Row],[Closures Score (Normalized, Unweighted)]]*$X$3</f>
        <v>0</v>
      </c>
      <c r="AA962" s="253">
        <f>_xlfn.XLOOKUP(FME_Ranking1[[#This Row],[FME ID]],FME_Input[FME_ID],FME_Input[ROAD_MILES100])</f>
        <v>10.344822883605961</v>
      </c>
      <c r="AB962" s="178">
        <f>(FME_Ranking1[[#This Row],[Miles Raw]]/$AA$2)*100</f>
        <v>0.13601586660852485</v>
      </c>
      <c r="AC962" s="178">
        <f>FME_Ranking1[[#This Row],[Miles Score (Normalized, Unweighted)]]*$AA$3</f>
        <v>1.3601586660852486E-2</v>
      </c>
      <c r="AD962" s="255">
        <f>_xlfn.XLOOKUP(FME_Ranking1[[#This Row],[FME ID]],FME_Input[FME_ID],FME_Input[FARMACRE100])</f>
        <v>3.665265798568726</v>
      </c>
      <c r="AE962" s="230">
        <f>(FME_Ranking1[[#This Row],[Ag Land Raw]]/$AD$2)*100</f>
        <v>1.5113915395710415E-4</v>
      </c>
      <c r="AF962" s="231">
        <f>FME_Ranking1[[#This Row],[Ag Land Score (Normalized, Unweighted)]]*$AD$3</f>
        <v>7.5569576978552077E-6</v>
      </c>
      <c r="AG96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0.11558999395773713</v>
      </c>
      <c r="AH962" s="406">
        <f t="shared" si="14"/>
        <v>999</v>
      </c>
      <c r="AI96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0.11558999395773713</v>
      </c>
      <c r="AJ962" s="257">
        <f>FME_Ranking1[[#This Row],[Addition check]]-FME_Ranking1[[#This Row],[Weighted Score Based on Normalized Reported Factors]]</f>
        <v>0</v>
      </c>
      <c r="AK962" s="178">
        <f>_xlfn.RANK.EQ(AI962,$AI$6:$AI$2341,0)+COUNTIF($AI$6:AI962,AI962)-1</f>
        <v>999</v>
      </c>
    </row>
    <row r="963" spans="1:37" x14ac:dyDescent="0.25">
      <c r="A963" t="s">
        <v>3756</v>
      </c>
      <c r="B963">
        <f>_xlfn.XLOOKUP(FME_Ranking1[[#This Row],[FME ID]],FME_Input[FME_ID],FME_Input[RFPG_NUM])</f>
        <v>2</v>
      </c>
      <c r="C963" t="str">
        <f>_xlfn.XLOOKUP(FME_Ranking1[[#This Row],[FME ID]],FME_Input[FME_ID],FME_Input[FME_NAME])</f>
        <v>Urban Flooding at 19th and Wood Street</v>
      </c>
      <c r="D963" t="str">
        <f>_xlfn.XLOOKUP(FME_Ranking1[[#This Row],[FME ID]],FME_Input[FME_ID],FME_Input[DESCR])</f>
        <v>Flood study to define flood risk and mitigation options. Houses flood 4-5 times per year.</v>
      </c>
      <c r="E963" s="256">
        <f>_xlfn.XLOOKUP(FME_Ranking1[[#This Row],[FME ID]],FME_Input[FME_ID],FME_Input[FME_COST])</f>
        <v>250000</v>
      </c>
      <c r="F963" t="str">
        <f>_xlfn.XLOOKUP(FME_Ranking1[[#This Row],[FME ID]],FME_Input[FME_ID],FME_Input[EMER_NEED])</f>
        <v>No</v>
      </c>
      <c r="G963">
        <f>IF(FME_Ranking!F963="Yes",100,0)</f>
        <v>0</v>
      </c>
      <c r="H963">
        <f>FME_Ranking1[[#This Row],[Emergency Need Score (Normalized, Unweighted)]]*$F$3</f>
        <v>0</v>
      </c>
      <c r="I963" s="246">
        <f>_xlfn.XLOOKUP(FME_Ranking1[[#This Row],[FME ID]],FME_Input[FME_ID],FME_Input[STRUCT_100])</f>
        <v>226</v>
      </c>
      <c r="J963" s="178">
        <f>(FME_Ranking1[[#This Row],[Structures 100 Raw]]/I$2)*100</f>
        <v>0.12102129117936855</v>
      </c>
      <c r="K963" s="178">
        <f>FME_Ranking1[[#This Row],[Structures 100  Score (Normalized, Unweighted)]]*$I$3</f>
        <v>1.8153193676905283E-2</v>
      </c>
      <c r="L963" s="246">
        <f>_xlfn.XLOOKUP(FME_Ranking1[[#This Row],[FME ID]],FME_Input[FME_ID],FME_Input[RES_STRUCT100])</f>
        <v>137</v>
      </c>
      <c r="M963" s="230">
        <f>(FME_Ranking1[[#This Row],[Res Structures Raw]]/L$2)*100</f>
        <v>9.7037866016914331E-2</v>
      </c>
      <c r="N963" s="180">
        <f>FME_Ranking1[[#This Row],[Res Structures Score (Normalized, Unweighted)]]*$L$3</f>
        <v>9.7037866016914335E-3</v>
      </c>
      <c r="O963" s="244">
        <f>_xlfn.XLOOKUP(FME_Ranking1[[#This Row],[FME ID]],FME_Input[FME_ID],FME_Input[POP100])</f>
        <v>1476</v>
      </c>
      <c r="P963" s="178">
        <f>(FME_Ranking1[[#This Row],[Pop Raw]]/$O$2)*100</f>
        <v>0.15110596049541461</v>
      </c>
      <c r="Q963" s="178">
        <f>FME_Ranking1[[#This Row],[Pop Score (Normalized, Unweighted)]]*$O$3</f>
        <v>2.2665894074312191E-2</v>
      </c>
      <c r="R963" s="137">
        <f>_xlfn.XLOOKUP(FME_Ranking1[[#This Row],[FME ID]],FME_Input[FME_ID],FME_Input[CRITFAC100])</f>
        <v>6</v>
      </c>
      <c r="S963" s="230">
        <f>(FME_Ranking1[[#This Row],[Critical Facilities Raw]]/$R$2)*100</f>
        <v>0.25728987993138941</v>
      </c>
      <c r="T963" s="180">
        <f>FME_Ranking1[[#This Row],[Critical Facilities Score (Normalized, Unweighted)]]*$R$3</f>
        <v>5.1457975986277882E-2</v>
      </c>
      <c r="U963">
        <f>_xlfn.XLOOKUP(FME_Ranking1[[#This Row],[FME ID]],FME_Input[FME_ID],FME_Input[LWC])</f>
        <v>0</v>
      </c>
      <c r="V963" s="178">
        <f>(FME_Ranking1[[#This Row],[LWC Raw]]/$U$2)*100</f>
        <v>0</v>
      </c>
      <c r="W963" s="178">
        <f>FME_Ranking1[[#This Row],[LWC Score (Normalized, Unweighted)]]*$U$3</f>
        <v>0</v>
      </c>
      <c r="X963" s="246">
        <f>_xlfn.XLOOKUP(FME_Ranking1[[#This Row],[FME ID]],FME_Input[FME_ID],FME_Input[ROADCLS])</f>
        <v>0</v>
      </c>
      <c r="Y963" s="230">
        <f>(FME_Ranking1[[#This Row],[Closures Raw]]/$X$2)*100</f>
        <v>0</v>
      </c>
      <c r="Z963" s="180">
        <f>FME_Ranking1[[#This Row],[Closures Score (Normalized, Unweighted)]]*$X$3</f>
        <v>0</v>
      </c>
      <c r="AA963" s="253">
        <f>_xlfn.XLOOKUP(FME_Ranking1[[#This Row],[FME ID]],FME_Input[FME_ID],FME_Input[ROAD_MILES100])</f>
        <v>10.344822883605961</v>
      </c>
      <c r="AB963" s="178">
        <f>(FME_Ranking1[[#This Row],[Miles Raw]]/$AA$2)*100</f>
        <v>0.13601586660852485</v>
      </c>
      <c r="AC963" s="178">
        <f>FME_Ranking1[[#This Row],[Miles Score (Normalized, Unweighted)]]*$AA$3</f>
        <v>1.3601586660852486E-2</v>
      </c>
      <c r="AD963" s="255">
        <f>_xlfn.XLOOKUP(FME_Ranking1[[#This Row],[FME ID]],FME_Input[FME_ID],FME_Input[FARMACRE100])</f>
        <v>3.665265798568726</v>
      </c>
      <c r="AE963" s="230">
        <f>(FME_Ranking1[[#This Row],[Ag Land Raw]]/$AD$2)*100</f>
        <v>1.5113915395710415E-4</v>
      </c>
      <c r="AF963" s="231">
        <f>FME_Ranking1[[#This Row],[Ag Land Score (Normalized, Unweighted)]]*$AD$3</f>
        <v>7.5569576978552077E-6</v>
      </c>
      <c r="AG96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0.11558999395773713</v>
      </c>
      <c r="AH963" s="406">
        <f t="shared" si="14"/>
        <v>999</v>
      </c>
      <c r="AI96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0.11558999395773713</v>
      </c>
      <c r="AJ963" s="257">
        <f>FME_Ranking1[[#This Row],[Addition check]]-FME_Ranking1[[#This Row],[Weighted Score Based on Normalized Reported Factors]]</f>
        <v>0</v>
      </c>
      <c r="AK963" s="178">
        <f>_xlfn.RANK.EQ(AI963,$AI$6:$AI$2341,0)+COUNTIF($AI$6:AI963,AI963)-1</f>
        <v>1000</v>
      </c>
    </row>
    <row r="964" spans="1:37" x14ac:dyDescent="0.25">
      <c r="A964" t="s">
        <v>7732</v>
      </c>
      <c r="B964">
        <f>_xlfn.XLOOKUP(FME_Ranking1[[#This Row],[FME ID]],FME_Input[FME_ID],FME_Input[RFPG_NUM])</f>
        <v>8</v>
      </c>
      <c r="C964" t="str">
        <f>_xlfn.XLOOKUP(FME_Ranking1[[#This Row],[FME ID]],FME_Input[FME_ID],FME_Input[FME_NAME])</f>
        <v>Sugar Land Business Park Regional Detention</v>
      </c>
      <c r="D964" t="str">
        <f>_xlfn.XLOOKUP(FME_Ranking1[[#This Row],[FME ID]],FME_Input[FME_ID],FME_Input[DESCR])</f>
        <v>Update design to account for Atlas 14 rainfall.</v>
      </c>
      <c r="E964" s="256">
        <f>_xlfn.XLOOKUP(FME_Ranking1[[#This Row],[FME ID]],FME_Input[FME_ID],FME_Input[FME_COST])</f>
        <v>300000</v>
      </c>
      <c r="F964" t="str">
        <f>_xlfn.XLOOKUP(FME_Ranking1[[#This Row],[FME ID]],FME_Input[FME_ID],FME_Input[EMER_NEED])</f>
        <v>No</v>
      </c>
      <c r="G964">
        <f>IF(FME_Ranking!F964="Yes",100,0)</f>
        <v>0</v>
      </c>
      <c r="H964">
        <f>FME_Ranking1[[#This Row],[Emergency Need Score (Normalized, Unweighted)]]*$F$3</f>
        <v>0</v>
      </c>
      <c r="I964" s="246">
        <f>_xlfn.XLOOKUP(FME_Ranking1[[#This Row],[FME ID]],FME_Input[FME_ID],FME_Input[STRUCT_100])</f>
        <v>195</v>
      </c>
      <c r="J964" s="178">
        <f>(FME_Ranking1[[#This Row],[Structures 100 Raw]]/I$2)*100</f>
        <v>0.10442102557511887</v>
      </c>
      <c r="K964" s="178">
        <f>FME_Ranking1[[#This Row],[Structures 100  Score (Normalized, Unweighted)]]*$I$3</f>
        <v>1.5663153836267828E-2</v>
      </c>
      <c r="L964" s="246">
        <f>_xlfn.XLOOKUP(FME_Ranking1[[#This Row],[FME ID]],FME_Input[FME_ID],FME_Input[RES_STRUCT100])</f>
        <v>144</v>
      </c>
      <c r="M964" s="230">
        <f>(FME_Ranking1[[#This Row],[Res Structures Raw]]/L$2)*100</f>
        <v>0.1019960051564647</v>
      </c>
      <c r="N964" s="180">
        <f>FME_Ranking1[[#This Row],[Res Structures Score (Normalized, Unweighted)]]*$L$3</f>
        <v>1.0199600515646471E-2</v>
      </c>
      <c r="O964" s="244">
        <f>_xlfn.XLOOKUP(FME_Ranking1[[#This Row],[FME ID]],FME_Input[FME_ID],FME_Input[POP100])</f>
        <v>1044</v>
      </c>
      <c r="P964" s="178">
        <f>(FME_Ranking1[[#This Row],[Pop Raw]]/$O$2)*100</f>
        <v>0.10687982571626886</v>
      </c>
      <c r="Q964" s="178">
        <f>FME_Ranking1[[#This Row],[Pop Score (Normalized, Unweighted)]]*$O$3</f>
        <v>1.6031973857440329E-2</v>
      </c>
      <c r="R964" s="137">
        <f>_xlfn.XLOOKUP(FME_Ranking1[[#This Row],[FME ID]],FME_Input[FME_ID],FME_Input[CRITFAC100])</f>
        <v>2</v>
      </c>
      <c r="S964" s="230">
        <f>(FME_Ranking1[[#This Row],[Critical Facilities Raw]]/$R$2)*100</f>
        <v>8.5763293310463118E-2</v>
      </c>
      <c r="T964" s="180">
        <f>FME_Ranking1[[#This Row],[Critical Facilities Score (Normalized, Unweighted)]]*$R$3</f>
        <v>1.7152658662092625E-2</v>
      </c>
      <c r="U964">
        <f>_xlfn.XLOOKUP(FME_Ranking1[[#This Row],[FME ID]],FME_Input[FME_ID],FME_Input[LWC])</f>
        <v>0</v>
      </c>
      <c r="V964" s="178">
        <f>(FME_Ranking1[[#This Row],[LWC Raw]]/$U$2)*100</f>
        <v>0</v>
      </c>
      <c r="W964" s="178">
        <f>FME_Ranking1[[#This Row],[LWC Score (Normalized, Unweighted)]]*$U$3</f>
        <v>0</v>
      </c>
      <c r="X964" s="246">
        <f>_xlfn.XLOOKUP(FME_Ranking1[[#This Row],[FME ID]],FME_Input[FME_ID],FME_Input[ROADCLS])</f>
        <v>77</v>
      </c>
      <c r="Y964" s="230">
        <f>(FME_Ranking1[[#This Row],[Closures Raw]]/$X$2)*100</f>
        <v>0.80958889706655457</v>
      </c>
      <c r="Z964" s="180">
        <f>FME_Ranking1[[#This Row],[Closures Score (Normalized, Unweighted)]]*$X$3</f>
        <v>4.0479444853327731E-2</v>
      </c>
      <c r="AA964" s="253">
        <f>_xlfn.XLOOKUP(FME_Ranking1[[#This Row],[FME ID]],FME_Input[FME_ID],FME_Input[ROAD_MILES100])</f>
        <v>12.56610012054443</v>
      </c>
      <c r="AB964" s="178">
        <f>(FME_Ranking1[[#This Row],[Miles Raw]]/$AA$2)*100</f>
        <v>0.16522167822650594</v>
      </c>
      <c r="AC964" s="178">
        <f>FME_Ranking1[[#This Row],[Miles Score (Normalized, Unweighted)]]*$AA$3</f>
        <v>1.6522167822650594E-2</v>
      </c>
      <c r="AD964" s="255">
        <f>_xlfn.XLOOKUP(FME_Ranking1[[#This Row],[FME ID]],FME_Input[FME_ID],FME_Input[FARMACRE100])</f>
        <v>856.656005859375</v>
      </c>
      <c r="AE964" s="230">
        <f>(FME_Ranking1[[#This Row],[Ag Land Raw]]/$AD$2)*100</f>
        <v>3.5324658857869805E-2</v>
      </c>
      <c r="AF964" s="231">
        <f>FME_Ranking1[[#This Row],[Ag Land Score (Normalized, Unweighted)]]*$AD$3</f>
        <v>1.7662329428934902E-3</v>
      </c>
      <c r="AG96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0.11781523249031906</v>
      </c>
      <c r="AH964" s="406">
        <f t="shared" si="14"/>
        <v>991</v>
      </c>
      <c r="AI96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0.11781523249031906</v>
      </c>
      <c r="AJ964" s="257">
        <f>FME_Ranking1[[#This Row],[Addition check]]-FME_Ranking1[[#This Row],[Weighted Score Based on Normalized Reported Factors]]</f>
        <v>0</v>
      </c>
      <c r="AK964" s="178">
        <f>_xlfn.RANK.EQ(AI964,$AI$6:$AI$2341,0)+COUNTIF($AI$6:AI964,AI964)-1</f>
        <v>991</v>
      </c>
    </row>
    <row r="965" spans="1:37" x14ac:dyDescent="0.25">
      <c r="A965" t="s">
        <v>6347</v>
      </c>
      <c r="B965">
        <f>_xlfn.XLOOKUP(FME_Ranking1[[#This Row],[FME ID]],FME_Input[FME_ID],FME_Input[RFPG_NUM])</f>
        <v>5</v>
      </c>
      <c r="C965" t="str">
        <f>_xlfn.XLOOKUP(FME_Ranking1[[#This Row],[FME ID]],FME_Input[FME_ID],FME_Input[FME_NAME])</f>
        <v>Mayhaw Lateral Improvements</v>
      </c>
      <c r="D965" t="str">
        <f>_xlfn.XLOOKUP(FME_Ranking1[[#This Row],[FME ID]],FME_Input[FME_ID],FME_Input[DESCR])</f>
        <v xml:space="preserve">Rectify negative impacts to properties downstream of IH-10 caused by additional drainage crossings </v>
      </c>
      <c r="E965" s="256">
        <f>_xlfn.XLOOKUP(FME_Ranking1[[#This Row],[FME ID]],FME_Input[FME_ID],FME_Input[FME_COST])</f>
        <v>2200000</v>
      </c>
      <c r="F965" t="str">
        <f>_xlfn.XLOOKUP(FME_Ranking1[[#This Row],[FME ID]],FME_Input[FME_ID],FME_Input[EMER_NEED])</f>
        <v>Yes</v>
      </c>
      <c r="G965">
        <f>IF(FME_Ranking!F965="Yes",100,0)</f>
        <v>100</v>
      </c>
      <c r="H965">
        <f>FME_Ranking1[[#This Row],[Emergency Need Score (Normalized, Unweighted)]]*$F$3</f>
        <v>0</v>
      </c>
      <c r="I965" s="246">
        <f>_xlfn.XLOOKUP(FME_Ranking1[[#This Row],[FME ID]],FME_Input[FME_ID],FME_Input[STRUCT_100])</f>
        <v>401</v>
      </c>
      <c r="J965" s="178">
        <f>(FME_Ranking1[[#This Row],[Structures 100 Raw]]/I$2)*100</f>
        <v>0.21473246797755213</v>
      </c>
      <c r="K965" s="178">
        <f>FME_Ranking1[[#This Row],[Structures 100  Score (Normalized, Unweighted)]]*$I$3</f>
        <v>3.2209870196632816E-2</v>
      </c>
      <c r="L965" s="246">
        <f>_xlfn.XLOOKUP(FME_Ranking1[[#This Row],[FME ID]],FME_Input[FME_ID],FME_Input[RES_STRUCT100])</f>
        <v>267</v>
      </c>
      <c r="M965" s="230">
        <f>(FME_Ranking1[[#This Row],[Res Structures Raw]]/L$2)*100</f>
        <v>0.18911759289427832</v>
      </c>
      <c r="N965" s="180">
        <f>FME_Ranking1[[#This Row],[Res Structures Score (Normalized, Unweighted)]]*$L$3</f>
        <v>1.8911759289427833E-2</v>
      </c>
      <c r="O965" s="244">
        <f>_xlfn.XLOOKUP(FME_Ranking1[[#This Row],[FME ID]],FME_Input[FME_ID],FME_Input[POP100])</f>
        <v>551</v>
      </c>
      <c r="P965" s="178">
        <f>(FME_Ranking1[[#This Row],[Pop Raw]]/$O$2)*100</f>
        <v>5.6408796905808571E-2</v>
      </c>
      <c r="Q965" s="178">
        <f>FME_Ranking1[[#This Row],[Pop Score (Normalized, Unweighted)]]*$O$3</f>
        <v>8.461319535871285E-3</v>
      </c>
      <c r="R965" s="137">
        <f>_xlfn.XLOOKUP(FME_Ranking1[[#This Row],[FME ID]],FME_Input[FME_ID],FME_Input[CRITFAC100])</f>
        <v>0</v>
      </c>
      <c r="S965" s="230">
        <f>(FME_Ranking1[[#This Row],[Critical Facilities Raw]]/$R$2)*100</f>
        <v>0</v>
      </c>
      <c r="T965" s="180">
        <f>FME_Ranking1[[#This Row],[Critical Facilities Score (Normalized, Unweighted)]]*$R$3</f>
        <v>0</v>
      </c>
      <c r="U965">
        <f>_xlfn.XLOOKUP(FME_Ranking1[[#This Row],[FME ID]],FME_Input[FME_ID],FME_Input[LWC])</f>
        <v>3</v>
      </c>
      <c r="V965" s="178">
        <f>(FME_Ranking1[[#This Row],[LWC Raw]]/$U$2)*100</f>
        <v>0.17271157167530224</v>
      </c>
      <c r="W965" s="178">
        <f>FME_Ranking1[[#This Row],[LWC Score (Normalized, Unweighted)]]*$U$3</f>
        <v>3.4542314335060449E-2</v>
      </c>
      <c r="X965" s="246">
        <f>_xlfn.XLOOKUP(FME_Ranking1[[#This Row],[FME ID]],FME_Input[FME_ID],FME_Input[ROADCLS])</f>
        <v>3</v>
      </c>
      <c r="Y965" s="230">
        <f>(FME_Ranking1[[#This Row],[Closures Raw]]/$X$2)*100</f>
        <v>3.1542424561034593E-2</v>
      </c>
      <c r="Z965" s="180">
        <f>FME_Ranking1[[#This Row],[Closures Score (Normalized, Unweighted)]]*$X$3</f>
        <v>1.5771212280517297E-3</v>
      </c>
      <c r="AA965" s="253">
        <f>_xlfn.XLOOKUP(FME_Ranking1[[#This Row],[FME ID]],FME_Input[FME_ID],FME_Input[ROAD_MILES100])</f>
        <v>28.049638748168949</v>
      </c>
      <c r="AB965" s="178">
        <f>(FME_Ranking1[[#This Row],[Miles Raw]]/$AA$2)*100</f>
        <v>0.36880244014949926</v>
      </c>
      <c r="AC965" s="178">
        <f>FME_Ranking1[[#This Row],[Miles Score (Normalized, Unweighted)]]*$AA$3</f>
        <v>3.688024401494993E-2</v>
      </c>
      <c r="AD965" s="255">
        <f>_xlfn.XLOOKUP(FME_Ranking1[[#This Row],[FME ID]],FME_Input[FME_ID],FME_Input[FARMACRE100])</f>
        <v>2479.473876953125</v>
      </c>
      <c r="AE965" s="230">
        <f>(FME_Ranking1[[#This Row],[Ag Land Raw]]/$AD$2)*100</f>
        <v>0.10224240331158882</v>
      </c>
      <c r="AF965" s="231">
        <f>FME_Ranking1[[#This Row],[Ag Land Score (Normalized, Unweighted)]]*$AD$3</f>
        <v>5.1121201655794412E-3</v>
      </c>
      <c r="AG96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0.1376947487655735</v>
      </c>
      <c r="AH965" s="406">
        <f t="shared" si="14"/>
        <v>930</v>
      </c>
      <c r="AI96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0.1376947487655735</v>
      </c>
      <c r="AJ965" s="257">
        <f>FME_Ranking1[[#This Row],[Addition check]]-FME_Ranking1[[#This Row],[Weighted Score Based on Normalized Reported Factors]]</f>
        <v>0</v>
      </c>
      <c r="AK965" s="178">
        <f>_xlfn.RANK.EQ(AI965,$AI$6:$AI$2341,0)+COUNTIF($AI$6:AI965,AI965)-1</f>
        <v>930</v>
      </c>
    </row>
    <row r="966" spans="1:37" x14ac:dyDescent="0.25">
      <c r="A966" t="s">
        <v>6452</v>
      </c>
      <c r="B966">
        <f>_xlfn.XLOOKUP(FME_Ranking1[[#This Row],[FME ID]],FME_Input[FME_ID],FME_Input[RFPG_NUM])</f>
        <v>5</v>
      </c>
      <c r="C966" t="str">
        <f>_xlfn.XLOOKUP(FME_Ranking1[[#This Row],[FME ID]],FME_Input[FME_ID],FME_Input[FME_NAME])</f>
        <v>City of Lumberton Detention Pond at FM 421</v>
      </c>
      <c r="D966" t="str">
        <f>_xlfn.XLOOKUP(FME_Ranking1[[#This Row],[FME ID]],FME_Input[FME_ID],FME_Input[DESCR])</f>
        <v>H&amp;H Study to develop alternatives for detention at FM 421</v>
      </c>
      <c r="E966" s="256">
        <f>_xlfn.XLOOKUP(FME_Ranking1[[#This Row],[FME ID]],FME_Input[FME_ID],FME_Input[FME_COST])</f>
        <v>50000</v>
      </c>
      <c r="F966" t="str">
        <f>_xlfn.XLOOKUP(FME_Ranking1[[#This Row],[FME ID]],FME_Input[FME_ID],FME_Input[EMER_NEED])</f>
        <v>Yes</v>
      </c>
      <c r="G966">
        <f>IF(FME_Ranking!F966="Yes",100,0)</f>
        <v>100</v>
      </c>
      <c r="H966">
        <f>FME_Ranking1[[#This Row],[Emergency Need Score (Normalized, Unweighted)]]*$F$3</f>
        <v>0</v>
      </c>
      <c r="I966" s="246">
        <f>_xlfn.XLOOKUP(FME_Ranking1[[#This Row],[FME ID]],FME_Input[FME_ID],FME_Input[STRUCT_100])</f>
        <v>539</v>
      </c>
      <c r="J966" s="178">
        <f>(FME_Ranking1[[#This Row],[Structures 100 Raw]]/I$2)*100</f>
        <v>0.28863042453840554</v>
      </c>
      <c r="K966" s="178">
        <f>FME_Ranking1[[#This Row],[Structures 100  Score (Normalized, Unweighted)]]*$I$3</f>
        <v>4.3294563680760831E-2</v>
      </c>
      <c r="L966" s="246">
        <f>_xlfn.XLOOKUP(FME_Ranking1[[#This Row],[FME ID]],FME_Input[FME_ID],FME_Input[RES_STRUCT100])</f>
        <v>439</v>
      </c>
      <c r="M966" s="230">
        <f>(FME_Ranking1[[#This Row],[Res Structures Raw]]/L$2)*100</f>
        <v>0.31094615460894448</v>
      </c>
      <c r="N966" s="180">
        <f>FME_Ranking1[[#This Row],[Res Structures Score (Normalized, Unweighted)]]*$L$3</f>
        <v>3.109461546089445E-2</v>
      </c>
      <c r="O966" s="244">
        <f>_xlfn.XLOOKUP(FME_Ranking1[[#This Row],[FME ID]],FME_Input[FME_ID],FME_Input[POP100])</f>
        <v>1123</v>
      </c>
      <c r="P966" s="178">
        <f>(FME_Ranking1[[#This Row],[Pop Raw]]/$O$2)*100</f>
        <v>0.11496747536338117</v>
      </c>
      <c r="Q966" s="178">
        <f>FME_Ranking1[[#This Row],[Pop Score (Normalized, Unweighted)]]*$O$3</f>
        <v>1.7245121304507175E-2</v>
      </c>
      <c r="R966" s="137">
        <f>_xlfn.XLOOKUP(FME_Ranking1[[#This Row],[FME ID]],FME_Input[FME_ID],FME_Input[CRITFAC100])</f>
        <v>1</v>
      </c>
      <c r="S966" s="230">
        <f>(FME_Ranking1[[#This Row],[Critical Facilities Raw]]/$R$2)*100</f>
        <v>4.2881646655231559E-2</v>
      </c>
      <c r="T966" s="180">
        <f>FME_Ranking1[[#This Row],[Critical Facilities Score (Normalized, Unweighted)]]*$R$3</f>
        <v>8.5763293310463125E-3</v>
      </c>
      <c r="U966">
        <f>_xlfn.XLOOKUP(FME_Ranking1[[#This Row],[FME ID]],FME_Input[FME_ID],FME_Input[LWC])</f>
        <v>0</v>
      </c>
      <c r="V966" s="178">
        <f>(FME_Ranking1[[#This Row],[LWC Raw]]/$U$2)*100</f>
        <v>0</v>
      </c>
      <c r="W966" s="178">
        <f>FME_Ranking1[[#This Row],[LWC Score (Normalized, Unweighted)]]*$U$3</f>
        <v>0</v>
      </c>
      <c r="X966" s="246">
        <f>_xlfn.XLOOKUP(FME_Ranking1[[#This Row],[FME ID]],FME_Input[FME_ID],FME_Input[ROADCLS])</f>
        <v>0</v>
      </c>
      <c r="Y966" s="230">
        <f>(FME_Ranking1[[#This Row],[Closures Raw]]/$X$2)*100</f>
        <v>0</v>
      </c>
      <c r="Z966" s="180">
        <f>FME_Ranking1[[#This Row],[Closures Score (Normalized, Unweighted)]]*$X$3</f>
        <v>0</v>
      </c>
      <c r="AA966" s="253">
        <f>_xlfn.XLOOKUP(FME_Ranking1[[#This Row],[FME ID]],FME_Input[FME_ID],FME_Input[ROAD_MILES100])</f>
        <v>10.48324775695801</v>
      </c>
      <c r="AB966" s="178">
        <f>(FME_Ranking1[[#This Row],[Miles Raw]]/$AA$2)*100</f>
        <v>0.13783590541643834</v>
      </c>
      <c r="AC966" s="178">
        <f>FME_Ranking1[[#This Row],[Miles Score (Normalized, Unweighted)]]*$AA$3</f>
        <v>1.3783590541643834E-2</v>
      </c>
      <c r="AD966" s="255">
        <f>_xlfn.XLOOKUP(FME_Ranking1[[#This Row],[FME ID]],FME_Input[FME_ID],FME_Input[FARMACRE100])</f>
        <v>10.380910873413089</v>
      </c>
      <c r="AE966" s="230">
        <f>(FME_Ranking1[[#This Row],[Ag Land Raw]]/$AD$2)*100</f>
        <v>4.2806229423373118E-4</v>
      </c>
      <c r="AF966" s="231">
        <f>FME_Ranking1[[#This Row],[Ag Land Score (Normalized, Unweighted)]]*$AD$3</f>
        <v>2.1403114711686559E-5</v>
      </c>
      <c r="AG96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0.11401562343356429</v>
      </c>
      <c r="AH966" s="406">
        <f t="shared" ref="AH966:AH1029" si="15">_xlfn.RANK.EQ(AG966,$AG$6:$AG$2341,0)</f>
        <v>1005</v>
      </c>
      <c r="AI96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0.11401562343356429</v>
      </c>
      <c r="AJ966" s="257">
        <f>FME_Ranking1[[#This Row],[Addition check]]-FME_Ranking1[[#This Row],[Weighted Score Based on Normalized Reported Factors]]</f>
        <v>0</v>
      </c>
      <c r="AK966" s="178">
        <f>_xlfn.RANK.EQ(AI966,$AI$6:$AI$2341,0)+COUNTIF($AI$6:AI966,AI966)-1</f>
        <v>1005</v>
      </c>
    </row>
    <row r="967" spans="1:37" x14ac:dyDescent="0.25">
      <c r="A967" t="s">
        <v>8135</v>
      </c>
      <c r="B967">
        <f>_xlfn.XLOOKUP(FME_Ranking1[[#This Row],[FME ID]],FME_Input[FME_ID],FME_Input[RFPG_NUM])</f>
        <v>9</v>
      </c>
      <c r="C967" t="str">
        <f>_xlfn.XLOOKUP(FME_Ranking1[[#This Row],[FME ID]],FME_Input[FME_ID],FME_Input[FME_NAME])</f>
        <v>City of Sterling City DMP</v>
      </c>
      <c r="D967" t="str">
        <f>_xlfn.XLOOKUP(FME_Ranking1[[#This Row],[FME ID]],FME_Input[FME_ID],FME_Input[DESCR])</f>
        <v xml:space="preserve">Create Drainage Master Plan, including evaluation of potential mitigation projects. </v>
      </c>
      <c r="E967" s="256">
        <f>_xlfn.XLOOKUP(FME_Ranking1[[#This Row],[FME ID]],FME_Input[FME_ID],FME_Input[FME_COST])</f>
        <v>250000</v>
      </c>
      <c r="F967" t="str">
        <f>_xlfn.XLOOKUP(FME_Ranking1[[#This Row],[FME ID]],FME_Input[FME_ID],FME_Input[EMER_NEED])</f>
        <v>No</v>
      </c>
      <c r="G967">
        <f>IF(FME_Ranking!F967="Yes",100,0)</f>
        <v>0</v>
      </c>
      <c r="H967">
        <f>FME_Ranking1[[#This Row],[Emergency Need Score (Normalized, Unweighted)]]*$F$3</f>
        <v>0</v>
      </c>
      <c r="I967" s="246">
        <f>_xlfn.XLOOKUP(FME_Ranking1[[#This Row],[FME ID]],FME_Input[FME_ID],FME_Input[STRUCT_100])</f>
        <v>132</v>
      </c>
      <c r="J967" s="178">
        <f>(FME_Ranking1[[#This Row],[Structures 100 Raw]]/I$2)*100</f>
        <v>7.0685001927772786E-2</v>
      </c>
      <c r="K967" s="178">
        <f>FME_Ranking1[[#This Row],[Structures 100  Score (Normalized, Unweighted)]]*$I$3</f>
        <v>1.0602750289165918E-2</v>
      </c>
      <c r="L967" s="246">
        <f>_xlfn.XLOOKUP(FME_Ranking1[[#This Row],[FME ID]],FME_Input[FME_ID],FME_Input[RES_STRUCT100])</f>
        <v>90</v>
      </c>
      <c r="M967" s="230">
        <f>(FME_Ranking1[[#This Row],[Res Structures Raw]]/L$2)*100</f>
        <v>6.374750322279045E-2</v>
      </c>
      <c r="N967" s="180">
        <f>FME_Ranking1[[#This Row],[Res Structures Score (Normalized, Unweighted)]]*$L$3</f>
        <v>6.3747503222790457E-3</v>
      </c>
      <c r="O967" s="244">
        <f>_xlfn.XLOOKUP(FME_Ranking1[[#This Row],[FME ID]],FME_Input[FME_ID],FME_Input[POP100])</f>
        <v>148</v>
      </c>
      <c r="P967" s="178">
        <f>(FME_Ranking1[[#This Row],[Pop Raw]]/$O$2)*100</f>
        <v>1.5151546174336965E-2</v>
      </c>
      <c r="Q967" s="178">
        <f>FME_Ranking1[[#This Row],[Pop Score (Normalized, Unweighted)]]*$O$3</f>
        <v>2.2727319261505448E-3</v>
      </c>
      <c r="R967" s="137">
        <f>_xlfn.XLOOKUP(FME_Ranking1[[#This Row],[FME ID]],FME_Input[FME_ID],FME_Input[CRITFAC100])</f>
        <v>0</v>
      </c>
      <c r="S967" s="230">
        <f>(FME_Ranking1[[#This Row],[Critical Facilities Raw]]/$R$2)*100</f>
        <v>0</v>
      </c>
      <c r="T967" s="180">
        <f>FME_Ranking1[[#This Row],[Critical Facilities Score (Normalized, Unweighted)]]*$R$3</f>
        <v>0</v>
      </c>
      <c r="U967">
        <f>_xlfn.XLOOKUP(FME_Ranking1[[#This Row],[FME ID]],FME_Input[FME_ID],FME_Input[LWC])</f>
        <v>7</v>
      </c>
      <c r="V967" s="178">
        <f>(FME_Ranking1[[#This Row],[LWC Raw]]/$U$2)*100</f>
        <v>0.40299366724237184</v>
      </c>
      <c r="W967" s="178">
        <f>FME_Ranking1[[#This Row],[LWC Score (Normalized, Unweighted)]]*$U$3</f>
        <v>8.0598733448474374E-2</v>
      </c>
      <c r="X967" s="246">
        <f>_xlfn.XLOOKUP(FME_Ranking1[[#This Row],[FME ID]],FME_Input[FME_ID],FME_Input[ROADCLS])</f>
        <v>0</v>
      </c>
      <c r="Y967" s="230">
        <f>(FME_Ranking1[[#This Row],[Closures Raw]]/$X$2)*100</f>
        <v>0</v>
      </c>
      <c r="Z967" s="180">
        <f>FME_Ranking1[[#This Row],[Closures Score (Normalized, Unweighted)]]*$X$3</f>
        <v>0</v>
      </c>
      <c r="AA967" s="253">
        <f>_xlfn.XLOOKUP(FME_Ranking1[[#This Row],[FME ID]],FME_Input[FME_ID],FME_Input[ROAD_MILES100])</f>
        <v>4.9706392288208008</v>
      </c>
      <c r="AB967" s="178">
        <f>(FME_Ranking1[[#This Row],[Miles Raw]]/$AA$2)*100</f>
        <v>6.5354990599000309E-2</v>
      </c>
      <c r="AC967" s="178">
        <f>FME_Ranking1[[#This Row],[Miles Score (Normalized, Unweighted)]]*$AA$3</f>
        <v>6.5354990599000313E-3</v>
      </c>
      <c r="AD967" s="255">
        <f>_xlfn.XLOOKUP(FME_Ranking1[[#This Row],[FME ID]],FME_Input[FME_ID],FME_Input[FARMACRE100])</f>
        <v>20.747634887695309</v>
      </c>
      <c r="AE967" s="230">
        <f>(FME_Ranking1[[#This Row],[Ag Land Raw]]/$AD$2)*100</f>
        <v>8.5553958590443261E-4</v>
      </c>
      <c r="AF967" s="231">
        <f>FME_Ranking1[[#This Row],[Ag Land Score (Normalized, Unweighted)]]*$AD$3</f>
        <v>4.2776979295221634E-5</v>
      </c>
      <c r="AG96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0.10642724202526513</v>
      </c>
      <c r="AH967" s="406">
        <f t="shared" si="15"/>
        <v>1027</v>
      </c>
      <c r="AI96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0.10642724202526513</v>
      </c>
      <c r="AJ967" s="257">
        <f>FME_Ranking1[[#This Row],[Addition check]]-FME_Ranking1[[#This Row],[Weighted Score Based on Normalized Reported Factors]]</f>
        <v>0</v>
      </c>
      <c r="AK967" s="178">
        <f>_xlfn.RANK.EQ(AI967,$AI$6:$AI$2341,0)+COUNTIF($AI$6:AI967,AI967)-1</f>
        <v>1027</v>
      </c>
    </row>
    <row r="968" spans="1:37" x14ac:dyDescent="0.25">
      <c r="A968" t="s">
        <v>7688</v>
      </c>
      <c r="B968">
        <f>_xlfn.XLOOKUP(FME_Ranking1[[#This Row],[FME ID]],FME_Input[FME_ID],FME_Input[RFPG_NUM])</f>
        <v>8</v>
      </c>
      <c r="C968" t="str">
        <f>_xlfn.XLOOKUP(FME_Ranking1[[#This Row],[FME ID]],FME_Input[FME_ID],FME_Input[FME_NAME])</f>
        <v>Tennessee Avenue Crossing</v>
      </c>
      <c r="D968" t="str">
        <f>_xlfn.XLOOKUP(FME_Ranking1[[#This Row],[FME ID]],FME_Input[FME_ID],FME_Input[DESCR])</f>
        <v>A study and detailed design needs to be completed to assess the flooding and design culvert improvements to reduce road overtopping.</v>
      </c>
      <c r="E968" s="256">
        <f>_xlfn.XLOOKUP(FME_Ranking1[[#This Row],[FME ID]],FME_Input[FME_ID],FME_Input[FME_COST])</f>
        <v>50000</v>
      </c>
      <c r="F968" t="str">
        <f>_xlfn.XLOOKUP(FME_Ranking1[[#This Row],[FME ID]],FME_Input[FME_ID],FME_Input[EMER_NEED])</f>
        <v>No</v>
      </c>
      <c r="G968">
        <f>IF(FME_Ranking!F968="Yes",100,0)</f>
        <v>0</v>
      </c>
      <c r="H968">
        <f>FME_Ranking1[[#This Row],[Emergency Need Score (Normalized, Unweighted)]]*$F$3</f>
        <v>0</v>
      </c>
      <c r="I968" s="246">
        <f>_xlfn.XLOOKUP(FME_Ranking1[[#This Row],[FME ID]],FME_Input[FME_ID],FME_Input[STRUCT_100])</f>
        <v>126</v>
      </c>
      <c r="J968" s="178">
        <f>(FME_Ranking1[[#This Row],[Structures 100 Raw]]/I$2)*100</f>
        <v>6.7472047294692208E-2</v>
      </c>
      <c r="K968" s="178">
        <f>FME_Ranking1[[#This Row],[Structures 100  Score (Normalized, Unweighted)]]*$I$3</f>
        <v>1.0120807094203831E-2</v>
      </c>
      <c r="L968" s="246">
        <f>_xlfn.XLOOKUP(FME_Ranking1[[#This Row],[FME ID]],FME_Input[FME_ID],FME_Input[RES_STRUCT100])</f>
        <v>117</v>
      </c>
      <c r="M968" s="230">
        <f>(FME_Ranking1[[#This Row],[Res Structures Raw]]/L$2)*100</f>
        <v>8.2871754189627583E-2</v>
      </c>
      <c r="N968" s="180">
        <f>FME_Ranking1[[#This Row],[Res Structures Score (Normalized, Unweighted)]]*$L$3</f>
        <v>8.2871754189627594E-3</v>
      </c>
      <c r="O968" s="244">
        <f>_xlfn.XLOOKUP(FME_Ranking1[[#This Row],[FME ID]],FME_Input[FME_ID],FME_Input[POP100])</f>
        <v>315</v>
      </c>
      <c r="P968" s="178">
        <f>(FME_Ranking1[[#This Row],[Pop Raw]]/$O$2)*100</f>
        <v>3.224822327646043E-2</v>
      </c>
      <c r="Q968" s="178">
        <f>FME_Ranking1[[#This Row],[Pop Score (Normalized, Unweighted)]]*$O$3</f>
        <v>4.837233491469064E-3</v>
      </c>
      <c r="R968" s="137">
        <f>_xlfn.XLOOKUP(FME_Ranking1[[#This Row],[FME ID]],FME_Input[FME_ID],FME_Input[CRITFAC100])</f>
        <v>0</v>
      </c>
      <c r="S968" s="230">
        <f>(FME_Ranking1[[#This Row],[Critical Facilities Raw]]/$R$2)*100</f>
        <v>0</v>
      </c>
      <c r="T968" s="180">
        <f>FME_Ranking1[[#This Row],[Critical Facilities Score (Normalized, Unweighted)]]*$R$3</f>
        <v>0</v>
      </c>
      <c r="U968">
        <f>_xlfn.XLOOKUP(FME_Ranking1[[#This Row],[FME ID]],FME_Input[FME_ID],FME_Input[LWC])</f>
        <v>5</v>
      </c>
      <c r="V968" s="178">
        <f>(FME_Ranking1[[#This Row],[LWC Raw]]/$U$2)*100</f>
        <v>0.28785261945883706</v>
      </c>
      <c r="W968" s="178">
        <f>FME_Ranking1[[#This Row],[LWC Score (Normalized, Unweighted)]]*$U$3</f>
        <v>5.7570523891767415E-2</v>
      </c>
      <c r="X968" s="246">
        <f>_xlfn.XLOOKUP(FME_Ranking1[[#This Row],[FME ID]],FME_Input[FME_ID],FME_Input[ROADCLS])</f>
        <v>36</v>
      </c>
      <c r="Y968" s="230">
        <f>(FME_Ranking1[[#This Row],[Closures Raw]]/$X$2)*100</f>
        <v>0.37850909473241512</v>
      </c>
      <c r="Z968" s="180">
        <f>FME_Ranking1[[#This Row],[Closures Score (Normalized, Unweighted)]]*$X$3</f>
        <v>1.8925454736620759E-2</v>
      </c>
      <c r="AA968" s="253">
        <f>_xlfn.XLOOKUP(FME_Ranking1[[#This Row],[FME ID]],FME_Input[FME_ID],FME_Input[ROAD_MILES100])</f>
        <v>2.2700901031494141</v>
      </c>
      <c r="AB968" s="178">
        <f>(FME_Ranking1[[#This Row],[Miles Raw]]/$AA$2)*100</f>
        <v>2.9847613258669324E-2</v>
      </c>
      <c r="AC968" s="178">
        <f>FME_Ranking1[[#This Row],[Miles Score (Normalized, Unweighted)]]*$AA$3</f>
        <v>2.9847613258669327E-3</v>
      </c>
      <c r="AD968" s="255">
        <f>_xlfn.XLOOKUP(FME_Ranking1[[#This Row],[FME ID]],FME_Input[FME_ID],FME_Input[FARMACRE100])</f>
        <v>19.98430061340332</v>
      </c>
      <c r="AE968" s="230">
        <f>(FME_Ranking1[[#This Row],[Ag Land Raw]]/$AD$2)*100</f>
        <v>8.2406309750132601E-4</v>
      </c>
      <c r="AF968" s="231">
        <f>FME_Ranking1[[#This Row],[Ag Land Score (Normalized, Unweighted)]]*$AD$3</f>
        <v>4.1203154875066302E-5</v>
      </c>
      <c r="AG96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0.10276715911376581</v>
      </c>
      <c r="AH968" s="406">
        <f t="shared" si="15"/>
        <v>1042</v>
      </c>
      <c r="AI96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0.10276715911376581</v>
      </c>
      <c r="AJ968" s="257">
        <f>FME_Ranking1[[#This Row],[Addition check]]-FME_Ranking1[[#This Row],[Weighted Score Based on Normalized Reported Factors]]</f>
        <v>0</v>
      </c>
      <c r="AK968" s="178">
        <f>_xlfn.RANK.EQ(AI968,$AI$6:$AI$2341,0)+COUNTIF($AI$6:AI968,AI968)-1</f>
        <v>1042</v>
      </c>
    </row>
    <row r="969" spans="1:37" x14ac:dyDescent="0.25">
      <c r="A969" t="s">
        <v>2453</v>
      </c>
      <c r="B969">
        <f>_xlfn.XLOOKUP(FME_Ranking1[[#This Row],[FME ID]],FME_Input[FME_ID],FME_Input[RFPG_NUM])</f>
        <v>1</v>
      </c>
      <c r="C969" t="str">
        <f>_xlfn.XLOOKUP(FME_Ranking1[[#This Row],[FME ID]],FME_Input[FME_ID],FME_Input[FME_NAME])</f>
        <v>Baylor County FIS</v>
      </c>
      <c r="D969" t="str">
        <f>_xlfn.XLOOKUP(FME_Ranking1[[#This Row],[FME ID]],FME_Input[FME_ID],FME_Input[DESCR])</f>
        <v>Perform flood insurance study for the county and develop regulatory mapping</v>
      </c>
      <c r="E969" s="256">
        <f>_xlfn.XLOOKUP(FME_Ranking1[[#This Row],[FME ID]],FME_Input[FME_ID],FME_Input[FME_COST])</f>
        <v>912000</v>
      </c>
      <c r="F969" t="str">
        <f>_xlfn.XLOOKUP(FME_Ranking1[[#This Row],[FME ID]],FME_Input[FME_ID],FME_Input[EMER_NEED])</f>
        <v>No</v>
      </c>
      <c r="G969">
        <f>IF(FME_Ranking!F969="Yes",100,0)</f>
        <v>0</v>
      </c>
      <c r="H969">
        <f>FME_Ranking1[[#This Row],[Emergency Need Score (Normalized, Unweighted)]]*$F$3</f>
        <v>0</v>
      </c>
      <c r="I969" s="246">
        <f>_xlfn.XLOOKUP(FME_Ranking1[[#This Row],[FME ID]],FME_Input[FME_ID],FME_Input[STRUCT_100])</f>
        <v>64</v>
      </c>
      <c r="J969" s="178">
        <f>(FME_Ranking1[[#This Row],[Structures 100 Raw]]/I$2)*100</f>
        <v>3.4271516086192867E-2</v>
      </c>
      <c r="K969" s="178">
        <f>FME_Ranking1[[#This Row],[Structures 100  Score (Normalized, Unweighted)]]*$I$3</f>
        <v>5.1407274129289301E-3</v>
      </c>
      <c r="L969" s="246">
        <f>_xlfn.XLOOKUP(FME_Ranking1[[#This Row],[FME ID]],FME_Input[FME_ID],FME_Input[RES_STRUCT100])</f>
        <v>6</v>
      </c>
      <c r="M969" s="230">
        <f>(FME_Ranking1[[#This Row],[Res Structures Raw]]/L$2)*100</f>
        <v>4.2498335481860293E-3</v>
      </c>
      <c r="N969" s="180">
        <f>FME_Ranking1[[#This Row],[Res Structures Score (Normalized, Unweighted)]]*$L$3</f>
        <v>4.2498335481860297E-4</v>
      </c>
      <c r="O969" s="244">
        <f>_xlfn.XLOOKUP(FME_Ranking1[[#This Row],[FME ID]],FME_Input[FME_ID],FME_Input[POP100])</f>
        <v>21</v>
      </c>
      <c r="P969" s="178">
        <f>(FME_Ranking1[[#This Row],[Pop Raw]]/$O$2)*100</f>
        <v>2.1498815517640288E-3</v>
      </c>
      <c r="Q969" s="178">
        <f>FME_Ranking1[[#This Row],[Pop Score (Normalized, Unweighted)]]*$O$3</f>
        <v>3.2248223276460432E-4</v>
      </c>
      <c r="R969" s="137">
        <f>_xlfn.XLOOKUP(FME_Ranking1[[#This Row],[FME ID]],FME_Input[FME_ID],FME_Input[CRITFAC100])</f>
        <v>0</v>
      </c>
      <c r="S969" s="230">
        <f>(FME_Ranking1[[#This Row],[Critical Facilities Raw]]/$R$2)*100</f>
        <v>0</v>
      </c>
      <c r="T969" s="180">
        <f>FME_Ranking1[[#This Row],[Critical Facilities Score (Normalized, Unweighted)]]*$R$3</f>
        <v>0</v>
      </c>
      <c r="U969">
        <f>_xlfn.XLOOKUP(FME_Ranking1[[#This Row],[FME ID]],FME_Input[FME_ID],FME_Input[LWC])</f>
        <v>0</v>
      </c>
      <c r="V969" s="178">
        <f>(FME_Ranking1[[#This Row],[LWC Raw]]/$U$2)*100</f>
        <v>0</v>
      </c>
      <c r="W969" s="178">
        <f>FME_Ranking1[[#This Row],[LWC Score (Normalized, Unweighted)]]*$U$3</f>
        <v>0</v>
      </c>
      <c r="X969" s="246">
        <f>_xlfn.XLOOKUP(FME_Ranking1[[#This Row],[FME ID]],FME_Input[FME_ID],FME_Input[ROADCLS])</f>
        <v>0</v>
      </c>
      <c r="Y969" s="230">
        <f>(FME_Ranking1[[#This Row],[Closures Raw]]/$X$2)*100</f>
        <v>0</v>
      </c>
      <c r="Z969" s="180">
        <f>FME_Ranking1[[#This Row],[Closures Score (Normalized, Unweighted)]]*$X$3</f>
        <v>0</v>
      </c>
      <c r="AA969" s="253">
        <f>_xlfn.XLOOKUP(FME_Ranking1[[#This Row],[FME ID]],FME_Input[FME_ID],FME_Input[ROAD_MILES100])</f>
        <v>3.869895458221436</v>
      </c>
      <c r="AB969" s="178">
        <f>(FME_Ranking1[[#This Row],[Miles Raw]]/$AA$2)*100</f>
        <v>5.0882184292255737E-2</v>
      </c>
      <c r="AC969" s="178">
        <f>FME_Ranking1[[#This Row],[Miles Score (Normalized, Unweighted)]]*$AA$3</f>
        <v>5.0882184292255737E-3</v>
      </c>
      <c r="AD969" s="255">
        <f>_xlfn.XLOOKUP(FME_Ranking1[[#This Row],[FME ID]],FME_Input[FME_ID],FME_Input[FARMACRE100])</f>
        <v>45083.87109375</v>
      </c>
      <c r="AE969" s="230">
        <f>(FME_Ranking1[[#This Row],[Ag Land Raw]]/$AD$2)*100</f>
        <v>1.8590570257909642</v>
      </c>
      <c r="AF969" s="231">
        <f>FME_Ranking1[[#This Row],[Ag Land Score (Normalized, Unweighted)]]*$AD$3</f>
        <v>9.2952851289548222E-2</v>
      </c>
      <c r="AG96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0.10392926271928593</v>
      </c>
      <c r="AH969" s="406">
        <f t="shared" si="15"/>
        <v>1040</v>
      </c>
      <c r="AI96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0.10392926271928593</v>
      </c>
      <c r="AJ969" s="257">
        <f>FME_Ranking1[[#This Row],[Addition check]]-FME_Ranking1[[#This Row],[Weighted Score Based on Normalized Reported Factors]]</f>
        <v>0</v>
      </c>
      <c r="AK969" s="178">
        <f>_xlfn.RANK.EQ(AI969,$AI$6:$AI$2341,0)+COUNTIF($AI$6:AI969,AI969)-1</f>
        <v>1040</v>
      </c>
    </row>
    <row r="970" spans="1:37" x14ac:dyDescent="0.25">
      <c r="A970" t="s">
        <v>2799</v>
      </c>
      <c r="B970">
        <f>_xlfn.XLOOKUP(FME_Ranking1[[#This Row],[FME ID]],FME_Input[FME_ID],FME_Input[RFPG_NUM])</f>
        <v>1</v>
      </c>
      <c r="C970" t="str">
        <f>_xlfn.XLOOKUP(FME_Ranking1[[#This Row],[FME ID]],FME_Input[FME_ID],FME_Input[FME_NAME])</f>
        <v>Baylor County Drainage Master Plan</v>
      </c>
      <c r="D970" t="str">
        <f>_xlfn.XLOOKUP(FME_Ranking1[[#This Row],[FME ID]],FME_Input[FME_ID],FME_Input[DESCR])</f>
        <v>Perform H&amp;H modeling, develop conceptual alternatives and OPCC, and rank projects; selected based on HMAPs</v>
      </c>
      <c r="E970" s="256">
        <f>_xlfn.XLOOKUP(FME_Ranking1[[#This Row],[FME ID]],FME_Input[FME_ID],FME_Input[FME_COST])</f>
        <v>500000</v>
      </c>
      <c r="F970" t="str">
        <f>_xlfn.XLOOKUP(FME_Ranking1[[#This Row],[FME ID]],FME_Input[FME_ID],FME_Input[EMER_NEED])</f>
        <v>No</v>
      </c>
      <c r="G970">
        <f>IF(FME_Ranking!F970="Yes",100,0)</f>
        <v>0</v>
      </c>
      <c r="H970">
        <f>FME_Ranking1[[#This Row],[Emergency Need Score (Normalized, Unweighted)]]*$F$3</f>
        <v>0</v>
      </c>
      <c r="I970" s="246">
        <f>_xlfn.XLOOKUP(FME_Ranking1[[#This Row],[FME ID]],FME_Input[FME_ID],FME_Input[STRUCT_100])</f>
        <v>64</v>
      </c>
      <c r="J970" s="178">
        <f>(FME_Ranking1[[#This Row],[Structures 100 Raw]]/I$2)*100</f>
        <v>3.4271516086192867E-2</v>
      </c>
      <c r="K970" s="178">
        <f>FME_Ranking1[[#This Row],[Structures 100  Score (Normalized, Unweighted)]]*$I$3</f>
        <v>5.1407274129289301E-3</v>
      </c>
      <c r="L970" s="246">
        <f>_xlfn.XLOOKUP(FME_Ranking1[[#This Row],[FME ID]],FME_Input[FME_ID],FME_Input[RES_STRUCT100])</f>
        <v>6</v>
      </c>
      <c r="M970" s="230">
        <f>(FME_Ranking1[[#This Row],[Res Structures Raw]]/L$2)*100</f>
        <v>4.2498335481860293E-3</v>
      </c>
      <c r="N970" s="180">
        <f>FME_Ranking1[[#This Row],[Res Structures Score (Normalized, Unweighted)]]*$L$3</f>
        <v>4.2498335481860297E-4</v>
      </c>
      <c r="O970" s="244">
        <f>_xlfn.XLOOKUP(FME_Ranking1[[#This Row],[FME ID]],FME_Input[FME_ID],FME_Input[POP100])</f>
        <v>21</v>
      </c>
      <c r="P970" s="178">
        <f>(FME_Ranking1[[#This Row],[Pop Raw]]/$O$2)*100</f>
        <v>2.1498815517640288E-3</v>
      </c>
      <c r="Q970" s="178">
        <f>FME_Ranking1[[#This Row],[Pop Score (Normalized, Unweighted)]]*$O$3</f>
        <v>3.2248223276460432E-4</v>
      </c>
      <c r="R970" s="137">
        <f>_xlfn.XLOOKUP(FME_Ranking1[[#This Row],[FME ID]],FME_Input[FME_ID],FME_Input[CRITFAC100])</f>
        <v>0</v>
      </c>
      <c r="S970" s="230">
        <f>(FME_Ranking1[[#This Row],[Critical Facilities Raw]]/$R$2)*100</f>
        <v>0</v>
      </c>
      <c r="T970" s="180">
        <f>FME_Ranking1[[#This Row],[Critical Facilities Score (Normalized, Unweighted)]]*$R$3</f>
        <v>0</v>
      </c>
      <c r="U970">
        <f>_xlfn.XLOOKUP(FME_Ranking1[[#This Row],[FME ID]],FME_Input[FME_ID],FME_Input[LWC])</f>
        <v>0</v>
      </c>
      <c r="V970" s="178">
        <f>(FME_Ranking1[[#This Row],[LWC Raw]]/$U$2)*100</f>
        <v>0</v>
      </c>
      <c r="W970" s="178">
        <f>FME_Ranking1[[#This Row],[LWC Score (Normalized, Unweighted)]]*$U$3</f>
        <v>0</v>
      </c>
      <c r="X970" s="246">
        <f>_xlfn.XLOOKUP(FME_Ranking1[[#This Row],[FME ID]],FME_Input[FME_ID],FME_Input[ROADCLS])</f>
        <v>0</v>
      </c>
      <c r="Y970" s="230">
        <f>(FME_Ranking1[[#This Row],[Closures Raw]]/$X$2)*100</f>
        <v>0</v>
      </c>
      <c r="Z970" s="180">
        <f>FME_Ranking1[[#This Row],[Closures Score (Normalized, Unweighted)]]*$X$3</f>
        <v>0</v>
      </c>
      <c r="AA970" s="253">
        <f>_xlfn.XLOOKUP(FME_Ranking1[[#This Row],[FME ID]],FME_Input[FME_ID],FME_Input[ROAD_MILES100])</f>
        <v>3.869895458221436</v>
      </c>
      <c r="AB970" s="178">
        <f>(FME_Ranking1[[#This Row],[Miles Raw]]/$AA$2)*100</f>
        <v>5.0882184292255737E-2</v>
      </c>
      <c r="AC970" s="178">
        <f>FME_Ranking1[[#This Row],[Miles Score (Normalized, Unweighted)]]*$AA$3</f>
        <v>5.0882184292255737E-3</v>
      </c>
      <c r="AD970" s="255">
        <f>_xlfn.XLOOKUP(FME_Ranking1[[#This Row],[FME ID]],FME_Input[FME_ID],FME_Input[FARMACRE100])</f>
        <v>45083.87109375</v>
      </c>
      <c r="AE970" s="230">
        <f>(FME_Ranking1[[#This Row],[Ag Land Raw]]/$AD$2)*100</f>
        <v>1.8590570257909642</v>
      </c>
      <c r="AF970" s="231">
        <f>FME_Ranking1[[#This Row],[Ag Land Score (Normalized, Unweighted)]]*$AD$3</f>
        <v>9.2952851289548222E-2</v>
      </c>
      <c r="AG97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0.10392926271928593</v>
      </c>
      <c r="AH970" s="406">
        <f t="shared" si="15"/>
        <v>1040</v>
      </c>
      <c r="AI97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0.10392926271928593</v>
      </c>
      <c r="AJ970" s="257">
        <f>FME_Ranking1[[#This Row],[Addition check]]-FME_Ranking1[[#This Row],[Weighted Score Based on Normalized Reported Factors]]</f>
        <v>0</v>
      </c>
      <c r="AK970" s="178">
        <f>_xlfn.RANK.EQ(AI970,$AI$6:$AI$2341,0)+COUNTIF($AI$6:AI970,AI970)-1</f>
        <v>1041</v>
      </c>
    </row>
    <row r="971" spans="1:37" x14ac:dyDescent="0.25">
      <c r="A971" t="s">
        <v>10870</v>
      </c>
      <c r="B971">
        <f>_xlfn.XLOOKUP(FME_Ranking1[[#This Row],[FME ID]],FME_Input[FME_ID],FME_Input[RFPG_NUM])</f>
        <v>14</v>
      </c>
      <c r="C971" t="str">
        <f>_xlfn.XLOOKUP(FME_Ranking1[[#This Row],[FME ID]],FME_Input[FME_ID],FME_Input[FME_NAME])</f>
        <v>Develop H&amp;H Models for Cibolo Creek and arroyos through the City of Presidio, and develop an FMP for flood reduction of buildings and emergency access roadways.</v>
      </c>
      <c r="D971" t="str">
        <f>_xlfn.XLOOKUP(FME_Ranking1[[#This Row],[FME ID]],FME_Input[FME_ID],FME_Input[DESCR])</f>
        <v>Develop H&amp;H models for Cibolo Creek and the City of Presidio arroyos to evaluate flood risk. Develop FMPs, an interior drainage analysis for east Cibolo Creek levee, and a coincident storm analysis for Cibolo Creek, the Rio Conchos, and the Rio Grande.</v>
      </c>
      <c r="E971" s="256">
        <f>_xlfn.XLOOKUP(FME_Ranking1[[#This Row],[FME ID]],FME_Input[FME_ID],FME_Input[FME_COST])</f>
        <v>183000</v>
      </c>
      <c r="F971" t="str">
        <f>_xlfn.XLOOKUP(FME_Ranking1[[#This Row],[FME ID]],FME_Input[FME_ID],FME_Input[EMER_NEED])</f>
        <v>No</v>
      </c>
      <c r="G971">
        <f>IF(FME_Ranking!F971="Yes",100,0)</f>
        <v>0</v>
      </c>
      <c r="H971">
        <f>FME_Ranking1[[#This Row],[Emergency Need Score (Normalized, Unweighted)]]*$F$3</f>
        <v>0</v>
      </c>
      <c r="I971" s="246">
        <f>_xlfn.XLOOKUP(FME_Ranking1[[#This Row],[FME ID]],FME_Input[FME_ID],FME_Input[STRUCT_100])</f>
        <v>760</v>
      </c>
      <c r="J971" s="178">
        <f>(FME_Ranking1[[#This Row],[Structures 100 Raw]]/I$2)*100</f>
        <v>0.40697425352354022</v>
      </c>
      <c r="K971" s="178">
        <f>FME_Ranking1[[#This Row],[Structures 100  Score (Normalized, Unweighted)]]*$I$3</f>
        <v>6.1046138028531031E-2</v>
      </c>
      <c r="L971" s="246">
        <f>_xlfn.XLOOKUP(FME_Ranking1[[#This Row],[FME ID]],FME_Input[FME_ID],FME_Input[RES_STRUCT100])</f>
        <v>479</v>
      </c>
      <c r="M971" s="230">
        <f>(FME_Ranking1[[#This Row],[Res Structures Raw]]/L$2)*100</f>
        <v>0.33927837826351803</v>
      </c>
      <c r="N971" s="180">
        <f>FME_Ranking1[[#This Row],[Res Structures Score (Normalized, Unweighted)]]*$L$3</f>
        <v>3.3927837826351802E-2</v>
      </c>
      <c r="O971" s="244">
        <f>_xlfn.XLOOKUP(FME_Ranking1[[#This Row],[FME ID]],FME_Input[FME_ID],FME_Input[POP100])</f>
        <v>187</v>
      </c>
      <c r="P971" s="178">
        <f>(FME_Ranking1[[#This Row],[Pop Raw]]/$O$2)*100</f>
        <v>1.9144183341898734E-2</v>
      </c>
      <c r="Q971" s="178">
        <f>FME_Ranking1[[#This Row],[Pop Score (Normalized, Unweighted)]]*$O$3</f>
        <v>2.87162750128481E-3</v>
      </c>
      <c r="R971" s="137">
        <f>_xlfn.XLOOKUP(FME_Ranking1[[#This Row],[FME ID]],FME_Input[FME_ID],FME_Input[CRITFAC100])</f>
        <v>0</v>
      </c>
      <c r="S971" s="230">
        <f>(FME_Ranking1[[#This Row],[Critical Facilities Raw]]/$R$2)*100</f>
        <v>0</v>
      </c>
      <c r="T971" s="180">
        <f>FME_Ranking1[[#This Row],[Critical Facilities Score (Normalized, Unweighted)]]*$R$3</f>
        <v>0</v>
      </c>
      <c r="U971">
        <f>_xlfn.XLOOKUP(FME_Ranking1[[#This Row],[FME ID]],FME_Input[FME_ID],FME_Input[LWC])</f>
        <v>0</v>
      </c>
      <c r="V971" s="178">
        <f>(FME_Ranking1[[#This Row],[LWC Raw]]/$U$2)*100</f>
        <v>0</v>
      </c>
      <c r="W971" s="178">
        <f>FME_Ranking1[[#This Row],[LWC Score (Normalized, Unweighted)]]*$U$3</f>
        <v>0</v>
      </c>
      <c r="X971" s="246">
        <f>_xlfn.XLOOKUP(FME_Ranking1[[#This Row],[FME ID]],FME_Input[FME_ID],FME_Input[ROADCLS])</f>
        <v>0</v>
      </c>
      <c r="Y971" s="230">
        <f>(FME_Ranking1[[#This Row],[Closures Raw]]/$X$2)*100</f>
        <v>0</v>
      </c>
      <c r="Z971" s="180">
        <f>FME_Ranking1[[#This Row],[Closures Score (Normalized, Unweighted)]]*$X$3</f>
        <v>0</v>
      </c>
      <c r="AA971" s="253">
        <f>_xlfn.XLOOKUP(FME_Ranking1[[#This Row],[FME ID]],FME_Input[FME_ID],FME_Input[ROAD_MILES100])</f>
        <v>16.26609992980957</v>
      </c>
      <c r="AB971" s="178">
        <f>(FME_Ranking1[[#This Row],[Miles Raw]]/$AA$2)*100</f>
        <v>0.21387003945713828</v>
      </c>
      <c r="AC971" s="178">
        <f>FME_Ranking1[[#This Row],[Miles Score (Normalized, Unweighted)]]*$AA$3</f>
        <v>2.1387003945713828E-2</v>
      </c>
      <c r="AD971" s="255">
        <f>_xlfn.XLOOKUP(FME_Ranking1[[#This Row],[FME ID]],FME_Input[FME_ID],FME_Input[FARMACRE100])</f>
        <v>412.2130126953125</v>
      </c>
      <c r="AE971" s="230">
        <f>(FME_Ranking1[[#This Row],[Ag Land Raw]]/$AD$2)*100</f>
        <v>1.699781937048252E-2</v>
      </c>
      <c r="AF971" s="231">
        <f>FME_Ranking1[[#This Row],[Ag Land Score (Normalized, Unweighted)]]*$AD$3</f>
        <v>8.4989096852412609E-4</v>
      </c>
      <c r="AG97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0.1200824982704056</v>
      </c>
      <c r="AH971" s="406">
        <f t="shared" si="15"/>
        <v>974</v>
      </c>
      <c r="AI97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0.1200824982704056</v>
      </c>
      <c r="AJ971" s="257">
        <f>FME_Ranking1[[#This Row],[Addition check]]-FME_Ranking1[[#This Row],[Weighted Score Based on Normalized Reported Factors]]</f>
        <v>0</v>
      </c>
      <c r="AK971" s="178">
        <f>_xlfn.RANK.EQ(AI971,$AI$6:$AI$2341,0)+COUNTIF($AI$6:AI971,AI971)-1</f>
        <v>974</v>
      </c>
    </row>
    <row r="972" spans="1:37" x14ac:dyDescent="0.25">
      <c r="A972" t="s">
        <v>1695</v>
      </c>
      <c r="B972">
        <f>_xlfn.XLOOKUP(FME_Ranking1[[#This Row],[FME ID]],FME_Input[FME_ID],FME_Input[RFPG_NUM])</f>
        <v>6</v>
      </c>
      <c r="C972" t="str">
        <f>_xlfn.XLOOKUP(FME_Ranking1[[#This Row],[FME ID]],FME_Input[FME_ID],FME_Input[FME_NAME])</f>
        <v>City of Panorama Village  Master Drainage Plan</v>
      </c>
      <c r="D972" t="str">
        <f>_xlfn.XLOOKUP(FME_Ranking1[[#This Row],[FME ID]],FME_Input[FME_ID],FME_Input[DESCR])</f>
        <v>Study to develop Master Drainage Plan using future and existing land use and flood/storm water drainage needs including Atlas 14 rainfall.</v>
      </c>
      <c r="E972" s="256">
        <f>_xlfn.XLOOKUP(FME_Ranking1[[#This Row],[FME ID]],FME_Input[FME_ID],FME_Input[FME_COST])</f>
        <v>160000</v>
      </c>
      <c r="F972" t="str">
        <f>_xlfn.XLOOKUP(FME_Ranking1[[#This Row],[FME ID]],FME_Input[FME_ID],FME_Input[EMER_NEED])</f>
        <v>No</v>
      </c>
      <c r="G972">
        <f>IF(FME_Ranking!F972="Yes",100,0)</f>
        <v>0</v>
      </c>
      <c r="H972">
        <f>FME_Ranking1[[#This Row],[Emergency Need Score (Normalized, Unweighted)]]*$F$3</f>
        <v>0</v>
      </c>
      <c r="I972" s="246">
        <f>_xlfn.XLOOKUP(FME_Ranking1[[#This Row],[FME ID]],FME_Input[FME_ID],FME_Input[STRUCT_100])</f>
        <v>77</v>
      </c>
      <c r="J972" s="178">
        <f>(FME_Ranking1[[#This Row],[Structures 100 Raw]]/I$2)*100</f>
        <v>4.1232917791200786E-2</v>
      </c>
      <c r="K972" s="178">
        <f>FME_Ranking1[[#This Row],[Structures 100  Score (Normalized, Unweighted)]]*$I$3</f>
        <v>6.1849376686801179E-3</v>
      </c>
      <c r="L972" s="246">
        <f>_xlfn.XLOOKUP(FME_Ranking1[[#This Row],[FME ID]],FME_Input[FME_ID],FME_Input[RES_STRUCT100])</f>
        <v>65</v>
      </c>
      <c r="M972" s="230">
        <f>(FME_Ranking1[[#This Row],[Res Structures Raw]]/L$2)*100</f>
        <v>4.6039863438681987E-2</v>
      </c>
      <c r="N972" s="180">
        <f>FME_Ranking1[[#This Row],[Res Structures Score (Normalized, Unweighted)]]*$L$3</f>
        <v>4.6039863438681987E-3</v>
      </c>
      <c r="O972" s="244">
        <f>_xlfn.XLOOKUP(FME_Ranking1[[#This Row],[FME ID]],FME_Input[FME_ID],FME_Input[POP100])</f>
        <v>136</v>
      </c>
      <c r="P972" s="178">
        <f>(FME_Ranking1[[#This Row],[Pop Raw]]/$O$2)*100</f>
        <v>1.3923042430471808E-2</v>
      </c>
      <c r="Q972" s="178">
        <f>FME_Ranking1[[#This Row],[Pop Score (Normalized, Unweighted)]]*$O$3</f>
        <v>2.088456364570771E-3</v>
      </c>
      <c r="R972" s="137">
        <f>_xlfn.XLOOKUP(FME_Ranking1[[#This Row],[FME ID]],FME_Input[FME_ID],FME_Input[CRITFAC100])</f>
        <v>10</v>
      </c>
      <c r="S972" s="230">
        <f>(FME_Ranking1[[#This Row],[Critical Facilities Raw]]/$R$2)*100</f>
        <v>0.42881646655231564</v>
      </c>
      <c r="T972" s="180">
        <f>FME_Ranking1[[#This Row],[Critical Facilities Score (Normalized, Unweighted)]]*$R$3</f>
        <v>8.5763293310463132E-2</v>
      </c>
      <c r="U972">
        <f>_xlfn.XLOOKUP(FME_Ranking1[[#This Row],[FME ID]],FME_Input[FME_ID],FME_Input[LWC])</f>
        <v>0</v>
      </c>
      <c r="V972" s="178">
        <f>(FME_Ranking1[[#This Row],[LWC Raw]]/$U$2)*100</f>
        <v>0</v>
      </c>
      <c r="W972" s="178">
        <f>FME_Ranking1[[#This Row],[LWC Score (Normalized, Unweighted)]]*$U$3</f>
        <v>0</v>
      </c>
      <c r="X972" s="246">
        <f>_xlfn.XLOOKUP(FME_Ranking1[[#This Row],[FME ID]],FME_Input[FME_ID],FME_Input[ROADCLS])</f>
        <v>0</v>
      </c>
      <c r="Y972" s="230">
        <f>(FME_Ranking1[[#This Row],[Closures Raw]]/$X$2)*100</f>
        <v>0</v>
      </c>
      <c r="Z972" s="180">
        <f>FME_Ranking1[[#This Row],[Closures Score (Normalized, Unweighted)]]*$X$3</f>
        <v>0</v>
      </c>
      <c r="AA972" s="253">
        <f>_xlfn.XLOOKUP(FME_Ranking1[[#This Row],[FME ID]],FME_Input[FME_ID],FME_Input[ROAD_MILES100])</f>
        <v>0.65565723180770874</v>
      </c>
      <c r="AB972" s="178">
        <f>(FME_Ranking1[[#This Row],[Miles Raw]]/$AA$2)*100</f>
        <v>8.6207166218186613E-3</v>
      </c>
      <c r="AC972" s="178">
        <f>FME_Ranking1[[#This Row],[Miles Score (Normalized, Unweighted)]]*$AA$3</f>
        <v>8.6207166218186615E-4</v>
      </c>
      <c r="AD972" s="255">
        <f>_xlfn.XLOOKUP(FME_Ranking1[[#This Row],[FME ID]],FME_Input[FME_ID],FME_Input[FARMACRE100])</f>
        <v>0.22150072455406189</v>
      </c>
      <c r="AE972" s="230">
        <f>(FME_Ranking1[[#This Row],[Ag Land Raw]]/$AD$2)*100</f>
        <v>9.1336983317988311E-6</v>
      </c>
      <c r="AF972" s="231">
        <f>FME_Ranking1[[#This Row],[Ag Land Score (Normalized, Unweighted)]]*$AD$3</f>
        <v>4.5668491658994159E-7</v>
      </c>
      <c r="AG97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9.9503202034680688E-2</v>
      </c>
      <c r="AH972" s="406">
        <f t="shared" si="15"/>
        <v>1050</v>
      </c>
      <c r="AI97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9.9503202034680688E-2</v>
      </c>
      <c r="AJ972" s="257">
        <f>FME_Ranking1[[#This Row],[Addition check]]-FME_Ranking1[[#This Row],[Weighted Score Based on Normalized Reported Factors]]</f>
        <v>0</v>
      </c>
      <c r="AK972" s="178">
        <f>_xlfn.RANK.EQ(AI972,$AI$6:$AI$2341,0)+COUNTIF($AI$6:AI972,AI972)-1</f>
        <v>1050</v>
      </c>
    </row>
    <row r="973" spans="1:37" x14ac:dyDescent="0.25">
      <c r="A973" t="s">
        <v>8708</v>
      </c>
      <c r="B973">
        <f>_xlfn.XLOOKUP(FME_Ranking1[[#This Row],[FME ID]],FME_Input[FME_ID],FME_Input[RFPG_NUM])</f>
        <v>11</v>
      </c>
      <c r="C973" t="str">
        <f>_xlfn.XLOOKUP(FME_Ranking1[[#This Row],[FME ID]],FME_Input[FME_ID],FME_Input[FME_NAME])</f>
        <v>City of Lockhart Drainage Improvements Study</v>
      </c>
      <c r="D973" t="str">
        <f>_xlfn.XLOOKUP(FME_Ranking1[[#This Row],[FME ID]],FME_Input[FME_ID],FME_Input[DESCR])</f>
        <v xml:space="preserve">Study to identify Capital Improvements to Municipal Drainage System and study solutions to upgrade system to improve drainage capacity and reduce flood damages. </v>
      </c>
      <c r="E973" s="256">
        <f>_xlfn.XLOOKUP(FME_Ranking1[[#This Row],[FME ID]],FME_Input[FME_ID],FME_Input[FME_COST])</f>
        <v>2400000</v>
      </c>
      <c r="F973" t="str">
        <f>_xlfn.XLOOKUP(FME_Ranking1[[#This Row],[FME ID]],FME_Input[FME_ID],FME_Input[EMER_NEED])</f>
        <v>No</v>
      </c>
      <c r="G973">
        <f>IF(FME_Ranking!F973="Yes",100,0)</f>
        <v>0</v>
      </c>
      <c r="H973">
        <f>FME_Ranking1[[#This Row],[Emergency Need Score (Normalized, Unweighted)]]*$F$3</f>
        <v>0</v>
      </c>
      <c r="I973" s="246">
        <f>_xlfn.XLOOKUP(FME_Ranking1[[#This Row],[FME ID]],FME_Input[FME_ID],FME_Input[STRUCT_100])</f>
        <v>62</v>
      </c>
      <c r="J973" s="178">
        <f>(FME_Ranking1[[#This Row],[Structures 100 Raw]]/I$2)*100</f>
        <v>3.3200531208499334E-2</v>
      </c>
      <c r="K973" s="178">
        <f>FME_Ranking1[[#This Row],[Structures 100  Score (Normalized, Unweighted)]]*$I$3</f>
        <v>4.9800796812749003E-3</v>
      </c>
      <c r="L973" s="246">
        <f>_xlfn.XLOOKUP(FME_Ranking1[[#This Row],[FME ID]],FME_Input[FME_ID],FME_Input[RES_STRUCT100])</f>
        <v>43</v>
      </c>
      <c r="M973" s="230">
        <f>(FME_Ranking1[[#This Row],[Res Structures Raw]]/L$2)*100</f>
        <v>3.0457140428666547E-2</v>
      </c>
      <c r="N973" s="180">
        <f>FME_Ranking1[[#This Row],[Res Structures Score (Normalized, Unweighted)]]*$L$3</f>
        <v>3.0457140428666548E-3</v>
      </c>
      <c r="O973" s="244">
        <f>_xlfn.XLOOKUP(FME_Ranking1[[#This Row],[FME ID]],FME_Input[FME_ID],FME_Input[POP100])</f>
        <v>187</v>
      </c>
      <c r="P973" s="178">
        <f>(FME_Ranking1[[#This Row],[Pop Raw]]/$O$2)*100</f>
        <v>1.9144183341898734E-2</v>
      </c>
      <c r="Q973" s="178">
        <f>FME_Ranking1[[#This Row],[Pop Score (Normalized, Unweighted)]]*$O$3</f>
        <v>2.87162750128481E-3</v>
      </c>
      <c r="R973" s="137">
        <f>_xlfn.XLOOKUP(FME_Ranking1[[#This Row],[FME ID]],FME_Input[FME_ID],FME_Input[CRITFAC100])</f>
        <v>2</v>
      </c>
      <c r="S973" s="230">
        <f>(FME_Ranking1[[#This Row],[Critical Facilities Raw]]/$R$2)*100</f>
        <v>8.5763293310463118E-2</v>
      </c>
      <c r="T973" s="180">
        <f>FME_Ranking1[[#This Row],[Critical Facilities Score (Normalized, Unweighted)]]*$R$3</f>
        <v>1.7152658662092625E-2</v>
      </c>
      <c r="U973">
        <f>_xlfn.XLOOKUP(FME_Ranking1[[#This Row],[FME ID]],FME_Input[FME_ID],FME_Input[LWC])</f>
        <v>6</v>
      </c>
      <c r="V973" s="178">
        <f>(FME_Ranking1[[#This Row],[LWC Raw]]/$U$2)*100</f>
        <v>0.34542314335060448</v>
      </c>
      <c r="W973" s="178">
        <f>FME_Ranking1[[#This Row],[LWC Score (Normalized, Unweighted)]]*$U$3</f>
        <v>6.9084628670120898E-2</v>
      </c>
      <c r="X973" s="246">
        <f>_xlfn.XLOOKUP(FME_Ranking1[[#This Row],[FME ID]],FME_Input[FME_ID],FME_Input[ROADCLS])</f>
        <v>0</v>
      </c>
      <c r="Y973" s="230">
        <f>(FME_Ranking1[[#This Row],[Closures Raw]]/$X$2)*100</f>
        <v>0</v>
      </c>
      <c r="Z973" s="180">
        <f>FME_Ranking1[[#This Row],[Closures Score (Normalized, Unweighted)]]*$X$3</f>
        <v>0</v>
      </c>
      <c r="AA973" s="253">
        <f>_xlfn.XLOOKUP(FME_Ranking1[[#This Row],[FME ID]],FME_Input[FME_ID],FME_Input[ROAD_MILES100])</f>
        <v>5.8657941818237296</v>
      </c>
      <c r="AB973" s="178">
        <f>(FME_Ranking1[[#This Row],[Miles Raw]]/$AA$2)*100</f>
        <v>7.7124672695207036E-2</v>
      </c>
      <c r="AC973" s="178">
        <f>FME_Ranking1[[#This Row],[Miles Score (Normalized, Unweighted)]]*$AA$3</f>
        <v>7.7124672695207041E-3</v>
      </c>
      <c r="AD973" s="255">
        <f>_xlfn.XLOOKUP(FME_Ranking1[[#This Row],[FME ID]],FME_Input[FME_ID],FME_Input[FARMACRE100])</f>
        <v>344.0650634765625</v>
      </c>
      <c r="AE973" s="230">
        <f>(FME_Ranking1[[#This Row],[Ag Land Raw]]/$AD$2)*100</f>
        <v>1.4187703009247377E-2</v>
      </c>
      <c r="AF973" s="231">
        <f>FME_Ranking1[[#This Row],[Ag Land Score (Normalized, Unweighted)]]*$AD$3</f>
        <v>7.0938515046236889E-4</v>
      </c>
      <c r="AG97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0.10555656097762296</v>
      </c>
      <c r="AH973" s="406">
        <f t="shared" si="15"/>
        <v>1028</v>
      </c>
      <c r="AI97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0.10555656097762296</v>
      </c>
      <c r="AJ973" s="257">
        <f>FME_Ranking1[[#This Row],[Addition check]]-FME_Ranking1[[#This Row],[Weighted Score Based on Normalized Reported Factors]]</f>
        <v>0</v>
      </c>
      <c r="AK973" s="178">
        <f>_xlfn.RANK.EQ(AI973,$AI$6:$AI$2341,0)+COUNTIF($AI$6:AI973,AI973)-1</f>
        <v>1028</v>
      </c>
    </row>
    <row r="974" spans="1:37" x14ac:dyDescent="0.25">
      <c r="A974" t="s">
        <v>8714</v>
      </c>
      <c r="B974">
        <f>_xlfn.XLOOKUP(FME_Ranking1[[#This Row],[FME ID]],FME_Input[FME_ID],FME_Input[RFPG_NUM])</f>
        <v>11</v>
      </c>
      <c r="C974" t="str">
        <f>_xlfn.XLOOKUP(FME_Ranking1[[#This Row],[FME ID]],FME_Input[FME_ID],FME_Input[FME_NAME])</f>
        <v>City of Lockhart USACE Study</v>
      </c>
      <c r="D974" t="str">
        <f>_xlfn.XLOOKUP(FME_Ranking1[[#This Row],[FME ID]],FME_Input[FME_ID],FME_Input[DESCR])</f>
        <v>Undertake a comprehensive study of flood risk and reduction alternatives with USACE, covering all incorporated and unincorporated areas of the city that currently have limited studies with no determined base flood elevations as well as unmapped areas.</v>
      </c>
      <c r="E974" s="256">
        <f>_xlfn.XLOOKUP(FME_Ranking1[[#This Row],[FME ID]],FME_Input[FME_ID],FME_Input[FME_COST])</f>
        <v>360000</v>
      </c>
      <c r="F974" t="str">
        <f>_xlfn.XLOOKUP(FME_Ranking1[[#This Row],[FME ID]],FME_Input[FME_ID],FME_Input[EMER_NEED])</f>
        <v>No</v>
      </c>
      <c r="G974">
        <f>IF(FME_Ranking!F974="Yes",100,0)</f>
        <v>0</v>
      </c>
      <c r="H974">
        <f>FME_Ranking1[[#This Row],[Emergency Need Score (Normalized, Unweighted)]]*$F$3</f>
        <v>0</v>
      </c>
      <c r="I974" s="246">
        <f>_xlfn.XLOOKUP(FME_Ranking1[[#This Row],[FME ID]],FME_Input[FME_ID],FME_Input[STRUCT_100])</f>
        <v>62</v>
      </c>
      <c r="J974" s="178">
        <f>(FME_Ranking1[[#This Row],[Structures 100 Raw]]/I$2)*100</f>
        <v>3.3200531208499334E-2</v>
      </c>
      <c r="K974" s="178">
        <f>FME_Ranking1[[#This Row],[Structures 100  Score (Normalized, Unweighted)]]*$I$3</f>
        <v>4.9800796812749003E-3</v>
      </c>
      <c r="L974" s="246">
        <f>_xlfn.XLOOKUP(FME_Ranking1[[#This Row],[FME ID]],FME_Input[FME_ID],FME_Input[RES_STRUCT100])</f>
        <v>43</v>
      </c>
      <c r="M974" s="230">
        <f>(FME_Ranking1[[#This Row],[Res Structures Raw]]/L$2)*100</f>
        <v>3.0457140428666547E-2</v>
      </c>
      <c r="N974" s="180">
        <f>FME_Ranking1[[#This Row],[Res Structures Score (Normalized, Unweighted)]]*$L$3</f>
        <v>3.0457140428666548E-3</v>
      </c>
      <c r="O974" s="244">
        <f>_xlfn.XLOOKUP(FME_Ranking1[[#This Row],[FME ID]],FME_Input[FME_ID],FME_Input[POP100])</f>
        <v>187</v>
      </c>
      <c r="P974" s="178">
        <f>(FME_Ranking1[[#This Row],[Pop Raw]]/$O$2)*100</f>
        <v>1.9144183341898734E-2</v>
      </c>
      <c r="Q974" s="178">
        <f>FME_Ranking1[[#This Row],[Pop Score (Normalized, Unweighted)]]*$O$3</f>
        <v>2.87162750128481E-3</v>
      </c>
      <c r="R974" s="137">
        <f>_xlfn.XLOOKUP(FME_Ranking1[[#This Row],[FME ID]],FME_Input[FME_ID],FME_Input[CRITFAC100])</f>
        <v>2</v>
      </c>
      <c r="S974" s="230">
        <f>(FME_Ranking1[[#This Row],[Critical Facilities Raw]]/$R$2)*100</f>
        <v>8.5763293310463118E-2</v>
      </c>
      <c r="T974" s="180">
        <f>FME_Ranking1[[#This Row],[Critical Facilities Score (Normalized, Unweighted)]]*$R$3</f>
        <v>1.7152658662092625E-2</v>
      </c>
      <c r="U974">
        <f>_xlfn.XLOOKUP(FME_Ranking1[[#This Row],[FME ID]],FME_Input[FME_ID],FME_Input[LWC])</f>
        <v>6</v>
      </c>
      <c r="V974" s="178">
        <f>(FME_Ranking1[[#This Row],[LWC Raw]]/$U$2)*100</f>
        <v>0.34542314335060448</v>
      </c>
      <c r="W974" s="178">
        <f>FME_Ranking1[[#This Row],[LWC Score (Normalized, Unweighted)]]*$U$3</f>
        <v>6.9084628670120898E-2</v>
      </c>
      <c r="X974" s="246">
        <f>_xlfn.XLOOKUP(FME_Ranking1[[#This Row],[FME ID]],FME_Input[FME_ID],FME_Input[ROADCLS])</f>
        <v>0</v>
      </c>
      <c r="Y974" s="230">
        <f>(FME_Ranking1[[#This Row],[Closures Raw]]/$X$2)*100</f>
        <v>0</v>
      </c>
      <c r="Z974" s="180">
        <f>FME_Ranking1[[#This Row],[Closures Score (Normalized, Unweighted)]]*$X$3</f>
        <v>0</v>
      </c>
      <c r="AA974" s="253">
        <f>_xlfn.XLOOKUP(FME_Ranking1[[#This Row],[FME ID]],FME_Input[FME_ID],FME_Input[ROAD_MILES100])</f>
        <v>5.8657941818237296</v>
      </c>
      <c r="AB974" s="178">
        <f>(FME_Ranking1[[#This Row],[Miles Raw]]/$AA$2)*100</f>
        <v>7.7124672695207036E-2</v>
      </c>
      <c r="AC974" s="178">
        <f>FME_Ranking1[[#This Row],[Miles Score (Normalized, Unweighted)]]*$AA$3</f>
        <v>7.7124672695207041E-3</v>
      </c>
      <c r="AD974" s="255">
        <f>_xlfn.XLOOKUP(FME_Ranking1[[#This Row],[FME ID]],FME_Input[FME_ID],FME_Input[FARMACRE100])</f>
        <v>344.0650634765625</v>
      </c>
      <c r="AE974" s="230">
        <f>(FME_Ranking1[[#This Row],[Ag Land Raw]]/$AD$2)*100</f>
        <v>1.4187703009247377E-2</v>
      </c>
      <c r="AF974" s="231">
        <f>FME_Ranking1[[#This Row],[Ag Land Score (Normalized, Unweighted)]]*$AD$3</f>
        <v>7.0938515046236889E-4</v>
      </c>
      <c r="AG97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0.10555656097762296</v>
      </c>
      <c r="AH974" s="406">
        <f t="shared" si="15"/>
        <v>1028</v>
      </c>
      <c r="AI97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0.10555656097762296</v>
      </c>
      <c r="AJ974" s="257">
        <f>FME_Ranking1[[#This Row],[Addition check]]-FME_Ranking1[[#This Row],[Weighted Score Based on Normalized Reported Factors]]</f>
        <v>0</v>
      </c>
      <c r="AK974" s="178">
        <f>_xlfn.RANK.EQ(AI974,$AI$6:$AI$2341,0)+COUNTIF($AI$6:AI974,AI974)-1</f>
        <v>1029</v>
      </c>
    </row>
    <row r="975" spans="1:37" x14ac:dyDescent="0.25">
      <c r="A975" t="s">
        <v>4166</v>
      </c>
      <c r="B975">
        <f>_xlfn.XLOOKUP(FME_Ranking1[[#This Row],[FME ID]],FME_Input[FME_ID],FME_Input[RFPG_NUM])</f>
        <v>3</v>
      </c>
      <c r="C975" t="str">
        <f>_xlfn.XLOOKUP(FME_Ranking1[[#This Row],[FME ID]],FME_Input[FME_ID],FME_Input[FME_NAME])</f>
        <v>City of Colleyville DMP</v>
      </c>
      <c r="D975" t="str">
        <f>_xlfn.XLOOKUP(FME_Ranking1[[#This Row],[FME ID]],FME_Input[FME_ID],FME_Input[DESCR])</f>
        <v>Evaluate City and identify future projects.</v>
      </c>
      <c r="E975" s="256">
        <f>_xlfn.XLOOKUP(FME_Ranking1[[#This Row],[FME ID]],FME_Input[FME_ID],FME_Input[FME_COST])</f>
        <v>500000</v>
      </c>
      <c r="F975" t="str">
        <f>_xlfn.XLOOKUP(FME_Ranking1[[#This Row],[FME ID]],FME_Input[FME_ID],FME_Input[EMER_NEED])</f>
        <v>No</v>
      </c>
      <c r="G975">
        <f>IF(FME_Ranking!F975="Yes",100,0)</f>
        <v>0</v>
      </c>
      <c r="H975">
        <f>FME_Ranking1[[#This Row],[Emergency Need Score (Normalized, Unweighted)]]*$F$3</f>
        <v>0</v>
      </c>
      <c r="I975" s="246">
        <f>_xlfn.XLOOKUP(FME_Ranking1[[#This Row],[FME ID]],FME_Input[FME_ID],FME_Input[STRUCT_100])</f>
        <v>156</v>
      </c>
      <c r="J975" s="178">
        <f>(FME_Ranking1[[#This Row],[Structures 100 Raw]]/I$2)*100</f>
        <v>8.3536820460095099E-2</v>
      </c>
      <c r="K975" s="178">
        <f>FME_Ranking1[[#This Row],[Structures 100  Score (Normalized, Unweighted)]]*$I$3</f>
        <v>1.2530523069014265E-2</v>
      </c>
      <c r="L975" s="246">
        <f>_xlfn.XLOOKUP(FME_Ranking1[[#This Row],[FME ID]],FME_Input[FME_ID],FME_Input[RES_STRUCT100])</f>
        <v>148</v>
      </c>
      <c r="M975" s="230">
        <f>(FME_Ranking1[[#This Row],[Res Structures Raw]]/L$2)*100</f>
        <v>0.10482922752192206</v>
      </c>
      <c r="N975" s="180">
        <f>FME_Ranking1[[#This Row],[Res Structures Score (Normalized, Unweighted)]]*$L$3</f>
        <v>1.0482922752192207E-2</v>
      </c>
      <c r="O975" s="244">
        <f>_xlfn.XLOOKUP(FME_Ranking1[[#This Row],[FME ID]],FME_Input[FME_ID],FME_Input[POP100])</f>
        <v>735</v>
      </c>
      <c r="P975" s="178">
        <f>(FME_Ranking1[[#This Row],[Pop Raw]]/$O$2)*100</f>
        <v>7.5245854311741009E-2</v>
      </c>
      <c r="Q975" s="178">
        <f>FME_Ranking1[[#This Row],[Pop Score (Normalized, Unweighted)]]*$O$3</f>
        <v>1.128687814676115E-2</v>
      </c>
      <c r="R975" s="137">
        <f>_xlfn.XLOOKUP(FME_Ranking1[[#This Row],[FME ID]],FME_Input[FME_ID],FME_Input[CRITFAC100])</f>
        <v>2</v>
      </c>
      <c r="S975" s="230">
        <f>(FME_Ranking1[[#This Row],[Critical Facilities Raw]]/$R$2)*100</f>
        <v>8.5763293310463118E-2</v>
      </c>
      <c r="T975" s="180">
        <f>FME_Ranking1[[#This Row],[Critical Facilities Score (Normalized, Unweighted)]]*$R$3</f>
        <v>1.7152658662092625E-2</v>
      </c>
      <c r="U975">
        <f>_xlfn.XLOOKUP(FME_Ranking1[[#This Row],[FME ID]],FME_Input[FME_ID],FME_Input[LWC])</f>
        <v>4</v>
      </c>
      <c r="V975" s="178">
        <f>(FME_Ranking1[[#This Row],[LWC Raw]]/$U$2)*100</f>
        <v>0.23028209556706969</v>
      </c>
      <c r="W975" s="178">
        <f>FME_Ranking1[[#This Row],[LWC Score (Normalized, Unweighted)]]*$U$3</f>
        <v>4.6056419113413939E-2</v>
      </c>
      <c r="X975" s="246">
        <f>_xlfn.XLOOKUP(FME_Ranking1[[#This Row],[FME ID]],FME_Input[FME_ID],FME_Input[ROADCLS])</f>
        <v>0</v>
      </c>
      <c r="Y975" s="230">
        <f>(FME_Ranking1[[#This Row],[Closures Raw]]/$X$2)*100</f>
        <v>0</v>
      </c>
      <c r="Z975" s="180">
        <f>FME_Ranking1[[#This Row],[Closures Score (Normalized, Unweighted)]]*$X$3</f>
        <v>0</v>
      </c>
      <c r="AA975" s="253">
        <f>_xlfn.XLOOKUP(FME_Ranking1[[#This Row],[FME ID]],FME_Input[FME_ID],FME_Input[ROAD_MILES100])</f>
        <v>4.9970579147338867</v>
      </c>
      <c r="AB975" s="178">
        <f>(FME_Ranking1[[#This Row],[Miles Raw]]/$AA$2)*100</f>
        <v>6.5702348934619709E-2</v>
      </c>
      <c r="AC975" s="178">
        <f>FME_Ranking1[[#This Row],[Miles Score (Normalized, Unweighted)]]*$AA$3</f>
        <v>6.5702348934619714E-3</v>
      </c>
      <c r="AD975" s="255">
        <f>_xlfn.XLOOKUP(FME_Ranking1[[#This Row],[FME ID]],FME_Input[FME_ID],FME_Input[FARMACRE100])</f>
        <v>131.8320007324219</v>
      </c>
      <c r="AE975" s="230">
        <f>(FME_Ranking1[[#This Row],[Ag Land Raw]]/$AD$2)*100</f>
        <v>5.4361615637674139E-3</v>
      </c>
      <c r="AF975" s="231">
        <f>FME_Ranking1[[#This Row],[Ag Land Score (Normalized, Unweighted)]]*$AD$3</f>
        <v>2.7180807818837072E-4</v>
      </c>
      <c r="AG97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0.10435144471512453</v>
      </c>
      <c r="AH975" s="406">
        <f t="shared" si="15"/>
        <v>1038</v>
      </c>
      <c r="AI97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0.10435144471512453</v>
      </c>
      <c r="AJ975" s="257">
        <f>FME_Ranking1[[#This Row],[Addition check]]-FME_Ranking1[[#This Row],[Weighted Score Based on Normalized Reported Factors]]</f>
        <v>0</v>
      </c>
      <c r="AK975" s="178">
        <f>_xlfn.RANK.EQ(AI975,$AI$6:$AI$2341,0)+COUNTIF($AI$6:AI975,AI975)-1</f>
        <v>1038</v>
      </c>
    </row>
    <row r="976" spans="1:37" x14ac:dyDescent="0.25">
      <c r="A976" t="s">
        <v>1872</v>
      </c>
      <c r="B976">
        <f>_xlfn.XLOOKUP(FME_Ranking1[[#This Row],[FME ID]],FME_Input[FME_ID],FME_Input[RFPG_NUM])</f>
        <v>6</v>
      </c>
      <c r="C976" t="str">
        <f>_xlfn.XLOOKUP(FME_Ranking1[[#This Row],[FME ID]],FME_Input[FME_ID],FME_Input[FME_NAME])</f>
        <v>B106-WP01 &amp; WP02 for Armand Bayou Watershed</v>
      </c>
      <c r="D976" t="str">
        <f>_xlfn.XLOOKUP(FME_Ranking1[[#This Row],[FME ID]],FME_Input[FME_ID],FME_Input[DESCR])</f>
        <v>Study to develop a Benefit Cost Analysis needed for this project to become a FMP.  Conveyance improvements for B106-00-00 channel, including detention/mitigation storage.</v>
      </c>
      <c r="E976" s="256">
        <f>_xlfn.XLOOKUP(FME_Ranking1[[#This Row],[FME ID]],FME_Input[FME_ID],FME_Input[FME_COST])</f>
        <v>30000</v>
      </c>
      <c r="F976" t="str">
        <f>_xlfn.XLOOKUP(FME_Ranking1[[#This Row],[FME ID]],FME_Input[FME_ID],FME_Input[EMER_NEED])</f>
        <v>No</v>
      </c>
      <c r="G976">
        <f>IF(FME_Ranking!F976="Yes",100,0)</f>
        <v>0</v>
      </c>
      <c r="H976">
        <f>FME_Ranking1[[#This Row],[Emergency Need Score (Normalized, Unweighted)]]*$F$3</f>
        <v>0</v>
      </c>
      <c r="I976" s="246">
        <f>_xlfn.XLOOKUP(FME_Ranking1[[#This Row],[FME ID]],FME_Input[FME_ID],FME_Input[STRUCT_100])</f>
        <v>473</v>
      </c>
      <c r="J976" s="178">
        <f>(FME_Ranking1[[#This Row],[Structures 100 Raw]]/I$2)*100</f>
        <v>0.25328792357451912</v>
      </c>
      <c r="K976" s="178">
        <f>FME_Ranking1[[#This Row],[Structures 100  Score (Normalized, Unweighted)]]*$I$3</f>
        <v>3.799318853617787E-2</v>
      </c>
      <c r="L976" s="246">
        <f>_xlfn.XLOOKUP(FME_Ranking1[[#This Row],[FME ID]],FME_Input[FME_ID],FME_Input[RES_STRUCT100])</f>
        <v>344</v>
      </c>
      <c r="M976" s="230">
        <f>(FME_Ranking1[[#This Row],[Res Structures Raw]]/L$2)*100</f>
        <v>0.24365712342933238</v>
      </c>
      <c r="N976" s="180">
        <f>FME_Ranking1[[#This Row],[Res Structures Score (Normalized, Unweighted)]]*$L$3</f>
        <v>2.4365712342933239E-2</v>
      </c>
      <c r="O976" s="244">
        <f>_xlfn.XLOOKUP(FME_Ranking1[[#This Row],[FME ID]],FME_Input[FME_ID],FME_Input[POP100])</f>
        <v>2199</v>
      </c>
      <c r="P976" s="178">
        <f>(FME_Ranking1[[#This Row],[Pop Raw]]/$O$2)*100</f>
        <v>0.22512331106329048</v>
      </c>
      <c r="Q976" s="178">
        <f>FME_Ranking1[[#This Row],[Pop Score (Normalized, Unweighted)]]*$O$3</f>
        <v>3.3768496659493573E-2</v>
      </c>
      <c r="R976" s="137">
        <f>_xlfn.XLOOKUP(FME_Ranking1[[#This Row],[FME ID]],FME_Input[FME_ID],FME_Input[CRITFAC100])</f>
        <v>0</v>
      </c>
      <c r="S976" s="230">
        <f>(FME_Ranking1[[#This Row],[Critical Facilities Raw]]/$R$2)*100</f>
        <v>0</v>
      </c>
      <c r="T976" s="180">
        <f>FME_Ranking1[[#This Row],[Critical Facilities Score (Normalized, Unweighted)]]*$R$3</f>
        <v>0</v>
      </c>
      <c r="U976">
        <f>_xlfn.XLOOKUP(FME_Ranking1[[#This Row],[FME ID]],FME_Input[FME_ID],FME_Input[LWC])</f>
        <v>0</v>
      </c>
      <c r="V976" s="178">
        <f>(FME_Ranking1[[#This Row],[LWC Raw]]/$U$2)*100</f>
        <v>0</v>
      </c>
      <c r="W976" s="178">
        <f>FME_Ranking1[[#This Row],[LWC Score (Normalized, Unweighted)]]*$U$3</f>
        <v>0</v>
      </c>
      <c r="X976" s="246">
        <f>_xlfn.XLOOKUP(FME_Ranking1[[#This Row],[FME ID]],FME_Input[FME_ID],FME_Input[ROADCLS])</f>
        <v>0</v>
      </c>
      <c r="Y976" s="230">
        <f>(FME_Ranking1[[#This Row],[Closures Raw]]/$X$2)*100</f>
        <v>0</v>
      </c>
      <c r="Z976" s="180">
        <f>FME_Ranking1[[#This Row],[Closures Score (Normalized, Unweighted)]]*$X$3</f>
        <v>0</v>
      </c>
      <c r="AA976" s="253">
        <f>_xlfn.XLOOKUP(FME_Ranking1[[#This Row],[FME ID]],FME_Input[FME_ID],FME_Input[ROAD_MILES100])</f>
        <v>7.0468239784240723</v>
      </c>
      <c r="AB976" s="178">
        <f>(FME_Ranking1[[#This Row],[Miles Raw]]/$AA$2)*100</f>
        <v>9.2653096244116606E-2</v>
      </c>
      <c r="AC976" s="178">
        <f>FME_Ranking1[[#This Row],[Miles Score (Normalized, Unweighted)]]*$AA$3</f>
        <v>9.2653096244116606E-3</v>
      </c>
      <c r="AD976" s="255">
        <f>_xlfn.XLOOKUP(FME_Ranking1[[#This Row],[FME ID]],FME_Input[FME_ID],FME_Input[FARMACRE100])</f>
        <v>20.93032264709473</v>
      </c>
      <c r="AE976" s="230">
        <f>(FME_Ranking1[[#This Row],[Ag Land Raw]]/$AD$2)*100</f>
        <v>8.6307281129963565E-4</v>
      </c>
      <c r="AF976" s="231">
        <f>FME_Ranking1[[#This Row],[Ag Land Score (Normalized, Unweighted)]]*$AD$3</f>
        <v>4.3153640564981786E-5</v>
      </c>
      <c r="AG97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0.10543586080358133</v>
      </c>
      <c r="AH976" s="406">
        <f t="shared" si="15"/>
        <v>1031</v>
      </c>
      <c r="AI97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0.10543586080358133</v>
      </c>
      <c r="AJ976" s="257">
        <f>FME_Ranking1[[#This Row],[Addition check]]-FME_Ranking1[[#This Row],[Weighted Score Based on Normalized Reported Factors]]</f>
        <v>0</v>
      </c>
      <c r="AK976" s="178">
        <f>_xlfn.RANK.EQ(AI976,$AI$6:$AI$2341,0)+COUNTIF($AI$6:AI976,AI976)-1</f>
        <v>1031</v>
      </c>
    </row>
    <row r="977" spans="1:37" x14ac:dyDescent="0.25">
      <c r="A977" t="s">
        <v>3775</v>
      </c>
      <c r="B977">
        <f>_xlfn.XLOOKUP(FME_Ranking1[[#This Row],[FME ID]],FME_Input[FME_ID],FME_Input[RFPG_NUM])</f>
        <v>2</v>
      </c>
      <c r="C977" t="str">
        <f>_xlfn.XLOOKUP(FME_Ranking1[[#This Row],[FME ID]],FME_Input[FME_ID],FME_Input[FME_NAME])</f>
        <v>South Sulphur River Log Jams</v>
      </c>
      <c r="D977" t="str">
        <f>_xlfn.XLOOKUP(FME_Ranking1[[#This Row],[FME ID]],FME_Input[FME_ID],FME_Input[DESCR])</f>
        <v>Log and debris jams along South Sulphur River near FM 71</v>
      </c>
      <c r="E977" s="256">
        <f>_xlfn.XLOOKUP(FME_Ranking1[[#This Row],[FME ID]],FME_Input[FME_ID],FME_Input[FME_COST])</f>
        <v>550000</v>
      </c>
      <c r="F977" t="str">
        <f>_xlfn.XLOOKUP(FME_Ranking1[[#This Row],[FME ID]],FME_Input[FME_ID],FME_Input[EMER_NEED])</f>
        <v>No</v>
      </c>
      <c r="G977">
        <f>IF(FME_Ranking!F977="Yes",100,0)</f>
        <v>0</v>
      </c>
      <c r="H977">
        <f>FME_Ranking1[[#This Row],[Emergency Need Score (Normalized, Unweighted)]]*$F$3</f>
        <v>0</v>
      </c>
      <c r="I977" s="246">
        <f>_xlfn.XLOOKUP(FME_Ranking1[[#This Row],[FME ID]],FME_Input[FME_ID],FME_Input[STRUCT_100])</f>
        <v>322</v>
      </c>
      <c r="J977" s="178">
        <f>(FME_Ranking1[[#This Row],[Structures 100 Raw]]/I$2)*100</f>
        <v>0.17242856530865783</v>
      </c>
      <c r="K977" s="178">
        <f>FME_Ranking1[[#This Row],[Structures 100  Score (Normalized, Unweighted)]]*$I$3</f>
        <v>2.5864284796298674E-2</v>
      </c>
      <c r="L977" s="246">
        <f>_xlfn.XLOOKUP(FME_Ranking1[[#This Row],[FME ID]],FME_Input[FME_ID],FME_Input[RES_STRUCT100])</f>
        <v>217</v>
      </c>
      <c r="M977" s="230">
        <f>(FME_Ranking1[[#This Row],[Res Structures Raw]]/L$2)*100</f>
        <v>0.15370231332606138</v>
      </c>
      <c r="N977" s="180">
        <f>FME_Ranking1[[#This Row],[Res Structures Score (Normalized, Unweighted)]]*$L$3</f>
        <v>1.5370231332606139E-2</v>
      </c>
      <c r="O977" s="244">
        <f>_xlfn.XLOOKUP(FME_Ranking1[[#This Row],[FME ID]],FME_Input[FME_ID],FME_Input[POP100])</f>
        <v>1490</v>
      </c>
      <c r="P977" s="178">
        <f>(FME_Ranking1[[#This Row],[Pop Raw]]/$O$2)*100</f>
        <v>0.15253921486325731</v>
      </c>
      <c r="Q977" s="178">
        <f>FME_Ranking1[[#This Row],[Pop Score (Normalized, Unweighted)]]*$O$3</f>
        <v>2.2880882229488596E-2</v>
      </c>
      <c r="R977" s="137">
        <f>_xlfn.XLOOKUP(FME_Ranking1[[#This Row],[FME ID]],FME_Input[FME_ID],FME_Input[CRITFAC100])</f>
        <v>3</v>
      </c>
      <c r="S977" s="230">
        <f>(FME_Ranking1[[#This Row],[Critical Facilities Raw]]/$R$2)*100</f>
        <v>0.1286449399656947</v>
      </c>
      <c r="T977" s="180">
        <f>FME_Ranking1[[#This Row],[Critical Facilities Score (Normalized, Unweighted)]]*$R$3</f>
        <v>2.5728987993138941E-2</v>
      </c>
      <c r="U977">
        <f>_xlfn.XLOOKUP(FME_Ranking1[[#This Row],[FME ID]],FME_Input[FME_ID],FME_Input[LWC])</f>
        <v>0</v>
      </c>
      <c r="V977" s="178">
        <f>(FME_Ranking1[[#This Row],[LWC Raw]]/$U$2)*100</f>
        <v>0</v>
      </c>
      <c r="W977" s="178">
        <f>FME_Ranking1[[#This Row],[LWC Score (Normalized, Unweighted)]]*$U$3</f>
        <v>0</v>
      </c>
      <c r="X977" s="246">
        <f>_xlfn.XLOOKUP(FME_Ranking1[[#This Row],[FME ID]],FME_Input[FME_ID],FME_Input[ROADCLS])</f>
        <v>0</v>
      </c>
      <c r="Y977" s="230">
        <f>(FME_Ranking1[[#This Row],[Closures Raw]]/$X$2)*100</f>
        <v>0</v>
      </c>
      <c r="Z977" s="180">
        <f>FME_Ranking1[[#This Row],[Closures Score (Normalized, Unweighted)]]*$X$3</f>
        <v>0</v>
      </c>
      <c r="AA977" s="253">
        <f>_xlfn.XLOOKUP(FME_Ranking1[[#This Row],[FME ID]],FME_Input[FME_ID],FME_Input[ROAD_MILES100])</f>
        <v>49.372489929199219</v>
      </c>
      <c r="AB977" s="178">
        <f>(FME_Ranking1[[#This Row],[Miles Raw]]/$AA$2)*100</f>
        <v>0.64915968885103359</v>
      </c>
      <c r="AC977" s="178">
        <f>FME_Ranking1[[#This Row],[Miles Score (Normalized, Unweighted)]]*$AA$3</f>
        <v>6.4915968885103356E-2</v>
      </c>
      <c r="AD977" s="255">
        <f>_xlfn.XLOOKUP(FME_Ranking1[[#This Row],[FME ID]],FME_Input[FME_ID],FME_Input[FARMACRE100])</f>
        <v>2977.440673828125</v>
      </c>
      <c r="AE977" s="230">
        <f>(FME_Ranking1[[#This Row],[Ag Land Raw]]/$AD$2)*100</f>
        <v>0.12277632486451039</v>
      </c>
      <c r="AF977" s="231">
        <f>FME_Ranking1[[#This Row],[Ag Land Score (Normalized, Unweighted)]]*$AD$3</f>
        <v>6.1388162432255197E-3</v>
      </c>
      <c r="AG97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0.16089917147986124</v>
      </c>
      <c r="AH977" s="406">
        <f t="shared" si="15"/>
        <v>873</v>
      </c>
      <c r="AI97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0.16089917147986124</v>
      </c>
      <c r="AJ977" s="257">
        <f>FME_Ranking1[[#This Row],[Addition check]]-FME_Ranking1[[#This Row],[Weighted Score Based on Normalized Reported Factors]]</f>
        <v>0</v>
      </c>
      <c r="AK977" s="178">
        <f>_xlfn.RANK.EQ(AI977,$AI$6:$AI$2341,0)+COUNTIF($AI$6:AI977,AI977)-1</f>
        <v>873</v>
      </c>
    </row>
    <row r="978" spans="1:37" x14ac:dyDescent="0.25">
      <c r="A978" t="s">
        <v>9088</v>
      </c>
      <c r="B978">
        <f>_xlfn.XLOOKUP(FME_Ranking1[[#This Row],[FME ID]],FME_Input[FME_ID],FME_Input[RFPG_NUM])</f>
        <v>11</v>
      </c>
      <c r="C978" t="str">
        <f>_xlfn.XLOOKUP(FME_Ranking1[[#This Row],[FME ID]],FME_Input[FME_ID],FME_Input[FME_NAME])</f>
        <v>City of Victoria WWTP Protection Project</v>
      </c>
      <c r="D978" t="str">
        <f>_xlfn.XLOOKUP(FME_Ranking1[[#This Row],[FME ID]],FME_Input[FME_ID],FME_Input[DESCR])</f>
        <v>Project planning for potential erosion protection and streambank stabilization project intended to protect the levee around the City’s wastewater plant.</v>
      </c>
      <c r="E978" s="256">
        <f>_xlfn.XLOOKUP(FME_Ranking1[[#This Row],[FME ID]],FME_Input[FME_ID],FME_Input[FME_COST])</f>
        <v>300000</v>
      </c>
      <c r="F978" t="str">
        <f>_xlfn.XLOOKUP(FME_Ranking1[[#This Row],[FME ID]],FME_Input[FME_ID],FME_Input[EMER_NEED])</f>
        <v>No</v>
      </c>
      <c r="G978">
        <f>IF(FME_Ranking!F978="Yes",100,0)</f>
        <v>0</v>
      </c>
      <c r="H978">
        <f>FME_Ranking1[[#This Row],[Emergency Need Score (Normalized, Unweighted)]]*$F$3</f>
        <v>0</v>
      </c>
      <c r="I978" s="246">
        <f>_xlfn.XLOOKUP(FME_Ranking1[[#This Row],[FME ID]],FME_Input[FME_ID],FME_Input[STRUCT_100])</f>
        <v>11</v>
      </c>
      <c r="J978" s="178">
        <f>(FME_Ranking1[[#This Row],[Structures 100 Raw]]/I$2)*100</f>
        <v>5.8904168273143983E-3</v>
      </c>
      <c r="K978" s="178">
        <f>FME_Ranking1[[#This Row],[Structures 100  Score (Normalized, Unweighted)]]*$I$3</f>
        <v>8.8356252409715972E-4</v>
      </c>
      <c r="L978" s="246">
        <f>_xlfn.XLOOKUP(FME_Ranking1[[#This Row],[FME ID]],FME_Input[FME_ID],FME_Input[RES_STRUCT100])</f>
        <v>0</v>
      </c>
      <c r="M978" s="230">
        <f>(FME_Ranking1[[#This Row],[Res Structures Raw]]/L$2)*100</f>
        <v>0</v>
      </c>
      <c r="N978" s="180">
        <f>FME_Ranking1[[#This Row],[Res Structures Score (Normalized, Unweighted)]]*$L$3</f>
        <v>0</v>
      </c>
      <c r="O978" s="244">
        <f>_xlfn.XLOOKUP(FME_Ranking1[[#This Row],[FME ID]],FME_Input[FME_ID],FME_Input[POP100])</f>
        <v>13</v>
      </c>
      <c r="P978" s="178">
        <f>(FME_Ranking1[[#This Row],[Pop Raw]]/$O$2)*100</f>
        <v>1.3308790558539227E-3</v>
      </c>
      <c r="Q978" s="178">
        <f>FME_Ranking1[[#This Row],[Pop Score (Normalized, Unweighted)]]*$O$3</f>
        <v>1.9963185837808839E-4</v>
      </c>
      <c r="R978" s="137">
        <f>_xlfn.XLOOKUP(FME_Ranking1[[#This Row],[FME ID]],FME_Input[FME_ID],FME_Input[CRITFAC100])</f>
        <v>11</v>
      </c>
      <c r="S978" s="230">
        <f>(FME_Ranking1[[#This Row],[Critical Facilities Raw]]/$R$2)*100</f>
        <v>0.47169811320754718</v>
      </c>
      <c r="T978" s="180">
        <f>FME_Ranking1[[#This Row],[Critical Facilities Score (Normalized, Unweighted)]]*$R$3</f>
        <v>9.4339622641509441E-2</v>
      </c>
      <c r="U978">
        <f>_xlfn.XLOOKUP(FME_Ranking1[[#This Row],[FME ID]],FME_Input[FME_ID],FME_Input[LWC])</f>
        <v>0</v>
      </c>
      <c r="V978" s="178">
        <f>(FME_Ranking1[[#This Row],[LWC Raw]]/$U$2)*100</f>
        <v>0</v>
      </c>
      <c r="W978" s="178">
        <f>FME_Ranking1[[#This Row],[LWC Score (Normalized, Unweighted)]]*$U$3</f>
        <v>0</v>
      </c>
      <c r="X978" s="246">
        <f>_xlfn.XLOOKUP(FME_Ranking1[[#This Row],[FME ID]],FME_Input[FME_ID],FME_Input[ROADCLS])</f>
        <v>0</v>
      </c>
      <c r="Y978" s="230">
        <f>(FME_Ranking1[[#This Row],[Closures Raw]]/$X$2)*100</f>
        <v>0</v>
      </c>
      <c r="Z978" s="180">
        <f>FME_Ranking1[[#This Row],[Closures Score (Normalized, Unweighted)]]*$X$3</f>
        <v>0</v>
      </c>
      <c r="AA978" s="253">
        <f>_xlfn.XLOOKUP(FME_Ranking1[[#This Row],[FME ID]],FME_Input[FME_ID],FME_Input[ROAD_MILES100])</f>
        <v>0</v>
      </c>
      <c r="AB978" s="178">
        <f>(FME_Ranking1[[#This Row],[Miles Raw]]/$AA$2)*100</f>
        <v>0</v>
      </c>
      <c r="AC978" s="178">
        <f>FME_Ranking1[[#This Row],[Miles Score (Normalized, Unweighted)]]*$AA$3</f>
        <v>0</v>
      </c>
      <c r="AD978" s="255">
        <f>_xlfn.XLOOKUP(FME_Ranking1[[#This Row],[FME ID]],FME_Input[FME_ID],FME_Input[FARMACRE100])</f>
        <v>26.776174545288089</v>
      </c>
      <c r="AE978" s="230">
        <f>(FME_Ranking1[[#This Row],[Ag Land Raw]]/$AD$2)*100</f>
        <v>1.1041295746035396E-3</v>
      </c>
      <c r="AF978" s="231">
        <f>FME_Ranking1[[#This Row],[Ag Land Score (Normalized, Unweighted)]]*$AD$3</f>
        <v>5.520647873017698E-5</v>
      </c>
      <c r="AG97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9.5478023502714865E-2</v>
      </c>
      <c r="AH978" s="406">
        <f t="shared" si="15"/>
        <v>1065</v>
      </c>
      <c r="AI97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9.5478023502714865E-2</v>
      </c>
      <c r="AJ978" s="257">
        <f>FME_Ranking1[[#This Row],[Addition check]]-FME_Ranking1[[#This Row],[Weighted Score Based on Normalized Reported Factors]]</f>
        <v>0</v>
      </c>
      <c r="AK978" s="178">
        <f>_xlfn.RANK.EQ(AI978,$AI$6:$AI$2341,0)+COUNTIF($AI$6:AI978,AI978)-1</f>
        <v>1065</v>
      </c>
    </row>
    <row r="979" spans="1:37" x14ac:dyDescent="0.25">
      <c r="A979" t="s">
        <v>507</v>
      </c>
      <c r="B979">
        <f>_xlfn.XLOOKUP(FME_Ranking1[[#This Row],[FME ID]],FME_Input[FME_ID],FME_Input[RFPG_NUM])</f>
        <v>10</v>
      </c>
      <c r="C979" t="str">
        <f>_xlfn.XLOOKUP(FME_Ranking1[[#This Row],[FME ID]],FME_Input[FME_ID],FME_Input[FME_NAME])</f>
        <v>Citywide Drainage Study</v>
      </c>
      <c r="D979" t="str">
        <f>_xlfn.XLOOKUP(FME_Ranking1[[#This Row],[FME ID]],FME_Input[FME_ID],FME_Input[DESCR])</f>
        <v>Conduct a drainage study and disseminate study results</v>
      </c>
      <c r="E979" s="256">
        <f>_xlfn.XLOOKUP(FME_Ranking1[[#This Row],[FME ID]],FME_Input[FME_ID],FME_Input[FME_COST])</f>
        <v>250000</v>
      </c>
      <c r="F979" t="str">
        <f>_xlfn.XLOOKUP(FME_Ranking1[[#This Row],[FME ID]],FME_Input[FME_ID],FME_Input[EMER_NEED])</f>
        <v>No</v>
      </c>
      <c r="G979">
        <f>IF(FME_Ranking!F979="Yes",100,0)</f>
        <v>0</v>
      </c>
      <c r="H979">
        <f>FME_Ranking1[[#This Row],[Emergency Need Score (Normalized, Unweighted)]]*$F$3</f>
        <v>0</v>
      </c>
      <c r="I979" s="246">
        <f>_xlfn.XLOOKUP(FME_Ranking1[[#This Row],[FME ID]],FME_Input[FME_ID],FME_Input[STRUCT_100])</f>
        <v>543</v>
      </c>
      <c r="J979" s="178">
        <f>(FME_Ranking1[[#This Row],[Structures 100 Raw]]/I$2)*100</f>
        <v>0.29077239429379259</v>
      </c>
      <c r="K979" s="178">
        <f>FME_Ranking1[[#This Row],[Structures 100  Score (Normalized, Unweighted)]]*$I$3</f>
        <v>4.3615859144068889E-2</v>
      </c>
      <c r="L979" s="246">
        <f>_xlfn.XLOOKUP(FME_Ranking1[[#This Row],[FME ID]],FME_Input[FME_ID],FME_Input[RES_STRUCT100])</f>
        <v>424</v>
      </c>
      <c r="M979" s="230">
        <f>(FME_Ranking1[[#This Row],[Res Structures Raw]]/L$2)*100</f>
        <v>0.30032157073847943</v>
      </c>
      <c r="N979" s="180">
        <f>FME_Ranking1[[#This Row],[Res Structures Score (Normalized, Unweighted)]]*$L$3</f>
        <v>3.0032157073847945E-2</v>
      </c>
      <c r="O979" s="244">
        <f>_xlfn.XLOOKUP(FME_Ranking1[[#This Row],[FME ID]],FME_Input[FME_ID],FME_Input[POP100])</f>
        <v>754</v>
      </c>
      <c r="P979" s="178">
        <f>(FME_Ranking1[[#This Row],[Pop Raw]]/$O$2)*100</f>
        <v>7.7190985239527526E-2</v>
      </c>
      <c r="Q979" s="178">
        <f>FME_Ranking1[[#This Row],[Pop Score (Normalized, Unweighted)]]*$O$3</f>
        <v>1.1578647785929128E-2</v>
      </c>
      <c r="R979" s="137">
        <f>_xlfn.XLOOKUP(FME_Ranking1[[#This Row],[FME ID]],FME_Input[FME_ID],FME_Input[CRITFAC100])</f>
        <v>1</v>
      </c>
      <c r="S979" s="230">
        <f>(FME_Ranking1[[#This Row],[Critical Facilities Raw]]/$R$2)*100</f>
        <v>4.2881646655231559E-2</v>
      </c>
      <c r="T979" s="180">
        <f>FME_Ranking1[[#This Row],[Critical Facilities Score (Normalized, Unweighted)]]*$R$3</f>
        <v>8.5763293310463125E-3</v>
      </c>
      <c r="U979">
        <f>_xlfn.XLOOKUP(FME_Ranking1[[#This Row],[FME ID]],FME_Input[FME_ID],FME_Input[LWC])</f>
        <v>0</v>
      </c>
      <c r="V979" s="178">
        <f>(FME_Ranking1[[#This Row],[LWC Raw]]/$U$2)*100</f>
        <v>0</v>
      </c>
      <c r="W979" s="178">
        <f>FME_Ranking1[[#This Row],[LWC Score (Normalized, Unweighted)]]*$U$3</f>
        <v>0</v>
      </c>
      <c r="X979" s="246">
        <f>_xlfn.XLOOKUP(FME_Ranking1[[#This Row],[FME ID]],FME_Input[FME_ID],FME_Input[ROADCLS])</f>
        <v>0</v>
      </c>
      <c r="Y979" s="230">
        <f>(FME_Ranking1[[#This Row],[Closures Raw]]/$X$2)*100</f>
        <v>0</v>
      </c>
      <c r="Z979" s="180">
        <f>FME_Ranking1[[#This Row],[Closures Score (Normalized, Unweighted)]]*$X$3</f>
        <v>0</v>
      </c>
      <c r="AA979" s="253">
        <f>_xlfn.XLOOKUP(FME_Ranking1[[#This Row],[FME ID]],FME_Input[FME_ID],FME_Input[ROAD_MILES100])</f>
        <v>10.483524322509769</v>
      </c>
      <c r="AB979" s="178">
        <f>(FME_Ranking1[[#This Row],[Miles Raw]]/$AA$2)*100</f>
        <v>0.13783954175740035</v>
      </c>
      <c r="AC979" s="178">
        <f>FME_Ranking1[[#This Row],[Miles Score (Normalized, Unweighted)]]*$AA$3</f>
        <v>1.3783954175740035E-2</v>
      </c>
      <c r="AD979" s="255">
        <f>_xlfn.XLOOKUP(FME_Ranking1[[#This Row],[FME ID]],FME_Input[FME_ID],FME_Input[FARMACRE100])</f>
        <v>657.76739501953125</v>
      </c>
      <c r="AE979" s="230">
        <f>(FME_Ranking1[[#This Row],[Ag Land Raw]]/$AD$2)*100</f>
        <v>2.7123382872434865E-2</v>
      </c>
      <c r="AF979" s="231">
        <f>FME_Ranking1[[#This Row],[Ag Land Score (Normalized, Unweighted)]]*$AD$3</f>
        <v>1.3561691436217434E-3</v>
      </c>
      <c r="AG97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0.10894311665425405</v>
      </c>
      <c r="AH979" s="406">
        <f t="shared" si="15"/>
        <v>1018</v>
      </c>
      <c r="AI97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0.10894311665425405</v>
      </c>
      <c r="AJ979" s="257">
        <f>FME_Ranking1[[#This Row],[Addition check]]-FME_Ranking1[[#This Row],[Weighted Score Based on Normalized Reported Factors]]</f>
        <v>0</v>
      </c>
      <c r="AK979" s="178">
        <f>_xlfn.RANK.EQ(AI979,$AI$6:$AI$2341,0)+COUNTIF($AI$6:AI979,AI979)-1</f>
        <v>1018</v>
      </c>
    </row>
    <row r="980" spans="1:37" x14ac:dyDescent="0.25">
      <c r="A980" t="s">
        <v>512</v>
      </c>
      <c r="B980">
        <f>_xlfn.XLOOKUP(FME_Ranking1[[#This Row],[FME ID]],FME_Input[FME_ID],FME_Input[RFPG_NUM])</f>
        <v>10</v>
      </c>
      <c r="C980" t="str">
        <f>_xlfn.XLOOKUP(FME_Ranking1[[#This Row],[FME ID]],FME_Input[FME_ID],FME_Input[FME_NAME])</f>
        <v>Community Evacuation Plan</v>
      </c>
      <c r="D980" t="str">
        <f>_xlfn.XLOOKUP(FME_Ranking1[[#This Row],[FME ID]],FME_Input[FME_ID],FME_Input[DESCR])</f>
        <v>Community Evacuation Plan</v>
      </c>
      <c r="E980" s="256">
        <f>_xlfn.XLOOKUP(FME_Ranking1[[#This Row],[FME ID]],FME_Input[FME_ID],FME_Input[FME_COST])</f>
        <v>25000</v>
      </c>
      <c r="F980" t="str">
        <f>_xlfn.XLOOKUP(FME_Ranking1[[#This Row],[FME ID]],FME_Input[FME_ID],FME_Input[EMER_NEED])</f>
        <v>No</v>
      </c>
      <c r="G980">
        <f>IF(FME_Ranking!F980="Yes",100,0)</f>
        <v>0</v>
      </c>
      <c r="H980">
        <f>FME_Ranking1[[#This Row],[Emergency Need Score (Normalized, Unweighted)]]*$F$3</f>
        <v>0</v>
      </c>
      <c r="I980" s="246">
        <f>_xlfn.XLOOKUP(FME_Ranking1[[#This Row],[FME ID]],FME_Input[FME_ID],FME_Input[STRUCT_100])</f>
        <v>543</v>
      </c>
      <c r="J980" s="178">
        <f>(FME_Ranking1[[#This Row],[Structures 100 Raw]]/I$2)*100</f>
        <v>0.29077239429379259</v>
      </c>
      <c r="K980" s="178">
        <f>FME_Ranking1[[#This Row],[Structures 100  Score (Normalized, Unweighted)]]*$I$3</f>
        <v>4.3615859144068889E-2</v>
      </c>
      <c r="L980" s="246">
        <f>_xlfn.XLOOKUP(FME_Ranking1[[#This Row],[FME ID]],FME_Input[FME_ID],FME_Input[RES_STRUCT100])</f>
        <v>424</v>
      </c>
      <c r="M980" s="230">
        <f>(FME_Ranking1[[#This Row],[Res Structures Raw]]/L$2)*100</f>
        <v>0.30032157073847943</v>
      </c>
      <c r="N980" s="180">
        <f>FME_Ranking1[[#This Row],[Res Structures Score (Normalized, Unweighted)]]*$L$3</f>
        <v>3.0032157073847945E-2</v>
      </c>
      <c r="O980" s="244">
        <f>_xlfn.XLOOKUP(FME_Ranking1[[#This Row],[FME ID]],FME_Input[FME_ID],FME_Input[POP100])</f>
        <v>754</v>
      </c>
      <c r="P980" s="178">
        <f>(FME_Ranking1[[#This Row],[Pop Raw]]/$O$2)*100</f>
        <v>7.7190985239527526E-2</v>
      </c>
      <c r="Q980" s="178">
        <f>FME_Ranking1[[#This Row],[Pop Score (Normalized, Unweighted)]]*$O$3</f>
        <v>1.1578647785929128E-2</v>
      </c>
      <c r="R980" s="137">
        <f>_xlfn.XLOOKUP(FME_Ranking1[[#This Row],[FME ID]],FME_Input[FME_ID],FME_Input[CRITFAC100])</f>
        <v>1</v>
      </c>
      <c r="S980" s="230">
        <f>(FME_Ranking1[[#This Row],[Critical Facilities Raw]]/$R$2)*100</f>
        <v>4.2881646655231559E-2</v>
      </c>
      <c r="T980" s="180">
        <f>FME_Ranking1[[#This Row],[Critical Facilities Score (Normalized, Unweighted)]]*$R$3</f>
        <v>8.5763293310463125E-3</v>
      </c>
      <c r="U980">
        <f>_xlfn.XLOOKUP(FME_Ranking1[[#This Row],[FME ID]],FME_Input[FME_ID],FME_Input[LWC])</f>
        <v>0</v>
      </c>
      <c r="V980" s="178">
        <f>(FME_Ranking1[[#This Row],[LWC Raw]]/$U$2)*100</f>
        <v>0</v>
      </c>
      <c r="W980" s="178">
        <f>FME_Ranking1[[#This Row],[LWC Score (Normalized, Unweighted)]]*$U$3</f>
        <v>0</v>
      </c>
      <c r="X980" s="246">
        <f>_xlfn.XLOOKUP(FME_Ranking1[[#This Row],[FME ID]],FME_Input[FME_ID],FME_Input[ROADCLS])</f>
        <v>0</v>
      </c>
      <c r="Y980" s="230">
        <f>(FME_Ranking1[[#This Row],[Closures Raw]]/$X$2)*100</f>
        <v>0</v>
      </c>
      <c r="Z980" s="180">
        <f>FME_Ranking1[[#This Row],[Closures Score (Normalized, Unweighted)]]*$X$3</f>
        <v>0</v>
      </c>
      <c r="AA980" s="253">
        <f>_xlfn.XLOOKUP(FME_Ranking1[[#This Row],[FME ID]],FME_Input[FME_ID],FME_Input[ROAD_MILES100])</f>
        <v>10.483524322509769</v>
      </c>
      <c r="AB980" s="178">
        <f>(FME_Ranking1[[#This Row],[Miles Raw]]/$AA$2)*100</f>
        <v>0.13783954175740035</v>
      </c>
      <c r="AC980" s="178">
        <f>FME_Ranking1[[#This Row],[Miles Score (Normalized, Unweighted)]]*$AA$3</f>
        <v>1.3783954175740035E-2</v>
      </c>
      <c r="AD980" s="255">
        <f>_xlfn.XLOOKUP(FME_Ranking1[[#This Row],[FME ID]],FME_Input[FME_ID],FME_Input[FARMACRE100])</f>
        <v>657.76739501953125</v>
      </c>
      <c r="AE980" s="230">
        <f>(FME_Ranking1[[#This Row],[Ag Land Raw]]/$AD$2)*100</f>
        <v>2.7123382872434865E-2</v>
      </c>
      <c r="AF980" s="231">
        <f>FME_Ranking1[[#This Row],[Ag Land Score (Normalized, Unweighted)]]*$AD$3</f>
        <v>1.3561691436217434E-3</v>
      </c>
      <c r="AG98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0.10894311665425405</v>
      </c>
      <c r="AH980" s="406">
        <f t="shared" si="15"/>
        <v>1018</v>
      </c>
      <c r="AI98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0.10894311665425405</v>
      </c>
      <c r="AJ980" s="257">
        <f>FME_Ranking1[[#This Row],[Addition check]]-FME_Ranking1[[#This Row],[Weighted Score Based on Normalized Reported Factors]]</f>
        <v>0</v>
      </c>
      <c r="AK980" s="178">
        <f>_xlfn.RANK.EQ(AI980,$AI$6:$AI$2341,0)+COUNTIF($AI$6:AI980,AI980)-1</f>
        <v>1019</v>
      </c>
    </row>
    <row r="981" spans="1:37" x14ac:dyDescent="0.25">
      <c r="A981" t="s">
        <v>6024</v>
      </c>
      <c r="B981">
        <f>_xlfn.XLOOKUP(FME_Ranking1[[#This Row],[FME ID]],FME_Input[FME_ID],FME_Input[RFPG_NUM])</f>
        <v>5</v>
      </c>
      <c r="C981" t="str">
        <f>_xlfn.XLOOKUP(FME_Ranking1[[#This Row],[FME ID]],FME_Input[FME_ID],FME_Input[FME_NAME])</f>
        <v>Feasibility Assessment of Widening and Deepening Segments of Ten-Mile Creek</v>
      </c>
      <c r="D981" t="str">
        <f>_xlfn.XLOOKUP(FME_Ranking1[[#This Row],[FME ID]],FME_Input[FME_ID],FME_Input[DESCR])</f>
        <v>H&amp;H Study to analyze most efficient alternatives for constructing improvements to segments of Ten-Mile Creek.</v>
      </c>
      <c r="E981" s="256">
        <f>_xlfn.XLOOKUP(FME_Ranking1[[#This Row],[FME ID]],FME_Input[FME_ID],FME_Input[FME_COST])</f>
        <v>175000</v>
      </c>
      <c r="F981" t="str">
        <f>_xlfn.XLOOKUP(FME_Ranking1[[#This Row],[FME ID]],FME_Input[FME_ID],FME_Input[EMER_NEED])</f>
        <v>Yes</v>
      </c>
      <c r="G981">
        <f>IF(FME_Ranking!F981="Yes",100,0)</f>
        <v>100</v>
      </c>
      <c r="H981">
        <f>FME_Ranking1[[#This Row],[Emergency Need Score (Normalized, Unweighted)]]*$F$3</f>
        <v>0</v>
      </c>
      <c r="I981" s="246">
        <f>_xlfn.XLOOKUP(FME_Ranking1[[#This Row],[FME ID]],FME_Input[FME_ID],FME_Input[STRUCT_100])</f>
        <v>415</v>
      </c>
      <c r="J981" s="178">
        <f>(FME_Ranking1[[#This Row],[Structures 100 Raw]]/I$2)*100</f>
        <v>0.22222936212140687</v>
      </c>
      <c r="K981" s="178">
        <f>FME_Ranking1[[#This Row],[Structures 100  Score (Normalized, Unweighted)]]*$I$3</f>
        <v>3.3334404318211032E-2</v>
      </c>
      <c r="L981" s="246">
        <f>_xlfn.XLOOKUP(FME_Ranking1[[#This Row],[FME ID]],FME_Input[FME_ID],FME_Input[RES_STRUCT100])</f>
        <v>350</v>
      </c>
      <c r="M981" s="230">
        <f>(FME_Ranking1[[#This Row],[Res Structures Raw]]/L$2)*100</f>
        <v>0.24790695697751836</v>
      </c>
      <c r="N981" s="180">
        <f>FME_Ranking1[[#This Row],[Res Structures Score (Normalized, Unweighted)]]*$L$3</f>
        <v>2.4790695697751837E-2</v>
      </c>
      <c r="O981" s="244">
        <f>_xlfn.XLOOKUP(FME_Ranking1[[#This Row],[FME ID]],FME_Input[FME_ID],FME_Input[POP100])</f>
        <v>768</v>
      </c>
      <c r="P981" s="178">
        <f>(FME_Ranking1[[#This Row],[Pop Raw]]/$O$2)*100</f>
        <v>7.8624239607370208E-2</v>
      </c>
      <c r="Q981" s="178">
        <f>FME_Ranking1[[#This Row],[Pop Score (Normalized, Unweighted)]]*$O$3</f>
        <v>1.1793635941105531E-2</v>
      </c>
      <c r="R981" s="137">
        <f>_xlfn.XLOOKUP(FME_Ranking1[[#This Row],[FME ID]],FME_Input[FME_ID],FME_Input[CRITFAC100])</f>
        <v>0</v>
      </c>
      <c r="S981" s="230">
        <f>(FME_Ranking1[[#This Row],[Critical Facilities Raw]]/$R$2)*100</f>
        <v>0</v>
      </c>
      <c r="T981" s="180">
        <f>FME_Ranking1[[#This Row],[Critical Facilities Score (Normalized, Unweighted)]]*$R$3</f>
        <v>0</v>
      </c>
      <c r="U981">
        <f>_xlfn.XLOOKUP(FME_Ranking1[[#This Row],[FME ID]],FME_Input[FME_ID],FME_Input[LWC])</f>
        <v>2</v>
      </c>
      <c r="V981" s="178">
        <f>(FME_Ranking1[[#This Row],[LWC Raw]]/$U$2)*100</f>
        <v>0.11514104778353484</v>
      </c>
      <c r="W981" s="178">
        <f>FME_Ranking1[[#This Row],[LWC Score (Normalized, Unweighted)]]*$U$3</f>
        <v>2.302820955670697E-2</v>
      </c>
      <c r="X981" s="246">
        <f>_xlfn.XLOOKUP(FME_Ranking1[[#This Row],[FME ID]],FME_Input[FME_ID],FME_Input[ROADCLS])</f>
        <v>2</v>
      </c>
      <c r="Y981" s="230">
        <f>(FME_Ranking1[[#This Row],[Closures Raw]]/$X$2)*100</f>
        <v>2.1028283040689728E-2</v>
      </c>
      <c r="Z981" s="180">
        <f>FME_Ranking1[[#This Row],[Closures Score (Normalized, Unweighted)]]*$X$3</f>
        <v>1.0514141520344864E-3</v>
      </c>
      <c r="AA981" s="253">
        <f>_xlfn.XLOOKUP(FME_Ranking1[[#This Row],[FME ID]],FME_Input[FME_ID],FME_Input[ROAD_MILES100])</f>
        <v>12.57383346557617</v>
      </c>
      <c r="AB981" s="178">
        <f>(FME_Ranking1[[#This Row],[Miles Raw]]/$AA$2)*100</f>
        <v>0.16532335784326782</v>
      </c>
      <c r="AC981" s="178">
        <f>FME_Ranking1[[#This Row],[Miles Score (Normalized, Unweighted)]]*$AA$3</f>
        <v>1.6532335784326783E-2</v>
      </c>
      <c r="AD981" s="255">
        <f>_xlfn.XLOOKUP(FME_Ranking1[[#This Row],[FME ID]],FME_Input[FME_ID],FME_Input[FARMACRE100])</f>
        <v>43.892425537109382</v>
      </c>
      <c r="AE981" s="230">
        <f>(FME_Ranking1[[#This Row],[Ag Land Raw]]/$AD$2)*100</f>
        <v>1.8099271445455355E-3</v>
      </c>
      <c r="AF981" s="231">
        <f>FME_Ranking1[[#This Row],[Ag Land Score (Normalized, Unweighted)]]*$AD$3</f>
        <v>9.049635722727678E-5</v>
      </c>
      <c r="AG98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0.11062119180736391</v>
      </c>
      <c r="AH981" s="406">
        <f t="shared" si="15"/>
        <v>1017</v>
      </c>
      <c r="AI98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0.11062119180736391</v>
      </c>
      <c r="AJ981" s="257">
        <f>FME_Ranking1[[#This Row],[Addition check]]-FME_Ranking1[[#This Row],[Weighted Score Based on Normalized Reported Factors]]</f>
        <v>0</v>
      </c>
      <c r="AK981" s="178">
        <f>_xlfn.RANK.EQ(AI981,$AI$6:$AI$2341,0)+COUNTIF($AI$6:AI981,AI981)-1</f>
        <v>1017</v>
      </c>
    </row>
    <row r="982" spans="1:37" x14ac:dyDescent="0.25">
      <c r="A982" t="s">
        <v>3112</v>
      </c>
      <c r="B982">
        <f>_xlfn.XLOOKUP(FME_Ranking1[[#This Row],[FME ID]],FME_Input[FME_ID],FME_Input[RFPG_NUM])</f>
        <v>1</v>
      </c>
      <c r="C982" t="str">
        <f>_xlfn.XLOOKUP(FME_Ranking1[[#This Row],[FME ID]],FME_Input[FME_ID],FME_Input[FME_NAME])</f>
        <v>Burkburnett City Drainage Master Plan</v>
      </c>
      <c r="D982" t="str">
        <f>_xlfn.XLOOKUP(FME_Ranking1[[#This Row],[FME ID]],FME_Input[FME_ID],FME_Input[DESCR])</f>
        <v xml:space="preserve">Perform H&amp;H modeling, develop conceptual alternatives and OPCC, and rank projects; selected based on the needs analysis </v>
      </c>
      <c r="E982" s="256">
        <f>_xlfn.XLOOKUP(FME_Ranking1[[#This Row],[FME ID]],FME_Input[FME_ID],FME_Input[FME_COST])</f>
        <v>250000</v>
      </c>
      <c r="F982" t="str">
        <f>_xlfn.XLOOKUP(FME_Ranking1[[#This Row],[FME ID]],FME_Input[FME_ID],FME_Input[EMER_NEED])</f>
        <v>No</v>
      </c>
      <c r="G982">
        <f>IF(FME_Ranking!F982="Yes",100,0)</f>
        <v>0</v>
      </c>
      <c r="H982">
        <f>FME_Ranking1[[#This Row],[Emergency Need Score (Normalized, Unweighted)]]*$F$3</f>
        <v>0</v>
      </c>
      <c r="I982" s="246">
        <f>_xlfn.XLOOKUP(FME_Ranking1[[#This Row],[FME ID]],FME_Input[FME_ID],FME_Input[STRUCT_100])</f>
        <v>47</v>
      </c>
      <c r="J982" s="178">
        <f>(FME_Ranking1[[#This Row],[Structures 100 Raw]]/I$2)*100</f>
        <v>2.5168144625797882E-2</v>
      </c>
      <c r="K982" s="178">
        <f>FME_Ranking1[[#This Row],[Structures 100  Score (Normalized, Unweighted)]]*$I$3</f>
        <v>3.7752216938696822E-3</v>
      </c>
      <c r="L982" s="246">
        <f>_xlfn.XLOOKUP(FME_Ranking1[[#This Row],[FME ID]],FME_Input[FME_ID],FME_Input[RES_STRUCT100])</f>
        <v>37</v>
      </c>
      <c r="M982" s="230">
        <f>(FME_Ranking1[[#This Row],[Res Structures Raw]]/L$2)*100</f>
        <v>2.6207306880480515E-2</v>
      </c>
      <c r="N982" s="180">
        <f>FME_Ranking1[[#This Row],[Res Structures Score (Normalized, Unweighted)]]*$L$3</f>
        <v>2.6207306880480516E-3</v>
      </c>
      <c r="O982" s="244">
        <f>_xlfn.XLOOKUP(FME_Ranking1[[#This Row],[FME ID]],FME_Input[FME_ID],FME_Input[POP100])</f>
        <v>105</v>
      </c>
      <c r="P982" s="178">
        <f>(FME_Ranking1[[#This Row],[Pop Raw]]/$O$2)*100</f>
        <v>1.0749407758820145E-2</v>
      </c>
      <c r="Q982" s="178">
        <f>FME_Ranking1[[#This Row],[Pop Score (Normalized, Unweighted)]]*$O$3</f>
        <v>1.6124111638230216E-3</v>
      </c>
      <c r="R982" s="137">
        <f>_xlfn.XLOOKUP(FME_Ranking1[[#This Row],[FME ID]],FME_Input[FME_ID],FME_Input[CRITFAC100])</f>
        <v>0</v>
      </c>
      <c r="S982" s="230">
        <f>(FME_Ranking1[[#This Row],[Critical Facilities Raw]]/$R$2)*100</f>
        <v>0</v>
      </c>
      <c r="T982" s="180">
        <f>FME_Ranking1[[#This Row],[Critical Facilities Score (Normalized, Unweighted)]]*$R$3</f>
        <v>0</v>
      </c>
      <c r="U982">
        <f>_xlfn.XLOOKUP(FME_Ranking1[[#This Row],[FME ID]],FME_Input[FME_ID],FME_Input[LWC])</f>
        <v>7</v>
      </c>
      <c r="V982" s="178">
        <f>(FME_Ranking1[[#This Row],[LWC Raw]]/$U$2)*100</f>
        <v>0.40299366724237184</v>
      </c>
      <c r="W982" s="178">
        <f>FME_Ranking1[[#This Row],[LWC Score (Normalized, Unweighted)]]*$U$3</f>
        <v>8.0598733448474374E-2</v>
      </c>
      <c r="X982" s="246">
        <f>_xlfn.XLOOKUP(FME_Ranking1[[#This Row],[FME ID]],FME_Input[FME_ID],FME_Input[ROADCLS])</f>
        <v>9</v>
      </c>
      <c r="Y982" s="230">
        <f>(FME_Ranking1[[#This Row],[Closures Raw]]/$X$2)*100</f>
        <v>9.462727368310378E-2</v>
      </c>
      <c r="Z982" s="180">
        <f>FME_Ranking1[[#This Row],[Closures Score (Normalized, Unweighted)]]*$X$3</f>
        <v>4.7313636841551897E-3</v>
      </c>
      <c r="AA982" s="253">
        <f>_xlfn.XLOOKUP(FME_Ranking1[[#This Row],[FME ID]],FME_Input[FME_ID],FME_Input[ROAD_MILES100])</f>
        <v>6.8583822250366211</v>
      </c>
      <c r="AB982" s="178">
        <f>(FME_Ranking1[[#This Row],[Miles Raw]]/$AA$2)*100</f>
        <v>9.0175425173223453E-2</v>
      </c>
      <c r="AC982" s="178">
        <f>FME_Ranking1[[#This Row],[Miles Score (Normalized, Unweighted)]]*$AA$3</f>
        <v>9.0175425173223463E-3</v>
      </c>
      <c r="AD982" s="255">
        <f>_xlfn.XLOOKUP(FME_Ranking1[[#This Row],[FME ID]],FME_Input[FME_ID],FME_Input[FARMACRE100])</f>
        <v>183.79185485839841</v>
      </c>
      <c r="AE982" s="230">
        <f>(FME_Ranking1[[#This Row],[Ag Land Raw]]/$AD$2)*100</f>
        <v>7.5787533494439865E-3</v>
      </c>
      <c r="AF982" s="231">
        <f>FME_Ranking1[[#This Row],[Ag Land Score (Normalized, Unweighted)]]*$AD$3</f>
        <v>3.7893766747219935E-4</v>
      </c>
      <c r="AG98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0.10273494086316486</v>
      </c>
      <c r="AH982" s="406">
        <f t="shared" si="15"/>
        <v>1043</v>
      </c>
      <c r="AI98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0.10273494086316486</v>
      </c>
      <c r="AJ982" s="257">
        <f>FME_Ranking1[[#This Row],[Addition check]]-FME_Ranking1[[#This Row],[Weighted Score Based on Normalized Reported Factors]]</f>
        <v>0</v>
      </c>
      <c r="AK982" s="178">
        <f>_xlfn.RANK.EQ(AI982,$AI$6:$AI$2341,0)+COUNTIF($AI$6:AI982,AI982)-1</f>
        <v>1043</v>
      </c>
    </row>
    <row r="983" spans="1:37" x14ac:dyDescent="0.25">
      <c r="A983" t="s">
        <v>9570</v>
      </c>
      <c r="B983">
        <f>_xlfn.XLOOKUP(FME_Ranking1[[#This Row],[FME ID]],FME_Input[FME_ID],FME_Input[RFPG_NUM])</f>
        <v>12</v>
      </c>
      <c r="C983" t="str">
        <f>_xlfn.XLOOKUP(FME_Ranking1[[#This Row],[FME ID]],FME_Input[FME_ID],FME_Input[FME_NAME])</f>
        <v>Install pipe gates to close off streets</v>
      </c>
      <c r="D983" t="str">
        <f>_xlfn.XLOOKUP(FME_Ranking1[[#This Row],[FME ID]],FME_Input[FME_ID],FME_Input[DESCR])</f>
        <v>Install automated systems at low-water crossings with high rate of vehicular access resulting in frequency of accidents and loss of life.</v>
      </c>
      <c r="E983" s="256">
        <f>_xlfn.XLOOKUP(FME_Ranking1[[#This Row],[FME ID]],FME_Input[FME_ID],FME_Input[FME_COST])</f>
        <v>250000</v>
      </c>
      <c r="F983" t="str">
        <f>_xlfn.XLOOKUP(FME_Ranking1[[#This Row],[FME ID]],FME_Input[FME_ID],FME_Input[EMER_NEED])</f>
        <v>Yes</v>
      </c>
      <c r="G983">
        <f>IF(FME_Ranking!F983="Yes",100,0)</f>
        <v>100</v>
      </c>
      <c r="H983">
        <f>FME_Ranking1[[#This Row],[Emergency Need Score (Normalized, Unweighted)]]*$F$3</f>
        <v>0</v>
      </c>
      <c r="I983" s="246">
        <f>_xlfn.XLOOKUP(FME_Ranking1[[#This Row],[FME ID]],FME_Input[FME_ID],FME_Input[STRUCT_100])</f>
        <v>69</v>
      </c>
      <c r="J983" s="178">
        <f>(FME_Ranking1[[#This Row],[Structures 100 Raw]]/I$2)*100</f>
        <v>3.6948978280426682E-2</v>
      </c>
      <c r="K983" s="178">
        <f>FME_Ranking1[[#This Row],[Structures 100  Score (Normalized, Unweighted)]]*$I$3</f>
        <v>5.5423467420640023E-3</v>
      </c>
      <c r="L983" s="246">
        <f>_xlfn.XLOOKUP(FME_Ranking1[[#This Row],[FME ID]],FME_Input[FME_ID],FME_Input[RES_STRUCT100])</f>
        <v>50</v>
      </c>
      <c r="M983" s="230">
        <f>(FME_Ranking1[[#This Row],[Res Structures Raw]]/L$2)*100</f>
        <v>3.5415279568216912E-2</v>
      </c>
      <c r="N983" s="180">
        <f>FME_Ranking1[[#This Row],[Res Structures Score (Normalized, Unweighted)]]*$L$3</f>
        <v>3.5415279568216914E-3</v>
      </c>
      <c r="O983" s="244">
        <f>_xlfn.XLOOKUP(FME_Ranking1[[#This Row],[FME ID]],FME_Input[FME_ID],FME_Input[POP100])</f>
        <v>150</v>
      </c>
      <c r="P983" s="178">
        <f>(FME_Ranking1[[#This Row],[Pop Raw]]/$O$2)*100</f>
        <v>1.5356296798314495E-2</v>
      </c>
      <c r="Q983" s="178">
        <f>FME_Ranking1[[#This Row],[Pop Score (Normalized, Unweighted)]]*$O$3</f>
        <v>2.3034445197471741E-3</v>
      </c>
      <c r="R983" s="137">
        <f>_xlfn.XLOOKUP(FME_Ranking1[[#This Row],[FME ID]],FME_Input[FME_ID],FME_Input[CRITFAC100])</f>
        <v>0</v>
      </c>
      <c r="S983" s="230">
        <f>(FME_Ranking1[[#This Row],[Critical Facilities Raw]]/$R$2)*100</f>
        <v>0</v>
      </c>
      <c r="T983" s="180">
        <f>FME_Ranking1[[#This Row],[Critical Facilities Score (Normalized, Unweighted)]]*$R$3</f>
        <v>0</v>
      </c>
      <c r="U983">
        <f>_xlfn.XLOOKUP(FME_Ranking1[[#This Row],[FME ID]],FME_Input[FME_ID],FME_Input[LWC])</f>
        <v>6</v>
      </c>
      <c r="V983" s="178">
        <f>(FME_Ranking1[[#This Row],[LWC Raw]]/$U$2)*100</f>
        <v>0.34542314335060448</v>
      </c>
      <c r="W983" s="178">
        <f>FME_Ranking1[[#This Row],[LWC Score (Normalized, Unweighted)]]*$U$3</f>
        <v>6.9084628670120898E-2</v>
      </c>
      <c r="X983" s="246">
        <f>_xlfn.XLOOKUP(FME_Ranking1[[#This Row],[FME ID]],FME_Input[FME_ID],FME_Input[ROADCLS])</f>
        <v>25</v>
      </c>
      <c r="Y983" s="230">
        <f>(FME_Ranking1[[#This Row],[Closures Raw]]/$X$2)*100</f>
        <v>0.2628535380086216</v>
      </c>
      <c r="Z983" s="180">
        <f>FME_Ranking1[[#This Row],[Closures Score (Normalized, Unweighted)]]*$X$3</f>
        <v>1.3142676900431081E-2</v>
      </c>
      <c r="AA983" s="253">
        <f>_xlfn.XLOOKUP(FME_Ranking1[[#This Row],[FME ID]],FME_Input[FME_ID],FME_Input[ROAD_MILES100])</f>
        <v>1.549999952316284</v>
      </c>
      <c r="AB983" s="178">
        <f>(FME_Ranking1[[#This Row],[Miles Raw]]/$AA$2)*100</f>
        <v>2.0379719317532005E-2</v>
      </c>
      <c r="AC983" s="178">
        <f>FME_Ranking1[[#This Row],[Miles Score (Normalized, Unweighted)]]*$AA$3</f>
        <v>2.0379719317532006E-3</v>
      </c>
      <c r="AD983" s="255">
        <f>_xlfn.XLOOKUP(FME_Ranking1[[#This Row],[FME ID]],FME_Input[FME_ID],FME_Input[FARMACRE100])</f>
        <v>11.58290004730225</v>
      </c>
      <c r="AE983" s="230">
        <f>(FME_Ranking1[[#This Row],[Ag Land Raw]]/$AD$2)*100</f>
        <v>4.7762694705594857E-4</v>
      </c>
      <c r="AF983" s="231">
        <f>FME_Ranking1[[#This Row],[Ag Land Score (Normalized, Unweighted)]]*$AD$3</f>
        <v>2.3881347352797428E-5</v>
      </c>
      <c r="AG98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9.5676478068290854E-2</v>
      </c>
      <c r="AH983" s="406">
        <f t="shared" si="15"/>
        <v>1063</v>
      </c>
      <c r="AI98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9.5676478068290854E-2</v>
      </c>
      <c r="AJ983" s="257">
        <f>FME_Ranking1[[#This Row],[Addition check]]-FME_Ranking1[[#This Row],[Weighted Score Based on Normalized Reported Factors]]</f>
        <v>0</v>
      </c>
      <c r="AK983" s="178">
        <f>_xlfn.RANK.EQ(AI983,$AI$6:$AI$2341,0)+COUNTIF($AI$6:AI983,AI983)-1</f>
        <v>1063</v>
      </c>
    </row>
    <row r="984" spans="1:37" x14ac:dyDescent="0.25">
      <c r="A984" t="s">
        <v>5965</v>
      </c>
      <c r="B984">
        <f>_xlfn.XLOOKUP(FME_Ranking1[[#This Row],[FME ID]],FME_Input[FME_ID],FME_Input[RFPG_NUM])</f>
        <v>5</v>
      </c>
      <c r="C984" t="str">
        <f>_xlfn.XLOOKUP(FME_Ranking1[[#This Row],[FME ID]],FME_Input[FME_ID],FME_Input[FME_NAME])</f>
        <v>Spindletop Bayou Ditch Improvement</v>
      </c>
      <c r="D984" t="str">
        <f>_xlfn.XLOOKUP(FME_Ranking1[[#This Row],[FME ID]],FME_Input[FME_ID],FME_Input[DESCR])</f>
        <v xml:space="preserve">Evaluate project to quantify benefits, evaluate impacts, and begin design. Improvements include increasing IH10 crossings, enlarge ditches and create retention along the Spindletop Bayou in east Chambers County.
</v>
      </c>
      <c r="E984" s="256">
        <f>_xlfn.XLOOKUP(FME_Ranking1[[#This Row],[FME ID]],FME_Input[FME_ID],FME_Input[FME_COST])</f>
        <v>1500000</v>
      </c>
      <c r="F984" t="str">
        <f>_xlfn.XLOOKUP(FME_Ranking1[[#This Row],[FME ID]],FME_Input[FME_ID],FME_Input[EMER_NEED])</f>
        <v>Yes</v>
      </c>
      <c r="G984">
        <f>IF(FME_Ranking!F984="Yes",100,0)</f>
        <v>100</v>
      </c>
      <c r="H984">
        <f>FME_Ranking1[[#This Row],[Emergency Need Score (Normalized, Unweighted)]]*$F$3</f>
        <v>0</v>
      </c>
      <c r="I984" s="246">
        <f>_xlfn.XLOOKUP(FME_Ranking1[[#This Row],[FME ID]],FME_Input[FME_ID],FME_Input[STRUCT_100])</f>
        <v>345</v>
      </c>
      <c r="J984" s="178">
        <f>(FME_Ranking1[[#This Row],[Structures 100 Raw]]/I$2)*100</f>
        <v>0.1847448914021334</v>
      </c>
      <c r="K984" s="178">
        <f>FME_Ranking1[[#This Row],[Structures 100  Score (Normalized, Unweighted)]]*$I$3</f>
        <v>2.771173371032001E-2</v>
      </c>
      <c r="L984" s="246">
        <f>_xlfn.XLOOKUP(FME_Ranking1[[#This Row],[FME ID]],FME_Input[FME_ID],FME_Input[RES_STRUCT100])</f>
        <v>237</v>
      </c>
      <c r="M984" s="230">
        <f>(FME_Ranking1[[#This Row],[Res Structures Raw]]/L$2)*100</f>
        <v>0.16786842515334818</v>
      </c>
      <c r="N984" s="180">
        <f>FME_Ranking1[[#This Row],[Res Structures Score (Normalized, Unweighted)]]*$L$3</f>
        <v>1.678684251533482E-2</v>
      </c>
      <c r="O984" s="244">
        <f>_xlfn.XLOOKUP(FME_Ranking1[[#This Row],[FME ID]],FME_Input[FME_ID],FME_Input[POP100])</f>
        <v>162</v>
      </c>
      <c r="P984" s="178">
        <f>(FME_Ranking1[[#This Row],[Pop Raw]]/$O$2)*100</f>
        <v>1.6584800542179652E-2</v>
      </c>
      <c r="Q984" s="178">
        <f>FME_Ranking1[[#This Row],[Pop Score (Normalized, Unweighted)]]*$O$3</f>
        <v>2.4877200813269479E-3</v>
      </c>
      <c r="R984" s="137">
        <f>_xlfn.XLOOKUP(FME_Ranking1[[#This Row],[FME ID]],FME_Input[FME_ID],FME_Input[CRITFAC100])</f>
        <v>0</v>
      </c>
      <c r="S984" s="230">
        <f>(FME_Ranking1[[#This Row],[Critical Facilities Raw]]/$R$2)*100</f>
        <v>0</v>
      </c>
      <c r="T984" s="180">
        <f>FME_Ranking1[[#This Row],[Critical Facilities Score (Normalized, Unweighted)]]*$R$3</f>
        <v>0</v>
      </c>
      <c r="U984">
        <f>_xlfn.XLOOKUP(FME_Ranking1[[#This Row],[FME ID]],FME_Input[FME_ID],FME_Input[LWC])</f>
        <v>0</v>
      </c>
      <c r="V984" s="178">
        <f>(FME_Ranking1[[#This Row],[LWC Raw]]/$U$2)*100</f>
        <v>0</v>
      </c>
      <c r="W984" s="178">
        <f>FME_Ranking1[[#This Row],[LWC Score (Normalized, Unweighted)]]*$U$3</f>
        <v>0</v>
      </c>
      <c r="X984" s="246">
        <f>_xlfn.XLOOKUP(FME_Ranking1[[#This Row],[FME ID]],FME_Input[FME_ID],FME_Input[ROADCLS])</f>
        <v>0</v>
      </c>
      <c r="Y984" s="230">
        <f>(FME_Ranking1[[#This Row],[Closures Raw]]/$X$2)*100</f>
        <v>0</v>
      </c>
      <c r="Z984" s="180">
        <f>FME_Ranking1[[#This Row],[Closures Score (Normalized, Unweighted)]]*$X$3</f>
        <v>0</v>
      </c>
      <c r="AA984" s="253">
        <f>_xlfn.XLOOKUP(FME_Ranking1[[#This Row],[FME ID]],FME_Input[FME_ID],FME_Input[ROAD_MILES100])</f>
        <v>78.878807067871094</v>
      </c>
      <c r="AB984" s="178">
        <f>(FME_Ranking1[[#This Row],[Miles Raw]]/$AA$2)*100</f>
        <v>1.0371148371602981</v>
      </c>
      <c r="AC984" s="178">
        <f>FME_Ranking1[[#This Row],[Miles Score (Normalized, Unweighted)]]*$AA$3</f>
        <v>0.10371148371602981</v>
      </c>
      <c r="AD984" s="255">
        <f>_xlfn.XLOOKUP(FME_Ranking1[[#This Row],[FME ID]],FME_Input[FME_ID],FME_Input[FARMACRE100])</f>
        <v>22570.212890625</v>
      </c>
      <c r="AE984" s="230">
        <f>(FME_Ranking1[[#This Row],[Ag Land Raw]]/$AD$2)*100</f>
        <v>0.93069454396809848</v>
      </c>
      <c r="AF984" s="231">
        <f>FME_Ranking1[[#This Row],[Ag Land Score (Normalized, Unweighted)]]*$AD$3</f>
        <v>4.6534727198404929E-2</v>
      </c>
      <c r="AG98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0.19723250722141653</v>
      </c>
      <c r="AH984" s="406">
        <f t="shared" si="15"/>
        <v>805</v>
      </c>
      <c r="AI98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0.19723250722141653</v>
      </c>
      <c r="AJ984" s="257">
        <f>FME_Ranking1[[#This Row],[Addition check]]-FME_Ranking1[[#This Row],[Weighted Score Based on Normalized Reported Factors]]</f>
        <v>0</v>
      </c>
      <c r="AK984" s="178">
        <f>_xlfn.RANK.EQ(AI984,$AI$6:$AI$2341,0)+COUNTIF($AI$6:AI984,AI984)-1</f>
        <v>805</v>
      </c>
    </row>
    <row r="985" spans="1:37" x14ac:dyDescent="0.25">
      <c r="A985" t="s">
        <v>1013</v>
      </c>
      <c r="B985">
        <f>_xlfn.XLOOKUP(FME_Ranking1[[#This Row],[FME ID]],FME_Input[FME_ID],FME_Input[RFPG_NUM])</f>
        <v>6</v>
      </c>
      <c r="C985" t="str">
        <f>_xlfn.XLOOKUP(FME_Ranking1[[#This Row],[FME ID]],FME_Input[FME_ID],FME_Input[FME_NAME])</f>
        <v>Hickory Slough (Upper Segment)</v>
      </c>
      <c r="D985" t="str">
        <f>_xlfn.XLOOKUP(FME_Ranking1[[#This Row],[FME ID]],FME_Input[FME_ID],FME_Input[DESCR])</f>
        <v>Further study including Atlas 14 rainfall incorporation and Benefit Cost Analysis of proposed channel modifications included in the City of Pearland master drainage plan.</v>
      </c>
      <c r="E985" s="256">
        <f>_xlfn.XLOOKUP(FME_Ranking1[[#This Row],[FME ID]],FME_Input[FME_ID],FME_Input[FME_COST])</f>
        <v>1136000</v>
      </c>
      <c r="F985" t="str">
        <f>_xlfn.XLOOKUP(FME_Ranking1[[#This Row],[FME ID]],FME_Input[FME_ID],FME_Input[EMER_NEED])</f>
        <v>No</v>
      </c>
      <c r="G985">
        <f>IF(FME_Ranking!F985="Yes",100,0)</f>
        <v>0</v>
      </c>
      <c r="H985">
        <f>FME_Ranking1[[#This Row],[Emergency Need Score (Normalized, Unweighted)]]*$F$3</f>
        <v>0</v>
      </c>
      <c r="I985" s="246">
        <f>_xlfn.XLOOKUP(FME_Ranking1[[#This Row],[FME ID]],FME_Input[FME_ID],FME_Input[STRUCT_100])</f>
        <v>413</v>
      </c>
      <c r="J985" s="178">
        <f>(FME_Ranking1[[#This Row],[Structures 100 Raw]]/I$2)*100</f>
        <v>0.22115837724371334</v>
      </c>
      <c r="K985" s="178">
        <f>FME_Ranking1[[#This Row],[Structures 100  Score (Normalized, Unweighted)]]*$I$3</f>
        <v>3.3173756586557003E-2</v>
      </c>
      <c r="L985" s="246">
        <f>_xlfn.XLOOKUP(FME_Ranking1[[#This Row],[FME ID]],FME_Input[FME_ID],FME_Input[RES_STRUCT100])</f>
        <v>91</v>
      </c>
      <c r="M985" s="230">
        <f>(FME_Ranking1[[#This Row],[Res Structures Raw]]/L$2)*100</f>
        <v>6.4455808814154775E-2</v>
      </c>
      <c r="N985" s="180">
        <f>FME_Ranking1[[#This Row],[Res Structures Score (Normalized, Unweighted)]]*$L$3</f>
        <v>6.4455808814154782E-3</v>
      </c>
      <c r="O985" s="244">
        <f>_xlfn.XLOOKUP(FME_Ranking1[[#This Row],[FME ID]],FME_Input[FME_ID],FME_Input[POP100])</f>
        <v>1269</v>
      </c>
      <c r="P985" s="178">
        <f>(FME_Ranking1[[#This Row],[Pop Raw]]/$O$2)*100</f>
        <v>0.12991427091374061</v>
      </c>
      <c r="Q985" s="178">
        <f>FME_Ranking1[[#This Row],[Pop Score (Normalized, Unweighted)]]*$O$3</f>
        <v>1.9487140637061091E-2</v>
      </c>
      <c r="R985" s="137">
        <f>_xlfn.XLOOKUP(FME_Ranking1[[#This Row],[FME ID]],FME_Input[FME_ID],FME_Input[CRITFAC100])</f>
        <v>4</v>
      </c>
      <c r="S985" s="230">
        <f>(FME_Ranking1[[#This Row],[Critical Facilities Raw]]/$R$2)*100</f>
        <v>0.17152658662092624</v>
      </c>
      <c r="T985" s="180">
        <f>FME_Ranking1[[#This Row],[Critical Facilities Score (Normalized, Unweighted)]]*$R$3</f>
        <v>3.430531732418525E-2</v>
      </c>
      <c r="U985">
        <f>_xlfn.XLOOKUP(FME_Ranking1[[#This Row],[FME ID]],FME_Input[FME_ID],FME_Input[LWC])</f>
        <v>0</v>
      </c>
      <c r="V985" s="178">
        <f>(FME_Ranking1[[#This Row],[LWC Raw]]/$U$2)*100</f>
        <v>0</v>
      </c>
      <c r="W985" s="178">
        <f>FME_Ranking1[[#This Row],[LWC Score (Normalized, Unweighted)]]*$U$3</f>
        <v>0</v>
      </c>
      <c r="X985" s="246">
        <f>_xlfn.XLOOKUP(FME_Ranking1[[#This Row],[FME ID]],FME_Input[FME_ID],FME_Input[ROADCLS])</f>
        <v>0</v>
      </c>
      <c r="Y985" s="230">
        <f>(FME_Ranking1[[#This Row],[Closures Raw]]/$X$2)*100</f>
        <v>0</v>
      </c>
      <c r="Z985" s="180">
        <f>FME_Ranking1[[#This Row],[Closures Score (Normalized, Unweighted)]]*$X$3</f>
        <v>0</v>
      </c>
      <c r="AA985" s="253">
        <f>_xlfn.XLOOKUP(FME_Ranking1[[#This Row],[FME ID]],FME_Input[FME_ID],FME_Input[ROAD_MILES100])</f>
        <v>1.56134021282196</v>
      </c>
      <c r="AB985" s="178">
        <f>(FME_Ranking1[[#This Row],[Miles Raw]]/$AA$2)*100</f>
        <v>2.0528823403469561E-2</v>
      </c>
      <c r="AC985" s="178">
        <f>FME_Ranking1[[#This Row],[Miles Score (Normalized, Unweighted)]]*$AA$3</f>
        <v>2.0528823403469561E-3</v>
      </c>
      <c r="AD985" s="255">
        <f>_xlfn.XLOOKUP(FME_Ranking1[[#This Row],[FME ID]],FME_Input[FME_ID],FME_Input[FARMACRE100])</f>
        <v>6.4840354919433594</v>
      </c>
      <c r="AE985" s="230">
        <f>(FME_Ranking1[[#This Row],[Ag Land Raw]]/$AD$2)*100</f>
        <v>2.6737259787894198E-4</v>
      </c>
      <c r="AF985" s="231">
        <f>FME_Ranking1[[#This Row],[Ag Land Score (Normalized, Unweighted)]]*$AD$3</f>
        <v>1.3368629893947099E-5</v>
      </c>
      <c r="AG98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9.5478046399459712E-2</v>
      </c>
      <c r="AH985" s="406">
        <f t="shared" si="15"/>
        <v>1064</v>
      </c>
      <c r="AI98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9.5478046399459712E-2</v>
      </c>
      <c r="AJ985" s="257">
        <f>FME_Ranking1[[#This Row],[Addition check]]-FME_Ranking1[[#This Row],[Weighted Score Based on Normalized Reported Factors]]</f>
        <v>0</v>
      </c>
      <c r="AK985" s="178">
        <f>_xlfn.RANK.EQ(AI985,$AI$6:$AI$2341,0)+COUNTIF($AI$6:AI985,AI985)-1</f>
        <v>1064</v>
      </c>
    </row>
    <row r="986" spans="1:37" x14ac:dyDescent="0.25">
      <c r="A986" t="s">
        <v>9351</v>
      </c>
      <c r="B986">
        <f>_xlfn.XLOOKUP(FME_Ranking1[[#This Row],[FME ID]],FME_Input[FME_ID],FME_Input[RFPG_NUM])</f>
        <v>12</v>
      </c>
      <c r="C986" t="str">
        <f>_xlfn.XLOOKUP(FME_Ranking1[[#This Row],[FME ID]],FME_Input[FME_ID],FME_Input[FME_NAME])</f>
        <v>Mitigate local flooding in identified problem areas</v>
      </c>
      <c r="D986" t="str">
        <f>_xlfn.XLOOKUP(FME_Ranking1[[#This Row],[FME ID]],FME_Input[FME_ID],FME_Input[DESCR])</f>
        <v>Identify problem flooding areas and implement a program to reduce loaclized flooding</v>
      </c>
      <c r="E986" s="256">
        <f>_xlfn.XLOOKUP(FME_Ranking1[[#This Row],[FME ID]],FME_Input[FME_ID],FME_Input[FME_COST])</f>
        <v>5000</v>
      </c>
      <c r="F986" t="str">
        <f>_xlfn.XLOOKUP(FME_Ranking1[[#This Row],[FME ID]],FME_Input[FME_ID],FME_Input[EMER_NEED])</f>
        <v>Yes</v>
      </c>
      <c r="G986">
        <f>IF(FME_Ranking!F986="Yes",100,0)</f>
        <v>100</v>
      </c>
      <c r="H986">
        <f>FME_Ranking1[[#This Row],[Emergency Need Score (Normalized, Unweighted)]]*$F$3</f>
        <v>0</v>
      </c>
      <c r="I986" s="246">
        <f>_xlfn.XLOOKUP(FME_Ranking1[[#This Row],[FME ID]],FME_Input[FME_ID],FME_Input[STRUCT_100])</f>
        <v>69</v>
      </c>
      <c r="J986" s="178">
        <f>(FME_Ranking1[[#This Row],[Structures 100 Raw]]/I$2)*100</f>
        <v>3.6948978280426682E-2</v>
      </c>
      <c r="K986" s="178">
        <f>FME_Ranking1[[#This Row],[Structures 100  Score (Normalized, Unweighted)]]*$I$3</f>
        <v>5.5423467420640023E-3</v>
      </c>
      <c r="L986" s="246">
        <f>_xlfn.XLOOKUP(FME_Ranking1[[#This Row],[FME ID]],FME_Input[FME_ID],FME_Input[RES_STRUCT100])</f>
        <v>50</v>
      </c>
      <c r="M986" s="230">
        <f>(FME_Ranking1[[#This Row],[Res Structures Raw]]/L$2)*100</f>
        <v>3.5415279568216912E-2</v>
      </c>
      <c r="N986" s="180">
        <f>FME_Ranking1[[#This Row],[Res Structures Score (Normalized, Unweighted)]]*$L$3</f>
        <v>3.5415279568216914E-3</v>
      </c>
      <c r="O986" s="244">
        <f>_xlfn.XLOOKUP(FME_Ranking1[[#This Row],[FME ID]],FME_Input[FME_ID],FME_Input[POP100])</f>
        <v>100</v>
      </c>
      <c r="P986" s="178">
        <f>(FME_Ranking1[[#This Row],[Pop Raw]]/$O$2)*100</f>
        <v>1.0237531198876328E-2</v>
      </c>
      <c r="Q986" s="178">
        <f>FME_Ranking1[[#This Row],[Pop Score (Normalized, Unweighted)]]*$O$3</f>
        <v>1.5356296798314491E-3</v>
      </c>
      <c r="R986" s="137">
        <f>_xlfn.XLOOKUP(FME_Ranking1[[#This Row],[FME ID]],FME_Input[FME_ID],FME_Input[CRITFAC100])</f>
        <v>0</v>
      </c>
      <c r="S986" s="230">
        <f>(FME_Ranking1[[#This Row],[Critical Facilities Raw]]/$R$2)*100</f>
        <v>0</v>
      </c>
      <c r="T986" s="180">
        <f>FME_Ranking1[[#This Row],[Critical Facilities Score (Normalized, Unweighted)]]*$R$3</f>
        <v>0</v>
      </c>
      <c r="U986">
        <f>_xlfn.XLOOKUP(FME_Ranking1[[#This Row],[FME ID]],FME_Input[FME_ID],FME_Input[LWC])</f>
        <v>6</v>
      </c>
      <c r="V986" s="178">
        <f>(FME_Ranking1[[#This Row],[LWC Raw]]/$U$2)*100</f>
        <v>0.34542314335060448</v>
      </c>
      <c r="W986" s="178">
        <f>FME_Ranking1[[#This Row],[LWC Score (Normalized, Unweighted)]]*$U$3</f>
        <v>6.9084628670120898E-2</v>
      </c>
      <c r="X986" s="246">
        <f>_xlfn.XLOOKUP(FME_Ranking1[[#This Row],[FME ID]],FME_Input[FME_ID],FME_Input[ROADCLS])</f>
        <v>25</v>
      </c>
      <c r="Y986" s="230">
        <f>(FME_Ranking1[[#This Row],[Closures Raw]]/$X$2)*100</f>
        <v>0.2628535380086216</v>
      </c>
      <c r="Z986" s="180">
        <f>FME_Ranking1[[#This Row],[Closures Score (Normalized, Unweighted)]]*$X$3</f>
        <v>1.3142676900431081E-2</v>
      </c>
      <c r="AA986" s="253">
        <f>_xlfn.XLOOKUP(FME_Ranking1[[#This Row],[FME ID]],FME_Input[FME_ID],FME_Input[ROAD_MILES100])</f>
        <v>1.549999952316284</v>
      </c>
      <c r="AB986" s="178">
        <f>(FME_Ranking1[[#This Row],[Miles Raw]]/$AA$2)*100</f>
        <v>2.0379719317532005E-2</v>
      </c>
      <c r="AC986" s="178">
        <f>FME_Ranking1[[#This Row],[Miles Score (Normalized, Unweighted)]]*$AA$3</f>
        <v>2.0379719317532006E-3</v>
      </c>
      <c r="AD986" s="255">
        <f>_xlfn.XLOOKUP(FME_Ranking1[[#This Row],[FME ID]],FME_Input[FME_ID],FME_Input[FARMACRE100])</f>
        <v>11.58290004730225</v>
      </c>
      <c r="AE986" s="230">
        <f>(FME_Ranking1[[#This Row],[Ag Land Raw]]/$AD$2)*100</f>
        <v>4.7762694705594857E-4</v>
      </c>
      <c r="AF986" s="231">
        <f>FME_Ranking1[[#This Row],[Ag Land Score (Normalized, Unweighted)]]*$AD$3</f>
        <v>2.3881347352797428E-5</v>
      </c>
      <c r="AG98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9.4908663228375129E-2</v>
      </c>
      <c r="AH986" s="406">
        <f t="shared" si="15"/>
        <v>1069</v>
      </c>
      <c r="AI98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9.4908663228375129E-2</v>
      </c>
      <c r="AJ986" s="257">
        <f>FME_Ranking1[[#This Row],[Addition check]]-FME_Ranking1[[#This Row],[Weighted Score Based on Normalized Reported Factors]]</f>
        <v>0</v>
      </c>
      <c r="AK986" s="178">
        <f>_xlfn.RANK.EQ(AI986,$AI$6:$AI$2341,0)+COUNTIF($AI$6:AI986,AI986)-1</f>
        <v>1069</v>
      </c>
    </row>
    <row r="987" spans="1:37" x14ac:dyDescent="0.25">
      <c r="A987" t="s">
        <v>9364</v>
      </c>
      <c r="B987">
        <f>_xlfn.XLOOKUP(FME_Ranking1[[#This Row],[FME ID]],FME_Input[FME_ID],FME_Input[RFPG_NUM])</f>
        <v>12</v>
      </c>
      <c r="C987" t="str">
        <f>_xlfn.XLOOKUP(FME_Ranking1[[#This Row],[FME ID]],FME_Input[FME_ID],FME_Input[FME_NAME])</f>
        <v>Install early warning systems</v>
      </c>
      <c r="D987" t="str">
        <f>_xlfn.XLOOKUP(FME_Ranking1[[#This Row],[FME ID]],FME_Input[FME_ID],FME_Input[DESCR])</f>
        <v>Conduct a feasibility study that evaluates the coverage area, property ownership and availability, power requirements, telemetry requirements, technology, cost, and other local considerations. Based on study findings, install an emergency warning systems</v>
      </c>
      <c r="E987" s="256">
        <f>_xlfn.XLOOKUP(FME_Ranking1[[#This Row],[FME ID]],FME_Input[FME_ID],FME_Input[FME_COST])</f>
        <v>100000</v>
      </c>
      <c r="F987" t="str">
        <f>_xlfn.XLOOKUP(FME_Ranking1[[#This Row],[FME ID]],FME_Input[FME_ID],FME_Input[EMER_NEED])</f>
        <v>Yes</v>
      </c>
      <c r="G987">
        <f>IF(FME_Ranking!F987="Yes",100,0)</f>
        <v>100</v>
      </c>
      <c r="H987">
        <f>FME_Ranking1[[#This Row],[Emergency Need Score (Normalized, Unweighted)]]*$F$3</f>
        <v>0</v>
      </c>
      <c r="I987" s="246">
        <f>_xlfn.XLOOKUP(FME_Ranking1[[#This Row],[FME ID]],FME_Input[FME_ID],FME_Input[STRUCT_100])</f>
        <v>69</v>
      </c>
      <c r="J987" s="178">
        <f>(FME_Ranking1[[#This Row],[Structures 100 Raw]]/I$2)*100</f>
        <v>3.6948978280426682E-2</v>
      </c>
      <c r="K987" s="178">
        <f>FME_Ranking1[[#This Row],[Structures 100  Score (Normalized, Unweighted)]]*$I$3</f>
        <v>5.5423467420640023E-3</v>
      </c>
      <c r="L987" s="246">
        <f>_xlfn.XLOOKUP(FME_Ranking1[[#This Row],[FME ID]],FME_Input[FME_ID],FME_Input[RES_STRUCT100])</f>
        <v>50</v>
      </c>
      <c r="M987" s="230">
        <f>(FME_Ranking1[[#This Row],[Res Structures Raw]]/L$2)*100</f>
        <v>3.5415279568216912E-2</v>
      </c>
      <c r="N987" s="180">
        <f>FME_Ranking1[[#This Row],[Res Structures Score (Normalized, Unweighted)]]*$L$3</f>
        <v>3.5415279568216914E-3</v>
      </c>
      <c r="O987" s="244">
        <f>_xlfn.XLOOKUP(FME_Ranking1[[#This Row],[FME ID]],FME_Input[FME_ID],FME_Input[POP100])</f>
        <v>100</v>
      </c>
      <c r="P987" s="178">
        <f>(FME_Ranking1[[#This Row],[Pop Raw]]/$O$2)*100</f>
        <v>1.0237531198876328E-2</v>
      </c>
      <c r="Q987" s="178">
        <f>FME_Ranking1[[#This Row],[Pop Score (Normalized, Unweighted)]]*$O$3</f>
        <v>1.5356296798314491E-3</v>
      </c>
      <c r="R987" s="137">
        <f>_xlfn.XLOOKUP(FME_Ranking1[[#This Row],[FME ID]],FME_Input[FME_ID],FME_Input[CRITFAC100])</f>
        <v>0</v>
      </c>
      <c r="S987" s="230">
        <f>(FME_Ranking1[[#This Row],[Critical Facilities Raw]]/$R$2)*100</f>
        <v>0</v>
      </c>
      <c r="T987" s="180">
        <f>FME_Ranking1[[#This Row],[Critical Facilities Score (Normalized, Unweighted)]]*$R$3</f>
        <v>0</v>
      </c>
      <c r="U987">
        <f>_xlfn.XLOOKUP(FME_Ranking1[[#This Row],[FME ID]],FME_Input[FME_ID],FME_Input[LWC])</f>
        <v>6</v>
      </c>
      <c r="V987" s="178">
        <f>(FME_Ranking1[[#This Row],[LWC Raw]]/$U$2)*100</f>
        <v>0.34542314335060448</v>
      </c>
      <c r="W987" s="178">
        <f>FME_Ranking1[[#This Row],[LWC Score (Normalized, Unweighted)]]*$U$3</f>
        <v>6.9084628670120898E-2</v>
      </c>
      <c r="X987" s="246">
        <f>_xlfn.XLOOKUP(FME_Ranking1[[#This Row],[FME ID]],FME_Input[FME_ID],FME_Input[ROADCLS])</f>
        <v>25</v>
      </c>
      <c r="Y987" s="230">
        <f>(FME_Ranking1[[#This Row],[Closures Raw]]/$X$2)*100</f>
        <v>0.2628535380086216</v>
      </c>
      <c r="Z987" s="180">
        <f>FME_Ranking1[[#This Row],[Closures Score (Normalized, Unweighted)]]*$X$3</f>
        <v>1.3142676900431081E-2</v>
      </c>
      <c r="AA987" s="253">
        <f>_xlfn.XLOOKUP(FME_Ranking1[[#This Row],[FME ID]],FME_Input[FME_ID],FME_Input[ROAD_MILES100])</f>
        <v>1.549999952316284</v>
      </c>
      <c r="AB987" s="178">
        <f>(FME_Ranking1[[#This Row],[Miles Raw]]/$AA$2)*100</f>
        <v>2.0379719317532005E-2</v>
      </c>
      <c r="AC987" s="178">
        <f>FME_Ranking1[[#This Row],[Miles Score (Normalized, Unweighted)]]*$AA$3</f>
        <v>2.0379719317532006E-3</v>
      </c>
      <c r="AD987" s="255">
        <f>_xlfn.XLOOKUP(FME_Ranking1[[#This Row],[FME ID]],FME_Input[FME_ID],FME_Input[FARMACRE100])</f>
        <v>11.58290004730225</v>
      </c>
      <c r="AE987" s="230">
        <f>(FME_Ranking1[[#This Row],[Ag Land Raw]]/$AD$2)*100</f>
        <v>4.7762694705594857E-4</v>
      </c>
      <c r="AF987" s="231">
        <f>FME_Ranking1[[#This Row],[Ag Land Score (Normalized, Unweighted)]]*$AD$3</f>
        <v>2.3881347352797428E-5</v>
      </c>
      <c r="AG98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9.4908663228375129E-2</v>
      </c>
      <c r="AH987" s="406">
        <f t="shared" si="15"/>
        <v>1069</v>
      </c>
      <c r="AI98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9.4908663228375129E-2</v>
      </c>
      <c r="AJ987" s="257">
        <f>FME_Ranking1[[#This Row],[Addition check]]-FME_Ranking1[[#This Row],[Weighted Score Based on Normalized Reported Factors]]</f>
        <v>0</v>
      </c>
      <c r="AK987" s="178">
        <f>_xlfn.RANK.EQ(AI987,$AI$6:$AI$2341,0)+COUNTIF($AI$6:AI987,AI987)-1</f>
        <v>1070</v>
      </c>
    </row>
    <row r="988" spans="1:37" x14ac:dyDescent="0.25">
      <c r="A988" t="s">
        <v>9367</v>
      </c>
      <c r="B988">
        <f>_xlfn.XLOOKUP(FME_Ranking1[[#This Row],[FME ID]],FME_Input[FME_ID],FME_Input[RFPG_NUM])</f>
        <v>12</v>
      </c>
      <c r="C988" t="str">
        <f>_xlfn.XLOOKUP(FME_Ranking1[[#This Row],[FME ID]],FME_Input[FME_ID],FME_Input[FME_NAME])</f>
        <v>Drainage Study Marcelinas Creek and its major tributary</v>
      </c>
      <c r="D988" t="str">
        <f>_xlfn.XLOOKUP(FME_Ranking1[[#This Row],[FME ID]],FME_Input[FME_ID],FME_Input[DESCR])</f>
        <v>Marcelinas Creek has a floodplain that runs through the center of the city. Install stream gauges and identify alternatives to mitigate flooding. Implement study findings.</v>
      </c>
      <c r="E988" s="256">
        <f>_xlfn.XLOOKUP(FME_Ranking1[[#This Row],[FME ID]],FME_Input[FME_ID],FME_Input[FME_COST])</f>
        <v>250727</v>
      </c>
      <c r="F988" t="str">
        <f>_xlfn.XLOOKUP(FME_Ranking1[[#This Row],[FME ID]],FME_Input[FME_ID],FME_Input[EMER_NEED])</f>
        <v>Yes</v>
      </c>
      <c r="G988">
        <f>IF(FME_Ranking!F988="Yes",100,0)</f>
        <v>100</v>
      </c>
      <c r="H988">
        <f>FME_Ranking1[[#This Row],[Emergency Need Score (Normalized, Unweighted)]]*$F$3</f>
        <v>0</v>
      </c>
      <c r="I988" s="246">
        <f>_xlfn.XLOOKUP(FME_Ranking1[[#This Row],[FME ID]],FME_Input[FME_ID],FME_Input[STRUCT_100])</f>
        <v>69</v>
      </c>
      <c r="J988" s="178">
        <f>(FME_Ranking1[[#This Row],[Structures 100 Raw]]/I$2)*100</f>
        <v>3.6948978280426682E-2</v>
      </c>
      <c r="K988" s="178">
        <f>FME_Ranking1[[#This Row],[Structures 100  Score (Normalized, Unweighted)]]*$I$3</f>
        <v>5.5423467420640023E-3</v>
      </c>
      <c r="L988" s="246">
        <f>_xlfn.XLOOKUP(FME_Ranking1[[#This Row],[FME ID]],FME_Input[FME_ID],FME_Input[RES_STRUCT100])</f>
        <v>50</v>
      </c>
      <c r="M988" s="230">
        <f>(FME_Ranking1[[#This Row],[Res Structures Raw]]/L$2)*100</f>
        <v>3.5415279568216912E-2</v>
      </c>
      <c r="N988" s="180">
        <f>FME_Ranking1[[#This Row],[Res Structures Score (Normalized, Unweighted)]]*$L$3</f>
        <v>3.5415279568216914E-3</v>
      </c>
      <c r="O988" s="244">
        <f>_xlfn.XLOOKUP(FME_Ranking1[[#This Row],[FME ID]],FME_Input[FME_ID],FME_Input[POP100])</f>
        <v>100</v>
      </c>
      <c r="P988" s="178">
        <f>(FME_Ranking1[[#This Row],[Pop Raw]]/$O$2)*100</f>
        <v>1.0237531198876328E-2</v>
      </c>
      <c r="Q988" s="178">
        <f>FME_Ranking1[[#This Row],[Pop Score (Normalized, Unweighted)]]*$O$3</f>
        <v>1.5356296798314491E-3</v>
      </c>
      <c r="R988" s="137">
        <f>_xlfn.XLOOKUP(FME_Ranking1[[#This Row],[FME ID]],FME_Input[FME_ID],FME_Input[CRITFAC100])</f>
        <v>0</v>
      </c>
      <c r="S988" s="230">
        <f>(FME_Ranking1[[#This Row],[Critical Facilities Raw]]/$R$2)*100</f>
        <v>0</v>
      </c>
      <c r="T988" s="180">
        <f>FME_Ranking1[[#This Row],[Critical Facilities Score (Normalized, Unweighted)]]*$R$3</f>
        <v>0</v>
      </c>
      <c r="U988">
        <f>_xlfn.XLOOKUP(FME_Ranking1[[#This Row],[FME ID]],FME_Input[FME_ID],FME_Input[LWC])</f>
        <v>6</v>
      </c>
      <c r="V988" s="178">
        <f>(FME_Ranking1[[#This Row],[LWC Raw]]/$U$2)*100</f>
        <v>0.34542314335060448</v>
      </c>
      <c r="W988" s="178">
        <f>FME_Ranking1[[#This Row],[LWC Score (Normalized, Unweighted)]]*$U$3</f>
        <v>6.9084628670120898E-2</v>
      </c>
      <c r="X988" s="246">
        <f>_xlfn.XLOOKUP(FME_Ranking1[[#This Row],[FME ID]],FME_Input[FME_ID],FME_Input[ROADCLS])</f>
        <v>25</v>
      </c>
      <c r="Y988" s="230">
        <f>(FME_Ranking1[[#This Row],[Closures Raw]]/$X$2)*100</f>
        <v>0.2628535380086216</v>
      </c>
      <c r="Z988" s="180">
        <f>FME_Ranking1[[#This Row],[Closures Score (Normalized, Unweighted)]]*$X$3</f>
        <v>1.3142676900431081E-2</v>
      </c>
      <c r="AA988" s="253">
        <f>_xlfn.XLOOKUP(FME_Ranking1[[#This Row],[FME ID]],FME_Input[FME_ID],FME_Input[ROAD_MILES100])</f>
        <v>1.549999952316284</v>
      </c>
      <c r="AB988" s="178">
        <f>(FME_Ranking1[[#This Row],[Miles Raw]]/$AA$2)*100</f>
        <v>2.0379719317532005E-2</v>
      </c>
      <c r="AC988" s="178">
        <f>FME_Ranking1[[#This Row],[Miles Score (Normalized, Unweighted)]]*$AA$3</f>
        <v>2.0379719317532006E-3</v>
      </c>
      <c r="AD988" s="255">
        <f>_xlfn.XLOOKUP(FME_Ranking1[[#This Row],[FME ID]],FME_Input[FME_ID],FME_Input[FARMACRE100])</f>
        <v>11.58290004730225</v>
      </c>
      <c r="AE988" s="230">
        <f>(FME_Ranking1[[#This Row],[Ag Land Raw]]/$AD$2)*100</f>
        <v>4.7762694705594857E-4</v>
      </c>
      <c r="AF988" s="231">
        <f>FME_Ranking1[[#This Row],[Ag Land Score (Normalized, Unweighted)]]*$AD$3</f>
        <v>2.3881347352797428E-5</v>
      </c>
      <c r="AG98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9.4908663228375129E-2</v>
      </c>
      <c r="AH988" s="406">
        <f t="shared" si="15"/>
        <v>1069</v>
      </c>
      <c r="AI98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9.4908663228375129E-2</v>
      </c>
      <c r="AJ988" s="257">
        <f>FME_Ranking1[[#This Row],[Addition check]]-FME_Ranking1[[#This Row],[Weighted Score Based on Normalized Reported Factors]]</f>
        <v>0</v>
      </c>
      <c r="AK988" s="178">
        <f>_xlfn.RANK.EQ(AI988,$AI$6:$AI$2341,0)+COUNTIF($AI$6:AI988,AI988)-1</f>
        <v>1071</v>
      </c>
    </row>
    <row r="989" spans="1:37" x14ac:dyDescent="0.25">
      <c r="A989" t="s">
        <v>9370</v>
      </c>
      <c r="B989">
        <f>_xlfn.XLOOKUP(FME_Ranking1[[#This Row],[FME ID]],FME_Input[FME_ID],FME_Input[RFPG_NUM])</f>
        <v>12</v>
      </c>
      <c r="C989" t="str">
        <f>_xlfn.XLOOKUP(FME_Ranking1[[#This Row],[FME ID]],FME_Input[FME_ID],FME_Input[FME_NAME])</f>
        <v>Build Detention Pond</v>
      </c>
      <c r="D989" t="str">
        <f>_xlfn.XLOOKUP(FME_Ranking1[[#This Row],[FME ID]],FME_Input[FME_ID],FME_Input[DESCR])</f>
        <v>Phase I: Perform a study to evaluate Poth Branch Watershed - Phase II: Purchase land and construct a drainage infrustructure facility in accordance with the engineering recommendations of the study.</v>
      </c>
      <c r="E989" s="256">
        <f>_xlfn.XLOOKUP(FME_Ranking1[[#This Row],[FME ID]],FME_Input[FME_ID],FME_Input[FME_COST])</f>
        <v>203952</v>
      </c>
      <c r="F989" t="str">
        <f>_xlfn.XLOOKUP(FME_Ranking1[[#This Row],[FME ID]],FME_Input[FME_ID],FME_Input[EMER_NEED])</f>
        <v>Yes</v>
      </c>
      <c r="G989">
        <f>IF(FME_Ranking!F989="Yes",100,0)</f>
        <v>100</v>
      </c>
      <c r="H989">
        <f>FME_Ranking1[[#This Row],[Emergency Need Score (Normalized, Unweighted)]]*$F$3</f>
        <v>0</v>
      </c>
      <c r="I989" s="246">
        <f>_xlfn.XLOOKUP(FME_Ranking1[[#This Row],[FME ID]],FME_Input[FME_ID],FME_Input[STRUCT_100])</f>
        <v>69</v>
      </c>
      <c r="J989" s="178">
        <f>(FME_Ranking1[[#This Row],[Structures 100 Raw]]/I$2)*100</f>
        <v>3.6948978280426682E-2</v>
      </c>
      <c r="K989" s="178">
        <f>FME_Ranking1[[#This Row],[Structures 100  Score (Normalized, Unweighted)]]*$I$3</f>
        <v>5.5423467420640023E-3</v>
      </c>
      <c r="L989" s="246">
        <f>_xlfn.XLOOKUP(FME_Ranking1[[#This Row],[FME ID]],FME_Input[FME_ID],FME_Input[RES_STRUCT100])</f>
        <v>50</v>
      </c>
      <c r="M989" s="230">
        <f>(FME_Ranking1[[#This Row],[Res Structures Raw]]/L$2)*100</f>
        <v>3.5415279568216912E-2</v>
      </c>
      <c r="N989" s="180">
        <f>FME_Ranking1[[#This Row],[Res Structures Score (Normalized, Unweighted)]]*$L$3</f>
        <v>3.5415279568216914E-3</v>
      </c>
      <c r="O989" s="244">
        <f>_xlfn.XLOOKUP(FME_Ranking1[[#This Row],[FME ID]],FME_Input[FME_ID],FME_Input[POP100])</f>
        <v>100</v>
      </c>
      <c r="P989" s="178">
        <f>(FME_Ranking1[[#This Row],[Pop Raw]]/$O$2)*100</f>
        <v>1.0237531198876328E-2</v>
      </c>
      <c r="Q989" s="178">
        <f>FME_Ranking1[[#This Row],[Pop Score (Normalized, Unweighted)]]*$O$3</f>
        <v>1.5356296798314491E-3</v>
      </c>
      <c r="R989" s="137">
        <f>_xlfn.XLOOKUP(FME_Ranking1[[#This Row],[FME ID]],FME_Input[FME_ID],FME_Input[CRITFAC100])</f>
        <v>0</v>
      </c>
      <c r="S989" s="230">
        <f>(FME_Ranking1[[#This Row],[Critical Facilities Raw]]/$R$2)*100</f>
        <v>0</v>
      </c>
      <c r="T989" s="180">
        <f>FME_Ranking1[[#This Row],[Critical Facilities Score (Normalized, Unweighted)]]*$R$3</f>
        <v>0</v>
      </c>
      <c r="U989">
        <f>_xlfn.XLOOKUP(FME_Ranking1[[#This Row],[FME ID]],FME_Input[FME_ID],FME_Input[LWC])</f>
        <v>6</v>
      </c>
      <c r="V989" s="178">
        <f>(FME_Ranking1[[#This Row],[LWC Raw]]/$U$2)*100</f>
        <v>0.34542314335060448</v>
      </c>
      <c r="W989" s="178">
        <f>FME_Ranking1[[#This Row],[LWC Score (Normalized, Unweighted)]]*$U$3</f>
        <v>6.9084628670120898E-2</v>
      </c>
      <c r="X989" s="246">
        <f>_xlfn.XLOOKUP(FME_Ranking1[[#This Row],[FME ID]],FME_Input[FME_ID],FME_Input[ROADCLS])</f>
        <v>25</v>
      </c>
      <c r="Y989" s="230">
        <f>(FME_Ranking1[[#This Row],[Closures Raw]]/$X$2)*100</f>
        <v>0.2628535380086216</v>
      </c>
      <c r="Z989" s="180">
        <f>FME_Ranking1[[#This Row],[Closures Score (Normalized, Unweighted)]]*$X$3</f>
        <v>1.3142676900431081E-2</v>
      </c>
      <c r="AA989" s="253">
        <f>_xlfn.XLOOKUP(FME_Ranking1[[#This Row],[FME ID]],FME_Input[FME_ID],FME_Input[ROAD_MILES100])</f>
        <v>1.549999952316284</v>
      </c>
      <c r="AB989" s="178">
        <f>(FME_Ranking1[[#This Row],[Miles Raw]]/$AA$2)*100</f>
        <v>2.0379719317532005E-2</v>
      </c>
      <c r="AC989" s="178">
        <f>FME_Ranking1[[#This Row],[Miles Score (Normalized, Unweighted)]]*$AA$3</f>
        <v>2.0379719317532006E-3</v>
      </c>
      <c r="AD989" s="255">
        <f>_xlfn.XLOOKUP(FME_Ranking1[[#This Row],[FME ID]],FME_Input[FME_ID],FME_Input[FARMACRE100])</f>
        <v>11.58290004730225</v>
      </c>
      <c r="AE989" s="230">
        <f>(FME_Ranking1[[#This Row],[Ag Land Raw]]/$AD$2)*100</f>
        <v>4.7762694705594857E-4</v>
      </c>
      <c r="AF989" s="231">
        <f>FME_Ranking1[[#This Row],[Ag Land Score (Normalized, Unweighted)]]*$AD$3</f>
        <v>2.3881347352797428E-5</v>
      </c>
      <c r="AG98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9.4908663228375129E-2</v>
      </c>
      <c r="AH989" s="406">
        <f t="shared" si="15"/>
        <v>1069</v>
      </c>
      <c r="AI98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9.4908663228375129E-2</v>
      </c>
      <c r="AJ989" s="257">
        <f>FME_Ranking1[[#This Row],[Addition check]]-FME_Ranking1[[#This Row],[Weighted Score Based on Normalized Reported Factors]]</f>
        <v>0</v>
      </c>
      <c r="AK989" s="178">
        <f>_xlfn.RANK.EQ(AI989,$AI$6:$AI$2341,0)+COUNTIF($AI$6:AI989,AI989)-1</f>
        <v>1072</v>
      </c>
    </row>
    <row r="990" spans="1:37" x14ac:dyDescent="0.25">
      <c r="A990" t="s">
        <v>1982</v>
      </c>
      <c r="B990">
        <f>_xlfn.XLOOKUP(FME_Ranking1[[#This Row],[FME ID]],FME_Input[FME_ID],FME_Input[RFPG_NUM])</f>
        <v>6</v>
      </c>
      <c r="C990" t="str">
        <f>_xlfn.XLOOKUP(FME_Ranking1[[#This Row],[FME ID]],FME_Input[FME_ID],FME_Input[FME_NAME])</f>
        <v>Jackson Bayou Watershed Planning Project- Immediate: First Street Crossing Mitigation</v>
      </c>
      <c r="D990" t="str">
        <f>_xlfn.XLOOKUP(FME_Ranking1[[#This Row],[FME ID]],FME_Input[FME_ID],FME_Input[DESCR])</f>
        <v>Develop BCA to become a FMP. Priority ranking #1, 0.5 mile upstream along Jackson Bayou identified to fulfill mitigation efforts. Culvert upsizing recommended at First Street. Improvements produced need or 32.4 acre-feet of detention.</v>
      </c>
      <c r="E990" s="256">
        <f>_xlfn.XLOOKUP(FME_Ranking1[[#This Row],[FME ID]],FME_Input[FME_ID],FME_Input[FME_COST])</f>
        <v>30000</v>
      </c>
      <c r="F990" t="str">
        <f>_xlfn.XLOOKUP(FME_Ranking1[[#This Row],[FME ID]],FME_Input[FME_ID],FME_Input[EMER_NEED])</f>
        <v>No</v>
      </c>
      <c r="G990">
        <f>IF(FME_Ranking!F990="Yes",100,0)</f>
        <v>0</v>
      </c>
      <c r="H990">
        <f>FME_Ranking1[[#This Row],[Emergency Need Score (Normalized, Unweighted)]]*$F$3</f>
        <v>0</v>
      </c>
      <c r="I990" s="246">
        <f>_xlfn.XLOOKUP(FME_Ranking1[[#This Row],[FME ID]],FME_Input[FME_ID],FME_Input[STRUCT_100])</f>
        <v>111</v>
      </c>
      <c r="J990" s="178">
        <f>(FME_Ranking1[[#This Row],[Structures 100 Raw]]/I$2)*100</f>
        <v>5.9439660711990749E-2</v>
      </c>
      <c r="K990" s="178">
        <f>FME_Ranking1[[#This Row],[Structures 100  Score (Normalized, Unweighted)]]*$I$3</f>
        <v>8.9159491067986128E-3</v>
      </c>
      <c r="L990" s="246">
        <f>_xlfn.XLOOKUP(FME_Ranking1[[#This Row],[FME ID]],FME_Input[FME_ID],FME_Input[RES_STRUCT100])</f>
        <v>83</v>
      </c>
      <c r="M990" s="230">
        <f>(FME_Ranking1[[#This Row],[Res Structures Raw]]/L$2)*100</f>
        <v>5.8789364083240071E-2</v>
      </c>
      <c r="N990" s="180">
        <f>FME_Ranking1[[#This Row],[Res Structures Score (Normalized, Unweighted)]]*$L$3</f>
        <v>5.8789364083240078E-3</v>
      </c>
      <c r="O990" s="244">
        <f>_xlfn.XLOOKUP(FME_Ranking1[[#This Row],[FME ID]],FME_Input[FME_ID],FME_Input[POP100])</f>
        <v>598</v>
      </c>
      <c r="P990" s="178">
        <f>(FME_Ranking1[[#This Row],[Pop Raw]]/$O$2)*100</f>
        <v>6.1220436569280445E-2</v>
      </c>
      <c r="Q990" s="178">
        <f>FME_Ranking1[[#This Row],[Pop Score (Normalized, Unweighted)]]*$O$3</f>
        <v>9.1830654853920658E-3</v>
      </c>
      <c r="R990" s="137">
        <f>_xlfn.XLOOKUP(FME_Ranking1[[#This Row],[FME ID]],FME_Input[FME_ID],FME_Input[CRITFAC100])</f>
        <v>8</v>
      </c>
      <c r="S990" s="230">
        <f>(FME_Ranking1[[#This Row],[Critical Facilities Raw]]/$R$2)*100</f>
        <v>0.34305317324185247</v>
      </c>
      <c r="T990" s="180">
        <f>FME_Ranking1[[#This Row],[Critical Facilities Score (Normalized, Unweighted)]]*$R$3</f>
        <v>6.86106346483705E-2</v>
      </c>
      <c r="U990">
        <f>_xlfn.XLOOKUP(FME_Ranking1[[#This Row],[FME ID]],FME_Input[FME_ID],FME_Input[LWC])</f>
        <v>0</v>
      </c>
      <c r="V990" s="178">
        <f>(FME_Ranking1[[#This Row],[LWC Raw]]/$U$2)*100</f>
        <v>0</v>
      </c>
      <c r="W990" s="178">
        <f>FME_Ranking1[[#This Row],[LWC Score (Normalized, Unweighted)]]*$U$3</f>
        <v>0</v>
      </c>
      <c r="X990" s="246">
        <f>_xlfn.XLOOKUP(FME_Ranking1[[#This Row],[FME ID]],FME_Input[FME_ID],FME_Input[ROADCLS])</f>
        <v>0</v>
      </c>
      <c r="Y990" s="230">
        <f>(FME_Ranking1[[#This Row],[Closures Raw]]/$X$2)*100</f>
        <v>0</v>
      </c>
      <c r="Z990" s="180">
        <f>FME_Ranking1[[#This Row],[Closures Score (Normalized, Unweighted)]]*$X$3</f>
        <v>0</v>
      </c>
      <c r="AA990" s="253">
        <f>_xlfn.XLOOKUP(FME_Ranking1[[#This Row],[FME ID]],FME_Input[FME_ID],FME_Input[ROAD_MILES100])</f>
        <v>1.3959089517593379</v>
      </c>
      <c r="AB990" s="178">
        <f>(FME_Ranking1[[#This Row],[Miles Raw]]/$AA$2)*100</f>
        <v>1.8353699035392392E-2</v>
      </c>
      <c r="AC990" s="178">
        <f>FME_Ranking1[[#This Row],[Miles Score (Normalized, Unweighted)]]*$AA$3</f>
        <v>1.8353699035392392E-3</v>
      </c>
      <c r="AD990" s="255">
        <f>_xlfn.XLOOKUP(FME_Ranking1[[#This Row],[FME ID]],FME_Input[FME_ID],FME_Input[FARMACRE100])</f>
        <v>1.742403626441956</v>
      </c>
      <c r="AE990" s="230">
        <f>(FME_Ranking1[[#This Row],[Ag Land Raw]]/$AD$2)*100</f>
        <v>7.1848925678203991E-5</v>
      </c>
      <c r="AF990" s="231">
        <f>FME_Ranking1[[#This Row],[Ag Land Score (Normalized, Unweighted)]]*$AD$3</f>
        <v>3.5924462839101996E-6</v>
      </c>
      <c r="AG99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9.4427547998708325E-2</v>
      </c>
      <c r="AH990" s="406">
        <f t="shared" si="15"/>
        <v>1075</v>
      </c>
      <c r="AI99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9.4427547998708325E-2</v>
      </c>
      <c r="AJ990" s="257">
        <f>FME_Ranking1[[#This Row],[Addition check]]-FME_Ranking1[[#This Row],[Weighted Score Based on Normalized Reported Factors]]</f>
        <v>0</v>
      </c>
      <c r="AK990" s="178">
        <f>_xlfn.RANK.EQ(AI990,$AI$6:$AI$2341,0)+COUNTIF($AI$6:AI990,AI990)-1</f>
        <v>1075</v>
      </c>
    </row>
    <row r="991" spans="1:37" x14ac:dyDescent="0.25">
      <c r="A991" t="s">
        <v>8055</v>
      </c>
      <c r="B991">
        <f>_xlfn.XLOOKUP(FME_Ranking1[[#This Row],[FME ID]],FME_Input[FME_ID],FME_Input[RFPG_NUM])</f>
        <v>9</v>
      </c>
      <c r="C991" t="str">
        <f>_xlfn.XLOOKUP(FME_Ranking1[[#This Row],[FME ID]],FME_Input[FME_ID],FME_Input[FME_NAME])</f>
        <v>City of Lamesa DMP</v>
      </c>
      <c r="D991" t="str">
        <f>_xlfn.XLOOKUP(FME_Ranking1[[#This Row],[FME ID]],FME_Input[FME_ID],FME_Input[DESCR])</f>
        <v xml:space="preserve">Create Drainage Master Plan, including evaluation of potential mitigation projects. </v>
      </c>
      <c r="E991" s="256">
        <f>_xlfn.XLOOKUP(FME_Ranking1[[#This Row],[FME ID]],FME_Input[FME_ID],FME_Input[FME_COST])</f>
        <v>250000</v>
      </c>
      <c r="F991" t="str">
        <f>_xlfn.XLOOKUP(FME_Ranking1[[#This Row],[FME ID]],FME_Input[FME_ID],FME_Input[EMER_NEED])</f>
        <v>No</v>
      </c>
      <c r="G991">
        <f>IF(FME_Ranking!F991="Yes",100,0)</f>
        <v>0</v>
      </c>
      <c r="H991">
        <f>FME_Ranking1[[#This Row],[Emergency Need Score (Normalized, Unweighted)]]*$F$3</f>
        <v>0</v>
      </c>
      <c r="I991" s="246">
        <f>_xlfn.XLOOKUP(FME_Ranking1[[#This Row],[FME ID]],FME_Input[FME_ID],FME_Input[STRUCT_100])</f>
        <v>185</v>
      </c>
      <c r="J991" s="178">
        <f>(FME_Ranking1[[#This Row],[Structures 100 Raw]]/I$2)*100</f>
        <v>9.906610118665124E-2</v>
      </c>
      <c r="K991" s="178">
        <f>FME_Ranking1[[#This Row],[Structures 100  Score (Normalized, Unweighted)]]*$I$3</f>
        <v>1.4859915177997686E-2</v>
      </c>
      <c r="L991" s="246">
        <f>_xlfn.XLOOKUP(FME_Ranking1[[#This Row],[FME ID]],FME_Input[FME_ID],FME_Input[RES_STRUCT100])</f>
        <v>0</v>
      </c>
      <c r="M991" s="230">
        <f>(FME_Ranking1[[#This Row],[Res Structures Raw]]/L$2)*100</f>
        <v>0</v>
      </c>
      <c r="N991" s="180">
        <f>FME_Ranking1[[#This Row],[Res Structures Score (Normalized, Unweighted)]]*$L$3</f>
        <v>0</v>
      </c>
      <c r="O991" s="244">
        <f>_xlfn.XLOOKUP(FME_Ranking1[[#This Row],[FME ID]],FME_Input[FME_ID],FME_Input[POP100])</f>
        <v>551</v>
      </c>
      <c r="P991" s="178">
        <f>(FME_Ranking1[[#This Row],[Pop Raw]]/$O$2)*100</f>
        <v>5.6408796905808571E-2</v>
      </c>
      <c r="Q991" s="178">
        <f>FME_Ranking1[[#This Row],[Pop Score (Normalized, Unweighted)]]*$O$3</f>
        <v>8.461319535871285E-3</v>
      </c>
      <c r="R991" s="137">
        <f>_xlfn.XLOOKUP(FME_Ranking1[[#This Row],[FME ID]],FME_Input[FME_ID],FME_Input[CRITFAC100])</f>
        <v>0</v>
      </c>
      <c r="S991" s="230">
        <f>(FME_Ranking1[[#This Row],[Critical Facilities Raw]]/$R$2)*100</f>
        <v>0</v>
      </c>
      <c r="T991" s="180">
        <f>FME_Ranking1[[#This Row],[Critical Facilities Score (Normalized, Unweighted)]]*$R$3</f>
        <v>0</v>
      </c>
      <c r="U991">
        <f>_xlfn.XLOOKUP(FME_Ranking1[[#This Row],[FME ID]],FME_Input[FME_ID],FME_Input[LWC])</f>
        <v>6</v>
      </c>
      <c r="V991" s="178">
        <f>(FME_Ranking1[[#This Row],[LWC Raw]]/$U$2)*100</f>
        <v>0.34542314335060448</v>
      </c>
      <c r="W991" s="178">
        <f>FME_Ranking1[[#This Row],[LWC Score (Normalized, Unweighted)]]*$U$3</f>
        <v>6.9084628670120898E-2</v>
      </c>
      <c r="X991" s="246">
        <f>_xlfn.XLOOKUP(FME_Ranking1[[#This Row],[FME ID]],FME_Input[FME_ID],FME_Input[ROADCLS])</f>
        <v>0</v>
      </c>
      <c r="Y991" s="230">
        <f>(FME_Ranking1[[#This Row],[Closures Raw]]/$X$2)*100</f>
        <v>0</v>
      </c>
      <c r="Z991" s="180">
        <f>FME_Ranking1[[#This Row],[Closures Score (Normalized, Unweighted)]]*$X$3</f>
        <v>0</v>
      </c>
      <c r="AA991" s="253">
        <f>_xlfn.XLOOKUP(FME_Ranking1[[#This Row],[FME ID]],FME_Input[FME_ID],FME_Input[ROAD_MILES100])</f>
        <v>11.89630031585693</v>
      </c>
      <c r="AB991" s="178">
        <f>(FME_Ranking1[[#This Row],[Miles Raw]]/$AA$2)*100</f>
        <v>0.15641501213721332</v>
      </c>
      <c r="AC991" s="178">
        <f>FME_Ranking1[[#This Row],[Miles Score (Normalized, Unweighted)]]*$AA$3</f>
        <v>1.5641501213721331E-2</v>
      </c>
      <c r="AD991" s="255">
        <f>_xlfn.XLOOKUP(FME_Ranking1[[#This Row],[FME ID]],FME_Input[FME_ID],FME_Input[FARMACRE100])</f>
        <v>82.954116821289063</v>
      </c>
      <c r="AE991" s="230">
        <f>(FME_Ranking1[[#This Row],[Ag Land Raw]]/$AD$2)*100</f>
        <v>3.420656433299956E-3</v>
      </c>
      <c r="AF991" s="231">
        <f>FME_Ranking1[[#This Row],[Ag Land Score (Normalized, Unweighted)]]*$AD$3</f>
        <v>1.7103282166499781E-4</v>
      </c>
      <c r="AG99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0.10821839741937621</v>
      </c>
      <c r="AH991" s="406">
        <f t="shared" si="15"/>
        <v>1020</v>
      </c>
      <c r="AI99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0.10821839741937621</v>
      </c>
      <c r="AJ991" s="257">
        <f>FME_Ranking1[[#This Row],[Addition check]]-FME_Ranking1[[#This Row],[Weighted Score Based on Normalized Reported Factors]]</f>
        <v>0</v>
      </c>
      <c r="AK991" s="178">
        <f>_xlfn.RANK.EQ(AI991,$AI$6:$AI$2341,0)+COUNTIF($AI$6:AI991,AI991)-1</f>
        <v>1020</v>
      </c>
    </row>
    <row r="992" spans="1:37" x14ac:dyDescent="0.25">
      <c r="A992" t="s">
        <v>6315</v>
      </c>
      <c r="B992">
        <f>_xlfn.XLOOKUP(FME_Ranking1[[#This Row],[FME ID]],FME_Input[FME_ID],FME_Input[RFPG_NUM])</f>
        <v>5</v>
      </c>
      <c r="C992" t="str">
        <f>_xlfn.XLOOKUP(FME_Ranking1[[#This Row],[FME ID]],FME_Input[FME_ID],FME_Input[FME_NAME])</f>
        <v>Crane Bayou Channel Improvements</v>
      </c>
      <c r="D992" t="str">
        <f>_xlfn.XLOOKUP(FME_Ranking1[[#This Row],[FME ID]],FME_Input[FME_ID],FME_Input[DESCR])</f>
        <v>H&amp;H study to identify alternatives for Crane Bayou Channel</v>
      </c>
      <c r="E992" s="256">
        <f>_xlfn.XLOOKUP(FME_Ranking1[[#This Row],[FME ID]],FME_Input[FME_ID],FME_Input[FME_COST])</f>
        <v>100000</v>
      </c>
      <c r="F992" t="str">
        <f>_xlfn.XLOOKUP(FME_Ranking1[[#This Row],[FME ID]],FME_Input[FME_ID],FME_Input[EMER_NEED])</f>
        <v>Yes</v>
      </c>
      <c r="G992">
        <f>IF(FME_Ranking!F992="Yes",100,0)</f>
        <v>100</v>
      </c>
      <c r="H992">
        <f>FME_Ranking1[[#This Row],[Emergency Need Score (Normalized, Unweighted)]]*$F$3</f>
        <v>0</v>
      </c>
      <c r="I992" s="246">
        <f>_xlfn.XLOOKUP(FME_Ranking1[[#This Row],[FME ID]],FME_Input[FME_ID],FME_Input[STRUCT_100])</f>
        <v>359</v>
      </c>
      <c r="J992" s="178">
        <f>(FME_Ranking1[[#This Row],[Structures 100 Raw]]/I$2)*100</f>
        <v>0.19224178554598809</v>
      </c>
      <c r="K992" s="178">
        <f>FME_Ranking1[[#This Row],[Structures 100  Score (Normalized, Unweighted)]]*$I$3</f>
        <v>2.8836267831898212E-2</v>
      </c>
      <c r="L992" s="246">
        <f>_xlfn.XLOOKUP(FME_Ranking1[[#This Row],[FME ID]],FME_Input[FME_ID],FME_Input[RES_STRUCT100])</f>
        <v>320</v>
      </c>
      <c r="M992" s="230">
        <f>(FME_Ranking1[[#This Row],[Res Structures Raw]]/L$2)*100</f>
        <v>0.22665778923658822</v>
      </c>
      <c r="N992" s="180">
        <f>FME_Ranking1[[#This Row],[Res Structures Score (Normalized, Unweighted)]]*$L$3</f>
        <v>2.2665778923658824E-2</v>
      </c>
      <c r="O992" s="244">
        <f>_xlfn.XLOOKUP(FME_Ranking1[[#This Row],[FME ID]],FME_Input[FME_ID],FME_Input[POP100])</f>
        <v>918</v>
      </c>
      <c r="P992" s="178">
        <f>(FME_Ranking1[[#This Row],[Pop Raw]]/$O$2)*100</f>
        <v>9.3980536405684698E-2</v>
      </c>
      <c r="Q992" s="178">
        <f>FME_Ranking1[[#This Row],[Pop Score (Normalized, Unweighted)]]*$O$3</f>
        <v>1.4097080460852705E-2</v>
      </c>
      <c r="R992" s="137">
        <f>_xlfn.XLOOKUP(FME_Ranking1[[#This Row],[FME ID]],FME_Input[FME_ID],FME_Input[CRITFAC100])</f>
        <v>3</v>
      </c>
      <c r="S992" s="230">
        <f>(FME_Ranking1[[#This Row],[Critical Facilities Raw]]/$R$2)*100</f>
        <v>0.1286449399656947</v>
      </c>
      <c r="T992" s="180">
        <f>FME_Ranking1[[#This Row],[Critical Facilities Score (Normalized, Unweighted)]]*$R$3</f>
        <v>2.5728987993138941E-2</v>
      </c>
      <c r="U992">
        <f>_xlfn.XLOOKUP(FME_Ranking1[[#This Row],[FME ID]],FME_Input[FME_ID],FME_Input[LWC])</f>
        <v>0</v>
      </c>
      <c r="V992" s="178">
        <f>(FME_Ranking1[[#This Row],[LWC Raw]]/$U$2)*100</f>
        <v>0</v>
      </c>
      <c r="W992" s="178">
        <f>FME_Ranking1[[#This Row],[LWC Score (Normalized, Unweighted)]]*$U$3</f>
        <v>0</v>
      </c>
      <c r="X992" s="246">
        <f>_xlfn.XLOOKUP(FME_Ranking1[[#This Row],[FME ID]],FME_Input[FME_ID],FME_Input[ROADCLS])</f>
        <v>0</v>
      </c>
      <c r="Y992" s="230">
        <f>(FME_Ranking1[[#This Row],[Closures Raw]]/$X$2)*100</f>
        <v>0</v>
      </c>
      <c r="Z992" s="180">
        <f>FME_Ranking1[[#This Row],[Closures Score (Normalized, Unweighted)]]*$X$3</f>
        <v>0</v>
      </c>
      <c r="AA992" s="253">
        <f>_xlfn.XLOOKUP(FME_Ranking1[[#This Row],[FME ID]],FME_Input[FME_ID],FME_Input[ROAD_MILES100])</f>
        <v>4.7156586647033691</v>
      </c>
      <c r="AB992" s="178">
        <f>(FME_Ranking1[[#This Row],[Miles Raw]]/$AA$2)*100</f>
        <v>6.200245350996763E-2</v>
      </c>
      <c r="AC992" s="178">
        <f>FME_Ranking1[[#This Row],[Miles Score (Normalized, Unweighted)]]*$AA$3</f>
        <v>6.200245350996763E-3</v>
      </c>
      <c r="AD992" s="255">
        <f>_xlfn.XLOOKUP(FME_Ranking1[[#This Row],[FME ID]],FME_Input[FME_ID],FME_Input[FARMACRE100])</f>
        <v>0.38262677192687988</v>
      </c>
      <c r="AE992" s="230">
        <f>(FME_Ranking1[[#This Row],[Ag Land Raw]]/$AD$2)*100</f>
        <v>1.5777815244108317E-5</v>
      </c>
      <c r="AF992" s="231">
        <f>FME_Ranking1[[#This Row],[Ag Land Score (Normalized, Unweighted)]]*$AD$3</f>
        <v>7.888907622054159E-7</v>
      </c>
      <c r="AG99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9.7529149451307653E-2</v>
      </c>
      <c r="AH992" s="406">
        <f t="shared" si="15"/>
        <v>1058</v>
      </c>
      <c r="AI99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9.7529149451307653E-2</v>
      </c>
      <c r="AJ992" s="257">
        <f>FME_Ranking1[[#This Row],[Addition check]]-FME_Ranking1[[#This Row],[Weighted Score Based on Normalized Reported Factors]]</f>
        <v>0</v>
      </c>
      <c r="AK992" s="178">
        <f>_xlfn.RANK.EQ(AI992,$AI$6:$AI$2341,0)+COUNTIF($AI$6:AI992,AI992)-1</f>
        <v>1058</v>
      </c>
    </row>
    <row r="993" spans="1:37" x14ac:dyDescent="0.25">
      <c r="A993" t="s">
        <v>6335</v>
      </c>
      <c r="B993">
        <f>_xlfn.XLOOKUP(FME_Ranking1[[#This Row],[FME ID]],FME_Input[FME_ID],FME_Input[RFPG_NUM])</f>
        <v>5</v>
      </c>
      <c r="C993" t="str">
        <f>_xlfn.XLOOKUP(FME_Ranking1[[#This Row],[FME ID]],FME_Input[FME_ID],FME_Input[FME_NAME])</f>
        <v>Crane Bayou Additional Pumping</v>
      </c>
      <c r="D993" t="str">
        <f>_xlfn.XLOOKUP(FME_Ranking1[[#This Row],[FME ID]],FME_Input[FME_ID],FME_Input[DESCR])</f>
        <v xml:space="preserve">H&amp;H study to size pump upgrades and improve existing level of service. </v>
      </c>
      <c r="E993" s="256">
        <f>_xlfn.XLOOKUP(FME_Ranking1[[#This Row],[FME ID]],FME_Input[FME_ID],FME_Input[FME_COST])</f>
        <v>100000</v>
      </c>
      <c r="F993" t="str">
        <f>_xlfn.XLOOKUP(FME_Ranking1[[#This Row],[FME ID]],FME_Input[FME_ID],FME_Input[EMER_NEED])</f>
        <v>Yes</v>
      </c>
      <c r="G993">
        <f>IF(FME_Ranking!F993="Yes",100,0)</f>
        <v>100</v>
      </c>
      <c r="H993">
        <f>FME_Ranking1[[#This Row],[Emergency Need Score (Normalized, Unweighted)]]*$F$3</f>
        <v>0</v>
      </c>
      <c r="I993" s="246">
        <f>_xlfn.XLOOKUP(FME_Ranking1[[#This Row],[FME ID]],FME_Input[FME_ID],FME_Input[STRUCT_100])</f>
        <v>359</v>
      </c>
      <c r="J993" s="178">
        <f>(FME_Ranking1[[#This Row],[Structures 100 Raw]]/I$2)*100</f>
        <v>0.19224178554598809</v>
      </c>
      <c r="K993" s="178">
        <f>FME_Ranking1[[#This Row],[Structures 100  Score (Normalized, Unweighted)]]*$I$3</f>
        <v>2.8836267831898212E-2</v>
      </c>
      <c r="L993" s="246">
        <f>_xlfn.XLOOKUP(FME_Ranking1[[#This Row],[FME ID]],FME_Input[FME_ID],FME_Input[RES_STRUCT100])</f>
        <v>320</v>
      </c>
      <c r="M993" s="230">
        <f>(FME_Ranking1[[#This Row],[Res Structures Raw]]/L$2)*100</f>
        <v>0.22665778923658822</v>
      </c>
      <c r="N993" s="180">
        <f>FME_Ranking1[[#This Row],[Res Structures Score (Normalized, Unweighted)]]*$L$3</f>
        <v>2.2665778923658824E-2</v>
      </c>
      <c r="O993" s="244">
        <f>_xlfn.XLOOKUP(FME_Ranking1[[#This Row],[FME ID]],FME_Input[FME_ID],FME_Input[POP100])</f>
        <v>918</v>
      </c>
      <c r="P993" s="178">
        <f>(FME_Ranking1[[#This Row],[Pop Raw]]/$O$2)*100</f>
        <v>9.3980536405684698E-2</v>
      </c>
      <c r="Q993" s="178">
        <f>FME_Ranking1[[#This Row],[Pop Score (Normalized, Unweighted)]]*$O$3</f>
        <v>1.4097080460852705E-2</v>
      </c>
      <c r="R993" s="137">
        <f>_xlfn.XLOOKUP(FME_Ranking1[[#This Row],[FME ID]],FME_Input[FME_ID],FME_Input[CRITFAC100])</f>
        <v>3</v>
      </c>
      <c r="S993" s="230">
        <f>(FME_Ranking1[[#This Row],[Critical Facilities Raw]]/$R$2)*100</f>
        <v>0.1286449399656947</v>
      </c>
      <c r="T993" s="180">
        <f>FME_Ranking1[[#This Row],[Critical Facilities Score (Normalized, Unweighted)]]*$R$3</f>
        <v>2.5728987993138941E-2</v>
      </c>
      <c r="U993">
        <f>_xlfn.XLOOKUP(FME_Ranking1[[#This Row],[FME ID]],FME_Input[FME_ID],FME_Input[LWC])</f>
        <v>0</v>
      </c>
      <c r="V993" s="178">
        <f>(FME_Ranking1[[#This Row],[LWC Raw]]/$U$2)*100</f>
        <v>0</v>
      </c>
      <c r="W993" s="178">
        <f>FME_Ranking1[[#This Row],[LWC Score (Normalized, Unweighted)]]*$U$3</f>
        <v>0</v>
      </c>
      <c r="X993" s="246">
        <f>_xlfn.XLOOKUP(FME_Ranking1[[#This Row],[FME ID]],FME_Input[FME_ID],FME_Input[ROADCLS])</f>
        <v>0</v>
      </c>
      <c r="Y993" s="230">
        <f>(FME_Ranking1[[#This Row],[Closures Raw]]/$X$2)*100</f>
        <v>0</v>
      </c>
      <c r="Z993" s="180">
        <f>FME_Ranking1[[#This Row],[Closures Score (Normalized, Unweighted)]]*$X$3</f>
        <v>0</v>
      </c>
      <c r="AA993" s="253">
        <f>_xlfn.XLOOKUP(FME_Ranking1[[#This Row],[FME ID]],FME_Input[FME_ID],FME_Input[ROAD_MILES100])</f>
        <v>4.7156586647033691</v>
      </c>
      <c r="AB993" s="178">
        <f>(FME_Ranking1[[#This Row],[Miles Raw]]/$AA$2)*100</f>
        <v>6.200245350996763E-2</v>
      </c>
      <c r="AC993" s="178">
        <f>FME_Ranking1[[#This Row],[Miles Score (Normalized, Unweighted)]]*$AA$3</f>
        <v>6.200245350996763E-3</v>
      </c>
      <c r="AD993" s="255">
        <f>_xlfn.XLOOKUP(FME_Ranking1[[#This Row],[FME ID]],FME_Input[FME_ID],FME_Input[FARMACRE100])</f>
        <v>0.38262677192687988</v>
      </c>
      <c r="AE993" s="230">
        <f>(FME_Ranking1[[#This Row],[Ag Land Raw]]/$AD$2)*100</f>
        <v>1.5777815244108317E-5</v>
      </c>
      <c r="AF993" s="231">
        <f>FME_Ranking1[[#This Row],[Ag Land Score (Normalized, Unweighted)]]*$AD$3</f>
        <v>7.888907622054159E-7</v>
      </c>
      <c r="AG99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9.7529149451307653E-2</v>
      </c>
      <c r="AH993" s="406">
        <f t="shared" si="15"/>
        <v>1058</v>
      </c>
      <c r="AI99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9.7529149451307653E-2</v>
      </c>
      <c r="AJ993" s="257">
        <f>FME_Ranking1[[#This Row],[Addition check]]-FME_Ranking1[[#This Row],[Weighted Score Based on Normalized Reported Factors]]</f>
        <v>0</v>
      </c>
      <c r="AK993" s="178">
        <f>_xlfn.RANK.EQ(AI993,$AI$6:$AI$2341,0)+COUNTIF($AI$6:AI993,AI993)-1</f>
        <v>1059</v>
      </c>
    </row>
    <row r="994" spans="1:37" x14ac:dyDescent="0.25">
      <c r="A994" t="s">
        <v>9518</v>
      </c>
      <c r="B994">
        <f>_xlfn.XLOOKUP(FME_Ranking1[[#This Row],[FME ID]],FME_Input[FME_ID],FME_Input[RFPG_NUM])</f>
        <v>12</v>
      </c>
      <c r="C994" t="str">
        <f>_xlfn.XLOOKUP(FME_Ranking1[[#This Row],[FME ID]],FME_Input[FME_ID],FME_Input[FME_NAME])</f>
        <v>Damage Center 6- Martinez Creek</v>
      </c>
      <c r="D994" t="str">
        <f>_xlfn.XLOOKUP(FME_Ranking1[[#This Row],[FME ID]],FME_Input[FME_ID],FME_Input[DESCR])</f>
        <v>Voluntary Property Acquisition is the only option  that  would  be  recommended  under  current  regulatory  and  funding  scenarios</v>
      </c>
      <c r="E994" s="256">
        <f>_xlfn.XLOOKUP(FME_Ranking1[[#This Row],[FME ID]],FME_Input[FME_ID],FME_Input[FME_COST])</f>
        <v>40552312</v>
      </c>
      <c r="F994" t="str">
        <f>_xlfn.XLOOKUP(FME_Ranking1[[#This Row],[FME ID]],FME_Input[FME_ID],FME_Input[EMER_NEED])</f>
        <v>No</v>
      </c>
      <c r="G994">
        <f>IF(FME_Ranking!F994="Yes",100,0)</f>
        <v>0</v>
      </c>
      <c r="H994">
        <f>FME_Ranking1[[#This Row],[Emergency Need Score (Normalized, Unweighted)]]*$F$3</f>
        <v>0</v>
      </c>
      <c r="I994" s="246">
        <f>_xlfn.XLOOKUP(FME_Ranking1[[#This Row],[FME ID]],FME_Input[FME_ID],FME_Input[STRUCT_100])</f>
        <v>427</v>
      </c>
      <c r="J994" s="178">
        <f>(FME_Ranking1[[#This Row],[Structures 100 Raw]]/I$2)*100</f>
        <v>0.22865527138756803</v>
      </c>
      <c r="K994" s="178">
        <f>FME_Ranking1[[#This Row],[Structures 100  Score (Normalized, Unweighted)]]*$I$3</f>
        <v>3.4298290708135205E-2</v>
      </c>
      <c r="L994" s="246">
        <f>_xlfn.XLOOKUP(FME_Ranking1[[#This Row],[FME ID]],FME_Input[FME_ID],FME_Input[RES_STRUCT100])</f>
        <v>361</v>
      </c>
      <c r="M994" s="230">
        <f>(FME_Ranking1[[#This Row],[Res Structures Raw]]/L$2)*100</f>
        <v>0.25569831848252611</v>
      </c>
      <c r="N994" s="180">
        <f>FME_Ranking1[[#This Row],[Res Structures Score (Normalized, Unweighted)]]*$L$3</f>
        <v>2.5569831848252612E-2</v>
      </c>
      <c r="O994" s="244">
        <f>_xlfn.XLOOKUP(FME_Ranking1[[#This Row],[FME ID]],FME_Input[FME_ID],FME_Input[POP100])</f>
        <v>1043</v>
      </c>
      <c r="P994" s="178">
        <f>(FME_Ranking1[[#This Row],[Pop Raw]]/$O$2)*100</f>
        <v>0.10677745040428011</v>
      </c>
      <c r="Q994" s="178">
        <f>FME_Ranking1[[#This Row],[Pop Score (Normalized, Unweighted)]]*$O$3</f>
        <v>1.6016617560642016E-2</v>
      </c>
      <c r="R994" s="137">
        <f>_xlfn.XLOOKUP(FME_Ranking1[[#This Row],[FME ID]],FME_Input[FME_ID],FME_Input[CRITFAC100])</f>
        <v>0</v>
      </c>
      <c r="S994" s="230">
        <f>(FME_Ranking1[[#This Row],[Critical Facilities Raw]]/$R$2)*100</f>
        <v>0</v>
      </c>
      <c r="T994" s="180">
        <f>FME_Ranking1[[#This Row],[Critical Facilities Score (Normalized, Unweighted)]]*$R$3</f>
        <v>0</v>
      </c>
      <c r="U994">
        <f>_xlfn.XLOOKUP(FME_Ranking1[[#This Row],[FME ID]],FME_Input[FME_ID],FME_Input[LWC])</f>
        <v>0</v>
      </c>
      <c r="V994" s="178">
        <f>(FME_Ranking1[[#This Row],[LWC Raw]]/$U$2)*100</f>
        <v>0</v>
      </c>
      <c r="W994" s="178">
        <f>FME_Ranking1[[#This Row],[LWC Score (Normalized, Unweighted)]]*$U$3</f>
        <v>0</v>
      </c>
      <c r="X994" s="246">
        <f>_xlfn.XLOOKUP(FME_Ranking1[[#This Row],[FME ID]],FME_Input[FME_ID],FME_Input[ROADCLS])</f>
        <v>29</v>
      </c>
      <c r="Y994" s="230">
        <f>(FME_Ranking1[[#This Row],[Closures Raw]]/$X$2)*100</f>
        <v>0.30491010409000108</v>
      </c>
      <c r="Z994" s="180">
        <f>FME_Ranking1[[#This Row],[Closures Score (Normalized, Unweighted)]]*$X$3</f>
        <v>1.5245505204500055E-2</v>
      </c>
      <c r="AA994" s="253">
        <f>_xlfn.XLOOKUP(FME_Ranking1[[#This Row],[FME ID]],FME_Input[FME_ID],FME_Input[ROAD_MILES100])</f>
        <v>8.3999996185302734</v>
      </c>
      <c r="AB994" s="178">
        <f>(FME_Ranking1[[#This Row],[Miles Raw]]/$AA$2)*100</f>
        <v>0.11044492887706291</v>
      </c>
      <c r="AC994" s="178">
        <f>FME_Ranking1[[#This Row],[Miles Score (Normalized, Unweighted)]]*$AA$3</f>
        <v>1.1044492887706292E-2</v>
      </c>
      <c r="AD994" s="255">
        <f>_xlfn.XLOOKUP(FME_Ranking1[[#This Row],[FME ID]],FME_Input[FME_ID],FME_Input[FARMACRE100])</f>
        <v>0</v>
      </c>
      <c r="AE994" s="230">
        <f>(FME_Ranking1[[#This Row],[Ag Land Raw]]/$AD$2)*100</f>
        <v>0</v>
      </c>
      <c r="AF994" s="231">
        <f>FME_Ranking1[[#This Row],[Ag Land Score (Normalized, Unweighted)]]*$AD$3</f>
        <v>0</v>
      </c>
      <c r="AG99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0.10217473820923617</v>
      </c>
      <c r="AH994" s="406">
        <f t="shared" si="15"/>
        <v>1048</v>
      </c>
      <c r="AI99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0.10217473820923617</v>
      </c>
      <c r="AJ994" s="257">
        <f>FME_Ranking1[[#This Row],[Addition check]]-FME_Ranking1[[#This Row],[Weighted Score Based on Normalized Reported Factors]]</f>
        <v>0</v>
      </c>
      <c r="AK994" s="178">
        <f>_xlfn.RANK.EQ(AI994,$AI$6:$AI$2341,0)+COUNTIF($AI$6:AI994,AI994)-1</f>
        <v>1048</v>
      </c>
    </row>
    <row r="995" spans="1:37" x14ac:dyDescent="0.25">
      <c r="A995" t="s">
        <v>4722</v>
      </c>
      <c r="B995">
        <f>_xlfn.XLOOKUP(FME_Ranking1[[#This Row],[FME ID]],FME_Input[FME_ID],FME_Input[RFPG_NUM])</f>
        <v>3</v>
      </c>
      <c r="C995" t="str">
        <f>_xlfn.XLOOKUP(FME_Ranking1[[#This Row],[FME ID]],FME_Input[FME_ID],FME_Input[FME_NAME])</f>
        <v>Manana Channel Improvements</v>
      </c>
      <c r="D995" t="str">
        <f>_xlfn.XLOOKUP(FME_Ranking1[[#This Row],[FME ID]],FME_Input[FME_ID],FME_Input[DESCR])</f>
        <v>Study update - Storm Drain Improvements; Estimated construction cost of $967,600</v>
      </c>
      <c r="E995" s="256">
        <f>_xlfn.XLOOKUP(FME_Ranking1[[#This Row],[FME ID]],FME_Input[FME_ID],FME_Input[FME_COST])</f>
        <v>250000</v>
      </c>
      <c r="F995" t="str">
        <f>_xlfn.XLOOKUP(FME_Ranking1[[#This Row],[FME ID]],FME_Input[FME_ID],FME_Input[EMER_NEED])</f>
        <v>No</v>
      </c>
      <c r="G995">
        <f>IF(FME_Ranking!F995="Yes",100,0)</f>
        <v>0</v>
      </c>
      <c r="H995">
        <f>FME_Ranking1[[#This Row],[Emergency Need Score (Normalized, Unweighted)]]*$F$3</f>
        <v>0</v>
      </c>
      <c r="I995" s="246">
        <f>_xlfn.XLOOKUP(FME_Ranking1[[#This Row],[FME ID]],FME_Input[FME_ID],FME_Input[STRUCT_100])</f>
        <v>75</v>
      </c>
      <c r="J995" s="178">
        <f>(FME_Ranking1[[#This Row],[Structures 100 Raw]]/I$2)*100</f>
        <v>4.016193291350726E-2</v>
      </c>
      <c r="K995" s="178">
        <f>FME_Ranking1[[#This Row],[Structures 100  Score (Normalized, Unweighted)]]*$I$3</f>
        <v>6.024289937026089E-3</v>
      </c>
      <c r="L995" s="246">
        <f>_xlfn.XLOOKUP(FME_Ranking1[[#This Row],[FME ID]],FME_Input[FME_ID],FME_Input[RES_STRUCT100])</f>
        <v>73</v>
      </c>
      <c r="M995" s="230">
        <f>(FME_Ranking1[[#This Row],[Res Structures Raw]]/L$2)*100</f>
        <v>5.1706308169596697E-2</v>
      </c>
      <c r="N995" s="180">
        <f>FME_Ranking1[[#This Row],[Res Structures Score (Normalized, Unweighted)]]*$L$3</f>
        <v>5.1706308169596699E-3</v>
      </c>
      <c r="O995" s="244">
        <f>_xlfn.XLOOKUP(FME_Ranking1[[#This Row],[FME ID]],FME_Input[FME_ID],FME_Input[POP100])</f>
        <v>1003</v>
      </c>
      <c r="P995" s="178">
        <f>(FME_Ranking1[[#This Row],[Pop Raw]]/$O$2)*100</f>
        <v>0.10268243792472959</v>
      </c>
      <c r="Q995" s="178">
        <f>FME_Ranking1[[#This Row],[Pop Score (Normalized, Unweighted)]]*$O$3</f>
        <v>1.5402365688709438E-2</v>
      </c>
      <c r="R995" s="137">
        <f>_xlfn.XLOOKUP(FME_Ranking1[[#This Row],[FME ID]],FME_Input[FME_ID],FME_Input[CRITFAC100])</f>
        <v>2</v>
      </c>
      <c r="S995" s="230">
        <f>(FME_Ranking1[[#This Row],[Critical Facilities Raw]]/$R$2)*100</f>
        <v>8.5763293310463118E-2</v>
      </c>
      <c r="T995" s="180">
        <f>FME_Ranking1[[#This Row],[Critical Facilities Score (Normalized, Unweighted)]]*$R$3</f>
        <v>1.7152658662092625E-2</v>
      </c>
      <c r="U995">
        <f>_xlfn.XLOOKUP(FME_Ranking1[[#This Row],[FME ID]],FME_Input[FME_ID],FME_Input[LWC])</f>
        <v>4</v>
      </c>
      <c r="V995" s="178">
        <f>(FME_Ranking1[[#This Row],[LWC Raw]]/$U$2)*100</f>
        <v>0.23028209556706969</v>
      </c>
      <c r="W995" s="178">
        <f>FME_Ranking1[[#This Row],[LWC Score (Normalized, Unweighted)]]*$U$3</f>
        <v>4.6056419113413939E-2</v>
      </c>
      <c r="X995" s="246">
        <f>_xlfn.XLOOKUP(FME_Ranking1[[#This Row],[FME ID]],FME_Input[FME_ID],FME_Input[ROADCLS])</f>
        <v>0</v>
      </c>
      <c r="Y995" s="230">
        <f>(FME_Ranking1[[#This Row],[Closures Raw]]/$X$2)*100</f>
        <v>0</v>
      </c>
      <c r="Z995" s="180">
        <f>FME_Ranking1[[#This Row],[Closures Score (Normalized, Unweighted)]]*$X$3</f>
        <v>0</v>
      </c>
      <c r="AA995" s="253">
        <f>_xlfn.XLOOKUP(FME_Ranking1[[#This Row],[FME ID]],FME_Input[FME_ID],FME_Input[ROAD_MILES100])</f>
        <v>1.245695948600769</v>
      </c>
      <c r="AB995" s="178">
        <f>(FME_Ranking1[[#This Row],[Miles Raw]]/$AA$2)*100</f>
        <v>1.6378667463526567E-2</v>
      </c>
      <c r="AC995" s="178">
        <f>FME_Ranking1[[#This Row],[Miles Score (Normalized, Unweighted)]]*$AA$3</f>
        <v>1.6378667463526567E-3</v>
      </c>
      <c r="AD995" s="255">
        <f>_xlfn.XLOOKUP(FME_Ranking1[[#This Row],[FME ID]],FME_Input[FME_ID],FME_Input[FARMACRE100])</f>
        <v>1.2364480495452881</v>
      </c>
      <c r="AE995" s="230">
        <f>(FME_Ranking1[[#This Row],[Ag Land Raw]]/$AD$2)*100</f>
        <v>5.0985582598992087E-5</v>
      </c>
      <c r="AF995" s="231">
        <f>FME_Ranking1[[#This Row],[Ag Land Score (Normalized, Unweighted)]]*$AD$3</f>
        <v>2.5492791299496047E-6</v>
      </c>
      <c r="AG99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9.144678024368437E-2</v>
      </c>
      <c r="AH995" s="406">
        <f t="shared" si="15"/>
        <v>1084</v>
      </c>
      <c r="AI99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9.144678024368437E-2</v>
      </c>
      <c r="AJ995" s="257">
        <f>FME_Ranking1[[#This Row],[Addition check]]-FME_Ranking1[[#This Row],[Weighted Score Based on Normalized Reported Factors]]</f>
        <v>0</v>
      </c>
      <c r="AK995" s="178">
        <f>_xlfn.RANK.EQ(AI995,$AI$6:$AI$2341,0)+COUNTIF($AI$6:AI995,AI995)-1</f>
        <v>1084</v>
      </c>
    </row>
    <row r="996" spans="1:37" x14ac:dyDescent="0.25">
      <c r="A996" t="s">
        <v>4968</v>
      </c>
      <c r="B996">
        <f>_xlfn.XLOOKUP(FME_Ranking1[[#This Row],[FME ID]],FME_Input[FME_ID],FME_Input[RFPG_NUM])</f>
        <v>3</v>
      </c>
      <c r="C996" t="str">
        <f>_xlfn.XLOOKUP(FME_Ranking1[[#This Row],[FME ID]],FME_Input[FME_ID],FME_Input[FME_NAME])</f>
        <v xml:space="preserve">Thousand Oaks Court </v>
      </c>
      <c r="D996" t="str">
        <f>_xlfn.XLOOKUP(FME_Ranking1[[#This Row],[FME ID]],FME_Input[FME_ID],FME_Input[DESCR])</f>
        <v>Study update - Storm Drain Improvements; Estimated construction cost of $742,700</v>
      </c>
      <c r="E996" s="256">
        <f>_xlfn.XLOOKUP(FME_Ranking1[[#This Row],[FME ID]],FME_Input[FME_ID],FME_Input[FME_COST])</f>
        <v>250000</v>
      </c>
      <c r="F996" t="str">
        <f>_xlfn.XLOOKUP(FME_Ranking1[[#This Row],[FME ID]],FME_Input[FME_ID],FME_Input[EMER_NEED])</f>
        <v>No</v>
      </c>
      <c r="G996">
        <f>IF(FME_Ranking!F996="Yes",100,0)</f>
        <v>0</v>
      </c>
      <c r="H996">
        <f>FME_Ranking1[[#This Row],[Emergency Need Score (Normalized, Unweighted)]]*$F$3</f>
        <v>0</v>
      </c>
      <c r="I996" s="246">
        <f>_xlfn.XLOOKUP(FME_Ranking1[[#This Row],[FME ID]],FME_Input[FME_ID],FME_Input[STRUCT_100])</f>
        <v>75</v>
      </c>
      <c r="J996" s="178">
        <f>(FME_Ranking1[[#This Row],[Structures 100 Raw]]/I$2)*100</f>
        <v>4.016193291350726E-2</v>
      </c>
      <c r="K996" s="178">
        <f>FME_Ranking1[[#This Row],[Structures 100  Score (Normalized, Unweighted)]]*$I$3</f>
        <v>6.024289937026089E-3</v>
      </c>
      <c r="L996" s="246">
        <f>_xlfn.XLOOKUP(FME_Ranking1[[#This Row],[FME ID]],FME_Input[FME_ID],FME_Input[RES_STRUCT100])</f>
        <v>73</v>
      </c>
      <c r="M996" s="230">
        <f>(FME_Ranking1[[#This Row],[Res Structures Raw]]/L$2)*100</f>
        <v>5.1706308169596697E-2</v>
      </c>
      <c r="N996" s="180">
        <f>FME_Ranking1[[#This Row],[Res Structures Score (Normalized, Unweighted)]]*$L$3</f>
        <v>5.1706308169596699E-3</v>
      </c>
      <c r="O996" s="244">
        <f>_xlfn.XLOOKUP(FME_Ranking1[[#This Row],[FME ID]],FME_Input[FME_ID],FME_Input[POP100])</f>
        <v>1003</v>
      </c>
      <c r="P996" s="178">
        <f>(FME_Ranking1[[#This Row],[Pop Raw]]/$O$2)*100</f>
        <v>0.10268243792472959</v>
      </c>
      <c r="Q996" s="178">
        <f>FME_Ranking1[[#This Row],[Pop Score (Normalized, Unweighted)]]*$O$3</f>
        <v>1.5402365688709438E-2</v>
      </c>
      <c r="R996" s="137">
        <f>_xlfn.XLOOKUP(FME_Ranking1[[#This Row],[FME ID]],FME_Input[FME_ID],FME_Input[CRITFAC100])</f>
        <v>2</v>
      </c>
      <c r="S996" s="230">
        <f>(FME_Ranking1[[#This Row],[Critical Facilities Raw]]/$R$2)*100</f>
        <v>8.5763293310463118E-2</v>
      </c>
      <c r="T996" s="180">
        <f>FME_Ranking1[[#This Row],[Critical Facilities Score (Normalized, Unweighted)]]*$R$3</f>
        <v>1.7152658662092625E-2</v>
      </c>
      <c r="U996">
        <f>_xlfn.XLOOKUP(FME_Ranking1[[#This Row],[FME ID]],FME_Input[FME_ID],FME_Input[LWC])</f>
        <v>4</v>
      </c>
      <c r="V996" s="178">
        <f>(FME_Ranking1[[#This Row],[LWC Raw]]/$U$2)*100</f>
        <v>0.23028209556706969</v>
      </c>
      <c r="W996" s="178">
        <f>FME_Ranking1[[#This Row],[LWC Score (Normalized, Unweighted)]]*$U$3</f>
        <v>4.6056419113413939E-2</v>
      </c>
      <c r="X996" s="246">
        <f>_xlfn.XLOOKUP(FME_Ranking1[[#This Row],[FME ID]],FME_Input[FME_ID],FME_Input[ROADCLS])</f>
        <v>0</v>
      </c>
      <c r="Y996" s="230">
        <f>(FME_Ranking1[[#This Row],[Closures Raw]]/$X$2)*100</f>
        <v>0</v>
      </c>
      <c r="Z996" s="180">
        <f>FME_Ranking1[[#This Row],[Closures Score (Normalized, Unweighted)]]*$X$3</f>
        <v>0</v>
      </c>
      <c r="AA996" s="253">
        <f>_xlfn.XLOOKUP(FME_Ranking1[[#This Row],[FME ID]],FME_Input[FME_ID],FME_Input[ROAD_MILES100])</f>
        <v>1.245695948600769</v>
      </c>
      <c r="AB996" s="178">
        <f>(FME_Ranking1[[#This Row],[Miles Raw]]/$AA$2)*100</f>
        <v>1.6378667463526567E-2</v>
      </c>
      <c r="AC996" s="178">
        <f>FME_Ranking1[[#This Row],[Miles Score (Normalized, Unweighted)]]*$AA$3</f>
        <v>1.6378667463526567E-3</v>
      </c>
      <c r="AD996" s="255">
        <f>_xlfn.XLOOKUP(FME_Ranking1[[#This Row],[FME ID]],FME_Input[FME_ID],FME_Input[FARMACRE100])</f>
        <v>1.2364480495452881</v>
      </c>
      <c r="AE996" s="230">
        <f>(FME_Ranking1[[#This Row],[Ag Land Raw]]/$AD$2)*100</f>
        <v>5.0985582598992087E-5</v>
      </c>
      <c r="AF996" s="231">
        <f>FME_Ranking1[[#This Row],[Ag Land Score (Normalized, Unweighted)]]*$AD$3</f>
        <v>2.5492791299496047E-6</v>
      </c>
      <c r="AG99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9.144678024368437E-2</v>
      </c>
      <c r="AH996" s="406">
        <f t="shared" si="15"/>
        <v>1084</v>
      </c>
      <c r="AI99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9.144678024368437E-2</v>
      </c>
      <c r="AJ996" s="257">
        <f>FME_Ranking1[[#This Row],[Addition check]]-FME_Ranking1[[#This Row],[Weighted Score Based on Normalized Reported Factors]]</f>
        <v>0</v>
      </c>
      <c r="AK996" s="178">
        <f>_xlfn.RANK.EQ(AI996,$AI$6:$AI$2341,0)+COUNTIF($AI$6:AI996,AI996)-1</f>
        <v>1085</v>
      </c>
    </row>
    <row r="997" spans="1:37" x14ac:dyDescent="0.25">
      <c r="A997" t="s">
        <v>5025</v>
      </c>
      <c r="B997">
        <f>_xlfn.XLOOKUP(FME_Ranking1[[#This Row],[FME ID]],FME_Input[FME_ID],FME_Input[RFPG_NUM])</f>
        <v>3</v>
      </c>
      <c r="C997" t="str">
        <f>_xlfn.XLOOKUP(FME_Ranking1[[#This Row],[FME ID]],FME_Input[FME_ID],FME_Input[FME_NAME])</f>
        <v>Gilbert Rd Drainage Improvements</v>
      </c>
      <c r="D997" t="str">
        <f>_xlfn.XLOOKUP(FME_Ranking1[[#This Row],[FME ID]],FME_Input[FME_ID],FME_Input[DESCR])</f>
        <v>Study update - Storm Drain Improvements; Estimated construction cost of $5,825,500</v>
      </c>
      <c r="E997" s="256">
        <f>_xlfn.XLOOKUP(FME_Ranking1[[#This Row],[FME ID]],FME_Input[FME_ID],FME_Input[FME_COST])</f>
        <v>291000</v>
      </c>
      <c r="F997" t="str">
        <f>_xlfn.XLOOKUP(FME_Ranking1[[#This Row],[FME ID]],FME_Input[FME_ID],FME_Input[EMER_NEED])</f>
        <v>No</v>
      </c>
      <c r="G997">
        <f>IF(FME_Ranking!F997="Yes",100,0)</f>
        <v>0</v>
      </c>
      <c r="H997">
        <f>FME_Ranking1[[#This Row],[Emergency Need Score (Normalized, Unweighted)]]*$F$3</f>
        <v>0</v>
      </c>
      <c r="I997" s="246">
        <f>_xlfn.XLOOKUP(FME_Ranking1[[#This Row],[FME ID]],FME_Input[FME_ID],FME_Input[STRUCT_100])</f>
        <v>75</v>
      </c>
      <c r="J997" s="178">
        <f>(FME_Ranking1[[#This Row],[Structures 100 Raw]]/I$2)*100</f>
        <v>4.016193291350726E-2</v>
      </c>
      <c r="K997" s="178">
        <f>FME_Ranking1[[#This Row],[Structures 100  Score (Normalized, Unweighted)]]*$I$3</f>
        <v>6.024289937026089E-3</v>
      </c>
      <c r="L997" s="246">
        <f>_xlfn.XLOOKUP(FME_Ranking1[[#This Row],[FME ID]],FME_Input[FME_ID],FME_Input[RES_STRUCT100])</f>
        <v>73</v>
      </c>
      <c r="M997" s="230">
        <f>(FME_Ranking1[[#This Row],[Res Structures Raw]]/L$2)*100</f>
        <v>5.1706308169596697E-2</v>
      </c>
      <c r="N997" s="180">
        <f>FME_Ranking1[[#This Row],[Res Structures Score (Normalized, Unweighted)]]*$L$3</f>
        <v>5.1706308169596699E-3</v>
      </c>
      <c r="O997" s="244">
        <f>_xlfn.XLOOKUP(FME_Ranking1[[#This Row],[FME ID]],FME_Input[FME_ID],FME_Input[POP100])</f>
        <v>1003</v>
      </c>
      <c r="P997" s="178">
        <f>(FME_Ranking1[[#This Row],[Pop Raw]]/$O$2)*100</f>
        <v>0.10268243792472959</v>
      </c>
      <c r="Q997" s="178">
        <f>FME_Ranking1[[#This Row],[Pop Score (Normalized, Unweighted)]]*$O$3</f>
        <v>1.5402365688709438E-2</v>
      </c>
      <c r="R997" s="137">
        <f>_xlfn.XLOOKUP(FME_Ranking1[[#This Row],[FME ID]],FME_Input[FME_ID],FME_Input[CRITFAC100])</f>
        <v>2</v>
      </c>
      <c r="S997" s="230">
        <f>(FME_Ranking1[[#This Row],[Critical Facilities Raw]]/$R$2)*100</f>
        <v>8.5763293310463118E-2</v>
      </c>
      <c r="T997" s="180">
        <f>FME_Ranking1[[#This Row],[Critical Facilities Score (Normalized, Unweighted)]]*$R$3</f>
        <v>1.7152658662092625E-2</v>
      </c>
      <c r="U997">
        <f>_xlfn.XLOOKUP(FME_Ranking1[[#This Row],[FME ID]],FME_Input[FME_ID],FME_Input[LWC])</f>
        <v>4</v>
      </c>
      <c r="V997" s="178">
        <f>(FME_Ranking1[[#This Row],[LWC Raw]]/$U$2)*100</f>
        <v>0.23028209556706969</v>
      </c>
      <c r="W997" s="178">
        <f>FME_Ranking1[[#This Row],[LWC Score (Normalized, Unweighted)]]*$U$3</f>
        <v>4.6056419113413939E-2</v>
      </c>
      <c r="X997" s="246">
        <f>_xlfn.XLOOKUP(FME_Ranking1[[#This Row],[FME ID]],FME_Input[FME_ID],FME_Input[ROADCLS])</f>
        <v>0</v>
      </c>
      <c r="Y997" s="230">
        <f>(FME_Ranking1[[#This Row],[Closures Raw]]/$X$2)*100</f>
        <v>0</v>
      </c>
      <c r="Z997" s="180">
        <f>FME_Ranking1[[#This Row],[Closures Score (Normalized, Unweighted)]]*$X$3</f>
        <v>0</v>
      </c>
      <c r="AA997" s="253">
        <f>_xlfn.XLOOKUP(FME_Ranking1[[#This Row],[FME ID]],FME_Input[FME_ID],FME_Input[ROAD_MILES100])</f>
        <v>1.245695948600769</v>
      </c>
      <c r="AB997" s="178">
        <f>(FME_Ranking1[[#This Row],[Miles Raw]]/$AA$2)*100</f>
        <v>1.6378667463526567E-2</v>
      </c>
      <c r="AC997" s="178">
        <f>FME_Ranking1[[#This Row],[Miles Score (Normalized, Unweighted)]]*$AA$3</f>
        <v>1.6378667463526567E-3</v>
      </c>
      <c r="AD997" s="255">
        <f>_xlfn.XLOOKUP(FME_Ranking1[[#This Row],[FME ID]],FME_Input[FME_ID],FME_Input[FARMACRE100])</f>
        <v>1.2364480495452881</v>
      </c>
      <c r="AE997" s="230">
        <f>(FME_Ranking1[[#This Row],[Ag Land Raw]]/$AD$2)*100</f>
        <v>5.0985582598992087E-5</v>
      </c>
      <c r="AF997" s="231">
        <f>FME_Ranking1[[#This Row],[Ag Land Score (Normalized, Unweighted)]]*$AD$3</f>
        <v>2.5492791299496047E-6</v>
      </c>
      <c r="AG99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9.144678024368437E-2</v>
      </c>
      <c r="AH997" s="406">
        <f t="shared" si="15"/>
        <v>1084</v>
      </c>
      <c r="AI99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9.144678024368437E-2</v>
      </c>
      <c r="AJ997" s="257">
        <f>FME_Ranking1[[#This Row],[Addition check]]-FME_Ranking1[[#This Row],[Weighted Score Based on Normalized Reported Factors]]</f>
        <v>0</v>
      </c>
      <c r="AK997" s="178">
        <f>_xlfn.RANK.EQ(AI997,$AI$6:$AI$2341,0)+COUNTIF($AI$6:AI997,AI997)-1</f>
        <v>1086</v>
      </c>
    </row>
    <row r="998" spans="1:37" x14ac:dyDescent="0.25">
      <c r="A998" t="s">
        <v>5416</v>
      </c>
      <c r="B998">
        <f>_xlfn.XLOOKUP(FME_Ranking1[[#This Row],[FME ID]],FME_Input[FME_ID],FME_Input[RFPG_NUM])</f>
        <v>3</v>
      </c>
      <c r="C998" t="str">
        <f>_xlfn.XLOOKUP(FME_Ranking1[[#This Row],[FME ID]],FME_Input[FME_ID],FME_Input[FME_NAME])</f>
        <v xml:space="preserve">Dry Branch Stream Bottom Stabilization </v>
      </c>
      <c r="D998" t="str">
        <f>_xlfn.XLOOKUP(FME_Ranking1[[#This Row],[FME ID]],FME_Input[FME_ID],FME_Input[DESCR])</f>
        <v>Evaluate the improvements needed along Dry Branch: 300 feet south of Rock Island (2 locations); $91,300</v>
      </c>
      <c r="E998" s="256">
        <f>_xlfn.XLOOKUP(FME_Ranking1[[#This Row],[FME ID]],FME_Input[FME_ID],FME_Input[FME_COST])</f>
        <v>250000</v>
      </c>
      <c r="F998" t="str">
        <f>_xlfn.XLOOKUP(FME_Ranking1[[#This Row],[FME ID]],FME_Input[FME_ID],FME_Input[EMER_NEED])</f>
        <v>No</v>
      </c>
      <c r="G998">
        <f>IF(FME_Ranking!F998="Yes",100,0)</f>
        <v>0</v>
      </c>
      <c r="H998">
        <f>FME_Ranking1[[#This Row],[Emergency Need Score (Normalized, Unweighted)]]*$F$3</f>
        <v>0</v>
      </c>
      <c r="I998" s="246">
        <f>_xlfn.XLOOKUP(FME_Ranking1[[#This Row],[FME ID]],FME_Input[FME_ID],FME_Input[STRUCT_100])</f>
        <v>75</v>
      </c>
      <c r="J998" s="178">
        <f>(FME_Ranking1[[#This Row],[Structures 100 Raw]]/I$2)*100</f>
        <v>4.016193291350726E-2</v>
      </c>
      <c r="K998" s="178">
        <f>FME_Ranking1[[#This Row],[Structures 100  Score (Normalized, Unweighted)]]*$I$3</f>
        <v>6.024289937026089E-3</v>
      </c>
      <c r="L998" s="246">
        <f>_xlfn.XLOOKUP(FME_Ranking1[[#This Row],[FME ID]],FME_Input[FME_ID],FME_Input[RES_STRUCT100])</f>
        <v>73</v>
      </c>
      <c r="M998" s="230">
        <f>(FME_Ranking1[[#This Row],[Res Structures Raw]]/L$2)*100</f>
        <v>5.1706308169596697E-2</v>
      </c>
      <c r="N998" s="180">
        <f>FME_Ranking1[[#This Row],[Res Structures Score (Normalized, Unweighted)]]*$L$3</f>
        <v>5.1706308169596699E-3</v>
      </c>
      <c r="O998" s="244">
        <f>_xlfn.XLOOKUP(FME_Ranking1[[#This Row],[FME ID]],FME_Input[FME_ID],FME_Input[POP100])</f>
        <v>1003</v>
      </c>
      <c r="P998" s="178">
        <f>(FME_Ranking1[[#This Row],[Pop Raw]]/$O$2)*100</f>
        <v>0.10268243792472959</v>
      </c>
      <c r="Q998" s="178">
        <f>FME_Ranking1[[#This Row],[Pop Score (Normalized, Unweighted)]]*$O$3</f>
        <v>1.5402365688709438E-2</v>
      </c>
      <c r="R998" s="137">
        <f>_xlfn.XLOOKUP(FME_Ranking1[[#This Row],[FME ID]],FME_Input[FME_ID],FME_Input[CRITFAC100])</f>
        <v>2</v>
      </c>
      <c r="S998" s="230">
        <f>(FME_Ranking1[[#This Row],[Critical Facilities Raw]]/$R$2)*100</f>
        <v>8.5763293310463118E-2</v>
      </c>
      <c r="T998" s="180">
        <f>FME_Ranking1[[#This Row],[Critical Facilities Score (Normalized, Unweighted)]]*$R$3</f>
        <v>1.7152658662092625E-2</v>
      </c>
      <c r="U998">
        <f>_xlfn.XLOOKUP(FME_Ranking1[[#This Row],[FME ID]],FME_Input[FME_ID],FME_Input[LWC])</f>
        <v>4</v>
      </c>
      <c r="V998" s="178">
        <f>(FME_Ranking1[[#This Row],[LWC Raw]]/$U$2)*100</f>
        <v>0.23028209556706969</v>
      </c>
      <c r="W998" s="178">
        <f>FME_Ranking1[[#This Row],[LWC Score (Normalized, Unweighted)]]*$U$3</f>
        <v>4.6056419113413939E-2</v>
      </c>
      <c r="X998" s="246">
        <f>_xlfn.XLOOKUP(FME_Ranking1[[#This Row],[FME ID]],FME_Input[FME_ID],FME_Input[ROADCLS])</f>
        <v>0</v>
      </c>
      <c r="Y998" s="230">
        <f>(FME_Ranking1[[#This Row],[Closures Raw]]/$X$2)*100</f>
        <v>0</v>
      </c>
      <c r="Z998" s="180">
        <f>FME_Ranking1[[#This Row],[Closures Score (Normalized, Unweighted)]]*$X$3</f>
        <v>0</v>
      </c>
      <c r="AA998" s="253">
        <f>_xlfn.XLOOKUP(FME_Ranking1[[#This Row],[FME ID]],FME_Input[FME_ID],FME_Input[ROAD_MILES100])</f>
        <v>1.245695948600769</v>
      </c>
      <c r="AB998" s="178">
        <f>(FME_Ranking1[[#This Row],[Miles Raw]]/$AA$2)*100</f>
        <v>1.6378667463526567E-2</v>
      </c>
      <c r="AC998" s="178">
        <f>FME_Ranking1[[#This Row],[Miles Score (Normalized, Unweighted)]]*$AA$3</f>
        <v>1.6378667463526567E-3</v>
      </c>
      <c r="AD998" s="255">
        <f>_xlfn.XLOOKUP(FME_Ranking1[[#This Row],[FME ID]],FME_Input[FME_ID],FME_Input[FARMACRE100])</f>
        <v>1.2364480495452881</v>
      </c>
      <c r="AE998" s="230">
        <f>(FME_Ranking1[[#This Row],[Ag Land Raw]]/$AD$2)*100</f>
        <v>5.0985582598992087E-5</v>
      </c>
      <c r="AF998" s="231">
        <f>FME_Ranking1[[#This Row],[Ag Land Score (Normalized, Unweighted)]]*$AD$3</f>
        <v>2.5492791299496047E-6</v>
      </c>
      <c r="AG99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9.144678024368437E-2</v>
      </c>
      <c r="AH998" s="406">
        <f t="shared" si="15"/>
        <v>1084</v>
      </c>
      <c r="AI99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9.144678024368437E-2</v>
      </c>
      <c r="AJ998" s="257">
        <f>FME_Ranking1[[#This Row],[Addition check]]-FME_Ranking1[[#This Row],[Weighted Score Based on Normalized Reported Factors]]</f>
        <v>0</v>
      </c>
      <c r="AK998" s="178">
        <f>_xlfn.RANK.EQ(AI998,$AI$6:$AI$2341,0)+COUNTIF($AI$6:AI998,AI998)-1</f>
        <v>1087</v>
      </c>
    </row>
    <row r="999" spans="1:37" x14ac:dyDescent="0.25">
      <c r="A999" t="s">
        <v>3653</v>
      </c>
      <c r="B999">
        <f>_xlfn.XLOOKUP(FME_Ranking1[[#This Row],[FME ID]],FME_Input[FME_ID],FME_Input[RFPG_NUM])</f>
        <v>2</v>
      </c>
      <c r="C999" t="str">
        <f>_xlfn.XLOOKUP(FME_Ranking1[[#This Row],[FME ID]],FME_Input[FME_ID],FME_Input[FME_NAME])</f>
        <v>Marion County Barriers</v>
      </c>
      <c r="D999" t="str">
        <f>_xlfn.XLOOKUP(FME_Ranking1[[#This Row],[FME ID]],FME_Input[FME_ID],FME_Input[DESCR])</f>
        <v>Install low water crossing barriers, similar to railroad crossing barriers.</v>
      </c>
      <c r="E999" s="256">
        <f>_xlfn.XLOOKUP(FME_Ranking1[[#This Row],[FME ID]],FME_Input[FME_ID],FME_Input[FME_COST])</f>
        <v>100000</v>
      </c>
      <c r="F999" t="str">
        <f>_xlfn.XLOOKUP(FME_Ranking1[[#This Row],[FME ID]],FME_Input[FME_ID],FME_Input[EMER_NEED])</f>
        <v>No</v>
      </c>
      <c r="G999">
        <f>IF(FME_Ranking!F999="Yes",100,0)</f>
        <v>0</v>
      </c>
      <c r="H999">
        <f>FME_Ranking1[[#This Row],[Emergency Need Score (Normalized, Unweighted)]]*$F$3</f>
        <v>0</v>
      </c>
      <c r="I999" s="246">
        <f>_xlfn.XLOOKUP(FME_Ranking1[[#This Row],[FME ID]],FME_Input[FME_ID],FME_Input[STRUCT_100])</f>
        <v>313</v>
      </c>
      <c r="J999" s="178">
        <f>(FME_Ranking1[[#This Row],[Structures 100 Raw]]/I$2)*100</f>
        <v>0.16760913335903696</v>
      </c>
      <c r="K999" s="178">
        <f>FME_Ranking1[[#This Row],[Structures 100  Score (Normalized, Unweighted)]]*$I$3</f>
        <v>2.5141370003855544E-2</v>
      </c>
      <c r="L999" s="246">
        <f>_xlfn.XLOOKUP(FME_Ranking1[[#This Row],[FME ID]],FME_Input[FME_ID],FME_Input[RES_STRUCT100])</f>
        <v>163</v>
      </c>
      <c r="M999" s="230">
        <f>(FME_Ranking1[[#This Row],[Res Structures Raw]]/L$2)*100</f>
        <v>0.11545381139238713</v>
      </c>
      <c r="N999" s="180">
        <f>FME_Ranking1[[#This Row],[Res Structures Score (Normalized, Unweighted)]]*$L$3</f>
        <v>1.1545381139238713E-2</v>
      </c>
      <c r="O999" s="244">
        <f>_xlfn.XLOOKUP(FME_Ranking1[[#This Row],[FME ID]],FME_Input[FME_ID],FME_Input[POP100])</f>
        <v>452</v>
      </c>
      <c r="P999" s="178">
        <f>(FME_Ranking1[[#This Row],[Pop Raw]]/$O$2)*100</f>
        <v>4.6273641018921008E-2</v>
      </c>
      <c r="Q999" s="178">
        <f>FME_Ranking1[[#This Row],[Pop Score (Normalized, Unweighted)]]*$O$3</f>
        <v>6.9410461528381512E-3</v>
      </c>
      <c r="R999" s="137">
        <f>_xlfn.XLOOKUP(FME_Ranking1[[#This Row],[FME ID]],FME_Input[FME_ID],FME_Input[CRITFAC100])</f>
        <v>4</v>
      </c>
      <c r="S999" s="230">
        <f>(FME_Ranking1[[#This Row],[Critical Facilities Raw]]/$R$2)*100</f>
        <v>0.17152658662092624</v>
      </c>
      <c r="T999" s="180">
        <f>FME_Ranking1[[#This Row],[Critical Facilities Score (Normalized, Unweighted)]]*$R$3</f>
        <v>3.430531732418525E-2</v>
      </c>
      <c r="U999">
        <f>_xlfn.XLOOKUP(FME_Ranking1[[#This Row],[FME ID]],FME_Input[FME_ID],FME_Input[LWC])</f>
        <v>1</v>
      </c>
      <c r="V999" s="178">
        <f>(FME_Ranking1[[#This Row],[LWC Raw]]/$U$2)*100</f>
        <v>5.7570523891767422E-2</v>
      </c>
      <c r="W999" s="178">
        <f>FME_Ranking1[[#This Row],[LWC Score (Normalized, Unweighted)]]*$U$3</f>
        <v>1.1514104778353485E-2</v>
      </c>
      <c r="X999" s="246">
        <f>_xlfn.XLOOKUP(FME_Ranking1[[#This Row],[FME ID]],FME_Input[FME_ID],FME_Input[ROADCLS])</f>
        <v>0</v>
      </c>
      <c r="Y999" s="230">
        <f>(FME_Ranking1[[#This Row],[Closures Raw]]/$X$2)*100</f>
        <v>0</v>
      </c>
      <c r="Z999" s="180">
        <f>FME_Ranking1[[#This Row],[Closures Score (Normalized, Unweighted)]]*$X$3</f>
        <v>0</v>
      </c>
      <c r="AA999" s="253">
        <f>_xlfn.XLOOKUP(FME_Ranking1[[#This Row],[FME ID]],FME_Input[FME_ID],FME_Input[ROAD_MILES100])</f>
        <v>48.029872894287109</v>
      </c>
      <c r="AB999" s="178">
        <f>(FME_Ranking1[[#This Row],[Miles Raw]]/$AA$2)*100</f>
        <v>0.63150668293864209</v>
      </c>
      <c r="AC999" s="178">
        <f>FME_Ranking1[[#This Row],[Miles Score (Normalized, Unweighted)]]*$AA$3</f>
        <v>6.3150668293864218E-2</v>
      </c>
      <c r="AD999" s="255">
        <f>_xlfn.XLOOKUP(FME_Ranking1[[#This Row],[FME ID]],FME_Input[FME_ID],FME_Input[FARMACRE100])</f>
        <v>137.31132507324219</v>
      </c>
      <c r="AE999" s="230">
        <f>(FME_Ranking1[[#This Row],[Ag Land Raw]]/$AD$2)*100</f>
        <v>5.662104371367215E-3</v>
      </c>
      <c r="AF999" s="231">
        <f>FME_Ranking1[[#This Row],[Ag Land Score (Normalized, Unweighted)]]*$AD$3</f>
        <v>2.8310521856836075E-4</v>
      </c>
      <c r="AG99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0.15288099291090371</v>
      </c>
      <c r="AH999" s="406">
        <f t="shared" si="15"/>
        <v>898</v>
      </c>
      <c r="AI99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0.15288099291090371</v>
      </c>
      <c r="AJ999" s="257">
        <f>FME_Ranking1[[#This Row],[Addition check]]-FME_Ranking1[[#This Row],[Weighted Score Based on Normalized Reported Factors]]</f>
        <v>0</v>
      </c>
      <c r="AK999" s="178">
        <f>_xlfn.RANK.EQ(AI999,$AI$6:$AI$2341,0)+COUNTIF($AI$6:AI999,AI999)-1</f>
        <v>898</v>
      </c>
    </row>
    <row r="1000" spans="1:37" x14ac:dyDescent="0.25">
      <c r="A1000" t="s">
        <v>3564</v>
      </c>
      <c r="B1000">
        <f>_xlfn.XLOOKUP(FME_Ranking1[[#This Row],[FME ID]],FME_Input[FME_ID],FME_Input[RFPG_NUM])</f>
        <v>2</v>
      </c>
      <c r="C1000" t="str">
        <f>_xlfn.XLOOKUP(FME_Ranking1[[#This Row],[FME ID]],FME_Input[FME_ID],FME_Input[FME_NAME])</f>
        <v>Marion County FIS</v>
      </c>
      <c r="D1000" t="str">
        <f>_xlfn.XLOOKUP(FME_Ranking1[[#This Row],[FME ID]],FME_Input[FME_ID],FME_Input[DESCR])</f>
        <v>Develop FIS for the County</v>
      </c>
      <c r="E1000" s="256">
        <f>_xlfn.XLOOKUP(FME_Ranking1[[#This Row],[FME ID]],FME_Input[FME_ID],FME_Input[FME_COST])</f>
        <v>851000</v>
      </c>
      <c r="F1000" t="str">
        <f>_xlfn.XLOOKUP(FME_Ranking1[[#This Row],[FME ID]],FME_Input[FME_ID],FME_Input[EMER_NEED])</f>
        <v>No</v>
      </c>
      <c r="G1000">
        <f>IF(FME_Ranking!F1000="Yes",100,0)</f>
        <v>0</v>
      </c>
      <c r="H1000">
        <f>FME_Ranking1[[#This Row],[Emergency Need Score (Normalized, Unweighted)]]*$F$3</f>
        <v>0</v>
      </c>
      <c r="I1000" s="246">
        <f>_xlfn.XLOOKUP(FME_Ranking1[[#This Row],[FME ID]],FME_Input[FME_ID],FME_Input[STRUCT_100])</f>
        <v>313</v>
      </c>
      <c r="J1000" s="178">
        <f>(FME_Ranking1[[#This Row],[Structures 100 Raw]]/I$2)*100</f>
        <v>0.16760913335903696</v>
      </c>
      <c r="K1000" s="178">
        <f>FME_Ranking1[[#This Row],[Structures 100  Score (Normalized, Unweighted)]]*$I$3</f>
        <v>2.5141370003855544E-2</v>
      </c>
      <c r="L1000" s="246">
        <f>_xlfn.XLOOKUP(FME_Ranking1[[#This Row],[FME ID]],FME_Input[FME_ID],FME_Input[RES_STRUCT100])</f>
        <v>163</v>
      </c>
      <c r="M1000" s="230">
        <f>(FME_Ranking1[[#This Row],[Res Structures Raw]]/L$2)*100</f>
        <v>0.11545381139238713</v>
      </c>
      <c r="N1000" s="180">
        <f>FME_Ranking1[[#This Row],[Res Structures Score (Normalized, Unweighted)]]*$L$3</f>
        <v>1.1545381139238713E-2</v>
      </c>
      <c r="O1000" s="244">
        <f>_xlfn.XLOOKUP(FME_Ranking1[[#This Row],[FME ID]],FME_Input[FME_ID],FME_Input[POP100])</f>
        <v>452</v>
      </c>
      <c r="P1000" s="178">
        <f>(FME_Ranking1[[#This Row],[Pop Raw]]/$O$2)*100</f>
        <v>4.6273641018921008E-2</v>
      </c>
      <c r="Q1000" s="178">
        <f>FME_Ranking1[[#This Row],[Pop Score (Normalized, Unweighted)]]*$O$3</f>
        <v>6.9410461528381512E-3</v>
      </c>
      <c r="R1000" s="137">
        <f>_xlfn.XLOOKUP(FME_Ranking1[[#This Row],[FME ID]],FME_Input[FME_ID],FME_Input[CRITFAC100])</f>
        <v>4</v>
      </c>
      <c r="S1000" s="230">
        <f>(FME_Ranking1[[#This Row],[Critical Facilities Raw]]/$R$2)*100</f>
        <v>0.17152658662092624</v>
      </c>
      <c r="T1000" s="180">
        <f>FME_Ranking1[[#This Row],[Critical Facilities Score (Normalized, Unweighted)]]*$R$3</f>
        <v>3.430531732418525E-2</v>
      </c>
      <c r="U1000">
        <f>_xlfn.XLOOKUP(FME_Ranking1[[#This Row],[FME ID]],FME_Input[FME_ID],FME_Input[LWC])</f>
        <v>1</v>
      </c>
      <c r="V1000" s="178">
        <f>(FME_Ranking1[[#This Row],[LWC Raw]]/$U$2)*100</f>
        <v>5.7570523891767422E-2</v>
      </c>
      <c r="W1000" s="178">
        <f>FME_Ranking1[[#This Row],[LWC Score (Normalized, Unweighted)]]*$U$3</f>
        <v>1.1514104778353485E-2</v>
      </c>
      <c r="X1000" s="246">
        <f>_xlfn.XLOOKUP(FME_Ranking1[[#This Row],[FME ID]],FME_Input[FME_ID],FME_Input[ROADCLS])</f>
        <v>0</v>
      </c>
      <c r="Y1000" s="230">
        <f>(FME_Ranking1[[#This Row],[Closures Raw]]/$X$2)*100</f>
        <v>0</v>
      </c>
      <c r="Z1000" s="180">
        <f>FME_Ranking1[[#This Row],[Closures Score (Normalized, Unweighted)]]*$X$3</f>
        <v>0</v>
      </c>
      <c r="AA1000" s="253">
        <f>_xlfn.XLOOKUP(FME_Ranking1[[#This Row],[FME ID]],FME_Input[FME_ID],FME_Input[ROAD_MILES100])</f>
        <v>48.031021118164063</v>
      </c>
      <c r="AB1000" s="178">
        <f>(FME_Ranking1[[#This Row],[Miles Raw]]/$AA$2)*100</f>
        <v>0.63152178002318782</v>
      </c>
      <c r="AC1000" s="178">
        <f>FME_Ranking1[[#This Row],[Miles Score (Normalized, Unweighted)]]*$AA$3</f>
        <v>6.3152178002318787E-2</v>
      </c>
      <c r="AD1000" s="255">
        <f>_xlfn.XLOOKUP(FME_Ranking1[[#This Row],[FME ID]],FME_Input[FME_ID],FME_Input[FARMACRE100])</f>
        <v>137.30155944824219</v>
      </c>
      <c r="AE1000" s="230">
        <f>(FME_Ranking1[[#This Row],[Ag Land Raw]]/$AD$2)*100</f>
        <v>5.6617016807080714E-3</v>
      </c>
      <c r="AF1000" s="231">
        <f>FME_Ranking1[[#This Row],[Ag Land Score (Normalized, Unweighted)]]*$AD$3</f>
        <v>2.8308508403540356E-4</v>
      </c>
      <c r="AG100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0.15288248248482533</v>
      </c>
      <c r="AH1000" s="406">
        <f t="shared" si="15"/>
        <v>897</v>
      </c>
      <c r="AI100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0.15288248248482533</v>
      </c>
      <c r="AJ1000" s="257">
        <f>FME_Ranking1[[#This Row],[Addition check]]-FME_Ranking1[[#This Row],[Weighted Score Based on Normalized Reported Factors]]</f>
        <v>0</v>
      </c>
      <c r="AK1000" s="178">
        <f>_xlfn.RANK.EQ(AI1000,$AI$6:$AI$2341,0)+COUNTIF($AI$6:AI1000,AI1000)-1</f>
        <v>897</v>
      </c>
    </row>
    <row r="1001" spans="1:37" x14ac:dyDescent="0.25">
      <c r="A1001" t="s">
        <v>4301</v>
      </c>
      <c r="B1001">
        <f>_xlfn.XLOOKUP(FME_Ranking1[[#This Row],[FME ID]],FME_Input[FME_ID],FME_Input[RFPG_NUM])</f>
        <v>3</v>
      </c>
      <c r="C1001" t="str">
        <f>_xlfn.XLOOKUP(FME_Ranking1[[#This Row],[FME ID]],FME_Input[FME_ID],FME_Input[FME_NAME])</f>
        <v>Van Zandt County DMP</v>
      </c>
      <c r="D1001" t="str">
        <f>_xlfn.XLOOKUP(FME_Ranking1[[#This Row],[FME ID]],FME_Input[FME_ID],FME_Input[DESCR])</f>
        <v>Evaluate County and identify future projects.</v>
      </c>
      <c r="E1001" s="256">
        <f>_xlfn.XLOOKUP(FME_Ranking1[[#This Row],[FME ID]],FME_Input[FME_ID],FME_Input[FME_COST])</f>
        <v>500000</v>
      </c>
      <c r="F1001" t="str">
        <f>_xlfn.XLOOKUP(FME_Ranking1[[#This Row],[FME ID]],FME_Input[FME_ID],FME_Input[EMER_NEED])</f>
        <v>No</v>
      </c>
      <c r="G1001">
        <f>IF(FME_Ranking!F1001="Yes",100,0)</f>
        <v>0</v>
      </c>
      <c r="H1001">
        <f>FME_Ranking1[[#This Row],[Emergency Need Score (Normalized, Unweighted)]]*$F$3</f>
        <v>0</v>
      </c>
      <c r="I1001" s="246">
        <f>_xlfn.XLOOKUP(FME_Ranking1[[#This Row],[FME ID]],FME_Input[FME_ID],FME_Input[STRUCT_100])</f>
        <v>231</v>
      </c>
      <c r="J1001" s="178">
        <f>(FME_Ranking1[[#This Row],[Structures 100 Raw]]/I$2)*100</f>
        <v>0.12369875337360237</v>
      </c>
      <c r="K1001" s="178">
        <f>FME_Ranking1[[#This Row],[Structures 100  Score (Normalized, Unweighted)]]*$I$3</f>
        <v>1.8554813006040356E-2</v>
      </c>
      <c r="L1001" s="246">
        <f>_xlfn.XLOOKUP(FME_Ranking1[[#This Row],[FME ID]],FME_Input[FME_ID],FME_Input[RES_STRUCT100])</f>
        <v>142</v>
      </c>
      <c r="M1001" s="230">
        <f>(FME_Ranking1[[#This Row],[Res Structures Raw]]/L$2)*100</f>
        <v>0.10057939397373603</v>
      </c>
      <c r="N1001" s="180">
        <f>FME_Ranking1[[#This Row],[Res Structures Score (Normalized, Unweighted)]]*$L$3</f>
        <v>1.0057939397373603E-2</v>
      </c>
      <c r="O1001" s="244">
        <f>_xlfn.XLOOKUP(FME_Ranking1[[#This Row],[FME ID]],FME_Input[FME_ID],FME_Input[POP100])</f>
        <v>179</v>
      </c>
      <c r="P1001" s="178">
        <f>(FME_Ranking1[[#This Row],[Pop Raw]]/$O$2)*100</f>
        <v>1.8325180845988626E-2</v>
      </c>
      <c r="Q1001" s="178">
        <f>FME_Ranking1[[#This Row],[Pop Score (Normalized, Unweighted)]]*$O$3</f>
        <v>2.7487771268982939E-3</v>
      </c>
      <c r="R1001" s="137">
        <f>_xlfn.XLOOKUP(FME_Ranking1[[#This Row],[FME ID]],FME_Input[FME_ID],FME_Input[CRITFAC100])</f>
        <v>1</v>
      </c>
      <c r="S1001" s="230">
        <f>(FME_Ranking1[[#This Row],[Critical Facilities Raw]]/$R$2)*100</f>
        <v>4.2881646655231559E-2</v>
      </c>
      <c r="T1001" s="180">
        <f>FME_Ranking1[[#This Row],[Critical Facilities Score (Normalized, Unweighted)]]*$R$3</f>
        <v>8.5763293310463125E-3</v>
      </c>
      <c r="U1001">
        <f>_xlfn.XLOOKUP(FME_Ranking1[[#This Row],[FME ID]],FME_Input[FME_ID],FME_Input[LWC])</f>
        <v>2</v>
      </c>
      <c r="V1001" s="178">
        <f>(FME_Ranking1[[#This Row],[LWC Raw]]/$U$2)*100</f>
        <v>0.11514104778353484</v>
      </c>
      <c r="W1001" s="178">
        <f>FME_Ranking1[[#This Row],[LWC Score (Normalized, Unweighted)]]*$U$3</f>
        <v>2.302820955670697E-2</v>
      </c>
      <c r="X1001" s="246">
        <f>_xlfn.XLOOKUP(FME_Ranking1[[#This Row],[FME ID]],FME_Input[FME_ID],FME_Input[ROADCLS])</f>
        <v>0</v>
      </c>
      <c r="Y1001" s="230">
        <f>(FME_Ranking1[[#This Row],[Closures Raw]]/$X$2)*100</f>
        <v>0</v>
      </c>
      <c r="Z1001" s="180">
        <f>FME_Ranking1[[#This Row],[Closures Score (Normalized, Unweighted)]]*$X$3</f>
        <v>0</v>
      </c>
      <c r="AA1001" s="253">
        <f>_xlfn.XLOOKUP(FME_Ranking1[[#This Row],[FME ID]],FME_Input[FME_ID],FME_Input[ROAD_MILES100])</f>
        <v>37.467559814453118</v>
      </c>
      <c r="AB1001" s="178">
        <f>(FME_Ranking1[[#This Row],[Miles Raw]]/$AA$2)*100</f>
        <v>0.49263121033669866</v>
      </c>
      <c r="AC1001" s="178">
        <f>FME_Ranking1[[#This Row],[Miles Score (Normalized, Unweighted)]]*$AA$3</f>
        <v>4.9263121033669866E-2</v>
      </c>
      <c r="AD1001" s="255">
        <f>_xlfn.XLOOKUP(FME_Ranking1[[#This Row],[FME ID]],FME_Input[FME_ID],FME_Input[FARMACRE100])</f>
        <v>12720.1904296875</v>
      </c>
      <c r="AE1001" s="230">
        <f>(FME_Ranking1[[#This Row],[Ag Land Raw]]/$AD$2)*100</f>
        <v>0.52452371134092357</v>
      </c>
      <c r="AF1001" s="231">
        <f>FME_Ranking1[[#This Row],[Ag Land Score (Normalized, Unweighted)]]*$AD$3</f>
        <v>2.622618556704618E-2</v>
      </c>
      <c r="AG100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0.13845537501878158</v>
      </c>
      <c r="AH1001" s="406">
        <f t="shared" si="15"/>
        <v>925</v>
      </c>
      <c r="AI100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0.13845537501878158</v>
      </c>
      <c r="AJ1001" s="257">
        <f>FME_Ranking1[[#This Row],[Addition check]]-FME_Ranking1[[#This Row],[Weighted Score Based on Normalized Reported Factors]]</f>
        <v>0</v>
      </c>
      <c r="AK1001" s="178">
        <f>_xlfn.RANK.EQ(AI1001,$AI$6:$AI$2341,0)+COUNTIF($AI$6:AI1001,AI1001)-1</f>
        <v>925</v>
      </c>
    </row>
    <row r="1002" spans="1:37" x14ac:dyDescent="0.25">
      <c r="A1002" t="s">
        <v>6327</v>
      </c>
      <c r="B1002">
        <f>_xlfn.XLOOKUP(FME_Ranking1[[#This Row],[FME ID]],FME_Input[FME_ID],FME_Input[RFPG_NUM])</f>
        <v>5</v>
      </c>
      <c r="C1002" t="str">
        <f>_xlfn.XLOOKUP(FME_Ranking1[[#This Row],[FME ID]],FME_Input[FME_ID],FME_Input[FME_NAME])</f>
        <v>El Vista Upgrade Pumping Equipment</v>
      </c>
      <c r="D1002" t="str">
        <f>_xlfn.XLOOKUP(FME_Ranking1[[#This Row],[FME ID]],FME_Input[FME_ID],FME_Input[DESCR])</f>
        <v xml:space="preserve">H&amp;H study to size pump upgrades and improve existing level of service. </v>
      </c>
      <c r="E1002" s="256">
        <f>_xlfn.XLOOKUP(FME_Ranking1[[#This Row],[FME ID]],FME_Input[FME_ID],FME_Input[FME_COST])</f>
        <v>100000</v>
      </c>
      <c r="F1002" t="str">
        <f>_xlfn.XLOOKUP(FME_Ranking1[[#This Row],[FME ID]],FME_Input[FME_ID],FME_Input[EMER_NEED])</f>
        <v>Yes</v>
      </c>
      <c r="G1002">
        <f>IF(FME_Ranking!F1002="Yes",100,0)</f>
        <v>100</v>
      </c>
      <c r="H1002">
        <f>FME_Ranking1[[#This Row],[Emergency Need Score (Normalized, Unweighted)]]*$F$3</f>
        <v>0</v>
      </c>
      <c r="I1002" s="246">
        <f>_xlfn.XLOOKUP(FME_Ranking1[[#This Row],[FME ID]],FME_Input[FME_ID],FME_Input[STRUCT_100])</f>
        <v>507</v>
      </c>
      <c r="J1002" s="178">
        <f>(FME_Ranking1[[#This Row],[Structures 100 Raw]]/I$2)*100</f>
        <v>0.27149466649530912</v>
      </c>
      <c r="K1002" s="178">
        <f>FME_Ranking1[[#This Row],[Structures 100  Score (Normalized, Unweighted)]]*$I$3</f>
        <v>4.0724199974296368E-2</v>
      </c>
      <c r="L1002" s="246">
        <f>_xlfn.XLOOKUP(FME_Ranking1[[#This Row],[FME ID]],FME_Input[FME_ID],FME_Input[RES_STRUCT100])</f>
        <v>415</v>
      </c>
      <c r="M1002" s="230">
        <f>(FME_Ranking1[[#This Row],[Res Structures Raw]]/L$2)*100</f>
        <v>0.29394682041620035</v>
      </c>
      <c r="N1002" s="180">
        <f>FME_Ranking1[[#This Row],[Res Structures Score (Normalized, Unweighted)]]*$L$3</f>
        <v>2.9394682041620036E-2</v>
      </c>
      <c r="O1002" s="244">
        <f>_xlfn.XLOOKUP(FME_Ranking1[[#This Row],[FME ID]],FME_Input[FME_ID],FME_Input[POP100])</f>
        <v>1216</v>
      </c>
      <c r="P1002" s="178">
        <f>(FME_Ranking1[[#This Row],[Pop Raw]]/$O$2)*100</f>
        <v>0.12448837937833615</v>
      </c>
      <c r="Q1002" s="178">
        <f>FME_Ranking1[[#This Row],[Pop Score (Normalized, Unweighted)]]*$O$3</f>
        <v>1.867325690675042E-2</v>
      </c>
      <c r="R1002" s="137">
        <f>_xlfn.XLOOKUP(FME_Ranking1[[#This Row],[FME ID]],FME_Input[FME_ID],FME_Input[CRITFAC100])</f>
        <v>0</v>
      </c>
      <c r="S1002" s="230">
        <f>(FME_Ranking1[[#This Row],[Critical Facilities Raw]]/$R$2)*100</f>
        <v>0</v>
      </c>
      <c r="T1002" s="180">
        <f>FME_Ranking1[[#This Row],[Critical Facilities Score (Normalized, Unweighted)]]*$R$3</f>
        <v>0</v>
      </c>
      <c r="U1002">
        <f>_xlfn.XLOOKUP(FME_Ranking1[[#This Row],[FME ID]],FME_Input[FME_ID],FME_Input[LWC])</f>
        <v>0</v>
      </c>
      <c r="V1002" s="178">
        <f>(FME_Ranking1[[#This Row],[LWC Raw]]/$U$2)*100</f>
        <v>0</v>
      </c>
      <c r="W1002" s="178">
        <f>FME_Ranking1[[#This Row],[LWC Score (Normalized, Unweighted)]]*$U$3</f>
        <v>0</v>
      </c>
      <c r="X1002" s="246">
        <f>_xlfn.XLOOKUP(FME_Ranking1[[#This Row],[FME ID]],FME_Input[FME_ID],FME_Input[ROADCLS])</f>
        <v>0</v>
      </c>
      <c r="Y1002" s="230">
        <f>(FME_Ranking1[[#This Row],[Closures Raw]]/$X$2)*100</f>
        <v>0</v>
      </c>
      <c r="Z1002" s="180">
        <f>FME_Ranking1[[#This Row],[Closures Score (Normalized, Unweighted)]]*$X$3</f>
        <v>0</v>
      </c>
      <c r="AA1002" s="253">
        <f>_xlfn.XLOOKUP(FME_Ranking1[[#This Row],[FME ID]],FME_Input[FME_ID],FME_Input[ROAD_MILES100])</f>
        <v>10.02297878265381</v>
      </c>
      <c r="AB1002" s="178">
        <f>(FME_Ranking1[[#This Row],[Miles Raw]]/$AA$2)*100</f>
        <v>0.13178419393549895</v>
      </c>
      <c r="AC1002" s="178">
        <f>FME_Ranking1[[#This Row],[Miles Score (Normalized, Unweighted)]]*$AA$3</f>
        <v>1.3178419393549896E-2</v>
      </c>
      <c r="AD1002" s="255">
        <f>_xlfn.XLOOKUP(FME_Ranking1[[#This Row],[FME ID]],FME_Input[FME_ID],FME_Input[FARMACRE100])</f>
        <v>1.6033210754394529</v>
      </c>
      <c r="AE1002" s="230">
        <f>(FME_Ranking1[[#This Row],[Ag Land Raw]]/$AD$2)*100</f>
        <v>6.6113783878413469E-5</v>
      </c>
      <c r="AF1002" s="231">
        <f>FME_Ranking1[[#This Row],[Ag Land Score (Normalized, Unweighted)]]*$AD$3</f>
        <v>3.3056891939206736E-6</v>
      </c>
      <c r="AG100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0.10197386400541064</v>
      </c>
      <c r="AH1002" s="406">
        <f t="shared" si="15"/>
        <v>1049</v>
      </c>
      <c r="AI100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0.10197386400541064</v>
      </c>
      <c r="AJ1002" s="257">
        <f>FME_Ranking1[[#This Row],[Addition check]]-FME_Ranking1[[#This Row],[Weighted Score Based on Normalized Reported Factors]]</f>
        <v>0</v>
      </c>
      <c r="AK1002" s="178">
        <f>_xlfn.RANK.EQ(AI1002,$AI$6:$AI$2341,0)+COUNTIF($AI$6:AI1002,AI1002)-1</f>
        <v>1049</v>
      </c>
    </row>
    <row r="1003" spans="1:37" x14ac:dyDescent="0.25">
      <c r="A1003" t="s">
        <v>6641</v>
      </c>
      <c r="B1003">
        <f>_xlfn.XLOOKUP(FME_Ranking1[[#This Row],[FME ID]],FME_Input[FME_ID],FME_Input[RFPG_NUM])</f>
        <v>7</v>
      </c>
      <c r="C1003" t="str">
        <f>_xlfn.XLOOKUP(FME_Ranking1[[#This Row],[FME ID]],FME_Input[FME_ID],FME_Input[FME_NAME])</f>
        <v>Stonewall County Initial FEMA Mapping</v>
      </c>
      <c r="D1003" t="str">
        <f>_xlfn.XLOOKUP(FME_Ranking1[[#This Row],[FME ID]],FME_Input[FME_ID],FME_Input[DESCR])</f>
        <v>Create FEMA Mapping in previously unmapped areas</v>
      </c>
      <c r="E1003" s="256">
        <f>_xlfn.XLOOKUP(FME_Ranking1[[#This Row],[FME ID]],FME_Input[FME_ID],FME_Input[FME_COST])</f>
        <v>893000</v>
      </c>
      <c r="F1003" t="str">
        <f>_xlfn.XLOOKUP(FME_Ranking1[[#This Row],[FME ID]],FME_Input[FME_ID],FME_Input[EMER_NEED])</f>
        <v>No</v>
      </c>
      <c r="G1003">
        <f>IF(FME_Ranking!F1003="Yes",100,0)</f>
        <v>0</v>
      </c>
      <c r="H1003">
        <f>FME_Ranking1[[#This Row],[Emergency Need Score (Normalized, Unweighted)]]*$F$3</f>
        <v>0</v>
      </c>
      <c r="I1003" s="246">
        <f>_xlfn.XLOOKUP(FME_Ranking1[[#This Row],[FME ID]],FME_Input[FME_ID],FME_Input[STRUCT_100])</f>
        <v>67</v>
      </c>
      <c r="J1003" s="178">
        <f>(FME_Ranking1[[#This Row],[Structures 100 Raw]]/I$2)*100</f>
        <v>3.5877993402733156E-2</v>
      </c>
      <c r="K1003" s="178">
        <f>FME_Ranking1[[#This Row],[Structures 100  Score (Normalized, Unweighted)]]*$I$3</f>
        <v>5.3816990104099734E-3</v>
      </c>
      <c r="L1003" s="246">
        <f>_xlfn.XLOOKUP(FME_Ranking1[[#This Row],[FME ID]],FME_Input[FME_ID],FME_Input[RES_STRUCT100])</f>
        <v>11</v>
      </c>
      <c r="M1003" s="230">
        <f>(FME_Ranking1[[#This Row],[Res Structures Raw]]/L$2)*100</f>
        <v>7.7913615050077207E-3</v>
      </c>
      <c r="N1003" s="180">
        <f>FME_Ranking1[[#This Row],[Res Structures Score (Normalized, Unweighted)]]*$L$3</f>
        <v>7.7913615050077215E-4</v>
      </c>
      <c r="O1003" s="244">
        <f>_xlfn.XLOOKUP(FME_Ranking1[[#This Row],[FME ID]],FME_Input[FME_ID],FME_Input[POP100])</f>
        <v>12</v>
      </c>
      <c r="P1003" s="178">
        <f>(FME_Ranking1[[#This Row],[Pop Raw]]/$O$2)*100</f>
        <v>1.2285037438651595E-3</v>
      </c>
      <c r="Q1003" s="178">
        <f>FME_Ranking1[[#This Row],[Pop Score (Normalized, Unweighted)]]*$O$3</f>
        <v>1.8427556157977391E-4</v>
      </c>
      <c r="R1003" s="137">
        <f>_xlfn.XLOOKUP(FME_Ranking1[[#This Row],[FME ID]],FME_Input[FME_ID],FME_Input[CRITFAC100])</f>
        <v>0</v>
      </c>
      <c r="S1003" s="230">
        <f>(FME_Ranking1[[#This Row],[Critical Facilities Raw]]/$R$2)*100</f>
        <v>0</v>
      </c>
      <c r="T1003" s="180">
        <f>FME_Ranking1[[#This Row],[Critical Facilities Score (Normalized, Unweighted)]]*$R$3</f>
        <v>0</v>
      </c>
      <c r="U1003">
        <f>_xlfn.XLOOKUP(FME_Ranking1[[#This Row],[FME ID]],FME_Input[FME_ID],FME_Input[LWC])</f>
        <v>6</v>
      </c>
      <c r="V1003" s="178">
        <f>(FME_Ranking1[[#This Row],[LWC Raw]]/$U$2)*100</f>
        <v>0.34542314335060448</v>
      </c>
      <c r="W1003" s="178">
        <f>FME_Ranking1[[#This Row],[LWC Score (Normalized, Unweighted)]]*$U$3</f>
        <v>6.9084628670120898E-2</v>
      </c>
      <c r="X1003" s="246">
        <f>_xlfn.XLOOKUP(FME_Ranking1[[#This Row],[FME ID]],FME_Input[FME_ID],FME_Input[ROADCLS])</f>
        <v>0</v>
      </c>
      <c r="Y1003" s="230">
        <f>(FME_Ranking1[[#This Row],[Closures Raw]]/$X$2)*100</f>
        <v>0</v>
      </c>
      <c r="Z1003" s="180">
        <f>FME_Ranking1[[#This Row],[Closures Score (Normalized, Unweighted)]]*$X$3</f>
        <v>0</v>
      </c>
      <c r="AA1003" s="253">
        <f>_xlfn.XLOOKUP(FME_Ranking1[[#This Row],[FME ID]],FME_Input[FME_ID],FME_Input[ROAD_MILES100])</f>
        <v>49.345817565917969</v>
      </c>
      <c r="AB1003" s="178">
        <f>(FME_Ranking1[[#This Row],[Miles Raw]]/$AA$2)*100</f>
        <v>0.6488089951130146</v>
      </c>
      <c r="AC1003" s="178">
        <f>FME_Ranking1[[#This Row],[Miles Score (Normalized, Unweighted)]]*$AA$3</f>
        <v>6.4880899511301465E-2</v>
      </c>
      <c r="AD1003" s="255">
        <f>_xlfn.XLOOKUP(FME_Ranking1[[#This Row],[FME ID]],FME_Input[FME_ID],FME_Input[FARMACRE100])</f>
        <v>6456.623046875</v>
      </c>
      <c r="AE1003" s="230">
        <f>(FME_Ranking1[[#This Row],[Ag Land Raw]]/$AD$2)*100</f>
        <v>0.26624223135623432</v>
      </c>
      <c r="AF1003" s="231">
        <f>FME_Ranking1[[#This Row],[Ag Land Score (Normalized, Unweighted)]]*$AD$3</f>
        <v>1.3312111567811716E-2</v>
      </c>
      <c r="AG100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0.15362275047172458</v>
      </c>
      <c r="AH1003" s="406">
        <f t="shared" si="15"/>
        <v>892</v>
      </c>
      <c r="AI100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0.15362275047172458</v>
      </c>
      <c r="AJ1003" s="257">
        <f>FME_Ranking1[[#This Row],[Addition check]]-FME_Ranking1[[#This Row],[Weighted Score Based on Normalized Reported Factors]]</f>
        <v>0</v>
      </c>
      <c r="AK1003" s="178">
        <f>_xlfn.RANK.EQ(AI1003,$AI$6:$AI$2341,0)+COUNTIF($AI$6:AI1003,AI1003)-1</f>
        <v>892</v>
      </c>
    </row>
    <row r="1004" spans="1:37" x14ac:dyDescent="0.25">
      <c r="A1004" t="s">
        <v>6649</v>
      </c>
      <c r="B1004">
        <f>_xlfn.XLOOKUP(FME_Ranking1[[#This Row],[FME ID]],FME_Input[FME_ID],FME_Input[RFPG_NUM])</f>
        <v>7</v>
      </c>
      <c r="C1004" t="str">
        <f>_xlfn.XLOOKUP(FME_Ranking1[[#This Row],[FME ID]],FME_Input[FME_ID],FME_Input[FME_NAME])</f>
        <v>Stonewall County DMP</v>
      </c>
      <c r="D1004" t="str">
        <f>_xlfn.XLOOKUP(FME_Ranking1[[#This Row],[FME ID]],FME_Input[FME_ID],FME_Input[DESCR])</f>
        <v>Evaluate county to identify future projects, analyze roads/stream crossing for emergency response vehicles to high hazard areas</v>
      </c>
      <c r="E1004" s="256">
        <f>_xlfn.XLOOKUP(FME_Ranking1[[#This Row],[FME ID]],FME_Input[FME_ID],FME_Input[FME_COST])</f>
        <v>500000</v>
      </c>
      <c r="F1004" t="str">
        <f>_xlfn.XLOOKUP(FME_Ranking1[[#This Row],[FME ID]],FME_Input[FME_ID],FME_Input[EMER_NEED])</f>
        <v>No</v>
      </c>
      <c r="G1004">
        <f>IF(FME_Ranking!F1004="Yes",100,0)</f>
        <v>0</v>
      </c>
      <c r="H1004">
        <f>FME_Ranking1[[#This Row],[Emergency Need Score (Normalized, Unweighted)]]*$F$3</f>
        <v>0</v>
      </c>
      <c r="I1004" s="246">
        <f>_xlfn.XLOOKUP(FME_Ranking1[[#This Row],[FME ID]],FME_Input[FME_ID],FME_Input[STRUCT_100])</f>
        <v>67</v>
      </c>
      <c r="J1004" s="178">
        <f>(FME_Ranking1[[#This Row],[Structures 100 Raw]]/I$2)*100</f>
        <v>3.5877993402733156E-2</v>
      </c>
      <c r="K1004" s="178">
        <f>FME_Ranking1[[#This Row],[Structures 100  Score (Normalized, Unweighted)]]*$I$3</f>
        <v>5.3816990104099734E-3</v>
      </c>
      <c r="L1004" s="246">
        <f>_xlfn.XLOOKUP(FME_Ranking1[[#This Row],[FME ID]],FME_Input[FME_ID],FME_Input[RES_STRUCT100])</f>
        <v>11</v>
      </c>
      <c r="M1004" s="230">
        <f>(FME_Ranking1[[#This Row],[Res Structures Raw]]/L$2)*100</f>
        <v>7.7913615050077207E-3</v>
      </c>
      <c r="N1004" s="180">
        <f>FME_Ranking1[[#This Row],[Res Structures Score (Normalized, Unweighted)]]*$L$3</f>
        <v>7.7913615050077215E-4</v>
      </c>
      <c r="O1004" s="244">
        <f>_xlfn.XLOOKUP(FME_Ranking1[[#This Row],[FME ID]],FME_Input[FME_ID],FME_Input[POP100])</f>
        <v>12</v>
      </c>
      <c r="P1004" s="178">
        <f>(FME_Ranking1[[#This Row],[Pop Raw]]/$O$2)*100</f>
        <v>1.2285037438651595E-3</v>
      </c>
      <c r="Q1004" s="178">
        <f>FME_Ranking1[[#This Row],[Pop Score (Normalized, Unweighted)]]*$O$3</f>
        <v>1.8427556157977391E-4</v>
      </c>
      <c r="R1004" s="137">
        <f>_xlfn.XLOOKUP(FME_Ranking1[[#This Row],[FME ID]],FME_Input[FME_ID],FME_Input[CRITFAC100])</f>
        <v>0</v>
      </c>
      <c r="S1004" s="230">
        <f>(FME_Ranking1[[#This Row],[Critical Facilities Raw]]/$R$2)*100</f>
        <v>0</v>
      </c>
      <c r="T1004" s="180">
        <f>FME_Ranking1[[#This Row],[Critical Facilities Score (Normalized, Unweighted)]]*$R$3</f>
        <v>0</v>
      </c>
      <c r="U1004">
        <f>_xlfn.XLOOKUP(FME_Ranking1[[#This Row],[FME ID]],FME_Input[FME_ID],FME_Input[LWC])</f>
        <v>6</v>
      </c>
      <c r="V1004" s="178">
        <f>(FME_Ranking1[[#This Row],[LWC Raw]]/$U$2)*100</f>
        <v>0.34542314335060448</v>
      </c>
      <c r="W1004" s="178">
        <f>FME_Ranking1[[#This Row],[LWC Score (Normalized, Unweighted)]]*$U$3</f>
        <v>6.9084628670120898E-2</v>
      </c>
      <c r="X1004" s="246">
        <f>_xlfn.XLOOKUP(FME_Ranking1[[#This Row],[FME ID]],FME_Input[FME_ID],FME_Input[ROADCLS])</f>
        <v>0</v>
      </c>
      <c r="Y1004" s="230">
        <f>(FME_Ranking1[[#This Row],[Closures Raw]]/$X$2)*100</f>
        <v>0</v>
      </c>
      <c r="Z1004" s="180">
        <f>FME_Ranking1[[#This Row],[Closures Score (Normalized, Unweighted)]]*$X$3</f>
        <v>0</v>
      </c>
      <c r="AA1004" s="253">
        <f>_xlfn.XLOOKUP(FME_Ranking1[[#This Row],[FME ID]],FME_Input[FME_ID],FME_Input[ROAD_MILES100])</f>
        <v>49.345817565917969</v>
      </c>
      <c r="AB1004" s="178">
        <f>(FME_Ranking1[[#This Row],[Miles Raw]]/$AA$2)*100</f>
        <v>0.6488089951130146</v>
      </c>
      <c r="AC1004" s="178">
        <f>FME_Ranking1[[#This Row],[Miles Score (Normalized, Unweighted)]]*$AA$3</f>
        <v>6.4880899511301465E-2</v>
      </c>
      <c r="AD1004" s="255">
        <f>_xlfn.XLOOKUP(FME_Ranking1[[#This Row],[FME ID]],FME_Input[FME_ID],FME_Input[FARMACRE100])</f>
        <v>6456.623046875</v>
      </c>
      <c r="AE1004" s="230">
        <f>(FME_Ranking1[[#This Row],[Ag Land Raw]]/$AD$2)*100</f>
        <v>0.26624223135623432</v>
      </c>
      <c r="AF1004" s="231">
        <f>FME_Ranking1[[#This Row],[Ag Land Score (Normalized, Unweighted)]]*$AD$3</f>
        <v>1.3312111567811716E-2</v>
      </c>
      <c r="AG100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0.15362275047172458</v>
      </c>
      <c r="AH1004" s="406">
        <f t="shared" si="15"/>
        <v>892</v>
      </c>
      <c r="AI100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0.15362275047172458</v>
      </c>
      <c r="AJ1004" s="257">
        <f>FME_Ranking1[[#This Row],[Addition check]]-FME_Ranking1[[#This Row],[Weighted Score Based on Normalized Reported Factors]]</f>
        <v>0</v>
      </c>
      <c r="AK1004" s="178">
        <f>_xlfn.RANK.EQ(AI1004,$AI$6:$AI$2341,0)+COUNTIF($AI$6:AI1004,AI1004)-1</f>
        <v>893</v>
      </c>
    </row>
    <row r="1005" spans="1:37" x14ac:dyDescent="0.25">
      <c r="A1005" t="s">
        <v>6651</v>
      </c>
      <c r="B1005">
        <f>_xlfn.XLOOKUP(FME_Ranking1[[#This Row],[FME ID]],FME_Input[FME_ID],FME_Input[RFPG_NUM])</f>
        <v>7</v>
      </c>
      <c r="C1005" t="str">
        <f>_xlfn.XLOOKUP(FME_Ranking1[[#This Row],[FME ID]],FME_Input[FME_ID],FME_Input[FME_NAME])</f>
        <v>Stonewall County GIS Development</v>
      </c>
      <c r="D1005" t="str">
        <f>_xlfn.XLOOKUP(FME_Ranking1[[#This Row],[FME ID]],FME_Input[FME_ID],FME_Input[DESCR])</f>
        <v>Develop a GIS inventory of stormwater infrastructure</v>
      </c>
      <c r="E1005" s="256">
        <f>_xlfn.XLOOKUP(FME_Ranking1[[#This Row],[FME ID]],FME_Input[FME_ID],FME_Input[FME_COST])</f>
        <v>100000</v>
      </c>
      <c r="F1005" t="str">
        <f>_xlfn.XLOOKUP(FME_Ranking1[[#This Row],[FME ID]],FME_Input[FME_ID],FME_Input[EMER_NEED])</f>
        <v>No</v>
      </c>
      <c r="G1005">
        <f>IF(FME_Ranking!F1005="Yes",100,0)</f>
        <v>0</v>
      </c>
      <c r="H1005">
        <f>FME_Ranking1[[#This Row],[Emergency Need Score (Normalized, Unweighted)]]*$F$3</f>
        <v>0</v>
      </c>
      <c r="I1005" s="246">
        <f>_xlfn.XLOOKUP(FME_Ranking1[[#This Row],[FME ID]],FME_Input[FME_ID],FME_Input[STRUCT_100])</f>
        <v>67</v>
      </c>
      <c r="J1005" s="178">
        <f>(FME_Ranking1[[#This Row],[Structures 100 Raw]]/I$2)*100</f>
        <v>3.5877993402733156E-2</v>
      </c>
      <c r="K1005" s="178">
        <f>FME_Ranking1[[#This Row],[Structures 100  Score (Normalized, Unweighted)]]*$I$3</f>
        <v>5.3816990104099734E-3</v>
      </c>
      <c r="L1005" s="246">
        <f>_xlfn.XLOOKUP(FME_Ranking1[[#This Row],[FME ID]],FME_Input[FME_ID],FME_Input[RES_STRUCT100])</f>
        <v>11</v>
      </c>
      <c r="M1005" s="230">
        <f>(FME_Ranking1[[#This Row],[Res Structures Raw]]/L$2)*100</f>
        <v>7.7913615050077207E-3</v>
      </c>
      <c r="N1005" s="180">
        <f>FME_Ranking1[[#This Row],[Res Structures Score (Normalized, Unweighted)]]*$L$3</f>
        <v>7.7913615050077215E-4</v>
      </c>
      <c r="O1005" s="244">
        <f>_xlfn.XLOOKUP(FME_Ranking1[[#This Row],[FME ID]],FME_Input[FME_ID],FME_Input[POP100])</f>
        <v>12</v>
      </c>
      <c r="P1005" s="178">
        <f>(FME_Ranking1[[#This Row],[Pop Raw]]/$O$2)*100</f>
        <v>1.2285037438651595E-3</v>
      </c>
      <c r="Q1005" s="178">
        <f>FME_Ranking1[[#This Row],[Pop Score (Normalized, Unweighted)]]*$O$3</f>
        <v>1.8427556157977391E-4</v>
      </c>
      <c r="R1005" s="137">
        <f>_xlfn.XLOOKUP(FME_Ranking1[[#This Row],[FME ID]],FME_Input[FME_ID],FME_Input[CRITFAC100])</f>
        <v>0</v>
      </c>
      <c r="S1005" s="230">
        <f>(FME_Ranking1[[#This Row],[Critical Facilities Raw]]/$R$2)*100</f>
        <v>0</v>
      </c>
      <c r="T1005" s="180">
        <f>FME_Ranking1[[#This Row],[Critical Facilities Score (Normalized, Unweighted)]]*$R$3</f>
        <v>0</v>
      </c>
      <c r="U1005">
        <f>_xlfn.XLOOKUP(FME_Ranking1[[#This Row],[FME ID]],FME_Input[FME_ID],FME_Input[LWC])</f>
        <v>6</v>
      </c>
      <c r="V1005" s="178">
        <f>(FME_Ranking1[[#This Row],[LWC Raw]]/$U$2)*100</f>
        <v>0.34542314335060448</v>
      </c>
      <c r="W1005" s="178">
        <f>FME_Ranking1[[#This Row],[LWC Score (Normalized, Unweighted)]]*$U$3</f>
        <v>6.9084628670120898E-2</v>
      </c>
      <c r="X1005" s="246">
        <f>_xlfn.XLOOKUP(FME_Ranking1[[#This Row],[FME ID]],FME_Input[FME_ID],FME_Input[ROADCLS])</f>
        <v>0</v>
      </c>
      <c r="Y1005" s="230">
        <f>(FME_Ranking1[[#This Row],[Closures Raw]]/$X$2)*100</f>
        <v>0</v>
      </c>
      <c r="Z1005" s="180">
        <f>FME_Ranking1[[#This Row],[Closures Score (Normalized, Unweighted)]]*$X$3</f>
        <v>0</v>
      </c>
      <c r="AA1005" s="253">
        <f>_xlfn.XLOOKUP(FME_Ranking1[[#This Row],[FME ID]],FME_Input[FME_ID],FME_Input[ROAD_MILES100])</f>
        <v>49.345817565917969</v>
      </c>
      <c r="AB1005" s="178">
        <f>(FME_Ranking1[[#This Row],[Miles Raw]]/$AA$2)*100</f>
        <v>0.6488089951130146</v>
      </c>
      <c r="AC1005" s="178">
        <f>FME_Ranking1[[#This Row],[Miles Score (Normalized, Unweighted)]]*$AA$3</f>
        <v>6.4880899511301465E-2</v>
      </c>
      <c r="AD1005" s="255">
        <f>_xlfn.XLOOKUP(FME_Ranking1[[#This Row],[FME ID]],FME_Input[FME_ID],FME_Input[FARMACRE100])</f>
        <v>6456.623046875</v>
      </c>
      <c r="AE1005" s="230">
        <f>(FME_Ranking1[[#This Row],[Ag Land Raw]]/$AD$2)*100</f>
        <v>0.26624223135623432</v>
      </c>
      <c r="AF1005" s="231">
        <f>FME_Ranking1[[#This Row],[Ag Land Score (Normalized, Unweighted)]]*$AD$3</f>
        <v>1.3312111567811716E-2</v>
      </c>
      <c r="AG100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0.15362275047172458</v>
      </c>
      <c r="AH1005" s="406">
        <f t="shared" si="15"/>
        <v>892</v>
      </c>
      <c r="AI100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0.15362275047172458</v>
      </c>
      <c r="AJ1005" s="257">
        <f>FME_Ranking1[[#This Row],[Addition check]]-FME_Ranking1[[#This Row],[Weighted Score Based on Normalized Reported Factors]]</f>
        <v>0</v>
      </c>
      <c r="AK1005" s="178">
        <f>_xlfn.RANK.EQ(AI1005,$AI$6:$AI$2341,0)+COUNTIF($AI$6:AI1005,AI1005)-1</f>
        <v>894</v>
      </c>
    </row>
    <row r="1006" spans="1:37" x14ac:dyDescent="0.25">
      <c r="A1006" t="s">
        <v>7184</v>
      </c>
      <c r="B1006">
        <f>_xlfn.XLOOKUP(FME_Ranking1[[#This Row],[FME ID]],FME_Input[FME_ID],FME_Input[RFPG_NUM])</f>
        <v>7</v>
      </c>
      <c r="C1006" t="str">
        <f>_xlfn.XLOOKUP(FME_Ranking1[[#This Row],[FME ID]],FME_Input[FME_ID],FME_Input[FME_NAME])</f>
        <v>Stonewall County Stream Restoration Program</v>
      </c>
      <c r="D1006" t="str">
        <f>_xlfn.XLOOKUP(FME_Ranking1[[#This Row],[FME ID]],FME_Input[FME_ID],FME_Input[DESCR])</f>
        <v>Implement stream restoration / channelization program to ensure adequate drainage / diversion of stormwater.</v>
      </c>
      <c r="E1006" s="256">
        <f>_xlfn.XLOOKUP(FME_Ranking1[[#This Row],[FME ID]],FME_Input[FME_ID],FME_Input[FME_COST])</f>
        <v>500000</v>
      </c>
      <c r="F1006" t="str">
        <f>_xlfn.XLOOKUP(FME_Ranking1[[#This Row],[FME ID]],FME_Input[FME_ID],FME_Input[EMER_NEED])</f>
        <v>No</v>
      </c>
      <c r="G1006">
        <f>IF(FME_Ranking!F1006="Yes",100,0)</f>
        <v>0</v>
      </c>
      <c r="H1006">
        <f>FME_Ranking1[[#This Row],[Emergency Need Score (Normalized, Unweighted)]]*$F$3</f>
        <v>0</v>
      </c>
      <c r="I1006" s="246">
        <f>_xlfn.XLOOKUP(FME_Ranking1[[#This Row],[FME ID]],FME_Input[FME_ID],FME_Input[STRUCT_100])</f>
        <v>67</v>
      </c>
      <c r="J1006" s="178">
        <f>(FME_Ranking1[[#This Row],[Structures 100 Raw]]/I$2)*100</f>
        <v>3.5877993402733156E-2</v>
      </c>
      <c r="K1006" s="178">
        <f>FME_Ranking1[[#This Row],[Structures 100  Score (Normalized, Unweighted)]]*$I$3</f>
        <v>5.3816990104099734E-3</v>
      </c>
      <c r="L1006" s="246">
        <f>_xlfn.XLOOKUP(FME_Ranking1[[#This Row],[FME ID]],FME_Input[FME_ID],FME_Input[RES_STRUCT100])</f>
        <v>11</v>
      </c>
      <c r="M1006" s="230">
        <f>(FME_Ranking1[[#This Row],[Res Structures Raw]]/L$2)*100</f>
        <v>7.7913615050077207E-3</v>
      </c>
      <c r="N1006" s="180">
        <f>FME_Ranking1[[#This Row],[Res Structures Score (Normalized, Unweighted)]]*$L$3</f>
        <v>7.7913615050077215E-4</v>
      </c>
      <c r="O1006" s="244">
        <f>_xlfn.XLOOKUP(FME_Ranking1[[#This Row],[FME ID]],FME_Input[FME_ID],FME_Input[POP100])</f>
        <v>12</v>
      </c>
      <c r="P1006" s="178">
        <f>(FME_Ranking1[[#This Row],[Pop Raw]]/$O$2)*100</f>
        <v>1.2285037438651595E-3</v>
      </c>
      <c r="Q1006" s="178">
        <f>FME_Ranking1[[#This Row],[Pop Score (Normalized, Unweighted)]]*$O$3</f>
        <v>1.8427556157977391E-4</v>
      </c>
      <c r="R1006" s="137">
        <f>_xlfn.XLOOKUP(FME_Ranking1[[#This Row],[FME ID]],FME_Input[FME_ID],FME_Input[CRITFAC100])</f>
        <v>0</v>
      </c>
      <c r="S1006" s="230">
        <f>(FME_Ranking1[[#This Row],[Critical Facilities Raw]]/$R$2)*100</f>
        <v>0</v>
      </c>
      <c r="T1006" s="180">
        <f>FME_Ranking1[[#This Row],[Critical Facilities Score (Normalized, Unweighted)]]*$R$3</f>
        <v>0</v>
      </c>
      <c r="U1006">
        <f>_xlfn.XLOOKUP(FME_Ranking1[[#This Row],[FME ID]],FME_Input[FME_ID],FME_Input[LWC])</f>
        <v>6</v>
      </c>
      <c r="V1006" s="178">
        <f>(FME_Ranking1[[#This Row],[LWC Raw]]/$U$2)*100</f>
        <v>0.34542314335060448</v>
      </c>
      <c r="W1006" s="178">
        <f>FME_Ranking1[[#This Row],[LWC Score (Normalized, Unweighted)]]*$U$3</f>
        <v>6.9084628670120898E-2</v>
      </c>
      <c r="X1006" s="246">
        <f>_xlfn.XLOOKUP(FME_Ranking1[[#This Row],[FME ID]],FME_Input[FME_ID],FME_Input[ROADCLS])</f>
        <v>0</v>
      </c>
      <c r="Y1006" s="230">
        <f>(FME_Ranking1[[#This Row],[Closures Raw]]/$X$2)*100</f>
        <v>0</v>
      </c>
      <c r="Z1006" s="180">
        <f>FME_Ranking1[[#This Row],[Closures Score (Normalized, Unweighted)]]*$X$3</f>
        <v>0</v>
      </c>
      <c r="AA1006" s="253">
        <f>_xlfn.XLOOKUP(FME_Ranking1[[#This Row],[FME ID]],FME_Input[FME_ID],FME_Input[ROAD_MILES100])</f>
        <v>49.345817565917969</v>
      </c>
      <c r="AB1006" s="178">
        <f>(FME_Ranking1[[#This Row],[Miles Raw]]/$AA$2)*100</f>
        <v>0.6488089951130146</v>
      </c>
      <c r="AC1006" s="178">
        <f>FME_Ranking1[[#This Row],[Miles Score (Normalized, Unweighted)]]*$AA$3</f>
        <v>6.4880899511301465E-2</v>
      </c>
      <c r="AD1006" s="255">
        <f>_xlfn.XLOOKUP(FME_Ranking1[[#This Row],[FME ID]],FME_Input[FME_ID],FME_Input[FARMACRE100])</f>
        <v>6456.623046875</v>
      </c>
      <c r="AE1006" s="230">
        <f>(FME_Ranking1[[#This Row],[Ag Land Raw]]/$AD$2)*100</f>
        <v>0.26624223135623432</v>
      </c>
      <c r="AF1006" s="231">
        <f>FME_Ranking1[[#This Row],[Ag Land Score (Normalized, Unweighted)]]*$AD$3</f>
        <v>1.3312111567811716E-2</v>
      </c>
      <c r="AG100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0.15362275047172458</v>
      </c>
      <c r="AH1006" s="406">
        <f t="shared" si="15"/>
        <v>892</v>
      </c>
      <c r="AI100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0.15362275047172458</v>
      </c>
      <c r="AJ1006" s="257">
        <f>FME_Ranking1[[#This Row],[Addition check]]-FME_Ranking1[[#This Row],[Weighted Score Based on Normalized Reported Factors]]</f>
        <v>0</v>
      </c>
      <c r="AK1006" s="178">
        <f>_xlfn.RANK.EQ(AI1006,$AI$6:$AI$2341,0)+COUNTIF($AI$6:AI1006,AI1006)-1</f>
        <v>895</v>
      </c>
    </row>
    <row r="1007" spans="1:37" x14ac:dyDescent="0.25">
      <c r="A1007" t="s">
        <v>7187</v>
      </c>
      <c r="B1007">
        <f>_xlfn.XLOOKUP(FME_Ranking1[[#This Row],[FME ID]],FME_Input[FME_ID],FME_Input[RFPG_NUM])</f>
        <v>7</v>
      </c>
      <c r="C1007" t="str">
        <f>_xlfn.XLOOKUP(FME_Ranking1[[#This Row],[FME ID]],FME_Input[FME_ID],FME_Input[FME_NAME])</f>
        <v>Stonewall County DCM</v>
      </c>
      <c r="D1007" t="str">
        <f>_xlfn.XLOOKUP(FME_Ranking1[[#This Row],[FME ID]],FME_Input[FME_ID],FME_Input[DESCR])</f>
        <v>Consider stormwater criteria for infrastructure and floodplain ordinances to avoid new exposure to flood hazards.</v>
      </c>
      <c r="E1007" s="256">
        <f>_xlfn.XLOOKUP(FME_Ranking1[[#This Row],[FME ID]],FME_Input[FME_ID],FME_Input[FME_COST])</f>
        <v>100000</v>
      </c>
      <c r="F1007" t="str">
        <f>_xlfn.XLOOKUP(FME_Ranking1[[#This Row],[FME ID]],FME_Input[FME_ID],FME_Input[EMER_NEED])</f>
        <v>No</v>
      </c>
      <c r="G1007">
        <f>IF(FME_Ranking!F1007="Yes",100,0)</f>
        <v>0</v>
      </c>
      <c r="H1007">
        <f>FME_Ranking1[[#This Row],[Emergency Need Score (Normalized, Unweighted)]]*$F$3</f>
        <v>0</v>
      </c>
      <c r="I1007" s="246">
        <f>_xlfn.XLOOKUP(FME_Ranking1[[#This Row],[FME ID]],FME_Input[FME_ID],FME_Input[STRUCT_100])</f>
        <v>67</v>
      </c>
      <c r="J1007" s="178">
        <f>(FME_Ranking1[[#This Row],[Structures 100 Raw]]/I$2)*100</f>
        <v>3.5877993402733156E-2</v>
      </c>
      <c r="K1007" s="178">
        <f>FME_Ranking1[[#This Row],[Structures 100  Score (Normalized, Unweighted)]]*$I$3</f>
        <v>5.3816990104099734E-3</v>
      </c>
      <c r="L1007" s="246">
        <f>_xlfn.XLOOKUP(FME_Ranking1[[#This Row],[FME ID]],FME_Input[FME_ID],FME_Input[RES_STRUCT100])</f>
        <v>11</v>
      </c>
      <c r="M1007" s="230">
        <f>(FME_Ranking1[[#This Row],[Res Structures Raw]]/L$2)*100</f>
        <v>7.7913615050077207E-3</v>
      </c>
      <c r="N1007" s="180">
        <f>FME_Ranking1[[#This Row],[Res Structures Score (Normalized, Unweighted)]]*$L$3</f>
        <v>7.7913615050077215E-4</v>
      </c>
      <c r="O1007" s="244">
        <f>_xlfn.XLOOKUP(FME_Ranking1[[#This Row],[FME ID]],FME_Input[FME_ID],FME_Input[POP100])</f>
        <v>12</v>
      </c>
      <c r="P1007" s="178">
        <f>(FME_Ranking1[[#This Row],[Pop Raw]]/$O$2)*100</f>
        <v>1.2285037438651595E-3</v>
      </c>
      <c r="Q1007" s="178">
        <f>FME_Ranking1[[#This Row],[Pop Score (Normalized, Unweighted)]]*$O$3</f>
        <v>1.8427556157977391E-4</v>
      </c>
      <c r="R1007" s="137">
        <f>_xlfn.XLOOKUP(FME_Ranking1[[#This Row],[FME ID]],FME_Input[FME_ID],FME_Input[CRITFAC100])</f>
        <v>0</v>
      </c>
      <c r="S1007" s="230">
        <f>(FME_Ranking1[[#This Row],[Critical Facilities Raw]]/$R$2)*100</f>
        <v>0</v>
      </c>
      <c r="T1007" s="180">
        <f>FME_Ranking1[[#This Row],[Critical Facilities Score (Normalized, Unweighted)]]*$R$3</f>
        <v>0</v>
      </c>
      <c r="U1007">
        <f>_xlfn.XLOOKUP(FME_Ranking1[[#This Row],[FME ID]],FME_Input[FME_ID],FME_Input[LWC])</f>
        <v>6</v>
      </c>
      <c r="V1007" s="178">
        <f>(FME_Ranking1[[#This Row],[LWC Raw]]/$U$2)*100</f>
        <v>0.34542314335060448</v>
      </c>
      <c r="W1007" s="178">
        <f>FME_Ranking1[[#This Row],[LWC Score (Normalized, Unweighted)]]*$U$3</f>
        <v>6.9084628670120898E-2</v>
      </c>
      <c r="X1007" s="246">
        <f>_xlfn.XLOOKUP(FME_Ranking1[[#This Row],[FME ID]],FME_Input[FME_ID],FME_Input[ROADCLS])</f>
        <v>0</v>
      </c>
      <c r="Y1007" s="230">
        <f>(FME_Ranking1[[#This Row],[Closures Raw]]/$X$2)*100</f>
        <v>0</v>
      </c>
      <c r="Z1007" s="180">
        <f>FME_Ranking1[[#This Row],[Closures Score (Normalized, Unweighted)]]*$X$3</f>
        <v>0</v>
      </c>
      <c r="AA1007" s="253">
        <f>_xlfn.XLOOKUP(FME_Ranking1[[#This Row],[FME ID]],FME_Input[FME_ID],FME_Input[ROAD_MILES100])</f>
        <v>49.345817565917969</v>
      </c>
      <c r="AB1007" s="178">
        <f>(FME_Ranking1[[#This Row],[Miles Raw]]/$AA$2)*100</f>
        <v>0.6488089951130146</v>
      </c>
      <c r="AC1007" s="178">
        <f>FME_Ranking1[[#This Row],[Miles Score (Normalized, Unweighted)]]*$AA$3</f>
        <v>6.4880899511301465E-2</v>
      </c>
      <c r="AD1007" s="255">
        <f>_xlfn.XLOOKUP(FME_Ranking1[[#This Row],[FME ID]],FME_Input[FME_ID],FME_Input[FARMACRE100])</f>
        <v>6456.623046875</v>
      </c>
      <c r="AE1007" s="230">
        <f>(FME_Ranking1[[#This Row],[Ag Land Raw]]/$AD$2)*100</f>
        <v>0.26624223135623432</v>
      </c>
      <c r="AF1007" s="231">
        <f>FME_Ranking1[[#This Row],[Ag Land Score (Normalized, Unweighted)]]*$AD$3</f>
        <v>1.3312111567811716E-2</v>
      </c>
      <c r="AG100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0.15362275047172458</v>
      </c>
      <c r="AH1007" s="406">
        <f t="shared" si="15"/>
        <v>892</v>
      </c>
      <c r="AI100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0.15362275047172458</v>
      </c>
      <c r="AJ1007" s="257">
        <f>FME_Ranking1[[#This Row],[Addition check]]-FME_Ranking1[[#This Row],[Weighted Score Based on Normalized Reported Factors]]</f>
        <v>0</v>
      </c>
      <c r="AK1007" s="178">
        <f>_xlfn.RANK.EQ(AI1007,$AI$6:$AI$2341,0)+COUNTIF($AI$6:AI1007,AI1007)-1</f>
        <v>896</v>
      </c>
    </row>
    <row r="1008" spans="1:37" x14ac:dyDescent="0.25">
      <c r="A1008" t="s">
        <v>1431</v>
      </c>
      <c r="B1008">
        <f>_xlfn.XLOOKUP(FME_Ranking1[[#This Row],[FME ID]],FME_Input[FME_ID],FME_Input[RFPG_NUM])</f>
        <v>6</v>
      </c>
      <c r="C1008" t="str">
        <f>_xlfn.XLOOKUP(FME_Ranking1[[#This Row],[FME ID]],FME_Input[FME_ID],FME_Input[FME_NAME])</f>
        <v>Little Cypress Creek - L103-00-00</v>
      </c>
      <c r="D1008" t="str">
        <f>_xlfn.XLOOKUP(FME_Ranking1[[#This Row],[FME ID]],FME_Input[FME_ID],FME_Input[DESCR])</f>
        <v>Further study of Flood Risk Reduction need identified through the HCFCD 'Watershed Planning Tool' to determine channel modifications needed to restore/improve channel conveyance including Atlas 14 rainfall.</v>
      </c>
      <c r="E1008" s="256">
        <f>_xlfn.XLOOKUP(FME_Ranking1[[#This Row],[FME ID]],FME_Input[FME_ID],FME_Input[FME_COST])</f>
        <v>100000</v>
      </c>
      <c r="F1008" t="str">
        <f>_xlfn.XLOOKUP(FME_Ranking1[[#This Row],[FME ID]],FME_Input[FME_ID],FME_Input[EMER_NEED])</f>
        <v>No</v>
      </c>
      <c r="G1008">
        <f>IF(FME_Ranking!F1008="Yes",100,0)</f>
        <v>0</v>
      </c>
      <c r="H1008">
        <f>FME_Ranking1[[#This Row],[Emergency Need Score (Normalized, Unweighted)]]*$F$3</f>
        <v>0</v>
      </c>
      <c r="I1008" s="246">
        <f>_xlfn.XLOOKUP(FME_Ranking1[[#This Row],[FME ID]],FME_Input[FME_ID],FME_Input[STRUCT_100])</f>
        <v>116</v>
      </c>
      <c r="J1008" s="178">
        <f>(FME_Ranking1[[#This Row],[Structures 100 Raw]]/I$2)*100</f>
        <v>6.2117122906224564E-2</v>
      </c>
      <c r="K1008" s="178">
        <f>FME_Ranking1[[#This Row],[Structures 100  Score (Normalized, Unweighted)]]*$I$3</f>
        <v>9.317568435933685E-3</v>
      </c>
      <c r="L1008" s="246">
        <f>_xlfn.XLOOKUP(FME_Ranking1[[#This Row],[FME ID]],FME_Input[FME_ID],FME_Input[RES_STRUCT100])</f>
        <v>92</v>
      </c>
      <c r="M1008" s="230">
        <f>(FME_Ranking1[[#This Row],[Res Structures Raw]]/L$2)*100</f>
        <v>6.5164114405519113E-2</v>
      </c>
      <c r="N1008" s="180">
        <f>FME_Ranking1[[#This Row],[Res Structures Score (Normalized, Unweighted)]]*$L$3</f>
        <v>6.5164114405519115E-3</v>
      </c>
      <c r="O1008" s="244">
        <f>_xlfn.XLOOKUP(FME_Ranking1[[#This Row],[FME ID]],FME_Input[FME_ID],FME_Input[POP100])</f>
        <v>265</v>
      </c>
      <c r="P1008" s="178">
        <f>(FME_Ranking1[[#This Row],[Pop Raw]]/$O$2)*100</f>
        <v>2.7129457677022271E-2</v>
      </c>
      <c r="Q1008" s="178">
        <f>FME_Ranking1[[#This Row],[Pop Score (Normalized, Unweighted)]]*$O$3</f>
        <v>4.0694186515533408E-3</v>
      </c>
      <c r="R1008" s="137">
        <f>_xlfn.XLOOKUP(FME_Ranking1[[#This Row],[FME ID]],FME_Input[FME_ID],FME_Input[CRITFAC100])</f>
        <v>8</v>
      </c>
      <c r="S1008" s="230">
        <f>(FME_Ranking1[[#This Row],[Critical Facilities Raw]]/$R$2)*100</f>
        <v>0.34305317324185247</v>
      </c>
      <c r="T1008" s="180">
        <f>FME_Ranking1[[#This Row],[Critical Facilities Score (Normalized, Unweighted)]]*$R$3</f>
        <v>6.86106346483705E-2</v>
      </c>
      <c r="U1008">
        <f>_xlfn.XLOOKUP(FME_Ranking1[[#This Row],[FME ID]],FME_Input[FME_ID],FME_Input[LWC])</f>
        <v>0</v>
      </c>
      <c r="V1008" s="178">
        <f>(FME_Ranking1[[#This Row],[LWC Raw]]/$U$2)*100</f>
        <v>0</v>
      </c>
      <c r="W1008" s="178">
        <f>FME_Ranking1[[#This Row],[LWC Score (Normalized, Unweighted)]]*$U$3</f>
        <v>0</v>
      </c>
      <c r="X1008" s="246">
        <f>_xlfn.XLOOKUP(FME_Ranking1[[#This Row],[FME ID]],FME_Input[FME_ID],FME_Input[ROADCLS])</f>
        <v>0</v>
      </c>
      <c r="Y1008" s="230">
        <f>(FME_Ranking1[[#This Row],[Closures Raw]]/$X$2)*100</f>
        <v>0</v>
      </c>
      <c r="Z1008" s="180">
        <f>FME_Ranking1[[#This Row],[Closures Score (Normalized, Unweighted)]]*$X$3</f>
        <v>0</v>
      </c>
      <c r="AA1008" s="253">
        <f>_xlfn.XLOOKUP(FME_Ranking1[[#This Row],[FME ID]],FME_Input[FME_ID],FME_Input[ROAD_MILES100])</f>
        <v>2.7205624580383301</v>
      </c>
      <c r="AB1008" s="178">
        <f>(FME_Ranking1[[#This Row],[Miles Raw]]/$AA$2)*100</f>
        <v>3.5770516765359535E-2</v>
      </c>
      <c r="AC1008" s="178">
        <f>FME_Ranking1[[#This Row],[Miles Score (Normalized, Unweighted)]]*$AA$3</f>
        <v>3.5770516765359535E-3</v>
      </c>
      <c r="AD1008" s="255">
        <f>_xlfn.XLOOKUP(FME_Ranking1[[#This Row],[FME ID]],FME_Input[FME_ID],FME_Input[FARMACRE100])</f>
        <v>4.3515009880065918</v>
      </c>
      <c r="AE1008" s="230">
        <f>(FME_Ranking1[[#This Row],[Ag Land Raw]]/$AD$2)*100</f>
        <v>1.7943642123516442E-4</v>
      </c>
      <c r="AF1008" s="231">
        <f>FME_Ranking1[[#This Row],[Ag Land Score (Normalized, Unweighted)]]*$AD$3</f>
        <v>8.971821061758221E-6</v>
      </c>
      <c r="AG100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9.2100056674007141E-2</v>
      </c>
      <c r="AH1008" s="406">
        <f t="shared" si="15"/>
        <v>1083</v>
      </c>
      <c r="AI100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9.2100056674007141E-2</v>
      </c>
      <c r="AJ1008" s="257">
        <f>FME_Ranking1[[#This Row],[Addition check]]-FME_Ranking1[[#This Row],[Weighted Score Based on Normalized Reported Factors]]</f>
        <v>0</v>
      </c>
      <c r="AK1008" s="178">
        <f>_xlfn.RANK.EQ(AI1008,$AI$6:$AI$2341,0)+COUNTIF($AI$6:AI1008,AI1008)-1</f>
        <v>1083</v>
      </c>
    </row>
    <row r="1009" spans="1:37" x14ac:dyDescent="0.25">
      <c r="A1009" t="s">
        <v>2426</v>
      </c>
      <c r="B1009">
        <f>_xlfn.XLOOKUP(FME_Ranking1[[#This Row],[FME ID]],FME_Input[FME_ID],FME_Input[RFPG_NUM])</f>
        <v>1</v>
      </c>
      <c r="C1009" t="str">
        <f>_xlfn.XLOOKUP(FME_Ranking1[[#This Row],[FME ID]],FME_Input[FME_ID],FME_Input[FME_NAME])</f>
        <v>Knox County FIS</v>
      </c>
      <c r="D1009" t="str">
        <f>_xlfn.XLOOKUP(FME_Ranking1[[#This Row],[FME ID]],FME_Input[FME_ID],FME_Input[DESCR])</f>
        <v>Perform flood insurance study for the county and develop regulatory mapping</v>
      </c>
      <c r="E1009" s="256">
        <f>_xlfn.XLOOKUP(FME_Ranking1[[#This Row],[FME ID]],FME_Input[FME_ID],FME_Input[FME_COST])</f>
        <v>873000</v>
      </c>
      <c r="F1009" t="str">
        <f>_xlfn.XLOOKUP(FME_Ranking1[[#This Row],[FME ID]],FME_Input[FME_ID],FME_Input[EMER_NEED])</f>
        <v>No</v>
      </c>
      <c r="G1009">
        <f>IF(FME_Ranking!F1009="Yes",100,0)</f>
        <v>0</v>
      </c>
      <c r="H1009">
        <f>FME_Ranking1[[#This Row],[Emergency Need Score (Normalized, Unweighted)]]*$F$3</f>
        <v>0</v>
      </c>
      <c r="I1009" s="246">
        <f>_xlfn.XLOOKUP(FME_Ranking1[[#This Row],[FME ID]],FME_Input[FME_ID],FME_Input[STRUCT_100])</f>
        <v>7</v>
      </c>
      <c r="J1009" s="178">
        <f>(FME_Ranking1[[#This Row],[Structures 100 Raw]]/I$2)*100</f>
        <v>3.7484470719273445E-3</v>
      </c>
      <c r="K1009" s="178">
        <f>FME_Ranking1[[#This Row],[Structures 100  Score (Normalized, Unweighted)]]*$I$3</f>
        <v>5.622670607891017E-4</v>
      </c>
      <c r="L1009" s="246">
        <f>_xlfn.XLOOKUP(FME_Ranking1[[#This Row],[FME ID]],FME_Input[FME_ID],FME_Input[RES_STRUCT100])</f>
        <v>0</v>
      </c>
      <c r="M1009" s="230">
        <f>(FME_Ranking1[[#This Row],[Res Structures Raw]]/L$2)*100</f>
        <v>0</v>
      </c>
      <c r="N1009" s="180">
        <f>FME_Ranking1[[#This Row],[Res Structures Score (Normalized, Unweighted)]]*$L$3</f>
        <v>0</v>
      </c>
      <c r="O1009" s="244">
        <f>_xlfn.XLOOKUP(FME_Ranking1[[#This Row],[FME ID]],FME_Input[FME_ID],FME_Input[POP100])</f>
        <v>3</v>
      </c>
      <c r="P1009" s="178">
        <f>(FME_Ranking1[[#This Row],[Pop Raw]]/$O$2)*100</f>
        <v>3.0712593596628988E-4</v>
      </c>
      <c r="Q1009" s="178">
        <f>FME_Ranking1[[#This Row],[Pop Score (Normalized, Unweighted)]]*$O$3</f>
        <v>4.6068890394943479E-5</v>
      </c>
      <c r="R1009" s="137">
        <f>_xlfn.XLOOKUP(FME_Ranking1[[#This Row],[FME ID]],FME_Input[FME_ID],FME_Input[CRITFAC100])</f>
        <v>0</v>
      </c>
      <c r="S1009" s="230">
        <f>(FME_Ranking1[[#This Row],[Critical Facilities Raw]]/$R$2)*100</f>
        <v>0</v>
      </c>
      <c r="T1009" s="180">
        <f>FME_Ranking1[[#This Row],[Critical Facilities Score (Normalized, Unweighted)]]*$R$3</f>
        <v>0</v>
      </c>
      <c r="U1009">
        <f>_xlfn.XLOOKUP(FME_Ranking1[[#This Row],[FME ID]],FME_Input[FME_ID],FME_Input[LWC])</f>
        <v>0</v>
      </c>
      <c r="V1009" s="178">
        <f>(FME_Ranking1[[#This Row],[LWC Raw]]/$U$2)*100</f>
        <v>0</v>
      </c>
      <c r="W1009" s="178">
        <f>FME_Ranking1[[#This Row],[LWC Score (Normalized, Unweighted)]]*$U$3</f>
        <v>0</v>
      </c>
      <c r="X1009" s="246">
        <f>_xlfn.XLOOKUP(FME_Ranking1[[#This Row],[FME ID]],FME_Input[FME_ID],FME_Input[ROADCLS])</f>
        <v>0</v>
      </c>
      <c r="Y1009" s="230">
        <f>(FME_Ranking1[[#This Row],[Closures Raw]]/$X$2)*100</f>
        <v>0</v>
      </c>
      <c r="Z1009" s="180">
        <f>FME_Ranking1[[#This Row],[Closures Score (Normalized, Unweighted)]]*$X$3</f>
        <v>0</v>
      </c>
      <c r="AA1009" s="253">
        <f>_xlfn.XLOOKUP(FME_Ranking1[[#This Row],[FME ID]],FME_Input[FME_ID],FME_Input[ROAD_MILES100])</f>
        <v>5.2066555023193359</v>
      </c>
      <c r="AB1009" s="178">
        <f>(FME_Ranking1[[#This Row],[Miles Raw]]/$AA$2)*100</f>
        <v>6.8458181280446548E-2</v>
      </c>
      <c r="AC1009" s="178">
        <f>FME_Ranking1[[#This Row],[Miles Score (Normalized, Unweighted)]]*$AA$3</f>
        <v>6.8458181280446548E-3</v>
      </c>
      <c r="AD1009" s="255">
        <f>_xlfn.XLOOKUP(FME_Ranking1[[#This Row],[FME ID]],FME_Input[FME_ID],FME_Input[FARMACRE100])</f>
        <v>42190.99609375</v>
      </c>
      <c r="AE1009" s="230">
        <f>(FME_Ranking1[[#This Row],[Ag Land Raw]]/$AD$2)*100</f>
        <v>1.7397678107565751</v>
      </c>
      <c r="AF1009" s="231">
        <f>FME_Ranking1[[#This Row],[Ag Land Score (Normalized, Unweighted)]]*$AD$3</f>
        <v>8.6988390537828753E-2</v>
      </c>
      <c r="AG100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9.444254461705745E-2</v>
      </c>
      <c r="AH1009" s="406">
        <f t="shared" si="15"/>
        <v>1074</v>
      </c>
      <c r="AI100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9.444254461705745E-2</v>
      </c>
      <c r="AJ1009" s="257">
        <f>FME_Ranking1[[#This Row],[Addition check]]-FME_Ranking1[[#This Row],[Weighted Score Based on Normalized Reported Factors]]</f>
        <v>0</v>
      </c>
      <c r="AK1009" s="178">
        <f>_xlfn.RANK.EQ(AI1009,$AI$6:$AI$2341,0)+COUNTIF($AI$6:AI1009,AI1009)-1</f>
        <v>1074</v>
      </c>
    </row>
    <row r="1010" spans="1:37" x14ac:dyDescent="0.25">
      <c r="A1010" t="s">
        <v>7351</v>
      </c>
      <c r="B1010">
        <f>_xlfn.XLOOKUP(FME_Ranking1[[#This Row],[FME ID]],FME_Input[FME_ID],FME_Input[RFPG_NUM])</f>
        <v>7</v>
      </c>
      <c r="C1010" t="str">
        <f>_xlfn.XLOOKUP(FME_Ranking1[[#This Row],[FME ID]],FME_Input[FME_ID],FME_Input[FME_NAME])</f>
        <v>City of Abilene Catclaw Creek From S. 11th Street to S. 7th Street</v>
      </c>
      <c r="D1010" t="str">
        <f>_xlfn.XLOOKUP(FME_Ranking1[[#This Row],[FME ID]],FME_Input[FME_ID],FME_Input[DESCR])</f>
        <v>Enhance storage capacity of creek channel, raise Sammons Street and regional detention improvements</v>
      </c>
      <c r="E1010" s="256">
        <f>_xlfn.XLOOKUP(FME_Ranking1[[#This Row],[FME ID]],FME_Input[FME_ID],FME_Input[FME_COST])</f>
        <v>97600</v>
      </c>
      <c r="F1010" t="str">
        <f>_xlfn.XLOOKUP(FME_Ranking1[[#This Row],[FME ID]],FME_Input[FME_ID],FME_Input[EMER_NEED])</f>
        <v>No</v>
      </c>
      <c r="G1010">
        <f>IF(FME_Ranking!F1010="Yes",100,0)</f>
        <v>0</v>
      </c>
      <c r="H1010">
        <f>FME_Ranking1[[#This Row],[Emergency Need Score (Normalized, Unweighted)]]*$F$3</f>
        <v>0</v>
      </c>
      <c r="I1010" s="246">
        <f>_xlfn.XLOOKUP(FME_Ranking1[[#This Row],[FME ID]],FME_Input[FME_ID],FME_Input[STRUCT_100])</f>
        <v>194</v>
      </c>
      <c r="J1010" s="178">
        <f>(FME_Ranking1[[#This Row],[Structures 100 Raw]]/I$2)*100</f>
        <v>0.10388553313627211</v>
      </c>
      <c r="K1010" s="178">
        <f>FME_Ranking1[[#This Row],[Structures 100  Score (Normalized, Unweighted)]]*$I$3</f>
        <v>1.5582829970440816E-2</v>
      </c>
      <c r="L1010" s="246">
        <f>_xlfn.XLOOKUP(FME_Ranking1[[#This Row],[FME ID]],FME_Input[FME_ID],FME_Input[RES_STRUCT100])</f>
        <v>175</v>
      </c>
      <c r="M1010" s="230">
        <f>(FME_Ranking1[[#This Row],[Res Structures Raw]]/L$2)*100</f>
        <v>0.12395347848875918</v>
      </c>
      <c r="N1010" s="180">
        <f>FME_Ranking1[[#This Row],[Res Structures Score (Normalized, Unweighted)]]*$L$3</f>
        <v>1.2395347848875918E-2</v>
      </c>
      <c r="O1010" s="244">
        <f>_xlfn.XLOOKUP(FME_Ranking1[[#This Row],[FME ID]],FME_Input[FME_ID],FME_Input[POP100])</f>
        <v>321</v>
      </c>
      <c r="P1010" s="178">
        <f>(FME_Ranking1[[#This Row],[Pop Raw]]/$O$2)*100</f>
        <v>3.2862475148393015E-2</v>
      </c>
      <c r="Q1010" s="178">
        <f>FME_Ranking1[[#This Row],[Pop Score (Normalized, Unweighted)]]*$O$3</f>
        <v>4.9293712722589525E-3</v>
      </c>
      <c r="R1010" s="137">
        <f>_xlfn.XLOOKUP(FME_Ranking1[[#This Row],[FME ID]],FME_Input[FME_ID],FME_Input[CRITFAC100])</f>
        <v>1</v>
      </c>
      <c r="S1010" s="230">
        <f>(FME_Ranking1[[#This Row],[Critical Facilities Raw]]/$R$2)*100</f>
        <v>4.2881646655231559E-2</v>
      </c>
      <c r="T1010" s="180">
        <f>FME_Ranking1[[#This Row],[Critical Facilities Score (Normalized, Unweighted)]]*$R$3</f>
        <v>8.5763293310463125E-3</v>
      </c>
      <c r="U1010">
        <f>_xlfn.XLOOKUP(FME_Ranking1[[#This Row],[FME ID]],FME_Input[FME_ID],FME_Input[LWC])</f>
        <v>4</v>
      </c>
      <c r="V1010" s="178">
        <f>(FME_Ranking1[[#This Row],[LWC Raw]]/$U$2)*100</f>
        <v>0.23028209556706969</v>
      </c>
      <c r="W1010" s="178">
        <f>FME_Ranking1[[#This Row],[LWC Score (Normalized, Unweighted)]]*$U$3</f>
        <v>4.6056419113413939E-2</v>
      </c>
      <c r="X1010" s="246">
        <f>_xlfn.XLOOKUP(FME_Ranking1[[#This Row],[FME ID]],FME_Input[FME_ID],FME_Input[ROADCLS])</f>
        <v>0</v>
      </c>
      <c r="Y1010" s="230">
        <f>(FME_Ranking1[[#This Row],[Closures Raw]]/$X$2)*100</f>
        <v>0</v>
      </c>
      <c r="Z1010" s="180">
        <f>FME_Ranking1[[#This Row],[Closures Score (Normalized, Unweighted)]]*$X$3</f>
        <v>0</v>
      </c>
      <c r="AA1010" s="253">
        <f>_xlfn.XLOOKUP(FME_Ranking1[[#This Row],[FME ID]],FME_Input[FME_ID],FME_Input[ROAD_MILES100])</f>
        <v>2.887907981872559</v>
      </c>
      <c r="AB1010" s="178">
        <f>(FME_Ranking1[[#This Row],[Miles Raw]]/$AA$2)*100</f>
        <v>3.7970810255491871E-2</v>
      </c>
      <c r="AC1010" s="178">
        <f>FME_Ranking1[[#This Row],[Miles Score (Normalized, Unweighted)]]*$AA$3</f>
        <v>3.7970810255491872E-3</v>
      </c>
      <c r="AD1010" s="255">
        <f>_xlfn.XLOOKUP(FME_Ranking1[[#This Row],[FME ID]],FME_Input[FME_ID],FME_Input[FARMACRE100])</f>
        <v>0</v>
      </c>
      <c r="AE1010" s="230">
        <f>(FME_Ranking1[[#This Row],[Ag Land Raw]]/$AD$2)*100</f>
        <v>0</v>
      </c>
      <c r="AF1010" s="231">
        <f>FME_Ranking1[[#This Row],[Ag Land Score (Normalized, Unweighted)]]*$AD$3</f>
        <v>0</v>
      </c>
      <c r="AG101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9.1337378561585109E-2</v>
      </c>
      <c r="AH1010" s="406">
        <f t="shared" si="15"/>
        <v>1088</v>
      </c>
      <c r="AI101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9.1337378561585109E-2</v>
      </c>
      <c r="AJ1010" s="257">
        <f>FME_Ranking1[[#This Row],[Addition check]]-FME_Ranking1[[#This Row],[Weighted Score Based on Normalized Reported Factors]]</f>
        <v>0</v>
      </c>
      <c r="AK1010" s="178">
        <f>_xlfn.RANK.EQ(AI1010,$AI$6:$AI$2341,0)+COUNTIF($AI$6:AI1010,AI1010)-1</f>
        <v>1088</v>
      </c>
    </row>
    <row r="1011" spans="1:37" x14ac:dyDescent="0.25">
      <c r="A1011" t="s">
        <v>6870</v>
      </c>
      <c r="B1011">
        <f>_xlfn.XLOOKUP(FME_Ranking1[[#This Row],[FME ID]],FME_Input[FME_ID],FME_Input[RFPG_NUM])</f>
        <v>7</v>
      </c>
      <c r="C1011" t="str">
        <f>_xlfn.XLOOKUP(FME_Ranking1[[#This Row],[FME ID]],FME_Input[FME_ID],FME_Input[FME_NAME])</f>
        <v>Parmer County Initial FEMA Mapping</v>
      </c>
      <c r="D1011" t="str">
        <f>_xlfn.XLOOKUP(FME_Ranking1[[#This Row],[FME ID]],FME_Input[FME_ID],FME_Input[DESCR])</f>
        <v>Create FEMA Mapping in previously unmapped areas</v>
      </c>
      <c r="E1011" s="256">
        <f>_xlfn.XLOOKUP(FME_Ranking1[[#This Row],[FME ID]],FME_Input[FME_ID],FME_Input[FME_COST])</f>
        <v>787000</v>
      </c>
      <c r="F1011" t="str">
        <f>_xlfn.XLOOKUP(FME_Ranking1[[#This Row],[FME ID]],FME_Input[FME_ID],FME_Input[EMER_NEED])</f>
        <v>No</v>
      </c>
      <c r="G1011">
        <f>IF(FME_Ranking!F1011="Yes",100,0)</f>
        <v>0</v>
      </c>
      <c r="H1011">
        <f>FME_Ranking1[[#This Row],[Emergency Need Score (Normalized, Unweighted)]]*$F$3</f>
        <v>0</v>
      </c>
      <c r="I1011" s="246">
        <f>_xlfn.XLOOKUP(FME_Ranking1[[#This Row],[FME ID]],FME_Input[FME_ID],FME_Input[STRUCT_100])</f>
        <v>51</v>
      </c>
      <c r="J1011" s="178">
        <f>(FME_Ranking1[[#This Row],[Structures 100 Raw]]/I$2)*100</f>
        <v>2.7310114381184934E-2</v>
      </c>
      <c r="K1011" s="178">
        <f>FME_Ranking1[[#This Row],[Structures 100  Score (Normalized, Unweighted)]]*$I$3</f>
        <v>4.0965171571777396E-3</v>
      </c>
      <c r="L1011" s="246">
        <f>_xlfn.XLOOKUP(FME_Ranking1[[#This Row],[FME ID]],FME_Input[FME_ID],FME_Input[RES_STRUCT100])</f>
        <v>4</v>
      </c>
      <c r="M1011" s="230">
        <f>(FME_Ranking1[[#This Row],[Res Structures Raw]]/L$2)*100</f>
        <v>2.833222365457353E-3</v>
      </c>
      <c r="N1011" s="180">
        <f>FME_Ranking1[[#This Row],[Res Structures Score (Normalized, Unweighted)]]*$L$3</f>
        <v>2.8332223654573533E-4</v>
      </c>
      <c r="O1011" s="244">
        <f>_xlfn.XLOOKUP(FME_Ranking1[[#This Row],[FME ID]],FME_Input[FME_ID],FME_Input[POP100])</f>
        <v>47</v>
      </c>
      <c r="P1011" s="178">
        <f>(FME_Ranking1[[#This Row],[Pop Raw]]/$O$2)*100</f>
        <v>4.811639663471875E-3</v>
      </c>
      <c r="Q1011" s="178">
        <f>FME_Ranking1[[#This Row],[Pop Score (Normalized, Unweighted)]]*$O$3</f>
        <v>7.2174594952078121E-4</v>
      </c>
      <c r="R1011" s="137">
        <f>_xlfn.XLOOKUP(FME_Ranking1[[#This Row],[FME ID]],FME_Input[FME_ID],FME_Input[CRITFAC100])</f>
        <v>0</v>
      </c>
      <c r="S1011" s="230">
        <f>(FME_Ranking1[[#This Row],[Critical Facilities Raw]]/$R$2)*100</f>
        <v>0</v>
      </c>
      <c r="T1011" s="180">
        <f>FME_Ranking1[[#This Row],[Critical Facilities Score (Normalized, Unweighted)]]*$R$3</f>
        <v>0</v>
      </c>
      <c r="U1011">
        <f>_xlfn.XLOOKUP(FME_Ranking1[[#This Row],[FME ID]],FME_Input[FME_ID],FME_Input[LWC])</f>
        <v>5</v>
      </c>
      <c r="V1011" s="178">
        <f>(FME_Ranking1[[#This Row],[LWC Raw]]/$U$2)*100</f>
        <v>0.28785261945883706</v>
      </c>
      <c r="W1011" s="178">
        <f>FME_Ranking1[[#This Row],[LWC Score (Normalized, Unweighted)]]*$U$3</f>
        <v>5.7570523891767415E-2</v>
      </c>
      <c r="X1011" s="246">
        <f>_xlfn.XLOOKUP(FME_Ranking1[[#This Row],[FME ID]],FME_Input[FME_ID],FME_Input[ROADCLS])</f>
        <v>0</v>
      </c>
      <c r="Y1011" s="230">
        <f>(FME_Ranking1[[#This Row],[Closures Raw]]/$X$2)*100</f>
        <v>0</v>
      </c>
      <c r="Z1011" s="180">
        <f>FME_Ranking1[[#This Row],[Closures Score (Normalized, Unweighted)]]*$X$3</f>
        <v>0</v>
      </c>
      <c r="AA1011" s="253">
        <f>_xlfn.XLOOKUP(FME_Ranking1[[#This Row],[FME ID]],FME_Input[FME_ID],FME_Input[ROAD_MILES100])</f>
        <v>343.33282470703119</v>
      </c>
      <c r="AB1011" s="178">
        <f>(FME_Ranking1[[#This Row],[Miles Raw]]/$AA$2)*100</f>
        <v>4.5142108485671368</v>
      </c>
      <c r="AC1011" s="178">
        <f>FME_Ranking1[[#This Row],[Miles Score (Normalized, Unweighted)]]*$AA$3</f>
        <v>0.45142108485671373</v>
      </c>
      <c r="AD1011" s="255">
        <f>_xlfn.XLOOKUP(FME_Ranking1[[#This Row],[FME ID]],FME_Input[FME_ID],FME_Input[FARMACRE100])</f>
        <v>11929.7109375</v>
      </c>
      <c r="AE1011" s="230">
        <f>(FME_Ranking1[[#This Row],[Ag Land Raw]]/$AD$2)*100</f>
        <v>0.49192787566747431</v>
      </c>
      <c r="AF1011" s="231">
        <f>FME_Ranking1[[#This Row],[Ag Land Score (Normalized, Unweighted)]]*$AD$3</f>
        <v>2.4596393783373718E-2</v>
      </c>
      <c r="AG101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0.53868958787509913</v>
      </c>
      <c r="AH1011" s="406">
        <f t="shared" si="15"/>
        <v>407</v>
      </c>
      <c r="AI101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0.53868958787509913</v>
      </c>
      <c r="AJ1011" s="257">
        <f>FME_Ranking1[[#This Row],[Addition check]]-FME_Ranking1[[#This Row],[Weighted Score Based on Normalized Reported Factors]]</f>
        <v>0</v>
      </c>
      <c r="AK1011" s="178">
        <f>_xlfn.RANK.EQ(AI1011,$AI$6:$AI$2341,0)+COUNTIF($AI$6:AI1011,AI1011)-1</f>
        <v>407</v>
      </c>
    </row>
    <row r="1012" spans="1:37" x14ac:dyDescent="0.25">
      <c r="A1012" t="s">
        <v>6876</v>
      </c>
      <c r="B1012">
        <f>_xlfn.XLOOKUP(FME_Ranking1[[#This Row],[FME ID]],FME_Input[FME_ID],FME_Input[RFPG_NUM])</f>
        <v>7</v>
      </c>
      <c r="C1012" t="str">
        <f>_xlfn.XLOOKUP(FME_Ranking1[[#This Row],[FME ID]],FME_Input[FME_ID],FME_Input[FME_NAME])</f>
        <v>Parmer County DMP</v>
      </c>
      <c r="D1012" t="str">
        <f>_xlfn.XLOOKUP(FME_Ranking1[[#This Row],[FME ID]],FME_Input[FME_ID],FME_Input[DESCR])</f>
        <v>Evaluate county to identify future projects, analyze roads/stream crossing for emergency response vehicles to high hazard areas</v>
      </c>
      <c r="E1012" s="256">
        <f>_xlfn.XLOOKUP(FME_Ranking1[[#This Row],[FME ID]],FME_Input[FME_ID],FME_Input[FME_COST])</f>
        <v>500000</v>
      </c>
      <c r="F1012" t="str">
        <f>_xlfn.XLOOKUP(FME_Ranking1[[#This Row],[FME ID]],FME_Input[FME_ID],FME_Input[EMER_NEED])</f>
        <v>No</v>
      </c>
      <c r="G1012">
        <f>IF(FME_Ranking!F1012="Yes",100,0)</f>
        <v>0</v>
      </c>
      <c r="H1012">
        <f>FME_Ranking1[[#This Row],[Emergency Need Score (Normalized, Unweighted)]]*$F$3</f>
        <v>0</v>
      </c>
      <c r="I1012" s="246">
        <f>_xlfn.XLOOKUP(FME_Ranking1[[#This Row],[FME ID]],FME_Input[FME_ID],FME_Input[STRUCT_100])</f>
        <v>51</v>
      </c>
      <c r="J1012" s="178">
        <f>(FME_Ranking1[[#This Row],[Structures 100 Raw]]/I$2)*100</f>
        <v>2.7310114381184934E-2</v>
      </c>
      <c r="K1012" s="178">
        <f>FME_Ranking1[[#This Row],[Structures 100  Score (Normalized, Unweighted)]]*$I$3</f>
        <v>4.0965171571777396E-3</v>
      </c>
      <c r="L1012" s="246">
        <f>_xlfn.XLOOKUP(FME_Ranking1[[#This Row],[FME ID]],FME_Input[FME_ID],FME_Input[RES_STRUCT100])</f>
        <v>4</v>
      </c>
      <c r="M1012" s="230">
        <f>(FME_Ranking1[[#This Row],[Res Structures Raw]]/L$2)*100</f>
        <v>2.833222365457353E-3</v>
      </c>
      <c r="N1012" s="180">
        <f>FME_Ranking1[[#This Row],[Res Structures Score (Normalized, Unweighted)]]*$L$3</f>
        <v>2.8332223654573533E-4</v>
      </c>
      <c r="O1012" s="244">
        <f>_xlfn.XLOOKUP(FME_Ranking1[[#This Row],[FME ID]],FME_Input[FME_ID],FME_Input[POP100])</f>
        <v>47</v>
      </c>
      <c r="P1012" s="178">
        <f>(FME_Ranking1[[#This Row],[Pop Raw]]/$O$2)*100</f>
        <v>4.811639663471875E-3</v>
      </c>
      <c r="Q1012" s="178">
        <f>FME_Ranking1[[#This Row],[Pop Score (Normalized, Unweighted)]]*$O$3</f>
        <v>7.2174594952078121E-4</v>
      </c>
      <c r="R1012" s="137">
        <f>_xlfn.XLOOKUP(FME_Ranking1[[#This Row],[FME ID]],FME_Input[FME_ID],FME_Input[CRITFAC100])</f>
        <v>0</v>
      </c>
      <c r="S1012" s="230">
        <f>(FME_Ranking1[[#This Row],[Critical Facilities Raw]]/$R$2)*100</f>
        <v>0</v>
      </c>
      <c r="T1012" s="180">
        <f>FME_Ranking1[[#This Row],[Critical Facilities Score (Normalized, Unweighted)]]*$R$3</f>
        <v>0</v>
      </c>
      <c r="U1012">
        <f>_xlfn.XLOOKUP(FME_Ranking1[[#This Row],[FME ID]],FME_Input[FME_ID],FME_Input[LWC])</f>
        <v>5</v>
      </c>
      <c r="V1012" s="178">
        <f>(FME_Ranking1[[#This Row],[LWC Raw]]/$U$2)*100</f>
        <v>0.28785261945883706</v>
      </c>
      <c r="W1012" s="178">
        <f>FME_Ranking1[[#This Row],[LWC Score (Normalized, Unweighted)]]*$U$3</f>
        <v>5.7570523891767415E-2</v>
      </c>
      <c r="X1012" s="246">
        <f>_xlfn.XLOOKUP(FME_Ranking1[[#This Row],[FME ID]],FME_Input[FME_ID],FME_Input[ROADCLS])</f>
        <v>0</v>
      </c>
      <c r="Y1012" s="230">
        <f>(FME_Ranking1[[#This Row],[Closures Raw]]/$X$2)*100</f>
        <v>0</v>
      </c>
      <c r="Z1012" s="180">
        <f>FME_Ranking1[[#This Row],[Closures Score (Normalized, Unweighted)]]*$X$3</f>
        <v>0</v>
      </c>
      <c r="AA1012" s="253">
        <f>_xlfn.XLOOKUP(FME_Ranking1[[#This Row],[FME ID]],FME_Input[FME_ID],FME_Input[ROAD_MILES100])</f>
        <v>343.33282470703119</v>
      </c>
      <c r="AB1012" s="178">
        <f>(FME_Ranking1[[#This Row],[Miles Raw]]/$AA$2)*100</f>
        <v>4.5142108485671368</v>
      </c>
      <c r="AC1012" s="178">
        <f>FME_Ranking1[[#This Row],[Miles Score (Normalized, Unweighted)]]*$AA$3</f>
        <v>0.45142108485671373</v>
      </c>
      <c r="AD1012" s="255">
        <f>_xlfn.XLOOKUP(FME_Ranking1[[#This Row],[FME ID]],FME_Input[FME_ID],FME_Input[FARMACRE100])</f>
        <v>11929.7109375</v>
      </c>
      <c r="AE1012" s="230">
        <f>(FME_Ranking1[[#This Row],[Ag Land Raw]]/$AD$2)*100</f>
        <v>0.49192787566747431</v>
      </c>
      <c r="AF1012" s="231">
        <f>FME_Ranking1[[#This Row],[Ag Land Score (Normalized, Unweighted)]]*$AD$3</f>
        <v>2.4596393783373718E-2</v>
      </c>
      <c r="AG101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0.53868958787509913</v>
      </c>
      <c r="AH1012" s="406">
        <f t="shared" si="15"/>
        <v>407</v>
      </c>
      <c r="AI101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0.53868958787509913</v>
      </c>
      <c r="AJ1012" s="257">
        <f>FME_Ranking1[[#This Row],[Addition check]]-FME_Ranking1[[#This Row],[Weighted Score Based on Normalized Reported Factors]]</f>
        <v>0</v>
      </c>
      <c r="AK1012" s="178">
        <f>_xlfn.RANK.EQ(AI1012,$AI$6:$AI$2341,0)+COUNTIF($AI$6:AI1012,AI1012)-1</f>
        <v>408</v>
      </c>
    </row>
    <row r="1013" spans="1:37" x14ac:dyDescent="0.25">
      <c r="A1013" t="s">
        <v>6878</v>
      </c>
      <c r="B1013">
        <f>_xlfn.XLOOKUP(FME_Ranking1[[#This Row],[FME ID]],FME_Input[FME_ID],FME_Input[RFPG_NUM])</f>
        <v>7</v>
      </c>
      <c r="C1013" t="str">
        <f>_xlfn.XLOOKUP(FME_Ranking1[[#This Row],[FME ID]],FME_Input[FME_ID],FME_Input[FME_NAME])</f>
        <v>Parmer County GIS Development</v>
      </c>
      <c r="D1013" t="str">
        <f>_xlfn.XLOOKUP(FME_Ranking1[[#This Row],[FME ID]],FME_Input[FME_ID],FME_Input[DESCR])</f>
        <v>Develop a GIS inventory of stormwater infrastructure</v>
      </c>
      <c r="E1013" s="256">
        <f>_xlfn.XLOOKUP(FME_Ranking1[[#This Row],[FME ID]],FME_Input[FME_ID],FME_Input[FME_COST])</f>
        <v>100000</v>
      </c>
      <c r="F1013" t="str">
        <f>_xlfn.XLOOKUP(FME_Ranking1[[#This Row],[FME ID]],FME_Input[FME_ID],FME_Input[EMER_NEED])</f>
        <v>No</v>
      </c>
      <c r="G1013">
        <f>IF(FME_Ranking!F1013="Yes",100,0)</f>
        <v>0</v>
      </c>
      <c r="H1013">
        <f>FME_Ranking1[[#This Row],[Emergency Need Score (Normalized, Unweighted)]]*$F$3</f>
        <v>0</v>
      </c>
      <c r="I1013" s="246">
        <f>_xlfn.XLOOKUP(FME_Ranking1[[#This Row],[FME ID]],FME_Input[FME_ID],FME_Input[STRUCT_100])</f>
        <v>51</v>
      </c>
      <c r="J1013" s="178">
        <f>(FME_Ranking1[[#This Row],[Structures 100 Raw]]/I$2)*100</f>
        <v>2.7310114381184934E-2</v>
      </c>
      <c r="K1013" s="178">
        <f>FME_Ranking1[[#This Row],[Structures 100  Score (Normalized, Unweighted)]]*$I$3</f>
        <v>4.0965171571777396E-3</v>
      </c>
      <c r="L1013" s="246">
        <f>_xlfn.XLOOKUP(FME_Ranking1[[#This Row],[FME ID]],FME_Input[FME_ID],FME_Input[RES_STRUCT100])</f>
        <v>4</v>
      </c>
      <c r="M1013" s="230">
        <f>(FME_Ranking1[[#This Row],[Res Structures Raw]]/L$2)*100</f>
        <v>2.833222365457353E-3</v>
      </c>
      <c r="N1013" s="180">
        <f>FME_Ranking1[[#This Row],[Res Structures Score (Normalized, Unweighted)]]*$L$3</f>
        <v>2.8332223654573533E-4</v>
      </c>
      <c r="O1013" s="244">
        <f>_xlfn.XLOOKUP(FME_Ranking1[[#This Row],[FME ID]],FME_Input[FME_ID],FME_Input[POP100])</f>
        <v>47</v>
      </c>
      <c r="P1013" s="178">
        <f>(FME_Ranking1[[#This Row],[Pop Raw]]/$O$2)*100</f>
        <v>4.811639663471875E-3</v>
      </c>
      <c r="Q1013" s="178">
        <f>FME_Ranking1[[#This Row],[Pop Score (Normalized, Unweighted)]]*$O$3</f>
        <v>7.2174594952078121E-4</v>
      </c>
      <c r="R1013" s="137">
        <f>_xlfn.XLOOKUP(FME_Ranking1[[#This Row],[FME ID]],FME_Input[FME_ID],FME_Input[CRITFAC100])</f>
        <v>0</v>
      </c>
      <c r="S1013" s="230">
        <f>(FME_Ranking1[[#This Row],[Critical Facilities Raw]]/$R$2)*100</f>
        <v>0</v>
      </c>
      <c r="T1013" s="180">
        <f>FME_Ranking1[[#This Row],[Critical Facilities Score (Normalized, Unweighted)]]*$R$3</f>
        <v>0</v>
      </c>
      <c r="U1013">
        <f>_xlfn.XLOOKUP(FME_Ranking1[[#This Row],[FME ID]],FME_Input[FME_ID],FME_Input[LWC])</f>
        <v>5</v>
      </c>
      <c r="V1013" s="178">
        <f>(FME_Ranking1[[#This Row],[LWC Raw]]/$U$2)*100</f>
        <v>0.28785261945883706</v>
      </c>
      <c r="W1013" s="178">
        <f>FME_Ranking1[[#This Row],[LWC Score (Normalized, Unweighted)]]*$U$3</f>
        <v>5.7570523891767415E-2</v>
      </c>
      <c r="X1013" s="246">
        <f>_xlfn.XLOOKUP(FME_Ranking1[[#This Row],[FME ID]],FME_Input[FME_ID],FME_Input[ROADCLS])</f>
        <v>0</v>
      </c>
      <c r="Y1013" s="230">
        <f>(FME_Ranking1[[#This Row],[Closures Raw]]/$X$2)*100</f>
        <v>0</v>
      </c>
      <c r="Z1013" s="180">
        <f>FME_Ranking1[[#This Row],[Closures Score (Normalized, Unweighted)]]*$X$3</f>
        <v>0</v>
      </c>
      <c r="AA1013" s="253">
        <f>_xlfn.XLOOKUP(FME_Ranking1[[#This Row],[FME ID]],FME_Input[FME_ID],FME_Input[ROAD_MILES100])</f>
        <v>343.33282470703119</v>
      </c>
      <c r="AB1013" s="178">
        <f>(FME_Ranking1[[#This Row],[Miles Raw]]/$AA$2)*100</f>
        <v>4.5142108485671368</v>
      </c>
      <c r="AC1013" s="178">
        <f>FME_Ranking1[[#This Row],[Miles Score (Normalized, Unweighted)]]*$AA$3</f>
        <v>0.45142108485671373</v>
      </c>
      <c r="AD1013" s="255">
        <f>_xlfn.XLOOKUP(FME_Ranking1[[#This Row],[FME ID]],FME_Input[FME_ID],FME_Input[FARMACRE100])</f>
        <v>11929.7109375</v>
      </c>
      <c r="AE1013" s="230">
        <f>(FME_Ranking1[[#This Row],[Ag Land Raw]]/$AD$2)*100</f>
        <v>0.49192787566747431</v>
      </c>
      <c r="AF1013" s="231">
        <f>FME_Ranking1[[#This Row],[Ag Land Score (Normalized, Unweighted)]]*$AD$3</f>
        <v>2.4596393783373718E-2</v>
      </c>
      <c r="AG101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0.53868958787509913</v>
      </c>
      <c r="AH1013" s="406">
        <f t="shared" si="15"/>
        <v>407</v>
      </c>
      <c r="AI101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0.53868958787509913</v>
      </c>
      <c r="AJ1013" s="257">
        <f>FME_Ranking1[[#This Row],[Addition check]]-FME_Ranking1[[#This Row],[Weighted Score Based on Normalized Reported Factors]]</f>
        <v>0</v>
      </c>
      <c r="AK1013" s="178">
        <f>_xlfn.RANK.EQ(AI1013,$AI$6:$AI$2341,0)+COUNTIF($AI$6:AI1013,AI1013)-1</f>
        <v>409</v>
      </c>
    </row>
    <row r="1014" spans="1:37" x14ac:dyDescent="0.25">
      <c r="A1014" t="s">
        <v>7257</v>
      </c>
      <c r="B1014">
        <f>_xlfn.XLOOKUP(FME_Ranking1[[#This Row],[FME ID]],FME_Input[FME_ID],FME_Input[RFPG_NUM])</f>
        <v>7</v>
      </c>
      <c r="C1014" t="str">
        <f>_xlfn.XLOOKUP(FME_Ranking1[[#This Row],[FME ID]],FME_Input[FME_ID],FME_Input[FME_NAME])</f>
        <v>Parmer County DCM</v>
      </c>
      <c r="D1014" t="str">
        <f>_xlfn.XLOOKUP(FME_Ranking1[[#This Row],[FME ID]],FME_Input[FME_ID],FME_Input[DESCR])</f>
        <v>Consider stormwater criteria for infrastructure and floodplain ordinances to avoid new exposure to flood hazards.</v>
      </c>
      <c r="E1014" s="256">
        <f>_xlfn.XLOOKUP(FME_Ranking1[[#This Row],[FME ID]],FME_Input[FME_ID],FME_Input[FME_COST])</f>
        <v>100000</v>
      </c>
      <c r="F1014" t="str">
        <f>_xlfn.XLOOKUP(FME_Ranking1[[#This Row],[FME ID]],FME_Input[FME_ID],FME_Input[EMER_NEED])</f>
        <v>No</v>
      </c>
      <c r="G1014">
        <f>IF(FME_Ranking!F1014="Yes",100,0)</f>
        <v>0</v>
      </c>
      <c r="H1014">
        <f>FME_Ranking1[[#This Row],[Emergency Need Score (Normalized, Unweighted)]]*$F$3</f>
        <v>0</v>
      </c>
      <c r="I1014" s="246">
        <f>_xlfn.XLOOKUP(FME_Ranking1[[#This Row],[FME ID]],FME_Input[FME_ID],FME_Input[STRUCT_100])</f>
        <v>51</v>
      </c>
      <c r="J1014" s="178">
        <f>(FME_Ranking1[[#This Row],[Structures 100 Raw]]/I$2)*100</f>
        <v>2.7310114381184934E-2</v>
      </c>
      <c r="K1014" s="178">
        <f>FME_Ranking1[[#This Row],[Structures 100  Score (Normalized, Unweighted)]]*$I$3</f>
        <v>4.0965171571777396E-3</v>
      </c>
      <c r="L1014" s="246">
        <f>_xlfn.XLOOKUP(FME_Ranking1[[#This Row],[FME ID]],FME_Input[FME_ID],FME_Input[RES_STRUCT100])</f>
        <v>4</v>
      </c>
      <c r="M1014" s="230">
        <f>(FME_Ranking1[[#This Row],[Res Structures Raw]]/L$2)*100</f>
        <v>2.833222365457353E-3</v>
      </c>
      <c r="N1014" s="180">
        <f>FME_Ranking1[[#This Row],[Res Structures Score (Normalized, Unweighted)]]*$L$3</f>
        <v>2.8332223654573533E-4</v>
      </c>
      <c r="O1014" s="244">
        <f>_xlfn.XLOOKUP(FME_Ranking1[[#This Row],[FME ID]],FME_Input[FME_ID],FME_Input[POP100])</f>
        <v>47</v>
      </c>
      <c r="P1014" s="178">
        <f>(FME_Ranking1[[#This Row],[Pop Raw]]/$O$2)*100</f>
        <v>4.811639663471875E-3</v>
      </c>
      <c r="Q1014" s="178">
        <f>FME_Ranking1[[#This Row],[Pop Score (Normalized, Unweighted)]]*$O$3</f>
        <v>7.2174594952078121E-4</v>
      </c>
      <c r="R1014" s="137">
        <f>_xlfn.XLOOKUP(FME_Ranking1[[#This Row],[FME ID]],FME_Input[FME_ID],FME_Input[CRITFAC100])</f>
        <v>0</v>
      </c>
      <c r="S1014" s="230">
        <f>(FME_Ranking1[[#This Row],[Critical Facilities Raw]]/$R$2)*100</f>
        <v>0</v>
      </c>
      <c r="T1014" s="180">
        <f>FME_Ranking1[[#This Row],[Critical Facilities Score (Normalized, Unweighted)]]*$R$3</f>
        <v>0</v>
      </c>
      <c r="U1014">
        <f>_xlfn.XLOOKUP(FME_Ranking1[[#This Row],[FME ID]],FME_Input[FME_ID],FME_Input[LWC])</f>
        <v>5</v>
      </c>
      <c r="V1014" s="178">
        <f>(FME_Ranking1[[#This Row],[LWC Raw]]/$U$2)*100</f>
        <v>0.28785261945883706</v>
      </c>
      <c r="W1014" s="178">
        <f>FME_Ranking1[[#This Row],[LWC Score (Normalized, Unweighted)]]*$U$3</f>
        <v>5.7570523891767415E-2</v>
      </c>
      <c r="X1014" s="246">
        <f>_xlfn.XLOOKUP(FME_Ranking1[[#This Row],[FME ID]],FME_Input[FME_ID],FME_Input[ROADCLS])</f>
        <v>0</v>
      </c>
      <c r="Y1014" s="230">
        <f>(FME_Ranking1[[#This Row],[Closures Raw]]/$X$2)*100</f>
        <v>0</v>
      </c>
      <c r="Z1014" s="180">
        <f>FME_Ranking1[[#This Row],[Closures Score (Normalized, Unweighted)]]*$X$3</f>
        <v>0</v>
      </c>
      <c r="AA1014" s="253">
        <f>_xlfn.XLOOKUP(FME_Ranking1[[#This Row],[FME ID]],FME_Input[FME_ID],FME_Input[ROAD_MILES100])</f>
        <v>343.33282470703119</v>
      </c>
      <c r="AB1014" s="178">
        <f>(FME_Ranking1[[#This Row],[Miles Raw]]/$AA$2)*100</f>
        <v>4.5142108485671368</v>
      </c>
      <c r="AC1014" s="178">
        <f>FME_Ranking1[[#This Row],[Miles Score (Normalized, Unweighted)]]*$AA$3</f>
        <v>0.45142108485671373</v>
      </c>
      <c r="AD1014" s="255">
        <f>_xlfn.XLOOKUP(FME_Ranking1[[#This Row],[FME ID]],FME_Input[FME_ID],FME_Input[FARMACRE100])</f>
        <v>11929.7109375</v>
      </c>
      <c r="AE1014" s="230">
        <f>(FME_Ranking1[[#This Row],[Ag Land Raw]]/$AD$2)*100</f>
        <v>0.49192787566747431</v>
      </c>
      <c r="AF1014" s="231">
        <f>FME_Ranking1[[#This Row],[Ag Land Score (Normalized, Unweighted)]]*$AD$3</f>
        <v>2.4596393783373718E-2</v>
      </c>
      <c r="AG101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0.53868958787509913</v>
      </c>
      <c r="AH1014" s="406">
        <f t="shared" si="15"/>
        <v>407</v>
      </c>
      <c r="AI101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0.53868958787509913</v>
      </c>
      <c r="AJ1014" s="257">
        <f>FME_Ranking1[[#This Row],[Addition check]]-FME_Ranking1[[#This Row],[Weighted Score Based on Normalized Reported Factors]]</f>
        <v>0</v>
      </c>
      <c r="AK1014" s="178">
        <f>_xlfn.RANK.EQ(AI1014,$AI$6:$AI$2341,0)+COUNTIF($AI$6:AI1014,AI1014)-1</f>
        <v>410</v>
      </c>
    </row>
    <row r="1015" spans="1:37" x14ac:dyDescent="0.25">
      <c r="A1015" t="s">
        <v>5319</v>
      </c>
      <c r="B1015">
        <f>_xlfn.XLOOKUP(FME_Ranking1[[#This Row],[FME ID]],FME_Input[FME_ID],FME_Input[RFPG_NUM])</f>
        <v>3</v>
      </c>
      <c r="C1015" t="str">
        <f>_xlfn.XLOOKUP(FME_Ranking1[[#This Row],[FME ID]],FME_Input[FME_ID],FME_Input[FME_NAME])</f>
        <v>Cottonwood Creek of Ten Mile Creek at Goode Road</v>
      </c>
      <c r="D1015" t="str">
        <f>_xlfn.XLOOKUP(FME_Ranking1[[#This Row],[FME ID]],FME_Input[FME_ID],FME_Input[DESCR])</f>
        <v>Evaluate bridge improvements for Goode Road over Cottonwood Creek of Ten Mile Creek</v>
      </c>
      <c r="E1015" s="256">
        <f>_xlfn.XLOOKUP(FME_Ranking1[[#This Row],[FME ID]],FME_Input[FME_ID],FME_Input[FME_COST])</f>
        <v>250000</v>
      </c>
      <c r="F1015" t="str">
        <f>_xlfn.XLOOKUP(FME_Ranking1[[#This Row],[FME ID]],FME_Input[FME_ID],FME_Input[EMER_NEED])</f>
        <v>No</v>
      </c>
      <c r="G1015">
        <f>IF(FME_Ranking!F1015="Yes",100,0)</f>
        <v>0</v>
      </c>
      <c r="H1015">
        <f>FME_Ranking1[[#This Row],[Emergency Need Score (Normalized, Unweighted)]]*$F$3</f>
        <v>0</v>
      </c>
      <c r="I1015" s="246">
        <f>_xlfn.XLOOKUP(FME_Ranking1[[#This Row],[FME ID]],FME_Input[FME_ID],FME_Input[STRUCT_100])</f>
        <v>2</v>
      </c>
      <c r="J1015" s="178">
        <f>(FME_Ranking1[[#This Row],[Structures 100 Raw]]/I$2)*100</f>
        <v>1.0709848776935271E-3</v>
      </c>
      <c r="K1015" s="178">
        <f>FME_Ranking1[[#This Row],[Structures 100  Score (Normalized, Unweighted)]]*$I$3</f>
        <v>1.6064773165402907E-4</v>
      </c>
      <c r="L1015" s="246">
        <f>_xlfn.XLOOKUP(FME_Ranking1[[#This Row],[FME ID]],FME_Input[FME_ID],FME_Input[RES_STRUCT100])</f>
        <v>0</v>
      </c>
      <c r="M1015" s="230">
        <f>(FME_Ranking1[[#This Row],[Res Structures Raw]]/L$2)*100</f>
        <v>0</v>
      </c>
      <c r="N1015" s="180">
        <f>FME_Ranking1[[#This Row],[Res Structures Score (Normalized, Unweighted)]]*$L$3</f>
        <v>0</v>
      </c>
      <c r="O1015" s="244">
        <f>_xlfn.XLOOKUP(FME_Ranking1[[#This Row],[FME ID]],FME_Input[FME_ID],FME_Input[POP100])</f>
        <v>405</v>
      </c>
      <c r="P1015" s="178">
        <f>(FME_Ranking1[[#This Row],[Pop Raw]]/$O$2)*100</f>
        <v>4.1462001355449127E-2</v>
      </c>
      <c r="Q1015" s="178">
        <f>FME_Ranking1[[#This Row],[Pop Score (Normalized, Unweighted)]]*$O$3</f>
        <v>6.2193002033173687E-3</v>
      </c>
      <c r="R1015" s="137">
        <f>_xlfn.XLOOKUP(FME_Ranking1[[#This Row],[FME ID]],FME_Input[FME_ID],FME_Input[CRITFAC100])</f>
        <v>0</v>
      </c>
      <c r="S1015" s="230">
        <f>(FME_Ranking1[[#This Row],[Critical Facilities Raw]]/$R$2)*100</f>
        <v>0</v>
      </c>
      <c r="T1015" s="180">
        <f>FME_Ranking1[[#This Row],[Critical Facilities Score (Normalized, Unweighted)]]*$R$3</f>
        <v>0</v>
      </c>
      <c r="U1015">
        <f>_xlfn.XLOOKUP(FME_Ranking1[[#This Row],[FME ID]],FME_Input[FME_ID],FME_Input[LWC])</f>
        <v>7</v>
      </c>
      <c r="V1015" s="178">
        <f>(FME_Ranking1[[#This Row],[LWC Raw]]/$U$2)*100</f>
        <v>0.40299366724237184</v>
      </c>
      <c r="W1015" s="178">
        <f>FME_Ranking1[[#This Row],[LWC Score (Normalized, Unweighted)]]*$U$3</f>
        <v>8.0598733448474374E-2</v>
      </c>
      <c r="X1015" s="246">
        <f>_xlfn.XLOOKUP(FME_Ranking1[[#This Row],[FME ID]],FME_Input[FME_ID],FME_Input[ROADCLS])</f>
        <v>0</v>
      </c>
      <c r="Y1015" s="230">
        <f>(FME_Ranking1[[#This Row],[Closures Raw]]/$X$2)*100</f>
        <v>0</v>
      </c>
      <c r="Z1015" s="180">
        <f>FME_Ranking1[[#This Row],[Closures Score (Normalized, Unweighted)]]*$X$3</f>
        <v>0</v>
      </c>
      <c r="AA1015" s="253">
        <f>_xlfn.XLOOKUP(FME_Ranking1[[#This Row],[FME ID]],FME_Input[FME_ID],FME_Input[ROAD_MILES100])</f>
        <v>1.0117700099945071</v>
      </c>
      <c r="AB1015" s="178">
        <f>(FME_Ranking1[[#This Row],[Miles Raw]]/$AA$2)*100</f>
        <v>1.3302960936722077E-2</v>
      </c>
      <c r="AC1015" s="178">
        <f>FME_Ranking1[[#This Row],[Miles Score (Normalized, Unweighted)]]*$AA$3</f>
        <v>1.3302960936722079E-3</v>
      </c>
      <c r="AD1015" s="255">
        <f>_xlfn.XLOOKUP(FME_Ranking1[[#This Row],[FME ID]],FME_Input[FME_ID],FME_Input[FARMACRE100])</f>
        <v>56.787689208984382</v>
      </c>
      <c r="AE1015" s="230">
        <f>(FME_Ranking1[[#This Row],[Ag Land Raw]]/$AD$2)*100</f>
        <v>2.3416700926782567E-3</v>
      </c>
      <c r="AF1015" s="231">
        <f>FME_Ranking1[[#This Row],[Ag Land Score (Normalized, Unweighted)]]*$AD$3</f>
        <v>1.1708350463391284E-4</v>
      </c>
      <c r="AG101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8.8426060981751889E-2</v>
      </c>
      <c r="AH1015" s="406">
        <f t="shared" si="15"/>
        <v>1095</v>
      </c>
      <c r="AI101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8.8426060981751889E-2</v>
      </c>
      <c r="AJ1015" s="257">
        <f>FME_Ranking1[[#This Row],[Addition check]]-FME_Ranking1[[#This Row],[Weighted Score Based on Normalized Reported Factors]]</f>
        <v>0</v>
      </c>
      <c r="AK1015" s="178">
        <f>_xlfn.RANK.EQ(AI1015,$AI$6:$AI$2341,0)+COUNTIF($AI$6:AI1015,AI1015)-1</f>
        <v>1095</v>
      </c>
    </row>
    <row r="1016" spans="1:37" x14ac:dyDescent="0.25">
      <c r="A1016" t="s">
        <v>5324</v>
      </c>
      <c r="B1016">
        <f>_xlfn.XLOOKUP(FME_Ranking1[[#This Row],[FME ID]],FME_Input[FME_ID],FME_Input[RFPG_NUM])</f>
        <v>3</v>
      </c>
      <c r="C1016" t="str">
        <f>_xlfn.XLOOKUP(FME_Ranking1[[#This Row],[FME ID]],FME_Input[FME_ID],FME_Input[FME_NAME])</f>
        <v>Cottonwood Creek of Ten Mile Creek at IH 45</v>
      </c>
      <c r="D1016" t="str">
        <f>_xlfn.XLOOKUP(FME_Ranking1[[#This Row],[FME ID]],FME_Input[FME_ID],FME_Input[DESCR])</f>
        <v>Evaluate bridge improvements for IH 45 over Cottonwood Creek of Ten Mile Creek</v>
      </c>
      <c r="E1016" s="256">
        <f>_xlfn.XLOOKUP(FME_Ranking1[[#This Row],[FME ID]],FME_Input[FME_ID],FME_Input[FME_COST])</f>
        <v>250000</v>
      </c>
      <c r="F1016" t="str">
        <f>_xlfn.XLOOKUP(FME_Ranking1[[#This Row],[FME ID]],FME_Input[FME_ID],FME_Input[EMER_NEED])</f>
        <v>No</v>
      </c>
      <c r="G1016">
        <f>IF(FME_Ranking!F1016="Yes",100,0)</f>
        <v>0</v>
      </c>
      <c r="H1016">
        <f>FME_Ranking1[[#This Row],[Emergency Need Score (Normalized, Unweighted)]]*$F$3</f>
        <v>0</v>
      </c>
      <c r="I1016" s="246">
        <f>_xlfn.XLOOKUP(FME_Ranking1[[#This Row],[FME ID]],FME_Input[FME_ID],FME_Input[STRUCT_100])</f>
        <v>2</v>
      </c>
      <c r="J1016" s="178">
        <f>(FME_Ranking1[[#This Row],[Structures 100 Raw]]/I$2)*100</f>
        <v>1.0709848776935271E-3</v>
      </c>
      <c r="K1016" s="178">
        <f>FME_Ranking1[[#This Row],[Structures 100  Score (Normalized, Unweighted)]]*$I$3</f>
        <v>1.6064773165402907E-4</v>
      </c>
      <c r="L1016" s="246">
        <f>_xlfn.XLOOKUP(FME_Ranking1[[#This Row],[FME ID]],FME_Input[FME_ID],FME_Input[RES_STRUCT100])</f>
        <v>0</v>
      </c>
      <c r="M1016" s="230">
        <f>(FME_Ranking1[[#This Row],[Res Structures Raw]]/L$2)*100</f>
        <v>0</v>
      </c>
      <c r="N1016" s="180">
        <f>FME_Ranking1[[#This Row],[Res Structures Score (Normalized, Unweighted)]]*$L$3</f>
        <v>0</v>
      </c>
      <c r="O1016" s="244">
        <f>_xlfn.XLOOKUP(FME_Ranking1[[#This Row],[FME ID]],FME_Input[FME_ID],FME_Input[POP100])</f>
        <v>405</v>
      </c>
      <c r="P1016" s="178">
        <f>(FME_Ranking1[[#This Row],[Pop Raw]]/$O$2)*100</f>
        <v>4.1462001355449127E-2</v>
      </c>
      <c r="Q1016" s="178">
        <f>FME_Ranking1[[#This Row],[Pop Score (Normalized, Unweighted)]]*$O$3</f>
        <v>6.2193002033173687E-3</v>
      </c>
      <c r="R1016" s="137">
        <f>_xlfn.XLOOKUP(FME_Ranking1[[#This Row],[FME ID]],FME_Input[FME_ID],FME_Input[CRITFAC100])</f>
        <v>0</v>
      </c>
      <c r="S1016" s="230">
        <f>(FME_Ranking1[[#This Row],[Critical Facilities Raw]]/$R$2)*100</f>
        <v>0</v>
      </c>
      <c r="T1016" s="180">
        <f>FME_Ranking1[[#This Row],[Critical Facilities Score (Normalized, Unweighted)]]*$R$3</f>
        <v>0</v>
      </c>
      <c r="U1016">
        <f>_xlfn.XLOOKUP(FME_Ranking1[[#This Row],[FME ID]],FME_Input[FME_ID],FME_Input[LWC])</f>
        <v>7</v>
      </c>
      <c r="V1016" s="178">
        <f>(FME_Ranking1[[#This Row],[LWC Raw]]/$U$2)*100</f>
        <v>0.40299366724237184</v>
      </c>
      <c r="W1016" s="178">
        <f>FME_Ranking1[[#This Row],[LWC Score (Normalized, Unweighted)]]*$U$3</f>
        <v>8.0598733448474374E-2</v>
      </c>
      <c r="X1016" s="246">
        <f>_xlfn.XLOOKUP(FME_Ranking1[[#This Row],[FME ID]],FME_Input[FME_ID],FME_Input[ROADCLS])</f>
        <v>0</v>
      </c>
      <c r="Y1016" s="230">
        <f>(FME_Ranking1[[#This Row],[Closures Raw]]/$X$2)*100</f>
        <v>0</v>
      </c>
      <c r="Z1016" s="180">
        <f>FME_Ranking1[[#This Row],[Closures Score (Normalized, Unweighted)]]*$X$3</f>
        <v>0</v>
      </c>
      <c r="AA1016" s="253">
        <f>_xlfn.XLOOKUP(FME_Ranking1[[#This Row],[FME ID]],FME_Input[FME_ID],FME_Input[ROAD_MILES100])</f>
        <v>1.0117700099945071</v>
      </c>
      <c r="AB1016" s="178">
        <f>(FME_Ranking1[[#This Row],[Miles Raw]]/$AA$2)*100</f>
        <v>1.3302960936722077E-2</v>
      </c>
      <c r="AC1016" s="178">
        <f>FME_Ranking1[[#This Row],[Miles Score (Normalized, Unweighted)]]*$AA$3</f>
        <v>1.3302960936722079E-3</v>
      </c>
      <c r="AD1016" s="255">
        <f>_xlfn.XLOOKUP(FME_Ranking1[[#This Row],[FME ID]],FME_Input[FME_ID],FME_Input[FARMACRE100])</f>
        <v>56.787689208984382</v>
      </c>
      <c r="AE1016" s="230">
        <f>(FME_Ranking1[[#This Row],[Ag Land Raw]]/$AD$2)*100</f>
        <v>2.3416700926782567E-3</v>
      </c>
      <c r="AF1016" s="231">
        <f>FME_Ranking1[[#This Row],[Ag Land Score (Normalized, Unweighted)]]*$AD$3</f>
        <v>1.1708350463391284E-4</v>
      </c>
      <c r="AG101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8.8426060981751889E-2</v>
      </c>
      <c r="AH1016" s="406">
        <f t="shared" si="15"/>
        <v>1095</v>
      </c>
      <c r="AI101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8.8426060981751889E-2</v>
      </c>
      <c r="AJ1016" s="257">
        <f>FME_Ranking1[[#This Row],[Addition check]]-FME_Ranking1[[#This Row],[Weighted Score Based on Normalized Reported Factors]]</f>
        <v>0</v>
      </c>
      <c r="AK1016" s="178">
        <f>_xlfn.RANK.EQ(AI1016,$AI$6:$AI$2341,0)+COUNTIF($AI$6:AI1016,AI1016)-1</f>
        <v>1096</v>
      </c>
    </row>
    <row r="1017" spans="1:37" x14ac:dyDescent="0.25">
      <c r="A1017" t="s">
        <v>5327</v>
      </c>
      <c r="B1017">
        <f>_xlfn.XLOOKUP(FME_Ranking1[[#This Row],[FME ID]],FME_Input[FME_ID],FME_Input[RFPG_NUM])</f>
        <v>3</v>
      </c>
      <c r="C1017" t="str">
        <f>_xlfn.XLOOKUP(FME_Ranking1[[#This Row],[FME ID]],FME_Input[FME_ID],FME_Input[FME_NAME])</f>
        <v>Cottonwood Creek of Ten Mile Creek at IH 45 Northbound Service Road</v>
      </c>
      <c r="D1017" t="str">
        <f>_xlfn.XLOOKUP(FME_Ranking1[[#This Row],[FME ID]],FME_Input[FME_ID],FME_Input[DESCR])</f>
        <v>Evaluate bridge improvements for IH 45 Northbound Service Road over Cottonwood Creek of Ten Mile Creek</v>
      </c>
      <c r="E1017" s="256">
        <f>_xlfn.XLOOKUP(FME_Ranking1[[#This Row],[FME ID]],FME_Input[FME_ID],FME_Input[FME_COST])</f>
        <v>250000</v>
      </c>
      <c r="F1017" t="str">
        <f>_xlfn.XLOOKUP(FME_Ranking1[[#This Row],[FME ID]],FME_Input[FME_ID],FME_Input[EMER_NEED])</f>
        <v>No</v>
      </c>
      <c r="G1017">
        <f>IF(FME_Ranking!F1017="Yes",100,0)</f>
        <v>0</v>
      </c>
      <c r="H1017">
        <f>FME_Ranking1[[#This Row],[Emergency Need Score (Normalized, Unweighted)]]*$F$3</f>
        <v>0</v>
      </c>
      <c r="I1017" s="246">
        <f>_xlfn.XLOOKUP(FME_Ranking1[[#This Row],[FME ID]],FME_Input[FME_ID],FME_Input[STRUCT_100])</f>
        <v>2</v>
      </c>
      <c r="J1017" s="178">
        <f>(FME_Ranking1[[#This Row],[Structures 100 Raw]]/I$2)*100</f>
        <v>1.0709848776935271E-3</v>
      </c>
      <c r="K1017" s="178">
        <f>FME_Ranking1[[#This Row],[Structures 100  Score (Normalized, Unweighted)]]*$I$3</f>
        <v>1.6064773165402907E-4</v>
      </c>
      <c r="L1017" s="246">
        <f>_xlfn.XLOOKUP(FME_Ranking1[[#This Row],[FME ID]],FME_Input[FME_ID],FME_Input[RES_STRUCT100])</f>
        <v>0</v>
      </c>
      <c r="M1017" s="230">
        <f>(FME_Ranking1[[#This Row],[Res Structures Raw]]/L$2)*100</f>
        <v>0</v>
      </c>
      <c r="N1017" s="180">
        <f>FME_Ranking1[[#This Row],[Res Structures Score (Normalized, Unweighted)]]*$L$3</f>
        <v>0</v>
      </c>
      <c r="O1017" s="244">
        <f>_xlfn.XLOOKUP(FME_Ranking1[[#This Row],[FME ID]],FME_Input[FME_ID],FME_Input[POP100])</f>
        <v>405</v>
      </c>
      <c r="P1017" s="178">
        <f>(FME_Ranking1[[#This Row],[Pop Raw]]/$O$2)*100</f>
        <v>4.1462001355449127E-2</v>
      </c>
      <c r="Q1017" s="178">
        <f>FME_Ranking1[[#This Row],[Pop Score (Normalized, Unweighted)]]*$O$3</f>
        <v>6.2193002033173687E-3</v>
      </c>
      <c r="R1017" s="137">
        <f>_xlfn.XLOOKUP(FME_Ranking1[[#This Row],[FME ID]],FME_Input[FME_ID],FME_Input[CRITFAC100])</f>
        <v>0</v>
      </c>
      <c r="S1017" s="230">
        <f>(FME_Ranking1[[#This Row],[Critical Facilities Raw]]/$R$2)*100</f>
        <v>0</v>
      </c>
      <c r="T1017" s="180">
        <f>FME_Ranking1[[#This Row],[Critical Facilities Score (Normalized, Unweighted)]]*$R$3</f>
        <v>0</v>
      </c>
      <c r="U1017">
        <f>_xlfn.XLOOKUP(FME_Ranking1[[#This Row],[FME ID]],FME_Input[FME_ID],FME_Input[LWC])</f>
        <v>7</v>
      </c>
      <c r="V1017" s="178">
        <f>(FME_Ranking1[[#This Row],[LWC Raw]]/$U$2)*100</f>
        <v>0.40299366724237184</v>
      </c>
      <c r="W1017" s="178">
        <f>FME_Ranking1[[#This Row],[LWC Score (Normalized, Unweighted)]]*$U$3</f>
        <v>8.0598733448474374E-2</v>
      </c>
      <c r="X1017" s="246">
        <f>_xlfn.XLOOKUP(FME_Ranking1[[#This Row],[FME ID]],FME_Input[FME_ID],FME_Input[ROADCLS])</f>
        <v>0</v>
      </c>
      <c r="Y1017" s="230">
        <f>(FME_Ranking1[[#This Row],[Closures Raw]]/$X$2)*100</f>
        <v>0</v>
      </c>
      <c r="Z1017" s="180">
        <f>FME_Ranking1[[#This Row],[Closures Score (Normalized, Unweighted)]]*$X$3</f>
        <v>0</v>
      </c>
      <c r="AA1017" s="253">
        <f>_xlfn.XLOOKUP(FME_Ranking1[[#This Row],[FME ID]],FME_Input[FME_ID],FME_Input[ROAD_MILES100])</f>
        <v>1.0117700099945071</v>
      </c>
      <c r="AB1017" s="178">
        <f>(FME_Ranking1[[#This Row],[Miles Raw]]/$AA$2)*100</f>
        <v>1.3302960936722077E-2</v>
      </c>
      <c r="AC1017" s="178">
        <f>FME_Ranking1[[#This Row],[Miles Score (Normalized, Unweighted)]]*$AA$3</f>
        <v>1.3302960936722079E-3</v>
      </c>
      <c r="AD1017" s="255">
        <f>_xlfn.XLOOKUP(FME_Ranking1[[#This Row],[FME ID]],FME_Input[FME_ID],FME_Input[FARMACRE100])</f>
        <v>56.787689208984382</v>
      </c>
      <c r="AE1017" s="230">
        <f>(FME_Ranking1[[#This Row],[Ag Land Raw]]/$AD$2)*100</f>
        <v>2.3416700926782567E-3</v>
      </c>
      <c r="AF1017" s="231">
        <f>FME_Ranking1[[#This Row],[Ag Land Score (Normalized, Unweighted)]]*$AD$3</f>
        <v>1.1708350463391284E-4</v>
      </c>
      <c r="AG101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8.8426060981751889E-2</v>
      </c>
      <c r="AH1017" s="406">
        <f t="shared" si="15"/>
        <v>1095</v>
      </c>
      <c r="AI101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8.8426060981751889E-2</v>
      </c>
      <c r="AJ1017" s="257">
        <f>FME_Ranking1[[#This Row],[Addition check]]-FME_Ranking1[[#This Row],[Weighted Score Based on Normalized Reported Factors]]</f>
        <v>0</v>
      </c>
      <c r="AK1017" s="178">
        <f>_xlfn.RANK.EQ(AI1017,$AI$6:$AI$2341,0)+COUNTIF($AI$6:AI1017,AI1017)-1</f>
        <v>1097</v>
      </c>
    </row>
    <row r="1018" spans="1:37" x14ac:dyDescent="0.25">
      <c r="A1018" t="s">
        <v>5330</v>
      </c>
      <c r="B1018">
        <f>_xlfn.XLOOKUP(FME_Ranking1[[#This Row],[FME ID]],FME_Input[FME_ID],FME_Input[RFPG_NUM])</f>
        <v>3</v>
      </c>
      <c r="C1018" t="str">
        <f>_xlfn.XLOOKUP(FME_Ranking1[[#This Row],[FME ID]],FME_Input[FME_ID],FME_Input[FME_NAME])</f>
        <v>Cottonwood Creek of Ten Mile Creek at IH 45 Southbound Service Road</v>
      </c>
      <c r="D1018" t="str">
        <f>_xlfn.XLOOKUP(FME_Ranking1[[#This Row],[FME ID]],FME_Input[FME_ID],FME_Input[DESCR])</f>
        <v>Evaluate bridge improvements for IH 45 Southbound Service Road over Cottonwood Creek of Ten Mile Creek</v>
      </c>
      <c r="E1018" s="256">
        <f>_xlfn.XLOOKUP(FME_Ranking1[[#This Row],[FME ID]],FME_Input[FME_ID],FME_Input[FME_COST])</f>
        <v>250000</v>
      </c>
      <c r="F1018" t="str">
        <f>_xlfn.XLOOKUP(FME_Ranking1[[#This Row],[FME ID]],FME_Input[FME_ID],FME_Input[EMER_NEED])</f>
        <v>No</v>
      </c>
      <c r="G1018">
        <f>IF(FME_Ranking!F1018="Yes",100,0)</f>
        <v>0</v>
      </c>
      <c r="H1018">
        <f>FME_Ranking1[[#This Row],[Emergency Need Score (Normalized, Unweighted)]]*$F$3</f>
        <v>0</v>
      </c>
      <c r="I1018" s="246">
        <f>_xlfn.XLOOKUP(FME_Ranking1[[#This Row],[FME ID]],FME_Input[FME_ID],FME_Input[STRUCT_100])</f>
        <v>2</v>
      </c>
      <c r="J1018" s="178">
        <f>(FME_Ranking1[[#This Row],[Structures 100 Raw]]/I$2)*100</f>
        <v>1.0709848776935271E-3</v>
      </c>
      <c r="K1018" s="178">
        <f>FME_Ranking1[[#This Row],[Structures 100  Score (Normalized, Unweighted)]]*$I$3</f>
        <v>1.6064773165402907E-4</v>
      </c>
      <c r="L1018" s="246">
        <f>_xlfn.XLOOKUP(FME_Ranking1[[#This Row],[FME ID]],FME_Input[FME_ID],FME_Input[RES_STRUCT100])</f>
        <v>0</v>
      </c>
      <c r="M1018" s="230">
        <f>(FME_Ranking1[[#This Row],[Res Structures Raw]]/L$2)*100</f>
        <v>0</v>
      </c>
      <c r="N1018" s="180">
        <f>FME_Ranking1[[#This Row],[Res Structures Score (Normalized, Unweighted)]]*$L$3</f>
        <v>0</v>
      </c>
      <c r="O1018" s="244">
        <f>_xlfn.XLOOKUP(FME_Ranking1[[#This Row],[FME ID]],FME_Input[FME_ID],FME_Input[POP100])</f>
        <v>405</v>
      </c>
      <c r="P1018" s="178">
        <f>(FME_Ranking1[[#This Row],[Pop Raw]]/$O$2)*100</f>
        <v>4.1462001355449127E-2</v>
      </c>
      <c r="Q1018" s="178">
        <f>FME_Ranking1[[#This Row],[Pop Score (Normalized, Unweighted)]]*$O$3</f>
        <v>6.2193002033173687E-3</v>
      </c>
      <c r="R1018" s="137">
        <f>_xlfn.XLOOKUP(FME_Ranking1[[#This Row],[FME ID]],FME_Input[FME_ID],FME_Input[CRITFAC100])</f>
        <v>0</v>
      </c>
      <c r="S1018" s="230">
        <f>(FME_Ranking1[[#This Row],[Critical Facilities Raw]]/$R$2)*100</f>
        <v>0</v>
      </c>
      <c r="T1018" s="180">
        <f>FME_Ranking1[[#This Row],[Critical Facilities Score (Normalized, Unweighted)]]*$R$3</f>
        <v>0</v>
      </c>
      <c r="U1018">
        <f>_xlfn.XLOOKUP(FME_Ranking1[[#This Row],[FME ID]],FME_Input[FME_ID],FME_Input[LWC])</f>
        <v>7</v>
      </c>
      <c r="V1018" s="178">
        <f>(FME_Ranking1[[#This Row],[LWC Raw]]/$U$2)*100</f>
        <v>0.40299366724237184</v>
      </c>
      <c r="W1018" s="178">
        <f>FME_Ranking1[[#This Row],[LWC Score (Normalized, Unweighted)]]*$U$3</f>
        <v>8.0598733448474374E-2</v>
      </c>
      <c r="X1018" s="246">
        <f>_xlfn.XLOOKUP(FME_Ranking1[[#This Row],[FME ID]],FME_Input[FME_ID],FME_Input[ROADCLS])</f>
        <v>0</v>
      </c>
      <c r="Y1018" s="230">
        <f>(FME_Ranking1[[#This Row],[Closures Raw]]/$X$2)*100</f>
        <v>0</v>
      </c>
      <c r="Z1018" s="180">
        <f>FME_Ranking1[[#This Row],[Closures Score (Normalized, Unweighted)]]*$X$3</f>
        <v>0</v>
      </c>
      <c r="AA1018" s="253">
        <f>_xlfn.XLOOKUP(FME_Ranking1[[#This Row],[FME ID]],FME_Input[FME_ID],FME_Input[ROAD_MILES100])</f>
        <v>1.0117700099945071</v>
      </c>
      <c r="AB1018" s="178">
        <f>(FME_Ranking1[[#This Row],[Miles Raw]]/$AA$2)*100</f>
        <v>1.3302960936722077E-2</v>
      </c>
      <c r="AC1018" s="178">
        <f>FME_Ranking1[[#This Row],[Miles Score (Normalized, Unweighted)]]*$AA$3</f>
        <v>1.3302960936722079E-3</v>
      </c>
      <c r="AD1018" s="255">
        <f>_xlfn.XLOOKUP(FME_Ranking1[[#This Row],[FME ID]],FME_Input[FME_ID],FME_Input[FARMACRE100])</f>
        <v>56.787689208984382</v>
      </c>
      <c r="AE1018" s="230">
        <f>(FME_Ranking1[[#This Row],[Ag Land Raw]]/$AD$2)*100</f>
        <v>2.3416700926782567E-3</v>
      </c>
      <c r="AF1018" s="231">
        <f>FME_Ranking1[[#This Row],[Ag Land Score (Normalized, Unweighted)]]*$AD$3</f>
        <v>1.1708350463391284E-4</v>
      </c>
      <c r="AG101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8.8426060981751889E-2</v>
      </c>
      <c r="AH1018" s="406">
        <f t="shared" si="15"/>
        <v>1095</v>
      </c>
      <c r="AI101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8.8426060981751889E-2</v>
      </c>
      <c r="AJ1018" s="257">
        <f>FME_Ranking1[[#This Row],[Addition check]]-FME_Ranking1[[#This Row],[Weighted Score Based on Normalized Reported Factors]]</f>
        <v>0</v>
      </c>
      <c r="AK1018" s="178">
        <f>_xlfn.RANK.EQ(AI1018,$AI$6:$AI$2341,0)+COUNTIF($AI$6:AI1018,AI1018)-1</f>
        <v>1098</v>
      </c>
    </row>
    <row r="1019" spans="1:37" x14ac:dyDescent="0.25">
      <c r="A1019" t="s">
        <v>5333</v>
      </c>
      <c r="B1019">
        <f>_xlfn.XLOOKUP(FME_Ranking1[[#This Row],[FME ID]],FME_Input[FME_ID],FME_Input[RFPG_NUM])</f>
        <v>3</v>
      </c>
      <c r="C1019" t="str">
        <f>_xlfn.XLOOKUP(FME_Ranking1[[#This Row],[FME ID]],FME_Input[FME_ID],FME_Input[FME_NAME])</f>
        <v>Cottonwood Creek of Ten Mile Creek at Millers Ferry Road</v>
      </c>
      <c r="D1019" t="str">
        <f>_xlfn.XLOOKUP(FME_Ranking1[[#This Row],[FME ID]],FME_Input[FME_ID],FME_Input[DESCR])</f>
        <v>Evaluate bridge improvements for Millers Ferry Road over Cottonwood Creek of Ten Mile Creek</v>
      </c>
      <c r="E1019" s="256">
        <f>_xlfn.XLOOKUP(FME_Ranking1[[#This Row],[FME ID]],FME_Input[FME_ID],FME_Input[FME_COST])</f>
        <v>250000</v>
      </c>
      <c r="F1019" t="str">
        <f>_xlfn.XLOOKUP(FME_Ranking1[[#This Row],[FME ID]],FME_Input[FME_ID],FME_Input[EMER_NEED])</f>
        <v>No</v>
      </c>
      <c r="G1019">
        <f>IF(FME_Ranking!F1019="Yes",100,0)</f>
        <v>0</v>
      </c>
      <c r="H1019">
        <f>FME_Ranking1[[#This Row],[Emergency Need Score (Normalized, Unweighted)]]*$F$3</f>
        <v>0</v>
      </c>
      <c r="I1019" s="246">
        <f>_xlfn.XLOOKUP(FME_Ranking1[[#This Row],[FME ID]],FME_Input[FME_ID],FME_Input[STRUCT_100])</f>
        <v>2</v>
      </c>
      <c r="J1019" s="178">
        <f>(FME_Ranking1[[#This Row],[Structures 100 Raw]]/I$2)*100</f>
        <v>1.0709848776935271E-3</v>
      </c>
      <c r="K1019" s="178">
        <f>FME_Ranking1[[#This Row],[Structures 100  Score (Normalized, Unweighted)]]*$I$3</f>
        <v>1.6064773165402907E-4</v>
      </c>
      <c r="L1019" s="246">
        <f>_xlfn.XLOOKUP(FME_Ranking1[[#This Row],[FME ID]],FME_Input[FME_ID],FME_Input[RES_STRUCT100])</f>
        <v>0</v>
      </c>
      <c r="M1019" s="230">
        <f>(FME_Ranking1[[#This Row],[Res Structures Raw]]/L$2)*100</f>
        <v>0</v>
      </c>
      <c r="N1019" s="180">
        <f>FME_Ranking1[[#This Row],[Res Structures Score (Normalized, Unweighted)]]*$L$3</f>
        <v>0</v>
      </c>
      <c r="O1019" s="244">
        <f>_xlfn.XLOOKUP(FME_Ranking1[[#This Row],[FME ID]],FME_Input[FME_ID],FME_Input[POP100])</f>
        <v>405</v>
      </c>
      <c r="P1019" s="178">
        <f>(FME_Ranking1[[#This Row],[Pop Raw]]/$O$2)*100</f>
        <v>4.1462001355449127E-2</v>
      </c>
      <c r="Q1019" s="178">
        <f>FME_Ranking1[[#This Row],[Pop Score (Normalized, Unweighted)]]*$O$3</f>
        <v>6.2193002033173687E-3</v>
      </c>
      <c r="R1019" s="137">
        <f>_xlfn.XLOOKUP(FME_Ranking1[[#This Row],[FME ID]],FME_Input[FME_ID],FME_Input[CRITFAC100])</f>
        <v>0</v>
      </c>
      <c r="S1019" s="230">
        <f>(FME_Ranking1[[#This Row],[Critical Facilities Raw]]/$R$2)*100</f>
        <v>0</v>
      </c>
      <c r="T1019" s="180">
        <f>FME_Ranking1[[#This Row],[Critical Facilities Score (Normalized, Unweighted)]]*$R$3</f>
        <v>0</v>
      </c>
      <c r="U1019">
        <f>_xlfn.XLOOKUP(FME_Ranking1[[#This Row],[FME ID]],FME_Input[FME_ID],FME_Input[LWC])</f>
        <v>7</v>
      </c>
      <c r="V1019" s="178">
        <f>(FME_Ranking1[[#This Row],[LWC Raw]]/$U$2)*100</f>
        <v>0.40299366724237184</v>
      </c>
      <c r="W1019" s="178">
        <f>FME_Ranking1[[#This Row],[LWC Score (Normalized, Unweighted)]]*$U$3</f>
        <v>8.0598733448474374E-2</v>
      </c>
      <c r="X1019" s="246">
        <f>_xlfn.XLOOKUP(FME_Ranking1[[#This Row],[FME ID]],FME_Input[FME_ID],FME_Input[ROADCLS])</f>
        <v>0</v>
      </c>
      <c r="Y1019" s="230">
        <f>(FME_Ranking1[[#This Row],[Closures Raw]]/$X$2)*100</f>
        <v>0</v>
      </c>
      <c r="Z1019" s="180">
        <f>FME_Ranking1[[#This Row],[Closures Score (Normalized, Unweighted)]]*$X$3</f>
        <v>0</v>
      </c>
      <c r="AA1019" s="253">
        <f>_xlfn.XLOOKUP(FME_Ranking1[[#This Row],[FME ID]],FME_Input[FME_ID],FME_Input[ROAD_MILES100])</f>
        <v>1.0117700099945071</v>
      </c>
      <c r="AB1019" s="178">
        <f>(FME_Ranking1[[#This Row],[Miles Raw]]/$AA$2)*100</f>
        <v>1.3302960936722077E-2</v>
      </c>
      <c r="AC1019" s="178">
        <f>FME_Ranking1[[#This Row],[Miles Score (Normalized, Unweighted)]]*$AA$3</f>
        <v>1.3302960936722079E-3</v>
      </c>
      <c r="AD1019" s="255">
        <f>_xlfn.XLOOKUP(FME_Ranking1[[#This Row],[FME ID]],FME_Input[FME_ID],FME_Input[FARMACRE100])</f>
        <v>56.787689208984382</v>
      </c>
      <c r="AE1019" s="230">
        <f>(FME_Ranking1[[#This Row],[Ag Land Raw]]/$AD$2)*100</f>
        <v>2.3416700926782567E-3</v>
      </c>
      <c r="AF1019" s="231">
        <f>FME_Ranking1[[#This Row],[Ag Land Score (Normalized, Unweighted)]]*$AD$3</f>
        <v>1.1708350463391284E-4</v>
      </c>
      <c r="AG101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8.8426060981751889E-2</v>
      </c>
      <c r="AH1019" s="406">
        <f t="shared" si="15"/>
        <v>1095</v>
      </c>
      <c r="AI101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8.8426060981751889E-2</v>
      </c>
      <c r="AJ1019" s="257">
        <f>FME_Ranking1[[#This Row],[Addition check]]-FME_Ranking1[[#This Row],[Weighted Score Based on Normalized Reported Factors]]</f>
        <v>0</v>
      </c>
      <c r="AK1019" s="178">
        <f>_xlfn.RANK.EQ(AI1019,$AI$6:$AI$2341,0)+COUNTIF($AI$6:AI1019,AI1019)-1</f>
        <v>1099</v>
      </c>
    </row>
    <row r="1020" spans="1:37" x14ac:dyDescent="0.25">
      <c r="A1020" t="s">
        <v>5336</v>
      </c>
      <c r="B1020">
        <f>_xlfn.XLOOKUP(FME_Ranking1[[#This Row],[FME ID]],FME_Input[FME_ID],FME_Input[RFPG_NUM])</f>
        <v>3</v>
      </c>
      <c r="C1020" t="str">
        <f>_xlfn.XLOOKUP(FME_Ranking1[[#This Row],[FME ID]],FME_Input[FME_ID],FME_Input[FME_NAME])</f>
        <v>Cottonwood Creek of Ten Mile Creek at Pleasant Run Road</v>
      </c>
      <c r="D1020" t="str">
        <f>_xlfn.XLOOKUP(FME_Ranking1[[#This Row],[FME ID]],FME_Input[FME_ID],FME_Input[DESCR])</f>
        <v>Evaluate bridge improvements for Pleasant Run Road over Cottonwood Creek of Ten Mile Creek</v>
      </c>
      <c r="E1020" s="256">
        <f>_xlfn.XLOOKUP(FME_Ranking1[[#This Row],[FME ID]],FME_Input[FME_ID],FME_Input[FME_COST])</f>
        <v>250000</v>
      </c>
      <c r="F1020" t="str">
        <f>_xlfn.XLOOKUP(FME_Ranking1[[#This Row],[FME ID]],FME_Input[FME_ID],FME_Input[EMER_NEED])</f>
        <v>No</v>
      </c>
      <c r="G1020">
        <f>IF(FME_Ranking!F1020="Yes",100,0)</f>
        <v>0</v>
      </c>
      <c r="H1020">
        <f>FME_Ranking1[[#This Row],[Emergency Need Score (Normalized, Unweighted)]]*$F$3</f>
        <v>0</v>
      </c>
      <c r="I1020" s="246">
        <f>_xlfn.XLOOKUP(FME_Ranking1[[#This Row],[FME ID]],FME_Input[FME_ID],FME_Input[STRUCT_100])</f>
        <v>2</v>
      </c>
      <c r="J1020" s="178">
        <f>(FME_Ranking1[[#This Row],[Structures 100 Raw]]/I$2)*100</f>
        <v>1.0709848776935271E-3</v>
      </c>
      <c r="K1020" s="178">
        <f>FME_Ranking1[[#This Row],[Structures 100  Score (Normalized, Unweighted)]]*$I$3</f>
        <v>1.6064773165402907E-4</v>
      </c>
      <c r="L1020" s="246">
        <f>_xlfn.XLOOKUP(FME_Ranking1[[#This Row],[FME ID]],FME_Input[FME_ID],FME_Input[RES_STRUCT100])</f>
        <v>0</v>
      </c>
      <c r="M1020" s="230">
        <f>(FME_Ranking1[[#This Row],[Res Structures Raw]]/L$2)*100</f>
        <v>0</v>
      </c>
      <c r="N1020" s="180">
        <f>FME_Ranking1[[#This Row],[Res Structures Score (Normalized, Unweighted)]]*$L$3</f>
        <v>0</v>
      </c>
      <c r="O1020" s="244">
        <f>_xlfn.XLOOKUP(FME_Ranking1[[#This Row],[FME ID]],FME_Input[FME_ID],FME_Input[POP100])</f>
        <v>405</v>
      </c>
      <c r="P1020" s="178">
        <f>(FME_Ranking1[[#This Row],[Pop Raw]]/$O$2)*100</f>
        <v>4.1462001355449127E-2</v>
      </c>
      <c r="Q1020" s="178">
        <f>FME_Ranking1[[#This Row],[Pop Score (Normalized, Unweighted)]]*$O$3</f>
        <v>6.2193002033173687E-3</v>
      </c>
      <c r="R1020" s="137">
        <f>_xlfn.XLOOKUP(FME_Ranking1[[#This Row],[FME ID]],FME_Input[FME_ID],FME_Input[CRITFAC100])</f>
        <v>0</v>
      </c>
      <c r="S1020" s="230">
        <f>(FME_Ranking1[[#This Row],[Critical Facilities Raw]]/$R$2)*100</f>
        <v>0</v>
      </c>
      <c r="T1020" s="180">
        <f>FME_Ranking1[[#This Row],[Critical Facilities Score (Normalized, Unweighted)]]*$R$3</f>
        <v>0</v>
      </c>
      <c r="U1020">
        <f>_xlfn.XLOOKUP(FME_Ranking1[[#This Row],[FME ID]],FME_Input[FME_ID],FME_Input[LWC])</f>
        <v>7</v>
      </c>
      <c r="V1020" s="178">
        <f>(FME_Ranking1[[#This Row],[LWC Raw]]/$U$2)*100</f>
        <v>0.40299366724237184</v>
      </c>
      <c r="W1020" s="178">
        <f>FME_Ranking1[[#This Row],[LWC Score (Normalized, Unweighted)]]*$U$3</f>
        <v>8.0598733448474374E-2</v>
      </c>
      <c r="X1020" s="246">
        <f>_xlfn.XLOOKUP(FME_Ranking1[[#This Row],[FME ID]],FME_Input[FME_ID],FME_Input[ROADCLS])</f>
        <v>0</v>
      </c>
      <c r="Y1020" s="230">
        <f>(FME_Ranking1[[#This Row],[Closures Raw]]/$X$2)*100</f>
        <v>0</v>
      </c>
      <c r="Z1020" s="180">
        <f>FME_Ranking1[[#This Row],[Closures Score (Normalized, Unweighted)]]*$X$3</f>
        <v>0</v>
      </c>
      <c r="AA1020" s="253">
        <f>_xlfn.XLOOKUP(FME_Ranking1[[#This Row],[FME ID]],FME_Input[FME_ID],FME_Input[ROAD_MILES100])</f>
        <v>1.0117700099945071</v>
      </c>
      <c r="AB1020" s="178">
        <f>(FME_Ranking1[[#This Row],[Miles Raw]]/$AA$2)*100</f>
        <v>1.3302960936722077E-2</v>
      </c>
      <c r="AC1020" s="178">
        <f>FME_Ranking1[[#This Row],[Miles Score (Normalized, Unweighted)]]*$AA$3</f>
        <v>1.3302960936722079E-3</v>
      </c>
      <c r="AD1020" s="255">
        <f>_xlfn.XLOOKUP(FME_Ranking1[[#This Row],[FME ID]],FME_Input[FME_ID],FME_Input[FARMACRE100])</f>
        <v>56.787689208984382</v>
      </c>
      <c r="AE1020" s="230">
        <f>(FME_Ranking1[[#This Row],[Ag Land Raw]]/$AD$2)*100</f>
        <v>2.3416700926782567E-3</v>
      </c>
      <c r="AF1020" s="231">
        <f>FME_Ranking1[[#This Row],[Ag Land Score (Normalized, Unweighted)]]*$AD$3</f>
        <v>1.1708350463391284E-4</v>
      </c>
      <c r="AG102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8.8426060981751889E-2</v>
      </c>
      <c r="AH1020" s="406">
        <f t="shared" si="15"/>
        <v>1095</v>
      </c>
      <c r="AI102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8.8426060981751889E-2</v>
      </c>
      <c r="AJ1020" s="257">
        <f>FME_Ranking1[[#This Row],[Addition check]]-FME_Ranking1[[#This Row],[Weighted Score Based on Normalized Reported Factors]]</f>
        <v>0</v>
      </c>
      <c r="AK1020" s="178">
        <f>_xlfn.RANK.EQ(AI1020,$AI$6:$AI$2341,0)+COUNTIF($AI$6:AI1020,AI1020)-1</f>
        <v>1100</v>
      </c>
    </row>
    <row r="1021" spans="1:37" x14ac:dyDescent="0.25">
      <c r="A1021" t="s">
        <v>5368</v>
      </c>
      <c r="B1021">
        <f>_xlfn.XLOOKUP(FME_Ranking1[[#This Row],[FME ID]],FME_Input[FME_ID],FME_Input[RFPG_NUM])</f>
        <v>3</v>
      </c>
      <c r="C1021" t="str">
        <f>_xlfn.XLOOKUP(FME_Ranking1[[#This Row],[FME ID]],FME_Input[FME_ID],FME_Input[FME_NAME])</f>
        <v>Stream 4A4 at Goode Road</v>
      </c>
      <c r="D1021" t="str">
        <f>_xlfn.XLOOKUP(FME_Ranking1[[#This Row],[FME ID]],FME_Input[FME_ID],FME_Input[DESCR])</f>
        <v>Evaluate bridge improvements for Goode Road over Stream 4A4</v>
      </c>
      <c r="E1021" s="256">
        <f>_xlfn.XLOOKUP(FME_Ranking1[[#This Row],[FME ID]],FME_Input[FME_ID],FME_Input[FME_COST])</f>
        <v>250000</v>
      </c>
      <c r="F1021" t="str">
        <f>_xlfn.XLOOKUP(FME_Ranking1[[#This Row],[FME ID]],FME_Input[FME_ID],FME_Input[EMER_NEED])</f>
        <v>No</v>
      </c>
      <c r="G1021">
        <f>IF(FME_Ranking!F1021="Yes",100,0)</f>
        <v>0</v>
      </c>
      <c r="H1021">
        <f>FME_Ranking1[[#This Row],[Emergency Need Score (Normalized, Unweighted)]]*$F$3</f>
        <v>0</v>
      </c>
      <c r="I1021" s="246">
        <f>_xlfn.XLOOKUP(FME_Ranking1[[#This Row],[FME ID]],FME_Input[FME_ID],FME_Input[STRUCT_100])</f>
        <v>2</v>
      </c>
      <c r="J1021" s="178">
        <f>(FME_Ranking1[[#This Row],[Structures 100 Raw]]/I$2)*100</f>
        <v>1.0709848776935271E-3</v>
      </c>
      <c r="K1021" s="178">
        <f>FME_Ranking1[[#This Row],[Structures 100  Score (Normalized, Unweighted)]]*$I$3</f>
        <v>1.6064773165402907E-4</v>
      </c>
      <c r="L1021" s="246">
        <f>_xlfn.XLOOKUP(FME_Ranking1[[#This Row],[FME ID]],FME_Input[FME_ID],FME_Input[RES_STRUCT100])</f>
        <v>0</v>
      </c>
      <c r="M1021" s="230">
        <f>(FME_Ranking1[[#This Row],[Res Structures Raw]]/L$2)*100</f>
        <v>0</v>
      </c>
      <c r="N1021" s="180">
        <f>FME_Ranking1[[#This Row],[Res Structures Score (Normalized, Unweighted)]]*$L$3</f>
        <v>0</v>
      </c>
      <c r="O1021" s="244">
        <f>_xlfn.XLOOKUP(FME_Ranking1[[#This Row],[FME ID]],FME_Input[FME_ID],FME_Input[POP100])</f>
        <v>405</v>
      </c>
      <c r="P1021" s="178">
        <f>(FME_Ranking1[[#This Row],[Pop Raw]]/$O$2)*100</f>
        <v>4.1462001355449127E-2</v>
      </c>
      <c r="Q1021" s="178">
        <f>FME_Ranking1[[#This Row],[Pop Score (Normalized, Unweighted)]]*$O$3</f>
        <v>6.2193002033173687E-3</v>
      </c>
      <c r="R1021" s="137">
        <f>_xlfn.XLOOKUP(FME_Ranking1[[#This Row],[FME ID]],FME_Input[FME_ID],FME_Input[CRITFAC100])</f>
        <v>0</v>
      </c>
      <c r="S1021" s="230">
        <f>(FME_Ranking1[[#This Row],[Critical Facilities Raw]]/$R$2)*100</f>
        <v>0</v>
      </c>
      <c r="T1021" s="180">
        <f>FME_Ranking1[[#This Row],[Critical Facilities Score (Normalized, Unweighted)]]*$R$3</f>
        <v>0</v>
      </c>
      <c r="U1021">
        <f>_xlfn.XLOOKUP(FME_Ranking1[[#This Row],[FME ID]],FME_Input[FME_ID],FME_Input[LWC])</f>
        <v>7</v>
      </c>
      <c r="V1021" s="178">
        <f>(FME_Ranking1[[#This Row],[LWC Raw]]/$U$2)*100</f>
        <v>0.40299366724237184</v>
      </c>
      <c r="W1021" s="178">
        <f>FME_Ranking1[[#This Row],[LWC Score (Normalized, Unweighted)]]*$U$3</f>
        <v>8.0598733448474374E-2</v>
      </c>
      <c r="X1021" s="246">
        <f>_xlfn.XLOOKUP(FME_Ranking1[[#This Row],[FME ID]],FME_Input[FME_ID],FME_Input[ROADCLS])</f>
        <v>0</v>
      </c>
      <c r="Y1021" s="230">
        <f>(FME_Ranking1[[#This Row],[Closures Raw]]/$X$2)*100</f>
        <v>0</v>
      </c>
      <c r="Z1021" s="180">
        <f>FME_Ranking1[[#This Row],[Closures Score (Normalized, Unweighted)]]*$X$3</f>
        <v>0</v>
      </c>
      <c r="AA1021" s="253">
        <f>_xlfn.XLOOKUP(FME_Ranking1[[#This Row],[FME ID]],FME_Input[FME_ID],FME_Input[ROAD_MILES100])</f>
        <v>1.0117700099945071</v>
      </c>
      <c r="AB1021" s="178">
        <f>(FME_Ranking1[[#This Row],[Miles Raw]]/$AA$2)*100</f>
        <v>1.3302960936722077E-2</v>
      </c>
      <c r="AC1021" s="178">
        <f>FME_Ranking1[[#This Row],[Miles Score (Normalized, Unweighted)]]*$AA$3</f>
        <v>1.3302960936722079E-3</v>
      </c>
      <c r="AD1021" s="255">
        <f>_xlfn.XLOOKUP(FME_Ranking1[[#This Row],[FME ID]],FME_Input[FME_ID],FME_Input[FARMACRE100])</f>
        <v>56.787689208984382</v>
      </c>
      <c r="AE1021" s="230">
        <f>(FME_Ranking1[[#This Row],[Ag Land Raw]]/$AD$2)*100</f>
        <v>2.3416700926782567E-3</v>
      </c>
      <c r="AF1021" s="231">
        <f>FME_Ranking1[[#This Row],[Ag Land Score (Normalized, Unweighted)]]*$AD$3</f>
        <v>1.1708350463391284E-4</v>
      </c>
      <c r="AG102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8.8426060981751889E-2</v>
      </c>
      <c r="AH1021" s="406">
        <f t="shared" si="15"/>
        <v>1095</v>
      </c>
      <c r="AI102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8.8426060981751889E-2</v>
      </c>
      <c r="AJ1021" s="257">
        <f>FME_Ranking1[[#This Row],[Addition check]]-FME_Ranking1[[#This Row],[Weighted Score Based on Normalized Reported Factors]]</f>
        <v>0</v>
      </c>
      <c r="AK1021" s="178">
        <f>_xlfn.RANK.EQ(AI1021,$AI$6:$AI$2341,0)+COUNTIF($AI$6:AI1021,AI1021)-1</f>
        <v>1101</v>
      </c>
    </row>
    <row r="1022" spans="1:37" x14ac:dyDescent="0.25">
      <c r="A1022" t="s">
        <v>5371</v>
      </c>
      <c r="B1022">
        <f>_xlfn.XLOOKUP(FME_Ranking1[[#This Row],[FME ID]],FME_Input[FME_ID],FME_Input[RFPG_NUM])</f>
        <v>3</v>
      </c>
      <c r="C1022" t="str">
        <f>_xlfn.XLOOKUP(FME_Ranking1[[#This Row],[FME ID]],FME_Input[FME_ID],FME_Input[FME_NAME])</f>
        <v>Stream 4A4 at IH 45</v>
      </c>
      <c r="D1022" t="str">
        <f>_xlfn.XLOOKUP(FME_Ranking1[[#This Row],[FME ID]],FME_Input[FME_ID],FME_Input[DESCR])</f>
        <v>Evaluate bridge improvements for IH 45 over Stream 4A4</v>
      </c>
      <c r="E1022" s="256">
        <f>_xlfn.XLOOKUP(FME_Ranking1[[#This Row],[FME ID]],FME_Input[FME_ID],FME_Input[FME_COST])</f>
        <v>250000</v>
      </c>
      <c r="F1022" t="str">
        <f>_xlfn.XLOOKUP(FME_Ranking1[[#This Row],[FME ID]],FME_Input[FME_ID],FME_Input[EMER_NEED])</f>
        <v>No</v>
      </c>
      <c r="G1022">
        <f>IF(FME_Ranking!F1022="Yes",100,0)</f>
        <v>0</v>
      </c>
      <c r="H1022">
        <f>FME_Ranking1[[#This Row],[Emergency Need Score (Normalized, Unweighted)]]*$F$3</f>
        <v>0</v>
      </c>
      <c r="I1022" s="246">
        <f>_xlfn.XLOOKUP(FME_Ranking1[[#This Row],[FME ID]],FME_Input[FME_ID],FME_Input[STRUCT_100])</f>
        <v>2</v>
      </c>
      <c r="J1022" s="178">
        <f>(FME_Ranking1[[#This Row],[Structures 100 Raw]]/I$2)*100</f>
        <v>1.0709848776935271E-3</v>
      </c>
      <c r="K1022" s="178">
        <f>FME_Ranking1[[#This Row],[Structures 100  Score (Normalized, Unweighted)]]*$I$3</f>
        <v>1.6064773165402907E-4</v>
      </c>
      <c r="L1022" s="246">
        <f>_xlfn.XLOOKUP(FME_Ranking1[[#This Row],[FME ID]],FME_Input[FME_ID],FME_Input[RES_STRUCT100])</f>
        <v>0</v>
      </c>
      <c r="M1022" s="230">
        <f>(FME_Ranking1[[#This Row],[Res Structures Raw]]/L$2)*100</f>
        <v>0</v>
      </c>
      <c r="N1022" s="180">
        <f>FME_Ranking1[[#This Row],[Res Structures Score (Normalized, Unweighted)]]*$L$3</f>
        <v>0</v>
      </c>
      <c r="O1022" s="244">
        <f>_xlfn.XLOOKUP(FME_Ranking1[[#This Row],[FME ID]],FME_Input[FME_ID],FME_Input[POP100])</f>
        <v>405</v>
      </c>
      <c r="P1022" s="178">
        <f>(FME_Ranking1[[#This Row],[Pop Raw]]/$O$2)*100</f>
        <v>4.1462001355449127E-2</v>
      </c>
      <c r="Q1022" s="178">
        <f>FME_Ranking1[[#This Row],[Pop Score (Normalized, Unweighted)]]*$O$3</f>
        <v>6.2193002033173687E-3</v>
      </c>
      <c r="R1022" s="137">
        <f>_xlfn.XLOOKUP(FME_Ranking1[[#This Row],[FME ID]],FME_Input[FME_ID],FME_Input[CRITFAC100])</f>
        <v>0</v>
      </c>
      <c r="S1022" s="230">
        <f>(FME_Ranking1[[#This Row],[Critical Facilities Raw]]/$R$2)*100</f>
        <v>0</v>
      </c>
      <c r="T1022" s="180">
        <f>FME_Ranking1[[#This Row],[Critical Facilities Score (Normalized, Unweighted)]]*$R$3</f>
        <v>0</v>
      </c>
      <c r="U1022">
        <f>_xlfn.XLOOKUP(FME_Ranking1[[#This Row],[FME ID]],FME_Input[FME_ID],FME_Input[LWC])</f>
        <v>7</v>
      </c>
      <c r="V1022" s="178">
        <f>(FME_Ranking1[[#This Row],[LWC Raw]]/$U$2)*100</f>
        <v>0.40299366724237184</v>
      </c>
      <c r="W1022" s="178">
        <f>FME_Ranking1[[#This Row],[LWC Score (Normalized, Unweighted)]]*$U$3</f>
        <v>8.0598733448474374E-2</v>
      </c>
      <c r="X1022" s="246">
        <f>_xlfn.XLOOKUP(FME_Ranking1[[#This Row],[FME ID]],FME_Input[FME_ID],FME_Input[ROADCLS])</f>
        <v>0</v>
      </c>
      <c r="Y1022" s="230">
        <f>(FME_Ranking1[[#This Row],[Closures Raw]]/$X$2)*100</f>
        <v>0</v>
      </c>
      <c r="Z1022" s="180">
        <f>FME_Ranking1[[#This Row],[Closures Score (Normalized, Unweighted)]]*$X$3</f>
        <v>0</v>
      </c>
      <c r="AA1022" s="253">
        <f>_xlfn.XLOOKUP(FME_Ranking1[[#This Row],[FME ID]],FME_Input[FME_ID],FME_Input[ROAD_MILES100])</f>
        <v>1.0117700099945071</v>
      </c>
      <c r="AB1022" s="178">
        <f>(FME_Ranking1[[#This Row],[Miles Raw]]/$AA$2)*100</f>
        <v>1.3302960936722077E-2</v>
      </c>
      <c r="AC1022" s="178">
        <f>FME_Ranking1[[#This Row],[Miles Score (Normalized, Unweighted)]]*$AA$3</f>
        <v>1.3302960936722079E-3</v>
      </c>
      <c r="AD1022" s="255">
        <f>_xlfn.XLOOKUP(FME_Ranking1[[#This Row],[FME ID]],FME_Input[FME_ID],FME_Input[FARMACRE100])</f>
        <v>56.787689208984382</v>
      </c>
      <c r="AE1022" s="230">
        <f>(FME_Ranking1[[#This Row],[Ag Land Raw]]/$AD$2)*100</f>
        <v>2.3416700926782567E-3</v>
      </c>
      <c r="AF1022" s="231">
        <f>FME_Ranking1[[#This Row],[Ag Land Score (Normalized, Unweighted)]]*$AD$3</f>
        <v>1.1708350463391284E-4</v>
      </c>
      <c r="AG102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8.8426060981751889E-2</v>
      </c>
      <c r="AH1022" s="406">
        <f t="shared" si="15"/>
        <v>1095</v>
      </c>
      <c r="AI102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8.8426060981751889E-2</v>
      </c>
      <c r="AJ1022" s="257">
        <f>FME_Ranking1[[#This Row],[Addition check]]-FME_Ranking1[[#This Row],[Weighted Score Based on Normalized Reported Factors]]</f>
        <v>0</v>
      </c>
      <c r="AK1022" s="178">
        <f>_xlfn.RANK.EQ(AI1022,$AI$6:$AI$2341,0)+COUNTIF($AI$6:AI1022,AI1022)-1</f>
        <v>1102</v>
      </c>
    </row>
    <row r="1023" spans="1:37" x14ac:dyDescent="0.25">
      <c r="A1023" t="s">
        <v>5392</v>
      </c>
      <c r="B1023">
        <f>_xlfn.XLOOKUP(FME_Ranking1[[#This Row],[FME ID]],FME_Input[FME_ID],FME_Input[RFPG_NUM])</f>
        <v>3</v>
      </c>
      <c r="C1023" t="str">
        <f>_xlfn.XLOOKUP(FME_Ranking1[[#This Row],[FME ID]],FME_Input[FME_ID],FME_Input[FME_NAME])</f>
        <v>Stream 4A4 at Fulghum Road</v>
      </c>
      <c r="D1023" t="str">
        <f>_xlfn.XLOOKUP(FME_Ranking1[[#This Row],[FME ID]],FME_Input[FME_ID],FME_Input[DESCR])</f>
        <v>Evaluate bridge improvements for Fulghum Road over Stream 4A4</v>
      </c>
      <c r="E1023" s="256">
        <f>_xlfn.XLOOKUP(FME_Ranking1[[#This Row],[FME ID]],FME_Input[FME_ID],FME_Input[FME_COST])</f>
        <v>250000</v>
      </c>
      <c r="F1023" t="str">
        <f>_xlfn.XLOOKUP(FME_Ranking1[[#This Row],[FME ID]],FME_Input[FME_ID],FME_Input[EMER_NEED])</f>
        <v>No</v>
      </c>
      <c r="G1023">
        <f>IF(FME_Ranking!F1023="Yes",100,0)</f>
        <v>0</v>
      </c>
      <c r="H1023">
        <f>FME_Ranking1[[#This Row],[Emergency Need Score (Normalized, Unweighted)]]*$F$3</f>
        <v>0</v>
      </c>
      <c r="I1023" s="246">
        <f>_xlfn.XLOOKUP(FME_Ranking1[[#This Row],[FME ID]],FME_Input[FME_ID],FME_Input[STRUCT_100])</f>
        <v>2</v>
      </c>
      <c r="J1023" s="178">
        <f>(FME_Ranking1[[#This Row],[Structures 100 Raw]]/I$2)*100</f>
        <v>1.0709848776935271E-3</v>
      </c>
      <c r="K1023" s="178">
        <f>FME_Ranking1[[#This Row],[Structures 100  Score (Normalized, Unweighted)]]*$I$3</f>
        <v>1.6064773165402907E-4</v>
      </c>
      <c r="L1023" s="246">
        <f>_xlfn.XLOOKUP(FME_Ranking1[[#This Row],[FME ID]],FME_Input[FME_ID],FME_Input[RES_STRUCT100])</f>
        <v>0</v>
      </c>
      <c r="M1023" s="230">
        <f>(FME_Ranking1[[#This Row],[Res Structures Raw]]/L$2)*100</f>
        <v>0</v>
      </c>
      <c r="N1023" s="180">
        <f>FME_Ranking1[[#This Row],[Res Structures Score (Normalized, Unweighted)]]*$L$3</f>
        <v>0</v>
      </c>
      <c r="O1023" s="244">
        <f>_xlfn.XLOOKUP(FME_Ranking1[[#This Row],[FME ID]],FME_Input[FME_ID],FME_Input[POP100])</f>
        <v>405</v>
      </c>
      <c r="P1023" s="178">
        <f>(FME_Ranking1[[#This Row],[Pop Raw]]/$O$2)*100</f>
        <v>4.1462001355449127E-2</v>
      </c>
      <c r="Q1023" s="178">
        <f>FME_Ranking1[[#This Row],[Pop Score (Normalized, Unweighted)]]*$O$3</f>
        <v>6.2193002033173687E-3</v>
      </c>
      <c r="R1023" s="137">
        <f>_xlfn.XLOOKUP(FME_Ranking1[[#This Row],[FME ID]],FME_Input[FME_ID],FME_Input[CRITFAC100])</f>
        <v>0</v>
      </c>
      <c r="S1023" s="230">
        <f>(FME_Ranking1[[#This Row],[Critical Facilities Raw]]/$R$2)*100</f>
        <v>0</v>
      </c>
      <c r="T1023" s="180">
        <f>FME_Ranking1[[#This Row],[Critical Facilities Score (Normalized, Unweighted)]]*$R$3</f>
        <v>0</v>
      </c>
      <c r="U1023">
        <f>_xlfn.XLOOKUP(FME_Ranking1[[#This Row],[FME ID]],FME_Input[FME_ID],FME_Input[LWC])</f>
        <v>7</v>
      </c>
      <c r="V1023" s="178">
        <f>(FME_Ranking1[[#This Row],[LWC Raw]]/$U$2)*100</f>
        <v>0.40299366724237184</v>
      </c>
      <c r="W1023" s="178">
        <f>FME_Ranking1[[#This Row],[LWC Score (Normalized, Unweighted)]]*$U$3</f>
        <v>8.0598733448474374E-2</v>
      </c>
      <c r="X1023" s="246">
        <f>_xlfn.XLOOKUP(FME_Ranking1[[#This Row],[FME ID]],FME_Input[FME_ID],FME_Input[ROADCLS])</f>
        <v>0</v>
      </c>
      <c r="Y1023" s="230">
        <f>(FME_Ranking1[[#This Row],[Closures Raw]]/$X$2)*100</f>
        <v>0</v>
      </c>
      <c r="Z1023" s="180">
        <f>FME_Ranking1[[#This Row],[Closures Score (Normalized, Unweighted)]]*$X$3</f>
        <v>0</v>
      </c>
      <c r="AA1023" s="253">
        <f>_xlfn.XLOOKUP(FME_Ranking1[[#This Row],[FME ID]],FME_Input[FME_ID],FME_Input[ROAD_MILES100])</f>
        <v>1.0117700099945071</v>
      </c>
      <c r="AB1023" s="178">
        <f>(FME_Ranking1[[#This Row],[Miles Raw]]/$AA$2)*100</f>
        <v>1.3302960936722077E-2</v>
      </c>
      <c r="AC1023" s="178">
        <f>FME_Ranking1[[#This Row],[Miles Score (Normalized, Unweighted)]]*$AA$3</f>
        <v>1.3302960936722079E-3</v>
      </c>
      <c r="AD1023" s="255">
        <f>_xlfn.XLOOKUP(FME_Ranking1[[#This Row],[FME ID]],FME_Input[FME_ID],FME_Input[FARMACRE100])</f>
        <v>56.787689208984382</v>
      </c>
      <c r="AE1023" s="230">
        <f>(FME_Ranking1[[#This Row],[Ag Land Raw]]/$AD$2)*100</f>
        <v>2.3416700926782567E-3</v>
      </c>
      <c r="AF1023" s="231">
        <f>FME_Ranking1[[#This Row],[Ag Land Score (Normalized, Unweighted)]]*$AD$3</f>
        <v>1.1708350463391284E-4</v>
      </c>
      <c r="AG102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8.8426060981751889E-2</v>
      </c>
      <c r="AH1023" s="406">
        <f t="shared" si="15"/>
        <v>1095</v>
      </c>
      <c r="AI102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8.8426060981751889E-2</v>
      </c>
      <c r="AJ1023" s="257">
        <f>FME_Ranking1[[#This Row],[Addition check]]-FME_Ranking1[[#This Row],[Weighted Score Based on Normalized Reported Factors]]</f>
        <v>0</v>
      </c>
      <c r="AK1023" s="178">
        <f>_xlfn.RANK.EQ(AI1023,$AI$6:$AI$2341,0)+COUNTIF($AI$6:AI1023,AI1023)-1</f>
        <v>1103</v>
      </c>
    </row>
    <row r="1024" spans="1:37" x14ac:dyDescent="0.25">
      <c r="A1024" t="s">
        <v>5798</v>
      </c>
      <c r="B1024">
        <f>_xlfn.XLOOKUP(FME_Ranking1[[#This Row],[FME ID]],FME_Input[FME_ID],FME_Input[RFPG_NUM])</f>
        <v>5</v>
      </c>
      <c r="C1024" t="str">
        <f>_xlfn.XLOOKUP(FME_Ranking1[[#This Row],[FME ID]],FME_Input[FME_ID],FME_Input[FME_NAME])</f>
        <v>Houston County Update Flood Hazard Mapping</v>
      </c>
      <c r="D1024" t="str">
        <f>_xlfn.XLOOKUP(FME_Ranking1[[#This Row],[FME ID]],FME_Input[FME_ID],FME_Input[DESCR])</f>
        <v>Complete a detailed study within the county extent to delineate an updated flood hazard area, which can be used for regulatory purposes.</v>
      </c>
      <c r="E1024" s="256">
        <f>_xlfn.XLOOKUP(FME_Ranking1[[#This Row],[FME ID]],FME_Input[FME_ID],FME_Input[FME_COST])</f>
        <v>1697174</v>
      </c>
      <c r="F1024" t="str">
        <f>_xlfn.XLOOKUP(FME_Ranking1[[#This Row],[FME ID]],FME_Input[FME_ID],FME_Input[EMER_NEED])</f>
        <v>Yes</v>
      </c>
      <c r="G1024">
        <f>IF(FME_Ranking!F1024="Yes",100,0)</f>
        <v>100</v>
      </c>
      <c r="H1024">
        <f>FME_Ranking1[[#This Row],[Emergency Need Score (Normalized, Unweighted)]]*$F$3</f>
        <v>0</v>
      </c>
      <c r="I1024" s="246">
        <f>_xlfn.XLOOKUP(FME_Ranking1[[#This Row],[FME ID]],FME_Input[FME_ID],FME_Input[STRUCT_100])</f>
        <v>17</v>
      </c>
      <c r="J1024" s="178">
        <f>(FME_Ranking1[[#This Row],[Structures 100 Raw]]/I$2)*100</f>
        <v>9.1033714603949798E-3</v>
      </c>
      <c r="K1024" s="178">
        <f>FME_Ranking1[[#This Row],[Structures 100  Score (Normalized, Unweighted)]]*$I$3</f>
        <v>1.365505719059247E-3</v>
      </c>
      <c r="L1024" s="246">
        <f>_xlfn.XLOOKUP(FME_Ranking1[[#This Row],[FME ID]],FME_Input[FME_ID],FME_Input[RES_STRUCT100])</f>
        <v>3</v>
      </c>
      <c r="M1024" s="230">
        <f>(FME_Ranking1[[#This Row],[Res Structures Raw]]/L$2)*100</f>
        <v>2.1249167740930146E-3</v>
      </c>
      <c r="N1024" s="180">
        <f>FME_Ranking1[[#This Row],[Res Structures Score (Normalized, Unweighted)]]*$L$3</f>
        <v>2.1249167740930149E-4</v>
      </c>
      <c r="O1024" s="244">
        <f>_xlfn.XLOOKUP(FME_Ranking1[[#This Row],[FME ID]],FME_Input[FME_ID],FME_Input[POP100])</f>
        <v>16</v>
      </c>
      <c r="P1024" s="178">
        <f>(FME_Ranking1[[#This Row],[Pop Raw]]/$O$2)*100</f>
        <v>1.6380049918202125E-3</v>
      </c>
      <c r="Q1024" s="178">
        <f>FME_Ranking1[[#This Row],[Pop Score (Normalized, Unweighted)]]*$O$3</f>
        <v>2.4570074877303187E-4</v>
      </c>
      <c r="R1024" s="137">
        <f>_xlfn.XLOOKUP(FME_Ranking1[[#This Row],[FME ID]],FME_Input[FME_ID],FME_Input[CRITFAC100])</f>
        <v>0</v>
      </c>
      <c r="S1024" s="230">
        <f>(FME_Ranking1[[#This Row],[Critical Facilities Raw]]/$R$2)*100</f>
        <v>0</v>
      </c>
      <c r="T1024" s="180">
        <f>FME_Ranking1[[#This Row],[Critical Facilities Score (Normalized, Unweighted)]]*$R$3</f>
        <v>0</v>
      </c>
      <c r="U1024">
        <f>_xlfn.XLOOKUP(FME_Ranking1[[#This Row],[FME ID]],FME_Input[FME_ID],FME_Input[LWC])</f>
        <v>7</v>
      </c>
      <c r="V1024" s="178">
        <f>(FME_Ranking1[[#This Row],[LWC Raw]]/$U$2)*100</f>
        <v>0.40299366724237184</v>
      </c>
      <c r="W1024" s="178">
        <f>FME_Ranking1[[#This Row],[LWC Score (Normalized, Unweighted)]]*$U$3</f>
        <v>8.0598733448474374E-2</v>
      </c>
      <c r="X1024" s="246">
        <f>_xlfn.XLOOKUP(FME_Ranking1[[#This Row],[FME ID]],FME_Input[FME_ID],FME_Input[ROADCLS])</f>
        <v>7</v>
      </c>
      <c r="Y1024" s="230">
        <f>(FME_Ranking1[[#This Row],[Closures Raw]]/$X$2)*100</f>
        <v>7.3598990642414042E-2</v>
      </c>
      <c r="Z1024" s="180">
        <f>FME_Ranking1[[#This Row],[Closures Score (Normalized, Unweighted)]]*$X$3</f>
        <v>3.6799495321207022E-3</v>
      </c>
      <c r="AA1024" s="253">
        <f>_xlfn.XLOOKUP(FME_Ranking1[[#This Row],[FME ID]],FME_Input[FME_ID],FME_Input[ROAD_MILES100])</f>
        <v>19.704742431640621</v>
      </c>
      <c r="AB1024" s="178">
        <f>(FME_Ranking1[[#This Row],[Miles Raw]]/$AA$2)*100</f>
        <v>0.25908202086135002</v>
      </c>
      <c r="AC1024" s="178">
        <f>FME_Ranking1[[#This Row],[Miles Score (Normalized, Unweighted)]]*$AA$3</f>
        <v>2.5908202086135004E-2</v>
      </c>
      <c r="AD1024" s="255">
        <f>_xlfn.XLOOKUP(FME_Ranking1[[#This Row],[FME ID]],FME_Input[FME_ID],FME_Input[FARMACRE100])</f>
        <v>116.8699188232422</v>
      </c>
      <c r="AE1024" s="230">
        <f>(FME_Ranking1[[#This Row],[Ag Land Raw]]/$AD$2)*100</f>
        <v>4.8191922836477111E-3</v>
      </c>
      <c r="AF1024" s="231">
        <f>FME_Ranking1[[#This Row],[Ag Land Score (Normalized, Unweighted)]]*$AD$3</f>
        <v>2.4095961418238557E-4</v>
      </c>
      <c r="AG102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0.11225154282615404</v>
      </c>
      <c r="AH1024" s="406">
        <f t="shared" si="15"/>
        <v>1011</v>
      </c>
      <c r="AI102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0.11225154282615404</v>
      </c>
      <c r="AJ1024" s="257">
        <f>FME_Ranking1[[#This Row],[Addition check]]-FME_Ranking1[[#This Row],[Weighted Score Based on Normalized Reported Factors]]</f>
        <v>0</v>
      </c>
      <c r="AK1024" s="178">
        <f>_xlfn.RANK.EQ(AI1024,$AI$6:$AI$2341,0)+COUNTIF($AI$6:AI1024,AI1024)-1</f>
        <v>1011</v>
      </c>
    </row>
    <row r="1025" spans="1:37" x14ac:dyDescent="0.25">
      <c r="A1025" t="s">
        <v>5874</v>
      </c>
      <c r="B1025">
        <f>_xlfn.XLOOKUP(FME_Ranking1[[#This Row],[FME ID]],FME_Input[FME_ID],FME_Input[RFPG_NUM])</f>
        <v>5</v>
      </c>
      <c r="C1025" t="str">
        <f>_xlfn.XLOOKUP(FME_Ranking1[[#This Row],[FME ID]],FME_Input[FME_ID],FME_Input[FME_NAME])</f>
        <v>Houston County Earthen Dike Construction</v>
      </c>
      <c r="D1025" t="str">
        <f>_xlfn.XLOOKUP(FME_Ranking1[[#This Row],[FME ID]],FME_Input[FME_ID],FME_Input[DESCR])</f>
        <v xml:space="preserve">Evaluate project to quantify benefits, evaluate impacts, and begin design. Project consists of an earthen dike to elevate emergency vehicle access road to critical facilities to provide protection to the 500-year flood level.
</v>
      </c>
      <c r="E1025" s="256">
        <f>_xlfn.XLOOKUP(FME_Ranking1[[#This Row],[FME ID]],FME_Input[FME_ID],FME_Input[FME_COST])</f>
        <v>16972</v>
      </c>
      <c r="F1025" t="str">
        <f>_xlfn.XLOOKUP(FME_Ranking1[[#This Row],[FME ID]],FME_Input[FME_ID],FME_Input[EMER_NEED])</f>
        <v>No</v>
      </c>
      <c r="G1025">
        <f>IF(FME_Ranking!F1025="Yes",100,0)</f>
        <v>0</v>
      </c>
      <c r="H1025">
        <f>FME_Ranking1[[#This Row],[Emergency Need Score (Normalized, Unweighted)]]*$F$3</f>
        <v>0</v>
      </c>
      <c r="I1025" s="246">
        <f>_xlfn.XLOOKUP(FME_Ranking1[[#This Row],[FME ID]],FME_Input[FME_ID],FME_Input[STRUCT_100])</f>
        <v>17</v>
      </c>
      <c r="J1025" s="178">
        <f>(FME_Ranking1[[#This Row],[Structures 100 Raw]]/I$2)*100</f>
        <v>9.1033714603949798E-3</v>
      </c>
      <c r="K1025" s="178">
        <f>FME_Ranking1[[#This Row],[Structures 100  Score (Normalized, Unweighted)]]*$I$3</f>
        <v>1.365505719059247E-3</v>
      </c>
      <c r="L1025" s="246">
        <f>_xlfn.XLOOKUP(FME_Ranking1[[#This Row],[FME ID]],FME_Input[FME_ID],FME_Input[RES_STRUCT100])</f>
        <v>3</v>
      </c>
      <c r="M1025" s="230">
        <f>(FME_Ranking1[[#This Row],[Res Structures Raw]]/L$2)*100</f>
        <v>2.1249167740930146E-3</v>
      </c>
      <c r="N1025" s="180">
        <f>FME_Ranking1[[#This Row],[Res Structures Score (Normalized, Unweighted)]]*$L$3</f>
        <v>2.1249167740930149E-4</v>
      </c>
      <c r="O1025" s="244">
        <f>_xlfn.XLOOKUP(FME_Ranking1[[#This Row],[FME ID]],FME_Input[FME_ID],FME_Input[POP100])</f>
        <v>16</v>
      </c>
      <c r="P1025" s="178">
        <f>(FME_Ranking1[[#This Row],[Pop Raw]]/$O$2)*100</f>
        <v>1.6380049918202125E-3</v>
      </c>
      <c r="Q1025" s="178">
        <f>FME_Ranking1[[#This Row],[Pop Score (Normalized, Unweighted)]]*$O$3</f>
        <v>2.4570074877303187E-4</v>
      </c>
      <c r="R1025" s="137">
        <f>_xlfn.XLOOKUP(FME_Ranking1[[#This Row],[FME ID]],FME_Input[FME_ID],FME_Input[CRITFAC100])</f>
        <v>0</v>
      </c>
      <c r="S1025" s="230">
        <f>(FME_Ranking1[[#This Row],[Critical Facilities Raw]]/$R$2)*100</f>
        <v>0</v>
      </c>
      <c r="T1025" s="180">
        <f>FME_Ranking1[[#This Row],[Critical Facilities Score (Normalized, Unweighted)]]*$R$3</f>
        <v>0</v>
      </c>
      <c r="U1025">
        <f>_xlfn.XLOOKUP(FME_Ranking1[[#This Row],[FME ID]],FME_Input[FME_ID],FME_Input[LWC])</f>
        <v>7</v>
      </c>
      <c r="V1025" s="178">
        <f>(FME_Ranking1[[#This Row],[LWC Raw]]/$U$2)*100</f>
        <v>0.40299366724237184</v>
      </c>
      <c r="W1025" s="178">
        <f>FME_Ranking1[[#This Row],[LWC Score (Normalized, Unweighted)]]*$U$3</f>
        <v>8.0598733448474374E-2</v>
      </c>
      <c r="X1025" s="246">
        <f>_xlfn.XLOOKUP(FME_Ranking1[[#This Row],[FME ID]],FME_Input[FME_ID],FME_Input[ROADCLS])</f>
        <v>7</v>
      </c>
      <c r="Y1025" s="230">
        <f>(FME_Ranking1[[#This Row],[Closures Raw]]/$X$2)*100</f>
        <v>7.3598990642414042E-2</v>
      </c>
      <c r="Z1025" s="180">
        <f>FME_Ranking1[[#This Row],[Closures Score (Normalized, Unweighted)]]*$X$3</f>
        <v>3.6799495321207022E-3</v>
      </c>
      <c r="AA1025" s="253">
        <f>_xlfn.XLOOKUP(FME_Ranking1[[#This Row],[FME ID]],FME_Input[FME_ID],FME_Input[ROAD_MILES100])</f>
        <v>19.704742431640621</v>
      </c>
      <c r="AB1025" s="178">
        <f>(FME_Ranking1[[#This Row],[Miles Raw]]/$AA$2)*100</f>
        <v>0.25908202086135002</v>
      </c>
      <c r="AC1025" s="178">
        <f>FME_Ranking1[[#This Row],[Miles Score (Normalized, Unweighted)]]*$AA$3</f>
        <v>2.5908202086135004E-2</v>
      </c>
      <c r="AD1025" s="255">
        <f>_xlfn.XLOOKUP(FME_Ranking1[[#This Row],[FME ID]],FME_Input[FME_ID],FME_Input[FARMACRE100])</f>
        <v>116.8699188232422</v>
      </c>
      <c r="AE1025" s="230">
        <f>(FME_Ranking1[[#This Row],[Ag Land Raw]]/$AD$2)*100</f>
        <v>4.8191922836477111E-3</v>
      </c>
      <c r="AF1025" s="231">
        <f>FME_Ranking1[[#This Row],[Ag Land Score (Normalized, Unweighted)]]*$AD$3</f>
        <v>2.4095961418238557E-4</v>
      </c>
      <c r="AG102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0.11225154282615404</v>
      </c>
      <c r="AH1025" s="406">
        <f t="shared" si="15"/>
        <v>1011</v>
      </c>
      <c r="AI102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0.11225154282615404</v>
      </c>
      <c r="AJ1025" s="257">
        <f>FME_Ranking1[[#This Row],[Addition check]]-FME_Ranking1[[#This Row],[Weighted Score Based on Normalized Reported Factors]]</f>
        <v>0</v>
      </c>
      <c r="AK1025" s="178">
        <f>_xlfn.RANK.EQ(AI1025,$AI$6:$AI$2341,0)+COUNTIF($AI$6:AI1025,AI1025)-1</f>
        <v>1012</v>
      </c>
    </row>
    <row r="1026" spans="1:37" x14ac:dyDescent="0.25">
      <c r="A1026" t="s">
        <v>6152</v>
      </c>
      <c r="B1026">
        <f>_xlfn.XLOOKUP(FME_Ranking1[[#This Row],[FME ID]],FME_Input[FME_ID],FME_Input[RFPG_NUM])</f>
        <v>5</v>
      </c>
      <c r="C1026" t="str">
        <f>_xlfn.XLOOKUP(FME_Ranking1[[#This Row],[FME ID]],FME_Input[FME_ID],FME_Input[FME_NAME])</f>
        <v>Houston County Master Drainage Plan</v>
      </c>
      <c r="D1026"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1026" s="256">
        <f>_xlfn.XLOOKUP(FME_Ranking1[[#This Row],[FME ID]],FME_Input[FME_ID],FME_Input[FME_COST])</f>
        <v>610983</v>
      </c>
      <c r="F1026" t="str">
        <f>_xlfn.XLOOKUP(FME_Ranking1[[#This Row],[FME ID]],FME_Input[FME_ID],FME_Input[EMER_NEED])</f>
        <v>Yes</v>
      </c>
      <c r="G1026">
        <f>IF(FME_Ranking!F1026="Yes",100,0)</f>
        <v>100</v>
      </c>
      <c r="H1026">
        <f>FME_Ranking1[[#This Row],[Emergency Need Score (Normalized, Unweighted)]]*$F$3</f>
        <v>0</v>
      </c>
      <c r="I1026" s="246">
        <f>_xlfn.XLOOKUP(FME_Ranking1[[#This Row],[FME ID]],FME_Input[FME_ID],FME_Input[STRUCT_100])</f>
        <v>17</v>
      </c>
      <c r="J1026" s="178">
        <f>(FME_Ranking1[[#This Row],[Structures 100 Raw]]/I$2)*100</f>
        <v>9.1033714603949798E-3</v>
      </c>
      <c r="K1026" s="178">
        <f>FME_Ranking1[[#This Row],[Structures 100  Score (Normalized, Unweighted)]]*$I$3</f>
        <v>1.365505719059247E-3</v>
      </c>
      <c r="L1026" s="246">
        <f>_xlfn.XLOOKUP(FME_Ranking1[[#This Row],[FME ID]],FME_Input[FME_ID],FME_Input[RES_STRUCT100])</f>
        <v>3</v>
      </c>
      <c r="M1026" s="230">
        <f>(FME_Ranking1[[#This Row],[Res Structures Raw]]/L$2)*100</f>
        <v>2.1249167740930146E-3</v>
      </c>
      <c r="N1026" s="180">
        <f>FME_Ranking1[[#This Row],[Res Structures Score (Normalized, Unweighted)]]*$L$3</f>
        <v>2.1249167740930149E-4</v>
      </c>
      <c r="O1026" s="244">
        <f>_xlfn.XLOOKUP(FME_Ranking1[[#This Row],[FME ID]],FME_Input[FME_ID],FME_Input[POP100])</f>
        <v>16</v>
      </c>
      <c r="P1026" s="178">
        <f>(FME_Ranking1[[#This Row],[Pop Raw]]/$O$2)*100</f>
        <v>1.6380049918202125E-3</v>
      </c>
      <c r="Q1026" s="178">
        <f>FME_Ranking1[[#This Row],[Pop Score (Normalized, Unweighted)]]*$O$3</f>
        <v>2.4570074877303187E-4</v>
      </c>
      <c r="R1026" s="137">
        <f>_xlfn.XLOOKUP(FME_Ranking1[[#This Row],[FME ID]],FME_Input[FME_ID],FME_Input[CRITFAC100])</f>
        <v>0</v>
      </c>
      <c r="S1026" s="230">
        <f>(FME_Ranking1[[#This Row],[Critical Facilities Raw]]/$R$2)*100</f>
        <v>0</v>
      </c>
      <c r="T1026" s="180">
        <f>FME_Ranking1[[#This Row],[Critical Facilities Score (Normalized, Unweighted)]]*$R$3</f>
        <v>0</v>
      </c>
      <c r="U1026">
        <f>_xlfn.XLOOKUP(FME_Ranking1[[#This Row],[FME ID]],FME_Input[FME_ID],FME_Input[LWC])</f>
        <v>7</v>
      </c>
      <c r="V1026" s="178">
        <f>(FME_Ranking1[[#This Row],[LWC Raw]]/$U$2)*100</f>
        <v>0.40299366724237184</v>
      </c>
      <c r="W1026" s="178">
        <f>FME_Ranking1[[#This Row],[LWC Score (Normalized, Unweighted)]]*$U$3</f>
        <v>8.0598733448474374E-2</v>
      </c>
      <c r="X1026" s="246">
        <f>_xlfn.XLOOKUP(FME_Ranking1[[#This Row],[FME ID]],FME_Input[FME_ID],FME_Input[ROADCLS])</f>
        <v>7</v>
      </c>
      <c r="Y1026" s="230">
        <f>(FME_Ranking1[[#This Row],[Closures Raw]]/$X$2)*100</f>
        <v>7.3598990642414042E-2</v>
      </c>
      <c r="Z1026" s="180">
        <f>FME_Ranking1[[#This Row],[Closures Score (Normalized, Unweighted)]]*$X$3</f>
        <v>3.6799495321207022E-3</v>
      </c>
      <c r="AA1026" s="253">
        <f>_xlfn.XLOOKUP(FME_Ranking1[[#This Row],[FME ID]],FME_Input[FME_ID],FME_Input[ROAD_MILES100])</f>
        <v>19.704742431640621</v>
      </c>
      <c r="AB1026" s="178">
        <f>(FME_Ranking1[[#This Row],[Miles Raw]]/$AA$2)*100</f>
        <v>0.25908202086135002</v>
      </c>
      <c r="AC1026" s="178">
        <f>FME_Ranking1[[#This Row],[Miles Score (Normalized, Unweighted)]]*$AA$3</f>
        <v>2.5908202086135004E-2</v>
      </c>
      <c r="AD1026" s="255">
        <f>_xlfn.XLOOKUP(FME_Ranking1[[#This Row],[FME ID]],FME_Input[FME_ID],FME_Input[FARMACRE100])</f>
        <v>116.8699188232422</v>
      </c>
      <c r="AE1026" s="230">
        <f>(FME_Ranking1[[#This Row],[Ag Land Raw]]/$AD$2)*100</f>
        <v>4.8191922836477111E-3</v>
      </c>
      <c r="AF1026" s="231">
        <f>FME_Ranking1[[#This Row],[Ag Land Score (Normalized, Unweighted)]]*$AD$3</f>
        <v>2.4095961418238557E-4</v>
      </c>
      <c r="AG102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0.11225154282615404</v>
      </c>
      <c r="AH1026" s="406">
        <f t="shared" si="15"/>
        <v>1011</v>
      </c>
      <c r="AI102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0.11225154282615404</v>
      </c>
      <c r="AJ1026" s="257">
        <f>FME_Ranking1[[#This Row],[Addition check]]-FME_Ranking1[[#This Row],[Weighted Score Based on Normalized Reported Factors]]</f>
        <v>0</v>
      </c>
      <c r="AK1026" s="178">
        <f>_xlfn.RANK.EQ(AI1026,$AI$6:$AI$2341,0)+COUNTIF($AI$6:AI1026,AI1026)-1</f>
        <v>1013</v>
      </c>
    </row>
    <row r="1027" spans="1:37" x14ac:dyDescent="0.25">
      <c r="A1027" t="s">
        <v>1019</v>
      </c>
      <c r="B1027">
        <f>_xlfn.XLOOKUP(FME_Ranking1[[#This Row],[FME ID]],FME_Input[FME_ID],FME_Input[RFPG_NUM])</f>
        <v>6</v>
      </c>
      <c r="C1027" t="str">
        <f>_xlfn.XLOOKUP(FME_Ranking1[[#This Row],[FME ID]],FME_Input[FME_ID],FME_Input[FME_NAME])</f>
        <v xml:space="preserve">Hickory Slough Lower Segment </v>
      </c>
      <c r="D1027" t="str">
        <f>_xlfn.XLOOKUP(FME_Ranking1[[#This Row],[FME ID]],FME_Input[FME_ID],FME_Input[DESCR])</f>
        <v>Further study including Atlas 14 rainfall incorporation and Benefit Cost Analysis of proposed channel modifications included in the City of Pearland master drainage plan.</v>
      </c>
      <c r="E1027" s="256">
        <f>_xlfn.XLOOKUP(FME_Ranking1[[#This Row],[FME ID]],FME_Input[FME_ID],FME_Input[FME_COST])</f>
        <v>1048000</v>
      </c>
      <c r="F1027" t="str">
        <f>_xlfn.XLOOKUP(FME_Ranking1[[#This Row],[FME ID]],FME_Input[FME_ID],FME_Input[EMER_NEED])</f>
        <v>No</v>
      </c>
      <c r="G1027">
        <f>IF(FME_Ranking!F1027="Yes",100,0)</f>
        <v>0</v>
      </c>
      <c r="H1027">
        <f>FME_Ranking1[[#This Row],[Emergency Need Score (Normalized, Unweighted)]]*$F$3</f>
        <v>0</v>
      </c>
      <c r="I1027" s="246">
        <f>_xlfn.XLOOKUP(FME_Ranking1[[#This Row],[FME ID]],FME_Input[FME_ID],FME_Input[STRUCT_100])</f>
        <v>424</v>
      </c>
      <c r="J1027" s="178">
        <f>(FME_Ranking1[[#This Row],[Structures 100 Raw]]/I$2)*100</f>
        <v>0.22704879407102774</v>
      </c>
      <c r="K1027" s="178">
        <f>FME_Ranking1[[#This Row],[Structures 100  Score (Normalized, Unweighted)]]*$I$3</f>
        <v>3.4057319110654162E-2</v>
      </c>
      <c r="L1027" s="246">
        <f>_xlfn.XLOOKUP(FME_Ranking1[[#This Row],[FME ID]],FME_Input[FME_ID],FME_Input[RES_STRUCT100])</f>
        <v>377</v>
      </c>
      <c r="M1027" s="230">
        <f>(FME_Ranking1[[#This Row],[Res Structures Raw]]/L$2)*100</f>
        <v>0.26703120794435553</v>
      </c>
      <c r="N1027" s="180">
        <f>FME_Ranking1[[#This Row],[Res Structures Score (Normalized, Unweighted)]]*$L$3</f>
        <v>2.6703120794435556E-2</v>
      </c>
      <c r="O1027" s="244">
        <f>_xlfn.XLOOKUP(FME_Ranking1[[#This Row],[FME ID]],FME_Input[FME_ID],FME_Input[POP100])</f>
        <v>1648</v>
      </c>
      <c r="P1027" s="178">
        <f>(FME_Ranking1[[#This Row],[Pop Raw]]/$O$2)*100</f>
        <v>0.1687145141574819</v>
      </c>
      <c r="Q1027" s="178">
        <f>FME_Ranking1[[#This Row],[Pop Score (Normalized, Unweighted)]]*$O$3</f>
        <v>2.5307177123622283E-2</v>
      </c>
      <c r="R1027" s="137">
        <f>_xlfn.XLOOKUP(FME_Ranking1[[#This Row],[FME ID]],FME_Input[FME_ID],FME_Input[CRITFAC100])</f>
        <v>0</v>
      </c>
      <c r="S1027" s="230">
        <f>(FME_Ranking1[[#This Row],[Critical Facilities Raw]]/$R$2)*100</f>
        <v>0</v>
      </c>
      <c r="T1027" s="180">
        <f>FME_Ranking1[[#This Row],[Critical Facilities Score (Normalized, Unweighted)]]*$R$3</f>
        <v>0</v>
      </c>
      <c r="U1027">
        <f>_xlfn.XLOOKUP(FME_Ranking1[[#This Row],[FME ID]],FME_Input[FME_ID],FME_Input[LWC])</f>
        <v>0</v>
      </c>
      <c r="V1027" s="178">
        <f>(FME_Ranking1[[#This Row],[LWC Raw]]/$U$2)*100</f>
        <v>0</v>
      </c>
      <c r="W1027" s="178">
        <f>FME_Ranking1[[#This Row],[LWC Score (Normalized, Unweighted)]]*$U$3</f>
        <v>0</v>
      </c>
      <c r="X1027" s="246">
        <f>_xlfn.XLOOKUP(FME_Ranking1[[#This Row],[FME ID]],FME_Input[FME_ID],FME_Input[ROADCLS])</f>
        <v>0</v>
      </c>
      <c r="Y1027" s="230">
        <f>(FME_Ranking1[[#This Row],[Closures Raw]]/$X$2)*100</f>
        <v>0</v>
      </c>
      <c r="Z1027" s="180">
        <f>FME_Ranking1[[#This Row],[Closures Score (Normalized, Unweighted)]]*$X$3</f>
        <v>0</v>
      </c>
      <c r="AA1027" s="253">
        <f>_xlfn.XLOOKUP(FME_Ranking1[[#This Row],[FME ID]],FME_Input[FME_ID],FME_Input[ROAD_MILES100])</f>
        <v>6.2576041221618652</v>
      </c>
      <c r="AB1027" s="178">
        <f>(FME_Ranking1[[#This Row],[Miles Raw]]/$AA$2)*100</f>
        <v>8.2276270666534465E-2</v>
      </c>
      <c r="AC1027" s="178">
        <f>FME_Ranking1[[#This Row],[Miles Score (Normalized, Unweighted)]]*$AA$3</f>
        <v>8.2276270666534462E-3</v>
      </c>
      <c r="AD1027" s="255">
        <f>_xlfn.XLOOKUP(FME_Ranking1[[#This Row],[FME ID]],FME_Input[FME_ID],FME_Input[FARMACRE100])</f>
        <v>4.7694473266601563</v>
      </c>
      <c r="AE1027" s="230">
        <f>(FME_Ranking1[[#This Row],[Ag Land Raw]]/$AD$2)*100</f>
        <v>1.9667065730291042E-4</v>
      </c>
      <c r="AF1027" s="231">
        <f>FME_Ranking1[[#This Row],[Ag Land Score (Normalized, Unweighted)]]*$AD$3</f>
        <v>9.8335328651455212E-6</v>
      </c>
      <c r="AG102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9.4305077628230594E-2</v>
      </c>
      <c r="AH1027" s="406">
        <f t="shared" si="15"/>
        <v>1076</v>
      </c>
      <c r="AI102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9.4305077628230594E-2</v>
      </c>
      <c r="AJ1027" s="257">
        <f>FME_Ranking1[[#This Row],[Addition check]]-FME_Ranking1[[#This Row],[Weighted Score Based on Normalized Reported Factors]]</f>
        <v>0</v>
      </c>
      <c r="AK1027" s="178">
        <f>_xlfn.RANK.EQ(AI1027,$AI$6:$AI$2341,0)+COUNTIF($AI$6:AI1027,AI1027)-1</f>
        <v>1076</v>
      </c>
    </row>
    <row r="1028" spans="1:37" x14ac:dyDescent="0.25">
      <c r="A1028" t="s">
        <v>8171</v>
      </c>
      <c r="B1028">
        <f>_xlfn.XLOOKUP(FME_Ranking1[[#This Row],[FME ID]],FME_Input[FME_ID],FME_Input[RFPG_NUM])</f>
        <v>9</v>
      </c>
      <c r="C1028" t="str">
        <f>_xlfn.XLOOKUP(FME_Ranking1[[#This Row],[FME ID]],FME_Input[FME_ID],FME_Input[FME_NAME])</f>
        <v>Concho County FEMA Mapping</v>
      </c>
      <c r="D1028" t="str">
        <f>_xlfn.XLOOKUP(FME_Ranking1[[#This Row],[FME ID]],FME_Input[FME_ID],FME_Input[DESCR])</f>
        <v>Create FEMA Mapping in previously unmapped areas</v>
      </c>
      <c r="E1028" s="256">
        <f>_xlfn.XLOOKUP(FME_Ranking1[[#This Row],[FME ID]],FME_Input[FME_ID],FME_Input[FME_COST])</f>
        <v>962000</v>
      </c>
      <c r="F1028" t="str">
        <f>_xlfn.XLOOKUP(FME_Ranking1[[#This Row],[FME ID]],FME_Input[FME_ID],FME_Input[EMER_NEED])</f>
        <v>No</v>
      </c>
      <c r="G1028">
        <f>IF(FME_Ranking!F1028="Yes",100,0)</f>
        <v>0</v>
      </c>
      <c r="H1028">
        <f>FME_Ranking1[[#This Row],[Emergency Need Score (Normalized, Unweighted)]]*$F$3</f>
        <v>0</v>
      </c>
      <c r="I1028" s="246">
        <f>_xlfn.XLOOKUP(FME_Ranking1[[#This Row],[FME ID]],FME_Input[FME_ID],FME_Input[STRUCT_100])</f>
        <v>103</v>
      </c>
      <c r="J1028" s="178">
        <f>(FME_Ranking1[[#This Row],[Structures 100 Raw]]/I$2)*100</f>
        <v>5.5155721201216645E-2</v>
      </c>
      <c r="K1028" s="178">
        <f>FME_Ranking1[[#This Row],[Structures 100  Score (Normalized, Unweighted)]]*$I$3</f>
        <v>8.2733581801824971E-3</v>
      </c>
      <c r="L1028" s="246">
        <f>_xlfn.XLOOKUP(FME_Ranking1[[#This Row],[FME ID]],FME_Input[FME_ID],FME_Input[RES_STRUCT100])</f>
        <v>52</v>
      </c>
      <c r="M1028" s="230">
        <f>(FME_Ranking1[[#This Row],[Res Structures Raw]]/L$2)*100</f>
        <v>3.683189075094559E-2</v>
      </c>
      <c r="N1028" s="180">
        <f>FME_Ranking1[[#This Row],[Res Structures Score (Normalized, Unweighted)]]*$L$3</f>
        <v>3.683189075094559E-3</v>
      </c>
      <c r="O1028" s="244">
        <f>_xlfn.XLOOKUP(FME_Ranking1[[#This Row],[FME ID]],FME_Input[FME_ID],FME_Input[POP100])</f>
        <v>77</v>
      </c>
      <c r="P1028" s="178">
        <f>(FME_Ranking1[[#This Row],[Pop Raw]]/$O$2)*100</f>
        <v>7.8828990231347741E-3</v>
      </c>
      <c r="Q1028" s="178">
        <f>FME_Ranking1[[#This Row],[Pop Score (Normalized, Unweighted)]]*$O$3</f>
        <v>1.1824348534702162E-3</v>
      </c>
      <c r="R1028" s="137">
        <f>_xlfn.XLOOKUP(FME_Ranking1[[#This Row],[FME ID]],FME_Input[FME_ID],FME_Input[CRITFAC100])</f>
        <v>0</v>
      </c>
      <c r="S1028" s="230">
        <f>(FME_Ranking1[[#This Row],[Critical Facilities Raw]]/$R$2)*100</f>
        <v>0</v>
      </c>
      <c r="T1028" s="180">
        <f>FME_Ranking1[[#This Row],[Critical Facilities Score (Normalized, Unweighted)]]*$R$3</f>
        <v>0</v>
      </c>
      <c r="U1028">
        <f>_xlfn.XLOOKUP(FME_Ranking1[[#This Row],[FME ID]],FME_Input[FME_ID],FME_Input[LWC])</f>
        <v>4</v>
      </c>
      <c r="V1028" s="178">
        <f>(FME_Ranking1[[#This Row],[LWC Raw]]/$U$2)*100</f>
        <v>0.23028209556706969</v>
      </c>
      <c r="W1028" s="178">
        <f>FME_Ranking1[[#This Row],[LWC Score (Normalized, Unweighted)]]*$U$3</f>
        <v>4.6056419113413939E-2</v>
      </c>
      <c r="X1028" s="246">
        <f>_xlfn.XLOOKUP(FME_Ranking1[[#This Row],[FME ID]],FME_Input[FME_ID],FME_Input[ROADCLS])</f>
        <v>0</v>
      </c>
      <c r="Y1028" s="230">
        <f>(FME_Ranking1[[#This Row],[Closures Raw]]/$X$2)*100</f>
        <v>0</v>
      </c>
      <c r="Z1028" s="180">
        <f>FME_Ranking1[[#This Row],[Closures Score (Normalized, Unweighted)]]*$X$3</f>
        <v>0</v>
      </c>
      <c r="AA1028" s="253">
        <f>_xlfn.XLOOKUP(FME_Ranking1[[#This Row],[FME ID]],FME_Input[FME_ID],FME_Input[ROAD_MILES100])</f>
        <v>23.619352340698239</v>
      </c>
      <c r="AB1028" s="178">
        <f>(FME_Ranking1[[#This Row],[Miles Raw]]/$AA$2)*100</f>
        <v>0.31055211998296894</v>
      </c>
      <c r="AC1028" s="178">
        <f>FME_Ranking1[[#This Row],[Miles Score (Normalized, Unweighted)]]*$AA$3</f>
        <v>3.1055211998296896E-2</v>
      </c>
      <c r="AD1028" s="255">
        <f>_xlfn.XLOOKUP(FME_Ranking1[[#This Row],[FME ID]],FME_Input[FME_ID],FME_Input[FARMACRE100])</f>
        <v>13016.5703125</v>
      </c>
      <c r="AE1028" s="230">
        <f>(FME_Ranking1[[#This Row],[Ag Land Raw]]/$AD$2)*100</f>
        <v>0.53674509096247225</v>
      </c>
      <c r="AF1028" s="231">
        <f>FME_Ranking1[[#This Row],[Ag Land Score (Normalized, Unweighted)]]*$AD$3</f>
        <v>2.6837254548123614E-2</v>
      </c>
      <c r="AG102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0.11708786776858171</v>
      </c>
      <c r="AH1028" s="406">
        <f t="shared" si="15"/>
        <v>992</v>
      </c>
      <c r="AI102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0.11708786776858171</v>
      </c>
      <c r="AJ1028" s="257">
        <f>FME_Ranking1[[#This Row],[Addition check]]-FME_Ranking1[[#This Row],[Weighted Score Based on Normalized Reported Factors]]</f>
        <v>0</v>
      </c>
      <c r="AK1028" s="178">
        <f>_xlfn.RANK.EQ(AI1028,$AI$6:$AI$2341,0)+COUNTIF($AI$6:AI1028,AI1028)-1</f>
        <v>992</v>
      </c>
    </row>
    <row r="1029" spans="1:37" x14ac:dyDescent="0.25">
      <c r="A1029" t="s">
        <v>8241</v>
      </c>
      <c r="B1029">
        <f>_xlfn.XLOOKUP(FME_Ranking1[[#This Row],[FME ID]],FME_Input[FME_ID],FME_Input[RFPG_NUM])</f>
        <v>9</v>
      </c>
      <c r="C1029" t="str">
        <f>_xlfn.XLOOKUP(FME_Ranking1[[#This Row],[FME ID]],FME_Input[FME_ID],FME_Input[FME_NAME])</f>
        <v>Concho County DMP</v>
      </c>
      <c r="D1029" t="str">
        <f>_xlfn.XLOOKUP(FME_Ranking1[[#This Row],[FME ID]],FME_Input[FME_ID],FME_Input[DESCR])</f>
        <v xml:space="preserve">Create Drainage Master Plan, including evaluation of potential mitigation projects. </v>
      </c>
      <c r="E1029" s="256">
        <f>_xlfn.XLOOKUP(FME_Ranking1[[#This Row],[FME ID]],FME_Input[FME_ID],FME_Input[FME_COST])</f>
        <v>500000</v>
      </c>
      <c r="F1029" t="str">
        <f>_xlfn.XLOOKUP(FME_Ranking1[[#This Row],[FME ID]],FME_Input[FME_ID],FME_Input[EMER_NEED])</f>
        <v>No</v>
      </c>
      <c r="G1029">
        <f>IF(FME_Ranking!F1029="Yes",100,0)</f>
        <v>0</v>
      </c>
      <c r="H1029">
        <f>FME_Ranking1[[#This Row],[Emergency Need Score (Normalized, Unweighted)]]*$F$3</f>
        <v>0</v>
      </c>
      <c r="I1029" s="246">
        <f>_xlfn.XLOOKUP(FME_Ranking1[[#This Row],[FME ID]],FME_Input[FME_ID],FME_Input[STRUCT_100])</f>
        <v>103</v>
      </c>
      <c r="J1029" s="178">
        <f>(FME_Ranking1[[#This Row],[Structures 100 Raw]]/I$2)*100</f>
        <v>5.5155721201216645E-2</v>
      </c>
      <c r="K1029" s="178">
        <f>FME_Ranking1[[#This Row],[Structures 100  Score (Normalized, Unweighted)]]*$I$3</f>
        <v>8.2733581801824971E-3</v>
      </c>
      <c r="L1029" s="246">
        <f>_xlfn.XLOOKUP(FME_Ranking1[[#This Row],[FME ID]],FME_Input[FME_ID],FME_Input[RES_STRUCT100])</f>
        <v>52</v>
      </c>
      <c r="M1029" s="230">
        <f>(FME_Ranking1[[#This Row],[Res Structures Raw]]/L$2)*100</f>
        <v>3.683189075094559E-2</v>
      </c>
      <c r="N1029" s="180">
        <f>FME_Ranking1[[#This Row],[Res Structures Score (Normalized, Unweighted)]]*$L$3</f>
        <v>3.683189075094559E-3</v>
      </c>
      <c r="O1029" s="244">
        <f>_xlfn.XLOOKUP(FME_Ranking1[[#This Row],[FME ID]],FME_Input[FME_ID],FME_Input[POP100])</f>
        <v>77</v>
      </c>
      <c r="P1029" s="178">
        <f>(FME_Ranking1[[#This Row],[Pop Raw]]/$O$2)*100</f>
        <v>7.8828990231347741E-3</v>
      </c>
      <c r="Q1029" s="178">
        <f>FME_Ranking1[[#This Row],[Pop Score (Normalized, Unweighted)]]*$O$3</f>
        <v>1.1824348534702162E-3</v>
      </c>
      <c r="R1029" s="137">
        <f>_xlfn.XLOOKUP(FME_Ranking1[[#This Row],[FME ID]],FME_Input[FME_ID],FME_Input[CRITFAC100])</f>
        <v>0</v>
      </c>
      <c r="S1029" s="230">
        <f>(FME_Ranking1[[#This Row],[Critical Facilities Raw]]/$R$2)*100</f>
        <v>0</v>
      </c>
      <c r="T1029" s="180">
        <f>FME_Ranking1[[#This Row],[Critical Facilities Score (Normalized, Unweighted)]]*$R$3</f>
        <v>0</v>
      </c>
      <c r="U1029">
        <f>_xlfn.XLOOKUP(FME_Ranking1[[#This Row],[FME ID]],FME_Input[FME_ID],FME_Input[LWC])</f>
        <v>4</v>
      </c>
      <c r="V1029" s="178">
        <f>(FME_Ranking1[[#This Row],[LWC Raw]]/$U$2)*100</f>
        <v>0.23028209556706969</v>
      </c>
      <c r="W1029" s="178">
        <f>FME_Ranking1[[#This Row],[LWC Score (Normalized, Unweighted)]]*$U$3</f>
        <v>4.6056419113413939E-2</v>
      </c>
      <c r="X1029" s="246">
        <f>_xlfn.XLOOKUP(FME_Ranking1[[#This Row],[FME ID]],FME_Input[FME_ID],FME_Input[ROADCLS])</f>
        <v>0</v>
      </c>
      <c r="Y1029" s="230">
        <f>(FME_Ranking1[[#This Row],[Closures Raw]]/$X$2)*100</f>
        <v>0</v>
      </c>
      <c r="Z1029" s="180">
        <f>FME_Ranking1[[#This Row],[Closures Score (Normalized, Unweighted)]]*$X$3</f>
        <v>0</v>
      </c>
      <c r="AA1029" s="253">
        <f>_xlfn.XLOOKUP(FME_Ranking1[[#This Row],[FME ID]],FME_Input[FME_ID],FME_Input[ROAD_MILES100])</f>
        <v>23.619352340698239</v>
      </c>
      <c r="AB1029" s="178">
        <f>(FME_Ranking1[[#This Row],[Miles Raw]]/$AA$2)*100</f>
        <v>0.31055211998296894</v>
      </c>
      <c r="AC1029" s="178">
        <f>FME_Ranking1[[#This Row],[Miles Score (Normalized, Unweighted)]]*$AA$3</f>
        <v>3.1055211998296896E-2</v>
      </c>
      <c r="AD1029" s="255">
        <f>_xlfn.XLOOKUP(FME_Ranking1[[#This Row],[FME ID]],FME_Input[FME_ID],FME_Input[FARMACRE100])</f>
        <v>13016.5703125</v>
      </c>
      <c r="AE1029" s="230">
        <f>(FME_Ranking1[[#This Row],[Ag Land Raw]]/$AD$2)*100</f>
        <v>0.53674509096247225</v>
      </c>
      <c r="AF1029" s="231">
        <f>FME_Ranking1[[#This Row],[Ag Land Score (Normalized, Unweighted)]]*$AD$3</f>
        <v>2.6837254548123614E-2</v>
      </c>
      <c r="AG102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0.11708786776858171</v>
      </c>
      <c r="AH1029" s="406">
        <f t="shared" si="15"/>
        <v>992</v>
      </c>
      <c r="AI102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0.11708786776858171</v>
      </c>
      <c r="AJ1029" s="257">
        <f>FME_Ranking1[[#This Row],[Addition check]]-FME_Ranking1[[#This Row],[Weighted Score Based on Normalized Reported Factors]]</f>
        <v>0</v>
      </c>
      <c r="AK1029" s="178">
        <f>_xlfn.RANK.EQ(AI1029,$AI$6:$AI$2341,0)+COUNTIF($AI$6:AI1029,AI1029)-1</f>
        <v>993</v>
      </c>
    </row>
    <row r="1030" spans="1:37" x14ac:dyDescent="0.25">
      <c r="A1030" t="s">
        <v>8247</v>
      </c>
      <c r="B1030">
        <f>_xlfn.XLOOKUP(FME_Ranking1[[#This Row],[FME ID]],FME_Input[FME_ID],FME_Input[RFPG_NUM])</f>
        <v>9</v>
      </c>
      <c r="C1030" t="str">
        <f>_xlfn.XLOOKUP(FME_Ranking1[[#This Row],[FME ID]],FME_Input[FME_ID],FME_Input[FME_NAME])</f>
        <v>Concho County GIS Development</v>
      </c>
      <c r="D1030" t="str">
        <f>_xlfn.XLOOKUP(FME_Ranking1[[#This Row],[FME ID]],FME_Input[FME_ID],FME_Input[DESCR])</f>
        <v>Develop a GIS inventory of stormwater infrastructure</v>
      </c>
      <c r="E1030" s="256">
        <f>_xlfn.XLOOKUP(FME_Ranking1[[#This Row],[FME ID]],FME_Input[FME_ID],FME_Input[FME_COST])</f>
        <v>100000</v>
      </c>
      <c r="F1030" t="str">
        <f>_xlfn.XLOOKUP(FME_Ranking1[[#This Row],[FME ID]],FME_Input[FME_ID],FME_Input[EMER_NEED])</f>
        <v>No</v>
      </c>
      <c r="G1030">
        <f>IF(FME_Ranking!F1030="Yes",100,0)</f>
        <v>0</v>
      </c>
      <c r="H1030">
        <f>FME_Ranking1[[#This Row],[Emergency Need Score (Normalized, Unweighted)]]*$F$3</f>
        <v>0</v>
      </c>
      <c r="I1030" s="246">
        <f>_xlfn.XLOOKUP(FME_Ranking1[[#This Row],[FME ID]],FME_Input[FME_ID],FME_Input[STRUCT_100])</f>
        <v>103</v>
      </c>
      <c r="J1030" s="178">
        <f>(FME_Ranking1[[#This Row],[Structures 100 Raw]]/I$2)*100</f>
        <v>5.5155721201216645E-2</v>
      </c>
      <c r="K1030" s="178">
        <f>FME_Ranking1[[#This Row],[Structures 100  Score (Normalized, Unweighted)]]*$I$3</f>
        <v>8.2733581801824971E-3</v>
      </c>
      <c r="L1030" s="246">
        <f>_xlfn.XLOOKUP(FME_Ranking1[[#This Row],[FME ID]],FME_Input[FME_ID],FME_Input[RES_STRUCT100])</f>
        <v>52</v>
      </c>
      <c r="M1030" s="230">
        <f>(FME_Ranking1[[#This Row],[Res Structures Raw]]/L$2)*100</f>
        <v>3.683189075094559E-2</v>
      </c>
      <c r="N1030" s="180">
        <f>FME_Ranking1[[#This Row],[Res Structures Score (Normalized, Unweighted)]]*$L$3</f>
        <v>3.683189075094559E-3</v>
      </c>
      <c r="O1030" s="244">
        <f>_xlfn.XLOOKUP(FME_Ranking1[[#This Row],[FME ID]],FME_Input[FME_ID],FME_Input[POP100])</f>
        <v>77</v>
      </c>
      <c r="P1030" s="178">
        <f>(FME_Ranking1[[#This Row],[Pop Raw]]/$O$2)*100</f>
        <v>7.8828990231347741E-3</v>
      </c>
      <c r="Q1030" s="178">
        <f>FME_Ranking1[[#This Row],[Pop Score (Normalized, Unweighted)]]*$O$3</f>
        <v>1.1824348534702162E-3</v>
      </c>
      <c r="R1030" s="137">
        <f>_xlfn.XLOOKUP(FME_Ranking1[[#This Row],[FME ID]],FME_Input[FME_ID],FME_Input[CRITFAC100])</f>
        <v>0</v>
      </c>
      <c r="S1030" s="230">
        <f>(FME_Ranking1[[#This Row],[Critical Facilities Raw]]/$R$2)*100</f>
        <v>0</v>
      </c>
      <c r="T1030" s="180">
        <f>FME_Ranking1[[#This Row],[Critical Facilities Score (Normalized, Unweighted)]]*$R$3</f>
        <v>0</v>
      </c>
      <c r="U1030">
        <f>_xlfn.XLOOKUP(FME_Ranking1[[#This Row],[FME ID]],FME_Input[FME_ID],FME_Input[LWC])</f>
        <v>4</v>
      </c>
      <c r="V1030" s="178">
        <f>(FME_Ranking1[[#This Row],[LWC Raw]]/$U$2)*100</f>
        <v>0.23028209556706969</v>
      </c>
      <c r="W1030" s="178">
        <f>FME_Ranking1[[#This Row],[LWC Score (Normalized, Unweighted)]]*$U$3</f>
        <v>4.6056419113413939E-2</v>
      </c>
      <c r="X1030" s="246">
        <f>_xlfn.XLOOKUP(FME_Ranking1[[#This Row],[FME ID]],FME_Input[FME_ID],FME_Input[ROADCLS])</f>
        <v>0</v>
      </c>
      <c r="Y1030" s="230">
        <f>(FME_Ranking1[[#This Row],[Closures Raw]]/$X$2)*100</f>
        <v>0</v>
      </c>
      <c r="Z1030" s="180">
        <f>FME_Ranking1[[#This Row],[Closures Score (Normalized, Unweighted)]]*$X$3</f>
        <v>0</v>
      </c>
      <c r="AA1030" s="253">
        <f>_xlfn.XLOOKUP(FME_Ranking1[[#This Row],[FME ID]],FME_Input[FME_ID],FME_Input[ROAD_MILES100])</f>
        <v>23.619352340698239</v>
      </c>
      <c r="AB1030" s="178">
        <f>(FME_Ranking1[[#This Row],[Miles Raw]]/$AA$2)*100</f>
        <v>0.31055211998296894</v>
      </c>
      <c r="AC1030" s="178">
        <f>FME_Ranking1[[#This Row],[Miles Score (Normalized, Unweighted)]]*$AA$3</f>
        <v>3.1055211998296896E-2</v>
      </c>
      <c r="AD1030" s="255">
        <f>_xlfn.XLOOKUP(FME_Ranking1[[#This Row],[FME ID]],FME_Input[FME_ID],FME_Input[FARMACRE100])</f>
        <v>13016.5703125</v>
      </c>
      <c r="AE1030" s="230">
        <f>(FME_Ranking1[[#This Row],[Ag Land Raw]]/$AD$2)*100</f>
        <v>0.53674509096247225</v>
      </c>
      <c r="AF1030" s="231">
        <f>FME_Ranking1[[#This Row],[Ag Land Score (Normalized, Unweighted)]]*$AD$3</f>
        <v>2.6837254548123614E-2</v>
      </c>
      <c r="AG103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0.11708786776858171</v>
      </c>
      <c r="AH1030" s="406">
        <f t="shared" ref="AH1030:AH1093" si="16">_xlfn.RANK.EQ(AG1030,$AG$6:$AG$2341,0)</f>
        <v>992</v>
      </c>
      <c r="AI103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0.11708786776858171</v>
      </c>
      <c r="AJ1030" s="257">
        <f>FME_Ranking1[[#This Row],[Addition check]]-FME_Ranking1[[#This Row],[Weighted Score Based on Normalized Reported Factors]]</f>
        <v>0</v>
      </c>
      <c r="AK1030" s="178">
        <f>_xlfn.RANK.EQ(AI1030,$AI$6:$AI$2341,0)+COUNTIF($AI$6:AI1030,AI1030)-1</f>
        <v>994</v>
      </c>
    </row>
    <row r="1031" spans="1:37" x14ac:dyDescent="0.25">
      <c r="A1031" t="s">
        <v>548</v>
      </c>
      <c r="B1031">
        <f>_xlfn.XLOOKUP(FME_Ranking1[[#This Row],[FME ID]],FME_Input[FME_ID],FME_Input[RFPG_NUM])</f>
        <v>10</v>
      </c>
      <c r="C1031" t="str">
        <f>_xlfn.XLOOKUP(FME_Ranking1[[#This Row],[FME ID]],FME_Input[FME_ID],FME_Input[FME_NAME])</f>
        <v>Harden City Buildings, Critical Infrastructure</v>
      </c>
      <c r="D1031" t="str">
        <f>_xlfn.XLOOKUP(FME_Ranking1[[#This Row],[FME ID]],FME_Input[FME_ID],FME_Input[DESCR])</f>
        <v xml:space="preserve">Harden city buildings, critical infrastructure_x000D_
</v>
      </c>
      <c r="E1031" s="256">
        <f>_xlfn.XLOOKUP(FME_Ranking1[[#This Row],[FME ID]],FME_Input[FME_ID],FME_Input[FME_COST])</f>
        <v>100000</v>
      </c>
      <c r="F1031" t="str">
        <f>_xlfn.XLOOKUP(FME_Ranking1[[#This Row],[FME ID]],FME_Input[FME_ID],FME_Input[EMER_NEED])</f>
        <v>No</v>
      </c>
      <c r="G1031">
        <f>IF(FME_Ranking!F1031="Yes",100,0)</f>
        <v>0</v>
      </c>
      <c r="H1031">
        <f>FME_Ranking1[[#This Row],[Emergency Need Score (Normalized, Unweighted)]]*$F$3</f>
        <v>0</v>
      </c>
      <c r="I1031" s="246">
        <f>_xlfn.XLOOKUP(FME_Ranking1[[#This Row],[FME ID]],FME_Input[FME_ID],FME_Input[STRUCT_100])</f>
        <v>368</v>
      </c>
      <c r="J1031" s="178">
        <f>(FME_Ranking1[[#This Row],[Structures 100 Raw]]/I$2)*100</f>
        <v>0.19706121749560895</v>
      </c>
      <c r="K1031" s="178">
        <f>FME_Ranking1[[#This Row],[Structures 100  Score (Normalized, Unweighted)]]*$I$3</f>
        <v>2.9559182624341342E-2</v>
      </c>
      <c r="L1031" s="246">
        <f>_xlfn.XLOOKUP(FME_Ranking1[[#This Row],[FME ID]],FME_Input[FME_ID],FME_Input[RES_STRUCT100])</f>
        <v>224</v>
      </c>
      <c r="M1031" s="230">
        <f>(FME_Ranking1[[#This Row],[Res Structures Raw]]/L$2)*100</f>
        <v>0.15866045246561178</v>
      </c>
      <c r="N1031" s="180">
        <f>FME_Ranking1[[#This Row],[Res Structures Score (Normalized, Unweighted)]]*$L$3</f>
        <v>1.586604524656118E-2</v>
      </c>
      <c r="O1031" s="244">
        <f>_xlfn.XLOOKUP(FME_Ranking1[[#This Row],[FME ID]],FME_Input[FME_ID],FME_Input[POP100])</f>
        <v>1942</v>
      </c>
      <c r="P1031" s="178">
        <f>(FME_Ranking1[[#This Row],[Pop Raw]]/$O$2)*100</f>
        <v>0.19881285588217831</v>
      </c>
      <c r="Q1031" s="178">
        <f>FME_Ranking1[[#This Row],[Pop Score (Normalized, Unweighted)]]*$O$3</f>
        <v>2.9821928382326744E-2</v>
      </c>
      <c r="R1031" s="137">
        <f>_xlfn.XLOOKUP(FME_Ranking1[[#This Row],[FME ID]],FME_Input[FME_ID],FME_Input[CRITFAC100])</f>
        <v>1</v>
      </c>
      <c r="S1031" s="230">
        <f>(FME_Ranking1[[#This Row],[Critical Facilities Raw]]/$R$2)*100</f>
        <v>4.2881646655231559E-2</v>
      </c>
      <c r="T1031" s="180">
        <f>FME_Ranking1[[#This Row],[Critical Facilities Score (Normalized, Unweighted)]]*$R$3</f>
        <v>8.5763293310463125E-3</v>
      </c>
      <c r="U1031">
        <f>_xlfn.XLOOKUP(FME_Ranking1[[#This Row],[FME ID]],FME_Input[FME_ID],FME_Input[LWC])</f>
        <v>0</v>
      </c>
      <c r="V1031" s="178">
        <f>(FME_Ranking1[[#This Row],[LWC Raw]]/$U$2)*100</f>
        <v>0</v>
      </c>
      <c r="W1031" s="178">
        <f>FME_Ranking1[[#This Row],[LWC Score (Normalized, Unweighted)]]*$U$3</f>
        <v>0</v>
      </c>
      <c r="X1031" s="246">
        <f>_xlfn.XLOOKUP(FME_Ranking1[[#This Row],[FME ID]],FME_Input[FME_ID],FME_Input[ROADCLS])</f>
        <v>0</v>
      </c>
      <c r="Y1031" s="230">
        <f>(FME_Ranking1[[#This Row],[Closures Raw]]/$X$2)*100</f>
        <v>0</v>
      </c>
      <c r="Z1031" s="180">
        <f>FME_Ranking1[[#This Row],[Closures Score (Normalized, Unweighted)]]*$X$3</f>
        <v>0</v>
      </c>
      <c r="AA1031" s="253">
        <f>_xlfn.XLOOKUP(FME_Ranking1[[#This Row],[FME ID]],FME_Input[FME_ID],FME_Input[ROAD_MILES100])</f>
        <v>0</v>
      </c>
      <c r="AB1031" s="178">
        <f>(FME_Ranking1[[#This Row],[Miles Raw]]/$AA$2)*100</f>
        <v>0</v>
      </c>
      <c r="AC1031" s="178">
        <f>FME_Ranking1[[#This Row],[Miles Score (Normalized, Unweighted)]]*$AA$3</f>
        <v>0</v>
      </c>
      <c r="AD1031" s="255">
        <f>_xlfn.XLOOKUP(FME_Ranking1[[#This Row],[FME ID]],FME_Input[FME_ID],FME_Input[FARMACRE100])</f>
        <v>849.0537109375</v>
      </c>
      <c r="AE1031" s="230">
        <f>(FME_Ranking1[[#This Row],[Ag Land Raw]]/$AD$2)*100</f>
        <v>3.5011174246992953E-2</v>
      </c>
      <c r="AF1031" s="231">
        <f>FME_Ranking1[[#This Row],[Ag Land Score (Normalized, Unweighted)]]*$AD$3</f>
        <v>1.7505587123496477E-3</v>
      </c>
      <c r="AG103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8.5574044296625226E-2</v>
      </c>
      <c r="AH1031" s="406">
        <f t="shared" si="16"/>
        <v>1114</v>
      </c>
      <c r="AI103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8.5574044296625226E-2</v>
      </c>
      <c r="AJ1031" s="257">
        <f>FME_Ranking1[[#This Row],[Addition check]]-FME_Ranking1[[#This Row],[Weighted Score Based on Normalized Reported Factors]]</f>
        <v>0</v>
      </c>
      <c r="AK1031" s="178">
        <f>_xlfn.RANK.EQ(AI1031,$AI$6:$AI$2341,0)+COUNTIF($AI$6:AI1031,AI1031)-1</f>
        <v>1114</v>
      </c>
    </row>
    <row r="1032" spans="1:37" x14ac:dyDescent="0.25">
      <c r="A1032" t="s">
        <v>3541</v>
      </c>
      <c r="B1032">
        <f>_xlfn.XLOOKUP(FME_Ranking1[[#This Row],[FME ID]],FME_Input[FME_ID],FME_Input[RFPG_NUM])</f>
        <v>2</v>
      </c>
      <c r="C1032" t="str">
        <f>_xlfn.XLOOKUP(FME_Ranking1[[#This Row],[FME ID]],FME_Input[FME_ID],FME_Input[FME_NAME])</f>
        <v>Camp County FIS</v>
      </c>
      <c r="D1032" t="str">
        <f>_xlfn.XLOOKUP(FME_Ranking1[[#This Row],[FME ID]],FME_Input[FME_ID],FME_Input[DESCR])</f>
        <v>Develop FIS for the County</v>
      </c>
      <c r="E1032" s="256">
        <f>_xlfn.XLOOKUP(FME_Ranking1[[#This Row],[FME ID]],FME_Input[FME_ID],FME_Input[FME_COST])</f>
        <v>465000</v>
      </c>
      <c r="F1032" t="str">
        <f>_xlfn.XLOOKUP(FME_Ranking1[[#This Row],[FME ID]],FME_Input[FME_ID],FME_Input[EMER_NEED])</f>
        <v>No</v>
      </c>
      <c r="G1032">
        <f>IF(FME_Ranking!F1032="Yes",100,0)</f>
        <v>0</v>
      </c>
      <c r="H1032">
        <f>FME_Ranking1[[#This Row],[Emergency Need Score (Normalized, Unweighted)]]*$F$3</f>
        <v>0</v>
      </c>
      <c r="I1032" s="246">
        <f>_xlfn.XLOOKUP(FME_Ranking1[[#This Row],[FME ID]],FME_Input[FME_ID],FME_Input[STRUCT_100])</f>
        <v>256</v>
      </c>
      <c r="J1032" s="178">
        <f>(FME_Ranking1[[#This Row],[Structures 100 Raw]]/I$2)*100</f>
        <v>0.13708606434477147</v>
      </c>
      <c r="K1032" s="178">
        <f>FME_Ranking1[[#This Row],[Structures 100  Score (Normalized, Unweighted)]]*$I$3</f>
        <v>2.056290965171572E-2</v>
      </c>
      <c r="L1032" s="246">
        <f>_xlfn.XLOOKUP(FME_Ranking1[[#This Row],[FME ID]],FME_Input[FME_ID],FME_Input[RES_STRUCT100])</f>
        <v>124</v>
      </c>
      <c r="M1032" s="230">
        <f>(FME_Ranking1[[#This Row],[Res Structures Raw]]/L$2)*100</f>
        <v>8.7829893329177941E-2</v>
      </c>
      <c r="N1032" s="180">
        <f>FME_Ranking1[[#This Row],[Res Structures Score (Normalized, Unweighted)]]*$L$3</f>
        <v>8.7829893329177938E-3</v>
      </c>
      <c r="O1032" s="244">
        <f>_xlfn.XLOOKUP(FME_Ranking1[[#This Row],[FME ID]],FME_Input[FME_ID],FME_Input[POP100])</f>
        <v>619</v>
      </c>
      <c r="P1032" s="178">
        <f>(FME_Ranking1[[#This Row],[Pop Raw]]/$O$2)*100</f>
        <v>6.3370318121044475E-2</v>
      </c>
      <c r="Q1032" s="178">
        <f>FME_Ranking1[[#This Row],[Pop Score (Normalized, Unweighted)]]*$O$3</f>
        <v>9.5055477181566709E-3</v>
      </c>
      <c r="R1032" s="137">
        <f>_xlfn.XLOOKUP(FME_Ranking1[[#This Row],[FME ID]],FME_Input[FME_ID],FME_Input[CRITFAC100])</f>
        <v>4</v>
      </c>
      <c r="S1032" s="230">
        <f>(FME_Ranking1[[#This Row],[Critical Facilities Raw]]/$R$2)*100</f>
        <v>0.17152658662092624</v>
      </c>
      <c r="T1032" s="180">
        <f>FME_Ranking1[[#This Row],[Critical Facilities Score (Normalized, Unweighted)]]*$R$3</f>
        <v>3.430531732418525E-2</v>
      </c>
      <c r="U1032">
        <f>_xlfn.XLOOKUP(FME_Ranking1[[#This Row],[FME ID]],FME_Input[FME_ID],FME_Input[LWC])</f>
        <v>1</v>
      </c>
      <c r="V1032" s="178">
        <f>(FME_Ranking1[[#This Row],[LWC Raw]]/$U$2)*100</f>
        <v>5.7570523891767422E-2</v>
      </c>
      <c r="W1032" s="178">
        <f>FME_Ranking1[[#This Row],[LWC Score (Normalized, Unweighted)]]*$U$3</f>
        <v>1.1514104778353485E-2</v>
      </c>
      <c r="X1032" s="246">
        <f>_xlfn.XLOOKUP(FME_Ranking1[[#This Row],[FME ID]],FME_Input[FME_ID],FME_Input[ROADCLS])</f>
        <v>0</v>
      </c>
      <c r="Y1032" s="230">
        <f>(FME_Ranking1[[#This Row],[Closures Raw]]/$X$2)*100</f>
        <v>0</v>
      </c>
      <c r="Z1032" s="180">
        <f>FME_Ranking1[[#This Row],[Closures Score (Normalized, Unweighted)]]*$X$3</f>
        <v>0</v>
      </c>
      <c r="AA1032" s="253">
        <f>_xlfn.XLOOKUP(FME_Ranking1[[#This Row],[FME ID]],FME_Input[FME_ID],FME_Input[ROAD_MILES100])</f>
        <v>29.887327194213871</v>
      </c>
      <c r="AB1032" s="178">
        <f>(FME_Ranking1[[#This Row],[Miles Raw]]/$AA$2)*100</f>
        <v>0.39296474716602547</v>
      </c>
      <c r="AC1032" s="178">
        <f>FME_Ranking1[[#This Row],[Miles Score (Normalized, Unweighted)]]*$AA$3</f>
        <v>3.9296474716602553E-2</v>
      </c>
      <c r="AD1032" s="255">
        <f>_xlfn.XLOOKUP(FME_Ranking1[[#This Row],[FME ID]],FME_Input[FME_ID],FME_Input[FARMACRE100])</f>
        <v>359.068359375</v>
      </c>
      <c r="AE1032" s="230">
        <f>(FME_Ranking1[[#This Row],[Ag Land Raw]]/$AD$2)*100</f>
        <v>1.4806371769789493E-2</v>
      </c>
      <c r="AF1032" s="231">
        <f>FME_Ranking1[[#This Row],[Ag Land Score (Normalized, Unweighted)]]*$AD$3</f>
        <v>7.4031858848947472E-4</v>
      </c>
      <c r="AG103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0.12470766211042095</v>
      </c>
      <c r="AH1032" s="406">
        <f t="shared" si="16"/>
        <v>969</v>
      </c>
      <c r="AI103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0.12470766211042095</v>
      </c>
      <c r="AJ1032" s="257">
        <f>FME_Ranking1[[#This Row],[Addition check]]-FME_Ranking1[[#This Row],[Weighted Score Based on Normalized Reported Factors]]</f>
        <v>0</v>
      </c>
      <c r="AK1032" s="178">
        <f>_xlfn.RANK.EQ(AI1032,$AI$6:$AI$2341,0)+COUNTIF($AI$6:AI1032,AI1032)-1</f>
        <v>969</v>
      </c>
    </row>
    <row r="1033" spans="1:37" x14ac:dyDescent="0.25">
      <c r="A1033" t="s">
        <v>6446</v>
      </c>
      <c r="B1033">
        <f>_xlfn.XLOOKUP(FME_Ranking1[[#This Row],[FME ID]],FME_Input[FME_ID],FME_Input[RFPG_NUM])</f>
        <v>5</v>
      </c>
      <c r="C1033" t="str">
        <f>_xlfn.XLOOKUP(FME_Ranking1[[#This Row],[FME ID]],FME_Input[FME_ID],FME_Input[FME_NAME])</f>
        <v>Hardin County Coon Marsh Gully Drainage Improvements</v>
      </c>
      <c r="D1033" t="str">
        <f>_xlfn.XLOOKUP(FME_Ranking1[[#This Row],[FME ID]],FME_Input[FME_ID],FME_Input[DESCR])</f>
        <v>H&amp;H Study to identify alternatives for improving existing drainage within Marsh Gully</v>
      </c>
      <c r="E1033" s="256">
        <f>_xlfn.XLOOKUP(FME_Ranking1[[#This Row],[FME ID]],FME_Input[FME_ID],FME_Input[FME_COST])</f>
        <v>300000</v>
      </c>
      <c r="F1033" t="str">
        <f>_xlfn.XLOOKUP(FME_Ranking1[[#This Row],[FME ID]],FME_Input[FME_ID],FME_Input[EMER_NEED])</f>
        <v>Yes</v>
      </c>
      <c r="G1033">
        <f>IF(FME_Ranking!F1033="Yes",100,0)</f>
        <v>100</v>
      </c>
      <c r="H1033">
        <f>FME_Ranking1[[#This Row],[Emergency Need Score (Normalized, Unweighted)]]*$F$3</f>
        <v>0</v>
      </c>
      <c r="I1033" s="246">
        <f>_xlfn.XLOOKUP(FME_Ranking1[[#This Row],[FME ID]],FME_Input[FME_ID],FME_Input[STRUCT_100])</f>
        <v>285</v>
      </c>
      <c r="J1033" s="178">
        <f>(FME_Ranking1[[#This Row],[Structures 100 Raw]]/I$2)*100</f>
        <v>0.1526153450713276</v>
      </c>
      <c r="K1033" s="178">
        <f>FME_Ranking1[[#This Row],[Structures 100  Score (Normalized, Unweighted)]]*$I$3</f>
        <v>2.2892301760699139E-2</v>
      </c>
      <c r="L1033" s="246">
        <f>_xlfn.XLOOKUP(FME_Ranking1[[#This Row],[FME ID]],FME_Input[FME_ID],FME_Input[RES_STRUCT100])</f>
        <v>226</v>
      </c>
      <c r="M1033" s="230">
        <f>(FME_Ranking1[[#This Row],[Res Structures Raw]]/L$2)*100</f>
        <v>0.16007706364834046</v>
      </c>
      <c r="N1033" s="180">
        <f>FME_Ranking1[[#This Row],[Res Structures Score (Normalized, Unweighted)]]*$L$3</f>
        <v>1.6007706364834045E-2</v>
      </c>
      <c r="O1033" s="244">
        <f>_xlfn.XLOOKUP(FME_Ranking1[[#This Row],[FME ID]],FME_Input[FME_ID],FME_Input[POP100])</f>
        <v>878</v>
      </c>
      <c r="P1033" s="178">
        <f>(FME_Ranking1[[#This Row],[Pop Raw]]/$O$2)*100</f>
        <v>8.9885523926134164E-2</v>
      </c>
      <c r="Q1033" s="178">
        <f>FME_Ranking1[[#This Row],[Pop Score (Normalized, Unweighted)]]*$O$3</f>
        <v>1.3482828588920125E-2</v>
      </c>
      <c r="R1033" s="137">
        <f>_xlfn.XLOOKUP(FME_Ranking1[[#This Row],[FME ID]],FME_Input[FME_ID],FME_Input[CRITFAC100])</f>
        <v>1</v>
      </c>
      <c r="S1033" s="230">
        <f>(FME_Ranking1[[#This Row],[Critical Facilities Raw]]/$R$2)*100</f>
        <v>4.2881646655231559E-2</v>
      </c>
      <c r="T1033" s="180">
        <f>FME_Ranking1[[#This Row],[Critical Facilities Score (Normalized, Unweighted)]]*$R$3</f>
        <v>8.5763293310463125E-3</v>
      </c>
      <c r="U1033">
        <f>_xlfn.XLOOKUP(FME_Ranking1[[#This Row],[FME ID]],FME_Input[FME_ID],FME_Input[LWC])</f>
        <v>2</v>
      </c>
      <c r="V1033" s="178">
        <f>(FME_Ranking1[[#This Row],[LWC Raw]]/$U$2)*100</f>
        <v>0.11514104778353484</v>
      </c>
      <c r="W1033" s="178">
        <f>FME_Ranking1[[#This Row],[LWC Score (Normalized, Unweighted)]]*$U$3</f>
        <v>2.302820955670697E-2</v>
      </c>
      <c r="X1033" s="246">
        <f>_xlfn.XLOOKUP(FME_Ranking1[[#This Row],[FME ID]],FME_Input[FME_ID],FME_Input[ROADCLS])</f>
        <v>2</v>
      </c>
      <c r="Y1033" s="230">
        <f>(FME_Ranking1[[#This Row],[Closures Raw]]/$X$2)*100</f>
        <v>2.1028283040689728E-2</v>
      </c>
      <c r="Z1033" s="180">
        <f>FME_Ranking1[[#This Row],[Closures Score (Normalized, Unweighted)]]*$X$3</f>
        <v>1.0514141520344864E-3</v>
      </c>
      <c r="AA1033" s="253">
        <f>_xlfn.XLOOKUP(FME_Ranking1[[#This Row],[FME ID]],FME_Input[FME_ID],FME_Input[ROAD_MILES100])</f>
        <v>5.8364043235778809</v>
      </c>
      <c r="AB1033" s="178">
        <f>(FME_Ranking1[[#This Row],[Miles Raw]]/$AA$2)*100</f>
        <v>7.6738248772459564E-2</v>
      </c>
      <c r="AC1033" s="178">
        <f>FME_Ranking1[[#This Row],[Miles Score (Normalized, Unweighted)]]*$AA$3</f>
        <v>7.6738248772459565E-3</v>
      </c>
      <c r="AD1033" s="255">
        <f>_xlfn.XLOOKUP(FME_Ranking1[[#This Row],[FME ID]],FME_Input[FME_ID],FME_Input[FARMACRE100])</f>
        <v>9.9596338272094727</v>
      </c>
      <c r="AE1033" s="230">
        <f>(FME_Ranking1[[#This Row],[Ag Land Raw]]/$AD$2)*100</f>
        <v>4.1069071469654567E-4</v>
      </c>
      <c r="AF1033" s="231">
        <f>FME_Ranking1[[#This Row],[Ag Land Score (Normalized, Unweighted)]]*$AD$3</f>
        <v>2.0534535734827286E-5</v>
      </c>
      <c r="AG103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9.2733149167221848E-2</v>
      </c>
      <c r="AH1033" s="406">
        <f t="shared" si="16"/>
        <v>1082</v>
      </c>
      <c r="AI103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9.2733149167221848E-2</v>
      </c>
      <c r="AJ1033" s="257">
        <f>FME_Ranking1[[#This Row],[Addition check]]-FME_Ranking1[[#This Row],[Weighted Score Based on Normalized Reported Factors]]</f>
        <v>0</v>
      </c>
      <c r="AK1033" s="178">
        <f>_xlfn.RANK.EQ(AI1033,$AI$6:$AI$2341,0)+COUNTIF($AI$6:AI1033,AI1033)-1</f>
        <v>1082</v>
      </c>
    </row>
    <row r="1034" spans="1:37" x14ac:dyDescent="0.25">
      <c r="A1034" t="s">
        <v>6564</v>
      </c>
      <c r="B1034">
        <f>_xlfn.XLOOKUP(FME_Ranking1[[#This Row],[FME ID]],FME_Input[FME_ID],FME_Input[RFPG_NUM])</f>
        <v>7</v>
      </c>
      <c r="C1034" t="str">
        <f>_xlfn.XLOOKUP(FME_Ranking1[[#This Row],[FME ID]],FME_Input[FME_ID],FME_Input[FME_NAME])</f>
        <v>Scurry County Update FEMA Mapping</v>
      </c>
      <c r="D1034" t="str">
        <f>_xlfn.XLOOKUP(FME_Ranking1[[#This Row],[FME ID]],FME_Input[FME_ID],FME_Input[DESCR])</f>
        <v>Update existing FEMA mapping</v>
      </c>
      <c r="E1034" s="256">
        <f>_xlfn.XLOOKUP(FME_Ranking1[[#This Row],[FME ID]],FME_Input[FME_ID],FME_Input[FME_COST])</f>
        <v>897000</v>
      </c>
      <c r="F1034" t="str">
        <f>_xlfn.XLOOKUP(FME_Ranking1[[#This Row],[FME ID]],FME_Input[FME_ID],FME_Input[EMER_NEED])</f>
        <v>No</v>
      </c>
      <c r="G1034">
        <f>IF(FME_Ranking!F1034="Yes",100,0)</f>
        <v>0</v>
      </c>
      <c r="H1034">
        <f>FME_Ranking1[[#This Row],[Emergency Need Score (Normalized, Unweighted)]]*$F$3</f>
        <v>0</v>
      </c>
      <c r="I1034" s="246">
        <f>_xlfn.XLOOKUP(FME_Ranking1[[#This Row],[FME ID]],FME_Input[FME_ID],FME_Input[STRUCT_100])</f>
        <v>13</v>
      </c>
      <c r="J1034" s="178">
        <f>(FME_Ranking1[[#This Row],[Structures 100 Raw]]/I$2)*100</f>
        <v>6.961401705007926E-3</v>
      </c>
      <c r="K1034" s="178">
        <f>FME_Ranking1[[#This Row],[Structures 100  Score (Normalized, Unweighted)]]*$I$3</f>
        <v>1.0442102557511889E-3</v>
      </c>
      <c r="L1034" s="246">
        <f>_xlfn.XLOOKUP(FME_Ranking1[[#This Row],[FME ID]],FME_Input[FME_ID],FME_Input[RES_STRUCT100])</f>
        <v>2</v>
      </c>
      <c r="M1034" s="230">
        <f>(FME_Ranking1[[#This Row],[Res Structures Raw]]/L$2)*100</f>
        <v>1.4166111827286765E-3</v>
      </c>
      <c r="N1034" s="180">
        <f>FME_Ranking1[[#This Row],[Res Structures Score (Normalized, Unweighted)]]*$L$3</f>
        <v>1.4166111827286767E-4</v>
      </c>
      <c r="O1034" s="244">
        <f>_xlfn.XLOOKUP(FME_Ranking1[[#This Row],[FME ID]],FME_Input[FME_ID],FME_Input[POP100])</f>
        <v>23</v>
      </c>
      <c r="P1034" s="178">
        <f>(FME_Ranking1[[#This Row],[Pop Raw]]/$O$2)*100</f>
        <v>2.3546321757415556E-3</v>
      </c>
      <c r="Q1034" s="178">
        <f>FME_Ranking1[[#This Row],[Pop Score (Normalized, Unweighted)]]*$O$3</f>
        <v>3.5319482636123333E-4</v>
      </c>
      <c r="R1034" s="137">
        <f>_xlfn.XLOOKUP(FME_Ranking1[[#This Row],[FME ID]],FME_Input[FME_ID],FME_Input[CRITFAC100])</f>
        <v>0</v>
      </c>
      <c r="S1034" s="230">
        <f>(FME_Ranking1[[#This Row],[Critical Facilities Raw]]/$R$2)*100</f>
        <v>0</v>
      </c>
      <c r="T1034" s="180">
        <f>FME_Ranking1[[#This Row],[Critical Facilities Score (Normalized, Unweighted)]]*$R$3</f>
        <v>0</v>
      </c>
      <c r="U1034">
        <f>_xlfn.XLOOKUP(FME_Ranking1[[#This Row],[FME ID]],FME_Input[FME_ID],FME_Input[LWC])</f>
        <v>6</v>
      </c>
      <c r="V1034" s="178">
        <f>(FME_Ranking1[[#This Row],[LWC Raw]]/$U$2)*100</f>
        <v>0.34542314335060448</v>
      </c>
      <c r="W1034" s="178">
        <f>FME_Ranking1[[#This Row],[LWC Score (Normalized, Unweighted)]]*$U$3</f>
        <v>6.9084628670120898E-2</v>
      </c>
      <c r="X1034" s="246">
        <f>_xlfn.XLOOKUP(FME_Ranking1[[#This Row],[FME ID]],FME_Input[FME_ID],FME_Input[ROADCLS])</f>
        <v>0</v>
      </c>
      <c r="Y1034" s="230">
        <f>(FME_Ranking1[[#This Row],[Closures Raw]]/$X$2)*100</f>
        <v>0</v>
      </c>
      <c r="Z1034" s="180">
        <f>FME_Ranking1[[#This Row],[Closures Score (Normalized, Unweighted)]]*$X$3</f>
        <v>0</v>
      </c>
      <c r="AA1034" s="253">
        <f>_xlfn.XLOOKUP(FME_Ranking1[[#This Row],[FME ID]],FME_Input[FME_ID],FME_Input[ROAD_MILES100])</f>
        <v>17.881149291992191</v>
      </c>
      <c r="AB1034" s="178">
        <f>(FME_Ranking1[[#This Row],[Miles Raw]]/$AA$2)*100</f>
        <v>0.23510504184281875</v>
      </c>
      <c r="AC1034" s="178">
        <f>FME_Ranking1[[#This Row],[Miles Score (Normalized, Unweighted)]]*$AA$3</f>
        <v>2.3510504184281876E-2</v>
      </c>
      <c r="AD1034" s="255">
        <f>_xlfn.XLOOKUP(FME_Ranking1[[#This Row],[FME ID]],FME_Input[FME_ID],FME_Input[FARMACRE100])</f>
        <v>6805.37255859375</v>
      </c>
      <c r="AE1034" s="230">
        <f>(FME_Ranking1[[#This Row],[Ag Land Raw]]/$AD$2)*100</f>
        <v>0.28062310004103969</v>
      </c>
      <c r="AF1034" s="231">
        <f>FME_Ranking1[[#This Row],[Ag Land Score (Normalized, Unweighted)]]*$AD$3</f>
        <v>1.4031155002051985E-2</v>
      </c>
      <c r="AG103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0.10816535405684005</v>
      </c>
      <c r="AH1034" s="406">
        <f t="shared" si="16"/>
        <v>1021</v>
      </c>
      <c r="AI103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0.10816535405684005</v>
      </c>
      <c r="AJ1034" s="257">
        <f>FME_Ranking1[[#This Row],[Addition check]]-FME_Ranking1[[#This Row],[Weighted Score Based on Normalized Reported Factors]]</f>
        <v>0</v>
      </c>
      <c r="AK1034" s="178">
        <f>_xlfn.RANK.EQ(AI1034,$AI$6:$AI$2341,0)+COUNTIF($AI$6:AI1034,AI1034)-1</f>
        <v>1021</v>
      </c>
    </row>
    <row r="1035" spans="1:37" x14ac:dyDescent="0.25">
      <c r="A1035" t="s">
        <v>6572</v>
      </c>
      <c r="B1035">
        <f>_xlfn.XLOOKUP(FME_Ranking1[[#This Row],[FME ID]],FME_Input[FME_ID],FME_Input[RFPG_NUM])</f>
        <v>7</v>
      </c>
      <c r="C1035" t="str">
        <f>_xlfn.XLOOKUP(FME_Ranking1[[#This Row],[FME ID]],FME_Input[FME_ID],FME_Input[FME_NAME])</f>
        <v>Scurry County DMP</v>
      </c>
      <c r="D1035" t="str">
        <f>_xlfn.XLOOKUP(FME_Ranking1[[#This Row],[FME ID]],FME_Input[FME_ID],FME_Input[DESCR])</f>
        <v>Evaluate county to identify future projects, analyze roads/stream crossing for emergency response vehicles to high hazard areas</v>
      </c>
      <c r="E1035" s="256">
        <f>_xlfn.XLOOKUP(FME_Ranking1[[#This Row],[FME ID]],FME_Input[FME_ID],FME_Input[FME_COST])</f>
        <v>500000</v>
      </c>
      <c r="F1035" t="str">
        <f>_xlfn.XLOOKUP(FME_Ranking1[[#This Row],[FME ID]],FME_Input[FME_ID],FME_Input[EMER_NEED])</f>
        <v>No</v>
      </c>
      <c r="G1035">
        <f>IF(FME_Ranking!F1035="Yes",100,0)</f>
        <v>0</v>
      </c>
      <c r="H1035">
        <f>FME_Ranking1[[#This Row],[Emergency Need Score (Normalized, Unweighted)]]*$F$3</f>
        <v>0</v>
      </c>
      <c r="I1035" s="246">
        <f>_xlfn.XLOOKUP(FME_Ranking1[[#This Row],[FME ID]],FME_Input[FME_ID],FME_Input[STRUCT_100])</f>
        <v>13</v>
      </c>
      <c r="J1035" s="178">
        <f>(FME_Ranking1[[#This Row],[Structures 100 Raw]]/I$2)*100</f>
        <v>6.961401705007926E-3</v>
      </c>
      <c r="K1035" s="178">
        <f>FME_Ranking1[[#This Row],[Structures 100  Score (Normalized, Unweighted)]]*$I$3</f>
        <v>1.0442102557511889E-3</v>
      </c>
      <c r="L1035" s="246">
        <f>_xlfn.XLOOKUP(FME_Ranking1[[#This Row],[FME ID]],FME_Input[FME_ID],FME_Input[RES_STRUCT100])</f>
        <v>2</v>
      </c>
      <c r="M1035" s="230">
        <f>(FME_Ranking1[[#This Row],[Res Structures Raw]]/L$2)*100</f>
        <v>1.4166111827286765E-3</v>
      </c>
      <c r="N1035" s="180">
        <f>FME_Ranking1[[#This Row],[Res Structures Score (Normalized, Unweighted)]]*$L$3</f>
        <v>1.4166111827286767E-4</v>
      </c>
      <c r="O1035" s="244">
        <f>_xlfn.XLOOKUP(FME_Ranking1[[#This Row],[FME ID]],FME_Input[FME_ID],FME_Input[POP100])</f>
        <v>23</v>
      </c>
      <c r="P1035" s="178">
        <f>(FME_Ranking1[[#This Row],[Pop Raw]]/$O$2)*100</f>
        <v>2.3546321757415556E-3</v>
      </c>
      <c r="Q1035" s="178">
        <f>FME_Ranking1[[#This Row],[Pop Score (Normalized, Unweighted)]]*$O$3</f>
        <v>3.5319482636123333E-4</v>
      </c>
      <c r="R1035" s="137">
        <f>_xlfn.XLOOKUP(FME_Ranking1[[#This Row],[FME ID]],FME_Input[FME_ID],FME_Input[CRITFAC100])</f>
        <v>0</v>
      </c>
      <c r="S1035" s="230">
        <f>(FME_Ranking1[[#This Row],[Critical Facilities Raw]]/$R$2)*100</f>
        <v>0</v>
      </c>
      <c r="T1035" s="180">
        <f>FME_Ranking1[[#This Row],[Critical Facilities Score (Normalized, Unweighted)]]*$R$3</f>
        <v>0</v>
      </c>
      <c r="U1035">
        <f>_xlfn.XLOOKUP(FME_Ranking1[[#This Row],[FME ID]],FME_Input[FME_ID],FME_Input[LWC])</f>
        <v>6</v>
      </c>
      <c r="V1035" s="178">
        <f>(FME_Ranking1[[#This Row],[LWC Raw]]/$U$2)*100</f>
        <v>0.34542314335060448</v>
      </c>
      <c r="W1035" s="178">
        <f>FME_Ranking1[[#This Row],[LWC Score (Normalized, Unweighted)]]*$U$3</f>
        <v>6.9084628670120898E-2</v>
      </c>
      <c r="X1035" s="246">
        <f>_xlfn.XLOOKUP(FME_Ranking1[[#This Row],[FME ID]],FME_Input[FME_ID],FME_Input[ROADCLS])</f>
        <v>0</v>
      </c>
      <c r="Y1035" s="230">
        <f>(FME_Ranking1[[#This Row],[Closures Raw]]/$X$2)*100</f>
        <v>0</v>
      </c>
      <c r="Z1035" s="180">
        <f>FME_Ranking1[[#This Row],[Closures Score (Normalized, Unweighted)]]*$X$3</f>
        <v>0</v>
      </c>
      <c r="AA1035" s="253">
        <f>_xlfn.XLOOKUP(FME_Ranking1[[#This Row],[FME ID]],FME_Input[FME_ID],FME_Input[ROAD_MILES100])</f>
        <v>17.881149291992191</v>
      </c>
      <c r="AB1035" s="178">
        <f>(FME_Ranking1[[#This Row],[Miles Raw]]/$AA$2)*100</f>
        <v>0.23510504184281875</v>
      </c>
      <c r="AC1035" s="178">
        <f>FME_Ranking1[[#This Row],[Miles Score (Normalized, Unweighted)]]*$AA$3</f>
        <v>2.3510504184281876E-2</v>
      </c>
      <c r="AD1035" s="255">
        <f>_xlfn.XLOOKUP(FME_Ranking1[[#This Row],[FME ID]],FME_Input[FME_ID],FME_Input[FARMACRE100])</f>
        <v>6805.37255859375</v>
      </c>
      <c r="AE1035" s="230">
        <f>(FME_Ranking1[[#This Row],[Ag Land Raw]]/$AD$2)*100</f>
        <v>0.28062310004103969</v>
      </c>
      <c r="AF1035" s="231">
        <f>FME_Ranking1[[#This Row],[Ag Land Score (Normalized, Unweighted)]]*$AD$3</f>
        <v>1.4031155002051985E-2</v>
      </c>
      <c r="AG103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0.10816535405684005</v>
      </c>
      <c r="AH1035" s="406">
        <f t="shared" si="16"/>
        <v>1021</v>
      </c>
      <c r="AI103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0.10816535405684005</v>
      </c>
      <c r="AJ1035" s="257">
        <f>FME_Ranking1[[#This Row],[Addition check]]-FME_Ranking1[[#This Row],[Weighted Score Based on Normalized Reported Factors]]</f>
        <v>0</v>
      </c>
      <c r="AK1035" s="178">
        <f>_xlfn.RANK.EQ(AI1035,$AI$6:$AI$2341,0)+COUNTIF($AI$6:AI1035,AI1035)-1</f>
        <v>1022</v>
      </c>
    </row>
    <row r="1036" spans="1:37" x14ac:dyDescent="0.25">
      <c r="A1036" t="s">
        <v>6575</v>
      </c>
      <c r="B1036">
        <f>_xlfn.XLOOKUP(FME_Ranking1[[#This Row],[FME ID]],FME_Input[FME_ID],FME_Input[RFPG_NUM])</f>
        <v>7</v>
      </c>
      <c r="C1036" t="str">
        <f>_xlfn.XLOOKUP(FME_Ranking1[[#This Row],[FME ID]],FME_Input[FME_ID],FME_Input[FME_NAME])</f>
        <v>Scurry County GIS Development</v>
      </c>
      <c r="D1036" t="str">
        <f>_xlfn.XLOOKUP(FME_Ranking1[[#This Row],[FME ID]],FME_Input[FME_ID],FME_Input[DESCR])</f>
        <v>Develop a GIS inventory of stormwater infrastructure</v>
      </c>
      <c r="E1036" s="256">
        <f>_xlfn.XLOOKUP(FME_Ranking1[[#This Row],[FME ID]],FME_Input[FME_ID],FME_Input[FME_COST])</f>
        <v>100000</v>
      </c>
      <c r="F1036" t="str">
        <f>_xlfn.XLOOKUP(FME_Ranking1[[#This Row],[FME ID]],FME_Input[FME_ID],FME_Input[EMER_NEED])</f>
        <v>No</v>
      </c>
      <c r="G1036">
        <f>IF(FME_Ranking!F1036="Yes",100,0)</f>
        <v>0</v>
      </c>
      <c r="H1036">
        <f>FME_Ranking1[[#This Row],[Emergency Need Score (Normalized, Unweighted)]]*$F$3</f>
        <v>0</v>
      </c>
      <c r="I1036" s="246">
        <f>_xlfn.XLOOKUP(FME_Ranking1[[#This Row],[FME ID]],FME_Input[FME_ID],FME_Input[STRUCT_100])</f>
        <v>13</v>
      </c>
      <c r="J1036" s="178">
        <f>(FME_Ranking1[[#This Row],[Structures 100 Raw]]/I$2)*100</f>
        <v>6.961401705007926E-3</v>
      </c>
      <c r="K1036" s="178">
        <f>FME_Ranking1[[#This Row],[Structures 100  Score (Normalized, Unweighted)]]*$I$3</f>
        <v>1.0442102557511889E-3</v>
      </c>
      <c r="L1036" s="246">
        <f>_xlfn.XLOOKUP(FME_Ranking1[[#This Row],[FME ID]],FME_Input[FME_ID],FME_Input[RES_STRUCT100])</f>
        <v>2</v>
      </c>
      <c r="M1036" s="230">
        <f>(FME_Ranking1[[#This Row],[Res Structures Raw]]/L$2)*100</f>
        <v>1.4166111827286765E-3</v>
      </c>
      <c r="N1036" s="180">
        <f>FME_Ranking1[[#This Row],[Res Structures Score (Normalized, Unweighted)]]*$L$3</f>
        <v>1.4166111827286767E-4</v>
      </c>
      <c r="O1036" s="244">
        <f>_xlfn.XLOOKUP(FME_Ranking1[[#This Row],[FME ID]],FME_Input[FME_ID],FME_Input[POP100])</f>
        <v>23</v>
      </c>
      <c r="P1036" s="178">
        <f>(FME_Ranking1[[#This Row],[Pop Raw]]/$O$2)*100</f>
        <v>2.3546321757415556E-3</v>
      </c>
      <c r="Q1036" s="178">
        <f>FME_Ranking1[[#This Row],[Pop Score (Normalized, Unweighted)]]*$O$3</f>
        <v>3.5319482636123333E-4</v>
      </c>
      <c r="R1036" s="137">
        <f>_xlfn.XLOOKUP(FME_Ranking1[[#This Row],[FME ID]],FME_Input[FME_ID],FME_Input[CRITFAC100])</f>
        <v>0</v>
      </c>
      <c r="S1036" s="230">
        <f>(FME_Ranking1[[#This Row],[Critical Facilities Raw]]/$R$2)*100</f>
        <v>0</v>
      </c>
      <c r="T1036" s="180">
        <f>FME_Ranking1[[#This Row],[Critical Facilities Score (Normalized, Unweighted)]]*$R$3</f>
        <v>0</v>
      </c>
      <c r="U1036">
        <f>_xlfn.XLOOKUP(FME_Ranking1[[#This Row],[FME ID]],FME_Input[FME_ID],FME_Input[LWC])</f>
        <v>6</v>
      </c>
      <c r="V1036" s="178">
        <f>(FME_Ranking1[[#This Row],[LWC Raw]]/$U$2)*100</f>
        <v>0.34542314335060448</v>
      </c>
      <c r="W1036" s="178">
        <f>FME_Ranking1[[#This Row],[LWC Score (Normalized, Unweighted)]]*$U$3</f>
        <v>6.9084628670120898E-2</v>
      </c>
      <c r="X1036" s="246">
        <f>_xlfn.XLOOKUP(FME_Ranking1[[#This Row],[FME ID]],FME_Input[FME_ID],FME_Input[ROADCLS])</f>
        <v>0</v>
      </c>
      <c r="Y1036" s="230">
        <f>(FME_Ranking1[[#This Row],[Closures Raw]]/$X$2)*100</f>
        <v>0</v>
      </c>
      <c r="Z1036" s="180">
        <f>FME_Ranking1[[#This Row],[Closures Score (Normalized, Unweighted)]]*$X$3</f>
        <v>0</v>
      </c>
      <c r="AA1036" s="253">
        <f>_xlfn.XLOOKUP(FME_Ranking1[[#This Row],[FME ID]],FME_Input[FME_ID],FME_Input[ROAD_MILES100])</f>
        <v>17.881149291992191</v>
      </c>
      <c r="AB1036" s="178">
        <f>(FME_Ranking1[[#This Row],[Miles Raw]]/$AA$2)*100</f>
        <v>0.23510504184281875</v>
      </c>
      <c r="AC1036" s="178">
        <f>FME_Ranking1[[#This Row],[Miles Score (Normalized, Unweighted)]]*$AA$3</f>
        <v>2.3510504184281876E-2</v>
      </c>
      <c r="AD1036" s="255">
        <f>_xlfn.XLOOKUP(FME_Ranking1[[#This Row],[FME ID]],FME_Input[FME_ID],FME_Input[FARMACRE100])</f>
        <v>6805.37255859375</v>
      </c>
      <c r="AE1036" s="230">
        <f>(FME_Ranking1[[#This Row],[Ag Land Raw]]/$AD$2)*100</f>
        <v>0.28062310004103969</v>
      </c>
      <c r="AF1036" s="231">
        <f>FME_Ranking1[[#This Row],[Ag Land Score (Normalized, Unweighted)]]*$AD$3</f>
        <v>1.4031155002051985E-2</v>
      </c>
      <c r="AG103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0.10816535405684005</v>
      </c>
      <c r="AH1036" s="406">
        <f t="shared" si="16"/>
        <v>1021</v>
      </c>
      <c r="AI103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0.10816535405684005</v>
      </c>
      <c r="AJ1036" s="257">
        <f>FME_Ranking1[[#This Row],[Addition check]]-FME_Ranking1[[#This Row],[Weighted Score Based on Normalized Reported Factors]]</f>
        <v>0</v>
      </c>
      <c r="AK1036" s="178">
        <f>_xlfn.RANK.EQ(AI1036,$AI$6:$AI$2341,0)+COUNTIF($AI$6:AI1036,AI1036)-1</f>
        <v>1023</v>
      </c>
    </row>
    <row r="1037" spans="1:37" x14ac:dyDescent="0.25">
      <c r="A1037" t="s">
        <v>7224</v>
      </c>
      <c r="B1037">
        <f>_xlfn.XLOOKUP(FME_Ranking1[[#This Row],[FME ID]],FME_Input[FME_ID],FME_Input[RFPG_NUM])</f>
        <v>7</v>
      </c>
      <c r="C1037" t="str">
        <f>_xlfn.XLOOKUP(FME_Ranking1[[#This Row],[FME ID]],FME_Input[FME_ID],FME_Input[FME_NAME])</f>
        <v>Scurry County Relocate Critical Facilities High Hazard</v>
      </c>
      <c r="D1037" t="str">
        <f>_xlfn.XLOOKUP(FME_Ranking1[[#This Row],[FME ID]],FME_Input[FME_ID],FME_Input[DESCR])</f>
        <v>Relocate critical facilities out of high hazard areas.</v>
      </c>
      <c r="E1037" s="256">
        <f>_xlfn.XLOOKUP(FME_Ranking1[[#This Row],[FME ID]],FME_Input[FME_ID],FME_Input[FME_COST])</f>
        <v>2000000</v>
      </c>
      <c r="F1037" t="str">
        <f>_xlfn.XLOOKUP(FME_Ranking1[[#This Row],[FME ID]],FME_Input[FME_ID],FME_Input[EMER_NEED])</f>
        <v>No</v>
      </c>
      <c r="G1037">
        <f>IF(FME_Ranking!F1037="Yes",100,0)</f>
        <v>0</v>
      </c>
      <c r="H1037">
        <f>FME_Ranking1[[#This Row],[Emergency Need Score (Normalized, Unweighted)]]*$F$3</f>
        <v>0</v>
      </c>
      <c r="I1037" s="246">
        <f>_xlfn.XLOOKUP(FME_Ranking1[[#This Row],[FME ID]],FME_Input[FME_ID],FME_Input[STRUCT_100])</f>
        <v>13</v>
      </c>
      <c r="J1037" s="178">
        <f>(FME_Ranking1[[#This Row],[Structures 100 Raw]]/I$2)*100</f>
        <v>6.961401705007926E-3</v>
      </c>
      <c r="K1037" s="178">
        <f>FME_Ranking1[[#This Row],[Structures 100  Score (Normalized, Unweighted)]]*$I$3</f>
        <v>1.0442102557511889E-3</v>
      </c>
      <c r="L1037" s="246">
        <f>_xlfn.XLOOKUP(FME_Ranking1[[#This Row],[FME ID]],FME_Input[FME_ID],FME_Input[RES_STRUCT100])</f>
        <v>2</v>
      </c>
      <c r="M1037" s="230">
        <f>(FME_Ranking1[[#This Row],[Res Structures Raw]]/L$2)*100</f>
        <v>1.4166111827286765E-3</v>
      </c>
      <c r="N1037" s="180">
        <f>FME_Ranking1[[#This Row],[Res Structures Score (Normalized, Unweighted)]]*$L$3</f>
        <v>1.4166111827286767E-4</v>
      </c>
      <c r="O1037" s="244">
        <f>_xlfn.XLOOKUP(FME_Ranking1[[#This Row],[FME ID]],FME_Input[FME_ID],FME_Input[POP100])</f>
        <v>23</v>
      </c>
      <c r="P1037" s="178">
        <f>(FME_Ranking1[[#This Row],[Pop Raw]]/$O$2)*100</f>
        <v>2.3546321757415556E-3</v>
      </c>
      <c r="Q1037" s="178">
        <f>FME_Ranking1[[#This Row],[Pop Score (Normalized, Unweighted)]]*$O$3</f>
        <v>3.5319482636123333E-4</v>
      </c>
      <c r="R1037" s="137">
        <f>_xlfn.XLOOKUP(FME_Ranking1[[#This Row],[FME ID]],FME_Input[FME_ID],FME_Input[CRITFAC100])</f>
        <v>0</v>
      </c>
      <c r="S1037" s="230">
        <f>(FME_Ranking1[[#This Row],[Critical Facilities Raw]]/$R$2)*100</f>
        <v>0</v>
      </c>
      <c r="T1037" s="180">
        <f>FME_Ranking1[[#This Row],[Critical Facilities Score (Normalized, Unweighted)]]*$R$3</f>
        <v>0</v>
      </c>
      <c r="U1037">
        <f>_xlfn.XLOOKUP(FME_Ranking1[[#This Row],[FME ID]],FME_Input[FME_ID],FME_Input[LWC])</f>
        <v>6</v>
      </c>
      <c r="V1037" s="178">
        <f>(FME_Ranking1[[#This Row],[LWC Raw]]/$U$2)*100</f>
        <v>0.34542314335060448</v>
      </c>
      <c r="W1037" s="178">
        <f>FME_Ranking1[[#This Row],[LWC Score (Normalized, Unweighted)]]*$U$3</f>
        <v>6.9084628670120898E-2</v>
      </c>
      <c r="X1037" s="246">
        <f>_xlfn.XLOOKUP(FME_Ranking1[[#This Row],[FME ID]],FME_Input[FME_ID],FME_Input[ROADCLS])</f>
        <v>0</v>
      </c>
      <c r="Y1037" s="230">
        <f>(FME_Ranking1[[#This Row],[Closures Raw]]/$X$2)*100</f>
        <v>0</v>
      </c>
      <c r="Z1037" s="180">
        <f>FME_Ranking1[[#This Row],[Closures Score (Normalized, Unweighted)]]*$X$3</f>
        <v>0</v>
      </c>
      <c r="AA1037" s="253">
        <f>_xlfn.XLOOKUP(FME_Ranking1[[#This Row],[FME ID]],FME_Input[FME_ID],FME_Input[ROAD_MILES100])</f>
        <v>17.881149291992191</v>
      </c>
      <c r="AB1037" s="178">
        <f>(FME_Ranking1[[#This Row],[Miles Raw]]/$AA$2)*100</f>
        <v>0.23510504184281875</v>
      </c>
      <c r="AC1037" s="178">
        <f>FME_Ranking1[[#This Row],[Miles Score (Normalized, Unweighted)]]*$AA$3</f>
        <v>2.3510504184281876E-2</v>
      </c>
      <c r="AD1037" s="255">
        <f>_xlfn.XLOOKUP(FME_Ranking1[[#This Row],[FME ID]],FME_Input[FME_ID],FME_Input[FARMACRE100])</f>
        <v>6805.37255859375</v>
      </c>
      <c r="AE1037" s="230">
        <f>(FME_Ranking1[[#This Row],[Ag Land Raw]]/$AD$2)*100</f>
        <v>0.28062310004103969</v>
      </c>
      <c r="AF1037" s="231">
        <f>FME_Ranking1[[#This Row],[Ag Land Score (Normalized, Unweighted)]]*$AD$3</f>
        <v>1.4031155002051985E-2</v>
      </c>
      <c r="AG103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0.10816535405684005</v>
      </c>
      <c r="AH1037" s="406">
        <f t="shared" si="16"/>
        <v>1021</v>
      </c>
      <c r="AI103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0.10816535405684005</v>
      </c>
      <c r="AJ1037" s="257">
        <f>FME_Ranking1[[#This Row],[Addition check]]-FME_Ranking1[[#This Row],[Weighted Score Based on Normalized Reported Factors]]</f>
        <v>0</v>
      </c>
      <c r="AK1037" s="178">
        <f>_xlfn.RANK.EQ(AI1037,$AI$6:$AI$2341,0)+COUNTIF($AI$6:AI1037,AI1037)-1</f>
        <v>1024</v>
      </c>
    </row>
    <row r="1038" spans="1:37" x14ac:dyDescent="0.25">
      <c r="A1038" t="s">
        <v>7226</v>
      </c>
      <c r="B1038">
        <f>_xlfn.XLOOKUP(FME_Ranking1[[#This Row],[FME ID]],FME_Input[FME_ID],FME_Input[RFPG_NUM])</f>
        <v>7</v>
      </c>
      <c r="C1038" t="str">
        <f>_xlfn.XLOOKUP(FME_Ranking1[[#This Row],[FME ID]],FME_Input[FME_ID],FME_Input[FME_NAME])</f>
        <v>Scurry County DCM</v>
      </c>
      <c r="D1038" t="str">
        <f>_xlfn.XLOOKUP(FME_Ranking1[[#This Row],[FME ID]],FME_Input[FME_ID],FME_Input[DESCR])</f>
        <v>Consider stormwater criteria for infrastructure and floodplain ordinances to avoid new exposure to flood hazards.</v>
      </c>
      <c r="E1038" s="256">
        <f>_xlfn.XLOOKUP(FME_Ranking1[[#This Row],[FME ID]],FME_Input[FME_ID],FME_Input[FME_COST])</f>
        <v>100000</v>
      </c>
      <c r="F1038" t="str">
        <f>_xlfn.XLOOKUP(FME_Ranking1[[#This Row],[FME ID]],FME_Input[FME_ID],FME_Input[EMER_NEED])</f>
        <v>No</v>
      </c>
      <c r="G1038">
        <f>IF(FME_Ranking!F1038="Yes",100,0)</f>
        <v>0</v>
      </c>
      <c r="H1038">
        <f>FME_Ranking1[[#This Row],[Emergency Need Score (Normalized, Unweighted)]]*$F$3</f>
        <v>0</v>
      </c>
      <c r="I1038" s="246">
        <f>_xlfn.XLOOKUP(FME_Ranking1[[#This Row],[FME ID]],FME_Input[FME_ID],FME_Input[STRUCT_100])</f>
        <v>13</v>
      </c>
      <c r="J1038" s="178">
        <f>(FME_Ranking1[[#This Row],[Structures 100 Raw]]/I$2)*100</f>
        <v>6.961401705007926E-3</v>
      </c>
      <c r="K1038" s="178">
        <f>FME_Ranking1[[#This Row],[Structures 100  Score (Normalized, Unweighted)]]*$I$3</f>
        <v>1.0442102557511889E-3</v>
      </c>
      <c r="L1038" s="246">
        <f>_xlfn.XLOOKUP(FME_Ranking1[[#This Row],[FME ID]],FME_Input[FME_ID],FME_Input[RES_STRUCT100])</f>
        <v>2</v>
      </c>
      <c r="M1038" s="230">
        <f>(FME_Ranking1[[#This Row],[Res Structures Raw]]/L$2)*100</f>
        <v>1.4166111827286765E-3</v>
      </c>
      <c r="N1038" s="180">
        <f>FME_Ranking1[[#This Row],[Res Structures Score (Normalized, Unweighted)]]*$L$3</f>
        <v>1.4166111827286767E-4</v>
      </c>
      <c r="O1038" s="244">
        <f>_xlfn.XLOOKUP(FME_Ranking1[[#This Row],[FME ID]],FME_Input[FME_ID],FME_Input[POP100])</f>
        <v>23</v>
      </c>
      <c r="P1038" s="178">
        <f>(FME_Ranking1[[#This Row],[Pop Raw]]/$O$2)*100</f>
        <v>2.3546321757415556E-3</v>
      </c>
      <c r="Q1038" s="178">
        <f>FME_Ranking1[[#This Row],[Pop Score (Normalized, Unweighted)]]*$O$3</f>
        <v>3.5319482636123333E-4</v>
      </c>
      <c r="R1038" s="137">
        <f>_xlfn.XLOOKUP(FME_Ranking1[[#This Row],[FME ID]],FME_Input[FME_ID],FME_Input[CRITFAC100])</f>
        <v>0</v>
      </c>
      <c r="S1038" s="230">
        <f>(FME_Ranking1[[#This Row],[Critical Facilities Raw]]/$R$2)*100</f>
        <v>0</v>
      </c>
      <c r="T1038" s="180">
        <f>FME_Ranking1[[#This Row],[Critical Facilities Score (Normalized, Unweighted)]]*$R$3</f>
        <v>0</v>
      </c>
      <c r="U1038">
        <f>_xlfn.XLOOKUP(FME_Ranking1[[#This Row],[FME ID]],FME_Input[FME_ID],FME_Input[LWC])</f>
        <v>6</v>
      </c>
      <c r="V1038" s="178">
        <f>(FME_Ranking1[[#This Row],[LWC Raw]]/$U$2)*100</f>
        <v>0.34542314335060448</v>
      </c>
      <c r="W1038" s="178">
        <f>FME_Ranking1[[#This Row],[LWC Score (Normalized, Unweighted)]]*$U$3</f>
        <v>6.9084628670120898E-2</v>
      </c>
      <c r="X1038" s="246">
        <f>_xlfn.XLOOKUP(FME_Ranking1[[#This Row],[FME ID]],FME_Input[FME_ID],FME_Input[ROADCLS])</f>
        <v>0</v>
      </c>
      <c r="Y1038" s="230">
        <f>(FME_Ranking1[[#This Row],[Closures Raw]]/$X$2)*100</f>
        <v>0</v>
      </c>
      <c r="Z1038" s="180">
        <f>FME_Ranking1[[#This Row],[Closures Score (Normalized, Unweighted)]]*$X$3</f>
        <v>0</v>
      </c>
      <c r="AA1038" s="253">
        <f>_xlfn.XLOOKUP(FME_Ranking1[[#This Row],[FME ID]],FME_Input[FME_ID],FME_Input[ROAD_MILES100])</f>
        <v>17.881149291992191</v>
      </c>
      <c r="AB1038" s="178">
        <f>(FME_Ranking1[[#This Row],[Miles Raw]]/$AA$2)*100</f>
        <v>0.23510504184281875</v>
      </c>
      <c r="AC1038" s="178">
        <f>FME_Ranking1[[#This Row],[Miles Score (Normalized, Unweighted)]]*$AA$3</f>
        <v>2.3510504184281876E-2</v>
      </c>
      <c r="AD1038" s="255">
        <f>_xlfn.XLOOKUP(FME_Ranking1[[#This Row],[FME ID]],FME_Input[FME_ID],FME_Input[FARMACRE100])</f>
        <v>6805.37255859375</v>
      </c>
      <c r="AE1038" s="230">
        <f>(FME_Ranking1[[#This Row],[Ag Land Raw]]/$AD$2)*100</f>
        <v>0.28062310004103969</v>
      </c>
      <c r="AF1038" s="231">
        <f>FME_Ranking1[[#This Row],[Ag Land Score (Normalized, Unweighted)]]*$AD$3</f>
        <v>1.4031155002051985E-2</v>
      </c>
      <c r="AG103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0.10816535405684005</v>
      </c>
      <c r="AH1038" s="406">
        <f t="shared" si="16"/>
        <v>1021</v>
      </c>
      <c r="AI103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0.10816535405684005</v>
      </c>
      <c r="AJ1038" s="257">
        <f>FME_Ranking1[[#This Row],[Addition check]]-FME_Ranking1[[#This Row],[Weighted Score Based on Normalized Reported Factors]]</f>
        <v>0</v>
      </c>
      <c r="AK1038" s="178">
        <f>_xlfn.RANK.EQ(AI1038,$AI$6:$AI$2341,0)+COUNTIF($AI$6:AI1038,AI1038)-1</f>
        <v>1025</v>
      </c>
    </row>
    <row r="1039" spans="1:37" x14ac:dyDescent="0.25">
      <c r="A1039" t="s">
        <v>2274</v>
      </c>
      <c r="B1039">
        <f>_xlfn.XLOOKUP(FME_Ranking1[[#This Row],[FME ID]],FME_Input[FME_ID],FME_Input[RFPG_NUM])</f>
        <v>6</v>
      </c>
      <c r="C1039" t="str">
        <f>_xlfn.XLOOKUP(FME_Ranking1[[#This Row],[FME ID]],FME_Input[FME_ID],FME_Input[FME_NAME])</f>
        <v xml:space="preserve">Clear Creek - Rehabilitation of the A214-00-00 channel to Restore Channel Conveyance Capacity </v>
      </c>
      <c r="D1039" t="str">
        <f>_xlfn.XLOOKUP(FME_Ranking1[[#This Row],[FME ID]],FME_Input[FME_ID],FME_Input[DESCR])</f>
        <v>Major maintenance to restore channel conveyance capacity.</v>
      </c>
      <c r="E1039" s="256">
        <f>_xlfn.XLOOKUP(FME_Ranking1[[#This Row],[FME ID]],FME_Input[FME_ID],FME_Input[FME_COST])</f>
        <v>30000</v>
      </c>
      <c r="F1039" t="str">
        <f>_xlfn.XLOOKUP(FME_Ranking1[[#This Row],[FME ID]],FME_Input[FME_ID],FME_Input[EMER_NEED])</f>
        <v>No</v>
      </c>
      <c r="G1039">
        <f>IF(FME_Ranking!F1039="Yes",100,0)</f>
        <v>0</v>
      </c>
      <c r="H1039">
        <f>FME_Ranking1[[#This Row],[Emergency Need Score (Normalized, Unweighted)]]*$F$3</f>
        <v>0</v>
      </c>
      <c r="I1039" s="246">
        <f>_xlfn.XLOOKUP(FME_Ranking1[[#This Row],[FME ID]],FME_Input[FME_ID],FME_Input[STRUCT_100])</f>
        <v>424</v>
      </c>
      <c r="J1039" s="178">
        <f>(FME_Ranking1[[#This Row],[Structures 100 Raw]]/I$2)*100</f>
        <v>0.22704879407102774</v>
      </c>
      <c r="K1039" s="178">
        <f>FME_Ranking1[[#This Row],[Structures 100  Score (Normalized, Unweighted)]]*$I$3</f>
        <v>3.4057319110654162E-2</v>
      </c>
      <c r="L1039" s="246">
        <f>_xlfn.XLOOKUP(FME_Ranking1[[#This Row],[FME ID]],FME_Input[FME_ID],FME_Input[RES_STRUCT100])</f>
        <v>421</v>
      </c>
      <c r="M1039" s="230">
        <f>(FME_Ranking1[[#This Row],[Res Structures Raw]]/L$2)*100</f>
        <v>0.29819665396438638</v>
      </c>
      <c r="N1039" s="180">
        <f>FME_Ranking1[[#This Row],[Res Structures Score (Normalized, Unweighted)]]*$L$3</f>
        <v>2.9819665396438641E-2</v>
      </c>
      <c r="O1039" s="244">
        <f>_xlfn.XLOOKUP(FME_Ranking1[[#This Row],[FME ID]],FME_Input[FME_ID],FME_Input[POP100])</f>
        <v>1319</v>
      </c>
      <c r="P1039" s="178">
        <f>(FME_Ranking1[[#This Row],[Pop Raw]]/$O$2)*100</f>
        <v>0.13503303651317877</v>
      </c>
      <c r="Q1039" s="178">
        <f>FME_Ranking1[[#This Row],[Pop Score (Normalized, Unweighted)]]*$O$3</f>
        <v>2.0254955476976814E-2</v>
      </c>
      <c r="R1039" s="137">
        <f>_xlfn.XLOOKUP(FME_Ranking1[[#This Row],[FME ID]],FME_Input[FME_ID],FME_Input[CRITFAC100])</f>
        <v>0</v>
      </c>
      <c r="S1039" s="230">
        <f>(FME_Ranking1[[#This Row],[Critical Facilities Raw]]/$R$2)*100</f>
        <v>0</v>
      </c>
      <c r="T1039" s="180">
        <f>FME_Ranking1[[#This Row],[Critical Facilities Score (Normalized, Unweighted)]]*$R$3</f>
        <v>0</v>
      </c>
      <c r="U1039">
        <f>_xlfn.XLOOKUP(FME_Ranking1[[#This Row],[FME ID]],FME_Input[FME_ID],FME_Input[LWC])</f>
        <v>0</v>
      </c>
      <c r="V1039" s="178">
        <f>(FME_Ranking1[[#This Row],[LWC Raw]]/$U$2)*100</f>
        <v>0</v>
      </c>
      <c r="W1039" s="178">
        <f>FME_Ranking1[[#This Row],[LWC Score (Normalized, Unweighted)]]*$U$3</f>
        <v>0</v>
      </c>
      <c r="X1039" s="246">
        <f>_xlfn.XLOOKUP(FME_Ranking1[[#This Row],[FME ID]],FME_Input[FME_ID],FME_Input[ROADCLS])</f>
        <v>0</v>
      </c>
      <c r="Y1039" s="230">
        <f>(FME_Ranking1[[#This Row],[Closures Raw]]/$X$2)*100</f>
        <v>0</v>
      </c>
      <c r="Z1039" s="180">
        <f>FME_Ranking1[[#This Row],[Closures Score (Normalized, Unweighted)]]*$X$3</f>
        <v>0</v>
      </c>
      <c r="AA1039" s="253">
        <f>_xlfn.XLOOKUP(FME_Ranking1[[#This Row],[FME ID]],FME_Input[FME_ID],FME_Input[ROAD_MILES100])</f>
        <v>8.9099302291870117</v>
      </c>
      <c r="AB1039" s="178">
        <f>(FME_Ranking1[[#This Row],[Miles Raw]]/$AA$2)*100</f>
        <v>0.1171496018037118</v>
      </c>
      <c r="AC1039" s="178">
        <f>FME_Ranking1[[#This Row],[Miles Score (Normalized, Unweighted)]]*$AA$3</f>
        <v>1.171496018037118E-2</v>
      </c>
      <c r="AD1039" s="255">
        <f>_xlfn.XLOOKUP(FME_Ranking1[[#This Row],[FME ID]],FME_Input[FME_ID],FME_Input[FARMACRE100])</f>
        <v>3.37833571434021</v>
      </c>
      <c r="AE1039" s="230">
        <f>(FME_Ranking1[[#This Row],[Ag Land Raw]]/$AD$2)*100</f>
        <v>1.3930744172710083E-4</v>
      </c>
      <c r="AF1039" s="231">
        <f>FME_Ranking1[[#This Row],[Ag Land Score (Normalized, Unweighted)]]*$AD$3</f>
        <v>6.9653720863550423E-6</v>
      </c>
      <c r="AG103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9.5853865536527166E-2</v>
      </c>
      <c r="AH1039" s="406">
        <f t="shared" si="16"/>
        <v>1062</v>
      </c>
      <c r="AI103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9.5853865536527166E-2</v>
      </c>
      <c r="AJ1039" s="257">
        <f>FME_Ranking1[[#This Row],[Addition check]]-FME_Ranking1[[#This Row],[Weighted Score Based on Normalized Reported Factors]]</f>
        <v>0</v>
      </c>
      <c r="AK1039" s="178">
        <f>_xlfn.RANK.EQ(AI1039,$AI$6:$AI$2341,0)+COUNTIF($AI$6:AI1039,AI1039)-1</f>
        <v>1062</v>
      </c>
    </row>
    <row r="1040" spans="1:37" x14ac:dyDescent="0.25">
      <c r="A1040" t="s">
        <v>11441</v>
      </c>
      <c r="B1040">
        <f>_xlfn.XLOOKUP(FME_Ranking1[[#This Row],[FME ID]],FME_Input[FME_ID],FME_Input[RFPG_NUM])</f>
        <v>15</v>
      </c>
      <c r="C1040" t="str">
        <f>_xlfn.XLOOKUP(FME_Ranking1[[#This Row],[FME ID]],FME_Input[FME_ID],FME_Input[FME_NAME])</f>
        <v>Weslaco Stormwater Improvement Plan - Texas Boulevard to Airport Drive, South of Business 83</v>
      </c>
      <c r="D1040" t="str">
        <f>_xlfn.XLOOKUP(FME_Ranking1[[#This Row],[FME ID]],FME_Input[FME_ID],FME_Input[DESCR])</f>
        <v>Construction of two detention ponds, 10 acres near Texas Boulevard and 18th Street and 3 acres south of Dawson Street, a berm, approximately 5,400 LF of channel widening and extension, and installation of an 8’ x 4’ RCB storm drain system near Border</v>
      </c>
      <c r="E1040" s="256">
        <f>_xlfn.XLOOKUP(FME_Ranking1[[#This Row],[FME ID]],FME_Input[FME_ID],FME_Input[FME_COST])</f>
        <v>6597680</v>
      </c>
      <c r="F1040" t="str">
        <f>_xlfn.XLOOKUP(FME_Ranking1[[#This Row],[FME ID]],FME_Input[FME_ID],FME_Input[EMER_NEED])</f>
        <v>Yes</v>
      </c>
      <c r="G1040">
        <f>IF(FME_Ranking!F1040="Yes",100,0)</f>
        <v>100</v>
      </c>
      <c r="H1040">
        <f>FME_Ranking1[[#This Row],[Emergency Need Score (Normalized, Unweighted)]]*$F$3</f>
        <v>0</v>
      </c>
      <c r="I1040" s="246">
        <f>_xlfn.XLOOKUP(FME_Ranking1[[#This Row],[FME ID]],FME_Input[FME_ID],FME_Input[STRUCT_100])</f>
        <v>0</v>
      </c>
      <c r="J1040" s="178">
        <f>(FME_Ranking1[[#This Row],[Structures 100 Raw]]/I$2)*100</f>
        <v>0</v>
      </c>
      <c r="K1040" s="178">
        <f>FME_Ranking1[[#This Row],[Structures 100  Score (Normalized, Unweighted)]]*$I$3</f>
        <v>0</v>
      </c>
      <c r="L1040" s="246">
        <f>_xlfn.XLOOKUP(FME_Ranking1[[#This Row],[FME ID]],FME_Input[FME_ID],FME_Input[RES_STRUCT100])</f>
        <v>667</v>
      </c>
      <c r="M1040" s="230">
        <f>(FME_Ranking1[[#This Row],[Res Structures Raw]]/L$2)*100</f>
        <v>0.47243982944001356</v>
      </c>
      <c r="N1040" s="180">
        <f>FME_Ranking1[[#This Row],[Res Structures Score (Normalized, Unweighted)]]*$L$3</f>
        <v>4.724398294400136E-2</v>
      </c>
      <c r="O1040" s="244">
        <f>_xlfn.XLOOKUP(FME_Ranking1[[#This Row],[FME ID]],FME_Input[FME_ID],FME_Input[POP100])</f>
        <v>2399</v>
      </c>
      <c r="P1040" s="178">
        <f>(FME_Ranking1[[#This Row],[Pop Raw]]/$O$2)*100</f>
        <v>0.24559837346104313</v>
      </c>
      <c r="Q1040" s="178">
        <f>FME_Ranking1[[#This Row],[Pop Score (Normalized, Unweighted)]]*$O$3</f>
        <v>3.6839756019156469E-2</v>
      </c>
      <c r="R1040" s="137">
        <f>_xlfn.XLOOKUP(FME_Ranking1[[#This Row],[FME ID]],FME_Input[FME_ID],FME_Input[CRITFAC100])</f>
        <v>0</v>
      </c>
      <c r="S1040" s="230">
        <f>(FME_Ranking1[[#This Row],[Critical Facilities Raw]]/$R$2)*100</f>
        <v>0</v>
      </c>
      <c r="T1040" s="180">
        <f>FME_Ranking1[[#This Row],[Critical Facilities Score (Normalized, Unweighted)]]*$R$3</f>
        <v>0</v>
      </c>
      <c r="U1040">
        <f>_xlfn.XLOOKUP(FME_Ranking1[[#This Row],[FME ID]],FME_Input[FME_ID],FME_Input[LWC])</f>
        <v>0</v>
      </c>
      <c r="V1040" s="178">
        <f>(FME_Ranking1[[#This Row],[LWC Raw]]/$U$2)*100</f>
        <v>0</v>
      </c>
      <c r="W1040" s="178">
        <f>FME_Ranking1[[#This Row],[LWC Score (Normalized, Unweighted)]]*$U$3</f>
        <v>0</v>
      </c>
      <c r="X1040" s="246">
        <f>_xlfn.XLOOKUP(FME_Ranking1[[#This Row],[FME ID]],FME_Input[FME_ID],FME_Input[ROADCLS])</f>
        <v>0</v>
      </c>
      <c r="Y1040" s="230">
        <f>(FME_Ranking1[[#This Row],[Closures Raw]]/$X$2)*100</f>
        <v>0</v>
      </c>
      <c r="Z1040" s="180">
        <f>FME_Ranking1[[#This Row],[Closures Score (Normalized, Unweighted)]]*$X$3</f>
        <v>0</v>
      </c>
      <c r="AA1040" s="253">
        <f>_xlfn.XLOOKUP(FME_Ranking1[[#This Row],[FME ID]],FME_Input[FME_ID],FME_Input[ROAD_MILES100])</f>
        <v>32.515899658203118</v>
      </c>
      <c r="AB1040" s="178">
        <f>(FME_Ranking1[[#This Row],[Miles Raw]]/$AA$2)*100</f>
        <v>0.42752576050143964</v>
      </c>
      <c r="AC1040" s="178">
        <f>FME_Ranking1[[#This Row],[Miles Score (Normalized, Unweighted)]]*$AA$3</f>
        <v>4.2752576050143966E-2</v>
      </c>
      <c r="AD1040" s="255">
        <f>_xlfn.XLOOKUP(FME_Ranking1[[#This Row],[FME ID]],FME_Input[FME_ID],FME_Input[FARMACRE100])</f>
        <v>0</v>
      </c>
      <c r="AE1040" s="230">
        <f>(FME_Ranking1[[#This Row],[Ag Land Raw]]/$AD$2)*100</f>
        <v>0</v>
      </c>
      <c r="AF1040" s="231">
        <f>FME_Ranking1[[#This Row],[Ag Land Score (Normalized, Unweighted)]]*$AD$3</f>
        <v>0</v>
      </c>
      <c r="AG104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0.12683631501330178</v>
      </c>
      <c r="AH1040" s="406">
        <f t="shared" si="16"/>
        <v>967</v>
      </c>
      <c r="AI104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0.12683631501330178</v>
      </c>
      <c r="AJ1040" s="257">
        <f>FME_Ranking1[[#This Row],[Addition check]]-FME_Ranking1[[#This Row],[Weighted Score Based on Normalized Reported Factors]]</f>
        <v>0</v>
      </c>
      <c r="AK1040" s="178">
        <f>_xlfn.RANK.EQ(AI1040,$AI$6:$AI$2341,0)+COUNTIF($AI$6:AI1040,AI1040)-1</f>
        <v>967</v>
      </c>
    </row>
    <row r="1041" spans="1:37" x14ac:dyDescent="0.25">
      <c r="A1041" t="s">
        <v>6713</v>
      </c>
      <c r="B1041">
        <f>_xlfn.XLOOKUP(FME_Ranking1[[#This Row],[FME ID]],FME_Input[FME_ID],FME_Input[RFPG_NUM])</f>
        <v>7</v>
      </c>
      <c r="C1041" t="str">
        <f>_xlfn.XLOOKUP(FME_Ranking1[[#This Row],[FME ID]],FME_Input[FME_ID],FME_Input[FME_NAME])</f>
        <v>Young County DMP</v>
      </c>
      <c r="D1041" t="str">
        <f>_xlfn.XLOOKUP(FME_Ranking1[[#This Row],[FME ID]],FME_Input[FME_ID],FME_Input[DESCR])</f>
        <v>Evaluate county to identify future projects, analyze roads/stream crossing for emergency response vehicles to high hazard areas</v>
      </c>
      <c r="E1041" s="256">
        <f>_xlfn.XLOOKUP(FME_Ranking1[[#This Row],[FME ID]],FME_Input[FME_ID],FME_Input[FME_COST])</f>
        <v>500000</v>
      </c>
      <c r="F1041" t="str">
        <f>_xlfn.XLOOKUP(FME_Ranking1[[#This Row],[FME ID]],FME_Input[FME_ID],FME_Input[EMER_NEED])</f>
        <v>No</v>
      </c>
      <c r="G1041">
        <f>IF(FME_Ranking!F1041="Yes",100,0)</f>
        <v>0</v>
      </c>
      <c r="H1041">
        <f>FME_Ranking1[[#This Row],[Emergency Need Score (Normalized, Unweighted)]]*$F$3</f>
        <v>0</v>
      </c>
      <c r="I1041" s="246">
        <f>_xlfn.XLOOKUP(FME_Ranking1[[#This Row],[FME ID]],FME_Input[FME_ID],FME_Input[STRUCT_100])</f>
        <v>190</v>
      </c>
      <c r="J1041" s="178">
        <f>(FME_Ranking1[[#This Row],[Structures 100 Raw]]/I$2)*100</f>
        <v>0.10174356338088505</v>
      </c>
      <c r="K1041" s="178">
        <f>FME_Ranking1[[#This Row],[Structures 100  Score (Normalized, Unweighted)]]*$I$3</f>
        <v>1.5261534507132758E-2</v>
      </c>
      <c r="L1041" s="246">
        <f>_xlfn.XLOOKUP(FME_Ranking1[[#This Row],[FME ID]],FME_Input[FME_ID],FME_Input[RES_STRUCT100])</f>
        <v>28</v>
      </c>
      <c r="M1041" s="230">
        <f>(FME_Ranking1[[#This Row],[Res Structures Raw]]/L$2)*100</f>
        <v>1.9832556558201472E-2</v>
      </c>
      <c r="N1041" s="180">
        <f>FME_Ranking1[[#This Row],[Res Structures Score (Normalized, Unweighted)]]*$L$3</f>
        <v>1.9832556558201475E-3</v>
      </c>
      <c r="O1041" s="244">
        <f>_xlfn.XLOOKUP(FME_Ranking1[[#This Row],[FME ID]],FME_Input[FME_ID],FME_Input[POP100])</f>
        <v>128</v>
      </c>
      <c r="P1041" s="178">
        <f>(FME_Ranking1[[#This Row],[Pop Raw]]/$O$2)*100</f>
        <v>1.31040399345617E-2</v>
      </c>
      <c r="Q1041" s="178">
        <f>FME_Ranking1[[#This Row],[Pop Score (Normalized, Unweighted)]]*$O$3</f>
        <v>1.9656059901842549E-3</v>
      </c>
      <c r="R1041" s="137">
        <f>_xlfn.XLOOKUP(FME_Ranking1[[#This Row],[FME ID]],FME_Input[FME_ID],FME_Input[CRITFAC100])</f>
        <v>0</v>
      </c>
      <c r="S1041" s="230">
        <f>(FME_Ranking1[[#This Row],[Critical Facilities Raw]]/$R$2)*100</f>
        <v>0</v>
      </c>
      <c r="T1041" s="180">
        <f>FME_Ranking1[[#This Row],[Critical Facilities Score (Normalized, Unweighted)]]*$R$3</f>
        <v>0</v>
      </c>
      <c r="U1041">
        <f>_xlfn.XLOOKUP(FME_Ranking1[[#This Row],[FME ID]],FME_Input[FME_ID],FME_Input[LWC])</f>
        <v>1</v>
      </c>
      <c r="V1041" s="178">
        <f>(FME_Ranking1[[#This Row],[LWC Raw]]/$U$2)*100</f>
        <v>5.7570523891767422E-2</v>
      </c>
      <c r="W1041" s="178">
        <f>FME_Ranking1[[#This Row],[LWC Score (Normalized, Unweighted)]]*$U$3</f>
        <v>1.1514104778353485E-2</v>
      </c>
      <c r="X1041" s="246">
        <f>_xlfn.XLOOKUP(FME_Ranking1[[#This Row],[FME ID]],FME_Input[FME_ID],FME_Input[ROADCLS])</f>
        <v>0</v>
      </c>
      <c r="Y1041" s="230">
        <f>(FME_Ranking1[[#This Row],[Closures Raw]]/$X$2)*100</f>
        <v>0</v>
      </c>
      <c r="Z1041" s="180">
        <f>FME_Ranking1[[#This Row],[Closures Score (Normalized, Unweighted)]]*$X$3</f>
        <v>0</v>
      </c>
      <c r="AA1041" s="253">
        <f>_xlfn.XLOOKUP(FME_Ranking1[[#This Row],[FME ID]],FME_Input[FME_ID],FME_Input[ROAD_MILES100])</f>
        <v>53.131050109863281</v>
      </c>
      <c r="AB1041" s="178">
        <f>(FME_Ranking1[[#This Row],[Miles Raw]]/$AA$2)*100</f>
        <v>0.69857801393260477</v>
      </c>
      <c r="AC1041" s="178">
        <f>FME_Ranking1[[#This Row],[Miles Score (Normalized, Unweighted)]]*$AA$3</f>
        <v>6.9857801393260477E-2</v>
      </c>
      <c r="AD1041" s="255">
        <f>_xlfn.XLOOKUP(FME_Ranking1[[#This Row],[FME ID]],FME_Input[FME_ID],FME_Input[FARMACRE100])</f>
        <v>25847.232421875</v>
      </c>
      <c r="AE1041" s="230">
        <f>(FME_Ranking1[[#This Row],[Ag Land Raw]]/$AD$2)*100</f>
        <v>1.0658241598468265</v>
      </c>
      <c r="AF1041" s="231">
        <f>FME_Ranking1[[#This Row],[Ag Land Score (Normalized, Unweighted)]]*$AD$3</f>
        <v>5.3291207992341327E-2</v>
      </c>
      <c r="AG104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0.15387351031709245</v>
      </c>
      <c r="AH1041" s="406">
        <f t="shared" si="16"/>
        <v>889</v>
      </c>
      <c r="AI104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0.15387351031709245</v>
      </c>
      <c r="AJ1041" s="257">
        <f>FME_Ranking1[[#This Row],[Addition check]]-FME_Ranking1[[#This Row],[Weighted Score Based on Normalized Reported Factors]]</f>
        <v>0</v>
      </c>
      <c r="AK1041" s="178">
        <f>_xlfn.RANK.EQ(AI1041,$AI$6:$AI$2341,0)+COUNTIF($AI$6:AI1041,AI1041)-1</f>
        <v>889</v>
      </c>
    </row>
    <row r="1042" spans="1:37" x14ac:dyDescent="0.25">
      <c r="A1042" t="s">
        <v>7180</v>
      </c>
      <c r="B1042">
        <f>_xlfn.XLOOKUP(FME_Ranking1[[#This Row],[FME ID]],FME_Input[FME_ID],FME_Input[RFPG_NUM])</f>
        <v>7</v>
      </c>
      <c r="C1042" t="str">
        <f>_xlfn.XLOOKUP(FME_Ranking1[[#This Row],[FME ID]],FME_Input[FME_ID],FME_Input[FME_NAME])</f>
        <v>Young County DCM</v>
      </c>
      <c r="D1042" t="str">
        <f>_xlfn.XLOOKUP(FME_Ranking1[[#This Row],[FME ID]],FME_Input[FME_ID],FME_Input[DESCR])</f>
        <v>Consider stormwater criteria for infrastructure and floodplain ordinances to avoid new exposure to flood hazards.</v>
      </c>
      <c r="E1042" s="256">
        <f>_xlfn.XLOOKUP(FME_Ranking1[[#This Row],[FME ID]],FME_Input[FME_ID],FME_Input[FME_COST])</f>
        <v>100000</v>
      </c>
      <c r="F1042" t="str">
        <f>_xlfn.XLOOKUP(FME_Ranking1[[#This Row],[FME ID]],FME_Input[FME_ID],FME_Input[EMER_NEED])</f>
        <v>No</v>
      </c>
      <c r="G1042">
        <f>IF(FME_Ranking!F1042="Yes",100,0)</f>
        <v>0</v>
      </c>
      <c r="H1042">
        <f>FME_Ranking1[[#This Row],[Emergency Need Score (Normalized, Unweighted)]]*$F$3</f>
        <v>0</v>
      </c>
      <c r="I1042" s="246">
        <f>_xlfn.XLOOKUP(FME_Ranking1[[#This Row],[FME ID]],FME_Input[FME_ID],FME_Input[STRUCT_100])</f>
        <v>190</v>
      </c>
      <c r="J1042" s="178">
        <f>(FME_Ranking1[[#This Row],[Structures 100 Raw]]/I$2)*100</f>
        <v>0.10174356338088505</v>
      </c>
      <c r="K1042" s="178">
        <f>FME_Ranking1[[#This Row],[Structures 100  Score (Normalized, Unweighted)]]*$I$3</f>
        <v>1.5261534507132758E-2</v>
      </c>
      <c r="L1042" s="246">
        <f>_xlfn.XLOOKUP(FME_Ranking1[[#This Row],[FME ID]],FME_Input[FME_ID],FME_Input[RES_STRUCT100])</f>
        <v>28</v>
      </c>
      <c r="M1042" s="230">
        <f>(FME_Ranking1[[#This Row],[Res Structures Raw]]/L$2)*100</f>
        <v>1.9832556558201472E-2</v>
      </c>
      <c r="N1042" s="180">
        <f>FME_Ranking1[[#This Row],[Res Structures Score (Normalized, Unweighted)]]*$L$3</f>
        <v>1.9832556558201475E-3</v>
      </c>
      <c r="O1042" s="244">
        <f>_xlfn.XLOOKUP(FME_Ranking1[[#This Row],[FME ID]],FME_Input[FME_ID],FME_Input[POP100])</f>
        <v>128</v>
      </c>
      <c r="P1042" s="178">
        <f>(FME_Ranking1[[#This Row],[Pop Raw]]/$O$2)*100</f>
        <v>1.31040399345617E-2</v>
      </c>
      <c r="Q1042" s="178">
        <f>FME_Ranking1[[#This Row],[Pop Score (Normalized, Unweighted)]]*$O$3</f>
        <v>1.9656059901842549E-3</v>
      </c>
      <c r="R1042" s="137">
        <f>_xlfn.XLOOKUP(FME_Ranking1[[#This Row],[FME ID]],FME_Input[FME_ID],FME_Input[CRITFAC100])</f>
        <v>0</v>
      </c>
      <c r="S1042" s="230">
        <f>(FME_Ranking1[[#This Row],[Critical Facilities Raw]]/$R$2)*100</f>
        <v>0</v>
      </c>
      <c r="T1042" s="180">
        <f>FME_Ranking1[[#This Row],[Critical Facilities Score (Normalized, Unweighted)]]*$R$3</f>
        <v>0</v>
      </c>
      <c r="U1042">
        <f>_xlfn.XLOOKUP(FME_Ranking1[[#This Row],[FME ID]],FME_Input[FME_ID],FME_Input[LWC])</f>
        <v>1</v>
      </c>
      <c r="V1042" s="178">
        <f>(FME_Ranking1[[#This Row],[LWC Raw]]/$U$2)*100</f>
        <v>5.7570523891767422E-2</v>
      </c>
      <c r="W1042" s="178">
        <f>FME_Ranking1[[#This Row],[LWC Score (Normalized, Unweighted)]]*$U$3</f>
        <v>1.1514104778353485E-2</v>
      </c>
      <c r="X1042" s="246">
        <f>_xlfn.XLOOKUP(FME_Ranking1[[#This Row],[FME ID]],FME_Input[FME_ID],FME_Input[ROADCLS])</f>
        <v>0</v>
      </c>
      <c r="Y1042" s="230">
        <f>(FME_Ranking1[[#This Row],[Closures Raw]]/$X$2)*100</f>
        <v>0</v>
      </c>
      <c r="Z1042" s="180">
        <f>FME_Ranking1[[#This Row],[Closures Score (Normalized, Unweighted)]]*$X$3</f>
        <v>0</v>
      </c>
      <c r="AA1042" s="253">
        <f>_xlfn.XLOOKUP(FME_Ranking1[[#This Row],[FME ID]],FME_Input[FME_ID],FME_Input[ROAD_MILES100])</f>
        <v>53.131050109863281</v>
      </c>
      <c r="AB1042" s="178">
        <f>(FME_Ranking1[[#This Row],[Miles Raw]]/$AA$2)*100</f>
        <v>0.69857801393260477</v>
      </c>
      <c r="AC1042" s="178">
        <f>FME_Ranking1[[#This Row],[Miles Score (Normalized, Unweighted)]]*$AA$3</f>
        <v>6.9857801393260477E-2</v>
      </c>
      <c r="AD1042" s="255">
        <f>_xlfn.XLOOKUP(FME_Ranking1[[#This Row],[FME ID]],FME_Input[FME_ID],FME_Input[FARMACRE100])</f>
        <v>25847.232421875</v>
      </c>
      <c r="AE1042" s="230">
        <f>(FME_Ranking1[[#This Row],[Ag Land Raw]]/$AD$2)*100</f>
        <v>1.0658241598468265</v>
      </c>
      <c r="AF1042" s="231">
        <f>FME_Ranking1[[#This Row],[Ag Land Score (Normalized, Unweighted)]]*$AD$3</f>
        <v>5.3291207992341327E-2</v>
      </c>
      <c r="AG104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0.15387351031709245</v>
      </c>
      <c r="AH1042" s="406">
        <f t="shared" si="16"/>
        <v>889</v>
      </c>
      <c r="AI104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0.15387351031709245</v>
      </c>
      <c r="AJ1042" s="257">
        <f>FME_Ranking1[[#This Row],[Addition check]]-FME_Ranking1[[#This Row],[Weighted Score Based on Normalized Reported Factors]]</f>
        <v>0</v>
      </c>
      <c r="AK1042" s="178">
        <f>_xlfn.RANK.EQ(AI1042,$AI$6:$AI$2341,0)+COUNTIF($AI$6:AI1042,AI1042)-1</f>
        <v>890</v>
      </c>
    </row>
    <row r="1043" spans="1:37" x14ac:dyDescent="0.25">
      <c r="A1043" t="s">
        <v>6207</v>
      </c>
      <c r="B1043">
        <f>_xlfn.XLOOKUP(FME_Ranking1[[#This Row],[FME ID]],FME_Input[FME_ID],FME_Input[RFPG_NUM])</f>
        <v>5</v>
      </c>
      <c r="C1043" t="str">
        <f>_xlfn.XLOOKUP(FME_Ranking1[[#This Row],[FME ID]],FME_Input[FME_ID],FME_Input[FME_NAME])</f>
        <v>City of Nederland Master Drainage Plan</v>
      </c>
      <c r="D1043"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1043" s="256">
        <f>_xlfn.XLOOKUP(FME_Ranking1[[#This Row],[FME ID]],FME_Input[FME_ID],FME_Input[FME_COST])</f>
        <v>240000</v>
      </c>
      <c r="F1043" t="str">
        <f>_xlfn.XLOOKUP(FME_Ranking1[[#This Row],[FME ID]],FME_Input[FME_ID],FME_Input[EMER_NEED])</f>
        <v>Yes</v>
      </c>
      <c r="G1043">
        <f>IF(FME_Ranking!F1043="Yes",100,0)</f>
        <v>100</v>
      </c>
      <c r="H1043">
        <f>FME_Ranking1[[#This Row],[Emergency Need Score (Normalized, Unweighted)]]*$F$3</f>
        <v>0</v>
      </c>
      <c r="I1043" s="246">
        <f>_xlfn.XLOOKUP(FME_Ranking1[[#This Row],[FME ID]],FME_Input[FME_ID],FME_Input[STRUCT_100])</f>
        <v>381</v>
      </c>
      <c r="J1043" s="178">
        <f>(FME_Ranking1[[#This Row],[Structures 100 Raw]]/I$2)*100</f>
        <v>0.20402261920061687</v>
      </c>
      <c r="K1043" s="178">
        <f>FME_Ranking1[[#This Row],[Structures 100  Score (Normalized, Unweighted)]]*$I$3</f>
        <v>3.060339288009253E-2</v>
      </c>
      <c r="L1043" s="246">
        <f>_xlfn.XLOOKUP(FME_Ranking1[[#This Row],[FME ID]],FME_Input[FME_ID],FME_Input[RES_STRUCT100])</f>
        <v>163</v>
      </c>
      <c r="M1043" s="230">
        <f>(FME_Ranking1[[#This Row],[Res Structures Raw]]/L$2)*100</f>
        <v>0.11545381139238713</v>
      </c>
      <c r="N1043" s="180">
        <f>FME_Ranking1[[#This Row],[Res Structures Score (Normalized, Unweighted)]]*$L$3</f>
        <v>1.1545381139238713E-2</v>
      </c>
      <c r="O1043" s="244">
        <f>_xlfn.XLOOKUP(FME_Ranking1[[#This Row],[FME ID]],FME_Input[FME_ID],FME_Input[POP100])</f>
        <v>1050</v>
      </c>
      <c r="P1043" s="178">
        <f>(FME_Ranking1[[#This Row],[Pop Raw]]/$O$2)*100</f>
        <v>0.10749407758820145</v>
      </c>
      <c r="Q1043" s="178">
        <f>FME_Ranking1[[#This Row],[Pop Score (Normalized, Unweighted)]]*$O$3</f>
        <v>1.6124111638230219E-2</v>
      </c>
      <c r="R1043" s="137">
        <f>_xlfn.XLOOKUP(FME_Ranking1[[#This Row],[FME ID]],FME_Input[FME_ID],FME_Input[CRITFAC100])</f>
        <v>3</v>
      </c>
      <c r="S1043" s="230">
        <f>(FME_Ranking1[[#This Row],[Critical Facilities Raw]]/$R$2)*100</f>
        <v>0.1286449399656947</v>
      </c>
      <c r="T1043" s="180">
        <f>FME_Ranking1[[#This Row],[Critical Facilities Score (Normalized, Unweighted)]]*$R$3</f>
        <v>2.5728987993138941E-2</v>
      </c>
      <c r="U1043">
        <f>_xlfn.XLOOKUP(FME_Ranking1[[#This Row],[FME ID]],FME_Input[FME_ID],FME_Input[LWC])</f>
        <v>0</v>
      </c>
      <c r="V1043" s="178">
        <f>(FME_Ranking1[[#This Row],[LWC Raw]]/$U$2)*100</f>
        <v>0</v>
      </c>
      <c r="W1043" s="178">
        <f>FME_Ranking1[[#This Row],[LWC Score (Normalized, Unweighted)]]*$U$3</f>
        <v>0</v>
      </c>
      <c r="X1043" s="246">
        <f>_xlfn.XLOOKUP(FME_Ranking1[[#This Row],[FME ID]],FME_Input[FME_ID],FME_Input[ROADCLS])</f>
        <v>0</v>
      </c>
      <c r="Y1043" s="230">
        <f>(FME_Ranking1[[#This Row],[Closures Raw]]/$X$2)*100</f>
        <v>0</v>
      </c>
      <c r="Z1043" s="180">
        <f>FME_Ranking1[[#This Row],[Closures Score (Normalized, Unweighted)]]*$X$3</f>
        <v>0</v>
      </c>
      <c r="AA1043" s="253">
        <f>_xlfn.XLOOKUP(FME_Ranking1[[#This Row],[FME ID]],FME_Input[FME_ID],FME_Input[ROAD_MILES100])</f>
        <v>3.170716285705566</v>
      </c>
      <c r="AB1043" s="178">
        <f>(FME_Ranking1[[#This Row],[Miles Raw]]/$AA$2)*100</f>
        <v>4.1689232210390045E-2</v>
      </c>
      <c r="AC1043" s="178">
        <f>FME_Ranking1[[#This Row],[Miles Score (Normalized, Unweighted)]]*$AA$3</f>
        <v>4.1689232210390045E-3</v>
      </c>
      <c r="AD1043" s="255">
        <f>_xlfn.XLOOKUP(FME_Ranking1[[#This Row],[FME ID]],FME_Input[FME_ID],FME_Input[FARMACRE100])</f>
        <v>0.89767789840698242</v>
      </c>
      <c r="AE1043" s="230">
        <f>(FME_Ranking1[[#This Row],[Ag Land Raw]]/$AD$2)*100</f>
        <v>3.7016218071879801E-5</v>
      </c>
      <c r="AF1043" s="231">
        <f>FME_Ranking1[[#This Row],[Ag Land Score (Normalized, Unweighted)]]*$AD$3</f>
        <v>1.8508109035939901E-6</v>
      </c>
      <c r="AG104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8.8172647682642991E-2</v>
      </c>
      <c r="AH1043" s="406">
        <f t="shared" si="16"/>
        <v>1104</v>
      </c>
      <c r="AI104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8.8172647682642991E-2</v>
      </c>
      <c r="AJ1043" s="257">
        <f>FME_Ranking1[[#This Row],[Addition check]]-FME_Ranking1[[#This Row],[Weighted Score Based on Normalized Reported Factors]]</f>
        <v>0</v>
      </c>
      <c r="AK1043" s="178">
        <f>_xlfn.RANK.EQ(AI1043,$AI$6:$AI$2341,0)+COUNTIF($AI$6:AI1043,AI1043)-1</f>
        <v>1104</v>
      </c>
    </row>
    <row r="1044" spans="1:37" x14ac:dyDescent="0.25">
      <c r="A1044" t="s">
        <v>7584</v>
      </c>
      <c r="B1044">
        <f>_xlfn.XLOOKUP(FME_Ranking1[[#This Row],[FME ID]],FME_Input[FME_ID],FME_Input[RFPG_NUM])</f>
        <v>8</v>
      </c>
      <c r="C1044" t="str">
        <f>_xlfn.XLOOKUP(FME_Ranking1[[#This Row],[FME ID]],FME_Input[FME_ID],FME_Input[FME_NAME])</f>
        <v>Briar Creek Improvements</v>
      </c>
      <c r="D1044" t="str">
        <f>_xlfn.XLOOKUP(FME_Ranking1[[#This Row],[FME ID]],FME_Input[FME_ID],FME_Input[DESCR])</f>
        <v>Channel and crossing improvements along Briar Creek and Red River Trib to increase capacity of hydraulic infrastructure.</v>
      </c>
      <c r="E1044" s="256">
        <f>_xlfn.XLOOKUP(FME_Ranking1[[#This Row],[FME ID]],FME_Input[FME_ID],FME_Input[FME_COST])</f>
        <v>364000</v>
      </c>
      <c r="F1044" t="str">
        <f>_xlfn.XLOOKUP(FME_Ranking1[[#This Row],[FME ID]],FME_Input[FME_ID],FME_Input[EMER_NEED])</f>
        <v>No</v>
      </c>
      <c r="G1044">
        <f>IF(FME_Ranking!F1044="Yes",100,0)</f>
        <v>0</v>
      </c>
      <c r="H1044">
        <f>FME_Ranking1[[#This Row],[Emergency Need Score (Normalized, Unweighted)]]*$F$3</f>
        <v>0</v>
      </c>
      <c r="I1044" s="246">
        <f>_xlfn.XLOOKUP(FME_Ranking1[[#This Row],[FME ID]],FME_Input[FME_ID],FME_Input[STRUCT_100])</f>
        <v>100</v>
      </c>
      <c r="J1044" s="178">
        <f>(FME_Ranking1[[#This Row],[Structures 100 Raw]]/I$2)*100</f>
        <v>5.3549243884676342E-2</v>
      </c>
      <c r="K1044" s="178">
        <f>FME_Ranking1[[#This Row],[Structures 100  Score (Normalized, Unweighted)]]*$I$3</f>
        <v>8.0323865827014503E-3</v>
      </c>
      <c r="L1044" s="246">
        <f>_xlfn.XLOOKUP(FME_Ranking1[[#This Row],[FME ID]],FME_Input[FME_ID],FME_Input[RES_STRUCT100])</f>
        <v>93</v>
      </c>
      <c r="M1044" s="230">
        <f>(FME_Ranking1[[#This Row],[Res Structures Raw]]/L$2)*100</f>
        <v>6.5872419996883452E-2</v>
      </c>
      <c r="N1044" s="180">
        <f>FME_Ranking1[[#This Row],[Res Structures Score (Normalized, Unweighted)]]*$L$3</f>
        <v>6.5872419996883457E-3</v>
      </c>
      <c r="O1044" s="244">
        <f>_xlfn.XLOOKUP(FME_Ranking1[[#This Row],[FME ID]],FME_Input[FME_ID],FME_Input[POP100])</f>
        <v>242</v>
      </c>
      <c r="P1044" s="178">
        <f>(FME_Ranking1[[#This Row],[Pop Raw]]/$O$2)*100</f>
        <v>2.4774825501280715E-2</v>
      </c>
      <c r="Q1044" s="178">
        <f>FME_Ranking1[[#This Row],[Pop Score (Normalized, Unweighted)]]*$O$3</f>
        <v>3.7162238251921072E-3</v>
      </c>
      <c r="R1044" s="137">
        <f>_xlfn.XLOOKUP(FME_Ranking1[[#This Row],[FME ID]],FME_Input[FME_ID],FME_Input[CRITFAC100])</f>
        <v>0</v>
      </c>
      <c r="S1044" s="230">
        <f>(FME_Ranking1[[#This Row],[Critical Facilities Raw]]/$R$2)*100</f>
        <v>0</v>
      </c>
      <c r="T1044" s="180">
        <f>FME_Ranking1[[#This Row],[Critical Facilities Score (Normalized, Unweighted)]]*$R$3</f>
        <v>0</v>
      </c>
      <c r="U1044">
        <f>_xlfn.XLOOKUP(FME_Ranking1[[#This Row],[FME ID]],FME_Input[FME_ID],FME_Input[LWC])</f>
        <v>5</v>
      </c>
      <c r="V1044" s="178">
        <f>(FME_Ranking1[[#This Row],[LWC Raw]]/$U$2)*100</f>
        <v>0.28785261945883706</v>
      </c>
      <c r="W1044" s="178">
        <f>FME_Ranking1[[#This Row],[LWC Score (Normalized, Unweighted)]]*$U$3</f>
        <v>5.7570523891767415E-2</v>
      </c>
      <c r="X1044" s="246">
        <f>_xlfn.XLOOKUP(FME_Ranking1[[#This Row],[FME ID]],FME_Input[FME_ID],FME_Input[ROADCLS])</f>
        <v>15</v>
      </c>
      <c r="Y1044" s="230">
        <f>(FME_Ranking1[[#This Row],[Closures Raw]]/$X$2)*100</f>
        <v>0.15771212280517297</v>
      </c>
      <c r="Z1044" s="180">
        <f>FME_Ranking1[[#This Row],[Closures Score (Normalized, Unweighted)]]*$X$3</f>
        <v>7.8856061402586483E-3</v>
      </c>
      <c r="AA1044" s="253">
        <f>_xlfn.XLOOKUP(FME_Ranking1[[#This Row],[FME ID]],FME_Input[FME_ID],FME_Input[ROAD_MILES100])</f>
        <v>1.894590020179749</v>
      </c>
      <c r="AB1044" s="178">
        <f>(FME_Ranking1[[#This Row],[Miles Raw]]/$AA$2)*100</f>
        <v>2.4910460658634788E-2</v>
      </c>
      <c r="AC1044" s="178">
        <f>FME_Ranking1[[#This Row],[Miles Score (Normalized, Unweighted)]]*$AA$3</f>
        <v>2.491046065863479E-3</v>
      </c>
      <c r="AD1044" s="255">
        <f>_xlfn.XLOOKUP(FME_Ranking1[[#This Row],[FME ID]],FME_Input[FME_ID],FME_Input[FARMACRE100])</f>
        <v>7.3764700889587402</v>
      </c>
      <c r="AE1044" s="230">
        <f>(FME_Ranking1[[#This Row],[Ag Land Raw]]/$AD$2)*100</f>
        <v>3.0417260567309015E-4</v>
      </c>
      <c r="AF1044" s="231">
        <f>FME_Ranking1[[#This Row],[Ag Land Score (Normalized, Unweighted)]]*$AD$3</f>
        <v>1.5208630283654508E-5</v>
      </c>
      <c r="AG104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8.6298237135755115E-2</v>
      </c>
      <c r="AH1044" s="406">
        <f t="shared" si="16"/>
        <v>1109</v>
      </c>
      <c r="AI104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8.6298237135755115E-2</v>
      </c>
      <c r="AJ1044" s="257">
        <f>FME_Ranking1[[#This Row],[Addition check]]-FME_Ranking1[[#This Row],[Weighted Score Based on Normalized Reported Factors]]</f>
        <v>0</v>
      </c>
      <c r="AK1044" s="178">
        <f>_xlfn.RANK.EQ(AI1044,$AI$6:$AI$2341,0)+COUNTIF($AI$6:AI1044,AI1044)-1</f>
        <v>1109</v>
      </c>
    </row>
    <row r="1045" spans="1:37" x14ac:dyDescent="0.25">
      <c r="A1045" t="s">
        <v>7663</v>
      </c>
      <c r="B1045">
        <f>_xlfn.XLOOKUP(FME_Ranking1[[#This Row],[FME ID]],FME_Input[FME_ID],FME_Input[RFPG_NUM])</f>
        <v>8</v>
      </c>
      <c r="C1045" t="str">
        <f>_xlfn.XLOOKUP(FME_Ranking1[[#This Row],[FME ID]],FME_Input[FME_ID],FME_Input[FME_NAME])</f>
        <v>Philips Event Center Detention Pond at Hole 8 - Maintenance and Dredging</v>
      </c>
      <c r="D1045" t="str">
        <f>_xlfn.XLOOKUP(FME_Ranking1[[#This Row],[FME ID]],FME_Input[FME_ID],FME_Input[DESCR])</f>
        <v>Maintenance on detention pond to increase storage.</v>
      </c>
      <c r="E1045" s="256">
        <f>_xlfn.XLOOKUP(FME_Ranking1[[#This Row],[FME ID]],FME_Input[FME_ID],FME_Input[FME_COST])</f>
        <v>129000</v>
      </c>
      <c r="F1045" t="str">
        <f>_xlfn.XLOOKUP(FME_Ranking1[[#This Row],[FME ID]],FME_Input[FME_ID],FME_Input[EMER_NEED])</f>
        <v>No</v>
      </c>
      <c r="G1045">
        <f>IF(FME_Ranking!F1045="Yes",100,0)</f>
        <v>0</v>
      </c>
      <c r="H1045">
        <f>FME_Ranking1[[#This Row],[Emergency Need Score (Normalized, Unweighted)]]*$F$3</f>
        <v>0</v>
      </c>
      <c r="I1045" s="246">
        <f>_xlfn.XLOOKUP(FME_Ranking1[[#This Row],[FME ID]],FME_Input[FME_ID],FME_Input[STRUCT_100])</f>
        <v>100</v>
      </c>
      <c r="J1045" s="178">
        <f>(FME_Ranking1[[#This Row],[Structures 100 Raw]]/I$2)*100</f>
        <v>5.3549243884676342E-2</v>
      </c>
      <c r="K1045" s="178">
        <f>FME_Ranking1[[#This Row],[Structures 100  Score (Normalized, Unweighted)]]*$I$3</f>
        <v>8.0323865827014503E-3</v>
      </c>
      <c r="L1045" s="246">
        <f>_xlfn.XLOOKUP(FME_Ranking1[[#This Row],[FME ID]],FME_Input[FME_ID],FME_Input[RES_STRUCT100])</f>
        <v>93</v>
      </c>
      <c r="M1045" s="230">
        <f>(FME_Ranking1[[#This Row],[Res Structures Raw]]/L$2)*100</f>
        <v>6.5872419996883452E-2</v>
      </c>
      <c r="N1045" s="180">
        <f>FME_Ranking1[[#This Row],[Res Structures Score (Normalized, Unweighted)]]*$L$3</f>
        <v>6.5872419996883457E-3</v>
      </c>
      <c r="O1045" s="244">
        <f>_xlfn.XLOOKUP(FME_Ranking1[[#This Row],[FME ID]],FME_Input[FME_ID],FME_Input[POP100])</f>
        <v>242</v>
      </c>
      <c r="P1045" s="178">
        <f>(FME_Ranking1[[#This Row],[Pop Raw]]/$O$2)*100</f>
        <v>2.4774825501280715E-2</v>
      </c>
      <c r="Q1045" s="178">
        <f>FME_Ranking1[[#This Row],[Pop Score (Normalized, Unweighted)]]*$O$3</f>
        <v>3.7162238251921072E-3</v>
      </c>
      <c r="R1045" s="137">
        <f>_xlfn.XLOOKUP(FME_Ranking1[[#This Row],[FME ID]],FME_Input[FME_ID],FME_Input[CRITFAC100])</f>
        <v>0</v>
      </c>
      <c r="S1045" s="230">
        <f>(FME_Ranking1[[#This Row],[Critical Facilities Raw]]/$R$2)*100</f>
        <v>0</v>
      </c>
      <c r="T1045" s="180">
        <f>FME_Ranking1[[#This Row],[Critical Facilities Score (Normalized, Unweighted)]]*$R$3</f>
        <v>0</v>
      </c>
      <c r="U1045">
        <f>_xlfn.XLOOKUP(FME_Ranking1[[#This Row],[FME ID]],FME_Input[FME_ID],FME_Input[LWC])</f>
        <v>5</v>
      </c>
      <c r="V1045" s="178">
        <f>(FME_Ranking1[[#This Row],[LWC Raw]]/$U$2)*100</f>
        <v>0.28785261945883706</v>
      </c>
      <c r="W1045" s="178">
        <f>FME_Ranking1[[#This Row],[LWC Score (Normalized, Unweighted)]]*$U$3</f>
        <v>5.7570523891767415E-2</v>
      </c>
      <c r="X1045" s="246">
        <f>_xlfn.XLOOKUP(FME_Ranking1[[#This Row],[FME ID]],FME_Input[FME_ID],FME_Input[ROADCLS])</f>
        <v>15</v>
      </c>
      <c r="Y1045" s="230">
        <f>(FME_Ranking1[[#This Row],[Closures Raw]]/$X$2)*100</f>
        <v>0.15771212280517297</v>
      </c>
      <c r="Z1045" s="180">
        <f>FME_Ranking1[[#This Row],[Closures Score (Normalized, Unweighted)]]*$X$3</f>
        <v>7.8856061402586483E-3</v>
      </c>
      <c r="AA1045" s="253">
        <f>_xlfn.XLOOKUP(FME_Ranking1[[#This Row],[FME ID]],FME_Input[FME_ID],FME_Input[ROAD_MILES100])</f>
        <v>1.894590020179749</v>
      </c>
      <c r="AB1045" s="178">
        <f>(FME_Ranking1[[#This Row],[Miles Raw]]/$AA$2)*100</f>
        <v>2.4910460658634788E-2</v>
      </c>
      <c r="AC1045" s="178">
        <f>FME_Ranking1[[#This Row],[Miles Score (Normalized, Unweighted)]]*$AA$3</f>
        <v>2.491046065863479E-3</v>
      </c>
      <c r="AD1045" s="255">
        <f>_xlfn.XLOOKUP(FME_Ranking1[[#This Row],[FME ID]],FME_Input[FME_ID],FME_Input[FARMACRE100])</f>
        <v>7.3764700889587402</v>
      </c>
      <c r="AE1045" s="230">
        <f>(FME_Ranking1[[#This Row],[Ag Land Raw]]/$AD$2)*100</f>
        <v>3.0417260567309015E-4</v>
      </c>
      <c r="AF1045" s="231">
        <f>FME_Ranking1[[#This Row],[Ag Land Score (Normalized, Unweighted)]]*$AD$3</f>
        <v>1.5208630283654508E-5</v>
      </c>
      <c r="AG104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8.6298237135755115E-2</v>
      </c>
      <c r="AH1045" s="406">
        <f t="shared" si="16"/>
        <v>1109</v>
      </c>
      <c r="AI104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8.6298237135755115E-2</v>
      </c>
      <c r="AJ1045" s="257">
        <f>FME_Ranking1[[#This Row],[Addition check]]-FME_Ranking1[[#This Row],[Weighted Score Based on Normalized Reported Factors]]</f>
        <v>0</v>
      </c>
      <c r="AK1045" s="178">
        <f>_xlfn.RANK.EQ(AI1045,$AI$6:$AI$2341,0)+COUNTIF($AI$6:AI1045,AI1045)-1</f>
        <v>1110</v>
      </c>
    </row>
    <row r="1046" spans="1:37" x14ac:dyDescent="0.25">
      <c r="A1046" t="s">
        <v>7667</v>
      </c>
      <c r="B1046">
        <f>_xlfn.XLOOKUP(FME_Ranking1[[#This Row],[FME ID]],FME_Input[FME_ID],FME_Input[RFPG_NUM])</f>
        <v>8</v>
      </c>
      <c r="C1046" t="str">
        <f>_xlfn.XLOOKUP(FME_Ranking1[[#This Row],[FME ID]],FME_Input[FME_ID],FME_Input[FME_NAME])</f>
        <v>Improve Undersized Storm Sewers in Briar Creek DB</v>
      </c>
      <c r="D1046" t="str">
        <f>_xlfn.XLOOKUP(FME_Ranking1[[#This Row],[FME ID]],FME_Input[FME_ID],FME_Input[DESCR])</f>
        <v>Update modeling to Atlas 14 to determine appropriate sizing for storm sewer in the region.</v>
      </c>
      <c r="E1046" s="256">
        <f>_xlfn.XLOOKUP(FME_Ranking1[[#This Row],[FME ID]],FME_Input[FME_ID],FME_Input[FME_COST])</f>
        <v>100000</v>
      </c>
      <c r="F1046" t="str">
        <f>_xlfn.XLOOKUP(FME_Ranking1[[#This Row],[FME ID]],FME_Input[FME_ID],FME_Input[EMER_NEED])</f>
        <v>No</v>
      </c>
      <c r="G1046">
        <f>IF(FME_Ranking!F1046="Yes",100,0)</f>
        <v>0</v>
      </c>
      <c r="H1046">
        <f>FME_Ranking1[[#This Row],[Emergency Need Score (Normalized, Unweighted)]]*$F$3</f>
        <v>0</v>
      </c>
      <c r="I1046" s="246">
        <f>_xlfn.XLOOKUP(FME_Ranking1[[#This Row],[FME ID]],FME_Input[FME_ID],FME_Input[STRUCT_100])</f>
        <v>100</v>
      </c>
      <c r="J1046" s="178">
        <f>(FME_Ranking1[[#This Row],[Structures 100 Raw]]/I$2)*100</f>
        <v>5.3549243884676342E-2</v>
      </c>
      <c r="K1046" s="178">
        <f>FME_Ranking1[[#This Row],[Structures 100  Score (Normalized, Unweighted)]]*$I$3</f>
        <v>8.0323865827014503E-3</v>
      </c>
      <c r="L1046" s="246">
        <f>_xlfn.XLOOKUP(FME_Ranking1[[#This Row],[FME ID]],FME_Input[FME_ID],FME_Input[RES_STRUCT100])</f>
        <v>93</v>
      </c>
      <c r="M1046" s="230">
        <f>(FME_Ranking1[[#This Row],[Res Structures Raw]]/L$2)*100</f>
        <v>6.5872419996883452E-2</v>
      </c>
      <c r="N1046" s="180">
        <f>FME_Ranking1[[#This Row],[Res Structures Score (Normalized, Unweighted)]]*$L$3</f>
        <v>6.5872419996883457E-3</v>
      </c>
      <c r="O1046" s="244">
        <f>_xlfn.XLOOKUP(FME_Ranking1[[#This Row],[FME ID]],FME_Input[FME_ID],FME_Input[POP100])</f>
        <v>242</v>
      </c>
      <c r="P1046" s="178">
        <f>(FME_Ranking1[[#This Row],[Pop Raw]]/$O$2)*100</f>
        <v>2.4774825501280715E-2</v>
      </c>
      <c r="Q1046" s="178">
        <f>FME_Ranking1[[#This Row],[Pop Score (Normalized, Unweighted)]]*$O$3</f>
        <v>3.7162238251921072E-3</v>
      </c>
      <c r="R1046" s="137">
        <f>_xlfn.XLOOKUP(FME_Ranking1[[#This Row],[FME ID]],FME_Input[FME_ID],FME_Input[CRITFAC100])</f>
        <v>0</v>
      </c>
      <c r="S1046" s="230">
        <f>(FME_Ranking1[[#This Row],[Critical Facilities Raw]]/$R$2)*100</f>
        <v>0</v>
      </c>
      <c r="T1046" s="180">
        <f>FME_Ranking1[[#This Row],[Critical Facilities Score (Normalized, Unweighted)]]*$R$3</f>
        <v>0</v>
      </c>
      <c r="U1046">
        <f>_xlfn.XLOOKUP(FME_Ranking1[[#This Row],[FME ID]],FME_Input[FME_ID],FME_Input[LWC])</f>
        <v>5</v>
      </c>
      <c r="V1046" s="178">
        <f>(FME_Ranking1[[#This Row],[LWC Raw]]/$U$2)*100</f>
        <v>0.28785261945883706</v>
      </c>
      <c r="W1046" s="178">
        <f>FME_Ranking1[[#This Row],[LWC Score (Normalized, Unweighted)]]*$U$3</f>
        <v>5.7570523891767415E-2</v>
      </c>
      <c r="X1046" s="246">
        <f>_xlfn.XLOOKUP(FME_Ranking1[[#This Row],[FME ID]],FME_Input[FME_ID],FME_Input[ROADCLS])</f>
        <v>15</v>
      </c>
      <c r="Y1046" s="230">
        <f>(FME_Ranking1[[#This Row],[Closures Raw]]/$X$2)*100</f>
        <v>0.15771212280517297</v>
      </c>
      <c r="Z1046" s="180">
        <f>FME_Ranking1[[#This Row],[Closures Score (Normalized, Unweighted)]]*$X$3</f>
        <v>7.8856061402586483E-3</v>
      </c>
      <c r="AA1046" s="253">
        <f>_xlfn.XLOOKUP(FME_Ranking1[[#This Row],[FME ID]],FME_Input[FME_ID],FME_Input[ROAD_MILES100])</f>
        <v>1.894590020179749</v>
      </c>
      <c r="AB1046" s="178">
        <f>(FME_Ranking1[[#This Row],[Miles Raw]]/$AA$2)*100</f>
        <v>2.4910460658634788E-2</v>
      </c>
      <c r="AC1046" s="178">
        <f>FME_Ranking1[[#This Row],[Miles Score (Normalized, Unweighted)]]*$AA$3</f>
        <v>2.491046065863479E-3</v>
      </c>
      <c r="AD1046" s="255">
        <f>_xlfn.XLOOKUP(FME_Ranking1[[#This Row],[FME ID]],FME_Input[FME_ID],FME_Input[FARMACRE100])</f>
        <v>7.3764700889587402</v>
      </c>
      <c r="AE1046" s="230">
        <f>(FME_Ranking1[[#This Row],[Ag Land Raw]]/$AD$2)*100</f>
        <v>3.0417260567309015E-4</v>
      </c>
      <c r="AF1046" s="231">
        <f>FME_Ranking1[[#This Row],[Ag Land Score (Normalized, Unweighted)]]*$AD$3</f>
        <v>1.5208630283654508E-5</v>
      </c>
      <c r="AG104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8.6298237135755115E-2</v>
      </c>
      <c r="AH1046" s="406">
        <f t="shared" si="16"/>
        <v>1109</v>
      </c>
      <c r="AI104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8.6298237135755115E-2</v>
      </c>
      <c r="AJ1046" s="257">
        <f>FME_Ranking1[[#This Row],[Addition check]]-FME_Ranking1[[#This Row],[Weighted Score Based on Normalized Reported Factors]]</f>
        <v>0</v>
      </c>
      <c r="AK1046" s="178">
        <f>_xlfn.RANK.EQ(AI1046,$AI$6:$AI$2341,0)+COUNTIF($AI$6:AI1046,AI1046)-1</f>
        <v>1111</v>
      </c>
    </row>
    <row r="1047" spans="1:37" x14ac:dyDescent="0.25">
      <c r="A1047" t="s">
        <v>5577</v>
      </c>
      <c r="B1047">
        <f>_xlfn.XLOOKUP(FME_Ranking1[[#This Row],[FME ID]],FME_Input[FME_ID],FME_Input[RFPG_NUM])</f>
        <v>4</v>
      </c>
      <c r="C1047" t="str">
        <f>_xlfn.XLOOKUP(FME_Ranking1[[#This Row],[FME ID]],FME_Input[FME_ID],FME_Input[FME_NAME])</f>
        <v>Kirbyville Drainage Master Plan</v>
      </c>
      <c r="D1047" t="str">
        <f>_xlfn.XLOOKUP(FME_Ranking1[[#This Row],[FME ID]],FME_Input[FME_ID],FME_Input[DESCR])</f>
        <v>Perform study of existing culverts and drainage capabilities in town. Identify upgrades to drainage infrastructure capacity where needed.</v>
      </c>
      <c r="E1047" s="256">
        <f>_xlfn.XLOOKUP(FME_Ranking1[[#This Row],[FME ID]],FME_Input[FME_ID],FME_Input[FME_COST])</f>
        <v>600000</v>
      </c>
      <c r="F1047" t="str">
        <f>_xlfn.XLOOKUP(FME_Ranking1[[#This Row],[FME ID]],FME_Input[FME_ID],FME_Input[EMER_NEED])</f>
        <v>Yes</v>
      </c>
      <c r="G1047">
        <f>IF(FME_Ranking!F1047="Yes",100,0)</f>
        <v>100</v>
      </c>
      <c r="H1047">
        <f>FME_Ranking1[[#This Row],[Emergency Need Score (Normalized, Unweighted)]]*$F$3</f>
        <v>0</v>
      </c>
      <c r="I1047" s="246">
        <f>_xlfn.XLOOKUP(FME_Ranking1[[#This Row],[FME ID]],FME_Input[FME_ID],FME_Input[STRUCT_100])</f>
        <v>135</v>
      </c>
      <c r="J1047" s="178">
        <f>(FME_Ranking1[[#This Row],[Structures 100 Raw]]/I$2)*100</f>
        <v>7.2291479244313075E-2</v>
      </c>
      <c r="K1047" s="178">
        <f>FME_Ranking1[[#This Row],[Structures 100  Score (Normalized, Unweighted)]]*$I$3</f>
        <v>1.0843721886646961E-2</v>
      </c>
      <c r="L1047" s="246">
        <f>_xlfn.XLOOKUP(FME_Ranking1[[#This Row],[FME ID]],FME_Input[FME_ID],FME_Input[RES_STRUCT100])</f>
        <v>44</v>
      </c>
      <c r="M1047" s="230">
        <f>(FME_Ranking1[[#This Row],[Res Structures Raw]]/L$2)*100</f>
        <v>3.1165446020030883E-2</v>
      </c>
      <c r="N1047" s="180">
        <f>FME_Ranking1[[#This Row],[Res Structures Score (Normalized, Unweighted)]]*$L$3</f>
        <v>3.1165446020030886E-3</v>
      </c>
      <c r="O1047" s="244">
        <f>_xlfn.XLOOKUP(FME_Ranking1[[#This Row],[FME ID]],FME_Input[FME_ID],FME_Input[POP100])</f>
        <v>517</v>
      </c>
      <c r="P1047" s="178">
        <f>(FME_Ranking1[[#This Row],[Pop Raw]]/$O$2)*100</f>
        <v>5.2928036298190616E-2</v>
      </c>
      <c r="Q1047" s="178">
        <f>FME_Ranking1[[#This Row],[Pop Score (Normalized, Unweighted)]]*$O$3</f>
        <v>7.939205444728592E-3</v>
      </c>
      <c r="R1047" s="137">
        <f>_xlfn.XLOOKUP(FME_Ranking1[[#This Row],[FME ID]],FME_Input[FME_ID],FME_Input[CRITFAC100])</f>
        <v>3</v>
      </c>
      <c r="S1047" s="230">
        <f>(FME_Ranking1[[#This Row],[Critical Facilities Raw]]/$R$2)*100</f>
        <v>0.1286449399656947</v>
      </c>
      <c r="T1047" s="180">
        <f>FME_Ranking1[[#This Row],[Critical Facilities Score (Normalized, Unweighted)]]*$R$3</f>
        <v>2.5728987993138941E-2</v>
      </c>
      <c r="U1047">
        <f>_xlfn.XLOOKUP(FME_Ranking1[[#This Row],[FME ID]],FME_Input[FME_ID],FME_Input[LWC])</f>
        <v>3</v>
      </c>
      <c r="V1047" s="178">
        <f>(FME_Ranking1[[#This Row],[LWC Raw]]/$U$2)*100</f>
        <v>0.17271157167530224</v>
      </c>
      <c r="W1047" s="178">
        <f>FME_Ranking1[[#This Row],[LWC Score (Normalized, Unweighted)]]*$U$3</f>
        <v>3.4542314335060449E-2</v>
      </c>
      <c r="X1047" s="246">
        <f>_xlfn.XLOOKUP(FME_Ranking1[[#This Row],[FME ID]],FME_Input[FME_ID],FME_Input[ROADCLS])</f>
        <v>3</v>
      </c>
      <c r="Y1047" s="230">
        <f>(FME_Ranking1[[#This Row],[Closures Raw]]/$X$2)*100</f>
        <v>3.1542424561034593E-2</v>
      </c>
      <c r="Z1047" s="180">
        <f>FME_Ranking1[[#This Row],[Closures Score (Normalized, Unweighted)]]*$X$3</f>
        <v>1.5771212280517297E-3</v>
      </c>
      <c r="AA1047" s="253">
        <f>_xlfn.XLOOKUP(FME_Ranking1[[#This Row],[FME ID]],FME_Input[FME_ID],FME_Input[ROAD_MILES100])</f>
        <v>2.8958513736724849</v>
      </c>
      <c r="AB1047" s="178">
        <f>(FME_Ranking1[[#This Row],[Miles Raw]]/$AA$2)*100</f>
        <v>3.8075251610518855E-2</v>
      </c>
      <c r="AC1047" s="178">
        <f>FME_Ranking1[[#This Row],[Miles Score (Normalized, Unweighted)]]*$AA$3</f>
        <v>3.8075251610518858E-3</v>
      </c>
      <c r="AD1047" s="255">
        <f>_xlfn.XLOOKUP(FME_Ranking1[[#This Row],[FME ID]],FME_Input[FME_ID],FME_Input[FARMACRE100])</f>
        <v>12.37187480926514</v>
      </c>
      <c r="AE1047" s="230">
        <f>(FME_Ranking1[[#This Row],[Ag Land Raw]]/$AD$2)*100</f>
        <v>5.1016073439086535E-4</v>
      </c>
      <c r="AF1047" s="231">
        <f>FME_Ranking1[[#This Row],[Ag Land Score (Normalized, Unweighted)]]*$AD$3</f>
        <v>2.5508036719543269E-5</v>
      </c>
      <c r="AG104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8.7580928687401194E-2</v>
      </c>
      <c r="AH1047" s="406">
        <f t="shared" si="16"/>
        <v>1105</v>
      </c>
      <c r="AI104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8.7580928687401194E-2</v>
      </c>
      <c r="AJ1047" s="257">
        <f>FME_Ranking1[[#This Row],[Addition check]]-FME_Ranking1[[#This Row],[Weighted Score Based on Normalized Reported Factors]]</f>
        <v>0</v>
      </c>
      <c r="AK1047" s="178">
        <f>_xlfn.RANK.EQ(AI1047,$AI$6:$AI$2341,0)+COUNTIF($AI$6:AI1047,AI1047)-1</f>
        <v>1105</v>
      </c>
    </row>
    <row r="1048" spans="1:37" x14ac:dyDescent="0.25">
      <c r="A1048" t="s">
        <v>5664</v>
      </c>
      <c r="B1048">
        <f>_xlfn.XLOOKUP(FME_Ranking1[[#This Row],[FME ID]],FME_Input[FME_ID],FME_Input[RFPG_NUM])</f>
        <v>4</v>
      </c>
      <c r="C1048" t="str">
        <f>_xlfn.XLOOKUP(FME_Ranking1[[#This Row],[FME ID]],FME_Input[FME_ID],FME_Input[FME_NAME])</f>
        <v>Kirbyville Drainage Improvement Study</v>
      </c>
      <c r="D1048" t="str">
        <f>_xlfn.XLOOKUP(FME_Ranking1[[#This Row],[FME ID]],FME_Input[FME_ID],FME_Input[DESCR])</f>
        <v>Study to coordinate and improve storm water drainage throughout the county; encourage new development to balance impervious surfaces with adjacent green space</v>
      </c>
      <c r="E1048" s="256">
        <f>_xlfn.XLOOKUP(FME_Ranking1[[#This Row],[FME ID]],FME_Input[FME_ID],FME_Input[FME_COST])</f>
        <v>100000</v>
      </c>
      <c r="F1048" t="str">
        <f>_xlfn.XLOOKUP(FME_Ranking1[[#This Row],[FME ID]],FME_Input[FME_ID],FME_Input[EMER_NEED])</f>
        <v>Yes</v>
      </c>
      <c r="G1048">
        <f>IF(FME_Ranking!F1048="Yes",100,0)</f>
        <v>100</v>
      </c>
      <c r="H1048">
        <f>FME_Ranking1[[#This Row],[Emergency Need Score (Normalized, Unweighted)]]*$F$3</f>
        <v>0</v>
      </c>
      <c r="I1048" s="246">
        <f>_xlfn.XLOOKUP(FME_Ranking1[[#This Row],[FME ID]],FME_Input[FME_ID],FME_Input[STRUCT_100])</f>
        <v>135</v>
      </c>
      <c r="J1048" s="178">
        <f>(FME_Ranking1[[#This Row],[Structures 100 Raw]]/I$2)*100</f>
        <v>7.2291479244313075E-2</v>
      </c>
      <c r="K1048" s="178">
        <f>FME_Ranking1[[#This Row],[Structures 100  Score (Normalized, Unweighted)]]*$I$3</f>
        <v>1.0843721886646961E-2</v>
      </c>
      <c r="L1048" s="246">
        <f>_xlfn.XLOOKUP(FME_Ranking1[[#This Row],[FME ID]],FME_Input[FME_ID],FME_Input[RES_STRUCT100])</f>
        <v>44</v>
      </c>
      <c r="M1048" s="230">
        <f>(FME_Ranking1[[#This Row],[Res Structures Raw]]/L$2)*100</f>
        <v>3.1165446020030883E-2</v>
      </c>
      <c r="N1048" s="180">
        <f>FME_Ranking1[[#This Row],[Res Structures Score (Normalized, Unweighted)]]*$L$3</f>
        <v>3.1165446020030886E-3</v>
      </c>
      <c r="O1048" s="244">
        <f>_xlfn.XLOOKUP(FME_Ranking1[[#This Row],[FME ID]],FME_Input[FME_ID],FME_Input[POP100])</f>
        <v>517</v>
      </c>
      <c r="P1048" s="178">
        <f>(FME_Ranking1[[#This Row],[Pop Raw]]/$O$2)*100</f>
        <v>5.2928036298190616E-2</v>
      </c>
      <c r="Q1048" s="178">
        <f>FME_Ranking1[[#This Row],[Pop Score (Normalized, Unweighted)]]*$O$3</f>
        <v>7.939205444728592E-3</v>
      </c>
      <c r="R1048" s="137">
        <f>_xlfn.XLOOKUP(FME_Ranking1[[#This Row],[FME ID]],FME_Input[FME_ID],FME_Input[CRITFAC100])</f>
        <v>3</v>
      </c>
      <c r="S1048" s="230">
        <f>(FME_Ranking1[[#This Row],[Critical Facilities Raw]]/$R$2)*100</f>
        <v>0.1286449399656947</v>
      </c>
      <c r="T1048" s="180">
        <f>FME_Ranking1[[#This Row],[Critical Facilities Score (Normalized, Unweighted)]]*$R$3</f>
        <v>2.5728987993138941E-2</v>
      </c>
      <c r="U1048">
        <f>_xlfn.XLOOKUP(FME_Ranking1[[#This Row],[FME ID]],FME_Input[FME_ID],FME_Input[LWC])</f>
        <v>3</v>
      </c>
      <c r="V1048" s="178">
        <f>(FME_Ranking1[[#This Row],[LWC Raw]]/$U$2)*100</f>
        <v>0.17271157167530224</v>
      </c>
      <c r="W1048" s="178">
        <f>FME_Ranking1[[#This Row],[LWC Score (Normalized, Unweighted)]]*$U$3</f>
        <v>3.4542314335060449E-2</v>
      </c>
      <c r="X1048" s="246">
        <f>_xlfn.XLOOKUP(FME_Ranking1[[#This Row],[FME ID]],FME_Input[FME_ID],FME_Input[ROADCLS])</f>
        <v>3</v>
      </c>
      <c r="Y1048" s="230">
        <f>(FME_Ranking1[[#This Row],[Closures Raw]]/$X$2)*100</f>
        <v>3.1542424561034593E-2</v>
      </c>
      <c r="Z1048" s="180">
        <f>FME_Ranking1[[#This Row],[Closures Score (Normalized, Unweighted)]]*$X$3</f>
        <v>1.5771212280517297E-3</v>
      </c>
      <c r="AA1048" s="253">
        <f>_xlfn.XLOOKUP(FME_Ranking1[[#This Row],[FME ID]],FME_Input[FME_ID],FME_Input[ROAD_MILES100])</f>
        <v>2.8958513736724849</v>
      </c>
      <c r="AB1048" s="178">
        <f>(FME_Ranking1[[#This Row],[Miles Raw]]/$AA$2)*100</f>
        <v>3.8075251610518855E-2</v>
      </c>
      <c r="AC1048" s="178">
        <f>FME_Ranking1[[#This Row],[Miles Score (Normalized, Unweighted)]]*$AA$3</f>
        <v>3.8075251610518858E-3</v>
      </c>
      <c r="AD1048" s="255">
        <f>_xlfn.XLOOKUP(FME_Ranking1[[#This Row],[FME ID]],FME_Input[FME_ID],FME_Input[FARMACRE100])</f>
        <v>12.37187480926514</v>
      </c>
      <c r="AE1048" s="230">
        <f>(FME_Ranking1[[#This Row],[Ag Land Raw]]/$AD$2)*100</f>
        <v>5.1016073439086535E-4</v>
      </c>
      <c r="AF1048" s="231">
        <f>FME_Ranking1[[#This Row],[Ag Land Score (Normalized, Unweighted)]]*$AD$3</f>
        <v>2.5508036719543269E-5</v>
      </c>
      <c r="AG104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8.7580928687401194E-2</v>
      </c>
      <c r="AH1048" s="406">
        <f t="shared" si="16"/>
        <v>1105</v>
      </c>
      <c r="AI104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8.7580928687401194E-2</v>
      </c>
      <c r="AJ1048" s="257">
        <f>FME_Ranking1[[#This Row],[Addition check]]-FME_Ranking1[[#This Row],[Weighted Score Based on Normalized Reported Factors]]</f>
        <v>0</v>
      </c>
      <c r="AK1048" s="178">
        <f>_xlfn.RANK.EQ(AI1048,$AI$6:$AI$2341,0)+COUNTIF($AI$6:AI1048,AI1048)-1</f>
        <v>1106</v>
      </c>
    </row>
    <row r="1049" spans="1:37" x14ac:dyDescent="0.25">
      <c r="A1049" t="s">
        <v>1808</v>
      </c>
      <c r="B1049">
        <f>_xlfn.XLOOKUP(FME_Ranking1[[#This Row],[FME ID]],FME_Input[FME_ID],FME_Input[RFPG_NUM])</f>
        <v>6</v>
      </c>
      <c r="C1049" t="str">
        <f>_xlfn.XLOOKUP(FME_Ranking1[[#This Row],[FME ID]],FME_Input[FME_ID],FME_Input[FME_NAME])</f>
        <v>City of Webster  Master Drainage Plan</v>
      </c>
      <c r="D1049" t="str">
        <f>_xlfn.XLOOKUP(FME_Ranking1[[#This Row],[FME ID]],FME_Input[FME_ID],FME_Input[DESCR])</f>
        <v>Study to develop Master Drainage Plan using future and existing land use and flood/storm water drainage needs including Atlas 14 rainfall.</v>
      </c>
      <c r="E1049" s="256">
        <f>_xlfn.XLOOKUP(FME_Ranking1[[#This Row],[FME ID]],FME_Input[FME_ID],FME_Input[FME_COST])</f>
        <v>280000</v>
      </c>
      <c r="F1049" t="str">
        <f>_xlfn.XLOOKUP(FME_Ranking1[[#This Row],[FME ID]],FME_Input[FME_ID],FME_Input[EMER_NEED])</f>
        <v>Yes</v>
      </c>
      <c r="G1049">
        <f>IF(FME_Ranking!F1049="Yes",100,0)</f>
        <v>100</v>
      </c>
      <c r="H1049">
        <f>FME_Ranking1[[#This Row],[Emergency Need Score (Normalized, Unweighted)]]*$F$3</f>
        <v>0</v>
      </c>
      <c r="I1049" s="246">
        <f>_xlfn.XLOOKUP(FME_Ranking1[[#This Row],[FME ID]],FME_Input[FME_ID],FME_Input[STRUCT_100])</f>
        <v>209</v>
      </c>
      <c r="J1049" s="178">
        <f>(FME_Ranking1[[#This Row],[Structures 100 Raw]]/I$2)*100</f>
        <v>0.11191791971897358</v>
      </c>
      <c r="K1049" s="178">
        <f>FME_Ranking1[[#This Row],[Structures 100  Score (Normalized, Unweighted)]]*$I$3</f>
        <v>1.6787687957846038E-2</v>
      </c>
      <c r="L1049" s="246">
        <f>_xlfn.XLOOKUP(FME_Ranking1[[#This Row],[FME ID]],FME_Input[FME_ID],FME_Input[RES_STRUCT100])</f>
        <v>164</v>
      </c>
      <c r="M1049" s="230">
        <f>(FME_Ranking1[[#This Row],[Res Structures Raw]]/L$2)*100</f>
        <v>0.11616211698375148</v>
      </c>
      <c r="N1049" s="180">
        <f>FME_Ranking1[[#This Row],[Res Structures Score (Normalized, Unweighted)]]*$L$3</f>
        <v>1.1616211698375149E-2</v>
      </c>
      <c r="O1049" s="244">
        <f>_xlfn.XLOOKUP(FME_Ranking1[[#This Row],[FME ID]],FME_Input[FME_ID],FME_Input[POP100])</f>
        <v>2809</v>
      </c>
      <c r="P1049" s="178">
        <f>(FME_Ranking1[[#This Row],[Pop Raw]]/$O$2)*100</f>
        <v>0.28757225137643605</v>
      </c>
      <c r="Q1049" s="178">
        <f>FME_Ranking1[[#This Row],[Pop Score (Normalized, Unweighted)]]*$O$3</f>
        <v>4.3135837706465403E-2</v>
      </c>
      <c r="R1049" s="137">
        <f>_xlfn.XLOOKUP(FME_Ranking1[[#This Row],[FME ID]],FME_Input[FME_ID],FME_Input[CRITFAC100])</f>
        <v>0</v>
      </c>
      <c r="S1049" s="230">
        <f>(FME_Ranking1[[#This Row],[Critical Facilities Raw]]/$R$2)*100</f>
        <v>0</v>
      </c>
      <c r="T1049" s="180">
        <f>FME_Ranking1[[#This Row],[Critical Facilities Score (Normalized, Unweighted)]]*$R$3</f>
        <v>0</v>
      </c>
      <c r="U1049">
        <f>_xlfn.XLOOKUP(FME_Ranking1[[#This Row],[FME ID]],FME_Input[FME_ID],FME_Input[LWC])</f>
        <v>1</v>
      </c>
      <c r="V1049" s="178">
        <f>(FME_Ranking1[[#This Row],[LWC Raw]]/$U$2)*100</f>
        <v>5.7570523891767422E-2</v>
      </c>
      <c r="W1049" s="178">
        <f>FME_Ranking1[[#This Row],[LWC Score (Normalized, Unweighted)]]*$U$3</f>
        <v>1.1514104778353485E-2</v>
      </c>
      <c r="X1049" s="246">
        <f>_xlfn.XLOOKUP(FME_Ranking1[[#This Row],[FME ID]],FME_Input[FME_ID],FME_Input[ROADCLS])</f>
        <v>1</v>
      </c>
      <c r="Y1049" s="230">
        <f>(FME_Ranking1[[#This Row],[Closures Raw]]/$X$2)*100</f>
        <v>1.0514141520344864E-2</v>
      </c>
      <c r="Z1049" s="180">
        <f>FME_Ranking1[[#This Row],[Closures Score (Normalized, Unweighted)]]*$X$3</f>
        <v>5.2570707601724321E-4</v>
      </c>
      <c r="AA1049" s="253">
        <f>_xlfn.XLOOKUP(FME_Ranking1[[#This Row],[FME ID]],FME_Input[FME_ID],FME_Input[ROAD_MILES100])</f>
        <v>8.4849987030029297</v>
      </c>
      <c r="AB1049" s="178">
        <f>(FME_Ranking1[[#This Row],[Miles Raw]]/$AA$2)*100</f>
        <v>0.11156251438486327</v>
      </c>
      <c r="AC1049" s="178">
        <f>FME_Ranking1[[#This Row],[Miles Score (Normalized, Unweighted)]]*$AA$3</f>
        <v>1.1156251438486328E-2</v>
      </c>
      <c r="AD1049" s="255">
        <f>_xlfn.XLOOKUP(FME_Ranking1[[#This Row],[FME ID]],FME_Input[FME_ID],FME_Input[FARMACRE100])</f>
        <v>18.737552642822269</v>
      </c>
      <c r="AE1049" s="230">
        <f>(FME_Ranking1[[#This Row],[Ag Land Raw]]/$AD$2)*100</f>
        <v>7.7265279226645359E-4</v>
      </c>
      <c r="AF1049" s="231">
        <f>FME_Ranking1[[#This Row],[Ag Land Score (Normalized, Unweighted)]]*$AD$3</f>
        <v>3.8632639613322679E-5</v>
      </c>
      <c r="AG104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9.4774433295156973E-2</v>
      </c>
      <c r="AH1049" s="406">
        <f t="shared" si="16"/>
        <v>1073</v>
      </c>
      <c r="AI104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9.4774433295156973E-2</v>
      </c>
      <c r="AJ1049" s="257">
        <f>FME_Ranking1[[#This Row],[Addition check]]-FME_Ranking1[[#This Row],[Weighted Score Based on Normalized Reported Factors]]</f>
        <v>0</v>
      </c>
      <c r="AK1049" s="178">
        <f>_xlfn.RANK.EQ(AI1049,$AI$6:$AI$2341,0)+COUNTIF($AI$6:AI1049,AI1049)-1</f>
        <v>1073</v>
      </c>
    </row>
    <row r="1050" spans="1:37" x14ac:dyDescent="0.25">
      <c r="A1050" t="s">
        <v>1869</v>
      </c>
      <c r="B1050">
        <f>_xlfn.XLOOKUP(FME_Ranking1[[#This Row],[FME ID]],FME_Input[FME_ID],FME_Input[RFPG_NUM])</f>
        <v>6</v>
      </c>
      <c r="C1050" t="str">
        <f>_xlfn.XLOOKUP(FME_Ranking1[[#This Row],[FME ID]],FME_Input[FME_ID],FME_Input[FME_NAME])</f>
        <v>Armand Bayou Watershed- Basin Expansion and Extension and H&amp;H Study (Phases 1 + 2)</v>
      </c>
      <c r="D1050" t="str">
        <f>_xlfn.XLOOKUP(FME_Ranking1[[#This Row],[FME ID]],FME_Input[FME_ID],FME_Input[DESCR])</f>
        <v>Study to develop a Benefit Cost Analysis needed for this project to become a FMP. Channel modifications along B115-00-00 requires expansion of B500-04-00 and new detention property.</v>
      </c>
      <c r="E1050" s="256">
        <f>_xlfn.XLOOKUP(FME_Ranking1[[#This Row],[FME ID]],FME_Input[FME_ID],FME_Input[FME_COST])</f>
        <v>30000</v>
      </c>
      <c r="F1050" t="str">
        <f>_xlfn.XLOOKUP(FME_Ranking1[[#This Row],[FME ID]],FME_Input[FME_ID],FME_Input[EMER_NEED])</f>
        <v>No</v>
      </c>
      <c r="G1050">
        <f>IF(FME_Ranking!F1050="Yes",100,0)</f>
        <v>0</v>
      </c>
      <c r="H1050">
        <f>FME_Ranking1[[#This Row],[Emergency Need Score (Normalized, Unweighted)]]*$F$3</f>
        <v>0</v>
      </c>
      <c r="I1050" s="246">
        <f>_xlfn.XLOOKUP(FME_Ranking1[[#This Row],[FME ID]],FME_Input[FME_ID],FME_Input[STRUCT_100])</f>
        <v>371</v>
      </c>
      <c r="J1050" s="178">
        <f>(FME_Ranking1[[#This Row],[Structures 100 Raw]]/I$2)*100</f>
        <v>0.19866769481214924</v>
      </c>
      <c r="K1050" s="178">
        <f>FME_Ranking1[[#This Row],[Structures 100  Score (Normalized, Unweighted)]]*$I$3</f>
        <v>2.9800154221822386E-2</v>
      </c>
      <c r="L1050" s="246">
        <f>_xlfn.XLOOKUP(FME_Ranking1[[#This Row],[FME ID]],FME_Input[FME_ID],FME_Input[RES_STRUCT100])</f>
        <v>291</v>
      </c>
      <c r="M1050" s="230">
        <f>(FME_Ranking1[[#This Row],[Res Structures Raw]]/L$2)*100</f>
        <v>0.20611692708702242</v>
      </c>
      <c r="N1050" s="180">
        <f>FME_Ranking1[[#This Row],[Res Structures Score (Normalized, Unweighted)]]*$L$3</f>
        <v>2.0611692708702244E-2</v>
      </c>
      <c r="O1050" s="244">
        <f>_xlfn.XLOOKUP(FME_Ranking1[[#This Row],[FME ID]],FME_Input[FME_ID],FME_Input[POP100])</f>
        <v>2154</v>
      </c>
      <c r="P1050" s="178">
        <f>(FME_Ranking1[[#This Row],[Pop Raw]]/$O$2)*100</f>
        <v>0.22051642202379609</v>
      </c>
      <c r="Q1050" s="178">
        <f>FME_Ranking1[[#This Row],[Pop Score (Normalized, Unweighted)]]*$O$3</f>
        <v>3.3077463303569414E-2</v>
      </c>
      <c r="R1050" s="137">
        <f>_xlfn.XLOOKUP(FME_Ranking1[[#This Row],[FME ID]],FME_Input[FME_ID],FME_Input[CRITFAC100])</f>
        <v>0</v>
      </c>
      <c r="S1050" s="230">
        <f>(FME_Ranking1[[#This Row],[Critical Facilities Raw]]/$R$2)*100</f>
        <v>0</v>
      </c>
      <c r="T1050" s="180">
        <f>FME_Ranking1[[#This Row],[Critical Facilities Score (Normalized, Unweighted)]]*$R$3</f>
        <v>0</v>
      </c>
      <c r="U1050">
        <f>_xlfn.XLOOKUP(FME_Ranking1[[#This Row],[FME ID]],FME_Input[FME_ID],FME_Input[LWC])</f>
        <v>0</v>
      </c>
      <c r="V1050" s="178">
        <f>(FME_Ranking1[[#This Row],[LWC Raw]]/$U$2)*100</f>
        <v>0</v>
      </c>
      <c r="W1050" s="178">
        <f>FME_Ranking1[[#This Row],[LWC Score (Normalized, Unweighted)]]*$U$3</f>
        <v>0</v>
      </c>
      <c r="X1050" s="246">
        <f>_xlfn.XLOOKUP(FME_Ranking1[[#This Row],[FME ID]],FME_Input[FME_ID],FME_Input[ROADCLS])</f>
        <v>0</v>
      </c>
      <c r="Y1050" s="230">
        <f>(FME_Ranking1[[#This Row],[Closures Raw]]/$X$2)*100</f>
        <v>0</v>
      </c>
      <c r="Z1050" s="180">
        <f>FME_Ranking1[[#This Row],[Closures Score (Normalized, Unweighted)]]*$X$3</f>
        <v>0</v>
      </c>
      <c r="AA1050" s="253">
        <f>_xlfn.XLOOKUP(FME_Ranking1[[#This Row],[FME ID]],FME_Input[FME_ID],FME_Input[ROAD_MILES100])</f>
        <v>3.8352079391479492</v>
      </c>
      <c r="AB1050" s="178">
        <f>(FME_Ranking1[[#This Row],[Miles Raw]]/$AA$2)*100</f>
        <v>5.0426105631425598E-2</v>
      </c>
      <c r="AC1050" s="178">
        <f>FME_Ranking1[[#This Row],[Miles Score (Normalized, Unweighted)]]*$AA$3</f>
        <v>5.0426105631425598E-3</v>
      </c>
      <c r="AD1050" s="255">
        <f>_xlfn.XLOOKUP(FME_Ranking1[[#This Row],[FME ID]],FME_Input[FME_ID],FME_Input[FARMACRE100])</f>
        <v>0</v>
      </c>
      <c r="AE1050" s="230">
        <f>(FME_Ranking1[[#This Row],[Ag Land Raw]]/$AD$2)*100</f>
        <v>0</v>
      </c>
      <c r="AF1050" s="231">
        <f>FME_Ranking1[[#This Row],[Ag Land Score (Normalized, Unweighted)]]*$AD$3</f>
        <v>0</v>
      </c>
      <c r="AG105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8.8531920797236596E-2</v>
      </c>
      <c r="AH1050" s="406">
        <f t="shared" si="16"/>
        <v>1094</v>
      </c>
      <c r="AI105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8.8531920797236596E-2</v>
      </c>
      <c r="AJ1050" s="257">
        <f>FME_Ranking1[[#This Row],[Addition check]]-FME_Ranking1[[#This Row],[Weighted Score Based on Normalized Reported Factors]]</f>
        <v>0</v>
      </c>
      <c r="AK1050" s="178">
        <f>_xlfn.RANK.EQ(AI1050,$AI$6:$AI$2341,0)+COUNTIF($AI$6:AI1050,AI1050)-1</f>
        <v>1094</v>
      </c>
    </row>
    <row r="1051" spans="1:37" x14ac:dyDescent="0.25">
      <c r="A1051" t="s">
        <v>1002</v>
      </c>
      <c r="B1051">
        <f>_xlfn.XLOOKUP(FME_Ranking1[[#This Row],[FME ID]],FME_Input[FME_ID],FME_Input[RFPG_NUM])</f>
        <v>6</v>
      </c>
      <c r="C1051" t="str">
        <f>_xlfn.XLOOKUP(FME_Ranking1[[#This Row],[FME ID]],FME_Input[FME_ID],FME_Input[FME_NAME])</f>
        <v>Cannon Ditch Segment 2</v>
      </c>
      <c r="D1051" t="str">
        <f>_xlfn.XLOOKUP(FME_Ranking1[[#This Row],[FME ID]],FME_Input[FME_ID],FME_Input[DESCR])</f>
        <v>Further study including Atlas 14 rainfall incorporation and Benefit Cost Analysis of proposed channel modifications included in the City of Pearland master drainage plan.</v>
      </c>
      <c r="E1051" s="256">
        <f>_xlfn.XLOOKUP(FME_Ranking1[[#This Row],[FME ID]],FME_Input[FME_ID],FME_Input[FME_COST])</f>
        <v>932000</v>
      </c>
      <c r="F1051" t="str">
        <f>_xlfn.XLOOKUP(FME_Ranking1[[#This Row],[FME ID]],FME_Input[FME_ID],FME_Input[EMER_NEED])</f>
        <v>No</v>
      </c>
      <c r="G1051">
        <f>IF(FME_Ranking!F1051="Yes",100,0)</f>
        <v>0</v>
      </c>
      <c r="H1051">
        <f>FME_Ranking1[[#This Row],[Emergency Need Score (Normalized, Unweighted)]]*$F$3</f>
        <v>0</v>
      </c>
      <c r="I1051" s="246">
        <f>_xlfn.XLOOKUP(FME_Ranking1[[#This Row],[FME ID]],FME_Input[FME_ID],FME_Input[STRUCT_100])</f>
        <v>574</v>
      </c>
      <c r="J1051" s="178">
        <f>(FME_Ranking1[[#This Row],[Structures 100 Raw]]/I$2)*100</f>
        <v>0.30737265989804224</v>
      </c>
      <c r="K1051" s="178">
        <f>FME_Ranking1[[#This Row],[Structures 100  Score (Normalized, Unweighted)]]*$I$3</f>
        <v>4.6105898984706337E-2</v>
      </c>
      <c r="L1051" s="246">
        <f>_xlfn.XLOOKUP(FME_Ranking1[[#This Row],[FME ID]],FME_Input[FME_ID],FME_Input[RES_STRUCT100])</f>
        <v>342</v>
      </c>
      <c r="M1051" s="230">
        <f>(FME_Ranking1[[#This Row],[Res Structures Raw]]/L$2)*100</f>
        <v>0.24224051224660367</v>
      </c>
      <c r="N1051" s="180">
        <f>FME_Ranking1[[#This Row],[Res Structures Score (Normalized, Unweighted)]]*$L$3</f>
        <v>2.422405122466037E-2</v>
      </c>
      <c r="O1051" s="244">
        <f>_xlfn.XLOOKUP(FME_Ranking1[[#This Row],[FME ID]],FME_Input[FME_ID],FME_Input[POP100])</f>
        <v>814</v>
      </c>
      <c r="P1051" s="178">
        <f>(FME_Ranking1[[#This Row],[Pop Raw]]/$O$2)*100</f>
        <v>8.3333503958853306E-2</v>
      </c>
      <c r="Q1051" s="178">
        <f>FME_Ranking1[[#This Row],[Pop Score (Normalized, Unweighted)]]*$O$3</f>
        <v>1.2500025593827995E-2</v>
      </c>
      <c r="R1051" s="137">
        <f>_xlfn.XLOOKUP(FME_Ranking1[[#This Row],[FME ID]],FME_Input[FME_ID],FME_Input[CRITFAC100])</f>
        <v>0</v>
      </c>
      <c r="S1051" s="230">
        <f>(FME_Ranking1[[#This Row],[Critical Facilities Raw]]/$R$2)*100</f>
        <v>0</v>
      </c>
      <c r="T1051" s="180">
        <f>FME_Ranking1[[#This Row],[Critical Facilities Score (Normalized, Unweighted)]]*$R$3</f>
        <v>0</v>
      </c>
      <c r="U1051">
        <f>_xlfn.XLOOKUP(FME_Ranking1[[#This Row],[FME ID]],FME_Input[FME_ID],FME_Input[LWC])</f>
        <v>0</v>
      </c>
      <c r="V1051" s="178">
        <f>(FME_Ranking1[[#This Row],[LWC Raw]]/$U$2)*100</f>
        <v>0</v>
      </c>
      <c r="W1051" s="178">
        <f>FME_Ranking1[[#This Row],[LWC Score (Normalized, Unweighted)]]*$U$3</f>
        <v>0</v>
      </c>
      <c r="X1051" s="246">
        <f>_xlfn.XLOOKUP(FME_Ranking1[[#This Row],[FME ID]],FME_Input[FME_ID],FME_Input[ROADCLS])</f>
        <v>0</v>
      </c>
      <c r="Y1051" s="230">
        <f>(FME_Ranking1[[#This Row],[Closures Raw]]/$X$2)*100</f>
        <v>0</v>
      </c>
      <c r="Z1051" s="180">
        <f>FME_Ranking1[[#This Row],[Closures Score (Normalized, Unweighted)]]*$X$3</f>
        <v>0</v>
      </c>
      <c r="AA1051" s="253">
        <f>_xlfn.XLOOKUP(FME_Ranking1[[#This Row],[FME ID]],FME_Input[FME_ID],FME_Input[ROAD_MILES100])</f>
        <v>2.778800487518311</v>
      </c>
      <c r="AB1051" s="178">
        <f>(FME_Ranking1[[#This Row],[Miles Raw]]/$AA$2)*100</f>
        <v>3.6536242398211669E-2</v>
      </c>
      <c r="AC1051" s="178">
        <f>FME_Ranking1[[#This Row],[Miles Score (Normalized, Unweighted)]]*$AA$3</f>
        <v>3.6536242398211671E-3</v>
      </c>
      <c r="AD1051" s="255">
        <f>_xlfn.XLOOKUP(FME_Ranking1[[#This Row],[FME ID]],FME_Input[FME_ID],FME_Input[FARMACRE100])</f>
        <v>26.84713172912598</v>
      </c>
      <c r="AE1051" s="230">
        <f>(FME_Ranking1[[#This Row],[Ag Land Raw]]/$AD$2)*100</f>
        <v>1.1070555312249189E-3</v>
      </c>
      <c r="AF1051" s="231">
        <f>FME_Ranking1[[#This Row],[Ag Land Score (Normalized, Unweighted)]]*$AD$3</f>
        <v>5.5352776561245946E-5</v>
      </c>
      <c r="AG105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8.6538952819577117E-2</v>
      </c>
      <c r="AH1051" s="406">
        <f t="shared" si="16"/>
        <v>1107</v>
      </c>
      <c r="AI105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8.6538952819577117E-2</v>
      </c>
      <c r="AJ1051" s="257">
        <f>FME_Ranking1[[#This Row],[Addition check]]-FME_Ranking1[[#This Row],[Weighted Score Based on Normalized Reported Factors]]</f>
        <v>0</v>
      </c>
      <c r="AK1051" s="178">
        <f>_xlfn.RANK.EQ(AI1051,$AI$6:$AI$2341,0)+COUNTIF($AI$6:AI1051,AI1051)-1</f>
        <v>1107</v>
      </c>
    </row>
    <row r="1052" spans="1:37" x14ac:dyDescent="0.25">
      <c r="A1052" t="s">
        <v>8441</v>
      </c>
      <c r="B1052">
        <f>_xlfn.XLOOKUP(FME_Ranking1[[#This Row],[FME ID]],FME_Input[FME_ID],FME_Input[RFPG_NUM])</f>
        <v>10</v>
      </c>
      <c r="C1052" t="str">
        <f>_xlfn.XLOOKUP(FME_Ranking1[[#This Row],[FME ID]],FME_Input[FME_ID],FME_Input[FME_NAME])</f>
        <v>Spicewood Springs Road Low Water Crossing #1 Project Planning</v>
      </c>
      <c r="D1052" t="str">
        <f>_xlfn.XLOOKUP(FME_Ranking1[[#This Row],[FME ID]],FME_Input[FME_ID],FME_Input[DESCR])</f>
        <v>Project planning for bridge to replace undersized box culvert. Develop technical data required for FMP.</v>
      </c>
      <c r="E1052" s="256">
        <f>_xlfn.XLOOKUP(FME_Ranking1[[#This Row],[FME ID]],FME_Input[FME_ID],FME_Input[FME_COST])</f>
        <v>682500</v>
      </c>
      <c r="F1052" t="str">
        <f>_xlfn.XLOOKUP(FME_Ranking1[[#This Row],[FME ID]],FME_Input[FME_ID],FME_Input[EMER_NEED])</f>
        <v>No</v>
      </c>
      <c r="G1052">
        <f>IF(FME_Ranking!F1052="Yes",100,0)</f>
        <v>0</v>
      </c>
      <c r="H1052">
        <f>FME_Ranking1[[#This Row],[Emergency Need Score (Normalized, Unweighted)]]*$F$3</f>
        <v>0</v>
      </c>
      <c r="I1052" s="246">
        <f>_xlfn.XLOOKUP(FME_Ranking1[[#This Row],[FME ID]],FME_Input[FME_ID],FME_Input[STRUCT_100])</f>
        <v>10</v>
      </c>
      <c r="J1052" s="178">
        <f>(FME_Ranking1[[#This Row],[Structures 100 Raw]]/I$2)*100</f>
        <v>5.3549243884676344E-3</v>
      </c>
      <c r="K1052" s="178">
        <f>FME_Ranking1[[#This Row],[Structures 100  Score (Normalized, Unweighted)]]*$I$3</f>
        <v>8.0323865827014516E-4</v>
      </c>
      <c r="L1052" s="246">
        <f>_xlfn.XLOOKUP(FME_Ranking1[[#This Row],[FME ID]],FME_Input[FME_ID],FME_Input[RES_STRUCT100])</f>
        <v>8</v>
      </c>
      <c r="M1052" s="230">
        <f>(FME_Ranking1[[#This Row],[Res Structures Raw]]/L$2)*100</f>
        <v>5.666444730914706E-3</v>
      </c>
      <c r="N1052" s="180">
        <f>FME_Ranking1[[#This Row],[Res Structures Score (Normalized, Unweighted)]]*$L$3</f>
        <v>5.6664447309147067E-4</v>
      </c>
      <c r="O1052" s="244">
        <f>_xlfn.XLOOKUP(FME_Ranking1[[#This Row],[FME ID]],FME_Input[FME_ID],FME_Input[POP100])</f>
        <v>13</v>
      </c>
      <c r="P1052" s="178">
        <f>(FME_Ranking1[[#This Row],[Pop Raw]]/$O$2)*100</f>
        <v>1.3308790558539227E-3</v>
      </c>
      <c r="Q1052" s="178">
        <f>FME_Ranking1[[#This Row],[Pop Score (Normalized, Unweighted)]]*$O$3</f>
        <v>1.9963185837808839E-4</v>
      </c>
      <c r="R1052" s="137">
        <f>_xlfn.XLOOKUP(FME_Ranking1[[#This Row],[FME ID]],FME_Input[FME_ID],FME_Input[CRITFAC100])</f>
        <v>0</v>
      </c>
      <c r="S1052" s="230">
        <f>(FME_Ranking1[[#This Row],[Critical Facilities Raw]]/$R$2)*100</f>
        <v>0</v>
      </c>
      <c r="T1052" s="180">
        <f>FME_Ranking1[[#This Row],[Critical Facilities Score (Normalized, Unweighted)]]*$R$3</f>
        <v>0</v>
      </c>
      <c r="U1052">
        <f>_xlfn.XLOOKUP(FME_Ranking1[[#This Row],[FME ID]],FME_Input[FME_ID],FME_Input[LWC])</f>
        <v>7</v>
      </c>
      <c r="V1052" s="178">
        <f>(FME_Ranking1[[#This Row],[LWC Raw]]/$U$2)*100</f>
        <v>0.40299366724237184</v>
      </c>
      <c r="W1052" s="178">
        <f>FME_Ranking1[[#This Row],[LWC Score (Normalized, Unweighted)]]*$U$3</f>
        <v>8.0598733448474374E-2</v>
      </c>
      <c r="X1052" s="246">
        <f>_xlfn.XLOOKUP(FME_Ranking1[[#This Row],[FME ID]],FME_Input[FME_ID],FME_Input[ROADCLS])</f>
        <v>0</v>
      </c>
      <c r="Y1052" s="230">
        <f>(FME_Ranking1[[#This Row],[Closures Raw]]/$X$2)*100</f>
        <v>0</v>
      </c>
      <c r="Z1052" s="180">
        <f>FME_Ranking1[[#This Row],[Closures Score (Normalized, Unweighted)]]*$X$3</f>
        <v>0</v>
      </c>
      <c r="AA1052" s="253">
        <f>_xlfn.XLOOKUP(FME_Ranking1[[#This Row],[FME ID]],FME_Input[FME_ID],FME_Input[ROAD_MILES100])</f>
        <v>1.644197821617126</v>
      </c>
      <c r="AB1052" s="178">
        <f>(FME_Ranking1[[#This Row],[Miles Raw]]/$AA$2)*100</f>
        <v>2.1618252347027866E-2</v>
      </c>
      <c r="AC1052" s="178">
        <f>FME_Ranking1[[#This Row],[Miles Score (Normalized, Unweighted)]]*$AA$3</f>
        <v>2.1618252347027868E-3</v>
      </c>
      <c r="AD1052" s="255">
        <f>_xlfn.XLOOKUP(FME_Ranking1[[#This Row],[FME ID]],FME_Input[FME_ID],FME_Input[FARMACRE100])</f>
        <v>282.50588989257813</v>
      </c>
      <c r="AE1052" s="230">
        <f>(FME_Ranking1[[#This Row],[Ag Land Raw]]/$AD$2)*100</f>
        <v>1.1649278260511528E-2</v>
      </c>
      <c r="AF1052" s="231">
        <f>FME_Ranking1[[#This Row],[Ag Land Score (Normalized, Unweighted)]]*$AD$3</f>
        <v>5.8246391302557645E-4</v>
      </c>
      <c r="AG105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8.4912537585942444E-2</v>
      </c>
      <c r="AH1052" s="406">
        <f t="shared" si="16"/>
        <v>1116</v>
      </c>
      <c r="AI105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8.4912537585942444E-2</v>
      </c>
      <c r="AJ1052" s="257">
        <f>FME_Ranking1[[#This Row],[Addition check]]-FME_Ranking1[[#This Row],[Weighted Score Based on Normalized Reported Factors]]</f>
        <v>0</v>
      </c>
      <c r="AK1052" s="178">
        <f>_xlfn.RANK.EQ(AI1052,$AI$6:$AI$2341,0)+COUNTIF($AI$6:AI1052,AI1052)-1</f>
        <v>1116</v>
      </c>
    </row>
    <row r="1053" spans="1:37" x14ac:dyDescent="0.25">
      <c r="A1053" t="s">
        <v>5185</v>
      </c>
      <c r="B1053">
        <f>_xlfn.XLOOKUP(FME_Ranking1[[#This Row],[FME ID]],FME_Input[FME_ID],FME_Input[RFPG_NUM])</f>
        <v>3</v>
      </c>
      <c r="C1053" t="str">
        <f>_xlfn.XLOOKUP(FME_Ranking1[[#This Row],[FME ID]],FME_Input[FME_ID],FME_Input[FME_NAME])</f>
        <v>Alta Mesa Branch at Persimmon Road</v>
      </c>
      <c r="D1053" t="str">
        <f>_xlfn.XLOOKUP(FME_Ranking1[[#This Row],[FME ID]],FME_Input[FME_ID],FME_Input[DESCR])</f>
        <v>Evaluate bridge improvements for Persimmon Road over Alta Mesa Branch</v>
      </c>
      <c r="E1053" s="256">
        <f>_xlfn.XLOOKUP(FME_Ranking1[[#This Row],[FME ID]],FME_Input[FME_ID],FME_Input[FME_COST])</f>
        <v>250000</v>
      </c>
      <c r="F1053" t="str">
        <f>_xlfn.XLOOKUP(FME_Ranking1[[#This Row],[FME ID]],FME_Input[FME_ID],FME_Input[EMER_NEED])</f>
        <v>No</v>
      </c>
      <c r="G1053">
        <f>IF(FME_Ranking!F1053="Yes",100,0)</f>
        <v>0</v>
      </c>
      <c r="H1053">
        <f>FME_Ranking1[[#This Row],[Emergency Need Score (Normalized, Unweighted)]]*$F$3</f>
        <v>0</v>
      </c>
      <c r="I1053" s="246">
        <f>_xlfn.XLOOKUP(FME_Ranking1[[#This Row],[FME ID]],FME_Input[FME_ID],FME_Input[STRUCT_100])</f>
        <v>179</v>
      </c>
      <c r="J1053" s="178">
        <f>(FME_Ranking1[[#This Row],[Structures 100 Raw]]/I$2)*100</f>
        <v>9.5853146553570662E-2</v>
      </c>
      <c r="K1053" s="178">
        <f>FME_Ranking1[[#This Row],[Structures 100  Score (Normalized, Unweighted)]]*$I$3</f>
        <v>1.4377971983035599E-2</v>
      </c>
      <c r="L1053" s="246">
        <f>_xlfn.XLOOKUP(FME_Ranking1[[#This Row],[FME ID]],FME_Input[FME_ID],FME_Input[RES_STRUCT100])</f>
        <v>147</v>
      </c>
      <c r="M1053" s="230">
        <f>(FME_Ranking1[[#This Row],[Res Structures Raw]]/L$2)*100</f>
        <v>0.10412092193055772</v>
      </c>
      <c r="N1053" s="180">
        <f>FME_Ranking1[[#This Row],[Res Structures Score (Normalized, Unweighted)]]*$L$3</f>
        <v>1.0412092193055772E-2</v>
      </c>
      <c r="O1053" s="244">
        <f>_xlfn.XLOOKUP(FME_Ranking1[[#This Row],[FME ID]],FME_Input[FME_ID],FME_Input[POP100])</f>
        <v>561</v>
      </c>
      <c r="P1053" s="178">
        <f>(FME_Ranking1[[#This Row],[Pop Raw]]/$O$2)*100</f>
        <v>5.7432550025696201E-2</v>
      </c>
      <c r="Q1053" s="178">
        <f>FME_Ranking1[[#This Row],[Pop Score (Normalized, Unweighted)]]*$O$3</f>
        <v>8.6148825038544295E-3</v>
      </c>
      <c r="R1053" s="137">
        <f>_xlfn.XLOOKUP(FME_Ranking1[[#This Row],[FME ID]],FME_Input[FME_ID],FME_Input[CRITFAC100])</f>
        <v>3</v>
      </c>
      <c r="S1053" s="230">
        <f>(FME_Ranking1[[#This Row],[Critical Facilities Raw]]/$R$2)*100</f>
        <v>0.1286449399656947</v>
      </c>
      <c r="T1053" s="180">
        <f>FME_Ranking1[[#This Row],[Critical Facilities Score (Normalized, Unweighted)]]*$R$3</f>
        <v>2.5728987993138941E-2</v>
      </c>
      <c r="U1053">
        <f>_xlfn.XLOOKUP(FME_Ranking1[[#This Row],[FME ID]],FME_Input[FME_ID],FME_Input[LWC])</f>
        <v>2</v>
      </c>
      <c r="V1053" s="178">
        <f>(FME_Ranking1[[#This Row],[LWC Raw]]/$U$2)*100</f>
        <v>0.11514104778353484</v>
      </c>
      <c r="W1053" s="178">
        <f>FME_Ranking1[[#This Row],[LWC Score (Normalized, Unweighted)]]*$U$3</f>
        <v>2.302820955670697E-2</v>
      </c>
      <c r="X1053" s="246">
        <f>_xlfn.XLOOKUP(FME_Ranking1[[#This Row],[FME ID]],FME_Input[FME_ID],FME_Input[ROADCLS])</f>
        <v>0</v>
      </c>
      <c r="Y1053" s="230">
        <f>(FME_Ranking1[[#This Row],[Closures Raw]]/$X$2)*100</f>
        <v>0</v>
      </c>
      <c r="Z1053" s="180">
        <f>FME_Ranking1[[#This Row],[Closures Score (Normalized, Unweighted)]]*$X$3</f>
        <v>0</v>
      </c>
      <c r="AA1053" s="253">
        <f>_xlfn.XLOOKUP(FME_Ranking1[[#This Row],[FME ID]],FME_Input[FME_ID],FME_Input[ROAD_MILES100])</f>
        <v>9.5175743103027344</v>
      </c>
      <c r="AB1053" s="178">
        <f>(FME_Ranking1[[#This Row],[Miles Raw]]/$AA$2)*100</f>
        <v>0.12513903160955939</v>
      </c>
      <c r="AC1053" s="178">
        <f>FME_Ranking1[[#This Row],[Miles Score (Normalized, Unweighted)]]*$AA$3</f>
        <v>1.2513903160955939E-2</v>
      </c>
      <c r="AD1053" s="255">
        <f>_xlfn.XLOOKUP(FME_Ranking1[[#This Row],[FME ID]],FME_Input[FME_ID],FME_Input[FARMACRE100])</f>
        <v>160.74769592285159</v>
      </c>
      <c r="AE1053" s="230">
        <f>(FME_Ranking1[[#This Row],[Ag Land Raw]]/$AD$2)*100</f>
        <v>6.6285153922045308E-3</v>
      </c>
      <c r="AF1053" s="231">
        <f>FME_Ranking1[[#This Row],[Ag Land Score (Normalized, Unweighted)]]*$AD$3</f>
        <v>3.3142576961022656E-4</v>
      </c>
      <c r="AG105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9.5007473160357875E-2</v>
      </c>
      <c r="AH1053" s="406">
        <f t="shared" si="16"/>
        <v>1066</v>
      </c>
      <c r="AI105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9.5007473160357875E-2</v>
      </c>
      <c r="AJ1053" s="257">
        <f>FME_Ranking1[[#This Row],[Addition check]]-FME_Ranking1[[#This Row],[Weighted Score Based on Normalized Reported Factors]]</f>
        <v>0</v>
      </c>
      <c r="AK1053" s="178">
        <f>_xlfn.RANK.EQ(AI1053,$AI$6:$AI$2341,0)+COUNTIF($AI$6:AI1053,AI1053)-1</f>
        <v>1066</v>
      </c>
    </row>
    <row r="1054" spans="1:37" x14ac:dyDescent="0.25">
      <c r="A1054" t="s">
        <v>5192</v>
      </c>
      <c r="B1054">
        <f>_xlfn.XLOOKUP(FME_Ranking1[[#This Row],[FME ID]],FME_Input[FME_ID],FME_Input[RFPG_NUM])</f>
        <v>3</v>
      </c>
      <c r="C1054" t="str">
        <f>_xlfn.XLOOKUP(FME_Ranking1[[#This Row],[FME ID]],FME_Input[FME_ID],FME_Input[FME_NAME])</f>
        <v>Alta Mesa Branch at Simpson Stuart Road</v>
      </c>
      <c r="D1054" t="str">
        <f>_xlfn.XLOOKUP(FME_Ranking1[[#This Row],[FME ID]],FME_Input[FME_ID],FME_Input[DESCR])</f>
        <v>Evaluate culvert improvements for Simpson Stuart Road over Alta Mesa Branch</v>
      </c>
      <c r="E1054" s="256">
        <f>_xlfn.XLOOKUP(FME_Ranking1[[#This Row],[FME ID]],FME_Input[FME_ID],FME_Input[FME_COST])</f>
        <v>250000</v>
      </c>
      <c r="F1054" t="str">
        <f>_xlfn.XLOOKUP(FME_Ranking1[[#This Row],[FME ID]],FME_Input[FME_ID],FME_Input[EMER_NEED])</f>
        <v>No</v>
      </c>
      <c r="G1054">
        <f>IF(FME_Ranking!F1054="Yes",100,0)</f>
        <v>0</v>
      </c>
      <c r="H1054">
        <f>FME_Ranking1[[#This Row],[Emergency Need Score (Normalized, Unweighted)]]*$F$3</f>
        <v>0</v>
      </c>
      <c r="I1054" s="246">
        <f>_xlfn.XLOOKUP(FME_Ranking1[[#This Row],[FME ID]],FME_Input[FME_ID],FME_Input[STRUCT_100])</f>
        <v>179</v>
      </c>
      <c r="J1054" s="178">
        <f>(FME_Ranking1[[#This Row],[Structures 100 Raw]]/I$2)*100</f>
        <v>9.5853146553570662E-2</v>
      </c>
      <c r="K1054" s="178">
        <f>FME_Ranking1[[#This Row],[Structures 100  Score (Normalized, Unweighted)]]*$I$3</f>
        <v>1.4377971983035599E-2</v>
      </c>
      <c r="L1054" s="246">
        <f>_xlfn.XLOOKUP(FME_Ranking1[[#This Row],[FME ID]],FME_Input[FME_ID],FME_Input[RES_STRUCT100])</f>
        <v>147</v>
      </c>
      <c r="M1054" s="230">
        <f>(FME_Ranking1[[#This Row],[Res Structures Raw]]/L$2)*100</f>
        <v>0.10412092193055772</v>
      </c>
      <c r="N1054" s="180">
        <f>FME_Ranking1[[#This Row],[Res Structures Score (Normalized, Unweighted)]]*$L$3</f>
        <v>1.0412092193055772E-2</v>
      </c>
      <c r="O1054" s="244">
        <f>_xlfn.XLOOKUP(FME_Ranking1[[#This Row],[FME ID]],FME_Input[FME_ID],FME_Input[POP100])</f>
        <v>561</v>
      </c>
      <c r="P1054" s="178">
        <f>(FME_Ranking1[[#This Row],[Pop Raw]]/$O$2)*100</f>
        <v>5.7432550025696201E-2</v>
      </c>
      <c r="Q1054" s="178">
        <f>FME_Ranking1[[#This Row],[Pop Score (Normalized, Unweighted)]]*$O$3</f>
        <v>8.6148825038544295E-3</v>
      </c>
      <c r="R1054" s="137">
        <f>_xlfn.XLOOKUP(FME_Ranking1[[#This Row],[FME ID]],FME_Input[FME_ID],FME_Input[CRITFAC100])</f>
        <v>3</v>
      </c>
      <c r="S1054" s="230">
        <f>(FME_Ranking1[[#This Row],[Critical Facilities Raw]]/$R$2)*100</f>
        <v>0.1286449399656947</v>
      </c>
      <c r="T1054" s="180">
        <f>FME_Ranking1[[#This Row],[Critical Facilities Score (Normalized, Unweighted)]]*$R$3</f>
        <v>2.5728987993138941E-2</v>
      </c>
      <c r="U1054">
        <f>_xlfn.XLOOKUP(FME_Ranking1[[#This Row],[FME ID]],FME_Input[FME_ID],FME_Input[LWC])</f>
        <v>2</v>
      </c>
      <c r="V1054" s="178">
        <f>(FME_Ranking1[[#This Row],[LWC Raw]]/$U$2)*100</f>
        <v>0.11514104778353484</v>
      </c>
      <c r="W1054" s="178">
        <f>FME_Ranking1[[#This Row],[LWC Score (Normalized, Unweighted)]]*$U$3</f>
        <v>2.302820955670697E-2</v>
      </c>
      <c r="X1054" s="246">
        <f>_xlfn.XLOOKUP(FME_Ranking1[[#This Row],[FME ID]],FME_Input[FME_ID],FME_Input[ROADCLS])</f>
        <v>0</v>
      </c>
      <c r="Y1054" s="230">
        <f>(FME_Ranking1[[#This Row],[Closures Raw]]/$X$2)*100</f>
        <v>0</v>
      </c>
      <c r="Z1054" s="180">
        <f>FME_Ranking1[[#This Row],[Closures Score (Normalized, Unweighted)]]*$X$3</f>
        <v>0</v>
      </c>
      <c r="AA1054" s="253">
        <f>_xlfn.XLOOKUP(FME_Ranking1[[#This Row],[FME ID]],FME_Input[FME_ID],FME_Input[ROAD_MILES100])</f>
        <v>9.5175743103027344</v>
      </c>
      <c r="AB1054" s="178">
        <f>(FME_Ranking1[[#This Row],[Miles Raw]]/$AA$2)*100</f>
        <v>0.12513903160955939</v>
      </c>
      <c r="AC1054" s="178">
        <f>FME_Ranking1[[#This Row],[Miles Score (Normalized, Unweighted)]]*$AA$3</f>
        <v>1.2513903160955939E-2</v>
      </c>
      <c r="AD1054" s="255">
        <f>_xlfn.XLOOKUP(FME_Ranking1[[#This Row],[FME ID]],FME_Input[FME_ID],FME_Input[FARMACRE100])</f>
        <v>160.74769592285159</v>
      </c>
      <c r="AE1054" s="230">
        <f>(FME_Ranking1[[#This Row],[Ag Land Raw]]/$AD$2)*100</f>
        <v>6.6285153922045308E-3</v>
      </c>
      <c r="AF1054" s="231">
        <f>FME_Ranking1[[#This Row],[Ag Land Score (Normalized, Unweighted)]]*$AD$3</f>
        <v>3.3142576961022656E-4</v>
      </c>
      <c r="AG105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9.5007473160357875E-2</v>
      </c>
      <c r="AH1054" s="406">
        <f t="shared" si="16"/>
        <v>1066</v>
      </c>
      <c r="AI105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9.5007473160357875E-2</v>
      </c>
      <c r="AJ1054" s="257">
        <f>FME_Ranking1[[#This Row],[Addition check]]-FME_Ranking1[[#This Row],[Weighted Score Based on Normalized Reported Factors]]</f>
        <v>0</v>
      </c>
      <c r="AK1054" s="178">
        <f>_xlfn.RANK.EQ(AI1054,$AI$6:$AI$2341,0)+COUNTIF($AI$6:AI1054,AI1054)-1</f>
        <v>1067</v>
      </c>
    </row>
    <row r="1055" spans="1:37" x14ac:dyDescent="0.25">
      <c r="A1055" t="s">
        <v>5195</v>
      </c>
      <c r="B1055">
        <f>_xlfn.XLOOKUP(FME_Ranking1[[#This Row],[FME ID]],FME_Input[FME_ID],FME_Input[RFPG_NUM])</f>
        <v>3</v>
      </c>
      <c r="C1055" t="str">
        <f>_xlfn.XLOOKUP(FME_Ranking1[[#This Row],[FME ID]],FME_Input[FME_ID],FME_Input[FME_NAME])</f>
        <v>Alta Mesa Branch at Tracy Road</v>
      </c>
      <c r="D1055" t="str">
        <f>_xlfn.XLOOKUP(FME_Ranking1[[#This Row],[FME ID]],FME_Input[FME_ID],FME_Input[DESCR])</f>
        <v>Evaluate bridge improvements: Tracy Road over Alta Mesa Branch</v>
      </c>
      <c r="E1055" s="256">
        <f>_xlfn.XLOOKUP(FME_Ranking1[[#This Row],[FME ID]],FME_Input[FME_ID],FME_Input[FME_COST])</f>
        <v>250000</v>
      </c>
      <c r="F1055" t="str">
        <f>_xlfn.XLOOKUP(FME_Ranking1[[#This Row],[FME ID]],FME_Input[FME_ID],FME_Input[EMER_NEED])</f>
        <v>No</v>
      </c>
      <c r="G1055">
        <f>IF(FME_Ranking!F1055="Yes",100,0)</f>
        <v>0</v>
      </c>
      <c r="H1055">
        <f>FME_Ranking1[[#This Row],[Emergency Need Score (Normalized, Unweighted)]]*$F$3</f>
        <v>0</v>
      </c>
      <c r="I1055" s="246">
        <f>_xlfn.XLOOKUP(FME_Ranking1[[#This Row],[FME ID]],FME_Input[FME_ID],FME_Input[STRUCT_100])</f>
        <v>179</v>
      </c>
      <c r="J1055" s="178">
        <f>(FME_Ranking1[[#This Row],[Structures 100 Raw]]/I$2)*100</f>
        <v>9.5853146553570662E-2</v>
      </c>
      <c r="K1055" s="178">
        <f>FME_Ranking1[[#This Row],[Structures 100  Score (Normalized, Unweighted)]]*$I$3</f>
        <v>1.4377971983035599E-2</v>
      </c>
      <c r="L1055" s="246">
        <f>_xlfn.XLOOKUP(FME_Ranking1[[#This Row],[FME ID]],FME_Input[FME_ID],FME_Input[RES_STRUCT100])</f>
        <v>147</v>
      </c>
      <c r="M1055" s="230">
        <f>(FME_Ranking1[[#This Row],[Res Structures Raw]]/L$2)*100</f>
        <v>0.10412092193055772</v>
      </c>
      <c r="N1055" s="180">
        <f>FME_Ranking1[[#This Row],[Res Structures Score (Normalized, Unweighted)]]*$L$3</f>
        <v>1.0412092193055772E-2</v>
      </c>
      <c r="O1055" s="244">
        <f>_xlfn.XLOOKUP(FME_Ranking1[[#This Row],[FME ID]],FME_Input[FME_ID],FME_Input[POP100])</f>
        <v>561</v>
      </c>
      <c r="P1055" s="178">
        <f>(FME_Ranking1[[#This Row],[Pop Raw]]/$O$2)*100</f>
        <v>5.7432550025696201E-2</v>
      </c>
      <c r="Q1055" s="178">
        <f>FME_Ranking1[[#This Row],[Pop Score (Normalized, Unweighted)]]*$O$3</f>
        <v>8.6148825038544295E-3</v>
      </c>
      <c r="R1055" s="137">
        <f>_xlfn.XLOOKUP(FME_Ranking1[[#This Row],[FME ID]],FME_Input[FME_ID],FME_Input[CRITFAC100])</f>
        <v>3</v>
      </c>
      <c r="S1055" s="230">
        <f>(FME_Ranking1[[#This Row],[Critical Facilities Raw]]/$R$2)*100</f>
        <v>0.1286449399656947</v>
      </c>
      <c r="T1055" s="180">
        <f>FME_Ranking1[[#This Row],[Critical Facilities Score (Normalized, Unweighted)]]*$R$3</f>
        <v>2.5728987993138941E-2</v>
      </c>
      <c r="U1055">
        <f>_xlfn.XLOOKUP(FME_Ranking1[[#This Row],[FME ID]],FME_Input[FME_ID],FME_Input[LWC])</f>
        <v>2</v>
      </c>
      <c r="V1055" s="178">
        <f>(FME_Ranking1[[#This Row],[LWC Raw]]/$U$2)*100</f>
        <v>0.11514104778353484</v>
      </c>
      <c r="W1055" s="178">
        <f>FME_Ranking1[[#This Row],[LWC Score (Normalized, Unweighted)]]*$U$3</f>
        <v>2.302820955670697E-2</v>
      </c>
      <c r="X1055" s="246">
        <f>_xlfn.XLOOKUP(FME_Ranking1[[#This Row],[FME ID]],FME_Input[FME_ID],FME_Input[ROADCLS])</f>
        <v>0</v>
      </c>
      <c r="Y1055" s="230">
        <f>(FME_Ranking1[[#This Row],[Closures Raw]]/$X$2)*100</f>
        <v>0</v>
      </c>
      <c r="Z1055" s="180">
        <f>FME_Ranking1[[#This Row],[Closures Score (Normalized, Unweighted)]]*$X$3</f>
        <v>0</v>
      </c>
      <c r="AA1055" s="253">
        <f>_xlfn.XLOOKUP(FME_Ranking1[[#This Row],[FME ID]],FME_Input[FME_ID],FME_Input[ROAD_MILES100])</f>
        <v>9.5175743103027344</v>
      </c>
      <c r="AB1055" s="178">
        <f>(FME_Ranking1[[#This Row],[Miles Raw]]/$AA$2)*100</f>
        <v>0.12513903160955939</v>
      </c>
      <c r="AC1055" s="178">
        <f>FME_Ranking1[[#This Row],[Miles Score (Normalized, Unweighted)]]*$AA$3</f>
        <v>1.2513903160955939E-2</v>
      </c>
      <c r="AD1055" s="255">
        <f>_xlfn.XLOOKUP(FME_Ranking1[[#This Row],[FME ID]],FME_Input[FME_ID],FME_Input[FARMACRE100])</f>
        <v>160.74769592285159</v>
      </c>
      <c r="AE1055" s="230">
        <f>(FME_Ranking1[[#This Row],[Ag Land Raw]]/$AD$2)*100</f>
        <v>6.6285153922045308E-3</v>
      </c>
      <c r="AF1055" s="231">
        <f>FME_Ranking1[[#This Row],[Ag Land Score (Normalized, Unweighted)]]*$AD$3</f>
        <v>3.3142576961022656E-4</v>
      </c>
      <c r="AG105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9.5007473160357875E-2</v>
      </c>
      <c r="AH1055" s="406">
        <f t="shared" si="16"/>
        <v>1066</v>
      </c>
      <c r="AI105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9.5007473160357875E-2</v>
      </c>
      <c r="AJ1055" s="257">
        <f>FME_Ranking1[[#This Row],[Addition check]]-FME_Ranking1[[#This Row],[Weighted Score Based on Normalized Reported Factors]]</f>
        <v>0</v>
      </c>
      <c r="AK1055" s="178">
        <f>_xlfn.RANK.EQ(AI1055,$AI$6:$AI$2341,0)+COUNTIF($AI$6:AI1055,AI1055)-1</f>
        <v>1068</v>
      </c>
    </row>
    <row r="1056" spans="1:37" x14ac:dyDescent="0.25">
      <c r="A1056" t="s">
        <v>11421</v>
      </c>
      <c r="B1056">
        <f>_xlfn.XLOOKUP(FME_Ranking1[[#This Row],[FME ID]],FME_Input[FME_ID],FME_Input[RFPG_NUM])</f>
        <v>15</v>
      </c>
      <c r="C1056" t="str">
        <f>_xlfn.XLOOKUP(FME_Ranking1[[#This Row],[FME ID]],FME_Input[FME_ID],FME_Input[FME_NAME])</f>
        <v>Alton MDP -  West Mile 5 Road and Louisiana Street Alternative 2</v>
      </c>
      <c r="D1056" t="str">
        <f>_xlfn.XLOOKUP(FME_Ranking1[[#This Row],[FME ID]],FME_Input[FME_ID],FME_Input[DESCR])</f>
        <v>Alternative 2 is designed to remove structures from the 10-year floodplain. Approximately 35 acre-feet of volume is proposed to be excavated. construction consists of 1,940 LF of 36-inch diameter pipe sloped at 0.2% along Louisiana, Kentucky, and Trosper</v>
      </c>
      <c r="E1056" s="256">
        <f>_xlfn.XLOOKUP(FME_Ranking1[[#This Row],[FME ID]],FME_Input[FME_ID],FME_Input[FME_COST])</f>
        <v>322898</v>
      </c>
      <c r="F1056" t="str">
        <f>_xlfn.XLOOKUP(FME_Ranking1[[#This Row],[FME ID]],FME_Input[FME_ID],FME_Input[EMER_NEED])</f>
        <v>Yes</v>
      </c>
      <c r="G1056">
        <f>IF(FME_Ranking!F1056="Yes",100,0)</f>
        <v>100</v>
      </c>
      <c r="H1056">
        <f>FME_Ranking1[[#This Row],[Emergency Need Score (Normalized, Unweighted)]]*$F$3</f>
        <v>0</v>
      </c>
      <c r="I1056" s="246">
        <f>_xlfn.XLOOKUP(FME_Ranking1[[#This Row],[FME ID]],FME_Input[FME_ID],FME_Input[STRUCT_100])</f>
        <v>0</v>
      </c>
      <c r="J1056" s="178">
        <f>(FME_Ranking1[[#This Row],[Structures 100 Raw]]/I$2)*100</f>
        <v>0</v>
      </c>
      <c r="K1056" s="178">
        <f>FME_Ranking1[[#This Row],[Structures 100  Score (Normalized, Unweighted)]]*$I$3</f>
        <v>0</v>
      </c>
      <c r="L1056" s="246">
        <f>_xlfn.XLOOKUP(FME_Ranking1[[#This Row],[FME ID]],FME_Input[FME_ID],FME_Input[RES_STRUCT100])</f>
        <v>574</v>
      </c>
      <c r="M1056" s="230">
        <f>(FME_Ranking1[[#This Row],[Res Structures Raw]]/L$2)*100</f>
        <v>0.40656740944313013</v>
      </c>
      <c r="N1056" s="180">
        <f>FME_Ranking1[[#This Row],[Res Structures Score (Normalized, Unweighted)]]*$L$3</f>
        <v>4.0656740944313013E-2</v>
      </c>
      <c r="O1056" s="244">
        <f>_xlfn.XLOOKUP(FME_Ranking1[[#This Row],[FME ID]],FME_Input[FME_ID],FME_Input[POP100])</f>
        <v>2686</v>
      </c>
      <c r="P1056" s="178">
        <f>(FME_Ranking1[[#This Row],[Pop Raw]]/$O$2)*100</f>
        <v>0.27498008800181817</v>
      </c>
      <c r="Q1056" s="178">
        <f>FME_Ranking1[[#This Row],[Pop Score (Normalized, Unweighted)]]*$O$3</f>
        <v>4.1247013200272721E-2</v>
      </c>
      <c r="R1056" s="137">
        <f>_xlfn.XLOOKUP(FME_Ranking1[[#This Row],[FME ID]],FME_Input[FME_ID],FME_Input[CRITFAC100])</f>
        <v>0</v>
      </c>
      <c r="S1056" s="230">
        <f>(FME_Ranking1[[#This Row],[Critical Facilities Raw]]/$R$2)*100</f>
        <v>0</v>
      </c>
      <c r="T1056" s="180">
        <f>FME_Ranking1[[#This Row],[Critical Facilities Score (Normalized, Unweighted)]]*$R$3</f>
        <v>0</v>
      </c>
      <c r="U1056">
        <f>_xlfn.XLOOKUP(FME_Ranking1[[#This Row],[FME ID]],FME_Input[FME_ID],FME_Input[LWC])</f>
        <v>0</v>
      </c>
      <c r="V1056" s="178">
        <f>(FME_Ranking1[[#This Row],[LWC Raw]]/$U$2)*100</f>
        <v>0</v>
      </c>
      <c r="W1056" s="178">
        <f>FME_Ranking1[[#This Row],[LWC Score (Normalized, Unweighted)]]*$U$3</f>
        <v>0</v>
      </c>
      <c r="X1056" s="246">
        <f>_xlfn.XLOOKUP(FME_Ranking1[[#This Row],[FME ID]],FME_Input[FME_ID],FME_Input[ROADCLS])</f>
        <v>0</v>
      </c>
      <c r="Y1056" s="230">
        <f>(FME_Ranking1[[#This Row],[Closures Raw]]/$X$2)*100</f>
        <v>0</v>
      </c>
      <c r="Z1056" s="180">
        <f>FME_Ranking1[[#This Row],[Closures Score (Normalized, Unweighted)]]*$X$3</f>
        <v>0</v>
      </c>
      <c r="AA1056" s="253">
        <f>_xlfn.XLOOKUP(FME_Ranking1[[#This Row],[FME ID]],FME_Input[FME_ID],FME_Input[ROAD_MILES100])</f>
        <v>26.126499176025391</v>
      </c>
      <c r="AB1056" s="178">
        <f>(FME_Ranking1[[#This Row],[Miles Raw]]/$AA$2)*100</f>
        <v>0.34351660408856577</v>
      </c>
      <c r="AC1056" s="178">
        <f>FME_Ranking1[[#This Row],[Miles Score (Normalized, Unweighted)]]*$AA$3</f>
        <v>3.435166040885658E-2</v>
      </c>
      <c r="AD1056" s="255">
        <f>_xlfn.XLOOKUP(FME_Ranking1[[#This Row],[FME ID]],FME_Input[FME_ID],FME_Input[FARMACRE100])</f>
        <v>0</v>
      </c>
      <c r="AE1056" s="230">
        <f>(FME_Ranking1[[#This Row],[Ag Land Raw]]/$AD$2)*100</f>
        <v>0</v>
      </c>
      <c r="AF1056" s="231">
        <f>FME_Ranking1[[#This Row],[Ag Land Score (Normalized, Unweighted)]]*$AD$3</f>
        <v>0</v>
      </c>
      <c r="AG105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0.11625541455344231</v>
      </c>
      <c r="AH1056" s="406">
        <f t="shared" si="16"/>
        <v>997</v>
      </c>
      <c r="AI105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0.11625541455344231</v>
      </c>
      <c r="AJ1056" s="257">
        <f>FME_Ranking1[[#This Row],[Addition check]]-FME_Ranking1[[#This Row],[Weighted Score Based on Normalized Reported Factors]]</f>
        <v>0</v>
      </c>
      <c r="AK1056" s="178">
        <f>_xlfn.RANK.EQ(AI1056,$AI$6:$AI$2341,0)+COUNTIF($AI$6:AI1056,AI1056)-1</f>
        <v>997</v>
      </c>
    </row>
    <row r="1057" spans="1:37" x14ac:dyDescent="0.25">
      <c r="A1057" t="s">
        <v>10166</v>
      </c>
      <c r="B1057">
        <f>_xlfn.XLOOKUP(FME_Ranking1[[#This Row],[FME ID]],FME_Input[FME_ID],FME_Input[RFPG_NUM])</f>
        <v>13</v>
      </c>
      <c r="C1057" t="str">
        <f>_xlfn.XLOOKUP(FME_Ranking1[[#This Row],[FME ID]],FME_Input[FME_ID],FME_Input[FME_NAME])</f>
        <v>Northern San Diego Drainage Improvement Project</v>
      </c>
      <c r="D1057" t="str">
        <f>_xlfn.XLOOKUP(FME_Ranking1[[#This Row],[FME ID]],FME_Input[FME_ID],FME_Input[DESCR])</f>
        <v>Drainage improvements to subsurface drainage systems - installation of new underground drainage infrastructure along Luby street; expansion and improvements to Dix Street System</v>
      </c>
      <c r="E1057" s="256">
        <f>_xlfn.XLOOKUP(FME_Ranking1[[#This Row],[FME ID]],FME_Input[FME_ID],FME_Input[FME_COST])</f>
        <v>250000</v>
      </c>
      <c r="F1057" t="str">
        <f>_xlfn.XLOOKUP(FME_Ranking1[[#This Row],[FME ID]],FME_Input[FME_ID],FME_Input[EMER_NEED])</f>
        <v>Yes</v>
      </c>
      <c r="G1057">
        <f>IF(FME_Ranking!F1057="Yes",100,0)</f>
        <v>100</v>
      </c>
      <c r="H1057">
        <f>FME_Ranking1[[#This Row],[Emergency Need Score (Normalized, Unweighted)]]*$F$3</f>
        <v>0</v>
      </c>
      <c r="I1057" s="246">
        <f>_xlfn.XLOOKUP(FME_Ranking1[[#This Row],[FME ID]],FME_Input[FME_ID],FME_Input[STRUCT_100])</f>
        <v>268</v>
      </c>
      <c r="J1057" s="178">
        <f>(FME_Ranking1[[#This Row],[Structures 100 Raw]]/I$2)*100</f>
        <v>0.14351197361093262</v>
      </c>
      <c r="K1057" s="178">
        <f>FME_Ranking1[[#This Row],[Structures 100  Score (Normalized, Unweighted)]]*$I$3</f>
        <v>2.1526796041639894E-2</v>
      </c>
      <c r="L1057" s="246">
        <f>_xlfn.XLOOKUP(FME_Ranking1[[#This Row],[FME ID]],FME_Input[FME_ID],FME_Input[RES_STRUCT100])</f>
        <v>199</v>
      </c>
      <c r="M1057" s="230">
        <f>(FME_Ranking1[[#This Row],[Res Structures Raw]]/L$2)*100</f>
        <v>0.14095281268150331</v>
      </c>
      <c r="N1057" s="180">
        <f>FME_Ranking1[[#This Row],[Res Structures Score (Normalized, Unweighted)]]*$L$3</f>
        <v>1.4095281268150331E-2</v>
      </c>
      <c r="O1057" s="244">
        <f>_xlfn.XLOOKUP(FME_Ranking1[[#This Row],[FME ID]],FME_Input[FME_ID],FME_Input[POP100])</f>
        <v>698</v>
      </c>
      <c r="P1057" s="178">
        <f>(FME_Ranking1[[#This Row],[Pop Raw]]/$O$2)*100</f>
        <v>7.1457967768156772E-2</v>
      </c>
      <c r="Q1057" s="178">
        <f>FME_Ranking1[[#This Row],[Pop Score (Normalized, Unweighted)]]*$O$3</f>
        <v>1.0718695165223516E-2</v>
      </c>
      <c r="R1057" s="137">
        <f>_xlfn.XLOOKUP(FME_Ranking1[[#This Row],[FME ID]],FME_Input[FME_ID],FME_Input[CRITFAC100])</f>
        <v>0</v>
      </c>
      <c r="S1057" s="230">
        <f>(FME_Ranking1[[#This Row],[Critical Facilities Raw]]/$R$2)*100</f>
        <v>0</v>
      </c>
      <c r="T1057" s="180">
        <f>FME_Ranking1[[#This Row],[Critical Facilities Score (Normalized, Unweighted)]]*$R$3</f>
        <v>0</v>
      </c>
      <c r="U1057">
        <f>_xlfn.XLOOKUP(FME_Ranking1[[#This Row],[FME ID]],FME_Input[FME_ID],FME_Input[LWC])</f>
        <v>0</v>
      </c>
      <c r="V1057" s="178">
        <f>(FME_Ranking1[[#This Row],[LWC Raw]]/$U$2)*100</f>
        <v>0</v>
      </c>
      <c r="W1057" s="178">
        <f>FME_Ranking1[[#This Row],[LWC Score (Normalized, Unweighted)]]*$U$3</f>
        <v>0</v>
      </c>
      <c r="X1057" s="246">
        <f>_xlfn.XLOOKUP(FME_Ranking1[[#This Row],[FME ID]],FME_Input[FME_ID],FME_Input[ROADCLS])</f>
        <v>67</v>
      </c>
      <c r="Y1057" s="230">
        <f>(FME_Ranking1[[#This Row],[Closures Raw]]/$X$2)*100</f>
        <v>0.70444748186310591</v>
      </c>
      <c r="Z1057" s="180">
        <f>FME_Ranking1[[#This Row],[Closures Score (Normalized, Unweighted)]]*$X$3</f>
        <v>3.5222374093155297E-2</v>
      </c>
      <c r="AA1057" s="253">
        <f>_xlfn.XLOOKUP(FME_Ranking1[[#This Row],[FME ID]],FME_Input[FME_ID],FME_Input[ROAD_MILES100])</f>
        <v>11.048420906066889</v>
      </c>
      <c r="AB1057" s="178">
        <f>(FME_Ranking1[[#This Row],[Miles Raw]]/$AA$2)*100</f>
        <v>0.14526691864158861</v>
      </c>
      <c r="AC1057" s="178">
        <f>FME_Ranking1[[#This Row],[Miles Score (Normalized, Unweighted)]]*$AA$3</f>
        <v>1.4526691864158862E-2</v>
      </c>
      <c r="AD1057" s="255">
        <f>_xlfn.XLOOKUP(FME_Ranking1[[#This Row],[FME ID]],FME_Input[FME_ID],FME_Input[FARMACRE100])</f>
        <v>69.137687683105469</v>
      </c>
      <c r="AE1057" s="230">
        <f>(FME_Ranking1[[#This Row],[Ag Land Raw]]/$AD$2)*100</f>
        <v>2.8509287449372763E-3</v>
      </c>
      <c r="AF1057" s="231">
        <f>FME_Ranking1[[#This Row],[Ag Land Score (Normalized, Unweighted)]]*$AD$3</f>
        <v>1.4254643724686381E-4</v>
      </c>
      <c r="AG105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9.6232384869574764E-2</v>
      </c>
      <c r="AH1057" s="406">
        <f t="shared" si="16"/>
        <v>1060</v>
      </c>
      <c r="AI105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9.6232384869574764E-2</v>
      </c>
      <c r="AJ1057" s="257">
        <f>FME_Ranking1[[#This Row],[Addition check]]-FME_Ranking1[[#This Row],[Weighted Score Based on Normalized Reported Factors]]</f>
        <v>0</v>
      </c>
      <c r="AK1057" s="178">
        <f>_xlfn.RANK.EQ(AI1057,$AI$6:$AI$2341,0)+COUNTIF($AI$6:AI1057,AI1057)-1</f>
        <v>1060</v>
      </c>
    </row>
    <row r="1058" spans="1:37" x14ac:dyDescent="0.25">
      <c r="A1058" t="s">
        <v>10196</v>
      </c>
      <c r="B1058">
        <f>_xlfn.XLOOKUP(FME_Ranking1[[#This Row],[FME ID]],FME_Input[FME_ID],FME_Input[RFPG_NUM])</f>
        <v>13</v>
      </c>
      <c r="C1058" t="str">
        <f>_xlfn.XLOOKUP(FME_Ranking1[[#This Row],[FME ID]],FME_Input[FME_ID],FME_Input[FME_NAME])</f>
        <v>Southern San Diego Drainage  Improvement Project</v>
      </c>
      <c r="D1058" t="str">
        <f>_xlfn.XLOOKUP(FME_Ranking1[[#This Row],[FME ID]],FME_Input[FME_ID],FME_Input[DESCR])</f>
        <v>New underground stormwater collection system along Collins Street, including interconnections between existing and new infrastructure.</v>
      </c>
      <c r="E1058" s="256">
        <f>_xlfn.XLOOKUP(FME_Ranking1[[#This Row],[FME ID]],FME_Input[FME_ID],FME_Input[FME_COST])</f>
        <v>250000</v>
      </c>
      <c r="F1058" t="str">
        <f>_xlfn.XLOOKUP(FME_Ranking1[[#This Row],[FME ID]],FME_Input[FME_ID],FME_Input[EMER_NEED])</f>
        <v>Yes</v>
      </c>
      <c r="G1058">
        <f>IF(FME_Ranking!F1058="Yes",100,0)</f>
        <v>100</v>
      </c>
      <c r="H1058">
        <f>FME_Ranking1[[#This Row],[Emergency Need Score (Normalized, Unweighted)]]*$F$3</f>
        <v>0</v>
      </c>
      <c r="I1058" s="246">
        <f>_xlfn.XLOOKUP(FME_Ranking1[[#This Row],[FME ID]],FME_Input[FME_ID],FME_Input[STRUCT_100])</f>
        <v>268</v>
      </c>
      <c r="J1058" s="178">
        <f>(FME_Ranking1[[#This Row],[Structures 100 Raw]]/I$2)*100</f>
        <v>0.14351197361093262</v>
      </c>
      <c r="K1058" s="178">
        <f>FME_Ranking1[[#This Row],[Structures 100  Score (Normalized, Unweighted)]]*$I$3</f>
        <v>2.1526796041639894E-2</v>
      </c>
      <c r="L1058" s="246">
        <f>_xlfn.XLOOKUP(FME_Ranking1[[#This Row],[FME ID]],FME_Input[FME_ID],FME_Input[RES_STRUCT100])</f>
        <v>199</v>
      </c>
      <c r="M1058" s="230">
        <f>(FME_Ranking1[[#This Row],[Res Structures Raw]]/L$2)*100</f>
        <v>0.14095281268150331</v>
      </c>
      <c r="N1058" s="180">
        <f>FME_Ranking1[[#This Row],[Res Structures Score (Normalized, Unweighted)]]*$L$3</f>
        <v>1.4095281268150331E-2</v>
      </c>
      <c r="O1058" s="244">
        <f>_xlfn.XLOOKUP(FME_Ranking1[[#This Row],[FME ID]],FME_Input[FME_ID],FME_Input[POP100])</f>
        <v>698</v>
      </c>
      <c r="P1058" s="178">
        <f>(FME_Ranking1[[#This Row],[Pop Raw]]/$O$2)*100</f>
        <v>7.1457967768156772E-2</v>
      </c>
      <c r="Q1058" s="178">
        <f>FME_Ranking1[[#This Row],[Pop Score (Normalized, Unweighted)]]*$O$3</f>
        <v>1.0718695165223516E-2</v>
      </c>
      <c r="R1058" s="137">
        <f>_xlfn.XLOOKUP(FME_Ranking1[[#This Row],[FME ID]],FME_Input[FME_ID],FME_Input[CRITFAC100])</f>
        <v>0</v>
      </c>
      <c r="S1058" s="230">
        <f>(FME_Ranking1[[#This Row],[Critical Facilities Raw]]/$R$2)*100</f>
        <v>0</v>
      </c>
      <c r="T1058" s="180">
        <f>FME_Ranking1[[#This Row],[Critical Facilities Score (Normalized, Unweighted)]]*$R$3</f>
        <v>0</v>
      </c>
      <c r="U1058">
        <f>_xlfn.XLOOKUP(FME_Ranking1[[#This Row],[FME ID]],FME_Input[FME_ID],FME_Input[LWC])</f>
        <v>0</v>
      </c>
      <c r="V1058" s="178">
        <f>(FME_Ranking1[[#This Row],[LWC Raw]]/$U$2)*100</f>
        <v>0</v>
      </c>
      <c r="W1058" s="178">
        <f>FME_Ranking1[[#This Row],[LWC Score (Normalized, Unweighted)]]*$U$3</f>
        <v>0</v>
      </c>
      <c r="X1058" s="246">
        <f>_xlfn.XLOOKUP(FME_Ranking1[[#This Row],[FME ID]],FME_Input[FME_ID],FME_Input[ROADCLS])</f>
        <v>67</v>
      </c>
      <c r="Y1058" s="230">
        <f>(FME_Ranking1[[#This Row],[Closures Raw]]/$X$2)*100</f>
        <v>0.70444748186310591</v>
      </c>
      <c r="Z1058" s="180">
        <f>FME_Ranking1[[#This Row],[Closures Score (Normalized, Unweighted)]]*$X$3</f>
        <v>3.5222374093155297E-2</v>
      </c>
      <c r="AA1058" s="253">
        <f>_xlfn.XLOOKUP(FME_Ranking1[[#This Row],[FME ID]],FME_Input[FME_ID],FME_Input[ROAD_MILES100])</f>
        <v>11.048420906066889</v>
      </c>
      <c r="AB1058" s="178">
        <f>(FME_Ranking1[[#This Row],[Miles Raw]]/$AA$2)*100</f>
        <v>0.14526691864158861</v>
      </c>
      <c r="AC1058" s="178">
        <f>FME_Ranking1[[#This Row],[Miles Score (Normalized, Unweighted)]]*$AA$3</f>
        <v>1.4526691864158862E-2</v>
      </c>
      <c r="AD1058" s="255">
        <f>_xlfn.XLOOKUP(FME_Ranking1[[#This Row],[FME ID]],FME_Input[FME_ID],FME_Input[FARMACRE100])</f>
        <v>69.137687683105469</v>
      </c>
      <c r="AE1058" s="230">
        <f>(FME_Ranking1[[#This Row],[Ag Land Raw]]/$AD$2)*100</f>
        <v>2.8509287449372763E-3</v>
      </c>
      <c r="AF1058" s="231">
        <f>FME_Ranking1[[#This Row],[Ag Land Score (Normalized, Unweighted)]]*$AD$3</f>
        <v>1.4254643724686381E-4</v>
      </c>
      <c r="AG105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9.6232384869574764E-2</v>
      </c>
      <c r="AH1058" s="406">
        <f t="shared" si="16"/>
        <v>1060</v>
      </c>
      <c r="AI105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9.6232384869574764E-2</v>
      </c>
      <c r="AJ1058" s="257">
        <f>FME_Ranking1[[#This Row],[Addition check]]-FME_Ranking1[[#This Row],[Weighted Score Based on Normalized Reported Factors]]</f>
        <v>0</v>
      </c>
      <c r="AK1058" s="178">
        <f>_xlfn.RANK.EQ(AI1058,$AI$6:$AI$2341,0)+COUNTIF($AI$6:AI1058,AI1058)-1</f>
        <v>1061</v>
      </c>
    </row>
    <row r="1059" spans="1:37" x14ac:dyDescent="0.25">
      <c r="A1059" t="s">
        <v>7600</v>
      </c>
      <c r="B1059">
        <f>_xlfn.XLOOKUP(FME_Ranking1[[#This Row],[FME ID]],FME_Input[FME_ID],FME_Input[RFPG_NUM])</f>
        <v>8</v>
      </c>
      <c r="C1059" t="str">
        <f>_xlfn.XLOOKUP(FME_Ranking1[[#This Row],[FME ID]],FME_Input[FME_ID],FME_Input[FME_NAME])</f>
        <v>Carter's Creek Crossing Improvements</v>
      </c>
      <c r="D1059" t="str">
        <f>_xlfn.XLOOKUP(FME_Ranking1[[#This Row],[FME ID]],FME_Input[FME_ID],FME_Input[DESCR])</f>
        <v>Study and design of culvert improvements along Carter's Creek.</v>
      </c>
      <c r="E1059" s="256">
        <f>_xlfn.XLOOKUP(FME_Ranking1[[#This Row],[FME ID]],FME_Input[FME_ID],FME_Input[FME_COST])</f>
        <v>108000</v>
      </c>
      <c r="F1059" t="str">
        <f>_xlfn.XLOOKUP(FME_Ranking1[[#This Row],[FME ID]],FME_Input[FME_ID],FME_Input[EMER_NEED])</f>
        <v>No</v>
      </c>
      <c r="G1059">
        <f>IF(FME_Ranking!F1059="Yes",100,0)</f>
        <v>0</v>
      </c>
      <c r="H1059">
        <f>FME_Ranking1[[#This Row],[Emergency Need Score (Normalized, Unweighted)]]*$F$3</f>
        <v>0</v>
      </c>
      <c r="I1059" s="246">
        <f>_xlfn.XLOOKUP(FME_Ranking1[[#This Row],[FME ID]],FME_Input[FME_ID],FME_Input[STRUCT_100])</f>
        <v>158</v>
      </c>
      <c r="J1059" s="178">
        <f>(FME_Ranking1[[#This Row],[Structures 100 Raw]]/I$2)*100</f>
        <v>8.4607805337788625E-2</v>
      </c>
      <c r="K1059" s="178">
        <f>FME_Ranking1[[#This Row],[Structures 100  Score (Normalized, Unweighted)]]*$I$3</f>
        <v>1.2691170800668294E-2</v>
      </c>
      <c r="L1059" s="246">
        <f>_xlfn.XLOOKUP(FME_Ranking1[[#This Row],[FME ID]],FME_Input[FME_ID],FME_Input[RES_STRUCT100])</f>
        <v>133</v>
      </c>
      <c r="M1059" s="230">
        <f>(FME_Ranking1[[#This Row],[Res Structures Raw]]/L$2)*100</f>
        <v>9.4204643651456976E-2</v>
      </c>
      <c r="N1059" s="180">
        <f>FME_Ranking1[[#This Row],[Res Structures Score (Normalized, Unweighted)]]*$L$3</f>
        <v>9.4204643651456983E-3</v>
      </c>
      <c r="O1059" s="244">
        <f>_xlfn.XLOOKUP(FME_Ranking1[[#This Row],[FME ID]],FME_Input[FME_ID],FME_Input[POP100])</f>
        <v>848</v>
      </c>
      <c r="P1059" s="178">
        <f>(FME_Ranking1[[#This Row],[Pop Raw]]/$O$2)*100</f>
        <v>8.6814264566471275E-2</v>
      </c>
      <c r="Q1059" s="178">
        <f>FME_Ranking1[[#This Row],[Pop Score (Normalized, Unweighted)]]*$O$3</f>
        <v>1.3022139684970692E-2</v>
      </c>
      <c r="R1059" s="137">
        <f>_xlfn.XLOOKUP(FME_Ranking1[[#This Row],[FME ID]],FME_Input[FME_ID],FME_Input[CRITFAC100])</f>
        <v>1</v>
      </c>
      <c r="S1059" s="230">
        <f>(FME_Ranking1[[#This Row],[Critical Facilities Raw]]/$R$2)*100</f>
        <v>4.2881646655231559E-2</v>
      </c>
      <c r="T1059" s="180">
        <f>FME_Ranking1[[#This Row],[Critical Facilities Score (Normalized, Unweighted)]]*$R$3</f>
        <v>8.5763293310463125E-3</v>
      </c>
      <c r="U1059">
        <f>_xlfn.XLOOKUP(FME_Ranking1[[#This Row],[FME ID]],FME_Input[FME_ID],FME_Input[LWC])</f>
        <v>2</v>
      </c>
      <c r="V1059" s="178">
        <f>(FME_Ranking1[[#This Row],[LWC Raw]]/$U$2)*100</f>
        <v>0.11514104778353484</v>
      </c>
      <c r="W1059" s="178">
        <f>FME_Ranking1[[#This Row],[LWC Score (Normalized, Unweighted)]]*$U$3</f>
        <v>2.302820955670697E-2</v>
      </c>
      <c r="X1059" s="246">
        <f>_xlfn.XLOOKUP(FME_Ranking1[[#This Row],[FME ID]],FME_Input[FME_ID],FME_Input[ROADCLS])</f>
        <v>27</v>
      </c>
      <c r="Y1059" s="230">
        <f>(FME_Ranking1[[#This Row],[Closures Raw]]/$X$2)*100</f>
        <v>0.28388182104931131</v>
      </c>
      <c r="Z1059" s="180">
        <f>FME_Ranking1[[#This Row],[Closures Score (Normalized, Unweighted)]]*$X$3</f>
        <v>1.4194091052465566E-2</v>
      </c>
      <c r="AA1059" s="253">
        <f>_xlfn.XLOOKUP(FME_Ranking1[[#This Row],[FME ID]],FME_Input[FME_ID],FME_Input[ROAD_MILES100])</f>
        <v>3.063940048217773</v>
      </c>
      <c r="AB1059" s="178">
        <f>(FME_Ranking1[[#This Row],[Miles Raw]]/$AA$2)*100</f>
        <v>4.0285316199598242E-2</v>
      </c>
      <c r="AC1059" s="178">
        <f>FME_Ranking1[[#This Row],[Miles Score (Normalized, Unweighted)]]*$AA$3</f>
        <v>4.0285316199598241E-3</v>
      </c>
      <c r="AD1059" s="255">
        <f>_xlfn.XLOOKUP(FME_Ranking1[[#This Row],[FME ID]],FME_Input[FME_ID],FME_Input[FARMACRE100])</f>
        <v>181.53999328613281</v>
      </c>
      <c r="AE1059" s="230">
        <f>(FME_Ranking1[[#This Row],[Ag Land Raw]]/$AD$2)*100</f>
        <v>7.4858966586703896E-3</v>
      </c>
      <c r="AF1059" s="231">
        <f>FME_Ranking1[[#This Row],[Ag Land Score (Normalized, Unweighted)]]*$AD$3</f>
        <v>3.7429483293351952E-4</v>
      </c>
      <c r="AG105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8.5335231243896872E-2</v>
      </c>
      <c r="AH1059" s="406">
        <f t="shared" si="16"/>
        <v>1115</v>
      </c>
      <c r="AI105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8.5335231243896872E-2</v>
      </c>
      <c r="AJ1059" s="257">
        <f>FME_Ranking1[[#This Row],[Addition check]]-FME_Ranking1[[#This Row],[Weighted Score Based on Normalized Reported Factors]]</f>
        <v>0</v>
      </c>
      <c r="AK1059" s="178">
        <f>_xlfn.RANK.EQ(AI1059,$AI$6:$AI$2341,0)+COUNTIF($AI$6:AI1059,AI1059)-1</f>
        <v>1115</v>
      </c>
    </row>
    <row r="1060" spans="1:37" x14ac:dyDescent="0.25">
      <c r="A1060" t="s">
        <v>6804</v>
      </c>
      <c r="B1060">
        <f>_xlfn.XLOOKUP(FME_Ranking1[[#This Row],[FME ID]],FME_Input[FME_ID],FME_Input[RFPG_NUM])</f>
        <v>7</v>
      </c>
      <c r="C1060" t="str">
        <f>_xlfn.XLOOKUP(FME_Ranking1[[#This Row],[FME ID]],FME_Input[FME_ID],FME_Input[FME_NAME])</f>
        <v>Dickens County Initial FEMA Mapping</v>
      </c>
      <c r="D1060" t="str">
        <f>_xlfn.XLOOKUP(FME_Ranking1[[#This Row],[FME ID]],FME_Input[FME_ID],FME_Input[DESCR])</f>
        <v>Create FEMA Mapping in previously unmapped areas</v>
      </c>
      <c r="E1060" s="256">
        <f>_xlfn.XLOOKUP(FME_Ranking1[[#This Row],[FME ID]],FME_Input[FME_ID],FME_Input[FME_COST])</f>
        <v>919000</v>
      </c>
      <c r="F1060" t="str">
        <f>_xlfn.XLOOKUP(FME_Ranking1[[#This Row],[FME ID]],FME_Input[FME_ID],FME_Input[EMER_NEED])</f>
        <v>No</v>
      </c>
      <c r="G1060">
        <f>IF(FME_Ranking!F1060="Yes",100,0)</f>
        <v>0</v>
      </c>
      <c r="H1060">
        <f>FME_Ranking1[[#This Row],[Emergency Need Score (Normalized, Unweighted)]]*$F$3</f>
        <v>0</v>
      </c>
      <c r="I1060" s="246">
        <f>_xlfn.XLOOKUP(FME_Ranking1[[#This Row],[FME ID]],FME_Input[FME_ID],FME_Input[STRUCT_100])</f>
        <v>195</v>
      </c>
      <c r="J1060" s="178">
        <f>(FME_Ranking1[[#This Row],[Structures 100 Raw]]/I$2)*100</f>
        <v>0.10442102557511887</v>
      </c>
      <c r="K1060" s="178">
        <f>FME_Ranking1[[#This Row],[Structures 100  Score (Normalized, Unweighted)]]*$I$3</f>
        <v>1.5663153836267828E-2</v>
      </c>
      <c r="L1060" s="246">
        <f>_xlfn.XLOOKUP(FME_Ranking1[[#This Row],[FME ID]],FME_Input[FME_ID],FME_Input[RES_STRUCT100])</f>
        <v>0</v>
      </c>
      <c r="M1060" s="230">
        <f>(FME_Ranking1[[#This Row],[Res Structures Raw]]/L$2)*100</f>
        <v>0</v>
      </c>
      <c r="N1060" s="180">
        <f>FME_Ranking1[[#This Row],[Res Structures Score (Normalized, Unweighted)]]*$L$3</f>
        <v>0</v>
      </c>
      <c r="O1060" s="244">
        <f>_xlfn.XLOOKUP(FME_Ranking1[[#This Row],[FME ID]],FME_Input[FME_ID],FME_Input[POP100])</f>
        <v>125</v>
      </c>
      <c r="P1060" s="178">
        <f>(FME_Ranking1[[#This Row],[Pop Raw]]/$O$2)*100</f>
        <v>1.2796913998595411E-2</v>
      </c>
      <c r="Q1060" s="178">
        <f>FME_Ranking1[[#This Row],[Pop Score (Normalized, Unweighted)]]*$O$3</f>
        <v>1.9195370997893116E-3</v>
      </c>
      <c r="R1060" s="137">
        <f>_xlfn.XLOOKUP(FME_Ranking1[[#This Row],[FME ID]],FME_Input[FME_ID],FME_Input[CRITFAC100])</f>
        <v>1</v>
      </c>
      <c r="S1060" s="230">
        <f>(FME_Ranking1[[#This Row],[Critical Facilities Raw]]/$R$2)*100</f>
        <v>4.2881646655231559E-2</v>
      </c>
      <c r="T1060" s="180">
        <f>FME_Ranking1[[#This Row],[Critical Facilities Score (Normalized, Unweighted)]]*$R$3</f>
        <v>8.5763293310463125E-3</v>
      </c>
      <c r="U1060">
        <f>_xlfn.XLOOKUP(FME_Ranking1[[#This Row],[FME ID]],FME_Input[FME_ID],FME_Input[LWC])</f>
        <v>2</v>
      </c>
      <c r="V1060" s="178">
        <f>(FME_Ranking1[[#This Row],[LWC Raw]]/$U$2)*100</f>
        <v>0.11514104778353484</v>
      </c>
      <c r="W1060" s="178">
        <f>FME_Ranking1[[#This Row],[LWC Score (Normalized, Unweighted)]]*$U$3</f>
        <v>2.302820955670697E-2</v>
      </c>
      <c r="X1060" s="246">
        <f>_xlfn.XLOOKUP(FME_Ranking1[[#This Row],[FME ID]],FME_Input[FME_ID],FME_Input[ROADCLS])</f>
        <v>0</v>
      </c>
      <c r="Y1060" s="230">
        <f>(FME_Ranking1[[#This Row],[Closures Raw]]/$X$2)*100</f>
        <v>0</v>
      </c>
      <c r="Z1060" s="180">
        <f>FME_Ranking1[[#This Row],[Closures Score (Normalized, Unweighted)]]*$X$3</f>
        <v>0</v>
      </c>
      <c r="AA1060" s="253">
        <f>_xlfn.XLOOKUP(FME_Ranking1[[#This Row],[FME ID]],FME_Input[FME_ID],FME_Input[ROAD_MILES100])</f>
        <v>111.8792266845703</v>
      </c>
      <c r="AB1060" s="178">
        <f>(FME_Ranking1[[#This Row],[Miles Raw]]/$AA$2)*100</f>
        <v>1.4710111660886185</v>
      </c>
      <c r="AC1060" s="178">
        <f>FME_Ranking1[[#This Row],[Miles Score (Normalized, Unweighted)]]*$AA$3</f>
        <v>0.14710111660886185</v>
      </c>
      <c r="AD1060" s="255">
        <f>_xlfn.XLOOKUP(FME_Ranking1[[#This Row],[FME ID]],FME_Input[FME_ID],FME_Input[FARMACRE100])</f>
        <v>15575.0576171875</v>
      </c>
      <c r="AE1060" s="230">
        <f>(FME_Ranking1[[#This Row],[Ag Land Raw]]/$AD$2)*100</f>
        <v>0.64224565432992575</v>
      </c>
      <c r="AF1060" s="231">
        <f>FME_Ranking1[[#This Row],[Ag Land Score (Normalized, Unweighted)]]*$AD$3</f>
        <v>3.2112282716496292E-2</v>
      </c>
      <c r="AG106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0.22840062914916859</v>
      </c>
      <c r="AH1060" s="406">
        <f t="shared" si="16"/>
        <v>741</v>
      </c>
      <c r="AI106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0.22840062914916859</v>
      </c>
      <c r="AJ1060" s="257">
        <f>FME_Ranking1[[#This Row],[Addition check]]-FME_Ranking1[[#This Row],[Weighted Score Based on Normalized Reported Factors]]</f>
        <v>0</v>
      </c>
      <c r="AK1060" s="178">
        <f>_xlfn.RANK.EQ(AI1060,$AI$6:$AI$2341,0)+COUNTIF($AI$6:AI1060,AI1060)-1</f>
        <v>741</v>
      </c>
    </row>
    <row r="1061" spans="1:37" x14ac:dyDescent="0.25">
      <c r="A1061" t="s">
        <v>6810</v>
      </c>
      <c r="B1061">
        <f>_xlfn.XLOOKUP(FME_Ranking1[[#This Row],[FME ID]],FME_Input[FME_ID],FME_Input[RFPG_NUM])</f>
        <v>7</v>
      </c>
      <c r="C1061" t="str">
        <f>_xlfn.XLOOKUP(FME_Ranking1[[#This Row],[FME ID]],FME_Input[FME_ID],FME_Input[FME_NAME])</f>
        <v>Dickens County DMP</v>
      </c>
      <c r="D1061" t="str">
        <f>_xlfn.XLOOKUP(FME_Ranking1[[#This Row],[FME ID]],FME_Input[FME_ID],FME_Input[DESCR])</f>
        <v>Evaluate county to identify future projects, analyze roads/stream crossing for emergency response vehicles to high hazard areas</v>
      </c>
      <c r="E1061" s="256">
        <f>_xlfn.XLOOKUP(FME_Ranking1[[#This Row],[FME ID]],FME_Input[FME_ID],FME_Input[FME_COST])</f>
        <v>500000</v>
      </c>
      <c r="F1061" t="str">
        <f>_xlfn.XLOOKUP(FME_Ranking1[[#This Row],[FME ID]],FME_Input[FME_ID],FME_Input[EMER_NEED])</f>
        <v>No</v>
      </c>
      <c r="G1061">
        <f>IF(FME_Ranking!F1061="Yes",100,0)</f>
        <v>0</v>
      </c>
      <c r="H1061">
        <f>FME_Ranking1[[#This Row],[Emergency Need Score (Normalized, Unweighted)]]*$F$3</f>
        <v>0</v>
      </c>
      <c r="I1061" s="246">
        <f>_xlfn.XLOOKUP(FME_Ranking1[[#This Row],[FME ID]],FME_Input[FME_ID],FME_Input[STRUCT_100])</f>
        <v>195</v>
      </c>
      <c r="J1061" s="178">
        <f>(FME_Ranking1[[#This Row],[Structures 100 Raw]]/I$2)*100</f>
        <v>0.10442102557511887</v>
      </c>
      <c r="K1061" s="178">
        <f>FME_Ranking1[[#This Row],[Structures 100  Score (Normalized, Unweighted)]]*$I$3</f>
        <v>1.5663153836267828E-2</v>
      </c>
      <c r="L1061" s="246">
        <f>_xlfn.XLOOKUP(FME_Ranking1[[#This Row],[FME ID]],FME_Input[FME_ID],FME_Input[RES_STRUCT100])</f>
        <v>0</v>
      </c>
      <c r="M1061" s="230">
        <f>(FME_Ranking1[[#This Row],[Res Structures Raw]]/L$2)*100</f>
        <v>0</v>
      </c>
      <c r="N1061" s="180">
        <f>FME_Ranking1[[#This Row],[Res Structures Score (Normalized, Unweighted)]]*$L$3</f>
        <v>0</v>
      </c>
      <c r="O1061" s="244">
        <f>_xlfn.XLOOKUP(FME_Ranking1[[#This Row],[FME ID]],FME_Input[FME_ID],FME_Input[POP100])</f>
        <v>125</v>
      </c>
      <c r="P1061" s="178">
        <f>(FME_Ranking1[[#This Row],[Pop Raw]]/$O$2)*100</f>
        <v>1.2796913998595411E-2</v>
      </c>
      <c r="Q1061" s="178">
        <f>FME_Ranking1[[#This Row],[Pop Score (Normalized, Unweighted)]]*$O$3</f>
        <v>1.9195370997893116E-3</v>
      </c>
      <c r="R1061" s="137">
        <f>_xlfn.XLOOKUP(FME_Ranking1[[#This Row],[FME ID]],FME_Input[FME_ID],FME_Input[CRITFAC100])</f>
        <v>1</v>
      </c>
      <c r="S1061" s="230">
        <f>(FME_Ranking1[[#This Row],[Critical Facilities Raw]]/$R$2)*100</f>
        <v>4.2881646655231559E-2</v>
      </c>
      <c r="T1061" s="180">
        <f>FME_Ranking1[[#This Row],[Critical Facilities Score (Normalized, Unweighted)]]*$R$3</f>
        <v>8.5763293310463125E-3</v>
      </c>
      <c r="U1061">
        <f>_xlfn.XLOOKUP(FME_Ranking1[[#This Row],[FME ID]],FME_Input[FME_ID],FME_Input[LWC])</f>
        <v>2</v>
      </c>
      <c r="V1061" s="178">
        <f>(FME_Ranking1[[#This Row],[LWC Raw]]/$U$2)*100</f>
        <v>0.11514104778353484</v>
      </c>
      <c r="W1061" s="178">
        <f>FME_Ranking1[[#This Row],[LWC Score (Normalized, Unweighted)]]*$U$3</f>
        <v>2.302820955670697E-2</v>
      </c>
      <c r="X1061" s="246">
        <f>_xlfn.XLOOKUP(FME_Ranking1[[#This Row],[FME ID]],FME_Input[FME_ID],FME_Input[ROADCLS])</f>
        <v>0</v>
      </c>
      <c r="Y1061" s="230">
        <f>(FME_Ranking1[[#This Row],[Closures Raw]]/$X$2)*100</f>
        <v>0</v>
      </c>
      <c r="Z1061" s="180">
        <f>FME_Ranking1[[#This Row],[Closures Score (Normalized, Unweighted)]]*$X$3</f>
        <v>0</v>
      </c>
      <c r="AA1061" s="253">
        <f>_xlfn.XLOOKUP(FME_Ranking1[[#This Row],[FME ID]],FME_Input[FME_ID],FME_Input[ROAD_MILES100])</f>
        <v>111.8792266845703</v>
      </c>
      <c r="AB1061" s="178">
        <f>(FME_Ranking1[[#This Row],[Miles Raw]]/$AA$2)*100</f>
        <v>1.4710111660886185</v>
      </c>
      <c r="AC1061" s="178">
        <f>FME_Ranking1[[#This Row],[Miles Score (Normalized, Unweighted)]]*$AA$3</f>
        <v>0.14710111660886185</v>
      </c>
      <c r="AD1061" s="255">
        <f>_xlfn.XLOOKUP(FME_Ranking1[[#This Row],[FME ID]],FME_Input[FME_ID],FME_Input[FARMACRE100])</f>
        <v>15575.0576171875</v>
      </c>
      <c r="AE1061" s="230">
        <f>(FME_Ranking1[[#This Row],[Ag Land Raw]]/$AD$2)*100</f>
        <v>0.64224565432992575</v>
      </c>
      <c r="AF1061" s="231">
        <f>FME_Ranking1[[#This Row],[Ag Land Score (Normalized, Unweighted)]]*$AD$3</f>
        <v>3.2112282716496292E-2</v>
      </c>
      <c r="AG106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0.22840062914916859</v>
      </c>
      <c r="AH1061" s="406">
        <f t="shared" si="16"/>
        <v>741</v>
      </c>
      <c r="AI106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0.22840062914916859</v>
      </c>
      <c r="AJ1061" s="257">
        <f>FME_Ranking1[[#This Row],[Addition check]]-FME_Ranking1[[#This Row],[Weighted Score Based on Normalized Reported Factors]]</f>
        <v>0</v>
      </c>
      <c r="AK1061" s="178">
        <f>_xlfn.RANK.EQ(AI1061,$AI$6:$AI$2341,0)+COUNTIF($AI$6:AI1061,AI1061)-1</f>
        <v>742</v>
      </c>
    </row>
    <row r="1062" spans="1:37" x14ac:dyDescent="0.25">
      <c r="A1062" t="s">
        <v>6812</v>
      </c>
      <c r="B1062">
        <f>_xlfn.XLOOKUP(FME_Ranking1[[#This Row],[FME ID]],FME_Input[FME_ID],FME_Input[RFPG_NUM])</f>
        <v>7</v>
      </c>
      <c r="C1062" t="str">
        <f>_xlfn.XLOOKUP(FME_Ranking1[[#This Row],[FME ID]],FME_Input[FME_ID],FME_Input[FME_NAME])</f>
        <v>Dickens County GIS Development</v>
      </c>
      <c r="D1062" t="str">
        <f>_xlfn.XLOOKUP(FME_Ranking1[[#This Row],[FME ID]],FME_Input[FME_ID],FME_Input[DESCR])</f>
        <v>Develop a GIS inventory of stormwater infrastructure</v>
      </c>
      <c r="E1062" s="256">
        <f>_xlfn.XLOOKUP(FME_Ranking1[[#This Row],[FME ID]],FME_Input[FME_ID],FME_Input[FME_COST])</f>
        <v>100000</v>
      </c>
      <c r="F1062" t="str">
        <f>_xlfn.XLOOKUP(FME_Ranking1[[#This Row],[FME ID]],FME_Input[FME_ID],FME_Input[EMER_NEED])</f>
        <v>No</v>
      </c>
      <c r="G1062">
        <f>IF(FME_Ranking!F1062="Yes",100,0)</f>
        <v>0</v>
      </c>
      <c r="H1062">
        <f>FME_Ranking1[[#This Row],[Emergency Need Score (Normalized, Unweighted)]]*$F$3</f>
        <v>0</v>
      </c>
      <c r="I1062" s="246">
        <f>_xlfn.XLOOKUP(FME_Ranking1[[#This Row],[FME ID]],FME_Input[FME_ID],FME_Input[STRUCT_100])</f>
        <v>195</v>
      </c>
      <c r="J1062" s="178">
        <f>(FME_Ranking1[[#This Row],[Structures 100 Raw]]/I$2)*100</f>
        <v>0.10442102557511887</v>
      </c>
      <c r="K1062" s="178">
        <f>FME_Ranking1[[#This Row],[Structures 100  Score (Normalized, Unweighted)]]*$I$3</f>
        <v>1.5663153836267828E-2</v>
      </c>
      <c r="L1062" s="246">
        <f>_xlfn.XLOOKUP(FME_Ranking1[[#This Row],[FME ID]],FME_Input[FME_ID],FME_Input[RES_STRUCT100])</f>
        <v>0</v>
      </c>
      <c r="M1062" s="230">
        <f>(FME_Ranking1[[#This Row],[Res Structures Raw]]/L$2)*100</f>
        <v>0</v>
      </c>
      <c r="N1062" s="180">
        <f>FME_Ranking1[[#This Row],[Res Structures Score (Normalized, Unweighted)]]*$L$3</f>
        <v>0</v>
      </c>
      <c r="O1062" s="244">
        <f>_xlfn.XLOOKUP(FME_Ranking1[[#This Row],[FME ID]],FME_Input[FME_ID],FME_Input[POP100])</f>
        <v>125</v>
      </c>
      <c r="P1062" s="178">
        <f>(FME_Ranking1[[#This Row],[Pop Raw]]/$O$2)*100</f>
        <v>1.2796913998595411E-2</v>
      </c>
      <c r="Q1062" s="178">
        <f>FME_Ranking1[[#This Row],[Pop Score (Normalized, Unweighted)]]*$O$3</f>
        <v>1.9195370997893116E-3</v>
      </c>
      <c r="R1062" s="137">
        <f>_xlfn.XLOOKUP(FME_Ranking1[[#This Row],[FME ID]],FME_Input[FME_ID],FME_Input[CRITFAC100])</f>
        <v>1</v>
      </c>
      <c r="S1062" s="230">
        <f>(FME_Ranking1[[#This Row],[Critical Facilities Raw]]/$R$2)*100</f>
        <v>4.2881646655231559E-2</v>
      </c>
      <c r="T1062" s="180">
        <f>FME_Ranking1[[#This Row],[Critical Facilities Score (Normalized, Unweighted)]]*$R$3</f>
        <v>8.5763293310463125E-3</v>
      </c>
      <c r="U1062">
        <f>_xlfn.XLOOKUP(FME_Ranking1[[#This Row],[FME ID]],FME_Input[FME_ID],FME_Input[LWC])</f>
        <v>2</v>
      </c>
      <c r="V1062" s="178">
        <f>(FME_Ranking1[[#This Row],[LWC Raw]]/$U$2)*100</f>
        <v>0.11514104778353484</v>
      </c>
      <c r="W1062" s="178">
        <f>FME_Ranking1[[#This Row],[LWC Score (Normalized, Unweighted)]]*$U$3</f>
        <v>2.302820955670697E-2</v>
      </c>
      <c r="X1062" s="246">
        <f>_xlfn.XLOOKUP(FME_Ranking1[[#This Row],[FME ID]],FME_Input[FME_ID],FME_Input[ROADCLS])</f>
        <v>0</v>
      </c>
      <c r="Y1062" s="230">
        <f>(FME_Ranking1[[#This Row],[Closures Raw]]/$X$2)*100</f>
        <v>0</v>
      </c>
      <c r="Z1062" s="180">
        <f>FME_Ranking1[[#This Row],[Closures Score (Normalized, Unweighted)]]*$X$3</f>
        <v>0</v>
      </c>
      <c r="AA1062" s="253">
        <f>_xlfn.XLOOKUP(FME_Ranking1[[#This Row],[FME ID]],FME_Input[FME_ID],FME_Input[ROAD_MILES100])</f>
        <v>111.8792266845703</v>
      </c>
      <c r="AB1062" s="178">
        <f>(FME_Ranking1[[#This Row],[Miles Raw]]/$AA$2)*100</f>
        <v>1.4710111660886185</v>
      </c>
      <c r="AC1062" s="178">
        <f>FME_Ranking1[[#This Row],[Miles Score (Normalized, Unweighted)]]*$AA$3</f>
        <v>0.14710111660886185</v>
      </c>
      <c r="AD1062" s="255">
        <f>_xlfn.XLOOKUP(FME_Ranking1[[#This Row],[FME ID]],FME_Input[FME_ID],FME_Input[FARMACRE100])</f>
        <v>15575.0576171875</v>
      </c>
      <c r="AE1062" s="230">
        <f>(FME_Ranking1[[#This Row],[Ag Land Raw]]/$AD$2)*100</f>
        <v>0.64224565432992575</v>
      </c>
      <c r="AF1062" s="231">
        <f>FME_Ranking1[[#This Row],[Ag Land Score (Normalized, Unweighted)]]*$AD$3</f>
        <v>3.2112282716496292E-2</v>
      </c>
      <c r="AG106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0.22840062914916859</v>
      </c>
      <c r="AH1062" s="406">
        <f t="shared" si="16"/>
        <v>741</v>
      </c>
      <c r="AI106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0.22840062914916859</v>
      </c>
      <c r="AJ1062" s="257">
        <f>FME_Ranking1[[#This Row],[Addition check]]-FME_Ranking1[[#This Row],[Weighted Score Based on Normalized Reported Factors]]</f>
        <v>0</v>
      </c>
      <c r="AK1062" s="178">
        <f>_xlfn.RANK.EQ(AI1062,$AI$6:$AI$2341,0)+COUNTIF($AI$6:AI1062,AI1062)-1</f>
        <v>743</v>
      </c>
    </row>
    <row r="1063" spans="1:37" x14ac:dyDescent="0.25">
      <c r="A1063" t="s">
        <v>7228</v>
      </c>
      <c r="B1063">
        <f>_xlfn.XLOOKUP(FME_Ranking1[[#This Row],[FME ID]],FME_Input[FME_ID],FME_Input[RFPG_NUM])</f>
        <v>7</v>
      </c>
      <c r="C1063" t="str">
        <f>_xlfn.XLOOKUP(FME_Ranking1[[#This Row],[FME ID]],FME_Input[FME_ID],FME_Input[FME_NAME])</f>
        <v>Dickens County DCM</v>
      </c>
      <c r="D1063" t="str">
        <f>_xlfn.XLOOKUP(FME_Ranking1[[#This Row],[FME ID]],FME_Input[FME_ID],FME_Input[DESCR])</f>
        <v>Consider stormwater criteria for infrastructure and floodplain ordinances to avoid new exposure to flood hazards.</v>
      </c>
      <c r="E1063" s="256">
        <f>_xlfn.XLOOKUP(FME_Ranking1[[#This Row],[FME ID]],FME_Input[FME_ID],FME_Input[FME_COST])</f>
        <v>100000</v>
      </c>
      <c r="F1063" t="str">
        <f>_xlfn.XLOOKUP(FME_Ranking1[[#This Row],[FME ID]],FME_Input[FME_ID],FME_Input[EMER_NEED])</f>
        <v>No</v>
      </c>
      <c r="G1063">
        <f>IF(FME_Ranking!F1063="Yes",100,0)</f>
        <v>0</v>
      </c>
      <c r="H1063">
        <f>FME_Ranking1[[#This Row],[Emergency Need Score (Normalized, Unweighted)]]*$F$3</f>
        <v>0</v>
      </c>
      <c r="I1063" s="246">
        <f>_xlfn.XLOOKUP(FME_Ranking1[[#This Row],[FME ID]],FME_Input[FME_ID],FME_Input[STRUCT_100])</f>
        <v>195</v>
      </c>
      <c r="J1063" s="178">
        <f>(FME_Ranking1[[#This Row],[Structures 100 Raw]]/I$2)*100</f>
        <v>0.10442102557511887</v>
      </c>
      <c r="K1063" s="178">
        <f>FME_Ranking1[[#This Row],[Structures 100  Score (Normalized, Unweighted)]]*$I$3</f>
        <v>1.5663153836267828E-2</v>
      </c>
      <c r="L1063" s="246">
        <f>_xlfn.XLOOKUP(FME_Ranking1[[#This Row],[FME ID]],FME_Input[FME_ID],FME_Input[RES_STRUCT100])</f>
        <v>0</v>
      </c>
      <c r="M1063" s="230">
        <f>(FME_Ranking1[[#This Row],[Res Structures Raw]]/L$2)*100</f>
        <v>0</v>
      </c>
      <c r="N1063" s="180">
        <f>FME_Ranking1[[#This Row],[Res Structures Score (Normalized, Unweighted)]]*$L$3</f>
        <v>0</v>
      </c>
      <c r="O1063" s="244">
        <f>_xlfn.XLOOKUP(FME_Ranking1[[#This Row],[FME ID]],FME_Input[FME_ID],FME_Input[POP100])</f>
        <v>125</v>
      </c>
      <c r="P1063" s="178">
        <f>(FME_Ranking1[[#This Row],[Pop Raw]]/$O$2)*100</f>
        <v>1.2796913998595411E-2</v>
      </c>
      <c r="Q1063" s="178">
        <f>FME_Ranking1[[#This Row],[Pop Score (Normalized, Unweighted)]]*$O$3</f>
        <v>1.9195370997893116E-3</v>
      </c>
      <c r="R1063" s="137">
        <f>_xlfn.XLOOKUP(FME_Ranking1[[#This Row],[FME ID]],FME_Input[FME_ID],FME_Input[CRITFAC100])</f>
        <v>1</v>
      </c>
      <c r="S1063" s="230">
        <f>(FME_Ranking1[[#This Row],[Critical Facilities Raw]]/$R$2)*100</f>
        <v>4.2881646655231559E-2</v>
      </c>
      <c r="T1063" s="180">
        <f>FME_Ranking1[[#This Row],[Critical Facilities Score (Normalized, Unweighted)]]*$R$3</f>
        <v>8.5763293310463125E-3</v>
      </c>
      <c r="U1063">
        <f>_xlfn.XLOOKUP(FME_Ranking1[[#This Row],[FME ID]],FME_Input[FME_ID],FME_Input[LWC])</f>
        <v>2</v>
      </c>
      <c r="V1063" s="178">
        <f>(FME_Ranking1[[#This Row],[LWC Raw]]/$U$2)*100</f>
        <v>0.11514104778353484</v>
      </c>
      <c r="W1063" s="178">
        <f>FME_Ranking1[[#This Row],[LWC Score (Normalized, Unweighted)]]*$U$3</f>
        <v>2.302820955670697E-2</v>
      </c>
      <c r="X1063" s="246">
        <f>_xlfn.XLOOKUP(FME_Ranking1[[#This Row],[FME ID]],FME_Input[FME_ID],FME_Input[ROADCLS])</f>
        <v>0</v>
      </c>
      <c r="Y1063" s="230">
        <f>(FME_Ranking1[[#This Row],[Closures Raw]]/$X$2)*100</f>
        <v>0</v>
      </c>
      <c r="Z1063" s="180">
        <f>FME_Ranking1[[#This Row],[Closures Score (Normalized, Unweighted)]]*$X$3</f>
        <v>0</v>
      </c>
      <c r="AA1063" s="253">
        <f>_xlfn.XLOOKUP(FME_Ranking1[[#This Row],[FME ID]],FME_Input[FME_ID],FME_Input[ROAD_MILES100])</f>
        <v>111.8792266845703</v>
      </c>
      <c r="AB1063" s="178">
        <f>(FME_Ranking1[[#This Row],[Miles Raw]]/$AA$2)*100</f>
        <v>1.4710111660886185</v>
      </c>
      <c r="AC1063" s="178">
        <f>FME_Ranking1[[#This Row],[Miles Score (Normalized, Unweighted)]]*$AA$3</f>
        <v>0.14710111660886185</v>
      </c>
      <c r="AD1063" s="255">
        <f>_xlfn.XLOOKUP(FME_Ranking1[[#This Row],[FME ID]],FME_Input[FME_ID],FME_Input[FARMACRE100])</f>
        <v>15575.0576171875</v>
      </c>
      <c r="AE1063" s="230">
        <f>(FME_Ranking1[[#This Row],[Ag Land Raw]]/$AD$2)*100</f>
        <v>0.64224565432992575</v>
      </c>
      <c r="AF1063" s="231">
        <f>FME_Ranking1[[#This Row],[Ag Land Score (Normalized, Unweighted)]]*$AD$3</f>
        <v>3.2112282716496292E-2</v>
      </c>
      <c r="AG106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0.22840062914916859</v>
      </c>
      <c r="AH1063" s="406">
        <f t="shared" si="16"/>
        <v>741</v>
      </c>
      <c r="AI106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0.22840062914916859</v>
      </c>
      <c r="AJ1063" s="257">
        <f>FME_Ranking1[[#This Row],[Addition check]]-FME_Ranking1[[#This Row],[Weighted Score Based on Normalized Reported Factors]]</f>
        <v>0</v>
      </c>
      <c r="AK1063" s="178">
        <f>_xlfn.RANK.EQ(AI1063,$AI$6:$AI$2341,0)+COUNTIF($AI$6:AI1063,AI1063)-1</f>
        <v>744</v>
      </c>
    </row>
    <row r="1064" spans="1:37" x14ac:dyDescent="0.25">
      <c r="A1064" t="s">
        <v>4674</v>
      </c>
      <c r="B1064">
        <f>_xlfn.XLOOKUP(FME_Ranking1[[#This Row],[FME ID]],FME_Input[FME_ID],FME_Input[RFPG_NUM])</f>
        <v>3</v>
      </c>
      <c r="C1064" t="str">
        <f>_xlfn.XLOOKUP(FME_Ranking1[[#This Row],[FME ID]],FME_Input[FME_ID],FME_Input[FME_NAME])</f>
        <v>Great Southwest Parkway at Cottonwood Creek Bridge and Roadway Raising Improvements (Stream Station 104+64)</v>
      </c>
      <c r="D1064" t="str">
        <f>_xlfn.XLOOKUP(FME_Ranking1[[#This Row],[FME ID]],FME_Input[FME_ID],FME_Input[DESCR])</f>
        <v>Study update - Channel Improvements; Estimated construction cost of $9,538,300</v>
      </c>
      <c r="E1064" s="256">
        <f>_xlfn.XLOOKUP(FME_Ranking1[[#This Row],[FME ID]],FME_Input[FME_ID],FME_Input[FME_COST])</f>
        <v>477000</v>
      </c>
      <c r="F1064" t="str">
        <f>_xlfn.XLOOKUP(FME_Ranking1[[#This Row],[FME ID]],FME_Input[FME_ID],FME_Input[EMER_NEED])</f>
        <v>No</v>
      </c>
      <c r="G1064">
        <f>IF(FME_Ranking!F1064="Yes",100,0)</f>
        <v>0</v>
      </c>
      <c r="H1064">
        <f>FME_Ranking1[[#This Row],[Emergency Need Score (Normalized, Unweighted)]]*$F$3</f>
        <v>0</v>
      </c>
      <c r="I1064" s="246">
        <f>_xlfn.XLOOKUP(FME_Ranking1[[#This Row],[FME ID]],FME_Input[FME_ID],FME_Input[STRUCT_100])</f>
        <v>61</v>
      </c>
      <c r="J1064" s="178">
        <f>(FME_Ranking1[[#This Row],[Structures 100 Raw]]/I$2)*100</f>
        <v>3.2665038769652571E-2</v>
      </c>
      <c r="K1064" s="178">
        <f>FME_Ranking1[[#This Row],[Structures 100  Score (Normalized, Unweighted)]]*$I$3</f>
        <v>4.8997558154478859E-3</v>
      </c>
      <c r="L1064" s="246">
        <f>_xlfn.XLOOKUP(FME_Ranking1[[#This Row],[FME ID]],FME_Input[FME_ID],FME_Input[RES_STRUCT100])</f>
        <v>60</v>
      </c>
      <c r="M1064" s="230">
        <f>(FME_Ranking1[[#This Row],[Res Structures Raw]]/L$2)*100</f>
        <v>4.2498335481860293E-2</v>
      </c>
      <c r="N1064" s="180">
        <f>FME_Ranking1[[#This Row],[Res Structures Score (Normalized, Unweighted)]]*$L$3</f>
        <v>4.2498335481860293E-3</v>
      </c>
      <c r="O1064" s="244">
        <f>_xlfn.XLOOKUP(FME_Ranking1[[#This Row],[FME ID]],FME_Input[FME_ID],FME_Input[POP100])</f>
        <v>350</v>
      </c>
      <c r="P1064" s="178">
        <f>(FME_Ranking1[[#This Row],[Pop Raw]]/$O$2)*100</f>
        <v>3.5831359196067149E-2</v>
      </c>
      <c r="Q1064" s="178">
        <f>FME_Ranking1[[#This Row],[Pop Score (Normalized, Unweighted)]]*$O$3</f>
        <v>5.3747038794100723E-3</v>
      </c>
      <c r="R1064" s="137">
        <f>_xlfn.XLOOKUP(FME_Ranking1[[#This Row],[FME ID]],FME_Input[FME_ID],FME_Input[CRITFAC100])</f>
        <v>1</v>
      </c>
      <c r="S1064" s="230">
        <f>(FME_Ranking1[[#This Row],[Critical Facilities Raw]]/$R$2)*100</f>
        <v>4.2881646655231559E-2</v>
      </c>
      <c r="T1064" s="180">
        <f>FME_Ranking1[[#This Row],[Critical Facilities Score (Normalized, Unweighted)]]*$R$3</f>
        <v>8.5763293310463125E-3</v>
      </c>
      <c r="U1064">
        <f>_xlfn.XLOOKUP(FME_Ranking1[[#This Row],[FME ID]],FME_Input[FME_ID],FME_Input[LWC])</f>
        <v>5</v>
      </c>
      <c r="V1064" s="178">
        <f>(FME_Ranking1[[#This Row],[LWC Raw]]/$U$2)*100</f>
        <v>0.28785261945883706</v>
      </c>
      <c r="W1064" s="178">
        <f>FME_Ranking1[[#This Row],[LWC Score (Normalized, Unweighted)]]*$U$3</f>
        <v>5.7570523891767415E-2</v>
      </c>
      <c r="X1064" s="246">
        <f>_xlfn.XLOOKUP(FME_Ranking1[[#This Row],[FME ID]],FME_Input[FME_ID],FME_Input[ROADCLS])</f>
        <v>0</v>
      </c>
      <c r="Y1064" s="230">
        <f>(FME_Ranking1[[#This Row],[Closures Raw]]/$X$2)*100</f>
        <v>0</v>
      </c>
      <c r="Z1064" s="180">
        <f>FME_Ranking1[[#This Row],[Closures Score (Normalized, Unweighted)]]*$X$3</f>
        <v>0</v>
      </c>
      <c r="AA1064" s="253">
        <f>_xlfn.XLOOKUP(FME_Ranking1[[#This Row],[FME ID]],FME_Input[FME_ID],FME_Input[ROAD_MILES100])</f>
        <v>2.7339930534362789</v>
      </c>
      <c r="AB1064" s="178">
        <f>(FME_Ranking1[[#This Row],[Miles Raw]]/$AA$2)*100</f>
        <v>3.594710500593884E-2</v>
      </c>
      <c r="AC1064" s="178">
        <f>FME_Ranking1[[#This Row],[Miles Score (Normalized, Unweighted)]]*$AA$3</f>
        <v>3.5947105005938841E-3</v>
      </c>
      <c r="AD1064" s="255">
        <f>_xlfn.XLOOKUP(FME_Ranking1[[#This Row],[FME ID]],FME_Input[FME_ID],FME_Input[FARMACRE100])</f>
        <v>16.428060531616211</v>
      </c>
      <c r="AE1064" s="230">
        <f>(FME_Ranking1[[#This Row],[Ag Land Raw]]/$AD$2)*100</f>
        <v>6.7741967605027226E-4</v>
      </c>
      <c r="AF1064" s="231">
        <f>FME_Ranking1[[#This Row],[Ag Land Score (Normalized, Unweighted)]]*$AD$3</f>
        <v>3.3870983802513615E-5</v>
      </c>
      <c r="AG106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8.4299727950254116E-2</v>
      </c>
      <c r="AH1064" s="406">
        <f t="shared" si="16"/>
        <v>1117</v>
      </c>
      <c r="AI106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8.4299727950254116E-2</v>
      </c>
      <c r="AJ1064" s="257">
        <f>FME_Ranking1[[#This Row],[Addition check]]-FME_Ranking1[[#This Row],[Weighted Score Based on Normalized Reported Factors]]</f>
        <v>0</v>
      </c>
      <c r="AK1064" s="178">
        <f>_xlfn.RANK.EQ(AI1064,$AI$6:$AI$2341,0)+COUNTIF($AI$6:AI1064,AI1064)-1</f>
        <v>1117</v>
      </c>
    </row>
    <row r="1065" spans="1:37" x14ac:dyDescent="0.25">
      <c r="A1065" t="s">
        <v>4741</v>
      </c>
      <c r="B1065">
        <f>_xlfn.XLOOKUP(FME_Ranking1[[#This Row],[FME ID]],FME_Input[FME_ID],FME_Input[RFPG_NUM])</f>
        <v>3</v>
      </c>
      <c r="C1065" t="str">
        <f>_xlfn.XLOOKUP(FME_Ranking1[[#This Row],[FME ID]],FME_Input[FME_ID],FME_Input[FME_NAME])</f>
        <v>WE Roberts St &amp; SW 16th St</v>
      </c>
      <c r="D1065" t="str">
        <f>_xlfn.XLOOKUP(FME_Ranking1[[#This Row],[FME ID]],FME_Input[FME_ID],FME_Input[DESCR])</f>
        <v>Study update - Storm Drain Improvements; Estimated construction cost of $1,625,900</v>
      </c>
      <c r="E1065" s="256">
        <f>_xlfn.XLOOKUP(FME_Ranking1[[#This Row],[FME ID]],FME_Input[FME_ID],FME_Input[FME_COST])</f>
        <v>250000</v>
      </c>
      <c r="F1065" t="str">
        <f>_xlfn.XLOOKUP(FME_Ranking1[[#This Row],[FME ID]],FME_Input[FME_ID],FME_Input[EMER_NEED])</f>
        <v>No</v>
      </c>
      <c r="G1065">
        <f>IF(FME_Ranking!F1065="Yes",100,0)</f>
        <v>0</v>
      </c>
      <c r="H1065">
        <f>FME_Ranking1[[#This Row],[Emergency Need Score (Normalized, Unweighted)]]*$F$3</f>
        <v>0</v>
      </c>
      <c r="I1065" s="246">
        <f>_xlfn.XLOOKUP(FME_Ranking1[[#This Row],[FME ID]],FME_Input[FME_ID],FME_Input[STRUCT_100])</f>
        <v>61</v>
      </c>
      <c r="J1065" s="178">
        <f>(FME_Ranking1[[#This Row],[Structures 100 Raw]]/I$2)*100</f>
        <v>3.2665038769652571E-2</v>
      </c>
      <c r="K1065" s="178">
        <f>FME_Ranking1[[#This Row],[Structures 100  Score (Normalized, Unweighted)]]*$I$3</f>
        <v>4.8997558154478859E-3</v>
      </c>
      <c r="L1065" s="246">
        <f>_xlfn.XLOOKUP(FME_Ranking1[[#This Row],[FME ID]],FME_Input[FME_ID],FME_Input[RES_STRUCT100])</f>
        <v>60</v>
      </c>
      <c r="M1065" s="230">
        <f>(FME_Ranking1[[#This Row],[Res Structures Raw]]/L$2)*100</f>
        <v>4.2498335481860293E-2</v>
      </c>
      <c r="N1065" s="180">
        <f>FME_Ranking1[[#This Row],[Res Structures Score (Normalized, Unweighted)]]*$L$3</f>
        <v>4.2498335481860293E-3</v>
      </c>
      <c r="O1065" s="244">
        <f>_xlfn.XLOOKUP(FME_Ranking1[[#This Row],[FME ID]],FME_Input[FME_ID],FME_Input[POP100])</f>
        <v>350</v>
      </c>
      <c r="P1065" s="178">
        <f>(FME_Ranking1[[#This Row],[Pop Raw]]/$O$2)*100</f>
        <v>3.5831359196067149E-2</v>
      </c>
      <c r="Q1065" s="178">
        <f>FME_Ranking1[[#This Row],[Pop Score (Normalized, Unweighted)]]*$O$3</f>
        <v>5.3747038794100723E-3</v>
      </c>
      <c r="R1065" s="137">
        <f>_xlfn.XLOOKUP(FME_Ranking1[[#This Row],[FME ID]],FME_Input[FME_ID],FME_Input[CRITFAC100])</f>
        <v>1</v>
      </c>
      <c r="S1065" s="230">
        <f>(FME_Ranking1[[#This Row],[Critical Facilities Raw]]/$R$2)*100</f>
        <v>4.2881646655231559E-2</v>
      </c>
      <c r="T1065" s="180">
        <f>FME_Ranking1[[#This Row],[Critical Facilities Score (Normalized, Unweighted)]]*$R$3</f>
        <v>8.5763293310463125E-3</v>
      </c>
      <c r="U1065">
        <f>_xlfn.XLOOKUP(FME_Ranking1[[#This Row],[FME ID]],FME_Input[FME_ID],FME_Input[LWC])</f>
        <v>5</v>
      </c>
      <c r="V1065" s="178">
        <f>(FME_Ranking1[[#This Row],[LWC Raw]]/$U$2)*100</f>
        <v>0.28785261945883706</v>
      </c>
      <c r="W1065" s="178">
        <f>FME_Ranking1[[#This Row],[LWC Score (Normalized, Unweighted)]]*$U$3</f>
        <v>5.7570523891767415E-2</v>
      </c>
      <c r="X1065" s="246">
        <f>_xlfn.XLOOKUP(FME_Ranking1[[#This Row],[FME ID]],FME_Input[FME_ID],FME_Input[ROADCLS])</f>
        <v>0</v>
      </c>
      <c r="Y1065" s="230">
        <f>(FME_Ranking1[[#This Row],[Closures Raw]]/$X$2)*100</f>
        <v>0</v>
      </c>
      <c r="Z1065" s="180">
        <f>FME_Ranking1[[#This Row],[Closures Score (Normalized, Unweighted)]]*$X$3</f>
        <v>0</v>
      </c>
      <c r="AA1065" s="253">
        <f>_xlfn.XLOOKUP(FME_Ranking1[[#This Row],[FME ID]],FME_Input[FME_ID],FME_Input[ROAD_MILES100])</f>
        <v>2.7339930534362789</v>
      </c>
      <c r="AB1065" s="178">
        <f>(FME_Ranking1[[#This Row],[Miles Raw]]/$AA$2)*100</f>
        <v>3.594710500593884E-2</v>
      </c>
      <c r="AC1065" s="178">
        <f>FME_Ranking1[[#This Row],[Miles Score (Normalized, Unweighted)]]*$AA$3</f>
        <v>3.5947105005938841E-3</v>
      </c>
      <c r="AD1065" s="255">
        <f>_xlfn.XLOOKUP(FME_Ranking1[[#This Row],[FME ID]],FME_Input[FME_ID],FME_Input[FARMACRE100])</f>
        <v>16.428060531616211</v>
      </c>
      <c r="AE1065" s="230">
        <f>(FME_Ranking1[[#This Row],[Ag Land Raw]]/$AD$2)*100</f>
        <v>6.7741967605027226E-4</v>
      </c>
      <c r="AF1065" s="231">
        <f>FME_Ranking1[[#This Row],[Ag Land Score (Normalized, Unweighted)]]*$AD$3</f>
        <v>3.3870983802513615E-5</v>
      </c>
      <c r="AG106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8.4299727950254116E-2</v>
      </c>
      <c r="AH1065" s="406">
        <f t="shared" si="16"/>
        <v>1117</v>
      </c>
      <c r="AI106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8.4299727950254116E-2</v>
      </c>
      <c r="AJ1065" s="257">
        <f>FME_Ranking1[[#This Row],[Addition check]]-FME_Ranking1[[#This Row],[Weighted Score Based on Normalized Reported Factors]]</f>
        <v>0</v>
      </c>
      <c r="AK1065" s="178">
        <f>_xlfn.RANK.EQ(AI1065,$AI$6:$AI$2341,0)+COUNTIF($AI$6:AI1065,AI1065)-1</f>
        <v>1118</v>
      </c>
    </row>
    <row r="1066" spans="1:37" x14ac:dyDescent="0.25">
      <c r="A1066" t="s">
        <v>4766</v>
      </c>
      <c r="B1066">
        <f>_xlfn.XLOOKUP(FME_Ranking1[[#This Row],[FME ID]],FME_Input[FME_ID],FME_Input[RFPG_NUM])</f>
        <v>3</v>
      </c>
      <c r="C1066" t="str">
        <f>_xlfn.XLOOKUP(FME_Ranking1[[#This Row],[FME ID]],FME_Input[FME_ID],FME_Input[FME_NAME])</f>
        <v>South Great Southwest Parkway from Sherman to Cottonwood Creek</v>
      </c>
      <c r="D1066" t="str">
        <f>_xlfn.XLOOKUP(FME_Ranking1[[#This Row],[FME ID]],FME_Input[FME_ID],FME_Input[DESCR])</f>
        <v>Study update - Storm Drain Improvements; Estimated construction cost of $6,881,500</v>
      </c>
      <c r="E1066" s="256">
        <f>_xlfn.XLOOKUP(FME_Ranking1[[#This Row],[FME ID]],FME_Input[FME_ID],FME_Input[FME_COST])</f>
        <v>250000</v>
      </c>
      <c r="F1066" t="str">
        <f>_xlfn.XLOOKUP(FME_Ranking1[[#This Row],[FME ID]],FME_Input[FME_ID],FME_Input[EMER_NEED])</f>
        <v>No</v>
      </c>
      <c r="G1066">
        <f>IF(FME_Ranking!F1066="Yes",100,0)</f>
        <v>0</v>
      </c>
      <c r="H1066">
        <f>FME_Ranking1[[#This Row],[Emergency Need Score (Normalized, Unweighted)]]*$F$3</f>
        <v>0</v>
      </c>
      <c r="I1066" s="246">
        <f>_xlfn.XLOOKUP(FME_Ranking1[[#This Row],[FME ID]],FME_Input[FME_ID],FME_Input[STRUCT_100])</f>
        <v>61</v>
      </c>
      <c r="J1066" s="178">
        <f>(FME_Ranking1[[#This Row],[Structures 100 Raw]]/I$2)*100</f>
        <v>3.2665038769652571E-2</v>
      </c>
      <c r="K1066" s="178">
        <f>FME_Ranking1[[#This Row],[Structures 100  Score (Normalized, Unweighted)]]*$I$3</f>
        <v>4.8997558154478859E-3</v>
      </c>
      <c r="L1066" s="246">
        <f>_xlfn.XLOOKUP(FME_Ranking1[[#This Row],[FME ID]],FME_Input[FME_ID],FME_Input[RES_STRUCT100])</f>
        <v>60</v>
      </c>
      <c r="M1066" s="230">
        <f>(FME_Ranking1[[#This Row],[Res Structures Raw]]/L$2)*100</f>
        <v>4.2498335481860293E-2</v>
      </c>
      <c r="N1066" s="180">
        <f>FME_Ranking1[[#This Row],[Res Structures Score (Normalized, Unweighted)]]*$L$3</f>
        <v>4.2498335481860293E-3</v>
      </c>
      <c r="O1066" s="244">
        <f>_xlfn.XLOOKUP(FME_Ranking1[[#This Row],[FME ID]],FME_Input[FME_ID],FME_Input[POP100])</f>
        <v>350</v>
      </c>
      <c r="P1066" s="178">
        <f>(FME_Ranking1[[#This Row],[Pop Raw]]/$O$2)*100</f>
        <v>3.5831359196067149E-2</v>
      </c>
      <c r="Q1066" s="178">
        <f>FME_Ranking1[[#This Row],[Pop Score (Normalized, Unweighted)]]*$O$3</f>
        <v>5.3747038794100723E-3</v>
      </c>
      <c r="R1066" s="137">
        <f>_xlfn.XLOOKUP(FME_Ranking1[[#This Row],[FME ID]],FME_Input[FME_ID],FME_Input[CRITFAC100])</f>
        <v>1</v>
      </c>
      <c r="S1066" s="230">
        <f>(FME_Ranking1[[#This Row],[Critical Facilities Raw]]/$R$2)*100</f>
        <v>4.2881646655231559E-2</v>
      </c>
      <c r="T1066" s="180">
        <f>FME_Ranking1[[#This Row],[Critical Facilities Score (Normalized, Unweighted)]]*$R$3</f>
        <v>8.5763293310463125E-3</v>
      </c>
      <c r="U1066">
        <f>_xlfn.XLOOKUP(FME_Ranking1[[#This Row],[FME ID]],FME_Input[FME_ID],FME_Input[LWC])</f>
        <v>5</v>
      </c>
      <c r="V1066" s="178">
        <f>(FME_Ranking1[[#This Row],[LWC Raw]]/$U$2)*100</f>
        <v>0.28785261945883706</v>
      </c>
      <c r="W1066" s="178">
        <f>FME_Ranking1[[#This Row],[LWC Score (Normalized, Unweighted)]]*$U$3</f>
        <v>5.7570523891767415E-2</v>
      </c>
      <c r="X1066" s="246">
        <f>_xlfn.XLOOKUP(FME_Ranking1[[#This Row],[FME ID]],FME_Input[FME_ID],FME_Input[ROADCLS])</f>
        <v>0</v>
      </c>
      <c r="Y1066" s="230">
        <f>(FME_Ranking1[[#This Row],[Closures Raw]]/$X$2)*100</f>
        <v>0</v>
      </c>
      <c r="Z1066" s="180">
        <f>FME_Ranking1[[#This Row],[Closures Score (Normalized, Unweighted)]]*$X$3</f>
        <v>0</v>
      </c>
      <c r="AA1066" s="253">
        <f>_xlfn.XLOOKUP(FME_Ranking1[[#This Row],[FME ID]],FME_Input[FME_ID],FME_Input[ROAD_MILES100])</f>
        <v>2.7339930534362789</v>
      </c>
      <c r="AB1066" s="178">
        <f>(FME_Ranking1[[#This Row],[Miles Raw]]/$AA$2)*100</f>
        <v>3.594710500593884E-2</v>
      </c>
      <c r="AC1066" s="178">
        <f>FME_Ranking1[[#This Row],[Miles Score (Normalized, Unweighted)]]*$AA$3</f>
        <v>3.5947105005938841E-3</v>
      </c>
      <c r="AD1066" s="255">
        <f>_xlfn.XLOOKUP(FME_Ranking1[[#This Row],[FME ID]],FME_Input[FME_ID],FME_Input[FARMACRE100])</f>
        <v>16.428060531616211</v>
      </c>
      <c r="AE1066" s="230">
        <f>(FME_Ranking1[[#This Row],[Ag Land Raw]]/$AD$2)*100</f>
        <v>6.7741967605027226E-4</v>
      </c>
      <c r="AF1066" s="231">
        <f>FME_Ranking1[[#This Row],[Ag Land Score (Normalized, Unweighted)]]*$AD$3</f>
        <v>3.3870983802513615E-5</v>
      </c>
      <c r="AG106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8.4299727950254116E-2</v>
      </c>
      <c r="AH1066" s="406">
        <f t="shared" si="16"/>
        <v>1117</v>
      </c>
      <c r="AI106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8.4299727950254116E-2</v>
      </c>
      <c r="AJ1066" s="257">
        <f>FME_Ranking1[[#This Row],[Addition check]]-FME_Ranking1[[#This Row],[Weighted Score Based on Normalized Reported Factors]]</f>
        <v>0</v>
      </c>
      <c r="AK1066" s="178">
        <f>_xlfn.RANK.EQ(AI1066,$AI$6:$AI$2341,0)+COUNTIF($AI$6:AI1066,AI1066)-1</f>
        <v>1119</v>
      </c>
    </row>
    <row r="1067" spans="1:37" x14ac:dyDescent="0.25">
      <c r="A1067" t="s">
        <v>5009</v>
      </c>
      <c r="B1067">
        <f>_xlfn.XLOOKUP(FME_Ranking1[[#This Row],[FME ID]],FME_Input[FME_ID],FME_Input[RFPG_NUM])</f>
        <v>3</v>
      </c>
      <c r="C1067" t="str">
        <f>_xlfn.XLOOKUP(FME_Ranking1[[#This Row],[FME ID]],FME_Input[FME_ID],FME_Input[FME_NAME])</f>
        <v>Various Streets and Alleys from Dallas Street West of NW 20th Street to Ditch Just South of WE Roberts Street</v>
      </c>
      <c r="D1067" t="str">
        <f>_xlfn.XLOOKUP(FME_Ranking1[[#This Row],[FME ID]],FME_Input[FME_ID],FME_Input[DESCR])</f>
        <v>Study update - Storm Drain Improvements; Estimated construction cost of $10,656,800</v>
      </c>
      <c r="E1067" s="256">
        <f>_xlfn.XLOOKUP(FME_Ranking1[[#This Row],[FME ID]],FME_Input[FME_ID],FME_Input[FME_COST])</f>
        <v>533000</v>
      </c>
      <c r="F1067" t="str">
        <f>_xlfn.XLOOKUP(FME_Ranking1[[#This Row],[FME ID]],FME_Input[FME_ID],FME_Input[EMER_NEED])</f>
        <v>No</v>
      </c>
      <c r="G1067">
        <f>IF(FME_Ranking!F1067="Yes",100,0)</f>
        <v>0</v>
      </c>
      <c r="H1067">
        <f>FME_Ranking1[[#This Row],[Emergency Need Score (Normalized, Unweighted)]]*$F$3</f>
        <v>0</v>
      </c>
      <c r="I1067" s="246">
        <f>_xlfn.XLOOKUP(FME_Ranking1[[#This Row],[FME ID]],FME_Input[FME_ID],FME_Input[STRUCT_100])</f>
        <v>61</v>
      </c>
      <c r="J1067" s="178">
        <f>(FME_Ranking1[[#This Row],[Structures 100 Raw]]/I$2)*100</f>
        <v>3.2665038769652571E-2</v>
      </c>
      <c r="K1067" s="178">
        <f>FME_Ranking1[[#This Row],[Structures 100  Score (Normalized, Unweighted)]]*$I$3</f>
        <v>4.8997558154478859E-3</v>
      </c>
      <c r="L1067" s="246">
        <f>_xlfn.XLOOKUP(FME_Ranking1[[#This Row],[FME ID]],FME_Input[FME_ID],FME_Input[RES_STRUCT100])</f>
        <v>60</v>
      </c>
      <c r="M1067" s="230">
        <f>(FME_Ranking1[[#This Row],[Res Structures Raw]]/L$2)*100</f>
        <v>4.2498335481860293E-2</v>
      </c>
      <c r="N1067" s="180">
        <f>FME_Ranking1[[#This Row],[Res Structures Score (Normalized, Unweighted)]]*$L$3</f>
        <v>4.2498335481860293E-3</v>
      </c>
      <c r="O1067" s="244">
        <f>_xlfn.XLOOKUP(FME_Ranking1[[#This Row],[FME ID]],FME_Input[FME_ID],FME_Input[POP100])</f>
        <v>350</v>
      </c>
      <c r="P1067" s="178">
        <f>(FME_Ranking1[[#This Row],[Pop Raw]]/$O$2)*100</f>
        <v>3.5831359196067149E-2</v>
      </c>
      <c r="Q1067" s="178">
        <f>FME_Ranking1[[#This Row],[Pop Score (Normalized, Unweighted)]]*$O$3</f>
        <v>5.3747038794100723E-3</v>
      </c>
      <c r="R1067" s="137">
        <f>_xlfn.XLOOKUP(FME_Ranking1[[#This Row],[FME ID]],FME_Input[FME_ID],FME_Input[CRITFAC100])</f>
        <v>1</v>
      </c>
      <c r="S1067" s="230">
        <f>(FME_Ranking1[[#This Row],[Critical Facilities Raw]]/$R$2)*100</f>
        <v>4.2881646655231559E-2</v>
      </c>
      <c r="T1067" s="180">
        <f>FME_Ranking1[[#This Row],[Critical Facilities Score (Normalized, Unweighted)]]*$R$3</f>
        <v>8.5763293310463125E-3</v>
      </c>
      <c r="U1067">
        <f>_xlfn.XLOOKUP(FME_Ranking1[[#This Row],[FME ID]],FME_Input[FME_ID],FME_Input[LWC])</f>
        <v>5</v>
      </c>
      <c r="V1067" s="178">
        <f>(FME_Ranking1[[#This Row],[LWC Raw]]/$U$2)*100</f>
        <v>0.28785261945883706</v>
      </c>
      <c r="W1067" s="178">
        <f>FME_Ranking1[[#This Row],[LWC Score (Normalized, Unweighted)]]*$U$3</f>
        <v>5.7570523891767415E-2</v>
      </c>
      <c r="X1067" s="246">
        <f>_xlfn.XLOOKUP(FME_Ranking1[[#This Row],[FME ID]],FME_Input[FME_ID],FME_Input[ROADCLS])</f>
        <v>0</v>
      </c>
      <c r="Y1067" s="230">
        <f>(FME_Ranking1[[#This Row],[Closures Raw]]/$X$2)*100</f>
        <v>0</v>
      </c>
      <c r="Z1067" s="180">
        <f>FME_Ranking1[[#This Row],[Closures Score (Normalized, Unweighted)]]*$X$3</f>
        <v>0</v>
      </c>
      <c r="AA1067" s="253">
        <f>_xlfn.XLOOKUP(FME_Ranking1[[#This Row],[FME ID]],FME_Input[FME_ID],FME_Input[ROAD_MILES100])</f>
        <v>2.7339930534362789</v>
      </c>
      <c r="AB1067" s="178">
        <f>(FME_Ranking1[[#This Row],[Miles Raw]]/$AA$2)*100</f>
        <v>3.594710500593884E-2</v>
      </c>
      <c r="AC1067" s="178">
        <f>FME_Ranking1[[#This Row],[Miles Score (Normalized, Unweighted)]]*$AA$3</f>
        <v>3.5947105005938841E-3</v>
      </c>
      <c r="AD1067" s="255">
        <f>_xlfn.XLOOKUP(FME_Ranking1[[#This Row],[FME ID]],FME_Input[FME_ID],FME_Input[FARMACRE100])</f>
        <v>16.428060531616211</v>
      </c>
      <c r="AE1067" s="230">
        <f>(FME_Ranking1[[#This Row],[Ag Land Raw]]/$AD$2)*100</f>
        <v>6.7741967605027226E-4</v>
      </c>
      <c r="AF1067" s="231">
        <f>FME_Ranking1[[#This Row],[Ag Land Score (Normalized, Unweighted)]]*$AD$3</f>
        <v>3.3870983802513615E-5</v>
      </c>
      <c r="AG106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8.4299727950254116E-2</v>
      </c>
      <c r="AH1067" s="406">
        <f t="shared" si="16"/>
        <v>1117</v>
      </c>
      <c r="AI106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8.4299727950254116E-2</v>
      </c>
      <c r="AJ1067" s="257">
        <f>FME_Ranking1[[#This Row],[Addition check]]-FME_Ranking1[[#This Row],[Weighted Score Based on Normalized Reported Factors]]</f>
        <v>0</v>
      </c>
      <c r="AK1067" s="178">
        <f>_xlfn.RANK.EQ(AI1067,$AI$6:$AI$2341,0)+COUNTIF($AI$6:AI1067,AI1067)-1</f>
        <v>1120</v>
      </c>
    </row>
    <row r="1068" spans="1:37" x14ac:dyDescent="0.25">
      <c r="A1068" t="s">
        <v>5060</v>
      </c>
      <c r="B1068">
        <f>_xlfn.XLOOKUP(FME_Ranking1[[#This Row],[FME ID]],FME_Input[FME_ID],FME_Input[RFPG_NUM])</f>
        <v>3</v>
      </c>
      <c r="C1068" t="str">
        <f>_xlfn.XLOOKUP(FME_Ranking1[[#This Row],[FME ID]],FME_Input[FME_ID],FME_Input[FME_NAME])</f>
        <v>Carrier Parkway at Cottonwood Creek and South Fork Cottonwood Creek - Bridges</v>
      </c>
      <c r="D1068" t="str">
        <f>_xlfn.XLOOKUP(FME_Ranking1[[#This Row],[FME ID]],FME_Input[FME_ID],FME_Input[DESCR])</f>
        <v>Study update - Channel Improvements; Estimated construction cost of $18,164,400</v>
      </c>
      <c r="E1068" s="256">
        <f>_xlfn.XLOOKUP(FME_Ranking1[[#This Row],[FME ID]],FME_Input[FME_ID],FME_Input[FME_COST])</f>
        <v>908000</v>
      </c>
      <c r="F1068" t="str">
        <f>_xlfn.XLOOKUP(FME_Ranking1[[#This Row],[FME ID]],FME_Input[FME_ID],FME_Input[EMER_NEED])</f>
        <v>No</v>
      </c>
      <c r="G1068">
        <f>IF(FME_Ranking!F1068="Yes",100,0)</f>
        <v>0</v>
      </c>
      <c r="H1068">
        <f>FME_Ranking1[[#This Row],[Emergency Need Score (Normalized, Unweighted)]]*$F$3</f>
        <v>0</v>
      </c>
      <c r="I1068" s="246">
        <f>_xlfn.XLOOKUP(FME_Ranking1[[#This Row],[FME ID]],FME_Input[FME_ID],FME_Input[STRUCT_100])</f>
        <v>61</v>
      </c>
      <c r="J1068" s="178">
        <f>(FME_Ranking1[[#This Row],[Structures 100 Raw]]/I$2)*100</f>
        <v>3.2665038769652571E-2</v>
      </c>
      <c r="K1068" s="178">
        <f>FME_Ranking1[[#This Row],[Structures 100  Score (Normalized, Unweighted)]]*$I$3</f>
        <v>4.8997558154478859E-3</v>
      </c>
      <c r="L1068" s="246">
        <f>_xlfn.XLOOKUP(FME_Ranking1[[#This Row],[FME ID]],FME_Input[FME_ID],FME_Input[RES_STRUCT100])</f>
        <v>60</v>
      </c>
      <c r="M1068" s="230">
        <f>(FME_Ranking1[[#This Row],[Res Structures Raw]]/L$2)*100</f>
        <v>4.2498335481860293E-2</v>
      </c>
      <c r="N1068" s="180">
        <f>FME_Ranking1[[#This Row],[Res Structures Score (Normalized, Unweighted)]]*$L$3</f>
        <v>4.2498335481860293E-3</v>
      </c>
      <c r="O1068" s="244">
        <f>_xlfn.XLOOKUP(FME_Ranking1[[#This Row],[FME ID]],FME_Input[FME_ID],FME_Input[POP100])</f>
        <v>350</v>
      </c>
      <c r="P1068" s="178">
        <f>(FME_Ranking1[[#This Row],[Pop Raw]]/$O$2)*100</f>
        <v>3.5831359196067149E-2</v>
      </c>
      <c r="Q1068" s="178">
        <f>FME_Ranking1[[#This Row],[Pop Score (Normalized, Unweighted)]]*$O$3</f>
        <v>5.3747038794100723E-3</v>
      </c>
      <c r="R1068" s="137">
        <f>_xlfn.XLOOKUP(FME_Ranking1[[#This Row],[FME ID]],FME_Input[FME_ID],FME_Input[CRITFAC100])</f>
        <v>1</v>
      </c>
      <c r="S1068" s="230">
        <f>(FME_Ranking1[[#This Row],[Critical Facilities Raw]]/$R$2)*100</f>
        <v>4.2881646655231559E-2</v>
      </c>
      <c r="T1068" s="180">
        <f>FME_Ranking1[[#This Row],[Critical Facilities Score (Normalized, Unweighted)]]*$R$3</f>
        <v>8.5763293310463125E-3</v>
      </c>
      <c r="U1068">
        <f>_xlfn.XLOOKUP(FME_Ranking1[[#This Row],[FME ID]],FME_Input[FME_ID],FME_Input[LWC])</f>
        <v>5</v>
      </c>
      <c r="V1068" s="178">
        <f>(FME_Ranking1[[#This Row],[LWC Raw]]/$U$2)*100</f>
        <v>0.28785261945883706</v>
      </c>
      <c r="W1068" s="178">
        <f>FME_Ranking1[[#This Row],[LWC Score (Normalized, Unweighted)]]*$U$3</f>
        <v>5.7570523891767415E-2</v>
      </c>
      <c r="X1068" s="246">
        <f>_xlfn.XLOOKUP(FME_Ranking1[[#This Row],[FME ID]],FME_Input[FME_ID],FME_Input[ROADCLS])</f>
        <v>0</v>
      </c>
      <c r="Y1068" s="230">
        <f>(FME_Ranking1[[#This Row],[Closures Raw]]/$X$2)*100</f>
        <v>0</v>
      </c>
      <c r="Z1068" s="180">
        <f>FME_Ranking1[[#This Row],[Closures Score (Normalized, Unweighted)]]*$X$3</f>
        <v>0</v>
      </c>
      <c r="AA1068" s="253">
        <f>_xlfn.XLOOKUP(FME_Ranking1[[#This Row],[FME ID]],FME_Input[FME_ID],FME_Input[ROAD_MILES100])</f>
        <v>2.7339930534362789</v>
      </c>
      <c r="AB1068" s="178">
        <f>(FME_Ranking1[[#This Row],[Miles Raw]]/$AA$2)*100</f>
        <v>3.594710500593884E-2</v>
      </c>
      <c r="AC1068" s="178">
        <f>FME_Ranking1[[#This Row],[Miles Score (Normalized, Unweighted)]]*$AA$3</f>
        <v>3.5947105005938841E-3</v>
      </c>
      <c r="AD1068" s="255">
        <f>_xlfn.XLOOKUP(FME_Ranking1[[#This Row],[FME ID]],FME_Input[FME_ID],FME_Input[FARMACRE100])</f>
        <v>16.428060531616211</v>
      </c>
      <c r="AE1068" s="230">
        <f>(FME_Ranking1[[#This Row],[Ag Land Raw]]/$AD$2)*100</f>
        <v>6.7741967605027226E-4</v>
      </c>
      <c r="AF1068" s="231">
        <f>FME_Ranking1[[#This Row],[Ag Land Score (Normalized, Unweighted)]]*$AD$3</f>
        <v>3.3870983802513615E-5</v>
      </c>
      <c r="AG106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8.4299727950254116E-2</v>
      </c>
      <c r="AH1068" s="406">
        <f t="shared" si="16"/>
        <v>1117</v>
      </c>
      <c r="AI106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8.4299727950254116E-2</v>
      </c>
      <c r="AJ1068" s="257">
        <f>FME_Ranking1[[#This Row],[Addition check]]-FME_Ranking1[[#This Row],[Weighted Score Based on Normalized Reported Factors]]</f>
        <v>0</v>
      </c>
      <c r="AK1068" s="178">
        <f>_xlfn.RANK.EQ(AI1068,$AI$6:$AI$2341,0)+COUNTIF($AI$6:AI1068,AI1068)-1</f>
        <v>1121</v>
      </c>
    </row>
    <row r="1069" spans="1:37" x14ac:dyDescent="0.25">
      <c r="A1069" t="s">
        <v>5413</v>
      </c>
      <c r="B1069">
        <f>_xlfn.XLOOKUP(FME_Ranking1[[#This Row],[FME ID]],FME_Input[FME_ID],FME_Input[RFPG_NUM])</f>
        <v>3</v>
      </c>
      <c r="C1069" t="str">
        <f>_xlfn.XLOOKUP(FME_Ranking1[[#This Row],[FME ID]],FME_Input[FME_ID],FME_Input[FME_NAME])</f>
        <v>North Fork of Cottonwood Creek Stabilization</v>
      </c>
      <c r="D1069" t="str">
        <f>_xlfn.XLOOKUP(FME_Ranking1[[#This Row],[FME ID]],FME_Input[FME_ID],FME_Input[DESCR])</f>
        <v>Evaluate the improvements needed along the North Fork of Cottonwood Creek: from Great Southwest to Carrier; $214,900</v>
      </c>
      <c r="E1069" s="256">
        <f>_xlfn.XLOOKUP(FME_Ranking1[[#This Row],[FME ID]],FME_Input[FME_ID],FME_Input[FME_COST])</f>
        <v>250000</v>
      </c>
      <c r="F1069" t="str">
        <f>_xlfn.XLOOKUP(FME_Ranking1[[#This Row],[FME ID]],FME_Input[FME_ID],FME_Input[EMER_NEED])</f>
        <v>No</v>
      </c>
      <c r="G1069">
        <f>IF(FME_Ranking!F1069="Yes",100,0)</f>
        <v>0</v>
      </c>
      <c r="H1069">
        <f>FME_Ranking1[[#This Row],[Emergency Need Score (Normalized, Unweighted)]]*$F$3</f>
        <v>0</v>
      </c>
      <c r="I1069" s="246">
        <f>_xlfn.XLOOKUP(FME_Ranking1[[#This Row],[FME ID]],FME_Input[FME_ID],FME_Input[STRUCT_100])</f>
        <v>61</v>
      </c>
      <c r="J1069" s="178">
        <f>(FME_Ranking1[[#This Row],[Structures 100 Raw]]/I$2)*100</f>
        <v>3.2665038769652571E-2</v>
      </c>
      <c r="K1069" s="178">
        <f>FME_Ranking1[[#This Row],[Structures 100  Score (Normalized, Unweighted)]]*$I$3</f>
        <v>4.8997558154478859E-3</v>
      </c>
      <c r="L1069" s="246">
        <f>_xlfn.XLOOKUP(FME_Ranking1[[#This Row],[FME ID]],FME_Input[FME_ID],FME_Input[RES_STRUCT100])</f>
        <v>60</v>
      </c>
      <c r="M1069" s="230">
        <f>(FME_Ranking1[[#This Row],[Res Structures Raw]]/L$2)*100</f>
        <v>4.2498335481860293E-2</v>
      </c>
      <c r="N1069" s="180">
        <f>FME_Ranking1[[#This Row],[Res Structures Score (Normalized, Unweighted)]]*$L$3</f>
        <v>4.2498335481860293E-3</v>
      </c>
      <c r="O1069" s="244">
        <f>_xlfn.XLOOKUP(FME_Ranking1[[#This Row],[FME ID]],FME_Input[FME_ID],FME_Input[POP100])</f>
        <v>350</v>
      </c>
      <c r="P1069" s="178">
        <f>(FME_Ranking1[[#This Row],[Pop Raw]]/$O$2)*100</f>
        <v>3.5831359196067149E-2</v>
      </c>
      <c r="Q1069" s="178">
        <f>FME_Ranking1[[#This Row],[Pop Score (Normalized, Unweighted)]]*$O$3</f>
        <v>5.3747038794100723E-3</v>
      </c>
      <c r="R1069" s="137">
        <f>_xlfn.XLOOKUP(FME_Ranking1[[#This Row],[FME ID]],FME_Input[FME_ID],FME_Input[CRITFAC100])</f>
        <v>1</v>
      </c>
      <c r="S1069" s="230">
        <f>(FME_Ranking1[[#This Row],[Critical Facilities Raw]]/$R$2)*100</f>
        <v>4.2881646655231559E-2</v>
      </c>
      <c r="T1069" s="180">
        <f>FME_Ranking1[[#This Row],[Critical Facilities Score (Normalized, Unweighted)]]*$R$3</f>
        <v>8.5763293310463125E-3</v>
      </c>
      <c r="U1069">
        <f>_xlfn.XLOOKUP(FME_Ranking1[[#This Row],[FME ID]],FME_Input[FME_ID],FME_Input[LWC])</f>
        <v>5</v>
      </c>
      <c r="V1069" s="178">
        <f>(FME_Ranking1[[#This Row],[LWC Raw]]/$U$2)*100</f>
        <v>0.28785261945883706</v>
      </c>
      <c r="W1069" s="178">
        <f>FME_Ranking1[[#This Row],[LWC Score (Normalized, Unweighted)]]*$U$3</f>
        <v>5.7570523891767415E-2</v>
      </c>
      <c r="X1069" s="246">
        <f>_xlfn.XLOOKUP(FME_Ranking1[[#This Row],[FME ID]],FME_Input[FME_ID],FME_Input[ROADCLS])</f>
        <v>0</v>
      </c>
      <c r="Y1069" s="230">
        <f>(FME_Ranking1[[#This Row],[Closures Raw]]/$X$2)*100</f>
        <v>0</v>
      </c>
      <c r="Z1069" s="180">
        <f>FME_Ranking1[[#This Row],[Closures Score (Normalized, Unweighted)]]*$X$3</f>
        <v>0</v>
      </c>
      <c r="AA1069" s="253">
        <f>_xlfn.XLOOKUP(FME_Ranking1[[#This Row],[FME ID]],FME_Input[FME_ID],FME_Input[ROAD_MILES100])</f>
        <v>2.7339930534362789</v>
      </c>
      <c r="AB1069" s="178">
        <f>(FME_Ranking1[[#This Row],[Miles Raw]]/$AA$2)*100</f>
        <v>3.594710500593884E-2</v>
      </c>
      <c r="AC1069" s="178">
        <f>FME_Ranking1[[#This Row],[Miles Score (Normalized, Unweighted)]]*$AA$3</f>
        <v>3.5947105005938841E-3</v>
      </c>
      <c r="AD1069" s="255">
        <f>_xlfn.XLOOKUP(FME_Ranking1[[#This Row],[FME ID]],FME_Input[FME_ID],FME_Input[FARMACRE100])</f>
        <v>16.428060531616211</v>
      </c>
      <c r="AE1069" s="230">
        <f>(FME_Ranking1[[#This Row],[Ag Land Raw]]/$AD$2)*100</f>
        <v>6.7741967605027226E-4</v>
      </c>
      <c r="AF1069" s="231">
        <f>FME_Ranking1[[#This Row],[Ag Land Score (Normalized, Unweighted)]]*$AD$3</f>
        <v>3.3870983802513615E-5</v>
      </c>
      <c r="AG106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8.4299727950254116E-2</v>
      </c>
      <c r="AH1069" s="406">
        <f t="shared" si="16"/>
        <v>1117</v>
      </c>
      <c r="AI106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8.4299727950254116E-2</v>
      </c>
      <c r="AJ1069" s="257">
        <f>FME_Ranking1[[#This Row],[Addition check]]-FME_Ranking1[[#This Row],[Weighted Score Based on Normalized Reported Factors]]</f>
        <v>0</v>
      </c>
      <c r="AK1069" s="178">
        <f>_xlfn.RANK.EQ(AI1069,$AI$6:$AI$2341,0)+COUNTIF($AI$6:AI1069,AI1069)-1</f>
        <v>1122</v>
      </c>
    </row>
    <row r="1070" spans="1:37" x14ac:dyDescent="0.25">
      <c r="A1070" t="s">
        <v>6325</v>
      </c>
      <c r="B1070">
        <f>_xlfn.XLOOKUP(FME_Ranking1[[#This Row],[FME ID]],FME_Input[FME_ID],FME_Input[RFPG_NUM])</f>
        <v>5</v>
      </c>
      <c r="C1070" t="str">
        <f>_xlfn.XLOOKUP(FME_Ranking1[[#This Row],[FME ID]],FME_Input[FME_ID],FME_Input[FME_NAME])</f>
        <v>Rodair Gully System Detention</v>
      </c>
      <c r="D1070" t="str">
        <f>_xlfn.XLOOKUP(FME_Ranking1[[#This Row],[FME ID]],FME_Input[FME_ID],FME_Input[DESCR])</f>
        <v>H&amp;H study to identify additional detention required to expand existing level of service</v>
      </c>
      <c r="E1070" s="256">
        <f>_xlfn.XLOOKUP(FME_Ranking1[[#This Row],[FME ID]],FME_Input[FME_ID],FME_Input[FME_COST])</f>
        <v>100000</v>
      </c>
      <c r="F1070" t="str">
        <f>_xlfn.XLOOKUP(FME_Ranking1[[#This Row],[FME ID]],FME_Input[FME_ID],FME_Input[EMER_NEED])</f>
        <v>Yes</v>
      </c>
      <c r="G1070">
        <f>IF(FME_Ranking!F1070="Yes",100,0)</f>
        <v>100</v>
      </c>
      <c r="H1070">
        <f>FME_Ranking1[[#This Row],[Emergency Need Score (Normalized, Unweighted)]]*$F$3</f>
        <v>0</v>
      </c>
      <c r="I1070" s="246">
        <f>_xlfn.XLOOKUP(FME_Ranking1[[#This Row],[FME ID]],FME_Input[FME_ID],FME_Input[STRUCT_100])</f>
        <v>511</v>
      </c>
      <c r="J1070" s="178">
        <f>(FME_Ranking1[[#This Row],[Structures 100 Raw]]/I$2)*100</f>
        <v>0.27363663625069617</v>
      </c>
      <c r="K1070" s="178">
        <f>FME_Ranking1[[#This Row],[Structures 100  Score (Normalized, Unweighted)]]*$I$3</f>
        <v>4.1045495437604426E-2</v>
      </c>
      <c r="L1070" s="246">
        <f>_xlfn.XLOOKUP(FME_Ranking1[[#This Row],[FME ID]],FME_Input[FME_ID],FME_Input[RES_STRUCT100])</f>
        <v>250</v>
      </c>
      <c r="M1070" s="230">
        <f>(FME_Ranking1[[#This Row],[Res Structures Raw]]/L$2)*100</f>
        <v>0.17707639784108456</v>
      </c>
      <c r="N1070" s="180">
        <f>FME_Ranking1[[#This Row],[Res Structures Score (Normalized, Unweighted)]]*$L$3</f>
        <v>1.7707639784108456E-2</v>
      </c>
      <c r="O1070" s="244">
        <f>_xlfn.XLOOKUP(FME_Ranking1[[#This Row],[FME ID]],FME_Input[FME_ID],FME_Input[POP100])</f>
        <v>1418</v>
      </c>
      <c r="P1070" s="178">
        <f>(FME_Ranking1[[#This Row],[Pop Raw]]/$O$2)*100</f>
        <v>0.14516819240006634</v>
      </c>
      <c r="Q1070" s="178">
        <f>FME_Ranking1[[#This Row],[Pop Score (Normalized, Unweighted)]]*$O$3</f>
        <v>2.1775228860009949E-2</v>
      </c>
      <c r="R1070" s="137">
        <f>_xlfn.XLOOKUP(FME_Ranking1[[#This Row],[FME ID]],FME_Input[FME_ID],FME_Input[CRITFAC100])</f>
        <v>0</v>
      </c>
      <c r="S1070" s="230">
        <f>(FME_Ranking1[[#This Row],[Critical Facilities Raw]]/$R$2)*100</f>
        <v>0</v>
      </c>
      <c r="T1070" s="180">
        <f>FME_Ranking1[[#This Row],[Critical Facilities Score (Normalized, Unweighted)]]*$R$3</f>
        <v>0</v>
      </c>
      <c r="U1070">
        <f>_xlfn.XLOOKUP(FME_Ranking1[[#This Row],[FME ID]],FME_Input[FME_ID],FME_Input[LWC])</f>
        <v>0</v>
      </c>
      <c r="V1070" s="178">
        <f>(FME_Ranking1[[#This Row],[LWC Raw]]/$U$2)*100</f>
        <v>0</v>
      </c>
      <c r="W1070" s="178">
        <f>FME_Ranking1[[#This Row],[LWC Score (Normalized, Unweighted)]]*$U$3</f>
        <v>0</v>
      </c>
      <c r="X1070" s="246">
        <f>_xlfn.XLOOKUP(FME_Ranking1[[#This Row],[FME ID]],FME_Input[FME_ID],FME_Input[ROADCLS])</f>
        <v>0</v>
      </c>
      <c r="Y1070" s="230">
        <f>(FME_Ranking1[[#This Row],[Closures Raw]]/$X$2)*100</f>
        <v>0</v>
      </c>
      <c r="Z1070" s="180">
        <f>FME_Ranking1[[#This Row],[Closures Score (Normalized, Unweighted)]]*$X$3</f>
        <v>0</v>
      </c>
      <c r="AA1070" s="253">
        <f>_xlfn.XLOOKUP(FME_Ranking1[[#This Row],[FME ID]],FME_Input[FME_ID],FME_Input[ROAD_MILES100])</f>
        <v>9.8907136917114258</v>
      </c>
      <c r="AB1070" s="178">
        <f>(FME_Ranking1[[#This Row],[Miles Raw]]/$AA$2)*100</f>
        <v>0.13004514521818414</v>
      </c>
      <c r="AC1070" s="178">
        <f>FME_Ranking1[[#This Row],[Miles Score (Normalized, Unweighted)]]*$AA$3</f>
        <v>1.3004514521818415E-2</v>
      </c>
      <c r="AD1070" s="255">
        <f>_xlfn.XLOOKUP(FME_Ranking1[[#This Row],[FME ID]],FME_Input[FME_ID],FME_Input[FARMACRE100])</f>
        <v>63.813907623291023</v>
      </c>
      <c r="AE1070" s="230">
        <f>(FME_Ranking1[[#This Row],[Ag Land Raw]]/$AD$2)*100</f>
        <v>2.6313998871916084E-3</v>
      </c>
      <c r="AF1070" s="231">
        <f>FME_Ranking1[[#This Row],[Ag Land Score (Normalized, Unweighted)]]*$AD$3</f>
        <v>1.3156999435958043E-4</v>
      </c>
      <c r="AG107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9.3664448597900823E-2</v>
      </c>
      <c r="AH1070" s="406">
        <f t="shared" si="16"/>
        <v>1077</v>
      </c>
      <c r="AI107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9.3664448597900823E-2</v>
      </c>
      <c r="AJ1070" s="257">
        <f>FME_Ranking1[[#This Row],[Addition check]]-FME_Ranking1[[#This Row],[Weighted Score Based on Normalized Reported Factors]]</f>
        <v>0</v>
      </c>
      <c r="AK1070" s="178">
        <f>_xlfn.RANK.EQ(AI1070,$AI$6:$AI$2341,0)+COUNTIF($AI$6:AI1070,AI1070)-1</f>
        <v>1077</v>
      </c>
    </row>
    <row r="1071" spans="1:37" x14ac:dyDescent="0.25">
      <c r="A1071" t="s">
        <v>6263</v>
      </c>
      <c r="B1071">
        <f>_xlfn.XLOOKUP(FME_Ranking1[[#This Row],[FME ID]],FME_Input[FME_ID],FME_Input[RFPG_NUM])</f>
        <v>5</v>
      </c>
      <c r="C1071" t="str">
        <f>_xlfn.XLOOKUP(FME_Ranking1[[#This Row],[FME ID]],FME_Input[FME_ID],FME_Input[FME_NAME])</f>
        <v>Rodair Upgrade Pumping Equipment</v>
      </c>
      <c r="D1071" t="str">
        <f>_xlfn.XLOOKUP(FME_Ranking1[[#This Row],[FME ID]],FME_Input[FME_ID],FME_Input[DESCR])</f>
        <v xml:space="preserve">H&amp;H study to size pump upgrades and improve existing level of service. </v>
      </c>
      <c r="E1071" s="256">
        <f>_xlfn.XLOOKUP(FME_Ranking1[[#This Row],[FME ID]],FME_Input[FME_ID],FME_Input[FME_COST])</f>
        <v>100000</v>
      </c>
      <c r="F1071" t="str">
        <f>_xlfn.XLOOKUP(FME_Ranking1[[#This Row],[FME ID]],FME_Input[FME_ID],FME_Input[EMER_NEED])</f>
        <v>Yes</v>
      </c>
      <c r="G1071">
        <f>IF(FME_Ranking!F1071="Yes",100,0)</f>
        <v>100</v>
      </c>
      <c r="H1071">
        <f>FME_Ranking1[[#This Row],[Emergency Need Score (Normalized, Unweighted)]]*$F$3</f>
        <v>0</v>
      </c>
      <c r="I1071" s="246">
        <f>_xlfn.XLOOKUP(FME_Ranking1[[#This Row],[FME ID]],FME_Input[FME_ID],FME_Input[STRUCT_100])</f>
        <v>511</v>
      </c>
      <c r="J1071" s="178">
        <f>(FME_Ranking1[[#This Row],[Structures 100 Raw]]/I$2)*100</f>
        <v>0.27363663625069617</v>
      </c>
      <c r="K1071" s="178">
        <f>FME_Ranking1[[#This Row],[Structures 100  Score (Normalized, Unweighted)]]*$I$3</f>
        <v>4.1045495437604426E-2</v>
      </c>
      <c r="L1071" s="246">
        <f>_xlfn.XLOOKUP(FME_Ranking1[[#This Row],[FME ID]],FME_Input[FME_ID],FME_Input[RES_STRUCT100])</f>
        <v>250</v>
      </c>
      <c r="M1071" s="230">
        <f>(FME_Ranking1[[#This Row],[Res Structures Raw]]/L$2)*100</f>
        <v>0.17707639784108456</v>
      </c>
      <c r="N1071" s="180">
        <f>FME_Ranking1[[#This Row],[Res Structures Score (Normalized, Unweighted)]]*$L$3</f>
        <v>1.7707639784108456E-2</v>
      </c>
      <c r="O1071" s="244">
        <f>_xlfn.XLOOKUP(FME_Ranking1[[#This Row],[FME ID]],FME_Input[FME_ID],FME_Input[POP100])</f>
        <v>1418</v>
      </c>
      <c r="P1071" s="178">
        <f>(FME_Ranking1[[#This Row],[Pop Raw]]/$O$2)*100</f>
        <v>0.14516819240006634</v>
      </c>
      <c r="Q1071" s="178">
        <f>FME_Ranking1[[#This Row],[Pop Score (Normalized, Unweighted)]]*$O$3</f>
        <v>2.1775228860009949E-2</v>
      </c>
      <c r="R1071" s="137">
        <f>_xlfn.XLOOKUP(FME_Ranking1[[#This Row],[FME ID]],FME_Input[FME_ID],FME_Input[CRITFAC100])</f>
        <v>0</v>
      </c>
      <c r="S1071" s="230">
        <f>(FME_Ranking1[[#This Row],[Critical Facilities Raw]]/$R$2)*100</f>
        <v>0</v>
      </c>
      <c r="T1071" s="180">
        <f>FME_Ranking1[[#This Row],[Critical Facilities Score (Normalized, Unweighted)]]*$R$3</f>
        <v>0</v>
      </c>
      <c r="U1071">
        <f>_xlfn.XLOOKUP(FME_Ranking1[[#This Row],[FME ID]],FME_Input[FME_ID],FME_Input[LWC])</f>
        <v>0</v>
      </c>
      <c r="V1071" s="178">
        <f>(FME_Ranking1[[#This Row],[LWC Raw]]/$U$2)*100</f>
        <v>0</v>
      </c>
      <c r="W1071" s="178">
        <f>FME_Ranking1[[#This Row],[LWC Score (Normalized, Unweighted)]]*$U$3</f>
        <v>0</v>
      </c>
      <c r="X1071" s="246">
        <f>_xlfn.XLOOKUP(FME_Ranking1[[#This Row],[FME ID]],FME_Input[FME_ID],FME_Input[ROADCLS])</f>
        <v>0</v>
      </c>
      <c r="Y1071" s="230">
        <f>(FME_Ranking1[[#This Row],[Closures Raw]]/$X$2)*100</f>
        <v>0</v>
      </c>
      <c r="Z1071" s="180">
        <f>FME_Ranking1[[#This Row],[Closures Score (Normalized, Unweighted)]]*$X$3</f>
        <v>0</v>
      </c>
      <c r="AA1071" s="253">
        <f>_xlfn.XLOOKUP(FME_Ranking1[[#This Row],[FME ID]],FME_Input[FME_ID],FME_Input[ROAD_MILES100])</f>
        <v>9.8849945068359375</v>
      </c>
      <c r="AB1071" s="178">
        <f>(FME_Ranking1[[#This Row],[Miles Raw]]/$AA$2)*100</f>
        <v>0.12996994819491112</v>
      </c>
      <c r="AC1071" s="178">
        <f>FME_Ranking1[[#This Row],[Miles Score (Normalized, Unweighted)]]*$AA$3</f>
        <v>1.2996994819491112E-2</v>
      </c>
      <c r="AD1071" s="255">
        <f>_xlfn.XLOOKUP(FME_Ranking1[[#This Row],[FME ID]],FME_Input[FME_ID],FME_Input[FARMACRE100])</f>
        <v>63.746726989746087</v>
      </c>
      <c r="AE1071" s="230">
        <f>(FME_Ranking1[[#This Row],[Ag Land Raw]]/$AD$2)*100</f>
        <v>2.6286296585985689E-3</v>
      </c>
      <c r="AF1071" s="231">
        <f>FME_Ranking1[[#This Row],[Ag Land Score (Normalized, Unweighted)]]*$AD$3</f>
        <v>1.3143148292992844E-4</v>
      </c>
      <c r="AG107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9.3656790384143873E-2</v>
      </c>
      <c r="AH1071" s="406">
        <f t="shared" si="16"/>
        <v>1081</v>
      </c>
      <c r="AI107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9.3656790384143873E-2</v>
      </c>
      <c r="AJ1071" s="257">
        <f>FME_Ranking1[[#This Row],[Addition check]]-FME_Ranking1[[#This Row],[Weighted Score Based on Normalized Reported Factors]]</f>
        <v>0</v>
      </c>
      <c r="AK1071" s="178">
        <f>_xlfn.RANK.EQ(AI1071,$AI$6:$AI$2341,0)+COUNTIF($AI$6:AI1071,AI1071)-1</f>
        <v>1081</v>
      </c>
    </row>
    <row r="1072" spans="1:37" x14ac:dyDescent="0.25">
      <c r="A1072" t="s">
        <v>6273</v>
      </c>
      <c r="B1072">
        <f>_xlfn.XLOOKUP(FME_Ranking1[[#This Row],[FME ID]],FME_Input[FME_ID],FME_Input[RFPG_NUM])</f>
        <v>5</v>
      </c>
      <c r="C1072" t="str">
        <f>_xlfn.XLOOKUP(FME_Ranking1[[#This Row],[FME ID]],FME_Input[FME_ID],FME_Input[FME_NAME])</f>
        <v>Rodair Upper Build new station with associated levee</v>
      </c>
      <c r="D1072" t="str">
        <f>_xlfn.XLOOKUP(FME_Ranking1[[#This Row],[FME ID]],FME_Input[FME_ID],FME_Input[DESCR])</f>
        <v xml:space="preserve">H&amp;H study to size pump upgrades and improve existing level of service. </v>
      </c>
      <c r="E1072" s="256">
        <f>_xlfn.XLOOKUP(FME_Ranking1[[#This Row],[FME ID]],FME_Input[FME_ID],FME_Input[FME_COST])</f>
        <v>100000</v>
      </c>
      <c r="F1072" t="str">
        <f>_xlfn.XLOOKUP(FME_Ranking1[[#This Row],[FME ID]],FME_Input[FME_ID],FME_Input[EMER_NEED])</f>
        <v>Yes</v>
      </c>
      <c r="G1072">
        <f>IF(FME_Ranking!F1072="Yes",100,0)</f>
        <v>100</v>
      </c>
      <c r="H1072">
        <f>FME_Ranking1[[#This Row],[Emergency Need Score (Normalized, Unweighted)]]*$F$3</f>
        <v>0</v>
      </c>
      <c r="I1072" s="246">
        <f>_xlfn.XLOOKUP(FME_Ranking1[[#This Row],[FME ID]],FME_Input[FME_ID],FME_Input[STRUCT_100])</f>
        <v>511</v>
      </c>
      <c r="J1072" s="178">
        <f>(FME_Ranking1[[#This Row],[Structures 100 Raw]]/I$2)*100</f>
        <v>0.27363663625069617</v>
      </c>
      <c r="K1072" s="178">
        <f>FME_Ranking1[[#This Row],[Structures 100  Score (Normalized, Unweighted)]]*$I$3</f>
        <v>4.1045495437604426E-2</v>
      </c>
      <c r="L1072" s="246">
        <f>_xlfn.XLOOKUP(FME_Ranking1[[#This Row],[FME ID]],FME_Input[FME_ID],FME_Input[RES_STRUCT100])</f>
        <v>250</v>
      </c>
      <c r="M1072" s="230">
        <f>(FME_Ranking1[[#This Row],[Res Structures Raw]]/L$2)*100</f>
        <v>0.17707639784108456</v>
      </c>
      <c r="N1072" s="180">
        <f>FME_Ranking1[[#This Row],[Res Structures Score (Normalized, Unweighted)]]*$L$3</f>
        <v>1.7707639784108456E-2</v>
      </c>
      <c r="O1072" s="244">
        <f>_xlfn.XLOOKUP(FME_Ranking1[[#This Row],[FME ID]],FME_Input[FME_ID],FME_Input[POP100])</f>
        <v>1418</v>
      </c>
      <c r="P1072" s="178">
        <f>(FME_Ranking1[[#This Row],[Pop Raw]]/$O$2)*100</f>
        <v>0.14516819240006634</v>
      </c>
      <c r="Q1072" s="178">
        <f>FME_Ranking1[[#This Row],[Pop Score (Normalized, Unweighted)]]*$O$3</f>
        <v>2.1775228860009949E-2</v>
      </c>
      <c r="R1072" s="137">
        <f>_xlfn.XLOOKUP(FME_Ranking1[[#This Row],[FME ID]],FME_Input[FME_ID],FME_Input[CRITFAC100])</f>
        <v>0</v>
      </c>
      <c r="S1072" s="230">
        <f>(FME_Ranking1[[#This Row],[Critical Facilities Raw]]/$R$2)*100</f>
        <v>0</v>
      </c>
      <c r="T1072" s="180">
        <f>FME_Ranking1[[#This Row],[Critical Facilities Score (Normalized, Unweighted)]]*$R$3</f>
        <v>0</v>
      </c>
      <c r="U1072">
        <f>_xlfn.XLOOKUP(FME_Ranking1[[#This Row],[FME ID]],FME_Input[FME_ID],FME_Input[LWC])</f>
        <v>0</v>
      </c>
      <c r="V1072" s="178">
        <f>(FME_Ranking1[[#This Row],[LWC Raw]]/$U$2)*100</f>
        <v>0</v>
      </c>
      <c r="W1072" s="178">
        <f>FME_Ranking1[[#This Row],[LWC Score (Normalized, Unweighted)]]*$U$3</f>
        <v>0</v>
      </c>
      <c r="X1072" s="246">
        <f>_xlfn.XLOOKUP(FME_Ranking1[[#This Row],[FME ID]],FME_Input[FME_ID],FME_Input[ROADCLS])</f>
        <v>0</v>
      </c>
      <c r="Y1072" s="230">
        <f>(FME_Ranking1[[#This Row],[Closures Raw]]/$X$2)*100</f>
        <v>0</v>
      </c>
      <c r="Z1072" s="180">
        <f>FME_Ranking1[[#This Row],[Closures Score (Normalized, Unweighted)]]*$X$3</f>
        <v>0</v>
      </c>
      <c r="AA1072" s="253">
        <f>_xlfn.XLOOKUP(FME_Ranking1[[#This Row],[FME ID]],FME_Input[FME_ID],FME_Input[ROAD_MILES100])</f>
        <v>9.8907136917114258</v>
      </c>
      <c r="AB1072" s="178">
        <f>(FME_Ranking1[[#This Row],[Miles Raw]]/$AA$2)*100</f>
        <v>0.13004514521818414</v>
      </c>
      <c r="AC1072" s="178">
        <f>FME_Ranking1[[#This Row],[Miles Score (Normalized, Unweighted)]]*$AA$3</f>
        <v>1.3004514521818415E-2</v>
      </c>
      <c r="AD1072" s="255">
        <f>_xlfn.XLOOKUP(FME_Ranking1[[#This Row],[FME ID]],FME_Input[FME_ID],FME_Input[FARMACRE100])</f>
        <v>63.746726989746087</v>
      </c>
      <c r="AE1072" s="230">
        <f>(FME_Ranking1[[#This Row],[Ag Land Raw]]/$AD$2)*100</f>
        <v>2.6286296585985689E-3</v>
      </c>
      <c r="AF1072" s="231">
        <f>FME_Ranking1[[#This Row],[Ag Land Score (Normalized, Unweighted)]]*$AD$3</f>
        <v>1.3143148292992844E-4</v>
      </c>
      <c r="AG107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9.3664310086471178E-2</v>
      </c>
      <c r="AH1072" s="406">
        <f t="shared" si="16"/>
        <v>1078</v>
      </c>
      <c r="AI107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9.3664310086471178E-2</v>
      </c>
      <c r="AJ1072" s="257">
        <f>FME_Ranking1[[#This Row],[Addition check]]-FME_Ranking1[[#This Row],[Weighted Score Based on Normalized Reported Factors]]</f>
        <v>0</v>
      </c>
      <c r="AK1072" s="178">
        <f>_xlfn.RANK.EQ(AI1072,$AI$6:$AI$2341,0)+COUNTIF($AI$6:AI1072,AI1072)-1</f>
        <v>1078</v>
      </c>
    </row>
    <row r="1073" spans="1:37" x14ac:dyDescent="0.25">
      <c r="A1073" t="s">
        <v>6288</v>
      </c>
      <c r="B1073">
        <f>_xlfn.XLOOKUP(FME_Ranking1[[#This Row],[FME ID]],FME_Input[FME_ID],FME_Input[RFPG_NUM])</f>
        <v>5</v>
      </c>
      <c r="C1073" t="str">
        <f>_xlfn.XLOOKUP(FME_Ranking1[[#This Row],[FME ID]],FME_Input[FME_ID],FME_Input[FME_NAME])</f>
        <v>Rodair Gulley Ditch Improvements</v>
      </c>
      <c r="D1073" t="str">
        <f>_xlfn.XLOOKUP(FME_Ranking1[[#This Row],[FME ID]],FME_Input[FME_ID],FME_Input[DESCR])</f>
        <v>H&amp;H study to identify alternatives for Rodair Gulley</v>
      </c>
      <c r="E1073" s="256">
        <f>_xlfn.XLOOKUP(FME_Ranking1[[#This Row],[FME ID]],FME_Input[FME_ID],FME_Input[FME_COST])</f>
        <v>100000</v>
      </c>
      <c r="F1073" t="str">
        <f>_xlfn.XLOOKUP(FME_Ranking1[[#This Row],[FME ID]],FME_Input[FME_ID],FME_Input[EMER_NEED])</f>
        <v>Yes</v>
      </c>
      <c r="G1073">
        <f>IF(FME_Ranking!F1073="Yes",100,0)</f>
        <v>100</v>
      </c>
      <c r="H1073">
        <f>FME_Ranking1[[#This Row],[Emergency Need Score (Normalized, Unweighted)]]*$F$3</f>
        <v>0</v>
      </c>
      <c r="I1073" s="246">
        <f>_xlfn.XLOOKUP(FME_Ranking1[[#This Row],[FME ID]],FME_Input[FME_ID],FME_Input[STRUCT_100])</f>
        <v>511</v>
      </c>
      <c r="J1073" s="178">
        <f>(FME_Ranking1[[#This Row],[Structures 100 Raw]]/I$2)*100</f>
        <v>0.27363663625069617</v>
      </c>
      <c r="K1073" s="178">
        <f>FME_Ranking1[[#This Row],[Structures 100  Score (Normalized, Unweighted)]]*$I$3</f>
        <v>4.1045495437604426E-2</v>
      </c>
      <c r="L1073" s="246">
        <f>_xlfn.XLOOKUP(FME_Ranking1[[#This Row],[FME ID]],FME_Input[FME_ID],FME_Input[RES_STRUCT100])</f>
        <v>250</v>
      </c>
      <c r="M1073" s="230">
        <f>(FME_Ranking1[[#This Row],[Res Structures Raw]]/L$2)*100</f>
        <v>0.17707639784108456</v>
      </c>
      <c r="N1073" s="180">
        <f>FME_Ranking1[[#This Row],[Res Structures Score (Normalized, Unweighted)]]*$L$3</f>
        <v>1.7707639784108456E-2</v>
      </c>
      <c r="O1073" s="244">
        <f>_xlfn.XLOOKUP(FME_Ranking1[[#This Row],[FME ID]],FME_Input[FME_ID],FME_Input[POP100])</f>
        <v>1418</v>
      </c>
      <c r="P1073" s="178">
        <f>(FME_Ranking1[[#This Row],[Pop Raw]]/$O$2)*100</f>
        <v>0.14516819240006634</v>
      </c>
      <c r="Q1073" s="178">
        <f>FME_Ranking1[[#This Row],[Pop Score (Normalized, Unweighted)]]*$O$3</f>
        <v>2.1775228860009949E-2</v>
      </c>
      <c r="R1073" s="137">
        <f>_xlfn.XLOOKUP(FME_Ranking1[[#This Row],[FME ID]],FME_Input[FME_ID],FME_Input[CRITFAC100])</f>
        <v>0</v>
      </c>
      <c r="S1073" s="230">
        <f>(FME_Ranking1[[#This Row],[Critical Facilities Raw]]/$R$2)*100</f>
        <v>0</v>
      </c>
      <c r="T1073" s="180">
        <f>FME_Ranking1[[#This Row],[Critical Facilities Score (Normalized, Unweighted)]]*$R$3</f>
        <v>0</v>
      </c>
      <c r="U1073">
        <f>_xlfn.XLOOKUP(FME_Ranking1[[#This Row],[FME ID]],FME_Input[FME_ID],FME_Input[LWC])</f>
        <v>0</v>
      </c>
      <c r="V1073" s="178">
        <f>(FME_Ranking1[[#This Row],[LWC Raw]]/$U$2)*100</f>
        <v>0</v>
      </c>
      <c r="W1073" s="178">
        <f>FME_Ranking1[[#This Row],[LWC Score (Normalized, Unweighted)]]*$U$3</f>
        <v>0</v>
      </c>
      <c r="X1073" s="246">
        <f>_xlfn.XLOOKUP(FME_Ranking1[[#This Row],[FME ID]],FME_Input[FME_ID],FME_Input[ROADCLS])</f>
        <v>0</v>
      </c>
      <c r="Y1073" s="230">
        <f>(FME_Ranking1[[#This Row],[Closures Raw]]/$X$2)*100</f>
        <v>0</v>
      </c>
      <c r="Z1073" s="180">
        <f>FME_Ranking1[[#This Row],[Closures Score (Normalized, Unweighted)]]*$X$3</f>
        <v>0</v>
      </c>
      <c r="AA1073" s="253">
        <f>_xlfn.XLOOKUP(FME_Ranking1[[#This Row],[FME ID]],FME_Input[FME_ID],FME_Input[ROAD_MILES100])</f>
        <v>9.8907136917114258</v>
      </c>
      <c r="AB1073" s="178">
        <f>(FME_Ranking1[[#This Row],[Miles Raw]]/$AA$2)*100</f>
        <v>0.13004514521818414</v>
      </c>
      <c r="AC1073" s="178">
        <f>FME_Ranking1[[#This Row],[Miles Score (Normalized, Unweighted)]]*$AA$3</f>
        <v>1.3004514521818415E-2</v>
      </c>
      <c r="AD1073" s="255">
        <f>_xlfn.XLOOKUP(FME_Ranking1[[#This Row],[FME ID]],FME_Input[FME_ID],FME_Input[FARMACRE100])</f>
        <v>63.746726989746087</v>
      </c>
      <c r="AE1073" s="230">
        <f>(FME_Ranking1[[#This Row],[Ag Land Raw]]/$AD$2)*100</f>
        <v>2.6286296585985689E-3</v>
      </c>
      <c r="AF1073" s="231">
        <f>FME_Ranking1[[#This Row],[Ag Land Score (Normalized, Unweighted)]]*$AD$3</f>
        <v>1.3143148292992844E-4</v>
      </c>
      <c r="AG107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9.3664310086471178E-2</v>
      </c>
      <c r="AH1073" s="406">
        <f t="shared" si="16"/>
        <v>1078</v>
      </c>
      <c r="AI107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9.3664310086471178E-2</v>
      </c>
      <c r="AJ1073" s="257">
        <f>FME_Ranking1[[#This Row],[Addition check]]-FME_Ranking1[[#This Row],[Weighted Score Based on Normalized Reported Factors]]</f>
        <v>0</v>
      </c>
      <c r="AK1073" s="178">
        <f>_xlfn.RANK.EQ(AI1073,$AI$6:$AI$2341,0)+COUNTIF($AI$6:AI1073,AI1073)-1</f>
        <v>1079</v>
      </c>
    </row>
    <row r="1074" spans="1:37" x14ac:dyDescent="0.25">
      <c r="A1074" t="s">
        <v>6318</v>
      </c>
      <c r="B1074">
        <f>_xlfn.XLOOKUP(FME_Ranking1[[#This Row],[FME ID]],FME_Input[FME_ID],FME_Input[RFPG_NUM])</f>
        <v>5</v>
      </c>
      <c r="C1074" t="str">
        <f>_xlfn.XLOOKUP(FME_Ranking1[[#This Row],[FME ID]],FME_Input[FME_ID],FME_Input[FME_NAME])</f>
        <v>Rodair Upper Additional Pump Station</v>
      </c>
      <c r="D1074" t="str">
        <f>_xlfn.XLOOKUP(FME_Ranking1[[#This Row],[FME ID]],FME_Input[FME_ID],FME_Input[DESCR])</f>
        <v xml:space="preserve">H&amp;H study to size pump upgrades and improve existing level of service. </v>
      </c>
      <c r="E1074" s="256">
        <f>_xlfn.XLOOKUP(FME_Ranking1[[#This Row],[FME ID]],FME_Input[FME_ID],FME_Input[FME_COST])</f>
        <v>100000</v>
      </c>
      <c r="F1074" t="str">
        <f>_xlfn.XLOOKUP(FME_Ranking1[[#This Row],[FME ID]],FME_Input[FME_ID],FME_Input[EMER_NEED])</f>
        <v>Yes</v>
      </c>
      <c r="G1074">
        <f>IF(FME_Ranking!F1074="Yes",100,0)</f>
        <v>100</v>
      </c>
      <c r="H1074">
        <f>FME_Ranking1[[#This Row],[Emergency Need Score (Normalized, Unweighted)]]*$F$3</f>
        <v>0</v>
      </c>
      <c r="I1074" s="246">
        <f>_xlfn.XLOOKUP(FME_Ranking1[[#This Row],[FME ID]],FME_Input[FME_ID],FME_Input[STRUCT_100])</f>
        <v>511</v>
      </c>
      <c r="J1074" s="178">
        <f>(FME_Ranking1[[#This Row],[Structures 100 Raw]]/I$2)*100</f>
        <v>0.27363663625069617</v>
      </c>
      <c r="K1074" s="178">
        <f>FME_Ranking1[[#This Row],[Structures 100  Score (Normalized, Unweighted)]]*$I$3</f>
        <v>4.1045495437604426E-2</v>
      </c>
      <c r="L1074" s="246">
        <f>_xlfn.XLOOKUP(FME_Ranking1[[#This Row],[FME ID]],FME_Input[FME_ID],FME_Input[RES_STRUCT100])</f>
        <v>250</v>
      </c>
      <c r="M1074" s="230">
        <f>(FME_Ranking1[[#This Row],[Res Structures Raw]]/L$2)*100</f>
        <v>0.17707639784108456</v>
      </c>
      <c r="N1074" s="180">
        <f>FME_Ranking1[[#This Row],[Res Structures Score (Normalized, Unweighted)]]*$L$3</f>
        <v>1.7707639784108456E-2</v>
      </c>
      <c r="O1074" s="244">
        <f>_xlfn.XLOOKUP(FME_Ranking1[[#This Row],[FME ID]],FME_Input[FME_ID],FME_Input[POP100])</f>
        <v>1418</v>
      </c>
      <c r="P1074" s="178">
        <f>(FME_Ranking1[[#This Row],[Pop Raw]]/$O$2)*100</f>
        <v>0.14516819240006634</v>
      </c>
      <c r="Q1074" s="178">
        <f>FME_Ranking1[[#This Row],[Pop Score (Normalized, Unweighted)]]*$O$3</f>
        <v>2.1775228860009949E-2</v>
      </c>
      <c r="R1074" s="137">
        <f>_xlfn.XLOOKUP(FME_Ranking1[[#This Row],[FME ID]],FME_Input[FME_ID],FME_Input[CRITFAC100])</f>
        <v>0</v>
      </c>
      <c r="S1074" s="230">
        <f>(FME_Ranking1[[#This Row],[Critical Facilities Raw]]/$R$2)*100</f>
        <v>0</v>
      </c>
      <c r="T1074" s="180">
        <f>FME_Ranking1[[#This Row],[Critical Facilities Score (Normalized, Unweighted)]]*$R$3</f>
        <v>0</v>
      </c>
      <c r="U1074">
        <f>_xlfn.XLOOKUP(FME_Ranking1[[#This Row],[FME ID]],FME_Input[FME_ID],FME_Input[LWC])</f>
        <v>0</v>
      </c>
      <c r="V1074" s="178">
        <f>(FME_Ranking1[[#This Row],[LWC Raw]]/$U$2)*100</f>
        <v>0</v>
      </c>
      <c r="W1074" s="178">
        <f>FME_Ranking1[[#This Row],[LWC Score (Normalized, Unweighted)]]*$U$3</f>
        <v>0</v>
      </c>
      <c r="X1074" s="246">
        <f>_xlfn.XLOOKUP(FME_Ranking1[[#This Row],[FME ID]],FME_Input[FME_ID],FME_Input[ROADCLS])</f>
        <v>0</v>
      </c>
      <c r="Y1074" s="230">
        <f>(FME_Ranking1[[#This Row],[Closures Raw]]/$X$2)*100</f>
        <v>0</v>
      </c>
      <c r="Z1074" s="180">
        <f>FME_Ranking1[[#This Row],[Closures Score (Normalized, Unweighted)]]*$X$3</f>
        <v>0</v>
      </c>
      <c r="AA1074" s="253">
        <f>_xlfn.XLOOKUP(FME_Ranking1[[#This Row],[FME ID]],FME_Input[FME_ID],FME_Input[ROAD_MILES100])</f>
        <v>9.8907136917114258</v>
      </c>
      <c r="AB1074" s="178">
        <f>(FME_Ranking1[[#This Row],[Miles Raw]]/$AA$2)*100</f>
        <v>0.13004514521818414</v>
      </c>
      <c r="AC1074" s="178">
        <f>FME_Ranking1[[#This Row],[Miles Score (Normalized, Unweighted)]]*$AA$3</f>
        <v>1.3004514521818415E-2</v>
      </c>
      <c r="AD1074" s="255">
        <f>_xlfn.XLOOKUP(FME_Ranking1[[#This Row],[FME ID]],FME_Input[FME_ID],FME_Input[FARMACRE100])</f>
        <v>63.746726989746087</v>
      </c>
      <c r="AE1074" s="230">
        <f>(FME_Ranking1[[#This Row],[Ag Land Raw]]/$AD$2)*100</f>
        <v>2.6286296585985689E-3</v>
      </c>
      <c r="AF1074" s="231">
        <f>FME_Ranking1[[#This Row],[Ag Land Score (Normalized, Unweighted)]]*$AD$3</f>
        <v>1.3143148292992844E-4</v>
      </c>
      <c r="AG107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9.3664310086471178E-2</v>
      </c>
      <c r="AH1074" s="406">
        <f t="shared" si="16"/>
        <v>1078</v>
      </c>
      <c r="AI107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9.3664310086471178E-2</v>
      </c>
      <c r="AJ1074" s="257">
        <f>FME_Ranking1[[#This Row],[Addition check]]-FME_Ranking1[[#This Row],[Weighted Score Based on Normalized Reported Factors]]</f>
        <v>0</v>
      </c>
      <c r="AK1074" s="178">
        <f>_xlfn.RANK.EQ(AI1074,$AI$6:$AI$2341,0)+COUNTIF($AI$6:AI1074,AI1074)-1</f>
        <v>1080</v>
      </c>
    </row>
    <row r="1075" spans="1:37" x14ac:dyDescent="0.25">
      <c r="A1075" t="s">
        <v>3881</v>
      </c>
      <c r="B1075">
        <f>_xlfn.XLOOKUP(FME_Ranking1[[#This Row],[FME ID]],FME_Input[FME_ID],FME_Input[RFPG_NUM])</f>
        <v>3</v>
      </c>
      <c r="C1075" t="str">
        <f>_xlfn.XLOOKUP(FME_Ranking1[[#This Row],[FME ID]],FME_Input[FME_ID],FME_Input[FME_NAME])</f>
        <v xml:space="preserve">Hill County FEMA Mapping </v>
      </c>
      <c r="D1075" t="str">
        <f>_xlfn.XLOOKUP(FME_Ranking1[[#This Row],[FME ID]],FME_Input[FME_ID],FME_Input[DESCR])</f>
        <v>Create FEMA mapping in previously unmapped areas and update existing FEMA maps as needed.</v>
      </c>
      <c r="E1075" s="256">
        <f>_xlfn.XLOOKUP(FME_Ranking1[[#This Row],[FME ID]],FME_Input[FME_ID],FME_Input[FME_COST])</f>
        <v>1272000</v>
      </c>
      <c r="F1075" t="str">
        <f>_xlfn.XLOOKUP(FME_Ranking1[[#This Row],[FME ID]],FME_Input[FME_ID],FME_Input[EMER_NEED])</f>
        <v>No</v>
      </c>
      <c r="G1075">
        <f>IF(FME_Ranking!F1075="Yes",100,0)</f>
        <v>0</v>
      </c>
      <c r="H1075">
        <f>FME_Ranking1[[#This Row],[Emergency Need Score (Normalized, Unweighted)]]*$F$3</f>
        <v>0</v>
      </c>
      <c r="I1075" s="246">
        <f>_xlfn.XLOOKUP(FME_Ranking1[[#This Row],[FME ID]],FME_Input[FME_ID],FME_Input[STRUCT_100])</f>
        <v>127</v>
      </c>
      <c r="J1075" s="178">
        <f>(FME_Ranking1[[#This Row],[Structures 100 Raw]]/I$2)*100</f>
        <v>6.8007539733538971E-2</v>
      </c>
      <c r="K1075" s="178">
        <f>FME_Ranking1[[#This Row],[Structures 100  Score (Normalized, Unweighted)]]*$I$3</f>
        <v>1.0201130960030846E-2</v>
      </c>
      <c r="L1075" s="246">
        <f>_xlfn.XLOOKUP(FME_Ranking1[[#This Row],[FME ID]],FME_Input[FME_ID],FME_Input[RES_STRUCT100])</f>
        <v>83</v>
      </c>
      <c r="M1075" s="230">
        <f>(FME_Ranking1[[#This Row],[Res Structures Raw]]/L$2)*100</f>
        <v>5.8789364083240071E-2</v>
      </c>
      <c r="N1075" s="180">
        <f>FME_Ranking1[[#This Row],[Res Structures Score (Normalized, Unweighted)]]*$L$3</f>
        <v>5.8789364083240078E-3</v>
      </c>
      <c r="O1075" s="244">
        <f>_xlfn.XLOOKUP(FME_Ranking1[[#This Row],[FME ID]],FME_Input[FME_ID],FME_Input[POP100])</f>
        <v>109</v>
      </c>
      <c r="P1075" s="178">
        <f>(FME_Ranking1[[#This Row],[Pop Raw]]/$O$2)*100</f>
        <v>1.1158909006775198E-2</v>
      </c>
      <c r="Q1075" s="178">
        <f>FME_Ranking1[[#This Row],[Pop Score (Normalized, Unweighted)]]*$O$3</f>
        <v>1.6738363510162798E-3</v>
      </c>
      <c r="R1075" s="137">
        <f>_xlfn.XLOOKUP(FME_Ranking1[[#This Row],[FME ID]],FME_Input[FME_ID],FME_Input[CRITFAC100])</f>
        <v>0</v>
      </c>
      <c r="S1075" s="230">
        <f>(FME_Ranking1[[#This Row],[Critical Facilities Raw]]/$R$2)*100</f>
        <v>0</v>
      </c>
      <c r="T1075" s="180">
        <f>FME_Ranking1[[#This Row],[Critical Facilities Score (Normalized, Unweighted)]]*$R$3</f>
        <v>0</v>
      </c>
      <c r="U1075">
        <f>_xlfn.XLOOKUP(FME_Ranking1[[#This Row],[FME ID]],FME_Input[FME_ID],FME_Input[LWC])</f>
        <v>1</v>
      </c>
      <c r="V1075" s="178">
        <f>(FME_Ranking1[[#This Row],[LWC Raw]]/$U$2)*100</f>
        <v>5.7570523891767422E-2</v>
      </c>
      <c r="W1075" s="178">
        <f>FME_Ranking1[[#This Row],[LWC Score (Normalized, Unweighted)]]*$U$3</f>
        <v>1.1514104778353485E-2</v>
      </c>
      <c r="X1075" s="246">
        <f>_xlfn.XLOOKUP(FME_Ranking1[[#This Row],[FME ID]],FME_Input[FME_ID],FME_Input[ROADCLS])</f>
        <v>0</v>
      </c>
      <c r="Y1075" s="230">
        <f>(FME_Ranking1[[#This Row],[Closures Raw]]/$X$2)*100</f>
        <v>0</v>
      </c>
      <c r="Z1075" s="180">
        <f>FME_Ranking1[[#This Row],[Closures Score (Normalized, Unweighted)]]*$X$3</f>
        <v>0</v>
      </c>
      <c r="AA1075" s="253">
        <f>_xlfn.XLOOKUP(FME_Ranking1[[#This Row],[FME ID]],FME_Input[FME_ID],FME_Input[ROAD_MILES100])</f>
        <v>24.096620559692379</v>
      </c>
      <c r="AB1075" s="178">
        <f>(FME_Ranking1[[#This Row],[Miles Raw]]/$AA$2)*100</f>
        <v>0.31682734104200433</v>
      </c>
      <c r="AC1075" s="178">
        <f>FME_Ranking1[[#This Row],[Miles Score (Normalized, Unweighted)]]*$AA$3</f>
        <v>3.1682734104200437E-2</v>
      </c>
      <c r="AD1075" s="255">
        <f>_xlfn.XLOOKUP(FME_Ranking1[[#This Row],[FME ID]],FME_Input[FME_ID],FME_Input[FARMACRE100])</f>
        <v>24894.73046875</v>
      </c>
      <c r="AE1075" s="230">
        <f>(FME_Ranking1[[#This Row],[Ag Land Raw]]/$AD$2)*100</f>
        <v>1.0265472431784588</v>
      </c>
      <c r="AF1075" s="231">
        <f>FME_Ranking1[[#This Row],[Ag Land Score (Normalized, Unweighted)]]*$AD$3</f>
        <v>5.1327362158922946E-2</v>
      </c>
      <c r="AG107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0.112278104760848</v>
      </c>
      <c r="AH1075" s="406">
        <f t="shared" si="16"/>
        <v>1010</v>
      </c>
      <c r="AI107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0.112278104760848</v>
      </c>
      <c r="AJ1075" s="257">
        <f>FME_Ranking1[[#This Row],[Addition check]]-FME_Ranking1[[#This Row],[Weighted Score Based on Normalized Reported Factors]]</f>
        <v>0</v>
      </c>
      <c r="AK1075" s="178">
        <f>_xlfn.RANK.EQ(AI1075,$AI$6:$AI$2341,0)+COUNTIF($AI$6:AI1075,AI1075)-1</f>
        <v>1010</v>
      </c>
    </row>
    <row r="1076" spans="1:37" x14ac:dyDescent="0.25">
      <c r="A1076" t="s">
        <v>7966</v>
      </c>
      <c r="B1076">
        <f>_xlfn.XLOOKUP(FME_Ranking1[[#This Row],[FME ID]],FME_Input[FME_ID],FME_Input[RFPG_NUM])</f>
        <v>9</v>
      </c>
      <c r="C1076" t="str">
        <f>_xlfn.XLOOKUP(FME_Ranking1[[#This Row],[FME ID]],FME_Input[FME_ID],FME_Input[FME_NAME])</f>
        <v>Hockley County  FEMA Mapping</v>
      </c>
      <c r="D1076" t="str">
        <f>_xlfn.XLOOKUP(FME_Ranking1[[#This Row],[FME ID]],FME_Input[FME_ID],FME_Input[DESCR])</f>
        <v>Update existing FEMA Mapping</v>
      </c>
      <c r="E1076" s="256">
        <f>_xlfn.XLOOKUP(FME_Ranking1[[#This Row],[FME ID]],FME_Input[FME_ID],FME_Input[FME_COST])</f>
        <v>987000</v>
      </c>
      <c r="F1076" t="str">
        <f>_xlfn.XLOOKUP(FME_Ranking1[[#This Row],[FME ID]],FME_Input[FME_ID],FME_Input[EMER_NEED])</f>
        <v>No</v>
      </c>
      <c r="G1076">
        <f>IF(FME_Ranking!F1076="Yes",100,0)</f>
        <v>0</v>
      </c>
      <c r="H1076">
        <f>FME_Ranking1[[#This Row],[Emergency Need Score (Normalized, Unweighted)]]*$F$3</f>
        <v>0</v>
      </c>
      <c r="I1076" s="246">
        <f>_xlfn.XLOOKUP(FME_Ranking1[[#This Row],[FME ID]],FME_Input[FME_ID],FME_Input[STRUCT_100])</f>
        <v>44</v>
      </c>
      <c r="J1076" s="178">
        <f>(FME_Ranking1[[#This Row],[Structures 100 Raw]]/I$2)*100</f>
        <v>2.3561667309257593E-2</v>
      </c>
      <c r="K1076" s="178">
        <f>FME_Ranking1[[#This Row],[Structures 100  Score (Normalized, Unweighted)]]*$I$3</f>
        <v>3.5342500963886389E-3</v>
      </c>
      <c r="L1076" s="246">
        <f>_xlfn.XLOOKUP(FME_Ranking1[[#This Row],[FME ID]],FME_Input[FME_ID],FME_Input[RES_STRUCT100])</f>
        <v>18</v>
      </c>
      <c r="M1076" s="230">
        <f>(FME_Ranking1[[#This Row],[Res Structures Raw]]/L$2)*100</f>
        <v>1.2749500644558088E-2</v>
      </c>
      <c r="N1076" s="180">
        <f>FME_Ranking1[[#This Row],[Res Structures Score (Normalized, Unweighted)]]*$L$3</f>
        <v>1.2749500644558089E-3</v>
      </c>
      <c r="O1076" s="244">
        <f>_xlfn.XLOOKUP(FME_Ranking1[[#This Row],[FME ID]],FME_Input[FME_ID],FME_Input[POP100])</f>
        <v>1553</v>
      </c>
      <c r="P1076" s="178">
        <f>(FME_Ranking1[[#This Row],[Pop Raw]]/$O$2)*100</f>
        <v>0.15898885951854938</v>
      </c>
      <c r="Q1076" s="178">
        <f>FME_Ranking1[[#This Row],[Pop Score (Normalized, Unweighted)]]*$O$3</f>
        <v>2.3848328927782405E-2</v>
      </c>
      <c r="R1076" s="137">
        <f>_xlfn.XLOOKUP(FME_Ranking1[[#This Row],[FME ID]],FME_Input[FME_ID],FME_Input[CRITFAC100])</f>
        <v>3</v>
      </c>
      <c r="S1076" s="230">
        <f>(FME_Ranking1[[#This Row],[Critical Facilities Raw]]/$R$2)*100</f>
        <v>0.1286449399656947</v>
      </c>
      <c r="T1076" s="180">
        <f>FME_Ranking1[[#This Row],[Critical Facilities Score (Normalized, Unweighted)]]*$R$3</f>
        <v>2.5728987993138941E-2</v>
      </c>
      <c r="U1076">
        <f>_xlfn.XLOOKUP(FME_Ranking1[[#This Row],[FME ID]],FME_Input[FME_ID],FME_Input[LWC])</f>
        <v>2</v>
      </c>
      <c r="V1076" s="178">
        <f>(FME_Ranking1[[#This Row],[LWC Raw]]/$U$2)*100</f>
        <v>0.11514104778353484</v>
      </c>
      <c r="W1076" s="178">
        <f>FME_Ranking1[[#This Row],[LWC Score (Normalized, Unweighted)]]*$U$3</f>
        <v>2.302820955670697E-2</v>
      </c>
      <c r="X1076" s="246">
        <f>_xlfn.XLOOKUP(FME_Ranking1[[#This Row],[FME ID]],FME_Input[FME_ID],FME_Input[ROADCLS])</f>
        <v>0</v>
      </c>
      <c r="Y1076" s="230">
        <f>(FME_Ranking1[[#This Row],[Closures Raw]]/$X$2)*100</f>
        <v>0</v>
      </c>
      <c r="Z1076" s="180">
        <f>FME_Ranking1[[#This Row],[Closures Score (Normalized, Unweighted)]]*$X$3</f>
        <v>0</v>
      </c>
      <c r="AA1076" s="253">
        <f>_xlfn.XLOOKUP(FME_Ranking1[[#This Row],[FME ID]],FME_Input[FME_ID],FME_Input[ROAD_MILES100])</f>
        <v>42.321495056152337</v>
      </c>
      <c r="AB1076" s="178">
        <f>(FME_Ranking1[[#This Row],[Miles Raw]]/$AA$2)*100</f>
        <v>0.5564517528234777</v>
      </c>
      <c r="AC1076" s="178">
        <f>FME_Ranking1[[#This Row],[Miles Score (Normalized, Unweighted)]]*$AA$3</f>
        <v>5.5645175282347775E-2</v>
      </c>
      <c r="AD1076" s="255">
        <f>_xlfn.XLOOKUP(FME_Ranking1[[#This Row],[FME ID]],FME_Input[FME_ID],FME_Input[FARMACRE100])</f>
        <v>1395.676147460938</v>
      </c>
      <c r="AE1076" s="230">
        <f>(FME_Ranking1[[#This Row],[Ag Land Raw]]/$AD$2)*100</f>
        <v>5.7551436571865705E-2</v>
      </c>
      <c r="AF1076" s="231">
        <f>FME_Ranking1[[#This Row],[Ag Land Score (Normalized, Unweighted)]]*$AD$3</f>
        <v>2.8775718285932853E-3</v>
      </c>
      <c r="AG107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0.13593747374941381</v>
      </c>
      <c r="AH1076" s="406">
        <f t="shared" si="16"/>
        <v>934</v>
      </c>
      <c r="AI107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0.13593747374941381</v>
      </c>
      <c r="AJ1076" s="257">
        <f>FME_Ranking1[[#This Row],[Addition check]]-FME_Ranking1[[#This Row],[Weighted Score Based on Normalized Reported Factors]]</f>
        <v>0</v>
      </c>
      <c r="AK1076" s="178">
        <f>_xlfn.RANK.EQ(AI1076,$AI$6:$AI$2341,0)+COUNTIF($AI$6:AI1076,AI1076)-1</f>
        <v>934</v>
      </c>
    </row>
    <row r="1077" spans="1:37" x14ac:dyDescent="0.25">
      <c r="A1077" t="s">
        <v>8047</v>
      </c>
      <c r="B1077">
        <f>_xlfn.XLOOKUP(FME_Ranking1[[#This Row],[FME ID]],FME_Input[FME_ID],FME_Input[RFPG_NUM])</f>
        <v>9</v>
      </c>
      <c r="C1077" t="str">
        <f>_xlfn.XLOOKUP(FME_Ranking1[[#This Row],[FME ID]],FME_Input[FME_ID],FME_Input[FME_NAME])</f>
        <v>Hockley County  GIS Development</v>
      </c>
      <c r="D1077" t="str">
        <f>_xlfn.XLOOKUP(FME_Ranking1[[#This Row],[FME ID]],FME_Input[FME_ID],FME_Input[DESCR])</f>
        <v>Develop a GIS inventory of stormwater infrastructure</v>
      </c>
      <c r="E1077" s="256">
        <f>_xlfn.XLOOKUP(FME_Ranking1[[#This Row],[FME ID]],FME_Input[FME_ID],FME_Input[FME_COST])</f>
        <v>100000</v>
      </c>
      <c r="F1077" t="str">
        <f>_xlfn.XLOOKUP(FME_Ranking1[[#This Row],[FME ID]],FME_Input[FME_ID],FME_Input[EMER_NEED])</f>
        <v>No</v>
      </c>
      <c r="G1077">
        <f>IF(FME_Ranking!F1077="Yes",100,0)</f>
        <v>0</v>
      </c>
      <c r="H1077">
        <f>FME_Ranking1[[#This Row],[Emergency Need Score (Normalized, Unweighted)]]*$F$3</f>
        <v>0</v>
      </c>
      <c r="I1077" s="246">
        <f>_xlfn.XLOOKUP(FME_Ranking1[[#This Row],[FME ID]],FME_Input[FME_ID],FME_Input[STRUCT_100])</f>
        <v>44</v>
      </c>
      <c r="J1077" s="178">
        <f>(FME_Ranking1[[#This Row],[Structures 100 Raw]]/I$2)*100</f>
        <v>2.3561667309257593E-2</v>
      </c>
      <c r="K1077" s="178">
        <f>FME_Ranking1[[#This Row],[Structures 100  Score (Normalized, Unweighted)]]*$I$3</f>
        <v>3.5342500963886389E-3</v>
      </c>
      <c r="L1077" s="246">
        <f>_xlfn.XLOOKUP(FME_Ranking1[[#This Row],[FME ID]],FME_Input[FME_ID],FME_Input[RES_STRUCT100])</f>
        <v>18</v>
      </c>
      <c r="M1077" s="230">
        <f>(FME_Ranking1[[#This Row],[Res Structures Raw]]/L$2)*100</f>
        <v>1.2749500644558088E-2</v>
      </c>
      <c r="N1077" s="180">
        <f>FME_Ranking1[[#This Row],[Res Structures Score (Normalized, Unweighted)]]*$L$3</f>
        <v>1.2749500644558089E-3</v>
      </c>
      <c r="O1077" s="244">
        <f>_xlfn.XLOOKUP(FME_Ranking1[[#This Row],[FME ID]],FME_Input[FME_ID],FME_Input[POP100])</f>
        <v>1553</v>
      </c>
      <c r="P1077" s="178">
        <f>(FME_Ranking1[[#This Row],[Pop Raw]]/$O$2)*100</f>
        <v>0.15898885951854938</v>
      </c>
      <c r="Q1077" s="178">
        <f>FME_Ranking1[[#This Row],[Pop Score (Normalized, Unweighted)]]*$O$3</f>
        <v>2.3848328927782405E-2</v>
      </c>
      <c r="R1077" s="137">
        <f>_xlfn.XLOOKUP(FME_Ranking1[[#This Row],[FME ID]],FME_Input[FME_ID],FME_Input[CRITFAC100])</f>
        <v>3</v>
      </c>
      <c r="S1077" s="230">
        <f>(FME_Ranking1[[#This Row],[Critical Facilities Raw]]/$R$2)*100</f>
        <v>0.1286449399656947</v>
      </c>
      <c r="T1077" s="180">
        <f>FME_Ranking1[[#This Row],[Critical Facilities Score (Normalized, Unweighted)]]*$R$3</f>
        <v>2.5728987993138941E-2</v>
      </c>
      <c r="U1077">
        <f>_xlfn.XLOOKUP(FME_Ranking1[[#This Row],[FME ID]],FME_Input[FME_ID],FME_Input[LWC])</f>
        <v>2</v>
      </c>
      <c r="V1077" s="178">
        <f>(FME_Ranking1[[#This Row],[LWC Raw]]/$U$2)*100</f>
        <v>0.11514104778353484</v>
      </c>
      <c r="W1077" s="178">
        <f>FME_Ranking1[[#This Row],[LWC Score (Normalized, Unweighted)]]*$U$3</f>
        <v>2.302820955670697E-2</v>
      </c>
      <c r="X1077" s="246">
        <f>_xlfn.XLOOKUP(FME_Ranking1[[#This Row],[FME ID]],FME_Input[FME_ID],FME_Input[ROADCLS])</f>
        <v>0</v>
      </c>
      <c r="Y1077" s="230">
        <f>(FME_Ranking1[[#This Row],[Closures Raw]]/$X$2)*100</f>
        <v>0</v>
      </c>
      <c r="Z1077" s="180">
        <f>FME_Ranking1[[#This Row],[Closures Score (Normalized, Unweighted)]]*$X$3</f>
        <v>0</v>
      </c>
      <c r="AA1077" s="253">
        <f>_xlfn.XLOOKUP(FME_Ranking1[[#This Row],[FME ID]],FME_Input[FME_ID],FME_Input[ROAD_MILES100])</f>
        <v>42.321495056152337</v>
      </c>
      <c r="AB1077" s="178">
        <f>(FME_Ranking1[[#This Row],[Miles Raw]]/$AA$2)*100</f>
        <v>0.5564517528234777</v>
      </c>
      <c r="AC1077" s="178">
        <f>FME_Ranking1[[#This Row],[Miles Score (Normalized, Unweighted)]]*$AA$3</f>
        <v>5.5645175282347775E-2</v>
      </c>
      <c r="AD1077" s="255">
        <f>_xlfn.XLOOKUP(FME_Ranking1[[#This Row],[FME ID]],FME_Input[FME_ID],FME_Input[FARMACRE100])</f>
        <v>1395.676147460938</v>
      </c>
      <c r="AE1077" s="230">
        <f>(FME_Ranking1[[#This Row],[Ag Land Raw]]/$AD$2)*100</f>
        <v>5.7551436571865705E-2</v>
      </c>
      <c r="AF1077" s="231">
        <f>FME_Ranking1[[#This Row],[Ag Land Score (Normalized, Unweighted)]]*$AD$3</f>
        <v>2.8775718285932853E-3</v>
      </c>
      <c r="AG107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0.13593747374941381</v>
      </c>
      <c r="AH1077" s="406">
        <f t="shared" si="16"/>
        <v>934</v>
      </c>
      <c r="AI107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0.13593747374941381</v>
      </c>
      <c r="AJ1077" s="257">
        <f>FME_Ranking1[[#This Row],[Addition check]]-FME_Ranking1[[#This Row],[Weighted Score Based on Normalized Reported Factors]]</f>
        <v>0</v>
      </c>
      <c r="AK1077" s="178">
        <f>_xlfn.RANK.EQ(AI1077,$AI$6:$AI$2341,0)+COUNTIF($AI$6:AI1077,AI1077)-1</f>
        <v>935</v>
      </c>
    </row>
    <row r="1078" spans="1:37" x14ac:dyDescent="0.25">
      <c r="A1078" t="s">
        <v>8290</v>
      </c>
      <c r="B1078">
        <f>_xlfn.XLOOKUP(FME_Ranking1[[#This Row],[FME ID]],FME_Input[FME_ID],FME_Input[RFPG_NUM])</f>
        <v>9</v>
      </c>
      <c r="C1078" t="str">
        <f>_xlfn.XLOOKUP(FME_Ranking1[[#This Row],[FME ID]],FME_Input[FME_ID],FME_Input[FME_NAME])</f>
        <v>Hockley County  DMP</v>
      </c>
      <c r="D1078" t="str">
        <f>_xlfn.XLOOKUP(FME_Ranking1[[#This Row],[FME ID]],FME_Input[FME_ID],FME_Input[DESCR])</f>
        <v xml:space="preserve">Create Drainage Master Plan, including evaluation of potential mitigation projects. </v>
      </c>
      <c r="E1078" s="256">
        <f>_xlfn.XLOOKUP(FME_Ranking1[[#This Row],[FME ID]],FME_Input[FME_ID],FME_Input[FME_COST])</f>
        <v>500000</v>
      </c>
      <c r="F1078" t="str">
        <f>_xlfn.XLOOKUP(FME_Ranking1[[#This Row],[FME ID]],FME_Input[FME_ID],FME_Input[EMER_NEED])</f>
        <v>No</v>
      </c>
      <c r="G1078">
        <f>IF(FME_Ranking!F1078="Yes",100,0)</f>
        <v>0</v>
      </c>
      <c r="H1078">
        <f>FME_Ranking1[[#This Row],[Emergency Need Score (Normalized, Unweighted)]]*$F$3</f>
        <v>0</v>
      </c>
      <c r="I1078" s="246">
        <f>_xlfn.XLOOKUP(FME_Ranking1[[#This Row],[FME ID]],FME_Input[FME_ID],FME_Input[STRUCT_100])</f>
        <v>44</v>
      </c>
      <c r="J1078" s="178">
        <f>(FME_Ranking1[[#This Row],[Structures 100 Raw]]/I$2)*100</f>
        <v>2.3561667309257593E-2</v>
      </c>
      <c r="K1078" s="178">
        <f>FME_Ranking1[[#This Row],[Structures 100  Score (Normalized, Unweighted)]]*$I$3</f>
        <v>3.5342500963886389E-3</v>
      </c>
      <c r="L1078" s="246">
        <f>_xlfn.XLOOKUP(FME_Ranking1[[#This Row],[FME ID]],FME_Input[FME_ID],FME_Input[RES_STRUCT100])</f>
        <v>18</v>
      </c>
      <c r="M1078" s="230">
        <f>(FME_Ranking1[[#This Row],[Res Structures Raw]]/L$2)*100</f>
        <v>1.2749500644558088E-2</v>
      </c>
      <c r="N1078" s="180">
        <f>FME_Ranking1[[#This Row],[Res Structures Score (Normalized, Unweighted)]]*$L$3</f>
        <v>1.2749500644558089E-3</v>
      </c>
      <c r="O1078" s="244">
        <f>_xlfn.XLOOKUP(FME_Ranking1[[#This Row],[FME ID]],FME_Input[FME_ID],FME_Input[POP100])</f>
        <v>1553</v>
      </c>
      <c r="P1078" s="178">
        <f>(FME_Ranking1[[#This Row],[Pop Raw]]/$O$2)*100</f>
        <v>0.15898885951854938</v>
      </c>
      <c r="Q1078" s="178">
        <f>FME_Ranking1[[#This Row],[Pop Score (Normalized, Unweighted)]]*$O$3</f>
        <v>2.3848328927782405E-2</v>
      </c>
      <c r="R1078" s="137">
        <f>_xlfn.XLOOKUP(FME_Ranking1[[#This Row],[FME ID]],FME_Input[FME_ID],FME_Input[CRITFAC100])</f>
        <v>3</v>
      </c>
      <c r="S1078" s="230">
        <f>(FME_Ranking1[[#This Row],[Critical Facilities Raw]]/$R$2)*100</f>
        <v>0.1286449399656947</v>
      </c>
      <c r="T1078" s="180">
        <f>FME_Ranking1[[#This Row],[Critical Facilities Score (Normalized, Unweighted)]]*$R$3</f>
        <v>2.5728987993138941E-2</v>
      </c>
      <c r="U1078">
        <f>_xlfn.XLOOKUP(FME_Ranking1[[#This Row],[FME ID]],FME_Input[FME_ID],FME_Input[LWC])</f>
        <v>2</v>
      </c>
      <c r="V1078" s="178">
        <f>(FME_Ranking1[[#This Row],[LWC Raw]]/$U$2)*100</f>
        <v>0.11514104778353484</v>
      </c>
      <c r="W1078" s="178">
        <f>FME_Ranking1[[#This Row],[LWC Score (Normalized, Unweighted)]]*$U$3</f>
        <v>2.302820955670697E-2</v>
      </c>
      <c r="X1078" s="246">
        <f>_xlfn.XLOOKUP(FME_Ranking1[[#This Row],[FME ID]],FME_Input[FME_ID],FME_Input[ROADCLS])</f>
        <v>0</v>
      </c>
      <c r="Y1078" s="230">
        <f>(FME_Ranking1[[#This Row],[Closures Raw]]/$X$2)*100</f>
        <v>0</v>
      </c>
      <c r="Z1078" s="180">
        <f>FME_Ranking1[[#This Row],[Closures Score (Normalized, Unweighted)]]*$X$3</f>
        <v>0</v>
      </c>
      <c r="AA1078" s="253">
        <f>_xlfn.XLOOKUP(FME_Ranking1[[#This Row],[FME ID]],FME_Input[FME_ID],FME_Input[ROAD_MILES100])</f>
        <v>42.321495056152337</v>
      </c>
      <c r="AB1078" s="178">
        <f>(FME_Ranking1[[#This Row],[Miles Raw]]/$AA$2)*100</f>
        <v>0.5564517528234777</v>
      </c>
      <c r="AC1078" s="178">
        <f>FME_Ranking1[[#This Row],[Miles Score (Normalized, Unweighted)]]*$AA$3</f>
        <v>5.5645175282347775E-2</v>
      </c>
      <c r="AD1078" s="255">
        <f>_xlfn.XLOOKUP(FME_Ranking1[[#This Row],[FME ID]],FME_Input[FME_ID],FME_Input[FARMACRE100])</f>
        <v>1395.676147460938</v>
      </c>
      <c r="AE1078" s="230">
        <f>(FME_Ranking1[[#This Row],[Ag Land Raw]]/$AD$2)*100</f>
        <v>5.7551436571865705E-2</v>
      </c>
      <c r="AF1078" s="231">
        <f>FME_Ranking1[[#This Row],[Ag Land Score (Normalized, Unweighted)]]*$AD$3</f>
        <v>2.8775718285932853E-3</v>
      </c>
      <c r="AG107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0.13593747374941381</v>
      </c>
      <c r="AH1078" s="406">
        <f t="shared" si="16"/>
        <v>934</v>
      </c>
      <c r="AI107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0.13593747374941381</v>
      </c>
      <c r="AJ1078" s="257">
        <f>FME_Ranking1[[#This Row],[Addition check]]-FME_Ranking1[[#This Row],[Weighted Score Based on Normalized Reported Factors]]</f>
        <v>0</v>
      </c>
      <c r="AK1078" s="178">
        <f>_xlfn.RANK.EQ(AI1078,$AI$6:$AI$2341,0)+COUNTIF($AI$6:AI1078,AI1078)-1</f>
        <v>936</v>
      </c>
    </row>
    <row r="1079" spans="1:37" x14ac:dyDescent="0.25">
      <c r="A1079" t="s">
        <v>6090</v>
      </c>
      <c r="B1079">
        <f>_xlfn.XLOOKUP(FME_Ranking1[[#This Row],[FME ID]],FME_Input[FME_ID],FME_Input[RFPG_NUM])</f>
        <v>5</v>
      </c>
      <c r="C1079" t="str">
        <f>_xlfn.XLOOKUP(FME_Ranking1[[#This Row],[FME ID]],FME_Input[FME_ID],FME_Input[FME_NAME])</f>
        <v>Hall Street over White Oak Creek Bridge Improvements</v>
      </c>
      <c r="D1079" t="str">
        <f>_xlfn.XLOOKUP(FME_Ranking1[[#This Row],[FME ID]],FME_Input[FME_ID],FME_Input[DESCR])</f>
        <v>Evaluate alternatives to elevate bridge over White Oak Creek on Hall St going into the park</v>
      </c>
      <c r="E1079" s="256">
        <f>_xlfn.XLOOKUP(FME_Ranking1[[#This Row],[FME ID]],FME_Input[FME_ID],FME_Input[FME_COST])</f>
        <v>103000</v>
      </c>
      <c r="F1079" t="str">
        <f>_xlfn.XLOOKUP(FME_Ranking1[[#This Row],[FME ID]],FME_Input[FME_ID],FME_Input[EMER_NEED])</f>
        <v>Yes</v>
      </c>
      <c r="G1079">
        <f>IF(FME_Ranking!F1079="Yes",100,0)</f>
        <v>100</v>
      </c>
      <c r="H1079">
        <f>FME_Ranking1[[#This Row],[Emergency Need Score (Normalized, Unweighted)]]*$F$3</f>
        <v>0</v>
      </c>
      <c r="I1079" s="246">
        <f>_xlfn.XLOOKUP(FME_Ranking1[[#This Row],[FME ID]],FME_Input[FME_ID],FME_Input[STRUCT_100])</f>
        <v>155</v>
      </c>
      <c r="J1079" s="178">
        <f>(FME_Ranking1[[#This Row],[Structures 100 Raw]]/I$2)*100</f>
        <v>8.3001328021248336E-2</v>
      </c>
      <c r="K1079" s="178">
        <f>FME_Ranking1[[#This Row],[Structures 100  Score (Normalized, Unweighted)]]*$I$3</f>
        <v>1.245019920318725E-2</v>
      </c>
      <c r="L1079" s="246">
        <f>_xlfn.XLOOKUP(FME_Ranking1[[#This Row],[FME ID]],FME_Input[FME_ID],FME_Input[RES_STRUCT100])</f>
        <v>71</v>
      </c>
      <c r="M1079" s="230">
        <f>(FME_Ranking1[[#This Row],[Res Structures Raw]]/L$2)*100</f>
        <v>5.0289696986868013E-2</v>
      </c>
      <c r="N1079" s="180">
        <f>FME_Ranking1[[#This Row],[Res Structures Score (Normalized, Unweighted)]]*$L$3</f>
        <v>5.0289696986868014E-3</v>
      </c>
      <c r="O1079" s="244">
        <f>_xlfn.XLOOKUP(FME_Ranking1[[#This Row],[FME ID]],FME_Input[FME_ID],FME_Input[POP100])</f>
        <v>703</v>
      </c>
      <c r="P1079" s="178">
        <f>(FME_Ranking1[[#This Row],[Pop Raw]]/$O$2)*100</f>
        <v>7.1969844328100593E-2</v>
      </c>
      <c r="Q1079" s="178">
        <f>FME_Ranking1[[#This Row],[Pop Score (Normalized, Unweighted)]]*$O$3</f>
        <v>1.0795476649215088E-2</v>
      </c>
      <c r="R1079" s="137">
        <f>_xlfn.XLOOKUP(FME_Ranking1[[#This Row],[FME ID]],FME_Input[FME_ID],FME_Input[CRITFAC100])</f>
        <v>6</v>
      </c>
      <c r="S1079" s="230">
        <f>(FME_Ranking1[[#This Row],[Critical Facilities Raw]]/$R$2)*100</f>
        <v>0.25728987993138941</v>
      </c>
      <c r="T1079" s="180">
        <f>FME_Ranking1[[#This Row],[Critical Facilities Score (Normalized, Unweighted)]]*$R$3</f>
        <v>5.1457975986277882E-2</v>
      </c>
      <c r="U1079">
        <f>_xlfn.XLOOKUP(FME_Ranking1[[#This Row],[FME ID]],FME_Input[FME_ID],FME_Input[LWC])</f>
        <v>0</v>
      </c>
      <c r="V1079" s="178">
        <f>(FME_Ranking1[[#This Row],[LWC Raw]]/$U$2)*100</f>
        <v>0</v>
      </c>
      <c r="W1079" s="178">
        <f>FME_Ranking1[[#This Row],[LWC Score (Normalized, Unweighted)]]*$U$3</f>
        <v>0</v>
      </c>
      <c r="X1079" s="246">
        <f>_xlfn.XLOOKUP(FME_Ranking1[[#This Row],[FME ID]],FME_Input[FME_ID],FME_Input[ROADCLS])</f>
        <v>0</v>
      </c>
      <c r="Y1079" s="230">
        <f>(FME_Ranking1[[#This Row],[Closures Raw]]/$X$2)*100</f>
        <v>0</v>
      </c>
      <c r="Z1079" s="180">
        <f>FME_Ranking1[[#This Row],[Closures Score (Normalized, Unweighted)]]*$X$3</f>
        <v>0</v>
      </c>
      <c r="AA1079" s="253">
        <f>_xlfn.XLOOKUP(FME_Ranking1[[#This Row],[FME ID]],FME_Input[FME_ID],FME_Input[ROAD_MILES100])</f>
        <v>7.2089962959289551</v>
      </c>
      <c r="AB1079" s="178">
        <f>(FME_Ranking1[[#This Row],[Miles Raw]]/$AA$2)*100</f>
        <v>9.478537134959919E-2</v>
      </c>
      <c r="AC1079" s="178">
        <f>FME_Ranking1[[#This Row],[Miles Score (Normalized, Unweighted)]]*$AA$3</f>
        <v>9.4785371349599204E-3</v>
      </c>
      <c r="AD1079" s="255">
        <f>_xlfn.XLOOKUP(FME_Ranking1[[#This Row],[FME ID]],FME_Input[FME_ID],FME_Input[FARMACRE100])</f>
        <v>15.35366916656494</v>
      </c>
      <c r="AE1079" s="230">
        <f>(FME_Ranking1[[#This Row],[Ag Land Raw]]/$AD$2)*100</f>
        <v>6.3311658567246742E-4</v>
      </c>
      <c r="AF1079" s="231">
        <f>FME_Ranking1[[#This Row],[Ag Land Score (Normalized, Unweighted)]]*$AD$3</f>
        <v>3.1655829283623374E-5</v>
      </c>
      <c r="AG107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8.9242814501610548E-2</v>
      </c>
      <c r="AH1079" s="406">
        <f t="shared" si="16"/>
        <v>1091</v>
      </c>
      <c r="AI107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8.9242814501610548E-2</v>
      </c>
      <c r="AJ1079" s="257">
        <f>FME_Ranking1[[#This Row],[Addition check]]-FME_Ranking1[[#This Row],[Weighted Score Based on Normalized Reported Factors]]</f>
        <v>0</v>
      </c>
      <c r="AK1079" s="178">
        <f>_xlfn.RANK.EQ(AI1079,$AI$6:$AI$2341,0)+COUNTIF($AI$6:AI1079,AI1079)-1</f>
        <v>1091</v>
      </c>
    </row>
    <row r="1080" spans="1:37" x14ac:dyDescent="0.25">
      <c r="A1080" t="s">
        <v>1408</v>
      </c>
      <c r="B1080">
        <f>_xlfn.XLOOKUP(FME_Ranking1[[#This Row],[FME ID]],FME_Input[FME_ID],FME_Input[RFPG_NUM])</f>
        <v>6</v>
      </c>
      <c r="C1080" t="str">
        <f>_xlfn.XLOOKUP(FME_Ranking1[[#This Row],[FME ID]],FME_Input[FME_ID],FME_Input[FME_NAME])</f>
        <v>Brays Bayou - Partnership Project with Fort Bend County on Right-of-Way Acquisition, Design, and Construction of General Drainage Improvements along Clodine Ditch</v>
      </c>
      <c r="D1080" t="str">
        <f>_xlfn.XLOOKUP(FME_Ranking1[[#This Row],[FME ID]],FME_Input[FME_ID],FME_Input[DESCR])</f>
        <v>Further study of channel improvements from partnership project to restore channel conveyanve including Atlas 14 rainfalls.</v>
      </c>
      <c r="E1080" s="256">
        <f>_xlfn.XLOOKUP(FME_Ranking1[[#This Row],[FME ID]],FME_Input[FME_ID],FME_Input[FME_COST])</f>
        <v>1020000</v>
      </c>
      <c r="F1080" t="str">
        <f>_xlfn.XLOOKUP(FME_Ranking1[[#This Row],[FME ID]],FME_Input[FME_ID],FME_Input[EMER_NEED])</f>
        <v>No</v>
      </c>
      <c r="G1080">
        <f>IF(FME_Ranking!F1080="Yes",100,0)</f>
        <v>0</v>
      </c>
      <c r="H1080">
        <f>FME_Ranking1[[#This Row],[Emergency Need Score (Normalized, Unweighted)]]*$F$3</f>
        <v>0</v>
      </c>
      <c r="I1080" s="246">
        <f>_xlfn.XLOOKUP(FME_Ranking1[[#This Row],[FME ID]],FME_Input[FME_ID],FME_Input[STRUCT_100])</f>
        <v>328</v>
      </c>
      <c r="J1080" s="178">
        <f>(FME_Ranking1[[#This Row],[Structures 100 Raw]]/I$2)*100</f>
        <v>0.17564151994173841</v>
      </c>
      <c r="K1080" s="178">
        <f>FME_Ranking1[[#This Row],[Structures 100  Score (Normalized, Unweighted)]]*$I$3</f>
        <v>2.6346227991260761E-2</v>
      </c>
      <c r="L1080" s="246">
        <f>_xlfn.XLOOKUP(FME_Ranking1[[#This Row],[FME ID]],FME_Input[FME_ID],FME_Input[RES_STRUCT100])</f>
        <v>254</v>
      </c>
      <c r="M1080" s="230">
        <f>(FME_Ranking1[[#This Row],[Res Structures Raw]]/L$2)*100</f>
        <v>0.17990962020654191</v>
      </c>
      <c r="N1080" s="180">
        <f>FME_Ranking1[[#This Row],[Res Structures Score (Normalized, Unweighted)]]*$L$3</f>
        <v>1.7990962020654193E-2</v>
      </c>
      <c r="O1080" s="244">
        <f>_xlfn.XLOOKUP(FME_Ranking1[[#This Row],[FME ID]],FME_Input[FME_ID],FME_Input[POP100])</f>
        <v>1703</v>
      </c>
      <c r="P1080" s="178">
        <f>(FME_Ranking1[[#This Row],[Pop Raw]]/$O$2)*100</f>
        <v>0.17434515631686387</v>
      </c>
      <c r="Q1080" s="178">
        <f>FME_Ranking1[[#This Row],[Pop Score (Normalized, Unweighted)]]*$O$3</f>
        <v>2.6151773447529579E-2</v>
      </c>
      <c r="R1080" s="137">
        <f>_xlfn.XLOOKUP(FME_Ranking1[[#This Row],[FME ID]],FME_Input[FME_ID],FME_Input[CRITFAC100])</f>
        <v>1</v>
      </c>
      <c r="S1080" s="230">
        <f>(FME_Ranking1[[#This Row],[Critical Facilities Raw]]/$R$2)*100</f>
        <v>4.2881646655231559E-2</v>
      </c>
      <c r="T1080" s="180">
        <f>FME_Ranking1[[#This Row],[Critical Facilities Score (Normalized, Unweighted)]]*$R$3</f>
        <v>8.5763293310463125E-3</v>
      </c>
      <c r="U1080">
        <f>_xlfn.XLOOKUP(FME_Ranking1[[#This Row],[FME ID]],FME_Input[FME_ID],FME_Input[LWC])</f>
        <v>0</v>
      </c>
      <c r="V1080" s="178">
        <f>(FME_Ranking1[[#This Row],[LWC Raw]]/$U$2)*100</f>
        <v>0</v>
      </c>
      <c r="W1080" s="178">
        <f>FME_Ranking1[[#This Row],[LWC Score (Normalized, Unweighted)]]*$U$3</f>
        <v>0</v>
      </c>
      <c r="X1080" s="246">
        <f>_xlfn.XLOOKUP(FME_Ranking1[[#This Row],[FME ID]],FME_Input[FME_ID],FME_Input[ROADCLS])</f>
        <v>0</v>
      </c>
      <c r="Y1080" s="230">
        <f>(FME_Ranking1[[#This Row],[Closures Raw]]/$X$2)*100</f>
        <v>0</v>
      </c>
      <c r="Z1080" s="180">
        <f>FME_Ranking1[[#This Row],[Closures Score (Normalized, Unweighted)]]*$X$3</f>
        <v>0</v>
      </c>
      <c r="AA1080" s="253">
        <f>_xlfn.XLOOKUP(FME_Ranking1[[#This Row],[FME ID]],FME_Input[FME_ID],FME_Input[ROAD_MILES100])</f>
        <v>19.764970779418949</v>
      </c>
      <c r="AB1080" s="178">
        <f>(FME_Ranking1[[#This Row],[Miles Raw]]/$AA$2)*100</f>
        <v>0.25987391561002193</v>
      </c>
      <c r="AC1080" s="178">
        <f>FME_Ranking1[[#This Row],[Miles Score (Normalized, Unweighted)]]*$AA$3</f>
        <v>2.5987391561002195E-2</v>
      </c>
      <c r="AD1080" s="255">
        <f>_xlfn.XLOOKUP(FME_Ranking1[[#This Row],[FME ID]],FME_Input[FME_ID],FME_Input[FARMACRE100])</f>
        <v>217.6001892089844</v>
      </c>
      <c r="AE1080" s="230">
        <f>(FME_Ranking1[[#This Row],[Ag Land Raw]]/$AD$2)*100</f>
        <v>8.9728577149286986E-3</v>
      </c>
      <c r="AF1080" s="231">
        <f>FME_Ranking1[[#This Row],[Ag Land Score (Normalized, Unweighted)]]*$AD$3</f>
        <v>4.4864288574643493E-4</v>
      </c>
      <c r="AG108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0.10550132723723947</v>
      </c>
      <c r="AH1080" s="406">
        <f t="shared" si="16"/>
        <v>1030</v>
      </c>
      <c r="AI108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0.10550132723723947</v>
      </c>
      <c r="AJ1080" s="257">
        <f>FME_Ranking1[[#This Row],[Addition check]]-FME_Ranking1[[#This Row],[Weighted Score Based on Normalized Reported Factors]]</f>
        <v>0</v>
      </c>
      <c r="AK1080" s="178">
        <f>_xlfn.RANK.EQ(AI1080,$AI$6:$AI$2341,0)+COUNTIF($AI$6:AI1080,AI1080)-1</f>
        <v>1030</v>
      </c>
    </row>
    <row r="1081" spans="1:37" x14ac:dyDescent="0.25">
      <c r="A1081" t="s">
        <v>4320</v>
      </c>
      <c r="B1081">
        <f>_xlfn.XLOOKUP(FME_Ranking1[[#This Row],[FME ID]],FME_Input[FME_ID],FME_Input[RFPG_NUM])</f>
        <v>3</v>
      </c>
      <c r="C1081" t="str">
        <f>_xlfn.XLOOKUP(FME_Ranking1[[#This Row],[FME ID]],FME_Input[FME_ID],FME_Input[FME_NAME])</f>
        <v>Holiday Park North Drainage Study Update</v>
      </c>
      <c r="D1081" t="str">
        <f>_xlfn.XLOOKUP(FME_Ranking1[[#This Row],[FME ID]],FME_Input[FME_ID],FME_Input[DESCR])</f>
        <v>Area 2</v>
      </c>
      <c r="E1081" s="256">
        <f>_xlfn.XLOOKUP(FME_Ranking1[[#This Row],[FME ID]],FME_Input[FME_ID],FME_Input[FME_COST])</f>
        <v>90000</v>
      </c>
      <c r="F1081" t="str">
        <f>_xlfn.XLOOKUP(FME_Ranking1[[#This Row],[FME ID]],FME_Input[FME_ID],FME_Input[EMER_NEED])</f>
        <v>No</v>
      </c>
      <c r="G1081">
        <f>IF(FME_Ranking!F1081="Yes",100,0)</f>
        <v>0</v>
      </c>
      <c r="H1081">
        <f>FME_Ranking1[[#This Row],[Emergency Need Score (Normalized, Unweighted)]]*$F$3</f>
        <v>0</v>
      </c>
      <c r="I1081" s="246">
        <f>_xlfn.XLOOKUP(FME_Ranking1[[#This Row],[FME ID]],FME_Input[FME_ID],FME_Input[STRUCT_100])</f>
        <v>117</v>
      </c>
      <c r="J1081" s="178">
        <f>(FME_Ranking1[[#This Row],[Structures 100 Raw]]/I$2)*100</f>
        <v>6.2652615345071327E-2</v>
      </c>
      <c r="K1081" s="178">
        <f>FME_Ranking1[[#This Row],[Structures 100  Score (Normalized, Unweighted)]]*$I$3</f>
        <v>9.3978923017606995E-3</v>
      </c>
      <c r="L1081" s="246">
        <f>_xlfn.XLOOKUP(FME_Ranking1[[#This Row],[FME ID]],FME_Input[FME_ID],FME_Input[RES_STRUCT100])</f>
        <v>112</v>
      </c>
      <c r="M1081" s="230">
        <f>(FME_Ranking1[[#This Row],[Res Structures Raw]]/L$2)*100</f>
        <v>7.9330226232805889E-2</v>
      </c>
      <c r="N1081" s="180">
        <f>FME_Ranking1[[#This Row],[Res Structures Score (Normalized, Unweighted)]]*$L$3</f>
        <v>7.93302262328059E-3</v>
      </c>
      <c r="O1081" s="244">
        <f>_xlfn.XLOOKUP(FME_Ranking1[[#This Row],[FME ID]],FME_Input[FME_ID],FME_Input[POP100])</f>
        <v>471</v>
      </c>
      <c r="P1081" s="178">
        <f>(FME_Ranking1[[#This Row],[Pop Raw]]/$O$2)*100</f>
        <v>4.8218771946707505E-2</v>
      </c>
      <c r="Q1081" s="178">
        <f>FME_Ranking1[[#This Row],[Pop Score (Normalized, Unweighted)]]*$O$3</f>
        <v>7.2328157920061257E-3</v>
      </c>
      <c r="R1081" s="137">
        <f>_xlfn.XLOOKUP(FME_Ranking1[[#This Row],[FME ID]],FME_Input[FME_ID],FME_Input[CRITFAC100])</f>
        <v>1</v>
      </c>
      <c r="S1081" s="230">
        <f>(FME_Ranking1[[#This Row],[Critical Facilities Raw]]/$R$2)*100</f>
        <v>4.2881646655231559E-2</v>
      </c>
      <c r="T1081" s="180">
        <f>FME_Ranking1[[#This Row],[Critical Facilities Score (Normalized, Unweighted)]]*$R$3</f>
        <v>8.5763293310463125E-3</v>
      </c>
      <c r="U1081">
        <f>_xlfn.XLOOKUP(FME_Ranking1[[#This Row],[FME ID]],FME_Input[FME_ID],FME_Input[LWC])</f>
        <v>4</v>
      </c>
      <c r="V1081" s="178">
        <f>(FME_Ranking1[[#This Row],[LWC Raw]]/$U$2)*100</f>
        <v>0.23028209556706969</v>
      </c>
      <c r="W1081" s="178">
        <f>FME_Ranking1[[#This Row],[LWC Score (Normalized, Unweighted)]]*$U$3</f>
        <v>4.6056419113413939E-2</v>
      </c>
      <c r="X1081" s="246">
        <f>_xlfn.XLOOKUP(FME_Ranking1[[#This Row],[FME ID]],FME_Input[FME_ID],FME_Input[ROADCLS])</f>
        <v>0</v>
      </c>
      <c r="Y1081" s="230">
        <f>(FME_Ranking1[[#This Row],[Closures Raw]]/$X$2)*100</f>
        <v>0</v>
      </c>
      <c r="Z1081" s="180">
        <f>FME_Ranking1[[#This Row],[Closures Score (Normalized, Unweighted)]]*$X$3</f>
        <v>0</v>
      </c>
      <c r="AA1081" s="253">
        <f>_xlfn.XLOOKUP(FME_Ranking1[[#This Row],[FME ID]],FME_Input[FME_ID],FME_Input[ROAD_MILES100])</f>
        <v>3.02040696144104</v>
      </c>
      <c r="AB1081" s="178">
        <f>(FME_Ranking1[[#This Row],[Miles Raw]]/$AA$2)*100</f>
        <v>3.9712934188740896E-2</v>
      </c>
      <c r="AC1081" s="178">
        <f>FME_Ranking1[[#This Row],[Miles Score (Normalized, Unweighted)]]*$AA$3</f>
        <v>3.9712934188740898E-3</v>
      </c>
      <c r="AD1081" s="255">
        <f>_xlfn.XLOOKUP(FME_Ranking1[[#This Row],[FME ID]],FME_Input[FME_ID],FME_Input[FARMACRE100])</f>
        <v>65.050056457519531</v>
      </c>
      <c r="AE1081" s="230">
        <f>(FME_Ranking1[[#This Row],[Ag Land Raw]]/$AD$2)*100</f>
        <v>2.6823731314903746E-3</v>
      </c>
      <c r="AF1081" s="231">
        <f>FME_Ranking1[[#This Row],[Ag Land Score (Normalized, Unweighted)]]*$AD$3</f>
        <v>1.3411865657451873E-4</v>
      </c>
      <c r="AG108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8.3301891236956263E-2</v>
      </c>
      <c r="AH1081" s="406">
        <f t="shared" si="16"/>
        <v>1125</v>
      </c>
      <c r="AI108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8.3301891236956263E-2</v>
      </c>
      <c r="AJ1081" s="257">
        <f>FME_Ranking1[[#This Row],[Addition check]]-FME_Ranking1[[#This Row],[Weighted Score Based on Normalized Reported Factors]]</f>
        <v>0</v>
      </c>
      <c r="AK1081" s="178">
        <f>_xlfn.RANK.EQ(AI1081,$AI$6:$AI$2341,0)+COUNTIF($AI$6:AI1081,AI1081)-1</f>
        <v>1125</v>
      </c>
    </row>
    <row r="1082" spans="1:37" x14ac:dyDescent="0.25">
      <c r="A1082" t="s">
        <v>4345</v>
      </c>
      <c r="B1082">
        <f>_xlfn.XLOOKUP(FME_Ranking1[[#This Row],[FME ID]],FME_Input[FME_ID],FME_Input[RFPG_NUM])</f>
        <v>3</v>
      </c>
      <c r="C1082" t="str">
        <f>_xlfn.XLOOKUP(FME_Ranking1[[#This Row],[FME ID]],FME_Input[FME_ID],FME_Input[FME_NAME])</f>
        <v>Brentwood Place-Two Worlds-Apollo East Park Village Drainage Study Update</v>
      </c>
      <c r="D1082" t="str">
        <f>_xlfn.XLOOKUP(FME_Ranking1[[#This Row],[FME ID]],FME_Input[FME_ID],FME_Input[DESCR])</f>
        <v>Area 8</v>
      </c>
      <c r="E1082" s="256">
        <f>_xlfn.XLOOKUP(FME_Ranking1[[#This Row],[FME ID]],FME_Input[FME_ID],FME_Input[FME_COST])</f>
        <v>50000</v>
      </c>
      <c r="F1082" t="str">
        <f>_xlfn.XLOOKUP(FME_Ranking1[[#This Row],[FME ID]],FME_Input[FME_ID],FME_Input[EMER_NEED])</f>
        <v>No</v>
      </c>
      <c r="G1082">
        <f>IF(FME_Ranking!F1082="Yes",100,0)</f>
        <v>0</v>
      </c>
      <c r="H1082">
        <f>FME_Ranking1[[#This Row],[Emergency Need Score (Normalized, Unweighted)]]*$F$3</f>
        <v>0</v>
      </c>
      <c r="I1082" s="246">
        <f>_xlfn.XLOOKUP(FME_Ranking1[[#This Row],[FME ID]],FME_Input[FME_ID],FME_Input[STRUCT_100])</f>
        <v>117</v>
      </c>
      <c r="J1082" s="178">
        <f>(FME_Ranking1[[#This Row],[Structures 100 Raw]]/I$2)*100</f>
        <v>6.2652615345071327E-2</v>
      </c>
      <c r="K1082" s="178">
        <f>FME_Ranking1[[#This Row],[Structures 100  Score (Normalized, Unweighted)]]*$I$3</f>
        <v>9.3978923017606995E-3</v>
      </c>
      <c r="L1082" s="246">
        <f>_xlfn.XLOOKUP(FME_Ranking1[[#This Row],[FME ID]],FME_Input[FME_ID],FME_Input[RES_STRUCT100])</f>
        <v>112</v>
      </c>
      <c r="M1082" s="230">
        <f>(FME_Ranking1[[#This Row],[Res Structures Raw]]/L$2)*100</f>
        <v>7.9330226232805889E-2</v>
      </c>
      <c r="N1082" s="180">
        <f>FME_Ranking1[[#This Row],[Res Structures Score (Normalized, Unweighted)]]*$L$3</f>
        <v>7.93302262328059E-3</v>
      </c>
      <c r="O1082" s="244">
        <f>_xlfn.XLOOKUP(FME_Ranking1[[#This Row],[FME ID]],FME_Input[FME_ID],FME_Input[POP100])</f>
        <v>471</v>
      </c>
      <c r="P1082" s="178">
        <f>(FME_Ranking1[[#This Row],[Pop Raw]]/$O$2)*100</f>
        <v>4.8218771946707505E-2</v>
      </c>
      <c r="Q1082" s="178">
        <f>FME_Ranking1[[#This Row],[Pop Score (Normalized, Unweighted)]]*$O$3</f>
        <v>7.2328157920061257E-3</v>
      </c>
      <c r="R1082" s="137">
        <f>_xlfn.XLOOKUP(FME_Ranking1[[#This Row],[FME ID]],FME_Input[FME_ID],FME_Input[CRITFAC100])</f>
        <v>1</v>
      </c>
      <c r="S1082" s="230">
        <f>(FME_Ranking1[[#This Row],[Critical Facilities Raw]]/$R$2)*100</f>
        <v>4.2881646655231559E-2</v>
      </c>
      <c r="T1082" s="180">
        <f>FME_Ranking1[[#This Row],[Critical Facilities Score (Normalized, Unweighted)]]*$R$3</f>
        <v>8.5763293310463125E-3</v>
      </c>
      <c r="U1082">
        <f>_xlfn.XLOOKUP(FME_Ranking1[[#This Row],[FME ID]],FME_Input[FME_ID],FME_Input[LWC])</f>
        <v>4</v>
      </c>
      <c r="V1082" s="178">
        <f>(FME_Ranking1[[#This Row],[LWC Raw]]/$U$2)*100</f>
        <v>0.23028209556706969</v>
      </c>
      <c r="W1082" s="178">
        <f>FME_Ranking1[[#This Row],[LWC Score (Normalized, Unweighted)]]*$U$3</f>
        <v>4.6056419113413939E-2</v>
      </c>
      <c r="X1082" s="246">
        <f>_xlfn.XLOOKUP(FME_Ranking1[[#This Row],[FME ID]],FME_Input[FME_ID],FME_Input[ROADCLS])</f>
        <v>0</v>
      </c>
      <c r="Y1082" s="230">
        <f>(FME_Ranking1[[#This Row],[Closures Raw]]/$X$2)*100</f>
        <v>0</v>
      </c>
      <c r="Z1082" s="180">
        <f>FME_Ranking1[[#This Row],[Closures Score (Normalized, Unweighted)]]*$X$3</f>
        <v>0</v>
      </c>
      <c r="AA1082" s="253">
        <f>_xlfn.XLOOKUP(FME_Ranking1[[#This Row],[FME ID]],FME_Input[FME_ID],FME_Input[ROAD_MILES100])</f>
        <v>3.02040696144104</v>
      </c>
      <c r="AB1082" s="178">
        <f>(FME_Ranking1[[#This Row],[Miles Raw]]/$AA$2)*100</f>
        <v>3.9712934188740896E-2</v>
      </c>
      <c r="AC1082" s="178">
        <f>FME_Ranking1[[#This Row],[Miles Score (Normalized, Unweighted)]]*$AA$3</f>
        <v>3.9712934188740898E-3</v>
      </c>
      <c r="AD1082" s="255">
        <f>_xlfn.XLOOKUP(FME_Ranking1[[#This Row],[FME ID]],FME_Input[FME_ID],FME_Input[FARMACRE100])</f>
        <v>65.050056457519531</v>
      </c>
      <c r="AE1082" s="230">
        <f>(FME_Ranking1[[#This Row],[Ag Land Raw]]/$AD$2)*100</f>
        <v>2.6823731314903746E-3</v>
      </c>
      <c r="AF1082" s="231">
        <f>FME_Ranking1[[#This Row],[Ag Land Score (Normalized, Unweighted)]]*$AD$3</f>
        <v>1.3411865657451873E-4</v>
      </c>
      <c r="AG108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8.3301891236956263E-2</v>
      </c>
      <c r="AH1082" s="406">
        <f t="shared" si="16"/>
        <v>1125</v>
      </c>
      <c r="AI108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8.3301891236956263E-2</v>
      </c>
      <c r="AJ1082" s="257">
        <f>FME_Ranking1[[#This Row],[Addition check]]-FME_Ranking1[[#This Row],[Weighted Score Based on Normalized Reported Factors]]</f>
        <v>0</v>
      </c>
      <c r="AK1082" s="178">
        <f>_xlfn.RANK.EQ(AI1082,$AI$6:$AI$2341,0)+COUNTIF($AI$6:AI1082,AI1082)-1</f>
        <v>1126</v>
      </c>
    </row>
    <row r="1083" spans="1:37" x14ac:dyDescent="0.25">
      <c r="A1083" t="s">
        <v>4371</v>
      </c>
      <c r="B1083">
        <f>_xlfn.XLOOKUP(FME_Ranking1[[#This Row],[FME ID]],FME_Input[FME_ID],FME_Input[RFPG_NUM])</f>
        <v>3</v>
      </c>
      <c r="C1083" t="str">
        <f>_xlfn.XLOOKUP(FME_Ranking1[[#This Row],[FME ID]],FME_Input[FME_ID],FME_Input[FME_NAME])</f>
        <v>Camelot Drainage Study Update</v>
      </c>
      <c r="D1083" t="str">
        <f>_xlfn.XLOOKUP(FME_Ranking1[[#This Row],[FME ID]],FME_Input[FME_ID],FME_Input[DESCR])</f>
        <v>Area 16</v>
      </c>
      <c r="E1083" s="256">
        <f>_xlfn.XLOOKUP(FME_Ranking1[[#This Row],[FME ID]],FME_Input[FME_ID],FME_Input[FME_COST])</f>
        <v>50000</v>
      </c>
      <c r="F1083" t="str">
        <f>_xlfn.XLOOKUP(FME_Ranking1[[#This Row],[FME ID]],FME_Input[FME_ID],FME_Input[EMER_NEED])</f>
        <v>No</v>
      </c>
      <c r="G1083">
        <f>IF(FME_Ranking!F1083="Yes",100,0)</f>
        <v>0</v>
      </c>
      <c r="H1083">
        <f>FME_Ranking1[[#This Row],[Emergency Need Score (Normalized, Unweighted)]]*$F$3</f>
        <v>0</v>
      </c>
      <c r="I1083" s="246">
        <f>_xlfn.XLOOKUP(FME_Ranking1[[#This Row],[FME ID]],FME_Input[FME_ID],FME_Input[STRUCT_100])</f>
        <v>117</v>
      </c>
      <c r="J1083" s="178">
        <f>(FME_Ranking1[[#This Row],[Structures 100 Raw]]/I$2)*100</f>
        <v>6.2652615345071327E-2</v>
      </c>
      <c r="K1083" s="178">
        <f>FME_Ranking1[[#This Row],[Structures 100  Score (Normalized, Unweighted)]]*$I$3</f>
        <v>9.3978923017606995E-3</v>
      </c>
      <c r="L1083" s="246">
        <f>_xlfn.XLOOKUP(FME_Ranking1[[#This Row],[FME ID]],FME_Input[FME_ID],FME_Input[RES_STRUCT100])</f>
        <v>112</v>
      </c>
      <c r="M1083" s="230">
        <f>(FME_Ranking1[[#This Row],[Res Structures Raw]]/L$2)*100</f>
        <v>7.9330226232805889E-2</v>
      </c>
      <c r="N1083" s="180">
        <f>FME_Ranking1[[#This Row],[Res Structures Score (Normalized, Unweighted)]]*$L$3</f>
        <v>7.93302262328059E-3</v>
      </c>
      <c r="O1083" s="244">
        <f>_xlfn.XLOOKUP(FME_Ranking1[[#This Row],[FME ID]],FME_Input[FME_ID],FME_Input[POP100])</f>
        <v>471</v>
      </c>
      <c r="P1083" s="178">
        <f>(FME_Ranking1[[#This Row],[Pop Raw]]/$O$2)*100</f>
        <v>4.8218771946707505E-2</v>
      </c>
      <c r="Q1083" s="178">
        <f>FME_Ranking1[[#This Row],[Pop Score (Normalized, Unweighted)]]*$O$3</f>
        <v>7.2328157920061257E-3</v>
      </c>
      <c r="R1083" s="137">
        <f>_xlfn.XLOOKUP(FME_Ranking1[[#This Row],[FME ID]],FME_Input[FME_ID],FME_Input[CRITFAC100])</f>
        <v>1</v>
      </c>
      <c r="S1083" s="230">
        <f>(FME_Ranking1[[#This Row],[Critical Facilities Raw]]/$R$2)*100</f>
        <v>4.2881646655231559E-2</v>
      </c>
      <c r="T1083" s="180">
        <f>FME_Ranking1[[#This Row],[Critical Facilities Score (Normalized, Unweighted)]]*$R$3</f>
        <v>8.5763293310463125E-3</v>
      </c>
      <c r="U1083">
        <f>_xlfn.XLOOKUP(FME_Ranking1[[#This Row],[FME ID]],FME_Input[FME_ID],FME_Input[LWC])</f>
        <v>4</v>
      </c>
      <c r="V1083" s="178">
        <f>(FME_Ranking1[[#This Row],[LWC Raw]]/$U$2)*100</f>
        <v>0.23028209556706969</v>
      </c>
      <c r="W1083" s="178">
        <f>FME_Ranking1[[#This Row],[LWC Score (Normalized, Unweighted)]]*$U$3</f>
        <v>4.6056419113413939E-2</v>
      </c>
      <c r="X1083" s="246">
        <f>_xlfn.XLOOKUP(FME_Ranking1[[#This Row],[FME ID]],FME_Input[FME_ID],FME_Input[ROADCLS])</f>
        <v>0</v>
      </c>
      <c r="Y1083" s="230">
        <f>(FME_Ranking1[[#This Row],[Closures Raw]]/$X$2)*100</f>
        <v>0</v>
      </c>
      <c r="Z1083" s="180">
        <f>FME_Ranking1[[#This Row],[Closures Score (Normalized, Unweighted)]]*$X$3</f>
        <v>0</v>
      </c>
      <c r="AA1083" s="253">
        <f>_xlfn.XLOOKUP(FME_Ranking1[[#This Row],[FME ID]],FME_Input[FME_ID],FME_Input[ROAD_MILES100])</f>
        <v>3.02040696144104</v>
      </c>
      <c r="AB1083" s="178">
        <f>(FME_Ranking1[[#This Row],[Miles Raw]]/$AA$2)*100</f>
        <v>3.9712934188740896E-2</v>
      </c>
      <c r="AC1083" s="178">
        <f>FME_Ranking1[[#This Row],[Miles Score (Normalized, Unweighted)]]*$AA$3</f>
        <v>3.9712934188740898E-3</v>
      </c>
      <c r="AD1083" s="255">
        <f>_xlfn.XLOOKUP(FME_Ranking1[[#This Row],[FME ID]],FME_Input[FME_ID],FME_Input[FARMACRE100])</f>
        <v>65.050056457519531</v>
      </c>
      <c r="AE1083" s="230">
        <f>(FME_Ranking1[[#This Row],[Ag Land Raw]]/$AD$2)*100</f>
        <v>2.6823731314903746E-3</v>
      </c>
      <c r="AF1083" s="231">
        <f>FME_Ranking1[[#This Row],[Ag Land Score (Normalized, Unweighted)]]*$AD$3</f>
        <v>1.3411865657451873E-4</v>
      </c>
      <c r="AG108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8.3301891236956263E-2</v>
      </c>
      <c r="AH1083" s="406">
        <f t="shared" si="16"/>
        <v>1125</v>
      </c>
      <c r="AI108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8.3301891236956263E-2</v>
      </c>
      <c r="AJ1083" s="257">
        <f>FME_Ranking1[[#This Row],[Addition check]]-FME_Ranking1[[#This Row],[Weighted Score Based on Normalized Reported Factors]]</f>
        <v>0</v>
      </c>
      <c r="AK1083" s="178">
        <f>_xlfn.RANK.EQ(AI1083,$AI$6:$AI$2341,0)+COUNTIF($AI$6:AI1083,AI1083)-1</f>
        <v>1127</v>
      </c>
    </row>
    <row r="1084" spans="1:37" x14ac:dyDescent="0.25">
      <c r="A1084" t="s">
        <v>8724</v>
      </c>
      <c r="B1084">
        <f>_xlfn.XLOOKUP(FME_Ranking1[[#This Row],[FME ID]],FME_Input[FME_ID],FME_Input[RFPG_NUM])</f>
        <v>11</v>
      </c>
      <c r="C1084" t="str">
        <f>_xlfn.XLOOKUP(FME_Ranking1[[#This Row],[FME ID]],FME_Input[FME_ID],FME_Input[FME_NAME])</f>
        <v>City of Martindale Drainage Improvements Study</v>
      </c>
      <c r="D1084" t="str">
        <f>_xlfn.XLOOKUP(FME_Ranking1[[#This Row],[FME ID]],FME_Input[FME_ID],FME_Input[DESCR])</f>
        <v>Study of solutions to upgrade undersized stormwater drains and culverts.</v>
      </c>
      <c r="E1084" s="256">
        <f>_xlfn.XLOOKUP(FME_Ranking1[[#This Row],[FME ID]],FME_Input[FME_ID],FME_Input[FME_COST])</f>
        <v>100000</v>
      </c>
      <c r="F1084" t="str">
        <f>_xlfn.XLOOKUP(FME_Ranking1[[#This Row],[FME ID]],FME_Input[FME_ID],FME_Input[EMER_NEED])</f>
        <v>No</v>
      </c>
      <c r="G1084">
        <f>IF(FME_Ranking!F1084="Yes",100,0)</f>
        <v>0</v>
      </c>
      <c r="H1084">
        <f>FME_Ranking1[[#This Row],[Emergency Need Score (Normalized, Unweighted)]]*$F$3</f>
        <v>0</v>
      </c>
      <c r="I1084" s="246">
        <f>_xlfn.XLOOKUP(FME_Ranking1[[#This Row],[FME ID]],FME_Input[FME_ID],FME_Input[STRUCT_100])</f>
        <v>196</v>
      </c>
      <c r="J1084" s="178">
        <f>(FME_Ranking1[[#This Row],[Structures 100 Raw]]/I$2)*100</f>
        <v>0.10495651801396563</v>
      </c>
      <c r="K1084" s="178">
        <f>FME_Ranking1[[#This Row],[Structures 100  Score (Normalized, Unweighted)]]*$I$3</f>
        <v>1.5743477702094843E-2</v>
      </c>
      <c r="L1084" s="246">
        <f>_xlfn.XLOOKUP(FME_Ranking1[[#This Row],[FME ID]],FME_Input[FME_ID],FME_Input[RES_STRUCT100])</f>
        <v>167</v>
      </c>
      <c r="M1084" s="230">
        <f>(FME_Ranking1[[#This Row],[Res Structures Raw]]/L$2)*100</f>
        <v>0.1182870337578445</v>
      </c>
      <c r="N1084" s="180">
        <f>FME_Ranking1[[#This Row],[Res Structures Score (Normalized, Unweighted)]]*$L$3</f>
        <v>1.182870337578445E-2</v>
      </c>
      <c r="O1084" s="244">
        <f>_xlfn.XLOOKUP(FME_Ranking1[[#This Row],[FME ID]],FME_Input[FME_ID],FME_Input[POP100])</f>
        <v>550</v>
      </c>
      <c r="P1084" s="178">
        <f>(FME_Ranking1[[#This Row],[Pop Raw]]/$O$2)*100</f>
        <v>5.6306421593819801E-2</v>
      </c>
      <c r="Q1084" s="178">
        <f>FME_Ranking1[[#This Row],[Pop Score (Normalized, Unweighted)]]*$O$3</f>
        <v>8.4459632390729705E-3</v>
      </c>
      <c r="R1084" s="137">
        <f>_xlfn.XLOOKUP(FME_Ranking1[[#This Row],[FME ID]],FME_Input[FME_ID],FME_Input[CRITFAC100])</f>
        <v>1</v>
      </c>
      <c r="S1084" s="230">
        <f>(FME_Ranking1[[#This Row],[Critical Facilities Raw]]/$R$2)*100</f>
        <v>4.2881646655231559E-2</v>
      </c>
      <c r="T1084" s="180">
        <f>FME_Ranking1[[#This Row],[Critical Facilities Score (Normalized, Unweighted)]]*$R$3</f>
        <v>8.5763293310463125E-3</v>
      </c>
      <c r="U1084">
        <f>_xlfn.XLOOKUP(FME_Ranking1[[#This Row],[FME ID]],FME_Input[FME_ID],FME_Input[LWC])</f>
        <v>3</v>
      </c>
      <c r="V1084" s="178">
        <f>(FME_Ranking1[[#This Row],[LWC Raw]]/$U$2)*100</f>
        <v>0.17271157167530224</v>
      </c>
      <c r="W1084" s="178">
        <f>FME_Ranking1[[#This Row],[LWC Score (Normalized, Unweighted)]]*$U$3</f>
        <v>3.4542314335060449E-2</v>
      </c>
      <c r="X1084" s="246">
        <f>_xlfn.XLOOKUP(FME_Ranking1[[#This Row],[FME ID]],FME_Input[FME_ID],FME_Input[ROADCLS])</f>
        <v>0</v>
      </c>
      <c r="Y1084" s="230">
        <f>(FME_Ranking1[[#This Row],[Closures Raw]]/$X$2)*100</f>
        <v>0</v>
      </c>
      <c r="Z1084" s="180">
        <f>FME_Ranking1[[#This Row],[Closures Score (Normalized, Unweighted)]]*$X$3</f>
        <v>0</v>
      </c>
      <c r="AA1084" s="253">
        <f>_xlfn.XLOOKUP(FME_Ranking1[[#This Row],[FME ID]],FME_Input[FME_ID],FME_Input[ROAD_MILES100])</f>
        <v>5.5249748229980469</v>
      </c>
      <c r="AB1084" s="178">
        <f>(FME_Ranking1[[#This Row],[Miles Raw]]/$AA$2)*100</f>
        <v>7.2643509414866927E-2</v>
      </c>
      <c r="AC1084" s="178">
        <f>FME_Ranking1[[#This Row],[Miles Score (Normalized, Unweighted)]]*$AA$3</f>
        <v>7.2643509414866934E-3</v>
      </c>
      <c r="AD1084" s="255">
        <f>_xlfn.XLOOKUP(FME_Ranking1[[#This Row],[FME ID]],FME_Input[FME_ID],FME_Input[FARMACRE100])</f>
        <v>52.737548828125</v>
      </c>
      <c r="AE1084" s="230">
        <f>(FME_Ranking1[[#This Row],[Ag Land Raw]]/$AD$2)*100</f>
        <v>2.1746604338399736E-3</v>
      </c>
      <c r="AF1084" s="231">
        <f>FME_Ranking1[[#This Row],[Ag Land Score (Normalized, Unweighted)]]*$AD$3</f>
        <v>1.0873302169199869E-4</v>
      </c>
      <c r="AG108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8.6509871946237729E-2</v>
      </c>
      <c r="AH1084" s="406">
        <f t="shared" si="16"/>
        <v>1108</v>
      </c>
      <c r="AI108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8.6509871946237729E-2</v>
      </c>
      <c r="AJ1084" s="257">
        <f>FME_Ranking1[[#This Row],[Addition check]]-FME_Ranking1[[#This Row],[Weighted Score Based on Normalized Reported Factors]]</f>
        <v>0</v>
      </c>
      <c r="AK1084" s="178">
        <f>_xlfn.RANK.EQ(AI1084,$AI$6:$AI$2341,0)+COUNTIF($AI$6:AI1084,AI1084)-1</f>
        <v>1108</v>
      </c>
    </row>
    <row r="1085" spans="1:37" x14ac:dyDescent="0.25">
      <c r="A1085" t="s">
        <v>10136</v>
      </c>
      <c r="B1085">
        <f>_xlfn.XLOOKUP(FME_Ranking1[[#This Row],[FME ID]],FME_Input[FME_ID],FME_Input[RFPG_NUM])</f>
        <v>13</v>
      </c>
      <c r="C1085" t="str">
        <f>_xlfn.XLOOKUP(FME_Ranking1[[#This Row],[FME ID]],FME_Input[FME_ID],FME_Input[FME_NAME])</f>
        <v>Las Animas Conveyance Infrastructure</v>
      </c>
      <c r="D1085" t="str">
        <f>_xlfn.XLOOKUP(FME_Ranking1[[#This Row],[FME ID]],FME_Input[FME_ID],FME_Input[DESCR])</f>
        <v>Channel improvements to system near Las Animas Creek to improve conveyance - Upsize culverts on Palacios St and S Benavides St - Improve conveyance capacity under bridges on HWY 359 and HWY 339 - Procurement of easements and rights-of-ways</v>
      </c>
      <c r="E1085" s="256">
        <f>_xlfn.XLOOKUP(FME_Ranking1[[#This Row],[FME ID]],FME_Input[FME_ID],FME_Input[FME_COST])</f>
        <v>150000</v>
      </c>
      <c r="F1085" t="str">
        <f>_xlfn.XLOOKUP(FME_Ranking1[[#This Row],[FME ID]],FME_Input[FME_ID],FME_Input[EMER_NEED])</f>
        <v>Yes</v>
      </c>
      <c r="G1085">
        <f>IF(FME_Ranking!F1085="Yes",100,0)</f>
        <v>100</v>
      </c>
      <c r="H1085">
        <f>FME_Ranking1[[#This Row],[Emergency Need Score (Normalized, Unweighted)]]*$F$3</f>
        <v>0</v>
      </c>
      <c r="I1085" s="246">
        <f>_xlfn.XLOOKUP(FME_Ranking1[[#This Row],[FME ID]],FME_Input[FME_ID],FME_Input[STRUCT_100])</f>
        <v>89</v>
      </c>
      <c r="J1085" s="178">
        <f>(FME_Ranking1[[#This Row],[Structures 100 Raw]]/I$2)*100</f>
        <v>4.7658827057361949E-2</v>
      </c>
      <c r="K1085" s="178">
        <f>FME_Ranking1[[#This Row],[Structures 100  Score (Normalized, Unweighted)]]*$I$3</f>
        <v>7.1488240586042922E-3</v>
      </c>
      <c r="L1085" s="246">
        <f>_xlfn.XLOOKUP(FME_Ranking1[[#This Row],[FME ID]],FME_Input[FME_ID],FME_Input[RES_STRUCT100])</f>
        <v>58</v>
      </c>
      <c r="M1085" s="230">
        <f>(FME_Ranking1[[#This Row],[Res Structures Raw]]/L$2)*100</f>
        <v>4.1081724299131615E-2</v>
      </c>
      <c r="N1085" s="180">
        <f>FME_Ranking1[[#This Row],[Res Structures Score (Normalized, Unweighted)]]*$L$3</f>
        <v>4.1081724299131617E-3</v>
      </c>
      <c r="O1085" s="244">
        <f>_xlfn.XLOOKUP(FME_Ranking1[[#This Row],[FME ID]],FME_Input[FME_ID],FME_Input[POP100])</f>
        <v>239</v>
      </c>
      <c r="P1085" s="178">
        <f>(FME_Ranking1[[#This Row],[Pop Raw]]/$O$2)*100</f>
        <v>2.4467699565314423E-2</v>
      </c>
      <c r="Q1085" s="178">
        <f>FME_Ranking1[[#This Row],[Pop Score (Normalized, Unweighted)]]*$O$3</f>
        <v>3.6701549347971634E-3</v>
      </c>
      <c r="R1085" s="137">
        <f>_xlfn.XLOOKUP(FME_Ranking1[[#This Row],[FME ID]],FME_Input[FME_ID],FME_Input[CRITFAC100])</f>
        <v>6</v>
      </c>
      <c r="S1085" s="230">
        <f>(FME_Ranking1[[#This Row],[Critical Facilities Raw]]/$R$2)*100</f>
        <v>0.25728987993138941</v>
      </c>
      <c r="T1085" s="180">
        <f>FME_Ranking1[[#This Row],[Critical Facilities Score (Normalized, Unweighted)]]*$R$3</f>
        <v>5.1457975986277882E-2</v>
      </c>
      <c r="U1085">
        <f>_xlfn.XLOOKUP(FME_Ranking1[[#This Row],[FME ID]],FME_Input[FME_ID],FME_Input[LWC])</f>
        <v>0</v>
      </c>
      <c r="V1085" s="178">
        <f>(FME_Ranking1[[#This Row],[LWC Raw]]/$U$2)*100</f>
        <v>0</v>
      </c>
      <c r="W1085" s="178">
        <f>FME_Ranking1[[#This Row],[LWC Score (Normalized, Unweighted)]]*$U$3</f>
        <v>0</v>
      </c>
      <c r="X1085" s="246">
        <f>_xlfn.XLOOKUP(FME_Ranking1[[#This Row],[FME ID]],FME_Input[FME_ID],FME_Input[ROADCLS])</f>
        <v>23</v>
      </c>
      <c r="Y1085" s="230">
        <f>(FME_Ranking1[[#This Row],[Closures Raw]]/$X$2)*100</f>
        <v>0.24182525496793186</v>
      </c>
      <c r="Z1085" s="180">
        <f>FME_Ranking1[[#This Row],[Closures Score (Normalized, Unweighted)]]*$X$3</f>
        <v>1.2091262748396593E-2</v>
      </c>
      <c r="AA1085" s="253">
        <f>_xlfn.XLOOKUP(FME_Ranking1[[#This Row],[FME ID]],FME_Input[FME_ID],FME_Input[ROAD_MILES100])</f>
        <v>2.5332226753234859</v>
      </c>
      <c r="AB1085" s="178">
        <f>(FME_Ranking1[[#This Row],[Miles Raw]]/$AA$2)*100</f>
        <v>3.3307334632333964E-2</v>
      </c>
      <c r="AC1085" s="178">
        <f>FME_Ranking1[[#This Row],[Miles Score (Normalized, Unweighted)]]*$AA$3</f>
        <v>3.3307334632333967E-3</v>
      </c>
      <c r="AD1085" s="255">
        <f>_xlfn.XLOOKUP(FME_Ranking1[[#This Row],[FME ID]],FME_Input[FME_ID],FME_Input[FARMACRE100])</f>
        <v>3.1969995498657231</v>
      </c>
      <c r="AE1085" s="230">
        <f>(FME_Ranking1[[#This Row],[Ag Land Raw]]/$AD$2)*100</f>
        <v>1.318299500561823E-4</v>
      </c>
      <c r="AF1085" s="231">
        <f>FME_Ranking1[[#This Row],[Ag Land Score (Normalized, Unweighted)]]*$AD$3</f>
        <v>6.5914975028091155E-6</v>
      </c>
      <c r="AG108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8.1813715118725303E-2</v>
      </c>
      <c r="AH1085" s="406">
        <f t="shared" si="16"/>
        <v>1131</v>
      </c>
      <c r="AI108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8.1813715118725303E-2</v>
      </c>
      <c r="AJ1085" s="257">
        <f>FME_Ranking1[[#This Row],[Addition check]]-FME_Ranking1[[#This Row],[Weighted Score Based on Normalized Reported Factors]]</f>
        <v>0</v>
      </c>
      <c r="AK1085" s="178">
        <f>_xlfn.RANK.EQ(AI1085,$AI$6:$AI$2341,0)+COUNTIF($AI$6:AI1085,AI1085)-1</f>
        <v>1131</v>
      </c>
    </row>
    <row r="1086" spans="1:37" x14ac:dyDescent="0.25">
      <c r="A1086" t="s">
        <v>10145</v>
      </c>
      <c r="B1086">
        <f>_xlfn.XLOOKUP(FME_Ranking1[[#This Row],[FME ID]],FME_Input[FME_ID],FME_Input[RFPG_NUM])</f>
        <v>13</v>
      </c>
      <c r="C1086" t="str">
        <f>_xlfn.XLOOKUP(FME_Ranking1[[#This Row],[FME ID]],FME_Input[FME_ID],FME_Input[FME_NAME])</f>
        <v>Benavides Main City Network</v>
      </c>
      <c r="D1086" t="str">
        <f>_xlfn.XLOOKUP(FME_Ranking1[[#This Row],[FME ID]],FME_Input[FME_ID],FME_Input[DESCR])</f>
        <v>Improvements to the Drainage System in Central Benavides</v>
      </c>
      <c r="E1086" s="256">
        <f>_xlfn.XLOOKUP(FME_Ranking1[[#This Row],[FME ID]],FME_Input[FME_ID],FME_Input[FME_COST])</f>
        <v>150000</v>
      </c>
      <c r="F1086" t="str">
        <f>_xlfn.XLOOKUP(FME_Ranking1[[#This Row],[FME ID]],FME_Input[FME_ID],FME_Input[EMER_NEED])</f>
        <v>Yes</v>
      </c>
      <c r="G1086">
        <f>IF(FME_Ranking!F1086="Yes",100,0)</f>
        <v>100</v>
      </c>
      <c r="H1086">
        <f>FME_Ranking1[[#This Row],[Emergency Need Score (Normalized, Unweighted)]]*$F$3</f>
        <v>0</v>
      </c>
      <c r="I1086" s="246">
        <f>_xlfn.XLOOKUP(FME_Ranking1[[#This Row],[FME ID]],FME_Input[FME_ID],FME_Input[STRUCT_100])</f>
        <v>89</v>
      </c>
      <c r="J1086" s="178">
        <f>(FME_Ranking1[[#This Row],[Structures 100 Raw]]/I$2)*100</f>
        <v>4.7658827057361949E-2</v>
      </c>
      <c r="K1086" s="178">
        <f>FME_Ranking1[[#This Row],[Structures 100  Score (Normalized, Unweighted)]]*$I$3</f>
        <v>7.1488240586042922E-3</v>
      </c>
      <c r="L1086" s="246">
        <f>_xlfn.XLOOKUP(FME_Ranking1[[#This Row],[FME ID]],FME_Input[FME_ID],FME_Input[RES_STRUCT100])</f>
        <v>58</v>
      </c>
      <c r="M1086" s="230">
        <f>(FME_Ranking1[[#This Row],[Res Structures Raw]]/L$2)*100</f>
        <v>4.1081724299131615E-2</v>
      </c>
      <c r="N1086" s="180">
        <f>FME_Ranking1[[#This Row],[Res Structures Score (Normalized, Unweighted)]]*$L$3</f>
        <v>4.1081724299131617E-3</v>
      </c>
      <c r="O1086" s="244">
        <f>_xlfn.XLOOKUP(FME_Ranking1[[#This Row],[FME ID]],FME_Input[FME_ID],FME_Input[POP100])</f>
        <v>239</v>
      </c>
      <c r="P1086" s="178">
        <f>(FME_Ranking1[[#This Row],[Pop Raw]]/$O$2)*100</f>
        <v>2.4467699565314423E-2</v>
      </c>
      <c r="Q1086" s="178">
        <f>FME_Ranking1[[#This Row],[Pop Score (Normalized, Unweighted)]]*$O$3</f>
        <v>3.6701549347971634E-3</v>
      </c>
      <c r="R1086" s="137">
        <f>_xlfn.XLOOKUP(FME_Ranking1[[#This Row],[FME ID]],FME_Input[FME_ID],FME_Input[CRITFAC100])</f>
        <v>6</v>
      </c>
      <c r="S1086" s="230">
        <f>(FME_Ranking1[[#This Row],[Critical Facilities Raw]]/$R$2)*100</f>
        <v>0.25728987993138941</v>
      </c>
      <c r="T1086" s="180">
        <f>FME_Ranking1[[#This Row],[Critical Facilities Score (Normalized, Unweighted)]]*$R$3</f>
        <v>5.1457975986277882E-2</v>
      </c>
      <c r="U1086">
        <f>_xlfn.XLOOKUP(FME_Ranking1[[#This Row],[FME ID]],FME_Input[FME_ID],FME_Input[LWC])</f>
        <v>0</v>
      </c>
      <c r="V1086" s="178">
        <f>(FME_Ranking1[[#This Row],[LWC Raw]]/$U$2)*100</f>
        <v>0</v>
      </c>
      <c r="W1086" s="178">
        <f>FME_Ranking1[[#This Row],[LWC Score (Normalized, Unweighted)]]*$U$3</f>
        <v>0</v>
      </c>
      <c r="X1086" s="246">
        <f>_xlfn.XLOOKUP(FME_Ranking1[[#This Row],[FME ID]],FME_Input[FME_ID],FME_Input[ROADCLS])</f>
        <v>23</v>
      </c>
      <c r="Y1086" s="230">
        <f>(FME_Ranking1[[#This Row],[Closures Raw]]/$X$2)*100</f>
        <v>0.24182525496793186</v>
      </c>
      <c r="Z1086" s="180">
        <f>FME_Ranking1[[#This Row],[Closures Score (Normalized, Unweighted)]]*$X$3</f>
        <v>1.2091262748396593E-2</v>
      </c>
      <c r="AA1086" s="253">
        <f>_xlfn.XLOOKUP(FME_Ranking1[[#This Row],[FME ID]],FME_Input[FME_ID],FME_Input[ROAD_MILES100])</f>
        <v>2.5332226753234859</v>
      </c>
      <c r="AB1086" s="178">
        <f>(FME_Ranking1[[#This Row],[Miles Raw]]/$AA$2)*100</f>
        <v>3.3307334632333964E-2</v>
      </c>
      <c r="AC1086" s="178">
        <f>FME_Ranking1[[#This Row],[Miles Score (Normalized, Unweighted)]]*$AA$3</f>
        <v>3.3307334632333967E-3</v>
      </c>
      <c r="AD1086" s="255">
        <f>_xlfn.XLOOKUP(FME_Ranking1[[#This Row],[FME ID]],FME_Input[FME_ID],FME_Input[FARMACRE100])</f>
        <v>3.1969995498657231</v>
      </c>
      <c r="AE1086" s="230">
        <f>(FME_Ranking1[[#This Row],[Ag Land Raw]]/$AD$2)*100</f>
        <v>1.318299500561823E-4</v>
      </c>
      <c r="AF1086" s="231">
        <f>FME_Ranking1[[#This Row],[Ag Land Score (Normalized, Unweighted)]]*$AD$3</f>
        <v>6.5914975028091155E-6</v>
      </c>
      <c r="AG108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8.1813715118725303E-2</v>
      </c>
      <c r="AH1086" s="406">
        <f t="shared" si="16"/>
        <v>1131</v>
      </c>
      <c r="AI108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8.1813715118725303E-2</v>
      </c>
      <c r="AJ1086" s="257">
        <f>FME_Ranking1[[#This Row],[Addition check]]-FME_Ranking1[[#This Row],[Weighted Score Based on Normalized Reported Factors]]</f>
        <v>0</v>
      </c>
      <c r="AK1086" s="178">
        <f>_xlfn.RANK.EQ(AI1086,$AI$6:$AI$2341,0)+COUNTIF($AI$6:AI1086,AI1086)-1</f>
        <v>1132</v>
      </c>
    </row>
    <row r="1087" spans="1:37" x14ac:dyDescent="0.25">
      <c r="A1087" t="s">
        <v>6308</v>
      </c>
      <c r="B1087">
        <f>_xlfn.XLOOKUP(FME_Ranking1[[#This Row],[FME ID]],FME_Input[FME_ID],FME_Input[RFPG_NUM])</f>
        <v>5</v>
      </c>
      <c r="C1087" t="str">
        <f>_xlfn.XLOOKUP(FME_Ranking1[[#This Row],[FME ID]],FME_Input[FME_ID],FME_Input[FME_NAME])</f>
        <v>Tevis Diversion</v>
      </c>
      <c r="D1087" t="str">
        <f>_xlfn.XLOOKUP(FME_Ranking1[[#This Row],[FME ID]],FME_Input[FME_ID],FME_Input[DESCR])</f>
        <v xml:space="preserve">H&amp;H study to identify alternatives for a diversion to the Neches River. </v>
      </c>
      <c r="E1087" s="256">
        <f>_xlfn.XLOOKUP(FME_Ranking1[[#This Row],[FME ID]],FME_Input[FME_ID],FME_Input[FME_COST])</f>
        <v>100000</v>
      </c>
      <c r="F1087" t="str">
        <f>_xlfn.XLOOKUP(FME_Ranking1[[#This Row],[FME ID]],FME_Input[FME_ID],FME_Input[EMER_NEED])</f>
        <v>Yes</v>
      </c>
      <c r="G1087">
        <f>IF(FME_Ranking!F1087="Yes",100,0)</f>
        <v>100</v>
      </c>
      <c r="H1087">
        <f>FME_Ranking1[[#This Row],[Emergency Need Score (Normalized, Unweighted)]]*$F$3</f>
        <v>0</v>
      </c>
      <c r="I1087" s="246">
        <f>_xlfn.XLOOKUP(FME_Ranking1[[#This Row],[FME ID]],FME_Input[FME_ID],FME_Input[STRUCT_100])</f>
        <v>300</v>
      </c>
      <c r="J1087" s="178">
        <f>(FME_Ranking1[[#This Row],[Structures 100 Raw]]/I$2)*100</f>
        <v>0.16064773165402904</v>
      </c>
      <c r="K1087" s="178">
        <f>FME_Ranking1[[#This Row],[Structures 100  Score (Normalized, Unweighted)]]*$I$3</f>
        <v>2.4097159748104356E-2</v>
      </c>
      <c r="L1087" s="246">
        <f>_xlfn.XLOOKUP(FME_Ranking1[[#This Row],[FME ID]],FME_Input[FME_ID],FME_Input[RES_STRUCT100])</f>
        <v>256</v>
      </c>
      <c r="M1087" s="230">
        <f>(FME_Ranking1[[#This Row],[Res Structures Raw]]/L$2)*100</f>
        <v>0.18132623138927059</v>
      </c>
      <c r="N1087" s="180">
        <f>FME_Ranking1[[#This Row],[Res Structures Score (Normalized, Unweighted)]]*$L$3</f>
        <v>1.8132623138927061E-2</v>
      </c>
      <c r="O1087" s="244">
        <f>_xlfn.XLOOKUP(FME_Ranking1[[#This Row],[FME ID]],FME_Input[FME_ID],FME_Input[POP100])</f>
        <v>1721</v>
      </c>
      <c r="P1087" s="178">
        <f>(FME_Ranking1[[#This Row],[Pop Raw]]/$O$2)*100</f>
        <v>0.17618791193266162</v>
      </c>
      <c r="Q1087" s="178">
        <f>FME_Ranking1[[#This Row],[Pop Score (Normalized, Unweighted)]]*$O$3</f>
        <v>2.6428186789899243E-2</v>
      </c>
      <c r="R1087" s="137">
        <f>_xlfn.XLOOKUP(FME_Ranking1[[#This Row],[FME ID]],FME_Input[FME_ID],FME_Input[CRITFAC100])</f>
        <v>1</v>
      </c>
      <c r="S1087" s="230">
        <f>(FME_Ranking1[[#This Row],[Critical Facilities Raw]]/$R$2)*100</f>
        <v>4.2881646655231559E-2</v>
      </c>
      <c r="T1087" s="180">
        <f>FME_Ranking1[[#This Row],[Critical Facilities Score (Normalized, Unweighted)]]*$R$3</f>
        <v>8.5763293310463125E-3</v>
      </c>
      <c r="U1087">
        <f>_xlfn.XLOOKUP(FME_Ranking1[[#This Row],[FME ID]],FME_Input[FME_ID],FME_Input[LWC])</f>
        <v>0</v>
      </c>
      <c r="V1087" s="178">
        <f>(FME_Ranking1[[#This Row],[LWC Raw]]/$U$2)*100</f>
        <v>0</v>
      </c>
      <c r="W1087" s="178">
        <f>FME_Ranking1[[#This Row],[LWC Score (Normalized, Unweighted)]]*$U$3</f>
        <v>0</v>
      </c>
      <c r="X1087" s="246">
        <f>_xlfn.XLOOKUP(FME_Ranking1[[#This Row],[FME ID]],FME_Input[FME_ID],FME_Input[ROADCLS])</f>
        <v>0</v>
      </c>
      <c r="Y1087" s="230">
        <f>(FME_Ranking1[[#This Row],[Closures Raw]]/$X$2)*100</f>
        <v>0</v>
      </c>
      <c r="Z1087" s="180">
        <f>FME_Ranking1[[#This Row],[Closures Score (Normalized, Unweighted)]]*$X$3</f>
        <v>0</v>
      </c>
      <c r="AA1087" s="253">
        <f>_xlfn.XLOOKUP(FME_Ranking1[[#This Row],[FME ID]],FME_Input[FME_ID],FME_Input[ROAD_MILES100])</f>
        <v>8.7262430191040039</v>
      </c>
      <c r="AB1087" s="178">
        <f>(FME_Ranking1[[#This Row],[Miles Raw]]/$AA$2)*100</f>
        <v>0.11473444444959829</v>
      </c>
      <c r="AC1087" s="178">
        <f>FME_Ranking1[[#This Row],[Miles Score (Normalized, Unweighted)]]*$AA$3</f>
        <v>1.147344444495983E-2</v>
      </c>
      <c r="AD1087" s="255">
        <f>_xlfn.XLOOKUP(FME_Ranking1[[#This Row],[FME ID]],FME_Input[FME_ID],FME_Input[FARMACRE100])</f>
        <v>0</v>
      </c>
      <c r="AE1087" s="230">
        <f>(FME_Ranking1[[#This Row],[Ag Land Raw]]/$AD$2)*100</f>
        <v>0</v>
      </c>
      <c r="AF1087" s="231">
        <f>FME_Ranking1[[#This Row],[Ag Land Score (Normalized, Unweighted)]]*$AD$3</f>
        <v>0</v>
      </c>
      <c r="AG108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8.8707743452936805E-2</v>
      </c>
      <c r="AH1087" s="406">
        <f t="shared" si="16"/>
        <v>1093</v>
      </c>
      <c r="AI108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8.8707743452936805E-2</v>
      </c>
      <c r="AJ1087" s="257">
        <f>FME_Ranking1[[#This Row],[Addition check]]-FME_Ranking1[[#This Row],[Weighted Score Based on Normalized Reported Factors]]</f>
        <v>0</v>
      </c>
      <c r="AK1087" s="178">
        <f>_xlfn.RANK.EQ(AI1087,$AI$6:$AI$2341,0)+COUNTIF($AI$6:AI1087,AI1087)-1</f>
        <v>1093</v>
      </c>
    </row>
    <row r="1088" spans="1:37" x14ac:dyDescent="0.25">
      <c r="A1088" t="s">
        <v>6219</v>
      </c>
      <c r="B1088">
        <f>_xlfn.XLOOKUP(FME_Ranking1[[#This Row],[FME ID]],FME_Input[FME_ID],FME_Input[RFPG_NUM])</f>
        <v>5</v>
      </c>
      <c r="C1088" t="str">
        <f>_xlfn.XLOOKUP(FME_Ranking1[[#This Row],[FME ID]],FME_Input[FME_ID],FME_Input[FME_NAME])</f>
        <v>City of Silsbee Master Drainage Plan</v>
      </c>
      <c r="D1088"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1088" s="256">
        <f>_xlfn.XLOOKUP(FME_Ranking1[[#This Row],[FME ID]],FME_Input[FME_ID],FME_Input[FME_COST])</f>
        <v>320000</v>
      </c>
      <c r="F1088" t="str">
        <f>_xlfn.XLOOKUP(FME_Ranking1[[#This Row],[FME ID]],FME_Input[FME_ID],FME_Input[EMER_NEED])</f>
        <v>Yes</v>
      </c>
      <c r="G1088">
        <f>IF(FME_Ranking!F1088="Yes",100,0)</f>
        <v>100</v>
      </c>
      <c r="H1088">
        <f>FME_Ranking1[[#This Row],[Emergency Need Score (Normalized, Unweighted)]]*$F$3</f>
        <v>0</v>
      </c>
      <c r="I1088" s="246">
        <f>_xlfn.XLOOKUP(FME_Ranking1[[#This Row],[FME ID]],FME_Input[FME_ID],FME_Input[STRUCT_100])</f>
        <v>88</v>
      </c>
      <c r="J1088" s="178">
        <f>(FME_Ranking1[[#This Row],[Structures 100 Raw]]/I$2)*100</f>
        <v>4.7123334618515186E-2</v>
      </c>
      <c r="K1088" s="178">
        <f>FME_Ranking1[[#This Row],[Structures 100  Score (Normalized, Unweighted)]]*$I$3</f>
        <v>7.0685001927772778E-3</v>
      </c>
      <c r="L1088" s="246">
        <f>_xlfn.XLOOKUP(FME_Ranking1[[#This Row],[FME ID]],FME_Input[FME_ID],FME_Input[RES_STRUCT100])</f>
        <v>68</v>
      </c>
      <c r="M1088" s="230">
        <f>(FME_Ranking1[[#This Row],[Res Structures Raw]]/L$2)*100</f>
        <v>4.8164780212774996E-2</v>
      </c>
      <c r="N1088" s="180">
        <f>FME_Ranking1[[#This Row],[Res Structures Score (Normalized, Unweighted)]]*$L$3</f>
        <v>4.8164780212774996E-3</v>
      </c>
      <c r="O1088" s="244">
        <f>_xlfn.XLOOKUP(FME_Ranking1[[#This Row],[FME ID]],FME_Input[FME_ID],FME_Input[POP100])</f>
        <v>778</v>
      </c>
      <c r="P1088" s="178">
        <f>(FME_Ranking1[[#This Row],[Pop Raw]]/$O$2)*100</f>
        <v>7.9647992727257838E-2</v>
      </c>
      <c r="Q1088" s="178">
        <f>FME_Ranking1[[#This Row],[Pop Score (Normalized, Unweighted)]]*$O$3</f>
        <v>1.1947198909088675E-2</v>
      </c>
      <c r="R1088" s="137">
        <f>_xlfn.XLOOKUP(FME_Ranking1[[#This Row],[FME ID]],FME_Input[FME_ID],FME_Input[CRITFAC100])</f>
        <v>2</v>
      </c>
      <c r="S1088" s="230">
        <f>(FME_Ranking1[[#This Row],[Critical Facilities Raw]]/$R$2)*100</f>
        <v>8.5763293310463118E-2</v>
      </c>
      <c r="T1088" s="180">
        <f>FME_Ranking1[[#This Row],[Critical Facilities Score (Normalized, Unweighted)]]*$R$3</f>
        <v>1.7152658662092625E-2</v>
      </c>
      <c r="U1088">
        <f>_xlfn.XLOOKUP(FME_Ranking1[[#This Row],[FME ID]],FME_Input[FME_ID],FME_Input[LWC])</f>
        <v>3</v>
      </c>
      <c r="V1088" s="178">
        <f>(FME_Ranking1[[#This Row],[LWC Raw]]/$U$2)*100</f>
        <v>0.17271157167530224</v>
      </c>
      <c r="W1088" s="178">
        <f>FME_Ranking1[[#This Row],[LWC Score (Normalized, Unweighted)]]*$U$3</f>
        <v>3.4542314335060449E-2</v>
      </c>
      <c r="X1088" s="246">
        <f>_xlfn.XLOOKUP(FME_Ranking1[[#This Row],[FME ID]],FME_Input[FME_ID],FME_Input[ROADCLS])</f>
        <v>3</v>
      </c>
      <c r="Y1088" s="230">
        <f>(FME_Ranking1[[#This Row],[Closures Raw]]/$X$2)*100</f>
        <v>3.1542424561034593E-2</v>
      </c>
      <c r="Z1088" s="180">
        <f>FME_Ranking1[[#This Row],[Closures Score (Normalized, Unweighted)]]*$X$3</f>
        <v>1.5771212280517297E-3</v>
      </c>
      <c r="AA1088" s="253">
        <f>_xlfn.XLOOKUP(FME_Ranking1[[#This Row],[FME ID]],FME_Input[FME_ID],FME_Input[ROAD_MILES100])</f>
        <v>2.2304811477661128</v>
      </c>
      <c r="AB1088" s="178">
        <f>(FME_Ranking1[[#This Row],[Miles Raw]]/$AA$2)*100</f>
        <v>2.9326826537375537E-2</v>
      </c>
      <c r="AC1088" s="178">
        <f>FME_Ranking1[[#This Row],[Miles Score (Normalized, Unweighted)]]*$AA$3</f>
        <v>2.9326826537375539E-3</v>
      </c>
      <c r="AD1088" s="255">
        <f>_xlfn.XLOOKUP(FME_Ranking1[[#This Row],[FME ID]],FME_Input[FME_ID],FME_Input[FARMACRE100])</f>
        <v>1.210620522499084</v>
      </c>
      <c r="AE1088" s="230">
        <f>(FME_Ranking1[[#This Row],[Ag Land Raw]]/$AD$2)*100</f>
        <v>4.9920571000626742E-5</v>
      </c>
      <c r="AF1088" s="231">
        <f>FME_Ranking1[[#This Row],[Ag Land Score (Normalized, Unweighted)]]*$AD$3</f>
        <v>2.4960285500313372E-6</v>
      </c>
      <c r="AG108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8.0039450030635853E-2</v>
      </c>
      <c r="AH1088" s="406">
        <f t="shared" si="16"/>
        <v>1136</v>
      </c>
      <c r="AI108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8.0039450030635853E-2</v>
      </c>
      <c r="AJ1088" s="257">
        <f>FME_Ranking1[[#This Row],[Addition check]]-FME_Ranking1[[#This Row],[Weighted Score Based on Normalized Reported Factors]]</f>
        <v>0</v>
      </c>
      <c r="AK1088" s="178">
        <f>_xlfn.RANK.EQ(AI1088,$AI$6:$AI$2341,0)+COUNTIF($AI$6:AI1088,AI1088)-1</f>
        <v>1136</v>
      </c>
    </row>
    <row r="1089" spans="1:37" x14ac:dyDescent="0.25">
      <c r="A1089" t="s">
        <v>502</v>
      </c>
      <c r="B1089">
        <f>_xlfn.XLOOKUP(FME_Ranking1[[#This Row],[FME ID]],FME_Input[FME_ID],FME_Input[RFPG_NUM])</f>
        <v>10</v>
      </c>
      <c r="C1089" t="str">
        <f>_xlfn.XLOOKUP(FME_Ranking1[[#This Row],[FME ID]],FME_Input[FME_ID],FME_Input[FME_NAME])</f>
        <v>Community Evacuation Plan</v>
      </c>
      <c r="D1089" t="str">
        <f>_xlfn.XLOOKUP(FME_Ranking1[[#This Row],[FME ID]],FME_Input[FME_ID],FME_Input[DESCR])</f>
        <v>Community Evacuation Plan</v>
      </c>
      <c r="E1089" s="256">
        <f>_xlfn.XLOOKUP(FME_Ranking1[[#This Row],[FME ID]],FME_Input[FME_ID],FME_Input[FME_COST])</f>
        <v>25000</v>
      </c>
      <c r="F1089" t="str">
        <f>_xlfn.XLOOKUP(FME_Ranking1[[#This Row],[FME ID]],FME_Input[FME_ID],FME_Input[EMER_NEED])</f>
        <v>No</v>
      </c>
      <c r="G1089">
        <f>IF(FME_Ranking!F1089="Yes",100,0)</f>
        <v>0</v>
      </c>
      <c r="H1089">
        <f>FME_Ranking1[[#This Row],[Emergency Need Score (Normalized, Unweighted)]]*$F$3</f>
        <v>0</v>
      </c>
      <c r="I1089" s="246">
        <f>_xlfn.XLOOKUP(FME_Ranking1[[#This Row],[FME ID]],FME_Input[FME_ID],FME_Input[STRUCT_100])</f>
        <v>321</v>
      </c>
      <c r="J1089" s="178">
        <f>(FME_Ranking1[[#This Row],[Structures 100 Raw]]/I$2)*100</f>
        <v>0.17189307286981106</v>
      </c>
      <c r="K1089" s="178">
        <f>FME_Ranking1[[#This Row],[Structures 100  Score (Normalized, Unweighted)]]*$I$3</f>
        <v>2.578396093047166E-2</v>
      </c>
      <c r="L1089" s="246">
        <f>_xlfn.XLOOKUP(FME_Ranking1[[#This Row],[FME ID]],FME_Input[FME_ID],FME_Input[RES_STRUCT100])</f>
        <v>255</v>
      </c>
      <c r="M1089" s="230">
        <f>(FME_Ranking1[[#This Row],[Res Structures Raw]]/L$2)*100</f>
        <v>0.18061792579790625</v>
      </c>
      <c r="N1089" s="180">
        <f>FME_Ranking1[[#This Row],[Res Structures Score (Normalized, Unweighted)]]*$L$3</f>
        <v>1.8061792579790625E-2</v>
      </c>
      <c r="O1089" s="244">
        <f>_xlfn.XLOOKUP(FME_Ranking1[[#This Row],[FME ID]],FME_Input[FME_ID],FME_Input[POP100])</f>
        <v>562</v>
      </c>
      <c r="P1089" s="178">
        <f>(FME_Ranking1[[#This Row],[Pop Raw]]/$O$2)*100</f>
        <v>5.7534925337684964E-2</v>
      </c>
      <c r="Q1089" s="178">
        <f>FME_Ranking1[[#This Row],[Pop Score (Normalized, Unweighted)]]*$O$3</f>
        <v>8.6302388006527439E-3</v>
      </c>
      <c r="R1089" s="137">
        <f>_xlfn.XLOOKUP(FME_Ranking1[[#This Row],[FME ID]],FME_Input[FME_ID],FME_Input[CRITFAC100])</f>
        <v>0</v>
      </c>
      <c r="S1089" s="230">
        <f>(FME_Ranking1[[#This Row],[Critical Facilities Raw]]/$R$2)*100</f>
        <v>0</v>
      </c>
      <c r="T1089" s="180">
        <f>FME_Ranking1[[#This Row],[Critical Facilities Score (Normalized, Unweighted)]]*$R$3</f>
        <v>0</v>
      </c>
      <c r="U1089">
        <f>_xlfn.XLOOKUP(FME_Ranking1[[#This Row],[FME ID]],FME_Input[FME_ID],FME_Input[LWC])</f>
        <v>2</v>
      </c>
      <c r="V1089" s="178">
        <f>(FME_Ranking1[[#This Row],[LWC Raw]]/$U$2)*100</f>
        <v>0.11514104778353484</v>
      </c>
      <c r="W1089" s="178">
        <f>FME_Ranking1[[#This Row],[LWC Score (Normalized, Unweighted)]]*$U$3</f>
        <v>2.302820955670697E-2</v>
      </c>
      <c r="X1089" s="246">
        <f>_xlfn.XLOOKUP(FME_Ranking1[[#This Row],[FME ID]],FME_Input[FME_ID],FME_Input[ROADCLS])</f>
        <v>0</v>
      </c>
      <c r="Y1089" s="230">
        <f>(FME_Ranking1[[#This Row],[Closures Raw]]/$X$2)*100</f>
        <v>0</v>
      </c>
      <c r="Z1089" s="180">
        <f>FME_Ranking1[[#This Row],[Closures Score (Normalized, Unweighted)]]*$X$3</f>
        <v>0</v>
      </c>
      <c r="AA1089" s="253">
        <f>_xlfn.XLOOKUP(FME_Ranking1[[#This Row],[FME ID]],FME_Input[FME_ID],FME_Input[ROAD_MILES100])</f>
        <v>2.476535320281982</v>
      </c>
      <c r="AB1089" s="178">
        <f>(FME_Ranking1[[#This Row],[Miles Raw]]/$AA$2)*100</f>
        <v>3.2561997587082628E-2</v>
      </c>
      <c r="AC1089" s="178">
        <f>FME_Ranking1[[#This Row],[Miles Score (Normalized, Unweighted)]]*$AA$3</f>
        <v>3.2561997587082629E-3</v>
      </c>
      <c r="AD1089" s="255">
        <f>_xlfn.XLOOKUP(FME_Ranking1[[#This Row],[FME ID]],FME_Input[FME_ID],FME_Input[FARMACRE100])</f>
        <v>422.68572998046881</v>
      </c>
      <c r="AE1089" s="230">
        <f>(FME_Ranking1[[#This Row],[Ag Land Raw]]/$AD$2)*100</f>
        <v>1.7429667350164799E-2</v>
      </c>
      <c r="AF1089" s="231">
        <f>FME_Ranking1[[#This Row],[Ag Land Score (Normalized, Unweighted)]]*$AD$3</f>
        <v>8.7148336750824003E-4</v>
      </c>
      <c r="AG108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7.9631884993838498E-2</v>
      </c>
      <c r="AH1089" s="406">
        <f t="shared" si="16"/>
        <v>1137</v>
      </c>
      <c r="AI108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7.9631884993838498E-2</v>
      </c>
      <c r="AJ1089" s="257">
        <f>FME_Ranking1[[#This Row],[Addition check]]-FME_Ranking1[[#This Row],[Weighted Score Based on Normalized Reported Factors]]</f>
        <v>0</v>
      </c>
      <c r="AK1089" s="178">
        <f>_xlfn.RANK.EQ(AI1089,$AI$6:$AI$2341,0)+COUNTIF($AI$6:AI1089,AI1089)-1</f>
        <v>1137</v>
      </c>
    </row>
    <row r="1090" spans="1:37" x14ac:dyDescent="0.25">
      <c r="A1090" t="s">
        <v>4750</v>
      </c>
      <c r="B1090">
        <f>_xlfn.XLOOKUP(FME_Ranking1[[#This Row],[FME ID]],FME_Input[FME_ID],FME_Input[RFPG_NUM])</f>
        <v>3</v>
      </c>
      <c r="C1090" t="str">
        <f>_xlfn.XLOOKUP(FME_Ranking1[[#This Row],[FME ID]],FME_Input[FME_ID],FME_Input[FME_NAME])</f>
        <v>Parker Rd - Hardrock Rd</v>
      </c>
      <c r="D1090" t="str">
        <f>_xlfn.XLOOKUP(FME_Ranking1[[#This Row],[FME ID]],FME_Input[FME_ID],FME_Input[DESCR])</f>
        <v>Study update - Storm Drain Improvements; Estimated construction cost of $5,760,800</v>
      </c>
      <c r="E1090" s="256">
        <f>_xlfn.XLOOKUP(FME_Ranking1[[#This Row],[FME ID]],FME_Input[FME_ID],FME_Input[FME_COST])</f>
        <v>288000</v>
      </c>
      <c r="F1090" t="str">
        <f>_xlfn.XLOOKUP(FME_Ranking1[[#This Row],[FME ID]],FME_Input[FME_ID],FME_Input[EMER_NEED])</f>
        <v>No</v>
      </c>
      <c r="G1090">
        <f>IF(FME_Ranking!F1090="Yes",100,0)</f>
        <v>0</v>
      </c>
      <c r="H1090">
        <f>FME_Ranking1[[#This Row],[Emergency Need Score (Normalized, Unweighted)]]*$F$3</f>
        <v>0</v>
      </c>
      <c r="I1090" s="246">
        <f>_xlfn.XLOOKUP(FME_Ranking1[[#This Row],[FME ID]],FME_Input[FME_ID],FME_Input[STRUCT_100])</f>
        <v>165</v>
      </c>
      <c r="J1090" s="178">
        <f>(FME_Ranking1[[#This Row],[Structures 100 Raw]]/I$2)*100</f>
        <v>8.8356252409715966E-2</v>
      </c>
      <c r="K1090" s="178">
        <f>FME_Ranking1[[#This Row],[Structures 100  Score (Normalized, Unweighted)]]*$I$3</f>
        <v>1.3253437861457395E-2</v>
      </c>
      <c r="L1090" s="246">
        <f>_xlfn.XLOOKUP(FME_Ranking1[[#This Row],[FME ID]],FME_Input[FME_ID],FME_Input[RES_STRUCT100])</f>
        <v>156</v>
      </c>
      <c r="M1090" s="230">
        <f>(FME_Ranking1[[#This Row],[Res Structures Raw]]/L$2)*100</f>
        <v>0.11049567225283677</v>
      </c>
      <c r="N1090" s="180">
        <f>FME_Ranking1[[#This Row],[Res Structures Score (Normalized, Unweighted)]]*$L$3</f>
        <v>1.1049567225283677E-2</v>
      </c>
      <c r="O1090" s="244">
        <f>_xlfn.XLOOKUP(FME_Ranking1[[#This Row],[FME ID]],FME_Input[FME_ID],FME_Input[POP100])</f>
        <v>2782</v>
      </c>
      <c r="P1090" s="178">
        <f>(FME_Ranking1[[#This Row],[Pop Raw]]/$O$2)*100</f>
        <v>0.28480811795273947</v>
      </c>
      <c r="Q1090" s="178">
        <f>FME_Ranking1[[#This Row],[Pop Score (Normalized, Unweighted)]]*$O$3</f>
        <v>4.2721217692910922E-2</v>
      </c>
      <c r="R1090" s="137">
        <f>_xlfn.XLOOKUP(FME_Ranking1[[#This Row],[FME ID]],FME_Input[FME_ID],FME_Input[CRITFAC100])</f>
        <v>1</v>
      </c>
      <c r="S1090" s="230">
        <f>(FME_Ranking1[[#This Row],[Critical Facilities Raw]]/$R$2)*100</f>
        <v>4.2881646655231559E-2</v>
      </c>
      <c r="T1090" s="180">
        <f>FME_Ranking1[[#This Row],[Critical Facilities Score (Normalized, Unweighted)]]*$R$3</f>
        <v>8.5763293310463125E-3</v>
      </c>
      <c r="U1090">
        <f>_xlfn.XLOOKUP(FME_Ranking1[[#This Row],[FME ID]],FME_Input[FME_ID],FME_Input[LWC])</f>
        <v>0</v>
      </c>
      <c r="V1090" s="178">
        <f>(FME_Ranking1[[#This Row],[LWC Raw]]/$U$2)*100</f>
        <v>0</v>
      </c>
      <c r="W1090" s="178">
        <f>FME_Ranking1[[#This Row],[LWC Score (Normalized, Unweighted)]]*$U$3</f>
        <v>0</v>
      </c>
      <c r="X1090" s="246">
        <f>_xlfn.XLOOKUP(FME_Ranking1[[#This Row],[FME ID]],FME_Input[FME_ID],FME_Input[ROADCLS])</f>
        <v>0</v>
      </c>
      <c r="Y1090" s="230">
        <f>(FME_Ranking1[[#This Row],[Closures Raw]]/$X$2)*100</f>
        <v>0</v>
      </c>
      <c r="Z1090" s="180">
        <f>FME_Ranking1[[#This Row],[Closures Score (Normalized, Unweighted)]]*$X$3</f>
        <v>0</v>
      </c>
      <c r="AA1090" s="253">
        <f>_xlfn.XLOOKUP(FME_Ranking1[[#This Row],[FME ID]],FME_Input[FME_ID],FME_Input[ROAD_MILES100])</f>
        <v>5.6545901298522949</v>
      </c>
      <c r="AB1090" s="178">
        <f>(FME_Ranking1[[#This Row],[Miles Raw]]/$AA$2)*100</f>
        <v>7.4347718224033618E-2</v>
      </c>
      <c r="AC1090" s="178">
        <f>FME_Ranking1[[#This Row],[Miles Score (Normalized, Unweighted)]]*$AA$3</f>
        <v>7.4347718224033622E-3</v>
      </c>
      <c r="AD1090" s="255">
        <f>_xlfn.XLOOKUP(FME_Ranking1[[#This Row],[FME ID]],FME_Input[FME_ID],FME_Input[FARMACRE100])</f>
        <v>265.25750732421881</v>
      </c>
      <c r="AE1090" s="230">
        <f>(FME_Ranking1[[#This Row],[Ag Land Raw]]/$AD$2)*100</f>
        <v>1.0938032175840594E-2</v>
      </c>
      <c r="AF1090" s="231">
        <f>FME_Ranking1[[#This Row],[Ag Land Score (Normalized, Unweighted)]]*$AD$3</f>
        <v>5.4690160879202973E-4</v>
      </c>
      <c r="AG109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8.3582225541893693E-2</v>
      </c>
      <c r="AH1090" s="406">
        <f t="shared" si="16"/>
        <v>1123</v>
      </c>
      <c r="AI109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8.3582225541893693E-2</v>
      </c>
      <c r="AJ1090" s="257">
        <f>FME_Ranking1[[#This Row],[Addition check]]-FME_Ranking1[[#This Row],[Weighted Score Based on Normalized Reported Factors]]</f>
        <v>0</v>
      </c>
      <c r="AK1090" s="178">
        <f>_xlfn.RANK.EQ(AI1090,$AI$6:$AI$2341,0)+COUNTIF($AI$6:AI1090,AI1090)-1</f>
        <v>1123</v>
      </c>
    </row>
    <row r="1091" spans="1:37" x14ac:dyDescent="0.25">
      <c r="A1091" t="s">
        <v>5403</v>
      </c>
      <c r="B1091">
        <f>_xlfn.XLOOKUP(FME_Ranking1[[#This Row],[FME ID]],FME_Input[FME_ID],FME_Input[RFPG_NUM])</f>
        <v>3</v>
      </c>
      <c r="C1091" t="str">
        <f>_xlfn.XLOOKUP(FME_Ranking1[[#This Row],[FME ID]],FME_Input[FME_ID],FME_Input[FME_NAME])</f>
        <v>Shady Grove Rd</v>
      </c>
      <c r="D1091" t="str">
        <f>_xlfn.XLOOKUP(FME_Ranking1[[#This Row],[FME ID]],FME_Input[FME_ID],FME_Input[DESCR])</f>
        <v>Study update - Storm Drain Improvements; Estimated construction cost of $6,737,200</v>
      </c>
      <c r="E1091" s="256">
        <f>_xlfn.XLOOKUP(FME_Ranking1[[#This Row],[FME ID]],FME_Input[FME_ID],FME_Input[FME_COST])</f>
        <v>337000</v>
      </c>
      <c r="F1091" t="str">
        <f>_xlfn.XLOOKUP(FME_Ranking1[[#This Row],[FME ID]],FME_Input[FME_ID],FME_Input[EMER_NEED])</f>
        <v>No</v>
      </c>
      <c r="G1091">
        <f>IF(FME_Ranking!F1091="Yes",100,0)</f>
        <v>0</v>
      </c>
      <c r="H1091">
        <f>FME_Ranking1[[#This Row],[Emergency Need Score (Normalized, Unweighted)]]*$F$3</f>
        <v>0</v>
      </c>
      <c r="I1091" s="246">
        <f>_xlfn.XLOOKUP(FME_Ranking1[[#This Row],[FME ID]],FME_Input[FME_ID],FME_Input[STRUCT_100])</f>
        <v>165</v>
      </c>
      <c r="J1091" s="178">
        <f>(FME_Ranking1[[#This Row],[Structures 100 Raw]]/I$2)*100</f>
        <v>8.8356252409715966E-2</v>
      </c>
      <c r="K1091" s="178">
        <f>FME_Ranking1[[#This Row],[Structures 100  Score (Normalized, Unweighted)]]*$I$3</f>
        <v>1.3253437861457395E-2</v>
      </c>
      <c r="L1091" s="246">
        <f>_xlfn.XLOOKUP(FME_Ranking1[[#This Row],[FME ID]],FME_Input[FME_ID],FME_Input[RES_STRUCT100])</f>
        <v>156</v>
      </c>
      <c r="M1091" s="230">
        <f>(FME_Ranking1[[#This Row],[Res Structures Raw]]/L$2)*100</f>
        <v>0.11049567225283677</v>
      </c>
      <c r="N1091" s="180">
        <f>FME_Ranking1[[#This Row],[Res Structures Score (Normalized, Unweighted)]]*$L$3</f>
        <v>1.1049567225283677E-2</v>
      </c>
      <c r="O1091" s="244">
        <f>_xlfn.XLOOKUP(FME_Ranking1[[#This Row],[FME ID]],FME_Input[FME_ID],FME_Input[POP100])</f>
        <v>2782</v>
      </c>
      <c r="P1091" s="178">
        <f>(FME_Ranking1[[#This Row],[Pop Raw]]/$O$2)*100</f>
        <v>0.28480811795273947</v>
      </c>
      <c r="Q1091" s="178">
        <f>FME_Ranking1[[#This Row],[Pop Score (Normalized, Unweighted)]]*$O$3</f>
        <v>4.2721217692910922E-2</v>
      </c>
      <c r="R1091" s="137">
        <f>_xlfn.XLOOKUP(FME_Ranking1[[#This Row],[FME ID]],FME_Input[FME_ID],FME_Input[CRITFAC100])</f>
        <v>1</v>
      </c>
      <c r="S1091" s="230">
        <f>(FME_Ranking1[[#This Row],[Critical Facilities Raw]]/$R$2)*100</f>
        <v>4.2881646655231559E-2</v>
      </c>
      <c r="T1091" s="180">
        <f>FME_Ranking1[[#This Row],[Critical Facilities Score (Normalized, Unweighted)]]*$R$3</f>
        <v>8.5763293310463125E-3</v>
      </c>
      <c r="U1091">
        <f>_xlfn.XLOOKUP(FME_Ranking1[[#This Row],[FME ID]],FME_Input[FME_ID],FME_Input[LWC])</f>
        <v>0</v>
      </c>
      <c r="V1091" s="178">
        <f>(FME_Ranking1[[#This Row],[LWC Raw]]/$U$2)*100</f>
        <v>0</v>
      </c>
      <c r="W1091" s="178">
        <f>FME_Ranking1[[#This Row],[LWC Score (Normalized, Unweighted)]]*$U$3</f>
        <v>0</v>
      </c>
      <c r="X1091" s="246">
        <f>_xlfn.XLOOKUP(FME_Ranking1[[#This Row],[FME ID]],FME_Input[FME_ID],FME_Input[ROADCLS])</f>
        <v>0</v>
      </c>
      <c r="Y1091" s="230">
        <f>(FME_Ranking1[[#This Row],[Closures Raw]]/$X$2)*100</f>
        <v>0</v>
      </c>
      <c r="Z1091" s="180">
        <f>FME_Ranking1[[#This Row],[Closures Score (Normalized, Unweighted)]]*$X$3</f>
        <v>0</v>
      </c>
      <c r="AA1091" s="253">
        <f>_xlfn.XLOOKUP(FME_Ranking1[[#This Row],[FME ID]],FME_Input[FME_ID],FME_Input[ROAD_MILES100])</f>
        <v>5.6545901298522949</v>
      </c>
      <c r="AB1091" s="178">
        <f>(FME_Ranking1[[#This Row],[Miles Raw]]/$AA$2)*100</f>
        <v>7.4347718224033618E-2</v>
      </c>
      <c r="AC1091" s="178">
        <f>FME_Ranking1[[#This Row],[Miles Score (Normalized, Unweighted)]]*$AA$3</f>
        <v>7.4347718224033622E-3</v>
      </c>
      <c r="AD1091" s="255">
        <f>_xlfn.XLOOKUP(FME_Ranking1[[#This Row],[FME ID]],FME_Input[FME_ID],FME_Input[FARMACRE100])</f>
        <v>265.25750732421881</v>
      </c>
      <c r="AE1091" s="230">
        <f>(FME_Ranking1[[#This Row],[Ag Land Raw]]/$AD$2)*100</f>
        <v>1.0938032175840594E-2</v>
      </c>
      <c r="AF1091" s="231">
        <f>FME_Ranking1[[#This Row],[Ag Land Score (Normalized, Unweighted)]]*$AD$3</f>
        <v>5.4690160879202973E-4</v>
      </c>
      <c r="AG109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8.3582225541893693E-2</v>
      </c>
      <c r="AH1091" s="406">
        <f t="shared" si="16"/>
        <v>1123</v>
      </c>
      <c r="AI109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8.3582225541893693E-2</v>
      </c>
      <c r="AJ1091" s="257">
        <f>FME_Ranking1[[#This Row],[Addition check]]-FME_Ranking1[[#This Row],[Weighted Score Based on Normalized Reported Factors]]</f>
        <v>0</v>
      </c>
      <c r="AK1091" s="178">
        <f>_xlfn.RANK.EQ(AI1091,$AI$6:$AI$2341,0)+COUNTIF($AI$6:AI1091,AI1091)-1</f>
        <v>1124</v>
      </c>
    </row>
    <row r="1092" spans="1:37" x14ac:dyDescent="0.25">
      <c r="A1092" t="s">
        <v>7643</v>
      </c>
      <c r="B1092">
        <f>_xlfn.XLOOKUP(FME_Ranking1[[#This Row],[FME ID]],FME_Input[FME_ID],FME_Input[RFPG_NUM])</f>
        <v>8</v>
      </c>
      <c r="C1092" t="str">
        <f>_xlfn.XLOOKUP(FME_Ranking1[[#This Row],[FME ID]],FME_Input[FME_ID],FME_Input[FME_NAME])</f>
        <v>Lynndale Acres Ph 2: Old Hearne and McHaney Street</v>
      </c>
      <c r="D1092" t="str">
        <f>_xlfn.XLOOKUP(FME_Ranking1[[#This Row],[FME ID]],FME_Input[FME_ID],FME_Input[DESCR])</f>
        <v>A study of the drainage area is needed to assess and propose improvements to reduce flooding in the area.  As part of this study, alternatives should be recommended.</v>
      </c>
      <c r="E1092" s="256">
        <f>_xlfn.XLOOKUP(FME_Ranking1[[#This Row],[FME ID]],FME_Input[FME_ID],FME_Input[FME_COST])</f>
        <v>73000</v>
      </c>
      <c r="F1092" t="str">
        <f>_xlfn.XLOOKUP(FME_Ranking1[[#This Row],[FME ID]],FME_Input[FME_ID],FME_Input[EMER_NEED])</f>
        <v>No</v>
      </c>
      <c r="G1092">
        <f>IF(FME_Ranking!F1092="Yes",100,0)</f>
        <v>0</v>
      </c>
      <c r="H1092">
        <f>FME_Ranking1[[#This Row],[Emergency Need Score (Normalized, Unweighted)]]*$F$3</f>
        <v>0</v>
      </c>
      <c r="I1092" s="246">
        <f>_xlfn.XLOOKUP(FME_Ranking1[[#This Row],[FME ID]],FME_Input[FME_ID],FME_Input[STRUCT_100])</f>
        <v>98</v>
      </c>
      <c r="J1092" s="178">
        <f>(FME_Ranking1[[#This Row],[Structures 100 Raw]]/I$2)*100</f>
        <v>5.2478259006982816E-2</v>
      </c>
      <c r="K1092" s="178">
        <f>FME_Ranking1[[#This Row],[Structures 100  Score (Normalized, Unweighted)]]*$I$3</f>
        <v>7.8717388510474214E-3</v>
      </c>
      <c r="L1092" s="246">
        <f>_xlfn.XLOOKUP(FME_Ranking1[[#This Row],[FME ID]],FME_Input[FME_ID],FME_Input[RES_STRUCT100])</f>
        <v>92</v>
      </c>
      <c r="M1092" s="230">
        <f>(FME_Ranking1[[#This Row],[Res Structures Raw]]/L$2)*100</f>
        <v>6.5164114405519113E-2</v>
      </c>
      <c r="N1092" s="180">
        <f>FME_Ranking1[[#This Row],[Res Structures Score (Normalized, Unweighted)]]*$L$3</f>
        <v>6.5164114405519115E-3</v>
      </c>
      <c r="O1092" s="244">
        <f>_xlfn.XLOOKUP(FME_Ranking1[[#This Row],[FME ID]],FME_Input[FME_ID],FME_Input[POP100])</f>
        <v>225</v>
      </c>
      <c r="P1092" s="178">
        <f>(FME_Ranking1[[#This Row],[Pop Raw]]/$O$2)*100</f>
        <v>2.3034445197471741E-2</v>
      </c>
      <c r="Q1092" s="178">
        <f>FME_Ranking1[[#This Row],[Pop Score (Normalized, Unweighted)]]*$O$3</f>
        <v>3.4551667796207611E-3</v>
      </c>
      <c r="R1092" s="137">
        <f>_xlfn.XLOOKUP(FME_Ranking1[[#This Row],[FME ID]],FME_Input[FME_ID],FME_Input[CRITFAC100])</f>
        <v>0</v>
      </c>
      <c r="S1092" s="230">
        <f>(FME_Ranking1[[#This Row],[Critical Facilities Raw]]/$R$2)*100</f>
        <v>0</v>
      </c>
      <c r="T1092" s="180">
        <f>FME_Ranking1[[#This Row],[Critical Facilities Score (Normalized, Unweighted)]]*$R$3</f>
        <v>0</v>
      </c>
      <c r="U1092">
        <f>_xlfn.XLOOKUP(FME_Ranking1[[#This Row],[FME ID]],FME_Input[FME_ID],FME_Input[LWC])</f>
        <v>4</v>
      </c>
      <c r="V1092" s="178">
        <f>(FME_Ranking1[[#This Row],[LWC Raw]]/$U$2)*100</f>
        <v>0.23028209556706969</v>
      </c>
      <c r="W1092" s="178">
        <f>FME_Ranking1[[#This Row],[LWC Score (Normalized, Unweighted)]]*$U$3</f>
        <v>4.6056419113413939E-2</v>
      </c>
      <c r="X1092" s="246">
        <f>_xlfn.XLOOKUP(FME_Ranking1[[#This Row],[FME ID]],FME_Input[FME_ID],FME_Input[ROADCLS])</f>
        <v>23</v>
      </c>
      <c r="Y1092" s="230">
        <f>(FME_Ranking1[[#This Row],[Closures Raw]]/$X$2)*100</f>
        <v>0.24182525496793186</v>
      </c>
      <c r="Z1092" s="180">
        <f>FME_Ranking1[[#This Row],[Closures Score (Normalized, Unweighted)]]*$X$3</f>
        <v>1.2091262748396593E-2</v>
      </c>
      <c r="AA1092" s="253">
        <f>_xlfn.XLOOKUP(FME_Ranking1[[#This Row],[FME ID]],FME_Input[FME_ID],FME_Input[ROAD_MILES100])</f>
        <v>1.371960043907166</v>
      </c>
      <c r="AB1092" s="178">
        <f>(FME_Ranking1[[#This Row],[Miles Raw]]/$AA$2)*100</f>
        <v>1.8038813851519103E-2</v>
      </c>
      <c r="AC1092" s="178">
        <f>FME_Ranking1[[#This Row],[Miles Score (Normalized, Unweighted)]]*$AA$3</f>
        <v>1.8038813851519104E-3</v>
      </c>
      <c r="AD1092" s="255">
        <f>_xlfn.XLOOKUP(FME_Ranking1[[#This Row],[FME ID]],FME_Input[FME_ID],FME_Input[FARMACRE100])</f>
        <v>0.32239499688148499</v>
      </c>
      <c r="AE1092" s="230">
        <f>(FME_Ranking1[[#This Row],[Ag Land Raw]]/$AD$2)*100</f>
        <v>1.3294126468999442E-5</v>
      </c>
      <c r="AF1092" s="231">
        <f>FME_Ranking1[[#This Row],[Ag Land Score (Normalized, Unweighted)]]*$AD$3</f>
        <v>6.647063234499722E-7</v>
      </c>
      <c r="AG109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7.7795545024505988E-2</v>
      </c>
      <c r="AH1092" s="406">
        <f t="shared" si="16"/>
        <v>1139</v>
      </c>
      <c r="AI109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7.7795545024505988E-2</v>
      </c>
      <c r="AJ1092" s="257">
        <f>FME_Ranking1[[#This Row],[Addition check]]-FME_Ranking1[[#This Row],[Weighted Score Based on Normalized Reported Factors]]</f>
        <v>0</v>
      </c>
      <c r="AK1092" s="178">
        <f>_xlfn.RANK.EQ(AI1092,$AI$6:$AI$2341,0)+COUNTIF($AI$6:AI1092,AI1092)-1</f>
        <v>1139</v>
      </c>
    </row>
    <row r="1093" spans="1:37" x14ac:dyDescent="0.25">
      <c r="A1093" t="s">
        <v>8218</v>
      </c>
      <c r="B1093">
        <f>_xlfn.XLOOKUP(FME_Ranking1[[#This Row],[FME ID]],FME_Input[FME_ID],FME_Input[RFPG_NUM])</f>
        <v>9</v>
      </c>
      <c r="C1093" t="str">
        <f>_xlfn.XLOOKUP(FME_Ranking1[[#This Row],[FME ID]],FME_Input[FME_ID],FME_Input[FME_NAME])</f>
        <v>Reagan County FEMA Mapping</v>
      </c>
      <c r="D1093" t="str">
        <f>_xlfn.XLOOKUP(FME_Ranking1[[#This Row],[FME ID]],FME_Input[FME_ID],FME_Input[DESCR])</f>
        <v>Create FEMA Mapping in previously unmapped areas</v>
      </c>
      <c r="E1093" s="256">
        <f>_xlfn.XLOOKUP(FME_Ranking1[[#This Row],[FME ID]],FME_Input[FME_ID],FME_Input[FME_COST])</f>
        <v>998000</v>
      </c>
      <c r="F1093" t="str">
        <f>_xlfn.XLOOKUP(FME_Ranking1[[#This Row],[FME ID]],FME_Input[FME_ID],FME_Input[EMER_NEED])</f>
        <v>No</v>
      </c>
      <c r="G1093">
        <f>IF(FME_Ranking!F1093="Yes",100,0)</f>
        <v>0</v>
      </c>
      <c r="H1093">
        <f>FME_Ranking1[[#This Row],[Emergency Need Score (Normalized, Unweighted)]]*$F$3</f>
        <v>0</v>
      </c>
      <c r="I1093" s="246">
        <f>_xlfn.XLOOKUP(FME_Ranking1[[#This Row],[FME ID]],FME_Input[FME_ID],FME_Input[STRUCT_100])</f>
        <v>161</v>
      </c>
      <c r="J1093" s="178">
        <f>(FME_Ranking1[[#This Row],[Structures 100 Raw]]/I$2)*100</f>
        <v>8.6214282654328914E-2</v>
      </c>
      <c r="K1093" s="178">
        <f>FME_Ranking1[[#This Row],[Structures 100  Score (Normalized, Unweighted)]]*$I$3</f>
        <v>1.2932142398149337E-2</v>
      </c>
      <c r="L1093" s="246">
        <f>_xlfn.XLOOKUP(FME_Ranking1[[#This Row],[FME ID]],FME_Input[FME_ID],FME_Input[RES_STRUCT100])</f>
        <v>79</v>
      </c>
      <c r="M1093" s="230">
        <f>(FME_Ranking1[[#This Row],[Res Structures Raw]]/L$2)*100</f>
        <v>5.5956141717782723E-2</v>
      </c>
      <c r="N1093" s="180">
        <f>FME_Ranking1[[#This Row],[Res Structures Score (Normalized, Unweighted)]]*$L$3</f>
        <v>5.5956141717782727E-3</v>
      </c>
      <c r="O1093" s="244">
        <f>_xlfn.XLOOKUP(FME_Ranking1[[#This Row],[FME ID]],FME_Input[FME_ID],FME_Input[POP100])</f>
        <v>167</v>
      </c>
      <c r="P1093" s="178">
        <f>(FME_Ranking1[[#This Row],[Pop Raw]]/$O$2)*100</f>
        <v>1.709667710212347E-2</v>
      </c>
      <c r="Q1093" s="178">
        <f>FME_Ranking1[[#This Row],[Pop Score (Normalized, Unweighted)]]*$O$3</f>
        <v>2.5645015653185206E-3</v>
      </c>
      <c r="R1093" s="137">
        <f>_xlfn.XLOOKUP(FME_Ranking1[[#This Row],[FME ID]],FME_Input[FME_ID],FME_Input[CRITFAC100])</f>
        <v>0</v>
      </c>
      <c r="S1093" s="230">
        <f>(FME_Ranking1[[#This Row],[Critical Facilities Raw]]/$R$2)*100</f>
        <v>0</v>
      </c>
      <c r="T1093" s="180">
        <f>FME_Ranking1[[#This Row],[Critical Facilities Score (Normalized, Unweighted)]]*$R$3</f>
        <v>0</v>
      </c>
      <c r="U1093">
        <f>_xlfn.XLOOKUP(FME_Ranking1[[#This Row],[FME ID]],FME_Input[FME_ID],FME_Input[LWC])</f>
        <v>2</v>
      </c>
      <c r="V1093" s="178">
        <f>(FME_Ranking1[[#This Row],[LWC Raw]]/$U$2)*100</f>
        <v>0.11514104778353484</v>
      </c>
      <c r="W1093" s="178">
        <f>FME_Ranking1[[#This Row],[LWC Score (Normalized, Unweighted)]]*$U$3</f>
        <v>2.302820955670697E-2</v>
      </c>
      <c r="X1093" s="246">
        <f>_xlfn.XLOOKUP(FME_Ranking1[[#This Row],[FME ID]],FME_Input[FME_ID],FME_Input[ROADCLS])</f>
        <v>0</v>
      </c>
      <c r="Y1093" s="230">
        <f>(FME_Ranking1[[#This Row],[Closures Raw]]/$X$2)*100</f>
        <v>0</v>
      </c>
      <c r="Z1093" s="180">
        <f>FME_Ranking1[[#This Row],[Closures Score (Normalized, Unweighted)]]*$X$3</f>
        <v>0</v>
      </c>
      <c r="AA1093" s="253">
        <f>_xlfn.XLOOKUP(FME_Ranking1[[#This Row],[FME ID]],FME_Input[FME_ID],FME_Input[ROAD_MILES100])</f>
        <v>38.913166046142578</v>
      </c>
      <c r="AB1093" s="178">
        <f>(FME_Ranking1[[#This Row],[Miles Raw]]/$AA$2)*100</f>
        <v>0.51163833946691595</v>
      </c>
      <c r="AC1093" s="178">
        <f>FME_Ranking1[[#This Row],[Miles Score (Normalized, Unweighted)]]*$AA$3</f>
        <v>5.1163833946691599E-2</v>
      </c>
      <c r="AD1093" s="255">
        <f>_xlfn.XLOOKUP(FME_Ranking1[[#This Row],[FME ID]],FME_Input[FME_ID],FME_Input[FARMACRE100])</f>
        <v>15439.3671875</v>
      </c>
      <c r="AE1093" s="230">
        <f>(FME_Ranking1[[#This Row],[Ag Land Raw]]/$AD$2)*100</f>
        <v>0.63665038842832244</v>
      </c>
      <c r="AF1093" s="231">
        <f>FME_Ranking1[[#This Row],[Ag Land Score (Normalized, Unweighted)]]*$AD$3</f>
        <v>3.1832519421416121E-2</v>
      </c>
      <c r="AG109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0.12711682106006084</v>
      </c>
      <c r="AH1093" s="406">
        <f t="shared" si="16"/>
        <v>964</v>
      </c>
      <c r="AI109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0.12711682106006084</v>
      </c>
      <c r="AJ1093" s="257">
        <f>FME_Ranking1[[#This Row],[Addition check]]-FME_Ranking1[[#This Row],[Weighted Score Based on Normalized Reported Factors]]</f>
        <v>0</v>
      </c>
      <c r="AK1093" s="178">
        <f>_xlfn.RANK.EQ(AI1093,$AI$6:$AI$2341,0)+COUNTIF($AI$6:AI1093,AI1093)-1</f>
        <v>964</v>
      </c>
    </row>
    <row r="1094" spans="1:37" x14ac:dyDescent="0.25">
      <c r="A1094" t="s">
        <v>8257</v>
      </c>
      <c r="B1094">
        <f>_xlfn.XLOOKUP(FME_Ranking1[[#This Row],[FME ID]],FME_Input[FME_ID],FME_Input[RFPG_NUM])</f>
        <v>9</v>
      </c>
      <c r="C1094" t="str">
        <f>_xlfn.XLOOKUP(FME_Ranking1[[#This Row],[FME ID]],FME_Input[FME_ID],FME_Input[FME_NAME])</f>
        <v>Reagan County DMP</v>
      </c>
      <c r="D1094" t="str">
        <f>_xlfn.XLOOKUP(FME_Ranking1[[#This Row],[FME ID]],FME_Input[FME_ID],FME_Input[DESCR])</f>
        <v xml:space="preserve">Create Drainage Master Plan, including evaluation of potential mitigation projects. </v>
      </c>
      <c r="E1094" s="256">
        <f>_xlfn.XLOOKUP(FME_Ranking1[[#This Row],[FME ID]],FME_Input[FME_ID],FME_Input[FME_COST])</f>
        <v>500000</v>
      </c>
      <c r="F1094" t="str">
        <f>_xlfn.XLOOKUP(FME_Ranking1[[#This Row],[FME ID]],FME_Input[FME_ID],FME_Input[EMER_NEED])</f>
        <v>No</v>
      </c>
      <c r="G1094">
        <f>IF(FME_Ranking!F1094="Yes",100,0)</f>
        <v>0</v>
      </c>
      <c r="H1094">
        <f>FME_Ranking1[[#This Row],[Emergency Need Score (Normalized, Unweighted)]]*$F$3</f>
        <v>0</v>
      </c>
      <c r="I1094" s="246">
        <f>_xlfn.XLOOKUP(FME_Ranking1[[#This Row],[FME ID]],FME_Input[FME_ID],FME_Input[STRUCT_100])</f>
        <v>161</v>
      </c>
      <c r="J1094" s="178">
        <f>(FME_Ranking1[[#This Row],[Structures 100 Raw]]/I$2)*100</f>
        <v>8.6214282654328914E-2</v>
      </c>
      <c r="K1094" s="178">
        <f>FME_Ranking1[[#This Row],[Structures 100  Score (Normalized, Unweighted)]]*$I$3</f>
        <v>1.2932142398149337E-2</v>
      </c>
      <c r="L1094" s="246">
        <f>_xlfn.XLOOKUP(FME_Ranking1[[#This Row],[FME ID]],FME_Input[FME_ID],FME_Input[RES_STRUCT100])</f>
        <v>79</v>
      </c>
      <c r="M1094" s="230">
        <f>(FME_Ranking1[[#This Row],[Res Structures Raw]]/L$2)*100</f>
        <v>5.5956141717782723E-2</v>
      </c>
      <c r="N1094" s="180">
        <f>FME_Ranking1[[#This Row],[Res Structures Score (Normalized, Unweighted)]]*$L$3</f>
        <v>5.5956141717782727E-3</v>
      </c>
      <c r="O1094" s="244">
        <f>_xlfn.XLOOKUP(FME_Ranking1[[#This Row],[FME ID]],FME_Input[FME_ID],FME_Input[POP100])</f>
        <v>167</v>
      </c>
      <c r="P1094" s="178">
        <f>(FME_Ranking1[[#This Row],[Pop Raw]]/$O$2)*100</f>
        <v>1.709667710212347E-2</v>
      </c>
      <c r="Q1094" s="178">
        <f>FME_Ranking1[[#This Row],[Pop Score (Normalized, Unweighted)]]*$O$3</f>
        <v>2.5645015653185206E-3</v>
      </c>
      <c r="R1094" s="137">
        <f>_xlfn.XLOOKUP(FME_Ranking1[[#This Row],[FME ID]],FME_Input[FME_ID],FME_Input[CRITFAC100])</f>
        <v>0</v>
      </c>
      <c r="S1094" s="230">
        <f>(FME_Ranking1[[#This Row],[Critical Facilities Raw]]/$R$2)*100</f>
        <v>0</v>
      </c>
      <c r="T1094" s="180">
        <f>FME_Ranking1[[#This Row],[Critical Facilities Score (Normalized, Unweighted)]]*$R$3</f>
        <v>0</v>
      </c>
      <c r="U1094">
        <f>_xlfn.XLOOKUP(FME_Ranking1[[#This Row],[FME ID]],FME_Input[FME_ID],FME_Input[LWC])</f>
        <v>2</v>
      </c>
      <c r="V1094" s="178">
        <f>(FME_Ranking1[[#This Row],[LWC Raw]]/$U$2)*100</f>
        <v>0.11514104778353484</v>
      </c>
      <c r="W1094" s="178">
        <f>FME_Ranking1[[#This Row],[LWC Score (Normalized, Unweighted)]]*$U$3</f>
        <v>2.302820955670697E-2</v>
      </c>
      <c r="X1094" s="246">
        <f>_xlfn.XLOOKUP(FME_Ranking1[[#This Row],[FME ID]],FME_Input[FME_ID],FME_Input[ROADCLS])</f>
        <v>0</v>
      </c>
      <c r="Y1094" s="230">
        <f>(FME_Ranking1[[#This Row],[Closures Raw]]/$X$2)*100</f>
        <v>0</v>
      </c>
      <c r="Z1094" s="180">
        <f>FME_Ranking1[[#This Row],[Closures Score (Normalized, Unweighted)]]*$X$3</f>
        <v>0</v>
      </c>
      <c r="AA1094" s="253">
        <f>_xlfn.XLOOKUP(FME_Ranking1[[#This Row],[FME ID]],FME_Input[FME_ID],FME_Input[ROAD_MILES100])</f>
        <v>38.913166046142578</v>
      </c>
      <c r="AB1094" s="178">
        <f>(FME_Ranking1[[#This Row],[Miles Raw]]/$AA$2)*100</f>
        <v>0.51163833946691595</v>
      </c>
      <c r="AC1094" s="178">
        <f>FME_Ranking1[[#This Row],[Miles Score (Normalized, Unweighted)]]*$AA$3</f>
        <v>5.1163833946691599E-2</v>
      </c>
      <c r="AD1094" s="255">
        <f>_xlfn.XLOOKUP(FME_Ranking1[[#This Row],[FME ID]],FME_Input[FME_ID],FME_Input[FARMACRE100])</f>
        <v>15439.3671875</v>
      </c>
      <c r="AE1094" s="230">
        <f>(FME_Ranking1[[#This Row],[Ag Land Raw]]/$AD$2)*100</f>
        <v>0.63665038842832244</v>
      </c>
      <c r="AF1094" s="231">
        <f>FME_Ranking1[[#This Row],[Ag Land Score (Normalized, Unweighted)]]*$AD$3</f>
        <v>3.1832519421416121E-2</v>
      </c>
      <c r="AG109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0.12711682106006084</v>
      </c>
      <c r="AH1094" s="406">
        <f t="shared" ref="AH1094:AH1157" si="17">_xlfn.RANK.EQ(AG1094,$AG$6:$AG$2341,0)</f>
        <v>964</v>
      </c>
      <c r="AI109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0.12711682106006084</v>
      </c>
      <c r="AJ1094" s="257">
        <f>FME_Ranking1[[#This Row],[Addition check]]-FME_Ranking1[[#This Row],[Weighted Score Based on Normalized Reported Factors]]</f>
        <v>0</v>
      </c>
      <c r="AK1094" s="178">
        <f>_xlfn.RANK.EQ(AI1094,$AI$6:$AI$2341,0)+COUNTIF($AI$6:AI1094,AI1094)-1</f>
        <v>965</v>
      </c>
    </row>
    <row r="1095" spans="1:37" x14ac:dyDescent="0.25">
      <c r="A1095" t="s">
        <v>8260</v>
      </c>
      <c r="B1095">
        <f>_xlfn.XLOOKUP(FME_Ranking1[[#This Row],[FME ID]],FME_Input[FME_ID],FME_Input[RFPG_NUM])</f>
        <v>9</v>
      </c>
      <c r="C1095" t="str">
        <f>_xlfn.XLOOKUP(FME_Ranking1[[#This Row],[FME ID]],FME_Input[FME_ID],FME_Input[FME_NAME])</f>
        <v>Reagan County GIS Development</v>
      </c>
      <c r="D1095" t="str">
        <f>_xlfn.XLOOKUP(FME_Ranking1[[#This Row],[FME ID]],FME_Input[FME_ID],FME_Input[DESCR])</f>
        <v>Develop a GIS inventory of stormwater infrastructure</v>
      </c>
      <c r="E1095" s="256">
        <f>_xlfn.XLOOKUP(FME_Ranking1[[#This Row],[FME ID]],FME_Input[FME_ID],FME_Input[FME_COST])</f>
        <v>100000</v>
      </c>
      <c r="F1095" t="str">
        <f>_xlfn.XLOOKUP(FME_Ranking1[[#This Row],[FME ID]],FME_Input[FME_ID],FME_Input[EMER_NEED])</f>
        <v>No</v>
      </c>
      <c r="G1095">
        <f>IF(FME_Ranking!F1095="Yes",100,0)</f>
        <v>0</v>
      </c>
      <c r="H1095">
        <f>FME_Ranking1[[#This Row],[Emergency Need Score (Normalized, Unweighted)]]*$F$3</f>
        <v>0</v>
      </c>
      <c r="I1095" s="246">
        <f>_xlfn.XLOOKUP(FME_Ranking1[[#This Row],[FME ID]],FME_Input[FME_ID],FME_Input[STRUCT_100])</f>
        <v>161</v>
      </c>
      <c r="J1095" s="178">
        <f>(FME_Ranking1[[#This Row],[Structures 100 Raw]]/I$2)*100</f>
        <v>8.6214282654328914E-2</v>
      </c>
      <c r="K1095" s="178">
        <f>FME_Ranking1[[#This Row],[Structures 100  Score (Normalized, Unweighted)]]*$I$3</f>
        <v>1.2932142398149337E-2</v>
      </c>
      <c r="L1095" s="246">
        <f>_xlfn.XLOOKUP(FME_Ranking1[[#This Row],[FME ID]],FME_Input[FME_ID],FME_Input[RES_STRUCT100])</f>
        <v>79</v>
      </c>
      <c r="M1095" s="230">
        <f>(FME_Ranking1[[#This Row],[Res Structures Raw]]/L$2)*100</f>
        <v>5.5956141717782723E-2</v>
      </c>
      <c r="N1095" s="180">
        <f>FME_Ranking1[[#This Row],[Res Structures Score (Normalized, Unweighted)]]*$L$3</f>
        <v>5.5956141717782727E-3</v>
      </c>
      <c r="O1095" s="244">
        <f>_xlfn.XLOOKUP(FME_Ranking1[[#This Row],[FME ID]],FME_Input[FME_ID],FME_Input[POP100])</f>
        <v>167</v>
      </c>
      <c r="P1095" s="178">
        <f>(FME_Ranking1[[#This Row],[Pop Raw]]/$O$2)*100</f>
        <v>1.709667710212347E-2</v>
      </c>
      <c r="Q1095" s="178">
        <f>FME_Ranking1[[#This Row],[Pop Score (Normalized, Unweighted)]]*$O$3</f>
        <v>2.5645015653185206E-3</v>
      </c>
      <c r="R1095" s="137">
        <f>_xlfn.XLOOKUP(FME_Ranking1[[#This Row],[FME ID]],FME_Input[FME_ID],FME_Input[CRITFAC100])</f>
        <v>0</v>
      </c>
      <c r="S1095" s="230">
        <f>(FME_Ranking1[[#This Row],[Critical Facilities Raw]]/$R$2)*100</f>
        <v>0</v>
      </c>
      <c r="T1095" s="180">
        <f>FME_Ranking1[[#This Row],[Critical Facilities Score (Normalized, Unweighted)]]*$R$3</f>
        <v>0</v>
      </c>
      <c r="U1095">
        <f>_xlfn.XLOOKUP(FME_Ranking1[[#This Row],[FME ID]],FME_Input[FME_ID],FME_Input[LWC])</f>
        <v>2</v>
      </c>
      <c r="V1095" s="178">
        <f>(FME_Ranking1[[#This Row],[LWC Raw]]/$U$2)*100</f>
        <v>0.11514104778353484</v>
      </c>
      <c r="W1095" s="178">
        <f>FME_Ranking1[[#This Row],[LWC Score (Normalized, Unweighted)]]*$U$3</f>
        <v>2.302820955670697E-2</v>
      </c>
      <c r="X1095" s="246">
        <f>_xlfn.XLOOKUP(FME_Ranking1[[#This Row],[FME ID]],FME_Input[FME_ID],FME_Input[ROADCLS])</f>
        <v>0</v>
      </c>
      <c r="Y1095" s="230">
        <f>(FME_Ranking1[[#This Row],[Closures Raw]]/$X$2)*100</f>
        <v>0</v>
      </c>
      <c r="Z1095" s="180">
        <f>FME_Ranking1[[#This Row],[Closures Score (Normalized, Unweighted)]]*$X$3</f>
        <v>0</v>
      </c>
      <c r="AA1095" s="253">
        <f>_xlfn.XLOOKUP(FME_Ranking1[[#This Row],[FME ID]],FME_Input[FME_ID],FME_Input[ROAD_MILES100])</f>
        <v>38.913166046142578</v>
      </c>
      <c r="AB1095" s="178">
        <f>(FME_Ranking1[[#This Row],[Miles Raw]]/$AA$2)*100</f>
        <v>0.51163833946691595</v>
      </c>
      <c r="AC1095" s="178">
        <f>FME_Ranking1[[#This Row],[Miles Score (Normalized, Unweighted)]]*$AA$3</f>
        <v>5.1163833946691599E-2</v>
      </c>
      <c r="AD1095" s="255">
        <f>_xlfn.XLOOKUP(FME_Ranking1[[#This Row],[FME ID]],FME_Input[FME_ID],FME_Input[FARMACRE100])</f>
        <v>15439.3671875</v>
      </c>
      <c r="AE1095" s="230">
        <f>(FME_Ranking1[[#This Row],[Ag Land Raw]]/$AD$2)*100</f>
        <v>0.63665038842832244</v>
      </c>
      <c r="AF1095" s="231">
        <f>FME_Ranking1[[#This Row],[Ag Land Score (Normalized, Unweighted)]]*$AD$3</f>
        <v>3.1832519421416121E-2</v>
      </c>
      <c r="AG109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0.12711682106006084</v>
      </c>
      <c r="AH1095" s="406">
        <f t="shared" si="17"/>
        <v>964</v>
      </c>
      <c r="AI109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0.12711682106006084</v>
      </c>
      <c r="AJ1095" s="257">
        <f>FME_Ranking1[[#This Row],[Addition check]]-FME_Ranking1[[#This Row],[Weighted Score Based on Normalized Reported Factors]]</f>
        <v>0</v>
      </c>
      <c r="AK1095" s="178">
        <f>_xlfn.RANK.EQ(AI1095,$AI$6:$AI$2341,0)+COUNTIF($AI$6:AI1095,AI1095)-1</f>
        <v>966</v>
      </c>
    </row>
    <row r="1096" spans="1:37" x14ac:dyDescent="0.25">
      <c r="A1096" t="s">
        <v>1025</v>
      </c>
      <c r="B1096">
        <f>_xlfn.XLOOKUP(FME_Ranking1[[#This Row],[FME ID]],FME_Input[FME_ID],FME_Input[RFPG_NUM])</f>
        <v>6</v>
      </c>
      <c r="C1096" t="str">
        <f>_xlfn.XLOOKUP(FME_Ranking1[[#This Row],[FME ID]],FME_Input[FME_ID],FME_Input[FME_NAME])</f>
        <v>Mustang Bayou Middle Segment</v>
      </c>
      <c r="D1096" t="str">
        <f>_xlfn.XLOOKUP(FME_Ranking1[[#This Row],[FME ID]],FME_Input[FME_ID],FME_Input[DESCR])</f>
        <v>Further study including Atlas 14 rainfall incorporation and Benefit Cost Analysis of proposed channel modifications included in the City of Pearland master drainage plan.</v>
      </c>
      <c r="E1096" s="256">
        <f>_xlfn.XLOOKUP(FME_Ranking1[[#This Row],[FME ID]],FME_Input[FME_ID],FME_Input[FME_COST])</f>
        <v>1212000</v>
      </c>
      <c r="F1096" t="str">
        <f>_xlfn.XLOOKUP(FME_Ranking1[[#This Row],[FME ID]],FME_Input[FME_ID],FME_Input[EMER_NEED])</f>
        <v>No</v>
      </c>
      <c r="G1096">
        <f>IF(FME_Ranking!F1096="Yes",100,0)</f>
        <v>0</v>
      </c>
      <c r="H1096">
        <f>FME_Ranking1[[#This Row],[Emergency Need Score (Normalized, Unweighted)]]*$F$3</f>
        <v>0</v>
      </c>
      <c r="I1096" s="246">
        <f>_xlfn.XLOOKUP(FME_Ranking1[[#This Row],[FME ID]],FME_Input[FME_ID],FME_Input[STRUCT_100])</f>
        <v>257</v>
      </c>
      <c r="J1096" s="178">
        <f>(FME_Ranking1[[#This Row],[Structures 100 Raw]]/I$2)*100</f>
        <v>0.13762155678361823</v>
      </c>
      <c r="K1096" s="178">
        <f>FME_Ranking1[[#This Row],[Structures 100  Score (Normalized, Unweighted)]]*$I$3</f>
        <v>2.0643233517542735E-2</v>
      </c>
      <c r="L1096" s="246">
        <f>_xlfn.XLOOKUP(FME_Ranking1[[#This Row],[FME ID]],FME_Input[FME_ID],FME_Input[RES_STRUCT100])</f>
        <v>202</v>
      </c>
      <c r="M1096" s="230">
        <f>(FME_Ranking1[[#This Row],[Res Structures Raw]]/L$2)*100</f>
        <v>0.14307772945559633</v>
      </c>
      <c r="N1096" s="180">
        <f>FME_Ranking1[[#This Row],[Res Structures Score (Normalized, Unweighted)]]*$L$3</f>
        <v>1.4307772945559634E-2</v>
      </c>
      <c r="O1096" s="244">
        <f>_xlfn.XLOOKUP(FME_Ranking1[[#This Row],[FME ID]],FME_Input[FME_ID],FME_Input[POP100])</f>
        <v>2051</v>
      </c>
      <c r="P1096" s="178">
        <f>(FME_Ranking1[[#This Row],[Pop Raw]]/$O$2)*100</f>
        <v>0.2099717648889535</v>
      </c>
      <c r="Q1096" s="178">
        <f>FME_Ranking1[[#This Row],[Pop Score (Normalized, Unweighted)]]*$O$3</f>
        <v>3.1495764733343021E-2</v>
      </c>
      <c r="R1096" s="137">
        <f>_xlfn.XLOOKUP(FME_Ranking1[[#This Row],[FME ID]],FME_Input[FME_ID],FME_Input[CRITFAC100])</f>
        <v>1</v>
      </c>
      <c r="S1096" s="230">
        <f>(FME_Ranking1[[#This Row],[Critical Facilities Raw]]/$R$2)*100</f>
        <v>4.2881646655231559E-2</v>
      </c>
      <c r="T1096" s="180">
        <f>FME_Ranking1[[#This Row],[Critical Facilities Score (Normalized, Unweighted)]]*$R$3</f>
        <v>8.5763293310463125E-3</v>
      </c>
      <c r="U1096">
        <f>_xlfn.XLOOKUP(FME_Ranking1[[#This Row],[FME ID]],FME_Input[FME_ID],FME_Input[LWC])</f>
        <v>0</v>
      </c>
      <c r="V1096" s="178">
        <f>(FME_Ranking1[[#This Row],[LWC Raw]]/$U$2)*100</f>
        <v>0</v>
      </c>
      <c r="W1096" s="178">
        <f>FME_Ranking1[[#This Row],[LWC Score (Normalized, Unweighted)]]*$U$3</f>
        <v>0</v>
      </c>
      <c r="X1096" s="246">
        <f>_xlfn.XLOOKUP(FME_Ranking1[[#This Row],[FME ID]],FME_Input[FME_ID],FME_Input[ROADCLS])</f>
        <v>0</v>
      </c>
      <c r="Y1096" s="230">
        <f>(FME_Ranking1[[#This Row],[Closures Raw]]/$X$2)*100</f>
        <v>0</v>
      </c>
      <c r="Z1096" s="180">
        <f>FME_Ranking1[[#This Row],[Closures Score (Normalized, Unweighted)]]*$X$3</f>
        <v>0</v>
      </c>
      <c r="AA1096" s="253">
        <f>_xlfn.XLOOKUP(FME_Ranking1[[#This Row],[FME ID]],FME_Input[FME_ID],FME_Input[ROAD_MILES100])</f>
        <v>5.6157903671264648</v>
      </c>
      <c r="AB1096" s="178">
        <f>(FME_Ranking1[[#This Row],[Miles Raw]]/$AA$2)*100</f>
        <v>7.3837570934830413E-2</v>
      </c>
      <c r="AC1096" s="178">
        <f>FME_Ranking1[[#This Row],[Miles Score (Normalized, Unweighted)]]*$AA$3</f>
        <v>7.383757093483042E-3</v>
      </c>
      <c r="AD1096" s="255">
        <f>_xlfn.XLOOKUP(FME_Ranking1[[#This Row],[FME ID]],FME_Input[FME_ID],FME_Input[FARMACRE100])</f>
        <v>39.290901184082031</v>
      </c>
      <c r="AE1096" s="230">
        <f>(FME_Ranking1[[#This Row],[Ag Land Raw]]/$AD$2)*100</f>
        <v>1.6201808789674309E-3</v>
      </c>
      <c r="AF1096" s="231">
        <f>FME_Ranking1[[#This Row],[Ag Land Score (Normalized, Unweighted)]]*$AD$3</f>
        <v>8.100904394837155E-5</v>
      </c>
      <c r="AG109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8.248786666492311E-2</v>
      </c>
      <c r="AH1096" s="406">
        <f t="shared" si="17"/>
        <v>1128</v>
      </c>
      <c r="AI109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8.248786666492311E-2</v>
      </c>
      <c r="AJ1096" s="257">
        <f>FME_Ranking1[[#This Row],[Addition check]]-FME_Ranking1[[#This Row],[Weighted Score Based on Normalized Reported Factors]]</f>
        <v>0</v>
      </c>
      <c r="AK1096" s="178">
        <f>_xlfn.RANK.EQ(AI1096,$AI$6:$AI$2341,0)+COUNTIF($AI$6:AI1096,AI1096)-1</f>
        <v>1128</v>
      </c>
    </row>
    <row r="1097" spans="1:37" x14ac:dyDescent="0.25">
      <c r="A1097" t="s">
        <v>11432</v>
      </c>
      <c r="B1097">
        <f>_xlfn.XLOOKUP(FME_Ranking1[[#This Row],[FME ID]],FME_Input[FME_ID],FME_Input[RFPG_NUM])</f>
        <v>15</v>
      </c>
      <c r="C1097" t="str">
        <f>_xlfn.XLOOKUP(FME_Ranking1[[#This Row],[FME ID]],FME_Input[FME_ID],FME_Input[FME_NAME])</f>
        <v>Weslaco Stormwater Improvement Plan - Westgate Drive and Sugar Cane Drive</v>
      </c>
      <c r="D1097" t="str">
        <f>_xlfn.XLOOKUP(FME_Ranking1[[#This Row],[FME ID]],FME_Input[FME_ID],FME_Input[DESCR])</f>
        <v>Construction of two detention ponds, 11 acres near Clecker-Heald Elementary School and 8 acres behind the commercial properties north of Interstate 2, approximately 4,500 LF of channel widening connecting the two ponds, addition of a new 42-inch reinforc</v>
      </c>
      <c r="E1097" s="256">
        <f>_xlfn.XLOOKUP(FME_Ranking1[[#This Row],[FME ID]],FME_Input[FME_ID],FME_Input[FME_COST])</f>
        <v>1664860</v>
      </c>
      <c r="F1097" t="str">
        <f>_xlfn.XLOOKUP(FME_Ranking1[[#This Row],[FME ID]],FME_Input[FME_ID],FME_Input[EMER_NEED])</f>
        <v>Yes</v>
      </c>
      <c r="G1097">
        <f>IF(FME_Ranking!F1097="Yes",100,0)</f>
        <v>100</v>
      </c>
      <c r="H1097">
        <f>FME_Ranking1[[#This Row],[Emergency Need Score (Normalized, Unweighted)]]*$F$3</f>
        <v>0</v>
      </c>
      <c r="I1097" s="246">
        <f>_xlfn.XLOOKUP(FME_Ranking1[[#This Row],[FME ID]],FME_Input[FME_ID],FME_Input[STRUCT_100])</f>
        <v>0</v>
      </c>
      <c r="J1097" s="178">
        <f>(FME_Ranking1[[#This Row],[Structures 100 Raw]]/I$2)*100</f>
        <v>0</v>
      </c>
      <c r="K1097" s="178">
        <f>FME_Ranking1[[#This Row],[Structures 100  Score (Normalized, Unweighted)]]*$I$3</f>
        <v>0</v>
      </c>
      <c r="L1097" s="246">
        <f>_xlfn.XLOOKUP(FME_Ranking1[[#This Row],[FME ID]],FME_Input[FME_ID],FME_Input[RES_STRUCT100])</f>
        <v>423</v>
      </c>
      <c r="M1097" s="230">
        <f>(FME_Ranking1[[#This Row],[Res Structures Raw]]/L$2)*100</f>
        <v>0.29961326514711506</v>
      </c>
      <c r="N1097" s="180">
        <f>FME_Ranking1[[#This Row],[Res Structures Score (Normalized, Unweighted)]]*$L$3</f>
        <v>2.9961326514711506E-2</v>
      </c>
      <c r="O1097" s="244">
        <f>_xlfn.XLOOKUP(FME_Ranking1[[#This Row],[FME ID]],FME_Input[FME_ID],FME_Input[POP100])</f>
        <v>2931</v>
      </c>
      <c r="P1097" s="178">
        <f>(FME_Ranking1[[#This Row],[Pop Raw]]/$O$2)*100</f>
        <v>0.30006203943906518</v>
      </c>
      <c r="Q1097" s="178">
        <f>FME_Ranking1[[#This Row],[Pop Score (Normalized, Unweighted)]]*$O$3</f>
        <v>4.5009305915859776E-2</v>
      </c>
      <c r="R1097" s="137">
        <f>_xlfn.XLOOKUP(FME_Ranking1[[#This Row],[FME ID]],FME_Input[FME_ID],FME_Input[CRITFAC100])</f>
        <v>0</v>
      </c>
      <c r="S1097" s="230">
        <f>(FME_Ranking1[[#This Row],[Critical Facilities Raw]]/$R$2)*100</f>
        <v>0</v>
      </c>
      <c r="T1097" s="180">
        <f>FME_Ranking1[[#This Row],[Critical Facilities Score (Normalized, Unweighted)]]*$R$3</f>
        <v>0</v>
      </c>
      <c r="U1097">
        <f>_xlfn.XLOOKUP(FME_Ranking1[[#This Row],[FME ID]],FME_Input[FME_ID],FME_Input[LWC])</f>
        <v>0</v>
      </c>
      <c r="V1097" s="178">
        <f>(FME_Ranking1[[#This Row],[LWC Raw]]/$U$2)*100</f>
        <v>0</v>
      </c>
      <c r="W1097" s="178">
        <f>FME_Ranking1[[#This Row],[LWC Score (Normalized, Unweighted)]]*$U$3</f>
        <v>0</v>
      </c>
      <c r="X1097" s="246">
        <f>_xlfn.XLOOKUP(FME_Ranking1[[#This Row],[FME ID]],FME_Input[FME_ID],FME_Input[ROADCLS])</f>
        <v>0</v>
      </c>
      <c r="Y1097" s="230">
        <f>(FME_Ranking1[[#This Row],[Closures Raw]]/$X$2)*100</f>
        <v>0</v>
      </c>
      <c r="Z1097" s="180">
        <f>FME_Ranking1[[#This Row],[Closures Score (Normalized, Unweighted)]]*$X$3</f>
        <v>0</v>
      </c>
      <c r="AA1097" s="253">
        <f>_xlfn.XLOOKUP(FME_Ranking1[[#This Row],[FME ID]],FME_Input[FME_ID],FME_Input[ROAD_MILES100])</f>
        <v>30.152200698852539</v>
      </c>
      <c r="AB1097" s="178">
        <f>(FME_Ranking1[[#This Row],[Miles Raw]]/$AA$2)*100</f>
        <v>0.39644735867909064</v>
      </c>
      <c r="AC1097" s="178">
        <f>FME_Ranking1[[#This Row],[Miles Score (Normalized, Unweighted)]]*$AA$3</f>
        <v>3.9644735867909064E-2</v>
      </c>
      <c r="AD1097" s="255">
        <f>_xlfn.XLOOKUP(FME_Ranking1[[#This Row],[FME ID]],FME_Input[FME_ID],FME_Input[FARMACRE100])</f>
        <v>0</v>
      </c>
      <c r="AE1097" s="230">
        <f>(FME_Ranking1[[#This Row],[Ag Land Raw]]/$AD$2)*100</f>
        <v>0</v>
      </c>
      <c r="AF1097" s="231">
        <f>FME_Ranking1[[#This Row],[Ag Land Score (Normalized, Unweighted)]]*$AD$3</f>
        <v>0</v>
      </c>
      <c r="AG109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0.11461536829848035</v>
      </c>
      <c r="AH1097" s="406">
        <f t="shared" si="17"/>
        <v>1002</v>
      </c>
      <c r="AI109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0.11461536829848035</v>
      </c>
      <c r="AJ1097" s="257">
        <f>FME_Ranking1[[#This Row],[Addition check]]-FME_Ranking1[[#This Row],[Weighted Score Based on Normalized Reported Factors]]</f>
        <v>0</v>
      </c>
      <c r="AK1097" s="178">
        <f>_xlfn.RANK.EQ(AI1097,$AI$6:$AI$2341,0)+COUNTIF($AI$6:AI1097,AI1097)-1</f>
        <v>1002</v>
      </c>
    </row>
    <row r="1098" spans="1:37" x14ac:dyDescent="0.25">
      <c r="A1098" t="s">
        <v>7938</v>
      </c>
      <c r="B1098">
        <f>_xlfn.XLOOKUP(FME_Ranking1[[#This Row],[FME ID]],FME_Input[FME_ID],FME_Input[RFPG_NUM])</f>
        <v>9</v>
      </c>
      <c r="C1098" t="str">
        <f>_xlfn.XLOOKUP(FME_Ranking1[[#This Row],[FME ID]],FME_Input[FME_ID],FME_Input[FME_NAME])</f>
        <v>Nolan County  FEMA Mapping</v>
      </c>
      <c r="D1098" t="str">
        <f>_xlfn.XLOOKUP(FME_Ranking1[[#This Row],[FME ID]],FME_Input[FME_ID],FME_Input[DESCR])</f>
        <v>Update existing FEMA Mapping</v>
      </c>
      <c r="E1098" s="256">
        <f>_xlfn.XLOOKUP(FME_Ranking1[[#This Row],[FME ID]],FME_Input[FME_ID],FME_Input[FME_COST])</f>
        <v>924000</v>
      </c>
      <c r="F1098" t="str">
        <f>_xlfn.XLOOKUP(FME_Ranking1[[#This Row],[FME ID]],FME_Input[FME_ID],FME_Input[EMER_NEED])</f>
        <v>No</v>
      </c>
      <c r="G1098">
        <f>IF(FME_Ranking!F1098="Yes",100,0)</f>
        <v>0</v>
      </c>
      <c r="H1098">
        <f>FME_Ranking1[[#This Row],[Emergency Need Score (Normalized, Unweighted)]]*$F$3</f>
        <v>0</v>
      </c>
      <c r="I1098" s="246">
        <f>_xlfn.XLOOKUP(FME_Ranking1[[#This Row],[FME ID]],FME_Input[FME_ID],FME_Input[STRUCT_100])</f>
        <v>90</v>
      </c>
      <c r="J1098" s="178">
        <f>(FME_Ranking1[[#This Row],[Structures 100 Raw]]/I$2)*100</f>
        <v>4.8194319496208712E-2</v>
      </c>
      <c r="K1098" s="178">
        <f>FME_Ranking1[[#This Row],[Structures 100  Score (Normalized, Unweighted)]]*$I$3</f>
        <v>7.2291479244313067E-3</v>
      </c>
      <c r="L1098" s="246">
        <f>_xlfn.XLOOKUP(FME_Ranking1[[#This Row],[FME ID]],FME_Input[FME_ID],FME_Input[RES_STRUCT100])</f>
        <v>16</v>
      </c>
      <c r="M1098" s="230">
        <f>(FME_Ranking1[[#This Row],[Res Structures Raw]]/L$2)*100</f>
        <v>1.1332889461829412E-2</v>
      </c>
      <c r="N1098" s="180">
        <f>FME_Ranking1[[#This Row],[Res Structures Score (Normalized, Unweighted)]]*$L$3</f>
        <v>1.1332889461829413E-3</v>
      </c>
      <c r="O1098" s="244">
        <f>_xlfn.XLOOKUP(FME_Ranking1[[#This Row],[FME ID]],FME_Input[FME_ID],FME_Input[POP100])</f>
        <v>22</v>
      </c>
      <c r="P1098" s="178">
        <f>(FME_Ranking1[[#This Row],[Pop Raw]]/$O$2)*100</f>
        <v>2.2522568637527922E-3</v>
      </c>
      <c r="Q1098" s="178">
        <f>FME_Ranking1[[#This Row],[Pop Score (Normalized, Unweighted)]]*$O$3</f>
        <v>3.3783852956291883E-4</v>
      </c>
      <c r="R1098" s="137">
        <f>_xlfn.XLOOKUP(FME_Ranking1[[#This Row],[FME ID]],FME_Input[FME_ID],FME_Input[CRITFAC100])</f>
        <v>0</v>
      </c>
      <c r="S1098" s="230">
        <f>(FME_Ranking1[[#This Row],[Critical Facilities Raw]]/$R$2)*100</f>
        <v>0</v>
      </c>
      <c r="T1098" s="180">
        <f>FME_Ranking1[[#This Row],[Critical Facilities Score (Normalized, Unweighted)]]*$R$3</f>
        <v>0</v>
      </c>
      <c r="U1098">
        <f>_xlfn.XLOOKUP(FME_Ranking1[[#This Row],[FME ID]],FME_Input[FME_ID],FME_Input[LWC])</f>
        <v>5</v>
      </c>
      <c r="V1098" s="178">
        <f>(FME_Ranking1[[#This Row],[LWC Raw]]/$U$2)*100</f>
        <v>0.28785261945883706</v>
      </c>
      <c r="W1098" s="178">
        <f>FME_Ranking1[[#This Row],[LWC Score (Normalized, Unweighted)]]*$U$3</f>
        <v>5.7570523891767415E-2</v>
      </c>
      <c r="X1098" s="246">
        <f>_xlfn.XLOOKUP(FME_Ranking1[[#This Row],[FME ID]],FME_Input[FME_ID],FME_Input[ROADCLS])</f>
        <v>0</v>
      </c>
      <c r="Y1098" s="230">
        <f>(FME_Ranking1[[#This Row],[Closures Raw]]/$X$2)*100</f>
        <v>0</v>
      </c>
      <c r="Z1098" s="180">
        <f>FME_Ranking1[[#This Row],[Closures Score (Normalized, Unweighted)]]*$X$3</f>
        <v>0</v>
      </c>
      <c r="AA1098" s="253">
        <f>_xlfn.XLOOKUP(FME_Ranking1[[#This Row],[FME ID]],FME_Input[FME_ID],FME_Input[ROAD_MILES100])</f>
        <v>20.95122146606445</v>
      </c>
      <c r="AB1098" s="178">
        <f>(FME_Ranking1[[#This Row],[Miles Raw]]/$AA$2)*100</f>
        <v>0.27547098449891944</v>
      </c>
      <c r="AC1098" s="178">
        <f>FME_Ranking1[[#This Row],[Miles Score (Normalized, Unweighted)]]*$AA$3</f>
        <v>2.7547098449891946E-2</v>
      </c>
      <c r="AD1098" s="255">
        <f>_xlfn.XLOOKUP(FME_Ranking1[[#This Row],[FME ID]],FME_Input[FME_ID],FME_Input[FARMACRE100])</f>
        <v>4147.8193359375</v>
      </c>
      <c r="AE1098" s="230">
        <f>(FME_Ranking1[[#This Row],[Ag Land Raw]]/$AD$2)*100</f>
        <v>0.17103750168550202</v>
      </c>
      <c r="AF1098" s="231">
        <f>FME_Ranking1[[#This Row],[Ag Land Score (Normalized, Unweighted)]]*$AD$3</f>
        <v>8.5518750842751012E-3</v>
      </c>
      <c r="AG109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0.10236977282611164</v>
      </c>
      <c r="AH1098" s="406">
        <f t="shared" si="17"/>
        <v>1044</v>
      </c>
      <c r="AI109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0.10236977282611164</v>
      </c>
      <c r="AJ1098" s="257">
        <f>FME_Ranking1[[#This Row],[Addition check]]-FME_Ranking1[[#This Row],[Weighted Score Based on Normalized Reported Factors]]</f>
        <v>0</v>
      </c>
      <c r="AK1098" s="178">
        <f>_xlfn.RANK.EQ(AI1098,$AI$6:$AI$2341,0)+COUNTIF($AI$6:AI1098,AI1098)-1</f>
        <v>1044</v>
      </c>
    </row>
    <row r="1099" spans="1:37" x14ac:dyDescent="0.25">
      <c r="A1099" t="s">
        <v>8000</v>
      </c>
      <c r="B1099">
        <f>_xlfn.XLOOKUP(FME_Ranking1[[#This Row],[FME ID]],FME_Input[FME_ID],FME_Input[RFPG_NUM])</f>
        <v>9</v>
      </c>
      <c r="C1099" t="str">
        <f>_xlfn.XLOOKUP(FME_Ranking1[[#This Row],[FME ID]],FME_Input[FME_ID],FME_Input[FME_NAME])</f>
        <v>Nolan County  DMP</v>
      </c>
      <c r="D1099" t="str">
        <f>_xlfn.XLOOKUP(FME_Ranking1[[#This Row],[FME ID]],FME_Input[FME_ID],FME_Input[DESCR])</f>
        <v xml:space="preserve">Create Drainage Master Plan, including evaluation of potential mitigation projects. </v>
      </c>
      <c r="E1099" s="256">
        <f>_xlfn.XLOOKUP(FME_Ranking1[[#This Row],[FME ID]],FME_Input[FME_ID],FME_Input[FME_COST])</f>
        <v>500000</v>
      </c>
      <c r="F1099" t="str">
        <f>_xlfn.XLOOKUP(FME_Ranking1[[#This Row],[FME ID]],FME_Input[FME_ID],FME_Input[EMER_NEED])</f>
        <v>No</v>
      </c>
      <c r="G1099">
        <f>IF(FME_Ranking!F1099="Yes",100,0)</f>
        <v>0</v>
      </c>
      <c r="H1099">
        <f>FME_Ranking1[[#This Row],[Emergency Need Score (Normalized, Unweighted)]]*$F$3</f>
        <v>0</v>
      </c>
      <c r="I1099" s="246">
        <f>_xlfn.XLOOKUP(FME_Ranking1[[#This Row],[FME ID]],FME_Input[FME_ID],FME_Input[STRUCT_100])</f>
        <v>90</v>
      </c>
      <c r="J1099" s="178">
        <f>(FME_Ranking1[[#This Row],[Structures 100 Raw]]/I$2)*100</f>
        <v>4.8194319496208712E-2</v>
      </c>
      <c r="K1099" s="178">
        <f>FME_Ranking1[[#This Row],[Structures 100  Score (Normalized, Unweighted)]]*$I$3</f>
        <v>7.2291479244313067E-3</v>
      </c>
      <c r="L1099" s="246">
        <f>_xlfn.XLOOKUP(FME_Ranking1[[#This Row],[FME ID]],FME_Input[FME_ID],FME_Input[RES_STRUCT100])</f>
        <v>16</v>
      </c>
      <c r="M1099" s="230">
        <f>(FME_Ranking1[[#This Row],[Res Structures Raw]]/L$2)*100</f>
        <v>1.1332889461829412E-2</v>
      </c>
      <c r="N1099" s="180">
        <f>FME_Ranking1[[#This Row],[Res Structures Score (Normalized, Unweighted)]]*$L$3</f>
        <v>1.1332889461829413E-3</v>
      </c>
      <c r="O1099" s="244">
        <f>_xlfn.XLOOKUP(FME_Ranking1[[#This Row],[FME ID]],FME_Input[FME_ID],FME_Input[POP100])</f>
        <v>22</v>
      </c>
      <c r="P1099" s="178">
        <f>(FME_Ranking1[[#This Row],[Pop Raw]]/$O$2)*100</f>
        <v>2.2522568637527922E-3</v>
      </c>
      <c r="Q1099" s="178">
        <f>FME_Ranking1[[#This Row],[Pop Score (Normalized, Unweighted)]]*$O$3</f>
        <v>3.3783852956291883E-4</v>
      </c>
      <c r="R1099" s="137">
        <f>_xlfn.XLOOKUP(FME_Ranking1[[#This Row],[FME ID]],FME_Input[FME_ID],FME_Input[CRITFAC100])</f>
        <v>0</v>
      </c>
      <c r="S1099" s="230">
        <f>(FME_Ranking1[[#This Row],[Critical Facilities Raw]]/$R$2)*100</f>
        <v>0</v>
      </c>
      <c r="T1099" s="180">
        <f>FME_Ranking1[[#This Row],[Critical Facilities Score (Normalized, Unweighted)]]*$R$3</f>
        <v>0</v>
      </c>
      <c r="U1099">
        <f>_xlfn.XLOOKUP(FME_Ranking1[[#This Row],[FME ID]],FME_Input[FME_ID],FME_Input[LWC])</f>
        <v>5</v>
      </c>
      <c r="V1099" s="178">
        <f>(FME_Ranking1[[#This Row],[LWC Raw]]/$U$2)*100</f>
        <v>0.28785261945883706</v>
      </c>
      <c r="W1099" s="178">
        <f>FME_Ranking1[[#This Row],[LWC Score (Normalized, Unweighted)]]*$U$3</f>
        <v>5.7570523891767415E-2</v>
      </c>
      <c r="X1099" s="246">
        <f>_xlfn.XLOOKUP(FME_Ranking1[[#This Row],[FME ID]],FME_Input[FME_ID],FME_Input[ROADCLS])</f>
        <v>0</v>
      </c>
      <c r="Y1099" s="230">
        <f>(FME_Ranking1[[#This Row],[Closures Raw]]/$X$2)*100</f>
        <v>0</v>
      </c>
      <c r="Z1099" s="180">
        <f>FME_Ranking1[[#This Row],[Closures Score (Normalized, Unweighted)]]*$X$3</f>
        <v>0</v>
      </c>
      <c r="AA1099" s="253">
        <f>_xlfn.XLOOKUP(FME_Ranking1[[#This Row],[FME ID]],FME_Input[FME_ID],FME_Input[ROAD_MILES100])</f>
        <v>20.95122146606445</v>
      </c>
      <c r="AB1099" s="178">
        <f>(FME_Ranking1[[#This Row],[Miles Raw]]/$AA$2)*100</f>
        <v>0.27547098449891944</v>
      </c>
      <c r="AC1099" s="178">
        <f>FME_Ranking1[[#This Row],[Miles Score (Normalized, Unweighted)]]*$AA$3</f>
        <v>2.7547098449891946E-2</v>
      </c>
      <c r="AD1099" s="255">
        <f>_xlfn.XLOOKUP(FME_Ranking1[[#This Row],[FME ID]],FME_Input[FME_ID],FME_Input[FARMACRE100])</f>
        <v>4147.8193359375</v>
      </c>
      <c r="AE1099" s="230">
        <f>(FME_Ranking1[[#This Row],[Ag Land Raw]]/$AD$2)*100</f>
        <v>0.17103750168550202</v>
      </c>
      <c r="AF1099" s="231">
        <f>FME_Ranking1[[#This Row],[Ag Land Score (Normalized, Unweighted)]]*$AD$3</f>
        <v>8.5518750842751012E-3</v>
      </c>
      <c r="AG109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0.10236977282611164</v>
      </c>
      <c r="AH1099" s="406">
        <f t="shared" si="17"/>
        <v>1044</v>
      </c>
      <c r="AI109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0.10236977282611164</v>
      </c>
      <c r="AJ1099" s="257">
        <f>FME_Ranking1[[#This Row],[Addition check]]-FME_Ranking1[[#This Row],[Weighted Score Based on Normalized Reported Factors]]</f>
        <v>0</v>
      </c>
      <c r="AK1099" s="178">
        <f>_xlfn.RANK.EQ(AI1099,$AI$6:$AI$2341,0)+COUNTIF($AI$6:AI1099,AI1099)-1</f>
        <v>1045</v>
      </c>
    </row>
    <row r="1100" spans="1:37" x14ac:dyDescent="0.25">
      <c r="A1100" t="s">
        <v>8034</v>
      </c>
      <c r="B1100">
        <f>_xlfn.XLOOKUP(FME_Ranking1[[#This Row],[FME ID]],FME_Input[FME_ID],FME_Input[RFPG_NUM])</f>
        <v>9</v>
      </c>
      <c r="C1100" t="str">
        <f>_xlfn.XLOOKUP(FME_Ranking1[[#This Row],[FME ID]],FME_Input[FME_ID],FME_Input[FME_NAME])</f>
        <v>Nolan County  GIS Development</v>
      </c>
      <c r="D1100" t="str">
        <f>_xlfn.XLOOKUP(FME_Ranking1[[#This Row],[FME ID]],FME_Input[FME_ID],FME_Input[DESCR])</f>
        <v>Develop a GIS inventory of stormwater infrastructure</v>
      </c>
      <c r="E1100" s="256">
        <f>_xlfn.XLOOKUP(FME_Ranking1[[#This Row],[FME ID]],FME_Input[FME_ID],FME_Input[FME_COST])</f>
        <v>100000</v>
      </c>
      <c r="F1100" t="str">
        <f>_xlfn.XLOOKUP(FME_Ranking1[[#This Row],[FME ID]],FME_Input[FME_ID],FME_Input[EMER_NEED])</f>
        <v>No</v>
      </c>
      <c r="G1100">
        <f>IF(FME_Ranking!F1100="Yes",100,0)</f>
        <v>0</v>
      </c>
      <c r="H1100">
        <f>FME_Ranking1[[#This Row],[Emergency Need Score (Normalized, Unweighted)]]*$F$3</f>
        <v>0</v>
      </c>
      <c r="I1100" s="246">
        <f>_xlfn.XLOOKUP(FME_Ranking1[[#This Row],[FME ID]],FME_Input[FME_ID],FME_Input[STRUCT_100])</f>
        <v>90</v>
      </c>
      <c r="J1100" s="178">
        <f>(FME_Ranking1[[#This Row],[Structures 100 Raw]]/I$2)*100</f>
        <v>4.8194319496208712E-2</v>
      </c>
      <c r="K1100" s="178">
        <f>FME_Ranking1[[#This Row],[Structures 100  Score (Normalized, Unweighted)]]*$I$3</f>
        <v>7.2291479244313067E-3</v>
      </c>
      <c r="L1100" s="246">
        <f>_xlfn.XLOOKUP(FME_Ranking1[[#This Row],[FME ID]],FME_Input[FME_ID],FME_Input[RES_STRUCT100])</f>
        <v>16</v>
      </c>
      <c r="M1100" s="230">
        <f>(FME_Ranking1[[#This Row],[Res Structures Raw]]/L$2)*100</f>
        <v>1.1332889461829412E-2</v>
      </c>
      <c r="N1100" s="180">
        <f>FME_Ranking1[[#This Row],[Res Structures Score (Normalized, Unweighted)]]*$L$3</f>
        <v>1.1332889461829413E-3</v>
      </c>
      <c r="O1100" s="244">
        <f>_xlfn.XLOOKUP(FME_Ranking1[[#This Row],[FME ID]],FME_Input[FME_ID],FME_Input[POP100])</f>
        <v>22</v>
      </c>
      <c r="P1100" s="178">
        <f>(FME_Ranking1[[#This Row],[Pop Raw]]/$O$2)*100</f>
        <v>2.2522568637527922E-3</v>
      </c>
      <c r="Q1100" s="178">
        <f>FME_Ranking1[[#This Row],[Pop Score (Normalized, Unweighted)]]*$O$3</f>
        <v>3.3783852956291883E-4</v>
      </c>
      <c r="R1100" s="137">
        <f>_xlfn.XLOOKUP(FME_Ranking1[[#This Row],[FME ID]],FME_Input[FME_ID],FME_Input[CRITFAC100])</f>
        <v>0</v>
      </c>
      <c r="S1100" s="230">
        <f>(FME_Ranking1[[#This Row],[Critical Facilities Raw]]/$R$2)*100</f>
        <v>0</v>
      </c>
      <c r="T1100" s="180">
        <f>FME_Ranking1[[#This Row],[Critical Facilities Score (Normalized, Unweighted)]]*$R$3</f>
        <v>0</v>
      </c>
      <c r="U1100">
        <f>_xlfn.XLOOKUP(FME_Ranking1[[#This Row],[FME ID]],FME_Input[FME_ID],FME_Input[LWC])</f>
        <v>5</v>
      </c>
      <c r="V1100" s="178">
        <f>(FME_Ranking1[[#This Row],[LWC Raw]]/$U$2)*100</f>
        <v>0.28785261945883706</v>
      </c>
      <c r="W1100" s="178">
        <f>FME_Ranking1[[#This Row],[LWC Score (Normalized, Unweighted)]]*$U$3</f>
        <v>5.7570523891767415E-2</v>
      </c>
      <c r="X1100" s="246">
        <f>_xlfn.XLOOKUP(FME_Ranking1[[#This Row],[FME ID]],FME_Input[FME_ID],FME_Input[ROADCLS])</f>
        <v>0</v>
      </c>
      <c r="Y1100" s="230">
        <f>(FME_Ranking1[[#This Row],[Closures Raw]]/$X$2)*100</f>
        <v>0</v>
      </c>
      <c r="Z1100" s="180">
        <f>FME_Ranking1[[#This Row],[Closures Score (Normalized, Unweighted)]]*$X$3</f>
        <v>0</v>
      </c>
      <c r="AA1100" s="253">
        <f>_xlfn.XLOOKUP(FME_Ranking1[[#This Row],[FME ID]],FME_Input[FME_ID],FME_Input[ROAD_MILES100])</f>
        <v>20.95122146606445</v>
      </c>
      <c r="AB1100" s="178">
        <f>(FME_Ranking1[[#This Row],[Miles Raw]]/$AA$2)*100</f>
        <v>0.27547098449891944</v>
      </c>
      <c r="AC1100" s="178">
        <f>FME_Ranking1[[#This Row],[Miles Score (Normalized, Unweighted)]]*$AA$3</f>
        <v>2.7547098449891946E-2</v>
      </c>
      <c r="AD1100" s="255">
        <f>_xlfn.XLOOKUP(FME_Ranking1[[#This Row],[FME ID]],FME_Input[FME_ID],FME_Input[FARMACRE100])</f>
        <v>4147.8193359375</v>
      </c>
      <c r="AE1100" s="230">
        <f>(FME_Ranking1[[#This Row],[Ag Land Raw]]/$AD$2)*100</f>
        <v>0.17103750168550202</v>
      </c>
      <c r="AF1100" s="231">
        <f>FME_Ranking1[[#This Row],[Ag Land Score (Normalized, Unweighted)]]*$AD$3</f>
        <v>8.5518750842751012E-3</v>
      </c>
      <c r="AG110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0.10236977282611164</v>
      </c>
      <c r="AH1100" s="406">
        <f t="shared" si="17"/>
        <v>1044</v>
      </c>
      <c r="AI110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0.10236977282611164</v>
      </c>
      <c r="AJ1100" s="257">
        <f>FME_Ranking1[[#This Row],[Addition check]]-FME_Ranking1[[#This Row],[Weighted Score Based on Normalized Reported Factors]]</f>
        <v>0</v>
      </c>
      <c r="AK1100" s="178">
        <f>_xlfn.RANK.EQ(AI1100,$AI$6:$AI$2341,0)+COUNTIF($AI$6:AI1100,AI1100)-1</f>
        <v>1046</v>
      </c>
    </row>
    <row r="1101" spans="1:37" x14ac:dyDescent="0.25">
      <c r="A1101" t="s">
        <v>8321</v>
      </c>
      <c r="B1101">
        <f>_xlfn.XLOOKUP(FME_Ranking1[[#This Row],[FME ID]],FME_Input[FME_ID],FME_Input[RFPG_NUM])</f>
        <v>9</v>
      </c>
      <c r="C1101" t="str">
        <f>_xlfn.XLOOKUP(FME_Ranking1[[#This Row],[FME ID]],FME_Input[FME_ID],FME_Input[FME_NAME])</f>
        <v>Nolan County Buyout Program Study</v>
      </c>
      <c r="D1101" t="str">
        <f>_xlfn.XLOOKUP(FME_Ranking1[[#This Row],[FME ID]],FME_Input[FME_ID],FME_Input[DESCR])</f>
        <v xml:space="preserve">Proposed evaluation of potential buyout project for repetitive loss properties in Nolan County. </v>
      </c>
      <c r="E1101" s="256">
        <f>_xlfn.XLOOKUP(FME_Ranking1[[#This Row],[FME ID]],FME_Input[FME_ID],FME_Input[FME_COST])</f>
        <v>100000</v>
      </c>
      <c r="F1101" t="str">
        <f>_xlfn.XLOOKUP(FME_Ranking1[[#This Row],[FME ID]],FME_Input[FME_ID],FME_Input[EMER_NEED])</f>
        <v>No</v>
      </c>
      <c r="G1101">
        <f>IF(FME_Ranking!F1101="Yes",100,0)</f>
        <v>0</v>
      </c>
      <c r="H1101">
        <f>FME_Ranking1[[#This Row],[Emergency Need Score (Normalized, Unweighted)]]*$F$3</f>
        <v>0</v>
      </c>
      <c r="I1101" s="246">
        <f>_xlfn.XLOOKUP(FME_Ranking1[[#This Row],[FME ID]],FME_Input[FME_ID],FME_Input[STRUCT_100])</f>
        <v>90</v>
      </c>
      <c r="J1101" s="178">
        <f>(FME_Ranking1[[#This Row],[Structures 100 Raw]]/I$2)*100</f>
        <v>4.8194319496208712E-2</v>
      </c>
      <c r="K1101" s="178">
        <f>FME_Ranking1[[#This Row],[Structures 100  Score (Normalized, Unweighted)]]*$I$3</f>
        <v>7.2291479244313067E-3</v>
      </c>
      <c r="L1101" s="246">
        <f>_xlfn.XLOOKUP(FME_Ranking1[[#This Row],[FME ID]],FME_Input[FME_ID],FME_Input[RES_STRUCT100])</f>
        <v>16</v>
      </c>
      <c r="M1101" s="230">
        <f>(FME_Ranking1[[#This Row],[Res Structures Raw]]/L$2)*100</f>
        <v>1.1332889461829412E-2</v>
      </c>
      <c r="N1101" s="180">
        <f>FME_Ranking1[[#This Row],[Res Structures Score (Normalized, Unweighted)]]*$L$3</f>
        <v>1.1332889461829413E-3</v>
      </c>
      <c r="O1101" s="244">
        <f>_xlfn.XLOOKUP(FME_Ranking1[[#This Row],[FME ID]],FME_Input[FME_ID],FME_Input[POP100])</f>
        <v>22</v>
      </c>
      <c r="P1101" s="178">
        <f>(FME_Ranking1[[#This Row],[Pop Raw]]/$O$2)*100</f>
        <v>2.2522568637527922E-3</v>
      </c>
      <c r="Q1101" s="178">
        <f>FME_Ranking1[[#This Row],[Pop Score (Normalized, Unweighted)]]*$O$3</f>
        <v>3.3783852956291883E-4</v>
      </c>
      <c r="R1101" s="137">
        <f>_xlfn.XLOOKUP(FME_Ranking1[[#This Row],[FME ID]],FME_Input[FME_ID],FME_Input[CRITFAC100])</f>
        <v>0</v>
      </c>
      <c r="S1101" s="230">
        <f>(FME_Ranking1[[#This Row],[Critical Facilities Raw]]/$R$2)*100</f>
        <v>0</v>
      </c>
      <c r="T1101" s="180">
        <f>FME_Ranking1[[#This Row],[Critical Facilities Score (Normalized, Unweighted)]]*$R$3</f>
        <v>0</v>
      </c>
      <c r="U1101">
        <f>_xlfn.XLOOKUP(FME_Ranking1[[#This Row],[FME ID]],FME_Input[FME_ID],FME_Input[LWC])</f>
        <v>5</v>
      </c>
      <c r="V1101" s="178">
        <f>(FME_Ranking1[[#This Row],[LWC Raw]]/$U$2)*100</f>
        <v>0.28785261945883706</v>
      </c>
      <c r="W1101" s="178">
        <f>FME_Ranking1[[#This Row],[LWC Score (Normalized, Unweighted)]]*$U$3</f>
        <v>5.7570523891767415E-2</v>
      </c>
      <c r="X1101" s="246">
        <f>_xlfn.XLOOKUP(FME_Ranking1[[#This Row],[FME ID]],FME_Input[FME_ID],FME_Input[ROADCLS])</f>
        <v>0</v>
      </c>
      <c r="Y1101" s="230">
        <f>(FME_Ranking1[[#This Row],[Closures Raw]]/$X$2)*100</f>
        <v>0</v>
      </c>
      <c r="Z1101" s="180">
        <f>FME_Ranking1[[#This Row],[Closures Score (Normalized, Unweighted)]]*$X$3</f>
        <v>0</v>
      </c>
      <c r="AA1101" s="253">
        <f>_xlfn.XLOOKUP(FME_Ranking1[[#This Row],[FME ID]],FME_Input[FME_ID],FME_Input[ROAD_MILES100])</f>
        <v>20.95122146606445</v>
      </c>
      <c r="AB1101" s="178">
        <f>(FME_Ranking1[[#This Row],[Miles Raw]]/$AA$2)*100</f>
        <v>0.27547098449891944</v>
      </c>
      <c r="AC1101" s="178">
        <f>FME_Ranking1[[#This Row],[Miles Score (Normalized, Unweighted)]]*$AA$3</f>
        <v>2.7547098449891946E-2</v>
      </c>
      <c r="AD1101" s="255">
        <f>_xlfn.XLOOKUP(FME_Ranking1[[#This Row],[FME ID]],FME_Input[FME_ID],FME_Input[FARMACRE100])</f>
        <v>4147.8193359375</v>
      </c>
      <c r="AE1101" s="230">
        <f>(FME_Ranking1[[#This Row],[Ag Land Raw]]/$AD$2)*100</f>
        <v>0.17103750168550202</v>
      </c>
      <c r="AF1101" s="231">
        <f>FME_Ranking1[[#This Row],[Ag Land Score (Normalized, Unweighted)]]*$AD$3</f>
        <v>8.5518750842751012E-3</v>
      </c>
      <c r="AG110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0.10236977282611164</v>
      </c>
      <c r="AH1101" s="406">
        <f t="shared" si="17"/>
        <v>1044</v>
      </c>
      <c r="AI110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0.10236977282611164</v>
      </c>
      <c r="AJ1101" s="257">
        <f>FME_Ranking1[[#This Row],[Addition check]]-FME_Ranking1[[#This Row],[Weighted Score Based on Normalized Reported Factors]]</f>
        <v>0</v>
      </c>
      <c r="AK1101" s="178">
        <f>_xlfn.RANK.EQ(AI1101,$AI$6:$AI$2341,0)+COUNTIF($AI$6:AI1101,AI1101)-1</f>
        <v>1047</v>
      </c>
    </row>
    <row r="1102" spans="1:37" x14ac:dyDescent="0.25">
      <c r="A1102" t="s">
        <v>7654</v>
      </c>
      <c r="B1102">
        <f>_xlfn.XLOOKUP(FME_Ranking1[[#This Row],[FME ID]],FME_Input[FME_ID],FME_Input[RFPG_NUM])</f>
        <v>8</v>
      </c>
      <c r="C1102" t="str">
        <f>_xlfn.XLOOKUP(FME_Ranking1[[#This Row],[FME ID]],FME_Input[FME_ID],FME_Input[FME_NAME])</f>
        <v>Study Wickson Creek for Floodplain/Floodway from FM 974 to Navasota River</v>
      </c>
      <c r="D1102" t="str">
        <f>_xlfn.XLOOKUP(FME_Ranking1[[#This Row],[FME ID]],FME_Input[FME_ID],FME_Input[DESCR])</f>
        <v>Study of Wickerson Creek to determine flood risk.</v>
      </c>
      <c r="E1102" s="256">
        <f>_xlfn.XLOOKUP(FME_Ranking1[[#This Row],[FME ID]],FME_Input[FME_ID],FME_Input[FME_COST])</f>
        <v>436000</v>
      </c>
      <c r="F1102" t="str">
        <f>_xlfn.XLOOKUP(FME_Ranking1[[#This Row],[FME ID]],FME_Input[FME_ID],FME_Input[EMER_NEED])</f>
        <v>No</v>
      </c>
      <c r="G1102">
        <f>IF(FME_Ranking!F1102="Yes",100,0)</f>
        <v>0</v>
      </c>
      <c r="H1102">
        <f>FME_Ranking1[[#This Row],[Emergency Need Score (Normalized, Unweighted)]]*$F$3</f>
        <v>0</v>
      </c>
      <c r="I1102" s="246">
        <f>_xlfn.XLOOKUP(FME_Ranking1[[#This Row],[FME ID]],FME_Input[FME_ID],FME_Input[STRUCT_100])</f>
        <v>52</v>
      </c>
      <c r="J1102" s="178">
        <f>(FME_Ranking1[[#This Row],[Structures 100 Raw]]/I$2)*100</f>
        <v>2.7845606820031704E-2</v>
      </c>
      <c r="K1102" s="178">
        <f>FME_Ranking1[[#This Row],[Structures 100  Score (Normalized, Unweighted)]]*$I$3</f>
        <v>4.1768410230047558E-3</v>
      </c>
      <c r="L1102" s="246">
        <f>_xlfn.XLOOKUP(FME_Ranking1[[#This Row],[FME ID]],FME_Input[FME_ID],FME_Input[RES_STRUCT100])</f>
        <v>45</v>
      </c>
      <c r="M1102" s="230">
        <f>(FME_Ranking1[[#This Row],[Res Structures Raw]]/L$2)*100</f>
        <v>3.1873751611395225E-2</v>
      </c>
      <c r="N1102" s="180">
        <f>FME_Ranking1[[#This Row],[Res Structures Score (Normalized, Unweighted)]]*$L$3</f>
        <v>3.1873751611395228E-3</v>
      </c>
      <c r="O1102" s="244">
        <f>_xlfn.XLOOKUP(FME_Ranking1[[#This Row],[FME ID]],FME_Input[FME_ID],FME_Input[POP100])</f>
        <v>65</v>
      </c>
      <c r="P1102" s="178">
        <f>(FME_Ranking1[[#This Row],[Pop Raw]]/$O$2)*100</f>
        <v>6.6543952792696131E-3</v>
      </c>
      <c r="Q1102" s="178">
        <f>FME_Ranking1[[#This Row],[Pop Score (Normalized, Unweighted)]]*$O$3</f>
        <v>9.9815929189044192E-4</v>
      </c>
      <c r="R1102" s="137">
        <f>_xlfn.XLOOKUP(FME_Ranking1[[#This Row],[FME ID]],FME_Input[FME_ID],FME_Input[CRITFAC100])</f>
        <v>0</v>
      </c>
      <c r="S1102" s="230">
        <f>(FME_Ranking1[[#This Row],[Critical Facilities Raw]]/$R$2)*100</f>
        <v>0</v>
      </c>
      <c r="T1102" s="180">
        <f>FME_Ranking1[[#This Row],[Critical Facilities Score (Normalized, Unweighted)]]*$R$3</f>
        <v>0</v>
      </c>
      <c r="U1102">
        <f>_xlfn.XLOOKUP(FME_Ranking1[[#This Row],[FME ID]],FME_Input[FME_ID],FME_Input[LWC])</f>
        <v>4</v>
      </c>
      <c r="V1102" s="178">
        <f>(FME_Ranking1[[#This Row],[LWC Raw]]/$U$2)*100</f>
        <v>0.23028209556706969</v>
      </c>
      <c r="W1102" s="178">
        <f>FME_Ranking1[[#This Row],[LWC Score (Normalized, Unweighted)]]*$U$3</f>
        <v>4.6056419113413939E-2</v>
      </c>
      <c r="X1102" s="246">
        <f>_xlfn.XLOOKUP(FME_Ranking1[[#This Row],[FME ID]],FME_Input[FME_ID],FME_Input[ROADCLS])</f>
        <v>25</v>
      </c>
      <c r="Y1102" s="230">
        <f>(FME_Ranking1[[#This Row],[Closures Raw]]/$X$2)*100</f>
        <v>0.2628535380086216</v>
      </c>
      <c r="Z1102" s="180">
        <f>FME_Ranking1[[#This Row],[Closures Score (Normalized, Unweighted)]]*$X$3</f>
        <v>1.3142676900431081E-2</v>
      </c>
      <c r="AA1102" s="253">
        <f>_xlfn.XLOOKUP(FME_Ranking1[[#This Row],[FME ID]],FME_Input[FME_ID],FME_Input[ROAD_MILES100])</f>
        <v>5.2307400703430176</v>
      </c>
      <c r="AB1102" s="178">
        <f>(FME_Ranking1[[#This Row],[Miles Raw]]/$AA$2)*100</f>
        <v>6.8774850152257261E-2</v>
      </c>
      <c r="AC1102" s="178">
        <f>FME_Ranking1[[#This Row],[Miles Score (Normalized, Unweighted)]]*$AA$3</f>
        <v>6.8774850152257261E-3</v>
      </c>
      <c r="AD1102" s="255">
        <f>_xlfn.XLOOKUP(FME_Ranking1[[#This Row],[FME ID]],FME_Input[FME_ID],FME_Input[FARMACRE100])</f>
        <v>3488.639892578125</v>
      </c>
      <c r="AE1102" s="230">
        <f>(FME_Ranking1[[#This Row],[Ag Land Raw]]/$AD$2)*100</f>
        <v>0.14385589226057161</v>
      </c>
      <c r="AF1102" s="231">
        <f>FME_Ranking1[[#This Row],[Ag Land Score (Normalized, Unweighted)]]*$AD$3</f>
        <v>7.1927946130285808E-3</v>
      </c>
      <c r="AG110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8.1631751118134047E-2</v>
      </c>
      <c r="AH1102" s="406">
        <f t="shared" si="17"/>
        <v>1133</v>
      </c>
      <c r="AI110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8.1631751118134047E-2</v>
      </c>
      <c r="AJ1102" s="257">
        <f>FME_Ranking1[[#This Row],[Addition check]]-FME_Ranking1[[#This Row],[Weighted Score Based on Normalized Reported Factors]]</f>
        <v>0</v>
      </c>
      <c r="AK1102" s="178">
        <f>_xlfn.RANK.EQ(AI1102,$AI$6:$AI$2341,0)+COUNTIF($AI$6:AI1102,AI1102)-1</f>
        <v>1133</v>
      </c>
    </row>
    <row r="1103" spans="1:37" x14ac:dyDescent="0.25">
      <c r="A1103" t="s">
        <v>3942</v>
      </c>
      <c r="B1103">
        <f>_xlfn.XLOOKUP(FME_Ranking1[[#This Row],[FME ID]],FME_Input[FME_ID],FME_Input[RFPG_NUM])</f>
        <v>3</v>
      </c>
      <c r="C1103" t="str">
        <f>_xlfn.XLOOKUP(FME_Ranking1[[#This Row],[FME ID]],FME_Input[FME_ID],FME_Input[FME_NAME])</f>
        <v xml:space="preserve">Limestone County FEMA Mapping </v>
      </c>
      <c r="D1103" t="str">
        <f>_xlfn.XLOOKUP(FME_Ranking1[[#This Row],[FME ID]],FME_Input[FME_ID],FME_Input[DESCR])</f>
        <v>Create FEMA mapping in previously unmapped areas and update existing FEMA maps as needed.</v>
      </c>
      <c r="E1103" s="256">
        <f>_xlfn.XLOOKUP(FME_Ranking1[[#This Row],[FME ID]],FME_Input[FME_ID],FME_Input[FME_COST])</f>
        <v>1272000</v>
      </c>
      <c r="F1103" t="str">
        <f>_xlfn.XLOOKUP(FME_Ranking1[[#This Row],[FME ID]],FME_Input[FME_ID],FME_Input[EMER_NEED])</f>
        <v>No</v>
      </c>
      <c r="G1103">
        <f>IF(FME_Ranking!F1103="Yes",100,0)</f>
        <v>0</v>
      </c>
      <c r="H1103">
        <f>FME_Ranking1[[#This Row],[Emergency Need Score (Normalized, Unweighted)]]*$F$3</f>
        <v>0</v>
      </c>
      <c r="I1103" s="246">
        <f>_xlfn.XLOOKUP(FME_Ranking1[[#This Row],[FME ID]],FME_Input[FME_ID],FME_Input[STRUCT_100])</f>
        <v>62</v>
      </c>
      <c r="J1103" s="178">
        <f>(FME_Ranking1[[#This Row],[Structures 100 Raw]]/I$2)*100</f>
        <v>3.3200531208499334E-2</v>
      </c>
      <c r="K1103" s="178">
        <f>FME_Ranking1[[#This Row],[Structures 100  Score (Normalized, Unweighted)]]*$I$3</f>
        <v>4.9800796812749003E-3</v>
      </c>
      <c r="L1103" s="246">
        <f>_xlfn.XLOOKUP(FME_Ranking1[[#This Row],[FME ID]],FME_Input[FME_ID],FME_Input[RES_STRUCT100])</f>
        <v>33</v>
      </c>
      <c r="M1103" s="230">
        <f>(FME_Ranking1[[#This Row],[Res Structures Raw]]/L$2)*100</f>
        <v>2.3374084515023163E-2</v>
      </c>
      <c r="N1103" s="180">
        <f>FME_Ranking1[[#This Row],[Res Structures Score (Normalized, Unweighted)]]*$L$3</f>
        <v>2.3374084515023165E-3</v>
      </c>
      <c r="O1103" s="244">
        <f>_xlfn.XLOOKUP(FME_Ranking1[[#This Row],[FME ID]],FME_Input[FME_ID],FME_Input[POP100])</f>
        <v>53</v>
      </c>
      <c r="P1103" s="178">
        <f>(FME_Ranking1[[#This Row],[Pop Raw]]/$O$2)*100</f>
        <v>5.4258915354044547E-3</v>
      </c>
      <c r="Q1103" s="178">
        <f>FME_Ranking1[[#This Row],[Pop Score (Normalized, Unweighted)]]*$O$3</f>
        <v>8.1388373031066822E-4</v>
      </c>
      <c r="R1103" s="137">
        <f>_xlfn.XLOOKUP(FME_Ranking1[[#This Row],[FME ID]],FME_Input[FME_ID],FME_Input[CRITFAC100])</f>
        <v>1</v>
      </c>
      <c r="S1103" s="230">
        <f>(FME_Ranking1[[#This Row],[Critical Facilities Raw]]/$R$2)*100</f>
        <v>4.2881646655231559E-2</v>
      </c>
      <c r="T1103" s="180">
        <f>FME_Ranking1[[#This Row],[Critical Facilities Score (Normalized, Unweighted)]]*$R$3</f>
        <v>8.5763293310463125E-3</v>
      </c>
      <c r="U1103">
        <f>_xlfn.XLOOKUP(FME_Ranking1[[#This Row],[FME ID]],FME_Input[FME_ID],FME_Input[LWC])</f>
        <v>3</v>
      </c>
      <c r="V1103" s="178">
        <f>(FME_Ranking1[[#This Row],[LWC Raw]]/$U$2)*100</f>
        <v>0.17271157167530224</v>
      </c>
      <c r="W1103" s="178">
        <f>FME_Ranking1[[#This Row],[LWC Score (Normalized, Unweighted)]]*$U$3</f>
        <v>3.4542314335060449E-2</v>
      </c>
      <c r="X1103" s="246">
        <f>_xlfn.XLOOKUP(FME_Ranking1[[#This Row],[FME ID]],FME_Input[FME_ID],FME_Input[ROADCLS])</f>
        <v>0</v>
      </c>
      <c r="Y1103" s="230">
        <f>(FME_Ranking1[[#This Row],[Closures Raw]]/$X$2)*100</f>
        <v>0</v>
      </c>
      <c r="Z1103" s="180">
        <f>FME_Ranking1[[#This Row],[Closures Score (Normalized, Unweighted)]]*$X$3</f>
        <v>0</v>
      </c>
      <c r="AA1103" s="253">
        <f>_xlfn.XLOOKUP(FME_Ranking1[[#This Row],[FME ID]],FME_Input[FME_ID],FME_Input[ROAD_MILES100])</f>
        <v>12.87607002258301</v>
      </c>
      <c r="AB1103" s="178">
        <f>(FME_Ranking1[[#This Row],[Miles Raw]]/$AA$2)*100</f>
        <v>0.16929722648119397</v>
      </c>
      <c r="AC1103" s="178">
        <f>FME_Ranking1[[#This Row],[Miles Score (Normalized, Unweighted)]]*$AA$3</f>
        <v>1.6929722648119396E-2</v>
      </c>
      <c r="AD1103" s="255">
        <f>_xlfn.XLOOKUP(FME_Ranking1[[#This Row],[FME ID]],FME_Input[FME_ID],FME_Input[FARMACRE100])</f>
        <v>10683.740234375</v>
      </c>
      <c r="AE1103" s="230">
        <f>(FME_Ranking1[[#This Row],[Ag Land Raw]]/$AD$2)*100</f>
        <v>0.44054962146304871</v>
      </c>
      <c r="AF1103" s="231">
        <f>FME_Ranking1[[#This Row],[Ag Land Score (Normalized, Unweighted)]]*$AD$3</f>
        <v>2.2027481073152437E-2</v>
      </c>
      <c r="AG110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9.0207219250466486E-2</v>
      </c>
      <c r="AH1103" s="406">
        <f t="shared" si="17"/>
        <v>1089</v>
      </c>
      <c r="AI110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9.0207219250466486E-2</v>
      </c>
      <c r="AJ1103" s="257">
        <f>FME_Ranking1[[#This Row],[Addition check]]-FME_Ranking1[[#This Row],[Weighted Score Based on Normalized Reported Factors]]</f>
        <v>0</v>
      </c>
      <c r="AK1103" s="178">
        <f>_xlfn.RANK.EQ(AI1103,$AI$6:$AI$2341,0)+COUNTIF($AI$6:AI1103,AI1103)-1</f>
        <v>1089</v>
      </c>
    </row>
    <row r="1104" spans="1:37" x14ac:dyDescent="0.25">
      <c r="A1104" t="s">
        <v>416</v>
      </c>
      <c r="B1104">
        <f>_xlfn.XLOOKUP(FME_Ranking1[[#This Row],[FME ID]],FME_Input[FME_ID],FME_Input[RFPG_NUM])</f>
        <v>10</v>
      </c>
      <c r="C1104" t="str">
        <f>_xlfn.XLOOKUP(FME_Ranking1[[#This Row],[FME ID]],FME_Input[FME_ID],FME_Input[FME_NAME])</f>
        <v>Various Streets - Install Flood Early Warning System</v>
      </c>
      <c r="D1104" t="str">
        <f>_xlfn.XLOOKUP(FME_Ranking1[[#This Row],[FME ID]],FME_Input[FME_ID],FME_Input[DESCR])</f>
        <v xml:space="preserve">Local Flood Warning System_x000D_
</v>
      </c>
      <c r="E1104" s="256">
        <f>_xlfn.XLOOKUP(FME_Ranking1[[#This Row],[FME ID]],FME_Input[FME_ID],FME_Input[FME_COST])</f>
        <v>50000</v>
      </c>
      <c r="F1104" t="str">
        <f>_xlfn.XLOOKUP(FME_Ranking1[[#This Row],[FME ID]],FME_Input[FME_ID],FME_Input[EMER_NEED])</f>
        <v>No</v>
      </c>
      <c r="G1104">
        <f>IF(FME_Ranking!F1104="Yes",100,0)</f>
        <v>0</v>
      </c>
      <c r="H1104">
        <f>FME_Ranking1[[#This Row],[Emergency Need Score (Normalized, Unweighted)]]*$F$3</f>
        <v>0</v>
      </c>
      <c r="I1104" s="246">
        <f>_xlfn.XLOOKUP(FME_Ranking1[[#This Row],[FME ID]],FME_Input[FME_ID],FME_Input[STRUCT_100])</f>
        <v>51</v>
      </c>
      <c r="J1104" s="178">
        <f>(FME_Ranking1[[#This Row],[Structures 100 Raw]]/I$2)*100</f>
        <v>2.7310114381184934E-2</v>
      </c>
      <c r="K1104" s="178">
        <f>FME_Ranking1[[#This Row],[Structures 100  Score (Normalized, Unweighted)]]*$I$3</f>
        <v>4.0965171571777396E-3</v>
      </c>
      <c r="L1104" s="246">
        <f>_xlfn.XLOOKUP(FME_Ranking1[[#This Row],[FME ID]],FME_Input[FME_ID],FME_Input[RES_STRUCT100])</f>
        <v>4</v>
      </c>
      <c r="M1104" s="230">
        <f>(FME_Ranking1[[#This Row],[Res Structures Raw]]/L$2)*100</f>
        <v>2.833222365457353E-3</v>
      </c>
      <c r="N1104" s="180">
        <f>FME_Ranking1[[#This Row],[Res Structures Score (Normalized, Unweighted)]]*$L$3</f>
        <v>2.8332223654573533E-4</v>
      </c>
      <c r="O1104" s="244">
        <f>_xlfn.XLOOKUP(FME_Ranking1[[#This Row],[FME ID]],FME_Input[FME_ID],FME_Input[POP100])</f>
        <v>49</v>
      </c>
      <c r="P1104" s="178">
        <f>(FME_Ranking1[[#This Row],[Pop Raw]]/$O$2)*100</f>
        <v>5.016390287449401E-3</v>
      </c>
      <c r="Q1104" s="178">
        <f>FME_Ranking1[[#This Row],[Pop Score (Normalized, Unweighted)]]*$O$3</f>
        <v>7.5245854311741011E-4</v>
      </c>
      <c r="R1104" s="137">
        <f>_xlfn.XLOOKUP(FME_Ranking1[[#This Row],[FME ID]],FME_Input[FME_ID],FME_Input[CRITFAC100])</f>
        <v>0</v>
      </c>
      <c r="S1104" s="230">
        <f>(FME_Ranking1[[#This Row],[Critical Facilities Raw]]/$R$2)*100</f>
        <v>0</v>
      </c>
      <c r="T1104" s="180">
        <f>FME_Ranking1[[#This Row],[Critical Facilities Score (Normalized, Unweighted)]]*$R$3</f>
        <v>0</v>
      </c>
      <c r="U1104">
        <f>_xlfn.XLOOKUP(FME_Ranking1[[#This Row],[FME ID]],FME_Input[FME_ID],FME_Input[LWC])</f>
        <v>4</v>
      </c>
      <c r="V1104" s="178">
        <f>(FME_Ranking1[[#This Row],[LWC Raw]]/$U$2)*100</f>
        <v>0.23028209556706969</v>
      </c>
      <c r="W1104" s="178">
        <f>FME_Ranking1[[#This Row],[LWC Score (Normalized, Unweighted)]]*$U$3</f>
        <v>4.6056419113413939E-2</v>
      </c>
      <c r="X1104" s="246">
        <f>_xlfn.XLOOKUP(FME_Ranking1[[#This Row],[FME ID]],FME_Input[FME_ID],FME_Input[ROADCLS])</f>
        <v>0</v>
      </c>
      <c r="Y1104" s="230">
        <f>(FME_Ranking1[[#This Row],[Closures Raw]]/$X$2)*100</f>
        <v>0</v>
      </c>
      <c r="Z1104" s="180">
        <f>FME_Ranking1[[#This Row],[Closures Score (Normalized, Unweighted)]]*$X$3</f>
        <v>0</v>
      </c>
      <c r="AA1104" s="253">
        <f>_xlfn.XLOOKUP(FME_Ranking1[[#This Row],[FME ID]],FME_Input[FME_ID],FME_Input[ROAD_MILES100])</f>
        <v>0.19601467251777649</v>
      </c>
      <c r="AB1104" s="178">
        <f>(FME_Ranking1[[#This Row],[Miles Raw]]/$AA$2)*100</f>
        <v>2.5772413747888294E-3</v>
      </c>
      <c r="AC1104" s="178">
        <f>FME_Ranking1[[#This Row],[Miles Score (Normalized, Unweighted)]]*$AA$3</f>
        <v>2.5772413747888296E-4</v>
      </c>
      <c r="AD1104" s="255">
        <f>_xlfn.XLOOKUP(FME_Ranking1[[#This Row],[FME ID]],FME_Input[FME_ID],FME_Input[FARMACRE100])</f>
        <v>10644.2568359375</v>
      </c>
      <c r="AE1104" s="230">
        <f>(FME_Ranking1[[#This Row],[Ag Land Raw]]/$AD$2)*100</f>
        <v>0.438921502859065</v>
      </c>
      <c r="AF1104" s="231">
        <f>FME_Ranking1[[#This Row],[Ag Land Score (Normalized, Unweighted)]]*$AD$3</f>
        <v>2.1946075142953252E-2</v>
      </c>
      <c r="AG110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7.3392516330686955E-2</v>
      </c>
      <c r="AH1104" s="406">
        <f t="shared" si="17"/>
        <v>1170</v>
      </c>
      <c r="AI110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7.3392516330686955E-2</v>
      </c>
      <c r="AJ1104" s="257">
        <f>FME_Ranking1[[#This Row],[Addition check]]-FME_Ranking1[[#This Row],[Weighted Score Based on Normalized Reported Factors]]</f>
        <v>0</v>
      </c>
      <c r="AK1104" s="178">
        <f>_xlfn.RANK.EQ(AI1104,$AI$6:$AI$2341,0)+COUNTIF($AI$6:AI1104,AI1104)-1</f>
        <v>1170</v>
      </c>
    </row>
    <row r="1105" spans="1:37" x14ac:dyDescent="0.25">
      <c r="A1105" t="s">
        <v>4421</v>
      </c>
      <c r="B1105">
        <f>_xlfn.XLOOKUP(FME_Ranking1[[#This Row],[FME ID]],FME_Input[FME_ID],FME_Input[RFPG_NUM])</f>
        <v>3</v>
      </c>
      <c r="C1105" t="str">
        <f>_xlfn.XLOOKUP(FME_Ranking1[[#This Row],[FME ID]],FME_Input[FME_ID],FME_Input[FME_NAME])</f>
        <v>Wheeler Creek Channelization Study</v>
      </c>
      <c r="D1105" t="str">
        <f>_xlfn.XLOOKUP(FME_Ranking1[[#This Row],[FME ID]],FME_Input[FME_ID],FME_Input[DESCR])</f>
        <v>Evaluate channelization of Wheeler Creek to reduce flooding in the west side of town.</v>
      </c>
      <c r="E1105" s="256">
        <f>_xlfn.XLOOKUP(FME_Ranking1[[#This Row],[FME ID]],FME_Input[FME_ID],FME_Input[FME_COST])</f>
        <v>125000</v>
      </c>
      <c r="F1105" t="str">
        <f>_xlfn.XLOOKUP(FME_Ranking1[[#This Row],[FME ID]],FME_Input[FME_ID],FME_Input[EMER_NEED])</f>
        <v>No</v>
      </c>
      <c r="G1105">
        <f>IF(FME_Ranking!F1105="Yes",100,0)</f>
        <v>0</v>
      </c>
      <c r="H1105">
        <f>FME_Ranking1[[#This Row],[Emergency Need Score (Normalized, Unweighted)]]*$F$3</f>
        <v>0</v>
      </c>
      <c r="I1105" s="246">
        <f>_xlfn.XLOOKUP(FME_Ranking1[[#This Row],[FME ID]],FME_Input[FME_ID],FME_Input[STRUCT_100])</f>
        <v>347</v>
      </c>
      <c r="J1105" s="178">
        <f>(FME_Ranking1[[#This Row],[Structures 100 Raw]]/I$2)*100</f>
        <v>0.18581587627982693</v>
      </c>
      <c r="K1105" s="178">
        <f>FME_Ranking1[[#This Row],[Structures 100  Score (Normalized, Unweighted)]]*$I$3</f>
        <v>2.7872381441974039E-2</v>
      </c>
      <c r="L1105" s="246">
        <f>_xlfn.XLOOKUP(FME_Ranking1[[#This Row],[FME ID]],FME_Input[FME_ID],FME_Input[RES_STRUCT100])</f>
        <v>269</v>
      </c>
      <c r="M1105" s="230">
        <f>(FME_Ranking1[[#This Row],[Res Structures Raw]]/L$2)*100</f>
        <v>0.19053420407700697</v>
      </c>
      <c r="N1105" s="180">
        <f>FME_Ranking1[[#This Row],[Res Structures Score (Normalized, Unweighted)]]*$L$3</f>
        <v>1.9053420407700698E-2</v>
      </c>
      <c r="O1105" s="244">
        <f>_xlfn.XLOOKUP(FME_Ranking1[[#This Row],[FME ID]],FME_Input[FME_ID],FME_Input[POP100])</f>
        <v>665</v>
      </c>
      <c r="P1105" s="178">
        <f>(FME_Ranking1[[#This Row],[Pop Raw]]/$O$2)*100</f>
        <v>6.8079582472527586E-2</v>
      </c>
      <c r="Q1105" s="178">
        <f>FME_Ranking1[[#This Row],[Pop Score (Normalized, Unweighted)]]*$O$3</f>
        <v>1.0211937370879137E-2</v>
      </c>
      <c r="R1105" s="137">
        <f>_xlfn.XLOOKUP(FME_Ranking1[[#This Row],[FME ID]],FME_Input[FME_ID],FME_Input[CRITFAC100])</f>
        <v>0</v>
      </c>
      <c r="S1105" s="230">
        <f>(FME_Ranking1[[#This Row],[Critical Facilities Raw]]/$R$2)*100</f>
        <v>0</v>
      </c>
      <c r="T1105" s="180">
        <f>FME_Ranking1[[#This Row],[Critical Facilities Score (Normalized, Unweighted)]]*$R$3</f>
        <v>0</v>
      </c>
      <c r="U1105">
        <f>_xlfn.XLOOKUP(FME_Ranking1[[#This Row],[FME ID]],FME_Input[FME_ID],FME_Input[LWC])</f>
        <v>1</v>
      </c>
      <c r="V1105" s="178">
        <f>(FME_Ranking1[[#This Row],[LWC Raw]]/$U$2)*100</f>
        <v>5.7570523891767422E-2</v>
      </c>
      <c r="W1105" s="178">
        <f>FME_Ranking1[[#This Row],[LWC Score (Normalized, Unweighted)]]*$U$3</f>
        <v>1.1514104778353485E-2</v>
      </c>
      <c r="X1105" s="246">
        <f>_xlfn.XLOOKUP(FME_Ranking1[[#This Row],[FME ID]],FME_Input[FME_ID],FME_Input[ROADCLS])</f>
        <v>0</v>
      </c>
      <c r="Y1105" s="230">
        <f>(FME_Ranking1[[#This Row],[Closures Raw]]/$X$2)*100</f>
        <v>0</v>
      </c>
      <c r="Z1105" s="180">
        <f>FME_Ranking1[[#This Row],[Closures Score (Normalized, Unweighted)]]*$X$3</f>
        <v>0</v>
      </c>
      <c r="AA1105" s="253">
        <f>_xlfn.XLOOKUP(FME_Ranking1[[#This Row],[FME ID]],FME_Input[FME_ID],FME_Input[ROAD_MILES100])</f>
        <v>13.16635036468506</v>
      </c>
      <c r="AB1105" s="178">
        <f>(FME_Ranking1[[#This Row],[Miles Raw]]/$AA$2)*100</f>
        <v>0.17311389233760024</v>
      </c>
      <c r="AC1105" s="178">
        <f>FME_Ranking1[[#This Row],[Miles Score (Normalized, Unweighted)]]*$AA$3</f>
        <v>1.7311389233760025E-2</v>
      </c>
      <c r="AD1105" s="255">
        <f>_xlfn.XLOOKUP(FME_Ranking1[[#This Row],[FME ID]],FME_Input[FME_ID],FME_Input[FARMACRE100])</f>
        <v>2058.0458984375</v>
      </c>
      <c r="AE1105" s="230">
        <f>(FME_Ranking1[[#This Row],[Ag Land Raw]]/$AD$2)*100</f>
        <v>8.48646000015051E-2</v>
      </c>
      <c r="AF1105" s="231">
        <f>FME_Ranking1[[#This Row],[Ag Land Score (Normalized, Unweighted)]]*$AD$3</f>
        <v>4.2432300000752555E-3</v>
      </c>
      <c r="AG110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9.0206463232742645E-2</v>
      </c>
      <c r="AH1105" s="406">
        <f t="shared" si="17"/>
        <v>1090</v>
      </c>
      <c r="AI110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9.0206463232742645E-2</v>
      </c>
      <c r="AJ1105" s="257">
        <f>FME_Ranking1[[#This Row],[Addition check]]-FME_Ranking1[[#This Row],[Weighted Score Based on Normalized Reported Factors]]</f>
        <v>0</v>
      </c>
      <c r="AK1105" s="178">
        <f>_xlfn.RANK.EQ(AI1105,$AI$6:$AI$2341,0)+COUNTIF($AI$6:AI1105,AI1105)-1</f>
        <v>1090</v>
      </c>
    </row>
    <row r="1106" spans="1:37" x14ac:dyDescent="0.25">
      <c r="A1106" t="s">
        <v>11234</v>
      </c>
      <c r="B1106">
        <f>_xlfn.XLOOKUP(FME_Ranking1[[#This Row],[FME ID]],FME_Input[FME_ID],FME_Input[RFPG_NUM])</f>
        <v>15</v>
      </c>
      <c r="C1106" t="str">
        <f>_xlfn.XLOOKUP(FME_Ranking1[[#This Row],[FME ID]],FME_Input[FME_ID],FME_Input[FME_NAME])</f>
        <v>Precinct 4 MDP - Risk Area C at FM 2812 &amp; FM 493</v>
      </c>
      <c r="D1106" t="str">
        <f>_xlfn.XLOOKUP(FME_Ranking1[[#This Row],[FME ID]],FME_Input[FME_ID],FME_Input[DESCR])</f>
        <v>Channel Improvements (Widening &amp; Regrading) to Existing J-01 Drain with approximately 1.5 miles of proposed improvements. Channel Improvements (Channel Maintenance &amp; Flowline Regrading) to Existing DA-1 Ext. Drain with approximately 0.4 miles of proposed</v>
      </c>
      <c r="E1106" s="256">
        <f>_xlfn.XLOOKUP(FME_Ranking1[[#This Row],[FME ID]],FME_Input[FME_ID],FME_Input[FME_COST])</f>
        <v>1183050</v>
      </c>
      <c r="F1106" t="str">
        <f>_xlfn.XLOOKUP(FME_Ranking1[[#This Row],[FME ID]],FME_Input[FME_ID],FME_Input[EMER_NEED])</f>
        <v>Yes</v>
      </c>
      <c r="G1106">
        <f>IF(FME_Ranking!F1106="Yes",100,0)</f>
        <v>100</v>
      </c>
      <c r="H1106">
        <f>FME_Ranking1[[#This Row],[Emergency Need Score (Normalized, Unweighted)]]*$F$3</f>
        <v>0</v>
      </c>
      <c r="I1106" s="246">
        <f>_xlfn.XLOOKUP(FME_Ranking1[[#This Row],[FME ID]],FME_Input[FME_ID],FME_Input[STRUCT_100])</f>
        <v>0</v>
      </c>
      <c r="J1106" s="178">
        <f>(FME_Ranking1[[#This Row],[Structures 100 Raw]]/I$2)*100</f>
        <v>0</v>
      </c>
      <c r="K1106" s="178">
        <f>FME_Ranking1[[#This Row],[Structures 100  Score (Normalized, Unweighted)]]*$I$3</f>
        <v>0</v>
      </c>
      <c r="L1106" s="246">
        <f>_xlfn.XLOOKUP(FME_Ranking1[[#This Row],[FME ID]],FME_Input[FME_ID],FME_Input[RES_STRUCT100])</f>
        <v>273</v>
      </c>
      <c r="M1106" s="230">
        <f>(FME_Ranking1[[#This Row],[Res Structures Raw]]/L$2)*100</f>
        <v>0.19336742644246435</v>
      </c>
      <c r="N1106" s="180">
        <f>FME_Ranking1[[#This Row],[Res Structures Score (Normalized, Unweighted)]]*$L$3</f>
        <v>1.9336742644246438E-2</v>
      </c>
      <c r="O1106" s="244">
        <f>_xlfn.XLOOKUP(FME_Ranking1[[#This Row],[FME ID]],FME_Input[FME_ID],FME_Input[POP100])</f>
        <v>1167</v>
      </c>
      <c r="P1106" s="178">
        <f>(FME_Ranking1[[#This Row],[Pop Raw]]/$O$2)*100</f>
        <v>0.11947198909088676</v>
      </c>
      <c r="Q1106" s="178">
        <f>FME_Ranking1[[#This Row],[Pop Score (Normalized, Unweighted)]]*$O$3</f>
        <v>1.7920798363633014E-2</v>
      </c>
      <c r="R1106" s="137">
        <f>_xlfn.XLOOKUP(FME_Ranking1[[#This Row],[FME ID]],FME_Input[FME_ID],FME_Input[CRITFAC100])</f>
        <v>0</v>
      </c>
      <c r="S1106" s="230">
        <f>(FME_Ranking1[[#This Row],[Critical Facilities Raw]]/$R$2)*100</f>
        <v>0</v>
      </c>
      <c r="T1106" s="180">
        <f>FME_Ranking1[[#This Row],[Critical Facilities Score (Normalized, Unweighted)]]*$R$3</f>
        <v>0</v>
      </c>
      <c r="U1106">
        <f>_xlfn.XLOOKUP(FME_Ranking1[[#This Row],[FME ID]],FME_Input[FME_ID],FME_Input[LWC])</f>
        <v>3</v>
      </c>
      <c r="V1106" s="178">
        <f>(FME_Ranking1[[#This Row],[LWC Raw]]/$U$2)*100</f>
        <v>0.17271157167530224</v>
      </c>
      <c r="W1106" s="178">
        <f>FME_Ranking1[[#This Row],[LWC Score (Normalized, Unweighted)]]*$U$3</f>
        <v>3.4542314335060449E-2</v>
      </c>
      <c r="X1106" s="246">
        <f>_xlfn.XLOOKUP(FME_Ranking1[[#This Row],[FME ID]],FME_Input[FME_ID],FME_Input[ROADCLS])</f>
        <v>0</v>
      </c>
      <c r="Y1106" s="230">
        <f>(FME_Ranking1[[#This Row],[Closures Raw]]/$X$2)*100</f>
        <v>0</v>
      </c>
      <c r="Z1106" s="180">
        <f>FME_Ranking1[[#This Row],[Closures Score (Normalized, Unweighted)]]*$X$3</f>
        <v>0</v>
      </c>
      <c r="AA1106" s="253">
        <f>_xlfn.XLOOKUP(FME_Ranking1[[#This Row],[FME ID]],FME_Input[FME_ID],FME_Input[ROAD_MILES100])</f>
        <v>44.428199768066413</v>
      </c>
      <c r="AB1106" s="178">
        <f>(FME_Ranking1[[#This Row],[Miles Raw]]/$AA$2)*100</f>
        <v>0.58415114123285883</v>
      </c>
      <c r="AC1106" s="178">
        <f>FME_Ranking1[[#This Row],[Miles Score (Normalized, Unweighted)]]*$AA$3</f>
        <v>5.8415114123285886E-2</v>
      </c>
      <c r="AD1106" s="255">
        <f>_xlfn.XLOOKUP(FME_Ranking1[[#This Row],[FME ID]],FME_Input[FME_ID],FME_Input[FARMACRE100])</f>
        <v>0</v>
      </c>
      <c r="AE1106" s="230">
        <f>(FME_Ranking1[[#This Row],[Ag Land Raw]]/$AD$2)*100</f>
        <v>0</v>
      </c>
      <c r="AF1106" s="231">
        <f>FME_Ranking1[[#This Row],[Ag Land Score (Normalized, Unweighted)]]*$AD$3</f>
        <v>0</v>
      </c>
      <c r="AG110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0.13021496946622579</v>
      </c>
      <c r="AH1106" s="406">
        <f t="shared" si="17"/>
        <v>952</v>
      </c>
      <c r="AI110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0.13021496946622579</v>
      </c>
      <c r="AJ1106" s="257">
        <f>FME_Ranking1[[#This Row],[Addition check]]-FME_Ranking1[[#This Row],[Weighted Score Based on Normalized Reported Factors]]</f>
        <v>0</v>
      </c>
      <c r="AK1106" s="178">
        <f>_xlfn.RANK.EQ(AI1106,$AI$6:$AI$2341,0)+COUNTIF($AI$6:AI1106,AI1106)-1</f>
        <v>952</v>
      </c>
    </row>
    <row r="1107" spans="1:37" x14ac:dyDescent="0.25">
      <c r="A1107" t="s">
        <v>5246</v>
      </c>
      <c r="B1107">
        <f>_xlfn.XLOOKUP(FME_Ranking1[[#This Row],[FME ID]],FME_Input[FME_ID],FME_Input[RFPG_NUM])</f>
        <v>3</v>
      </c>
      <c r="C1107" t="str">
        <f>_xlfn.XLOOKUP(FME_Ranking1[[#This Row],[FME ID]],FME_Input[FME_ID],FME_Input[FME_NAME])</f>
        <v>Rawlins Creek at Dowdy Ferry Road</v>
      </c>
      <c r="D1107" t="str">
        <f>_xlfn.XLOOKUP(FME_Ranking1[[#This Row],[FME ID]],FME_Input[FME_ID],FME_Input[DESCR])</f>
        <v>Evaluate bridge improvements for Dowdy Ferry Road over Rawlins Creek</v>
      </c>
      <c r="E1107" s="256">
        <f>_xlfn.XLOOKUP(FME_Ranking1[[#This Row],[FME ID]],FME_Input[FME_ID],FME_Input[FME_COST])</f>
        <v>250000</v>
      </c>
      <c r="F1107" t="str">
        <f>_xlfn.XLOOKUP(FME_Ranking1[[#This Row],[FME ID]],FME_Input[FME_ID],FME_Input[EMER_NEED])</f>
        <v>No</v>
      </c>
      <c r="G1107">
        <f>IF(FME_Ranking!F1107="Yes",100,0)</f>
        <v>0</v>
      </c>
      <c r="H1107">
        <f>FME_Ranking1[[#This Row],[Emergency Need Score (Normalized, Unweighted)]]*$F$3</f>
        <v>0</v>
      </c>
      <c r="I1107" s="246">
        <f>_xlfn.XLOOKUP(FME_Ranking1[[#This Row],[FME ID]],FME_Input[FME_ID],FME_Input[STRUCT_100])</f>
        <v>29</v>
      </c>
      <c r="J1107" s="178">
        <f>(FME_Ranking1[[#This Row],[Structures 100 Raw]]/I$2)*100</f>
        <v>1.5529280726556141E-2</v>
      </c>
      <c r="K1107" s="178">
        <f>FME_Ranking1[[#This Row],[Structures 100  Score (Normalized, Unweighted)]]*$I$3</f>
        <v>2.3293921089834213E-3</v>
      </c>
      <c r="L1107" s="246">
        <f>_xlfn.XLOOKUP(FME_Ranking1[[#This Row],[FME ID]],FME_Input[FME_ID],FME_Input[RES_STRUCT100])</f>
        <v>27</v>
      </c>
      <c r="M1107" s="230">
        <f>(FME_Ranking1[[#This Row],[Res Structures Raw]]/L$2)*100</f>
        <v>1.9124250966837134E-2</v>
      </c>
      <c r="N1107" s="180">
        <f>FME_Ranking1[[#This Row],[Res Structures Score (Normalized, Unweighted)]]*$L$3</f>
        <v>1.9124250966837135E-3</v>
      </c>
      <c r="O1107" s="244">
        <f>_xlfn.XLOOKUP(FME_Ranking1[[#This Row],[FME ID]],FME_Input[FME_ID],FME_Input[POP100])</f>
        <v>61</v>
      </c>
      <c r="P1107" s="178">
        <f>(FME_Ranking1[[#This Row],[Pop Raw]]/$O$2)*100</f>
        <v>6.2448940313145612E-3</v>
      </c>
      <c r="Q1107" s="178">
        <f>FME_Ranking1[[#This Row],[Pop Score (Normalized, Unweighted)]]*$O$3</f>
        <v>9.3673410469718413E-4</v>
      </c>
      <c r="R1107" s="137">
        <f>_xlfn.XLOOKUP(FME_Ranking1[[#This Row],[FME ID]],FME_Input[FME_ID],FME_Input[CRITFAC100])</f>
        <v>1</v>
      </c>
      <c r="S1107" s="230">
        <f>(FME_Ranking1[[#This Row],[Critical Facilities Raw]]/$R$2)*100</f>
        <v>4.2881646655231559E-2</v>
      </c>
      <c r="T1107" s="180">
        <f>FME_Ranking1[[#This Row],[Critical Facilities Score (Normalized, Unweighted)]]*$R$3</f>
        <v>8.5763293310463125E-3</v>
      </c>
      <c r="U1107">
        <f>_xlfn.XLOOKUP(FME_Ranking1[[#This Row],[FME ID]],FME_Input[FME_ID],FME_Input[LWC])</f>
        <v>5</v>
      </c>
      <c r="V1107" s="178">
        <f>(FME_Ranking1[[#This Row],[LWC Raw]]/$U$2)*100</f>
        <v>0.28785261945883706</v>
      </c>
      <c r="W1107" s="178">
        <f>FME_Ranking1[[#This Row],[LWC Score (Normalized, Unweighted)]]*$U$3</f>
        <v>5.7570523891767415E-2</v>
      </c>
      <c r="X1107" s="246">
        <f>_xlfn.XLOOKUP(FME_Ranking1[[#This Row],[FME ID]],FME_Input[FME_ID],FME_Input[ROADCLS])</f>
        <v>0</v>
      </c>
      <c r="Y1107" s="230">
        <f>(FME_Ranking1[[#This Row],[Closures Raw]]/$X$2)*100</f>
        <v>0</v>
      </c>
      <c r="Z1107" s="180">
        <f>FME_Ranking1[[#This Row],[Closures Score (Normalized, Unweighted)]]*$X$3</f>
        <v>0</v>
      </c>
      <c r="AA1107" s="253">
        <f>_xlfn.XLOOKUP(FME_Ranking1[[#This Row],[FME ID]],FME_Input[FME_ID],FME_Input[ROAD_MILES100])</f>
        <v>1.145879983901978</v>
      </c>
      <c r="AB1107" s="178">
        <f>(FME_Ranking1[[#This Row],[Miles Raw]]/$AA$2)*100</f>
        <v>1.5066266556074829E-2</v>
      </c>
      <c r="AC1107" s="178">
        <f>FME_Ranking1[[#This Row],[Miles Score (Normalized, Unweighted)]]*$AA$3</f>
        <v>1.5066266556074829E-3</v>
      </c>
      <c r="AD1107" s="255">
        <f>_xlfn.XLOOKUP(FME_Ranking1[[#This Row],[FME ID]],FME_Input[FME_ID],FME_Input[FARMACRE100])</f>
        <v>81.642311096191406</v>
      </c>
      <c r="AE1107" s="230">
        <f>(FME_Ranking1[[#This Row],[Ag Land Raw]]/$AD$2)*100</f>
        <v>3.3665634375000964E-3</v>
      </c>
      <c r="AF1107" s="231">
        <f>FME_Ranking1[[#This Row],[Ag Land Score (Normalized, Unweighted)]]*$AD$3</f>
        <v>1.6832817187500482E-4</v>
      </c>
      <c r="AG110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7.300035936066053E-2</v>
      </c>
      <c r="AH1107" s="406">
        <f t="shared" si="17"/>
        <v>1172</v>
      </c>
      <c r="AI110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7.300035936066053E-2</v>
      </c>
      <c r="AJ1107" s="257">
        <f>FME_Ranking1[[#This Row],[Addition check]]-FME_Ranking1[[#This Row],[Weighted Score Based on Normalized Reported Factors]]</f>
        <v>0</v>
      </c>
      <c r="AK1107" s="178">
        <f>_xlfn.RANK.EQ(AI1107,$AI$6:$AI$2341,0)+COUNTIF($AI$6:AI1107,AI1107)-1</f>
        <v>1172</v>
      </c>
    </row>
    <row r="1108" spans="1:37" x14ac:dyDescent="0.25">
      <c r="A1108" t="s">
        <v>5249</v>
      </c>
      <c r="B1108">
        <f>_xlfn.XLOOKUP(FME_Ranking1[[#This Row],[FME ID]],FME_Input[FME_ID],FME_Input[RFPG_NUM])</f>
        <v>3</v>
      </c>
      <c r="C1108" t="str">
        <f>_xlfn.XLOOKUP(FME_Ranking1[[#This Row],[FME ID]],FME_Input[FME_ID],FME_Input[FME_NAME])</f>
        <v>Rawlins Creek at IH 45</v>
      </c>
      <c r="D1108" t="str">
        <f>_xlfn.XLOOKUP(FME_Ranking1[[#This Row],[FME ID]],FME_Input[FME_ID],FME_Input[DESCR])</f>
        <v>Evaluate bridge improvements for IH 45 over Rawlins Creek</v>
      </c>
      <c r="E1108" s="256">
        <f>_xlfn.XLOOKUP(FME_Ranking1[[#This Row],[FME ID]],FME_Input[FME_ID],FME_Input[FME_COST])</f>
        <v>250000</v>
      </c>
      <c r="F1108" t="str">
        <f>_xlfn.XLOOKUP(FME_Ranking1[[#This Row],[FME ID]],FME_Input[FME_ID],FME_Input[EMER_NEED])</f>
        <v>No</v>
      </c>
      <c r="G1108">
        <f>IF(FME_Ranking!F1108="Yes",100,0)</f>
        <v>0</v>
      </c>
      <c r="H1108">
        <f>FME_Ranking1[[#This Row],[Emergency Need Score (Normalized, Unweighted)]]*$F$3</f>
        <v>0</v>
      </c>
      <c r="I1108" s="246">
        <f>_xlfn.XLOOKUP(FME_Ranking1[[#This Row],[FME ID]],FME_Input[FME_ID],FME_Input[STRUCT_100])</f>
        <v>29</v>
      </c>
      <c r="J1108" s="178">
        <f>(FME_Ranking1[[#This Row],[Structures 100 Raw]]/I$2)*100</f>
        <v>1.5529280726556141E-2</v>
      </c>
      <c r="K1108" s="178">
        <f>FME_Ranking1[[#This Row],[Structures 100  Score (Normalized, Unweighted)]]*$I$3</f>
        <v>2.3293921089834213E-3</v>
      </c>
      <c r="L1108" s="246">
        <f>_xlfn.XLOOKUP(FME_Ranking1[[#This Row],[FME ID]],FME_Input[FME_ID],FME_Input[RES_STRUCT100])</f>
        <v>27</v>
      </c>
      <c r="M1108" s="230">
        <f>(FME_Ranking1[[#This Row],[Res Structures Raw]]/L$2)*100</f>
        <v>1.9124250966837134E-2</v>
      </c>
      <c r="N1108" s="180">
        <f>FME_Ranking1[[#This Row],[Res Structures Score (Normalized, Unweighted)]]*$L$3</f>
        <v>1.9124250966837135E-3</v>
      </c>
      <c r="O1108" s="244">
        <f>_xlfn.XLOOKUP(FME_Ranking1[[#This Row],[FME ID]],FME_Input[FME_ID],FME_Input[POP100])</f>
        <v>61</v>
      </c>
      <c r="P1108" s="178">
        <f>(FME_Ranking1[[#This Row],[Pop Raw]]/$O$2)*100</f>
        <v>6.2448940313145612E-3</v>
      </c>
      <c r="Q1108" s="178">
        <f>FME_Ranking1[[#This Row],[Pop Score (Normalized, Unweighted)]]*$O$3</f>
        <v>9.3673410469718413E-4</v>
      </c>
      <c r="R1108" s="137">
        <f>_xlfn.XLOOKUP(FME_Ranking1[[#This Row],[FME ID]],FME_Input[FME_ID],FME_Input[CRITFAC100])</f>
        <v>1</v>
      </c>
      <c r="S1108" s="230">
        <f>(FME_Ranking1[[#This Row],[Critical Facilities Raw]]/$R$2)*100</f>
        <v>4.2881646655231559E-2</v>
      </c>
      <c r="T1108" s="180">
        <f>FME_Ranking1[[#This Row],[Critical Facilities Score (Normalized, Unweighted)]]*$R$3</f>
        <v>8.5763293310463125E-3</v>
      </c>
      <c r="U1108">
        <f>_xlfn.XLOOKUP(FME_Ranking1[[#This Row],[FME ID]],FME_Input[FME_ID],FME_Input[LWC])</f>
        <v>5</v>
      </c>
      <c r="V1108" s="178">
        <f>(FME_Ranking1[[#This Row],[LWC Raw]]/$U$2)*100</f>
        <v>0.28785261945883706</v>
      </c>
      <c r="W1108" s="178">
        <f>FME_Ranking1[[#This Row],[LWC Score (Normalized, Unweighted)]]*$U$3</f>
        <v>5.7570523891767415E-2</v>
      </c>
      <c r="X1108" s="246">
        <f>_xlfn.XLOOKUP(FME_Ranking1[[#This Row],[FME ID]],FME_Input[FME_ID],FME_Input[ROADCLS])</f>
        <v>0</v>
      </c>
      <c r="Y1108" s="230">
        <f>(FME_Ranking1[[#This Row],[Closures Raw]]/$X$2)*100</f>
        <v>0</v>
      </c>
      <c r="Z1108" s="180">
        <f>FME_Ranking1[[#This Row],[Closures Score (Normalized, Unweighted)]]*$X$3</f>
        <v>0</v>
      </c>
      <c r="AA1108" s="253">
        <f>_xlfn.XLOOKUP(FME_Ranking1[[#This Row],[FME ID]],FME_Input[FME_ID],FME_Input[ROAD_MILES100])</f>
        <v>1.145879983901978</v>
      </c>
      <c r="AB1108" s="178">
        <f>(FME_Ranking1[[#This Row],[Miles Raw]]/$AA$2)*100</f>
        <v>1.5066266556074829E-2</v>
      </c>
      <c r="AC1108" s="178">
        <f>FME_Ranking1[[#This Row],[Miles Score (Normalized, Unweighted)]]*$AA$3</f>
        <v>1.5066266556074829E-3</v>
      </c>
      <c r="AD1108" s="255">
        <f>_xlfn.XLOOKUP(FME_Ranking1[[#This Row],[FME ID]],FME_Input[FME_ID],FME_Input[FARMACRE100])</f>
        <v>81.642311096191406</v>
      </c>
      <c r="AE1108" s="230">
        <f>(FME_Ranking1[[#This Row],[Ag Land Raw]]/$AD$2)*100</f>
        <v>3.3665634375000964E-3</v>
      </c>
      <c r="AF1108" s="231">
        <f>FME_Ranking1[[#This Row],[Ag Land Score (Normalized, Unweighted)]]*$AD$3</f>
        <v>1.6832817187500482E-4</v>
      </c>
      <c r="AG110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7.300035936066053E-2</v>
      </c>
      <c r="AH1108" s="406">
        <f t="shared" si="17"/>
        <v>1172</v>
      </c>
      <c r="AI110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7.300035936066053E-2</v>
      </c>
      <c r="AJ1108" s="257">
        <f>FME_Ranking1[[#This Row],[Addition check]]-FME_Ranking1[[#This Row],[Weighted Score Based on Normalized Reported Factors]]</f>
        <v>0</v>
      </c>
      <c r="AK1108" s="178">
        <f>_xlfn.RANK.EQ(AI1108,$AI$6:$AI$2341,0)+COUNTIF($AI$6:AI1108,AI1108)-1</f>
        <v>1173</v>
      </c>
    </row>
    <row r="1109" spans="1:37" x14ac:dyDescent="0.25">
      <c r="A1109" t="s">
        <v>5252</v>
      </c>
      <c r="B1109">
        <f>_xlfn.XLOOKUP(FME_Ranking1[[#This Row],[FME ID]],FME_Input[FME_ID],FME_Input[RFPG_NUM])</f>
        <v>3</v>
      </c>
      <c r="C1109" t="str">
        <f>_xlfn.XLOOKUP(FME_Ranking1[[#This Row],[FME ID]],FME_Input[FME_ID],FME_Input[FME_NAME])</f>
        <v>Rawlins Creek at Main Street</v>
      </c>
      <c r="D1109" t="str">
        <f>_xlfn.XLOOKUP(FME_Ranking1[[#This Row],[FME ID]],FME_Input[FME_ID],FME_Input[DESCR])</f>
        <v>Evaluate bridge improvements for Main Street over Rawlins Creek</v>
      </c>
      <c r="E1109" s="256">
        <f>_xlfn.XLOOKUP(FME_Ranking1[[#This Row],[FME ID]],FME_Input[FME_ID],FME_Input[FME_COST])</f>
        <v>250000</v>
      </c>
      <c r="F1109" t="str">
        <f>_xlfn.XLOOKUP(FME_Ranking1[[#This Row],[FME ID]],FME_Input[FME_ID],FME_Input[EMER_NEED])</f>
        <v>No</v>
      </c>
      <c r="G1109">
        <f>IF(FME_Ranking!F1109="Yes",100,0)</f>
        <v>0</v>
      </c>
      <c r="H1109">
        <f>FME_Ranking1[[#This Row],[Emergency Need Score (Normalized, Unweighted)]]*$F$3</f>
        <v>0</v>
      </c>
      <c r="I1109" s="246">
        <f>_xlfn.XLOOKUP(FME_Ranking1[[#This Row],[FME ID]],FME_Input[FME_ID],FME_Input[STRUCT_100])</f>
        <v>29</v>
      </c>
      <c r="J1109" s="178">
        <f>(FME_Ranking1[[#This Row],[Structures 100 Raw]]/I$2)*100</f>
        <v>1.5529280726556141E-2</v>
      </c>
      <c r="K1109" s="178">
        <f>FME_Ranking1[[#This Row],[Structures 100  Score (Normalized, Unweighted)]]*$I$3</f>
        <v>2.3293921089834213E-3</v>
      </c>
      <c r="L1109" s="246">
        <f>_xlfn.XLOOKUP(FME_Ranking1[[#This Row],[FME ID]],FME_Input[FME_ID],FME_Input[RES_STRUCT100])</f>
        <v>27</v>
      </c>
      <c r="M1109" s="230">
        <f>(FME_Ranking1[[#This Row],[Res Structures Raw]]/L$2)*100</f>
        <v>1.9124250966837134E-2</v>
      </c>
      <c r="N1109" s="180">
        <f>FME_Ranking1[[#This Row],[Res Structures Score (Normalized, Unweighted)]]*$L$3</f>
        <v>1.9124250966837135E-3</v>
      </c>
      <c r="O1109" s="244">
        <f>_xlfn.XLOOKUP(FME_Ranking1[[#This Row],[FME ID]],FME_Input[FME_ID],FME_Input[POP100])</f>
        <v>61</v>
      </c>
      <c r="P1109" s="178">
        <f>(FME_Ranking1[[#This Row],[Pop Raw]]/$O$2)*100</f>
        <v>6.2448940313145612E-3</v>
      </c>
      <c r="Q1109" s="178">
        <f>FME_Ranking1[[#This Row],[Pop Score (Normalized, Unweighted)]]*$O$3</f>
        <v>9.3673410469718413E-4</v>
      </c>
      <c r="R1109" s="137">
        <f>_xlfn.XLOOKUP(FME_Ranking1[[#This Row],[FME ID]],FME_Input[FME_ID],FME_Input[CRITFAC100])</f>
        <v>1</v>
      </c>
      <c r="S1109" s="230">
        <f>(FME_Ranking1[[#This Row],[Critical Facilities Raw]]/$R$2)*100</f>
        <v>4.2881646655231559E-2</v>
      </c>
      <c r="T1109" s="180">
        <f>FME_Ranking1[[#This Row],[Critical Facilities Score (Normalized, Unweighted)]]*$R$3</f>
        <v>8.5763293310463125E-3</v>
      </c>
      <c r="U1109">
        <f>_xlfn.XLOOKUP(FME_Ranking1[[#This Row],[FME ID]],FME_Input[FME_ID],FME_Input[LWC])</f>
        <v>5</v>
      </c>
      <c r="V1109" s="178">
        <f>(FME_Ranking1[[#This Row],[LWC Raw]]/$U$2)*100</f>
        <v>0.28785261945883706</v>
      </c>
      <c r="W1109" s="178">
        <f>FME_Ranking1[[#This Row],[LWC Score (Normalized, Unweighted)]]*$U$3</f>
        <v>5.7570523891767415E-2</v>
      </c>
      <c r="X1109" s="246">
        <f>_xlfn.XLOOKUP(FME_Ranking1[[#This Row],[FME ID]],FME_Input[FME_ID],FME_Input[ROADCLS])</f>
        <v>0</v>
      </c>
      <c r="Y1109" s="230">
        <f>(FME_Ranking1[[#This Row],[Closures Raw]]/$X$2)*100</f>
        <v>0</v>
      </c>
      <c r="Z1109" s="180">
        <f>FME_Ranking1[[#This Row],[Closures Score (Normalized, Unweighted)]]*$X$3</f>
        <v>0</v>
      </c>
      <c r="AA1109" s="253">
        <f>_xlfn.XLOOKUP(FME_Ranking1[[#This Row],[FME ID]],FME_Input[FME_ID],FME_Input[ROAD_MILES100])</f>
        <v>1.145879983901978</v>
      </c>
      <c r="AB1109" s="178">
        <f>(FME_Ranking1[[#This Row],[Miles Raw]]/$AA$2)*100</f>
        <v>1.5066266556074829E-2</v>
      </c>
      <c r="AC1109" s="178">
        <f>FME_Ranking1[[#This Row],[Miles Score (Normalized, Unweighted)]]*$AA$3</f>
        <v>1.5066266556074829E-3</v>
      </c>
      <c r="AD1109" s="255">
        <f>_xlfn.XLOOKUP(FME_Ranking1[[#This Row],[FME ID]],FME_Input[FME_ID],FME_Input[FARMACRE100])</f>
        <v>81.642311096191406</v>
      </c>
      <c r="AE1109" s="230">
        <f>(FME_Ranking1[[#This Row],[Ag Land Raw]]/$AD$2)*100</f>
        <v>3.3665634375000964E-3</v>
      </c>
      <c r="AF1109" s="231">
        <f>FME_Ranking1[[#This Row],[Ag Land Score (Normalized, Unweighted)]]*$AD$3</f>
        <v>1.6832817187500482E-4</v>
      </c>
      <c r="AG110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7.300035936066053E-2</v>
      </c>
      <c r="AH1109" s="406">
        <f t="shared" si="17"/>
        <v>1172</v>
      </c>
      <c r="AI110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7.300035936066053E-2</v>
      </c>
      <c r="AJ1109" s="257">
        <f>FME_Ranking1[[#This Row],[Addition check]]-FME_Ranking1[[#This Row],[Weighted Score Based on Normalized Reported Factors]]</f>
        <v>0</v>
      </c>
      <c r="AK1109" s="178">
        <f>_xlfn.RANK.EQ(AI1109,$AI$6:$AI$2341,0)+COUNTIF($AI$6:AI1109,AI1109)-1</f>
        <v>1174</v>
      </c>
    </row>
    <row r="1110" spans="1:37" x14ac:dyDescent="0.25">
      <c r="A1110" t="s">
        <v>5359</v>
      </c>
      <c r="B1110">
        <f>_xlfn.XLOOKUP(FME_Ranking1[[#This Row],[FME ID]],FME_Input[FME_ID],FME_Input[RFPG_NUM])</f>
        <v>3</v>
      </c>
      <c r="C1110" t="str">
        <f>_xlfn.XLOOKUP(FME_Ranking1[[#This Row],[FME ID]],FME_Input[FME_ID],FME_Input[FME_NAME])</f>
        <v>Stream 4B4 at Austin Street</v>
      </c>
      <c r="D1110" t="str">
        <f>_xlfn.XLOOKUP(FME_Ranking1[[#This Row],[FME ID]],FME_Input[FME_ID],FME_Input[DESCR])</f>
        <v>Evaluate culvert improvements for Austin Street over Stream 4B4</v>
      </c>
      <c r="E1110" s="256">
        <f>_xlfn.XLOOKUP(FME_Ranking1[[#This Row],[FME ID]],FME_Input[FME_ID],FME_Input[FME_COST])</f>
        <v>250000</v>
      </c>
      <c r="F1110" t="str">
        <f>_xlfn.XLOOKUP(FME_Ranking1[[#This Row],[FME ID]],FME_Input[FME_ID],FME_Input[EMER_NEED])</f>
        <v>No</v>
      </c>
      <c r="G1110">
        <f>IF(FME_Ranking!F1110="Yes",100,0)</f>
        <v>0</v>
      </c>
      <c r="H1110">
        <f>FME_Ranking1[[#This Row],[Emergency Need Score (Normalized, Unweighted)]]*$F$3</f>
        <v>0</v>
      </c>
      <c r="I1110" s="246">
        <f>_xlfn.XLOOKUP(FME_Ranking1[[#This Row],[FME ID]],FME_Input[FME_ID],FME_Input[STRUCT_100])</f>
        <v>29</v>
      </c>
      <c r="J1110" s="178">
        <f>(FME_Ranking1[[#This Row],[Structures 100 Raw]]/I$2)*100</f>
        <v>1.5529280726556141E-2</v>
      </c>
      <c r="K1110" s="178">
        <f>FME_Ranking1[[#This Row],[Structures 100  Score (Normalized, Unweighted)]]*$I$3</f>
        <v>2.3293921089834213E-3</v>
      </c>
      <c r="L1110" s="246">
        <f>_xlfn.XLOOKUP(FME_Ranking1[[#This Row],[FME ID]],FME_Input[FME_ID],FME_Input[RES_STRUCT100])</f>
        <v>27</v>
      </c>
      <c r="M1110" s="230">
        <f>(FME_Ranking1[[#This Row],[Res Structures Raw]]/L$2)*100</f>
        <v>1.9124250966837134E-2</v>
      </c>
      <c r="N1110" s="180">
        <f>FME_Ranking1[[#This Row],[Res Structures Score (Normalized, Unweighted)]]*$L$3</f>
        <v>1.9124250966837135E-3</v>
      </c>
      <c r="O1110" s="244">
        <f>_xlfn.XLOOKUP(FME_Ranking1[[#This Row],[FME ID]],FME_Input[FME_ID],FME_Input[POP100])</f>
        <v>61</v>
      </c>
      <c r="P1110" s="178">
        <f>(FME_Ranking1[[#This Row],[Pop Raw]]/$O$2)*100</f>
        <v>6.2448940313145612E-3</v>
      </c>
      <c r="Q1110" s="178">
        <f>FME_Ranking1[[#This Row],[Pop Score (Normalized, Unweighted)]]*$O$3</f>
        <v>9.3673410469718413E-4</v>
      </c>
      <c r="R1110" s="137">
        <f>_xlfn.XLOOKUP(FME_Ranking1[[#This Row],[FME ID]],FME_Input[FME_ID],FME_Input[CRITFAC100])</f>
        <v>1</v>
      </c>
      <c r="S1110" s="230">
        <f>(FME_Ranking1[[#This Row],[Critical Facilities Raw]]/$R$2)*100</f>
        <v>4.2881646655231559E-2</v>
      </c>
      <c r="T1110" s="180">
        <f>FME_Ranking1[[#This Row],[Critical Facilities Score (Normalized, Unweighted)]]*$R$3</f>
        <v>8.5763293310463125E-3</v>
      </c>
      <c r="U1110">
        <f>_xlfn.XLOOKUP(FME_Ranking1[[#This Row],[FME ID]],FME_Input[FME_ID],FME_Input[LWC])</f>
        <v>5</v>
      </c>
      <c r="V1110" s="178">
        <f>(FME_Ranking1[[#This Row],[LWC Raw]]/$U$2)*100</f>
        <v>0.28785261945883706</v>
      </c>
      <c r="W1110" s="178">
        <f>FME_Ranking1[[#This Row],[LWC Score (Normalized, Unweighted)]]*$U$3</f>
        <v>5.7570523891767415E-2</v>
      </c>
      <c r="X1110" s="246">
        <f>_xlfn.XLOOKUP(FME_Ranking1[[#This Row],[FME ID]],FME_Input[FME_ID],FME_Input[ROADCLS])</f>
        <v>0</v>
      </c>
      <c r="Y1110" s="230">
        <f>(FME_Ranking1[[#This Row],[Closures Raw]]/$X$2)*100</f>
        <v>0</v>
      </c>
      <c r="Z1110" s="180">
        <f>FME_Ranking1[[#This Row],[Closures Score (Normalized, Unweighted)]]*$X$3</f>
        <v>0</v>
      </c>
      <c r="AA1110" s="253">
        <f>_xlfn.XLOOKUP(FME_Ranking1[[#This Row],[FME ID]],FME_Input[FME_ID],FME_Input[ROAD_MILES100])</f>
        <v>1.145879983901978</v>
      </c>
      <c r="AB1110" s="178">
        <f>(FME_Ranking1[[#This Row],[Miles Raw]]/$AA$2)*100</f>
        <v>1.5066266556074829E-2</v>
      </c>
      <c r="AC1110" s="178">
        <f>FME_Ranking1[[#This Row],[Miles Score (Normalized, Unweighted)]]*$AA$3</f>
        <v>1.5066266556074829E-3</v>
      </c>
      <c r="AD1110" s="255">
        <f>_xlfn.XLOOKUP(FME_Ranking1[[#This Row],[FME ID]],FME_Input[FME_ID],FME_Input[FARMACRE100])</f>
        <v>81.642311096191406</v>
      </c>
      <c r="AE1110" s="230">
        <f>(FME_Ranking1[[#This Row],[Ag Land Raw]]/$AD$2)*100</f>
        <v>3.3665634375000964E-3</v>
      </c>
      <c r="AF1110" s="231">
        <f>FME_Ranking1[[#This Row],[Ag Land Score (Normalized, Unweighted)]]*$AD$3</f>
        <v>1.6832817187500482E-4</v>
      </c>
      <c r="AG111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7.300035936066053E-2</v>
      </c>
      <c r="AH1110" s="406">
        <f t="shared" si="17"/>
        <v>1172</v>
      </c>
      <c r="AI111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7.300035936066053E-2</v>
      </c>
      <c r="AJ1110" s="257">
        <f>FME_Ranking1[[#This Row],[Addition check]]-FME_Ranking1[[#This Row],[Weighted Score Based on Normalized Reported Factors]]</f>
        <v>0</v>
      </c>
      <c r="AK1110" s="178">
        <f>_xlfn.RANK.EQ(AI1110,$AI$6:$AI$2341,0)+COUNTIF($AI$6:AI1110,AI1110)-1</f>
        <v>1175</v>
      </c>
    </row>
    <row r="1111" spans="1:37" x14ac:dyDescent="0.25">
      <c r="A1111" t="s">
        <v>5362</v>
      </c>
      <c r="B1111">
        <f>_xlfn.XLOOKUP(FME_Ranking1[[#This Row],[FME ID]],FME_Input[FME_ID],FME_Input[RFPG_NUM])</f>
        <v>3</v>
      </c>
      <c r="C1111" t="str">
        <f>_xlfn.XLOOKUP(FME_Ranking1[[#This Row],[FME ID]],FME_Input[FME_ID],FME_Input[FME_NAME])</f>
        <v>Stream 4B4 at Crestridge Drive</v>
      </c>
      <c r="D1111" t="str">
        <f>_xlfn.XLOOKUP(FME_Ranking1[[#This Row],[FME ID]],FME_Input[FME_ID],FME_Input[DESCR])</f>
        <v>Evaluate culvert improvements for Crestridge Drive over Stream 4B4</v>
      </c>
      <c r="E1111" s="256">
        <f>_xlfn.XLOOKUP(FME_Ranking1[[#This Row],[FME ID]],FME_Input[FME_ID],FME_Input[FME_COST])</f>
        <v>250000</v>
      </c>
      <c r="F1111" t="str">
        <f>_xlfn.XLOOKUP(FME_Ranking1[[#This Row],[FME ID]],FME_Input[FME_ID],FME_Input[EMER_NEED])</f>
        <v>No</v>
      </c>
      <c r="G1111">
        <f>IF(FME_Ranking!F1111="Yes",100,0)</f>
        <v>0</v>
      </c>
      <c r="H1111">
        <f>FME_Ranking1[[#This Row],[Emergency Need Score (Normalized, Unweighted)]]*$F$3</f>
        <v>0</v>
      </c>
      <c r="I1111" s="246">
        <f>_xlfn.XLOOKUP(FME_Ranking1[[#This Row],[FME ID]],FME_Input[FME_ID],FME_Input[STRUCT_100])</f>
        <v>29</v>
      </c>
      <c r="J1111" s="178">
        <f>(FME_Ranking1[[#This Row],[Structures 100 Raw]]/I$2)*100</f>
        <v>1.5529280726556141E-2</v>
      </c>
      <c r="K1111" s="178">
        <f>FME_Ranking1[[#This Row],[Structures 100  Score (Normalized, Unweighted)]]*$I$3</f>
        <v>2.3293921089834213E-3</v>
      </c>
      <c r="L1111" s="246">
        <f>_xlfn.XLOOKUP(FME_Ranking1[[#This Row],[FME ID]],FME_Input[FME_ID],FME_Input[RES_STRUCT100])</f>
        <v>27</v>
      </c>
      <c r="M1111" s="230">
        <f>(FME_Ranking1[[#This Row],[Res Structures Raw]]/L$2)*100</f>
        <v>1.9124250966837134E-2</v>
      </c>
      <c r="N1111" s="180">
        <f>FME_Ranking1[[#This Row],[Res Structures Score (Normalized, Unweighted)]]*$L$3</f>
        <v>1.9124250966837135E-3</v>
      </c>
      <c r="O1111" s="244">
        <f>_xlfn.XLOOKUP(FME_Ranking1[[#This Row],[FME ID]],FME_Input[FME_ID],FME_Input[POP100])</f>
        <v>61</v>
      </c>
      <c r="P1111" s="178">
        <f>(FME_Ranking1[[#This Row],[Pop Raw]]/$O$2)*100</f>
        <v>6.2448940313145612E-3</v>
      </c>
      <c r="Q1111" s="178">
        <f>FME_Ranking1[[#This Row],[Pop Score (Normalized, Unweighted)]]*$O$3</f>
        <v>9.3673410469718413E-4</v>
      </c>
      <c r="R1111" s="137">
        <f>_xlfn.XLOOKUP(FME_Ranking1[[#This Row],[FME ID]],FME_Input[FME_ID],FME_Input[CRITFAC100])</f>
        <v>1</v>
      </c>
      <c r="S1111" s="230">
        <f>(FME_Ranking1[[#This Row],[Critical Facilities Raw]]/$R$2)*100</f>
        <v>4.2881646655231559E-2</v>
      </c>
      <c r="T1111" s="180">
        <f>FME_Ranking1[[#This Row],[Critical Facilities Score (Normalized, Unweighted)]]*$R$3</f>
        <v>8.5763293310463125E-3</v>
      </c>
      <c r="U1111">
        <f>_xlfn.XLOOKUP(FME_Ranking1[[#This Row],[FME ID]],FME_Input[FME_ID],FME_Input[LWC])</f>
        <v>5</v>
      </c>
      <c r="V1111" s="178">
        <f>(FME_Ranking1[[#This Row],[LWC Raw]]/$U$2)*100</f>
        <v>0.28785261945883706</v>
      </c>
      <c r="W1111" s="178">
        <f>FME_Ranking1[[#This Row],[LWC Score (Normalized, Unweighted)]]*$U$3</f>
        <v>5.7570523891767415E-2</v>
      </c>
      <c r="X1111" s="246">
        <f>_xlfn.XLOOKUP(FME_Ranking1[[#This Row],[FME ID]],FME_Input[FME_ID],FME_Input[ROADCLS])</f>
        <v>0</v>
      </c>
      <c r="Y1111" s="230">
        <f>(FME_Ranking1[[#This Row],[Closures Raw]]/$X$2)*100</f>
        <v>0</v>
      </c>
      <c r="Z1111" s="180">
        <f>FME_Ranking1[[#This Row],[Closures Score (Normalized, Unweighted)]]*$X$3</f>
        <v>0</v>
      </c>
      <c r="AA1111" s="253">
        <f>_xlfn.XLOOKUP(FME_Ranking1[[#This Row],[FME ID]],FME_Input[FME_ID],FME_Input[ROAD_MILES100])</f>
        <v>1.145879983901978</v>
      </c>
      <c r="AB1111" s="178">
        <f>(FME_Ranking1[[#This Row],[Miles Raw]]/$AA$2)*100</f>
        <v>1.5066266556074829E-2</v>
      </c>
      <c r="AC1111" s="178">
        <f>FME_Ranking1[[#This Row],[Miles Score (Normalized, Unweighted)]]*$AA$3</f>
        <v>1.5066266556074829E-3</v>
      </c>
      <c r="AD1111" s="255">
        <f>_xlfn.XLOOKUP(FME_Ranking1[[#This Row],[FME ID]],FME_Input[FME_ID],FME_Input[FARMACRE100])</f>
        <v>81.642311096191406</v>
      </c>
      <c r="AE1111" s="230">
        <f>(FME_Ranking1[[#This Row],[Ag Land Raw]]/$AD$2)*100</f>
        <v>3.3665634375000964E-3</v>
      </c>
      <c r="AF1111" s="231">
        <f>FME_Ranking1[[#This Row],[Ag Land Score (Normalized, Unweighted)]]*$AD$3</f>
        <v>1.6832817187500482E-4</v>
      </c>
      <c r="AG111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7.300035936066053E-2</v>
      </c>
      <c r="AH1111" s="406">
        <f t="shared" si="17"/>
        <v>1172</v>
      </c>
      <c r="AI111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7.300035936066053E-2</v>
      </c>
      <c r="AJ1111" s="257">
        <f>FME_Ranking1[[#This Row],[Addition check]]-FME_Ranking1[[#This Row],[Weighted Score Based on Normalized Reported Factors]]</f>
        <v>0</v>
      </c>
      <c r="AK1111" s="178">
        <f>_xlfn.RANK.EQ(AI1111,$AI$6:$AI$2341,0)+COUNTIF($AI$6:AI1111,AI1111)-1</f>
        <v>1176</v>
      </c>
    </row>
    <row r="1112" spans="1:37" x14ac:dyDescent="0.25">
      <c r="A1112" t="s">
        <v>5365</v>
      </c>
      <c r="B1112">
        <f>_xlfn.XLOOKUP(FME_Ranking1[[#This Row],[FME ID]],FME_Input[FME_ID],FME_Input[RFPG_NUM])</f>
        <v>3</v>
      </c>
      <c r="C1112" t="str">
        <f>_xlfn.XLOOKUP(FME_Ranking1[[#This Row],[FME ID]],FME_Input[FME_ID],FME_Input[FME_NAME])</f>
        <v>Stream 4B4 at Denton Street</v>
      </c>
      <c r="D1112" t="str">
        <f>_xlfn.XLOOKUP(FME_Ranking1[[#This Row],[FME ID]],FME_Input[FME_ID],FME_Input[DESCR])</f>
        <v>Evaluate culvert improvements for Denton Street over Stream 4B4</v>
      </c>
      <c r="E1112" s="256">
        <f>_xlfn.XLOOKUP(FME_Ranking1[[#This Row],[FME ID]],FME_Input[FME_ID],FME_Input[FME_COST])</f>
        <v>250000</v>
      </c>
      <c r="F1112" t="str">
        <f>_xlfn.XLOOKUP(FME_Ranking1[[#This Row],[FME ID]],FME_Input[FME_ID],FME_Input[EMER_NEED])</f>
        <v>No</v>
      </c>
      <c r="G1112">
        <f>IF(FME_Ranking!F1112="Yes",100,0)</f>
        <v>0</v>
      </c>
      <c r="H1112">
        <f>FME_Ranking1[[#This Row],[Emergency Need Score (Normalized, Unweighted)]]*$F$3</f>
        <v>0</v>
      </c>
      <c r="I1112" s="246">
        <f>_xlfn.XLOOKUP(FME_Ranking1[[#This Row],[FME ID]],FME_Input[FME_ID],FME_Input[STRUCT_100])</f>
        <v>29</v>
      </c>
      <c r="J1112" s="178">
        <f>(FME_Ranking1[[#This Row],[Structures 100 Raw]]/I$2)*100</f>
        <v>1.5529280726556141E-2</v>
      </c>
      <c r="K1112" s="178">
        <f>FME_Ranking1[[#This Row],[Structures 100  Score (Normalized, Unweighted)]]*$I$3</f>
        <v>2.3293921089834213E-3</v>
      </c>
      <c r="L1112" s="246">
        <f>_xlfn.XLOOKUP(FME_Ranking1[[#This Row],[FME ID]],FME_Input[FME_ID],FME_Input[RES_STRUCT100])</f>
        <v>27</v>
      </c>
      <c r="M1112" s="230">
        <f>(FME_Ranking1[[#This Row],[Res Structures Raw]]/L$2)*100</f>
        <v>1.9124250966837134E-2</v>
      </c>
      <c r="N1112" s="180">
        <f>FME_Ranking1[[#This Row],[Res Structures Score (Normalized, Unweighted)]]*$L$3</f>
        <v>1.9124250966837135E-3</v>
      </c>
      <c r="O1112" s="244">
        <f>_xlfn.XLOOKUP(FME_Ranking1[[#This Row],[FME ID]],FME_Input[FME_ID],FME_Input[POP100])</f>
        <v>61</v>
      </c>
      <c r="P1112" s="178">
        <f>(FME_Ranking1[[#This Row],[Pop Raw]]/$O$2)*100</f>
        <v>6.2448940313145612E-3</v>
      </c>
      <c r="Q1112" s="178">
        <f>FME_Ranking1[[#This Row],[Pop Score (Normalized, Unweighted)]]*$O$3</f>
        <v>9.3673410469718413E-4</v>
      </c>
      <c r="R1112" s="137">
        <f>_xlfn.XLOOKUP(FME_Ranking1[[#This Row],[FME ID]],FME_Input[FME_ID],FME_Input[CRITFAC100])</f>
        <v>1</v>
      </c>
      <c r="S1112" s="230">
        <f>(FME_Ranking1[[#This Row],[Critical Facilities Raw]]/$R$2)*100</f>
        <v>4.2881646655231559E-2</v>
      </c>
      <c r="T1112" s="180">
        <f>FME_Ranking1[[#This Row],[Critical Facilities Score (Normalized, Unweighted)]]*$R$3</f>
        <v>8.5763293310463125E-3</v>
      </c>
      <c r="U1112">
        <f>_xlfn.XLOOKUP(FME_Ranking1[[#This Row],[FME ID]],FME_Input[FME_ID],FME_Input[LWC])</f>
        <v>5</v>
      </c>
      <c r="V1112" s="178">
        <f>(FME_Ranking1[[#This Row],[LWC Raw]]/$U$2)*100</f>
        <v>0.28785261945883706</v>
      </c>
      <c r="W1112" s="178">
        <f>FME_Ranking1[[#This Row],[LWC Score (Normalized, Unweighted)]]*$U$3</f>
        <v>5.7570523891767415E-2</v>
      </c>
      <c r="X1112" s="246">
        <f>_xlfn.XLOOKUP(FME_Ranking1[[#This Row],[FME ID]],FME_Input[FME_ID],FME_Input[ROADCLS])</f>
        <v>0</v>
      </c>
      <c r="Y1112" s="230">
        <f>(FME_Ranking1[[#This Row],[Closures Raw]]/$X$2)*100</f>
        <v>0</v>
      </c>
      <c r="Z1112" s="180">
        <f>FME_Ranking1[[#This Row],[Closures Score (Normalized, Unweighted)]]*$X$3</f>
        <v>0</v>
      </c>
      <c r="AA1112" s="253">
        <f>_xlfn.XLOOKUP(FME_Ranking1[[#This Row],[FME ID]],FME_Input[FME_ID],FME_Input[ROAD_MILES100])</f>
        <v>1.145879983901978</v>
      </c>
      <c r="AB1112" s="178">
        <f>(FME_Ranking1[[#This Row],[Miles Raw]]/$AA$2)*100</f>
        <v>1.5066266556074829E-2</v>
      </c>
      <c r="AC1112" s="178">
        <f>FME_Ranking1[[#This Row],[Miles Score (Normalized, Unweighted)]]*$AA$3</f>
        <v>1.5066266556074829E-3</v>
      </c>
      <c r="AD1112" s="255">
        <f>_xlfn.XLOOKUP(FME_Ranking1[[#This Row],[FME ID]],FME_Input[FME_ID],FME_Input[FARMACRE100])</f>
        <v>81.642311096191406</v>
      </c>
      <c r="AE1112" s="230">
        <f>(FME_Ranking1[[#This Row],[Ag Land Raw]]/$AD$2)*100</f>
        <v>3.3665634375000964E-3</v>
      </c>
      <c r="AF1112" s="231">
        <f>FME_Ranking1[[#This Row],[Ag Land Score (Normalized, Unweighted)]]*$AD$3</f>
        <v>1.6832817187500482E-4</v>
      </c>
      <c r="AG111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7.300035936066053E-2</v>
      </c>
      <c r="AH1112" s="406">
        <f t="shared" si="17"/>
        <v>1172</v>
      </c>
      <c r="AI111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7.300035936066053E-2</v>
      </c>
      <c r="AJ1112" s="257">
        <f>FME_Ranking1[[#This Row],[Addition check]]-FME_Ranking1[[#This Row],[Weighted Score Based on Normalized Reported Factors]]</f>
        <v>0</v>
      </c>
      <c r="AK1112" s="178">
        <f>_xlfn.RANK.EQ(AI1112,$AI$6:$AI$2341,0)+COUNTIF($AI$6:AI1112,AI1112)-1</f>
        <v>1177</v>
      </c>
    </row>
    <row r="1113" spans="1:37" x14ac:dyDescent="0.25">
      <c r="A1113" t="s">
        <v>7613</v>
      </c>
      <c r="B1113">
        <f>_xlfn.XLOOKUP(FME_Ranking1[[#This Row],[FME ID]],FME_Input[FME_ID],FME_Input[RFPG_NUM])</f>
        <v>8</v>
      </c>
      <c r="C1113" t="str">
        <f>_xlfn.XLOOKUP(FME_Ranking1[[#This Row],[FME ID]],FME_Input[FME_ID],FME_Input[FME_NAME])</f>
        <v>Tract North of Carson Crossing</v>
      </c>
      <c r="D1113" t="str">
        <f>_xlfn.XLOOKUP(FME_Ranking1[[#This Row],[FME ID]],FME_Input[FME_ID],FME_Input[DESCR])</f>
        <v>Channel and crossing improvements along Trib D feeding into County Club Lake.</v>
      </c>
      <c r="E1113" s="256">
        <f>_xlfn.XLOOKUP(FME_Ranking1[[#This Row],[FME ID]],FME_Input[FME_ID],FME_Input[FME_COST])</f>
        <v>214000</v>
      </c>
      <c r="F1113" t="str">
        <f>_xlfn.XLOOKUP(FME_Ranking1[[#This Row],[FME ID]],FME_Input[FME_ID],FME_Input[EMER_NEED])</f>
        <v>No</v>
      </c>
      <c r="G1113">
        <f>IF(FME_Ranking!F1113="Yes",100,0)</f>
        <v>0</v>
      </c>
      <c r="H1113">
        <f>FME_Ranking1[[#This Row],[Emergency Need Score (Normalized, Unweighted)]]*$F$3</f>
        <v>0</v>
      </c>
      <c r="I1113" s="246">
        <f>_xlfn.XLOOKUP(FME_Ranking1[[#This Row],[FME ID]],FME_Input[FME_ID],FME_Input[STRUCT_100])</f>
        <v>72</v>
      </c>
      <c r="J1113" s="178">
        <f>(FME_Ranking1[[#This Row],[Structures 100 Raw]]/I$2)*100</f>
        <v>3.8555455596966971E-2</v>
      </c>
      <c r="K1113" s="178">
        <f>FME_Ranking1[[#This Row],[Structures 100  Score (Normalized, Unweighted)]]*$I$3</f>
        <v>5.7833183395450457E-3</v>
      </c>
      <c r="L1113" s="246">
        <f>_xlfn.XLOOKUP(FME_Ranking1[[#This Row],[FME ID]],FME_Input[FME_ID],FME_Input[RES_STRUCT100])</f>
        <v>30</v>
      </c>
      <c r="M1113" s="230">
        <f>(FME_Ranking1[[#This Row],[Res Structures Raw]]/L$2)*100</f>
        <v>2.1249167740930146E-2</v>
      </c>
      <c r="N1113" s="180">
        <f>FME_Ranking1[[#This Row],[Res Structures Score (Normalized, Unweighted)]]*$L$3</f>
        <v>2.1249167740930146E-3</v>
      </c>
      <c r="O1113" s="244">
        <f>_xlfn.XLOOKUP(FME_Ranking1[[#This Row],[FME ID]],FME_Input[FME_ID],FME_Input[POP100])</f>
        <v>201</v>
      </c>
      <c r="P1113" s="178">
        <f>(FME_Ranking1[[#This Row],[Pop Raw]]/$O$2)*100</f>
        <v>2.0577437709741422E-2</v>
      </c>
      <c r="Q1113" s="178">
        <f>FME_Ranking1[[#This Row],[Pop Score (Normalized, Unweighted)]]*$O$3</f>
        <v>3.0866156564612131E-3</v>
      </c>
      <c r="R1113" s="137">
        <f>_xlfn.XLOOKUP(FME_Ranking1[[#This Row],[FME ID]],FME_Input[FME_ID],FME_Input[CRITFAC100])</f>
        <v>1</v>
      </c>
      <c r="S1113" s="230">
        <f>(FME_Ranking1[[#This Row],[Critical Facilities Raw]]/$R$2)*100</f>
        <v>4.2881646655231559E-2</v>
      </c>
      <c r="T1113" s="180">
        <f>FME_Ranking1[[#This Row],[Critical Facilities Score (Normalized, Unweighted)]]*$R$3</f>
        <v>8.5763293310463125E-3</v>
      </c>
      <c r="U1113">
        <f>_xlfn.XLOOKUP(FME_Ranking1[[#This Row],[FME ID]],FME_Input[FME_ID],FME_Input[LWC])</f>
        <v>4</v>
      </c>
      <c r="V1113" s="178">
        <f>(FME_Ranking1[[#This Row],[LWC Raw]]/$U$2)*100</f>
        <v>0.23028209556706969</v>
      </c>
      <c r="W1113" s="178">
        <f>FME_Ranking1[[#This Row],[LWC Score (Normalized, Unweighted)]]*$U$3</f>
        <v>4.6056419113413939E-2</v>
      </c>
      <c r="X1113" s="246">
        <f>_xlfn.XLOOKUP(FME_Ranking1[[#This Row],[FME ID]],FME_Input[FME_ID],FME_Input[ROADCLS])</f>
        <v>11</v>
      </c>
      <c r="Y1113" s="230">
        <f>(FME_Ranking1[[#This Row],[Closures Raw]]/$X$2)*100</f>
        <v>0.1156555567237935</v>
      </c>
      <c r="Z1113" s="180">
        <f>FME_Ranking1[[#This Row],[Closures Score (Normalized, Unweighted)]]*$X$3</f>
        <v>5.7827778361896759E-3</v>
      </c>
      <c r="AA1113" s="253">
        <f>_xlfn.XLOOKUP(FME_Ranking1[[#This Row],[FME ID]],FME_Input[FME_ID],FME_Input[ROAD_MILES100])</f>
        <v>1.537649989128113</v>
      </c>
      <c r="AB1113" s="178">
        <f>(FME_Ranking1[[#This Row],[Miles Raw]]/$AA$2)*100</f>
        <v>2.0217339452306426E-2</v>
      </c>
      <c r="AC1113" s="178">
        <f>FME_Ranking1[[#This Row],[Miles Score (Normalized, Unweighted)]]*$AA$3</f>
        <v>2.0217339452306428E-3</v>
      </c>
      <c r="AD1113" s="255">
        <f>_xlfn.XLOOKUP(FME_Ranking1[[#This Row],[FME ID]],FME_Input[FME_ID],FME_Input[FARMACRE100])</f>
        <v>0.30882900953292852</v>
      </c>
      <c r="AE1113" s="230">
        <f>(FME_Ranking1[[#This Row],[Ag Land Raw]]/$AD$2)*100</f>
        <v>1.273472587893739E-5</v>
      </c>
      <c r="AF1113" s="231">
        <f>FME_Ranking1[[#This Row],[Ag Land Score (Normalized, Unweighted)]]*$AD$3</f>
        <v>6.3673629394686957E-7</v>
      </c>
      <c r="AG111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7.3432747732273776E-2</v>
      </c>
      <c r="AH1113" s="406">
        <f t="shared" si="17"/>
        <v>1169</v>
      </c>
      <c r="AI111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7.3432747732273776E-2</v>
      </c>
      <c r="AJ1113" s="257">
        <f>FME_Ranking1[[#This Row],[Addition check]]-FME_Ranking1[[#This Row],[Weighted Score Based on Normalized Reported Factors]]</f>
        <v>0</v>
      </c>
      <c r="AK1113" s="178">
        <f>_xlfn.RANK.EQ(AI1113,$AI$6:$AI$2341,0)+COUNTIF($AI$6:AI1113,AI1113)-1</f>
        <v>1169</v>
      </c>
    </row>
    <row r="1114" spans="1:37" x14ac:dyDescent="0.25">
      <c r="A1114" t="s">
        <v>11316</v>
      </c>
      <c r="B1114">
        <f>_xlfn.XLOOKUP(FME_Ranking1[[#This Row],[FME ID]],FME_Input[FME_ID],FME_Input[RFPG_NUM])</f>
        <v>15</v>
      </c>
      <c r="C1114" t="str">
        <f>_xlfn.XLOOKUP(FME_Ranking1[[#This Row],[FME ID]],FME_Input[FME_ID],FME_Input[FME_NAME])</f>
        <v>Edwards County</v>
      </c>
      <c r="D1114" t="str">
        <f>_xlfn.XLOOKUP(FME_Ranking1[[#This Row],[FME ID]],FME_Input[FME_ID],FME_Input[DESCR])</f>
        <v>Develop Flood risk maps for the county of Edwards and develop CIP</v>
      </c>
      <c r="E1114" s="256">
        <f>_xlfn.XLOOKUP(FME_Ranking1[[#This Row],[FME ID]],FME_Input[FME_ID],FME_Input[FME_COST])</f>
        <v>250000</v>
      </c>
      <c r="F1114" t="str">
        <f>_xlfn.XLOOKUP(FME_Ranking1[[#This Row],[FME ID]],FME_Input[FME_ID],FME_Input[EMER_NEED])</f>
        <v>Yes</v>
      </c>
      <c r="G1114">
        <f>IF(FME_Ranking!F1114="Yes",100,0)</f>
        <v>100</v>
      </c>
      <c r="H1114">
        <f>FME_Ranking1[[#This Row],[Emergency Need Score (Normalized, Unweighted)]]*$F$3</f>
        <v>0</v>
      </c>
      <c r="I1114" s="246">
        <f>_xlfn.XLOOKUP(FME_Ranking1[[#This Row],[FME ID]],FME_Input[FME_ID],FME_Input[STRUCT_100])</f>
        <v>0</v>
      </c>
      <c r="J1114" s="178">
        <f>(FME_Ranking1[[#This Row],[Structures 100 Raw]]/I$2)*100</f>
        <v>0</v>
      </c>
      <c r="K1114" s="178">
        <f>FME_Ranking1[[#This Row],[Structures 100  Score (Normalized, Unweighted)]]*$I$3</f>
        <v>0</v>
      </c>
      <c r="L1114" s="246">
        <f>_xlfn.XLOOKUP(FME_Ranking1[[#This Row],[FME ID]],FME_Input[FME_ID],FME_Input[RES_STRUCT100])</f>
        <v>27</v>
      </c>
      <c r="M1114" s="230">
        <f>(FME_Ranking1[[#This Row],[Res Structures Raw]]/L$2)*100</f>
        <v>1.9124250966837134E-2</v>
      </c>
      <c r="N1114" s="180">
        <f>FME_Ranking1[[#This Row],[Res Structures Score (Normalized, Unweighted)]]*$L$3</f>
        <v>1.9124250966837135E-3</v>
      </c>
      <c r="O1114" s="244">
        <f>_xlfn.XLOOKUP(FME_Ranking1[[#This Row],[FME ID]],FME_Input[FME_ID],FME_Input[POP100])</f>
        <v>9</v>
      </c>
      <c r="P1114" s="178">
        <f>(FME_Ranking1[[#This Row],[Pop Raw]]/$O$2)*100</f>
        <v>9.2137780789886947E-4</v>
      </c>
      <c r="Q1114" s="178">
        <f>FME_Ranking1[[#This Row],[Pop Score (Normalized, Unweighted)]]*$O$3</f>
        <v>1.3820667118483041E-4</v>
      </c>
      <c r="R1114" s="137">
        <f>_xlfn.XLOOKUP(FME_Ranking1[[#This Row],[FME ID]],FME_Input[FME_ID],FME_Input[CRITFAC100])</f>
        <v>0</v>
      </c>
      <c r="S1114" s="230">
        <f>(FME_Ranking1[[#This Row],[Critical Facilities Raw]]/$R$2)*100</f>
        <v>0</v>
      </c>
      <c r="T1114" s="180">
        <f>FME_Ranking1[[#This Row],[Critical Facilities Score (Normalized, Unweighted)]]*$R$3</f>
        <v>0</v>
      </c>
      <c r="U1114">
        <f>_xlfn.XLOOKUP(FME_Ranking1[[#This Row],[FME ID]],FME_Input[FME_ID],FME_Input[LWC])</f>
        <v>6</v>
      </c>
      <c r="V1114" s="178">
        <f>(FME_Ranking1[[#This Row],[LWC Raw]]/$U$2)*100</f>
        <v>0.34542314335060448</v>
      </c>
      <c r="W1114" s="178">
        <f>FME_Ranking1[[#This Row],[LWC Score (Normalized, Unweighted)]]*$U$3</f>
        <v>6.9084628670120898E-2</v>
      </c>
      <c r="X1114" s="246">
        <f>_xlfn.XLOOKUP(FME_Ranking1[[#This Row],[FME ID]],FME_Input[FME_ID],FME_Input[ROADCLS])</f>
        <v>0</v>
      </c>
      <c r="Y1114" s="230">
        <f>(FME_Ranking1[[#This Row],[Closures Raw]]/$X$2)*100</f>
        <v>0</v>
      </c>
      <c r="Z1114" s="180">
        <f>FME_Ranking1[[#This Row],[Closures Score (Normalized, Unweighted)]]*$X$3</f>
        <v>0</v>
      </c>
      <c r="AA1114" s="253">
        <f>_xlfn.XLOOKUP(FME_Ranking1[[#This Row],[FME ID]],FME_Input[FME_ID],FME_Input[ROAD_MILES100])</f>
        <v>44.976799011230469</v>
      </c>
      <c r="AB1114" s="178">
        <f>(FME_Ranking1[[#This Row],[Miles Raw]]/$AA$2)*100</f>
        <v>0.59136423732153065</v>
      </c>
      <c r="AC1114" s="178">
        <f>FME_Ranking1[[#This Row],[Miles Score (Normalized, Unweighted)]]*$AA$3</f>
        <v>5.9136423732153068E-2</v>
      </c>
      <c r="AD1114" s="255">
        <f>_xlfn.XLOOKUP(FME_Ranking1[[#This Row],[FME ID]],FME_Input[FME_ID],FME_Input[FARMACRE100])</f>
        <v>0</v>
      </c>
      <c r="AE1114" s="230">
        <f>(FME_Ranking1[[#This Row],[Ag Land Raw]]/$AD$2)*100</f>
        <v>0</v>
      </c>
      <c r="AF1114" s="231">
        <f>FME_Ranking1[[#This Row],[Ag Land Score (Normalized, Unweighted)]]*$AD$3</f>
        <v>0</v>
      </c>
      <c r="AG111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0.13027168417014251</v>
      </c>
      <c r="AH1114" s="406">
        <f t="shared" si="17"/>
        <v>948</v>
      </c>
      <c r="AI111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0.13027168417014251</v>
      </c>
      <c r="AJ1114" s="257">
        <f>FME_Ranking1[[#This Row],[Addition check]]-FME_Ranking1[[#This Row],[Weighted Score Based on Normalized Reported Factors]]</f>
        <v>0</v>
      </c>
      <c r="AK1114" s="178">
        <f>_xlfn.RANK.EQ(AI1114,$AI$6:$AI$2341,0)+COUNTIF($AI$6:AI1114,AI1114)-1</f>
        <v>948</v>
      </c>
    </row>
    <row r="1115" spans="1:37" x14ac:dyDescent="0.25">
      <c r="A1115" t="s">
        <v>2587</v>
      </c>
      <c r="B1115">
        <f>_xlfn.XLOOKUP(FME_Ranking1[[#This Row],[FME ID]],FME_Input[FME_ID],FME_Input[RFPG_NUM])</f>
        <v>1</v>
      </c>
      <c r="C1115" t="str">
        <f>_xlfn.XLOOKUP(FME_Ranking1[[#This Row],[FME ID]],FME_Input[FME_ID],FME_Input[FME_NAME])</f>
        <v>Clarendon City Drainage Master Plan</v>
      </c>
      <c r="D1115" t="str">
        <f>_xlfn.XLOOKUP(FME_Ranking1[[#This Row],[FME ID]],FME_Input[FME_ID],FME_Input[DESCR])</f>
        <v>Perform H&amp;H modeling, develop conceptual alternatives and OPCC, and rank projects; selected based on the needs analysis and survey responses reporting issues with rivers, creeks, tributaries, and functioning floodplains and playa lakes.</v>
      </c>
      <c r="E1115" s="256">
        <f>_xlfn.XLOOKUP(FME_Ranking1[[#This Row],[FME ID]],FME_Input[FME_ID],FME_Input[FME_COST])</f>
        <v>250000</v>
      </c>
      <c r="F1115" t="str">
        <f>_xlfn.XLOOKUP(FME_Ranking1[[#This Row],[FME ID]],FME_Input[FME_ID],FME_Input[EMER_NEED])</f>
        <v>No</v>
      </c>
      <c r="G1115">
        <f>IF(FME_Ranking!F1115="Yes",100,0)</f>
        <v>0</v>
      </c>
      <c r="H1115">
        <f>FME_Ranking1[[#This Row],[Emergency Need Score (Normalized, Unweighted)]]*$F$3</f>
        <v>0</v>
      </c>
      <c r="I1115" s="246">
        <f>_xlfn.XLOOKUP(FME_Ranking1[[#This Row],[FME ID]],FME_Input[FME_ID],FME_Input[STRUCT_100])</f>
        <v>128</v>
      </c>
      <c r="J1115" s="178">
        <f>(FME_Ranking1[[#This Row],[Structures 100 Raw]]/I$2)*100</f>
        <v>6.8543032172385734E-2</v>
      </c>
      <c r="K1115" s="178">
        <f>FME_Ranking1[[#This Row],[Structures 100  Score (Normalized, Unweighted)]]*$I$3</f>
        <v>1.028145482585786E-2</v>
      </c>
      <c r="L1115" s="246">
        <f>_xlfn.XLOOKUP(FME_Ranking1[[#This Row],[FME ID]],FME_Input[FME_ID],FME_Input[RES_STRUCT100])</f>
        <v>7</v>
      </c>
      <c r="M1115" s="230">
        <f>(FME_Ranking1[[#This Row],[Res Structures Raw]]/L$2)*100</f>
        <v>4.9581391395503681E-3</v>
      </c>
      <c r="N1115" s="180">
        <f>FME_Ranking1[[#This Row],[Res Structures Score (Normalized, Unweighted)]]*$L$3</f>
        <v>4.9581391395503687E-4</v>
      </c>
      <c r="O1115" s="244">
        <f>_xlfn.XLOOKUP(FME_Ranking1[[#This Row],[FME ID]],FME_Input[FME_ID],FME_Input[POP100])</f>
        <v>436</v>
      </c>
      <c r="P1115" s="178">
        <f>(FME_Ranking1[[#This Row],[Pop Raw]]/$O$2)*100</f>
        <v>4.4635636027100793E-2</v>
      </c>
      <c r="Q1115" s="178">
        <f>FME_Ranking1[[#This Row],[Pop Score (Normalized, Unweighted)]]*$O$3</f>
        <v>6.6953454040651192E-3</v>
      </c>
      <c r="R1115" s="137">
        <f>_xlfn.XLOOKUP(FME_Ranking1[[#This Row],[FME ID]],FME_Input[FME_ID],FME_Input[CRITFAC100])</f>
        <v>2</v>
      </c>
      <c r="S1115" s="230">
        <f>(FME_Ranking1[[#This Row],[Critical Facilities Raw]]/$R$2)*100</f>
        <v>8.5763293310463118E-2</v>
      </c>
      <c r="T1115" s="180">
        <f>FME_Ranking1[[#This Row],[Critical Facilities Score (Normalized, Unweighted)]]*$R$3</f>
        <v>1.7152658662092625E-2</v>
      </c>
      <c r="U1115">
        <f>_xlfn.XLOOKUP(FME_Ranking1[[#This Row],[FME ID]],FME_Input[FME_ID],FME_Input[LWC])</f>
        <v>3</v>
      </c>
      <c r="V1115" s="178">
        <f>(FME_Ranking1[[#This Row],[LWC Raw]]/$U$2)*100</f>
        <v>0.17271157167530224</v>
      </c>
      <c r="W1115" s="178">
        <f>FME_Ranking1[[#This Row],[LWC Score (Normalized, Unweighted)]]*$U$3</f>
        <v>3.4542314335060449E-2</v>
      </c>
      <c r="X1115" s="246">
        <f>_xlfn.XLOOKUP(FME_Ranking1[[#This Row],[FME ID]],FME_Input[FME_ID],FME_Input[ROADCLS])</f>
        <v>3</v>
      </c>
      <c r="Y1115" s="230">
        <f>(FME_Ranking1[[#This Row],[Closures Raw]]/$X$2)*100</f>
        <v>3.1542424561034593E-2</v>
      </c>
      <c r="Z1115" s="180">
        <f>FME_Ranking1[[#This Row],[Closures Score (Normalized, Unweighted)]]*$X$3</f>
        <v>1.5771212280517297E-3</v>
      </c>
      <c r="AA1115" s="253">
        <f>_xlfn.XLOOKUP(FME_Ranking1[[#This Row],[FME ID]],FME_Input[FME_ID],FME_Input[ROAD_MILES100])</f>
        <v>8.8058052062988281</v>
      </c>
      <c r="AB1115" s="178">
        <f>(FME_Ranking1[[#This Row],[Miles Raw]]/$AA$2)*100</f>
        <v>0.11578054450972822</v>
      </c>
      <c r="AC1115" s="178">
        <f>FME_Ranking1[[#This Row],[Miles Score (Normalized, Unweighted)]]*$AA$3</f>
        <v>1.1578054450972822E-2</v>
      </c>
      <c r="AD1115" s="255">
        <f>_xlfn.XLOOKUP(FME_Ranking1[[#This Row],[FME ID]],FME_Input[FME_ID],FME_Input[FARMACRE100])</f>
        <v>7.4994978904724121</v>
      </c>
      <c r="AE1115" s="230">
        <f>(FME_Ranking1[[#This Row],[Ag Land Raw]]/$AD$2)*100</f>
        <v>3.0924572147310656E-4</v>
      </c>
      <c r="AF1115" s="231">
        <f>FME_Ranking1[[#This Row],[Ag Land Score (Normalized, Unweighted)]]*$AD$3</f>
        <v>1.546228607365533E-5</v>
      </c>
      <c r="AG111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8.2338225106129287E-2</v>
      </c>
      <c r="AH1115" s="406">
        <f t="shared" si="17"/>
        <v>1129</v>
      </c>
      <c r="AI111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8.2338225106129287E-2</v>
      </c>
      <c r="AJ1115" s="257">
        <f>FME_Ranking1[[#This Row],[Addition check]]-FME_Ranking1[[#This Row],[Weighted Score Based on Normalized Reported Factors]]</f>
        <v>0</v>
      </c>
      <c r="AK1115" s="178">
        <f>_xlfn.RANK.EQ(AI1115,$AI$6:$AI$2341,0)+COUNTIF($AI$6:AI1115,AI1115)-1</f>
        <v>1129</v>
      </c>
    </row>
    <row r="1116" spans="1:37" x14ac:dyDescent="0.25">
      <c r="A1116" t="s">
        <v>2759</v>
      </c>
      <c r="B1116">
        <f>_xlfn.XLOOKUP(FME_Ranking1[[#This Row],[FME ID]],FME_Input[FME_ID],FME_Input[RFPG_NUM])</f>
        <v>1</v>
      </c>
      <c r="C1116" t="str">
        <f>_xlfn.XLOOKUP(FME_Ranking1[[#This Row],[FME ID]],FME_Input[FME_ID],FME_Input[FME_NAME])</f>
        <v>City of Clarendon GIS Development</v>
      </c>
      <c r="D1116" t="str">
        <f>_xlfn.XLOOKUP(FME_Ranking1[[#This Row],[FME ID]],FME_Input[FME_ID],FME_Input[DESCR])</f>
        <v>Develop GIS inventory and condition assessment for flood infrastructure; selected based on survey response</v>
      </c>
      <c r="E1116" s="256">
        <f>_xlfn.XLOOKUP(FME_Ranking1[[#This Row],[FME ID]],FME_Input[FME_ID],FME_Input[FME_COST])</f>
        <v>50000</v>
      </c>
      <c r="F1116" t="str">
        <f>_xlfn.XLOOKUP(FME_Ranking1[[#This Row],[FME ID]],FME_Input[FME_ID],FME_Input[EMER_NEED])</f>
        <v>No</v>
      </c>
      <c r="G1116">
        <f>IF(FME_Ranking!F1116="Yes",100,0)</f>
        <v>0</v>
      </c>
      <c r="H1116">
        <f>FME_Ranking1[[#This Row],[Emergency Need Score (Normalized, Unweighted)]]*$F$3</f>
        <v>0</v>
      </c>
      <c r="I1116" s="246">
        <f>_xlfn.XLOOKUP(FME_Ranking1[[#This Row],[FME ID]],FME_Input[FME_ID],FME_Input[STRUCT_100])</f>
        <v>128</v>
      </c>
      <c r="J1116" s="178">
        <f>(FME_Ranking1[[#This Row],[Structures 100 Raw]]/I$2)*100</f>
        <v>6.8543032172385734E-2</v>
      </c>
      <c r="K1116" s="178">
        <f>FME_Ranking1[[#This Row],[Structures 100  Score (Normalized, Unweighted)]]*$I$3</f>
        <v>1.028145482585786E-2</v>
      </c>
      <c r="L1116" s="246">
        <f>_xlfn.XLOOKUP(FME_Ranking1[[#This Row],[FME ID]],FME_Input[FME_ID],FME_Input[RES_STRUCT100])</f>
        <v>7</v>
      </c>
      <c r="M1116" s="230">
        <f>(FME_Ranking1[[#This Row],[Res Structures Raw]]/L$2)*100</f>
        <v>4.9581391395503681E-3</v>
      </c>
      <c r="N1116" s="180">
        <f>FME_Ranking1[[#This Row],[Res Structures Score (Normalized, Unweighted)]]*$L$3</f>
        <v>4.9581391395503687E-4</v>
      </c>
      <c r="O1116" s="244">
        <f>_xlfn.XLOOKUP(FME_Ranking1[[#This Row],[FME ID]],FME_Input[FME_ID],FME_Input[POP100])</f>
        <v>436</v>
      </c>
      <c r="P1116" s="178">
        <f>(FME_Ranking1[[#This Row],[Pop Raw]]/$O$2)*100</f>
        <v>4.4635636027100793E-2</v>
      </c>
      <c r="Q1116" s="178">
        <f>FME_Ranking1[[#This Row],[Pop Score (Normalized, Unweighted)]]*$O$3</f>
        <v>6.6953454040651192E-3</v>
      </c>
      <c r="R1116" s="137">
        <f>_xlfn.XLOOKUP(FME_Ranking1[[#This Row],[FME ID]],FME_Input[FME_ID],FME_Input[CRITFAC100])</f>
        <v>2</v>
      </c>
      <c r="S1116" s="230">
        <f>(FME_Ranking1[[#This Row],[Critical Facilities Raw]]/$R$2)*100</f>
        <v>8.5763293310463118E-2</v>
      </c>
      <c r="T1116" s="180">
        <f>FME_Ranking1[[#This Row],[Critical Facilities Score (Normalized, Unweighted)]]*$R$3</f>
        <v>1.7152658662092625E-2</v>
      </c>
      <c r="U1116">
        <f>_xlfn.XLOOKUP(FME_Ranking1[[#This Row],[FME ID]],FME_Input[FME_ID],FME_Input[LWC])</f>
        <v>3</v>
      </c>
      <c r="V1116" s="178">
        <f>(FME_Ranking1[[#This Row],[LWC Raw]]/$U$2)*100</f>
        <v>0.17271157167530224</v>
      </c>
      <c r="W1116" s="178">
        <f>FME_Ranking1[[#This Row],[LWC Score (Normalized, Unweighted)]]*$U$3</f>
        <v>3.4542314335060449E-2</v>
      </c>
      <c r="X1116" s="246">
        <f>_xlfn.XLOOKUP(FME_Ranking1[[#This Row],[FME ID]],FME_Input[FME_ID],FME_Input[ROADCLS])</f>
        <v>3</v>
      </c>
      <c r="Y1116" s="230">
        <f>(FME_Ranking1[[#This Row],[Closures Raw]]/$X$2)*100</f>
        <v>3.1542424561034593E-2</v>
      </c>
      <c r="Z1116" s="180">
        <f>FME_Ranking1[[#This Row],[Closures Score (Normalized, Unweighted)]]*$X$3</f>
        <v>1.5771212280517297E-3</v>
      </c>
      <c r="AA1116" s="253">
        <f>_xlfn.XLOOKUP(FME_Ranking1[[#This Row],[FME ID]],FME_Input[FME_ID],FME_Input[ROAD_MILES100])</f>
        <v>8.8058052062988281</v>
      </c>
      <c r="AB1116" s="178">
        <f>(FME_Ranking1[[#This Row],[Miles Raw]]/$AA$2)*100</f>
        <v>0.11578054450972822</v>
      </c>
      <c r="AC1116" s="178">
        <f>FME_Ranking1[[#This Row],[Miles Score (Normalized, Unweighted)]]*$AA$3</f>
        <v>1.1578054450972822E-2</v>
      </c>
      <c r="AD1116" s="255">
        <f>_xlfn.XLOOKUP(FME_Ranking1[[#This Row],[FME ID]],FME_Input[FME_ID],FME_Input[FARMACRE100])</f>
        <v>7.4994978904724121</v>
      </c>
      <c r="AE1116" s="230">
        <f>(FME_Ranking1[[#This Row],[Ag Land Raw]]/$AD$2)*100</f>
        <v>3.0924572147310656E-4</v>
      </c>
      <c r="AF1116" s="231">
        <f>FME_Ranking1[[#This Row],[Ag Land Score (Normalized, Unweighted)]]*$AD$3</f>
        <v>1.546228607365533E-5</v>
      </c>
      <c r="AG111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8.2338225106129287E-2</v>
      </c>
      <c r="AH1116" s="406">
        <f t="shared" si="17"/>
        <v>1129</v>
      </c>
      <c r="AI111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8.2338225106129287E-2</v>
      </c>
      <c r="AJ1116" s="257">
        <f>FME_Ranking1[[#This Row],[Addition check]]-FME_Ranking1[[#This Row],[Weighted Score Based on Normalized Reported Factors]]</f>
        <v>0</v>
      </c>
      <c r="AK1116" s="178">
        <f>_xlfn.RANK.EQ(AI1116,$AI$6:$AI$2341,0)+COUNTIF($AI$6:AI1116,AI1116)-1</f>
        <v>1130</v>
      </c>
    </row>
    <row r="1117" spans="1:37" x14ac:dyDescent="0.25">
      <c r="A1117" t="s">
        <v>1706</v>
      </c>
      <c r="B1117">
        <f>_xlfn.XLOOKUP(FME_Ranking1[[#This Row],[FME ID]],FME_Input[FME_ID],FME_Input[RFPG_NUM])</f>
        <v>6</v>
      </c>
      <c r="C1117" t="str">
        <f>_xlfn.XLOOKUP(FME_Ranking1[[#This Row],[FME ID]],FME_Input[FME_ID],FME_Input[FME_NAME])</f>
        <v>City of Patton Village  Master Drainage Plan</v>
      </c>
      <c r="D1117" t="str">
        <f>_xlfn.XLOOKUP(FME_Ranking1[[#This Row],[FME ID]],FME_Input[FME_ID],FME_Input[DESCR])</f>
        <v>Study to develop Master Drainage Plan using future and existing land use and flood/storm water drainage needs including Atlas 14 rainfall.</v>
      </c>
      <c r="E1117" s="256">
        <f>_xlfn.XLOOKUP(FME_Ranking1[[#This Row],[FME ID]],FME_Input[FME_ID],FME_Input[FME_COST])</f>
        <v>200000</v>
      </c>
      <c r="F1117" t="str">
        <f>_xlfn.XLOOKUP(FME_Ranking1[[#This Row],[FME ID]],FME_Input[FME_ID],FME_Input[EMER_NEED])</f>
        <v>Yes</v>
      </c>
      <c r="G1117">
        <f>IF(FME_Ranking!F1117="Yes",100,0)</f>
        <v>100</v>
      </c>
      <c r="H1117">
        <f>FME_Ranking1[[#This Row],[Emergency Need Score (Normalized, Unweighted)]]*$F$3</f>
        <v>0</v>
      </c>
      <c r="I1117" s="246">
        <f>_xlfn.XLOOKUP(FME_Ranking1[[#This Row],[FME ID]],FME_Input[FME_ID],FME_Input[STRUCT_100])</f>
        <v>441</v>
      </c>
      <c r="J1117" s="178">
        <f>(FME_Ranking1[[#This Row],[Structures 100 Raw]]/I$2)*100</f>
        <v>0.23615216553142271</v>
      </c>
      <c r="K1117" s="178">
        <f>FME_Ranking1[[#This Row],[Structures 100  Score (Normalized, Unweighted)]]*$I$3</f>
        <v>3.5422824829713408E-2</v>
      </c>
      <c r="L1117" s="246">
        <f>_xlfn.XLOOKUP(FME_Ranking1[[#This Row],[FME ID]],FME_Input[FME_ID],FME_Input[RES_STRUCT100])</f>
        <v>374</v>
      </c>
      <c r="M1117" s="230">
        <f>(FME_Ranking1[[#This Row],[Res Structures Raw]]/L$2)*100</f>
        <v>0.26490629117026249</v>
      </c>
      <c r="N1117" s="180">
        <f>FME_Ranking1[[#This Row],[Res Structures Score (Normalized, Unweighted)]]*$L$3</f>
        <v>2.6490629117026251E-2</v>
      </c>
      <c r="O1117" s="244">
        <f>_xlfn.XLOOKUP(FME_Ranking1[[#This Row],[FME ID]],FME_Input[FME_ID],FME_Input[POP100])</f>
        <v>537</v>
      </c>
      <c r="P1117" s="178">
        <f>(FME_Ranking1[[#This Row],[Pop Raw]]/$O$2)*100</f>
        <v>5.4975542537965889E-2</v>
      </c>
      <c r="Q1117" s="178">
        <f>FME_Ranking1[[#This Row],[Pop Score (Normalized, Unweighted)]]*$O$3</f>
        <v>8.2463313806948827E-3</v>
      </c>
      <c r="R1117" s="137">
        <f>_xlfn.XLOOKUP(FME_Ranking1[[#This Row],[FME ID]],FME_Input[FME_ID],FME_Input[CRITFAC100])</f>
        <v>0</v>
      </c>
      <c r="S1117" s="230">
        <f>(FME_Ranking1[[#This Row],[Critical Facilities Raw]]/$R$2)*100</f>
        <v>0</v>
      </c>
      <c r="T1117" s="180">
        <f>FME_Ranking1[[#This Row],[Critical Facilities Score (Normalized, Unweighted)]]*$R$3</f>
        <v>0</v>
      </c>
      <c r="U1117">
        <f>_xlfn.XLOOKUP(FME_Ranking1[[#This Row],[FME ID]],FME_Input[FME_ID],FME_Input[LWC])</f>
        <v>0</v>
      </c>
      <c r="V1117" s="178">
        <f>(FME_Ranking1[[#This Row],[LWC Raw]]/$U$2)*100</f>
        <v>0</v>
      </c>
      <c r="W1117" s="178">
        <f>FME_Ranking1[[#This Row],[LWC Score (Normalized, Unweighted)]]*$U$3</f>
        <v>0</v>
      </c>
      <c r="X1117" s="246">
        <f>_xlfn.XLOOKUP(FME_Ranking1[[#This Row],[FME ID]],FME_Input[FME_ID],FME_Input[ROADCLS])</f>
        <v>0</v>
      </c>
      <c r="Y1117" s="230">
        <f>(FME_Ranking1[[#This Row],[Closures Raw]]/$X$2)*100</f>
        <v>0</v>
      </c>
      <c r="Z1117" s="180">
        <f>FME_Ranking1[[#This Row],[Closures Score (Normalized, Unweighted)]]*$X$3</f>
        <v>0</v>
      </c>
      <c r="AA1117" s="253">
        <f>_xlfn.XLOOKUP(FME_Ranking1[[#This Row],[FME ID]],FME_Input[FME_ID],FME_Input[ROAD_MILES100])</f>
        <v>14.426210403442379</v>
      </c>
      <c r="AB1117" s="178">
        <f>(FME_Ranking1[[#This Row],[Miles Raw]]/$AA$2)*100</f>
        <v>0.18967879218219713</v>
      </c>
      <c r="AC1117" s="178">
        <f>FME_Ranking1[[#This Row],[Miles Score (Normalized, Unweighted)]]*$AA$3</f>
        <v>1.8967879218219713E-2</v>
      </c>
      <c r="AD1117" s="255">
        <f>_xlfn.XLOOKUP(FME_Ranking1[[#This Row],[FME ID]],FME_Input[FME_ID],FME_Input[FARMACRE100])</f>
        <v>4.0971946716308594</v>
      </c>
      <c r="AE1117" s="230">
        <f>(FME_Ranking1[[#This Row],[Ag Land Raw]]/$AD$2)*100</f>
        <v>1.689499671509927E-4</v>
      </c>
      <c r="AF1117" s="231">
        <f>FME_Ranking1[[#This Row],[Ag Land Score (Normalized, Unweighted)]]*$AD$3</f>
        <v>8.4474983575496353E-6</v>
      </c>
      <c r="AG111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8.9136112044011798E-2</v>
      </c>
      <c r="AH1117" s="406">
        <f t="shared" si="17"/>
        <v>1092</v>
      </c>
      <c r="AI111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8.9136112044011798E-2</v>
      </c>
      <c r="AJ1117" s="257">
        <f>FME_Ranking1[[#This Row],[Addition check]]-FME_Ranking1[[#This Row],[Weighted Score Based on Normalized Reported Factors]]</f>
        <v>0</v>
      </c>
      <c r="AK1117" s="178">
        <f>_xlfn.RANK.EQ(AI1117,$AI$6:$AI$2341,0)+COUNTIF($AI$6:AI1117,AI1117)-1</f>
        <v>1092</v>
      </c>
    </row>
    <row r="1118" spans="1:37" x14ac:dyDescent="0.25">
      <c r="A1118" t="s">
        <v>3786</v>
      </c>
      <c r="B1118">
        <f>_xlfn.XLOOKUP(FME_Ranking1[[#This Row],[FME ID]],FME_Input[FME_ID],FME_Input[RFPG_NUM])</f>
        <v>2</v>
      </c>
      <c r="C1118" t="str">
        <f>_xlfn.XLOOKUP(FME_Ranking1[[#This Row],[FME ID]],FME_Input[FME_ID],FME_Input[FME_NAME])</f>
        <v>Red River Levee and Navigation System</v>
      </c>
      <c r="D1118" t="str">
        <f>_xlfn.XLOOKUP(FME_Ranking1[[#This Row],[FME ID]],FME_Input[FME_ID],FME_Input[DESCR])</f>
        <v>Study flood mitigation benefits of a levee and navigation system on the Lower Red, based on planning by USACE</v>
      </c>
      <c r="E1118" s="256">
        <f>_xlfn.XLOOKUP(FME_Ranking1[[#This Row],[FME ID]],FME_Input[FME_ID],FME_Input[FME_COST])</f>
        <v>4000000</v>
      </c>
      <c r="F1118" t="str">
        <f>_xlfn.XLOOKUP(FME_Ranking1[[#This Row],[FME ID]],FME_Input[FME_ID],FME_Input[EMER_NEED])</f>
        <v>No</v>
      </c>
      <c r="G1118">
        <f>IF(FME_Ranking!F1118="Yes",100,0)</f>
        <v>0</v>
      </c>
      <c r="H1118">
        <f>FME_Ranking1[[#This Row],[Emergency Need Score (Normalized, Unweighted)]]*$F$3</f>
        <v>0</v>
      </c>
      <c r="I1118" s="246">
        <f>_xlfn.XLOOKUP(FME_Ranking1[[#This Row],[FME ID]],FME_Input[FME_ID],FME_Input[STRUCT_100])</f>
        <v>154</v>
      </c>
      <c r="J1118" s="178">
        <f>(FME_Ranking1[[#This Row],[Structures 100 Raw]]/I$2)*100</f>
        <v>8.2465835582401573E-2</v>
      </c>
      <c r="K1118" s="178">
        <f>FME_Ranking1[[#This Row],[Structures 100  Score (Normalized, Unweighted)]]*$I$3</f>
        <v>1.2369875337360236E-2</v>
      </c>
      <c r="L1118" s="246">
        <f>_xlfn.XLOOKUP(FME_Ranking1[[#This Row],[FME ID]],FME_Input[FME_ID],FME_Input[RES_STRUCT100])</f>
        <v>45</v>
      </c>
      <c r="M1118" s="230">
        <f>(FME_Ranking1[[#This Row],[Res Structures Raw]]/L$2)*100</f>
        <v>3.1873751611395225E-2</v>
      </c>
      <c r="N1118" s="180">
        <f>FME_Ranking1[[#This Row],[Res Structures Score (Normalized, Unweighted)]]*$L$3</f>
        <v>3.1873751611395228E-3</v>
      </c>
      <c r="O1118" s="244">
        <f>_xlfn.XLOOKUP(FME_Ranking1[[#This Row],[FME ID]],FME_Input[FME_ID],FME_Input[POP100])</f>
        <v>193</v>
      </c>
      <c r="P1118" s="178">
        <f>(FME_Ranking1[[#This Row],[Pop Raw]]/$O$2)*100</f>
        <v>1.9758435213831315E-2</v>
      </c>
      <c r="Q1118" s="178">
        <f>FME_Ranking1[[#This Row],[Pop Score (Normalized, Unweighted)]]*$O$3</f>
        <v>2.9637652820746971E-3</v>
      </c>
      <c r="R1118" s="137">
        <f>_xlfn.XLOOKUP(FME_Ranking1[[#This Row],[FME ID]],FME_Input[FME_ID],FME_Input[CRITFAC100])</f>
        <v>1</v>
      </c>
      <c r="S1118" s="230">
        <f>(FME_Ranking1[[#This Row],[Critical Facilities Raw]]/$R$2)*100</f>
        <v>4.2881646655231559E-2</v>
      </c>
      <c r="T1118" s="180">
        <f>FME_Ranking1[[#This Row],[Critical Facilities Score (Normalized, Unweighted)]]*$R$3</f>
        <v>8.5763293310463125E-3</v>
      </c>
      <c r="U1118">
        <f>_xlfn.XLOOKUP(FME_Ranking1[[#This Row],[FME ID]],FME_Input[FME_ID],FME_Input[LWC])</f>
        <v>1</v>
      </c>
      <c r="V1118" s="178">
        <f>(FME_Ranking1[[#This Row],[LWC Raw]]/$U$2)*100</f>
        <v>5.7570523891767422E-2</v>
      </c>
      <c r="W1118" s="178">
        <f>FME_Ranking1[[#This Row],[LWC Score (Normalized, Unweighted)]]*$U$3</f>
        <v>1.1514104778353485E-2</v>
      </c>
      <c r="X1118" s="246">
        <f>_xlfn.XLOOKUP(FME_Ranking1[[#This Row],[FME ID]],FME_Input[FME_ID],FME_Input[ROADCLS])</f>
        <v>0</v>
      </c>
      <c r="Y1118" s="230">
        <f>(FME_Ranking1[[#This Row],[Closures Raw]]/$X$2)*100</f>
        <v>0</v>
      </c>
      <c r="Z1118" s="180">
        <f>FME_Ranking1[[#This Row],[Closures Score (Normalized, Unweighted)]]*$X$3</f>
        <v>0</v>
      </c>
      <c r="AA1118" s="253">
        <f>_xlfn.XLOOKUP(FME_Ranking1[[#This Row],[FME ID]],FME_Input[FME_ID],FME_Input[ROAD_MILES100])</f>
        <v>25.918624877929691</v>
      </c>
      <c r="AB1118" s="178">
        <f>(FME_Ranking1[[#This Row],[Miles Raw]]/$AA$2)*100</f>
        <v>0.34078342990866434</v>
      </c>
      <c r="AC1118" s="178">
        <f>FME_Ranking1[[#This Row],[Miles Score (Normalized, Unweighted)]]*$AA$3</f>
        <v>3.4078342990866435E-2</v>
      </c>
      <c r="AD1118" s="255">
        <f>_xlfn.XLOOKUP(FME_Ranking1[[#This Row],[FME ID]],FME_Input[FME_ID],FME_Input[FARMACRE100])</f>
        <v>15299.8984375</v>
      </c>
      <c r="AE1118" s="230">
        <f>(FME_Ranking1[[#This Row],[Ag Land Raw]]/$AD$2)*100</f>
        <v>0.63089932151069639</v>
      </c>
      <c r="AF1118" s="231">
        <f>FME_Ranking1[[#This Row],[Ag Land Score (Normalized, Unweighted)]]*$AD$3</f>
        <v>3.1544966075534822E-2</v>
      </c>
      <c r="AG111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0.1042347589563755</v>
      </c>
      <c r="AH1118" s="406">
        <f t="shared" si="17"/>
        <v>1039</v>
      </c>
      <c r="AI111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0.1042347589563755</v>
      </c>
      <c r="AJ1118" s="257">
        <f>FME_Ranking1[[#This Row],[Addition check]]-FME_Ranking1[[#This Row],[Weighted Score Based on Normalized Reported Factors]]</f>
        <v>0</v>
      </c>
      <c r="AK1118" s="178">
        <f>_xlfn.RANK.EQ(AI1118,$AI$6:$AI$2341,0)+COUNTIF($AI$6:AI1118,AI1118)-1</f>
        <v>1039</v>
      </c>
    </row>
    <row r="1119" spans="1:37" x14ac:dyDescent="0.25">
      <c r="A1119" t="s">
        <v>10199</v>
      </c>
      <c r="B1119">
        <f>_xlfn.XLOOKUP(FME_Ranking1[[#This Row],[FME ID]],FME_Input[FME_ID],FME_Input[RFPG_NUM])</f>
        <v>13</v>
      </c>
      <c r="C1119" t="str">
        <f>_xlfn.XLOOKUP(FME_Ranking1[[#This Row],[FME ID]],FME_Input[FME_ID],FME_Input[FME_NAME])</f>
        <v>Lattas Creek Improvements</v>
      </c>
      <c r="D1119" t="str">
        <f>_xlfn.XLOOKUP(FME_Ranking1[[#This Row],[FME ID]],FME_Input[FME_ID],FME_Input[DESCR])</f>
        <v>Concrete line Lattas Creek to improved drainage capacity.</v>
      </c>
      <c r="E1119" s="256">
        <f>_xlfn.XLOOKUP(FME_Ranking1[[#This Row],[FME ID]],FME_Input[FME_ID],FME_Input[FME_COST])</f>
        <v>150000</v>
      </c>
      <c r="F1119" t="str">
        <f>_xlfn.XLOOKUP(FME_Ranking1[[#This Row],[FME ID]],FME_Input[FME_ID],FME_Input[EMER_NEED])</f>
        <v>Yes</v>
      </c>
      <c r="G1119">
        <f>IF(FME_Ranking!F1119="Yes",100,0)</f>
        <v>100</v>
      </c>
      <c r="H1119">
        <f>FME_Ranking1[[#This Row],[Emergency Need Score (Normalized, Unweighted)]]*$F$3</f>
        <v>0</v>
      </c>
      <c r="I1119" s="246">
        <f>_xlfn.XLOOKUP(FME_Ranking1[[#This Row],[FME ID]],FME_Input[FME_ID],FME_Input[STRUCT_100])</f>
        <v>72</v>
      </c>
      <c r="J1119" s="178">
        <f>(FME_Ranking1[[#This Row],[Structures 100 Raw]]/I$2)*100</f>
        <v>3.8555455596966971E-2</v>
      </c>
      <c r="K1119" s="178">
        <f>FME_Ranking1[[#This Row],[Structures 100  Score (Normalized, Unweighted)]]*$I$3</f>
        <v>5.7833183395450457E-3</v>
      </c>
      <c r="L1119" s="246">
        <f>_xlfn.XLOOKUP(FME_Ranking1[[#This Row],[FME ID]],FME_Input[FME_ID],FME_Input[RES_STRUCT100])</f>
        <v>33</v>
      </c>
      <c r="M1119" s="230">
        <f>(FME_Ranking1[[#This Row],[Res Structures Raw]]/L$2)*100</f>
        <v>2.3374084515023163E-2</v>
      </c>
      <c r="N1119" s="180">
        <f>FME_Ranking1[[#This Row],[Res Structures Score (Normalized, Unweighted)]]*$L$3</f>
        <v>2.3374084515023165E-3</v>
      </c>
      <c r="O1119" s="244">
        <f>_xlfn.XLOOKUP(FME_Ranking1[[#This Row],[FME ID]],FME_Input[FME_ID],FME_Input[POP100])</f>
        <v>172</v>
      </c>
      <c r="P1119" s="178">
        <f>(FME_Ranking1[[#This Row],[Pop Raw]]/$O$2)*100</f>
        <v>1.7608553662067285E-2</v>
      </c>
      <c r="Q1119" s="178">
        <f>FME_Ranking1[[#This Row],[Pop Score (Normalized, Unweighted)]]*$O$3</f>
        <v>2.6412830493100928E-3</v>
      </c>
      <c r="R1119" s="137">
        <f>_xlfn.XLOOKUP(FME_Ranking1[[#This Row],[FME ID]],FME_Input[FME_ID],FME_Input[CRITFAC100])</f>
        <v>0</v>
      </c>
      <c r="S1119" s="230">
        <f>(FME_Ranking1[[#This Row],[Critical Facilities Raw]]/$R$2)*100</f>
        <v>0</v>
      </c>
      <c r="T1119" s="180">
        <f>FME_Ranking1[[#This Row],[Critical Facilities Score (Normalized, Unweighted)]]*$R$3</f>
        <v>0</v>
      </c>
      <c r="U1119">
        <f>_xlfn.XLOOKUP(FME_Ranking1[[#This Row],[FME ID]],FME_Input[FME_ID],FME_Input[LWC])</f>
        <v>3</v>
      </c>
      <c r="V1119" s="178">
        <f>(FME_Ranking1[[#This Row],[LWC Raw]]/$U$2)*100</f>
        <v>0.17271157167530224</v>
      </c>
      <c r="W1119" s="178">
        <f>FME_Ranking1[[#This Row],[LWC Score (Normalized, Unweighted)]]*$U$3</f>
        <v>3.4542314335060449E-2</v>
      </c>
      <c r="X1119" s="246">
        <f>_xlfn.XLOOKUP(FME_Ranking1[[#This Row],[FME ID]],FME_Input[FME_ID],FME_Input[ROADCLS])</f>
        <v>47</v>
      </c>
      <c r="Y1119" s="230">
        <f>(FME_Ranking1[[#This Row],[Closures Raw]]/$X$2)*100</f>
        <v>0.49416465145620858</v>
      </c>
      <c r="Z1119" s="180">
        <f>FME_Ranking1[[#This Row],[Closures Score (Normalized, Unweighted)]]*$X$3</f>
        <v>2.4708232572810431E-2</v>
      </c>
      <c r="AA1119" s="253">
        <f>_xlfn.XLOOKUP(FME_Ranking1[[#This Row],[FME ID]],FME_Input[FME_ID],FME_Input[ROAD_MILES100])</f>
        <v>2.9282171726226811</v>
      </c>
      <c r="AB1119" s="178">
        <f>(FME_Ranking1[[#This Row],[Miles Raw]]/$AA$2)*100</f>
        <v>3.8500803815928263E-2</v>
      </c>
      <c r="AC1119" s="178">
        <f>FME_Ranking1[[#This Row],[Miles Score (Normalized, Unweighted)]]*$AA$3</f>
        <v>3.8500803815928264E-3</v>
      </c>
      <c r="AD1119" s="255">
        <f>_xlfn.XLOOKUP(FME_Ranking1[[#This Row],[FME ID]],FME_Input[FME_ID],FME_Input[FARMACRE100])</f>
        <v>63.021076202392578</v>
      </c>
      <c r="AE1119" s="230">
        <f>(FME_Ranking1[[#This Row],[Ag Land Raw]]/$AD$2)*100</f>
        <v>2.5987070685065373E-3</v>
      </c>
      <c r="AF1119" s="231">
        <f>FME_Ranking1[[#This Row],[Ag Land Score (Normalized, Unweighted)]]*$AD$3</f>
        <v>1.2993535342532687E-4</v>
      </c>
      <c r="AG111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7.3992572483246491E-2</v>
      </c>
      <c r="AH1119" s="406">
        <f t="shared" si="17"/>
        <v>1165</v>
      </c>
      <c r="AI111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7.3992572483246491E-2</v>
      </c>
      <c r="AJ1119" s="257">
        <f>FME_Ranking1[[#This Row],[Addition check]]-FME_Ranking1[[#This Row],[Weighted Score Based on Normalized Reported Factors]]</f>
        <v>0</v>
      </c>
      <c r="AK1119" s="178">
        <f>_xlfn.RANK.EQ(AI1119,$AI$6:$AI$2341,0)+COUNTIF($AI$6:AI1119,AI1119)-1</f>
        <v>1165</v>
      </c>
    </row>
    <row r="1120" spans="1:37" x14ac:dyDescent="0.25">
      <c r="A1120" t="s">
        <v>6397</v>
      </c>
      <c r="B1120">
        <f>_xlfn.XLOOKUP(FME_Ranking1[[#This Row],[FME ID]],FME_Input[FME_ID],FME_Input[RFPG_NUM])</f>
        <v>5</v>
      </c>
      <c r="C1120" t="str">
        <f>_xlfn.XLOOKUP(FME_Ranking1[[#This Row],[FME ID]],FME_Input[FME_ID],FME_Input[FME_NAME])</f>
        <v>City of Silsbee Easy Street Drainage Improvements</v>
      </c>
      <c r="D1120" t="str">
        <f>_xlfn.XLOOKUP(FME_Ranking1[[#This Row],[FME ID]],FME_Input[FME_ID],FME_Input[DESCR])</f>
        <v xml:space="preserve">H&amp;H study to locate roadways prone to flooding and identify alternatives to improve drainage. </v>
      </c>
      <c r="E1120" s="256">
        <f>_xlfn.XLOOKUP(FME_Ranking1[[#This Row],[FME ID]],FME_Input[FME_ID],FME_Input[FME_COST])</f>
        <v>50000</v>
      </c>
      <c r="F1120" t="str">
        <f>_xlfn.XLOOKUP(FME_Ranking1[[#This Row],[FME ID]],FME_Input[FME_ID],FME_Input[EMER_NEED])</f>
        <v>Yes</v>
      </c>
      <c r="G1120">
        <f>IF(FME_Ranking!F1120="Yes",100,0)</f>
        <v>100</v>
      </c>
      <c r="H1120">
        <f>FME_Ranking1[[#This Row],[Emergency Need Score (Normalized, Unweighted)]]*$F$3</f>
        <v>0</v>
      </c>
      <c r="I1120" s="246">
        <f>_xlfn.XLOOKUP(FME_Ranking1[[#This Row],[FME ID]],FME_Input[FME_ID],FME_Input[STRUCT_100])</f>
        <v>135</v>
      </c>
      <c r="J1120" s="178">
        <f>(FME_Ranking1[[#This Row],[Structures 100 Raw]]/I$2)*100</f>
        <v>7.2291479244313075E-2</v>
      </c>
      <c r="K1120" s="178">
        <f>FME_Ranking1[[#This Row],[Structures 100  Score (Normalized, Unweighted)]]*$I$3</f>
        <v>1.0843721886646961E-2</v>
      </c>
      <c r="L1120" s="246">
        <f>_xlfn.XLOOKUP(FME_Ranking1[[#This Row],[FME ID]],FME_Input[FME_ID],FME_Input[RES_STRUCT100])</f>
        <v>96</v>
      </c>
      <c r="M1120" s="230">
        <f>(FME_Ranking1[[#This Row],[Res Structures Raw]]/L$2)*100</f>
        <v>6.7997336770976469E-2</v>
      </c>
      <c r="N1120" s="180">
        <f>FME_Ranking1[[#This Row],[Res Structures Score (Normalized, Unweighted)]]*$L$3</f>
        <v>6.7997336770976476E-3</v>
      </c>
      <c r="O1120" s="244">
        <f>_xlfn.XLOOKUP(FME_Ranking1[[#This Row],[FME ID]],FME_Input[FME_ID],FME_Input[POP100])</f>
        <v>266</v>
      </c>
      <c r="P1120" s="178">
        <f>(FME_Ranking1[[#This Row],[Pop Raw]]/$O$2)*100</f>
        <v>2.7231832989011037E-2</v>
      </c>
      <c r="Q1120" s="178">
        <f>FME_Ranking1[[#This Row],[Pop Score (Normalized, Unweighted)]]*$O$3</f>
        <v>4.0847749483516552E-3</v>
      </c>
      <c r="R1120" s="137">
        <f>_xlfn.XLOOKUP(FME_Ranking1[[#This Row],[FME ID]],FME_Input[FME_ID],FME_Input[CRITFAC100])</f>
        <v>0</v>
      </c>
      <c r="S1120" s="230">
        <f>(FME_Ranking1[[#This Row],[Critical Facilities Raw]]/$R$2)*100</f>
        <v>0</v>
      </c>
      <c r="T1120" s="180">
        <f>FME_Ranking1[[#This Row],[Critical Facilities Score (Normalized, Unweighted)]]*$R$3</f>
        <v>0</v>
      </c>
      <c r="U1120">
        <f>_xlfn.XLOOKUP(FME_Ranking1[[#This Row],[FME ID]],FME_Input[FME_ID],FME_Input[LWC])</f>
        <v>4</v>
      </c>
      <c r="V1120" s="178">
        <f>(FME_Ranking1[[#This Row],[LWC Raw]]/$U$2)*100</f>
        <v>0.23028209556706969</v>
      </c>
      <c r="W1120" s="178">
        <f>FME_Ranking1[[#This Row],[LWC Score (Normalized, Unweighted)]]*$U$3</f>
        <v>4.6056419113413939E-2</v>
      </c>
      <c r="X1120" s="246">
        <f>_xlfn.XLOOKUP(FME_Ranking1[[#This Row],[FME ID]],FME_Input[FME_ID],FME_Input[ROADCLS])</f>
        <v>4</v>
      </c>
      <c r="Y1120" s="230">
        <f>(FME_Ranking1[[#This Row],[Closures Raw]]/$X$2)*100</f>
        <v>4.2056566081379455E-2</v>
      </c>
      <c r="Z1120" s="180">
        <f>FME_Ranking1[[#This Row],[Closures Score (Normalized, Unweighted)]]*$X$3</f>
        <v>2.1028283040689729E-3</v>
      </c>
      <c r="AA1120" s="253">
        <f>_xlfn.XLOOKUP(FME_Ranking1[[#This Row],[FME ID]],FME_Input[FME_ID],FME_Input[ROAD_MILES100])</f>
        <v>2.8014540672302251</v>
      </c>
      <c r="AB1120" s="178">
        <f>(FME_Ranking1[[#This Row],[Miles Raw]]/$AA$2)*100</f>
        <v>3.6834096340320657E-2</v>
      </c>
      <c r="AC1120" s="178">
        <f>FME_Ranking1[[#This Row],[Miles Score (Normalized, Unweighted)]]*$AA$3</f>
        <v>3.6834096340320659E-3</v>
      </c>
      <c r="AD1120" s="255">
        <f>_xlfn.XLOOKUP(FME_Ranking1[[#This Row],[FME ID]],FME_Input[FME_ID],FME_Input[FARMACRE100])</f>
        <v>3.7084438800811772</v>
      </c>
      <c r="AE1120" s="230">
        <f>(FME_Ranking1[[#This Row],[Ag Land Raw]]/$AD$2)*100</f>
        <v>1.5291962475183645E-4</v>
      </c>
      <c r="AF1120" s="231">
        <f>FME_Ranking1[[#This Row],[Ag Land Score (Normalized, Unweighted)]]*$AD$3</f>
        <v>7.6459812375918225E-6</v>
      </c>
      <c r="AG112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7.3578533544848834E-2</v>
      </c>
      <c r="AH1120" s="406">
        <f t="shared" si="17"/>
        <v>1166</v>
      </c>
      <c r="AI112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7.3578533544848834E-2</v>
      </c>
      <c r="AJ1120" s="257">
        <f>FME_Ranking1[[#This Row],[Addition check]]-FME_Ranking1[[#This Row],[Weighted Score Based on Normalized Reported Factors]]</f>
        <v>0</v>
      </c>
      <c r="AK1120" s="178">
        <f>_xlfn.RANK.EQ(AI1120,$AI$6:$AI$2341,0)+COUNTIF($AI$6:AI1120,AI1120)-1</f>
        <v>1166</v>
      </c>
    </row>
    <row r="1121" spans="1:37" x14ac:dyDescent="0.25">
      <c r="A1121" t="s">
        <v>3230</v>
      </c>
      <c r="B1121">
        <f>_xlfn.XLOOKUP(FME_Ranking1[[#This Row],[FME ID]],FME_Input[FME_ID],FME_Input[RFPG_NUM])</f>
        <v>1</v>
      </c>
      <c r="C1121" t="str">
        <f>_xlfn.XLOOKUP(FME_Ranking1[[#This Row],[FME ID]],FME_Input[FME_ID],FME_Input[FME_NAME])</f>
        <v>West Amarillo Creek Project Planning - Partridge/Cloud Crest Channel Reach (City of Amarillo)</v>
      </c>
      <c r="D1121" t="str">
        <f>_xlfn.XLOOKUP(FME_Ranking1[[#This Row],[FME ID]],FME_Input[FME_ID],FME_Input[DESCR])</f>
        <v>Evaluate project to quantify benefits, evaluate impacts and begin design. Improvements to West Amarillo Creek Study Area - Partridge/Cloud Crest Channel Reach. Project identified from 2019 Amarillo DMP.</v>
      </c>
      <c r="E1121" s="256">
        <f>_xlfn.XLOOKUP(FME_Ranking1[[#This Row],[FME ID]],FME_Input[FME_ID],FME_Input[FME_COST])</f>
        <v>250000</v>
      </c>
      <c r="F1121" t="str">
        <f>_xlfn.XLOOKUP(FME_Ranking1[[#This Row],[FME ID]],FME_Input[FME_ID],FME_Input[EMER_NEED])</f>
        <v>No</v>
      </c>
      <c r="G1121">
        <f>IF(FME_Ranking!F1121="Yes",100,0)</f>
        <v>0</v>
      </c>
      <c r="H1121">
        <f>FME_Ranking1[[#This Row],[Emergency Need Score (Normalized, Unweighted)]]*$F$3</f>
        <v>0</v>
      </c>
      <c r="I1121" s="246">
        <f>_xlfn.XLOOKUP(FME_Ranking1[[#This Row],[FME ID]],FME_Input[FME_ID],FME_Input[STRUCT_100])</f>
        <v>48</v>
      </c>
      <c r="J1121" s="178">
        <f>(FME_Ranking1[[#This Row],[Structures 100 Raw]]/I$2)*100</f>
        <v>2.5703637064644645E-2</v>
      </c>
      <c r="K1121" s="178">
        <f>FME_Ranking1[[#This Row],[Structures 100  Score (Normalized, Unweighted)]]*$I$3</f>
        <v>3.8555455596966967E-3</v>
      </c>
      <c r="L1121" s="246">
        <f>_xlfn.XLOOKUP(FME_Ranking1[[#This Row],[FME ID]],FME_Input[FME_ID],FME_Input[RES_STRUCT100])</f>
        <v>37</v>
      </c>
      <c r="M1121" s="230">
        <f>(FME_Ranking1[[#This Row],[Res Structures Raw]]/L$2)*100</f>
        <v>2.6207306880480515E-2</v>
      </c>
      <c r="N1121" s="180">
        <f>FME_Ranking1[[#This Row],[Res Structures Score (Normalized, Unweighted)]]*$L$3</f>
        <v>2.6207306880480516E-3</v>
      </c>
      <c r="O1121" s="244">
        <f>_xlfn.XLOOKUP(FME_Ranking1[[#This Row],[FME ID]],FME_Input[FME_ID],FME_Input[POP100])</f>
        <v>1974</v>
      </c>
      <c r="P1121" s="178">
        <f>(FME_Ranking1[[#This Row],[Pop Raw]]/$O$2)*100</f>
        <v>0.20208886586581873</v>
      </c>
      <c r="Q1121" s="178">
        <f>FME_Ranking1[[#This Row],[Pop Score (Normalized, Unweighted)]]*$O$3</f>
        <v>3.0313329879872807E-2</v>
      </c>
      <c r="R1121" s="137">
        <f>_xlfn.XLOOKUP(FME_Ranking1[[#This Row],[FME ID]],FME_Input[FME_ID],FME_Input[CRITFAC100])</f>
        <v>1</v>
      </c>
      <c r="S1121" s="230">
        <f>(FME_Ranking1[[#This Row],[Critical Facilities Raw]]/$R$2)*100</f>
        <v>4.2881646655231559E-2</v>
      </c>
      <c r="T1121" s="180">
        <f>FME_Ranking1[[#This Row],[Critical Facilities Score (Normalized, Unweighted)]]*$R$3</f>
        <v>8.5763293310463125E-3</v>
      </c>
      <c r="U1121">
        <f>_xlfn.XLOOKUP(FME_Ranking1[[#This Row],[FME ID]],FME_Input[FME_ID],FME_Input[LWC])</f>
        <v>2</v>
      </c>
      <c r="V1121" s="178">
        <f>(FME_Ranking1[[#This Row],[LWC Raw]]/$U$2)*100</f>
        <v>0.11514104778353484</v>
      </c>
      <c r="W1121" s="178">
        <f>FME_Ranking1[[#This Row],[LWC Score (Normalized, Unweighted)]]*$U$3</f>
        <v>2.302820955670697E-2</v>
      </c>
      <c r="X1121" s="246">
        <f>_xlfn.XLOOKUP(FME_Ranking1[[#This Row],[FME ID]],FME_Input[FME_ID],FME_Input[ROADCLS])</f>
        <v>2</v>
      </c>
      <c r="Y1121" s="230">
        <f>(FME_Ranking1[[#This Row],[Closures Raw]]/$X$2)*100</f>
        <v>2.1028283040689728E-2</v>
      </c>
      <c r="Z1121" s="180">
        <f>FME_Ranking1[[#This Row],[Closures Score (Normalized, Unweighted)]]*$X$3</f>
        <v>1.0514141520344864E-3</v>
      </c>
      <c r="AA1121" s="253">
        <f>_xlfn.XLOOKUP(FME_Ranking1[[#This Row],[FME ID]],FME_Input[FME_ID],FME_Input[ROAD_MILES100])</f>
        <v>4.9523806571960449</v>
      </c>
      <c r="AB1121" s="178">
        <f>(FME_Ranking1[[#This Row],[Miles Raw]]/$AA$2)*100</f>
        <v>6.5114923130420388E-2</v>
      </c>
      <c r="AC1121" s="178">
        <f>FME_Ranking1[[#This Row],[Miles Score (Normalized, Unweighted)]]*$AA$3</f>
        <v>6.5114923130420391E-3</v>
      </c>
      <c r="AD1121" s="255">
        <f>_xlfn.XLOOKUP(FME_Ranking1[[#This Row],[FME ID]],FME_Input[FME_ID],FME_Input[FARMACRE100])</f>
        <v>187.62370300292969</v>
      </c>
      <c r="AE1121" s="230">
        <f>(FME_Ranking1[[#This Row],[Ag Land Raw]]/$AD$2)*100</f>
        <v>7.7367616136420998E-3</v>
      </c>
      <c r="AF1121" s="231">
        <f>FME_Ranking1[[#This Row],[Ag Land Score (Normalized, Unweighted)]]*$AD$3</f>
        <v>3.8683808068210501E-4</v>
      </c>
      <c r="AG112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7.634388956112946E-2</v>
      </c>
      <c r="AH1121" s="406">
        <f t="shared" si="17"/>
        <v>1148</v>
      </c>
      <c r="AI112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7.634388956112946E-2</v>
      </c>
      <c r="AJ1121" s="257">
        <f>FME_Ranking1[[#This Row],[Addition check]]-FME_Ranking1[[#This Row],[Weighted Score Based on Normalized Reported Factors]]</f>
        <v>0</v>
      </c>
      <c r="AK1121" s="178">
        <f>_xlfn.RANK.EQ(AI1121,$AI$6:$AI$2341,0)+COUNTIF($AI$6:AI1121,AI1121)-1</f>
        <v>1148</v>
      </c>
    </row>
    <row r="1122" spans="1:37" x14ac:dyDescent="0.25">
      <c r="A1122" t="s">
        <v>3234</v>
      </c>
      <c r="B1122">
        <f>_xlfn.XLOOKUP(FME_Ranking1[[#This Row],[FME ID]],FME_Input[FME_ID],FME_Input[RFPG_NUM])</f>
        <v>1</v>
      </c>
      <c r="C1122" t="str">
        <f>_xlfn.XLOOKUP(FME_Ranking1[[#This Row],[FME ID]],FME_Input[FME_ID],FME_Input[FME_NAME])</f>
        <v>Quail Creek Channel from Plum Creek Storm Channel Reach (City of Amarillo)</v>
      </c>
      <c r="D1122" t="str">
        <f>_xlfn.XLOOKUP(FME_Ranking1[[#This Row],[FME ID]],FME_Input[FME_ID],FME_Input[DESCR])</f>
        <v>Evaluate project to quantify benefits, evaluate impacts and begin design. Improvements to Quail Creek Channel from Plum Creek Storm Channel Reach. Project identified from 2019 Amarillo DMP.</v>
      </c>
      <c r="E1122" s="256">
        <f>_xlfn.XLOOKUP(FME_Ranking1[[#This Row],[FME ID]],FME_Input[FME_ID],FME_Input[FME_COST])</f>
        <v>250000</v>
      </c>
      <c r="F1122" t="str">
        <f>_xlfn.XLOOKUP(FME_Ranking1[[#This Row],[FME ID]],FME_Input[FME_ID],FME_Input[EMER_NEED])</f>
        <v>No</v>
      </c>
      <c r="G1122">
        <f>IF(FME_Ranking!F1122="Yes",100,0)</f>
        <v>0</v>
      </c>
      <c r="H1122">
        <f>FME_Ranking1[[#This Row],[Emergency Need Score (Normalized, Unweighted)]]*$F$3</f>
        <v>0</v>
      </c>
      <c r="I1122" s="246">
        <f>_xlfn.XLOOKUP(FME_Ranking1[[#This Row],[FME ID]],FME_Input[FME_ID],FME_Input[STRUCT_100])</f>
        <v>48</v>
      </c>
      <c r="J1122" s="178">
        <f>(FME_Ranking1[[#This Row],[Structures 100 Raw]]/I$2)*100</f>
        <v>2.5703637064644645E-2</v>
      </c>
      <c r="K1122" s="178">
        <f>FME_Ranking1[[#This Row],[Structures 100  Score (Normalized, Unweighted)]]*$I$3</f>
        <v>3.8555455596966967E-3</v>
      </c>
      <c r="L1122" s="246">
        <f>_xlfn.XLOOKUP(FME_Ranking1[[#This Row],[FME ID]],FME_Input[FME_ID],FME_Input[RES_STRUCT100])</f>
        <v>37</v>
      </c>
      <c r="M1122" s="230">
        <f>(FME_Ranking1[[#This Row],[Res Structures Raw]]/L$2)*100</f>
        <v>2.6207306880480515E-2</v>
      </c>
      <c r="N1122" s="180">
        <f>FME_Ranking1[[#This Row],[Res Structures Score (Normalized, Unweighted)]]*$L$3</f>
        <v>2.6207306880480516E-3</v>
      </c>
      <c r="O1122" s="244">
        <f>_xlfn.XLOOKUP(FME_Ranking1[[#This Row],[FME ID]],FME_Input[FME_ID],FME_Input[POP100])</f>
        <v>1974</v>
      </c>
      <c r="P1122" s="178">
        <f>(FME_Ranking1[[#This Row],[Pop Raw]]/$O$2)*100</f>
        <v>0.20208886586581873</v>
      </c>
      <c r="Q1122" s="178">
        <f>FME_Ranking1[[#This Row],[Pop Score (Normalized, Unweighted)]]*$O$3</f>
        <v>3.0313329879872807E-2</v>
      </c>
      <c r="R1122" s="137">
        <f>_xlfn.XLOOKUP(FME_Ranking1[[#This Row],[FME ID]],FME_Input[FME_ID],FME_Input[CRITFAC100])</f>
        <v>1</v>
      </c>
      <c r="S1122" s="230">
        <f>(FME_Ranking1[[#This Row],[Critical Facilities Raw]]/$R$2)*100</f>
        <v>4.2881646655231559E-2</v>
      </c>
      <c r="T1122" s="180">
        <f>FME_Ranking1[[#This Row],[Critical Facilities Score (Normalized, Unweighted)]]*$R$3</f>
        <v>8.5763293310463125E-3</v>
      </c>
      <c r="U1122">
        <f>_xlfn.XLOOKUP(FME_Ranking1[[#This Row],[FME ID]],FME_Input[FME_ID],FME_Input[LWC])</f>
        <v>2</v>
      </c>
      <c r="V1122" s="178">
        <f>(FME_Ranking1[[#This Row],[LWC Raw]]/$U$2)*100</f>
        <v>0.11514104778353484</v>
      </c>
      <c r="W1122" s="178">
        <f>FME_Ranking1[[#This Row],[LWC Score (Normalized, Unweighted)]]*$U$3</f>
        <v>2.302820955670697E-2</v>
      </c>
      <c r="X1122" s="246">
        <f>_xlfn.XLOOKUP(FME_Ranking1[[#This Row],[FME ID]],FME_Input[FME_ID],FME_Input[ROADCLS])</f>
        <v>2</v>
      </c>
      <c r="Y1122" s="230">
        <f>(FME_Ranking1[[#This Row],[Closures Raw]]/$X$2)*100</f>
        <v>2.1028283040689728E-2</v>
      </c>
      <c r="Z1122" s="180">
        <f>FME_Ranking1[[#This Row],[Closures Score (Normalized, Unweighted)]]*$X$3</f>
        <v>1.0514141520344864E-3</v>
      </c>
      <c r="AA1122" s="253">
        <f>_xlfn.XLOOKUP(FME_Ranking1[[#This Row],[FME ID]],FME_Input[FME_ID],FME_Input[ROAD_MILES100])</f>
        <v>4.9523806571960449</v>
      </c>
      <c r="AB1122" s="178">
        <f>(FME_Ranking1[[#This Row],[Miles Raw]]/$AA$2)*100</f>
        <v>6.5114923130420388E-2</v>
      </c>
      <c r="AC1122" s="178">
        <f>FME_Ranking1[[#This Row],[Miles Score (Normalized, Unweighted)]]*$AA$3</f>
        <v>6.5114923130420391E-3</v>
      </c>
      <c r="AD1122" s="255">
        <f>_xlfn.XLOOKUP(FME_Ranking1[[#This Row],[FME ID]],FME_Input[FME_ID],FME_Input[FARMACRE100])</f>
        <v>187.62370300292969</v>
      </c>
      <c r="AE1122" s="230">
        <f>(FME_Ranking1[[#This Row],[Ag Land Raw]]/$AD$2)*100</f>
        <v>7.7367616136420998E-3</v>
      </c>
      <c r="AF1122" s="231">
        <f>FME_Ranking1[[#This Row],[Ag Land Score (Normalized, Unweighted)]]*$AD$3</f>
        <v>3.8683808068210501E-4</v>
      </c>
      <c r="AG112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7.634388956112946E-2</v>
      </c>
      <c r="AH1122" s="406">
        <f t="shared" si="17"/>
        <v>1148</v>
      </c>
      <c r="AI112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7.634388956112946E-2</v>
      </c>
      <c r="AJ1122" s="257">
        <f>FME_Ranking1[[#This Row],[Addition check]]-FME_Ranking1[[#This Row],[Weighted Score Based on Normalized Reported Factors]]</f>
        <v>0</v>
      </c>
      <c r="AK1122" s="178">
        <f>_xlfn.RANK.EQ(AI1122,$AI$6:$AI$2341,0)+COUNTIF($AI$6:AI1122,AI1122)-1</f>
        <v>1149</v>
      </c>
    </row>
    <row r="1123" spans="1:37" x14ac:dyDescent="0.25">
      <c r="A1123" t="s">
        <v>3252</v>
      </c>
      <c r="B1123">
        <f>_xlfn.XLOOKUP(FME_Ranking1[[#This Row],[FME ID]],FME_Input[FME_ID],FME_Input[RFPG_NUM])</f>
        <v>1</v>
      </c>
      <c r="C1123" t="str">
        <f>_xlfn.XLOOKUP(FME_Ranking1[[#This Row],[FME ID]],FME_Input[FME_ID],FME_Input[FME_NAME])</f>
        <v>West Amarillo Creek Project Planning - Wolfin Avenue Channel Reach (City of Amarillo)</v>
      </c>
      <c r="D1123" t="str">
        <f>_xlfn.XLOOKUP(FME_Ranking1[[#This Row],[FME ID]],FME_Input[FME_ID],FME_Input[DESCR])</f>
        <v>Evaluate project to quantify benefits, evaluate impacts and begin design. Improvements include additional RCPs, installing concrete boxes, improving channel, and installing RCP  with inlet and outlet structure. Project identified from 2019 Amarillo DMP.</v>
      </c>
      <c r="E1123" s="256">
        <f>_xlfn.XLOOKUP(FME_Ranking1[[#This Row],[FME ID]],FME_Input[FME_ID],FME_Input[FME_COST])</f>
        <v>250000</v>
      </c>
      <c r="F1123" t="str">
        <f>_xlfn.XLOOKUP(FME_Ranking1[[#This Row],[FME ID]],FME_Input[FME_ID],FME_Input[EMER_NEED])</f>
        <v>No</v>
      </c>
      <c r="G1123">
        <f>IF(FME_Ranking!F1123="Yes",100,0)</f>
        <v>0</v>
      </c>
      <c r="H1123">
        <f>FME_Ranking1[[#This Row],[Emergency Need Score (Normalized, Unweighted)]]*$F$3</f>
        <v>0</v>
      </c>
      <c r="I1123" s="246">
        <f>_xlfn.XLOOKUP(FME_Ranking1[[#This Row],[FME ID]],FME_Input[FME_ID],FME_Input[STRUCT_100])</f>
        <v>48</v>
      </c>
      <c r="J1123" s="178">
        <f>(FME_Ranking1[[#This Row],[Structures 100 Raw]]/I$2)*100</f>
        <v>2.5703637064644645E-2</v>
      </c>
      <c r="K1123" s="178">
        <f>FME_Ranking1[[#This Row],[Structures 100  Score (Normalized, Unweighted)]]*$I$3</f>
        <v>3.8555455596966967E-3</v>
      </c>
      <c r="L1123" s="246">
        <f>_xlfn.XLOOKUP(FME_Ranking1[[#This Row],[FME ID]],FME_Input[FME_ID],FME_Input[RES_STRUCT100])</f>
        <v>37</v>
      </c>
      <c r="M1123" s="230">
        <f>(FME_Ranking1[[#This Row],[Res Structures Raw]]/L$2)*100</f>
        <v>2.6207306880480515E-2</v>
      </c>
      <c r="N1123" s="180">
        <f>FME_Ranking1[[#This Row],[Res Structures Score (Normalized, Unweighted)]]*$L$3</f>
        <v>2.6207306880480516E-3</v>
      </c>
      <c r="O1123" s="244">
        <f>_xlfn.XLOOKUP(FME_Ranking1[[#This Row],[FME ID]],FME_Input[FME_ID],FME_Input[POP100])</f>
        <v>1974</v>
      </c>
      <c r="P1123" s="178">
        <f>(FME_Ranking1[[#This Row],[Pop Raw]]/$O$2)*100</f>
        <v>0.20208886586581873</v>
      </c>
      <c r="Q1123" s="178">
        <f>FME_Ranking1[[#This Row],[Pop Score (Normalized, Unweighted)]]*$O$3</f>
        <v>3.0313329879872807E-2</v>
      </c>
      <c r="R1123" s="137">
        <f>_xlfn.XLOOKUP(FME_Ranking1[[#This Row],[FME ID]],FME_Input[FME_ID],FME_Input[CRITFAC100])</f>
        <v>1</v>
      </c>
      <c r="S1123" s="230">
        <f>(FME_Ranking1[[#This Row],[Critical Facilities Raw]]/$R$2)*100</f>
        <v>4.2881646655231559E-2</v>
      </c>
      <c r="T1123" s="180">
        <f>FME_Ranking1[[#This Row],[Critical Facilities Score (Normalized, Unweighted)]]*$R$3</f>
        <v>8.5763293310463125E-3</v>
      </c>
      <c r="U1123">
        <f>_xlfn.XLOOKUP(FME_Ranking1[[#This Row],[FME ID]],FME_Input[FME_ID],FME_Input[LWC])</f>
        <v>2</v>
      </c>
      <c r="V1123" s="178">
        <f>(FME_Ranking1[[#This Row],[LWC Raw]]/$U$2)*100</f>
        <v>0.11514104778353484</v>
      </c>
      <c r="W1123" s="178">
        <f>FME_Ranking1[[#This Row],[LWC Score (Normalized, Unweighted)]]*$U$3</f>
        <v>2.302820955670697E-2</v>
      </c>
      <c r="X1123" s="246">
        <f>_xlfn.XLOOKUP(FME_Ranking1[[#This Row],[FME ID]],FME_Input[FME_ID],FME_Input[ROADCLS])</f>
        <v>2</v>
      </c>
      <c r="Y1123" s="230">
        <f>(FME_Ranking1[[#This Row],[Closures Raw]]/$X$2)*100</f>
        <v>2.1028283040689728E-2</v>
      </c>
      <c r="Z1123" s="180">
        <f>FME_Ranking1[[#This Row],[Closures Score (Normalized, Unweighted)]]*$X$3</f>
        <v>1.0514141520344864E-3</v>
      </c>
      <c r="AA1123" s="253">
        <f>_xlfn.XLOOKUP(FME_Ranking1[[#This Row],[FME ID]],FME_Input[FME_ID],FME_Input[ROAD_MILES100])</f>
        <v>4.9523806571960449</v>
      </c>
      <c r="AB1123" s="178">
        <f>(FME_Ranking1[[#This Row],[Miles Raw]]/$AA$2)*100</f>
        <v>6.5114923130420388E-2</v>
      </c>
      <c r="AC1123" s="178">
        <f>FME_Ranking1[[#This Row],[Miles Score (Normalized, Unweighted)]]*$AA$3</f>
        <v>6.5114923130420391E-3</v>
      </c>
      <c r="AD1123" s="255">
        <f>_xlfn.XLOOKUP(FME_Ranking1[[#This Row],[FME ID]],FME_Input[FME_ID],FME_Input[FARMACRE100])</f>
        <v>187.62370300292969</v>
      </c>
      <c r="AE1123" s="230">
        <f>(FME_Ranking1[[#This Row],[Ag Land Raw]]/$AD$2)*100</f>
        <v>7.7367616136420998E-3</v>
      </c>
      <c r="AF1123" s="231">
        <f>FME_Ranking1[[#This Row],[Ag Land Score (Normalized, Unweighted)]]*$AD$3</f>
        <v>3.8683808068210501E-4</v>
      </c>
      <c r="AG112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7.634388956112946E-2</v>
      </c>
      <c r="AH1123" s="406">
        <f t="shared" si="17"/>
        <v>1148</v>
      </c>
      <c r="AI112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7.634388956112946E-2</v>
      </c>
      <c r="AJ1123" s="257">
        <f>FME_Ranking1[[#This Row],[Addition check]]-FME_Ranking1[[#This Row],[Weighted Score Based on Normalized Reported Factors]]</f>
        <v>0</v>
      </c>
      <c r="AK1123" s="178">
        <f>_xlfn.RANK.EQ(AI1123,$AI$6:$AI$2341,0)+COUNTIF($AI$6:AI1123,AI1123)-1</f>
        <v>1150</v>
      </c>
    </row>
    <row r="1124" spans="1:37" x14ac:dyDescent="0.25">
      <c r="A1124" t="s">
        <v>3296</v>
      </c>
      <c r="B1124">
        <f>_xlfn.XLOOKUP(FME_Ranking1[[#This Row],[FME ID]],FME_Input[FME_ID],FME_Input[RFPG_NUM])</f>
        <v>1</v>
      </c>
      <c r="C1124" t="str">
        <f>_xlfn.XLOOKUP(FME_Ranking1[[#This Row],[FME ID]],FME_Input[FME_ID],FME_Input[FME_NAME])</f>
        <v>West Amarillo Creek Project Planning - AISD/B I-40/MediPark (City of Amarillo)</v>
      </c>
      <c r="D1124" t="str">
        <f>_xlfn.XLOOKUP(FME_Ranking1[[#This Row],[FME ID]],FME_Input[FME_ID],FME_Input[DESCR])</f>
        <v>Evaluate project to quantify benefits, evaluate impacts and begin design. Improvements to West Amarillo Creek Study Area - AISD/B I-40/MediPark. Project identified from 2019 Amarillo DMP.</v>
      </c>
      <c r="E1124" s="256">
        <f>_xlfn.XLOOKUP(FME_Ranking1[[#This Row],[FME ID]],FME_Input[FME_ID],FME_Input[FME_COST])</f>
        <v>250000</v>
      </c>
      <c r="F1124" t="str">
        <f>_xlfn.XLOOKUP(FME_Ranking1[[#This Row],[FME ID]],FME_Input[FME_ID],FME_Input[EMER_NEED])</f>
        <v>No</v>
      </c>
      <c r="G1124">
        <f>IF(FME_Ranking!F1124="Yes",100,0)</f>
        <v>0</v>
      </c>
      <c r="H1124">
        <f>FME_Ranking1[[#This Row],[Emergency Need Score (Normalized, Unweighted)]]*$F$3</f>
        <v>0</v>
      </c>
      <c r="I1124" s="246">
        <f>_xlfn.XLOOKUP(FME_Ranking1[[#This Row],[FME ID]],FME_Input[FME_ID],FME_Input[STRUCT_100])</f>
        <v>48</v>
      </c>
      <c r="J1124" s="178">
        <f>(FME_Ranking1[[#This Row],[Structures 100 Raw]]/I$2)*100</f>
        <v>2.5703637064644645E-2</v>
      </c>
      <c r="K1124" s="178">
        <f>FME_Ranking1[[#This Row],[Structures 100  Score (Normalized, Unweighted)]]*$I$3</f>
        <v>3.8555455596966967E-3</v>
      </c>
      <c r="L1124" s="246">
        <f>_xlfn.XLOOKUP(FME_Ranking1[[#This Row],[FME ID]],FME_Input[FME_ID],FME_Input[RES_STRUCT100])</f>
        <v>37</v>
      </c>
      <c r="M1124" s="230">
        <f>(FME_Ranking1[[#This Row],[Res Structures Raw]]/L$2)*100</f>
        <v>2.6207306880480515E-2</v>
      </c>
      <c r="N1124" s="180">
        <f>FME_Ranking1[[#This Row],[Res Structures Score (Normalized, Unweighted)]]*$L$3</f>
        <v>2.6207306880480516E-3</v>
      </c>
      <c r="O1124" s="244">
        <f>_xlfn.XLOOKUP(FME_Ranking1[[#This Row],[FME ID]],FME_Input[FME_ID],FME_Input[POP100])</f>
        <v>1974</v>
      </c>
      <c r="P1124" s="178">
        <f>(FME_Ranking1[[#This Row],[Pop Raw]]/$O$2)*100</f>
        <v>0.20208886586581873</v>
      </c>
      <c r="Q1124" s="178">
        <f>FME_Ranking1[[#This Row],[Pop Score (Normalized, Unweighted)]]*$O$3</f>
        <v>3.0313329879872807E-2</v>
      </c>
      <c r="R1124" s="137">
        <f>_xlfn.XLOOKUP(FME_Ranking1[[#This Row],[FME ID]],FME_Input[FME_ID],FME_Input[CRITFAC100])</f>
        <v>1</v>
      </c>
      <c r="S1124" s="230">
        <f>(FME_Ranking1[[#This Row],[Critical Facilities Raw]]/$R$2)*100</f>
        <v>4.2881646655231559E-2</v>
      </c>
      <c r="T1124" s="180">
        <f>FME_Ranking1[[#This Row],[Critical Facilities Score (Normalized, Unweighted)]]*$R$3</f>
        <v>8.5763293310463125E-3</v>
      </c>
      <c r="U1124">
        <f>_xlfn.XLOOKUP(FME_Ranking1[[#This Row],[FME ID]],FME_Input[FME_ID],FME_Input[LWC])</f>
        <v>2</v>
      </c>
      <c r="V1124" s="178">
        <f>(FME_Ranking1[[#This Row],[LWC Raw]]/$U$2)*100</f>
        <v>0.11514104778353484</v>
      </c>
      <c r="W1124" s="178">
        <f>FME_Ranking1[[#This Row],[LWC Score (Normalized, Unweighted)]]*$U$3</f>
        <v>2.302820955670697E-2</v>
      </c>
      <c r="X1124" s="246">
        <f>_xlfn.XLOOKUP(FME_Ranking1[[#This Row],[FME ID]],FME_Input[FME_ID],FME_Input[ROADCLS])</f>
        <v>2</v>
      </c>
      <c r="Y1124" s="230">
        <f>(FME_Ranking1[[#This Row],[Closures Raw]]/$X$2)*100</f>
        <v>2.1028283040689728E-2</v>
      </c>
      <c r="Z1124" s="180">
        <f>FME_Ranking1[[#This Row],[Closures Score (Normalized, Unweighted)]]*$X$3</f>
        <v>1.0514141520344864E-3</v>
      </c>
      <c r="AA1124" s="253">
        <f>_xlfn.XLOOKUP(FME_Ranking1[[#This Row],[FME ID]],FME_Input[FME_ID],FME_Input[ROAD_MILES100])</f>
        <v>4.9523806571960449</v>
      </c>
      <c r="AB1124" s="178">
        <f>(FME_Ranking1[[#This Row],[Miles Raw]]/$AA$2)*100</f>
        <v>6.5114923130420388E-2</v>
      </c>
      <c r="AC1124" s="178">
        <f>FME_Ranking1[[#This Row],[Miles Score (Normalized, Unweighted)]]*$AA$3</f>
        <v>6.5114923130420391E-3</v>
      </c>
      <c r="AD1124" s="255">
        <f>_xlfn.XLOOKUP(FME_Ranking1[[#This Row],[FME ID]],FME_Input[FME_ID],FME_Input[FARMACRE100])</f>
        <v>187.62370300292969</v>
      </c>
      <c r="AE1124" s="230">
        <f>(FME_Ranking1[[#This Row],[Ag Land Raw]]/$AD$2)*100</f>
        <v>7.7367616136420998E-3</v>
      </c>
      <c r="AF1124" s="231">
        <f>FME_Ranking1[[#This Row],[Ag Land Score (Normalized, Unweighted)]]*$AD$3</f>
        <v>3.8683808068210501E-4</v>
      </c>
      <c r="AG112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7.634388956112946E-2</v>
      </c>
      <c r="AH1124" s="406">
        <f t="shared" si="17"/>
        <v>1148</v>
      </c>
      <c r="AI112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7.634388956112946E-2</v>
      </c>
      <c r="AJ1124" s="257">
        <f>FME_Ranking1[[#This Row],[Addition check]]-FME_Ranking1[[#This Row],[Weighted Score Based on Normalized Reported Factors]]</f>
        <v>0</v>
      </c>
      <c r="AK1124" s="178">
        <f>_xlfn.RANK.EQ(AI1124,$AI$6:$AI$2341,0)+COUNTIF($AI$6:AI1124,AI1124)-1</f>
        <v>1151</v>
      </c>
    </row>
    <row r="1125" spans="1:37" x14ac:dyDescent="0.25">
      <c r="A1125" t="s">
        <v>3436</v>
      </c>
      <c r="B1125">
        <f>_xlfn.XLOOKUP(FME_Ranking1[[#This Row],[FME ID]],FME_Input[FME_ID],FME_Input[RFPG_NUM])</f>
        <v>1</v>
      </c>
      <c r="C1125" t="str">
        <f>_xlfn.XLOOKUP(FME_Ranking1[[#This Row],[FME ID]],FME_Input[FME_ID],FME_Input[FME_NAME])</f>
        <v>Tributary to West Amarillo Creek Watershed Study (City of Amarillo)</v>
      </c>
      <c r="D1125" t="str">
        <f>_xlfn.XLOOKUP(FME_Ranking1[[#This Row],[FME ID]],FME_Input[FME_ID],FME_Input[DESCR])</f>
        <v>Perform H&amp;H modeling, develop conceptual alternatives and OPCC, and rank projects. Marked as high priority in 2019 Amarillo DMP</v>
      </c>
      <c r="E1125" s="256">
        <f>_xlfn.XLOOKUP(FME_Ranking1[[#This Row],[FME ID]],FME_Input[FME_ID],FME_Input[FME_COST])</f>
        <v>1000000</v>
      </c>
      <c r="F1125" t="str">
        <f>_xlfn.XLOOKUP(FME_Ranking1[[#This Row],[FME ID]],FME_Input[FME_ID],FME_Input[EMER_NEED])</f>
        <v>No</v>
      </c>
      <c r="G1125">
        <f>IF(FME_Ranking!F1125="Yes",100,0)</f>
        <v>0</v>
      </c>
      <c r="H1125">
        <f>FME_Ranking1[[#This Row],[Emergency Need Score (Normalized, Unweighted)]]*$F$3</f>
        <v>0</v>
      </c>
      <c r="I1125" s="246">
        <f>_xlfn.XLOOKUP(FME_Ranking1[[#This Row],[FME ID]],FME_Input[FME_ID],FME_Input[STRUCT_100])</f>
        <v>48</v>
      </c>
      <c r="J1125" s="178">
        <f>(FME_Ranking1[[#This Row],[Structures 100 Raw]]/I$2)*100</f>
        <v>2.5703637064644645E-2</v>
      </c>
      <c r="K1125" s="178">
        <f>FME_Ranking1[[#This Row],[Structures 100  Score (Normalized, Unweighted)]]*$I$3</f>
        <v>3.8555455596966967E-3</v>
      </c>
      <c r="L1125" s="246">
        <f>_xlfn.XLOOKUP(FME_Ranking1[[#This Row],[FME ID]],FME_Input[FME_ID],FME_Input[RES_STRUCT100])</f>
        <v>37</v>
      </c>
      <c r="M1125" s="230">
        <f>(FME_Ranking1[[#This Row],[Res Structures Raw]]/L$2)*100</f>
        <v>2.6207306880480515E-2</v>
      </c>
      <c r="N1125" s="180">
        <f>FME_Ranking1[[#This Row],[Res Structures Score (Normalized, Unweighted)]]*$L$3</f>
        <v>2.6207306880480516E-3</v>
      </c>
      <c r="O1125" s="244">
        <f>_xlfn.XLOOKUP(FME_Ranking1[[#This Row],[FME ID]],FME_Input[FME_ID],FME_Input[POP100])</f>
        <v>1974</v>
      </c>
      <c r="P1125" s="178">
        <f>(FME_Ranking1[[#This Row],[Pop Raw]]/$O$2)*100</f>
        <v>0.20208886586581873</v>
      </c>
      <c r="Q1125" s="178">
        <f>FME_Ranking1[[#This Row],[Pop Score (Normalized, Unweighted)]]*$O$3</f>
        <v>3.0313329879872807E-2</v>
      </c>
      <c r="R1125" s="137">
        <f>_xlfn.XLOOKUP(FME_Ranking1[[#This Row],[FME ID]],FME_Input[FME_ID],FME_Input[CRITFAC100])</f>
        <v>1</v>
      </c>
      <c r="S1125" s="230">
        <f>(FME_Ranking1[[#This Row],[Critical Facilities Raw]]/$R$2)*100</f>
        <v>4.2881646655231559E-2</v>
      </c>
      <c r="T1125" s="180">
        <f>FME_Ranking1[[#This Row],[Critical Facilities Score (Normalized, Unweighted)]]*$R$3</f>
        <v>8.5763293310463125E-3</v>
      </c>
      <c r="U1125">
        <f>_xlfn.XLOOKUP(FME_Ranking1[[#This Row],[FME ID]],FME_Input[FME_ID],FME_Input[LWC])</f>
        <v>2</v>
      </c>
      <c r="V1125" s="178">
        <f>(FME_Ranking1[[#This Row],[LWC Raw]]/$U$2)*100</f>
        <v>0.11514104778353484</v>
      </c>
      <c r="W1125" s="178">
        <f>FME_Ranking1[[#This Row],[LWC Score (Normalized, Unweighted)]]*$U$3</f>
        <v>2.302820955670697E-2</v>
      </c>
      <c r="X1125" s="246">
        <f>_xlfn.XLOOKUP(FME_Ranking1[[#This Row],[FME ID]],FME_Input[FME_ID],FME_Input[ROADCLS])</f>
        <v>2</v>
      </c>
      <c r="Y1125" s="230">
        <f>(FME_Ranking1[[#This Row],[Closures Raw]]/$X$2)*100</f>
        <v>2.1028283040689728E-2</v>
      </c>
      <c r="Z1125" s="180">
        <f>FME_Ranking1[[#This Row],[Closures Score (Normalized, Unweighted)]]*$X$3</f>
        <v>1.0514141520344864E-3</v>
      </c>
      <c r="AA1125" s="253">
        <f>_xlfn.XLOOKUP(FME_Ranking1[[#This Row],[FME ID]],FME_Input[FME_ID],FME_Input[ROAD_MILES100])</f>
        <v>4.9523806571960449</v>
      </c>
      <c r="AB1125" s="178">
        <f>(FME_Ranking1[[#This Row],[Miles Raw]]/$AA$2)*100</f>
        <v>6.5114923130420388E-2</v>
      </c>
      <c r="AC1125" s="178">
        <f>FME_Ranking1[[#This Row],[Miles Score (Normalized, Unweighted)]]*$AA$3</f>
        <v>6.5114923130420391E-3</v>
      </c>
      <c r="AD1125" s="255">
        <f>_xlfn.XLOOKUP(FME_Ranking1[[#This Row],[FME ID]],FME_Input[FME_ID],FME_Input[FARMACRE100])</f>
        <v>187.62370300292969</v>
      </c>
      <c r="AE1125" s="230">
        <f>(FME_Ranking1[[#This Row],[Ag Land Raw]]/$AD$2)*100</f>
        <v>7.7367616136420998E-3</v>
      </c>
      <c r="AF1125" s="231">
        <f>FME_Ranking1[[#This Row],[Ag Land Score (Normalized, Unweighted)]]*$AD$3</f>
        <v>3.8683808068210501E-4</v>
      </c>
      <c r="AG112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7.634388956112946E-2</v>
      </c>
      <c r="AH1125" s="406">
        <f t="shared" si="17"/>
        <v>1148</v>
      </c>
      <c r="AI112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7.634388956112946E-2</v>
      </c>
      <c r="AJ1125" s="257">
        <f>FME_Ranking1[[#This Row],[Addition check]]-FME_Ranking1[[#This Row],[Weighted Score Based on Normalized Reported Factors]]</f>
        <v>0</v>
      </c>
      <c r="AK1125" s="178">
        <f>_xlfn.RANK.EQ(AI1125,$AI$6:$AI$2341,0)+COUNTIF($AI$6:AI1125,AI1125)-1</f>
        <v>1152</v>
      </c>
    </row>
    <row r="1126" spans="1:37" x14ac:dyDescent="0.25">
      <c r="A1126" t="s">
        <v>1436</v>
      </c>
      <c r="B1126">
        <f>_xlfn.XLOOKUP(FME_Ranking1[[#This Row],[FME ID]],FME_Input[FME_ID],FME_Input[RFPG_NUM])</f>
        <v>6</v>
      </c>
      <c r="C1126" t="str">
        <f>_xlfn.XLOOKUP(FME_Ranking1[[#This Row],[FME ID]],FME_Input[FME_ID],FME_Input[FME_NAME])</f>
        <v>Little Cypress Creek - L113-00-00</v>
      </c>
      <c r="D1126" t="str">
        <f>_xlfn.XLOOKUP(FME_Ranking1[[#This Row],[FME ID]],FME_Input[FME_ID],FME_Input[DESCR])</f>
        <v>Further study of Flood Risk Reduction need identified through the HCFCD 'Watershed Planning Tool' to determine channel modifications needed to restore/improve channel conveyance including Atlas 14 rainfall.</v>
      </c>
      <c r="E1126" s="256">
        <f>_xlfn.XLOOKUP(FME_Ranking1[[#This Row],[FME ID]],FME_Input[FME_ID],FME_Input[FME_COST])</f>
        <v>300000</v>
      </c>
      <c r="F1126" t="str">
        <f>_xlfn.XLOOKUP(FME_Ranking1[[#This Row],[FME ID]],FME_Input[FME_ID],FME_Input[EMER_NEED])</f>
        <v>No</v>
      </c>
      <c r="G1126">
        <f>IF(FME_Ranking!F1126="Yes",100,0)</f>
        <v>0</v>
      </c>
      <c r="H1126">
        <f>FME_Ranking1[[#This Row],[Emergency Need Score (Normalized, Unweighted)]]*$F$3</f>
        <v>0</v>
      </c>
      <c r="I1126" s="246">
        <f>_xlfn.XLOOKUP(FME_Ranking1[[#This Row],[FME ID]],FME_Input[FME_ID],FME_Input[STRUCT_100])</f>
        <v>182</v>
      </c>
      <c r="J1126" s="178">
        <f>(FME_Ranking1[[#This Row],[Structures 100 Raw]]/I$2)*100</f>
        <v>9.7459623870110951E-2</v>
      </c>
      <c r="K1126" s="178">
        <f>FME_Ranking1[[#This Row],[Structures 100  Score (Normalized, Unweighted)]]*$I$3</f>
        <v>1.4618943580516642E-2</v>
      </c>
      <c r="L1126" s="246">
        <f>_xlfn.XLOOKUP(FME_Ranking1[[#This Row],[FME ID]],FME_Input[FME_ID],FME_Input[RES_STRUCT100])</f>
        <v>162</v>
      </c>
      <c r="M1126" s="230">
        <f>(FME_Ranking1[[#This Row],[Res Structures Raw]]/L$2)*100</f>
        <v>0.11474550580102279</v>
      </c>
      <c r="N1126" s="180">
        <f>FME_Ranking1[[#This Row],[Res Structures Score (Normalized, Unweighted)]]*$L$3</f>
        <v>1.1474550580102279E-2</v>
      </c>
      <c r="O1126" s="244">
        <f>_xlfn.XLOOKUP(FME_Ranking1[[#This Row],[FME ID]],FME_Input[FME_ID],FME_Input[POP100])</f>
        <v>472</v>
      </c>
      <c r="P1126" s="178">
        <f>(FME_Ranking1[[#This Row],[Pop Raw]]/$O$2)*100</f>
        <v>4.8321147258696275E-2</v>
      </c>
      <c r="Q1126" s="178">
        <f>FME_Ranking1[[#This Row],[Pop Score (Normalized, Unweighted)]]*$O$3</f>
        <v>7.248172088804441E-3</v>
      </c>
      <c r="R1126" s="137">
        <f>_xlfn.XLOOKUP(FME_Ranking1[[#This Row],[FME ID]],FME_Input[FME_ID],FME_Input[CRITFAC100])</f>
        <v>0</v>
      </c>
      <c r="S1126" s="230">
        <f>(FME_Ranking1[[#This Row],[Critical Facilities Raw]]/$R$2)*100</f>
        <v>0</v>
      </c>
      <c r="T1126" s="180">
        <f>FME_Ranking1[[#This Row],[Critical Facilities Score (Normalized, Unweighted)]]*$R$3</f>
        <v>0</v>
      </c>
      <c r="U1126">
        <f>_xlfn.XLOOKUP(FME_Ranking1[[#This Row],[FME ID]],FME_Input[FME_ID],FME_Input[LWC])</f>
        <v>3</v>
      </c>
      <c r="V1126" s="178">
        <f>(FME_Ranking1[[#This Row],[LWC Raw]]/$U$2)*100</f>
        <v>0.17271157167530224</v>
      </c>
      <c r="W1126" s="178">
        <f>FME_Ranking1[[#This Row],[LWC Score (Normalized, Unweighted)]]*$U$3</f>
        <v>3.4542314335060449E-2</v>
      </c>
      <c r="X1126" s="246">
        <f>_xlfn.XLOOKUP(FME_Ranking1[[#This Row],[FME ID]],FME_Input[FME_ID],FME_Input[ROADCLS])</f>
        <v>3</v>
      </c>
      <c r="Y1126" s="230">
        <f>(FME_Ranking1[[#This Row],[Closures Raw]]/$X$2)*100</f>
        <v>3.1542424561034593E-2</v>
      </c>
      <c r="Z1126" s="180">
        <f>FME_Ranking1[[#This Row],[Closures Score (Normalized, Unweighted)]]*$X$3</f>
        <v>1.5771212280517297E-3</v>
      </c>
      <c r="AA1126" s="253">
        <f>_xlfn.XLOOKUP(FME_Ranking1[[#This Row],[FME ID]],FME_Input[FME_ID],FME_Input[ROAD_MILES100])</f>
        <v>3.9015812873840332</v>
      </c>
      <c r="AB1126" s="178">
        <f>(FME_Ranking1[[#This Row],[Miles Raw]]/$AA$2)*100</f>
        <v>5.1298796114541294E-2</v>
      </c>
      <c r="AC1126" s="178">
        <f>FME_Ranking1[[#This Row],[Miles Score (Normalized, Unweighted)]]*$AA$3</f>
        <v>5.1298796114541299E-3</v>
      </c>
      <c r="AD1126" s="255">
        <f>_xlfn.XLOOKUP(FME_Ranking1[[#This Row],[FME ID]],FME_Input[FME_ID],FME_Input[FARMACRE100])</f>
        <v>7.9764571189880371</v>
      </c>
      <c r="AE1126" s="230">
        <f>(FME_Ranking1[[#This Row],[Ag Land Raw]]/$AD$2)*100</f>
        <v>3.2891338494734479E-4</v>
      </c>
      <c r="AF1126" s="231">
        <f>FME_Ranking1[[#This Row],[Ag Land Score (Normalized, Unweighted)]]*$AD$3</f>
        <v>1.644566924736724E-5</v>
      </c>
      <c r="AG112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7.4607427093237033E-2</v>
      </c>
      <c r="AH1126" s="406">
        <f t="shared" si="17"/>
        <v>1159</v>
      </c>
      <c r="AI112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7.4607427093237033E-2</v>
      </c>
      <c r="AJ1126" s="257">
        <f>FME_Ranking1[[#This Row],[Addition check]]-FME_Ranking1[[#This Row],[Weighted Score Based on Normalized Reported Factors]]</f>
        <v>0</v>
      </c>
      <c r="AK1126" s="178">
        <f>_xlfn.RANK.EQ(AI1126,$AI$6:$AI$2341,0)+COUNTIF($AI$6:AI1126,AI1126)-1</f>
        <v>1159</v>
      </c>
    </row>
    <row r="1127" spans="1:37" x14ac:dyDescent="0.25">
      <c r="A1127" t="s">
        <v>1498</v>
      </c>
      <c r="B1127">
        <f>_xlfn.XLOOKUP(FME_Ranking1[[#This Row],[FME ID]],FME_Input[FME_ID],FME_Input[RFPG_NUM])</f>
        <v>6</v>
      </c>
      <c r="C1127" t="str">
        <f>_xlfn.XLOOKUP(FME_Ranking1[[#This Row],[FME ID]],FME_Input[FME_ID],FME_Input[FME_NAME])</f>
        <v>Buffalo Bayou - W130-00-00</v>
      </c>
      <c r="D1127" t="str">
        <f>_xlfn.XLOOKUP(FME_Ranking1[[#This Row],[FME ID]],FME_Input[FME_ID],FME_Input[DESCR])</f>
        <v>Further study of Flood Risk Reduction need identified through the HCFCD 'Watershed Planning Tool' to determine channel modifications needed to restore/improve channel conveyance including Atlas 14 rainfall.</v>
      </c>
      <c r="E1127" s="256">
        <f>_xlfn.XLOOKUP(FME_Ranking1[[#This Row],[FME ID]],FME_Input[FME_ID],FME_Input[FME_COST])</f>
        <v>100000</v>
      </c>
      <c r="F1127" t="str">
        <f>_xlfn.XLOOKUP(FME_Ranking1[[#This Row],[FME ID]],FME_Input[FME_ID],FME_Input[EMER_NEED])</f>
        <v>No</v>
      </c>
      <c r="G1127">
        <f>IF(FME_Ranking!F1127="Yes",100,0)</f>
        <v>0</v>
      </c>
      <c r="H1127">
        <f>FME_Ranking1[[#This Row],[Emergency Need Score (Normalized, Unweighted)]]*$F$3</f>
        <v>0</v>
      </c>
      <c r="I1127" s="246">
        <f>_xlfn.XLOOKUP(FME_Ranking1[[#This Row],[FME ID]],FME_Input[FME_ID],FME_Input[STRUCT_100])</f>
        <v>27</v>
      </c>
      <c r="J1127" s="178">
        <f>(FME_Ranking1[[#This Row],[Structures 100 Raw]]/I$2)*100</f>
        <v>1.4458295848862615E-2</v>
      </c>
      <c r="K1127" s="178">
        <f>FME_Ranking1[[#This Row],[Structures 100  Score (Normalized, Unweighted)]]*$I$3</f>
        <v>2.1687443773293924E-3</v>
      </c>
      <c r="L1127" s="246">
        <f>_xlfn.XLOOKUP(FME_Ranking1[[#This Row],[FME ID]],FME_Input[FME_ID],FME_Input[RES_STRUCT100])</f>
        <v>15</v>
      </c>
      <c r="M1127" s="230">
        <f>(FME_Ranking1[[#This Row],[Res Structures Raw]]/L$2)*100</f>
        <v>1.0624583870465073E-2</v>
      </c>
      <c r="N1127" s="180">
        <f>FME_Ranking1[[#This Row],[Res Structures Score (Normalized, Unweighted)]]*$L$3</f>
        <v>1.0624583870465073E-3</v>
      </c>
      <c r="O1127" s="244">
        <f>_xlfn.XLOOKUP(FME_Ranking1[[#This Row],[FME ID]],FME_Input[FME_ID],FME_Input[POP100])</f>
        <v>4290</v>
      </c>
      <c r="P1127" s="178">
        <f>(FME_Ranking1[[#This Row],[Pop Raw]]/$O$2)*100</f>
        <v>0.43919008843179452</v>
      </c>
      <c r="Q1127" s="178">
        <f>FME_Ranking1[[#This Row],[Pop Score (Normalized, Unweighted)]]*$O$3</f>
        <v>6.5878513264769178E-2</v>
      </c>
      <c r="R1127" s="137">
        <f>_xlfn.XLOOKUP(FME_Ranking1[[#This Row],[FME ID]],FME_Input[FME_ID],FME_Input[CRITFAC100])</f>
        <v>0</v>
      </c>
      <c r="S1127" s="230">
        <f>(FME_Ranking1[[#This Row],[Critical Facilities Raw]]/$R$2)*100</f>
        <v>0</v>
      </c>
      <c r="T1127" s="180">
        <f>FME_Ranking1[[#This Row],[Critical Facilities Score (Normalized, Unweighted)]]*$R$3</f>
        <v>0</v>
      </c>
      <c r="U1127">
        <f>_xlfn.XLOOKUP(FME_Ranking1[[#This Row],[FME ID]],FME_Input[FME_ID],FME_Input[LWC])</f>
        <v>0</v>
      </c>
      <c r="V1127" s="178">
        <f>(FME_Ranking1[[#This Row],[LWC Raw]]/$U$2)*100</f>
        <v>0</v>
      </c>
      <c r="W1127" s="178">
        <f>FME_Ranking1[[#This Row],[LWC Score (Normalized, Unweighted)]]*$U$3</f>
        <v>0</v>
      </c>
      <c r="X1127" s="246">
        <f>_xlfn.XLOOKUP(FME_Ranking1[[#This Row],[FME ID]],FME_Input[FME_ID],FME_Input[ROADCLS])</f>
        <v>0</v>
      </c>
      <c r="Y1127" s="230">
        <f>(FME_Ranking1[[#This Row],[Closures Raw]]/$X$2)*100</f>
        <v>0</v>
      </c>
      <c r="Z1127" s="180">
        <f>FME_Ranking1[[#This Row],[Closures Score (Normalized, Unweighted)]]*$X$3</f>
        <v>0</v>
      </c>
      <c r="AA1127" s="253">
        <f>_xlfn.XLOOKUP(FME_Ranking1[[#This Row],[FME ID]],FME_Input[FME_ID],FME_Input[ROAD_MILES100])</f>
        <v>0.6652148962020874</v>
      </c>
      <c r="AB1127" s="178">
        <f>(FME_Ranking1[[#This Row],[Miles Raw]]/$AA$2)*100</f>
        <v>8.7463827661288795E-3</v>
      </c>
      <c r="AC1127" s="178">
        <f>FME_Ranking1[[#This Row],[Miles Score (Normalized, Unweighted)]]*$AA$3</f>
        <v>8.7463827661288804E-4</v>
      </c>
      <c r="AD1127" s="255">
        <f>_xlfn.XLOOKUP(FME_Ranking1[[#This Row],[FME ID]],FME_Input[FME_ID],FME_Input[FARMACRE100])</f>
        <v>0.24012269079685211</v>
      </c>
      <c r="AE1127" s="230">
        <f>(FME_Ranking1[[#This Row],[Ag Land Raw]]/$AD$2)*100</f>
        <v>9.9015848583509098E-6</v>
      </c>
      <c r="AF1127" s="231">
        <f>FME_Ranking1[[#This Row],[Ag Land Score (Normalized, Unweighted)]]*$AD$3</f>
        <v>4.9507924291754549E-7</v>
      </c>
      <c r="AG112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6.998484938500088E-2</v>
      </c>
      <c r="AH1127" s="406">
        <f t="shared" si="17"/>
        <v>1191</v>
      </c>
      <c r="AI112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6.998484938500088E-2</v>
      </c>
      <c r="AJ1127" s="257">
        <f>FME_Ranking1[[#This Row],[Addition check]]-FME_Ranking1[[#This Row],[Weighted Score Based on Normalized Reported Factors]]</f>
        <v>0</v>
      </c>
      <c r="AK1127" s="178">
        <f>_xlfn.RANK.EQ(AI1127,$AI$6:$AI$2341,0)+COUNTIF($AI$6:AI1127,AI1127)-1</f>
        <v>1191</v>
      </c>
    </row>
    <row r="1128" spans="1:37" x14ac:dyDescent="0.25">
      <c r="A1128" t="s">
        <v>4838</v>
      </c>
      <c r="B1128">
        <f>_xlfn.XLOOKUP(FME_Ranking1[[#This Row],[FME ID]],FME_Input[FME_ID],FME_Input[RFPG_NUM])</f>
        <v>3</v>
      </c>
      <c r="C1128" t="str">
        <f>_xlfn.XLOOKUP(FME_Ranking1[[#This Row],[FME ID]],FME_Input[FME_ID],FME_Input[FME_NAME])</f>
        <v>Long Branch Channel Improvements (Dewitt to Ingram)</v>
      </c>
      <c r="D1128" t="str">
        <f>_xlfn.XLOOKUP(FME_Ranking1[[#This Row],[FME ID]],FME_Input[FME_ID],FME_Input[DESCR])</f>
        <v>Channel improvements to replace a failed headwall and reduce erosive velocities. Sewer line relocation to protect against potential failure due to erosion.</v>
      </c>
      <c r="E1128" s="256">
        <f>_xlfn.XLOOKUP(FME_Ranking1[[#This Row],[FME ID]],FME_Input[FME_ID],FME_Input[FME_COST])</f>
        <v>100000</v>
      </c>
      <c r="F1128" t="str">
        <f>_xlfn.XLOOKUP(FME_Ranking1[[#This Row],[FME ID]],FME_Input[FME_ID],FME_Input[EMER_NEED])</f>
        <v>No</v>
      </c>
      <c r="G1128">
        <f>IF(FME_Ranking!F1128="Yes",100,0)</f>
        <v>0</v>
      </c>
      <c r="H1128">
        <f>FME_Ranking1[[#This Row],[Emergency Need Score (Normalized, Unweighted)]]*$F$3</f>
        <v>0</v>
      </c>
      <c r="I1128" s="246">
        <f>_xlfn.XLOOKUP(FME_Ranking1[[#This Row],[FME ID]],FME_Input[FME_ID],FME_Input[STRUCT_100])</f>
        <v>59</v>
      </c>
      <c r="J1128" s="178">
        <f>(FME_Ranking1[[#This Row],[Structures 100 Raw]]/I$2)*100</f>
        <v>3.1594053891959045E-2</v>
      </c>
      <c r="K1128" s="178">
        <f>FME_Ranking1[[#This Row],[Structures 100  Score (Normalized, Unweighted)]]*$I$3</f>
        <v>4.739108083793857E-3</v>
      </c>
      <c r="L1128" s="246">
        <f>_xlfn.XLOOKUP(FME_Ranking1[[#This Row],[FME ID]],FME_Input[FME_ID],FME_Input[RES_STRUCT100])</f>
        <v>51</v>
      </c>
      <c r="M1128" s="230">
        <f>(FME_Ranking1[[#This Row],[Res Structures Raw]]/L$2)*100</f>
        <v>3.6123585159581251E-2</v>
      </c>
      <c r="N1128" s="180">
        <f>FME_Ranking1[[#This Row],[Res Structures Score (Normalized, Unweighted)]]*$L$3</f>
        <v>3.6123585159581252E-3</v>
      </c>
      <c r="O1128" s="244">
        <f>_xlfn.XLOOKUP(FME_Ranking1[[#This Row],[FME ID]],FME_Input[FME_ID],FME_Input[POP100])</f>
        <v>171</v>
      </c>
      <c r="P1128" s="178">
        <f>(FME_Ranking1[[#This Row],[Pop Raw]]/$O$2)*100</f>
        <v>1.7506178350078522E-2</v>
      </c>
      <c r="Q1128" s="178">
        <f>FME_Ranking1[[#This Row],[Pop Score (Normalized, Unweighted)]]*$O$3</f>
        <v>2.6259267525117784E-3</v>
      </c>
      <c r="R1128" s="137">
        <f>_xlfn.XLOOKUP(FME_Ranking1[[#This Row],[FME ID]],FME_Input[FME_ID],FME_Input[CRITFAC100])</f>
        <v>0</v>
      </c>
      <c r="S1128" s="230">
        <f>(FME_Ranking1[[#This Row],[Critical Facilities Raw]]/$R$2)*100</f>
        <v>0</v>
      </c>
      <c r="T1128" s="180">
        <f>FME_Ranking1[[#This Row],[Critical Facilities Score (Normalized, Unweighted)]]*$R$3</f>
        <v>0</v>
      </c>
      <c r="U1128">
        <f>_xlfn.XLOOKUP(FME_Ranking1[[#This Row],[FME ID]],FME_Input[FME_ID],FME_Input[LWC])</f>
        <v>5</v>
      </c>
      <c r="V1128" s="178">
        <f>(FME_Ranking1[[#This Row],[LWC Raw]]/$U$2)*100</f>
        <v>0.28785261945883706</v>
      </c>
      <c r="W1128" s="178">
        <f>FME_Ranking1[[#This Row],[LWC Score (Normalized, Unweighted)]]*$U$3</f>
        <v>5.7570523891767415E-2</v>
      </c>
      <c r="X1128" s="246">
        <f>_xlfn.XLOOKUP(FME_Ranking1[[#This Row],[FME ID]],FME_Input[FME_ID],FME_Input[ROADCLS])</f>
        <v>0</v>
      </c>
      <c r="Y1128" s="230">
        <f>(FME_Ranking1[[#This Row],[Closures Raw]]/$X$2)*100</f>
        <v>0</v>
      </c>
      <c r="Z1128" s="180">
        <f>FME_Ranking1[[#This Row],[Closures Score (Normalized, Unweighted)]]*$X$3</f>
        <v>0</v>
      </c>
      <c r="AA1128" s="253">
        <f>_xlfn.XLOOKUP(FME_Ranking1[[#This Row],[FME ID]],FME_Input[FME_ID],FME_Input[ROAD_MILES100])</f>
        <v>1.687608957290649</v>
      </c>
      <c r="AB1128" s="178">
        <f>(FME_Ranking1[[#This Row],[Miles Raw]]/$AA$2)*100</f>
        <v>2.2189030919607569E-2</v>
      </c>
      <c r="AC1128" s="178">
        <f>FME_Ranking1[[#This Row],[Miles Score (Normalized, Unweighted)]]*$AA$3</f>
        <v>2.2189030919607571E-3</v>
      </c>
      <c r="AD1128" s="255">
        <f>_xlfn.XLOOKUP(FME_Ranking1[[#This Row],[FME ID]],FME_Input[FME_ID],FME_Input[FARMACRE100])</f>
        <v>211.235595703125</v>
      </c>
      <c r="AE1128" s="230">
        <f>(FME_Ranking1[[#This Row],[Ag Land Raw]]/$AD$2)*100</f>
        <v>8.7104103698733681E-3</v>
      </c>
      <c r="AF1128" s="231">
        <f>FME_Ranking1[[#This Row],[Ag Land Score (Normalized, Unweighted)]]*$AD$3</f>
        <v>4.3552051849366841E-4</v>
      </c>
      <c r="AG112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7.1202340854485596E-2</v>
      </c>
      <c r="AH1128" s="406">
        <f t="shared" si="17"/>
        <v>1181</v>
      </c>
      <c r="AI112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7.1202340854485596E-2</v>
      </c>
      <c r="AJ1128" s="257">
        <f>FME_Ranking1[[#This Row],[Addition check]]-FME_Ranking1[[#This Row],[Weighted Score Based on Normalized Reported Factors]]</f>
        <v>0</v>
      </c>
      <c r="AK1128" s="178">
        <f>_xlfn.RANK.EQ(AI1128,$AI$6:$AI$2341,0)+COUNTIF($AI$6:AI1128,AI1128)-1</f>
        <v>1181</v>
      </c>
    </row>
    <row r="1129" spans="1:37" x14ac:dyDescent="0.25">
      <c r="A1129" t="s">
        <v>4843</v>
      </c>
      <c r="B1129">
        <f>_xlfn.XLOOKUP(FME_Ranking1[[#This Row],[FME ID]],FME_Input[FME_ID],FME_Input[RFPG_NUM])</f>
        <v>3</v>
      </c>
      <c r="C1129" t="str">
        <f>_xlfn.XLOOKUP(FME_Ranking1[[#This Row],[FME ID]],FME_Input[FME_ID],FME_Input[FME_NAME])</f>
        <v>Jackson Meadows Pond Erosion Control</v>
      </c>
      <c r="D1129" t="str">
        <f>_xlfn.XLOOKUP(FME_Ranking1[[#This Row],[FME ID]],FME_Input[FME_ID],FME_Input[DESCR])</f>
        <v>Erosion control measures around three pond headwalls to decrease flow velocity.</v>
      </c>
      <c r="E1129" s="256">
        <f>_xlfn.XLOOKUP(FME_Ranking1[[#This Row],[FME ID]],FME_Input[FME_ID],FME_Input[FME_COST])</f>
        <v>100000</v>
      </c>
      <c r="F1129" t="str">
        <f>_xlfn.XLOOKUP(FME_Ranking1[[#This Row],[FME ID]],FME_Input[FME_ID],FME_Input[EMER_NEED])</f>
        <v>No</v>
      </c>
      <c r="G1129">
        <f>IF(FME_Ranking!F1129="Yes",100,0)</f>
        <v>0</v>
      </c>
      <c r="H1129">
        <f>FME_Ranking1[[#This Row],[Emergency Need Score (Normalized, Unweighted)]]*$F$3</f>
        <v>0</v>
      </c>
      <c r="I1129" s="246">
        <f>_xlfn.XLOOKUP(FME_Ranking1[[#This Row],[FME ID]],FME_Input[FME_ID],FME_Input[STRUCT_100])</f>
        <v>59</v>
      </c>
      <c r="J1129" s="178">
        <f>(FME_Ranking1[[#This Row],[Structures 100 Raw]]/I$2)*100</f>
        <v>3.1594053891959045E-2</v>
      </c>
      <c r="K1129" s="178">
        <f>FME_Ranking1[[#This Row],[Structures 100  Score (Normalized, Unweighted)]]*$I$3</f>
        <v>4.739108083793857E-3</v>
      </c>
      <c r="L1129" s="246">
        <f>_xlfn.XLOOKUP(FME_Ranking1[[#This Row],[FME ID]],FME_Input[FME_ID],FME_Input[RES_STRUCT100])</f>
        <v>51</v>
      </c>
      <c r="M1129" s="230">
        <f>(FME_Ranking1[[#This Row],[Res Structures Raw]]/L$2)*100</f>
        <v>3.6123585159581251E-2</v>
      </c>
      <c r="N1129" s="180">
        <f>FME_Ranking1[[#This Row],[Res Structures Score (Normalized, Unweighted)]]*$L$3</f>
        <v>3.6123585159581252E-3</v>
      </c>
      <c r="O1129" s="244">
        <f>_xlfn.XLOOKUP(FME_Ranking1[[#This Row],[FME ID]],FME_Input[FME_ID],FME_Input[POP100])</f>
        <v>171</v>
      </c>
      <c r="P1129" s="178">
        <f>(FME_Ranking1[[#This Row],[Pop Raw]]/$O$2)*100</f>
        <v>1.7506178350078522E-2</v>
      </c>
      <c r="Q1129" s="178">
        <f>FME_Ranking1[[#This Row],[Pop Score (Normalized, Unweighted)]]*$O$3</f>
        <v>2.6259267525117784E-3</v>
      </c>
      <c r="R1129" s="137">
        <f>_xlfn.XLOOKUP(FME_Ranking1[[#This Row],[FME ID]],FME_Input[FME_ID],FME_Input[CRITFAC100])</f>
        <v>0</v>
      </c>
      <c r="S1129" s="230">
        <f>(FME_Ranking1[[#This Row],[Critical Facilities Raw]]/$R$2)*100</f>
        <v>0</v>
      </c>
      <c r="T1129" s="180">
        <f>FME_Ranking1[[#This Row],[Critical Facilities Score (Normalized, Unweighted)]]*$R$3</f>
        <v>0</v>
      </c>
      <c r="U1129">
        <f>_xlfn.XLOOKUP(FME_Ranking1[[#This Row],[FME ID]],FME_Input[FME_ID],FME_Input[LWC])</f>
        <v>5</v>
      </c>
      <c r="V1129" s="178">
        <f>(FME_Ranking1[[#This Row],[LWC Raw]]/$U$2)*100</f>
        <v>0.28785261945883706</v>
      </c>
      <c r="W1129" s="178">
        <f>FME_Ranking1[[#This Row],[LWC Score (Normalized, Unweighted)]]*$U$3</f>
        <v>5.7570523891767415E-2</v>
      </c>
      <c r="X1129" s="246">
        <f>_xlfn.XLOOKUP(FME_Ranking1[[#This Row],[FME ID]],FME_Input[FME_ID],FME_Input[ROADCLS])</f>
        <v>0</v>
      </c>
      <c r="Y1129" s="230">
        <f>(FME_Ranking1[[#This Row],[Closures Raw]]/$X$2)*100</f>
        <v>0</v>
      </c>
      <c r="Z1129" s="180">
        <f>FME_Ranking1[[#This Row],[Closures Score (Normalized, Unweighted)]]*$X$3</f>
        <v>0</v>
      </c>
      <c r="AA1129" s="253">
        <f>_xlfn.XLOOKUP(FME_Ranking1[[#This Row],[FME ID]],FME_Input[FME_ID],FME_Input[ROAD_MILES100])</f>
        <v>1.687608957290649</v>
      </c>
      <c r="AB1129" s="178">
        <f>(FME_Ranking1[[#This Row],[Miles Raw]]/$AA$2)*100</f>
        <v>2.2189030919607569E-2</v>
      </c>
      <c r="AC1129" s="178">
        <f>FME_Ranking1[[#This Row],[Miles Score (Normalized, Unweighted)]]*$AA$3</f>
        <v>2.2189030919607571E-3</v>
      </c>
      <c r="AD1129" s="255">
        <f>_xlfn.XLOOKUP(FME_Ranking1[[#This Row],[FME ID]],FME_Input[FME_ID],FME_Input[FARMACRE100])</f>
        <v>211.235595703125</v>
      </c>
      <c r="AE1129" s="230">
        <f>(FME_Ranking1[[#This Row],[Ag Land Raw]]/$AD$2)*100</f>
        <v>8.7104103698733681E-3</v>
      </c>
      <c r="AF1129" s="231">
        <f>FME_Ranking1[[#This Row],[Ag Land Score (Normalized, Unweighted)]]*$AD$3</f>
        <v>4.3552051849366841E-4</v>
      </c>
      <c r="AG112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7.1202340854485596E-2</v>
      </c>
      <c r="AH1129" s="406">
        <f t="shared" si="17"/>
        <v>1181</v>
      </c>
      <c r="AI112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7.1202340854485596E-2</v>
      </c>
      <c r="AJ1129" s="257">
        <f>FME_Ranking1[[#This Row],[Addition check]]-FME_Ranking1[[#This Row],[Weighted Score Based on Normalized Reported Factors]]</f>
        <v>0</v>
      </c>
      <c r="AK1129" s="178">
        <f>_xlfn.RANK.EQ(AI1129,$AI$6:$AI$2341,0)+COUNTIF($AI$6:AI1129,AI1129)-1</f>
        <v>1182</v>
      </c>
    </row>
    <row r="1130" spans="1:37" x14ac:dyDescent="0.25">
      <c r="A1130" t="s">
        <v>4121</v>
      </c>
      <c r="B1130">
        <f>_xlfn.XLOOKUP(FME_Ranking1[[#This Row],[FME ID]],FME_Input[FME_ID],FME_Input[RFPG_NUM])</f>
        <v>3</v>
      </c>
      <c r="C1130" t="str">
        <f>_xlfn.XLOOKUP(FME_Ranking1[[#This Row],[FME ID]],FME_Input[FME_ID],FME_Input[FME_NAME])</f>
        <v>City of Argyle DMP</v>
      </c>
      <c r="D1130" t="str">
        <f>_xlfn.XLOOKUP(FME_Ranking1[[#This Row],[FME ID]],FME_Input[FME_ID],FME_Input[DESCR])</f>
        <v>Evaluate City and identify future projects.</v>
      </c>
      <c r="E1130" s="256">
        <f>_xlfn.XLOOKUP(FME_Ranking1[[#This Row],[FME ID]],FME_Input[FME_ID],FME_Input[FME_COST])</f>
        <v>250000</v>
      </c>
      <c r="F1130" t="str">
        <f>_xlfn.XLOOKUP(FME_Ranking1[[#This Row],[FME ID]],FME_Input[FME_ID],FME_Input[EMER_NEED])</f>
        <v>No</v>
      </c>
      <c r="G1130">
        <f>IF(FME_Ranking!F1130="Yes",100,0)</f>
        <v>0</v>
      </c>
      <c r="H1130">
        <f>FME_Ranking1[[#This Row],[Emergency Need Score (Normalized, Unweighted)]]*$F$3</f>
        <v>0</v>
      </c>
      <c r="I1130" s="246">
        <f>_xlfn.XLOOKUP(FME_Ranking1[[#This Row],[FME ID]],FME_Input[FME_ID],FME_Input[STRUCT_100])</f>
        <v>57</v>
      </c>
      <c r="J1130" s="178">
        <f>(FME_Ranking1[[#This Row],[Structures 100 Raw]]/I$2)*100</f>
        <v>3.0523069014265519E-2</v>
      </c>
      <c r="K1130" s="178">
        <f>FME_Ranking1[[#This Row],[Structures 100  Score (Normalized, Unweighted)]]*$I$3</f>
        <v>4.5784603521398281E-3</v>
      </c>
      <c r="L1130" s="246">
        <f>_xlfn.XLOOKUP(FME_Ranking1[[#This Row],[FME ID]],FME_Input[FME_ID],FME_Input[RES_STRUCT100])</f>
        <v>38</v>
      </c>
      <c r="M1130" s="230">
        <f>(FME_Ranking1[[#This Row],[Res Structures Raw]]/L$2)*100</f>
        <v>2.691561247184485E-2</v>
      </c>
      <c r="N1130" s="180">
        <f>FME_Ranking1[[#This Row],[Res Structures Score (Normalized, Unweighted)]]*$L$3</f>
        <v>2.691561247184485E-3</v>
      </c>
      <c r="O1130" s="244">
        <f>_xlfn.XLOOKUP(FME_Ranking1[[#This Row],[FME ID]],FME_Input[FME_ID],FME_Input[POP100])</f>
        <v>1309</v>
      </c>
      <c r="P1130" s="178">
        <f>(FME_Ranking1[[#This Row],[Pop Raw]]/$O$2)*100</f>
        <v>0.13400928339329113</v>
      </c>
      <c r="Q1130" s="178">
        <f>FME_Ranking1[[#This Row],[Pop Score (Normalized, Unweighted)]]*$O$3</f>
        <v>2.0101392508993669E-2</v>
      </c>
      <c r="R1130" s="137">
        <f>_xlfn.XLOOKUP(FME_Ranking1[[#This Row],[FME ID]],FME_Input[FME_ID],FME_Input[CRITFAC100])</f>
        <v>2</v>
      </c>
      <c r="S1130" s="230">
        <f>(FME_Ranking1[[#This Row],[Critical Facilities Raw]]/$R$2)*100</f>
        <v>8.5763293310463118E-2</v>
      </c>
      <c r="T1130" s="180">
        <f>FME_Ranking1[[#This Row],[Critical Facilities Score (Normalized, Unweighted)]]*$R$3</f>
        <v>1.7152658662092625E-2</v>
      </c>
      <c r="U1130">
        <f>_xlfn.XLOOKUP(FME_Ranking1[[#This Row],[FME ID]],FME_Input[FME_ID],FME_Input[LWC])</f>
        <v>2</v>
      </c>
      <c r="V1130" s="178">
        <f>(FME_Ranking1[[#This Row],[LWC Raw]]/$U$2)*100</f>
        <v>0.11514104778353484</v>
      </c>
      <c r="W1130" s="178">
        <f>FME_Ranking1[[#This Row],[LWC Score (Normalized, Unweighted)]]*$U$3</f>
        <v>2.302820955670697E-2</v>
      </c>
      <c r="X1130" s="246">
        <f>_xlfn.XLOOKUP(FME_Ranking1[[#This Row],[FME ID]],FME_Input[FME_ID],FME_Input[ROADCLS])</f>
        <v>0</v>
      </c>
      <c r="Y1130" s="230">
        <f>(FME_Ranking1[[#This Row],[Closures Raw]]/$X$2)*100</f>
        <v>0</v>
      </c>
      <c r="Z1130" s="180">
        <f>FME_Ranking1[[#This Row],[Closures Score (Normalized, Unweighted)]]*$X$3</f>
        <v>0</v>
      </c>
      <c r="AA1130" s="253">
        <f>_xlfn.XLOOKUP(FME_Ranking1[[#This Row],[FME ID]],FME_Input[FME_ID],FME_Input[ROAD_MILES100])</f>
        <v>1.9657789468765261</v>
      </c>
      <c r="AB1130" s="178">
        <f>(FME_Ranking1[[#This Row],[Miles Raw]]/$AA$2)*100</f>
        <v>2.5846467361363142E-2</v>
      </c>
      <c r="AC1130" s="178">
        <f>FME_Ranking1[[#This Row],[Miles Score (Normalized, Unweighted)]]*$AA$3</f>
        <v>2.5846467361363146E-3</v>
      </c>
      <c r="AD1130" s="255">
        <f>_xlfn.XLOOKUP(FME_Ranking1[[#This Row],[FME ID]],FME_Input[FME_ID],FME_Input[FARMACRE100])</f>
        <v>457.34228515625</v>
      </c>
      <c r="AE1130" s="230">
        <f>(FME_Ranking1[[#This Row],[Ag Land Raw]]/$AD$2)*100</f>
        <v>1.8858748545416908E-2</v>
      </c>
      <c r="AF1130" s="231">
        <f>FME_Ranking1[[#This Row],[Ag Land Score (Normalized, Unweighted)]]*$AD$3</f>
        <v>9.4293742727084547E-4</v>
      </c>
      <c r="AG113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7.1079866490524737E-2</v>
      </c>
      <c r="AH1130" s="406">
        <f t="shared" si="17"/>
        <v>1183</v>
      </c>
      <c r="AI113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7.1079866490524737E-2</v>
      </c>
      <c r="AJ1130" s="257">
        <f>FME_Ranking1[[#This Row],[Addition check]]-FME_Ranking1[[#This Row],[Weighted Score Based on Normalized Reported Factors]]</f>
        <v>0</v>
      </c>
      <c r="AK1130" s="178">
        <f>_xlfn.RANK.EQ(AI1130,$AI$6:$AI$2341,0)+COUNTIF($AI$6:AI1130,AI1130)-1</f>
        <v>1183</v>
      </c>
    </row>
    <row r="1131" spans="1:37" x14ac:dyDescent="0.25">
      <c r="A1131" t="s">
        <v>1455</v>
      </c>
      <c r="B1131">
        <f>_xlfn.XLOOKUP(FME_Ranking1[[#This Row],[FME ID]],FME_Input[FME_ID],FME_Input[RFPG_NUM])</f>
        <v>6</v>
      </c>
      <c r="C1131" t="str">
        <f>_xlfn.XLOOKUP(FME_Ranking1[[#This Row],[FME ID]],FME_Input[FME_ID],FME_Input[FME_NAME])</f>
        <v>San Jacinto River - G103-33-04</v>
      </c>
      <c r="D1131" t="str">
        <f>_xlfn.XLOOKUP(FME_Ranking1[[#This Row],[FME ID]],FME_Input[FME_ID],FME_Input[DESCR])</f>
        <v>Further study of Flood Risk Reduction need identified through the HCFCD 'Watershed Planning Tool' to determine channel modifications needed to restore/improve channel conveyance including Atlas 14 rainfall.</v>
      </c>
      <c r="E1131" s="256">
        <f>_xlfn.XLOOKUP(FME_Ranking1[[#This Row],[FME ID]],FME_Input[FME_ID],FME_Input[FME_COST])</f>
        <v>100000</v>
      </c>
      <c r="F1131" t="str">
        <f>_xlfn.XLOOKUP(FME_Ranking1[[#This Row],[FME ID]],FME_Input[FME_ID],FME_Input[EMER_NEED])</f>
        <v>No</v>
      </c>
      <c r="G1131">
        <f>IF(FME_Ranking!F1131="Yes",100,0)</f>
        <v>0</v>
      </c>
      <c r="H1131">
        <f>FME_Ranking1[[#This Row],[Emergency Need Score (Normalized, Unweighted)]]*$F$3</f>
        <v>0</v>
      </c>
      <c r="I1131" s="246">
        <f>_xlfn.XLOOKUP(FME_Ranking1[[#This Row],[FME ID]],FME_Input[FME_ID],FME_Input[STRUCT_100])</f>
        <v>248</v>
      </c>
      <c r="J1131" s="178">
        <f>(FME_Ranking1[[#This Row],[Structures 100 Raw]]/I$2)*100</f>
        <v>0.13280212483399734</v>
      </c>
      <c r="K1131" s="178">
        <f>FME_Ranking1[[#This Row],[Structures 100  Score (Normalized, Unweighted)]]*$I$3</f>
        <v>1.9920318725099601E-2</v>
      </c>
      <c r="L1131" s="246">
        <f>_xlfn.XLOOKUP(FME_Ranking1[[#This Row],[FME ID]],FME_Input[FME_ID],FME_Input[RES_STRUCT100])</f>
        <v>221</v>
      </c>
      <c r="M1131" s="230">
        <f>(FME_Ranking1[[#This Row],[Res Structures Raw]]/L$2)*100</f>
        <v>0.15653553569151876</v>
      </c>
      <c r="N1131" s="180">
        <f>FME_Ranking1[[#This Row],[Res Structures Score (Normalized, Unweighted)]]*$L$3</f>
        <v>1.5653553569151876E-2</v>
      </c>
      <c r="O1131" s="244">
        <f>_xlfn.XLOOKUP(FME_Ranking1[[#This Row],[FME ID]],FME_Input[FME_ID],FME_Input[POP100])</f>
        <v>1580</v>
      </c>
      <c r="P1131" s="178">
        <f>(FME_Ranking1[[#This Row],[Pop Raw]]/$O$2)*100</f>
        <v>0.16175299294224599</v>
      </c>
      <c r="Q1131" s="178">
        <f>FME_Ranking1[[#This Row],[Pop Score (Normalized, Unweighted)]]*$O$3</f>
        <v>2.4262948941336897E-2</v>
      </c>
      <c r="R1131" s="137">
        <f>_xlfn.XLOOKUP(FME_Ranking1[[#This Row],[FME ID]],FME_Input[FME_ID],FME_Input[CRITFAC100])</f>
        <v>1</v>
      </c>
      <c r="S1131" s="230">
        <f>(FME_Ranking1[[#This Row],[Critical Facilities Raw]]/$R$2)*100</f>
        <v>4.2881646655231559E-2</v>
      </c>
      <c r="T1131" s="180">
        <f>FME_Ranking1[[#This Row],[Critical Facilities Score (Normalized, Unweighted)]]*$R$3</f>
        <v>8.5763293310463125E-3</v>
      </c>
      <c r="U1131">
        <f>_xlfn.XLOOKUP(FME_Ranking1[[#This Row],[FME ID]],FME_Input[FME_ID],FME_Input[LWC])</f>
        <v>0</v>
      </c>
      <c r="V1131" s="178">
        <f>(FME_Ranking1[[#This Row],[LWC Raw]]/$U$2)*100</f>
        <v>0</v>
      </c>
      <c r="W1131" s="178">
        <f>FME_Ranking1[[#This Row],[LWC Score (Normalized, Unweighted)]]*$U$3</f>
        <v>0</v>
      </c>
      <c r="X1131" s="246">
        <f>_xlfn.XLOOKUP(FME_Ranking1[[#This Row],[FME ID]],FME_Input[FME_ID],FME_Input[ROADCLS])</f>
        <v>0</v>
      </c>
      <c r="Y1131" s="230">
        <f>(FME_Ranking1[[#This Row],[Closures Raw]]/$X$2)*100</f>
        <v>0</v>
      </c>
      <c r="Z1131" s="180">
        <f>FME_Ranking1[[#This Row],[Closures Score (Normalized, Unweighted)]]*$X$3</f>
        <v>0</v>
      </c>
      <c r="AA1131" s="253">
        <f>_xlfn.XLOOKUP(FME_Ranking1[[#This Row],[FME ID]],FME_Input[FME_ID],FME_Input[ROAD_MILES100])</f>
        <v>3.7374289035797119</v>
      </c>
      <c r="AB1131" s="178">
        <f>(FME_Ranking1[[#This Row],[Miles Raw]]/$AA$2)*100</f>
        <v>4.9140486688636735E-2</v>
      </c>
      <c r="AC1131" s="178">
        <f>FME_Ranking1[[#This Row],[Miles Score (Normalized, Unweighted)]]*$AA$3</f>
        <v>4.9140486688636735E-3</v>
      </c>
      <c r="AD1131" s="255">
        <f>_xlfn.XLOOKUP(FME_Ranking1[[#This Row],[FME ID]],FME_Input[FME_ID],FME_Input[FARMACRE100])</f>
        <v>0</v>
      </c>
      <c r="AE1131" s="230">
        <f>(FME_Ranking1[[#This Row],[Ag Land Raw]]/$AD$2)*100</f>
        <v>0</v>
      </c>
      <c r="AF1131" s="231">
        <f>FME_Ranking1[[#This Row],[Ag Land Score (Normalized, Unweighted)]]*$AD$3</f>
        <v>0</v>
      </c>
      <c r="AG113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7.3327199235498366E-2</v>
      </c>
      <c r="AH1131" s="406">
        <f t="shared" si="17"/>
        <v>1171</v>
      </c>
      <c r="AI113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7.3327199235498366E-2</v>
      </c>
      <c r="AJ1131" s="257">
        <f>FME_Ranking1[[#This Row],[Addition check]]-FME_Ranking1[[#This Row],[Weighted Score Based on Normalized Reported Factors]]</f>
        <v>0</v>
      </c>
      <c r="AK1131" s="178">
        <f>_xlfn.RANK.EQ(AI1131,$AI$6:$AI$2341,0)+COUNTIF($AI$6:AI1131,AI1131)-1</f>
        <v>1171</v>
      </c>
    </row>
    <row r="1132" spans="1:37" x14ac:dyDescent="0.25">
      <c r="A1132" t="s">
        <v>9524</v>
      </c>
      <c r="B1132">
        <f>_xlfn.XLOOKUP(FME_Ranking1[[#This Row],[FME ID]],FME_Input[FME_ID],FME_Input[RFPG_NUM])</f>
        <v>12</v>
      </c>
      <c r="C1132" t="str">
        <f>_xlfn.XLOOKUP(FME_Ranking1[[#This Row],[FME ID]],FME_Input[FME_ID],FME_Input[FME_NAME])</f>
        <v>Damage Center 9- Alazan Creek</v>
      </c>
      <c r="D1132" t="str">
        <f>_xlfn.XLOOKUP(FME_Ranking1[[#This Row],[FME ID]],FME_Input[FME_ID],FME_Input[DESCR])</f>
        <v>severe flooding upstream  of  South Colorado  Street,  where  the  majority  of  the  buildings flood during the  10&amp;50 yr. Channel improvments</v>
      </c>
      <c r="E1132" s="256">
        <f>_xlfn.XLOOKUP(FME_Ranking1[[#This Row],[FME ID]],FME_Input[FME_ID],FME_Input[FME_COST])</f>
        <v>65623976</v>
      </c>
      <c r="F1132" t="str">
        <f>_xlfn.XLOOKUP(FME_Ranking1[[#This Row],[FME ID]],FME_Input[FME_ID],FME_Input[EMER_NEED])</f>
        <v>Yes</v>
      </c>
      <c r="G1132">
        <f>IF(FME_Ranking!F1132="Yes",100,0)</f>
        <v>100</v>
      </c>
      <c r="H1132">
        <f>FME_Ranking1[[#This Row],[Emergency Need Score (Normalized, Unweighted)]]*$F$3</f>
        <v>0</v>
      </c>
      <c r="I1132" s="246">
        <f>_xlfn.XLOOKUP(FME_Ranking1[[#This Row],[FME ID]],FME_Input[FME_ID],FME_Input[STRUCT_100])</f>
        <v>237</v>
      </c>
      <c r="J1132" s="178">
        <f>(FME_Ranking1[[#This Row],[Structures 100 Raw]]/I$2)*100</f>
        <v>0.12691170800668294</v>
      </c>
      <c r="K1132" s="178">
        <f>FME_Ranking1[[#This Row],[Structures 100  Score (Normalized, Unweighted)]]*$I$3</f>
        <v>1.9036756201002442E-2</v>
      </c>
      <c r="L1132" s="246">
        <f>_xlfn.XLOOKUP(FME_Ranking1[[#This Row],[FME ID]],FME_Input[FME_ID],FME_Input[RES_STRUCT100])</f>
        <v>168</v>
      </c>
      <c r="M1132" s="230">
        <f>(FME_Ranking1[[#This Row],[Res Structures Raw]]/L$2)*100</f>
        <v>0.11899533934920882</v>
      </c>
      <c r="N1132" s="180">
        <f>FME_Ranking1[[#This Row],[Res Structures Score (Normalized, Unweighted)]]*$L$3</f>
        <v>1.1899533934920882E-2</v>
      </c>
      <c r="O1132" s="244">
        <f>_xlfn.XLOOKUP(FME_Ranking1[[#This Row],[FME ID]],FME_Input[FME_ID],FME_Input[POP100])</f>
        <v>615</v>
      </c>
      <c r="P1132" s="178">
        <f>(FME_Ranking1[[#This Row],[Pop Raw]]/$O$2)*100</f>
        <v>6.2960816873089423E-2</v>
      </c>
      <c r="Q1132" s="178">
        <f>FME_Ranking1[[#This Row],[Pop Score (Normalized, Unweighted)]]*$O$3</f>
        <v>9.4441225309634131E-3</v>
      </c>
      <c r="R1132" s="137">
        <f>_xlfn.XLOOKUP(FME_Ranking1[[#This Row],[FME ID]],FME_Input[FME_ID],FME_Input[CRITFAC100])</f>
        <v>1</v>
      </c>
      <c r="S1132" s="230">
        <f>(FME_Ranking1[[#This Row],[Critical Facilities Raw]]/$R$2)*100</f>
        <v>4.2881646655231559E-2</v>
      </c>
      <c r="T1132" s="180">
        <f>FME_Ranking1[[#This Row],[Critical Facilities Score (Normalized, Unweighted)]]*$R$3</f>
        <v>8.5763293310463125E-3</v>
      </c>
      <c r="U1132">
        <f>_xlfn.XLOOKUP(FME_Ranking1[[#This Row],[FME ID]],FME_Input[FME_ID],FME_Input[LWC])</f>
        <v>0</v>
      </c>
      <c r="V1132" s="178">
        <f>(FME_Ranking1[[#This Row],[LWC Raw]]/$U$2)*100</f>
        <v>0</v>
      </c>
      <c r="W1132" s="178">
        <f>FME_Ranking1[[#This Row],[LWC Score (Normalized, Unweighted)]]*$U$3</f>
        <v>0</v>
      </c>
      <c r="X1132" s="246">
        <f>_xlfn.XLOOKUP(FME_Ranking1[[#This Row],[FME ID]],FME_Input[FME_ID],FME_Input[ROADCLS])</f>
        <v>37</v>
      </c>
      <c r="Y1132" s="230">
        <f>(FME_Ranking1[[#This Row],[Closures Raw]]/$X$2)*100</f>
        <v>0.38902323625275997</v>
      </c>
      <c r="Z1132" s="180">
        <f>FME_Ranking1[[#This Row],[Closures Score (Normalized, Unweighted)]]*$X$3</f>
        <v>1.9451161812638E-2</v>
      </c>
      <c r="AA1132" s="253">
        <f>_xlfn.XLOOKUP(FME_Ranking1[[#This Row],[FME ID]],FME_Input[FME_ID],FME_Input[ROAD_MILES100])</f>
        <v>3.9000000953674321</v>
      </c>
      <c r="AB1132" s="178">
        <f>(FME_Ranking1[[#This Row],[Miles Raw]]/$AA$2)*100</f>
        <v>5.1278006275524014E-2</v>
      </c>
      <c r="AC1132" s="178">
        <f>FME_Ranking1[[#This Row],[Miles Score (Normalized, Unweighted)]]*$AA$3</f>
        <v>5.1278006275524016E-3</v>
      </c>
      <c r="AD1132" s="255">
        <f>_xlfn.XLOOKUP(FME_Ranking1[[#This Row],[FME ID]],FME_Input[FME_ID],FME_Input[FARMACRE100])</f>
        <v>7.921300083398819E-2</v>
      </c>
      <c r="AE1132" s="230">
        <f>(FME_Ranking1[[#This Row],[Ag Land Raw]]/$AD$2)*100</f>
        <v>3.2663895571031876E-6</v>
      </c>
      <c r="AF1132" s="231">
        <f>FME_Ranking1[[#This Row],[Ag Land Score (Normalized, Unweighted)]]*$AD$3</f>
        <v>1.633194778551594E-7</v>
      </c>
      <c r="AG113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7.3535867757601306E-2</v>
      </c>
      <c r="AH1132" s="406">
        <f t="shared" si="17"/>
        <v>1167</v>
      </c>
      <c r="AI113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7.3535867757601306E-2</v>
      </c>
      <c r="AJ1132" s="257">
        <f>FME_Ranking1[[#This Row],[Addition check]]-FME_Ranking1[[#This Row],[Weighted Score Based on Normalized Reported Factors]]</f>
        <v>0</v>
      </c>
      <c r="AK1132" s="178">
        <f>_xlfn.RANK.EQ(AI1132,$AI$6:$AI$2341,0)+COUNTIF($AI$6:AI1132,AI1132)-1</f>
        <v>1167</v>
      </c>
    </row>
    <row r="1133" spans="1:37" x14ac:dyDescent="0.25">
      <c r="A1133" t="s">
        <v>2248</v>
      </c>
      <c r="B1133">
        <f>_xlfn.XLOOKUP(FME_Ranking1[[#This Row],[FME ID]],FME_Input[FME_ID],FME_Input[RFPG_NUM])</f>
        <v>6</v>
      </c>
      <c r="C1133" t="str">
        <f>_xlfn.XLOOKUP(FME_Ranking1[[#This Row],[FME ID]],FME_Input[FME_ID],FME_Input[FME_NAME])</f>
        <v xml:space="preserve">Halls Bayou - Right-Of-Way, Design, and Construction of Channel Conveyance Improvements on P118-09-00 </v>
      </c>
      <c r="D1133" t="str">
        <f>_xlfn.XLOOKUP(FME_Ranking1[[#This Row],[FME ID]],FME_Input[FME_ID],FME_Input[DESCR])</f>
        <v xml:space="preserve">Develop BCA to become a FMP. Part of Halls Ahead Bond Implementation Program, could reduce flood risk for 80+ structures, size of the floodplain by 30+ acres &amp; frequency &amp; duration of flooding of up to half a mile of roadway in an Atlas 14 1% event.  </v>
      </c>
      <c r="E1133" s="256">
        <f>_xlfn.XLOOKUP(FME_Ranking1[[#This Row],[FME ID]],FME_Input[FME_ID],FME_Input[FME_COST])</f>
        <v>30000</v>
      </c>
      <c r="F1133" t="str">
        <f>_xlfn.XLOOKUP(FME_Ranking1[[#This Row],[FME ID]],FME_Input[FME_ID],FME_Input[EMER_NEED])</f>
        <v>No</v>
      </c>
      <c r="G1133">
        <f>IF(FME_Ranking!F1133="Yes",100,0)</f>
        <v>0</v>
      </c>
      <c r="H1133">
        <f>FME_Ranking1[[#This Row],[Emergency Need Score (Normalized, Unweighted)]]*$F$3</f>
        <v>0</v>
      </c>
      <c r="I1133" s="246">
        <f>_xlfn.XLOOKUP(FME_Ranking1[[#This Row],[FME ID]],FME_Input[FME_ID],FME_Input[STRUCT_100])</f>
        <v>260</v>
      </c>
      <c r="J1133" s="178">
        <f>(FME_Ranking1[[#This Row],[Structures 100 Raw]]/I$2)*100</f>
        <v>0.13922803410015852</v>
      </c>
      <c r="K1133" s="178">
        <f>FME_Ranking1[[#This Row],[Structures 100  Score (Normalized, Unweighted)]]*$I$3</f>
        <v>2.0884205115023778E-2</v>
      </c>
      <c r="L1133" s="246">
        <f>_xlfn.XLOOKUP(FME_Ranking1[[#This Row],[FME ID]],FME_Input[FME_ID],FME_Input[RES_STRUCT100])</f>
        <v>211</v>
      </c>
      <c r="M1133" s="230">
        <f>(FME_Ranking1[[#This Row],[Res Structures Raw]]/L$2)*100</f>
        <v>0.14945247977787537</v>
      </c>
      <c r="N1133" s="180">
        <f>FME_Ranking1[[#This Row],[Res Structures Score (Normalized, Unweighted)]]*$L$3</f>
        <v>1.4945247977787538E-2</v>
      </c>
      <c r="O1133" s="244">
        <f>_xlfn.XLOOKUP(FME_Ranking1[[#This Row],[FME ID]],FME_Input[FME_ID],FME_Input[POP100])</f>
        <v>446</v>
      </c>
      <c r="P1133" s="178">
        <f>(FME_Ranking1[[#This Row],[Pop Raw]]/$O$2)*100</f>
        <v>4.565938914698843E-2</v>
      </c>
      <c r="Q1133" s="178">
        <f>FME_Ranking1[[#This Row],[Pop Score (Normalized, Unweighted)]]*$O$3</f>
        <v>6.8489083720482645E-3</v>
      </c>
      <c r="R1133" s="137">
        <f>_xlfn.XLOOKUP(FME_Ranking1[[#This Row],[FME ID]],FME_Input[FME_ID],FME_Input[CRITFAC100])</f>
        <v>3</v>
      </c>
      <c r="S1133" s="230">
        <f>(FME_Ranking1[[#This Row],[Critical Facilities Raw]]/$R$2)*100</f>
        <v>0.1286449399656947</v>
      </c>
      <c r="T1133" s="180">
        <f>FME_Ranking1[[#This Row],[Critical Facilities Score (Normalized, Unweighted)]]*$R$3</f>
        <v>2.5728987993138941E-2</v>
      </c>
      <c r="U1133">
        <f>_xlfn.XLOOKUP(FME_Ranking1[[#This Row],[FME ID]],FME_Input[FME_ID],FME_Input[LWC])</f>
        <v>0</v>
      </c>
      <c r="V1133" s="178">
        <f>(FME_Ranking1[[#This Row],[LWC Raw]]/$U$2)*100</f>
        <v>0</v>
      </c>
      <c r="W1133" s="178">
        <f>FME_Ranking1[[#This Row],[LWC Score (Normalized, Unweighted)]]*$U$3</f>
        <v>0</v>
      </c>
      <c r="X1133" s="246">
        <f>_xlfn.XLOOKUP(FME_Ranking1[[#This Row],[FME ID]],FME_Input[FME_ID],FME_Input[ROADCLS])</f>
        <v>0</v>
      </c>
      <c r="Y1133" s="230">
        <f>(FME_Ranking1[[#This Row],[Closures Raw]]/$X$2)*100</f>
        <v>0</v>
      </c>
      <c r="Z1133" s="180">
        <f>FME_Ranking1[[#This Row],[Closures Score (Normalized, Unweighted)]]*$X$3</f>
        <v>0</v>
      </c>
      <c r="AA1133" s="253">
        <f>_xlfn.XLOOKUP(FME_Ranking1[[#This Row],[FME ID]],FME_Input[FME_ID],FME_Input[ROAD_MILES100])</f>
        <v>4.3908476829528809</v>
      </c>
      <c r="AB1133" s="178">
        <f>(FME_Ranking1[[#This Row],[Miles Raw]]/$AA$2)*100</f>
        <v>5.7731771675794123E-2</v>
      </c>
      <c r="AC1133" s="178">
        <f>FME_Ranking1[[#This Row],[Miles Score (Normalized, Unweighted)]]*$AA$3</f>
        <v>5.773177167579413E-3</v>
      </c>
      <c r="AD1133" s="255">
        <f>_xlfn.XLOOKUP(FME_Ranking1[[#This Row],[FME ID]],FME_Input[FME_ID],FME_Input[FARMACRE100])</f>
        <v>0.19472028315067291</v>
      </c>
      <c r="AE1133" s="230">
        <f>(FME_Ranking1[[#This Row],[Ag Land Raw]]/$AD$2)*100</f>
        <v>8.0293928110678177E-6</v>
      </c>
      <c r="AF1133" s="231">
        <f>FME_Ranking1[[#This Row],[Ag Land Score (Normalized, Unweighted)]]*$AD$3</f>
        <v>4.014696405533909E-7</v>
      </c>
      <c r="AG113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7.4180928095218493E-2</v>
      </c>
      <c r="AH1133" s="406">
        <f t="shared" si="17"/>
        <v>1163</v>
      </c>
      <c r="AI113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7.4180928095218493E-2</v>
      </c>
      <c r="AJ1133" s="257">
        <f>FME_Ranking1[[#This Row],[Addition check]]-FME_Ranking1[[#This Row],[Weighted Score Based on Normalized Reported Factors]]</f>
        <v>0</v>
      </c>
      <c r="AK1133" s="178">
        <f>_xlfn.RANK.EQ(AI1133,$AI$6:$AI$2341,0)+COUNTIF($AI$6:AI1133,AI1133)-1</f>
        <v>1163</v>
      </c>
    </row>
    <row r="1134" spans="1:37" x14ac:dyDescent="0.25">
      <c r="A1134" t="s">
        <v>1016</v>
      </c>
      <c r="B1134">
        <f>_xlfn.XLOOKUP(FME_Ranking1[[#This Row],[FME ID]],FME_Input[FME_ID],FME_Input[RFPG_NUM])</f>
        <v>6</v>
      </c>
      <c r="C1134" t="str">
        <f>_xlfn.XLOOKUP(FME_Ranking1[[#This Row],[FME ID]],FME_Input[FME_ID],FME_Input[FME_NAME])</f>
        <v xml:space="preserve">Hickory Slough Middle Segment </v>
      </c>
      <c r="D1134" t="str">
        <f>_xlfn.XLOOKUP(FME_Ranking1[[#This Row],[FME ID]],FME_Input[FME_ID],FME_Input[DESCR])</f>
        <v>Further study including Atlas 14 rainfall incorporation and Benefit Cost Analysis of proposed channel modifications included in the City of Pearland master drainage plan.</v>
      </c>
      <c r="E1134" s="256">
        <f>_xlfn.XLOOKUP(FME_Ranking1[[#This Row],[FME ID]],FME_Input[FME_ID],FME_Input[FME_COST])</f>
        <v>864000</v>
      </c>
      <c r="F1134" t="str">
        <f>_xlfn.XLOOKUP(FME_Ranking1[[#This Row],[FME ID]],FME_Input[FME_ID],FME_Input[EMER_NEED])</f>
        <v>No</v>
      </c>
      <c r="G1134">
        <f>IF(FME_Ranking!F1134="Yes",100,0)</f>
        <v>0</v>
      </c>
      <c r="H1134">
        <f>FME_Ranking1[[#This Row],[Emergency Need Score (Normalized, Unweighted)]]*$F$3</f>
        <v>0</v>
      </c>
      <c r="I1134" s="246">
        <f>_xlfn.XLOOKUP(FME_Ranking1[[#This Row],[FME ID]],FME_Input[FME_ID],FME_Input[STRUCT_100])</f>
        <v>353</v>
      </c>
      <c r="J1134" s="178">
        <f>(FME_Ranking1[[#This Row],[Structures 100 Raw]]/I$2)*100</f>
        <v>0.18902883091290751</v>
      </c>
      <c r="K1134" s="178">
        <f>FME_Ranking1[[#This Row],[Structures 100  Score (Normalized, Unweighted)]]*$I$3</f>
        <v>2.8354324636936126E-2</v>
      </c>
      <c r="L1134" s="246">
        <f>_xlfn.XLOOKUP(FME_Ranking1[[#This Row],[FME ID]],FME_Input[FME_ID],FME_Input[RES_STRUCT100])</f>
        <v>215</v>
      </c>
      <c r="M1134" s="230">
        <f>(FME_Ranking1[[#This Row],[Res Structures Raw]]/L$2)*100</f>
        <v>0.15228570214333273</v>
      </c>
      <c r="N1134" s="180">
        <f>FME_Ranking1[[#This Row],[Res Structures Score (Normalized, Unweighted)]]*$L$3</f>
        <v>1.5228570214333274E-2</v>
      </c>
      <c r="O1134" s="244">
        <f>_xlfn.XLOOKUP(FME_Ranking1[[#This Row],[FME ID]],FME_Input[FME_ID],FME_Input[POP100])</f>
        <v>1596</v>
      </c>
      <c r="P1134" s="178">
        <f>(FME_Ranking1[[#This Row],[Pop Raw]]/$O$2)*100</f>
        <v>0.1633909979340662</v>
      </c>
      <c r="Q1134" s="178">
        <f>FME_Ranking1[[#This Row],[Pop Score (Normalized, Unweighted)]]*$O$3</f>
        <v>2.4508649690109928E-2</v>
      </c>
      <c r="R1134" s="137">
        <f>_xlfn.XLOOKUP(FME_Ranking1[[#This Row],[FME ID]],FME_Input[FME_ID],FME_Input[CRITFAC100])</f>
        <v>0</v>
      </c>
      <c r="S1134" s="230">
        <f>(FME_Ranking1[[#This Row],[Critical Facilities Raw]]/$R$2)*100</f>
        <v>0</v>
      </c>
      <c r="T1134" s="180">
        <f>FME_Ranking1[[#This Row],[Critical Facilities Score (Normalized, Unweighted)]]*$R$3</f>
        <v>0</v>
      </c>
      <c r="U1134">
        <f>_xlfn.XLOOKUP(FME_Ranking1[[#This Row],[FME ID]],FME_Input[FME_ID],FME_Input[LWC])</f>
        <v>0</v>
      </c>
      <c r="V1134" s="178">
        <f>(FME_Ranking1[[#This Row],[LWC Raw]]/$U$2)*100</f>
        <v>0</v>
      </c>
      <c r="W1134" s="178">
        <f>FME_Ranking1[[#This Row],[LWC Score (Normalized, Unweighted)]]*$U$3</f>
        <v>0</v>
      </c>
      <c r="X1134" s="246">
        <f>_xlfn.XLOOKUP(FME_Ranking1[[#This Row],[FME ID]],FME_Input[FME_ID],FME_Input[ROADCLS])</f>
        <v>0</v>
      </c>
      <c r="Y1134" s="230">
        <f>(FME_Ranking1[[#This Row],[Closures Raw]]/$X$2)*100</f>
        <v>0</v>
      </c>
      <c r="Z1134" s="180">
        <f>FME_Ranking1[[#This Row],[Closures Score (Normalized, Unweighted)]]*$X$3</f>
        <v>0</v>
      </c>
      <c r="AA1134" s="253">
        <f>_xlfn.XLOOKUP(FME_Ranking1[[#This Row],[FME ID]],FME_Input[FME_ID],FME_Input[ROAD_MILES100])</f>
        <v>4.0867671966552734</v>
      </c>
      <c r="AB1134" s="178">
        <f>(FME_Ranking1[[#This Row],[Miles Raw]]/$AA$2)*100</f>
        <v>5.3733658674936853E-2</v>
      </c>
      <c r="AC1134" s="178">
        <f>FME_Ranking1[[#This Row],[Miles Score (Normalized, Unweighted)]]*$AA$3</f>
        <v>5.373365867493686E-3</v>
      </c>
      <c r="AD1134" s="255">
        <f>_xlfn.XLOOKUP(FME_Ranking1[[#This Row],[FME ID]],FME_Input[FME_ID],FME_Input[FARMACRE100])</f>
        <v>8.2090559005737305</v>
      </c>
      <c r="AE1134" s="230">
        <f>(FME_Ranking1[[#This Row],[Ag Land Raw]]/$AD$2)*100</f>
        <v>3.3850471747063487E-4</v>
      </c>
      <c r="AF1134" s="231">
        <f>FME_Ranking1[[#This Row],[Ag Land Score (Normalized, Unweighted)]]*$AD$3</f>
        <v>1.6925235873531744E-5</v>
      </c>
      <c r="AG113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7.3481835644746543E-2</v>
      </c>
      <c r="AH1134" s="406">
        <f t="shared" si="17"/>
        <v>1168</v>
      </c>
      <c r="AI113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7.3481835644746543E-2</v>
      </c>
      <c r="AJ1134" s="257">
        <f>FME_Ranking1[[#This Row],[Addition check]]-FME_Ranking1[[#This Row],[Weighted Score Based on Normalized Reported Factors]]</f>
        <v>0</v>
      </c>
      <c r="AK1134" s="178">
        <f>_xlfn.RANK.EQ(AI1134,$AI$6:$AI$2341,0)+COUNTIF($AI$6:AI1134,AI1134)-1</f>
        <v>1168</v>
      </c>
    </row>
    <row r="1135" spans="1:37" x14ac:dyDescent="0.25">
      <c r="A1135" t="s">
        <v>4328</v>
      </c>
      <c r="B1135">
        <f>_xlfn.XLOOKUP(FME_Ranking1[[#This Row],[FME ID]],FME_Input[FME_ID],FME_Input[RFPG_NUM])</f>
        <v>3</v>
      </c>
      <c r="C1135" t="str">
        <f>_xlfn.XLOOKUP(FME_Ranking1[[#This Row],[FME ID]],FME_Input[FME_ID],FME_Input[FME_NAME])</f>
        <v>Buhler, Cresthaven, Madewell &amp; Maryland Drainage Study Update</v>
      </c>
      <c r="D1135" t="str">
        <f>_xlfn.XLOOKUP(FME_Ranking1[[#This Row],[FME ID]],FME_Input[FME_ID],FME_Input[DESCR])</f>
        <v>Area 4</v>
      </c>
      <c r="E1135" s="256">
        <f>_xlfn.XLOOKUP(FME_Ranking1[[#This Row],[FME ID]],FME_Input[FME_ID],FME_Input[FME_COST])</f>
        <v>132000</v>
      </c>
      <c r="F1135" t="str">
        <f>_xlfn.XLOOKUP(FME_Ranking1[[#This Row],[FME ID]],FME_Input[FME_ID],FME_Input[EMER_NEED])</f>
        <v>No</v>
      </c>
      <c r="G1135">
        <f>IF(FME_Ranking!F1135="Yes",100,0)</f>
        <v>0</v>
      </c>
      <c r="H1135">
        <f>FME_Ranking1[[#This Row],[Emergency Need Score (Normalized, Unweighted)]]*$F$3</f>
        <v>0</v>
      </c>
      <c r="I1135" s="246">
        <f>_xlfn.XLOOKUP(FME_Ranking1[[#This Row],[FME ID]],FME_Input[FME_ID],FME_Input[STRUCT_100])</f>
        <v>40</v>
      </c>
      <c r="J1135" s="178">
        <f>(FME_Ranking1[[#This Row],[Structures 100 Raw]]/I$2)*100</f>
        <v>2.1419697553870538E-2</v>
      </c>
      <c r="K1135" s="178">
        <f>FME_Ranking1[[#This Row],[Structures 100  Score (Normalized, Unweighted)]]*$I$3</f>
        <v>3.2129546330805807E-3</v>
      </c>
      <c r="L1135" s="246">
        <f>_xlfn.XLOOKUP(FME_Ranking1[[#This Row],[FME ID]],FME_Input[FME_ID],FME_Input[RES_STRUCT100])</f>
        <v>28</v>
      </c>
      <c r="M1135" s="230">
        <f>(FME_Ranking1[[#This Row],[Res Structures Raw]]/L$2)*100</f>
        <v>1.9832556558201472E-2</v>
      </c>
      <c r="N1135" s="180">
        <f>FME_Ranking1[[#This Row],[Res Structures Score (Normalized, Unweighted)]]*$L$3</f>
        <v>1.9832556558201475E-3</v>
      </c>
      <c r="O1135" s="244">
        <f>_xlfn.XLOOKUP(FME_Ranking1[[#This Row],[FME ID]],FME_Input[FME_ID],FME_Input[POP100])</f>
        <v>298</v>
      </c>
      <c r="P1135" s="178">
        <f>(FME_Ranking1[[#This Row],[Pop Raw]]/$O$2)*100</f>
        <v>3.050784297265146E-2</v>
      </c>
      <c r="Q1135" s="178">
        <f>FME_Ranking1[[#This Row],[Pop Score (Normalized, Unweighted)]]*$O$3</f>
        <v>4.5761764458977184E-3</v>
      </c>
      <c r="R1135" s="137">
        <f>_xlfn.XLOOKUP(FME_Ranking1[[#This Row],[FME ID]],FME_Input[FME_ID],FME_Input[CRITFAC100])</f>
        <v>0</v>
      </c>
      <c r="S1135" s="230">
        <f>(FME_Ranking1[[#This Row],[Critical Facilities Raw]]/$R$2)*100</f>
        <v>0</v>
      </c>
      <c r="T1135" s="180">
        <f>FME_Ranking1[[#This Row],[Critical Facilities Score (Normalized, Unweighted)]]*$R$3</f>
        <v>0</v>
      </c>
      <c r="U1135">
        <f>_xlfn.XLOOKUP(FME_Ranking1[[#This Row],[FME ID]],FME_Input[FME_ID],FME_Input[LWC])</f>
        <v>5</v>
      </c>
      <c r="V1135" s="178">
        <f>(FME_Ranking1[[#This Row],[LWC Raw]]/$U$2)*100</f>
        <v>0.28785261945883706</v>
      </c>
      <c r="W1135" s="178">
        <f>FME_Ranking1[[#This Row],[LWC Score (Normalized, Unweighted)]]*$U$3</f>
        <v>5.7570523891767415E-2</v>
      </c>
      <c r="X1135" s="246">
        <f>_xlfn.XLOOKUP(FME_Ranking1[[#This Row],[FME ID]],FME_Input[FME_ID],FME_Input[ROADCLS])</f>
        <v>0</v>
      </c>
      <c r="Y1135" s="230">
        <f>(FME_Ranking1[[#This Row],[Closures Raw]]/$X$2)*100</f>
        <v>0</v>
      </c>
      <c r="Z1135" s="180">
        <f>FME_Ranking1[[#This Row],[Closures Score (Normalized, Unweighted)]]*$X$3</f>
        <v>0</v>
      </c>
      <c r="AA1135" s="253">
        <f>_xlfn.XLOOKUP(FME_Ranking1[[#This Row],[FME ID]],FME_Input[FME_ID],FME_Input[ROAD_MILES100])</f>
        <v>1.8675509691238401</v>
      </c>
      <c r="AB1135" s="178">
        <f>(FME_Ranking1[[#This Row],[Miles Raw]]/$AA$2)*100</f>
        <v>2.4554945634064389E-2</v>
      </c>
      <c r="AC1135" s="178">
        <f>FME_Ranking1[[#This Row],[Miles Score (Normalized, Unweighted)]]*$AA$3</f>
        <v>2.455494563406439E-3</v>
      </c>
      <c r="AD1135" s="255">
        <f>_xlfn.XLOOKUP(FME_Ranking1[[#This Row],[FME ID]],FME_Input[FME_ID],FME_Input[FARMACRE100])</f>
        <v>7.3648991584777832</v>
      </c>
      <c r="AE1135" s="230">
        <f>(FME_Ranking1[[#This Row],[Ag Land Raw]]/$AD$2)*100</f>
        <v>3.0369547229736846E-4</v>
      </c>
      <c r="AF1135" s="231">
        <f>FME_Ranking1[[#This Row],[Ag Land Score (Normalized, Unweighted)]]*$AD$3</f>
        <v>1.5184773614868423E-5</v>
      </c>
      <c r="AG113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6.9813589963587164E-2</v>
      </c>
      <c r="AH1135" s="406">
        <f t="shared" si="17"/>
        <v>1192</v>
      </c>
      <c r="AI113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6.9813589963587164E-2</v>
      </c>
      <c r="AJ1135" s="257">
        <f>FME_Ranking1[[#This Row],[Addition check]]-FME_Ranking1[[#This Row],[Weighted Score Based on Normalized Reported Factors]]</f>
        <v>0</v>
      </c>
      <c r="AK1135" s="178">
        <f>_xlfn.RANK.EQ(AI1135,$AI$6:$AI$2341,0)+COUNTIF($AI$6:AI1135,AI1135)-1</f>
        <v>1192</v>
      </c>
    </row>
    <row r="1136" spans="1:37" x14ac:dyDescent="0.25">
      <c r="A1136" t="s">
        <v>4333</v>
      </c>
      <c r="B1136">
        <f>_xlfn.XLOOKUP(FME_Ranking1[[#This Row],[FME ID]],FME_Input[FME_ID],FME_Input[RFPG_NUM])</f>
        <v>3</v>
      </c>
      <c r="C1136" t="str">
        <f>_xlfn.XLOOKUP(FME_Ranking1[[#This Row],[FME ID]],FME_Input[FME_ID],FME_Input[FME_NAME])</f>
        <v>Bellaire Heights Drainage Study Update</v>
      </c>
      <c r="D1136" t="str">
        <f>_xlfn.XLOOKUP(FME_Ranking1[[#This Row],[FME ID]],FME_Input[FME_ID],FME_Input[DESCR])</f>
        <v>Area 5</v>
      </c>
      <c r="E1136" s="256">
        <f>_xlfn.XLOOKUP(FME_Ranking1[[#This Row],[FME ID]],FME_Input[FME_ID],FME_Input[FME_COST])</f>
        <v>50000</v>
      </c>
      <c r="F1136" t="str">
        <f>_xlfn.XLOOKUP(FME_Ranking1[[#This Row],[FME ID]],FME_Input[FME_ID],FME_Input[EMER_NEED])</f>
        <v>No</v>
      </c>
      <c r="G1136">
        <f>IF(FME_Ranking!F1136="Yes",100,0)</f>
        <v>0</v>
      </c>
      <c r="H1136">
        <f>FME_Ranking1[[#This Row],[Emergency Need Score (Normalized, Unweighted)]]*$F$3</f>
        <v>0</v>
      </c>
      <c r="I1136" s="246">
        <f>_xlfn.XLOOKUP(FME_Ranking1[[#This Row],[FME ID]],FME_Input[FME_ID],FME_Input[STRUCT_100])</f>
        <v>40</v>
      </c>
      <c r="J1136" s="178">
        <f>(FME_Ranking1[[#This Row],[Structures 100 Raw]]/I$2)*100</f>
        <v>2.1419697553870538E-2</v>
      </c>
      <c r="K1136" s="178">
        <f>FME_Ranking1[[#This Row],[Structures 100  Score (Normalized, Unweighted)]]*$I$3</f>
        <v>3.2129546330805807E-3</v>
      </c>
      <c r="L1136" s="246">
        <f>_xlfn.XLOOKUP(FME_Ranking1[[#This Row],[FME ID]],FME_Input[FME_ID],FME_Input[RES_STRUCT100])</f>
        <v>28</v>
      </c>
      <c r="M1136" s="230">
        <f>(FME_Ranking1[[#This Row],[Res Structures Raw]]/L$2)*100</f>
        <v>1.9832556558201472E-2</v>
      </c>
      <c r="N1136" s="180">
        <f>FME_Ranking1[[#This Row],[Res Structures Score (Normalized, Unweighted)]]*$L$3</f>
        <v>1.9832556558201475E-3</v>
      </c>
      <c r="O1136" s="244">
        <f>_xlfn.XLOOKUP(FME_Ranking1[[#This Row],[FME ID]],FME_Input[FME_ID],FME_Input[POP100])</f>
        <v>298</v>
      </c>
      <c r="P1136" s="178">
        <f>(FME_Ranking1[[#This Row],[Pop Raw]]/$O$2)*100</f>
        <v>3.050784297265146E-2</v>
      </c>
      <c r="Q1136" s="178">
        <f>FME_Ranking1[[#This Row],[Pop Score (Normalized, Unweighted)]]*$O$3</f>
        <v>4.5761764458977184E-3</v>
      </c>
      <c r="R1136" s="137">
        <f>_xlfn.XLOOKUP(FME_Ranking1[[#This Row],[FME ID]],FME_Input[FME_ID],FME_Input[CRITFAC100])</f>
        <v>0</v>
      </c>
      <c r="S1136" s="230">
        <f>(FME_Ranking1[[#This Row],[Critical Facilities Raw]]/$R$2)*100</f>
        <v>0</v>
      </c>
      <c r="T1136" s="180">
        <f>FME_Ranking1[[#This Row],[Critical Facilities Score (Normalized, Unweighted)]]*$R$3</f>
        <v>0</v>
      </c>
      <c r="U1136">
        <f>_xlfn.XLOOKUP(FME_Ranking1[[#This Row],[FME ID]],FME_Input[FME_ID],FME_Input[LWC])</f>
        <v>5</v>
      </c>
      <c r="V1136" s="178">
        <f>(FME_Ranking1[[#This Row],[LWC Raw]]/$U$2)*100</f>
        <v>0.28785261945883706</v>
      </c>
      <c r="W1136" s="178">
        <f>FME_Ranking1[[#This Row],[LWC Score (Normalized, Unweighted)]]*$U$3</f>
        <v>5.7570523891767415E-2</v>
      </c>
      <c r="X1136" s="246">
        <f>_xlfn.XLOOKUP(FME_Ranking1[[#This Row],[FME ID]],FME_Input[FME_ID],FME_Input[ROADCLS])</f>
        <v>0</v>
      </c>
      <c r="Y1136" s="230">
        <f>(FME_Ranking1[[#This Row],[Closures Raw]]/$X$2)*100</f>
        <v>0</v>
      </c>
      <c r="Z1136" s="180">
        <f>FME_Ranking1[[#This Row],[Closures Score (Normalized, Unweighted)]]*$X$3</f>
        <v>0</v>
      </c>
      <c r="AA1136" s="253">
        <f>_xlfn.XLOOKUP(FME_Ranking1[[#This Row],[FME ID]],FME_Input[FME_ID],FME_Input[ROAD_MILES100])</f>
        <v>1.8675509691238401</v>
      </c>
      <c r="AB1136" s="178">
        <f>(FME_Ranking1[[#This Row],[Miles Raw]]/$AA$2)*100</f>
        <v>2.4554945634064389E-2</v>
      </c>
      <c r="AC1136" s="178">
        <f>FME_Ranking1[[#This Row],[Miles Score (Normalized, Unweighted)]]*$AA$3</f>
        <v>2.455494563406439E-3</v>
      </c>
      <c r="AD1136" s="255">
        <f>_xlfn.XLOOKUP(FME_Ranking1[[#This Row],[FME ID]],FME_Input[FME_ID],FME_Input[FARMACRE100])</f>
        <v>7.3648991584777832</v>
      </c>
      <c r="AE1136" s="230">
        <f>(FME_Ranking1[[#This Row],[Ag Land Raw]]/$AD$2)*100</f>
        <v>3.0369547229736846E-4</v>
      </c>
      <c r="AF1136" s="231">
        <f>FME_Ranking1[[#This Row],[Ag Land Score (Normalized, Unweighted)]]*$AD$3</f>
        <v>1.5184773614868423E-5</v>
      </c>
      <c r="AG113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6.9813589963587164E-2</v>
      </c>
      <c r="AH1136" s="406">
        <f t="shared" si="17"/>
        <v>1192</v>
      </c>
      <c r="AI113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6.9813589963587164E-2</v>
      </c>
      <c r="AJ1136" s="257">
        <f>FME_Ranking1[[#This Row],[Addition check]]-FME_Ranking1[[#This Row],[Weighted Score Based on Normalized Reported Factors]]</f>
        <v>0</v>
      </c>
      <c r="AK1136" s="178">
        <f>_xlfn.RANK.EQ(AI1136,$AI$6:$AI$2341,0)+COUNTIF($AI$6:AI1136,AI1136)-1</f>
        <v>1193</v>
      </c>
    </row>
    <row r="1137" spans="1:37" x14ac:dyDescent="0.25">
      <c r="A1137" t="s">
        <v>4342</v>
      </c>
      <c r="B1137">
        <f>_xlfn.XLOOKUP(FME_Ranking1[[#This Row],[FME ID]],FME_Input[FME_ID],FME_Input[RFPG_NUM])</f>
        <v>3</v>
      </c>
      <c r="C1137" t="str">
        <f>_xlfn.XLOOKUP(FME_Ranking1[[#This Row],[FME ID]],FME_Input[FME_ID],FME_Input[FME_NAME])</f>
        <v>Shorehaven-Garvon-Rosewood Terrace-Garland Heights-Freeman Heights-Range-Cooper-Barger Drainage Study Update</v>
      </c>
      <c r="D1137" t="str">
        <f>_xlfn.XLOOKUP(FME_Ranking1[[#This Row],[FME ID]],FME_Input[FME_ID],FME_Input[DESCR])</f>
        <v>Area 7</v>
      </c>
      <c r="E1137" s="256">
        <f>_xlfn.XLOOKUP(FME_Ranking1[[#This Row],[FME ID]],FME_Input[FME_ID],FME_Input[FME_COST])</f>
        <v>150000</v>
      </c>
      <c r="F1137" t="str">
        <f>_xlfn.XLOOKUP(FME_Ranking1[[#This Row],[FME ID]],FME_Input[FME_ID],FME_Input[EMER_NEED])</f>
        <v>No</v>
      </c>
      <c r="G1137">
        <f>IF(FME_Ranking!F1137="Yes",100,0)</f>
        <v>0</v>
      </c>
      <c r="H1137">
        <f>FME_Ranking1[[#This Row],[Emergency Need Score (Normalized, Unweighted)]]*$F$3</f>
        <v>0</v>
      </c>
      <c r="I1137" s="246">
        <f>_xlfn.XLOOKUP(FME_Ranking1[[#This Row],[FME ID]],FME_Input[FME_ID],FME_Input[STRUCT_100])</f>
        <v>40</v>
      </c>
      <c r="J1137" s="178">
        <f>(FME_Ranking1[[#This Row],[Structures 100 Raw]]/I$2)*100</f>
        <v>2.1419697553870538E-2</v>
      </c>
      <c r="K1137" s="178">
        <f>FME_Ranking1[[#This Row],[Structures 100  Score (Normalized, Unweighted)]]*$I$3</f>
        <v>3.2129546330805807E-3</v>
      </c>
      <c r="L1137" s="246">
        <f>_xlfn.XLOOKUP(FME_Ranking1[[#This Row],[FME ID]],FME_Input[FME_ID],FME_Input[RES_STRUCT100])</f>
        <v>28</v>
      </c>
      <c r="M1137" s="230">
        <f>(FME_Ranking1[[#This Row],[Res Structures Raw]]/L$2)*100</f>
        <v>1.9832556558201472E-2</v>
      </c>
      <c r="N1137" s="180">
        <f>FME_Ranking1[[#This Row],[Res Structures Score (Normalized, Unweighted)]]*$L$3</f>
        <v>1.9832556558201475E-3</v>
      </c>
      <c r="O1137" s="244">
        <f>_xlfn.XLOOKUP(FME_Ranking1[[#This Row],[FME ID]],FME_Input[FME_ID],FME_Input[POP100])</f>
        <v>298</v>
      </c>
      <c r="P1137" s="178">
        <f>(FME_Ranking1[[#This Row],[Pop Raw]]/$O$2)*100</f>
        <v>3.050784297265146E-2</v>
      </c>
      <c r="Q1137" s="178">
        <f>FME_Ranking1[[#This Row],[Pop Score (Normalized, Unweighted)]]*$O$3</f>
        <v>4.5761764458977184E-3</v>
      </c>
      <c r="R1137" s="137">
        <f>_xlfn.XLOOKUP(FME_Ranking1[[#This Row],[FME ID]],FME_Input[FME_ID],FME_Input[CRITFAC100])</f>
        <v>0</v>
      </c>
      <c r="S1137" s="230">
        <f>(FME_Ranking1[[#This Row],[Critical Facilities Raw]]/$R$2)*100</f>
        <v>0</v>
      </c>
      <c r="T1137" s="180">
        <f>FME_Ranking1[[#This Row],[Critical Facilities Score (Normalized, Unweighted)]]*$R$3</f>
        <v>0</v>
      </c>
      <c r="U1137">
        <f>_xlfn.XLOOKUP(FME_Ranking1[[#This Row],[FME ID]],FME_Input[FME_ID],FME_Input[LWC])</f>
        <v>5</v>
      </c>
      <c r="V1137" s="178">
        <f>(FME_Ranking1[[#This Row],[LWC Raw]]/$U$2)*100</f>
        <v>0.28785261945883706</v>
      </c>
      <c r="W1137" s="178">
        <f>FME_Ranking1[[#This Row],[LWC Score (Normalized, Unweighted)]]*$U$3</f>
        <v>5.7570523891767415E-2</v>
      </c>
      <c r="X1137" s="246">
        <f>_xlfn.XLOOKUP(FME_Ranking1[[#This Row],[FME ID]],FME_Input[FME_ID],FME_Input[ROADCLS])</f>
        <v>0</v>
      </c>
      <c r="Y1137" s="230">
        <f>(FME_Ranking1[[#This Row],[Closures Raw]]/$X$2)*100</f>
        <v>0</v>
      </c>
      <c r="Z1137" s="180">
        <f>FME_Ranking1[[#This Row],[Closures Score (Normalized, Unweighted)]]*$X$3</f>
        <v>0</v>
      </c>
      <c r="AA1137" s="253">
        <f>_xlfn.XLOOKUP(FME_Ranking1[[#This Row],[FME ID]],FME_Input[FME_ID],FME_Input[ROAD_MILES100])</f>
        <v>1.8675509691238401</v>
      </c>
      <c r="AB1137" s="178">
        <f>(FME_Ranking1[[#This Row],[Miles Raw]]/$AA$2)*100</f>
        <v>2.4554945634064389E-2</v>
      </c>
      <c r="AC1137" s="178">
        <f>FME_Ranking1[[#This Row],[Miles Score (Normalized, Unweighted)]]*$AA$3</f>
        <v>2.455494563406439E-3</v>
      </c>
      <c r="AD1137" s="255">
        <f>_xlfn.XLOOKUP(FME_Ranking1[[#This Row],[FME ID]],FME_Input[FME_ID],FME_Input[FARMACRE100])</f>
        <v>7.3648991584777832</v>
      </c>
      <c r="AE1137" s="230">
        <f>(FME_Ranking1[[#This Row],[Ag Land Raw]]/$AD$2)*100</f>
        <v>3.0369547229736846E-4</v>
      </c>
      <c r="AF1137" s="231">
        <f>FME_Ranking1[[#This Row],[Ag Land Score (Normalized, Unweighted)]]*$AD$3</f>
        <v>1.5184773614868423E-5</v>
      </c>
      <c r="AG113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6.9813589963587164E-2</v>
      </c>
      <c r="AH1137" s="406">
        <f t="shared" si="17"/>
        <v>1192</v>
      </c>
      <c r="AI113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6.9813589963587164E-2</v>
      </c>
      <c r="AJ1137" s="257">
        <f>FME_Ranking1[[#This Row],[Addition check]]-FME_Ranking1[[#This Row],[Weighted Score Based on Normalized Reported Factors]]</f>
        <v>0</v>
      </c>
      <c r="AK1137" s="178">
        <f>_xlfn.RANK.EQ(AI1137,$AI$6:$AI$2341,0)+COUNTIF($AI$6:AI1137,AI1137)-1</f>
        <v>1194</v>
      </c>
    </row>
    <row r="1138" spans="1:37" x14ac:dyDescent="0.25">
      <c r="A1138" t="s">
        <v>4362</v>
      </c>
      <c r="B1138">
        <f>_xlfn.XLOOKUP(FME_Ranking1[[#This Row],[FME ID]],FME_Input[FME_ID],FME_Input[RFPG_NUM])</f>
        <v>3</v>
      </c>
      <c r="C1138" t="str">
        <f>_xlfn.XLOOKUP(FME_Ranking1[[#This Row],[FME ID]],FME_Input[FME_ID],FME_Input[FME_NAME])</f>
        <v>Curtis Drive Drainage Study Update</v>
      </c>
      <c r="D1138" t="str">
        <f>_xlfn.XLOOKUP(FME_Ranking1[[#This Row],[FME ID]],FME_Input[FME_ID],FME_Input[DESCR])</f>
        <v>Area 13</v>
      </c>
      <c r="E1138" s="256">
        <f>_xlfn.XLOOKUP(FME_Ranking1[[#This Row],[FME ID]],FME_Input[FME_ID],FME_Input[FME_COST])</f>
        <v>50000</v>
      </c>
      <c r="F1138" t="str">
        <f>_xlfn.XLOOKUP(FME_Ranking1[[#This Row],[FME ID]],FME_Input[FME_ID],FME_Input[EMER_NEED])</f>
        <v>No</v>
      </c>
      <c r="G1138">
        <f>IF(FME_Ranking!F1138="Yes",100,0)</f>
        <v>0</v>
      </c>
      <c r="H1138">
        <f>FME_Ranking1[[#This Row],[Emergency Need Score (Normalized, Unweighted)]]*$F$3</f>
        <v>0</v>
      </c>
      <c r="I1138" s="246">
        <f>_xlfn.XLOOKUP(FME_Ranking1[[#This Row],[FME ID]],FME_Input[FME_ID],FME_Input[STRUCT_100])</f>
        <v>40</v>
      </c>
      <c r="J1138" s="178">
        <f>(FME_Ranking1[[#This Row],[Structures 100 Raw]]/I$2)*100</f>
        <v>2.1419697553870538E-2</v>
      </c>
      <c r="K1138" s="178">
        <f>FME_Ranking1[[#This Row],[Structures 100  Score (Normalized, Unweighted)]]*$I$3</f>
        <v>3.2129546330805807E-3</v>
      </c>
      <c r="L1138" s="246">
        <f>_xlfn.XLOOKUP(FME_Ranking1[[#This Row],[FME ID]],FME_Input[FME_ID],FME_Input[RES_STRUCT100])</f>
        <v>28</v>
      </c>
      <c r="M1138" s="230">
        <f>(FME_Ranking1[[#This Row],[Res Structures Raw]]/L$2)*100</f>
        <v>1.9832556558201472E-2</v>
      </c>
      <c r="N1138" s="180">
        <f>FME_Ranking1[[#This Row],[Res Structures Score (Normalized, Unweighted)]]*$L$3</f>
        <v>1.9832556558201475E-3</v>
      </c>
      <c r="O1138" s="244">
        <f>_xlfn.XLOOKUP(FME_Ranking1[[#This Row],[FME ID]],FME_Input[FME_ID],FME_Input[POP100])</f>
        <v>298</v>
      </c>
      <c r="P1138" s="178">
        <f>(FME_Ranking1[[#This Row],[Pop Raw]]/$O$2)*100</f>
        <v>3.050784297265146E-2</v>
      </c>
      <c r="Q1138" s="178">
        <f>FME_Ranking1[[#This Row],[Pop Score (Normalized, Unweighted)]]*$O$3</f>
        <v>4.5761764458977184E-3</v>
      </c>
      <c r="R1138" s="137">
        <f>_xlfn.XLOOKUP(FME_Ranking1[[#This Row],[FME ID]],FME_Input[FME_ID],FME_Input[CRITFAC100])</f>
        <v>0</v>
      </c>
      <c r="S1138" s="230">
        <f>(FME_Ranking1[[#This Row],[Critical Facilities Raw]]/$R$2)*100</f>
        <v>0</v>
      </c>
      <c r="T1138" s="180">
        <f>FME_Ranking1[[#This Row],[Critical Facilities Score (Normalized, Unweighted)]]*$R$3</f>
        <v>0</v>
      </c>
      <c r="U1138">
        <f>_xlfn.XLOOKUP(FME_Ranking1[[#This Row],[FME ID]],FME_Input[FME_ID],FME_Input[LWC])</f>
        <v>5</v>
      </c>
      <c r="V1138" s="178">
        <f>(FME_Ranking1[[#This Row],[LWC Raw]]/$U$2)*100</f>
        <v>0.28785261945883706</v>
      </c>
      <c r="W1138" s="178">
        <f>FME_Ranking1[[#This Row],[LWC Score (Normalized, Unweighted)]]*$U$3</f>
        <v>5.7570523891767415E-2</v>
      </c>
      <c r="X1138" s="246">
        <f>_xlfn.XLOOKUP(FME_Ranking1[[#This Row],[FME ID]],FME_Input[FME_ID],FME_Input[ROADCLS])</f>
        <v>0</v>
      </c>
      <c r="Y1138" s="230">
        <f>(FME_Ranking1[[#This Row],[Closures Raw]]/$X$2)*100</f>
        <v>0</v>
      </c>
      <c r="Z1138" s="180">
        <f>FME_Ranking1[[#This Row],[Closures Score (Normalized, Unweighted)]]*$X$3</f>
        <v>0</v>
      </c>
      <c r="AA1138" s="253">
        <f>_xlfn.XLOOKUP(FME_Ranking1[[#This Row],[FME ID]],FME_Input[FME_ID],FME_Input[ROAD_MILES100])</f>
        <v>1.8675509691238401</v>
      </c>
      <c r="AB1138" s="178">
        <f>(FME_Ranking1[[#This Row],[Miles Raw]]/$AA$2)*100</f>
        <v>2.4554945634064389E-2</v>
      </c>
      <c r="AC1138" s="178">
        <f>FME_Ranking1[[#This Row],[Miles Score (Normalized, Unweighted)]]*$AA$3</f>
        <v>2.455494563406439E-3</v>
      </c>
      <c r="AD1138" s="255">
        <f>_xlfn.XLOOKUP(FME_Ranking1[[#This Row],[FME ID]],FME_Input[FME_ID],FME_Input[FARMACRE100])</f>
        <v>7.3648991584777832</v>
      </c>
      <c r="AE1138" s="230">
        <f>(FME_Ranking1[[#This Row],[Ag Land Raw]]/$AD$2)*100</f>
        <v>3.0369547229736846E-4</v>
      </c>
      <c r="AF1138" s="231">
        <f>FME_Ranking1[[#This Row],[Ag Land Score (Normalized, Unweighted)]]*$AD$3</f>
        <v>1.5184773614868423E-5</v>
      </c>
      <c r="AG113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6.9813589963587164E-2</v>
      </c>
      <c r="AH1138" s="406">
        <f t="shared" si="17"/>
        <v>1192</v>
      </c>
      <c r="AI113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6.9813589963587164E-2</v>
      </c>
      <c r="AJ1138" s="257">
        <f>FME_Ranking1[[#This Row],[Addition check]]-FME_Ranking1[[#This Row],[Weighted Score Based on Normalized Reported Factors]]</f>
        <v>0</v>
      </c>
      <c r="AK1138" s="178">
        <f>_xlfn.RANK.EQ(AI1138,$AI$6:$AI$2341,0)+COUNTIF($AI$6:AI1138,AI1138)-1</f>
        <v>1195</v>
      </c>
    </row>
    <row r="1139" spans="1:37" x14ac:dyDescent="0.25">
      <c r="A1139" t="s">
        <v>4374</v>
      </c>
      <c r="B1139">
        <f>_xlfn.XLOOKUP(FME_Ranking1[[#This Row],[FME ID]],FME_Input[FME_ID],FME_Input[RFPG_NUM])</f>
        <v>3</v>
      </c>
      <c r="C1139" t="str">
        <f>_xlfn.XLOOKUP(FME_Ranking1[[#This Row],[FME ID]],FME_Input[FME_ID],FME_Input[FME_NAME])</f>
        <v>Downtown Drainage Study Update</v>
      </c>
      <c r="D1139" t="str">
        <f>_xlfn.XLOOKUP(FME_Ranking1[[#This Row],[FME ID]],FME_Input[FME_ID],FME_Input[DESCR])</f>
        <v>Area 17</v>
      </c>
      <c r="E1139" s="256">
        <f>_xlfn.XLOOKUP(FME_Ranking1[[#This Row],[FME ID]],FME_Input[FME_ID],FME_Input[FME_COST])</f>
        <v>150000</v>
      </c>
      <c r="F1139" t="str">
        <f>_xlfn.XLOOKUP(FME_Ranking1[[#This Row],[FME ID]],FME_Input[FME_ID],FME_Input[EMER_NEED])</f>
        <v>No</v>
      </c>
      <c r="G1139">
        <f>IF(FME_Ranking!F1139="Yes",100,0)</f>
        <v>0</v>
      </c>
      <c r="H1139">
        <f>FME_Ranking1[[#This Row],[Emergency Need Score (Normalized, Unweighted)]]*$F$3</f>
        <v>0</v>
      </c>
      <c r="I1139" s="246">
        <f>_xlfn.XLOOKUP(FME_Ranking1[[#This Row],[FME ID]],FME_Input[FME_ID],FME_Input[STRUCT_100])</f>
        <v>40</v>
      </c>
      <c r="J1139" s="178">
        <f>(FME_Ranking1[[#This Row],[Structures 100 Raw]]/I$2)*100</f>
        <v>2.1419697553870538E-2</v>
      </c>
      <c r="K1139" s="178">
        <f>FME_Ranking1[[#This Row],[Structures 100  Score (Normalized, Unweighted)]]*$I$3</f>
        <v>3.2129546330805807E-3</v>
      </c>
      <c r="L1139" s="246">
        <f>_xlfn.XLOOKUP(FME_Ranking1[[#This Row],[FME ID]],FME_Input[FME_ID],FME_Input[RES_STRUCT100])</f>
        <v>28</v>
      </c>
      <c r="M1139" s="230">
        <f>(FME_Ranking1[[#This Row],[Res Structures Raw]]/L$2)*100</f>
        <v>1.9832556558201472E-2</v>
      </c>
      <c r="N1139" s="180">
        <f>FME_Ranking1[[#This Row],[Res Structures Score (Normalized, Unweighted)]]*$L$3</f>
        <v>1.9832556558201475E-3</v>
      </c>
      <c r="O1139" s="244">
        <f>_xlfn.XLOOKUP(FME_Ranking1[[#This Row],[FME ID]],FME_Input[FME_ID],FME_Input[POP100])</f>
        <v>298</v>
      </c>
      <c r="P1139" s="178">
        <f>(FME_Ranking1[[#This Row],[Pop Raw]]/$O$2)*100</f>
        <v>3.050784297265146E-2</v>
      </c>
      <c r="Q1139" s="178">
        <f>FME_Ranking1[[#This Row],[Pop Score (Normalized, Unweighted)]]*$O$3</f>
        <v>4.5761764458977184E-3</v>
      </c>
      <c r="R1139" s="137">
        <f>_xlfn.XLOOKUP(FME_Ranking1[[#This Row],[FME ID]],FME_Input[FME_ID],FME_Input[CRITFAC100])</f>
        <v>0</v>
      </c>
      <c r="S1139" s="230">
        <f>(FME_Ranking1[[#This Row],[Critical Facilities Raw]]/$R$2)*100</f>
        <v>0</v>
      </c>
      <c r="T1139" s="180">
        <f>FME_Ranking1[[#This Row],[Critical Facilities Score (Normalized, Unweighted)]]*$R$3</f>
        <v>0</v>
      </c>
      <c r="U1139">
        <f>_xlfn.XLOOKUP(FME_Ranking1[[#This Row],[FME ID]],FME_Input[FME_ID],FME_Input[LWC])</f>
        <v>5</v>
      </c>
      <c r="V1139" s="178">
        <f>(FME_Ranking1[[#This Row],[LWC Raw]]/$U$2)*100</f>
        <v>0.28785261945883706</v>
      </c>
      <c r="W1139" s="178">
        <f>FME_Ranking1[[#This Row],[LWC Score (Normalized, Unweighted)]]*$U$3</f>
        <v>5.7570523891767415E-2</v>
      </c>
      <c r="X1139" s="246">
        <f>_xlfn.XLOOKUP(FME_Ranking1[[#This Row],[FME ID]],FME_Input[FME_ID],FME_Input[ROADCLS])</f>
        <v>0</v>
      </c>
      <c r="Y1139" s="230">
        <f>(FME_Ranking1[[#This Row],[Closures Raw]]/$X$2)*100</f>
        <v>0</v>
      </c>
      <c r="Z1139" s="180">
        <f>FME_Ranking1[[#This Row],[Closures Score (Normalized, Unweighted)]]*$X$3</f>
        <v>0</v>
      </c>
      <c r="AA1139" s="253">
        <f>_xlfn.XLOOKUP(FME_Ranking1[[#This Row],[FME ID]],FME_Input[FME_ID],FME_Input[ROAD_MILES100])</f>
        <v>1.8675509691238401</v>
      </c>
      <c r="AB1139" s="178">
        <f>(FME_Ranking1[[#This Row],[Miles Raw]]/$AA$2)*100</f>
        <v>2.4554945634064389E-2</v>
      </c>
      <c r="AC1139" s="178">
        <f>FME_Ranking1[[#This Row],[Miles Score (Normalized, Unweighted)]]*$AA$3</f>
        <v>2.455494563406439E-3</v>
      </c>
      <c r="AD1139" s="255">
        <f>_xlfn.XLOOKUP(FME_Ranking1[[#This Row],[FME ID]],FME_Input[FME_ID],FME_Input[FARMACRE100])</f>
        <v>7.3648991584777832</v>
      </c>
      <c r="AE1139" s="230">
        <f>(FME_Ranking1[[#This Row],[Ag Land Raw]]/$AD$2)*100</f>
        <v>3.0369547229736846E-4</v>
      </c>
      <c r="AF1139" s="231">
        <f>FME_Ranking1[[#This Row],[Ag Land Score (Normalized, Unweighted)]]*$AD$3</f>
        <v>1.5184773614868423E-5</v>
      </c>
      <c r="AG113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6.9813589963587164E-2</v>
      </c>
      <c r="AH1139" s="406">
        <f t="shared" si="17"/>
        <v>1192</v>
      </c>
      <c r="AI113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6.9813589963587164E-2</v>
      </c>
      <c r="AJ1139" s="257">
        <f>FME_Ranking1[[#This Row],[Addition check]]-FME_Ranking1[[#This Row],[Weighted Score Based on Normalized Reported Factors]]</f>
        <v>0</v>
      </c>
      <c r="AK1139" s="178">
        <f>_xlfn.RANK.EQ(AI1139,$AI$6:$AI$2341,0)+COUNTIF($AI$6:AI1139,AI1139)-1</f>
        <v>1196</v>
      </c>
    </row>
    <row r="1140" spans="1:37" x14ac:dyDescent="0.25">
      <c r="A1140" t="s">
        <v>4396</v>
      </c>
      <c r="B1140">
        <f>_xlfn.XLOOKUP(FME_Ranking1[[#This Row],[FME ID]],FME_Input[FME_ID],FME_Input[RFPG_NUM])</f>
        <v>3</v>
      </c>
      <c r="C1140" t="str">
        <f>_xlfn.XLOOKUP(FME_Ranking1[[#This Row],[FME ID]],FME_Input[FME_ID],FME_Input[FME_NAME])</f>
        <v>Legend Drive Drainage Study Update</v>
      </c>
      <c r="D1140" t="str">
        <f>_xlfn.XLOOKUP(FME_Ranking1[[#This Row],[FME ID]],FME_Input[FME_ID],FME_Input[DESCR])</f>
        <v>Area 22</v>
      </c>
      <c r="E1140" s="256">
        <f>_xlfn.XLOOKUP(FME_Ranking1[[#This Row],[FME ID]],FME_Input[FME_ID],FME_Input[FME_COST])</f>
        <v>50000</v>
      </c>
      <c r="F1140" t="str">
        <f>_xlfn.XLOOKUP(FME_Ranking1[[#This Row],[FME ID]],FME_Input[FME_ID],FME_Input[EMER_NEED])</f>
        <v>No</v>
      </c>
      <c r="G1140">
        <f>IF(FME_Ranking!F1140="Yes",100,0)</f>
        <v>0</v>
      </c>
      <c r="H1140">
        <f>FME_Ranking1[[#This Row],[Emergency Need Score (Normalized, Unweighted)]]*$F$3</f>
        <v>0</v>
      </c>
      <c r="I1140" s="246">
        <f>_xlfn.XLOOKUP(FME_Ranking1[[#This Row],[FME ID]],FME_Input[FME_ID],FME_Input[STRUCT_100])</f>
        <v>40</v>
      </c>
      <c r="J1140" s="178">
        <f>(FME_Ranking1[[#This Row],[Structures 100 Raw]]/I$2)*100</f>
        <v>2.1419697553870538E-2</v>
      </c>
      <c r="K1140" s="178">
        <f>FME_Ranking1[[#This Row],[Structures 100  Score (Normalized, Unweighted)]]*$I$3</f>
        <v>3.2129546330805807E-3</v>
      </c>
      <c r="L1140" s="246">
        <f>_xlfn.XLOOKUP(FME_Ranking1[[#This Row],[FME ID]],FME_Input[FME_ID],FME_Input[RES_STRUCT100])</f>
        <v>28</v>
      </c>
      <c r="M1140" s="230">
        <f>(FME_Ranking1[[#This Row],[Res Structures Raw]]/L$2)*100</f>
        <v>1.9832556558201472E-2</v>
      </c>
      <c r="N1140" s="180">
        <f>FME_Ranking1[[#This Row],[Res Structures Score (Normalized, Unweighted)]]*$L$3</f>
        <v>1.9832556558201475E-3</v>
      </c>
      <c r="O1140" s="244">
        <f>_xlfn.XLOOKUP(FME_Ranking1[[#This Row],[FME ID]],FME_Input[FME_ID],FME_Input[POP100])</f>
        <v>298</v>
      </c>
      <c r="P1140" s="178">
        <f>(FME_Ranking1[[#This Row],[Pop Raw]]/$O$2)*100</f>
        <v>3.050784297265146E-2</v>
      </c>
      <c r="Q1140" s="178">
        <f>FME_Ranking1[[#This Row],[Pop Score (Normalized, Unweighted)]]*$O$3</f>
        <v>4.5761764458977184E-3</v>
      </c>
      <c r="R1140" s="137">
        <f>_xlfn.XLOOKUP(FME_Ranking1[[#This Row],[FME ID]],FME_Input[FME_ID],FME_Input[CRITFAC100])</f>
        <v>0</v>
      </c>
      <c r="S1140" s="230">
        <f>(FME_Ranking1[[#This Row],[Critical Facilities Raw]]/$R$2)*100</f>
        <v>0</v>
      </c>
      <c r="T1140" s="180">
        <f>FME_Ranking1[[#This Row],[Critical Facilities Score (Normalized, Unweighted)]]*$R$3</f>
        <v>0</v>
      </c>
      <c r="U1140">
        <f>_xlfn.XLOOKUP(FME_Ranking1[[#This Row],[FME ID]],FME_Input[FME_ID],FME_Input[LWC])</f>
        <v>5</v>
      </c>
      <c r="V1140" s="178">
        <f>(FME_Ranking1[[#This Row],[LWC Raw]]/$U$2)*100</f>
        <v>0.28785261945883706</v>
      </c>
      <c r="W1140" s="178">
        <f>FME_Ranking1[[#This Row],[LWC Score (Normalized, Unweighted)]]*$U$3</f>
        <v>5.7570523891767415E-2</v>
      </c>
      <c r="X1140" s="246">
        <f>_xlfn.XLOOKUP(FME_Ranking1[[#This Row],[FME ID]],FME_Input[FME_ID],FME_Input[ROADCLS])</f>
        <v>0</v>
      </c>
      <c r="Y1140" s="230">
        <f>(FME_Ranking1[[#This Row],[Closures Raw]]/$X$2)*100</f>
        <v>0</v>
      </c>
      <c r="Z1140" s="180">
        <f>FME_Ranking1[[#This Row],[Closures Score (Normalized, Unweighted)]]*$X$3</f>
        <v>0</v>
      </c>
      <c r="AA1140" s="253">
        <f>_xlfn.XLOOKUP(FME_Ranking1[[#This Row],[FME ID]],FME_Input[FME_ID],FME_Input[ROAD_MILES100])</f>
        <v>1.8675509691238401</v>
      </c>
      <c r="AB1140" s="178">
        <f>(FME_Ranking1[[#This Row],[Miles Raw]]/$AA$2)*100</f>
        <v>2.4554945634064389E-2</v>
      </c>
      <c r="AC1140" s="178">
        <f>FME_Ranking1[[#This Row],[Miles Score (Normalized, Unweighted)]]*$AA$3</f>
        <v>2.455494563406439E-3</v>
      </c>
      <c r="AD1140" s="255">
        <f>_xlfn.XLOOKUP(FME_Ranking1[[#This Row],[FME ID]],FME_Input[FME_ID],FME_Input[FARMACRE100])</f>
        <v>7.3648991584777832</v>
      </c>
      <c r="AE1140" s="230">
        <f>(FME_Ranking1[[#This Row],[Ag Land Raw]]/$AD$2)*100</f>
        <v>3.0369547229736846E-4</v>
      </c>
      <c r="AF1140" s="231">
        <f>FME_Ranking1[[#This Row],[Ag Land Score (Normalized, Unweighted)]]*$AD$3</f>
        <v>1.5184773614868423E-5</v>
      </c>
      <c r="AG114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6.9813589963587164E-2</v>
      </c>
      <c r="AH1140" s="406">
        <f t="shared" si="17"/>
        <v>1192</v>
      </c>
      <c r="AI114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6.9813589963587164E-2</v>
      </c>
      <c r="AJ1140" s="257">
        <f>FME_Ranking1[[#This Row],[Addition check]]-FME_Ranking1[[#This Row],[Weighted Score Based on Normalized Reported Factors]]</f>
        <v>0</v>
      </c>
      <c r="AK1140" s="178">
        <f>_xlfn.RANK.EQ(AI1140,$AI$6:$AI$2341,0)+COUNTIF($AI$6:AI1140,AI1140)-1</f>
        <v>1197</v>
      </c>
    </row>
    <row r="1141" spans="1:37" x14ac:dyDescent="0.25">
      <c r="A1141" t="s">
        <v>5077</v>
      </c>
      <c r="B1141">
        <f>_xlfn.XLOOKUP(FME_Ranking1[[#This Row],[FME ID]],FME_Input[FME_ID],FME_Input[RFPG_NUM])</f>
        <v>3</v>
      </c>
      <c r="C1141" t="str">
        <f>_xlfn.XLOOKUP(FME_Ranking1[[#This Row],[FME ID]],FME_Input[FME_ID],FME_Input[FME_NAME])</f>
        <v>Freeman Heights Drainage Improvements</v>
      </c>
      <c r="D1141" t="str">
        <f>_xlfn.XLOOKUP(FME_Ranking1[[#This Row],[FME ID]],FME_Input[FME_ID],FME_Input[DESCR])</f>
        <v>Implement results from the Garland-Freeman Height Drainage Study. This study identified improvement projects for the storm sewer.</v>
      </c>
      <c r="E1141" s="256">
        <f>_xlfn.XLOOKUP(FME_Ranking1[[#This Row],[FME ID]],FME_Input[FME_ID],FME_Input[FME_COST])</f>
        <v>150000</v>
      </c>
      <c r="F1141" t="str">
        <f>_xlfn.XLOOKUP(FME_Ranking1[[#This Row],[FME ID]],FME_Input[FME_ID],FME_Input[EMER_NEED])</f>
        <v>No</v>
      </c>
      <c r="G1141">
        <f>IF(FME_Ranking!F1141="Yes",100,0)</f>
        <v>0</v>
      </c>
      <c r="H1141">
        <f>FME_Ranking1[[#This Row],[Emergency Need Score (Normalized, Unweighted)]]*$F$3</f>
        <v>0</v>
      </c>
      <c r="I1141" s="246">
        <f>_xlfn.XLOOKUP(FME_Ranking1[[#This Row],[FME ID]],FME_Input[FME_ID],FME_Input[STRUCT_100])</f>
        <v>40</v>
      </c>
      <c r="J1141" s="178">
        <f>(FME_Ranking1[[#This Row],[Structures 100 Raw]]/I$2)*100</f>
        <v>2.1419697553870538E-2</v>
      </c>
      <c r="K1141" s="178">
        <f>FME_Ranking1[[#This Row],[Structures 100  Score (Normalized, Unweighted)]]*$I$3</f>
        <v>3.2129546330805807E-3</v>
      </c>
      <c r="L1141" s="246">
        <f>_xlfn.XLOOKUP(FME_Ranking1[[#This Row],[FME ID]],FME_Input[FME_ID],FME_Input[RES_STRUCT100])</f>
        <v>28</v>
      </c>
      <c r="M1141" s="230">
        <f>(FME_Ranking1[[#This Row],[Res Structures Raw]]/L$2)*100</f>
        <v>1.9832556558201472E-2</v>
      </c>
      <c r="N1141" s="180">
        <f>FME_Ranking1[[#This Row],[Res Structures Score (Normalized, Unweighted)]]*$L$3</f>
        <v>1.9832556558201475E-3</v>
      </c>
      <c r="O1141" s="244">
        <f>_xlfn.XLOOKUP(FME_Ranking1[[#This Row],[FME ID]],FME_Input[FME_ID],FME_Input[POP100])</f>
        <v>298</v>
      </c>
      <c r="P1141" s="178">
        <f>(FME_Ranking1[[#This Row],[Pop Raw]]/$O$2)*100</f>
        <v>3.050784297265146E-2</v>
      </c>
      <c r="Q1141" s="178">
        <f>FME_Ranking1[[#This Row],[Pop Score (Normalized, Unweighted)]]*$O$3</f>
        <v>4.5761764458977184E-3</v>
      </c>
      <c r="R1141" s="137">
        <f>_xlfn.XLOOKUP(FME_Ranking1[[#This Row],[FME ID]],FME_Input[FME_ID],FME_Input[CRITFAC100])</f>
        <v>0</v>
      </c>
      <c r="S1141" s="230">
        <f>(FME_Ranking1[[#This Row],[Critical Facilities Raw]]/$R$2)*100</f>
        <v>0</v>
      </c>
      <c r="T1141" s="180">
        <f>FME_Ranking1[[#This Row],[Critical Facilities Score (Normalized, Unweighted)]]*$R$3</f>
        <v>0</v>
      </c>
      <c r="U1141">
        <f>_xlfn.XLOOKUP(FME_Ranking1[[#This Row],[FME ID]],FME_Input[FME_ID],FME_Input[LWC])</f>
        <v>5</v>
      </c>
      <c r="V1141" s="178">
        <f>(FME_Ranking1[[#This Row],[LWC Raw]]/$U$2)*100</f>
        <v>0.28785261945883706</v>
      </c>
      <c r="W1141" s="178">
        <f>FME_Ranking1[[#This Row],[LWC Score (Normalized, Unweighted)]]*$U$3</f>
        <v>5.7570523891767415E-2</v>
      </c>
      <c r="X1141" s="246">
        <f>_xlfn.XLOOKUP(FME_Ranking1[[#This Row],[FME ID]],FME_Input[FME_ID],FME_Input[ROADCLS])</f>
        <v>0</v>
      </c>
      <c r="Y1141" s="230">
        <f>(FME_Ranking1[[#This Row],[Closures Raw]]/$X$2)*100</f>
        <v>0</v>
      </c>
      <c r="Z1141" s="180">
        <f>FME_Ranking1[[#This Row],[Closures Score (Normalized, Unweighted)]]*$X$3</f>
        <v>0</v>
      </c>
      <c r="AA1141" s="253">
        <f>_xlfn.XLOOKUP(FME_Ranking1[[#This Row],[FME ID]],FME_Input[FME_ID],FME_Input[ROAD_MILES100])</f>
        <v>1.8675509691238401</v>
      </c>
      <c r="AB1141" s="178">
        <f>(FME_Ranking1[[#This Row],[Miles Raw]]/$AA$2)*100</f>
        <v>2.4554945634064389E-2</v>
      </c>
      <c r="AC1141" s="178">
        <f>FME_Ranking1[[#This Row],[Miles Score (Normalized, Unweighted)]]*$AA$3</f>
        <v>2.455494563406439E-3</v>
      </c>
      <c r="AD1141" s="255">
        <f>_xlfn.XLOOKUP(FME_Ranking1[[#This Row],[FME ID]],FME_Input[FME_ID],FME_Input[FARMACRE100])</f>
        <v>7.3648991584777832</v>
      </c>
      <c r="AE1141" s="230">
        <f>(FME_Ranking1[[#This Row],[Ag Land Raw]]/$AD$2)*100</f>
        <v>3.0369547229736846E-4</v>
      </c>
      <c r="AF1141" s="231">
        <f>FME_Ranking1[[#This Row],[Ag Land Score (Normalized, Unweighted)]]*$AD$3</f>
        <v>1.5184773614868423E-5</v>
      </c>
      <c r="AG114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6.9813589963587164E-2</v>
      </c>
      <c r="AH1141" s="406">
        <f t="shared" si="17"/>
        <v>1192</v>
      </c>
      <c r="AI114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6.9813589963587164E-2</v>
      </c>
      <c r="AJ1141" s="257">
        <f>FME_Ranking1[[#This Row],[Addition check]]-FME_Ranking1[[#This Row],[Weighted Score Based on Normalized Reported Factors]]</f>
        <v>0</v>
      </c>
      <c r="AK1141" s="178">
        <f>_xlfn.RANK.EQ(AI1141,$AI$6:$AI$2341,0)+COUNTIF($AI$6:AI1141,AI1141)-1</f>
        <v>1198</v>
      </c>
    </row>
    <row r="1142" spans="1:37" x14ac:dyDescent="0.25">
      <c r="A1142" t="s">
        <v>8200</v>
      </c>
      <c r="B1142">
        <f>_xlfn.XLOOKUP(FME_Ranking1[[#This Row],[FME ID]],FME_Input[FME_ID],FME_Input[RFPG_NUM])</f>
        <v>9</v>
      </c>
      <c r="C1142" t="str">
        <f>_xlfn.XLOOKUP(FME_Ranking1[[#This Row],[FME ID]],FME_Input[FME_ID],FME_Input[FME_NAME])</f>
        <v>Glasscock County FEMA Mapping</v>
      </c>
      <c r="D1142" t="str">
        <f>_xlfn.XLOOKUP(FME_Ranking1[[#This Row],[FME ID]],FME_Input[FME_ID],FME_Input[DESCR])</f>
        <v>Create FEMA Mapping in previously unmapped areas</v>
      </c>
      <c r="E1142" s="256">
        <f>_xlfn.XLOOKUP(FME_Ranking1[[#This Row],[FME ID]],FME_Input[FME_ID],FME_Input[FME_COST])</f>
        <v>845000</v>
      </c>
      <c r="F1142" t="str">
        <f>_xlfn.XLOOKUP(FME_Ranking1[[#This Row],[FME ID]],FME_Input[FME_ID],FME_Input[EMER_NEED])</f>
        <v>No</v>
      </c>
      <c r="G1142">
        <f>IF(FME_Ranking!F1142="Yes",100,0)</f>
        <v>0</v>
      </c>
      <c r="H1142">
        <f>FME_Ranking1[[#This Row],[Emergency Need Score (Normalized, Unweighted)]]*$F$3</f>
        <v>0</v>
      </c>
      <c r="I1142" s="246">
        <f>_xlfn.XLOOKUP(FME_Ranking1[[#This Row],[FME ID]],FME_Input[FME_ID],FME_Input[STRUCT_100])</f>
        <v>141</v>
      </c>
      <c r="J1142" s="178">
        <f>(FME_Ranking1[[#This Row],[Structures 100 Raw]]/I$2)*100</f>
        <v>7.5504433877393654E-2</v>
      </c>
      <c r="K1142" s="178">
        <f>FME_Ranking1[[#This Row],[Structures 100  Score (Normalized, Unweighted)]]*$I$3</f>
        <v>1.1325665081609048E-2</v>
      </c>
      <c r="L1142" s="246">
        <f>_xlfn.XLOOKUP(FME_Ranking1[[#This Row],[FME ID]],FME_Input[FME_ID],FME_Input[RES_STRUCT100])</f>
        <v>3</v>
      </c>
      <c r="M1142" s="230">
        <f>(FME_Ranking1[[#This Row],[Res Structures Raw]]/L$2)*100</f>
        <v>2.1249167740930146E-3</v>
      </c>
      <c r="N1142" s="180">
        <f>FME_Ranking1[[#This Row],[Res Structures Score (Normalized, Unweighted)]]*$L$3</f>
        <v>2.1249167740930149E-4</v>
      </c>
      <c r="O1142" s="244">
        <f>_xlfn.XLOOKUP(FME_Ranking1[[#This Row],[FME ID]],FME_Input[FME_ID],FME_Input[POP100])</f>
        <v>74</v>
      </c>
      <c r="P1142" s="178">
        <f>(FME_Ranking1[[#This Row],[Pop Raw]]/$O$2)*100</f>
        <v>7.5757730871684826E-3</v>
      </c>
      <c r="Q1142" s="178">
        <f>FME_Ranking1[[#This Row],[Pop Score (Normalized, Unweighted)]]*$O$3</f>
        <v>1.1363659630752724E-3</v>
      </c>
      <c r="R1142" s="137">
        <f>_xlfn.XLOOKUP(FME_Ranking1[[#This Row],[FME ID]],FME_Input[FME_ID],FME_Input[CRITFAC100])</f>
        <v>0</v>
      </c>
      <c r="S1142" s="230">
        <f>(FME_Ranking1[[#This Row],[Critical Facilities Raw]]/$R$2)*100</f>
        <v>0</v>
      </c>
      <c r="T1142" s="180">
        <f>FME_Ranking1[[#This Row],[Critical Facilities Score (Normalized, Unweighted)]]*$R$3</f>
        <v>0</v>
      </c>
      <c r="U1142">
        <f>_xlfn.XLOOKUP(FME_Ranking1[[#This Row],[FME ID]],FME_Input[FME_ID],FME_Input[LWC])</f>
        <v>0</v>
      </c>
      <c r="V1142" s="178">
        <f>(FME_Ranking1[[#This Row],[LWC Raw]]/$U$2)*100</f>
        <v>0</v>
      </c>
      <c r="W1142" s="178">
        <f>FME_Ranking1[[#This Row],[LWC Score (Normalized, Unweighted)]]*$U$3</f>
        <v>0</v>
      </c>
      <c r="X1142" s="246">
        <f>_xlfn.XLOOKUP(FME_Ranking1[[#This Row],[FME ID]],FME_Input[FME_ID],FME_Input[ROADCLS])</f>
        <v>0</v>
      </c>
      <c r="Y1142" s="230">
        <f>(FME_Ranking1[[#This Row],[Closures Raw]]/$X$2)*100</f>
        <v>0</v>
      </c>
      <c r="Z1142" s="180">
        <f>FME_Ranking1[[#This Row],[Closures Score (Normalized, Unweighted)]]*$X$3</f>
        <v>0</v>
      </c>
      <c r="AA1142" s="253">
        <f>_xlfn.XLOOKUP(FME_Ranking1[[#This Row],[FME ID]],FME_Input[FME_ID],FME_Input[ROAD_MILES100])</f>
        <v>33.758129119873047</v>
      </c>
      <c r="AB1142" s="178">
        <f>(FME_Ranking1[[#This Row],[Miles Raw]]/$AA$2)*100</f>
        <v>0.44385884987926183</v>
      </c>
      <c r="AC1142" s="178">
        <f>FME_Ranking1[[#This Row],[Miles Score (Normalized, Unweighted)]]*$AA$3</f>
        <v>4.4385884987926186E-2</v>
      </c>
      <c r="AD1142" s="255">
        <f>_xlfn.XLOOKUP(FME_Ranking1[[#This Row],[FME ID]],FME_Input[FME_ID],FME_Input[FARMACRE100])</f>
        <v>26320.958984375</v>
      </c>
      <c r="AE1142" s="230">
        <f>(FME_Ranking1[[#This Row],[Ag Land Raw]]/$AD$2)*100</f>
        <v>1.0853585226456217</v>
      </c>
      <c r="AF1142" s="231">
        <f>FME_Ranking1[[#This Row],[Ag Land Score (Normalized, Unweighted)]]*$AD$3</f>
        <v>5.426792613228109E-2</v>
      </c>
      <c r="AG114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0.1113283338423009</v>
      </c>
      <c r="AH1142" s="406">
        <f t="shared" si="17"/>
        <v>1014</v>
      </c>
      <c r="AI114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0.1113283338423009</v>
      </c>
      <c r="AJ1142" s="257">
        <f>FME_Ranking1[[#This Row],[Addition check]]-FME_Ranking1[[#This Row],[Weighted Score Based on Normalized Reported Factors]]</f>
        <v>0</v>
      </c>
      <c r="AK1142" s="178">
        <f>_xlfn.RANK.EQ(AI1142,$AI$6:$AI$2341,0)+COUNTIF($AI$6:AI1142,AI1142)-1</f>
        <v>1014</v>
      </c>
    </row>
    <row r="1143" spans="1:37" x14ac:dyDescent="0.25">
      <c r="A1143" t="s">
        <v>8283</v>
      </c>
      <c r="B1143">
        <f>_xlfn.XLOOKUP(FME_Ranking1[[#This Row],[FME ID]],FME_Input[FME_ID],FME_Input[RFPG_NUM])</f>
        <v>9</v>
      </c>
      <c r="C1143" t="str">
        <f>_xlfn.XLOOKUP(FME_Ranking1[[#This Row],[FME ID]],FME_Input[FME_ID],FME_Input[FME_NAME])</f>
        <v>Glasscock County DMP</v>
      </c>
      <c r="D1143" t="str">
        <f>_xlfn.XLOOKUP(FME_Ranking1[[#This Row],[FME ID]],FME_Input[FME_ID],FME_Input[DESCR])</f>
        <v xml:space="preserve">Create Drainage Master Plan, including evaluation of potential mitigation projects. </v>
      </c>
      <c r="E1143" s="256">
        <f>_xlfn.XLOOKUP(FME_Ranking1[[#This Row],[FME ID]],FME_Input[FME_ID],FME_Input[FME_COST])</f>
        <v>500000</v>
      </c>
      <c r="F1143" t="str">
        <f>_xlfn.XLOOKUP(FME_Ranking1[[#This Row],[FME ID]],FME_Input[FME_ID],FME_Input[EMER_NEED])</f>
        <v>No</v>
      </c>
      <c r="G1143">
        <f>IF(FME_Ranking!F1143="Yes",100,0)</f>
        <v>0</v>
      </c>
      <c r="H1143">
        <f>FME_Ranking1[[#This Row],[Emergency Need Score (Normalized, Unweighted)]]*$F$3</f>
        <v>0</v>
      </c>
      <c r="I1143" s="246">
        <f>_xlfn.XLOOKUP(FME_Ranking1[[#This Row],[FME ID]],FME_Input[FME_ID],FME_Input[STRUCT_100])</f>
        <v>141</v>
      </c>
      <c r="J1143" s="178">
        <f>(FME_Ranking1[[#This Row],[Structures 100 Raw]]/I$2)*100</f>
        <v>7.5504433877393654E-2</v>
      </c>
      <c r="K1143" s="178">
        <f>FME_Ranking1[[#This Row],[Structures 100  Score (Normalized, Unweighted)]]*$I$3</f>
        <v>1.1325665081609048E-2</v>
      </c>
      <c r="L1143" s="246">
        <f>_xlfn.XLOOKUP(FME_Ranking1[[#This Row],[FME ID]],FME_Input[FME_ID],FME_Input[RES_STRUCT100])</f>
        <v>3</v>
      </c>
      <c r="M1143" s="230">
        <f>(FME_Ranking1[[#This Row],[Res Structures Raw]]/L$2)*100</f>
        <v>2.1249167740930146E-3</v>
      </c>
      <c r="N1143" s="180">
        <f>FME_Ranking1[[#This Row],[Res Structures Score (Normalized, Unweighted)]]*$L$3</f>
        <v>2.1249167740930149E-4</v>
      </c>
      <c r="O1143" s="244">
        <f>_xlfn.XLOOKUP(FME_Ranking1[[#This Row],[FME ID]],FME_Input[FME_ID],FME_Input[POP100])</f>
        <v>74</v>
      </c>
      <c r="P1143" s="178">
        <f>(FME_Ranking1[[#This Row],[Pop Raw]]/$O$2)*100</f>
        <v>7.5757730871684826E-3</v>
      </c>
      <c r="Q1143" s="178">
        <f>FME_Ranking1[[#This Row],[Pop Score (Normalized, Unweighted)]]*$O$3</f>
        <v>1.1363659630752724E-3</v>
      </c>
      <c r="R1143" s="137">
        <f>_xlfn.XLOOKUP(FME_Ranking1[[#This Row],[FME ID]],FME_Input[FME_ID],FME_Input[CRITFAC100])</f>
        <v>0</v>
      </c>
      <c r="S1143" s="230">
        <f>(FME_Ranking1[[#This Row],[Critical Facilities Raw]]/$R$2)*100</f>
        <v>0</v>
      </c>
      <c r="T1143" s="180">
        <f>FME_Ranking1[[#This Row],[Critical Facilities Score (Normalized, Unweighted)]]*$R$3</f>
        <v>0</v>
      </c>
      <c r="U1143">
        <f>_xlfn.XLOOKUP(FME_Ranking1[[#This Row],[FME ID]],FME_Input[FME_ID],FME_Input[LWC])</f>
        <v>0</v>
      </c>
      <c r="V1143" s="178">
        <f>(FME_Ranking1[[#This Row],[LWC Raw]]/$U$2)*100</f>
        <v>0</v>
      </c>
      <c r="W1143" s="178">
        <f>FME_Ranking1[[#This Row],[LWC Score (Normalized, Unweighted)]]*$U$3</f>
        <v>0</v>
      </c>
      <c r="X1143" s="246">
        <f>_xlfn.XLOOKUP(FME_Ranking1[[#This Row],[FME ID]],FME_Input[FME_ID],FME_Input[ROADCLS])</f>
        <v>0</v>
      </c>
      <c r="Y1143" s="230">
        <f>(FME_Ranking1[[#This Row],[Closures Raw]]/$X$2)*100</f>
        <v>0</v>
      </c>
      <c r="Z1143" s="180">
        <f>FME_Ranking1[[#This Row],[Closures Score (Normalized, Unweighted)]]*$X$3</f>
        <v>0</v>
      </c>
      <c r="AA1143" s="253">
        <f>_xlfn.XLOOKUP(FME_Ranking1[[#This Row],[FME ID]],FME_Input[FME_ID],FME_Input[ROAD_MILES100])</f>
        <v>33.758129119873047</v>
      </c>
      <c r="AB1143" s="178">
        <f>(FME_Ranking1[[#This Row],[Miles Raw]]/$AA$2)*100</f>
        <v>0.44385884987926183</v>
      </c>
      <c r="AC1143" s="178">
        <f>FME_Ranking1[[#This Row],[Miles Score (Normalized, Unweighted)]]*$AA$3</f>
        <v>4.4385884987926186E-2</v>
      </c>
      <c r="AD1143" s="255">
        <f>_xlfn.XLOOKUP(FME_Ranking1[[#This Row],[FME ID]],FME_Input[FME_ID],FME_Input[FARMACRE100])</f>
        <v>26320.958984375</v>
      </c>
      <c r="AE1143" s="230">
        <f>(FME_Ranking1[[#This Row],[Ag Land Raw]]/$AD$2)*100</f>
        <v>1.0853585226456217</v>
      </c>
      <c r="AF1143" s="231">
        <f>FME_Ranking1[[#This Row],[Ag Land Score (Normalized, Unweighted)]]*$AD$3</f>
        <v>5.426792613228109E-2</v>
      </c>
      <c r="AG114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0.1113283338423009</v>
      </c>
      <c r="AH1143" s="406">
        <f t="shared" si="17"/>
        <v>1014</v>
      </c>
      <c r="AI114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0.1113283338423009</v>
      </c>
      <c r="AJ1143" s="257">
        <f>FME_Ranking1[[#This Row],[Addition check]]-FME_Ranking1[[#This Row],[Weighted Score Based on Normalized Reported Factors]]</f>
        <v>0</v>
      </c>
      <c r="AK1143" s="178">
        <f>_xlfn.RANK.EQ(AI1143,$AI$6:$AI$2341,0)+COUNTIF($AI$6:AI1143,AI1143)-1</f>
        <v>1015</v>
      </c>
    </row>
    <row r="1144" spans="1:37" x14ac:dyDescent="0.25">
      <c r="A1144" t="s">
        <v>8288</v>
      </c>
      <c r="B1144">
        <f>_xlfn.XLOOKUP(FME_Ranking1[[#This Row],[FME ID]],FME_Input[FME_ID],FME_Input[RFPG_NUM])</f>
        <v>9</v>
      </c>
      <c r="C1144" t="str">
        <f>_xlfn.XLOOKUP(FME_Ranking1[[#This Row],[FME ID]],FME_Input[FME_ID],FME_Input[FME_NAME])</f>
        <v>Glasscock County GIS Development</v>
      </c>
      <c r="D1144" t="str">
        <f>_xlfn.XLOOKUP(FME_Ranking1[[#This Row],[FME ID]],FME_Input[FME_ID],FME_Input[DESCR])</f>
        <v>Develop a GIS inventory of stormwater infrastructure</v>
      </c>
      <c r="E1144" s="256">
        <f>_xlfn.XLOOKUP(FME_Ranking1[[#This Row],[FME ID]],FME_Input[FME_ID],FME_Input[FME_COST])</f>
        <v>100000</v>
      </c>
      <c r="F1144" t="str">
        <f>_xlfn.XLOOKUP(FME_Ranking1[[#This Row],[FME ID]],FME_Input[FME_ID],FME_Input[EMER_NEED])</f>
        <v>No</v>
      </c>
      <c r="G1144">
        <f>IF(FME_Ranking!F1144="Yes",100,0)</f>
        <v>0</v>
      </c>
      <c r="H1144">
        <f>FME_Ranking1[[#This Row],[Emergency Need Score (Normalized, Unweighted)]]*$F$3</f>
        <v>0</v>
      </c>
      <c r="I1144" s="246">
        <f>_xlfn.XLOOKUP(FME_Ranking1[[#This Row],[FME ID]],FME_Input[FME_ID],FME_Input[STRUCT_100])</f>
        <v>141</v>
      </c>
      <c r="J1144" s="178">
        <f>(FME_Ranking1[[#This Row],[Structures 100 Raw]]/I$2)*100</f>
        <v>7.5504433877393654E-2</v>
      </c>
      <c r="K1144" s="178">
        <f>FME_Ranking1[[#This Row],[Structures 100  Score (Normalized, Unweighted)]]*$I$3</f>
        <v>1.1325665081609048E-2</v>
      </c>
      <c r="L1144" s="246">
        <f>_xlfn.XLOOKUP(FME_Ranking1[[#This Row],[FME ID]],FME_Input[FME_ID],FME_Input[RES_STRUCT100])</f>
        <v>3</v>
      </c>
      <c r="M1144" s="230">
        <f>(FME_Ranking1[[#This Row],[Res Structures Raw]]/L$2)*100</f>
        <v>2.1249167740930146E-3</v>
      </c>
      <c r="N1144" s="180">
        <f>FME_Ranking1[[#This Row],[Res Structures Score (Normalized, Unweighted)]]*$L$3</f>
        <v>2.1249167740930149E-4</v>
      </c>
      <c r="O1144" s="244">
        <f>_xlfn.XLOOKUP(FME_Ranking1[[#This Row],[FME ID]],FME_Input[FME_ID],FME_Input[POP100])</f>
        <v>74</v>
      </c>
      <c r="P1144" s="178">
        <f>(FME_Ranking1[[#This Row],[Pop Raw]]/$O$2)*100</f>
        <v>7.5757730871684826E-3</v>
      </c>
      <c r="Q1144" s="178">
        <f>FME_Ranking1[[#This Row],[Pop Score (Normalized, Unweighted)]]*$O$3</f>
        <v>1.1363659630752724E-3</v>
      </c>
      <c r="R1144" s="137">
        <f>_xlfn.XLOOKUP(FME_Ranking1[[#This Row],[FME ID]],FME_Input[FME_ID],FME_Input[CRITFAC100])</f>
        <v>0</v>
      </c>
      <c r="S1144" s="230">
        <f>(FME_Ranking1[[#This Row],[Critical Facilities Raw]]/$R$2)*100</f>
        <v>0</v>
      </c>
      <c r="T1144" s="180">
        <f>FME_Ranking1[[#This Row],[Critical Facilities Score (Normalized, Unweighted)]]*$R$3</f>
        <v>0</v>
      </c>
      <c r="U1144">
        <f>_xlfn.XLOOKUP(FME_Ranking1[[#This Row],[FME ID]],FME_Input[FME_ID],FME_Input[LWC])</f>
        <v>0</v>
      </c>
      <c r="V1144" s="178">
        <f>(FME_Ranking1[[#This Row],[LWC Raw]]/$U$2)*100</f>
        <v>0</v>
      </c>
      <c r="W1144" s="178">
        <f>FME_Ranking1[[#This Row],[LWC Score (Normalized, Unweighted)]]*$U$3</f>
        <v>0</v>
      </c>
      <c r="X1144" s="246">
        <f>_xlfn.XLOOKUP(FME_Ranking1[[#This Row],[FME ID]],FME_Input[FME_ID],FME_Input[ROADCLS])</f>
        <v>0</v>
      </c>
      <c r="Y1144" s="230">
        <f>(FME_Ranking1[[#This Row],[Closures Raw]]/$X$2)*100</f>
        <v>0</v>
      </c>
      <c r="Z1144" s="180">
        <f>FME_Ranking1[[#This Row],[Closures Score (Normalized, Unweighted)]]*$X$3</f>
        <v>0</v>
      </c>
      <c r="AA1144" s="253">
        <f>_xlfn.XLOOKUP(FME_Ranking1[[#This Row],[FME ID]],FME_Input[FME_ID],FME_Input[ROAD_MILES100])</f>
        <v>33.758129119873047</v>
      </c>
      <c r="AB1144" s="178">
        <f>(FME_Ranking1[[#This Row],[Miles Raw]]/$AA$2)*100</f>
        <v>0.44385884987926183</v>
      </c>
      <c r="AC1144" s="178">
        <f>FME_Ranking1[[#This Row],[Miles Score (Normalized, Unweighted)]]*$AA$3</f>
        <v>4.4385884987926186E-2</v>
      </c>
      <c r="AD1144" s="255">
        <f>_xlfn.XLOOKUP(FME_Ranking1[[#This Row],[FME ID]],FME_Input[FME_ID],FME_Input[FARMACRE100])</f>
        <v>26320.958984375</v>
      </c>
      <c r="AE1144" s="230">
        <f>(FME_Ranking1[[#This Row],[Ag Land Raw]]/$AD$2)*100</f>
        <v>1.0853585226456217</v>
      </c>
      <c r="AF1144" s="231">
        <f>FME_Ranking1[[#This Row],[Ag Land Score (Normalized, Unweighted)]]*$AD$3</f>
        <v>5.426792613228109E-2</v>
      </c>
      <c r="AG114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0.1113283338423009</v>
      </c>
      <c r="AH1144" s="406">
        <f t="shared" si="17"/>
        <v>1014</v>
      </c>
      <c r="AI114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0.1113283338423009</v>
      </c>
      <c r="AJ1144" s="257">
        <f>FME_Ranking1[[#This Row],[Addition check]]-FME_Ranking1[[#This Row],[Weighted Score Based on Normalized Reported Factors]]</f>
        <v>0</v>
      </c>
      <c r="AK1144" s="178">
        <f>_xlfn.RANK.EQ(AI1144,$AI$6:$AI$2341,0)+COUNTIF($AI$6:AI1144,AI1144)-1</f>
        <v>1016</v>
      </c>
    </row>
    <row r="1145" spans="1:37" x14ac:dyDescent="0.25">
      <c r="A1145" t="s">
        <v>10157</v>
      </c>
      <c r="B1145">
        <f>_xlfn.XLOOKUP(FME_Ranking1[[#This Row],[FME ID]],FME_Input[FME_ID],FME_Input[RFPG_NUM])</f>
        <v>13</v>
      </c>
      <c r="C1145" t="str">
        <f>_xlfn.XLOOKUP(FME_Ranking1[[#This Row],[FME ID]],FME_Input[FME_ID],FME_Input[FME_NAME])</f>
        <v xml:space="preserve">Northern San Diego Street Conveyance Improvement </v>
      </c>
      <c r="D1145" t="str">
        <f>_xlfn.XLOOKUP(FME_Ranking1[[#This Row],[FME ID]],FME_Input[FME_ID],FME_Input[DESCR])</f>
        <v>Improvements to street overland drainage system _x000D_
- Curb and gutter replacement_x000D_
- Improve conveyance by road paving and regrading  of prioritized streets "</v>
      </c>
      <c r="E1145" s="256">
        <f>_xlfn.XLOOKUP(FME_Ranking1[[#This Row],[FME ID]],FME_Input[FME_ID],FME_Input[FME_COST])</f>
        <v>250000</v>
      </c>
      <c r="F1145" t="str">
        <f>_xlfn.XLOOKUP(FME_Ranking1[[#This Row],[FME ID]],FME_Input[FME_ID],FME_Input[EMER_NEED])</f>
        <v>Yes</v>
      </c>
      <c r="G1145">
        <f>IF(FME_Ranking!F1145="Yes",100,0)</f>
        <v>100</v>
      </c>
      <c r="H1145">
        <f>FME_Ranking1[[#This Row],[Emergency Need Score (Normalized, Unweighted)]]*$F$3</f>
        <v>0</v>
      </c>
      <c r="I1145" s="246">
        <f>_xlfn.XLOOKUP(FME_Ranking1[[#This Row],[FME ID]],FME_Input[FME_ID],FME_Input[STRUCT_100])</f>
        <v>210</v>
      </c>
      <c r="J1145" s="178">
        <f>(FME_Ranking1[[#This Row],[Structures 100 Raw]]/I$2)*100</f>
        <v>0.11245341215782034</v>
      </c>
      <c r="K1145" s="178">
        <f>FME_Ranking1[[#This Row],[Structures 100  Score (Normalized, Unweighted)]]*$I$3</f>
        <v>1.6868011823673052E-2</v>
      </c>
      <c r="L1145" s="246">
        <f>_xlfn.XLOOKUP(FME_Ranking1[[#This Row],[FME ID]],FME_Input[FME_ID],FME_Input[RES_STRUCT100])</f>
        <v>176</v>
      </c>
      <c r="M1145" s="230">
        <f>(FME_Ranking1[[#This Row],[Res Structures Raw]]/L$2)*100</f>
        <v>0.12466178408012353</v>
      </c>
      <c r="N1145" s="180">
        <f>FME_Ranking1[[#This Row],[Res Structures Score (Normalized, Unweighted)]]*$L$3</f>
        <v>1.2466178408012354E-2</v>
      </c>
      <c r="O1145" s="244">
        <f>_xlfn.XLOOKUP(FME_Ranking1[[#This Row],[FME ID]],FME_Input[FME_ID],FME_Input[POP100])</f>
        <v>489</v>
      </c>
      <c r="P1145" s="178">
        <f>(FME_Ranking1[[#This Row],[Pop Raw]]/$O$2)*100</f>
        <v>5.0061527562505245E-2</v>
      </c>
      <c r="Q1145" s="178">
        <f>FME_Ranking1[[#This Row],[Pop Score (Normalized, Unweighted)]]*$O$3</f>
        <v>7.5092291343757866E-3</v>
      </c>
      <c r="R1145" s="137">
        <f>_xlfn.XLOOKUP(FME_Ranking1[[#This Row],[FME ID]],FME_Input[FME_ID],FME_Input[CRITFAC100])</f>
        <v>0</v>
      </c>
      <c r="S1145" s="230">
        <f>(FME_Ranking1[[#This Row],[Critical Facilities Raw]]/$R$2)*100</f>
        <v>0</v>
      </c>
      <c r="T1145" s="180">
        <f>FME_Ranking1[[#This Row],[Critical Facilities Score (Normalized, Unweighted)]]*$R$3</f>
        <v>0</v>
      </c>
      <c r="U1145">
        <f>_xlfn.XLOOKUP(FME_Ranking1[[#This Row],[FME ID]],FME_Input[FME_ID],FME_Input[LWC])</f>
        <v>0</v>
      </c>
      <c r="V1145" s="178">
        <f>(FME_Ranking1[[#This Row],[LWC Raw]]/$U$2)*100</f>
        <v>0</v>
      </c>
      <c r="W1145" s="178">
        <f>FME_Ranking1[[#This Row],[LWC Score (Normalized, Unweighted)]]*$U$3</f>
        <v>0</v>
      </c>
      <c r="X1145" s="246">
        <f>_xlfn.XLOOKUP(FME_Ranking1[[#This Row],[FME ID]],FME_Input[FME_ID],FME_Input[ROADCLS])</f>
        <v>57</v>
      </c>
      <c r="Y1145" s="230">
        <f>(FME_Ranking1[[#This Row],[Closures Raw]]/$X$2)*100</f>
        <v>0.59930606665965724</v>
      </c>
      <c r="Z1145" s="180">
        <f>FME_Ranking1[[#This Row],[Closures Score (Normalized, Unweighted)]]*$X$3</f>
        <v>2.9965303332982862E-2</v>
      </c>
      <c r="AA1145" s="253">
        <f>_xlfn.XLOOKUP(FME_Ranking1[[#This Row],[FME ID]],FME_Input[FME_ID],FME_Input[ROAD_MILES100])</f>
        <v>5.516350269317627</v>
      </c>
      <c r="AB1145" s="178">
        <f>(FME_Ranking1[[#This Row],[Miles Raw]]/$AA$2)*100</f>
        <v>7.2530112002832645E-2</v>
      </c>
      <c r="AC1145" s="178">
        <f>FME_Ranking1[[#This Row],[Miles Score (Normalized, Unweighted)]]*$AA$3</f>
        <v>7.253011200283265E-3</v>
      </c>
      <c r="AD1145" s="255">
        <f>_xlfn.XLOOKUP(FME_Ranking1[[#This Row],[FME ID]],FME_Input[FME_ID],FME_Input[FARMACRE100])</f>
        <v>0.8096623420715332</v>
      </c>
      <c r="AE1145" s="230">
        <f>(FME_Ranking1[[#This Row],[Ag Land Raw]]/$AD$2)*100</f>
        <v>3.3386850530568537E-5</v>
      </c>
      <c r="AF1145" s="231">
        <f>FME_Ranking1[[#This Row],[Ag Land Score (Normalized, Unweighted)]]*$AD$3</f>
        <v>1.669342526528427E-6</v>
      </c>
      <c r="AG114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7.4063403241853856E-2</v>
      </c>
      <c r="AH1145" s="406">
        <f t="shared" si="17"/>
        <v>1164</v>
      </c>
      <c r="AI114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7.4063403241853856E-2</v>
      </c>
      <c r="AJ1145" s="257">
        <f>FME_Ranking1[[#This Row],[Addition check]]-FME_Ranking1[[#This Row],[Weighted Score Based on Normalized Reported Factors]]</f>
        <v>0</v>
      </c>
      <c r="AK1145" s="178">
        <f>_xlfn.RANK.EQ(AI1145,$AI$6:$AI$2341,0)+COUNTIF($AI$6:AI1145,AI1145)-1</f>
        <v>1164</v>
      </c>
    </row>
    <row r="1146" spans="1:37" x14ac:dyDescent="0.25">
      <c r="A1146" t="s">
        <v>7470</v>
      </c>
      <c r="B1146">
        <f>_xlfn.XLOOKUP(FME_Ranking1[[#This Row],[FME ID]],FME_Input[FME_ID],FME_Input[RFPG_NUM])</f>
        <v>8</v>
      </c>
      <c r="C1146" t="str">
        <f>_xlfn.XLOOKUP(FME_Ranking1[[#This Row],[FME ID]],FME_Input[FME_ID],FME_Input[FME_NAME])</f>
        <v>Stream Crossing Upgrades</v>
      </c>
      <c r="D1146" t="str">
        <f>_xlfn.XLOOKUP(FME_Ranking1[[#This Row],[FME ID]],FME_Input[FME_ID],FME_Input[DESCR])</f>
        <v>Upgrade crossings at CR 368, 369, 445, and 424.</v>
      </c>
      <c r="E1146" s="256">
        <f>_xlfn.XLOOKUP(FME_Ranking1[[#This Row],[FME ID]],FME_Input[FME_ID],FME_Input[FME_COST])</f>
        <v>463000</v>
      </c>
      <c r="F1146" t="str">
        <f>_xlfn.XLOOKUP(FME_Ranking1[[#This Row],[FME ID]],FME_Input[FME_ID],FME_Input[EMER_NEED])</f>
        <v>No</v>
      </c>
      <c r="G1146">
        <f>IF(FME_Ranking!F1146="Yes",100,0)</f>
        <v>0</v>
      </c>
      <c r="H1146">
        <f>FME_Ranking1[[#This Row],[Emergency Need Score (Normalized, Unweighted)]]*$F$3</f>
        <v>0</v>
      </c>
      <c r="I1146" s="246">
        <f>_xlfn.XLOOKUP(FME_Ranking1[[#This Row],[FME ID]],FME_Input[FME_ID],FME_Input[STRUCT_100])</f>
        <v>31</v>
      </c>
      <c r="J1146" s="178">
        <f>(FME_Ranking1[[#This Row],[Structures 100 Raw]]/I$2)*100</f>
        <v>1.6600265604249667E-2</v>
      </c>
      <c r="K1146" s="178">
        <f>FME_Ranking1[[#This Row],[Structures 100  Score (Normalized, Unweighted)]]*$I$3</f>
        <v>2.4900398406374502E-3</v>
      </c>
      <c r="L1146" s="246">
        <f>_xlfn.XLOOKUP(FME_Ranking1[[#This Row],[FME ID]],FME_Input[FME_ID],FME_Input[RES_STRUCT100])</f>
        <v>14</v>
      </c>
      <c r="M1146" s="230">
        <f>(FME_Ranking1[[#This Row],[Res Structures Raw]]/L$2)*100</f>
        <v>9.9162782791007362E-3</v>
      </c>
      <c r="N1146" s="180">
        <f>FME_Ranking1[[#This Row],[Res Structures Score (Normalized, Unweighted)]]*$L$3</f>
        <v>9.9162782791007375E-4</v>
      </c>
      <c r="O1146" s="244">
        <f>_xlfn.XLOOKUP(FME_Ranking1[[#This Row],[FME ID]],FME_Input[FME_ID],FME_Input[POP100])</f>
        <v>34</v>
      </c>
      <c r="P1146" s="178">
        <f>(FME_Ranking1[[#This Row],[Pop Raw]]/$O$2)*100</f>
        <v>3.4807606076179519E-3</v>
      </c>
      <c r="Q1146" s="178">
        <f>FME_Ranking1[[#This Row],[Pop Score (Normalized, Unweighted)]]*$O$3</f>
        <v>5.2211409114269274E-4</v>
      </c>
      <c r="R1146" s="137">
        <f>_xlfn.XLOOKUP(FME_Ranking1[[#This Row],[FME ID]],FME_Input[FME_ID],FME_Input[CRITFAC100])</f>
        <v>0</v>
      </c>
      <c r="S1146" s="230">
        <f>(FME_Ranking1[[#This Row],[Critical Facilities Raw]]/$R$2)*100</f>
        <v>0</v>
      </c>
      <c r="T1146" s="180">
        <f>FME_Ranking1[[#This Row],[Critical Facilities Score (Normalized, Unweighted)]]*$R$3</f>
        <v>0</v>
      </c>
      <c r="U1146">
        <f>_xlfn.XLOOKUP(FME_Ranking1[[#This Row],[FME ID]],FME_Input[FME_ID],FME_Input[LWC])</f>
        <v>4</v>
      </c>
      <c r="V1146" s="178">
        <f>(FME_Ranking1[[#This Row],[LWC Raw]]/$U$2)*100</f>
        <v>0.23028209556706969</v>
      </c>
      <c r="W1146" s="178">
        <f>FME_Ranking1[[#This Row],[LWC Score (Normalized, Unweighted)]]*$U$3</f>
        <v>4.6056419113413939E-2</v>
      </c>
      <c r="X1146" s="246">
        <f>_xlfn.XLOOKUP(FME_Ranking1[[#This Row],[FME ID]],FME_Input[FME_ID],FME_Input[ROADCLS])</f>
        <v>19</v>
      </c>
      <c r="Y1146" s="230">
        <f>(FME_Ranking1[[#This Row],[Closures Raw]]/$X$2)*100</f>
        <v>0.19976868888655239</v>
      </c>
      <c r="Z1146" s="180">
        <f>FME_Ranking1[[#This Row],[Closures Score (Normalized, Unweighted)]]*$X$3</f>
        <v>9.9884344443276207E-3</v>
      </c>
      <c r="AA1146" s="253">
        <f>_xlfn.XLOOKUP(FME_Ranking1[[#This Row],[FME ID]],FME_Input[FME_ID],FME_Input[ROAD_MILES100])</f>
        <v>3.5756099224090581</v>
      </c>
      <c r="AB1146" s="178">
        <f>(FME_Ranking1[[#This Row],[Miles Raw]]/$AA$2)*100</f>
        <v>4.7012857322210805E-2</v>
      </c>
      <c r="AC1146" s="178">
        <f>FME_Ranking1[[#This Row],[Miles Score (Normalized, Unweighted)]]*$AA$3</f>
        <v>4.701285732221081E-3</v>
      </c>
      <c r="AD1146" s="255">
        <f>_xlfn.XLOOKUP(FME_Ranking1[[#This Row],[FME ID]],FME_Input[FME_ID],FME_Input[FARMACRE100])</f>
        <v>3255.06005859375</v>
      </c>
      <c r="AE1146" s="230">
        <f>(FME_Ranking1[[#This Row],[Ag Land Raw]]/$AD$2)*100</f>
        <v>0.13422410552804459</v>
      </c>
      <c r="AF1146" s="231">
        <f>FME_Ranking1[[#This Row],[Ag Land Score (Normalized, Unweighted)]]*$AD$3</f>
        <v>6.7112052764022297E-3</v>
      </c>
      <c r="AG114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7.1461126326055086E-2</v>
      </c>
      <c r="AH1146" s="406">
        <f t="shared" si="17"/>
        <v>1180</v>
      </c>
      <c r="AI114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7.1461126326055086E-2</v>
      </c>
      <c r="AJ1146" s="257">
        <f>FME_Ranking1[[#This Row],[Addition check]]-FME_Ranking1[[#This Row],[Weighted Score Based on Normalized Reported Factors]]</f>
        <v>0</v>
      </c>
      <c r="AK1146" s="178">
        <f>_xlfn.RANK.EQ(AI1146,$AI$6:$AI$2341,0)+COUNTIF($AI$6:AI1146,AI1146)-1</f>
        <v>1180</v>
      </c>
    </row>
    <row r="1147" spans="1:37" x14ac:dyDescent="0.25">
      <c r="A1147" t="s">
        <v>11307</v>
      </c>
      <c r="B1147">
        <f>_xlfn.XLOOKUP(FME_Ranking1[[#This Row],[FME ID]],FME_Input[FME_ID],FME_Input[RFPG_NUM])</f>
        <v>15</v>
      </c>
      <c r="C1147" t="str">
        <f>_xlfn.XLOOKUP(FME_Ranking1[[#This Row],[FME ID]],FME_Input[FME_ID],FME_Input[FME_NAME])</f>
        <v>TX 88 &amp; W Sugar Cane Dr Improvements</v>
      </c>
      <c r="D1147" t="str">
        <f>_xlfn.XLOOKUP(FME_Ranking1[[#This Row],[FME ID]],FME_Input[FME_ID],FME_Input[DESCR])</f>
        <v>Channel Improvements- Ditch 17B2A1, Ditch 17B2A1  Detention West,  Local Drainage Improvements ( North of W Sugar Cane West of Ditch17B2A1), Ditch 17B2A1  Detention East, and Local Drainage Improvements (North of W Sugar Cane East of Ditch17B2A1)</v>
      </c>
      <c r="E1147" s="256">
        <f>_xlfn.XLOOKUP(FME_Ranking1[[#This Row],[FME ID]],FME_Input[FME_ID],FME_Input[FME_COST])</f>
        <v>375900</v>
      </c>
      <c r="F1147" t="str">
        <f>_xlfn.XLOOKUP(FME_Ranking1[[#This Row],[FME ID]],FME_Input[FME_ID],FME_Input[EMER_NEED])</f>
        <v>Yes</v>
      </c>
      <c r="G1147">
        <f>IF(FME_Ranking!F1147="Yes",100,0)</f>
        <v>100</v>
      </c>
      <c r="H1147">
        <f>FME_Ranking1[[#This Row],[Emergency Need Score (Normalized, Unweighted)]]*$F$3</f>
        <v>0</v>
      </c>
      <c r="I1147" s="246">
        <f>_xlfn.XLOOKUP(FME_Ranking1[[#This Row],[FME ID]],FME_Input[FME_ID],FME_Input[STRUCT_100])</f>
        <v>0</v>
      </c>
      <c r="J1147" s="178">
        <f>(FME_Ranking1[[#This Row],[Structures 100 Raw]]/I$2)*100</f>
        <v>0</v>
      </c>
      <c r="K1147" s="178">
        <f>FME_Ranking1[[#This Row],[Structures 100  Score (Normalized, Unweighted)]]*$I$3</f>
        <v>0</v>
      </c>
      <c r="L1147" s="246">
        <f>_xlfn.XLOOKUP(FME_Ranking1[[#This Row],[FME ID]],FME_Input[FME_ID],FME_Input[RES_STRUCT100])</f>
        <v>405</v>
      </c>
      <c r="M1147" s="230">
        <f>(FME_Ranking1[[#This Row],[Res Structures Raw]]/L$2)*100</f>
        <v>0.28686376450255696</v>
      </c>
      <c r="N1147" s="180">
        <f>FME_Ranking1[[#This Row],[Res Structures Score (Normalized, Unweighted)]]*$L$3</f>
        <v>2.8686376450255697E-2</v>
      </c>
      <c r="O1147" s="244">
        <f>_xlfn.XLOOKUP(FME_Ranking1[[#This Row],[FME ID]],FME_Input[FME_ID],FME_Input[POP100])</f>
        <v>2476</v>
      </c>
      <c r="P1147" s="178">
        <f>(FME_Ranking1[[#This Row],[Pop Raw]]/$O$2)*100</f>
        <v>0.2534812724841779</v>
      </c>
      <c r="Q1147" s="178">
        <f>FME_Ranking1[[#This Row],[Pop Score (Normalized, Unweighted)]]*$O$3</f>
        <v>3.8022190872626684E-2</v>
      </c>
      <c r="R1147" s="137">
        <f>_xlfn.XLOOKUP(FME_Ranking1[[#This Row],[FME ID]],FME_Input[FME_ID],FME_Input[CRITFAC100])</f>
        <v>0</v>
      </c>
      <c r="S1147" s="230">
        <f>(FME_Ranking1[[#This Row],[Critical Facilities Raw]]/$R$2)*100</f>
        <v>0</v>
      </c>
      <c r="T1147" s="180">
        <f>FME_Ranking1[[#This Row],[Critical Facilities Score (Normalized, Unweighted)]]*$R$3</f>
        <v>0</v>
      </c>
      <c r="U1147">
        <f>_xlfn.XLOOKUP(FME_Ranking1[[#This Row],[FME ID]],FME_Input[FME_ID],FME_Input[LWC])</f>
        <v>0</v>
      </c>
      <c r="V1147" s="178">
        <f>(FME_Ranking1[[#This Row],[LWC Raw]]/$U$2)*100</f>
        <v>0</v>
      </c>
      <c r="W1147" s="178">
        <f>FME_Ranking1[[#This Row],[LWC Score (Normalized, Unweighted)]]*$U$3</f>
        <v>0</v>
      </c>
      <c r="X1147" s="246">
        <f>_xlfn.XLOOKUP(FME_Ranking1[[#This Row],[FME ID]],FME_Input[FME_ID],FME_Input[ROADCLS])</f>
        <v>0</v>
      </c>
      <c r="Y1147" s="230">
        <f>(FME_Ranking1[[#This Row],[Closures Raw]]/$X$2)*100</f>
        <v>0</v>
      </c>
      <c r="Z1147" s="180">
        <f>FME_Ranking1[[#This Row],[Closures Score (Normalized, Unweighted)]]*$X$3</f>
        <v>0</v>
      </c>
      <c r="AA1147" s="253">
        <f>_xlfn.XLOOKUP(FME_Ranking1[[#This Row],[FME ID]],FME_Input[FME_ID],FME_Input[ROAD_MILES100])</f>
        <v>14.37240028381348</v>
      </c>
      <c r="AB1147" s="178">
        <f>(FME_Ranking1[[#This Row],[Miles Raw]]/$AA$2)*100</f>
        <v>0.18897128562205756</v>
      </c>
      <c r="AC1147" s="178">
        <f>FME_Ranking1[[#This Row],[Miles Score (Normalized, Unweighted)]]*$AA$3</f>
        <v>1.8897128562205757E-2</v>
      </c>
      <c r="AD1147" s="255">
        <f>_xlfn.XLOOKUP(FME_Ranking1[[#This Row],[FME ID]],FME_Input[FME_ID],FME_Input[FARMACRE100])</f>
        <v>0</v>
      </c>
      <c r="AE1147" s="230">
        <f>(FME_Ranking1[[#This Row],[Ag Land Raw]]/$AD$2)*100</f>
        <v>0</v>
      </c>
      <c r="AF1147" s="231">
        <f>FME_Ranking1[[#This Row],[Ag Land Score (Normalized, Unweighted)]]*$AD$3</f>
        <v>0</v>
      </c>
      <c r="AG114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8.5605695885088137E-2</v>
      </c>
      <c r="AH1147" s="406">
        <f t="shared" si="17"/>
        <v>1113</v>
      </c>
      <c r="AI114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8.5605695885088137E-2</v>
      </c>
      <c r="AJ1147" s="257">
        <f>FME_Ranking1[[#This Row],[Addition check]]-FME_Ranking1[[#This Row],[Weighted Score Based on Normalized Reported Factors]]</f>
        <v>0</v>
      </c>
      <c r="AK1147" s="178">
        <f>_xlfn.RANK.EQ(AI1147,$AI$6:$AI$2341,0)+COUNTIF($AI$6:AI1147,AI1147)-1</f>
        <v>1113</v>
      </c>
    </row>
    <row r="1148" spans="1:37" x14ac:dyDescent="0.25">
      <c r="A1148" t="s">
        <v>3692</v>
      </c>
      <c r="B1148">
        <f>_xlfn.XLOOKUP(FME_Ranking1[[#This Row],[FME ID]],FME_Input[FME_ID],FME_Input[RFPG_NUM])</f>
        <v>2</v>
      </c>
      <c r="C1148" t="str">
        <f>_xlfn.XLOOKUP(FME_Ranking1[[#This Row],[FME ID]],FME_Input[FME_ID],FME_Input[FME_NAME])</f>
        <v>Cowhorn Creek East</v>
      </c>
      <c r="D1148" t="str">
        <f>_xlfn.XLOOKUP(FME_Ranking1[[#This Row],[FME ID]],FME_Input[FME_ID],FME_Input[DESCR])</f>
        <v>Extend current H&amp;H study limits to the upstream detention pond. Evaluate existing flooding and develop mitigation actions.</v>
      </c>
      <c r="E1148" s="256">
        <f>_xlfn.XLOOKUP(FME_Ranking1[[#This Row],[FME ID]],FME_Input[FME_ID],FME_Input[FME_COST])</f>
        <v>250000</v>
      </c>
      <c r="F1148" t="str">
        <f>_xlfn.XLOOKUP(FME_Ranking1[[#This Row],[FME ID]],FME_Input[FME_ID],FME_Input[EMER_NEED])</f>
        <v>No</v>
      </c>
      <c r="G1148">
        <f>IF(FME_Ranking!F1148="Yes",100,0)</f>
        <v>0</v>
      </c>
      <c r="H1148">
        <f>FME_Ranking1[[#This Row],[Emergency Need Score (Normalized, Unweighted)]]*$F$3</f>
        <v>0</v>
      </c>
      <c r="I1148" s="246">
        <f>_xlfn.XLOOKUP(FME_Ranking1[[#This Row],[FME ID]],FME_Input[FME_ID],FME_Input[STRUCT_100])</f>
        <v>247</v>
      </c>
      <c r="J1148" s="178">
        <f>(FME_Ranking1[[#This Row],[Structures 100 Raw]]/I$2)*100</f>
        <v>0.13226663239515057</v>
      </c>
      <c r="K1148" s="178">
        <f>FME_Ranking1[[#This Row],[Structures 100  Score (Normalized, Unweighted)]]*$I$3</f>
        <v>1.9839994859272587E-2</v>
      </c>
      <c r="L1148" s="246">
        <f>_xlfn.XLOOKUP(FME_Ranking1[[#This Row],[FME ID]],FME_Input[FME_ID],FME_Input[RES_STRUCT100])</f>
        <v>176</v>
      </c>
      <c r="M1148" s="230">
        <f>(FME_Ranking1[[#This Row],[Res Structures Raw]]/L$2)*100</f>
        <v>0.12466178408012353</v>
      </c>
      <c r="N1148" s="180">
        <f>FME_Ranking1[[#This Row],[Res Structures Score (Normalized, Unweighted)]]*$L$3</f>
        <v>1.2466178408012354E-2</v>
      </c>
      <c r="O1148" s="244">
        <f>_xlfn.XLOOKUP(FME_Ranking1[[#This Row],[FME ID]],FME_Input[FME_ID],FME_Input[POP100])</f>
        <v>2180</v>
      </c>
      <c r="P1148" s="178">
        <f>(FME_Ranking1[[#This Row],[Pop Raw]]/$O$2)*100</f>
        <v>0.22317818013550395</v>
      </c>
      <c r="Q1148" s="178">
        <f>FME_Ranking1[[#This Row],[Pop Score (Normalized, Unweighted)]]*$O$3</f>
        <v>3.3476727020325593E-2</v>
      </c>
      <c r="R1148" s="137">
        <f>_xlfn.XLOOKUP(FME_Ranking1[[#This Row],[FME ID]],FME_Input[FME_ID],FME_Input[CRITFAC100])</f>
        <v>0</v>
      </c>
      <c r="S1148" s="230">
        <f>(FME_Ranking1[[#This Row],[Critical Facilities Raw]]/$R$2)*100</f>
        <v>0</v>
      </c>
      <c r="T1148" s="180">
        <f>FME_Ranking1[[#This Row],[Critical Facilities Score (Normalized, Unweighted)]]*$R$3</f>
        <v>0</v>
      </c>
      <c r="U1148">
        <f>_xlfn.XLOOKUP(FME_Ranking1[[#This Row],[FME ID]],FME_Input[FME_ID],FME_Input[LWC])</f>
        <v>0</v>
      </c>
      <c r="V1148" s="178">
        <f>(FME_Ranking1[[#This Row],[LWC Raw]]/$U$2)*100</f>
        <v>0</v>
      </c>
      <c r="W1148" s="178">
        <f>FME_Ranking1[[#This Row],[LWC Score (Normalized, Unweighted)]]*$U$3</f>
        <v>0</v>
      </c>
      <c r="X1148" s="246">
        <f>_xlfn.XLOOKUP(FME_Ranking1[[#This Row],[FME ID]],FME_Input[FME_ID],FME_Input[ROADCLS])</f>
        <v>0</v>
      </c>
      <c r="Y1148" s="230">
        <f>(FME_Ranking1[[#This Row],[Closures Raw]]/$X$2)*100</f>
        <v>0</v>
      </c>
      <c r="Z1148" s="180">
        <f>FME_Ranking1[[#This Row],[Closures Score (Normalized, Unweighted)]]*$X$3</f>
        <v>0</v>
      </c>
      <c r="AA1148" s="253">
        <f>_xlfn.XLOOKUP(FME_Ranking1[[#This Row],[FME ID]],FME_Input[FME_ID],FME_Input[ROAD_MILES100])</f>
        <v>8.5002822875976563</v>
      </c>
      <c r="AB1148" s="178">
        <f>(FME_Ranking1[[#This Row],[Miles Raw]]/$AA$2)*100</f>
        <v>0.11176346610988806</v>
      </c>
      <c r="AC1148" s="178">
        <f>FME_Ranking1[[#This Row],[Miles Score (Normalized, Unweighted)]]*$AA$3</f>
        <v>1.1176346610988807E-2</v>
      </c>
      <c r="AD1148" s="255">
        <f>_xlfn.XLOOKUP(FME_Ranking1[[#This Row],[FME ID]],FME_Input[FME_ID],FME_Input[FARMACRE100])</f>
        <v>1.383648633956909</v>
      </c>
      <c r="AE1148" s="230">
        <f>(FME_Ranking1[[#This Row],[Ag Land Raw]]/$AD$2)*100</f>
        <v>5.7055475756168119E-5</v>
      </c>
      <c r="AF1148" s="231">
        <f>FME_Ranking1[[#This Row],[Ag Land Score (Normalized, Unweighted)]]*$AD$3</f>
        <v>2.852773787808406E-6</v>
      </c>
      <c r="AG114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7.6962099672387138E-2</v>
      </c>
      <c r="AH1148" s="406">
        <f t="shared" si="17"/>
        <v>1146</v>
      </c>
      <c r="AI114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7.6962099672387138E-2</v>
      </c>
      <c r="AJ1148" s="257">
        <f>FME_Ranking1[[#This Row],[Addition check]]-FME_Ranking1[[#This Row],[Weighted Score Based on Normalized Reported Factors]]</f>
        <v>0</v>
      </c>
      <c r="AK1148" s="178">
        <f>_xlfn.RANK.EQ(AI1148,$AI$6:$AI$2341,0)+COUNTIF($AI$6:AI1148,AI1148)-1</f>
        <v>1146</v>
      </c>
    </row>
    <row r="1149" spans="1:37" x14ac:dyDescent="0.25">
      <c r="A1149" t="s">
        <v>3700</v>
      </c>
      <c r="B1149">
        <f>_xlfn.XLOOKUP(FME_Ranking1[[#This Row],[FME ID]],FME_Input[FME_ID],FME_Input[RFPG_NUM])</f>
        <v>2</v>
      </c>
      <c r="C1149" t="str">
        <f>_xlfn.XLOOKUP(FME_Ranking1[[#This Row],[FME ID]],FME_Input[FME_ID],FME_Input[FME_NAME])</f>
        <v xml:space="preserve">Cowhorn West Creek </v>
      </c>
      <c r="D1149" t="str">
        <f>_xlfn.XLOOKUP(FME_Ranking1[[#This Row],[FME ID]],FME_Input[FME_ID],FME_Input[DESCR])</f>
        <v>Arroyo Street additional modeling to address flooding</v>
      </c>
      <c r="E1149" s="256">
        <f>_xlfn.XLOOKUP(FME_Ranking1[[#This Row],[FME ID]],FME_Input[FME_ID],FME_Input[FME_COST])</f>
        <v>250000</v>
      </c>
      <c r="F1149" t="str">
        <f>_xlfn.XLOOKUP(FME_Ranking1[[#This Row],[FME ID]],FME_Input[FME_ID],FME_Input[EMER_NEED])</f>
        <v>No</v>
      </c>
      <c r="G1149">
        <f>IF(FME_Ranking!F1149="Yes",100,0)</f>
        <v>0</v>
      </c>
      <c r="H1149">
        <f>FME_Ranking1[[#This Row],[Emergency Need Score (Normalized, Unweighted)]]*$F$3</f>
        <v>0</v>
      </c>
      <c r="I1149" s="246">
        <f>_xlfn.XLOOKUP(FME_Ranking1[[#This Row],[FME ID]],FME_Input[FME_ID],FME_Input[STRUCT_100])</f>
        <v>247</v>
      </c>
      <c r="J1149" s="178">
        <f>(FME_Ranking1[[#This Row],[Structures 100 Raw]]/I$2)*100</f>
        <v>0.13226663239515057</v>
      </c>
      <c r="K1149" s="178">
        <f>FME_Ranking1[[#This Row],[Structures 100  Score (Normalized, Unweighted)]]*$I$3</f>
        <v>1.9839994859272587E-2</v>
      </c>
      <c r="L1149" s="246">
        <f>_xlfn.XLOOKUP(FME_Ranking1[[#This Row],[FME ID]],FME_Input[FME_ID],FME_Input[RES_STRUCT100])</f>
        <v>176</v>
      </c>
      <c r="M1149" s="230">
        <f>(FME_Ranking1[[#This Row],[Res Structures Raw]]/L$2)*100</f>
        <v>0.12466178408012353</v>
      </c>
      <c r="N1149" s="180">
        <f>FME_Ranking1[[#This Row],[Res Structures Score (Normalized, Unweighted)]]*$L$3</f>
        <v>1.2466178408012354E-2</v>
      </c>
      <c r="O1149" s="244">
        <f>_xlfn.XLOOKUP(FME_Ranking1[[#This Row],[FME ID]],FME_Input[FME_ID],FME_Input[POP100])</f>
        <v>2180</v>
      </c>
      <c r="P1149" s="178">
        <f>(FME_Ranking1[[#This Row],[Pop Raw]]/$O$2)*100</f>
        <v>0.22317818013550395</v>
      </c>
      <c r="Q1149" s="178">
        <f>FME_Ranking1[[#This Row],[Pop Score (Normalized, Unweighted)]]*$O$3</f>
        <v>3.3476727020325593E-2</v>
      </c>
      <c r="R1149" s="137">
        <f>_xlfn.XLOOKUP(FME_Ranking1[[#This Row],[FME ID]],FME_Input[FME_ID],FME_Input[CRITFAC100])</f>
        <v>0</v>
      </c>
      <c r="S1149" s="230">
        <f>(FME_Ranking1[[#This Row],[Critical Facilities Raw]]/$R$2)*100</f>
        <v>0</v>
      </c>
      <c r="T1149" s="180">
        <f>FME_Ranking1[[#This Row],[Critical Facilities Score (Normalized, Unweighted)]]*$R$3</f>
        <v>0</v>
      </c>
      <c r="U1149">
        <f>_xlfn.XLOOKUP(FME_Ranking1[[#This Row],[FME ID]],FME_Input[FME_ID],FME_Input[LWC])</f>
        <v>0</v>
      </c>
      <c r="V1149" s="178">
        <f>(FME_Ranking1[[#This Row],[LWC Raw]]/$U$2)*100</f>
        <v>0</v>
      </c>
      <c r="W1149" s="178">
        <f>FME_Ranking1[[#This Row],[LWC Score (Normalized, Unweighted)]]*$U$3</f>
        <v>0</v>
      </c>
      <c r="X1149" s="246">
        <f>_xlfn.XLOOKUP(FME_Ranking1[[#This Row],[FME ID]],FME_Input[FME_ID],FME_Input[ROADCLS])</f>
        <v>0</v>
      </c>
      <c r="Y1149" s="230">
        <f>(FME_Ranking1[[#This Row],[Closures Raw]]/$X$2)*100</f>
        <v>0</v>
      </c>
      <c r="Z1149" s="180">
        <f>FME_Ranking1[[#This Row],[Closures Score (Normalized, Unweighted)]]*$X$3</f>
        <v>0</v>
      </c>
      <c r="AA1149" s="253">
        <f>_xlfn.XLOOKUP(FME_Ranking1[[#This Row],[FME ID]],FME_Input[FME_ID],FME_Input[ROAD_MILES100])</f>
        <v>8.5002822875976563</v>
      </c>
      <c r="AB1149" s="178">
        <f>(FME_Ranking1[[#This Row],[Miles Raw]]/$AA$2)*100</f>
        <v>0.11176346610988806</v>
      </c>
      <c r="AC1149" s="178">
        <f>FME_Ranking1[[#This Row],[Miles Score (Normalized, Unweighted)]]*$AA$3</f>
        <v>1.1176346610988807E-2</v>
      </c>
      <c r="AD1149" s="255">
        <f>_xlfn.XLOOKUP(FME_Ranking1[[#This Row],[FME ID]],FME_Input[FME_ID],FME_Input[FARMACRE100])</f>
        <v>1.383648633956909</v>
      </c>
      <c r="AE1149" s="230">
        <f>(FME_Ranking1[[#This Row],[Ag Land Raw]]/$AD$2)*100</f>
        <v>5.7055475756168119E-5</v>
      </c>
      <c r="AF1149" s="231">
        <f>FME_Ranking1[[#This Row],[Ag Land Score (Normalized, Unweighted)]]*$AD$3</f>
        <v>2.852773787808406E-6</v>
      </c>
      <c r="AG114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7.6962099672387138E-2</v>
      </c>
      <c r="AH1149" s="406">
        <f t="shared" si="17"/>
        <v>1146</v>
      </c>
      <c r="AI114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7.6962099672387138E-2</v>
      </c>
      <c r="AJ1149" s="257">
        <f>FME_Ranking1[[#This Row],[Addition check]]-FME_Ranking1[[#This Row],[Weighted Score Based on Normalized Reported Factors]]</f>
        <v>0</v>
      </c>
      <c r="AK1149" s="178">
        <f>_xlfn.RANK.EQ(AI1149,$AI$6:$AI$2341,0)+COUNTIF($AI$6:AI1149,AI1149)-1</f>
        <v>1147</v>
      </c>
    </row>
    <row r="1150" spans="1:37" x14ac:dyDescent="0.25">
      <c r="A1150" t="s">
        <v>10987</v>
      </c>
      <c r="B1150">
        <f>_xlfn.XLOOKUP(FME_Ranking1[[#This Row],[FME ID]],FME_Input[FME_ID],FME_Input[RFPG_NUM])</f>
        <v>14</v>
      </c>
      <c r="C1150" t="str">
        <f>_xlfn.XLOOKUP(FME_Ranking1[[#This Row],[FME ID]],FME_Input[FME_ID],FME_Input[FME_NAME])</f>
        <v>Develop solutions for flooding near Sierra Blanca</v>
      </c>
      <c r="D1150" t="str">
        <f>_xlfn.XLOOKUP(FME_Ranking1[[#This Row],[FME ID]],FME_Input[FME_ID],FME_Input[DESCR])</f>
        <v>Develop drainage study and stormwater master plan for Sierra Blanca and surrounding ranches with access issues during floods.  Develop detailed H&amp;H models and floodplain maps.  Evaluate FMP alternatives.</v>
      </c>
      <c r="E1150" s="256">
        <f>_xlfn.XLOOKUP(FME_Ranking1[[#This Row],[FME ID]],FME_Input[FME_ID],FME_Input[FME_COST])</f>
        <v>76000</v>
      </c>
      <c r="F1150" t="str">
        <f>_xlfn.XLOOKUP(FME_Ranking1[[#This Row],[FME ID]],FME_Input[FME_ID],FME_Input[EMER_NEED])</f>
        <v>No</v>
      </c>
      <c r="G1150">
        <f>IF(FME_Ranking!F1150="Yes",100,0)</f>
        <v>0</v>
      </c>
      <c r="H1150">
        <f>FME_Ranking1[[#This Row],[Emergency Need Score (Normalized, Unweighted)]]*$F$3</f>
        <v>0</v>
      </c>
      <c r="I1150" s="246">
        <f>_xlfn.XLOOKUP(FME_Ranking1[[#This Row],[FME ID]],FME_Input[FME_ID],FME_Input[STRUCT_100])</f>
        <v>36</v>
      </c>
      <c r="J1150" s="178">
        <f>(FME_Ranking1[[#This Row],[Structures 100 Raw]]/I$2)*100</f>
        <v>1.9277727798483486E-2</v>
      </c>
      <c r="K1150" s="178">
        <f>FME_Ranking1[[#This Row],[Structures 100  Score (Normalized, Unweighted)]]*$I$3</f>
        <v>2.8916591697725228E-3</v>
      </c>
      <c r="L1150" s="246">
        <f>_xlfn.XLOOKUP(FME_Ranking1[[#This Row],[FME ID]],FME_Input[FME_ID],FME_Input[RES_STRUCT100])</f>
        <v>13</v>
      </c>
      <c r="M1150" s="230">
        <f>(FME_Ranking1[[#This Row],[Res Structures Raw]]/L$2)*100</f>
        <v>9.2079726877363974E-3</v>
      </c>
      <c r="N1150" s="180">
        <f>FME_Ranking1[[#This Row],[Res Structures Score (Normalized, Unweighted)]]*$L$3</f>
        <v>9.2079726877363974E-4</v>
      </c>
      <c r="O1150" s="244">
        <f>_xlfn.XLOOKUP(FME_Ranking1[[#This Row],[FME ID]],FME_Input[FME_ID],FME_Input[POP100])</f>
        <v>75</v>
      </c>
      <c r="P1150" s="178">
        <f>(FME_Ranking1[[#This Row],[Pop Raw]]/$O$2)*100</f>
        <v>7.6781483991572473E-3</v>
      </c>
      <c r="Q1150" s="178">
        <f>FME_Ranking1[[#This Row],[Pop Score (Normalized, Unweighted)]]*$O$3</f>
        <v>1.151722259873587E-3</v>
      </c>
      <c r="R1150" s="137">
        <f>_xlfn.XLOOKUP(FME_Ranking1[[#This Row],[FME ID]],FME_Input[FME_ID],FME_Input[CRITFAC100])</f>
        <v>0</v>
      </c>
      <c r="S1150" s="230">
        <f>(FME_Ranking1[[#This Row],[Critical Facilities Raw]]/$R$2)*100</f>
        <v>0</v>
      </c>
      <c r="T1150" s="180">
        <f>FME_Ranking1[[#This Row],[Critical Facilities Score (Normalized, Unweighted)]]*$R$3</f>
        <v>0</v>
      </c>
      <c r="U1150">
        <f>_xlfn.XLOOKUP(FME_Ranking1[[#This Row],[FME ID]],FME_Input[FME_ID],FME_Input[LWC])</f>
        <v>4</v>
      </c>
      <c r="V1150" s="178">
        <f>(FME_Ranking1[[#This Row],[LWC Raw]]/$U$2)*100</f>
        <v>0.23028209556706969</v>
      </c>
      <c r="W1150" s="178">
        <f>FME_Ranking1[[#This Row],[LWC Score (Normalized, Unweighted)]]*$U$3</f>
        <v>4.6056419113413939E-2</v>
      </c>
      <c r="X1150" s="246">
        <f>_xlfn.XLOOKUP(FME_Ranking1[[#This Row],[FME ID]],FME_Input[FME_ID],FME_Input[ROADCLS])</f>
        <v>28</v>
      </c>
      <c r="Y1150" s="230">
        <f>(FME_Ranking1[[#This Row],[Closures Raw]]/$X$2)*100</f>
        <v>0.29439596256965617</v>
      </c>
      <c r="Z1150" s="180">
        <f>FME_Ranking1[[#This Row],[Closures Score (Normalized, Unweighted)]]*$X$3</f>
        <v>1.4719798128482809E-2</v>
      </c>
      <c r="AA1150" s="253">
        <f>_xlfn.XLOOKUP(FME_Ranking1[[#This Row],[FME ID]],FME_Input[FME_ID],FME_Input[ROAD_MILES100])</f>
        <v>7.8068199157714844</v>
      </c>
      <c r="AB1150" s="178">
        <f>(FME_Ranking1[[#This Row],[Miles Raw]]/$AA$2)*100</f>
        <v>0.10264567970352848</v>
      </c>
      <c r="AC1150" s="178">
        <f>FME_Ranking1[[#This Row],[Miles Score (Normalized, Unweighted)]]*$AA$3</f>
        <v>1.0264567970352849E-2</v>
      </c>
      <c r="AD1150" s="255">
        <f>_xlfn.XLOOKUP(FME_Ranking1[[#This Row],[FME ID]],FME_Input[FME_ID],FME_Input[FARMACRE100])</f>
        <v>5.5286898612976074</v>
      </c>
      <c r="AE1150" s="230">
        <f>(FME_Ranking1[[#This Row],[Ag Land Raw]]/$AD$2)*100</f>
        <v>2.2797842067935143E-4</v>
      </c>
      <c r="AF1150" s="231">
        <f>FME_Ranking1[[#This Row],[Ag Land Score (Normalized, Unweighted)]]*$AD$3</f>
        <v>1.1398921033967572E-5</v>
      </c>
      <c r="AG115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7.6016362831703321E-2</v>
      </c>
      <c r="AH1150" s="406">
        <f t="shared" si="17"/>
        <v>1153</v>
      </c>
      <c r="AI115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7.6016362831703321E-2</v>
      </c>
      <c r="AJ1150" s="257">
        <f>FME_Ranking1[[#This Row],[Addition check]]-FME_Ranking1[[#This Row],[Weighted Score Based on Normalized Reported Factors]]</f>
        <v>0</v>
      </c>
      <c r="AK1150" s="178">
        <f>_xlfn.RANK.EQ(AI1150,$AI$6:$AI$2341,0)+COUNTIF($AI$6:AI1150,AI1150)-1</f>
        <v>1153</v>
      </c>
    </row>
    <row r="1151" spans="1:37" x14ac:dyDescent="0.25">
      <c r="A1151" t="s">
        <v>1123</v>
      </c>
      <c r="B1151">
        <f>_xlfn.XLOOKUP(FME_Ranking1[[#This Row],[FME ID]],FME_Input[FME_ID],FME_Input[RFPG_NUM])</f>
        <v>6</v>
      </c>
      <c r="C1151" t="str">
        <f>_xlfn.XLOOKUP(FME_Ranking1[[#This Row],[FME ID]],FME_Input[FME_ID],FME_Input[FME_NAME])</f>
        <v>Raise Road Surfaces in City of Plum Grove</v>
      </c>
      <c r="D1151" t="str">
        <f>_xlfn.XLOOKUP(FME_Ranking1[[#This Row],[FME ID]],FME_Input[FME_ID],FME_Input[DESCR])</f>
        <v>Further evaluation of road surface elevation.</v>
      </c>
      <c r="E1151" s="256">
        <f>_xlfn.XLOOKUP(FME_Ranking1[[#This Row],[FME ID]],FME_Input[FME_ID],FME_Input[FME_COST])</f>
        <v>35000</v>
      </c>
      <c r="F1151" t="str">
        <f>_xlfn.XLOOKUP(FME_Ranking1[[#This Row],[FME ID]],FME_Input[FME_ID],FME_Input[EMER_NEED])</f>
        <v>No</v>
      </c>
      <c r="G1151">
        <f>IF(FME_Ranking!F1151="Yes",100,0)</f>
        <v>0</v>
      </c>
      <c r="H1151">
        <f>FME_Ranking1[[#This Row],[Emergency Need Score (Normalized, Unweighted)]]*$F$3</f>
        <v>0</v>
      </c>
      <c r="I1151" s="246">
        <f>_xlfn.XLOOKUP(FME_Ranking1[[#This Row],[FME ID]],FME_Input[FME_ID],FME_Input[STRUCT_100])</f>
        <v>363</v>
      </c>
      <c r="J1151" s="178">
        <f>(FME_Ranking1[[#This Row],[Structures 100 Raw]]/I$2)*100</f>
        <v>0.19438375530137514</v>
      </c>
      <c r="K1151" s="178">
        <f>FME_Ranking1[[#This Row],[Structures 100  Score (Normalized, Unweighted)]]*$I$3</f>
        <v>2.915756329520627E-2</v>
      </c>
      <c r="L1151" s="246">
        <f>_xlfn.XLOOKUP(FME_Ranking1[[#This Row],[FME ID]],FME_Input[FME_ID],FME_Input[RES_STRUCT100])</f>
        <v>267</v>
      </c>
      <c r="M1151" s="230">
        <f>(FME_Ranking1[[#This Row],[Res Structures Raw]]/L$2)*100</f>
        <v>0.18911759289427832</v>
      </c>
      <c r="N1151" s="180">
        <f>FME_Ranking1[[#This Row],[Res Structures Score (Normalized, Unweighted)]]*$L$3</f>
        <v>1.8911759289427833E-2</v>
      </c>
      <c r="O1151" s="244">
        <f>_xlfn.XLOOKUP(FME_Ranking1[[#This Row],[FME ID]],FME_Input[FME_ID],FME_Input[POP100])</f>
        <v>589</v>
      </c>
      <c r="P1151" s="178">
        <f>(FME_Ranking1[[#This Row],[Pop Raw]]/$O$2)*100</f>
        <v>6.0299058761381578E-2</v>
      </c>
      <c r="Q1151" s="178">
        <f>FME_Ranking1[[#This Row],[Pop Score (Normalized, Unweighted)]]*$O$3</f>
        <v>9.0448588142072357E-3</v>
      </c>
      <c r="R1151" s="137">
        <f>_xlfn.XLOOKUP(FME_Ranking1[[#This Row],[FME ID]],FME_Input[FME_ID],FME_Input[CRITFAC100])</f>
        <v>1</v>
      </c>
      <c r="S1151" s="230">
        <f>(FME_Ranking1[[#This Row],[Critical Facilities Raw]]/$R$2)*100</f>
        <v>4.2881646655231559E-2</v>
      </c>
      <c r="T1151" s="180">
        <f>FME_Ranking1[[#This Row],[Critical Facilities Score (Normalized, Unweighted)]]*$R$3</f>
        <v>8.5763293310463125E-3</v>
      </c>
      <c r="U1151">
        <f>_xlfn.XLOOKUP(FME_Ranking1[[#This Row],[FME ID]],FME_Input[FME_ID],FME_Input[LWC])</f>
        <v>0</v>
      </c>
      <c r="V1151" s="178">
        <f>(FME_Ranking1[[#This Row],[LWC Raw]]/$U$2)*100</f>
        <v>0</v>
      </c>
      <c r="W1151" s="178">
        <f>FME_Ranking1[[#This Row],[LWC Score (Normalized, Unweighted)]]*$U$3</f>
        <v>0</v>
      </c>
      <c r="X1151" s="246">
        <f>_xlfn.XLOOKUP(FME_Ranking1[[#This Row],[FME ID]],FME_Input[FME_ID],FME_Input[ROADCLS])</f>
        <v>0</v>
      </c>
      <c r="Y1151" s="230">
        <f>(FME_Ranking1[[#This Row],[Closures Raw]]/$X$2)*100</f>
        <v>0</v>
      </c>
      <c r="Z1151" s="180">
        <f>FME_Ranking1[[#This Row],[Closures Score (Normalized, Unweighted)]]*$X$3</f>
        <v>0</v>
      </c>
      <c r="AA1151" s="253">
        <f>_xlfn.XLOOKUP(FME_Ranking1[[#This Row],[FME ID]],FME_Input[FME_ID],FME_Input[ROAD_MILES100])</f>
        <v>8.9817647933959961</v>
      </c>
      <c r="AB1151" s="178">
        <f>(FME_Ranking1[[#This Row],[Miles Raw]]/$AA$2)*100</f>
        <v>0.11809409748172042</v>
      </c>
      <c r="AC1151" s="178">
        <f>FME_Ranking1[[#This Row],[Miles Score (Normalized, Unweighted)]]*$AA$3</f>
        <v>1.1809409748172043E-2</v>
      </c>
      <c r="AD1151" s="255">
        <f>_xlfn.XLOOKUP(FME_Ranking1[[#This Row],[FME ID]],FME_Input[FME_ID],FME_Input[FARMACRE100])</f>
        <v>9.2176370620727539</v>
      </c>
      <c r="AE1151" s="230">
        <f>(FME_Ranking1[[#This Row],[Ag Land Raw]]/$AD$2)*100</f>
        <v>3.8009408965356402E-4</v>
      </c>
      <c r="AF1151" s="231">
        <f>FME_Ranking1[[#This Row],[Ag Land Score (Normalized, Unweighted)]]*$AD$3</f>
        <v>1.9004704482678203E-5</v>
      </c>
      <c r="AG115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7.7518925182542373E-2</v>
      </c>
      <c r="AH1151" s="406">
        <f t="shared" si="17"/>
        <v>1140</v>
      </c>
      <c r="AI115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7.7518925182542373E-2</v>
      </c>
      <c r="AJ1151" s="257">
        <f>FME_Ranking1[[#This Row],[Addition check]]-FME_Ranking1[[#This Row],[Weighted Score Based on Normalized Reported Factors]]</f>
        <v>0</v>
      </c>
      <c r="AK1151" s="178">
        <f>_xlfn.RANK.EQ(AI1151,$AI$6:$AI$2341,0)+COUNTIF($AI$6:AI1151,AI1151)-1</f>
        <v>1140</v>
      </c>
    </row>
    <row r="1152" spans="1:37" x14ac:dyDescent="0.25">
      <c r="A1152" t="s">
        <v>1135</v>
      </c>
      <c r="B1152">
        <f>_xlfn.XLOOKUP(FME_Ranking1[[#This Row],[FME ID]],FME_Input[FME_ID],FME_Input[RFPG_NUM])</f>
        <v>6</v>
      </c>
      <c r="C1152" t="str">
        <f>_xlfn.XLOOKUP(FME_Ranking1[[#This Row],[FME ID]],FME_Input[FME_ID],FME_Input[FME_NAME])</f>
        <v>Sunmeadow Drainage Improvements Phase 2</v>
      </c>
      <c r="D1152" t="str">
        <f>_xlfn.XLOOKUP(FME_Ranking1[[#This Row],[FME ID]],FME_Input[FME_ID],FME_Input[DESCR])</f>
        <v>Further study of component of 1993 master Drainage Plan Phase 1. Initial phase of project completed in 2005. Upsizing storm sewer system to reduce potential flooding. Include Atlas 14 rainfalls.</v>
      </c>
      <c r="E1152" s="256">
        <f>_xlfn.XLOOKUP(FME_Ranking1[[#This Row],[FME ID]],FME_Input[FME_ID],FME_Input[FME_COST])</f>
        <v>160000</v>
      </c>
      <c r="F1152" t="str">
        <f>_xlfn.XLOOKUP(FME_Ranking1[[#This Row],[FME ID]],FME_Input[FME_ID],FME_Input[EMER_NEED])</f>
        <v>No</v>
      </c>
      <c r="G1152">
        <f>IF(FME_Ranking!F1152="Yes",100,0)</f>
        <v>0</v>
      </c>
      <c r="H1152">
        <f>FME_Ranking1[[#This Row],[Emergency Need Score (Normalized, Unweighted)]]*$F$3</f>
        <v>0</v>
      </c>
      <c r="I1152" s="246">
        <f>_xlfn.XLOOKUP(FME_Ranking1[[#This Row],[FME ID]],FME_Input[FME_ID],FME_Input[STRUCT_100])</f>
        <v>363</v>
      </c>
      <c r="J1152" s="178">
        <f>(FME_Ranking1[[#This Row],[Structures 100 Raw]]/I$2)*100</f>
        <v>0.19438375530137514</v>
      </c>
      <c r="K1152" s="178">
        <f>FME_Ranking1[[#This Row],[Structures 100  Score (Normalized, Unweighted)]]*$I$3</f>
        <v>2.915756329520627E-2</v>
      </c>
      <c r="L1152" s="246">
        <f>_xlfn.XLOOKUP(FME_Ranking1[[#This Row],[FME ID]],FME_Input[FME_ID],FME_Input[RES_STRUCT100])</f>
        <v>267</v>
      </c>
      <c r="M1152" s="230">
        <f>(FME_Ranking1[[#This Row],[Res Structures Raw]]/L$2)*100</f>
        <v>0.18911759289427832</v>
      </c>
      <c r="N1152" s="180">
        <f>FME_Ranking1[[#This Row],[Res Structures Score (Normalized, Unweighted)]]*$L$3</f>
        <v>1.8911759289427833E-2</v>
      </c>
      <c r="O1152" s="244">
        <f>_xlfn.XLOOKUP(FME_Ranking1[[#This Row],[FME ID]],FME_Input[FME_ID],FME_Input[POP100])</f>
        <v>589</v>
      </c>
      <c r="P1152" s="178">
        <f>(FME_Ranking1[[#This Row],[Pop Raw]]/$O$2)*100</f>
        <v>6.0299058761381578E-2</v>
      </c>
      <c r="Q1152" s="178">
        <f>FME_Ranking1[[#This Row],[Pop Score (Normalized, Unweighted)]]*$O$3</f>
        <v>9.0448588142072357E-3</v>
      </c>
      <c r="R1152" s="137">
        <f>_xlfn.XLOOKUP(FME_Ranking1[[#This Row],[FME ID]],FME_Input[FME_ID],FME_Input[CRITFAC100])</f>
        <v>1</v>
      </c>
      <c r="S1152" s="230">
        <f>(FME_Ranking1[[#This Row],[Critical Facilities Raw]]/$R$2)*100</f>
        <v>4.2881646655231559E-2</v>
      </c>
      <c r="T1152" s="180">
        <f>FME_Ranking1[[#This Row],[Critical Facilities Score (Normalized, Unweighted)]]*$R$3</f>
        <v>8.5763293310463125E-3</v>
      </c>
      <c r="U1152">
        <f>_xlfn.XLOOKUP(FME_Ranking1[[#This Row],[FME ID]],FME_Input[FME_ID],FME_Input[LWC])</f>
        <v>0</v>
      </c>
      <c r="V1152" s="178">
        <f>(FME_Ranking1[[#This Row],[LWC Raw]]/$U$2)*100</f>
        <v>0</v>
      </c>
      <c r="W1152" s="178">
        <f>FME_Ranking1[[#This Row],[LWC Score (Normalized, Unweighted)]]*$U$3</f>
        <v>0</v>
      </c>
      <c r="X1152" s="246">
        <f>_xlfn.XLOOKUP(FME_Ranking1[[#This Row],[FME ID]],FME_Input[FME_ID],FME_Input[ROADCLS])</f>
        <v>0</v>
      </c>
      <c r="Y1152" s="230">
        <f>(FME_Ranking1[[#This Row],[Closures Raw]]/$X$2)*100</f>
        <v>0</v>
      </c>
      <c r="Z1152" s="180">
        <f>FME_Ranking1[[#This Row],[Closures Score (Normalized, Unweighted)]]*$X$3</f>
        <v>0</v>
      </c>
      <c r="AA1152" s="253">
        <f>_xlfn.XLOOKUP(FME_Ranking1[[#This Row],[FME ID]],FME_Input[FME_ID],FME_Input[ROAD_MILES100])</f>
        <v>8.9817647933959961</v>
      </c>
      <c r="AB1152" s="178">
        <f>(FME_Ranking1[[#This Row],[Miles Raw]]/$AA$2)*100</f>
        <v>0.11809409748172042</v>
      </c>
      <c r="AC1152" s="178">
        <f>FME_Ranking1[[#This Row],[Miles Score (Normalized, Unweighted)]]*$AA$3</f>
        <v>1.1809409748172043E-2</v>
      </c>
      <c r="AD1152" s="255">
        <f>_xlfn.XLOOKUP(FME_Ranking1[[#This Row],[FME ID]],FME_Input[FME_ID],FME_Input[FARMACRE100])</f>
        <v>9.2176370620727539</v>
      </c>
      <c r="AE1152" s="230">
        <f>(FME_Ranking1[[#This Row],[Ag Land Raw]]/$AD$2)*100</f>
        <v>3.8009408965356402E-4</v>
      </c>
      <c r="AF1152" s="231">
        <f>FME_Ranking1[[#This Row],[Ag Land Score (Normalized, Unweighted)]]*$AD$3</f>
        <v>1.9004704482678203E-5</v>
      </c>
      <c r="AG115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7.7518925182542373E-2</v>
      </c>
      <c r="AH1152" s="406">
        <f t="shared" si="17"/>
        <v>1140</v>
      </c>
      <c r="AI115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7.7518925182542373E-2</v>
      </c>
      <c r="AJ1152" s="257">
        <f>FME_Ranking1[[#This Row],[Addition check]]-FME_Ranking1[[#This Row],[Weighted Score Based on Normalized Reported Factors]]</f>
        <v>0</v>
      </c>
      <c r="AK1152" s="178">
        <f>_xlfn.RANK.EQ(AI1152,$AI$6:$AI$2341,0)+COUNTIF($AI$6:AI1152,AI1152)-1</f>
        <v>1141</v>
      </c>
    </row>
    <row r="1153" spans="1:37" x14ac:dyDescent="0.25">
      <c r="A1153" t="s">
        <v>1724</v>
      </c>
      <c r="B1153">
        <f>_xlfn.XLOOKUP(FME_Ranking1[[#This Row],[FME ID]],FME_Input[FME_ID],FME_Input[RFPG_NUM])</f>
        <v>6</v>
      </c>
      <c r="C1153" t="str">
        <f>_xlfn.XLOOKUP(FME_Ranking1[[#This Row],[FME ID]],FME_Input[FME_ID],FME_Input[FME_NAME])</f>
        <v>City of Plum Grove  Master Drainage Plan</v>
      </c>
      <c r="D1153" t="str">
        <f>_xlfn.XLOOKUP(FME_Ranking1[[#This Row],[FME ID]],FME_Input[FME_ID],FME_Input[DESCR])</f>
        <v>Study to develop Master Drainage Plan using future and existing land use and flood/storm water drainage needs including Atlas 14 rainfall.</v>
      </c>
      <c r="E1153" s="256">
        <f>_xlfn.XLOOKUP(FME_Ranking1[[#This Row],[FME ID]],FME_Input[FME_ID],FME_Input[FME_COST])</f>
        <v>230000</v>
      </c>
      <c r="F1153" t="str">
        <f>_xlfn.XLOOKUP(FME_Ranking1[[#This Row],[FME ID]],FME_Input[FME_ID],FME_Input[EMER_NEED])</f>
        <v>No</v>
      </c>
      <c r="G1153">
        <f>IF(FME_Ranking!F1153="Yes",100,0)</f>
        <v>0</v>
      </c>
      <c r="H1153">
        <f>FME_Ranking1[[#This Row],[Emergency Need Score (Normalized, Unweighted)]]*$F$3</f>
        <v>0</v>
      </c>
      <c r="I1153" s="246">
        <f>_xlfn.XLOOKUP(FME_Ranking1[[#This Row],[FME ID]],FME_Input[FME_ID],FME_Input[STRUCT_100])</f>
        <v>363</v>
      </c>
      <c r="J1153" s="178">
        <f>(FME_Ranking1[[#This Row],[Structures 100 Raw]]/I$2)*100</f>
        <v>0.19438375530137514</v>
      </c>
      <c r="K1153" s="178">
        <f>FME_Ranking1[[#This Row],[Structures 100  Score (Normalized, Unweighted)]]*$I$3</f>
        <v>2.915756329520627E-2</v>
      </c>
      <c r="L1153" s="246">
        <f>_xlfn.XLOOKUP(FME_Ranking1[[#This Row],[FME ID]],FME_Input[FME_ID],FME_Input[RES_STRUCT100])</f>
        <v>267</v>
      </c>
      <c r="M1153" s="230">
        <f>(FME_Ranking1[[#This Row],[Res Structures Raw]]/L$2)*100</f>
        <v>0.18911759289427832</v>
      </c>
      <c r="N1153" s="180">
        <f>FME_Ranking1[[#This Row],[Res Structures Score (Normalized, Unweighted)]]*$L$3</f>
        <v>1.8911759289427833E-2</v>
      </c>
      <c r="O1153" s="244">
        <f>_xlfn.XLOOKUP(FME_Ranking1[[#This Row],[FME ID]],FME_Input[FME_ID],FME_Input[POP100])</f>
        <v>589</v>
      </c>
      <c r="P1153" s="178">
        <f>(FME_Ranking1[[#This Row],[Pop Raw]]/$O$2)*100</f>
        <v>6.0299058761381578E-2</v>
      </c>
      <c r="Q1153" s="178">
        <f>FME_Ranking1[[#This Row],[Pop Score (Normalized, Unweighted)]]*$O$3</f>
        <v>9.0448588142072357E-3</v>
      </c>
      <c r="R1153" s="137">
        <f>_xlfn.XLOOKUP(FME_Ranking1[[#This Row],[FME ID]],FME_Input[FME_ID],FME_Input[CRITFAC100])</f>
        <v>1</v>
      </c>
      <c r="S1153" s="230">
        <f>(FME_Ranking1[[#This Row],[Critical Facilities Raw]]/$R$2)*100</f>
        <v>4.2881646655231559E-2</v>
      </c>
      <c r="T1153" s="180">
        <f>FME_Ranking1[[#This Row],[Critical Facilities Score (Normalized, Unweighted)]]*$R$3</f>
        <v>8.5763293310463125E-3</v>
      </c>
      <c r="U1153">
        <f>_xlfn.XLOOKUP(FME_Ranking1[[#This Row],[FME ID]],FME_Input[FME_ID],FME_Input[LWC])</f>
        <v>0</v>
      </c>
      <c r="V1153" s="178">
        <f>(FME_Ranking1[[#This Row],[LWC Raw]]/$U$2)*100</f>
        <v>0</v>
      </c>
      <c r="W1153" s="178">
        <f>FME_Ranking1[[#This Row],[LWC Score (Normalized, Unweighted)]]*$U$3</f>
        <v>0</v>
      </c>
      <c r="X1153" s="246">
        <f>_xlfn.XLOOKUP(FME_Ranking1[[#This Row],[FME ID]],FME_Input[FME_ID],FME_Input[ROADCLS])</f>
        <v>0</v>
      </c>
      <c r="Y1153" s="230">
        <f>(FME_Ranking1[[#This Row],[Closures Raw]]/$X$2)*100</f>
        <v>0</v>
      </c>
      <c r="Z1153" s="180">
        <f>FME_Ranking1[[#This Row],[Closures Score (Normalized, Unweighted)]]*$X$3</f>
        <v>0</v>
      </c>
      <c r="AA1153" s="253">
        <f>_xlfn.XLOOKUP(FME_Ranking1[[#This Row],[FME ID]],FME_Input[FME_ID],FME_Input[ROAD_MILES100])</f>
        <v>8.9817647933959961</v>
      </c>
      <c r="AB1153" s="178">
        <f>(FME_Ranking1[[#This Row],[Miles Raw]]/$AA$2)*100</f>
        <v>0.11809409748172042</v>
      </c>
      <c r="AC1153" s="178">
        <f>FME_Ranking1[[#This Row],[Miles Score (Normalized, Unweighted)]]*$AA$3</f>
        <v>1.1809409748172043E-2</v>
      </c>
      <c r="AD1153" s="255">
        <f>_xlfn.XLOOKUP(FME_Ranking1[[#This Row],[FME ID]],FME_Input[FME_ID],FME_Input[FARMACRE100])</f>
        <v>9.2176370620727539</v>
      </c>
      <c r="AE1153" s="230">
        <f>(FME_Ranking1[[#This Row],[Ag Land Raw]]/$AD$2)*100</f>
        <v>3.8009408965356402E-4</v>
      </c>
      <c r="AF1153" s="231">
        <f>FME_Ranking1[[#This Row],[Ag Land Score (Normalized, Unweighted)]]*$AD$3</f>
        <v>1.9004704482678203E-5</v>
      </c>
      <c r="AG115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7.7518925182542373E-2</v>
      </c>
      <c r="AH1153" s="406">
        <f t="shared" si="17"/>
        <v>1140</v>
      </c>
      <c r="AI115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7.7518925182542373E-2</v>
      </c>
      <c r="AJ1153" s="257">
        <f>FME_Ranking1[[#This Row],[Addition check]]-FME_Ranking1[[#This Row],[Weighted Score Based on Normalized Reported Factors]]</f>
        <v>0</v>
      </c>
      <c r="AK1153" s="178">
        <f>_xlfn.RANK.EQ(AI1153,$AI$6:$AI$2341,0)+COUNTIF($AI$6:AI1153,AI1153)-1</f>
        <v>1142</v>
      </c>
    </row>
    <row r="1154" spans="1:37" x14ac:dyDescent="0.25">
      <c r="A1154" t="s">
        <v>11445</v>
      </c>
      <c r="B1154">
        <f>_xlfn.XLOOKUP(FME_Ranking1[[#This Row],[FME ID]],FME_Input[FME_ID],FME_Input[RFPG_NUM])</f>
        <v>15</v>
      </c>
      <c r="C1154" t="str">
        <f>_xlfn.XLOOKUP(FME_Ranking1[[#This Row],[FME ID]],FME_Input[FME_ID],FME_Input[FME_NAME])</f>
        <v>Weslaco Stormwater Improvement Plan -  Pleasantview Drive and 11th Street</v>
      </c>
      <c r="D1154" t="str">
        <f>_xlfn.XLOOKUP(FME_Ranking1[[#This Row],[FME ID]],FME_Input[FME_ID],FME_Input[DESCR])</f>
        <v>Installation of 3,220 LF of new storm drain system consisting of two – 8’ x 4’ RCBs along Mile 3 ½.</v>
      </c>
      <c r="E1154" s="256">
        <f>_xlfn.XLOOKUP(FME_Ranking1[[#This Row],[FME ID]],FME_Input[FME_ID],FME_Input[FME_COST])</f>
        <v>819390</v>
      </c>
      <c r="F1154" t="str">
        <f>_xlfn.XLOOKUP(FME_Ranking1[[#This Row],[FME ID]],FME_Input[FME_ID],FME_Input[EMER_NEED])</f>
        <v>Yes</v>
      </c>
      <c r="G1154">
        <f>IF(FME_Ranking!F1154="Yes",100,0)</f>
        <v>100</v>
      </c>
      <c r="H1154">
        <f>FME_Ranking1[[#This Row],[Emergency Need Score (Normalized, Unweighted)]]*$F$3</f>
        <v>0</v>
      </c>
      <c r="I1154" s="246">
        <f>_xlfn.XLOOKUP(FME_Ranking1[[#This Row],[FME ID]],FME_Input[FME_ID],FME_Input[STRUCT_100])</f>
        <v>0</v>
      </c>
      <c r="J1154" s="178">
        <f>(FME_Ranking1[[#This Row],[Structures 100 Raw]]/I$2)*100</f>
        <v>0</v>
      </c>
      <c r="K1154" s="178">
        <f>FME_Ranking1[[#This Row],[Structures 100  Score (Normalized, Unweighted)]]*$I$3</f>
        <v>0</v>
      </c>
      <c r="L1154" s="246">
        <f>_xlfn.XLOOKUP(FME_Ranking1[[#This Row],[FME ID]],FME_Input[FME_ID],FME_Input[RES_STRUCT100])</f>
        <v>155</v>
      </c>
      <c r="M1154" s="230">
        <f>(FME_Ranking1[[#This Row],[Res Structures Raw]]/L$2)*100</f>
        <v>0.10978736666147242</v>
      </c>
      <c r="N1154" s="180">
        <f>FME_Ranking1[[#This Row],[Res Structures Score (Normalized, Unweighted)]]*$L$3</f>
        <v>1.0978736666147243E-2</v>
      </c>
      <c r="O1154" s="244">
        <f>_xlfn.XLOOKUP(FME_Ranking1[[#This Row],[FME ID]],FME_Input[FME_ID],FME_Input[POP100])</f>
        <v>2951</v>
      </c>
      <c r="P1154" s="178">
        <f>(FME_Ranking1[[#This Row],[Pop Raw]]/$O$2)*100</f>
        <v>0.30210954567884046</v>
      </c>
      <c r="Q1154" s="178">
        <f>FME_Ranking1[[#This Row],[Pop Score (Normalized, Unweighted)]]*$O$3</f>
        <v>4.5316431851826065E-2</v>
      </c>
      <c r="R1154" s="137">
        <f>_xlfn.XLOOKUP(FME_Ranking1[[#This Row],[FME ID]],FME_Input[FME_ID],FME_Input[CRITFAC100])</f>
        <v>1</v>
      </c>
      <c r="S1154" s="230">
        <f>(FME_Ranking1[[#This Row],[Critical Facilities Raw]]/$R$2)*100</f>
        <v>4.2881646655231559E-2</v>
      </c>
      <c r="T1154" s="180">
        <f>FME_Ranking1[[#This Row],[Critical Facilities Score (Normalized, Unweighted)]]*$R$3</f>
        <v>8.5763293310463125E-3</v>
      </c>
      <c r="U1154">
        <f>_xlfn.XLOOKUP(FME_Ranking1[[#This Row],[FME ID]],FME_Input[FME_ID],FME_Input[LWC])</f>
        <v>0</v>
      </c>
      <c r="V1154" s="178">
        <f>(FME_Ranking1[[#This Row],[LWC Raw]]/$U$2)*100</f>
        <v>0</v>
      </c>
      <c r="W1154" s="178">
        <f>FME_Ranking1[[#This Row],[LWC Score (Normalized, Unweighted)]]*$U$3</f>
        <v>0</v>
      </c>
      <c r="X1154" s="246">
        <f>_xlfn.XLOOKUP(FME_Ranking1[[#This Row],[FME ID]],FME_Input[FME_ID],FME_Input[ROADCLS])</f>
        <v>0</v>
      </c>
      <c r="Y1154" s="230">
        <f>(FME_Ranking1[[#This Row],[Closures Raw]]/$X$2)*100</f>
        <v>0</v>
      </c>
      <c r="Z1154" s="180">
        <f>FME_Ranking1[[#This Row],[Closures Score (Normalized, Unweighted)]]*$X$3</f>
        <v>0</v>
      </c>
      <c r="AA1154" s="253">
        <f>_xlfn.XLOOKUP(FME_Ranking1[[#This Row],[FME ID]],FME_Input[FME_ID],FME_Input[ROAD_MILES100])</f>
        <v>25.121200561523441</v>
      </c>
      <c r="AB1154" s="178">
        <f>(FME_Ranking1[[#This Row],[Miles Raw]]/$AA$2)*100</f>
        <v>0.33029873039557811</v>
      </c>
      <c r="AC1154" s="178">
        <f>FME_Ranking1[[#This Row],[Miles Score (Normalized, Unweighted)]]*$AA$3</f>
        <v>3.302987303955781E-2</v>
      </c>
      <c r="AD1154" s="255">
        <f>_xlfn.XLOOKUP(FME_Ranking1[[#This Row],[FME ID]],FME_Input[FME_ID],FME_Input[FARMACRE100])</f>
        <v>0</v>
      </c>
      <c r="AE1154" s="230">
        <f>(FME_Ranking1[[#This Row],[Ag Land Raw]]/$AD$2)*100</f>
        <v>0</v>
      </c>
      <c r="AF1154" s="231">
        <f>FME_Ranking1[[#This Row],[Ag Land Score (Normalized, Unweighted)]]*$AD$3</f>
        <v>0</v>
      </c>
      <c r="AG115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9.7901370888577421E-2</v>
      </c>
      <c r="AH1154" s="406">
        <f t="shared" si="17"/>
        <v>1052</v>
      </c>
      <c r="AI115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9.7901370888577421E-2</v>
      </c>
      <c r="AJ1154" s="257">
        <f>FME_Ranking1[[#This Row],[Addition check]]-FME_Ranking1[[#This Row],[Weighted Score Based on Normalized Reported Factors]]</f>
        <v>0</v>
      </c>
      <c r="AK1154" s="178">
        <f>_xlfn.RANK.EQ(AI1154,$AI$6:$AI$2341,0)+COUNTIF($AI$6:AI1154,AI1154)-1</f>
        <v>1052</v>
      </c>
    </row>
    <row r="1155" spans="1:37" x14ac:dyDescent="0.25">
      <c r="A1155" t="s">
        <v>6665</v>
      </c>
      <c r="B1155">
        <f>_xlfn.XLOOKUP(FME_Ranking1[[#This Row],[FME ID]],FME_Input[FME_ID],FME_Input[RFPG_NUM])</f>
        <v>7</v>
      </c>
      <c r="C1155" t="str">
        <f>_xlfn.XLOOKUP(FME_Ranking1[[#This Row],[FME ID]],FME_Input[FME_ID],FME_Input[FME_NAME])</f>
        <v>Kent County Initial FEMA Mapping</v>
      </c>
      <c r="D1155" t="str">
        <f>_xlfn.XLOOKUP(FME_Ranking1[[#This Row],[FME ID]],FME_Input[FME_ID],FME_Input[DESCR])</f>
        <v>Create FEMA Mapping in previously unmapped areas</v>
      </c>
      <c r="E1155" s="256">
        <f>_xlfn.XLOOKUP(FME_Ranking1[[#This Row],[FME ID]],FME_Input[FME_ID],FME_Input[FME_COST])</f>
        <v>965000</v>
      </c>
      <c r="F1155" t="str">
        <f>_xlfn.XLOOKUP(FME_Ranking1[[#This Row],[FME ID]],FME_Input[FME_ID],FME_Input[EMER_NEED])</f>
        <v>No</v>
      </c>
      <c r="G1155">
        <f>IF(FME_Ranking!F1155="Yes",100,0)</f>
        <v>0</v>
      </c>
      <c r="H1155">
        <f>FME_Ranking1[[#This Row],[Emergency Need Score (Normalized, Unweighted)]]*$F$3</f>
        <v>0</v>
      </c>
      <c r="I1155" s="246">
        <f>_xlfn.XLOOKUP(FME_Ranking1[[#This Row],[FME ID]],FME_Input[FME_ID],FME_Input[STRUCT_100])</f>
        <v>38</v>
      </c>
      <c r="J1155" s="178">
        <f>(FME_Ranking1[[#This Row],[Structures 100 Raw]]/I$2)*100</f>
        <v>2.0348712676177012E-2</v>
      </c>
      <c r="K1155" s="178">
        <f>FME_Ranking1[[#This Row],[Structures 100  Score (Normalized, Unweighted)]]*$I$3</f>
        <v>3.0523069014265517E-3</v>
      </c>
      <c r="L1155" s="246">
        <f>_xlfn.XLOOKUP(FME_Ranking1[[#This Row],[FME ID]],FME_Input[FME_ID],FME_Input[RES_STRUCT100])</f>
        <v>3</v>
      </c>
      <c r="M1155" s="230">
        <f>(FME_Ranking1[[#This Row],[Res Structures Raw]]/L$2)*100</f>
        <v>2.1249167740930146E-3</v>
      </c>
      <c r="N1155" s="180">
        <f>FME_Ranking1[[#This Row],[Res Structures Score (Normalized, Unweighted)]]*$L$3</f>
        <v>2.1249167740930149E-4</v>
      </c>
      <c r="O1155" s="244">
        <f>_xlfn.XLOOKUP(FME_Ranking1[[#This Row],[FME ID]],FME_Input[FME_ID],FME_Input[POP100])</f>
        <v>3</v>
      </c>
      <c r="P1155" s="178">
        <f>(FME_Ranking1[[#This Row],[Pop Raw]]/$O$2)*100</f>
        <v>3.0712593596628988E-4</v>
      </c>
      <c r="Q1155" s="178">
        <f>FME_Ranking1[[#This Row],[Pop Score (Normalized, Unweighted)]]*$O$3</f>
        <v>4.6068890394943479E-5</v>
      </c>
      <c r="R1155" s="137">
        <f>_xlfn.XLOOKUP(FME_Ranking1[[#This Row],[FME ID]],FME_Input[FME_ID],FME_Input[CRITFAC100])</f>
        <v>1</v>
      </c>
      <c r="S1155" s="230">
        <f>(FME_Ranking1[[#This Row],[Critical Facilities Raw]]/$R$2)*100</f>
        <v>4.2881646655231559E-2</v>
      </c>
      <c r="T1155" s="180">
        <f>FME_Ranking1[[#This Row],[Critical Facilities Score (Normalized, Unweighted)]]*$R$3</f>
        <v>8.5763293310463125E-3</v>
      </c>
      <c r="U1155">
        <f>_xlfn.XLOOKUP(FME_Ranking1[[#This Row],[FME ID]],FME_Input[FME_ID],FME_Input[LWC])</f>
        <v>4</v>
      </c>
      <c r="V1155" s="178">
        <f>(FME_Ranking1[[#This Row],[LWC Raw]]/$U$2)*100</f>
        <v>0.23028209556706969</v>
      </c>
      <c r="W1155" s="178">
        <f>FME_Ranking1[[#This Row],[LWC Score (Normalized, Unweighted)]]*$U$3</f>
        <v>4.6056419113413939E-2</v>
      </c>
      <c r="X1155" s="246">
        <f>_xlfn.XLOOKUP(FME_Ranking1[[#This Row],[FME ID]],FME_Input[FME_ID],FME_Input[ROADCLS])</f>
        <v>0</v>
      </c>
      <c r="Y1155" s="230">
        <f>(FME_Ranking1[[#This Row],[Closures Raw]]/$X$2)*100</f>
        <v>0</v>
      </c>
      <c r="Z1155" s="180">
        <f>FME_Ranking1[[#This Row],[Closures Score (Normalized, Unweighted)]]*$X$3</f>
        <v>0</v>
      </c>
      <c r="AA1155" s="253">
        <f>_xlfn.XLOOKUP(FME_Ranking1[[#This Row],[FME ID]],FME_Input[FME_ID],FME_Input[ROAD_MILES100])</f>
        <v>40.555728912353523</v>
      </c>
      <c r="AB1155" s="178">
        <f>(FME_Ranking1[[#This Row],[Miles Raw]]/$AA$2)*100</f>
        <v>0.53323509508278277</v>
      </c>
      <c r="AC1155" s="178">
        <f>FME_Ranking1[[#This Row],[Miles Score (Normalized, Unweighted)]]*$AA$3</f>
        <v>5.3323509508278279E-2</v>
      </c>
      <c r="AD1155" s="255">
        <f>_xlfn.XLOOKUP(FME_Ranking1[[#This Row],[FME ID]],FME_Input[FME_ID],FME_Input[FARMACRE100])</f>
        <v>3243.90771484375</v>
      </c>
      <c r="AE1155" s="230">
        <f>(FME_Ranking1[[#This Row],[Ag Land Raw]]/$AD$2)*100</f>
        <v>0.13376423279530253</v>
      </c>
      <c r="AF1155" s="231">
        <f>FME_Ranking1[[#This Row],[Ag Land Score (Normalized, Unweighted)]]*$AD$3</f>
        <v>6.6882116397651266E-3</v>
      </c>
      <c r="AG115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0.11795533706173446</v>
      </c>
      <c r="AH1155" s="406">
        <f t="shared" si="17"/>
        <v>986</v>
      </c>
      <c r="AI115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0.11795533706173446</v>
      </c>
      <c r="AJ1155" s="257">
        <f>FME_Ranking1[[#This Row],[Addition check]]-FME_Ranking1[[#This Row],[Weighted Score Based on Normalized Reported Factors]]</f>
        <v>0</v>
      </c>
      <c r="AK1155" s="178">
        <f>_xlfn.RANK.EQ(AI1155,$AI$6:$AI$2341,0)+COUNTIF($AI$6:AI1155,AI1155)-1</f>
        <v>986</v>
      </c>
    </row>
    <row r="1156" spans="1:37" x14ac:dyDescent="0.25">
      <c r="A1156" t="s">
        <v>6673</v>
      </c>
      <c r="B1156">
        <f>_xlfn.XLOOKUP(FME_Ranking1[[#This Row],[FME ID]],FME_Input[FME_ID],FME_Input[RFPG_NUM])</f>
        <v>7</v>
      </c>
      <c r="C1156" t="str">
        <f>_xlfn.XLOOKUP(FME_Ranking1[[#This Row],[FME ID]],FME_Input[FME_ID],FME_Input[FME_NAME])</f>
        <v>Kent County DMP</v>
      </c>
      <c r="D1156" t="str">
        <f>_xlfn.XLOOKUP(FME_Ranking1[[#This Row],[FME ID]],FME_Input[FME_ID],FME_Input[DESCR])</f>
        <v>Evaluate county to identify future projects, analyze roads/stream crossing for emergency response vehicles to high hazard areas</v>
      </c>
      <c r="E1156" s="256">
        <f>_xlfn.XLOOKUP(FME_Ranking1[[#This Row],[FME ID]],FME_Input[FME_ID],FME_Input[FME_COST])</f>
        <v>500000</v>
      </c>
      <c r="F1156" t="str">
        <f>_xlfn.XLOOKUP(FME_Ranking1[[#This Row],[FME ID]],FME_Input[FME_ID],FME_Input[EMER_NEED])</f>
        <v>No</v>
      </c>
      <c r="G1156">
        <f>IF(FME_Ranking!F1156="Yes",100,0)</f>
        <v>0</v>
      </c>
      <c r="H1156">
        <f>FME_Ranking1[[#This Row],[Emergency Need Score (Normalized, Unweighted)]]*$F$3</f>
        <v>0</v>
      </c>
      <c r="I1156" s="246">
        <f>_xlfn.XLOOKUP(FME_Ranking1[[#This Row],[FME ID]],FME_Input[FME_ID],FME_Input[STRUCT_100])</f>
        <v>38</v>
      </c>
      <c r="J1156" s="178">
        <f>(FME_Ranking1[[#This Row],[Structures 100 Raw]]/I$2)*100</f>
        <v>2.0348712676177012E-2</v>
      </c>
      <c r="K1156" s="178">
        <f>FME_Ranking1[[#This Row],[Structures 100  Score (Normalized, Unweighted)]]*$I$3</f>
        <v>3.0523069014265517E-3</v>
      </c>
      <c r="L1156" s="246">
        <f>_xlfn.XLOOKUP(FME_Ranking1[[#This Row],[FME ID]],FME_Input[FME_ID],FME_Input[RES_STRUCT100])</f>
        <v>3</v>
      </c>
      <c r="M1156" s="230">
        <f>(FME_Ranking1[[#This Row],[Res Structures Raw]]/L$2)*100</f>
        <v>2.1249167740930146E-3</v>
      </c>
      <c r="N1156" s="180">
        <f>FME_Ranking1[[#This Row],[Res Structures Score (Normalized, Unweighted)]]*$L$3</f>
        <v>2.1249167740930149E-4</v>
      </c>
      <c r="O1156" s="244">
        <f>_xlfn.XLOOKUP(FME_Ranking1[[#This Row],[FME ID]],FME_Input[FME_ID],FME_Input[POP100])</f>
        <v>3</v>
      </c>
      <c r="P1156" s="178">
        <f>(FME_Ranking1[[#This Row],[Pop Raw]]/$O$2)*100</f>
        <v>3.0712593596628988E-4</v>
      </c>
      <c r="Q1156" s="178">
        <f>FME_Ranking1[[#This Row],[Pop Score (Normalized, Unweighted)]]*$O$3</f>
        <v>4.6068890394943479E-5</v>
      </c>
      <c r="R1156" s="137">
        <f>_xlfn.XLOOKUP(FME_Ranking1[[#This Row],[FME ID]],FME_Input[FME_ID],FME_Input[CRITFAC100])</f>
        <v>1</v>
      </c>
      <c r="S1156" s="230">
        <f>(FME_Ranking1[[#This Row],[Critical Facilities Raw]]/$R$2)*100</f>
        <v>4.2881646655231559E-2</v>
      </c>
      <c r="T1156" s="180">
        <f>FME_Ranking1[[#This Row],[Critical Facilities Score (Normalized, Unweighted)]]*$R$3</f>
        <v>8.5763293310463125E-3</v>
      </c>
      <c r="U1156">
        <f>_xlfn.XLOOKUP(FME_Ranking1[[#This Row],[FME ID]],FME_Input[FME_ID],FME_Input[LWC])</f>
        <v>4</v>
      </c>
      <c r="V1156" s="178">
        <f>(FME_Ranking1[[#This Row],[LWC Raw]]/$U$2)*100</f>
        <v>0.23028209556706969</v>
      </c>
      <c r="W1156" s="178">
        <f>FME_Ranking1[[#This Row],[LWC Score (Normalized, Unweighted)]]*$U$3</f>
        <v>4.6056419113413939E-2</v>
      </c>
      <c r="X1156" s="246">
        <f>_xlfn.XLOOKUP(FME_Ranking1[[#This Row],[FME ID]],FME_Input[FME_ID],FME_Input[ROADCLS])</f>
        <v>0</v>
      </c>
      <c r="Y1156" s="230">
        <f>(FME_Ranking1[[#This Row],[Closures Raw]]/$X$2)*100</f>
        <v>0</v>
      </c>
      <c r="Z1156" s="180">
        <f>FME_Ranking1[[#This Row],[Closures Score (Normalized, Unweighted)]]*$X$3</f>
        <v>0</v>
      </c>
      <c r="AA1156" s="253">
        <f>_xlfn.XLOOKUP(FME_Ranking1[[#This Row],[FME ID]],FME_Input[FME_ID],FME_Input[ROAD_MILES100])</f>
        <v>40.555728912353523</v>
      </c>
      <c r="AB1156" s="178">
        <f>(FME_Ranking1[[#This Row],[Miles Raw]]/$AA$2)*100</f>
        <v>0.53323509508278277</v>
      </c>
      <c r="AC1156" s="178">
        <f>FME_Ranking1[[#This Row],[Miles Score (Normalized, Unweighted)]]*$AA$3</f>
        <v>5.3323509508278279E-2</v>
      </c>
      <c r="AD1156" s="255">
        <f>_xlfn.XLOOKUP(FME_Ranking1[[#This Row],[FME ID]],FME_Input[FME_ID],FME_Input[FARMACRE100])</f>
        <v>3243.90771484375</v>
      </c>
      <c r="AE1156" s="230">
        <f>(FME_Ranking1[[#This Row],[Ag Land Raw]]/$AD$2)*100</f>
        <v>0.13376423279530253</v>
      </c>
      <c r="AF1156" s="231">
        <f>FME_Ranking1[[#This Row],[Ag Land Score (Normalized, Unweighted)]]*$AD$3</f>
        <v>6.6882116397651266E-3</v>
      </c>
      <c r="AG115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0.11795533706173446</v>
      </c>
      <c r="AH1156" s="406">
        <f t="shared" si="17"/>
        <v>986</v>
      </c>
      <c r="AI115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0.11795533706173446</v>
      </c>
      <c r="AJ1156" s="257">
        <f>FME_Ranking1[[#This Row],[Addition check]]-FME_Ranking1[[#This Row],[Weighted Score Based on Normalized Reported Factors]]</f>
        <v>0</v>
      </c>
      <c r="AK1156" s="178">
        <f>_xlfn.RANK.EQ(AI1156,$AI$6:$AI$2341,0)+COUNTIF($AI$6:AI1156,AI1156)-1</f>
        <v>987</v>
      </c>
    </row>
    <row r="1157" spans="1:37" x14ac:dyDescent="0.25">
      <c r="A1157" t="s">
        <v>6675</v>
      </c>
      <c r="B1157">
        <f>_xlfn.XLOOKUP(FME_Ranking1[[#This Row],[FME ID]],FME_Input[FME_ID],FME_Input[RFPG_NUM])</f>
        <v>7</v>
      </c>
      <c r="C1157" t="str">
        <f>_xlfn.XLOOKUP(FME_Ranking1[[#This Row],[FME ID]],FME_Input[FME_ID],FME_Input[FME_NAME])</f>
        <v>Kent County GIS Development</v>
      </c>
      <c r="D1157" t="str">
        <f>_xlfn.XLOOKUP(FME_Ranking1[[#This Row],[FME ID]],FME_Input[FME_ID],FME_Input[DESCR])</f>
        <v>Develop a GIS inventory of stormwater infrastructure</v>
      </c>
      <c r="E1157" s="256">
        <f>_xlfn.XLOOKUP(FME_Ranking1[[#This Row],[FME ID]],FME_Input[FME_ID],FME_Input[FME_COST])</f>
        <v>100000</v>
      </c>
      <c r="F1157" t="str">
        <f>_xlfn.XLOOKUP(FME_Ranking1[[#This Row],[FME ID]],FME_Input[FME_ID],FME_Input[EMER_NEED])</f>
        <v>No</v>
      </c>
      <c r="G1157">
        <f>IF(FME_Ranking!F1157="Yes",100,0)</f>
        <v>0</v>
      </c>
      <c r="H1157">
        <f>FME_Ranking1[[#This Row],[Emergency Need Score (Normalized, Unweighted)]]*$F$3</f>
        <v>0</v>
      </c>
      <c r="I1157" s="246">
        <f>_xlfn.XLOOKUP(FME_Ranking1[[#This Row],[FME ID]],FME_Input[FME_ID],FME_Input[STRUCT_100])</f>
        <v>38</v>
      </c>
      <c r="J1157" s="178">
        <f>(FME_Ranking1[[#This Row],[Structures 100 Raw]]/I$2)*100</f>
        <v>2.0348712676177012E-2</v>
      </c>
      <c r="K1157" s="178">
        <f>FME_Ranking1[[#This Row],[Structures 100  Score (Normalized, Unweighted)]]*$I$3</f>
        <v>3.0523069014265517E-3</v>
      </c>
      <c r="L1157" s="246">
        <f>_xlfn.XLOOKUP(FME_Ranking1[[#This Row],[FME ID]],FME_Input[FME_ID],FME_Input[RES_STRUCT100])</f>
        <v>3</v>
      </c>
      <c r="M1157" s="230">
        <f>(FME_Ranking1[[#This Row],[Res Structures Raw]]/L$2)*100</f>
        <v>2.1249167740930146E-3</v>
      </c>
      <c r="N1157" s="180">
        <f>FME_Ranking1[[#This Row],[Res Structures Score (Normalized, Unweighted)]]*$L$3</f>
        <v>2.1249167740930149E-4</v>
      </c>
      <c r="O1157" s="244">
        <f>_xlfn.XLOOKUP(FME_Ranking1[[#This Row],[FME ID]],FME_Input[FME_ID],FME_Input[POP100])</f>
        <v>3</v>
      </c>
      <c r="P1157" s="178">
        <f>(FME_Ranking1[[#This Row],[Pop Raw]]/$O$2)*100</f>
        <v>3.0712593596628988E-4</v>
      </c>
      <c r="Q1157" s="178">
        <f>FME_Ranking1[[#This Row],[Pop Score (Normalized, Unweighted)]]*$O$3</f>
        <v>4.6068890394943479E-5</v>
      </c>
      <c r="R1157" s="137">
        <f>_xlfn.XLOOKUP(FME_Ranking1[[#This Row],[FME ID]],FME_Input[FME_ID],FME_Input[CRITFAC100])</f>
        <v>1</v>
      </c>
      <c r="S1157" s="230">
        <f>(FME_Ranking1[[#This Row],[Critical Facilities Raw]]/$R$2)*100</f>
        <v>4.2881646655231559E-2</v>
      </c>
      <c r="T1157" s="180">
        <f>FME_Ranking1[[#This Row],[Critical Facilities Score (Normalized, Unweighted)]]*$R$3</f>
        <v>8.5763293310463125E-3</v>
      </c>
      <c r="U1157">
        <f>_xlfn.XLOOKUP(FME_Ranking1[[#This Row],[FME ID]],FME_Input[FME_ID],FME_Input[LWC])</f>
        <v>4</v>
      </c>
      <c r="V1157" s="178">
        <f>(FME_Ranking1[[#This Row],[LWC Raw]]/$U$2)*100</f>
        <v>0.23028209556706969</v>
      </c>
      <c r="W1157" s="178">
        <f>FME_Ranking1[[#This Row],[LWC Score (Normalized, Unweighted)]]*$U$3</f>
        <v>4.6056419113413939E-2</v>
      </c>
      <c r="X1157" s="246">
        <f>_xlfn.XLOOKUP(FME_Ranking1[[#This Row],[FME ID]],FME_Input[FME_ID],FME_Input[ROADCLS])</f>
        <v>0</v>
      </c>
      <c r="Y1157" s="230">
        <f>(FME_Ranking1[[#This Row],[Closures Raw]]/$X$2)*100</f>
        <v>0</v>
      </c>
      <c r="Z1157" s="180">
        <f>FME_Ranking1[[#This Row],[Closures Score (Normalized, Unweighted)]]*$X$3</f>
        <v>0</v>
      </c>
      <c r="AA1157" s="253">
        <f>_xlfn.XLOOKUP(FME_Ranking1[[#This Row],[FME ID]],FME_Input[FME_ID],FME_Input[ROAD_MILES100])</f>
        <v>40.555728912353523</v>
      </c>
      <c r="AB1157" s="178">
        <f>(FME_Ranking1[[#This Row],[Miles Raw]]/$AA$2)*100</f>
        <v>0.53323509508278277</v>
      </c>
      <c r="AC1157" s="178">
        <f>FME_Ranking1[[#This Row],[Miles Score (Normalized, Unweighted)]]*$AA$3</f>
        <v>5.3323509508278279E-2</v>
      </c>
      <c r="AD1157" s="255">
        <f>_xlfn.XLOOKUP(FME_Ranking1[[#This Row],[FME ID]],FME_Input[FME_ID],FME_Input[FARMACRE100])</f>
        <v>3243.90771484375</v>
      </c>
      <c r="AE1157" s="230">
        <f>(FME_Ranking1[[#This Row],[Ag Land Raw]]/$AD$2)*100</f>
        <v>0.13376423279530253</v>
      </c>
      <c r="AF1157" s="231">
        <f>FME_Ranking1[[#This Row],[Ag Land Score (Normalized, Unweighted)]]*$AD$3</f>
        <v>6.6882116397651266E-3</v>
      </c>
      <c r="AG115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0.11795533706173446</v>
      </c>
      <c r="AH1157" s="406">
        <f t="shared" si="17"/>
        <v>986</v>
      </c>
      <c r="AI115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0.11795533706173446</v>
      </c>
      <c r="AJ1157" s="257">
        <f>FME_Ranking1[[#This Row],[Addition check]]-FME_Ranking1[[#This Row],[Weighted Score Based on Normalized Reported Factors]]</f>
        <v>0</v>
      </c>
      <c r="AK1157" s="178">
        <f>_xlfn.RANK.EQ(AI1157,$AI$6:$AI$2341,0)+COUNTIF($AI$6:AI1157,AI1157)-1</f>
        <v>988</v>
      </c>
    </row>
    <row r="1158" spans="1:37" x14ac:dyDescent="0.25">
      <c r="A1158" t="s">
        <v>7250</v>
      </c>
      <c r="B1158">
        <f>_xlfn.XLOOKUP(FME_Ranking1[[#This Row],[FME ID]],FME_Input[FME_ID],FME_Input[RFPG_NUM])</f>
        <v>7</v>
      </c>
      <c r="C1158" t="str">
        <f>_xlfn.XLOOKUP(FME_Ranking1[[#This Row],[FME ID]],FME_Input[FME_ID],FME_Input[FME_NAME])</f>
        <v>Kent County DCM</v>
      </c>
      <c r="D1158" t="str">
        <f>_xlfn.XLOOKUP(FME_Ranking1[[#This Row],[FME ID]],FME_Input[FME_ID],FME_Input[DESCR])</f>
        <v>Consider stormwater criteria for infrastructure and floodplain ordinances to avoid new exposure to flood hazards.</v>
      </c>
      <c r="E1158" s="256">
        <f>_xlfn.XLOOKUP(FME_Ranking1[[#This Row],[FME ID]],FME_Input[FME_ID],FME_Input[FME_COST])</f>
        <v>100000</v>
      </c>
      <c r="F1158" t="str">
        <f>_xlfn.XLOOKUP(FME_Ranking1[[#This Row],[FME ID]],FME_Input[FME_ID],FME_Input[EMER_NEED])</f>
        <v>No</v>
      </c>
      <c r="G1158">
        <f>IF(FME_Ranking!F1158="Yes",100,0)</f>
        <v>0</v>
      </c>
      <c r="H1158">
        <f>FME_Ranking1[[#This Row],[Emergency Need Score (Normalized, Unweighted)]]*$F$3</f>
        <v>0</v>
      </c>
      <c r="I1158" s="246">
        <f>_xlfn.XLOOKUP(FME_Ranking1[[#This Row],[FME ID]],FME_Input[FME_ID],FME_Input[STRUCT_100])</f>
        <v>38</v>
      </c>
      <c r="J1158" s="178">
        <f>(FME_Ranking1[[#This Row],[Structures 100 Raw]]/I$2)*100</f>
        <v>2.0348712676177012E-2</v>
      </c>
      <c r="K1158" s="178">
        <f>FME_Ranking1[[#This Row],[Structures 100  Score (Normalized, Unweighted)]]*$I$3</f>
        <v>3.0523069014265517E-3</v>
      </c>
      <c r="L1158" s="246">
        <f>_xlfn.XLOOKUP(FME_Ranking1[[#This Row],[FME ID]],FME_Input[FME_ID],FME_Input[RES_STRUCT100])</f>
        <v>3</v>
      </c>
      <c r="M1158" s="230">
        <f>(FME_Ranking1[[#This Row],[Res Structures Raw]]/L$2)*100</f>
        <v>2.1249167740930146E-3</v>
      </c>
      <c r="N1158" s="180">
        <f>FME_Ranking1[[#This Row],[Res Structures Score (Normalized, Unweighted)]]*$L$3</f>
        <v>2.1249167740930149E-4</v>
      </c>
      <c r="O1158" s="244">
        <f>_xlfn.XLOOKUP(FME_Ranking1[[#This Row],[FME ID]],FME_Input[FME_ID],FME_Input[POP100])</f>
        <v>3</v>
      </c>
      <c r="P1158" s="178">
        <f>(FME_Ranking1[[#This Row],[Pop Raw]]/$O$2)*100</f>
        <v>3.0712593596628988E-4</v>
      </c>
      <c r="Q1158" s="178">
        <f>FME_Ranking1[[#This Row],[Pop Score (Normalized, Unweighted)]]*$O$3</f>
        <v>4.6068890394943479E-5</v>
      </c>
      <c r="R1158" s="137">
        <f>_xlfn.XLOOKUP(FME_Ranking1[[#This Row],[FME ID]],FME_Input[FME_ID],FME_Input[CRITFAC100])</f>
        <v>1</v>
      </c>
      <c r="S1158" s="230">
        <f>(FME_Ranking1[[#This Row],[Critical Facilities Raw]]/$R$2)*100</f>
        <v>4.2881646655231559E-2</v>
      </c>
      <c r="T1158" s="180">
        <f>FME_Ranking1[[#This Row],[Critical Facilities Score (Normalized, Unweighted)]]*$R$3</f>
        <v>8.5763293310463125E-3</v>
      </c>
      <c r="U1158">
        <f>_xlfn.XLOOKUP(FME_Ranking1[[#This Row],[FME ID]],FME_Input[FME_ID],FME_Input[LWC])</f>
        <v>4</v>
      </c>
      <c r="V1158" s="178">
        <f>(FME_Ranking1[[#This Row],[LWC Raw]]/$U$2)*100</f>
        <v>0.23028209556706969</v>
      </c>
      <c r="W1158" s="178">
        <f>FME_Ranking1[[#This Row],[LWC Score (Normalized, Unweighted)]]*$U$3</f>
        <v>4.6056419113413939E-2</v>
      </c>
      <c r="X1158" s="246">
        <f>_xlfn.XLOOKUP(FME_Ranking1[[#This Row],[FME ID]],FME_Input[FME_ID],FME_Input[ROADCLS])</f>
        <v>0</v>
      </c>
      <c r="Y1158" s="230">
        <f>(FME_Ranking1[[#This Row],[Closures Raw]]/$X$2)*100</f>
        <v>0</v>
      </c>
      <c r="Z1158" s="180">
        <f>FME_Ranking1[[#This Row],[Closures Score (Normalized, Unweighted)]]*$X$3</f>
        <v>0</v>
      </c>
      <c r="AA1158" s="253">
        <f>_xlfn.XLOOKUP(FME_Ranking1[[#This Row],[FME ID]],FME_Input[FME_ID],FME_Input[ROAD_MILES100])</f>
        <v>40.555728912353523</v>
      </c>
      <c r="AB1158" s="178">
        <f>(FME_Ranking1[[#This Row],[Miles Raw]]/$AA$2)*100</f>
        <v>0.53323509508278277</v>
      </c>
      <c r="AC1158" s="178">
        <f>FME_Ranking1[[#This Row],[Miles Score (Normalized, Unweighted)]]*$AA$3</f>
        <v>5.3323509508278279E-2</v>
      </c>
      <c r="AD1158" s="255">
        <f>_xlfn.XLOOKUP(FME_Ranking1[[#This Row],[FME ID]],FME_Input[FME_ID],FME_Input[FARMACRE100])</f>
        <v>3243.90771484375</v>
      </c>
      <c r="AE1158" s="230">
        <f>(FME_Ranking1[[#This Row],[Ag Land Raw]]/$AD$2)*100</f>
        <v>0.13376423279530253</v>
      </c>
      <c r="AF1158" s="231">
        <f>FME_Ranking1[[#This Row],[Ag Land Score (Normalized, Unweighted)]]*$AD$3</f>
        <v>6.6882116397651266E-3</v>
      </c>
      <c r="AG115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0.11795533706173446</v>
      </c>
      <c r="AH1158" s="406">
        <f t="shared" ref="AH1158:AH1221" si="18">_xlfn.RANK.EQ(AG1158,$AG$6:$AG$2341,0)</f>
        <v>986</v>
      </c>
      <c r="AI115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0.11795533706173446</v>
      </c>
      <c r="AJ1158" s="257">
        <f>FME_Ranking1[[#This Row],[Addition check]]-FME_Ranking1[[#This Row],[Weighted Score Based on Normalized Reported Factors]]</f>
        <v>0</v>
      </c>
      <c r="AK1158" s="178">
        <f>_xlfn.RANK.EQ(AI1158,$AI$6:$AI$2341,0)+COUNTIF($AI$6:AI1158,AI1158)-1</f>
        <v>989</v>
      </c>
    </row>
    <row r="1159" spans="1:37" x14ac:dyDescent="0.25">
      <c r="A1159" t="s">
        <v>7252</v>
      </c>
      <c r="B1159">
        <f>_xlfn.XLOOKUP(FME_Ranking1[[#This Row],[FME ID]],FME_Input[FME_ID],FME_Input[RFPG_NUM])</f>
        <v>7</v>
      </c>
      <c r="C1159" t="str">
        <f>_xlfn.XLOOKUP(FME_Ranking1[[#This Row],[FME ID]],FME_Input[FME_ID],FME_Input[FME_NAME])</f>
        <v>Kent Flood Protection Lift Station Program</v>
      </c>
      <c r="D1159" t="str">
        <f>_xlfn.XLOOKUP(FME_Ranking1[[#This Row],[FME ID]],FME_Input[FME_ID],FME_Input[DESCR])</f>
        <v>Raise electrical components of sewage lift stations above the Base Flood Elevation (BFE).</v>
      </c>
      <c r="E1159" s="256">
        <f>_xlfn.XLOOKUP(FME_Ranking1[[#This Row],[FME ID]],FME_Input[FME_ID],FME_Input[FME_COST])</f>
        <v>100000</v>
      </c>
      <c r="F1159" t="str">
        <f>_xlfn.XLOOKUP(FME_Ranking1[[#This Row],[FME ID]],FME_Input[FME_ID],FME_Input[EMER_NEED])</f>
        <v>No</v>
      </c>
      <c r="G1159">
        <f>IF(FME_Ranking!F1159="Yes",100,0)</f>
        <v>0</v>
      </c>
      <c r="H1159">
        <f>FME_Ranking1[[#This Row],[Emergency Need Score (Normalized, Unweighted)]]*$F$3</f>
        <v>0</v>
      </c>
      <c r="I1159" s="246">
        <f>_xlfn.XLOOKUP(FME_Ranking1[[#This Row],[FME ID]],FME_Input[FME_ID],FME_Input[STRUCT_100])</f>
        <v>38</v>
      </c>
      <c r="J1159" s="178">
        <f>(FME_Ranking1[[#This Row],[Structures 100 Raw]]/I$2)*100</f>
        <v>2.0348712676177012E-2</v>
      </c>
      <c r="K1159" s="178">
        <f>FME_Ranking1[[#This Row],[Structures 100  Score (Normalized, Unweighted)]]*$I$3</f>
        <v>3.0523069014265517E-3</v>
      </c>
      <c r="L1159" s="246">
        <f>_xlfn.XLOOKUP(FME_Ranking1[[#This Row],[FME ID]],FME_Input[FME_ID],FME_Input[RES_STRUCT100])</f>
        <v>3</v>
      </c>
      <c r="M1159" s="230">
        <f>(FME_Ranking1[[#This Row],[Res Structures Raw]]/L$2)*100</f>
        <v>2.1249167740930146E-3</v>
      </c>
      <c r="N1159" s="180">
        <f>FME_Ranking1[[#This Row],[Res Structures Score (Normalized, Unweighted)]]*$L$3</f>
        <v>2.1249167740930149E-4</v>
      </c>
      <c r="O1159" s="244">
        <f>_xlfn.XLOOKUP(FME_Ranking1[[#This Row],[FME ID]],FME_Input[FME_ID],FME_Input[POP100])</f>
        <v>3</v>
      </c>
      <c r="P1159" s="178">
        <f>(FME_Ranking1[[#This Row],[Pop Raw]]/$O$2)*100</f>
        <v>3.0712593596628988E-4</v>
      </c>
      <c r="Q1159" s="178">
        <f>FME_Ranking1[[#This Row],[Pop Score (Normalized, Unweighted)]]*$O$3</f>
        <v>4.6068890394943479E-5</v>
      </c>
      <c r="R1159" s="137">
        <f>_xlfn.XLOOKUP(FME_Ranking1[[#This Row],[FME ID]],FME_Input[FME_ID],FME_Input[CRITFAC100])</f>
        <v>1</v>
      </c>
      <c r="S1159" s="230">
        <f>(FME_Ranking1[[#This Row],[Critical Facilities Raw]]/$R$2)*100</f>
        <v>4.2881646655231559E-2</v>
      </c>
      <c r="T1159" s="180">
        <f>FME_Ranking1[[#This Row],[Critical Facilities Score (Normalized, Unweighted)]]*$R$3</f>
        <v>8.5763293310463125E-3</v>
      </c>
      <c r="U1159">
        <f>_xlfn.XLOOKUP(FME_Ranking1[[#This Row],[FME ID]],FME_Input[FME_ID],FME_Input[LWC])</f>
        <v>4</v>
      </c>
      <c r="V1159" s="178">
        <f>(FME_Ranking1[[#This Row],[LWC Raw]]/$U$2)*100</f>
        <v>0.23028209556706969</v>
      </c>
      <c r="W1159" s="178">
        <f>FME_Ranking1[[#This Row],[LWC Score (Normalized, Unweighted)]]*$U$3</f>
        <v>4.6056419113413939E-2</v>
      </c>
      <c r="X1159" s="246">
        <f>_xlfn.XLOOKUP(FME_Ranking1[[#This Row],[FME ID]],FME_Input[FME_ID],FME_Input[ROADCLS])</f>
        <v>0</v>
      </c>
      <c r="Y1159" s="230">
        <f>(FME_Ranking1[[#This Row],[Closures Raw]]/$X$2)*100</f>
        <v>0</v>
      </c>
      <c r="Z1159" s="180">
        <f>FME_Ranking1[[#This Row],[Closures Score (Normalized, Unweighted)]]*$X$3</f>
        <v>0</v>
      </c>
      <c r="AA1159" s="253">
        <f>_xlfn.XLOOKUP(FME_Ranking1[[#This Row],[FME ID]],FME_Input[FME_ID],FME_Input[ROAD_MILES100])</f>
        <v>40.555728912353523</v>
      </c>
      <c r="AB1159" s="178">
        <f>(FME_Ranking1[[#This Row],[Miles Raw]]/$AA$2)*100</f>
        <v>0.53323509508278277</v>
      </c>
      <c r="AC1159" s="178">
        <f>FME_Ranking1[[#This Row],[Miles Score (Normalized, Unweighted)]]*$AA$3</f>
        <v>5.3323509508278279E-2</v>
      </c>
      <c r="AD1159" s="255">
        <f>_xlfn.XLOOKUP(FME_Ranking1[[#This Row],[FME ID]],FME_Input[FME_ID],FME_Input[FARMACRE100])</f>
        <v>3243.90771484375</v>
      </c>
      <c r="AE1159" s="230">
        <f>(FME_Ranking1[[#This Row],[Ag Land Raw]]/$AD$2)*100</f>
        <v>0.13376423279530253</v>
      </c>
      <c r="AF1159" s="231">
        <f>FME_Ranking1[[#This Row],[Ag Land Score (Normalized, Unweighted)]]*$AD$3</f>
        <v>6.6882116397651266E-3</v>
      </c>
      <c r="AG115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0.11795533706173446</v>
      </c>
      <c r="AH1159" s="406">
        <f t="shared" si="18"/>
        <v>986</v>
      </c>
      <c r="AI115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0.11795533706173446</v>
      </c>
      <c r="AJ1159" s="257">
        <f>FME_Ranking1[[#This Row],[Addition check]]-FME_Ranking1[[#This Row],[Weighted Score Based on Normalized Reported Factors]]</f>
        <v>0</v>
      </c>
      <c r="AK1159" s="178">
        <f>_xlfn.RANK.EQ(AI1159,$AI$6:$AI$2341,0)+COUNTIF($AI$6:AI1159,AI1159)-1</f>
        <v>990</v>
      </c>
    </row>
    <row r="1160" spans="1:37" x14ac:dyDescent="0.25">
      <c r="A1160" t="s">
        <v>5145</v>
      </c>
      <c r="B1160">
        <f>_xlfn.XLOOKUP(FME_Ranking1[[#This Row],[FME ID]],FME_Input[FME_ID],FME_Input[RFPG_NUM])</f>
        <v>3</v>
      </c>
      <c r="C1160" t="str">
        <f>_xlfn.XLOOKUP(FME_Ranking1[[#This Row],[FME ID]],FME_Input[FME_ID],FME_Input[FME_NAME])</f>
        <v>Walnut Creek Watershed Study</v>
      </c>
      <c r="D1160" t="str">
        <f>_xlfn.XLOOKUP(FME_Ranking1[[#This Row],[FME ID]],FME_Input[FME_ID],FME_Input[DESCR])</f>
        <v>Study to improve knowledge of flood risks and facilitate the analysis of proposed developments within or adjacent to the floodplain.</v>
      </c>
      <c r="E1160" s="256">
        <f>_xlfn.XLOOKUP(FME_Ranking1[[#This Row],[FME ID]],FME_Input[FME_ID],FME_Input[FME_COST])</f>
        <v>150000</v>
      </c>
      <c r="F1160" t="str">
        <f>_xlfn.XLOOKUP(FME_Ranking1[[#This Row],[FME ID]],FME_Input[FME_ID],FME_Input[EMER_NEED])</f>
        <v>No</v>
      </c>
      <c r="G1160">
        <f>IF(FME_Ranking!F1160="Yes",100,0)</f>
        <v>0</v>
      </c>
      <c r="H1160">
        <f>FME_Ranking1[[#This Row],[Emergency Need Score (Normalized, Unweighted)]]*$F$3</f>
        <v>0</v>
      </c>
      <c r="I1160" s="246">
        <f>_xlfn.XLOOKUP(FME_Ranking1[[#This Row],[FME ID]],FME_Input[FME_ID],FME_Input[STRUCT_100])</f>
        <v>34</v>
      </c>
      <c r="J1160" s="178">
        <f>(FME_Ranking1[[#This Row],[Structures 100 Raw]]/I$2)*100</f>
        <v>1.820674292078996E-2</v>
      </c>
      <c r="K1160" s="178">
        <f>FME_Ranking1[[#This Row],[Structures 100  Score (Normalized, Unweighted)]]*$I$3</f>
        <v>2.7310114381184939E-3</v>
      </c>
      <c r="L1160" s="246">
        <f>_xlfn.XLOOKUP(FME_Ranking1[[#This Row],[FME ID]],FME_Input[FME_ID],FME_Input[RES_STRUCT100])</f>
        <v>33</v>
      </c>
      <c r="M1160" s="230">
        <f>(FME_Ranking1[[#This Row],[Res Structures Raw]]/L$2)*100</f>
        <v>2.3374084515023163E-2</v>
      </c>
      <c r="N1160" s="180">
        <f>FME_Ranking1[[#This Row],[Res Structures Score (Normalized, Unweighted)]]*$L$3</f>
        <v>2.3374084515023165E-3</v>
      </c>
      <c r="O1160" s="244">
        <f>_xlfn.XLOOKUP(FME_Ranking1[[#This Row],[FME ID]],FME_Input[FME_ID],FME_Input[POP100])</f>
        <v>56</v>
      </c>
      <c r="P1160" s="178">
        <f>(FME_Ranking1[[#This Row],[Pop Raw]]/$O$2)*100</f>
        <v>5.7330174713707436E-3</v>
      </c>
      <c r="Q1160" s="178">
        <f>FME_Ranking1[[#This Row],[Pop Score (Normalized, Unweighted)]]*$O$3</f>
        <v>8.5995262070561157E-4</v>
      </c>
      <c r="R1160" s="137">
        <f>_xlfn.XLOOKUP(FME_Ranking1[[#This Row],[FME ID]],FME_Input[FME_ID],FME_Input[CRITFAC100])</f>
        <v>0</v>
      </c>
      <c r="S1160" s="230">
        <f>(FME_Ranking1[[#This Row],[Critical Facilities Raw]]/$R$2)*100</f>
        <v>0</v>
      </c>
      <c r="T1160" s="180">
        <f>FME_Ranking1[[#This Row],[Critical Facilities Score (Normalized, Unweighted)]]*$R$3</f>
        <v>0</v>
      </c>
      <c r="U1160">
        <f>_xlfn.XLOOKUP(FME_Ranking1[[#This Row],[FME ID]],FME_Input[FME_ID],FME_Input[LWC])</f>
        <v>5</v>
      </c>
      <c r="V1160" s="178">
        <f>(FME_Ranking1[[#This Row],[LWC Raw]]/$U$2)*100</f>
        <v>0.28785261945883706</v>
      </c>
      <c r="W1160" s="178">
        <f>FME_Ranking1[[#This Row],[LWC Score (Normalized, Unweighted)]]*$U$3</f>
        <v>5.7570523891767415E-2</v>
      </c>
      <c r="X1160" s="246">
        <f>_xlfn.XLOOKUP(FME_Ranking1[[#This Row],[FME ID]],FME_Input[FME_ID],FME_Input[ROADCLS])</f>
        <v>0</v>
      </c>
      <c r="Y1160" s="230">
        <f>(FME_Ranking1[[#This Row],[Closures Raw]]/$X$2)*100</f>
        <v>0</v>
      </c>
      <c r="Z1160" s="180">
        <f>FME_Ranking1[[#This Row],[Closures Score (Normalized, Unweighted)]]*$X$3</f>
        <v>0</v>
      </c>
      <c r="AA1160" s="253">
        <f>_xlfn.XLOOKUP(FME_Ranking1[[#This Row],[FME ID]],FME_Input[FME_ID],FME_Input[ROAD_MILES100])</f>
        <v>0.71595758199691772</v>
      </c>
      <c r="AB1160" s="178">
        <f>(FME_Ranking1[[#This Row],[Miles Raw]]/$AA$2)*100</f>
        <v>9.4135580730513035E-3</v>
      </c>
      <c r="AC1160" s="178">
        <f>FME_Ranking1[[#This Row],[Miles Score (Normalized, Unweighted)]]*$AA$3</f>
        <v>9.4135580730513035E-4</v>
      </c>
      <c r="AD1160" s="255">
        <f>_xlfn.XLOOKUP(FME_Ranking1[[#This Row],[FME ID]],FME_Input[FME_ID],FME_Input[FARMACRE100])</f>
        <v>95.4752197265625</v>
      </c>
      <c r="AE1160" s="230">
        <f>(FME_Ranking1[[#This Row],[Ag Land Raw]]/$AD$2)*100</f>
        <v>3.9369706663500807E-3</v>
      </c>
      <c r="AF1160" s="231">
        <f>FME_Ranking1[[#This Row],[Ag Land Score (Normalized, Unweighted)]]*$AD$3</f>
        <v>1.9684853331750405E-4</v>
      </c>
      <c r="AG116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6.4637100742716475E-2</v>
      </c>
      <c r="AH1160" s="406">
        <f t="shared" si="18"/>
        <v>1223</v>
      </c>
      <c r="AI116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6.4637100742716475E-2</v>
      </c>
      <c r="AJ1160" s="257">
        <f>FME_Ranking1[[#This Row],[Addition check]]-FME_Ranking1[[#This Row],[Weighted Score Based on Normalized Reported Factors]]</f>
        <v>0</v>
      </c>
      <c r="AK1160" s="178">
        <f>_xlfn.RANK.EQ(AI1160,$AI$6:$AI$2341,0)+COUNTIF($AI$6:AI1160,AI1160)-1</f>
        <v>1223</v>
      </c>
    </row>
    <row r="1161" spans="1:37" x14ac:dyDescent="0.25">
      <c r="A1161" t="s">
        <v>2041</v>
      </c>
      <c r="B1161">
        <f>_xlfn.XLOOKUP(FME_Ranking1[[#This Row],[FME ID]],FME_Input[FME_ID],FME_Input[RFPG_NUM])</f>
        <v>6</v>
      </c>
      <c r="C1161" t="str">
        <f>_xlfn.XLOOKUP(FME_Ranking1[[#This Row],[FME ID]],FME_Input[FME_ID],FME_Input[FME_NAME])</f>
        <v>Cedar Bayou Flood Risk Reduction Study - Property Acquisition in segment from IH-10 to SH 146 along Cedar Bayou (Q100-00-00)</v>
      </c>
      <c r="D1161" t="str">
        <f>_xlfn.XLOOKUP(FME_Ranking1[[#This Row],[FME ID]],FME_Input[FME_ID],FME_Input[DESCR])</f>
        <v>Study to develop a Benefit Cost Analysis needed for this project to become a FMP. Property Acquisition in segment from IH-10 to SH 146 along Cedar Bayou.</v>
      </c>
      <c r="E1161" s="256">
        <f>_xlfn.XLOOKUP(FME_Ranking1[[#This Row],[FME ID]],FME_Input[FME_ID],FME_Input[FME_COST])</f>
        <v>30000</v>
      </c>
      <c r="F1161" t="str">
        <f>_xlfn.XLOOKUP(FME_Ranking1[[#This Row],[FME ID]],FME_Input[FME_ID],FME_Input[EMER_NEED])</f>
        <v>No</v>
      </c>
      <c r="G1161">
        <f>IF(FME_Ranking!F1161="Yes",100,0)</f>
        <v>0</v>
      </c>
      <c r="H1161">
        <f>FME_Ranking1[[#This Row],[Emergency Need Score (Normalized, Unweighted)]]*$F$3</f>
        <v>0</v>
      </c>
      <c r="I1161" s="246">
        <f>_xlfn.XLOOKUP(FME_Ranking1[[#This Row],[FME ID]],FME_Input[FME_ID],FME_Input[STRUCT_100])</f>
        <v>319</v>
      </c>
      <c r="J1161" s="178">
        <f>(FME_Ranking1[[#This Row],[Structures 100 Raw]]/I$2)*100</f>
        <v>0.17082208799211754</v>
      </c>
      <c r="K1161" s="178">
        <f>FME_Ranking1[[#This Row],[Structures 100  Score (Normalized, Unweighted)]]*$I$3</f>
        <v>2.5623313198817631E-2</v>
      </c>
      <c r="L1161" s="246">
        <f>_xlfn.XLOOKUP(FME_Ranking1[[#This Row],[FME ID]],FME_Input[FME_ID],FME_Input[RES_STRUCT100])</f>
        <v>260</v>
      </c>
      <c r="M1161" s="230">
        <f>(FME_Ranking1[[#This Row],[Res Structures Raw]]/L$2)*100</f>
        <v>0.18415945375472795</v>
      </c>
      <c r="N1161" s="180">
        <f>FME_Ranking1[[#This Row],[Res Structures Score (Normalized, Unweighted)]]*$L$3</f>
        <v>1.8415945375472795E-2</v>
      </c>
      <c r="O1161" s="244">
        <f>_xlfn.XLOOKUP(FME_Ranking1[[#This Row],[FME ID]],FME_Input[FME_ID],FME_Input[POP100])</f>
        <v>1274</v>
      </c>
      <c r="P1161" s="178">
        <f>(FME_Ranking1[[#This Row],[Pop Raw]]/$O$2)*100</f>
        <v>0.13042614747368442</v>
      </c>
      <c r="Q1161" s="178">
        <f>FME_Ranking1[[#This Row],[Pop Score (Normalized, Unweighted)]]*$O$3</f>
        <v>1.9563922121052662E-2</v>
      </c>
      <c r="R1161" s="137">
        <f>_xlfn.XLOOKUP(FME_Ranking1[[#This Row],[FME ID]],FME_Input[FME_ID],FME_Input[CRITFAC100])</f>
        <v>0</v>
      </c>
      <c r="S1161" s="230">
        <f>(FME_Ranking1[[#This Row],[Critical Facilities Raw]]/$R$2)*100</f>
        <v>0</v>
      </c>
      <c r="T1161" s="180">
        <f>FME_Ranking1[[#This Row],[Critical Facilities Score (Normalized, Unweighted)]]*$R$3</f>
        <v>0</v>
      </c>
      <c r="U1161">
        <f>_xlfn.XLOOKUP(FME_Ranking1[[#This Row],[FME ID]],FME_Input[FME_ID],FME_Input[LWC])</f>
        <v>0</v>
      </c>
      <c r="V1161" s="178">
        <f>(FME_Ranking1[[#This Row],[LWC Raw]]/$U$2)*100</f>
        <v>0</v>
      </c>
      <c r="W1161" s="178">
        <f>FME_Ranking1[[#This Row],[LWC Score (Normalized, Unweighted)]]*$U$3</f>
        <v>0</v>
      </c>
      <c r="X1161" s="246">
        <f>_xlfn.XLOOKUP(FME_Ranking1[[#This Row],[FME ID]],FME_Input[FME_ID],FME_Input[ROADCLS])</f>
        <v>0</v>
      </c>
      <c r="Y1161" s="230">
        <f>(FME_Ranking1[[#This Row],[Closures Raw]]/$X$2)*100</f>
        <v>0</v>
      </c>
      <c r="Z1161" s="180">
        <f>FME_Ranking1[[#This Row],[Closures Score (Normalized, Unweighted)]]*$X$3</f>
        <v>0</v>
      </c>
      <c r="AA1161" s="253">
        <f>_xlfn.XLOOKUP(FME_Ranking1[[#This Row],[FME ID]],FME_Input[FME_ID],FME_Input[ROAD_MILES100])</f>
        <v>5.2540888786315918</v>
      </c>
      <c r="AB1161" s="178">
        <f>(FME_Ranking1[[#This Row],[Miles Raw]]/$AA$2)*100</f>
        <v>6.9081845103198328E-2</v>
      </c>
      <c r="AC1161" s="178">
        <f>FME_Ranking1[[#This Row],[Miles Score (Normalized, Unweighted)]]*$AA$3</f>
        <v>6.9081845103198328E-3</v>
      </c>
      <c r="AD1161" s="255">
        <f>_xlfn.XLOOKUP(FME_Ranking1[[#This Row],[FME ID]],FME_Input[FME_ID],FME_Input[FARMACRE100])</f>
        <v>25.3284797668457</v>
      </c>
      <c r="AE1161" s="230">
        <f>(FME_Ranking1[[#This Row],[Ag Land Raw]]/$AD$2)*100</f>
        <v>1.0444331225515923E-3</v>
      </c>
      <c r="AF1161" s="231">
        <f>FME_Ranking1[[#This Row],[Ag Land Score (Normalized, Unweighted)]]*$AD$3</f>
        <v>5.2221656127579623E-5</v>
      </c>
      <c r="AG116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7.0563586861790498E-2</v>
      </c>
      <c r="AH1161" s="406">
        <f t="shared" si="18"/>
        <v>1188</v>
      </c>
      <c r="AI116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7.0563586861790498E-2</v>
      </c>
      <c r="AJ1161" s="257">
        <f>FME_Ranking1[[#This Row],[Addition check]]-FME_Ranking1[[#This Row],[Weighted Score Based on Normalized Reported Factors]]</f>
        <v>0</v>
      </c>
      <c r="AK1161" s="178">
        <f>_xlfn.RANK.EQ(AI1161,$AI$6:$AI$2341,0)+COUNTIF($AI$6:AI1161,AI1161)-1</f>
        <v>1188</v>
      </c>
    </row>
    <row r="1162" spans="1:37" x14ac:dyDescent="0.25">
      <c r="A1162" t="s">
        <v>6401</v>
      </c>
      <c r="B1162">
        <f>_xlfn.XLOOKUP(FME_Ranking1[[#This Row],[FME ID]],FME_Input[FME_ID],FME_Input[RFPG_NUM])</f>
        <v>5</v>
      </c>
      <c r="C1162" t="str">
        <f>_xlfn.XLOOKUP(FME_Ranking1[[#This Row],[FME ID]],FME_Input[FME_ID],FME_Input[FME_NAME])</f>
        <v>City of Vidor Schoolhouse Ditch Alternative B</v>
      </c>
      <c r="D1162" t="str">
        <f>_xlfn.XLOOKUP(FME_Ranking1[[#This Row],[FME ID]],FME_Input[FME_ID],FME_Input[DESCR])</f>
        <v>H&amp;H study to identify alternatives for Schoolhouse Ditch</v>
      </c>
      <c r="E1162" s="256">
        <f>_xlfn.XLOOKUP(FME_Ranking1[[#This Row],[FME ID]],FME_Input[FME_ID],FME_Input[FME_COST])</f>
        <v>100000</v>
      </c>
      <c r="F1162" t="str">
        <f>_xlfn.XLOOKUP(FME_Ranking1[[#This Row],[FME ID]],FME_Input[FME_ID],FME_Input[EMER_NEED])</f>
        <v>Yes</v>
      </c>
      <c r="G1162">
        <f>IF(FME_Ranking!F1162="Yes",100,0)</f>
        <v>100</v>
      </c>
      <c r="H1162">
        <f>FME_Ranking1[[#This Row],[Emergency Need Score (Normalized, Unweighted)]]*$F$3</f>
        <v>0</v>
      </c>
      <c r="I1162" s="246">
        <f>_xlfn.XLOOKUP(FME_Ranking1[[#This Row],[FME ID]],FME_Input[FME_ID],FME_Input[STRUCT_100])</f>
        <v>150</v>
      </c>
      <c r="J1162" s="178">
        <f>(FME_Ranking1[[#This Row],[Structures 100 Raw]]/I$2)*100</f>
        <v>8.0323865827014521E-2</v>
      </c>
      <c r="K1162" s="178">
        <f>FME_Ranking1[[#This Row],[Structures 100  Score (Normalized, Unweighted)]]*$I$3</f>
        <v>1.2048579874052178E-2</v>
      </c>
      <c r="L1162" s="246">
        <f>_xlfn.XLOOKUP(FME_Ranking1[[#This Row],[FME ID]],FME_Input[FME_ID],FME_Input[RES_STRUCT100])</f>
        <v>111</v>
      </c>
      <c r="M1162" s="230">
        <f>(FME_Ranking1[[#This Row],[Res Structures Raw]]/L$2)*100</f>
        <v>7.8621920641441537E-2</v>
      </c>
      <c r="N1162" s="180">
        <f>FME_Ranking1[[#This Row],[Res Structures Score (Normalized, Unweighted)]]*$L$3</f>
        <v>7.862192064144154E-3</v>
      </c>
      <c r="O1162" s="244">
        <f>_xlfn.XLOOKUP(FME_Ranking1[[#This Row],[FME ID]],FME_Input[FME_ID],FME_Input[POP100])</f>
        <v>471</v>
      </c>
      <c r="P1162" s="178">
        <f>(FME_Ranking1[[#This Row],[Pop Raw]]/$O$2)*100</f>
        <v>4.8218771946707505E-2</v>
      </c>
      <c r="Q1162" s="178">
        <f>FME_Ranking1[[#This Row],[Pop Score (Normalized, Unweighted)]]*$O$3</f>
        <v>7.2328157920061257E-3</v>
      </c>
      <c r="R1162" s="137">
        <f>_xlfn.XLOOKUP(FME_Ranking1[[#This Row],[FME ID]],FME_Input[FME_ID],FME_Input[CRITFAC100])</f>
        <v>0</v>
      </c>
      <c r="S1162" s="230">
        <f>(FME_Ranking1[[#This Row],[Critical Facilities Raw]]/$R$2)*100</f>
        <v>0</v>
      </c>
      <c r="T1162" s="180">
        <f>FME_Ranking1[[#This Row],[Critical Facilities Score (Normalized, Unweighted)]]*$R$3</f>
        <v>0</v>
      </c>
      <c r="U1162">
        <f>_xlfn.XLOOKUP(FME_Ranking1[[#This Row],[FME ID]],FME_Input[FME_ID],FME_Input[LWC])</f>
        <v>3</v>
      </c>
      <c r="V1162" s="178">
        <f>(FME_Ranking1[[#This Row],[LWC Raw]]/$U$2)*100</f>
        <v>0.17271157167530224</v>
      </c>
      <c r="W1162" s="178">
        <f>FME_Ranking1[[#This Row],[LWC Score (Normalized, Unweighted)]]*$U$3</f>
        <v>3.4542314335060449E-2</v>
      </c>
      <c r="X1162" s="246">
        <f>_xlfn.XLOOKUP(FME_Ranking1[[#This Row],[FME ID]],FME_Input[FME_ID],FME_Input[ROADCLS])</f>
        <v>3</v>
      </c>
      <c r="Y1162" s="230">
        <f>(FME_Ranking1[[#This Row],[Closures Raw]]/$X$2)*100</f>
        <v>3.1542424561034593E-2</v>
      </c>
      <c r="Z1162" s="180">
        <f>FME_Ranking1[[#This Row],[Closures Score (Normalized, Unweighted)]]*$X$3</f>
        <v>1.5771212280517297E-3</v>
      </c>
      <c r="AA1162" s="253">
        <f>_xlfn.XLOOKUP(FME_Ranking1[[#This Row],[FME ID]],FME_Input[FME_ID],FME_Input[ROAD_MILES100])</f>
        <v>2.1116423606872559</v>
      </c>
      <c r="AB1162" s="178">
        <f>(FME_Ranking1[[#This Row],[Miles Raw]]/$AA$2)*100</f>
        <v>2.7764309634659624E-2</v>
      </c>
      <c r="AC1162" s="178">
        <f>FME_Ranking1[[#This Row],[Miles Score (Normalized, Unweighted)]]*$AA$3</f>
        <v>2.7764309634659627E-3</v>
      </c>
      <c r="AD1162" s="255">
        <f>_xlfn.XLOOKUP(FME_Ranking1[[#This Row],[FME ID]],FME_Input[FME_ID],FME_Input[FARMACRE100])</f>
        <v>5.5413350462913513E-2</v>
      </c>
      <c r="AE1162" s="230">
        <f>(FME_Ranking1[[#This Row],[Ag Land Raw]]/$AD$2)*100</f>
        <v>2.2849985150227614E-6</v>
      </c>
      <c r="AF1162" s="231">
        <f>FME_Ranking1[[#This Row],[Ag Land Score (Normalized, Unweighted)]]*$AD$3</f>
        <v>1.1424992575113807E-7</v>
      </c>
      <c r="AG116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6.603956850670635E-2</v>
      </c>
      <c r="AH1162" s="406">
        <f t="shared" si="18"/>
        <v>1206</v>
      </c>
      <c r="AI116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6.603956850670635E-2</v>
      </c>
      <c r="AJ1162" s="257">
        <f>FME_Ranking1[[#This Row],[Addition check]]-FME_Ranking1[[#This Row],[Weighted Score Based on Normalized Reported Factors]]</f>
        <v>0</v>
      </c>
      <c r="AK1162" s="178">
        <f>_xlfn.RANK.EQ(AI1162,$AI$6:$AI$2341,0)+COUNTIF($AI$6:AI1162,AI1162)-1</f>
        <v>1206</v>
      </c>
    </row>
    <row r="1163" spans="1:37" x14ac:dyDescent="0.25">
      <c r="A1163" t="s">
        <v>6425</v>
      </c>
      <c r="B1163">
        <f>_xlfn.XLOOKUP(FME_Ranking1[[#This Row],[FME ID]],FME_Input[FME_ID],FME_Input[RFPG_NUM])</f>
        <v>5</v>
      </c>
      <c r="C1163" t="str">
        <f>_xlfn.XLOOKUP(FME_Ranking1[[#This Row],[FME ID]],FME_Input[FME_ID],FME_Input[FME_NAME])</f>
        <v>City of Vidor Schoolhouse Ditch Alternative C</v>
      </c>
      <c r="D1163" t="str">
        <f>_xlfn.XLOOKUP(FME_Ranking1[[#This Row],[FME ID]],FME_Input[FME_ID],FME_Input[DESCR])</f>
        <v>H&amp;H study to identify alternatives for Schoolhouse Ditch</v>
      </c>
      <c r="E1163" s="256">
        <f>_xlfn.XLOOKUP(FME_Ranking1[[#This Row],[FME ID]],FME_Input[FME_ID],FME_Input[FME_COST])</f>
        <v>100000</v>
      </c>
      <c r="F1163" t="str">
        <f>_xlfn.XLOOKUP(FME_Ranking1[[#This Row],[FME ID]],FME_Input[FME_ID],FME_Input[EMER_NEED])</f>
        <v>Yes</v>
      </c>
      <c r="G1163">
        <f>IF(FME_Ranking!F1163="Yes",100,0)</f>
        <v>100</v>
      </c>
      <c r="H1163">
        <f>FME_Ranking1[[#This Row],[Emergency Need Score (Normalized, Unweighted)]]*$F$3</f>
        <v>0</v>
      </c>
      <c r="I1163" s="246">
        <f>_xlfn.XLOOKUP(FME_Ranking1[[#This Row],[FME ID]],FME_Input[FME_ID],FME_Input[STRUCT_100])</f>
        <v>150</v>
      </c>
      <c r="J1163" s="178">
        <f>(FME_Ranking1[[#This Row],[Structures 100 Raw]]/I$2)*100</f>
        <v>8.0323865827014521E-2</v>
      </c>
      <c r="K1163" s="178">
        <f>FME_Ranking1[[#This Row],[Structures 100  Score (Normalized, Unweighted)]]*$I$3</f>
        <v>1.2048579874052178E-2</v>
      </c>
      <c r="L1163" s="246">
        <f>_xlfn.XLOOKUP(FME_Ranking1[[#This Row],[FME ID]],FME_Input[FME_ID],FME_Input[RES_STRUCT100])</f>
        <v>111</v>
      </c>
      <c r="M1163" s="230">
        <f>(FME_Ranking1[[#This Row],[Res Structures Raw]]/L$2)*100</f>
        <v>7.8621920641441537E-2</v>
      </c>
      <c r="N1163" s="180">
        <f>FME_Ranking1[[#This Row],[Res Structures Score (Normalized, Unweighted)]]*$L$3</f>
        <v>7.862192064144154E-3</v>
      </c>
      <c r="O1163" s="244">
        <f>_xlfn.XLOOKUP(FME_Ranking1[[#This Row],[FME ID]],FME_Input[FME_ID],FME_Input[POP100])</f>
        <v>471</v>
      </c>
      <c r="P1163" s="178">
        <f>(FME_Ranking1[[#This Row],[Pop Raw]]/$O$2)*100</f>
        <v>4.8218771946707505E-2</v>
      </c>
      <c r="Q1163" s="178">
        <f>FME_Ranking1[[#This Row],[Pop Score (Normalized, Unweighted)]]*$O$3</f>
        <v>7.2328157920061257E-3</v>
      </c>
      <c r="R1163" s="137">
        <f>_xlfn.XLOOKUP(FME_Ranking1[[#This Row],[FME ID]],FME_Input[FME_ID],FME_Input[CRITFAC100])</f>
        <v>0</v>
      </c>
      <c r="S1163" s="230">
        <f>(FME_Ranking1[[#This Row],[Critical Facilities Raw]]/$R$2)*100</f>
        <v>0</v>
      </c>
      <c r="T1163" s="180">
        <f>FME_Ranking1[[#This Row],[Critical Facilities Score (Normalized, Unweighted)]]*$R$3</f>
        <v>0</v>
      </c>
      <c r="U1163">
        <f>_xlfn.XLOOKUP(FME_Ranking1[[#This Row],[FME ID]],FME_Input[FME_ID],FME_Input[LWC])</f>
        <v>3</v>
      </c>
      <c r="V1163" s="178">
        <f>(FME_Ranking1[[#This Row],[LWC Raw]]/$U$2)*100</f>
        <v>0.17271157167530224</v>
      </c>
      <c r="W1163" s="178">
        <f>FME_Ranking1[[#This Row],[LWC Score (Normalized, Unweighted)]]*$U$3</f>
        <v>3.4542314335060449E-2</v>
      </c>
      <c r="X1163" s="246">
        <f>_xlfn.XLOOKUP(FME_Ranking1[[#This Row],[FME ID]],FME_Input[FME_ID],FME_Input[ROADCLS])</f>
        <v>3</v>
      </c>
      <c r="Y1163" s="230">
        <f>(FME_Ranking1[[#This Row],[Closures Raw]]/$X$2)*100</f>
        <v>3.1542424561034593E-2</v>
      </c>
      <c r="Z1163" s="180">
        <f>FME_Ranking1[[#This Row],[Closures Score (Normalized, Unweighted)]]*$X$3</f>
        <v>1.5771212280517297E-3</v>
      </c>
      <c r="AA1163" s="253">
        <f>_xlfn.XLOOKUP(FME_Ranking1[[#This Row],[FME ID]],FME_Input[FME_ID],FME_Input[ROAD_MILES100])</f>
        <v>2.1116423606872559</v>
      </c>
      <c r="AB1163" s="178">
        <f>(FME_Ranking1[[#This Row],[Miles Raw]]/$AA$2)*100</f>
        <v>2.7764309634659624E-2</v>
      </c>
      <c r="AC1163" s="178">
        <f>FME_Ranking1[[#This Row],[Miles Score (Normalized, Unweighted)]]*$AA$3</f>
        <v>2.7764309634659627E-3</v>
      </c>
      <c r="AD1163" s="255">
        <f>_xlfn.XLOOKUP(FME_Ranking1[[#This Row],[FME ID]],FME_Input[FME_ID],FME_Input[FARMACRE100])</f>
        <v>5.5413350462913513E-2</v>
      </c>
      <c r="AE1163" s="230">
        <f>(FME_Ranking1[[#This Row],[Ag Land Raw]]/$AD$2)*100</f>
        <v>2.2849985150227614E-6</v>
      </c>
      <c r="AF1163" s="231">
        <f>FME_Ranking1[[#This Row],[Ag Land Score (Normalized, Unweighted)]]*$AD$3</f>
        <v>1.1424992575113807E-7</v>
      </c>
      <c r="AG116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6.603956850670635E-2</v>
      </c>
      <c r="AH1163" s="406">
        <f t="shared" si="18"/>
        <v>1206</v>
      </c>
      <c r="AI116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6.603956850670635E-2</v>
      </c>
      <c r="AJ1163" s="257">
        <f>FME_Ranking1[[#This Row],[Addition check]]-FME_Ranking1[[#This Row],[Weighted Score Based on Normalized Reported Factors]]</f>
        <v>0</v>
      </c>
      <c r="AK1163" s="178">
        <f>_xlfn.RANK.EQ(AI1163,$AI$6:$AI$2341,0)+COUNTIF($AI$6:AI1163,AI1163)-1</f>
        <v>1207</v>
      </c>
    </row>
    <row r="1164" spans="1:37" x14ac:dyDescent="0.25">
      <c r="A1164" t="s">
        <v>241</v>
      </c>
      <c r="B1164">
        <f>_xlfn.XLOOKUP(FME_Ranking1[[#This Row],[FME ID]],FME_Input[FME_ID],FME_Input[RFPG_NUM])</f>
        <v>10</v>
      </c>
      <c r="C1164" t="str">
        <f>_xlfn.XLOOKUP(FME_Ranking1[[#This Row],[FME ID]],FME_Input[FME_ID],FME_Input[FME_NAME])</f>
        <v>Backbone Branch Detention Pond</v>
      </c>
      <c r="D1164" t="str">
        <f>_xlfn.XLOOKUP(FME_Ranking1[[#This Row],[FME ID]],FME_Input[FME_ID],FME_Input[DESCR])</f>
        <v xml:space="preserve">Regional Detention Pond Along Backbone Creek_x000D_
</v>
      </c>
      <c r="E1164" s="256">
        <f>_xlfn.XLOOKUP(FME_Ranking1[[#This Row],[FME ID]],FME_Input[FME_ID],FME_Input[FME_COST])</f>
        <v>150000</v>
      </c>
      <c r="F1164" t="str">
        <f>_xlfn.XLOOKUP(FME_Ranking1[[#This Row],[FME ID]],FME_Input[FME_ID],FME_Input[EMER_NEED])</f>
        <v>No</v>
      </c>
      <c r="G1164">
        <f>IF(FME_Ranking!F1164="Yes",100,0)</f>
        <v>0</v>
      </c>
      <c r="H1164">
        <f>FME_Ranking1[[#This Row],[Emergency Need Score (Normalized, Unweighted)]]*$F$3</f>
        <v>0</v>
      </c>
      <c r="I1164" s="246">
        <f>_xlfn.XLOOKUP(FME_Ranking1[[#This Row],[FME ID]],FME_Input[FME_ID],FME_Input[STRUCT_100])</f>
        <v>172</v>
      </c>
      <c r="J1164" s="178">
        <f>(FME_Ranking1[[#This Row],[Structures 100 Raw]]/I$2)*100</f>
        <v>9.2104699481643321E-2</v>
      </c>
      <c r="K1164" s="178">
        <f>FME_Ranking1[[#This Row],[Structures 100  Score (Normalized, Unweighted)]]*$I$3</f>
        <v>1.3815704922246498E-2</v>
      </c>
      <c r="L1164" s="246">
        <f>_xlfn.XLOOKUP(FME_Ranking1[[#This Row],[FME ID]],FME_Input[FME_ID],FME_Input[RES_STRUCT100])</f>
        <v>120</v>
      </c>
      <c r="M1164" s="230">
        <f>(FME_Ranking1[[#This Row],[Res Structures Raw]]/L$2)*100</f>
        <v>8.4996670963720586E-2</v>
      </c>
      <c r="N1164" s="180">
        <f>FME_Ranking1[[#This Row],[Res Structures Score (Normalized, Unweighted)]]*$L$3</f>
        <v>8.4996670963720586E-3</v>
      </c>
      <c r="O1164" s="244">
        <f>_xlfn.XLOOKUP(FME_Ranking1[[#This Row],[FME ID]],FME_Input[FME_ID],FME_Input[POP100])</f>
        <v>173</v>
      </c>
      <c r="P1164" s="178">
        <f>(FME_Ranking1[[#This Row],[Pop Raw]]/$O$2)*100</f>
        <v>1.7710928974056048E-2</v>
      </c>
      <c r="Q1164" s="178">
        <f>FME_Ranking1[[#This Row],[Pop Score (Normalized, Unweighted)]]*$O$3</f>
        <v>2.6566393461084073E-3</v>
      </c>
      <c r="R1164" s="137">
        <f>_xlfn.XLOOKUP(FME_Ranking1[[#This Row],[FME ID]],FME_Input[FME_ID],FME_Input[CRITFAC100])</f>
        <v>0</v>
      </c>
      <c r="S1164" s="230">
        <f>(FME_Ranking1[[#This Row],[Critical Facilities Raw]]/$R$2)*100</f>
        <v>0</v>
      </c>
      <c r="T1164" s="180">
        <f>FME_Ranking1[[#This Row],[Critical Facilities Score (Normalized, Unweighted)]]*$R$3</f>
        <v>0</v>
      </c>
      <c r="U1164">
        <f>_xlfn.XLOOKUP(FME_Ranking1[[#This Row],[FME ID]],FME_Input[FME_ID],FME_Input[LWC])</f>
        <v>3</v>
      </c>
      <c r="V1164" s="178">
        <f>(FME_Ranking1[[#This Row],[LWC Raw]]/$U$2)*100</f>
        <v>0.17271157167530224</v>
      </c>
      <c r="W1164" s="178">
        <f>FME_Ranking1[[#This Row],[LWC Score (Normalized, Unweighted)]]*$U$3</f>
        <v>3.4542314335060449E-2</v>
      </c>
      <c r="X1164" s="246">
        <f>_xlfn.XLOOKUP(FME_Ranking1[[#This Row],[FME ID]],FME_Input[FME_ID],FME_Input[ROADCLS])</f>
        <v>0</v>
      </c>
      <c r="Y1164" s="230">
        <f>(FME_Ranking1[[#This Row],[Closures Raw]]/$X$2)*100</f>
        <v>0</v>
      </c>
      <c r="Z1164" s="180">
        <f>FME_Ranking1[[#This Row],[Closures Score (Normalized, Unweighted)]]*$X$3</f>
        <v>0</v>
      </c>
      <c r="AA1164" s="253">
        <f>_xlfn.XLOOKUP(FME_Ranking1[[#This Row],[FME ID]],FME_Input[FME_ID],FME_Input[ROAD_MILES100])</f>
        <v>4.1067562103271484</v>
      </c>
      <c r="AB1164" s="178">
        <f>(FME_Ranking1[[#This Row],[Miles Raw]]/$AA$2)*100</f>
        <v>5.3996478352742877E-2</v>
      </c>
      <c r="AC1164" s="178">
        <f>FME_Ranking1[[#This Row],[Miles Score (Normalized, Unweighted)]]*$AA$3</f>
        <v>5.3996478352742877E-3</v>
      </c>
      <c r="AD1164" s="255">
        <f>_xlfn.XLOOKUP(FME_Ranking1[[#This Row],[FME ID]],FME_Input[FME_ID],FME_Input[FARMACRE100])</f>
        <v>1647.464965820312</v>
      </c>
      <c r="AE1164" s="230">
        <f>(FME_Ranking1[[#This Row],[Ag Land Raw]]/$AD$2)*100</f>
        <v>6.7934080307431949E-2</v>
      </c>
      <c r="AF1164" s="231">
        <f>FME_Ranking1[[#This Row],[Ag Land Score (Normalized, Unweighted)]]*$AD$3</f>
        <v>3.3967040153715976E-3</v>
      </c>
      <c r="AG116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6.8310677550433296E-2</v>
      </c>
      <c r="AH1164" s="406">
        <f t="shared" si="18"/>
        <v>1201</v>
      </c>
      <c r="AI116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6.8310677550433296E-2</v>
      </c>
      <c r="AJ1164" s="257">
        <f>FME_Ranking1[[#This Row],[Addition check]]-FME_Ranking1[[#This Row],[Weighted Score Based on Normalized Reported Factors]]</f>
        <v>0</v>
      </c>
      <c r="AK1164" s="178">
        <f>_xlfn.RANK.EQ(AI1164,$AI$6:$AI$2341,0)+COUNTIF($AI$6:AI1164,AI1164)-1</f>
        <v>1201</v>
      </c>
    </row>
    <row r="1165" spans="1:37" x14ac:dyDescent="0.25">
      <c r="A1165" t="s">
        <v>7603</v>
      </c>
      <c r="B1165">
        <f>_xlfn.XLOOKUP(FME_Ranking1[[#This Row],[FME ID]],FME_Input[FME_ID],FME_Input[RFPG_NUM])</f>
        <v>8</v>
      </c>
      <c r="C1165" t="str">
        <f>_xlfn.XLOOKUP(FME_Ranking1[[#This Row],[FME ID]],FME_Input[FME_ID],FME_Input[FME_NAME])</f>
        <v>Carter's Creek Trib B Improvements</v>
      </c>
      <c r="D1165" t="str">
        <f>_xlfn.XLOOKUP(FME_Ranking1[[#This Row],[FME ID]],FME_Input[FME_ID],FME_Input[DESCR])</f>
        <v>Study to design culvert improvements along Carter's Creek Trib B.</v>
      </c>
      <c r="E1165" s="256">
        <f>_xlfn.XLOOKUP(FME_Ranking1[[#This Row],[FME ID]],FME_Input[FME_ID],FME_Input[FME_COST])</f>
        <v>127000</v>
      </c>
      <c r="F1165" t="str">
        <f>_xlfn.XLOOKUP(FME_Ranking1[[#This Row],[FME ID]],FME_Input[FME_ID],FME_Input[EMER_NEED])</f>
        <v>No</v>
      </c>
      <c r="G1165">
        <f>IF(FME_Ranking!F1165="Yes",100,0)</f>
        <v>0</v>
      </c>
      <c r="H1165">
        <f>FME_Ranking1[[#This Row],[Emergency Need Score (Normalized, Unweighted)]]*$F$3</f>
        <v>0</v>
      </c>
      <c r="I1165" s="246">
        <f>_xlfn.XLOOKUP(FME_Ranking1[[#This Row],[FME ID]],FME_Input[FME_ID],FME_Input[STRUCT_100])</f>
        <v>32</v>
      </c>
      <c r="J1165" s="178">
        <f>(FME_Ranking1[[#This Row],[Structures 100 Raw]]/I$2)*100</f>
        <v>1.7135758043096434E-2</v>
      </c>
      <c r="K1165" s="178">
        <f>FME_Ranking1[[#This Row],[Structures 100  Score (Normalized, Unweighted)]]*$I$3</f>
        <v>2.570363706464465E-3</v>
      </c>
      <c r="L1165" s="246">
        <f>_xlfn.XLOOKUP(FME_Ranking1[[#This Row],[FME ID]],FME_Input[FME_ID],FME_Input[RES_STRUCT100])</f>
        <v>25</v>
      </c>
      <c r="M1165" s="230">
        <f>(FME_Ranking1[[#This Row],[Res Structures Raw]]/L$2)*100</f>
        <v>1.7707639784108456E-2</v>
      </c>
      <c r="N1165" s="180">
        <f>FME_Ranking1[[#This Row],[Res Structures Score (Normalized, Unweighted)]]*$L$3</f>
        <v>1.7707639784108457E-3</v>
      </c>
      <c r="O1165" s="244">
        <f>_xlfn.XLOOKUP(FME_Ranking1[[#This Row],[FME ID]],FME_Input[FME_ID],FME_Input[POP100])</f>
        <v>35</v>
      </c>
      <c r="P1165" s="178">
        <f>(FME_Ranking1[[#This Row],[Pop Raw]]/$O$2)*100</f>
        <v>3.5831359196067153E-3</v>
      </c>
      <c r="Q1165" s="178">
        <f>FME_Ranking1[[#This Row],[Pop Score (Normalized, Unweighted)]]*$O$3</f>
        <v>5.374703879410073E-4</v>
      </c>
      <c r="R1165" s="137">
        <f>_xlfn.XLOOKUP(FME_Ranking1[[#This Row],[FME ID]],FME_Input[FME_ID],FME_Input[CRITFAC100])</f>
        <v>0</v>
      </c>
      <c r="S1165" s="230">
        <f>(FME_Ranking1[[#This Row],[Critical Facilities Raw]]/$R$2)*100</f>
        <v>0</v>
      </c>
      <c r="T1165" s="180">
        <f>FME_Ranking1[[#This Row],[Critical Facilities Score (Normalized, Unweighted)]]*$R$3</f>
        <v>0</v>
      </c>
      <c r="U1165">
        <f>_xlfn.XLOOKUP(FME_Ranking1[[#This Row],[FME ID]],FME_Input[FME_ID],FME_Input[LWC])</f>
        <v>4</v>
      </c>
      <c r="V1165" s="178">
        <f>(FME_Ranking1[[#This Row],[LWC Raw]]/$U$2)*100</f>
        <v>0.23028209556706969</v>
      </c>
      <c r="W1165" s="178">
        <f>FME_Ranking1[[#This Row],[LWC Score (Normalized, Unweighted)]]*$U$3</f>
        <v>4.6056419113413939E-2</v>
      </c>
      <c r="X1165" s="246">
        <f>_xlfn.XLOOKUP(FME_Ranking1[[#This Row],[FME ID]],FME_Input[FME_ID],FME_Input[ROADCLS])</f>
        <v>22</v>
      </c>
      <c r="Y1165" s="230">
        <f>(FME_Ranking1[[#This Row],[Closures Raw]]/$X$2)*100</f>
        <v>0.23131111344758701</v>
      </c>
      <c r="Z1165" s="180">
        <f>FME_Ranking1[[#This Row],[Closures Score (Normalized, Unweighted)]]*$X$3</f>
        <v>1.1565555672379352E-2</v>
      </c>
      <c r="AA1165" s="253">
        <f>_xlfn.XLOOKUP(FME_Ranking1[[#This Row],[FME ID]],FME_Input[FME_ID],FME_Input[ROAD_MILES100])</f>
        <v>1.887009978294373</v>
      </c>
      <c r="AB1165" s="178">
        <f>(FME_Ranking1[[#This Row],[Miles Raw]]/$AA$2)*100</f>
        <v>2.4810796703285464E-2</v>
      </c>
      <c r="AC1165" s="178">
        <f>FME_Ranking1[[#This Row],[Miles Score (Normalized, Unweighted)]]*$AA$3</f>
        <v>2.4810796703285468E-3</v>
      </c>
      <c r="AD1165" s="255">
        <f>_xlfn.XLOOKUP(FME_Ranking1[[#This Row],[FME ID]],FME_Input[FME_ID],FME_Input[FARMACRE100])</f>
        <v>2.7483499050140381</v>
      </c>
      <c r="AE1165" s="230">
        <f>(FME_Ranking1[[#This Row],[Ag Land Raw]]/$AD$2)*100</f>
        <v>1.1332964708428925E-4</v>
      </c>
      <c r="AF1165" s="231">
        <f>FME_Ranking1[[#This Row],[Ag Land Score (Normalized, Unweighted)]]*$AD$3</f>
        <v>5.6664823542144628E-6</v>
      </c>
      <c r="AG116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6.4987319011292358E-2</v>
      </c>
      <c r="AH1165" s="406">
        <f t="shared" si="18"/>
        <v>1219</v>
      </c>
      <c r="AI116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6.4987319011292358E-2</v>
      </c>
      <c r="AJ1165" s="257">
        <f>FME_Ranking1[[#This Row],[Addition check]]-FME_Ranking1[[#This Row],[Weighted Score Based on Normalized Reported Factors]]</f>
        <v>0</v>
      </c>
      <c r="AK1165" s="178">
        <f>_xlfn.RANK.EQ(AI1165,$AI$6:$AI$2341,0)+COUNTIF($AI$6:AI1165,AI1165)-1</f>
        <v>1219</v>
      </c>
    </row>
    <row r="1166" spans="1:37" x14ac:dyDescent="0.25">
      <c r="A1166" t="s">
        <v>10049</v>
      </c>
      <c r="B1166">
        <f>_xlfn.XLOOKUP(FME_Ranking1[[#This Row],[FME ID]],FME_Input[FME_ID],FME_Input[RFPG_NUM])</f>
        <v>13</v>
      </c>
      <c r="C1166" t="str">
        <f>_xlfn.XLOOKUP(FME_Ranking1[[#This Row],[FME ID]],FME_Input[FME_ID],FME_Input[FME_NAME])</f>
        <v>Atascosa McMullen Hazard Mitigation Plan - City of Poteet Action #7</v>
      </c>
      <c r="D1166" t="str">
        <f>_xlfn.XLOOKUP(FME_Ranking1[[#This Row],[FME ID]],FME_Input[FME_ID],FME_Input[DESCR])</f>
        <v>Study and implement findings of study to improve local drainage at Betty Louis and school drive</v>
      </c>
      <c r="E1166" s="256">
        <f>_xlfn.XLOOKUP(FME_Ranking1[[#This Row],[FME ID]],FME_Input[FME_ID],FME_Input[FME_COST])</f>
        <v>38000</v>
      </c>
      <c r="F1166" t="str">
        <f>_xlfn.XLOOKUP(FME_Ranking1[[#This Row],[FME ID]],FME_Input[FME_ID],FME_Input[EMER_NEED])</f>
        <v>Yes</v>
      </c>
      <c r="G1166">
        <f>IF(FME_Ranking!F1166="Yes",100,0)</f>
        <v>100</v>
      </c>
      <c r="H1166">
        <f>FME_Ranking1[[#This Row],[Emergency Need Score (Normalized, Unweighted)]]*$F$3</f>
        <v>0</v>
      </c>
      <c r="I1166" s="246">
        <f>_xlfn.XLOOKUP(FME_Ranking1[[#This Row],[FME ID]],FME_Input[FME_ID],FME_Input[STRUCT_100])</f>
        <v>259</v>
      </c>
      <c r="J1166" s="178">
        <f>(FME_Ranking1[[#This Row],[Structures 100 Raw]]/I$2)*100</f>
        <v>0.13869254166131176</v>
      </c>
      <c r="K1166" s="178">
        <f>FME_Ranking1[[#This Row],[Structures 100  Score (Normalized, Unweighted)]]*$I$3</f>
        <v>2.0803881249196764E-2</v>
      </c>
      <c r="L1166" s="246">
        <f>_xlfn.XLOOKUP(FME_Ranking1[[#This Row],[FME ID]],FME_Input[FME_ID],FME_Input[RES_STRUCT100])</f>
        <v>224</v>
      </c>
      <c r="M1166" s="230">
        <f>(FME_Ranking1[[#This Row],[Res Structures Raw]]/L$2)*100</f>
        <v>0.15866045246561178</v>
      </c>
      <c r="N1166" s="180">
        <f>FME_Ranking1[[#This Row],[Res Structures Score (Normalized, Unweighted)]]*$L$3</f>
        <v>1.586604524656118E-2</v>
      </c>
      <c r="O1166" s="244">
        <f>_xlfn.XLOOKUP(FME_Ranking1[[#This Row],[FME ID]],FME_Input[FME_ID],FME_Input[POP100])</f>
        <v>471</v>
      </c>
      <c r="P1166" s="178">
        <f>(FME_Ranking1[[#This Row],[Pop Raw]]/$O$2)*100</f>
        <v>4.8218771946707505E-2</v>
      </c>
      <c r="Q1166" s="178">
        <f>FME_Ranking1[[#This Row],[Pop Score (Normalized, Unweighted)]]*$O$3</f>
        <v>7.2328157920061257E-3</v>
      </c>
      <c r="R1166" s="137">
        <f>_xlfn.XLOOKUP(FME_Ranking1[[#This Row],[FME ID]],FME_Input[FME_ID],FME_Input[CRITFAC100])</f>
        <v>0</v>
      </c>
      <c r="S1166" s="230">
        <f>(FME_Ranking1[[#This Row],[Critical Facilities Raw]]/$R$2)*100</f>
        <v>0</v>
      </c>
      <c r="T1166" s="180">
        <f>FME_Ranking1[[#This Row],[Critical Facilities Score (Normalized, Unweighted)]]*$R$3</f>
        <v>0</v>
      </c>
      <c r="U1166">
        <f>_xlfn.XLOOKUP(FME_Ranking1[[#This Row],[FME ID]],FME_Input[FME_ID],FME_Input[LWC])</f>
        <v>0</v>
      </c>
      <c r="V1166" s="178">
        <f>(FME_Ranking1[[#This Row],[LWC Raw]]/$U$2)*100</f>
        <v>0</v>
      </c>
      <c r="W1166" s="178">
        <f>FME_Ranking1[[#This Row],[LWC Score (Normalized, Unweighted)]]*$U$3</f>
        <v>0</v>
      </c>
      <c r="X1166" s="246">
        <f>_xlfn.XLOOKUP(FME_Ranking1[[#This Row],[FME ID]],FME_Input[FME_ID],FME_Input[ROADCLS])</f>
        <v>35</v>
      </c>
      <c r="Y1166" s="230">
        <f>(FME_Ranking1[[#This Row],[Closures Raw]]/$X$2)*100</f>
        <v>0.36799495321207021</v>
      </c>
      <c r="Z1166" s="180">
        <f>FME_Ranking1[[#This Row],[Closures Score (Normalized, Unweighted)]]*$X$3</f>
        <v>1.839974766060351E-2</v>
      </c>
      <c r="AA1166" s="253">
        <f>_xlfn.XLOOKUP(FME_Ranking1[[#This Row],[FME ID]],FME_Input[FME_ID],FME_Input[ROAD_MILES100])</f>
        <v>4.7368102073669434</v>
      </c>
      <c r="AB1166" s="178">
        <f>(FME_Ranking1[[#This Row],[Miles Raw]]/$AA$2)*100</f>
        <v>6.2280558358920865E-2</v>
      </c>
      <c r="AC1166" s="178">
        <f>FME_Ranking1[[#This Row],[Miles Score (Normalized, Unweighted)]]*$AA$3</f>
        <v>6.228055835892087E-3</v>
      </c>
      <c r="AD1166" s="255">
        <f>_xlfn.XLOOKUP(FME_Ranking1[[#This Row],[FME ID]],FME_Input[FME_ID],FME_Input[FARMACRE100])</f>
        <v>0.75985586643218994</v>
      </c>
      <c r="AE1166" s="230">
        <f>(FME_Ranking1[[#This Row],[Ag Land Raw]]/$AD$2)*100</f>
        <v>3.1333054434073981E-5</v>
      </c>
      <c r="AF1166" s="231">
        <f>FME_Ranking1[[#This Row],[Ag Land Score (Normalized, Unweighted)]]*$AD$3</f>
        <v>1.5666527217036992E-6</v>
      </c>
      <c r="AG116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6.853211243698136E-2</v>
      </c>
      <c r="AH1166" s="406">
        <f t="shared" si="18"/>
        <v>1200</v>
      </c>
      <c r="AI116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6.853211243698136E-2</v>
      </c>
      <c r="AJ1166" s="257">
        <f>FME_Ranking1[[#This Row],[Addition check]]-FME_Ranking1[[#This Row],[Weighted Score Based on Normalized Reported Factors]]</f>
        <v>0</v>
      </c>
      <c r="AK1166" s="178">
        <f>_xlfn.RANK.EQ(AI1166,$AI$6:$AI$2341,0)+COUNTIF($AI$6:AI1166,AI1166)-1</f>
        <v>1200</v>
      </c>
    </row>
    <row r="1167" spans="1:37" x14ac:dyDescent="0.25">
      <c r="A1167" t="s">
        <v>4693</v>
      </c>
      <c r="B1167">
        <f>_xlfn.XLOOKUP(FME_Ranking1[[#This Row],[FME ID]],FME_Input[FME_ID],FME_Input[RFPG_NUM])</f>
        <v>3</v>
      </c>
      <c r="C1167" t="str">
        <f>_xlfn.XLOOKUP(FME_Ranking1[[#This Row],[FME ID]],FME_Input[FME_ID],FME_Input[FME_NAME])</f>
        <v>Great Southwest Parkway &amp; Pinewood Drive</v>
      </c>
      <c r="D1167" t="str">
        <f>_xlfn.XLOOKUP(FME_Ranking1[[#This Row],[FME ID]],FME_Input[FME_ID],FME_Input[DESCR])</f>
        <v>Study update - Storm Drain Improvements; Estimated construction cost of $3,998,200</v>
      </c>
      <c r="E1167" s="256">
        <f>_xlfn.XLOOKUP(FME_Ranking1[[#This Row],[FME ID]],FME_Input[FME_ID],FME_Input[FME_COST])</f>
        <v>250000</v>
      </c>
      <c r="F1167" t="str">
        <f>_xlfn.XLOOKUP(FME_Ranking1[[#This Row],[FME ID]],FME_Input[FME_ID],FME_Input[EMER_NEED])</f>
        <v>No</v>
      </c>
      <c r="G1167">
        <f>IF(FME_Ranking!F1167="Yes",100,0)</f>
        <v>0</v>
      </c>
      <c r="H1167">
        <f>FME_Ranking1[[#This Row],[Emergency Need Score (Normalized, Unweighted)]]*$F$3</f>
        <v>0</v>
      </c>
      <c r="I1167" s="246">
        <f>_xlfn.XLOOKUP(FME_Ranking1[[#This Row],[FME ID]],FME_Input[FME_ID],FME_Input[STRUCT_100])</f>
        <v>19</v>
      </c>
      <c r="J1167" s="178">
        <f>(FME_Ranking1[[#This Row],[Structures 100 Raw]]/I$2)*100</f>
        <v>1.0174356338088506E-2</v>
      </c>
      <c r="K1167" s="178">
        <f>FME_Ranking1[[#This Row],[Structures 100  Score (Normalized, Unweighted)]]*$I$3</f>
        <v>1.5261534507132759E-3</v>
      </c>
      <c r="L1167" s="246">
        <f>_xlfn.XLOOKUP(FME_Ranking1[[#This Row],[FME ID]],FME_Input[FME_ID],FME_Input[RES_STRUCT100])</f>
        <v>17</v>
      </c>
      <c r="M1167" s="230">
        <f>(FME_Ranking1[[#This Row],[Res Structures Raw]]/L$2)*100</f>
        <v>1.2041195053193749E-2</v>
      </c>
      <c r="N1167" s="180">
        <f>FME_Ranking1[[#This Row],[Res Structures Score (Normalized, Unweighted)]]*$L$3</f>
        <v>1.2041195053193749E-3</v>
      </c>
      <c r="O1167" s="244">
        <f>_xlfn.XLOOKUP(FME_Ranking1[[#This Row],[FME ID]],FME_Input[FME_ID],FME_Input[POP100])</f>
        <v>107</v>
      </c>
      <c r="P1167" s="178">
        <f>(FME_Ranking1[[#This Row],[Pop Raw]]/$O$2)*100</f>
        <v>1.0954158382797671E-2</v>
      </c>
      <c r="Q1167" s="178">
        <f>FME_Ranking1[[#This Row],[Pop Score (Normalized, Unweighted)]]*$O$3</f>
        <v>1.6431237574196505E-3</v>
      </c>
      <c r="R1167" s="137">
        <f>_xlfn.XLOOKUP(FME_Ranking1[[#This Row],[FME ID]],FME_Input[FME_ID],FME_Input[CRITFAC100])</f>
        <v>0</v>
      </c>
      <c r="S1167" s="230">
        <f>(FME_Ranking1[[#This Row],[Critical Facilities Raw]]/$R$2)*100</f>
        <v>0</v>
      </c>
      <c r="T1167" s="180">
        <f>FME_Ranking1[[#This Row],[Critical Facilities Score (Normalized, Unweighted)]]*$R$3</f>
        <v>0</v>
      </c>
      <c r="U1167">
        <f>_xlfn.XLOOKUP(FME_Ranking1[[#This Row],[FME ID]],FME_Input[FME_ID],FME_Input[LWC])</f>
        <v>5</v>
      </c>
      <c r="V1167" s="178">
        <f>(FME_Ranking1[[#This Row],[LWC Raw]]/$U$2)*100</f>
        <v>0.28785261945883706</v>
      </c>
      <c r="W1167" s="178">
        <f>FME_Ranking1[[#This Row],[LWC Score (Normalized, Unweighted)]]*$U$3</f>
        <v>5.7570523891767415E-2</v>
      </c>
      <c r="X1167" s="246">
        <f>_xlfn.XLOOKUP(FME_Ranking1[[#This Row],[FME ID]],FME_Input[FME_ID],FME_Input[ROADCLS])</f>
        <v>0</v>
      </c>
      <c r="Y1167" s="230">
        <f>(FME_Ranking1[[#This Row],[Closures Raw]]/$X$2)*100</f>
        <v>0</v>
      </c>
      <c r="Z1167" s="180">
        <f>FME_Ranking1[[#This Row],[Closures Score (Normalized, Unweighted)]]*$X$3</f>
        <v>0</v>
      </c>
      <c r="AA1167" s="253">
        <f>_xlfn.XLOOKUP(FME_Ranking1[[#This Row],[FME ID]],FME_Input[FME_ID],FME_Input[ROAD_MILES100])</f>
        <v>2.1075549125671391</v>
      </c>
      <c r="AB1167" s="178">
        <f>(FME_Ranking1[[#This Row],[Miles Raw]]/$AA$2)*100</f>
        <v>2.771056702306246E-2</v>
      </c>
      <c r="AC1167" s="178">
        <f>FME_Ranking1[[#This Row],[Miles Score (Normalized, Unweighted)]]*$AA$3</f>
        <v>2.7710567023062462E-3</v>
      </c>
      <c r="AD1167" s="255">
        <f>_xlfn.XLOOKUP(FME_Ranking1[[#This Row],[FME ID]],FME_Input[FME_ID],FME_Input[FARMACRE100])</f>
        <v>7.9479131698608398</v>
      </c>
      <c r="AE1167" s="230">
        <f>(FME_Ranking1[[#This Row],[Ag Land Raw]]/$AD$2)*100</f>
        <v>3.2773636026243275E-4</v>
      </c>
      <c r="AF1167" s="231">
        <f>FME_Ranking1[[#This Row],[Ag Land Score (Normalized, Unweighted)]]*$AD$3</f>
        <v>1.6386818013121638E-5</v>
      </c>
      <c r="AG116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6.4731364125539079E-2</v>
      </c>
      <c r="AH1167" s="406">
        <f t="shared" si="18"/>
        <v>1221</v>
      </c>
      <c r="AI116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6.4731364125539079E-2</v>
      </c>
      <c r="AJ1167" s="257">
        <f>FME_Ranking1[[#This Row],[Addition check]]-FME_Ranking1[[#This Row],[Weighted Score Based on Normalized Reported Factors]]</f>
        <v>0</v>
      </c>
      <c r="AK1167" s="178">
        <f>_xlfn.RANK.EQ(AI1167,$AI$6:$AI$2341,0)+COUNTIF($AI$6:AI1167,AI1167)-1</f>
        <v>1221</v>
      </c>
    </row>
    <row r="1168" spans="1:37" x14ac:dyDescent="0.25">
      <c r="A1168" t="s">
        <v>4852</v>
      </c>
      <c r="B1168">
        <f>_xlfn.XLOOKUP(FME_Ranking1[[#This Row],[FME ID]],FME_Input[FME_ID],FME_Input[RFPG_NUM])</f>
        <v>3</v>
      </c>
      <c r="C1168" t="str">
        <f>_xlfn.XLOOKUP(FME_Ranking1[[#This Row],[FME ID]],FME_Input[FME_ID],FME_Input[FME_NAME])</f>
        <v>South Fork Cottonwood Creek</v>
      </c>
      <c r="D1168" t="str">
        <f>_xlfn.XLOOKUP(FME_Ranking1[[#This Row],[FME ID]],FME_Input[FME_ID],FME_Input[DESCR])</f>
        <v>Evaluate South Fork from Great Southwest to Carrier; Estimated construction cost of $781,200</v>
      </c>
      <c r="E1168" s="256">
        <f>_xlfn.XLOOKUP(FME_Ranking1[[#This Row],[FME ID]],FME_Input[FME_ID],FME_Input[FME_COST])</f>
        <v>250000</v>
      </c>
      <c r="F1168" t="str">
        <f>_xlfn.XLOOKUP(FME_Ranking1[[#This Row],[FME ID]],FME_Input[FME_ID],FME_Input[EMER_NEED])</f>
        <v>No</v>
      </c>
      <c r="G1168">
        <f>IF(FME_Ranking!F1168="Yes",100,0)</f>
        <v>0</v>
      </c>
      <c r="H1168">
        <f>FME_Ranking1[[#This Row],[Emergency Need Score (Normalized, Unweighted)]]*$F$3</f>
        <v>0</v>
      </c>
      <c r="I1168" s="246">
        <f>_xlfn.XLOOKUP(FME_Ranking1[[#This Row],[FME ID]],FME_Input[FME_ID],FME_Input[STRUCT_100])</f>
        <v>19</v>
      </c>
      <c r="J1168" s="178">
        <f>(FME_Ranking1[[#This Row],[Structures 100 Raw]]/I$2)*100</f>
        <v>1.0174356338088506E-2</v>
      </c>
      <c r="K1168" s="178">
        <f>FME_Ranking1[[#This Row],[Structures 100  Score (Normalized, Unweighted)]]*$I$3</f>
        <v>1.5261534507132759E-3</v>
      </c>
      <c r="L1168" s="246">
        <f>_xlfn.XLOOKUP(FME_Ranking1[[#This Row],[FME ID]],FME_Input[FME_ID],FME_Input[RES_STRUCT100])</f>
        <v>17</v>
      </c>
      <c r="M1168" s="230">
        <f>(FME_Ranking1[[#This Row],[Res Structures Raw]]/L$2)*100</f>
        <v>1.2041195053193749E-2</v>
      </c>
      <c r="N1168" s="180">
        <f>FME_Ranking1[[#This Row],[Res Structures Score (Normalized, Unweighted)]]*$L$3</f>
        <v>1.2041195053193749E-3</v>
      </c>
      <c r="O1168" s="244">
        <f>_xlfn.XLOOKUP(FME_Ranking1[[#This Row],[FME ID]],FME_Input[FME_ID],FME_Input[POP100])</f>
        <v>107</v>
      </c>
      <c r="P1168" s="178">
        <f>(FME_Ranking1[[#This Row],[Pop Raw]]/$O$2)*100</f>
        <v>1.0954158382797671E-2</v>
      </c>
      <c r="Q1168" s="178">
        <f>FME_Ranking1[[#This Row],[Pop Score (Normalized, Unweighted)]]*$O$3</f>
        <v>1.6431237574196505E-3</v>
      </c>
      <c r="R1168" s="137">
        <f>_xlfn.XLOOKUP(FME_Ranking1[[#This Row],[FME ID]],FME_Input[FME_ID],FME_Input[CRITFAC100])</f>
        <v>0</v>
      </c>
      <c r="S1168" s="230">
        <f>(FME_Ranking1[[#This Row],[Critical Facilities Raw]]/$R$2)*100</f>
        <v>0</v>
      </c>
      <c r="T1168" s="180">
        <f>FME_Ranking1[[#This Row],[Critical Facilities Score (Normalized, Unweighted)]]*$R$3</f>
        <v>0</v>
      </c>
      <c r="U1168">
        <f>_xlfn.XLOOKUP(FME_Ranking1[[#This Row],[FME ID]],FME_Input[FME_ID],FME_Input[LWC])</f>
        <v>5</v>
      </c>
      <c r="V1168" s="178">
        <f>(FME_Ranking1[[#This Row],[LWC Raw]]/$U$2)*100</f>
        <v>0.28785261945883706</v>
      </c>
      <c r="W1168" s="178">
        <f>FME_Ranking1[[#This Row],[LWC Score (Normalized, Unweighted)]]*$U$3</f>
        <v>5.7570523891767415E-2</v>
      </c>
      <c r="X1168" s="246">
        <f>_xlfn.XLOOKUP(FME_Ranking1[[#This Row],[FME ID]],FME_Input[FME_ID],FME_Input[ROADCLS])</f>
        <v>0</v>
      </c>
      <c r="Y1168" s="230">
        <f>(FME_Ranking1[[#This Row],[Closures Raw]]/$X$2)*100</f>
        <v>0</v>
      </c>
      <c r="Z1168" s="180">
        <f>FME_Ranking1[[#This Row],[Closures Score (Normalized, Unweighted)]]*$X$3</f>
        <v>0</v>
      </c>
      <c r="AA1168" s="253">
        <f>_xlfn.XLOOKUP(FME_Ranking1[[#This Row],[FME ID]],FME_Input[FME_ID],FME_Input[ROAD_MILES100])</f>
        <v>2.1075549125671391</v>
      </c>
      <c r="AB1168" s="178">
        <f>(FME_Ranking1[[#This Row],[Miles Raw]]/$AA$2)*100</f>
        <v>2.771056702306246E-2</v>
      </c>
      <c r="AC1168" s="178">
        <f>FME_Ranking1[[#This Row],[Miles Score (Normalized, Unweighted)]]*$AA$3</f>
        <v>2.7710567023062462E-3</v>
      </c>
      <c r="AD1168" s="255">
        <f>_xlfn.XLOOKUP(FME_Ranking1[[#This Row],[FME ID]],FME_Input[FME_ID],FME_Input[FARMACRE100])</f>
        <v>7.9479131698608398</v>
      </c>
      <c r="AE1168" s="230">
        <f>(FME_Ranking1[[#This Row],[Ag Land Raw]]/$AD$2)*100</f>
        <v>3.2773636026243275E-4</v>
      </c>
      <c r="AF1168" s="231">
        <f>FME_Ranking1[[#This Row],[Ag Land Score (Normalized, Unweighted)]]*$AD$3</f>
        <v>1.6386818013121638E-5</v>
      </c>
      <c r="AG116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6.4731364125539079E-2</v>
      </c>
      <c r="AH1168" s="406">
        <f t="shared" si="18"/>
        <v>1221</v>
      </c>
      <c r="AI116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6.4731364125539079E-2</v>
      </c>
      <c r="AJ1168" s="257">
        <f>FME_Ranking1[[#This Row],[Addition check]]-FME_Ranking1[[#This Row],[Weighted Score Based on Normalized Reported Factors]]</f>
        <v>0</v>
      </c>
      <c r="AK1168" s="178">
        <f>_xlfn.RANK.EQ(AI1168,$AI$6:$AI$2341,0)+COUNTIF($AI$6:AI1168,AI1168)-1</f>
        <v>1222</v>
      </c>
    </row>
    <row r="1169" spans="1:37" x14ac:dyDescent="0.25">
      <c r="A1169" t="s">
        <v>1273</v>
      </c>
      <c r="B1169">
        <f>_xlfn.XLOOKUP(FME_Ranking1[[#This Row],[FME ID]],FME_Input[FME_ID],FME_Input[RFPG_NUM])</f>
        <v>6</v>
      </c>
      <c r="C1169" t="str">
        <f>_xlfn.XLOOKUP(FME_Ranking1[[#This Row],[FME ID]],FME_Input[FME_ID],FME_Input[FME_NAME])</f>
        <v>Downtown Cleveland Drainage Line Installation</v>
      </c>
      <c r="D1169" t="str">
        <f>_xlfn.XLOOKUP(FME_Ranking1[[#This Row],[FME ID]],FME_Input[FME_ID],FME_Input[DESCR])</f>
        <v>Further study of proposed larger drainage lines in downtown Cleveland to reduce flooding.</v>
      </c>
      <c r="E1169" s="256">
        <f>_xlfn.XLOOKUP(FME_Ranking1[[#This Row],[FME ID]],FME_Input[FME_ID],FME_Input[FME_COST])</f>
        <v>50000</v>
      </c>
      <c r="F1169" t="str">
        <f>_xlfn.XLOOKUP(FME_Ranking1[[#This Row],[FME ID]],FME_Input[FME_ID],FME_Input[EMER_NEED])</f>
        <v>No</v>
      </c>
      <c r="G1169">
        <f>IF(FME_Ranking!F1169="Yes",100,0)</f>
        <v>0</v>
      </c>
      <c r="H1169">
        <f>FME_Ranking1[[#This Row],[Emergency Need Score (Normalized, Unweighted)]]*$F$3</f>
        <v>0</v>
      </c>
      <c r="I1169" s="246">
        <f>_xlfn.XLOOKUP(FME_Ranking1[[#This Row],[FME ID]],FME_Input[FME_ID],FME_Input[STRUCT_100])</f>
        <v>261</v>
      </c>
      <c r="J1169" s="178">
        <f>(FME_Ranking1[[#This Row],[Structures 100 Raw]]/I$2)*100</f>
        <v>0.13976352653900528</v>
      </c>
      <c r="K1169" s="178">
        <f>FME_Ranking1[[#This Row],[Structures 100  Score (Normalized, Unweighted)]]*$I$3</f>
        <v>2.0964528980850793E-2</v>
      </c>
      <c r="L1169" s="246">
        <f>_xlfn.XLOOKUP(FME_Ranking1[[#This Row],[FME ID]],FME_Input[FME_ID],FME_Input[RES_STRUCT100])</f>
        <v>133</v>
      </c>
      <c r="M1169" s="230">
        <f>(FME_Ranking1[[#This Row],[Res Structures Raw]]/L$2)*100</f>
        <v>9.4204643651456976E-2</v>
      </c>
      <c r="N1169" s="180">
        <f>FME_Ranking1[[#This Row],[Res Structures Score (Normalized, Unweighted)]]*$L$3</f>
        <v>9.4204643651456983E-3</v>
      </c>
      <c r="O1169" s="244">
        <f>_xlfn.XLOOKUP(FME_Ranking1[[#This Row],[FME ID]],FME_Input[FME_ID],FME_Input[POP100])</f>
        <v>1267</v>
      </c>
      <c r="P1169" s="178">
        <f>(FME_Ranking1[[#This Row],[Pop Raw]]/$O$2)*100</f>
        <v>0.12970952028976307</v>
      </c>
      <c r="Q1169" s="178">
        <f>FME_Ranking1[[#This Row],[Pop Score (Normalized, Unweighted)]]*$O$3</f>
        <v>1.9456428043464459E-2</v>
      </c>
      <c r="R1169" s="137">
        <f>_xlfn.XLOOKUP(FME_Ranking1[[#This Row],[FME ID]],FME_Input[FME_ID],FME_Input[CRITFAC100])</f>
        <v>0</v>
      </c>
      <c r="S1169" s="230">
        <f>(FME_Ranking1[[#This Row],[Critical Facilities Raw]]/$R$2)*100</f>
        <v>0</v>
      </c>
      <c r="T1169" s="180">
        <f>FME_Ranking1[[#This Row],[Critical Facilities Score (Normalized, Unweighted)]]*$R$3</f>
        <v>0</v>
      </c>
      <c r="U1169">
        <f>_xlfn.XLOOKUP(FME_Ranking1[[#This Row],[FME ID]],FME_Input[FME_ID],FME_Input[LWC])</f>
        <v>1</v>
      </c>
      <c r="V1169" s="178">
        <f>(FME_Ranking1[[#This Row],[LWC Raw]]/$U$2)*100</f>
        <v>5.7570523891767422E-2</v>
      </c>
      <c r="W1169" s="178">
        <f>FME_Ranking1[[#This Row],[LWC Score (Normalized, Unweighted)]]*$U$3</f>
        <v>1.1514104778353485E-2</v>
      </c>
      <c r="X1169" s="246">
        <f>_xlfn.XLOOKUP(FME_Ranking1[[#This Row],[FME ID]],FME_Input[FME_ID],FME_Input[ROADCLS])</f>
        <v>1</v>
      </c>
      <c r="Y1169" s="230">
        <f>(FME_Ranking1[[#This Row],[Closures Raw]]/$X$2)*100</f>
        <v>1.0514141520344864E-2</v>
      </c>
      <c r="Z1169" s="180">
        <f>FME_Ranking1[[#This Row],[Closures Score (Normalized, Unweighted)]]*$X$3</f>
        <v>5.2570707601724321E-4</v>
      </c>
      <c r="AA1169" s="253">
        <f>_xlfn.XLOOKUP(FME_Ranking1[[#This Row],[FME ID]],FME_Input[FME_ID],FME_Input[ROAD_MILES100])</f>
        <v>27.32913970947266</v>
      </c>
      <c r="AB1169" s="178">
        <f>(FME_Ranking1[[#This Row],[Miles Raw]]/$AA$2)*100</f>
        <v>0.35932917006633619</v>
      </c>
      <c r="AC1169" s="178">
        <f>FME_Ranking1[[#This Row],[Miles Score (Normalized, Unweighted)]]*$AA$3</f>
        <v>3.5932917006633619E-2</v>
      </c>
      <c r="AD1169" s="255">
        <f>_xlfn.XLOOKUP(FME_Ranking1[[#This Row],[FME ID]],FME_Input[FME_ID],FME_Input[FARMACRE100])</f>
        <v>28.87845611572266</v>
      </c>
      <c r="AE1169" s="230">
        <f>(FME_Ranking1[[#This Row],[Ag Land Raw]]/$AD$2)*100</f>
        <v>1.1908182556970548E-3</v>
      </c>
      <c r="AF1169" s="231">
        <f>FME_Ranking1[[#This Row],[Ag Land Score (Normalized, Unweighted)]]*$AD$3</f>
        <v>5.9540912784852744E-5</v>
      </c>
      <c r="AG116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9.7873691163250148E-2</v>
      </c>
      <c r="AH1169" s="406">
        <f t="shared" si="18"/>
        <v>1053</v>
      </c>
      <c r="AI116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9.7873691163250148E-2</v>
      </c>
      <c r="AJ1169" s="257">
        <f>FME_Ranking1[[#This Row],[Addition check]]-FME_Ranking1[[#This Row],[Weighted Score Based on Normalized Reported Factors]]</f>
        <v>0</v>
      </c>
      <c r="AK1169" s="178">
        <f>_xlfn.RANK.EQ(AI1169,$AI$6:$AI$2341,0)+COUNTIF($AI$6:AI1169,AI1169)-1</f>
        <v>1053</v>
      </c>
    </row>
    <row r="1170" spans="1:37" x14ac:dyDescent="0.25">
      <c r="A1170" t="s">
        <v>1295</v>
      </c>
      <c r="B1170">
        <f>_xlfn.XLOOKUP(FME_Ranking1[[#This Row],[FME ID]],FME_Input[FME_ID],FME_Input[RFPG_NUM])</f>
        <v>6</v>
      </c>
      <c r="C1170" t="str">
        <f>_xlfn.XLOOKUP(FME_Ranking1[[#This Row],[FME ID]],FME_Input[FME_ID],FME_Input[FME_NAME])</f>
        <v>City of North Cleveland Engineering Study</v>
      </c>
      <c r="D1170" t="str">
        <f>_xlfn.XLOOKUP(FME_Ranking1[[#This Row],[FME ID]],FME_Input[FME_ID],FME_Input[DESCR])</f>
        <v>Study to identify drainage improvements in the City of North Cleveland.</v>
      </c>
      <c r="E1170" s="256">
        <f>_xlfn.XLOOKUP(FME_Ranking1[[#This Row],[FME ID]],FME_Input[FME_ID],FME_Input[FME_COST])</f>
        <v>400000</v>
      </c>
      <c r="F1170" t="str">
        <f>_xlfn.XLOOKUP(FME_Ranking1[[#This Row],[FME ID]],FME_Input[FME_ID],FME_Input[EMER_NEED])</f>
        <v>No</v>
      </c>
      <c r="G1170">
        <f>IF(FME_Ranking!F1170="Yes",100,0)</f>
        <v>0</v>
      </c>
      <c r="H1170">
        <f>FME_Ranking1[[#This Row],[Emergency Need Score (Normalized, Unweighted)]]*$F$3</f>
        <v>0</v>
      </c>
      <c r="I1170" s="246">
        <f>_xlfn.XLOOKUP(FME_Ranking1[[#This Row],[FME ID]],FME_Input[FME_ID],FME_Input[STRUCT_100])</f>
        <v>261</v>
      </c>
      <c r="J1170" s="178">
        <f>(FME_Ranking1[[#This Row],[Structures 100 Raw]]/I$2)*100</f>
        <v>0.13976352653900528</v>
      </c>
      <c r="K1170" s="178">
        <f>FME_Ranking1[[#This Row],[Structures 100  Score (Normalized, Unweighted)]]*$I$3</f>
        <v>2.0964528980850793E-2</v>
      </c>
      <c r="L1170" s="246">
        <f>_xlfn.XLOOKUP(FME_Ranking1[[#This Row],[FME ID]],FME_Input[FME_ID],FME_Input[RES_STRUCT100])</f>
        <v>133</v>
      </c>
      <c r="M1170" s="230">
        <f>(FME_Ranking1[[#This Row],[Res Structures Raw]]/L$2)*100</f>
        <v>9.4204643651456976E-2</v>
      </c>
      <c r="N1170" s="180">
        <f>FME_Ranking1[[#This Row],[Res Structures Score (Normalized, Unweighted)]]*$L$3</f>
        <v>9.4204643651456983E-3</v>
      </c>
      <c r="O1170" s="244">
        <f>_xlfn.XLOOKUP(FME_Ranking1[[#This Row],[FME ID]],FME_Input[FME_ID],FME_Input[POP100])</f>
        <v>1267</v>
      </c>
      <c r="P1170" s="178">
        <f>(FME_Ranking1[[#This Row],[Pop Raw]]/$O$2)*100</f>
        <v>0.12970952028976307</v>
      </c>
      <c r="Q1170" s="178">
        <f>FME_Ranking1[[#This Row],[Pop Score (Normalized, Unweighted)]]*$O$3</f>
        <v>1.9456428043464459E-2</v>
      </c>
      <c r="R1170" s="137">
        <f>_xlfn.XLOOKUP(FME_Ranking1[[#This Row],[FME ID]],FME_Input[FME_ID],FME_Input[CRITFAC100])</f>
        <v>0</v>
      </c>
      <c r="S1170" s="230">
        <f>(FME_Ranking1[[#This Row],[Critical Facilities Raw]]/$R$2)*100</f>
        <v>0</v>
      </c>
      <c r="T1170" s="180">
        <f>FME_Ranking1[[#This Row],[Critical Facilities Score (Normalized, Unweighted)]]*$R$3</f>
        <v>0</v>
      </c>
      <c r="U1170">
        <f>_xlfn.XLOOKUP(FME_Ranking1[[#This Row],[FME ID]],FME_Input[FME_ID],FME_Input[LWC])</f>
        <v>1</v>
      </c>
      <c r="V1170" s="178">
        <f>(FME_Ranking1[[#This Row],[LWC Raw]]/$U$2)*100</f>
        <v>5.7570523891767422E-2</v>
      </c>
      <c r="W1170" s="178">
        <f>FME_Ranking1[[#This Row],[LWC Score (Normalized, Unweighted)]]*$U$3</f>
        <v>1.1514104778353485E-2</v>
      </c>
      <c r="X1170" s="246">
        <f>_xlfn.XLOOKUP(FME_Ranking1[[#This Row],[FME ID]],FME_Input[FME_ID],FME_Input[ROADCLS])</f>
        <v>1</v>
      </c>
      <c r="Y1170" s="230">
        <f>(FME_Ranking1[[#This Row],[Closures Raw]]/$X$2)*100</f>
        <v>1.0514141520344864E-2</v>
      </c>
      <c r="Z1170" s="180">
        <f>FME_Ranking1[[#This Row],[Closures Score (Normalized, Unweighted)]]*$X$3</f>
        <v>5.2570707601724321E-4</v>
      </c>
      <c r="AA1170" s="253">
        <f>_xlfn.XLOOKUP(FME_Ranking1[[#This Row],[FME ID]],FME_Input[FME_ID],FME_Input[ROAD_MILES100])</f>
        <v>27.32913970947266</v>
      </c>
      <c r="AB1170" s="178">
        <f>(FME_Ranking1[[#This Row],[Miles Raw]]/$AA$2)*100</f>
        <v>0.35932917006633619</v>
      </c>
      <c r="AC1170" s="178">
        <f>FME_Ranking1[[#This Row],[Miles Score (Normalized, Unweighted)]]*$AA$3</f>
        <v>3.5932917006633619E-2</v>
      </c>
      <c r="AD1170" s="255">
        <f>_xlfn.XLOOKUP(FME_Ranking1[[#This Row],[FME ID]],FME_Input[FME_ID],FME_Input[FARMACRE100])</f>
        <v>28.87845611572266</v>
      </c>
      <c r="AE1170" s="230">
        <f>(FME_Ranking1[[#This Row],[Ag Land Raw]]/$AD$2)*100</f>
        <v>1.1908182556970548E-3</v>
      </c>
      <c r="AF1170" s="231">
        <f>FME_Ranking1[[#This Row],[Ag Land Score (Normalized, Unweighted)]]*$AD$3</f>
        <v>5.9540912784852744E-5</v>
      </c>
      <c r="AG117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9.7873691163250148E-2</v>
      </c>
      <c r="AH1170" s="406">
        <f t="shared" si="18"/>
        <v>1053</v>
      </c>
      <c r="AI117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9.7873691163250148E-2</v>
      </c>
      <c r="AJ1170" s="257">
        <f>FME_Ranking1[[#This Row],[Addition check]]-FME_Ranking1[[#This Row],[Weighted Score Based on Normalized Reported Factors]]</f>
        <v>0</v>
      </c>
      <c r="AK1170" s="178">
        <f>_xlfn.RANK.EQ(AI1170,$AI$6:$AI$2341,0)+COUNTIF($AI$6:AI1170,AI1170)-1</f>
        <v>1054</v>
      </c>
    </row>
    <row r="1171" spans="1:37" x14ac:dyDescent="0.25">
      <c r="A1171" t="s">
        <v>1298</v>
      </c>
      <c r="B1171">
        <f>_xlfn.XLOOKUP(FME_Ranking1[[#This Row],[FME ID]],FME_Input[FME_ID],FME_Input[RFPG_NUM])</f>
        <v>6</v>
      </c>
      <c r="C1171" t="str">
        <f>_xlfn.XLOOKUP(FME_Ranking1[[#This Row],[FME ID]],FME_Input[FME_ID],FME_Input[FME_NAME])</f>
        <v xml:space="preserve">Elevation of Bridge Road in City of North Cleveland </v>
      </c>
      <c r="D1171" t="str">
        <f>_xlfn.XLOOKUP(FME_Ranking1[[#This Row],[FME ID]],FME_Input[FME_ID],FME_Input[DESCR])</f>
        <v>Further study to elevate Bridge road.</v>
      </c>
      <c r="E1171" s="256">
        <f>_xlfn.XLOOKUP(FME_Ranking1[[#This Row],[FME ID]],FME_Input[FME_ID],FME_Input[FME_COST])</f>
        <v>120000</v>
      </c>
      <c r="F1171" t="str">
        <f>_xlfn.XLOOKUP(FME_Ranking1[[#This Row],[FME ID]],FME_Input[FME_ID],FME_Input[EMER_NEED])</f>
        <v>No</v>
      </c>
      <c r="G1171">
        <f>IF(FME_Ranking!F1171="Yes",100,0)</f>
        <v>0</v>
      </c>
      <c r="H1171">
        <f>FME_Ranking1[[#This Row],[Emergency Need Score (Normalized, Unweighted)]]*$F$3</f>
        <v>0</v>
      </c>
      <c r="I1171" s="246">
        <f>_xlfn.XLOOKUP(FME_Ranking1[[#This Row],[FME ID]],FME_Input[FME_ID],FME_Input[STRUCT_100])</f>
        <v>261</v>
      </c>
      <c r="J1171" s="178">
        <f>(FME_Ranking1[[#This Row],[Structures 100 Raw]]/I$2)*100</f>
        <v>0.13976352653900528</v>
      </c>
      <c r="K1171" s="178">
        <f>FME_Ranking1[[#This Row],[Structures 100  Score (Normalized, Unweighted)]]*$I$3</f>
        <v>2.0964528980850793E-2</v>
      </c>
      <c r="L1171" s="246">
        <f>_xlfn.XLOOKUP(FME_Ranking1[[#This Row],[FME ID]],FME_Input[FME_ID],FME_Input[RES_STRUCT100])</f>
        <v>133</v>
      </c>
      <c r="M1171" s="230">
        <f>(FME_Ranking1[[#This Row],[Res Structures Raw]]/L$2)*100</f>
        <v>9.4204643651456976E-2</v>
      </c>
      <c r="N1171" s="180">
        <f>FME_Ranking1[[#This Row],[Res Structures Score (Normalized, Unweighted)]]*$L$3</f>
        <v>9.4204643651456983E-3</v>
      </c>
      <c r="O1171" s="244">
        <f>_xlfn.XLOOKUP(FME_Ranking1[[#This Row],[FME ID]],FME_Input[FME_ID],FME_Input[POP100])</f>
        <v>1267</v>
      </c>
      <c r="P1171" s="178">
        <f>(FME_Ranking1[[#This Row],[Pop Raw]]/$O$2)*100</f>
        <v>0.12970952028976307</v>
      </c>
      <c r="Q1171" s="178">
        <f>FME_Ranking1[[#This Row],[Pop Score (Normalized, Unweighted)]]*$O$3</f>
        <v>1.9456428043464459E-2</v>
      </c>
      <c r="R1171" s="137">
        <f>_xlfn.XLOOKUP(FME_Ranking1[[#This Row],[FME ID]],FME_Input[FME_ID],FME_Input[CRITFAC100])</f>
        <v>0</v>
      </c>
      <c r="S1171" s="230">
        <f>(FME_Ranking1[[#This Row],[Critical Facilities Raw]]/$R$2)*100</f>
        <v>0</v>
      </c>
      <c r="T1171" s="180">
        <f>FME_Ranking1[[#This Row],[Critical Facilities Score (Normalized, Unweighted)]]*$R$3</f>
        <v>0</v>
      </c>
      <c r="U1171">
        <f>_xlfn.XLOOKUP(FME_Ranking1[[#This Row],[FME ID]],FME_Input[FME_ID],FME_Input[LWC])</f>
        <v>1</v>
      </c>
      <c r="V1171" s="178">
        <f>(FME_Ranking1[[#This Row],[LWC Raw]]/$U$2)*100</f>
        <v>5.7570523891767422E-2</v>
      </c>
      <c r="W1171" s="178">
        <f>FME_Ranking1[[#This Row],[LWC Score (Normalized, Unweighted)]]*$U$3</f>
        <v>1.1514104778353485E-2</v>
      </c>
      <c r="X1171" s="246">
        <f>_xlfn.XLOOKUP(FME_Ranking1[[#This Row],[FME ID]],FME_Input[FME_ID],FME_Input[ROADCLS])</f>
        <v>1</v>
      </c>
      <c r="Y1171" s="230">
        <f>(FME_Ranking1[[#This Row],[Closures Raw]]/$X$2)*100</f>
        <v>1.0514141520344864E-2</v>
      </c>
      <c r="Z1171" s="180">
        <f>FME_Ranking1[[#This Row],[Closures Score (Normalized, Unweighted)]]*$X$3</f>
        <v>5.2570707601724321E-4</v>
      </c>
      <c r="AA1171" s="253">
        <f>_xlfn.XLOOKUP(FME_Ranking1[[#This Row],[FME ID]],FME_Input[FME_ID],FME_Input[ROAD_MILES100])</f>
        <v>27.32913970947266</v>
      </c>
      <c r="AB1171" s="178">
        <f>(FME_Ranking1[[#This Row],[Miles Raw]]/$AA$2)*100</f>
        <v>0.35932917006633619</v>
      </c>
      <c r="AC1171" s="178">
        <f>FME_Ranking1[[#This Row],[Miles Score (Normalized, Unweighted)]]*$AA$3</f>
        <v>3.5932917006633619E-2</v>
      </c>
      <c r="AD1171" s="255">
        <f>_xlfn.XLOOKUP(FME_Ranking1[[#This Row],[FME ID]],FME_Input[FME_ID],FME_Input[FARMACRE100])</f>
        <v>28.87845611572266</v>
      </c>
      <c r="AE1171" s="230">
        <f>(FME_Ranking1[[#This Row],[Ag Land Raw]]/$AD$2)*100</f>
        <v>1.1908182556970548E-3</v>
      </c>
      <c r="AF1171" s="231">
        <f>FME_Ranking1[[#This Row],[Ag Land Score (Normalized, Unweighted)]]*$AD$3</f>
        <v>5.9540912784852744E-5</v>
      </c>
      <c r="AG117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9.7873691163250148E-2</v>
      </c>
      <c r="AH1171" s="406">
        <f t="shared" si="18"/>
        <v>1053</v>
      </c>
      <c r="AI117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9.7873691163250148E-2</v>
      </c>
      <c r="AJ1171" s="257">
        <f>FME_Ranking1[[#This Row],[Addition check]]-FME_Ranking1[[#This Row],[Weighted Score Based on Normalized Reported Factors]]</f>
        <v>0</v>
      </c>
      <c r="AK1171" s="178">
        <f>_xlfn.RANK.EQ(AI1171,$AI$6:$AI$2341,0)+COUNTIF($AI$6:AI1171,AI1171)-1</f>
        <v>1055</v>
      </c>
    </row>
    <row r="1172" spans="1:37" x14ac:dyDescent="0.25">
      <c r="A1172" t="s">
        <v>1316</v>
      </c>
      <c r="B1172">
        <f>_xlfn.XLOOKUP(FME_Ranking1[[#This Row],[FME ID]],FME_Input[FME_ID],FME_Input[RFPG_NUM])</f>
        <v>6</v>
      </c>
      <c r="C1172" t="str">
        <f>_xlfn.XLOOKUP(FME_Ranking1[[#This Row],[FME ID]],FME_Input[FME_ID],FME_Input[FME_NAME])</f>
        <v>City of Cleveland Drainage Improvements</v>
      </c>
      <c r="D1172" t="str">
        <f>_xlfn.XLOOKUP(FME_Ranking1[[#This Row],[FME ID]],FME_Input[FME_ID],FME_Input[DESCR])</f>
        <v>Further study of proposed city of cleveland drainage improvements.</v>
      </c>
      <c r="E1172" s="256">
        <f>_xlfn.XLOOKUP(FME_Ranking1[[#This Row],[FME ID]],FME_Input[FME_ID],FME_Input[FME_COST])</f>
        <v>410000</v>
      </c>
      <c r="F1172" t="str">
        <f>_xlfn.XLOOKUP(FME_Ranking1[[#This Row],[FME ID]],FME_Input[FME_ID],FME_Input[EMER_NEED])</f>
        <v>No</v>
      </c>
      <c r="G1172">
        <f>IF(FME_Ranking!F1172="Yes",100,0)</f>
        <v>0</v>
      </c>
      <c r="H1172">
        <f>FME_Ranking1[[#This Row],[Emergency Need Score (Normalized, Unweighted)]]*$F$3</f>
        <v>0</v>
      </c>
      <c r="I1172" s="246">
        <f>_xlfn.XLOOKUP(FME_Ranking1[[#This Row],[FME ID]],FME_Input[FME_ID],FME_Input[STRUCT_100])</f>
        <v>261</v>
      </c>
      <c r="J1172" s="178">
        <f>(FME_Ranking1[[#This Row],[Structures 100 Raw]]/I$2)*100</f>
        <v>0.13976352653900528</v>
      </c>
      <c r="K1172" s="178">
        <f>FME_Ranking1[[#This Row],[Structures 100  Score (Normalized, Unweighted)]]*$I$3</f>
        <v>2.0964528980850793E-2</v>
      </c>
      <c r="L1172" s="246">
        <f>_xlfn.XLOOKUP(FME_Ranking1[[#This Row],[FME ID]],FME_Input[FME_ID],FME_Input[RES_STRUCT100])</f>
        <v>133</v>
      </c>
      <c r="M1172" s="230">
        <f>(FME_Ranking1[[#This Row],[Res Structures Raw]]/L$2)*100</f>
        <v>9.4204643651456976E-2</v>
      </c>
      <c r="N1172" s="180">
        <f>FME_Ranking1[[#This Row],[Res Structures Score (Normalized, Unweighted)]]*$L$3</f>
        <v>9.4204643651456983E-3</v>
      </c>
      <c r="O1172" s="244">
        <f>_xlfn.XLOOKUP(FME_Ranking1[[#This Row],[FME ID]],FME_Input[FME_ID],FME_Input[POP100])</f>
        <v>1267</v>
      </c>
      <c r="P1172" s="178">
        <f>(FME_Ranking1[[#This Row],[Pop Raw]]/$O$2)*100</f>
        <v>0.12970952028976307</v>
      </c>
      <c r="Q1172" s="178">
        <f>FME_Ranking1[[#This Row],[Pop Score (Normalized, Unweighted)]]*$O$3</f>
        <v>1.9456428043464459E-2</v>
      </c>
      <c r="R1172" s="137">
        <f>_xlfn.XLOOKUP(FME_Ranking1[[#This Row],[FME ID]],FME_Input[FME_ID],FME_Input[CRITFAC100])</f>
        <v>0</v>
      </c>
      <c r="S1172" s="230">
        <f>(FME_Ranking1[[#This Row],[Critical Facilities Raw]]/$R$2)*100</f>
        <v>0</v>
      </c>
      <c r="T1172" s="180">
        <f>FME_Ranking1[[#This Row],[Critical Facilities Score (Normalized, Unweighted)]]*$R$3</f>
        <v>0</v>
      </c>
      <c r="U1172">
        <f>_xlfn.XLOOKUP(FME_Ranking1[[#This Row],[FME ID]],FME_Input[FME_ID],FME_Input[LWC])</f>
        <v>1</v>
      </c>
      <c r="V1172" s="178">
        <f>(FME_Ranking1[[#This Row],[LWC Raw]]/$U$2)*100</f>
        <v>5.7570523891767422E-2</v>
      </c>
      <c r="W1172" s="178">
        <f>FME_Ranking1[[#This Row],[LWC Score (Normalized, Unweighted)]]*$U$3</f>
        <v>1.1514104778353485E-2</v>
      </c>
      <c r="X1172" s="246">
        <f>_xlfn.XLOOKUP(FME_Ranking1[[#This Row],[FME ID]],FME_Input[FME_ID],FME_Input[ROADCLS])</f>
        <v>1</v>
      </c>
      <c r="Y1172" s="230">
        <f>(FME_Ranking1[[#This Row],[Closures Raw]]/$X$2)*100</f>
        <v>1.0514141520344864E-2</v>
      </c>
      <c r="Z1172" s="180">
        <f>FME_Ranking1[[#This Row],[Closures Score (Normalized, Unweighted)]]*$X$3</f>
        <v>5.2570707601724321E-4</v>
      </c>
      <c r="AA1172" s="253">
        <f>_xlfn.XLOOKUP(FME_Ranking1[[#This Row],[FME ID]],FME_Input[FME_ID],FME_Input[ROAD_MILES100])</f>
        <v>27.32913970947266</v>
      </c>
      <c r="AB1172" s="178">
        <f>(FME_Ranking1[[#This Row],[Miles Raw]]/$AA$2)*100</f>
        <v>0.35932917006633619</v>
      </c>
      <c r="AC1172" s="178">
        <f>FME_Ranking1[[#This Row],[Miles Score (Normalized, Unweighted)]]*$AA$3</f>
        <v>3.5932917006633619E-2</v>
      </c>
      <c r="AD1172" s="255">
        <f>_xlfn.XLOOKUP(FME_Ranking1[[#This Row],[FME ID]],FME_Input[FME_ID],FME_Input[FARMACRE100])</f>
        <v>28.87845611572266</v>
      </c>
      <c r="AE1172" s="230">
        <f>(FME_Ranking1[[#This Row],[Ag Land Raw]]/$AD$2)*100</f>
        <v>1.1908182556970548E-3</v>
      </c>
      <c r="AF1172" s="231">
        <f>FME_Ranking1[[#This Row],[Ag Land Score (Normalized, Unweighted)]]*$AD$3</f>
        <v>5.9540912784852744E-5</v>
      </c>
      <c r="AG117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9.7873691163250148E-2</v>
      </c>
      <c r="AH1172" s="406">
        <f t="shared" si="18"/>
        <v>1053</v>
      </c>
      <c r="AI117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9.7873691163250148E-2</v>
      </c>
      <c r="AJ1172" s="257">
        <f>FME_Ranking1[[#This Row],[Addition check]]-FME_Ranking1[[#This Row],[Weighted Score Based on Normalized Reported Factors]]</f>
        <v>0</v>
      </c>
      <c r="AK1172" s="178">
        <f>_xlfn.RANK.EQ(AI1172,$AI$6:$AI$2341,0)+COUNTIF($AI$6:AI1172,AI1172)-1</f>
        <v>1056</v>
      </c>
    </row>
    <row r="1173" spans="1:37" x14ac:dyDescent="0.25">
      <c r="A1173" t="s">
        <v>1536</v>
      </c>
      <c r="B1173">
        <f>_xlfn.XLOOKUP(FME_Ranking1[[#This Row],[FME ID]],FME_Input[FME_ID],FME_Input[RFPG_NUM])</f>
        <v>6</v>
      </c>
      <c r="C1173" t="str">
        <f>_xlfn.XLOOKUP(FME_Ranking1[[#This Row],[FME ID]],FME_Input[FME_ID],FME_Input[FME_NAME])</f>
        <v>City of Cleveland  Master Drainage Plan</v>
      </c>
      <c r="D1173" t="str">
        <f>_xlfn.XLOOKUP(FME_Ranking1[[#This Row],[FME ID]],FME_Input[FME_ID],FME_Input[DESCR])</f>
        <v>Study to develop Master Drainage Plan using future and existing land use and flood/storm water drainage needs including Atlas 14 rainfall.</v>
      </c>
      <c r="E1173" s="256">
        <f>_xlfn.XLOOKUP(FME_Ranking1[[#This Row],[FME ID]],FME_Input[FME_ID],FME_Input[FME_COST])</f>
        <v>400000</v>
      </c>
      <c r="F1173" t="str">
        <f>_xlfn.XLOOKUP(FME_Ranking1[[#This Row],[FME ID]],FME_Input[FME_ID],FME_Input[EMER_NEED])</f>
        <v>No</v>
      </c>
      <c r="G1173">
        <f>IF(FME_Ranking!F1173="Yes",100,0)</f>
        <v>0</v>
      </c>
      <c r="H1173">
        <f>FME_Ranking1[[#This Row],[Emergency Need Score (Normalized, Unweighted)]]*$F$3</f>
        <v>0</v>
      </c>
      <c r="I1173" s="246">
        <f>_xlfn.XLOOKUP(FME_Ranking1[[#This Row],[FME ID]],FME_Input[FME_ID],FME_Input[STRUCT_100])</f>
        <v>261</v>
      </c>
      <c r="J1173" s="178">
        <f>(FME_Ranking1[[#This Row],[Structures 100 Raw]]/I$2)*100</f>
        <v>0.13976352653900528</v>
      </c>
      <c r="K1173" s="178">
        <f>FME_Ranking1[[#This Row],[Structures 100  Score (Normalized, Unweighted)]]*$I$3</f>
        <v>2.0964528980850793E-2</v>
      </c>
      <c r="L1173" s="246">
        <f>_xlfn.XLOOKUP(FME_Ranking1[[#This Row],[FME ID]],FME_Input[FME_ID],FME_Input[RES_STRUCT100])</f>
        <v>133</v>
      </c>
      <c r="M1173" s="230">
        <f>(FME_Ranking1[[#This Row],[Res Structures Raw]]/L$2)*100</f>
        <v>9.4204643651456976E-2</v>
      </c>
      <c r="N1173" s="180">
        <f>FME_Ranking1[[#This Row],[Res Structures Score (Normalized, Unweighted)]]*$L$3</f>
        <v>9.4204643651456983E-3</v>
      </c>
      <c r="O1173" s="244">
        <f>_xlfn.XLOOKUP(FME_Ranking1[[#This Row],[FME ID]],FME_Input[FME_ID],FME_Input[POP100])</f>
        <v>1267</v>
      </c>
      <c r="P1173" s="178">
        <f>(FME_Ranking1[[#This Row],[Pop Raw]]/$O$2)*100</f>
        <v>0.12970952028976307</v>
      </c>
      <c r="Q1173" s="178">
        <f>FME_Ranking1[[#This Row],[Pop Score (Normalized, Unweighted)]]*$O$3</f>
        <v>1.9456428043464459E-2</v>
      </c>
      <c r="R1173" s="137">
        <f>_xlfn.XLOOKUP(FME_Ranking1[[#This Row],[FME ID]],FME_Input[FME_ID],FME_Input[CRITFAC100])</f>
        <v>0</v>
      </c>
      <c r="S1173" s="230">
        <f>(FME_Ranking1[[#This Row],[Critical Facilities Raw]]/$R$2)*100</f>
        <v>0</v>
      </c>
      <c r="T1173" s="180">
        <f>FME_Ranking1[[#This Row],[Critical Facilities Score (Normalized, Unweighted)]]*$R$3</f>
        <v>0</v>
      </c>
      <c r="U1173">
        <f>_xlfn.XLOOKUP(FME_Ranking1[[#This Row],[FME ID]],FME_Input[FME_ID],FME_Input[LWC])</f>
        <v>1</v>
      </c>
      <c r="V1173" s="178">
        <f>(FME_Ranking1[[#This Row],[LWC Raw]]/$U$2)*100</f>
        <v>5.7570523891767422E-2</v>
      </c>
      <c r="W1173" s="178">
        <f>FME_Ranking1[[#This Row],[LWC Score (Normalized, Unweighted)]]*$U$3</f>
        <v>1.1514104778353485E-2</v>
      </c>
      <c r="X1173" s="246">
        <f>_xlfn.XLOOKUP(FME_Ranking1[[#This Row],[FME ID]],FME_Input[FME_ID],FME_Input[ROADCLS])</f>
        <v>1</v>
      </c>
      <c r="Y1173" s="230">
        <f>(FME_Ranking1[[#This Row],[Closures Raw]]/$X$2)*100</f>
        <v>1.0514141520344864E-2</v>
      </c>
      <c r="Z1173" s="180">
        <f>FME_Ranking1[[#This Row],[Closures Score (Normalized, Unweighted)]]*$X$3</f>
        <v>5.2570707601724321E-4</v>
      </c>
      <c r="AA1173" s="253">
        <f>_xlfn.XLOOKUP(FME_Ranking1[[#This Row],[FME ID]],FME_Input[FME_ID],FME_Input[ROAD_MILES100])</f>
        <v>27.32913970947266</v>
      </c>
      <c r="AB1173" s="178">
        <f>(FME_Ranking1[[#This Row],[Miles Raw]]/$AA$2)*100</f>
        <v>0.35932917006633619</v>
      </c>
      <c r="AC1173" s="178">
        <f>FME_Ranking1[[#This Row],[Miles Score (Normalized, Unweighted)]]*$AA$3</f>
        <v>3.5932917006633619E-2</v>
      </c>
      <c r="AD1173" s="255">
        <f>_xlfn.XLOOKUP(FME_Ranking1[[#This Row],[FME ID]],FME_Input[FME_ID],FME_Input[FARMACRE100])</f>
        <v>28.87845611572266</v>
      </c>
      <c r="AE1173" s="230">
        <f>(FME_Ranking1[[#This Row],[Ag Land Raw]]/$AD$2)*100</f>
        <v>1.1908182556970548E-3</v>
      </c>
      <c r="AF1173" s="231">
        <f>FME_Ranking1[[#This Row],[Ag Land Score (Normalized, Unweighted)]]*$AD$3</f>
        <v>5.9540912784852744E-5</v>
      </c>
      <c r="AG117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9.7873691163250148E-2</v>
      </c>
      <c r="AH1173" s="406">
        <f t="shared" si="18"/>
        <v>1053</v>
      </c>
      <c r="AI117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9.7873691163250148E-2</v>
      </c>
      <c r="AJ1173" s="257">
        <f>FME_Ranking1[[#This Row],[Addition check]]-FME_Ranking1[[#This Row],[Weighted Score Based on Normalized Reported Factors]]</f>
        <v>0</v>
      </c>
      <c r="AK1173" s="178">
        <f>_xlfn.RANK.EQ(AI1173,$AI$6:$AI$2341,0)+COUNTIF($AI$6:AI1173,AI1173)-1</f>
        <v>1057</v>
      </c>
    </row>
    <row r="1174" spans="1:37" x14ac:dyDescent="0.25">
      <c r="A1174" t="s">
        <v>6540</v>
      </c>
      <c r="B1174">
        <f>_xlfn.XLOOKUP(FME_Ranking1[[#This Row],[FME ID]],FME_Input[FME_ID],FME_Input[RFPG_NUM])</f>
        <v>7</v>
      </c>
      <c r="C1174" t="str">
        <f>_xlfn.XLOOKUP(FME_Ranking1[[#This Row],[FME ID]],FME_Input[FME_ID],FME_Input[FME_NAME])</f>
        <v>Fisher County Initial FEMA Mapping</v>
      </c>
      <c r="D1174" t="str">
        <f>_xlfn.XLOOKUP(FME_Ranking1[[#This Row],[FME ID]],FME_Input[FME_ID],FME_Input[DESCR])</f>
        <v>Create FEMA Mapping in previously unmapped areas</v>
      </c>
      <c r="E1174" s="256">
        <f>_xlfn.XLOOKUP(FME_Ranking1[[#This Row],[FME ID]],FME_Input[FME_ID],FME_Input[FME_COST])</f>
        <v>859000</v>
      </c>
      <c r="F1174" t="str">
        <f>_xlfn.XLOOKUP(FME_Ranking1[[#This Row],[FME ID]],FME_Input[FME_ID],FME_Input[EMER_NEED])</f>
        <v>No</v>
      </c>
      <c r="G1174">
        <f>IF(FME_Ranking!F1174="Yes",100,0)</f>
        <v>0</v>
      </c>
      <c r="H1174">
        <f>FME_Ranking1[[#This Row],[Emergency Need Score (Normalized, Unweighted)]]*$F$3</f>
        <v>0</v>
      </c>
      <c r="I1174" s="246">
        <f>_xlfn.XLOOKUP(FME_Ranking1[[#This Row],[FME ID]],FME_Input[FME_ID],FME_Input[STRUCT_100])</f>
        <v>120</v>
      </c>
      <c r="J1174" s="178">
        <f>(FME_Ranking1[[#This Row],[Structures 100 Raw]]/I$2)*100</f>
        <v>6.4259092661611616E-2</v>
      </c>
      <c r="K1174" s="178">
        <f>FME_Ranking1[[#This Row],[Structures 100  Score (Normalized, Unweighted)]]*$I$3</f>
        <v>9.6388638992417428E-3</v>
      </c>
      <c r="L1174" s="246">
        <f>_xlfn.XLOOKUP(FME_Ranking1[[#This Row],[FME ID]],FME_Input[FME_ID],FME_Input[RES_STRUCT100])</f>
        <v>24</v>
      </c>
      <c r="M1174" s="230">
        <f>(FME_Ranking1[[#This Row],[Res Structures Raw]]/L$2)*100</f>
        <v>1.6999334192744117E-2</v>
      </c>
      <c r="N1174" s="180">
        <f>FME_Ranking1[[#This Row],[Res Structures Score (Normalized, Unweighted)]]*$L$3</f>
        <v>1.6999334192744119E-3</v>
      </c>
      <c r="O1174" s="244">
        <f>_xlfn.XLOOKUP(FME_Ranking1[[#This Row],[FME ID]],FME_Input[FME_ID],FME_Input[POP100])</f>
        <v>89</v>
      </c>
      <c r="P1174" s="178">
        <f>(FME_Ranking1[[#This Row],[Pop Raw]]/$O$2)*100</f>
        <v>9.1114027669999334E-3</v>
      </c>
      <c r="Q1174" s="178">
        <f>FME_Ranking1[[#This Row],[Pop Score (Normalized, Unweighted)]]*$O$3</f>
        <v>1.36671041504999E-3</v>
      </c>
      <c r="R1174" s="137">
        <f>_xlfn.XLOOKUP(FME_Ranking1[[#This Row],[FME ID]],FME_Input[FME_ID],FME_Input[CRITFAC100])</f>
        <v>0</v>
      </c>
      <c r="S1174" s="230">
        <f>(FME_Ranking1[[#This Row],[Critical Facilities Raw]]/$R$2)*100</f>
        <v>0</v>
      </c>
      <c r="T1174" s="180">
        <f>FME_Ranking1[[#This Row],[Critical Facilities Score (Normalized, Unweighted)]]*$R$3</f>
        <v>0</v>
      </c>
      <c r="U1174">
        <f>_xlfn.XLOOKUP(FME_Ranking1[[#This Row],[FME ID]],FME_Input[FME_ID],FME_Input[LWC])</f>
        <v>0</v>
      </c>
      <c r="V1174" s="178">
        <f>(FME_Ranking1[[#This Row],[LWC Raw]]/$U$2)*100</f>
        <v>0</v>
      </c>
      <c r="W1174" s="178">
        <f>FME_Ranking1[[#This Row],[LWC Score (Normalized, Unweighted)]]*$U$3</f>
        <v>0</v>
      </c>
      <c r="X1174" s="246">
        <f>_xlfn.XLOOKUP(FME_Ranking1[[#This Row],[FME ID]],FME_Input[FME_ID],FME_Input[ROADCLS])</f>
        <v>0</v>
      </c>
      <c r="Y1174" s="230">
        <f>(FME_Ranking1[[#This Row],[Closures Raw]]/$X$2)*100</f>
        <v>0</v>
      </c>
      <c r="Z1174" s="180">
        <f>FME_Ranking1[[#This Row],[Closures Score (Normalized, Unweighted)]]*$X$3</f>
        <v>0</v>
      </c>
      <c r="AA1174" s="253">
        <f>_xlfn.XLOOKUP(FME_Ranking1[[#This Row],[FME ID]],FME_Input[FME_ID],FME_Input[ROAD_MILES100])</f>
        <v>89.146781921386719</v>
      </c>
      <c r="AB1174" s="178">
        <f>(FME_Ranking1[[#This Row],[Miles Raw]]/$AA$2)*100</f>
        <v>1.1721202900065477</v>
      </c>
      <c r="AC1174" s="178">
        <f>FME_Ranking1[[#This Row],[Miles Score (Normalized, Unweighted)]]*$AA$3</f>
        <v>0.11721202900065478</v>
      </c>
      <c r="AD1174" s="255">
        <f>_xlfn.XLOOKUP(FME_Ranking1[[#This Row],[FME ID]],FME_Input[FME_ID],FME_Input[FARMACRE100])</f>
        <v>23747.181640625</v>
      </c>
      <c r="AE1174" s="230">
        <f>(FME_Ranking1[[#This Row],[Ag Land Raw]]/$AD$2)*100</f>
        <v>0.97922746651314674</v>
      </c>
      <c r="AF1174" s="231">
        <f>FME_Ranking1[[#This Row],[Ag Land Score (Normalized, Unweighted)]]*$AD$3</f>
        <v>4.8961373325657337E-2</v>
      </c>
      <c r="AG117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0.17887891005987827</v>
      </c>
      <c r="AH1174" s="406">
        <f t="shared" si="18"/>
        <v>846</v>
      </c>
      <c r="AI117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0.17887891005987827</v>
      </c>
      <c r="AJ1174" s="257">
        <f>FME_Ranking1[[#This Row],[Addition check]]-FME_Ranking1[[#This Row],[Weighted Score Based on Normalized Reported Factors]]</f>
        <v>0</v>
      </c>
      <c r="AK1174" s="178">
        <f>_xlfn.RANK.EQ(AI1174,$AI$6:$AI$2341,0)+COUNTIF($AI$6:AI1174,AI1174)-1</f>
        <v>846</v>
      </c>
    </row>
    <row r="1175" spans="1:37" x14ac:dyDescent="0.25">
      <c r="A1175" t="s">
        <v>6548</v>
      </c>
      <c r="B1175">
        <f>_xlfn.XLOOKUP(FME_Ranking1[[#This Row],[FME ID]],FME_Input[FME_ID],FME_Input[RFPG_NUM])</f>
        <v>7</v>
      </c>
      <c r="C1175" t="str">
        <f>_xlfn.XLOOKUP(FME_Ranking1[[#This Row],[FME ID]],FME_Input[FME_ID],FME_Input[FME_NAME])</f>
        <v>Fisher County DMP</v>
      </c>
      <c r="D1175" t="str">
        <f>_xlfn.XLOOKUP(FME_Ranking1[[#This Row],[FME ID]],FME_Input[FME_ID],FME_Input[DESCR])</f>
        <v>Evaluate county to identify future projects, analyze roads/stream crossing for emergency response vehicles to high hazard areas</v>
      </c>
      <c r="E1175" s="256">
        <f>_xlfn.XLOOKUP(FME_Ranking1[[#This Row],[FME ID]],FME_Input[FME_ID],FME_Input[FME_COST])</f>
        <v>500000</v>
      </c>
      <c r="F1175" t="str">
        <f>_xlfn.XLOOKUP(FME_Ranking1[[#This Row],[FME ID]],FME_Input[FME_ID],FME_Input[EMER_NEED])</f>
        <v>No</v>
      </c>
      <c r="G1175">
        <f>IF(FME_Ranking!F1175="Yes",100,0)</f>
        <v>0</v>
      </c>
      <c r="H1175">
        <f>FME_Ranking1[[#This Row],[Emergency Need Score (Normalized, Unweighted)]]*$F$3</f>
        <v>0</v>
      </c>
      <c r="I1175" s="246">
        <f>_xlfn.XLOOKUP(FME_Ranking1[[#This Row],[FME ID]],FME_Input[FME_ID],FME_Input[STRUCT_100])</f>
        <v>120</v>
      </c>
      <c r="J1175" s="178">
        <f>(FME_Ranking1[[#This Row],[Structures 100 Raw]]/I$2)*100</f>
        <v>6.4259092661611616E-2</v>
      </c>
      <c r="K1175" s="178">
        <f>FME_Ranking1[[#This Row],[Structures 100  Score (Normalized, Unweighted)]]*$I$3</f>
        <v>9.6388638992417428E-3</v>
      </c>
      <c r="L1175" s="246">
        <f>_xlfn.XLOOKUP(FME_Ranking1[[#This Row],[FME ID]],FME_Input[FME_ID],FME_Input[RES_STRUCT100])</f>
        <v>24</v>
      </c>
      <c r="M1175" s="230">
        <f>(FME_Ranking1[[#This Row],[Res Structures Raw]]/L$2)*100</f>
        <v>1.6999334192744117E-2</v>
      </c>
      <c r="N1175" s="180">
        <f>FME_Ranking1[[#This Row],[Res Structures Score (Normalized, Unweighted)]]*$L$3</f>
        <v>1.6999334192744119E-3</v>
      </c>
      <c r="O1175" s="244">
        <f>_xlfn.XLOOKUP(FME_Ranking1[[#This Row],[FME ID]],FME_Input[FME_ID],FME_Input[POP100])</f>
        <v>89</v>
      </c>
      <c r="P1175" s="178">
        <f>(FME_Ranking1[[#This Row],[Pop Raw]]/$O$2)*100</f>
        <v>9.1114027669999334E-3</v>
      </c>
      <c r="Q1175" s="178">
        <f>FME_Ranking1[[#This Row],[Pop Score (Normalized, Unweighted)]]*$O$3</f>
        <v>1.36671041504999E-3</v>
      </c>
      <c r="R1175" s="137">
        <f>_xlfn.XLOOKUP(FME_Ranking1[[#This Row],[FME ID]],FME_Input[FME_ID],FME_Input[CRITFAC100])</f>
        <v>0</v>
      </c>
      <c r="S1175" s="230">
        <f>(FME_Ranking1[[#This Row],[Critical Facilities Raw]]/$R$2)*100</f>
        <v>0</v>
      </c>
      <c r="T1175" s="180">
        <f>FME_Ranking1[[#This Row],[Critical Facilities Score (Normalized, Unweighted)]]*$R$3</f>
        <v>0</v>
      </c>
      <c r="U1175">
        <f>_xlfn.XLOOKUP(FME_Ranking1[[#This Row],[FME ID]],FME_Input[FME_ID],FME_Input[LWC])</f>
        <v>0</v>
      </c>
      <c r="V1175" s="178">
        <f>(FME_Ranking1[[#This Row],[LWC Raw]]/$U$2)*100</f>
        <v>0</v>
      </c>
      <c r="W1175" s="178">
        <f>FME_Ranking1[[#This Row],[LWC Score (Normalized, Unweighted)]]*$U$3</f>
        <v>0</v>
      </c>
      <c r="X1175" s="246">
        <f>_xlfn.XLOOKUP(FME_Ranking1[[#This Row],[FME ID]],FME_Input[FME_ID],FME_Input[ROADCLS])</f>
        <v>0</v>
      </c>
      <c r="Y1175" s="230">
        <f>(FME_Ranking1[[#This Row],[Closures Raw]]/$X$2)*100</f>
        <v>0</v>
      </c>
      <c r="Z1175" s="180">
        <f>FME_Ranking1[[#This Row],[Closures Score (Normalized, Unweighted)]]*$X$3</f>
        <v>0</v>
      </c>
      <c r="AA1175" s="253">
        <f>_xlfn.XLOOKUP(FME_Ranking1[[#This Row],[FME ID]],FME_Input[FME_ID],FME_Input[ROAD_MILES100])</f>
        <v>89.146781921386719</v>
      </c>
      <c r="AB1175" s="178">
        <f>(FME_Ranking1[[#This Row],[Miles Raw]]/$AA$2)*100</f>
        <v>1.1721202900065477</v>
      </c>
      <c r="AC1175" s="178">
        <f>FME_Ranking1[[#This Row],[Miles Score (Normalized, Unweighted)]]*$AA$3</f>
        <v>0.11721202900065478</v>
      </c>
      <c r="AD1175" s="255">
        <f>_xlfn.XLOOKUP(FME_Ranking1[[#This Row],[FME ID]],FME_Input[FME_ID],FME_Input[FARMACRE100])</f>
        <v>23747.181640625</v>
      </c>
      <c r="AE1175" s="230">
        <f>(FME_Ranking1[[#This Row],[Ag Land Raw]]/$AD$2)*100</f>
        <v>0.97922746651314674</v>
      </c>
      <c r="AF1175" s="231">
        <f>FME_Ranking1[[#This Row],[Ag Land Score (Normalized, Unweighted)]]*$AD$3</f>
        <v>4.8961373325657337E-2</v>
      </c>
      <c r="AG117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0.17887891005987827</v>
      </c>
      <c r="AH1175" s="406">
        <f t="shared" si="18"/>
        <v>846</v>
      </c>
      <c r="AI117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0.17887891005987827</v>
      </c>
      <c r="AJ1175" s="257">
        <f>FME_Ranking1[[#This Row],[Addition check]]-FME_Ranking1[[#This Row],[Weighted Score Based on Normalized Reported Factors]]</f>
        <v>0</v>
      </c>
      <c r="AK1175" s="178">
        <f>_xlfn.RANK.EQ(AI1175,$AI$6:$AI$2341,0)+COUNTIF($AI$6:AI1175,AI1175)-1</f>
        <v>847</v>
      </c>
    </row>
    <row r="1176" spans="1:37" x14ac:dyDescent="0.25">
      <c r="A1176" t="s">
        <v>6551</v>
      </c>
      <c r="B1176">
        <f>_xlfn.XLOOKUP(FME_Ranking1[[#This Row],[FME ID]],FME_Input[FME_ID],FME_Input[RFPG_NUM])</f>
        <v>7</v>
      </c>
      <c r="C1176" t="str">
        <f>_xlfn.XLOOKUP(FME_Ranking1[[#This Row],[FME ID]],FME_Input[FME_ID],FME_Input[FME_NAME])</f>
        <v>Fisher County GIS Development</v>
      </c>
      <c r="D1176" t="str">
        <f>_xlfn.XLOOKUP(FME_Ranking1[[#This Row],[FME ID]],FME_Input[FME_ID],FME_Input[DESCR])</f>
        <v>Develop a GIS inventory of stormwater infrastructure</v>
      </c>
      <c r="E1176" s="256">
        <f>_xlfn.XLOOKUP(FME_Ranking1[[#This Row],[FME ID]],FME_Input[FME_ID],FME_Input[FME_COST])</f>
        <v>100000</v>
      </c>
      <c r="F1176" t="str">
        <f>_xlfn.XLOOKUP(FME_Ranking1[[#This Row],[FME ID]],FME_Input[FME_ID],FME_Input[EMER_NEED])</f>
        <v>No</v>
      </c>
      <c r="G1176">
        <f>IF(FME_Ranking!F1176="Yes",100,0)</f>
        <v>0</v>
      </c>
      <c r="H1176">
        <f>FME_Ranking1[[#This Row],[Emergency Need Score (Normalized, Unweighted)]]*$F$3</f>
        <v>0</v>
      </c>
      <c r="I1176" s="246">
        <f>_xlfn.XLOOKUP(FME_Ranking1[[#This Row],[FME ID]],FME_Input[FME_ID],FME_Input[STRUCT_100])</f>
        <v>120</v>
      </c>
      <c r="J1176" s="178">
        <f>(FME_Ranking1[[#This Row],[Structures 100 Raw]]/I$2)*100</f>
        <v>6.4259092661611616E-2</v>
      </c>
      <c r="K1176" s="178">
        <f>FME_Ranking1[[#This Row],[Structures 100  Score (Normalized, Unweighted)]]*$I$3</f>
        <v>9.6388638992417428E-3</v>
      </c>
      <c r="L1176" s="246">
        <f>_xlfn.XLOOKUP(FME_Ranking1[[#This Row],[FME ID]],FME_Input[FME_ID],FME_Input[RES_STRUCT100])</f>
        <v>24</v>
      </c>
      <c r="M1176" s="230">
        <f>(FME_Ranking1[[#This Row],[Res Structures Raw]]/L$2)*100</f>
        <v>1.6999334192744117E-2</v>
      </c>
      <c r="N1176" s="180">
        <f>FME_Ranking1[[#This Row],[Res Structures Score (Normalized, Unweighted)]]*$L$3</f>
        <v>1.6999334192744119E-3</v>
      </c>
      <c r="O1176" s="244">
        <f>_xlfn.XLOOKUP(FME_Ranking1[[#This Row],[FME ID]],FME_Input[FME_ID],FME_Input[POP100])</f>
        <v>89</v>
      </c>
      <c r="P1176" s="178">
        <f>(FME_Ranking1[[#This Row],[Pop Raw]]/$O$2)*100</f>
        <v>9.1114027669999334E-3</v>
      </c>
      <c r="Q1176" s="178">
        <f>FME_Ranking1[[#This Row],[Pop Score (Normalized, Unweighted)]]*$O$3</f>
        <v>1.36671041504999E-3</v>
      </c>
      <c r="R1176" s="137">
        <f>_xlfn.XLOOKUP(FME_Ranking1[[#This Row],[FME ID]],FME_Input[FME_ID],FME_Input[CRITFAC100])</f>
        <v>0</v>
      </c>
      <c r="S1176" s="230">
        <f>(FME_Ranking1[[#This Row],[Critical Facilities Raw]]/$R$2)*100</f>
        <v>0</v>
      </c>
      <c r="T1176" s="180">
        <f>FME_Ranking1[[#This Row],[Critical Facilities Score (Normalized, Unweighted)]]*$R$3</f>
        <v>0</v>
      </c>
      <c r="U1176">
        <f>_xlfn.XLOOKUP(FME_Ranking1[[#This Row],[FME ID]],FME_Input[FME_ID],FME_Input[LWC])</f>
        <v>0</v>
      </c>
      <c r="V1176" s="178">
        <f>(FME_Ranking1[[#This Row],[LWC Raw]]/$U$2)*100</f>
        <v>0</v>
      </c>
      <c r="W1176" s="178">
        <f>FME_Ranking1[[#This Row],[LWC Score (Normalized, Unweighted)]]*$U$3</f>
        <v>0</v>
      </c>
      <c r="X1176" s="246">
        <f>_xlfn.XLOOKUP(FME_Ranking1[[#This Row],[FME ID]],FME_Input[FME_ID],FME_Input[ROADCLS])</f>
        <v>0</v>
      </c>
      <c r="Y1176" s="230">
        <f>(FME_Ranking1[[#This Row],[Closures Raw]]/$X$2)*100</f>
        <v>0</v>
      </c>
      <c r="Z1176" s="180">
        <f>FME_Ranking1[[#This Row],[Closures Score (Normalized, Unweighted)]]*$X$3</f>
        <v>0</v>
      </c>
      <c r="AA1176" s="253">
        <f>_xlfn.XLOOKUP(FME_Ranking1[[#This Row],[FME ID]],FME_Input[FME_ID],FME_Input[ROAD_MILES100])</f>
        <v>89.146781921386719</v>
      </c>
      <c r="AB1176" s="178">
        <f>(FME_Ranking1[[#This Row],[Miles Raw]]/$AA$2)*100</f>
        <v>1.1721202900065477</v>
      </c>
      <c r="AC1176" s="178">
        <f>FME_Ranking1[[#This Row],[Miles Score (Normalized, Unweighted)]]*$AA$3</f>
        <v>0.11721202900065478</v>
      </c>
      <c r="AD1176" s="255">
        <f>_xlfn.XLOOKUP(FME_Ranking1[[#This Row],[FME ID]],FME_Input[FME_ID],FME_Input[FARMACRE100])</f>
        <v>23747.181640625</v>
      </c>
      <c r="AE1176" s="230">
        <f>(FME_Ranking1[[#This Row],[Ag Land Raw]]/$AD$2)*100</f>
        <v>0.97922746651314674</v>
      </c>
      <c r="AF1176" s="231">
        <f>FME_Ranking1[[#This Row],[Ag Land Score (Normalized, Unweighted)]]*$AD$3</f>
        <v>4.8961373325657337E-2</v>
      </c>
      <c r="AG117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0.17887891005987827</v>
      </c>
      <c r="AH1176" s="406">
        <f t="shared" si="18"/>
        <v>846</v>
      </c>
      <c r="AI117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0.17887891005987827</v>
      </c>
      <c r="AJ1176" s="257">
        <f>FME_Ranking1[[#This Row],[Addition check]]-FME_Ranking1[[#This Row],[Weighted Score Based on Normalized Reported Factors]]</f>
        <v>0</v>
      </c>
      <c r="AK1176" s="178">
        <f>_xlfn.RANK.EQ(AI1176,$AI$6:$AI$2341,0)+COUNTIF($AI$6:AI1176,AI1176)-1</f>
        <v>848</v>
      </c>
    </row>
    <row r="1177" spans="1:37" x14ac:dyDescent="0.25">
      <c r="A1177" t="s">
        <v>7232</v>
      </c>
      <c r="B1177">
        <f>_xlfn.XLOOKUP(FME_Ranking1[[#This Row],[FME ID]],FME_Input[FME_ID],FME_Input[RFPG_NUM])</f>
        <v>7</v>
      </c>
      <c r="C1177" t="str">
        <f>_xlfn.XLOOKUP(FME_Ranking1[[#This Row],[FME ID]],FME_Input[FME_ID],FME_Input[FME_NAME])</f>
        <v>Fisher County DCM</v>
      </c>
      <c r="D1177" t="str">
        <f>_xlfn.XLOOKUP(FME_Ranking1[[#This Row],[FME ID]],FME_Input[FME_ID],FME_Input[DESCR])</f>
        <v>Consider stormwater criteria for infrastructure and floodplain ordinances to avoid new exposure to flood hazards.</v>
      </c>
      <c r="E1177" s="256">
        <f>_xlfn.XLOOKUP(FME_Ranking1[[#This Row],[FME ID]],FME_Input[FME_ID],FME_Input[FME_COST])</f>
        <v>100000</v>
      </c>
      <c r="F1177" t="str">
        <f>_xlfn.XLOOKUP(FME_Ranking1[[#This Row],[FME ID]],FME_Input[FME_ID],FME_Input[EMER_NEED])</f>
        <v>No</v>
      </c>
      <c r="G1177">
        <f>IF(FME_Ranking!F1177="Yes",100,0)</f>
        <v>0</v>
      </c>
      <c r="H1177">
        <f>FME_Ranking1[[#This Row],[Emergency Need Score (Normalized, Unweighted)]]*$F$3</f>
        <v>0</v>
      </c>
      <c r="I1177" s="246">
        <f>_xlfn.XLOOKUP(FME_Ranking1[[#This Row],[FME ID]],FME_Input[FME_ID],FME_Input[STRUCT_100])</f>
        <v>120</v>
      </c>
      <c r="J1177" s="178">
        <f>(FME_Ranking1[[#This Row],[Structures 100 Raw]]/I$2)*100</f>
        <v>6.4259092661611616E-2</v>
      </c>
      <c r="K1177" s="178">
        <f>FME_Ranking1[[#This Row],[Structures 100  Score (Normalized, Unweighted)]]*$I$3</f>
        <v>9.6388638992417428E-3</v>
      </c>
      <c r="L1177" s="246">
        <f>_xlfn.XLOOKUP(FME_Ranking1[[#This Row],[FME ID]],FME_Input[FME_ID],FME_Input[RES_STRUCT100])</f>
        <v>24</v>
      </c>
      <c r="M1177" s="230">
        <f>(FME_Ranking1[[#This Row],[Res Structures Raw]]/L$2)*100</f>
        <v>1.6999334192744117E-2</v>
      </c>
      <c r="N1177" s="180">
        <f>FME_Ranking1[[#This Row],[Res Structures Score (Normalized, Unweighted)]]*$L$3</f>
        <v>1.6999334192744119E-3</v>
      </c>
      <c r="O1177" s="244">
        <f>_xlfn.XLOOKUP(FME_Ranking1[[#This Row],[FME ID]],FME_Input[FME_ID],FME_Input[POP100])</f>
        <v>89</v>
      </c>
      <c r="P1177" s="178">
        <f>(FME_Ranking1[[#This Row],[Pop Raw]]/$O$2)*100</f>
        <v>9.1114027669999334E-3</v>
      </c>
      <c r="Q1177" s="178">
        <f>FME_Ranking1[[#This Row],[Pop Score (Normalized, Unweighted)]]*$O$3</f>
        <v>1.36671041504999E-3</v>
      </c>
      <c r="R1177" s="137">
        <f>_xlfn.XLOOKUP(FME_Ranking1[[#This Row],[FME ID]],FME_Input[FME_ID],FME_Input[CRITFAC100])</f>
        <v>0</v>
      </c>
      <c r="S1177" s="230">
        <f>(FME_Ranking1[[#This Row],[Critical Facilities Raw]]/$R$2)*100</f>
        <v>0</v>
      </c>
      <c r="T1177" s="180">
        <f>FME_Ranking1[[#This Row],[Critical Facilities Score (Normalized, Unweighted)]]*$R$3</f>
        <v>0</v>
      </c>
      <c r="U1177">
        <f>_xlfn.XLOOKUP(FME_Ranking1[[#This Row],[FME ID]],FME_Input[FME_ID],FME_Input[LWC])</f>
        <v>0</v>
      </c>
      <c r="V1177" s="178">
        <f>(FME_Ranking1[[#This Row],[LWC Raw]]/$U$2)*100</f>
        <v>0</v>
      </c>
      <c r="W1177" s="178">
        <f>FME_Ranking1[[#This Row],[LWC Score (Normalized, Unweighted)]]*$U$3</f>
        <v>0</v>
      </c>
      <c r="X1177" s="246">
        <f>_xlfn.XLOOKUP(FME_Ranking1[[#This Row],[FME ID]],FME_Input[FME_ID],FME_Input[ROADCLS])</f>
        <v>0</v>
      </c>
      <c r="Y1177" s="230">
        <f>(FME_Ranking1[[#This Row],[Closures Raw]]/$X$2)*100</f>
        <v>0</v>
      </c>
      <c r="Z1177" s="180">
        <f>FME_Ranking1[[#This Row],[Closures Score (Normalized, Unweighted)]]*$X$3</f>
        <v>0</v>
      </c>
      <c r="AA1177" s="253">
        <f>_xlfn.XLOOKUP(FME_Ranking1[[#This Row],[FME ID]],FME_Input[FME_ID],FME_Input[ROAD_MILES100])</f>
        <v>89.146781921386719</v>
      </c>
      <c r="AB1177" s="178">
        <f>(FME_Ranking1[[#This Row],[Miles Raw]]/$AA$2)*100</f>
        <v>1.1721202900065477</v>
      </c>
      <c r="AC1177" s="178">
        <f>FME_Ranking1[[#This Row],[Miles Score (Normalized, Unweighted)]]*$AA$3</f>
        <v>0.11721202900065478</v>
      </c>
      <c r="AD1177" s="255">
        <f>_xlfn.XLOOKUP(FME_Ranking1[[#This Row],[FME ID]],FME_Input[FME_ID],FME_Input[FARMACRE100])</f>
        <v>23747.181640625</v>
      </c>
      <c r="AE1177" s="230">
        <f>(FME_Ranking1[[#This Row],[Ag Land Raw]]/$AD$2)*100</f>
        <v>0.97922746651314674</v>
      </c>
      <c r="AF1177" s="231">
        <f>FME_Ranking1[[#This Row],[Ag Land Score (Normalized, Unweighted)]]*$AD$3</f>
        <v>4.8961373325657337E-2</v>
      </c>
      <c r="AG117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0.17887891005987827</v>
      </c>
      <c r="AH1177" s="406">
        <f t="shared" si="18"/>
        <v>846</v>
      </c>
      <c r="AI117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0.17887891005987827</v>
      </c>
      <c r="AJ1177" s="257">
        <f>FME_Ranking1[[#This Row],[Addition check]]-FME_Ranking1[[#This Row],[Weighted Score Based on Normalized Reported Factors]]</f>
        <v>0</v>
      </c>
      <c r="AK1177" s="178">
        <f>_xlfn.RANK.EQ(AI1177,$AI$6:$AI$2341,0)+COUNTIF($AI$6:AI1177,AI1177)-1</f>
        <v>849</v>
      </c>
    </row>
    <row r="1178" spans="1:37" x14ac:dyDescent="0.25">
      <c r="A1178" t="s">
        <v>7234</v>
      </c>
      <c r="B1178">
        <f>_xlfn.XLOOKUP(FME_Ranking1[[#This Row],[FME ID]],FME_Input[FME_ID],FME_Input[RFPG_NUM])</f>
        <v>7</v>
      </c>
      <c r="C1178" t="str">
        <f>_xlfn.XLOOKUP(FME_Ranking1[[#This Row],[FME ID]],FME_Input[FME_ID],FME_Input[FME_NAME])</f>
        <v>City of Rotan Higher Standards Program</v>
      </c>
      <c r="D1178" t="str">
        <f>_xlfn.XLOOKUP(FME_Ranking1[[#This Row],[FME ID]],FME_Input[FME_ID],FME_Input[DESCR])</f>
        <v>Adopt higher standards for new construction, increase freeboard requirements for structures in the SFHA; adopt a “no-rise” in BFE in the 100-year floodplain.  Update local flood ordinance to prohibit granting of variance in SFHA; Include “cumulativ</v>
      </c>
      <c r="E1178" s="256">
        <f>_xlfn.XLOOKUP(FME_Ranking1[[#This Row],[FME ID]],FME_Input[FME_ID],FME_Input[FME_COST])</f>
        <v>100000</v>
      </c>
      <c r="F1178" t="str">
        <f>_xlfn.XLOOKUP(FME_Ranking1[[#This Row],[FME ID]],FME_Input[FME_ID],FME_Input[EMER_NEED])</f>
        <v>No</v>
      </c>
      <c r="G1178">
        <f>IF(FME_Ranking!F1178="Yes",100,0)</f>
        <v>0</v>
      </c>
      <c r="H1178">
        <f>FME_Ranking1[[#This Row],[Emergency Need Score (Normalized, Unweighted)]]*$F$3</f>
        <v>0</v>
      </c>
      <c r="I1178" s="246">
        <f>_xlfn.XLOOKUP(FME_Ranking1[[#This Row],[FME ID]],FME_Input[FME_ID],FME_Input[STRUCT_100])</f>
        <v>120</v>
      </c>
      <c r="J1178" s="178">
        <f>(FME_Ranking1[[#This Row],[Structures 100 Raw]]/I$2)*100</f>
        <v>6.4259092661611616E-2</v>
      </c>
      <c r="K1178" s="178">
        <f>FME_Ranking1[[#This Row],[Structures 100  Score (Normalized, Unweighted)]]*$I$3</f>
        <v>9.6388638992417428E-3</v>
      </c>
      <c r="L1178" s="246">
        <f>_xlfn.XLOOKUP(FME_Ranking1[[#This Row],[FME ID]],FME_Input[FME_ID],FME_Input[RES_STRUCT100])</f>
        <v>24</v>
      </c>
      <c r="M1178" s="230">
        <f>(FME_Ranking1[[#This Row],[Res Structures Raw]]/L$2)*100</f>
        <v>1.6999334192744117E-2</v>
      </c>
      <c r="N1178" s="180">
        <f>FME_Ranking1[[#This Row],[Res Structures Score (Normalized, Unweighted)]]*$L$3</f>
        <v>1.6999334192744119E-3</v>
      </c>
      <c r="O1178" s="244">
        <f>_xlfn.XLOOKUP(FME_Ranking1[[#This Row],[FME ID]],FME_Input[FME_ID],FME_Input[POP100])</f>
        <v>89</v>
      </c>
      <c r="P1178" s="178">
        <f>(FME_Ranking1[[#This Row],[Pop Raw]]/$O$2)*100</f>
        <v>9.1114027669999334E-3</v>
      </c>
      <c r="Q1178" s="178">
        <f>FME_Ranking1[[#This Row],[Pop Score (Normalized, Unweighted)]]*$O$3</f>
        <v>1.36671041504999E-3</v>
      </c>
      <c r="R1178" s="137">
        <f>_xlfn.XLOOKUP(FME_Ranking1[[#This Row],[FME ID]],FME_Input[FME_ID],FME_Input[CRITFAC100])</f>
        <v>0</v>
      </c>
      <c r="S1178" s="230">
        <f>(FME_Ranking1[[#This Row],[Critical Facilities Raw]]/$R$2)*100</f>
        <v>0</v>
      </c>
      <c r="T1178" s="180">
        <f>FME_Ranking1[[#This Row],[Critical Facilities Score (Normalized, Unweighted)]]*$R$3</f>
        <v>0</v>
      </c>
      <c r="U1178">
        <f>_xlfn.XLOOKUP(FME_Ranking1[[#This Row],[FME ID]],FME_Input[FME_ID],FME_Input[LWC])</f>
        <v>0</v>
      </c>
      <c r="V1178" s="178">
        <f>(FME_Ranking1[[#This Row],[LWC Raw]]/$U$2)*100</f>
        <v>0</v>
      </c>
      <c r="W1178" s="178">
        <f>FME_Ranking1[[#This Row],[LWC Score (Normalized, Unweighted)]]*$U$3</f>
        <v>0</v>
      </c>
      <c r="X1178" s="246">
        <f>_xlfn.XLOOKUP(FME_Ranking1[[#This Row],[FME ID]],FME_Input[FME_ID],FME_Input[ROADCLS])</f>
        <v>0</v>
      </c>
      <c r="Y1178" s="230">
        <f>(FME_Ranking1[[#This Row],[Closures Raw]]/$X$2)*100</f>
        <v>0</v>
      </c>
      <c r="Z1178" s="180">
        <f>FME_Ranking1[[#This Row],[Closures Score (Normalized, Unweighted)]]*$X$3</f>
        <v>0</v>
      </c>
      <c r="AA1178" s="253">
        <f>_xlfn.XLOOKUP(FME_Ranking1[[#This Row],[FME ID]],FME_Input[FME_ID],FME_Input[ROAD_MILES100])</f>
        <v>89.146781921386719</v>
      </c>
      <c r="AB1178" s="178">
        <f>(FME_Ranking1[[#This Row],[Miles Raw]]/$AA$2)*100</f>
        <v>1.1721202900065477</v>
      </c>
      <c r="AC1178" s="178">
        <f>FME_Ranking1[[#This Row],[Miles Score (Normalized, Unweighted)]]*$AA$3</f>
        <v>0.11721202900065478</v>
      </c>
      <c r="AD1178" s="255">
        <f>_xlfn.XLOOKUP(FME_Ranking1[[#This Row],[FME ID]],FME_Input[FME_ID],FME_Input[FARMACRE100])</f>
        <v>23747.181640625</v>
      </c>
      <c r="AE1178" s="230">
        <f>(FME_Ranking1[[#This Row],[Ag Land Raw]]/$AD$2)*100</f>
        <v>0.97922746651314674</v>
      </c>
      <c r="AF1178" s="231">
        <f>FME_Ranking1[[#This Row],[Ag Land Score (Normalized, Unweighted)]]*$AD$3</f>
        <v>4.8961373325657337E-2</v>
      </c>
      <c r="AG117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0.17887891005987827</v>
      </c>
      <c r="AH1178" s="406">
        <f t="shared" si="18"/>
        <v>846</v>
      </c>
      <c r="AI117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0.17887891005987827</v>
      </c>
      <c r="AJ1178" s="257">
        <f>FME_Ranking1[[#This Row],[Addition check]]-FME_Ranking1[[#This Row],[Weighted Score Based on Normalized Reported Factors]]</f>
        <v>0</v>
      </c>
      <c r="AK1178" s="178">
        <f>_xlfn.RANK.EQ(AI1178,$AI$6:$AI$2341,0)+COUNTIF($AI$6:AI1178,AI1178)-1</f>
        <v>850</v>
      </c>
    </row>
    <row r="1179" spans="1:37" x14ac:dyDescent="0.25">
      <c r="A1179" t="s">
        <v>2444</v>
      </c>
      <c r="B1179">
        <f>_xlfn.XLOOKUP(FME_Ranking1[[#This Row],[FME ID]],FME_Input[FME_ID],FME_Input[RFPG_NUM])</f>
        <v>1</v>
      </c>
      <c r="C1179" t="str">
        <f>_xlfn.XLOOKUP(FME_Ranking1[[#This Row],[FME ID]],FME_Input[FME_ID],FME_Input[FME_NAME])</f>
        <v>Dickens County FIS</v>
      </c>
      <c r="D1179" t="str">
        <f>_xlfn.XLOOKUP(FME_Ranking1[[#This Row],[FME ID]],FME_Input[FME_ID],FME_Input[DESCR])</f>
        <v>Perform flood insurance study for the county and develop regulatory mapping</v>
      </c>
      <c r="E1179" s="256">
        <f>_xlfn.XLOOKUP(FME_Ranking1[[#This Row],[FME ID]],FME_Input[FME_ID],FME_Input[FME_COST])</f>
        <v>920000</v>
      </c>
      <c r="F1179" t="str">
        <f>_xlfn.XLOOKUP(FME_Ranking1[[#This Row],[FME ID]],FME_Input[FME_ID],FME_Input[EMER_NEED])</f>
        <v>No</v>
      </c>
      <c r="G1179">
        <f>IF(FME_Ranking!F1179="Yes",100,0)</f>
        <v>0</v>
      </c>
      <c r="H1179">
        <f>FME_Ranking1[[#This Row],[Emergency Need Score (Normalized, Unweighted)]]*$F$3</f>
        <v>0</v>
      </c>
      <c r="I1179" s="246">
        <f>_xlfn.XLOOKUP(FME_Ranking1[[#This Row],[FME ID]],FME_Input[FME_ID],FME_Input[STRUCT_100])</f>
        <v>14</v>
      </c>
      <c r="J1179" s="178">
        <f>(FME_Ranking1[[#This Row],[Structures 100 Raw]]/I$2)*100</f>
        <v>7.4968941438546891E-3</v>
      </c>
      <c r="K1179" s="178">
        <f>FME_Ranking1[[#This Row],[Structures 100  Score (Normalized, Unweighted)]]*$I$3</f>
        <v>1.1245341215782034E-3</v>
      </c>
      <c r="L1179" s="246">
        <f>_xlfn.XLOOKUP(FME_Ranking1[[#This Row],[FME ID]],FME_Input[FME_ID],FME_Input[RES_STRUCT100])</f>
        <v>0</v>
      </c>
      <c r="M1179" s="230">
        <f>(FME_Ranking1[[#This Row],[Res Structures Raw]]/L$2)*100</f>
        <v>0</v>
      </c>
      <c r="N1179" s="180">
        <f>FME_Ranking1[[#This Row],[Res Structures Score (Normalized, Unweighted)]]*$L$3</f>
        <v>0</v>
      </c>
      <c r="O1179" s="244">
        <f>_xlfn.XLOOKUP(FME_Ranking1[[#This Row],[FME ID]],FME_Input[FME_ID],FME_Input[POP100])</f>
        <v>13</v>
      </c>
      <c r="P1179" s="178">
        <f>(FME_Ranking1[[#This Row],[Pop Raw]]/$O$2)*100</f>
        <v>1.3308790558539227E-3</v>
      </c>
      <c r="Q1179" s="178">
        <f>FME_Ranking1[[#This Row],[Pop Score (Normalized, Unweighted)]]*$O$3</f>
        <v>1.9963185837808839E-4</v>
      </c>
      <c r="R1179" s="137">
        <f>_xlfn.XLOOKUP(FME_Ranking1[[#This Row],[FME ID]],FME_Input[FME_ID],FME_Input[CRITFAC100])</f>
        <v>0</v>
      </c>
      <c r="S1179" s="230">
        <f>(FME_Ranking1[[#This Row],[Critical Facilities Raw]]/$R$2)*100</f>
        <v>0</v>
      </c>
      <c r="T1179" s="180">
        <f>FME_Ranking1[[#This Row],[Critical Facilities Score (Normalized, Unweighted)]]*$R$3</f>
        <v>0</v>
      </c>
      <c r="U1179">
        <f>_xlfn.XLOOKUP(FME_Ranking1[[#This Row],[FME ID]],FME_Input[FME_ID],FME_Input[LWC])</f>
        <v>1</v>
      </c>
      <c r="V1179" s="178">
        <f>(FME_Ranking1[[#This Row],[LWC Raw]]/$U$2)*100</f>
        <v>5.7570523891767422E-2</v>
      </c>
      <c r="W1179" s="178">
        <f>FME_Ranking1[[#This Row],[LWC Score (Normalized, Unweighted)]]*$U$3</f>
        <v>1.1514104778353485E-2</v>
      </c>
      <c r="X1179" s="246">
        <f>_xlfn.XLOOKUP(FME_Ranking1[[#This Row],[FME ID]],FME_Input[FME_ID],FME_Input[ROADCLS])</f>
        <v>1</v>
      </c>
      <c r="Y1179" s="230">
        <f>(FME_Ranking1[[#This Row],[Closures Raw]]/$X$2)*100</f>
        <v>1.0514141520344864E-2</v>
      </c>
      <c r="Z1179" s="180">
        <f>FME_Ranking1[[#This Row],[Closures Score (Normalized, Unweighted)]]*$X$3</f>
        <v>5.2570707601724321E-4</v>
      </c>
      <c r="AA1179" s="253">
        <f>_xlfn.XLOOKUP(FME_Ranking1[[#This Row],[FME ID]],FME_Input[FME_ID],FME_Input[ROAD_MILES100])</f>
        <v>15.002859115600589</v>
      </c>
      <c r="AB1179" s="178">
        <f>(FME_Ranking1[[#This Row],[Miles Raw]]/$AA$2)*100</f>
        <v>0.19726068847905751</v>
      </c>
      <c r="AC1179" s="178">
        <f>FME_Ranking1[[#This Row],[Miles Score (Normalized, Unweighted)]]*$AA$3</f>
        <v>1.9726068847905752E-2</v>
      </c>
      <c r="AD1179" s="255">
        <f>_xlfn.XLOOKUP(FME_Ranking1[[#This Row],[FME ID]],FME_Input[FME_ID],FME_Input[FARMACRE100])</f>
        <v>23267.185546875</v>
      </c>
      <c r="AE1179" s="230">
        <f>(FME_Ranking1[[#This Row],[Ag Land Raw]]/$AD$2)*100</f>
        <v>0.95943457631118134</v>
      </c>
      <c r="AF1179" s="231">
        <f>FME_Ranking1[[#This Row],[Ag Land Score (Normalized, Unweighted)]]*$AD$3</f>
        <v>4.797172881555907E-2</v>
      </c>
      <c r="AG117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8.1061775497791838E-2</v>
      </c>
      <c r="AH1179" s="406">
        <f t="shared" si="18"/>
        <v>1134</v>
      </c>
      <c r="AI117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8.1061775497791838E-2</v>
      </c>
      <c r="AJ1179" s="257">
        <f>FME_Ranking1[[#This Row],[Addition check]]-FME_Ranking1[[#This Row],[Weighted Score Based on Normalized Reported Factors]]</f>
        <v>0</v>
      </c>
      <c r="AK1179" s="178">
        <f>_xlfn.RANK.EQ(AI1179,$AI$6:$AI$2341,0)+COUNTIF($AI$6:AI1179,AI1179)-1</f>
        <v>1134</v>
      </c>
    </row>
    <row r="1180" spans="1:37" x14ac:dyDescent="0.25">
      <c r="A1180" t="s">
        <v>2493</v>
      </c>
      <c r="B1180">
        <f>_xlfn.XLOOKUP(FME_Ranking1[[#This Row],[FME ID]],FME_Input[FME_ID],FME_Input[RFPG_NUM])</f>
        <v>1</v>
      </c>
      <c r="C1180" t="str">
        <f>_xlfn.XLOOKUP(FME_Ranking1[[#This Row],[FME ID]],FME_Input[FME_ID],FME_Input[FME_NAME])</f>
        <v>Dickens County Drainage Master Plan</v>
      </c>
      <c r="D1180" t="str">
        <f>_xlfn.XLOOKUP(FME_Ranking1[[#This Row],[FME ID]],FME_Input[FME_ID],FME_Input[DESCR])</f>
        <v>Perform H&amp;H modeling, develop conceptual alternatives and OPCC, and rank projects; survey responses report issues with rivers, creeks, tributaries, and functioning floodplains</v>
      </c>
      <c r="E1180" s="256">
        <f>_xlfn.XLOOKUP(FME_Ranking1[[#This Row],[FME ID]],FME_Input[FME_ID],FME_Input[FME_COST])</f>
        <v>500000</v>
      </c>
      <c r="F1180" t="str">
        <f>_xlfn.XLOOKUP(FME_Ranking1[[#This Row],[FME ID]],FME_Input[FME_ID],FME_Input[EMER_NEED])</f>
        <v>No</v>
      </c>
      <c r="G1180">
        <f>IF(FME_Ranking!F1180="Yes",100,0)</f>
        <v>0</v>
      </c>
      <c r="H1180">
        <f>FME_Ranking1[[#This Row],[Emergency Need Score (Normalized, Unweighted)]]*$F$3</f>
        <v>0</v>
      </c>
      <c r="I1180" s="246">
        <f>_xlfn.XLOOKUP(FME_Ranking1[[#This Row],[FME ID]],FME_Input[FME_ID],FME_Input[STRUCT_100])</f>
        <v>14</v>
      </c>
      <c r="J1180" s="178">
        <f>(FME_Ranking1[[#This Row],[Structures 100 Raw]]/I$2)*100</f>
        <v>7.4968941438546891E-3</v>
      </c>
      <c r="K1180" s="178">
        <f>FME_Ranking1[[#This Row],[Structures 100  Score (Normalized, Unweighted)]]*$I$3</f>
        <v>1.1245341215782034E-3</v>
      </c>
      <c r="L1180" s="246">
        <f>_xlfn.XLOOKUP(FME_Ranking1[[#This Row],[FME ID]],FME_Input[FME_ID],FME_Input[RES_STRUCT100])</f>
        <v>0</v>
      </c>
      <c r="M1180" s="230">
        <f>(FME_Ranking1[[#This Row],[Res Structures Raw]]/L$2)*100</f>
        <v>0</v>
      </c>
      <c r="N1180" s="180">
        <f>FME_Ranking1[[#This Row],[Res Structures Score (Normalized, Unweighted)]]*$L$3</f>
        <v>0</v>
      </c>
      <c r="O1180" s="244">
        <f>_xlfn.XLOOKUP(FME_Ranking1[[#This Row],[FME ID]],FME_Input[FME_ID],FME_Input[POP100])</f>
        <v>13</v>
      </c>
      <c r="P1180" s="178">
        <f>(FME_Ranking1[[#This Row],[Pop Raw]]/$O$2)*100</f>
        <v>1.3308790558539227E-3</v>
      </c>
      <c r="Q1180" s="178">
        <f>FME_Ranking1[[#This Row],[Pop Score (Normalized, Unweighted)]]*$O$3</f>
        <v>1.9963185837808839E-4</v>
      </c>
      <c r="R1180" s="137">
        <f>_xlfn.XLOOKUP(FME_Ranking1[[#This Row],[FME ID]],FME_Input[FME_ID],FME_Input[CRITFAC100])</f>
        <v>0</v>
      </c>
      <c r="S1180" s="230">
        <f>(FME_Ranking1[[#This Row],[Critical Facilities Raw]]/$R$2)*100</f>
        <v>0</v>
      </c>
      <c r="T1180" s="180">
        <f>FME_Ranking1[[#This Row],[Critical Facilities Score (Normalized, Unweighted)]]*$R$3</f>
        <v>0</v>
      </c>
      <c r="U1180">
        <f>_xlfn.XLOOKUP(FME_Ranking1[[#This Row],[FME ID]],FME_Input[FME_ID],FME_Input[LWC])</f>
        <v>1</v>
      </c>
      <c r="V1180" s="178">
        <f>(FME_Ranking1[[#This Row],[LWC Raw]]/$U$2)*100</f>
        <v>5.7570523891767422E-2</v>
      </c>
      <c r="W1180" s="178">
        <f>FME_Ranking1[[#This Row],[LWC Score (Normalized, Unweighted)]]*$U$3</f>
        <v>1.1514104778353485E-2</v>
      </c>
      <c r="X1180" s="246">
        <f>_xlfn.XLOOKUP(FME_Ranking1[[#This Row],[FME ID]],FME_Input[FME_ID],FME_Input[ROADCLS])</f>
        <v>1</v>
      </c>
      <c r="Y1180" s="230">
        <f>(FME_Ranking1[[#This Row],[Closures Raw]]/$X$2)*100</f>
        <v>1.0514141520344864E-2</v>
      </c>
      <c r="Z1180" s="180">
        <f>FME_Ranking1[[#This Row],[Closures Score (Normalized, Unweighted)]]*$X$3</f>
        <v>5.2570707601724321E-4</v>
      </c>
      <c r="AA1180" s="253">
        <f>_xlfn.XLOOKUP(FME_Ranking1[[#This Row],[FME ID]],FME_Input[FME_ID],FME_Input[ROAD_MILES100])</f>
        <v>15.002859115600589</v>
      </c>
      <c r="AB1180" s="178">
        <f>(FME_Ranking1[[#This Row],[Miles Raw]]/$AA$2)*100</f>
        <v>0.19726068847905751</v>
      </c>
      <c r="AC1180" s="178">
        <f>FME_Ranking1[[#This Row],[Miles Score (Normalized, Unweighted)]]*$AA$3</f>
        <v>1.9726068847905752E-2</v>
      </c>
      <c r="AD1180" s="255">
        <f>_xlfn.XLOOKUP(FME_Ranking1[[#This Row],[FME ID]],FME_Input[FME_ID],FME_Input[FARMACRE100])</f>
        <v>23267.185546875</v>
      </c>
      <c r="AE1180" s="230">
        <f>(FME_Ranking1[[#This Row],[Ag Land Raw]]/$AD$2)*100</f>
        <v>0.95943457631118134</v>
      </c>
      <c r="AF1180" s="231">
        <f>FME_Ranking1[[#This Row],[Ag Land Score (Normalized, Unweighted)]]*$AD$3</f>
        <v>4.797172881555907E-2</v>
      </c>
      <c r="AG118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8.1061775497791838E-2</v>
      </c>
      <c r="AH1180" s="406">
        <f t="shared" si="18"/>
        <v>1134</v>
      </c>
      <c r="AI118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8.1061775497791838E-2</v>
      </c>
      <c r="AJ1180" s="257">
        <f>FME_Ranking1[[#This Row],[Addition check]]-FME_Ranking1[[#This Row],[Weighted Score Based on Normalized Reported Factors]]</f>
        <v>0</v>
      </c>
      <c r="AK1180" s="178">
        <f>_xlfn.RANK.EQ(AI1180,$AI$6:$AI$2341,0)+COUNTIF($AI$6:AI1180,AI1180)-1</f>
        <v>1135</v>
      </c>
    </row>
    <row r="1181" spans="1:37" x14ac:dyDescent="0.25">
      <c r="A1181" t="s">
        <v>2217</v>
      </c>
      <c r="B1181">
        <f>_xlfn.XLOOKUP(FME_Ranking1[[#This Row],[FME ID]],FME_Input[FME_ID],FME_Input[RFPG_NUM])</f>
        <v>6</v>
      </c>
      <c r="C1181" t="str">
        <f>_xlfn.XLOOKUP(FME_Ranking1[[#This Row],[FME ID]],FME_Input[FME_ID],FME_Input[FME_NAME])</f>
        <v>Spring Gully Watershed Planning Project- Project Phase I</v>
      </c>
      <c r="D1181" t="str">
        <f>_xlfn.XLOOKUP(FME_Ranking1[[#This Row],[FME ID]],FME_Input[FME_ID],FME_Input[DESCR])</f>
        <v>Develop BCA to become FMP. 108 ac-ft of detention storage. Basin A w/ 95 ac-ft of storage, 10 ft depth, inlet &amp; outlet structures consist of 2 culverts &amp; weir. Basin B w/ 13 ac-ft of storage, 10.5 ft depth, inlet &amp; outlet structures of culvert &amp; weir.</v>
      </c>
      <c r="E1181" s="256">
        <f>_xlfn.XLOOKUP(FME_Ranking1[[#This Row],[FME ID]],FME_Input[FME_ID],FME_Input[FME_COST])</f>
        <v>30000</v>
      </c>
      <c r="F1181" t="str">
        <f>_xlfn.XLOOKUP(FME_Ranking1[[#This Row],[FME ID]],FME_Input[FME_ID],FME_Input[EMER_NEED])</f>
        <v>No</v>
      </c>
      <c r="G1181">
        <f>IF(FME_Ranking!F1181="Yes",100,0)</f>
        <v>0</v>
      </c>
      <c r="H1181">
        <f>FME_Ranking1[[#This Row],[Emergency Need Score (Normalized, Unweighted)]]*$F$3</f>
        <v>0</v>
      </c>
      <c r="I1181" s="246">
        <f>_xlfn.XLOOKUP(FME_Ranking1[[#This Row],[FME ID]],FME_Input[FME_ID],FME_Input[STRUCT_100])</f>
        <v>346</v>
      </c>
      <c r="J1181" s="178">
        <f>(FME_Ranking1[[#This Row],[Structures 100 Raw]]/I$2)*100</f>
        <v>0.18528038384098017</v>
      </c>
      <c r="K1181" s="178">
        <f>FME_Ranking1[[#This Row],[Structures 100  Score (Normalized, Unweighted)]]*$I$3</f>
        <v>2.7792057576147024E-2</v>
      </c>
      <c r="L1181" s="246">
        <f>_xlfn.XLOOKUP(FME_Ranking1[[#This Row],[FME ID]],FME_Input[FME_ID],FME_Input[RES_STRUCT100])</f>
        <v>266</v>
      </c>
      <c r="M1181" s="230">
        <f>(FME_Ranking1[[#This Row],[Res Structures Raw]]/L$2)*100</f>
        <v>0.18840928730291395</v>
      </c>
      <c r="N1181" s="180">
        <f>FME_Ranking1[[#This Row],[Res Structures Score (Normalized, Unweighted)]]*$L$3</f>
        <v>1.8840928730291397E-2</v>
      </c>
      <c r="O1181" s="244">
        <f>_xlfn.XLOOKUP(FME_Ranking1[[#This Row],[FME ID]],FME_Input[FME_ID],FME_Input[POP100])</f>
        <v>917</v>
      </c>
      <c r="P1181" s="178">
        <f>(FME_Ranking1[[#This Row],[Pop Raw]]/$O$2)*100</f>
        <v>9.3878161093695928E-2</v>
      </c>
      <c r="Q1181" s="178">
        <f>FME_Ranking1[[#This Row],[Pop Score (Normalized, Unweighted)]]*$O$3</f>
        <v>1.4081724164054388E-2</v>
      </c>
      <c r="R1181" s="137">
        <f>_xlfn.XLOOKUP(FME_Ranking1[[#This Row],[FME ID]],FME_Input[FME_ID],FME_Input[CRITFAC100])</f>
        <v>0</v>
      </c>
      <c r="S1181" s="230">
        <f>(FME_Ranking1[[#This Row],[Critical Facilities Raw]]/$R$2)*100</f>
        <v>0</v>
      </c>
      <c r="T1181" s="180">
        <f>FME_Ranking1[[#This Row],[Critical Facilities Score (Normalized, Unweighted)]]*$R$3</f>
        <v>0</v>
      </c>
      <c r="U1181">
        <f>_xlfn.XLOOKUP(FME_Ranking1[[#This Row],[FME ID]],FME_Input[FME_ID],FME_Input[LWC])</f>
        <v>0</v>
      </c>
      <c r="V1181" s="178">
        <f>(FME_Ranking1[[#This Row],[LWC Raw]]/$U$2)*100</f>
        <v>0</v>
      </c>
      <c r="W1181" s="178">
        <f>FME_Ranking1[[#This Row],[LWC Score (Normalized, Unweighted)]]*$U$3</f>
        <v>0</v>
      </c>
      <c r="X1181" s="246">
        <f>_xlfn.XLOOKUP(FME_Ranking1[[#This Row],[FME ID]],FME_Input[FME_ID],FME_Input[ROADCLS])</f>
        <v>0</v>
      </c>
      <c r="Y1181" s="230">
        <f>(FME_Ranking1[[#This Row],[Closures Raw]]/$X$2)*100</f>
        <v>0</v>
      </c>
      <c r="Z1181" s="180">
        <f>FME_Ranking1[[#This Row],[Closures Score (Normalized, Unweighted)]]*$X$3</f>
        <v>0</v>
      </c>
      <c r="AA1181" s="253">
        <f>_xlfn.XLOOKUP(FME_Ranking1[[#This Row],[FME ID]],FME_Input[FME_ID],FME_Input[ROAD_MILES100])</f>
        <v>2.4145703315734859</v>
      </c>
      <c r="AB1181" s="178">
        <f>(FME_Ranking1[[#This Row],[Miles Raw]]/$AA$2)*100</f>
        <v>3.1747269124990707E-2</v>
      </c>
      <c r="AC1181" s="178">
        <f>FME_Ranking1[[#This Row],[Miles Score (Normalized, Unweighted)]]*$AA$3</f>
        <v>3.1747269124990708E-3</v>
      </c>
      <c r="AD1181" s="255">
        <f>_xlfn.XLOOKUP(FME_Ranking1[[#This Row],[FME ID]],FME_Input[FME_ID],FME_Input[FARMACRE100])</f>
        <v>0</v>
      </c>
      <c r="AE1181" s="230">
        <f>(FME_Ranking1[[#This Row],[Ag Land Raw]]/$AD$2)*100</f>
        <v>0</v>
      </c>
      <c r="AF1181" s="231">
        <f>FME_Ranking1[[#This Row],[Ag Land Score (Normalized, Unweighted)]]*$AD$3</f>
        <v>0</v>
      </c>
      <c r="AG118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6.3889437382991868E-2</v>
      </c>
      <c r="AH1181" s="406">
        <f t="shared" si="18"/>
        <v>1225</v>
      </c>
      <c r="AI118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6.3889437382991868E-2</v>
      </c>
      <c r="AJ1181" s="257">
        <f>FME_Ranking1[[#This Row],[Addition check]]-FME_Ranking1[[#This Row],[Weighted Score Based on Normalized Reported Factors]]</f>
        <v>0</v>
      </c>
      <c r="AK1181" s="178">
        <f>_xlfn.RANK.EQ(AI1181,$AI$6:$AI$2341,0)+COUNTIF($AI$6:AI1181,AI1181)-1</f>
        <v>1225</v>
      </c>
    </row>
    <row r="1182" spans="1:37" x14ac:dyDescent="0.25">
      <c r="A1182" t="s">
        <v>2222</v>
      </c>
      <c r="B1182">
        <f>_xlfn.XLOOKUP(FME_Ranking1[[#This Row],[FME ID]],FME_Input[FME_ID],FME_Input[RFPG_NUM])</f>
        <v>6</v>
      </c>
      <c r="C1182" t="str">
        <f>_xlfn.XLOOKUP(FME_Ranking1[[#This Row],[FME ID]],FME_Input[FME_ID],FME_Input[FME_NAME])</f>
        <v>Spring Gully Watershed Planning Project- Project Phase II</v>
      </c>
      <c r="D1182" t="str">
        <f>_xlfn.XLOOKUP(FME_Ranking1[[#This Row],[FME ID]],FME_Input[FME_ID],FME_Input[DESCR])</f>
        <v xml:space="preserve">Develop BCA to become a FMP. Independent of Phase I. Phase II includes addition of Stormwater Detention Basin C, with 80 acre-feet of detention storage w/ 9.5 ft depth &amp; an inlet and outlet structure consisting of a culvert &amp; a weir. </v>
      </c>
      <c r="E1182" s="256">
        <f>_xlfn.XLOOKUP(FME_Ranking1[[#This Row],[FME ID]],FME_Input[FME_ID],FME_Input[FME_COST])</f>
        <v>30000</v>
      </c>
      <c r="F1182" t="str">
        <f>_xlfn.XLOOKUP(FME_Ranking1[[#This Row],[FME ID]],FME_Input[FME_ID],FME_Input[EMER_NEED])</f>
        <v>No</v>
      </c>
      <c r="G1182">
        <f>IF(FME_Ranking!F1182="Yes",100,0)</f>
        <v>0</v>
      </c>
      <c r="H1182">
        <f>FME_Ranking1[[#This Row],[Emergency Need Score (Normalized, Unweighted)]]*$F$3</f>
        <v>0</v>
      </c>
      <c r="I1182" s="246">
        <f>_xlfn.XLOOKUP(FME_Ranking1[[#This Row],[FME ID]],FME_Input[FME_ID],FME_Input[STRUCT_100])</f>
        <v>346</v>
      </c>
      <c r="J1182" s="178">
        <f>(FME_Ranking1[[#This Row],[Structures 100 Raw]]/I$2)*100</f>
        <v>0.18528038384098017</v>
      </c>
      <c r="K1182" s="178">
        <f>FME_Ranking1[[#This Row],[Structures 100  Score (Normalized, Unweighted)]]*$I$3</f>
        <v>2.7792057576147024E-2</v>
      </c>
      <c r="L1182" s="246">
        <f>_xlfn.XLOOKUP(FME_Ranking1[[#This Row],[FME ID]],FME_Input[FME_ID],FME_Input[RES_STRUCT100])</f>
        <v>266</v>
      </c>
      <c r="M1182" s="230">
        <f>(FME_Ranking1[[#This Row],[Res Structures Raw]]/L$2)*100</f>
        <v>0.18840928730291395</v>
      </c>
      <c r="N1182" s="180">
        <f>FME_Ranking1[[#This Row],[Res Structures Score (Normalized, Unweighted)]]*$L$3</f>
        <v>1.8840928730291397E-2</v>
      </c>
      <c r="O1182" s="244">
        <f>_xlfn.XLOOKUP(FME_Ranking1[[#This Row],[FME ID]],FME_Input[FME_ID],FME_Input[POP100])</f>
        <v>917</v>
      </c>
      <c r="P1182" s="178">
        <f>(FME_Ranking1[[#This Row],[Pop Raw]]/$O$2)*100</f>
        <v>9.3878161093695928E-2</v>
      </c>
      <c r="Q1182" s="178">
        <f>FME_Ranking1[[#This Row],[Pop Score (Normalized, Unweighted)]]*$O$3</f>
        <v>1.4081724164054388E-2</v>
      </c>
      <c r="R1182" s="137">
        <f>_xlfn.XLOOKUP(FME_Ranking1[[#This Row],[FME ID]],FME_Input[FME_ID],FME_Input[CRITFAC100])</f>
        <v>0</v>
      </c>
      <c r="S1182" s="230">
        <f>(FME_Ranking1[[#This Row],[Critical Facilities Raw]]/$R$2)*100</f>
        <v>0</v>
      </c>
      <c r="T1182" s="180">
        <f>FME_Ranking1[[#This Row],[Critical Facilities Score (Normalized, Unweighted)]]*$R$3</f>
        <v>0</v>
      </c>
      <c r="U1182">
        <f>_xlfn.XLOOKUP(FME_Ranking1[[#This Row],[FME ID]],FME_Input[FME_ID],FME_Input[LWC])</f>
        <v>0</v>
      </c>
      <c r="V1182" s="178">
        <f>(FME_Ranking1[[#This Row],[LWC Raw]]/$U$2)*100</f>
        <v>0</v>
      </c>
      <c r="W1182" s="178">
        <f>FME_Ranking1[[#This Row],[LWC Score (Normalized, Unweighted)]]*$U$3</f>
        <v>0</v>
      </c>
      <c r="X1182" s="246">
        <f>_xlfn.XLOOKUP(FME_Ranking1[[#This Row],[FME ID]],FME_Input[FME_ID],FME_Input[ROADCLS])</f>
        <v>0</v>
      </c>
      <c r="Y1182" s="230">
        <f>(FME_Ranking1[[#This Row],[Closures Raw]]/$X$2)*100</f>
        <v>0</v>
      </c>
      <c r="Z1182" s="180">
        <f>FME_Ranking1[[#This Row],[Closures Score (Normalized, Unweighted)]]*$X$3</f>
        <v>0</v>
      </c>
      <c r="AA1182" s="253">
        <f>_xlfn.XLOOKUP(FME_Ranking1[[#This Row],[FME ID]],FME_Input[FME_ID],FME_Input[ROAD_MILES100])</f>
        <v>2.4145703315734859</v>
      </c>
      <c r="AB1182" s="178">
        <f>(FME_Ranking1[[#This Row],[Miles Raw]]/$AA$2)*100</f>
        <v>3.1747269124990707E-2</v>
      </c>
      <c r="AC1182" s="178">
        <f>FME_Ranking1[[#This Row],[Miles Score (Normalized, Unweighted)]]*$AA$3</f>
        <v>3.1747269124990708E-3</v>
      </c>
      <c r="AD1182" s="255">
        <f>_xlfn.XLOOKUP(FME_Ranking1[[#This Row],[FME ID]],FME_Input[FME_ID],FME_Input[FARMACRE100])</f>
        <v>0</v>
      </c>
      <c r="AE1182" s="230">
        <f>(FME_Ranking1[[#This Row],[Ag Land Raw]]/$AD$2)*100</f>
        <v>0</v>
      </c>
      <c r="AF1182" s="231">
        <f>FME_Ranking1[[#This Row],[Ag Land Score (Normalized, Unweighted)]]*$AD$3</f>
        <v>0</v>
      </c>
      <c r="AG118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6.3889437382991868E-2</v>
      </c>
      <c r="AH1182" s="406">
        <f t="shared" si="18"/>
        <v>1225</v>
      </c>
      <c r="AI118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6.3889437382991868E-2</v>
      </c>
      <c r="AJ1182" s="257">
        <f>FME_Ranking1[[#This Row],[Addition check]]-FME_Ranking1[[#This Row],[Weighted Score Based on Normalized Reported Factors]]</f>
        <v>0</v>
      </c>
      <c r="AK1182" s="178">
        <f>_xlfn.RANK.EQ(AI1182,$AI$6:$AI$2341,0)+COUNTIF($AI$6:AI1182,AI1182)-1</f>
        <v>1226</v>
      </c>
    </row>
    <row r="1183" spans="1:37" x14ac:dyDescent="0.25">
      <c r="A1183" t="s">
        <v>2225</v>
      </c>
      <c r="B1183">
        <f>_xlfn.XLOOKUP(FME_Ranking1[[#This Row],[FME ID]],FME_Input[FME_ID],FME_Input[RFPG_NUM])</f>
        <v>6</v>
      </c>
      <c r="C1183" t="str">
        <f>_xlfn.XLOOKUP(FME_Ranking1[[#This Row],[FME ID]],FME_Input[FME_ID],FME_Input[FME_NAME])</f>
        <v>Spring Gully Watershed Planning Project- Project Phase III</v>
      </c>
      <c r="D1183" t="str">
        <f>_xlfn.XLOOKUP(FME_Ranking1[[#This Row],[FME ID]],FME_Input[FME_ID],FME_Input[DESCR])</f>
        <v>Complete after phase 2. Relief channel intended to outfall into Stormwater Detention Basin C from Phase 2. Consists of trapezoidal 850-foot channel with cross culvert sized at Prairie Street. Upstream of the culvert crossing, the bottom width is 8 ft.</v>
      </c>
      <c r="E1183" s="256">
        <f>_xlfn.XLOOKUP(FME_Ranking1[[#This Row],[FME ID]],FME_Input[FME_ID],FME_Input[FME_COST])</f>
        <v>30000</v>
      </c>
      <c r="F1183" t="str">
        <f>_xlfn.XLOOKUP(FME_Ranking1[[#This Row],[FME ID]],FME_Input[FME_ID],FME_Input[EMER_NEED])</f>
        <v>No</v>
      </c>
      <c r="G1183">
        <f>IF(FME_Ranking!F1183="Yes",100,0)</f>
        <v>0</v>
      </c>
      <c r="H1183">
        <f>FME_Ranking1[[#This Row],[Emergency Need Score (Normalized, Unweighted)]]*$F$3</f>
        <v>0</v>
      </c>
      <c r="I1183" s="246">
        <f>_xlfn.XLOOKUP(FME_Ranking1[[#This Row],[FME ID]],FME_Input[FME_ID],FME_Input[STRUCT_100])</f>
        <v>346</v>
      </c>
      <c r="J1183" s="178">
        <f>(FME_Ranking1[[#This Row],[Structures 100 Raw]]/I$2)*100</f>
        <v>0.18528038384098017</v>
      </c>
      <c r="K1183" s="178">
        <f>FME_Ranking1[[#This Row],[Structures 100  Score (Normalized, Unweighted)]]*$I$3</f>
        <v>2.7792057576147024E-2</v>
      </c>
      <c r="L1183" s="246">
        <f>_xlfn.XLOOKUP(FME_Ranking1[[#This Row],[FME ID]],FME_Input[FME_ID],FME_Input[RES_STRUCT100])</f>
        <v>266</v>
      </c>
      <c r="M1183" s="230">
        <f>(FME_Ranking1[[#This Row],[Res Structures Raw]]/L$2)*100</f>
        <v>0.18840928730291395</v>
      </c>
      <c r="N1183" s="180">
        <f>FME_Ranking1[[#This Row],[Res Structures Score (Normalized, Unweighted)]]*$L$3</f>
        <v>1.8840928730291397E-2</v>
      </c>
      <c r="O1183" s="244">
        <f>_xlfn.XLOOKUP(FME_Ranking1[[#This Row],[FME ID]],FME_Input[FME_ID],FME_Input[POP100])</f>
        <v>917</v>
      </c>
      <c r="P1183" s="178">
        <f>(FME_Ranking1[[#This Row],[Pop Raw]]/$O$2)*100</f>
        <v>9.3878161093695928E-2</v>
      </c>
      <c r="Q1183" s="178">
        <f>FME_Ranking1[[#This Row],[Pop Score (Normalized, Unweighted)]]*$O$3</f>
        <v>1.4081724164054388E-2</v>
      </c>
      <c r="R1183" s="137">
        <f>_xlfn.XLOOKUP(FME_Ranking1[[#This Row],[FME ID]],FME_Input[FME_ID],FME_Input[CRITFAC100])</f>
        <v>0</v>
      </c>
      <c r="S1183" s="230">
        <f>(FME_Ranking1[[#This Row],[Critical Facilities Raw]]/$R$2)*100</f>
        <v>0</v>
      </c>
      <c r="T1183" s="180">
        <f>FME_Ranking1[[#This Row],[Critical Facilities Score (Normalized, Unweighted)]]*$R$3</f>
        <v>0</v>
      </c>
      <c r="U1183">
        <f>_xlfn.XLOOKUP(FME_Ranking1[[#This Row],[FME ID]],FME_Input[FME_ID],FME_Input[LWC])</f>
        <v>0</v>
      </c>
      <c r="V1183" s="178">
        <f>(FME_Ranking1[[#This Row],[LWC Raw]]/$U$2)*100</f>
        <v>0</v>
      </c>
      <c r="W1183" s="178">
        <f>FME_Ranking1[[#This Row],[LWC Score (Normalized, Unweighted)]]*$U$3</f>
        <v>0</v>
      </c>
      <c r="X1183" s="246">
        <f>_xlfn.XLOOKUP(FME_Ranking1[[#This Row],[FME ID]],FME_Input[FME_ID],FME_Input[ROADCLS])</f>
        <v>0</v>
      </c>
      <c r="Y1183" s="230">
        <f>(FME_Ranking1[[#This Row],[Closures Raw]]/$X$2)*100</f>
        <v>0</v>
      </c>
      <c r="Z1183" s="180">
        <f>FME_Ranking1[[#This Row],[Closures Score (Normalized, Unweighted)]]*$X$3</f>
        <v>0</v>
      </c>
      <c r="AA1183" s="253">
        <f>_xlfn.XLOOKUP(FME_Ranking1[[#This Row],[FME ID]],FME_Input[FME_ID],FME_Input[ROAD_MILES100])</f>
        <v>2.4145703315734859</v>
      </c>
      <c r="AB1183" s="178">
        <f>(FME_Ranking1[[#This Row],[Miles Raw]]/$AA$2)*100</f>
        <v>3.1747269124990707E-2</v>
      </c>
      <c r="AC1183" s="178">
        <f>FME_Ranking1[[#This Row],[Miles Score (Normalized, Unweighted)]]*$AA$3</f>
        <v>3.1747269124990708E-3</v>
      </c>
      <c r="AD1183" s="255">
        <f>_xlfn.XLOOKUP(FME_Ranking1[[#This Row],[FME ID]],FME_Input[FME_ID],FME_Input[FARMACRE100])</f>
        <v>0</v>
      </c>
      <c r="AE1183" s="230">
        <f>(FME_Ranking1[[#This Row],[Ag Land Raw]]/$AD$2)*100</f>
        <v>0</v>
      </c>
      <c r="AF1183" s="231">
        <f>FME_Ranking1[[#This Row],[Ag Land Score (Normalized, Unweighted)]]*$AD$3</f>
        <v>0</v>
      </c>
      <c r="AG118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6.3889437382991868E-2</v>
      </c>
      <c r="AH1183" s="406">
        <f t="shared" si="18"/>
        <v>1225</v>
      </c>
      <c r="AI118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6.3889437382991868E-2</v>
      </c>
      <c r="AJ1183" s="257">
        <f>FME_Ranking1[[#This Row],[Addition check]]-FME_Ranking1[[#This Row],[Weighted Score Based on Normalized Reported Factors]]</f>
        <v>0</v>
      </c>
      <c r="AK1183" s="178">
        <f>_xlfn.RANK.EQ(AI1183,$AI$6:$AI$2341,0)+COUNTIF($AI$6:AI1183,AI1183)-1</f>
        <v>1227</v>
      </c>
    </row>
    <row r="1184" spans="1:37" x14ac:dyDescent="0.25">
      <c r="A1184" t="s">
        <v>7050</v>
      </c>
      <c r="B1184">
        <f>_xlfn.XLOOKUP(FME_Ranking1[[#This Row],[FME ID]],FME_Input[FME_ID],FME_Input[RFPG_NUM])</f>
        <v>7</v>
      </c>
      <c r="C1184" t="str">
        <f>_xlfn.XLOOKUP(FME_Ranking1[[#This Row],[FME ID]],FME_Input[FME_ID],FME_Input[FME_NAME])</f>
        <v>City of Hamlin DMP</v>
      </c>
      <c r="D1184" t="str">
        <f>_xlfn.XLOOKUP(FME_Ranking1[[#This Row],[FME ID]],FME_Input[FME_ID],FME_Input[DESCR])</f>
        <v>Evaluate city to identify future projects, analyze roads/stream crossing for emergency response vehicles to high hazard areas</v>
      </c>
      <c r="E1184" s="256">
        <f>_xlfn.XLOOKUP(FME_Ranking1[[#This Row],[FME ID]],FME_Input[FME_ID],FME_Input[FME_COST])</f>
        <v>250000</v>
      </c>
      <c r="F1184" t="str">
        <f>_xlfn.XLOOKUP(FME_Ranking1[[#This Row],[FME ID]],FME_Input[FME_ID],FME_Input[EMER_NEED])</f>
        <v>No</v>
      </c>
      <c r="G1184">
        <f>IF(FME_Ranking!F1184="Yes",100,0)</f>
        <v>0</v>
      </c>
      <c r="H1184">
        <f>FME_Ranking1[[#This Row],[Emergency Need Score (Normalized, Unweighted)]]*$F$3</f>
        <v>0</v>
      </c>
      <c r="I1184" s="246">
        <f>_xlfn.XLOOKUP(FME_Ranking1[[#This Row],[FME ID]],FME_Input[FME_ID],FME_Input[STRUCT_100])</f>
        <v>274</v>
      </c>
      <c r="J1184" s="178">
        <f>(FME_Ranking1[[#This Row],[Structures 100 Raw]]/I$2)*100</f>
        <v>0.1467249282440132</v>
      </c>
      <c r="K1184" s="178">
        <f>FME_Ranking1[[#This Row],[Structures 100  Score (Normalized, Unweighted)]]*$I$3</f>
        <v>2.200873923660198E-2</v>
      </c>
      <c r="L1184" s="246">
        <f>_xlfn.XLOOKUP(FME_Ranking1[[#This Row],[FME ID]],FME_Input[FME_ID],FME_Input[RES_STRUCT100])</f>
        <v>187</v>
      </c>
      <c r="M1184" s="230">
        <f>(FME_Ranking1[[#This Row],[Res Structures Raw]]/L$2)*100</f>
        <v>0.13245314558513124</v>
      </c>
      <c r="N1184" s="180">
        <f>FME_Ranking1[[#This Row],[Res Structures Score (Normalized, Unweighted)]]*$L$3</f>
        <v>1.3245314558513126E-2</v>
      </c>
      <c r="O1184" s="244">
        <f>_xlfn.XLOOKUP(FME_Ranking1[[#This Row],[FME ID]],FME_Input[FME_ID],FME_Input[POP100])</f>
        <v>470</v>
      </c>
      <c r="P1184" s="178">
        <f>(FME_Ranking1[[#This Row],[Pop Raw]]/$O$2)*100</f>
        <v>4.8116396634718742E-2</v>
      </c>
      <c r="Q1184" s="178">
        <f>FME_Ranking1[[#This Row],[Pop Score (Normalized, Unweighted)]]*$O$3</f>
        <v>7.2174594952078112E-3</v>
      </c>
      <c r="R1184" s="137">
        <f>_xlfn.XLOOKUP(FME_Ranking1[[#This Row],[FME ID]],FME_Input[FME_ID],FME_Input[CRITFAC100])</f>
        <v>2</v>
      </c>
      <c r="S1184" s="230">
        <f>(FME_Ranking1[[#This Row],[Critical Facilities Raw]]/$R$2)*100</f>
        <v>8.5763293310463118E-2</v>
      </c>
      <c r="T1184" s="180">
        <f>FME_Ranking1[[#This Row],[Critical Facilities Score (Normalized, Unweighted)]]*$R$3</f>
        <v>1.7152658662092625E-2</v>
      </c>
      <c r="U1184">
        <f>_xlfn.XLOOKUP(FME_Ranking1[[#This Row],[FME ID]],FME_Input[FME_ID],FME_Input[LWC])</f>
        <v>0</v>
      </c>
      <c r="V1184" s="178">
        <f>(FME_Ranking1[[#This Row],[LWC Raw]]/$U$2)*100</f>
        <v>0</v>
      </c>
      <c r="W1184" s="178">
        <f>FME_Ranking1[[#This Row],[LWC Score (Normalized, Unweighted)]]*$U$3</f>
        <v>0</v>
      </c>
      <c r="X1184" s="246">
        <f>_xlfn.XLOOKUP(FME_Ranking1[[#This Row],[FME ID]],FME_Input[FME_ID],FME_Input[ROADCLS])</f>
        <v>0</v>
      </c>
      <c r="Y1184" s="230">
        <f>(FME_Ranking1[[#This Row],[Closures Raw]]/$X$2)*100</f>
        <v>0</v>
      </c>
      <c r="Z1184" s="180">
        <f>FME_Ranking1[[#This Row],[Closures Score (Normalized, Unweighted)]]*$X$3</f>
        <v>0</v>
      </c>
      <c r="AA1184" s="253">
        <f>_xlfn.XLOOKUP(FME_Ranking1[[#This Row],[FME ID]],FME_Input[FME_ID],FME_Input[ROAD_MILES100])</f>
        <v>11.71075534820557</v>
      </c>
      <c r="AB1184" s="178">
        <f>(FME_Ranking1[[#This Row],[Miles Raw]]/$AA$2)*100</f>
        <v>0.15397542860312061</v>
      </c>
      <c r="AC1184" s="178">
        <f>FME_Ranking1[[#This Row],[Miles Score (Normalized, Unweighted)]]*$AA$3</f>
        <v>1.5397542860312061E-2</v>
      </c>
      <c r="AD1184" s="255">
        <f>_xlfn.XLOOKUP(FME_Ranking1[[#This Row],[FME ID]],FME_Input[FME_ID],FME_Input[FARMACRE100])</f>
        <v>230.25129699707031</v>
      </c>
      <c r="AE1184" s="230">
        <f>(FME_Ranking1[[#This Row],[Ag Land Raw]]/$AD$2)*100</f>
        <v>9.4945327673786727E-3</v>
      </c>
      <c r="AF1184" s="231">
        <f>FME_Ranking1[[#This Row],[Ag Land Score (Normalized, Unweighted)]]*$AD$3</f>
        <v>4.7472663836893364E-4</v>
      </c>
      <c r="AG118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7.5496441451096546E-2</v>
      </c>
      <c r="AH1184" s="406">
        <f t="shared" si="18"/>
        <v>1154</v>
      </c>
      <c r="AI118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7.5496441451096546E-2</v>
      </c>
      <c r="AJ1184" s="257">
        <f>FME_Ranking1[[#This Row],[Addition check]]-FME_Ranking1[[#This Row],[Weighted Score Based on Normalized Reported Factors]]</f>
        <v>0</v>
      </c>
      <c r="AK1184" s="178">
        <f>_xlfn.RANK.EQ(AI1184,$AI$6:$AI$2341,0)+COUNTIF($AI$6:AI1184,AI1184)-1</f>
        <v>1154</v>
      </c>
    </row>
    <row r="1185" spans="1:37" x14ac:dyDescent="0.25">
      <c r="A1185" t="s">
        <v>7286</v>
      </c>
      <c r="B1185">
        <f>_xlfn.XLOOKUP(FME_Ranking1[[#This Row],[FME ID]],FME_Input[FME_ID],FME_Input[RFPG_NUM])</f>
        <v>7</v>
      </c>
      <c r="C1185" t="str">
        <f>_xlfn.XLOOKUP(FME_Ranking1[[#This Row],[FME ID]],FME_Input[FME_ID],FME_Input[FME_NAME])</f>
        <v>City of Hamlin Floodproof Sewage Plant Program</v>
      </c>
      <c r="D1185" t="str">
        <f>_xlfn.XLOOKUP(FME_Ranking1[[#This Row],[FME ID]],FME_Input[FME_ID],FME_Input[DESCR])</f>
        <v>Flood-proof sewage treatment plants in flood hazard / low-lying areas.</v>
      </c>
      <c r="E1185" s="256">
        <f>_xlfn.XLOOKUP(FME_Ranking1[[#This Row],[FME ID]],FME_Input[FME_ID],FME_Input[FME_COST])</f>
        <v>100000</v>
      </c>
      <c r="F1185" t="str">
        <f>_xlfn.XLOOKUP(FME_Ranking1[[#This Row],[FME ID]],FME_Input[FME_ID],FME_Input[EMER_NEED])</f>
        <v>No</v>
      </c>
      <c r="G1185">
        <f>IF(FME_Ranking!F1185="Yes",100,0)</f>
        <v>0</v>
      </c>
      <c r="H1185">
        <f>FME_Ranking1[[#This Row],[Emergency Need Score (Normalized, Unweighted)]]*$F$3</f>
        <v>0</v>
      </c>
      <c r="I1185" s="246">
        <f>_xlfn.XLOOKUP(FME_Ranking1[[#This Row],[FME ID]],FME_Input[FME_ID],FME_Input[STRUCT_100])</f>
        <v>274</v>
      </c>
      <c r="J1185" s="178">
        <f>(FME_Ranking1[[#This Row],[Structures 100 Raw]]/I$2)*100</f>
        <v>0.1467249282440132</v>
      </c>
      <c r="K1185" s="178">
        <f>FME_Ranking1[[#This Row],[Structures 100  Score (Normalized, Unweighted)]]*$I$3</f>
        <v>2.200873923660198E-2</v>
      </c>
      <c r="L1185" s="246">
        <f>_xlfn.XLOOKUP(FME_Ranking1[[#This Row],[FME ID]],FME_Input[FME_ID],FME_Input[RES_STRUCT100])</f>
        <v>187</v>
      </c>
      <c r="M1185" s="230">
        <f>(FME_Ranking1[[#This Row],[Res Structures Raw]]/L$2)*100</f>
        <v>0.13245314558513124</v>
      </c>
      <c r="N1185" s="180">
        <f>FME_Ranking1[[#This Row],[Res Structures Score (Normalized, Unweighted)]]*$L$3</f>
        <v>1.3245314558513126E-2</v>
      </c>
      <c r="O1185" s="244">
        <f>_xlfn.XLOOKUP(FME_Ranking1[[#This Row],[FME ID]],FME_Input[FME_ID],FME_Input[POP100])</f>
        <v>470</v>
      </c>
      <c r="P1185" s="178">
        <f>(FME_Ranking1[[#This Row],[Pop Raw]]/$O$2)*100</f>
        <v>4.8116396634718742E-2</v>
      </c>
      <c r="Q1185" s="178">
        <f>FME_Ranking1[[#This Row],[Pop Score (Normalized, Unweighted)]]*$O$3</f>
        <v>7.2174594952078112E-3</v>
      </c>
      <c r="R1185" s="137">
        <f>_xlfn.XLOOKUP(FME_Ranking1[[#This Row],[FME ID]],FME_Input[FME_ID],FME_Input[CRITFAC100])</f>
        <v>2</v>
      </c>
      <c r="S1185" s="230">
        <f>(FME_Ranking1[[#This Row],[Critical Facilities Raw]]/$R$2)*100</f>
        <v>8.5763293310463118E-2</v>
      </c>
      <c r="T1185" s="180">
        <f>FME_Ranking1[[#This Row],[Critical Facilities Score (Normalized, Unweighted)]]*$R$3</f>
        <v>1.7152658662092625E-2</v>
      </c>
      <c r="U1185">
        <f>_xlfn.XLOOKUP(FME_Ranking1[[#This Row],[FME ID]],FME_Input[FME_ID],FME_Input[LWC])</f>
        <v>0</v>
      </c>
      <c r="V1185" s="178">
        <f>(FME_Ranking1[[#This Row],[LWC Raw]]/$U$2)*100</f>
        <v>0</v>
      </c>
      <c r="W1185" s="178">
        <f>FME_Ranking1[[#This Row],[LWC Score (Normalized, Unweighted)]]*$U$3</f>
        <v>0</v>
      </c>
      <c r="X1185" s="246">
        <f>_xlfn.XLOOKUP(FME_Ranking1[[#This Row],[FME ID]],FME_Input[FME_ID],FME_Input[ROADCLS])</f>
        <v>0</v>
      </c>
      <c r="Y1185" s="230">
        <f>(FME_Ranking1[[#This Row],[Closures Raw]]/$X$2)*100</f>
        <v>0</v>
      </c>
      <c r="Z1185" s="180">
        <f>FME_Ranking1[[#This Row],[Closures Score (Normalized, Unweighted)]]*$X$3</f>
        <v>0</v>
      </c>
      <c r="AA1185" s="253">
        <f>_xlfn.XLOOKUP(FME_Ranking1[[#This Row],[FME ID]],FME_Input[FME_ID],FME_Input[ROAD_MILES100])</f>
        <v>11.71075534820557</v>
      </c>
      <c r="AB1185" s="178">
        <f>(FME_Ranking1[[#This Row],[Miles Raw]]/$AA$2)*100</f>
        <v>0.15397542860312061</v>
      </c>
      <c r="AC1185" s="178">
        <f>FME_Ranking1[[#This Row],[Miles Score (Normalized, Unweighted)]]*$AA$3</f>
        <v>1.5397542860312061E-2</v>
      </c>
      <c r="AD1185" s="255">
        <f>_xlfn.XLOOKUP(FME_Ranking1[[#This Row],[FME ID]],FME_Input[FME_ID],FME_Input[FARMACRE100])</f>
        <v>230.25129699707031</v>
      </c>
      <c r="AE1185" s="230">
        <f>(FME_Ranking1[[#This Row],[Ag Land Raw]]/$AD$2)*100</f>
        <v>9.4945327673786727E-3</v>
      </c>
      <c r="AF1185" s="231">
        <f>FME_Ranking1[[#This Row],[Ag Land Score (Normalized, Unweighted)]]*$AD$3</f>
        <v>4.7472663836893364E-4</v>
      </c>
      <c r="AG118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7.5496441451096546E-2</v>
      </c>
      <c r="AH1185" s="406">
        <f t="shared" si="18"/>
        <v>1154</v>
      </c>
      <c r="AI118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7.5496441451096546E-2</v>
      </c>
      <c r="AJ1185" s="257">
        <f>FME_Ranking1[[#This Row],[Addition check]]-FME_Ranking1[[#This Row],[Weighted Score Based on Normalized Reported Factors]]</f>
        <v>0</v>
      </c>
      <c r="AK1185" s="178">
        <f>_xlfn.RANK.EQ(AI1185,$AI$6:$AI$2341,0)+COUNTIF($AI$6:AI1185,AI1185)-1</f>
        <v>1155</v>
      </c>
    </row>
    <row r="1186" spans="1:37" x14ac:dyDescent="0.25">
      <c r="A1186" t="s">
        <v>7288</v>
      </c>
      <c r="B1186">
        <f>_xlfn.XLOOKUP(FME_Ranking1[[#This Row],[FME ID]],FME_Input[FME_ID],FME_Input[RFPG_NUM])</f>
        <v>7</v>
      </c>
      <c r="C1186" t="str">
        <f>_xlfn.XLOOKUP(FME_Ranking1[[#This Row],[FME ID]],FME_Input[FME_ID],FME_Input[FME_NAME])</f>
        <v>City of Hamlin Buyout Program</v>
      </c>
      <c r="D1186" t="str">
        <f>_xlfn.XLOOKUP(FME_Ranking1[[#This Row],[FME ID]],FME_Input[FME_ID],FME_Input[DESCR])</f>
        <v>Acquire and demolish repetitive loss properties.</v>
      </c>
      <c r="E1186" s="256">
        <f>_xlfn.XLOOKUP(FME_Ranking1[[#This Row],[FME ID]],FME_Input[FME_ID],FME_Input[FME_COST])</f>
        <v>1000000</v>
      </c>
      <c r="F1186" t="str">
        <f>_xlfn.XLOOKUP(FME_Ranking1[[#This Row],[FME ID]],FME_Input[FME_ID],FME_Input[EMER_NEED])</f>
        <v>No</v>
      </c>
      <c r="G1186">
        <f>IF(FME_Ranking!F1186="Yes",100,0)</f>
        <v>0</v>
      </c>
      <c r="H1186">
        <f>FME_Ranking1[[#This Row],[Emergency Need Score (Normalized, Unweighted)]]*$F$3</f>
        <v>0</v>
      </c>
      <c r="I1186" s="246">
        <f>_xlfn.XLOOKUP(FME_Ranking1[[#This Row],[FME ID]],FME_Input[FME_ID],FME_Input[STRUCT_100])</f>
        <v>274</v>
      </c>
      <c r="J1186" s="178">
        <f>(FME_Ranking1[[#This Row],[Structures 100 Raw]]/I$2)*100</f>
        <v>0.1467249282440132</v>
      </c>
      <c r="K1186" s="178">
        <f>FME_Ranking1[[#This Row],[Structures 100  Score (Normalized, Unweighted)]]*$I$3</f>
        <v>2.200873923660198E-2</v>
      </c>
      <c r="L1186" s="246">
        <f>_xlfn.XLOOKUP(FME_Ranking1[[#This Row],[FME ID]],FME_Input[FME_ID],FME_Input[RES_STRUCT100])</f>
        <v>187</v>
      </c>
      <c r="M1186" s="230">
        <f>(FME_Ranking1[[#This Row],[Res Structures Raw]]/L$2)*100</f>
        <v>0.13245314558513124</v>
      </c>
      <c r="N1186" s="180">
        <f>FME_Ranking1[[#This Row],[Res Structures Score (Normalized, Unweighted)]]*$L$3</f>
        <v>1.3245314558513126E-2</v>
      </c>
      <c r="O1186" s="244">
        <f>_xlfn.XLOOKUP(FME_Ranking1[[#This Row],[FME ID]],FME_Input[FME_ID],FME_Input[POP100])</f>
        <v>470</v>
      </c>
      <c r="P1186" s="178">
        <f>(FME_Ranking1[[#This Row],[Pop Raw]]/$O$2)*100</f>
        <v>4.8116396634718742E-2</v>
      </c>
      <c r="Q1186" s="178">
        <f>FME_Ranking1[[#This Row],[Pop Score (Normalized, Unweighted)]]*$O$3</f>
        <v>7.2174594952078112E-3</v>
      </c>
      <c r="R1186" s="137">
        <f>_xlfn.XLOOKUP(FME_Ranking1[[#This Row],[FME ID]],FME_Input[FME_ID],FME_Input[CRITFAC100])</f>
        <v>2</v>
      </c>
      <c r="S1186" s="230">
        <f>(FME_Ranking1[[#This Row],[Critical Facilities Raw]]/$R$2)*100</f>
        <v>8.5763293310463118E-2</v>
      </c>
      <c r="T1186" s="180">
        <f>FME_Ranking1[[#This Row],[Critical Facilities Score (Normalized, Unweighted)]]*$R$3</f>
        <v>1.7152658662092625E-2</v>
      </c>
      <c r="U1186">
        <f>_xlfn.XLOOKUP(FME_Ranking1[[#This Row],[FME ID]],FME_Input[FME_ID],FME_Input[LWC])</f>
        <v>0</v>
      </c>
      <c r="V1186" s="178">
        <f>(FME_Ranking1[[#This Row],[LWC Raw]]/$U$2)*100</f>
        <v>0</v>
      </c>
      <c r="W1186" s="178">
        <f>FME_Ranking1[[#This Row],[LWC Score (Normalized, Unweighted)]]*$U$3</f>
        <v>0</v>
      </c>
      <c r="X1186" s="246">
        <f>_xlfn.XLOOKUP(FME_Ranking1[[#This Row],[FME ID]],FME_Input[FME_ID],FME_Input[ROADCLS])</f>
        <v>0</v>
      </c>
      <c r="Y1186" s="230">
        <f>(FME_Ranking1[[#This Row],[Closures Raw]]/$X$2)*100</f>
        <v>0</v>
      </c>
      <c r="Z1186" s="180">
        <f>FME_Ranking1[[#This Row],[Closures Score (Normalized, Unweighted)]]*$X$3</f>
        <v>0</v>
      </c>
      <c r="AA1186" s="253">
        <f>_xlfn.XLOOKUP(FME_Ranking1[[#This Row],[FME ID]],FME_Input[FME_ID],FME_Input[ROAD_MILES100])</f>
        <v>11.71075534820557</v>
      </c>
      <c r="AB1186" s="178">
        <f>(FME_Ranking1[[#This Row],[Miles Raw]]/$AA$2)*100</f>
        <v>0.15397542860312061</v>
      </c>
      <c r="AC1186" s="178">
        <f>FME_Ranking1[[#This Row],[Miles Score (Normalized, Unweighted)]]*$AA$3</f>
        <v>1.5397542860312061E-2</v>
      </c>
      <c r="AD1186" s="255">
        <f>_xlfn.XLOOKUP(FME_Ranking1[[#This Row],[FME ID]],FME_Input[FME_ID],FME_Input[FARMACRE100])</f>
        <v>230.25129699707031</v>
      </c>
      <c r="AE1186" s="230">
        <f>(FME_Ranking1[[#This Row],[Ag Land Raw]]/$AD$2)*100</f>
        <v>9.4945327673786727E-3</v>
      </c>
      <c r="AF1186" s="231">
        <f>FME_Ranking1[[#This Row],[Ag Land Score (Normalized, Unweighted)]]*$AD$3</f>
        <v>4.7472663836893364E-4</v>
      </c>
      <c r="AG118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7.5496441451096546E-2</v>
      </c>
      <c r="AH1186" s="406">
        <f t="shared" si="18"/>
        <v>1154</v>
      </c>
      <c r="AI118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7.5496441451096546E-2</v>
      </c>
      <c r="AJ1186" s="257">
        <f>FME_Ranking1[[#This Row],[Addition check]]-FME_Ranking1[[#This Row],[Weighted Score Based on Normalized Reported Factors]]</f>
        <v>0</v>
      </c>
      <c r="AK1186" s="178">
        <f>_xlfn.RANK.EQ(AI1186,$AI$6:$AI$2341,0)+COUNTIF($AI$6:AI1186,AI1186)-1</f>
        <v>1156</v>
      </c>
    </row>
    <row r="1187" spans="1:37" x14ac:dyDescent="0.25">
      <c r="A1187" t="s">
        <v>7290</v>
      </c>
      <c r="B1187">
        <f>_xlfn.XLOOKUP(FME_Ranking1[[#This Row],[FME ID]],FME_Input[FME_ID],FME_Input[RFPG_NUM])</f>
        <v>7</v>
      </c>
      <c r="C1187" t="str">
        <f>_xlfn.XLOOKUP(FME_Ranking1[[#This Row],[FME ID]],FME_Input[FME_ID],FME_Input[FME_NAME])</f>
        <v>City of Hamlin Floodplain Open Space Program</v>
      </c>
      <c r="D1187" t="str">
        <f>_xlfn.XLOOKUP(FME_Ranking1[[#This Row],[FME ID]],FME_Input[FME_ID],FME_Input[DESCR])</f>
        <v>Acquire and preserve open spaces adjacent to floodplain areas. Protect floodplains in their natural state.</v>
      </c>
      <c r="E1187" s="256">
        <f>_xlfn.XLOOKUP(FME_Ranking1[[#This Row],[FME ID]],FME_Input[FME_ID],FME_Input[FME_COST])</f>
        <v>500000</v>
      </c>
      <c r="F1187" t="str">
        <f>_xlfn.XLOOKUP(FME_Ranking1[[#This Row],[FME ID]],FME_Input[FME_ID],FME_Input[EMER_NEED])</f>
        <v>No</v>
      </c>
      <c r="G1187">
        <f>IF(FME_Ranking!F1187="Yes",100,0)</f>
        <v>0</v>
      </c>
      <c r="H1187">
        <f>FME_Ranking1[[#This Row],[Emergency Need Score (Normalized, Unweighted)]]*$F$3</f>
        <v>0</v>
      </c>
      <c r="I1187" s="246">
        <f>_xlfn.XLOOKUP(FME_Ranking1[[#This Row],[FME ID]],FME_Input[FME_ID],FME_Input[STRUCT_100])</f>
        <v>274</v>
      </c>
      <c r="J1187" s="178">
        <f>(FME_Ranking1[[#This Row],[Structures 100 Raw]]/I$2)*100</f>
        <v>0.1467249282440132</v>
      </c>
      <c r="K1187" s="178">
        <f>FME_Ranking1[[#This Row],[Structures 100  Score (Normalized, Unweighted)]]*$I$3</f>
        <v>2.200873923660198E-2</v>
      </c>
      <c r="L1187" s="246">
        <f>_xlfn.XLOOKUP(FME_Ranking1[[#This Row],[FME ID]],FME_Input[FME_ID],FME_Input[RES_STRUCT100])</f>
        <v>187</v>
      </c>
      <c r="M1187" s="230">
        <f>(FME_Ranking1[[#This Row],[Res Structures Raw]]/L$2)*100</f>
        <v>0.13245314558513124</v>
      </c>
      <c r="N1187" s="180">
        <f>FME_Ranking1[[#This Row],[Res Structures Score (Normalized, Unweighted)]]*$L$3</f>
        <v>1.3245314558513126E-2</v>
      </c>
      <c r="O1187" s="244">
        <f>_xlfn.XLOOKUP(FME_Ranking1[[#This Row],[FME ID]],FME_Input[FME_ID],FME_Input[POP100])</f>
        <v>470</v>
      </c>
      <c r="P1187" s="178">
        <f>(FME_Ranking1[[#This Row],[Pop Raw]]/$O$2)*100</f>
        <v>4.8116396634718742E-2</v>
      </c>
      <c r="Q1187" s="178">
        <f>FME_Ranking1[[#This Row],[Pop Score (Normalized, Unweighted)]]*$O$3</f>
        <v>7.2174594952078112E-3</v>
      </c>
      <c r="R1187" s="137">
        <f>_xlfn.XLOOKUP(FME_Ranking1[[#This Row],[FME ID]],FME_Input[FME_ID],FME_Input[CRITFAC100])</f>
        <v>2</v>
      </c>
      <c r="S1187" s="230">
        <f>(FME_Ranking1[[#This Row],[Critical Facilities Raw]]/$R$2)*100</f>
        <v>8.5763293310463118E-2</v>
      </c>
      <c r="T1187" s="180">
        <f>FME_Ranking1[[#This Row],[Critical Facilities Score (Normalized, Unweighted)]]*$R$3</f>
        <v>1.7152658662092625E-2</v>
      </c>
      <c r="U1187">
        <f>_xlfn.XLOOKUP(FME_Ranking1[[#This Row],[FME ID]],FME_Input[FME_ID],FME_Input[LWC])</f>
        <v>0</v>
      </c>
      <c r="V1187" s="178">
        <f>(FME_Ranking1[[#This Row],[LWC Raw]]/$U$2)*100</f>
        <v>0</v>
      </c>
      <c r="W1187" s="178">
        <f>FME_Ranking1[[#This Row],[LWC Score (Normalized, Unweighted)]]*$U$3</f>
        <v>0</v>
      </c>
      <c r="X1187" s="246">
        <f>_xlfn.XLOOKUP(FME_Ranking1[[#This Row],[FME ID]],FME_Input[FME_ID],FME_Input[ROADCLS])</f>
        <v>0</v>
      </c>
      <c r="Y1187" s="230">
        <f>(FME_Ranking1[[#This Row],[Closures Raw]]/$X$2)*100</f>
        <v>0</v>
      </c>
      <c r="Z1187" s="180">
        <f>FME_Ranking1[[#This Row],[Closures Score (Normalized, Unweighted)]]*$X$3</f>
        <v>0</v>
      </c>
      <c r="AA1187" s="253">
        <f>_xlfn.XLOOKUP(FME_Ranking1[[#This Row],[FME ID]],FME_Input[FME_ID],FME_Input[ROAD_MILES100])</f>
        <v>11.71075534820557</v>
      </c>
      <c r="AB1187" s="178">
        <f>(FME_Ranking1[[#This Row],[Miles Raw]]/$AA$2)*100</f>
        <v>0.15397542860312061</v>
      </c>
      <c r="AC1187" s="178">
        <f>FME_Ranking1[[#This Row],[Miles Score (Normalized, Unweighted)]]*$AA$3</f>
        <v>1.5397542860312061E-2</v>
      </c>
      <c r="AD1187" s="255">
        <f>_xlfn.XLOOKUP(FME_Ranking1[[#This Row],[FME ID]],FME_Input[FME_ID],FME_Input[FARMACRE100])</f>
        <v>230.25129699707031</v>
      </c>
      <c r="AE1187" s="230">
        <f>(FME_Ranking1[[#This Row],[Ag Land Raw]]/$AD$2)*100</f>
        <v>9.4945327673786727E-3</v>
      </c>
      <c r="AF1187" s="231">
        <f>FME_Ranking1[[#This Row],[Ag Land Score (Normalized, Unweighted)]]*$AD$3</f>
        <v>4.7472663836893364E-4</v>
      </c>
      <c r="AG118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7.5496441451096546E-2</v>
      </c>
      <c r="AH1187" s="406">
        <f t="shared" si="18"/>
        <v>1154</v>
      </c>
      <c r="AI118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7.5496441451096546E-2</v>
      </c>
      <c r="AJ1187" s="257">
        <f>FME_Ranking1[[#This Row],[Addition check]]-FME_Ranking1[[#This Row],[Weighted Score Based on Normalized Reported Factors]]</f>
        <v>0</v>
      </c>
      <c r="AK1187" s="178">
        <f>_xlfn.RANK.EQ(AI1187,$AI$6:$AI$2341,0)+COUNTIF($AI$6:AI1187,AI1187)-1</f>
        <v>1157</v>
      </c>
    </row>
    <row r="1188" spans="1:37" x14ac:dyDescent="0.25">
      <c r="A1188" t="s">
        <v>7292</v>
      </c>
      <c r="B1188">
        <f>_xlfn.XLOOKUP(FME_Ranking1[[#This Row],[FME ID]],FME_Input[FME_ID],FME_Input[RFPG_NUM])</f>
        <v>7</v>
      </c>
      <c r="C1188" t="str">
        <f>_xlfn.XLOOKUP(FME_Ranking1[[#This Row],[FME ID]],FME_Input[FME_ID],FME_Input[FME_NAME])</f>
        <v>City of Hamlin Higher Standards Program</v>
      </c>
      <c r="D1188" t="str">
        <f>_xlfn.XLOOKUP(FME_Ranking1[[#This Row],[FME ID]],FME_Input[FME_ID],FME_Input[DESCR])</f>
        <v>Adopt higher standards for new construction, increase freeboard requirements for structures in the SFHA; adopt a “no-rise” in BFE in the 100-year floodplain.  Update local flood ordinance to prohibit granting of variance in SFHA; Include “cumulativ</v>
      </c>
      <c r="E1188" s="256">
        <f>_xlfn.XLOOKUP(FME_Ranking1[[#This Row],[FME ID]],FME_Input[FME_ID],FME_Input[FME_COST])</f>
        <v>100000</v>
      </c>
      <c r="F1188" t="str">
        <f>_xlfn.XLOOKUP(FME_Ranking1[[#This Row],[FME ID]],FME_Input[FME_ID],FME_Input[EMER_NEED])</f>
        <v>No</v>
      </c>
      <c r="G1188">
        <f>IF(FME_Ranking!F1188="Yes",100,0)</f>
        <v>0</v>
      </c>
      <c r="H1188">
        <f>FME_Ranking1[[#This Row],[Emergency Need Score (Normalized, Unweighted)]]*$F$3</f>
        <v>0</v>
      </c>
      <c r="I1188" s="246">
        <f>_xlfn.XLOOKUP(FME_Ranking1[[#This Row],[FME ID]],FME_Input[FME_ID],FME_Input[STRUCT_100])</f>
        <v>274</v>
      </c>
      <c r="J1188" s="178">
        <f>(FME_Ranking1[[#This Row],[Structures 100 Raw]]/I$2)*100</f>
        <v>0.1467249282440132</v>
      </c>
      <c r="K1188" s="178">
        <f>FME_Ranking1[[#This Row],[Structures 100  Score (Normalized, Unweighted)]]*$I$3</f>
        <v>2.200873923660198E-2</v>
      </c>
      <c r="L1188" s="246">
        <f>_xlfn.XLOOKUP(FME_Ranking1[[#This Row],[FME ID]],FME_Input[FME_ID],FME_Input[RES_STRUCT100])</f>
        <v>187</v>
      </c>
      <c r="M1188" s="230">
        <f>(FME_Ranking1[[#This Row],[Res Structures Raw]]/L$2)*100</f>
        <v>0.13245314558513124</v>
      </c>
      <c r="N1188" s="180">
        <f>FME_Ranking1[[#This Row],[Res Structures Score (Normalized, Unweighted)]]*$L$3</f>
        <v>1.3245314558513126E-2</v>
      </c>
      <c r="O1188" s="244">
        <f>_xlfn.XLOOKUP(FME_Ranking1[[#This Row],[FME ID]],FME_Input[FME_ID],FME_Input[POP100])</f>
        <v>470</v>
      </c>
      <c r="P1188" s="178">
        <f>(FME_Ranking1[[#This Row],[Pop Raw]]/$O$2)*100</f>
        <v>4.8116396634718742E-2</v>
      </c>
      <c r="Q1188" s="178">
        <f>FME_Ranking1[[#This Row],[Pop Score (Normalized, Unweighted)]]*$O$3</f>
        <v>7.2174594952078112E-3</v>
      </c>
      <c r="R1188" s="137">
        <f>_xlfn.XLOOKUP(FME_Ranking1[[#This Row],[FME ID]],FME_Input[FME_ID],FME_Input[CRITFAC100])</f>
        <v>2</v>
      </c>
      <c r="S1188" s="230">
        <f>(FME_Ranking1[[#This Row],[Critical Facilities Raw]]/$R$2)*100</f>
        <v>8.5763293310463118E-2</v>
      </c>
      <c r="T1188" s="180">
        <f>FME_Ranking1[[#This Row],[Critical Facilities Score (Normalized, Unweighted)]]*$R$3</f>
        <v>1.7152658662092625E-2</v>
      </c>
      <c r="U1188">
        <f>_xlfn.XLOOKUP(FME_Ranking1[[#This Row],[FME ID]],FME_Input[FME_ID],FME_Input[LWC])</f>
        <v>0</v>
      </c>
      <c r="V1188" s="178">
        <f>(FME_Ranking1[[#This Row],[LWC Raw]]/$U$2)*100</f>
        <v>0</v>
      </c>
      <c r="W1188" s="178">
        <f>FME_Ranking1[[#This Row],[LWC Score (Normalized, Unweighted)]]*$U$3</f>
        <v>0</v>
      </c>
      <c r="X1188" s="246">
        <f>_xlfn.XLOOKUP(FME_Ranking1[[#This Row],[FME ID]],FME_Input[FME_ID],FME_Input[ROADCLS])</f>
        <v>0</v>
      </c>
      <c r="Y1188" s="230">
        <f>(FME_Ranking1[[#This Row],[Closures Raw]]/$X$2)*100</f>
        <v>0</v>
      </c>
      <c r="Z1188" s="180">
        <f>FME_Ranking1[[#This Row],[Closures Score (Normalized, Unweighted)]]*$X$3</f>
        <v>0</v>
      </c>
      <c r="AA1188" s="253">
        <f>_xlfn.XLOOKUP(FME_Ranking1[[#This Row],[FME ID]],FME_Input[FME_ID],FME_Input[ROAD_MILES100])</f>
        <v>11.71075534820557</v>
      </c>
      <c r="AB1188" s="178">
        <f>(FME_Ranking1[[#This Row],[Miles Raw]]/$AA$2)*100</f>
        <v>0.15397542860312061</v>
      </c>
      <c r="AC1188" s="178">
        <f>FME_Ranking1[[#This Row],[Miles Score (Normalized, Unweighted)]]*$AA$3</f>
        <v>1.5397542860312061E-2</v>
      </c>
      <c r="AD1188" s="255">
        <f>_xlfn.XLOOKUP(FME_Ranking1[[#This Row],[FME ID]],FME_Input[FME_ID],FME_Input[FARMACRE100])</f>
        <v>230.25129699707031</v>
      </c>
      <c r="AE1188" s="230">
        <f>(FME_Ranking1[[#This Row],[Ag Land Raw]]/$AD$2)*100</f>
        <v>9.4945327673786727E-3</v>
      </c>
      <c r="AF1188" s="231">
        <f>FME_Ranking1[[#This Row],[Ag Land Score (Normalized, Unweighted)]]*$AD$3</f>
        <v>4.7472663836893364E-4</v>
      </c>
      <c r="AG118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7.5496441451096546E-2</v>
      </c>
      <c r="AH1188" s="406">
        <f t="shared" si="18"/>
        <v>1154</v>
      </c>
      <c r="AI118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7.5496441451096546E-2</v>
      </c>
      <c r="AJ1188" s="257">
        <f>FME_Ranking1[[#This Row],[Addition check]]-FME_Ranking1[[#This Row],[Weighted Score Based on Normalized Reported Factors]]</f>
        <v>0</v>
      </c>
      <c r="AK1188" s="178">
        <f>_xlfn.RANK.EQ(AI1188,$AI$6:$AI$2341,0)+COUNTIF($AI$6:AI1188,AI1188)-1</f>
        <v>1158</v>
      </c>
    </row>
    <row r="1189" spans="1:37" x14ac:dyDescent="0.25">
      <c r="A1189" t="s">
        <v>9539</v>
      </c>
      <c r="B1189">
        <f>_xlfn.XLOOKUP(FME_Ranking1[[#This Row],[FME ID]],FME_Input[FME_ID],FME_Input[RFPG_NUM])</f>
        <v>12</v>
      </c>
      <c r="C1189" t="str">
        <f>_xlfn.XLOOKUP(FME_Ranking1[[#This Row],[FME ID]],FME_Input[FME_ID],FME_Input[FME_NAME])</f>
        <v>Damage Center 23-New Braunfels, Austin Hwy, Broadway Drain</v>
      </c>
      <c r="D1189" t="str">
        <f>_xlfn.XLOOKUP(FME_Ranking1[[#This Row],[FME ID]],FME_Input[FME_ID],FME_Input[DESCR])</f>
        <v>Reduce regional flooding and remove secure safe passage during 100 yr event. Utilizes a combined regional and local trunkline of 4'x4' and new outfall near Patterson Avenue.</v>
      </c>
      <c r="E1189" s="256">
        <f>_xlfn.XLOOKUP(FME_Ranking1[[#This Row],[FME ID]],FME_Input[FME_ID],FME_Input[FME_COST])</f>
        <v>55615580</v>
      </c>
      <c r="F1189" t="str">
        <f>_xlfn.XLOOKUP(FME_Ranking1[[#This Row],[FME ID]],FME_Input[FME_ID],FME_Input[EMER_NEED])</f>
        <v>No</v>
      </c>
      <c r="G1189">
        <f>IF(FME_Ranking!F1189="Yes",100,0)</f>
        <v>0</v>
      </c>
      <c r="H1189">
        <f>FME_Ranking1[[#This Row],[Emergency Need Score (Normalized, Unweighted)]]*$F$3</f>
        <v>0</v>
      </c>
      <c r="I1189" s="246">
        <f>_xlfn.XLOOKUP(FME_Ranking1[[#This Row],[FME ID]],FME_Input[FME_ID],FME_Input[STRUCT_100])</f>
        <v>127</v>
      </c>
      <c r="J1189" s="178">
        <f>(FME_Ranking1[[#This Row],[Structures 100 Raw]]/I$2)*100</f>
        <v>6.8007539733538971E-2</v>
      </c>
      <c r="K1189" s="178">
        <f>FME_Ranking1[[#This Row],[Structures 100  Score (Normalized, Unweighted)]]*$I$3</f>
        <v>1.0201130960030846E-2</v>
      </c>
      <c r="L1189" s="246">
        <f>_xlfn.XLOOKUP(FME_Ranking1[[#This Row],[FME ID]],FME_Input[FME_ID],FME_Input[RES_STRUCT100])</f>
        <v>70</v>
      </c>
      <c r="M1189" s="230">
        <f>(FME_Ranking1[[#This Row],[Res Structures Raw]]/L$2)*100</f>
        <v>4.9581391395503674E-2</v>
      </c>
      <c r="N1189" s="180">
        <f>FME_Ranking1[[#This Row],[Res Structures Score (Normalized, Unweighted)]]*$L$3</f>
        <v>4.9581391395503681E-3</v>
      </c>
      <c r="O1189" s="244">
        <f>_xlfn.XLOOKUP(FME_Ranking1[[#This Row],[FME ID]],FME_Input[FME_ID],FME_Input[POP100])</f>
        <v>1413</v>
      </c>
      <c r="P1189" s="178">
        <f>(FME_Ranking1[[#This Row],[Pop Raw]]/$O$2)*100</f>
        <v>0.14465631584012251</v>
      </c>
      <c r="Q1189" s="178">
        <f>FME_Ranking1[[#This Row],[Pop Score (Normalized, Unweighted)]]*$O$3</f>
        <v>2.1698447376018375E-2</v>
      </c>
      <c r="R1189" s="137">
        <f>_xlfn.XLOOKUP(FME_Ranking1[[#This Row],[FME ID]],FME_Input[FME_ID],FME_Input[CRITFAC100])</f>
        <v>0</v>
      </c>
      <c r="S1189" s="230">
        <f>(FME_Ranking1[[#This Row],[Critical Facilities Raw]]/$R$2)*100</f>
        <v>0</v>
      </c>
      <c r="T1189" s="180">
        <f>FME_Ranking1[[#This Row],[Critical Facilities Score (Normalized, Unweighted)]]*$R$3</f>
        <v>0</v>
      </c>
      <c r="U1189">
        <f>_xlfn.XLOOKUP(FME_Ranking1[[#This Row],[FME ID]],FME_Input[FME_ID],FME_Input[LWC])</f>
        <v>0</v>
      </c>
      <c r="V1189" s="178">
        <f>(FME_Ranking1[[#This Row],[LWC Raw]]/$U$2)*100</f>
        <v>0</v>
      </c>
      <c r="W1189" s="178">
        <f>FME_Ranking1[[#This Row],[LWC Score (Normalized, Unweighted)]]*$U$3</f>
        <v>0</v>
      </c>
      <c r="X1189" s="246">
        <f>_xlfn.XLOOKUP(FME_Ranking1[[#This Row],[FME ID]],FME_Input[FME_ID],FME_Input[ROADCLS])</f>
        <v>44</v>
      </c>
      <c r="Y1189" s="230">
        <f>(FME_Ranking1[[#This Row],[Closures Raw]]/$X$2)*100</f>
        <v>0.46262222689517402</v>
      </c>
      <c r="Z1189" s="180">
        <f>FME_Ranking1[[#This Row],[Closures Score (Normalized, Unweighted)]]*$X$3</f>
        <v>2.3131111344758704E-2</v>
      </c>
      <c r="AA1189" s="253">
        <f>_xlfn.XLOOKUP(FME_Ranking1[[#This Row],[FME ID]],FME_Input[FME_ID],FME_Input[ROAD_MILES100])</f>
        <v>5.4000000953674316</v>
      </c>
      <c r="AB1189" s="178">
        <f>(FME_Ranking1[[#This Row],[Miles Raw]]/$AA$2)*100</f>
        <v>7.1000315899221442E-2</v>
      </c>
      <c r="AC1189" s="178">
        <f>FME_Ranking1[[#This Row],[Miles Score (Normalized, Unweighted)]]*$AA$3</f>
        <v>7.1000315899221447E-3</v>
      </c>
      <c r="AD1189" s="255">
        <f>_xlfn.XLOOKUP(FME_Ranking1[[#This Row],[FME ID]],FME_Input[FME_ID],FME_Input[FARMACRE100])</f>
        <v>0</v>
      </c>
      <c r="AE1189" s="230">
        <f>(FME_Ranking1[[#This Row],[Ag Land Raw]]/$AD$2)*100</f>
        <v>0</v>
      </c>
      <c r="AF1189" s="231">
        <f>FME_Ranking1[[#This Row],[Ag Land Score (Normalized, Unweighted)]]*$AD$3</f>
        <v>0</v>
      </c>
      <c r="AG118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6.7088860410280435E-2</v>
      </c>
      <c r="AH1189" s="406">
        <f t="shared" si="18"/>
        <v>1204</v>
      </c>
      <c r="AI118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6.7088860410280435E-2</v>
      </c>
      <c r="AJ1189" s="257">
        <f>FME_Ranking1[[#This Row],[Addition check]]-FME_Ranking1[[#This Row],[Weighted Score Based on Normalized Reported Factors]]</f>
        <v>0</v>
      </c>
      <c r="AK1189" s="178">
        <f>_xlfn.RANK.EQ(AI1189,$AI$6:$AI$2341,0)+COUNTIF($AI$6:AI1189,AI1189)-1</f>
        <v>1204</v>
      </c>
    </row>
    <row r="1190" spans="1:37" x14ac:dyDescent="0.25">
      <c r="A1190" t="s">
        <v>4761</v>
      </c>
      <c r="B1190">
        <f>_xlfn.XLOOKUP(FME_Ranking1[[#This Row],[FME ID]],FME_Input[FME_ID],FME_Input[RFPG_NUM])</f>
        <v>3</v>
      </c>
      <c r="C1190" t="str">
        <f>_xlfn.XLOOKUP(FME_Ranking1[[#This Row],[FME ID]],FME_Input[FME_ID],FME_Input[FME_NAME])</f>
        <v>River Ridge Boulevard</v>
      </c>
      <c r="D1190" t="str">
        <f>_xlfn.XLOOKUP(FME_Ranking1[[#This Row],[FME ID]],FME_Input[FME_ID],FME_Input[DESCR])</f>
        <v>Study update - Storm Drain Improvements; Estimated construction cost of $6,148,800</v>
      </c>
      <c r="E1190" s="256">
        <f>_xlfn.XLOOKUP(FME_Ranking1[[#This Row],[FME ID]],FME_Input[FME_ID],FME_Input[FME_COST])</f>
        <v>307000</v>
      </c>
      <c r="F1190" t="str">
        <f>_xlfn.XLOOKUP(FME_Ranking1[[#This Row],[FME ID]],FME_Input[FME_ID],FME_Input[EMER_NEED])</f>
        <v>No</v>
      </c>
      <c r="G1190">
        <f>IF(FME_Ranking!F1190="Yes",100,0)</f>
        <v>0</v>
      </c>
      <c r="H1190">
        <f>FME_Ranking1[[#This Row],[Emergency Need Score (Normalized, Unweighted)]]*$F$3</f>
        <v>0</v>
      </c>
      <c r="I1190" s="246">
        <f>_xlfn.XLOOKUP(FME_Ranking1[[#This Row],[FME ID]],FME_Input[FME_ID],FME_Input[STRUCT_100])</f>
        <v>32</v>
      </c>
      <c r="J1190" s="178">
        <f>(FME_Ranking1[[#This Row],[Structures 100 Raw]]/I$2)*100</f>
        <v>1.7135758043096434E-2</v>
      </c>
      <c r="K1190" s="178">
        <f>FME_Ranking1[[#This Row],[Structures 100  Score (Normalized, Unweighted)]]*$I$3</f>
        <v>2.570363706464465E-3</v>
      </c>
      <c r="L1190" s="246">
        <f>_xlfn.XLOOKUP(FME_Ranking1[[#This Row],[FME ID]],FME_Input[FME_ID],FME_Input[RES_STRUCT100])</f>
        <v>19</v>
      </c>
      <c r="M1190" s="230">
        <f>(FME_Ranking1[[#This Row],[Res Structures Raw]]/L$2)*100</f>
        <v>1.3457806235922425E-2</v>
      </c>
      <c r="N1190" s="180">
        <f>FME_Ranking1[[#This Row],[Res Structures Score (Normalized, Unweighted)]]*$L$3</f>
        <v>1.3457806235922425E-3</v>
      </c>
      <c r="O1190" s="244">
        <f>_xlfn.XLOOKUP(FME_Ranking1[[#This Row],[FME ID]],FME_Input[FME_ID],FME_Input[POP100])</f>
        <v>599</v>
      </c>
      <c r="P1190" s="178">
        <f>(FME_Ranking1[[#This Row],[Pop Raw]]/$O$2)*100</f>
        <v>6.1322811881269208E-2</v>
      </c>
      <c r="Q1190" s="178">
        <f>FME_Ranking1[[#This Row],[Pop Score (Normalized, Unweighted)]]*$O$3</f>
        <v>9.1984217821903802E-3</v>
      </c>
      <c r="R1190" s="137">
        <f>_xlfn.XLOOKUP(FME_Ranking1[[#This Row],[FME ID]],FME_Input[FME_ID],FME_Input[CRITFAC100])</f>
        <v>0</v>
      </c>
      <c r="S1190" s="230">
        <f>(FME_Ranking1[[#This Row],[Critical Facilities Raw]]/$R$2)*100</f>
        <v>0</v>
      </c>
      <c r="T1190" s="180">
        <f>FME_Ranking1[[#This Row],[Critical Facilities Score (Normalized, Unweighted)]]*$R$3</f>
        <v>0</v>
      </c>
      <c r="U1190">
        <f>_xlfn.XLOOKUP(FME_Ranking1[[#This Row],[FME ID]],FME_Input[FME_ID],FME_Input[LWC])</f>
        <v>4</v>
      </c>
      <c r="V1190" s="178">
        <f>(FME_Ranking1[[#This Row],[LWC Raw]]/$U$2)*100</f>
        <v>0.23028209556706969</v>
      </c>
      <c r="W1190" s="178">
        <f>FME_Ranking1[[#This Row],[LWC Score (Normalized, Unweighted)]]*$U$3</f>
        <v>4.6056419113413939E-2</v>
      </c>
      <c r="X1190" s="246">
        <f>_xlfn.XLOOKUP(FME_Ranking1[[#This Row],[FME ID]],FME_Input[FME_ID],FME_Input[ROADCLS])</f>
        <v>0</v>
      </c>
      <c r="Y1190" s="230">
        <f>(FME_Ranking1[[#This Row],[Closures Raw]]/$X$2)*100</f>
        <v>0</v>
      </c>
      <c r="Z1190" s="180">
        <f>FME_Ranking1[[#This Row],[Closures Score (Normalized, Unweighted)]]*$X$3</f>
        <v>0</v>
      </c>
      <c r="AA1190" s="253">
        <f>_xlfn.XLOOKUP(FME_Ranking1[[#This Row],[FME ID]],FME_Input[FME_ID],FME_Input[ROAD_MILES100])</f>
        <v>6.2835578918457031</v>
      </c>
      <c r="AB1190" s="178">
        <f>(FME_Ranking1[[#This Row],[Miles Raw]]/$AA$2)*100</f>
        <v>8.2617516187605641E-2</v>
      </c>
      <c r="AC1190" s="178">
        <f>FME_Ranking1[[#This Row],[Miles Score (Normalized, Unweighted)]]*$AA$3</f>
        <v>8.2617516187605648E-3</v>
      </c>
      <c r="AD1190" s="255">
        <f>_xlfn.XLOOKUP(FME_Ranking1[[#This Row],[FME ID]],FME_Input[FME_ID],FME_Input[FARMACRE100])</f>
        <v>197.25230407714841</v>
      </c>
      <c r="AE1190" s="230">
        <f>(FME_Ranking1[[#This Row],[Ag Land Raw]]/$AD$2)*100</f>
        <v>8.1338020194746466E-3</v>
      </c>
      <c r="AF1190" s="231">
        <f>FME_Ranking1[[#This Row],[Ag Land Score (Normalized, Unweighted)]]*$AD$3</f>
        <v>4.0669010097373233E-4</v>
      </c>
      <c r="AG119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6.7839426945395326E-2</v>
      </c>
      <c r="AH1190" s="406">
        <f t="shared" si="18"/>
        <v>1203</v>
      </c>
      <c r="AI119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6.7839426945395326E-2</v>
      </c>
      <c r="AJ1190" s="257">
        <f>FME_Ranking1[[#This Row],[Addition check]]-FME_Ranking1[[#This Row],[Weighted Score Based on Normalized Reported Factors]]</f>
        <v>0</v>
      </c>
      <c r="AK1190" s="178">
        <f>_xlfn.RANK.EQ(AI1190,$AI$6:$AI$2341,0)+COUNTIF($AI$6:AI1190,AI1190)-1</f>
        <v>1203</v>
      </c>
    </row>
    <row r="1191" spans="1:37" x14ac:dyDescent="0.25">
      <c r="A1191" t="s">
        <v>7144</v>
      </c>
      <c r="B1191">
        <f>_xlfn.XLOOKUP(FME_Ranking1[[#This Row],[FME ID]],FME_Input[FME_ID],FME_Input[RFPG_NUM])</f>
        <v>7</v>
      </c>
      <c r="C1191" t="str">
        <f>_xlfn.XLOOKUP(FME_Ranking1[[#This Row],[FME ID]],FME_Input[FME_ID],FME_Input[FME_NAME])</f>
        <v>City of Breckenridge Buyout Program</v>
      </c>
      <c r="D1191" t="str">
        <f>_xlfn.XLOOKUP(FME_Ranking1[[#This Row],[FME ID]],FME_Input[FME_ID],FME_Input[DESCR])</f>
        <v>Acquire and demolish repetitive loss properties.</v>
      </c>
      <c r="E1191" s="256">
        <f>_xlfn.XLOOKUP(FME_Ranking1[[#This Row],[FME ID]],FME_Input[FME_ID],FME_Input[FME_COST])</f>
        <v>1000000</v>
      </c>
      <c r="F1191" t="str">
        <f>_xlfn.XLOOKUP(FME_Ranking1[[#This Row],[FME ID]],FME_Input[FME_ID],FME_Input[EMER_NEED])</f>
        <v>No</v>
      </c>
      <c r="G1191">
        <f>IF(FME_Ranking!F1191="Yes",100,0)</f>
        <v>0</v>
      </c>
      <c r="H1191">
        <f>FME_Ranking1[[#This Row],[Emergency Need Score (Normalized, Unweighted)]]*$F$3</f>
        <v>0</v>
      </c>
      <c r="I1191" s="246">
        <f>_xlfn.XLOOKUP(FME_Ranking1[[#This Row],[FME ID]],FME_Input[FME_ID],FME_Input[STRUCT_100])</f>
        <v>440</v>
      </c>
      <c r="J1191" s="178">
        <f>(FME_Ranking1[[#This Row],[Structures 100 Raw]]/I$2)*100</f>
        <v>0.23561667309257595</v>
      </c>
      <c r="K1191" s="178">
        <f>FME_Ranking1[[#This Row],[Structures 100  Score (Normalized, Unweighted)]]*$I$3</f>
        <v>3.5342500963886393E-2</v>
      </c>
      <c r="L1191" s="246">
        <f>_xlfn.XLOOKUP(FME_Ranking1[[#This Row],[FME ID]],FME_Input[FME_ID],FME_Input[RES_STRUCT100])</f>
        <v>98</v>
      </c>
      <c r="M1191" s="230">
        <f>(FME_Ranking1[[#This Row],[Res Structures Raw]]/L$2)*100</f>
        <v>6.9413947953705146E-2</v>
      </c>
      <c r="N1191" s="180">
        <f>FME_Ranking1[[#This Row],[Res Structures Score (Normalized, Unweighted)]]*$L$3</f>
        <v>6.9413947953705151E-3</v>
      </c>
      <c r="O1191" s="244">
        <f>_xlfn.XLOOKUP(FME_Ranking1[[#This Row],[FME ID]],FME_Input[FME_ID],FME_Input[POP100])</f>
        <v>562</v>
      </c>
      <c r="P1191" s="178">
        <f>(FME_Ranking1[[#This Row],[Pop Raw]]/$O$2)*100</f>
        <v>5.7534925337684964E-2</v>
      </c>
      <c r="Q1191" s="178">
        <f>FME_Ranking1[[#This Row],[Pop Score (Normalized, Unweighted)]]*$O$3</f>
        <v>8.6302388006527439E-3</v>
      </c>
      <c r="R1191" s="137">
        <f>_xlfn.XLOOKUP(FME_Ranking1[[#This Row],[FME ID]],FME_Input[FME_ID],FME_Input[CRITFAC100])</f>
        <v>1</v>
      </c>
      <c r="S1191" s="230">
        <f>(FME_Ranking1[[#This Row],[Critical Facilities Raw]]/$R$2)*100</f>
        <v>4.2881646655231559E-2</v>
      </c>
      <c r="T1191" s="180">
        <f>FME_Ranking1[[#This Row],[Critical Facilities Score (Normalized, Unweighted)]]*$R$3</f>
        <v>8.5763293310463125E-3</v>
      </c>
      <c r="U1191">
        <f>_xlfn.XLOOKUP(FME_Ranking1[[#This Row],[FME ID]],FME_Input[FME_ID],FME_Input[LWC])</f>
        <v>0</v>
      </c>
      <c r="V1191" s="178">
        <f>(FME_Ranking1[[#This Row],[LWC Raw]]/$U$2)*100</f>
        <v>0</v>
      </c>
      <c r="W1191" s="178">
        <f>FME_Ranking1[[#This Row],[LWC Score (Normalized, Unweighted)]]*$U$3</f>
        <v>0</v>
      </c>
      <c r="X1191" s="246">
        <f>_xlfn.XLOOKUP(FME_Ranking1[[#This Row],[FME ID]],FME_Input[FME_ID],FME_Input[ROADCLS])</f>
        <v>0</v>
      </c>
      <c r="Y1191" s="230">
        <f>(FME_Ranking1[[#This Row],[Closures Raw]]/$X$2)*100</f>
        <v>0</v>
      </c>
      <c r="Z1191" s="180">
        <f>FME_Ranking1[[#This Row],[Closures Score (Normalized, Unweighted)]]*$X$3</f>
        <v>0</v>
      </c>
      <c r="AA1191" s="253">
        <f>_xlfn.XLOOKUP(FME_Ranking1[[#This Row],[FME ID]],FME_Input[FME_ID],FME_Input[ROAD_MILES100])</f>
        <v>13.50722122192383</v>
      </c>
      <c r="AB1191" s="178">
        <f>(FME_Ranking1[[#This Row],[Miles Raw]]/$AA$2)*100</f>
        <v>0.17759573272970569</v>
      </c>
      <c r="AC1191" s="178">
        <f>FME_Ranking1[[#This Row],[Miles Score (Normalized, Unweighted)]]*$AA$3</f>
        <v>1.775957327297057E-2</v>
      </c>
      <c r="AD1191" s="255">
        <f>_xlfn.XLOOKUP(FME_Ranking1[[#This Row],[FME ID]],FME_Input[FME_ID],FME_Input[FARMACRE100])</f>
        <v>4.2006235122680664</v>
      </c>
      <c r="AE1191" s="230">
        <f>(FME_Ranking1[[#This Row],[Ag Land Raw]]/$AD$2)*100</f>
        <v>1.7321490953928442E-4</v>
      </c>
      <c r="AF1191" s="231">
        <f>FME_Ranking1[[#This Row],[Ag Land Score (Normalized, Unweighted)]]*$AD$3</f>
        <v>8.6607454769642218E-6</v>
      </c>
      <c r="AG119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7.7258697909403498E-2</v>
      </c>
      <c r="AH1191" s="406">
        <f t="shared" si="18"/>
        <v>1143</v>
      </c>
      <c r="AI119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7.7258697909403498E-2</v>
      </c>
      <c r="AJ1191" s="257">
        <f>FME_Ranking1[[#This Row],[Addition check]]-FME_Ranking1[[#This Row],[Weighted Score Based on Normalized Reported Factors]]</f>
        <v>0</v>
      </c>
      <c r="AK1191" s="178">
        <f>_xlfn.RANK.EQ(AI1191,$AI$6:$AI$2341,0)+COUNTIF($AI$6:AI1191,AI1191)-1</f>
        <v>1143</v>
      </c>
    </row>
    <row r="1192" spans="1:37" x14ac:dyDescent="0.25">
      <c r="A1192" t="s">
        <v>7151</v>
      </c>
      <c r="B1192">
        <f>_xlfn.XLOOKUP(FME_Ranking1[[#This Row],[FME ID]],FME_Input[FME_ID],FME_Input[RFPG_NUM])</f>
        <v>7</v>
      </c>
      <c r="C1192" t="str">
        <f>_xlfn.XLOOKUP(FME_Ranking1[[#This Row],[FME ID]],FME_Input[FME_ID],FME_Input[FME_NAME])</f>
        <v>City of Breckenridge Floodplain Open Space Program</v>
      </c>
      <c r="D1192" t="str">
        <f>_xlfn.XLOOKUP(FME_Ranking1[[#This Row],[FME ID]],FME_Input[FME_ID],FME_Input[DESCR])</f>
        <v>Acquire and preserve open spaces adjacent to floodplain areas. Protect floodplains in their natural state.</v>
      </c>
      <c r="E1192" s="256">
        <f>_xlfn.XLOOKUP(FME_Ranking1[[#This Row],[FME ID]],FME_Input[FME_ID],FME_Input[FME_COST])</f>
        <v>500000</v>
      </c>
      <c r="F1192" t="str">
        <f>_xlfn.XLOOKUP(FME_Ranking1[[#This Row],[FME ID]],FME_Input[FME_ID],FME_Input[EMER_NEED])</f>
        <v>No</v>
      </c>
      <c r="G1192">
        <f>IF(FME_Ranking!F1192="Yes",100,0)</f>
        <v>0</v>
      </c>
      <c r="H1192">
        <f>FME_Ranking1[[#This Row],[Emergency Need Score (Normalized, Unweighted)]]*$F$3</f>
        <v>0</v>
      </c>
      <c r="I1192" s="246">
        <f>_xlfn.XLOOKUP(FME_Ranking1[[#This Row],[FME ID]],FME_Input[FME_ID],FME_Input[STRUCT_100])</f>
        <v>440</v>
      </c>
      <c r="J1192" s="178">
        <f>(FME_Ranking1[[#This Row],[Structures 100 Raw]]/I$2)*100</f>
        <v>0.23561667309257595</v>
      </c>
      <c r="K1192" s="178">
        <f>FME_Ranking1[[#This Row],[Structures 100  Score (Normalized, Unweighted)]]*$I$3</f>
        <v>3.5342500963886393E-2</v>
      </c>
      <c r="L1192" s="246">
        <f>_xlfn.XLOOKUP(FME_Ranking1[[#This Row],[FME ID]],FME_Input[FME_ID],FME_Input[RES_STRUCT100])</f>
        <v>98</v>
      </c>
      <c r="M1192" s="230">
        <f>(FME_Ranking1[[#This Row],[Res Structures Raw]]/L$2)*100</f>
        <v>6.9413947953705146E-2</v>
      </c>
      <c r="N1192" s="180">
        <f>FME_Ranking1[[#This Row],[Res Structures Score (Normalized, Unweighted)]]*$L$3</f>
        <v>6.9413947953705151E-3</v>
      </c>
      <c r="O1192" s="244">
        <f>_xlfn.XLOOKUP(FME_Ranking1[[#This Row],[FME ID]],FME_Input[FME_ID],FME_Input[POP100])</f>
        <v>562</v>
      </c>
      <c r="P1192" s="178">
        <f>(FME_Ranking1[[#This Row],[Pop Raw]]/$O$2)*100</f>
        <v>5.7534925337684964E-2</v>
      </c>
      <c r="Q1192" s="178">
        <f>FME_Ranking1[[#This Row],[Pop Score (Normalized, Unweighted)]]*$O$3</f>
        <v>8.6302388006527439E-3</v>
      </c>
      <c r="R1192" s="137">
        <f>_xlfn.XLOOKUP(FME_Ranking1[[#This Row],[FME ID]],FME_Input[FME_ID],FME_Input[CRITFAC100])</f>
        <v>1</v>
      </c>
      <c r="S1192" s="230">
        <f>(FME_Ranking1[[#This Row],[Critical Facilities Raw]]/$R$2)*100</f>
        <v>4.2881646655231559E-2</v>
      </c>
      <c r="T1192" s="180">
        <f>FME_Ranking1[[#This Row],[Critical Facilities Score (Normalized, Unweighted)]]*$R$3</f>
        <v>8.5763293310463125E-3</v>
      </c>
      <c r="U1192">
        <f>_xlfn.XLOOKUP(FME_Ranking1[[#This Row],[FME ID]],FME_Input[FME_ID],FME_Input[LWC])</f>
        <v>0</v>
      </c>
      <c r="V1192" s="178">
        <f>(FME_Ranking1[[#This Row],[LWC Raw]]/$U$2)*100</f>
        <v>0</v>
      </c>
      <c r="W1192" s="178">
        <f>FME_Ranking1[[#This Row],[LWC Score (Normalized, Unweighted)]]*$U$3</f>
        <v>0</v>
      </c>
      <c r="X1192" s="246">
        <f>_xlfn.XLOOKUP(FME_Ranking1[[#This Row],[FME ID]],FME_Input[FME_ID],FME_Input[ROADCLS])</f>
        <v>0</v>
      </c>
      <c r="Y1192" s="230">
        <f>(FME_Ranking1[[#This Row],[Closures Raw]]/$X$2)*100</f>
        <v>0</v>
      </c>
      <c r="Z1192" s="180">
        <f>FME_Ranking1[[#This Row],[Closures Score (Normalized, Unweighted)]]*$X$3</f>
        <v>0</v>
      </c>
      <c r="AA1192" s="253">
        <f>_xlfn.XLOOKUP(FME_Ranking1[[#This Row],[FME ID]],FME_Input[FME_ID],FME_Input[ROAD_MILES100])</f>
        <v>13.50722122192383</v>
      </c>
      <c r="AB1192" s="178">
        <f>(FME_Ranking1[[#This Row],[Miles Raw]]/$AA$2)*100</f>
        <v>0.17759573272970569</v>
      </c>
      <c r="AC1192" s="178">
        <f>FME_Ranking1[[#This Row],[Miles Score (Normalized, Unweighted)]]*$AA$3</f>
        <v>1.775957327297057E-2</v>
      </c>
      <c r="AD1192" s="255">
        <f>_xlfn.XLOOKUP(FME_Ranking1[[#This Row],[FME ID]],FME_Input[FME_ID],FME_Input[FARMACRE100])</f>
        <v>4.2006235122680664</v>
      </c>
      <c r="AE1192" s="230">
        <f>(FME_Ranking1[[#This Row],[Ag Land Raw]]/$AD$2)*100</f>
        <v>1.7321490953928442E-4</v>
      </c>
      <c r="AF1192" s="231">
        <f>FME_Ranking1[[#This Row],[Ag Land Score (Normalized, Unweighted)]]*$AD$3</f>
        <v>8.6607454769642218E-6</v>
      </c>
      <c r="AG119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7.7258697909403498E-2</v>
      </c>
      <c r="AH1192" s="406">
        <f t="shared" si="18"/>
        <v>1143</v>
      </c>
      <c r="AI119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7.7258697909403498E-2</v>
      </c>
      <c r="AJ1192" s="257">
        <f>FME_Ranking1[[#This Row],[Addition check]]-FME_Ranking1[[#This Row],[Weighted Score Based on Normalized Reported Factors]]</f>
        <v>0</v>
      </c>
      <c r="AK1192" s="178">
        <f>_xlfn.RANK.EQ(AI1192,$AI$6:$AI$2341,0)+COUNTIF($AI$6:AI1192,AI1192)-1</f>
        <v>1144</v>
      </c>
    </row>
    <row r="1193" spans="1:37" x14ac:dyDescent="0.25">
      <c r="A1193" t="s">
        <v>7298</v>
      </c>
      <c r="B1193">
        <f>_xlfn.XLOOKUP(FME_Ranking1[[#This Row],[FME ID]],FME_Input[FME_ID],FME_Input[RFPG_NUM])</f>
        <v>7</v>
      </c>
      <c r="C1193" t="str">
        <f>_xlfn.XLOOKUP(FME_Ranking1[[#This Row],[FME ID]],FME_Input[FME_ID],FME_Input[FME_NAME])</f>
        <v>City of Breckenridge New Ordinance - Detention</v>
      </c>
      <c r="D1193" t="str">
        <f>_xlfn.XLOOKUP(FME_Ranking1[[#This Row],[FME ID]],FME_Input[FME_ID],FME_Input[DESCR])</f>
        <v>Adopt on-site retention basin program in conjunction with development to address excessive stormwater / firefighting water source.</v>
      </c>
      <c r="E1193" s="256">
        <f>_xlfn.XLOOKUP(FME_Ranking1[[#This Row],[FME ID]],FME_Input[FME_ID],FME_Input[FME_COST])</f>
        <v>100000</v>
      </c>
      <c r="F1193" t="str">
        <f>_xlfn.XLOOKUP(FME_Ranking1[[#This Row],[FME ID]],FME_Input[FME_ID],FME_Input[EMER_NEED])</f>
        <v>No</v>
      </c>
      <c r="G1193">
        <f>IF(FME_Ranking!F1193="Yes",100,0)</f>
        <v>0</v>
      </c>
      <c r="H1193">
        <f>FME_Ranking1[[#This Row],[Emergency Need Score (Normalized, Unweighted)]]*$F$3</f>
        <v>0</v>
      </c>
      <c r="I1193" s="246">
        <f>_xlfn.XLOOKUP(FME_Ranking1[[#This Row],[FME ID]],FME_Input[FME_ID],FME_Input[STRUCT_100])</f>
        <v>440</v>
      </c>
      <c r="J1193" s="178">
        <f>(FME_Ranking1[[#This Row],[Structures 100 Raw]]/I$2)*100</f>
        <v>0.23561667309257595</v>
      </c>
      <c r="K1193" s="178">
        <f>FME_Ranking1[[#This Row],[Structures 100  Score (Normalized, Unweighted)]]*$I$3</f>
        <v>3.5342500963886393E-2</v>
      </c>
      <c r="L1193" s="246">
        <f>_xlfn.XLOOKUP(FME_Ranking1[[#This Row],[FME ID]],FME_Input[FME_ID],FME_Input[RES_STRUCT100])</f>
        <v>98</v>
      </c>
      <c r="M1193" s="230">
        <f>(FME_Ranking1[[#This Row],[Res Structures Raw]]/L$2)*100</f>
        <v>6.9413947953705146E-2</v>
      </c>
      <c r="N1193" s="180">
        <f>FME_Ranking1[[#This Row],[Res Structures Score (Normalized, Unweighted)]]*$L$3</f>
        <v>6.9413947953705151E-3</v>
      </c>
      <c r="O1193" s="244">
        <f>_xlfn.XLOOKUP(FME_Ranking1[[#This Row],[FME ID]],FME_Input[FME_ID],FME_Input[POP100])</f>
        <v>562</v>
      </c>
      <c r="P1193" s="178">
        <f>(FME_Ranking1[[#This Row],[Pop Raw]]/$O$2)*100</f>
        <v>5.7534925337684964E-2</v>
      </c>
      <c r="Q1193" s="178">
        <f>FME_Ranking1[[#This Row],[Pop Score (Normalized, Unweighted)]]*$O$3</f>
        <v>8.6302388006527439E-3</v>
      </c>
      <c r="R1193" s="137">
        <f>_xlfn.XLOOKUP(FME_Ranking1[[#This Row],[FME ID]],FME_Input[FME_ID],FME_Input[CRITFAC100])</f>
        <v>1</v>
      </c>
      <c r="S1193" s="230">
        <f>(FME_Ranking1[[#This Row],[Critical Facilities Raw]]/$R$2)*100</f>
        <v>4.2881646655231559E-2</v>
      </c>
      <c r="T1193" s="180">
        <f>FME_Ranking1[[#This Row],[Critical Facilities Score (Normalized, Unweighted)]]*$R$3</f>
        <v>8.5763293310463125E-3</v>
      </c>
      <c r="U1193">
        <f>_xlfn.XLOOKUP(FME_Ranking1[[#This Row],[FME ID]],FME_Input[FME_ID],FME_Input[LWC])</f>
        <v>0</v>
      </c>
      <c r="V1193" s="178">
        <f>(FME_Ranking1[[#This Row],[LWC Raw]]/$U$2)*100</f>
        <v>0</v>
      </c>
      <c r="W1193" s="178">
        <f>FME_Ranking1[[#This Row],[LWC Score (Normalized, Unweighted)]]*$U$3</f>
        <v>0</v>
      </c>
      <c r="X1193" s="246">
        <f>_xlfn.XLOOKUP(FME_Ranking1[[#This Row],[FME ID]],FME_Input[FME_ID],FME_Input[ROADCLS])</f>
        <v>0</v>
      </c>
      <c r="Y1193" s="230">
        <f>(FME_Ranking1[[#This Row],[Closures Raw]]/$X$2)*100</f>
        <v>0</v>
      </c>
      <c r="Z1193" s="180">
        <f>FME_Ranking1[[#This Row],[Closures Score (Normalized, Unweighted)]]*$X$3</f>
        <v>0</v>
      </c>
      <c r="AA1193" s="253">
        <f>_xlfn.XLOOKUP(FME_Ranking1[[#This Row],[FME ID]],FME_Input[FME_ID],FME_Input[ROAD_MILES100])</f>
        <v>13.50722122192383</v>
      </c>
      <c r="AB1193" s="178">
        <f>(FME_Ranking1[[#This Row],[Miles Raw]]/$AA$2)*100</f>
        <v>0.17759573272970569</v>
      </c>
      <c r="AC1193" s="178">
        <f>FME_Ranking1[[#This Row],[Miles Score (Normalized, Unweighted)]]*$AA$3</f>
        <v>1.775957327297057E-2</v>
      </c>
      <c r="AD1193" s="255">
        <f>_xlfn.XLOOKUP(FME_Ranking1[[#This Row],[FME ID]],FME_Input[FME_ID],FME_Input[FARMACRE100])</f>
        <v>4.2006235122680664</v>
      </c>
      <c r="AE1193" s="230">
        <f>(FME_Ranking1[[#This Row],[Ag Land Raw]]/$AD$2)*100</f>
        <v>1.7321490953928442E-4</v>
      </c>
      <c r="AF1193" s="231">
        <f>FME_Ranking1[[#This Row],[Ag Land Score (Normalized, Unweighted)]]*$AD$3</f>
        <v>8.6607454769642218E-6</v>
      </c>
      <c r="AG119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7.7258697909403498E-2</v>
      </c>
      <c r="AH1193" s="406">
        <f t="shared" si="18"/>
        <v>1143</v>
      </c>
      <c r="AI119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7.7258697909403498E-2</v>
      </c>
      <c r="AJ1193" s="257">
        <f>FME_Ranking1[[#This Row],[Addition check]]-FME_Ranking1[[#This Row],[Weighted Score Based on Normalized Reported Factors]]</f>
        <v>0</v>
      </c>
      <c r="AK1193" s="178">
        <f>_xlfn.RANK.EQ(AI1193,$AI$6:$AI$2341,0)+COUNTIF($AI$6:AI1193,AI1193)-1</f>
        <v>1145</v>
      </c>
    </row>
    <row r="1194" spans="1:37" x14ac:dyDescent="0.25">
      <c r="A1194" t="s">
        <v>4430</v>
      </c>
      <c r="B1194">
        <f>_xlfn.XLOOKUP(FME_Ranking1[[#This Row],[FME ID]],FME_Input[FME_ID],FME_Input[RFPG_NUM])</f>
        <v>3</v>
      </c>
      <c r="C1194" t="str">
        <f>_xlfn.XLOOKUP(FME_Ranking1[[#This Row],[FME ID]],FME_Input[FME_ID],FME_Input[FME_NAME])</f>
        <v>Pecan Creek Channelization Study</v>
      </c>
      <c r="D1194" t="str">
        <f>_xlfn.XLOOKUP(FME_Ranking1[[#This Row],[FME ID]],FME_Input[FME_ID],FME_Input[DESCR])</f>
        <v>Evaluate channelization project for Pecan Creek to reduce flooding.</v>
      </c>
      <c r="E1194" s="256">
        <f>_xlfn.XLOOKUP(FME_Ranking1[[#This Row],[FME ID]],FME_Input[FME_ID],FME_Input[FME_COST])</f>
        <v>100000</v>
      </c>
      <c r="F1194" t="str">
        <f>_xlfn.XLOOKUP(FME_Ranking1[[#This Row],[FME ID]],FME_Input[FME_ID],FME_Input[EMER_NEED])</f>
        <v>No</v>
      </c>
      <c r="G1194">
        <f>IF(FME_Ranking!F1194="Yes",100,0)</f>
        <v>0</v>
      </c>
      <c r="H1194">
        <f>FME_Ranking1[[#This Row],[Emergency Need Score (Normalized, Unweighted)]]*$F$3</f>
        <v>0</v>
      </c>
      <c r="I1194" s="246">
        <f>_xlfn.XLOOKUP(FME_Ranking1[[#This Row],[FME ID]],FME_Input[FME_ID],FME_Input[STRUCT_100])</f>
        <v>5</v>
      </c>
      <c r="J1194" s="178">
        <f>(FME_Ranking1[[#This Row],[Structures 100 Raw]]/I$2)*100</f>
        <v>2.6774621942338172E-3</v>
      </c>
      <c r="K1194" s="178">
        <f>FME_Ranking1[[#This Row],[Structures 100  Score (Normalized, Unweighted)]]*$I$3</f>
        <v>4.0161932913507258E-4</v>
      </c>
      <c r="L1194" s="246">
        <f>_xlfn.XLOOKUP(FME_Ranking1[[#This Row],[FME ID]],FME_Input[FME_ID],FME_Input[RES_STRUCT100])</f>
        <v>1</v>
      </c>
      <c r="M1194" s="230">
        <f>(FME_Ranking1[[#This Row],[Res Structures Raw]]/L$2)*100</f>
        <v>7.0830559136433825E-4</v>
      </c>
      <c r="N1194" s="180">
        <f>FME_Ranking1[[#This Row],[Res Structures Score (Normalized, Unweighted)]]*$L$3</f>
        <v>7.0830559136433833E-5</v>
      </c>
      <c r="O1194" s="244">
        <f>_xlfn.XLOOKUP(FME_Ranking1[[#This Row],[FME ID]],FME_Input[FME_ID],FME_Input[POP100])</f>
        <v>2</v>
      </c>
      <c r="P1194" s="178">
        <f>(FME_Ranking1[[#This Row],[Pop Raw]]/$O$2)*100</f>
        <v>2.0475062397752657E-4</v>
      </c>
      <c r="Q1194" s="178">
        <f>FME_Ranking1[[#This Row],[Pop Score (Normalized, Unweighted)]]*$O$3</f>
        <v>3.0712593596628984E-5</v>
      </c>
      <c r="R1194" s="137">
        <f>_xlfn.XLOOKUP(FME_Ranking1[[#This Row],[FME ID]],FME_Input[FME_ID],FME_Input[CRITFAC100])</f>
        <v>0</v>
      </c>
      <c r="S1194" s="230">
        <f>(FME_Ranking1[[#This Row],[Critical Facilities Raw]]/$R$2)*100</f>
        <v>0</v>
      </c>
      <c r="T1194" s="180">
        <f>FME_Ranking1[[#This Row],[Critical Facilities Score (Normalized, Unweighted)]]*$R$3</f>
        <v>0</v>
      </c>
      <c r="U1194">
        <f>_xlfn.XLOOKUP(FME_Ranking1[[#This Row],[FME ID]],FME_Input[FME_ID],FME_Input[LWC])</f>
        <v>5</v>
      </c>
      <c r="V1194" s="178">
        <f>(FME_Ranking1[[#This Row],[LWC Raw]]/$U$2)*100</f>
        <v>0.28785261945883706</v>
      </c>
      <c r="W1194" s="178">
        <f>FME_Ranking1[[#This Row],[LWC Score (Normalized, Unweighted)]]*$U$3</f>
        <v>5.7570523891767415E-2</v>
      </c>
      <c r="X1194" s="246">
        <f>_xlfn.XLOOKUP(FME_Ranking1[[#This Row],[FME ID]],FME_Input[FME_ID],FME_Input[ROADCLS])</f>
        <v>0</v>
      </c>
      <c r="Y1194" s="230">
        <f>(FME_Ranking1[[#This Row],[Closures Raw]]/$X$2)*100</f>
        <v>0</v>
      </c>
      <c r="Z1194" s="180">
        <f>FME_Ranking1[[#This Row],[Closures Score (Normalized, Unweighted)]]*$X$3</f>
        <v>0</v>
      </c>
      <c r="AA1194" s="253">
        <f>_xlfn.XLOOKUP(FME_Ranking1[[#This Row],[FME ID]],FME_Input[FME_ID],FME_Input[ROAD_MILES100])</f>
        <v>2.0909700393676758</v>
      </c>
      <c r="AB1194" s="178">
        <f>(FME_Ranking1[[#This Row],[Miles Raw]]/$AA$2)*100</f>
        <v>2.7492505686856079E-2</v>
      </c>
      <c r="AC1194" s="178">
        <f>FME_Ranking1[[#This Row],[Miles Score (Normalized, Unweighted)]]*$AA$3</f>
        <v>2.7492505686856081E-3</v>
      </c>
      <c r="AD1194" s="255">
        <f>_xlfn.XLOOKUP(FME_Ranking1[[#This Row],[FME ID]],FME_Input[FME_ID],FME_Input[FARMACRE100])</f>
        <v>306.13079833984381</v>
      </c>
      <c r="AE1194" s="230">
        <f>(FME_Ranking1[[#This Row],[Ag Land Raw]]/$AD$2)*100</f>
        <v>1.2623463727886938E-2</v>
      </c>
      <c r="AF1194" s="231">
        <f>FME_Ranking1[[#This Row],[Ag Land Score (Normalized, Unweighted)]]*$AD$3</f>
        <v>6.3117318639434696E-4</v>
      </c>
      <c r="AG119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6.145411012871551E-2</v>
      </c>
      <c r="AH1194" s="406">
        <f t="shared" si="18"/>
        <v>1236</v>
      </c>
      <c r="AI119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6.145411012871551E-2</v>
      </c>
      <c r="AJ1194" s="257">
        <f>FME_Ranking1[[#This Row],[Addition check]]-FME_Ranking1[[#This Row],[Weighted Score Based on Normalized Reported Factors]]</f>
        <v>0</v>
      </c>
      <c r="AK1194" s="178">
        <f>_xlfn.RANK.EQ(AI1194,$AI$6:$AI$2341,0)+COUNTIF($AI$6:AI1194,AI1194)-1</f>
        <v>1236</v>
      </c>
    </row>
    <row r="1195" spans="1:37" x14ac:dyDescent="0.25">
      <c r="A1195" t="s">
        <v>6458</v>
      </c>
      <c r="B1195">
        <f>_xlfn.XLOOKUP(FME_Ranking1[[#This Row],[FME ID]],FME_Input[FME_ID],FME_Input[RFPG_NUM])</f>
        <v>5</v>
      </c>
      <c r="C1195" t="str">
        <f>_xlfn.XLOOKUP(FME_Ranking1[[#This Row],[FME ID]],FME_Input[FME_ID],FME_Input[FME_NAME])</f>
        <v>Colonial Outfall Ditch Culvert Improvements</v>
      </c>
      <c r="D1195" t="str">
        <f>_xlfn.XLOOKUP(FME_Ranking1[[#This Row],[FME ID]],FME_Input[FME_ID],FME_Input[DESCR])</f>
        <v>H&amp;H Study to analyze most efficient alternatives to install new culverts along FM 1442 (Bridge City) at Colonial Outfall Ditch.</v>
      </c>
      <c r="E1195" s="256">
        <f>_xlfn.XLOOKUP(FME_Ranking1[[#This Row],[FME ID]],FME_Input[FME_ID],FME_Input[FME_COST])</f>
        <v>200000</v>
      </c>
      <c r="F1195" t="str">
        <f>_xlfn.XLOOKUP(FME_Ranking1[[#This Row],[FME ID]],FME_Input[FME_ID],FME_Input[EMER_NEED])</f>
        <v>Yes</v>
      </c>
      <c r="G1195">
        <f>IF(FME_Ranking!F1195="Yes",100,0)</f>
        <v>100</v>
      </c>
      <c r="H1195">
        <f>FME_Ranking1[[#This Row],[Emergency Need Score (Normalized, Unweighted)]]*$F$3</f>
        <v>0</v>
      </c>
      <c r="I1195" s="246">
        <f>_xlfn.XLOOKUP(FME_Ranking1[[#This Row],[FME ID]],FME_Input[FME_ID],FME_Input[STRUCT_100])</f>
        <v>188</v>
      </c>
      <c r="J1195" s="178">
        <f>(FME_Ranking1[[#This Row],[Structures 100 Raw]]/I$2)*100</f>
        <v>0.10067257850319153</v>
      </c>
      <c r="K1195" s="178">
        <f>FME_Ranking1[[#This Row],[Structures 100  Score (Normalized, Unweighted)]]*$I$3</f>
        <v>1.5100886775478729E-2</v>
      </c>
      <c r="L1195" s="246">
        <f>_xlfn.XLOOKUP(FME_Ranking1[[#This Row],[FME ID]],FME_Input[FME_ID],FME_Input[RES_STRUCT100])</f>
        <v>180</v>
      </c>
      <c r="M1195" s="230">
        <f>(FME_Ranking1[[#This Row],[Res Structures Raw]]/L$2)*100</f>
        <v>0.1274950064455809</v>
      </c>
      <c r="N1195" s="180">
        <f>FME_Ranking1[[#This Row],[Res Structures Score (Normalized, Unweighted)]]*$L$3</f>
        <v>1.2749500644558091E-2</v>
      </c>
      <c r="O1195" s="244">
        <f>_xlfn.XLOOKUP(FME_Ranking1[[#This Row],[FME ID]],FME_Input[FME_ID],FME_Input[POP100])</f>
        <v>1217</v>
      </c>
      <c r="P1195" s="178">
        <f>(FME_Ranking1[[#This Row],[Pop Raw]]/$O$2)*100</f>
        <v>0.12459075469032491</v>
      </c>
      <c r="Q1195" s="178">
        <f>FME_Ranking1[[#This Row],[Pop Score (Normalized, Unweighted)]]*$O$3</f>
        <v>1.8688613203548737E-2</v>
      </c>
      <c r="R1195" s="137">
        <f>_xlfn.XLOOKUP(FME_Ranking1[[#This Row],[FME ID]],FME_Input[FME_ID],FME_Input[CRITFAC100])</f>
        <v>0</v>
      </c>
      <c r="S1195" s="230">
        <f>(FME_Ranking1[[#This Row],[Critical Facilities Raw]]/$R$2)*100</f>
        <v>0</v>
      </c>
      <c r="T1195" s="180">
        <f>FME_Ranking1[[#This Row],[Critical Facilities Score (Normalized, Unweighted)]]*$R$3</f>
        <v>0</v>
      </c>
      <c r="U1195">
        <f>_xlfn.XLOOKUP(FME_Ranking1[[#This Row],[FME ID]],FME_Input[FME_ID],FME_Input[LWC])</f>
        <v>1</v>
      </c>
      <c r="V1195" s="178">
        <f>(FME_Ranking1[[#This Row],[LWC Raw]]/$U$2)*100</f>
        <v>5.7570523891767422E-2</v>
      </c>
      <c r="W1195" s="178">
        <f>FME_Ranking1[[#This Row],[LWC Score (Normalized, Unweighted)]]*$U$3</f>
        <v>1.1514104778353485E-2</v>
      </c>
      <c r="X1195" s="246">
        <f>_xlfn.XLOOKUP(FME_Ranking1[[#This Row],[FME ID]],FME_Input[FME_ID],FME_Input[ROADCLS])</f>
        <v>1</v>
      </c>
      <c r="Y1195" s="230">
        <f>(FME_Ranking1[[#This Row],[Closures Raw]]/$X$2)*100</f>
        <v>1.0514141520344864E-2</v>
      </c>
      <c r="Z1195" s="180">
        <f>FME_Ranking1[[#This Row],[Closures Score (Normalized, Unweighted)]]*$X$3</f>
        <v>5.2570707601724321E-4</v>
      </c>
      <c r="AA1195" s="253">
        <f>_xlfn.XLOOKUP(FME_Ranking1[[#This Row],[FME ID]],FME_Input[FME_ID],FME_Input[ROAD_MILES100])</f>
        <v>4.9048876762390137</v>
      </c>
      <c r="AB1195" s="178">
        <f>(FME_Ranking1[[#This Row],[Miles Raw]]/$AA$2)*100</f>
        <v>6.449047561349576E-2</v>
      </c>
      <c r="AC1195" s="178">
        <f>FME_Ranking1[[#This Row],[Miles Score (Normalized, Unweighted)]]*$AA$3</f>
        <v>6.4490475613495765E-3</v>
      </c>
      <c r="AD1195" s="255">
        <f>_xlfn.XLOOKUP(FME_Ranking1[[#This Row],[FME ID]],FME_Input[FME_ID],FME_Input[FARMACRE100])</f>
        <v>0.97369468212127686</v>
      </c>
      <c r="AE1195" s="230">
        <f>(FME_Ranking1[[#This Row],[Ag Land Raw]]/$AD$2)*100</f>
        <v>4.015080994284455E-5</v>
      </c>
      <c r="AF1195" s="231">
        <f>FME_Ranking1[[#This Row],[Ag Land Score (Normalized, Unweighted)]]*$AD$3</f>
        <v>2.0075404971422275E-6</v>
      </c>
      <c r="AG119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6.5029867579803002E-2</v>
      </c>
      <c r="AH1195" s="406">
        <f t="shared" si="18"/>
        <v>1218</v>
      </c>
      <c r="AI119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6.5029867579803002E-2</v>
      </c>
      <c r="AJ1195" s="257">
        <f>FME_Ranking1[[#This Row],[Addition check]]-FME_Ranking1[[#This Row],[Weighted Score Based on Normalized Reported Factors]]</f>
        <v>0</v>
      </c>
      <c r="AK1195" s="178">
        <f>_xlfn.RANK.EQ(AI1195,$AI$6:$AI$2341,0)+COUNTIF($AI$6:AI1195,AI1195)-1</f>
        <v>1218</v>
      </c>
    </row>
    <row r="1196" spans="1:37" x14ac:dyDescent="0.25">
      <c r="A1196" t="s">
        <v>8733</v>
      </c>
      <c r="B1196">
        <f>_xlfn.XLOOKUP(FME_Ranking1[[#This Row],[FME ID]],FME_Input[FME_ID],FME_Input[RFPG_NUM])</f>
        <v>11</v>
      </c>
      <c r="C1196" t="str">
        <f>_xlfn.XLOOKUP(FME_Ranking1[[#This Row],[FME ID]],FME_Input[FME_ID],FME_Input[FME_NAME])</f>
        <v>City of New Braunfels - Box Culvert Installation to Reduce Flood Risk on Blieders Creek, Comal River and Landa Park Project Planning</v>
      </c>
      <c r="D1196" t="str">
        <f>_xlfn.XLOOKUP(FME_Ranking1[[#This Row],[FME ID]],FME_Input[FME_ID],FME_Input[DESCR])</f>
        <v>Project planning for proposed drainage improvements project to reduce flooding in the Blieders Creek and German Creek watersheds by conveying flows to the Guadalupe River. The project is also intended to relieve flooding in the Landa Park area.</v>
      </c>
      <c r="E1196" s="256">
        <f>_xlfn.XLOOKUP(FME_Ranking1[[#This Row],[FME ID]],FME_Input[FME_ID],FME_Input[FME_COST])</f>
        <v>878000</v>
      </c>
      <c r="F1196" t="str">
        <f>_xlfn.XLOOKUP(FME_Ranking1[[#This Row],[FME ID]],FME_Input[FME_ID],FME_Input[EMER_NEED])</f>
        <v>No</v>
      </c>
      <c r="G1196">
        <f>IF(FME_Ranking!F1196="Yes",100,0)</f>
        <v>0</v>
      </c>
      <c r="H1196">
        <f>FME_Ranking1[[#This Row],[Emergency Need Score (Normalized, Unweighted)]]*$F$3</f>
        <v>0</v>
      </c>
      <c r="I1196" s="246">
        <f>_xlfn.XLOOKUP(FME_Ranking1[[#This Row],[FME ID]],FME_Input[FME_ID],FME_Input[STRUCT_100])</f>
        <v>60</v>
      </c>
      <c r="J1196" s="178">
        <f>(FME_Ranking1[[#This Row],[Structures 100 Raw]]/I$2)*100</f>
        <v>3.2129546330805808E-2</v>
      </c>
      <c r="K1196" s="178">
        <f>FME_Ranking1[[#This Row],[Structures 100  Score (Normalized, Unweighted)]]*$I$3</f>
        <v>4.8194319496208714E-3</v>
      </c>
      <c r="L1196" s="246">
        <f>_xlfn.XLOOKUP(FME_Ranking1[[#This Row],[FME ID]],FME_Input[FME_ID],FME_Input[RES_STRUCT100])</f>
        <v>30</v>
      </c>
      <c r="M1196" s="230">
        <f>(FME_Ranking1[[#This Row],[Res Structures Raw]]/L$2)*100</f>
        <v>2.1249167740930146E-2</v>
      </c>
      <c r="N1196" s="180">
        <f>FME_Ranking1[[#This Row],[Res Structures Score (Normalized, Unweighted)]]*$L$3</f>
        <v>2.1249167740930146E-3</v>
      </c>
      <c r="O1196" s="244">
        <f>_xlfn.XLOOKUP(FME_Ranking1[[#This Row],[FME ID]],FME_Input[FME_ID],FME_Input[POP100])</f>
        <v>353</v>
      </c>
      <c r="P1196" s="178">
        <f>(FME_Ranking1[[#This Row],[Pop Raw]]/$O$2)*100</f>
        <v>3.6138485132033438E-2</v>
      </c>
      <c r="Q1196" s="178">
        <f>FME_Ranking1[[#This Row],[Pop Score (Normalized, Unweighted)]]*$O$3</f>
        <v>5.4207727698050157E-3</v>
      </c>
      <c r="R1196" s="137">
        <f>_xlfn.XLOOKUP(FME_Ranking1[[#This Row],[FME ID]],FME_Input[FME_ID],FME_Input[CRITFAC100])</f>
        <v>0</v>
      </c>
      <c r="S1196" s="230">
        <f>(FME_Ranking1[[#This Row],[Critical Facilities Raw]]/$R$2)*100</f>
        <v>0</v>
      </c>
      <c r="T1196" s="180">
        <f>FME_Ranking1[[#This Row],[Critical Facilities Score (Normalized, Unweighted)]]*$R$3</f>
        <v>0</v>
      </c>
      <c r="U1196">
        <f>_xlfn.XLOOKUP(FME_Ranking1[[#This Row],[FME ID]],FME_Input[FME_ID],FME_Input[LWC])</f>
        <v>4</v>
      </c>
      <c r="V1196" s="178">
        <f>(FME_Ranking1[[#This Row],[LWC Raw]]/$U$2)*100</f>
        <v>0.23028209556706969</v>
      </c>
      <c r="W1196" s="178">
        <f>FME_Ranking1[[#This Row],[LWC Score (Normalized, Unweighted)]]*$U$3</f>
        <v>4.6056419113413939E-2</v>
      </c>
      <c r="X1196" s="246">
        <f>_xlfn.XLOOKUP(FME_Ranking1[[#This Row],[FME ID]],FME_Input[FME_ID],FME_Input[ROADCLS])</f>
        <v>0</v>
      </c>
      <c r="Y1196" s="230">
        <f>(FME_Ranking1[[#This Row],[Closures Raw]]/$X$2)*100</f>
        <v>0</v>
      </c>
      <c r="Z1196" s="180">
        <f>FME_Ranking1[[#This Row],[Closures Score (Normalized, Unweighted)]]*$X$3</f>
        <v>0</v>
      </c>
      <c r="AA1196" s="253">
        <f>_xlfn.XLOOKUP(FME_Ranking1[[#This Row],[FME ID]],FME_Input[FME_ID],FME_Input[ROAD_MILES100])</f>
        <v>0.99896025657653809</v>
      </c>
      <c r="AB1196" s="178">
        <f>(FME_Ranking1[[#This Row],[Miles Raw]]/$AA$2)*100</f>
        <v>1.3134535654647143E-2</v>
      </c>
      <c r="AC1196" s="178">
        <f>FME_Ranking1[[#This Row],[Miles Score (Normalized, Unweighted)]]*$AA$3</f>
        <v>1.3134535654647143E-3</v>
      </c>
      <c r="AD1196" s="255">
        <f>_xlfn.XLOOKUP(FME_Ranking1[[#This Row],[FME ID]],FME_Input[FME_ID],FME_Input[FARMACRE100])</f>
        <v>5.1451897621154794</v>
      </c>
      <c r="AE1196" s="230">
        <f>(FME_Ranking1[[#This Row],[Ag Land Raw]]/$AD$2)*100</f>
        <v>2.1216459332868936E-4</v>
      </c>
      <c r="AF1196" s="231">
        <f>FME_Ranking1[[#This Row],[Ag Land Score (Normalized, Unweighted)]]*$AD$3</f>
        <v>1.0608229666434468E-5</v>
      </c>
      <c r="AG119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5.9745602402063995E-2</v>
      </c>
      <c r="AH1196" s="406">
        <f t="shared" si="18"/>
        <v>1244</v>
      </c>
      <c r="AI119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5.9745602402063995E-2</v>
      </c>
      <c r="AJ1196" s="257">
        <f>FME_Ranking1[[#This Row],[Addition check]]-FME_Ranking1[[#This Row],[Weighted Score Based on Normalized Reported Factors]]</f>
        <v>0</v>
      </c>
      <c r="AK1196" s="178">
        <f>_xlfn.RANK.EQ(AI1196,$AI$6:$AI$2341,0)+COUNTIF($AI$6:AI1196,AI1196)-1</f>
        <v>1244</v>
      </c>
    </row>
    <row r="1197" spans="1:37" x14ac:dyDescent="0.25">
      <c r="A1197" t="s">
        <v>4391</v>
      </c>
      <c r="B1197">
        <f>_xlfn.XLOOKUP(FME_Ranking1[[#This Row],[FME ID]],FME_Input[FME_ID],FME_Input[RFPG_NUM])</f>
        <v>3</v>
      </c>
      <c r="C1197" t="str">
        <f>_xlfn.XLOOKUP(FME_Ranking1[[#This Row],[FME ID]],FME_Input[FME_ID],FME_Input[FME_NAME])</f>
        <v>Northlake &amp; Castlewood Drainage Study Update</v>
      </c>
      <c r="D1197" t="str">
        <f>_xlfn.XLOOKUP(FME_Ranking1[[#This Row],[FME ID]],FME_Input[FME_ID],FME_Input[DESCR])</f>
        <v>Area 21</v>
      </c>
      <c r="E1197" s="256">
        <f>_xlfn.XLOOKUP(FME_Ranking1[[#This Row],[FME ID]],FME_Input[FME_ID],FME_Input[FME_COST])</f>
        <v>56000</v>
      </c>
      <c r="F1197" t="str">
        <f>_xlfn.XLOOKUP(FME_Ranking1[[#This Row],[FME ID]],FME_Input[FME_ID],FME_Input[EMER_NEED])</f>
        <v>No</v>
      </c>
      <c r="G1197">
        <f>IF(FME_Ranking!F1197="Yes",100,0)</f>
        <v>0</v>
      </c>
      <c r="H1197">
        <f>FME_Ranking1[[#This Row],[Emergency Need Score (Normalized, Unweighted)]]*$F$3</f>
        <v>0</v>
      </c>
      <c r="I1197" s="246">
        <f>_xlfn.XLOOKUP(FME_Ranking1[[#This Row],[FME ID]],FME_Input[FME_ID],FME_Input[STRUCT_100])</f>
        <v>69</v>
      </c>
      <c r="J1197" s="178">
        <f>(FME_Ranking1[[#This Row],[Structures 100 Raw]]/I$2)*100</f>
        <v>3.6948978280426682E-2</v>
      </c>
      <c r="K1197" s="178">
        <f>FME_Ranking1[[#This Row],[Structures 100  Score (Normalized, Unweighted)]]*$I$3</f>
        <v>5.5423467420640023E-3</v>
      </c>
      <c r="L1197" s="246">
        <f>_xlfn.XLOOKUP(FME_Ranking1[[#This Row],[FME ID]],FME_Input[FME_ID],FME_Input[RES_STRUCT100])</f>
        <v>67</v>
      </c>
      <c r="M1197" s="230">
        <f>(FME_Ranking1[[#This Row],[Res Structures Raw]]/L$2)*100</f>
        <v>4.7456474621410664E-2</v>
      </c>
      <c r="N1197" s="180">
        <f>FME_Ranking1[[#This Row],[Res Structures Score (Normalized, Unweighted)]]*$L$3</f>
        <v>4.7456474621410671E-3</v>
      </c>
      <c r="O1197" s="244">
        <f>_xlfn.XLOOKUP(FME_Ranking1[[#This Row],[FME ID]],FME_Input[FME_ID],FME_Input[POP100])</f>
        <v>305</v>
      </c>
      <c r="P1197" s="178">
        <f>(FME_Ranking1[[#This Row],[Pop Raw]]/$O$2)*100</f>
        <v>3.1224470156572804E-2</v>
      </c>
      <c r="Q1197" s="178">
        <f>FME_Ranking1[[#This Row],[Pop Score (Normalized, Unweighted)]]*$O$3</f>
        <v>4.6836705234859204E-3</v>
      </c>
      <c r="R1197" s="137">
        <f>_xlfn.XLOOKUP(FME_Ranking1[[#This Row],[FME ID]],FME_Input[FME_ID],FME_Input[CRITFAC100])</f>
        <v>1</v>
      </c>
      <c r="S1197" s="230">
        <f>(FME_Ranking1[[#This Row],[Critical Facilities Raw]]/$R$2)*100</f>
        <v>4.2881646655231559E-2</v>
      </c>
      <c r="T1197" s="180">
        <f>FME_Ranking1[[#This Row],[Critical Facilities Score (Normalized, Unweighted)]]*$R$3</f>
        <v>8.5763293310463125E-3</v>
      </c>
      <c r="U1197">
        <f>_xlfn.XLOOKUP(FME_Ranking1[[#This Row],[FME ID]],FME_Input[FME_ID],FME_Input[LWC])</f>
        <v>3</v>
      </c>
      <c r="V1197" s="178">
        <f>(FME_Ranking1[[#This Row],[LWC Raw]]/$U$2)*100</f>
        <v>0.17271157167530224</v>
      </c>
      <c r="W1197" s="178">
        <f>FME_Ranking1[[#This Row],[LWC Score (Normalized, Unweighted)]]*$U$3</f>
        <v>3.4542314335060449E-2</v>
      </c>
      <c r="X1197" s="246">
        <f>_xlfn.XLOOKUP(FME_Ranking1[[#This Row],[FME ID]],FME_Input[FME_ID],FME_Input[ROADCLS])</f>
        <v>0</v>
      </c>
      <c r="Y1197" s="230">
        <f>(FME_Ranking1[[#This Row],[Closures Raw]]/$X$2)*100</f>
        <v>0</v>
      </c>
      <c r="Z1197" s="180">
        <f>FME_Ranking1[[#This Row],[Closures Score (Normalized, Unweighted)]]*$X$3</f>
        <v>0</v>
      </c>
      <c r="AA1197" s="253">
        <f>_xlfn.XLOOKUP(FME_Ranking1[[#This Row],[FME ID]],FME_Input[FME_ID],FME_Input[ROAD_MILES100])</f>
        <v>2.3375730514526372</v>
      </c>
      <c r="AB1197" s="178">
        <f>(FME_Ranking1[[#This Row],[Miles Raw]]/$AA$2)*100</f>
        <v>3.073489299250675E-2</v>
      </c>
      <c r="AC1197" s="178">
        <f>FME_Ranking1[[#This Row],[Miles Score (Normalized, Unweighted)]]*$AA$3</f>
        <v>3.073489299250675E-3</v>
      </c>
      <c r="AD1197" s="255">
        <f>_xlfn.XLOOKUP(FME_Ranking1[[#This Row],[FME ID]],FME_Input[FME_ID],FME_Input[FARMACRE100])</f>
        <v>95.844673156738281</v>
      </c>
      <c r="AE1197" s="230">
        <f>(FME_Ranking1[[#This Row],[Ag Land Raw]]/$AD$2)*100</f>
        <v>3.9522052719508875E-3</v>
      </c>
      <c r="AF1197" s="231">
        <f>FME_Ranking1[[#This Row],[Ag Land Score (Normalized, Unweighted)]]*$AD$3</f>
        <v>1.9761026359754437E-4</v>
      </c>
      <c r="AG119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6.1361407956645977E-2</v>
      </c>
      <c r="AH1197" s="406">
        <f t="shared" si="18"/>
        <v>1237</v>
      </c>
      <c r="AI119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6.1361407956645977E-2</v>
      </c>
      <c r="AJ1197" s="257">
        <f>FME_Ranking1[[#This Row],[Addition check]]-FME_Ranking1[[#This Row],[Weighted Score Based on Normalized Reported Factors]]</f>
        <v>0</v>
      </c>
      <c r="AK1197" s="178">
        <f>_xlfn.RANK.EQ(AI1197,$AI$6:$AI$2341,0)+COUNTIF($AI$6:AI1197,AI1197)-1</f>
        <v>1237</v>
      </c>
    </row>
    <row r="1198" spans="1:37" x14ac:dyDescent="0.25">
      <c r="A1198" t="s">
        <v>7607</v>
      </c>
      <c r="B1198">
        <f>_xlfn.XLOOKUP(FME_Ranking1[[#This Row],[FME ID]],FME_Input[FME_ID],FME_Input[RFPG_NUM])</f>
        <v>8</v>
      </c>
      <c r="C1198" t="str">
        <f>_xlfn.XLOOKUP(FME_Ranking1[[#This Row],[FME ID]],FME_Input[FME_ID],FME_Input[FME_NAME])</f>
        <v>Old Reliance Road Overtopping</v>
      </c>
      <c r="D1198" t="str">
        <f>_xlfn.XLOOKUP(FME_Ranking1[[#This Row],[FME ID]],FME_Input[FME_ID],FME_Input[DESCR])</f>
        <v>Study to determine design of culvert improvements.</v>
      </c>
      <c r="E1198" s="256">
        <f>_xlfn.XLOOKUP(FME_Ranking1[[#This Row],[FME ID]],FME_Input[FME_ID],FME_Input[FME_COST])</f>
        <v>51000</v>
      </c>
      <c r="F1198" t="str">
        <f>_xlfn.XLOOKUP(FME_Ranking1[[#This Row],[FME ID]],FME_Input[FME_ID],FME_Input[EMER_NEED])</f>
        <v>No</v>
      </c>
      <c r="G1198">
        <f>IF(FME_Ranking!F1198="Yes",100,0)</f>
        <v>0</v>
      </c>
      <c r="H1198">
        <f>FME_Ranking1[[#This Row],[Emergency Need Score (Normalized, Unweighted)]]*$F$3</f>
        <v>0</v>
      </c>
      <c r="I1198" s="246">
        <f>_xlfn.XLOOKUP(FME_Ranking1[[#This Row],[FME ID]],FME_Input[FME_ID],FME_Input[STRUCT_100])</f>
        <v>130</v>
      </c>
      <c r="J1198" s="178">
        <f>(FME_Ranking1[[#This Row],[Structures 100 Raw]]/I$2)*100</f>
        <v>6.961401705007926E-2</v>
      </c>
      <c r="K1198" s="178">
        <f>FME_Ranking1[[#This Row],[Structures 100  Score (Normalized, Unweighted)]]*$I$3</f>
        <v>1.0442102557511889E-2</v>
      </c>
      <c r="L1198" s="246">
        <f>_xlfn.XLOOKUP(FME_Ranking1[[#This Row],[FME ID]],FME_Input[FME_ID],FME_Input[RES_STRUCT100])</f>
        <v>119</v>
      </c>
      <c r="M1198" s="230">
        <f>(FME_Ranking1[[#This Row],[Res Structures Raw]]/L$2)*100</f>
        <v>8.4288365372356247E-2</v>
      </c>
      <c r="N1198" s="180">
        <f>FME_Ranking1[[#This Row],[Res Structures Score (Normalized, Unweighted)]]*$L$3</f>
        <v>8.4288365372356244E-3</v>
      </c>
      <c r="O1198" s="244">
        <f>_xlfn.XLOOKUP(FME_Ranking1[[#This Row],[FME ID]],FME_Input[FME_ID],FME_Input[POP100])</f>
        <v>407</v>
      </c>
      <c r="P1198" s="178">
        <f>(FME_Ranking1[[#This Row],[Pop Raw]]/$O$2)*100</f>
        <v>4.1666751979426653E-2</v>
      </c>
      <c r="Q1198" s="178">
        <f>FME_Ranking1[[#This Row],[Pop Score (Normalized, Unweighted)]]*$O$3</f>
        <v>6.2500127969139976E-3</v>
      </c>
      <c r="R1198" s="137">
        <f>_xlfn.XLOOKUP(FME_Ranking1[[#This Row],[FME ID]],FME_Input[FME_ID],FME_Input[CRITFAC100])</f>
        <v>0</v>
      </c>
      <c r="S1198" s="230">
        <f>(FME_Ranking1[[#This Row],[Critical Facilities Raw]]/$R$2)*100</f>
        <v>0</v>
      </c>
      <c r="T1198" s="180">
        <f>FME_Ranking1[[#This Row],[Critical Facilities Score (Normalized, Unweighted)]]*$R$3</f>
        <v>0</v>
      </c>
      <c r="U1198">
        <f>_xlfn.XLOOKUP(FME_Ranking1[[#This Row],[FME ID]],FME_Input[FME_ID],FME_Input[LWC])</f>
        <v>2</v>
      </c>
      <c r="V1198" s="178">
        <f>(FME_Ranking1[[#This Row],[LWC Raw]]/$U$2)*100</f>
        <v>0.11514104778353484</v>
      </c>
      <c r="W1198" s="178">
        <f>FME_Ranking1[[#This Row],[LWC Score (Normalized, Unweighted)]]*$U$3</f>
        <v>2.302820955670697E-2</v>
      </c>
      <c r="X1198" s="246">
        <f>_xlfn.XLOOKUP(FME_Ranking1[[#This Row],[FME ID]],FME_Input[FME_ID],FME_Input[ROADCLS])</f>
        <v>18</v>
      </c>
      <c r="Y1198" s="230">
        <f>(FME_Ranking1[[#This Row],[Closures Raw]]/$X$2)*100</f>
        <v>0.18925454736620756</v>
      </c>
      <c r="Z1198" s="180">
        <f>FME_Ranking1[[#This Row],[Closures Score (Normalized, Unweighted)]]*$X$3</f>
        <v>9.4627273683103794E-3</v>
      </c>
      <c r="AA1198" s="253">
        <f>_xlfn.XLOOKUP(FME_Ranking1[[#This Row],[FME ID]],FME_Input[FME_ID],FME_Input[ROAD_MILES100])</f>
        <v>1.3914699554443359</v>
      </c>
      <c r="AB1198" s="178">
        <f>(FME_Ranking1[[#This Row],[Miles Raw]]/$AA$2)*100</f>
        <v>1.8295334195563777E-2</v>
      </c>
      <c r="AC1198" s="178">
        <f>FME_Ranking1[[#This Row],[Miles Score (Normalized, Unweighted)]]*$AA$3</f>
        <v>1.8295334195563779E-3</v>
      </c>
      <c r="AD1198" s="255">
        <f>_xlfn.XLOOKUP(FME_Ranking1[[#This Row],[FME ID]],FME_Input[FME_ID],FME_Input[FARMACRE100])</f>
        <v>90.258598327636719</v>
      </c>
      <c r="AE1198" s="230">
        <f>(FME_Ranking1[[#This Row],[Ag Land Raw]]/$AD$2)*100</f>
        <v>3.7218605520833205E-3</v>
      </c>
      <c r="AF1198" s="231">
        <f>FME_Ranking1[[#This Row],[Ag Land Score (Normalized, Unweighted)]]*$AD$3</f>
        <v>1.8609302760416605E-4</v>
      </c>
      <c r="AG119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5.9627515263839401E-2</v>
      </c>
      <c r="AH1198" s="406">
        <f t="shared" si="18"/>
        <v>1245</v>
      </c>
      <c r="AI119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5.9627515263839401E-2</v>
      </c>
      <c r="AJ1198" s="257">
        <f>FME_Ranking1[[#This Row],[Addition check]]-FME_Ranking1[[#This Row],[Weighted Score Based on Normalized Reported Factors]]</f>
        <v>0</v>
      </c>
      <c r="AK1198" s="178">
        <f>_xlfn.RANK.EQ(AI1198,$AI$6:$AI$2341,0)+COUNTIF($AI$6:AI1198,AI1198)-1</f>
        <v>1245</v>
      </c>
    </row>
    <row r="1199" spans="1:37" x14ac:dyDescent="0.25">
      <c r="A1199" t="s">
        <v>4865</v>
      </c>
      <c r="B1199">
        <f>_xlfn.XLOOKUP(FME_Ranking1[[#This Row],[FME ID]],FME_Input[FME_ID],FME_Input[RFPG_NUM])</f>
        <v>3</v>
      </c>
      <c r="C1199" t="str">
        <f>_xlfn.XLOOKUP(FME_Ranking1[[#This Row],[FME ID]],FME_Input[FME_ID],FME_Input[FME_NAME])</f>
        <v xml:space="preserve">West Bridgeport Creek Channelization and Drainage Project </v>
      </c>
      <c r="D1199" t="str">
        <f>_xlfn.XLOOKUP(FME_Ranking1[[#This Row],[FME ID]],FME_Input[FME_ID],FME_Input[DESCR])</f>
        <v>West Bridgeport Creek Channelization and Drainage Project Feasibility Assessment.</v>
      </c>
      <c r="E1199" s="256">
        <f>_xlfn.XLOOKUP(FME_Ranking1[[#This Row],[FME ID]],FME_Input[FME_ID],FME_Input[FME_COST])</f>
        <v>150000</v>
      </c>
      <c r="F1199" t="str">
        <f>_xlfn.XLOOKUP(FME_Ranking1[[#This Row],[FME ID]],FME_Input[FME_ID],FME_Input[EMER_NEED])</f>
        <v>No</v>
      </c>
      <c r="G1199">
        <f>IF(FME_Ranking!F1199="Yes",100,0)</f>
        <v>0</v>
      </c>
      <c r="H1199">
        <f>FME_Ranking1[[#This Row],[Emergency Need Score (Normalized, Unweighted)]]*$F$3</f>
        <v>0</v>
      </c>
      <c r="I1199" s="246">
        <f>_xlfn.XLOOKUP(FME_Ranking1[[#This Row],[FME ID]],FME_Input[FME_ID],FME_Input[STRUCT_100])</f>
        <v>121</v>
      </c>
      <c r="J1199" s="178">
        <f>(FME_Ranking1[[#This Row],[Structures 100 Raw]]/I$2)*100</f>
        <v>6.4794585100458379E-2</v>
      </c>
      <c r="K1199" s="178">
        <f>FME_Ranking1[[#This Row],[Structures 100  Score (Normalized, Unweighted)]]*$I$3</f>
        <v>9.7191877650687573E-3</v>
      </c>
      <c r="L1199" s="246">
        <f>_xlfn.XLOOKUP(FME_Ranking1[[#This Row],[FME ID]],FME_Input[FME_ID],FME_Input[RES_STRUCT100])</f>
        <v>79</v>
      </c>
      <c r="M1199" s="230">
        <f>(FME_Ranking1[[#This Row],[Res Structures Raw]]/L$2)*100</f>
        <v>5.5956141717782723E-2</v>
      </c>
      <c r="N1199" s="180">
        <f>FME_Ranking1[[#This Row],[Res Structures Score (Normalized, Unweighted)]]*$L$3</f>
        <v>5.5956141717782727E-3</v>
      </c>
      <c r="O1199" s="244">
        <f>_xlfn.XLOOKUP(FME_Ranking1[[#This Row],[FME ID]],FME_Input[FME_ID],FME_Input[POP100])</f>
        <v>308</v>
      </c>
      <c r="P1199" s="178">
        <f>(FME_Ranking1[[#This Row],[Pop Raw]]/$O$2)*100</f>
        <v>3.1531596092539096E-2</v>
      </c>
      <c r="Q1199" s="178">
        <f>FME_Ranking1[[#This Row],[Pop Score (Normalized, Unweighted)]]*$O$3</f>
        <v>4.7297394138808646E-3</v>
      </c>
      <c r="R1199" s="137">
        <f>_xlfn.XLOOKUP(FME_Ranking1[[#This Row],[FME ID]],FME_Input[FME_ID],FME_Input[CRITFAC100])</f>
        <v>1</v>
      </c>
      <c r="S1199" s="230">
        <f>(FME_Ranking1[[#This Row],[Critical Facilities Raw]]/$R$2)*100</f>
        <v>4.2881646655231559E-2</v>
      </c>
      <c r="T1199" s="180">
        <f>FME_Ranking1[[#This Row],[Critical Facilities Score (Normalized, Unweighted)]]*$R$3</f>
        <v>8.5763293310463125E-3</v>
      </c>
      <c r="U1199">
        <f>_xlfn.XLOOKUP(FME_Ranking1[[#This Row],[FME ID]],FME_Input[FME_ID],FME_Input[LWC])</f>
        <v>2</v>
      </c>
      <c r="V1199" s="178">
        <f>(FME_Ranking1[[#This Row],[LWC Raw]]/$U$2)*100</f>
        <v>0.11514104778353484</v>
      </c>
      <c r="W1199" s="178">
        <f>FME_Ranking1[[#This Row],[LWC Score (Normalized, Unweighted)]]*$U$3</f>
        <v>2.302820955670697E-2</v>
      </c>
      <c r="X1199" s="246">
        <f>_xlfn.XLOOKUP(FME_Ranking1[[#This Row],[FME ID]],FME_Input[FME_ID],FME_Input[ROADCLS])</f>
        <v>0</v>
      </c>
      <c r="Y1199" s="230">
        <f>(FME_Ranking1[[#This Row],[Closures Raw]]/$X$2)*100</f>
        <v>0</v>
      </c>
      <c r="Z1199" s="180">
        <f>FME_Ranking1[[#This Row],[Closures Score (Normalized, Unweighted)]]*$X$3</f>
        <v>0</v>
      </c>
      <c r="AA1199" s="253">
        <f>_xlfn.XLOOKUP(FME_Ranking1[[#This Row],[FME ID]],FME_Input[FME_ID],FME_Input[ROAD_MILES100])</f>
        <v>6.7483749389648438</v>
      </c>
      <c r="AB1199" s="178">
        <f>(FME_Ranking1[[#This Row],[Miles Raw]]/$AA$2)*100</f>
        <v>8.8729026668709951E-2</v>
      </c>
      <c r="AC1199" s="178">
        <f>FME_Ranking1[[#This Row],[Miles Score (Normalized, Unweighted)]]*$AA$3</f>
        <v>8.8729026668709961E-3</v>
      </c>
      <c r="AD1199" s="255">
        <f>_xlfn.XLOOKUP(FME_Ranking1[[#This Row],[FME ID]],FME_Input[FME_ID],FME_Input[FARMACRE100])</f>
        <v>2778.06396484375</v>
      </c>
      <c r="AE1199" s="230">
        <f>(FME_Ranking1[[#This Row],[Ag Land Raw]]/$AD$2)*100</f>
        <v>0.11455492189656812</v>
      </c>
      <c r="AF1199" s="231">
        <f>FME_Ranking1[[#This Row],[Ag Land Score (Normalized, Unweighted)]]*$AD$3</f>
        <v>5.7277460948284061E-3</v>
      </c>
      <c r="AG119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6.6249729000180585E-2</v>
      </c>
      <c r="AH1199" s="406">
        <f t="shared" si="18"/>
        <v>1205</v>
      </c>
      <c r="AI119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6.6249729000180585E-2</v>
      </c>
      <c r="AJ1199" s="257">
        <f>FME_Ranking1[[#This Row],[Addition check]]-FME_Ranking1[[#This Row],[Weighted Score Based on Normalized Reported Factors]]</f>
        <v>0</v>
      </c>
      <c r="AK1199" s="178">
        <f>_xlfn.RANK.EQ(AI1199,$AI$6:$AI$2341,0)+COUNTIF($AI$6:AI1199,AI1199)-1</f>
        <v>1205</v>
      </c>
    </row>
    <row r="1200" spans="1:37" x14ac:dyDescent="0.25">
      <c r="A1200" t="s">
        <v>4237</v>
      </c>
      <c r="B1200">
        <f>_xlfn.XLOOKUP(FME_Ranking1[[#This Row],[FME ID]],FME_Input[FME_ID],FME_Input[RFPG_NUM])</f>
        <v>3</v>
      </c>
      <c r="C1200" t="str">
        <f>_xlfn.XLOOKUP(FME_Ranking1[[#This Row],[FME ID]],FME_Input[FME_ID],FME_Input[FME_NAME])</f>
        <v>City of Crockett DMP</v>
      </c>
      <c r="D1200" t="str">
        <f>_xlfn.XLOOKUP(FME_Ranking1[[#This Row],[FME ID]],FME_Input[FME_ID],FME_Input[DESCR])</f>
        <v>Evaluate City and identify future projects.</v>
      </c>
      <c r="E1200" s="256">
        <f>_xlfn.XLOOKUP(FME_Ranking1[[#This Row],[FME ID]],FME_Input[FME_ID],FME_Input[FME_COST])</f>
        <v>250000</v>
      </c>
      <c r="F1200" t="str">
        <f>_xlfn.XLOOKUP(FME_Ranking1[[#This Row],[FME ID]],FME_Input[FME_ID],FME_Input[EMER_NEED])</f>
        <v>No</v>
      </c>
      <c r="G1200">
        <f>IF(FME_Ranking!F1200="Yes",100,0)</f>
        <v>0</v>
      </c>
      <c r="H1200">
        <f>FME_Ranking1[[#This Row],[Emergency Need Score (Normalized, Unweighted)]]*$F$3</f>
        <v>0</v>
      </c>
      <c r="I1200" s="246">
        <f>_xlfn.XLOOKUP(FME_Ranking1[[#This Row],[FME ID]],FME_Input[FME_ID],FME_Input[STRUCT_100])</f>
        <v>136</v>
      </c>
      <c r="J1200" s="178">
        <f>(FME_Ranking1[[#This Row],[Structures 100 Raw]]/I$2)*100</f>
        <v>7.2826971683159838E-2</v>
      </c>
      <c r="K1200" s="178">
        <f>FME_Ranking1[[#This Row],[Structures 100  Score (Normalized, Unweighted)]]*$I$3</f>
        <v>1.0924045752473976E-2</v>
      </c>
      <c r="L1200" s="246">
        <f>_xlfn.XLOOKUP(FME_Ranking1[[#This Row],[FME ID]],FME_Input[FME_ID],FME_Input[RES_STRUCT100])</f>
        <v>106</v>
      </c>
      <c r="M1200" s="230">
        <f>(FME_Ranking1[[#This Row],[Res Structures Raw]]/L$2)*100</f>
        <v>7.5080392684619857E-2</v>
      </c>
      <c r="N1200" s="180">
        <f>FME_Ranking1[[#This Row],[Res Structures Score (Normalized, Unweighted)]]*$L$3</f>
        <v>7.5080392684619864E-3</v>
      </c>
      <c r="O1200" s="244">
        <f>_xlfn.XLOOKUP(FME_Ranking1[[#This Row],[FME ID]],FME_Input[FME_ID],FME_Input[POP100])</f>
        <v>241</v>
      </c>
      <c r="P1200" s="178">
        <f>(FME_Ranking1[[#This Row],[Pop Raw]]/$O$2)*100</f>
        <v>2.4672450189291952E-2</v>
      </c>
      <c r="Q1200" s="178">
        <f>FME_Ranking1[[#This Row],[Pop Score (Normalized, Unweighted)]]*$O$3</f>
        <v>3.7008675283937927E-3</v>
      </c>
      <c r="R1200" s="137">
        <f>_xlfn.XLOOKUP(FME_Ranking1[[#This Row],[FME ID]],FME_Input[FME_ID],FME_Input[CRITFAC100])</f>
        <v>4</v>
      </c>
      <c r="S1200" s="230">
        <f>(FME_Ranking1[[#This Row],[Critical Facilities Raw]]/$R$2)*100</f>
        <v>0.17152658662092624</v>
      </c>
      <c r="T1200" s="180">
        <f>FME_Ranking1[[#This Row],[Critical Facilities Score (Normalized, Unweighted)]]*$R$3</f>
        <v>3.430531732418525E-2</v>
      </c>
      <c r="U1200">
        <f>_xlfn.XLOOKUP(FME_Ranking1[[#This Row],[FME ID]],FME_Input[FME_ID],FME_Input[LWC])</f>
        <v>0</v>
      </c>
      <c r="V1200" s="178">
        <f>(FME_Ranking1[[#This Row],[LWC Raw]]/$U$2)*100</f>
        <v>0</v>
      </c>
      <c r="W1200" s="178">
        <f>FME_Ranking1[[#This Row],[LWC Score (Normalized, Unweighted)]]*$U$3</f>
        <v>0</v>
      </c>
      <c r="X1200" s="246">
        <f>_xlfn.XLOOKUP(FME_Ranking1[[#This Row],[FME ID]],FME_Input[FME_ID],FME_Input[ROADCLS])</f>
        <v>0</v>
      </c>
      <c r="Y1200" s="230">
        <f>(FME_Ranking1[[#This Row],[Closures Raw]]/$X$2)*100</f>
        <v>0</v>
      </c>
      <c r="Z1200" s="180">
        <f>FME_Ranking1[[#This Row],[Closures Score (Normalized, Unweighted)]]*$X$3</f>
        <v>0</v>
      </c>
      <c r="AA1200" s="253">
        <f>_xlfn.XLOOKUP(FME_Ranking1[[#This Row],[FME ID]],FME_Input[FME_ID],FME_Input[ROAD_MILES100])</f>
        <v>6.0752139091491699</v>
      </c>
      <c r="AB1200" s="178">
        <f>(FME_Ranking1[[#This Row],[Miles Raw]]/$AA$2)*100</f>
        <v>7.9878166497622111E-2</v>
      </c>
      <c r="AC1200" s="178">
        <f>FME_Ranking1[[#This Row],[Miles Score (Normalized, Unweighted)]]*$AA$3</f>
        <v>7.9878166497622111E-3</v>
      </c>
      <c r="AD1200" s="255">
        <f>_xlfn.XLOOKUP(FME_Ranking1[[#This Row],[FME ID]],FME_Input[FME_ID],FME_Input[FARMACRE100])</f>
        <v>148.7413024902344</v>
      </c>
      <c r="AE1200" s="230">
        <f>(FME_Ranking1[[#This Row],[Ag Land Raw]]/$AD$2)*100</f>
        <v>6.1334254737078955E-3</v>
      </c>
      <c r="AF1200" s="231">
        <f>FME_Ranking1[[#This Row],[Ag Land Score (Normalized, Unweighted)]]*$AD$3</f>
        <v>3.0667127368539477E-4</v>
      </c>
      <c r="AG120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6.4732757796962609E-2</v>
      </c>
      <c r="AH1200" s="406">
        <f t="shared" si="18"/>
        <v>1220</v>
      </c>
      <c r="AI120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6.4732757796962609E-2</v>
      </c>
      <c r="AJ1200" s="257">
        <f>FME_Ranking1[[#This Row],[Addition check]]-FME_Ranking1[[#This Row],[Weighted Score Based on Normalized Reported Factors]]</f>
        <v>0</v>
      </c>
      <c r="AK1200" s="178">
        <f>_xlfn.RANK.EQ(AI1200,$AI$6:$AI$2341,0)+COUNTIF($AI$6:AI1200,AI1200)-1</f>
        <v>1220</v>
      </c>
    </row>
    <row r="1201" spans="1:37" x14ac:dyDescent="0.25">
      <c r="A1201" t="s">
        <v>2184</v>
      </c>
      <c r="B1201">
        <f>_xlfn.XLOOKUP(FME_Ranking1[[#This Row],[FME ID]],FME_Input[FME_ID],FME_Input[RFPG_NUM])</f>
        <v>6</v>
      </c>
      <c r="C1201" t="str">
        <f>_xlfn.XLOOKUP(FME_Ranking1[[#This Row],[FME ID]],FME_Input[FME_ID],FME_Input[FME_NAME])</f>
        <v>Carpenters (N100-00-00) Channel Improvements</v>
      </c>
      <c r="D1201" t="str">
        <f>_xlfn.XLOOKUP(FME_Ranking1[[#This Row],[FME ID]],FME_Input[FME_ID],FME_Input[DESCR])</f>
        <v>Study to develop a Cost Benefit Analysis and elevate the project to a FMP. Carpenters Bayou (N100-00-00) channel conveyance improvements.</v>
      </c>
      <c r="E1201" s="256">
        <f>_xlfn.XLOOKUP(FME_Ranking1[[#This Row],[FME ID]],FME_Input[FME_ID],FME_Input[FME_COST])</f>
        <v>30000</v>
      </c>
      <c r="F1201" t="str">
        <f>_xlfn.XLOOKUP(FME_Ranking1[[#This Row],[FME ID]],FME_Input[FME_ID],FME_Input[EMER_NEED])</f>
        <v>No</v>
      </c>
      <c r="G1201">
        <f>IF(FME_Ranking!F1201="Yes",100,0)</f>
        <v>0</v>
      </c>
      <c r="H1201">
        <f>FME_Ranking1[[#This Row],[Emergency Need Score (Normalized, Unweighted)]]*$F$3</f>
        <v>0</v>
      </c>
      <c r="I1201" s="246">
        <f>_xlfn.XLOOKUP(FME_Ranking1[[#This Row],[FME ID]],FME_Input[FME_ID],FME_Input[STRUCT_100])</f>
        <v>153</v>
      </c>
      <c r="J1201" s="178">
        <f>(FME_Ranking1[[#This Row],[Structures 100 Raw]]/I$2)*100</f>
        <v>8.193034314355481E-2</v>
      </c>
      <c r="K1201" s="178">
        <f>FME_Ranking1[[#This Row],[Structures 100  Score (Normalized, Unweighted)]]*$I$3</f>
        <v>1.2289551471533221E-2</v>
      </c>
      <c r="L1201" s="246">
        <f>_xlfn.XLOOKUP(FME_Ranking1[[#This Row],[FME ID]],FME_Input[FME_ID],FME_Input[RES_STRUCT100])</f>
        <v>148</v>
      </c>
      <c r="M1201" s="230">
        <f>(FME_Ranking1[[#This Row],[Res Structures Raw]]/L$2)*100</f>
        <v>0.10482922752192206</v>
      </c>
      <c r="N1201" s="180">
        <f>FME_Ranking1[[#This Row],[Res Structures Score (Normalized, Unweighted)]]*$L$3</f>
        <v>1.0482922752192207E-2</v>
      </c>
      <c r="O1201" s="244">
        <f>_xlfn.XLOOKUP(FME_Ranking1[[#This Row],[FME ID]],FME_Input[FME_ID],FME_Input[POP100])</f>
        <v>531</v>
      </c>
      <c r="P1201" s="178">
        <f>(FME_Ranking1[[#This Row],[Pop Raw]]/$O$2)*100</f>
        <v>5.4361290666033305E-2</v>
      </c>
      <c r="Q1201" s="178">
        <f>FME_Ranking1[[#This Row],[Pop Score (Normalized, Unweighted)]]*$O$3</f>
        <v>8.154193599904996E-3</v>
      </c>
      <c r="R1201" s="137">
        <f>_xlfn.XLOOKUP(FME_Ranking1[[#This Row],[FME ID]],FME_Input[FME_ID],FME_Input[CRITFAC100])</f>
        <v>3</v>
      </c>
      <c r="S1201" s="230">
        <f>(FME_Ranking1[[#This Row],[Critical Facilities Raw]]/$R$2)*100</f>
        <v>0.1286449399656947</v>
      </c>
      <c r="T1201" s="180">
        <f>FME_Ranking1[[#This Row],[Critical Facilities Score (Normalized, Unweighted)]]*$R$3</f>
        <v>2.5728987993138941E-2</v>
      </c>
      <c r="U1201">
        <f>_xlfn.XLOOKUP(FME_Ranking1[[#This Row],[FME ID]],FME_Input[FME_ID],FME_Input[LWC])</f>
        <v>0</v>
      </c>
      <c r="V1201" s="178">
        <f>(FME_Ranking1[[#This Row],[LWC Raw]]/$U$2)*100</f>
        <v>0</v>
      </c>
      <c r="W1201" s="178">
        <f>FME_Ranking1[[#This Row],[LWC Score (Normalized, Unweighted)]]*$U$3</f>
        <v>0</v>
      </c>
      <c r="X1201" s="246">
        <f>_xlfn.XLOOKUP(FME_Ranking1[[#This Row],[FME ID]],FME_Input[FME_ID],FME_Input[ROADCLS])</f>
        <v>0</v>
      </c>
      <c r="Y1201" s="230">
        <f>(FME_Ranking1[[#This Row],[Closures Raw]]/$X$2)*100</f>
        <v>0</v>
      </c>
      <c r="Z1201" s="180">
        <f>FME_Ranking1[[#This Row],[Closures Score (Normalized, Unweighted)]]*$X$3</f>
        <v>0</v>
      </c>
      <c r="AA1201" s="253">
        <f>_xlfn.XLOOKUP(FME_Ranking1[[#This Row],[FME ID]],FME_Input[FME_ID],FME_Input[ROAD_MILES100])</f>
        <v>2.01900315284729</v>
      </c>
      <c r="AB1201" s="178">
        <f>(FME_Ranking1[[#This Row],[Miles Raw]]/$AA$2)*100</f>
        <v>2.6546270207783711E-2</v>
      </c>
      <c r="AC1201" s="178">
        <f>FME_Ranking1[[#This Row],[Miles Score (Normalized, Unweighted)]]*$AA$3</f>
        <v>2.6546270207783713E-3</v>
      </c>
      <c r="AD1201" s="255">
        <f>_xlfn.XLOOKUP(FME_Ranking1[[#This Row],[FME ID]],FME_Input[FME_ID],FME_Input[FARMACRE100])</f>
        <v>0</v>
      </c>
      <c r="AE1201" s="230">
        <f>(FME_Ranking1[[#This Row],[Ag Land Raw]]/$AD$2)*100</f>
        <v>0</v>
      </c>
      <c r="AF1201" s="231">
        <f>FME_Ranking1[[#This Row],[Ag Land Score (Normalized, Unweighted)]]*$AD$3</f>
        <v>0</v>
      </c>
      <c r="AG120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5.9310282837547738E-2</v>
      </c>
      <c r="AH1201" s="406">
        <f t="shared" si="18"/>
        <v>1246</v>
      </c>
      <c r="AI120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5.9310282837547738E-2</v>
      </c>
      <c r="AJ1201" s="257">
        <f>FME_Ranking1[[#This Row],[Addition check]]-FME_Ranking1[[#This Row],[Weighted Score Based on Normalized Reported Factors]]</f>
        <v>0</v>
      </c>
      <c r="AK1201" s="178">
        <f>_xlfn.RANK.EQ(AI1201,$AI$6:$AI$2341,0)+COUNTIF($AI$6:AI1201,AI1201)-1</f>
        <v>1246</v>
      </c>
    </row>
    <row r="1202" spans="1:37" x14ac:dyDescent="0.25">
      <c r="A1202" t="s">
        <v>4744</v>
      </c>
      <c r="B1202">
        <f>_xlfn.XLOOKUP(FME_Ranking1[[#This Row],[FME ID]],FME_Input[FME_ID],FME_Input[RFPG_NUM])</f>
        <v>3</v>
      </c>
      <c r="C1202" t="str">
        <f>_xlfn.XLOOKUP(FME_Ranking1[[#This Row],[FME ID]],FME_Input[FME_ID],FME_Input[FME_NAME])</f>
        <v>Jelmak Rd - Hardrock Rd</v>
      </c>
      <c r="D1202" t="str">
        <f>_xlfn.XLOOKUP(FME_Ranking1[[#This Row],[FME ID]],FME_Input[FME_ID],FME_Input[DESCR])</f>
        <v>Study update - Storm Drain Improvements; Estimated construction cost of $5,095,800</v>
      </c>
      <c r="E1202" s="256">
        <f>_xlfn.XLOOKUP(FME_Ranking1[[#This Row],[FME ID]],FME_Input[FME_ID],FME_Input[FME_COST])</f>
        <v>255000</v>
      </c>
      <c r="F1202" t="str">
        <f>_xlfn.XLOOKUP(FME_Ranking1[[#This Row],[FME ID]],FME_Input[FME_ID],FME_Input[EMER_NEED])</f>
        <v>No</v>
      </c>
      <c r="G1202">
        <f>IF(FME_Ranking!F1202="Yes",100,0)</f>
        <v>0</v>
      </c>
      <c r="H1202">
        <f>FME_Ranking1[[#This Row],[Emergency Need Score (Normalized, Unweighted)]]*$F$3</f>
        <v>0</v>
      </c>
      <c r="I1202" s="246">
        <f>_xlfn.XLOOKUP(FME_Ranking1[[#This Row],[FME ID]],FME_Input[FME_ID],FME_Input[STRUCT_100])</f>
        <v>140</v>
      </c>
      <c r="J1202" s="178">
        <f>(FME_Ranking1[[#This Row],[Structures 100 Raw]]/I$2)*100</f>
        <v>7.4968941438546891E-2</v>
      </c>
      <c r="K1202" s="178">
        <f>FME_Ranking1[[#This Row],[Structures 100  Score (Normalized, Unweighted)]]*$I$3</f>
        <v>1.1245341215782034E-2</v>
      </c>
      <c r="L1202" s="246">
        <f>_xlfn.XLOOKUP(FME_Ranking1[[#This Row],[FME ID]],FME_Input[FME_ID],FME_Input[RES_STRUCT100])</f>
        <v>133</v>
      </c>
      <c r="M1202" s="230">
        <f>(FME_Ranking1[[#This Row],[Res Structures Raw]]/L$2)*100</f>
        <v>9.4204643651456976E-2</v>
      </c>
      <c r="N1202" s="180">
        <f>FME_Ranking1[[#This Row],[Res Structures Score (Normalized, Unweighted)]]*$L$3</f>
        <v>9.4204643651456983E-3</v>
      </c>
      <c r="O1202" s="244">
        <f>_xlfn.XLOOKUP(FME_Ranking1[[#This Row],[FME ID]],FME_Input[FME_ID],FME_Input[POP100])</f>
        <v>1761</v>
      </c>
      <c r="P1202" s="178">
        <f>(FME_Ranking1[[#This Row],[Pop Raw]]/$O$2)*100</f>
        <v>0.18028292441221216</v>
      </c>
      <c r="Q1202" s="178">
        <f>FME_Ranking1[[#This Row],[Pop Score (Normalized, Unweighted)]]*$O$3</f>
        <v>2.7042438661831824E-2</v>
      </c>
      <c r="R1202" s="137">
        <f>_xlfn.XLOOKUP(FME_Ranking1[[#This Row],[FME ID]],FME_Input[FME_ID],FME_Input[CRITFAC100])</f>
        <v>1</v>
      </c>
      <c r="S1202" s="230">
        <f>(FME_Ranking1[[#This Row],[Critical Facilities Raw]]/$R$2)*100</f>
        <v>4.2881646655231559E-2</v>
      </c>
      <c r="T1202" s="180">
        <f>FME_Ranking1[[#This Row],[Critical Facilities Score (Normalized, Unweighted)]]*$R$3</f>
        <v>8.5763293310463125E-3</v>
      </c>
      <c r="U1202">
        <f>_xlfn.XLOOKUP(FME_Ranking1[[#This Row],[FME ID]],FME_Input[FME_ID],FME_Input[LWC])</f>
        <v>0</v>
      </c>
      <c r="V1202" s="178">
        <f>(FME_Ranking1[[#This Row],[LWC Raw]]/$U$2)*100</f>
        <v>0</v>
      </c>
      <c r="W1202" s="178">
        <f>FME_Ranking1[[#This Row],[LWC Score (Normalized, Unweighted)]]*$U$3</f>
        <v>0</v>
      </c>
      <c r="X1202" s="246">
        <f>_xlfn.XLOOKUP(FME_Ranking1[[#This Row],[FME ID]],FME_Input[FME_ID],FME_Input[ROADCLS])</f>
        <v>0</v>
      </c>
      <c r="Y1202" s="230">
        <f>(FME_Ranking1[[#This Row],[Closures Raw]]/$X$2)*100</f>
        <v>0</v>
      </c>
      <c r="Z1202" s="180">
        <f>FME_Ranking1[[#This Row],[Closures Score (Normalized, Unweighted)]]*$X$3</f>
        <v>0</v>
      </c>
      <c r="AA1202" s="253">
        <f>_xlfn.XLOOKUP(FME_Ranking1[[#This Row],[FME ID]],FME_Input[FME_ID],FME_Input[ROAD_MILES100])</f>
        <v>4.8453688621520996</v>
      </c>
      <c r="AB1202" s="178">
        <f>(FME_Ranking1[[#This Row],[Miles Raw]]/$AA$2)*100</f>
        <v>6.3707909960257492E-2</v>
      </c>
      <c r="AC1202" s="178">
        <f>FME_Ranking1[[#This Row],[Miles Score (Normalized, Unweighted)]]*$AA$3</f>
        <v>6.3707909960257492E-3</v>
      </c>
      <c r="AD1202" s="255">
        <f>_xlfn.XLOOKUP(FME_Ranking1[[#This Row],[FME ID]],FME_Input[FME_ID],FME_Input[FARMACRE100])</f>
        <v>168.96440124511719</v>
      </c>
      <c r="AE1202" s="230">
        <f>(FME_Ranking1[[#This Row],[Ag Land Raw]]/$AD$2)*100</f>
        <v>6.9673355375830743E-3</v>
      </c>
      <c r="AF1202" s="231">
        <f>FME_Ranking1[[#This Row],[Ag Land Score (Normalized, Unweighted)]]*$AD$3</f>
        <v>3.4836677687915375E-4</v>
      </c>
      <c r="AG120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6.3003731346710765E-2</v>
      </c>
      <c r="AH1202" s="406">
        <f t="shared" si="18"/>
        <v>1228</v>
      </c>
      <c r="AI120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6.3003731346710765E-2</v>
      </c>
      <c r="AJ1202" s="257">
        <f>FME_Ranking1[[#This Row],[Addition check]]-FME_Ranking1[[#This Row],[Weighted Score Based on Normalized Reported Factors]]</f>
        <v>0</v>
      </c>
      <c r="AK1202" s="178">
        <f>_xlfn.RANK.EQ(AI1202,$AI$6:$AI$2341,0)+COUNTIF($AI$6:AI1202,AI1202)-1</f>
        <v>1228</v>
      </c>
    </row>
    <row r="1203" spans="1:37" x14ac:dyDescent="0.25">
      <c r="A1203" t="s">
        <v>5422</v>
      </c>
      <c r="B1203">
        <f>_xlfn.XLOOKUP(FME_Ranking1[[#This Row],[FME ID]],FME_Input[FME_ID],FME_Input[RFPG_NUM])</f>
        <v>3</v>
      </c>
      <c r="C1203" t="str">
        <f>_xlfn.XLOOKUP(FME_Ranking1[[#This Row],[FME ID]],FME_Input[FME_ID],FME_Input[FME_NAME])</f>
        <v>Shady Grove Rd - Jones St Storm Drainage Improvements</v>
      </c>
      <c r="D1203" t="str">
        <f>_xlfn.XLOOKUP(FME_Ranking1[[#This Row],[FME ID]],FME_Input[FME_ID],FME_Input[DESCR])</f>
        <v>Study update - Storm Drain Improvements; Estimated construction cost of $1,679,200</v>
      </c>
      <c r="E1203" s="256">
        <f>_xlfn.XLOOKUP(FME_Ranking1[[#This Row],[FME ID]],FME_Input[FME_ID],FME_Input[FME_COST])</f>
        <v>250000</v>
      </c>
      <c r="F1203" t="str">
        <f>_xlfn.XLOOKUP(FME_Ranking1[[#This Row],[FME ID]],FME_Input[FME_ID],FME_Input[EMER_NEED])</f>
        <v>No</v>
      </c>
      <c r="G1203">
        <f>IF(FME_Ranking!F1203="Yes",100,0)</f>
        <v>0</v>
      </c>
      <c r="H1203">
        <f>FME_Ranking1[[#This Row],[Emergency Need Score (Normalized, Unweighted)]]*$F$3</f>
        <v>0</v>
      </c>
      <c r="I1203" s="246">
        <f>_xlfn.XLOOKUP(FME_Ranking1[[#This Row],[FME ID]],FME_Input[FME_ID],FME_Input[STRUCT_100])</f>
        <v>140</v>
      </c>
      <c r="J1203" s="178">
        <f>(FME_Ranking1[[#This Row],[Structures 100 Raw]]/I$2)*100</f>
        <v>7.4968941438546891E-2</v>
      </c>
      <c r="K1203" s="178">
        <f>FME_Ranking1[[#This Row],[Structures 100  Score (Normalized, Unweighted)]]*$I$3</f>
        <v>1.1245341215782034E-2</v>
      </c>
      <c r="L1203" s="246">
        <f>_xlfn.XLOOKUP(FME_Ranking1[[#This Row],[FME ID]],FME_Input[FME_ID],FME_Input[RES_STRUCT100])</f>
        <v>133</v>
      </c>
      <c r="M1203" s="230">
        <f>(FME_Ranking1[[#This Row],[Res Structures Raw]]/L$2)*100</f>
        <v>9.4204643651456976E-2</v>
      </c>
      <c r="N1203" s="180">
        <f>FME_Ranking1[[#This Row],[Res Structures Score (Normalized, Unweighted)]]*$L$3</f>
        <v>9.4204643651456983E-3</v>
      </c>
      <c r="O1203" s="244">
        <f>_xlfn.XLOOKUP(FME_Ranking1[[#This Row],[FME ID]],FME_Input[FME_ID],FME_Input[POP100])</f>
        <v>1761</v>
      </c>
      <c r="P1203" s="178">
        <f>(FME_Ranking1[[#This Row],[Pop Raw]]/$O$2)*100</f>
        <v>0.18028292441221216</v>
      </c>
      <c r="Q1203" s="178">
        <f>FME_Ranking1[[#This Row],[Pop Score (Normalized, Unweighted)]]*$O$3</f>
        <v>2.7042438661831824E-2</v>
      </c>
      <c r="R1203" s="137">
        <f>_xlfn.XLOOKUP(FME_Ranking1[[#This Row],[FME ID]],FME_Input[FME_ID],FME_Input[CRITFAC100])</f>
        <v>1</v>
      </c>
      <c r="S1203" s="230">
        <f>(FME_Ranking1[[#This Row],[Critical Facilities Raw]]/$R$2)*100</f>
        <v>4.2881646655231559E-2</v>
      </c>
      <c r="T1203" s="180">
        <f>FME_Ranking1[[#This Row],[Critical Facilities Score (Normalized, Unweighted)]]*$R$3</f>
        <v>8.5763293310463125E-3</v>
      </c>
      <c r="U1203">
        <f>_xlfn.XLOOKUP(FME_Ranking1[[#This Row],[FME ID]],FME_Input[FME_ID],FME_Input[LWC])</f>
        <v>0</v>
      </c>
      <c r="V1203" s="178">
        <f>(FME_Ranking1[[#This Row],[LWC Raw]]/$U$2)*100</f>
        <v>0</v>
      </c>
      <c r="W1203" s="178">
        <f>FME_Ranking1[[#This Row],[LWC Score (Normalized, Unweighted)]]*$U$3</f>
        <v>0</v>
      </c>
      <c r="X1203" s="246">
        <f>_xlfn.XLOOKUP(FME_Ranking1[[#This Row],[FME ID]],FME_Input[FME_ID],FME_Input[ROADCLS])</f>
        <v>0</v>
      </c>
      <c r="Y1203" s="230">
        <f>(FME_Ranking1[[#This Row],[Closures Raw]]/$X$2)*100</f>
        <v>0</v>
      </c>
      <c r="Z1203" s="180">
        <f>FME_Ranking1[[#This Row],[Closures Score (Normalized, Unweighted)]]*$X$3</f>
        <v>0</v>
      </c>
      <c r="AA1203" s="253">
        <f>_xlfn.XLOOKUP(FME_Ranking1[[#This Row],[FME ID]],FME_Input[FME_ID],FME_Input[ROAD_MILES100])</f>
        <v>4.8453688621520996</v>
      </c>
      <c r="AB1203" s="178">
        <f>(FME_Ranking1[[#This Row],[Miles Raw]]/$AA$2)*100</f>
        <v>6.3707909960257492E-2</v>
      </c>
      <c r="AC1203" s="178">
        <f>FME_Ranking1[[#This Row],[Miles Score (Normalized, Unweighted)]]*$AA$3</f>
        <v>6.3707909960257492E-3</v>
      </c>
      <c r="AD1203" s="255">
        <f>_xlfn.XLOOKUP(FME_Ranking1[[#This Row],[FME ID]],FME_Input[FME_ID],FME_Input[FARMACRE100])</f>
        <v>168.96440124511719</v>
      </c>
      <c r="AE1203" s="230">
        <f>(FME_Ranking1[[#This Row],[Ag Land Raw]]/$AD$2)*100</f>
        <v>6.9673355375830743E-3</v>
      </c>
      <c r="AF1203" s="231">
        <f>FME_Ranking1[[#This Row],[Ag Land Score (Normalized, Unweighted)]]*$AD$3</f>
        <v>3.4836677687915375E-4</v>
      </c>
      <c r="AG120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6.3003731346710765E-2</v>
      </c>
      <c r="AH1203" s="406">
        <f t="shared" si="18"/>
        <v>1228</v>
      </c>
      <c r="AI120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6.3003731346710765E-2</v>
      </c>
      <c r="AJ1203" s="257">
        <f>FME_Ranking1[[#This Row],[Addition check]]-FME_Ranking1[[#This Row],[Weighted Score Based on Normalized Reported Factors]]</f>
        <v>0</v>
      </c>
      <c r="AK1203" s="178">
        <f>_xlfn.RANK.EQ(AI1203,$AI$6:$AI$2341,0)+COUNTIF($AI$6:AI1203,AI1203)-1</f>
        <v>1229</v>
      </c>
    </row>
    <row r="1204" spans="1:37" x14ac:dyDescent="0.25">
      <c r="A1204" t="s">
        <v>5276</v>
      </c>
      <c r="B1204">
        <f>_xlfn.XLOOKUP(FME_Ranking1[[#This Row],[FME ID]],FME_Input[FME_ID],FME_Input[RFPG_NUM])</f>
        <v>3</v>
      </c>
      <c r="C1204" t="str">
        <f>_xlfn.XLOOKUP(FME_Ranking1[[#This Row],[FME ID]],FME_Input[FME_ID],FME_Input[FME_NAME])</f>
        <v>Keller Branch at Jefferson Street</v>
      </c>
      <c r="D1204" t="str">
        <f>_xlfn.XLOOKUP(FME_Ranking1[[#This Row],[FME ID]],FME_Input[FME_ID],FME_Input[DESCR])</f>
        <v>Evaluate bridge improvements for Jefferson Street over Keller Branch</v>
      </c>
      <c r="E1204" s="256">
        <f>_xlfn.XLOOKUP(FME_Ranking1[[#This Row],[FME ID]],FME_Input[FME_ID],FME_Input[FME_COST])</f>
        <v>250000</v>
      </c>
      <c r="F1204" t="str">
        <f>_xlfn.XLOOKUP(FME_Ranking1[[#This Row],[FME ID]],FME_Input[FME_ID],FME_Input[EMER_NEED])</f>
        <v>No</v>
      </c>
      <c r="G1204">
        <f>IF(FME_Ranking!F1204="Yes",100,0)</f>
        <v>0</v>
      </c>
      <c r="H1204">
        <f>FME_Ranking1[[#This Row],[Emergency Need Score (Normalized, Unweighted)]]*$F$3</f>
        <v>0</v>
      </c>
      <c r="I1204" s="246">
        <f>_xlfn.XLOOKUP(FME_Ranking1[[#This Row],[FME ID]],FME_Input[FME_ID],FME_Input[STRUCT_100])</f>
        <v>25</v>
      </c>
      <c r="J1204" s="178">
        <f>(FME_Ranking1[[#This Row],[Structures 100 Raw]]/I$2)*100</f>
        <v>1.3387310971169086E-2</v>
      </c>
      <c r="K1204" s="178">
        <f>FME_Ranking1[[#This Row],[Structures 100  Score (Normalized, Unweighted)]]*$I$3</f>
        <v>2.0080966456753626E-3</v>
      </c>
      <c r="L1204" s="246">
        <f>_xlfn.XLOOKUP(FME_Ranking1[[#This Row],[FME ID]],FME_Input[FME_ID],FME_Input[RES_STRUCT100])</f>
        <v>17</v>
      </c>
      <c r="M1204" s="230">
        <f>(FME_Ranking1[[#This Row],[Res Structures Raw]]/L$2)*100</f>
        <v>1.2041195053193749E-2</v>
      </c>
      <c r="N1204" s="180">
        <f>FME_Ranking1[[#This Row],[Res Structures Score (Normalized, Unweighted)]]*$L$3</f>
        <v>1.2041195053193749E-3</v>
      </c>
      <c r="O1204" s="244">
        <f>_xlfn.XLOOKUP(FME_Ranking1[[#This Row],[FME ID]],FME_Input[FME_ID],FME_Input[POP100])</f>
        <v>2137</v>
      </c>
      <c r="P1204" s="178">
        <f>(FME_Ranking1[[#This Row],[Pop Raw]]/$O$2)*100</f>
        <v>0.21877604171998713</v>
      </c>
      <c r="Q1204" s="178">
        <f>FME_Ranking1[[#This Row],[Pop Score (Normalized, Unweighted)]]*$O$3</f>
        <v>3.2816406257998067E-2</v>
      </c>
      <c r="R1204" s="137">
        <f>_xlfn.XLOOKUP(FME_Ranking1[[#This Row],[FME ID]],FME_Input[FME_ID],FME_Input[CRITFAC100])</f>
        <v>1</v>
      </c>
      <c r="S1204" s="230">
        <f>(FME_Ranking1[[#This Row],[Critical Facilities Raw]]/$R$2)*100</f>
        <v>4.2881646655231559E-2</v>
      </c>
      <c r="T1204" s="180">
        <f>FME_Ranking1[[#This Row],[Critical Facilities Score (Normalized, Unweighted)]]*$R$3</f>
        <v>8.5763293310463125E-3</v>
      </c>
      <c r="U1204">
        <f>_xlfn.XLOOKUP(FME_Ranking1[[#This Row],[FME ID]],FME_Input[FME_ID],FME_Input[LWC])</f>
        <v>1</v>
      </c>
      <c r="V1204" s="178">
        <f>(FME_Ranking1[[#This Row],[LWC Raw]]/$U$2)*100</f>
        <v>5.7570523891767422E-2</v>
      </c>
      <c r="W1204" s="178">
        <f>FME_Ranking1[[#This Row],[LWC Score (Normalized, Unweighted)]]*$U$3</f>
        <v>1.1514104778353485E-2</v>
      </c>
      <c r="X1204" s="246">
        <f>_xlfn.XLOOKUP(FME_Ranking1[[#This Row],[FME ID]],FME_Input[FME_ID],FME_Input[ROADCLS])</f>
        <v>0</v>
      </c>
      <c r="Y1204" s="230">
        <f>(FME_Ranking1[[#This Row],[Closures Raw]]/$X$2)*100</f>
        <v>0</v>
      </c>
      <c r="Z1204" s="180">
        <f>FME_Ranking1[[#This Row],[Closures Score (Normalized, Unweighted)]]*$X$3</f>
        <v>0</v>
      </c>
      <c r="AA1204" s="253">
        <f>_xlfn.XLOOKUP(FME_Ranking1[[#This Row],[FME ID]],FME_Input[FME_ID],FME_Input[ROAD_MILES100])</f>
        <v>0.759468674659729</v>
      </c>
      <c r="AB1204" s="178">
        <f>(FME_Ranking1[[#This Row],[Miles Raw]]/$AA$2)*100</f>
        <v>9.9856509007588724E-3</v>
      </c>
      <c r="AC1204" s="178">
        <f>FME_Ranking1[[#This Row],[Miles Score (Normalized, Unweighted)]]*$AA$3</f>
        <v>9.9856509007588737E-4</v>
      </c>
      <c r="AD1204" s="255">
        <f>_xlfn.XLOOKUP(FME_Ranking1[[#This Row],[FME ID]],FME_Input[FME_ID],FME_Input[FARMACRE100])</f>
        <v>47.789150238037109</v>
      </c>
      <c r="AE1204" s="230">
        <f>(FME_Ranking1[[#This Row],[Ag Land Raw]]/$AD$2)*100</f>
        <v>1.9706106275092943E-3</v>
      </c>
      <c r="AF1204" s="231">
        <f>FME_Ranking1[[#This Row],[Ag Land Score (Normalized, Unweighted)]]*$AD$3</f>
        <v>9.8530531375464728E-5</v>
      </c>
      <c r="AG120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5.7216152139843948E-2</v>
      </c>
      <c r="AH1204" s="406">
        <f t="shared" si="18"/>
        <v>1249</v>
      </c>
      <c r="AI120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5.7216152139843948E-2</v>
      </c>
      <c r="AJ1204" s="257">
        <f>FME_Ranking1[[#This Row],[Addition check]]-FME_Ranking1[[#This Row],[Weighted Score Based on Normalized Reported Factors]]</f>
        <v>0</v>
      </c>
      <c r="AK1204" s="178">
        <f>_xlfn.RANK.EQ(AI1204,$AI$6:$AI$2341,0)+COUNTIF($AI$6:AI1204,AI1204)-1</f>
        <v>1249</v>
      </c>
    </row>
    <row r="1205" spans="1:37" x14ac:dyDescent="0.25">
      <c r="A1205" t="s">
        <v>5279</v>
      </c>
      <c r="B1205">
        <f>_xlfn.XLOOKUP(FME_Ranking1[[#This Row],[FME ID]],FME_Input[FME_ID],FME_Input[RFPG_NUM])</f>
        <v>3</v>
      </c>
      <c r="C1205" t="str">
        <f>_xlfn.XLOOKUP(FME_Ranking1[[#This Row],[FME ID]],FME_Input[FME_ID],FME_Input[FME_NAME])</f>
        <v>Keller Branch at Main Street</v>
      </c>
      <c r="D1205" t="str">
        <f>_xlfn.XLOOKUP(FME_Ranking1[[#This Row],[FME ID]],FME_Input[FME_ID],FME_Input[DESCR])</f>
        <v>Evaluate bridge improvements for Main Street over Keller Branch</v>
      </c>
      <c r="E1205" s="256">
        <f>_xlfn.XLOOKUP(FME_Ranking1[[#This Row],[FME ID]],FME_Input[FME_ID],FME_Input[FME_COST])</f>
        <v>250000</v>
      </c>
      <c r="F1205" t="str">
        <f>_xlfn.XLOOKUP(FME_Ranking1[[#This Row],[FME ID]],FME_Input[FME_ID],FME_Input[EMER_NEED])</f>
        <v>No</v>
      </c>
      <c r="G1205">
        <f>IF(FME_Ranking!F1205="Yes",100,0)</f>
        <v>0</v>
      </c>
      <c r="H1205">
        <f>FME_Ranking1[[#This Row],[Emergency Need Score (Normalized, Unweighted)]]*$F$3</f>
        <v>0</v>
      </c>
      <c r="I1205" s="246">
        <f>_xlfn.XLOOKUP(FME_Ranking1[[#This Row],[FME ID]],FME_Input[FME_ID],FME_Input[STRUCT_100])</f>
        <v>25</v>
      </c>
      <c r="J1205" s="178">
        <f>(FME_Ranking1[[#This Row],[Structures 100 Raw]]/I$2)*100</f>
        <v>1.3387310971169086E-2</v>
      </c>
      <c r="K1205" s="178">
        <f>FME_Ranking1[[#This Row],[Structures 100  Score (Normalized, Unweighted)]]*$I$3</f>
        <v>2.0080966456753626E-3</v>
      </c>
      <c r="L1205" s="246">
        <f>_xlfn.XLOOKUP(FME_Ranking1[[#This Row],[FME ID]],FME_Input[FME_ID],FME_Input[RES_STRUCT100])</f>
        <v>17</v>
      </c>
      <c r="M1205" s="230">
        <f>(FME_Ranking1[[#This Row],[Res Structures Raw]]/L$2)*100</f>
        <v>1.2041195053193749E-2</v>
      </c>
      <c r="N1205" s="180">
        <f>FME_Ranking1[[#This Row],[Res Structures Score (Normalized, Unweighted)]]*$L$3</f>
        <v>1.2041195053193749E-3</v>
      </c>
      <c r="O1205" s="244">
        <f>_xlfn.XLOOKUP(FME_Ranking1[[#This Row],[FME ID]],FME_Input[FME_ID],FME_Input[POP100])</f>
        <v>2137</v>
      </c>
      <c r="P1205" s="178">
        <f>(FME_Ranking1[[#This Row],[Pop Raw]]/$O$2)*100</f>
        <v>0.21877604171998713</v>
      </c>
      <c r="Q1205" s="178">
        <f>FME_Ranking1[[#This Row],[Pop Score (Normalized, Unweighted)]]*$O$3</f>
        <v>3.2816406257998067E-2</v>
      </c>
      <c r="R1205" s="137">
        <f>_xlfn.XLOOKUP(FME_Ranking1[[#This Row],[FME ID]],FME_Input[FME_ID],FME_Input[CRITFAC100])</f>
        <v>1</v>
      </c>
      <c r="S1205" s="230">
        <f>(FME_Ranking1[[#This Row],[Critical Facilities Raw]]/$R$2)*100</f>
        <v>4.2881646655231559E-2</v>
      </c>
      <c r="T1205" s="180">
        <f>FME_Ranking1[[#This Row],[Critical Facilities Score (Normalized, Unweighted)]]*$R$3</f>
        <v>8.5763293310463125E-3</v>
      </c>
      <c r="U1205">
        <f>_xlfn.XLOOKUP(FME_Ranking1[[#This Row],[FME ID]],FME_Input[FME_ID],FME_Input[LWC])</f>
        <v>1</v>
      </c>
      <c r="V1205" s="178">
        <f>(FME_Ranking1[[#This Row],[LWC Raw]]/$U$2)*100</f>
        <v>5.7570523891767422E-2</v>
      </c>
      <c r="W1205" s="178">
        <f>FME_Ranking1[[#This Row],[LWC Score (Normalized, Unweighted)]]*$U$3</f>
        <v>1.1514104778353485E-2</v>
      </c>
      <c r="X1205" s="246">
        <f>_xlfn.XLOOKUP(FME_Ranking1[[#This Row],[FME ID]],FME_Input[FME_ID],FME_Input[ROADCLS])</f>
        <v>0</v>
      </c>
      <c r="Y1205" s="230">
        <f>(FME_Ranking1[[#This Row],[Closures Raw]]/$X$2)*100</f>
        <v>0</v>
      </c>
      <c r="Z1205" s="180">
        <f>FME_Ranking1[[#This Row],[Closures Score (Normalized, Unweighted)]]*$X$3</f>
        <v>0</v>
      </c>
      <c r="AA1205" s="253">
        <f>_xlfn.XLOOKUP(FME_Ranking1[[#This Row],[FME ID]],FME_Input[FME_ID],FME_Input[ROAD_MILES100])</f>
        <v>0.759468674659729</v>
      </c>
      <c r="AB1205" s="178">
        <f>(FME_Ranking1[[#This Row],[Miles Raw]]/$AA$2)*100</f>
        <v>9.9856509007588724E-3</v>
      </c>
      <c r="AC1205" s="178">
        <f>FME_Ranking1[[#This Row],[Miles Score (Normalized, Unweighted)]]*$AA$3</f>
        <v>9.9856509007588737E-4</v>
      </c>
      <c r="AD1205" s="255">
        <f>_xlfn.XLOOKUP(FME_Ranking1[[#This Row],[FME ID]],FME_Input[FME_ID],FME_Input[FARMACRE100])</f>
        <v>47.789150238037109</v>
      </c>
      <c r="AE1205" s="230">
        <f>(FME_Ranking1[[#This Row],[Ag Land Raw]]/$AD$2)*100</f>
        <v>1.9706106275092943E-3</v>
      </c>
      <c r="AF1205" s="231">
        <f>FME_Ranking1[[#This Row],[Ag Land Score (Normalized, Unweighted)]]*$AD$3</f>
        <v>9.8530531375464728E-5</v>
      </c>
      <c r="AG120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5.7216152139843948E-2</v>
      </c>
      <c r="AH1205" s="406">
        <f t="shared" si="18"/>
        <v>1249</v>
      </c>
      <c r="AI120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5.7216152139843948E-2</v>
      </c>
      <c r="AJ1205" s="257">
        <f>FME_Ranking1[[#This Row],[Addition check]]-FME_Ranking1[[#This Row],[Weighted Score Based on Normalized Reported Factors]]</f>
        <v>0</v>
      </c>
      <c r="AK1205" s="178">
        <f>_xlfn.RANK.EQ(AI1205,$AI$6:$AI$2341,0)+COUNTIF($AI$6:AI1205,AI1205)-1</f>
        <v>1250</v>
      </c>
    </row>
    <row r="1206" spans="1:37" x14ac:dyDescent="0.25">
      <c r="A1206" t="s">
        <v>5282</v>
      </c>
      <c r="B1206">
        <f>_xlfn.XLOOKUP(FME_Ranking1[[#This Row],[FME ID]],FME_Input[FME_ID],FME_Input[RFPG_NUM])</f>
        <v>3</v>
      </c>
      <c r="C1206" t="str">
        <f>_xlfn.XLOOKUP(FME_Ranking1[[#This Row],[FME ID]],FME_Input[FME_ID],FME_Input[FME_NAME])</f>
        <v>Keller Branch at Pleasant Run Road</v>
      </c>
      <c r="D1206" t="str">
        <f>_xlfn.XLOOKUP(FME_Ranking1[[#This Row],[FME ID]],FME_Input[FME_ID],FME_Input[DESCR])</f>
        <v>Evaluate bridge improvements for Pleasant Run Road over Keller Branch</v>
      </c>
      <c r="E1206" s="256">
        <f>_xlfn.XLOOKUP(FME_Ranking1[[#This Row],[FME ID]],FME_Input[FME_ID],FME_Input[FME_COST])</f>
        <v>250000</v>
      </c>
      <c r="F1206" t="str">
        <f>_xlfn.XLOOKUP(FME_Ranking1[[#This Row],[FME ID]],FME_Input[FME_ID],FME_Input[EMER_NEED])</f>
        <v>No</v>
      </c>
      <c r="G1206">
        <f>IF(FME_Ranking!F1206="Yes",100,0)</f>
        <v>0</v>
      </c>
      <c r="H1206">
        <f>FME_Ranking1[[#This Row],[Emergency Need Score (Normalized, Unweighted)]]*$F$3</f>
        <v>0</v>
      </c>
      <c r="I1206" s="246">
        <f>_xlfn.XLOOKUP(FME_Ranking1[[#This Row],[FME ID]],FME_Input[FME_ID],FME_Input[STRUCT_100])</f>
        <v>25</v>
      </c>
      <c r="J1206" s="178">
        <f>(FME_Ranking1[[#This Row],[Structures 100 Raw]]/I$2)*100</f>
        <v>1.3387310971169086E-2</v>
      </c>
      <c r="K1206" s="178">
        <f>FME_Ranking1[[#This Row],[Structures 100  Score (Normalized, Unweighted)]]*$I$3</f>
        <v>2.0080966456753626E-3</v>
      </c>
      <c r="L1206" s="246">
        <f>_xlfn.XLOOKUP(FME_Ranking1[[#This Row],[FME ID]],FME_Input[FME_ID],FME_Input[RES_STRUCT100])</f>
        <v>17</v>
      </c>
      <c r="M1206" s="230">
        <f>(FME_Ranking1[[#This Row],[Res Structures Raw]]/L$2)*100</f>
        <v>1.2041195053193749E-2</v>
      </c>
      <c r="N1206" s="180">
        <f>FME_Ranking1[[#This Row],[Res Structures Score (Normalized, Unweighted)]]*$L$3</f>
        <v>1.2041195053193749E-3</v>
      </c>
      <c r="O1206" s="244">
        <f>_xlfn.XLOOKUP(FME_Ranking1[[#This Row],[FME ID]],FME_Input[FME_ID],FME_Input[POP100])</f>
        <v>2137</v>
      </c>
      <c r="P1206" s="178">
        <f>(FME_Ranking1[[#This Row],[Pop Raw]]/$O$2)*100</f>
        <v>0.21877604171998713</v>
      </c>
      <c r="Q1206" s="178">
        <f>FME_Ranking1[[#This Row],[Pop Score (Normalized, Unweighted)]]*$O$3</f>
        <v>3.2816406257998067E-2</v>
      </c>
      <c r="R1206" s="137">
        <f>_xlfn.XLOOKUP(FME_Ranking1[[#This Row],[FME ID]],FME_Input[FME_ID],FME_Input[CRITFAC100])</f>
        <v>1</v>
      </c>
      <c r="S1206" s="230">
        <f>(FME_Ranking1[[#This Row],[Critical Facilities Raw]]/$R$2)*100</f>
        <v>4.2881646655231559E-2</v>
      </c>
      <c r="T1206" s="180">
        <f>FME_Ranking1[[#This Row],[Critical Facilities Score (Normalized, Unweighted)]]*$R$3</f>
        <v>8.5763293310463125E-3</v>
      </c>
      <c r="U1206">
        <f>_xlfn.XLOOKUP(FME_Ranking1[[#This Row],[FME ID]],FME_Input[FME_ID],FME_Input[LWC])</f>
        <v>1</v>
      </c>
      <c r="V1206" s="178">
        <f>(FME_Ranking1[[#This Row],[LWC Raw]]/$U$2)*100</f>
        <v>5.7570523891767422E-2</v>
      </c>
      <c r="W1206" s="178">
        <f>FME_Ranking1[[#This Row],[LWC Score (Normalized, Unweighted)]]*$U$3</f>
        <v>1.1514104778353485E-2</v>
      </c>
      <c r="X1206" s="246">
        <f>_xlfn.XLOOKUP(FME_Ranking1[[#This Row],[FME ID]],FME_Input[FME_ID],FME_Input[ROADCLS])</f>
        <v>0</v>
      </c>
      <c r="Y1206" s="230">
        <f>(FME_Ranking1[[#This Row],[Closures Raw]]/$X$2)*100</f>
        <v>0</v>
      </c>
      <c r="Z1206" s="180">
        <f>FME_Ranking1[[#This Row],[Closures Score (Normalized, Unweighted)]]*$X$3</f>
        <v>0</v>
      </c>
      <c r="AA1206" s="253">
        <f>_xlfn.XLOOKUP(FME_Ranking1[[#This Row],[FME ID]],FME_Input[FME_ID],FME_Input[ROAD_MILES100])</f>
        <v>0.759468674659729</v>
      </c>
      <c r="AB1206" s="178">
        <f>(FME_Ranking1[[#This Row],[Miles Raw]]/$AA$2)*100</f>
        <v>9.9856509007588724E-3</v>
      </c>
      <c r="AC1206" s="178">
        <f>FME_Ranking1[[#This Row],[Miles Score (Normalized, Unweighted)]]*$AA$3</f>
        <v>9.9856509007588737E-4</v>
      </c>
      <c r="AD1206" s="255">
        <f>_xlfn.XLOOKUP(FME_Ranking1[[#This Row],[FME ID]],FME_Input[FME_ID],FME_Input[FARMACRE100])</f>
        <v>47.789150238037109</v>
      </c>
      <c r="AE1206" s="230">
        <f>(FME_Ranking1[[#This Row],[Ag Land Raw]]/$AD$2)*100</f>
        <v>1.9706106275092943E-3</v>
      </c>
      <c r="AF1206" s="231">
        <f>FME_Ranking1[[#This Row],[Ag Land Score (Normalized, Unweighted)]]*$AD$3</f>
        <v>9.8530531375464728E-5</v>
      </c>
      <c r="AG120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5.7216152139843948E-2</v>
      </c>
      <c r="AH1206" s="406">
        <f t="shared" si="18"/>
        <v>1249</v>
      </c>
      <c r="AI120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5.7216152139843948E-2</v>
      </c>
      <c r="AJ1206" s="257">
        <f>FME_Ranking1[[#This Row],[Addition check]]-FME_Ranking1[[#This Row],[Weighted Score Based on Normalized Reported Factors]]</f>
        <v>0</v>
      </c>
      <c r="AK1206" s="178">
        <f>_xlfn.RANK.EQ(AI1206,$AI$6:$AI$2341,0)+COUNTIF($AI$6:AI1206,AI1206)-1</f>
        <v>1251</v>
      </c>
    </row>
    <row r="1207" spans="1:37" x14ac:dyDescent="0.25">
      <c r="A1207" t="s">
        <v>5377</v>
      </c>
      <c r="B1207">
        <f>_xlfn.XLOOKUP(FME_Ranking1[[#This Row],[FME ID]],FME_Input[FME_ID],FME_Input[RFPG_NUM])</f>
        <v>3</v>
      </c>
      <c r="C1207" t="str">
        <f>_xlfn.XLOOKUP(FME_Ranking1[[#This Row],[FME ID]],FME_Input[FME_ID],FME_Input[FME_NAME])</f>
        <v>Stream 3A6 at Belt Line Road</v>
      </c>
      <c r="D1207" t="str">
        <f>_xlfn.XLOOKUP(FME_Ranking1[[#This Row],[FME ID]],FME_Input[FME_ID],FME_Input[DESCR])</f>
        <v>Evaluate bridge improvements for Belt Line Road over Stream 3A6</v>
      </c>
      <c r="E1207" s="256">
        <f>_xlfn.XLOOKUP(FME_Ranking1[[#This Row],[FME ID]],FME_Input[FME_ID],FME_Input[FME_COST])</f>
        <v>250000</v>
      </c>
      <c r="F1207" t="str">
        <f>_xlfn.XLOOKUP(FME_Ranking1[[#This Row],[FME ID]],FME_Input[FME_ID],FME_Input[EMER_NEED])</f>
        <v>No</v>
      </c>
      <c r="G1207">
        <f>IF(FME_Ranking!F1207="Yes",100,0)</f>
        <v>0</v>
      </c>
      <c r="H1207">
        <f>FME_Ranking1[[#This Row],[Emergency Need Score (Normalized, Unweighted)]]*$F$3</f>
        <v>0</v>
      </c>
      <c r="I1207" s="246">
        <f>_xlfn.XLOOKUP(FME_Ranking1[[#This Row],[FME ID]],FME_Input[FME_ID],FME_Input[STRUCT_100])</f>
        <v>25</v>
      </c>
      <c r="J1207" s="178">
        <f>(FME_Ranking1[[#This Row],[Structures 100 Raw]]/I$2)*100</f>
        <v>1.3387310971169086E-2</v>
      </c>
      <c r="K1207" s="178">
        <f>FME_Ranking1[[#This Row],[Structures 100  Score (Normalized, Unweighted)]]*$I$3</f>
        <v>2.0080966456753626E-3</v>
      </c>
      <c r="L1207" s="246">
        <f>_xlfn.XLOOKUP(FME_Ranking1[[#This Row],[FME ID]],FME_Input[FME_ID],FME_Input[RES_STRUCT100])</f>
        <v>17</v>
      </c>
      <c r="M1207" s="230">
        <f>(FME_Ranking1[[#This Row],[Res Structures Raw]]/L$2)*100</f>
        <v>1.2041195053193749E-2</v>
      </c>
      <c r="N1207" s="180">
        <f>FME_Ranking1[[#This Row],[Res Structures Score (Normalized, Unweighted)]]*$L$3</f>
        <v>1.2041195053193749E-3</v>
      </c>
      <c r="O1207" s="244">
        <f>_xlfn.XLOOKUP(FME_Ranking1[[#This Row],[FME ID]],FME_Input[FME_ID],FME_Input[POP100])</f>
        <v>2137</v>
      </c>
      <c r="P1207" s="178">
        <f>(FME_Ranking1[[#This Row],[Pop Raw]]/$O$2)*100</f>
        <v>0.21877604171998713</v>
      </c>
      <c r="Q1207" s="178">
        <f>FME_Ranking1[[#This Row],[Pop Score (Normalized, Unweighted)]]*$O$3</f>
        <v>3.2816406257998067E-2</v>
      </c>
      <c r="R1207" s="137">
        <f>_xlfn.XLOOKUP(FME_Ranking1[[#This Row],[FME ID]],FME_Input[FME_ID],FME_Input[CRITFAC100])</f>
        <v>1</v>
      </c>
      <c r="S1207" s="230">
        <f>(FME_Ranking1[[#This Row],[Critical Facilities Raw]]/$R$2)*100</f>
        <v>4.2881646655231559E-2</v>
      </c>
      <c r="T1207" s="180">
        <f>FME_Ranking1[[#This Row],[Critical Facilities Score (Normalized, Unweighted)]]*$R$3</f>
        <v>8.5763293310463125E-3</v>
      </c>
      <c r="U1207">
        <f>_xlfn.XLOOKUP(FME_Ranking1[[#This Row],[FME ID]],FME_Input[FME_ID],FME_Input[LWC])</f>
        <v>1</v>
      </c>
      <c r="V1207" s="178">
        <f>(FME_Ranking1[[#This Row],[LWC Raw]]/$U$2)*100</f>
        <v>5.7570523891767422E-2</v>
      </c>
      <c r="W1207" s="178">
        <f>FME_Ranking1[[#This Row],[LWC Score (Normalized, Unweighted)]]*$U$3</f>
        <v>1.1514104778353485E-2</v>
      </c>
      <c r="X1207" s="246">
        <f>_xlfn.XLOOKUP(FME_Ranking1[[#This Row],[FME ID]],FME_Input[FME_ID],FME_Input[ROADCLS])</f>
        <v>0</v>
      </c>
      <c r="Y1207" s="230">
        <f>(FME_Ranking1[[#This Row],[Closures Raw]]/$X$2)*100</f>
        <v>0</v>
      </c>
      <c r="Z1207" s="180">
        <f>FME_Ranking1[[#This Row],[Closures Score (Normalized, Unweighted)]]*$X$3</f>
        <v>0</v>
      </c>
      <c r="AA1207" s="253">
        <f>_xlfn.XLOOKUP(FME_Ranking1[[#This Row],[FME ID]],FME_Input[FME_ID],FME_Input[ROAD_MILES100])</f>
        <v>0.759468674659729</v>
      </c>
      <c r="AB1207" s="178">
        <f>(FME_Ranking1[[#This Row],[Miles Raw]]/$AA$2)*100</f>
        <v>9.9856509007588724E-3</v>
      </c>
      <c r="AC1207" s="178">
        <f>FME_Ranking1[[#This Row],[Miles Score (Normalized, Unweighted)]]*$AA$3</f>
        <v>9.9856509007588737E-4</v>
      </c>
      <c r="AD1207" s="255">
        <f>_xlfn.XLOOKUP(FME_Ranking1[[#This Row],[FME ID]],FME_Input[FME_ID],FME_Input[FARMACRE100])</f>
        <v>47.789150238037109</v>
      </c>
      <c r="AE1207" s="230">
        <f>(FME_Ranking1[[#This Row],[Ag Land Raw]]/$AD$2)*100</f>
        <v>1.9706106275092943E-3</v>
      </c>
      <c r="AF1207" s="231">
        <f>FME_Ranking1[[#This Row],[Ag Land Score (Normalized, Unweighted)]]*$AD$3</f>
        <v>9.8530531375464728E-5</v>
      </c>
      <c r="AG120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5.7216152139843948E-2</v>
      </c>
      <c r="AH1207" s="406">
        <f t="shared" si="18"/>
        <v>1249</v>
      </c>
      <c r="AI120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5.7216152139843948E-2</v>
      </c>
      <c r="AJ1207" s="257">
        <f>FME_Ranking1[[#This Row],[Addition check]]-FME_Ranking1[[#This Row],[Weighted Score Based on Normalized Reported Factors]]</f>
        <v>0</v>
      </c>
      <c r="AK1207" s="178">
        <f>_xlfn.RANK.EQ(AI1207,$AI$6:$AI$2341,0)+COUNTIF($AI$6:AI1207,AI1207)-1</f>
        <v>1252</v>
      </c>
    </row>
    <row r="1208" spans="1:37" x14ac:dyDescent="0.25">
      <c r="A1208" t="s">
        <v>4437</v>
      </c>
      <c r="B1208">
        <f>_xlfn.XLOOKUP(FME_Ranking1[[#This Row],[FME ID]],FME_Input[FME_ID],FME_Input[RFPG_NUM])</f>
        <v>3</v>
      </c>
      <c r="C1208" t="str">
        <f>_xlfn.XLOOKUP(FME_Ranking1[[#This Row],[FME ID]],FME_Input[FME_ID],FME_Input[FME_NAME])</f>
        <v>O'Neal St Low-Water Crossing Automatic Barrier Study</v>
      </c>
      <c r="D1208" t="str">
        <f>_xlfn.XLOOKUP(FME_Ranking1[[#This Row],[FME ID]],FME_Input[FME_ID],FME_Input[DESCR])</f>
        <v>Evaluate installation of an automatic barricade for low-water crossing on O’Neal St.</v>
      </c>
      <c r="E1208" s="256">
        <f>_xlfn.XLOOKUP(FME_Ranking1[[#This Row],[FME ID]],FME_Input[FME_ID],FME_Input[FME_COST])</f>
        <v>125000</v>
      </c>
      <c r="F1208" t="str">
        <f>_xlfn.XLOOKUP(FME_Ranking1[[#This Row],[FME ID]],FME_Input[FME_ID],FME_Input[EMER_NEED])</f>
        <v>No</v>
      </c>
      <c r="G1208">
        <f>IF(FME_Ranking!F1208="Yes",100,0)</f>
        <v>0</v>
      </c>
      <c r="H1208">
        <f>FME_Ranking1[[#This Row],[Emergency Need Score (Normalized, Unweighted)]]*$F$3</f>
        <v>0</v>
      </c>
      <c r="I1208" s="246">
        <f>_xlfn.XLOOKUP(FME_Ranking1[[#This Row],[FME ID]],FME_Input[FME_ID],FME_Input[STRUCT_100])</f>
        <v>244</v>
      </c>
      <c r="J1208" s="178">
        <f>(FME_Ranking1[[#This Row],[Structures 100 Raw]]/I$2)*100</f>
        <v>0.13066015507861028</v>
      </c>
      <c r="K1208" s="178">
        <f>FME_Ranking1[[#This Row],[Structures 100  Score (Normalized, Unweighted)]]*$I$3</f>
        <v>1.9599023261791543E-2</v>
      </c>
      <c r="L1208" s="246">
        <f>_xlfn.XLOOKUP(FME_Ranking1[[#This Row],[FME ID]],FME_Input[FME_ID],FME_Input[RES_STRUCT100])</f>
        <v>210</v>
      </c>
      <c r="M1208" s="230">
        <f>(FME_Ranking1[[#This Row],[Res Structures Raw]]/L$2)*100</f>
        <v>0.14874417418651104</v>
      </c>
      <c r="N1208" s="180">
        <f>FME_Ranking1[[#This Row],[Res Structures Score (Normalized, Unweighted)]]*$L$3</f>
        <v>1.4874417418651104E-2</v>
      </c>
      <c r="O1208" s="244">
        <f>_xlfn.XLOOKUP(FME_Ranking1[[#This Row],[FME ID]],FME_Input[FME_ID],FME_Input[POP100])</f>
        <v>556</v>
      </c>
      <c r="P1208" s="178">
        <f>(FME_Ranking1[[#This Row],[Pop Raw]]/$O$2)*100</f>
        <v>5.6920673465752386E-2</v>
      </c>
      <c r="Q1208" s="178">
        <f>FME_Ranking1[[#This Row],[Pop Score (Normalized, Unweighted)]]*$O$3</f>
        <v>8.5381010198628572E-3</v>
      </c>
      <c r="R1208" s="137">
        <f>_xlfn.XLOOKUP(FME_Ranking1[[#This Row],[FME ID]],FME_Input[FME_ID],FME_Input[CRITFAC100])</f>
        <v>0</v>
      </c>
      <c r="S1208" s="230">
        <f>(FME_Ranking1[[#This Row],[Critical Facilities Raw]]/$R$2)*100</f>
        <v>0</v>
      </c>
      <c r="T1208" s="180">
        <f>FME_Ranking1[[#This Row],[Critical Facilities Score (Normalized, Unweighted)]]*$R$3</f>
        <v>0</v>
      </c>
      <c r="U1208">
        <f>_xlfn.XLOOKUP(FME_Ranking1[[#This Row],[FME ID]],FME_Input[FME_ID],FME_Input[LWC])</f>
        <v>1</v>
      </c>
      <c r="V1208" s="178">
        <f>(FME_Ranking1[[#This Row],[LWC Raw]]/$U$2)*100</f>
        <v>5.7570523891767422E-2</v>
      </c>
      <c r="W1208" s="178">
        <f>FME_Ranking1[[#This Row],[LWC Score (Normalized, Unweighted)]]*$U$3</f>
        <v>1.1514104778353485E-2</v>
      </c>
      <c r="X1208" s="246">
        <f>_xlfn.XLOOKUP(FME_Ranking1[[#This Row],[FME ID]],FME_Input[FME_ID],FME_Input[ROADCLS])</f>
        <v>0</v>
      </c>
      <c r="Y1208" s="230">
        <f>(FME_Ranking1[[#This Row],[Closures Raw]]/$X$2)*100</f>
        <v>0</v>
      </c>
      <c r="Z1208" s="180">
        <f>FME_Ranking1[[#This Row],[Closures Score (Normalized, Unweighted)]]*$X$3</f>
        <v>0</v>
      </c>
      <c r="AA1208" s="253">
        <f>_xlfn.XLOOKUP(FME_Ranking1[[#This Row],[FME ID]],FME_Input[FME_ID],FME_Input[ROAD_MILES100])</f>
        <v>7.5911197662353516</v>
      </c>
      <c r="AB1208" s="178">
        <f>(FME_Ranking1[[#This Row],[Miles Raw]]/$AA$2)*100</f>
        <v>9.9809609613508862E-2</v>
      </c>
      <c r="AC1208" s="178">
        <f>FME_Ranking1[[#This Row],[Miles Score (Normalized, Unweighted)]]*$AA$3</f>
        <v>9.9809609613508866E-3</v>
      </c>
      <c r="AD1208" s="255">
        <f>_xlfn.XLOOKUP(FME_Ranking1[[#This Row],[FME ID]],FME_Input[FME_ID],FME_Input[FARMACRE100])</f>
        <v>485.55850219726563</v>
      </c>
      <c r="AE1208" s="230">
        <f>(FME_Ranking1[[#This Row],[Ag Land Raw]]/$AD$2)*100</f>
        <v>2.0022259026188708E-2</v>
      </c>
      <c r="AF1208" s="231">
        <f>FME_Ranking1[[#This Row],[Ag Land Score (Normalized, Unweighted)]]*$AD$3</f>
        <v>1.0011129513094355E-3</v>
      </c>
      <c r="AG120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6.5507720391319316E-2</v>
      </c>
      <c r="AH1208" s="406">
        <f t="shared" si="18"/>
        <v>1209</v>
      </c>
      <c r="AI120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6.5507720391319316E-2</v>
      </c>
      <c r="AJ1208" s="257">
        <f>FME_Ranking1[[#This Row],[Addition check]]-FME_Ranking1[[#This Row],[Weighted Score Based on Normalized Reported Factors]]</f>
        <v>0</v>
      </c>
      <c r="AK1208" s="178">
        <f>_xlfn.RANK.EQ(AI1208,$AI$6:$AI$2341,0)+COUNTIF($AI$6:AI1208,AI1208)-1</f>
        <v>1209</v>
      </c>
    </row>
    <row r="1209" spans="1:37" x14ac:dyDescent="0.25">
      <c r="A1209" t="s">
        <v>445</v>
      </c>
      <c r="B1209">
        <f>_xlfn.XLOOKUP(FME_Ranking1[[#This Row],[FME ID]],FME_Input[FME_ID],FME_Input[RFPG_NUM])</f>
        <v>10</v>
      </c>
      <c r="C1209" t="str">
        <f>_xlfn.XLOOKUP(FME_Ranking1[[#This Row],[FME ID]],FME_Input[FME_ID],FME_Input[FME_NAME])</f>
        <v>Drainage Ditch Maintenance/Improvements</v>
      </c>
      <c r="D1209" t="str">
        <f>_xlfn.XLOOKUP(FME_Ranking1[[#This Row],[FME ID]],FME_Input[FME_ID],FME_Input[DESCR])</f>
        <v xml:space="preserve">Clean out and deepen the stormwater drainage ditches </v>
      </c>
      <c r="E1209" s="256">
        <f>_xlfn.XLOOKUP(FME_Ranking1[[#This Row],[FME ID]],FME_Input[FME_ID],FME_Input[FME_COST])</f>
        <v>100000</v>
      </c>
      <c r="F1209" t="str">
        <f>_xlfn.XLOOKUP(FME_Ranking1[[#This Row],[FME ID]],FME_Input[FME_ID],FME_Input[EMER_NEED])</f>
        <v>No</v>
      </c>
      <c r="G1209">
        <f>IF(FME_Ranking!F1209="Yes",100,0)</f>
        <v>0</v>
      </c>
      <c r="H1209">
        <f>FME_Ranking1[[#This Row],[Emergency Need Score (Normalized, Unweighted)]]*$F$3</f>
        <v>0</v>
      </c>
      <c r="I1209" s="246">
        <f>_xlfn.XLOOKUP(FME_Ranking1[[#This Row],[FME ID]],FME_Input[FME_ID],FME_Input[STRUCT_100])</f>
        <v>330</v>
      </c>
      <c r="J1209" s="178">
        <f>(FME_Ranking1[[#This Row],[Structures 100 Raw]]/I$2)*100</f>
        <v>0.17671250481943193</v>
      </c>
      <c r="K1209" s="178">
        <f>FME_Ranking1[[#This Row],[Structures 100  Score (Normalized, Unweighted)]]*$I$3</f>
        <v>2.650687572291479E-2</v>
      </c>
      <c r="L1209" s="246">
        <f>_xlfn.XLOOKUP(FME_Ranking1[[#This Row],[FME ID]],FME_Input[FME_ID],FME_Input[RES_STRUCT100])</f>
        <v>309</v>
      </c>
      <c r="M1209" s="230">
        <f>(FME_Ranking1[[#This Row],[Res Structures Raw]]/L$2)*100</f>
        <v>0.21886642773158052</v>
      </c>
      <c r="N1209" s="180">
        <f>FME_Ranking1[[#This Row],[Res Structures Score (Normalized, Unweighted)]]*$L$3</f>
        <v>2.1886642773158053E-2</v>
      </c>
      <c r="O1209" s="244">
        <f>_xlfn.XLOOKUP(FME_Ranking1[[#This Row],[FME ID]],FME_Input[FME_ID],FME_Input[POP100])</f>
        <v>422</v>
      </c>
      <c r="P1209" s="178">
        <f>(FME_Ranking1[[#This Row],[Pop Raw]]/$O$2)*100</f>
        <v>4.3202381659258104E-2</v>
      </c>
      <c r="Q1209" s="178">
        <f>FME_Ranking1[[#This Row],[Pop Score (Normalized, Unweighted)]]*$O$3</f>
        <v>6.4803572488887152E-3</v>
      </c>
      <c r="R1209" s="137">
        <f>_xlfn.XLOOKUP(FME_Ranking1[[#This Row],[FME ID]],FME_Input[FME_ID],FME_Input[CRITFAC100])</f>
        <v>0</v>
      </c>
      <c r="S1209" s="230">
        <f>(FME_Ranking1[[#This Row],[Critical Facilities Raw]]/$R$2)*100</f>
        <v>0</v>
      </c>
      <c r="T1209" s="180">
        <f>FME_Ranking1[[#This Row],[Critical Facilities Score (Normalized, Unweighted)]]*$R$3</f>
        <v>0</v>
      </c>
      <c r="U1209">
        <f>_xlfn.XLOOKUP(FME_Ranking1[[#This Row],[FME ID]],FME_Input[FME_ID],FME_Input[LWC])</f>
        <v>0</v>
      </c>
      <c r="V1209" s="178">
        <f>(FME_Ranking1[[#This Row],[LWC Raw]]/$U$2)*100</f>
        <v>0</v>
      </c>
      <c r="W1209" s="178">
        <f>FME_Ranking1[[#This Row],[LWC Score (Normalized, Unweighted)]]*$U$3</f>
        <v>0</v>
      </c>
      <c r="X1209" s="246">
        <f>_xlfn.XLOOKUP(FME_Ranking1[[#This Row],[FME ID]],FME_Input[FME_ID],FME_Input[ROADCLS])</f>
        <v>0</v>
      </c>
      <c r="Y1209" s="230">
        <f>(FME_Ranking1[[#This Row],[Closures Raw]]/$X$2)*100</f>
        <v>0</v>
      </c>
      <c r="Z1209" s="180">
        <f>FME_Ranking1[[#This Row],[Closures Score (Normalized, Unweighted)]]*$X$3</f>
        <v>0</v>
      </c>
      <c r="AA1209" s="253">
        <f>_xlfn.XLOOKUP(FME_Ranking1[[#This Row],[FME ID]],FME_Input[FME_ID],FME_Input[ROAD_MILES100])</f>
        <v>0.82047855854034424</v>
      </c>
      <c r="AB1209" s="178">
        <f>(FME_Ranking1[[#This Row],[Miles Raw]]/$AA$2)*100</f>
        <v>1.0787821447425086E-2</v>
      </c>
      <c r="AC1209" s="178">
        <f>FME_Ranking1[[#This Row],[Miles Score (Normalized, Unweighted)]]*$AA$3</f>
        <v>1.0787821447425087E-3</v>
      </c>
      <c r="AD1209" s="255">
        <f>_xlfn.XLOOKUP(FME_Ranking1[[#This Row],[FME ID]],FME_Input[FME_ID],FME_Input[FARMACRE100])</f>
        <v>100.6619033813477</v>
      </c>
      <c r="AE1209" s="230">
        <f>(FME_Ranking1[[#This Row],[Ag Land Raw]]/$AD$2)*100</f>
        <v>4.1508462820649059E-3</v>
      </c>
      <c r="AF1209" s="231">
        <f>FME_Ranking1[[#This Row],[Ag Land Score (Normalized, Unweighted)]]*$AD$3</f>
        <v>2.075423141032453E-4</v>
      </c>
      <c r="AG120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5.6160200203807319E-2</v>
      </c>
      <c r="AH1209" s="406">
        <f t="shared" si="18"/>
        <v>1262</v>
      </c>
      <c r="AI120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5.6160200203807319E-2</v>
      </c>
      <c r="AJ1209" s="257">
        <f>FME_Ranking1[[#This Row],[Addition check]]-FME_Ranking1[[#This Row],[Weighted Score Based on Normalized Reported Factors]]</f>
        <v>0</v>
      </c>
      <c r="AK1209" s="178">
        <f>_xlfn.RANK.EQ(AI1209,$AI$6:$AI$2341,0)+COUNTIF($AI$6:AI1209,AI1209)-1</f>
        <v>1262</v>
      </c>
    </row>
    <row r="1210" spans="1:37" x14ac:dyDescent="0.25">
      <c r="A1210" t="s">
        <v>6375</v>
      </c>
      <c r="B1210">
        <f>_xlfn.XLOOKUP(FME_Ranking1[[#This Row],[FME ID]],FME_Input[FME_ID],FME_Input[RFPG_NUM])</f>
        <v>5</v>
      </c>
      <c r="C1210" t="str">
        <f>_xlfn.XLOOKUP(FME_Ranking1[[#This Row],[FME ID]],FME_Input[FME_ID],FME_Input[FME_NAME])</f>
        <v>City of Lumberton Greens Branch Ditch Western Extension</v>
      </c>
      <c r="D1210" t="str">
        <f>_xlfn.XLOOKUP(FME_Ranking1[[#This Row],[FME ID]],FME_Input[FME_ID],FME_Input[DESCR])</f>
        <v xml:space="preserve">H&amp;H Study to identify alternatives for improving existing drainage of Greens Branch Ditch </v>
      </c>
      <c r="E1210" s="256">
        <f>_xlfn.XLOOKUP(FME_Ranking1[[#This Row],[FME ID]],FME_Input[FME_ID],FME_Input[FME_COST])</f>
        <v>100000</v>
      </c>
      <c r="F1210" t="str">
        <f>_xlfn.XLOOKUP(FME_Ranking1[[#This Row],[FME ID]],FME_Input[FME_ID],FME_Input[EMER_NEED])</f>
        <v>Yes</v>
      </c>
      <c r="G1210">
        <f>IF(FME_Ranking!F1210="Yes",100,0)</f>
        <v>100</v>
      </c>
      <c r="H1210">
        <f>FME_Ranking1[[#This Row],[Emergency Need Score (Normalized, Unweighted)]]*$F$3</f>
        <v>0</v>
      </c>
      <c r="I1210" s="246">
        <f>_xlfn.XLOOKUP(FME_Ranking1[[#This Row],[FME ID]],FME_Input[FME_ID],FME_Input[STRUCT_100])</f>
        <v>230</v>
      </c>
      <c r="J1210" s="178">
        <f>(FME_Ranking1[[#This Row],[Structures 100 Raw]]/I$2)*100</f>
        <v>0.1231632609347556</v>
      </c>
      <c r="K1210" s="178">
        <f>FME_Ranking1[[#This Row],[Structures 100  Score (Normalized, Unweighted)]]*$I$3</f>
        <v>1.8474489140213341E-2</v>
      </c>
      <c r="L1210" s="246">
        <f>_xlfn.XLOOKUP(FME_Ranking1[[#This Row],[FME ID]],FME_Input[FME_ID],FME_Input[RES_STRUCT100])</f>
        <v>207</v>
      </c>
      <c r="M1210" s="230">
        <f>(FME_Ranking1[[#This Row],[Res Structures Raw]]/L$2)*100</f>
        <v>0.14661925741241802</v>
      </c>
      <c r="N1210" s="180">
        <f>FME_Ranking1[[#This Row],[Res Structures Score (Normalized, Unweighted)]]*$L$3</f>
        <v>1.4661925741241803E-2</v>
      </c>
      <c r="O1210" s="244">
        <f>_xlfn.XLOOKUP(FME_Ranking1[[#This Row],[FME ID]],FME_Input[FME_ID],FME_Input[POP100])</f>
        <v>631</v>
      </c>
      <c r="P1210" s="178">
        <f>(FME_Ranking1[[#This Row],[Pop Raw]]/$O$2)*100</f>
        <v>6.4598821864909631E-2</v>
      </c>
      <c r="Q1210" s="178">
        <f>FME_Ranking1[[#This Row],[Pop Score (Normalized, Unweighted)]]*$O$3</f>
        <v>9.6898232797364443E-3</v>
      </c>
      <c r="R1210" s="137">
        <f>_xlfn.XLOOKUP(FME_Ranking1[[#This Row],[FME ID]],FME_Input[FME_ID],FME_Input[CRITFAC100])</f>
        <v>0</v>
      </c>
      <c r="S1210" s="230">
        <f>(FME_Ranking1[[#This Row],[Critical Facilities Raw]]/$R$2)*100</f>
        <v>0</v>
      </c>
      <c r="T1210" s="180">
        <f>FME_Ranking1[[#This Row],[Critical Facilities Score (Normalized, Unweighted)]]*$R$3</f>
        <v>0</v>
      </c>
      <c r="U1210">
        <f>_xlfn.XLOOKUP(FME_Ranking1[[#This Row],[FME ID]],FME_Input[FME_ID],FME_Input[LWC])</f>
        <v>1</v>
      </c>
      <c r="V1210" s="178">
        <f>(FME_Ranking1[[#This Row],[LWC Raw]]/$U$2)*100</f>
        <v>5.7570523891767422E-2</v>
      </c>
      <c r="W1210" s="178">
        <f>FME_Ranking1[[#This Row],[LWC Score (Normalized, Unweighted)]]*$U$3</f>
        <v>1.1514104778353485E-2</v>
      </c>
      <c r="X1210" s="246">
        <f>_xlfn.XLOOKUP(FME_Ranking1[[#This Row],[FME ID]],FME_Input[FME_ID],FME_Input[ROADCLS])</f>
        <v>1</v>
      </c>
      <c r="Y1210" s="230">
        <f>(FME_Ranking1[[#This Row],[Closures Raw]]/$X$2)*100</f>
        <v>1.0514141520344864E-2</v>
      </c>
      <c r="Z1210" s="180">
        <f>FME_Ranking1[[#This Row],[Closures Score (Normalized, Unweighted)]]*$X$3</f>
        <v>5.2570707601724321E-4</v>
      </c>
      <c r="AA1210" s="253">
        <f>_xlfn.XLOOKUP(FME_Ranking1[[#This Row],[FME ID]],FME_Input[FME_ID],FME_Input[ROAD_MILES100])</f>
        <v>4.0301494598388672</v>
      </c>
      <c r="AB1210" s="178">
        <f>(FME_Ranking1[[#This Row],[Miles Raw]]/$AA$2)*100</f>
        <v>5.2989236984479403E-2</v>
      </c>
      <c r="AC1210" s="178">
        <f>FME_Ranking1[[#This Row],[Miles Score (Normalized, Unweighted)]]*$AA$3</f>
        <v>5.2989236984479406E-3</v>
      </c>
      <c r="AD1210" s="255">
        <f>_xlfn.XLOOKUP(FME_Ranking1[[#This Row],[FME ID]],FME_Input[FME_ID],FME_Input[FARMACRE100])</f>
        <v>5.9648013114929199</v>
      </c>
      <c r="AE1210" s="230">
        <f>(FME_Ranking1[[#This Row],[Ag Land Raw]]/$AD$2)*100</f>
        <v>2.4596170463089031E-4</v>
      </c>
      <c r="AF1210" s="231">
        <f>FME_Ranking1[[#This Row],[Ag Land Score (Normalized, Unweighted)]]*$AD$3</f>
        <v>1.2298085231544515E-5</v>
      </c>
      <c r="AG121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6.0177271799241802E-2</v>
      </c>
      <c r="AH1210" s="406">
        <f t="shared" si="18"/>
        <v>1242</v>
      </c>
      <c r="AI121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6.0177271799241802E-2</v>
      </c>
      <c r="AJ1210" s="257">
        <f>FME_Ranking1[[#This Row],[Addition check]]-FME_Ranking1[[#This Row],[Weighted Score Based on Normalized Reported Factors]]</f>
        <v>0</v>
      </c>
      <c r="AK1210" s="178">
        <f>_xlfn.RANK.EQ(AI1210,$AI$6:$AI$2341,0)+COUNTIF($AI$6:AI1210,AI1210)-1</f>
        <v>1242</v>
      </c>
    </row>
    <row r="1211" spans="1:37" x14ac:dyDescent="0.25">
      <c r="A1211" t="s">
        <v>6228</v>
      </c>
      <c r="B1211">
        <f>_xlfn.XLOOKUP(FME_Ranking1[[#This Row],[FME ID]],FME_Input[FME_ID],FME_Input[RFPG_NUM])</f>
        <v>5</v>
      </c>
      <c r="C1211" t="str">
        <f>_xlfn.XLOOKUP(FME_Ranking1[[#This Row],[FME ID]],FME_Input[FME_ID],FME_Input[FME_NAME])</f>
        <v>City of Lumberton Master Drainage Plan</v>
      </c>
      <c r="D1211"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1211" s="256">
        <f>_xlfn.XLOOKUP(FME_Ranking1[[#This Row],[FME ID]],FME_Input[FME_ID],FME_Input[FME_COST])</f>
        <v>380000</v>
      </c>
      <c r="F1211" t="str">
        <f>_xlfn.XLOOKUP(FME_Ranking1[[#This Row],[FME ID]],FME_Input[FME_ID],FME_Input[EMER_NEED])</f>
        <v>Yes</v>
      </c>
      <c r="G1211">
        <f>IF(FME_Ranking!F1211="Yes",100,0)</f>
        <v>100</v>
      </c>
      <c r="H1211">
        <f>FME_Ranking1[[#This Row],[Emergency Need Score (Normalized, Unweighted)]]*$F$3</f>
        <v>0</v>
      </c>
      <c r="I1211" s="246">
        <f>_xlfn.XLOOKUP(FME_Ranking1[[#This Row],[FME ID]],FME_Input[FME_ID],FME_Input[STRUCT_100])</f>
        <v>230</v>
      </c>
      <c r="J1211" s="178">
        <f>(FME_Ranking1[[#This Row],[Structures 100 Raw]]/I$2)*100</f>
        <v>0.1231632609347556</v>
      </c>
      <c r="K1211" s="178">
        <f>FME_Ranking1[[#This Row],[Structures 100  Score (Normalized, Unweighted)]]*$I$3</f>
        <v>1.8474489140213341E-2</v>
      </c>
      <c r="L1211" s="246">
        <f>_xlfn.XLOOKUP(FME_Ranking1[[#This Row],[FME ID]],FME_Input[FME_ID],FME_Input[RES_STRUCT100])</f>
        <v>207</v>
      </c>
      <c r="M1211" s="230">
        <f>(FME_Ranking1[[#This Row],[Res Structures Raw]]/L$2)*100</f>
        <v>0.14661925741241802</v>
      </c>
      <c r="N1211" s="180">
        <f>FME_Ranking1[[#This Row],[Res Structures Score (Normalized, Unweighted)]]*$L$3</f>
        <v>1.4661925741241803E-2</v>
      </c>
      <c r="O1211" s="244">
        <f>_xlfn.XLOOKUP(FME_Ranking1[[#This Row],[FME ID]],FME_Input[FME_ID],FME_Input[POP100])</f>
        <v>631</v>
      </c>
      <c r="P1211" s="178">
        <f>(FME_Ranking1[[#This Row],[Pop Raw]]/$O$2)*100</f>
        <v>6.4598821864909631E-2</v>
      </c>
      <c r="Q1211" s="178">
        <f>FME_Ranking1[[#This Row],[Pop Score (Normalized, Unweighted)]]*$O$3</f>
        <v>9.6898232797364443E-3</v>
      </c>
      <c r="R1211" s="137">
        <f>_xlfn.XLOOKUP(FME_Ranking1[[#This Row],[FME ID]],FME_Input[FME_ID],FME_Input[CRITFAC100])</f>
        <v>0</v>
      </c>
      <c r="S1211" s="230">
        <f>(FME_Ranking1[[#This Row],[Critical Facilities Raw]]/$R$2)*100</f>
        <v>0</v>
      </c>
      <c r="T1211" s="180">
        <f>FME_Ranking1[[#This Row],[Critical Facilities Score (Normalized, Unweighted)]]*$R$3</f>
        <v>0</v>
      </c>
      <c r="U1211">
        <f>_xlfn.XLOOKUP(FME_Ranking1[[#This Row],[FME ID]],FME_Input[FME_ID],FME_Input[LWC])</f>
        <v>1</v>
      </c>
      <c r="V1211" s="178">
        <f>(FME_Ranking1[[#This Row],[LWC Raw]]/$U$2)*100</f>
        <v>5.7570523891767422E-2</v>
      </c>
      <c r="W1211" s="178">
        <f>FME_Ranking1[[#This Row],[LWC Score (Normalized, Unweighted)]]*$U$3</f>
        <v>1.1514104778353485E-2</v>
      </c>
      <c r="X1211" s="246">
        <f>_xlfn.XLOOKUP(FME_Ranking1[[#This Row],[FME ID]],FME_Input[FME_ID],FME_Input[ROADCLS])</f>
        <v>1</v>
      </c>
      <c r="Y1211" s="230">
        <f>(FME_Ranking1[[#This Row],[Closures Raw]]/$X$2)*100</f>
        <v>1.0514141520344864E-2</v>
      </c>
      <c r="Z1211" s="180">
        <f>FME_Ranking1[[#This Row],[Closures Score (Normalized, Unweighted)]]*$X$3</f>
        <v>5.2570707601724321E-4</v>
      </c>
      <c r="AA1211" s="253">
        <f>_xlfn.XLOOKUP(FME_Ranking1[[#This Row],[FME ID]],FME_Input[FME_ID],FME_Input[ROAD_MILES100])</f>
        <v>3.9168882369995122</v>
      </c>
      <c r="AB1211" s="178">
        <f>(FME_Ranking1[[#This Row],[Miles Raw]]/$AA$2)*100</f>
        <v>5.1500055047681834E-2</v>
      </c>
      <c r="AC1211" s="178">
        <f>FME_Ranking1[[#This Row],[Miles Score (Normalized, Unweighted)]]*$AA$3</f>
        <v>5.1500055047681839E-3</v>
      </c>
      <c r="AD1211" s="255">
        <f>_xlfn.XLOOKUP(FME_Ranking1[[#This Row],[FME ID]],FME_Input[FME_ID],FME_Input[FARMACRE100])</f>
        <v>5.8457131385803223</v>
      </c>
      <c r="AE1211" s="230">
        <f>(FME_Ranking1[[#This Row],[Ag Land Raw]]/$AD$2)*100</f>
        <v>2.410510414786202E-4</v>
      </c>
      <c r="AF1211" s="231">
        <f>FME_Ranking1[[#This Row],[Ag Land Score (Normalized, Unweighted)]]*$AD$3</f>
        <v>1.205255207393101E-5</v>
      </c>
      <c r="AG121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6.0028108072404433E-2</v>
      </c>
      <c r="AH1211" s="406">
        <f t="shared" si="18"/>
        <v>1243</v>
      </c>
      <c r="AI121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6.0028108072404433E-2</v>
      </c>
      <c r="AJ1211" s="257">
        <f>FME_Ranking1[[#This Row],[Addition check]]-FME_Ranking1[[#This Row],[Weighted Score Based on Normalized Reported Factors]]</f>
        <v>0</v>
      </c>
      <c r="AK1211" s="178">
        <f>_xlfn.RANK.EQ(AI1211,$AI$6:$AI$2341,0)+COUNTIF($AI$6:AI1211,AI1211)-1</f>
        <v>1243</v>
      </c>
    </row>
    <row r="1212" spans="1:37" x14ac:dyDescent="0.25">
      <c r="A1212" t="s">
        <v>6297</v>
      </c>
      <c r="B1212">
        <f>_xlfn.XLOOKUP(FME_Ranking1[[#This Row],[FME ID]],FME_Input[FME_ID],FME_Input[RFPG_NUM])</f>
        <v>5</v>
      </c>
      <c r="C1212" t="str">
        <f>_xlfn.XLOOKUP(FME_Ranking1[[#This Row],[FME ID]],FME_Input[FME_ID],FME_Input[FME_NAME])</f>
        <v>Main A Channel Improvements</v>
      </c>
      <c r="D1212" t="str">
        <f>_xlfn.XLOOKUP(FME_Ranking1[[#This Row],[FME ID]],FME_Input[FME_ID],FME_Input[DESCR])</f>
        <v>H&amp;H study to identify alternatives for Main A Channel</v>
      </c>
      <c r="E1212" s="256">
        <f>_xlfn.XLOOKUP(FME_Ranking1[[#This Row],[FME ID]],FME_Input[FME_ID],FME_Input[FME_COST])</f>
        <v>100000</v>
      </c>
      <c r="F1212" t="str">
        <f>_xlfn.XLOOKUP(FME_Ranking1[[#This Row],[FME ID]],FME_Input[FME_ID],FME_Input[EMER_NEED])</f>
        <v>Yes</v>
      </c>
      <c r="G1212">
        <f>IF(FME_Ranking!F1212="Yes",100,0)</f>
        <v>100</v>
      </c>
      <c r="H1212">
        <f>FME_Ranking1[[#This Row],[Emergency Need Score (Normalized, Unweighted)]]*$F$3</f>
        <v>0</v>
      </c>
      <c r="I1212" s="246">
        <f>_xlfn.XLOOKUP(FME_Ranking1[[#This Row],[FME ID]],FME_Input[FME_ID],FME_Input[STRUCT_100])</f>
        <v>147</v>
      </c>
      <c r="J1212" s="178">
        <f>(FME_Ranking1[[#This Row],[Structures 100 Raw]]/I$2)*100</f>
        <v>7.8717388510474232E-2</v>
      </c>
      <c r="K1212" s="178">
        <f>FME_Ranking1[[#This Row],[Structures 100  Score (Normalized, Unweighted)]]*$I$3</f>
        <v>1.1807608276571135E-2</v>
      </c>
      <c r="L1212" s="246">
        <f>_xlfn.XLOOKUP(FME_Ranking1[[#This Row],[FME ID]],FME_Input[FME_ID],FME_Input[RES_STRUCT100])</f>
        <v>111</v>
      </c>
      <c r="M1212" s="230">
        <f>(FME_Ranking1[[#This Row],[Res Structures Raw]]/L$2)*100</f>
        <v>7.8621920641441537E-2</v>
      </c>
      <c r="N1212" s="180">
        <f>FME_Ranking1[[#This Row],[Res Structures Score (Normalized, Unweighted)]]*$L$3</f>
        <v>7.862192064144154E-3</v>
      </c>
      <c r="O1212" s="244">
        <f>_xlfn.XLOOKUP(FME_Ranking1[[#This Row],[FME ID]],FME_Input[FME_ID],FME_Input[POP100])</f>
        <v>1173</v>
      </c>
      <c r="P1212" s="178">
        <f>(FME_Ranking1[[#This Row],[Pop Raw]]/$O$2)*100</f>
        <v>0.12008624096281934</v>
      </c>
      <c r="Q1212" s="178">
        <f>FME_Ranking1[[#This Row],[Pop Score (Normalized, Unweighted)]]*$O$3</f>
        <v>1.8012936144422901E-2</v>
      </c>
      <c r="R1212" s="137">
        <f>_xlfn.XLOOKUP(FME_Ranking1[[#This Row],[FME ID]],FME_Input[FME_ID],FME_Input[CRITFAC100])</f>
        <v>2</v>
      </c>
      <c r="S1212" s="230">
        <f>(FME_Ranking1[[#This Row],[Critical Facilities Raw]]/$R$2)*100</f>
        <v>8.5763293310463118E-2</v>
      </c>
      <c r="T1212" s="180">
        <f>FME_Ranking1[[#This Row],[Critical Facilities Score (Normalized, Unweighted)]]*$R$3</f>
        <v>1.7152658662092625E-2</v>
      </c>
      <c r="U1212">
        <f>_xlfn.XLOOKUP(FME_Ranking1[[#This Row],[FME ID]],FME_Input[FME_ID],FME_Input[LWC])</f>
        <v>0</v>
      </c>
      <c r="V1212" s="178">
        <f>(FME_Ranking1[[#This Row],[LWC Raw]]/$U$2)*100</f>
        <v>0</v>
      </c>
      <c r="W1212" s="178">
        <f>FME_Ranking1[[#This Row],[LWC Score (Normalized, Unweighted)]]*$U$3</f>
        <v>0</v>
      </c>
      <c r="X1212" s="246">
        <f>_xlfn.XLOOKUP(FME_Ranking1[[#This Row],[FME ID]],FME_Input[FME_ID],FME_Input[ROADCLS])</f>
        <v>0</v>
      </c>
      <c r="Y1212" s="230">
        <f>(FME_Ranking1[[#This Row],[Closures Raw]]/$X$2)*100</f>
        <v>0</v>
      </c>
      <c r="Z1212" s="180">
        <f>FME_Ranking1[[#This Row],[Closures Score (Normalized, Unweighted)]]*$X$3</f>
        <v>0</v>
      </c>
      <c r="AA1212" s="253">
        <f>_xlfn.XLOOKUP(FME_Ranking1[[#This Row],[FME ID]],FME_Input[FME_ID],FME_Input[ROAD_MILES100])</f>
        <v>3.2148480415344238</v>
      </c>
      <c r="AB1212" s="178">
        <f>(FME_Ranking1[[#This Row],[Miles Raw]]/$AA$2)*100</f>
        <v>4.2269485645519481E-2</v>
      </c>
      <c r="AC1212" s="178">
        <f>FME_Ranking1[[#This Row],[Miles Score (Normalized, Unweighted)]]*$AA$3</f>
        <v>4.2269485645519481E-3</v>
      </c>
      <c r="AD1212" s="255">
        <f>_xlfn.XLOOKUP(FME_Ranking1[[#This Row],[FME ID]],FME_Input[FME_ID],FME_Input[FARMACRE100])</f>
        <v>3.5390110015869141</v>
      </c>
      <c r="AE1212" s="230">
        <f>(FME_Ranking1[[#This Row],[Ag Land Raw]]/$AD$2)*100</f>
        <v>1.4593297130963874E-4</v>
      </c>
      <c r="AF1212" s="231">
        <f>FME_Ranking1[[#This Row],[Ag Land Score (Normalized, Unweighted)]]*$AD$3</f>
        <v>7.2966485654819376E-6</v>
      </c>
      <c r="AG121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5.9069640360348244E-2</v>
      </c>
      <c r="AH1212" s="406">
        <f t="shared" si="18"/>
        <v>1247</v>
      </c>
      <c r="AI121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5.9069640360348244E-2</v>
      </c>
      <c r="AJ1212" s="257">
        <f>FME_Ranking1[[#This Row],[Addition check]]-FME_Ranking1[[#This Row],[Weighted Score Based on Normalized Reported Factors]]</f>
        <v>0</v>
      </c>
      <c r="AK1212" s="178">
        <f>_xlfn.RANK.EQ(AI1212,$AI$6:$AI$2341,0)+COUNTIF($AI$6:AI1212,AI1212)-1</f>
        <v>1247</v>
      </c>
    </row>
    <row r="1213" spans="1:37" x14ac:dyDescent="0.25">
      <c r="A1213" t="s">
        <v>11274</v>
      </c>
      <c r="B1213">
        <f>_xlfn.XLOOKUP(FME_Ranking1[[#This Row],[FME ID]],FME_Input[FME_ID],FME_Input[RFPG_NUM])</f>
        <v>15</v>
      </c>
      <c r="C1213" t="str">
        <f>_xlfn.XLOOKUP(FME_Ranking1[[#This Row],[FME ID]],FME_Input[FME_ID],FME_Input[FME_NAME])</f>
        <v>Clark Rd &amp; Mile 1 E Improvements</v>
      </c>
      <c r="D1213" t="str">
        <f>_xlfn.XLOOKUP(FME_Ranking1[[#This Row],[FME ID]],FME_Input[FME_ID],FME_Input[DESCR])</f>
        <v>Channel Improvements- Ditch 19,19B,19H,23; Local Drainage Improvements-Los Laureles; Local Detention-Los Laureles; Local Drainage Improvements-Clark road and Mile 1 Road; and Bypass Channel and Sump Area for Pump Station</v>
      </c>
      <c r="E1213" s="256">
        <f>_xlfn.XLOOKUP(FME_Ranking1[[#This Row],[FME ID]],FME_Input[FME_ID],FME_Input[FME_COST])</f>
        <v>1526550</v>
      </c>
      <c r="F1213" t="str">
        <f>_xlfn.XLOOKUP(FME_Ranking1[[#This Row],[FME ID]],FME_Input[FME_ID],FME_Input[EMER_NEED])</f>
        <v>Yes</v>
      </c>
      <c r="G1213">
        <f>IF(FME_Ranking!F1213="Yes",100,0)</f>
        <v>100</v>
      </c>
      <c r="H1213">
        <f>FME_Ranking1[[#This Row],[Emergency Need Score (Normalized, Unweighted)]]*$F$3</f>
        <v>0</v>
      </c>
      <c r="I1213" s="246">
        <f>_xlfn.XLOOKUP(FME_Ranking1[[#This Row],[FME ID]],FME_Input[FME_ID],FME_Input[STRUCT_100])</f>
        <v>0</v>
      </c>
      <c r="J1213" s="178">
        <f>(FME_Ranking1[[#This Row],[Structures 100 Raw]]/I$2)*100</f>
        <v>0</v>
      </c>
      <c r="K1213" s="178">
        <f>FME_Ranking1[[#This Row],[Structures 100  Score (Normalized, Unweighted)]]*$I$3</f>
        <v>0</v>
      </c>
      <c r="L1213" s="246">
        <f>_xlfn.XLOOKUP(FME_Ranking1[[#This Row],[FME ID]],FME_Input[FME_ID],FME_Input[RES_STRUCT100])</f>
        <v>368</v>
      </c>
      <c r="M1213" s="230">
        <f>(FME_Ranking1[[#This Row],[Res Structures Raw]]/L$2)*100</f>
        <v>0.26065645762207645</v>
      </c>
      <c r="N1213" s="180">
        <f>FME_Ranking1[[#This Row],[Res Structures Score (Normalized, Unweighted)]]*$L$3</f>
        <v>2.6065645762207646E-2</v>
      </c>
      <c r="O1213" s="244">
        <f>_xlfn.XLOOKUP(FME_Ranking1[[#This Row],[FME ID]],FME_Input[FME_ID],FME_Input[POP100])</f>
        <v>1817</v>
      </c>
      <c r="P1213" s="178">
        <f>(FME_Ranking1[[#This Row],[Pop Raw]]/$O$2)*100</f>
        <v>0.18601594188358289</v>
      </c>
      <c r="Q1213" s="178">
        <f>FME_Ranking1[[#This Row],[Pop Score (Normalized, Unweighted)]]*$O$3</f>
        <v>2.7902391282537433E-2</v>
      </c>
      <c r="R1213" s="137">
        <f>_xlfn.XLOOKUP(FME_Ranking1[[#This Row],[FME ID]],FME_Input[FME_ID],FME_Input[CRITFAC100])</f>
        <v>0</v>
      </c>
      <c r="S1213" s="230">
        <f>(FME_Ranking1[[#This Row],[Critical Facilities Raw]]/$R$2)*100</f>
        <v>0</v>
      </c>
      <c r="T1213" s="180">
        <f>FME_Ranking1[[#This Row],[Critical Facilities Score (Normalized, Unweighted)]]*$R$3</f>
        <v>0</v>
      </c>
      <c r="U1213">
        <f>_xlfn.XLOOKUP(FME_Ranking1[[#This Row],[FME ID]],FME_Input[FME_ID],FME_Input[LWC])</f>
        <v>0</v>
      </c>
      <c r="V1213" s="178">
        <f>(FME_Ranking1[[#This Row],[LWC Raw]]/$U$2)*100</f>
        <v>0</v>
      </c>
      <c r="W1213" s="178">
        <f>FME_Ranking1[[#This Row],[LWC Score (Normalized, Unweighted)]]*$U$3</f>
        <v>0</v>
      </c>
      <c r="X1213" s="246">
        <f>_xlfn.XLOOKUP(FME_Ranking1[[#This Row],[FME ID]],FME_Input[FME_ID],FME_Input[ROADCLS])</f>
        <v>0</v>
      </c>
      <c r="Y1213" s="230">
        <f>(FME_Ranking1[[#This Row],[Closures Raw]]/$X$2)*100</f>
        <v>0</v>
      </c>
      <c r="Z1213" s="180">
        <f>FME_Ranking1[[#This Row],[Closures Score (Normalized, Unweighted)]]*$X$3</f>
        <v>0</v>
      </c>
      <c r="AA1213" s="253">
        <f>_xlfn.XLOOKUP(FME_Ranking1[[#This Row],[FME ID]],FME_Input[FME_ID],FME_Input[ROAD_MILES100])</f>
        <v>19.46360015869141</v>
      </c>
      <c r="AB1213" s="178">
        <f>(FME_Ranking1[[#This Row],[Miles Raw]]/$AA$2)*100</f>
        <v>0.25591143248103898</v>
      </c>
      <c r="AC1213" s="178">
        <f>FME_Ranking1[[#This Row],[Miles Score (Normalized, Unweighted)]]*$AA$3</f>
        <v>2.5591143248103899E-2</v>
      </c>
      <c r="AD1213" s="255">
        <f>_xlfn.XLOOKUP(FME_Ranking1[[#This Row],[FME ID]],FME_Input[FME_ID],FME_Input[FARMACRE100])</f>
        <v>0</v>
      </c>
      <c r="AE1213" s="230">
        <f>(FME_Ranking1[[#This Row],[Ag Land Raw]]/$AD$2)*100</f>
        <v>0</v>
      </c>
      <c r="AF1213" s="231">
        <f>FME_Ranking1[[#This Row],[Ag Land Score (Normalized, Unweighted)]]*$AD$3</f>
        <v>0</v>
      </c>
      <c r="AG121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7.9559180292848974E-2</v>
      </c>
      <c r="AH1213" s="406">
        <f t="shared" si="18"/>
        <v>1138</v>
      </c>
      <c r="AI121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7.9559180292848974E-2</v>
      </c>
      <c r="AJ1213" s="257">
        <f>FME_Ranking1[[#This Row],[Addition check]]-FME_Ranking1[[#This Row],[Weighted Score Based on Normalized Reported Factors]]</f>
        <v>0</v>
      </c>
      <c r="AK1213" s="178">
        <f>_xlfn.RANK.EQ(AI1213,$AI$6:$AI$2341,0)+COUNTIF($AI$6:AI1213,AI1213)-1</f>
        <v>1138</v>
      </c>
    </row>
    <row r="1214" spans="1:37" x14ac:dyDescent="0.25">
      <c r="A1214" t="s">
        <v>11393</v>
      </c>
      <c r="B1214">
        <f>_xlfn.XLOOKUP(FME_Ranking1[[#This Row],[FME ID]],FME_Input[FME_ID],FME_Input[RFPG_NUM])</f>
        <v>15</v>
      </c>
      <c r="C1214" t="str">
        <f>_xlfn.XLOOKUP(FME_Ranking1[[#This Row],[FME ID]],FME_Input[FME_ID],FME_Input[FME_NAME])</f>
        <v>Zapata County</v>
      </c>
      <c r="D1214" t="str">
        <f>_xlfn.XLOOKUP(FME_Ranking1[[#This Row],[FME ID]],FME_Input[FME_ID],FME_Input[DESCR])</f>
        <v>Develop Flood risk maps for the county of Zapata and develop CIP</v>
      </c>
      <c r="E1214" s="256">
        <f>_xlfn.XLOOKUP(FME_Ranking1[[#This Row],[FME ID]],FME_Input[FME_ID],FME_Input[FME_COST])</f>
        <v>250000</v>
      </c>
      <c r="F1214" t="str">
        <f>_xlfn.XLOOKUP(FME_Ranking1[[#This Row],[FME ID]],FME_Input[FME_ID],FME_Input[EMER_NEED])</f>
        <v>Yes</v>
      </c>
      <c r="G1214">
        <f>IF(FME_Ranking!F1214="Yes",100,0)</f>
        <v>100</v>
      </c>
      <c r="H1214">
        <f>FME_Ranking1[[#This Row],[Emergency Need Score (Normalized, Unweighted)]]*$F$3</f>
        <v>0</v>
      </c>
      <c r="I1214" s="246">
        <f>_xlfn.XLOOKUP(FME_Ranking1[[#This Row],[FME ID]],FME_Input[FME_ID],FME_Input[STRUCT_100])</f>
        <v>0</v>
      </c>
      <c r="J1214" s="178">
        <f>(FME_Ranking1[[#This Row],[Structures 100 Raw]]/I$2)*100</f>
        <v>0</v>
      </c>
      <c r="K1214" s="178">
        <f>FME_Ranking1[[#This Row],[Structures 100  Score (Normalized, Unweighted)]]*$I$3</f>
        <v>0</v>
      </c>
      <c r="L1214" s="246">
        <f>_xlfn.XLOOKUP(FME_Ranking1[[#This Row],[FME ID]],FME_Input[FME_ID],FME_Input[RES_STRUCT100])</f>
        <v>369</v>
      </c>
      <c r="M1214" s="230">
        <f>(FME_Ranking1[[#This Row],[Res Structures Raw]]/L$2)*100</f>
        <v>0.26136476321344082</v>
      </c>
      <c r="N1214" s="180">
        <f>FME_Ranking1[[#This Row],[Res Structures Score (Normalized, Unweighted)]]*$L$3</f>
        <v>2.6136476321344082E-2</v>
      </c>
      <c r="O1214" s="244">
        <f>_xlfn.XLOOKUP(FME_Ranking1[[#This Row],[FME ID]],FME_Input[FME_ID],FME_Input[POP100])</f>
        <v>1231</v>
      </c>
      <c r="P1214" s="178">
        <f>(FME_Ranking1[[#This Row],[Pop Raw]]/$O$2)*100</f>
        <v>0.1260240090581676</v>
      </c>
      <c r="Q1214" s="178">
        <f>FME_Ranking1[[#This Row],[Pop Score (Normalized, Unweighted)]]*$O$3</f>
        <v>1.8903601358725139E-2</v>
      </c>
      <c r="R1214" s="137">
        <f>_xlfn.XLOOKUP(FME_Ranking1[[#This Row],[FME ID]],FME_Input[FME_ID],FME_Input[CRITFAC100])</f>
        <v>1</v>
      </c>
      <c r="S1214" s="230">
        <f>(FME_Ranking1[[#This Row],[Critical Facilities Raw]]/$R$2)*100</f>
        <v>4.2881646655231559E-2</v>
      </c>
      <c r="T1214" s="180">
        <f>FME_Ranking1[[#This Row],[Critical Facilities Score (Normalized, Unweighted)]]*$R$3</f>
        <v>8.5763293310463125E-3</v>
      </c>
      <c r="U1214">
        <f>_xlfn.XLOOKUP(FME_Ranking1[[#This Row],[FME ID]],FME_Input[FME_ID],FME_Input[LWC])</f>
        <v>0</v>
      </c>
      <c r="V1214" s="178">
        <f>(FME_Ranking1[[#This Row],[LWC Raw]]/$U$2)*100</f>
        <v>0</v>
      </c>
      <c r="W1214" s="178">
        <f>FME_Ranking1[[#This Row],[LWC Score (Normalized, Unweighted)]]*$U$3</f>
        <v>0</v>
      </c>
      <c r="X1214" s="246">
        <f>_xlfn.XLOOKUP(FME_Ranking1[[#This Row],[FME ID]],FME_Input[FME_ID],FME_Input[ROADCLS])</f>
        <v>0</v>
      </c>
      <c r="Y1214" s="230">
        <f>(FME_Ranking1[[#This Row],[Closures Raw]]/$X$2)*100</f>
        <v>0</v>
      </c>
      <c r="Z1214" s="180">
        <f>FME_Ranking1[[#This Row],[Closures Score (Normalized, Unweighted)]]*$X$3</f>
        <v>0</v>
      </c>
      <c r="AA1214" s="253">
        <f>_xlfn.XLOOKUP(FME_Ranking1[[#This Row],[FME ID]],FME_Input[FME_ID],FME_Input[ROAD_MILES100])</f>
        <v>196.79899597167969</v>
      </c>
      <c r="AB1214" s="178">
        <f>(FME_Ranking1[[#This Row],[Miles Raw]]/$AA$2)*100</f>
        <v>2.5875538214575005</v>
      </c>
      <c r="AC1214" s="178">
        <f>FME_Ranking1[[#This Row],[Miles Score (Normalized, Unweighted)]]*$AA$3</f>
        <v>0.25875538214575006</v>
      </c>
      <c r="AD1214" s="255">
        <f>_xlfn.XLOOKUP(FME_Ranking1[[#This Row],[FME ID]],FME_Input[FME_ID],FME_Input[FARMACRE100])</f>
        <v>0</v>
      </c>
      <c r="AE1214" s="230">
        <f>(FME_Ranking1[[#This Row],[Ag Land Raw]]/$AD$2)*100</f>
        <v>0</v>
      </c>
      <c r="AF1214" s="231">
        <f>FME_Ranking1[[#This Row],[Ag Land Score (Normalized, Unweighted)]]*$AD$3</f>
        <v>0</v>
      </c>
      <c r="AG121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0.31237178915686559</v>
      </c>
      <c r="AH1214" s="406">
        <f t="shared" si="18"/>
        <v>605</v>
      </c>
      <c r="AI121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0.31237178915686559</v>
      </c>
      <c r="AJ1214" s="257">
        <f>FME_Ranking1[[#This Row],[Addition check]]-FME_Ranking1[[#This Row],[Weighted Score Based on Normalized Reported Factors]]</f>
        <v>0</v>
      </c>
      <c r="AK1214" s="178">
        <f>_xlfn.RANK.EQ(AI1214,$AI$6:$AI$2341,0)+COUNTIF($AI$6:AI1214,AI1214)-1</f>
        <v>605</v>
      </c>
    </row>
    <row r="1215" spans="1:37" x14ac:dyDescent="0.25">
      <c r="A1215" t="s">
        <v>1659</v>
      </c>
      <c r="B1215">
        <f>_xlfn.XLOOKUP(FME_Ranking1[[#This Row],[FME ID]],FME_Input[FME_ID],FME_Input[RFPG_NUM])</f>
        <v>6</v>
      </c>
      <c r="C1215" t="str">
        <f>_xlfn.XLOOKUP(FME_Ranking1[[#This Row],[FME ID]],FME_Input[FME_ID],FME_Input[FME_NAME])</f>
        <v>City of Missouri City  Master Drainage Plan</v>
      </c>
      <c r="D1215" t="str">
        <f>_xlfn.XLOOKUP(FME_Ranking1[[#This Row],[FME ID]],FME_Input[FME_ID],FME_Input[DESCR])</f>
        <v>Study to develop Master Drainage Plan using future and existing land use and flood/storm water drainage needs including Atlas 14 rainfall.</v>
      </c>
      <c r="E1215" s="256">
        <f>_xlfn.XLOOKUP(FME_Ranking1[[#This Row],[FME ID]],FME_Input[FME_ID],FME_Input[FME_COST])</f>
        <v>470000</v>
      </c>
      <c r="F1215" t="str">
        <f>_xlfn.XLOOKUP(FME_Ranking1[[#This Row],[FME ID]],FME_Input[FME_ID],FME_Input[EMER_NEED])</f>
        <v>No</v>
      </c>
      <c r="G1215">
        <f>IF(FME_Ranking!F1215="Yes",100,0)</f>
        <v>0</v>
      </c>
      <c r="H1215">
        <f>FME_Ranking1[[#This Row],[Emergency Need Score (Normalized, Unweighted)]]*$F$3</f>
        <v>0</v>
      </c>
      <c r="I1215" s="246">
        <f>_xlfn.XLOOKUP(FME_Ranking1[[#This Row],[FME ID]],FME_Input[FME_ID],FME_Input[STRUCT_100])</f>
        <v>213</v>
      </c>
      <c r="J1215" s="178">
        <f>(FME_Ranking1[[#This Row],[Structures 100 Raw]]/I$2)*100</f>
        <v>0.11405988947436063</v>
      </c>
      <c r="K1215" s="178">
        <f>FME_Ranking1[[#This Row],[Structures 100  Score (Normalized, Unweighted)]]*$I$3</f>
        <v>1.7108983421154095E-2</v>
      </c>
      <c r="L1215" s="246">
        <f>_xlfn.XLOOKUP(FME_Ranking1[[#This Row],[FME ID]],FME_Input[FME_ID],FME_Input[RES_STRUCT100])</f>
        <v>162</v>
      </c>
      <c r="M1215" s="230">
        <f>(FME_Ranking1[[#This Row],[Res Structures Raw]]/L$2)*100</f>
        <v>0.11474550580102279</v>
      </c>
      <c r="N1215" s="180">
        <f>FME_Ranking1[[#This Row],[Res Structures Score (Normalized, Unweighted)]]*$L$3</f>
        <v>1.1474550580102279E-2</v>
      </c>
      <c r="O1215" s="244">
        <f>_xlfn.XLOOKUP(FME_Ranking1[[#This Row],[FME ID]],FME_Input[FME_ID],FME_Input[POP100])</f>
        <v>1060</v>
      </c>
      <c r="P1215" s="178">
        <f>(FME_Ranking1[[#This Row],[Pop Raw]]/$O$2)*100</f>
        <v>0.10851783070808908</v>
      </c>
      <c r="Q1215" s="178">
        <f>FME_Ranking1[[#This Row],[Pop Score (Normalized, Unweighted)]]*$O$3</f>
        <v>1.6277674606213363E-2</v>
      </c>
      <c r="R1215" s="137">
        <f>_xlfn.XLOOKUP(FME_Ranking1[[#This Row],[FME ID]],FME_Input[FME_ID],FME_Input[CRITFAC100])</f>
        <v>1</v>
      </c>
      <c r="S1215" s="230">
        <f>(FME_Ranking1[[#This Row],[Critical Facilities Raw]]/$R$2)*100</f>
        <v>4.2881646655231559E-2</v>
      </c>
      <c r="T1215" s="180">
        <f>FME_Ranking1[[#This Row],[Critical Facilities Score (Normalized, Unweighted)]]*$R$3</f>
        <v>8.5763293310463125E-3</v>
      </c>
      <c r="U1215">
        <f>_xlfn.XLOOKUP(FME_Ranking1[[#This Row],[FME ID]],FME_Input[FME_ID],FME_Input[LWC])</f>
        <v>0</v>
      </c>
      <c r="V1215" s="178">
        <f>(FME_Ranking1[[#This Row],[LWC Raw]]/$U$2)*100</f>
        <v>0</v>
      </c>
      <c r="W1215" s="178">
        <f>FME_Ranking1[[#This Row],[LWC Score (Normalized, Unweighted)]]*$U$3</f>
        <v>0</v>
      </c>
      <c r="X1215" s="246">
        <f>_xlfn.XLOOKUP(FME_Ranking1[[#This Row],[FME ID]],FME_Input[FME_ID],FME_Input[ROADCLS])</f>
        <v>0</v>
      </c>
      <c r="Y1215" s="230">
        <f>(FME_Ranking1[[#This Row],[Closures Raw]]/$X$2)*100</f>
        <v>0</v>
      </c>
      <c r="Z1215" s="180">
        <f>FME_Ranking1[[#This Row],[Closures Score (Normalized, Unweighted)]]*$X$3</f>
        <v>0</v>
      </c>
      <c r="AA1215" s="253">
        <f>_xlfn.XLOOKUP(FME_Ranking1[[#This Row],[FME ID]],FME_Input[FME_ID],FME_Input[ROAD_MILES100])</f>
        <v>2.6167595386505131</v>
      </c>
      <c r="AB1215" s="178">
        <f>(FME_Ranking1[[#This Row],[Miles Raw]]/$AA$2)*100</f>
        <v>3.4405694554686048E-2</v>
      </c>
      <c r="AC1215" s="178">
        <f>FME_Ranking1[[#This Row],[Miles Score (Normalized, Unweighted)]]*$AA$3</f>
        <v>3.4405694554686048E-3</v>
      </c>
      <c r="AD1215" s="255">
        <f>_xlfn.XLOOKUP(FME_Ranking1[[#This Row],[FME ID]],FME_Input[FME_ID],FME_Input[FARMACRE100])</f>
        <v>2.0866527557373051</v>
      </c>
      <c r="AE1215" s="230">
        <f>(FME_Ranking1[[#This Row],[Ag Land Raw]]/$AD$2)*100</f>
        <v>8.6044218737846824E-5</v>
      </c>
      <c r="AF1215" s="231">
        <f>FME_Ranking1[[#This Row],[Ag Land Score (Normalized, Unweighted)]]*$AD$3</f>
        <v>4.3022109368923415E-6</v>
      </c>
      <c r="AG121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5.6882409604921545E-2</v>
      </c>
      <c r="AH1215" s="406">
        <f t="shared" si="18"/>
        <v>1253</v>
      </c>
      <c r="AI121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5.6882409604921545E-2</v>
      </c>
      <c r="AJ1215" s="257">
        <f>FME_Ranking1[[#This Row],[Addition check]]-FME_Ranking1[[#This Row],[Weighted Score Based on Normalized Reported Factors]]</f>
        <v>0</v>
      </c>
      <c r="AK1215" s="178">
        <f>_xlfn.RANK.EQ(AI1215,$AI$6:$AI$2341,0)+COUNTIF($AI$6:AI1215,AI1215)-1</f>
        <v>1253</v>
      </c>
    </row>
    <row r="1216" spans="1:37" x14ac:dyDescent="0.25">
      <c r="A1216" t="s">
        <v>11356</v>
      </c>
      <c r="B1216">
        <f>_xlfn.XLOOKUP(FME_Ranking1[[#This Row],[FME ID]],FME_Input[FME_ID],FME_Input[RFPG_NUM])</f>
        <v>15</v>
      </c>
      <c r="C1216" t="str">
        <f>_xlfn.XLOOKUP(FME_Ranking1[[#This Row],[FME ID]],FME_Input[FME_ID],FME_Input[FME_NAME])</f>
        <v>City of Rio Bravo</v>
      </c>
      <c r="D1216" t="str">
        <f>_xlfn.XLOOKUP(FME_Ranking1[[#This Row],[FME ID]],FME_Input[FME_ID],FME_Input[DESCR])</f>
        <v>Develop Flood risk maps for the city of Rio Bravo and develop CIP</v>
      </c>
      <c r="E1216" s="256">
        <f>_xlfn.XLOOKUP(FME_Ranking1[[#This Row],[FME ID]],FME_Input[FME_ID],FME_Input[FME_COST])</f>
        <v>250000</v>
      </c>
      <c r="F1216" t="str">
        <f>_xlfn.XLOOKUP(FME_Ranking1[[#This Row],[FME ID]],FME_Input[FME_ID],FME_Input[EMER_NEED])</f>
        <v>Yes</v>
      </c>
      <c r="G1216">
        <f>IF(FME_Ranking!F1216="Yes",100,0)</f>
        <v>100</v>
      </c>
      <c r="H1216">
        <f>FME_Ranking1[[#This Row],[Emergency Need Score (Normalized, Unweighted)]]*$F$3</f>
        <v>0</v>
      </c>
      <c r="I1216" s="246">
        <f>_xlfn.XLOOKUP(FME_Ranking1[[#This Row],[FME ID]],FME_Input[FME_ID],FME_Input[STRUCT_100])</f>
        <v>0</v>
      </c>
      <c r="J1216" s="178">
        <f>(FME_Ranking1[[#This Row],[Structures 100 Raw]]/I$2)*100</f>
        <v>0</v>
      </c>
      <c r="K1216" s="178">
        <f>FME_Ranking1[[#This Row],[Structures 100  Score (Normalized, Unweighted)]]*$I$3</f>
        <v>0</v>
      </c>
      <c r="L1216" s="246">
        <f>_xlfn.XLOOKUP(FME_Ranking1[[#This Row],[FME ID]],FME_Input[FME_ID],FME_Input[RES_STRUCT100])</f>
        <v>263</v>
      </c>
      <c r="M1216" s="230">
        <f>(FME_Ranking1[[#This Row],[Res Structures Raw]]/L$2)*100</f>
        <v>0.18628437052882094</v>
      </c>
      <c r="N1216" s="180">
        <f>FME_Ranking1[[#This Row],[Res Structures Score (Normalized, Unweighted)]]*$L$3</f>
        <v>1.8628437052882096E-2</v>
      </c>
      <c r="O1216" s="244">
        <f>_xlfn.XLOOKUP(FME_Ranking1[[#This Row],[FME ID]],FME_Input[FME_ID],FME_Input[POP100])</f>
        <v>1660</v>
      </c>
      <c r="P1216" s="178">
        <f>(FME_Ranking1[[#This Row],[Pop Raw]]/$O$2)*100</f>
        <v>0.16994301790134705</v>
      </c>
      <c r="Q1216" s="178">
        <f>FME_Ranking1[[#This Row],[Pop Score (Normalized, Unweighted)]]*$O$3</f>
        <v>2.5491452685202056E-2</v>
      </c>
      <c r="R1216" s="137">
        <f>_xlfn.XLOOKUP(FME_Ranking1[[#This Row],[FME ID]],FME_Input[FME_ID],FME_Input[CRITFAC100])</f>
        <v>1</v>
      </c>
      <c r="S1216" s="230">
        <f>(FME_Ranking1[[#This Row],[Critical Facilities Raw]]/$R$2)*100</f>
        <v>4.2881646655231559E-2</v>
      </c>
      <c r="T1216" s="180">
        <f>FME_Ranking1[[#This Row],[Critical Facilities Score (Normalized, Unweighted)]]*$R$3</f>
        <v>8.5763293310463125E-3</v>
      </c>
      <c r="U1216">
        <f>_xlfn.XLOOKUP(FME_Ranking1[[#This Row],[FME ID]],FME_Input[FME_ID],FME_Input[LWC])</f>
        <v>0</v>
      </c>
      <c r="V1216" s="178">
        <f>(FME_Ranking1[[#This Row],[LWC Raw]]/$U$2)*100</f>
        <v>0</v>
      </c>
      <c r="W1216" s="178">
        <f>FME_Ranking1[[#This Row],[LWC Score (Normalized, Unweighted)]]*$U$3</f>
        <v>0</v>
      </c>
      <c r="X1216" s="246">
        <f>_xlfn.XLOOKUP(FME_Ranking1[[#This Row],[FME ID]],FME_Input[FME_ID],FME_Input[ROADCLS])</f>
        <v>0</v>
      </c>
      <c r="Y1216" s="230">
        <f>(FME_Ranking1[[#This Row],[Closures Raw]]/$X$2)*100</f>
        <v>0</v>
      </c>
      <c r="Z1216" s="180">
        <f>FME_Ranking1[[#This Row],[Closures Score (Normalized, Unweighted)]]*$X$3</f>
        <v>0</v>
      </c>
      <c r="AA1216" s="253">
        <f>_xlfn.XLOOKUP(FME_Ranking1[[#This Row],[FME ID]],FME_Input[FME_ID],FME_Input[ROAD_MILES100])</f>
        <v>7.0324797630310059</v>
      </c>
      <c r="AB1216" s="178">
        <f>(FME_Ranking1[[#This Row],[Miles Raw]]/$AA$2)*100</f>
        <v>9.2464495539255898E-2</v>
      </c>
      <c r="AC1216" s="178">
        <f>FME_Ranking1[[#This Row],[Miles Score (Normalized, Unweighted)]]*$AA$3</f>
        <v>9.2464495539255898E-3</v>
      </c>
      <c r="AD1216" s="255">
        <f>_xlfn.XLOOKUP(FME_Ranking1[[#This Row],[FME ID]],FME_Input[FME_ID],FME_Input[FARMACRE100])</f>
        <v>0</v>
      </c>
      <c r="AE1216" s="230">
        <f>(FME_Ranking1[[#This Row],[Ag Land Raw]]/$AD$2)*100</f>
        <v>0</v>
      </c>
      <c r="AF1216" s="231">
        <f>FME_Ranking1[[#This Row],[Ag Land Score (Normalized, Unweighted)]]*$AD$3</f>
        <v>0</v>
      </c>
      <c r="AG121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6.1942668623056057E-2</v>
      </c>
      <c r="AH1216" s="406">
        <f t="shared" si="18"/>
        <v>1234</v>
      </c>
      <c r="AI121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6.1942668623056057E-2</v>
      </c>
      <c r="AJ1216" s="257">
        <f>FME_Ranking1[[#This Row],[Addition check]]-FME_Ranking1[[#This Row],[Weighted Score Based on Normalized Reported Factors]]</f>
        <v>0</v>
      </c>
      <c r="AK1216" s="178">
        <f>_xlfn.RANK.EQ(AI1216,$AI$6:$AI$2341,0)+COUNTIF($AI$6:AI1216,AI1216)-1</f>
        <v>1234</v>
      </c>
    </row>
    <row r="1217" spans="1:37" x14ac:dyDescent="0.25">
      <c r="A1217" t="s">
        <v>9536</v>
      </c>
      <c r="B1217">
        <f>_xlfn.XLOOKUP(FME_Ranking1[[#This Row],[FME ID]],FME_Input[FME_ID],FME_Input[RFPG_NUM])</f>
        <v>12</v>
      </c>
      <c r="C1217" t="str">
        <f>_xlfn.XLOOKUP(FME_Ranking1[[#This Row],[FME ID]],FME_Input[FME_ID],FME_Input[FME_NAME])</f>
        <v>Damage Center 20-Matinez Creek</v>
      </c>
      <c r="D1217" t="str">
        <f>_xlfn.XLOOKUP(FME_Ranking1[[#This Row],[FME ID]],FME_Input[FME_ID],FME_Input[DESCR])</f>
        <v>Lateral detention is a viable alternative for this project and could be used in conjunction with  VPA,  and  reduced  channelization,  to  meet  the  desired  outcomes  of  multi-use functionality  and  flood  reduction.</v>
      </c>
      <c r="E1217" s="256">
        <f>_xlfn.XLOOKUP(FME_Ranking1[[#This Row],[FME ID]],FME_Input[FME_ID],FME_Input[FME_COST])</f>
        <v>66565784</v>
      </c>
      <c r="F1217" t="str">
        <f>_xlfn.XLOOKUP(FME_Ranking1[[#This Row],[FME ID]],FME_Input[FME_ID],FME_Input[EMER_NEED])</f>
        <v>No</v>
      </c>
      <c r="G1217">
        <f>IF(FME_Ranking!F1217="Yes",100,0)</f>
        <v>0</v>
      </c>
      <c r="H1217">
        <f>FME_Ranking1[[#This Row],[Emergency Need Score (Normalized, Unweighted)]]*$F$3</f>
        <v>0</v>
      </c>
      <c r="I1217" s="246">
        <f>_xlfn.XLOOKUP(FME_Ranking1[[#This Row],[FME ID]],FME_Input[FME_ID],FME_Input[STRUCT_100])</f>
        <v>202</v>
      </c>
      <c r="J1217" s="178">
        <f>(FME_Ranking1[[#This Row],[Structures 100 Raw]]/I$2)*100</f>
        <v>0.10816947264704621</v>
      </c>
      <c r="K1217" s="178">
        <f>FME_Ranking1[[#This Row],[Structures 100  Score (Normalized, Unweighted)]]*$I$3</f>
        <v>1.622542089705693E-2</v>
      </c>
      <c r="L1217" s="246">
        <f>_xlfn.XLOOKUP(FME_Ranking1[[#This Row],[FME ID]],FME_Input[FME_ID],FME_Input[RES_STRUCT100])</f>
        <v>192</v>
      </c>
      <c r="M1217" s="230">
        <f>(FME_Ranking1[[#This Row],[Res Structures Raw]]/L$2)*100</f>
        <v>0.13599467354195294</v>
      </c>
      <c r="N1217" s="180">
        <f>FME_Ranking1[[#This Row],[Res Structures Score (Normalized, Unweighted)]]*$L$3</f>
        <v>1.3599467354195295E-2</v>
      </c>
      <c r="O1217" s="244">
        <f>_xlfn.XLOOKUP(FME_Ranking1[[#This Row],[FME ID]],FME_Input[FME_ID],FME_Input[POP100])</f>
        <v>593</v>
      </c>
      <c r="P1217" s="178">
        <f>(FME_Ranking1[[#This Row],[Pop Raw]]/$O$2)*100</f>
        <v>6.070856000933663E-2</v>
      </c>
      <c r="Q1217" s="178">
        <f>FME_Ranking1[[#This Row],[Pop Score (Normalized, Unweighted)]]*$O$3</f>
        <v>9.1062840014004935E-3</v>
      </c>
      <c r="R1217" s="137">
        <f>_xlfn.XLOOKUP(FME_Ranking1[[#This Row],[FME ID]],FME_Input[FME_ID],FME_Input[CRITFAC100])</f>
        <v>0</v>
      </c>
      <c r="S1217" s="230">
        <f>(FME_Ranking1[[#This Row],[Critical Facilities Raw]]/$R$2)*100</f>
        <v>0</v>
      </c>
      <c r="T1217" s="180">
        <f>FME_Ranking1[[#This Row],[Critical Facilities Score (Normalized, Unweighted)]]*$R$3</f>
        <v>0</v>
      </c>
      <c r="U1217">
        <f>_xlfn.XLOOKUP(FME_Ranking1[[#This Row],[FME ID]],FME_Input[FME_ID],FME_Input[LWC])</f>
        <v>0</v>
      </c>
      <c r="V1217" s="178">
        <f>(FME_Ranking1[[#This Row],[LWC Raw]]/$U$2)*100</f>
        <v>0</v>
      </c>
      <c r="W1217" s="178">
        <f>FME_Ranking1[[#This Row],[LWC Score (Normalized, Unweighted)]]*$U$3</f>
        <v>0</v>
      </c>
      <c r="X1217" s="246">
        <f>_xlfn.XLOOKUP(FME_Ranking1[[#This Row],[FME ID]],FME_Input[FME_ID],FME_Input[ROADCLS])</f>
        <v>26</v>
      </c>
      <c r="Y1217" s="230">
        <f>(FME_Ranking1[[#This Row],[Closures Raw]]/$X$2)*100</f>
        <v>0.27336767952896646</v>
      </c>
      <c r="Z1217" s="180">
        <f>FME_Ranking1[[#This Row],[Closures Score (Normalized, Unweighted)]]*$X$3</f>
        <v>1.3668383976448324E-2</v>
      </c>
      <c r="AA1217" s="253">
        <f>_xlfn.XLOOKUP(FME_Ranking1[[#This Row],[FME ID]],FME_Input[FME_ID],FME_Input[ROAD_MILES100])</f>
        <v>2.7300000190734859</v>
      </c>
      <c r="AB1217" s="178">
        <f>(FME_Ranking1[[#This Row],[Miles Raw]]/$AA$2)*100</f>
        <v>3.5894603765911463E-2</v>
      </c>
      <c r="AC1217" s="178">
        <f>FME_Ranking1[[#This Row],[Miles Score (Normalized, Unweighted)]]*$AA$3</f>
        <v>3.5894603765911463E-3</v>
      </c>
      <c r="AD1217" s="255">
        <f>_xlfn.XLOOKUP(FME_Ranking1[[#This Row],[FME ID]],FME_Input[FME_ID],FME_Input[FARMACRE100])</f>
        <v>0</v>
      </c>
      <c r="AE1217" s="230">
        <f>(FME_Ranking1[[#This Row],[Ag Land Raw]]/$AD$2)*100</f>
        <v>0</v>
      </c>
      <c r="AF1217" s="231">
        <f>FME_Ranking1[[#This Row],[Ag Land Score (Normalized, Unweighted)]]*$AD$3</f>
        <v>0</v>
      </c>
      <c r="AG121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5.6189016605692185E-2</v>
      </c>
      <c r="AH1217" s="406">
        <f t="shared" si="18"/>
        <v>1261</v>
      </c>
      <c r="AI121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5.6189016605692185E-2</v>
      </c>
      <c r="AJ1217" s="257">
        <f>FME_Ranking1[[#This Row],[Addition check]]-FME_Ranking1[[#This Row],[Weighted Score Based on Normalized Reported Factors]]</f>
        <v>0</v>
      </c>
      <c r="AK1217" s="178">
        <f>_xlfn.RANK.EQ(AI1217,$AI$6:$AI$2341,0)+COUNTIF($AI$6:AI1217,AI1217)-1</f>
        <v>1261</v>
      </c>
    </row>
    <row r="1218" spans="1:37" x14ac:dyDescent="0.25">
      <c r="A1218" t="s">
        <v>6283</v>
      </c>
      <c r="B1218">
        <f>_xlfn.XLOOKUP(FME_Ranking1[[#This Row],[FME ID]],FME_Input[FME_ID],FME_Input[RFPG_NUM])</f>
        <v>5</v>
      </c>
      <c r="C1218" t="str">
        <f>_xlfn.XLOOKUP(FME_Ranking1[[#This Row],[FME ID]],FME_Input[FME_ID],FME_Input[FME_NAME])</f>
        <v>Pure Oil Ditch Improvements</v>
      </c>
      <c r="D1218" t="str">
        <f>_xlfn.XLOOKUP(FME_Ranking1[[#This Row],[FME ID]],FME_Input[FME_ID],FME_Input[DESCR])</f>
        <v>H&amp;H study to identify alternatives for Pure Oil Ditch</v>
      </c>
      <c r="E1218" s="256">
        <f>_xlfn.XLOOKUP(FME_Ranking1[[#This Row],[FME ID]],FME_Input[FME_ID],FME_Input[FME_COST])</f>
        <v>100000</v>
      </c>
      <c r="F1218" t="str">
        <f>_xlfn.XLOOKUP(FME_Ranking1[[#This Row],[FME ID]],FME_Input[FME_ID],FME_Input[EMER_NEED])</f>
        <v>Yes</v>
      </c>
      <c r="G1218">
        <f>IF(FME_Ranking!F1218="Yes",100,0)</f>
        <v>100</v>
      </c>
      <c r="H1218">
        <f>FME_Ranking1[[#This Row],[Emergency Need Score (Normalized, Unweighted)]]*$F$3</f>
        <v>0</v>
      </c>
      <c r="I1218" s="246">
        <f>_xlfn.XLOOKUP(FME_Ranking1[[#This Row],[FME ID]],FME_Input[FME_ID],FME_Input[STRUCT_100])</f>
        <v>6</v>
      </c>
      <c r="J1218" s="178">
        <f>(FME_Ranking1[[#This Row],[Structures 100 Raw]]/I$2)*100</f>
        <v>3.2129546330805807E-3</v>
      </c>
      <c r="K1218" s="178">
        <f>FME_Ranking1[[#This Row],[Structures 100  Score (Normalized, Unweighted)]]*$I$3</f>
        <v>4.8194319496208709E-4</v>
      </c>
      <c r="L1218" s="246">
        <f>_xlfn.XLOOKUP(FME_Ranking1[[#This Row],[FME ID]],FME_Input[FME_ID],FME_Input[RES_STRUCT100])</f>
        <v>0</v>
      </c>
      <c r="M1218" s="230">
        <f>(FME_Ranking1[[#This Row],[Res Structures Raw]]/L$2)*100</f>
        <v>0</v>
      </c>
      <c r="N1218" s="180">
        <f>FME_Ranking1[[#This Row],[Res Structures Score (Normalized, Unweighted)]]*$L$3</f>
        <v>0</v>
      </c>
      <c r="O1218" s="244">
        <f>_xlfn.XLOOKUP(FME_Ranking1[[#This Row],[FME ID]],FME_Input[FME_ID],FME_Input[POP100])</f>
        <v>33</v>
      </c>
      <c r="P1218" s="178">
        <f>(FME_Ranking1[[#This Row],[Pop Raw]]/$O$2)*100</f>
        <v>3.3783852956291885E-3</v>
      </c>
      <c r="Q1218" s="178">
        <f>FME_Ranking1[[#This Row],[Pop Score (Normalized, Unweighted)]]*$O$3</f>
        <v>5.0675779434437829E-4</v>
      </c>
      <c r="R1218" s="137">
        <f>_xlfn.XLOOKUP(FME_Ranking1[[#This Row],[FME ID]],FME_Input[FME_ID],FME_Input[CRITFAC100])</f>
        <v>6</v>
      </c>
      <c r="S1218" s="230">
        <f>(FME_Ranking1[[#This Row],[Critical Facilities Raw]]/$R$2)*100</f>
        <v>0.25728987993138941</v>
      </c>
      <c r="T1218" s="180">
        <f>FME_Ranking1[[#This Row],[Critical Facilities Score (Normalized, Unweighted)]]*$R$3</f>
        <v>5.1457975986277882E-2</v>
      </c>
      <c r="U1218">
        <f>_xlfn.XLOOKUP(FME_Ranking1[[#This Row],[FME ID]],FME_Input[FME_ID],FME_Input[LWC])</f>
        <v>0</v>
      </c>
      <c r="V1218" s="178">
        <f>(FME_Ranking1[[#This Row],[LWC Raw]]/$U$2)*100</f>
        <v>0</v>
      </c>
      <c r="W1218" s="178">
        <f>FME_Ranking1[[#This Row],[LWC Score (Normalized, Unweighted)]]*$U$3</f>
        <v>0</v>
      </c>
      <c r="X1218" s="246">
        <f>_xlfn.XLOOKUP(FME_Ranking1[[#This Row],[FME ID]],FME_Input[FME_ID],FME_Input[ROADCLS])</f>
        <v>0</v>
      </c>
      <c r="Y1218" s="230">
        <f>(FME_Ranking1[[#This Row],[Closures Raw]]/$X$2)*100</f>
        <v>0</v>
      </c>
      <c r="Z1218" s="180">
        <f>FME_Ranking1[[#This Row],[Closures Score (Normalized, Unweighted)]]*$X$3</f>
        <v>0</v>
      </c>
      <c r="AA1218" s="253">
        <f>_xlfn.XLOOKUP(FME_Ranking1[[#This Row],[FME ID]],FME_Input[FME_ID],FME_Input[ROAD_MILES100])</f>
        <v>0</v>
      </c>
      <c r="AB1218" s="178">
        <f>(FME_Ranking1[[#This Row],[Miles Raw]]/$AA$2)*100</f>
        <v>0</v>
      </c>
      <c r="AC1218" s="178">
        <f>FME_Ranking1[[#This Row],[Miles Score (Normalized, Unweighted)]]*$AA$3</f>
        <v>0</v>
      </c>
      <c r="AD1218" s="255">
        <f>_xlfn.XLOOKUP(FME_Ranking1[[#This Row],[FME ID]],FME_Input[FME_ID],FME_Input[FARMACRE100])</f>
        <v>2.6983542442321782</v>
      </c>
      <c r="AE1218" s="230">
        <f>(FME_Ranking1[[#This Row],[Ag Land Raw]]/$AD$2)*100</f>
        <v>1.112680498394053E-4</v>
      </c>
      <c r="AF1218" s="231">
        <f>FME_Ranking1[[#This Row],[Ag Land Score (Normalized, Unweighted)]]*$AD$3</f>
        <v>5.563402491970265E-6</v>
      </c>
      <c r="AG121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5.2452240378076317E-2</v>
      </c>
      <c r="AH1218" s="406">
        <f t="shared" si="18"/>
        <v>1294</v>
      </c>
      <c r="AI121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5.2452240378076317E-2</v>
      </c>
      <c r="AJ1218" s="257">
        <f>FME_Ranking1[[#This Row],[Addition check]]-FME_Ranking1[[#This Row],[Weighted Score Based on Normalized Reported Factors]]</f>
        <v>0</v>
      </c>
      <c r="AK1218" s="178">
        <f>_xlfn.RANK.EQ(AI1218,$AI$6:$AI$2341,0)+COUNTIF($AI$6:AI1218,AI1218)-1</f>
        <v>1294</v>
      </c>
    </row>
    <row r="1219" spans="1:37" x14ac:dyDescent="0.25">
      <c r="A1219" t="s">
        <v>3764</v>
      </c>
      <c r="B1219">
        <f>_xlfn.XLOOKUP(FME_Ranking1[[#This Row],[FME ID]],FME_Input[FME_ID],FME_Input[RFPG_NUM])</f>
        <v>2</v>
      </c>
      <c r="C1219" t="str">
        <f>_xlfn.XLOOKUP(FME_Ranking1[[#This Row],[FME ID]],FME_Input[FME_ID],FME_Input[FME_NAME])</f>
        <v>Pecan to Waggoner Creek Channel Improvements</v>
      </c>
      <c r="D1219" t="str">
        <f>_xlfn.XLOOKUP(FME_Ranking1[[#This Row],[FME ID]],FME_Input[FME_ID],FME_Input[DESCR])</f>
        <v>Channel improvements east of Pecan to Waggoner Creek.</v>
      </c>
      <c r="E1219" s="256">
        <f>_xlfn.XLOOKUP(FME_Ranking1[[#This Row],[FME ID]],FME_Input[FME_ID],FME_Input[FME_COST])</f>
        <v>250000</v>
      </c>
      <c r="F1219" t="str">
        <f>_xlfn.XLOOKUP(FME_Ranking1[[#This Row],[FME ID]],FME_Input[FME_ID],FME_Input[EMER_NEED])</f>
        <v>No</v>
      </c>
      <c r="G1219">
        <f>IF(FME_Ranking!F1219="Yes",100,0)</f>
        <v>0</v>
      </c>
      <c r="H1219">
        <f>FME_Ranking1[[#This Row],[Emergency Need Score (Normalized, Unweighted)]]*$F$3</f>
        <v>0</v>
      </c>
      <c r="I1219" s="246">
        <f>_xlfn.XLOOKUP(FME_Ranking1[[#This Row],[FME ID]],FME_Input[FME_ID],FME_Input[STRUCT_100])</f>
        <v>154</v>
      </c>
      <c r="J1219" s="178">
        <f>(FME_Ranking1[[#This Row],[Structures 100 Raw]]/I$2)*100</f>
        <v>8.2465835582401573E-2</v>
      </c>
      <c r="K1219" s="178">
        <f>FME_Ranking1[[#This Row],[Structures 100  Score (Normalized, Unweighted)]]*$I$3</f>
        <v>1.2369875337360236E-2</v>
      </c>
      <c r="L1219" s="246">
        <f>_xlfn.XLOOKUP(FME_Ranking1[[#This Row],[FME ID]],FME_Input[FME_ID],FME_Input[RES_STRUCT100])</f>
        <v>129</v>
      </c>
      <c r="M1219" s="230">
        <f>(FME_Ranking1[[#This Row],[Res Structures Raw]]/L$2)*100</f>
        <v>9.1371421285999621E-2</v>
      </c>
      <c r="N1219" s="180">
        <f>FME_Ranking1[[#This Row],[Res Structures Score (Normalized, Unweighted)]]*$L$3</f>
        <v>9.1371421285999632E-3</v>
      </c>
      <c r="O1219" s="244">
        <f>_xlfn.XLOOKUP(FME_Ranking1[[#This Row],[FME ID]],FME_Input[FME_ID],FME_Input[POP100])</f>
        <v>686</v>
      </c>
      <c r="P1219" s="178">
        <f>(FME_Ranking1[[#This Row],[Pop Raw]]/$O$2)*100</f>
        <v>7.0229464024291616E-2</v>
      </c>
      <c r="Q1219" s="178">
        <f>FME_Ranking1[[#This Row],[Pop Score (Normalized, Unweighted)]]*$O$3</f>
        <v>1.0534419603643742E-2</v>
      </c>
      <c r="R1219" s="137">
        <f>_xlfn.XLOOKUP(FME_Ranking1[[#This Row],[FME ID]],FME_Input[FME_ID],FME_Input[CRITFAC100])</f>
        <v>1</v>
      </c>
      <c r="S1219" s="230">
        <f>(FME_Ranking1[[#This Row],[Critical Facilities Raw]]/$R$2)*100</f>
        <v>4.2881646655231559E-2</v>
      </c>
      <c r="T1219" s="180">
        <f>FME_Ranking1[[#This Row],[Critical Facilities Score (Normalized, Unweighted)]]*$R$3</f>
        <v>8.5763293310463125E-3</v>
      </c>
      <c r="U1219">
        <f>_xlfn.XLOOKUP(FME_Ranking1[[#This Row],[FME ID]],FME_Input[FME_ID],FME_Input[LWC])</f>
        <v>1</v>
      </c>
      <c r="V1219" s="178">
        <f>(FME_Ranking1[[#This Row],[LWC Raw]]/$U$2)*100</f>
        <v>5.7570523891767422E-2</v>
      </c>
      <c r="W1219" s="178">
        <f>FME_Ranking1[[#This Row],[LWC Score (Normalized, Unweighted)]]*$U$3</f>
        <v>1.1514104778353485E-2</v>
      </c>
      <c r="X1219" s="246">
        <f>_xlfn.XLOOKUP(FME_Ranking1[[#This Row],[FME ID]],FME_Input[FME_ID],FME_Input[ROADCLS])</f>
        <v>0</v>
      </c>
      <c r="Y1219" s="230">
        <f>(FME_Ranking1[[#This Row],[Closures Raw]]/$X$2)*100</f>
        <v>0</v>
      </c>
      <c r="Z1219" s="180">
        <f>FME_Ranking1[[#This Row],[Closures Score (Normalized, Unweighted)]]*$X$3</f>
        <v>0</v>
      </c>
      <c r="AA1219" s="253">
        <f>_xlfn.XLOOKUP(FME_Ranking1[[#This Row],[FME ID]],FME_Input[FME_ID],FME_Input[ROAD_MILES100])</f>
        <v>7.5360913276672363</v>
      </c>
      <c r="AB1219" s="178">
        <f>(FME_Ranking1[[#This Row],[Miles Raw]]/$AA$2)*100</f>
        <v>9.9086084344476202E-2</v>
      </c>
      <c r="AC1219" s="178">
        <f>FME_Ranking1[[#This Row],[Miles Score (Normalized, Unweighted)]]*$AA$3</f>
        <v>9.9086084344476213E-3</v>
      </c>
      <c r="AD1219" s="255">
        <f>_xlfn.XLOOKUP(FME_Ranking1[[#This Row],[FME ID]],FME_Input[FME_ID],FME_Input[FARMACRE100])</f>
        <v>16.58161544799805</v>
      </c>
      <c r="AE1219" s="230">
        <f>(FME_Ranking1[[#This Row],[Ag Land Raw]]/$AD$2)*100</f>
        <v>6.8375159341270972E-4</v>
      </c>
      <c r="AF1219" s="231">
        <f>FME_Ranking1[[#This Row],[Ag Land Score (Normalized, Unweighted)]]*$AD$3</f>
        <v>3.418757967063549E-5</v>
      </c>
      <c r="AG121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6.2074667193121991E-2</v>
      </c>
      <c r="AH1219" s="406">
        <f t="shared" si="18"/>
        <v>1233</v>
      </c>
      <c r="AI121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6.2074667193121991E-2</v>
      </c>
      <c r="AJ1219" s="257">
        <f>FME_Ranking1[[#This Row],[Addition check]]-FME_Ranking1[[#This Row],[Weighted Score Based on Normalized Reported Factors]]</f>
        <v>0</v>
      </c>
      <c r="AK1219" s="178">
        <f>_xlfn.RANK.EQ(AI1219,$AI$6:$AI$2341,0)+COUNTIF($AI$6:AI1219,AI1219)-1</f>
        <v>1233</v>
      </c>
    </row>
    <row r="1220" spans="1:37" x14ac:dyDescent="0.25">
      <c r="A1220" t="s">
        <v>10275</v>
      </c>
      <c r="B1220">
        <f>_xlfn.XLOOKUP(FME_Ranking1[[#This Row],[FME ID]],FME_Input[FME_ID],FME_Input[RFPG_NUM])</f>
        <v>13</v>
      </c>
      <c r="C1220" t="str">
        <f>_xlfn.XLOOKUP(FME_Ranking1[[#This Row],[FME ID]],FME_Input[FME_ID],FME_Input[FME_NAME])</f>
        <v>Poesta Creek Drainage Improvements</v>
      </c>
      <c r="D1220" t="str">
        <f>_xlfn.XLOOKUP(FME_Ranking1[[#This Row],[FME ID]],FME_Input[FME_ID],FME_Input[DESCR])</f>
        <v>Poesta creek drainage project. Complete concrete lining of drainage ditch from St. Marys to Hwy 181. A portion of the project has been completed from Adams street to South Jackson.</v>
      </c>
      <c r="E1220" s="256">
        <f>_xlfn.XLOOKUP(FME_Ranking1[[#This Row],[FME ID]],FME_Input[FME_ID],FME_Input[FME_COST])</f>
        <v>169000</v>
      </c>
      <c r="F1220" t="str">
        <f>_xlfn.XLOOKUP(FME_Ranking1[[#This Row],[FME ID]],FME_Input[FME_ID],FME_Input[EMER_NEED])</f>
        <v>Yes</v>
      </c>
      <c r="G1220">
        <f>IF(FME_Ranking!F1220="Yes",100,0)</f>
        <v>100</v>
      </c>
      <c r="H1220">
        <f>FME_Ranking1[[#This Row],[Emergency Need Score (Normalized, Unweighted)]]*$F$3</f>
        <v>0</v>
      </c>
      <c r="I1220" s="246">
        <f>_xlfn.XLOOKUP(FME_Ranking1[[#This Row],[FME ID]],FME_Input[FME_ID],FME_Input[STRUCT_100])</f>
        <v>17</v>
      </c>
      <c r="J1220" s="178">
        <f>(FME_Ranking1[[#This Row],[Structures 100 Raw]]/I$2)*100</f>
        <v>9.1033714603949798E-3</v>
      </c>
      <c r="K1220" s="178">
        <f>FME_Ranking1[[#This Row],[Structures 100  Score (Normalized, Unweighted)]]*$I$3</f>
        <v>1.365505719059247E-3</v>
      </c>
      <c r="L1220" s="246">
        <f>_xlfn.XLOOKUP(FME_Ranking1[[#This Row],[FME ID]],FME_Input[FME_ID],FME_Input[RES_STRUCT100])</f>
        <v>4</v>
      </c>
      <c r="M1220" s="230">
        <f>(FME_Ranking1[[#This Row],[Res Structures Raw]]/L$2)*100</f>
        <v>2.833222365457353E-3</v>
      </c>
      <c r="N1220" s="180">
        <f>FME_Ranking1[[#This Row],[Res Structures Score (Normalized, Unweighted)]]*$L$3</f>
        <v>2.8332223654573533E-4</v>
      </c>
      <c r="O1220" s="244">
        <f>_xlfn.XLOOKUP(FME_Ranking1[[#This Row],[FME ID]],FME_Input[FME_ID],FME_Input[POP100])</f>
        <v>6</v>
      </c>
      <c r="P1220" s="178">
        <f>(FME_Ranking1[[#This Row],[Pop Raw]]/$O$2)*100</f>
        <v>6.1425187193257975E-4</v>
      </c>
      <c r="Q1220" s="178">
        <f>FME_Ranking1[[#This Row],[Pop Score (Normalized, Unweighted)]]*$O$3</f>
        <v>9.2137780789886957E-5</v>
      </c>
      <c r="R1220" s="137">
        <f>_xlfn.XLOOKUP(FME_Ranking1[[#This Row],[FME ID]],FME_Input[FME_ID],FME_Input[CRITFAC100])</f>
        <v>0</v>
      </c>
      <c r="S1220" s="230">
        <f>(FME_Ranking1[[#This Row],[Critical Facilities Raw]]/$R$2)*100</f>
        <v>0</v>
      </c>
      <c r="T1220" s="180">
        <f>FME_Ranking1[[#This Row],[Critical Facilities Score (Normalized, Unweighted)]]*$R$3</f>
        <v>0</v>
      </c>
      <c r="U1220">
        <f>_xlfn.XLOOKUP(FME_Ranking1[[#This Row],[FME ID]],FME_Input[FME_ID],FME_Input[LWC])</f>
        <v>4</v>
      </c>
      <c r="V1220" s="178">
        <f>(FME_Ranking1[[#This Row],[LWC Raw]]/$U$2)*100</f>
        <v>0.23028209556706969</v>
      </c>
      <c r="W1220" s="178">
        <f>FME_Ranking1[[#This Row],[LWC Score (Normalized, Unweighted)]]*$U$3</f>
        <v>4.6056419113413939E-2</v>
      </c>
      <c r="X1220" s="246">
        <f>_xlfn.XLOOKUP(FME_Ranking1[[#This Row],[FME ID]],FME_Input[FME_ID],FME_Input[ROADCLS])</f>
        <v>8</v>
      </c>
      <c r="Y1220" s="230">
        <f>(FME_Ranking1[[#This Row],[Closures Raw]]/$X$2)*100</f>
        <v>8.4113132162758911E-2</v>
      </c>
      <c r="Z1220" s="180">
        <f>FME_Ranking1[[#This Row],[Closures Score (Normalized, Unweighted)]]*$X$3</f>
        <v>4.2056566081379457E-3</v>
      </c>
      <c r="AA1220" s="253">
        <f>_xlfn.XLOOKUP(FME_Ranking1[[#This Row],[FME ID]],FME_Input[FME_ID],FME_Input[ROAD_MILES100])</f>
        <v>0.5017356276512146</v>
      </c>
      <c r="AB1220" s="178">
        <f>(FME_Ranking1[[#This Row],[Miles Raw]]/$AA$2)*100</f>
        <v>6.5969235985182811E-3</v>
      </c>
      <c r="AC1220" s="178">
        <f>FME_Ranking1[[#This Row],[Miles Score (Normalized, Unweighted)]]*$AA$3</f>
        <v>6.5969235985182816E-4</v>
      </c>
      <c r="AD1220" s="255">
        <f>_xlfn.XLOOKUP(FME_Ranking1[[#This Row],[FME ID]],FME_Input[FME_ID],FME_Input[FARMACRE100])</f>
        <v>1.3344130516052251</v>
      </c>
      <c r="AE1220" s="230">
        <f>(FME_Ranking1[[#This Row],[Ag Land Raw]]/$AD$2)*100</f>
        <v>5.5025220743250728E-5</v>
      </c>
      <c r="AF1220" s="231">
        <f>FME_Ranking1[[#This Row],[Ag Land Score (Normalized, Unweighted)]]*$AD$3</f>
        <v>2.7512610371625366E-6</v>
      </c>
      <c r="AG122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5.2665485078835735E-2</v>
      </c>
      <c r="AH1220" s="406">
        <f t="shared" si="18"/>
        <v>1292</v>
      </c>
      <c r="AI122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5.2665485078835735E-2</v>
      </c>
      <c r="AJ1220" s="257">
        <f>FME_Ranking1[[#This Row],[Addition check]]-FME_Ranking1[[#This Row],[Weighted Score Based on Normalized Reported Factors]]</f>
        <v>0</v>
      </c>
      <c r="AK1220" s="178">
        <f>_xlfn.RANK.EQ(AI1220,$AI$6:$AI$2341,0)+COUNTIF($AI$6:AI1220,AI1220)-1</f>
        <v>1292</v>
      </c>
    </row>
    <row r="1221" spans="1:37" x14ac:dyDescent="0.25">
      <c r="A1221" t="s">
        <v>7924</v>
      </c>
      <c r="B1221">
        <f>_xlfn.XLOOKUP(FME_Ranking1[[#This Row],[FME ID]],FME_Input[FME_ID],FME_Input[RFPG_NUM])</f>
        <v>9</v>
      </c>
      <c r="C1221" t="str">
        <f>_xlfn.XLOOKUP(FME_Ranking1[[#This Row],[FME ID]],FME_Input[FME_ID],FME_Input[FME_NAME])</f>
        <v>Borden FEMA Mapping</v>
      </c>
      <c r="D1221" t="str">
        <f>_xlfn.XLOOKUP(FME_Ranking1[[#This Row],[FME ID]],FME_Input[FME_ID],FME_Input[DESCR])</f>
        <v>Create FEMA Mapping in previously unmapped areas</v>
      </c>
      <c r="E1221" s="256">
        <f>_xlfn.XLOOKUP(FME_Ranking1[[#This Row],[FME ID]],FME_Input[FME_ID],FME_Input[FME_COST])</f>
        <v>887000</v>
      </c>
      <c r="F1221" t="str">
        <f>_xlfn.XLOOKUP(FME_Ranking1[[#This Row],[FME ID]],FME_Input[FME_ID],FME_Input[EMER_NEED])</f>
        <v>No</v>
      </c>
      <c r="G1221">
        <f>IF(FME_Ranking!F1221="Yes",100,0)</f>
        <v>0</v>
      </c>
      <c r="H1221">
        <f>FME_Ranking1[[#This Row],[Emergency Need Score (Normalized, Unweighted)]]*$F$3</f>
        <v>0</v>
      </c>
      <c r="I1221" s="246">
        <f>_xlfn.XLOOKUP(FME_Ranking1[[#This Row],[FME ID]],FME_Input[FME_ID],FME_Input[STRUCT_100])</f>
        <v>69</v>
      </c>
      <c r="J1221" s="178">
        <f>(FME_Ranking1[[#This Row],[Structures 100 Raw]]/I$2)*100</f>
        <v>3.6948978280426682E-2</v>
      </c>
      <c r="K1221" s="178">
        <f>FME_Ranking1[[#This Row],[Structures 100  Score (Normalized, Unweighted)]]*$I$3</f>
        <v>5.5423467420640023E-3</v>
      </c>
      <c r="L1221" s="246">
        <f>_xlfn.XLOOKUP(FME_Ranking1[[#This Row],[FME ID]],FME_Input[FME_ID],FME_Input[RES_STRUCT100])</f>
        <v>9</v>
      </c>
      <c r="M1221" s="230">
        <f>(FME_Ranking1[[#This Row],[Res Structures Raw]]/L$2)*100</f>
        <v>6.3747503222790439E-3</v>
      </c>
      <c r="N1221" s="180">
        <f>FME_Ranking1[[#This Row],[Res Structures Score (Normalized, Unweighted)]]*$L$3</f>
        <v>6.3747503222790446E-4</v>
      </c>
      <c r="O1221" s="244">
        <f>_xlfn.XLOOKUP(FME_Ranking1[[#This Row],[FME ID]],FME_Input[FME_ID],FME_Input[POP100])</f>
        <v>20</v>
      </c>
      <c r="P1221" s="178">
        <f>(FME_Ranking1[[#This Row],[Pop Raw]]/$O$2)*100</f>
        <v>2.0475062397752658E-3</v>
      </c>
      <c r="Q1221" s="178">
        <f>FME_Ranking1[[#This Row],[Pop Score (Normalized, Unweighted)]]*$O$3</f>
        <v>3.0712593596628988E-4</v>
      </c>
      <c r="R1221" s="137">
        <f>_xlfn.XLOOKUP(FME_Ranking1[[#This Row],[FME ID]],FME_Input[FME_ID],FME_Input[CRITFAC100])</f>
        <v>0</v>
      </c>
      <c r="S1221" s="230">
        <f>(FME_Ranking1[[#This Row],[Critical Facilities Raw]]/$R$2)*100</f>
        <v>0</v>
      </c>
      <c r="T1221" s="180">
        <f>FME_Ranking1[[#This Row],[Critical Facilities Score (Normalized, Unweighted)]]*$R$3</f>
        <v>0</v>
      </c>
      <c r="U1221">
        <f>_xlfn.XLOOKUP(FME_Ranking1[[#This Row],[FME ID]],FME_Input[FME_ID],FME_Input[LWC])</f>
        <v>2</v>
      </c>
      <c r="V1221" s="178">
        <f>(FME_Ranking1[[#This Row],[LWC Raw]]/$U$2)*100</f>
        <v>0.11514104778353484</v>
      </c>
      <c r="W1221" s="178">
        <f>FME_Ranking1[[#This Row],[LWC Score (Normalized, Unweighted)]]*$U$3</f>
        <v>2.302820955670697E-2</v>
      </c>
      <c r="X1221" s="246">
        <f>_xlfn.XLOOKUP(FME_Ranking1[[#This Row],[FME ID]],FME_Input[FME_ID],FME_Input[ROADCLS])</f>
        <v>0</v>
      </c>
      <c r="Y1221" s="230">
        <f>(FME_Ranking1[[#This Row],[Closures Raw]]/$X$2)*100</f>
        <v>0</v>
      </c>
      <c r="Z1221" s="180">
        <f>FME_Ranking1[[#This Row],[Closures Score (Normalized, Unweighted)]]*$X$3</f>
        <v>0</v>
      </c>
      <c r="AA1221" s="253">
        <f>_xlfn.XLOOKUP(FME_Ranking1[[#This Row],[FME ID]],FME_Input[FME_ID],FME_Input[ROAD_MILES100])</f>
        <v>26.083175659179691</v>
      </c>
      <c r="AB1221" s="178">
        <f>(FME_Ranking1[[#This Row],[Miles Raw]]/$AA$2)*100</f>
        <v>0.34294697754642017</v>
      </c>
      <c r="AC1221" s="178">
        <f>FME_Ranking1[[#This Row],[Miles Score (Normalized, Unweighted)]]*$AA$3</f>
        <v>3.4294697754642021E-2</v>
      </c>
      <c r="AD1221" s="255">
        <f>_xlfn.XLOOKUP(FME_Ranking1[[#This Row],[FME ID]],FME_Input[FME_ID],FME_Input[FARMACRE100])</f>
        <v>10740.1796875</v>
      </c>
      <c r="AE1221" s="230">
        <f>(FME_Ranking1[[#This Row],[Ag Land Raw]]/$AD$2)*100</f>
        <v>0.44287693185850358</v>
      </c>
      <c r="AF1221" s="231">
        <f>FME_Ranking1[[#This Row],[Ag Land Score (Normalized, Unweighted)]]*$AD$3</f>
        <v>2.2143846592925179E-2</v>
      </c>
      <c r="AG122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8.5953701614532363E-2</v>
      </c>
      <c r="AH1221" s="406">
        <f t="shared" si="18"/>
        <v>1112</v>
      </c>
      <c r="AI122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8.5953701614532363E-2</v>
      </c>
      <c r="AJ1221" s="257">
        <f>FME_Ranking1[[#This Row],[Addition check]]-FME_Ranking1[[#This Row],[Weighted Score Based on Normalized Reported Factors]]</f>
        <v>0</v>
      </c>
      <c r="AK1221" s="178">
        <f>_xlfn.RANK.EQ(AI1221,$AI$6:$AI$2341,0)+COUNTIF($AI$6:AI1221,AI1221)-1</f>
        <v>1112</v>
      </c>
    </row>
    <row r="1222" spans="1:37" x14ac:dyDescent="0.25">
      <c r="A1222" t="s">
        <v>5015</v>
      </c>
      <c r="B1222">
        <f>_xlfn.XLOOKUP(FME_Ranking1[[#This Row],[FME ID]],FME_Input[FME_ID],FME_Input[RFPG_NUM])</f>
        <v>3</v>
      </c>
      <c r="C1222" t="str">
        <f>_xlfn.XLOOKUP(FME_Ranking1[[#This Row],[FME ID]],FME_Input[FME_ID],FME_Input[FME_NAME])</f>
        <v>Willis Branch Stabilization</v>
      </c>
      <c r="D1222" t="str">
        <f>_xlfn.XLOOKUP(FME_Ranking1[[#This Row],[FME ID]],FME_Input[FME_ID],FME_Input[DESCR])</f>
        <v>Dam removal and south channel bank stabilization just west of Devon cul-de-sac; Estimated construction cost of $48,600; from Great Southwest to Sheffield; Estimated construction cost of $200,700</v>
      </c>
      <c r="E1222" s="256">
        <f>_xlfn.XLOOKUP(FME_Ranking1[[#This Row],[FME ID]],FME_Input[FME_ID],FME_Input[FME_COST])</f>
        <v>250000</v>
      </c>
      <c r="F1222" t="str">
        <f>_xlfn.XLOOKUP(FME_Ranking1[[#This Row],[FME ID]],FME_Input[FME_ID],FME_Input[EMER_NEED])</f>
        <v>No</v>
      </c>
      <c r="G1222">
        <f>IF(FME_Ranking!F1222="Yes",100,0)</f>
        <v>0</v>
      </c>
      <c r="H1222">
        <f>FME_Ranking1[[#This Row],[Emergency Need Score (Normalized, Unweighted)]]*$F$3</f>
        <v>0</v>
      </c>
      <c r="I1222" s="246">
        <f>_xlfn.XLOOKUP(FME_Ranking1[[#This Row],[FME ID]],FME_Input[FME_ID],FME_Input[STRUCT_100])</f>
        <v>42</v>
      </c>
      <c r="J1222" s="178">
        <f>(FME_Ranking1[[#This Row],[Structures 100 Raw]]/I$2)*100</f>
        <v>2.2490682431564064E-2</v>
      </c>
      <c r="K1222" s="178">
        <f>FME_Ranking1[[#This Row],[Structures 100  Score (Normalized, Unweighted)]]*$I$3</f>
        <v>3.3736023647346096E-3</v>
      </c>
      <c r="L1222" s="246">
        <f>_xlfn.XLOOKUP(FME_Ranking1[[#This Row],[FME ID]],FME_Input[FME_ID],FME_Input[RES_STRUCT100])</f>
        <v>39</v>
      </c>
      <c r="M1222" s="230">
        <f>(FME_Ranking1[[#This Row],[Res Structures Raw]]/L$2)*100</f>
        <v>2.7623918063209192E-2</v>
      </c>
      <c r="N1222" s="180">
        <f>FME_Ranking1[[#This Row],[Res Structures Score (Normalized, Unweighted)]]*$L$3</f>
        <v>2.7623918063209192E-3</v>
      </c>
      <c r="O1222" s="244">
        <f>_xlfn.XLOOKUP(FME_Ranking1[[#This Row],[FME ID]],FME_Input[FME_ID],FME_Input[POP100])</f>
        <v>332</v>
      </c>
      <c r="P1222" s="178">
        <f>(FME_Ranking1[[#This Row],[Pop Raw]]/$O$2)*100</f>
        <v>3.3988603580269408E-2</v>
      </c>
      <c r="Q1222" s="178">
        <f>FME_Ranking1[[#This Row],[Pop Score (Normalized, Unweighted)]]*$O$3</f>
        <v>5.0982905370404114E-3</v>
      </c>
      <c r="R1222" s="137">
        <f>_xlfn.XLOOKUP(FME_Ranking1[[#This Row],[FME ID]],FME_Input[FME_ID],FME_Input[CRITFAC100])</f>
        <v>2</v>
      </c>
      <c r="S1222" s="230">
        <f>(FME_Ranking1[[#This Row],[Critical Facilities Raw]]/$R$2)*100</f>
        <v>8.5763293310463118E-2</v>
      </c>
      <c r="T1222" s="180">
        <f>FME_Ranking1[[#This Row],[Critical Facilities Score (Normalized, Unweighted)]]*$R$3</f>
        <v>1.7152658662092625E-2</v>
      </c>
      <c r="U1222">
        <f>_xlfn.XLOOKUP(FME_Ranking1[[#This Row],[FME ID]],FME_Input[FME_ID],FME_Input[LWC])</f>
        <v>2</v>
      </c>
      <c r="V1222" s="178">
        <f>(FME_Ranking1[[#This Row],[LWC Raw]]/$U$2)*100</f>
        <v>0.11514104778353484</v>
      </c>
      <c r="W1222" s="178">
        <f>FME_Ranking1[[#This Row],[LWC Score (Normalized, Unweighted)]]*$U$3</f>
        <v>2.302820955670697E-2</v>
      </c>
      <c r="X1222" s="246">
        <f>_xlfn.XLOOKUP(FME_Ranking1[[#This Row],[FME ID]],FME_Input[FME_ID],FME_Input[ROADCLS])</f>
        <v>0</v>
      </c>
      <c r="Y1222" s="230">
        <f>(FME_Ranking1[[#This Row],[Closures Raw]]/$X$2)*100</f>
        <v>0</v>
      </c>
      <c r="Z1222" s="180">
        <f>FME_Ranking1[[#This Row],[Closures Score (Normalized, Unweighted)]]*$X$3</f>
        <v>0</v>
      </c>
      <c r="AA1222" s="253">
        <f>_xlfn.XLOOKUP(FME_Ranking1[[#This Row],[FME ID]],FME_Input[FME_ID],FME_Input[ROAD_MILES100])</f>
        <v>2.2571630477905269</v>
      </c>
      <c r="AB1222" s="178">
        <f>(FME_Ranking1[[#This Row],[Miles Raw]]/$AA$2)*100</f>
        <v>2.9677645666462225E-2</v>
      </c>
      <c r="AC1222" s="178">
        <f>FME_Ranking1[[#This Row],[Miles Score (Normalized, Unweighted)]]*$AA$3</f>
        <v>2.9677645666462225E-3</v>
      </c>
      <c r="AD1222" s="255">
        <f>_xlfn.XLOOKUP(FME_Ranking1[[#This Row],[FME ID]],FME_Input[FME_ID],FME_Input[FARMACRE100])</f>
        <v>48.450889587402337</v>
      </c>
      <c r="AE1222" s="230">
        <f>(FME_Ranking1[[#This Row],[Ag Land Raw]]/$AD$2)*100</f>
        <v>1.9978977959984774E-3</v>
      </c>
      <c r="AF1222" s="231">
        <f>FME_Ranking1[[#This Row],[Ag Land Score (Normalized, Unweighted)]]*$AD$3</f>
        <v>9.9894889799923876E-5</v>
      </c>
      <c r="AG122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5.4482812383341683E-2</v>
      </c>
      <c r="AH1222" s="406">
        <f t="shared" ref="AH1222:AH1285" si="19">_xlfn.RANK.EQ(AG1222,$AG$6:$AG$2341,0)</f>
        <v>1276</v>
      </c>
      <c r="AI122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5.4482812383341683E-2</v>
      </c>
      <c r="AJ1222" s="257">
        <f>FME_Ranking1[[#This Row],[Addition check]]-FME_Ranking1[[#This Row],[Weighted Score Based on Normalized Reported Factors]]</f>
        <v>0</v>
      </c>
      <c r="AK1222" s="178">
        <f>_xlfn.RANK.EQ(AI1222,$AI$6:$AI$2341,0)+COUNTIF($AI$6:AI1222,AI1222)-1</f>
        <v>1276</v>
      </c>
    </row>
    <row r="1223" spans="1:37" x14ac:dyDescent="0.25">
      <c r="A1223" t="s">
        <v>5419</v>
      </c>
      <c r="B1223">
        <f>_xlfn.XLOOKUP(FME_Ranking1[[#This Row],[FME ID]],FME_Input[FME_ID],FME_Input[RFPG_NUM])</f>
        <v>3</v>
      </c>
      <c r="C1223" t="str">
        <f>_xlfn.XLOOKUP(FME_Ranking1[[#This Row],[FME ID]],FME_Input[FME_ID],FME_Input[FME_NAME])</f>
        <v xml:space="preserve">Garden Branch Stabilization </v>
      </c>
      <c r="D1223" t="str">
        <f>_xlfn.XLOOKUP(FME_Ranking1[[#This Row],[FME ID]],FME_Input[FME_ID],FME_Input[DESCR])</f>
        <v>Channel bottom stabilization from Camp Wisdom to Great Southwest; Estimated construction cost of $176,100</v>
      </c>
      <c r="E1223" s="256">
        <f>_xlfn.XLOOKUP(FME_Ranking1[[#This Row],[FME ID]],FME_Input[FME_ID],FME_Input[FME_COST])</f>
        <v>250000</v>
      </c>
      <c r="F1223" t="str">
        <f>_xlfn.XLOOKUP(FME_Ranking1[[#This Row],[FME ID]],FME_Input[FME_ID],FME_Input[EMER_NEED])</f>
        <v>No</v>
      </c>
      <c r="G1223">
        <f>IF(FME_Ranking!F1223="Yes",100,0)</f>
        <v>0</v>
      </c>
      <c r="H1223">
        <f>FME_Ranking1[[#This Row],[Emergency Need Score (Normalized, Unweighted)]]*$F$3</f>
        <v>0</v>
      </c>
      <c r="I1223" s="246">
        <f>_xlfn.XLOOKUP(FME_Ranking1[[#This Row],[FME ID]],FME_Input[FME_ID],FME_Input[STRUCT_100])</f>
        <v>42</v>
      </c>
      <c r="J1223" s="178">
        <f>(FME_Ranking1[[#This Row],[Structures 100 Raw]]/I$2)*100</f>
        <v>2.2490682431564064E-2</v>
      </c>
      <c r="K1223" s="178">
        <f>FME_Ranking1[[#This Row],[Structures 100  Score (Normalized, Unweighted)]]*$I$3</f>
        <v>3.3736023647346096E-3</v>
      </c>
      <c r="L1223" s="246">
        <f>_xlfn.XLOOKUP(FME_Ranking1[[#This Row],[FME ID]],FME_Input[FME_ID],FME_Input[RES_STRUCT100])</f>
        <v>39</v>
      </c>
      <c r="M1223" s="230">
        <f>(FME_Ranking1[[#This Row],[Res Structures Raw]]/L$2)*100</f>
        <v>2.7623918063209192E-2</v>
      </c>
      <c r="N1223" s="180">
        <f>FME_Ranking1[[#This Row],[Res Structures Score (Normalized, Unweighted)]]*$L$3</f>
        <v>2.7623918063209192E-3</v>
      </c>
      <c r="O1223" s="244">
        <f>_xlfn.XLOOKUP(FME_Ranking1[[#This Row],[FME ID]],FME_Input[FME_ID],FME_Input[POP100])</f>
        <v>332</v>
      </c>
      <c r="P1223" s="178">
        <f>(FME_Ranking1[[#This Row],[Pop Raw]]/$O$2)*100</f>
        <v>3.3988603580269408E-2</v>
      </c>
      <c r="Q1223" s="178">
        <f>FME_Ranking1[[#This Row],[Pop Score (Normalized, Unweighted)]]*$O$3</f>
        <v>5.0982905370404114E-3</v>
      </c>
      <c r="R1223" s="137">
        <f>_xlfn.XLOOKUP(FME_Ranking1[[#This Row],[FME ID]],FME_Input[FME_ID],FME_Input[CRITFAC100])</f>
        <v>2</v>
      </c>
      <c r="S1223" s="230">
        <f>(FME_Ranking1[[#This Row],[Critical Facilities Raw]]/$R$2)*100</f>
        <v>8.5763293310463118E-2</v>
      </c>
      <c r="T1223" s="180">
        <f>FME_Ranking1[[#This Row],[Critical Facilities Score (Normalized, Unweighted)]]*$R$3</f>
        <v>1.7152658662092625E-2</v>
      </c>
      <c r="U1223">
        <f>_xlfn.XLOOKUP(FME_Ranking1[[#This Row],[FME ID]],FME_Input[FME_ID],FME_Input[LWC])</f>
        <v>2</v>
      </c>
      <c r="V1223" s="178">
        <f>(FME_Ranking1[[#This Row],[LWC Raw]]/$U$2)*100</f>
        <v>0.11514104778353484</v>
      </c>
      <c r="W1223" s="178">
        <f>FME_Ranking1[[#This Row],[LWC Score (Normalized, Unweighted)]]*$U$3</f>
        <v>2.302820955670697E-2</v>
      </c>
      <c r="X1223" s="246">
        <f>_xlfn.XLOOKUP(FME_Ranking1[[#This Row],[FME ID]],FME_Input[FME_ID],FME_Input[ROADCLS])</f>
        <v>0</v>
      </c>
      <c r="Y1223" s="230">
        <f>(FME_Ranking1[[#This Row],[Closures Raw]]/$X$2)*100</f>
        <v>0</v>
      </c>
      <c r="Z1223" s="180">
        <f>FME_Ranking1[[#This Row],[Closures Score (Normalized, Unweighted)]]*$X$3</f>
        <v>0</v>
      </c>
      <c r="AA1223" s="253">
        <f>_xlfn.XLOOKUP(FME_Ranking1[[#This Row],[FME ID]],FME_Input[FME_ID],FME_Input[ROAD_MILES100])</f>
        <v>2.2571630477905269</v>
      </c>
      <c r="AB1223" s="178">
        <f>(FME_Ranking1[[#This Row],[Miles Raw]]/$AA$2)*100</f>
        <v>2.9677645666462225E-2</v>
      </c>
      <c r="AC1223" s="178">
        <f>FME_Ranking1[[#This Row],[Miles Score (Normalized, Unweighted)]]*$AA$3</f>
        <v>2.9677645666462225E-3</v>
      </c>
      <c r="AD1223" s="255">
        <f>_xlfn.XLOOKUP(FME_Ranking1[[#This Row],[FME ID]],FME_Input[FME_ID],FME_Input[FARMACRE100])</f>
        <v>48.450889587402337</v>
      </c>
      <c r="AE1223" s="230">
        <f>(FME_Ranking1[[#This Row],[Ag Land Raw]]/$AD$2)*100</f>
        <v>1.9978977959984774E-3</v>
      </c>
      <c r="AF1223" s="231">
        <f>FME_Ranking1[[#This Row],[Ag Land Score (Normalized, Unweighted)]]*$AD$3</f>
        <v>9.9894889799923876E-5</v>
      </c>
      <c r="AG122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5.4482812383341683E-2</v>
      </c>
      <c r="AH1223" s="406">
        <f t="shared" si="19"/>
        <v>1276</v>
      </c>
      <c r="AI122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5.4482812383341683E-2</v>
      </c>
      <c r="AJ1223" s="257">
        <f>FME_Ranking1[[#This Row],[Addition check]]-FME_Ranking1[[#This Row],[Weighted Score Based on Normalized Reported Factors]]</f>
        <v>0</v>
      </c>
      <c r="AK1223" s="178">
        <f>_xlfn.RANK.EQ(AI1223,$AI$6:$AI$2341,0)+COUNTIF($AI$6:AI1223,AI1223)-1</f>
        <v>1277</v>
      </c>
    </row>
    <row r="1224" spans="1:37" x14ac:dyDescent="0.25">
      <c r="A1224" t="s">
        <v>208</v>
      </c>
      <c r="B1224">
        <f>_xlfn.XLOOKUP(FME_Ranking1[[#This Row],[FME ID]],FME_Input[FME_ID],FME_Input[RFPG_NUM])</f>
        <v>10</v>
      </c>
      <c r="C1224" t="str">
        <f>_xlfn.XLOOKUP(FME_Ranking1[[#This Row],[FME ID]],FME_Input[FME_ID],FME_Input[FME_NAME])</f>
        <v>Mission Hills Street</v>
      </c>
      <c r="D1224" t="str">
        <f>_xlfn.XLOOKUP(FME_Ranking1[[#This Row],[FME ID]],FME_Input[FME_ID],FME_Input[DESCR])</f>
        <v>Build bridge at Mission Hills Street creek x-ing</v>
      </c>
      <c r="E1224" s="256">
        <f>_xlfn.XLOOKUP(FME_Ranking1[[#This Row],[FME ID]],FME_Input[FME_ID],FME_Input[FME_COST])</f>
        <v>100000</v>
      </c>
      <c r="F1224" t="str">
        <f>_xlfn.XLOOKUP(FME_Ranking1[[#This Row],[FME ID]],FME_Input[FME_ID],FME_Input[EMER_NEED])</f>
        <v>No</v>
      </c>
      <c r="G1224">
        <f>IF(FME_Ranking!F1224="Yes",100,0)</f>
        <v>0</v>
      </c>
      <c r="H1224">
        <f>FME_Ranking1[[#This Row],[Emergency Need Score (Normalized, Unweighted)]]*$F$3</f>
        <v>0</v>
      </c>
      <c r="I1224" s="246">
        <f>_xlfn.XLOOKUP(FME_Ranking1[[#This Row],[FME ID]],FME_Input[FME_ID],FME_Input[STRUCT_100])</f>
        <v>60</v>
      </c>
      <c r="J1224" s="178">
        <f>(FME_Ranking1[[#This Row],[Structures 100 Raw]]/I$2)*100</f>
        <v>3.2129546330805808E-2</v>
      </c>
      <c r="K1224" s="178">
        <f>FME_Ranking1[[#This Row],[Structures 100  Score (Normalized, Unweighted)]]*$I$3</f>
        <v>4.8194319496208714E-3</v>
      </c>
      <c r="L1224" s="246">
        <f>_xlfn.XLOOKUP(FME_Ranking1[[#This Row],[FME ID]],FME_Input[FME_ID],FME_Input[RES_STRUCT100])</f>
        <v>2</v>
      </c>
      <c r="M1224" s="230">
        <f>(FME_Ranking1[[#This Row],[Res Structures Raw]]/L$2)*100</f>
        <v>1.4166111827286765E-3</v>
      </c>
      <c r="N1224" s="180">
        <f>FME_Ranking1[[#This Row],[Res Structures Score (Normalized, Unweighted)]]*$L$3</f>
        <v>1.4166111827286767E-4</v>
      </c>
      <c r="O1224" s="244">
        <f>_xlfn.XLOOKUP(FME_Ranking1[[#This Row],[FME ID]],FME_Input[FME_ID],FME_Input[POP100])</f>
        <v>748</v>
      </c>
      <c r="P1224" s="178">
        <f>(FME_Ranking1[[#This Row],[Pop Raw]]/$O$2)*100</f>
        <v>7.6576733367594935E-2</v>
      </c>
      <c r="Q1224" s="178">
        <f>FME_Ranking1[[#This Row],[Pop Score (Normalized, Unweighted)]]*$O$3</f>
        <v>1.148651000513924E-2</v>
      </c>
      <c r="R1224" s="137">
        <f>_xlfn.XLOOKUP(FME_Ranking1[[#This Row],[FME ID]],FME_Input[FME_ID],FME_Input[CRITFAC100])</f>
        <v>0</v>
      </c>
      <c r="S1224" s="230">
        <f>(FME_Ranking1[[#This Row],[Critical Facilities Raw]]/$R$2)*100</f>
        <v>0</v>
      </c>
      <c r="T1224" s="180">
        <f>FME_Ranking1[[#This Row],[Critical Facilities Score (Normalized, Unweighted)]]*$R$3</f>
        <v>0</v>
      </c>
      <c r="U1224">
        <f>_xlfn.XLOOKUP(FME_Ranking1[[#This Row],[FME ID]],FME_Input[FME_ID],FME_Input[LWC])</f>
        <v>3</v>
      </c>
      <c r="V1224" s="178">
        <f>(FME_Ranking1[[#This Row],[LWC Raw]]/$U$2)*100</f>
        <v>0.17271157167530224</v>
      </c>
      <c r="W1224" s="178">
        <f>FME_Ranking1[[#This Row],[LWC Score (Normalized, Unweighted)]]*$U$3</f>
        <v>3.4542314335060449E-2</v>
      </c>
      <c r="X1224" s="246">
        <f>_xlfn.XLOOKUP(FME_Ranking1[[#This Row],[FME ID]],FME_Input[FME_ID],FME_Input[ROADCLS])</f>
        <v>0</v>
      </c>
      <c r="Y1224" s="230">
        <f>(FME_Ranking1[[#This Row],[Closures Raw]]/$X$2)*100</f>
        <v>0</v>
      </c>
      <c r="Z1224" s="180">
        <f>FME_Ranking1[[#This Row],[Closures Score (Normalized, Unweighted)]]*$X$3</f>
        <v>0</v>
      </c>
      <c r="AA1224" s="253">
        <f>_xlfn.XLOOKUP(FME_Ranking1[[#This Row],[FME ID]],FME_Input[FME_ID],FME_Input[ROAD_MILES100])</f>
        <v>0.80998480319976807</v>
      </c>
      <c r="AB1224" s="178">
        <f>(FME_Ranking1[[#This Row],[Miles Raw]]/$AA$2)*100</f>
        <v>1.0649847386130305E-2</v>
      </c>
      <c r="AC1224" s="178">
        <f>FME_Ranking1[[#This Row],[Miles Score (Normalized, Unweighted)]]*$AA$3</f>
        <v>1.0649847386130305E-3</v>
      </c>
      <c r="AD1224" s="255">
        <f>_xlfn.XLOOKUP(FME_Ranking1[[#This Row],[FME ID]],FME_Input[FME_ID],FME_Input[FARMACRE100])</f>
        <v>147.1793212890625</v>
      </c>
      <c r="AE1224" s="230">
        <f>(FME_Ranking1[[#This Row],[Ag Land Raw]]/$AD$2)*100</f>
        <v>6.0690163611861764E-3</v>
      </c>
      <c r="AF1224" s="231">
        <f>FME_Ranking1[[#This Row],[Ag Land Score (Normalized, Unweighted)]]*$AD$3</f>
        <v>3.0345081805930885E-4</v>
      </c>
      <c r="AG122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5.2358352964765771E-2</v>
      </c>
      <c r="AH1224" s="406">
        <f t="shared" si="19"/>
        <v>1295</v>
      </c>
      <c r="AI122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5.2358352964765771E-2</v>
      </c>
      <c r="AJ1224" s="257">
        <f>FME_Ranking1[[#This Row],[Addition check]]-FME_Ranking1[[#This Row],[Weighted Score Based on Normalized Reported Factors]]</f>
        <v>0</v>
      </c>
      <c r="AK1224" s="178">
        <f>_xlfn.RANK.EQ(AI1224,$AI$6:$AI$2341,0)+COUNTIF($AI$6:AI1224,AI1224)-1</f>
        <v>1295</v>
      </c>
    </row>
    <row r="1225" spans="1:37" x14ac:dyDescent="0.25">
      <c r="A1225" t="s">
        <v>9326</v>
      </c>
      <c r="B1225">
        <f>_xlfn.XLOOKUP(FME_Ranking1[[#This Row],[FME ID]],FME_Input[FME_ID],FME_Input[RFPG_NUM])</f>
        <v>12</v>
      </c>
      <c r="C1225" t="str">
        <f>_xlfn.XLOOKUP(FME_Ranking1[[#This Row],[FME ID]],FME_Input[FME_ID],FME_Input[FME_NAME])</f>
        <v>Indian Creek Mapping Improvements</v>
      </c>
      <c r="D1225" t="str">
        <f>_xlfn.XLOOKUP(FME_Ranking1[[#This Row],[FME ID]],FME_Input[FME_ID],FME_Input[DESCR])</f>
        <v>Alternative Anylsis and Project recommendation</v>
      </c>
      <c r="E1225" s="256">
        <f>_xlfn.XLOOKUP(FME_Ranking1[[#This Row],[FME ID]],FME_Input[FME_ID],FME_Input[FME_COST])</f>
        <v>100000</v>
      </c>
      <c r="F1225" t="str">
        <f>_xlfn.XLOOKUP(FME_Ranking1[[#This Row],[FME ID]],FME_Input[FME_ID],FME_Input[EMER_NEED])</f>
        <v>Yes</v>
      </c>
      <c r="G1225">
        <f>IF(FME_Ranking!F1225="Yes",100,0)</f>
        <v>100</v>
      </c>
      <c r="H1225">
        <f>FME_Ranking1[[#This Row],[Emergency Need Score (Normalized, Unweighted)]]*$F$3</f>
        <v>0</v>
      </c>
      <c r="I1225" s="246">
        <f>_xlfn.XLOOKUP(FME_Ranking1[[#This Row],[FME ID]],FME_Input[FME_ID],FME_Input[STRUCT_100])</f>
        <v>33</v>
      </c>
      <c r="J1225" s="178">
        <f>(FME_Ranking1[[#This Row],[Structures 100 Raw]]/I$2)*100</f>
        <v>1.7671250481943197E-2</v>
      </c>
      <c r="K1225" s="178">
        <f>FME_Ranking1[[#This Row],[Structures 100  Score (Normalized, Unweighted)]]*$I$3</f>
        <v>2.6506875722914795E-3</v>
      </c>
      <c r="L1225" s="246">
        <f>_xlfn.XLOOKUP(FME_Ranking1[[#This Row],[FME ID]],FME_Input[FME_ID],FME_Input[RES_STRUCT100])</f>
        <v>18</v>
      </c>
      <c r="M1225" s="230">
        <f>(FME_Ranking1[[#This Row],[Res Structures Raw]]/L$2)*100</f>
        <v>1.2749500644558088E-2</v>
      </c>
      <c r="N1225" s="180">
        <f>FME_Ranking1[[#This Row],[Res Structures Score (Normalized, Unweighted)]]*$L$3</f>
        <v>1.2749500644558089E-3</v>
      </c>
      <c r="O1225" s="244">
        <f>_xlfn.XLOOKUP(FME_Ranking1[[#This Row],[FME ID]],FME_Input[FME_ID],FME_Input[POP100])</f>
        <v>41</v>
      </c>
      <c r="P1225" s="178">
        <f>(FME_Ranking1[[#This Row],[Pop Raw]]/$O$2)*100</f>
        <v>4.1973877915392954E-3</v>
      </c>
      <c r="Q1225" s="178">
        <f>FME_Ranking1[[#This Row],[Pop Score (Normalized, Unweighted)]]*$O$3</f>
        <v>6.2960816873089431E-4</v>
      </c>
      <c r="R1225" s="137">
        <f>_xlfn.XLOOKUP(FME_Ranking1[[#This Row],[FME ID]],FME_Input[FME_ID],FME_Input[CRITFAC100])</f>
        <v>5</v>
      </c>
      <c r="S1225" s="230">
        <f>(FME_Ranking1[[#This Row],[Critical Facilities Raw]]/$R$2)*100</f>
        <v>0.21440823327615782</v>
      </c>
      <c r="T1225" s="180">
        <f>FME_Ranking1[[#This Row],[Critical Facilities Score (Normalized, Unweighted)]]*$R$3</f>
        <v>4.2881646655231566E-2</v>
      </c>
      <c r="U1225">
        <f>_xlfn.XLOOKUP(FME_Ranking1[[#This Row],[FME ID]],FME_Input[FME_ID],FME_Input[LWC])</f>
        <v>0</v>
      </c>
      <c r="V1225" s="178">
        <f>(FME_Ranking1[[#This Row],[LWC Raw]]/$U$2)*100</f>
        <v>0</v>
      </c>
      <c r="W1225" s="178">
        <f>FME_Ranking1[[#This Row],[LWC Score (Normalized, Unweighted)]]*$U$3</f>
        <v>0</v>
      </c>
      <c r="X1225" s="246">
        <f>_xlfn.XLOOKUP(FME_Ranking1[[#This Row],[FME ID]],FME_Input[FME_ID],FME_Input[ROADCLS])</f>
        <v>7</v>
      </c>
      <c r="Y1225" s="230">
        <f>(FME_Ranking1[[#This Row],[Closures Raw]]/$X$2)*100</f>
        <v>7.3598990642414042E-2</v>
      </c>
      <c r="Z1225" s="180">
        <f>FME_Ranking1[[#This Row],[Closures Score (Normalized, Unweighted)]]*$X$3</f>
        <v>3.6799495321207022E-3</v>
      </c>
      <c r="AA1225" s="253">
        <f>_xlfn.XLOOKUP(FME_Ranking1[[#This Row],[FME ID]],FME_Input[FME_ID],FME_Input[ROAD_MILES100])</f>
        <v>1</v>
      </c>
      <c r="AB1225" s="178">
        <f>(FME_Ranking1[[#This Row],[Miles Raw]]/$AA$2)*100</f>
        <v>1.3148206415798289E-2</v>
      </c>
      <c r="AC1225" s="178">
        <f>FME_Ranking1[[#This Row],[Miles Score (Normalized, Unweighted)]]*$AA$3</f>
        <v>1.3148206415798289E-3</v>
      </c>
      <c r="AD1225" s="255">
        <f>_xlfn.XLOOKUP(FME_Ranking1[[#This Row],[FME ID]],FME_Input[FME_ID],FME_Input[FARMACRE100])</f>
        <v>58.654098510742188</v>
      </c>
      <c r="AE1225" s="230">
        <f>(FME_Ranking1[[#This Row],[Ag Land Raw]]/$AD$2)*100</f>
        <v>2.4186324572946232E-3</v>
      </c>
      <c r="AF1225" s="231">
        <f>FME_Ranking1[[#This Row],[Ag Land Score (Normalized, Unweighted)]]*$AD$3</f>
        <v>1.2093162286473116E-4</v>
      </c>
      <c r="AG122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5.2552594257275015E-2</v>
      </c>
      <c r="AH1225" s="406">
        <f t="shared" si="19"/>
        <v>1293</v>
      </c>
      <c r="AI122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5.2552594257275015E-2</v>
      </c>
      <c r="AJ1225" s="257">
        <f>FME_Ranking1[[#This Row],[Addition check]]-FME_Ranking1[[#This Row],[Weighted Score Based on Normalized Reported Factors]]</f>
        <v>0</v>
      </c>
      <c r="AK1225" s="178">
        <f>_xlfn.RANK.EQ(AI1225,$AI$6:$AI$2341,0)+COUNTIF($AI$6:AI1225,AI1225)-1</f>
        <v>1293</v>
      </c>
    </row>
    <row r="1226" spans="1:37" x14ac:dyDescent="0.25">
      <c r="A1226" t="s">
        <v>3077</v>
      </c>
      <c r="B1226">
        <f>_xlfn.XLOOKUP(FME_Ranking1[[#This Row],[FME ID]],FME_Input[FME_ID],FME_Input[RFPG_NUM])</f>
        <v>1</v>
      </c>
      <c r="C1226" t="str">
        <f>_xlfn.XLOOKUP(FME_Ranking1[[#This Row],[FME ID]],FME_Input[FME_ID],FME_Input[FME_NAME])</f>
        <v>Pampa City Drainage Master Plan</v>
      </c>
      <c r="D1226" t="str">
        <f>_xlfn.XLOOKUP(FME_Ranking1[[#This Row],[FME ID]],FME_Input[FME_ID],FME_Input[DESCR])</f>
        <v xml:space="preserve">Perform H&amp;H modeling, develop conceptual alternatives and OPCC, and rank projects; selected based on the needs analysis </v>
      </c>
      <c r="E1226" s="256">
        <f>_xlfn.XLOOKUP(FME_Ranking1[[#This Row],[FME ID]],FME_Input[FME_ID],FME_Input[FME_COST])</f>
        <v>250000</v>
      </c>
      <c r="F1226" t="str">
        <f>_xlfn.XLOOKUP(FME_Ranking1[[#This Row],[FME ID]],FME_Input[FME_ID],FME_Input[EMER_NEED])</f>
        <v>No</v>
      </c>
      <c r="G1226">
        <f>IF(FME_Ranking!F1226="Yes",100,0)</f>
        <v>0</v>
      </c>
      <c r="H1226">
        <f>FME_Ranking1[[#This Row],[Emergency Need Score (Normalized, Unweighted)]]*$F$3</f>
        <v>0</v>
      </c>
      <c r="I1226" s="246">
        <f>_xlfn.XLOOKUP(FME_Ranking1[[#This Row],[FME ID]],FME_Input[FME_ID],FME_Input[STRUCT_100])</f>
        <v>148</v>
      </c>
      <c r="J1226" s="178">
        <f>(FME_Ranking1[[#This Row],[Structures 100 Raw]]/I$2)*100</f>
        <v>7.9252880949320995E-2</v>
      </c>
      <c r="K1226" s="178">
        <f>FME_Ranking1[[#This Row],[Structures 100  Score (Normalized, Unweighted)]]*$I$3</f>
        <v>1.1887932142398149E-2</v>
      </c>
      <c r="L1226" s="246">
        <f>_xlfn.XLOOKUP(FME_Ranking1[[#This Row],[FME ID]],FME_Input[FME_ID],FME_Input[RES_STRUCT100])</f>
        <v>118</v>
      </c>
      <c r="M1226" s="230">
        <f>(FME_Ranking1[[#This Row],[Res Structures Raw]]/L$2)*100</f>
        <v>8.3580059780991908E-2</v>
      </c>
      <c r="N1226" s="180">
        <f>FME_Ranking1[[#This Row],[Res Structures Score (Normalized, Unweighted)]]*$L$3</f>
        <v>8.3580059780991919E-3</v>
      </c>
      <c r="O1226" s="244">
        <f>_xlfn.XLOOKUP(FME_Ranking1[[#This Row],[FME ID]],FME_Input[FME_ID],FME_Input[POP100])</f>
        <v>1214</v>
      </c>
      <c r="P1226" s="178">
        <f>(FME_Ranking1[[#This Row],[Pop Raw]]/$O$2)*100</f>
        <v>0.12428362875435864</v>
      </c>
      <c r="Q1226" s="178">
        <f>FME_Ranking1[[#This Row],[Pop Score (Normalized, Unweighted)]]*$O$3</f>
        <v>1.8642544313153795E-2</v>
      </c>
      <c r="R1226" s="137">
        <f>_xlfn.XLOOKUP(FME_Ranking1[[#This Row],[FME ID]],FME_Input[FME_ID],FME_Input[CRITFAC100])</f>
        <v>0</v>
      </c>
      <c r="S1226" s="230">
        <f>(FME_Ranking1[[#This Row],[Critical Facilities Raw]]/$R$2)*100</f>
        <v>0</v>
      </c>
      <c r="T1226" s="180">
        <f>FME_Ranking1[[#This Row],[Critical Facilities Score (Normalized, Unweighted)]]*$R$3</f>
        <v>0</v>
      </c>
      <c r="U1226">
        <f>_xlfn.XLOOKUP(FME_Ranking1[[#This Row],[FME ID]],FME_Input[FME_ID],FME_Input[LWC])</f>
        <v>1</v>
      </c>
      <c r="V1226" s="178">
        <f>(FME_Ranking1[[#This Row],[LWC Raw]]/$U$2)*100</f>
        <v>5.7570523891767422E-2</v>
      </c>
      <c r="W1226" s="178">
        <f>FME_Ranking1[[#This Row],[LWC Score (Normalized, Unweighted)]]*$U$3</f>
        <v>1.1514104778353485E-2</v>
      </c>
      <c r="X1226" s="246">
        <f>_xlfn.XLOOKUP(FME_Ranking1[[#This Row],[FME ID]],FME_Input[FME_ID],FME_Input[ROADCLS])</f>
        <v>1</v>
      </c>
      <c r="Y1226" s="230">
        <f>(FME_Ranking1[[#This Row],[Closures Raw]]/$X$2)*100</f>
        <v>1.0514141520344864E-2</v>
      </c>
      <c r="Z1226" s="180">
        <f>FME_Ranking1[[#This Row],[Closures Score (Normalized, Unweighted)]]*$X$3</f>
        <v>5.2570707601724321E-4</v>
      </c>
      <c r="AA1226" s="253">
        <f>_xlfn.XLOOKUP(FME_Ranking1[[#This Row],[FME ID]],FME_Input[FME_ID],FME_Input[ROAD_MILES100])</f>
        <v>5.9710125923156738</v>
      </c>
      <c r="AB1226" s="178">
        <f>(FME_Ranking1[[#This Row],[Miles Raw]]/$AA$2)*100</f>
        <v>7.8508106075097311E-2</v>
      </c>
      <c r="AC1226" s="178">
        <f>FME_Ranking1[[#This Row],[Miles Score (Normalized, Unweighted)]]*$AA$3</f>
        <v>7.8508106075097315E-3</v>
      </c>
      <c r="AD1226" s="255">
        <f>_xlfn.XLOOKUP(FME_Ranking1[[#This Row],[FME ID]],FME_Input[FME_ID],FME_Input[FARMACRE100])</f>
        <v>12.04196357727051</v>
      </c>
      <c r="AE1226" s="230">
        <f>(FME_Ranking1[[#This Row],[Ag Land Raw]]/$AD$2)*100</f>
        <v>4.9655667203225395E-4</v>
      </c>
      <c r="AF1226" s="231">
        <f>FME_Ranking1[[#This Row],[Ag Land Score (Normalized, Unweighted)]]*$AD$3</f>
        <v>2.48278336016127E-5</v>
      </c>
      <c r="AG122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5.8803932729133195E-2</v>
      </c>
      <c r="AH1226" s="406">
        <f t="shared" si="19"/>
        <v>1248</v>
      </c>
      <c r="AI122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5.8803932729133195E-2</v>
      </c>
      <c r="AJ1226" s="257">
        <f>FME_Ranking1[[#This Row],[Addition check]]-FME_Ranking1[[#This Row],[Weighted Score Based on Normalized Reported Factors]]</f>
        <v>0</v>
      </c>
      <c r="AK1226" s="178">
        <f>_xlfn.RANK.EQ(AI1226,$AI$6:$AI$2341,0)+COUNTIF($AI$6:AI1226,AI1226)-1</f>
        <v>1248</v>
      </c>
    </row>
    <row r="1227" spans="1:37" x14ac:dyDescent="0.25">
      <c r="A1227" t="s">
        <v>3724</v>
      </c>
      <c r="B1227">
        <f>_xlfn.XLOOKUP(FME_Ranking1[[#This Row],[FME ID]],FME_Input[FME_ID],FME_Input[RFPG_NUM])</f>
        <v>2</v>
      </c>
      <c r="C1227" t="str">
        <f>_xlfn.XLOOKUP(FME_Ranking1[[#This Row],[FME ID]],FME_Input[FME_ID],FME_Input[FME_NAME])</f>
        <v>City of Paris Big Sandy Cr Tribs 4 and 6 Improvements</v>
      </c>
      <c r="D1227" t="str">
        <f>_xlfn.XLOOKUP(FME_Ranking1[[#This Row],[FME ID]],FME_Input[FME_ID],FME_Input[DESCR])</f>
        <v>Re-grade channel downstream of Clarksville Ave. and establish concrete channel upstream of Clarksville Ave. Channel improvements in the upper portion of Tributary 4. Tributary 6 channel improvements and culvert replacement.</v>
      </c>
      <c r="E1227" s="256">
        <f>_xlfn.XLOOKUP(FME_Ranking1[[#This Row],[FME ID]],FME_Input[FME_ID],FME_Input[FME_COST])</f>
        <v>253000</v>
      </c>
      <c r="F1227" t="str">
        <f>_xlfn.XLOOKUP(FME_Ranking1[[#This Row],[FME ID]],FME_Input[FME_ID],FME_Input[EMER_NEED])</f>
        <v>No</v>
      </c>
      <c r="G1227">
        <f>IF(FME_Ranking!F1227="Yes",100,0)</f>
        <v>0</v>
      </c>
      <c r="H1227">
        <f>FME_Ranking1[[#This Row],[Emergency Need Score (Normalized, Unweighted)]]*$F$3</f>
        <v>0</v>
      </c>
      <c r="I1227" s="246">
        <f>_xlfn.XLOOKUP(FME_Ranking1[[#This Row],[FME ID]],FME_Input[FME_ID],FME_Input[STRUCT_100])</f>
        <v>202</v>
      </c>
      <c r="J1227" s="178">
        <f>(FME_Ranking1[[#This Row],[Structures 100 Raw]]/I$2)*100</f>
        <v>0.10816947264704621</v>
      </c>
      <c r="K1227" s="178">
        <f>FME_Ranking1[[#This Row],[Structures 100  Score (Normalized, Unweighted)]]*$I$3</f>
        <v>1.622542089705693E-2</v>
      </c>
      <c r="L1227" s="246">
        <f>_xlfn.XLOOKUP(FME_Ranking1[[#This Row],[FME ID]],FME_Input[FME_ID],FME_Input[RES_STRUCT100])</f>
        <v>150</v>
      </c>
      <c r="M1227" s="230">
        <f>(FME_Ranking1[[#This Row],[Res Structures Raw]]/L$2)*100</f>
        <v>0.10624583870465074</v>
      </c>
      <c r="N1227" s="180">
        <f>FME_Ranking1[[#This Row],[Res Structures Score (Normalized, Unweighted)]]*$L$3</f>
        <v>1.0624583870465075E-2</v>
      </c>
      <c r="O1227" s="244">
        <f>_xlfn.XLOOKUP(FME_Ranking1[[#This Row],[FME ID]],FME_Input[FME_ID],FME_Input[POP100])</f>
        <v>1007</v>
      </c>
      <c r="P1227" s="178">
        <f>(FME_Ranking1[[#This Row],[Pop Raw]]/$O$2)*100</f>
        <v>0.10309193917268462</v>
      </c>
      <c r="Q1227" s="178">
        <f>FME_Ranking1[[#This Row],[Pop Score (Normalized, Unweighted)]]*$O$3</f>
        <v>1.5463790875902692E-2</v>
      </c>
      <c r="R1227" s="137">
        <f>_xlfn.XLOOKUP(FME_Ranking1[[#This Row],[FME ID]],FME_Input[FME_ID],FME_Input[CRITFAC100])</f>
        <v>1</v>
      </c>
      <c r="S1227" s="230">
        <f>(FME_Ranking1[[#This Row],[Critical Facilities Raw]]/$R$2)*100</f>
        <v>4.2881646655231559E-2</v>
      </c>
      <c r="T1227" s="180">
        <f>FME_Ranking1[[#This Row],[Critical Facilities Score (Normalized, Unweighted)]]*$R$3</f>
        <v>8.5763293310463125E-3</v>
      </c>
      <c r="U1227">
        <f>_xlfn.XLOOKUP(FME_Ranking1[[#This Row],[FME ID]],FME_Input[FME_ID],FME_Input[LWC])</f>
        <v>0</v>
      </c>
      <c r="V1227" s="178">
        <f>(FME_Ranking1[[#This Row],[LWC Raw]]/$U$2)*100</f>
        <v>0</v>
      </c>
      <c r="W1227" s="178">
        <f>FME_Ranking1[[#This Row],[LWC Score (Normalized, Unweighted)]]*$U$3</f>
        <v>0</v>
      </c>
      <c r="X1227" s="246">
        <f>_xlfn.XLOOKUP(FME_Ranking1[[#This Row],[FME ID]],FME_Input[FME_ID],FME_Input[ROADCLS])</f>
        <v>0</v>
      </c>
      <c r="Y1227" s="230">
        <f>(FME_Ranking1[[#This Row],[Closures Raw]]/$X$2)*100</f>
        <v>0</v>
      </c>
      <c r="Z1227" s="180">
        <f>FME_Ranking1[[#This Row],[Closures Score (Normalized, Unweighted)]]*$X$3</f>
        <v>0</v>
      </c>
      <c r="AA1227" s="253">
        <f>_xlfn.XLOOKUP(FME_Ranking1[[#This Row],[FME ID]],FME_Input[FME_ID],FME_Input[ROAD_MILES100])</f>
        <v>2.933713436126709</v>
      </c>
      <c r="AB1227" s="178">
        <f>(FME_Ranking1[[#This Row],[Miles Raw]]/$AA$2)*100</f>
        <v>3.857306982299484E-2</v>
      </c>
      <c r="AC1227" s="178">
        <f>FME_Ranking1[[#This Row],[Miles Score (Normalized, Unweighted)]]*$AA$3</f>
        <v>3.8573069822994844E-3</v>
      </c>
      <c r="AD1227" s="255">
        <f>_xlfn.XLOOKUP(FME_Ranking1[[#This Row],[FME ID]],FME_Input[FME_ID],FME_Input[FARMACRE100])</f>
        <v>0</v>
      </c>
      <c r="AE1227" s="230">
        <f>(FME_Ranking1[[#This Row],[Ag Land Raw]]/$AD$2)*100</f>
        <v>0</v>
      </c>
      <c r="AF1227" s="231">
        <f>FME_Ranking1[[#This Row],[Ag Land Score (Normalized, Unweighted)]]*$AD$3</f>
        <v>0</v>
      </c>
      <c r="AG122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5.4747431956770495E-2</v>
      </c>
      <c r="AH1227" s="406">
        <f t="shared" si="19"/>
        <v>1275</v>
      </c>
      <c r="AI122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5.4747431956770495E-2</v>
      </c>
      <c r="AJ1227" s="257">
        <f>FME_Ranking1[[#This Row],[Addition check]]-FME_Ranking1[[#This Row],[Weighted Score Based on Normalized Reported Factors]]</f>
        <v>0</v>
      </c>
      <c r="AK1227" s="178">
        <f>_xlfn.RANK.EQ(AI1227,$AI$6:$AI$2341,0)+COUNTIF($AI$6:AI1227,AI1227)-1</f>
        <v>1275</v>
      </c>
    </row>
    <row r="1228" spans="1:37" x14ac:dyDescent="0.25">
      <c r="A1228" t="s">
        <v>4253</v>
      </c>
      <c r="B1228">
        <f>_xlfn.XLOOKUP(FME_Ranking1[[#This Row],[FME ID]],FME_Input[FME_ID],FME_Input[RFPG_NUM])</f>
        <v>3</v>
      </c>
      <c r="C1228" t="str">
        <f>_xlfn.XLOOKUP(FME_Ranking1[[#This Row],[FME ID]],FME_Input[FME_ID],FME_Input[FME_NAME])</f>
        <v>City of Corinth DMP</v>
      </c>
      <c r="D1228" t="str">
        <f>_xlfn.XLOOKUP(FME_Ranking1[[#This Row],[FME ID]],FME_Input[FME_ID],FME_Input[DESCR])</f>
        <v>Evaluate City and identify future projects.</v>
      </c>
      <c r="E1228" s="256">
        <f>_xlfn.XLOOKUP(FME_Ranking1[[#This Row],[FME ID]],FME_Input[FME_ID],FME_Input[FME_COST])</f>
        <v>250000</v>
      </c>
      <c r="F1228" t="str">
        <f>_xlfn.XLOOKUP(FME_Ranking1[[#This Row],[FME ID]],FME_Input[FME_ID],FME_Input[EMER_NEED])</f>
        <v>No</v>
      </c>
      <c r="G1228">
        <f>IF(FME_Ranking!F1228="Yes",100,0)</f>
        <v>0</v>
      </c>
      <c r="H1228">
        <f>FME_Ranking1[[#This Row],[Emergency Need Score (Normalized, Unweighted)]]*$F$3</f>
        <v>0</v>
      </c>
      <c r="I1228" s="246">
        <f>_xlfn.XLOOKUP(FME_Ranking1[[#This Row],[FME ID]],FME_Input[FME_ID],FME_Input[STRUCT_100])</f>
        <v>110</v>
      </c>
      <c r="J1228" s="178">
        <f>(FME_Ranking1[[#This Row],[Structures 100 Raw]]/I$2)*100</f>
        <v>5.8904168273143986E-2</v>
      </c>
      <c r="K1228" s="178">
        <f>FME_Ranking1[[#This Row],[Structures 100  Score (Normalized, Unweighted)]]*$I$3</f>
        <v>8.8356252409715983E-3</v>
      </c>
      <c r="L1228" s="246">
        <f>_xlfn.XLOOKUP(FME_Ranking1[[#This Row],[FME ID]],FME_Input[FME_ID],FME_Input[RES_STRUCT100])</f>
        <v>108</v>
      </c>
      <c r="M1228" s="230">
        <f>(FME_Ranking1[[#This Row],[Res Structures Raw]]/L$2)*100</f>
        <v>7.6497003867348534E-2</v>
      </c>
      <c r="N1228" s="180">
        <f>FME_Ranking1[[#This Row],[Res Structures Score (Normalized, Unweighted)]]*$L$3</f>
        <v>7.6497003867348539E-3</v>
      </c>
      <c r="O1228" s="244">
        <f>_xlfn.XLOOKUP(FME_Ranking1[[#This Row],[FME ID]],FME_Input[FME_ID],FME_Input[POP100])</f>
        <v>361</v>
      </c>
      <c r="P1228" s="178">
        <f>(FME_Ranking1[[#This Row],[Pop Raw]]/$O$2)*100</f>
        <v>3.6957487627943549E-2</v>
      </c>
      <c r="Q1228" s="178">
        <f>FME_Ranking1[[#This Row],[Pop Score (Normalized, Unweighted)]]*$O$3</f>
        <v>5.5436231441915321E-3</v>
      </c>
      <c r="R1228" s="137">
        <f>_xlfn.XLOOKUP(FME_Ranking1[[#This Row],[FME ID]],FME_Input[FME_ID],FME_Input[CRITFAC100])</f>
        <v>2</v>
      </c>
      <c r="S1228" s="230">
        <f>(FME_Ranking1[[#This Row],[Critical Facilities Raw]]/$R$2)*100</f>
        <v>8.5763293310463118E-2</v>
      </c>
      <c r="T1228" s="180">
        <f>FME_Ranking1[[#This Row],[Critical Facilities Score (Normalized, Unweighted)]]*$R$3</f>
        <v>1.7152658662092625E-2</v>
      </c>
      <c r="U1228">
        <f>_xlfn.XLOOKUP(FME_Ranking1[[#This Row],[FME ID]],FME_Input[FME_ID],FME_Input[LWC])</f>
        <v>1</v>
      </c>
      <c r="V1228" s="178">
        <f>(FME_Ranking1[[#This Row],[LWC Raw]]/$U$2)*100</f>
        <v>5.7570523891767422E-2</v>
      </c>
      <c r="W1228" s="178">
        <f>FME_Ranking1[[#This Row],[LWC Score (Normalized, Unweighted)]]*$U$3</f>
        <v>1.1514104778353485E-2</v>
      </c>
      <c r="X1228" s="246">
        <f>_xlfn.XLOOKUP(FME_Ranking1[[#This Row],[FME ID]],FME_Input[FME_ID],FME_Input[ROADCLS])</f>
        <v>0</v>
      </c>
      <c r="Y1228" s="230">
        <f>(FME_Ranking1[[#This Row],[Closures Raw]]/$X$2)*100</f>
        <v>0</v>
      </c>
      <c r="Z1228" s="180">
        <f>FME_Ranking1[[#This Row],[Closures Score (Normalized, Unweighted)]]*$X$3</f>
        <v>0</v>
      </c>
      <c r="AA1228" s="253">
        <f>_xlfn.XLOOKUP(FME_Ranking1[[#This Row],[FME ID]],FME_Input[FME_ID],FME_Input[ROAD_MILES100])</f>
        <v>3.742250919342041</v>
      </c>
      <c r="AB1228" s="178">
        <f>(FME_Ranking1[[#This Row],[Miles Raw]]/$AA$2)*100</f>
        <v>4.920388754722007E-2</v>
      </c>
      <c r="AC1228" s="178">
        <f>FME_Ranking1[[#This Row],[Miles Score (Normalized, Unweighted)]]*$AA$3</f>
        <v>4.9203887547220075E-3</v>
      </c>
      <c r="AD1228" s="255">
        <f>_xlfn.XLOOKUP(FME_Ranking1[[#This Row],[FME ID]],FME_Input[FME_ID],FME_Input[FARMACRE100])</f>
        <v>47.924259185791023</v>
      </c>
      <c r="AE1228" s="230">
        <f>(FME_Ranking1[[#This Row],[Ag Land Raw]]/$AD$2)*100</f>
        <v>1.9761819156989624E-3</v>
      </c>
      <c r="AF1228" s="231">
        <f>FME_Ranking1[[#This Row],[Ag Land Score (Normalized, Unweighted)]]*$AD$3</f>
        <v>9.8809095784948124E-5</v>
      </c>
      <c r="AG122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5.5714910062851043E-2</v>
      </c>
      <c r="AH1228" s="406">
        <f t="shared" si="19"/>
        <v>1263</v>
      </c>
      <c r="AI122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5.5714910062851043E-2</v>
      </c>
      <c r="AJ1228" s="257">
        <f>FME_Ranking1[[#This Row],[Addition check]]-FME_Ranking1[[#This Row],[Weighted Score Based on Normalized Reported Factors]]</f>
        <v>0</v>
      </c>
      <c r="AK1228" s="178">
        <f>_xlfn.RANK.EQ(AI1228,$AI$6:$AI$2341,0)+COUNTIF($AI$6:AI1228,AI1228)-1</f>
        <v>1263</v>
      </c>
    </row>
    <row r="1229" spans="1:37" x14ac:dyDescent="0.25">
      <c r="A1229" t="s">
        <v>11305</v>
      </c>
      <c r="B1229">
        <f>_xlfn.XLOOKUP(FME_Ranking1[[#This Row],[FME ID]],FME_Input[FME_ID],FME_Input[RFPG_NUM])</f>
        <v>15</v>
      </c>
      <c r="C1229" t="str">
        <f>_xlfn.XLOOKUP(FME_Ranking1[[#This Row],[FME ID]],FME_Input[FME_ID],FME_Input[FME_NAME])</f>
        <v>Pump Station B &amp; Sump B</v>
      </c>
      <c r="D1229" t="str">
        <f>_xlfn.XLOOKUP(FME_Ranking1[[#This Row],[FME ID]],FME_Input[FME_ID],FME_Input[DESCR])</f>
        <v>Pump Station B &amp; Sump B</v>
      </c>
      <c r="E1229" s="256">
        <f>_xlfn.XLOOKUP(FME_Ranking1[[#This Row],[FME ID]],FME_Input[FME_ID],FME_Input[FME_COST])</f>
        <v>244500</v>
      </c>
      <c r="F1229" t="str">
        <f>_xlfn.XLOOKUP(FME_Ranking1[[#This Row],[FME ID]],FME_Input[FME_ID],FME_Input[EMER_NEED])</f>
        <v>Yes</v>
      </c>
      <c r="G1229">
        <f>IF(FME_Ranking!F1229="Yes",100,0)</f>
        <v>100</v>
      </c>
      <c r="H1229">
        <f>FME_Ranking1[[#This Row],[Emergency Need Score (Normalized, Unweighted)]]*$F$3</f>
        <v>0</v>
      </c>
      <c r="I1229" s="246">
        <f>_xlfn.XLOOKUP(FME_Ranking1[[#This Row],[FME ID]],FME_Input[FME_ID],FME_Input[STRUCT_100])</f>
        <v>0</v>
      </c>
      <c r="J1229" s="178">
        <f>(FME_Ranking1[[#This Row],[Structures 100 Raw]]/I$2)*100</f>
        <v>0</v>
      </c>
      <c r="K1229" s="178">
        <f>FME_Ranking1[[#This Row],[Structures 100  Score (Normalized, Unweighted)]]*$I$3</f>
        <v>0</v>
      </c>
      <c r="L1229" s="246">
        <f>_xlfn.XLOOKUP(FME_Ranking1[[#This Row],[FME ID]],FME_Input[FME_ID],FME_Input[RES_STRUCT100])</f>
        <v>391</v>
      </c>
      <c r="M1229" s="230">
        <f>(FME_Ranking1[[#This Row],[Res Structures Raw]]/L$2)*100</f>
        <v>0.27694748622345622</v>
      </c>
      <c r="N1229" s="180">
        <f>FME_Ranking1[[#This Row],[Res Structures Score (Normalized, Unweighted)]]*$L$3</f>
        <v>2.7694748622345625E-2</v>
      </c>
      <c r="O1229" s="244">
        <f>_xlfn.XLOOKUP(FME_Ranking1[[#This Row],[FME ID]],FME_Input[FME_ID],FME_Input[POP100])</f>
        <v>1500</v>
      </c>
      <c r="P1229" s="178">
        <f>(FME_Ranking1[[#This Row],[Pop Raw]]/$O$2)*100</f>
        <v>0.15356296798314492</v>
      </c>
      <c r="Q1229" s="178">
        <f>FME_Ranking1[[#This Row],[Pop Score (Normalized, Unweighted)]]*$O$3</f>
        <v>2.3034445197471737E-2</v>
      </c>
      <c r="R1229" s="137">
        <f>_xlfn.XLOOKUP(FME_Ranking1[[#This Row],[FME ID]],FME_Input[FME_ID],FME_Input[CRITFAC100])</f>
        <v>0</v>
      </c>
      <c r="S1229" s="230">
        <f>(FME_Ranking1[[#This Row],[Critical Facilities Raw]]/$R$2)*100</f>
        <v>0</v>
      </c>
      <c r="T1229" s="180">
        <f>FME_Ranking1[[#This Row],[Critical Facilities Score (Normalized, Unweighted)]]*$R$3</f>
        <v>0</v>
      </c>
      <c r="U1229">
        <f>_xlfn.XLOOKUP(FME_Ranking1[[#This Row],[FME ID]],FME_Input[FME_ID],FME_Input[LWC])</f>
        <v>0</v>
      </c>
      <c r="V1229" s="178">
        <f>(FME_Ranking1[[#This Row],[LWC Raw]]/$U$2)*100</f>
        <v>0</v>
      </c>
      <c r="W1229" s="178">
        <f>FME_Ranking1[[#This Row],[LWC Score (Normalized, Unweighted)]]*$U$3</f>
        <v>0</v>
      </c>
      <c r="X1229" s="246">
        <f>_xlfn.XLOOKUP(FME_Ranking1[[#This Row],[FME ID]],FME_Input[FME_ID],FME_Input[ROADCLS])</f>
        <v>0</v>
      </c>
      <c r="Y1229" s="230">
        <f>(FME_Ranking1[[#This Row],[Closures Raw]]/$X$2)*100</f>
        <v>0</v>
      </c>
      <c r="Z1229" s="180">
        <f>FME_Ranking1[[#This Row],[Closures Score (Normalized, Unweighted)]]*$X$3</f>
        <v>0</v>
      </c>
      <c r="AA1229" s="253">
        <f>_xlfn.XLOOKUP(FME_Ranking1[[#This Row],[FME ID]],FME_Input[FME_ID],FME_Input[ROAD_MILES100])</f>
        <v>13.297200202941889</v>
      </c>
      <c r="AB1229" s="178">
        <f>(FME_Ranking1[[#This Row],[Miles Raw]]/$AA$2)*100</f>
        <v>0.17483433302047485</v>
      </c>
      <c r="AC1229" s="178">
        <f>FME_Ranking1[[#This Row],[Miles Score (Normalized, Unweighted)]]*$AA$3</f>
        <v>1.7483433302047487E-2</v>
      </c>
      <c r="AD1229" s="255">
        <f>_xlfn.XLOOKUP(FME_Ranking1[[#This Row],[FME ID]],FME_Input[FME_ID],FME_Input[FARMACRE100])</f>
        <v>0</v>
      </c>
      <c r="AE1229" s="230">
        <f>(FME_Ranking1[[#This Row],[Ag Land Raw]]/$AD$2)*100</f>
        <v>0</v>
      </c>
      <c r="AF1229" s="231">
        <f>FME_Ranking1[[#This Row],[Ag Land Score (Normalized, Unweighted)]]*$AD$3</f>
        <v>0</v>
      </c>
      <c r="AG122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6.8212627121864849E-2</v>
      </c>
      <c r="AH1229" s="406">
        <f t="shared" si="19"/>
        <v>1202</v>
      </c>
      <c r="AI122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6.8212627121864849E-2</v>
      </c>
      <c r="AJ1229" s="257">
        <f>FME_Ranking1[[#This Row],[Addition check]]-FME_Ranking1[[#This Row],[Weighted Score Based on Normalized Reported Factors]]</f>
        <v>0</v>
      </c>
      <c r="AK1229" s="178">
        <f>_xlfn.RANK.EQ(AI1229,$AI$6:$AI$2341,0)+COUNTIF($AI$6:AI1229,AI1229)-1</f>
        <v>1202</v>
      </c>
    </row>
    <row r="1230" spans="1:37" x14ac:dyDescent="0.25">
      <c r="A1230" t="s">
        <v>8076</v>
      </c>
      <c r="B1230">
        <f>_xlfn.XLOOKUP(FME_Ranking1[[#This Row],[FME ID]],FME_Input[FME_ID],FME_Input[RFPG_NUM])</f>
        <v>9</v>
      </c>
      <c r="C1230" t="str">
        <f>_xlfn.XLOOKUP(FME_Ranking1[[#This Row],[FME ID]],FME_Input[FME_ID],FME_Input[FME_NAME])</f>
        <v>City of Colorado City DMP</v>
      </c>
      <c r="D1230" t="str">
        <f>_xlfn.XLOOKUP(FME_Ranking1[[#This Row],[FME ID]],FME_Input[FME_ID],FME_Input[DESCR])</f>
        <v xml:space="preserve">Create Drainage Master Plan, including evaluation of potential mitigation projects. </v>
      </c>
      <c r="E1230" s="256">
        <f>_xlfn.XLOOKUP(FME_Ranking1[[#This Row],[FME ID]],FME_Input[FME_ID],FME_Input[FME_COST])</f>
        <v>250000</v>
      </c>
      <c r="F1230" t="str">
        <f>_xlfn.XLOOKUP(FME_Ranking1[[#This Row],[FME ID]],FME_Input[FME_ID],FME_Input[EMER_NEED])</f>
        <v>No</v>
      </c>
      <c r="G1230">
        <f>IF(FME_Ranking!F1230="Yes",100,0)</f>
        <v>0</v>
      </c>
      <c r="H1230">
        <f>FME_Ranking1[[#This Row],[Emergency Need Score (Normalized, Unweighted)]]*$F$3</f>
        <v>0</v>
      </c>
      <c r="I1230" s="246">
        <f>_xlfn.XLOOKUP(FME_Ranking1[[#This Row],[FME ID]],FME_Input[FME_ID],FME_Input[STRUCT_100])</f>
        <v>143</v>
      </c>
      <c r="J1230" s="178">
        <f>(FME_Ranking1[[#This Row],[Structures 100 Raw]]/I$2)*100</f>
        <v>7.657541875508718E-2</v>
      </c>
      <c r="K1230" s="178">
        <f>FME_Ranking1[[#This Row],[Structures 100  Score (Normalized, Unweighted)]]*$I$3</f>
        <v>1.1486312813263077E-2</v>
      </c>
      <c r="L1230" s="246">
        <f>_xlfn.XLOOKUP(FME_Ranking1[[#This Row],[FME ID]],FME_Input[FME_ID],FME_Input[RES_STRUCT100])</f>
        <v>93</v>
      </c>
      <c r="M1230" s="230">
        <f>(FME_Ranking1[[#This Row],[Res Structures Raw]]/L$2)*100</f>
        <v>6.5872419996883452E-2</v>
      </c>
      <c r="N1230" s="180">
        <f>FME_Ranking1[[#This Row],[Res Structures Score (Normalized, Unweighted)]]*$L$3</f>
        <v>6.5872419996883457E-3</v>
      </c>
      <c r="O1230" s="244">
        <f>_xlfn.XLOOKUP(FME_Ranking1[[#This Row],[FME ID]],FME_Input[FME_ID],FME_Input[POP100])</f>
        <v>252</v>
      </c>
      <c r="P1230" s="178">
        <f>(FME_Ranking1[[#This Row],[Pop Raw]]/$O$2)*100</f>
        <v>2.5798578621168348E-2</v>
      </c>
      <c r="Q1230" s="178">
        <f>FME_Ranking1[[#This Row],[Pop Score (Normalized, Unweighted)]]*$O$3</f>
        <v>3.8697867931752521E-3</v>
      </c>
      <c r="R1230" s="137">
        <f>_xlfn.XLOOKUP(FME_Ranking1[[#This Row],[FME ID]],FME_Input[FME_ID],FME_Input[CRITFAC100])</f>
        <v>2</v>
      </c>
      <c r="S1230" s="230">
        <f>(FME_Ranking1[[#This Row],[Critical Facilities Raw]]/$R$2)*100</f>
        <v>8.5763293310463118E-2</v>
      </c>
      <c r="T1230" s="180">
        <f>FME_Ranking1[[#This Row],[Critical Facilities Score (Normalized, Unweighted)]]*$R$3</f>
        <v>1.7152658662092625E-2</v>
      </c>
      <c r="U1230">
        <f>_xlfn.XLOOKUP(FME_Ranking1[[#This Row],[FME ID]],FME_Input[FME_ID],FME_Input[LWC])</f>
        <v>1</v>
      </c>
      <c r="V1230" s="178">
        <f>(FME_Ranking1[[#This Row],[LWC Raw]]/$U$2)*100</f>
        <v>5.7570523891767422E-2</v>
      </c>
      <c r="W1230" s="178">
        <f>FME_Ranking1[[#This Row],[LWC Score (Normalized, Unweighted)]]*$U$3</f>
        <v>1.1514104778353485E-2</v>
      </c>
      <c r="X1230" s="246">
        <f>_xlfn.XLOOKUP(FME_Ranking1[[#This Row],[FME ID]],FME_Input[FME_ID],FME_Input[ROADCLS])</f>
        <v>0</v>
      </c>
      <c r="Y1230" s="230">
        <f>(FME_Ranking1[[#This Row],[Closures Raw]]/$X$2)*100</f>
        <v>0</v>
      </c>
      <c r="Z1230" s="180">
        <f>FME_Ranking1[[#This Row],[Closures Score (Normalized, Unweighted)]]*$X$3</f>
        <v>0</v>
      </c>
      <c r="AA1230" s="253">
        <f>_xlfn.XLOOKUP(FME_Ranking1[[#This Row],[FME ID]],FME_Input[FME_ID],FME_Input[ROAD_MILES100])</f>
        <v>10.132449150085449</v>
      </c>
      <c r="AB1230" s="178">
        <f>(FME_Ranking1[[#This Row],[Miles Raw]]/$AA$2)*100</f>
        <v>0.13322353292290343</v>
      </c>
      <c r="AC1230" s="178">
        <f>FME_Ranking1[[#This Row],[Miles Score (Normalized, Unweighted)]]*$AA$3</f>
        <v>1.3322353292290343E-2</v>
      </c>
      <c r="AD1230" s="255">
        <f>_xlfn.XLOOKUP(FME_Ranking1[[#This Row],[FME ID]],FME_Input[FME_ID],FME_Input[FARMACRE100])</f>
        <v>55.572761535644531</v>
      </c>
      <c r="AE1230" s="230">
        <f>(FME_Ranking1[[#This Row],[Ag Land Raw]]/$AD$2)*100</f>
        <v>2.2915719140579336E-3</v>
      </c>
      <c r="AF1230" s="231">
        <f>FME_Ranking1[[#This Row],[Ag Land Score (Normalized, Unweighted)]]*$AD$3</f>
        <v>1.1457859570289668E-4</v>
      </c>
      <c r="AG123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6.4047036934566023E-2</v>
      </c>
      <c r="AH1230" s="406">
        <f t="shared" si="19"/>
        <v>1224</v>
      </c>
      <c r="AI123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6.4047036934566023E-2</v>
      </c>
      <c r="AJ1230" s="257">
        <f>FME_Ranking1[[#This Row],[Addition check]]-FME_Ranking1[[#This Row],[Weighted Score Based on Normalized Reported Factors]]</f>
        <v>0</v>
      </c>
      <c r="AK1230" s="178">
        <f>_xlfn.RANK.EQ(AI1230,$AI$6:$AI$2341,0)+COUNTIF($AI$6:AI1230,AI1230)-1</f>
        <v>1224</v>
      </c>
    </row>
    <row r="1231" spans="1:37" x14ac:dyDescent="0.25">
      <c r="A1231" t="s">
        <v>4004</v>
      </c>
      <c r="B1231">
        <f>_xlfn.XLOOKUP(FME_Ranking1[[#This Row],[FME ID]],FME_Input[FME_ID],FME_Input[RFPG_NUM])</f>
        <v>3</v>
      </c>
      <c r="C1231" t="str">
        <f>_xlfn.XLOOKUP(FME_Ranking1[[#This Row],[FME ID]],FME_Input[FME_ID],FME_Input[FME_NAME])</f>
        <v xml:space="preserve">Van Zandt County FEMA Mapping </v>
      </c>
      <c r="D1231" t="str">
        <f>_xlfn.XLOOKUP(FME_Ranking1[[#This Row],[FME ID]],FME_Input[FME_ID],FME_Input[DESCR])</f>
        <v>Create FEMA mapping in previously unmapped areas and update existing FEMA maps as needed.</v>
      </c>
      <c r="E1231" s="256">
        <f>_xlfn.XLOOKUP(FME_Ranking1[[#This Row],[FME ID]],FME_Input[FME_ID],FME_Input[FME_COST])</f>
        <v>1272000</v>
      </c>
      <c r="F1231" t="str">
        <f>_xlfn.XLOOKUP(FME_Ranking1[[#This Row],[FME ID]],FME_Input[FME_ID],FME_Input[EMER_NEED])</f>
        <v>No</v>
      </c>
      <c r="G1231">
        <f>IF(FME_Ranking!F1231="Yes",100,0)</f>
        <v>0</v>
      </c>
      <c r="H1231">
        <f>FME_Ranking1[[#This Row],[Emergency Need Score (Normalized, Unweighted)]]*$F$3</f>
        <v>0</v>
      </c>
      <c r="I1231" s="246">
        <f>_xlfn.XLOOKUP(FME_Ranking1[[#This Row],[FME ID]],FME_Input[FME_ID],FME_Input[STRUCT_100])</f>
        <v>118</v>
      </c>
      <c r="J1231" s="178">
        <f>(FME_Ranking1[[#This Row],[Structures 100 Raw]]/I$2)*100</f>
        <v>6.318810778391809E-2</v>
      </c>
      <c r="K1231" s="178">
        <f>FME_Ranking1[[#This Row],[Structures 100  Score (Normalized, Unweighted)]]*$I$3</f>
        <v>9.4782161675877139E-3</v>
      </c>
      <c r="L1231" s="246">
        <f>_xlfn.XLOOKUP(FME_Ranking1[[#This Row],[FME ID]],FME_Input[FME_ID],FME_Input[RES_STRUCT100])</f>
        <v>50</v>
      </c>
      <c r="M1231" s="230">
        <f>(FME_Ranking1[[#This Row],[Res Structures Raw]]/L$2)*100</f>
        <v>3.5415279568216912E-2</v>
      </c>
      <c r="N1231" s="180">
        <f>FME_Ranking1[[#This Row],[Res Structures Score (Normalized, Unweighted)]]*$L$3</f>
        <v>3.5415279568216914E-3</v>
      </c>
      <c r="O1231" s="244">
        <f>_xlfn.XLOOKUP(FME_Ranking1[[#This Row],[FME ID]],FME_Input[FME_ID],FME_Input[POP100])</f>
        <v>151</v>
      </c>
      <c r="P1231" s="178">
        <f>(FME_Ranking1[[#This Row],[Pop Raw]]/$O$2)*100</f>
        <v>1.5458672110303256E-2</v>
      </c>
      <c r="Q1231" s="178">
        <f>FME_Ranking1[[#This Row],[Pop Score (Normalized, Unweighted)]]*$O$3</f>
        <v>2.3188008165454881E-3</v>
      </c>
      <c r="R1231" s="137">
        <f>_xlfn.XLOOKUP(FME_Ranking1[[#This Row],[FME ID]],FME_Input[FME_ID],FME_Input[CRITFAC100])</f>
        <v>1</v>
      </c>
      <c r="S1231" s="230">
        <f>(FME_Ranking1[[#This Row],[Critical Facilities Raw]]/$R$2)*100</f>
        <v>4.2881646655231559E-2</v>
      </c>
      <c r="T1231" s="180">
        <f>FME_Ranking1[[#This Row],[Critical Facilities Score (Normalized, Unweighted)]]*$R$3</f>
        <v>8.5763293310463125E-3</v>
      </c>
      <c r="U1231">
        <f>_xlfn.XLOOKUP(FME_Ranking1[[#This Row],[FME ID]],FME_Input[FME_ID],FME_Input[LWC])</f>
        <v>2</v>
      </c>
      <c r="V1231" s="178">
        <f>(FME_Ranking1[[#This Row],[LWC Raw]]/$U$2)*100</f>
        <v>0.11514104778353484</v>
      </c>
      <c r="W1231" s="178">
        <f>FME_Ranking1[[#This Row],[LWC Score (Normalized, Unweighted)]]*$U$3</f>
        <v>2.302820955670697E-2</v>
      </c>
      <c r="X1231" s="246">
        <f>_xlfn.XLOOKUP(FME_Ranking1[[#This Row],[FME ID]],FME_Input[FME_ID],FME_Input[ROADCLS])</f>
        <v>0</v>
      </c>
      <c r="Y1231" s="230">
        <f>(FME_Ranking1[[#This Row],[Closures Raw]]/$X$2)*100</f>
        <v>0</v>
      </c>
      <c r="Z1231" s="180">
        <f>FME_Ranking1[[#This Row],[Closures Score (Normalized, Unweighted)]]*$X$3</f>
        <v>0</v>
      </c>
      <c r="AA1231" s="253">
        <f>_xlfn.XLOOKUP(FME_Ranking1[[#This Row],[FME ID]],FME_Input[FME_ID],FME_Input[ROAD_MILES100])</f>
        <v>37.467559814453118</v>
      </c>
      <c r="AB1231" s="178">
        <f>(FME_Ranking1[[#This Row],[Miles Raw]]/$AA$2)*100</f>
        <v>0.49263121033669866</v>
      </c>
      <c r="AC1231" s="178">
        <f>FME_Ranking1[[#This Row],[Miles Score (Normalized, Unweighted)]]*$AA$3</f>
        <v>4.9263121033669866E-2</v>
      </c>
      <c r="AD1231" s="255">
        <f>_xlfn.XLOOKUP(FME_Ranking1[[#This Row],[FME ID]],FME_Input[FME_ID],FME_Input[FARMACRE100])</f>
        <v>1378.733032226562</v>
      </c>
      <c r="AE1231" s="230">
        <f>(FME_Ranking1[[#This Row],[Ag Land Raw]]/$AD$2)*100</f>
        <v>5.6852778345517899E-2</v>
      </c>
      <c r="AF1231" s="231">
        <f>FME_Ranking1[[#This Row],[Ag Land Score (Normalized, Unweighted)]]*$AD$3</f>
        <v>2.8426389172758952E-3</v>
      </c>
      <c r="AG123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9.9048843779653936E-2</v>
      </c>
      <c r="AH1231" s="406">
        <f t="shared" si="19"/>
        <v>1051</v>
      </c>
      <c r="AI123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9.9048843779653936E-2</v>
      </c>
      <c r="AJ1231" s="257">
        <f>FME_Ranking1[[#This Row],[Addition check]]-FME_Ranking1[[#This Row],[Weighted Score Based on Normalized Reported Factors]]</f>
        <v>0</v>
      </c>
      <c r="AK1231" s="178">
        <f>_xlfn.RANK.EQ(AI1231,$AI$6:$AI$2341,0)+COUNTIF($AI$6:AI1231,AI1231)-1</f>
        <v>1051</v>
      </c>
    </row>
    <row r="1232" spans="1:37" x14ac:dyDescent="0.25">
      <c r="A1232" t="s">
        <v>10894</v>
      </c>
      <c r="B1232">
        <f>_xlfn.XLOOKUP(FME_Ranking1[[#This Row],[FME ID]],FME_Input[FME_ID],FME_Input[RFPG_NUM])</f>
        <v>14</v>
      </c>
      <c r="C1232" t="str">
        <f>_xlfn.XLOOKUP(FME_Ranking1[[#This Row],[FME ID]],FME_Input[FME_ID],FME_Input[FME_NAME])</f>
        <v>Lower Mesa Drain Improvements at El Paso</v>
      </c>
      <c r="D1232" t="str">
        <f>_xlfn.XLOOKUP(FME_Ranking1[[#This Row],[FME ID]],FME_Input[FME_ID],FME_Input[DESCR])</f>
        <v>Assess capacity of upstream reservoirs; develop detailed hydraulic model of Lower Mesa Drain to design 30+ culvert improvements; assess capacity of Mesa Drain to accept runoff without impacting downstream agricultural property.</v>
      </c>
      <c r="E1232" s="256">
        <f>_xlfn.XLOOKUP(FME_Ranking1[[#This Row],[FME ID]],FME_Input[FME_ID],FME_Input[FME_COST])</f>
        <v>689000</v>
      </c>
      <c r="F1232" t="str">
        <f>_xlfn.XLOOKUP(FME_Ranking1[[#This Row],[FME ID]],FME_Input[FME_ID],FME_Input[EMER_NEED])</f>
        <v>No</v>
      </c>
      <c r="G1232">
        <f>IF(FME_Ranking!F1232="Yes",100,0)</f>
        <v>0</v>
      </c>
      <c r="H1232">
        <f>FME_Ranking1[[#This Row],[Emergency Need Score (Normalized, Unweighted)]]*$F$3</f>
        <v>0</v>
      </c>
      <c r="I1232" s="246">
        <f>_xlfn.XLOOKUP(FME_Ranking1[[#This Row],[FME ID]],FME_Input[FME_ID],FME_Input[STRUCT_100])</f>
        <v>375</v>
      </c>
      <c r="J1232" s="178">
        <f>(FME_Ranking1[[#This Row],[Structures 100 Raw]]/I$2)*100</f>
        <v>0.20080966456753629</v>
      </c>
      <c r="K1232" s="178">
        <f>FME_Ranking1[[#This Row],[Structures 100  Score (Normalized, Unweighted)]]*$I$3</f>
        <v>3.0121449685130443E-2</v>
      </c>
      <c r="L1232" s="246">
        <f>_xlfn.XLOOKUP(FME_Ranking1[[#This Row],[FME ID]],FME_Input[FME_ID],FME_Input[RES_STRUCT100])</f>
        <v>216</v>
      </c>
      <c r="M1232" s="230">
        <f>(FME_Ranking1[[#This Row],[Res Structures Raw]]/L$2)*100</f>
        <v>0.15299400773469707</v>
      </c>
      <c r="N1232" s="180">
        <f>FME_Ranking1[[#This Row],[Res Structures Score (Normalized, Unweighted)]]*$L$3</f>
        <v>1.5299400773469708E-2</v>
      </c>
      <c r="O1232" s="244">
        <f>_xlfn.XLOOKUP(FME_Ranking1[[#This Row],[FME ID]],FME_Input[FME_ID],FME_Input[POP100])</f>
        <v>75</v>
      </c>
      <c r="P1232" s="178">
        <f>(FME_Ranking1[[#This Row],[Pop Raw]]/$O$2)*100</f>
        <v>7.6781483991572473E-3</v>
      </c>
      <c r="Q1232" s="178">
        <f>FME_Ranking1[[#This Row],[Pop Score (Normalized, Unweighted)]]*$O$3</f>
        <v>1.151722259873587E-3</v>
      </c>
      <c r="R1232" s="137">
        <f>_xlfn.XLOOKUP(FME_Ranking1[[#This Row],[FME ID]],FME_Input[FME_ID],FME_Input[CRITFAC100])</f>
        <v>0</v>
      </c>
      <c r="S1232" s="230">
        <f>(FME_Ranking1[[#This Row],[Critical Facilities Raw]]/$R$2)*100</f>
        <v>0</v>
      </c>
      <c r="T1232" s="180">
        <f>FME_Ranking1[[#This Row],[Critical Facilities Score (Normalized, Unweighted)]]*$R$3</f>
        <v>0</v>
      </c>
      <c r="U1232">
        <f>_xlfn.XLOOKUP(FME_Ranking1[[#This Row],[FME ID]],FME_Input[FME_ID],FME_Input[LWC])</f>
        <v>0</v>
      </c>
      <c r="V1232" s="178">
        <f>(FME_Ranking1[[#This Row],[LWC Raw]]/$U$2)*100</f>
        <v>0</v>
      </c>
      <c r="W1232" s="178">
        <f>FME_Ranking1[[#This Row],[LWC Score (Normalized, Unweighted)]]*$U$3</f>
        <v>0</v>
      </c>
      <c r="X1232" s="246">
        <f>_xlfn.XLOOKUP(FME_Ranking1[[#This Row],[FME ID]],FME_Input[FME_ID],FME_Input[ROADCLS])</f>
        <v>0</v>
      </c>
      <c r="Y1232" s="230">
        <f>(FME_Ranking1[[#This Row],[Closures Raw]]/$X$2)*100</f>
        <v>0</v>
      </c>
      <c r="Z1232" s="180">
        <f>FME_Ranking1[[#This Row],[Closures Score (Normalized, Unweighted)]]*$X$3</f>
        <v>0</v>
      </c>
      <c r="AA1232" s="253">
        <f>_xlfn.XLOOKUP(FME_Ranking1[[#This Row],[FME ID]],FME_Input[FME_ID],FME_Input[ROAD_MILES100])</f>
        <v>12.458399772644039</v>
      </c>
      <c r="AB1232" s="178">
        <f>(FME_Ranking1[[#This Row],[Miles Raw]]/$AA$2)*100</f>
        <v>0.1638056118212583</v>
      </c>
      <c r="AC1232" s="178">
        <f>FME_Ranking1[[#This Row],[Miles Score (Normalized, Unweighted)]]*$AA$3</f>
        <v>1.638056118212583E-2</v>
      </c>
      <c r="AD1232" s="255">
        <f>_xlfn.XLOOKUP(FME_Ranking1[[#This Row],[FME ID]],FME_Input[FME_ID],FME_Input[FARMACRE100])</f>
        <v>1474.780029296875</v>
      </c>
      <c r="AE1232" s="230">
        <f>(FME_Ranking1[[#This Row],[Ag Land Raw]]/$AD$2)*100</f>
        <v>6.0813326549960856E-2</v>
      </c>
      <c r="AF1232" s="231">
        <f>FME_Ranking1[[#This Row],[Ag Land Score (Normalized, Unweighted)]]*$AD$3</f>
        <v>3.040666327498043E-3</v>
      </c>
      <c r="AG123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6.5993800228097602E-2</v>
      </c>
      <c r="AH1232" s="406">
        <f t="shared" si="19"/>
        <v>1208</v>
      </c>
      <c r="AI123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6.5993800228097602E-2</v>
      </c>
      <c r="AJ1232" s="257">
        <f>FME_Ranking1[[#This Row],[Addition check]]-FME_Ranking1[[#This Row],[Weighted Score Based on Normalized Reported Factors]]</f>
        <v>0</v>
      </c>
      <c r="AK1232" s="178">
        <f>_xlfn.RANK.EQ(AI1232,$AI$6:$AI$2341,0)+COUNTIF($AI$6:AI1232,AI1232)-1</f>
        <v>1208</v>
      </c>
    </row>
    <row r="1233" spans="1:37" x14ac:dyDescent="0.25">
      <c r="A1233" t="s">
        <v>5947</v>
      </c>
      <c r="B1233">
        <f>_xlfn.XLOOKUP(FME_Ranking1[[#This Row],[FME ID]],FME_Input[FME_ID],FME_Input[RFPG_NUM])</f>
        <v>5</v>
      </c>
      <c r="C1233" t="str">
        <f>_xlfn.XLOOKUP(FME_Ranking1[[#This Row],[FME ID]],FME_Input[FME_ID],FME_Input[FME_NAME])</f>
        <v>Shelby County Update Flood Hazard Mapping</v>
      </c>
      <c r="D1233" t="str">
        <f>_xlfn.XLOOKUP(FME_Ranking1[[#This Row],[FME ID]],FME_Input[FME_ID],FME_Input[DESCR])</f>
        <v>Complete a detailed study within the county extent to delineate an updated flood hazard area, which can be used for regulatory purposes.</v>
      </c>
      <c r="E1233" s="256">
        <f>_xlfn.XLOOKUP(FME_Ranking1[[#This Row],[FME ID]],FME_Input[FME_ID],FME_Input[FME_COST])</f>
        <v>711827</v>
      </c>
      <c r="F1233" t="str">
        <f>_xlfn.XLOOKUP(FME_Ranking1[[#This Row],[FME ID]],FME_Input[FME_ID],FME_Input[EMER_NEED])</f>
        <v>Yes</v>
      </c>
      <c r="G1233">
        <f>IF(FME_Ranking!F1233="Yes",100,0)</f>
        <v>100</v>
      </c>
      <c r="H1233">
        <f>FME_Ranking1[[#This Row],[Emergency Need Score (Normalized, Unweighted)]]*$F$3</f>
        <v>0</v>
      </c>
      <c r="I1233" s="246">
        <f>_xlfn.XLOOKUP(FME_Ranking1[[#This Row],[FME ID]],FME_Input[FME_ID],FME_Input[STRUCT_100])</f>
        <v>15</v>
      </c>
      <c r="J1233" s="178">
        <f>(FME_Ranking1[[#This Row],[Structures 100 Raw]]/I$2)*100</f>
        <v>8.0323865827014521E-3</v>
      </c>
      <c r="K1233" s="178">
        <f>FME_Ranking1[[#This Row],[Structures 100  Score (Normalized, Unweighted)]]*$I$3</f>
        <v>1.2048579874052179E-3</v>
      </c>
      <c r="L1233" s="246">
        <f>_xlfn.XLOOKUP(FME_Ranking1[[#This Row],[FME ID]],FME_Input[FME_ID],FME_Input[RES_STRUCT100])</f>
        <v>0</v>
      </c>
      <c r="M1233" s="230">
        <f>(FME_Ranking1[[#This Row],[Res Structures Raw]]/L$2)*100</f>
        <v>0</v>
      </c>
      <c r="N1233" s="180">
        <f>FME_Ranking1[[#This Row],[Res Structures Score (Normalized, Unweighted)]]*$L$3</f>
        <v>0</v>
      </c>
      <c r="O1233" s="244">
        <f>_xlfn.XLOOKUP(FME_Ranking1[[#This Row],[FME ID]],FME_Input[FME_ID],FME_Input[POP100])</f>
        <v>8</v>
      </c>
      <c r="P1233" s="178">
        <f>(FME_Ranking1[[#This Row],[Pop Raw]]/$O$2)*100</f>
        <v>8.1900249591010626E-4</v>
      </c>
      <c r="Q1233" s="178">
        <f>FME_Ranking1[[#This Row],[Pop Score (Normalized, Unweighted)]]*$O$3</f>
        <v>1.2285037438651593E-4</v>
      </c>
      <c r="R1233" s="137">
        <f>_xlfn.XLOOKUP(FME_Ranking1[[#This Row],[FME ID]],FME_Input[FME_ID],FME_Input[CRITFAC100])</f>
        <v>0</v>
      </c>
      <c r="S1233" s="230">
        <f>(FME_Ranking1[[#This Row],[Critical Facilities Raw]]/$R$2)*100</f>
        <v>0</v>
      </c>
      <c r="T1233" s="180">
        <f>FME_Ranking1[[#This Row],[Critical Facilities Score (Normalized, Unweighted)]]*$R$3</f>
        <v>0</v>
      </c>
      <c r="U1233">
        <f>_xlfn.XLOOKUP(FME_Ranking1[[#This Row],[FME ID]],FME_Input[FME_ID],FME_Input[LWC])</f>
        <v>4</v>
      </c>
      <c r="V1233" s="178">
        <f>(FME_Ranking1[[#This Row],[LWC Raw]]/$U$2)*100</f>
        <v>0.23028209556706969</v>
      </c>
      <c r="W1233" s="178">
        <f>FME_Ranking1[[#This Row],[LWC Score (Normalized, Unweighted)]]*$U$3</f>
        <v>4.6056419113413939E-2</v>
      </c>
      <c r="X1233" s="246">
        <f>_xlfn.XLOOKUP(FME_Ranking1[[#This Row],[FME ID]],FME_Input[FME_ID],FME_Input[ROADCLS])</f>
        <v>4</v>
      </c>
      <c r="Y1233" s="230">
        <f>(FME_Ranking1[[#This Row],[Closures Raw]]/$X$2)*100</f>
        <v>4.2056566081379455E-2</v>
      </c>
      <c r="Z1233" s="180">
        <f>FME_Ranking1[[#This Row],[Closures Score (Normalized, Unweighted)]]*$X$3</f>
        <v>2.1028283040689729E-3</v>
      </c>
      <c r="AA1233" s="253">
        <f>_xlfn.XLOOKUP(FME_Ranking1[[#This Row],[FME ID]],FME_Input[FME_ID],FME_Input[ROAD_MILES100])</f>
        <v>4.6325712203979492</v>
      </c>
      <c r="AB1233" s="178">
        <f>(FME_Ranking1[[#This Row],[Miles Raw]]/$AA$2)*100</f>
        <v>6.0910002641678826E-2</v>
      </c>
      <c r="AC1233" s="178">
        <f>FME_Ranking1[[#This Row],[Miles Score (Normalized, Unweighted)]]*$AA$3</f>
        <v>6.0910002641678829E-3</v>
      </c>
      <c r="AD1233" s="255">
        <f>_xlfn.XLOOKUP(FME_Ranking1[[#This Row],[FME ID]],FME_Input[FME_ID],FME_Input[FARMACRE100])</f>
        <v>56.068603515625</v>
      </c>
      <c r="AE1233" s="230">
        <f>(FME_Ranking1[[#This Row],[Ag Land Raw]]/$AD$2)*100</f>
        <v>2.3120182176738753E-3</v>
      </c>
      <c r="AF1233" s="231">
        <f>FME_Ranking1[[#This Row],[Ag Land Score (Normalized, Unweighted)]]*$AD$3</f>
        <v>1.1560091088369377E-4</v>
      </c>
      <c r="AG123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5.569355695432622E-2</v>
      </c>
      <c r="AH1233" s="406">
        <f t="shared" si="19"/>
        <v>1272</v>
      </c>
      <c r="AI123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5.569355695432622E-2</v>
      </c>
      <c r="AJ1233" s="257">
        <f>FME_Ranking1[[#This Row],[Addition check]]-FME_Ranking1[[#This Row],[Weighted Score Based on Normalized Reported Factors]]</f>
        <v>0</v>
      </c>
      <c r="AK1233" s="178">
        <f>_xlfn.RANK.EQ(AI1233,$AI$6:$AI$2341,0)+COUNTIF($AI$6:AI1233,AI1233)-1</f>
        <v>1272</v>
      </c>
    </row>
    <row r="1234" spans="1:37" x14ac:dyDescent="0.25">
      <c r="A1234" t="s">
        <v>6169</v>
      </c>
      <c r="B1234">
        <f>_xlfn.XLOOKUP(FME_Ranking1[[#This Row],[FME ID]],FME_Input[FME_ID],FME_Input[RFPG_NUM])</f>
        <v>5</v>
      </c>
      <c r="C1234" t="str">
        <f>_xlfn.XLOOKUP(FME_Ranking1[[#This Row],[FME ID]],FME_Input[FME_ID],FME_Input[FME_NAME])</f>
        <v>Shelby County Master Drainage Plan</v>
      </c>
      <c r="D1234"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1234" s="256">
        <f>_xlfn.XLOOKUP(FME_Ranking1[[#This Row],[FME ID]],FME_Input[FME_ID],FME_Input[FME_COST])</f>
        <v>1250000</v>
      </c>
      <c r="F1234" t="str">
        <f>_xlfn.XLOOKUP(FME_Ranking1[[#This Row],[FME ID]],FME_Input[FME_ID],FME_Input[EMER_NEED])</f>
        <v>Yes</v>
      </c>
      <c r="G1234">
        <f>IF(FME_Ranking!F1234="Yes",100,0)</f>
        <v>100</v>
      </c>
      <c r="H1234">
        <f>FME_Ranking1[[#This Row],[Emergency Need Score (Normalized, Unweighted)]]*$F$3</f>
        <v>0</v>
      </c>
      <c r="I1234" s="246">
        <f>_xlfn.XLOOKUP(FME_Ranking1[[#This Row],[FME ID]],FME_Input[FME_ID],FME_Input[STRUCT_100])</f>
        <v>15</v>
      </c>
      <c r="J1234" s="178">
        <f>(FME_Ranking1[[#This Row],[Structures 100 Raw]]/I$2)*100</f>
        <v>8.0323865827014521E-3</v>
      </c>
      <c r="K1234" s="178">
        <f>FME_Ranking1[[#This Row],[Structures 100  Score (Normalized, Unweighted)]]*$I$3</f>
        <v>1.2048579874052179E-3</v>
      </c>
      <c r="L1234" s="246">
        <f>_xlfn.XLOOKUP(FME_Ranking1[[#This Row],[FME ID]],FME_Input[FME_ID],FME_Input[RES_STRUCT100])</f>
        <v>0</v>
      </c>
      <c r="M1234" s="230">
        <f>(FME_Ranking1[[#This Row],[Res Structures Raw]]/L$2)*100</f>
        <v>0</v>
      </c>
      <c r="N1234" s="180">
        <f>FME_Ranking1[[#This Row],[Res Structures Score (Normalized, Unweighted)]]*$L$3</f>
        <v>0</v>
      </c>
      <c r="O1234" s="244">
        <f>_xlfn.XLOOKUP(FME_Ranking1[[#This Row],[FME ID]],FME_Input[FME_ID],FME_Input[POP100])</f>
        <v>8</v>
      </c>
      <c r="P1234" s="178">
        <f>(FME_Ranking1[[#This Row],[Pop Raw]]/$O$2)*100</f>
        <v>8.1900249591010626E-4</v>
      </c>
      <c r="Q1234" s="178">
        <f>FME_Ranking1[[#This Row],[Pop Score (Normalized, Unweighted)]]*$O$3</f>
        <v>1.2285037438651593E-4</v>
      </c>
      <c r="R1234" s="137">
        <f>_xlfn.XLOOKUP(FME_Ranking1[[#This Row],[FME ID]],FME_Input[FME_ID],FME_Input[CRITFAC100])</f>
        <v>0</v>
      </c>
      <c r="S1234" s="230">
        <f>(FME_Ranking1[[#This Row],[Critical Facilities Raw]]/$R$2)*100</f>
        <v>0</v>
      </c>
      <c r="T1234" s="180">
        <f>FME_Ranking1[[#This Row],[Critical Facilities Score (Normalized, Unweighted)]]*$R$3</f>
        <v>0</v>
      </c>
      <c r="U1234">
        <f>_xlfn.XLOOKUP(FME_Ranking1[[#This Row],[FME ID]],FME_Input[FME_ID],FME_Input[LWC])</f>
        <v>4</v>
      </c>
      <c r="V1234" s="178">
        <f>(FME_Ranking1[[#This Row],[LWC Raw]]/$U$2)*100</f>
        <v>0.23028209556706969</v>
      </c>
      <c r="W1234" s="178">
        <f>FME_Ranking1[[#This Row],[LWC Score (Normalized, Unweighted)]]*$U$3</f>
        <v>4.6056419113413939E-2</v>
      </c>
      <c r="X1234" s="246">
        <f>_xlfn.XLOOKUP(FME_Ranking1[[#This Row],[FME ID]],FME_Input[FME_ID],FME_Input[ROADCLS])</f>
        <v>4</v>
      </c>
      <c r="Y1234" s="230">
        <f>(FME_Ranking1[[#This Row],[Closures Raw]]/$X$2)*100</f>
        <v>4.2056566081379455E-2</v>
      </c>
      <c r="Z1234" s="180">
        <f>FME_Ranking1[[#This Row],[Closures Score (Normalized, Unweighted)]]*$X$3</f>
        <v>2.1028283040689729E-3</v>
      </c>
      <c r="AA1234" s="253">
        <f>_xlfn.XLOOKUP(FME_Ranking1[[#This Row],[FME ID]],FME_Input[FME_ID],FME_Input[ROAD_MILES100])</f>
        <v>4.6325712203979492</v>
      </c>
      <c r="AB1234" s="178">
        <f>(FME_Ranking1[[#This Row],[Miles Raw]]/$AA$2)*100</f>
        <v>6.0910002641678826E-2</v>
      </c>
      <c r="AC1234" s="178">
        <f>FME_Ranking1[[#This Row],[Miles Score (Normalized, Unweighted)]]*$AA$3</f>
        <v>6.0910002641678829E-3</v>
      </c>
      <c r="AD1234" s="255">
        <f>_xlfn.XLOOKUP(FME_Ranking1[[#This Row],[FME ID]],FME_Input[FME_ID],FME_Input[FARMACRE100])</f>
        <v>56.068603515625</v>
      </c>
      <c r="AE1234" s="230">
        <f>(FME_Ranking1[[#This Row],[Ag Land Raw]]/$AD$2)*100</f>
        <v>2.3120182176738753E-3</v>
      </c>
      <c r="AF1234" s="231">
        <f>FME_Ranking1[[#This Row],[Ag Land Score (Normalized, Unweighted)]]*$AD$3</f>
        <v>1.1560091088369377E-4</v>
      </c>
      <c r="AG123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5.569355695432622E-2</v>
      </c>
      <c r="AH1234" s="406">
        <f t="shared" si="19"/>
        <v>1272</v>
      </c>
      <c r="AI123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5.569355695432622E-2</v>
      </c>
      <c r="AJ1234" s="257">
        <f>FME_Ranking1[[#This Row],[Addition check]]-FME_Ranking1[[#This Row],[Weighted Score Based on Normalized Reported Factors]]</f>
        <v>0</v>
      </c>
      <c r="AK1234" s="178">
        <f>_xlfn.RANK.EQ(AI1234,$AI$6:$AI$2341,0)+COUNTIF($AI$6:AI1234,AI1234)-1</f>
        <v>1273</v>
      </c>
    </row>
    <row r="1235" spans="1:37" x14ac:dyDescent="0.25">
      <c r="A1235" t="s">
        <v>4809</v>
      </c>
      <c r="B1235">
        <f>_xlfn.XLOOKUP(FME_Ranking1[[#This Row],[FME ID]],FME_Input[FME_ID],FME_Input[RFPG_NUM])</f>
        <v>3</v>
      </c>
      <c r="C1235" t="str">
        <f>_xlfn.XLOOKUP(FME_Ranking1[[#This Row],[FME ID]],FME_Input[FME_ID],FME_Input[FME_NAME])</f>
        <v>Sulphur Branch: Circle Lane Culvert Improvements</v>
      </c>
      <c r="D1235" t="str">
        <f>_xlfn.XLOOKUP(FME_Ranking1[[#This Row],[FME ID]],FME_Input[FME_ID],FME_Input[DESCR])</f>
        <v>Evaluate and define necessary culvert improvements.</v>
      </c>
      <c r="E1235" s="256">
        <f>_xlfn.XLOOKUP(FME_Ranking1[[#This Row],[FME ID]],FME_Input[FME_ID],FME_Input[FME_COST])</f>
        <v>150000</v>
      </c>
      <c r="F1235" t="str">
        <f>_xlfn.XLOOKUP(FME_Ranking1[[#This Row],[FME ID]],FME_Input[FME_ID],FME_Input[EMER_NEED])</f>
        <v>No</v>
      </c>
      <c r="G1235">
        <f>IF(FME_Ranking!F1235="Yes",100,0)</f>
        <v>0</v>
      </c>
      <c r="H1235">
        <f>FME_Ranking1[[#This Row],[Emergency Need Score (Normalized, Unweighted)]]*$F$3</f>
        <v>0</v>
      </c>
      <c r="I1235" s="246">
        <f>_xlfn.XLOOKUP(FME_Ranking1[[#This Row],[FME ID]],FME_Input[FME_ID],FME_Input[STRUCT_100])</f>
        <v>148</v>
      </c>
      <c r="J1235" s="178">
        <f>(FME_Ranking1[[#This Row],[Structures 100 Raw]]/I$2)*100</f>
        <v>7.9252880949320995E-2</v>
      </c>
      <c r="K1235" s="178">
        <f>FME_Ranking1[[#This Row],[Structures 100  Score (Normalized, Unweighted)]]*$I$3</f>
        <v>1.1887932142398149E-2</v>
      </c>
      <c r="L1235" s="246">
        <f>_xlfn.XLOOKUP(FME_Ranking1[[#This Row],[FME ID]],FME_Input[FME_ID],FME_Input[RES_STRUCT100])</f>
        <v>120</v>
      </c>
      <c r="M1235" s="230">
        <f>(FME_Ranking1[[#This Row],[Res Structures Raw]]/L$2)*100</f>
        <v>8.4996670963720586E-2</v>
      </c>
      <c r="N1235" s="180">
        <f>FME_Ranking1[[#This Row],[Res Structures Score (Normalized, Unweighted)]]*$L$3</f>
        <v>8.4996670963720586E-3</v>
      </c>
      <c r="O1235" s="244">
        <f>_xlfn.XLOOKUP(FME_Ranking1[[#This Row],[FME ID]],FME_Input[FME_ID],FME_Input[POP100])</f>
        <v>1152</v>
      </c>
      <c r="P1235" s="178">
        <f>(FME_Ranking1[[#This Row],[Pop Raw]]/$O$2)*100</f>
        <v>0.11793635941105529</v>
      </c>
      <c r="Q1235" s="178">
        <f>FME_Ranking1[[#This Row],[Pop Score (Normalized, Unweighted)]]*$O$3</f>
        <v>1.7690453911658292E-2</v>
      </c>
      <c r="R1235" s="137">
        <f>_xlfn.XLOOKUP(FME_Ranking1[[#This Row],[FME ID]],FME_Input[FME_ID],FME_Input[CRITFAC100])</f>
        <v>0</v>
      </c>
      <c r="S1235" s="230">
        <f>(FME_Ranking1[[#This Row],[Critical Facilities Raw]]/$R$2)*100</f>
        <v>0</v>
      </c>
      <c r="T1235" s="180">
        <f>FME_Ranking1[[#This Row],[Critical Facilities Score (Normalized, Unweighted)]]*$R$3</f>
        <v>0</v>
      </c>
      <c r="U1235">
        <f>_xlfn.XLOOKUP(FME_Ranking1[[#This Row],[FME ID]],FME_Input[FME_ID],FME_Input[LWC])</f>
        <v>1</v>
      </c>
      <c r="V1235" s="178">
        <f>(FME_Ranking1[[#This Row],[LWC Raw]]/$U$2)*100</f>
        <v>5.7570523891767422E-2</v>
      </c>
      <c r="W1235" s="178">
        <f>FME_Ranking1[[#This Row],[LWC Score (Normalized, Unweighted)]]*$U$3</f>
        <v>1.1514104778353485E-2</v>
      </c>
      <c r="X1235" s="246">
        <f>_xlfn.XLOOKUP(FME_Ranking1[[#This Row],[FME ID]],FME_Input[FME_ID],FME_Input[ROADCLS])</f>
        <v>0</v>
      </c>
      <c r="Y1235" s="230">
        <f>(FME_Ranking1[[#This Row],[Closures Raw]]/$X$2)*100</f>
        <v>0</v>
      </c>
      <c r="Z1235" s="180">
        <f>FME_Ranking1[[#This Row],[Closures Score (Normalized, Unweighted)]]*$X$3</f>
        <v>0</v>
      </c>
      <c r="AA1235" s="253">
        <f>_xlfn.XLOOKUP(FME_Ranking1[[#This Row],[FME ID]],FME_Input[FME_ID],FME_Input[ROAD_MILES100])</f>
        <v>3.47548508644104</v>
      </c>
      <c r="AB1235" s="178">
        <f>(FME_Ranking1[[#This Row],[Miles Raw]]/$AA$2)*100</f>
        <v>4.5696395311555359E-2</v>
      </c>
      <c r="AC1235" s="178">
        <f>FME_Ranking1[[#This Row],[Miles Score (Normalized, Unweighted)]]*$AA$3</f>
        <v>4.5696395311555357E-3</v>
      </c>
      <c r="AD1235" s="255">
        <f>_xlfn.XLOOKUP(FME_Ranking1[[#This Row],[FME ID]],FME_Input[FME_ID],FME_Input[FARMACRE100])</f>
        <v>3.4830150604248051</v>
      </c>
      <c r="AE1235" s="230">
        <f>(FME_Ranking1[[#This Row],[Ag Land Raw]]/$AD$2)*100</f>
        <v>1.4362394936215056E-4</v>
      </c>
      <c r="AF1235" s="231">
        <f>FME_Ranking1[[#This Row],[Ag Land Score (Normalized, Unweighted)]]*$AD$3</f>
        <v>7.181197468107528E-6</v>
      </c>
      <c r="AG123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5.416897865740563E-2</v>
      </c>
      <c r="AH1235" s="406">
        <f t="shared" si="19"/>
        <v>1278</v>
      </c>
      <c r="AI123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5.416897865740563E-2</v>
      </c>
      <c r="AJ1235" s="257">
        <f>FME_Ranking1[[#This Row],[Addition check]]-FME_Ranking1[[#This Row],[Weighted Score Based on Normalized Reported Factors]]</f>
        <v>0</v>
      </c>
      <c r="AK1235" s="178">
        <f>_xlfn.RANK.EQ(AI1235,$AI$6:$AI$2341,0)+COUNTIF($AI$6:AI1235,AI1235)-1</f>
        <v>1278</v>
      </c>
    </row>
    <row r="1236" spans="1:37" x14ac:dyDescent="0.25">
      <c r="A1236" t="s">
        <v>4816</v>
      </c>
      <c r="B1236">
        <f>_xlfn.XLOOKUP(FME_Ranking1[[#This Row],[FME ID]],FME_Input[FME_ID],FME_Input[RFPG_NUM])</f>
        <v>3</v>
      </c>
      <c r="C1236" t="str">
        <f>_xlfn.XLOOKUP(FME_Ranking1[[#This Row],[FME ID]],FME_Input[FME_ID],FME_Input[FME_NAME])</f>
        <v>Tributary SB-1: Circle Lane Culvert Improvements</v>
      </c>
      <c r="D1236" t="str">
        <f>_xlfn.XLOOKUP(FME_Ranking1[[#This Row],[FME ID]],FME_Input[FME_ID],FME_Input[DESCR])</f>
        <v>Evaluate and define necessary culvert improvements: Circle Lane, Shirley Way, Briar Drive, Schumac Lane, and Donna Lane</v>
      </c>
      <c r="E1236" s="256">
        <f>_xlfn.XLOOKUP(FME_Ranking1[[#This Row],[FME ID]],FME_Input[FME_ID],FME_Input[FME_COST])</f>
        <v>150000</v>
      </c>
      <c r="F1236" t="str">
        <f>_xlfn.XLOOKUP(FME_Ranking1[[#This Row],[FME ID]],FME_Input[FME_ID],FME_Input[EMER_NEED])</f>
        <v>No</v>
      </c>
      <c r="G1236">
        <f>IF(FME_Ranking!F1236="Yes",100,0)</f>
        <v>0</v>
      </c>
      <c r="H1236">
        <f>FME_Ranking1[[#This Row],[Emergency Need Score (Normalized, Unweighted)]]*$F$3</f>
        <v>0</v>
      </c>
      <c r="I1236" s="246">
        <f>_xlfn.XLOOKUP(FME_Ranking1[[#This Row],[FME ID]],FME_Input[FME_ID],FME_Input[STRUCT_100])</f>
        <v>148</v>
      </c>
      <c r="J1236" s="178">
        <f>(FME_Ranking1[[#This Row],[Structures 100 Raw]]/I$2)*100</f>
        <v>7.9252880949320995E-2</v>
      </c>
      <c r="K1236" s="178">
        <f>FME_Ranking1[[#This Row],[Structures 100  Score (Normalized, Unweighted)]]*$I$3</f>
        <v>1.1887932142398149E-2</v>
      </c>
      <c r="L1236" s="246">
        <f>_xlfn.XLOOKUP(FME_Ranking1[[#This Row],[FME ID]],FME_Input[FME_ID],FME_Input[RES_STRUCT100])</f>
        <v>120</v>
      </c>
      <c r="M1236" s="230">
        <f>(FME_Ranking1[[#This Row],[Res Structures Raw]]/L$2)*100</f>
        <v>8.4996670963720586E-2</v>
      </c>
      <c r="N1236" s="180">
        <f>FME_Ranking1[[#This Row],[Res Structures Score (Normalized, Unweighted)]]*$L$3</f>
        <v>8.4996670963720586E-3</v>
      </c>
      <c r="O1236" s="244">
        <f>_xlfn.XLOOKUP(FME_Ranking1[[#This Row],[FME ID]],FME_Input[FME_ID],FME_Input[POP100])</f>
        <v>1152</v>
      </c>
      <c r="P1236" s="178">
        <f>(FME_Ranking1[[#This Row],[Pop Raw]]/$O$2)*100</f>
        <v>0.11793635941105529</v>
      </c>
      <c r="Q1236" s="178">
        <f>FME_Ranking1[[#This Row],[Pop Score (Normalized, Unweighted)]]*$O$3</f>
        <v>1.7690453911658292E-2</v>
      </c>
      <c r="R1236" s="137">
        <f>_xlfn.XLOOKUP(FME_Ranking1[[#This Row],[FME ID]],FME_Input[FME_ID],FME_Input[CRITFAC100])</f>
        <v>0</v>
      </c>
      <c r="S1236" s="230">
        <f>(FME_Ranking1[[#This Row],[Critical Facilities Raw]]/$R$2)*100</f>
        <v>0</v>
      </c>
      <c r="T1236" s="180">
        <f>FME_Ranking1[[#This Row],[Critical Facilities Score (Normalized, Unweighted)]]*$R$3</f>
        <v>0</v>
      </c>
      <c r="U1236">
        <f>_xlfn.XLOOKUP(FME_Ranking1[[#This Row],[FME ID]],FME_Input[FME_ID],FME_Input[LWC])</f>
        <v>1</v>
      </c>
      <c r="V1236" s="178">
        <f>(FME_Ranking1[[#This Row],[LWC Raw]]/$U$2)*100</f>
        <v>5.7570523891767422E-2</v>
      </c>
      <c r="W1236" s="178">
        <f>FME_Ranking1[[#This Row],[LWC Score (Normalized, Unweighted)]]*$U$3</f>
        <v>1.1514104778353485E-2</v>
      </c>
      <c r="X1236" s="246">
        <f>_xlfn.XLOOKUP(FME_Ranking1[[#This Row],[FME ID]],FME_Input[FME_ID],FME_Input[ROADCLS])</f>
        <v>0</v>
      </c>
      <c r="Y1236" s="230">
        <f>(FME_Ranking1[[#This Row],[Closures Raw]]/$X$2)*100</f>
        <v>0</v>
      </c>
      <c r="Z1236" s="180">
        <f>FME_Ranking1[[#This Row],[Closures Score (Normalized, Unweighted)]]*$X$3</f>
        <v>0</v>
      </c>
      <c r="AA1236" s="253">
        <f>_xlfn.XLOOKUP(FME_Ranking1[[#This Row],[FME ID]],FME_Input[FME_ID],FME_Input[ROAD_MILES100])</f>
        <v>3.47548508644104</v>
      </c>
      <c r="AB1236" s="178">
        <f>(FME_Ranking1[[#This Row],[Miles Raw]]/$AA$2)*100</f>
        <v>4.5696395311555359E-2</v>
      </c>
      <c r="AC1236" s="178">
        <f>FME_Ranking1[[#This Row],[Miles Score (Normalized, Unweighted)]]*$AA$3</f>
        <v>4.5696395311555357E-3</v>
      </c>
      <c r="AD1236" s="255">
        <f>_xlfn.XLOOKUP(FME_Ranking1[[#This Row],[FME ID]],FME_Input[FME_ID],FME_Input[FARMACRE100])</f>
        <v>3.4830150604248051</v>
      </c>
      <c r="AE1236" s="230">
        <f>(FME_Ranking1[[#This Row],[Ag Land Raw]]/$AD$2)*100</f>
        <v>1.4362394936215056E-4</v>
      </c>
      <c r="AF1236" s="231">
        <f>FME_Ranking1[[#This Row],[Ag Land Score (Normalized, Unweighted)]]*$AD$3</f>
        <v>7.181197468107528E-6</v>
      </c>
      <c r="AG123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5.416897865740563E-2</v>
      </c>
      <c r="AH1236" s="406">
        <f t="shared" si="19"/>
        <v>1278</v>
      </c>
      <c r="AI123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5.416897865740563E-2</v>
      </c>
      <c r="AJ1236" s="257">
        <f>FME_Ranking1[[#This Row],[Addition check]]-FME_Ranking1[[#This Row],[Weighted Score Based on Normalized Reported Factors]]</f>
        <v>0</v>
      </c>
      <c r="AK1236" s="178">
        <f>_xlfn.RANK.EQ(AI1236,$AI$6:$AI$2341,0)+COUNTIF($AI$6:AI1236,AI1236)-1</f>
        <v>1279</v>
      </c>
    </row>
    <row r="1237" spans="1:37" x14ac:dyDescent="0.25">
      <c r="A1237" t="s">
        <v>9435</v>
      </c>
      <c r="B1237">
        <f>_xlfn.XLOOKUP(FME_Ranking1[[#This Row],[FME ID]],FME_Input[FME_ID],FME_Input[RFPG_NUM])</f>
        <v>12</v>
      </c>
      <c r="C1237" t="str">
        <f>_xlfn.XLOOKUP(FME_Ranking1[[#This Row],[FME ID]],FME_Input[FME_ID],FME_Input[FME_NAME])</f>
        <v>Hubner Creek Flood Protection Barier</v>
      </c>
      <c r="D1237" t="str">
        <f>_xlfn.XLOOKUP(FME_Ranking1[[#This Row],[FME ID]],FME_Input[FME_ID],FME_Input[DESCR])</f>
        <v>This project includes proposed Flood Protection Barrier between Ingram Road and Culebra Road</v>
      </c>
      <c r="E1237" s="256">
        <f>_xlfn.XLOOKUP(FME_Ranking1[[#This Row],[FME ID]],FME_Input[FME_ID],FME_Input[FME_COST])</f>
        <v>35681132</v>
      </c>
      <c r="F1237" t="str">
        <f>_xlfn.XLOOKUP(FME_Ranking1[[#This Row],[FME ID]],FME_Input[FME_ID],FME_Input[EMER_NEED])</f>
        <v>Yes</v>
      </c>
      <c r="G1237">
        <f>IF(FME_Ranking!F1237="Yes",100,0)</f>
        <v>100</v>
      </c>
      <c r="H1237">
        <f>FME_Ranking1[[#This Row],[Emergency Need Score (Normalized, Unweighted)]]*$F$3</f>
        <v>0</v>
      </c>
      <c r="I1237" s="246">
        <f>_xlfn.XLOOKUP(FME_Ranking1[[#This Row],[FME ID]],FME_Input[FME_ID],FME_Input[STRUCT_100])</f>
        <v>115</v>
      </c>
      <c r="J1237" s="178">
        <f>(FME_Ranking1[[#This Row],[Structures 100 Raw]]/I$2)*100</f>
        <v>6.1581630467377801E-2</v>
      </c>
      <c r="K1237" s="178">
        <f>FME_Ranking1[[#This Row],[Structures 100  Score (Normalized, Unweighted)]]*$I$3</f>
        <v>9.2372445701066706E-3</v>
      </c>
      <c r="L1237" s="246">
        <f>_xlfn.XLOOKUP(FME_Ranking1[[#This Row],[FME ID]],FME_Input[FME_ID],FME_Input[RES_STRUCT100])</f>
        <v>101</v>
      </c>
      <c r="M1237" s="230">
        <f>(FME_Ranking1[[#This Row],[Res Structures Raw]]/L$2)*100</f>
        <v>7.1538864727798163E-2</v>
      </c>
      <c r="N1237" s="180">
        <f>FME_Ranking1[[#This Row],[Res Structures Score (Normalized, Unweighted)]]*$L$3</f>
        <v>7.153886472779817E-3</v>
      </c>
      <c r="O1237" s="244">
        <f>_xlfn.XLOOKUP(FME_Ranking1[[#This Row],[FME ID]],FME_Input[FME_ID],FME_Input[POP100])</f>
        <v>1059</v>
      </c>
      <c r="P1237" s="178">
        <f>(FME_Ranking1[[#This Row],[Pop Raw]]/$O$2)*100</f>
        <v>0.10841545539610031</v>
      </c>
      <c r="Q1237" s="178">
        <f>FME_Ranking1[[#This Row],[Pop Score (Normalized, Unweighted)]]*$O$3</f>
        <v>1.6262318309415047E-2</v>
      </c>
      <c r="R1237" s="137">
        <f>_xlfn.XLOOKUP(FME_Ranking1[[#This Row],[FME ID]],FME_Input[FME_ID],FME_Input[CRITFAC100])</f>
        <v>0</v>
      </c>
      <c r="S1237" s="230">
        <f>(FME_Ranking1[[#This Row],[Critical Facilities Raw]]/$R$2)*100</f>
        <v>0</v>
      </c>
      <c r="T1237" s="180">
        <f>FME_Ranking1[[#This Row],[Critical Facilities Score (Normalized, Unweighted)]]*$R$3</f>
        <v>0</v>
      </c>
      <c r="U1237">
        <f>_xlfn.XLOOKUP(FME_Ranking1[[#This Row],[FME ID]],FME_Input[FME_ID],FME_Input[LWC])</f>
        <v>1</v>
      </c>
      <c r="V1237" s="178">
        <f>(FME_Ranking1[[#This Row],[LWC Raw]]/$U$2)*100</f>
        <v>5.7570523891767422E-2</v>
      </c>
      <c r="W1237" s="178">
        <f>FME_Ranking1[[#This Row],[LWC Score (Normalized, Unweighted)]]*$U$3</f>
        <v>1.1514104778353485E-2</v>
      </c>
      <c r="X1237" s="246">
        <f>_xlfn.XLOOKUP(FME_Ranking1[[#This Row],[FME ID]],FME_Input[FME_ID],FME_Input[ROADCLS])</f>
        <v>10</v>
      </c>
      <c r="Y1237" s="230">
        <f>(FME_Ranking1[[#This Row],[Closures Raw]]/$X$2)*100</f>
        <v>0.10514141520344865</v>
      </c>
      <c r="Z1237" s="180">
        <f>FME_Ranking1[[#This Row],[Closures Score (Normalized, Unweighted)]]*$X$3</f>
        <v>5.2570707601724328E-3</v>
      </c>
      <c r="AA1237" s="253">
        <f>_xlfn.XLOOKUP(FME_Ranking1[[#This Row],[FME ID]],FME_Input[FME_ID],FME_Input[ROAD_MILES100])</f>
        <v>1.860000014305115</v>
      </c>
      <c r="AB1237" s="178">
        <f>(FME_Ranking1[[#This Row],[Miles Raw]]/$AA$2)*100</f>
        <v>2.4455664121471425E-2</v>
      </c>
      <c r="AC1237" s="178">
        <f>FME_Ranking1[[#This Row],[Miles Score (Normalized, Unweighted)]]*$AA$3</f>
        <v>2.4455664121471425E-3</v>
      </c>
      <c r="AD1237" s="255">
        <f>_xlfn.XLOOKUP(FME_Ranking1[[#This Row],[FME ID]],FME_Input[FME_ID],FME_Input[FARMACRE100])</f>
        <v>1.1210000514984131</v>
      </c>
      <c r="AE1237" s="230">
        <f>(FME_Ranking1[[#This Row],[Ag Land Raw]]/$AD$2)*100</f>
        <v>4.6225023962928157E-5</v>
      </c>
      <c r="AF1237" s="231">
        <f>FME_Ranking1[[#This Row],[Ag Land Score (Normalized, Unweighted)]]*$AD$3</f>
        <v>2.311251198146408E-6</v>
      </c>
      <c r="AG123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5.1872502554172743E-2</v>
      </c>
      <c r="AH1237" s="406">
        <f t="shared" si="19"/>
        <v>1299</v>
      </c>
      <c r="AI123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5.1872502554172743E-2</v>
      </c>
      <c r="AJ1237" s="257">
        <f>FME_Ranking1[[#This Row],[Addition check]]-FME_Ranking1[[#This Row],[Weighted Score Based on Normalized Reported Factors]]</f>
        <v>0</v>
      </c>
      <c r="AK1237" s="178">
        <f>_xlfn.RANK.EQ(AI1237,$AI$6:$AI$2341,0)+COUNTIF($AI$6:AI1237,AI1237)-1</f>
        <v>1299</v>
      </c>
    </row>
    <row r="1238" spans="1:37" x14ac:dyDescent="0.25">
      <c r="A1238" t="s">
        <v>9440</v>
      </c>
      <c r="B1238">
        <f>_xlfn.XLOOKUP(FME_Ranking1[[#This Row],[FME ID]],FME_Input[FME_ID],FME_Input[RFPG_NUM])</f>
        <v>12</v>
      </c>
      <c r="C1238" t="str">
        <f>_xlfn.XLOOKUP(FME_Ranking1[[#This Row],[FME ID]],FME_Input[FME_ID],FME_Input[FME_NAME])</f>
        <v>Damage Center 5-Salado Creek Trib F</v>
      </c>
      <c r="D1238" t="str">
        <f>_xlfn.XLOOKUP(FME_Ranking1[[#This Row],[FME ID]],FME_Input[FME_ID],FME_Input[DESCR])</f>
        <v>Approximately 4,487 feet of channel improvements as well as constructing two inline reservoirs.</v>
      </c>
      <c r="E1238" s="256">
        <f>_xlfn.XLOOKUP(FME_Ranking1[[#This Row],[FME ID]],FME_Input[FME_ID],FME_Input[FME_COST])</f>
        <v>26845034</v>
      </c>
      <c r="F1238" t="str">
        <f>_xlfn.XLOOKUP(FME_Ranking1[[#This Row],[FME ID]],FME_Input[FME_ID],FME_Input[EMER_NEED])</f>
        <v>Yes</v>
      </c>
      <c r="G1238">
        <f>IF(FME_Ranking!F1238="Yes",100,0)</f>
        <v>100</v>
      </c>
      <c r="H1238">
        <f>FME_Ranking1[[#This Row],[Emergency Need Score (Normalized, Unweighted)]]*$F$3</f>
        <v>0</v>
      </c>
      <c r="I1238" s="246">
        <f>_xlfn.XLOOKUP(FME_Ranking1[[#This Row],[FME ID]],FME_Input[FME_ID],FME_Input[STRUCT_100])</f>
        <v>54</v>
      </c>
      <c r="J1238" s="178">
        <f>(FME_Ranking1[[#This Row],[Structures 100 Raw]]/I$2)*100</f>
        <v>2.891659169772523E-2</v>
      </c>
      <c r="K1238" s="178">
        <f>FME_Ranking1[[#This Row],[Structures 100  Score (Normalized, Unweighted)]]*$I$3</f>
        <v>4.3374887546587847E-3</v>
      </c>
      <c r="L1238" s="246">
        <f>_xlfn.XLOOKUP(FME_Ranking1[[#This Row],[FME ID]],FME_Input[FME_ID],FME_Input[RES_STRUCT100])</f>
        <v>27</v>
      </c>
      <c r="M1238" s="230">
        <f>(FME_Ranking1[[#This Row],[Res Structures Raw]]/L$2)*100</f>
        <v>1.9124250966837134E-2</v>
      </c>
      <c r="N1238" s="180">
        <f>FME_Ranking1[[#This Row],[Res Structures Score (Normalized, Unweighted)]]*$L$3</f>
        <v>1.9124250966837135E-3</v>
      </c>
      <c r="O1238" s="244">
        <f>_xlfn.XLOOKUP(FME_Ranking1[[#This Row],[FME ID]],FME_Input[FME_ID],FME_Input[POP100])</f>
        <v>243</v>
      </c>
      <c r="P1238" s="178">
        <f>(FME_Ranking1[[#This Row],[Pop Raw]]/$O$2)*100</f>
        <v>2.4877200813269478E-2</v>
      </c>
      <c r="Q1238" s="178">
        <f>FME_Ranking1[[#This Row],[Pop Score (Normalized, Unweighted)]]*$O$3</f>
        <v>3.7315801219904216E-3</v>
      </c>
      <c r="R1238" s="137">
        <f>_xlfn.XLOOKUP(FME_Ranking1[[#This Row],[FME ID]],FME_Input[FME_ID],FME_Input[CRITFAC100])</f>
        <v>0</v>
      </c>
      <c r="S1238" s="230">
        <f>(FME_Ranking1[[#This Row],[Critical Facilities Raw]]/$R$2)*100</f>
        <v>0</v>
      </c>
      <c r="T1238" s="180">
        <f>FME_Ranking1[[#This Row],[Critical Facilities Score (Normalized, Unweighted)]]*$R$3</f>
        <v>0</v>
      </c>
      <c r="U1238">
        <f>_xlfn.XLOOKUP(FME_Ranking1[[#This Row],[FME ID]],FME_Input[FME_ID],FME_Input[LWC])</f>
        <v>3</v>
      </c>
      <c r="V1238" s="178">
        <f>(FME_Ranking1[[#This Row],[LWC Raw]]/$U$2)*100</f>
        <v>0.17271157167530224</v>
      </c>
      <c r="W1238" s="178">
        <f>FME_Ranking1[[#This Row],[LWC Score (Normalized, Unweighted)]]*$U$3</f>
        <v>3.4542314335060449E-2</v>
      </c>
      <c r="X1238" s="246">
        <f>_xlfn.XLOOKUP(FME_Ranking1[[#This Row],[FME ID]],FME_Input[FME_ID],FME_Input[ROADCLS])</f>
        <v>9</v>
      </c>
      <c r="Y1238" s="230">
        <f>(FME_Ranking1[[#This Row],[Closures Raw]]/$X$2)*100</f>
        <v>9.462727368310378E-2</v>
      </c>
      <c r="Z1238" s="180">
        <f>FME_Ranking1[[#This Row],[Closures Score (Normalized, Unweighted)]]*$X$3</f>
        <v>4.7313636841551897E-3</v>
      </c>
      <c r="AA1238" s="253">
        <f>_xlfn.XLOOKUP(FME_Ranking1[[#This Row],[FME ID]],FME_Input[FME_ID],FME_Input[ROAD_MILES100])</f>
        <v>1.2300000190734861</v>
      </c>
      <c r="AB1238" s="178">
        <f>(FME_Ranking1[[#This Row],[Miles Raw]]/$AA$2)*100</f>
        <v>1.6172294142214026E-2</v>
      </c>
      <c r="AC1238" s="178">
        <f>FME_Ranking1[[#This Row],[Miles Score (Normalized, Unweighted)]]*$AA$3</f>
        <v>1.6172294142214026E-3</v>
      </c>
      <c r="AD1238" s="255">
        <f>_xlfn.XLOOKUP(FME_Ranking1[[#This Row],[FME ID]],FME_Input[FME_ID],FME_Input[FARMACRE100])</f>
        <v>0.73798298835754395</v>
      </c>
      <c r="AE1238" s="230">
        <f>(FME_Ranking1[[#This Row],[Ag Land Raw]]/$AD$2)*100</f>
        <v>3.0431114856294984E-5</v>
      </c>
      <c r="AF1238" s="231">
        <f>FME_Ranking1[[#This Row],[Ag Land Score (Normalized, Unweighted)]]*$AD$3</f>
        <v>1.5215557428147493E-6</v>
      </c>
      <c r="AG123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5.087392296251278E-2</v>
      </c>
      <c r="AH1238" s="406">
        <f t="shared" si="19"/>
        <v>1311</v>
      </c>
      <c r="AI123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5.087392296251278E-2</v>
      </c>
      <c r="AJ1238" s="257">
        <f>FME_Ranking1[[#This Row],[Addition check]]-FME_Ranking1[[#This Row],[Weighted Score Based on Normalized Reported Factors]]</f>
        <v>0</v>
      </c>
      <c r="AK1238" s="178">
        <f>_xlfn.RANK.EQ(AI1238,$AI$6:$AI$2341,0)+COUNTIF($AI$6:AI1238,AI1238)-1</f>
        <v>1311</v>
      </c>
    </row>
    <row r="1239" spans="1:37" x14ac:dyDescent="0.25">
      <c r="A1239" t="s">
        <v>8106</v>
      </c>
      <c r="B1239">
        <f>_xlfn.XLOOKUP(FME_Ranking1[[#This Row],[FME ID]],FME_Input[FME_ID],FME_Input[RFPG_NUM])</f>
        <v>9</v>
      </c>
      <c r="C1239" t="str">
        <f>_xlfn.XLOOKUP(FME_Ranking1[[#This Row],[FME ID]],FME_Input[FME_ID],FME_Input[FME_NAME])</f>
        <v>City of Brownfield DMP</v>
      </c>
      <c r="D1239" t="str">
        <f>_xlfn.XLOOKUP(FME_Ranking1[[#This Row],[FME ID]],FME_Input[FME_ID],FME_Input[DESCR])</f>
        <v xml:space="preserve">Create Drainage Master Plan, including evaluation of potential mitigation projects. </v>
      </c>
      <c r="E1239" s="256">
        <f>_xlfn.XLOOKUP(FME_Ranking1[[#This Row],[FME ID]],FME_Input[FME_ID],FME_Input[FME_COST])</f>
        <v>250000</v>
      </c>
      <c r="F1239" t="str">
        <f>_xlfn.XLOOKUP(FME_Ranking1[[#This Row],[FME ID]],FME_Input[FME_ID],FME_Input[EMER_NEED])</f>
        <v>No</v>
      </c>
      <c r="G1239">
        <f>IF(FME_Ranking!F1239="Yes",100,0)</f>
        <v>0</v>
      </c>
      <c r="H1239">
        <f>FME_Ranking1[[#This Row],[Emergency Need Score (Normalized, Unweighted)]]*$F$3</f>
        <v>0</v>
      </c>
      <c r="I1239" s="246">
        <f>_xlfn.XLOOKUP(FME_Ranking1[[#This Row],[FME ID]],FME_Input[FME_ID],FME_Input[STRUCT_100])</f>
        <v>245</v>
      </c>
      <c r="J1239" s="178">
        <f>(FME_Ranking1[[#This Row],[Structures 100 Raw]]/I$2)*100</f>
        <v>0.13119564751745705</v>
      </c>
      <c r="K1239" s="178">
        <f>FME_Ranking1[[#This Row],[Structures 100  Score (Normalized, Unweighted)]]*$I$3</f>
        <v>1.9679347127618558E-2</v>
      </c>
      <c r="L1239" s="246">
        <f>_xlfn.XLOOKUP(FME_Ranking1[[#This Row],[FME ID]],FME_Input[FME_ID],FME_Input[RES_STRUCT100])</f>
        <v>125</v>
      </c>
      <c r="M1239" s="230">
        <f>(FME_Ranking1[[#This Row],[Res Structures Raw]]/L$2)*100</f>
        <v>8.853819892054228E-2</v>
      </c>
      <c r="N1239" s="180">
        <f>FME_Ranking1[[#This Row],[Res Structures Score (Normalized, Unweighted)]]*$L$3</f>
        <v>8.853819892054228E-3</v>
      </c>
      <c r="O1239" s="244">
        <f>_xlfn.XLOOKUP(FME_Ranking1[[#This Row],[FME ID]],FME_Input[FME_ID],FME_Input[POP100])</f>
        <v>537</v>
      </c>
      <c r="P1239" s="178">
        <f>(FME_Ranking1[[#This Row],[Pop Raw]]/$O$2)*100</f>
        <v>5.4975542537965889E-2</v>
      </c>
      <c r="Q1239" s="178">
        <f>FME_Ranking1[[#This Row],[Pop Score (Normalized, Unweighted)]]*$O$3</f>
        <v>8.2463313806948827E-3</v>
      </c>
      <c r="R1239" s="137">
        <f>_xlfn.XLOOKUP(FME_Ranking1[[#This Row],[FME ID]],FME_Input[FME_ID],FME_Input[CRITFAC100])</f>
        <v>0</v>
      </c>
      <c r="S1239" s="230">
        <f>(FME_Ranking1[[#This Row],[Critical Facilities Raw]]/$R$2)*100</f>
        <v>0</v>
      </c>
      <c r="T1239" s="180">
        <f>FME_Ranking1[[#This Row],[Critical Facilities Score (Normalized, Unweighted)]]*$R$3</f>
        <v>0</v>
      </c>
      <c r="U1239">
        <f>_xlfn.XLOOKUP(FME_Ranking1[[#This Row],[FME ID]],FME_Input[FME_ID],FME_Input[LWC])</f>
        <v>1</v>
      </c>
      <c r="V1239" s="178">
        <f>(FME_Ranking1[[#This Row],[LWC Raw]]/$U$2)*100</f>
        <v>5.7570523891767422E-2</v>
      </c>
      <c r="W1239" s="178">
        <f>FME_Ranking1[[#This Row],[LWC Score (Normalized, Unweighted)]]*$U$3</f>
        <v>1.1514104778353485E-2</v>
      </c>
      <c r="X1239" s="246">
        <f>_xlfn.XLOOKUP(FME_Ranking1[[#This Row],[FME ID]],FME_Input[FME_ID],FME_Input[ROADCLS])</f>
        <v>0</v>
      </c>
      <c r="Y1239" s="230">
        <f>(FME_Ranking1[[#This Row],[Closures Raw]]/$X$2)*100</f>
        <v>0</v>
      </c>
      <c r="Z1239" s="180">
        <f>FME_Ranking1[[#This Row],[Closures Score (Normalized, Unweighted)]]*$X$3</f>
        <v>0</v>
      </c>
      <c r="AA1239" s="253">
        <f>_xlfn.XLOOKUP(FME_Ranking1[[#This Row],[FME ID]],FME_Input[FME_ID],FME_Input[ROAD_MILES100])</f>
        <v>17.780120849609379</v>
      </c>
      <c r="AB1239" s="178">
        <f>(FME_Ranking1[[#This Row],[Miles Raw]]/$AA$2)*100</f>
        <v>0.23377669902850295</v>
      </c>
      <c r="AC1239" s="178">
        <f>FME_Ranking1[[#This Row],[Miles Score (Normalized, Unweighted)]]*$AA$3</f>
        <v>2.3377669902850298E-2</v>
      </c>
      <c r="AD1239" s="255">
        <f>_xlfn.XLOOKUP(FME_Ranking1[[#This Row],[FME ID]],FME_Input[FME_ID],FME_Input[FARMACRE100])</f>
        <v>416.08999633789063</v>
      </c>
      <c r="AE1239" s="230">
        <f>(FME_Ranking1[[#This Row],[Ag Land Raw]]/$AD$2)*100</f>
        <v>1.7157688820570862E-2</v>
      </c>
      <c r="AF1239" s="231">
        <f>FME_Ranking1[[#This Row],[Ag Land Score (Normalized, Unweighted)]]*$AD$3</f>
        <v>8.5788444102854317E-4</v>
      </c>
      <c r="AG123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7.2529157522599988E-2</v>
      </c>
      <c r="AH1239" s="406">
        <f t="shared" si="19"/>
        <v>1178</v>
      </c>
      <c r="AI123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7.2529157522599988E-2</v>
      </c>
      <c r="AJ1239" s="257">
        <f>FME_Ranking1[[#This Row],[Addition check]]-FME_Ranking1[[#This Row],[Weighted Score Based on Normalized Reported Factors]]</f>
        <v>0</v>
      </c>
      <c r="AK1239" s="178">
        <f>_xlfn.RANK.EQ(AI1239,$AI$6:$AI$2341,0)+COUNTIF($AI$6:AI1239,AI1239)-1</f>
        <v>1178</v>
      </c>
    </row>
    <row r="1240" spans="1:37" x14ac:dyDescent="0.25">
      <c r="A1240" t="s">
        <v>8144</v>
      </c>
      <c r="B1240">
        <f>_xlfn.XLOOKUP(FME_Ranking1[[#This Row],[FME ID]],FME_Input[FME_ID],FME_Input[RFPG_NUM])</f>
        <v>9</v>
      </c>
      <c r="C1240" t="str">
        <f>_xlfn.XLOOKUP(FME_Ranking1[[#This Row],[FME ID]],FME_Input[FME_ID],FME_Input[FME_NAME])</f>
        <v>City of O'Donnell DMP</v>
      </c>
      <c r="D1240" t="str">
        <f>_xlfn.XLOOKUP(FME_Ranking1[[#This Row],[FME ID]],FME_Input[FME_ID],FME_Input[DESCR])</f>
        <v xml:space="preserve">Create Drainage Master Plan, including evaluation of potential mitigation projects. </v>
      </c>
      <c r="E1240" s="256">
        <f>_xlfn.XLOOKUP(FME_Ranking1[[#This Row],[FME ID]],FME_Input[FME_ID],FME_Input[FME_COST])</f>
        <v>250000</v>
      </c>
      <c r="F1240" t="str">
        <f>_xlfn.XLOOKUP(FME_Ranking1[[#This Row],[FME ID]],FME_Input[FME_ID],FME_Input[EMER_NEED])</f>
        <v>No</v>
      </c>
      <c r="G1240">
        <f>IF(FME_Ranking!F1240="Yes",100,0)</f>
        <v>0</v>
      </c>
      <c r="H1240">
        <f>FME_Ranking1[[#This Row],[Emergency Need Score (Normalized, Unweighted)]]*$F$3</f>
        <v>0</v>
      </c>
      <c r="I1240" s="246">
        <f>_xlfn.XLOOKUP(FME_Ranking1[[#This Row],[FME ID]],FME_Input[FME_ID],FME_Input[STRUCT_100])</f>
        <v>284</v>
      </c>
      <c r="J1240" s="178">
        <f>(FME_Ranking1[[#This Row],[Structures 100 Raw]]/I$2)*100</f>
        <v>0.15207985263248083</v>
      </c>
      <c r="K1240" s="178">
        <f>FME_Ranking1[[#This Row],[Structures 100  Score (Normalized, Unweighted)]]*$I$3</f>
        <v>2.2811977894872125E-2</v>
      </c>
      <c r="L1240" s="246">
        <f>_xlfn.XLOOKUP(FME_Ranking1[[#This Row],[FME ID]],FME_Input[FME_ID],FME_Input[RES_STRUCT100])</f>
        <v>184</v>
      </c>
      <c r="M1240" s="230">
        <f>(FME_Ranking1[[#This Row],[Res Structures Raw]]/L$2)*100</f>
        <v>0.13032822881103823</v>
      </c>
      <c r="N1240" s="180">
        <f>FME_Ranking1[[#This Row],[Res Structures Score (Normalized, Unweighted)]]*$L$3</f>
        <v>1.3032822881103823E-2</v>
      </c>
      <c r="O1240" s="244">
        <f>_xlfn.XLOOKUP(FME_Ranking1[[#This Row],[FME ID]],FME_Input[FME_ID],FME_Input[POP100])</f>
        <v>246</v>
      </c>
      <c r="P1240" s="178">
        <f>(FME_Ranking1[[#This Row],[Pop Raw]]/$O$2)*100</f>
        <v>2.5184326749235767E-2</v>
      </c>
      <c r="Q1240" s="178">
        <f>FME_Ranking1[[#This Row],[Pop Score (Normalized, Unweighted)]]*$O$3</f>
        <v>3.777649012385365E-3</v>
      </c>
      <c r="R1240" s="137">
        <f>_xlfn.XLOOKUP(FME_Ranking1[[#This Row],[FME ID]],FME_Input[FME_ID],FME_Input[CRITFAC100])</f>
        <v>1</v>
      </c>
      <c r="S1240" s="230">
        <f>(FME_Ranking1[[#This Row],[Critical Facilities Raw]]/$R$2)*100</f>
        <v>4.2881646655231559E-2</v>
      </c>
      <c r="T1240" s="180">
        <f>FME_Ranking1[[#This Row],[Critical Facilities Score (Normalized, Unweighted)]]*$R$3</f>
        <v>8.5763293310463125E-3</v>
      </c>
      <c r="U1240">
        <f>_xlfn.XLOOKUP(FME_Ranking1[[#This Row],[FME ID]],FME_Input[FME_ID],FME_Input[LWC])</f>
        <v>0</v>
      </c>
      <c r="V1240" s="178">
        <f>(FME_Ranking1[[#This Row],[LWC Raw]]/$U$2)*100</f>
        <v>0</v>
      </c>
      <c r="W1240" s="178">
        <f>FME_Ranking1[[#This Row],[LWC Score (Normalized, Unweighted)]]*$U$3</f>
        <v>0</v>
      </c>
      <c r="X1240" s="246">
        <f>_xlfn.XLOOKUP(FME_Ranking1[[#This Row],[FME ID]],FME_Input[FME_ID],FME_Input[ROADCLS])</f>
        <v>0</v>
      </c>
      <c r="Y1240" s="230">
        <f>(FME_Ranking1[[#This Row],[Closures Raw]]/$X$2)*100</f>
        <v>0</v>
      </c>
      <c r="Z1240" s="180">
        <f>FME_Ranking1[[#This Row],[Closures Score (Normalized, Unweighted)]]*$X$3</f>
        <v>0</v>
      </c>
      <c r="AA1240" s="253">
        <f>_xlfn.XLOOKUP(FME_Ranking1[[#This Row],[FME ID]],FME_Input[FME_ID],FME_Input[ROAD_MILES100])</f>
        <v>9.6691150665283203</v>
      </c>
      <c r="AB1240" s="178">
        <f>(FME_Ranking1[[#This Row],[Miles Raw]]/$AA$2)*100</f>
        <v>0.12713152075281955</v>
      </c>
      <c r="AC1240" s="178">
        <f>FME_Ranking1[[#This Row],[Miles Score (Normalized, Unweighted)]]*$AA$3</f>
        <v>1.2713152075281956E-2</v>
      </c>
      <c r="AD1240" s="255">
        <f>_xlfn.XLOOKUP(FME_Ranking1[[#This Row],[FME ID]],FME_Input[FME_ID],FME_Input[FARMACRE100])</f>
        <v>394.49981689453119</v>
      </c>
      <c r="AE1240" s="230">
        <f>(FME_Ranking1[[#This Row],[Ag Land Raw]]/$AD$2)*100</f>
        <v>1.6267406468844652E-2</v>
      </c>
      <c r="AF1240" s="231">
        <f>FME_Ranking1[[#This Row],[Ag Land Score (Normalized, Unweighted)]]*$AD$3</f>
        <v>8.1337032344223263E-4</v>
      </c>
      <c r="AG124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6.1725301518131805E-2</v>
      </c>
      <c r="AH1240" s="406">
        <f t="shared" si="19"/>
        <v>1235</v>
      </c>
      <c r="AI124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6.1725301518131805E-2</v>
      </c>
      <c r="AJ1240" s="257">
        <f>FME_Ranking1[[#This Row],[Addition check]]-FME_Ranking1[[#This Row],[Weighted Score Based on Normalized Reported Factors]]</f>
        <v>0</v>
      </c>
      <c r="AK1240" s="178">
        <f>_xlfn.RANK.EQ(AI1240,$AI$6:$AI$2341,0)+COUNTIF($AI$6:AI1240,AI1240)-1</f>
        <v>1235</v>
      </c>
    </row>
    <row r="1241" spans="1:37" x14ac:dyDescent="0.25">
      <c r="A1241" t="s">
        <v>11337</v>
      </c>
      <c r="B1241">
        <f>_xlfn.XLOOKUP(FME_Ranking1[[#This Row],[FME ID]],FME_Input[FME_ID],FME_Input[RFPG_NUM])</f>
        <v>15</v>
      </c>
      <c r="C1241" t="str">
        <f>_xlfn.XLOOKUP(FME_Ranking1[[#This Row],[FME ID]],FME_Input[FME_ID],FME_Input[FME_NAME])</f>
        <v>City of Escobares</v>
      </c>
      <c r="D1241" t="str">
        <f>_xlfn.XLOOKUP(FME_Ranking1[[#This Row],[FME ID]],FME_Input[FME_ID],FME_Input[DESCR])</f>
        <v>Develop Flood risk maps for the city of Escobares and develop CIP</v>
      </c>
      <c r="E1241" s="256">
        <f>_xlfn.XLOOKUP(FME_Ranking1[[#This Row],[FME ID]],FME_Input[FME_ID],FME_Input[FME_COST])</f>
        <v>250000</v>
      </c>
      <c r="F1241" t="str">
        <f>_xlfn.XLOOKUP(FME_Ranking1[[#This Row],[FME ID]],FME_Input[FME_ID],FME_Input[EMER_NEED])</f>
        <v>Yes</v>
      </c>
      <c r="G1241">
        <f>IF(FME_Ranking!F1241="Yes",100,0)</f>
        <v>100</v>
      </c>
      <c r="H1241">
        <f>FME_Ranking1[[#This Row],[Emergency Need Score (Normalized, Unweighted)]]*$F$3</f>
        <v>0</v>
      </c>
      <c r="I1241" s="246">
        <f>_xlfn.XLOOKUP(FME_Ranking1[[#This Row],[FME ID]],FME_Input[FME_ID],FME_Input[STRUCT_100])</f>
        <v>0</v>
      </c>
      <c r="J1241" s="178">
        <f>(FME_Ranking1[[#This Row],[Structures 100 Raw]]/I$2)*100</f>
        <v>0</v>
      </c>
      <c r="K1241" s="178">
        <f>FME_Ranking1[[#This Row],[Structures 100  Score (Normalized, Unweighted)]]*$I$3</f>
        <v>0</v>
      </c>
      <c r="L1241" s="246">
        <f>_xlfn.XLOOKUP(FME_Ranking1[[#This Row],[FME ID]],FME_Input[FME_ID],FME_Input[RES_STRUCT100])</f>
        <v>255</v>
      </c>
      <c r="M1241" s="230">
        <f>(FME_Ranking1[[#This Row],[Res Structures Raw]]/L$2)*100</f>
        <v>0.18061792579790625</v>
      </c>
      <c r="N1241" s="180">
        <f>FME_Ranking1[[#This Row],[Res Structures Score (Normalized, Unweighted)]]*$L$3</f>
        <v>1.8061792579790625E-2</v>
      </c>
      <c r="O1241" s="244">
        <f>_xlfn.XLOOKUP(FME_Ranking1[[#This Row],[FME ID]],FME_Input[FME_ID],FME_Input[POP100])</f>
        <v>1994</v>
      </c>
      <c r="P1241" s="178">
        <f>(FME_Ranking1[[#This Row],[Pop Raw]]/$O$2)*100</f>
        <v>0.20413637210559399</v>
      </c>
      <c r="Q1241" s="178">
        <f>FME_Ranking1[[#This Row],[Pop Score (Normalized, Unweighted)]]*$O$3</f>
        <v>3.0620455815839095E-2</v>
      </c>
      <c r="R1241" s="137">
        <f>_xlfn.XLOOKUP(FME_Ranking1[[#This Row],[FME ID]],FME_Input[FME_ID],FME_Input[CRITFAC100])</f>
        <v>0</v>
      </c>
      <c r="S1241" s="230">
        <f>(FME_Ranking1[[#This Row],[Critical Facilities Raw]]/$R$2)*100</f>
        <v>0</v>
      </c>
      <c r="T1241" s="180">
        <f>FME_Ranking1[[#This Row],[Critical Facilities Score (Normalized, Unweighted)]]*$R$3</f>
        <v>0</v>
      </c>
      <c r="U1241">
        <f>_xlfn.XLOOKUP(FME_Ranking1[[#This Row],[FME ID]],FME_Input[FME_ID],FME_Input[LWC])</f>
        <v>0</v>
      </c>
      <c r="V1241" s="178">
        <f>(FME_Ranking1[[#This Row],[LWC Raw]]/$U$2)*100</f>
        <v>0</v>
      </c>
      <c r="W1241" s="178">
        <f>FME_Ranking1[[#This Row],[LWC Score (Normalized, Unweighted)]]*$U$3</f>
        <v>0</v>
      </c>
      <c r="X1241" s="246">
        <f>_xlfn.XLOOKUP(FME_Ranking1[[#This Row],[FME ID]],FME_Input[FME_ID],FME_Input[ROADCLS])</f>
        <v>0</v>
      </c>
      <c r="Y1241" s="230">
        <f>(FME_Ranking1[[#This Row],[Closures Raw]]/$X$2)*100</f>
        <v>0</v>
      </c>
      <c r="Z1241" s="180">
        <f>FME_Ranking1[[#This Row],[Closures Score (Normalized, Unweighted)]]*$X$3</f>
        <v>0</v>
      </c>
      <c r="AA1241" s="253">
        <f>_xlfn.XLOOKUP(FME_Ranking1[[#This Row],[FME ID]],FME_Input[FME_ID],FME_Input[ROAD_MILES100])</f>
        <v>8.9883003234863281</v>
      </c>
      <c r="AB1241" s="178">
        <f>(FME_Ranking1[[#This Row],[Miles Raw]]/$AA$2)*100</f>
        <v>0.11818002798038478</v>
      </c>
      <c r="AC1241" s="178">
        <f>FME_Ranking1[[#This Row],[Miles Score (Normalized, Unweighted)]]*$AA$3</f>
        <v>1.1818002798038478E-2</v>
      </c>
      <c r="AD1241" s="255">
        <f>_xlfn.XLOOKUP(FME_Ranking1[[#This Row],[FME ID]],FME_Input[FME_ID],FME_Input[FARMACRE100])</f>
        <v>0</v>
      </c>
      <c r="AE1241" s="230">
        <f>(FME_Ranking1[[#This Row],[Ag Land Raw]]/$AD$2)*100</f>
        <v>0</v>
      </c>
      <c r="AF1241" s="231">
        <f>FME_Ranking1[[#This Row],[Ag Land Score (Normalized, Unweighted)]]*$AD$3</f>
        <v>0</v>
      </c>
      <c r="AG124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6.0500251193668197E-2</v>
      </c>
      <c r="AH1241" s="406">
        <f t="shared" si="19"/>
        <v>1241</v>
      </c>
      <c r="AI124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6.0500251193668197E-2</v>
      </c>
      <c r="AJ1241" s="257">
        <f>FME_Ranking1[[#This Row],[Addition check]]-FME_Ranking1[[#This Row],[Weighted Score Based on Normalized Reported Factors]]</f>
        <v>0</v>
      </c>
      <c r="AK1241" s="178">
        <f>_xlfn.RANK.EQ(AI1241,$AI$6:$AI$2341,0)+COUNTIF($AI$6:AI1241,AI1241)-1</f>
        <v>1241</v>
      </c>
    </row>
    <row r="1242" spans="1:37" x14ac:dyDescent="0.25">
      <c r="A1242" t="s">
        <v>3274</v>
      </c>
      <c r="B1242">
        <f>_xlfn.XLOOKUP(FME_Ranking1[[#This Row],[FME ID]],FME_Input[FME_ID],FME_Input[RFPG_NUM])</f>
        <v>1</v>
      </c>
      <c r="C1242" t="str">
        <f>_xlfn.XLOOKUP(FME_Ranking1[[#This Row],[FME ID]],FME_Input[FME_ID],FME_Input[FME_NAME])</f>
        <v>Willow Grove Project Planning (City of Amarillo)</v>
      </c>
      <c r="D1242" t="str">
        <f>_xlfn.XLOOKUP(FME_Ranking1[[#This Row],[FME ID]],FME_Input[FME_ID],FME_Input[DESCR])</f>
        <v>Evaluate project to quantify benefits, evaluate impacts and begin design. Excavate ~5,000 CY to El. 3564.0 to connect two playa chambers. Add new 500 GPM pumping station with 8" suction line and 6" force main. Project identified from 2019 Amarillo DMP.</v>
      </c>
      <c r="E1242" s="256">
        <f>_xlfn.XLOOKUP(FME_Ranking1[[#This Row],[FME ID]],FME_Input[FME_ID],FME_Input[FME_COST])</f>
        <v>250000</v>
      </c>
      <c r="F1242" t="str">
        <f>_xlfn.XLOOKUP(FME_Ranking1[[#This Row],[FME ID]],FME_Input[FME_ID],FME_Input[EMER_NEED])</f>
        <v>No</v>
      </c>
      <c r="G1242">
        <f>IF(FME_Ranking!F1242="Yes",100,0)</f>
        <v>0</v>
      </c>
      <c r="H1242">
        <f>FME_Ranking1[[#This Row],[Emergency Need Score (Normalized, Unweighted)]]*$F$3</f>
        <v>0</v>
      </c>
      <c r="I1242" s="246">
        <f>_xlfn.XLOOKUP(FME_Ranking1[[#This Row],[FME ID]],FME_Input[FME_ID],FME_Input[STRUCT_100])</f>
        <v>238</v>
      </c>
      <c r="J1242" s="178">
        <f>(FME_Ranking1[[#This Row],[Structures 100 Raw]]/I$2)*100</f>
        <v>0.12744720044552971</v>
      </c>
      <c r="K1242" s="178">
        <f>FME_Ranking1[[#This Row],[Structures 100  Score (Normalized, Unweighted)]]*$I$3</f>
        <v>1.9117080066829457E-2</v>
      </c>
      <c r="L1242" s="246">
        <f>_xlfn.XLOOKUP(FME_Ranking1[[#This Row],[FME ID]],FME_Input[FME_ID],FME_Input[RES_STRUCT100])</f>
        <v>222</v>
      </c>
      <c r="M1242" s="230">
        <f>(FME_Ranking1[[#This Row],[Res Structures Raw]]/L$2)*100</f>
        <v>0.15724384128288307</v>
      </c>
      <c r="N1242" s="180">
        <f>FME_Ranking1[[#This Row],[Res Structures Score (Normalized, Unweighted)]]*$L$3</f>
        <v>1.5724384128288308E-2</v>
      </c>
      <c r="O1242" s="244">
        <f>_xlfn.XLOOKUP(FME_Ranking1[[#This Row],[FME ID]],FME_Input[FME_ID],FME_Input[POP100])</f>
        <v>859</v>
      </c>
      <c r="P1242" s="178">
        <f>(FME_Ranking1[[#This Row],[Pop Raw]]/$O$2)*100</f>
        <v>8.7940392998347661E-2</v>
      </c>
      <c r="Q1242" s="178">
        <f>FME_Ranking1[[#This Row],[Pop Score (Normalized, Unweighted)]]*$O$3</f>
        <v>1.3191058949752149E-2</v>
      </c>
      <c r="R1242" s="137">
        <f>_xlfn.XLOOKUP(FME_Ranking1[[#This Row],[FME ID]],FME_Input[FME_ID],FME_Input[CRITFAC100])</f>
        <v>0</v>
      </c>
      <c r="S1242" s="230">
        <f>(FME_Ranking1[[#This Row],[Critical Facilities Raw]]/$R$2)*100</f>
        <v>0</v>
      </c>
      <c r="T1242" s="180">
        <f>FME_Ranking1[[#This Row],[Critical Facilities Score (Normalized, Unweighted)]]*$R$3</f>
        <v>0</v>
      </c>
      <c r="U1242">
        <f>_xlfn.XLOOKUP(FME_Ranking1[[#This Row],[FME ID]],FME_Input[FME_ID],FME_Input[LWC])</f>
        <v>0</v>
      </c>
      <c r="V1242" s="178">
        <f>(FME_Ranking1[[#This Row],[LWC Raw]]/$U$2)*100</f>
        <v>0</v>
      </c>
      <c r="W1242" s="178">
        <f>FME_Ranking1[[#This Row],[LWC Score (Normalized, Unweighted)]]*$U$3</f>
        <v>0</v>
      </c>
      <c r="X1242" s="246">
        <f>_xlfn.XLOOKUP(FME_Ranking1[[#This Row],[FME ID]],FME_Input[FME_ID],FME_Input[ROADCLS])</f>
        <v>0</v>
      </c>
      <c r="Y1242" s="230">
        <f>(FME_Ranking1[[#This Row],[Closures Raw]]/$X$2)*100</f>
        <v>0</v>
      </c>
      <c r="Z1242" s="180">
        <f>FME_Ranking1[[#This Row],[Closures Score (Normalized, Unweighted)]]*$X$3</f>
        <v>0</v>
      </c>
      <c r="AA1242" s="253">
        <f>_xlfn.XLOOKUP(FME_Ranking1[[#This Row],[FME ID]],FME_Input[FME_ID],FME_Input[ROAD_MILES100])</f>
        <v>3.951773881912231</v>
      </c>
      <c r="AB1242" s="178">
        <f>(FME_Ranking1[[#This Row],[Miles Raw]]/$AA$2)*100</f>
        <v>5.1958738707942514E-2</v>
      </c>
      <c r="AC1242" s="178">
        <f>FME_Ranking1[[#This Row],[Miles Score (Normalized, Unweighted)]]*$AA$3</f>
        <v>5.195873870794252E-3</v>
      </c>
      <c r="AD1242" s="255">
        <f>_xlfn.XLOOKUP(FME_Ranking1[[#This Row],[FME ID]],FME_Input[FME_ID],FME_Input[FARMACRE100])</f>
        <v>0</v>
      </c>
      <c r="AE1242" s="230">
        <f>(FME_Ranking1[[#This Row],[Ag Land Raw]]/$AD$2)*100</f>
        <v>0</v>
      </c>
      <c r="AF1242" s="231">
        <f>FME_Ranking1[[#This Row],[Ag Land Score (Normalized, Unweighted)]]*$AD$3</f>
        <v>0</v>
      </c>
      <c r="AG124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5.3228397015664168E-2</v>
      </c>
      <c r="AH1242" s="406">
        <f t="shared" si="19"/>
        <v>1289</v>
      </c>
      <c r="AI124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5.3228397015664168E-2</v>
      </c>
      <c r="AJ1242" s="257">
        <f>FME_Ranking1[[#This Row],[Addition check]]-FME_Ranking1[[#This Row],[Weighted Score Based on Normalized Reported Factors]]</f>
        <v>0</v>
      </c>
      <c r="AK1242" s="178">
        <f>_xlfn.RANK.EQ(AI1242,$AI$6:$AI$2341,0)+COUNTIF($AI$6:AI1242,AI1242)-1</f>
        <v>1289</v>
      </c>
    </row>
    <row r="1243" spans="1:37" x14ac:dyDescent="0.25">
      <c r="A1243" t="s">
        <v>3337</v>
      </c>
      <c r="B1243">
        <f>_xlfn.XLOOKUP(FME_Ranking1[[#This Row],[FME ID]],FME_Input[FME_ID],FME_Input[RFPG_NUM])</f>
        <v>1</v>
      </c>
      <c r="C1243" t="str">
        <f>_xlfn.XLOOKUP(FME_Ranking1[[#This Row],[FME ID]],FME_Input[FME_ID],FME_Input[FME_NAME])</f>
        <v>Willow Grove Project Planning - Rushmore/Hayden Storm Sewer (City of Amarillo)</v>
      </c>
      <c r="D1243" t="str">
        <f>_xlfn.XLOOKUP(FME_Ranking1[[#This Row],[FME ID]],FME_Input[FME_ID],FME_Input[DESCR])</f>
        <v>Evaluate project to quantify benefits, evaluate impacts and begin design. Replace four pipes with 60" or 66" pipes. Project identified from 2019 Amarillo DMP.</v>
      </c>
      <c r="E1243" s="256">
        <f>_xlfn.XLOOKUP(FME_Ranking1[[#This Row],[FME ID]],FME_Input[FME_ID],FME_Input[FME_COST])</f>
        <v>250000</v>
      </c>
      <c r="F1243" t="str">
        <f>_xlfn.XLOOKUP(FME_Ranking1[[#This Row],[FME ID]],FME_Input[FME_ID],FME_Input[EMER_NEED])</f>
        <v>No</v>
      </c>
      <c r="G1243">
        <f>IF(FME_Ranking!F1243="Yes",100,0)</f>
        <v>0</v>
      </c>
      <c r="H1243">
        <f>FME_Ranking1[[#This Row],[Emergency Need Score (Normalized, Unweighted)]]*$F$3</f>
        <v>0</v>
      </c>
      <c r="I1243" s="246">
        <f>_xlfn.XLOOKUP(FME_Ranking1[[#This Row],[FME ID]],FME_Input[FME_ID],FME_Input[STRUCT_100])</f>
        <v>238</v>
      </c>
      <c r="J1243" s="178">
        <f>(FME_Ranking1[[#This Row],[Structures 100 Raw]]/I$2)*100</f>
        <v>0.12744720044552971</v>
      </c>
      <c r="K1243" s="178">
        <f>FME_Ranking1[[#This Row],[Structures 100  Score (Normalized, Unweighted)]]*$I$3</f>
        <v>1.9117080066829457E-2</v>
      </c>
      <c r="L1243" s="246">
        <f>_xlfn.XLOOKUP(FME_Ranking1[[#This Row],[FME ID]],FME_Input[FME_ID],FME_Input[RES_STRUCT100])</f>
        <v>222</v>
      </c>
      <c r="M1243" s="230">
        <f>(FME_Ranking1[[#This Row],[Res Structures Raw]]/L$2)*100</f>
        <v>0.15724384128288307</v>
      </c>
      <c r="N1243" s="180">
        <f>FME_Ranking1[[#This Row],[Res Structures Score (Normalized, Unweighted)]]*$L$3</f>
        <v>1.5724384128288308E-2</v>
      </c>
      <c r="O1243" s="244">
        <f>_xlfn.XLOOKUP(FME_Ranking1[[#This Row],[FME ID]],FME_Input[FME_ID],FME_Input[POP100])</f>
        <v>859</v>
      </c>
      <c r="P1243" s="178">
        <f>(FME_Ranking1[[#This Row],[Pop Raw]]/$O$2)*100</f>
        <v>8.7940392998347661E-2</v>
      </c>
      <c r="Q1243" s="178">
        <f>FME_Ranking1[[#This Row],[Pop Score (Normalized, Unweighted)]]*$O$3</f>
        <v>1.3191058949752149E-2</v>
      </c>
      <c r="R1243" s="137">
        <f>_xlfn.XLOOKUP(FME_Ranking1[[#This Row],[FME ID]],FME_Input[FME_ID],FME_Input[CRITFAC100])</f>
        <v>0</v>
      </c>
      <c r="S1243" s="230">
        <f>(FME_Ranking1[[#This Row],[Critical Facilities Raw]]/$R$2)*100</f>
        <v>0</v>
      </c>
      <c r="T1243" s="180">
        <f>FME_Ranking1[[#This Row],[Critical Facilities Score (Normalized, Unweighted)]]*$R$3</f>
        <v>0</v>
      </c>
      <c r="U1243">
        <f>_xlfn.XLOOKUP(FME_Ranking1[[#This Row],[FME ID]],FME_Input[FME_ID],FME_Input[LWC])</f>
        <v>0</v>
      </c>
      <c r="V1243" s="178">
        <f>(FME_Ranking1[[#This Row],[LWC Raw]]/$U$2)*100</f>
        <v>0</v>
      </c>
      <c r="W1243" s="178">
        <f>FME_Ranking1[[#This Row],[LWC Score (Normalized, Unweighted)]]*$U$3</f>
        <v>0</v>
      </c>
      <c r="X1243" s="246">
        <f>_xlfn.XLOOKUP(FME_Ranking1[[#This Row],[FME ID]],FME_Input[FME_ID],FME_Input[ROADCLS])</f>
        <v>0</v>
      </c>
      <c r="Y1243" s="230">
        <f>(FME_Ranking1[[#This Row],[Closures Raw]]/$X$2)*100</f>
        <v>0</v>
      </c>
      <c r="Z1243" s="180">
        <f>FME_Ranking1[[#This Row],[Closures Score (Normalized, Unweighted)]]*$X$3</f>
        <v>0</v>
      </c>
      <c r="AA1243" s="253">
        <f>_xlfn.XLOOKUP(FME_Ranking1[[#This Row],[FME ID]],FME_Input[FME_ID],FME_Input[ROAD_MILES100])</f>
        <v>3.951773881912231</v>
      </c>
      <c r="AB1243" s="178">
        <f>(FME_Ranking1[[#This Row],[Miles Raw]]/$AA$2)*100</f>
        <v>5.1958738707942514E-2</v>
      </c>
      <c r="AC1243" s="178">
        <f>FME_Ranking1[[#This Row],[Miles Score (Normalized, Unweighted)]]*$AA$3</f>
        <v>5.195873870794252E-3</v>
      </c>
      <c r="AD1243" s="255">
        <f>_xlfn.XLOOKUP(FME_Ranking1[[#This Row],[FME ID]],FME_Input[FME_ID],FME_Input[FARMACRE100])</f>
        <v>0</v>
      </c>
      <c r="AE1243" s="230">
        <f>(FME_Ranking1[[#This Row],[Ag Land Raw]]/$AD$2)*100</f>
        <v>0</v>
      </c>
      <c r="AF1243" s="231">
        <f>FME_Ranking1[[#This Row],[Ag Land Score (Normalized, Unweighted)]]*$AD$3</f>
        <v>0</v>
      </c>
      <c r="AG124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5.3228397015664168E-2</v>
      </c>
      <c r="AH1243" s="406">
        <f t="shared" si="19"/>
        <v>1289</v>
      </c>
      <c r="AI124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5.3228397015664168E-2</v>
      </c>
      <c r="AJ1243" s="257">
        <f>FME_Ranking1[[#This Row],[Addition check]]-FME_Ranking1[[#This Row],[Weighted Score Based on Normalized Reported Factors]]</f>
        <v>0</v>
      </c>
      <c r="AK1243" s="178">
        <f>_xlfn.RANK.EQ(AI1243,$AI$6:$AI$2341,0)+COUNTIF($AI$6:AI1243,AI1243)-1</f>
        <v>1290</v>
      </c>
    </row>
    <row r="1244" spans="1:37" x14ac:dyDescent="0.25">
      <c r="A1244" t="s">
        <v>3401</v>
      </c>
      <c r="B1244">
        <f>_xlfn.XLOOKUP(FME_Ranking1[[#This Row],[FME ID]],FME_Input[FME_ID],FME_Input[RFPG_NUM])</f>
        <v>1</v>
      </c>
      <c r="C1244" t="str">
        <f>_xlfn.XLOOKUP(FME_Ranking1[[#This Row],[FME ID]],FME_Input[FME_ID],FME_Input[FME_NAME])</f>
        <v>Willow Grove Lake Watershed Study (City of Amarillo)</v>
      </c>
      <c r="D1244" t="str">
        <f>_xlfn.XLOOKUP(FME_Ranking1[[#This Row],[FME ID]],FME_Input[FME_ID],FME_Input[DESCR])</f>
        <v>Perform H&amp;H modeling, develop conceptual alternatives and OPCC, and rank projects. Marked as very high priority in 2019 Amarillo DMP</v>
      </c>
      <c r="E1244" s="256">
        <f>_xlfn.XLOOKUP(FME_Ranking1[[#This Row],[FME ID]],FME_Input[FME_ID],FME_Input[FME_COST])</f>
        <v>246000</v>
      </c>
      <c r="F1244" t="str">
        <f>_xlfn.XLOOKUP(FME_Ranking1[[#This Row],[FME ID]],FME_Input[FME_ID],FME_Input[EMER_NEED])</f>
        <v>No</v>
      </c>
      <c r="G1244">
        <f>IF(FME_Ranking!F1244="Yes",100,0)</f>
        <v>0</v>
      </c>
      <c r="H1244">
        <f>FME_Ranking1[[#This Row],[Emergency Need Score (Normalized, Unweighted)]]*$F$3</f>
        <v>0</v>
      </c>
      <c r="I1244" s="246">
        <f>_xlfn.XLOOKUP(FME_Ranking1[[#This Row],[FME ID]],FME_Input[FME_ID],FME_Input[STRUCT_100])</f>
        <v>238</v>
      </c>
      <c r="J1244" s="178">
        <f>(FME_Ranking1[[#This Row],[Structures 100 Raw]]/I$2)*100</f>
        <v>0.12744720044552971</v>
      </c>
      <c r="K1244" s="178">
        <f>FME_Ranking1[[#This Row],[Structures 100  Score (Normalized, Unweighted)]]*$I$3</f>
        <v>1.9117080066829457E-2</v>
      </c>
      <c r="L1244" s="246">
        <f>_xlfn.XLOOKUP(FME_Ranking1[[#This Row],[FME ID]],FME_Input[FME_ID],FME_Input[RES_STRUCT100])</f>
        <v>222</v>
      </c>
      <c r="M1244" s="230">
        <f>(FME_Ranking1[[#This Row],[Res Structures Raw]]/L$2)*100</f>
        <v>0.15724384128288307</v>
      </c>
      <c r="N1244" s="180">
        <f>FME_Ranking1[[#This Row],[Res Structures Score (Normalized, Unweighted)]]*$L$3</f>
        <v>1.5724384128288308E-2</v>
      </c>
      <c r="O1244" s="244">
        <f>_xlfn.XLOOKUP(FME_Ranking1[[#This Row],[FME ID]],FME_Input[FME_ID],FME_Input[POP100])</f>
        <v>859</v>
      </c>
      <c r="P1244" s="178">
        <f>(FME_Ranking1[[#This Row],[Pop Raw]]/$O$2)*100</f>
        <v>8.7940392998347661E-2</v>
      </c>
      <c r="Q1244" s="178">
        <f>FME_Ranking1[[#This Row],[Pop Score (Normalized, Unweighted)]]*$O$3</f>
        <v>1.3191058949752149E-2</v>
      </c>
      <c r="R1244" s="137">
        <f>_xlfn.XLOOKUP(FME_Ranking1[[#This Row],[FME ID]],FME_Input[FME_ID],FME_Input[CRITFAC100])</f>
        <v>0</v>
      </c>
      <c r="S1244" s="230">
        <f>(FME_Ranking1[[#This Row],[Critical Facilities Raw]]/$R$2)*100</f>
        <v>0</v>
      </c>
      <c r="T1244" s="180">
        <f>FME_Ranking1[[#This Row],[Critical Facilities Score (Normalized, Unweighted)]]*$R$3</f>
        <v>0</v>
      </c>
      <c r="U1244">
        <f>_xlfn.XLOOKUP(FME_Ranking1[[#This Row],[FME ID]],FME_Input[FME_ID],FME_Input[LWC])</f>
        <v>0</v>
      </c>
      <c r="V1244" s="178">
        <f>(FME_Ranking1[[#This Row],[LWC Raw]]/$U$2)*100</f>
        <v>0</v>
      </c>
      <c r="W1244" s="178">
        <f>FME_Ranking1[[#This Row],[LWC Score (Normalized, Unweighted)]]*$U$3</f>
        <v>0</v>
      </c>
      <c r="X1244" s="246">
        <f>_xlfn.XLOOKUP(FME_Ranking1[[#This Row],[FME ID]],FME_Input[FME_ID],FME_Input[ROADCLS])</f>
        <v>0</v>
      </c>
      <c r="Y1244" s="230">
        <f>(FME_Ranking1[[#This Row],[Closures Raw]]/$X$2)*100</f>
        <v>0</v>
      </c>
      <c r="Z1244" s="180">
        <f>FME_Ranking1[[#This Row],[Closures Score (Normalized, Unweighted)]]*$X$3</f>
        <v>0</v>
      </c>
      <c r="AA1244" s="253">
        <f>_xlfn.XLOOKUP(FME_Ranking1[[#This Row],[FME ID]],FME_Input[FME_ID],FME_Input[ROAD_MILES100])</f>
        <v>3.951773881912231</v>
      </c>
      <c r="AB1244" s="178">
        <f>(FME_Ranking1[[#This Row],[Miles Raw]]/$AA$2)*100</f>
        <v>5.1958738707942514E-2</v>
      </c>
      <c r="AC1244" s="178">
        <f>FME_Ranking1[[#This Row],[Miles Score (Normalized, Unweighted)]]*$AA$3</f>
        <v>5.195873870794252E-3</v>
      </c>
      <c r="AD1244" s="255">
        <f>_xlfn.XLOOKUP(FME_Ranking1[[#This Row],[FME ID]],FME_Input[FME_ID],FME_Input[FARMACRE100])</f>
        <v>0</v>
      </c>
      <c r="AE1244" s="230">
        <f>(FME_Ranking1[[#This Row],[Ag Land Raw]]/$AD$2)*100</f>
        <v>0</v>
      </c>
      <c r="AF1244" s="231">
        <f>FME_Ranking1[[#This Row],[Ag Land Score (Normalized, Unweighted)]]*$AD$3</f>
        <v>0</v>
      </c>
      <c r="AG124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5.3228397015664168E-2</v>
      </c>
      <c r="AH1244" s="406">
        <f t="shared" si="19"/>
        <v>1289</v>
      </c>
      <c r="AI124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5.3228397015664168E-2</v>
      </c>
      <c r="AJ1244" s="257">
        <f>FME_Ranking1[[#This Row],[Addition check]]-FME_Ranking1[[#This Row],[Weighted Score Based on Normalized Reported Factors]]</f>
        <v>0</v>
      </c>
      <c r="AK1244" s="178">
        <f>_xlfn.RANK.EQ(AI1244,$AI$6:$AI$2341,0)+COUNTIF($AI$6:AI1244,AI1244)-1</f>
        <v>1291</v>
      </c>
    </row>
    <row r="1245" spans="1:37" x14ac:dyDescent="0.25">
      <c r="A1245" t="s">
        <v>2061</v>
      </c>
      <c r="B1245">
        <f>_xlfn.XLOOKUP(FME_Ranking1[[#This Row],[FME ID]],FME_Input[FME_ID],FME_Input[RFPG_NUM])</f>
        <v>6</v>
      </c>
      <c r="C1245" t="str">
        <f>_xlfn.XLOOKUP(FME_Ranking1[[#This Row],[FME ID]],FME_Input[FME_ID],FME_Input[FME_NAME])</f>
        <v>West Fork Chocolate Bayou</v>
      </c>
      <c r="D1245" t="str">
        <f>_xlfn.XLOOKUP(FME_Ranking1[[#This Row],[FME ID]],FME_Input[FME_ID],FME_Input[DESCR])</f>
        <v>Further study including Atlas 14 rainfall incorporation and Benefit Cost Analysis of proposed channel modifications included in the City of Pearland master drainage plan.</v>
      </c>
      <c r="E1245" s="256">
        <f>_xlfn.XLOOKUP(FME_Ranking1[[#This Row],[FME ID]],FME_Input[FME_ID],FME_Input[FME_COST])</f>
        <v>2072000</v>
      </c>
      <c r="F1245" t="str">
        <f>_xlfn.XLOOKUP(FME_Ranking1[[#This Row],[FME ID]],FME_Input[FME_ID],FME_Input[EMER_NEED])</f>
        <v>No</v>
      </c>
      <c r="G1245">
        <f>IF(FME_Ranking!F1245="Yes",100,0)</f>
        <v>0</v>
      </c>
      <c r="H1245">
        <f>FME_Ranking1[[#This Row],[Emergency Need Score (Normalized, Unweighted)]]*$F$3</f>
        <v>0</v>
      </c>
      <c r="I1245" s="246">
        <f>_xlfn.XLOOKUP(FME_Ranking1[[#This Row],[FME ID]],FME_Input[FME_ID],FME_Input[STRUCT_100])</f>
        <v>295</v>
      </c>
      <c r="J1245" s="178">
        <f>(FME_Ranking1[[#This Row],[Structures 100 Raw]]/I$2)*100</f>
        <v>0.15797026945979523</v>
      </c>
      <c r="K1245" s="178">
        <f>FME_Ranking1[[#This Row],[Structures 100  Score (Normalized, Unweighted)]]*$I$3</f>
        <v>2.3695540418969284E-2</v>
      </c>
      <c r="L1245" s="246">
        <f>_xlfn.XLOOKUP(FME_Ranking1[[#This Row],[FME ID]],FME_Input[FME_ID],FME_Input[RES_STRUCT100])</f>
        <v>239</v>
      </c>
      <c r="M1245" s="230">
        <f>(FME_Ranking1[[#This Row],[Res Structures Raw]]/L$2)*100</f>
        <v>0.16928503633607683</v>
      </c>
      <c r="N1245" s="180">
        <f>FME_Ranking1[[#This Row],[Res Structures Score (Normalized, Unweighted)]]*$L$3</f>
        <v>1.6928503633607685E-2</v>
      </c>
      <c r="O1245" s="244">
        <f>_xlfn.XLOOKUP(FME_Ranking1[[#This Row],[FME ID]],FME_Input[FME_ID],FME_Input[POP100])</f>
        <v>442</v>
      </c>
      <c r="P1245" s="178">
        <f>(FME_Ranking1[[#This Row],[Pop Raw]]/$O$2)*100</f>
        <v>4.5249887899033371E-2</v>
      </c>
      <c r="Q1245" s="178">
        <f>FME_Ranking1[[#This Row],[Pop Score (Normalized, Unweighted)]]*$O$3</f>
        <v>6.7874831848550058E-3</v>
      </c>
      <c r="R1245" s="137">
        <f>_xlfn.XLOOKUP(FME_Ranking1[[#This Row],[FME ID]],FME_Input[FME_ID],FME_Input[CRITFAC100])</f>
        <v>0</v>
      </c>
      <c r="S1245" s="230">
        <f>(FME_Ranking1[[#This Row],[Critical Facilities Raw]]/$R$2)*100</f>
        <v>0</v>
      </c>
      <c r="T1245" s="180">
        <f>FME_Ranking1[[#This Row],[Critical Facilities Score (Normalized, Unweighted)]]*$R$3</f>
        <v>0</v>
      </c>
      <c r="U1245">
        <f>_xlfn.XLOOKUP(FME_Ranking1[[#This Row],[FME ID]],FME_Input[FME_ID],FME_Input[LWC])</f>
        <v>0</v>
      </c>
      <c r="V1245" s="178">
        <f>(FME_Ranking1[[#This Row],[LWC Raw]]/$U$2)*100</f>
        <v>0</v>
      </c>
      <c r="W1245" s="178">
        <f>FME_Ranking1[[#This Row],[LWC Score (Normalized, Unweighted)]]*$U$3</f>
        <v>0</v>
      </c>
      <c r="X1245" s="246">
        <f>_xlfn.XLOOKUP(FME_Ranking1[[#This Row],[FME ID]],FME_Input[FME_ID],FME_Input[ROADCLS])</f>
        <v>0</v>
      </c>
      <c r="Y1245" s="230">
        <f>(FME_Ranking1[[#This Row],[Closures Raw]]/$X$2)*100</f>
        <v>0</v>
      </c>
      <c r="Z1245" s="180">
        <f>FME_Ranking1[[#This Row],[Closures Score (Normalized, Unweighted)]]*$X$3</f>
        <v>0</v>
      </c>
      <c r="AA1245" s="253">
        <f>_xlfn.XLOOKUP(FME_Ranking1[[#This Row],[FME ID]],FME_Input[FME_ID],FME_Input[ROAD_MILES100])</f>
        <v>6.0072546005249023</v>
      </c>
      <c r="AB1245" s="178">
        <f>(FME_Ranking1[[#This Row],[Miles Raw]]/$AA$2)*100</f>
        <v>7.8984623479955302E-2</v>
      </c>
      <c r="AC1245" s="178">
        <f>FME_Ranking1[[#This Row],[Miles Score (Normalized, Unweighted)]]*$AA$3</f>
        <v>7.8984623479955302E-3</v>
      </c>
      <c r="AD1245" s="255">
        <f>_xlfn.XLOOKUP(FME_Ranking1[[#This Row],[FME ID]],FME_Input[FME_ID],FME_Input[FARMACRE100])</f>
        <v>157.03913879394531</v>
      </c>
      <c r="AE1245" s="230">
        <f>(FME_Ranking1[[#This Row],[Ag Land Raw]]/$AD$2)*100</f>
        <v>6.4755910975781072E-3</v>
      </c>
      <c r="AF1245" s="231">
        <f>FME_Ranking1[[#This Row],[Ag Land Score (Normalized, Unweighted)]]*$AD$3</f>
        <v>3.2377955487890536E-4</v>
      </c>
      <c r="AG124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5.5633769140306405E-2</v>
      </c>
      <c r="AH1245" s="406">
        <f t="shared" si="19"/>
        <v>1274</v>
      </c>
      <c r="AI124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5.5633769140306405E-2</v>
      </c>
      <c r="AJ1245" s="257">
        <f>FME_Ranking1[[#This Row],[Addition check]]-FME_Ranking1[[#This Row],[Weighted Score Based on Normalized Reported Factors]]</f>
        <v>0</v>
      </c>
      <c r="AK1245" s="178">
        <f>_xlfn.RANK.EQ(AI1245,$AI$6:$AI$2341,0)+COUNTIF($AI$6:AI1245,AI1245)-1</f>
        <v>1274</v>
      </c>
    </row>
    <row r="1246" spans="1:37" x14ac:dyDescent="0.25">
      <c r="A1246" t="s">
        <v>11229</v>
      </c>
      <c r="B1246">
        <f>_xlfn.XLOOKUP(FME_Ranking1[[#This Row],[FME ID]],FME_Input[FME_ID],FME_Input[RFPG_NUM])</f>
        <v>15</v>
      </c>
      <c r="C1246" t="str">
        <f>_xlfn.XLOOKUP(FME_Ranking1[[#This Row],[FME ID]],FME_Input[FME_ID],FME_Input[FME_NAME])</f>
        <v>Precinct 4 MDP - Risk Area B at Mile 6 &amp; North Ware Rd.</v>
      </c>
      <c r="D1246" t="str">
        <f>_xlfn.XLOOKUP(FME_Ranking1[[#This Row],[FME ID]],FME_Input[FME_ID],FME_Input[DESCR])</f>
        <v>Regional Detention Facilities with a  pond footprint of 25 acres along the Existing HCDD1 West Main Drain. Storm Drain and Local Drainage Improvements. Channel maintenance.</v>
      </c>
      <c r="E1246" s="256">
        <f>_xlfn.XLOOKUP(FME_Ranking1[[#This Row],[FME ID]],FME_Input[FME_ID],FME_Input[FME_COST])</f>
        <v>4076320</v>
      </c>
      <c r="F1246" t="str">
        <f>_xlfn.XLOOKUP(FME_Ranking1[[#This Row],[FME ID]],FME_Input[FME_ID],FME_Input[EMER_NEED])</f>
        <v>Yes</v>
      </c>
      <c r="G1246">
        <f>IF(FME_Ranking!F1246="Yes",100,0)</f>
        <v>100</v>
      </c>
      <c r="H1246">
        <f>FME_Ranking1[[#This Row],[Emergency Need Score (Normalized, Unweighted)]]*$F$3</f>
        <v>0</v>
      </c>
      <c r="I1246" s="246">
        <f>_xlfn.XLOOKUP(FME_Ranking1[[#This Row],[FME ID]],FME_Input[FME_ID],FME_Input[STRUCT_100])</f>
        <v>0</v>
      </c>
      <c r="J1246" s="178">
        <f>(FME_Ranking1[[#This Row],[Structures 100 Raw]]/I$2)*100</f>
        <v>0</v>
      </c>
      <c r="K1246" s="178">
        <f>FME_Ranking1[[#This Row],[Structures 100  Score (Normalized, Unweighted)]]*$I$3</f>
        <v>0</v>
      </c>
      <c r="L1246" s="246">
        <f>_xlfn.XLOOKUP(FME_Ranking1[[#This Row],[FME ID]],FME_Input[FME_ID],FME_Input[RES_STRUCT100])</f>
        <v>311</v>
      </c>
      <c r="M1246" s="230">
        <f>(FME_Ranking1[[#This Row],[Res Structures Raw]]/L$2)*100</f>
        <v>0.22028303891430917</v>
      </c>
      <c r="N1246" s="180">
        <f>FME_Ranking1[[#This Row],[Res Structures Score (Normalized, Unweighted)]]*$L$3</f>
        <v>2.2028303891430918E-2</v>
      </c>
      <c r="O1246" s="244">
        <f>_xlfn.XLOOKUP(FME_Ranking1[[#This Row],[FME ID]],FME_Input[FME_ID],FME_Input[POP100])</f>
        <v>1638</v>
      </c>
      <c r="P1246" s="178">
        <f>(FME_Ranking1[[#This Row],[Pop Raw]]/$O$2)*100</f>
        <v>0.16769076103759425</v>
      </c>
      <c r="Q1246" s="178">
        <f>FME_Ranking1[[#This Row],[Pop Score (Normalized, Unweighted)]]*$O$3</f>
        <v>2.5153614155639138E-2</v>
      </c>
      <c r="R1246" s="137">
        <f>_xlfn.XLOOKUP(FME_Ranking1[[#This Row],[FME ID]],FME_Input[FME_ID],FME_Input[CRITFAC100])</f>
        <v>0</v>
      </c>
      <c r="S1246" s="230">
        <f>(FME_Ranking1[[#This Row],[Critical Facilities Raw]]/$R$2)*100</f>
        <v>0</v>
      </c>
      <c r="T1246" s="180">
        <f>FME_Ranking1[[#This Row],[Critical Facilities Score (Normalized, Unweighted)]]*$R$3</f>
        <v>0</v>
      </c>
      <c r="U1246">
        <f>_xlfn.XLOOKUP(FME_Ranking1[[#This Row],[FME ID]],FME_Input[FME_ID],FME_Input[LWC])</f>
        <v>0</v>
      </c>
      <c r="V1246" s="178">
        <f>(FME_Ranking1[[#This Row],[LWC Raw]]/$U$2)*100</f>
        <v>0</v>
      </c>
      <c r="W1246" s="178">
        <f>FME_Ranking1[[#This Row],[LWC Score (Normalized, Unweighted)]]*$U$3</f>
        <v>0</v>
      </c>
      <c r="X1246" s="246">
        <f>_xlfn.XLOOKUP(FME_Ranking1[[#This Row],[FME ID]],FME_Input[FME_ID],FME_Input[ROADCLS])</f>
        <v>0</v>
      </c>
      <c r="Y1246" s="230">
        <f>(FME_Ranking1[[#This Row],[Closures Raw]]/$X$2)*100</f>
        <v>0</v>
      </c>
      <c r="Z1246" s="180">
        <f>FME_Ranking1[[#This Row],[Closures Score (Normalized, Unweighted)]]*$X$3</f>
        <v>0</v>
      </c>
      <c r="AA1246" s="253">
        <f>_xlfn.XLOOKUP(FME_Ranking1[[#This Row],[FME ID]],FME_Input[FME_ID],FME_Input[ROAD_MILES100])</f>
        <v>18.903999328613281</v>
      </c>
      <c r="AB1246" s="178">
        <f>(FME_Ranking1[[#This Row],[Miles Raw]]/$AA$2)*100</f>
        <v>0.2485536852567197</v>
      </c>
      <c r="AC1246" s="178">
        <f>FME_Ranking1[[#This Row],[Miles Score (Normalized, Unweighted)]]*$AA$3</f>
        <v>2.485536852567197E-2</v>
      </c>
      <c r="AD1246" s="255">
        <f>_xlfn.XLOOKUP(FME_Ranking1[[#This Row],[FME ID]],FME_Input[FME_ID],FME_Input[FARMACRE100])</f>
        <v>0</v>
      </c>
      <c r="AE1246" s="230">
        <f>(FME_Ranking1[[#This Row],[Ag Land Raw]]/$AD$2)*100</f>
        <v>0</v>
      </c>
      <c r="AF1246" s="231">
        <f>FME_Ranking1[[#This Row],[Ag Land Score (Normalized, Unweighted)]]*$AD$3</f>
        <v>0</v>
      </c>
      <c r="AG124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7.2037286572742026E-2</v>
      </c>
      <c r="AH1246" s="406">
        <f t="shared" si="19"/>
        <v>1179</v>
      </c>
      <c r="AI124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7.2037286572742026E-2</v>
      </c>
      <c r="AJ1246" s="257">
        <f>FME_Ranking1[[#This Row],[Addition check]]-FME_Ranking1[[#This Row],[Weighted Score Based on Normalized Reported Factors]]</f>
        <v>0</v>
      </c>
      <c r="AK1246" s="178">
        <f>_xlfn.RANK.EQ(AI1246,$AI$6:$AI$2341,0)+COUNTIF($AI$6:AI1246,AI1246)-1</f>
        <v>1179</v>
      </c>
    </row>
    <row r="1247" spans="1:37" x14ac:dyDescent="0.25">
      <c r="A1247" t="s">
        <v>6910</v>
      </c>
      <c r="B1247">
        <f>_xlfn.XLOOKUP(FME_Ranking1[[#This Row],[FME ID]],FME_Input[FME_ID],FME_Input[RFPG_NUM])</f>
        <v>7</v>
      </c>
      <c r="C1247" t="str">
        <f>_xlfn.XLOOKUP(FME_Ranking1[[#This Row],[FME ID]],FME_Input[FME_ID],FME_Input[FME_NAME])</f>
        <v>City of Sweetwater DMP</v>
      </c>
      <c r="D1247" t="str">
        <f>_xlfn.XLOOKUP(FME_Ranking1[[#This Row],[FME ID]],FME_Input[FME_ID],FME_Input[DESCR])</f>
        <v>Evaluate city to identify future projects, analyze roads/stream crossing for emergency response vehicles to high hazard areas</v>
      </c>
      <c r="E1247" s="256">
        <f>_xlfn.XLOOKUP(FME_Ranking1[[#This Row],[FME ID]],FME_Input[FME_ID],FME_Input[FME_COST])</f>
        <v>250000</v>
      </c>
      <c r="F1247" t="str">
        <f>_xlfn.XLOOKUP(FME_Ranking1[[#This Row],[FME ID]],FME_Input[FME_ID],FME_Input[EMER_NEED])</f>
        <v>No</v>
      </c>
      <c r="G1247">
        <f>IF(FME_Ranking!F1247="Yes",100,0)</f>
        <v>0</v>
      </c>
      <c r="H1247">
        <f>FME_Ranking1[[#This Row],[Emergency Need Score (Normalized, Unweighted)]]*$F$3</f>
        <v>0</v>
      </c>
      <c r="I1247" s="246">
        <f>_xlfn.XLOOKUP(FME_Ranking1[[#This Row],[FME ID]],FME_Input[FME_ID],FME_Input[STRUCT_100])</f>
        <v>8</v>
      </c>
      <c r="J1247" s="178">
        <f>(FME_Ranking1[[#This Row],[Structures 100 Raw]]/I$2)*100</f>
        <v>4.2839395107741084E-3</v>
      </c>
      <c r="K1247" s="178">
        <f>FME_Ranking1[[#This Row],[Structures 100  Score (Normalized, Unweighted)]]*$I$3</f>
        <v>6.4259092661611626E-4</v>
      </c>
      <c r="L1247" s="246">
        <f>_xlfn.XLOOKUP(FME_Ranking1[[#This Row],[FME ID]],FME_Input[FME_ID],FME_Input[RES_STRUCT100])</f>
        <v>5</v>
      </c>
      <c r="M1247" s="230">
        <f>(FME_Ranking1[[#This Row],[Res Structures Raw]]/L$2)*100</f>
        <v>3.5415279568216909E-3</v>
      </c>
      <c r="N1247" s="180">
        <f>FME_Ranking1[[#This Row],[Res Structures Score (Normalized, Unweighted)]]*$L$3</f>
        <v>3.5415279568216913E-4</v>
      </c>
      <c r="O1247" s="244">
        <f>_xlfn.XLOOKUP(FME_Ranking1[[#This Row],[FME ID]],FME_Input[FME_ID],FME_Input[POP100])</f>
        <v>4</v>
      </c>
      <c r="P1247" s="178">
        <f>(FME_Ranking1[[#This Row],[Pop Raw]]/$O$2)*100</f>
        <v>4.0950124795505313E-4</v>
      </c>
      <c r="Q1247" s="178">
        <f>FME_Ranking1[[#This Row],[Pop Score (Normalized, Unweighted)]]*$O$3</f>
        <v>6.1425187193257967E-5</v>
      </c>
      <c r="R1247" s="137">
        <f>_xlfn.XLOOKUP(FME_Ranking1[[#This Row],[FME ID]],FME_Input[FME_ID],FME_Input[CRITFAC100])</f>
        <v>0</v>
      </c>
      <c r="S1247" s="230">
        <f>(FME_Ranking1[[#This Row],[Critical Facilities Raw]]/$R$2)*100</f>
        <v>0</v>
      </c>
      <c r="T1247" s="180">
        <f>FME_Ranking1[[#This Row],[Critical Facilities Score (Normalized, Unweighted)]]*$R$3</f>
        <v>0</v>
      </c>
      <c r="U1247">
        <f>_xlfn.XLOOKUP(FME_Ranking1[[#This Row],[FME ID]],FME_Input[FME_ID],FME_Input[LWC])</f>
        <v>4</v>
      </c>
      <c r="V1247" s="178">
        <f>(FME_Ranking1[[#This Row],[LWC Raw]]/$U$2)*100</f>
        <v>0.23028209556706969</v>
      </c>
      <c r="W1247" s="178">
        <f>FME_Ranking1[[#This Row],[LWC Score (Normalized, Unweighted)]]*$U$3</f>
        <v>4.6056419113413939E-2</v>
      </c>
      <c r="X1247" s="246">
        <f>_xlfn.XLOOKUP(FME_Ranking1[[#This Row],[FME ID]],FME_Input[FME_ID],FME_Input[ROADCLS])</f>
        <v>0</v>
      </c>
      <c r="Y1247" s="230">
        <f>(FME_Ranking1[[#This Row],[Closures Raw]]/$X$2)*100</f>
        <v>0</v>
      </c>
      <c r="Z1247" s="180">
        <f>FME_Ranking1[[#This Row],[Closures Score (Normalized, Unweighted)]]*$X$3</f>
        <v>0</v>
      </c>
      <c r="AA1247" s="253">
        <f>_xlfn.XLOOKUP(FME_Ranking1[[#This Row],[FME ID]],FME_Input[FME_ID],FME_Input[ROAD_MILES100])</f>
        <v>1.662362933158875</v>
      </c>
      <c r="AB1247" s="178">
        <f>(FME_Ranking1[[#This Row],[Miles Raw]]/$AA$2)*100</f>
        <v>2.1857090983144783E-2</v>
      </c>
      <c r="AC1247" s="178">
        <f>FME_Ranking1[[#This Row],[Miles Score (Normalized, Unweighted)]]*$AA$3</f>
        <v>2.1857090983144786E-3</v>
      </c>
      <c r="AD1247" s="255">
        <f>_xlfn.XLOOKUP(FME_Ranking1[[#This Row],[FME ID]],FME_Input[FME_ID],FME_Input[FARMACRE100])</f>
        <v>0</v>
      </c>
      <c r="AE1247" s="230">
        <f>(FME_Ranking1[[#This Row],[Ag Land Raw]]/$AD$2)*100</f>
        <v>0</v>
      </c>
      <c r="AF1247" s="231">
        <f>FME_Ranking1[[#This Row],[Ag Land Score (Normalized, Unweighted)]]*$AD$3</f>
        <v>0</v>
      </c>
      <c r="AG124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4.9300297121219958E-2</v>
      </c>
      <c r="AH1247" s="406">
        <f t="shared" si="19"/>
        <v>1322</v>
      </c>
      <c r="AI124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4.9300297121219958E-2</v>
      </c>
      <c r="AJ1247" s="257">
        <f>FME_Ranking1[[#This Row],[Addition check]]-FME_Ranking1[[#This Row],[Weighted Score Based on Normalized Reported Factors]]</f>
        <v>0</v>
      </c>
      <c r="AK1247" s="178">
        <f>_xlfn.RANK.EQ(AI1247,$AI$6:$AI$2341,0)+COUNTIF($AI$6:AI1247,AI1247)-1</f>
        <v>1322</v>
      </c>
    </row>
    <row r="1248" spans="1:37" x14ac:dyDescent="0.25">
      <c r="A1248" t="s">
        <v>7270</v>
      </c>
      <c r="B1248">
        <f>_xlfn.XLOOKUP(FME_Ranking1[[#This Row],[FME ID]],FME_Input[FME_ID],FME_Input[RFPG_NUM])</f>
        <v>7</v>
      </c>
      <c r="C1248" t="str">
        <f>_xlfn.XLOOKUP(FME_Ranking1[[#This Row],[FME ID]],FME_Input[FME_ID],FME_Input[FME_NAME])</f>
        <v>City of Sweetwater DCM</v>
      </c>
      <c r="D1248" t="str">
        <f>_xlfn.XLOOKUP(FME_Ranking1[[#This Row],[FME ID]],FME_Input[FME_ID],FME_Input[DESCR])</f>
        <v>Consider stormwater criteria for infrastructure and floodplain ordinances to avoid new exposure to flood hazards.</v>
      </c>
      <c r="E1248" s="256">
        <f>_xlfn.XLOOKUP(FME_Ranking1[[#This Row],[FME ID]],FME_Input[FME_ID],FME_Input[FME_COST])</f>
        <v>100000</v>
      </c>
      <c r="F1248" t="str">
        <f>_xlfn.XLOOKUP(FME_Ranking1[[#This Row],[FME ID]],FME_Input[FME_ID],FME_Input[EMER_NEED])</f>
        <v>No</v>
      </c>
      <c r="G1248">
        <f>IF(FME_Ranking!F1248="Yes",100,0)</f>
        <v>0</v>
      </c>
      <c r="H1248">
        <f>FME_Ranking1[[#This Row],[Emergency Need Score (Normalized, Unweighted)]]*$F$3</f>
        <v>0</v>
      </c>
      <c r="I1248" s="246">
        <f>_xlfn.XLOOKUP(FME_Ranking1[[#This Row],[FME ID]],FME_Input[FME_ID],FME_Input[STRUCT_100])</f>
        <v>8</v>
      </c>
      <c r="J1248" s="178">
        <f>(FME_Ranking1[[#This Row],[Structures 100 Raw]]/I$2)*100</f>
        <v>4.2839395107741084E-3</v>
      </c>
      <c r="K1248" s="178">
        <f>FME_Ranking1[[#This Row],[Structures 100  Score (Normalized, Unweighted)]]*$I$3</f>
        <v>6.4259092661611626E-4</v>
      </c>
      <c r="L1248" s="246">
        <f>_xlfn.XLOOKUP(FME_Ranking1[[#This Row],[FME ID]],FME_Input[FME_ID],FME_Input[RES_STRUCT100])</f>
        <v>5</v>
      </c>
      <c r="M1248" s="230">
        <f>(FME_Ranking1[[#This Row],[Res Structures Raw]]/L$2)*100</f>
        <v>3.5415279568216909E-3</v>
      </c>
      <c r="N1248" s="180">
        <f>FME_Ranking1[[#This Row],[Res Structures Score (Normalized, Unweighted)]]*$L$3</f>
        <v>3.5415279568216913E-4</v>
      </c>
      <c r="O1248" s="244">
        <f>_xlfn.XLOOKUP(FME_Ranking1[[#This Row],[FME ID]],FME_Input[FME_ID],FME_Input[POP100])</f>
        <v>4</v>
      </c>
      <c r="P1248" s="178">
        <f>(FME_Ranking1[[#This Row],[Pop Raw]]/$O$2)*100</f>
        <v>4.0950124795505313E-4</v>
      </c>
      <c r="Q1248" s="178">
        <f>FME_Ranking1[[#This Row],[Pop Score (Normalized, Unweighted)]]*$O$3</f>
        <v>6.1425187193257967E-5</v>
      </c>
      <c r="R1248" s="137">
        <f>_xlfn.XLOOKUP(FME_Ranking1[[#This Row],[FME ID]],FME_Input[FME_ID],FME_Input[CRITFAC100])</f>
        <v>0</v>
      </c>
      <c r="S1248" s="230">
        <f>(FME_Ranking1[[#This Row],[Critical Facilities Raw]]/$R$2)*100</f>
        <v>0</v>
      </c>
      <c r="T1248" s="180">
        <f>FME_Ranking1[[#This Row],[Critical Facilities Score (Normalized, Unweighted)]]*$R$3</f>
        <v>0</v>
      </c>
      <c r="U1248">
        <f>_xlfn.XLOOKUP(FME_Ranking1[[#This Row],[FME ID]],FME_Input[FME_ID],FME_Input[LWC])</f>
        <v>4</v>
      </c>
      <c r="V1248" s="178">
        <f>(FME_Ranking1[[#This Row],[LWC Raw]]/$U$2)*100</f>
        <v>0.23028209556706969</v>
      </c>
      <c r="W1248" s="178">
        <f>FME_Ranking1[[#This Row],[LWC Score (Normalized, Unweighted)]]*$U$3</f>
        <v>4.6056419113413939E-2</v>
      </c>
      <c r="X1248" s="246">
        <f>_xlfn.XLOOKUP(FME_Ranking1[[#This Row],[FME ID]],FME_Input[FME_ID],FME_Input[ROADCLS])</f>
        <v>0</v>
      </c>
      <c r="Y1248" s="230">
        <f>(FME_Ranking1[[#This Row],[Closures Raw]]/$X$2)*100</f>
        <v>0</v>
      </c>
      <c r="Z1248" s="180">
        <f>FME_Ranking1[[#This Row],[Closures Score (Normalized, Unweighted)]]*$X$3</f>
        <v>0</v>
      </c>
      <c r="AA1248" s="253">
        <f>_xlfn.XLOOKUP(FME_Ranking1[[#This Row],[FME ID]],FME_Input[FME_ID],FME_Input[ROAD_MILES100])</f>
        <v>1.662362933158875</v>
      </c>
      <c r="AB1248" s="178">
        <f>(FME_Ranking1[[#This Row],[Miles Raw]]/$AA$2)*100</f>
        <v>2.1857090983144783E-2</v>
      </c>
      <c r="AC1248" s="178">
        <f>FME_Ranking1[[#This Row],[Miles Score (Normalized, Unweighted)]]*$AA$3</f>
        <v>2.1857090983144786E-3</v>
      </c>
      <c r="AD1248" s="255">
        <f>_xlfn.XLOOKUP(FME_Ranking1[[#This Row],[FME ID]],FME_Input[FME_ID],FME_Input[FARMACRE100])</f>
        <v>0</v>
      </c>
      <c r="AE1248" s="230">
        <f>(FME_Ranking1[[#This Row],[Ag Land Raw]]/$AD$2)*100</f>
        <v>0</v>
      </c>
      <c r="AF1248" s="231">
        <f>FME_Ranking1[[#This Row],[Ag Land Score (Normalized, Unweighted)]]*$AD$3</f>
        <v>0</v>
      </c>
      <c r="AG124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4.9300297121219958E-2</v>
      </c>
      <c r="AH1248" s="406">
        <f t="shared" si="19"/>
        <v>1322</v>
      </c>
      <c r="AI124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4.9300297121219958E-2</v>
      </c>
      <c r="AJ1248" s="257">
        <f>FME_Ranking1[[#This Row],[Addition check]]-FME_Ranking1[[#This Row],[Weighted Score Based on Normalized Reported Factors]]</f>
        <v>0</v>
      </c>
      <c r="AK1248" s="178">
        <f>_xlfn.RANK.EQ(AI1248,$AI$6:$AI$2341,0)+COUNTIF($AI$6:AI1248,AI1248)-1</f>
        <v>1323</v>
      </c>
    </row>
    <row r="1249" spans="1:37" x14ac:dyDescent="0.25">
      <c r="A1249" t="s">
        <v>149</v>
      </c>
      <c r="B1249">
        <f>_xlfn.XLOOKUP(FME_Ranking1[[#This Row],[FME ID]],FME_Input[FME_ID],FME_Input[RFPG_NUM])</f>
        <v>10</v>
      </c>
      <c r="C1249" t="str">
        <f>_xlfn.XLOOKUP(FME_Ranking1[[#This Row],[FME ID]],FME_Input[FME_ID],FME_Input[FME_NAME])</f>
        <v>Citywide Drainage Plan</v>
      </c>
      <c r="D1249" t="str">
        <f>_xlfn.XLOOKUP(FME_Ranking1[[#This Row],[FME ID]],FME_Input[FME_ID],FME_Input[DESCR])</f>
        <v xml:space="preserve">City Drainage Plan_x000D_
</v>
      </c>
      <c r="E1249" s="256">
        <f>_xlfn.XLOOKUP(FME_Ranking1[[#This Row],[FME ID]],FME_Input[FME_ID],FME_Input[FME_COST])</f>
        <v>250000</v>
      </c>
      <c r="F1249" t="str">
        <f>_xlfn.XLOOKUP(FME_Ranking1[[#This Row],[FME ID]],FME_Input[FME_ID],FME_Input[EMER_NEED])</f>
        <v>No</v>
      </c>
      <c r="G1249">
        <f>IF(FME_Ranking!F1249="Yes",100,0)</f>
        <v>0</v>
      </c>
      <c r="H1249">
        <f>FME_Ranking1[[#This Row],[Emergency Need Score (Normalized, Unweighted)]]*$F$3</f>
        <v>0</v>
      </c>
      <c r="I1249" s="246">
        <f>_xlfn.XLOOKUP(FME_Ranking1[[#This Row],[FME ID]],FME_Input[FME_ID],FME_Input[STRUCT_100])</f>
        <v>48</v>
      </c>
      <c r="J1249" s="178">
        <f>(FME_Ranking1[[#This Row],[Structures 100 Raw]]/I$2)*100</f>
        <v>2.5703637064644645E-2</v>
      </c>
      <c r="K1249" s="178">
        <f>FME_Ranking1[[#This Row],[Structures 100  Score (Normalized, Unweighted)]]*$I$3</f>
        <v>3.8555455596966967E-3</v>
      </c>
      <c r="L1249" s="246">
        <f>_xlfn.XLOOKUP(FME_Ranking1[[#This Row],[FME ID]],FME_Input[FME_ID],FME_Input[RES_STRUCT100])</f>
        <v>29</v>
      </c>
      <c r="M1249" s="230">
        <f>(FME_Ranking1[[#This Row],[Res Structures Raw]]/L$2)*100</f>
        <v>2.0540862149565808E-2</v>
      </c>
      <c r="N1249" s="180">
        <f>FME_Ranking1[[#This Row],[Res Structures Score (Normalized, Unweighted)]]*$L$3</f>
        <v>2.0540862149565809E-3</v>
      </c>
      <c r="O1249" s="244">
        <f>_xlfn.XLOOKUP(FME_Ranking1[[#This Row],[FME ID]],FME_Input[FME_ID],FME_Input[POP100])</f>
        <v>394</v>
      </c>
      <c r="P1249" s="178">
        <f>(FME_Ranking1[[#This Row],[Pop Raw]]/$O$2)*100</f>
        <v>4.0335872923572734E-2</v>
      </c>
      <c r="Q1249" s="178">
        <f>FME_Ranking1[[#This Row],[Pop Score (Normalized, Unweighted)]]*$O$3</f>
        <v>6.0503809385359097E-3</v>
      </c>
      <c r="R1249" s="137">
        <f>_xlfn.XLOOKUP(FME_Ranking1[[#This Row],[FME ID]],FME_Input[FME_ID],FME_Input[CRITFAC100])</f>
        <v>0</v>
      </c>
      <c r="S1249" s="230">
        <f>(FME_Ranking1[[#This Row],[Critical Facilities Raw]]/$R$2)*100</f>
        <v>0</v>
      </c>
      <c r="T1249" s="180">
        <f>FME_Ranking1[[#This Row],[Critical Facilities Score (Normalized, Unweighted)]]*$R$3</f>
        <v>0</v>
      </c>
      <c r="U1249">
        <f>_xlfn.XLOOKUP(FME_Ranking1[[#This Row],[FME ID]],FME_Input[FME_ID],FME_Input[LWC])</f>
        <v>3</v>
      </c>
      <c r="V1249" s="178">
        <f>(FME_Ranking1[[#This Row],[LWC Raw]]/$U$2)*100</f>
        <v>0.17271157167530224</v>
      </c>
      <c r="W1249" s="178">
        <f>FME_Ranking1[[#This Row],[LWC Score (Normalized, Unweighted)]]*$U$3</f>
        <v>3.4542314335060449E-2</v>
      </c>
      <c r="X1249" s="246">
        <f>_xlfn.XLOOKUP(FME_Ranking1[[#This Row],[FME ID]],FME_Input[FME_ID],FME_Input[ROADCLS])</f>
        <v>0</v>
      </c>
      <c r="Y1249" s="230">
        <f>(FME_Ranking1[[#This Row],[Closures Raw]]/$X$2)*100</f>
        <v>0</v>
      </c>
      <c r="Z1249" s="180">
        <f>FME_Ranking1[[#This Row],[Closures Score (Normalized, Unweighted)]]*$X$3</f>
        <v>0</v>
      </c>
      <c r="AA1249" s="253">
        <f>_xlfn.XLOOKUP(FME_Ranking1[[#This Row],[FME ID]],FME_Input[FME_ID],FME_Input[ROAD_MILES100])</f>
        <v>0</v>
      </c>
      <c r="AB1249" s="178">
        <f>(FME_Ranking1[[#This Row],[Miles Raw]]/$AA$2)*100</f>
        <v>0</v>
      </c>
      <c r="AC1249" s="178">
        <f>FME_Ranking1[[#This Row],[Miles Score (Normalized, Unweighted)]]*$AA$3</f>
        <v>0</v>
      </c>
      <c r="AD1249" s="255">
        <f>_xlfn.XLOOKUP(FME_Ranking1[[#This Row],[FME ID]],FME_Input[FME_ID],FME_Input[FARMACRE100])</f>
        <v>67.495536804199219</v>
      </c>
      <c r="AE1249" s="230">
        <f>(FME_Ranking1[[#This Row],[Ag Land Raw]]/$AD$2)*100</f>
        <v>2.7832137937856506E-3</v>
      </c>
      <c r="AF1249" s="231">
        <f>FME_Ranking1[[#This Row],[Ag Land Score (Normalized, Unweighted)]]*$AD$3</f>
        <v>1.3916068968928253E-4</v>
      </c>
      <c r="AG124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4.6641487737938921E-2</v>
      </c>
      <c r="AH1249" s="406">
        <f t="shared" si="19"/>
        <v>1326</v>
      </c>
      <c r="AI124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4.6641487737938921E-2</v>
      </c>
      <c r="AJ1249" s="257">
        <f>FME_Ranking1[[#This Row],[Addition check]]-FME_Ranking1[[#This Row],[Weighted Score Based on Normalized Reported Factors]]</f>
        <v>0</v>
      </c>
      <c r="AK1249" s="178">
        <f>_xlfn.RANK.EQ(AI1249,$AI$6:$AI$2341,0)+COUNTIF($AI$6:AI1249,AI1249)-1</f>
        <v>1326</v>
      </c>
    </row>
    <row r="1250" spans="1:37" x14ac:dyDescent="0.25">
      <c r="A1250" t="s">
        <v>156</v>
      </c>
      <c r="B1250">
        <f>_xlfn.XLOOKUP(FME_Ranking1[[#This Row],[FME ID]],FME_Input[FME_ID],FME_Input[RFPG_NUM])</f>
        <v>10</v>
      </c>
      <c r="C1250" t="str">
        <f>_xlfn.XLOOKUP(FME_Ranking1[[#This Row],[FME ID]],FME_Input[FME_ID],FME_Input[FME_NAME])</f>
        <v>Develop New/Updated Floodplain Maps</v>
      </c>
      <c r="D1250" t="str">
        <f>_xlfn.XLOOKUP(FME_Ranking1[[#This Row],[FME ID]],FME_Input[FME_ID],FME_Input[DESCR])</f>
        <v>Develop New/Updated Floodplain Maps</v>
      </c>
      <c r="E1250" s="256">
        <f>_xlfn.XLOOKUP(FME_Ranking1[[#This Row],[FME ID]],FME_Input[FME_ID],FME_Input[FME_COST])</f>
        <v>250000</v>
      </c>
      <c r="F1250" t="str">
        <f>_xlfn.XLOOKUP(FME_Ranking1[[#This Row],[FME ID]],FME_Input[FME_ID],FME_Input[EMER_NEED])</f>
        <v>No</v>
      </c>
      <c r="G1250">
        <f>IF(FME_Ranking!F1250="Yes",100,0)</f>
        <v>0</v>
      </c>
      <c r="H1250">
        <f>FME_Ranking1[[#This Row],[Emergency Need Score (Normalized, Unweighted)]]*$F$3</f>
        <v>0</v>
      </c>
      <c r="I1250" s="246">
        <f>_xlfn.XLOOKUP(FME_Ranking1[[#This Row],[FME ID]],FME_Input[FME_ID],FME_Input[STRUCT_100])</f>
        <v>48</v>
      </c>
      <c r="J1250" s="178">
        <f>(FME_Ranking1[[#This Row],[Structures 100 Raw]]/I$2)*100</f>
        <v>2.5703637064644645E-2</v>
      </c>
      <c r="K1250" s="178">
        <f>FME_Ranking1[[#This Row],[Structures 100  Score (Normalized, Unweighted)]]*$I$3</f>
        <v>3.8555455596966967E-3</v>
      </c>
      <c r="L1250" s="246">
        <f>_xlfn.XLOOKUP(FME_Ranking1[[#This Row],[FME ID]],FME_Input[FME_ID],FME_Input[RES_STRUCT100])</f>
        <v>29</v>
      </c>
      <c r="M1250" s="230">
        <f>(FME_Ranking1[[#This Row],[Res Structures Raw]]/L$2)*100</f>
        <v>2.0540862149565808E-2</v>
      </c>
      <c r="N1250" s="180">
        <f>FME_Ranking1[[#This Row],[Res Structures Score (Normalized, Unweighted)]]*$L$3</f>
        <v>2.0540862149565809E-3</v>
      </c>
      <c r="O1250" s="244">
        <f>_xlfn.XLOOKUP(FME_Ranking1[[#This Row],[FME ID]],FME_Input[FME_ID],FME_Input[POP100])</f>
        <v>394</v>
      </c>
      <c r="P1250" s="178">
        <f>(FME_Ranking1[[#This Row],[Pop Raw]]/$O$2)*100</f>
        <v>4.0335872923572734E-2</v>
      </c>
      <c r="Q1250" s="178">
        <f>FME_Ranking1[[#This Row],[Pop Score (Normalized, Unweighted)]]*$O$3</f>
        <v>6.0503809385359097E-3</v>
      </c>
      <c r="R1250" s="137">
        <f>_xlfn.XLOOKUP(FME_Ranking1[[#This Row],[FME ID]],FME_Input[FME_ID],FME_Input[CRITFAC100])</f>
        <v>0</v>
      </c>
      <c r="S1250" s="230">
        <f>(FME_Ranking1[[#This Row],[Critical Facilities Raw]]/$R$2)*100</f>
        <v>0</v>
      </c>
      <c r="T1250" s="180">
        <f>FME_Ranking1[[#This Row],[Critical Facilities Score (Normalized, Unweighted)]]*$R$3</f>
        <v>0</v>
      </c>
      <c r="U1250">
        <f>_xlfn.XLOOKUP(FME_Ranking1[[#This Row],[FME ID]],FME_Input[FME_ID],FME_Input[LWC])</f>
        <v>3</v>
      </c>
      <c r="V1250" s="178">
        <f>(FME_Ranking1[[#This Row],[LWC Raw]]/$U$2)*100</f>
        <v>0.17271157167530224</v>
      </c>
      <c r="W1250" s="178">
        <f>FME_Ranking1[[#This Row],[LWC Score (Normalized, Unweighted)]]*$U$3</f>
        <v>3.4542314335060449E-2</v>
      </c>
      <c r="X1250" s="246">
        <f>_xlfn.XLOOKUP(FME_Ranking1[[#This Row],[FME ID]],FME_Input[FME_ID],FME_Input[ROADCLS])</f>
        <v>0</v>
      </c>
      <c r="Y1250" s="230">
        <f>(FME_Ranking1[[#This Row],[Closures Raw]]/$X$2)*100</f>
        <v>0</v>
      </c>
      <c r="Z1250" s="180">
        <f>FME_Ranking1[[#This Row],[Closures Score (Normalized, Unweighted)]]*$X$3</f>
        <v>0</v>
      </c>
      <c r="AA1250" s="253">
        <f>_xlfn.XLOOKUP(FME_Ranking1[[#This Row],[FME ID]],FME_Input[FME_ID],FME_Input[ROAD_MILES100])</f>
        <v>0</v>
      </c>
      <c r="AB1250" s="178">
        <f>(FME_Ranking1[[#This Row],[Miles Raw]]/$AA$2)*100</f>
        <v>0</v>
      </c>
      <c r="AC1250" s="178">
        <f>FME_Ranking1[[#This Row],[Miles Score (Normalized, Unweighted)]]*$AA$3</f>
        <v>0</v>
      </c>
      <c r="AD1250" s="255">
        <f>_xlfn.XLOOKUP(FME_Ranking1[[#This Row],[FME ID]],FME_Input[FME_ID],FME_Input[FARMACRE100])</f>
        <v>67.495536804199219</v>
      </c>
      <c r="AE1250" s="230">
        <f>(FME_Ranking1[[#This Row],[Ag Land Raw]]/$AD$2)*100</f>
        <v>2.7832137937856506E-3</v>
      </c>
      <c r="AF1250" s="231">
        <f>FME_Ranking1[[#This Row],[Ag Land Score (Normalized, Unweighted)]]*$AD$3</f>
        <v>1.3916068968928253E-4</v>
      </c>
      <c r="AG125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4.6641487737938921E-2</v>
      </c>
      <c r="AH1250" s="406">
        <f t="shared" si="19"/>
        <v>1326</v>
      </c>
      <c r="AI125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4.6641487737938921E-2</v>
      </c>
      <c r="AJ1250" s="257">
        <f>FME_Ranking1[[#This Row],[Addition check]]-FME_Ranking1[[#This Row],[Weighted Score Based on Normalized Reported Factors]]</f>
        <v>0</v>
      </c>
      <c r="AK1250" s="178">
        <f>_xlfn.RANK.EQ(AI1250,$AI$6:$AI$2341,0)+COUNTIF($AI$6:AI1250,AI1250)-1</f>
        <v>1327</v>
      </c>
    </row>
    <row r="1251" spans="1:37" x14ac:dyDescent="0.25">
      <c r="A1251" t="s">
        <v>4956</v>
      </c>
      <c r="B1251">
        <f>_xlfn.XLOOKUP(FME_Ranking1[[#This Row],[FME ID]],FME_Input[FME_ID],FME_Input[RFPG_NUM])</f>
        <v>3</v>
      </c>
      <c r="C1251" t="str">
        <f>_xlfn.XLOOKUP(FME_Ranking1[[#This Row],[FME ID]],FME_Input[FME_ID],FME_Input[FME_NAME])</f>
        <v>Cherry Point Gully PER</v>
      </c>
      <c r="D1251" t="str">
        <f>_xlfn.XLOOKUP(FME_Ranking1[[#This Row],[FME ID]],FME_Input[FME_ID],FME_Input[DESCR])</f>
        <v>Evaluate alternatives to construct a diversion channel; channel improvements upstream of diversion; construction of regional detention basins as alternative to diversion channel construction</v>
      </c>
      <c r="E1251" s="256">
        <f>_xlfn.XLOOKUP(FME_Ranking1[[#This Row],[FME ID]],FME_Input[FME_ID],FME_Input[FME_COST])</f>
        <v>100000</v>
      </c>
      <c r="F1251" t="str">
        <f>_xlfn.XLOOKUP(FME_Ranking1[[#This Row],[FME ID]],FME_Input[FME_ID],FME_Input[EMER_NEED])</f>
        <v>No</v>
      </c>
      <c r="G1251">
        <f>IF(FME_Ranking!F1251="Yes",100,0)</f>
        <v>0</v>
      </c>
      <c r="H1251">
        <f>FME_Ranking1[[#This Row],[Emergency Need Score (Normalized, Unweighted)]]*$F$3</f>
        <v>0</v>
      </c>
      <c r="I1251" s="246">
        <f>_xlfn.XLOOKUP(FME_Ranking1[[#This Row],[FME ID]],FME_Input[FME_ID],FME_Input[STRUCT_100])</f>
        <v>252</v>
      </c>
      <c r="J1251" s="178">
        <f>(FME_Ranking1[[#This Row],[Structures 100 Raw]]/I$2)*100</f>
        <v>0.13494409458938442</v>
      </c>
      <c r="K1251" s="178">
        <f>FME_Ranking1[[#This Row],[Structures 100  Score (Normalized, Unweighted)]]*$I$3</f>
        <v>2.0241614188407663E-2</v>
      </c>
      <c r="L1251" s="246">
        <f>_xlfn.XLOOKUP(FME_Ranking1[[#This Row],[FME ID]],FME_Input[FME_ID],FME_Input[RES_STRUCT100])</f>
        <v>227</v>
      </c>
      <c r="M1251" s="230">
        <f>(FME_Ranking1[[#This Row],[Res Structures Raw]]/L$2)*100</f>
        <v>0.16078536923970477</v>
      </c>
      <c r="N1251" s="180">
        <f>FME_Ranking1[[#This Row],[Res Structures Score (Normalized, Unweighted)]]*$L$3</f>
        <v>1.6078536923970477E-2</v>
      </c>
      <c r="O1251" s="244">
        <f>_xlfn.XLOOKUP(FME_Ranking1[[#This Row],[FME ID]],FME_Input[FME_ID],FME_Input[POP100])</f>
        <v>557</v>
      </c>
      <c r="P1251" s="178">
        <f>(FME_Ranking1[[#This Row],[Pop Raw]]/$O$2)*100</f>
        <v>5.7023048777741149E-2</v>
      </c>
      <c r="Q1251" s="178">
        <f>FME_Ranking1[[#This Row],[Pop Score (Normalized, Unweighted)]]*$O$3</f>
        <v>8.5534573166611717E-3</v>
      </c>
      <c r="R1251" s="137">
        <f>_xlfn.XLOOKUP(FME_Ranking1[[#This Row],[FME ID]],FME_Input[FME_ID],FME_Input[CRITFAC100])</f>
        <v>0</v>
      </c>
      <c r="S1251" s="230">
        <f>(FME_Ranking1[[#This Row],[Critical Facilities Raw]]/$R$2)*100</f>
        <v>0</v>
      </c>
      <c r="T1251" s="180">
        <f>FME_Ranking1[[#This Row],[Critical Facilities Score (Normalized, Unweighted)]]*$R$3</f>
        <v>0</v>
      </c>
      <c r="U1251">
        <f>_xlfn.XLOOKUP(FME_Ranking1[[#This Row],[FME ID]],FME_Input[FME_ID],FME_Input[LWC])</f>
        <v>0</v>
      </c>
      <c r="V1251" s="178">
        <f>(FME_Ranking1[[#This Row],[LWC Raw]]/$U$2)*100</f>
        <v>0</v>
      </c>
      <c r="W1251" s="178">
        <f>FME_Ranking1[[#This Row],[LWC Score (Normalized, Unweighted)]]*$U$3</f>
        <v>0</v>
      </c>
      <c r="X1251" s="246">
        <f>_xlfn.XLOOKUP(FME_Ranking1[[#This Row],[FME ID]],FME_Input[FME_ID],FME_Input[ROADCLS])</f>
        <v>0</v>
      </c>
      <c r="Y1251" s="230">
        <f>(FME_Ranking1[[#This Row],[Closures Raw]]/$X$2)*100</f>
        <v>0</v>
      </c>
      <c r="Z1251" s="180">
        <f>FME_Ranking1[[#This Row],[Closures Score (Normalized, Unweighted)]]*$X$3</f>
        <v>0</v>
      </c>
      <c r="AA1251" s="253">
        <f>_xlfn.XLOOKUP(FME_Ranking1[[#This Row],[FME ID]],FME_Input[FME_ID],FME_Input[ROAD_MILES100])</f>
        <v>4.0062360763549796</v>
      </c>
      <c r="AB1251" s="178">
        <f>(FME_Ranking1[[#This Row],[Miles Raw]]/$AA$2)*100</f>
        <v>5.2674818882333108E-2</v>
      </c>
      <c r="AC1251" s="178">
        <f>FME_Ranking1[[#This Row],[Miles Score (Normalized, Unweighted)]]*$AA$3</f>
        <v>5.2674818882333108E-3</v>
      </c>
      <c r="AD1251" s="255">
        <f>_xlfn.XLOOKUP(FME_Ranking1[[#This Row],[FME ID]],FME_Input[FME_ID],FME_Input[FARMACRE100])</f>
        <v>755.3494873046875</v>
      </c>
      <c r="AE1251" s="230">
        <f>(FME_Ranking1[[#This Row],[Ag Land Raw]]/$AD$2)*100</f>
        <v>3.1147231531678574E-2</v>
      </c>
      <c r="AF1251" s="231">
        <f>FME_Ranking1[[#This Row],[Ag Land Score (Normalized, Unweighted)]]*$AD$3</f>
        <v>1.5573615765839288E-3</v>
      </c>
      <c r="AG125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5.1698451893856551E-2</v>
      </c>
      <c r="AH1251" s="406">
        <f t="shared" si="19"/>
        <v>1300</v>
      </c>
      <c r="AI125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5.1698451893856551E-2</v>
      </c>
      <c r="AJ1251" s="257">
        <f>FME_Ranking1[[#This Row],[Addition check]]-FME_Ranking1[[#This Row],[Weighted Score Based on Normalized Reported Factors]]</f>
        <v>0</v>
      </c>
      <c r="AK1251" s="178">
        <f>_xlfn.RANK.EQ(AI1251,$AI$6:$AI$2341,0)+COUNTIF($AI$6:AI1251,AI1251)-1</f>
        <v>1300</v>
      </c>
    </row>
    <row r="1252" spans="1:37" x14ac:dyDescent="0.25">
      <c r="A1252" t="s">
        <v>10570</v>
      </c>
      <c r="B1252">
        <f>_xlfn.XLOOKUP(FME_Ranking1[[#This Row],[FME ID]],FME_Input[FME_ID],FME_Input[RFPG_NUM])</f>
        <v>13</v>
      </c>
      <c r="C1252" t="str">
        <f>_xlfn.XLOOKUP(FME_Ranking1[[#This Row],[FME ID]],FME_Input[FME_ID],FME_Input[FME_NAME])</f>
        <v>City of Three Rivers City-Wide Drainage Study</v>
      </c>
      <c r="D1252" t="str">
        <f>_xlfn.XLOOKUP(FME_Ranking1[[#This Row],[FME ID]],FME_Input[FME_ID],FME_Input[DESCR])</f>
        <v xml:space="preserve">City of Three Rivers City-Wide Drainage Study. Study to specifically focus on flood risk in the Hackberry Creek and Frio River watershed. </v>
      </c>
      <c r="E1252" s="256">
        <f>_xlfn.XLOOKUP(FME_Ranking1[[#This Row],[FME ID]],FME_Input[FME_ID],FME_Input[FME_COST])</f>
        <v>250000</v>
      </c>
      <c r="F1252" t="str">
        <f>_xlfn.XLOOKUP(FME_Ranking1[[#This Row],[FME ID]],FME_Input[FME_ID],FME_Input[EMER_NEED])</f>
        <v>Yes</v>
      </c>
      <c r="G1252">
        <f>IF(FME_Ranking!F1252="Yes",100,0)</f>
        <v>100</v>
      </c>
      <c r="H1252">
        <f>FME_Ranking1[[#This Row],[Emergency Need Score (Normalized, Unweighted)]]*$F$3</f>
        <v>0</v>
      </c>
      <c r="I1252" s="246">
        <f>_xlfn.XLOOKUP(FME_Ranking1[[#This Row],[FME ID]],FME_Input[FME_ID],FME_Input[STRUCT_100])</f>
        <v>5</v>
      </c>
      <c r="J1252" s="178">
        <f>(FME_Ranking1[[#This Row],[Structures 100 Raw]]/I$2)*100</f>
        <v>2.6774621942338172E-3</v>
      </c>
      <c r="K1252" s="178">
        <f>FME_Ranking1[[#This Row],[Structures 100  Score (Normalized, Unweighted)]]*$I$3</f>
        <v>4.0161932913507258E-4</v>
      </c>
      <c r="L1252" s="246">
        <f>_xlfn.XLOOKUP(FME_Ranking1[[#This Row],[FME ID]],FME_Input[FME_ID],FME_Input[RES_STRUCT100])</f>
        <v>0</v>
      </c>
      <c r="M1252" s="230">
        <f>(FME_Ranking1[[#This Row],[Res Structures Raw]]/L$2)*100</f>
        <v>0</v>
      </c>
      <c r="N1252" s="180">
        <f>FME_Ranking1[[#This Row],[Res Structures Score (Normalized, Unweighted)]]*$L$3</f>
        <v>0</v>
      </c>
      <c r="O1252" s="244">
        <f>_xlfn.XLOOKUP(FME_Ranking1[[#This Row],[FME ID]],FME_Input[FME_ID],FME_Input[POP100])</f>
        <v>0</v>
      </c>
      <c r="P1252" s="178">
        <f>(FME_Ranking1[[#This Row],[Pop Raw]]/$O$2)*100</f>
        <v>0</v>
      </c>
      <c r="Q1252" s="178">
        <f>FME_Ranking1[[#This Row],[Pop Score (Normalized, Unweighted)]]*$O$3</f>
        <v>0</v>
      </c>
      <c r="R1252" s="137">
        <f>_xlfn.XLOOKUP(FME_Ranking1[[#This Row],[FME ID]],FME_Input[FME_ID],FME_Input[CRITFAC100])</f>
        <v>0</v>
      </c>
      <c r="S1252" s="230">
        <f>(FME_Ranking1[[#This Row],[Critical Facilities Raw]]/$R$2)*100</f>
        <v>0</v>
      </c>
      <c r="T1252" s="180">
        <f>FME_Ranking1[[#This Row],[Critical Facilities Score (Normalized, Unweighted)]]*$R$3</f>
        <v>0</v>
      </c>
      <c r="U1252">
        <f>_xlfn.XLOOKUP(FME_Ranking1[[#This Row],[FME ID]],FME_Input[FME_ID],FME_Input[LWC])</f>
        <v>0</v>
      </c>
      <c r="V1252" s="178">
        <f>(FME_Ranking1[[#This Row],[LWC Raw]]/$U$2)*100</f>
        <v>0</v>
      </c>
      <c r="W1252" s="178">
        <f>FME_Ranking1[[#This Row],[LWC Score (Normalized, Unweighted)]]*$U$3</f>
        <v>0</v>
      </c>
      <c r="X1252" s="246">
        <f>_xlfn.XLOOKUP(FME_Ranking1[[#This Row],[FME ID]],FME_Input[FME_ID],FME_Input[ROADCLS])</f>
        <v>87</v>
      </c>
      <c r="Y1252" s="230">
        <f>(FME_Ranking1[[#This Row],[Closures Raw]]/$X$2)*100</f>
        <v>0.91473031227000312</v>
      </c>
      <c r="Z1252" s="180">
        <f>FME_Ranking1[[#This Row],[Closures Score (Normalized, Unweighted)]]*$X$3</f>
        <v>4.5736515613500159E-2</v>
      </c>
      <c r="AA1252" s="253">
        <f>_xlfn.XLOOKUP(FME_Ranking1[[#This Row],[FME ID]],FME_Input[FME_ID],FME_Input[ROAD_MILES100])</f>
        <v>0.1202086955308914</v>
      </c>
      <c r="AB1252" s="178">
        <f>(FME_Ranking1[[#This Row],[Miles Raw]]/$AA$2)*100</f>
        <v>1.5805287418140094E-3</v>
      </c>
      <c r="AC1252" s="178">
        <f>FME_Ranking1[[#This Row],[Miles Score (Normalized, Unweighted)]]*$AA$3</f>
        <v>1.5805287418140096E-4</v>
      </c>
      <c r="AD1252" s="255">
        <f>_xlfn.XLOOKUP(FME_Ranking1[[#This Row],[FME ID]],FME_Input[FME_ID],FME_Input[FARMACRE100])</f>
        <v>0.94233864545822144</v>
      </c>
      <c r="AE1252" s="230">
        <f>(FME_Ranking1[[#This Row],[Ag Land Raw]]/$AD$2)*100</f>
        <v>3.885782735627395E-5</v>
      </c>
      <c r="AF1252" s="231">
        <f>FME_Ranking1[[#This Row],[Ag Land Score (Normalized, Unweighted)]]*$AD$3</f>
        <v>1.9428913678136977E-6</v>
      </c>
      <c r="AG125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4.6298130708184441E-2</v>
      </c>
      <c r="AH1252" s="406">
        <f t="shared" si="19"/>
        <v>1328</v>
      </c>
      <c r="AI125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4.6298130708184441E-2</v>
      </c>
      <c r="AJ1252" s="257">
        <f>FME_Ranking1[[#This Row],[Addition check]]-FME_Ranking1[[#This Row],[Weighted Score Based on Normalized Reported Factors]]</f>
        <v>0</v>
      </c>
      <c r="AK1252" s="178">
        <f>_xlfn.RANK.EQ(AI1252,$AI$6:$AI$2341,0)+COUNTIF($AI$6:AI1252,AI1252)-1</f>
        <v>1328</v>
      </c>
    </row>
    <row r="1253" spans="1:37" x14ac:dyDescent="0.25">
      <c r="A1253" t="s">
        <v>4904</v>
      </c>
      <c r="B1253">
        <f>_xlfn.XLOOKUP(FME_Ranking1[[#This Row],[FME ID]],FME_Input[FME_ID],FME_Input[RFPG_NUM])</f>
        <v>3</v>
      </c>
      <c r="C1253" t="str">
        <f>_xlfn.XLOOKUP(FME_Ranking1[[#This Row],[FME ID]],FME_Input[FME_ID],FME_Input[FME_NAME])</f>
        <v>Comanche Drive Culvert and Retention Wall Construction Feasibility Assessment</v>
      </c>
      <c r="D1253" t="str">
        <f>_xlfn.XLOOKUP(FME_Ranking1[[#This Row],[FME ID]],FME_Input[FME_ID],FME_Input[DESCR])</f>
        <v>Evaluate feasibility for building a larger culvert and retention wall for watershed over low crossing on Comanche Drive</v>
      </c>
      <c r="E1253" s="256">
        <f>_xlfn.XLOOKUP(FME_Ranking1[[#This Row],[FME ID]],FME_Input[FME_ID],FME_Input[FME_COST])</f>
        <v>60000</v>
      </c>
      <c r="F1253" t="str">
        <f>_xlfn.XLOOKUP(FME_Ranking1[[#This Row],[FME ID]],FME_Input[FME_ID],FME_Input[EMER_NEED])</f>
        <v>No</v>
      </c>
      <c r="G1253">
        <f>IF(FME_Ranking!F1253="Yes",100,0)</f>
        <v>0</v>
      </c>
      <c r="H1253">
        <f>FME_Ranking1[[#This Row],[Emergency Need Score (Normalized, Unweighted)]]*$F$3</f>
        <v>0</v>
      </c>
      <c r="I1253" s="246">
        <f>_xlfn.XLOOKUP(FME_Ranking1[[#This Row],[FME ID]],FME_Input[FME_ID],FME_Input[STRUCT_100])</f>
        <v>294</v>
      </c>
      <c r="J1253" s="178">
        <f>(FME_Ranking1[[#This Row],[Structures 100 Raw]]/I$2)*100</f>
        <v>0.15743477702094846</v>
      </c>
      <c r="K1253" s="178">
        <f>FME_Ranking1[[#This Row],[Structures 100  Score (Normalized, Unweighted)]]*$I$3</f>
        <v>2.3615216553142269E-2</v>
      </c>
      <c r="L1253" s="246">
        <f>_xlfn.XLOOKUP(FME_Ranking1[[#This Row],[FME ID]],FME_Input[FME_ID],FME_Input[RES_STRUCT100])</f>
        <v>221</v>
      </c>
      <c r="M1253" s="230">
        <f>(FME_Ranking1[[#This Row],[Res Structures Raw]]/L$2)*100</f>
        <v>0.15653553569151876</v>
      </c>
      <c r="N1253" s="180">
        <f>FME_Ranking1[[#This Row],[Res Structures Score (Normalized, Unweighted)]]*$L$3</f>
        <v>1.5653553569151876E-2</v>
      </c>
      <c r="O1253" s="244">
        <f>_xlfn.XLOOKUP(FME_Ranking1[[#This Row],[FME ID]],FME_Input[FME_ID],FME_Input[POP100])</f>
        <v>416</v>
      </c>
      <c r="P1253" s="178">
        <f>(FME_Ranking1[[#This Row],[Pop Raw]]/$O$2)*100</f>
        <v>4.2588129787325527E-2</v>
      </c>
      <c r="Q1253" s="178">
        <f>FME_Ranking1[[#This Row],[Pop Score (Normalized, Unweighted)]]*$O$3</f>
        <v>6.3882194680988285E-3</v>
      </c>
      <c r="R1253" s="137">
        <f>_xlfn.XLOOKUP(FME_Ranking1[[#This Row],[FME ID]],FME_Input[FME_ID],FME_Input[CRITFAC100])</f>
        <v>0</v>
      </c>
      <c r="S1253" s="230">
        <f>(FME_Ranking1[[#This Row],[Critical Facilities Raw]]/$R$2)*100</f>
        <v>0</v>
      </c>
      <c r="T1253" s="180">
        <f>FME_Ranking1[[#This Row],[Critical Facilities Score (Normalized, Unweighted)]]*$R$3</f>
        <v>0</v>
      </c>
      <c r="U1253">
        <f>_xlfn.XLOOKUP(FME_Ranking1[[#This Row],[FME ID]],FME_Input[FME_ID],FME_Input[LWC])</f>
        <v>0</v>
      </c>
      <c r="V1253" s="178">
        <f>(FME_Ranking1[[#This Row],[LWC Raw]]/$U$2)*100</f>
        <v>0</v>
      </c>
      <c r="W1253" s="178">
        <f>FME_Ranking1[[#This Row],[LWC Score (Normalized, Unweighted)]]*$U$3</f>
        <v>0</v>
      </c>
      <c r="X1253" s="246">
        <f>_xlfn.XLOOKUP(FME_Ranking1[[#This Row],[FME ID]],FME_Input[FME_ID],FME_Input[ROADCLS])</f>
        <v>0</v>
      </c>
      <c r="Y1253" s="230">
        <f>(FME_Ranking1[[#This Row],[Closures Raw]]/$X$2)*100</f>
        <v>0</v>
      </c>
      <c r="Z1253" s="180">
        <f>FME_Ranking1[[#This Row],[Closures Score (Normalized, Unweighted)]]*$X$3</f>
        <v>0</v>
      </c>
      <c r="AA1253" s="253">
        <f>_xlfn.XLOOKUP(FME_Ranking1[[#This Row],[FME ID]],FME_Input[FME_ID],FME_Input[ROAD_MILES100])</f>
        <v>4.3137078285217294</v>
      </c>
      <c r="AB1253" s="178">
        <f>(FME_Ranking1[[#This Row],[Miles Raw]]/$AA$2)*100</f>
        <v>5.6717520946848711E-2</v>
      </c>
      <c r="AC1253" s="178">
        <f>FME_Ranking1[[#This Row],[Miles Score (Normalized, Unweighted)]]*$AA$3</f>
        <v>5.6717520946848714E-3</v>
      </c>
      <c r="AD1253" s="255">
        <f>_xlfn.XLOOKUP(FME_Ranking1[[#This Row],[FME ID]],FME_Input[FME_ID],FME_Input[FARMACRE100])</f>
        <v>63.094429016113281</v>
      </c>
      <c r="AE1253" s="230">
        <f>(FME_Ranking1[[#This Row],[Ag Land Raw]]/$AD$2)*100</f>
        <v>2.6017318101802379E-3</v>
      </c>
      <c r="AF1253" s="231">
        <f>FME_Ranking1[[#This Row],[Ag Land Score (Normalized, Unweighted)]]*$AD$3</f>
        <v>1.300865905090119E-4</v>
      </c>
      <c r="AG125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5.1458828275586857E-2</v>
      </c>
      <c r="AH1253" s="406">
        <f t="shared" si="19"/>
        <v>1302</v>
      </c>
      <c r="AI125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5.1458828275586857E-2</v>
      </c>
      <c r="AJ1253" s="257">
        <f>FME_Ranking1[[#This Row],[Addition check]]-FME_Ranking1[[#This Row],[Weighted Score Based on Normalized Reported Factors]]</f>
        <v>0</v>
      </c>
      <c r="AK1253" s="178">
        <f>_xlfn.RANK.EQ(AI1253,$AI$6:$AI$2341,0)+COUNTIF($AI$6:AI1253,AI1253)-1</f>
        <v>1302</v>
      </c>
    </row>
    <row r="1254" spans="1:37" x14ac:dyDescent="0.25">
      <c r="A1254" t="s">
        <v>10223</v>
      </c>
      <c r="B1254">
        <f>_xlfn.XLOOKUP(FME_Ranking1[[#This Row],[FME ID]],FME_Input[FME_ID],FME_Input[RFPG_NUM])</f>
        <v>13</v>
      </c>
      <c r="C1254" t="str">
        <f>_xlfn.XLOOKUP(FME_Ranking1[[#This Row],[FME ID]],FME_Input[FME_ID],FME_Input[FME_NAME])</f>
        <v>Martin Branch Drainage Study</v>
      </c>
      <c r="D1254" t="str">
        <f>_xlfn.XLOOKUP(FME_Ranking1[[#This Row],[FME ID]],FME_Input[FME_ID],FME_Input[DESCR])</f>
        <v>Martin Branch Drainage Study to evaluate existing flood risk for multiple roadway crossings and potential structural flooding along Martin Branch, just north of Dilley</v>
      </c>
      <c r="E1254" s="256">
        <f>_xlfn.XLOOKUP(FME_Ranking1[[#This Row],[FME ID]],FME_Input[FME_ID],FME_Input[FME_COST])</f>
        <v>150000</v>
      </c>
      <c r="F1254" t="str">
        <f>_xlfn.XLOOKUP(FME_Ranking1[[#This Row],[FME ID]],FME_Input[FME_ID],FME_Input[EMER_NEED])</f>
        <v>Yes</v>
      </c>
      <c r="G1254">
        <f>IF(FME_Ranking!F1254="Yes",100,0)</f>
        <v>100</v>
      </c>
      <c r="H1254">
        <f>FME_Ranking1[[#This Row],[Emergency Need Score (Normalized, Unweighted)]]*$F$3</f>
        <v>0</v>
      </c>
      <c r="I1254" s="246">
        <f>_xlfn.XLOOKUP(FME_Ranking1[[#This Row],[FME ID]],FME_Input[FME_ID],FME_Input[STRUCT_100])</f>
        <v>22</v>
      </c>
      <c r="J1254" s="178">
        <f>(FME_Ranking1[[#This Row],[Structures 100 Raw]]/I$2)*100</f>
        <v>1.1780833654628797E-2</v>
      </c>
      <c r="K1254" s="178">
        <f>FME_Ranking1[[#This Row],[Structures 100  Score (Normalized, Unweighted)]]*$I$3</f>
        <v>1.7671250481943194E-3</v>
      </c>
      <c r="L1254" s="246">
        <f>_xlfn.XLOOKUP(FME_Ranking1[[#This Row],[FME ID]],FME_Input[FME_ID],FME_Input[RES_STRUCT100])</f>
        <v>6</v>
      </c>
      <c r="M1254" s="230">
        <f>(FME_Ranking1[[#This Row],[Res Structures Raw]]/L$2)*100</f>
        <v>4.2498335481860293E-3</v>
      </c>
      <c r="N1254" s="180">
        <f>FME_Ranking1[[#This Row],[Res Structures Score (Normalized, Unweighted)]]*$L$3</f>
        <v>4.2498335481860297E-4</v>
      </c>
      <c r="O1254" s="244">
        <f>_xlfn.XLOOKUP(FME_Ranking1[[#This Row],[FME ID]],FME_Input[FME_ID],FME_Input[POP100])</f>
        <v>37</v>
      </c>
      <c r="P1254" s="178">
        <f>(FME_Ranking1[[#This Row],[Pop Raw]]/$O$2)*100</f>
        <v>3.7878865435842413E-3</v>
      </c>
      <c r="Q1254" s="178">
        <f>FME_Ranking1[[#This Row],[Pop Score (Normalized, Unweighted)]]*$O$3</f>
        <v>5.6818298153763619E-4</v>
      </c>
      <c r="R1254" s="137">
        <f>_xlfn.XLOOKUP(FME_Ranking1[[#This Row],[FME ID]],FME_Input[FME_ID],FME_Input[CRITFAC100])</f>
        <v>0</v>
      </c>
      <c r="S1254" s="230">
        <f>(FME_Ranking1[[#This Row],[Critical Facilities Raw]]/$R$2)*100</f>
        <v>0</v>
      </c>
      <c r="T1254" s="180">
        <f>FME_Ranking1[[#This Row],[Critical Facilities Score (Normalized, Unweighted)]]*$R$3</f>
        <v>0</v>
      </c>
      <c r="U1254">
        <f>_xlfn.XLOOKUP(FME_Ranking1[[#This Row],[FME ID]],FME_Input[FME_ID],FME_Input[LWC])</f>
        <v>3</v>
      </c>
      <c r="V1254" s="178">
        <f>(FME_Ranking1[[#This Row],[LWC Raw]]/$U$2)*100</f>
        <v>0.17271157167530224</v>
      </c>
      <c r="W1254" s="178">
        <f>FME_Ranking1[[#This Row],[LWC Score (Normalized, Unweighted)]]*$U$3</f>
        <v>3.4542314335060449E-2</v>
      </c>
      <c r="X1254" s="246">
        <f>_xlfn.XLOOKUP(FME_Ranking1[[#This Row],[FME ID]],FME_Input[FME_ID],FME_Input[ROADCLS])</f>
        <v>15</v>
      </c>
      <c r="Y1254" s="230">
        <f>(FME_Ranking1[[#This Row],[Closures Raw]]/$X$2)*100</f>
        <v>0.15771212280517297</v>
      </c>
      <c r="Z1254" s="180">
        <f>FME_Ranking1[[#This Row],[Closures Score (Normalized, Unweighted)]]*$X$3</f>
        <v>7.8856061402586483E-3</v>
      </c>
      <c r="AA1254" s="253">
        <f>_xlfn.XLOOKUP(FME_Ranking1[[#This Row],[FME ID]],FME_Input[FME_ID],FME_Input[ROAD_MILES100])</f>
        <v>4.7317218780517578</v>
      </c>
      <c r="AB1254" s="178">
        <f>(FME_Ranking1[[#This Row],[Miles Raw]]/$AA$2)*100</f>
        <v>6.2213655954773253E-2</v>
      </c>
      <c r="AC1254" s="178">
        <f>FME_Ranking1[[#This Row],[Miles Score (Normalized, Unweighted)]]*$AA$3</f>
        <v>6.2213655954773258E-3</v>
      </c>
      <c r="AD1254" s="255">
        <f>_xlfn.XLOOKUP(FME_Ranking1[[#This Row],[FME ID]],FME_Input[FME_ID],FME_Input[FARMACRE100])</f>
        <v>283.4073486328125</v>
      </c>
      <c r="AE1254" s="230">
        <f>(FME_Ranking1[[#This Row],[Ag Land Raw]]/$AD$2)*100</f>
        <v>1.1686450383575415E-2</v>
      </c>
      <c r="AF1254" s="231">
        <f>FME_Ranking1[[#This Row],[Ag Land Score (Normalized, Unweighted)]]*$AD$3</f>
        <v>5.843225191787708E-4</v>
      </c>
      <c r="AG125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5.1993899974525748E-2</v>
      </c>
      <c r="AH1254" s="406">
        <f t="shared" si="19"/>
        <v>1298</v>
      </c>
      <c r="AI125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5.1993899974525748E-2</v>
      </c>
      <c r="AJ1254" s="257">
        <f>FME_Ranking1[[#This Row],[Addition check]]-FME_Ranking1[[#This Row],[Weighted Score Based on Normalized Reported Factors]]</f>
        <v>0</v>
      </c>
      <c r="AK1254" s="178">
        <f>_xlfn.RANK.EQ(AI1254,$AI$6:$AI$2341,0)+COUNTIF($AI$6:AI1254,AI1254)-1</f>
        <v>1298</v>
      </c>
    </row>
    <row r="1255" spans="1:37" x14ac:dyDescent="0.25">
      <c r="A1255" t="s">
        <v>9453</v>
      </c>
      <c r="B1255">
        <f>_xlfn.XLOOKUP(FME_Ranking1[[#This Row],[FME ID]],FME_Input[FME_ID],FME_Input[RFPG_NUM])</f>
        <v>12</v>
      </c>
      <c r="C1255" t="str">
        <f>_xlfn.XLOOKUP(FME_Ranking1[[#This Row],[FME ID]],FME_Input[FME_ID],FME_Input[FME_NAME])</f>
        <v>Damage Center 2- Martinez Creek</v>
      </c>
      <c r="D1255" t="str">
        <f>_xlfn.XLOOKUP(FME_Ranking1[[#This Row],[FME ID]],FME_Input[FME_ID],FME_Input[DESCR])</f>
        <v>The  downstream  culvert  system  creates  a  backwater  which  will  continue  to  affect _x000D_
properties near the inlet of that structure. Improved channelization  and culvert/bridge replacement and voluntary property acquisition</v>
      </c>
      <c r="E1255" s="256">
        <f>_xlfn.XLOOKUP(FME_Ranking1[[#This Row],[FME ID]],FME_Input[FME_ID],FME_Input[FME_COST])</f>
        <v>25112208</v>
      </c>
      <c r="F1255" t="str">
        <f>_xlfn.XLOOKUP(FME_Ranking1[[#This Row],[FME ID]],FME_Input[FME_ID],FME_Input[EMER_NEED])</f>
        <v>Yes</v>
      </c>
      <c r="G1255">
        <f>IF(FME_Ranking!F1255="Yes",100,0)</f>
        <v>100</v>
      </c>
      <c r="H1255">
        <f>FME_Ranking1[[#This Row],[Emergency Need Score (Normalized, Unweighted)]]*$F$3</f>
        <v>0</v>
      </c>
      <c r="I1255" s="246">
        <f>_xlfn.XLOOKUP(FME_Ranking1[[#This Row],[FME ID]],FME_Input[FME_ID],FME_Input[STRUCT_100])</f>
        <v>165</v>
      </c>
      <c r="J1255" s="178">
        <f>(FME_Ranking1[[#This Row],[Structures 100 Raw]]/I$2)*100</f>
        <v>8.8356252409715966E-2</v>
      </c>
      <c r="K1255" s="178">
        <f>FME_Ranking1[[#This Row],[Structures 100  Score (Normalized, Unweighted)]]*$I$3</f>
        <v>1.3253437861457395E-2</v>
      </c>
      <c r="L1255" s="246">
        <f>_xlfn.XLOOKUP(FME_Ranking1[[#This Row],[FME ID]],FME_Input[FME_ID],FME_Input[RES_STRUCT100])</f>
        <v>163</v>
      </c>
      <c r="M1255" s="230">
        <f>(FME_Ranking1[[#This Row],[Res Structures Raw]]/L$2)*100</f>
        <v>0.11545381139238713</v>
      </c>
      <c r="N1255" s="180">
        <f>FME_Ranking1[[#This Row],[Res Structures Score (Normalized, Unweighted)]]*$L$3</f>
        <v>1.1545381139238713E-2</v>
      </c>
      <c r="O1255" s="244">
        <f>_xlfn.XLOOKUP(FME_Ranking1[[#This Row],[FME ID]],FME_Input[FME_ID],FME_Input[POP100])</f>
        <v>491</v>
      </c>
      <c r="P1255" s="178">
        <f>(FME_Ranking1[[#This Row],[Pop Raw]]/$O$2)*100</f>
        <v>5.0266278186482771E-2</v>
      </c>
      <c r="Q1255" s="178">
        <f>FME_Ranking1[[#This Row],[Pop Score (Normalized, Unweighted)]]*$O$3</f>
        <v>7.5399417279724155E-3</v>
      </c>
      <c r="R1255" s="137">
        <f>_xlfn.XLOOKUP(FME_Ranking1[[#This Row],[FME ID]],FME_Input[FME_ID],FME_Input[CRITFAC100])</f>
        <v>0</v>
      </c>
      <c r="S1255" s="230">
        <f>(FME_Ranking1[[#This Row],[Critical Facilities Raw]]/$R$2)*100</f>
        <v>0</v>
      </c>
      <c r="T1255" s="180">
        <f>FME_Ranking1[[#This Row],[Critical Facilities Score (Normalized, Unweighted)]]*$R$3</f>
        <v>0</v>
      </c>
      <c r="U1255">
        <f>_xlfn.XLOOKUP(FME_Ranking1[[#This Row],[FME ID]],FME_Input[FME_ID],FME_Input[LWC])</f>
        <v>0</v>
      </c>
      <c r="V1255" s="178">
        <f>(FME_Ranking1[[#This Row],[LWC Raw]]/$U$2)*100</f>
        <v>0</v>
      </c>
      <c r="W1255" s="178">
        <f>FME_Ranking1[[#This Row],[LWC Score (Normalized, Unweighted)]]*$U$3</f>
        <v>0</v>
      </c>
      <c r="X1255" s="246">
        <f>_xlfn.XLOOKUP(FME_Ranking1[[#This Row],[FME ID]],FME_Input[FME_ID],FME_Input[ROADCLS])</f>
        <v>25</v>
      </c>
      <c r="Y1255" s="230">
        <f>(FME_Ranking1[[#This Row],[Closures Raw]]/$X$2)*100</f>
        <v>0.2628535380086216</v>
      </c>
      <c r="Z1255" s="180">
        <f>FME_Ranking1[[#This Row],[Closures Score (Normalized, Unweighted)]]*$X$3</f>
        <v>1.3142676900431081E-2</v>
      </c>
      <c r="AA1255" s="253">
        <f>_xlfn.XLOOKUP(FME_Ranking1[[#This Row],[FME ID]],FME_Input[FME_ID],FME_Input[ROAD_MILES100])</f>
        <v>3.4000000953674321</v>
      </c>
      <c r="AB1255" s="178">
        <f>(FME_Ranking1[[#This Row],[Miles Raw]]/$AA$2)*100</f>
        <v>4.4703903067624867E-2</v>
      </c>
      <c r="AC1255" s="178">
        <f>FME_Ranking1[[#This Row],[Miles Score (Normalized, Unweighted)]]*$AA$3</f>
        <v>4.4703903067624872E-3</v>
      </c>
      <c r="AD1255" s="255">
        <f>_xlfn.XLOOKUP(FME_Ranking1[[#This Row],[FME ID]],FME_Input[FME_ID],FME_Input[FARMACRE100])</f>
        <v>0</v>
      </c>
      <c r="AE1255" s="230">
        <f>(FME_Ranking1[[#This Row],[Ag Land Raw]]/$AD$2)*100</f>
        <v>0</v>
      </c>
      <c r="AF1255" s="231">
        <f>FME_Ranking1[[#This Row],[Ag Land Score (Normalized, Unweighted)]]*$AD$3</f>
        <v>0</v>
      </c>
      <c r="AG125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4.9951827935862093E-2</v>
      </c>
      <c r="AH1255" s="406">
        <f t="shared" si="19"/>
        <v>1318</v>
      </c>
      <c r="AI125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4.9951827935862093E-2</v>
      </c>
      <c r="AJ1255" s="257">
        <f>FME_Ranking1[[#This Row],[Addition check]]-FME_Ranking1[[#This Row],[Weighted Score Based on Normalized Reported Factors]]</f>
        <v>0</v>
      </c>
      <c r="AK1255" s="178">
        <f>_xlfn.RANK.EQ(AI1255,$AI$6:$AI$2341,0)+COUNTIF($AI$6:AI1255,AI1255)-1</f>
        <v>1318</v>
      </c>
    </row>
    <row r="1256" spans="1:37" x14ac:dyDescent="0.25">
      <c r="A1256" t="s">
        <v>776</v>
      </c>
      <c r="B1256">
        <f>_xlfn.XLOOKUP(FME_Ranking1[[#This Row],[FME ID]],FME_Input[FME_ID],FME_Input[RFPG_NUM])</f>
        <v>6</v>
      </c>
      <c r="C1256" t="str">
        <f>_xlfn.XLOOKUP(FME_Ranking1[[#This Row],[FME ID]],FME_Input[FME_ID],FME_Input[FME_NAME])</f>
        <v>Toby - Little Caney Creek Watershed</v>
      </c>
      <c r="D1256" t="str">
        <f>_xlfn.XLOOKUP(FME_Ranking1[[#This Row],[FME ID]],FME_Input[FME_ID],FME_Input[DESCR])</f>
        <v>Develop a benefits cost analysis in support of this project identied in the City of Conroe Master Drainage Plan.</v>
      </c>
      <c r="E1256" s="256">
        <f>_xlfn.XLOOKUP(FME_Ranking1[[#This Row],[FME ID]],FME_Input[FME_ID],FME_Input[FME_COST])</f>
        <v>30000</v>
      </c>
      <c r="F1256" t="str">
        <f>_xlfn.XLOOKUP(FME_Ranking1[[#This Row],[FME ID]],FME_Input[FME_ID],FME_Input[EMER_NEED])</f>
        <v>No</v>
      </c>
      <c r="G1256">
        <f>IF(FME_Ranking!F1256="Yes",100,0)</f>
        <v>0</v>
      </c>
      <c r="H1256">
        <f>FME_Ranking1[[#This Row],[Emergency Need Score (Normalized, Unweighted)]]*$F$3</f>
        <v>0</v>
      </c>
      <c r="I1256" s="246">
        <f>_xlfn.XLOOKUP(FME_Ranking1[[#This Row],[FME ID]],FME_Input[FME_ID],FME_Input[STRUCT_100])</f>
        <v>271</v>
      </c>
      <c r="J1256" s="178">
        <f>(FME_Ranking1[[#This Row],[Structures 100 Raw]]/I$2)*100</f>
        <v>0.14511845092747291</v>
      </c>
      <c r="K1256" s="178">
        <f>FME_Ranking1[[#This Row],[Structures 100  Score (Normalized, Unweighted)]]*$I$3</f>
        <v>2.1767767639120937E-2</v>
      </c>
      <c r="L1256" s="246">
        <f>_xlfn.XLOOKUP(FME_Ranking1[[#This Row],[FME ID]],FME_Input[FME_ID],FME_Input[RES_STRUCT100])</f>
        <v>204</v>
      </c>
      <c r="M1256" s="230">
        <f>(FME_Ranking1[[#This Row],[Res Structures Raw]]/L$2)*100</f>
        <v>0.144494340638325</v>
      </c>
      <c r="N1256" s="180">
        <f>FME_Ranking1[[#This Row],[Res Structures Score (Normalized, Unweighted)]]*$L$3</f>
        <v>1.4449434063832501E-2</v>
      </c>
      <c r="O1256" s="244">
        <f>_xlfn.XLOOKUP(FME_Ranking1[[#This Row],[FME ID]],FME_Input[FME_ID],FME_Input[POP100])</f>
        <v>571</v>
      </c>
      <c r="P1256" s="178">
        <f>(FME_Ranking1[[#This Row],[Pop Raw]]/$O$2)*100</f>
        <v>5.8456303145583831E-2</v>
      </c>
      <c r="Q1256" s="178">
        <f>FME_Ranking1[[#This Row],[Pop Score (Normalized, Unweighted)]]*$O$3</f>
        <v>8.7684454718375739E-3</v>
      </c>
      <c r="R1256" s="137">
        <f>_xlfn.XLOOKUP(FME_Ranking1[[#This Row],[FME ID]],FME_Input[FME_ID],FME_Input[CRITFAC100])</f>
        <v>0</v>
      </c>
      <c r="S1256" s="230">
        <f>(FME_Ranking1[[#This Row],[Critical Facilities Raw]]/$R$2)*100</f>
        <v>0</v>
      </c>
      <c r="T1256" s="180">
        <f>FME_Ranking1[[#This Row],[Critical Facilities Score (Normalized, Unweighted)]]*$R$3</f>
        <v>0</v>
      </c>
      <c r="U1256">
        <f>_xlfn.XLOOKUP(FME_Ranking1[[#This Row],[FME ID]],FME_Input[FME_ID],FME_Input[LWC])</f>
        <v>0</v>
      </c>
      <c r="V1256" s="178">
        <f>(FME_Ranking1[[#This Row],[LWC Raw]]/$U$2)*100</f>
        <v>0</v>
      </c>
      <c r="W1256" s="178">
        <f>FME_Ranking1[[#This Row],[LWC Score (Normalized, Unweighted)]]*$U$3</f>
        <v>0</v>
      </c>
      <c r="X1256" s="246">
        <f>_xlfn.XLOOKUP(FME_Ranking1[[#This Row],[FME ID]],FME_Input[FME_ID],FME_Input[ROADCLS])</f>
        <v>0</v>
      </c>
      <c r="Y1256" s="230">
        <f>(FME_Ranking1[[#This Row],[Closures Raw]]/$X$2)*100</f>
        <v>0</v>
      </c>
      <c r="Z1256" s="180">
        <f>FME_Ranking1[[#This Row],[Closures Score (Normalized, Unweighted)]]*$X$3</f>
        <v>0</v>
      </c>
      <c r="AA1256" s="253">
        <f>_xlfn.XLOOKUP(FME_Ranking1[[#This Row],[FME ID]],FME_Input[FME_ID],FME_Input[ROAD_MILES100])</f>
        <v>6.5345454216003418</v>
      </c>
      <c r="AB1256" s="178">
        <f>(FME_Ranking1[[#This Row],[Miles Raw]]/$AA$2)*100</f>
        <v>8.5917552036610945E-2</v>
      </c>
      <c r="AC1256" s="178">
        <f>FME_Ranking1[[#This Row],[Miles Score (Normalized, Unweighted)]]*$AA$3</f>
        <v>8.5917552036610945E-3</v>
      </c>
      <c r="AD1256" s="255">
        <f>_xlfn.XLOOKUP(FME_Ranking1[[#This Row],[FME ID]],FME_Input[FME_ID],FME_Input[FARMACRE100])</f>
        <v>3.8967239856719971</v>
      </c>
      <c r="AE1256" s="230">
        <f>(FME_Ranking1[[#This Row],[Ag Land Raw]]/$AD$2)*100</f>
        <v>1.6068345346981455E-4</v>
      </c>
      <c r="AF1256" s="231">
        <f>FME_Ranking1[[#This Row],[Ag Land Score (Normalized, Unweighted)]]*$AD$3</f>
        <v>8.0341726734907281E-6</v>
      </c>
      <c r="AG125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5.3585436551125597E-2</v>
      </c>
      <c r="AH1256" s="406">
        <f t="shared" si="19"/>
        <v>1286</v>
      </c>
      <c r="AI125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5.3585436551125597E-2</v>
      </c>
      <c r="AJ1256" s="257">
        <f>FME_Ranking1[[#This Row],[Addition check]]-FME_Ranking1[[#This Row],[Weighted Score Based on Normalized Reported Factors]]</f>
        <v>0</v>
      </c>
      <c r="AK1256" s="178">
        <f>_xlfn.RANK.EQ(AI1256,$AI$6:$AI$2341,0)+COUNTIF($AI$6:AI1256,AI1256)-1</f>
        <v>1286</v>
      </c>
    </row>
    <row r="1257" spans="1:37" x14ac:dyDescent="0.25">
      <c r="A1257" t="s">
        <v>780</v>
      </c>
      <c r="B1257">
        <f>_xlfn.XLOOKUP(FME_Ranking1[[#This Row],[FME ID]],FME_Input[FME_ID],FME_Input[RFPG_NUM])</f>
        <v>6</v>
      </c>
      <c r="C1257" t="str">
        <f>_xlfn.XLOOKUP(FME_Ranking1[[#This Row],[FME ID]],FME_Input[FME_ID],FME_Input[FME_NAME])</f>
        <v>Southern Oak -  Little Laney Creek</v>
      </c>
      <c r="D1257" t="str">
        <f>_xlfn.XLOOKUP(FME_Ranking1[[#This Row],[FME ID]],FME_Input[FME_ID],FME_Input[DESCR])</f>
        <v>Develop a benefits cost analysis in support of this project identied in the City of Conroe Master Drainage Plan.</v>
      </c>
      <c r="E1257" s="256">
        <f>_xlfn.XLOOKUP(FME_Ranking1[[#This Row],[FME ID]],FME_Input[FME_ID],FME_Input[FME_COST])</f>
        <v>30000</v>
      </c>
      <c r="F1257" t="str">
        <f>_xlfn.XLOOKUP(FME_Ranking1[[#This Row],[FME ID]],FME_Input[FME_ID],FME_Input[EMER_NEED])</f>
        <v>No</v>
      </c>
      <c r="G1257">
        <f>IF(FME_Ranking!F1257="Yes",100,0)</f>
        <v>0</v>
      </c>
      <c r="H1257">
        <f>FME_Ranking1[[#This Row],[Emergency Need Score (Normalized, Unweighted)]]*$F$3</f>
        <v>0</v>
      </c>
      <c r="I1257" s="246">
        <f>_xlfn.XLOOKUP(FME_Ranking1[[#This Row],[FME ID]],FME_Input[FME_ID],FME_Input[STRUCT_100])</f>
        <v>271</v>
      </c>
      <c r="J1257" s="178">
        <f>(FME_Ranking1[[#This Row],[Structures 100 Raw]]/I$2)*100</f>
        <v>0.14511845092747291</v>
      </c>
      <c r="K1257" s="178">
        <f>FME_Ranking1[[#This Row],[Structures 100  Score (Normalized, Unweighted)]]*$I$3</f>
        <v>2.1767767639120937E-2</v>
      </c>
      <c r="L1257" s="246">
        <f>_xlfn.XLOOKUP(FME_Ranking1[[#This Row],[FME ID]],FME_Input[FME_ID],FME_Input[RES_STRUCT100])</f>
        <v>204</v>
      </c>
      <c r="M1257" s="230">
        <f>(FME_Ranking1[[#This Row],[Res Structures Raw]]/L$2)*100</f>
        <v>0.144494340638325</v>
      </c>
      <c r="N1257" s="180">
        <f>FME_Ranking1[[#This Row],[Res Structures Score (Normalized, Unweighted)]]*$L$3</f>
        <v>1.4449434063832501E-2</v>
      </c>
      <c r="O1257" s="244">
        <f>_xlfn.XLOOKUP(FME_Ranking1[[#This Row],[FME ID]],FME_Input[FME_ID],FME_Input[POP100])</f>
        <v>571</v>
      </c>
      <c r="P1257" s="178">
        <f>(FME_Ranking1[[#This Row],[Pop Raw]]/$O$2)*100</f>
        <v>5.8456303145583831E-2</v>
      </c>
      <c r="Q1257" s="178">
        <f>FME_Ranking1[[#This Row],[Pop Score (Normalized, Unweighted)]]*$O$3</f>
        <v>8.7684454718375739E-3</v>
      </c>
      <c r="R1257" s="137">
        <f>_xlfn.XLOOKUP(FME_Ranking1[[#This Row],[FME ID]],FME_Input[FME_ID],FME_Input[CRITFAC100])</f>
        <v>0</v>
      </c>
      <c r="S1257" s="230">
        <f>(FME_Ranking1[[#This Row],[Critical Facilities Raw]]/$R$2)*100</f>
        <v>0</v>
      </c>
      <c r="T1257" s="180">
        <f>FME_Ranking1[[#This Row],[Critical Facilities Score (Normalized, Unweighted)]]*$R$3</f>
        <v>0</v>
      </c>
      <c r="U1257">
        <f>_xlfn.XLOOKUP(FME_Ranking1[[#This Row],[FME ID]],FME_Input[FME_ID],FME_Input[LWC])</f>
        <v>0</v>
      </c>
      <c r="V1257" s="178">
        <f>(FME_Ranking1[[#This Row],[LWC Raw]]/$U$2)*100</f>
        <v>0</v>
      </c>
      <c r="W1257" s="178">
        <f>FME_Ranking1[[#This Row],[LWC Score (Normalized, Unweighted)]]*$U$3</f>
        <v>0</v>
      </c>
      <c r="X1257" s="246">
        <f>_xlfn.XLOOKUP(FME_Ranking1[[#This Row],[FME ID]],FME_Input[FME_ID],FME_Input[ROADCLS])</f>
        <v>0</v>
      </c>
      <c r="Y1257" s="230">
        <f>(FME_Ranking1[[#This Row],[Closures Raw]]/$X$2)*100</f>
        <v>0</v>
      </c>
      <c r="Z1257" s="180">
        <f>FME_Ranking1[[#This Row],[Closures Score (Normalized, Unweighted)]]*$X$3</f>
        <v>0</v>
      </c>
      <c r="AA1257" s="253">
        <f>_xlfn.XLOOKUP(FME_Ranking1[[#This Row],[FME ID]],FME_Input[FME_ID],FME_Input[ROAD_MILES100])</f>
        <v>6.5345454216003418</v>
      </c>
      <c r="AB1257" s="178">
        <f>(FME_Ranking1[[#This Row],[Miles Raw]]/$AA$2)*100</f>
        <v>8.5917552036610945E-2</v>
      </c>
      <c r="AC1257" s="178">
        <f>FME_Ranking1[[#This Row],[Miles Score (Normalized, Unweighted)]]*$AA$3</f>
        <v>8.5917552036610945E-3</v>
      </c>
      <c r="AD1257" s="255">
        <f>_xlfn.XLOOKUP(FME_Ranking1[[#This Row],[FME ID]],FME_Input[FME_ID],FME_Input[FARMACRE100])</f>
        <v>3.8967239856719971</v>
      </c>
      <c r="AE1257" s="230">
        <f>(FME_Ranking1[[#This Row],[Ag Land Raw]]/$AD$2)*100</f>
        <v>1.6068345346981455E-4</v>
      </c>
      <c r="AF1257" s="231">
        <f>FME_Ranking1[[#This Row],[Ag Land Score (Normalized, Unweighted)]]*$AD$3</f>
        <v>8.0341726734907281E-6</v>
      </c>
      <c r="AG125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5.3585436551125597E-2</v>
      </c>
      <c r="AH1257" s="406">
        <f t="shared" si="19"/>
        <v>1286</v>
      </c>
      <c r="AI125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5.3585436551125597E-2</v>
      </c>
      <c r="AJ1257" s="257">
        <f>FME_Ranking1[[#This Row],[Addition check]]-FME_Ranking1[[#This Row],[Weighted Score Based on Normalized Reported Factors]]</f>
        <v>0</v>
      </c>
      <c r="AK1257" s="178">
        <f>_xlfn.RANK.EQ(AI1257,$AI$6:$AI$2341,0)+COUNTIF($AI$6:AI1257,AI1257)-1</f>
        <v>1287</v>
      </c>
    </row>
    <row r="1258" spans="1:37" x14ac:dyDescent="0.25">
      <c r="A1258" t="s">
        <v>3956</v>
      </c>
      <c r="B1258">
        <f>_xlfn.XLOOKUP(FME_Ranking1[[#This Row],[FME ID]],FME_Input[FME_ID],FME_Input[RFPG_NUM])</f>
        <v>3</v>
      </c>
      <c r="C1258" t="str">
        <f>_xlfn.XLOOKUP(FME_Ranking1[[#This Row],[FME ID]],FME_Input[FME_ID],FME_Input[FME_NAME])</f>
        <v xml:space="preserve">Montague County FEMA Mapping </v>
      </c>
      <c r="D1258" t="str">
        <f>_xlfn.XLOOKUP(FME_Ranking1[[#This Row],[FME ID]],FME_Input[FME_ID],FME_Input[DESCR])</f>
        <v>Create FEMA mapping in previously unmapped areas and update existing FEMA maps as needed.</v>
      </c>
      <c r="E1258" s="256">
        <f>_xlfn.XLOOKUP(FME_Ranking1[[#This Row],[FME ID]],FME_Input[FME_ID],FME_Input[FME_COST])</f>
        <v>1203000</v>
      </c>
      <c r="F1258" t="str">
        <f>_xlfn.XLOOKUP(FME_Ranking1[[#This Row],[FME ID]],FME_Input[FME_ID],FME_Input[EMER_NEED])</f>
        <v>No</v>
      </c>
      <c r="G1258">
        <f>IF(FME_Ranking!F1258="Yes",100,0)</f>
        <v>0</v>
      </c>
      <c r="H1258">
        <f>FME_Ranking1[[#This Row],[Emergency Need Score (Normalized, Unweighted)]]*$F$3</f>
        <v>0</v>
      </c>
      <c r="I1258" s="246">
        <f>_xlfn.XLOOKUP(FME_Ranking1[[#This Row],[FME ID]],FME_Input[FME_ID],FME_Input[STRUCT_100])</f>
        <v>37</v>
      </c>
      <c r="J1258" s="178">
        <f>(FME_Ranking1[[#This Row],[Structures 100 Raw]]/I$2)*100</f>
        <v>1.9813220237330249E-2</v>
      </c>
      <c r="K1258" s="178">
        <f>FME_Ranking1[[#This Row],[Structures 100  Score (Normalized, Unweighted)]]*$I$3</f>
        <v>2.9719830355995373E-3</v>
      </c>
      <c r="L1258" s="246">
        <f>_xlfn.XLOOKUP(FME_Ranking1[[#This Row],[FME ID]],FME_Input[FME_ID],FME_Input[RES_STRUCT100])</f>
        <v>12</v>
      </c>
      <c r="M1258" s="230">
        <f>(FME_Ranking1[[#This Row],[Res Structures Raw]]/L$2)*100</f>
        <v>8.4996670963720586E-3</v>
      </c>
      <c r="N1258" s="180">
        <f>FME_Ranking1[[#This Row],[Res Structures Score (Normalized, Unweighted)]]*$L$3</f>
        <v>8.4996670963720595E-4</v>
      </c>
      <c r="O1258" s="244">
        <f>_xlfn.XLOOKUP(FME_Ranking1[[#This Row],[FME ID]],FME_Input[FME_ID],FME_Input[POP100])</f>
        <v>19</v>
      </c>
      <c r="P1258" s="178">
        <f>(FME_Ranking1[[#This Row],[Pop Raw]]/$O$2)*100</f>
        <v>1.9451309277865023E-3</v>
      </c>
      <c r="Q1258" s="178">
        <f>FME_Ranking1[[#This Row],[Pop Score (Normalized, Unweighted)]]*$O$3</f>
        <v>2.9176963916797532E-4</v>
      </c>
      <c r="R1258" s="137">
        <f>_xlfn.XLOOKUP(FME_Ranking1[[#This Row],[FME ID]],FME_Input[FME_ID],FME_Input[CRITFAC100])</f>
        <v>0</v>
      </c>
      <c r="S1258" s="230">
        <f>(FME_Ranking1[[#This Row],[Critical Facilities Raw]]/$R$2)*100</f>
        <v>0</v>
      </c>
      <c r="T1258" s="180">
        <f>FME_Ranking1[[#This Row],[Critical Facilities Score (Normalized, Unweighted)]]*$R$3</f>
        <v>0</v>
      </c>
      <c r="U1258">
        <f>_xlfn.XLOOKUP(FME_Ranking1[[#This Row],[FME ID]],FME_Input[FME_ID],FME_Input[LWC])</f>
        <v>3</v>
      </c>
      <c r="V1258" s="178">
        <f>(FME_Ranking1[[#This Row],[LWC Raw]]/$U$2)*100</f>
        <v>0.17271157167530224</v>
      </c>
      <c r="W1258" s="178">
        <f>FME_Ranking1[[#This Row],[LWC Score (Normalized, Unweighted)]]*$U$3</f>
        <v>3.4542314335060449E-2</v>
      </c>
      <c r="X1258" s="246">
        <f>_xlfn.XLOOKUP(FME_Ranking1[[#This Row],[FME ID]],FME_Input[FME_ID],FME_Input[ROADCLS])</f>
        <v>0</v>
      </c>
      <c r="Y1258" s="230">
        <f>(FME_Ranking1[[#This Row],[Closures Raw]]/$X$2)*100</f>
        <v>0</v>
      </c>
      <c r="Z1258" s="180">
        <f>FME_Ranking1[[#This Row],[Closures Score (Normalized, Unweighted)]]*$X$3</f>
        <v>0</v>
      </c>
      <c r="AA1258" s="253">
        <f>_xlfn.XLOOKUP(FME_Ranking1[[#This Row],[FME ID]],FME_Input[FME_ID],FME_Input[ROAD_MILES100])</f>
        <v>56.769439697265618</v>
      </c>
      <c r="AB1258" s="178">
        <f>(FME_Ranking1[[#This Row],[Miles Raw]]/$AA$2)*100</f>
        <v>0.74641631124886187</v>
      </c>
      <c r="AC1258" s="178">
        <f>FME_Ranking1[[#This Row],[Miles Score (Normalized, Unweighted)]]*$AA$3</f>
        <v>7.4641631124886185E-2</v>
      </c>
      <c r="AD1258" s="255">
        <f>_xlfn.XLOOKUP(FME_Ranking1[[#This Row],[FME ID]],FME_Input[FME_ID],FME_Input[FARMACRE100])</f>
        <v>3015.096923828125</v>
      </c>
      <c r="AE1258" s="230">
        <f>(FME_Ranking1[[#This Row],[Ag Land Raw]]/$AD$2)*100</f>
        <v>0.12432910004616833</v>
      </c>
      <c r="AF1258" s="231">
        <f>FME_Ranking1[[#This Row],[Ag Land Score (Normalized, Unweighted)]]*$AD$3</f>
        <v>6.2164550023084165E-3</v>
      </c>
      <c r="AG125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0.11951411984665977</v>
      </c>
      <c r="AH1258" s="406">
        <f t="shared" si="19"/>
        <v>975</v>
      </c>
      <c r="AI125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0.11951411984665977</v>
      </c>
      <c r="AJ1258" s="257">
        <f>FME_Ranking1[[#This Row],[Addition check]]-FME_Ranking1[[#This Row],[Weighted Score Based on Normalized Reported Factors]]</f>
        <v>0</v>
      </c>
      <c r="AK1258" s="178">
        <f>_xlfn.RANK.EQ(AI1258,$AI$6:$AI$2341,0)+COUNTIF($AI$6:AI1258,AI1258)-1</f>
        <v>975</v>
      </c>
    </row>
    <row r="1259" spans="1:37" x14ac:dyDescent="0.25">
      <c r="A1259" t="s">
        <v>9560</v>
      </c>
      <c r="B1259">
        <f>_xlfn.XLOOKUP(FME_Ranking1[[#This Row],[FME ID]],FME_Input[FME_ID],FME_Input[RFPG_NUM])</f>
        <v>12</v>
      </c>
      <c r="C1259" t="str">
        <f>_xlfn.XLOOKUP(FME_Ranking1[[#This Row],[FME ID]],FME_Input[FME_ID],FME_Input[FME_NAME])</f>
        <v>Damage Center 31-Rockwood Creek</v>
      </c>
      <c r="D1259" t="str">
        <f>_xlfn.XLOOKUP(FME_Ranking1[[#This Row],[FME ID]],FME_Input[FME_ID],FME_Input[DESCR])</f>
        <v>Limits of the effective DFIRM model are incorrect based on the DFIRM hydrology if the hydrology is re-evaluated to take into account the limiting factor of the storm drain system, the actual flow to Rockwood Crk is less than the DFIRM flow</v>
      </c>
      <c r="E1259" s="256">
        <f>_xlfn.XLOOKUP(FME_Ranking1[[#This Row],[FME ID]],FME_Input[FME_ID],FME_Input[FME_COST])</f>
        <v>150000</v>
      </c>
      <c r="F1259" t="str">
        <f>_xlfn.XLOOKUP(FME_Ranking1[[#This Row],[FME ID]],FME_Input[FME_ID],FME_Input[EMER_NEED])</f>
        <v>Yes</v>
      </c>
      <c r="G1259">
        <f>IF(FME_Ranking!F1259="Yes",100,0)</f>
        <v>100</v>
      </c>
      <c r="H1259">
        <f>FME_Ranking1[[#This Row],[Emergency Need Score (Normalized, Unweighted)]]*$F$3</f>
        <v>0</v>
      </c>
      <c r="I1259" s="246">
        <f>_xlfn.XLOOKUP(FME_Ranking1[[#This Row],[FME ID]],FME_Input[FME_ID],FME_Input[STRUCT_100])</f>
        <v>123</v>
      </c>
      <c r="J1259" s="178">
        <f>(FME_Ranking1[[#This Row],[Structures 100 Raw]]/I$2)*100</f>
        <v>6.5865569978151906E-2</v>
      </c>
      <c r="K1259" s="178">
        <f>FME_Ranking1[[#This Row],[Structures 100  Score (Normalized, Unweighted)]]*$I$3</f>
        <v>9.8798354967227862E-3</v>
      </c>
      <c r="L1259" s="246">
        <f>_xlfn.XLOOKUP(FME_Ranking1[[#This Row],[FME ID]],FME_Input[FME_ID],FME_Input[RES_STRUCT100])</f>
        <v>111</v>
      </c>
      <c r="M1259" s="230">
        <f>(FME_Ranking1[[#This Row],[Res Structures Raw]]/L$2)*100</f>
        <v>7.8621920641441537E-2</v>
      </c>
      <c r="N1259" s="180">
        <f>FME_Ranking1[[#This Row],[Res Structures Score (Normalized, Unweighted)]]*$L$3</f>
        <v>7.862192064144154E-3</v>
      </c>
      <c r="O1259" s="244">
        <f>_xlfn.XLOOKUP(FME_Ranking1[[#This Row],[FME ID]],FME_Input[FME_ID],FME_Input[POP100])</f>
        <v>297</v>
      </c>
      <c r="P1259" s="178">
        <f>(FME_Ranking1[[#This Row],[Pop Raw]]/$O$2)*100</f>
        <v>3.0405467660662697E-2</v>
      </c>
      <c r="Q1259" s="178">
        <f>FME_Ranking1[[#This Row],[Pop Score (Normalized, Unweighted)]]*$O$3</f>
        <v>4.560820149099404E-3</v>
      </c>
      <c r="R1259" s="137">
        <f>_xlfn.XLOOKUP(FME_Ranking1[[#This Row],[FME ID]],FME_Input[FME_ID],FME_Input[CRITFAC100])</f>
        <v>2</v>
      </c>
      <c r="S1259" s="230">
        <f>(FME_Ranking1[[#This Row],[Critical Facilities Raw]]/$R$2)*100</f>
        <v>8.5763293310463118E-2</v>
      </c>
      <c r="T1259" s="180">
        <f>FME_Ranking1[[#This Row],[Critical Facilities Score (Normalized, Unweighted)]]*$R$3</f>
        <v>1.7152658662092625E-2</v>
      </c>
      <c r="U1259">
        <f>_xlfn.XLOOKUP(FME_Ranking1[[#This Row],[FME ID]],FME_Input[FME_ID],FME_Input[LWC])</f>
        <v>0</v>
      </c>
      <c r="V1259" s="178">
        <f>(FME_Ranking1[[#This Row],[LWC Raw]]/$U$2)*100</f>
        <v>0</v>
      </c>
      <c r="W1259" s="178">
        <f>FME_Ranking1[[#This Row],[LWC Score (Normalized, Unweighted)]]*$U$3</f>
        <v>0</v>
      </c>
      <c r="X1259" s="246">
        <f>_xlfn.XLOOKUP(FME_Ranking1[[#This Row],[FME ID]],FME_Input[FME_ID],FME_Input[ROADCLS])</f>
        <v>10</v>
      </c>
      <c r="Y1259" s="230">
        <f>(FME_Ranking1[[#This Row],[Closures Raw]]/$X$2)*100</f>
        <v>0.10514141520344865</v>
      </c>
      <c r="Z1259" s="180">
        <f>FME_Ranking1[[#This Row],[Closures Score (Normalized, Unweighted)]]*$X$3</f>
        <v>5.2570707601724328E-3</v>
      </c>
      <c r="AA1259" s="253">
        <f>_xlfn.XLOOKUP(FME_Ranking1[[#This Row],[FME ID]],FME_Input[FME_ID],FME_Input[ROAD_MILES100])</f>
        <v>0.77999997138977051</v>
      </c>
      <c r="AB1259" s="178">
        <f>(FME_Ranking1[[#This Row],[Miles Raw]]/$AA$2)*100</f>
        <v>1.0255600628149463E-2</v>
      </c>
      <c r="AC1259" s="178">
        <f>FME_Ranking1[[#This Row],[Miles Score (Normalized, Unweighted)]]*$AA$3</f>
        <v>1.0255600628149464E-3</v>
      </c>
      <c r="AD1259" s="255">
        <f>_xlfn.XLOOKUP(FME_Ranking1[[#This Row],[FME ID]],FME_Input[FME_ID],FME_Input[FARMACRE100])</f>
        <v>0</v>
      </c>
      <c r="AE1259" s="230">
        <f>(FME_Ranking1[[#This Row],[Ag Land Raw]]/$AD$2)*100</f>
        <v>0</v>
      </c>
      <c r="AF1259" s="231">
        <f>FME_Ranking1[[#This Row],[Ag Land Score (Normalized, Unweighted)]]*$AD$3</f>
        <v>0</v>
      </c>
      <c r="AG125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4.5738137195046352E-2</v>
      </c>
      <c r="AH1259" s="406">
        <f t="shared" si="19"/>
        <v>1332</v>
      </c>
      <c r="AI125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4.5738137195046352E-2</v>
      </c>
      <c r="AJ1259" s="257">
        <f>FME_Ranking1[[#This Row],[Addition check]]-FME_Ranking1[[#This Row],[Weighted Score Based on Normalized Reported Factors]]</f>
        <v>0</v>
      </c>
      <c r="AK1259" s="178">
        <f>_xlfn.RANK.EQ(AI1259,$AI$6:$AI$2341,0)+COUNTIF($AI$6:AI1259,AI1259)-1</f>
        <v>1332</v>
      </c>
    </row>
    <row r="1260" spans="1:37" x14ac:dyDescent="0.25">
      <c r="A1260" t="s">
        <v>7002</v>
      </c>
      <c r="B1260">
        <f>_xlfn.XLOOKUP(FME_Ranking1[[#This Row],[FME ID]],FME_Input[FME_ID],FME_Input[RFPG_NUM])</f>
        <v>7</v>
      </c>
      <c r="C1260" t="str">
        <f>_xlfn.XLOOKUP(FME_Ranking1[[#This Row],[FME ID]],FME_Input[FME_ID],FME_Input[FME_NAME])</f>
        <v>City of Sudan DMP</v>
      </c>
      <c r="D1260" t="str">
        <f>_xlfn.XLOOKUP(FME_Ranking1[[#This Row],[FME ID]],FME_Input[FME_ID],FME_Input[DESCR])</f>
        <v>Evaluate City of Sudan for a Storm Water Master Plan, flood ordinances, and policies.</v>
      </c>
      <c r="E1260" s="256">
        <f>_xlfn.XLOOKUP(FME_Ranking1[[#This Row],[FME ID]],FME_Input[FME_ID],FME_Input[FME_COST])</f>
        <v>250000</v>
      </c>
      <c r="F1260" t="str">
        <f>_xlfn.XLOOKUP(FME_Ranking1[[#This Row],[FME ID]],FME_Input[FME_ID],FME_Input[EMER_NEED])</f>
        <v>No</v>
      </c>
      <c r="G1260">
        <f>IF(FME_Ranking!F1260="Yes",100,0)</f>
        <v>0</v>
      </c>
      <c r="H1260">
        <f>FME_Ranking1[[#This Row],[Emergency Need Score (Normalized, Unweighted)]]*$F$3</f>
        <v>0</v>
      </c>
      <c r="I1260" s="246">
        <f>_xlfn.XLOOKUP(FME_Ranking1[[#This Row],[FME ID]],FME_Input[FME_ID],FME_Input[STRUCT_100])</f>
        <v>70</v>
      </c>
      <c r="J1260" s="178">
        <f>(FME_Ranking1[[#This Row],[Structures 100 Raw]]/I$2)*100</f>
        <v>3.7484470719273445E-2</v>
      </c>
      <c r="K1260" s="178">
        <f>FME_Ranking1[[#This Row],[Structures 100  Score (Normalized, Unweighted)]]*$I$3</f>
        <v>5.6226706078910168E-3</v>
      </c>
      <c r="L1260" s="246">
        <f>_xlfn.XLOOKUP(FME_Ranking1[[#This Row],[FME ID]],FME_Input[FME_ID],FME_Input[RES_STRUCT100])</f>
        <v>47</v>
      </c>
      <c r="M1260" s="230">
        <f>(FME_Ranking1[[#This Row],[Res Structures Raw]]/L$2)*100</f>
        <v>3.3290362794123896E-2</v>
      </c>
      <c r="N1260" s="180">
        <f>FME_Ranking1[[#This Row],[Res Structures Score (Normalized, Unweighted)]]*$L$3</f>
        <v>3.3290362794123896E-3</v>
      </c>
      <c r="O1260" s="244">
        <f>_xlfn.XLOOKUP(FME_Ranking1[[#This Row],[FME ID]],FME_Input[FME_ID],FME_Input[POP100])</f>
        <v>634</v>
      </c>
      <c r="P1260" s="178">
        <f>(FME_Ranking1[[#This Row],[Pop Raw]]/$O$2)*100</f>
        <v>6.4905947800875927E-2</v>
      </c>
      <c r="Q1260" s="178">
        <f>FME_Ranking1[[#This Row],[Pop Score (Normalized, Unweighted)]]*$O$3</f>
        <v>9.7358921701313893E-3</v>
      </c>
      <c r="R1260" s="137">
        <f>_xlfn.XLOOKUP(FME_Ranking1[[#This Row],[FME ID]],FME_Input[FME_ID],FME_Input[CRITFAC100])</f>
        <v>3</v>
      </c>
      <c r="S1260" s="230">
        <f>(FME_Ranking1[[#This Row],[Critical Facilities Raw]]/$R$2)*100</f>
        <v>0.1286449399656947</v>
      </c>
      <c r="T1260" s="180">
        <f>FME_Ranking1[[#This Row],[Critical Facilities Score (Normalized, Unweighted)]]*$R$3</f>
        <v>2.5728987993138941E-2</v>
      </c>
      <c r="U1260">
        <f>_xlfn.XLOOKUP(FME_Ranking1[[#This Row],[FME ID]],FME_Input[FME_ID],FME_Input[LWC])</f>
        <v>0</v>
      </c>
      <c r="V1260" s="178">
        <f>(FME_Ranking1[[#This Row],[LWC Raw]]/$U$2)*100</f>
        <v>0</v>
      </c>
      <c r="W1260" s="178">
        <f>FME_Ranking1[[#This Row],[LWC Score (Normalized, Unweighted)]]*$U$3</f>
        <v>0</v>
      </c>
      <c r="X1260" s="246">
        <f>_xlfn.XLOOKUP(FME_Ranking1[[#This Row],[FME ID]],FME_Input[FME_ID],FME_Input[ROADCLS])</f>
        <v>0</v>
      </c>
      <c r="Y1260" s="230">
        <f>(FME_Ranking1[[#This Row],[Closures Raw]]/$X$2)*100</f>
        <v>0</v>
      </c>
      <c r="Z1260" s="180">
        <f>FME_Ranking1[[#This Row],[Closures Score (Normalized, Unweighted)]]*$X$3</f>
        <v>0</v>
      </c>
      <c r="AA1260" s="253">
        <f>_xlfn.XLOOKUP(FME_Ranking1[[#This Row],[FME ID]],FME_Input[FME_ID],FME_Input[ROAD_MILES100])</f>
        <v>5.3250904083251953</v>
      </c>
      <c r="AB1260" s="178">
        <f>(FME_Ranking1[[#This Row],[Miles Raw]]/$AA$2)*100</f>
        <v>7.001538787144726E-2</v>
      </c>
      <c r="AC1260" s="178">
        <f>FME_Ranking1[[#This Row],[Miles Score (Normalized, Unweighted)]]*$AA$3</f>
        <v>7.001538787144726E-3</v>
      </c>
      <c r="AD1260" s="255">
        <f>_xlfn.XLOOKUP(FME_Ranking1[[#This Row],[FME ID]],FME_Input[FME_ID],FME_Input[FARMACRE100])</f>
        <v>5.3309736251831046</v>
      </c>
      <c r="AE1260" s="230">
        <f>(FME_Ranking1[[#This Row],[Ag Land Raw]]/$AD$2)*100</f>
        <v>2.1982548817944976E-4</v>
      </c>
      <c r="AF1260" s="231">
        <f>FME_Ranking1[[#This Row],[Ag Land Score (Normalized, Unweighted)]]*$AD$3</f>
        <v>1.0991274408972489E-5</v>
      </c>
      <c r="AG126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5.1429117112127429E-2</v>
      </c>
      <c r="AH1260" s="406">
        <f t="shared" si="19"/>
        <v>1303</v>
      </c>
      <c r="AI126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5.1429117112127429E-2</v>
      </c>
      <c r="AJ1260" s="257">
        <f>FME_Ranking1[[#This Row],[Addition check]]-FME_Ranking1[[#This Row],[Weighted Score Based on Normalized Reported Factors]]</f>
        <v>0</v>
      </c>
      <c r="AK1260" s="178">
        <f>_xlfn.RANK.EQ(AI1260,$AI$6:$AI$2341,0)+COUNTIF($AI$6:AI1260,AI1260)-1</f>
        <v>1303</v>
      </c>
    </row>
    <row r="1261" spans="1:37" x14ac:dyDescent="0.25">
      <c r="A1261" t="s">
        <v>3140</v>
      </c>
      <c r="B1261">
        <f>_xlfn.XLOOKUP(FME_Ranking1[[#This Row],[FME ID]],FME_Input[FME_ID],FME_Input[RFPG_NUM])</f>
        <v>1</v>
      </c>
      <c r="C1261" t="str">
        <f>_xlfn.XLOOKUP(FME_Ranking1[[#This Row],[FME ID]],FME_Input[FME_ID],FME_Input[FME_NAME])</f>
        <v>Iowa Park City Drainage Master Plan</v>
      </c>
      <c r="D1261" t="str">
        <f>_xlfn.XLOOKUP(FME_Ranking1[[#This Row],[FME ID]],FME_Input[FME_ID],FME_Input[DESCR])</f>
        <v xml:space="preserve">Perform H&amp;H modeling, develop conceptual alternatives and OPCC, and rank projects; selected based on survey responses and the needs analysis </v>
      </c>
      <c r="E1261" s="256">
        <f>_xlfn.XLOOKUP(FME_Ranking1[[#This Row],[FME ID]],FME_Input[FME_ID],FME_Input[FME_COST])</f>
        <v>250000</v>
      </c>
      <c r="F1261" t="str">
        <f>_xlfn.XLOOKUP(FME_Ranking1[[#This Row],[FME ID]],FME_Input[FME_ID],FME_Input[EMER_NEED])</f>
        <v>No</v>
      </c>
      <c r="G1261">
        <f>IF(FME_Ranking!F1261="Yes",100,0)</f>
        <v>0</v>
      </c>
      <c r="H1261">
        <f>FME_Ranking1[[#This Row],[Emergency Need Score (Normalized, Unweighted)]]*$F$3</f>
        <v>0</v>
      </c>
      <c r="I1261" s="246">
        <f>_xlfn.XLOOKUP(FME_Ranking1[[#This Row],[FME ID]],FME_Input[FME_ID],FME_Input[STRUCT_100])</f>
        <v>121</v>
      </c>
      <c r="J1261" s="178">
        <f>(FME_Ranking1[[#This Row],[Structures 100 Raw]]/I$2)*100</f>
        <v>6.4794585100458379E-2</v>
      </c>
      <c r="K1261" s="178">
        <f>FME_Ranking1[[#This Row],[Structures 100  Score (Normalized, Unweighted)]]*$I$3</f>
        <v>9.7191877650687573E-3</v>
      </c>
      <c r="L1261" s="246">
        <f>_xlfn.XLOOKUP(FME_Ranking1[[#This Row],[FME ID]],FME_Input[FME_ID],FME_Input[RES_STRUCT100])</f>
        <v>106</v>
      </c>
      <c r="M1261" s="230">
        <f>(FME_Ranking1[[#This Row],[Res Structures Raw]]/L$2)*100</f>
        <v>7.5080392684619857E-2</v>
      </c>
      <c r="N1261" s="180">
        <f>FME_Ranking1[[#This Row],[Res Structures Score (Normalized, Unweighted)]]*$L$3</f>
        <v>7.5080392684619864E-3</v>
      </c>
      <c r="O1261" s="244">
        <f>_xlfn.XLOOKUP(FME_Ranking1[[#This Row],[FME ID]],FME_Input[FME_ID],FME_Input[POP100])</f>
        <v>181</v>
      </c>
      <c r="P1261" s="178">
        <f>(FME_Ranking1[[#This Row],[Pop Raw]]/$O$2)*100</f>
        <v>1.8529931469966156E-2</v>
      </c>
      <c r="Q1261" s="178">
        <f>FME_Ranking1[[#This Row],[Pop Score (Normalized, Unweighted)]]*$O$3</f>
        <v>2.7794897204949233E-3</v>
      </c>
      <c r="R1261" s="137">
        <f>_xlfn.XLOOKUP(FME_Ranking1[[#This Row],[FME ID]],FME_Input[FME_ID],FME_Input[CRITFAC100])</f>
        <v>0</v>
      </c>
      <c r="S1261" s="230">
        <f>(FME_Ranking1[[#This Row],[Critical Facilities Raw]]/$R$2)*100</f>
        <v>0</v>
      </c>
      <c r="T1261" s="180">
        <f>FME_Ranking1[[#This Row],[Critical Facilities Score (Normalized, Unweighted)]]*$R$3</f>
        <v>0</v>
      </c>
      <c r="U1261">
        <f>_xlfn.XLOOKUP(FME_Ranking1[[#This Row],[FME ID]],FME_Input[FME_ID],FME_Input[LWC])</f>
        <v>2</v>
      </c>
      <c r="V1261" s="178">
        <f>(FME_Ranking1[[#This Row],[LWC Raw]]/$U$2)*100</f>
        <v>0.11514104778353484</v>
      </c>
      <c r="W1261" s="178">
        <f>FME_Ranking1[[#This Row],[LWC Score (Normalized, Unweighted)]]*$U$3</f>
        <v>2.302820955670697E-2</v>
      </c>
      <c r="X1261" s="246">
        <f>_xlfn.XLOOKUP(FME_Ranking1[[#This Row],[FME ID]],FME_Input[FME_ID],FME_Input[ROADCLS])</f>
        <v>2</v>
      </c>
      <c r="Y1261" s="230">
        <f>(FME_Ranking1[[#This Row],[Closures Raw]]/$X$2)*100</f>
        <v>2.1028283040689728E-2</v>
      </c>
      <c r="Z1261" s="180">
        <f>FME_Ranking1[[#This Row],[Closures Score (Normalized, Unweighted)]]*$X$3</f>
        <v>1.0514141520344864E-3</v>
      </c>
      <c r="AA1261" s="253">
        <f>_xlfn.XLOOKUP(FME_Ranking1[[#This Row],[FME ID]],FME_Input[FME_ID],FME_Input[ROAD_MILES100])</f>
        <v>5.1717700958251953</v>
      </c>
      <c r="AB1261" s="178">
        <f>(FME_Ranking1[[#This Row],[Miles Raw]]/$AA$2)*100</f>
        <v>6.7999500754962555E-2</v>
      </c>
      <c r="AC1261" s="178">
        <f>FME_Ranking1[[#This Row],[Miles Score (Normalized, Unweighted)]]*$AA$3</f>
        <v>6.7999500754962559E-3</v>
      </c>
      <c r="AD1261" s="255">
        <f>_xlfn.XLOOKUP(FME_Ranking1[[#This Row],[FME ID]],FME_Input[FME_ID],FME_Input[FARMACRE100])</f>
        <v>41.713836669921882</v>
      </c>
      <c r="AE1261" s="230">
        <f>(FME_Ranking1[[#This Row],[Ag Land Raw]]/$AD$2)*100</f>
        <v>1.7200918921238247E-3</v>
      </c>
      <c r="AF1261" s="231">
        <f>FME_Ranking1[[#This Row],[Ag Land Score (Normalized, Unweighted)]]*$AD$3</f>
        <v>8.6004594606191241E-5</v>
      </c>
      <c r="AG126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5.097229513286957E-2</v>
      </c>
      <c r="AH1261" s="406">
        <f t="shared" si="19"/>
        <v>1308</v>
      </c>
      <c r="AI126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5.097229513286957E-2</v>
      </c>
      <c r="AJ1261" s="257">
        <f>FME_Ranking1[[#This Row],[Addition check]]-FME_Ranking1[[#This Row],[Weighted Score Based on Normalized Reported Factors]]</f>
        <v>0</v>
      </c>
      <c r="AK1261" s="178">
        <f>_xlfn.RANK.EQ(AI1261,$AI$6:$AI$2341,0)+COUNTIF($AI$6:AI1261,AI1261)-1</f>
        <v>1308</v>
      </c>
    </row>
    <row r="1262" spans="1:37" x14ac:dyDescent="0.25">
      <c r="A1262" t="s">
        <v>5084</v>
      </c>
      <c r="B1262">
        <f>_xlfn.XLOOKUP(FME_Ranking1[[#This Row],[FME ID]],FME_Input[FME_ID],FME_Input[RFPG_NUM])</f>
        <v>3</v>
      </c>
      <c r="C1262" t="str">
        <f>_xlfn.XLOOKUP(FME_Ranking1[[#This Row],[FME ID]],FME_Input[FME_ID],FME_Input[FME_NAME])</f>
        <v>Whites Bayou/Spring Branch Flood Study</v>
      </c>
      <c r="D1262" t="str">
        <f>_xlfn.XLOOKUP(FME_Ranking1[[#This Row],[FME ID]],FME_Input[FME_ID],FME_Input[DESCR])</f>
        <v>Flood study north of I-10 through Hankamer</v>
      </c>
      <c r="E1262" s="256">
        <f>_xlfn.XLOOKUP(FME_Ranking1[[#This Row],[FME ID]],FME_Input[FME_ID],FME_Input[FME_COST])</f>
        <v>458000</v>
      </c>
      <c r="F1262" t="str">
        <f>_xlfn.XLOOKUP(FME_Ranking1[[#This Row],[FME ID]],FME_Input[FME_ID],FME_Input[EMER_NEED])</f>
        <v>No</v>
      </c>
      <c r="G1262">
        <f>IF(FME_Ranking!F1262="Yes",100,0)</f>
        <v>0</v>
      </c>
      <c r="H1262">
        <f>FME_Ranking1[[#This Row],[Emergency Need Score (Normalized, Unweighted)]]*$F$3</f>
        <v>0</v>
      </c>
      <c r="I1262" s="246">
        <f>_xlfn.XLOOKUP(FME_Ranking1[[#This Row],[FME ID]],FME_Input[FME_ID],FME_Input[STRUCT_100])</f>
        <v>205</v>
      </c>
      <c r="J1262" s="178">
        <f>(FME_Ranking1[[#This Row],[Structures 100 Raw]]/I$2)*100</f>
        <v>0.1097759499635865</v>
      </c>
      <c r="K1262" s="178">
        <f>FME_Ranking1[[#This Row],[Structures 100  Score (Normalized, Unweighted)]]*$I$3</f>
        <v>1.6466392494537973E-2</v>
      </c>
      <c r="L1262" s="246">
        <f>_xlfn.XLOOKUP(FME_Ranking1[[#This Row],[FME ID]],FME_Input[FME_ID],FME_Input[RES_STRUCT100])</f>
        <v>102</v>
      </c>
      <c r="M1262" s="230">
        <f>(FME_Ranking1[[#This Row],[Res Structures Raw]]/L$2)*100</f>
        <v>7.2247170319162501E-2</v>
      </c>
      <c r="N1262" s="180">
        <f>FME_Ranking1[[#This Row],[Res Structures Score (Normalized, Unweighted)]]*$L$3</f>
        <v>7.2247170319162503E-3</v>
      </c>
      <c r="O1262" s="244">
        <f>_xlfn.XLOOKUP(FME_Ranking1[[#This Row],[FME ID]],FME_Input[FME_ID],FME_Input[POP100])</f>
        <v>259</v>
      </c>
      <c r="P1262" s="178">
        <f>(FME_Ranking1[[#This Row],[Pop Raw]]/$O$2)*100</f>
        <v>2.6515205805089693E-2</v>
      </c>
      <c r="Q1262" s="178">
        <f>FME_Ranking1[[#This Row],[Pop Score (Normalized, Unweighted)]]*$O$3</f>
        <v>3.9772808707634541E-3</v>
      </c>
      <c r="R1262" s="137">
        <f>_xlfn.XLOOKUP(FME_Ranking1[[#This Row],[FME ID]],FME_Input[FME_ID],FME_Input[CRITFAC100])</f>
        <v>1</v>
      </c>
      <c r="S1262" s="230">
        <f>(FME_Ranking1[[#This Row],[Critical Facilities Raw]]/$R$2)*100</f>
        <v>4.2881646655231559E-2</v>
      </c>
      <c r="T1262" s="180">
        <f>FME_Ranking1[[#This Row],[Critical Facilities Score (Normalized, Unweighted)]]*$R$3</f>
        <v>8.5763293310463125E-3</v>
      </c>
      <c r="U1262">
        <f>_xlfn.XLOOKUP(FME_Ranking1[[#This Row],[FME ID]],FME_Input[FME_ID],FME_Input[LWC])</f>
        <v>0</v>
      </c>
      <c r="V1262" s="178">
        <f>(FME_Ranking1[[#This Row],[LWC Raw]]/$U$2)*100</f>
        <v>0</v>
      </c>
      <c r="W1262" s="178">
        <f>FME_Ranking1[[#This Row],[LWC Score (Normalized, Unweighted)]]*$U$3</f>
        <v>0</v>
      </c>
      <c r="X1262" s="246">
        <f>_xlfn.XLOOKUP(FME_Ranking1[[#This Row],[FME ID]],FME_Input[FME_ID],FME_Input[ROADCLS])</f>
        <v>0</v>
      </c>
      <c r="Y1262" s="230">
        <f>(FME_Ranking1[[#This Row],[Closures Raw]]/$X$2)*100</f>
        <v>0</v>
      </c>
      <c r="Z1262" s="180">
        <f>FME_Ranking1[[#This Row],[Closures Score (Normalized, Unweighted)]]*$X$3</f>
        <v>0</v>
      </c>
      <c r="AA1262" s="253">
        <f>_xlfn.XLOOKUP(FME_Ranking1[[#This Row],[FME ID]],FME_Input[FME_ID],FME_Input[ROAD_MILES100])</f>
        <v>5.2963089942932129</v>
      </c>
      <c r="AB1262" s="178">
        <f>(FME_Ranking1[[#This Row],[Miles Raw]]/$AA$2)*100</f>
        <v>6.9636963898816198E-2</v>
      </c>
      <c r="AC1262" s="178">
        <f>FME_Ranking1[[#This Row],[Miles Score (Normalized, Unweighted)]]*$AA$3</f>
        <v>6.9636963898816202E-3</v>
      </c>
      <c r="AD1262" s="255">
        <f>_xlfn.XLOOKUP(FME_Ranking1[[#This Row],[FME ID]],FME_Input[FME_ID],FME_Input[FARMACRE100])</f>
        <v>3806.31005859375</v>
      </c>
      <c r="AE1262" s="230">
        <f>(FME_Ranking1[[#This Row],[Ag Land Raw]]/$AD$2)*100</f>
        <v>0.15695518785538579</v>
      </c>
      <c r="AF1262" s="231">
        <f>FME_Ranking1[[#This Row],[Ag Land Score (Normalized, Unweighted)]]*$AD$3</f>
        <v>7.8477593927692903E-3</v>
      </c>
      <c r="AG126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5.1056175510914896E-2</v>
      </c>
      <c r="AH1262" s="406">
        <f t="shared" si="19"/>
        <v>1307</v>
      </c>
      <c r="AI126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5.1056175510914896E-2</v>
      </c>
      <c r="AJ1262" s="257">
        <f>FME_Ranking1[[#This Row],[Addition check]]-FME_Ranking1[[#This Row],[Weighted Score Based on Normalized Reported Factors]]</f>
        <v>0</v>
      </c>
      <c r="AK1262" s="178">
        <f>_xlfn.RANK.EQ(AI1262,$AI$6:$AI$2341,0)+COUNTIF($AI$6:AI1262,AI1262)-1</f>
        <v>1307</v>
      </c>
    </row>
    <row r="1263" spans="1:37" x14ac:dyDescent="0.25">
      <c r="A1263" t="s">
        <v>5113</v>
      </c>
      <c r="B1263">
        <f>_xlfn.XLOOKUP(FME_Ranking1[[#This Row],[FME ID]],FME_Input[FME_ID],FME_Input[RFPG_NUM])</f>
        <v>3</v>
      </c>
      <c r="C1263" t="str">
        <f>_xlfn.XLOOKUP(FME_Ranking1[[#This Row],[FME ID]],FME_Input[FME_ID],FME_Input[FME_NAME])</f>
        <v>Headwaters of Clear Fork Trinity River Tributaries Through Hudson Oaks</v>
      </c>
      <c r="D1263" t="str">
        <f>_xlfn.XLOOKUP(FME_Ranking1[[#This Row],[FME ID]],FME_Input[FME_ID],FME_Input[DESCR])</f>
        <v xml:space="preserve">Study to determine flooding issues and potential future projects. </v>
      </c>
      <c r="E1263" s="256">
        <f>_xlfn.XLOOKUP(FME_Ranking1[[#This Row],[FME ID]],FME_Input[FME_ID],FME_Input[FME_COST])</f>
        <v>106000</v>
      </c>
      <c r="F1263" t="str">
        <f>_xlfn.XLOOKUP(FME_Ranking1[[#This Row],[FME ID]],FME_Input[FME_ID],FME_Input[EMER_NEED])</f>
        <v>No</v>
      </c>
      <c r="G1263">
        <f>IF(FME_Ranking!F1263="Yes",100,0)</f>
        <v>0</v>
      </c>
      <c r="H1263">
        <f>FME_Ranking1[[#This Row],[Emergency Need Score (Normalized, Unweighted)]]*$F$3</f>
        <v>0</v>
      </c>
      <c r="I1263" s="246">
        <f>_xlfn.XLOOKUP(FME_Ranking1[[#This Row],[FME ID]],FME_Input[FME_ID],FME_Input[STRUCT_100])</f>
        <v>32</v>
      </c>
      <c r="J1263" s="178">
        <f>(FME_Ranking1[[#This Row],[Structures 100 Raw]]/I$2)*100</f>
        <v>1.7135758043096434E-2</v>
      </c>
      <c r="K1263" s="178">
        <f>FME_Ranking1[[#This Row],[Structures 100  Score (Normalized, Unweighted)]]*$I$3</f>
        <v>2.570363706464465E-3</v>
      </c>
      <c r="L1263" s="246">
        <f>_xlfn.XLOOKUP(FME_Ranking1[[#This Row],[FME ID]],FME_Input[FME_ID],FME_Input[RES_STRUCT100])</f>
        <v>26</v>
      </c>
      <c r="M1263" s="230">
        <f>(FME_Ranking1[[#This Row],[Res Structures Raw]]/L$2)*100</f>
        <v>1.8415945375472795E-2</v>
      </c>
      <c r="N1263" s="180">
        <f>FME_Ranking1[[#This Row],[Res Structures Score (Normalized, Unweighted)]]*$L$3</f>
        <v>1.8415945375472795E-3</v>
      </c>
      <c r="O1263" s="244">
        <f>_xlfn.XLOOKUP(FME_Ranking1[[#This Row],[FME ID]],FME_Input[FME_ID],FME_Input[POP100])</f>
        <v>689</v>
      </c>
      <c r="P1263" s="178">
        <f>(FME_Ranking1[[#This Row],[Pop Raw]]/$O$2)*100</f>
        <v>7.0536589960257912E-2</v>
      </c>
      <c r="Q1263" s="178">
        <f>FME_Ranking1[[#This Row],[Pop Score (Normalized, Unweighted)]]*$O$3</f>
        <v>1.0580488494038686E-2</v>
      </c>
      <c r="R1263" s="137">
        <f>_xlfn.XLOOKUP(FME_Ranking1[[#This Row],[FME ID]],FME_Input[FME_ID],FME_Input[CRITFAC100])</f>
        <v>2</v>
      </c>
      <c r="S1263" s="230">
        <f>(FME_Ranking1[[#This Row],[Critical Facilities Raw]]/$R$2)*100</f>
        <v>8.5763293310463118E-2</v>
      </c>
      <c r="T1263" s="180">
        <f>FME_Ranking1[[#This Row],[Critical Facilities Score (Normalized, Unweighted)]]*$R$3</f>
        <v>1.7152658662092625E-2</v>
      </c>
      <c r="U1263">
        <f>_xlfn.XLOOKUP(FME_Ranking1[[#This Row],[FME ID]],FME_Input[FME_ID],FME_Input[LWC])</f>
        <v>1</v>
      </c>
      <c r="V1263" s="178">
        <f>(FME_Ranking1[[#This Row],[LWC Raw]]/$U$2)*100</f>
        <v>5.7570523891767422E-2</v>
      </c>
      <c r="W1263" s="178">
        <f>FME_Ranking1[[#This Row],[LWC Score (Normalized, Unweighted)]]*$U$3</f>
        <v>1.1514104778353485E-2</v>
      </c>
      <c r="X1263" s="246">
        <f>_xlfn.XLOOKUP(FME_Ranking1[[#This Row],[FME ID]],FME_Input[FME_ID],FME_Input[ROADCLS])</f>
        <v>0</v>
      </c>
      <c r="Y1263" s="230">
        <f>(FME_Ranking1[[#This Row],[Closures Raw]]/$X$2)*100</f>
        <v>0</v>
      </c>
      <c r="Z1263" s="180">
        <f>FME_Ranking1[[#This Row],[Closures Score (Normalized, Unweighted)]]*$X$3</f>
        <v>0</v>
      </c>
      <c r="AA1263" s="253">
        <f>_xlfn.XLOOKUP(FME_Ranking1[[#This Row],[FME ID]],FME_Input[FME_ID],FME_Input[ROAD_MILES100])</f>
        <v>2.8187301158905029</v>
      </c>
      <c r="AB1263" s="178">
        <f>(FME_Ranking1[[#This Row],[Miles Raw]]/$AA$2)*100</f>
        <v>3.7061245394155368E-2</v>
      </c>
      <c r="AC1263" s="178">
        <f>FME_Ranking1[[#This Row],[Miles Score (Normalized, Unweighted)]]*$AA$3</f>
        <v>3.7061245394155369E-3</v>
      </c>
      <c r="AD1263" s="255">
        <f>_xlfn.XLOOKUP(FME_Ranking1[[#This Row],[FME ID]],FME_Input[FME_ID],FME_Input[FARMACRE100])</f>
        <v>179.35150146484381</v>
      </c>
      <c r="AE1263" s="230">
        <f>(FME_Ranking1[[#This Row],[Ag Land Raw]]/$AD$2)*100</f>
        <v>7.3956530527521432E-3</v>
      </c>
      <c r="AF1263" s="231">
        <f>FME_Ranking1[[#This Row],[Ag Land Score (Normalized, Unweighted)]]*$AD$3</f>
        <v>3.6978265263760718E-4</v>
      </c>
      <c r="AG126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4.7735117370549682E-2</v>
      </c>
      <c r="AH1263" s="406">
        <f t="shared" si="19"/>
        <v>1325</v>
      </c>
      <c r="AI126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4.7735117370549682E-2</v>
      </c>
      <c r="AJ1263" s="257">
        <f>FME_Ranking1[[#This Row],[Addition check]]-FME_Ranking1[[#This Row],[Weighted Score Based on Normalized Reported Factors]]</f>
        <v>0</v>
      </c>
      <c r="AK1263" s="178">
        <f>_xlfn.RANK.EQ(AI1263,$AI$6:$AI$2341,0)+COUNTIF($AI$6:AI1263,AI1263)-1</f>
        <v>1325</v>
      </c>
    </row>
    <row r="1264" spans="1:37" x14ac:dyDescent="0.25">
      <c r="A1264" t="s">
        <v>9449</v>
      </c>
      <c r="B1264">
        <f>_xlfn.XLOOKUP(FME_Ranking1[[#This Row],[FME ID]],FME_Input[FME_ID],FME_Input[RFPG_NUM])</f>
        <v>12</v>
      </c>
      <c r="C1264" t="str">
        <f>_xlfn.XLOOKUP(FME_Ranking1[[#This Row],[FME ID]],FME_Input[FME_ID],FME_Input[FME_NAME])</f>
        <v>DC13/14: Walzem Creek</v>
      </c>
      <c r="D1264" t="str">
        <f>_xlfn.XLOOKUP(FME_Ranking1[[#This Row],[FME ID]],FME_Input[FME_ID],FME_Input[DESCR])</f>
        <v>A proposed combination of regional detention and channel improvement to reduce flooding on Walzem Creek.</v>
      </c>
      <c r="E1264" s="256">
        <f>_xlfn.XLOOKUP(FME_Ranking1[[#This Row],[FME ID]],FME_Input[FME_ID],FME_Input[FME_COST])</f>
        <v>7035206</v>
      </c>
      <c r="F1264" t="str">
        <f>_xlfn.XLOOKUP(FME_Ranking1[[#This Row],[FME ID]],FME_Input[FME_ID],FME_Input[EMER_NEED])</f>
        <v>Yes</v>
      </c>
      <c r="G1264">
        <f>IF(FME_Ranking!F1264="Yes",100,0)</f>
        <v>100</v>
      </c>
      <c r="H1264">
        <f>FME_Ranking1[[#This Row],[Emergency Need Score (Normalized, Unweighted)]]*$F$3</f>
        <v>0</v>
      </c>
      <c r="I1264" s="246">
        <f>_xlfn.XLOOKUP(FME_Ranking1[[#This Row],[FME ID]],FME_Input[FME_ID],FME_Input[STRUCT_100])</f>
        <v>66</v>
      </c>
      <c r="J1264" s="178">
        <f>(FME_Ranking1[[#This Row],[Structures 100 Raw]]/I$2)*100</f>
        <v>3.5342500963886393E-2</v>
      </c>
      <c r="K1264" s="178">
        <f>FME_Ranking1[[#This Row],[Structures 100  Score (Normalized, Unweighted)]]*$I$3</f>
        <v>5.301375144582959E-3</v>
      </c>
      <c r="L1264" s="246">
        <f>_xlfn.XLOOKUP(FME_Ranking1[[#This Row],[FME ID]],FME_Input[FME_ID],FME_Input[RES_STRUCT100])</f>
        <v>45</v>
      </c>
      <c r="M1264" s="230">
        <f>(FME_Ranking1[[#This Row],[Res Structures Raw]]/L$2)*100</f>
        <v>3.1873751611395225E-2</v>
      </c>
      <c r="N1264" s="180">
        <f>FME_Ranking1[[#This Row],[Res Structures Score (Normalized, Unweighted)]]*$L$3</f>
        <v>3.1873751611395228E-3</v>
      </c>
      <c r="O1264" s="244">
        <f>_xlfn.XLOOKUP(FME_Ranking1[[#This Row],[FME ID]],FME_Input[FME_ID],FME_Input[POP100])</f>
        <v>361</v>
      </c>
      <c r="P1264" s="178">
        <f>(FME_Ranking1[[#This Row],[Pop Raw]]/$O$2)*100</f>
        <v>3.6957487627943549E-2</v>
      </c>
      <c r="Q1264" s="178">
        <f>FME_Ranking1[[#This Row],[Pop Score (Normalized, Unweighted)]]*$O$3</f>
        <v>5.5436231441915321E-3</v>
      </c>
      <c r="R1264" s="137">
        <f>_xlfn.XLOOKUP(FME_Ranking1[[#This Row],[FME ID]],FME_Input[FME_ID],FME_Input[CRITFAC100])</f>
        <v>0</v>
      </c>
      <c r="S1264" s="230">
        <f>(FME_Ranking1[[#This Row],[Critical Facilities Raw]]/$R$2)*100</f>
        <v>0</v>
      </c>
      <c r="T1264" s="180">
        <f>FME_Ranking1[[#This Row],[Critical Facilities Score (Normalized, Unweighted)]]*$R$3</f>
        <v>0</v>
      </c>
      <c r="U1264">
        <f>_xlfn.XLOOKUP(FME_Ranking1[[#This Row],[FME ID]],FME_Input[FME_ID],FME_Input[LWC])</f>
        <v>2</v>
      </c>
      <c r="V1264" s="178">
        <f>(FME_Ranking1[[#This Row],[LWC Raw]]/$U$2)*100</f>
        <v>0.11514104778353484</v>
      </c>
      <c r="W1264" s="178">
        <f>FME_Ranking1[[#This Row],[LWC Score (Normalized, Unweighted)]]*$U$3</f>
        <v>2.302820955670697E-2</v>
      </c>
      <c r="X1264" s="246">
        <f>_xlfn.XLOOKUP(FME_Ranking1[[#This Row],[FME ID]],FME_Input[FME_ID],FME_Input[ROADCLS])</f>
        <v>13</v>
      </c>
      <c r="Y1264" s="230">
        <f>(FME_Ranking1[[#This Row],[Closures Raw]]/$X$2)*100</f>
        <v>0.13668383976448323</v>
      </c>
      <c r="Z1264" s="180">
        <f>FME_Ranking1[[#This Row],[Closures Score (Normalized, Unweighted)]]*$X$3</f>
        <v>6.8341919882241621E-3</v>
      </c>
      <c r="AA1264" s="253">
        <f>_xlfn.XLOOKUP(FME_Ranking1[[#This Row],[FME ID]],FME_Input[FME_ID],FME_Input[ROAD_MILES100])</f>
        <v>1.1000000238418579</v>
      </c>
      <c r="AB1264" s="178">
        <f>(FME_Ranking1[[#This Row],[Miles Raw]]/$AA$2)*100</f>
        <v>1.4463027370855789E-2</v>
      </c>
      <c r="AC1264" s="178">
        <f>FME_Ranking1[[#This Row],[Miles Score (Normalized, Unweighted)]]*$AA$3</f>
        <v>1.446302737085579E-3</v>
      </c>
      <c r="AD1264" s="255">
        <f>_xlfn.XLOOKUP(FME_Ranking1[[#This Row],[FME ID]],FME_Input[FME_ID],FME_Input[FARMACRE100])</f>
        <v>0</v>
      </c>
      <c r="AE1264" s="230">
        <f>(FME_Ranking1[[#This Row],[Ag Land Raw]]/$AD$2)*100</f>
        <v>0</v>
      </c>
      <c r="AF1264" s="231">
        <f>FME_Ranking1[[#This Row],[Ag Land Score (Normalized, Unweighted)]]*$AD$3</f>
        <v>0</v>
      </c>
      <c r="AG126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4.5341077731930725E-2</v>
      </c>
      <c r="AH1264" s="406">
        <f t="shared" si="19"/>
        <v>1339</v>
      </c>
      <c r="AI126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4.5341077731930725E-2</v>
      </c>
      <c r="AJ1264" s="257">
        <f>FME_Ranking1[[#This Row],[Addition check]]-FME_Ranking1[[#This Row],[Weighted Score Based on Normalized Reported Factors]]</f>
        <v>0</v>
      </c>
      <c r="AK1264" s="178">
        <f>_xlfn.RANK.EQ(AI1264,$AI$6:$AI$2341,0)+COUNTIF($AI$6:AI1264,AI1264)-1</f>
        <v>1339</v>
      </c>
    </row>
    <row r="1265" spans="1:37" x14ac:dyDescent="0.25">
      <c r="A1265" t="s">
        <v>9515</v>
      </c>
      <c r="B1265">
        <f>_xlfn.XLOOKUP(FME_Ranking1[[#This Row],[FME ID]],FME_Input[FME_ID],FME_Input[RFPG_NUM])</f>
        <v>12</v>
      </c>
      <c r="C1265" t="str">
        <f>_xlfn.XLOOKUP(FME_Ranking1[[#This Row],[FME ID]],FME_Input[FME_ID],FME_Input[FME_NAME])</f>
        <v>Damage Center 3- Zarzamora Creek</v>
      </c>
      <c r="D1265" t="str">
        <f>_xlfn.XLOOKUP(FME_Ranking1[[#This Row],[FME ID]],FME_Input[FME_ID],FME_Input[DESCR])</f>
        <v>The proposed earthen channel would begin upstream of the pedestrian bridge and end approximately 780 feet downstream of Ingram Road</v>
      </c>
      <c r="E1265" s="256">
        <f>_xlfn.XLOOKUP(FME_Ranking1[[#This Row],[FME ID]],FME_Input[FME_ID],FME_Input[FME_COST])</f>
        <v>44414312</v>
      </c>
      <c r="F1265" t="str">
        <f>_xlfn.XLOOKUP(FME_Ranking1[[#This Row],[FME ID]],FME_Input[FME_ID],FME_Input[EMER_NEED])</f>
        <v>Yes</v>
      </c>
      <c r="G1265">
        <f>IF(FME_Ranking!F1265="Yes",100,0)</f>
        <v>100</v>
      </c>
      <c r="H1265">
        <f>FME_Ranking1[[#This Row],[Emergency Need Score (Normalized, Unweighted)]]*$F$3</f>
        <v>0</v>
      </c>
      <c r="I1265" s="246">
        <f>_xlfn.XLOOKUP(FME_Ranking1[[#This Row],[FME ID]],FME_Input[FME_ID],FME_Input[STRUCT_100])</f>
        <v>62</v>
      </c>
      <c r="J1265" s="178">
        <f>(FME_Ranking1[[#This Row],[Structures 100 Raw]]/I$2)*100</f>
        <v>3.3200531208499334E-2</v>
      </c>
      <c r="K1265" s="178">
        <f>FME_Ranking1[[#This Row],[Structures 100  Score (Normalized, Unweighted)]]*$I$3</f>
        <v>4.9800796812749003E-3</v>
      </c>
      <c r="L1265" s="246">
        <f>_xlfn.XLOOKUP(FME_Ranking1[[#This Row],[FME ID]],FME_Input[FME_ID],FME_Input[RES_STRUCT100])</f>
        <v>60</v>
      </c>
      <c r="M1265" s="230">
        <f>(FME_Ranking1[[#This Row],[Res Structures Raw]]/L$2)*100</f>
        <v>4.2498335481860293E-2</v>
      </c>
      <c r="N1265" s="180">
        <f>FME_Ranking1[[#This Row],[Res Structures Score (Normalized, Unweighted)]]*$L$3</f>
        <v>4.2498335481860293E-3</v>
      </c>
      <c r="O1265" s="244">
        <f>_xlfn.XLOOKUP(FME_Ranking1[[#This Row],[FME ID]],FME_Input[FME_ID],FME_Input[POP100])</f>
        <v>223</v>
      </c>
      <c r="P1265" s="178">
        <f>(FME_Ranking1[[#This Row],[Pop Raw]]/$O$2)*100</f>
        <v>2.2829694573494215E-2</v>
      </c>
      <c r="Q1265" s="178">
        <f>FME_Ranking1[[#This Row],[Pop Score (Normalized, Unweighted)]]*$O$3</f>
        <v>3.4244541860241322E-3</v>
      </c>
      <c r="R1265" s="137">
        <f>_xlfn.XLOOKUP(FME_Ranking1[[#This Row],[FME ID]],FME_Input[FME_ID],FME_Input[CRITFAC100])</f>
        <v>1</v>
      </c>
      <c r="S1265" s="230">
        <f>(FME_Ranking1[[#This Row],[Critical Facilities Raw]]/$R$2)*100</f>
        <v>4.2881646655231559E-2</v>
      </c>
      <c r="T1265" s="180">
        <f>FME_Ranking1[[#This Row],[Critical Facilities Score (Normalized, Unweighted)]]*$R$3</f>
        <v>8.5763293310463125E-3</v>
      </c>
      <c r="U1265">
        <f>_xlfn.XLOOKUP(FME_Ranking1[[#This Row],[FME ID]],FME_Input[FME_ID],FME_Input[LWC])</f>
        <v>1</v>
      </c>
      <c r="V1265" s="178">
        <f>(FME_Ranking1[[#This Row],[LWC Raw]]/$U$2)*100</f>
        <v>5.7570523891767422E-2</v>
      </c>
      <c r="W1265" s="178">
        <f>FME_Ranking1[[#This Row],[LWC Score (Normalized, Unweighted)]]*$U$3</f>
        <v>1.1514104778353485E-2</v>
      </c>
      <c r="X1265" s="246">
        <f>_xlfn.XLOOKUP(FME_Ranking1[[#This Row],[FME ID]],FME_Input[FME_ID],FME_Input[ROADCLS])</f>
        <v>21</v>
      </c>
      <c r="Y1265" s="230">
        <f>(FME_Ranking1[[#This Row],[Closures Raw]]/$X$2)*100</f>
        <v>0.22079697192724212</v>
      </c>
      <c r="Z1265" s="180">
        <f>FME_Ranking1[[#This Row],[Closures Score (Normalized, Unweighted)]]*$X$3</f>
        <v>1.1039848596362107E-2</v>
      </c>
      <c r="AA1265" s="253">
        <f>_xlfn.XLOOKUP(FME_Ranking1[[#This Row],[FME ID]],FME_Input[FME_ID],FME_Input[ROAD_MILES100])</f>
        <v>1.8999999761581421</v>
      </c>
      <c r="AB1265" s="178">
        <f>(FME_Ranking1[[#This Row],[Miles Raw]]/$AA$2)*100</f>
        <v>2.4981591876539082E-2</v>
      </c>
      <c r="AC1265" s="178">
        <f>FME_Ranking1[[#This Row],[Miles Score (Normalized, Unweighted)]]*$AA$3</f>
        <v>2.4981591876539083E-3</v>
      </c>
      <c r="AD1265" s="255">
        <f>_xlfn.XLOOKUP(FME_Ranking1[[#This Row],[FME ID]],FME_Input[FME_ID],FME_Input[FARMACRE100])</f>
        <v>6.7382998764514923E-2</v>
      </c>
      <c r="AE1265" s="230">
        <f>(FME_Ranking1[[#This Row],[Ag Land Raw]]/$AD$2)*100</f>
        <v>2.7785732288060203E-6</v>
      </c>
      <c r="AF1265" s="231">
        <f>FME_Ranking1[[#This Row],[Ag Land Score (Normalized, Unweighted)]]*$AD$3</f>
        <v>1.3892866144030101E-7</v>
      </c>
      <c r="AG126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4.6282948237562314E-2</v>
      </c>
      <c r="AH1265" s="406">
        <f t="shared" si="19"/>
        <v>1329</v>
      </c>
      <c r="AI126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4.6282948237562314E-2</v>
      </c>
      <c r="AJ1265" s="257">
        <f>FME_Ranking1[[#This Row],[Addition check]]-FME_Ranking1[[#This Row],[Weighted Score Based on Normalized Reported Factors]]</f>
        <v>0</v>
      </c>
      <c r="AK1265" s="178">
        <f>_xlfn.RANK.EQ(AI1265,$AI$6:$AI$2341,0)+COUNTIF($AI$6:AI1265,AI1265)-1</f>
        <v>1329</v>
      </c>
    </row>
    <row r="1266" spans="1:37" x14ac:dyDescent="0.25">
      <c r="A1266" t="s">
        <v>5793</v>
      </c>
      <c r="B1266">
        <f>_xlfn.XLOOKUP(FME_Ranking1[[#This Row],[FME ID]],FME_Input[FME_ID],FME_Input[RFPG_NUM])</f>
        <v>5</v>
      </c>
      <c r="C1266" t="str">
        <f>_xlfn.XLOOKUP(FME_Ranking1[[#This Row],[FME ID]],FME_Input[FME_ID],FME_Input[FME_NAME])</f>
        <v>Henderson County Update Flood Hazard Mapping</v>
      </c>
      <c r="D1266" t="str">
        <f>_xlfn.XLOOKUP(FME_Ranking1[[#This Row],[FME ID]],FME_Input[FME_ID],FME_Input[DESCR])</f>
        <v>Complete a detailed study within the county extent to delineate an updated flood hazard area, which can be used for regulatory purposes.</v>
      </c>
      <c r="E1266" s="256">
        <f>_xlfn.XLOOKUP(FME_Ranking1[[#This Row],[FME ID]],FME_Input[FME_ID],FME_Input[FME_COST])</f>
        <v>1681614</v>
      </c>
      <c r="F1266" t="str">
        <f>_xlfn.XLOOKUP(FME_Ranking1[[#This Row],[FME ID]],FME_Input[FME_ID],FME_Input[EMER_NEED])</f>
        <v>Yes</v>
      </c>
      <c r="G1266">
        <f>IF(FME_Ranking!F1266="Yes",100,0)</f>
        <v>100</v>
      </c>
      <c r="H1266">
        <f>FME_Ranking1[[#This Row],[Emergency Need Score (Normalized, Unweighted)]]*$F$3</f>
        <v>0</v>
      </c>
      <c r="I1266" s="246">
        <f>_xlfn.XLOOKUP(FME_Ranking1[[#This Row],[FME ID]],FME_Input[FME_ID],FME_Input[STRUCT_100])</f>
        <v>240</v>
      </c>
      <c r="J1266" s="178">
        <f>(FME_Ranking1[[#This Row],[Structures 100 Raw]]/I$2)*100</f>
        <v>0.12851818532322323</v>
      </c>
      <c r="K1266" s="178">
        <f>FME_Ranking1[[#This Row],[Structures 100  Score (Normalized, Unweighted)]]*$I$3</f>
        <v>1.9277727798483486E-2</v>
      </c>
      <c r="L1266" s="246">
        <f>_xlfn.XLOOKUP(FME_Ranking1[[#This Row],[FME ID]],FME_Input[FME_ID],FME_Input[RES_STRUCT100])</f>
        <v>108</v>
      </c>
      <c r="M1266" s="230">
        <f>(FME_Ranking1[[#This Row],[Res Structures Raw]]/L$2)*100</f>
        <v>7.6497003867348534E-2</v>
      </c>
      <c r="N1266" s="180">
        <f>FME_Ranking1[[#This Row],[Res Structures Score (Normalized, Unweighted)]]*$L$3</f>
        <v>7.6497003867348539E-3</v>
      </c>
      <c r="O1266" s="244">
        <f>_xlfn.XLOOKUP(FME_Ranking1[[#This Row],[FME ID]],FME_Input[FME_ID],FME_Input[POP100])</f>
        <v>267</v>
      </c>
      <c r="P1266" s="178">
        <f>(FME_Ranking1[[#This Row],[Pop Raw]]/$O$2)*100</f>
        <v>2.7334208300999793E-2</v>
      </c>
      <c r="Q1266" s="178">
        <f>FME_Ranking1[[#This Row],[Pop Score (Normalized, Unweighted)]]*$O$3</f>
        <v>4.1001312451499688E-3</v>
      </c>
      <c r="R1266" s="137">
        <f>_xlfn.XLOOKUP(FME_Ranking1[[#This Row],[FME ID]],FME_Input[FME_ID],FME_Input[CRITFAC100])</f>
        <v>0</v>
      </c>
      <c r="S1266" s="230">
        <f>(FME_Ranking1[[#This Row],[Critical Facilities Raw]]/$R$2)*100</f>
        <v>0</v>
      </c>
      <c r="T1266" s="180">
        <f>FME_Ranking1[[#This Row],[Critical Facilities Score (Normalized, Unweighted)]]*$R$3</f>
        <v>0</v>
      </c>
      <c r="U1266">
        <f>_xlfn.XLOOKUP(FME_Ranking1[[#This Row],[FME ID]],FME_Input[FME_ID],FME_Input[LWC])</f>
        <v>1</v>
      </c>
      <c r="V1266" s="178">
        <f>(FME_Ranking1[[#This Row],[LWC Raw]]/$U$2)*100</f>
        <v>5.7570523891767422E-2</v>
      </c>
      <c r="W1266" s="178">
        <f>FME_Ranking1[[#This Row],[LWC Score (Normalized, Unweighted)]]*$U$3</f>
        <v>1.1514104778353485E-2</v>
      </c>
      <c r="X1266" s="246">
        <f>_xlfn.XLOOKUP(FME_Ranking1[[#This Row],[FME ID]],FME_Input[FME_ID],FME_Input[ROADCLS])</f>
        <v>1</v>
      </c>
      <c r="Y1266" s="230">
        <f>(FME_Ranking1[[#This Row],[Closures Raw]]/$X$2)*100</f>
        <v>1.0514141520344864E-2</v>
      </c>
      <c r="Z1266" s="180">
        <f>FME_Ranking1[[#This Row],[Closures Score (Normalized, Unweighted)]]*$X$3</f>
        <v>5.2570707601724321E-4</v>
      </c>
      <c r="AA1266" s="253">
        <f>_xlfn.XLOOKUP(FME_Ranking1[[#This Row],[FME ID]],FME_Input[FME_ID],FME_Input[ROAD_MILES100])</f>
        <v>20.05305099487305</v>
      </c>
      <c r="AB1266" s="178">
        <f>(FME_Ranking1[[#This Row],[Miles Raw]]/$AA$2)*100</f>
        <v>0.26366165374712008</v>
      </c>
      <c r="AC1266" s="178">
        <f>FME_Ranking1[[#This Row],[Miles Score (Normalized, Unweighted)]]*$AA$3</f>
        <v>2.6366165374712008E-2</v>
      </c>
      <c r="AD1266" s="255">
        <f>_xlfn.XLOOKUP(FME_Ranking1[[#This Row],[FME ID]],FME_Input[FME_ID],FME_Input[FARMACRE100])</f>
        <v>347.5087890625</v>
      </c>
      <c r="AE1266" s="230">
        <f>(FME_Ranking1[[#This Row],[Ag Land Raw]]/$AD$2)*100</f>
        <v>1.4329706836561148E-2</v>
      </c>
      <c r="AF1266" s="231">
        <f>FME_Ranking1[[#This Row],[Ag Land Score (Normalized, Unweighted)]]*$AD$3</f>
        <v>7.1648534182805739E-4</v>
      </c>
      <c r="AG126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7.0150022001279094E-2</v>
      </c>
      <c r="AH1266" s="406">
        <f t="shared" si="19"/>
        <v>1189</v>
      </c>
      <c r="AI126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7.0150022001279094E-2</v>
      </c>
      <c r="AJ1266" s="257">
        <f>FME_Ranking1[[#This Row],[Addition check]]-FME_Ranking1[[#This Row],[Weighted Score Based on Normalized Reported Factors]]</f>
        <v>0</v>
      </c>
      <c r="AK1266" s="178">
        <f>_xlfn.RANK.EQ(AI1266,$AI$6:$AI$2341,0)+COUNTIF($AI$6:AI1266,AI1266)-1</f>
        <v>1189</v>
      </c>
    </row>
    <row r="1267" spans="1:37" x14ac:dyDescent="0.25">
      <c r="A1267" t="s">
        <v>6150</v>
      </c>
      <c r="B1267">
        <f>_xlfn.XLOOKUP(FME_Ranking1[[#This Row],[FME ID]],FME_Input[FME_ID],FME_Input[RFPG_NUM])</f>
        <v>5</v>
      </c>
      <c r="C1267" t="str">
        <f>_xlfn.XLOOKUP(FME_Ranking1[[#This Row],[FME ID]],FME_Input[FME_ID],FME_Input[FME_NAME])</f>
        <v>Henderson County Master Drainage Plan</v>
      </c>
      <c r="D1267"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1267" s="256">
        <f>_xlfn.XLOOKUP(FME_Ranking1[[#This Row],[FME ID]],FME_Input[FME_ID],FME_Input[FME_COST])</f>
        <v>1900000</v>
      </c>
      <c r="F1267" t="str">
        <f>_xlfn.XLOOKUP(FME_Ranking1[[#This Row],[FME ID]],FME_Input[FME_ID],FME_Input[EMER_NEED])</f>
        <v>Yes</v>
      </c>
      <c r="G1267">
        <f>IF(FME_Ranking!F1267="Yes",100,0)</f>
        <v>100</v>
      </c>
      <c r="H1267">
        <f>FME_Ranking1[[#This Row],[Emergency Need Score (Normalized, Unweighted)]]*$F$3</f>
        <v>0</v>
      </c>
      <c r="I1267" s="246">
        <f>_xlfn.XLOOKUP(FME_Ranking1[[#This Row],[FME ID]],FME_Input[FME_ID],FME_Input[STRUCT_100])</f>
        <v>240</v>
      </c>
      <c r="J1267" s="178">
        <f>(FME_Ranking1[[#This Row],[Structures 100 Raw]]/I$2)*100</f>
        <v>0.12851818532322323</v>
      </c>
      <c r="K1267" s="178">
        <f>FME_Ranking1[[#This Row],[Structures 100  Score (Normalized, Unweighted)]]*$I$3</f>
        <v>1.9277727798483486E-2</v>
      </c>
      <c r="L1267" s="246">
        <f>_xlfn.XLOOKUP(FME_Ranking1[[#This Row],[FME ID]],FME_Input[FME_ID],FME_Input[RES_STRUCT100])</f>
        <v>108</v>
      </c>
      <c r="M1267" s="230">
        <f>(FME_Ranking1[[#This Row],[Res Structures Raw]]/L$2)*100</f>
        <v>7.6497003867348534E-2</v>
      </c>
      <c r="N1267" s="180">
        <f>FME_Ranking1[[#This Row],[Res Structures Score (Normalized, Unweighted)]]*$L$3</f>
        <v>7.6497003867348539E-3</v>
      </c>
      <c r="O1267" s="244">
        <f>_xlfn.XLOOKUP(FME_Ranking1[[#This Row],[FME ID]],FME_Input[FME_ID],FME_Input[POP100])</f>
        <v>267</v>
      </c>
      <c r="P1267" s="178">
        <f>(FME_Ranking1[[#This Row],[Pop Raw]]/$O$2)*100</f>
        <v>2.7334208300999793E-2</v>
      </c>
      <c r="Q1267" s="178">
        <f>FME_Ranking1[[#This Row],[Pop Score (Normalized, Unweighted)]]*$O$3</f>
        <v>4.1001312451499688E-3</v>
      </c>
      <c r="R1267" s="137">
        <f>_xlfn.XLOOKUP(FME_Ranking1[[#This Row],[FME ID]],FME_Input[FME_ID],FME_Input[CRITFAC100])</f>
        <v>0</v>
      </c>
      <c r="S1267" s="230">
        <f>(FME_Ranking1[[#This Row],[Critical Facilities Raw]]/$R$2)*100</f>
        <v>0</v>
      </c>
      <c r="T1267" s="180">
        <f>FME_Ranking1[[#This Row],[Critical Facilities Score (Normalized, Unweighted)]]*$R$3</f>
        <v>0</v>
      </c>
      <c r="U1267">
        <f>_xlfn.XLOOKUP(FME_Ranking1[[#This Row],[FME ID]],FME_Input[FME_ID],FME_Input[LWC])</f>
        <v>1</v>
      </c>
      <c r="V1267" s="178">
        <f>(FME_Ranking1[[#This Row],[LWC Raw]]/$U$2)*100</f>
        <v>5.7570523891767422E-2</v>
      </c>
      <c r="W1267" s="178">
        <f>FME_Ranking1[[#This Row],[LWC Score (Normalized, Unweighted)]]*$U$3</f>
        <v>1.1514104778353485E-2</v>
      </c>
      <c r="X1267" s="246">
        <f>_xlfn.XLOOKUP(FME_Ranking1[[#This Row],[FME ID]],FME_Input[FME_ID],FME_Input[ROADCLS])</f>
        <v>1</v>
      </c>
      <c r="Y1267" s="230">
        <f>(FME_Ranking1[[#This Row],[Closures Raw]]/$X$2)*100</f>
        <v>1.0514141520344864E-2</v>
      </c>
      <c r="Z1267" s="180">
        <f>FME_Ranking1[[#This Row],[Closures Score (Normalized, Unweighted)]]*$X$3</f>
        <v>5.2570707601724321E-4</v>
      </c>
      <c r="AA1267" s="253">
        <f>_xlfn.XLOOKUP(FME_Ranking1[[#This Row],[FME ID]],FME_Input[FME_ID],FME_Input[ROAD_MILES100])</f>
        <v>20.05305099487305</v>
      </c>
      <c r="AB1267" s="178">
        <f>(FME_Ranking1[[#This Row],[Miles Raw]]/$AA$2)*100</f>
        <v>0.26366165374712008</v>
      </c>
      <c r="AC1267" s="178">
        <f>FME_Ranking1[[#This Row],[Miles Score (Normalized, Unweighted)]]*$AA$3</f>
        <v>2.6366165374712008E-2</v>
      </c>
      <c r="AD1267" s="255">
        <f>_xlfn.XLOOKUP(FME_Ranking1[[#This Row],[FME ID]],FME_Input[FME_ID],FME_Input[FARMACRE100])</f>
        <v>347.5087890625</v>
      </c>
      <c r="AE1267" s="230">
        <f>(FME_Ranking1[[#This Row],[Ag Land Raw]]/$AD$2)*100</f>
        <v>1.4329706836561148E-2</v>
      </c>
      <c r="AF1267" s="231">
        <f>FME_Ranking1[[#This Row],[Ag Land Score (Normalized, Unweighted)]]*$AD$3</f>
        <v>7.1648534182805739E-4</v>
      </c>
      <c r="AG126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7.0150022001279094E-2</v>
      </c>
      <c r="AH1267" s="406">
        <f t="shared" si="19"/>
        <v>1189</v>
      </c>
      <c r="AI126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7.0150022001279094E-2</v>
      </c>
      <c r="AJ1267" s="257">
        <f>FME_Ranking1[[#This Row],[Addition check]]-FME_Ranking1[[#This Row],[Weighted Score Based on Normalized Reported Factors]]</f>
        <v>0</v>
      </c>
      <c r="AK1267" s="178">
        <f>_xlfn.RANK.EQ(AI1267,$AI$6:$AI$2341,0)+COUNTIF($AI$6:AI1267,AI1267)-1</f>
        <v>1190</v>
      </c>
    </row>
    <row r="1268" spans="1:37" x14ac:dyDescent="0.25">
      <c r="A1268" t="s">
        <v>7562</v>
      </c>
      <c r="B1268">
        <f>_xlfn.XLOOKUP(FME_Ranking1[[#This Row],[FME ID]],FME_Input[FME_ID],FME_Input[RFPG_NUM])</f>
        <v>8</v>
      </c>
      <c r="C1268" t="str">
        <f>_xlfn.XLOOKUP(FME_Ranking1[[#This Row],[FME ID]],FME_Input[FME_ID],FME_Input[FME_NAME])</f>
        <v>A21</v>
      </c>
      <c r="D1268" t="str">
        <f>_xlfn.XLOOKUP(FME_Ranking1[[#This Row],[FME ID]],FME_Input[FME_ID],FME_Input[DESCR])</f>
        <v>Addition of in-line detention along Cottonwood Creek.</v>
      </c>
      <c r="E1268" s="256">
        <f>_xlfn.XLOOKUP(FME_Ranking1[[#This Row],[FME ID]],FME_Input[FME_ID],FME_Input[FME_COST])</f>
        <v>250000</v>
      </c>
      <c r="F1268" t="str">
        <f>_xlfn.XLOOKUP(FME_Ranking1[[#This Row],[FME ID]],FME_Input[FME_ID],FME_Input[EMER_NEED])</f>
        <v>No</v>
      </c>
      <c r="G1268">
        <f>IF(FME_Ranking!F1268="Yes",100,0)</f>
        <v>0</v>
      </c>
      <c r="H1268">
        <f>FME_Ranking1[[#This Row],[Emergency Need Score (Normalized, Unweighted)]]*$F$3</f>
        <v>0</v>
      </c>
      <c r="I1268" s="246">
        <f>_xlfn.XLOOKUP(FME_Ranking1[[#This Row],[FME ID]],FME_Input[FME_ID],FME_Input[STRUCT_100])</f>
        <v>68</v>
      </c>
      <c r="J1268" s="178">
        <f>(FME_Ranking1[[#This Row],[Structures 100 Raw]]/I$2)*100</f>
        <v>3.6413485841579919E-2</v>
      </c>
      <c r="K1268" s="178">
        <f>FME_Ranking1[[#This Row],[Structures 100  Score (Normalized, Unweighted)]]*$I$3</f>
        <v>5.4620228762369879E-3</v>
      </c>
      <c r="L1268" s="246">
        <f>_xlfn.XLOOKUP(FME_Ranking1[[#This Row],[FME ID]],FME_Input[FME_ID],FME_Input[RES_STRUCT100])</f>
        <v>43</v>
      </c>
      <c r="M1268" s="230">
        <f>(FME_Ranking1[[#This Row],[Res Structures Raw]]/L$2)*100</f>
        <v>3.0457140428666547E-2</v>
      </c>
      <c r="N1268" s="180">
        <f>FME_Ranking1[[#This Row],[Res Structures Score (Normalized, Unweighted)]]*$L$3</f>
        <v>3.0457140428666548E-3</v>
      </c>
      <c r="O1268" s="244">
        <f>_xlfn.XLOOKUP(FME_Ranking1[[#This Row],[FME ID]],FME_Input[FME_ID],FME_Input[POP100])</f>
        <v>148</v>
      </c>
      <c r="P1268" s="178">
        <f>(FME_Ranking1[[#This Row],[Pop Raw]]/$O$2)*100</f>
        <v>1.5151546174336965E-2</v>
      </c>
      <c r="Q1268" s="178">
        <f>FME_Ranking1[[#This Row],[Pop Score (Normalized, Unweighted)]]*$O$3</f>
        <v>2.2727319261505448E-3</v>
      </c>
      <c r="R1268" s="137">
        <f>_xlfn.XLOOKUP(FME_Ranking1[[#This Row],[FME ID]],FME_Input[FME_ID],FME_Input[CRITFAC100])</f>
        <v>0</v>
      </c>
      <c r="S1268" s="230">
        <f>(FME_Ranking1[[#This Row],[Critical Facilities Raw]]/$R$2)*100</f>
        <v>0</v>
      </c>
      <c r="T1268" s="180">
        <f>FME_Ranking1[[#This Row],[Critical Facilities Score (Normalized, Unweighted)]]*$R$3</f>
        <v>0</v>
      </c>
      <c r="U1268">
        <f>_xlfn.XLOOKUP(FME_Ranking1[[#This Row],[FME ID]],FME_Input[FME_ID],FME_Input[LWC])</f>
        <v>2</v>
      </c>
      <c r="V1268" s="178">
        <f>(FME_Ranking1[[#This Row],[LWC Raw]]/$U$2)*100</f>
        <v>0.11514104778353484</v>
      </c>
      <c r="W1268" s="178">
        <f>FME_Ranking1[[#This Row],[LWC Score (Normalized, Unweighted)]]*$U$3</f>
        <v>2.302820955670697E-2</v>
      </c>
      <c r="X1268" s="246">
        <f>_xlfn.XLOOKUP(FME_Ranking1[[#This Row],[FME ID]],FME_Input[FME_ID],FME_Input[ROADCLS])</f>
        <v>17</v>
      </c>
      <c r="Y1268" s="230">
        <f>(FME_Ranking1[[#This Row],[Closures Raw]]/$X$2)*100</f>
        <v>0.17874040584586268</v>
      </c>
      <c r="Z1268" s="180">
        <f>FME_Ranking1[[#This Row],[Closures Score (Normalized, Unweighted)]]*$X$3</f>
        <v>8.9370202922931345E-3</v>
      </c>
      <c r="AA1268" s="253">
        <f>_xlfn.XLOOKUP(FME_Ranking1[[#This Row],[FME ID]],FME_Input[FME_ID],FME_Input[ROAD_MILES100])</f>
        <v>1.441120028495789</v>
      </c>
      <c r="AB1268" s="178">
        <f>(FME_Ranking1[[#This Row],[Miles Raw]]/$AA$2)*100</f>
        <v>1.8948143604603746E-2</v>
      </c>
      <c r="AC1268" s="178">
        <f>FME_Ranking1[[#This Row],[Miles Score (Normalized, Unweighted)]]*$AA$3</f>
        <v>1.8948143604603747E-3</v>
      </c>
      <c r="AD1268" s="255">
        <f>_xlfn.XLOOKUP(FME_Ranking1[[#This Row],[FME ID]],FME_Input[FME_ID],FME_Input[FARMACRE100])</f>
        <v>465.84600830078119</v>
      </c>
      <c r="AE1268" s="230">
        <f>(FME_Ranking1[[#This Row],[Ag Land Raw]]/$AD$2)*100</f>
        <v>1.9209404020949346E-2</v>
      </c>
      <c r="AF1268" s="231">
        <f>FME_Ranking1[[#This Row],[Ag Land Score (Normalized, Unweighted)]]*$AD$3</f>
        <v>9.6047020104746735E-4</v>
      </c>
      <c r="AG126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4.5600983255762131E-2</v>
      </c>
      <c r="AH1268" s="406">
        <f t="shared" si="19"/>
        <v>1335</v>
      </c>
      <c r="AI126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4.5600983255762131E-2</v>
      </c>
      <c r="AJ1268" s="257">
        <f>FME_Ranking1[[#This Row],[Addition check]]-FME_Ranking1[[#This Row],[Weighted Score Based on Normalized Reported Factors]]</f>
        <v>0</v>
      </c>
      <c r="AK1268" s="178">
        <f>_xlfn.RANK.EQ(AI1268,$AI$6:$AI$2341,0)+COUNTIF($AI$6:AI1268,AI1268)-1</f>
        <v>1335</v>
      </c>
    </row>
    <row r="1269" spans="1:37" x14ac:dyDescent="0.25">
      <c r="A1269" t="s">
        <v>9445</v>
      </c>
      <c r="B1269">
        <f>_xlfn.XLOOKUP(FME_Ranking1[[#This Row],[FME ID]],FME_Input[FME_ID],FME_Input[RFPG_NUM])</f>
        <v>12</v>
      </c>
      <c r="C1269" t="str">
        <f>_xlfn.XLOOKUP(FME_Ranking1[[#This Row],[FME ID]],FME_Input[FME_ID],FME_Input[FME_NAME])</f>
        <v>Damage Center 3-Lorence Creek</v>
      </c>
      <c r="D1269" t="str">
        <f>_xlfn.XLOOKUP(FME_Ranking1[[#This Row],[FME ID]],FME_Input[FME_ID],FME_Input[DESCR])</f>
        <v>Approximately 10,000 feet of channel improvement. The proposed drainage improvements reduces the occurrence of structural flooding in _x000D_
several areas along the banks of the creek.</v>
      </c>
      <c r="E1269" s="256">
        <f>_xlfn.XLOOKUP(FME_Ranking1[[#This Row],[FME ID]],FME_Input[FME_ID],FME_Input[FME_COST])</f>
        <v>9093003</v>
      </c>
      <c r="F1269" t="str">
        <f>_xlfn.XLOOKUP(FME_Ranking1[[#This Row],[FME ID]],FME_Input[FME_ID],FME_Input[EMER_NEED])</f>
        <v>Yes</v>
      </c>
      <c r="G1269">
        <f>IF(FME_Ranking!F1269="Yes",100,0)</f>
        <v>100</v>
      </c>
      <c r="H1269">
        <f>FME_Ranking1[[#This Row],[Emergency Need Score (Normalized, Unweighted)]]*$F$3</f>
        <v>0</v>
      </c>
      <c r="I1269" s="246">
        <f>_xlfn.XLOOKUP(FME_Ranking1[[#This Row],[FME ID]],FME_Input[FME_ID],FME_Input[STRUCT_100])</f>
        <v>65</v>
      </c>
      <c r="J1269" s="178">
        <f>(FME_Ranking1[[#This Row],[Structures 100 Raw]]/I$2)*100</f>
        <v>3.480700852503963E-2</v>
      </c>
      <c r="K1269" s="178">
        <f>FME_Ranking1[[#This Row],[Structures 100  Score (Normalized, Unweighted)]]*$I$3</f>
        <v>5.2210512787559445E-3</v>
      </c>
      <c r="L1269" s="246">
        <f>_xlfn.XLOOKUP(FME_Ranking1[[#This Row],[FME ID]],FME_Input[FME_ID],FME_Input[RES_STRUCT100])</f>
        <v>59</v>
      </c>
      <c r="M1269" s="230">
        <f>(FME_Ranking1[[#This Row],[Res Structures Raw]]/L$2)*100</f>
        <v>4.1790029890495954E-2</v>
      </c>
      <c r="N1269" s="180">
        <f>FME_Ranking1[[#This Row],[Res Structures Score (Normalized, Unweighted)]]*$L$3</f>
        <v>4.1790029890495959E-3</v>
      </c>
      <c r="O1269" s="244">
        <f>_xlfn.XLOOKUP(FME_Ranking1[[#This Row],[FME ID]],FME_Input[FME_ID],FME_Input[POP100])</f>
        <v>181</v>
      </c>
      <c r="P1269" s="178">
        <f>(FME_Ranking1[[#This Row],[Pop Raw]]/$O$2)*100</f>
        <v>1.8529931469966156E-2</v>
      </c>
      <c r="Q1269" s="178">
        <f>FME_Ranking1[[#This Row],[Pop Score (Normalized, Unweighted)]]*$O$3</f>
        <v>2.7794897204949233E-3</v>
      </c>
      <c r="R1269" s="137">
        <f>_xlfn.XLOOKUP(FME_Ranking1[[#This Row],[FME ID]],FME_Input[FME_ID],FME_Input[CRITFAC100])</f>
        <v>0</v>
      </c>
      <c r="S1269" s="230">
        <f>(FME_Ranking1[[#This Row],[Critical Facilities Raw]]/$R$2)*100</f>
        <v>0</v>
      </c>
      <c r="T1269" s="180">
        <f>FME_Ranking1[[#This Row],[Critical Facilities Score (Normalized, Unweighted)]]*$R$3</f>
        <v>0</v>
      </c>
      <c r="U1269">
        <f>_xlfn.XLOOKUP(FME_Ranking1[[#This Row],[FME ID]],FME_Input[FME_ID],FME_Input[LWC])</f>
        <v>2</v>
      </c>
      <c r="V1269" s="178">
        <f>(FME_Ranking1[[#This Row],[LWC Raw]]/$U$2)*100</f>
        <v>0.11514104778353484</v>
      </c>
      <c r="W1269" s="178">
        <f>FME_Ranking1[[#This Row],[LWC Score (Normalized, Unweighted)]]*$U$3</f>
        <v>2.302820955670697E-2</v>
      </c>
      <c r="X1269" s="246">
        <f>_xlfn.XLOOKUP(FME_Ranking1[[#This Row],[FME ID]],FME_Input[FME_ID],FME_Input[ROADCLS])</f>
        <v>16</v>
      </c>
      <c r="Y1269" s="230">
        <f>(FME_Ranking1[[#This Row],[Closures Raw]]/$X$2)*100</f>
        <v>0.16822626432551782</v>
      </c>
      <c r="Z1269" s="180">
        <f>FME_Ranking1[[#This Row],[Closures Score (Normalized, Unweighted)]]*$X$3</f>
        <v>8.4113132162758914E-3</v>
      </c>
      <c r="AA1269" s="253">
        <f>_xlfn.XLOOKUP(FME_Ranking1[[#This Row],[FME ID]],FME_Input[FME_ID],FME_Input[ROAD_MILES100])</f>
        <v>0.61000001430511475</v>
      </c>
      <c r="AB1269" s="178">
        <f>(FME_Ranking1[[#This Row],[Miles Raw]]/$AA$2)*100</f>
        <v>8.0204061017235574E-3</v>
      </c>
      <c r="AC1269" s="178">
        <f>FME_Ranking1[[#This Row],[Miles Score (Normalized, Unweighted)]]*$AA$3</f>
        <v>8.0204061017235574E-4</v>
      </c>
      <c r="AD1269" s="255">
        <f>_xlfn.XLOOKUP(FME_Ranking1[[#This Row],[FME ID]],FME_Input[FME_ID],FME_Input[FARMACRE100])</f>
        <v>0.22239500284194949</v>
      </c>
      <c r="AE1269" s="230">
        <f>(FME_Ranking1[[#This Row],[Ag Land Raw]]/$AD$2)*100</f>
        <v>9.1705743651512606E-6</v>
      </c>
      <c r="AF1269" s="231">
        <f>FME_Ranking1[[#This Row],[Ag Land Score (Normalized, Unweighted)]]*$AD$3</f>
        <v>4.5852871825756305E-7</v>
      </c>
      <c r="AG126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4.4421565900173939E-2</v>
      </c>
      <c r="AH1269" s="406">
        <f t="shared" si="19"/>
        <v>1345</v>
      </c>
      <c r="AI126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4.4421565900173939E-2</v>
      </c>
      <c r="AJ1269" s="257">
        <f>FME_Ranking1[[#This Row],[Addition check]]-FME_Ranking1[[#This Row],[Weighted Score Based on Normalized Reported Factors]]</f>
        <v>0</v>
      </c>
      <c r="AK1269" s="178">
        <f>_xlfn.RANK.EQ(AI1269,$AI$6:$AI$2341,0)+COUNTIF($AI$6:AI1269,AI1269)-1</f>
        <v>1345</v>
      </c>
    </row>
    <row r="1270" spans="1:37" x14ac:dyDescent="0.25">
      <c r="A1270" t="s">
        <v>2712</v>
      </c>
      <c r="B1270">
        <f>_xlfn.XLOOKUP(FME_Ranking1[[#This Row],[FME ID]],FME_Input[FME_ID],FME_Input[RFPG_NUM])</f>
        <v>1</v>
      </c>
      <c r="C1270" t="str">
        <f>_xlfn.XLOOKUP(FME_Ranking1[[#This Row],[FME ID]],FME_Input[FME_ID],FME_Input[FME_NAME])</f>
        <v>Perryton City Drainage Master Plan</v>
      </c>
      <c r="D1270" t="str">
        <f>_xlfn.XLOOKUP(FME_Ranking1[[#This Row],[FME ID]],FME_Input[FME_ID],FME_Input[DESCR])</f>
        <v xml:space="preserve">Perform H&amp;H modeling, develop conceptual alternatives and OPCC, and rank projects; selected based on HMAPs and survey responses </v>
      </c>
      <c r="E1270" s="256">
        <f>_xlfn.XLOOKUP(FME_Ranking1[[#This Row],[FME ID]],FME_Input[FME_ID],FME_Input[FME_COST])</f>
        <v>250000</v>
      </c>
      <c r="F1270" t="str">
        <f>_xlfn.XLOOKUP(FME_Ranking1[[#This Row],[FME ID]],FME_Input[FME_ID],FME_Input[EMER_NEED])</f>
        <v>No</v>
      </c>
      <c r="G1270">
        <f>IF(FME_Ranking!F1270="Yes",100,0)</f>
        <v>0</v>
      </c>
      <c r="H1270">
        <f>FME_Ranking1[[#This Row],[Emergency Need Score (Normalized, Unweighted)]]*$F$3</f>
        <v>0</v>
      </c>
      <c r="I1270" s="246">
        <f>_xlfn.XLOOKUP(FME_Ranking1[[#This Row],[FME ID]],FME_Input[FME_ID],FME_Input[STRUCT_100])</f>
        <v>304</v>
      </c>
      <c r="J1270" s="178">
        <f>(FME_Ranking1[[#This Row],[Structures 100 Raw]]/I$2)*100</f>
        <v>0.16278970140941609</v>
      </c>
      <c r="K1270" s="178">
        <f>FME_Ranking1[[#This Row],[Structures 100  Score (Normalized, Unweighted)]]*$I$3</f>
        <v>2.4418455211412414E-2</v>
      </c>
      <c r="L1270" s="246">
        <f>_xlfn.XLOOKUP(FME_Ranking1[[#This Row],[FME ID]],FME_Input[FME_ID],FME_Input[RES_STRUCT100])</f>
        <v>145</v>
      </c>
      <c r="M1270" s="230">
        <f>(FME_Ranking1[[#This Row],[Res Structures Raw]]/L$2)*100</f>
        <v>0.10270431074782904</v>
      </c>
      <c r="N1270" s="180">
        <f>FME_Ranking1[[#This Row],[Res Structures Score (Normalized, Unweighted)]]*$L$3</f>
        <v>1.0270431074782906E-2</v>
      </c>
      <c r="O1270" s="244">
        <f>_xlfn.XLOOKUP(FME_Ranking1[[#This Row],[FME ID]],FME_Input[FME_ID],FME_Input[POP100])</f>
        <v>558</v>
      </c>
      <c r="P1270" s="178">
        <f>(FME_Ranking1[[#This Row],[Pop Raw]]/$O$2)*100</f>
        <v>5.7125424089729919E-2</v>
      </c>
      <c r="Q1270" s="178">
        <f>FME_Ranking1[[#This Row],[Pop Score (Normalized, Unweighted)]]*$O$3</f>
        <v>8.5688136134594878E-3</v>
      </c>
      <c r="R1270" s="137">
        <f>_xlfn.XLOOKUP(FME_Ranking1[[#This Row],[FME ID]],FME_Input[FME_ID],FME_Input[CRITFAC100])</f>
        <v>0</v>
      </c>
      <c r="S1270" s="230">
        <f>(FME_Ranking1[[#This Row],[Critical Facilities Raw]]/$R$2)*100</f>
        <v>0</v>
      </c>
      <c r="T1270" s="180">
        <f>FME_Ranking1[[#This Row],[Critical Facilities Score (Normalized, Unweighted)]]*$R$3</f>
        <v>0</v>
      </c>
      <c r="U1270">
        <f>_xlfn.XLOOKUP(FME_Ranking1[[#This Row],[FME ID]],FME_Input[FME_ID],FME_Input[LWC])</f>
        <v>0</v>
      </c>
      <c r="V1270" s="178">
        <f>(FME_Ranking1[[#This Row],[LWC Raw]]/$U$2)*100</f>
        <v>0</v>
      </c>
      <c r="W1270" s="178">
        <f>FME_Ranking1[[#This Row],[LWC Score (Normalized, Unweighted)]]*$U$3</f>
        <v>0</v>
      </c>
      <c r="X1270" s="246">
        <f>_xlfn.XLOOKUP(FME_Ranking1[[#This Row],[FME ID]],FME_Input[FME_ID],FME_Input[ROADCLS])</f>
        <v>0</v>
      </c>
      <c r="Y1270" s="230">
        <f>(FME_Ranking1[[#This Row],[Closures Raw]]/$X$2)*100</f>
        <v>0</v>
      </c>
      <c r="Z1270" s="180">
        <f>FME_Ranking1[[#This Row],[Closures Score (Normalized, Unweighted)]]*$X$3</f>
        <v>0</v>
      </c>
      <c r="AA1270" s="253">
        <f>_xlfn.XLOOKUP(FME_Ranking1[[#This Row],[FME ID]],FME_Input[FME_ID],FME_Input[ROAD_MILES100])</f>
        <v>6.625579833984375</v>
      </c>
      <c r="AB1270" s="178">
        <f>(FME_Ranking1[[#This Row],[Miles Raw]]/$AA$2)*100</f>
        <v>8.7114491281577125E-2</v>
      </c>
      <c r="AC1270" s="178">
        <f>FME_Ranking1[[#This Row],[Miles Score (Normalized, Unweighted)]]*$AA$3</f>
        <v>8.7114491281577132E-3</v>
      </c>
      <c r="AD1270" s="255">
        <f>_xlfn.XLOOKUP(FME_Ranking1[[#This Row],[FME ID]],FME_Input[FME_ID],FME_Input[FARMACRE100])</f>
        <v>18.13187217712402</v>
      </c>
      <c r="AE1270" s="230">
        <f>(FME_Ranking1[[#This Row],[Ag Land Raw]]/$AD$2)*100</f>
        <v>7.4767724119189716E-4</v>
      </c>
      <c r="AF1270" s="231">
        <f>FME_Ranking1[[#This Row],[Ag Land Score (Normalized, Unweighted)]]*$AD$3</f>
        <v>3.7383862059594862E-5</v>
      </c>
      <c r="AG127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5.2006532889872115E-2</v>
      </c>
      <c r="AH1270" s="406">
        <f t="shared" si="19"/>
        <v>1296</v>
      </c>
      <c r="AI127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5.2006532889872115E-2</v>
      </c>
      <c r="AJ1270" s="257">
        <f>FME_Ranking1[[#This Row],[Addition check]]-FME_Ranking1[[#This Row],[Weighted Score Based on Normalized Reported Factors]]</f>
        <v>0</v>
      </c>
      <c r="AK1270" s="178">
        <f>_xlfn.RANK.EQ(AI1270,$AI$6:$AI$2341,0)+COUNTIF($AI$6:AI1270,AI1270)-1</f>
        <v>1296</v>
      </c>
    </row>
    <row r="1271" spans="1:37" x14ac:dyDescent="0.25">
      <c r="A1271" t="s">
        <v>2780</v>
      </c>
      <c r="B1271">
        <f>_xlfn.XLOOKUP(FME_Ranking1[[#This Row],[FME ID]],FME_Input[FME_ID],FME_Input[RFPG_NUM])</f>
        <v>1</v>
      </c>
      <c r="C1271" t="str">
        <f>_xlfn.XLOOKUP(FME_Ranking1[[#This Row],[FME ID]],FME_Input[FME_ID],FME_Input[FME_NAME])</f>
        <v>City of Perryton GIS Development</v>
      </c>
      <c r="D1271" t="str">
        <f>_xlfn.XLOOKUP(FME_Ranking1[[#This Row],[FME ID]],FME_Input[FME_ID],FME_Input[DESCR])</f>
        <v>Develop GIS inventory and condition assessment for flood infrastructure; selected based on survey response</v>
      </c>
      <c r="E1271" s="256">
        <f>_xlfn.XLOOKUP(FME_Ranking1[[#This Row],[FME ID]],FME_Input[FME_ID],FME_Input[FME_COST])</f>
        <v>50000</v>
      </c>
      <c r="F1271" t="str">
        <f>_xlfn.XLOOKUP(FME_Ranking1[[#This Row],[FME ID]],FME_Input[FME_ID],FME_Input[EMER_NEED])</f>
        <v>No</v>
      </c>
      <c r="G1271">
        <f>IF(FME_Ranking!F1271="Yes",100,0)</f>
        <v>0</v>
      </c>
      <c r="H1271">
        <f>FME_Ranking1[[#This Row],[Emergency Need Score (Normalized, Unweighted)]]*$F$3</f>
        <v>0</v>
      </c>
      <c r="I1271" s="246">
        <f>_xlfn.XLOOKUP(FME_Ranking1[[#This Row],[FME ID]],FME_Input[FME_ID],FME_Input[STRUCT_100])</f>
        <v>304</v>
      </c>
      <c r="J1271" s="178">
        <f>(FME_Ranking1[[#This Row],[Structures 100 Raw]]/I$2)*100</f>
        <v>0.16278970140941609</v>
      </c>
      <c r="K1271" s="178">
        <f>FME_Ranking1[[#This Row],[Structures 100  Score (Normalized, Unweighted)]]*$I$3</f>
        <v>2.4418455211412414E-2</v>
      </c>
      <c r="L1271" s="246">
        <f>_xlfn.XLOOKUP(FME_Ranking1[[#This Row],[FME ID]],FME_Input[FME_ID],FME_Input[RES_STRUCT100])</f>
        <v>145</v>
      </c>
      <c r="M1271" s="230">
        <f>(FME_Ranking1[[#This Row],[Res Structures Raw]]/L$2)*100</f>
        <v>0.10270431074782904</v>
      </c>
      <c r="N1271" s="180">
        <f>FME_Ranking1[[#This Row],[Res Structures Score (Normalized, Unweighted)]]*$L$3</f>
        <v>1.0270431074782906E-2</v>
      </c>
      <c r="O1271" s="244">
        <f>_xlfn.XLOOKUP(FME_Ranking1[[#This Row],[FME ID]],FME_Input[FME_ID],FME_Input[POP100])</f>
        <v>558</v>
      </c>
      <c r="P1271" s="178">
        <f>(FME_Ranking1[[#This Row],[Pop Raw]]/$O$2)*100</f>
        <v>5.7125424089729919E-2</v>
      </c>
      <c r="Q1271" s="178">
        <f>FME_Ranking1[[#This Row],[Pop Score (Normalized, Unweighted)]]*$O$3</f>
        <v>8.5688136134594878E-3</v>
      </c>
      <c r="R1271" s="137">
        <f>_xlfn.XLOOKUP(FME_Ranking1[[#This Row],[FME ID]],FME_Input[FME_ID],FME_Input[CRITFAC100])</f>
        <v>0</v>
      </c>
      <c r="S1271" s="230">
        <f>(FME_Ranking1[[#This Row],[Critical Facilities Raw]]/$R$2)*100</f>
        <v>0</v>
      </c>
      <c r="T1271" s="180">
        <f>FME_Ranking1[[#This Row],[Critical Facilities Score (Normalized, Unweighted)]]*$R$3</f>
        <v>0</v>
      </c>
      <c r="U1271">
        <f>_xlfn.XLOOKUP(FME_Ranking1[[#This Row],[FME ID]],FME_Input[FME_ID],FME_Input[LWC])</f>
        <v>0</v>
      </c>
      <c r="V1271" s="178">
        <f>(FME_Ranking1[[#This Row],[LWC Raw]]/$U$2)*100</f>
        <v>0</v>
      </c>
      <c r="W1271" s="178">
        <f>FME_Ranking1[[#This Row],[LWC Score (Normalized, Unweighted)]]*$U$3</f>
        <v>0</v>
      </c>
      <c r="X1271" s="246">
        <f>_xlfn.XLOOKUP(FME_Ranking1[[#This Row],[FME ID]],FME_Input[FME_ID],FME_Input[ROADCLS])</f>
        <v>0</v>
      </c>
      <c r="Y1271" s="230">
        <f>(FME_Ranking1[[#This Row],[Closures Raw]]/$X$2)*100</f>
        <v>0</v>
      </c>
      <c r="Z1271" s="180">
        <f>FME_Ranking1[[#This Row],[Closures Score (Normalized, Unweighted)]]*$X$3</f>
        <v>0</v>
      </c>
      <c r="AA1271" s="253">
        <f>_xlfn.XLOOKUP(FME_Ranking1[[#This Row],[FME ID]],FME_Input[FME_ID],FME_Input[ROAD_MILES100])</f>
        <v>6.625579833984375</v>
      </c>
      <c r="AB1271" s="178">
        <f>(FME_Ranking1[[#This Row],[Miles Raw]]/$AA$2)*100</f>
        <v>8.7114491281577125E-2</v>
      </c>
      <c r="AC1271" s="178">
        <f>FME_Ranking1[[#This Row],[Miles Score (Normalized, Unweighted)]]*$AA$3</f>
        <v>8.7114491281577132E-3</v>
      </c>
      <c r="AD1271" s="255">
        <f>_xlfn.XLOOKUP(FME_Ranking1[[#This Row],[FME ID]],FME_Input[FME_ID],FME_Input[FARMACRE100])</f>
        <v>18.13187217712402</v>
      </c>
      <c r="AE1271" s="230">
        <f>(FME_Ranking1[[#This Row],[Ag Land Raw]]/$AD$2)*100</f>
        <v>7.4767724119189716E-4</v>
      </c>
      <c r="AF1271" s="231">
        <f>FME_Ranking1[[#This Row],[Ag Land Score (Normalized, Unweighted)]]*$AD$3</f>
        <v>3.7383862059594862E-5</v>
      </c>
      <c r="AG127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5.2006532889872115E-2</v>
      </c>
      <c r="AH1271" s="406">
        <f t="shared" si="19"/>
        <v>1296</v>
      </c>
      <c r="AI127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5.2006532889872115E-2</v>
      </c>
      <c r="AJ1271" s="257">
        <f>FME_Ranking1[[#This Row],[Addition check]]-FME_Ranking1[[#This Row],[Weighted Score Based on Normalized Reported Factors]]</f>
        <v>0</v>
      </c>
      <c r="AK1271" s="178">
        <f>_xlfn.RANK.EQ(AI1271,$AI$6:$AI$2341,0)+COUNTIF($AI$6:AI1271,AI1271)-1</f>
        <v>1297</v>
      </c>
    </row>
    <row r="1272" spans="1:37" x14ac:dyDescent="0.25">
      <c r="A1272" t="s">
        <v>7818</v>
      </c>
      <c r="B1272">
        <f>_xlfn.XLOOKUP(FME_Ranking1[[#This Row],[FME ID]],FME_Input[FME_ID],FME_Input[RFPG_NUM])</f>
        <v>8</v>
      </c>
      <c r="C1272" t="str">
        <f>_xlfn.XLOOKUP(FME_Ranking1[[#This Row],[FME ID]],FME_Input[FME_ID],FME_Input[FME_NAME])</f>
        <v>Waco Creek Diversion Tunnel</v>
      </c>
      <c r="D1272" t="str">
        <f>_xlfn.XLOOKUP(FME_Ranking1[[#This Row],[FME ID]],FME_Input[FME_ID],FME_Input[DESCR])</f>
        <v>Addition of a diversion culvert to reroute flow from Waco Creek to the Brazos River. Additional improvements to existing diversion tunnels and crossings.</v>
      </c>
      <c r="E1272" s="256">
        <f>_xlfn.XLOOKUP(FME_Ranking1[[#This Row],[FME ID]],FME_Input[FME_ID],FME_Input[FME_COST])</f>
        <v>300000</v>
      </c>
      <c r="F1272" t="str">
        <f>_xlfn.XLOOKUP(FME_Ranking1[[#This Row],[FME ID]],FME_Input[FME_ID],FME_Input[EMER_NEED])</f>
        <v>No</v>
      </c>
      <c r="G1272">
        <f>IF(FME_Ranking!F1272="Yes",100,0)</f>
        <v>0</v>
      </c>
      <c r="H1272">
        <f>FME_Ranking1[[#This Row],[Emergency Need Score (Normalized, Unweighted)]]*$F$3</f>
        <v>0</v>
      </c>
      <c r="I1272" s="246">
        <f>_xlfn.XLOOKUP(FME_Ranking1[[#This Row],[FME ID]],FME_Input[FME_ID],FME_Input[STRUCT_100])</f>
        <v>76</v>
      </c>
      <c r="J1272" s="178">
        <f>(FME_Ranking1[[#This Row],[Structures 100 Raw]]/I$2)*100</f>
        <v>4.0697425352354023E-2</v>
      </c>
      <c r="K1272" s="178">
        <f>FME_Ranking1[[#This Row],[Structures 100  Score (Normalized, Unweighted)]]*$I$3</f>
        <v>6.1046138028531035E-3</v>
      </c>
      <c r="L1272" s="246">
        <f>_xlfn.XLOOKUP(FME_Ranking1[[#This Row],[FME ID]],FME_Input[FME_ID],FME_Input[RES_STRUCT100])</f>
        <v>27</v>
      </c>
      <c r="M1272" s="230">
        <f>(FME_Ranking1[[#This Row],[Res Structures Raw]]/L$2)*100</f>
        <v>1.9124250966837134E-2</v>
      </c>
      <c r="N1272" s="180">
        <f>FME_Ranking1[[#This Row],[Res Structures Score (Normalized, Unweighted)]]*$L$3</f>
        <v>1.9124250966837135E-3</v>
      </c>
      <c r="O1272" s="244">
        <f>_xlfn.XLOOKUP(FME_Ranking1[[#This Row],[FME ID]],FME_Input[FME_ID],FME_Input[POP100])</f>
        <v>1723</v>
      </c>
      <c r="P1272" s="178">
        <f>(FME_Ranking1[[#This Row],[Pop Raw]]/$O$2)*100</f>
        <v>0.17639266255663916</v>
      </c>
      <c r="Q1272" s="178">
        <f>FME_Ranking1[[#This Row],[Pop Score (Normalized, Unweighted)]]*$O$3</f>
        <v>2.6458899383495871E-2</v>
      </c>
      <c r="R1272" s="137">
        <f>_xlfn.XLOOKUP(FME_Ranking1[[#This Row],[FME ID]],FME_Input[FME_ID],FME_Input[CRITFAC100])</f>
        <v>1</v>
      </c>
      <c r="S1272" s="230">
        <f>(FME_Ranking1[[#This Row],[Critical Facilities Raw]]/$R$2)*100</f>
        <v>4.2881646655231559E-2</v>
      </c>
      <c r="T1272" s="180">
        <f>FME_Ranking1[[#This Row],[Critical Facilities Score (Normalized, Unweighted)]]*$R$3</f>
        <v>8.5763293310463125E-3</v>
      </c>
      <c r="U1272">
        <f>_xlfn.XLOOKUP(FME_Ranking1[[#This Row],[FME ID]],FME_Input[FME_ID],FME_Input[LWC])</f>
        <v>0</v>
      </c>
      <c r="V1272" s="178">
        <f>(FME_Ranking1[[#This Row],[LWC Raw]]/$U$2)*100</f>
        <v>0</v>
      </c>
      <c r="W1272" s="178">
        <f>FME_Ranking1[[#This Row],[LWC Score (Normalized, Unweighted)]]*$U$3</f>
        <v>0</v>
      </c>
      <c r="X1272" s="246">
        <f>_xlfn.XLOOKUP(FME_Ranking1[[#This Row],[FME ID]],FME_Input[FME_ID],FME_Input[ROADCLS])</f>
        <v>0</v>
      </c>
      <c r="Y1272" s="230">
        <f>(FME_Ranking1[[#This Row],[Closures Raw]]/$X$2)*100</f>
        <v>0</v>
      </c>
      <c r="Z1272" s="180">
        <f>FME_Ranking1[[#This Row],[Closures Score (Normalized, Unweighted)]]*$X$3</f>
        <v>0</v>
      </c>
      <c r="AA1272" s="253">
        <f>_xlfn.XLOOKUP(FME_Ranking1[[#This Row],[FME ID]],FME_Input[FME_ID],FME_Input[ROAD_MILES100])</f>
        <v>19.79999923706055</v>
      </c>
      <c r="AB1272" s="178">
        <f>(FME_Ranking1[[#This Row],[Miles Raw]]/$AA$2)*100</f>
        <v>0.26033447700152074</v>
      </c>
      <c r="AC1272" s="178">
        <f>FME_Ranking1[[#This Row],[Miles Score (Normalized, Unweighted)]]*$AA$3</f>
        <v>2.6033447700152076E-2</v>
      </c>
      <c r="AD1272" s="255">
        <f>_xlfn.XLOOKUP(FME_Ranking1[[#This Row],[FME ID]],FME_Input[FME_ID],FME_Input[FARMACRE100])</f>
        <v>1.450000047683716</v>
      </c>
      <c r="AE1272" s="230">
        <f>(FME_Ranking1[[#This Row],[Ag Land Raw]]/$AD$2)*100</f>
        <v>5.9791511035913298E-5</v>
      </c>
      <c r="AF1272" s="231">
        <f>FME_Ranking1[[#This Row],[Ag Land Score (Normalized, Unweighted)]]*$AD$3</f>
        <v>2.9895755517956651E-6</v>
      </c>
      <c r="AG127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6.9088704889782873E-2</v>
      </c>
      <c r="AH1272" s="406">
        <f t="shared" si="19"/>
        <v>1199</v>
      </c>
      <c r="AI127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6.9088704889782873E-2</v>
      </c>
      <c r="AJ1272" s="257">
        <f>FME_Ranking1[[#This Row],[Addition check]]-FME_Ranking1[[#This Row],[Weighted Score Based on Normalized Reported Factors]]</f>
        <v>0</v>
      </c>
      <c r="AK1272" s="178">
        <f>_xlfn.RANK.EQ(AI1272,$AI$6:$AI$2341,0)+COUNTIF($AI$6:AI1272,AI1272)-1</f>
        <v>1199</v>
      </c>
    </row>
    <row r="1273" spans="1:37" x14ac:dyDescent="0.25">
      <c r="A1273" t="s">
        <v>1713</v>
      </c>
      <c r="B1273">
        <f>_xlfn.XLOOKUP(FME_Ranking1[[#This Row],[FME ID]],FME_Input[FME_ID],FME_Input[RFPG_NUM])</f>
        <v>6</v>
      </c>
      <c r="C1273" t="str">
        <f>_xlfn.XLOOKUP(FME_Ranking1[[#This Row],[FME ID]],FME_Input[FME_ID],FME_Input[FME_NAME])</f>
        <v>City of Piney Point Village  Master Drainage Plan</v>
      </c>
      <c r="D1273" t="str">
        <f>_xlfn.XLOOKUP(FME_Ranking1[[#This Row],[FME ID]],FME_Input[FME_ID],FME_Input[DESCR])</f>
        <v>Study to develop Master Drainage Plan using future and existing land use and flood/storm water drainage needs including Atlas 14 rainfall.</v>
      </c>
      <c r="E1273" s="256">
        <f>_xlfn.XLOOKUP(FME_Ranking1[[#This Row],[FME ID]],FME_Input[FME_ID],FME_Input[FME_COST])</f>
        <v>190000</v>
      </c>
      <c r="F1273" t="str">
        <f>_xlfn.XLOOKUP(FME_Ranking1[[#This Row],[FME ID]],FME_Input[FME_ID],FME_Input[EMER_NEED])</f>
        <v>Yes</v>
      </c>
      <c r="G1273">
        <f>IF(FME_Ranking!F1273="Yes",100,0)</f>
        <v>100</v>
      </c>
      <c r="H1273">
        <f>FME_Ranking1[[#This Row],[Emergency Need Score (Normalized, Unweighted)]]*$F$3</f>
        <v>0</v>
      </c>
      <c r="I1273" s="246">
        <f>_xlfn.XLOOKUP(FME_Ranking1[[#This Row],[FME ID]],FME_Input[FME_ID],FME_Input[STRUCT_100])</f>
        <v>129</v>
      </c>
      <c r="J1273" s="178">
        <f>(FME_Ranking1[[#This Row],[Structures 100 Raw]]/I$2)*100</f>
        <v>6.9078524611232497E-2</v>
      </c>
      <c r="K1273" s="178">
        <f>FME_Ranking1[[#This Row],[Structures 100  Score (Normalized, Unweighted)]]*$I$3</f>
        <v>1.0361778691684875E-2</v>
      </c>
      <c r="L1273" s="246">
        <f>_xlfn.XLOOKUP(FME_Ranking1[[#This Row],[FME ID]],FME_Input[FME_ID],FME_Input[RES_STRUCT100])</f>
        <v>124</v>
      </c>
      <c r="M1273" s="230">
        <f>(FME_Ranking1[[#This Row],[Res Structures Raw]]/L$2)*100</f>
        <v>8.7829893329177941E-2</v>
      </c>
      <c r="N1273" s="180">
        <f>FME_Ranking1[[#This Row],[Res Structures Score (Normalized, Unweighted)]]*$L$3</f>
        <v>8.7829893329177938E-3</v>
      </c>
      <c r="O1273" s="244">
        <f>_xlfn.XLOOKUP(FME_Ranking1[[#This Row],[FME ID]],FME_Input[FME_ID],FME_Input[POP100])</f>
        <v>989</v>
      </c>
      <c r="P1273" s="178">
        <f>(FME_Ranking1[[#This Row],[Pop Raw]]/$O$2)*100</f>
        <v>0.1012491835568869</v>
      </c>
      <c r="Q1273" s="178">
        <f>FME_Ranking1[[#This Row],[Pop Score (Normalized, Unweighted)]]*$O$3</f>
        <v>1.5187377533533036E-2</v>
      </c>
      <c r="R1273" s="137">
        <f>_xlfn.XLOOKUP(FME_Ranking1[[#This Row],[FME ID]],FME_Input[FME_ID],FME_Input[CRITFAC100])</f>
        <v>1</v>
      </c>
      <c r="S1273" s="230">
        <f>(FME_Ranking1[[#This Row],[Critical Facilities Raw]]/$R$2)*100</f>
        <v>4.2881646655231559E-2</v>
      </c>
      <c r="T1273" s="180">
        <f>FME_Ranking1[[#This Row],[Critical Facilities Score (Normalized, Unweighted)]]*$R$3</f>
        <v>8.5763293310463125E-3</v>
      </c>
      <c r="U1273">
        <f>_xlfn.XLOOKUP(FME_Ranking1[[#This Row],[FME ID]],FME_Input[FME_ID],FME_Input[LWC])</f>
        <v>0</v>
      </c>
      <c r="V1273" s="178">
        <f>(FME_Ranking1[[#This Row],[LWC Raw]]/$U$2)*100</f>
        <v>0</v>
      </c>
      <c r="W1273" s="178">
        <f>FME_Ranking1[[#This Row],[LWC Score (Normalized, Unweighted)]]*$U$3</f>
        <v>0</v>
      </c>
      <c r="X1273" s="246">
        <f>_xlfn.XLOOKUP(FME_Ranking1[[#This Row],[FME ID]],FME_Input[FME_ID],FME_Input[ROADCLS])</f>
        <v>0</v>
      </c>
      <c r="Y1273" s="230">
        <f>(FME_Ranking1[[#This Row],[Closures Raw]]/$X$2)*100</f>
        <v>0</v>
      </c>
      <c r="Z1273" s="180">
        <f>FME_Ranking1[[#This Row],[Closures Score (Normalized, Unweighted)]]*$X$3</f>
        <v>0</v>
      </c>
      <c r="AA1273" s="253">
        <f>_xlfn.XLOOKUP(FME_Ranking1[[#This Row],[FME ID]],FME_Input[FME_ID],FME_Input[ROAD_MILES100])</f>
        <v>1.270122647285461</v>
      </c>
      <c r="AB1273" s="178">
        <f>(FME_Ranking1[[#This Row],[Miles Raw]]/$AA$2)*100</f>
        <v>1.6699834739889407E-2</v>
      </c>
      <c r="AC1273" s="178">
        <f>FME_Ranking1[[#This Row],[Miles Score (Normalized, Unweighted)]]*$AA$3</f>
        <v>1.6699834739889409E-3</v>
      </c>
      <c r="AD1273" s="255">
        <f>_xlfn.XLOOKUP(FME_Ranking1[[#This Row],[FME ID]],FME_Input[FME_ID],FME_Input[FARMACRE100])</f>
        <v>0.40207147598266602</v>
      </c>
      <c r="AE1273" s="230">
        <f>(FME_Ranking1[[#This Row],[Ag Land Raw]]/$AD$2)*100</f>
        <v>1.657962779507949E-5</v>
      </c>
      <c r="AF1273" s="231">
        <f>FME_Ranking1[[#This Row],[Ag Land Score (Normalized, Unweighted)]]*$AD$3</f>
        <v>8.2898138975397458E-7</v>
      </c>
      <c r="AG127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4.4579287344560702E-2</v>
      </c>
      <c r="AH1273" s="406">
        <f t="shared" si="19"/>
        <v>1344</v>
      </c>
      <c r="AI127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4.4579287344560702E-2</v>
      </c>
      <c r="AJ1273" s="257">
        <f>FME_Ranking1[[#This Row],[Addition check]]-FME_Ranking1[[#This Row],[Weighted Score Based on Normalized Reported Factors]]</f>
        <v>0</v>
      </c>
      <c r="AK1273" s="178">
        <f>_xlfn.RANK.EQ(AI1273,$AI$6:$AI$2341,0)+COUNTIF($AI$6:AI1273,AI1273)-1</f>
        <v>1344</v>
      </c>
    </row>
    <row r="1274" spans="1:37" x14ac:dyDescent="0.25">
      <c r="A1274" t="s">
        <v>11061</v>
      </c>
      <c r="B1274">
        <f>_xlfn.XLOOKUP(FME_Ranking1[[#This Row],[FME ID]],FME_Input[FME_ID],FME_Input[RFPG_NUM])</f>
        <v>15</v>
      </c>
      <c r="C1274" t="str">
        <f>_xlfn.XLOOKUP(FME_Ranking1[[#This Row],[FME ID]],FME_Input[FME_ID],FME_Input[FME_NAME])</f>
        <v>Risk Area 15 Trib 3 Detention at Main Street</v>
      </c>
      <c r="D1274" t="str">
        <f>_xlfn.XLOOKUP(FME_Ranking1[[#This Row],[FME ID]],FME_Input[FME_ID],FME_Input[DESCR])</f>
        <v>Project includes constructing 10 acre detention pond (29 ac-ft volume) along East Channel north of Highway 277 and installing flap-gates at flume outfalls on Omar Drive and Jana Drive, to prevent more frequent stormwater from backing up into the neighbor</v>
      </c>
      <c r="E1274" s="256">
        <f>_xlfn.XLOOKUP(FME_Ranking1[[#This Row],[FME ID]],FME_Input[FME_ID],FME_Input[FME_COST])</f>
        <v>124245</v>
      </c>
      <c r="F1274" t="str">
        <f>_xlfn.XLOOKUP(FME_Ranking1[[#This Row],[FME ID]],FME_Input[FME_ID],FME_Input[EMER_NEED])</f>
        <v>Yes</v>
      </c>
      <c r="G1274">
        <f>IF(FME_Ranking!F1274="Yes",100,0)</f>
        <v>100</v>
      </c>
      <c r="H1274">
        <f>FME_Ranking1[[#This Row],[Emergency Need Score (Normalized, Unweighted)]]*$F$3</f>
        <v>0</v>
      </c>
      <c r="I1274" s="246">
        <f>_xlfn.XLOOKUP(FME_Ranking1[[#This Row],[FME ID]],FME_Input[FME_ID],FME_Input[STRUCT_100])</f>
        <v>0</v>
      </c>
      <c r="J1274" s="178">
        <f>(FME_Ranking1[[#This Row],[Structures 100 Raw]]/I$2)*100</f>
        <v>0</v>
      </c>
      <c r="K1274" s="178">
        <f>FME_Ranking1[[#This Row],[Structures 100  Score (Normalized, Unweighted)]]*$I$3</f>
        <v>0</v>
      </c>
      <c r="L1274" s="246">
        <f>_xlfn.XLOOKUP(FME_Ranking1[[#This Row],[FME ID]],FME_Input[FME_ID],FME_Input[RES_STRUCT100])</f>
        <v>191</v>
      </c>
      <c r="M1274" s="230">
        <f>(FME_Ranking1[[#This Row],[Res Structures Raw]]/L$2)*100</f>
        <v>0.1352863679505886</v>
      </c>
      <c r="N1274" s="180">
        <f>FME_Ranking1[[#This Row],[Res Structures Score (Normalized, Unweighted)]]*$L$3</f>
        <v>1.3528636795058861E-2</v>
      </c>
      <c r="O1274" s="244">
        <f>_xlfn.XLOOKUP(FME_Ranking1[[#This Row],[FME ID]],FME_Input[FME_ID],FME_Input[POP100])</f>
        <v>1331</v>
      </c>
      <c r="P1274" s="178">
        <f>(FME_Ranking1[[#This Row],[Pop Raw]]/$O$2)*100</f>
        <v>0.13626154025704393</v>
      </c>
      <c r="Q1274" s="178">
        <f>FME_Ranking1[[#This Row],[Pop Score (Normalized, Unweighted)]]*$O$3</f>
        <v>2.0439231038556587E-2</v>
      </c>
      <c r="R1274" s="137">
        <f>_xlfn.XLOOKUP(FME_Ranking1[[#This Row],[FME ID]],FME_Input[FME_ID],FME_Input[CRITFAC100])</f>
        <v>1</v>
      </c>
      <c r="S1274" s="230">
        <f>(FME_Ranking1[[#This Row],[Critical Facilities Raw]]/$R$2)*100</f>
        <v>4.2881646655231559E-2</v>
      </c>
      <c r="T1274" s="180">
        <f>FME_Ranking1[[#This Row],[Critical Facilities Score (Normalized, Unweighted)]]*$R$3</f>
        <v>8.5763293310463125E-3</v>
      </c>
      <c r="U1274">
        <f>_xlfn.XLOOKUP(FME_Ranking1[[#This Row],[FME ID]],FME_Input[FME_ID],FME_Input[LWC])</f>
        <v>0</v>
      </c>
      <c r="V1274" s="178">
        <f>(FME_Ranking1[[#This Row],[LWC Raw]]/$U$2)*100</f>
        <v>0</v>
      </c>
      <c r="W1274" s="178">
        <f>FME_Ranking1[[#This Row],[LWC Score (Normalized, Unweighted)]]*$U$3</f>
        <v>0</v>
      </c>
      <c r="X1274" s="246">
        <f>_xlfn.XLOOKUP(FME_Ranking1[[#This Row],[FME ID]],FME_Input[FME_ID],FME_Input[ROADCLS])</f>
        <v>0</v>
      </c>
      <c r="Y1274" s="230">
        <f>(FME_Ranking1[[#This Row],[Closures Raw]]/$X$2)*100</f>
        <v>0</v>
      </c>
      <c r="Z1274" s="180">
        <f>FME_Ranking1[[#This Row],[Closures Score (Normalized, Unweighted)]]*$X$3</f>
        <v>0</v>
      </c>
      <c r="AA1274" s="253">
        <f>_xlfn.XLOOKUP(FME_Ranking1[[#This Row],[FME ID]],FME_Input[FME_ID],FME_Input[ROAD_MILES100])</f>
        <v>5.6693301200866699</v>
      </c>
      <c r="AB1274" s="178">
        <f>(FME_Ranking1[[#This Row],[Miles Raw]]/$AA$2)*100</f>
        <v>7.4541522658202047E-2</v>
      </c>
      <c r="AC1274" s="178">
        <f>FME_Ranking1[[#This Row],[Miles Score (Normalized, Unweighted)]]*$AA$3</f>
        <v>7.4541522658202047E-3</v>
      </c>
      <c r="AD1274" s="255">
        <f>_xlfn.XLOOKUP(FME_Ranking1[[#This Row],[FME ID]],FME_Input[FME_ID],FME_Input[FARMACRE100])</f>
        <v>0</v>
      </c>
      <c r="AE1274" s="230">
        <f>(FME_Ranking1[[#This Row],[Ag Land Raw]]/$AD$2)*100</f>
        <v>0</v>
      </c>
      <c r="AF1274" s="231">
        <f>FME_Ranking1[[#This Row],[Ag Land Score (Normalized, Unweighted)]]*$AD$3</f>
        <v>0</v>
      </c>
      <c r="AG127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4.9998349430481967E-2</v>
      </c>
      <c r="AH1274" s="406">
        <f t="shared" si="19"/>
        <v>1317</v>
      </c>
      <c r="AI127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4.9998349430481967E-2</v>
      </c>
      <c r="AJ1274" s="257">
        <f>FME_Ranking1[[#This Row],[Addition check]]-FME_Ranking1[[#This Row],[Weighted Score Based on Normalized Reported Factors]]</f>
        <v>0</v>
      </c>
      <c r="AK1274" s="178">
        <f>_xlfn.RANK.EQ(AI1274,$AI$6:$AI$2341,0)+COUNTIF($AI$6:AI1274,AI1274)-1</f>
        <v>1317</v>
      </c>
    </row>
    <row r="1275" spans="1:37" x14ac:dyDescent="0.25">
      <c r="A1275" t="s">
        <v>5228</v>
      </c>
      <c r="B1275">
        <f>_xlfn.XLOOKUP(FME_Ranking1[[#This Row],[FME ID]],FME_Input[FME_ID],FME_Input[RFPG_NUM])</f>
        <v>3</v>
      </c>
      <c r="C1275" t="str">
        <f>_xlfn.XLOOKUP(FME_Ranking1[[#This Row],[FME ID]],FME_Input[FME_ID],FME_Input[FME_NAME])</f>
        <v>Woody Branch at Loop 12</v>
      </c>
      <c r="D1275" t="str">
        <f>_xlfn.XLOOKUP(FME_Ranking1[[#This Row],[FME ID]],FME_Input[FME_ID],FME_Input[DESCR])</f>
        <v>Evaluate bridge improvements for Loop 12 over Woody Branch</v>
      </c>
      <c r="E1275" s="256">
        <f>_xlfn.XLOOKUP(FME_Ranking1[[#This Row],[FME ID]],FME_Input[FME_ID],FME_Input[FME_COST])</f>
        <v>250000</v>
      </c>
      <c r="F1275" t="str">
        <f>_xlfn.XLOOKUP(FME_Ranking1[[#This Row],[FME ID]],FME_Input[FME_ID],FME_Input[EMER_NEED])</f>
        <v>No</v>
      </c>
      <c r="G1275">
        <f>IF(FME_Ranking!F1275="Yes",100,0)</f>
        <v>0</v>
      </c>
      <c r="H1275">
        <f>FME_Ranking1[[#This Row],[Emergency Need Score (Normalized, Unweighted)]]*$F$3</f>
        <v>0</v>
      </c>
      <c r="I1275" s="246">
        <f>_xlfn.XLOOKUP(FME_Ranking1[[#This Row],[FME ID]],FME_Input[FME_ID],FME_Input[STRUCT_100])</f>
        <v>106</v>
      </c>
      <c r="J1275" s="178">
        <f>(FME_Ranking1[[#This Row],[Structures 100 Raw]]/I$2)*100</f>
        <v>5.6762198517756934E-2</v>
      </c>
      <c r="K1275" s="178">
        <f>FME_Ranking1[[#This Row],[Structures 100  Score (Normalized, Unweighted)]]*$I$3</f>
        <v>8.5143297776635405E-3</v>
      </c>
      <c r="L1275" s="246">
        <f>_xlfn.XLOOKUP(FME_Ranking1[[#This Row],[FME ID]],FME_Input[FME_ID],FME_Input[RES_STRUCT100])</f>
        <v>106</v>
      </c>
      <c r="M1275" s="230">
        <f>(FME_Ranking1[[#This Row],[Res Structures Raw]]/L$2)*100</f>
        <v>7.5080392684619857E-2</v>
      </c>
      <c r="N1275" s="180">
        <f>FME_Ranking1[[#This Row],[Res Structures Score (Normalized, Unweighted)]]*$L$3</f>
        <v>7.5080392684619864E-3</v>
      </c>
      <c r="O1275" s="244">
        <f>_xlfn.XLOOKUP(FME_Ranking1[[#This Row],[FME ID]],FME_Input[FME_ID],FME_Input[POP100])</f>
        <v>405</v>
      </c>
      <c r="P1275" s="178">
        <f>(FME_Ranking1[[#This Row],[Pop Raw]]/$O$2)*100</f>
        <v>4.1462001355449127E-2</v>
      </c>
      <c r="Q1275" s="178">
        <f>FME_Ranking1[[#This Row],[Pop Score (Normalized, Unweighted)]]*$O$3</f>
        <v>6.2193002033173687E-3</v>
      </c>
      <c r="R1275" s="137">
        <f>_xlfn.XLOOKUP(FME_Ranking1[[#This Row],[FME ID]],FME_Input[FME_ID],FME_Input[CRITFAC100])</f>
        <v>1</v>
      </c>
      <c r="S1275" s="230">
        <f>(FME_Ranking1[[#This Row],[Critical Facilities Raw]]/$R$2)*100</f>
        <v>4.2881646655231559E-2</v>
      </c>
      <c r="T1275" s="180">
        <f>FME_Ranking1[[#This Row],[Critical Facilities Score (Normalized, Unweighted)]]*$R$3</f>
        <v>8.5763293310463125E-3</v>
      </c>
      <c r="U1275">
        <f>_xlfn.XLOOKUP(FME_Ranking1[[#This Row],[FME ID]],FME_Input[FME_ID],FME_Input[LWC])</f>
        <v>1</v>
      </c>
      <c r="V1275" s="178">
        <f>(FME_Ranking1[[#This Row],[LWC Raw]]/$U$2)*100</f>
        <v>5.7570523891767422E-2</v>
      </c>
      <c r="W1275" s="178">
        <f>FME_Ranking1[[#This Row],[LWC Score (Normalized, Unweighted)]]*$U$3</f>
        <v>1.1514104778353485E-2</v>
      </c>
      <c r="X1275" s="246">
        <f>_xlfn.XLOOKUP(FME_Ranking1[[#This Row],[FME ID]],FME_Input[FME_ID],FME_Input[ROADCLS])</f>
        <v>0</v>
      </c>
      <c r="Y1275" s="230">
        <f>(FME_Ranking1[[#This Row],[Closures Raw]]/$X$2)*100</f>
        <v>0</v>
      </c>
      <c r="Z1275" s="180">
        <f>FME_Ranking1[[#This Row],[Closures Score (Normalized, Unweighted)]]*$X$3</f>
        <v>0</v>
      </c>
      <c r="AA1275" s="253">
        <f>_xlfn.XLOOKUP(FME_Ranking1[[#This Row],[FME ID]],FME_Input[FME_ID],FME_Input[ROAD_MILES100])</f>
        <v>6.0327692031860352</v>
      </c>
      <c r="AB1275" s="178">
        <f>(FME_Ranking1[[#This Row],[Miles Raw]]/$AA$2)*100</f>
        <v>7.9320094742360958E-2</v>
      </c>
      <c r="AC1275" s="178">
        <f>FME_Ranking1[[#This Row],[Miles Score (Normalized, Unweighted)]]*$AA$3</f>
        <v>7.9320094742360969E-3</v>
      </c>
      <c r="AD1275" s="255">
        <f>_xlfn.XLOOKUP(FME_Ranking1[[#This Row],[FME ID]],FME_Input[FME_ID],FME_Input[FARMACRE100])</f>
        <v>2.6107079982757568</v>
      </c>
      <c r="AE1275" s="230">
        <f>(FME_Ranking1[[#This Row],[Ag Land Raw]]/$AD$2)*100</f>
        <v>1.0765391100490587E-4</v>
      </c>
      <c r="AF1275" s="231">
        <f>FME_Ranking1[[#This Row],[Ag Land Score (Normalized, Unweighted)]]*$AD$3</f>
        <v>5.3826955502452934E-6</v>
      </c>
      <c r="AG127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5.0269495528629041E-2</v>
      </c>
      <c r="AH1275" s="406">
        <f t="shared" si="19"/>
        <v>1314</v>
      </c>
      <c r="AI127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5.0269495528629041E-2</v>
      </c>
      <c r="AJ1275" s="257">
        <f>FME_Ranking1[[#This Row],[Addition check]]-FME_Ranking1[[#This Row],[Weighted Score Based on Normalized Reported Factors]]</f>
        <v>0</v>
      </c>
      <c r="AK1275" s="178">
        <f>_xlfn.RANK.EQ(AI1275,$AI$6:$AI$2341,0)+COUNTIF($AI$6:AI1275,AI1275)-1</f>
        <v>1314</v>
      </c>
    </row>
    <row r="1276" spans="1:37" x14ac:dyDescent="0.25">
      <c r="A1276" t="s">
        <v>4287</v>
      </c>
      <c r="B1276">
        <f>_xlfn.XLOOKUP(FME_Ranking1[[#This Row],[FME ID]],FME_Input[FME_ID],FME_Input[RFPG_NUM])</f>
        <v>3</v>
      </c>
      <c r="C1276" t="str">
        <f>_xlfn.XLOOKUP(FME_Ranking1[[#This Row],[FME ID]],FME_Input[FME_ID],FME_Input[FME_NAME])</f>
        <v>Montague County DMP</v>
      </c>
      <c r="D1276" t="str">
        <f>_xlfn.XLOOKUP(FME_Ranking1[[#This Row],[FME ID]],FME_Input[FME_ID],FME_Input[DESCR])</f>
        <v>Evaluate County and identify future projects.</v>
      </c>
      <c r="E1276" s="256">
        <f>_xlfn.XLOOKUP(FME_Ranking1[[#This Row],[FME ID]],FME_Input[FME_ID],FME_Input[FME_COST])</f>
        <v>500000</v>
      </c>
      <c r="F1276" t="str">
        <f>_xlfn.XLOOKUP(FME_Ranking1[[#This Row],[FME ID]],FME_Input[FME_ID],FME_Input[EMER_NEED])</f>
        <v>No</v>
      </c>
      <c r="G1276">
        <f>IF(FME_Ranking!F1276="Yes",100,0)</f>
        <v>0</v>
      </c>
      <c r="H1276">
        <f>FME_Ranking1[[#This Row],[Emergency Need Score (Normalized, Unweighted)]]*$F$3</f>
        <v>0</v>
      </c>
      <c r="I1276" s="246">
        <f>_xlfn.XLOOKUP(FME_Ranking1[[#This Row],[FME ID]],FME_Input[FME_ID],FME_Input[STRUCT_100])</f>
        <v>38</v>
      </c>
      <c r="J1276" s="178">
        <f>(FME_Ranking1[[#This Row],[Structures 100 Raw]]/I$2)*100</f>
        <v>2.0348712676177012E-2</v>
      </c>
      <c r="K1276" s="178">
        <f>FME_Ranking1[[#This Row],[Structures 100  Score (Normalized, Unweighted)]]*$I$3</f>
        <v>3.0523069014265517E-3</v>
      </c>
      <c r="L1276" s="246">
        <f>_xlfn.XLOOKUP(FME_Ranking1[[#This Row],[FME ID]],FME_Input[FME_ID],FME_Input[RES_STRUCT100])</f>
        <v>11</v>
      </c>
      <c r="M1276" s="230">
        <f>(FME_Ranking1[[#This Row],[Res Structures Raw]]/L$2)*100</f>
        <v>7.7913615050077207E-3</v>
      </c>
      <c r="N1276" s="180">
        <f>FME_Ranking1[[#This Row],[Res Structures Score (Normalized, Unweighted)]]*$L$3</f>
        <v>7.7913615050077215E-4</v>
      </c>
      <c r="O1276" s="244">
        <f>_xlfn.XLOOKUP(FME_Ranking1[[#This Row],[FME ID]],FME_Input[FME_ID],FME_Input[POP100])</f>
        <v>13</v>
      </c>
      <c r="P1276" s="178">
        <f>(FME_Ranking1[[#This Row],[Pop Raw]]/$O$2)*100</f>
        <v>1.3308790558539227E-3</v>
      </c>
      <c r="Q1276" s="178">
        <f>FME_Ranking1[[#This Row],[Pop Score (Normalized, Unweighted)]]*$O$3</f>
        <v>1.9963185837808839E-4</v>
      </c>
      <c r="R1276" s="137">
        <f>_xlfn.XLOOKUP(FME_Ranking1[[#This Row],[FME ID]],FME_Input[FME_ID],FME_Input[CRITFAC100])</f>
        <v>0</v>
      </c>
      <c r="S1276" s="230">
        <f>(FME_Ranking1[[#This Row],[Critical Facilities Raw]]/$R$2)*100</f>
        <v>0</v>
      </c>
      <c r="T1276" s="180">
        <f>FME_Ranking1[[#This Row],[Critical Facilities Score (Normalized, Unweighted)]]*$R$3</f>
        <v>0</v>
      </c>
      <c r="U1276">
        <f>_xlfn.XLOOKUP(FME_Ranking1[[#This Row],[FME ID]],FME_Input[FME_ID],FME_Input[LWC])</f>
        <v>3</v>
      </c>
      <c r="V1276" s="178">
        <f>(FME_Ranking1[[#This Row],[LWC Raw]]/$U$2)*100</f>
        <v>0.17271157167530224</v>
      </c>
      <c r="W1276" s="178">
        <f>FME_Ranking1[[#This Row],[LWC Score (Normalized, Unweighted)]]*$U$3</f>
        <v>3.4542314335060449E-2</v>
      </c>
      <c r="X1276" s="246">
        <f>_xlfn.XLOOKUP(FME_Ranking1[[#This Row],[FME ID]],FME_Input[FME_ID],FME_Input[ROADCLS])</f>
        <v>0</v>
      </c>
      <c r="Y1276" s="230">
        <f>(FME_Ranking1[[#This Row],[Closures Raw]]/$X$2)*100</f>
        <v>0</v>
      </c>
      <c r="Z1276" s="180">
        <f>FME_Ranking1[[#This Row],[Closures Score (Normalized, Unweighted)]]*$X$3</f>
        <v>0</v>
      </c>
      <c r="AA1276" s="253">
        <f>_xlfn.XLOOKUP(FME_Ranking1[[#This Row],[FME ID]],FME_Input[FME_ID],FME_Input[ROAD_MILES100])</f>
        <v>56.769439697265618</v>
      </c>
      <c r="AB1276" s="178">
        <f>(FME_Ranking1[[#This Row],[Miles Raw]]/$AA$2)*100</f>
        <v>0.74641631124886187</v>
      </c>
      <c r="AC1276" s="178">
        <f>FME_Ranking1[[#This Row],[Miles Score (Normalized, Unweighted)]]*$AA$3</f>
        <v>7.4641631124886185E-2</v>
      </c>
      <c r="AD1276" s="255">
        <f>_xlfn.XLOOKUP(FME_Ranking1[[#This Row],[FME ID]],FME_Input[FME_ID],FME_Input[FARMACRE100])</f>
        <v>1770.858032226562</v>
      </c>
      <c r="AE1276" s="230">
        <f>(FME_Ranking1[[#This Row],[Ag Land Raw]]/$AD$2)*100</f>
        <v>7.3022257996508674E-2</v>
      </c>
      <c r="AF1276" s="231">
        <f>FME_Ranking1[[#This Row],[Ag Land Score (Normalized, Unweighted)]]*$AD$3</f>
        <v>3.651112899825434E-3</v>
      </c>
      <c r="AG127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0.11686613327007749</v>
      </c>
      <c r="AH1276" s="406">
        <f t="shared" si="19"/>
        <v>996</v>
      </c>
      <c r="AI127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0.11686613327007749</v>
      </c>
      <c r="AJ1276" s="257">
        <f>FME_Ranking1[[#This Row],[Addition check]]-FME_Ranking1[[#This Row],[Weighted Score Based on Normalized Reported Factors]]</f>
        <v>0</v>
      </c>
      <c r="AK1276" s="178">
        <f>_xlfn.RANK.EQ(AI1276,$AI$6:$AI$2341,0)+COUNTIF($AI$6:AI1276,AI1276)-1</f>
        <v>996</v>
      </c>
    </row>
    <row r="1277" spans="1:37" x14ac:dyDescent="0.25">
      <c r="A1277" t="s">
        <v>1611</v>
      </c>
      <c r="B1277">
        <f>_xlfn.XLOOKUP(FME_Ranking1[[#This Row],[FME ID]],FME_Input[FME_ID],FME_Input[RFPG_NUM])</f>
        <v>6</v>
      </c>
      <c r="C1277" t="str">
        <f>_xlfn.XLOOKUP(FME_Ranking1[[#This Row],[FME ID]],FME_Input[FME_ID],FME_Input[FME_NAME])</f>
        <v>City of Huntsville Master Drainage Plan</v>
      </c>
      <c r="D1277" t="str">
        <f>_xlfn.XLOOKUP(FME_Ranking1[[#This Row],[FME ID]],FME_Input[FME_ID],FME_Input[DESCR])</f>
        <v>Study to develop Master Drainage Plan using future and existing land use and flood/storm water drainage needs including Atlas 14 rainfall.</v>
      </c>
      <c r="E1277" s="256">
        <f>_xlfn.XLOOKUP(FME_Ranking1[[#This Row],[FME ID]],FME_Input[FME_ID],FME_Input[FME_COST])</f>
        <v>349000</v>
      </c>
      <c r="F1277" t="str">
        <f>_xlfn.XLOOKUP(FME_Ranking1[[#This Row],[FME ID]],FME_Input[FME_ID],FME_Input[EMER_NEED])</f>
        <v>Yes</v>
      </c>
      <c r="G1277">
        <f>IF(FME_Ranking!F1277="Yes",100,0)</f>
        <v>100</v>
      </c>
      <c r="H1277">
        <f>FME_Ranking1[[#This Row],[Emergency Need Score (Normalized, Unweighted)]]*$F$3</f>
        <v>0</v>
      </c>
      <c r="I1277" s="246">
        <f>_xlfn.XLOOKUP(FME_Ranking1[[#This Row],[FME ID]],FME_Input[FME_ID],FME_Input[STRUCT_100])</f>
        <v>114</v>
      </c>
      <c r="J1277" s="178">
        <f>(FME_Ranking1[[#This Row],[Structures 100 Raw]]/I$2)*100</f>
        <v>6.1046138028531038E-2</v>
      </c>
      <c r="K1277" s="178">
        <f>FME_Ranking1[[#This Row],[Structures 100  Score (Normalized, Unweighted)]]*$I$3</f>
        <v>9.1569207042796561E-3</v>
      </c>
      <c r="L1277" s="246">
        <f>_xlfn.XLOOKUP(FME_Ranking1[[#This Row],[FME ID]],FME_Input[FME_ID],FME_Input[RES_STRUCT100])</f>
        <v>96</v>
      </c>
      <c r="M1277" s="230">
        <f>(FME_Ranking1[[#This Row],[Res Structures Raw]]/L$2)*100</f>
        <v>6.7997336770976469E-2</v>
      </c>
      <c r="N1277" s="180">
        <f>FME_Ranking1[[#This Row],[Res Structures Score (Normalized, Unweighted)]]*$L$3</f>
        <v>6.7997336770976476E-3</v>
      </c>
      <c r="O1277" s="244">
        <f>_xlfn.XLOOKUP(FME_Ranking1[[#This Row],[FME ID]],FME_Input[FME_ID],FME_Input[POP100])</f>
        <v>349</v>
      </c>
      <c r="P1277" s="178">
        <f>(FME_Ranking1[[#This Row],[Pop Raw]]/$O$2)*100</f>
        <v>3.5728983884078386E-2</v>
      </c>
      <c r="Q1277" s="178">
        <f>FME_Ranking1[[#This Row],[Pop Score (Normalized, Unweighted)]]*$O$3</f>
        <v>5.3593475826117579E-3</v>
      </c>
      <c r="R1277" s="137">
        <f>_xlfn.XLOOKUP(FME_Ranking1[[#This Row],[FME ID]],FME_Input[FME_ID],FME_Input[CRITFAC100])</f>
        <v>1</v>
      </c>
      <c r="S1277" s="230">
        <f>(FME_Ranking1[[#This Row],[Critical Facilities Raw]]/$R$2)*100</f>
        <v>4.2881646655231559E-2</v>
      </c>
      <c r="T1277" s="180">
        <f>FME_Ranking1[[#This Row],[Critical Facilities Score (Normalized, Unweighted)]]*$R$3</f>
        <v>8.5763293310463125E-3</v>
      </c>
      <c r="U1277">
        <f>_xlfn.XLOOKUP(FME_Ranking1[[#This Row],[FME ID]],FME_Input[FME_ID],FME_Input[LWC])</f>
        <v>1</v>
      </c>
      <c r="V1277" s="178">
        <f>(FME_Ranking1[[#This Row],[LWC Raw]]/$U$2)*100</f>
        <v>5.7570523891767422E-2</v>
      </c>
      <c r="W1277" s="178">
        <f>FME_Ranking1[[#This Row],[LWC Score (Normalized, Unweighted)]]*$U$3</f>
        <v>1.1514104778353485E-2</v>
      </c>
      <c r="X1277" s="246">
        <f>_xlfn.XLOOKUP(FME_Ranking1[[#This Row],[FME ID]],FME_Input[FME_ID],FME_Input[ROADCLS])</f>
        <v>1</v>
      </c>
      <c r="Y1277" s="230">
        <f>(FME_Ranking1[[#This Row],[Closures Raw]]/$X$2)*100</f>
        <v>1.0514141520344864E-2</v>
      </c>
      <c r="Z1277" s="180">
        <f>FME_Ranking1[[#This Row],[Closures Score (Normalized, Unweighted)]]*$X$3</f>
        <v>5.2570707601724321E-4</v>
      </c>
      <c r="AA1277" s="253">
        <f>_xlfn.XLOOKUP(FME_Ranking1[[#This Row],[FME ID]],FME_Input[FME_ID],FME_Input[ROAD_MILES100])</f>
        <v>2.6969342231750488</v>
      </c>
      <c r="AB1277" s="178">
        <f>(FME_Ranking1[[#This Row],[Miles Raw]]/$AA$2)*100</f>
        <v>3.5459847856136151E-2</v>
      </c>
      <c r="AC1277" s="178">
        <f>FME_Ranking1[[#This Row],[Miles Score (Normalized, Unweighted)]]*$AA$3</f>
        <v>3.5459847856136152E-3</v>
      </c>
      <c r="AD1277" s="255">
        <f>_xlfn.XLOOKUP(FME_Ranking1[[#This Row],[FME ID]],FME_Input[FME_ID],FME_Input[FARMACRE100])</f>
        <v>9.2615861892700195</v>
      </c>
      <c r="AE1277" s="230">
        <f>(FME_Ranking1[[#This Row],[Ag Land Raw]]/$AD$2)*100</f>
        <v>3.819063549207492E-4</v>
      </c>
      <c r="AF1277" s="231">
        <f>FME_Ranking1[[#This Row],[Ag Land Score (Normalized, Unweighted)]]*$AD$3</f>
        <v>1.9095317746037461E-5</v>
      </c>
      <c r="AG127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4.5497223252765756E-2</v>
      </c>
      <c r="AH1277" s="406">
        <f t="shared" si="19"/>
        <v>1336</v>
      </c>
      <c r="AI127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4.5497223252765756E-2</v>
      </c>
      <c r="AJ1277" s="257">
        <f>FME_Ranking1[[#This Row],[Addition check]]-FME_Ranking1[[#This Row],[Weighted Score Based on Normalized Reported Factors]]</f>
        <v>0</v>
      </c>
      <c r="AK1277" s="178">
        <f>_xlfn.RANK.EQ(AI1277,$AI$6:$AI$2341,0)+COUNTIF($AI$6:AI1277,AI1277)-1</f>
        <v>1336</v>
      </c>
    </row>
    <row r="1278" spans="1:37" x14ac:dyDescent="0.25">
      <c r="A1278" t="s">
        <v>7698</v>
      </c>
      <c r="B1278">
        <f>_xlfn.XLOOKUP(FME_Ranking1[[#This Row],[FME ID]],FME_Input[FME_ID],FME_Input[RFPG_NUM])</f>
        <v>8</v>
      </c>
      <c r="C1278" t="str">
        <f>_xlfn.XLOOKUP(FME_Ranking1[[#This Row],[FME ID]],FME_Input[FME_ID],FME_Input[FME_NAME])</f>
        <v>Briarcreek Court Flooding</v>
      </c>
      <c r="D1278" t="str">
        <f>_xlfn.XLOOKUP(FME_Ranking1[[#This Row],[FME ID]],FME_Input[FME_ID],FME_Input[DESCR])</f>
        <v>Study to determine source and mitigation for flooding in the subdivision.</v>
      </c>
      <c r="E1278" s="256">
        <f>_xlfn.XLOOKUP(FME_Ranking1[[#This Row],[FME ID]],FME_Input[FME_ID],FME_Input[FME_COST])</f>
        <v>83000</v>
      </c>
      <c r="F1278" t="str">
        <f>_xlfn.XLOOKUP(FME_Ranking1[[#This Row],[FME ID]],FME_Input[FME_ID],FME_Input[EMER_NEED])</f>
        <v>No</v>
      </c>
      <c r="G1278">
        <f>IF(FME_Ranking!F1278="Yes",100,0)</f>
        <v>0</v>
      </c>
      <c r="H1278">
        <f>FME_Ranking1[[#This Row],[Emergency Need Score (Normalized, Unweighted)]]*$F$3</f>
        <v>0</v>
      </c>
      <c r="I1278" s="246">
        <f>_xlfn.XLOOKUP(FME_Ranking1[[#This Row],[FME ID]],FME_Input[FME_ID],FME_Input[STRUCT_100])</f>
        <v>77</v>
      </c>
      <c r="J1278" s="178">
        <f>(FME_Ranking1[[#This Row],[Structures 100 Raw]]/I$2)*100</f>
        <v>4.1232917791200786E-2</v>
      </c>
      <c r="K1278" s="178">
        <f>FME_Ranking1[[#This Row],[Structures 100  Score (Normalized, Unweighted)]]*$I$3</f>
        <v>6.1849376686801179E-3</v>
      </c>
      <c r="L1278" s="246">
        <f>_xlfn.XLOOKUP(FME_Ranking1[[#This Row],[FME ID]],FME_Input[FME_ID],FME_Input[RES_STRUCT100])</f>
        <v>73</v>
      </c>
      <c r="M1278" s="230">
        <f>(FME_Ranking1[[#This Row],[Res Structures Raw]]/L$2)*100</f>
        <v>5.1706308169596697E-2</v>
      </c>
      <c r="N1278" s="180">
        <f>FME_Ranking1[[#This Row],[Res Structures Score (Normalized, Unweighted)]]*$L$3</f>
        <v>5.1706308169596699E-3</v>
      </c>
      <c r="O1278" s="244">
        <f>_xlfn.XLOOKUP(FME_Ranking1[[#This Row],[FME ID]],FME_Input[FME_ID],FME_Input[POP100])</f>
        <v>163</v>
      </c>
      <c r="P1278" s="178">
        <f>(FME_Ranking1[[#This Row],[Pop Raw]]/$O$2)*100</f>
        <v>1.6687175854168415E-2</v>
      </c>
      <c r="Q1278" s="178">
        <f>FME_Ranking1[[#This Row],[Pop Score (Normalized, Unweighted)]]*$O$3</f>
        <v>2.5030763781252624E-3</v>
      </c>
      <c r="R1278" s="137">
        <f>_xlfn.XLOOKUP(FME_Ranking1[[#This Row],[FME ID]],FME_Input[FME_ID],FME_Input[CRITFAC100])</f>
        <v>0</v>
      </c>
      <c r="S1278" s="230">
        <f>(FME_Ranking1[[#This Row],[Critical Facilities Raw]]/$R$2)*100</f>
        <v>0</v>
      </c>
      <c r="T1278" s="180">
        <f>FME_Ranking1[[#This Row],[Critical Facilities Score (Normalized, Unweighted)]]*$R$3</f>
        <v>0</v>
      </c>
      <c r="U1278">
        <f>_xlfn.XLOOKUP(FME_Ranking1[[#This Row],[FME ID]],FME_Input[FME_ID],FME_Input[LWC])</f>
        <v>2</v>
      </c>
      <c r="V1278" s="178">
        <f>(FME_Ranking1[[#This Row],[LWC Raw]]/$U$2)*100</f>
        <v>0.11514104778353484</v>
      </c>
      <c r="W1278" s="178">
        <f>FME_Ranking1[[#This Row],[LWC Score (Normalized, Unweighted)]]*$U$3</f>
        <v>2.302820955670697E-2</v>
      </c>
      <c r="X1278" s="246">
        <f>_xlfn.XLOOKUP(FME_Ranking1[[#This Row],[FME ID]],FME_Input[FME_ID],FME_Input[ROADCLS])</f>
        <v>9</v>
      </c>
      <c r="Y1278" s="230">
        <f>(FME_Ranking1[[#This Row],[Closures Raw]]/$X$2)*100</f>
        <v>9.462727368310378E-2</v>
      </c>
      <c r="Z1278" s="180">
        <f>FME_Ranking1[[#This Row],[Closures Score (Normalized, Unweighted)]]*$X$3</f>
        <v>4.7313636841551897E-3</v>
      </c>
      <c r="AA1278" s="253">
        <f>_xlfn.XLOOKUP(FME_Ranking1[[#This Row],[FME ID]],FME_Input[FME_ID],FME_Input[ROAD_MILES100])</f>
        <v>1.0346000194549561</v>
      </c>
      <c r="AB1278" s="178">
        <f>(FME_Ranking1[[#This Row],[Miles Raw]]/$AA$2)*100</f>
        <v>1.3603134613582687E-2</v>
      </c>
      <c r="AC1278" s="178">
        <f>FME_Ranking1[[#This Row],[Miles Score (Normalized, Unweighted)]]*$AA$3</f>
        <v>1.3603134613582688E-3</v>
      </c>
      <c r="AD1278" s="255">
        <f>_xlfn.XLOOKUP(FME_Ranking1[[#This Row],[FME ID]],FME_Input[FME_ID],FME_Input[FARMACRE100])</f>
        <v>0</v>
      </c>
      <c r="AE1278" s="230">
        <f>(FME_Ranking1[[#This Row],[Ag Land Raw]]/$AD$2)*100</f>
        <v>0</v>
      </c>
      <c r="AF1278" s="231">
        <f>FME_Ranking1[[#This Row],[Ag Land Score (Normalized, Unweighted)]]*$AD$3</f>
        <v>0</v>
      </c>
      <c r="AG127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4.2978531565985474E-2</v>
      </c>
      <c r="AH1278" s="406">
        <f t="shared" si="19"/>
        <v>1355</v>
      </c>
      <c r="AI127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4.2978531565985474E-2</v>
      </c>
      <c r="AJ1278" s="257">
        <f>FME_Ranking1[[#This Row],[Addition check]]-FME_Ranking1[[#This Row],[Weighted Score Based on Normalized Reported Factors]]</f>
        <v>0</v>
      </c>
      <c r="AK1278" s="178">
        <f>_xlfn.RANK.EQ(AI1278,$AI$6:$AI$2341,0)+COUNTIF($AI$6:AI1278,AI1278)-1</f>
        <v>1355</v>
      </c>
    </row>
    <row r="1279" spans="1:37" x14ac:dyDescent="0.25">
      <c r="A1279" t="s">
        <v>3199</v>
      </c>
      <c r="B1279">
        <f>_xlfn.XLOOKUP(FME_Ranking1[[#This Row],[FME ID]],FME_Input[FME_ID],FME_Input[RFPG_NUM])</f>
        <v>1</v>
      </c>
      <c r="C1279" t="str">
        <f>_xlfn.XLOOKUP(FME_Ranking1[[#This Row],[FME ID]],FME_Input[FME_ID],FME_Input[FME_NAME])</f>
        <v>East Amarillo Creek Project Planning - St. Francis Ave. Tributary Channel Reach (City of Amarillo)</v>
      </c>
      <c r="D1279" t="str">
        <f>_xlfn.XLOOKUP(FME_Ranking1[[#This Row],[FME ID]],FME_Input[FME_ID],FME_Input[DESCR])</f>
        <v>Evaluate project to quantify benefits, evaluate impacts and begin design. Improvements include installing 5-barrel, 5'x3' concrete boxes, and improving the channel. Project identified from 2019 Amarillo DMP.</v>
      </c>
      <c r="E1279" s="256">
        <f>_xlfn.XLOOKUP(FME_Ranking1[[#This Row],[FME ID]],FME_Input[FME_ID],FME_Input[FME_COST])</f>
        <v>250000</v>
      </c>
      <c r="F1279" t="str">
        <f>_xlfn.XLOOKUP(FME_Ranking1[[#This Row],[FME ID]],FME_Input[FME_ID],FME_Input[EMER_NEED])</f>
        <v>No</v>
      </c>
      <c r="G1279">
        <f>IF(FME_Ranking!F1279="Yes",100,0)</f>
        <v>0</v>
      </c>
      <c r="H1279">
        <f>FME_Ranking1[[#This Row],[Emergency Need Score (Normalized, Unweighted)]]*$F$3</f>
        <v>0</v>
      </c>
      <c r="I1279" s="246">
        <f>_xlfn.XLOOKUP(FME_Ranking1[[#This Row],[FME ID]],FME_Input[FME_ID],FME_Input[STRUCT_100])</f>
        <v>198</v>
      </c>
      <c r="J1279" s="178">
        <f>(FME_Ranking1[[#This Row],[Structures 100 Raw]]/I$2)*100</f>
        <v>0.10602750289165916</v>
      </c>
      <c r="K1279" s="178">
        <f>FME_Ranking1[[#This Row],[Structures 100  Score (Normalized, Unweighted)]]*$I$3</f>
        <v>1.5904125433748872E-2</v>
      </c>
      <c r="L1279" s="246">
        <f>_xlfn.XLOOKUP(FME_Ranking1[[#This Row],[FME ID]],FME_Input[FME_ID],FME_Input[RES_STRUCT100])</f>
        <v>151</v>
      </c>
      <c r="M1279" s="230">
        <f>(FME_Ranking1[[#This Row],[Res Structures Raw]]/L$2)*100</f>
        <v>0.10695414429601507</v>
      </c>
      <c r="N1279" s="180">
        <f>FME_Ranking1[[#This Row],[Res Structures Score (Normalized, Unweighted)]]*$L$3</f>
        <v>1.0695414429601507E-2</v>
      </c>
      <c r="O1279" s="244">
        <f>_xlfn.XLOOKUP(FME_Ranking1[[#This Row],[FME ID]],FME_Input[FME_ID],FME_Input[POP100])</f>
        <v>395</v>
      </c>
      <c r="P1279" s="178">
        <f>(FME_Ranking1[[#This Row],[Pop Raw]]/$O$2)*100</f>
        <v>4.0438248235561497E-2</v>
      </c>
      <c r="Q1279" s="178">
        <f>FME_Ranking1[[#This Row],[Pop Score (Normalized, Unweighted)]]*$O$3</f>
        <v>6.0657372353342242E-3</v>
      </c>
      <c r="R1279" s="137">
        <f>_xlfn.XLOOKUP(FME_Ranking1[[#This Row],[FME ID]],FME_Input[FME_ID],FME_Input[CRITFAC100])</f>
        <v>1</v>
      </c>
      <c r="S1279" s="230">
        <f>(FME_Ranking1[[#This Row],[Critical Facilities Raw]]/$R$2)*100</f>
        <v>4.2881646655231559E-2</v>
      </c>
      <c r="T1279" s="180">
        <f>FME_Ranking1[[#This Row],[Critical Facilities Score (Normalized, Unweighted)]]*$R$3</f>
        <v>8.5763293310463125E-3</v>
      </c>
      <c r="U1279">
        <f>_xlfn.XLOOKUP(FME_Ranking1[[#This Row],[FME ID]],FME_Input[FME_ID],FME_Input[LWC])</f>
        <v>0</v>
      </c>
      <c r="V1279" s="178">
        <f>(FME_Ranking1[[#This Row],[LWC Raw]]/$U$2)*100</f>
        <v>0</v>
      </c>
      <c r="W1279" s="178">
        <f>FME_Ranking1[[#This Row],[LWC Score (Normalized, Unweighted)]]*$U$3</f>
        <v>0</v>
      </c>
      <c r="X1279" s="246">
        <f>_xlfn.XLOOKUP(FME_Ranking1[[#This Row],[FME ID]],FME_Input[FME_ID],FME_Input[ROADCLS])</f>
        <v>0</v>
      </c>
      <c r="Y1279" s="230">
        <f>(FME_Ranking1[[#This Row],[Closures Raw]]/$X$2)*100</f>
        <v>0</v>
      </c>
      <c r="Z1279" s="180">
        <f>FME_Ranking1[[#This Row],[Closures Score (Normalized, Unweighted)]]*$X$3</f>
        <v>0</v>
      </c>
      <c r="AA1279" s="253">
        <f>_xlfn.XLOOKUP(FME_Ranking1[[#This Row],[FME ID]],FME_Input[FME_ID],FME_Input[ROAD_MILES100])</f>
        <v>10.72062873840332</v>
      </c>
      <c r="AB1279" s="178">
        <f>(FME_Ranking1[[#This Row],[Miles Raw]]/$AA$2)*100</f>
        <v>0.14095703955966604</v>
      </c>
      <c r="AC1279" s="178">
        <f>FME_Ranking1[[#This Row],[Miles Score (Normalized, Unweighted)]]*$AA$3</f>
        <v>1.4095703955966606E-2</v>
      </c>
      <c r="AD1279" s="255">
        <f>_xlfn.XLOOKUP(FME_Ranking1[[#This Row],[FME ID]],FME_Input[FME_ID],FME_Input[FARMACRE100])</f>
        <v>181.9886474609375</v>
      </c>
      <c r="AE1279" s="230">
        <f>(FME_Ranking1[[#This Row],[Ag Land Raw]]/$AD$2)*100</f>
        <v>7.5043971484372663E-3</v>
      </c>
      <c r="AF1279" s="231">
        <f>FME_Ranking1[[#This Row],[Ag Land Score (Normalized, Unweighted)]]*$AD$3</f>
        <v>3.7521985742186331E-4</v>
      </c>
      <c r="AG127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5.5712530243119389E-2</v>
      </c>
      <c r="AH1279" s="406">
        <f t="shared" si="19"/>
        <v>1264</v>
      </c>
      <c r="AI127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5.5712530243119389E-2</v>
      </c>
      <c r="AJ1279" s="257">
        <f>FME_Ranking1[[#This Row],[Addition check]]-FME_Ranking1[[#This Row],[Weighted Score Based on Normalized Reported Factors]]</f>
        <v>0</v>
      </c>
      <c r="AK1279" s="178">
        <f>_xlfn.RANK.EQ(AI1279,$AI$6:$AI$2341,0)+COUNTIF($AI$6:AI1279,AI1279)-1</f>
        <v>1264</v>
      </c>
    </row>
    <row r="1280" spans="1:37" x14ac:dyDescent="0.25">
      <c r="A1280" t="s">
        <v>3211</v>
      </c>
      <c r="B1280">
        <f>_xlfn.XLOOKUP(FME_Ranking1[[#This Row],[FME ID]],FME_Input[FME_ID],FME_Input[RFPG_NUM])</f>
        <v>1</v>
      </c>
      <c r="C1280" t="str">
        <f>_xlfn.XLOOKUP(FME_Ranking1[[#This Row],[FME ID]],FME_Input[FME_ID],FME_Input[FME_NAME])</f>
        <v>East Amarillo Creek Project Planning - Echo Street Tributary Channel Reach (City of Amarillo)</v>
      </c>
      <c r="D1280" t="str">
        <f>_xlfn.XLOOKUP(FME_Ranking1[[#This Row],[FME ID]],FME_Input[FME_ID],FME_Input[DESCR])</f>
        <v>Evaluate project to quantify benefits, evaluate impacts and begin design. Improvements include replacing it with a concrete box, installing additional concrete boxes, raising the road, and improving the channel. Project identified from 2019 Amarillo DMP.</v>
      </c>
      <c r="E1280" s="256">
        <f>_xlfn.XLOOKUP(FME_Ranking1[[#This Row],[FME ID]],FME_Input[FME_ID],FME_Input[FME_COST])</f>
        <v>250000</v>
      </c>
      <c r="F1280" t="str">
        <f>_xlfn.XLOOKUP(FME_Ranking1[[#This Row],[FME ID]],FME_Input[FME_ID],FME_Input[EMER_NEED])</f>
        <v>No</v>
      </c>
      <c r="G1280">
        <f>IF(FME_Ranking!F1280="Yes",100,0)</f>
        <v>0</v>
      </c>
      <c r="H1280">
        <f>FME_Ranking1[[#This Row],[Emergency Need Score (Normalized, Unweighted)]]*$F$3</f>
        <v>0</v>
      </c>
      <c r="I1280" s="246">
        <f>_xlfn.XLOOKUP(FME_Ranking1[[#This Row],[FME ID]],FME_Input[FME_ID],FME_Input[STRUCT_100])</f>
        <v>198</v>
      </c>
      <c r="J1280" s="178">
        <f>(FME_Ranking1[[#This Row],[Structures 100 Raw]]/I$2)*100</f>
        <v>0.10602750289165916</v>
      </c>
      <c r="K1280" s="178">
        <f>FME_Ranking1[[#This Row],[Structures 100  Score (Normalized, Unweighted)]]*$I$3</f>
        <v>1.5904125433748872E-2</v>
      </c>
      <c r="L1280" s="246">
        <f>_xlfn.XLOOKUP(FME_Ranking1[[#This Row],[FME ID]],FME_Input[FME_ID],FME_Input[RES_STRUCT100])</f>
        <v>151</v>
      </c>
      <c r="M1280" s="230">
        <f>(FME_Ranking1[[#This Row],[Res Structures Raw]]/L$2)*100</f>
        <v>0.10695414429601507</v>
      </c>
      <c r="N1280" s="180">
        <f>FME_Ranking1[[#This Row],[Res Structures Score (Normalized, Unweighted)]]*$L$3</f>
        <v>1.0695414429601507E-2</v>
      </c>
      <c r="O1280" s="244">
        <f>_xlfn.XLOOKUP(FME_Ranking1[[#This Row],[FME ID]],FME_Input[FME_ID],FME_Input[POP100])</f>
        <v>395</v>
      </c>
      <c r="P1280" s="178">
        <f>(FME_Ranking1[[#This Row],[Pop Raw]]/$O$2)*100</f>
        <v>4.0438248235561497E-2</v>
      </c>
      <c r="Q1280" s="178">
        <f>FME_Ranking1[[#This Row],[Pop Score (Normalized, Unweighted)]]*$O$3</f>
        <v>6.0657372353342242E-3</v>
      </c>
      <c r="R1280" s="137">
        <f>_xlfn.XLOOKUP(FME_Ranking1[[#This Row],[FME ID]],FME_Input[FME_ID],FME_Input[CRITFAC100])</f>
        <v>1</v>
      </c>
      <c r="S1280" s="230">
        <f>(FME_Ranking1[[#This Row],[Critical Facilities Raw]]/$R$2)*100</f>
        <v>4.2881646655231559E-2</v>
      </c>
      <c r="T1280" s="180">
        <f>FME_Ranking1[[#This Row],[Critical Facilities Score (Normalized, Unweighted)]]*$R$3</f>
        <v>8.5763293310463125E-3</v>
      </c>
      <c r="U1280">
        <f>_xlfn.XLOOKUP(FME_Ranking1[[#This Row],[FME ID]],FME_Input[FME_ID],FME_Input[LWC])</f>
        <v>0</v>
      </c>
      <c r="V1280" s="178">
        <f>(FME_Ranking1[[#This Row],[LWC Raw]]/$U$2)*100</f>
        <v>0</v>
      </c>
      <c r="W1280" s="178">
        <f>FME_Ranking1[[#This Row],[LWC Score (Normalized, Unweighted)]]*$U$3</f>
        <v>0</v>
      </c>
      <c r="X1280" s="246">
        <f>_xlfn.XLOOKUP(FME_Ranking1[[#This Row],[FME ID]],FME_Input[FME_ID],FME_Input[ROADCLS])</f>
        <v>0</v>
      </c>
      <c r="Y1280" s="230">
        <f>(FME_Ranking1[[#This Row],[Closures Raw]]/$X$2)*100</f>
        <v>0</v>
      </c>
      <c r="Z1280" s="180">
        <f>FME_Ranking1[[#This Row],[Closures Score (Normalized, Unweighted)]]*$X$3</f>
        <v>0</v>
      </c>
      <c r="AA1280" s="253">
        <f>_xlfn.XLOOKUP(FME_Ranking1[[#This Row],[FME ID]],FME_Input[FME_ID],FME_Input[ROAD_MILES100])</f>
        <v>10.72062873840332</v>
      </c>
      <c r="AB1280" s="178">
        <f>(FME_Ranking1[[#This Row],[Miles Raw]]/$AA$2)*100</f>
        <v>0.14095703955966604</v>
      </c>
      <c r="AC1280" s="178">
        <f>FME_Ranking1[[#This Row],[Miles Score (Normalized, Unweighted)]]*$AA$3</f>
        <v>1.4095703955966606E-2</v>
      </c>
      <c r="AD1280" s="255">
        <f>_xlfn.XLOOKUP(FME_Ranking1[[#This Row],[FME ID]],FME_Input[FME_ID],FME_Input[FARMACRE100])</f>
        <v>181.9886474609375</v>
      </c>
      <c r="AE1280" s="230">
        <f>(FME_Ranking1[[#This Row],[Ag Land Raw]]/$AD$2)*100</f>
        <v>7.5043971484372663E-3</v>
      </c>
      <c r="AF1280" s="231">
        <f>FME_Ranking1[[#This Row],[Ag Land Score (Normalized, Unweighted)]]*$AD$3</f>
        <v>3.7521985742186331E-4</v>
      </c>
      <c r="AG128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5.5712530243119389E-2</v>
      </c>
      <c r="AH1280" s="406">
        <f t="shared" si="19"/>
        <v>1264</v>
      </c>
      <c r="AI128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5.5712530243119389E-2</v>
      </c>
      <c r="AJ1280" s="257">
        <f>FME_Ranking1[[#This Row],[Addition check]]-FME_Ranking1[[#This Row],[Weighted Score Based on Normalized Reported Factors]]</f>
        <v>0</v>
      </c>
      <c r="AK1280" s="178">
        <f>_xlfn.RANK.EQ(AI1280,$AI$6:$AI$2341,0)+COUNTIF($AI$6:AI1280,AI1280)-1</f>
        <v>1265</v>
      </c>
    </row>
    <row r="1281" spans="1:37" x14ac:dyDescent="0.25">
      <c r="A1281" t="s">
        <v>3221</v>
      </c>
      <c r="B1281">
        <f>_xlfn.XLOOKUP(FME_Ranking1[[#This Row],[FME ID]],FME_Input[FME_ID],FME_Input[RFPG_NUM])</f>
        <v>1</v>
      </c>
      <c r="C1281" t="str">
        <f>_xlfn.XLOOKUP(FME_Ranking1[[#This Row],[FME ID]],FME_Input[FME_ID],FME_Input[FME_NAME])</f>
        <v>Culverts: Various Locations (City of Amarillo)</v>
      </c>
      <c r="D1281" t="str">
        <f>_xlfn.XLOOKUP(FME_Ranking1[[#This Row],[FME ID]],FME_Input[FME_ID],FME_Input[DESCR])</f>
        <v>Evaluate project to quantify benefits, evaluate impacts and begin design. Improvements to culverts. Project identified from 2019 Amarillo DMP.</v>
      </c>
      <c r="E1281" s="256">
        <f>_xlfn.XLOOKUP(FME_Ranking1[[#This Row],[FME ID]],FME_Input[FME_ID],FME_Input[FME_COST])</f>
        <v>250000</v>
      </c>
      <c r="F1281" t="str">
        <f>_xlfn.XLOOKUP(FME_Ranking1[[#This Row],[FME ID]],FME_Input[FME_ID],FME_Input[EMER_NEED])</f>
        <v>No</v>
      </c>
      <c r="G1281">
        <f>IF(FME_Ranking!F1281="Yes",100,0)</f>
        <v>0</v>
      </c>
      <c r="H1281">
        <f>FME_Ranking1[[#This Row],[Emergency Need Score (Normalized, Unweighted)]]*$F$3</f>
        <v>0</v>
      </c>
      <c r="I1281" s="246">
        <f>_xlfn.XLOOKUP(FME_Ranking1[[#This Row],[FME ID]],FME_Input[FME_ID],FME_Input[STRUCT_100])</f>
        <v>198</v>
      </c>
      <c r="J1281" s="178">
        <f>(FME_Ranking1[[#This Row],[Structures 100 Raw]]/I$2)*100</f>
        <v>0.10602750289165916</v>
      </c>
      <c r="K1281" s="178">
        <f>FME_Ranking1[[#This Row],[Structures 100  Score (Normalized, Unweighted)]]*$I$3</f>
        <v>1.5904125433748872E-2</v>
      </c>
      <c r="L1281" s="246">
        <f>_xlfn.XLOOKUP(FME_Ranking1[[#This Row],[FME ID]],FME_Input[FME_ID],FME_Input[RES_STRUCT100])</f>
        <v>151</v>
      </c>
      <c r="M1281" s="230">
        <f>(FME_Ranking1[[#This Row],[Res Structures Raw]]/L$2)*100</f>
        <v>0.10695414429601507</v>
      </c>
      <c r="N1281" s="180">
        <f>FME_Ranking1[[#This Row],[Res Structures Score (Normalized, Unweighted)]]*$L$3</f>
        <v>1.0695414429601507E-2</v>
      </c>
      <c r="O1281" s="244">
        <f>_xlfn.XLOOKUP(FME_Ranking1[[#This Row],[FME ID]],FME_Input[FME_ID],FME_Input[POP100])</f>
        <v>395</v>
      </c>
      <c r="P1281" s="178">
        <f>(FME_Ranking1[[#This Row],[Pop Raw]]/$O$2)*100</f>
        <v>4.0438248235561497E-2</v>
      </c>
      <c r="Q1281" s="178">
        <f>FME_Ranking1[[#This Row],[Pop Score (Normalized, Unweighted)]]*$O$3</f>
        <v>6.0657372353342242E-3</v>
      </c>
      <c r="R1281" s="137">
        <f>_xlfn.XLOOKUP(FME_Ranking1[[#This Row],[FME ID]],FME_Input[FME_ID],FME_Input[CRITFAC100])</f>
        <v>1</v>
      </c>
      <c r="S1281" s="230">
        <f>(FME_Ranking1[[#This Row],[Critical Facilities Raw]]/$R$2)*100</f>
        <v>4.2881646655231559E-2</v>
      </c>
      <c r="T1281" s="180">
        <f>FME_Ranking1[[#This Row],[Critical Facilities Score (Normalized, Unweighted)]]*$R$3</f>
        <v>8.5763293310463125E-3</v>
      </c>
      <c r="U1281">
        <f>_xlfn.XLOOKUP(FME_Ranking1[[#This Row],[FME ID]],FME_Input[FME_ID],FME_Input[LWC])</f>
        <v>0</v>
      </c>
      <c r="V1281" s="178">
        <f>(FME_Ranking1[[#This Row],[LWC Raw]]/$U$2)*100</f>
        <v>0</v>
      </c>
      <c r="W1281" s="178">
        <f>FME_Ranking1[[#This Row],[LWC Score (Normalized, Unweighted)]]*$U$3</f>
        <v>0</v>
      </c>
      <c r="X1281" s="246">
        <f>_xlfn.XLOOKUP(FME_Ranking1[[#This Row],[FME ID]],FME_Input[FME_ID],FME_Input[ROADCLS])</f>
        <v>0</v>
      </c>
      <c r="Y1281" s="230">
        <f>(FME_Ranking1[[#This Row],[Closures Raw]]/$X$2)*100</f>
        <v>0</v>
      </c>
      <c r="Z1281" s="180">
        <f>FME_Ranking1[[#This Row],[Closures Score (Normalized, Unweighted)]]*$X$3</f>
        <v>0</v>
      </c>
      <c r="AA1281" s="253">
        <f>_xlfn.XLOOKUP(FME_Ranking1[[#This Row],[FME ID]],FME_Input[FME_ID],FME_Input[ROAD_MILES100])</f>
        <v>10.72062873840332</v>
      </c>
      <c r="AB1281" s="178">
        <f>(FME_Ranking1[[#This Row],[Miles Raw]]/$AA$2)*100</f>
        <v>0.14095703955966604</v>
      </c>
      <c r="AC1281" s="178">
        <f>FME_Ranking1[[#This Row],[Miles Score (Normalized, Unweighted)]]*$AA$3</f>
        <v>1.4095703955966606E-2</v>
      </c>
      <c r="AD1281" s="255">
        <f>_xlfn.XLOOKUP(FME_Ranking1[[#This Row],[FME ID]],FME_Input[FME_ID],FME_Input[FARMACRE100])</f>
        <v>181.9886474609375</v>
      </c>
      <c r="AE1281" s="230">
        <f>(FME_Ranking1[[#This Row],[Ag Land Raw]]/$AD$2)*100</f>
        <v>7.5043971484372663E-3</v>
      </c>
      <c r="AF1281" s="231">
        <f>FME_Ranking1[[#This Row],[Ag Land Score (Normalized, Unweighted)]]*$AD$3</f>
        <v>3.7521985742186331E-4</v>
      </c>
      <c r="AG128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5.5712530243119389E-2</v>
      </c>
      <c r="AH1281" s="406">
        <f t="shared" si="19"/>
        <v>1264</v>
      </c>
      <c r="AI128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5.5712530243119389E-2</v>
      </c>
      <c r="AJ1281" s="257">
        <f>FME_Ranking1[[#This Row],[Addition check]]-FME_Ranking1[[#This Row],[Weighted Score Based on Normalized Reported Factors]]</f>
        <v>0</v>
      </c>
      <c r="AK1281" s="178">
        <f>_xlfn.RANK.EQ(AI1281,$AI$6:$AI$2341,0)+COUNTIF($AI$6:AI1281,AI1281)-1</f>
        <v>1266</v>
      </c>
    </row>
    <row r="1282" spans="1:37" x14ac:dyDescent="0.25">
      <c r="A1282" t="s">
        <v>3237</v>
      </c>
      <c r="B1282">
        <f>_xlfn.XLOOKUP(FME_Ranking1[[#This Row],[FME ID]],FME_Input[FME_ID],FME_Input[RFPG_NUM])</f>
        <v>1</v>
      </c>
      <c r="C1282" t="str">
        <f>_xlfn.XLOOKUP(FME_Ranking1[[#This Row],[FME ID]],FME_Input[FME_ID],FME_Input[FME_NAME])</f>
        <v>East Amarillo Creek Project Planning - Lower East Amarillo Creek Channel Reach  (City of Amarillo)</v>
      </c>
      <c r="D1282" t="str">
        <f>_xlfn.XLOOKUP(FME_Ranking1[[#This Row],[FME ID]],FME_Input[FME_ID],FME_Input[DESCR])</f>
        <v>Evaluate project to quantify benefits, evaluate impacts and begin design. Replace four arch CMP and improve channels. Project identified from 2019 Amarillo DMP.</v>
      </c>
      <c r="E1282" s="256">
        <f>_xlfn.XLOOKUP(FME_Ranking1[[#This Row],[FME ID]],FME_Input[FME_ID],FME_Input[FME_COST])</f>
        <v>250000</v>
      </c>
      <c r="F1282" t="str">
        <f>_xlfn.XLOOKUP(FME_Ranking1[[#This Row],[FME ID]],FME_Input[FME_ID],FME_Input[EMER_NEED])</f>
        <v>No</v>
      </c>
      <c r="G1282">
        <f>IF(FME_Ranking!F1282="Yes",100,0)</f>
        <v>0</v>
      </c>
      <c r="H1282">
        <f>FME_Ranking1[[#This Row],[Emergency Need Score (Normalized, Unweighted)]]*$F$3</f>
        <v>0</v>
      </c>
      <c r="I1282" s="246">
        <f>_xlfn.XLOOKUP(FME_Ranking1[[#This Row],[FME ID]],FME_Input[FME_ID],FME_Input[STRUCT_100])</f>
        <v>198</v>
      </c>
      <c r="J1282" s="178">
        <f>(FME_Ranking1[[#This Row],[Structures 100 Raw]]/I$2)*100</f>
        <v>0.10602750289165916</v>
      </c>
      <c r="K1282" s="178">
        <f>FME_Ranking1[[#This Row],[Structures 100  Score (Normalized, Unweighted)]]*$I$3</f>
        <v>1.5904125433748872E-2</v>
      </c>
      <c r="L1282" s="246">
        <f>_xlfn.XLOOKUP(FME_Ranking1[[#This Row],[FME ID]],FME_Input[FME_ID],FME_Input[RES_STRUCT100])</f>
        <v>151</v>
      </c>
      <c r="M1282" s="230">
        <f>(FME_Ranking1[[#This Row],[Res Structures Raw]]/L$2)*100</f>
        <v>0.10695414429601507</v>
      </c>
      <c r="N1282" s="180">
        <f>FME_Ranking1[[#This Row],[Res Structures Score (Normalized, Unweighted)]]*$L$3</f>
        <v>1.0695414429601507E-2</v>
      </c>
      <c r="O1282" s="244">
        <f>_xlfn.XLOOKUP(FME_Ranking1[[#This Row],[FME ID]],FME_Input[FME_ID],FME_Input[POP100])</f>
        <v>395</v>
      </c>
      <c r="P1282" s="178">
        <f>(FME_Ranking1[[#This Row],[Pop Raw]]/$O$2)*100</f>
        <v>4.0438248235561497E-2</v>
      </c>
      <c r="Q1282" s="178">
        <f>FME_Ranking1[[#This Row],[Pop Score (Normalized, Unweighted)]]*$O$3</f>
        <v>6.0657372353342242E-3</v>
      </c>
      <c r="R1282" s="137">
        <f>_xlfn.XLOOKUP(FME_Ranking1[[#This Row],[FME ID]],FME_Input[FME_ID],FME_Input[CRITFAC100])</f>
        <v>1</v>
      </c>
      <c r="S1282" s="230">
        <f>(FME_Ranking1[[#This Row],[Critical Facilities Raw]]/$R$2)*100</f>
        <v>4.2881646655231559E-2</v>
      </c>
      <c r="T1282" s="180">
        <f>FME_Ranking1[[#This Row],[Critical Facilities Score (Normalized, Unweighted)]]*$R$3</f>
        <v>8.5763293310463125E-3</v>
      </c>
      <c r="U1282">
        <f>_xlfn.XLOOKUP(FME_Ranking1[[#This Row],[FME ID]],FME_Input[FME_ID],FME_Input[LWC])</f>
        <v>0</v>
      </c>
      <c r="V1282" s="178">
        <f>(FME_Ranking1[[#This Row],[LWC Raw]]/$U$2)*100</f>
        <v>0</v>
      </c>
      <c r="W1282" s="178">
        <f>FME_Ranking1[[#This Row],[LWC Score (Normalized, Unweighted)]]*$U$3</f>
        <v>0</v>
      </c>
      <c r="X1282" s="246">
        <f>_xlfn.XLOOKUP(FME_Ranking1[[#This Row],[FME ID]],FME_Input[FME_ID],FME_Input[ROADCLS])</f>
        <v>0</v>
      </c>
      <c r="Y1282" s="230">
        <f>(FME_Ranking1[[#This Row],[Closures Raw]]/$X$2)*100</f>
        <v>0</v>
      </c>
      <c r="Z1282" s="180">
        <f>FME_Ranking1[[#This Row],[Closures Score (Normalized, Unweighted)]]*$X$3</f>
        <v>0</v>
      </c>
      <c r="AA1282" s="253">
        <f>_xlfn.XLOOKUP(FME_Ranking1[[#This Row],[FME ID]],FME_Input[FME_ID],FME_Input[ROAD_MILES100])</f>
        <v>10.72062873840332</v>
      </c>
      <c r="AB1282" s="178">
        <f>(FME_Ranking1[[#This Row],[Miles Raw]]/$AA$2)*100</f>
        <v>0.14095703955966604</v>
      </c>
      <c r="AC1282" s="178">
        <f>FME_Ranking1[[#This Row],[Miles Score (Normalized, Unweighted)]]*$AA$3</f>
        <v>1.4095703955966606E-2</v>
      </c>
      <c r="AD1282" s="255">
        <f>_xlfn.XLOOKUP(FME_Ranking1[[#This Row],[FME ID]],FME_Input[FME_ID],FME_Input[FARMACRE100])</f>
        <v>181.9886474609375</v>
      </c>
      <c r="AE1282" s="230">
        <f>(FME_Ranking1[[#This Row],[Ag Land Raw]]/$AD$2)*100</f>
        <v>7.5043971484372663E-3</v>
      </c>
      <c r="AF1282" s="231">
        <f>FME_Ranking1[[#This Row],[Ag Land Score (Normalized, Unweighted)]]*$AD$3</f>
        <v>3.7521985742186331E-4</v>
      </c>
      <c r="AG128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5.5712530243119389E-2</v>
      </c>
      <c r="AH1282" s="406">
        <f t="shared" si="19"/>
        <v>1264</v>
      </c>
      <c r="AI128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5.5712530243119389E-2</v>
      </c>
      <c r="AJ1282" s="257">
        <f>FME_Ranking1[[#This Row],[Addition check]]-FME_Ranking1[[#This Row],[Weighted Score Based on Normalized Reported Factors]]</f>
        <v>0</v>
      </c>
      <c r="AK1282" s="178">
        <f>_xlfn.RANK.EQ(AI1282,$AI$6:$AI$2341,0)+COUNTIF($AI$6:AI1282,AI1282)-1</f>
        <v>1267</v>
      </c>
    </row>
    <row r="1283" spans="1:37" x14ac:dyDescent="0.25">
      <c r="A1283" t="s">
        <v>3240</v>
      </c>
      <c r="B1283">
        <f>_xlfn.XLOOKUP(FME_Ranking1[[#This Row],[FME ID]],FME_Input[FME_ID],FME_Input[RFPG_NUM])</f>
        <v>1</v>
      </c>
      <c r="C1283" t="str">
        <f>_xlfn.XLOOKUP(FME_Ranking1[[#This Row],[FME ID]],FME_Input[FME_ID],FME_Input[FME_NAME])</f>
        <v>East Amarillo Creek Project Planning - Hastings Ave. to River Road Channel Reach (City of Amarillo)</v>
      </c>
      <c r="D1283" t="str">
        <f>_xlfn.XLOOKUP(FME_Ranking1[[#This Row],[FME ID]],FME_Input[FME_ID],FME_Input[DESCR])</f>
        <v>Evaluate project to quantify benefits, evaluate impacts and begin design. Improvements include installing additional concrete boxes, a reinforced concrete bridge, and improving the channel. Project identified from 2019 Amarillo DMP.</v>
      </c>
      <c r="E1283" s="256">
        <f>_xlfn.XLOOKUP(FME_Ranking1[[#This Row],[FME ID]],FME_Input[FME_ID],FME_Input[FME_COST])</f>
        <v>250000</v>
      </c>
      <c r="F1283" t="str">
        <f>_xlfn.XLOOKUP(FME_Ranking1[[#This Row],[FME ID]],FME_Input[FME_ID],FME_Input[EMER_NEED])</f>
        <v>No</v>
      </c>
      <c r="G1283">
        <f>IF(FME_Ranking!F1283="Yes",100,0)</f>
        <v>0</v>
      </c>
      <c r="H1283">
        <f>FME_Ranking1[[#This Row],[Emergency Need Score (Normalized, Unweighted)]]*$F$3</f>
        <v>0</v>
      </c>
      <c r="I1283" s="246">
        <f>_xlfn.XLOOKUP(FME_Ranking1[[#This Row],[FME ID]],FME_Input[FME_ID],FME_Input[STRUCT_100])</f>
        <v>198</v>
      </c>
      <c r="J1283" s="178">
        <f>(FME_Ranking1[[#This Row],[Structures 100 Raw]]/I$2)*100</f>
        <v>0.10602750289165916</v>
      </c>
      <c r="K1283" s="178">
        <f>FME_Ranking1[[#This Row],[Structures 100  Score (Normalized, Unweighted)]]*$I$3</f>
        <v>1.5904125433748872E-2</v>
      </c>
      <c r="L1283" s="246">
        <f>_xlfn.XLOOKUP(FME_Ranking1[[#This Row],[FME ID]],FME_Input[FME_ID],FME_Input[RES_STRUCT100])</f>
        <v>151</v>
      </c>
      <c r="M1283" s="230">
        <f>(FME_Ranking1[[#This Row],[Res Structures Raw]]/L$2)*100</f>
        <v>0.10695414429601507</v>
      </c>
      <c r="N1283" s="180">
        <f>FME_Ranking1[[#This Row],[Res Structures Score (Normalized, Unweighted)]]*$L$3</f>
        <v>1.0695414429601507E-2</v>
      </c>
      <c r="O1283" s="244">
        <f>_xlfn.XLOOKUP(FME_Ranking1[[#This Row],[FME ID]],FME_Input[FME_ID],FME_Input[POP100])</f>
        <v>395</v>
      </c>
      <c r="P1283" s="178">
        <f>(FME_Ranking1[[#This Row],[Pop Raw]]/$O$2)*100</f>
        <v>4.0438248235561497E-2</v>
      </c>
      <c r="Q1283" s="178">
        <f>FME_Ranking1[[#This Row],[Pop Score (Normalized, Unweighted)]]*$O$3</f>
        <v>6.0657372353342242E-3</v>
      </c>
      <c r="R1283" s="137">
        <f>_xlfn.XLOOKUP(FME_Ranking1[[#This Row],[FME ID]],FME_Input[FME_ID],FME_Input[CRITFAC100])</f>
        <v>1</v>
      </c>
      <c r="S1283" s="230">
        <f>(FME_Ranking1[[#This Row],[Critical Facilities Raw]]/$R$2)*100</f>
        <v>4.2881646655231559E-2</v>
      </c>
      <c r="T1283" s="180">
        <f>FME_Ranking1[[#This Row],[Critical Facilities Score (Normalized, Unweighted)]]*$R$3</f>
        <v>8.5763293310463125E-3</v>
      </c>
      <c r="U1283">
        <f>_xlfn.XLOOKUP(FME_Ranking1[[#This Row],[FME ID]],FME_Input[FME_ID],FME_Input[LWC])</f>
        <v>0</v>
      </c>
      <c r="V1283" s="178">
        <f>(FME_Ranking1[[#This Row],[LWC Raw]]/$U$2)*100</f>
        <v>0</v>
      </c>
      <c r="W1283" s="178">
        <f>FME_Ranking1[[#This Row],[LWC Score (Normalized, Unweighted)]]*$U$3</f>
        <v>0</v>
      </c>
      <c r="X1283" s="246">
        <f>_xlfn.XLOOKUP(FME_Ranking1[[#This Row],[FME ID]],FME_Input[FME_ID],FME_Input[ROADCLS])</f>
        <v>0</v>
      </c>
      <c r="Y1283" s="230">
        <f>(FME_Ranking1[[#This Row],[Closures Raw]]/$X$2)*100</f>
        <v>0</v>
      </c>
      <c r="Z1283" s="180">
        <f>FME_Ranking1[[#This Row],[Closures Score (Normalized, Unweighted)]]*$X$3</f>
        <v>0</v>
      </c>
      <c r="AA1283" s="253">
        <f>_xlfn.XLOOKUP(FME_Ranking1[[#This Row],[FME ID]],FME_Input[FME_ID],FME_Input[ROAD_MILES100])</f>
        <v>10.72062873840332</v>
      </c>
      <c r="AB1283" s="178">
        <f>(FME_Ranking1[[#This Row],[Miles Raw]]/$AA$2)*100</f>
        <v>0.14095703955966604</v>
      </c>
      <c r="AC1283" s="178">
        <f>FME_Ranking1[[#This Row],[Miles Score (Normalized, Unweighted)]]*$AA$3</f>
        <v>1.4095703955966606E-2</v>
      </c>
      <c r="AD1283" s="255">
        <f>_xlfn.XLOOKUP(FME_Ranking1[[#This Row],[FME ID]],FME_Input[FME_ID],FME_Input[FARMACRE100])</f>
        <v>181.9886474609375</v>
      </c>
      <c r="AE1283" s="230">
        <f>(FME_Ranking1[[#This Row],[Ag Land Raw]]/$AD$2)*100</f>
        <v>7.5043971484372663E-3</v>
      </c>
      <c r="AF1283" s="231">
        <f>FME_Ranking1[[#This Row],[Ag Land Score (Normalized, Unweighted)]]*$AD$3</f>
        <v>3.7521985742186331E-4</v>
      </c>
      <c r="AG128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5.5712530243119389E-2</v>
      </c>
      <c r="AH1283" s="406">
        <f t="shared" si="19"/>
        <v>1264</v>
      </c>
      <c r="AI128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5.5712530243119389E-2</v>
      </c>
      <c r="AJ1283" s="257">
        <f>FME_Ranking1[[#This Row],[Addition check]]-FME_Ranking1[[#This Row],[Weighted Score Based on Normalized Reported Factors]]</f>
        <v>0</v>
      </c>
      <c r="AK1283" s="178">
        <f>_xlfn.RANK.EQ(AI1283,$AI$6:$AI$2341,0)+COUNTIF($AI$6:AI1283,AI1283)-1</f>
        <v>1268</v>
      </c>
    </row>
    <row r="1284" spans="1:37" x14ac:dyDescent="0.25">
      <c r="A1284" t="s">
        <v>3243</v>
      </c>
      <c r="B1284">
        <f>_xlfn.XLOOKUP(FME_Ranking1[[#This Row],[FME ID]],FME_Input[FME_ID],FME_Input[RFPG_NUM])</f>
        <v>1</v>
      </c>
      <c r="C1284" t="str">
        <f>_xlfn.XLOOKUP(FME_Ranking1[[#This Row],[FME ID]],FME_Input[FME_ID],FME_Input[FME_NAME])</f>
        <v>East Amarillo Creek Project Planning - Valley Park Tributary Channel Reach (City of Amarillo)</v>
      </c>
      <c r="D1284" t="str">
        <f>_xlfn.XLOOKUP(FME_Ranking1[[#This Row],[FME ID]],FME_Input[FME_ID],FME_Input[DESCR])</f>
        <v>Evaluate project to quantify benefits, evaluate impacts and begin design. Improvements include modifying and installing concrete boxes, raising roads, and improving channels. Project identified from 2019 Amarillo DMP.</v>
      </c>
      <c r="E1284" s="256">
        <f>_xlfn.XLOOKUP(FME_Ranking1[[#This Row],[FME ID]],FME_Input[FME_ID],FME_Input[FME_COST])</f>
        <v>250000</v>
      </c>
      <c r="F1284" t="str">
        <f>_xlfn.XLOOKUP(FME_Ranking1[[#This Row],[FME ID]],FME_Input[FME_ID],FME_Input[EMER_NEED])</f>
        <v>No</v>
      </c>
      <c r="G1284">
        <f>IF(FME_Ranking!F1284="Yes",100,0)</f>
        <v>0</v>
      </c>
      <c r="H1284">
        <f>FME_Ranking1[[#This Row],[Emergency Need Score (Normalized, Unweighted)]]*$F$3</f>
        <v>0</v>
      </c>
      <c r="I1284" s="246">
        <f>_xlfn.XLOOKUP(FME_Ranking1[[#This Row],[FME ID]],FME_Input[FME_ID],FME_Input[STRUCT_100])</f>
        <v>198</v>
      </c>
      <c r="J1284" s="178">
        <f>(FME_Ranking1[[#This Row],[Structures 100 Raw]]/I$2)*100</f>
        <v>0.10602750289165916</v>
      </c>
      <c r="K1284" s="178">
        <f>FME_Ranking1[[#This Row],[Structures 100  Score (Normalized, Unweighted)]]*$I$3</f>
        <v>1.5904125433748872E-2</v>
      </c>
      <c r="L1284" s="246">
        <f>_xlfn.XLOOKUP(FME_Ranking1[[#This Row],[FME ID]],FME_Input[FME_ID],FME_Input[RES_STRUCT100])</f>
        <v>151</v>
      </c>
      <c r="M1284" s="230">
        <f>(FME_Ranking1[[#This Row],[Res Structures Raw]]/L$2)*100</f>
        <v>0.10695414429601507</v>
      </c>
      <c r="N1284" s="180">
        <f>FME_Ranking1[[#This Row],[Res Structures Score (Normalized, Unweighted)]]*$L$3</f>
        <v>1.0695414429601507E-2</v>
      </c>
      <c r="O1284" s="244">
        <f>_xlfn.XLOOKUP(FME_Ranking1[[#This Row],[FME ID]],FME_Input[FME_ID],FME_Input[POP100])</f>
        <v>395</v>
      </c>
      <c r="P1284" s="178">
        <f>(FME_Ranking1[[#This Row],[Pop Raw]]/$O$2)*100</f>
        <v>4.0438248235561497E-2</v>
      </c>
      <c r="Q1284" s="178">
        <f>FME_Ranking1[[#This Row],[Pop Score (Normalized, Unweighted)]]*$O$3</f>
        <v>6.0657372353342242E-3</v>
      </c>
      <c r="R1284" s="137">
        <f>_xlfn.XLOOKUP(FME_Ranking1[[#This Row],[FME ID]],FME_Input[FME_ID],FME_Input[CRITFAC100])</f>
        <v>1</v>
      </c>
      <c r="S1284" s="230">
        <f>(FME_Ranking1[[#This Row],[Critical Facilities Raw]]/$R$2)*100</f>
        <v>4.2881646655231559E-2</v>
      </c>
      <c r="T1284" s="180">
        <f>FME_Ranking1[[#This Row],[Critical Facilities Score (Normalized, Unweighted)]]*$R$3</f>
        <v>8.5763293310463125E-3</v>
      </c>
      <c r="U1284">
        <f>_xlfn.XLOOKUP(FME_Ranking1[[#This Row],[FME ID]],FME_Input[FME_ID],FME_Input[LWC])</f>
        <v>0</v>
      </c>
      <c r="V1284" s="178">
        <f>(FME_Ranking1[[#This Row],[LWC Raw]]/$U$2)*100</f>
        <v>0</v>
      </c>
      <c r="W1284" s="178">
        <f>FME_Ranking1[[#This Row],[LWC Score (Normalized, Unweighted)]]*$U$3</f>
        <v>0</v>
      </c>
      <c r="X1284" s="246">
        <f>_xlfn.XLOOKUP(FME_Ranking1[[#This Row],[FME ID]],FME_Input[FME_ID],FME_Input[ROADCLS])</f>
        <v>0</v>
      </c>
      <c r="Y1284" s="230">
        <f>(FME_Ranking1[[#This Row],[Closures Raw]]/$X$2)*100</f>
        <v>0</v>
      </c>
      <c r="Z1284" s="180">
        <f>FME_Ranking1[[#This Row],[Closures Score (Normalized, Unweighted)]]*$X$3</f>
        <v>0</v>
      </c>
      <c r="AA1284" s="253">
        <f>_xlfn.XLOOKUP(FME_Ranking1[[#This Row],[FME ID]],FME_Input[FME_ID],FME_Input[ROAD_MILES100])</f>
        <v>10.72062873840332</v>
      </c>
      <c r="AB1284" s="178">
        <f>(FME_Ranking1[[#This Row],[Miles Raw]]/$AA$2)*100</f>
        <v>0.14095703955966604</v>
      </c>
      <c r="AC1284" s="178">
        <f>FME_Ranking1[[#This Row],[Miles Score (Normalized, Unweighted)]]*$AA$3</f>
        <v>1.4095703955966606E-2</v>
      </c>
      <c r="AD1284" s="255">
        <f>_xlfn.XLOOKUP(FME_Ranking1[[#This Row],[FME ID]],FME_Input[FME_ID],FME_Input[FARMACRE100])</f>
        <v>181.9886474609375</v>
      </c>
      <c r="AE1284" s="230">
        <f>(FME_Ranking1[[#This Row],[Ag Land Raw]]/$AD$2)*100</f>
        <v>7.5043971484372663E-3</v>
      </c>
      <c r="AF1284" s="231">
        <f>FME_Ranking1[[#This Row],[Ag Land Score (Normalized, Unweighted)]]*$AD$3</f>
        <v>3.7521985742186331E-4</v>
      </c>
      <c r="AG128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5.5712530243119389E-2</v>
      </c>
      <c r="AH1284" s="406">
        <f t="shared" si="19"/>
        <v>1264</v>
      </c>
      <c r="AI128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5.5712530243119389E-2</v>
      </c>
      <c r="AJ1284" s="257">
        <f>FME_Ranking1[[#This Row],[Addition check]]-FME_Ranking1[[#This Row],[Weighted Score Based on Normalized Reported Factors]]</f>
        <v>0</v>
      </c>
      <c r="AK1284" s="178">
        <f>_xlfn.RANK.EQ(AI1284,$AI$6:$AI$2341,0)+COUNTIF($AI$6:AI1284,AI1284)-1</f>
        <v>1269</v>
      </c>
    </row>
    <row r="1285" spans="1:37" x14ac:dyDescent="0.25">
      <c r="A1285" t="s">
        <v>3258</v>
      </c>
      <c r="B1285">
        <f>_xlfn.XLOOKUP(FME_Ranking1[[#This Row],[FME ID]],FME_Input[FME_ID],FME_Input[RFPG_NUM])</f>
        <v>1</v>
      </c>
      <c r="C1285" t="str">
        <f>_xlfn.XLOOKUP(FME_Ranking1[[#This Row],[FME ID]],FME_Input[FME_ID],FME_Input[FME_NAME])</f>
        <v>East Amarillo Creek Project Planning - Ross Rogers Tributary Channel Reach  (City of Amarillo)</v>
      </c>
      <c r="D1285" t="str">
        <f>_xlfn.XLOOKUP(FME_Ranking1[[#This Row],[FME ID]],FME_Input[FME_ID],FME_Input[DESCR])</f>
        <v>Evaluate project to quantify benefits, evaluate impacts and begin design. Improvements include replacing arch CMP with concrete boxes, raising roads, and installing an additional concrete box. Project identified from 2019 Amarillo DMP.</v>
      </c>
      <c r="E1285" s="256">
        <f>_xlfn.XLOOKUP(FME_Ranking1[[#This Row],[FME ID]],FME_Input[FME_ID],FME_Input[FME_COST])</f>
        <v>250000</v>
      </c>
      <c r="F1285" t="str">
        <f>_xlfn.XLOOKUP(FME_Ranking1[[#This Row],[FME ID]],FME_Input[FME_ID],FME_Input[EMER_NEED])</f>
        <v>No</v>
      </c>
      <c r="G1285">
        <f>IF(FME_Ranking!F1285="Yes",100,0)</f>
        <v>0</v>
      </c>
      <c r="H1285">
        <f>FME_Ranking1[[#This Row],[Emergency Need Score (Normalized, Unweighted)]]*$F$3</f>
        <v>0</v>
      </c>
      <c r="I1285" s="246">
        <f>_xlfn.XLOOKUP(FME_Ranking1[[#This Row],[FME ID]],FME_Input[FME_ID],FME_Input[STRUCT_100])</f>
        <v>198</v>
      </c>
      <c r="J1285" s="178">
        <f>(FME_Ranking1[[#This Row],[Structures 100 Raw]]/I$2)*100</f>
        <v>0.10602750289165916</v>
      </c>
      <c r="K1285" s="178">
        <f>FME_Ranking1[[#This Row],[Structures 100  Score (Normalized, Unweighted)]]*$I$3</f>
        <v>1.5904125433748872E-2</v>
      </c>
      <c r="L1285" s="246">
        <f>_xlfn.XLOOKUP(FME_Ranking1[[#This Row],[FME ID]],FME_Input[FME_ID],FME_Input[RES_STRUCT100])</f>
        <v>151</v>
      </c>
      <c r="M1285" s="230">
        <f>(FME_Ranking1[[#This Row],[Res Structures Raw]]/L$2)*100</f>
        <v>0.10695414429601507</v>
      </c>
      <c r="N1285" s="180">
        <f>FME_Ranking1[[#This Row],[Res Structures Score (Normalized, Unweighted)]]*$L$3</f>
        <v>1.0695414429601507E-2</v>
      </c>
      <c r="O1285" s="244">
        <f>_xlfn.XLOOKUP(FME_Ranking1[[#This Row],[FME ID]],FME_Input[FME_ID],FME_Input[POP100])</f>
        <v>395</v>
      </c>
      <c r="P1285" s="178">
        <f>(FME_Ranking1[[#This Row],[Pop Raw]]/$O$2)*100</f>
        <v>4.0438248235561497E-2</v>
      </c>
      <c r="Q1285" s="178">
        <f>FME_Ranking1[[#This Row],[Pop Score (Normalized, Unweighted)]]*$O$3</f>
        <v>6.0657372353342242E-3</v>
      </c>
      <c r="R1285" s="137">
        <f>_xlfn.XLOOKUP(FME_Ranking1[[#This Row],[FME ID]],FME_Input[FME_ID],FME_Input[CRITFAC100])</f>
        <v>1</v>
      </c>
      <c r="S1285" s="230">
        <f>(FME_Ranking1[[#This Row],[Critical Facilities Raw]]/$R$2)*100</f>
        <v>4.2881646655231559E-2</v>
      </c>
      <c r="T1285" s="180">
        <f>FME_Ranking1[[#This Row],[Critical Facilities Score (Normalized, Unweighted)]]*$R$3</f>
        <v>8.5763293310463125E-3</v>
      </c>
      <c r="U1285">
        <f>_xlfn.XLOOKUP(FME_Ranking1[[#This Row],[FME ID]],FME_Input[FME_ID],FME_Input[LWC])</f>
        <v>0</v>
      </c>
      <c r="V1285" s="178">
        <f>(FME_Ranking1[[#This Row],[LWC Raw]]/$U$2)*100</f>
        <v>0</v>
      </c>
      <c r="W1285" s="178">
        <f>FME_Ranking1[[#This Row],[LWC Score (Normalized, Unweighted)]]*$U$3</f>
        <v>0</v>
      </c>
      <c r="X1285" s="246">
        <f>_xlfn.XLOOKUP(FME_Ranking1[[#This Row],[FME ID]],FME_Input[FME_ID],FME_Input[ROADCLS])</f>
        <v>0</v>
      </c>
      <c r="Y1285" s="230">
        <f>(FME_Ranking1[[#This Row],[Closures Raw]]/$X$2)*100</f>
        <v>0</v>
      </c>
      <c r="Z1285" s="180">
        <f>FME_Ranking1[[#This Row],[Closures Score (Normalized, Unweighted)]]*$X$3</f>
        <v>0</v>
      </c>
      <c r="AA1285" s="253">
        <f>_xlfn.XLOOKUP(FME_Ranking1[[#This Row],[FME ID]],FME_Input[FME_ID],FME_Input[ROAD_MILES100])</f>
        <v>10.72062873840332</v>
      </c>
      <c r="AB1285" s="178">
        <f>(FME_Ranking1[[#This Row],[Miles Raw]]/$AA$2)*100</f>
        <v>0.14095703955966604</v>
      </c>
      <c r="AC1285" s="178">
        <f>FME_Ranking1[[#This Row],[Miles Score (Normalized, Unweighted)]]*$AA$3</f>
        <v>1.4095703955966606E-2</v>
      </c>
      <c r="AD1285" s="255">
        <f>_xlfn.XLOOKUP(FME_Ranking1[[#This Row],[FME ID]],FME_Input[FME_ID],FME_Input[FARMACRE100])</f>
        <v>181.9886474609375</v>
      </c>
      <c r="AE1285" s="230">
        <f>(FME_Ranking1[[#This Row],[Ag Land Raw]]/$AD$2)*100</f>
        <v>7.5043971484372663E-3</v>
      </c>
      <c r="AF1285" s="231">
        <f>FME_Ranking1[[#This Row],[Ag Land Score (Normalized, Unweighted)]]*$AD$3</f>
        <v>3.7521985742186331E-4</v>
      </c>
      <c r="AG128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5.5712530243119389E-2</v>
      </c>
      <c r="AH1285" s="406">
        <f t="shared" si="19"/>
        <v>1264</v>
      </c>
      <c r="AI128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5.5712530243119389E-2</v>
      </c>
      <c r="AJ1285" s="257">
        <f>FME_Ranking1[[#This Row],[Addition check]]-FME_Ranking1[[#This Row],[Weighted Score Based on Normalized Reported Factors]]</f>
        <v>0</v>
      </c>
      <c r="AK1285" s="178">
        <f>_xlfn.RANK.EQ(AI1285,$AI$6:$AI$2341,0)+COUNTIF($AI$6:AI1285,AI1285)-1</f>
        <v>1270</v>
      </c>
    </row>
    <row r="1286" spans="1:37" x14ac:dyDescent="0.25">
      <c r="A1286" t="s">
        <v>3299</v>
      </c>
      <c r="B1286">
        <f>_xlfn.XLOOKUP(FME_Ranking1[[#This Row],[FME ID]],FME_Input[FME_ID],FME_Input[RFPG_NUM])</f>
        <v>1</v>
      </c>
      <c r="C1286" t="str">
        <f>_xlfn.XLOOKUP(FME_Ranking1[[#This Row],[FME ID]],FME_Input[FME_ID],FME_Input[FME_NAME])</f>
        <v>East Amarillo Creek Project Planning - North Bolton St. Storm Sewer (City of Amarillo)</v>
      </c>
      <c r="D1286" t="str">
        <f>_xlfn.XLOOKUP(FME_Ranking1[[#This Row],[FME ID]],FME_Input[FME_ID],FME_Input[DESCR])</f>
        <v>Evaluate project to quantify benefits, evaluate impacts and begin design. Improvements include adding 1 new 42" RCP and 2 new 48" RCP. Project identified from 2019 Amarillo DMP.</v>
      </c>
      <c r="E1286" s="256">
        <f>_xlfn.XLOOKUP(FME_Ranking1[[#This Row],[FME ID]],FME_Input[FME_ID],FME_Input[FME_COST])</f>
        <v>250000</v>
      </c>
      <c r="F1286" t="str">
        <f>_xlfn.XLOOKUP(FME_Ranking1[[#This Row],[FME ID]],FME_Input[FME_ID],FME_Input[EMER_NEED])</f>
        <v>No</v>
      </c>
      <c r="G1286">
        <f>IF(FME_Ranking!F1286="Yes",100,0)</f>
        <v>0</v>
      </c>
      <c r="H1286">
        <f>FME_Ranking1[[#This Row],[Emergency Need Score (Normalized, Unweighted)]]*$F$3</f>
        <v>0</v>
      </c>
      <c r="I1286" s="246">
        <f>_xlfn.XLOOKUP(FME_Ranking1[[#This Row],[FME ID]],FME_Input[FME_ID],FME_Input[STRUCT_100])</f>
        <v>198</v>
      </c>
      <c r="J1286" s="178">
        <f>(FME_Ranking1[[#This Row],[Structures 100 Raw]]/I$2)*100</f>
        <v>0.10602750289165916</v>
      </c>
      <c r="K1286" s="178">
        <f>FME_Ranking1[[#This Row],[Structures 100  Score (Normalized, Unweighted)]]*$I$3</f>
        <v>1.5904125433748872E-2</v>
      </c>
      <c r="L1286" s="246">
        <f>_xlfn.XLOOKUP(FME_Ranking1[[#This Row],[FME ID]],FME_Input[FME_ID],FME_Input[RES_STRUCT100])</f>
        <v>151</v>
      </c>
      <c r="M1286" s="230">
        <f>(FME_Ranking1[[#This Row],[Res Structures Raw]]/L$2)*100</f>
        <v>0.10695414429601507</v>
      </c>
      <c r="N1286" s="180">
        <f>FME_Ranking1[[#This Row],[Res Structures Score (Normalized, Unweighted)]]*$L$3</f>
        <v>1.0695414429601507E-2</v>
      </c>
      <c r="O1286" s="244">
        <f>_xlfn.XLOOKUP(FME_Ranking1[[#This Row],[FME ID]],FME_Input[FME_ID],FME_Input[POP100])</f>
        <v>395</v>
      </c>
      <c r="P1286" s="178">
        <f>(FME_Ranking1[[#This Row],[Pop Raw]]/$O$2)*100</f>
        <v>4.0438248235561497E-2</v>
      </c>
      <c r="Q1286" s="178">
        <f>FME_Ranking1[[#This Row],[Pop Score (Normalized, Unweighted)]]*$O$3</f>
        <v>6.0657372353342242E-3</v>
      </c>
      <c r="R1286" s="137">
        <f>_xlfn.XLOOKUP(FME_Ranking1[[#This Row],[FME ID]],FME_Input[FME_ID],FME_Input[CRITFAC100])</f>
        <v>1</v>
      </c>
      <c r="S1286" s="230">
        <f>(FME_Ranking1[[#This Row],[Critical Facilities Raw]]/$R$2)*100</f>
        <v>4.2881646655231559E-2</v>
      </c>
      <c r="T1286" s="180">
        <f>FME_Ranking1[[#This Row],[Critical Facilities Score (Normalized, Unweighted)]]*$R$3</f>
        <v>8.5763293310463125E-3</v>
      </c>
      <c r="U1286">
        <f>_xlfn.XLOOKUP(FME_Ranking1[[#This Row],[FME ID]],FME_Input[FME_ID],FME_Input[LWC])</f>
        <v>0</v>
      </c>
      <c r="V1286" s="178">
        <f>(FME_Ranking1[[#This Row],[LWC Raw]]/$U$2)*100</f>
        <v>0</v>
      </c>
      <c r="W1286" s="178">
        <f>FME_Ranking1[[#This Row],[LWC Score (Normalized, Unweighted)]]*$U$3</f>
        <v>0</v>
      </c>
      <c r="X1286" s="246">
        <f>_xlfn.XLOOKUP(FME_Ranking1[[#This Row],[FME ID]],FME_Input[FME_ID],FME_Input[ROADCLS])</f>
        <v>0</v>
      </c>
      <c r="Y1286" s="230">
        <f>(FME_Ranking1[[#This Row],[Closures Raw]]/$X$2)*100</f>
        <v>0</v>
      </c>
      <c r="Z1286" s="180">
        <f>FME_Ranking1[[#This Row],[Closures Score (Normalized, Unweighted)]]*$X$3</f>
        <v>0</v>
      </c>
      <c r="AA1286" s="253">
        <f>_xlfn.XLOOKUP(FME_Ranking1[[#This Row],[FME ID]],FME_Input[FME_ID],FME_Input[ROAD_MILES100])</f>
        <v>10.72062873840332</v>
      </c>
      <c r="AB1286" s="178">
        <f>(FME_Ranking1[[#This Row],[Miles Raw]]/$AA$2)*100</f>
        <v>0.14095703955966604</v>
      </c>
      <c r="AC1286" s="178">
        <f>FME_Ranking1[[#This Row],[Miles Score (Normalized, Unweighted)]]*$AA$3</f>
        <v>1.4095703955966606E-2</v>
      </c>
      <c r="AD1286" s="255">
        <f>_xlfn.XLOOKUP(FME_Ranking1[[#This Row],[FME ID]],FME_Input[FME_ID],FME_Input[FARMACRE100])</f>
        <v>181.9886474609375</v>
      </c>
      <c r="AE1286" s="230">
        <f>(FME_Ranking1[[#This Row],[Ag Land Raw]]/$AD$2)*100</f>
        <v>7.5043971484372663E-3</v>
      </c>
      <c r="AF1286" s="231">
        <f>FME_Ranking1[[#This Row],[Ag Land Score (Normalized, Unweighted)]]*$AD$3</f>
        <v>3.7521985742186331E-4</v>
      </c>
      <c r="AG128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5.5712530243119389E-2</v>
      </c>
      <c r="AH1286" s="406">
        <f t="shared" ref="AH1286:AH1349" si="20">_xlfn.RANK.EQ(AG1286,$AG$6:$AG$2341,0)</f>
        <v>1264</v>
      </c>
      <c r="AI128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5.5712530243119389E-2</v>
      </c>
      <c r="AJ1286" s="257">
        <f>FME_Ranking1[[#This Row],[Addition check]]-FME_Ranking1[[#This Row],[Weighted Score Based on Normalized Reported Factors]]</f>
        <v>0</v>
      </c>
      <c r="AK1286" s="178">
        <f>_xlfn.RANK.EQ(AI1286,$AI$6:$AI$2341,0)+COUNTIF($AI$6:AI1286,AI1286)-1</f>
        <v>1271</v>
      </c>
    </row>
    <row r="1287" spans="1:37" x14ac:dyDescent="0.25">
      <c r="A1287" t="s">
        <v>438</v>
      </c>
      <c r="B1287">
        <f>_xlfn.XLOOKUP(FME_Ranking1[[#This Row],[FME ID]],FME_Input[FME_ID],FME_Input[RFPG_NUM])</f>
        <v>10</v>
      </c>
      <c r="C1287" t="str">
        <f>_xlfn.XLOOKUP(FME_Ranking1[[#This Row],[FME ID]],FME_Input[FME_ID],FME_Input[FME_NAME])</f>
        <v>Llano River Channel Maintenance/Improvements</v>
      </c>
      <c r="D1287" t="str">
        <f>_xlfn.XLOOKUP(FME_Ranking1[[#This Row],[FME ID]],FME_Input[FME_ID],FME_Input[DESCR])</f>
        <v>Implement a new program to clear and clean creeks/drains and Llano River bed</v>
      </c>
      <c r="E1287" s="256">
        <f>_xlfn.XLOOKUP(FME_Ranking1[[#This Row],[FME ID]],FME_Input[FME_ID],FME_Input[FME_COST])</f>
        <v>100000</v>
      </c>
      <c r="F1287" t="str">
        <f>_xlfn.XLOOKUP(FME_Ranking1[[#This Row],[FME ID]],FME_Input[FME_ID],FME_Input[EMER_NEED])</f>
        <v>No</v>
      </c>
      <c r="G1287">
        <f>IF(FME_Ranking!F1287="Yes",100,0)</f>
        <v>0</v>
      </c>
      <c r="H1287">
        <f>FME_Ranking1[[#This Row],[Emergency Need Score (Normalized, Unweighted)]]*$F$3</f>
        <v>0</v>
      </c>
      <c r="I1287" s="246">
        <f>_xlfn.XLOOKUP(FME_Ranking1[[#This Row],[FME ID]],FME_Input[FME_ID],FME_Input[STRUCT_100])</f>
        <v>181</v>
      </c>
      <c r="J1287" s="178">
        <f>(FME_Ranking1[[#This Row],[Structures 100 Raw]]/I$2)*100</f>
        <v>9.6924131431264188E-2</v>
      </c>
      <c r="K1287" s="178">
        <f>FME_Ranking1[[#This Row],[Structures 100  Score (Normalized, Unweighted)]]*$I$3</f>
        <v>1.4538619714689628E-2</v>
      </c>
      <c r="L1287" s="246">
        <f>_xlfn.XLOOKUP(FME_Ranking1[[#This Row],[FME ID]],FME_Input[FME_ID],FME_Input[RES_STRUCT100])</f>
        <v>104</v>
      </c>
      <c r="M1287" s="230">
        <f>(FME_Ranking1[[#This Row],[Res Structures Raw]]/L$2)*100</f>
        <v>7.3663781501891179E-2</v>
      </c>
      <c r="N1287" s="180">
        <f>FME_Ranking1[[#This Row],[Res Structures Score (Normalized, Unweighted)]]*$L$3</f>
        <v>7.3663781501891179E-3</v>
      </c>
      <c r="O1287" s="244">
        <f>_xlfn.XLOOKUP(FME_Ranking1[[#This Row],[FME ID]],FME_Input[FME_ID],FME_Input[POP100])</f>
        <v>445</v>
      </c>
      <c r="P1287" s="178">
        <f>(FME_Ranking1[[#This Row],[Pop Raw]]/$O$2)*100</f>
        <v>4.5557013834999667E-2</v>
      </c>
      <c r="Q1287" s="178">
        <f>FME_Ranking1[[#This Row],[Pop Score (Normalized, Unweighted)]]*$O$3</f>
        <v>6.8335520752499501E-3</v>
      </c>
      <c r="R1287" s="137">
        <f>_xlfn.XLOOKUP(FME_Ranking1[[#This Row],[FME ID]],FME_Input[FME_ID],FME_Input[CRITFAC100])</f>
        <v>0</v>
      </c>
      <c r="S1287" s="230">
        <f>(FME_Ranking1[[#This Row],[Critical Facilities Raw]]/$R$2)*100</f>
        <v>0</v>
      </c>
      <c r="T1287" s="180">
        <f>FME_Ranking1[[#This Row],[Critical Facilities Score (Normalized, Unweighted)]]*$R$3</f>
        <v>0</v>
      </c>
      <c r="U1287">
        <f>_xlfn.XLOOKUP(FME_Ranking1[[#This Row],[FME ID]],FME_Input[FME_ID],FME_Input[LWC])</f>
        <v>1</v>
      </c>
      <c r="V1287" s="178">
        <f>(FME_Ranking1[[#This Row],[LWC Raw]]/$U$2)*100</f>
        <v>5.7570523891767422E-2</v>
      </c>
      <c r="W1287" s="178">
        <f>FME_Ranking1[[#This Row],[LWC Score (Normalized, Unweighted)]]*$U$3</f>
        <v>1.1514104778353485E-2</v>
      </c>
      <c r="X1287" s="246">
        <f>_xlfn.XLOOKUP(FME_Ranking1[[#This Row],[FME ID]],FME_Input[FME_ID],FME_Input[ROADCLS])</f>
        <v>0</v>
      </c>
      <c r="Y1287" s="230">
        <f>(FME_Ranking1[[#This Row],[Closures Raw]]/$X$2)*100</f>
        <v>0</v>
      </c>
      <c r="Z1287" s="180">
        <f>FME_Ranking1[[#This Row],[Closures Score (Normalized, Unweighted)]]*$X$3</f>
        <v>0</v>
      </c>
      <c r="AA1287" s="253">
        <f>_xlfn.XLOOKUP(FME_Ranking1[[#This Row],[FME ID]],FME_Input[FME_ID],FME_Input[ROAD_MILES100])</f>
        <v>3.4782965183258061</v>
      </c>
      <c r="AB1287" s="178">
        <f>(FME_Ranking1[[#This Row],[Miles Raw]]/$AA$2)*100</f>
        <v>4.5733360598300216E-2</v>
      </c>
      <c r="AC1287" s="178">
        <f>FME_Ranking1[[#This Row],[Miles Score (Normalized, Unweighted)]]*$AA$3</f>
        <v>4.5733360598300219E-3</v>
      </c>
      <c r="AD1287" s="255">
        <f>_xlfn.XLOOKUP(FME_Ranking1[[#This Row],[FME ID]],FME_Input[FME_ID],FME_Input[FARMACRE100])</f>
        <v>463.77835083007813</v>
      </c>
      <c r="AE1287" s="230">
        <f>(FME_Ranking1[[#This Row],[Ag Land Raw]]/$AD$2)*100</f>
        <v>1.9124143082733847E-2</v>
      </c>
      <c r="AF1287" s="231">
        <f>FME_Ranking1[[#This Row],[Ag Land Score (Normalized, Unweighted)]]*$AD$3</f>
        <v>9.5620715413669238E-4</v>
      </c>
      <c r="AG128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4.5782197932448893E-2</v>
      </c>
      <c r="AH1287" s="406">
        <f t="shared" si="20"/>
        <v>1331</v>
      </c>
      <c r="AI128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4.5782197932448893E-2</v>
      </c>
      <c r="AJ1287" s="257">
        <f>FME_Ranking1[[#This Row],[Addition check]]-FME_Ranking1[[#This Row],[Weighted Score Based on Normalized Reported Factors]]</f>
        <v>0</v>
      </c>
      <c r="AK1287" s="178">
        <f>_xlfn.RANK.EQ(AI1287,$AI$6:$AI$2341,0)+COUNTIF($AI$6:AI1287,AI1287)-1</f>
        <v>1331</v>
      </c>
    </row>
    <row r="1288" spans="1:37" x14ac:dyDescent="0.25">
      <c r="A1288" t="s">
        <v>364</v>
      </c>
      <c r="B1288">
        <f>_xlfn.XLOOKUP(FME_Ranking1[[#This Row],[FME ID]],FME_Input[FME_ID],FME_Input[RFPG_NUM])</f>
        <v>10</v>
      </c>
      <c r="C1288" t="str">
        <f>_xlfn.XLOOKUP(FME_Ranking1[[#This Row],[FME ID]],FME_Input[FME_ID],FME_Input[FME_NAME])</f>
        <v>MLK Blvd to Mexico Street</v>
      </c>
      <c r="D1288" t="str">
        <f>_xlfn.XLOOKUP(FME_Ranking1[[#This Row],[FME ID]],FME_Input[FME_ID],FME_Input[DESCR])</f>
        <v xml:space="preserve">Replace culverts with larger box culverts &amp; parallel wings; MLK Blvd to Mexico St_x000D_
</v>
      </c>
      <c r="E1288" s="256">
        <f>_xlfn.XLOOKUP(FME_Ranking1[[#This Row],[FME ID]],FME_Input[FME_ID],FME_Input[FME_COST])</f>
        <v>100000</v>
      </c>
      <c r="F1288" t="str">
        <f>_xlfn.XLOOKUP(FME_Ranking1[[#This Row],[FME ID]],FME_Input[FME_ID],FME_Input[EMER_NEED])</f>
        <v>No</v>
      </c>
      <c r="G1288">
        <f>IF(FME_Ranking!F1288="Yes",100,0)</f>
        <v>0</v>
      </c>
      <c r="H1288">
        <f>FME_Ranking1[[#This Row],[Emergency Need Score (Normalized, Unweighted)]]*$F$3</f>
        <v>0</v>
      </c>
      <c r="I1288" s="246">
        <f>_xlfn.XLOOKUP(FME_Ranking1[[#This Row],[FME ID]],FME_Input[FME_ID],FME_Input[STRUCT_100])</f>
        <v>223</v>
      </c>
      <c r="J1288" s="178">
        <f>(FME_Ranking1[[#This Row],[Structures 100 Raw]]/I$2)*100</f>
        <v>0.11941481386282826</v>
      </c>
      <c r="K1288" s="178">
        <f>FME_Ranking1[[#This Row],[Structures 100  Score (Normalized, Unweighted)]]*$I$3</f>
        <v>1.791222207942424E-2</v>
      </c>
      <c r="L1288" s="246">
        <f>_xlfn.XLOOKUP(FME_Ranking1[[#This Row],[FME ID]],FME_Input[FME_ID],FME_Input[RES_STRUCT100])</f>
        <v>173</v>
      </c>
      <c r="M1288" s="230">
        <f>(FME_Ranking1[[#This Row],[Res Structures Raw]]/L$2)*100</f>
        <v>0.12253686730603051</v>
      </c>
      <c r="N1288" s="180">
        <f>FME_Ranking1[[#This Row],[Res Structures Score (Normalized, Unweighted)]]*$L$3</f>
        <v>1.2253686730603052E-2</v>
      </c>
      <c r="O1288" s="244">
        <f>_xlfn.XLOOKUP(FME_Ranking1[[#This Row],[FME ID]],FME_Input[FME_ID],FME_Input[POP100])</f>
        <v>689</v>
      </c>
      <c r="P1288" s="178">
        <f>(FME_Ranking1[[#This Row],[Pop Raw]]/$O$2)*100</f>
        <v>7.0536589960257912E-2</v>
      </c>
      <c r="Q1288" s="178">
        <f>FME_Ranking1[[#This Row],[Pop Score (Normalized, Unweighted)]]*$O$3</f>
        <v>1.0580488494038686E-2</v>
      </c>
      <c r="R1288" s="137">
        <f>_xlfn.XLOOKUP(FME_Ranking1[[#This Row],[FME ID]],FME_Input[FME_ID],FME_Input[CRITFAC100])</f>
        <v>0</v>
      </c>
      <c r="S1288" s="230">
        <f>(FME_Ranking1[[#This Row],[Critical Facilities Raw]]/$R$2)*100</f>
        <v>0</v>
      </c>
      <c r="T1288" s="180">
        <f>FME_Ranking1[[#This Row],[Critical Facilities Score (Normalized, Unweighted)]]*$R$3</f>
        <v>0</v>
      </c>
      <c r="U1288">
        <f>_xlfn.XLOOKUP(FME_Ranking1[[#This Row],[FME ID]],FME_Input[FME_ID],FME_Input[LWC])</f>
        <v>0</v>
      </c>
      <c r="V1288" s="178">
        <f>(FME_Ranking1[[#This Row],[LWC Raw]]/$U$2)*100</f>
        <v>0</v>
      </c>
      <c r="W1288" s="178">
        <f>FME_Ranking1[[#This Row],[LWC Score (Normalized, Unweighted)]]*$U$3</f>
        <v>0</v>
      </c>
      <c r="X1288" s="246">
        <f>_xlfn.XLOOKUP(FME_Ranking1[[#This Row],[FME ID]],FME_Input[FME_ID],FME_Input[ROADCLS])</f>
        <v>0</v>
      </c>
      <c r="Y1288" s="230">
        <f>(FME_Ranking1[[#This Row],[Closures Raw]]/$X$2)*100</f>
        <v>0</v>
      </c>
      <c r="Z1288" s="180">
        <f>FME_Ranking1[[#This Row],[Closures Score (Normalized, Unweighted)]]*$X$3</f>
        <v>0</v>
      </c>
      <c r="AA1288" s="253">
        <f>_xlfn.XLOOKUP(FME_Ranking1[[#This Row],[FME ID]],FME_Input[FME_ID],FME_Input[ROAD_MILES100])</f>
        <v>5.3424344062805176</v>
      </c>
      <c r="AB1288" s="178">
        <f>(FME_Ranking1[[#This Row],[Miles Raw]]/$AA$2)*100</f>
        <v>7.0243430336639018E-2</v>
      </c>
      <c r="AC1288" s="178">
        <f>FME_Ranking1[[#This Row],[Miles Score (Normalized, Unweighted)]]*$AA$3</f>
        <v>7.0243430336639021E-3</v>
      </c>
      <c r="AD1288" s="255">
        <f>_xlfn.XLOOKUP(FME_Ranking1[[#This Row],[FME ID]],FME_Input[FME_ID],FME_Input[FARMACRE100])</f>
        <v>169.8894958496094</v>
      </c>
      <c r="AE1288" s="230">
        <f>(FME_Ranking1[[#This Row],[Ag Land Raw]]/$AD$2)*100</f>
        <v>7.0054822978829227E-3</v>
      </c>
      <c r="AF1288" s="231">
        <f>FME_Ranking1[[#This Row],[Ag Land Score (Normalized, Unweighted)]]*$AD$3</f>
        <v>3.5027411489414615E-4</v>
      </c>
      <c r="AG128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4.8121014452624025E-2</v>
      </c>
      <c r="AH1288" s="406">
        <f t="shared" si="20"/>
        <v>1324</v>
      </c>
      <c r="AI128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4.8121014452624025E-2</v>
      </c>
      <c r="AJ1288" s="257">
        <f>FME_Ranking1[[#This Row],[Addition check]]-FME_Ranking1[[#This Row],[Weighted Score Based on Normalized Reported Factors]]</f>
        <v>0</v>
      </c>
      <c r="AK1288" s="178">
        <f>_xlfn.RANK.EQ(AI1288,$AI$6:$AI$2341,0)+COUNTIF($AI$6:AI1288,AI1288)-1</f>
        <v>1324</v>
      </c>
    </row>
    <row r="1289" spans="1:37" x14ac:dyDescent="0.25">
      <c r="A1289" t="s">
        <v>318</v>
      </c>
      <c r="B1289">
        <f>_xlfn.XLOOKUP(FME_Ranking1[[#This Row],[FME ID]],FME_Input[FME_ID],FME_Input[RFPG_NUM])</f>
        <v>10</v>
      </c>
      <c r="C1289" t="str">
        <f>_xlfn.XLOOKUP(FME_Ranking1[[#This Row],[FME ID]],FME_Input[FME_ID],FME_Input[FME_NAME])</f>
        <v>Schubert Low Water Crossing</v>
      </c>
      <c r="D1289" t="str">
        <f>_xlfn.XLOOKUP(FME_Ranking1[[#This Row],[FME ID]],FME_Input[FME_ID],FME_Input[DESCR])</f>
        <v>Lower channel by 4-5' with drop structures; install five 9'x5' culverts</v>
      </c>
      <c r="E1289" s="256">
        <f>_xlfn.XLOOKUP(FME_Ranking1[[#This Row],[FME ID]],FME_Input[FME_ID],FME_Input[FME_COST])</f>
        <v>50000</v>
      </c>
      <c r="F1289" t="str">
        <f>_xlfn.XLOOKUP(FME_Ranking1[[#This Row],[FME ID]],FME_Input[FME_ID],FME_Input[EMER_NEED])</f>
        <v>No</v>
      </c>
      <c r="G1289">
        <f>IF(FME_Ranking!F1289="Yes",100,0)</f>
        <v>0</v>
      </c>
      <c r="H1289">
        <f>FME_Ranking1[[#This Row],[Emergency Need Score (Normalized, Unweighted)]]*$F$3</f>
        <v>0</v>
      </c>
      <c r="I1289" s="246">
        <f>_xlfn.XLOOKUP(FME_Ranking1[[#This Row],[FME ID]],FME_Input[FME_ID],FME_Input[STRUCT_100])</f>
        <v>44</v>
      </c>
      <c r="J1289" s="178">
        <f>(FME_Ranking1[[#This Row],[Structures 100 Raw]]/I$2)*100</f>
        <v>2.3561667309257593E-2</v>
      </c>
      <c r="K1289" s="178">
        <f>FME_Ranking1[[#This Row],[Structures 100  Score (Normalized, Unweighted)]]*$I$3</f>
        <v>3.5342500963886389E-3</v>
      </c>
      <c r="L1289" s="246">
        <f>_xlfn.XLOOKUP(FME_Ranking1[[#This Row],[FME ID]],FME_Input[FME_ID],FME_Input[RES_STRUCT100])</f>
        <v>26</v>
      </c>
      <c r="M1289" s="230">
        <f>(FME_Ranking1[[#This Row],[Res Structures Raw]]/L$2)*100</f>
        <v>1.8415945375472795E-2</v>
      </c>
      <c r="N1289" s="180">
        <f>FME_Ranking1[[#This Row],[Res Structures Score (Normalized, Unweighted)]]*$L$3</f>
        <v>1.8415945375472795E-3</v>
      </c>
      <c r="O1289" s="244">
        <f>_xlfn.XLOOKUP(FME_Ranking1[[#This Row],[FME ID]],FME_Input[FME_ID],FME_Input[POP100])</f>
        <v>59</v>
      </c>
      <c r="P1289" s="178">
        <f>(FME_Ranking1[[#This Row],[Pop Raw]]/$O$2)*100</f>
        <v>6.0401434073370343E-3</v>
      </c>
      <c r="Q1289" s="178">
        <f>FME_Ranking1[[#This Row],[Pop Score (Normalized, Unweighted)]]*$O$3</f>
        <v>9.0602151110055513E-4</v>
      </c>
      <c r="R1289" s="137">
        <f>_xlfn.XLOOKUP(FME_Ranking1[[#This Row],[FME ID]],FME_Input[FME_ID],FME_Input[CRITFAC100])</f>
        <v>0</v>
      </c>
      <c r="S1289" s="230">
        <f>(FME_Ranking1[[#This Row],[Critical Facilities Raw]]/$R$2)*100</f>
        <v>0</v>
      </c>
      <c r="T1289" s="180">
        <f>FME_Ranking1[[#This Row],[Critical Facilities Score (Normalized, Unweighted)]]*$R$3</f>
        <v>0</v>
      </c>
      <c r="U1289">
        <f>_xlfn.XLOOKUP(FME_Ranking1[[#This Row],[FME ID]],FME_Input[FME_ID],FME_Input[LWC])</f>
        <v>3</v>
      </c>
      <c r="V1289" s="178">
        <f>(FME_Ranking1[[#This Row],[LWC Raw]]/$U$2)*100</f>
        <v>0.17271157167530224</v>
      </c>
      <c r="W1289" s="178">
        <f>FME_Ranking1[[#This Row],[LWC Score (Normalized, Unweighted)]]*$U$3</f>
        <v>3.4542314335060449E-2</v>
      </c>
      <c r="X1289" s="246">
        <f>_xlfn.XLOOKUP(FME_Ranking1[[#This Row],[FME ID]],FME_Input[FME_ID],FME_Input[ROADCLS])</f>
        <v>0</v>
      </c>
      <c r="Y1289" s="230">
        <f>(FME_Ranking1[[#This Row],[Closures Raw]]/$X$2)*100</f>
        <v>0</v>
      </c>
      <c r="Z1289" s="180">
        <f>FME_Ranking1[[#This Row],[Closures Score (Normalized, Unweighted)]]*$X$3</f>
        <v>0</v>
      </c>
      <c r="AA1289" s="253">
        <f>_xlfn.XLOOKUP(FME_Ranking1[[#This Row],[FME ID]],FME_Input[FME_ID],FME_Input[ROAD_MILES100])</f>
        <v>0</v>
      </c>
      <c r="AB1289" s="178">
        <f>(FME_Ranking1[[#This Row],[Miles Raw]]/$AA$2)*100</f>
        <v>0</v>
      </c>
      <c r="AC1289" s="178">
        <f>FME_Ranking1[[#This Row],[Miles Score (Normalized, Unweighted)]]*$AA$3</f>
        <v>0</v>
      </c>
      <c r="AD1289" s="255">
        <f>_xlfn.XLOOKUP(FME_Ranking1[[#This Row],[FME ID]],FME_Input[FME_ID],FME_Input[FARMACRE100])</f>
        <v>112.184440612793</v>
      </c>
      <c r="AE1289" s="230">
        <f>(FME_Ranking1[[#This Row],[Ag Land Raw]]/$AD$2)*100</f>
        <v>4.6259841368092814E-3</v>
      </c>
      <c r="AF1289" s="231">
        <f>FME_Ranking1[[#This Row],[Ag Land Score (Normalized, Unweighted)]]*$AD$3</f>
        <v>2.3129920684046408E-4</v>
      </c>
      <c r="AG128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4.1055479686937388E-2</v>
      </c>
      <c r="AH1289" s="406">
        <f t="shared" si="20"/>
        <v>1370</v>
      </c>
      <c r="AI128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4.1055479686937388E-2</v>
      </c>
      <c r="AJ1289" s="257">
        <f>FME_Ranking1[[#This Row],[Addition check]]-FME_Ranking1[[#This Row],[Weighted Score Based on Normalized Reported Factors]]</f>
        <v>0</v>
      </c>
      <c r="AK1289" s="178">
        <f>_xlfn.RANK.EQ(AI1289,$AI$6:$AI$2341,0)+COUNTIF($AI$6:AI1289,AI1289)-1</f>
        <v>1370</v>
      </c>
    </row>
    <row r="1290" spans="1:37" x14ac:dyDescent="0.25">
      <c r="A1290" t="s">
        <v>246</v>
      </c>
      <c r="B1290">
        <f>_xlfn.XLOOKUP(FME_Ranking1[[#This Row],[FME ID]],FME_Input[FME_ID],FME_Input[RFPG_NUM])</f>
        <v>10</v>
      </c>
      <c r="C1290" t="str">
        <f>_xlfn.XLOOKUP(FME_Ranking1[[#This Row],[FME ID]],FME_Input[FME_ID],FME_Input[FME_NAME])</f>
        <v>Citywide Floodplain Remapping</v>
      </c>
      <c r="D1290" t="str">
        <f>_xlfn.XLOOKUP(FME_Ranking1[[#This Row],[FME ID]],FME_Input[FME_ID],FME_Input[DESCR])</f>
        <v xml:space="preserve">Floodplain remapping of the entire city using Atlas 14 rainfall data._x000D_
</v>
      </c>
      <c r="E1290" s="256">
        <f>_xlfn.XLOOKUP(FME_Ranking1[[#This Row],[FME ID]],FME_Input[FME_ID],FME_Input[FME_COST])</f>
        <v>250000</v>
      </c>
      <c r="F1290" t="str">
        <f>_xlfn.XLOOKUP(FME_Ranking1[[#This Row],[FME ID]],FME_Input[FME_ID],FME_Input[EMER_NEED])</f>
        <v>No</v>
      </c>
      <c r="G1290">
        <f>IF(FME_Ranking!F1290="Yes",100,0)</f>
        <v>0</v>
      </c>
      <c r="H1290">
        <f>FME_Ranking1[[#This Row],[Emergency Need Score (Normalized, Unweighted)]]*$F$3</f>
        <v>0</v>
      </c>
      <c r="I1290" s="246">
        <f>_xlfn.XLOOKUP(FME_Ranking1[[#This Row],[FME ID]],FME_Input[FME_ID],FME_Input[STRUCT_100])</f>
        <v>158</v>
      </c>
      <c r="J1290" s="178">
        <f>(FME_Ranking1[[#This Row],[Structures 100 Raw]]/I$2)*100</f>
        <v>8.4607805337788625E-2</v>
      </c>
      <c r="K1290" s="178">
        <f>FME_Ranking1[[#This Row],[Structures 100  Score (Normalized, Unweighted)]]*$I$3</f>
        <v>1.2691170800668294E-2</v>
      </c>
      <c r="L1290" s="246">
        <f>_xlfn.XLOOKUP(FME_Ranking1[[#This Row],[FME ID]],FME_Input[FME_ID],FME_Input[RES_STRUCT100])</f>
        <v>157</v>
      </c>
      <c r="M1290" s="230">
        <f>(FME_Ranking1[[#This Row],[Res Structures Raw]]/L$2)*100</f>
        <v>0.11120397784420109</v>
      </c>
      <c r="N1290" s="180">
        <f>FME_Ranking1[[#This Row],[Res Structures Score (Normalized, Unweighted)]]*$L$3</f>
        <v>1.1120397784420109E-2</v>
      </c>
      <c r="O1290" s="244">
        <f>_xlfn.XLOOKUP(FME_Ranking1[[#This Row],[FME ID]],FME_Input[FME_ID],FME_Input[POP100])</f>
        <v>322</v>
      </c>
      <c r="P1290" s="178">
        <f>(FME_Ranking1[[#This Row],[Pop Raw]]/$O$2)*100</f>
        <v>3.2964850460381778E-2</v>
      </c>
      <c r="Q1290" s="178">
        <f>FME_Ranking1[[#This Row],[Pop Score (Normalized, Unweighted)]]*$O$3</f>
        <v>4.9447275690572669E-3</v>
      </c>
      <c r="R1290" s="137">
        <f>_xlfn.XLOOKUP(FME_Ranking1[[#This Row],[FME ID]],FME_Input[FME_ID],FME_Input[CRITFAC100])</f>
        <v>0</v>
      </c>
      <c r="S1290" s="230">
        <f>(FME_Ranking1[[#This Row],[Critical Facilities Raw]]/$R$2)*100</f>
        <v>0</v>
      </c>
      <c r="T1290" s="180">
        <f>FME_Ranking1[[#This Row],[Critical Facilities Score (Normalized, Unweighted)]]*$R$3</f>
        <v>0</v>
      </c>
      <c r="U1290">
        <f>_xlfn.XLOOKUP(FME_Ranking1[[#This Row],[FME ID]],FME_Input[FME_ID],FME_Input[LWC])</f>
        <v>1</v>
      </c>
      <c r="V1290" s="178">
        <f>(FME_Ranking1[[#This Row],[LWC Raw]]/$U$2)*100</f>
        <v>5.7570523891767422E-2</v>
      </c>
      <c r="W1290" s="178">
        <f>FME_Ranking1[[#This Row],[LWC Score (Normalized, Unweighted)]]*$U$3</f>
        <v>1.1514104778353485E-2</v>
      </c>
      <c r="X1290" s="246">
        <f>_xlfn.XLOOKUP(FME_Ranking1[[#This Row],[FME ID]],FME_Input[FME_ID],FME_Input[ROADCLS])</f>
        <v>0</v>
      </c>
      <c r="Y1290" s="230">
        <f>(FME_Ranking1[[#This Row],[Closures Raw]]/$X$2)*100</f>
        <v>0</v>
      </c>
      <c r="Z1290" s="180">
        <f>FME_Ranking1[[#This Row],[Closures Score (Normalized, Unweighted)]]*$X$3</f>
        <v>0</v>
      </c>
      <c r="AA1290" s="253">
        <f>_xlfn.XLOOKUP(FME_Ranking1[[#This Row],[FME ID]],FME_Input[FME_ID],FME_Input[ROAD_MILES100])</f>
        <v>2.2854912281036381</v>
      </c>
      <c r="AB1290" s="178">
        <f>(FME_Ranking1[[#This Row],[Miles Raw]]/$AA$2)*100</f>
        <v>3.0050110428602967E-2</v>
      </c>
      <c r="AC1290" s="178">
        <f>FME_Ranking1[[#This Row],[Miles Score (Normalized, Unweighted)]]*$AA$3</f>
        <v>3.005011042860297E-3</v>
      </c>
      <c r="AD1290" s="255">
        <f>_xlfn.XLOOKUP(FME_Ranking1[[#This Row],[FME ID]],FME_Input[FME_ID],FME_Input[FARMACRE100])</f>
        <v>331.79293823242188</v>
      </c>
      <c r="AE1290" s="230">
        <f>(FME_Ranking1[[#This Row],[Ag Land Raw]]/$AD$2)*100</f>
        <v>1.3681655500392948E-2</v>
      </c>
      <c r="AF1290" s="231">
        <f>FME_Ranking1[[#This Row],[Ag Land Score (Normalized, Unweighted)]]*$AD$3</f>
        <v>6.8408277501964744E-4</v>
      </c>
      <c r="AG129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4.3959494750379094E-2</v>
      </c>
      <c r="AH1290" s="406">
        <f t="shared" si="20"/>
        <v>1346</v>
      </c>
      <c r="AI129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4.3959494750379094E-2</v>
      </c>
      <c r="AJ1290" s="257">
        <f>FME_Ranking1[[#This Row],[Addition check]]-FME_Ranking1[[#This Row],[Weighted Score Based on Normalized Reported Factors]]</f>
        <v>0</v>
      </c>
      <c r="AK1290" s="178">
        <f>_xlfn.RANK.EQ(AI1290,$AI$6:$AI$2341,0)+COUNTIF($AI$6:AI1290,AI1290)-1</f>
        <v>1346</v>
      </c>
    </row>
    <row r="1291" spans="1:37" x14ac:dyDescent="0.25">
      <c r="A1291" t="s">
        <v>4453</v>
      </c>
      <c r="B1291">
        <f>_xlfn.XLOOKUP(FME_Ranking1[[#This Row],[FME ID]],FME_Input[FME_ID],FME_Input[RFPG_NUM])</f>
        <v>3</v>
      </c>
      <c r="C1291" t="str">
        <f>_xlfn.XLOOKUP(FME_Ranking1[[#This Row],[FME ID]],FME_Input[FME_ID],FME_Input[FME_NAME])</f>
        <v xml:space="preserve">Exall and Wycliffe Dam Maintenance Protocol for Drainage Systems and Flood Control Structures </v>
      </c>
      <c r="D1291" t="str">
        <f>_xlfn.XLOOKUP(FME_Ranking1[[#This Row],[FME ID]],FME_Input[FME_ID],FME_Input[DESCR])</f>
        <v>Analyze maintenance protocol for Drainage Systems/Flood Control Structures in and around the Exall and Wycliffe Dams. Conduct study to determine roadway reconstruction, culvert/bridge construction and associated bank protection and improvements</v>
      </c>
      <c r="E1291" s="256">
        <f>_xlfn.XLOOKUP(FME_Ranking1[[#This Row],[FME ID]],FME_Input[FME_ID],FME_Input[FME_COST])</f>
        <v>175000</v>
      </c>
      <c r="F1291" t="str">
        <f>_xlfn.XLOOKUP(FME_Ranking1[[#This Row],[FME ID]],FME_Input[FME_ID],FME_Input[EMER_NEED])</f>
        <v>No</v>
      </c>
      <c r="G1291">
        <f>IF(FME_Ranking!F1291="Yes",100,0)</f>
        <v>0</v>
      </c>
      <c r="H1291">
        <f>FME_Ranking1[[#This Row],[Emergency Need Score (Normalized, Unweighted)]]*$F$3</f>
        <v>0</v>
      </c>
      <c r="I1291" s="246">
        <f>_xlfn.XLOOKUP(FME_Ranking1[[#This Row],[FME ID]],FME_Input[FME_ID],FME_Input[STRUCT_100])</f>
        <v>17</v>
      </c>
      <c r="J1291" s="178">
        <f>(FME_Ranking1[[#This Row],[Structures 100 Raw]]/I$2)*100</f>
        <v>9.1033714603949798E-3</v>
      </c>
      <c r="K1291" s="178">
        <f>FME_Ranking1[[#This Row],[Structures 100  Score (Normalized, Unweighted)]]*$I$3</f>
        <v>1.365505719059247E-3</v>
      </c>
      <c r="L1291" s="246">
        <f>_xlfn.XLOOKUP(FME_Ranking1[[#This Row],[FME ID]],FME_Input[FME_ID],FME_Input[RES_STRUCT100])</f>
        <v>15</v>
      </c>
      <c r="M1291" s="230">
        <f>(FME_Ranking1[[#This Row],[Res Structures Raw]]/L$2)*100</f>
        <v>1.0624583870465073E-2</v>
      </c>
      <c r="N1291" s="180">
        <f>FME_Ranking1[[#This Row],[Res Structures Score (Normalized, Unweighted)]]*$L$3</f>
        <v>1.0624583870465073E-3</v>
      </c>
      <c r="O1291" s="244">
        <f>_xlfn.XLOOKUP(FME_Ranking1[[#This Row],[FME ID]],FME_Input[FME_ID],FME_Input[POP100])</f>
        <v>250</v>
      </c>
      <c r="P1291" s="178">
        <f>(FME_Ranking1[[#This Row],[Pop Raw]]/$O$2)*100</f>
        <v>2.5593827997190823E-2</v>
      </c>
      <c r="Q1291" s="178">
        <f>FME_Ranking1[[#This Row],[Pop Score (Normalized, Unweighted)]]*$O$3</f>
        <v>3.8390741995786232E-3</v>
      </c>
      <c r="R1291" s="137">
        <f>_xlfn.XLOOKUP(FME_Ranking1[[#This Row],[FME ID]],FME_Input[FME_ID],FME_Input[CRITFAC100])</f>
        <v>0</v>
      </c>
      <c r="S1291" s="230">
        <f>(FME_Ranking1[[#This Row],[Critical Facilities Raw]]/$R$2)*100</f>
        <v>0</v>
      </c>
      <c r="T1291" s="180">
        <f>FME_Ranking1[[#This Row],[Critical Facilities Score (Normalized, Unweighted)]]*$R$3</f>
        <v>0</v>
      </c>
      <c r="U1291">
        <f>_xlfn.XLOOKUP(FME_Ranking1[[#This Row],[FME ID]],FME_Input[FME_ID],FME_Input[LWC])</f>
        <v>3</v>
      </c>
      <c r="V1291" s="178">
        <f>(FME_Ranking1[[#This Row],[LWC Raw]]/$U$2)*100</f>
        <v>0.17271157167530224</v>
      </c>
      <c r="W1291" s="178">
        <f>FME_Ranking1[[#This Row],[LWC Score (Normalized, Unweighted)]]*$U$3</f>
        <v>3.4542314335060449E-2</v>
      </c>
      <c r="X1291" s="246">
        <f>_xlfn.XLOOKUP(FME_Ranking1[[#This Row],[FME ID]],FME_Input[FME_ID],FME_Input[ROADCLS])</f>
        <v>0</v>
      </c>
      <c r="Y1291" s="230">
        <f>(FME_Ranking1[[#This Row],[Closures Raw]]/$X$2)*100</f>
        <v>0</v>
      </c>
      <c r="Z1291" s="180">
        <f>FME_Ranking1[[#This Row],[Closures Score (Normalized, Unweighted)]]*$X$3</f>
        <v>0</v>
      </c>
      <c r="AA1291" s="253">
        <f>_xlfn.XLOOKUP(FME_Ranking1[[#This Row],[FME ID]],FME_Input[FME_ID],FME_Input[ROAD_MILES100])</f>
        <v>1.533100008964539</v>
      </c>
      <c r="AB1291" s="178">
        <f>(FME_Ranking1[[#This Row],[Miles Raw]]/$AA$2)*100</f>
        <v>2.0157515373927966E-2</v>
      </c>
      <c r="AC1291" s="178">
        <f>FME_Ranking1[[#This Row],[Miles Score (Normalized, Unweighted)]]*$AA$3</f>
        <v>2.0157515373927966E-3</v>
      </c>
      <c r="AD1291" s="255">
        <f>_xlfn.XLOOKUP(FME_Ranking1[[#This Row],[FME ID]],FME_Input[FME_ID],FME_Input[FARMACRE100])</f>
        <v>0</v>
      </c>
      <c r="AE1291" s="230">
        <f>(FME_Ranking1[[#This Row],[Ag Land Raw]]/$AD$2)*100</f>
        <v>0</v>
      </c>
      <c r="AF1291" s="231">
        <f>FME_Ranking1[[#This Row],[Ag Land Score (Normalized, Unweighted)]]*$AD$3</f>
        <v>0</v>
      </c>
      <c r="AG129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4.2825104178137618E-2</v>
      </c>
      <c r="AH1291" s="406">
        <f t="shared" si="20"/>
        <v>1358</v>
      </c>
      <c r="AI129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4.2825104178137618E-2</v>
      </c>
      <c r="AJ1291" s="257">
        <f>FME_Ranking1[[#This Row],[Addition check]]-FME_Ranking1[[#This Row],[Weighted Score Based on Normalized Reported Factors]]</f>
        <v>0</v>
      </c>
      <c r="AK1291" s="178">
        <f>_xlfn.RANK.EQ(AI1291,$AI$6:$AI$2341,0)+COUNTIF($AI$6:AI1291,AI1291)-1</f>
        <v>1358</v>
      </c>
    </row>
    <row r="1292" spans="1:37" x14ac:dyDescent="0.25">
      <c r="A1292" t="s">
        <v>4755</v>
      </c>
      <c r="B1292">
        <f>_xlfn.XLOOKUP(FME_Ranking1[[#This Row],[FME ID]],FME_Input[FME_ID],FME_Input[RFPG_NUM])</f>
        <v>3</v>
      </c>
      <c r="C1292" t="str">
        <f>_xlfn.XLOOKUP(FME_Ranking1[[#This Row],[FME ID]],FME_Input[FME_ID],FME_Input[FME_NAME])</f>
        <v>NW 24th St &amp; NW 23rd St from West Main to Ditch Near Dalworth St and Doreen St</v>
      </c>
      <c r="D1292" t="str">
        <f>_xlfn.XLOOKUP(FME_Ranking1[[#This Row],[FME ID]],FME_Input[FME_ID],FME_Input[DESCR])</f>
        <v>Study update - Storm Drain Improvements; Estimated construction cost of $5,982,600</v>
      </c>
      <c r="E1292" s="256">
        <f>_xlfn.XLOOKUP(FME_Ranking1[[#This Row],[FME ID]],FME_Input[FME_ID],FME_Input[FME_COST])</f>
        <v>299000</v>
      </c>
      <c r="F1292" t="str">
        <f>_xlfn.XLOOKUP(FME_Ranking1[[#This Row],[FME ID]],FME_Input[FME_ID],FME_Input[EMER_NEED])</f>
        <v>No</v>
      </c>
      <c r="G1292">
        <f>IF(FME_Ranking!F1292="Yes",100,0)</f>
        <v>0</v>
      </c>
      <c r="H1292">
        <f>FME_Ranking1[[#This Row],[Emergency Need Score (Normalized, Unweighted)]]*$F$3</f>
        <v>0</v>
      </c>
      <c r="I1292" s="246">
        <f>_xlfn.XLOOKUP(FME_Ranking1[[#This Row],[FME ID]],FME_Input[FME_ID],FME_Input[STRUCT_100])</f>
        <v>30</v>
      </c>
      <c r="J1292" s="178">
        <f>(FME_Ranking1[[#This Row],[Structures 100 Raw]]/I$2)*100</f>
        <v>1.6064773165402904E-2</v>
      </c>
      <c r="K1292" s="178">
        <f>FME_Ranking1[[#This Row],[Structures 100  Score (Normalized, Unweighted)]]*$I$3</f>
        <v>2.4097159748104357E-3</v>
      </c>
      <c r="L1292" s="246">
        <f>_xlfn.XLOOKUP(FME_Ranking1[[#This Row],[FME ID]],FME_Input[FME_ID],FME_Input[RES_STRUCT100])</f>
        <v>29</v>
      </c>
      <c r="M1292" s="230">
        <f>(FME_Ranking1[[#This Row],[Res Structures Raw]]/L$2)*100</f>
        <v>2.0540862149565808E-2</v>
      </c>
      <c r="N1292" s="180">
        <f>FME_Ranking1[[#This Row],[Res Structures Score (Normalized, Unweighted)]]*$L$3</f>
        <v>2.0540862149565809E-3</v>
      </c>
      <c r="O1292" s="244">
        <f>_xlfn.XLOOKUP(FME_Ranking1[[#This Row],[FME ID]],FME_Input[FME_ID],FME_Input[POP100])</f>
        <v>112</v>
      </c>
      <c r="P1292" s="178">
        <f>(FME_Ranking1[[#This Row],[Pop Raw]]/$O$2)*100</f>
        <v>1.1466034942741487E-2</v>
      </c>
      <c r="Q1292" s="178">
        <f>FME_Ranking1[[#This Row],[Pop Score (Normalized, Unweighted)]]*$O$3</f>
        <v>1.7199052414112231E-3</v>
      </c>
      <c r="R1292" s="137">
        <f>_xlfn.XLOOKUP(FME_Ranking1[[#This Row],[FME ID]],FME_Input[FME_ID],FME_Input[CRITFAC100])</f>
        <v>0</v>
      </c>
      <c r="S1292" s="230">
        <f>(FME_Ranking1[[#This Row],[Critical Facilities Raw]]/$R$2)*100</f>
        <v>0</v>
      </c>
      <c r="T1292" s="180">
        <f>FME_Ranking1[[#This Row],[Critical Facilities Score (Normalized, Unweighted)]]*$R$3</f>
        <v>0</v>
      </c>
      <c r="U1292">
        <f>_xlfn.XLOOKUP(FME_Ranking1[[#This Row],[FME ID]],FME_Input[FME_ID],FME_Input[LWC])</f>
        <v>3</v>
      </c>
      <c r="V1292" s="178">
        <f>(FME_Ranking1[[#This Row],[LWC Raw]]/$U$2)*100</f>
        <v>0.17271157167530224</v>
      </c>
      <c r="W1292" s="178">
        <f>FME_Ranking1[[#This Row],[LWC Score (Normalized, Unweighted)]]*$U$3</f>
        <v>3.4542314335060449E-2</v>
      </c>
      <c r="X1292" s="246">
        <f>_xlfn.XLOOKUP(FME_Ranking1[[#This Row],[FME ID]],FME_Input[FME_ID],FME_Input[ROADCLS])</f>
        <v>0</v>
      </c>
      <c r="Y1292" s="230">
        <f>(FME_Ranking1[[#This Row],[Closures Raw]]/$X$2)*100</f>
        <v>0</v>
      </c>
      <c r="Z1292" s="180">
        <f>FME_Ranking1[[#This Row],[Closures Score (Normalized, Unweighted)]]*$X$3</f>
        <v>0</v>
      </c>
      <c r="AA1292" s="253">
        <f>_xlfn.XLOOKUP(FME_Ranking1[[#This Row],[FME ID]],FME_Input[FME_ID],FME_Input[ROAD_MILES100])</f>
        <v>0.95970332622528076</v>
      </c>
      <c r="AB1292" s="178">
        <f>(FME_Ranking1[[#This Row],[Miles Raw]]/$AA$2)*100</f>
        <v>1.2618377431138195E-2</v>
      </c>
      <c r="AC1292" s="178">
        <f>FME_Ranking1[[#This Row],[Miles Score (Normalized, Unweighted)]]*$AA$3</f>
        <v>1.2618377431138196E-3</v>
      </c>
      <c r="AD1292" s="255">
        <f>_xlfn.XLOOKUP(FME_Ranking1[[#This Row],[FME ID]],FME_Input[FME_ID],FME_Input[FARMACRE100])</f>
        <v>10.39986991882324</v>
      </c>
      <c r="AE1292" s="230">
        <f>(FME_Ranking1[[#This Row],[Ag Land Raw]]/$AD$2)*100</f>
        <v>4.2884408039620906E-4</v>
      </c>
      <c r="AF1292" s="231">
        <f>FME_Ranking1[[#This Row],[Ag Land Score (Normalized, Unweighted)]]*$AD$3</f>
        <v>2.1442204019810454E-5</v>
      </c>
      <c r="AG129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4.2009301713372325E-2</v>
      </c>
      <c r="AH1292" s="406">
        <f t="shared" si="20"/>
        <v>1364</v>
      </c>
      <c r="AI129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4.2009301713372325E-2</v>
      </c>
      <c r="AJ1292" s="257">
        <f>FME_Ranking1[[#This Row],[Addition check]]-FME_Ranking1[[#This Row],[Weighted Score Based on Normalized Reported Factors]]</f>
        <v>0</v>
      </c>
      <c r="AK1292" s="178">
        <f>_xlfn.RANK.EQ(AI1292,$AI$6:$AI$2341,0)+COUNTIF($AI$6:AI1292,AI1292)-1</f>
        <v>1364</v>
      </c>
    </row>
    <row r="1293" spans="1:37" x14ac:dyDescent="0.25">
      <c r="A1293" t="s">
        <v>4849</v>
      </c>
      <c r="B1293">
        <f>_xlfn.XLOOKUP(FME_Ranking1[[#This Row],[FME ID]],FME_Input[FME_ID],FME_Input[RFPG_NUM])</f>
        <v>3</v>
      </c>
      <c r="C1293" t="str">
        <f>_xlfn.XLOOKUP(FME_Ranking1[[#This Row],[FME ID]],FME_Input[FME_ID],FME_Input[FME_NAME])</f>
        <v xml:space="preserve">Dalworth Creek Stabilization </v>
      </c>
      <c r="D1293" t="str">
        <f>_xlfn.XLOOKUP(FME_Ranking1[[#This Row],[FME ID]],FME_Input[FME_ID],FME_Input[DESCR])</f>
        <v>Repair of gabions and protection of wastewater crossing downstream of I-30; Estimated construction cost of $402,000; from Dalworth Street to Roman; Estimated construction cost of $278,900</v>
      </c>
      <c r="E1293" s="256">
        <f>_xlfn.XLOOKUP(FME_Ranking1[[#This Row],[FME ID]],FME_Input[FME_ID],FME_Input[FME_COST])</f>
        <v>250000</v>
      </c>
      <c r="F1293" t="str">
        <f>_xlfn.XLOOKUP(FME_Ranking1[[#This Row],[FME ID]],FME_Input[FME_ID],FME_Input[EMER_NEED])</f>
        <v>No</v>
      </c>
      <c r="G1293">
        <f>IF(FME_Ranking!F1293="Yes",100,0)</f>
        <v>0</v>
      </c>
      <c r="H1293">
        <f>FME_Ranking1[[#This Row],[Emergency Need Score (Normalized, Unweighted)]]*$F$3</f>
        <v>0</v>
      </c>
      <c r="I1293" s="246">
        <f>_xlfn.XLOOKUP(FME_Ranking1[[#This Row],[FME ID]],FME_Input[FME_ID],FME_Input[STRUCT_100])</f>
        <v>30</v>
      </c>
      <c r="J1293" s="178">
        <f>(FME_Ranking1[[#This Row],[Structures 100 Raw]]/I$2)*100</f>
        <v>1.6064773165402904E-2</v>
      </c>
      <c r="K1293" s="178">
        <f>FME_Ranking1[[#This Row],[Structures 100  Score (Normalized, Unweighted)]]*$I$3</f>
        <v>2.4097159748104357E-3</v>
      </c>
      <c r="L1293" s="246">
        <f>_xlfn.XLOOKUP(FME_Ranking1[[#This Row],[FME ID]],FME_Input[FME_ID],FME_Input[RES_STRUCT100])</f>
        <v>29</v>
      </c>
      <c r="M1293" s="230">
        <f>(FME_Ranking1[[#This Row],[Res Structures Raw]]/L$2)*100</f>
        <v>2.0540862149565808E-2</v>
      </c>
      <c r="N1293" s="180">
        <f>FME_Ranking1[[#This Row],[Res Structures Score (Normalized, Unweighted)]]*$L$3</f>
        <v>2.0540862149565809E-3</v>
      </c>
      <c r="O1293" s="244">
        <f>_xlfn.XLOOKUP(FME_Ranking1[[#This Row],[FME ID]],FME_Input[FME_ID],FME_Input[POP100])</f>
        <v>112</v>
      </c>
      <c r="P1293" s="178">
        <f>(FME_Ranking1[[#This Row],[Pop Raw]]/$O$2)*100</f>
        <v>1.1466034942741487E-2</v>
      </c>
      <c r="Q1293" s="178">
        <f>FME_Ranking1[[#This Row],[Pop Score (Normalized, Unweighted)]]*$O$3</f>
        <v>1.7199052414112231E-3</v>
      </c>
      <c r="R1293" s="137">
        <f>_xlfn.XLOOKUP(FME_Ranking1[[#This Row],[FME ID]],FME_Input[FME_ID],FME_Input[CRITFAC100])</f>
        <v>0</v>
      </c>
      <c r="S1293" s="230">
        <f>(FME_Ranking1[[#This Row],[Critical Facilities Raw]]/$R$2)*100</f>
        <v>0</v>
      </c>
      <c r="T1293" s="180">
        <f>FME_Ranking1[[#This Row],[Critical Facilities Score (Normalized, Unweighted)]]*$R$3</f>
        <v>0</v>
      </c>
      <c r="U1293">
        <f>_xlfn.XLOOKUP(FME_Ranking1[[#This Row],[FME ID]],FME_Input[FME_ID],FME_Input[LWC])</f>
        <v>3</v>
      </c>
      <c r="V1293" s="178">
        <f>(FME_Ranking1[[#This Row],[LWC Raw]]/$U$2)*100</f>
        <v>0.17271157167530224</v>
      </c>
      <c r="W1293" s="178">
        <f>FME_Ranking1[[#This Row],[LWC Score (Normalized, Unweighted)]]*$U$3</f>
        <v>3.4542314335060449E-2</v>
      </c>
      <c r="X1293" s="246">
        <f>_xlfn.XLOOKUP(FME_Ranking1[[#This Row],[FME ID]],FME_Input[FME_ID],FME_Input[ROADCLS])</f>
        <v>0</v>
      </c>
      <c r="Y1293" s="230">
        <f>(FME_Ranking1[[#This Row],[Closures Raw]]/$X$2)*100</f>
        <v>0</v>
      </c>
      <c r="Z1293" s="180">
        <f>FME_Ranking1[[#This Row],[Closures Score (Normalized, Unweighted)]]*$X$3</f>
        <v>0</v>
      </c>
      <c r="AA1293" s="253">
        <f>_xlfn.XLOOKUP(FME_Ranking1[[#This Row],[FME ID]],FME_Input[FME_ID],FME_Input[ROAD_MILES100])</f>
        <v>0.95970332622528076</v>
      </c>
      <c r="AB1293" s="178">
        <f>(FME_Ranking1[[#This Row],[Miles Raw]]/$AA$2)*100</f>
        <v>1.2618377431138195E-2</v>
      </c>
      <c r="AC1293" s="178">
        <f>FME_Ranking1[[#This Row],[Miles Score (Normalized, Unweighted)]]*$AA$3</f>
        <v>1.2618377431138196E-3</v>
      </c>
      <c r="AD1293" s="255">
        <f>_xlfn.XLOOKUP(FME_Ranking1[[#This Row],[FME ID]],FME_Input[FME_ID],FME_Input[FARMACRE100])</f>
        <v>10.39986991882324</v>
      </c>
      <c r="AE1293" s="230">
        <f>(FME_Ranking1[[#This Row],[Ag Land Raw]]/$AD$2)*100</f>
        <v>4.2884408039620906E-4</v>
      </c>
      <c r="AF1293" s="231">
        <f>FME_Ranking1[[#This Row],[Ag Land Score (Normalized, Unweighted)]]*$AD$3</f>
        <v>2.1442204019810454E-5</v>
      </c>
      <c r="AG129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4.2009301713372325E-2</v>
      </c>
      <c r="AH1293" s="406">
        <f t="shared" si="20"/>
        <v>1364</v>
      </c>
      <c r="AI129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4.2009301713372325E-2</v>
      </c>
      <c r="AJ1293" s="257">
        <f>FME_Ranking1[[#This Row],[Addition check]]-FME_Ranking1[[#This Row],[Weighted Score Based on Normalized Reported Factors]]</f>
        <v>0</v>
      </c>
      <c r="AK1293" s="178">
        <f>_xlfn.RANK.EQ(AI1293,$AI$6:$AI$2341,0)+COUNTIF($AI$6:AI1293,AI1293)-1</f>
        <v>1365</v>
      </c>
    </row>
    <row r="1294" spans="1:37" x14ac:dyDescent="0.25">
      <c r="A1294" t="s">
        <v>4977</v>
      </c>
      <c r="B1294">
        <f>_xlfn.XLOOKUP(FME_Ranking1[[#This Row],[FME ID]],FME_Input[FME_ID],FME_Input[RFPG_NUM])</f>
        <v>3</v>
      </c>
      <c r="C1294" t="str">
        <f>_xlfn.XLOOKUP(FME_Ranking1[[#This Row],[FME ID]],FME_Input[FME_ID],FME_Input[FME_NAME])</f>
        <v xml:space="preserve">Carrier Parkway at Dalworth Creek </v>
      </c>
      <c r="D1294" t="str">
        <f>_xlfn.XLOOKUP(FME_Ranking1[[#This Row],[FME ID]],FME_Input[FME_ID],FME_Input[DESCR])</f>
        <v>Study update - 190 feet southeast of Capetown; Channel Improvements; Estimated construction cost of $1,092,000</v>
      </c>
      <c r="E1294" s="256">
        <f>_xlfn.XLOOKUP(FME_Ranking1[[#This Row],[FME ID]],FME_Input[FME_ID],FME_Input[FME_COST])</f>
        <v>250000</v>
      </c>
      <c r="F1294" t="str">
        <f>_xlfn.XLOOKUP(FME_Ranking1[[#This Row],[FME ID]],FME_Input[FME_ID],FME_Input[EMER_NEED])</f>
        <v>No</v>
      </c>
      <c r="G1294">
        <f>IF(FME_Ranking!F1294="Yes",100,0)</f>
        <v>0</v>
      </c>
      <c r="H1294">
        <f>FME_Ranking1[[#This Row],[Emergency Need Score (Normalized, Unweighted)]]*$F$3</f>
        <v>0</v>
      </c>
      <c r="I1294" s="246">
        <f>_xlfn.XLOOKUP(FME_Ranking1[[#This Row],[FME ID]],FME_Input[FME_ID],FME_Input[STRUCT_100])</f>
        <v>30</v>
      </c>
      <c r="J1294" s="178">
        <f>(FME_Ranking1[[#This Row],[Structures 100 Raw]]/I$2)*100</f>
        <v>1.6064773165402904E-2</v>
      </c>
      <c r="K1294" s="178">
        <f>FME_Ranking1[[#This Row],[Structures 100  Score (Normalized, Unweighted)]]*$I$3</f>
        <v>2.4097159748104357E-3</v>
      </c>
      <c r="L1294" s="246">
        <f>_xlfn.XLOOKUP(FME_Ranking1[[#This Row],[FME ID]],FME_Input[FME_ID],FME_Input[RES_STRUCT100])</f>
        <v>29</v>
      </c>
      <c r="M1294" s="230">
        <f>(FME_Ranking1[[#This Row],[Res Structures Raw]]/L$2)*100</f>
        <v>2.0540862149565808E-2</v>
      </c>
      <c r="N1294" s="180">
        <f>FME_Ranking1[[#This Row],[Res Structures Score (Normalized, Unweighted)]]*$L$3</f>
        <v>2.0540862149565809E-3</v>
      </c>
      <c r="O1294" s="244">
        <f>_xlfn.XLOOKUP(FME_Ranking1[[#This Row],[FME ID]],FME_Input[FME_ID],FME_Input[POP100])</f>
        <v>112</v>
      </c>
      <c r="P1294" s="178">
        <f>(FME_Ranking1[[#This Row],[Pop Raw]]/$O$2)*100</f>
        <v>1.1466034942741487E-2</v>
      </c>
      <c r="Q1294" s="178">
        <f>FME_Ranking1[[#This Row],[Pop Score (Normalized, Unweighted)]]*$O$3</f>
        <v>1.7199052414112231E-3</v>
      </c>
      <c r="R1294" s="137">
        <f>_xlfn.XLOOKUP(FME_Ranking1[[#This Row],[FME ID]],FME_Input[FME_ID],FME_Input[CRITFAC100])</f>
        <v>0</v>
      </c>
      <c r="S1294" s="230">
        <f>(FME_Ranking1[[#This Row],[Critical Facilities Raw]]/$R$2)*100</f>
        <v>0</v>
      </c>
      <c r="T1294" s="180">
        <f>FME_Ranking1[[#This Row],[Critical Facilities Score (Normalized, Unweighted)]]*$R$3</f>
        <v>0</v>
      </c>
      <c r="U1294">
        <f>_xlfn.XLOOKUP(FME_Ranking1[[#This Row],[FME ID]],FME_Input[FME_ID],FME_Input[LWC])</f>
        <v>3</v>
      </c>
      <c r="V1294" s="178">
        <f>(FME_Ranking1[[#This Row],[LWC Raw]]/$U$2)*100</f>
        <v>0.17271157167530224</v>
      </c>
      <c r="W1294" s="178">
        <f>FME_Ranking1[[#This Row],[LWC Score (Normalized, Unweighted)]]*$U$3</f>
        <v>3.4542314335060449E-2</v>
      </c>
      <c r="X1294" s="246">
        <f>_xlfn.XLOOKUP(FME_Ranking1[[#This Row],[FME ID]],FME_Input[FME_ID],FME_Input[ROADCLS])</f>
        <v>0</v>
      </c>
      <c r="Y1294" s="230">
        <f>(FME_Ranking1[[#This Row],[Closures Raw]]/$X$2)*100</f>
        <v>0</v>
      </c>
      <c r="Z1294" s="180">
        <f>FME_Ranking1[[#This Row],[Closures Score (Normalized, Unweighted)]]*$X$3</f>
        <v>0</v>
      </c>
      <c r="AA1294" s="253">
        <f>_xlfn.XLOOKUP(FME_Ranking1[[#This Row],[FME ID]],FME_Input[FME_ID],FME_Input[ROAD_MILES100])</f>
        <v>0.95970332622528076</v>
      </c>
      <c r="AB1294" s="178">
        <f>(FME_Ranking1[[#This Row],[Miles Raw]]/$AA$2)*100</f>
        <v>1.2618377431138195E-2</v>
      </c>
      <c r="AC1294" s="178">
        <f>FME_Ranking1[[#This Row],[Miles Score (Normalized, Unweighted)]]*$AA$3</f>
        <v>1.2618377431138196E-3</v>
      </c>
      <c r="AD1294" s="255">
        <f>_xlfn.XLOOKUP(FME_Ranking1[[#This Row],[FME ID]],FME_Input[FME_ID],FME_Input[FARMACRE100])</f>
        <v>10.39986991882324</v>
      </c>
      <c r="AE1294" s="230">
        <f>(FME_Ranking1[[#This Row],[Ag Land Raw]]/$AD$2)*100</f>
        <v>4.2884408039620906E-4</v>
      </c>
      <c r="AF1294" s="231">
        <f>FME_Ranking1[[#This Row],[Ag Land Score (Normalized, Unweighted)]]*$AD$3</f>
        <v>2.1442204019810454E-5</v>
      </c>
      <c r="AG129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4.2009301713372325E-2</v>
      </c>
      <c r="AH1294" s="406">
        <f t="shared" si="20"/>
        <v>1364</v>
      </c>
      <c r="AI129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4.2009301713372325E-2</v>
      </c>
      <c r="AJ1294" s="257">
        <f>FME_Ranking1[[#This Row],[Addition check]]-FME_Ranking1[[#This Row],[Weighted Score Based on Normalized Reported Factors]]</f>
        <v>0</v>
      </c>
      <c r="AK1294" s="178">
        <f>_xlfn.RANK.EQ(AI1294,$AI$6:$AI$2341,0)+COUNTIF($AI$6:AI1294,AI1294)-1</f>
        <v>1366</v>
      </c>
    </row>
    <row r="1295" spans="1:37" x14ac:dyDescent="0.25">
      <c r="A1295" t="s">
        <v>4980</v>
      </c>
      <c r="B1295">
        <f>_xlfn.XLOOKUP(FME_Ranking1[[#This Row],[FME ID]],FME_Input[FME_ID],FME_Input[RFPG_NUM])</f>
        <v>3</v>
      </c>
      <c r="C1295" t="str">
        <f>_xlfn.XLOOKUP(FME_Ranking1[[#This Row],[FME ID]],FME_Input[FME_ID],FME_Input[FME_NAME])</f>
        <v xml:space="preserve">Grass-covered Culvert at Dalworth Creek </v>
      </c>
      <c r="D1295" t="str">
        <f>_xlfn.XLOOKUP(FME_Ranking1[[#This Row],[FME ID]],FME_Input[FME_ID],FME_Input[DESCR])</f>
        <v>Study update - 520 feet west of Carrier Parkway; Channel Improvements; Estimated construction cost of $1,048,700</v>
      </c>
      <c r="E1295" s="256">
        <f>_xlfn.XLOOKUP(FME_Ranking1[[#This Row],[FME ID]],FME_Input[FME_ID],FME_Input[FME_COST])</f>
        <v>250000</v>
      </c>
      <c r="F1295" t="str">
        <f>_xlfn.XLOOKUP(FME_Ranking1[[#This Row],[FME ID]],FME_Input[FME_ID],FME_Input[EMER_NEED])</f>
        <v>No</v>
      </c>
      <c r="G1295">
        <f>IF(FME_Ranking!F1295="Yes",100,0)</f>
        <v>0</v>
      </c>
      <c r="H1295">
        <f>FME_Ranking1[[#This Row],[Emergency Need Score (Normalized, Unweighted)]]*$F$3</f>
        <v>0</v>
      </c>
      <c r="I1295" s="246">
        <f>_xlfn.XLOOKUP(FME_Ranking1[[#This Row],[FME ID]],FME_Input[FME_ID],FME_Input[STRUCT_100])</f>
        <v>30</v>
      </c>
      <c r="J1295" s="178">
        <f>(FME_Ranking1[[#This Row],[Structures 100 Raw]]/I$2)*100</f>
        <v>1.6064773165402904E-2</v>
      </c>
      <c r="K1295" s="178">
        <f>FME_Ranking1[[#This Row],[Structures 100  Score (Normalized, Unweighted)]]*$I$3</f>
        <v>2.4097159748104357E-3</v>
      </c>
      <c r="L1295" s="246">
        <f>_xlfn.XLOOKUP(FME_Ranking1[[#This Row],[FME ID]],FME_Input[FME_ID],FME_Input[RES_STRUCT100])</f>
        <v>29</v>
      </c>
      <c r="M1295" s="230">
        <f>(FME_Ranking1[[#This Row],[Res Structures Raw]]/L$2)*100</f>
        <v>2.0540862149565808E-2</v>
      </c>
      <c r="N1295" s="180">
        <f>FME_Ranking1[[#This Row],[Res Structures Score (Normalized, Unweighted)]]*$L$3</f>
        <v>2.0540862149565809E-3</v>
      </c>
      <c r="O1295" s="244">
        <f>_xlfn.XLOOKUP(FME_Ranking1[[#This Row],[FME ID]],FME_Input[FME_ID],FME_Input[POP100])</f>
        <v>112</v>
      </c>
      <c r="P1295" s="178">
        <f>(FME_Ranking1[[#This Row],[Pop Raw]]/$O$2)*100</f>
        <v>1.1466034942741487E-2</v>
      </c>
      <c r="Q1295" s="178">
        <f>FME_Ranking1[[#This Row],[Pop Score (Normalized, Unweighted)]]*$O$3</f>
        <v>1.7199052414112231E-3</v>
      </c>
      <c r="R1295" s="137">
        <f>_xlfn.XLOOKUP(FME_Ranking1[[#This Row],[FME ID]],FME_Input[FME_ID],FME_Input[CRITFAC100])</f>
        <v>0</v>
      </c>
      <c r="S1295" s="230">
        <f>(FME_Ranking1[[#This Row],[Critical Facilities Raw]]/$R$2)*100</f>
        <v>0</v>
      </c>
      <c r="T1295" s="180">
        <f>FME_Ranking1[[#This Row],[Critical Facilities Score (Normalized, Unweighted)]]*$R$3</f>
        <v>0</v>
      </c>
      <c r="U1295">
        <f>_xlfn.XLOOKUP(FME_Ranking1[[#This Row],[FME ID]],FME_Input[FME_ID],FME_Input[LWC])</f>
        <v>3</v>
      </c>
      <c r="V1295" s="178">
        <f>(FME_Ranking1[[#This Row],[LWC Raw]]/$U$2)*100</f>
        <v>0.17271157167530224</v>
      </c>
      <c r="W1295" s="178">
        <f>FME_Ranking1[[#This Row],[LWC Score (Normalized, Unweighted)]]*$U$3</f>
        <v>3.4542314335060449E-2</v>
      </c>
      <c r="X1295" s="246">
        <f>_xlfn.XLOOKUP(FME_Ranking1[[#This Row],[FME ID]],FME_Input[FME_ID],FME_Input[ROADCLS])</f>
        <v>0</v>
      </c>
      <c r="Y1295" s="230">
        <f>(FME_Ranking1[[#This Row],[Closures Raw]]/$X$2)*100</f>
        <v>0</v>
      </c>
      <c r="Z1295" s="180">
        <f>FME_Ranking1[[#This Row],[Closures Score (Normalized, Unweighted)]]*$X$3</f>
        <v>0</v>
      </c>
      <c r="AA1295" s="253">
        <f>_xlfn.XLOOKUP(FME_Ranking1[[#This Row],[FME ID]],FME_Input[FME_ID],FME_Input[ROAD_MILES100])</f>
        <v>0.95970332622528076</v>
      </c>
      <c r="AB1295" s="178">
        <f>(FME_Ranking1[[#This Row],[Miles Raw]]/$AA$2)*100</f>
        <v>1.2618377431138195E-2</v>
      </c>
      <c r="AC1295" s="178">
        <f>FME_Ranking1[[#This Row],[Miles Score (Normalized, Unweighted)]]*$AA$3</f>
        <v>1.2618377431138196E-3</v>
      </c>
      <c r="AD1295" s="255">
        <f>_xlfn.XLOOKUP(FME_Ranking1[[#This Row],[FME ID]],FME_Input[FME_ID],FME_Input[FARMACRE100])</f>
        <v>10.39986991882324</v>
      </c>
      <c r="AE1295" s="230">
        <f>(FME_Ranking1[[#This Row],[Ag Land Raw]]/$AD$2)*100</f>
        <v>4.2884408039620906E-4</v>
      </c>
      <c r="AF1295" s="231">
        <f>FME_Ranking1[[#This Row],[Ag Land Score (Normalized, Unweighted)]]*$AD$3</f>
        <v>2.1442204019810454E-5</v>
      </c>
      <c r="AG129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4.2009301713372325E-2</v>
      </c>
      <c r="AH1295" s="406">
        <f t="shared" si="20"/>
        <v>1364</v>
      </c>
      <c r="AI129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4.2009301713372325E-2</v>
      </c>
      <c r="AJ1295" s="257">
        <f>FME_Ranking1[[#This Row],[Addition check]]-FME_Ranking1[[#This Row],[Weighted Score Based on Normalized Reported Factors]]</f>
        <v>0</v>
      </c>
      <c r="AK1295" s="178">
        <f>_xlfn.RANK.EQ(AI1295,$AI$6:$AI$2341,0)+COUNTIF($AI$6:AI1295,AI1295)-1</f>
        <v>1367</v>
      </c>
    </row>
    <row r="1296" spans="1:37" x14ac:dyDescent="0.25">
      <c r="A1296" t="s">
        <v>5051</v>
      </c>
      <c r="B1296">
        <f>_xlfn.XLOOKUP(FME_Ranking1[[#This Row],[FME ID]],FME_Input[FME_ID],FME_Input[RFPG_NUM])</f>
        <v>3</v>
      </c>
      <c r="C1296" t="str">
        <f>_xlfn.XLOOKUP(FME_Ranking1[[#This Row],[FME ID]],FME_Input[FME_ID],FME_Input[FME_NAME])</f>
        <v>North Carrier Parkway &amp; Main St to Dalworth Creek Channel</v>
      </c>
      <c r="D1296" t="str">
        <f>_xlfn.XLOOKUP(FME_Ranking1[[#This Row],[FME ID]],FME_Input[FME_ID],FME_Input[DESCR])</f>
        <v>Study update - Storm Drain Improvements; Estimated construction cost of $8,803,700</v>
      </c>
      <c r="E1296" s="256">
        <f>_xlfn.XLOOKUP(FME_Ranking1[[#This Row],[FME ID]],FME_Input[FME_ID],FME_Input[FME_COST])</f>
        <v>440000</v>
      </c>
      <c r="F1296" t="str">
        <f>_xlfn.XLOOKUP(FME_Ranking1[[#This Row],[FME ID]],FME_Input[FME_ID],FME_Input[EMER_NEED])</f>
        <v>No</v>
      </c>
      <c r="G1296">
        <f>IF(FME_Ranking!F1296="Yes",100,0)</f>
        <v>0</v>
      </c>
      <c r="H1296">
        <f>FME_Ranking1[[#This Row],[Emergency Need Score (Normalized, Unweighted)]]*$F$3</f>
        <v>0</v>
      </c>
      <c r="I1296" s="246">
        <f>_xlfn.XLOOKUP(FME_Ranking1[[#This Row],[FME ID]],FME_Input[FME_ID],FME_Input[STRUCT_100])</f>
        <v>30</v>
      </c>
      <c r="J1296" s="178">
        <f>(FME_Ranking1[[#This Row],[Structures 100 Raw]]/I$2)*100</f>
        <v>1.6064773165402904E-2</v>
      </c>
      <c r="K1296" s="178">
        <f>FME_Ranking1[[#This Row],[Structures 100  Score (Normalized, Unweighted)]]*$I$3</f>
        <v>2.4097159748104357E-3</v>
      </c>
      <c r="L1296" s="246">
        <f>_xlfn.XLOOKUP(FME_Ranking1[[#This Row],[FME ID]],FME_Input[FME_ID],FME_Input[RES_STRUCT100])</f>
        <v>29</v>
      </c>
      <c r="M1296" s="230">
        <f>(FME_Ranking1[[#This Row],[Res Structures Raw]]/L$2)*100</f>
        <v>2.0540862149565808E-2</v>
      </c>
      <c r="N1296" s="180">
        <f>FME_Ranking1[[#This Row],[Res Structures Score (Normalized, Unweighted)]]*$L$3</f>
        <v>2.0540862149565809E-3</v>
      </c>
      <c r="O1296" s="244">
        <f>_xlfn.XLOOKUP(FME_Ranking1[[#This Row],[FME ID]],FME_Input[FME_ID],FME_Input[POP100])</f>
        <v>112</v>
      </c>
      <c r="P1296" s="178">
        <f>(FME_Ranking1[[#This Row],[Pop Raw]]/$O$2)*100</f>
        <v>1.1466034942741487E-2</v>
      </c>
      <c r="Q1296" s="178">
        <f>FME_Ranking1[[#This Row],[Pop Score (Normalized, Unweighted)]]*$O$3</f>
        <v>1.7199052414112231E-3</v>
      </c>
      <c r="R1296" s="137">
        <f>_xlfn.XLOOKUP(FME_Ranking1[[#This Row],[FME ID]],FME_Input[FME_ID],FME_Input[CRITFAC100])</f>
        <v>0</v>
      </c>
      <c r="S1296" s="230">
        <f>(FME_Ranking1[[#This Row],[Critical Facilities Raw]]/$R$2)*100</f>
        <v>0</v>
      </c>
      <c r="T1296" s="180">
        <f>FME_Ranking1[[#This Row],[Critical Facilities Score (Normalized, Unweighted)]]*$R$3</f>
        <v>0</v>
      </c>
      <c r="U1296">
        <f>_xlfn.XLOOKUP(FME_Ranking1[[#This Row],[FME ID]],FME_Input[FME_ID],FME_Input[LWC])</f>
        <v>3</v>
      </c>
      <c r="V1296" s="178">
        <f>(FME_Ranking1[[#This Row],[LWC Raw]]/$U$2)*100</f>
        <v>0.17271157167530224</v>
      </c>
      <c r="W1296" s="178">
        <f>FME_Ranking1[[#This Row],[LWC Score (Normalized, Unweighted)]]*$U$3</f>
        <v>3.4542314335060449E-2</v>
      </c>
      <c r="X1296" s="246">
        <f>_xlfn.XLOOKUP(FME_Ranking1[[#This Row],[FME ID]],FME_Input[FME_ID],FME_Input[ROADCLS])</f>
        <v>0</v>
      </c>
      <c r="Y1296" s="230">
        <f>(FME_Ranking1[[#This Row],[Closures Raw]]/$X$2)*100</f>
        <v>0</v>
      </c>
      <c r="Z1296" s="180">
        <f>FME_Ranking1[[#This Row],[Closures Score (Normalized, Unweighted)]]*$X$3</f>
        <v>0</v>
      </c>
      <c r="AA1296" s="253">
        <f>_xlfn.XLOOKUP(FME_Ranking1[[#This Row],[FME ID]],FME_Input[FME_ID],FME_Input[ROAD_MILES100])</f>
        <v>0.95970332622528076</v>
      </c>
      <c r="AB1296" s="178">
        <f>(FME_Ranking1[[#This Row],[Miles Raw]]/$AA$2)*100</f>
        <v>1.2618377431138195E-2</v>
      </c>
      <c r="AC1296" s="178">
        <f>FME_Ranking1[[#This Row],[Miles Score (Normalized, Unweighted)]]*$AA$3</f>
        <v>1.2618377431138196E-3</v>
      </c>
      <c r="AD1296" s="255">
        <f>_xlfn.XLOOKUP(FME_Ranking1[[#This Row],[FME ID]],FME_Input[FME_ID],FME_Input[FARMACRE100])</f>
        <v>10.39986991882324</v>
      </c>
      <c r="AE1296" s="230">
        <f>(FME_Ranking1[[#This Row],[Ag Land Raw]]/$AD$2)*100</f>
        <v>4.2884408039620906E-4</v>
      </c>
      <c r="AF1296" s="231">
        <f>FME_Ranking1[[#This Row],[Ag Land Score (Normalized, Unweighted)]]*$AD$3</f>
        <v>2.1442204019810454E-5</v>
      </c>
      <c r="AG129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4.2009301713372325E-2</v>
      </c>
      <c r="AH1296" s="406">
        <f t="shared" si="20"/>
        <v>1364</v>
      </c>
      <c r="AI129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4.2009301713372325E-2</v>
      </c>
      <c r="AJ1296" s="257">
        <f>FME_Ranking1[[#This Row],[Addition check]]-FME_Ranking1[[#This Row],[Weighted Score Based on Normalized Reported Factors]]</f>
        <v>0</v>
      </c>
      <c r="AK1296" s="178">
        <f>_xlfn.RANK.EQ(AI1296,$AI$6:$AI$2341,0)+COUNTIF($AI$6:AI1296,AI1296)-1</f>
        <v>1368</v>
      </c>
    </row>
    <row r="1297" spans="1:37" x14ac:dyDescent="0.25">
      <c r="A1297" t="s">
        <v>7648</v>
      </c>
      <c r="B1297">
        <f>_xlfn.XLOOKUP(FME_Ranking1[[#This Row],[FME ID]],FME_Input[FME_ID],FME_Input[RFPG_NUM])</f>
        <v>8</v>
      </c>
      <c r="C1297" t="str">
        <f>_xlfn.XLOOKUP(FME_Ranking1[[#This Row],[FME ID]],FME_Input[FME_ID],FME_Input[FME_NAME])</f>
        <v>Thompson Creek Floodplain Study from RELLIS to HW 6 to Establish Floodway</v>
      </c>
      <c r="D1297" t="str">
        <f>_xlfn.XLOOKUP(FME_Ranking1[[#This Row],[FME ID]],FME_Input[FME_ID],FME_Input[DESCR])</f>
        <v>Study of Thompson Creek to determine flood risk.</v>
      </c>
      <c r="E1297" s="256">
        <f>_xlfn.XLOOKUP(FME_Ranking1[[#This Row],[FME ID]],FME_Input[FME_ID],FME_Input[FME_COST])</f>
        <v>164000</v>
      </c>
      <c r="F1297" t="str">
        <f>_xlfn.XLOOKUP(FME_Ranking1[[#This Row],[FME ID]],FME_Input[FME_ID],FME_Input[EMER_NEED])</f>
        <v>No</v>
      </c>
      <c r="G1297">
        <f>IF(FME_Ranking!F1297="Yes",100,0)</f>
        <v>0</v>
      </c>
      <c r="H1297">
        <f>FME_Ranking1[[#This Row],[Emergency Need Score (Normalized, Unweighted)]]*$F$3</f>
        <v>0</v>
      </c>
      <c r="I1297" s="246">
        <f>_xlfn.XLOOKUP(FME_Ranking1[[#This Row],[FME ID]],FME_Input[FME_ID],FME_Input[STRUCT_100])</f>
        <v>7</v>
      </c>
      <c r="J1297" s="178">
        <f>(FME_Ranking1[[#This Row],[Structures 100 Raw]]/I$2)*100</f>
        <v>3.7484470719273445E-3</v>
      </c>
      <c r="K1297" s="178">
        <f>FME_Ranking1[[#This Row],[Structures 100  Score (Normalized, Unweighted)]]*$I$3</f>
        <v>5.622670607891017E-4</v>
      </c>
      <c r="L1297" s="246">
        <f>_xlfn.XLOOKUP(FME_Ranking1[[#This Row],[FME ID]],FME_Input[FME_ID],FME_Input[RES_STRUCT100])</f>
        <v>6</v>
      </c>
      <c r="M1297" s="230">
        <f>(FME_Ranking1[[#This Row],[Res Structures Raw]]/L$2)*100</f>
        <v>4.2498335481860293E-3</v>
      </c>
      <c r="N1297" s="180">
        <f>FME_Ranking1[[#This Row],[Res Structures Score (Normalized, Unweighted)]]*$L$3</f>
        <v>4.2498335481860297E-4</v>
      </c>
      <c r="O1297" s="244">
        <f>_xlfn.XLOOKUP(FME_Ranking1[[#This Row],[FME ID]],FME_Input[FME_ID],FME_Input[POP100])</f>
        <v>3</v>
      </c>
      <c r="P1297" s="178">
        <f>(FME_Ranking1[[#This Row],[Pop Raw]]/$O$2)*100</f>
        <v>3.0712593596628988E-4</v>
      </c>
      <c r="Q1297" s="178">
        <f>FME_Ranking1[[#This Row],[Pop Score (Normalized, Unweighted)]]*$O$3</f>
        <v>4.6068890394943479E-5</v>
      </c>
      <c r="R1297" s="137">
        <f>_xlfn.XLOOKUP(FME_Ranking1[[#This Row],[FME ID]],FME_Input[FME_ID],FME_Input[CRITFAC100])</f>
        <v>0</v>
      </c>
      <c r="S1297" s="230">
        <f>(FME_Ranking1[[#This Row],[Critical Facilities Raw]]/$R$2)*100</f>
        <v>0</v>
      </c>
      <c r="T1297" s="180">
        <f>FME_Ranking1[[#This Row],[Critical Facilities Score (Normalized, Unweighted)]]*$R$3</f>
        <v>0</v>
      </c>
      <c r="U1297">
        <f>_xlfn.XLOOKUP(FME_Ranking1[[#This Row],[FME ID]],FME_Input[FME_ID],FME_Input[LWC])</f>
        <v>3</v>
      </c>
      <c r="V1297" s="178">
        <f>(FME_Ranking1[[#This Row],[LWC Raw]]/$U$2)*100</f>
        <v>0.17271157167530224</v>
      </c>
      <c r="W1297" s="178">
        <f>FME_Ranking1[[#This Row],[LWC Score (Normalized, Unweighted)]]*$U$3</f>
        <v>3.4542314335060449E-2</v>
      </c>
      <c r="X1297" s="246">
        <f>_xlfn.XLOOKUP(FME_Ranking1[[#This Row],[FME ID]],FME_Input[FME_ID],FME_Input[ROADCLS])</f>
        <v>6</v>
      </c>
      <c r="Y1297" s="230">
        <f>(FME_Ranking1[[#This Row],[Closures Raw]]/$X$2)*100</f>
        <v>6.3084849122069186E-2</v>
      </c>
      <c r="Z1297" s="180">
        <f>FME_Ranking1[[#This Row],[Closures Score (Normalized, Unweighted)]]*$X$3</f>
        <v>3.1542424561034595E-3</v>
      </c>
      <c r="AA1297" s="253">
        <f>_xlfn.XLOOKUP(FME_Ranking1[[#This Row],[FME ID]],FME_Input[FME_ID],FME_Input[ROAD_MILES100])</f>
        <v>2.0125100612640381</v>
      </c>
      <c r="AB1297" s="178">
        <f>(FME_Ranking1[[#This Row],[Miles Raw]]/$AA$2)*100</f>
        <v>2.646089769937043E-2</v>
      </c>
      <c r="AC1297" s="178">
        <f>FME_Ranking1[[#This Row],[Miles Score (Normalized, Unweighted)]]*$AA$3</f>
        <v>2.6460897699370433E-3</v>
      </c>
      <c r="AD1297" s="255">
        <f>_xlfn.XLOOKUP(FME_Ranking1[[#This Row],[FME ID]],FME_Input[FME_ID],FME_Input[FARMACRE100])</f>
        <v>978.34002685546875</v>
      </c>
      <c r="AE1297" s="230">
        <f>(FME_Ranking1[[#This Row],[Ag Land Raw]]/$AD$2)*100</f>
        <v>4.0342363164779779E-2</v>
      </c>
      <c r="AF1297" s="231">
        <f>FME_Ranking1[[#This Row],[Ag Land Score (Normalized, Unweighted)]]*$AD$3</f>
        <v>2.0171181582389892E-3</v>
      </c>
      <c r="AG129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4.3393084025342595E-2</v>
      </c>
      <c r="AH1297" s="406">
        <f t="shared" si="20"/>
        <v>1351</v>
      </c>
      <c r="AI129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4.3393084025342595E-2</v>
      </c>
      <c r="AJ1297" s="257">
        <f>FME_Ranking1[[#This Row],[Addition check]]-FME_Ranking1[[#This Row],[Weighted Score Based on Normalized Reported Factors]]</f>
        <v>0</v>
      </c>
      <c r="AK1297" s="178">
        <f>_xlfn.RANK.EQ(AI1297,$AI$6:$AI$2341,0)+COUNTIF($AI$6:AI1297,AI1297)-1</f>
        <v>1351</v>
      </c>
    </row>
    <row r="1298" spans="1:37" x14ac:dyDescent="0.25">
      <c r="A1298" t="s">
        <v>7763</v>
      </c>
      <c r="B1298">
        <f>_xlfn.XLOOKUP(FME_Ranking1[[#This Row],[FME ID]],FME_Input[FME_ID],FME_Input[RFPG_NUM])</f>
        <v>8</v>
      </c>
      <c r="C1298" t="str">
        <f>_xlfn.XLOOKUP(FME_Ranking1[[#This Row],[FME ID]],FME_Input[FME_ID],FME_Input[FME_NAME])</f>
        <v>Thompsons Branch &amp; SH 6 Drainage Improvements</v>
      </c>
      <c r="D1298" t="str">
        <f>_xlfn.XLOOKUP(FME_Ranking1[[#This Row],[FME ID]],FME_Input[FME_ID],FME_Input[DESCR])</f>
        <v>Study to design several improvements to mitigate flooding at the crossing.</v>
      </c>
      <c r="E1298" s="256">
        <f>_xlfn.XLOOKUP(FME_Ranking1[[#This Row],[FME ID]],FME_Input[FME_ID],FME_Input[FME_COST])</f>
        <v>137000</v>
      </c>
      <c r="F1298" t="str">
        <f>_xlfn.XLOOKUP(FME_Ranking1[[#This Row],[FME ID]],FME_Input[FME_ID],FME_Input[EMER_NEED])</f>
        <v>No</v>
      </c>
      <c r="G1298">
        <f>IF(FME_Ranking!F1298="Yes",100,0)</f>
        <v>0</v>
      </c>
      <c r="H1298">
        <f>FME_Ranking1[[#This Row],[Emergency Need Score (Normalized, Unweighted)]]*$F$3</f>
        <v>0</v>
      </c>
      <c r="I1298" s="246">
        <f>_xlfn.XLOOKUP(FME_Ranking1[[#This Row],[FME ID]],FME_Input[FME_ID],FME_Input[STRUCT_100])</f>
        <v>7</v>
      </c>
      <c r="J1298" s="178">
        <f>(FME_Ranking1[[#This Row],[Structures 100 Raw]]/I$2)*100</f>
        <v>3.7484470719273445E-3</v>
      </c>
      <c r="K1298" s="178">
        <f>FME_Ranking1[[#This Row],[Structures 100  Score (Normalized, Unweighted)]]*$I$3</f>
        <v>5.622670607891017E-4</v>
      </c>
      <c r="L1298" s="246">
        <f>_xlfn.XLOOKUP(FME_Ranking1[[#This Row],[FME ID]],FME_Input[FME_ID],FME_Input[RES_STRUCT100])</f>
        <v>6</v>
      </c>
      <c r="M1298" s="230">
        <f>(FME_Ranking1[[#This Row],[Res Structures Raw]]/L$2)*100</f>
        <v>4.2498335481860293E-3</v>
      </c>
      <c r="N1298" s="180">
        <f>FME_Ranking1[[#This Row],[Res Structures Score (Normalized, Unweighted)]]*$L$3</f>
        <v>4.2498335481860297E-4</v>
      </c>
      <c r="O1298" s="244">
        <f>_xlfn.XLOOKUP(FME_Ranking1[[#This Row],[FME ID]],FME_Input[FME_ID],FME_Input[POP100])</f>
        <v>3</v>
      </c>
      <c r="P1298" s="178">
        <f>(FME_Ranking1[[#This Row],[Pop Raw]]/$O$2)*100</f>
        <v>3.0712593596628988E-4</v>
      </c>
      <c r="Q1298" s="178">
        <f>FME_Ranking1[[#This Row],[Pop Score (Normalized, Unweighted)]]*$O$3</f>
        <v>4.6068890394943479E-5</v>
      </c>
      <c r="R1298" s="137">
        <f>_xlfn.XLOOKUP(FME_Ranking1[[#This Row],[FME ID]],FME_Input[FME_ID],FME_Input[CRITFAC100])</f>
        <v>0</v>
      </c>
      <c r="S1298" s="230">
        <f>(FME_Ranking1[[#This Row],[Critical Facilities Raw]]/$R$2)*100</f>
        <v>0</v>
      </c>
      <c r="T1298" s="180">
        <f>FME_Ranking1[[#This Row],[Critical Facilities Score (Normalized, Unweighted)]]*$R$3</f>
        <v>0</v>
      </c>
      <c r="U1298">
        <f>_xlfn.XLOOKUP(FME_Ranking1[[#This Row],[FME ID]],FME_Input[FME_ID],FME_Input[LWC])</f>
        <v>3</v>
      </c>
      <c r="V1298" s="178">
        <f>(FME_Ranking1[[#This Row],[LWC Raw]]/$U$2)*100</f>
        <v>0.17271157167530224</v>
      </c>
      <c r="W1298" s="178">
        <f>FME_Ranking1[[#This Row],[LWC Score (Normalized, Unweighted)]]*$U$3</f>
        <v>3.4542314335060449E-2</v>
      </c>
      <c r="X1298" s="246">
        <f>_xlfn.XLOOKUP(FME_Ranking1[[#This Row],[FME ID]],FME_Input[FME_ID],FME_Input[ROADCLS])</f>
        <v>6</v>
      </c>
      <c r="Y1298" s="230">
        <f>(FME_Ranking1[[#This Row],[Closures Raw]]/$X$2)*100</f>
        <v>6.3084849122069186E-2</v>
      </c>
      <c r="Z1298" s="180">
        <f>FME_Ranking1[[#This Row],[Closures Score (Normalized, Unweighted)]]*$X$3</f>
        <v>3.1542424561034595E-3</v>
      </c>
      <c r="AA1298" s="253">
        <f>_xlfn.XLOOKUP(FME_Ranking1[[#This Row],[FME ID]],FME_Input[FME_ID],FME_Input[ROAD_MILES100])</f>
        <v>2.0125100612640381</v>
      </c>
      <c r="AB1298" s="178">
        <f>(FME_Ranking1[[#This Row],[Miles Raw]]/$AA$2)*100</f>
        <v>2.646089769937043E-2</v>
      </c>
      <c r="AC1298" s="178">
        <f>FME_Ranking1[[#This Row],[Miles Score (Normalized, Unweighted)]]*$AA$3</f>
        <v>2.6460897699370433E-3</v>
      </c>
      <c r="AD1298" s="255">
        <f>_xlfn.XLOOKUP(FME_Ranking1[[#This Row],[FME ID]],FME_Input[FME_ID],FME_Input[FARMACRE100])</f>
        <v>978.34002685546875</v>
      </c>
      <c r="AE1298" s="230">
        <f>(FME_Ranking1[[#This Row],[Ag Land Raw]]/$AD$2)*100</f>
        <v>4.0342363164779779E-2</v>
      </c>
      <c r="AF1298" s="231">
        <f>FME_Ranking1[[#This Row],[Ag Land Score (Normalized, Unweighted)]]*$AD$3</f>
        <v>2.0171181582389892E-3</v>
      </c>
      <c r="AG129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4.3393084025342595E-2</v>
      </c>
      <c r="AH1298" s="406">
        <f t="shared" si="20"/>
        <v>1351</v>
      </c>
      <c r="AI129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4.3393084025342595E-2</v>
      </c>
      <c r="AJ1298" s="257">
        <f>FME_Ranking1[[#This Row],[Addition check]]-FME_Ranking1[[#This Row],[Weighted Score Based on Normalized Reported Factors]]</f>
        <v>0</v>
      </c>
      <c r="AK1298" s="178">
        <f>_xlfn.RANK.EQ(AI1298,$AI$6:$AI$2341,0)+COUNTIF($AI$6:AI1298,AI1298)-1</f>
        <v>1352</v>
      </c>
    </row>
    <row r="1299" spans="1:37" x14ac:dyDescent="0.25">
      <c r="A1299" t="s">
        <v>3283</v>
      </c>
      <c r="B1299">
        <f>_xlfn.XLOOKUP(FME_Ranking1[[#This Row],[FME ID]],FME_Input[FME_ID],FME_Input[RFPG_NUM])</f>
        <v>1</v>
      </c>
      <c r="C1299" t="str">
        <f>_xlfn.XLOOKUP(FME_Ranking1[[#This Row],[FME ID]],FME_Input[FME_ID],FME_Input[FME_NAME])</f>
        <v>Lawrence Lake Project Planning (City of Amarillo)</v>
      </c>
      <c r="D1299" t="str">
        <f>_xlfn.XLOOKUP(FME_Ranking1[[#This Row],[FME ID]],FME_Input[FME_ID],FME_Input[DESCR])</f>
        <v>Evaluate project to quantify benefits, evaluate impacts and begin design. Add new 3,000 GMP pumps at both pumps, replace 15" PV with 20", and replace 16" STL with 24". Project identified from 2019 Amarillo DMP.</v>
      </c>
      <c r="E1299" s="256">
        <f>_xlfn.XLOOKUP(FME_Ranking1[[#This Row],[FME ID]],FME_Input[FME_ID],FME_Input[FME_COST])</f>
        <v>250000</v>
      </c>
      <c r="F1299" t="str">
        <f>_xlfn.XLOOKUP(FME_Ranking1[[#This Row],[FME ID]],FME_Input[FME_ID],FME_Input[EMER_NEED])</f>
        <v>No</v>
      </c>
      <c r="G1299">
        <f>IF(FME_Ranking!F1299="Yes",100,0)</f>
        <v>0</v>
      </c>
      <c r="H1299">
        <f>FME_Ranking1[[#This Row],[Emergency Need Score (Normalized, Unweighted)]]*$F$3</f>
        <v>0</v>
      </c>
      <c r="I1299" s="246">
        <f>_xlfn.XLOOKUP(FME_Ranking1[[#This Row],[FME ID]],FME_Input[FME_ID],FME_Input[STRUCT_100])</f>
        <v>133</v>
      </c>
      <c r="J1299" s="178">
        <f>(FME_Ranking1[[#This Row],[Structures 100 Raw]]/I$2)*100</f>
        <v>7.1220494366619549E-2</v>
      </c>
      <c r="K1299" s="178">
        <f>FME_Ranking1[[#This Row],[Structures 100  Score (Normalized, Unweighted)]]*$I$3</f>
        <v>1.0683074154992932E-2</v>
      </c>
      <c r="L1299" s="246">
        <f>_xlfn.XLOOKUP(FME_Ranking1[[#This Row],[FME ID]],FME_Input[FME_ID],FME_Input[RES_STRUCT100])</f>
        <v>111</v>
      </c>
      <c r="M1299" s="230">
        <f>(FME_Ranking1[[#This Row],[Res Structures Raw]]/L$2)*100</f>
        <v>7.8621920641441537E-2</v>
      </c>
      <c r="N1299" s="180">
        <f>FME_Ranking1[[#This Row],[Res Structures Score (Normalized, Unweighted)]]*$L$3</f>
        <v>7.862192064144154E-3</v>
      </c>
      <c r="O1299" s="244">
        <f>_xlfn.XLOOKUP(FME_Ranking1[[#This Row],[FME ID]],FME_Input[FME_ID],FME_Input[POP100])</f>
        <v>864</v>
      </c>
      <c r="P1299" s="178">
        <f>(FME_Ranking1[[#This Row],[Pop Raw]]/$O$2)*100</f>
        <v>8.8452269558291483E-2</v>
      </c>
      <c r="Q1299" s="178">
        <f>FME_Ranking1[[#This Row],[Pop Score (Normalized, Unweighted)]]*$O$3</f>
        <v>1.3267840433743723E-2</v>
      </c>
      <c r="R1299" s="137">
        <f>_xlfn.XLOOKUP(FME_Ranking1[[#This Row],[FME ID]],FME_Input[FME_ID],FME_Input[CRITFAC100])</f>
        <v>1</v>
      </c>
      <c r="S1299" s="230">
        <f>(FME_Ranking1[[#This Row],[Critical Facilities Raw]]/$R$2)*100</f>
        <v>4.2881646655231559E-2</v>
      </c>
      <c r="T1299" s="180">
        <f>FME_Ranking1[[#This Row],[Critical Facilities Score (Normalized, Unweighted)]]*$R$3</f>
        <v>8.5763293310463125E-3</v>
      </c>
      <c r="U1299">
        <f>_xlfn.XLOOKUP(FME_Ranking1[[#This Row],[FME ID]],FME_Input[FME_ID],FME_Input[LWC])</f>
        <v>0</v>
      </c>
      <c r="V1299" s="178">
        <f>(FME_Ranking1[[#This Row],[LWC Raw]]/$U$2)*100</f>
        <v>0</v>
      </c>
      <c r="W1299" s="178">
        <f>FME_Ranking1[[#This Row],[LWC Score (Normalized, Unweighted)]]*$U$3</f>
        <v>0</v>
      </c>
      <c r="X1299" s="246">
        <f>_xlfn.XLOOKUP(FME_Ranking1[[#This Row],[FME ID]],FME_Input[FME_ID],FME_Input[ROADCLS])</f>
        <v>0</v>
      </c>
      <c r="Y1299" s="230">
        <f>(FME_Ranking1[[#This Row],[Closures Raw]]/$X$2)*100</f>
        <v>0</v>
      </c>
      <c r="Z1299" s="180">
        <f>FME_Ranking1[[#This Row],[Closures Score (Normalized, Unweighted)]]*$X$3</f>
        <v>0</v>
      </c>
      <c r="AA1299" s="253">
        <f>_xlfn.XLOOKUP(FME_Ranking1[[#This Row],[FME ID]],FME_Input[FME_ID],FME_Input[ROAD_MILES100])</f>
        <v>19.0872917175293</v>
      </c>
      <c r="AB1299" s="178">
        <f>(FME_Ranking1[[#This Row],[Miles Raw]]/$AA$2)*100</f>
        <v>0.25096365142063232</v>
      </c>
      <c r="AC1299" s="178">
        <f>FME_Ranking1[[#This Row],[Miles Score (Normalized, Unweighted)]]*$AA$3</f>
        <v>2.5096365142063232E-2</v>
      </c>
      <c r="AD1299" s="255">
        <f>_xlfn.XLOOKUP(FME_Ranking1[[#This Row],[FME ID]],FME_Input[FME_ID],FME_Input[FARMACRE100])</f>
        <v>0</v>
      </c>
      <c r="AE1299" s="230">
        <f>(FME_Ranking1[[#This Row],[Ag Land Raw]]/$AD$2)*100</f>
        <v>0</v>
      </c>
      <c r="AF1299" s="231">
        <f>FME_Ranking1[[#This Row],[Ag Land Score (Normalized, Unweighted)]]*$AD$3</f>
        <v>0</v>
      </c>
      <c r="AG129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6.5485801125990353E-2</v>
      </c>
      <c r="AH1299" s="406">
        <f t="shared" si="20"/>
        <v>1210</v>
      </c>
      <c r="AI129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6.5485801125990353E-2</v>
      </c>
      <c r="AJ1299" s="257">
        <f>FME_Ranking1[[#This Row],[Addition check]]-FME_Ranking1[[#This Row],[Weighted Score Based on Normalized Reported Factors]]</f>
        <v>0</v>
      </c>
      <c r="AK1299" s="178">
        <f>_xlfn.RANK.EQ(AI1299,$AI$6:$AI$2341,0)+COUNTIF($AI$6:AI1299,AI1299)-1</f>
        <v>1210</v>
      </c>
    </row>
    <row r="1300" spans="1:37" x14ac:dyDescent="0.25">
      <c r="A1300" t="s">
        <v>3320</v>
      </c>
      <c r="B1300">
        <f>_xlfn.XLOOKUP(FME_Ranking1[[#This Row],[FME ID]],FME_Input[FME_ID],FME_Input[RFPG_NUM])</f>
        <v>1</v>
      </c>
      <c r="C1300" t="str">
        <f>_xlfn.XLOOKUP(FME_Ranking1[[#This Row],[FME ID]],FME_Input[FME_ID],FME_Input[FME_NAME])</f>
        <v>Lawrence Lake Outfall (City of Amarillo)</v>
      </c>
      <c r="D1300" t="str">
        <f>_xlfn.XLOOKUP(FME_Ranking1[[#This Row],[FME ID]],FME_Input[FME_ID],FME_Input[DESCR])</f>
        <v>Evaluate project to quantify benefits, evaluate impacts and begin design. Project improvements include 2 inlet boxes and parallel relief line that will outfall at the current cascaded outfall. Project identified from 2019 Amarillo DMP.</v>
      </c>
      <c r="E1300" s="256">
        <f>_xlfn.XLOOKUP(FME_Ranking1[[#This Row],[FME ID]],FME_Input[FME_ID],FME_Input[FME_COST])</f>
        <v>250000</v>
      </c>
      <c r="F1300" t="str">
        <f>_xlfn.XLOOKUP(FME_Ranking1[[#This Row],[FME ID]],FME_Input[FME_ID],FME_Input[EMER_NEED])</f>
        <v>No</v>
      </c>
      <c r="G1300">
        <f>IF(FME_Ranking!F1300="Yes",100,0)</f>
        <v>0</v>
      </c>
      <c r="H1300">
        <f>FME_Ranking1[[#This Row],[Emergency Need Score (Normalized, Unweighted)]]*$F$3</f>
        <v>0</v>
      </c>
      <c r="I1300" s="246">
        <f>_xlfn.XLOOKUP(FME_Ranking1[[#This Row],[FME ID]],FME_Input[FME_ID],FME_Input[STRUCT_100])</f>
        <v>133</v>
      </c>
      <c r="J1300" s="178">
        <f>(FME_Ranking1[[#This Row],[Structures 100 Raw]]/I$2)*100</f>
        <v>7.1220494366619549E-2</v>
      </c>
      <c r="K1300" s="178">
        <f>FME_Ranking1[[#This Row],[Structures 100  Score (Normalized, Unweighted)]]*$I$3</f>
        <v>1.0683074154992932E-2</v>
      </c>
      <c r="L1300" s="246">
        <f>_xlfn.XLOOKUP(FME_Ranking1[[#This Row],[FME ID]],FME_Input[FME_ID],FME_Input[RES_STRUCT100])</f>
        <v>111</v>
      </c>
      <c r="M1300" s="230">
        <f>(FME_Ranking1[[#This Row],[Res Structures Raw]]/L$2)*100</f>
        <v>7.8621920641441537E-2</v>
      </c>
      <c r="N1300" s="180">
        <f>FME_Ranking1[[#This Row],[Res Structures Score (Normalized, Unweighted)]]*$L$3</f>
        <v>7.862192064144154E-3</v>
      </c>
      <c r="O1300" s="244">
        <f>_xlfn.XLOOKUP(FME_Ranking1[[#This Row],[FME ID]],FME_Input[FME_ID],FME_Input[POP100])</f>
        <v>864</v>
      </c>
      <c r="P1300" s="178">
        <f>(FME_Ranking1[[#This Row],[Pop Raw]]/$O$2)*100</f>
        <v>8.8452269558291483E-2</v>
      </c>
      <c r="Q1300" s="178">
        <f>FME_Ranking1[[#This Row],[Pop Score (Normalized, Unweighted)]]*$O$3</f>
        <v>1.3267840433743723E-2</v>
      </c>
      <c r="R1300" s="137">
        <f>_xlfn.XLOOKUP(FME_Ranking1[[#This Row],[FME ID]],FME_Input[FME_ID],FME_Input[CRITFAC100])</f>
        <v>1</v>
      </c>
      <c r="S1300" s="230">
        <f>(FME_Ranking1[[#This Row],[Critical Facilities Raw]]/$R$2)*100</f>
        <v>4.2881646655231559E-2</v>
      </c>
      <c r="T1300" s="180">
        <f>FME_Ranking1[[#This Row],[Critical Facilities Score (Normalized, Unweighted)]]*$R$3</f>
        <v>8.5763293310463125E-3</v>
      </c>
      <c r="U1300">
        <f>_xlfn.XLOOKUP(FME_Ranking1[[#This Row],[FME ID]],FME_Input[FME_ID],FME_Input[LWC])</f>
        <v>0</v>
      </c>
      <c r="V1300" s="178">
        <f>(FME_Ranking1[[#This Row],[LWC Raw]]/$U$2)*100</f>
        <v>0</v>
      </c>
      <c r="W1300" s="178">
        <f>FME_Ranking1[[#This Row],[LWC Score (Normalized, Unweighted)]]*$U$3</f>
        <v>0</v>
      </c>
      <c r="X1300" s="246">
        <f>_xlfn.XLOOKUP(FME_Ranking1[[#This Row],[FME ID]],FME_Input[FME_ID],FME_Input[ROADCLS])</f>
        <v>0</v>
      </c>
      <c r="Y1300" s="230">
        <f>(FME_Ranking1[[#This Row],[Closures Raw]]/$X$2)*100</f>
        <v>0</v>
      </c>
      <c r="Z1300" s="180">
        <f>FME_Ranking1[[#This Row],[Closures Score (Normalized, Unweighted)]]*$X$3</f>
        <v>0</v>
      </c>
      <c r="AA1300" s="253">
        <f>_xlfn.XLOOKUP(FME_Ranking1[[#This Row],[FME ID]],FME_Input[FME_ID],FME_Input[ROAD_MILES100])</f>
        <v>19.0872917175293</v>
      </c>
      <c r="AB1300" s="178">
        <f>(FME_Ranking1[[#This Row],[Miles Raw]]/$AA$2)*100</f>
        <v>0.25096365142063232</v>
      </c>
      <c r="AC1300" s="178">
        <f>FME_Ranking1[[#This Row],[Miles Score (Normalized, Unweighted)]]*$AA$3</f>
        <v>2.5096365142063232E-2</v>
      </c>
      <c r="AD1300" s="255">
        <f>_xlfn.XLOOKUP(FME_Ranking1[[#This Row],[FME ID]],FME_Input[FME_ID],FME_Input[FARMACRE100])</f>
        <v>0</v>
      </c>
      <c r="AE1300" s="230">
        <f>(FME_Ranking1[[#This Row],[Ag Land Raw]]/$AD$2)*100</f>
        <v>0</v>
      </c>
      <c r="AF1300" s="231">
        <f>FME_Ranking1[[#This Row],[Ag Land Score (Normalized, Unweighted)]]*$AD$3</f>
        <v>0</v>
      </c>
      <c r="AG130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6.5485801125990353E-2</v>
      </c>
      <c r="AH1300" s="406">
        <f t="shared" si="20"/>
        <v>1210</v>
      </c>
      <c r="AI130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6.5485801125990353E-2</v>
      </c>
      <c r="AJ1300" s="257">
        <f>FME_Ranking1[[#This Row],[Addition check]]-FME_Ranking1[[#This Row],[Weighted Score Based on Normalized Reported Factors]]</f>
        <v>0</v>
      </c>
      <c r="AK1300" s="178">
        <f>_xlfn.RANK.EQ(AI1300,$AI$6:$AI$2341,0)+COUNTIF($AI$6:AI1300,AI1300)-1</f>
        <v>1211</v>
      </c>
    </row>
    <row r="1301" spans="1:37" x14ac:dyDescent="0.25">
      <c r="A1301" t="s">
        <v>3352</v>
      </c>
      <c r="B1301">
        <f>_xlfn.XLOOKUP(FME_Ranking1[[#This Row],[FME ID]],FME_Input[FME_ID],FME_Input[RFPG_NUM])</f>
        <v>1</v>
      </c>
      <c r="C1301" t="str">
        <f>_xlfn.XLOOKUP(FME_Ranking1[[#This Row],[FME ID]],FME_Input[FME_ID],FME_Input[FME_NAME])</f>
        <v>Lawrence Lake Project Planning - Dilday Draw Storm Sewer (City of Amarillo)</v>
      </c>
      <c r="D1301" t="str">
        <f>_xlfn.XLOOKUP(FME_Ranking1[[#This Row],[FME ID]],FME_Input[FME_ID],FME_Input[DESCR])</f>
        <v>Evaluate project to quantify benefits, evaluate impacts and begin design. Improvements include channel improvement on several RCP, replacing a 54" and 48" RCP with 60" RCP and adding 30" PCP parallel to 72" RCP.  Project identified from 2019 Amarillo DMP.</v>
      </c>
      <c r="E1301" s="256">
        <f>_xlfn.XLOOKUP(FME_Ranking1[[#This Row],[FME ID]],FME_Input[FME_ID],FME_Input[FME_COST])</f>
        <v>250000</v>
      </c>
      <c r="F1301" t="str">
        <f>_xlfn.XLOOKUP(FME_Ranking1[[#This Row],[FME ID]],FME_Input[FME_ID],FME_Input[EMER_NEED])</f>
        <v>No</v>
      </c>
      <c r="G1301">
        <f>IF(FME_Ranking!F1301="Yes",100,0)</f>
        <v>0</v>
      </c>
      <c r="H1301">
        <f>FME_Ranking1[[#This Row],[Emergency Need Score (Normalized, Unweighted)]]*$F$3</f>
        <v>0</v>
      </c>
      <c r="I1301" s="246">
        <f>_xlfn.XLOOKUP(FME_Ranking1[[#This Row],[FME ID]],FME_Input[FME_ID],FME_Input[STRUCT_100])</f>
        <v>133</v>
      </c>
      <c r="J1301" s="178">
        <f>(FME_Ranking1[[#This Row],[Structures 100 Raw]]/I$2)*100</f>
        <v>7.1220494366619549E-2</v>
      </c>
      <c r="K1301" s="178">
        <f>FME_Ranking1[[#This Row],[Structures 100  Score (Normalized, Unweighted)]]*$I$3</f>
        <v>1.0683074154992932E-2</v>
      </c>
      <c r="L1301" s="246">
        <f>_xlfn.XLOOKUP(FME_Ranking1[[#This Row],[FME ID]],FME_Input[FME_ID],FME_Input[RES_STRUCT100])</f>
        <v>111</v>
      </c>
      <c r="M1301" s="230">
        <f>(FME_Ranking1[[#This Row],[Res Structures Raw]]/L$2)*100</f>
        <v>7.8621920641441537E-2</v>
      </c>
      <c r="N1301" s="180">
        <f>FME_Ranking1[[#This Row],[Res Structures Score (Normalized, Unweighted)]]*$L$3</f>
        <v>7.862192064144154E-3</v>
      </c>
      <c r="O1301" s="244">
        <f>_xlfn.XLOOKUP(FME_Ranking1[[#This Row],[FME ID]],FME_Input[FME_ID],FME_Input[POP100])</f>
        <v>864</v>
      </c>
      <c r="P1301" s="178">
        <f>(FME_Ranking1[[#This Row],[Pop Raw]]/$O$2)*100</f>
        <v>8.8452269558291483E-2</v>
      </c>
      <c r="Q1301" s="178">
        <f>FME_Ranking1[[#This Row],[Pop Score (Normalized, Unweighted)]]*$O$3</f>
        <v>1.3267840433743723E-2</v>
      </c>
      <c r="R1301" s="137">
        <f>_xlfn.XLOOKUP(FME_Ranking1[[#This Row],[FME ID]],FME_Input[FME_ID],FME_Input[CRITFAC100])</f>
        <v>1</v>
      </c>
      <c r="S1301" s="230">
        <f>(FME_Ranking1[[#This Row],[Critical Facilities Raw]]/$R$2)*100</f>
        <v>4.2881646655231559E-2</v>
      </c>
      <c r="T1301" s="180">
        <f>FME_Ranking1[[#This Row],[Critical Facilities Score (Normalized, Unweighted)]]*$R$3</f>
        <v>8.5763293310463125E-3</v>
      </c>
      <c r="U1301">
        <f>_xlfn.XLOOKUP(FME_Ranking1[[#This Row],[FME ID]],FME_Input[FME_ID],FME_Input[LWC])</f>
        <v>0</v>
      </c>
      <c r="V1301" s="178">
        <f>(FME_Ranking1[[#This Row],[LWC Raw]]/$U$2)*100</f>
        <v>0</v>
      </c>
      <c r="W1301" s="178">
        <f>FME_Ranking1[[#This Row],[LWC Score (Normalized, Unweighted)]]*$U$3</f>
        <v>0</v>
      </c>
      <c r="X1301" s="246">
        <f>_xlfn.XLOOKUP(FME_Ranking1[[#This Row],[FME ID]],FME_Input[FME_ID],FME_Input[ROADCLS])</f>
        <v>0</v>
      </c>
      <c r="Y1301" s="230">
        <f>(FME_Ranking1[[#This Row],[Closures Raw]]/$X$2)*100</f>
        <v>0</v>
      </c>
      <c r="Z1301" s="180">
        <f>FME_Ranking1[[#This Row],[Closures Score (Normalized, Unweighted)]]*$X$3</f>
        <v>0</v>
      </c>
      <c r="AA1301" s="253">
        <f>_xlfn.XLOOKUP(FME_Ranking1[[#This Row],[FME ID]],FME_Input[FME_ID],FME_Input[ROAD_MILES100])</f>
        <v>19.0872917175293</v>
      </c>
      <c r="AB1301" s="178">
        <f>(FME_Ranking1[[#This Row],[Miles Raw]]/$AA$2)*100</f>
        <v>0.25096365142063232</v>
      </c>
      <c r="AC1301" s="178">
        <f>FME_Ranking1[[#This Row],[Miles Score (Normalized, Unweighted)]]*$AA$3</f>
        <v>2.5096365142063232E-2</v>
      </c>
      <c r="AD1301" s="255">
        <f>_xlfn.XLOOKUP(FME_Ranking1[[#This Row],[FME ID]],FME_Input[FME_ID],FME_Input[FARMACRE100])</f>
        <v>0</v>
      </c>
      <c r="AE1301" s="230">
        <f>(FME_Ranking1[[#This Row],[Ag Land Raw]]/$AD$2)*100</f>
        <v>0</v>
      </c>
      <c r="AF1301" s="231">
        <f>FME_Ranking1[[#This Row],[Ag Land Score (Normalized, Unweighted)]]*$AD$3</f>
        <v>0</v>
      </c>
      <c r="AG130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6.5485801125990353E-2</v>
      </c>
      <c r="AH1301" s="406">
        <f t="shared" si="20"/>
        <v>1210</v>
      </c>
      <c r="AI130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6.5485801125990353E-2</v>
      </c>
      <c r="AJ1301" s="257">
        <f>FME_Ranking1[[#This Row],[Addition check]]-FME_Ranking1[[#This Row],[Weighted Score Based on Normalized Reported Factors]]</f>
        <v>0</v>
      </c>
      <c r="AK1301" s="178">
        <f>_xlfn.RANK.EQ(AI1301,$AI$6:$AI$2341,0)+COUNTIF($AI$6:AI1301,AI1301)-1</f>
        <v>1212</v>
      </c>
    </row>
    <row r="1302" spans="1:37" x14ac:dyDescent="0.25">
      <c r="A1302" t="s">
        <v>3355</v>
      </c>
      <c r="B1302">
        <f>_xlfn.XLOOKUP(FME_Ranking1[[#This Row],[FME ID]],FME_Input[FME_ID],FME_Input[RFPG_NUM])</f>
        <v>1</v>
      </c>
      <c r="C1302" t="str">
        <f>_xlfn.XLOOKUP(FME_Ranking1[[#This Row],[FME ID]],FME_Input[FME_ID],FME_Input[FME_NAME])</f>
        <v>Lawrence Lake Project Planning - Fleetwood Drive Storm Sewer (City of Amarillo)</v>
      </c>
      <c r="D1302" t="str">
        <f>_xlfn.XLOOKUP(FME_Ranking1[[#This Row],[FME ID]],FME_Input[FME_ID],FME_Input[DESCR])</f>
        <v>Evaluate project to quantify benefits, evaluate impacts and begin design. Replace pipes with ones with larger diameters, add three new pipes, and connect two pipes in three locations. Project identified from 2019 Amarillo DMP.</v>
      </c>
      <c r="E1302" s="256">
        <f>_xlfn.XLOOKUP(FME_Ranking1[[#This Row],[FME ID]],FME_Input[FME_ID],FME_Input[FME_COST])</f>
        <v>250000</v>
      </c>
      <c r="F1302" t="str">
        <f>_xlfn.XLOOKUP(FME_Ranking1[[#This Row],[FME ID]],FME_Input[FME_ID],FME_Input[EMER_NEED])</f>
        <v>No</v>
      </c>
      <c r="G1302">
        <f>IF(FME_Ranking!F1302="Yes",100,0)</f>
        <v>0</v>
      </c>
      <c r="H1302">
        <f>FME_Ranking1[[#This Row],[Emergency Need Score (Normalized, Unweighted)]]*$F$3</f>
        <v>0</v>
      </c>
      <c r="I1302" s="246">
        <f>_xlfn.XLOOKUP(FME_Ranking1[[#This Row],[FME ID]],FME_Input[FME_ID],FME_Input[STRUCT_100])</f>
        <v>133</v>
      </c>
      <c r="J1302" s="178">
        <f>(FME_Ranking1[[#This Row],[Structures 100 Raw]]/I$2)*100</f>
        <v>7.1220494366619549E-2</v>
      </c>
      <c r="K1302" s="178">
        <f>FME_Ranking1[[#This Row],[Structures 100  Score (Normalized, Unweighted)]]*$I$3</f>
        <v>1.0683074154992932E-2</v>
      </c>
      <c r="L1302" s="246">
        <f>_xlfn.XLOOKUP(FME_Ranking1[[#This Row],[FME ID]],FME_Input[FME_ID],FME_Input[RES_STRUCT100])</f>
        <v>111</v>
      </c>
      <c r="M1302" s="230">
        <f>(FME_Ranking1[[#This Row],[Res Structures Raw]]/L$2)*100</f>
        <v>7.8621920641441537E-2</v>
      </c>
      <c r="N1302" s="180">
        <f>FME_Ranking1[[#This Row],[Res Structures Score (Normalized, Unweighted)]]*$L$3</f>
        <v>7.862192064144154E-3</v>
      </c>
      <c r="O1302" s="244">
        <f>_xlfn.XLOOKUP(FME_Ranking1[[#This Row],[FME ID]],FME_Input[FME_ID],FME_Input[POP100])</f>
        <v>864</v>
      </c>
      <c r="P1302" s="178">
        <f>(FME_Ranking1[[#This Row],[Pop Raw]]/$O$2)*100</f>
        <v>8.8452269558291483E-2</v>
      </c>
      <c r="Q1302" s="178">
        <f>FME_Ranking1[[#This Row],[Pop Score (Normalized, Unweighted)]]*$O$3</f>
        <v>1.3267840433743723E-2</v>
      </c>
      <c r="R1302" s="137">
        <f>_xlfn.XLOOKUP(FME_Ranking1[[#This Row],[FME ID]],FME_Input[FME_ID],FME_Input[CRITFAC100])</f>
        <v>1</v>
      </c>
      <c r="S1302" s="230">
        <f>(FME_Ranking1[[#This Row],[Critical Facilities Raw]]/$R$2)*100</f>
        <v>4.2881646655231559E-2</v>
      </c>
      <c r="T1302" s="180">
        <f>FME_Ranking1[[#This Row],[Critical Facilities Score (Normalized, Unweighted)]]*$R$3</f>
        <v>8.5763293310463125E-3</v>
      </c>
      <c r="U1302">
        <f>_xlfn.XLOOKUP(FME_Ranking1[[#This Row],[FME ID]],FME_Input[FME_ID],FME_Input[LWC])</f>
        <v>0</v>
      </c>
      <c r="V1302" s="178">
        <f>(FME_Ranking1[[#This Row],[LWC Raw]]/$U$2)*100</f>
        <v>0</v>
      </c>
      <c r="W1302" s="178">
        <f>FME_Ranking1[[#This Row],[LWC Score (Normalized, Unweighted)]]*$U$3</f>
        <v>0</v>
      </c>
      <c r="X1302" s="246">
        <f>_xlfn.XLOOKUP(FME_Ranking1[[#This Row],[FME ID]],FME_Input[FME_ID],FME_Input[ROADCLS])</f>
        <v>0</v>
      </c>
      <c r="Y1302" s="230">
        <f>(FME_Ranking1[[#This Row],[Closures Raw]]/$X$2)*100</f>
        <v>0</v>
      </c>
      <c r="Z1302" s="180">
        <f>FME_Ranking1[[#This Row],[Closures Score (Normalized, Unweighted)]]*$X$3</f>
        <v>0</v>
      </c>
      <c r="AA1302" s="253">
        <f>_xlfn.XLOOKUP(FME_Ranking1[[#This Row],[FME ID]],FME_Input[FME_ID],FME_Input[ROAD_MILES100])</f>
        <v>19.0872917175293</v>
      </c>
      <c r="AB1302" s="178">
        <f>(FME_Ranking1[[#This Row],[Miles Raw]]/$AA$2)*100</f>
        <v>0.25096365142063232</v>
      </c>
      <c r="AC1302" s="178">
        <f>FME_Ranking1[[#This Row],[Miles Score (Normalized, Unweighted)]]*$AA$3</f>
        <v>2.5096365142063232E-2</v>
      </c>
      <c r="AD1302" s="255">
        <f>_xlfn.XLOOKUP(FME_Ranking1[[#This Row],[FME ID]],FME_Input[FME_ID],FME_Input[FARMACRE100])</f>
        <v>0</v>
      </c>
      <c r="AE1302" s="230">
        <f>(FME_Ranking1[[#This Row],[Ag Land Raw]]/$AD$2)*100</f>
        <v>0</v>
      </c>
      <c r="AF1302" s="231">
        <f>FME_Ranking1[[#This Row],[Ag Land Score (Normalized, Unweighted)]]*$AD$3</f>
        <v>0</v>
      </c>
      <c r="AG130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6.5485801125990353E-2</v>
      </c>
      <c r="AH1302" s="406">
        <f t="shared" si="20"/>
        <v>1210</v>
      </c>
      <c r="AI130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6.5485801125990353E-2</v>
      </c>
      <c r="AJ1302" s="257">
        <f>FME_Ranking1[[#This Row],[Addition check]]-FME_Ranking1[[#This Row],[Weighted Score Based on Normalized Reported Factors]]</f>
        <v>0</v>
      </c>
      <c r="AK1302" s="178">
        <f>_xlfn.RANK.EQ(AI1302,$AI$6:$AI$2341,0)+COUNTIF($AI$6:AI1302,AI1302)-1</f>
        <v>1213</v>
      </c>
    </row>
    <row r="1303" spans="1:37" x14ac:dyDescent="0.25">
      <c r="A1303" t="s">
        <v>3358</v>
      </c>
      <c r="B1303">
        <f>_xlfn.XLOOKUP(FME_Ranking1[[#This Row],[FME ID]],FME_Input[FME_ID],FME_Input[RFPG_NUM])</f>
        <v>1</v>
      </c>
      <c r="C1303" t="str">
        <f>_xlfn.XLOOKUP(FME_Ranking1[[#This Row],[FME ID]],FME_Input[FME_ID],FME_Input[FME_NAME])</f>
        <v>Lawrence Lake Project Planning - Julian Blvd. Storm Sewer (City of Amarillo)</v>
      </c>
      <c r="D1303" t="str">
        <f>_xlfn.XLOOKUP(FME_Ranking1[[#This Row],[FME ID]],FME_Input[FME_ID],FME_Input[DESCR])</f>
        <v>Evaluate project to quantify benefits, evaluate impacts and begin design. Proposed improvements consist of adding a major trunkline, and a lateral and inlets. Project identified from 2019 Amarillo DMP.</v>
      </c>
      <c r="E1303" s="256">
        <f>_xlfn.XLOOKUP(FME_Ranking1[[#This Row],[FME ID]],FME_Input[FME_ID],FME_Input[FME_COST])</f>
        <v>250000</v>
      </c>
      <c r="F1303" t="str">
        <f>_xlfn.XLOOKUP(FME_Ranking1[[#This Row],[FME ID]],FME_Input[FME_ID],FME_Input[EMER_NEED])</f>
        <v>No</v>
      </c>
      <c r="G1303">
        <f>IF(FME_Ranking!F1303="Yes",100,0)</f>
        <v>0</v>
      </c>
      <c r="H1303">
        <f>FME_Ranking1[[#This Row],[Emergency Need Score (Normalized, Unweighted)]]*$F$3</f>
        <v>0</v>
      </c>
      <c r="I1303" s="246">
        <f>_xlfn.XLOOKUP(FME_Ranking1[[#This Row],[FME ID]],FME_Input[FME_ID],FME_Input[STRUCT_100])</f>
        <v>133</v>
      </c>
      <c r="J1303" s="178">
        <f>(FME_Ranking1[[#This Row],[Structures 100 Raw]]/I$2)*100</f>
        <v>7.1220494366619549E-2</v>
      </c>
      <c r="K1303" s="178">
        <f>FME_Ranking1[[#This Row],[Structures 100  Score (Normalized, Unweighted)]]*$I$3</f>
        <v>1.0683074154992932E-2</v>
      </c>
      <c r="L1303" s="246">
        <f>_xlfn.XLOOKUP(FME_Ranking1[[#This Row],[FME ID]],FME_Input[FME_ID],FME_Input[RES_STRUCT100])</f>
        <v>111</v>
      </c>
      <c r="M1303" s="230">
        <f>(FME_Ranking1[[#This Row],[Res Structures Raw]]/L$2)*100</f>
        <v>7.8621920641441537E-2</v>
      </c>
      <c r="N1303" s="180">
        <f>FME_Ranking1[[#This Row],[Res Structures Score (Normalized, Unweighted)]]*$L$3</f>
        <v>7.862192064144154E-3</v>
      </c>
      <c r="O1303" s="244">
        <f>_xlfn.XLOOKUP(FME_Ranking1[[#This Row],[FME ID]],FME_Input[FME_ID],FME_Input[POP100])</f>
        <v>864</v>
      </c>
      <c r="P1303" s="178">
        <f>(FME_Ranking1[[#This Row],[Pop Raw]]/$O$2)*100</f>
        <v>8.8452269558291483E-2</v>
      </c>
      <c r="Q1303" s="178">
        <f>FME_Ranking1[[#This Row],[Pop Score (Normalized, Unweighted)]]*$O$3</f>
        <v>1.3267840433743723E-2</v>
      </c>
      <c r="R1303" s="137">
        <f>_xlfn.XLOOKUP(FME_Ranking1[[#This Row],[FME ID]],FME_Input[FME_ID],FME_Input[CRITFAC100])</f>
        <v>1</v>
      </c>
      <c r="S1303" s="230">
        <f>(FME_Ranking1[[#This Row],[Critical Facilities Raw]]/$R$2)*100</f>
        <v>4.2881646655231559E-2</v>
      </c>
      <c r="T1303" s="180">
        <f>FME_Ranking1[[#This Row],[Critical Facilities Score (Normalized, Unweighted)]]*$R$3</f>
        <v>8.5763293310463125E-3</v>
      </c>
      <c r="U1303">
        <f>_xlfn.XLOOKUP(FME_Ranking1[[#This Row],[FME ID]],FME_Input[FME_ID],FME_Input[LWC])</f>
        <v>0</v>
      </c>
      <c r="V1303" s="178">
        <f>(FME_Ranking1[[#This Row],[LWC Raw]]/$U$2)*100</f>
        <v>0</v>
      </c>
      <c r="W1303" s="178">
        <f>FME_Ranking1[[#This Row],[LWC Score (Normalized, Unweighted)]]*$U$3</f>
        <v>0</v>
      </c>
      <c r="X1303" s="246">
        <f>_xlfn.XLOOKUP(FME_Ranking1[[#This Row],[FME ID]],FME_Input[FME_ID],FME_Input[ROADCLS])</f>
        <v>0</v>
      </c>
      <c r="Y1303" s="230">
        <f>(FME_Ranking1[[#This Row],[Closures Raw]]/$X$2)*100</f>
        <v>0</v>
      </c>
      <c r="Z1303" s="180">
        <f>FME_Ranking1[[#This Row],[Closures Score (Normalized, Unweighted)]]*$X$3</f>
        <v>0</v>
      </c>
      <c r="AA1303" s="253">
        <f>_xlfn.XLOOKUP(FME_Ranking1[[#This Row],[FME ID]],FME_Input[FME_ID],FME_Input[ROAD_MILES100])</f>
        <v>19.0872917175293</v>
      </c>
      <c r="AB1303" s="178">
        <f>(FME_Ranking1[[#This Row],[Miles Raw]]/$AA$2)*100</f>
        <v>0.25096365142063232</v>
      </c>
      <c r="AC1303" s="178">
        <f>FME_Ranking1[[#This Row],[Miles Score (Normalized, Unweighted)]]*$AA$3</f>
        <v>2.5096365142063232E-2</v>
      </c>
      <c r="AD1303" s="255">
        <f>_xlfn.XLOOKUP(FME_Ranking1[[#This Row],[FME ID]],FME_Input[FME_ID],FME_Input[FARMACRE100])</f>
        <v>0</v>
      </c>
      <c r="AE1303" s="230">
        <f>(FME_Ranking1[[#This Row],[Ag Land Raw]]/$AD$2)*100</f>
        <v>0</v>
      </c>
      <c r="AF1303" s="231">
        <f>FME_Ranking1[[#This Row],[Ag Land Score (Normalized, Unweighted)]]*$AD$3</f>
        <v>0</v>
      </c>
      <c r="AG130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6.5485801125990353E-2</v>
      </c>
      <c r="AH1303" s="406">
        <f t="shared" si="20"/>
        <v>1210</v>
      </c>
      <c r="AI130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6.5485801125990353E-2</v>
      </c>
      <c r="AJ1303" s="257">
        <f>FME_Ranking1[[#This Row],[Addition check]]-FME_Ranking1[[#This Row],[Weighted Score Based on Normalized Reported Factors]]</f>
        <v>0</v>
      </c>
      <c r="AK1303" s="178">
        <f>_xlfn.RANK.EQ(AI1303,$AI$6:$AI$2341,0)+COUNTIF($AI$6:AI1303,AI1303)-1</f>
        <v>1214</v>
      </c>
    </row>
    <row r="1304" spans="1:37" x14ac:dyDescent="0.25">
      <c r="A1304" t="s">
        <v>3361</v>
      </c>
      <c r="B1304">
        <f>_xlfn.XLOOKUP(FME_Ranking1[[#This Row],[FME ID]],FME_Input[FME_ID],FME_Input[RFPG_NUM])</f>
        <v>1</v>
      </c>
      <c r="C1304" t="str">
        <f>_xlfn.XLOOKUP(FME_Ranking1[[#This Row],[FME ID]],FME_Input[FME_ID],FME_Input[FME_NAME])</f>
        <v>Lawrence Lake Project Planning - Olsen/Emil Storm Sewer (City of Amarillo)</v>
      </c>
      <c r="D1304" t="str">
        <f>_xlfn.XLOOKUP(FME_Ranking1[[#This Row],[FME ID]],FME_Input[FME_ID],FME_Input[DESCR])</f>
        <v>Evaluate project to quantify benefits, evaluate impacts and begin design. Proposed improvements include new inlets and laterals, and upsizing existing laterals and trunk line through the outfall. Project identified from 2019 Amarillo DMP.</v>
      </c>
      <c r="E1304" s="256">
        <f>_xlfn.XLOOKUP(FME_Ranking1[[#This Row],[FME ID]],FME_Input[FME_ID],FME_Input[FME_COST])</f>
        <v>250000</v>
      </c>
      <c r="F1304" t="str">
        <f>_xlfn.XLOOKUP(FME_Ranking1[[#This Row],[FME ID]],FME_Input[FME_ID],FME_Input[EMER_NEED])</f>
        <v>No</v>
      </c>
      <c r="G1304">
        <f>IF(FME_Ranking!F1304="Yes",100,0)</f>
        <v>0</v>
      </c>
      <c r="H1304">
        <f>FME_Ranking1[[#This Row],[Emergency Need Score (Normalized, Unweighted)]]*$F$3</f>
        <v>0</v>
      </c>
      <c r="I1304" s="246">
        <f>_xlfn.XLOOKUP(FME_Ranking1[[#This Row],[FME ID]],FME_Input[FME_ID],FME_Input[STRUCT_100])</f>
        <v>133</v>
      </c>
      <c r="J1304" s="178">
        <f>(FME_Ranking1[[#This Row],[Structures 100 Raw]]/I$2)*100</f>
        <v>7.1220494366619549E-2</v>
      </c>
      <c r="K1304" s="178">
        <f>FME_Ranking1[[#This Row],[Structures 100  Score (Normalized, Unweighted)]]*$I$3</f>
        <v>1.0683074154992932E-2</v>
      </c>
      <c r="L1304" s="246">
        <f>_xlfn.XLOOKUP(FME_Ranking1[[#This Row],[FME ID]],FME_Input[FME_ID],FME_Input[RES_STRUCT100])</f>
        <v>111</v>
      </c>
      <c r="M1304" s="230">
        <f>(FME_Ranking1[[#This Row],[Res Structures Raw]]/L$2)*100</f>
        <v>7.8621920641441537E-2</v>
      </c>
      <c r="N1304" s="180">
        <f>FME_Ranking1[[#This Row],[Res Structures Score (Normalized, Unweighted)]]*$L$3</f>
        <v>7.862192064144154E-3</v>
      </c>
      <c r="O1304" s="244">
        <f>_xlfn.XLOOKUP(FME_Ranking1[[#This Row],[FME ID]],FME_Input[FME_ID],FME_Input[POP100])</f>
        <v>864</v>
      </c>
      <c r="P1304" s="178">
        <f>(FME_Ranking1[[#This Row],[Pop Raw]]/$O$2)*100</f>
        <v>8.8452269558291483E-2</v>
      </c>
      <c r="Q1304" s="178">
        <f>FME_Ranking1[[#This Row],[Pop Score (Normalized, Unweighted)]]*$O$3</f>
        <v>1.3267840433743723E-2</v>
      </c>
      <c r="R1304" s="137">
        <f>_xlfn.XLOOKUP(FME_Ranking1[[#This Row],[FME ID]],FME_Input[FME_ID],FME_Input[CRITFAC100])</f>
        <v>1</v>
      </c>
      <c r="S1304" s="230">
        <f>(FME_Ranking1[[#This Row],[Critical Facilities Raw]]/$R$2)*100</f>
        <v>4.2881646655231559E-2</v>
      </c>
      <c r="T1304" s="180">
        <f>FME_Ranking1[[#This Row],[Critical Facilities Score (Normalized, Unweighted)]]*$R$3</f>
        <v>8.5763293310463125E-3</v>
      </c>
      <c r="U1304">
        <f>_xlfn.XLOOKUP(FME_Ranking1[[#This Row],[FME ID]],FME_Input[FME_ID],FME_Input[LWC])</f>
        <v>0</v>
      </c>
      <c r="V1304" s="178">
        <f>(FME_Ranking1[[#This Row],[LWC Raw]]/$U$2)*100</f>
        <v>0</v>
      </c>
      <c r="W1304" s="178">
        <f>FME_Ranking1[[#This Row],[LWC Score (Normalized, Unweighted)]]*$U$3</f>
        <v>0</v>
      </c>
      <c r="X1304" s="246">
        <f>_xlfn.XLOOKUP(FME_Ranking1[[#This Row],[FME ID]],FME_Input[FME_ID],FME_Input[ROADCLS])</f>
        <v>0</v>
      </c>
      <c r="Y1304" s="230">
        <f>(FME_Ranking1[[#This Row],[Closures Raw]]/$X$2)*100</f>
        <v>0</v>
      </c>
      <c r="Z1304" s="180">
        <f>FME_Ranking1[[#This Row],[Closures Score (Normalized, Unweighted)]]*$X$3</f>
        <v>0</v>
      </c>
      <c r="AA1304" s="253">
        <f>_xlfn.XLOOKUP(FME_Ranking1[[#This Row],[FME ID]],FME_Input[FME_ID],FME_Input[ROAD_MILES100])</f>
        <v>19.0872917175293</v>
      </c>
      <c r="AB1304" s="178">
        <f>(FME_Ranking1[[#This Row],[Miles Raw]]/$AA$2)*100</f>
        <v>0.25096365142063232</v>
      </c>
      <c r="AC1304" s="178">
        <f>FME_Ranking1[[#This Row],[Miles Score (Normalized, Unweighted)]]*$AA$3</f>
        <v>2.5096365142063232E-2</v>
      </c>
      <c r="AD1304" s="255">
        <f>_xlfn.XLOOKUP(FME_Ranking1[[#This Row],[FME ID]],FME_Input[FME_ID],FME_Input[FARMACRE100])</f>
        <v>0</v>
      </c>
      <c r="AE1304" s="230">
        <f>(FME_Ranking1[[#This Row],[Ag Land Raw]]/$AD$2)*100</f>
        <v>0</v>
      </c>
      <c r="AF1304" s="231">
        <f>FME_Ranking1[[#This Row],[Ag Land Score (Normalized, Unweighted)]]*$AD$3</f>
        <v>0</v>
      </c>
      <c r="AG130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6.5485801125990353E-2</v>
      </c>
      <c r="AH1304" s="406">
        <f t="shared" si="20"/>
        <v>1210</v>
      </c>
      <c r="AI130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6.5485801125990353E-2</v>
      </c>
      <c r="AJ1304" s="257">
        <f>FME_Ranking1[[#This Row],[Addition check]]-FME_Ranking1[[#This Row],[Weighted Score Based on Normalized Reported Factors]]</f>
        <v>0</v>
      </c>
      <c r="AK1304" s="178">
        <f>_xlfn.RANK.EQ(AI1304,$AI$6:$AI$2341,0)+COUNTIF($AI$6:AI1304,AI1304)-1</f>
        <v>1215</v>
      </c>
    </row>
    <row r="1305" spans="1:37" x14ac:dyDescent="0.25">
      <c r="A1305" t="s">
        <v>3364</v>
      </c>
      <c r="B1305">
        <f>_xlfn.XLOOKUP(FME_Ranking1[[#This Row],[FME ID]],FME_Input[FME_ID],FME_Input[RFPG_NUM])</f>
        <v>1</v>
      </c>
      <c r="C1305" t="str">
        <f>_xlfn.XLOOKUP(FME_Ranking1[[#This Row],[FME ID]],FME_Input[FME_ID],FME_Input[FME_NAME])</f>
        <v>Lawrence Lake Project Planning - SW 26th Avenue Storm Sewer (City of Amarillo)</v>
      </c>
      <c r="D1305" t="str">
        <f>_xlfn.XLOOKUP(FME_Ranking1[[#This Row],[FME ID]],FME_Input[FME_ID],FME_Input[DESCR])</f>
        <v>Evaluate project to quantify benefits, evaluate impacts and begin design. Proposed improvements include adding multiple inlets and laterals and connecting them into an existing parallel line. Project identified from 2019 Amarillo DMP.</v>
      </c>
      <c r="E1305" s="256">
        <f>_xlfn.XLOOKUP(FME_Ranking1[[#This Row],[FME ID]],FME_Input[FME_ID],FME_Input[FME_COST])</f>
        <v>250000</v>
      </c>
      <c r="F1305" t="str">
        <f>_xlfn.XLOOKUP(FME_Ranking1[[#This Row],[FME ID]],FME_Input[FME_ID],FME_Input[EMER_NEED])</f>
        <v>No</v>
      </c>
      <c r="G1305">
        <f>IF(FME_Ranking!F1305="Yes",100,0)</f>
        <v>0</v>
      </c>
      <c r="H1305">
        <f>FME_Ranking1[[#This Row],[Emergency Need Score (Normalized, Unweighted)]]*$F$3</f>
        <v>0</v>
      </c>
      <c r="I1305" s="246">
        <f>_xlfn.XLOOKUP(FME_Ranking1[[#This Row],[FME ID]],FME_Input[FME_ID],FME_Input[STRUCT_100])</f>
        <v>133</v>
      </c>
      <c r="J1305" s="178">
        <f>(FME_Ranking1[[#This Row],[Structures 100 Raw]]/I$2)*100</f>
        <v>7.1220494366619549E-2</v>
      </c>
      <c r="K1305" s="178">
        <f>FME_Ranking1[[#This Row],[Structures 100  Score (Normalized, Unweighted)]]*$I$3</f>
        <v>1.0683074154992932E-2</v>
      </c>
      <c r="L1305" s="246">
        <f>_xlfn.XLOOKUP(FME_Ranking1[[#This Row],[FME ID]],FME_Input[FME_ID],FME_Input[RES_STRUCT100])</f>
        <v>111</v>
      </c>
      <c r="M1305" s="230">
        <f>(FME_Ranking1[[#This Row],[Res Structures Raw]]/L$2)*100</f>
        <v>7.8621920641441537E-2</v>
      </c>
      <c r="N1305" s="180">
        <f>FME_Ranking1[[#This Row],[Res Structures Score (Normalized, Unweighted)]]*$L$3</f>
        <v>7.862192064144154E-3</v>
      </c>
      <c r="O1305" s="244">
        <f>_xlfn.XLOOKUP(FME_Ranking1[[#This Row],[FME ID]],FME_Input[FME_ID],FME_Input[POP100])</f>
        <v>864</v>
      </c>
      <c r="P1305" s="178">
        <f>(FME_Ranking1[[#This Row],[Pop Raw]]/$O$2)*100</f>
        <v>8.8452269558291483E-2</v>
      </c>
      <c r="Q1305" s="178">
        <f>FME_Ranking1[[#This Row],[Pop Score (Normalized, Unweighted)]]*$O$3</f>
        <v>1.3267840433743723E-2</v>
      </c>
      <c r="R1305" s="137">
        <f>_xlfn.XLOOKUP(FME_Ranking1[[#This Row],[FME ID]],FME_Input[FME_ID],FME_Input[CRITFAC100])</f>
        <v>1</v>
      </c>
      <c r="S1305" s="230">
        <f>(FME_Ranking1[[#This Row],[Critical Facilities Raw]]/$R$2)*100</f>
        <v>4.2881646655231559E-2</v>
      </c>
      <c r="T1305" s="180">
        <f>FME_Ranking1[[#This Row],[Critical Facilities Score (Normalized, Unweighted)]]*$R$3</f>
        <v>8.5763293310463125E-3</v>
      </c>
      <c r="U1305">
        <f>_xlfn.XLOOKUP(FME_Ranking1[[#This Row],[FME ID]],FME_Input[FME_ID],FME_Input[LWC])</f>
        <v>0</v>
      </c>
      <c r="V1305" s="178">
        <f>(FME_Ranking1[[#This Row],[LWC Raw]]/$U$2)*100</f>
        <v>0</v>
      </c>
      <c r="W1305" s="178">
        <f>FME_Ranking1[[#This Row],[LWC Score (Normalized, Unweighted)]]*$U$3</f>
        <v>0</v>
      </c>
      <c r="X1305" s="246">
        <f>_xlfn.XLOOKUP(FME_Ranking1[[#This Row],[FME ID]],FME_Input[FME_ID],FME_Input[ROADCLS])</f>
        <v>0</v>
      </c>
      <c r="Y1305" s="230">
        <f>(FME_Ranking1[[#This Row],[Closures Raw]]/$X$2)*100</f>
        <v>0</v>
      </c>
      <c r="Z1305" s="180">
        <f>FME_Ranking1[[#This Row],[Closures Score (Normalized, Unweighted)]]*$X$3</f>
        <v>0</v>
      </c>
      <c r="AA1305" s="253">
        <f>_xlfn.XLOOKUP(FME_Ranking1[[#This Row],[FME ID]],FME_Input[FME_ID],FME_Input[ROAD_MILES100])</f>
        <v>19.0872917175293</v>
      </c>
      <c r="AB1305" s="178">
        <f>(FME_Ranking1[[#This Row],[Miles Raw]]/$AA$2)*100</f>
        <v>0.25096365142063232</v>
      </c>
      <c r="AC1305" s="178">
        <f>FME_Ranking1[[#This Row],[Miles Score (Normalized, Unweighted)]]*$AA$3</f>
        <v>2.5096365142063232E-2</v>
      </c>
      <c r="AD1305" s="255">
        <f>_xlfn.XLOOKUP(FME_Ranking1[[#This Row],[FME ID]],FME_Input[FME_ID],FME_Input[FARMACRE100])</f>
        <v>0</v>
      </c>
      <c r="AE1305" s="230">
        <f>(FME_Ranking1[[#This Row],[Ag Land Raw]]/$AD$2)*100</f>
        <v>0</v>
      </c>
      <c r="AF1305" s="231">
        <f>FME_Ranking1[[#This Row],[Ag Land Score (Normalized, Unweighted)]]*$AD$3</f>
        <v>0</v>
      </c>
      <c r="AG130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6.5485801125990353E-2</v>
      </c>
      <c r="AH1305" s="406">
        <f t="shared" si="20"/>
        <v>1210</v>
      </c>
      <c r="AI130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6.5485801125990353E-2</v>
      </c>
      <c r="AJ1305" s="257">
        <f>FME_Ranking1[[#This Row],[Addition check]]-FME_Ranking1[[#This Row],[Weighted Score Based on Normalized Reported Factors]]</f>
        <v>0</v>
      </c>
      <c r="AK1305" s="178">
        <f>_xlfn.RANK.EQ(AI1305,$AI$6:$AI$2341,0)+COUNTIF($AI$6:AI1305,AI1305)-1</f>
        <v>1216</v>
      </c>
    </row>
    <row r="1306" spans="1:37" x14ac:dyDescent="0.25">
      <c r="A1306" t="s">
        <v>3384</v>
      </c>
      <c r="B1306">
        <f>_xlfn.XLOOKUP(FME_Ranking1[[#This Row],[FME ID]],FME_Input[FME_ID],FME_Input[RFPG_NUM])</f>
        <v>1</v>
      </c>
      <c r="C1306" t="str">
        <f>_xlfn.XLOOKUP(FME_Ranking1[[#This Row],[FME ID]],FME_Input[FME_ID],FME_Input[FME_NAME])</f>
        <v>Lawrence Lake Watershed Study (City of Amarillo)</v>
      </c>
      <c r="D1306" t="str">
        <f>_xlfn.XLOOKUP(FME_Ranking1[[#This Row],[FME ID]],FME_Input[FME_ID],FME_Input[DESCR])</f>
        <v>Perform H&amp;H modeling, develop conceptual alternatives and OPCC, and rank projects. Marked as very high priority in 2019 Amarillo DMP</v>
      </c>
      <c r="E1306" s="256">
        <f>_xlfn.XLOOKUP(FME_Ranking1[[#This Row],[FME ID]],FME_Input[FME_ID],FME_Input[FME_COST])</f>
        <v>1000000</v>
      </c>
      <c r="F1306" t="str">
        <f>_xlfn.XLOOKUP(FME_Ranking1[[#This Row],[FME ID]],FME_Input[FME_ID],FME_Input[EMER_NEED])</f>
        <v>No</v>
      </c>
      <c r="G1306">
        <f>IF(FME_Ranking!F1306="Yes",100,0)</f>
        <v>0</v>
      </c>
      <c r="H1306">
        <f>FME_Ranking1[[#This Row],[Emergency Need Score (Normalized, Unweighted)]]*$F$3</f>
        <v>0</v>
      </c>
      <c r="I1306" s="246">
        <f>_xlfn.XLOOKUP(FME_Ranking1[[#This Row],[FME ID]],FME_Input[FME_ID],FME_Input[STRUCT_100])</f>
        <v>133</v>
      </c>
      <c r="J1306" s="178">
        <f>(FME_Ranking1[[#This Row],[Structures 100 Raw]]/I$2)*100</f>
        <v>7.1220494366619549E-2</v>
      </c>
      <c r="K1306" s="178">
        <f>FME_Ranking1[[#This Row],[Structures 100  Score (Normalized, Unweighted)]]*$I$3</f>
        <v>1.0683074154992932E-2</v>
      </c>
      <c r="L1306" s="246">
        <f>_xlfn.XLOOKUP(FME_Ranking1[[#This Row],[FME ID]],FME_Input[FME_ID],FME_Input[RES_STRUCT100])</f>
        <v>111</v>
      </c>
      <c r="M1306" s="230">
        <f>(FME_Ranking1[[#This Row],[Res Structures Raw]]/L$2)*100</f>
        <v>7.8621920641441537E-2</v>
      </c>
      <c r="N1306" s="180">
        <f>FME_Ranking1[[#This Row],[Res Structures Score (Normalized, Unweighted)]]*$L$3</f>
        <v>7.862192064144154E-3</v>
      </c>
      <c r="O1306" s="244">
        <f>_xlfn.XLOOKUP(FME_Ranking1[[#This Row],[FME ID]],FME_Input[FME_ID],FME_Input[POP100])</f>
        <v>864</v>
      </c>
      <c r="P1306" s="178">
        <f>(FME_Ranking1[[#This Row],[Pop Raw]]/$O$2)*100</f>
        <v>8.8452269558291483E-2</v>
      </c>
      <c r="Q1306" s="178">
        <f>FME_Ranking1[[#This Row],[Pop Score (Normalized, Unweighted)]]*$O$3</f>
        <v>1.3267840433743723E-2</v>
      </c>
      <c r="R1306" s="137">
        <f>_xlfn.XLOOKUP(FME_Ranking1[[#This Row],[FME ID]],FME_Input[FME_ID],FME_Input[CRITFAC100])</f>
        <v>1</v>
      </c>
      <c r="S1306" s="230">
        <f>(FME_Ranking1[[#This Row],[Critical Facilities Raw]]/$R$2)*100</f>
        <v>4.2881646655231559E-2</v>
      </c>
      <c r="T1306" s="180">
        <f>FME_Ranking1[[#This Row],[Critical Facilities Score (Normalized, Unweighted)]]*$R$3</f>
        <v>8.5763293310463125E-3</v>
      </c>
      <c r="U1306">
        <f>_xlfn.XLOOKUP(FME_Ranking1[[#This Row],[FME ID]],FME_Input[FME_ID],FME_Input[LWC])</f>
        <v>0</v>
      </c>
      <c r="V1306" s="178">
        <f>(FME_Ranking1[[#This Row],[LWC Raw]]/$U$2)*100</f>
        <v>0</v>
      </c>
      <c r="W1306" s="178">
        <f>FME_Ranking1[[#This Row],[LWC Score (Normalized, Unweighted)]]*$U$3</f>
        <v>0</v>
      </c>
      <c r="X1306" s="246">
        <f>_xlfn.XLOOKUP(FME_Ranking1[[#This Row],[FME ID]],FME_Input[FME_ID],FME_Input[ROADCLS])</f>
        <v>0</v>
      </c>
      <c r="Y1306" s="230">
        <f>(FME_Ranking1[[#This Row],[Closures Raw]]/$X$2)*100</f>
        <v>0</v>
      </c>
      <c r="Z1306" s="180">
        <f>FME_Ranking1[[#This Row],[Closures Score (Normalized, Unweighted)]]*$X$3</f>
        <v>0</v>
      </c>
      <c r="AA1306" s="253">
        <f>_xlfn.XLOOKUP(FME_Ranking1[[#This Row],[FME ID]],FME_Input[FME_ID],FME_Input[ROAD_MILES100])</f>
        <v>19.0872917175293</v>
      </c>
      <c r="AB1306" s="178">
        <f>(FME_Ranking1[[#This Row],[Miles Raw]]/$AA$2)*100</f>
        <v>0.25096365142063232</v>
      </c>
      <c r="AC1306" s="178">
        <f>FME_Ranking1[[#This Row],[Miles Score (Normalized, Unweighted)]]*$AA$3</f>
        <v>2.5096365142063232E-2</v>
      </c>
      <c r="AD1306" s="255">
        <f>_xlfn.XLOOKUP(FME_Ranking1[[#This Row],[FME ID]],FME_Input[FME_ID],FME_Input[FARMACRE100])</f>
        <v>0</v>
      </c>
      <c r="AE1306" s="230">
        <f>(FME_Ranking1[[#This Row],[Ag Land Raw]]/$AD$2)*100</f>
        <v>0</v>
      </c>
      <c r="AF1306" s="231">
        <f>FME_Ranking1[[#This Row],[Ag Land Score (Normalized, Unweighted)]]*$AD$3</f>
        <v>0</v>
      </c>
      <c r="AG130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6.5485801125990353E-2</v>
      </c>
      <c r="AH1306" s="406">
        <f t="shared" si="20"/>
        <v>1210</v>
      </c>
      <c r="AI130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6.5485801125990353E-2</v>
      </c>
      <c r="AJ1306" s="257">
        <f>FME_Ranking1[[#This Row],[Addition check]]-FME_Ranking1[[#This Row],[Weighted Score Based on Normalized Reported Factors]]</f>
        <v>0</v>
      </c>
      <c r="AK1306" s="178">
        <f>_xlfn.RANK.EQ(AI1306,$AI$6:$AI$2341,0)+COUNTIF($AI$6:AI1306,AI1306)-1</f>
        <v>1217</v>
      </c>
    </row>
    <row r="1307" spans="1:37" x14ac:dyDescent="0.25">
      <c r="A1307" t="s">
        <v>9311</v>
      </c>
      <c r="B1307">
        <f>_xlfn.XLOOKUP(FME_Ranking1[[#This Row],[FME ID]],FME_Input[FME_ID],FME_Input[RFPG_NUM])</f>
        <v>12</v>
      </c>
      <c r="C1307" t="str">
        <f>_xlfn.XLOOKUP(FME_Ranking1[[#This Row],[FME ID]],FME_Input[FME_ID],FME_Input[FME_NAME])</f>
        <v>Damage Center 4- Apache Creek</v>
      </c>
      <c r="D1307" t="str">
        <f>_xlfn.XLOOKUP(FME_Ranking1[[#This Row],[FME ID]],FME_Input[FME_ID],FME_Input[DESCR])</f>
        <v>Majority of the flooding is caused by the undersized culverts downstream of West  Woodlawn,  providing  addition of box culverts will provide adequate capacity to the existing storm drain system</v>
      </c>
      <c r="E1307" s="256">
        <f>_xlfn.XLOOKUP(FME_Ranking1[[#This Row],[FME ID]],FME_Input[FME_ID],FME_Input[FME_COST])</f>
        <v>15077473</v>
      </c>
      <c r="F1307" t="str">
        <f>_xlfn.XLOOKUP(FME_Ranking1[[#This Row],[FME ID]],FME_Input[FME_ID],FME_Input[EMER_NEED])</f>
        <v>Yes</v>
      </c>
      <c r="G1307">
        <f>IF(FME_Ranking!F1307="Yes",100,0)</f>
        <v>100</v>
      </c>
      <c r="H1307">
        <f>FME_Ranking1[[#This Row],[Emergency Need Score (Normalized, Unweighted)]]*$F$3</f>
        <v>0</v>
      </c>
      <c r="I1307" s="246">
        <f>_xlfn.XLOOKUP(FME_Ranking1[[#This Row],[FME ID]],FME_Input[FME_ID],FME_Input[STRUCT_100])</f>
        <v>116</v>
      </c>
      <c r="J1307" s="178">
        <f>(FME_Ranking1[[#This Row],[Structures 100 Raw]]/I$2)*100</f>
        <v>6.2117122906224564E-2</v>
      </c>
      <c r="K1307" s="178">
        <f>FME_Ranking1[[#This Row],[Structures 100  Score (Normalized, Unweighted)]]*$I$3</f>
        <v>9.317568435933685E-3</v>
      </c>
      <c r="L1307" s="246">
        <f>_xlfn.XLOOKUP(FME_Ranking1[[#This Row],[FME ID]],FME_Input[FME_ID],FME_Input[RES_STRUCT100])</f>
        <v>115</v>
      </c>
      <c r="M1307" s="230">
        <f>(FME_Ranking1[[#This Row],[Res Structures Raw]]/L$2)*100</f>
        <v>8.1455143006898892E-2</v>
      </c>
      <c r="N1307" s="180">
        <f>FME_Ranking1[[#This Row],[Res Structures Score (Normalized, Unweighted)]]*$L$3</f>
        <v>8.1455143006898892E-3</v>
      </c>
      <c r="O1307" s="244">
        <f>_xlfn.XLOOKUP(FME_Ranking1[[#This Row],[FME ID]],FME_Input[FME_ID],FME_Input[POP100])</f>
        <v>366</v>
      </c>
      <c r="P1307" s="178">
        <f>(FME_Ranking1[[#This Row],[Pop Raw]]/$O$2)*100</f>
        <v>3.7469364187887363E-2</v>
      </c>
      <c r="Q1307" s="178">
        <f>FME_Ranking1[[#This Row],[Pop Score (Normalized, Unweighted)]]*$O$3</f>
        <v>5.6204046281831043E-3</v>
      </c>
      <c r="R1307" s="137">
        <f>_xlfn.XLOOKUP(FME_Ranking1[[#This Row],[FME ID]],FME_Input[FME_ID],FME_Input[CRITFAC100])</f>
        <v>0</v>
      </c>
      <c r="S1307" s="230">
        <f>(FME_Ranking1[[#This Row],[Critical Facilities Raw]]/$R$2)*100</f>
        <v>0</v>
      </c>
      <c r="T1307" s="180">
        <f>FME_Ranking1[[#This Row],[Critical Facilities Score (Normalized, Unweighted)]]*$R$3</f>
        <v>0</v>
      </c>
      <c r="U1307">
        <f>_xlfn.XLOOKUP(FME_Ranking1[[#This Row],[FME ID]],FME_Input[FME_ID],FME_Input[LWC])</f>
        <v>1</v>
      </c>
      <c r="V1307" s="178">
        <f>(FME_Ranking1[[#This Row],[LWC Raw]]/$U$2)*100</f>
        <v>5.7570523891767422E-2</v>
      </c>
      <c r="W1307" s="178">
        <f>FME_Ranking1[[#This Row],[LWC Score (Normalized, Unweighted)]]*$U$3</f>
        <v>1.1514104778353485E-2</v>
      </c>
      <c r="X1307" s="246">
        <f>_xlfn.XLOOKUP(FME_Ranking1[[#This Row],[FME ID]],FME_Input[FME_ID],FME_Input[ROADCLS])</f>
        <v>11</v>
      </c>
      <c r="Y1307" s="230">
        <f>(FME_Ranking1[[#This Row],[Closures Raw]]/$X$2)*100</f>
        <v>0.1156555567237935</v>
      </c>
      <c r="Z1307" s="180">
        <f>FME_Ranking1[[#This Row],[Closures Score (Normalized, Unweighted)]]*$X$3</f>
        <v>5.7827778361896759E-3</v>
      </c>
      <c r="AA1307" s="253">
        <f>_xlfn.XLOOKUP(FME_Ranking1[[#This Row],[FME ID]],FME_Input[FME_ID],FME_Input[ROAD_MILES100])</f>
        <v>1.1599999666213989</v>
      </c>
      <c r="AB1307" s="178">
        <f>(FME_Ranking1[[#This Row],[Miles Raw]]/$AA$2)*100</f>
        <v>1.5251919003457279E-2</v>
      </c>
      <c r="AC1307" s="178">
        <f>FME_Ranking1[[#This Row],[Miles Score (Normalized, Unweighted)]]*$AA$3</f>
        <v>1.5251919003457281E-3</v>
      </c>
      <c r="AD1307" s="255">
        <f>_xlfn.XLOOKUP(FME_Ranking1[[#This Row],[FME ID]],FME_Input[FME_ID],FME_Input[FARMACRE100])</f>
        <v>0</v>
      </c>
      <c r="AE1307" s="230">
        <f>(FME_Ranking1[[#This Row],[Ag Land Raw]]/$AD$2)*100</f>
        <v>0</v>
      </c>
      <c r="AF1307" s="231">
        <f>FME_Ranking1[[#This Row],[Ag Land Score (Normalized, Unweighted)]]*$AD$3</f>
        <v>0</v>
      </c>
      <c r="AG130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4.1905561879695567E-2</v>
      </c>
      <c r="AH1307" s="406">
        <f t="shared" si="20"/>
        <v>1369</v>
      </c>
      <c r="AI130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4.1905561879695567E-2</v>
      </c>
      <c r="AJ1307" s="257">
        <f>FME_Ranking1[[#This Row],[Addition check]]-FME_Ranking1[[#This Row],[Weighted Score Based on Normalized Reported Factors]]</f>
        <v>0</v>
      </c>
      <c r="AK1307" s="178">
        <f>_xlfn.RANK.EQ(AI1307,$AI$6:$AI$2341,0)+COUNTIF($AI$6:AI1307,AI1307)-1</f>
        <v>1369</v>
      </c>
    </row>
    <row r="1308" spans="1:37" x14ac:dyDescent="0.25">
      <c r="A1308" t="s">
        <v>6904</v>
      </c>
      <c r="B1308">
        <f>_xlfn.XLOOKUP(FME_Ranking1[[#This Row],[FME ID]],FME_Input[FME_ID],FME_Input[RFPG_NUM])</f>
        <v>7</v>
      </c>
      <c r="C1308" t="str">
        <f>_xlfn.XLOOKUP(FME_Ranking1[[#This Row],[FME ID]],FME_Input[FME_ID],FME_Input[FME_NAME])</f>
        <v>City of Roscoe DMP</v>
      </c>
      <c r="D1308" t="str">
        <f>_xlfn.XLOOKUP(FME_Ranking1[[#This Row],[FME ID]],FME_Input[FME_ID],FME_Input[DESCR])</f>
        <v>Evaluate city to identify future projects, analyze roads/stream crossing for emergency response vehicles to high hazard areas</v>
      </c>
      <c r="E1308" s="256">
        <f>_xlfn.XLOOKUP(FME_Ranking1[[#This Row],[FME ID]],FME_Input[FME_ID],FME_Input[FME_COST])</f>
        <v>250000</v>
      </c>
      <c r="F1308" t="str">
        <f>_xlfn.XLOOKUP(FME_Ranking1[[#This Row],[FME ID]],FME_Input[FME_ID],FME_Input[EMER_NEED])</f>
        <v>No</v>
      </c>
      <c r="G1308">
        <f>IF(FME_Ranking!F1308="Yes",100,0)</f>
        <v>0</v>
      </c>
      <c r="H1308">
        <f>FME_Ranking1[[#This Row],[Emergency Need Score (Normalized, Unweighted)]]*$F$3</f>
        <v>0</v>
      </c>
      <c r="I1308" s="246">
        <f>_xlfn.XLOOKUP(FME_Ranking1[[#This Row],[FME ID]],FME_Input[FME_ID],FME_Input[STRUCT_100])</f>
        <v>194</v>
      </c>
      <c r="J1308" s="178">
        <f>(FME_Ranking1[[#This Row],[Structures 100 Raw]]/I$2)*100</f>
        <v>0.10388553313627211</v>
      </c>
      <c r="K1308" s="178">
        <f>FME_Ranking1[[#This Row],[Structures 100  Score (Normalized, Unweighted)]]*$I$3</f>
        <v>1.5582829970440816E-2</v>
      </c>
      <c r="L1308" s="246">
        <f>_xlfn.XLOOKUP(FME_Ranking1[[#This Row],[FME ID]],FME_Input[FME_ID],FME_Input[RES_STRUCT100])</f>
        <v>142</v>
      </c>
      <c r="M1308" s="230">
        <f>(FME_Ranking1[[#This Row],[Res Structures Raw]]/L$2)*100</f>
        <v>0.10057939397373603</v>
      </c>
      <c r="N1308" s="180">
        <f>FME_Ranking1[[#This Row],[Res Structures Score (Normalized, Unweighted)]]*$L$3</f>
        <v>1.0057939397373603E-2</v>
      </c>
      <c r="O1308" s="244">
        <f>_xlfn.XLOOKUP(FME_Ranking1[[#This Row],[FME ID]],FME_Input[FME_ID],FME_Input[POP100])</f>
        <v>322</v>
      </c>
      <c r="P1308" s="178">
        <f>(FME_Ranking1[[#This Row],[Pop Raw]]/$O$2)*100</f>
        <v>3.2964850460381778E-2</v>
      </c>
      <c r="Q1308" s="178">
        <f>FME_Ranking1[[#This Row],[Pop Score (Normalized, Unweighted)]]*$O$3</f>
        <v>4.9447275690572669E-3</v>
      </c>
      <c r="R1308" s="137">
        <f>_xlfn.XLOOKUP(FME_Ranking1[[#This Row],[FME ID]],FME_Input[FME_ID],FME_Input[CRITFAC100])</f>
        <v>1</v>
      </c>
      <c r="S1308" s="230">
        <f>(FME_Ranking1[[#This Row],[Critical Facilities Raw]]/$R$2)*100</f>
        <v>4.2881646655231559E-2</v>
      </c>
      <c r="T1308" s="180">
        <f>FME_Ranking1[[#This Row],[Critical Facilities Score (Normalized, Unweighted)]]*$R$3</f>
        <v>8.5763293310463125E-3</v>
      </c>
      <c r="U1308">
        <f>_xlfn.XLOOKUP(FME_Ranking1[[#This Row],[FME ID]],FME_Input[FME_ID],FME_Input[LWC])</f>
        <v>0</v>
      </c>
      <c r="V1308" s="178">
        <f>(FME_Ranking1[[#This Row],[LWC Raw]]/$U$2)*100</f>
        <v>0</v>
      </c>
      <c r="W1308" s="178">
        <f>FME_Ranking1[[#This Row],[LWC Score (Normalized, Unweighted)]]*$U$3</f>
        <v>0</v>
      </c>
      <c r="X1308" s="246">
        <f>_xlfn.XLOOKUP(FME_Ranking1[[#This Row],[FME ID]],FME_Input[FME_ID],FME_Input[ROADCLS])</f>
        <v>0</v>
      </c>
      <c r="Y1308" s="230">
        <f>(FME_Ranking1[[#This Row],[Closures Raw]]/$X$2)*100</f>
        <v>0</v>
      </c>
      <c r="Z1308" s="180">
        <f>FME_Ranking1[[#This Row],[Closures Score (Normalized, Unweighted)]]*$X$3</f>
        <v>0</v>
      </c>
      <c r="AA1308" s="253">
        <f>_xlfn.XLOOKUP(FME_Ranking1[[#This Row],[FME ID]],FME_Input[FME_ID],FME_Input[ROAD_MILES100])</f>
        <v>10.582881927490231</v>
      </c>
      <c r="AB1308" s="178">
        <f>(FME_Ranking1[[#This Row],[Miles Raw]]/$AA$2)*100</f>
        <v>0.13914591605666282</v>
      </c>
      <c r="AC1308" s="178">
        <f>FME_Ranking1[[#This Row],[Miles Score (Normalized, Unweighted)]]*$AA$3</f>
        <v>1.3914591605666283E-2</v>
      </c>
      <c r="AD1308" s="255">
        <f>_xlfn.XLOOKUP(FME_Ranking1[[#This Row],[FME ID]],FME_Input[FME_ID],FME_Input[FARMACRE100])</f>
        <v>380.08450317382813</v>
      </c>
      <c r="AE1308" s="230">
        <f>(FME_Ranking1[[#This Row],[Ag Land Raw]]/$AD$2)*100</f>
        <v>1.5672983461207914E-2</v>
      </c>
      <c r="AF1308" s="231">
        <f>FME_Ranking1[[#This Row],[Ag Land Score (Normalized, Unweighted)]]*$AD$3</f>
        <v>7.8364917306039574E-4</v>
      </c>
      <c r="AG130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5.3860067046644679E-2</v>
      </c>
      <c r="AH1308" s="406">
        <f t="shared" si="20"/>
        <v>1280</v>
      </c>
      <c r="AI130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5.3860067046644679E-2</v>
      </c>
      <c r="AJ1308" s="257">
        <f>FME_Ranking1[[#This Row],[Addition check]]-FME_Ranking1[[#This Row],[Weighted Score Based on Normalized Reported Factors]]</f>
        <v>0</v>
      </c>
      <c r="AK1308" s="178">
        <f>_xlfn.RANK.EQ(AI1308,$AI$6:$AI$2341,0)+COUNTIF($AI$6:AI1308,AI1308)-1</f>
        <v>1280</v>
      </c>
    </row>
    <row r="1309" spans="1:37" x14ac:dyDescent="0.25">
      <c r="A1309" t="s">
        <v>7313</v>
      </c>
      <c r="B1309">
        <f>_xlfn.XLOOKUP(FME_Ranking1[[#This Row],[FME ID]],FME_Input[FME_ID],FME_Input[RFPG_NUM])</f>
        <v>7</v>
      </c>
      <c r="C1309" t="str">
        <f>_xlfn.XLOOKUP(FME_Ranking1[[#This Row],[FME ID]],FME_Input[FME_ID],FME_Input[FME_NAME])</f>
        <v>City of Roscoe Higher Standards Program</v>
      </c>
      <c r="D1309" t="str">
        <f>_xlfn.XLOOKUP(FME_Ranking1[[#This Row],[FME ID]],FME_Input[FME_ID],FME_Input[DESCR])</f>
        <v>Adopt higher standards for new construction, increase freeboard requirements for structures in the SFHA; adopt a “no-rise” in BFE in the 100-year floodplain.  Update local flood ordinance to prohibit granting of variance in SFHA; Include “cumulativ</v>
      </c>
      <c r="E1309" s="256">
        <f>_xlfn.XLOOKUP(FME_Ranking1[[#This Row],[FME ID]],FME_Input[FME_ID],FME_Input[FME_COST])</f>
        <v>100000</v>
      </c>
      <c r="F1309" t="str">
        <f>_xlfn.XLOOKUP(FME_Ranking1[[#This Row],[FME ID]],FME_Input[FME_ID],FME_Input[EMER_NEED])</f>
        <v>No</v>
      </c>
      <c r="G1309">
        <f>IF(FME_Ranking!F1309="Yes",100,0)</f>
        <v>0</v>
      </c>
      <c r="H1309">
        <f>FME_Ranking1[[#This Row],[Emergency Need Score (Normalized, Unweighted)]]*$F$3</f>
        <v>0</v>
      </c>
      <c r="I1309" s="246">
        <f>_xlfn.XLOOKUP(FME_Ranking1[[#This Row],[FME ID]],FME_Input[FME_ID],FME_Input[STRUCT_100])</f>
        <v>194</v>
      </c>
      <c r="J1309" s="178">
        <f>(FME_Ranking1[[#This Row],[Structures 100 Raw]]/I$2)*100</f>
        <v>0.10388553313627211</v>
      </c>
      <c r="K1309" s="178">
        <f>FME_Ranking1[[#This Row],[Structures 100  Score (Normalized, Unweighted)]]*$I$3</f>
        <v>1.5582829970440816E-2</v>
      </c>
      <c r="L1309" s="246">
        <f>_xlfn.XLOOKUP(FME_Ranking1[[#This Row],[FME ID]],FME_Input[FME_ID],FME_Input[RES_STRUCT100])</f>
        <v>142</v>
      </c>
      <c r="M1309" s="230">
        <f>(FME_Ranking1[[#This Row],[Res Structures Raw]]/L$2)*100</f>
        <v>0.10057939397373603</v>
      </c>
      <c r="N1309" s="180">
        <f>FME_Ranking1[[#This Row],[Res Structures Score (Normalized, Unweighted)]]*$L$3</f>
        <v>1.0057939397373603E-2</v>
      </c>
      <c r="O1309" s="244">
        <f>_xlfn.XLOOKUP(FME_Ranking1[[#This Row],[FME ID]],FME_Input[FME_ID],FME_Input[POP100])</f>
        <v>322</v>
      </c>
      <c r="P1309" s="178">
        <f>(FME_Ranking1[[#This Row],[Pop Raw]]/$O$2)*100</f>
        <v>3.2964850460381778E-2</v>
      </c>
      <c r="Q1309" s="178">
        <f>FME_Ranking1[[#This Row],[Pop Score (Normalized, Unweighted)]]*$O$3</f>
        <v>4.9447275690572669E-3</v>
      </c>
      <c r="R1309" s="137">
        <f>_xlfn.XLOOKUP(FME_Ranking1[[#This Row],[FME ID]],FME_Input[FME_ID],FME_Input[CRITFAC100])</f>
        <v>1</v>
      </c>
      <c r="S1309" s="230">
        <f>(FME_Ranking1[[#This Row],[Critical Facilities Raw]]/$R$2)*100</f>
        <v>4.2881646655231559E-2</v>
      </c>
      <c r="T1309" s="180">
        <f>FME_Ranking1[[#This Row],[Critical Facilities Score (Normalized, Unweighted)]]*$R$3</f>
        <v>8.5763293310463125E-3</v>
      </c>
      <c r="U1309">
        <f>_xlfn.XLOOKUP(FME_Ranking1[[#This Row],[FME ID]],FME_Input[FME_ID],FME_Input[LWC])</f>
        <v>0</v>
      </c>
      <c r="V1309" s="178">
        <f>(FME_Ranking1[[#This Row],[LWC Raw]]/$U$2)*100</f>
        <v>0</v>
      </c>
      <c r="W1309" s="178">
        <f>FME_Ranking1[[#This Row],[LWC Score (Normalized, Unweighted)]]*$U$3</f>
        <v>0</v>
      </c>
      <c r="X1309" s="246">
        <f>_xlfn.XLOOKUP(FME_Ranking1[[#This Row],[FME ID]],FME_Input[FME_ID],FME_Input[ROADCLS])</f>
        <v>0</v>
      </c>
      <c r="Y1309" s="230">
        <f>(FME_Ranking1[[#This Row],[Closures Raw]]/$X$2)*100</f>
        <v>0</v>
      </c>
      <c r="Z1309" s="180">
        <f>FME_Ranking1[[#This Row],[Closures Score (Normalized, Unweighted)]]*$X$3</f>
        <v>0</v>
      </c>
      <c r="AA1309" s="253">
        <f>_xlfn.XLOOKUP(FME_Ranking1[[#This Row],[FME ID]],FME_Input[FME_ID],FME_Input[ROAD_MILES100])</f>
        <v>10.582881927490231</v>
      </c>
      <c r="AB1309" s="178">
        <f>(FME_Ranking1[[#This Row],[Miles Raw]]/$AA$2)*100</f>
        <v>0.13914591605666282</v>
      </c>
      <c r="AC1309" s="178">
        <f>FME_Ranking1[[#This Row],[Miles Score (Normalized, Unweighted)]]*$AA$3</f>
        <v>1.3914591605666283E-2</v>
      </c>
      <c r="AD1309" s="255">
        <f>_xlfn.XLOOKUP(FME_Ranking1[[#This Row],[FME ID]],FME_Input[FME_ID],FME_Input[FARMACRE100])</f>
        <v>380.08450317382813</v>
      </c>
      <c r="AE1309" s="230">
        <f>(FME_Ranking1[[#This Row],[Ag Land Raw]]/$AD$2)*100</f>
        <v>1.5672983461207914E-2</v>
      </c>
      <c r="AF1309" s="231">
        <f>FME_Ranking1[[#This Row],[Ag Land Score (Normalized, Unweighted)]]*$AD$3</f>
        <v>7.8364917306039574E-4</v>
      </c>
      <c r="AG130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5.3860067046644679E-2</v>
      </c>
      <c r="AH1309" s="406">
        <f t="shared" si="20"/>
        <v>1280</v>
      </c>
      <c r="AI130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5.3860067046644679E-2</v>
      </c>
      <c r="AJ1309" s="257">
        <f>FME_Ranking1[[#This Row],[Addition check]]-FME_Ranking1[[#This Row],[Weighted Score Based on Normalized Reported Factors]]</f>
        <v>0</v>
      </c>
      <c r="AK1309" s="178">
        <f>_xlfn.RANK.EQ(AI1309,$AI$6:$AI$2341,0)+COUNTIF($AI$6:AI1309,AI1309)-1</f>
        <v>1281</v>
      </c>
    </row>
    <row r="1310" spans="1:37" x14ac:dyDescent="0.25">
      <c r="A1310" t="s">
        <v>7315</v>
      </c>
      <c r="B1310">
        <f>_xlfn.XLOOKUP(FME_Ranking1[[#This Row],[FME ID]],FME_Input[FME_ID],FME_Input[RFPG_NUM])</f>
        <v>7</v>
      </c>
      <c r="C1310" t="str">
        <f>_xlfn.XLOOKUP(FME_Ranking1[[#This Row],[FME ID]],FME_Input[FME_ID],FME_Input[FME_NAME])</f>
        <v>City of Roscoe Floodproof Sewage Plant Program</v>
      </c>
      <c r="D1310" t="str">
        <f>_xlfn.XLOOKUP(FME_Ranking1[[#This Row],[FME ID]],FME_Input[FME_ID],FME_Input[DESCR])</f>
        <v>Flood-proof sewage treatment plants in flood hazard / low-lying areas.</v>
      </c>
      <c r="E1310" s="256">
        <f>_xlfn.XLOOKUP(FME_Ranking1[[#This Row],[FME ID]],FME_Input[FME_ID],FME_Input[FME_COST])</f>
        <v>250000</v>
      </c>
      <c r="F1310" t="str">
        <f>_xlfn.XLOOKUP(FME_Ranking1[[#This Row],[FME ID]],FME_Input[FME_ID],FME_Input[EMER_NEED])</f>
        <v>No</v>
      </c>
      <c r="G1310">
        <f>IF(FME_Ranking!F1310="Yes",100,0)</f>
        <v>0</v>
      </c>
      <c r="H1310">
        <f>FME_Ranking1[[#This Row],[Emergency Need Score (Normalized, Unweighted)]]*$F$3</f>
        <v>0</v>
      </c>
      <c r="I1310" s="246">
        <f>_xlfn.XLOOKUP(FME_Ranking1[[#This Row],[FME ID]],FME_Input[FME_ID],FME_Input[STRUCT_100])</f>
        <v>194</v>
      </c>
      <c r="J1310" s="178">
        <f>(FME_Ranking1[[#This Row],[Structures 100 Raw]]/I$2)*100</f>
        <v>0.10388553313627211</v>
      </c>
      <c r="K1310" s="178">
        <f>FME_Ranking1[[#This Row],[Structures 100  Score (Normalized, Unweighted)]]*$I$3</f>
        <v>1.5582829970440816E-2</v>
      </c>
      <c r="L1310" s="246">
        <f>_xlfn.XLOOKUP(FME_Ranking1[[#This Row],[FME ID]],FME_Input[FME_ID],FME_Input[RES_STRUCT100])</f>
        <v>142</v>
      </c>
      <c r="M1310" s="230">
        <f>(FME_Ranking1[[#This Row],[Res Structures Raw]]/L$2)*100</f>
        <v>0.10057939397373603</v>
      </c>
      <c r="N1310" s="180">
        <f>FME_Ranking1[[#This Row],[Res Structures Score (Normalized, Unweighted)]]*$L$3</f>
        <v>1.0057939397373603E-2</v>
      </c>
      <c r="O1310" s="244">
        <f>_xlfn.XLOOKUP(FME_Ranking1[[#This Row],[FME ID]],FME_Input[FME_ID],FME_Input[POP100])</f>
        <v>322</v>
      </c>
      <c r="P1310" s="178">
        <f>(FME_Ranking1[[#This Row],[Pop Raw]]/$O$2)*100</f>
        <v>3.2964850460381778E-2</v>
      </c>
      <c r="Q1310" s="178">
        <f>FME_Ranking1[[#This Row],[Pop Score (Normalized, Unweighted)]]*$O$3</f>
        <v>4.9447275690572669E-3</v>
      </c>
      <c r="R1310" s="137">
        <f>_xlfn.XLOOKUP(FME_Ranking1[[#This Row],[FME ID]],FME_Input[FME_ID],FME_Input[CRITFAC100])</f>
        <v>1</v>
      </c>
      <c r="S1310" s="230">
        <f>(FME_Ranking1[[#This Row],[Critical Facilities Raw]]/$R$2)*100</f>
        <v>4.2881646655231559E-2</v>
      </c>
      <c r="T1310" s="180">
        <f>FME_Ranking1[[#This Row],[Critical Facilities Score (Normalized, Unweighted)]]*$R$3</f>
        <v>8.5763293310463125E-3</v>
      </c>
      <c r="U1310">
        <f>_xlfn.XLOOKUP(FME_Ranking1[[#This Row],[FME ID]],FME_Input[FME_ID],FME_Input[LWC])</f>
        <v>0</v>
      </c>
      <c r="V1310" s="178">
        <f>(FME_Ranking1[[#This Row],[LWC Raw]]/$U$2)*100</f>
        <v>0</v>
      </c>
      <c r="W1310" s="178">
        <f>FME_Ranking1[[#This Row],[LWC Score (Normalized, Unweighted)]]*$U$3</f>
        <v>0</v>
      </c>
      <c r="X1310" s="246">
        <f>_xlfn.XLOOKUP(FME_Ranking1[[#This Row],[FME ID]],FME_Input[FME_ID],FME_Input[ROADCLS])</f>
        <v>0</v>
      </c>
      <c r="Y1310" s="230">
        <f>(FME_Ranking1[[#This Row],[Closures Raw]]/$X$2)*100</f>
        <v>0</v>
      </c>
      <c r="Z1310" s="180">
        <f>FME_Ranking1[[#This Row],[Closures Score (Normalized, Unweighted)]]*$X$3</f>
        <v>0</v>
      </c>
      <c r="AA1310" s="253">
        <f>_xlfn.XLOOKUP(FME_Ranking1[[#This Row],[FME ID]],FME_Input[FME_ID],FME_Input[ROAD_MILES100])</f>
        <v>10.582881927490231</v>
      </c>
      <c r="AB1310" s="178">
        <f>(FME_Ranking1[[#This Row],[Miles Raw]]/$AA$2)*100</f>
        <v>0.13914591605666282</v>
      </c>
      <c r="AC1310" s="178">
        <f>FME_Ranking1[[#This Row],[Miles Score (Normalized, Unweighted)]]*$AA$3</f>
        <v>1.3914591605666283E-2</v>
      </c>
      <c r="AD1310" s="255">
        <f>_xlfn.XLOOKUP(FME_Ranking1[[#This Row],[FME ID]],FME_Input[FME_ID],FME_Input[FARMACRE100])</f>
        <v>380.08450317382813</v>
      </c>
      <c r="AE1310" s="230">
        <f>(FME_Ranking1[[#This Row],[Ag Land Raw]]/$AD$2)*100</f>
        <v>1.5672983461207914E-2</v>
      </c>
      <c r="AF1310" s="231">
        <f>FME_Ranking1[[#This Row],[Ag Land Score (Normalized, Unweighted)]]*$AD$3</f>
        <v>7.8364917306039574E-4</v>
      </c>
      <c r="AG131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5.3860067046644679E-2</v>
      </c>
      <c r="AH1310" s="406">
        <f t="shared" si="20"/>
        <v>1280</v>
      </c>
      <c r="AI131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5.3860067046644679E-2</v>
      </c>
      <c r="AJ1310" s="257">
        <f>FME_Ranking1[[#This Row],[Addition check]]-FME_Ranking1[[#This Row],[Weighted Score Based on Normalized Reported Factors]]</f>
        <v>0</v>
      </c>
      <c r="AK1310" s="178">
        <f>_xlfn.RANK.EQ(AI1310,$AI$6:$AI$2341,0)+COUNTIF($AI$6:AI1310,AI1310)-1</f>
        <v>1282</v>
      </c>
    </row>
    <row r="1311" spans="1:37" x14ac:dyDescent="0.25">
      <c r="A1311" t="s">
        <v>7317</v>
      </c>
      <c r="B1311">
        <f>_xlfn.XLOOKUP(FME_Ranking1[[#This Row],[FME ID]],FME_Input[FME_ID],FME_Input[RFPG_NUM])</f>
        <v>7</v>
      </c>
      <c r="C1311" t="str">
        <f>_xlfn.XLOOKUP(FME_Ranking1[[#This Row],[FME ID]],FME_Input[FME_ID],FME_Input[FME_NAME])</f>
        <v>City of Roscoe Floodplain Open Space Program</v>
      </c>
      <c r="D1311" t="str">
        <f>_xlfn.XLOOKUP(FME_Ranking1[[#This Row],[FME ID]],FME_Input[FME_ID],FME_Input[DESCR])</f>
        <v>Acquire and preserve open spaces adjacent to floodplain areas. Protect floodplains in their natural state.</v>
      </c>
      <c r="E1311" s="256">
        <f>_xlfn.XLOOKUP(FME_Ranking1[[#This Row],[FME ID]],FME_Input[FME_ID],FME_Input[FME_COST])</f>
        <v>500000</v>
      </c>
      <c r="F1311" t="str">
        <f>_xlfn.XLOOKUP(FME_Ranking1[[#This Row],[FME ID]],FME_Input[FME_ID],FME_Input[EMER_NEED])</f>
        <v>No</v>
      </c>
      <c r="G1311">
        <f>IF(FME_Ranking!F1311="Yes",100,0)</f>
        <v>0</v>
      </c>
      <c r="H1311">
        <f>FME_Ranking1[[#This Row],[Emergency Need Score (Normalized, Unweighted)]]*$F$3</f>
        <v>0</v>
      </c>
      <c r="I1311" s="246">
        <f>_xlfn.XLOOKUP(FME_Ranking1[[#This Row],[FME ID]],FME_Input[FME_ID],FME_Input[STRUCT_100])</f>
        <v>194</v>
      </c>
      <c r="J1311" s="178">
        <f>(FME_Ranking1[[#This Row],[Structures 100 Raw]]/I$2)*100</f>
        <v>0.10388553313627211</v>
      </c>
      <c r="K1311" s="178">
        <f>FME_Ranking1[[#This Row],[Structures 100  Score (Normalized, Unweighted)]]*$I$3</f>
        <v>1.5582829970440816E-2</v>
      </c>
      <c r="L1311" s="246">
        <f>_xlfn.XLOOKUP(FME_Ranking1[[#This Row],[FME ID]],FME_Input[FME_ID],FME_Input[RES_STRUCT100])</f>
        <v>142</v>
      </c>
      <c r="M1311" s="230">
        <f>(FME_Ranking1[[#This Row],[Res Structures Raw]]/L$2)*100</f>
        <v>0.10057939397373603</v>
      </c>
      <c r="N1311" s="180">
        <f>FME_Ranking1[[#This Row],[Res Structures Score (Normalized, Unweighted)]]*$L$3</f>
        <v>1.0057939397373603E-2</v>
      </c>
      <c r="O1311" s="244">
        <f>_xlfn.XLOOKUP(FME_Ranking1[[#This Row],[FME ID]],FME_Input[FME_ID],FME_Input[POP100])</f>
        <v>322</v>
      </c>
      <c r="P1311" s="178">
        <f>(FME_Ranking1[[#This Row],[Pop Raw]]/$O$2)*100</f>
        <v>3.2964850460381778E-2</v>
      </c>
      <c r="Q1311" s="178">
        <f>FME_Ranking1[[#This Row],[Pop Score (Normalized, Unweighted)]]*$O$3</f>
        <v>4.9447275690572669E-3</v>
      </c>
      <c r="R1311" s="137">
        <f>_xlfn.XLOOKUP(FME_Ranking1[[#This Row],[FME ID]],FME_Input[FME_ID],FME_Input[CRITFAC100])</f>
        <v>1</v>
      </c>
      <c r="S1311" s="230">
        <f>(FME_Ranking1[[#This Row],[Critical Facilities Raw]]/$R$2)*100</f>
        <v>4.2881646655231559E-2</v>
      </c>
      <c r="T1311" s="180">
        <f>FME_Ranking1[[#This Row],[Critical Facilities Score (Normalized, Unweighted)]]*$R$3</f>
        <v>8.5763293310463125E-3</v>
      </c>
      <c r="U1311">
        <f>_xlfn.XLOOKUP(FME_Ranking1[[#This Row],[FME ID]],FME_Input[FME_ID],FME_Input[LWC])</f>
        <v>0</v>
      </c>
      <c r="V1311" s="178">
        <f>(FME_Ranking1[[#This Row],[LWC Raw]]/$U$2)*100</f>
        <v>0</v>
      </c>
      <c r="W1311" s="178">
        <f>FME_Ranking1[[#This Row],[LWC Score (Normalized, Unweighted)]]*$U$3</f>
        <v>0</v>
      </c>
      <c r="X1311" s="246">
        <f>_xlfn.XLOOKUP(FME_Ranking1[[#This Row],[FME ID]],FME_Input[FME_ID],FME_Input[ROADCLS])</f>
        <v>0</v>
      </c>
      <c r="Y1311" s="230">
        <f>(FME_Ranking1[[#This Row],[Closures Raw]]/$X$2)*100</f>
        <v>0</v>
      </c>
      <c r="Z1311" s="180">
        <f>FME_Ranking1[[#This Row],[Closures Score (Normalized, Unweighted)]]*$X$3</f>
        <v>0</v>
      </c>
      <c r="AA1311" s="253">
        <f>_xlfn.XLOOKUP(FME_Ranking1[[#This Row],[FME ID]],FME_Input[FME_ID],FME_Input[ROAD_MILES100])</f>
        <v>10.582881927490231</v>
      </c>
      <c r="AB1311" s="178">
        <f>(FME_Ranking1[[#This Row],[Miles Raw]]/$AA$2)*100</f>
        <v>0.13914591605666282</v>
      </c>
      <c r="AC1311" s="178">
        <f>FME_Ranking1[[#This Row],[Miles Score (Normalized, Unweighted)]]*$AA$3</f>
        <v>1.3914591605666283E-2</v>
      </c>
      <c r="AD1311" s="255">
        <f>_xlfn.XLOOKUP(FME_Ranking1[[#This Row],[FME ID]],FME_Input[FME_ID],FME_Input[FARMACRE100])</f>
        <v>380.08450317382813</v>
      </c>
      <c r="AE1311" s="230">
        <f>(FME_Ranking1[[#This Row],[Ag Land Raw]]/$AD$2)*100</f>
        <v>1.5672983461207914E-2</v>
      </c>
      <c r="AF1311" s="231">
        <f>FME_Ranking1[[#This Row],[Ag Land Score (Normalized, Unweighted)]]*$AD$3</f>
        <v>7.8364917306039574E-4</v>
      </c>
      <c r="AG131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5.3860067046644679E-2</v>
      </c>
      <c r="AH1311" s="406">
        <f t="shared" si="20"/>
        <v>1280</v>
      </c>
      <c r="AI131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5.3860067046644679E-2</v>
      </c>
      <c r="AJ1311" s="257">
        <f>FME_Ranking1[[#This Row],[Addition check]]-FME_Ranking1[[#This Row],[Weighted Score Based on Normalized Reported Factors]]</f>
        <v>0</v>
      </c>
      <c r="AK1311" s="178">
        <f>_xlfn.RANK.EQ(AI1311,$AI$6:$AI$2341,0)+COUNTIF($AI$6:AI1311,AI1311)-1</f>
        <v>1283</v>
      </c>
    </row>
    <row r="1312" spans="1:37" x14ac:dyDescent="0.25">
      <c r="A1312" t="s">
        <v>7319</v>
      </c>
      <c r="B1312">
        <f>_xlfn.XLOOKUP(FME_Ranking1[[#This Row],[FME ID]],FME_Input[FME_ID],FME_Input[RFPG_NUM])</f>
        <v>7</v>
      </c>
      <c r="C1312" t="str">
        <f>_xlfn.XLOOKUP(FME_Ranking1[[#This Row],[FME ID]],FME_Input[FME_ID],FME_Input[FME_NAME])</f>
        <v>City of Roscoe Relocate Critical Facilities High Hazard</v>
      </c>
      <c r="D1312" t="str">
        <f>_xlfn.XLOOKUP(FME_Ranking1[[#This Row],[FME ID]],FME_Input[FME_ID],FME_Input[DESCR])</f>
        <v>Relocate critical facilities out of high hazard areas.</v>
      </c>
      <c r="E1312" s="256">
        <f>_xlfn.XLOOKUP(FME_Ranking1[[#This Row],[FME ID]],FME_Input[FME_ID],FME_Input[FME_COST])</f>
        <v>1000000</v>
      </c>
      <c r="F1312" t="str">
        <f>_xlfn.XLOOKUP(FME_Ranking1[[#This Row],[FME ID]],FME_Input[FME_ID],FME_Input[EMER_NEED])</f>
        <v>No</v>
      </c>
      <c r="G1312">
        <f>IF(FME_Ranking!F1312="Yes",100,0)</f>
        <v>0</v>
      </c>
      <c r="H1312">
        <f>FME_Ranking1[[#This Row],[Emergency Need Score (Normalized, Unweighted)]]*$F$3</f>
        <v>0</v>
      </c>
      <c r="I1312" s="246">
        <f>_xlfn.XLOOKUP(FME_Ranking1[[#This Row],[FME ID]],FME_Input[FME_ID],FME_Input[STRUCT_100])</f>
        <v>194</v>
      </c>
      <c r="J1312" s="178">
        <f>(FME_Ranking1[[#This Row],[Structures 100 Raw]]/I$2)*100</f>
        <v>0.10388553313627211</v>
      </c>
      <c r="K1312" s="178">
        <f>FME_Ranking1[[#This Row],[Structures 100  Score (Normalized, Unweighted)]]*$I$3</f>
        <v>1.5582829970440816E-2</v>
      </c>
      <c r="L1312" s="246">
        <f>_xlfn.XLOOKUP(FME_Ranking1[[#This Row],[FME ID]],FME_Input[FME_ID],FME_Input[RES_STRUCT100])</f>
        <v>142</v>
      </c>
      <c r="M1312" s="230">
        <f>(FME_Ranking1[[#This Row],[Res Structures Raw]]/L$2)*100</f>
        <v>0.10057939397373603</v>
      </c>
      <c r="N1312" s="180">
        <f>FME_Ranking1[[#This Row],[Res Structures Score (Normalized, Unweighted)]]*$L$3</f>
        <v>1.0057939397373603E-2</v>
      </c>
      <c r="O1312" s="244">
        <f>_xlfn.XLOOKUP(FME_Ranking1[[#This Row],[FME ID]],FME_Input[FME_ID],FME_Input[POP100])</f>
        <v>322</v>
      </c>
      <c r="P1312" s="178">
        <f>(FME_Ranking1[[#This Row],[Pop Raw]]/$O$2)*100</f>
        <v>3.2964850460381778E-2</v>
      </c>
      <c r="Q1312" s="178">
        <f>FME_Ranking1[[#This Row],[Pop Score (Normalized, Unweighted)]]*$O$3</f>
        <v>4.9447275690572669E-3</v>
      </c>
      <c r="R1312" s="137">
        <f>_xlfn.XLOOKUP(FME_Ranking1[[#This Row],[FME ID]],FME_Input[FME_ID],FME_Input[CRITFAC100])</f>
        <v>1</v>
      </c>
      <c r="S1312" s="230">
        <f>(FME_Ranking1[[#This Row],[Critical Facilities Raw]]/$R$2)*100</f>
        <v>4.2881646655231559E-2</v>
      </c>
      <c r="T1312" s="180">
        <f>FME_Ranking1[[#This Row],[Critical Facilities Score (Normalized, Unweighted)]]*$R$3</f>
        <v>8.5763293310463125E-3</v>
      </c>
      <c r="U1312">
        <f>_xlfn.XLOOKUP(FME_Ranking1[[#This Row],[FME ID]],FME_Input[FME_ID],FME_Input[LWC])</f>
        <v>0</v>
      </c>
      <c r="V1312" s="178">
        <f>(FME_Ranking1[[#This Row],[LWC Raw]]/$U$2)*100</f>
        <v>0</v>
      </c>
      <c r="W1312" s="178">
        <f>FME_Ranking1[[#This Row],[LWC Score (Normalized, Unweighted)]]*$U$3</f>
        <v>0</v>
      </c>
      <c r="X1312" s="246">
        <f>_xlfn.XLOOKUP(FME_Ranking1[[#This Row],[FME ID]],FME_Input[FME_ID],FME_Input[ROADCLS])</f>
        <v>0</v>
      </c>
      <c r="Y1312" s="230">
        <f>(FME_Ranking1[[#This Row],[Closures Raw]]/$X$2)*100</f>
        <v>0</v>
      </c>
      <c r="Z1312" s="180">
        <f>FME_Ranking1[[#This Row],[Closures Score (Normalized, Unweighted)]]*$X$3</f>
        <v>0</v>
      </c>
      <c r="AA1312" s="253">
        <f>_xlfn.XLOOKUP(FME_Ranking1[[#This Row],[FME ID]],FME_Input[FME_ID],FME_Input[ROAD_MILES100])</f>
        <v>10.582881927490231</v>
      </c>
      <c r="AB1312" s="178">
        <f>(FME_Ranking1[[#This Row],[Miles Raw]]/$AA$2)*100</f>
        <v>0.13914591605666282</v>
      </c>
      <c r="AC1312" s="178">
        <f>FME_Ranking1[[#This Row],[Miles Score (Normalized, Unweighted)]]*$AA$3</f>
        <v>1.3914591605666283E-2</v>
      </c>
      <c r="AD1312" s="255">
        <f>_xlfn.XLOOKUP(FME_Ranking1[[#This Row],[FME ID]],FME_Input[FME_ID],FME_Input[FARMACRE100])</f>
        <v>380.08450317382813</v>
      </c>
      <c r="AE1312" s="230">
        <f>(FME_Ranking1[[#This Row],[Ag Land Raw]]/$AD$2)*100</f>
        <v>1.5672983461207914E-2</v>
      </c>
      <c r="AF1312" s="231">
        <f>FME_Ranking1[[#This Row],[Ag Land Score (Normalized, Unweighted)]]*$AD$3</f>
        <v>7.8364917306039574E-4</v>
      </c>
      <c r="AG131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5.3860067046644679E-2</v>
      </c>
      <c r="AH1312" s="406">
        <f t="shared" si="20"/>
        <v>1280</v>
      </c>
      <c r="AI131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5.3860067046644679E-2</v>
      </c>
      <c r="AJ1312" s="257">
        <f>FME_Ranking1[[#This Row],[Addition check]]-FME_Ranking1[[#This Row],[Weighted Score Based on Normalized Reported Factors]]</f>
        <v>0</v>
      </c>
      <c r="AK1312" s="178">
        <f>_xlfn.RANK.EQ(AI1312,$AI$6:$AI$2341,0)+COUNTIF($AI$6:AI1312,AI1312)-1</f>
        <v>1284</v>
      </c>
    </row>
    <row r="1313" spans="1:37" x14ac:dyDescent="0.25">
      <c r="A1313" t="s">
        <v>7321</v>
      </c>
      <c r="B1313">
        <f>_xlfn.XLOOKUP(FME_Ranking1[[#This Row],[FME ID]],FME_Input[FME_ID],FME_Input[RFPG_NUM])</f>
        <v>7</v>
      </c>
      <c r="C1313" t="str">
        <f>_xlfn.XLOOKUP(FME_Ranking1[[#This Row],[FME ID]],FME_Input[FME_ID],FME_Input[FME_NAME])</f>
        <v>City of Roscoe Stream Restoration Program</v>
      </c>
      <c r="D1313" t="str">
        <f>_xlfn.XLOOKUP(FME_Ranking1[[#This Row],[FME ID]],FME_Input[FME_ID],FME_Input[DESCR])</f>
        <v>Implement stream restoration / channelization program to ensure adequate drainage / diversion of stormwater.</v>
      </c>
      <c r="E1313" s="256">
        <f>_xlfn.XLOOKUP(FME_Ranking1[[#This Row],[FME ID]],FME_Input[FME_ID],FME_Input[FME_COST])</f>
        <v>250000</v>
      </c>
      <c r="F1313" t="str">
        <f>_xlfn.XLOOKUP(FME_Ranking1[[#This Row],[FME ID]],FME_Input[FME_ID],FME_Input[EMER_NEED])</f>
        <v>No</v>
      </c>
      <c r="G1313">
        <f>IF(FME_Ranking!F1313="Yes",100,0)</f>
        <v>0</v>
      </c>
      <c r="H1313">
        <f>FME_Ranking1[[#This Row],[Emergency Need Score (Normalized, Unweighted)]]*$F$3</f>
        <v>0</v>
      </c>
      <c r="I1313" s="246">
        <f>_xlfn.XLOOKUP(FME_Ranking1[[#This Row],[FME ID]],FME_Input[FME_ID],FME_Input[STRUCT_100])</f>
        <v>194</v>
      </c>
      <c r="J1313" s="178">
        <f>(FME_Ranking1[[#This Row],[Structures 100 Raw]]/I$2)*100</f>
        <v>0.10388553313627211</v>
      </c>
      <c r="K1313" s="178">
        <f>FME_Ranking1[[#This Row],[Structures 100  Score (Normalized, Unweighted)]]*$I$3</f>
        <v>1.5582829970440816E-2</v>
      </c>
      <c r="L1313" s="246">
        <f>_xlfn.XLOOKUP(FME_Ranking1[[#This Row],[FME ID]],FME_Input[FME_ID],FME_Input[RES_STRUCT100])</f>
        <v>142</v>
      </c>
      <c r="M1313" s="230">
        <f>(FME_Ranking1[[#This Row],[Res Structures Raw]]/L$2)*100</f>
        <v>0.10057939397373603</v>
      </c>
      <c r="N1313" s="180">
        <f>FME_Ranking1[[#This Row],[Res Structures Score (Normalized, Unweighted)]]*$L$3</f>
        <v>1.0057939397373603E-2</v>
      </c>
      <c r="O1313" s="244">
        <f>_xlfn.XLOOKUP(FME_Ranking1[[#This Row],[FME ID]],FME_Input[FME_ID],FME_Input[POP100])</f>
        <v>322</v>
      </c>
      <c r="P1313" s="178">
        <f>(FME_Ranking1[[#This Row],[Pop Raw]]/$O$2)*100</f>
        <v>3.2964850460381778E-2</v>
      </c>
      <c r="Q1313" s="178">
        <f>FME_Ranking1[[#This Row],[Pop Score (Normalized, Unweighted)]]*$O$3</f>
        <v>4.9447275690572669E-3</v>
      </c>
      <c r="R1313" s="137">
        <f>_xlfn.XLOOKUP(FME_Ranking1[[#This Row],[FME ID]],FME_Input[FME_ID],FME_Input[CRITFAC100])</f>
        <v>1</v>
      </c>
      <c r="S1313" s="230">
        <f>(FME_Ranking1[[#This Row],[Critical Facilities Raw]]/$R$2)*100</f>
        <v>4.2881646655231559E-2</v>
      </c>
      <c r="T1313" s="180">
        <f>FME_Ranking1[[#This Row],[Critical Facilities Score (Normalized, Unweighted)]]*$R$3</f>
        <v>8.5763293310463125E-3</v>
      </c>
      <c r="U1313">
        <f>_xlfn.XLOOKUP(FME_Ranking1[[#This Row],[FME ID]],FME_Input[FME_ID],FME_Input[LWC])</f>
        <v>0</v>
      </c>
      <c r="V1313" s="178">
        <f>(FME_Ranking1[[#This Row],[LWC Raw]]/$U$2)*100</f>
        <v>0</v>
      </c>
      <c r="W1313" s="178">
        <f>FME_Ranking1[[#This Row],[LWC Score (Normalized, Unweighted)]]*$U$3</f>
        <v>0</v>
      </c>
      <c r="X1313" s="246">
        <f>_xlfn.XLOOKUP(FME_Ranking1[[#This Row],[FME ID]],FME_Input[FME_ID],FME_Input[ROADCLS])</f>
        <v>0</v>
      </c>
      <c r="Y1313" s="230">
        <f>(FME_Ranking1[[#This Row],[Closures Raw]]/$X$2)*100</f>
        <v>0</v>
      </c>
      <c r="Z1313" s="180">
        <f>FME_Ranking1[[#This Row],[Closures Score (Normalized, Unweighted)]]*$X$3</f>
        <v>0</v>
      </c>
      <c r="AA1313" s="253">
        <f>_xlfn.XLOOKUP(FME_Ranking1[[#This Row],[FME ID]],FME_Input[FME_ID],FME_Input[ROAD_MILES100])</f>
        <v>10.582881927490231</v>
      </c>
      <c r="AB1313" s="178">
        <f>(FME_Ranking1[[#This Row],[Miles Raw]]/$AA$2)*100</f>
        <v>0.13914591605666282</v>
      </c>
      <c r="AC1313" s="178">
        <f>FME_Ranking1[[#This Row],[Miles Score (Normalized, Unweighted)]]*$AA$3</f>
        <v>1.3914591605666283E-2</v>
      </c>
      <c r="AD1313" s="255">
        <f>_xlfn.XLOOKUP(FME_Ranking1[[#This Row],[FME ID]],FME_Input[FME_ID],FME_Input[FARMACRE100])</f>
        <v>380.08450317382813</v>
      </c>
      <c r="AE1313" s="230">
        <f>(FME_Ranking1[[#This Row],[Ag Land Raw]]/$AD$2)*100</f>
        <v>1.5672983461207914E-2</v>
      </c>
      <c r="AF1313" s="231">
        <f>FME_Ranking1[[#This Row],[Ag Land Score (Normalized, Unweighted)]]*$AD$3</f>
        <v>7.8364917306039574E-4</v>
      </c>
      <c r="AG131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5.3860067046644679E-2</v>
      </c>
      <c r="AH1313" s="406">
        <f t="shared" si="20"/>
        <v>1280</v>
      </c>
      <c r="AI131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5.3860067046644679E-2</v>
      </c>
      <c r="AJ1313" s="257">
        <f>FME_Ranking1[[#This Row],[Addition check]]-FME_Ranking1[[#This Row],[Weighted Score Based on Normalized Reported Factors]]</f>
        <v>0</v>
      </c>
      <c r="AK1313" s="178">
        <f>_xlfn.RANK.EQ(AI1313,$AI$6:$AI$2341,0)+COUNTIF($AI$6:AI1313,AI1313)-1</f>
        <v>1285</v>
      </c>
    </row>
    <row r="1314" spans="1:37" x14ac:dyDescent="0.25">
      <c r="A1314" t="s">
        <v>6337</v>
      </c>
      <c r="B1314">
        <f>_xlfn.XLOOKUP(FME_Ranking1[[#This Row],[FME ID]],FME_Input[FME_ID],FME_Input[RFPG_NUM])</f>
        <v>5</v>
      </c>
      <c r="C1314" t="str">
        <f>_xlfn.XLOOKUP(FME_Ranking1[[#This Row],[FME ID]],FME_Input[FME_ID],FME_Input[FME_NAME])</f>
        <v>Lakeview Additional Pumping</v>
      </c>
      <c r="D1314" t="str">
        <f>_xlfn.XLOOKUP(FME_Ranking1[[#This Row],[FME ID]],FME_Input[FME_ID],FME_Input[DESCR])</f>
        <v xml:space="preserve">H&amp;H study to size pump upgrades and improve existing level of service. </v>
      </c>
      <c r="E1314" s="256">
        <f>_xlfn.XLOOKUP(FME_Ranking1[[#This Row],[FME ID]],FME_Input[FME_ID],FME_Input[FME_COST])</f>
        <v>100000</v>
      </c>
      <c r="F1314" t="str">
        <f>_xlfn.XLOOKUP(FME_Ranking1[[#This Row],[FME ID]],FME_Input[FME_ID],FME_Input[EMER_NEED])</f>
        <v>Yes</v>
      </c>
      <c r="G1314">
        <f>IF(FME_Ranking!F1314="Yes",100,0)</f>
        <v>100</v>
      </c>
      <c r="H1314">
        <f>FME_Ranking1[[#This Row],[Emergency Need Score (Normalized, Unweighted)]]*$F$3</f>
        <v>0</v>
      </c>
      <c r="I1314" s="246">
        <f>_xlfn.XLOOKUP(FME_Ranking1[[#This Row],[FME ID]],FME_Input[FME_ID],FME_Input[STRUCT_100])</f>
        <v>216</v>
      </c>
      <c r="J1314" s="178">
        <f>(FME_Ranking1[[#This Row],[Structures 100 Raw]]/I$2)*100</f>
        <v>0.11566636679090092</v>
      </c>
      <c r="K1314" s="178">
        <f>FME_Ranking1[[#This Row],[Structures 100  Score (Normalized, Unweighted)]]*$I$3</f>
        <v>1.7349955018635139E-2</v>
      </c>
      <c r="L1314" s="246">
        <f>_xlfn.XLOOKUP(FME_Ranking1[[#This Row],[FME ID]],FME_Input[FME_ID],FME_Input[RES_STRUCT100])</f>
        <v>215</v>
      </c>
      <c r="M1314" s="230">
        <f>(FME_Ranking1[[#This Row],[Res Structures Raw]]/L$2)*100</f>
        <v>0.15228570214333273</v>
      </c>
      <c r="N1314" s="180">
        <f>FME_Ranking1[[#This Row],[Res Structures Score (Normalized, Unweighted)]]*$L$3</f>
        <v>1.5228570214333274E-2</v>
      </c>
      <c r="O1314" s="244">
        <f>_xlfn.XLOOKUP(FME_Ranking1[[#This Row],[FME ID]],FME_Input[FME_ID],FME_Input[POP100])</f>
        <v>479</v>
      </c>
      <c r="P1314" s="178">
        <f>(FME_Ranking1[[#This Row],[Pop Raw]]/$O$2)*100</f>
        <v>4.9037774442617615E-2</v>
      </c>
      <c r="Q1314" s="178">
        <f>FME_Ranking1[[#This Row],[Pop Score (Normalized, Unweighted)]]*$O$3</f>
        <v>7.3556661663926421E-3</v>
      </c>
      <c r="R1314" s="137">
        <f>_xlfn.XLOOKUP(FME_Ranking1[[#This Row],[FME ID]],FME_Input[FME_ID],FME_Input[CRITFAC100])</f>
        <v>0</v>
      </c>
      <c r="S1314" s="230">
        <f>(FME_Ranking1[[#This Row],[Critical Facilities Raw]]/$R$2)*100</f>
        <v>0</v>
      </c>
      <c r="T1314" s="180">
        <f>FME_Ranking1[[#This Row],[Critical Facilities Score (Normalized, Unweighted)]]*$R$3</f>
        <v>0</v>
      </c>
      <c r="U1314">
        <f>_xlfn.XLOOKUP(FME_Ranking1[[#This Row],[FME ID]],FME_Input[FME_ID],FME_Input[LWC])</f>
        <v>0</v>
      </c>
      <c r="V1314" s="178">
        <f>(FME_Ranking1[[#This Row],[LWC Raw]]/$U$2)*100</f>
        <v>0</v>
      </c>
      <c r="W1314" s="178">
        <f>FME_Ranking1[[#This Row],[LWC Score (Normalized, Unweighted)]]*$U$3</f>
        <v>0</v>
      </c>
      <c r="X1314" s="246">
        <f>_xlfn.XLOOKUP(FME_Ranking1[[#This Row],[FME ID]],FME_Input[FME_ID],FME_Input[ROADCLS])</f>
        <v>0</v>
      </c>
      <c r="Y1314" s="230">
        <f>(FME_Ranking1[[#This Row],[Closures Raw]]/$X$2)*100</f>
        <v>0</v>
      </c>
      <c r="Z1314" s="180">
        <f>FME_Ranking1[[#This Row],[Closures Score (Normalized, Unweighted)]]*$X$3</f>
        <v>0</v>
      </c>
      <c r="AA1314" s="253">
        <f>_xlfn.XLOOKUP(FME_Ranking1[[#This Row],[FME ID]],FME_Input[FME_ID],FME_Input[ROAD_MILES100])</f>
        <v>2.03456711769104</v>
      </c>
      <c r="AB1314" s="178">
        <f>(FME_Ranking1[[#This Row],[Miles Raw]]/$AA$2)*100</f>
        <v>2.6750908430197565E-2</v>
      </c>
      <c r="AC1314" s="178">
        <f>FME_Ranking1[[#This Row],[Miles Score (Normalized, Unweighted)]]*$AA$3</f>
        <v>2.6750908430197566E-3</v>
      </c>
      <c r="AD1314" s="255">
        <f>_xlfn.XLOOKUP(FME_Ranking1[[#This Row],[FME ID]],FME_Input[FME_ID],FME_Input[FARMACRE100])</f>
        <v>0</v>
      </c>
      <c r="AE1314" s="230">
        <f>(FME_Ranking1[[#This Row],[Ag Land Raw]]/$AD$2)*100</f>
        <v>0</v>
      </c>
      <c r="AF1314" s="231">
        <f>FME_Ranking1[[#This Row],[Ag Land Score (Normalized, Unweighted)]]*$AD$3</f>
        <v>0</v>
      </c>
      <c r="AG131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4.2609282242380808E-2</v>
      </c>
      <c r="AH1314" s="406">
        <f t="shared" si="20"/>
        <v>1360</v>
      </c>
      <c r="AI131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4.2609282242380808E-2</v>
      </c>
      <c r="AJ1314" s="257">
        <f>FME_Ranking1[[#This Row],[Addition check]]-FME_Ranking1[[#This Row],[Weighted Score Based on Normalized Reported Factors]]</f>
        <v>0</v>
      </c>
      <c r="AK1314" s="178">
        <f>_xlfn.RANK.EQ(AI1314,$AI$6:$AI$2341,0)+COUNTIF($AI$6:AI1314,AI1314)-1</f>
        <v>1360</v>
      </c>
    </row>
    <row r="1315" spans="1:37" x14ac:dyDescent="0.25">
      <c r="A1315" t="s">
        <v>3270</v>
      </c>
      <c r="B1315">
        <f>_xlfn.XLOOKUP(FME_Ranking1[[#This Row],[FME ID]],FME_Input[FME_ID],FME_Input[RFPG_NUM])</f>
        <v>1</v>
      </c>
      <c r="C1315" t="str">
        <f>_xlfn.XLOOKUP(FME_Ranking1[[#This Row],[FME ID]],FME_Input[FME_ID],FME_Input[FME_NAME])</f>
        <v>McCarty Lake Project Planning (City of Amarillo)</v>
      </c>
      <c r="D1315" t="str">
        <f>_xlfn.XLOOKUP(FME_Ranking1[[#This Row],[FME ID]],FME_Input[FME_ID],FME_Input[DESCR])</f>
        <v>Evaluate project to quantify benefits, evaluate impacts and begin design. Excavate 900,000 CY. Raise street and install equalization culverts. Add new pumping station with suction line, and add new force main. Project identified from 2019 Amarillo DMP.</v>
      </c>
      <c r="E1315" s="256">
        <f>_xlfn.XLOOKUP(FME_Ranking1[[#This Row],[FME ID]],FME_Input[FME_ID],FME_Input[FME_COST])</f>
        <v>382000</v>
      </c>
      <c r="F1315" t="str">
        <f>_xlfn.XLOOKUP(FME_Ranking1[[#This Row],[FME ID]],FME_Input[FME_ID],FME_Input[EMER_NEED])</f>
        <v>No</v>
      </c>
      <c r="G1315">
        <f>IF(FME_Ranking!F1315="Yes",100,0)</f>
        <v>0</v>
      </c>
      <c r="H1315">
        <f>FME_Ranking1[[#This Row],[Emergency Need Score (Normalized, Unweighted)]]*$F$3</f>
        <v>0</v>
      </c>
      <c r="I1315" s="246">
        <f>_xlfn.XLOOKUP(FME_Ranking1[[#This Row],[FME ID]],FME_Input[FME_ID],FME_Input[STRUCT_100])</f>
        <v>200</v>
      </c>
      <c r="J1315" s="178">
        <f>(FME_Ranking1[[#This Row],[Structures 100 Raw]]/I$2)*100</f>
        <v>0.10709848776935268</v>
      </c>
      <c r="K1315" s="178">
        <f>FME_Ranking1[[#This Row],[Structures 100  Score (Normalized, Unweighted)]]*$I$3</f>
        <v>1.6064773165402901E-2</v>
      </c>
      <c r="L1315" s="246">
        <f>_xlfn.XLOOKUP(FME_Ranking1[[#This Row],[FME ID]],FME_Input[FME_ID],FME_Input[RES_STRUCT100])</f>
        <v>172</v>
      </c>
      <c r="M1315" s="230">
        <f>(FME_Ranking1[[#This Row],[Res Structures Raw]]/L$2)*100</f>
        <v>0.12182856171466619</v>
      </c>
      <c r="N1315" s="180">
        <f>FME_Ranking1[[#This Row],[Res Structures Score (Normalized, Unweighted)]]*$L$3</f>
        <v>1.2182856171466619E-2</v>
      </c>
      <c r="O1315" s="244">
        <f>_xlfn.XLOOKUP(FME_Ranking1[[#This Row],[FME ID]],FME_Input[FME_ID],FME_Input[POP100])</f>
        <v>750</v>
      </c>
      <c r="P1315" s="178">
        <f>(FME_Ranking1[[#This Row],[Pop Raw]]/$O$2)*100</f>
        <v>7.6781483991572461E-2</v>
      </c>
      <c r="Q1315" s="178">
        <f>FME_Ranking1[[#This Row],[Pop Score (Normalized, Unweighted)]]*$O$3</f>
        <v>1.1517222598735869E-2</v>
      </c>
      <c r="R1315" s="137">
        <f>_xlfn.XLOOKUP(FME_Ranking1[[#This Row],[FME ID]],FME_Input[FME_ID],FME_Input[CRITFAC100])</f>
        <v>0</v>
      </c>
      <c r="S1315" s="230">
        <f>(FME_Ranking1[[#This Row],[Critical Facilities Raw]]/$R$2)*100</f>
        <v>0</v>
      </c>
      <c r="T1315" s="180">
        <f>FME_Ranking1[[#This Row],[Critical Facilities Score (Normalized, Unweighted)]]*$R$3</f>
        <v>0</v>
      </c>
      <c r="U1315">
        <f>_xlfn.XLOOKUP(FME_Ranking1[[#This Row],[FME ID]],FME_Input[FME_ID],FME_Input[LWC])</f>
        <v>0</v>
      </c>
      <c r="V1315" s="178">
        <f>(FME_Ranking1[[#This Row],[LWC Raw]]/$U$2)*100</f>
        <v>0</v>
      </c>
      <c r="W1315" s="178">
        <f>FME_Ranking1[[#This Row],[LWC Score (Normalized, Unweighted)]]*$U$3</f>
        <v>0</v>
      </c>
      <c r="X1315" s="246">
        <f>_xlfn.XLOOKUP(FME_Ranking1[[#This Row],[FME ID]],FME_Input[FME_ID],FME_Input[ROADCLS])</f>
        <v>0</v>
      </c>
      <c r="Y1315" s="230">
        <f>(FME_Ranking1[[#This Row],[Closures Raw]]/$X$2)*100</f>
        <v>0</v>
      </c>
      <c r="Z1315" s="180">
        <f>FME_Ranking1[[#This Row],[Closures Score (Normalized, Unweighted)]]*$X$3</f>
        <v>0</v>
      </c>
      <c r="AA1315" s="253">
        <f>_xlfn.XLOOKUP(FME_Ranking1[[#This Row],[FME ID]],FME_Input[FME_ID],FME_Input[ROAD_MILES100])</f>
        <v>12.79281425476074</v>
      </c>
      <c r="AB1315" s="178">
        <f>(FME_Ranking1[[#This Row],[Miles Raw]]/$AA$2)*100</f>
        <v>0.16820256246056098</v>
      </c>
      <c r="AC1315" s="178">
        <f>FME_Ranking1[[#This Row],[Miles Score (Normalized, Unweighted)]]*$AA$3</f>
        <v>1.6820256246056098E-2</v>
      </c>
      <c r="AD1315" s="255">
        <f>_xlfn.XLOOKUP(FME_Ranking1[[#This Row],[FME ID]],FME_Input[FME_ID],FME_Input[FARMACRE100])</f>
        <v>53.635036468505859</v>
      </c>
      <c r="AE1315" s="230">
        <f>(FME_Ranking1[[#This Row],[Ag Land Raw]]/$AD$2)*100</f>
        <v>2.2116688065225471E-3</v>
      </c>
      <c r="AF1315" s="231">
        <f>FME_Ranking1[[#This Row],[Ag Land Score (Normalized, Unweighted)]]*$AD$3</f>
        <v>1.1058344032612736E-4</v>
      </c>
      <c r="AG131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5.6695691621987614E-2</v>
      </c>
      <c r="AH1315" s="406">
        <f t="shared" si="20"/>
        <v>1254</v>
      </c>
      <c r="AI131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5.6695691621987614E-2</v>
      </c>
      <c r="AJ1315" s="257">
        <f>FME_Ranking1[[#This Row],[Addition check]]-FME_Ranking1[[#This Row],[Weighted Score Based on Normalized Reported Factors]]</f>
        <v>0</v>
      </c>
      <c r="AK1315" s="178">
        <f>_xlfn.RANK.EQ(AI1315,$AI$6:$AI$2341,0)+COUNTIF($AI$6:AI1315,AI1315)-1</f>
        <v>1254</v>
      </c>
    </row>
    <row r="1316" spans="1:37" x14ac:dyDescent="0.25">
      <c r="A1316" t="s">
        <v>3302</v>
      </c>
      <c r="B1316">
        <f>_xlfn.XLOOKUP(FME_Ranking1[[#This Row],[FME ID]],FME_Input[FME_ID],FME_Input[RFPG_NUM])</f>
        <v>1</v>
      </c>
      <c r="C1316" t="str">
        <f>_xlfn.XLOOKUP(FME_Ranking1[[#This Row],[FME ID]],FME_Input[FME_ID],FME_Input[FME_NAME])</f>
        <v>McCarty Lake Project Planning - Fulton/ Hampton Storm Sewer (City of Amarillo)</v>
      </c>
      <c r="D1316" t="str">
        <f>_xlfn.XLOOKUP(FME_Ranking1[[#This Row],[FME ID]],FME_Input[FME_ID],FME_Input[DESCR])</f>
        <v>Evaluate project to quantify benefits, evaluate impacts and begin design. Improvements to McCarty Lake Study Area - Fulton/ Hampton Storm Sewer. Project identified from 2019 Amarillo DMP.</v>
      </c>
      <c r="E1316" s="256">
        <f>_xlfn.XLOOKUP(FME_Ranking1[[#This Row],[FME ID]],FME_Input[FME_ID],FME_Input[FME_COST])</f>
        <v>250000</v>
      </c>
      <c r="F1316" t="str">
        <f>_xlfn.XLOOKUP(FME_Ranking1[[#This Row],[FME ID]],FME_Input[FME_ID],FME_Input[EMER_NEED])</f>
        <v>No</v>
      </c>
      <c r="G1316">
        <f>IF(FME_Ranking!F1316="Yes",100,0)</f>
        <v>0</v>
      </c>
      <c r="H1316">
        <f>FME_Ranking1[[#This Row],[Emergency Need Score (Normalized, Unweighted)]]*$F$3</f>
        <v>0</v>
      </c>
      <c r="I1316" s="246">
        <f>_xlfn.XLOOKUP(FME_Ranking1[[#This Row],[FME ID]],FME_Input[FME_ID],FME_Input[STRUCT_100])</f>
        <v>200</v>
      </c>
      <c r="J1316" s="178">
        <f>(FME_Ranking1[[#This Row],[Structures 100 Raw]]/I$2)*100</f>
        <v>0.10709848776935268</v>
      </c>
      <c r="K1316" s="178">
        <f>FME_Ranking1[[#This Row],[Structures 100  Score (Normalized, Unweighted)]]*$I$3</f>
        <v>1.6064773165402901E-2</v>
      </c>
      <c r="L1316" s="246">
        <f>_xlfn.XLOOKUP(FME_Ranking1[[#This Row],[FME ID]],FME_Input[FME_ID],FME_Input[RES_STRUCT100])</f>
        <v>172</v>
      </c>
      <c r="M1316" s="230">
        <f>(FME_Ranking1[[#This Row],[Res Structures Raw]]/L$2)*100</f>
        <v>0.12182856171466619</v>
      </c>
      <c r="N1316" s="180">
        <f>FME_Ranking1[[#This Row],[Res Structures Score (Normalized, Unweighted)]]*$L$3</f>
        <v>1.2182856171466619E-2</v>
      </c>
      <c r="O1316" s="244">
        <f>_xlfn.XLOOKUP(FME_Ranking1[[#This Row],[FME ID]],FME_Input[FME_ID],FME_Input[POP100])</f>
        <v>750</v>
      </c>
      <c r="P1316" s="178">
        <f>(FME_Ranking1[[#This Row],[Pop Raw]]/$O$2)*100</f>
        <v>7.6781483991572461E-2</v>
      </c>
      <c r="Q1316" s="178">
        <f>FME_Ranking1[[#This Row],[Pop Score (Normalized, Unweighted)]]*$O$3</f>
        <v>1.1517222598735869E-2</v>
      </c>
      <c r="R1316" s="137">
        <f>_xlfn.XLOOKUP(FME_Ranking1[[#This Row],[FME ID]],FME_Input[FME_ID],FME_Input[CRITFAC100])</f>
        <v>0</v>
      </c>
      <c r="S1316" s="230">
        <f>(FME_Ranking1[[#This Row],[Critical Facilities Raw]]/$R$2)*100</f>
        <v>0</v>
      </c>
      <c r="T1316" s="180">
        <f>FME_Ranking1[[#This Row],[Critical Facilities Score (Normalized, Unweighted)]]*$R$3</f>
        <v>0</v>
      </c>
      <c r="U1316">
        <f>_xlfn.XLOOKUP(FME_Ranking1[[#This Row],[FME ID]],FME_Input[FME_ID],FME_Input[LWC])</f>
        <v>0</v>
      </c>
      <c r="V1316" s="178">
        <f>(FME_Ranking1[[#This Row],[LWC Raw]]/$U$2)*100</f>
        <v>0</v>
      </c>
      <c r="W1316" s="178">
        <f>FME_Ranking1[[#This Row],[LWC Score (Normalized, Unweighted)]]*$U$3</f>
        <v>0</v>
      </c>
      <c r="X1316" s="246">
        <f>_xlfn.XLOOKUP(FME_Ranking1[[#This Row],[FME ID]],FME_Input[FME_ID],FME_Input[ROADCLS])</f>
        <v>0</v>
      </c>
      <c r="Y1316" s="230">
        <f>(FME_Ranking1[[#This Row],[Closures Raw]]/$X$2)*100</f>
        <v>0</v>
      </c>
      <c r="Z1316" s="180">
        <f>FME_Ranking1[[#This Row],[Closures Score (Normalized, Unweighted)]]*$X$3</f>
        <v>0</v>
      </c>
      <c r="AA1316" s="253">
        <f>_xlfn.XLOOKUP(FME_Ranking1[[#This Row],[FME ID]],FME_Input[FME_ID],FME_Input[ROAD_MILES100])</f>
        <v>12.79281425476074</v>
      </c>
      <c r="AB1316" s="178">
        <f>(FME_Ranking1[[#This Row],[Miles Raw]]/$AA$2)*100</f>
        <v>0.16820256246056098</v>
      </c>
      <c r="AC1316" s="178">
        <f>FME_Ranking1[[#This Row],[Miles Score (Normalized, Unweighted)]]*$AA$3</f>
        <v>1.6820256246056098E-2</v>
      </c>
      <c r="AD1316" s="255">
        <f>_xlfn.XLOOKUP(FME_Ranking1[[#This Row],[FME ID]],FME_Input[FME_ID],FME_Input[FARMACRE100])</f>
        <v>53.635036468505859</v>
      </c>
      <c r="AE1316" s="230">
        <f>(FME_Ranking1[[#This Row],[Ag Land Raw]]/$AD$2)*100</f>
        <v>2.2116688065225471E-3</v>
      </c>
      <c r="AF1316" s="231">
        <f>FME_Ranking1[[#This Row],[Ag Land Score (Normalized, Unweighted)]]*$AD$3</f>
        <v>1.1058344032612736E-4</v>
      </c>
      <c r="AG131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5.6695691621987614E-2</v>
      </c>
      <c r="AH1316" s="406">
        <f t="shared" si="20"/>
        <v>1254</v>
      </c>
      <c r="AI131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5.6695691621987614E-2</v>
      </c>
      <c r="AJ1316" s="257">
        <f>FME_Ranking1[[#This Row],[Addition check]]-FME_Ranking1[[#This Row],[Weighted Score Based on Normalized Reported Factors]]</f>
        <v>0</v>
      </c>
      <c r="AK1316" s="178">
        <f>_xlfn.RANK.EQ(AI1316,$AI$6:$AI$2341,0)+COUNTIF($AI$6:AI1316,AI1316)-1</f>
        <v>1255</v>
      </c>
    </row>
    <row r="1317" spans="1:37" x14ac:dyDescent="0.25">
      <c r="A1317" t="s">
        <v>3327</v>
      </c>
      <c r="B1317">
        <f>_xlfn.XLOOKUP(FME_Ranking1[[#This Row],[FME ID]],FME_Input[FME_ID],FME_Input[RFPG_NUM])</f>
        <v>1</v>
      </c>
      <c r="C1317" t="str">
        <f>_xlfn.XLOOKUP(FME_Ranking1[[#This Row],[FME ID]],FME_Input[FME_ID],FME_Input[FME_NAME])</f>
        <v>McCarty Lake Project Planning - Downstream I-27 (City of Amarillo)</v>
      </c>
      <c r="D1317" t="str">
        <f>_xlfn.XLOOKUP(FME_Ranking1[[#This Row],[FME ID]],FME_Input[FME_ID],FME_Input[DESCR])</f>
        <v>Evaluate project to quantify benefits, evaluate impacts and begin design. Proposed improvements consist of constructing a relief interceptor sized to take storm flows to McCarty Lake. Project identified from 2019 Amarillo DMP.</v>
      </c>
      <c r="E1317" s="256">
        <f>_xlfn.XLOOKUP(FME_Ranking1[[#This Row],[FME ID]],FME_Input[FME_ID],FME_Input[FME_COST])</f>
        <v>383000</v>
      </c>
      <c r="F1317" t="str">
        <f>_xlfn.XLOOKUP(FME_Ranking1[[#This Row],[FME ID]],FME_Input[FME_ID],FME_Input[EMER_NEED])</f>
        <v>No</v>
      </c>
      <c r="G1317">
        <f>IF(FME_Ranking!F1317="Yes",100,0)</f>
        <v>0</v>
      </c>
      <c r="H1317">
        <f>FME_Ranking1[[#This Row],[Emergency Need Score (Normalized, Unweighted)]]*$F$3</f>
        <v>0</v>
      </c>
      <c r="I1317" s="246">
        <f>_xlfn.XLOOKUP(FME_Ranking1[[#This Row],[FME ID]],FME_Input[FME_ID],FME_Input[STRUCT_100])</f>
        <v>200</v>
      </c>
      <c r="J1317" s="178">
        <f>(FME_Ranking1[[#This Row],[Structures 100 Raw]]/I$2)*100</f>
        <v>0.10709848776935268</v>
      </c>
      <c r="K1317" s="178">
        <f>FME_Ranking1[[#This Row],[Structures 100  Score (Normalized, Unweighted)]]*$I$3</f>
        <v>1.6064773165402901E-2</v>
      </c>
      <c r="L1317" s="246">
        <f>_xlfn.XLOOKUP(FME_Ranking1[[#This Row],[FME ID]],FME_Input[FME_ID],FME_Input[RES_STRUCT100])</f>
        <v>172</v>
      </c>
      <c r="M1317" s="230">
        <f>(FME_Ranking1[[#This Row],[Res Structures Raw]]/L$2)*100</f>
        <v>0.12182856171466619</v>
      </c>
      <c r="N1317" s="180">
        <f>FME_Ranking1[[#This Row],[Res Structures Score (Normalized, Unweighted)]]*$L$3</f>
        <v>1.2182856171466619E-2</v>
      </c>
      <c r="O1317" s="244">
        <f>_xlfn.XLOOKUP(FME_Ranking1[[#This Row],[FME ID]],FME_Input[FME_ID],FME_Input[POP100])</f>
        <v>750</v>
      </c>
      <c r="P1317" s="178">
        <f>(FME_Ranking1[[#This Row],[Pop Raw]]/$O$2)*100</f>
        <v>7.6781483991572461E-2</v>
      </c>
      <c r="Q1317" s="178">
        <f>FME_Ranking1[[#This Row],[Pop Score (Normalized, Unweighted)]]*$O$3</f>
        <v>1.1517222598735869E-2</v>
      </c>
      <c r="R1317" s="137">
        <f>_xlfn.XLOOKUP(FME_Ranking1[[#This Row],[FME ID]],FME_Input[FME_ID],FME_Input[CRITFAC100])</f>
        <v>0</v>
      </c>
      <c r="S1317" s="230">
        <f>(FME_Ranking1[[#This Row],[Critical Facilities Raw]]/$R$2)*100</f>
        <v>0</v>
      </c>
      <c r="T1317" s="180">
        <f>FME_Ranking1[[#This Row],[Critical Facilities Score (Normalized, Unweighted)]]*$R$3</f>
        <v>0</v>
      </c>
      <c r="U1317">
        <f>_xlfn.XLOOKUP(FME_Ranking1[[#This Row],[FME ID]],FME_Input[FME_ID],FME_Input[LWC])</f>
        <v>0</v>
      </c>
      <c r="V1317" s="178">
        <f>(FME_Ranking1[[#This Row],[LWC Raw]]/$U$2)*100</f>
        <v>0</v>
      </c>
      <c r="W1317" s="178">
        <f>FME_Ranking1[[#This Row],[LWC Score (Normalized, Unweighted)]]*$U$3</f>
        <v>0</v>
      </c>
      <c r="X1317" s="246">
        <f>_xlfn.XLOOKUP(FME_Ranking1[[#This Row],[FME ID]],FME_Input[FME_ID],FME_Input[ROADCLS])</f>
        <v>0</v>
      </c>
      <c r="Y1317" s="230">
        <f>(FME_Ranking1[[#This Row],[Closures Raw]]/$X$2)*100</f>
        <v>0</v>
      </c>
      <c r="Z1317" s="180">
        <f>FME_Ranking1[[#This Row],[Closures Score (Normalized, Unweighted)]]*$X$3</f>
        <v>0</v>
      </c>
      <c r="AA1317" s="253">
        <f>_xlfn.XLOOKUP(FME_Ranking1[[#This Row],[FME ID]],FME_Input[FME_ID],FME_Input[ROAD_MILES100])</f>
        <v>12.79281425476074</v>
      </c>
      <c r="AB1317" s="178">
        <f>(FME_Ranking1[[#This Row],[Miles Raw]]/$AA$2)*100</f>
        <v>0.16820256246056098</v>
      </c>
      <c r="AC1317" s="178">
        <f>FME_Ranking1[[#This Row],[Miles Score (Normalized, Unweighted)]]*$AA$3</f>
        <v>1.6820256246056098E-2</v>
      </c>
      <c r="AD1317" s="255">
        <f>_xlfn.XLOOKUP(FME_Ranking1[[#This Row],[FME ID]],FME_Input[FME_ID],FME_Input[FARMACRE100])</f>
        <v>53.635036468505859</v>
      </c>
      <c r="AE1317" s="230">
        <f>(FME_Ranking1[[#This Row],[Ag Land Raw]]/$AD$2)*100</f>
        <v>2.2116688065225471E-3</v>
      </c>
      <c r="AF1317" s="231">
        <f>FME_Ranking1[[#This Row],[Ag Land Score (Normalized, Unweighted)]]*$AD$3</f>
        <v>1.1058344032612736E-4</v>
      </c>
      <c r="AG131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5.6695691621987614E-2</v>
      </c>
      <c r="AH1317" s="406">
        <f t="shared" si="20"/>
        <v>1254</v>
      </c>
      <c r="AI131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5.6695691621987614E-2</v>
      </c>
      <c r="AJ1317" s="257">
        <f>FME_Ranking1[[#This Row],[Addition check]]-FME_Ranking1[[#This Row],[Weighted Score Based on Normalized Reported Factors]]</f>
        <v>0</v>
      </c>
      <c r="AK1317" s="178">
        <f>_xlfn.RANK.EQ(AI1317,$AI$6:$AI$2341,0)+COUNTIF($AI$6:AI1317,AI1317)-1</f>
        <v>1256</v>
      </c>
    </row>
    <row r="1318" spans="1:37" x14ac:dyDescent="0.25">
      <c r="A1318" t="s">
        <v>3330</v>
      </c>
      <c r="B1318">
        <f>_xlfn.XLOOKUP(FME_Ranking1[[#This Row],[FME ID]],FME_Input[FME_ID],FME_Input[RFPG_NUM])</f>
        <v>1</v>
      </c>
      <c r="C1318" t="str">
        <f>_xlfn.XLOOKUP(FME_Ranking1[[#This Row],[FME ID]],FME_Input[FME_ID],FME_Input[FME_NAME])</f>
        <v>McCarty Lake Project Planning - Hillside/Hampton Storm Sewer (1B) (City of Amarillo)</v>
      </c>
      <c r="D1318" t="str">
        <f>_xlfn.XLOOKUP(FME_Ranking1[[#This Row],[FME ID]],FME_Input[FME_ID],FME_Input[DESCR])</f>
        <v>Evaluate project to quantify benefits, evaluate impacts and begin design. Proposed improvements include adding storm drain, adding parallel system, and then connecting to the existing crossing. Project identified from 2019 Amarillo DMP.</v>
      </c>
      <c r="E1318" s="256">
        <f>_xlfn.XLOOKUP(FME_Ranking1[[#This Row],[FME ID]],FME_Input[FME_ID],FME_Input[FME_COST])</f>
        <v>250000</v>
      </c>
      <c r="F1318" t="str">
        <f>_xlfn.XLOOKUP(FME_Ranking1[[#This Row],[FME ID]],FME_Input[FME_ID],FME_Input[EMER_NEED])</f>
        <v>No</v>
      </c>
      <c r="G1318">
        <f>IF(FME_Ranking!F1318="Yes",100,0)</f>
        <v>0</v>
      </c>
      <c r="H1318">
        <f>FME_Ranking1[[#This Row],[Emergency Need Score (Normalized, Unweighted)]]*$F$3</f>
        <v>0</v>
      </c>
      <c r="I1318" s="246">
        <f>_xlfn.XLOOKUP(FME_Ranking1[[#This Row],[FME ID]],FME_Input[FME_ID],FME_Input[STRUCT_100])</f>
        <v>200</v>
      </c>
      <c r="J1318" s="178">
        <f>(FME_Ranking1[[#This Row],[Structures 100 Raw]]/I$2)*100</f>
        <v>0.10709848776935268</v>
      </c>
      <c r="K1318" s="178">
        <f>FME_Ranking1[[#This Row],[Structures 100  Score (Normalized, Unweighted)]]*$I$3</f>
        <v>1.6064773165402901E-2</v>
      </c>
      <c r="L1318" s="246">
        <f>_xlfn.XLOOKUP(FME_Ranking1[[#This Row],[FME ID]],FME_Input[FME_ID],FME_Input[RES_STRUCT100])</f>
        <v>172</v>
      </c>
      <c r="M1318" s="230">
        <f>(FME_Ranking1[[#This Row],[Res Structures Raw]]/L$2)*100</f>
        <v>0.12182856171466619</v>
      </c>
      <c r="N1318" s="180">
        <f>FME_Ranking1[[#This Row],[Res Structures Score (Normalized, Unweighted)]]*$L$3</f>
        <v>1.2182856171466619E-2</v>
      </c>
      <c r="O1318" s="244">
        <f>_xlfn.XLOOKUP(FME_Ranking1[[#This Row],[FME ID]],FME_Input[FME_ID],FME_Input[POP100])</f>
        <v>750</v>
      </c>
      <c r="P1318" s="178">
        <f>(FME_Ranking1[[#This Row],[Pop Raw]]/$O$2)*100</f>
        <v>7.6781483991572461E-2</v>
      </c>
      <c r="Q1318" s="178">
        <f>FME_Ranking1[[#This Row],[Pop Score (Normalized, Unweighted)]]*$O$3</f>
        <v>1.1517222598735869E-2</v>
      </c>
      <c r="R1318" s="137">
        <f>_xlfn.XLOOKUP(FME_Ranking1[[#This Row],[FME ID]],FME_Input[FME_ID],FME_Input[CRITFAC100])</f>
        <v>0</v>
      </c>
      <c r="S1318" s="230">
        <f>(FME_Ranking1[[#This Row],[Critical Facilities Raw]]/$R$2)*100</f>
        <v>0</v>
      </c>
      <c r="T1318" s="180">
        <f>FME_Ranking1[[#This Row],[Critical Facilities Score (Normalized, Unweighted)]]*$R$3</f>
        <v>0</v>
      </c>
      <c r="U1318">
        <f>_xlfn.XLOOKUP(FME_Ranking1[[#This Row],[FME ID]],FME_Input[FME_ID],FME_Input[LWC])</f>
        <v>0</v>
      </c>
      <c r="V1318" s="178">
        <f>(FME_Ranking1[[#This Row],[LWC Raw]]/$U$2)*100</f>
        <v>0</v>
      </c>
      <c r="W1318" s="178">
        <f>FME_Ranking1[[#This Row],[LWC Score (Normalized, Unweighted)]]*$U$3</f>
        <v>0</v>
      </c>
      <c r="X1318" s="246">
        <f>_xlfn.XLOOKUP(FME_Ranking1[[#This Row],[FME ID]],FME_Input[FME_ID],FME_Input[ROADCLS])</f>
        <v>0</v>
      </c>
      <c r="Y1318" s="230">
        <f>(FME_Ranking1[[#This Row],[Closures Raw]]/$X$2)*100</f>
        <v>0</v>
      </c>
      <c r="Z1318" s="180">
        <f>FME_Ranking1[[#This Row],[Closures Score (Normalized, Unweighted)]]*$X$3</f>
        <v>0</v>
      </c>
      <c r="AA1318" s="253">
        <f>_xlfn.XLOOKUP(FME_Ranking1[[#This Row],[FME ID]],FME_Input[FME_ID],FME_Input[ROAD_MILES100])</f>
        <v>12.79281425476074</v>
      </c>
      <c r="AB1318" s="178">
        <f>(FME_Ranking1[[#This Row],[Miles Raw]]/$AA$2)*100</f>
        <v>0.16820256246056098</v>
      </c>
      <c r="AC1318" s="178">
        <f>FME_Ranking1[[#This Row],[Miles Score (Normalized, Unweighted)]]*$AA$3</f>
        <v>1.6820256246056098E-2</v>
      </c>
      <c r="AD1318" s="255">
        <f>_xlfn.XLOOKUP(FME_Ranking1[[#This Row],[FME ID]],FME_Input[FME_ID],FME_Input[FARMACRE100])</f>
        <v>53.635036468505859</v>
      </c>
      <c r="AE1318" s="230">
        <f>(FME_Ranking1[[#This Row],[Ag Land Raw]]/$AD$2)*100</f>
        <v>2.2116688065225471E-3</v>
      </c>
      <c r="AF1318" s="231">
        <f>FME_Ranking1[[#This Row],[Ag Land Score (Normalized, Unweighted)]]*$AD$3</f>
        <v>1.1058344032612736E-4</v>
      </c>
      <c r="AG131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5.6695691621987614E-2</v>
      </c>
      <c r="AH1318" s="406">
        <f t="shared" si="20"/>
        <v>1254</v>
      </c>
      <c r="AI131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5.6695691621987614E-2</v>
      </c>
      <c r="AJ1318" s="257">
        <f>FME_Ranking1[[#This Row],[Addition check]]-FME_Ranking1[[#This Row],[Weighted Score Based on Normalized Reported Factors]]</f>
        <v>0</v>
      </c>
      <c r="AK1318" s="178">
        <f>_xlfn.RANK.EQ(AI1318,$AI$6:$AI$2341,0)+COUNTIF($AI$6:AI1318,AI1318)-1</f>
        <v>1257</v>
      </c>
    </row>
    <row r="1319" spans="1:37" x14ac:dyDescent="0.25">
      <c r="A1319" t="s">
        <v>3370</v>
      </c>
      <c r="B1319">
        <f>_xlfn.XLOOKUP(FME_Ranking1[[#This Row],[FME ID]],FME_Input[FME_ID],FME_Input[RFPG_NUM])</f>
        <v>1</v>
      </c>
      <c r="C1319" t="str">
        <f>_xlfn.XLOOKUP(FME_Ranking1[[#This Row],[FME ID]],FME_Input[FME_ID],FME_Input[FME_NAME])</f>
        <v>McCarty Lake Project Planning - Hillside/Hampton Storm Sewer (2A) (City of Amarillo)</v>
      </c>
      <c r="D1319" t="str">
        <f>_xlfn.XLOOKUP(FME_Ranking1[[#This Row],[FME ID]],FME_Input[FME_ID],FME_Input[DESCR])</f>
        <v>Evaluate project to quantify benefits, evaluate impacts and begin design. Proposed improvements include the interceptor and inlets and parallel storm drain to direct flow into the existing storm drain system. Project identified from 2019 Amarillo DMP.</v>
      </c>
      <c r="E1319" s="256">
        <f>_xlfn.XLOOKUP(FME_Ranking1[[#This Row],[FME ID]],FME_Input[FME_ID],FME_Input[FME_COST])</f>
        <v>250000</v>
      </c>
      <c r="F1319" t="str">
        <f>_xlfn.XLOOKUP(FME_Ranking1[[#This Row],[FME ID]],FME_Input[FME_ID],FME_Input[EMER_NEED])</f>
        <v>No</v>
      </c>
      <c r="G1319">
        <f>IF(FME_Ranking!F1319="Yes",100,0)</f>
        <v>0</v>
      </c>
      <c r="H1319">
        <f>FME_Ranking1[[#This Row],[Emergency Need Score (Normalized, Unweighted)]]*$F$3</f>
        <v>0</v>
      </c>
      <c r="I1319" s="246">
        <f>_xlfn.XLOOKUP(FME_Ranking1[[#This Row],[FME ID]],FME_Input[FME_ID],FME_Input[STRUCT_100])</f>
        <v>200</v>
      </c>
      <c r="J1319" s="178">
        <f>(FME_Ranking1[[#This Row],[Structures 100 Raw]]/I$2)*100</f>
        <v>0.10709848776935268</v>
      </c>
      <c r="K1319" s="178">
        <f>FME_Ranking1[[#This Row],[Structures 100  Score (Normalized, Unweighted)]]*$I$3</f>
        <v>1.6064773165402901E-2</v>
      </c>
      <c r="L1319" s="246">
        <f>_xlfn.XLOOKUP(FME_Ranking1[[#This Row],[FME ID]],FME_Input[FME_ID],FME_Input[RES_STRUCT100])</f>
        <v>172</v>
      </c>
      <c r="M1319" s="230">
        <f>(FME_Ranking1[[#This Row],[Res Structures Raw]]/L$2)*100</f>
        <v>0.12182856171466619</v>
      </c>
      <c r="N1319" s="180">
        <f>FME_Ranking1[[#This Row],[Res Structures Score (Normalized, Unweighted)]]*$L$3</f>
        <v>1.2182856171466619E-2</v>
      </c>
      <c r="O1319" s="244">
        <f>_xlfn.XLOOKUP(FME_Ranking1[[#This Row],[FME ID]],FME_Input[FME_ID],FME_Input[POP100])</f>
        <v>750</v>
      </c>
      <c r="P1319" s="178">
        <f>(FME_Ranking1[[#This Row],[Pop Raw]]/$O$2)*100</f>
        <v>7.6781483991572461E-2</v>
      </c>
      <c r="Q1319" s="178">
        <f>FME_Ranking1[[#This Row],[Pop Score (Normalized, Unweighted)]]*$O$3</f>
        <v>1.1517222598735869E-2</v>
      </c>
      <c r="R1319" s="137">
        <f>_xlfn.XLOOKUP(FME_Ranking1[[#This Row],[FME ID]],FME_Input[FME_ID],FME_Input[CRITFAC100])</f>
        <v>0</v>
      </c>
      <c r="S1319" s="230">
        <f>(FME_Ranking1[[#This Row],[Critical Facilities Raw]]/$R$2)*100</f>
        <v>0</v>
      </c>
      <c r="T1319" s="180">
        <f>FME_Ranking1[[#This Row],[Critical Facilities Score (Normalized, Unweighted)]]*$R$3</f>
        <v>0</v>
      </c>
      <c r="U1319">
        <f>_xlfn.XLOOKUP(FME_Ranking1[[#This Row],[FME ID]],FME_Input[FME_ID],FME_Input[LWC])</f>
        <v>0</v>
      </c>
      <c r="V1319" s="178">
        <f>(FME_Ranking1[[#This Row],[LWC Raw]]/$U$2)*100</f>
        <v>0</v>
      </c>
      <c r="W1319" s="178">
        <f>FME_Ranking1[[#This Row],[LWC Score (Normalized, Unweighted)]]*$U$3</f>
        <v>0</v>
      </c>
      <c r="X1319" s="246">
        <f>_xlfn.XLOOKUP(FME_Ranking1[[#This Row],[FME ID]],FME_Input[FME_ID],FME_Input[ROADCLS])</f>
        <v>0</v>
      </c>
      <c r="Y1319" s="230">
        <f>(FME_Ranking1[[#This Row],[Closures Raw]]/$X$2)*100</f>
        <v>0</v>
      </c>
      <c r="Z1319" s="180">
        <f>FME_Ranking1[[#This Row],[Closures Score (Normalized, Unweighted)]]*$X$3</f>
        <v>0</v>
      </c>
      <c r="AA1319" s="253">
        <f>_xlfn.XLOOKUP(FME_Ranking1[[#This Row],[FME ID]],FME_Input[FME_ID],FME_Input[ROAD_MILES100])</f>
        <v>12.79281425476074</v>
      </c>
      <c r="AB1319" s="178">
        <f>(FME_Ranking1[[#This Row],[Miles Raw]]/$AA$2)*100</f>
        <v>0.16820256246056098</v>
      </c>
      <c r="AC1319" s="178">
        <f>FME_Ranking1[[#This Row],[Miles Score (Normalized, Unweighted)]]*$AA$3</f>
        <v>1.6820256246056098E-2</v>
      </c>
      <c r="AD1319" s="255">
        <f>_xlfn.XLOOKUP(FME_Ranking1[[#This Row],[FME ID]],FME_Input[FME_ID],FME_Input[FARMACRE100])</f>
        <v>53.635036468505859</v>
      </c>
      <c r="AE1319" s="230">
        <f>(FME_Ranking1[[#This Row],[Ag Land Raw]]/$AD$2)*100</f>
        <v>2.2116688065225471E-3</v>
      </c>
      <c r="AF1319" s="231">
        <f>FME_Ranking1[[#This Row],[Ag Land Score (Normalized, Unweighted)]]*$AD$3</f>
        <v>1.1058344032612736E-4</v>
      </c>
      <c r="AG131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5.6695691621987614E-2</v>
      </c>
      <c r="AH1319" s="406">
        <f t="shared" si="20"/>
        <v>1254</v>
      </c>
      <c r="AI131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5.6695691621987614E-2</v>
      </c>
      <c r="AJ1319" s="257">
        <f>FME_Ranking1[[#This Row],[Addition check]]-FME_Ranking1[[#This Row],[Weighted Score Based on Normalized Reported Factors]]</f>
        <v>0</v>
      </c>
      <c r="AK1319" s="178">
        <f>_xlfn.RANK.EQ(AI1319,$AI$6:$AI$2341,0)+COUNTIF($AI$6:AI1319,AI1319)-1</f>
        <v>1258</v>
      </c>
    </row>
    <row r="1320" spans="1:37" x14ac:dyDescent="0.25">
      <c r="A1320" t="s">
        <v>3373</v>
      </c>
      <c r="B1320">
        <f>_xlfn.XLOOKUP(FME_Ranking1[[#This Row],[FME ID]],FME_Input[FME_ID],FME_Input[RFPG_NUM])</f>
        <v>1</v>
      </c>
      <c r="C1320" t="str">
        <f>_xlfn.XLOOKUP(FME_Ranking1[[#This Row],[FME ID]],FME_Input[FME_ID],FME_Input[FME_NAME])</f>
        <v>McCarty Lake Project Planning - Hillside/Hampton Storm Sewer (2B) (City of Amarillo)</v>
      </c>
      <c r="D1320" t="str">
        <f>_xlfn.XLOOKUP(FME_Ranking1[[#This Row],[FME ID]],FME_Input[FME_ID],FME_Input[DESCR])</f>
        <v>Evaluate project to quantify benefits, evaluate impacts and begin design. Proposed improvements include inlets and capacity, including extending the storm drain to tie into the Catalpa storm drain and outfall. Project identified from 2019 Amarillo DMP.</v>
      </c>
      <c r="E1320" s="256">
        <f>_xlfn.XLOOKUP(FME_Ranking1[[#This Row],[FME ID]],FME_Input[FME_ID],FME_Input[FME_COST])</f>
        <v>250000</v>
      </c>
      <c r="F1320" t="str">
        <f>_xlfn.XLOOKUP(FME_Ranking1[[#This Row],[FME ID]],FME_Input[FME_ID],FME_Input[EMER_NEED])</f>
        <v>No</v>
      </c>
      <c r="G1320">
        <f>IF(FME_Ranking!F1320="Yes",100,0)</f>
        <v>0</v>
      </c>
      <c r="H1320">
        <f>FME_Ranking1[[#This Row],[Emergency Need Score (Normalized, Unweighted)]]*$F$3</f>
        <v>0</v>
      </c>
      <c r="I1320" s="246">
        <f>_xlfn.XLOOKUP(FME_Ranking1[[#This Row],[FME ID]],FME_Input[FME_ID],FME_Input[STRUCT_100])</f>
        <v>200</v>
      </c>
      <c r="J1320" s="178">
        <f>(FME_Ranking1[[#This Row],[Structures 100 Raw]]/I$2)*100</f>
        <v>0.10709848776935268</v>
      </c>
      <c r="K1320" s="178">
        <f>FME_Ranking1[[#This Row],[Structures 100  Score (Normalized, Unweighted)]]*$I$3</f>
        <v>1.6064773165402901E-2</v>
      </c>
      <c r="L1320" s="246">
        <f>_xlfn.XLOOKUP(FME_Ranking1[[#This Row],[FME ID]],FME_Input[FME_ID],FME_Input[RES_STRUCT100])</f>
        <v>172</v>
      </c>
      <c r="M1320" s="230">
        <f>(FME_Ranking1[[#This Row],[Res Structures Raw]]/L$2)*100</f>
        <v>0.12182856171466619</v>
      </c>
      <c r="N1320" s="180">
        <f>FME_Ranking1[[#This Row],[Res Structures Score (Normalized, Unweighted)]]*$L$3</f>
        <v>1.2182856171466619E-2</v>
      </c>
      <c r="O1320" s="244">
        <f>_xlfn.XLOOKUP(FME_Ranking1[[#This Row],[FME ID]],FME_Input[FME_ID],FME_Input[POP100])</f>
        <v>750</v>
      </c>
      <c r="P1320" s="178">
        <f>(FME_Ranking1[[#This Row],[Pop Raw]]/$O$2)*100</f>
        <v>7.6781483991572461E-2</v>
      </c>
      <c r="Q1320" s="178">
        <f>FME_Ranking1[[#This Row],[Pop Score (Normalized, Unweighted)]]*$O$3</f>
        <v>1.1517222598735869E-2</v>
      </c>
      <c r="R1320" s="137">
        <f>_xlfn.XLOOKUP(FME_Ranking1[[#This Row],[FME ID]],FME_Input[FME_ID],FME_Input[CRITFAC100])</f>
        <v>0</v>
      </c>
      <c r="S1320" s="230">
        <f>(FME_Ranking1[[#This Row],[Critical Facilities Raw]]/$R$2)*100</f>
        <v>0</v>
      </c>
      <c r="T1320" s="180">
        <f>FME_Ranking1[[#This Row],[Critical Facilities Score (Normalized, Unweighted)]]*$R$3</f>
        <v>0</v>
      </c>
      <c r="U1320">
        <f>_xlfn.XLOOKUP(FME_Ranking1[[#This Row],[FME ID]],FME_Input[FME_ID],FME_Input[LWC])</f>
        <v>0</v>
      </c>
      <c r="V1320" s="178">
        <f>(FME_Ranking1[[#This Row],[LWC Raw]]/$U$2)*100</f>
        <v>0</v>
      </c>
      <c r="W1320" s="178">
        <f>FME_Ranking1[[#This Row],[LWC Score (Normalized, Unweighted)]]*$U$3</f>
        <v>0</v>
      </c>
      <c r="X1320" s="246">
        <f>_xlfn.XLOOKUP(FME_Ranking1[[#This Row],[FME ID]],FME_Input[FME_ID],FME_Input[ROADCLS])</f>
        <v>0</v>
      </c>
      <c r="Y1320" s="230">
        <f>(FME_Ranking1[[#This Row],[Closures Raw]]/$X$2)*100</f>
        <v>0</v>
      </c>
      <c r="Z1320" s="180">
        <f>FME_Ranking1[[#This Row],[Closures Score (Normalized, Unweighted)]]*$X$3</f>
        <v>0</v>
      </c>
      <c r="AA1320" s="253">
        <f>_xlfn.XLOOKUP(FME_Ranking1[[#This Row],[FME ID]],FME_Input[FME_ID],FME_Input[ROAD_MILES100])</f>
        <v>12.79281425476074</v>
      </c>
      <c r="AB1320" s="178">
        <f>(FME_Ranking1[[#This Row],[Miles Raw]]/$AA$2)*100</f>
        <v>0.16820256246056098</v>
      </c>
      <c r="AC1320" s="178">
        <f>FME_Ranking1[[#This Row],[Miles Score (Normalized, Unweighted)]]*$AA$3</f>
        <v>1.6820256246056098E-2</v>
      </c>
      <c r="AD1320" s="255">
        <f>_xlfn.XLOOKUP(FME_Ranking1[[#This Row],[FME ID]],FME_Input[FME_ID],FME_Input[FARMACRE100])</f>
        <v>53.635036468505859</v>
      </c>
      <c r="AE1320" s="230">
        <f>(FME_Ranking1[[#This Row],[Ag Land Raw]]/$AD$2)*100</f>
        <v>2.2116688065225471E-3</v>
      </c>
      <c r="AF1320" s="231">
        <f>FME_Ranking1[[#This Row],[Ag Land Score (Normalized, Unweighted)]]*$AD$3</f>
        <v>1.1058344032612736E-4</v>
      </c>
      <c r="AG132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5.6695691621987614E-2</v>
      </c>
      <c r="AH1320" s="406">
        <f t="shared" si="20"/>
        <v>1254</v>
      </c>
      <c r="AI132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5.6695691621987614E-2</v>
      </c>
      <c r="AJ1320" s="257">
        <f>FME_Ranking1[[#This Row],[Addition check]]-FME_Ranking1[[#This Row],[Weighted Score Based on Normalized Reported Factors]]</f>
        <v>0</v>
      </c>
      <c r="AK1320" s="178">
        <f>_xlfn.RANK.EQ(AI1320,$AI$6:$AI$2341,0)+COUNTIF($AI$6:AI1320,AI1320)-1</f>
        <v>1259</v>
      </c>
    </row>
    <row r="1321" spans="1:37" x14ac:dyDescent="0.25">
      <c r="A1321" t="s">
        <v>3398</v>
      </c>
      <c r="B1321">
        <f>_xlfn.XLOOKUP(FME_Ranking1[[#This Row],[FME ID]],FME_Input[FME_ID],FME_Input[RFPG_NUM])</f>
        <v>1</v>
      </c>
      <c r="C1321" t="str">
        <f>_xlfn.XLOOKUP(FME_Ranking1[[#This Row],[FME ID]],FME_Input[FME_ID],FME_Input[FME_NAME])</f>
        <v>McCarty Lake Watershed Study (City of Amarillo)</v>
      </c>
      <c r="D1321" t="str">
        <f>_xlfn.XLOOKUP(FME_Ranking1[[#This Row],[FME ID]],FME_Input[FME_ID],FME_Input[DESCR])</f>
        <v>Perform H&amp;H modeling, develop conceptual alternatives and OPCC, and rank projects. Marked as high priority in 2019 Amarillo DMP</v>
      </c>
      <c r="E1321" s="256">
        <f>_xlfn.XLOOKUP(FME_Ranking1[[#This Row],[FME ID]],FME_Input[FME_ID],FME_Input[FME_COST])</f>
        <v>923000</v>
      </c>
      <c r="F1321" t="str">
        <f>_xlfn.XLOOKUP(FME_Ranking1[[#This Row],[FME ID]],FME_Input[FME_ID],FME_Input[EMER_NEED])</f>
        <v>No</v>
      </c>
      <c r="G1321">
        <f>IF(FME_Ranking!F1321="Yes",100,0)</f>
        <v>0</v>
      </c>
      <c r="H1321">
        <f>FME_Ranking1[[#This Row],[Emergency Need Score (Normalized, Unweighted)]]*$F$3</f>
        <v>0</v>
      </c>
      <c r="I1321" s="246">
        <f>_xlfn.XLOOKUP(FME_Ranking1[[#This Row],[FME ID]],FME_Input[FME_ID],FME_Input[STRUCT_100])</f>
        <v>200</v>
      </c>
      <c r="J1321" s="178">
        <f>(FME_Ranking1[[#This Row],[Structures 100 Raw]]/I$2)*100</f>
        <v>0.10709848776935268</v>
      </c>
      <c r="K1321" s="178">
        <f>FME_Ranking1[[#This Row],[Structures 100  Score (Normalized, Unweighted)]]*$I$3</f>
        <v>1.6064773165402901E-2</v>
      </c>
      <c r="L1321" s="246">
        <f>_xlfn.XLOOKUP(FME_Ranking1[[#This Row],[FME ID]],FME_Input[FME_ID],FME_Input[RES_STRUCT100])</f>
        <v>172</v>
      </c>
      <c r="M1321" s="230">
        <f>(FME_Ranking1[[#This Row],[Res Structures Raw]]/L$2)*100</f>
        <v>0.12182856171466619</v>
      </c>
      <c r="N1321" s="180">
        <f>FME_Ranking1[[#This Row],[Res Structures Score (Normalized, Unweighted)]]*$L$3</f>
        <v>1.2182856171466619E-2</v>
      </c>
      <c r="O1321" s="244">
        <f>_xlfn.XLOOKUP(FME_Ranking1[[#This Row],[FME ID]],FME_Input[FME_ID],FME_Input[POP100])</f>
        <v>750</v>
      </c>
      <c r="P1321" s="178">
        <f>(FME_Ranking1[[#This Row],[Pop Raw]]/$O$2)*100</f>
        <v>7.6781483991572461E-2</v>
      </c>
      <c r="Q1321" s="178">
        <f>FME_Ranking1[[#This Row],[Pop Score (Normalized, Unweighted)]]*$O$3</f>
        <v>1.1517222598735869E-2</v>
      </c>
      <c r="R1321" s="137">
        <f>_xlfn.XLOOKUP(FME_Ranking1[[#This Row],[FME ID]],FME_Input[FME_ID],FME_Input[CRITFAC100])</f>
        <v>0</v>
      </c>
      <c r="S1321" s="230">
        <f>(FME_Ranking1[[#This Row],[Critical Facilities Raw]]/$R$2)*100</f>
        <v>0</v>
      </c>
      <c r="T1321" s="180">
        <f>FME_Ranking1[[#This Row],[Critical Facilities Score (Normalized, Unweighted)]]*$R$3</f>
        <v>0</v>
      </c>
      <c r="U1321">
        <f>_xlfn.XLOOKUP(FME_Ranking1[[#This Row],[FME ID]],FME_Input[FME_ID],FME_Input[LWC])</f>
        <v>0</v>
      </c>
      <c r="V1321" s="178">
        <f>(FME_Ranking1[[#This Row],[LWC Raw]]/$U$2)*100</f>
        <v>0</v>
      </c>
      <c r="W1321" s="178">
        <f>FME_Ranking1[[#This Row],[LWC Score (Normalized, Unweighted)]]*$U$3</f>
        <v>0</v>
      </c>
      <c r="X1321" s="246">
        <f>_xlfn.XLOOKUP(FME_Ranking1[[#This Row],[FME ID]],FME_Input[FME_ID],FME_Input[ROADCLS])</f>
        <v>0</v>
      </c>
      <c r="Y1321" s="230">
        <f>(FME_Ranking1[[#This Row],[Closures Raw]]/$X$2)*100</f>
        <v>0</v>
      </c>
      <c r="Z1321" s="180">
        <f>FME_Ranking1[[#This Row],[Closures Score (Normalized, Unweighted)]]*$X$3</f>
        <v>0</v>
      </c>
      <c r="AA1321" s="253">
        <f>_xlfn.XLOOKUP(FME_Ranking1[[#This Row],[FME ID]],FME_Input[FME_ID],FME_Input[ROAD_MILES100])</f>
        <v>12.79281425476074</v>
      </c>
      <c r="AB1321" s="178">
        <f>(FME_Ranking1[[#This Row],[Miles Raw]]/$AA$2)*100</f>
        <v>0.16820256246056098</v>
      </c>
      <c r="AC1321" s="178">
        <f>FME_Ranking1[[#This Row],[Miles Score (Normalized, Unweighted)]]*$AA$3</f>
        <v>1.6820256246056098E-2</v>
      </c>
      <c r="AD1321" s="255">
        <f>_xlfn.XLOOKUP(FME_Ranking1[[#This Row],[FME ID]],FME_Input[FME_ID],FME_Input[FARMACRE100])</f>
        <v>53.635036468505859</v>
      </c>
      <c r="AE1321" s="230">
        <f>(FME_Ranking1[[#This Row],[Ag Land Raw]]/$AD$2)*100</f>
        <v>2.2116688065225471E-3</v>
      </c>
      <c r="AF1321" s="231">
        <f>FME_Ranking1[[#This Row],[Ag Land Score (Normalized, Unweighted)]]*$AD$3</f>
        <v>1.1058344032612736E-4</v>
      </c>
      <c r="AG132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5.6695691621987614E-2</v>
      </c>
      <c r="AH1321" s="406">
        <f t="shared" si="20"/>
        <v>1254</v>
      </c>
      <c r="AI132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5.6695691621987614E-2</v>
      </c>
      <c r="AJ1321" s="257">
        <f>FME_Ranking1[[#This Row],[Addition check]]-FME_Ranking1[[#This Row],[Weighted Score Based on Normalized Reported Factors]]</f>
        <v>0</v>
      </c>
      <c r="AK1321" s="178">
        <f>_xlfn.RANK.EQ(AI1321,$AI$6:$AI$2341,0)+COUNTIF($AI$6:AI1321,AI1321)-1</f>
        <v>1260</v>
      </c>
    </row>
    <row r="1322" spans="1:37" x14ac:dyDescent="0.25">
      <c r="A1322" t="s">
        <v>9819</v>
      </c>
      <c r="B1322">
        <f>_xlfn.XLOOKUP(FME_Ranking1[[#This Row],[FME ID]],FME_Input[FME_ID],FME_Input[RFPG_NUM])</f>
        <v>12</v>
      </c>
      <c r="C1322" t="str">
        <f>_xlfn.XLOOKUP(FME_Ranking1[[#This Row],[FME ID]],FME_Input[FME_ID],FME_Input[FME_NAME])</f>
        <v>Wet-Proof Wastewater System</v>
      </c>
      <c r="D1322" t="str">
        <f>_xlfn.XLOOKUP(FME_Ranking1[[#This Row],[FME ID]],FME_Input[FME_ID],FME_Input[DESCR])</f>
        <v>This action proposes “wet-proofing” city sewer lines to the Wastewater Treatment Plant</v>
      </c>
      <c r="E1322" s="256">
        <f>_xlfn.XLOOKUP(FME_Ranking1[[#This Row],[FME ID]],FME_Input[FME_ID],FME_Input[FME_COST])</f>
        <v>50000</v>
      </c>
      <c r="F1322" t="str">
        <f>_xlfn.XLOOKUP(FME_Ranking1[[#This Row],[FME ID]],FME_Input[FME_ID],FME_Input[EMER_NEED])</f>
        <v>Yes</v>
      </c>
      <c r="G1322">
        <f>IF(FME_Ranking!F1322="Yes",100,0)</f>
        <v>100</v>
      </c>
      <c r="H1322">
        <f>FME_Ranking1[[#This Row],[Emergency Need Score (Normalized, Unweighted)]]*$F$3</f>
        <v>0</v>
      </c>
      <c r="I1322" s="246">
        <f>_xlfn.XLOOKUP(FME_Ranking1[[#This Row],[FME ID]],FME_Input[FME_ID],FME_Input[STRUCT_100])</f>
        <v>170</v>
      </c>
      <c r="J1322" s="178">
        <f>(FME_Ranking1[[#This Row],[Structures 100 Raw]]/I$2)*100</f>
        <v>9.1033714603949781E-2</v>
      </c>
      <c r="K1322" s="178">
        <f>FME_Ranking1[[#This Row],[Structures 100  Score (Normalized, Unweighted)]]*$I$3</f>
        <v>1.3655057190592467E-2</v>
      </c>
      <c r="L1322" s="246">
        <f>_xlfn.XLOOKUP(FME_Ranking1[[#This Row],[FME ID]],FME_Input[FME_ID],FME_Input[RES_STRUCT100])</f>
        <v>133</v>
      </c>
      <c r="M1322" s="230">
        <f>(FME_Ranking1[[#This Row],[Res Structures Raw]]/L$2)*100</f>
        <v>9.4204643651456976E-2</v>
      </c>
      <c r="N1322" s="180">
        <f>FME_Ranking1[[#This Row],[Res Structures Score (Normalized, Unweighted)]]*$L$3</f>
        <v>9.4204643651456983E-3</v>
      </c>
      <c r="O1322" s="244">
        <f>_xlfn.XLOOKUP(FME_Ranking1[[#This Row],[FME ID]],FME_Input[FME_ID],FME_Input[POP100])</f>
        <v>263</v>
      </c>
      <c r="P1322" s="178">
        <f>(FME_Ranking1[[#This Row],[Pop Raw]]/$O$2)*100</f>
        <v>2.6924707053044745E-2</v>
      </c>
      <c r="Q1322" s="178">
        <f>FME_Ranking1[[#This Row],[Pop Score (Normalized, Unweighted)]]*$O$3</f>
        <v>4.0387060579567119E-3</v>
      </c>
      <c r="R1322" s="137">
        <f>_xlfn.XLOOKUP(FME_Ranking1[[#This Row],[FME ID]],FME_Input[FME_ID],FME_Input[CRITFAC100])</f>
        <v>0</v>
      </c>
      <c r="S1322" s="230">
        <f>(FME_Ranking1[[#This Row],[Critical Facilities Raw]]/$R$2)*100</f>
        <v>0</v>
      </c>
      <c r="T1322" s="180">
        <f>FME_Ranking1[[#This Row],[Critical Facilities Score (Normalized, Unweighted)]]*$R$3</f>
        <v>0</v>
      </c>
      <c r="U1322">
        <f>_xlfn.XLOOKUP(FME_Ranking1[[#This Row],[FME ID]],FME_Input[FME_ID],FME_Input[LWC])</f>
        <v>0</v>
      </c>
      <c r="V1322" s="178">
        <f>(FME_Ranking1[[#This Row],[LWC Raw]]/$U$2)*100</f>
        <v>0</v>
      </c>
      <c r="W1322" s="178">
        <f>FME_Ranking1[[#This Row],[LWC Score (Normalized, Unweighted)]]*$U$3</f>
        <v>0</v>
      </c>
      <c r="X1322" s="246">
        <f>_xlfn.XLOOKUP(FME_Ranking1[[#This Row],[FME ID]],FME_Input[FME_ID],FME_Input[ROADCLS])</f>
        <v>24</v>
      </c>
      <c r="Y1322" s="230">
        <f>(FME_Ranking1[[#This Row],[Closures Raw]]/$X$2)*100</f>
        <v>0.25233939648827675</v>
      </c>
      <c r="Z1322" s="180">
        <f>FME_Ranking1[[#This Row],[Closures Score (Normalized, Unweighted)]]*$X$3</f>
        <v>1.2616969824413838E-2</v>
      </c>
      <c r="AA1322" s="253">
        <f>_xlfn.XLOOKUP(FME_Ranking1[[#This Row],[FME ID]],FME_Input[FME_ID],FME_Input[ROAD_MILES100])</f>
        <v>4.2199997901916504</v>
      </c>
      <c r="AB1322" s="178">
        <f>(FME_Ranking1[[#This Row],[Miles Raw]]/$AA$2)*100</f>
        <v>5.5485428316065295E-2</v>
      </c>
      <c r="AC1322" s="178">
        <f>FME_Ranking1[[#This Row],[Miles Score (Normalized, Unweighted)]]*$AA$3</f>
        <v>5.5485428316065302E-3</v>
      </c>
      <c r="AD1322" s="255">
        <f>_xlfn.XLOOKUP(FME_Ranking1[[#This Row],[FME ID]],FME_Input[FME_ID],FME_Input[FARMACRE100])</f>
        <v>1.400189995765686</v>
      </c>
      <c r="AE1322" s="230">
        <f>(FME_Ranking1[[#This Row],[Ag Land Raw]]/$AD$2)*100</f>
        <v>5.7737567469694925E-5</v>
      </c>
      <c r="AF1322" s="231">
        <f>FME_Ranking1[[#This Row],[Ag Land Score (Normalized, Unweighted)]]*$AD$3</f>
        <v>2.8868783734847464E-6</v>
      </c>
      <c r="AG132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4.5282627148088728E-2</v>
      </c>
      <c r="AH1322" s="406">
        <f t="shared" si="20"/>
        <v>1340</v>
      </c>
      <c r="AI132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4.5282627148088728E-2</v>
      </c>
      <c r="AJ1322" s="257">
        <f>FME_Ranking1[[#This Row],[Addition check]]-FME_Ranking1[[#This Row],[Weighted Score Based on Normalized Reported Factors]]</f>
        <v>0</v>
      </c>
      <c r="AK1322" s="178">
        <f>_xlfn.RANK.EQ(AI1322,$AI$6:$AI$2341,0)+COUNTIF($AI$6:AI1322,AI1322)-1</f>
        <v>1340</v>
      </c>
    </row>
    <row r="1323" spans="1:37" x14ac:dyDescent="0.25">
      <c r="A1323" t="s">
        <v>9506</v>
      </c>
      <c r="B1323">
        <f>_xlfn.XLOOKUP(FME_Ranking1[[#This Row],[FME ID]],FME_Input[FME_ID],FME_Input[RFPG_NUM])</f>
        <v>12</v>
      </c>
      <c r="C1323" t="str">
        <f>_xlfn.XLOOKUP(FME_Ranking1[[#This Row],[FME ID]],FME_Input[FME_ID],FME_Input[FME_NAME])</f>
        <v>Damage Center 40-San Antonio River DS Reach near Roosevelt</v>
      </c>
      <c r="D1323" t="str">
        <f>_xlfn.XLOOKUP(FME_Ranking1[[#This Row],[FME ID]],FME_Input[FME_ID],FME_Input[DESCR])</f>
        <v>Three lots  have  100-year flood depths greater than 2 feet and were therefore not considered  for  flood-proofing. Due  to  its location between  parks,it  appears reasonable  to  be buyout the flooed properties and continue the park</v>
      </c>
      <c r="E1323" s="256">
        <f>_xlfn.XLOOKUP(FME_Ranking1[[#This Row],[FME ID]],FME_Input[FME_ID],FME_Input[FME_COST])</f>
        <v>12536093</v>
      </c>
      <c r="F1323" t="str">
        <f>_xlfn.XLOOKUP(FME_Ranking1[[#This Row],[FME ID]],FME_Input[FME_ID],FME_Input[EMER_NEED])</f>
        <v>Yes</v>
      </c>
      <c r="G1323">
        <f>IF(FME_Ranking!F1323="Yes",100,0)</f>
        <v>100</v>
      </c>
      <c r="H1323">
        <f>FME_Ranking1[[#This Row],[Emergency Need Score (Normalized, Unweighted)]]*$F$3</f>
        <v>0</v>
      </c>
      <c r="I1323" s="246">
        <f>_xlfn.XLOOKUP(FME_Ranking1[[#This Row],[FME ID]],FME_Input[FME_ID],FME_Input[STRUCT_100])</f>
        <v>73</v>
      </c>
      <c r="J1323" s="178">
        <f>(FME_Ranking1[[#This Row],[Structures 100 Raw]]/I$2)*100</f>
        <v>3.9090948035813734E-2</v>
      </c>
      <c r="K1323" s="178">
        <f>FME_Ranking1[[#This Row],[Structures 100  Score (Normalized, Unweighted)]]*$I$3</f>
        <v>5.8636422053720601E-3</v>
      </c>
      <c r="L1323" s="246">
        <f>_xlfn.XLOOKUP(FME_Ranking1[[#This Row],[FME ID]],FME_Input[FME_ID],FME_Input[RES_STRUCT100])</f>
        <v>52</v>
      </c>
      <c r="M1323" s="230">
        <f>(FME_Ranking1[[#This Row],[Res Structures Raw]]/L$2)*100</f>
        <v>3.683189075094559E-2</v>
      </c>
      <c r="N1323" s="180">
        <f>FME_Ranking1[[#This Row],[Res Structures Score (Normalized, Unweighted)]]*$L$3</f>
        <v>3.683189075094559E-3</v>
      </c>
      <c r="O1323" s="244">
        <f>_xlfn.XLOOKUP(FME_Ranking1[[#This Row],[FME ID]],FME_Input[FME_ID],FME_Input[POP100])</f>
        <v>892</v>
      </c>
      <c r="P1323" s="178">
        <f>(FME_Ranking1[[#This Row],[Pop Raw]]/$O$2)*100</f>
        <v>9.131877829397686E-2</v>
      </c>
      <c r="Q1323" s="178">
        <f>FME_Ranking1[[#This Row],[Pop Score (Normalized, Unweighted)]]*$O$3</f>
        <v>1.3697816744096529E-2</v>
      </c>
      <c r="R1323" s="137">
        <f>_xlfn.XLOOKUP(FME_Ranking1[[#This Row],[FME ID]],FME_Input[FME_ID],FME_Input[CRITFAC100])</f>
        <v>0</v>
      </c>
      <c r="S1323" s="230">
        <f>(FME_Ranking1[[#This Row],[Critical Facilities Raw]]/$R$2)*100</f>
        <v>0</v>
      </c>
      <c r="T1323" s="180">
        <f>FME_Ranking1[[#This Row],[Critical Facilities Score (Normalized, Unweighted)]]*$R$3</f>
        <v>0</v>
      </c>
      <c r="U1323">
        <f>_xlfn.XLOOKUP(FME_Ranking1[[#This Row],[FME ID]],FME_Input[FME_ID],FME_Input[LWC])</f>
        <v>1</v>
      </c>
      <c r="V1323" s="178">
        <f>(FME_Ranking1[[#This Row],[LWC Raw]]/$U$2)*100</f>
        <v>5.7570523891767422E-2</v>
      </c>
      <c r="W1323" s="178">
        <f>FME_Ranking1[[#This Row],[LWC Score (Normalized, Unweighted)]]*$U$3</f>
        <v>1.1514104778353485E-2</v>
      </c>
      <c r="X1323" s="246">
        <f>_xlfn.XLOOKUP(FME_Ranking1[[#This Row],[FME ID]],FME_Input[FME_ID],FME_Input[ROADCLS])</f>
        <v>9</v>
      </c>
      <c r="Y1323" s="230">
        <f>(FME_Ranking1[[#This Row],[Closures Raw]]/$X$2)*100</f>
        <v>9.462727368310378E-2</v>
      </c>
      <c r="Z1323" s="180">
        <f>FME_Ranking1[[#This Row],[Closures Score (Normalized, Unweighted)]]*$X$3</f>
        <v>4.7313636841551897E-3</v>
      </c>
      <c r="AA1323" s="253">
        <f>_xlfn.XLOOKUP(FME_Ranking1[[#This Row],[FME ID]],FME_Input[FME_ID],FME_Input[ROAD_MILES100])</f>
        <v>0.94999998807907104</v>
      </c>
      <c r="AB1323" s="178">
        <f>(FME_Ranking1[[#This Row],[Miles Raw]]/$AA$2)*100</f>
        <v>1.2490795938269541E-2</v>
      </c>
      <c r="AC1323" s="178">
        <f>FME_Ranking1[[#This Row],[Miles Score (Normalized, Unweighted)]]*$AA$3</f>
        <v>1.2490795938269541E-3</v>
      </c>
      <c r="AD1323" s="255">
        <f>_xlfn.XLOOKUP(FME_Ranking1[[#This Row],[FME ID]],FME_Input[FME_ID],FME_Input[FARMACRE100])</f>
        <v>0</v>
      </c>
      <c r="AE1323" s="230">
        <f>(FME_Ranking1[[#This Row],[Ag Land Raw]]/$AD$2)*100</f>
        <v>0</v>
      </c>
      <c r="AF1323" s="231">
        <f>FME_Ranking1[[#This Row],[Ag Land Score (Normalized, Unweighted)]]*$AD$3</f>
        <v>0</v>
      </c>
      <c r="AG132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4.0739196080898772E-2</v>
      </c>
      <c r="AH1323" s="406">
        <f t="shared" si="20"/>
        <v>1385</v>
      </c>
      <c r="AI132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4.0739196080898772E-2</v>
      </c>
      <c r="AJ1323" s="257">
        <f>FME_Ranking1[[#This Row],[Addition check]]-FME_Ranking1[[#This Row],[Weighted Score Based on Normalized Reported Factors]]</f>
        <v>0</v>
      </c>
      <c r="AK1323" s="178">
        <f>_xlfn.RANK.EQ(AI1323,$AI$6:$AI$2341,0)+COUNTIF($AI$6:AI1323,AI1323)-1</f>
        <v>1385</v>
      </c>
    </row>
    <row r="1324" spans="1:37" x14ac:dyDescent="0.25">
      <c r="A1324" t="s">
        <v>1008</v>
      </c>
      <c r="B1324">
        <f>_xlfn.XLOOKUP(FME_Ranking1[[#This Row],[FME ID]],FME_Input[FME_ID],FME_Input[RFPG_NUM])</f>
        <v>6</v>
      </c>
      <c r="C1324" t="str">
        <f>_xlfn.XLOOKUP(FME_Ranking1[[#This Row],[FME ID]],FME_Input[FME_ID],FME_Input[FME_NAME])</f>
        <v xml:space="preserve">Mary's Creek Lower Segment </v>
      </c>
      <c r="D1324" t="str">
        <f>_xlfn.XLOOKUP(FME_Ranking1[[#This Row],[FME ID]],FME_Input[FME_ID],FME_Input[DESCR])</f>
        <v xml:space="preserve">Study to develop project into a FMP. Project will provide a 25-year LOS; Channel modifications from SH35 to downstream of Pearland Pkwy. and 1670 ac-ft mitigation.  </v>
      </c>
      <c r="E1324" s="256">
        <f>_xlfn.XLOOKUP(FME_Ranking1[[#This Row],[FME ID]],FME_Input[FME_ID],FME_Input[FME_COST])</f>
        <v>2436000</v>
      </c>
      <c r="F1324" t="str">
        <f>_xlfn.XLOOKUP(FME_Ranking1[[#This Row],[FME ID]],FME_Input[FME_ID],FME_Input[EMER_NEED])</f>
        <v>No</v>
      </c>
      <c r="G1324">
        <f>IF(FME_Ranking!F1324="Yes",100,0)</f>
        <v>0</v>
      </c>
      <c r="H1324">
        <f>FME_Ranking1[[#This Row],[Emergency Need Score (Normalized, Unweighted)]]*$F$3</f>
        <v>0</v>
      </c>
      <c r="I1324" s="246">
        <f>_xlfn.XLOOKUP(FME_Ranking1[[#This Row],[FME ID]],FME_Input[FME_ID],FME_Input[STRUCT_100])</f>
        <v>75</v>
      </c>
      <c r="J1324" s="178">
        <f>(FME_Ranking1[[#This Row],[Structures 100 Raw]]/I$2)*100</f>
        <v>4.016193291350726E-2</v>
      </c>
      <c r="K1324" s="178">
        <f>FME_Ranking1[[#This Row],[Structures 100  Score (Normalized, Unweighted)]]*$I$3</f>
        <v>6.024289937026089E-3</v>
      </c>
      <c r="L1324" s="246">
        <f>_xlfn.XLOOKUP(FME_Ranking1[[#This Row],[FME ID]],FME_Input[FME_ID],FME_Input[RES_STRUCT100])</f>
        <v>60</v>
      </c>
      <c r="M1324" s="230">
        <f>(FME_Ranking1[[#This Row],[Res Structures Raw]]/L$2)*100</f>
        <v>4.2498335481860293E-2</v>
      </c>
      <c r="N1324" s="180">
        <f>FME_Ranking1[[#This Row],[Res Structures Score (Normalized, Unweighted)]]*$L$3</f>
        <v>4.2498335481860293E-3</v>
      </c>
      <c r="O1324" s="244">
        <f>_xlfn.XLOOKUP(FME_Ranking1[[#This Row],[FME ID]],FME_Input[FME_ID],FME_Input[POP100])</f>
        <v>554</v>
      </c>
      <c r="P1324" s="178">
        <f>(FME_Ranking1[[#This Row],[Pop Raw]]/$O$2)*100</f>
        <v>5.671592284177486E-2</v>
      </c>
      <c r="Q1324" s="178">
        <f>FME_Ranking1[[#This Row],[Pop Score (Normalized, Unweighted)]]*$O$3</f>
        <v>8.5073884262662283E-3</v>
      </c>
      <c r="R1324" s="137">
        <f>_xlfn.XLOOKUP(FME_Ranking1[[#This Row],[FME ID]],FME_Input[FME_ID],FME_Input[CRITFAC100])</f>
        <v>1</v>
      </c>
      <c r="S1324" s="230">
        <f>(FME_Ranking1[[#This Row],[Critical Facilities Raw]]/$R$2)*100</f>
        <v>4.2881646655231559E-2</v>
      </c>
      <c r="T1324" s="180">
        <f>FME_Ranking1[[#This Row],[Critical Facilities Score (Normalized, Unweighted)]]*$R$3</f>
        <v>8.5763293310463125E-3</v>
      </c>
      <c r="U1324">
        <f>_xlfn.XLOOKUP(FME_Ranking1[[#This Row],[FME ID]],FME_Input[FME_ID],FME_Input[LWC])</f>
        <v>1</v>
      </c>
      <c r="V1324" s="178">
        <f>(FME_Ranking1[[#This Row],[LWC Raw]]/$U$2)*100</f>
        <v>5.7570523891767422E-2</v>
      </c>
      <c r="W1324" s="178">
        <f>FME_Ranking1[[#This Row],[LWC Score (Normalized, Unweighted)]]*$U$3</f>
        <v>1.1514104778353485E-2</v>
      </c>
      <c r="X1324" s="246">
        <f>_xlfn.XLOOKUP(FME_Ranking1[[#This Row],[FME ID]],FME_Input[FME_ID],FME_Input[ROADCLS])</f>
        <v>1</v>
      </c>
      <c r="Y1324" s="230">
        <f>(FME_Ranking1[[#This Row],[Closures Raw]]/$X$2)*100</f>
        <v>1.0514141520344864E-2</v>
      </c>
      <c r="Z1324" s="180">
        <f>FME_Ranking1[[#This Row],[Closures Score (Normalized, Unweighted)]]*$X$3</f>
        <v>5.2570707601724321E-4</v>
      </c>
      <c r="AA1324" s="253">
        <f>_xlfn.XLOOKUP(FME_Ranking1[[#This Row],[FME ID]],FME_Input[FME_ID],FME_Input[ROAD_MILES100])</f>
        <v>2.6327180862426758</v>
      </c>
      <c r="AB1324" s="178">
        <f>(FME_Ranking1[[#This Row],[Miles Raw]]/$AA$2)*100</f>
        <v>3.4615520832524144E-2</v>
      </c>
      <c r="AC1324" s="178">
        <f>FME_Ranking1[[#This Row],[Miles Score (Normalized, Unweighted)]]*$AA$3</f>
        <v>3.4615520832524146E-3</v>
      </c>
      <c r="AD1324" s="255">
        <f>_xlfn.XLOOKUP(FME_Ranking1[[#This Row],[FME ID]],FME_Input[FME_ID],FME_Input[FARMACRE100])</f>
        <v>0.44329917430877691</v>
      </c>
      <c r="AE1324" s="230">
        <f>(FME_Ranking1[[#This Row],[Ag Land Raw]]/$AD$2)*100</f>
        <v>1.8279673518104639E-5</v>
      </c>
      <c r="AF1324" s="231">
        <f>FME_Ranking1[[#This Row],[Ag Land Score (Normalized, Unweighted)]]*$AD$3</f>
        <v>9.1398367590523197E-7</v>
      </c>
      <c r="AG132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4.28601191638237E-2</v>
      </c>
      <c r="AH1324" s="406">
        <f t="shared" si="20"/>
        <v>1356</v>
      </c>
      <c r="AI132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4.28601191638237E-2</v>
      </c>
      <c r="AJ1324" s="257">
        <f>FME_Ranking1[[#This Row],[Addition check]]-FME_Ranking1[[#This Row],[Weighted Score Based on Normalized Reported Factors]]</f>
        <v>0</v>
      </c>
      <c r="AK1324" s="178">
        <f>_xlfn.RANK.EQ(AI1324,$AI$6:$AI$2341,0)+COUNTIF($AI$6:AI1324,AI1324)-1</f>
        <v>1356</v>
      </c>
    </row>
    <row r="1325" spans="1:37" x14ac:dyDescent="0.25">
      <c r="A1325" t="s">
        <v>5040</v>
      </c>
      <c r="B1325">
        <f>_xlfn.XLOOKUP(FME_Ranking1[[#This Row],[FME ID]],FME_Input[FME_ID],FME_Input[RFPG_NUM])</f>
        <v>3</v>
      </c>
      <c r="C1325" t="str">
        <f>_xlfn.XLOOKUP(FME_Ranking1[[#This Row],[FME ID]],FME_Input[FME_ID],FME_Input[FME_NAME])</f>
        <v>27th Street and Graham Street from Rinehart to Channel</v>
      </c>
      <c r="D1325" t="str">
        <f>_xlfn.XLOOKUP(FME_Ranking1[[#This Row],[FME ID]],FME_Input[FME_ID],FME_Input[DESCR])</f>
        <v>Study update - Storm Drain Improvements; Estimated construction cost of $1,419,800</v>
      </c>
      <c r="E1325" s="256">
        <f>_xlfn.XLOOKUP(FME_Ranking1[[#This Row],[FME ID]],FME_Input[FME_ID],FME_Input[FME_COST])</f>
        <v>250000</v>
      </c>
      <c r="F1325" t="str">
        <f>_xlfn.XLOOKUP(FME_Ranking1[[#This Row],[FME ID]],FME_Input[FME_ID],FME_Input[EMER_NEED])</f>
        <v>No</v>
      </c>
      <c r="G1325">
        <f>IF(FME_Ranking!F1325="Yes",100,0)</f>
        <v>0</v>
      </c>
      <c r="H1325">
        <f>FME_Ranking1[[#This Row],[Emergency Need Score (Normalized, Unweighted)]]*$F$3</f>
        <v>0</v>
      </c>
      <c r="I1325" s="246">
        <f>_xlfn.XLOOKUP(FME_Ranking1[[#This Row],[FME ID]],FME_Input[FME_ID],FME_Input[STRUCT_100])</f>
        <v>37</v>
      </c>
      <c r="J1325" s="178">
        <f>(FME_Ranking1[[#This Row],[Structures 100 Raw]]/I$2)*100</f>
        <v>1.9813220237330249E-2</v>
      </c>
      <c r="K1325" s="178">
        <f>FME_Ranking1[[#This Row],[Structures 100  Score (Normalized, Unweighted)]]*$I$3</f>
        <v>2.9719830355995373E-3</v>
      </c>
      <c r="L1325" s="246">
        <f>_xlfn.XLOOKUP(FME_Ranking1[[#This Row],[FME ID]],FME_Input[FME_ID],FME_Input[RES_STRUCT100])</f>
        <v>2</v>
      </c>
      <c r="M1325" s="230">
        <f>(FME_Ranking1[[#This Row],[Res Structures Raw]]/L$2)*100</f>
        <v>1.4166111827286765E-3</v>
      </c>
      <c r="N1325" s="180">
        <f>FME_Ranking1[[#This Row],[Res Structures Score (Normalized, Unweighted)]]*$L$3</f>
        <v>1.4166111827286767E-4</v>
      </c>
      <c r="O1325" s="244">
        <f>_xlfn.XLOOKUP(FME_Ranking1[[#This Row],[FME ID]],FME_Input[FME_ID],FME_Input[POP100])</f>
        <v>102</v>
      </c>
      <c r="P1325" s="178">
        <f>(FME_Ranking1[[#This Row],[Pop Raw]]/$O$2)*100</f>
        <v>1.0442281822853856E-2</v>
      </c>
      <c r="Q1325" s="178">
        <f>FME_Ranking1[[#This Row],[Pop Score (Normalized, Unweighted)]]*$O$3</f>
        <v>1.5663422734280782E-3</v>
      </c>
      <c r="R1325" s="137">
        <f>_xlfn.XLOOKUP(FME_Ranking1[[#This Row],[FME ID]],FME_Input[FME_ID],FME_Input[CRITFAC100])</f>
        <v>4</v>
      </c>
      <c r="S1325" s="230">
        <f>(FME_Ranking1[[#This Row],[Critical Facilities Raw]]/$R$2)*100</f>
        <v>0.17152658662092624</v>
      </c>
      <c r="T1325" s="180">
        <f>FME_Ranking1[[#This Row],[Critical Facilities Score (Normalized, Unweighted)]]*$R$3</f>
        <v>3.430531732418525E-2</v>
      </c>
      <c r="U1325">
        <f>_xlfn.XLOOKUP(FME_Ranking1[[#This Row],[FME ID]],FME_Input[FME_ID],FME_Input[LWC])</f>
        <v>0</v>
      </c>
      <c r="V1325" s="178">
        <f>(FME_Ranking1[[#This Row],[LWC Raw]]/$U$2)*100</f>
        <v>0</v>
      </c>
      <c r="W1325" s="178">
        <f>FME_Ranking1[[#This Row],[LWC Score (Normalized, Unweighted)]]*$U$3</f>
        <v>0</v>
      </c>
      <c r="X1325" s="246">
        <f>_xlfn.XLOOKUP(FME_Ranking1[[#This Row],[FME ID]],FME_Input[FME_ID],FME_Input[ROADCLS])</f>
        <v>0</v>
      </c>
      <c r="Y1325" s="230">
        <f>(FME_Ranking1[[#This Row],[Closures Raw]]/$X$2)*100</f>
        <v>0</v>
      </c>
      <c r="Z1325" s="180">
        <f>FME_Ranking1[[#This Row],[Closures Score (Normalized, Unweighted)]]*$X$3</f>
        <v>0</v>
      </c>
      <c r="AA1325" s="253">
        <f>_xlfn.XLOOKUP(FME_Ranking1[[#This Row],[FME ID]],FME_Input[FME_ID],FME_Input[ROAD_MILES100])</f>
        <v>0.61554759740829468</v>
      </c>
      <c r="AB1325" s="178">
        <f>(FME_Ranking1[[#This Row],[Miles Raw]]/$AA$2)*100</f>
        <v>8.0933468694729619E-3</v>
      </c>
      <c r="AC1325" s="178">
        <f>FME_Ranking1[[#This Row],[Miles Score (Normalized, Unweighted)]]*$AA$3</f>
        <v>8.0933468694729623E-4</v>
      </c>
      <c r="AD1325" s="255">
        <f>_xlfn.XLOOKUP(FME_Ranking1[[#This Row],[FME ID]],FME_Input[FME_ID],FME_Input[FARMACRE100])</f>
        <v>144.28999328613281</v>
      </c>
      <c r="AE1325" s="230">
        <f>(FME_Ranking1[[#This Row],[Ag Land Raw]]/$AD$2)*100</f>
        <v>5.9498734084328219E-3</v>
      </c>
      <c r="AF1325" s="231">
        <f>FME_Ranking1[[#This Row],[Ag Land Score (Normalized, Unweighted)]]*$AD$3</f>
        <v>2.9749367042164113E-4</v>
      </c>
      <c r="AG132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4.0092132108854671E-2</v>
      </c>
      <c r="AH1325" s="406">
        <f t="shared" si="20"/>
        <v>1391</v>
      </c>
      <c r="AI132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4.0092132108854671E-2</v>
      </c>
      <c r="AJ1325" s="257">
        <f>FME_Ranking1[[#This Row],[Addition check]]-FME_Ranking1[[#This Row],[Weighted Score Based on Normalized Reported Factors]]</f>
        <v>0</v>
      </c>
      <c r="AK1325" s="178">
        <f>_xlfn.RANK.EQ(AI1325,$AI$6:$AI$2341,0)+COUNTIF($AI$6:AI1325,AI1325)-1</f>
        <v>1391</v>
      </c>
    </row>
    <row r="1326" spans="1:37" x14ac:dyDescent="0.25">
      <c r="A1326" t="s">
        <v>8262</v>
      </c>
      <c r="B1326">
        <f>_xlfn.XLOOKUP(FME_Ranking1[[#This Row],[FME ID]],FME_Input[FME_ID],FME_Input[RFPG_NUM])</f>
        <v>9</v>
      </c>
      <c r="C1326" t="str">
        <f>_xlfn.XLOOKUP(FME_Ranking1[[#This Row],[FME ID]],FME_Input[FME_ID],FME_Input[FME_NAME])</f>
        <v>Schleicher County DMP</v>
      </c>
      <c r="D1326" t="str">
        <f>_xlfn.XLOOKUP(FME_Ranking1[[#This Row],[FME ID]],FME_Input[FME_ID],FME_Input[DESCR])</f>
        <v xml:space="preserve">Create Drainage Master Plan, including evaluation of potential mitigation projects. </v>
      </c>
      <c r="E1326" s="256">
        <f>_xlfn.XLOOKUP(FME_Ranking1[[#This Row],[FME ID]],FME_Input[FME_ID],FME_Input[FME_COST])</f>
        <v>500000</v>
      </c>
      <c r="F1326" t="str">
        <f>_xlfn.XLOOKUP(FME_Ranking1[[#This Row],[FME ID]],FME_Input[FME_ID],FME_Input[EMER_NEED])</f>
        <v>No</v>
      </c>
      <c r="G1326">
        <f>IF(FME_Ranking!F1326="Yes",100,0)</f>
        <v>0</v>
      </c>
      <c r="H1326">
        <f>FME_Ranking1[[#This Row],[Emergency Need Score (Normalized, Unweighted)]]*$F$3</f>
        <v>0</v>
      </c>
      <c r="I1326" s="246">
        <f>_xlfn.XLOOKUP(FME_Ranking1[[#This Row],[FME ID]],FME_Input[FME_ID],FME_Input[STRUCT_100])</f>
        <v>99</v>
      </c>
      <c r="J1326" s="178">
        <f>(FME_Ranking1[[#This Row],[Structures 100 Raw]]/I$2)*100</f>
        <v>5.3013751445829579E-2</v>
      </c>
      <c r="K1326" s="178">
        <f>FME_Ranking1[[#This Row],[Structures 100  Score (Normalized, Unweighted)]]*$I$3</f>
        <v>7.9520627168744359E-3</v>
      </c>
      <c r="L1326" s="246">
        <f>_xlfn.XLOOKUP(FME_Ranking1[[#This Row],[FME ID]],FME_Input[FME_ID],FME_Input[RES_STRUCT100])</f>
        <v>40</v>
      </c>
      <c r="M1326" s="230">
        <f>(FME_Ranking1[[#This Row],[Res Structures Raw]]/L$2)*100</f>
        <v>2.8332223654573527E-2</v>
      </c>
      <c r="N1326" s="180">
        <f>FME_Ranking1[[#This Row],[Res Structures Score (Normalized, Unweighted)]]*$L$3</f>
        <v>2.833222365457353E-3</v>
      </c>
      <c r="O1326" s="244">
        <f>_xlfn.XLOOKUP(FME_Ranking1[[#This Row],[FME ID]],FME_Input[FME_ID],FME_Input[POP100])</f>
        <v>186</v>
      </c>
      <c r="P1326" s="178">
        <f>(FME_Ranking1[[#This Row],[Pop Raw]]/$O$2)*100</f>
        <v>1.9041808029909971E-2</v>
      </c>
      <c r="Q1326" s="178">
        <f>FME_Ranking1[[#This Row],[Pop Score (Normalized, Unweighted)]]*$O$3</f>
        <v>2.8562712044864955E-3</v>
      </c>
      <c r="R1326" s="137">
        <f>_xlfn.XLOOKUP(FME_Ranking1[[#This Row],[FME ID]],FME_Input[FME_ID],FME_Input[CRITFAC100])</f>
        <v>0</v>
      </c>
      <c r="S1326" s="230">
        <f>(FME_Ranking1[[#This Row],[Critical Facilities Raw]]/$R$2)*100</f>
        <v>0</v>
      </c>
      <c r="T1326" s="180">
        <f>FME_Ranking1[[#This Row],[Critical Facilities Score (Normalized, Unweighted)]]*$R$3</f>
        <v>0</v>
      </c>
      <c r="U1326">
        <f>_xlfn.XLOOKUP(FME_Ranking1[[#This Row],[FME ID]],FME_Input[FME_ID],FME_Input[LWC])</f>
        <v>2</v>
      </c>
      <c r="V1326" s="178">
        <f>(FME_Ranking1[[#This Row],[LWC Raw]]/$U$2)*100</f>
        <v>0.11514104778353484</v>
      </c>
      <c r="W1326" s="178">
        <f>FME_Ranking1[[#This Row],[LWC Score (Normalized, Unweighted)]]*$U$3</f>
        <v>2.302820955670697E-2</v>
      </c>
      <c r="X1326" s="246">
        <f>_xlfn.XLOOKUP(FME_Ranking1[[#This Row],[FME ID]],FME_Input[FME_ID],FME_Input[ROADCLS])</f>
        <v>0</v>
      </c>
      <c r="Y1326" s="230">
        <f>(FME_Ranking1[[#This Row],[Closures Raw]]/$X$2)*100</f>
        <v>0</v>
      </c>
      <c r="Z1326" s="180">
        <f>FME_Ranking1[[#This Row],[Closures Score (Normalized, Unweighted)]]*$X$3</f>
        <v>0</v>
      </c>
      <c r="AA1326" s="253">
        <f>_xlfn.XLOOKUP(FME_Ranking1[[#This Row],[FME ID]],FME_Input[FME_ID],FME_Input[ROAD_MILES100])</f>
        <v>16.625947952270511</v>
      </c>
      <c r="AB1326" s="178">
        <f>(FME_Ranking1[[#This Row],[Miles Raw]]/$AA$2)*100</f>
        <v>0.21860139553477156</v>
      </c>
      <c r="AC1326" s="178">
        <f>FME_Ranking1[[#This Row],[Miles Score (Normalized, Unweighted)]]*$AA$3</f>
        <v>2.1860139553477157E-2</v>
      </c>
      <c r="AD1326" s="255">
        <f>_xlfn.XLOOKUP(FME_Ranking1[[#This Row],[FME ID]],FME_Input[FME_ID],FME_Input[FARMACRE100])</f>
        <v>1263.94580078125</v>
      </c>
      <c r="AE1326" s="230">
        <f>(FME_Ranking1[[#This Row],[Ag Land Raw]]/$AD$2)*100</f>
        <v>5.2119466766178298E-2</v>
      </c>
      <c r="AF1326" s="231">
        <f>FME_Ranking1[[#This Row],[Ag Land Score (Normalized, Unweighted)]]*$AD$3</f>
        <v>2.6059733383089149E-3</v>
      </c>
      <c r="AG132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6.1135878735311323E-2</v>
      </c>
      <c r="AH1326" s="406">
        <f t="shared" si="20"/>
        <v>1238</v>
      </c>
      <c r="AI132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6.1135878735311323E-2</v>
      </c>
      <c r="AJ1326" s="257">
        <f>FME_Ranking1[[#This Row],[Addition check]]-FME_Ranking1[[#This Row],[Weighted Score Based on Normalized Reported Factors]]</f>
        <v>0</v>
      </c>
      <c r="AK1326" s="178">
        <f>_xlfn.RANK.EQ(AI1326,$AI$6:$AI$2341,0)+COUNTIF($AI$6:AI1326,AI1326)-1</f>
        <v>1238</v>
      </c>
    </row>
    <row r="1327" spans="1:37" x14ac:dyDescent="0.25">
      <c r="A1327" t="s">
        <v>8268</v>
      </c>
      <c r="B1327">
        <f>_xlfn.XLOOKUP(FME_Ranking1[[#This Row],[FME ID]],FME_Input[FME_ID],FME_Input[RFPG_NUM])</f>
        <v>9</v>
      </c>
      <c r="C1327" t="str">
        <f>_xlfn.XLOOKUP(FME_Ranking1[[#This Row],[FME ID]],FME_Input[FME_ID],FME_Input[FME_NAME])</f>
        <v>Schleicher County FEMA Mapping</v>
      </c>
      <c r="D1327" t="str">
        <f>_xlfn.XLOOKUP(FME_Ranking1[[#This Row],[FME ID]],FME_Input[FME_ID],FME_Input[DESCR])</f>
        <v>Create FEMA Mapping in previously unmapped areas</v>
      </c>
      <c r="E1327" s="256">
        <f>_xlfn.XLOOKUP(FME_Ranking1[[#This Row],[FME ID]],FME_Input[FME_ID],FME_Input[FME_COST])</f>
        <v>1207000</v>
      </c>
      <c r="F1327" t="str">
        <f>_xlfn.XLOOKUP(FME_Ranking1[[#This Row],[FME ID]],FME_Input[FME_ID],FME_Input[EMER_NEED])</f>
        <v>No</v>
      </c>
      <c r="G1327">
        <f>IF(FME_Ranking!F1327="Yes",100,0)</f>
        <v>0</v>
      </c>
      <c r="H1327">
        <f>FME_Ranking1[[#This Row],[Emergency Need Score (Normalized, Unweighted)]]*$F$3</f>
        <v>0</v>
      </c>
      <c r="I1327" s="246">
        <f>_xlfn.XLOOKUP(FME_Ranking1[[#This Row],[FME ID]],FME_Input[FME_ID],FME_Input[STRUCT_100])</f>
        <v>99</v>
      </c>
      <c r="J1327" s="178">
        <f>(FME_Ranking1[[#This Row],[Structures 100 Raw]]/I$2)*100</f>
        <v>5.3013751445829579E-2</v>
      </c>
      <c r="K1327" s="178">
        <f>FME_Ranking1[[#This Row],[Structures 100  Score (Normalized, Unweighted)]]*$I$3</f>
        <v>7.9520627168744359E-3</v>
      </c>
      <c r="L1327" s="246">
        <f>_xlfn.XLOOKUP(FME_Ranking1[[#This Row],[FME ID]],FME_Input[FME_ID],FME_Input[RES_STRUCT100])</f>
        <v>40</v>
      </c>
      <c r="M1327" s="230">
        <f>(FME_Ranking1[[#This Row],[Res Structures Raw]]/L$2)*100</f>
        <v>2.8332223654573527E-2</v>
      </c>
      <c r="N1327" s="180">
        <f>FME_Ranking1[[#This Row],[Res Structures Score (Normalized, Unweighted)]]*$L$3</f>
        <v>2.833222365457353E-3</v>
      </c>
      <c r="O1327" s="244">
        <f>_xlfn.XLOOKUP(FME_Ranking1[[#This Row],[FME ID]],FME_Input[FME_ID],FME_Input[POP100])</f>
        <v>186</v>
      </c>
      <c r="P1327" s="178">
        <f>(FME_Ranking1[[#This Row],[Pop Raw]]/$O$2)*100</f>
        <v>1.9041808029909971E-2</v>
      </c>
      <c r="Q1327" s="178">
        <f>FME_Ranking1[[#This Row],[Pop Score (Normalized, Unweighted)]]*$O$3</f>
        <v>2.8562712044864955E-3</v>
      </c>
      <c r="R1327" s="137">
        <f>_xlfn.XLOOKUP(FME_Ranking1[[#This Row],[FME ID]],FME_Input[FME_ID],FME_Input[CRITFAC100])</f>
        <v>0</v>
      </c>
      <c r="S1327" s="230">
        <f>(FME_Ranking1[[#This Row],[Critical Facilities Raw]]/$R$2)*100</f>
        <v>0</v>
      </c>
      <c r="T1327" s="180">
        <f>FME_Ranking1[[#This Row],[Critical Facilities Score (Normalized, Unweighted)]]*$R$3</f>
        <v>0</v>
      </c>
      <c r="U1327">
        <f>_xlfn.XLOOKUP(FME_Ranking1[[#This Row],[FME ID]],FME_Input[FME_ID],FME_Input[LWC])</f>
        <v>2</v>
      </c>
      <c r="V1327" s="178">
        <f>(FME_Ranking1[[#This Row],[LWC Raw]]/$U$2)*100</f>
        <v>0.11514104778353484</v>
      </c>
      <c r="W1327" s="178">
        <f>FME_Ranking1[[#This Row],[LWC Score (Normalized, Unweighted)]]*$U$3</f>
        <v>2.302820955670697E-2</v>
      </c>
      <c r="X1327" s="246">
        <f>_xlfn.XLOOKUP(FME_Ranking1[[#This Row],[FME ID]],FME_Input[FME_ID],FME_Input[ROADCLS])</f>
        <v>0</v>
      </c>
      <c r="Y1327" s="230">
        <f>(FME_Ranking1[[#This Row],[Closures Raw]]/$X$2)*100</f>
        <v>0</v>
      </c>
      <c r="Z1327" s="180">
        <f>FME_Ranking1[[#This Row],[Closures Score (Normalized, Unweighted)]]*$X$3</f>
        <v>0</v>
      </c>
      <c r="AA1327" s="253">
        <f>_xlfn.XLOOKUP(FME_Ranking1[[#This Row],[FME ID]],FME_Input[FME_ID],FME_Input[ROAD_MILES100])</f>
        <v>16.625947952270511</v>
      </c>
      <c r="AB1327" s="178">
        <f>(FME_Ranking1[[#This Row],[Miles Raw]]/$AA$2)*100</f>
        <v>0.21860139553477156</v>
      </c>
      <c r="AC1327" s="178">
        <f>FME_Ranking1[[#This Row],[Miles Score (Normalized, Unweighted)]]*$AA$3</f>
        <v>2.1860139553477157E-2</v>
      </c>
      <c r="AD1327" s="255">
        <f>_xlfn.XLOOKUP(FME_Ranking1[[#This Row],[FME ID]],FME_Input[FME_ID],FME_Input[FARMACRE100])</f>
        <v>1263.94580078125</v>
      </c>
      <c r="AE1327" s="230">
        <f>(FME_Ranking1[[#This Row],[Ag Land Raw]]/$AD$2)*100</f>
        <v>5.2119466766178298E-2</v>
      </c>
      <c r="AF1327" s="231">
        <f>FME_Ranking1[[#This Row],[Ag Land Score (Normalized, Unweighted)]]*$AD$3</f>
        <v>2.6059733383089149E-3</v>
      </c>
      <c r="AG132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6.1135878735311323E-2</v>
      </c>
      <c r="AH1327" s="406">
        <f t="shared" si="20"/>
        <v>1238</v>
      </c>
      <c r="AI132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6.1135878735311323E-2</v>
      </c>
      <c r="AJ1327" s="257">
        <f>FME_Ranking1[[#This Row],[Addition check]]-FME_Ranking1[[#This Row],[Weighted Score Based on Normalized Reported Factors]]</f>
        <v>0</v>
      </c>
      <c r="AK1327" s="178">
        <f>_xlfn.RANK.EQ(AI1327,$AI$6:$AI$2341,0)+COUNTIF($AI$6:AI1327,AI1327)-1</f>
        <v>1239</v>
      </c>
    </row>
    <row r="1328" spans="1:37" x14ac:dyDescent="0.25">
      <c r="A1328" t="s">
        <v>8270</v>
      </c>
      <c r="B1328">
        <f>_xlfn.XLOOKUP(FME_Ranking1[[#This Row],[FME ID]],FME_Input[FME_ID],FME_Input[RFPG_NUM])</f>
        <v>9</v>
      </c>
      <c r="C1328" t="str">
        <f>_xlfn.XLOOKUP(FME_Ranking1[[#This Row],[FME ID]],FME_Input[FME_ID],FME_Input[FME_NAME])</f>
        <v>Schleicher County GIS Development</v>
      </c>
      <c r="D1328" t="str">
        <f>_xlfn.XLOOKUP(FME_Ranking1[[#This Row],[FME ID]],FME_Input[FME_ID],FME_Input[DESCR])</f>
        <v>Develop a GIS inventory of stormwater infrastructure</v>
      </c>
      <c r="E1328" s="256">
        <f>_xlfn.XLOOKUP(FME_Ranking1[[#This Row],[FME ID]],FME_Input[FME_ID],FME_Input[FME_COST])</f>
        <v>100000</v>
      </c>
      <c r="F1328" t="str">
        <f>_xlfn.XLOOKUP(FME_Ranking1[[#This Row],[FME ID]],FME_Input[FME_ID],FME_Input[EMER_NEED])</f>
        <v>No</v>
      </c>
      <c r="G1328">
        <f>IF(FME_Ranking!F1328="Yes",100,0)</f>
        <v>0</v>
      </c>
      <c r="H1328">
        <f>FME_Ranking1[[#This Row],[Emergency Need Score (Normalized, Unweighted)]]*$F$3</f>
        <v>0</v>
      </c>
      <c r="I1328" s="246">
        <f>_xlfn.XLOOKUP(FME_Ranking1[[#This Row],[FME ID]],FME_Input[FME_ID],FME_Input[STRUCT_100])</f>
        <v>99</v>
      </c>
      <c r="J1328" s="178">
        <f>(FME_Ranking1[[#This Row],[Structures 100 Raw]]/I$2)*100</f>
        <v>5.3013751445829579E-2</v>
      </c>
      <c r="K1328" s="178">
        <f>FME_Ranking1[[#This Row],[Structures 100  Score (Normalized, Unweighted)]]*$I$3</f>
        <v>7.9520627168744359E-3</v>
      </c>
      <c r="L1328" s="246">
        <f>_xlfn.XLOOKUP(FME_Ranking1[[#This Row],[FME ID]],FME_Input[FME_ID],FME_Input[RES_STRUCT100])</f>
        <v>40</v>
      </c>
      <c r="M1328" s="230">
        <f>(FME_Ranking1[[#This Row],[Res Structures Raw]]/L$2)*100</f>
        <v>2.8332223654573527E-2</v>
      </c>
      <c r="N1328" s="180">
        <f>FME_Ranking1[[#This Row],[Res Structures Score (Normalized, Unweighted)]]*$L$3</f>
        <v>2.833222365457353E-3</v>
      </c>
      <c r="O1328" s="244">
        <f>_xlfn.XLOOKUP(FME_Ranking1[[#This Row],[FME ID]],FME_Input[FME_ID],FME_Input[POP100])</f>
        <v>186</v>
      </c>
      <c r="P1328" s="178">
        <f>(FME_Ranking1[[#This Row],[Pop Raw]]/$O$2)*100</f>
        <v>1.9041808029909971E-2</v>
      </c>
      <c r="Q1328" s="178">
        <f>FME_Ranking1[[#This Row],[Pop Score (Normalized, Unweighted)]]*$O$3</f>
        <v>2.8562712044864955E-3</v>
      </c>
      <c r="R1328" s="137">
        <f>_xlfn.XLOOKUP(FME_Ranking1[[#This Row],[FME ID]],FME_Input[FME_ID],FME_Input[CRITFAC100])</f>
        <v>0</v>
      </c>
      <c r="S1328" s="230">
        <f>(FME_Ranking1[[#This Row],[Critical Facilities Raw]]/$R$2)*100</f>
        <v>0</v>
      </c>
      <c r="T1328" s="180">
        <f>FME_Ranking1[[#This Row],[Critical Facilities Score (Normalized, Unweighted)]]*$R$3</f>
        <v>0</v>
      </c>
      <c r="U1328">
        <f>_xlfn.XLOOKUP(FME_Ranking1[[#This Row],[FME ID]],FME_Input[FME_ID],FME_Input[LWC])</f>
        <v>2</v>
      </c>
      <c r="V1328" s="178">
        <f>(FME_Ranking1[[#This Row],[LWC Raw]]/$U$2)*100</f>
        <v>0.11514104778353484</v>
      </c>
      <c r="W1328" s="178">
        <f>FME_Ranking1[[#This Row],[LWC Score (Normalized, Unweighted)]]*$U$3</f>
        <v>2.302820955670697E-2</v>
      </c>
      <c r="X1328" s="246">
        <f>_xlfn.XLOOKUP(FME_Ranking1[[#This Row],[FME ID]],FME_Input[FME_ID],FME_Input[ROADCLS])</f>
        <v>0</v>
      </c>
      <c r="Y1328" s="230">
        <f>(FME_Ranking1[[#This Row],[Closures Raw]]/$X$2)*100</f>
        <v>0</v>
      </c>
      <c r="Z1328" s="180">
        <f>FME_Ranking1[[#This Row],[Closures Score (Normalized, Unweighted)]]*$X$3</f>
        <v>0</v>
      </c>
      <c r="AA1328" s="253">
        <f>_xlfn.XLOOKUP(FME_Ranking1[[#This Row],[FME ID]],FME_Input[FME_ID],FME_Input[ROAD_MILES100])</f>
        <v>16.625947952270511</v>
      </c>
      <c r="AB1328" s="178">
        <f>(FME_Ranking1[[#This Row],[Miles Raw]]/$AA$2)*100</f>
        <v>0.21860139553477156</v>
      </c>
      <c r="AC1328" s="178">
        <f>FME_Ranking1[[#This Row],[Miles Score (Normalized, Unweighted)]]*$AA$3</f>
        <v>2.1860139553477157E-2</v>
      </c>
      <c r="AD1328" s="255">
        <f>_xlfn.XLOOKUP(FME_Ranking1[[#This Row],[FME ID]],FME_Input[FME_ID],FME_Input[FARMACRE100])</f>
        <v>1263.94580078125</v>
      </c>
      <c r="AE1328" s="230">
        <f>(FME_Ranking1[[#This Row],[Ag Land Raw]]/$AD$2)*100</f>
        <v>5.2119466766178298E-2</v>
      </c>
      <c r="AF1328" s="231">
        <f>FME_Ranking1[[#This Row],[Ag Land Score (Normalized, Unweighted)]]*$AD$3</f>
        <v>2.6059733383089149E-3</v>
      </c>
      <c r="AG132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6.1135878735311323E-2</v>
      </c>
      <c r="AH1328" s="406">
        <f t="shared" si="20"/>
        <v>1238</v>
      </c>
      <c r="AI132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6.1135878735311323E-2</v>
      </c>
      <c r="AJ1328" s="257">
        <f>FME_Ranking1[[#This Row],[Addition check]]-FME_Ranking1[[#This Row],[Weighted Score Based on Normalized Reported Factors]]</f>
        <v>0</v>
      </c>
      <c r="AK1328" s="178">
        <f>_xlfn.RANK.EQ(AI1328,$AI$6:$AI$2341,0)+COUNTIF($AI$6:AI1328,AI1328)-1</f>
        <v>1240</v>
      </c>
    </row>
    <row r="1329" spans="1:37" x14ac:dyDescent="0.25">
      <c r="A1329" t="s">
        <v>9664</v>
      </c>
      <c r="B1329">
        <f>_xlfn.XLOOKUP(FME_Ranking1[[#This Row],[FME ID]],FME_Input[FME_ID],FME_Input[RFPG_NUM])</f>
        <v>12</v>
      </c>
      <c r="C1329" t="str">
        <f>_xlfn.XLOOKUP(FME_Ranking1[[#This Row],[FME ID]],FME_Input[FME_ID],FME_Input[FME_NAME])</f>
        <v>New Drainage Analysis to Update/Revise Flood Maps</v>
      </c>
      <c r="D1329" t="str">
        <f>_xlfn.XLOOKUP(FME_Ranking1[[#This Row],[FME ID]],FME_Input[FME_ID],FME_Input[DESCR])</f>
        <v>This action proposes performing a new drainage analysis for the community to update/revise Flood Maps to better identify areas subject to this Hazard; last study completed in September 1977.</v>
      </c>
      <c r="E1329" s="256">
        <f>_xlfn.XLOOKUP(FME_Ranking1[[#This Row],[FME ID]],FME_Input[FME_ID],FME_Input[FME_COST])</f>
        <v>100000</v>
      </c>
      <c r="F1329" t="str">
        <f>_xlfn.XLOOKUP(FME_Ranking1[[#This Row],[FME ID]],FME_Input[FME_ID],FME_Input[EMER_NEED])</f>
        <v>Yes</v>
      </c>
      <c r="G1329">
        <f>IF(FME_Ranking!F1329="Yes",100,0)</f>
        <v>100</v>
      </c>
      <c r="H1329">
        <f>FME_Ranking1[[#This Row],[Emergency Need Score (Normalized, Unweighted)]]*$F$3</f>
        <v>0</v>
      </c>
      <c r="I1329" s="246">
        <f>_xlfn.XLOOKUP(FME_Ranking1[[#This Row],[FME ID]],FME_Input[FME_ID],FME_Input[STRUCT_100])</f>
        <v>170</v>
      </c>
      <c r="J1329" s="178">
        <f>(FME_Ranking1[[#This Row],[Structures 100 Raw]]/I$2)*100</f>
        <v>9.1033714603949781E-2</v>
      </c>
      <c r="K1329" s="178">
        <f>FME_Ranking1[[#This Row],[Structures 100  Score (Normalized, Unweighted)]]*$I$3</f>
        <v>1.3655057190592467E-2</v>
      </c>
      <c r="L1329" s="246">
        <f>_xlfn.XLOOKUP(FME_Ranking1[[#This Row],[FME ID]],FME_Input[FME_ID],FME_Input[RES_STRUCT100])</f>
        <v>133</v>
      </c>
      <c r="M1329" s="230">
        <f>(FME_Ranking1[[#This Row],[Res Structures Raw]]/L$2)*100</f>
        <v>9.4204643651456976E-2</v>
      </c>
      <c r="N1329" s="180">
        <f>FME_Ranking1[[#This Row],[Res Structures Score (Normalized, Unweighted)]]*$L$3</f>
        <v>9.4204643651456983E-3</v>
      </c>
      <c r="O1329" s="244">
        <f>_xlfn.XLOOKUP(FME_Ranking1[[#This Row],[FME ID]],FME_Input[FME_ID],FME_Input[POP100])</f>
        <v>263</v>
      </c>
      <c r="P1329" s="178">
        <f>(FME_Ranking1[[#This Row],[Pop Raw]]/$O$2)*100</f>
        <v>2.6924707053044745E-2</v>
      </c>
      <c r="Q1329" s="178">
        <f>FME_Ranking1[[#This Row],[Pop Score (Normalized, Unweighted)]]*$O$3</f>
        <v>4.0387060579567119E-3</v>
      </c>
      <c r="R1329" s="137">
        <f>_xlfn.XLOOKUP(FME_Ranking1[[#This Row],[FME ID]],FME_Input[FME_ID],FME_Input[CRITFAC100])</f>
        <v>0</v>
      </c>
      <c r="S1329" s="230">
        <f>(FME_Ranking1[[#This Row],[Critical Facilities Raw]]/$R$2)*100</f>
        <v>0</v>
      </c>
      <c r="T1329" s="180">
        <f>FME_Ranking1[[#This Row],[Critical Facilities Score (Normalized, Unweighted)]]*$R$3</f>
        <v>0</v>
      </c>
      <c r="U1329">
        <f>_xlfn.XLOOKUP(FME_Ranking1[[#This Row],[FME ID]],FME_Input[FME_ID],FME_Input[LWC])</f>
        <v>0</v>
      </c>
      <c r="V1329" s="178">
        <f>(FME_Ranking1[[#This Row],[LWC Raw]]/$U$2)*100</f>
        <v>0</v>
      </c>
      <c r="W1329" s="178">
        <f>FME_Ranking1[[#This Row],[LWC Score (Normalized, Unweighted)]]*$U$3</f>
        <v>0</v>
      </c>
      <c r="X1329" s="246">
        <f>_xlfn.XLOOKUP(FME_Ranking1[[#This Row],[FME ID]],FME_Input[FME_ID],FME_Input[ROADCLS])</f>
        <v>23</v>
      </c>
      <c r="Y1329" s="230">
        <f>(FME_Ranking1[[#This Row],[Closures Raw]]/$X$2)*100</f>
        <v>0.24182525496793186</v>
      </c>
      <c r="Z1329" s="180">
        <f>FME_Ranking1[[#This Row],[Closures Score (Normalized, Unweighted)]]*$X$3</f>
        <v>1.2091262748396593E-2</v>
      </c>
      <c r="AA1329" s="253">
        <f>_xlfn.XLOOKUP(FME_Ranking1[[#This Row],[FME ID]],FME_Input[FME_ID],FME_Input[ROAD_MILES100])</f>
        <v>4.2199997901916504</v>
      </c>
      <c r="AB1329" s="178">
        <f>(FME_Ranking1[[#This Row],[Miles Raw]]/$AA$2)*100</f>
        <v>5.5485428316065295E-2</v>
      </c>
      <c r="AC1329" s="178">
        <f>FME_Ranking1[[#This Row],[Miles Score (Normalized, Unweighted)]]*$AA$3</f>
        <v>5.5485428316065302E-3</v>
      </c>
      <c r="AD1329" s="255">
        <f>_xlfn.XLOOKUP(FME_Ranking1[[#This Row],[FME ID]],FME_Input[FME_ID],FME_Input[FARMACRE100])</f>
        <v>1.400189995765686</v>
      </c>
      <c r="AE1329" s="230">
        <f>(FME_Ranking1[[#This Row],[Ag Land Raw]]/$AD$2)*100</f>
        <v>5.7737567469694925E-5</v>
      </c>
      <c r="AF1329" s="231">
        <f>FME_Ranking1[[#This Row],[Ag Land Score (Normalized, Unweighted)]]*$AD$3</f>
        <v>2.8868783734847464E-6</v>
      </c>
      <c r="AG132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4.4756920072071486E-2</v>
      </c>
      <c r="AH1329" s="406">
        <f t="shared" si="20"/>
        <v>1343</v>
      </c>
      <c r="AI132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4.4756920072071486E-2</v>
      </c>
      <c r="AJ1329" s="257">
        <f>FME_Ranking1[[#This Row],[Addition check]]-FME_Ranking1[[#This Row],[Weighted Score Based on Normalized Reported Factors]]</f>
        <v>0</v>
      </c>
      <c r="AK1329" s="178">
        <f>_xlfn.RANK.EQ(AI1329,$AI$6:$AI$2341,0)+COUNTIF($AI$6:AI1329,AI1329)-1</f>
        <v>1343</v>
      </c>
    </row>
    <row r="1330" spans="1:37" x14ac:dyDescent="0.25">
      <c r="A1330" t="s">
        <v>9843</v>
      </c>
      <c r="B1330">
        <f>_xlfn.XLOOKUP(FME_Ranking1[[#This Row],[FME ID]],FME_Input[FME_ID],FME_Input[RFPG_NUM])</f>
        <v>12</v>
      </c>
      <c r="C1330" t="str">
        <f>_xlfn.XLOOKUP(FME_Ranking1[[#This Row],[FME ID]],FME_Input[FME_ID],FME_Input[FME_NAME])</f>
        <v>Repetitive loss properties</v>
      </c>
      <c r="D1330" t="str">
        <f>_xlfn.XLOOKUP(FME_Ranking1[[#This Row],[FME ID]],FME_Input[FME_ID],FME_Input[DESCR])</f>
        <v>Offer relocation/mitigation incentives to current flood hazard area property owners; initiate a community program to acquire repetitive loss structures identified by FEMA.</v>
      </c>
      <c r="E1330" s="256">
        <f>_xlfn.XLOOKUP(FME_Ranking1[[#This Row],[FME ID]],FME_Input[FME_ID],FME_Input[FME_COST])</f>
        <v>150000</v>
      </c>
      <c r="F1330" t="str">
        <f>_xlfn.XLOOKUP(FME_Ranking1[[#This Row],[FME ID]],FME_Input[FME_ID],FME_Input[EMER_NEED])</f>
        <v>Yes</v>
      </c>
      <c r="G1330">
        <f>IF(FME_Ranking!F1330="Yes",100,0)</f>
        <v>100</v>
      </c>
      <c r="H1330">
        <f>FME_Ranking1[[#This Row],[Emergency Need Score (Normalized, Unweighted)]]*$F$3</f>
        <v>0</v>
      </c>
      <c r="I1330" s="246">
        <f>_xlfn.XLOOKUP(FME_Ranking1[[#This Row],[FME ID]],FME_Input[FME_ID],FME_Input[STRUCT_100])</f>
        <v>153</v>
      </c>
      <c r="J1330" s="178">
        <f>(FME_Ranking1[[#This Row],[Structures 100 Raw]]/I$2)*100</f>
        <v>8.193034314355481E-2</v>
      </c>
      <c r="K1330" s="178">
        <f>FME_Ranking1[[#This Row],[Structures 100  Score (Normalized, Unweighted)]]*$I$3</f>
        <v>1.2289551471533221E-2</v>
      </c>
      <c r="L1330" s="246">
        <f>_xlfn.XLOOKUP(FME_Ranking1[[#This Row],[FME ID]],FME_Input[FME_ID],FME_Input[RES_STRUCT100])</f>
        <v>101</v>
      </c>
      <c r="M1330" s="230">
        <f>(FME_Ranking1[[#This Row],[Res Structures Raw]]/L$2)*100</f>
        <v>7.1538864727798163E-2</v>
      </c>
      <c r="N1330" s="180">
        <f>FME_Ranking1[[#This Row],[Res Structures Score (Normalized, Unweighted)]]*$L$3</f>
        <v>7.153886472779817E-3</v>
      </c>
      <c r="O1330" s="244">
        <f>_xlfn.XLOOKUP(FME_Ranking1[[#This Row],[FME ID]],FME_Input[FME_ID],FME_Input[POP100])</f>
        <v>568</v>
      </c>
      <c r="P1330" s="178">
        <f>(FME_Ranking1[[#This Row],[Pop Raw]]/$O$2)*100</f>
        <v>5.8149177209617549E-2</v>
      </c>
      <c r="Q1330" s="178">
        <f>FME_Ranking1[[#This Row],[Pop Score (Normalized, Unweighted)]]*$O$3</f>
        <v>8.7223765814426323E-3</v>
      </c>
      <c r="R1330" s="137">
        <f>_xlfn.XLOOKUP(FME_Ranking1[[#This Row],[FME ID]],FME_Input[FME_ID],FME_Input[CRITFAC100])</f>
        <v>0</v>
      </c>
      <c r="S1330" s="230">
        <f>(FME_Ranking1[[#This Row],[Critical Facilities Raw]]/$R$2)*100</f>
        <v>0</v>
      </c>
      <c r="T1330" s="180">
        <f>FME_Ranking1[[#This Row],[Critical Facilities Score (Normalized, Unweighted)]]*$R$3</f>
        <v>0</v>
      </c>
      <c r="U1330">
        <f>_xlfn.XLOOKUP(FME_Ranking1[[#This Row],[FME ID]],FME_Input[FME_ID],FME_Input[LWC])</f>
        <v>0</v>
      </c>
      <c r="V1330" s="178">
        <f>(FME_Ranking1[[#This Row],[LWC Raw]]/$U$2)*100</f>
        <v>0</v>
      </c>
      <c r="W1330" s="178">
        <f>FME_Ranking1[[#This Row],[LWC Score (Normalized, Unweighted)]]*$U$3</f>
        <v>0</v>
      </c>
      <c r="X1330" s="246">
        <f>_xlfn.XLOOKUP(FME_Ranking1[[#This Row],[FME ID]],FME_Input[FME_ID],FME_Input[ROADCLS])</f>
        <v>20</v>
      </c>
      <c r="Y1330" s="230">
        <f>(FME_Ranking1[[#This Row],[Closures Raw]]/$X$2)*100</f>
        <v>0.2102828304068973</v>
      </c>
      <c r="Z1330" s="180">
        <f>FME_Ranking1[[#This Row],[Closures Score (Normalized, Unweighted)]]*$X$3</f>
        <v>1.0514141520344866E-2</v>
      </c>
      <c r="AA1330" s="253">
        <f>_xlfn.XLOOKUP(FME_Ranking1[[#This Row],[FME ID]],FME_Input[FME_ID],FME_Input[ROAD_MILES100])</f>
        <v>3.6400001049041748</v>
      </c>
      <c r="AB1330" s="178">
        <f>(FME_Ranking1[[#This Row],[Miles Raw]]/$AA$2)*100</f>
        <v>4.7859472732807516E-2</v>
      </c>
      <c r="AC1330" s="178">
        <f>FME_Ranking1[[#This Row],[Miles Score (Normalized, Unweighted)]]*$AA$3</f>
        <v>4.7859472732807518E-3</v>
      </c>
      <c r="AD1330" s="255">
        <f>_xlfn.XLOOKUP(FME_Ranking1[[#This Row],[FME ID]],FME_Input[FME_ID],FME_Input[FARMACRE100])</f>
        <v>63.259998321533203</v>
      </c>
      <c r="AE1330" s="230">
        <f>(FME_Ranking1[[#This Row],[Ag Land Raw]]/$AD$2)*100</f>
        <v>2.6085591471641488E-3</v>
      </c>
      <c r="AF1330" s="231">
        <f>FME_Ranking1[[#This Row],[Ag Land Score (Normalized, Unweighted)]]*$AD$3</f>
        <v>1.3042795735820746E-4</v>
      </c>
      <c r="AG133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4.3596331276739501E-2</v>
      </c>
      <c r="AH1330" s="406">
        <f t="shared" si="20"/>
        <v>1347</v>
      </c>
      <c r="AI133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4.3596331276739501E-2</v>
      </c>
      <c r="AJ1330" s="257">
        <f>FME_Ranking1[[#This Row],[Addition check]]-FME_Ranking1[[#This Row],[Weighted Score Based on Normalized Reported Factors]]</f>
        <v>0</v>
      </c>
      <c r="AK1330" s="178">
        <f>_xlfn.RANK.EQ(AI1330,$AI$6:$AI$2341,0)+COUNTIF($AI$6:AI1330,AI1330)-1</f>
        <v>1347</v>
      </c>
    </row>
    <row r="1331" spans="1:37" x14ac:dyDescent="0.25">
      <c r="A1331" t="s">
        <v>8468</v>
      </c>
      <c r="B1331">
        <f>_xlfn.XLOOKUP(FME_Ranking1[[#This Row],[FME ID]],FME_Input[FME_ID],FME_Input[RFPG_NUM])</f>
        <v>10</v>
      </c>
      <c r="C1331" t="str">
        <f>_xlfn.XLOOKUP(FME_Ranking1[[#This Row],[FME ID]],FME_Input[FME_ID],FME_Input[FME_NAME])</f>
        <v>Dalton Lane Crossing Improvements Project Planning</v>
      </c>
      <c r="D1331" t="str">
        <f>_xlfn.XLOOKUP(FME_Ranking1[[#This Row],[FME ID]],FME_Input[FME_ID],FME_Input[DESCR])</f>
        <v>Project planning for project to upgrade the two low water crossings to improve public safety and reduce road closures during small, frequent storm events. Develop technical data required for FMP.</v>
      </c>
      <c r="E1331" s="256">
        <f>_xlfn.XLOOKUP(FME_Ranking1[[#This Row],[FME ID]],FME_Input[FME_ID],FME_Input[FME_COST])</f>
        <v>1950000</v>
      </c>
      <c r="F1331" t="str">
        <f>_xlfn.XLOOKUP(FME_Ranking1[[#This Row],[FME ID]],FME_Input[FME_ID],FME_Input[EMER_NEED])</f>
        <v>No</v>
      </c>
      <c r="G1331">
        <f>IF(FME_Ranking!F1331="Yes",100,0)</f>
        <v>0</v>
      </c>
      <c r="H1331">
        <f>FME_Ranking1[[#This Row],[Emergency Need Score (Normalized, Unweighted)]]*$F$3</f>
        <v>0</v>
      </c>
      <c r="I1331" s="246">
        <f>_xlfn.XLOOKUP(FME_Ranking1[[#This Row],[FME ID]],FME_Input[FME_ID],FME_Input[STRUCT_100])</f>
        <v>31</v>
      </c>
      <c r="J1331" s="178">
        <f>(FME_Ranking1[[#This Row],[Structures 100 Raw]]/I$2)*100</f>
        <v>1.6600265604249667E-2</v>
      </c>
      <c r="K1331" s="178">
        <f>FME_Ranking1[[#This Row],[Structures 100  Score (Normalized, Unweighted)]]*$I$3</f>
        <v>2.4900398406374502E-3</v>
      </c>
      <c r="L1331" s="246">
        <f>_xlfn.XLOOKUP(FME_Ranking1[[#This Row],[FME ID]],FME_Input[FME_ID],FME_Input[RES_STRUCT100])</f>
        <v>12</v>
      </c>
      <c r="M1331" s="230">
        <f>(FME_Ranking1[[#This Row],[Res Structures Raw]]/L$2)*100</f>
        <v>8.4996670963720586E-3</v>
      </c>
      <c r="N1331" s="180">
        <f>FME_Ranking1[[#This Row],[Res Structures Score (Normalized, Unweighted)]]*$L$3</f>
        <v>8.4996670963720595E-4</v>
      </c>
      <c r="O1331" s="244">
        <f>_xlfn.XLOOKUP(FME_Ranking1[[#This Row],[FME ID]],FME_Input[FME_ID],FME_Input[POP100])</f>
        <v>39</v>
      </c>
      <c r="P1331" s="178">
        <f>(FME_Ranking1[[#This Row],[Pop Raw]]/$O$2)*100</f>
        <v>3.9926371675617685E-3</v>
      </c>
      <c r="Q1331" s="178">
        <f>FME_Ranking1[[#This Row],[Pop Score (Normalized, Unweighted)]]*$O$3</f>
        <v>5.988955751342653E-4</v>
      </c>
      <c r="R1331" s="137">
        <f>_xlfn.XLOOKUP(FME_Ranking1[[#This Row],[FME ID]],FME_Input[FME_ID],FME_Input[CRITFAC100])</f>
        <v>0</v>
      </c>
      <c r="S1331" s="230">
        <f>(FME_Ranking1[[#This Row],[Critical Facilities Raw]]/$R$2)*100</f>
        <v>0</v>
      </c>
      <c r="T1331" s="180">
        <f>FME_Ranking1[[#This Row],[Critical Facilities Score (Normalized, Unweighted)]]*$R$3</f>
        <v>0</v>
      </c>
      <c r="U1331">
        <f>_xlfn.XLOOKUP(FME_Ranking1[[#This Row],[FME ID]],FME_Input[FME_ID],FME_Input[LWC])</f>
        <v>3</v>
      </c>
      <c r="V1331" s="178">
        <f>(FME_Ranking1[[#This Row],[LWC Raw]]/$U$2)*100</f>
        <v>0.17271157167530224</v>
      </c>
      <c r="W1331" s="178">
        <f>FME_Ranking1[[#This Row],[LWC Score (Normalized, Unweighted)]]*$U$3</f>
        <v>3.4542314335060449E-2</v>
      </c>
      <c r="X1331" s="246">
        <f>_xlfn.XLOOKUP(FME_Ranking1[[#This Row],[FME ID]],FME_Input[FME_ID],FME_Input[ROADCLS])</f>
        <v>0</v>
      </c>
      <c r="Y1331" s="230">
        <f>(FME_Ranking1[[#This Row],[Closures Raw]]/$X$2)*100</f>
        <v>0</v>
      </c>
      <c r="Z1331" s="180">
        <f>FME_Ranking1[[#This Row],[Closures Score (Normalized, Unweighted)]]*$X$3</f>
        <v>0</v>
      </c>
      <c r="AA1331" s="253">
        <f>_xlfn.XLOOKUP(FME_Ranking1[[#This Row],[FME ID]],FME_Input[FME_ID],FME_Input[ROAD_MILES100])</f>
        <v>3.1300592422485352</v>
      </c>
      <c r="AB1331" s="178">
        <f>(FME_Ranking1[[#This Row],[Miles Raw]]/$AA$2)*100</f>
        <v>4.115466501076092E-2</v>
      </c>
      <c r="AC1331" s="178">
        <f>FME_Ranking1[[#This Row],[Miles Score (Normalized, Unweighted)]]*$AA$3</f>
        <v>4.115466501076092E-3</v>
      </c>
      <c r="AD1331" s="255">
        <f>_xlfn.XLOOKUP(FME_Ranking1[[#This Row],[FME ID]],FME_Input[FME_ID],FME_Input[FARMACRE100])</f>
        <v>72.693153381347656</v>
      </c>
      <c r="AE1331" s="230">
        <f>(FME_Ranking1[[#This Row],[Ag Land Raw]]/$AD$2)*100</f>
        <v>2.9975402342774684E-3</v>
      </c>
      <c r="AF1331" s="231">
        <f>FME_Ranking1[[#This Row],[Ag Land Score (Normalized, Unweighted)]]*$AD$3</f>
        <v>1.4987701171387344E-4</v>
      </c>
      <c r="AG133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4.2746559973259338E-2</v>
      </c>
      <c r="AH1331" s="406">
        <f t="shared" si="20"/>
        <v>1359</v>
      </c>
      <c r="AI133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4.2746559973259338E-2</v>
      </c>
      <c r="AJ1331" s="257">
        <f>FME_Ranking1[[#This Row],[Addition check]]-FME_Ranking1[[#This Row],[Weighted Score Based on Normalized Reported Factors]]</f>
        <v>0</v>
      </c>
      <c r="AK1331" s="178">
        <f>_xlfn.RANK.EQ(AI1331,$AI$6:$AI$2341,0)+COUNTIF($AI$6:AI1331,AI1331)-1</f>
        <v>1359</v>
      </c>
    </row>
    <row r="1332" spans="1:37" x14ac:dyDescent="0.25">
      <c r="A1332" t="s">
        <v>1875</v>
      </c>
      <c r="B1332">
        <f>_xlfn.XLOOKUP(FME_Ranking1[[#This Row],[FME ID]],FME_Input[FME_ID],FME_Input[RFPG_NUM])</f>
        <v>6</v>
      </c>
      <c r="C1332" t="str">
        <f>_xlfn.XLOOKUP(FME_Ranking1[[#This Row],[FME ID]],FME_Input[FME_ID],FME_Input[FME_NAME])</f>
        <v>Barker Reservoir Flood Risk Reduction and Park Project</v>
      </c>
      <c r="D1332" t="str">
        <f>_xlfn.XLOOKUP(FME_Ranking1[[#This Row],[FME ID]],FME_Input[FME_ID],FME_Input[DESCR])</f>
        <v>Study to further the proposed project.  FIF application information unavailable.</v>
      </c>
      <c r="E1332" s="256">
        <f>_xlfn.XLOOKUP(FME_Ranking1[[#This Row],[FME ID]],FME_Input[FME_ID],FME_Input[FME_COST])</f>
        <v>30000</v>
      </c>
      <c r="F1332" t="str">
        <f>_xlfn.XLOOKUP(FME_Ranking1[[#This Row],[FME ID]],FME_Input[FME_ID],FME_Input[EMER_NEED])</f>
        <v>No</v>
      </c>
      <c r="G1332">
        <f>IF(FME_Ranking!F1332="Yes",100,0)</f>
        <v>0</v>
      </c>
      <c r="H1332">
        <f>FME_Ranking1[[#This Row],[Emergency Need Score (Normalized, Unweighted)]]*$F$3</f>
        <v>0</v>
      </c>
      <c r="I1332" s="246">
        <f>_xlfn.XLOOKUP(FME_Ranking1[[#This Row],[FME ID]],FME_Input[FME_ID],FME_Input[STRUCT_100])</f>
        <v>115</v>
      </c>
      <c r="J1332" s="178">
        <f>(FME_Ranking1[[#This Row],[Structures 100 Raw]]/I$2)*100</f>
        <v>6.1581630467377801E-2</v>
      </c>
      <c r="K1332" s="178">
        <f>FME_Ranking1[[#This Row],[Structures 100  Score (Normalized, Unweighted)]]*$I$3</f>
        <v>9.2372445701066706E-3</v>
      </c>
      <c r="L1332" s="246">
        <f>_xlfn.XLOOKUP(FME_Ranking1[[#This Row],[FME ID]],FME_Input[FME_ID],FME_Input[RES_STRUCT100])</f>
        <v>105</v>
      </c>
      <c r="M1332" s="230">
        <f>(FME_Ranking1[[#This Row],[Res Structures Raw]]/L$2)*100</f>
        <v>7.4372087093255518E-2</v>
      </c>
      <c r="N1332" s="180">
        <f>FME_Ranking1[[#This Row],[Res Structures Score (Normalized, Unweighted)]]*$L$3</f>
        <v>7.4372087093255521E-3</v>
      </c>
      <c r="O1332" s="244">
        <f>_xlfn.XLOOKUP(FME_Ranking1[[#This Row],[FME ID]],FME_Input[FME_ID],FME_Input[POP100])</f>
        <v>306</v>
      </c>
      <c r="P1332" s="178">
        <f>(FME_Ranking1[[#This Row],[Pop Raw]]/$O$2)*100</f>
        <v>3.1326845468561564E-2</v>
      </c>
      <c r="Q1332" s="178">
        <f>FME_Ranking1[[#This Row],[Pop Score (Normalized, Unweighted)]]*$O$3</f>
        <v>4.699026820284234E-3</v>
      </c>
      <c r="R1332" s="137">
        <f>_xlfn.XLOOKUP(FME_Ranking1[[#This Row],[FME ID]],FME_Input[FME_ID],FME_Input[CRITFAC100])</f>
        <v>2</v>
      </c>
      <c r="S1332" s="230">
        <f>(FME_Ranking1[[#This Row],[Critical Facilities Raw]]/$R$2)*100</f>
        <v>8.5763293310463118E-2</v>
      </c>
      <c r="T1332" s="180">
        <f>FME_Ranking1[[#This Row],[Critical Facilities Score (Normalized, Unweighted)]]*$R$3</f>
        <v>1.7152658662092625E-2</v>
      </c>
      <c r="U1332">
        <f>_xlfn.XLOOKUP(FME_Ranking1[[#This Row],[FME ID]],FME_Input[FME_ID],FME_Input[LWC])</f>
        <v>0</v>
      </c>
      <c r="V1332" s="178">
        <f>(FME_Ranking1[[#This Row],[LWC Raw]]/$U$2)*100</f>
        <v>0</v>
      </c>
      <c r="W1332" s="178">
        <f>FME_Ranking1[[#This Row],[LWC Score (Normalized, Unweighted)]]*$U$3</f>
        <v>0</v>
      </c>
      <c r="X1332" s="246">
        <f>_xlfn.XLOOKUP(FME_Ranking1[[#This Row],[FME ID]],FME_Input[FME_ID],FME_Input[ROADCLS])</f>
        <v>0</v>
      </c>
      <c r="Y1332" s="230">
        <f>(FME_Ranking1[[#This Row],[Closures Raw]]/$X$2)*100</f>
        <v>0</v>
      </c>
      <c r="Z1332" s="180">
        <f>FME_Ranking1[[#This Row],[Closures Score (Normalized, Unweighted)]]*$X$3</f>
        <v>0</v>
      </c>
      <c r="AA1332" s="253">
        <f>_xlfn.XLOOKUP(FME_Ranking1[[#This Row],[FME ID]],FME_Input[FME_ID],FME_Input[ROAD_MILES100])</f>
        <v>1.407488226890564</v>
      </c>
      <c r="AB1332" s="178">
        <f>(FME_Ranking1[[#This Row],[Miles Raw]]/$AA$2)*100</f>
        <v>1.8505945734963072E-2</v>
      </c>
      <c r="AC1332" s="178">
        <f>FME_Ranking1[[#This Row],[Miles Score (Normalized, Unweighted)]]*$AA$3</f>
        <v>1.8505945734963074E-3</v>
      </c>
      <c r="AD1332" s="255">
        <f>_xlfn.XLOOKUP(FME_Ranking1[[#This Row],[FME ID]],FME_Input[FME_ID],FME_Input[FARMACRE100])</f>
        <v>20.454355239868161</v>
      </c>
      <c r="AE1332" s="230">
        <f>(FME_Ranking1[[#This Row],[Ag Land Raw]]/$AD$2)*100</f>
        <v>8.434460460954665E-4</v>
      </c>
      <c r="AF1332" s="231">
        <f>FME_Ranking1[[#This Row],[Ag Land Score (Normalized, Unweighted)]]*$AD$3</f>
        <v>4.2172302304773325E-5</v>
      </c>
      <c r="AG133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4.0418905637610164E-2</v>
      </c>
      <c r="AH1332" s="406">
        <f t="shared" si="20"/>
        <v>1388</v>
      </c>
      <c r="AI133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4.0418905637610164E-2</v>
      </c>
      <c r="AJ1332" s="257">
        <f>FME_Ranking1[[#This Row],[Addition check]]-FME_Ranking1[[#This Row],[Weighted Score Based on Normalized Reported Factors]]</f>
        <v>0</v>
      </c>
      <c r="AK1332" s="178">
        <f>_xlfn.RANK.EQ(AI1332,$AI$6:$AI$2341,0)+COUNTIF($AI$6:AI1332,AI1332)-1</f>
        <v>1388</v>
      </c>
    </row>
    <row r="1333" spans="1:37" x14ac:dyDescent="0.25">
      <c r="A1333" t="s">
        <v>8825</v>
      </c>
      <c r="B1333">
        <f>_xlfn.XLOOKUP(FME_Ranking1[[#This Row],[FME ID]],FME_Input[FME_ID],FME_Input[RFPG_NUM])</f>
        <v>11</v>
      </c>
      <c r="C1333" t="str">
        <f>_xlfn.XLOOKUP(FME_Ranking1[[#This Row],[FME ID]],FME_Input[FME_ID],FME_Input[FME_NAME])</f>
        <v>City of Uhland Drainage Improvement Project Planning</v>
      </c>
      <c r="D1333" t="str">
        <f>_xlfn.XLOOKUP(FME_Ranking1[[#This Row],[FME ID]],FME_Input[FME_ID],FME_Input[DESCR])</f>
        <v>Project planning for proposed project to mitigate against flooding by increasing the capacity of drainage routes to contain the storm water. Proposed drainage improvements will reduce flood waters backing up into the City.</v>
      </c>
      <c r="E1333" s="256">
        <f>_xlfn.XLOOKUP(FME_Ranking1[[#This Row],[FME ID]],FME_Input[FME_ID],FME_Input[FME_COST])</f>
        <v>1334000</v>
      </c>
      <c r="F1333" t="str">
        <f>_xlfn.XLOOKUP(FME_Ranking1[[#This Row],[FME ID]],FME_Input[FME_ID],FME_Input[EMER_NEED])</f>
        <v>No</v>
      </c>
      <c r="G1333">
        <f>IF(FME_Ranking!F1333="Yes",100,0)</f>
        <v>0</v>
      </c>
      <c r="H1333">
        <f>FME_Ranking1[[#This Row],[Emergency Need Score (Normalized, Unweighted)]]*$F$3</f>
        <v>0</v>
      </c>
      <c r="I1333" s="246">
        <f>_xlfn.XLOOKUP(FME_Ranking1[[#This Row],[FME ID]],FME_Input[FME_ID],FME_Input[STRUCT_100])</f>
        <v>27</v>
      </c>
      <c r="J1333" s="178">
        <f>(FME_Ranking1[[#This Row],[Structures 100 Raw]]/I$2)*100</f>
        <v>1.4458295848862615E-2</v>
      </c>
      <c r="K1333" s="178">
        <f>FME_Ranking1[[#This Row],[Structures 100  Score (Normalized, Unweighted)]]*$I$3</f>
        <v>2.1687443773293924E-3</v>
      </c>
      <c r="L1333" s="246">
        <f>_xlfn.XLOOKUP(FME_Ranking1[[#This Row],[FME ID]],FME_Input[FME_ID],FME_Input[RES_STRUCT100])</f>
        <v>11</v>
      </c>
      <c r="M1333" s="230">
        <f>(FME_Ranking1[[#This Row],[Res Structures Raw]]/L$2)*100</f>
        <v>7.7913615050077207E-3</v>
      </c>
      <c r="N1333" s="180">
        <f>FME_Ranking1[[#This Row],[Res Structures Score (Normalized, Unweighted)]]*$L$3</f>
        <v>7.7913615050077215E-4</v>
      </c>
      <c r="O1333" s="244">
        <f>_xlfn.XLOOKUP(FME_Ranking1[[#This Row],[FME ID]],FME_Input[FME_ID],FME_Input[POP100])</f>
        <v>46</v>
      </c>
      <c r="P1333" s="178">
        <f>(FME_Ranking1[[#This Row],[Pop Raw]]/$O$2)*100</f>
        <v>4.7092643514831112E-3</v>
      </c>
      <c r="Q1333" s="178">
        <f>FME_Ranking1[[#This Row],[Pop Score (Normalized, Unweighted)]]*$O$3</f>
        <v>7.0638965272246665E-4</v>
      </c>
      <c r="R1333" s="137">
        <f>_xlfn.XLOOKUP(FME_Ranking1[[#This Row],[FME ID]],FME_Input[FME_ID],FME_Input[CRITFAC100])</f>
        <v>0</v>
      </c>
      <c r="S1333" s="230">
        <f>(FME_Ranking1[[#This Row],[Critical Facilities Raw]]/$R$2)*100</f>
        <v>0</v>
      </c>
      <c r="T1333" s="180">
        <f>FME_Ranking1[[#This Row],[Critical Facilities Score (Normalized, Unweighted)]]*$R$3</f>
        <v>0</v>
      </c>
      <c r="U1333">
        <f>_xlfn.XLOOKUP(FME_Ranking1[[#This Row],[FME ID]],FME_Input[FME_ID],FME_Input[LWC])</f>
        <v>3</v>
      </c>
      <c r="V1333" s="178">
        <f>(FME_Ranking1[[#This Row],[LWC Raw]]/$U$2)*100</f>
        <v>0.17271157167530224</v>
      </c>
      <c r="W1333" s="178">
        <f>FME_Ranking1[[#This Row],[LWC Score (Normalized, Unweighted)]]*$U$3</f>
        <v>3.4542314335060449E-2</v>
      </c>
      <c r="X1333" s="246">
        <f>_xlfn.XLOOKUP(FME_Ranking1[[#This Row],[FME ID]],FME_Input[FME_ID],FME_Input[ROADCLS])</f>
        <v>0</v>
      </c>
      <c r="Y1333" s="230">
        <f>(FME_Ranking1[[#This Row],[Closures Raw]]/$X$2)*100</f>
        <v>0</v>
      </c>
      <c r="Z1333" s="180">
        <f>FME_Ranking1[[#This Row],[Closures Score (Normalized, Unweighted)]]*$X$3</f>
        <v>0</v>
      </c>
      <c r="AA1333" s="253">
        <f>_xlfn.XLOOKUP(FME_Ranking1[[#This Row],[FME ID]],FME_Input[FME_ID],FME_Input[ROAD_MILES100])</f>
        <v>1.512336850166321</v>
      </c>
      <c r="AB1333" s="178">
        <f>(FME_Ranking1[[#This Row],[Miles Raw]]/$AA$2)*100</f>
        <v>1.9884517076204998E-2</v>
      </c>
      <c r="AC1333" s="178">
        <f>FME_Ranking1[[#This Row],[Miles Score (Normalized, Unweighted)]]*$AA$3</f>
        <v>1.9884517076205E-3</v>
      </c>
      <c r="AD1333" s="255">
        <f>_xlfn.XLOOKUP(FME_Ranking1[[#This Row],[FME ID]],FME_Input[FME_ID],FME_Input[FARMACRE100])</f>
        <v>94.085639953613281</v>
      </c>
      <c r="AE1333" s="230">
        <f>(FME_Ranking1[[#This Row],[Ag Land Raw]]/$AD$2)*100</f>
        <v>3.8796706169726357E-3</v>
      </c>
      <c r="AF1333" s="231">
        <f>FME_Ranking1[[#This Row],[Ag Land Score (Normalized, Unweighted)]]*$AD$3</f>
        <v>1.9398353084863179E-4</v>
      </c>
      <c r="AG133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4.0379019754082209E-2</v>
      </c>
      <c r="AH1333" s="406">
        <f t="shared" si="20"/>
        <v>1389</v>
      </c>
      <c r="AI133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4.0379019754082209E-2</v>
      </c>
      <c r="AJ1333" s="257">
        <f>FME_Ranking1[[#This Row],[Addition check]]-FME_Ranking1[[#This Row],[Weighted Score Based on Normalized Reported Factors]]</f>
        <v>0</v>
      </c>
      <c r="AK1333" s="178">
        <f>_xlfn.RANK.EQ(AI1333,$AI$6:$AI$2341,0)+COUNTIF($AI$6:AI1333,AI1333)-1</f>
        <v>1389</v>
      </c>
    </row>
    <row r="1334" spans="1:37" x14ac:dyDescent="0.25">
      <c r="A1334" t="s">
        <v>10349</v>
      </c>
      <c r="B1334">
        <f>_xlfn.XLOOKUP(FME_Ranking1[[#This Row],[FME ID]],FME_Input[FME_ID],FME_Input[RFPG_NUM])</f>
        <v>13</v>
      </c>
      <c r="C1334" t="str">
        <f>_xlfn.XLOOKUP(FME_Ranking1[[#This Row],[FME ID]],FME_Input[FME_ID],FME_Input[FME_NAME])</f>
        <v xml:space="preserve">Fulton Drainage Master Plan </v>
      </c>
      <c r="D1334" t="str">
        <f>_xlfn.XLOOKUP(FME_Ranking1[[#This Row],[FME ID]],FME_Input[FME_ID],FME_Input[DESCR])</f>
        <v>New stormwater master plan that includes a capital improvement plan</v>
      </c>
      <c r="E1334" s="256">
        <f>_xlfn.XLOOKUP(FME_Ranking1[[#This Row],[FME ID]],FME_Input[FME_ID],FME_Input[FME_COST])</f>
        <v>188000</v>
      </c>
      <c r="F1334" t="str">
        <f>_xlfn.XLOOKUP(FME_Ranking1[[#This Row],[FME ID]],FME_Input[FME_ID],FME_Input[EMER_NEED])</f>
        <v>Yes</v>
      </c>
      <c r="G1334">
        <f>IF(FME_Ranking!F1334="Yes",100,0)</f>
        <v>100</v>
      </c>
      <c r="H1334">
        <f>FME_Ranking1[[#This Row],[Emergency Need Score (Normalized, Unweighted)]]*$F$3</f>
        <v>0</v>
      </c>
      <c r="I1334" s="246">
        <f>_xlfn.XLOOKUP(FME_Ranking1[[#This Row],[FME ID]],FME_Input[FME_ID],FME_Input[STRUCT_100])</f>
        <v>83</v>
      </c>
      <c r="J1334" s="178">
        <f>(FME_Ranking1[[#This Row],[Structures 100 Raw]]/I$2)*100</f>
        <v>4.4445872424281364E-2</v>
      </c>
      <c r="K1334" s="178">
        <f>FME_Ranking1[[#This Row],[Structures 100  Score (Normalized, Unweighted)]]*$I$3</f>
        <v>6.6668808636422047E-3</v>
      </c>
      <c r="L1334" s="246">
        <f>_xlfn.XLOOKUP(FME_Ranking1[[#This Row],[FME ID]],FME_Input[FME_ID],FME_Input[RES_STRUCT100])</f>
        <v>43</v>
      </c>
      <c r="M1334" s="230">
        <f>(FME_Ranking1[[#This Row],[Res Structures Raw]]/L$2)*100</f>
        <v>3.0457140428666547E-2</v>
      </c>
      <c r="N1334" s="180">
        <f>FME_Ranking1[[#This Row],[Res Structures Score (Normalized, Unweighted)]]*$L$3</f>
        <v>3.0457140428666548E-3</v>
      </c>
      <c r="O1334" s="244">
        <f>_xlfn.XLOOKUP(FME_Ranking1[[#This Row],[FME ID]],FME_Input[FME_ID],FME_Input[POP100])</f>
        <v>126</v>
      </c>
      <c r="P1334" s="178">
        <f>(FME_Ranking1[[#This Row],[Pop Raw]]/$O$2)*100</f>
        <v>1.2899289310584174E-2</v>
      </c>
      <c r="Q1334" s="178">
        <f>FME_Ranking1[[#This Row],[Pop Score (Normalized, Unweighted)]]*$O$3</f>
        <v>1.9348933965876261E-3</v>
      </c>
      <c r="R1334" s="137">
        <f>_xlfn.XLOOKUP(FME_Ranking1[[#This Row],[FME ID]],FME_Input[FME_ID],FME_Input[CRITFAC100])</f>
        <v>1</v>
      </c>
      <c r="S1334" s="230">
        <f>(FME_Ranking1[[#This Row],[Critical Facilities Raw]]/$R$2)*100</f>
        <v>4.2881646655231559E-2</v>
      </c>
      <c r="T1334" s="180">
        <f>FME_Ranking1[[#This Row],[Critical Facilities Score (Normalized, Unweighted)]]*$R$3</f>
        <v>8.5763293310463125E-3</v>
      </c>
      <c r="U1334">
        <f>_xlfn.XLOOKUP(FME_Ranking1[[#This Row],[FME ID]],FME_Input[FME_ID],FME_Input[LWC])</f>
        <v>0</v>
      </c>
      <c r="V1334" s="178">
        <f>(FME_Ranking1[[#This Row],[LWC Raw]]/$U$2)*100</f>
        <v>0</v>
      </c>
      <c r="W1334" s="178">
        <f>FME_Ranking1[[#This Row],[LWC Score (Normalized, Unweighted)]]*$U$3</f>
        <v>0</v>
      </c>
      <c r="X1334" s="246">
        <f>_xlfn.XLOOKUP(FME_Ranking1[[#This Row],[FME ID]],FME_Input[FME_ID],FME_Input[ROADCLS])</f>
        <v>34</v>
      </c>
      <c r="Y1334" s="230">
        <f>(FME_Ranking1[[#This Row],[Closures Raw]]/$X$2)*100</f>
        <v>0.35748081169172535</v>
      </c>
      <c r="Z1334" s="180">
        <f>FME_Ranking1[[#This Row],[Closures Score (Normalized, Unweighted)]]*$X$3</f>
        <v>1.7874040584586269E-2</v>
      </c>
      <c r="AA1334" s="253">
        <f>_xlfn.XLOOKUP(FME_Ranking1[[#This Row],[FME ID]],FME_Input[FME_ID],FME_Input[ROAD_MILES100])</f>
        <v>3.6051638126373291</v>
      </c>
      <c r="AB1334" s="178">
        <f>(FME_Ranking1[[#This Row],[Miles Raw]]/$AA$2)*100</f>
        <v>4.7401437971321951E-2</v>
      </c>
      <c r="AC1334" s="178">
        <f>FME_Ranking1[[#This Row],[Miles Score (Normalized, Unweighted)]]*$AA$3</f>
        <v>4.7401437971321958E-3</v>
      </c>
      <c r="AD1334" s="255">
        <f>_xlfn.XLOOKUP(FME_Ranking1[[#This Row],[FME ID]],FME_Input[FME_ID],FME_Input[FARMACRE100])</f>
        <v>8.129865862429142E-3</v>
      </c>
      <c r="AE1334" s="230">
        <f>(FME_Ranking1[[#This Row],[Ag Land Raw]]/$AD$2)*100</f>
        <v>3.3523927479204996E-7</v>
      </c>
      <c r="AF1334" s="231">
        <f>FME_Ranking1[[#This Row],[Ag Land Score (Normalized, Unweighted)]]*$AD$3</f>
        <v>1.6761963739602498E-8</v>
      </c>
      <c r="AG133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4.2838018777825004E-2</v>
      </c>
      <c r="AH1334" s="406">
        <f t="shared" si="20"/>
        <v>1357</v>
      </c>
      <c r="AI133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4.2838018777825004E-2</v>
      </c>
      <c r="AJ1334" s="257">
        <f>FME_Ranking1[[#This Row],[Addition check]]-FME_Ranking1[[#This Row],[Weighted Score Based on Normalized Reported Factors]]</f>
        <v>0</v>
      </c>
      <c r="AK1334" s="178">
        <f>_xlfn.RANK.EQ(AI1334,$AI$6:$AI$2341,0)+COUNTIF($AI$6:AI1334,AI1334)-1</f>
        <v>1357</v>
      </c>
    </row>
    <row r="1335" spans="1:37" x14ac:dyDescent="0.25">
      <c r="A1335" t="s">
        <v>8794</v>
      </c>
      <c r="B1335">
        <f>_xlfn.XLOOKUP(FME_Ranking1[[#This Row],[FME ID]],FME_Input[FME_ID],FME_Input[RFPG_NUM])</f>
        <v>11</v>
      </c>
      <c r="C1335" t="str">
        <f>_xlfn.XLOOKUP(FME_Ranking1[[#This Row],[FME ID]],FME_Input[FME_ID],FME_Input[FME_NAME])</f>
        <v>City of San Marcos - Extension of River Ridge Parkway West Project Planning</v>
      </c>
      <c r="D1335" t="str">
        <f>_xlfn.XLOOKUP(FME_Ranking1[[#This Row],[FME ID]],FME_Input[FME_ID],FME_Input[DESCR])</f>
        <v>Project planning for proposed project identified through the San Marcos Transportation Plan, to increase the ability to divert traffic during flooding events</v>
      </c>
      <c r="E1335" s="256">
        <f>_xlfn.XLOOKUP(FME_Ranking1[[#This Row],[FME ID]],FME_Input[FME_ID],FME_Input[FME_COST])</f>
        <v>298000</v>
      </c>
      <c r="F1335" t="str">
        <f>_xlfn.XLOOKUP(FME_Ranking1[[#This Row],[FME ID]],FME_Input[FME_ID],FME_Input[EMER_NEED])</f>
        <v>No</v>
      </c>
      <c r="G1335">
        <f>IF(FME_Ranking!F1335="Yes",100,0)</f>
        <v>0</v>
      </c>
      <c r="H1335">
        <f>FME_Ranking1[[#This Row],[Emergency Need Score (Normalized, Unweighted)]]*$F$3</f>
        <v>0</v>
      </c>
      <c r="I1335" s="246">
        <f>_xlfn.XLOOKUP(FME_Ranking1[[#This Row],[FME ID]],FME_Input[FME_ID],FME_Input[STRUCT_100])</f>
        <v>69</v>
      </c>
      <c r="J1335" s="178">
        <f>(FME_Ranking1[[#This Row],[Structures 100 Raw]]/I$2)*100</f>
        <v>3.6948978280426682E-2</v>
      </c>
      <c r="K1335" s="178">
        <f>FME_Ranking1[[#This Row],[Structures 100  Score (Normalized, Unweighted)]]*$I$3</f>
        <v>5.5423467420640023E-3</v>
      </c>
      <c r="L1335" s="246">
        <f>_xlfn.XLOOKUP(FME_Ranking1[[#This Row],[FME ID]],FME_Input[FME_ID],FME_Input[RES_STRUCT100])</f>
        <v>59</v>
      </c>
      <c r="M1335" s="230">
        <f>(FME_Ranking1[[#This Row],[Res Structures Raw]]/L$2)*100</f>
        <v>4.1790029890495954E-2</v>
      </c>
      <c r="N1335" s="180">
        <f>FME_Ranking1[[#This Row],[Res Structures Score (Normalized, Unweighted)]]*$L$3</f>
        <v>4.1790029890495959E-3</v>
      </c>
      <c r="O1335" s="244">
        <f>_xlfn.XLOOKUP(FME_Ranking1[[#This Row],[FME ID]],FME_Input[FME_ID],FME_Input[POP100])</f>
        <v>1288</v>
      </c>
      <c r="P1335" s="178">
        <f>(FME_Ranking1[[#This Row],[Pop Raw]]/$O$2)*100</f>
        <v>0.13185940184152711</v>
      </c>
      <c r="Q1335" s="178">
        <f>FME_Ranking1[[#This Row],[Pop Score (Normalized, Unweighted)]]*$O$3</f>
        <v>1.9778910276229068E-2</v>
      </c>
      <c r="R1335" s="137">
        <f>_xlfn.XLOOKUP(FME_Ranking1[[#This Row],[FME ID]],FME_Input[FME_ID],FME_Input[CRITFAC100])</f>
        <v>1</v>
      </c>
      <c r="S1335" s="230">
        <f>(FME_Ranking1[[#This Row],[Critical Facilities Raw]]/$R$2)*100</f>
        <v>4.2881646655231559E-2</v>
      </c>
      <c r="T1335" s="180">
        <f>FME_Ranking1[[#This Row],[Critical Facilities Score (Normalized, Unweighted)]]*$R$3</f>
        <v>8.5763293310463125E-3</v>
      </c>
      <c r="U1335">
        <f>_xlfn.XLOOKUP(FME_Ranking1[[#This Row],[FME ID]],FME_Input[FME_ID],FME_Input[LWC])</f>
        <v>0</v>
      </c>
      <c r="V1335" s="178">
        <f>(FME_Ranking1[[#This Row],[LWC Raw]]/$U$2)*100</f>
        <v>0</v>
      </c>
      <c r="W1335" s="178">
        <f>FME_Ranking1[[#This Row],[LWC Score (Normalized, Unweighted)]]*$U$3</f>
        <v>0</v>
      </c>
      <c r="X1335" s="246">
        <f>_xlfn.XLOOKUP(FME_Ranking1[[#This Row],[FME ID]],FME_Input[FME_ID],FME_Input[ROADCLS])</f>
        <v>0</v>
      </c>
      <c r="Y1335" s="230">
        <f>(FME_Ranking1[[#This Row],[Closures Raw]]/$X$2)*100</f>
        <v>0</v>
      </c>
      <c r="Z1335" s="180">
        <f>FME_Ranking1[[#This Row],[Closures Score (Normalized, Unweighted)]]*$X$3</f>
        <v>0</v>
      </c>
      <c r="AA1335" s="253">
        <f>_xlfn.XLOOKUP(FME_Ranking1[[#This Row],[FME ID]],FME_Input[FME_ID],FME_Input[ROAD_MILES100])</f>
        <v>3.15816330909729</v>
      </c>
      <c r="AB1335" s="178">
        <f>(FME_Ranking1[[#This Row],[Miles Raw]]/$AA$2)*100</f>
        <v>4.152418308281175E-2</v>
      </c>
      <c r="AC1335" s="178">
        <f>FME_Ranking1[[#This Row],[Miles Score (Normalized, Unweighted)]]*$AA$3</f>
        <v>4.1524183082811755E-3</v>
      </c>
      <c r="AD1335" s="255">
        <f>_xlfn.XLOOKUP(FME_Ranking1[[#This Row],[FME ID]],FME_Input[FME_ID],FME_Input[FARMACRE100])</f>
        <v>0.35180410742759699</v>
      </c>
      <c r="AE1335" s="230">
        <f>(FME_Ranking1[[#This Row],[Ag Land Raw]]/$AD$2)*100</f>
        <v>1.4506826537929238E-5</v>
      </c>
      <c r="AF1335" s="231">
        <f>FME_Ranking1[[#This Row],[Ag Land Score (Normalized, Unweighted)]]*$AD$3</f>
        <v>7.2534132689646193E-7</v>
      </c>
      <c r="AG133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4.2229732987997051E-2</v>
      </c>
      <c r="AH1335" s="406">
        <f t="shared" si="20"/>
        <v>1362</v>
      </c>
      <c r="AI133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4.2229732987997051E-2</v>
      </c>
      <c r="AJ1335" s="257">
        <f>FME_Ranking1[[#This Row],[Addition check]]-FME_Ranking1[[#This Row],[Weighted Score Based on Normalized Reported Factors]]</f>
        <v>0</v>
      </c>
      <c r="AK1335" s="178">
        <f>_xlfn.RANK.EQ(AI1335,$AI$6:$AI$2341,0)+COUNTIF($AI$6:AI1335,AI1335)-1</f>
        <v>1362</v>
      </c>
    </row>
    <row r="1336" spans="1:37" x14ac:dyDescent="0.25">
      <c r="A1336" t="s">
        <v>454</v>
      </c>
      <c r="B1336">
        <f>_xlfn.XLOOKUP(FME_Ranking1[[#This Row],[FME ID]],FME_Input[FME_ID],FME_Input[RFPG_NUM])</f>
        <v>10</v>
      </c>
      <c r="C1336" t="str">
        <f>_xlfn.XLOOKUP(FME_Ranking1[[#This Row],[FME ID]],FME_Input[FME_ID],FME_Input[FME_NAME])</f>
        <v>Comanche Rancherias Subdivision</v>
      </c>
      <c r="D1336" t="str">
        <f>_xlfn.XLOOKUP(FME_Ranking1[[#This Row],[FME ID]],FME_Input[FME_ID],FME_Input[DESCR])</f>
        <v>Address severe flooding created by drainage from adjacent lands to Comanche Rancherias Subdivision</v>
      </c>
      <c r="E1336" s="256">
        <f>_xlfn.XLOOKUP(FME_Ranking1[[#This Row],[FME ID]],FME_Input[FME_ID],FME_Input[FME_COST])</f>
        <v>100000</v>
      </c>
      <c r="F1336" t="str">
        <f>_xlfn.XLOOKUP(FME_Ranking1[[#This Row],[FME ID]],FME_Input[FME_ID],FME_Input[EMER_NEED])</f>
        <v>No</v>
      </c>
      <c r="G1336">
        <f>IF(FME_Ranking!F1336="Yes",100,0)</f>
        <v>0</v>
      </c>
      <c r="H1336">
        <f>FME_Ranking1[[#This Row],[Emergency Need Score (Normalized, Unweighted)]]*$F$3</f>
        <v>0</v>
      </c>
      <c r="I1336" s="246">
        <f>_xlfn.XLOOKUP(FME_Ranking1[[#This Row],[FME ID]],FME_Input[FME_ID],FME_Input[STRUCT_100])</f>
        <v>20</v>
      </c>
      <c r="J1336" s="178">
        <f>(FME_Ranking1[[#This Row],[Structures 100 Raw]]/I$2)*100</f>
        <v>1.0709848776935269E-2</v>
      </c>
      <c r="K1336" s="178">
        <f>FME_Ranking1[[#This Row],[Structures 100  Score (Normalized, Unweighted)]]*$I$3</f>
        <v>1.6064773165402903E-3</v>
      </c>
      <c r="L1336" s="246">
        <f>_xlfn.XLOOKUP(FME_Ranking1[[#This Row],[FME ID]],FME_Input[FME_ID],FME_Input[RES_STRUCT100])</f>
        <v>17</v>
      </c>
      <c r="M1336" s="230">
        <f>(FME_Ranking1[[#This Row],[Res Structures Raw]]/L$2)*100</f>
        <v>1.2041195053193749E-2</v>
      </c>
      <c r="N1336" s="180">
        <f>FME_Ranking1[[#This Row],[Res Structures Score (Normalized, Unweighted)]]*$L$3</f>
        <v>1.2041195053193749E-3</v>
      </c>
      <c r="O1336" s="244">
        <f>_xlfn.XLOOKUP(FME_Ranking1[[#This Row],[FME ID]],FME_Input[FME_ID],FME_Input[POP100])</f>
        <v>17</v>
      </c>
      <c r="P1336" s="178">
        <f>(FME_Ranking1[[#This Row],[Pop Raw]]/$O$2)*100</f>
        <v>1.7403803038089759E-3</v>
      </c>
      <c r="Q1336" s="178">
        <f>FME_Ranking1[[#This Row],[Pop Score (Normalized, Unweighted)]]*$O$3</f>
        <v>2.6105704557134637E-4</v>
      </c>
      <c r="R1336" s="137">
        <f>_xlfn.XLOOKUP(FME_Ranking1[[#This Row],[FME ID]],FME_Input[FME_ID],FME_Input[CRITFAC100])</f>
        <v>0</v>
      </c>
      <c r="S1336" s="230">
        <f>(FME_Ranking1[[#This Row],[Critical Facilities Raw]]/$R$2)*100</f>
        <v>0</v>
      </c>
      <c r="T1336" s="180">
        <f>FME_Ranking1[[#This Row],[Critical Facilities Score (Normalized, Unweighted)]]*$R$3</f>
        <v>0</v>
      </c>
      <c r="U1336">
        <f>_xlfn.XLOOKUP(FME_Ranking1[[#This Row],[FME ID]],FME_Input[FME_ID],FME_Input[LWC])</f>
        <v>3</v>
      </c>
      <c r="V1336" s="178">
        <f>(FME_Ranking1[[#This Row],[LWC Raw]]/$U$2)*100</f>
        <v>0.17271157167530224</v>
      </c>
      <c r="W1336" s="178">
        <f>FME_Ranking1[[#This Row],[LWC Score (Normalized, Unweighted)]]*$U$3</f>
        <v>3.4542314335060449E-2</v>
      </c>
      <c r="X1336" s="246">
        <f>_xlfn.XLOOKUP(FME_Ranking1[[#This Row],[FME ID]],FME_Input[FME_ID],FME_Input[ROADCLS])</f>
        <v>0</v>
      </c>
      <c r="Y1336" s="230">
        <f>(FME_Ranking1[[#This Row],[Closures Raw]]/$X$2)*100</f>
        <v>0</v>
      </c>
      <c r="Z1336" s="180">
        <f>FME_Ranking1[[#This Row],[Closures Score (Normalized, Unweighted)]]*$X$3</f>
        <v>0</v>
      </c>
      <c r="AA1336" s="253">
        <f>_xlfn.XLOOKUP(FME_Ranking1[[#This Row],[FME ID]],FME_Input[FME_ID],FME_Input[ROAD_MILES100])</f>
        <v>0</v>
      </c>
      <c r="AB1336" s="178">
        <f>(FME_Ranking1[[#This Row],[Miles Raw]]/$AA$2)*100</f>
        <v>0</v>
      </c>
      <c r="AC1336" s="178">
        <f>FME_Ranking1[[#This Row],[Miles Score (Normalized, Unweighted)]]*$AA$3</f>
        <v>0</v>
      </c>
      <c r="AD1336" s="255">
        <f>_xlfn.XLOOKUP(FME_Ranking1[[#This Row],[FME ID]],FME_Input[FME_ID],FME_Input[FARMACRE100])</f>
        <v>216.46315002441409</v>
      </c>
      <c r="AE1336" s="230">
        <f>(FME_Ranking1[[#This Row],[Ag Land Raw]]/$AD$2)*100</f>
        <v>8.9259713089171241E-3</v>
      </c>
      <c r="AF1336" s="231">
        <f>FME_Ranking1[[#This Row],[Ag Land Score (Normalized, Unweighted)]]*$AD$3</f>
        <v>4.4629856544585624E-4</v>
      </c>
      <c r="AG133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3.8060266767937313E-2</v>
      </c>
      <c r="AH1336" s="406">
        <f t="shared" si="20"/>
        <v>1397</v>
      </c>
      <c r="AI133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3.8060266767937313E-2</v>
      </c>
      <c r="AJ1336" s="257">
        <f>FME_Ranking1[[#This Row],[Addition check]]-FME_Ranking1[[#This Row],[Weighted Score Based on Normalized Reported Factors]]</f>
        <v>0</v>
      </c>
      <c r="AK1336" s="178">
        <f>_xlfn.RANK.EQ(AI1336,$AI$6:$AI$2341,0)+COUNTIF($AI$6:AI1336,AI1336)-1</f>
        <v>1397</v>
      </c>
    </row>
    <row r="1337" spans="1:37" x14ac:dyDescent="0.25">
      <c r="A1337" t="s">
        <v>11181</v>
      </c>
      <c r="B1337">
        <f>_xlfn.XLOOKUP(FME_Ranking1[[#This Row],[FME ID]],FME_Input[FME_ID],FME_Input[RFPG_NUM])</f>
        <v>15</v>
      </c>
      <c r="C1337" t="str">
        <f>_xlfn.XLOOKUP(FME_Ranking1[[#This Row],[FME ID]],FME_Input[FME_ID],FME_Input[FME_NAME])</f>
        <v>Los Fresno's Action #13</v>
      </c>
      <c r="D1337" t="str">
        <f>_xlfn.XLOOKUP(FME_Ranking1[[#This Row],[FME ID]],FME_Input[FME_ID],FME_Input[DESCR])</f>
        <v>Upgrade culverts and install drainage improvements at various locations to increase capacity and reduce risk of flood damages. Purchase trailer mounted water trash pump to reduce or eliminate flooding.  Drainage Improvement locations: Drainage Ditch Sout</v>
      </c>
      <c r="E1337" s="256">
        <f>_xlfn.XLOOKUP(FME_Ranking1[[#This Row],[FME ID]],FME_Input[FME_ID],FME_Input[FME_COST])</f>
        <v>1848000</v>
      </c>
      <c r="F1337" t="str">
        <f>_xlfn.XLOOKUP(FME_Ranking1[[#This Row],[FME ID]],FME_Input[FME_ID],FME_Input[EMER_NEED])</f>
        <v>Yes</v>
      </c>
      <c r="G1337">
        <f>IF(FME_Ranking!F1337="Yes",100,0)</f>
        <v>100</v>
      </c>
      <c r="H1337">
        <f>FME_Ranking1[[#This Row],[Emergency Need Score (Normalized, Unweighted)]]*$F$3</f>
        <v>0</v>
      </c>
      <c r="I1337" s="246">
        <f>_xlfn.XLOOKUP(FME_Ranking1[[#This Row],[FME ID]],FME_Input[FME_ID],FME_Input[STRUCT_100])</f>
        <v>0</v>
      </c>
      <c r="J1337" s="178">
        <f>(FME_Ranking1[[#This Row],[Structures 100 Raw]]/I$2)*100</f>
        <v>0</v>
      </c>
      <c r="K1337" s="178">
        <f>FME_Ranking1[[#This Row],[Structures 100  Score (Normalized, Unweighted)]]*$I$3</f>
        <v>0</v>
      </c>
      <c r="L1337" s="246">
        <f>_xlfn.XLOOKUP(FME_Ranking1[[#This Row],[FME ID]],FME_Input[FME_ID],FME_Input[RES_STRUCT100])</f>
        <v>146</v>
      </c>
      <c r="M1337" s="230">
        <f>(FME_Ranking1[[#This Row],[Res Structures Raw]]/L$2)*100</f>
        <v>0.10341261633919339</v>
      </c>
      <c r="N1337" s="180">
        <f>FME_Ranking1[[#This Row],[Res Structures Score (Normalized, Unweighted)]]*$L$3</f>
        <v>1.034126163391934E-2</v>
      </c>
      <c r="O1337" s="244">
        <f>_xlfn.XLOOKUP(FME_Ranking1[[#This Row],[FME ID]],FME_Input[FME_ID],FME_Input[POP100])</f>
        <v>680</v>
      </c>
      <c r="P1337" s="178">
        <f>(FME_Ranking1[[#This Row],[Pop Raw]]/$O$2)*100</f>
        <v>6.9615212152359038E-2</v>
      </c>
      <c r="Q1337" s="178">
        <f>FME_Ranking1[[#This Row],[Pop Score (Normalized, Unweighted)]]*$O$3</f>
        <v>1.0442281822853856E-2</v>
      </c>
      <c r="R1337" s="137">
        <f>_xlfn.XLOOKUP(FME_Ranking1[[#This Row],[FME ID]],FME_Input[FME_ID],FME_Input[CRITFAC100])</f>
        <v>2</v>
      </c>
      <c r="S1337" s="230">
        <f>(FME_Ranking1[[#This Row],[Critical Facilities Raw]]/$R$2)*100</f>
        <v>8.5763293310463118E-2</v>
      </c>
      <c r="T1337" s="180">
        <f>FME_Ranking1[[#This Row],[Critical Facilities Score (Normalized, Unweighted)]]*$R$3</f>
        <v>1.7152658662092625E-2</v>
      </c>
      <c r="U1337">
        <f>_xlfn.XLOOKUP(FME_Ranking1[[#This Row],[FME ID]],FME_Input[FME_ID],FME_Input[LWC])</f>
        <v>0</v>
      </c>
      <c r="V1337" s="178">
        <f>(FME_Ranking1[[#This Row],[LWC Raw]]/$U$2)*100</f>
        <v>0</v>
      </c>
      <c r="W1337" s="178">
        <f>FME_Ranking1[[#This Row],[LWC Score (Normalized, Unweighted)]]*$U$3</f>
        <v>0</v>
      </c>
      <c r="X1337" s="246">
        <f>_xlfn.XLOOKUP(FME_Ranking1[[#This Row],[FME ID]],FME_Input[FME_ID],FME_Input[ROADCLS])</f>
        <v>0</v>
      </c>
      <c r="Y1337" s="230">
        <f>(FME_Ranking1[[#This Row],[Closures Raw]]/$X$2)*100</f>
        <v>0</v>
      </c>
      <c r="Z1337" s="180">
        <f>FME_Ranking1[[#This Row],[Closures Score (Normalized, Unweighted)]]*$X$3</f>
        <v>0</v>
      </c>
      <c r="AA1337" s="253">
        <f>_xlfn.XLOOKUP(FME_Ranking1[[#This Row],[FME ID]],FME_Input[FME_ID],FME_Input[ROAD_MILES100])</f>
        <v>9.7896099090576172</v>
      </c>
      <c r="AB1337" s="178">
        <f>(FME_Ranking1[[#This Row],[Miles Raw]]/$AA$2)*100</f>
        <v>0.12871581181443387</v>
      </c>
      <c r="AC1337" s="178">
        <f>FME_Ranking1[[#This Row],[Miles Score (Normalized, Unweighted)]]*$AA$3</f>
        <v>1.2871581181443388E-2</v>
      </c>
      <c r="AD1337" s="255">
        <f>_xlfn.XLOOKUP(FME_Ranking1[[#This Row],[FME ID]],FME_Input[FME_ID],FME_Input[FARMACRE100])</f>
        <v>0</v>
      </c>
      <c r="AE1337" s="230">
        <f>(FME_Ranking1[[#This Row],[Ag Land Raw]]/$AD$2)*100</f>
        <v>0</v>
      </c>
      <c r="AF1337" s="231">
        <f>FME_Ranking1[[#This Row],[Ag Land Score (Normalized, Unweighted)]]*$AD$3</f>
        <v>0</v>
      </c>
      <c r="AG133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5.080778330030921E-2</v>
      </c>
      <c r="AH1337" s="406">
        <f t="shared" si="20"/>
        <v>1312</v>
      </c>
      <c r="AI133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5.080778330030921E-2</v>
      </c>
      <c r="AJ1337" s="257">
        <f>FME_Ranking1[[#This Row],[Addition check]]-FME_Ranking1[[#This Row],[Weighted Score Based on Normalized Reported Factors]]</f>
        <v>0</v>
      </c>
      <c r="AK1337" s="178">
        <f>_xlfn.RANK.EQ(AI1337,$AI$6:$AI$2341,0)+COUNTIF($AI$6:AI1337,AI1337)-1</f>
        <v>1312</v>
      </c>
    </row>
    <row r="1338" spans="1:37" x14ac:dyDescent="0.25">
      <c r="A1338" t="s">
        <v>4944</v>
      </c>
      <c r="B1338">
        <f>_xlfn.XLOOKUP(FME_Ranking1[[#This Row],[FME ID]],FME_Input[FME_ID],FME_Input[RFPG_NUM])</f>
        <v>3</v>
      </c>
      <c r="C1338" t="str">
        <f>_xlfn.XLOOKUP(FME_Ranking1[[#This Row],[FME ID]],FME_Input[FME_ID],FME_Input[FME_NAME])</f>
        <v xml:space="preserve">Grand Parkway Culvert Crossing </v>
      </c>
      <c r="D1338" t="str">
        <f>_xlfn.XLOOKUP(FME_Ranking1[[#This Row],[FME ID]],FME_Input[FME_ID],FME_Input[DESCR])</f>
        <v>Evaluate alternatives to upsize cross-culverts to allow for developed flow</v>
      </c>
      <c r="E1338" s="256">
        <f>_xlfn.XLOOKUP(FME_Ranking1[[#This Row],[FME ID]],FME_Input[FME_ID],FME_Input[FME_COST])</f>
        <v>100000</v>
      </c>
      <c r="F1338" t="str">
        <f>_xlfn.XLOOKUP(FME_Ranking1[[#This Row],[FME ID]],FME_Input[FME_ID],FME_Input[EMER_NEED])</f>
        <v>No</v>
      </c>
      <c r="G1338">
        <f>IF(FME_Ranking!F1338="Yes",100,0)</f>
        <v>0</v>
      </c>
      <c r="H1338">
        <f>FME_Ranking1[[#This Row],[Emergency Need Score (Normalized, Unweighted)]]*$F$3</f>
        <v>0</v>
      </c>
      <c r="I1338" s="246">
        <f>_xlfn.XLOOKUP(FME_Ranking1[[#This Row],[FME ID]],FME_Input[FME_ID],FME_Input[STRUCT_100])</f>
        <v>209</v>
      </c>
      <c r="J1338" s="178">
        <f>(FME_Ranking1[[#This Row],[Structures 100 Raw]]/I$2)*100</f>
        <v>0.11191791971897358</v>
      </c>
      <c r="K1338" s="178">
        <f>FME_Ranking1[[#This Row],[Structures 100  Score (Normalized, Unweighted)]]*$I$3</f>
        <v>1.6787687957846038E-2</v>
      </c>
      <c r="L1338" s="246">
        <f>_xlfn.XLOOKUP(FME_Ranking1[[#This Row],[FME ID]],FME_Input[FME_ID],FME_Input[RES_STRUCT100])</f>
        <v>191</v>
      </c>
      <c r="M1338" s="230">
        <f>(FME_Ranking1[[#This Row],[Res Structures Raw]]/L$2)*100</f>
        <v>0.1352863679505886</v>
      </c>
      <c r="N1338" s="180">
        <f>FME_Ranking1[[#This Row],[Res Structures Score (Normalized, Unweighted)]]*$L$3</f>
        <v>1.3528636795058861E-2</v>
      </c>
      <c r="O1338" s="244">
        <f>_xlfn.XLOOKUP(FME_Ranking1[[#This Row],[FME ID]],FME_Input[FME_ID],FME_Input[POP100])</f>
        <v>358</v>
      </c>
      <c r="P1338" s="178">
        <f>(FME_Ranking1[[#This Row],[Pop Raw]]/$O$2)*100</f>
        <v>3.6650361691977253E-2</v>
      </c>
      <c r="Q1338" s="178">
        <f>FME_Ranking1[[#This Row],[Pop Score (Normalized, Unweighted)]]*$O$3</f>
        <v>5.4975542537965879E-3</v>
      </c>
      <c r="R1338" s="137">
        <f>_xlfn.XLOOKUP(FME_Ranking1[[#This Row],[FME ID]],FME_Input[FME_ID],FME_Input[CRITFAC100])</f>
        <v>0</v>
      </c>
      <c r="S1338" s="230">
        <f>(FME_Ranking1[[#This Row],[Critical Facilities Raw]]/$R$2)*100</f>
        <v>0</v>
      </c>
      <c r="T1338" s="180">
        <f>FME_Ranking1[[#This Row],[Critical Facilities Score (Normalized, Unweighted)]]*$R$3</f>
        <v>0</v>
      </c>
      <c r="U1338">
        <f>_xlfn.XLOOKUP(FME_Ranking1[[#This Row],[FME ID]],FME_Input[FME_ID],FME_Input[LWC])</f>
        <v>0</v>
      </c>
      <c r="V1338" s="178">
        <f>(FME_Ranking1[[#This Row],[LWC Raw]]/$U$2)*100</f>
        <v>0</v>
      </c>
      <c r="W1338" s="178">
        <f>FME_Ranking1[[#This Row],[LWC Score (Normalized, Unweighted)]]*$U$3</f>
        <v>0</v>
      </c>
      <c r="X1338" s="246">
        <f>_xlfn.XLOOKUP(FME_Ranking1[[#This Row],[FME ID]],FME_Input[FME_ID],FME_Input[ROADCLS])</f>
        <v>0</v>
      </c>
      <c r="Y1338" s="230">
        <f>(FME_Ranking1[[#This Row],[Closures Raw]]/$X$2)*100</f>
        <v>0</v>
      </c>
      <c r="Z1338" s="180">
        <f>FME_Ranking1[[#This Row],[Closures Score (Normalized, Unweighted)]]*$X$3</f>
        <v>0</v>
      </c>
      <c r="AA1338" s="253">
        <f>_xlfn.XLOOKUP(FME_Ranking1[[#This Row],[FME ID]],FME_Input[FME_ID],FME_Input[ROAD_MILES100])</f>
        <v>4.0001220703125</v>
      </c>
      <c r="AB1338" s="178">
        <f>(FME_Ranking1[[#This Row],[Miles Raw]]/$AA$2)*100</f>
        <v>5.2594430668859146E-2</v>
      </c>
      <c r="AC1338" s="178">
        <f>FME_Ranking1[[#This Row],[Miles Score (Normalized, Unweighted)]]*$AA$3</f>
        <v>5.2594430668859151E-3</v>
      </c>
      <c r="AD1338" s="255">
        <f>_xlfn.XLOOKUP(FME_Ranking1[[#This Row],[FME ID]],FME_Input[FME_ID],FME_Input[FARMACRE100])</f>
        <v>741.74908447265625</v>
      </c>
      <c r="AE1338" s="230">
        <f>(FME_Ranking1[[#This Row],[Ag Land Raw]]/$AD$2)*100</f>
        <v>3.0586411801139059E-2</v>
      </c>
      <c r="AF1338" s="231">
        <f>FME_Ranking1[[#This Row],[Ag Land Score (Normalized, Unweighted)]]*$AD$3</f>
        <v>1.529320590056953E-3</v>
      </c>
      <c r="AG133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4.2602642663644358E-2</v>
      </c>
      <c r="AH1338" s="406">
        <f t="shared" si="20"/>
        <v>1361</v>
      </c>
      <c r="AI133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4.2602642663644358E-2</v>
      </c>
      <c r="AJ1338" s="257">
        <f>FME_Ranking1[[#This Row],[Addition check]]-FME_Ranking1[[#This Row],[Weighted Score Based on Normalized Reported Factors]]</f>
        <v>0</v>
      </c>
      <c r="AK1338" s="178">
        <f>_xlfn.RANK.EQ(AI1338,$AI$6:$AI$2341,0)+COUNTIF($AI$6:AI1338,AI1338)-1</f>
        <v>1361</v>
      </c>
    </row>
    <row r="1339" spans="1:37" x14ac:dyDescent="0.25">
      <c r="A1339" t="s">
        <v>6261</v>
      </c>
      <c r="B1339">
        <f>_xlfn.XLOOKUP(FME_Ranking1[[#This Row],[FME ID]],FME_Input[FME_ID],FME_Input[RFPG_NUM])</f>
        <v>5</v>
      </c>
      <c r="C1339" t="str">
        <f>_xlfn.XLOOKUP(FME_Ranking1[[#This Row],[FME ID]],FME_Input[FME_ID],FME_Input[FME_NAME])</f>
        <v>Lakeside Upgrade Pumping Equipment</v>
      </c>
      <c r="D1339" t="str">
        <f>_xlfn.XLOOKUP(FME_Ranking1[[#This Row],[FME ID]],FME_Input[FME_ID],FME_Input[DESCR])</f>
        <v xml:space="preserve">H&amp;H study to size pump upgrades and improve existing level of service. </v>
      </c>
      <c r="E1339" s="256">
        <f>_xlfn.XLOOKUP(FME_Ranking1[[#This Row],[FME ID]],FME_Input[FME_ID],FME_Input[FME_COST])</f>
        <v>100000</v>
      </c>
      <c r="F1339" t="str">
        <f>_xlfn.XLOOKUP(FME_Ranking1[[#This Row],[FME ID]],FME_Input[FME_ID],FME_Input[EMER_NEED])</f>
        <v>Yes</v>
      </c>
      <c r="G1339">
        <f>IF(FME_Ranking!F1339="Yes",100,0)</f>
        <v>100</v>
      </c>
      <c r="H1339">
        <f>FME_Ranking1[[#This Row],[Emergency Need Score (Normalized, Unweighted)]]*$F$3</f>
        <v>0</v>
      </c>
      <c r="I1339" s="246">
        <f>_xlfn.XLOOKUP(FME_Ranking1[[#This Row],[FME ID]],FME_Input[FME_ID],FME_Input[STRUCT_100])</f>
        <v>207</v>
      </c>
      <c r="J1339" s="178">
        <f>(FME_Ranking1[[#This Row],[Structures 100 Raw]]/I$2)*100</f>
        <v>0.11084693484128005</v>
      </c>
      <c r="K1339" s="178">
        <f>FME_Ranking1[[#This Row],[Structures 100  Score (Normalized, Unweighted)]]*$I$3</f>
        <v>1.6627040226192009E-2</v>
      </c>
      <c r="L1339" s="246">
        <f>_xlfn.XLOOKUP(FME_Ranking1[[#This Row],[FME ID]],FME_Input[FME_ID],FME_Input[RES_STRUCT100])</f>
        <v>200</v>
      </c>
      <c r="M1339" s="230">
        <f>(FME_Ranking1[[#This Row],[Res Structures Raw]]/L$2)*100</f>
        <v>0.14166111827286765</v>
      </c>
      <c r="N1339" s="180">
        <f>FME_Ranking1[[#This Row],[Res Structures Score (Normalized, Unweighted)]]*$L$3</f>
        <v>1.4166111827286765E-2</v>
      </c>
      <c r="O1339" s="244">
        <f>_xlfn.XLOOKUP(FME_Ranking1[[#This Row],[FME ID]],FME_Input[FME_ID],FME_Input[POP100])</f>
        <v>397</v>
      </c>
      <c r="P1339" s="178">
        <f>(FME_Ranking1[[#This Row],[Pop Raw]]/$O$2)*100</f>
        <v>4.0642998859539023E-2</v>
      </c>
      <c r="Q1339" s="178">
        <f>FME_Ranking1[[#This Row],[Pop Score (Normalized, Unweighted)]]*$O$3</f>
        <v>6.0964498289308531E-3</v>
      </c>
      <c r="R1339" s="137">
        <f>_xlfn.XLOOKUP(FME_Ranking1[[#This Row],[FME ID]],FME_Input[FME_ID],FME_Input[CRITFAC100])</f>
        <v>0</v>
      </c>
      <c r="S1339" s="230">
        <f>(FME_Ranking1[[#This Row],[Critical Facilities Raw]]/$R$2)*100</f>
        <v>0</v>
      </c>
      <c r="T1339" s="180">
        <f>FME_Ranking1[[#This Row],[Critical Facilities Score (Normalized, Unweighted)]]*$R$3</f>
        <v>0</v>
      </c>
      <c r="U1339">
        <f>_xlfn.XLOOKUP(FME_Ranking1[[#This Row],[FME ID]],FME_Input[FME_ID],FME_Input[LWC])</f>
        <v>0</v>
      </c>
      <c r="V1339" s="178">
        <f>(FME_Ranking1[[#This Row],[LWC Raw]]/$U$2)*100</f>
        <v>0</v>
      </c>
      <c r="W1339" s="178">
        <f>FME_Ranking1[[#This Row],[LWC Score (Normalized, Unweighted)]]*$U$3</f>
        <v>0</v>
      </c>
      <c r="X1339" s="246">
        <f>_xlfn.XLOOKUP(FME_Ranking1[[#This Row],[FME ID]],FME_Input[FME_ID],FME_Input[ROADCLS])</f>
        <v>0</v>
      </c>
      <c r="Y1339" s="230">
        <f>(FME_Ranking1[[#This Row],[Closures Raw]]/$X$2)*100</f>
        <v>0</v>
      </c>
      <c r="Z1339" s="180">
        <f>FME_Ranking1[[#This Row],[Closures Score (Normalized, Unweighted)]]*$X$3</f>
        <v>0</v>
      </c>
      <c r="AA1339" s="253">
        <f>_xlfn.XLOOKUP(FME_Ranking1[[#This Row],[FME ID]],FME_Input[FME_ID],FME_Input[ROAD_MILES100])</f>
        <v>2.9959831237792969</v>
      </c>
      <c r="AB1339" s="178">
        <f>(FME_Ranking1[[#This Row],[Miles Raw]]/$AA$2)*100</f>
        <v>3.939180452969835E-2</v>
      </c>
      <c r="AC1339" s="178">
        <f>FME_Ranking1[[#This Row],[Miles Score (Normalized, Unweighted)]]*$AA$3</f>
        <v>3.9391804529698348E-3</v>
      </c>
      <c r="AD1339" s="255">
        <f>_xlfn.XLOOKUP(FME_Ranking1[[#This Row],[FME ID]],FME_Input[FME_ID],FME_Input[FARMACRE100])</f>
        <v>3.2005231380462651</v>
      </c>
      <c r="AE1339" s="230">
        <f>(FME_Ranking1[[#This Row],[Ag Land Raw]]/$AD$2)*100</f>
        <v>1.3197524705939236E-4</v>
      </c>
      <c r="AF1339" s="231">
        <f>FME_Ranking1[[#This Row],[Ag Land Score (Normalized, Unweighted)]]*$AD$3</f>
        <v>6.5987623529696181E-6</v>
      </c>
      <c r="AG133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4.083538109773243E-2</v>
      </c>
      <c r="AH1339" s="406">
        <f t="shared" si="20"/>
        <v>1384</v>
      </c>
      <c r="AI133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4.083538109773243E-2</v>
      </c>
      <c r="AJ1339" s="257">
        <f>FME_Ranking1[[#This Row],[Addition check]]-FME_Ranking1[[#This Row],[Weighted Score Based on Normalized Reported Factors]]</f>
        <v>0</v>
      </c>
      <c r="AK1339" s="178">
        <f>_xlfn.RANK.EQ(AI1339,$AI$6:$AI$2341,0)+COUNTIF($AI$6:AI1339,AI1339)-1</f>
        <v>1384</v>
      </c>
    </row>
    <row r="1340" spans="1:37" x14ac:dyDescent="0.25">
      <c r="A1340" t="s">
        <v>3224</v>
      </c>
      <c r="B1340">
        <f>_xlfn.XLOOKUP(FME_Ranking1[[#This Row],[FME ID]],FME_Input[FME_ID],FME_Input[RFPG_NUM])</f>
        <v>1</v>
      </c>
      <c r="C1340" t="str">
        <f>_xlfn.XLOOKUP(FME_Ranking1[[#This Row],[FME ID]],FME_Input[FME_ID],FME_Input[FME_NAME])</f>
        <v>West Amarillo Creek Project Planning - Amarillo Country Club Channel Reach (City of Amarillo)</v>
      </c>
      <c r="D1340" t="str">
        <f>_xlfn.XLOOKUP(FME_Ranking1[[#This Row],[FME ID]],FME_Input[FME_ID],FME_Input[DESCR])</f>
        <v>Evaluate project to quantify benefits, evaluate impacts and begin design. Improvement includes installing and replacing concrete boxes, improving the channel, and replacing 2 driveway structures. Project identified from 2019 Amarillo DMP.</v>
      </c>
      <c r="E1340" s="256">
        <f>_xlfn.XLOOKUP(FME_Ranking1[[#This Row],[FME ID]],FME_Input[FME_ID],FME_Input[FME_COST])</f>
        <v>250000</v>
      </c>
      <c r="F1340" t="str">
        <f>_xlfn.XLOOKUP(FME_Ranking1[[#This Row],[FME ID]],FME_Input[FME_ID],FME_Input[EMER_NEED])</f>
        <v>No</v>
      </c>
      <c r="G1340">
        <f>IF(FME_Ranking!F1340="Yes",100,0)</f>
        <v>0</v>
      </c>
      <c r="H1340">
        <f>FME_Ranking1[[#This Row],[Emergency Need Score (Normalized, Unweighted)]]*$F$3</f>
        <v>0</v>
      </c>
      <c r="I1340" s="246">
        <f>_xlfn.XLOOKUP(FME_Ranking1[[#This Row],[FME ID]],FME_Input[FME_ID],FME_Input[STRUCT_100])</f>
        <v>69</v>
      </c>
      <c r="J1340" s="178">
        <f>(FME_Ranking1[[#This Row],[Structures 100 Raw]]/I$2)*100</f>
        <v>3.6948978280426682E-2</v>
      </c>
      <c r="K1340" s="178">
        <f>FME_Ranking1[[#This Row],[Structures 100  Score (Normalized, Unweighted)]]*$I$3</f>
        <v>5.5423467420640023E-3</v>
      </c>
      <c r="L1340" s="246">
        <f>_xlfn.XLOOKUP(FME_Ranking1[[#This Row],[FME ID]],FME_Input[FME_ID],FME_Input[RES_STRUCT100])</f>
        <v>60</v>
      </c>
      <c r="M1340" s="230">
        <f>(FME_Ranking1[[#This Row],[Res Structures Raw]]/L$2)*100</f>
        <v>4.2498335481860293E-2</v>
      </c>
      <c r="N1340" s="180">
        <f>FME_Ranking1[[#This Row],[Res Structures Score (Normalized, Unweighted)]]*$L$3</f>
        <v>4.2498335481860293E-3</v>
      </c>
      <c r="O1340" s="244">
        <f>_xlfn.XLOOKUP(FME_Ranking1[[#This Row],[FME ID]],FME_Input[FME_ID],FME_Input[POP100])</f>
        <v>165</v>
      </c>
      <c r="P1340" s="178">
        <f>(FME_Ranking1[[#This Row],[Pop Raw]]/$O$2)*100</f>
        <v>1.6891926478145941E-2</v>
      </c>
      <c r="Q1340" s="178">
        <f>FME_Ranking1[[#This Row],[Pop Score (Normalized, Unweighted)]]*$O$3</f>
        <v>2.5337889717218912E-3</v>
      </c>
      <c r="R1340" s="137">
        <f>_xlfn.XLOOKUP(FME_Ranking1[[#This Row],[FME ID]],FME_Input[FME_ID],FME_Input[CRITFAC100])</f>
        <v>0</v>
      </c>
      <c r="S1340" s="230">
        <f>(FME_Ranking1[[#This Row],[Critical Facilities Raw]]/$R$2)*100</f>
        <v>0</v>
      </c>
      <c r="T1340" s="180">
        <f>FME_Ranking1[[#This Row],[Critical Facilities Score (Normalized, Unweighted)]]*$R$3</f>
        <v>0</v>
      </c>
      <c r="U1340">
        <f>_xlfn.XLOOKUP(FME_Ranking1[[#This Row],[FME ID]],FME_Input[FME_ID],FME_Input[LWC])</f>
        <v>2</v>
      </c>
      <c r="V1340" s="178">
        <f>(FME_Ranking1[[#This Row],[LWC Raw]]/$U$2)*100</f>
        <v>0.11514104778353484</v>
      </c>
      <c r="W1340" s="178">
        <f>FME_Ranking1[[#This Row],[LWC Score (Normalized, Unweighted)]]*$U$3</f>
        <v>2.302820955670697E-2</v>
      </c>
      <c r="X1340" s="246">
        <f>_xlfn.XLOOKUP(FME_Ranking1[[#This Row],[FME ID]],FME_Input[FME_ID],FME_Input[ROADCLS])</f>
        <v>2</v>
      </c>
      <c r="Y1340" s="230">
        <f>(FME_Ranking1[[#This Row],[Closures Raw]]/$X$2)*100</f>
        <v>2.1028283040689728E-2</v>
      </c>
      <c r="Z1340" s="180">
        <f>FME_Ranking1[[#This Row],[Closures Score (Normalized, Unweighted)]]*$X$3</f>
        <v>1.0514141520344864E-3</v>
      </c>
      <c r="AA1340" s="253">
        <f>_xlfn.XLOOKUP(FME_Ranking1[[#This Row],[FME ID]],FME_Input[FME_ID],FME_Input[ROAD_MILES100])</f>
        <v>3.3075048923492432</v>
      </c>
      <c r="AB1340" s="178">
        <f>(FME_Ranking1[[#This Row],[Miles Raw]]/$AA$2)*100</f>
        <v>4.3487757045870545E-2</v>
      </c>
      <c r="AC1340" s="178">
        <f>FME_Ranking1[[#This Row],[Miles Score (Normalized, Unweighted)]]*$AA$3</f>
        <v>4.3487757045870545E-3</v>
      </c>
      <c r="AD1340" s="255">
        <f>_xlfn.XLOOKUP(FME_Ranking1[[#This Row],[FME ID]],FME_Input[FME_ID],FME_Input[FARMACRE100])</f>
        <v>123.9034042358398</v>
      </c>
      <c r="AE1340" s="230">
        <f>(FME_Ranking1[[#This Row],[Ag Land Raw]]/$AD$2)*100</f>
        <v>5.1092217366398374E-3</v>
      </c>
      <c r="AF1340" s="231">
        <f>FME_Ranking1[[#This Row],[Ag Land Score (Normalized, Unweighted)]]*$AD$3</f>
        <v>2.5546108683199186E-4</v>
      </c>
      <c r="AG134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4.1009829762132424E-2</v>
      </c>
      <c r="AH1340" s="406">
        <f t="shared" si="20"/>
        <v>1371</v>
      </c>
      <c r="AI134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4.1009829762132424E-2</v>
      </c>
      <c r="AJ1340" s="257">
        <f>FME_Ranking1[[#This Row],[Addition check]]-FME_Ranking1[[#This Row],[Weighted Score Based on Normalized Reported Factors]]</f>
        <v>0</v>
      </c>
      <c r="AK1340" s="178">
        <f>_xlfn.RANK.EQ(AI1340,$AI$6:$AI$2341,0)+COUNTIF($AI$6:AI1340,AI1340)-1</f>
        <v>1371</v>
      </c>
    </row>
    <row r="1341" spans="1:37" x14ac:dyDescent="0.25">
      <c r="A1341" t="s">
        <v>3249</v>
      </c>
      <c r="B1341">
        <f>_xlfn.XLOOKUP(FME_Ranking1[[#This Row],[FME ID]],FME_Input[FME_ID],FME_Input[RFPG_NUM])</f>
        <v>1</v>
      </c>
      <c r="C1341" t="str">
        <f>_xlfn.XLOOKUP(FME_Ranking1[[#This Row],[FME ID]],FME_Input[FME_ID],FME_Input[FME_NAME])</f>
        <v>West Amarillo Creek Project Planning - Westcliff Channel Reach (City of Amarillo)</v>
      </c>
      <c r="D1341" t="str">
        <f>_xlfn.XLOOKUP(FME_Ranking1[[#This Row],[FME ID]],FME_Input[FME_ID],FME_Input[DESCR])</f>
        <v>Evaluate project to quantify benefits, evaluate impacts and begin design. Improvements include 2 additional 36" RCP at Kouba Drive and improving channel from W. 9th Ave to Kouba Dr. Project identified from 2019 Amarillo DMP.</v>
      </c>
      <c r="E1341" s="256">
        <f>_xlfn.XLOOKUP(FME_Ranking1[[#This Row],[FME ID]],FME_Input[FME_ID],FME_Input[FME_COST])</f>
        <v>250000</v>
      </c>
      <c r="F1341" t="str">
        <f>_xlfn.XLOOKUP(FME_Ranking1[[#This Row],[FME ID]],FME_Input[FME_ID],FME_Input[EMER_NEED])</f>
        <v>No</v>
      </c>
      <c r="G1341">
        <f>IF(FME_Ranking!F1341="Yes",100,0)</f>
        <v>0</v>
      </c>
      <c r="H1341">
        <f>FME_Ranking1[[#This Row],[Emergency Need Score (Normalized, Unweighted)]]*$F$3</f>
        <v>0</v>
      </c>
      <c r="I1341" s="246">
        <f>_xlfn.XLOOKUP(FME_Ranking1[[#This Row],[FME ID]],FME_Input[FME_ID],FME_Input[STRUCT_100])</f>
        <v>69</v>
      </c>
      <c r="J1341" s="178">
        <f>(FME_Ranking1[[#This Row],[Structures 100 Raw]]/I$2)*100</f>
        <v>3.6948978280426682E-2</v>
      </c>
      <c r="K1341" s="178">
        <f>FME_Ranking1[[#This Row],[Structures 100  Score (Normalized, Unweighted)]]*$I$3</f>
        <v>5.5423467420640023E-3</v>
      </c>
      <c r="L1341" s="246">
        <f>_xlfn.XLOOKUP(FME_Ranking1[[#This Row],[FME ID]],FME_Input[FME_ID],FME_Input[RES_STRUCT100])</f>
        <v>60</v>
      </c>
      <c r="M1341" s="230">
        <f>(FME_Ranking1[[#This Row],[Res Structures Raw]]/L$2)*100</f>
        <v>4.2498335481860293E-2</v>
      </c>
      <c r="N1341" s="180">
        <f>FME_Ranking1[[#This Row],[Res Structures Score (Normalized, Unweighted)]]*$L$3</f>
        <v>4.2498335481860293E-3</v>
      </c>
      <c r="O1341" s="244">
        <f>_xlfn.XLOOKUP(FME_Ranking1[[#This Row],[FME ID]],FME_Input[FME_ID],FME_Input[POP100])</f>
        <v>165</v>
      </c>
      <c r="P1341" s="178">
        <f>(FME_Ranking1[[#This Row],[Pop Raw]]/$O$2)*100</f>
        <v>1.6891926478145941E-2</v>
      </c>
      <c r="Q1341" s="178">
        <f>FME_Ranking1[[#This Row],[Pop Score (Normalized, Unweighted)]]*$O$3</f>
        <v>2.5337889717218912E-3</v>
      </c>
      <c r="R1341" s="137">
        <f>_xlfn.XLOOKUP(FME_Ranking1[[#This Row],[FME ID]],FME_Input[FME_ID],FME_Input[CRITFAC100])</f>
        <v>0</v>
      </c>
      <c r="S1341" s="230">
        <f>(FME_Ranking1[[#This Row],[Critical Facilities Raw]]/$R$2)*100</f>
        <v>0</v>
      </c>
      <c r="T1341" s="180">
        <f>FME_Ranking1[[#This Row],[Critical Facilities Score (Normalized, Unweighted)]]*$R$3</f>
        <v>0</v>
      </c>
      <c r="U1341">
        <f>_xlfn.XLOOKUP(FME_Ranking1[[#This Row],[FME ID]],FME_Input[FME_ID],FME_Input[LWC])</f>
        <v>2</v>
      </c>
      <c r="V1341" s="178">
        <f>(FME_Ranking1[[#This Row],[LWC Raw]]/$U$2)*100</f>
        <v>0.11514104778353484</v>
      </c>
      <c r="W1341" s="178">
        <f>FME_Ranking1[[#This Row],[LWC Score (Normalized, Unweighted)]]*$U$3</f>
        <v>2.302820955670697E-2</v>
      </c>
      <c r="X1341" s="246">
        <f>_xlfn.XLOOKUP(FME_Ranking1[[#This Row],[FME ID]],FME_Input[FME_ID],FME_Input[ROADCLS])</f>
        <v>2</v>
      </c>
      <c r="Y1341" s="230">
        <f>(FME_Ranking1[[#This Row],[Closures Raw]]/$X$2)*100</f>
        <v>2.1028283040689728E-2</v>
      </c>
      <c r="Z1341" s="180">
        <f>FME_Ranking1[[#This Row],[Closures Score (Normalized, Unweighted)]]*$X$3</f>
        <v>1.0514141520344864E-3</v>
      </c>
      <c r="AA1341" s="253">
        <f>_xlfn.XLOOKUP(FME_Ranking1[[#This Row],[FME ID]],FME_Input[FME_ID],FME_Input[ROAD_MILES100])</f>
        <v>3.3075048923492432</v>
      </c>
      <c r="AB1341" s="178">
        <f>(FME_Ranking1[[#This Row],[Miles Raw]]/$AA$2)*100</f>
        <v>4.3487757045870545E-2</v>
      </c>
      <c r="AC1341" s="178">
        <f>FME_Ranking1[[#This Row],[Miles Score (Normalized, Unweighted)]]*$AA$3</f>
        <v>4.3487757045870545E-3</v>
      </c>
      <c r="AD1341" s="255">
        <f>_xlfn.XLOOKUP(FME_Ranking1[[#This Row],[FME ID]],FME_Input[FME_ID],FME_Input[FARMACRE100])</f>
        <v>123.9034042358398</v>
      </c>
      <c r="AE1341" s="230">
        <f>(FME_Ranking1[[#This Row],[Ag Land Raw]]/$AD$2)*100</f>
        <v>5.1092217366398374E-3</v>
      </c>
      <c r="AF1341" s="231">
        <f>FME_Ranking1[[#This Row],[Ag Land Score (Normalized, Unweighted)]]*$AD$3</f>
        <v>2.5546108683199186E-4</v>
      </c>
      <c r="AG134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4.1009829762132424E-2</v>
      </c>
      <c r="AH1341" s="406">
        <f t="shared" si="20"/>
        <v>1371</v>
      </c>
      <c r="AI134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4.1009829762132424E-2</v>
      </c>
      <c r="AJ1341" s="257">
        <f>FME_Ranking1[[#This Row],[Addition check]]-FME_Ranking1[[#This Row],[Weighted Score Based on Normalized Reported Factors]]</f>
        <v>0</v>
      </c>
      <c r="AK1341" s="178">
        <f>_xlfn.RANK.EQ(AI1341,$AI$6:$AI$2341,0)+COUNTIF($AI$6:AI1341,AI1341)-1</f>
        <v>1372</v>
      </c>
    </row>
    <row r="1342" spans="1:37" x14ac:dyDescent="0.25">
      <c r="A1342" t="s">
        <v>3255</v>
      </c>
      <c r="B1342">
        <f>_xlfn.XLOOKUP(FME_Ranking1[[#This Row],[FME ID]],FME_Input[FME_ID],FME_Input[RFPG_NUM])</f>
        <v>1</v>
      </c>
      <c r="C1342" t="str">
        <f>_xlfn.XLOOKUP(FME_Ranking1[[#This Row],[FME ID]],FME_Input[FME_ID],FME_Input[FME_NAME])</f>
        <v>West Amarillo Creek Project Planning - Tascosa/Westwood Channel Reach (City of Amarillo)</v>
      </c>
      <c r="D1342" t="str">
        <f>_xlfn.XLOOKUP(FME_Ranking1[[#This Row],[FME ID]],FME_Input[FME_ID],FME_Input[DESCR])</f>
        <v>Evaluate project to quantify benefits, evaluate impacts and begin design. Improvements to West Amarillo Creek Study Area - Tascosa/Westwood Channel Reach. Project identified from 2019 Amarillo DMP.</v>
      </c>
      <c r="E1342" s="256">
        <f>_xlfn.XLOOKUP(FME_Ranking1[[#This Row],[FME ID]],FME_Input[FME_ID],FME_Input[FME_COST])</f>
        <v>250000</v>
      </c>
      <c r="F1342" t="str">
        <f>_xlfn.XLOOKUP(FME_Ranking1[[#This Row],[FME ID]],FME_Input[FME_ID],FME_Input[EMER_NEED])</f>
        <v>No</v>
      </c>
      <c r="G1342">
        <f>IF(FME_Ranking!F1342="Yes",100,0)</f>
        <v>0</v>
      </c>
      <c r="H1342">
        <f>FME_Ranking1[[#This Row],[Emergency Need Score (Normalized, Unweighted)]]*$F$3</f>
        <v>0</v>
      </c>
      <c r="I1342" s="246">
        <f>_xlfn.XLOOKUP(FME_Ranking1[[#This Row],[FME ID]],FME_Input[FME_ID],FME_Input[STRUCT_100])</f>
        <v>69</v>
      </c>
      <c r="J1342" s="178">
        <f>(FME_Ranking1[[#This Row],[Structures 100 Raw]]/I$2)*100</f>
        <v>3.6948978280426682E-2</v>
      </c>
      <c r="K1342" s="178">
        <f>FME_Ranking1[[#This Row],[Structures 100  Score (Normalized, Unweighted)]]*$I$3</f>
        <v>5.5423467420640023E-3</v>
      </c>
      <c r="L1342" s="246">
        <f>_xlfn.XLOOKUP(FME_Ranking1[[#This Row],[FME ID]],FME_Input[FME_ID],FME_Input[RES_STRUCT100])</f>
        <v>60</v>
      </c>
      <c r="M1342" s="230">
        <f>(FME_Ranking1[[#This Row],[Res Structures Raw]]/L$2)*100</f>
        <v>4.2498335481860293E-2</v>
      </c>
      <c r="N1342" s="180">
        <f>FME_Ranking1[[#This Row],[Res Structures Score (Normalized, Unweighted)]]*$L$3</f>
        <v>4.2498335481860293E-3</v>
      </c>
      <c r="O1342" s="244">
        <f>_xlfn.XLOOKUP(FME_Ranking1[[#This Row],[FME ID]],FME_Input[FME_ID],FME_Input[POP100])</f>
        <v>165</v>
      </c>
      <c r="P1342" s="178">
        <f>(FME_Ranking1[[#This Row],[Pop Raw]]/$O$2)*100</f>
        <v>1.6891926478145941E-2</v>
      </c>
      <c r="Q1342" s="178">
        <f>FME_Ranking1[[#This Row],[Pop Score (Normalized, Unweighted)]]*$O$3</f>
        <v>2.5337889717218912E-3</v>
      </c>
      <c r="R1342" s="137">
        <f>_xlfn.XLOOKUP(FME_Ranking1[[#This Row],[FME ID]],FME_Input[FME_ID],FME_Input[CRITFAC100])</f>
        <v>0</v>
      </c>
      <c r="S1342" s="230">
        <f>(FME_Ranking1[[#This Row],[Critical Facilities Raw]]/$R$2)*100</f>
        <v>0</v>
      </c>
      <c r="T1342" s="180">
        <f>FME_Ranking1[[#This Row],[Critical Facilities Score (Normalized, Unweighted)]]*$R$3</f>
        <v>0</v>
      </c>
      <c r="U1342">
        <f>_xlfn.XLOOKUP(FME_Ranking1[[#This Row],[FME ID]],FME_Input[FME_ID],FME_Input[LWC])</f>
        <v>2</v>
      </c>
      <c r="V1342" s="178">
        <f>(FME_Ranking1[[#This Row],[LWC Raw]]/$U$2)*100</f>
        <v>0.11514104778353484</v>
      </c>
      <c r="W1342" s="178">
        <f>FME_Ranking1[[#This Row],[LWC Score (Normalized, Unweighted)]]*$U$3</f>
        <v>2.302820955670697E-2</v>
      </c>
      <c r="X1342" s="246">
        <f>_xlfn.XLOOKUP(FME_Ranking1[[#This Row],[FME ID]],FME_Input[FME_ID],FME_Input[ROADCLS])</f>
        <v>2</v>
      </c>
      <c r="Y1342" s="230">
        <f>(FME_Ranking1[[#This Row],[Closures Raw]]/$X$2)*100</f>
        <v>2.1028283040689728E-2</v>
      </c>
      <c r="Z1342" s="180">
        <f>FME_Ranking1[[#This Row],[Closures Score (Normalized, Unweighted)]]*$X$3</f>
        <v>1.0514141520344864E-3</v>
      </c>
      <c r="AA1342" s="253">
        <f>_xlfn.XLOOKUP(FME_Ranking1[[#This Row],[FME ID]],FME_Input[FME_ID],FME_Input[ROAD_MILES100])</f>
        <v>3.3075048923492432</v>
      </c>
      <c r="AB1342" s="178">
        <f>(FME_Ranking1[[#This Row],[Miles Raw]]/$AA$2)*100</f>
        <v>4.3487757045870545E-2</v>
      </c>
      <c r="AC1342" s="178">
        <f>FME_Ranking1[[#This Row],[Miles Score (Normalized, Unweighted)]]*$AA$3</f>
        <v>4.3487757045870545E-3</v>
      </c>
      <c r="AD1342" s="255">
        <f>_xlfn.XLOOKUP(FME_Ranking1[[#This Row],[FME ID]],FME_Input[FME_ID],FME_Input[FARMACRE100])</f>
        <v>123.9034042358398</v>
      </c>
      <c r="AE1342" s="230">
        <f>(FME_Ranking1[[#This Row],[Ag Land Raw]]/$AD$2)*100</f>
        <v>5.1092217366398374E-3</v>
      </c>
      <c r="AF1342" s="231">
        <f>FME_Ranking1[[#This Row],[Ag Land Score (Normalized, Unweighted)]]*$AD$3</f>
        <v>2.5546108683199186E-4</v>
      </c>
      <c r="AG134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4.1009829762132424E-2</v>
      </c>
      <c r="AH1342" s="406">
        <f t="shared" si="20"/>
        <v>1371</v>
      </c>
      <c r="AI134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4.1009829762132424E-2</v>
      </c>
      <c r="AJ1342" s="257">
        <f>FME_Ranking1[[#This Row],[Addition check]]-FME_Ranking1[[#This Row],[Weighted Score Based on Normalized Reported Factors]]</f>
        <v>0</v>
      </c>
      <c r="AK1342" s="178">
        <f>_xlfn.RANK.EQ(AI1342,$AI$6:$AI$2341,0)+COUNTIF($AI$6:AI1342,AI1342)-1</f>
        <v>1373</v>
      </c>
    </row>
    <row r="1343" spans="1:37" x14ac:dyDescent="0.25">
      <c r="A1343" t="s">
        <v>9214</v>
      </c>
      <c r="B1343">
        <f>_xlfn.XLOOKUP(FME_Ranking1[[#This Row],[FME ID]],FME_Input[FME_ID],FME_Input[RFPG_NUM])</f>
        <v>12</v>
      </c>
      <c r="C1343" t="str">
        <f>_xlfn.XLOOKUP(FME_Ranking1[[#This Row],[FME ID]],FME_Input[FME_ID],FME_Input[FME_NAME])</f>
        <v>Damage Center 1 (Stockdale Creek)</v>
      </c>
      <c r="D1343" t="str">
        <f>_xlfn.XLOOKUP(FME_Ranking1[[#This Row],[FME ID]],FME_Input[FME_ID],FME_Input[DESCR])</f>
        <v>Stockdale Creek Stream Restoration with a natural channel design</v>
      </c>
      <c r="E1343" s="256">
        <f>_xlfn.XLOOKUP(FME_Ranking1[[#This Row],[FME ID]],FME_Input[FME_ID],FME_Input[FME_COST])</f>
        <v>3569335</v>
      </c>
      <c r="F1343" t="str">
        <f>_xlfn.XLOOKUP(FME_Ranking1[[#This Row],[FME ID]],FME_Input[FME_ID],FME_Input[EMER_NEED])</f>
        <v>Yes</v>
      </c>
      <c r="G1343">
        <f>IF(FME_Ranking!F1343="Yes",100,0)</f>
        <v>100</v>
      </c>
      <c r="H1343">
        <f>FME_Ranking1[[#This Row],[Emergency Need Score (Normalized, Unweighted)]]*$F$3</f>
        <v>0</v>
      </c>
      <c r="I1343" s="246">
        <f>_xlfn.XLOOKUP(FME_Ranking1[[#This Row],[FME ID]],FME_Input[FME_ID],FME_Input[STRUCT_100])</f>
        <v>0</v>
      </c>
      <c r="J1343" s="178">
        <f>(FME_Ranking1[[#This Row],[Structures 100 Raw]]/I$2)*100</f>
        <v>0</v>
      </c>
      <c r="K1343" s="178">
        <f>FME_Ranking1[[#This Row],[Structures 100  Score (Normalized, Unweighted)]]*$I$3</f>
        <v>0</v>
      </c>
      <c r="L1343" s="246">
        <f>_xlfn.XLOOKUP(FME_Ranking1[[#This Row],[FME ID]],FME_Input[FME_ID],FME_Input[RES_STRUCT100])</f>
        <v>0</v>
      </c>
      <c r="M1343" s="230">
        <f>(FME_Ranking1[[#This Row],[Res Structures Raw]]/L$2)*100</f>
        <v>0</v>
      </c>
      <c r="N1343" s="180">
        <f>FME_Ranking1[[#This Row],[Res Structures Score (Normalized, Unweighted)]]*$L$3</f>
        <v>0</v>
      </c>
      <c r="O1343" s="244">
        <f>_xlfn.XLOOKUP(FME_Ranking1[[#This Row],[FME ID]],FME_Input[FME_ID],FME_Input[POP100])</f>
        <v>0</v>
      </c>
      <c r="P1343" s="178">
        <f>(FME_Ranking1[[#This Row],[Pop Raw]]/$O$2)*100</f>
        <v>0</v>
      </c>
      <c r="Q1343" s="178">
        <f>FME_Ranking1[[#This Row],[Pop Score (Normalized, Unweighted)]]*$O$3</f>
        <v>0</v>
      </c>
      <c r="R1343" s="137">
        <f>_xlfn.XLOOKUP(FME_Ranking1[[#This Row],[FME ID]],FME_Input[FME_ID],FME_Input[CRITFAC100])</f>
        <v>0</v>
      </c>
      <c r="S1343" s="230">
        <f>(FME_Ranking1[[#This Row],[Critical Facilities Raw]]/$R$2)*100</f>
        <v>0</v>
      </c>
      <c r="T1343" s="180">
        <f>FME_Ranking1[[#This Row],[Critical Facilities Score (Normalized, Unweighted)]]*$R$3</f>
        <v>0</v>
      </c>
      <c r="U1343">
        <f>_xlfn.XLOOKUP(FME_Ranking1[[#This Row],[FME ID]],FME_Input[FME_ID],FME_Input[LWC])</f>
        <v>3</v>
      </c>
      <c r="V1343" s="178">
        <f>(FME_Ranking1[[#This Row],[LWC Raw]]/$U$2)*100</f>
        <v>0.17271157167530224</v>
      </c>
      <c r="W1343" s="178">
        <f>FME_Ranking1[[#This Row],[LWC Score (Normalized, Unweighted)]]*$U$3</f>
        <v>3.4542314335060449E-2</v>
      </c>
      <c r="X1343" s="246">
        <f>_xlfn.XLOOKUP(FME_Ranking1[[#This Row],[FME ID]],FME_Input[FME_ID],FME_Input[ROADCLS])</f>
        <v>4</v>
      </c>
      <c r="Y1343" s="230">
        <f>(FME_Ranking1[[#This Row],[Closures Raw]]/$X$2)*100</f>
        <v>4.2056566081379455E-2</v>
      </c>
      <c r="Z1343" s="180">
        <f>FME_Ranking1[[#This Row],[Closures Score (Normalized, Unweighted)]]*$X$3</f>
        <v>2.1028283040689729E-3</v>
      </c>
      <c r="AA1343" s="253">
        <f>_xlfn.XLOOKUP(FME_Ranking1[[#This Row],[FME ID]],FME_Input[FME_ID],FME_Input[ROAD_MILES100])</f>
        <v>0.12999999523162839</v>
      </c>
      <c r="AB1343" s="178">
        <f>(FME_Ranking1[[#This Row],[Miles Raw]]/$AA$2)*100</f>
        <v>1.7092667713582434E-3</v>
      </c>
      <c r="AC1343" s="178">
        <f>FME_Ranking1[[#This Row],[Miles Score (Normalized, Unweighted)]]*$AA$3</f>
        <v>1.7092667713582436E-4</v>
      </c>
      <c r="AD1343" s="255">
        <f>_xlfn.XLOOKUP(FME_Ranking1[[#This Row],[FME ID]],FME_Input[FME_ID],FME_Input[FARMACRE100])</f>
        <v>0.1052810028195381</v>
      </c>
      <c r="AE1343" s="230">
        <f>(FME_Ranking1[[#This Row],[Ag Land Raw]]/$AD$2)*100</f>
        <v>4.3413172654802013E-6</v>
      </c>
      <c r="AF1343" s="231">
        <f>FME_Ranking1[[#This Row],[Ag Land Score (Normalized, Unweighted)]]*$AD$3</f>
        <v>2.1706586327401008E-7</v>
      </c>
      <c r="AG134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3.681628638212852E-2</v>
      </c>
      <c r="AH1343" s="406">
        <f t="shared" si="20"/>
        <v>1409</v>
      </c>
      <c r="AI134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3.681628638212852E-2</v>
      </c>
      <c r="AJ1343" s="257">
        <f>FME_Ranking1[[#This Row],[Addition check]]-FME_Ranking1[[#This Row],[Weighted Score Based on Normalized Reported Factors]]</f>
        <v>0</v>
      </c>
      <c r="AK1343" s="178">
        <f>_xlfn.RANK.EQ(AI1343,$AI$6:$AI$2341,0)+COUNTIF($AI$6:AI1343,AI1343)-1</f>
        <v>1409</v>
      </c>
    </row>
    <row r="1344" spans="1:37" x14ac:dyDescent="0.25">
      <c r="A1344" t="s">
        <v>7099</v>
      </c>
      <c r="B1344">
        <f>_xlfn.XLOOKUP(FME_Ranking1[[#This Row],[FME ID]],FME_Input[FME_ID],FME_Input[RFPG_NUM])</f>
        <v>7</v>
      </c>
      <c r="C1344" t="str">
        <f>_xlfn.XLOOKUP(FME_Ranking1[[#This Row],[FME ID]],FME_Input[FME_ID],FME_Input[FME_NAME])</f>
        <v>City of Abilene Elm Creek Detention below Southwest Drive</v>
      </c>
      <c r="D1344" t="str">
        <f>_xlfn.XLOOKUP(FME_Ranking1[[#This Row],[FME ID]],FME_Input[FME_ID],FME_Input[DESCR])</f>
        <v>Proposed detention pond</v>
      </c>
      <c r="E1344" s="256">
        <f>_xlfn.XLOOKUP(FME_Ranking1[[#This Row],[FME ID]],FME_Input[FME_ID],FME_Input[FME_COST])</f>
        <v>700000</v>
      </c>
      <c r="F1344" t="str">
        <f>_xlfn.XLOOKUP(FME_Ranking1[[#This Row],[FME ID]],FME_Input[FME_ID],FME_Input[EMER_NEED])</f>
        <v>No</v>
      </c>
      <c r="G1344">
        <f>IF(FME_Ranking!F1344="Yes",100,0)</f>
        <v>0</v>
      </c>
      <c r="H1344">
        <f>FME_Ranking1[[#This Row],[Emergency Need Score (Normalized, Unweighted)]]*$F$3</f>
        <v>0</v>
      </c>
      <c r="I1344" s="246">
        <f>_xlfn.XLOOKUP(FME_Ranking1[[#This Row],[FME ID]],FME_Input[FME_ID],FME_Input[STRUCT_100])</f>
        <v>175</v>
      </c>
      <c r="J1344" s="178">
        <f>(FME_Ranking1[[#This Row],[Structures 100 Raw]]/I$2)*100</f>
        <v>9.371117679818361E-2</v>
      </c>
      <c r="K1344" s="178">
        <f>FME_Ranking1[[#This Row],[Structures 100  Score (Normalized, Unweighted)]]*$I$3</f>
        <v>1.4056676519727541E-2</v>
      </c>
      <c r="L1344" s="246">
        <f>_xlfn.XLOOKUP(FME_Ranking1[[#This Row],[FME ID]],FME_Input[FME_ID],FME_Input[RES_STRUCT100])</f>
        <v>168</v>
      </c>
      <c r="M1344" s="230">
        <f>(FME_Ranking1[[#This Row],[Res Structures Raw]]/L$2)*100</f>
        <v>0.11899533934920882</v>
      </c>
      <c r="N1344" s="180">
        <f>FME_Ranking1[[#This Row],[Res Structures Score (Normalized, Unweighted)]]*$L$3</f>
        <v>1.1899533934920882E-2</v>
      </c>
      <c r="O1344" s="244">
        <f>_xlfn.XLOOKUP(FME_Ranking1[[#This Row],[FME ID]],FME_Input[FME_ID],FME_Input[POP100])</f>
        <v>655</v>
      </c>
      <c r="P1344" s="178">
        <f>(FME_Ranking1[[#This Row],[Pop Raw]]/$O$2)*100</f>
        <v>6.7055829352639956E-2</v>
      </c>
      <c r="Q1344" s="178">
        <f>FME_Ranking1[[#This Row],[Pop Score (Normalized, Unweighted)]]*$O$3</f>
        <v>1.0058374402895993E-2</v>
      </c>
      <c r="R1344" s="137">
        <f>_xlfn.XLOOKUP(FME_Ranking1[[#This Row],[FME ID]],FME_Input[FME_ID],FME_Input[CRITFAC100])</f>
        <v>0</v>
      </c>
      <c r="S1344" s="230">
        <f>(FME_Ranking1[[#This Row],[Critical Facilities Raw]]/$R$2)*100</f>
        <v>0</v>
      </c>
      <c r="T1344" s="180">
        <f>FME_Ranking1[[#This Row],[Critical Facilities Score (Normalized, Unweighted)]]*$R$3</f>
        <v>0</v>
      </c>
      <c r="U1344">
        <f>_xlfn.XLOOKUP(FME_Ranking1[[#This Row],[FME ID]],FME_Input[FME_ID],FME_Input[LWC])</f>
        <v>0</v>
      </c>
      <c r="V1344" s="178">
        <f>(FME_Ranking1[[#This Row],[LWC Raw]]/$U$2)*100</f>
        <v>0</v>
      </c>
      <c r="W1344" s="178">
        <f>FME_Ranking1[[#This Row],[LWC Score (Normalized, Unweighted)]]*$U$3</f>
        <v>0</v>
      </c>
      <c r="X1344" s="246">
        <f>_xlfn.XLOOKUP(FME_Ranking1[[#This Row],[FME ID]],FME_Input[FME_ID],FME_Input[ROADCLS])</f>
        <v>0</v>
      </c>
      <c r="Y1344" s="230">
        <f>(FME_Ranking1[[#This Row],[Closures Raw]]/$X$2)*100</f>
        <v>0</v>
      </c>
      <c r="Z1344" s="180">
        <f>FME_Ranking1[[#This Row],[Closures Score (Normalized, Unweighted)]]*$X$3</f>
        <v>0</v>
      </c>
      <c r="AA1344" s="253">
        <f>_xlfn.XLOOKUP(FME_Ranking1[[#This Row],[FME ID]],FME_Input[FME_ID],FME_Input[ROAD_MILES100])</f>
        <v>3.054887056350708</v>
      </c>
      <c r="AB1344" s="178">
        <f>(FME_Ranking1[[#This Row],[Miles Raw]]/$AA$2)*100</f>
        <v>4.0166285593849528E-2</v>
      </c>
      <c r="AC1344" s="178">
        <f>FME_Ranking1[[#This Row],[Miles Score (Normalized, Unweighted)]]*$AA$3</f>
        <v>4.0166285593849528E-3</v>
      </c>
      <c r="AD1344" s="255">
        <f>_xlfn.XLOOKUP(FME_Ranking1[[#This Row],[FME ID]],FME_Input[FME_ID],FME_Input[FARMACRE100])</f>
        <v>206.63533020019531</v>
      </c>
      <c r="AE1344" s="230">
        <f>(FME_Ranking1[[#This Row],[Ag Land Raw]]/$AD$2)*100</f>
        <v>8.5207160136380432E-3</v>
      </c>
      <c r="AF1344" s="231">
        <f>FME_Ranking1[[#This Row],[Ag Land Score (Normalized, Unweighted)]]*$AD$3</f>
        <v>4.2603580068190219E-4</v>
      </c>
      <c r="AG134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4.0457249217611263E-2</v>
      </c>
      <c r="AH1344" s="406">
        <f t="shared" si="20"/>
        <v>1387</v>
      </c>
      <c r="AI134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4.0457249217611263E-2</v>
      </c>
      <c r="AJ1344" s="257">
        <f>FME_Ranking1[[#This Row],[Addition check]]-FME_Ranking1[[#This Row],[Weighted Score Based on Normalized Reported Factors]]</f>
        <v>0</v>
      </c>
      <c r="AK1344" s="178">
        <f>_xlfn.RANK.EQ(AI1344,$AI$6:$AI$2341,0)+COUNTIF($AI$6:AI1344,AI1344)-1</f>
        <v>1387</v>
      </c>
    </row>
    <row r="1345" spans="1:37" x14ac:dyDescent="0.25">
      <c r="A1345" t="s">
        <v>4708</v>
      </c>
      <c r="B1345">
        <f>_xlfn.XLOOKUP(FME_Ranking1[[#This Row],[FME ID]],FME_Input[FME_ID],FME_Input[RFPG_NUM])</f>
        <v>3</v>
      </c>
      <c r="C1345" t="str">
        <f>_xlfn.XLOOKUP(FME_Ranking1[[#This Row],[FME ID]],FME_Input[FME_ID],FME_Input[FME_NAME])</f>
        <v>East Main St &amp; NE 14th St</v>
      </c>
      <c r="D1345" t="str">
        <f>_xlfn.XLOOKUP(FME_Ranking1[[#This Row],[FME ID]],FME_Input[FME_ID],FME_Input[DESCR])</f>
        <v>Study update - Storm Drain Improvements; Estimated construction cost of $5,879,400</v>
      </c>
      <c r="E1345" s="256">
        <f>_xlfn.XLOOKUP(FME_Ranking1[[#This Row],[FME ID]],FME_Input[FME_ID],FME_Input[FME_COST])</f>
        <v>294000</v>
      </c>
      <c r="F1345" t="str">
        <f>_xlfn.XLOOKUP(FME_Ranking1[[#This Row],[FME ID]],FME_Input[FME_ID],FME_Input[EMER_NEED])</f>
        <v>No</v>
      </c>
      <c r="G1345">
        <f>IF(FME_Ranking!F1345="Yes",100,0)</f>
        <v>0</v>
      </c>
      <c r="H1345">
        <f>FME_Ranking1[[#This Row],[Emergency Need Score (Normalized, Unweighted)]]*$F$3</f>
        <v>0</v>
      </c>
      <c r="I1345" s="246">
        <f>_xlfn.XLOOKUP(FME_Ranking1[[#This Row],[FME ID]],FME_Input[FME_ID],FME_Input[STRUCT_100])</f>
        <v>18</v>
      </c>
      <c r="J1345" s="178">
        <f>(FME_Ranking1[[#This Row],[Structures 100 Raw]]/I$2)*100</f>
        <v>9.6388638992417428E-3</v>
      </c>
      <c r="K1345" s="178">
        <f>FME_Ranking1[[#This Row],[Structures 100  Score (Normalized, Unweighted)]]*$I$3</f>
        <v>1.4458295848862614E-3</v>
      </c>
      <c r="L1345" s="246">
        <f>_xlfn.XLOOKUP(FME_Ranking1[[#This Row],[FME ID]],FME_Input[FME_ID],FME_Input[RES_STRUCT100])</f>
        <v>7</v>
      </c>
      <c r="M1345" s="230">
        <f>(FME_Ranking1[[#This Row],[Res Structures Raw]]/L$2)*100</f>
        <v>4.9581391395503681E-3</v>
      </c>
      <c r="N1345" s="180">
        <f>FME_Ranking1[[#This Row],[Res Structures Score (Normalized, Unweighted)]]*$L$3</f>
        <v>4.9581391395503687E-4</v>
      </c>
      <c r="O1345" s="244">
        <f>_xlfn.XLOOKUP(FME_Ranking1[[#This Row],[FME ID]],FME_Input[FME_ID],FME_Input[POP100])</f>
        <v>1107</v>
      </c>
      <c r="P1345" s="178">
        <f>(FME_Ranking1[[#This Row],[Pop Raw]]/$O$2)*100</f>
        <v>0.11332947037156096</v>
      </c>
      <c r="Q1345" s="178">
        <f>FME_Ranking1[[#This Row],[Pop Score (Normalized, Unweighted)]]*$O$3</f>
        <v>1.6999420555734144E-2</v>
      </c>
      <c r="R1345" s="137">
        <f>_xlfn.XLOOKUP(FME_Ranking1[[#This Row],[FME ID]],FME_Input[FME_ID],FME_Input[CRITFAC100])</f>
        <v>2</v>
      </c>
      <c r="S1345" s="230">
        <f>(FME_Ranking1[[#This Row],[Critical Facilities Raw]]/$R$2)*100</f>
        <v>8.5763293310463118E-2</v>
      </c>
      <c r="T1345" s="180">
        <f>FME_Ranking1[[#This Row],[Critical Facilities Score (Normalized, Unweighted)]]*$R$3</f>
        <v>1.7152658662092625E-2</v>
      </c>
      <c r="U1345">
        <f>_xlfn.XLOOKUP(FME_Ranking1[[#This Row],[FME ID]],FME_Input[FME_ID],FME_Input[LWC])</f>
        <v>0</v>
      </c>
      <c r="V1345" s="178">
        <f>(FME_Ranking1[[#This Row],[LWC Raw]]/$U$2)*100</f>
        <v>0</v>
      </c>
      <c r="W1345" s="178">
        <f>FME_Ranking1[[#This Row],[LWC Score (Normalized, Unweighted)]]*$U$3</f>
        <v>0</v>
      </c>
      <c r="X1345" s="246">
        <f>_xlfn.XLOOKUP(FME_Ranking1[[#This Row],[FME ID]],FME_Input[FME_ID],FME_Input[ROADCLS])</f>
        <v>0</v>
      </c>
      <c r="Y1345" s="230">
        <f>(FME_Ranking1[[#This Row],[Closures Raw]]/$X$2)*100</f>
        <v>0</v>
      </c>
      <c r="Z1345" s="180">
        <f>FME_Ranking1[[#This Row],[Closures Score (Normalized, Unweighted)]]*$X$3</f>
        <v>0</v>
      </c>
      <c r="AA1345" s="253">
        <f>_xlfn.XLOOKUP(FME_Ranking1[[#This Row],[FME ID]],FME_Input[FME_ID],FME_Input[ROAD_MILES100])</f>
        <v>3.3714649677276611</v>
      </c>
      <c r="AB1345" s="178">
        <f>(FME_Ranking1[[#This Row],[Miles Raw]]/$AA$2)*100</f>
        <v>4.4328717319316008E-2</v>
      </c>
      <c r="AC1345" s="178">
        <f>FME_Ranking1[[#This Row],[Miles Score (Normalized, Unweighted)]]*$AA$3</f>
        <v>4.432871731931601E-3</v>
      </c>
      <c r="AD1345" s="255">
        <f>_xlfn.XLOOKUP(FME_Ranking1[[#This Row],[FME ID]],FME_Input[FME_ID],FME_Input[FARMACRE100])</f>
        <v>160.7330017089844</v>
      </c>
      <c r="AE1345" s="230">
        <f>(FME_Ranking1[[#This Row],[Ag Land Raw]]/$AD$2)*100</f>
        <v>6.6279094686033501E-3</v>
      </c>
      <c r="AF1345" s="231">
        <f>FME_Ranking1[[#This Row],[Ag Land Score (Normalized, Unweighted)]]*$AD$3</f>
        <v>3.3139547343016753E-4</v>
      </c>
      <c r="AG134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4.0857989922029839E-2</v>
      </c>
      <c r="AH1345" s="406">
        <f t="shared" si="20"/>
        <v>1375</v>
      </c>
      <c r="AI134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4.0857989922029839E-2</v>
      </c>
      <c r="AJ1345" s="257">
        <f>FME_Ranking1[[#This Row],[Addition check]]-FME_Ranking1[[#This Row],[Weighted Score Based on Normalized Reported Factors]]</f>
        <v>0</v>
      </c>
      <c r="AK1345" s="178">
        <f>_xlfn.RANK.EQ(AI1345,$AI$6:$AI$2341,0)+COUNTIF($AI$6:AI1345,AI1345)-1</f>
        <v>1375</v>
      </c>
    </row>
    <row r="1346" spans="1:37" x14ac:dyDescent="0.25">
      <c r="A1346" t="s">
        <v>4772</v>
      </c>
      <c r="B1346">
        <f>_xlfn.XLOOKUP(FME_Ranking1[[#This Row],[FME ID]],FME_Input[FME_ID],FME_Input[RFPG_NUM])</f>
        <v>3</v>
      </c>
      <c r="C1346" t="str">
        <f>_xlfn.XLOOKUP(FME_Ranking1[[#This Row],[FME ID]],FME_Input[FME_ID],FME_Input[FME_NAME])</f>
        <v xml:space="preserve">Turner Branch Stream Bottom Stabilization </v>
      </c>
      <c r="D1346" t="str">
        <f>_xlfn.XLOOKUP(FME_Ranking1[[#This Row],[FME ID]],FME_Input[FME_ID],FME_Input[DESCR])</f>
        <v>Evaluate the improvements needed along Turner Branch: 380 feet south of Small Hill Street to 450 feet north of East Tarrant Road; $187,200 (?)</v>
      </c>
      <c r="E1346" s="256">
        <f>_xlfn.XLOOKUP(FME_Ranking1[[#This Row],[FME ID]],FME_Input[FME_ID],FME_Input[FME_COST])</f>
        <v>250000</v>
      </c>
      <c r="F1346" t="str">
        <f>_xlfn.XLOOKUP(FME_Ranking1[[#This Row],[FME ID]],FME_Input[FME_ID],FME_Input[EMER_NEED])</f>
        <v>No</v>
      </c>
      <c r="G1346">
        <f>IF(FME_Ranking!F1346="Yes",100,0)</f>
        <v>0</v>
      </c>
      <c r="H1346">
        <f>FME_Ranking1[[#This Row],[Emergency Need Score (Normalized, Unweighted)]]*$F$3</f>
        <v>0</v>
      </c>
      <c r="I1346" s="246">
        <f>_xlfn.XLOOKUP(FME_Ranking1[[#This Row],[FME ID]],FME_Input[FME_ID],FME_Input[STRUCT_100])</f>
        <v>18</v>
      </c>
      <c r="J1346" s="178">
        <f>(FME_Ranking1[[#This Row],[Structures 100 Raw]]/I$2)*100</f>
        <v>9.6388638992417428E-3</v>
      </c>
      <c r="K1346" s="178">
        <f>FME_Ranking1[[#This Row],[Structures 100  Score (Normalized, Unweighted)]]*$I$3</f>
        <v>1.4458295848862614E-3</v>
      </c>
      <c r="L1346" s="246">
        <f>_xlfn.XLOOKUP(FME_Ranking1[[#This Row],[FME ID]],FME_Input[FME_ID],FME_Input[RES_STRUCT100])</f>
        <v>7</v>
      </c>
      <c r="M1346" s="230">
        <f>(FME_Ranking1[[#This Row],[Res Structures Raw]]/L$2)*100</f>
        <v>4.9581391395503681E-3</v>
      </c>
      <c r="N1346" s="180">
        <f>FME_Ranking1[[#This Row],[Res Structures Score (Normalized, Unweighted)]]*$L$3</f>
        <v>4.9581391395503687E-4</v>
      </c>
      <c r="O1346" s="244">
        <f>_xlfn.XLOOKUP(FME_Ranking1[[#This Row],[FME ID]],FME_Input[FME_ID],FME_Input[POP100])</f>
        <v>1107</v>
      </c>
      <c r="P1346" s="178">
        <f>(FME_Ranking1[[#This Row],[Pop Raw]]/$O$2)*100</f>
        <v>0.11332947037156096</v>
      </c>
      <c r="Q1346" s="178">
        <f>FME_Ranking1[[#This Row],[Pop Score (Normalized, Unweighted)]]*$O$3</f>
        <v>1.6999420555734144E-2</v>
      </c>
      <c r="R1346" s="137">
        <f>_xlfn.XLOOKUP(FME_Ranking1[[#This Row],[FME ID]],FME_Input[FME_ID],FME_Input[CRITFAC100])</f>
        <v>2</v>
      </c>
      <c r="S1346" s="230">
        <f>(FME_Ranking1[[#This Row],[Critical Facilities Raw]]/$R$2)*100</f>
        <v>8.5763293310463118E-2</v>
      </c>
      <c r="T1346" s="180">
        <f>FME_Ranking1[[#This Row],[Critical Facilities Score (Normalized, Unweighted)]]*$R$3</f>
        <v>1.7152658662092625E-2</v>
      </c>
      <c r="U1346">
        <f>_xlfn.XLOOKUP(FME_Ranking1[[#This Row],[FME ID]],FME_Input[FME_ID],FME_Input[LWC])</f>
        <v>0</v>
      </c>
      <c r="V1346" s="178">
        <f>(FME_Ranking1[[#This Row],[LWC Raw]]/$U$2)*100</f>
        <v>0</v>
      </c>
      <c r="W1346" s="178">
        <f>FME_Ranking1[[#This Row],[LWC Score (Normalized, Unweighted)]]*$U$3</f>
        <v>0</v>
      </c>
      <c r="X1346" s="246">
        <f>_xlfn.XLOOKUP(FME_Ranking1[[#This Row],[FME ID]],FME_Input[FME_ID],FME_Input[ROADCLS])</f>
        <v>0</v>
      </c>
      <c r="Y1346" s="230">
        <f>(FME_Ranking1[[#This Row],[Closures Raw]]/$X$2)*100</f>
        <v>0</v>
      </c>
      <c r="Z1346" s="180">
        <f>FME_Ranking1[[#This Row],[Closures Score (Normalized, Unweighted)]]*$X$3</f>
        <v>0</v>
      </c>
      <c r="AA1346" s="253">
        <f>_xlfn.XLOOKUP(FME_Ranking1[[#This Row],[FME ID]],FME_Input[FME_ID],FME_Input[ROAD_MILES100])</f>
        <v>3.3714649677276611</v>
      </c>
      <c r="AB1346" s="178">
        <f>(FME_Ranking1[[#This Row],[Miles Raw]]/$AA$2)*100</f>
        <v>4.4328717319316008E-2</v>
      </c>
      <c r="AC1346" s="178">
        <f>FME_Ranking1[[#This Row],[Miles Score (Normalized, Unweighted)]]*$AA$3</f>
        <v>4.432871731931601E-3</v>
      </c>
      <c r="AD1346" s="255">
        <f>_xlfn.XLOOKUP(FME_Ranking1[[#This Row],[FME ID]],FME_Input[FME_ID],FME_Input[FARMACRE100])</f>
        <v>160.7330017089844</v>
      </c>
      <c r="AE1346" s="230">
        <f>(FME_Ranking1[[#This Row],[Ag Land Raw]]/$AD$2)*100</f>
        <v>6.6279094686033501E-3</v>
      </c>
      <c r="AF1346" s="231">
        <f>FME_Ranking1[[#This Row],[Ag Land Score (Normalized, Unweighted)]]*$AD$3</f>
        <v>3.3139547343016753E-4</v>
      </c>
      <c r="AG134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4.0857989922029839E-2</v>
      </c>
      <c r="AH1346" s="406">
        <f t="shared" si="20"/>
        <v>1375</v>
      </c>
      <c r="AI134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4.0857989922029839E-2</v>
      </c>
      <c r="AJ1346" s="257">
        <f>FME_Ranking1[[#This Row],[Addition check]]-FME_Ranking1[[#This Row],[Weighted Score Based on Normalized Reported Factors]]</f>
        <v>0</v>
      </c>
      <c r="AK1346" s="178">
        <f>_xlfn.RANK.EQ(AI1346,$AI$6:$AI$2341,0)+COUNTIF($AI$6:AI1346,AI1346)-1</f>
        <v>1376</v>
      </c>
    </row>
    <row r="1347" spans="1:37" x14ac:dyDescent="0.25">
      <c r="A1347" t="s">
        <v>4962</v>
      </c>
      <c r="B1347">
        <f>_xlfn.XLOOKUP(FME_Ranking1[[#This Row],[FME ID]],FME_Input[FME_ID],FME_Input[RFPG_NUM])</f>
        <v>3</v>
      </c>
      <c r="C1347" t="str">
        <f>_xlfn.XLOOKUP(FME_Ranking1[[#This Row],[FME ID]],FME_Input[FME_ID],FME_Input[FME_NAME])</f>
        <v>North Grand Prairie High School Pond Crossing</v>
      </c>
      <c r="D1347" t="str">
        <f>_xlfn.XLOOKUP(FME_Ranking1[[#This Row],[FME ID]],FME_Input[FME_ID],FME_Input[DESCR])</f>
        <v>Study update - Gopher Creek 430 feet north of Small Hill St; channel improvements; Estimated construction cost of $159,500</v>
      </c>
      <c r="E1347" s="256">
        <f>_xlfn.XLOOKUP(FME_Ranking1[[#This Row],[FME ID]],FME_Input[FME_ID],FME_Input[FME_COST])</f>
        <v>250000</v>
      </c>
      <c r="F1347" t="str">
        <f>_xlfn.XLOOKUP(FME_Ranking1[[#This Row],[FME ID]],FME_Input[FME_ID],FME_Input[EMER_NEED])</f>
        <v>No</v>
      </c>
      <c r="G1347">
        <f>IF(FME_Ranking!F1347="Yes",100,0)</f>
        <v>0</v>
      </c>
      <c r="H1347">
        <f>FME_Ranking1[[#This Row],[Emergency Need Score (Normalized, Unweighted)]]*$F$3</f>
        <v>0</v>
      </c>
      <c r="I1347" s="246">
        <f>_xlfn.XLOOKUP(FME_Ranking1[[#This Row],[FME ID]],FME_Input[FME_ID],FME_Input[STRUCT_100])</f>
        <v>18</v>
      </c>
      <c r="J1347" s="178">
        <f>(FME_Ranking1[[#This Row],[Structures 100 Raw]]/I$2)*100</f>
        <v>9.6388638992417428E-3</v>
      </c>
      <c r="K1347" s="178">
        <f>FME_Ranking1[[#This Row],[Structures 100  Score (Normalized, Unweighted)]]*$I$3</f>
        <v>1.4458295848862614E-3</v>
      </c>
      <c r="L1347" s="246">
        <f>_xlfn.XLOOKUP(FME_Ranking1[[#This Row],[FME ID]],FME_Input[FME_ID],FME_Input[RES_STRUCT100])</f>
        <v>7</v>
      </c>
      <c r="M1347" s="230">
        <f>(FME_Ranking1[[#This Row],[Res Structures Raw]]/L$2)*100</f>
        <v>4.9581391395503681E-3</v>
      </c>
      <c r="N1347" s="180">
        <f>FME_Ranking1[[#This Row],[Res Structures Score (Normalized, Unweighted)]]*$L$3</f>
        <v>4.9581391395503687E-4</v>
      </c>
      <c r="O1347" s="244">
        <f>_xlfn.XLOOKUP(FME_Ranking1[[#This Row],[FME ID]],FME_Input[FME_ID],FME_Input[POP100])</f>
        <v>1107</v>
      </c>
      <c r="P1347" s="178">
        <f>(FME_Ranking1[[#This Row],[Pop Raw]]/$O$2)*100</f>
        <v>0.11332947037156096</v>
      </c>
      <c r="Q1347" s="178">
        <f>FME_Ranking1[[#This Row],[Pop Score (Normalized, Unweighted)]]*$O$3</f>
        <v>1.6999420555734144E-2</v>
      </c>
      <c r="R1347" s="137">
        <f>_xlfn.XLOOKUP(FME_Ranking1[[#This Row],[FME ID]],FME_Input[FME_ID],FME_Input[CRITFAC100])</f>
        <v>2</v>
      </c>
      <c r="S1347" s="230">
        <f>(FME_Ranking1[[#This Row],[Critical Facilities Raw]]/$R$2)*100</f>
        <v>8.5763293310463118E-2</v>
      </c>
      <c r="T1347" s="180">
        <f>FME_Ranking1[[#This Row],[Critical Facilities Score (Normalized, Unweighted)]]*$R$3</f>
        <v>1.7152658662092625E-2</v>
      </c>
      <c r="U1347">
        <f>_xlfn.XLOOKUP(FME_Ranking1[[#This Row],[FME ID]],FME_Input[FME_ID],FME_Input[LWC])</f>
        <v>0</v>
      </c>
      <c r="V1347" s="178">
        <f>(FME_Ranking1[[#This Row],[LWC Raw]]/$U$2)*100</f>
        <v>0</v>
      </c>
      <c r="W1347" s="178">
        <f>FME_Ranking1[[#This Row],[LWC Score (Normalized, Unweighted)]]*$U$3</f>
        <v>0</v>
      </c>
      <c r="X1347" s="246">
        <f>_xlfn.XLOOKUP(FME_Ranking1[[#This Row],[FME ID]],FME_Input[FME_ID],FME_Input[ROADCLS])</f>
        <v>0</v>
      </c>
      <c r="Y1347" s="230">
        <f>(FME_Ranking1[[#This Row],[Closures Raw]]/$X$2)*100</f>
        <v>0</v>
      </c>
      <c r="Z1347" s="180">
        <f>FME_Ranking1[[#This Row],[Closures Score (Normalized, Unweighted)]]*$X$3</f>
        <v>0</v>
      </c>
      <c r="AA1347" s="253">
        <f>_xlfn.XLOOKUP(FME_Ranking1[[#This Row],[FME ID]],FME_Input[FME_ID],FME_Input[ROAD_MILES100])</f>
        <v>3.3714649677276611</v>
      </c>
      <c r="AB1347" s="178">
        <f>(FME_Ranking1[[#This Row],[Miles Raw]]/$AA$2)*100</f>
        <v>4.4328717319316008E-2</v>
      </c>
      <c r="AC1347" s="178">
        <f>FME_Ranking1[[#This Row],[Miles Score (Normalized, Unweighted)]]*$AA$3</f>
        <v>4.432871731931601E-3</v>
      </c>
      <c r="AD1347" s="255">
        <f>_xlfn.XLOOKUP(FME_Ranking1[[#This Row],[FME ID]],FME_Input[FME_ID],FME_Input[FARMACRE100])</f>
        <v>160.7330017089844</v>
      </c>
      <c r="AE1347" s="230">
        <f>(FME_Ranking1[[#This Row],[Ag Land Raw]]/$AD$2)*100</f>
        <v>6.6279094686033501E-3</v>
      </c>
      <c r="AF1347" s="231">
        <f>FME_Ranking1[[#This Row],[Ag Land Score (Normalized, Unweighted)]]*$AD$3</f>
        <v>3.3139547343016753E-4</v>
      </c>
      <c r="AG134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4.0857989922029839E-2</v>
      </c>
      <c r="AH1347" s="406">
        <f t="shared" si="20"/>
        <v>1375</v>
      </c>
      <c r="AI134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4.0857989922029839E-2</v>
      </c>
      <c r="AJ1347" s="257">
        <f>FME_Ranking1[[#This Row],[Addition check]]-FME_Ranking1[[#This Row],[Weighted Score Based on Normalized Reported Factors]]</f>
        <v>0</v>
      </c>
      <c r="AK1347" s="178">
        <f>_xlfn.RANK.EQ(AI1347,$AI$6:$AI$2341,0)+COUNTIF($AI$6:AI1347,AI1347)-1</f>
        <v>1377</v>
      </c>
    </row>
    <row r="1348" spans="1:37" x14ac:dyDescent="0.25">
      <c r="A1348" t="s">
        <v>4974</v>
      </c>
      <c r="B1348">
        <f>_xlfn.XLOOKUP(FME_Ranking1[[#This Row],[FME ID]],FME_Input[FME_ID],FME_Input[RFPG_NUM])</f>
        <v>3</v>
      </c>
      <c r="C1348" t="str">
        <f>_xlfn.XLOOKUP(FME_Ranking1[[#This Row],[FME ID]],FME_Input[FME_ID],FME_Input[FME_NAME])</f>
        <v xml:space="preserve">Small Hill St at Gopher Creek </v>
      </c>
      <c r="D1348" t="str">
        <f>_xlfn.XLOOKUP(FME_Ranking1[[#This Row],[FME ID]],FME_Input[FME_ID],FME_Input[DESCR])</f>
        <v>Study update - Channel Improvements; Estimated construction cost of $307,700</v>
      </c>
      <c r="E1348" s="256">
        <f>_xlfn.XLOOKUP(FME_Ranking1[[#This Row],[FME ID]],FME_Input[FME_ID],FME_Input[FME_COST])</f>
        <v>250000</v>
      </c>
      <c r="F1348" t="str">
        <f>_xlfn.XLOOKUP(FME_Ranking1[[#This Row],[FME ID]],FME_Input[FME_ID],FME_Input[EMER_NEED])</f>
        <v>No</v>
      </c>
      <c r="G1348">
        <f>IF(FME_Ranking!F1348="Yes",100,0)</f>
        <v>0</v>
      </c>
      <c r="H1348">
        <f>FME_Ranking1[[#This Row],[Emergency Need Score (Normalized, Unweighted)]]*$F$3</f>
        <v>0</v>
      </c>
      <c r="I1348" s="246">
        <f>_xlfn.XLOOKUP(FME_Ranking1[[#This Row],[FME ID]],FME_Input[FME_ID],FME_Input[STRUCT_100])</f>
        <v>18</v>
      </c>
      <c r="J1348" s="178">
        <f>(FME_Ranking1[[#This Row],[Structures 100 Raw]]/I$2)*100</f>
        <v>9.6388638992417428E-3</v>
      </c>
      <c r="K1348" s="178">
        <f>FME_Ranking1[[#This Row],[Structures 100  Score (Normalized, Unweighted)]]*$I$3</f>
        <v>1.4458295848862614E-3</v>
      </c>
      <c r="L1348" s="246">
        <f>_xlfn.XLOOKUP(FME_Ranking1[[#This Row],[FME ID]],FME_Input[FME_ID],FME_Input[RES_STRUCT100])</f>
        <v>7</v>
      </c>
      <c r="M1348" s="230">
        <f>(FME_Ranking1[[#This Row],[Res Structures Raw]]/L$2)*100</f>
        <v>4.9581391395503681E-3</v>
      </c>
      <c r="N1348" s="180">
        <f>FME_Ranking1[[#This Row],[Res Structures Score (Normalized, Unweighted)]]*$L$3</f>
        <v>4.9581391395503687E-4</v>
      </c>
      <c r="O1348" s="244">
        <f>_xlfn.XLOOKUP(FME_Ranking1[[#This Row],[FME ID]],FME_Input[FME_ID],FME_Input[POP100])</f>
        <v>1107</v>
      </c>
      <c r="P1348" s="178">
        <f>(FME_Ranking1[[#This Row],[Pop Raw]]/$O$2)*100</f>
        <v>0.11332947037156096</v>
      </c>
      <c r="Q1348" s="178">
        <f>FME_Ranking1[[#This Row],[Pop Score (Normalized, Unweighted)]]*$O$3</f>
        <v>1.6999420555734144E-2</v>
      </c>
      <c r="R1348" s="137">
        <f>_xlfn.XLOOKUP(FME_Ranking1[[#This Row],[FME ID]],FME_Input[FME_ID],FME_Input[CRITFAC100])</f>
        <v>2</v>
      </c>
      <c r="S1348" s="230">
        <f>(FME_Ranking1[[#This Row],[Critical Facilities Raw]]/$R$2)*100</f>
        <v>8.5763293310463118E-2</v>
      </c>
      <c r="T1348" s="180">
        <f>FME_Ranking1[[#This Row],[Critical Facilities Score (Normalized, Unweighted)]]*$R$3</f>
        <v>1.7152658662092625E-2</v>
      </c>
      <c r="U1348">
        <f>_xlfn.XLOOKUP(FME_Ranking1[[#This Row],[FME ID]],FME_Input[FME_ID],FME_Input[LWC])</f>
        <v>0</v>
      </c>
      <c r="V1348" s="178">
        <f>(FME_Ranking1[[#This Row],[LWC Raw]]/$U$2)*100</f>
        <v>0</v>
      </c>
      <c r="W1348" s="178">
        <f>FME_Ranking1[[#This Row],[LWC Score (Normalized, Unweighted)]]*$U$3</f>
        <v>0</v>
      </c>
      <c r="X1348" s="246">
        <f>_xlfn.XLOOKUP(FME_Ranking1[[#This Row],[FME ID]],FME_Input[FME_ID],FME_Input[ROADCLS])</f>
        <v>0</v>
      </c>
      <c r="Y1348" s="230">
        <f>(FME_Ranking1[[#This Row],[Closures Raw]]/$X$2)*100</f>
        <v>0</v>
      </c>
      <c r="Z1348" s="180">
        <f>FME_Ranking1[[#This Row],[Closures Score (Normalized, Unweighted)]]*$X$3</f>
        <v>0</v>
      </c>
      <c r="AA1348" s="253">
        <f>_xlfn.XLOOKUP(FME_Ranking1[[#This Row],[FME ID]],FME_Input[FME_ID],FME_Input[ROAD_MILES100])</f>
        <v>3.3714649677276611</v>
      </c>
      <c r="AB1348" s="178">
        <f>(FME_Ranking1[[#This Row],[Miles Raw]]/$AA$2)*100</f>
        <v>4.4328717319316008E-2</v>
      </c>
      <c r="AC1348" s="178">
        <f>FME_Ranking1[[#This Row],[Miles Score (Normalized, Unweighted)]]*$AA$3</f>
        <v>4.432871731931601E-3</v>
      </c>
      <c r="AD1348" s="255">
        <f>_xlfn.XLOOKUP(FME_Ranking1[[#This Row],[FME ID]],FME_Input[FME_ID],FME_Input[FARMACRE100])</f>
        <v>160.7330017089844</v>
      </c>
      <c r="AE1348" s="230">
        <f>(FME_Ranking1[[#This Row],[Ag Land Raw]]/$AD$2)*100</f>
        <v>6.6279094686033501E-3</v>
      </c>
      <c r="AF1348" s="231">
        <f>FME_Ranking1[[#This Row],[Ag Land Score (Normalized, Unweighted)]]*$AD$3</f>
        <v>3.3139547343016753E-4</v>
      </c>
      <c r="AG134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4.0857989922029839E-2</v>
      </c>
      <c r="AH1348" s="406">
        <f t="shared" si="20"/>
        <v>1375</v>
      </c>
      <c r="AI134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4.0857989922029839E-2</v>
      </c>
      <c r="AJ1348" s="257">
        <f>FME_Ranking1[[#This Row],[Addition check]]-FME_Ranking1[[#This Row],[Weighted Score Based on Normalized Reported Factors]]</f>
        <v>0</v>
      </c>
      <c r="AK1348" s="178">
        <f>_xlfn.RANK.EQ(AI1348,$AI$6:$AI$2341,0)+COUNTIF($AI$6:AI1348,AI1348)-1</f>
        <v>1378</v>
      </c>
    </row>
    <row r="1349" spans="1:37" x14ac:dyDescent="0.25">
      <c r="A1349" t="s">
        <v>4983</v>
      </c>
      <c r="B1349">
        <f>_xlfn.XLOOKUP(FME_Ranking1[[#This Row],[FME ID]],FME_Input[FME_ID],FME_Input[RFPG_NUM])</f>
        <v>3</v>
      </c>
      <c r="C1349" t="str">
        <f>_xlfn.XLOOKUP(FME_Ranking1[[#This Row],[FME ID]],FME_Input[FME_ID],FME_Input[FME_NAME])</f>
        <v xml:space="preserve">East Tarrant Rd at Gopher Creek </v>
      </c>
      <c r="D1349" t="str">
        <f>_xlfn.XLOOKUP(FME_Ranking1[[#This Row],[FME ID]],FME_Input[FME_ID],FME_Input[DESCR])</f>
        <v>Study update - Channel Improvements; Estimated construction cost of $381,300</v>
      </c>
      <c r="E1349" s="256">
        <f>_xlfn.XLOOKUP(FME_Ranking1[[#This Row],[FME ID]],FME_Input[FME_ID],FME_Input[FME_COST])</f>
        <v>250000</v>
      </c>
      <c r="F1349" t="str">
        <f>_xlfn.XLOOKUP(FME_Ranking1[[#This Row],[FME ID]],FME_Input[FME_ID],FME_Input[EMER_NEED])</f>
        <v>No</v>
      </c>
      <c r="G1349">
        <f>IF(FME_Ranking!F1349="Yes",100,0)</f>
        <v>0</v>
      </c>
      <c r="H1349">
        <f>FME_Ranking1[[#This Row],[Emergency Need Score (Normalized, Unweighted)]]*$F$3</f>
        <v>0</v>
      </c>
      <c r="I1349" s="246">
        <f>_xlfn.XLOOKUP(FME_Ranking1[[#This Row],[FME ID]],FME_Input[FME_ID],FME_Input[STRUCT_100])</f>
        <v>18</v>
      </c>
      <c r="J1349" s="178">
        <f>(FME_Ranking1[[#This Row],[Structures 100 Raw]]/I$2)*100</f>
        <v>9.6388638992417428E-3</v>
      </c>
      <c r="K1349" s="178">
        <f>FME_Ranking1[[#This Row],[Structures 100  Score (Normalized, Unweighted)]]*$I$3</f>
        <v>1.4458295848862614E-3</v>
      </c>
      <c r="L1349" s="246">
        <f>_xlfn.XLOOKUP(FME_Ranking1[[#This Row],[FME ID]],FME_Input[FME_ID],FME_Input[RES_STRUCT100])</f>
        <v>7</v>
      </c>
      <c r="M1349" s="230">
        <f>(FME_Ranking1[[#This Row],[Res Structures Raw]]/L$2)*100</f>
        <v>4.9581391395503681E-3</v>
      </c>
      <c r="N1349" s="180">
        <f>FME_Ranking1[[#This Row],[Res Structures Score (Normalized, Unweighted)]]*$L$3</f>
        <v>4.9581391395503687E-4</v>
      </c>
      <c r="O1349" s="244">
        <f>_xlfn.XLOOKUP(FME_Ranking1[[#This Row],[FME ID]],FME_Input[FME_ID],FME_Input[POP100])</f>
        <v>1107</v>
      </c>
      <c r="P1349" s="178">
        <f>(FME_Ranking1[[#This Row],[Pop Raw]]/$O$2)*100</f>
        <v>0.11332947037156096</v>
      </c>
      <c r="Q1349" s="178">
        <f>FME_Ranking1[[#This Row],[Pop Score (Normalized, Unweighted)]]*$O$3</f>
        <v>1.6999420555734144E-2</v>
      </c>
      <c r="R1349" s="137">
        <f>_xlfn.XLOOKUP(FME_Ranking1[[#This Row],[FME ID]],FME_Input[FME_ID],FME_Input[CRITFAC100])</f>
        <v>2</v>
      </c>
      <c r="S1349" s="230">
        <f>(FME_Ranking1[[#This Row],[Critical Facilities Raw]]/$R$2)*100</f>
        <v>8.5763293310463118E-2</v>
      </c>
      <c r="T1349" s="180">
        <f>FME_Ranking1[[#This Row],[Critical Facilities Score (Normalized, Unweighted)]]*$R$3</f>
        <v>1.7152658662092625E-2</v>
      </c>
      <c r="U1349">
        <f>_xlfn.XLOOKUP(FME_Ranking1[[#This Row],[FME ID]],FME_Input[FME_ID],FME_Input[LWC])</f>
        <v>0</v>
      </c>
      <c r="V1349" s="178">
        <f>(FME_Ranking1[[#This Row],[LWC Raw]]/$U$2)*100</f>
        <v>0</v>
      </c>
      <c r="W1349" s="178">
        <f>FME_Ranking1[[#This Row],[LWC Score (Normalized, Unweighted)]]*$U$3</f>
        <v>0</v>
      </c>
      <c r="X1349" s="246">
        <f>_xlfn.XLOOKUP(FME_Ranking1[[#This Row],[FME ID]],FME_Input[FME_ID],FME_Input[ROADCLS])</f>
        <v>0</v>
      </c>
      <c r="Y1349" s="230">
        <f>(FME_Ranking1[[#This Row],[Closures Raw]]/$X$2)*100</f>
        <v>0</v>
      </c>
      <c r="Z1349" s="180">
        <f>FME_Ranking1[[#This Row],[Closures Score (Normalized, Unweighted)]]*$X$3</f>
        <v>0</v>
      </c>
      <c r="AA1349" s="253">
        <f>_xlfn.XLOOKUP(FME_Ranking1[[#This Row],[FME ID]],FME_Input[FME_ID],FME_Input[ROAD_MILES100])</f>
        <v>3.3714649677276611</v>
      </c>
      <c r="AB1349" s="178">
        <f>(FME_Ranking1[[#This Row],[Miles Raw]]/$AA$2)*100</f>
        <v>4.4328717319316008E-2</v>
      </c>
      <c r="AC1349" s="178">
        <f>FME_Ranking1[[#This Row],[Miles Score (Normalized, Unweighted)]]*$AA$3</f>
        <v>4.432871731931601E-3</v>
      </c>
      <c r="AD1349" s="255">
        <f>_xlfn.XLOOKUP(FME_Ranking1[[#This Row],[FME ID]],FME_Input[FME_ID],FME_Input[FARMACRE100])</f>
        <v>160.7330017089844</v>
      </c>
      <c r="AE1349" s="230">
        <f>(FME_Ranking1[[#This Row],[Ag Land Raw]]/$AD$2)*100</f>
        <v>6.6279094686033501E-3</v>
      </c>
      <c r="AF1349" s="231">
        <f>FME_Ranking1[[#This Row],[Ag Land Score (Normalized, Unweighted)]]*$AD$3</f>
        <v>3.3139547343016753E-4</v>
      </c>
      <c r="AG134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4.0857989922029839E-2</v>
      </c>
      <c r="AH1349" s="406">
        <f t="shared" si="20"/>
        <v>1375</v>
      </c>
      <c r="AI134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4.0857989922029839E-2</v>
      </c>
      <c r="AJ1349" s="257">
        <f>FME_Ranking1[[#This Row],[Addition check]]-FME_Ranking1[[#This Row],[Weighted Score Based on Normalized Reported Factors]]</f>
        <v>0</v>
      </c>
      <c r="AK1349" s="178">
        <f>_xlfn.RANK.EQ(AI1349,$AI$6:$AI$2341,0)+COUNTIF($AI$6:AI1349,AI1349)-1</f>
        <v>1379</v>
      </c>
    </row>
    <row r="1350" spans="1:37" x14ac:dyDescent="0.25">
      <c r="A1350" t="s">
        <v>4986</v>
      </c>
      <c r="B1350">
        <f>_xlfn.XLOOKUP(FME_Ranking1[[#This Row],[FME ID]],FME_Input[FME_ID],FME_Input[RFPG_NUM])</f>
        <v>3</v>
      </c>
      <c r="C1350" t="str">
        <f>_xlfn.XLOOKUP(FME_Ranking1[[#This Row],[FME ID]],FME_Input[FME_ID],FME_Input[FME_NAME])</f>
        <v xml:space="preserve">NE 5th St at Gopher Creek </v>
      </c>
      <c r="D1350" t="str">
        <f>_xlfn.XLOOKUP(FME_Ranking1[[#This Row],[FME ID]],FME_Input[FME_ID],FME_Input[DESCR])</f>
        <v>Study update - Channel Improvements; Estimated construction cost of $390,200</v>
      </c>
      <c r="E1350" s="256">
        <f>_xlfn.XLOOKUP(FME_Ranking1[[#This Row],[FME ID]],FME_Input[FME_ID],FME_Input[FME_COST])</f>
        <v>250000</v>
      </c>
      <c r="F1350" t="str">
        <f>_xlfn.XLOOKUP(FME_Ranking1[[#This Row],[FME ID]],FME_Input[FME_ID],FME_Input[EMER_NEED])</f>
        <v>No</v>
      </c>
      <c r="G1350">
        <f>IF(FME_Ranking!F1350="Yes",100,0)</f>
        <v>0</v>
      </c>
      <c r="H1350">
        <f>FME_Ranking1[[#This Row],[Emergency Need Score (Normalized, Unweighted)]]*$F$3</f>
        <v>0</v>
      </c>
      <c r="I1350" s="246">
        <f>_xlfn.XLOOKUP(FME_Ranking1[[#This Row],[FME ID]],FME_Input[FME_ID],FME_Input[STRUCT_100])</f>
        <v>18</v>
      </c>
      <c r="J1350" s="178">
        <f>(FME_Ranking1[[#This Row],[Structures 100 Raw]]/I$2)*100</f>
        <v>9.6388638992417428E-3</v>
      </c>
      <c r="K1350" s="178">
        <f>FME_Ranking1[[#This Row],[Structures 100  Score (Normalized, Unweighted)]]*$I$3</f>
        <v>1.4458295848862614E-3</v>
      </c>
      <c r="L1350" s="246">
        <f>_xlfn.XLOOKUP(FME_Ranking1[[#This Row],[FME ID]],FME_Input[FME_ID],FME_Input[RES_STRUCT100])</f>
        <v>7</v>
      </c>
      <c r="M1350" s="230">
        <f>(FME_Ranking1[[#This Row],[Res Structures Raw]]/L$2)*100</f>
        <v>4.9581391395503681E-3</v>
      </c>
      <c r="N1350" s="180">
        <f>FME_Ranking1[[#This Row],[Res Structures Score (Normalized, Unweighted)]]*$L$3</f>
        <v>4.9581391395503687E-4</v>
      </c>
      <c r="O1350" s="244">
        <f>_xlfn.XLOOKUP(FME_Ranking1[[#This Row],[FME ID]],FME_Input[FME_ID],FME_Input[POP100])</f>
        <v>1107</v>
      </c>
      <c r="P1350" s="178">
        <f>(FME_Ranking1[[#This Row],[Pop Raw]]/$O$2)*100</f>
        <v>0.11332947037156096</v>
      </c>
      <c r="Q1350" s="178">
        <f>FME_Ranking1[[#This Row],[Pop Score (Normalized, Unweighted)]]*$O$3</f>
        <v>1.6999420555734144E-2</v>
      </c>
      <c r="R1350" s="137">
        <f>_xlfn.XLOOKUP(FME_Ranking1[[#This Row],[FME ID]],FME_Input[FME_ID],FME_Input[CRITFAC100])</f>
        <v>2</v>
      </c>
      <c r="S1350" s="230">
        <f>(FME_Ranking1[[#This Row],[Critical Facilities Raw]]/$R$2)*100</f>
        <v>8.5763293310463118E-2</v>
      </c>
      <c r="T1350" s="180">
        <f>FME_Ranking1[[#This Row],[Critical Facilities Score (Normalized, Unweighted)]]*$R$3</f>
        <v>1.7152658662092625E-2</v>
      </c>
      <c r="U1350">
        <f>_xlfn.XLOOKUP(FME_Ranking1[[#This Row],[FME ID]],FME_Input[FME_ID],FME_Input[LWC])</f>
        <v>0</v>
      </c>
      <c r="V1350" s="178">
        <f>(FME_Ranking1[[#This Row],[LWC Raw]]/$U$2)*100</f>
        <v>0</v>
      </c>
      <c r="W1350" s="178">
        <f>FME_Ranking1[[#This Row],[LWC Score (Normalized, Unweighted)]]*$U$3</f>
        <v>0</v>
      </c>
      <c r="X1350" s="246">
        <f>_xlfn.XLOOKUP(FME_Ranking1[[#This Row],[FME ID]],FME_Input[FME_ID],FME_Input[ROADCLS])</f>
        <v>0</v>
      </c>
      <c r="Y1350" s="230">
        <f>(FME_Ranking1[[#This Row],[Closures Raw]]/$X$2)*100</f>
        <v>0</v>
      </c>
      <c r="Z1350" s="180">
        <f>FME_Ranking1[[#This Row],[Closures Score (Normalized, Unweighted)]]*$X$3</f>
        <v>0</v>
      </c>
      <c r="AA1350" s="253">
        <f>_xlfn.XLOOKUP(FME_Ranking1[[#This Row],[FME ID]],FME_Input[FME_ID],FME_Input[ROAD_MILES100])</f>
        <v>3.3714649677276611</v>
      </c>
      <c r="AB1350" s="178">
        <f>(FME_Ranking1[[#This Row],[Miles Raw]]/$AA$2)*100</f>
        <v>4.4328717319316008E-2</v>
      </c>
      <c r="AC1350" s="178">
        <f>FME_Ranking1[[#This Row],[Miles Score (Normalized, Unweighted)]]*$AA$3</f>
        <v>4.432871731931601E-3</v>
      </c>
      <c r="AD1350" s="255">
        <f>_xlfn.XLOOKUP(FME_Ranking1[[#This Row],[FME ID]],FME_Input[FME_ID],FME_Input[FARMACRE100])</f>
        <v>160.7330017089844</v>
      </c>
      <c r="AE1350" s="230">
        <f>(FME_Ranking1[[#This Row],[Ag Land Raw]]/$AD$2)*100</f>
        <v>6.6279094686033501E-3</v>
      </c>
      <c r="AF1350" s="231">
        <f>FME_Ranking1[[#This Row],[Ag Land Score (Normalized, Unweighted)]]*$AD$3</f>
        <v>3.3139547343016753E-4</v>
      </c>
      <c r="AG135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4.0857989922029839E-2</v>
      </c>
      <c r="AH1350" s="406">
        <f t="shared" ref="AH1350:AH1413" si="21">_xlfn.RANK.EQ(AG1350,$AG$6:$AG$2341,0)</f>
        <v>1375</v>
      </c>
      <c r="AI135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4.0857989922029839E-2</v>
      </c>
      <c r="AJ1350" s="257">
        <f>FME_Ranking1[[#This Row],[Addition check]]-FME_Ranking1[[#This Row],[Weighted Score Based on Normalized Reported Factors]]</f>
        <v>0</v>
      </c>
      <c r="AK1350" s="178">
        <f>_xlfn.RANK.EQ(AI1350,$AI$6:$AI$2341,0)+COUNTIF($AI$6:AI1350,AI1350)-1</f>
        <v>1380</v>
      </c>
    </row>
    <row r="1351" spans="1:37" x14ac:dyDescent="0.25">
      <c r="A1351" t="s">
        <v>4989</v>
      </c>
      <c r="B1351">
        <f>_xlfn.XLOOKUP(FME_Ranking1[[#This Row],[FME ID]],FME_Input[FME_ID],FME_Input[RFPG_NUM])</f>
        <v>3</v>
      </c>
      <c r="C1351" t="str">
        <f>_xlfn.XLOOKUP(FME_Ranking1[[#This Row],[FME ID]],FME_Input[FME_ID],FME_Input[FME_NAME])</f>
        <v xml:space="preserve">High School Drive at Gopher Creek </v>
      </c>
      <c r="D1351" t="str">
        <f>_xlfn.XLOOKUP(FME_Ranking1[[#This Row],[FME ID]],FME_Input[FME_ID],FME_Input[DESCR])</f>
        <v>Study update - Channel Improvements; Estimated construction cost of $402,400</v>
      </c>
      <c r="E1351" s="256">
        <f>_xlfn.XLOOKUP(FME_Ranking1[[#This Row],[FME ID]],FME_Input[FME_ID],FME_Input[FME_COST])</f>
        <v>250000</v>
      </c>
      <c r="F1351" t="str">
        <f>_xlfn.XLOOKUP(FME_Ranking1[[#This Row],[FME ID]],FME_Input[FME_ID],FME_Input[EMER_NEED])</f>
        <v>No</v>
      </c>
      <c r="G1351">
        <f>IF(FME_Ranking!F1351="Yes",100,0)</f>
        <v>0</v>
      </c>
      <c r="H1351">
        <f>FME_Ranking1[[#This Row],[Emergency Need Score (Normalized, Unweighted)]]*$F$3</f>
        <v>0</v>
      </c>
      <c r="I1351" s="246">
        <f>_xlfn.XLOOKUP(FME_Ranking1[[#This Row],[FME ID]],FME_Input[FME_ID],FME_Input[STRUCT_100])</f>
        <v>18</v>
      </c>
      <c r="J1351" s="178">
        <f>(FME_Ranking1[[#This Row],[Structures 100 Raw]]/I$2)*100</f>
        <v>9.6388638992417428E-3</v>
      </c>
      <c r="K1351" s="178">
        <f>FME_Ranking1[[#This Row],[Structures 100  Score (Normalized, Unweighted)]]*$I$3</f>
        <v>1.4458295848862614E-3</v>
      </c>
      <c r="L1351" s="246">
        <f>_xlfn.XLOOKUP(FME_Ranking1[[#This Row],[FME ID]],FME_Input[FME_ID],FME_Input[RES_STRUCT100])</f>
        <v>7</v>
      </c>
      <c r="M1351" s="230">
        <f>(FME_Ranking1[[#This Row],[Res Structures Raw]]/L$2)*100</f>
        <v>4.9581391395503681E-3</v>
      </c>
      <c r="N1351" s="180">
        <f>FME_Ranking1[[#This Row],[Res Structures Score (Normalized, Unweighted)]]*$L$3</f>
        <v>4.9581391395503687E-4</v>
      </c>
      <c r="O1351" s="244">
        <f>_xlfn.XLOOKUP(FME_Ranking1[[#This Row],[FME ID]],FME_Input[FME_ID],FME_Input[POP100])</f>
        <v>1107</v>
      </c>
      <c r="P1351" s="178">
        <f>(FME_Ranking1[[#This Row],[Pop Raw]]/$O$2)*100</f>
        <v>0.11332947037156096</v>
      </c>
      <c r="Q1351" s="178">
        <f>FME_Ranking1[[#This Row],[Pop Score (Normalized, Unweighted)]]*$O$3</f>
        <v>1.6999420555734144E-2</v>
      </c>
      <c r="R1351" s="137">
        <f>_xlfn.XLOOKUP(FME_Ranking1[[#This Row],[FME ID]],FME_Input[FME_ID],FME_Input[CRITFAC100])</f>
        <v>2</v>
      </c>
      <c r="S1351" s="230">
        <f>(FME_Ranking1[[#This Row],[Critical Facilities Raw]]/$R$2)*100</f>
        <v>8.5763293310463118E-2</v>
      </c>
      <c r="T1351" s="180">
        <f>FME_Ranking1[[#This Row],[Critical Facilities Score (Normalized, Unweighted)]]*$R$3</f>
        <v>1.7152658662092625E-2</v>
      </c>
      <c r="U1351">
        <f>_xlfn.XLOOKUP(FME_Ranking1[[#This Row],[FME ID]],FME_Input[FME_ID],FME_Input[LWC])</f>
        <v>0</v>
      </c>
      <c r="V1351" s="178">
        <f>(FME_Ranking1[[#This Row],[LWC Raw]]/$U$2)*100</f>
        <v>0</v>
      </c>
      <c r="W1351" s="178">
        <f>FME_Ranking1[[#This Row],[LWC Score (Normalized, Unweighted)]]*$U$3</f>
        <v>0</v>
      </c>
      <c r="X1351" s="246">
        <f>_xlfn.XLOOKUP(FME_Ranking1[[#This Row],[FME ID]],FME_Input[FME_ID],FME_Input[ROADCLS])</f>
        <v>0</v>
      </c>
      <c r="Y1351" s="230">
        <f>(FME_Ranking1[[#This Row],[Closures Raw]]/$X$2)*100</f>
        <v>0</v>
      </c>
      <c r="Z1351" s="180">
        <f>FME_Ranking1[[#This Row],[Closures Score (Normalized, Unweighted)]]*$X$3</f>
        <v>0</v>
      </c>
      <c r="AA1351" s="253">
        <f>_xlfn.XLOOKUP(FME_Ranking1[[#This Row],[FME ID]],FME_Input[FME_ID],FME_Input[ROAD_MILES100])</f>
        <v>3.3714649677276611</v>
      </c>
      <c r="AB1351" s="178">
        <f>(FME_Ranking1[[#This Row],[Miles Raw]]/$AA$2)*100</f>
        <v>4.4328717319316008E-2</v>
      </c>
      <c r="AC1351" s="178">
        <f>FME_Ranking1[[#This Row],[Miles Score (Normalized, Unweighted)]]*$AA$3</f>
        <v>4.432871731931601E-3</v>
      </c>
      <c r="AD1351" s="255">
        <f>_xlfn.XLOOKUP(FME_Ranking1[[#This Row],[FME ID]],FME_Input[FME_ID],FME_Input[FARMACRE100])</f>
        <v>160.7330017089844</v>
      </c>
      <c r="AE1351" s="230">
        <f>(FME_Ranking1[[#This Row],[Ag Land Raw]]/$AD$2)*100</f>
        <v>6.6279094686033501E-3</v>
      </c>
      <c r="AF1351" s="231">
        <f>FME_Ranking1[[#This Row],[Ag Land Score (Normalized, Unweighted)]]*$AD$3</f>
        <v>3.3139547343016753E-4</v>
      </c>
      <c r="AG135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4.0857989922029839E-2</v>
      </c>
      <c r="AH1351" s="406">
        <f t="shared" si="21"/>
        <v>1375</v>
      </c>
      <c r="AI135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4.0857989922029839E-2</v>
      </c>
      <c r="AJ1351" s="257">
        <f>FME_Ranking1[[#This Row],[Addition check]]-FME_Ranking1[[#This Row],[Weighted Score Based on Normalized Reported Factors]]</f>
        <v>0</v>
      </c>
      <c r="AK1351" s="178">
        <f>_xlfn.RANK.EQ(AI1351,$AI$6:$AI$2341,0)+COUNTIF($AI$6:AI1351,AI1351)-1</f>
        <v>1381</v>
      </c>
    </row>
    <row r="1352" spans="1:37" x14ac:dyDescent="0.25">
      <c r="A1352" t="s">
        <v>4992</v>
      </c>
      <c r="B1352">
        <f>_xlfn.XLOOKUP(FME_Ranking1[[#This Row],[FME ID]],FME_Input[FME_ID],FME_Input[RFPG_NUM])</f>
        <v>3</v>
      </c>
      <c r="C1352" t="str">
        <f>_xlfn.XLOOKUP(FME_Ranking1[[#This Row],[FME ID]],FME_Input[FME_ID],FME_Input[FME_NAME])</f>
        <v xml:space="preserve">West Park Square Rd at Turner Branch </v>
      </c>
      <c r="D1352" t="str">
        <f>_xlfn.XLOOKUP(FME_Ranking1[[#This Row],[FME ID]],FME_Input[FME_ID],FME_Input[DESCR])</f>
        <v>Study update - Channel Improvements; Estimated construction cost of $445,200</v>
      </c>
      <c r="E1352" s="256">
        <f>_xlfn.XLOOKUP(FME_Ranking1[[#This Row],[FME ID]],FME_Input[FME_ID],FME_Input[FME_COST])</f>
        <v>250000</v>
      </c>
      <c r="F1352" t="str">
        <f>_xlfn.XLOOKUP(FME_Ranking1[[#This Row],[FME ID]],FME_Input[FME_ID],FME_Input[EMER_NEED])</f>
        <v>No</v>
      </c>
      <c r="G1352">
        <f>IF(FME_Ranking!F1352="Yes",100,0)</f>
        <v>0</v>
      </c>
      <c r="H1352">
        <f>FME_Ranking1[[#This Row],[Emergency Need Score (Normalized, Unweighted)]]*$F$3</f>
        <v>0</v>
      </c>
      <c r="I1352" s="246">
        <f>_xlfn.XLOOKUP(FME_Ranking1[[#This Row],[FME ID]],FME_Input[FME_ID],FME_Input[STRUCT_100])</f>
        <v>18</v>
      </c>
      <c r="J1352" s="178">
        <f>(FME_Ranking1[[#This Row],[Structures 100 Raw]]/I$2)*100</f>
        <v>9.6388638992417428E-3</v>
      </c>
      <c r="K1352" s="178">
        <f>FME_Ranking1[[#This Row],[Structures 100  Score (Normalized, Unweighted)]]*$I$3</f>
        <v>1.4458295848862614E-3</v>
      </c>
      <c r="L1352" s="246">
        <f>_xlfn.XLOOKUP(FME_Ranking1[[#This Row],[FME ID]],FME_Input[FME_ID],FME_Input[RES_STRUCT100])</f>
        <v>7</v>
      </c>
      <c r="M1352" s="230">
        <f>(FME_Ranking1[[#This Row],[Res Structures Raw]]/L$2)*100</f>
        <v>4.9581391395503681E-3</v>
      </c>
      <c r="N1352" s="180">
        <f>FME_Ranking1[[#This Row],[Res Structures Score (Normalized, Unweighted)]]*$L$3</f>
        <v>4.9581391395503687E-4</v>
      </c>
      <c r="O1352" s="244">
        <f>_xlfn.XLOOKUP(FME_Ranking1[[#This Row],[FME ID]],FME_Input[FME_ID],FME_Input[POP100])</f>
        <v>1107</v>
      </c>
      <c r="P1352" s="178">
        <f>(FME_Ranking1[[#This Row],[Pop Raw]]/$O$2)*100</f>
        <v>0.11332947037156096</v>
      </c>
      <c r="Q1352" s="178">
        <f>FME_Ranking1[[#This Row],[Pop Score (Normalized, Unweighted)]]*$O$3</f>
        <v>1.6999420555734144E-2</v>
      </c>
      <c r="R1352" s="137">
        <f>_xlfn.XLOOKUP(FME_Ranking1[[#This Row],[FME ID]],FME_Input[FME_ID],FME_Input[CRITFAC100])</f>
        <v>2</v>
      </c>
      <c r="S1352" s="230">
        <f>(FME_Ranking1[[#This Row],[Critical Facilities Raw]]/$R$2)*100</f>
        <v>8.5763293310463118E-2</v>
      </c>
      <c r="T1352" s="180">
        <f>FME_Ranking1[[#This Row],[Critical Facilities Score (Normalized, Unweighted)]]*$R$3</f>
        <v>1.7152658662092625E-2</v>
      </c>
      <c r="U1352">
        <f>_xlfn.XLOOKUP(FME_Ranking1[[#This Row],[FME ID]],FME_Input[FME_ID],FME_Input[LWC])</f>
        <v>0</v>
      </c>
      <c r="V1352" s="178">
        <f>(FME_Ranking1[[#This Row],[LWC Raw]]/$U$2)*100</f>
        <v>0</v>
      </c>
      <c r="W1352" s="178">
        <f>FME_Ranking1[[#This Row],[LWC Score (Normalized, Unweighted)]]*$U$3</f>
        <v>0</v>
      </c>
      <c r="X1352" s="246">
        <f>_xlfn.XLOOKUP(FME_Ranking1[[#This Row],[FME ID]],FME_Input[FME_ID],FME_Input[ROADCLS])</f>
        <v>0</v>
      </c>
      <c r="Y1352" s="230">
        <f>(FME_Ranking1[[#This Row],[Closures Raw]]/$X$2)*100</f>
        <v>0</v>
      </c>
      <c r="Z1352" s="180">
        <f>FME_Ranking1[[#This Row],[Closures Score (Normalized, Unweighted)]]*$X$3</f>
        <v>0</v>
      </c>
      <c r="AA1352" s="253">
        <f>_xlfn.XLOOKUP(FME_Ranking1[[#This Row],[FME ID]],FME_Input[FME_ID],FME_Input[ROAD_MILES100])</f>
        <v>3.3714649677276611</v>
      </c>
      <c r="AB1352" s="178">
        <f>(FME_Ranking1[[#This Row],[Miles Raw]]/$AA$2)*100</f>
        <v>4.4328717319316008E-2</v>
      </c>
      <c r="AC1352" s="178">
        <f>FME_Ranking1[[#This Row],[Miles Score (Normalized, Unweighted)]]*$AA$3</f>
        <v>4.432871731931601E-3</v>
      </c>
      <c r="AD1352" s="255">
        <f>_xlfn.XLOOKUP(FME_Ranking1[[#This Row],[FME ID]],FME_Input[FME_ID],FME_Input[FARMACRE100])</f>
        <v>160.7330017089844</v>
      </c>
      <c r="AE1352" s="230">
        <f>(FME_Ranking1[[#This Row],[Ag Land Raw]]/$AD$2)*100</f>
        <v>6.6279094686033501E-3</v>
      </c>
      <c r="AF1352" s="231">
        <f>FME_Ranking1[[#This Row],[Ag Land Score (Normalized, Unweighted)]]*$AD$3</f>
        <v>3.3139547343016753E-4</v>
      </c>
      <c r="AG135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4.0857989922029839E-2</v>
      </c>
      <c r="AH1352" s="406">
        <f t="shared" si="21"/>
        <v>1375</v>
      </c>
      <c r="AI135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4.0857989922029839E-2</v>
      </c>
      <c r="AJ1352" s="257">
        <f>FME_Ranking1[[#This Row],[Addition check]]-FME_Ranking1[[#This Row],[Weighted Score Based on Normalized Reported Factors]]</f>
        <v>0</v>
      </c>
      <c r="AK1352" s="178">
        <f>_xlfn.RANK.EQ(AI1352,$AI$6:$AI$2341,0)+COUNTIF($AI$6:AI1352,AI1352)-1</f>
        <v>1382</v>
      </c>
    </row>
    <row r="1353" spans="1:37" x14ac:dyDescent="0.25">
      <c r="A1353" t="s">
        <v>5406</v>
      </c>
      <c r="B1353">
        <f>_xlfn.XLOOKUP(FME_Ranking1[[#This Row],[FME ID]],FME_Input[FME_ID],FME_Input[RFPG_NUM])</f>
        <v>3</v>
      </c>
      <c r="C1353" t="str">
        <f>_xlfn.XLOOKUP(FME_Ranking1[[#This Row],[FME ID]],FME_Input[FME_ID],FME_Input[FME_NAME])</f>
        <v xml:space="preserve">Gopher Creek Stream Bottom Stabilization </v>
      </c>
      <c r="D1353" t="str">
        <f>_xlfn.XLOOKUP(FME_Ranking1[[#This Row],[FME ID]],FME_Input[FME_ID],FME_Input[DESCR])</f>
        <v>Evaluate the improvements needed along Gopher Creek: downstream of NE 5th Street; between High School Drive and NE 5th Street; downstream of Belt Line Road; $65,600 (?) + $127,300; downstream of High School Drive; $70,500</v>
      </c>
      <c r="E1353" s="256">
        <f>_xlfn.XLOOKUP(FME_Ranking1[[#This Row],[FME ID]],FME_Input[FME_ID],FME_Input[FME_COST])</f>
        <v>250000</v>
      </c>
      <c r="F1353" t="str">
        <f>_xlfn.XLOOKUP(FME_Ranking1[[#This Row],[FME ID]],FME_Input[FME_ID],FME_Input[EMER_NEED])</f>
        <v>No</v>
      </c>
      <c r="G1353">
        <f>IF(FME_Ranking!F1353="Yes",100,0)</f>
        <v>0</v>
      </c>
      <c r="H1353">
        <f>FME_Ranking1[[#This Row],[Emergency Need Score (Normalized, Unweighted)]]*$F$3</f>
        <v>0</v>
      </c>
      <c r="I1353" s="246">
        <f>_xlfn.XLOOKUP(FME_Ranking1[[#This Row],[FME ID]],FME_Input[FME_ID],FME_Input[STRUCT_100])</f>
        <v>18</v>
      </c>
      <c r="J1353" s="178">
        <f>(FME_Ranking1[[#This Row],[Structures 100 Raw]]/I$2)*100</f>
        <v>9.6388638992417428E-3</v>
      </c>
      <c r="K1353" s="178">
        <f>FME_Ranking1[[#This Row],[Structures 100  Score (Normalized, Unweighted)]]*$I$3</f>
        <v>1.4458295848862614E-3</v>
      </c>
      <c r="L1353" s="246">
        <f>_xlfn.XLOOKUP(FME_Ranking1[[#This Row],[FME ID]],FME_Input[FME_ID],FME_Input[RES_STRUCT100])</f>
        <v>7</v>
      </c>
      <c r="M1353" s="230">
        <f>(FME_Ranking1[[#This Row],[Res Structures Raw]]/L$2)*100</f>
        <v>4.9581391395503681E-3</v>
      </c>
      <c r="N1353" s="180">
        <f>FME_Ranking1[[#This Row],[Res Structures Score (Normalized, Unweighted)]]*$L$3</f>
        <v>4.9581391395503687E-4</v>
      </c>
      <c r="O1353" s="244">
        <f>_xlfn.XLOOKUP(FME_Ranking1[[#This Row],[FME ID]],FME_Input[FME_ID],FME_Input[POP100])</f>
        <v>1107</v>
      </c>
      <c r="P1353" s="178">
        <f>(FME_Ranking1[[#This Row],[Pop Raw]]/$O$2)*100</f>
        <v>0.11332947037156096</v>
      </c>
      <c r="Q1353" s="178">
        <f>FME_Ranking1[[#This Row],[Pop Score (Normalized, Unweighted)]]*$O$3</f>
        <v>1.6999420555734144E-2</v>
      </c>
      <c r="R1353" s="137">
        <f>_xlfn.XLOOKUP(FME_Ranking1[[#This Row],[FME ID]],FME_Input[FME_ID],FME_Input[CRITFAC100])</f>
        <v>2</v>
      </c>
      <c r="S1353" s="230">
        <f>(FME_Ranking1[[#This Row],[Critical Facilities Raw]]/$R$2)*100</f>
        <v>8.5763293310463118E-2</v>
      </c>
      <c r="T1353" s="180">
        <f>FME_Ranking1[[#This Row],[Critical Facilities Score (Normalized, Unweighted)]]*$R$3</f>
        <v>1.7152658662092625E-2</v>
      </c>
      <c r="U1353">
        <f>_xlfn.XLOOKUP(FME_Ranking1[[#This Row],[FME ID]],FME_Input[FME_ID],FME_Input[LWC])</f>
        <v>0</v>
      </c>
      <c r="V1353" s="178">
        <f>(FME_Ranking1[[#This Row],[LWC Raw]]/$U$2)*100</f>
        <v>0</v>
      </c>
      <c r="W1353" s="178">
        <f>FME_Ranking1[[#This Row],[LWC Score (Normalized, Unweighted)]]*$U$3</f>
        <v>0</v>
      </c>
      <c r="X1353" s="246">
        <f>_xlfn.XLOOKUP(FME_Ranking1[[#This Row],[FME ID]],FME_Input[FME_ID],FME_Input[ROADCLS])</f>
        <v>0</v>
      </c>
      <c r="Y1353" s="230">
        <f>(FME_Ranking1[[#This Row],[Closures Raw]]/$X$2)*100</f>
        <v>0</v>
      </c>
      <c r="Z1353" s="180">
        <f>FME_Ranking1[[#This Row],[Closures Score (Normalized, Unweighted)]]*$X$3</f>
        <v>0</v>
      </c>
      <c r="AA1353" s="253">
        <f>_xlfn.XLOOKUP(FME_Ranking1[[#This Row],[FME ID]],FME_Input[FME_ID],FME_Input[ROAD_MILES100])</f>
        <v>3.3714649677276611</v>
      </c>
      <c r="AB1353" s="178">
        <f>(FME_Ranking1[[#This Row],[Miles Raw]]/$AA$2)*100</f>
        <v>4.4328717319316008E-2</v>
      </c>
      <c r="AC1353" s="178">
        <f>FME_Ranking1[[#This Row],[Miles Score (Normalized, Unweighted)]]*$AA$3</f>
        <v>4.432871731931601E-3</v>
      </c>
      <c r="AD1353" s="255">
        <f>_xlfn.XLOOKUP(FME_Ranking1[[#This Row],[FME ID]],FME_Input[FME_ID],FME_Input[FARMACRE100])</f>
        <v>160.7330017089844</v>
      </c>
      <c r="AE1353" s="230">
        <f>(FME_Ranking1[[#This Row],[Ag Land Raw]]/$AD$2)*100</f>
        <v>6.6279094686033501E-3</v>
      </c>
      <c r="AF1353" s="231">
        <f>FME_Ranking1[[#This Row],[Ag Land Score (Normalized, Unweighted)]]*$AD$3</f>
        <v>3.3139547343016753E-4</v>
      </c>
      <c r="AG135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4.0857989922029839E-2</v>
      </c>
      <c r="AH1353" s="406">
        <f t="shared" si="21"/>
        <v>1375</v>
      </c>
      <c r="AI135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4.0857989922029839E-2</v>
      </c>
      <c r="AJ1353" s="257">
        <f>FME_Ranking1[[#This Row],[Addition check]]-FME_Ranking1[[#This Row],[Weighted Score Based on Normalized Reported Factors]]</f>
        <v>0</v>
      </c>
      <c r="AK1353" s="178">
        <f>_xlfn.RANK.EQ(AI1353,$AI$6:$AI$2341,0)+COUNTIF($AI$6:AI1353,AI1353)-1</f>
        <v>1383</v>
      </c>
    </row>
    <row r="1354" spans="1:37" x14ac:dyDescent="0.25">
      <c r="A1354" t="s">
        <v>9232</v>
      </c>
      <c r="B1354">
        <f>_xlfn.XLOOKUP(FME_Ranking1[[#This Row],[FME ID]],FME_Input[FME_ID],FME_Input[RFPG_NUM])</f>
        <v>12</v>
      </c>
      <c r="C1354" t="str">
        <f>_xlfn.XLOOKUP(FME_Ranking1[[#This Row],[FME ID]],FME_Input[FME_ID],FME_Input[FME_NAME])</f>
        <v>Master Drainage Plan</v>
      </c>
      <c r="D1354" t="str">
        <f>_xlfn.XLOOKUP(FME_Ranking1[[#This Row],[FME ID]],FME_Input[FME_ID],FME_Input[DESCR])</f>
        <v>A detailed drainage study of the city of Selma</v>
      </c>
      <c r="E1354" s="256">
        <f>_xlfn.XLOOKUP(FME_Ranking1[[#This Row],[FME ID]],FME_Input[FME_ID],FME_Input[FME_COST])</f>
        <v>577600</v>
      </c>
      <c r="F1354" t="str">
        <f>_xlfn.XLOOKUP(FME_Ranking1[[#This Row],[FME ID]],FME_Input[FME_ID],FME_Input[EMER_NEED])</f>
        <v>Yes</v>
      </c>
      <c r="G1354">
        <f>IF(FME_Ranking!F1354="Yes",100,0)</f>
        <v>100</v>
      </c>
      <c r="H1354">
        <f>FME_Ranking1[[#This Row],[Emergency Need Score (Normalized, Unweighted)]]*$F$3</f>
        <v>0</v>
      </c>
      <c r="I1354" s="246">
        <f>_xlfn.XLOOKUP(FME_Ranking1[[#This Row],[FME ID]],FME_Input[FME_ID],FME_Input[STRUCT_100])</f>
        <v>102</v>
      </c>
      <c r="J1354" s="178">
        <f>(FME_Ranking1[[#This Row],[Structures 100 Raw]]/I$2)*100</f>
        <v>5.4620228762369868E-2</v>
      </c>
      <c r="K1354" s="178">
        <f>FME_Ranking1[[#This Row],[Structures 100  Score (Normalized, Unweighted)]]*$I$3</f>
        <v>8.1930343143554792E-3</v>
      </c>
      <c r="L1354" s="246">
        <f>_xlfn.XLOOKUP(FME_Ranking1[[#This Row],[FME ID]],FME_Input[FME_ID],FME_Input[RES_STRUCT100])</f>
        <v>71</v>
      </c>
      <c r="M1354" s="230">
        <f>(FME_Ranking1[[#This Row],[Res Structures Raw]]/L$2)*100</f>
        <v>5.0289696986868013E-2</v>
      </c>
      <c r="N1354" s="180">
        <f>FME_Ranking1[[#This Row],[Res Structures Score (Normalized, Unweighted)]]*$L$3</f>
        <v>5.0289696986868014E-3</v>
      </c>
      <c r="O1354" s="244">
        <f>_xlfn.XLOOKUP(FME_Ranking1[[#This Row],[FME ID]],FME_Input[FME_ID],FME_Input[POP100])</f>
        <v>752</v>
      </c>
      <c r="P1354" s="178">
        <f>(FME_Ranking1[[#This Row],[Pop Raw]]/$O$2)*100</f>
        <v>7.698623461555E-2</v>
      </c>
      <c r="Q1354" s="178">
        <f>FME_Ranking1[[#This Row],[Pop Score (Normalized, Unweighted)]]*$O$3</f>
        <v>1.1547935192332499E-2</v>
      </c>
      <c r="R1354" s="137">
        <f>_xlfn.XLOOKUP(FME_Ranking1[[#This Row],[FME ID]],FME_Input[FME_ID],FME_Input[CRITFAC100])</f>
        <v>0</v>
      </c>
      <c r="S1354" s="230">
        <f>(FME_Ranking1[[#This Row],[Critical Facilities Raw]]/$R$2)*100</f>
        <v>0</v>
      </c>
      <c r="T1354" s="180">
        <f>FME_Ranking1[[#This Row],[Critical Facilities Score (Normalized, Unweighted)]]*$R$3</f>
        <v>0</v>
      </c>
      <c r="U1354">
        <f>_xlfn.XLOOKUP(FME_Ranking1[[#This Row],[FME ID]],FME_Input[FME_ID],FME_Input[LWC])</f>
        <v>0</v>
      </c>
      <c r="V1354" s="178">
        <f>(FME_Ranking1[[#This Row],[LWC Raw]]/$U$2)*100</f>
        <v>0</v>
      </c>
      <c r="W1354" s="178">
        <f>FME_Ranking1[[#This Row],[LWC Score (Normalized, Unweighted)]]*$U$3</f>
        <v>0</v>
      </c>
      <c r="X1354" s="246">
        <f>_xlfn.XLOOKUP(FME_Ranking1[[#This Row],[FME ID]],FME_Input[FME_ID],FME_Input[ROADCLS])</f>
        <v>22</v>
      </c>
      <c r="Y1354" s="230">
        <f>(FME_Ranking1[[#This Row],[Closures Raw]]/$X$2)*100</f>
        <v>0.23131111344758701</v>
      </c>
      <c r="Z1354" s="180">
        <f>FME_Ranking1[[#This Row],[Closures Score (Normalized, Unweighted)]]*$X$3</f>
        <v>1.1565555672379352E-2</v>
      </c>
      <c r="AA1354" s="253">
        <f>_xlfn.XLOOKUP(FME_Ranking1[[#This Row],[FME ID]],FME_Input[FME_ID],FME_Input[ROAD_MILES100])</f>
        <v>5.3400001525878906</v>
      </c>
      <c r="AB1354" s="178">
        <f>(FME_Ranking1[[#This Row],[Miles Raw]]/$AA$2)*100</f>
        <v>7.0211424266619943E-2</v>
      </c>
      <c r="AC1354" s="178">
        <f>FME_Ranking1[[#This Row],[Miles Score (Normalized, Unweighted)]]*$AA$3</f>
        <v>7.021142426661995E-3</v>
      </c>
      <c r="AD1354" s="255">
        <f>_xlfn.XLOOKUP(FME_Ranking1[[#This Row],[FME ID]],FME_Input[FME_ID],FME_Input[FARMACRE100])</f>
        <v>13.014699935913089</v>
      </c>
      <c r="AE1354" s="230">
        <f>(FME_Ranking1[[#This Row],[Ag Land Raw]]/$AD$2)*100</f>
        <v>5.3666796500477564E-4</v>
      </c>
      <c r="AF1354" s="231">
        <f>FME_Ranking1[[#This Row],[Ag Land Score (Normalized, Unweighted)]]*$AD$3</f>
        <v>2.6833398250238782E-5</v>
      </c>
      <c r="AG135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4.3383470702666363E-2</v>
      </c>
      <c r="AH1354" s="406">
        <f t="shared" si="21"/>
        <v>1353</v>
      </c>
      <c r="AI135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4.3383470702666363E-2</v>
      </c>
      <c r="AJ1354" s="257">
        <f>FME_Ranking1[[#This Row],[Addition check]]-FME_Ranking1[[#This Row],[Weighted Score Based on Normalized Reported Factors]]</f>
        <v>0</v>
      </c>
      <c r="AK1354" s="178">
        <f>_xlfn.RANK.EQ(AI1354,$AI$6:$AI$2341,0)+COUNTIF($AI$6:AI1354,AI1354)-1</f>
        <v>1353</v>
      </c>
    </row>
    <row r="1355" spans="1:37" x14ac:dyDescent="0.25">
      <c r="A1355" t="s">
        <v>7973</v>
      </c>
      <c r="B1355">
        <f>_xlfn.XLOOKUP(FME_Ranking1[[#This Row],[FME ID]],FME_Input[FME_ID],FME_Input[RFPG_NUM])</f>
        <v>9</v>
      </c>
      <c r="C1355" t="str">
        <f>_xlfn.XLOOKUP(FME_Ranking1[[#This Row],[FME ID]],FME_Input[FME_ID],FME_Input[FME_NAME])</f>
        <v>Cochran County  FEMA Mapping</v>
      </c>
      <c r="D1355" t="str">
        <f>_xlfn.XLOOKUP(FME_Ranking1[[#This Row],[FME ID]],FME_Input[FME_ID],FME_Input[DESCR])</f>
        <v>Create FEMA Mapping in previously unmapped areas</v>
      </c>
      <c r="E1355" s="256">
        <f>_xlfn.XLOOKUP(FME_Ranking1[[#This Row],[FME ID]],FME_Input[FME_ID],FME_Input[FME_COST])</f>
        <v>671000</v>
      </c>
      <c r="F1355" t="str">
        <f>_xlfn.XLOOKUP(FME_Ranking1[[#This Row],[FME ID]],FME_Input[FME_ID],FME_Input[EMER_NEED])</f>
        <v>No</v>
      </c>
      <c r="G1355">
        <f>IF(FME_Ranking!F1355="Yes",100,0)</f>
        <v>0</v>
      </c>
      <c r="H1355">
        <f>FME_Ranking1[[#This Row],[Emergency Need Score (Normalized, Unweighted)]]*$F$3</f>
        <v>0</v>
      </c>
      <c r="I1355" s="246">
        <f>_xlfn.XLOOKUP(FME_Ranking1[[#This Row],[FME ID]],FME_Input[FME_ID],FME_Input[STRUCT_100])</f>
        <v>23</v>
      </c>
      <c r="J1355" s="178">
        <f>(FME_Ranking1[[#This Row],[Structures 100 Raw]]/I$2)*100</f>
        <v>1.231632609347556E-2</v>
      </c>
      <c r="K1355" s="178">
        <f>FME_Ranking1[[#This Row],[Structures 100  Score (Normalized, Unweighted)]]*$I$3</f>
        <v>1.8474489140213339E-3</v>
      </c>
      <c r="L1355" s="246">
        <f>_xlfn.XLOOKUP(FME_Ranking1[[#This Row],[FME ID]],FME_Input[FME_ID],FME_Input[RES_STRUCT100])</f>
        <v>12</v>
      </c>
      <c r="M1355" s="230">
        <f>(FME_Ranking1[[#This Row],[Res Structures Raw]]/L$2)*100</f>
        <v>8.4996670963720586E-3</v>
      </c>
      <c r="N1355" s="180">
        <f>FME_Ranking1[[#This Row],[Res Structures Score (Normalized, Unweighted)]]*$L$3</f>
        <v>8.4996670963720595E-4</v>
      </c>
      <c r="O1355" s="244">
        <f>_xlfn.XLOOKUP(FME_Ranking1[[#This Row],[FME ID]],FME_Input[FME_ID],FME_Input[POP100])</f>
        <v>51</v>
      </c>
      <c r="P1355" s="178">
        <f>(FME_Ranking1[[#This Row],[Pop Raw]]/$O$2)*100</f>
        <v>5.2211409114269278E-3</v>
      </c>
      <c r="Q1355" s="178">
        <f>FME_Ranking1[[#This Row],[Pop Score (Normalized, Unweighted)]]*$O$3</f>
        <v>7.8317113671403911E-4</v>
      </c>
      <c r="R1355" s="137">
        <f>_xlfn.XLOOKUP(FME_Ranking1[[#This Row],[FME ID]],FME_Input[FME_ID],FME_Input[CRITFAC100])</f>
        <v>0</v>
      </c>
      <c r="S1355" s="230">
        <f>(FME_Ranking1[[#This Row],[Critical Facilities Raw]]/$R$2)*100</f>
        <v>0</v>
      </c>
      <c r="T1355" s="180">
        <f>FME_Ranking1[[#This Row],[Critical Facilities Score (Normalized, Unweighted)]]*$R$3</f>
        <v>0</v>
      </c>
      <c r="U1355">
        <f>_xlfn.XLOOKUP(FME_Ranking1[[#This Row],[FME ID]],FME_Input[FME_ID],FME_Input[LWC])</f>
        <v>0</v>
      </c>
      <c r="V1355" s="178">
        <f>(FME_Ranking1[[#This Row],[LWC Raw]]/$U$2)*100</f>
        <v>0</v>
      </c>
      <c r="W1355" s="178">
        <f>FME_Ranking1[[#This Row],[LWC Score (Normalized, Unweighted)]]*$U$3</f>
        <v>0</v>
      </c>
      <c r="X1355" s="246">
        <f>_xlfn.XLOOKUP(FME_Ranking1[[#This Row],[FME ID]],FME_Input[FME_ID],FME_Input[ROADCLS])</f>
        <v>0</v>
      </c>
      <c r="Y1355" s="230">
        <f>(FME_Ranking1[[#This Row],[Closures Raw]]/$X$2)*100</f>
        <v>0</v>
      </c>
      <c r="Z1355" s="180">
        <f>FME_Ranking1[[#This Row],[Closures Score (Normalized, Unweighted)]]*$X$3</f>
        <v>0</v>
      </c>
      <c r="AA1355" s="253">
        <f>_xlfn.XLOOKUP(FME_Ranking1[[#This Row],[FME ID]],FME_Input[FME_ID],FME_Input[ROAD_MILES100])</f>
        <v>144.02934265136719</v>
      </c>
      <c r="AB1355" s="178">
        <f>(FME_Ranking1[[#This Row],[Miles Raw]]/$AA$2)*100</f>
        <v>1.8937275271119163</v>
      </c>
      <c r="AC1355" s="178">
        <f>FME_Ranking1[[#This Row],[Miles Score (Normalized, Unweighted)]]*$AA$3</f>
        <v>0.18937275271119164</v>
      </c>
      <c r="AD1355" s="255">
        <f>_xlfn.XLOOKUP(FME_Ranking1[[#This Row],[FME ID]],FME_Input[FME_ID],FME_Input[FARMACRE100])</f>
        <v>15910.837890625</v>
      </c>
      <c r="AE1355" s="230">
        <f>(FME_Ranking1[[#This Row],[Ag Land Raw]]/$AD$2)*100</f>
        <v>0.65609172968485552</v>
      </c>
      <c r="AF1355" s="231">
        <f>FME_Ranking1[[#This Row],[Ag Land Score (Normalized, Unweighted)]]*$AD$3</f>
        <v>3.2804586484242775E-2</v>
      </c>
      <c r="AG135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0.225657925955807</v>
      </c>
      <c r="AH1355" s="406">
        <f t="shared" si="21"/>
        <v>755</v>
      </c>
      <c r="AI135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0.225657925955807</v>
      </c>
      <c r="AJ1355" s="257">
        <f>FME_Ranking1[[#This Row],[Addition check]]-FME_Ranking1[[#This Row],[Weighted Score Based on Normalized Reported Factors]]</f>
        <v>0</v>
      </c>
      <c r="AK1355" s="178">
        <f>_xlfn.RANK.EQ(AI1355,$AI$6:$AI$2341,0)+COUNTIF($AI$6:AI1355,AI1355)-1</f>
        <v>755</v>
      </c>
    </row>
    <row r="1356" spans="1:37" x14ac:dyDescent="0.25">
      <c r="A1356" t="s">
        <v>8280</v>
      </c>
      <c r="B1356">
        <f>_xlfn.XLOOKUP(FME_Ranking1[[#This Row],[FME ID]],FME_Input[FME_ID],FME_Input[RFPG_NUM])</f>
        <v>9</v>
      </c>
      <c r="C1356" t="str">
        <f>_xlfn.XLOOKUP(FME_Ranking1[[#This Row],[FME ID]],FME_Input[FME_ID],FME_Input[FME_NAME])</f>
        <v>Cochran County DMP</v>
      </c>
      <c r="D1356" t="str">
        <f>_xlfn.XLOOKUP(FME_Ranking1[[#This Row],[FME ID]],FME_Input[FME_ID],FME_Input[DESCR])</f>
        <v xml:space="preserve">Create Drainage Master Plan, including evaluation of potential mitigation projects. </v>
      </c>
      <c r="E1356" s="256">
        <f>_xlfn.XLOOKUP(FME_Ranking1[[#This Row],[FME ID]],FME_Input[FME_ID],FME_Input[FME_COST])</f>
        <v>500000</v>
      </c>
      <c r="F1356" t="str">
        <f>_xlfn.XLOOKUP(FME_Ranking1[[#This Row],[FME ID]],FME_Input[FME_ID],FME_Input[EMER_NEED])</f>
        <v>No</v>
      </c>
      <c r="G1356">
        <f>IF(FME_Ranking!F1356="Yes",100,0)</f>
        <v>0</v>
      </c>
      <c r="H1356">
        <f>FME_Ranking1[[#This Row],[Emergency Need Score (Normalized, Unweighted)]]*$F$3</f>
        <v>0</v>
      </c>
      <c r="I1356" s="246">
        <f>_xlfn.XLOOKUP(FME_Ranking1[[#This Row],[FME ID]],FME_Input[FME_ID],FME_Input[STRUCT_100])</f>
        <v>23</v>
      </c>
      <c r="J1356" s="178">
        <f>(FME_Ranking1[[#This Row],[Structures 100 Raw]]/I$2)*100</f>
        <v>1.231632609347556E-2</v>
      </c>
      <c r="K1356" s="178">
        <f>FME_Ranking1[[#This Row],[Structures 100  Score (Normalized, Unweighted)]]*$I$3</f>
        <v>1.8474489140213339E-3</v>
      </c>
      <c r="L1356" s="246">
        <f>_xlfn.XLOOKUP(FME_Ranking1[[#This Row],[FME ID]],FME_Input[FME_ID],FME_Input[RES_STRUCT100])</f>
        <v>12</v>
      </c>
      <c r="M1356" s="230">
        <f>(FME_Ranking1[[#This Row],[Res Structures Raw]]/L$2)*100</f>
        <v>8.4996670963720586E-3</v>
      </c>
      <c r="N1356" s="180">
        <f>FME_Ranking1[[#This Row],[Res Structures Score (Normalized, Unweighted)]]*$L$3</f>
        <v>8.4996670963720595E-4</v>
      </c>
      <c r="O1356" s="244">
        <f>_xlfn.XLOOKUP(FME_Ranking1[[#This Row],[FME ID]],FME_Input[FME_ID],FME_Input[POP100])</f>
        <v>51</v>
      </c>
      <c r="P1356" s="178">
        <f>(FME_Ranking1[[#This Row],[Pop Raw]]/$O$2)*100</f>
        <v>5.2211409114269278E-3</v>
      </c>
      <c r="Q1356" s="178">
        <f>FME_Ranking1[[#This Row],[Pop Score (Normalized, Unweighted)]]*$O$3</f>
        <v>7.8317113671403911E-4</v>
      </c>
      <c r="R1356" s="137">
        <f>_xlfn.XLOOKUP(FME_Ranking1[[#This Row],[FME ID]],FME_Input[FME_ID],FME_Input[CRITFAC100])</f>
        <v>0</v>
      </c>
      <c r="S1356" s="230">
        <f>(FME_Ranking1[[#This Row],[Critical Facilities Raw]]/$R$2)*100</f>
        <v>0</v>
      </c>
      <c r="T1356" s="180">
        <f>FME_Ranking1[[#This Row],[Critical Facilities Score (Normalized, Unweighted)]]*$R$3</f>
        <v>0</v>
      </c>
      <c r="U1356">
        <f>_xlfn.XLOOKUP(FME_Ranking1[[#This Row],[FME ID]],FME_Input[FME_ID],FME_Input[LWC])</f>
        <v>0</v>
      </c>
      <c r="V1356" s="178">
        <f>(FME_Ranking1[[#This Row],[LWC Raw]]/$U$2)*100</f>
        <v>0</v>
      </c>
      <c r="W1356" s="178">
        <f>FME_Ranking1[[#This Row],[LWC Score (Normalized, Unweighted)]]*$U$3</f>
        <v>0</v>
      </c>
      <c r="X1356" s="246">
        <f>_xlfn.XLOOKUP(FME_Ranking1[[#This Row],[FME ID]],FME_Input[FME_ID],FME_Input[ROADCLS])</f>
        <v>0</v>
      </c>
      <c r="Y1356" s="230">
        <f>(FME_Ranking1[[#This Row],[Closures Raw]]/$X$2)*100</f>
        <v>0</v>
      </c>
      <c r="Z1356" s="180">
        <f>FME_Ranking1[[#This Row],[Closures Score (Normalized, Unweighted)]]*$X$3</f>
        <v>0</v>
      </c>
      <c r="AA1356" s="253">
        <f>_xlfn.XLOOKUP(FME_Ranking1[[#This Row],[FME ID]],FME_Input[FME_ID],FME_Input[ROAD_MILES100])</f>
        <v>144.02934265136719</v>
      </c>
      <c r="AB1356" s="178">
        <f>(FME_Ranking1[[#This Row],[Miles Raw]]/$AA$2)*100</f>
        <v>1.8937275271119163</v>
      </c>
      <c r="AC1356" s="178">
        <f>FME_Ranking1[[#This Row],[Miles Score (Normalized, Unweighted)]]*$AA$3</f>
        <v>0.18937275271119164</v>
      </c>
      <c r="AD1356" s="255">
        <f>_xlfn.XLOOKUP(FME_Ranking1[[#This Row],[FME ID]],FME_Input[FME_ID],FME_Input[FARMACRE100])</f>
        <v>15910.837890625</v>
      </c>
      <c r="AE1356" s="230">
        <f>(FME_Ranking1[[#This Row],[Ag Land Raw]]/$AD$2)*100</f>
        <v>0.65609172968485552</v>
      </c>
      <c r="AF1356" s="231">
        <f>FME_Ranking1[[#This Row],[Ag Land Score (Normalized, Unweighted)]]*$AD$3</f>
        <v>3.2804586484242775E-2</v>
      </c>
      <c r="AG135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0.225657925955807</v>
      </c>
      <c r="AH1356" s="406">
        <f t="shared" si="21"/>
        <v>755</v>
      </c>
      <c r="AI135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0.225657925955807</v>
      </c>
      <c r="AJ1356" s="257">
        <f>FME_Ranking1[[#This Row],[Addition check]]-FME_Ranking1[[#This Row],[Weighted Score Based on Normalized Reported Factors]]</f>
        <v>0</v>
      </c>
      <c r="AK1356" s="178">
        <f>_xlfn.RANK.EQ(AI1356,$AI$6:$AI$2341,0)+COUNTIF($AI$6:AI1356,AI1356)-1</f>
        <v>756</v>
      </c>
    </row>
    <row r="1357" spans="1:37" x14ac:dyDescent="0.25">
      <c r="A1357" t="s">
        <v>4643</v>
      </c>
      <c r="B1357">
        <f>_xlfn.XLOOKUP(FME_Ranking1[[#This Row],[FME ID]],FME_Input[FME_ID],FME_Input[RFPG_NUM])</f>
        <v>3</v>
      </c>
      <c r="C1357" t="str">
        <f>_xlfn.XLOOKUP(FME_Ranking1[[#This Row],[FME ID]],FME_Input[FME_ID],FME_Input[FME_NAME])</f>
        <v xml:space="preserve">Turkey Creek Trail Rebuild </v>
      </c>
      <c r="D1357" t="str">
        <f>_xlfn.XLOOKUP(FME_Ranking1[[#This Row],[FME ID]],FME_Input[FME_ID],FME_Input[DESCR])</f>
        <v>Evaluate alternatives to rebuild Turkey Creek Trail from 9th Street to State Highway 114.</v>
      </c>
      <c r="E1357" s="256">
        <f>_xlfn.XLOOKUP(FME_Ranking1[[#This Row],[FME ID]],FME_Input[FME_ID],FME_Input[FME_COST])</f>
        <v>63000</v>
      </c>
      <c r="F1357" t="str">
        <f>_xlfn.XLOOKUP(FME_Ranking1[[#This Row],[FME ID]],FME_Input[FME_ID],FME_Input[EMER_NEED])</f>
        <v>No</v>
      </c>
      <c r="G1357">
        <f>IF(FME_Ranking!F1357="Yes",100,0)</f>
        <v>0</v>
      </c>
      <c r="H1357">
        <f>FME_Ranking1[[#This Row],[Emergency Need Score (Normalized, Unweighted)]]*$F$3</f>
        <v>0</v>
      </c>
      <c r="I1357" s="246">
        <f>_xlfn.XLOOKUP(FME_Ranking1[[#This Row],[FME ID]],FME_Input[FME_ID],FME_Input[STRUCT_100])</f>
        <v>91</v>
      </c>
      <c r="J1357" s="178">
        <f>(FME_Ranking1[[#This Row],[Structures 100 Raw]]/I$2)*100</f>
        <v>4.8729811935055475E-2</v>
      </c>
      <c r="K1357" s="178">
        <f>FME_Ranking1[[#This Row],[Structures 100  Score (Normalized, Unweighted)]]*$I$3</f>
        <v>7.3094717902583211E-3</v>
      </c>
      <c r="L1357" s="246">
        <f>_xlfn.XLOOKUP(FME_Ranking1[[#This Row],[FME ID]],FME_Input[FME_ID],FME_Input[RES_STRUCT100])</f>
        <v>59</v>
      </c>
      <c r="M1357" s="230">
        <f>(FME_Ranking1[[#This Row],[Res Structures Raw]]/L$2)*100</f>
        <v>4.1790029890495954E-2</v>
      </c>
      <c r="N1357" s="180">
        <f>FME_Ranking1[[#This Row],[Res Structures Score (Normalized, Unweighted)]]*$L$3</f>
        <v>4.1790029890495959E-3</v>
      </c>
      <c r="O1357" s="244">
        <f>_xlfn.XLOOKUP(FME_Ranking1[[#This Row],[FME ID]],FME_Input[FME_ID],FME_Input[POP100])</f>
        <v>275</v>
      </c>
      <c r="P1357" s="178">
        <f>(FME_Ranking1[[#This Row],[Pop Raw]]/$O$2)*100</f>
        <v>2.8153210796909901E-2</v>
      </c>
      <c r="Q1357" s="178">
        <f>FME_Ranking1[[#This Row],[Pop Score (Normalized, Unweighted)]]*$O$3</f>
        <v>4.2229816195364853E-3</v>
      </c>
      <c r="R1357" s="137">
        <f>_xlfn.XLOOKUP(FME_Ranking1[[#This Row],[FME ID]],FME_Input[FME_ID],FME_Input[CRITFAC100])</f>
        <v>1</v>
      </c>
      <c r="S1357" s="230">
        <f>(FME_Ranking1[[#This Row],[Critical Facilities Raw]]/$R$2)*100</f>
        <v>4.2881646655231559E-2</v>
      </c>
      <c r="T1357" s="180">
        <f>FME_Ranking1[[#This Row],[Critical Facilities Score (Normalized, Unweighted)]]*$R$3</f>
        <v>8.5763293310463125E-3</v>
      </c>
      <c r="U1357">
        <f>_xlfn.XLOOKUP(FME_Ranking1[[#This Row],[FME ID]],FME_Input[FME_ID],FME_Input[LWC])</f>
        <v>1</v>
      </c>
      <c r="V1357" s="178">
        <f>(FME_Ranking1[[#This Row],[LWC Raw]]/$U$2)*100</f>
        <v>5.7570523891767422E-2</v>
      </c>
      <c r="W1357" s="178">
        <f>FME_Ranking1[[#This Row],[LWC Score (Normalized, Unweighted)]]*$U$3</f>
        <v>1.1514104778353485E-2</v>
      </c>
      <c r="X1357" s="246">
        <f>_xlfn.XLOOKUP(FME_Ranking1[[#This Row],[FME ID]],FME_Input[FME_ID],FME_Input[ROADCLS])</f>
        <v>0</v>
      </c>
      <c r="Y1357" s="230">
        <f>(FME_Ranking1[[#This Row],[Closures Raw]]/$X$2)*100</f>
        <v>0</v>
      </c>
      <c r="Z1357" s="180">
        <f>FME_Ranking1[[#This Row],[Closures Score (Normalized, Unweighted)]]*$X$3</f>
        <v>0</v>
      </c>
      <c r="AA1357" s="253">
        <f>_xlfn.XLOOKUP(FME_Ranking1[[#This Row],[FME ID]],FME_Input[FME_ID],FME_Input[ROAD_MILES100])</f>
        <v>4.4881739616394043</v>
      </c>
      <c r="AB1357" s="178">
        <f>(FME_Ranking1[[#This Row],[Miles Raw]]/$AA$2)*100</f>
        <v>5.9011437677646036E-2</v>
      </c>
      <c r="AC1357" s="178">
        <f>FME_Ranking1[[#This Row],[Miles Score (Normalized, Unweighted)]]*$AA$3</f>
        <v>5.9011437677646038E-3</v>
      </c>
      <c r="AD1357" s="255">
        <f>_xlfn.XLOOKUP(FME_Ranking1[[#This Row],[FME ID]],FME_Input[FME_ID],FME_Input[FARMACRE100])</f>
        <v>167.77830505371091</v>
      </c>
      <c r="AE1357" s="230">
        <f>(FME_Ranking1[[#This Row],[Ag Land Raw]]/$AD$2)*100</f>
        <v>6.918426240213456E-3</v>
      </c>
      <c r="AF1357" s="231">
        <f>FME_Ranking1[[#This Row],[Ag Land Score (Normalized, Unweighted)]]*$AD$3</f>
        <v>3.4592131201067284E-4</v>
      </c>
      <c r="AG135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4.2048955588019479E-2</v>
      </c>
      <c r="AH1357" s="406">
        <f t="shared" si="21"/>
        <v>1363</v>
      </c>
      <c r="AI135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4.2048955588019479E-2</v>
      </c>
      <c r="AJ1357" s="257">
        <f>FME_Ranking1[[#This Row],[Addition check]]-FME_Ranking1[[#This Row],[Weighted Score Based on Normalized Reported Factors]]</f>
        <v>0</v>
      </c>
      <c r="AK1357" s="178">
        <f>_xlfn.RANK.EQ(AI1357,$AI$6:$AI$2341,0)+COUNTIF($AI$6:AI1357,AI1357)-1</f>
        <v>1363</v>
      </c>
    </row>
    <row r="1358" spans="1:37" x14ac:dyDescent="0.25">
      <c r="A1358" t="s">
        <v>6598</v>
      </c>
      <c r="B1358">
        <f>_xlfn.XLOOKUP(FME_Ranking1[[#This Row],[FME ID]],FME_Input[FME_ID],FME_Input[RFPG_NUM])</f>
        <v>7</v>
      </c>
      <c r="C1358" t="str">
        <f>_xlfn.XLOOKUP(FME_Ranking1[[#This Row],[FME ID]],FME_Input[FME_ID],FME_Input[FME_NAME])</f>
        <v>Eastland County Update FEMA Mapping</v>
      </c>
      <c r="D1358" t="str">
        <f>_xlfn.XLOOKUP(FME_Ranking1[[#This Row],[FME ID]],FME_Input[FME_ID],FME_Input[DESCR])</f>
        <v>Update existing FEMA mapping</v>
      </c>
      <c r="E1358" s="256">
        <f>_xlfn.XLOOKUP(FME_Ranking1[[#This Row],[FME ID]],FME_Input[FME_ID],FME_Input[FME_COST])</f>
        <v>327000</v>
      </c>
      <c r="F1358" t="str">
        <f>_xlfn.XLOOKUP(FME_Ranking1[[#This Row],[FME ID]],FME_Input[FME_ID],FME_Input[EMER_NEED])</f>
        <v>No</v>
      </c>
      <c r="G1358">
        <f>IF(FME_Ranking!F1358="Yes",100,0)</f>
        <v>0</v>
      </c>
      <c r="H1358">
        <f>FME_Ranking1[[#This Row],[Emergency Need Score (Normalized, Unweighted)]]*$F$3</f>
        <v>0</v>
      </c>
      <c r="I1358" s="246">
        <f>_xlfn.XLOOKUP(FME_Ranking1[[#This Row],[FME ID]],FME_Input[FME_ID],FME_Input[STRUCT_100])</f>
        <v>116</v>
      </c>
      <c r="J1358" s="178">
        <f>(FME_Ranking1[[#This Row],[Structures 100 Raw]]/I$2)*100</f>
        <v>6.2117122906224564E-2</v>
      </c>
      <c r="K1358" s="178">
        <f>FME_Ranking1[[#This Row],[Structures 100  Score (Normalized, Unweighted)]]*$I$3</f>
        <v>9.317568435933685E-3</v>
      </c>
      <c r="L1358" s="246">
        <f>_xlfn.XLOOKUP(FME_Ranking1[[#This Row],[FME ID]],FME_Input[FME_ID],FME_Input[RES_STRUCT100])</f>
        <v>13</v>
      </c>
      <c r="M1358" s="230">
        <f>(FME_Ranking1[[#This Row],[Res Structures Raw]]/L$2)*100</f>
        <v>9.2079726877363974E-3</v>
      </c>
      <c r="N1358" s="180">
        <f>FME_Ranking1[[#This Row],[Res Structures Score (Normalized, Unweighted)]]*$L$3</f>
        <v>9.2079726877363974E-4</v>
      </c>
      <c r="O1358" s="244">
        <f>_xlfn.XLOOKUP(FME_Ranking1[[#This Row],[FME ID]],FME_Input[FME_ID],FME_Input[POP100])</f>
        <v>135</v>
      </c>
      <c r="P1358" s="178">
        <f>(FME_Ranking1[[#This Row],[Pop Raw]]/$O$2)*100</f>
        <v>1.3820667118483043E-2</v>
      </c>
      <c r="Q1358" s="178">
        <f>FME_Ranking1[[#This Row],[Pop Score (Normalized, Unweighted)]]*$O$3</f>
        <v>2.0731000677724565E-3</v>
      </c>
      <c r="R1358" s="137">
        <f>_xlfn.XLOOKUP(FME_Ranking1[[#This Row],[FME ID]],FME_Input[FME_ID],FME_Input[CRITFAC100])</f>
        <v>0</v>
      </c>
      <c r="S1358" s="230">
        <f>(FME_Ranking1[[#This Row],[Critical Facilities Raw]]/$R$2)*100</f>
        <v>0</v>
      </c>
      <c r="T1358" s="180">
        <f>FME_Ranking1[[#This Row],[Critical Facilities Score (Normalized, Unweighted)]]*$R$3</f>
        <v>0</v>
      </c>
      <c r="U1358">
        <f>_xlfn.XLOOKUP(FME_Ranking1[[#This Row],[FME ID]],FME_Input[FME_ID],FME_Input[LWC])</f>
        <v>2</v>
      </c>
      <c r="V1358" s="178">
        <f>(FME_Ranking1[[#This Row],[LWC Raw]]/$U$2)*100</f>
        <v>0.11514104778353484</v>
      </c>
      <c r="W1358" s="178">
        <f>FME_Ranking1[[#This Row],[LWC Score (Normalized, Unweighted)]]*$U$3</f>
        <v>2.302820955670697E-2</v>
      </c>
      <c r="X1358" s="246">
        <f>_xlfn.XLOOKUP(FME_Ranking1[[#This Row],[FME ID]],FME_Input[FME_ID],FME_Input[ROADCLS])</f>
        <v>0</v>
      </c>
      <c r="Y1358" s="230">
        <f>(FME_Ranking1[[#This Row],[Closures Raw]]/$X$2)*100</f>
        <v>0</v>
      </c>
      <c r="Z1358" s="180">
        <f>FME_Ranking1[[#This Row],[Closures Score (Normalized, Unweighted)]]*$X$3</f>
        <v>0</v>
      </c>
      <c r="AA1358" s="253">
        <f>_xlfn.XLOOKUP(FME_Ranking1[[#This Row],[FME ID]],FME_Input[FME_ID],FME_Input[ROAD_MILES100])</f>
        <v>11.72664737701416</v>
      </c>
      <c r="AB1358" s="178">
        <f>(FME_Ranking1[[#This Row],[Miles Raw]]/$AA$2)*100</f>
        <v>0.15418438027826176</v>
      </c>
      <c r="AC1358" s="178">
        <f>FME_Ranking1[[#This Row],[Miles Score (Normalized, Unweighted)]]*$AA$3</f>
        <v>1.5418438027826177E-2</v>
      </c>
      <c r="AD1358" s="255">
        <f>_xlfn.XLOOKUP(FME_Ranking1[[#This Row],[FME ID]],FME_Input[FME_ID],FME_Input[FARMACRE100])</f>
        <v>325.32382202148438</v>
      </c>
      <c r="AE1358" s="230">
        <f>(FME_Ranking1[[#This Row],[Ag Land Raw]]/$AD$2)*100</f>
        <v>1.3414898106876473E-2</v>
      </c>
      <c r="AF1358" s="231">
        <f>FME_Ranking1[[#This Row],[Ag Land Score (Normalized, Unweighted)]]*$AD$3</f>
        <v>6.707449053438237E-4</v>
      </c>
      <c r="AG135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5.1428858262356748E-2</v>
      </c>
      <c r="AH1358" s="406">
        <f t="shared" si="21"/>
        <v>1304</v>
      </c>
      <c r="AI135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5.1428858262356748E-2</v>
      </c>
      <c r="AJ1358" s="257">
        <f>FME_Ranking1[[#This Row],[Addition check]]-FME_Ranking1[[#This Row],[Weighted Score Based on Normalized Reported Factors]]</f>
        <v>0</v>
      </c>
      <c r="AK1358" s="178">
        <f>_xlfn.RANK.EQ(AI1358,$AI$6:$AI$2341,0)+COUNTIF($AI$6:AI1358,AI1358)-1</f>
        <v>1304</v>
      </c>
    </row>
    <row r="1359" spans="1:37" x14ac:dyDescent="0.25">
      <c r="A1359" t="s">
        <v>6606</v>
      </c>
      <c r="B1359">
        <f>_xlfn.XLOOKUP(FME_Ranking1[[#This Row],[FME ID]],FME_Input[FME_ID],FME_Input[RFPG_NUM])</f>
        <v>7</v>
      </c>
      <c r="C1359" t="str">
        <f>_xlfn.XLOOKUP(FME_Ranking1[[#This Row],[FME ID]],FME_Input[FME_ID],FME_Input[FME_NAME])</f>
        <v>Eastland County GIS Development</v>
      </c>
      <c r="D1359" t="str">
        <f>_xlfn.XLOOKUP(FME_Ranking1[[#This Row],[FME ID]],FME_Input[FME_ID],FME_Input[DESCR])</f>
        <v>Develop a GIS inventory of stormwater infrastructure</v>
      </c>
      <c r="E1359" s="256">
        <f>_xlfn.XLOOKUP(FME_Ranking1[[#This Row],[FME ID]],FME_Input[FME_ID],FME_Input[FME_COST])</f>
        <v>100000</v>
      </c>
      <c r="F1359" t="str">
        <f>_xlfn.XLOOKUP(FME_Ranking1[[#This Row],[FME ID]],FME_Input[FME_ID],FME_Input[EMER_NEED])</f>
        <v>No</v>
      </c>
      <c r="G1359">
        <f>IF(FME_Ranking!F1359="Yes",100,0)</f>
        <v>0</v>
      </c>
      <c r="H1359">
        <f>FME_Ranking1[[#This Row],[Emergency Need Score (Normalized, Unweighted)]]*$F$3</f>
        <v>0</v>
      </c>
      <c r="I1359" s="246">
        <f>_xlfn.XLOOKUP(FME_Ranking1[[#This Row],[FME ID]],FME_Input[FME_ID],FME_Input[STRUCT_100])</f>
        <v>116</v>
      </c>
      <c r="J1359" s="178">
        <f>(FME_Ranking1[[#This Row],[Structures 100 Raw]]/I$2)*100</f>
        <v>6.2117122906224564E-2</v>
      </c>
      <c r="K1359" s="178">
        <f>FME_Ranking1[[#This Row],[Structures 100  Score (Normalized, Unweighted)]]*$I$3</f>
        <v>9.317568435933685E-3</v>
      </c>
      <c r="L1359" s="246">
        <f>_xlfn.XLOOKUP(FME_Ranking1[[#This Row],[FME ID]],FME_Input[FME_ID],FME_Input[RES_STRUCT100])</f>
        <v>13</v>
      </c>
      <c r="M1359" s="230">
        <f>(FME_Ranking1[[#This Row],[Res Structures Raw]]/L$2)*100</f>
        <v>9.2079726877363974E-3</v>
      </c>
      <c r="N1359" s="180">
        <f>FME_Ranking1[[#This Row],[Res Structures Score (Normalized, Unweighted)]]*$L$3</f>
        <v>9.2079726877363974E-4</v>
      </c>
      <c r="O1359" s="244">
        <f>_xlfn.XLOOKUP(FME_Ranking1[[#This Row],[FME ID]],FME_Input[FME_ID],FME_Input[POP100])</f>
        <v>135</v>
      </c>
      <c r="P1359" s="178">
        <f>(FME_Ranking1[[#This Row],[Pop Raw]]/$O$2)*100</f>
        <v>1.3820667118483043E-2</v>
      </c>
      <c r="Q1359" s="178">
        <f>FME_Ranking1[[#This Row],[Pop Score (Normalized, Unweighted)]]*$O$3</f>
        <v>2.0731000677724565E-3</v>
      </c>
      <c r="R1359" s="137">
        <f>_xlfn.XLOOKUP(FME_Ranking1[[#This Row],[FME ID]],FME_Input[FME_ID],FME_Input[CRITFAC100])</f>
        <v>0</v>
      </c>
      <c r="S1359" s="230">
        <f>(FME_Ranking1[[#This Row],[Critical Facilities Raw]]/$R$2)*100</f>
        <v>0</v>
      </c>
      <c r="T1359" s="180">
        <f>FME_Ranking1[[#This Row],[Critical Facilities Score (Normalized, Unweighted)]]*$R$3</f>
        <v>0</v>
      </c>
      <c r="U1359">
        <f>_xlfn.XLOOKUP(FME_Ranking1[[#This Row],[FME ID]],FME_Input[FME_ID],FME_Input[LWC])</f>
        <v>2</v>
      </c>
      <c r="V1359" s="178">
        <f>(FME_Ranking1[[#This Row],[LWC Raw]]/$U$2)*100</f>
        <v>0.11514104778353484</v>
      </c>
      <c r="W1359" s="178">
        <f>FME_Ranking1[[#This Row],[LWC Score (Normalized, Unweighted)]]*$U$3</f>
        <v>2.302820955670697E-2</v>
      </c>
      <c r="X1359" s="246">
        <f>_xlfn.XLOOKUP(FME_Ranking1[[#This Row],[FME ID]],FME_Input[FME_ID],FME_Input[ROADCLS])</f>
        <v>0</v>
      </c>
      <c r="Y1359" s="230">
        <f>(FME_Ranking1[[#This Row],[Closures Raw]]/$X$2)*100</f>
        <v>0</v>
      </c>
      <c r="Z1359" s="180">
        <f>FME_Ranking1[[#This Row],[Closures Score (Normalized, Unweighted)]]*$X$3</f>
        <v>0</v>
      </c>
      <c r="AA1359" s="253">
        <f>_xlfn.XLOOKUP(FME_Ranking1[[#This Row],[FME ID]],FME_Input[FME_ID],FME_Input[ROAD_MILES100])</f>
        <v>11.72664737701416</v>
      </c>
      <c r="AB1359" s="178">
        <f>(FME_Ranking1[[#This Row],[Miles Raw]]/$AA$2)*100</f>
        <v>0.15418438027826176</v>
      </c>
      <c r="AC1359" s="178">
        <f>FME_Ranking1[[#This Row],[Miles Score (Normalized, Unweighted)]]*$AA$3</f>
        <v>1.5418438027826177E-2</v>
      </c>
      <c r="AD1359" s="255">
        <f>_xlfn.XLOOKUP(FME_Ranking1[[#This Row],[FME ID]],FME_Input[FME_ID],FME_Input[FARMACRE100])</f>
        <v>325.32382202148438</v>
      </c>
      <c r="AE1359" s="230">
        <f>(FME_Ranking1[[#This Row],[Ag Land Raw]]/$AD$2)*100</f>
        <v>1.3414898106876473E-2</v>
      </c>
      <c r="AF1359" s="231">
        <f>FME_Ranking1[[#This Row],[Ag Land Score (Normalized, Unweighted)]]*$AD$3</f>
        <v>6.707449053438237E-4</v>
      </c>
      <c r="AG135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5.1428858262356748E-2</v>
      </c>
      <c r="AH1359" s="406">
        <f t="shared" si="21"/>
        <v>1304</v>
      </c>
      <c r="AI135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5.1428858262356748E-2</v>
      </c>
      <c r="AJ1359" s="257">
        <f>FME_Ranking1[[#This Row],[Addition check]]-FME_Ranking1[[#This Row],[Weighted Score Based on Normalized Reported Factors]]</f>
        <v>0</v>
      </c>
      <c r="AK1359" s="178">
        <f>_xlfn.RANK.EQ(AI1359,$AI$6:$AI$2341,0)+COUNTIF($AI$6:AI1359,AI1359)-1</f>
        <v>1305</v>
      </c>
    </row>
    <row r="1360" spans="1:37" x14ac:dyDescent="0.25">
      <c r="A1360" t="s">
        <v>7182</v>
      </c>
      <c r="B1360">
        <f>_xlfn.XLOOKUP(FME_Ranking1[[#This Row],[FME ID]],FME_Input[FME_ID],FME_Input[RFPG_NUM])</f>
        <v>7</v>
      </c>
      <c r="C1360" t="str">
        <f>_xlfn.XLOOKUP(FME_Ranking1[[#This Row],[FME ID]],FME_Input[FME_ID],FME_Input[FME_NAME])</f>
        <v>Eastland County DCM</v>
      </c>
      <c r="D1360" t="str">
        <f>_xlfn.XLOOKUP(FME_Ranking1[[#This Row],[FME ID]],FME_Input[FME_ID],FME_Input[DESCR])</f>
        <v>Consider stormwater criteria for infrastructure and floodplain ordinances to avoid new exposure to flood hazards.</v>
      </c>
      <c r="E1360" s="256">
        <f>_xlfn.XLOOKUP(FME_Ranking1[[#This Row],[FME ID]],FME_Input[FME_ID],FME_Input[FME_COST])</f>
        <v>100000</v>
      </c>
      <c r="F1360" t="str">
        <f>_xlfn.XLOOKUP(FME_Ranking1[[#This Row],[FME ID]],FME_Input[FME_ID],FME_Input[EMER_NEED])</f>
        <v>No</v>
      </c>
      <c r="G1360">
        <f>IF(FME_Ranking!F1360="Yes",100,0)</f>
        <v>0</v>
      </c>
      <c r="H1360">
        <f>FME_Ranking1[[#This Row],[Emergency Need Score (Normalized, Unweighted)]]*$F$3</f>
        <v>0</v>
      </c>
      <c r="I1360" s="246">
        <f>_xlfn.XLOOKUP(FME_Ranking1[[#This Row],[FME ID]],FME_Input[FME_ID],FME_Input[STRUCT_100])</f>
        <v>116</v>
      </c>
      <c r="J1360" s="178">
        <f>(FME_Ranking1[[#This Row],[Structures 100 Raw]]/I$2)*100</f>
        <v>6.2117122906224564E-2</v>
      </c>
      <c r="K1360" s="178">
        <f>FME_Ranking1[[#This Row],[Structures 100  Score (Normalized, Unweighted)]]*$I$3</f>
        <v>9.317568435933685E-3</v>
      </c>
      <c r="L1360" s="246">
        <f>_xlfn.XLOOKUP(FME_Ranking1[[#This Row],[FME ID]],FME_Input[FME_ID],FME_Input[RES_STRUCT100])</f>
        <v>13</v>
      </c>
      <c r="M1360" s="230">
        <f>(FME_Ranking1[[#This Row],[Res Structures Raw]]/L$2)*100</f>
        <v>9.2079726877363974E-3</v>
      </c>
      <c r="N1360" s="180">
        <f>FME_Ranking1[[#This Row],[Res Structures Score (Normalized, Unweighted)]]*$L$3</f>
        <v>9.2079726877363974E-4</v>
      </c>
      <c r="O1360" s="244">
        <f>_xlfn.XLOOKUP(FME_Ranking1[[#This Row],[FME ID]],FME_Input[FME_ID],FME_Input[POP100])</f>
        <v>135</v>
      </c>
      <c r="P1360" s="178">
        <f>(FME_Ranking1[[#This Row],[Pop Raw]]/$O$2)*100</f>
        <v>1.3820667118483043E-2</v>
      </c>
      <c r="Q1360" s="178">
        <f>FME_Ranking1[[#This Row],[Pop Score (Normalized, Unweighted)]]*$O$3</f>
        <v>2.0731000677724565E-3</v>
      </c>
      <c r="R1360" s="137">
        <f>_xlfn.XLOOKUP(FME_Ranking1[[#This Row],[FME ID]],FME_Input[FME_ID],FME_Input[CRITFAC100])</f>
        <v>0</v>
      </c>
      <c r="S1360" s="230">
        <f>(FME_Ranking1[[#This Row],[Critical Facilities Raw]]/$R$2)*100</f>
        <v>0</v>
      </c>
      <c r="T1360" s="180">
        <f>FME_Ranking1[[#This Row],[Critical Facilities Score (Normalized, Unweighted)]]*$R$3</f>
        <v>0</v>
      </c>
      <c r="U1360">
        <f>_xlfn.XLOOKUP(FME_Ranking1[[#This Row],[FME ID]],FME_Input[FME_ID],FME_Input[LWC])</f>
        <v>2</v>
      </c>
      <c r="V1360" s="178">
        <f>(FME_Ranking1[[#This Row],[LWC Raw]]/$U$2)*100</f>
        <v>0.11514104778353484</v>
      </c>
      <c r="W1360" s="178">
        <f>FME_Ranking1[[#This Row],[LWC Score (Normalized, Unweighted)]]*$U$3</f>
        <v>2.302820955670697E-2</v>
      </c>
      <c r="X1360" s="246">
        <f>_xlfn.XLOOKUP(FME_Ranking1[[#This Row],[FME ID]],FME_Input[FME_ID],FME_Input[ROADCLS])</f>
        <v>0</v>
      </c>
      <c r="Y1360" s="230">
        <f>(FME_Ranking1[[#This Row],[Closures Raw]]/$X$2)*100</f>
        <v>0</v>
      </c>
      <c r="Z1360" s="180">
        <f>FME_Ranking1[[#This Row],[Closures Score (Normalized, Unweighted)]]*$X$3</f>
        <v>0</v>
      </c>
      <c r="AA1360" s="253">
        <f>_xlfn.XLOOKUP(FME_Ranking1[[#This Row],[FME ID]],FME_Input[FME_ID],FME_Input[ROAD_MILES100])</f>
        <v>11.72664737701416</v>
      </c>
      <c r="AB1360" s="178">
        <f>(FME_Ranking1[[#This Row],[Miles Raw]]/$AA$2)*100</f>
        <v>0.15418438027826176</v>
      </c>
      <c r="AC1360" s="178">
        <f>FME_Ranking1[[#This Row],[Miles Score (Normalized, Unweighted)]]*$AA$3</f>
        <v>1.5418438027826177E-2</v>
      </c>
      <c r="AD1360" s="255">
        <f>_xlfn.XLOOKUP(FME_Ranking1[[#This Row],[FME ID]],FME_Input[FME_ID],FME_Input[FARMACRE100])</f>
        <v>325.32382202148438</v>
      </c>
      <c r="AE1360" s="230">
        <f>(FME_Ranking1[[#This Row],[Ag Land Raw]]/$AD$2)*100</f>
        <v>1.3414898106876473E-2</v>
      </c>
      <c r="AF1360" s="231">
        <f>FME_Ranking1[[#This Row],[Ag Land Score (Normalized, Unweighted)]]*$AD$3</f>
        <v>6.707449053438237E-4</v>
      </c>
      <c r="AG136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5.1428858262356748E-2</v>
      </c>
      <c r="AH1360" s="406">
        <f t="shared" si="21"/>
        <v>1304</v>
      </c>
      <c r="AI136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5.1428858262356748E-2</v>
      </c>
      <c r="AJ1360" s="257">
        <f>FME_Ranking1[[#This Row],[Addition check]]-FME_Ranking1[[#This Row],[Weighted Score Based on Normalized Reported Factors]]</f>
        <v>0</v>
      </c>
      <c r="AK1360" s="178">
        <f>_xlfn.RANK.EQ(AI1360,$AI$6:$AI$2341,0)+COUNTIF($AI$6:AI1360,AI1360)-1</f>
        <v>1306</v>
      </c>
    </row>
    <row r="1361" spans="1:37" x14ac:dyDescent="0.25">
      <c r="A1361" t="s">
        <v>7701</v>
      </c>
      <c r="B1361">
        <f>_xlfn.XLOOKUP(FME_Ranking1[[#This Row],[FME ID]],FME_Input[FME_ID],FME_Input[RFPG_NUM])</f>
        <v>8</v>
      </c>
      <c r="C1361" t="str">
        <f>_xlfn.XLOOKUP(FME_Ranking1[[#This Row],[FME ID]],FME_Input[FME_ID],FME_Input[FME_NAME])</f>
        <v>Oakridge Drive and Barak Lake</v>
      </c>
      <c r="D1361" t="str">
        <f>_xlfn.XLOOKUP(FME_Ranking1[[#This Row],[FME ID]],FME_Input[FME_ID],FME_Input[DESCR])</f>
        <v>Study to determine storm sewer needed to mitigate flooding in subdivision.</v>
      </c>
      <c r="E1361" s="256">
        <f>_xlfn.XLOOKUP(FME_Ranking1[[#This Row],[FME ID]],FME_Input[FME_ID],FME_Input[FME_COST])</f>
        <v>129000</v>
      </c>
      <c r="F1361" t="str">
        <f>_xlfn.XLOOKUP(FME_Ranking1[[#This Row],[FME ID]],FME_Input[FME_ID],FME_Input[EMER_NEED])</f>
        <v>No</v>
      </c>
      <c r="G1361">
        <f>IF(FME_Ranking!F1361="Yes",100,0)</f>
        <v>0</v>
      </c>
      <c r="H1361">
        <f>FME_Ranking1[[#This Row],[Emergency Need Score (Normalized, Unweighted)]]*$F$3</f>
        <v>0</v>
      </c>
      <c r="I1361" s="246">
        <f>_xlfn.XLOOKUP(FME_Ranking1[[#This Row],[FME ID]],FME_Input[FME_ID],FME_Input[STRUCT_100])</f>
        <v>76</v>
      </c>
      <c r="J1361" s="178">
        <f>(FME_Ranking1[[#This Row],[Structures 100 Raw]]/I$2)*100</f>
        <v>4.0697425352354023E-2</v>
      </c>
      <c r="K1361" s="178">
        <f>FME_Ranking1[[#This Row],[Structures 100  Score (Normalized, Unweighted)]]*$I$3</f>
        <v>6.1046138028531035E-3</v>
      </c>
      <c r="L1361" s="246">
        <f>_xlfn.XLOOKUP(FME_Ranking1[[#This Row],[FME ID]],FME_Input[FME_ID],FME_Input[RES_STRUCT100])</f>
        <v>38</v>
      </c>
      <c r="M1361" s="230">
        <f>(FME_Ranking1[[#This Row],[Res Structures Raw]]/L$2)*100</f>
        <v>2.691561247184485E-2</v>
      </c>
      <c r="N1361" s="180">
        <f>FME_Ranking1[[#This Row],[Res Structures Score (Normalized, Unweighted)]]*$L$3</f>
        <v>2.691561247184485E-3</v>
      </c>
      <c r="O1361" s="244">
        <f>_xlfn.XLOOKUP(FME_Ranking1[[#This Row],[FME ID]],FME_Input[FME_ID],FME_Input[POP100])</f>
        <v>961</v>
      </c>
      <c r="P1361" s="178">
        <f>(FME_Ranking1[[#This Row],[Pop Raw]]/$O$2)*100</f>
        <v>9.8382674821201527E-2</v>
      </c>
      <c r="Q1361" s="178">
        <f>FME_Ranking1[[#This Row],[Pop Score (Normalized, Unweighted)]]*$O$3</f>
        <v>1.4757401223180228E-2</v>
      </c>
      <c r="R1361" s="137">
        <f>_xlfn.XLOOKUP(FME_Ranking1[[#This Row],[FME ID]],FME_Input[FME_ID],FME_Input[CRITFAC100])</f>
        <v>1</v>
      </c>
      <c r="S1361" s="230">
        <f>(FME_Ranking1[[#This Row],[Critical Facilities Raw]]/$R$2)*100</f>
        <v>4.2881646655231559E-2</v>
      </c>
      <c r="T1361" s="180">
        <f>FME_Ranking1[[#This Row],[Critical Facilities Score (Normalized, Unweighted)]]*$R$3</f>
        <v>8.5763293310463125E-3</v>
      </c>
      <c r="U1361">
        <f>_xlfn.XLOOKUP(FME_Ranking1[[#This Row],[FME ID]],FME_Input[FME_ID],FME_Input[LWC])</f>
        <v>0</v>
      </c>
      <c r="V1361" s="178">
        <f>(FME_Ranking1[[#This Row],[LWC Raw]]/$U$2)*100</f>
        <v>0</v>
      </c>
      <c r="W1361" s="178">
        <f>FME_Ranking1[[#This Row],[LWC Score (Normalized, Unweighted)]]*$U$3</f>
        <v>0</v>
      </c>
      <c r="X1361" s="246">
        <f>_xlfn.XLOOKUP(FME_Ranking1[[#This Row],[FME ID]],FME_Input[FME_ID],FME_Input[ROADCLS])</f>
        <v>7</v>
      </c>
      <c r="Y1361" s="230">
        <f>(FME_Ranking1[[#This Row],[Closures Raw]]/$X$2)*100</f>
        <v>7.3598990642414042E-2</v>
      </c>
      <c r="Z1361" s="180">
        <f>FME_Ranking1[[#This Row],[Closures Score (Normalized, Unweighted)]]*$X$3</f>
        <v>3.6799495321207022E-3</v>
      </c>
      <c r="AA1361" s="253">
        <f>_xlfn.XLOOKUP(FME_Ranking1[[#This Row],[FME ID]],FME_Input[FME_ID],FME_Input[ROAD_MILES100])</f>
        <v>0.22497500479221341</v>
      </c>
      <c r="AB1361" s="178">
        <f>(FME_Ranking1[[#This Row],[Miles Raw]]/$AA$2)*100</f>
        <v>2.9580178014032314E-3</v>
      </c>
      <c r="AC1361" s="178">
        <f>FME_Ranking1[[#This Row],[Miles Score (Normalized, Unweighted)]]*$AA$3</f>
        <v>2.9580178014032316E-4</v>
      </c>
      <c r="AD1361" s="255">
        <f>_xlfn.XLOOKUP(FME_Ranking1[[#This Row],[FME ID]],FME_Input[FME_ID],FME_Input[FARMACRE100])</f>
        <v>0</v>
      </c>
      <c r="AE1361" s="230">
        <f>(FME_Ranking1[[#This Row],[Ag Land Raw]]/$AD$2)*100</f>
        <v>0</v>
      </c>
      <c r="AF1361" s="231">
        <f>FME_Ranking1[[#This Row],[Ag Land Score (Normalized, Unweighted)]]*$AD$3</f>
        <v>0</v>
      </c>
      <c r="AG136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3.6105656916525154E-2</v>
      </c>
      <c r="AH1361" s="406">
        <f t="shared" si="21"/>
        <v>1418</v>
      </c>
      <c r="AI136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3.6105656916525154E-2</v>
      </c>
      <c r="AJ1361" s="257">
        <f>FME_Ranking1[[#This Row],[Addition check]]-FME_Ranking1[[#This Row],[Weighted Score Based on Normalized Reported Factors]]</f>
        <v>0</v>
      </c>
      <c r="AK1361" s="178">
        <f>_xlfn.RANK.EQ(AI1361,$AI$6:$AI$2341,0)+COUNTIF($AI$6:AI1361,AI1361)-1</f>
        <v>1418</v>
      </c>
    </row>
    <row r="1362" spans="1:37" x14ac:dyDescent="0.25">
      <c r="A1362" t="s">
        <v>7707</v>
      </c>
      <c r="B1362">
        <f>_xlfn.XLOOKUP(FME_Ranking1[[#This Row],[FME ID]],FME_Input[FME_ID],FME_Input[RFPG_NUM])</f>
        <v>8</v>
      </c>
      <c r="C1362" t="str">
        <f>_xlfn.XLOOKUP(FME_Ranking1[[#This Row],[FME ID]],FME_Input[FME_ID],FME_Input[FME_NAME])</f>
        <v>Briar Oaks Drive Storm Sewer Improvements</v>
      </c>
      <c r="D1362" t="str">
        <f>_xlfn.XLOOKUP(FME_Ranking1[[#This Row],[FME ID]],FME_Input[FME_ID],FME_Input[DESCR])</f>
        <v>Update design to account for Atlas 14 rainfall.</v>
      </c>
      <c r="E1362" s="256">
        <f>_xlfn.XLOOKUP(FME_Ranking1[[#This Row],[FME ID]],FME_Input[FME_ID],FME_Input[FME_COST])</f>
        <v>50000</v>
      </c>
      <c r="F1362" t="str">
        <f>_xlfn.XLOOKUP(FME_Ranking1[[#This Row],[FME ID]],FME_Input[FME_ID],FME_Input[EMER_NEED])</f>
        <v>No</v>
      </c>
      <c r="G1362">
        <f>IF(FME_Ranking!F1362="Yes",100,0)</f>
        <v>0</v>
      </c>
      <c r="H1362">
        <f>FME_Ranking1[[#This Row],[Emergency Need Score (Normalized, Unweighted)]]*$F$3</f>
        <v>0</v>
      </c>
      <c r="I1362" s="246">
        <f>_xlfn.XLOOKUP(FME_Ranking1[[#This Row],[FME ID]],FME_Input[FME_ID],FME_Input[STRUCT_100])</f>
        <v>76</v>
      </c>
      <c r="J1362" s="178">
        <f>(FME_Ranking1[[#This Row],[Structures 100 Raw]]/I$2)*100</f>
        <v>4.0697425352354023E-2</v>
      </c>
      <c r="K1362" s="178">
        <f>FME_Ranking1[[#This Row],[Structures 100  Score (Normalized, Unweighted)]]*$I$3</f>
        <v>6.1046138028531035E-3</v>
      </c>
      <c r="L1362" s="246">
        <f>_xlfn.XLOOKUP(FME_Ranking1[[#This Row],[FME ID]],FME_Input[FME_ID],FME_Input[RES_STRUCT100])</f>
        <v>38</v>
      </c>
      <c r="M1362" s="230">
        <f>(FME_Ranking1[[#This Row],[Res Structures Raw]]/L$2)*100</f>
        <v>2.691561247184485E-2</v>
      </c>
      <c r="N1362" s="180">
        <f>FME_Ranking1[[#This Row],[Res Structures Score (Normalized, Unweighted)]]*$L$3</f>
        <v>2.691561247184485E-3</v>
      </c>
      <c r="O1362" s="244">
        <f>_xlfn.XLOOKUP(FME_Ranking1[[#This Row],[FME ID]],FME_Input[FME_ID],FME_Input[POP100])</f>
        <v>961</v>
      </c>
      <c r="P1362" s="178">
        <f>(FME_Ranking1[[#This Row],[Pop Raw]]/$O$2)*100</f>
        <v>9.8382674821201527E-2</v>
      </c>
      <c r="Q1362" s="178">
        <f>FME_Ranking1[[#This Row],[Pop Score (Normalized, Unweighted)]]*$O$3</f>
        <v>1.4757401223180228E-2</v>
      </c>
      <c r="R1362" s="137">
        <f>_xlfn.XLOOKUP(FME_Ranking1[[#This Row],[FME ID]],FME_Input[FME_ID],FME_Input[CRITFAC100])</f>
        <v>1</v>
      </c>
      <c r="S1362" s="230">
        <f>(FME_Ranking1[[#This Row],[Critical Facilities Raw]]/$R$2)*100</f>
        <v>4.2881646655231559E-2</v>
      </c>
      <c r="T1362" s="180">
        <f>FME_Ranking1[[#This Row],[Critical Facilities Score (Normalized, Unweighted)]]*$R$3</f>
        <v>8.5763293310463125E-3</v>
      </c>
      <c r="U1362">
        <f>_xlfn.XLOOKUP(FME_Ranking1[[#This Row],[FME ID]],FME_Input[FME_ID],FME_Input[LWC])</f>
        <v>0</v>
      </c>
      <c r="V1362" s="178">
        <f>(FME_Ranking1[[#This Row],[LWC Raw]]/$U$2)*100</f>
        <v>0</v>
      </c>
      <c r="W1362" s="178">
        <f>FME_Ranking1[[#This Row],[LWC Score (Normalized, Unweighted)]]*$U$3</f>
        <v>0</v>
      </c>
      <c r="X1362" s="246">
        <f>_xlfn.XLOOKUP(FME_Ranking1[[#This Row],[FME ID]],FME_Input[FME_ID],FME_Input[ROADCLS])</f>
        <v>7</v>
      </c>
      <c r="Y1362" s="230">
        <f>(FME_Ranking1[[#This Row],[Closures Raw]]/$X$2)*100</f>
        <v>7.3598990642414042E-2</v>
      </c>
      <c r="Z1362" s="180">
        <f>FME_Ranking1[[#This Row],[Closures Score (Normalized, Unweighted)]]*$X$3</f>
        <v>3.6799495321207022E-3</v>
      </c>
      <c r="AA1362" s="253">
        <f>_xlfn.XLOOKUP(FME_Ranking1[[#This Row],[FME ID]],FME_Input[FME_ID],FME_Input[ROAD_MILES100])</f>
        <v>0.29646900296211243</v>
      </c>
      <c r="AB1362" s="178">
        <f>(FME_Ranking1[[#This Row],[Miles Raw]]/$AA$2)*100</f>
        <v>3.8980356468317681E-3</v>
      </c>
      <c r="AC1362" s="178">
        <f>FME_Ranking1[[#This Row],[Miles Score (Normalized, Unweighted)]]*$AA$3</f>
        <v>3.8980356468317683E-4</v>
      </c>
      <c r="AD1362" s="255">
        <f>_xlfn.XLOOKUP(FME_Ranking1[[#This Row],[FME ID]],FME_Input[FME_ID],FME_Input[FARMACRE100])</f>
        <v>0</v>
      </c>
      <c r="AE1362" s="230">
        <f>(FME_Ranking1[[#This Row],[Ag Land Raw]]/$AD$2)*100</f>
        <v>0</v>
      </c>
      <c r="AF1362" s="231">
        <f>FME_Ranking1[[#This Row],[Ag Land Score (Normalized, Unweighted)]]*$AD$3</f>
        <v>0</v>
      </c>
      <c r="AG136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3.6199658701068005E-2</v>
      </c>
      <c r="AH1362" s="406">
        <f t="shared" si="21"/>
        <v>1417</v>
      </c>
      <c r="AI136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3.6199658701068005E-2</v>
      </c>
      <c r="AJ1362" s="257">
        <f>FME_Ranking1[[#This Row],[Addition check]]-FME_Ranking1[[#This Row],[Weighted Score Based on Normalized Reported Factors]]</f>
        <v>0</v>
      </c>
      <c r="AK1362" s="178">
        <f>_xlfn.RANK.EQ(AI1362,$AI$6:$AI$2341,0)+COUNTIF($AI$6:AI1362,AI1362)-1</f>
        <v>1417</v>
      </c>
    </row>
    <row r="1363" spans="1:37" x14ac:dyDescent="0.25">
      <c r="A1363" t="s">
        <v>11104</v>
      </c>
      <c r="B1363">
        <f>_xlfn.XLOOKUP(FME_Ranking1[[#This Row],[FME ID]],FME_Input[FME_ID],FME_Input[RFPG_NUM])</f>
        <v>15</v>
      </c>
      <c r="C1363" t="str">
        <f>_xlfn.XLOOKUP(FME_Ranking1[[#This Row],[FME ID]],FME_Input[FME_ID],FME_Input[FME_NAME])</f>
        <v>N Tower</v>
      </c>
      <c r="D1363" t="str">
        <f>_xlfn.XLOOKUP(FME_Ranking1[[#This Row],[FME ID]],FME_Input[FME_ID],FME_Input[DESCR])</f>
        <v>Local Drainage Improvements-Storm Drain North of Minnesota Road</v>
      </c>
      <c r="E1363" s="256">
        <f>_xlfn.XLOOKUP(FME_Ranking1[[#This Row],[FME ID]],FME_Input[FME_ID],FME_Input[FME_COST])</f>
        <v>201000</v>
      </c>
      <c r="F1363" t="str">
        <f>_xlfn.XLOOKUP(FME_Ranking1[[#This Row],[FME ID]],FME_Input[FME_ID],FME_Input[EMER_NEED])</f>
        <v>Yes</v>
      </c>
      <c r="G1363">
        <f>IF(FME_Ranking!F1363="Yes",100,0)</f>
        <v>100</v>
      </c>
      <c r="H1363">
        <f>FME_Ranking1[[#This Row],[Emergency Need Score (Normalized, Unweighted)]]*$F$3</f>
        <v>0</v>
      </c>
      <c r="I1363" s="246">
        <f>_xlfn.XLOOKUP(FME_Ranking1[[#This Row],[FME ID]],FME_Input[FME_ID],FME_Input[STRUCT_100])</f>
        <v>0</v>
      </c>
      <c r="J1363" s="178">
        <f>(FME_Ranking1[[#This Row],[Structures 100 Raw]]/I$2)*100</f>
        <v>0</v>
      </c>
      <c r="K1363" s="178">
        <f>FME_Ranking1[[#This Row],[Structures 100  Score (Normalized, Unweighted)]]*$I$3</f>
        <v>0</v>
      </c>
      <c r="L1363" s="246">
        <f>_xlfn.XLOOKUP(FME_Ranking1[[#This Row],[FME ID]],FME_Input[FME_ID],FME_Input[RES_STRUCT100])</f>
        <v>268</v>
      </c>
      <c r="M1363" s="230">
        <f>(FME_Ranking1[[#This Row],[Res Structures Raw]]/L$2)*100</f>
        <v>0.18982589848564266</v>
      </c>
      <c r="N1363" s="180">
        <f>FME_Ranking1[[#This Row],[Res Structures Score (Normalized, Unweighted)]]*$L$3</f>
        <v>1.8982589848564269E-2</v>
      </c>
      <c r="O1363" s="244">
        <f>_xlfn.XLOOKUP(FME_Ranking1[[#This Row],[FME ID]],FME_Input[FME_ID],FME_Input[POP100])</f>
        <v>1092</v>
      </c>
      <c r="P1363" s="178">
        <f>(FME_Ranking1[[#This Row],[Pop Raw]]/$O$2)*100</f>
        <v>0.11179384069172951</v>
      </c>
      <c r="Q1363" s="178">
        <f>FME_Ranking1[[#This Row],[Pop Score (Normalized, Unweighted)]]*$O$3</f>
        <v>1.6769076103759425E-2</v>
      </c>
      <c r="R1363" s="137">
        <f>_xlfn.XLOOKUP(FME_Ranking1[[#This Row],[FME ID]],FME_Input[FME_ID],FME_Input[CRITFAC100])</f>
        <v>0</v>
      </c>
      <c r="S1363" s="230">
        <f>(FME_Ranking1[[#This Row],[Critical Facilities Raw]]/$R$2)*100</f>
        <v>0</v>
      </c>
      <c r="T1363" s="180">
        <f>FME_Ranking1[[#This Row],[Critical Facilities Score (Normalized, Unweighted)]]*$R$3</f>
        <v>0</v>
      </c>
      <c r="U1363">
        <f>_xlfn.XLOOKUP(FME_Ranking1[[#This Row],[FME ID]],FME_Input[FME_ID],FME_Input[LWC])</f>
        <v>0</v>
      </c>
      <c r="V1363" s="178">
        <f>(FME_Ranking1[[#This Row],[LWC Raw]]/$U$2)*100</f>
        <v>0</v>
      </c>
      <c r="W1363" s="178">
        <f>FME_Ranking1[[#This Row],[LWC Score (Normalized, Unweighted)]]*$U$3</f>
        <v>0</v>
      </c>
      <c r="X1363" s="246">
        <f>_xlfn.XLOOKUP(FME_Ranking1[[#This Row],[FME ID]],FME_Input[FME_ID],FME_Input[ROADCLS])</f>
        <v>0</v>
      </c>
      <c r="Y1363" s="230">
        <f>(FME_Ranking1[[#This Row],[Closures Raw]]/$X$2)*100</f>
        <v>0</v>
      </c>
      <c r="Z1363" s="180">
        <f>FME_Ranking1[[#This Row],[Closures Score (Normalized, Unweighted)]]*$X$3</f>
        <v>0</v>
      </c>
      <c r="AA1363" s="253">
        <f>_xlfn.XLOOKUP(FME_Ranking1[[#This Row],[FME ID]],FME_Input[FME_ID],FME_Input[ROAD_MILES100])</f>
        <v>20.064800262451168</v>
      </c>
      <c r="AB1363" s="178">
        <f>(FME_Ranking1[[#This Row],[Miles Raw]]/$AA$2)*100</f>
        <v>0.26381613554247163</v>
      </c>
      <c r="AC1363" s="178">
        <f>FME_Ranking1[[#This Row],[Miles Score (Normalized, Unweighted)]]*$AA$3</f>
        <v>2.6381613554247164E-2</v>
      </c>
      <c r="AD1363" s="255">
        <f>_xlfn.XLOOKUP(FME_Ranking1[[#This Row],[FME ID]],FME_Input[FME_ID],FME_Input[FARMACRE100])</f>
        <v>0</v>
      </c>
      <c r="AE1363" s="230">
        <f>(FME_Ranking1[[#This Row],[Ag Land Raw]]/$AD$2)*100</f>
        <v>0</v>
      </c>
      <c r="AF1363" s="231">
        <f>FME_Ranking1[[#This Row],[Ag Land Score (Normalized, Unweighted)]]*$AD$3</f>
        <v>0</v>
      </c>
      <c r="AG136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6.2133279506570854E-2</v>
      </c>
      <c r="AH1363" s="406">
        <f t="shared" si="21"/>
        <v>1232</v>
      </c>
      <c r="AI136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6.2133279506570854E-2</v>
      </c>
      <c r="AJ1363" s="257">
        <f>FME_Ranking1[[#This Row],[Addition check]]-FME_Ranking1[[#This Row],[Weighted Score Based on Normalized Reported Factors]]</f>
        <v>0</v>
      </c>
      <c r="AK1363" s="178">
        <f>_xlfn.RANK.EQ(AI1363,$AI$6:$AI$2341,0)+COUNTIF($AI$6:AI1363,AI1363)-1</f>
        <v>1232</v>
      </c>
    </row>
    <row r="1364" spans="1:37" x14ac:dyDescent="0.25">
      <c r="A1364" t="s">
        <v>4703</v>
      </c>
      <c r="B1364">
        <f>_xlfn.XLOOKUP(FME_Ranking1[[#This Row],[FME ID]],FME_Input[FME_ID],FME_Input[RFPG_NUM])</f>
        <v>3</v>
      </c>
      <c r="C1364" t="str">
        <f>_xlfn.XLOOKUP(FME_Ranking1[[#This Row],[FME ID]],FME_Input[FME_ID],FME_Input[FME_NAME])</f>
        <v>Regional Detention at Bowie Elementary School</v>
      </c>
      <c r="D1364" t="str">
        <f>_xlfn.XLOOKUP(FME_Ranking1[[#This Row],[FME ID]],FME_Input[FME_ID],FME_Input[DESCR])</f>
        <v>Study update - Storm Drain Improvements; Estimated construction cost of $3,433,500</v>
      </c>
      <c r="E1364" s="256">
        <f>_xlfn.XLOOKUP(FME_Ranking1[[#This Row],[FME ID]],FME_Input[FME_ID],FME_Input[FME_COST])</f>
        <v>250000</v>
      </c>
      <c r="F1364" t="str">
        <f>_xlfn.XLOOKUP(FME_Ranking1[[#This Row],[FME ID]],FME_Input[FME_ID],FME_Input[EMER_NEED])</f>
        <v>No</v>
      </c>
      <c r="G1364">
        <f>IF(FME_Ranking!F1364="Yes",100,0)</f>
        <v>0</v>
      </c>
      <c r="H1364">
        <f>FME_Ranking1[[#This Row],[Emergency Need Score (Normalized, Unweighted)]]*$F$3</f>
        <v>0</v>
      </c>
      <c r="I1364" s="246">
        <f>_xlfn.XLOOKUP(FME_Ranking1[[#This Row],[FME ID]],FME_Input[FME_ID],FME_Input[STRUCT_100])</f>
        <v>42</v>
      </c>
      <c r="J1364" s="178">
        <f>(FME_Ranking1[[#This Row],[Structures 100 Raw]]/I$2)*100</f>
        <v>2.2490682431564064E-2</v>
      </c>
      <c r="K1364" s="178">
        <f>FME_Ranking1[[#This Row],[Structures 100  Score (Normalized, Unweighted)]]*$I$3</f>
        <v>3.3736023647346096E-3</v>
      </c>
      <c r="L1364" s="246">
        <f>_xlfn.XLOOKUP(FME_Ranking1[[#This Row],[FME ID]],FME_Input[FME_ID],FME_Input[RES_STRUCT100])</f>
        <v>36</v>
      </c>
      <c r="M1364" s="230">
        <f>(FME_Ranking1[[#This Row],[Res Structures Raw]]/L$2)*100</f>
        <v>2.5499001289116176E-2</v>
      </c>
      <c r="N1364" s="180">
        <f>FME_Ranking1[[#This Row],[Res Structures Score (Normalized, Unweighted)]]*$L$3</f>
        <v>2.5499001289116178E-3</v>
      </c>
      <c r="O1364" s="244">
        <f>_xlfn.XLOOKUP(FME_Ranking1[[#This Row],[FME ID]],FME_Input[FME_ID],FME_Input[POP100])</f>
        <v>433</v>
      </c>
      <c r="P1364" s="178">
        <f>(FME_Ranking1[[#This Row],[Pop Raw]]/$O$2)*100</f>
        <v>4.4328510091134497E-2</v>
      </c>
      <c r="Q1364" s="178">
        <f>FME_Ranking1[[#This Row],[Pop Score (Normalized, Unweighted)]]*$O$3</f>
        <v>6.6492765136701741E-3</v>
      </c>
      <c r="R1364" s="137">
        <f>_xlfn.XLOOKUP(FME_Ranking1[[#This Row],[FME ID]],FME_Input[FME_ID],FME_Input[CRITFAC100])</f>
        <v>0</v>
      </c>
      <c r="S1364" s="230">
        <f>(FME_Ranking1[[#This Row],[Critical Facilities Raw]]/$R$2)*100</f>
        <v>0</v>
      </c>
      <c r="T1364" s="180">
        <f>FME_Ranking1[[#This Row],[Critical Facilities Score (Normalized, Unweighted)]]*$R$3</f>
        <v>0</v>
      </c>
      <c r="U1364">
        <f>_xlfn.XLOOKUP(FME_Ranking1[[#This Row],[FME ID]],FME_Input[FME_ID],FME_Input[LWC])</f>
        <v>2</v>
      </c>
      <c r="V1364" s="178">
        <f>(FME_Ranking1[[#This Row],[LWC Raw]]/$U$2)*100</f>
        <v>0.11514104778353484</v>
      </c>
      <c r="W1364" s="178">
        <f>FME_Ranking1[[#This Row],[LWC Score (Normalized, Unweighted)]]*$U$3</f>
        <v>2.302820955670697E-2</v>
      </c>
      <c r="X1364" s="246">
        <f>_xlfn.XLOOKUP(FME_Ranking1[[#This Row],[FME ID]],FME_Input[FME_ID],FME_Input[ROADCLS])</f>
        <v>0</v>
      </c>
      <c r="Y1364" s="230">
        <f>(FME_Ranking1[[#This Row],[Closures Raw]]/$X$2)*100</f>
        <v>0</v>
      </c>
      <c r="Z1364" s="180">
        <f>FME_Ranking1[[#This Row],[Closures Score (Normalized, Unweighted)]]*$X$3</f>
        <v>0</v>
      </c>
      <c r="AA1364" s="253">
        <f>_xlfn.XLOOKUP(FME_Ranking1[[#This Row],[FME ID]],FME_Input[FME_ID],FME_Input[ROAD_MILES100])</f>
        <v>1.1353470087051389</v>
      </c>
      <c r="AB1364" s="178">
        <f>(FME_Ranking1[[#This Row],[Miles Raw]]/$AA$2)*100</f>
        <v>1.4927776824014303E-2</v>
      </c>
      <c r="AC1364" s="178">
        <f>FME_Ranking1[[#This Row],[Miles Score (Normalized, Unweighted)]]*$AA$3</f>
        <v>1.4927776824014303E-3</v>
      </c>
      <c r="AD1364" s="255">
        <f>_xlfn.XLOOKUP(FME_Ranking1[[#This Row],[FME ID]],FME_Input[FME_ID],FME_Input[FARMACRE100])</f>
        <v>7.9424481391906738</v>
      </c>
      <c r="AE1364" s="230">
        <f>(FME_Ranking1[[#This Row],[Ag Land Raw]]/$AD$2)*100</f>
        <v>3.2751100686182508E-4</v>
      </c>
      <c r="AF1364" s="231">
        <f>FME_Ranking1[[#This Row],[Ag Land Score (Normalized, Unweighted)]]*$AD$3</f>
        <v>1.6375550343091254E-5</v>
      </c>
      <c r="AG136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3.7110141796767887E-2</v>
      </c>
      <c r="AH1364" s="406">
        <f t="shared" si="21"/>
        <v>1402</v>
      </c>
      <c r="AI136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3.7110141796767887E-2</v>
      </c>
      <c r="AJ1364" s="257">
        <f>FME_Ranking1[[#This Row],[Addition check]]-FME_Ranking1[[#This Row],[Weighted Score Based on Normalized Reported Factors]]</f>
        <v>0</v>
      </c>
      <c r="AK1364" s="178">
        <f>_xlfn.RANK.EQ(AI1364,$AI$6:$AI$2341,0)+COUNTIF($AI$6:AI1364,AI1364)-1</f>
        <v>1402</v>
      </c>
    </row>
    <row r="1365" spans="1:37" x14ac:dyDescent="0.25">
      <c r="A1365" t="s">
        <v>4713</v>
      </c>
      <c r="B1365">
        <f>_xlfn.XLOOKUP(FME_Ranking1[[#This Row],[FME ID]],FME_Input[FME_ID],FME_Input[RFPG_NUM])</f>
        <v>3</v>
      </c>
      <c r="C1365" t="str">
        <f>_xlfn.XLOOKUP(FME_Ranking1[[#This Row],[FME ID]],FME_Input[FME_ID],FME_Input[FME_NAME])</f>
        <v>Marshall Drive from Emerald to SW 3rd</v>
      </c>
      <c r="D1365" t="str">
        <f>_xlfn.XLOOKUP(FME_Ranking1[[#This Row],[FME ID]],FME_Input[FME_ID],FME_Input[DESCR])</f>
        <v>Study update - Storm Drain Improvements; Estimated construction cost of $3,603,100</v>
      </c>
      <c r="E1365" s="256">
        <f>_xlfn.XLOOKUP(FME_Ranking1[[#This Row],[FME ID]],FME_Input[FME_ID],FME_Input[FME_COST])</f>
        <v>250000</v>
      </c>
      <c r="F1365" t="str">
        <f>_xlfn.XLOOKUP(FME_Ranking1[[#This Row],[FME ID]],FME_Input[FME_ID],FME_Input[EMER_NEED])</f>
        <v>No</v>
      </c>
      <c r="G1365">
        <f>IF(FME_Ranking!F1365="Yes",100,0)</f>
        <v>0</v>
      </c>
      <c r="H1365">
        <f>FME_Ranking1[[#This Row],[Emergency Need Score (Normalized, Unweighted)]]*$F$3</f>
        <v>0</v>
      </c>
      <c r="I1365" s="246">
        <f>_xlfn.XLOOKUP(FME_Ranking1[[#This Row],[FME ID]],FME_Input[FME_ID],FME_Input[STRUCT_100])</f>
        <v>42</v>
      </c>
      <c r="J1365" s="178">
        <f>(FME_Ranking1[[#This Row],[Structures 100 Raw]]/I$2)*100</f>
        <v>2.2490682431564064E-2</v>
      </c>
      <c r="K1365" s="178">
        <f>FME_Ranking1[[#This Row],[Structures 100  Score (Normalized, Unweighted)]]*$I$3</f>
        <v>3.3736023647346096E-3</v>
      </c>
      <c r="L1365" s="246">
        <f>_xlfn.XLOOKUP(FME_Ranking1[[#This Row],[FME ID]],FME_Input[FME_ID],FME_Input[RES_STRUCT100])</f>
        <v>36</v>
      </c>
      <c r="M1365" s="230">
        <f>(FME_Ranking1[[#This Row],[Res Structures Raw]]/L$2)*100</f>
        <v>2.5499001289116176E-2</v>
      </c>
      <c r="N1365" s="180">
        <f>FME_Ranking1[[#This Row],[Res Structures Score (Normalized, Unweighted)]]*$L$3</f>
        <v>2.5499001289116178E-3</v>
      </c>
      <c r="O1365" s="244">
        <f>_xlfn.XLOOKUP(FME_Ranking1[[#This Row],[FME ID]],FME_Input[FME_ID],FME_Input[POP100])</f>
        <v>433</v>
      </c>
      <c r="P1365" s="178">
        <f>(FME_Ranking1[[#This Row],[Pop Raw]]/$O$2)*100</f>
        <v>4.4328510091134497E-2</v>
      </c>
      <c r="Q1365" s="178">
        <f>FME_Ranking1[[#This Row],[Pop Score (Normalized, Unweighted)]]*$O$3</f>
        <v>6.6492765136701741E-3</v>
      </c>
      <c r="R1365" s="137">
        <f>_xlfn.XLOOKUP(FME_Ranking1[[#This Row],[FME ID]],FME_Input[FME_ID],FME_Input[CRITFAC100])</f>
        <v>0</v>
      </c>
      <c r="S1365" s="230">
        <f>(FME_Ranking1[[#This Row],[Critical Facilities Raw]]/$R$2)*100</f>
        <v>0</v>
      </c>
      <c r="T1365" s="180">
        <f>FME_Ranking1[[#This Row],[Critical Facilities Score (Normalized, Unweighted)]]*$R$3</f>
        <v>0</v>
      </c>
      <c r="U1365">
        <f>_xlfn.XLOOKUP(FME_Ranking1[[#This Row],[FME ID]],FME_Input[FME_ID],FME_Input[LWC])</f>
        <v>2</v>
      </c>
      <c r="V1365" s="178">
        <f>(FME_Ranking1[[#This Row],[LWC Raw]]/$U$2)*100</f>
        <v>0.11514104778353484</v>
      </c>
      <c r="W1365" s="178">
        <f>FME_Ranking1[[#This Row],[LWC Score (Normalized, Unweighted)]]*$U$3</f>
        <v>2.302820955670697E-2</v>
      </c>
      <c r="X1365" s="246">
        <f>_xlfn.XLOOKUP(FME_Ranking1[[#This Row],[FME ID]],FME_Input[FME_ID],FME_Input[ROADCLS])</f>
        <v>0</v>
      </c>
      <c r="Y1365" s="230">
        <f>(FME_Ranking1[[#This Row],[Closures Raw]]/$X$2)*100</f>
        <v>0</v>
      </c>
      <c r="Z1365" s="180">
        <f>FME_Ranking1[[#This Row],[Closures Score (Normalized, Unweighted)]]*$X$3</f>
        <v>0</v>
      </c>
      <c r="AA1365" s="253">
        <f>_xlfn.XLOOKUP(FME_Ranking1[[#This Row],[FME ID]],FME_Input[FME_ID],FME_Input[ROAD_MILES100])</f>
        <v>1.1353470087051389</v>
      </c>
      <c r="AB1365" s="178">
        <f>(FME_Ranking1[[#This Row],[Miles Raw]]/$AA$2)*100</f>
        <v>1.4927776824014303E-2</v>
      </c>
      <c r="AC1365" s="178">
        <f>FME_Ranking1[[#This Row],[Miles Score (Normalized, Unweighted)]]*$AA$3</f>
        <v>1.4927776824014303E-3</v>
      </c>
      <c r="AD1365" s="255">
        <f>_xlfn.XLOOKUP(FME_Ranking1[[#This Row],[FME ID]],FME_Input[FME_ID],FME_Input[FARMACRE100])</f>
        <v>7.9424481391906738</v>
      </c>
      <c r="AE1365" s="230">
        <f>(FME_Ranking1[[#This Row],[Ag Land Raw]]/$AD$2)*100</f>
        <v>3.2751100686182508E-4</v>
      </c>
      <c r="AF1365" s="231">
        <f>FME_Ranking1[[#This Row],[Ag Land Score (Normalized, Unweighted)]]*$AD$3</f>
        <v>1.6375550343091254E-5</v>
      </c>
      <c r="AG136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3.7110141796767887E-2</v>
      </c>
      <c r="AH1365" s="406">
        <f t="shared" si="21"/>
        <v>1402</v>
      </c>
      <c r="AI136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3.7110141796767887E-2</v>
      </c>
      <c r="AJ1365" s="257">
        <f>FME_Ranking1[[#This Row],[Addition check]]-FME_Ranking1[[#This Row],[Weighted Score Based on Normalized Reported Factors]]</f>
        <v>0</v>
      </c>
      <c r="AK1365" s="178">
        <f>_xlfn.RANK.EQ(AI1365,$AI$6:$AI$2341,0)+COUNTIF($AI$6:AI1365,AI1365)-1</f>
        <v>1403</v>
      </c>
    </row>
    <row r="1366" spans="1:37" x14ac:dyDescent="0.25">
      <c r="A1366" t="s">
        <v>4732</v>
      </c>
      <c r="B1366">
        <f>_xlfn.XLOOKUP(FME_Ranking1[[#This Row],[FME ID]],FME_Input[FME_ID],FME_Input[RFPG_NUM])</f>
        <v>3</v>
      </c>
      <c r="C1366" t="str">
        <f>_xlfn.XLOOKUP(FME_Ranking1[[#This Row],[FME ID]],FME_Input[FME_ID],FME_Input[FME_NAME])</f>
        <v>Cherokee Trace and Choctaw Trace to Clarice</v>
      </c>
      <c r="D1366" t="str">
        <f>_xlfn.XLOOKUP(FME_Ranking1[[#This Row],[FME ID]],FME_Input[FME_ID],FME_Input[DESCR])</f>
        <v>Study update - Storm Drain Improvements; Estimated construction cost of $2,715,600</v>
      </c>
      <c r="E1366" s="256">
        <f>_xlfn.XLOOKUP(FME_Ranking1[[#This Row],[FME ID]],FME_Input[FME_ID],FME_Input[FME_COST])</f>
        <v>250000</v>
      </c>
      <c r="F1366" t="str">
        <f>_xlfn.XLOOKUP(FME_Ranking1[[#This Row],[FME ID]],FME_Input[FME_ID],FME_Input[EMER_NEED])</f>
        <v>No</v>
      </c>
      <c r="G1366">
        <f>IF(FME_Ranking!F1366="Yes",100,0)</f>
        <v>0</v>
      </c>
      <c r="H1366">
        <f>FME_Ranking1[[#This Row],[Emergency Need Score (Normalized, Unweighted)]]*$F$3</f>
        <v>0</v>
      </c>
      <c r="I1366" s="246">
        <f>_xlfn.XLOOKUP(FME_Ranking1[[#This Row],[FME ID]],FME_Input[FME_ID],FME_Input[STRUCT_100])</f>
        <v>42</v>
      </c>
      <c r="J1366" s="178">
        <f>(FME_Ranking1[[#This Row],[Structures 100 Raw]]/I$2)*100</f>
        <v>2.2490682431564064E-2</v>
      </c>
      <c r="K1366" s="178">
        <f>FME_Ranking1[[#This Row],[Structures 100  Score (Normalized, Unweighted)]]*$I$3</f>
        <v>3.3736023647346096E-3</v>
      </c>
      <c r="L1366" s="246">
        <f>_xlfn.XLOOKUP(FME_Ranking1[[#This Row],[FME ID]],FME_Input[FME_ID],FME_Input[RES_STRUCT100])</f>
        <v>36</v>
      </c>
      <c r="M1366" s="230">
        <f>(FME_Ranking1[[#This Row],[Res Structures Raw]]/L$2)*100</f>
        <v>2.5499001289116176E-2</v>
      </c>
      <c r="N1366" s="180">
        <f>FME_Ranking1[[#This Row],[Res Structures Score (Normalized, Unweighted)]]*$L$3</f>
        <v>2.5499001289116178E-3</v>
      </c>
      <c r="O1366" s="244">
        <f>_xlfn.XLOOKUP(FME_Ranking1[[#This Row],[FME ID]],FME_Input[FME_ID],FME_Input[POP100])</f>
        <v>433</v>
      </c>
      <c r="P1366" s="178">
        <f>(FME_Ranking1[[#This Row],[Pop Raw]]/$O$2)*100</f>
        <v>4.4328510091134497E-2</v>
      </c>
      <c r="Q1366" s="178">
        <f>FME_Ranking1[[#This Row],[Pop Score (Normalized, Unweighted)]]*$O$3</f>
        <v>6.6492765136701741E-3</v>
      </c>
      <c r="R1366" s="137">
        <f>_xlfn.XLOOKUP(FME_Ranking1[[#This Row],[FME ID]],FME_Input[FME_ID],FME_Input[CRITFAC100])</f>
        <v>0</v>
      </c>
      <c r="S1366" s="230">
        <f>(FME_Ranking1[[#This Row],[Critical Facilities Raw]]/$R$2)*100</f>
        <v>0</v>
      </c>
      <c r="T1366" s="180">
        <f>FME_Ranking1[[#This Row],[Critical Facilities Score (Normalized, Unweighted)]]*$R$3</f>
        <v>0</v>
      </c>
      <c r="U1366">
        <f>_xlfn.XLOOKUP(FME_Ranking1[[#This Row],[FME ID]],FME_Input[FME_ID],FME_Input[LWC])</f>
        <v>2</v>
      </c>
      <c r="V1366" s="178">
        <f>(FME_Ranking1[[#This Row],[LWC Raw]]/$U$2)*100</f>
        <v>0.11514104778353484</v>
      </c>
      <c r="W1366" s="178">
        <f>FME_Ranking1[[#This Row],[LWC Score (Normalized, Unweighted)]]*$U$3</f>
        <v>2.302820955670697E-2</v>
      </c>
      <c r="X1366" s="246">
        <f>_xlfn.XLOOKUP(FME_Ranking1[[#This Row],[FME ID]],FME_Input[FME_ID],FME_Input[ROADCLS])</f>
        <v>0</v>
      </c>
      <c r="Y1366" s="230">
        <f>(FME_Ranking1[[#This Row],[Closures Raw]]/$X$2)*100</f>
        <v>0</v>
      </c>
      <c r="Z1366" s="180">
        <f>FME_Ranking1[[#This Row],[Closures Score (Normalized, Unweighted)]]*$X$3</f>
        <v>0</v>
      </c>
      <c r="AA1366" s="253">
        <f>_xlfn.XLOOKUP(FME_Ranking1[[#This Row],[FME ID]],FME_Input[FME_ID],FME_Input[ROAD_MILES100])</f>
        <v>1.1353470087051389</v>
      </c>
      <c r="AB1366" s="178">
        <f>(FME_Ranking1[[#This Row],[Miles Raw]]/$AA$2)*100</f>
        <v>1.4927776824014303E-2</v>
      </c>
      <c r="AC1366" s="178">
        <f>FME_Ranking1[[#This Row],[Miles Score (Normalized, Unweighted)]]*$AA$3</f>
        <v>1.4927776824014303E-3</v>
      </c>
      <c r="AD1366" s="255">
        <f>_xlfn.XLOOKUP(FME_Ranking1[[#This Row],[FME ID]],FME_Input[FME_ID],FME_Input[FARMACRE100])</f>
        <v>7.9424481391906738</v>
      </c>
      <c r="AE1366" s="230">
        <f>(FME_Ranking1[[#This Row],[Ag Land Raw]]/$AD$2)*100</f>
        <v>3.2751100686182508E-4</v>
      </c>
      <c r="AF1366" s="231">
        <f>FME_Ranking1[[#This Row],[Ag Land Score (Normalized, Unweighted)]]*$AD$3</f>
        <v>1.6375550343091254E-5</v>
      </c>
      <c r="AG136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3.7110141796767887E-2</v>
      </c>
      <c r="AH1366" s="406">
        <f t="shared" si="21"/>
        <v>1402</v>
      </c>
      <c r="AI136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3.7110141796767887E-2</v>
      </c>
      <c r="AJ1366" s="257">
        <f>FME_Ranking1[[#This Row],[Addition check]]-FME_Ranking1[[#This Row],[Weighted Score Based on Normalized Reported Factors]]</f>
        <v>0</v>
      </c>
      <c r="AK1366" s="178">
        <f>_xlfn.RANK.EQ(AI1366,$AI$6:$AI$2341,0)+COUNTIF($AI$6:AI1366,AI1366)-1</f>
        <v>1404</v>
      </c>
    </row>
    <row r="1367" spans="1:37" x14ac:dyDescent="0.25">
      <c r="A1367" t="s">
        <v>5012</v>
      </c>
      <c r="B1367">
        <f>_xlfn.XLOOKUP(FME_Ranking1[[#This Row],[FME ID]],FME_Input[FME_ID],FME_Input[RFPG_NUM])</f>
        <v>3</v>
      </c>
      <c r="C1367" t="str">
        <f>_xlfn.XLOOKUP(FME_Ranking1[[#This Row],[FME ID]],FME_Input[FME_ID],FME_Input[FME_NAME])</f>
        <v>Henry Branch Stream Stabilization</v>
      </c>
      <c r="D1367" t="str">
        <f>_xlfn.XLOOKUP(FME_Ranking1[[#This Row],[FME ID]],FME_Input[FME_ID],FME_Input[DESCR])</f>
        <v>Evaluate from apartments at 1000 South Belt Line to Grand Prairie Road; Estimated construction cost of $127,900</v>
      </c>
      <c r="E1367" s="256">
        <f>_xlfn.XLOOKUP(FME_Ranking1[[#This Row],[FME ID]],FME_Input[FME_ID],FME_Input[FME_COST])</f>
        <v>250000</v>
      </c>
      <c r="F1367" t="str">
        <f>_xlfn.XLOOKUP(FME_Ranking1[[#This Row],[FME ID]],FME_Input[FME_ID],FME_Input[EMER_NEED])</f>
        <v>No</v>
      </c>
      <c r="G1367">
        <f>IF(FME_Ranking!F1367="Yes",100,0)</f>
        <v>0</v>
      </c>
      <c r="H1367">
        <f>FME_Ranking1[[#This Row],[Emergency Need Score (Normalized, Unweighted)]]*$F$3</f>
        <v>0</v>
      </c>
      <c r="I1367" s="246">
        <f>_xlfn.XLOOKUP(FME_Ranking1[[#This Row],[FME ID]],FME_Input[FME_ID],FME_Input[STRUCT_100])</f>
        <v>42</v>
      </c>
      <c r="J1367" s="178">
        <f>(FME_Ranking1[[#This Row],[Structures 100 Raw]]/I$2)*100</f>
        <v>2.2490682431564064E-2</v>
      </c>
      <c r="K1367" s="178">
        <f>FME_Ranking1[[#This Row],[Structures 100  Score (Normalized, Unweighted)]]*$I$3</f>
        <v>3.3736023647346096E-3</v>
      </c>
      <c r="L1367" s="246">
        <f>_xlfn.XLOOKUP(FME_Ranking1[[#This Row],[FME ID]],FME_Input[FME_ID],FME_Input[RES_STRUCT100])</f>
        <v>36</v>
      </c>
      <c r="M1367" s="230">
        <f>(FME_Ranking1[[#This Row],[Res Structures Raw]]/L$2)*100</f>
        <v>2.5499001289116176E-2</v>
      </c>
      <c r="N1367" s="180">
        <f>FME_Ranking1[[#This Row],[Res Structures Score (Normalized, Unweighted)]]*$L$3</f>
        <v>2.5499001289116178E-3</v>
      </c>
      <c r="O1367" s="244">
        <f>_xlfn.XLOOKUP(FME_Ranking1[[#This Row],[FME ID]],FME_Input[FME_ID],FME_Input[POP100])</f>
        <v>433</v>
      </c>
      <c r="P1367" s="178">
        <f>(FME_Ranking1[[#This Row],[Pop Raw]]/$O$2)*100</f>
        <v>4.4328510091134497E-2</v>
      </c>
      <c r="Q1367" s="178">
        <f>FME_Ranking1[[#This Row],[Pop Score (Normalized, Unweighted)]]*$O$3</f>
        <v>6.6492765136701741E-3</v>
      </c>
      <c r="R1367" s="137">
        <f>_xlfn.XLOOKUP(FME_Ranking1[[#This Row],[FME ID]],FME_Input[FME_ID],FME_Input[CRITFAC100])</f>
        <v>0</v>
      </c>
      <c r="S1367" s="230">
        <f>(FME_Ranking1[[#This Row],[Critical Facilities Raw]]/$R$2)*100</f>
        <v>0</v>
      </c>
      <c r="T1367" s="180">
        <f>FME_Ranking1[[#This Row],[Critical Facilities Score (Normalized, Unweighted)]]*$R$3</f>
        <v>0</v>
      </c>
      <c r="U1367">
        <f>_xlfn.XLOOKUP(FME_Ranking1[[#This Row],[FME ID]],FME_Input[FME_ID],FME_Input[LWC])</f>
        <v>2</v>
      </c>
      <c r="V1367" s="178">
        <f>(FME_Ranking1[[#This Row],[LWC Raw]]/$U$2)*100</f>
        <v>0.11514104778353484</v>
      </c>
      <c r="W1367" s="178">
        <f>FME_Ranking1[[#This Row],[LWC Score (Normalized, Unweighted)]]*$U$3</f>
        <v>2.302820955670697E-2</v>
      </c>
      <c r="X1367" s="246">
        <f>_xlfn.XLOOKUP(FME_Ranking1[[#This Row],[FME ID]],FME_Input[FME_ID],FME_Input[ROADCLS])</f>
        <v>0</v>
      </c>
      <c r="Y1367" s="230">
        <f>(FME_Ranking1[[#This Row],[Closures Raw]]/$X$2)*100</f>
        <v>0</v>
      </c>
      <c r="Z1367" s="180">
        <f>FME_Ranking1[[#This Row],[Closures Score (Normalized, Unweighted)]]*$X$3</f>
        <v>0</v>
      </c>
      <c r="AA1367" s="253">
        <f>_xlfn.XLOOKUP(FME_Ranking1[[#This Row],[FME ID]],FME_Input[FME_ID],FME_Input[ROAD_MILES100])</f>
        <v>1.1353470087051389</v>
      </c>
      <c r="AB1367" s="178">
        <f>(FME_Ranking1[[#This Row],[Miles Raw]]/$AA$2)*100</f>
        <v>1.4927776824014303E-2</v>
      </c>
      <c r="AC1367" s="178">
        <f>FME_Ranking1[[#This Row],[Miles Score (Normalized, Unweighted)]]*$AA$3</f>
        <v>1.4927776824014303E-3</v>
      </c>
      <c r="AD1367" s="255">
        <f>_xlfn.XLOOKUP(FME_Ranking1[[#This Row],[FME ID]],FME_Input[FME_ID],FME_Input[FARMACRE100])</f>
        <v>7.9424481391906738</v>
      </c>
      <c r="AE1367" s="230">
        <f>(FME_Ranking1[[#This Row],[Ag Land Raw]]/$AD$2)*100</f>
        <v>3.2751100686182508E-4</v>
      </c>
      <c r="AF1367" s="231">
        <f>FME_Ranking1[[#This Row],[Ag Land Score (Normalized, Unweighted)]]*$AD$3</f>
        <v>1.6375550343091254E-5</v>
      </c>
      <c r="AG136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3.7110141796767887E-2</v>
      </c>
      <c r="AH1367" s="406">
        <f t="shared" si="21"/>
        <v>1402</v>
      </c>
      <c r="AI136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3.7110141796767887E-2</v>
      </c>
      <c r="AJ1367" s="257">
        <f>FME_Ranking1[[#This Row],[Addition check]]-FME_Ranking1[[#This Row],[Weighted Score Based on Normalized Reported Factors]]</f>
        <v>0</v>
      </c>
      <c r="AK1367" s="178">
        <f>_xlfn.RANK.EQ(AI1367,$AI$6:$AI$2341,0)+COUNTIF($AI$6:AI1367,AI1367)-1</f>
        <v>1405</v>
      </c>
    </row>
    <row r="1368" spans="1:37" x14ac:dyDescent="0.25">
      <c r="A1368" t="s">
        <v>5028</v>
      </c>
      <c r="B1368">
        <f>_xlfn.XLOOKUP(FME_Ranking1[[#This Row],[FME ID]],FME_Input[FME_ID],FME_Input[RFPG_NUM])</f>
        <v>3</v>
      </c>
      <c r="C1368" t="str">
        <f>_xlfn.XLOOKUP(FME_Ranking1[[#This Row],[FME ID]],FME_Input[FME_ID],FME_Input[FME_NAME])</f>
        <v>SE 10th Street and Avion Parkway from Perman South to Culvert Crossing</v>
      </c>
      <c r="D1368" t="str">
        <f>_xlfn.XLOOKUP(FME_Ranking1[[#This Row],[FME ID]],FME_Input[FME_ID],FME_Input[DESCR])</f>
        <v>Study update - Storm Drain Improvements; Estimated construction cost of $1,158,400</v>
      </c>
      <c r="E1368" s="256">
        <f>_xlfn.XLOOKUP(FME_Ranking1[[#This Row],[FME ID]],FME_Input[FME_ID],FME_Input[FME_COST])</f>
        <v>250000</v>
      </c>
      <c r="F1368" t="str">
        <f>_xlfn.XLOOKUP(FME_Ranking1[[#This Row],[FME ID]],FME_Input[FME_ID],FME_Input[EMER_NEED])</f>
        <v>No</v>
      </c>
      <c r="G1368">
        <f>IF(FME_Ranking!F1368="Yes",100,0)</f>
        <v>0</v>
      </c>
      <c r="H1368">
        <f>FME_Ranking1[[#This Row],[Emergency Need Score (Normalized, Unweighted)]]*$F$3</f>
        <v>0</v>
      </c>
      <c r="I1368" s="246">
        <f>_xlfn.XLOOKUP(FME_Ranking1[[#This Row],[FME ID]],FME_Input[FME_ID],FME_Input[STRUCT_100])</f>
        <v>42</v>
      </c>
      <c r="J1368" s="178">
        <f>(FME_Ranking1[[#This Row],[Structures 100 Raw]]/I$2)*100</f>
        <v>2.2490682431564064E-2</v>
      </c>
      <c r="K1368" s="178">
        <f>FME_Ranking1[[#This Row],[Structures 100  Score (Normalized, Unweighted)]]*$I$3</f>
        <v>3.3736023647346096E-3</v>
      </c>
      <c r="L1368" s="246">
        <f>_xlfn.XLOOKUP(FME_Ranking1[[#This Row],[FME ID]],FME_Input[FME_ID],FME_Input[RES_STRUCT100])</f>
        <v>36</v>
      </c>
      <c r="M1368" s="230">
        <f>(FME_Ranking1[[#This Row],[Res Structures Raw]]/L$2)*100</f>
        <v>2.5499001289116176E-2</v>
      </c>
      <c r="N1368" s="180">
        <f>FME_Ranking1[[#This Row],[Res Structures Score (Normalized, Unweighted)]]*$L$3</f>
        <v>2.5499001289116178E-3</v>
      </c>
      <c r="O1368" s="244">
        <f>_xlfn.XLOOKUP(FME_Ranking1[[#This Row],[FME ID]],FME_Input[FME_ID],FME_Input[POP100])</f>
        <v>433</v>
      </c>
      <c r="P1368" s="178">
        <f>(FME_Ranking1[[#This Row],[Pop Raw]]/$O$2)*100</f>
        <v>4.4328510091134497E-2</v>
      </c>
      <c r="Q1368" s="178">
        <f>FME_Ranking1[[#This Row],[Pop Score (Normalized, Unweighted)]]*$O$3</f>
        <v>6.6492765136701741E-3</v>
      </c>
      <c r="R1368" s="137">
        <f>_xlfn.XLOOKUP(FME_Ranking1[[#This Row],[FME ID]],FME_Input[FME_ID],FME_Input[CRITFAC100])</f>
        <v>0</v>
      </c>
      <c r="S1368" s="230">
        <f>(FME_Ranking1[[#This Row],[Critical Facilities Raw]]/$R$2)*100</f>
        <v>0</v>
      </c>
      <c r="T1368" s="180">
        <f>FME_Ranking1[[#This Row],[Critical Facilities Score (Normalized, Unweighted)]]*$R$3</f>
        <v>0</v>
      </c>
      <c r="U1368">
        <f>_xlfn.XLOOKUP(FME_Ranking1[[#This Row],[FME ID]],FME_Input[FME_ID],FME_Input[LWC])</f>
        <v>2</v>
      </c>
      <c r="V1368" s="178">
        <f>(FME_Ranking1[[#This Row],[LWC Raw]]/$U$2)*100</f>
        <v>0.11514104778353484</v>
      </c>
      <c r="W1368" s="178">
        <f>FME_Ranking1[[#This Row],[LWC Score (Normalized, Unweighted)]]*$U$3</f>
        <v>2.302820955670697E-2</v>
      </c>
      <c r="X1368" s="246">
        <f>_xlfn.XLOOKUP(FME_Ranking1[[#This Row],[FME ID]],FME_Input[FME_ID],FME_Input[ROADCLS])</f>
        <v>0</v>
      </c>
      <c r="Y1368" s="230">
        <f>(FME_Ranking1[[#This Row],[Closures Raw]]/$X$2)*100</f>
        <v>0</v>
      </c>
      <c r="Z1368" s="180">
        <f>FME_Ranking1[[#This Row],[Closures Score (Normalized, Unweighted)]]*$X$3</f>
        <v>0</v>
      </c>
      <c r="AA1368" s="253">
        <f>_xlfn.XLOOKUP(FME_Ranking1[[#This Row],[FME ID]],FME_Input[FME_ID],FME_Input[ROAD_MILES100])</f>
        <v>1.1353470087051389</v>
      </c>
      <c r="AB1368" s="178">
        <f>(FME_Ranking1[[#This Row],[Miles Raw]]/$AA$2)*100</f>
        <v>1.4927776824014303E-2</v>
      </c>
      <c r="AC1368" s="178">
        <f>FME_Ranking1[[#This Row],[Miles Score (Normalized, Unweighted)]]*$AA$3</f>
        <v>1.4927776824014303E-3</v>
      </c>
      <c r="AD1368" s="255">
        <f>_xlfn.XLOOKUP(FME_Ranking1[[#This Row],[FME ID]],FME_Input[FME_ID],FME_Input[FARMACRE100])</f>
        <v>7.9424481391906738</v>
      </c>
      <c r="AE1368" s="230">
        <f>(FME_Ranking1[[#This Row],[Ag Land Raw]]/$AD$2)*100</f>
        <v>3.2751100686182508E-4</v>
      </c>
      <c r="AF1368" s="231">
        <f>FME_Ranking1[[#This Row],[Ag Land Score (Normalized, Unweighted)]]*$AD$3</f>
        <v>1.6375550343091254E-5</v>
      </c>
      <c r="AG136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3.7110141796767887E-2</v>
      </c>
      <c r="AH1368" s="406">
        <f t="shared" si="21"/>
        <v>1402</v>
      </c>
      <c r="AI136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3.7110141796767887E-2</v>
      </c>
      <c r="AJ1368" s="257">
        <f>FME_Ranking1[[#This Row],[Addition check]]-FME_Ranking1[[#This Row],[Weighted Score Based on Normalized Reported Factors]]</f>
        <v>0</v>
      </c>
      <c r="AK1368" s="178">
        <f>_xlfn.RANK.EQ(AI1368,$AI$6:$AI$2341,0)+COUNTIF($AI$6:AI1368,AI1368)-1</f>
        <v>1406</v>
      </c>
    </row>
    <row r="1369" spans="1:37" x14ac:dyDescent="0.25">
      <c r="A1369" t="s">
        <v>262</v>
      </c>
      <c r="B1369">
        <f>_xlfn.XLOOKUP(FME_Ranking1[[#This Row],[FME ID]],FME_Input[FME_ID],FME_Input[RFPG_NUM])</f>
        <v>10</v>
      </c>
      <c r="C1369" t="str">
        <f>_xlfn.XLOOKUP(FME_Ranking1[[#This Row],[FME ID]],FME_Input[FME_ID],FME_Input[FME_NAME])</f>
        <v>Frisch Auf Buyout</v>
      </c>
      <c r="D1369" t="str">
        <f>_xlfn.XLOOKUP(FME_Ranking1[[#This Row],[FME ID]],FME_Input[FME_ID],FME_Input[DESCR])</f>
        <v>Buyout all property in Frisch Auf Floodplain</v>
      </c>
      <c r="E1369" s="256">
        <f>_xlfn.XLOOKUP(FME_Ranking1[[#This Row],[FME ID]],FME_Input[FME_ID],FME_Input[FME_COST])</f>
        <v>100000</v>
      </c>
      <c r="F1369" t="str">
        <f>_xlfn.XLOOKUP(FME_Ranking1[[#This Row],[FME ID]],FME_Input[FME_ID],FME_Input[EMER_NEED])</f>
        <v>No</v>
      </c>
      <c r="G1369">
        <f>IF(FME_Ranking!F1369="Yes",100,0)</f>
        <v>0</v>
      </c>
      <c r="H1369">
        <f>FME_Ranking1[[#This Row],[Emergency Need Score (Normalized, Unweighted)]]*$F$3</f>
        <v>0</v>
      </c>
      <c r="I1369" s="246">
        <f>_xlfn.XLOOKUP(FME_Ranking1[[#This Row],[FME ID]],FME_Input[FME_ID],FME_Input[STRUCT_100])</f>
        <v>91</v>
      </c>
      <c r="J1369" s="178">
        <f>(FME_Ranking1[[#This Row],[Structures 100 Raw]]/I$2)*100</f>
        <v>4.8729811935055475E-2</v>
      </c>
      <c r="K1369" s="178">
        <f>FME_Ranking1[[#This Row],[Structures 100  Score (Normalized, Unweighted)]]*$I$3</f>
        <v>7.3094717902583211E-3</v>
      </c>
      <c r="L1369" s="246">
        <f>_xlfn.XLOOKUP(FME_Ranking1[[#This Row],[FME ID]],FME_Input[FME_ID],FME_Input[RES_STRUCT100])</f>
        <v>49</v>
      </c>
      <c r="M1369" s="230">
        <f>(FME_Ranking1[[#This Row],[Res Structures Raw]]/L$2)*100</f>
        <v>3.4706973976852573E-2</v>
      </c>
      <c r="N1369" s="180">
        <f>FME_Ranking1[[#This Row],[Res Structures Score (Normalized, Unweighted)]]*$L$3</f>
        <v>3.4706973976852576E-3</v>
      </c>
      <c r="O1369" s="244">
        <f>_xlfn.XLOOKUP(FME_Ranking1[[#This Row],[FME ID]],FME_Input[FME_ID],FME_Input[POP100])</f>
        <v>85</v>
      </c>
      <c r="P1369" s="178">
        <f>(FME_Ranking1[[#This Row],[Pop Raw]]/$O$2)*100</f>
        <v>8.7019015190448797E-3</v>
      </c>
      <c r="Q1369" s="178">
        <f>FME_Ranking1[[#This Row],[Pop Score (Normalized, Unweighted)]]*$O$3</f>
        <v>1.305285227856732E-3</v>
      </c>
      <c r="R1369" s="137">
        <f>_xlfn.XLOOKUP(FME_Ranking1[[#This Row],[FME ID]],FME_Input[FME_ID],FME_Input[CRITFAC100])</f>
        <v>0</v>
      </c>
      <c r="S1369" s="230">
        <f>(FME_Ranking1[[#This Row],[Critical Facilities Raw]]/$R$2)*100</f>
        <v>0</v>
      </c>
      <c r="T1369" s="180">
        <f>FME_Ranking1[[#This Row],[Critical Facilities Score (Normalized, Unweighted)]]*$R$3</f>
        <v>0</v>
      </c>
      <c r="U1369">
        <f>_xlfn.XLOOKUP(FME_Ranking1[[#This Row],[FME ID]],FME_Input[FME_ID],FME_Input[LWC])</f>
        <v>1</v>
      </c>
      <c r="V1369" s="178">
        <f>(FME_Ranking1[[#This Row],[LWC Raw]]/$U$2)*100</f>
        <v>5.7570523891767422E-2</v>
      </c>
      <c r="W1369" s="178">
        <f>FME_Ranking1[[#This Row],[LWC Score (Normalized, Unweighted)]]*$U$3</f>
        <v>1.1514104778353485E-2</v>
      </c>
      <c r="X1369" s="246">
        <f>_xlfn.XLOOKUP(FME_Ranking1[[#This Row],[FME ID]],FME_Input[FME_ID],FME_Input[ROADCLS])</f>
        <v>0</v>
      </c>
      <c r="Y1369" s="230">
        <f>(FME_Ranking1[[#This Row],[Closures Raw]]/$X$2)*100</f>
        <v>0</v>
      </c>
      <c r="Z1369" s="180">
        <f>FME_Ranking1[[#This Row],[Closures Score (Normalized, Unweighted)]]*$X$3</f>
        <v>0</v>
      </c>
      <c r="AA1369" s="253">
        <f>_xlfn.XLOOKUP(FME_Ranking1[[#This Row],[FME ID]],FME_Input[FME_ID],FME_Input[ROAD_MILES100])</f>
        <v>4.0013294219970703</v>
      </c>
      <c r="AB1369" s="178">
        <f>(FME_Ranking1[[#This Row],[Miles Raw]]/$AA$2)*100</f>
        <v>5.2610305178024341E-2</v>
      </c>
      <c r="AC1369" s="178">
        <f>FME_Ranking1[[#This Row],[Miles Score (Normalized, Unweighted)]]*$AA$3</f>
        <v>5.2610305178024345E-3</v>
      </c>
      <c r="AD1369" s="255">
        <f>_xlfn.XLOOKUP(FME_Ranking1[[#This Row],[FME ID]],FME_Input[FME_ID],FME_Input[FARMACRE100])</f>
        <v>5822.63427734375</v>
      </c>
      <c r="AE1369" s="230">
        <f>(FME_Ranking1[[#This Row],[Ag Land Raw]]/$AD$2)*100</f>
        <v>0.24009937255383146</v>
      </c>
      <c r="AF1369" s="231">
        <f>FME_Ranking1[[#This Row],[Ag Land Score (Normalized, Unweighted)]]*$AD$3</f>
        <v>1.2004968627691574E-2</v>
      </c>
      <c r="AG136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4.0865558339647806E-2</v>
      </c>
      <c r="AH1369" s="406">
        <f t="shared" si="21"/>
        <v>1374</v>
      </c>
      <c r="AI136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4.0865558339647806E-2</v>
      </c>
      <c r="AJ1369" s="257">
        <f>FME_Ranking1[[#This Row],[Addition check]]-FME_Ranking1[[#This Row],[Weighted Score Based on Normalized Reported Factors]]</f>
        <v>0</v>
      </c>
      <c r="AK1369" s="178">
        <f>_xlfn.RANK.EQ(AI1369,$AI$6:$AI$2341,0)+COUNTIF($AI$6:AI1369,AI1369)-1</f>
        <v>1374</v>
      </c>
    </row>
    <row r="1370" spans="1:37" x14ac:dyDescent="0.25">
      <c r="A1370" t="s">
        <v>1947</v>
      </c>
      <c r="B1370">
        <f>_xlfn.XLOOKUP(FME_Ranking1[[#This Row],[FME ID]],FME_Input[FME_ID],FME_Input[RFPG_NUM])</f>
        <v>6</v>
      </c>
      <c r="C1370" t="str">
        <f>_xlfn.XLOOKUP(FME_Ranking1[[#This Row],[FME ID]],FME_Input[FME_ID],FME_Input[FME_NAME])</f>
        <v>Galveston Bay - Right-of-Way Acquisition, Design and Construction of General Drainage Improvements Along F216-00-00</v>
      </c>
      <c r="D1370" t="str">
        <f>_xlfn.XLOOKUP(FME_Ranking1[[#This Row],[FME ID]],FME_Input[FME_ID],FME_Input[DESCR])</f>
        <v>Study to develop a Benefit Cost Analysis needed for this project to become a FMP. The project could reduce the risk of flooding for more than 450 structures in an Atlas 14 1% rainfall event.</v>
      </c>
      <c r="E1370" s="256">
        <f>_xlfn.XLOOKUP(FME_Ranking1[[#This Row],[FME ID]],FME_Input[FME_ID],FME_Input[FME_COST])</f>
        <v>30000</v>
      </c>
      <c r="F1370" t="str">
        <f>_xlfn.XLOOKUP(FME_Ranking1[[#This Row],[FME ID]],FME_Input[FME_ID],FME_Input[EMER_NEED])</f>
        <v>No</v>
      </c>
      <c r="G1370">
        <f>IF(FME_Ranking!F1370="Yes",100,0)</f>
        <v>0</v>
      </c>
      <c r="H1370">
        <f>FME_Ranking1[[#This Row],[Emergency Need Score (Normalized, Unweighted)]]*$F$3</f>
        <v>0</v>
      </c>
      <c r="I1370" s="246">
        <f>_xlfn.XLOOKUP(FME_Ranking1[[#This Row],[FME ID]],FME_Input[FME_ID],FME_Input[STRUCT_100])</f>
        <v>215</v>
      </c>
      <c r="J1370" s="178">
        <f>(FME_Ranking1[[#This Row],[Structures 100 Raw]]/I$2)*100</f>
        <v>0.11513087435205416</v>
      </c>
      <c r="K1370" s="178">
        <f>FME_Ranking1[[#This Row],[Structures 100  Score (Normalized, Unweighted)]]*$I$3</f>
        <v>1.7269631152808124E-2</v>
      </c>
      <c r="L1370" s="246">
        <f>_xlfn.XLOOKUP(FME_Ranking1[[#This Row],[FME ID]],FME_Input[FME_ID],FME_Input[RES_STRUCT100])</f>
        <v>124</v>
      </c>
      <c r="M1370" s="230">
        <f>(FME_Ranking1[[#This Row],[Res Structures Raw]]/L$2)*100</f>
        <v>8.7829893329177941E-2</v>
      </c>
      <c r="N1370" s="180">
        <f>FME_Ranking1[[#This Row],[Res Structures Score (Normalized, Unweighted)]]*$L$3</f>
        <v>8.7829893329177938E-3</v>
      </c>
      <c r="O1370" s="244">
        <f>_xlfn.XLOOKUP(FME_Ranking1[[#This Row],[FME ID]],FME_Input[FME_ID],FME_Input[POP100])</f>
        <v>604</v>
      </c>
      <c r="P1370" s="178">
        <f>(FME_Ranking1[[#This Row],[Pop Raw]]/$O$2)*100</f>
        <v>6.1834688441213023E-2</v>
      </c>
      <c r="Q1370" s="178">
        <f>FME_Ranking1[[#This Row],[Pop Score (Normalized, Unweighted)]]*$O$3</f>
        <v>9.2752032661819524E-3</v>
      </c>
      <c r="R1370" s="137">
        <f>_xlfn.XLOOKUP(FME_Ranking1[[#This Row],[FME ID]],FME_Input[FME_ID],FME_Input[CRITFAC100])</f>
        <v>0</v>
      </c>
      <c r="S1370" s="230">
        <f>(FME_Ranking1[[#This Row],[Critical Facilities Raw]]/$R$2)*100</f>
        <v>0</v>
      </c>
      <c r="T1370" s="180">
        <f>FME_Ranking1[[#This Row],[Critical Facilities Score (Normalized, Unweighted)]]*$R$3</f>
        <v>0</v>
      </c>
      <c r="U1370">
        <f>_xlfn.XLOOKUP(FME_Ranking1[[#This Row],[FME ID]],FME_Input[FME_ID],FME_Input[LWC])</f>
        <v>0</v>
      </c>
      <c r="V1370" s="178">
        <f>(FME_Ranking1[[#This Row],[LWC Raw]]/$U$2)*100</f>
        <v>0</v>
      </c>
      <c r="W1370" s="178">
        <f>FME_Ranking1[[#This Row],[LWC Score (Normalized, Unweighted)]]*$U$3</f>
        <v>0</v>
      </c>
      <c r="X1370" s="246">
        <f>_xlfn.XLOOKUP(FME_Ranking1[[#This Row],[FME ID]],FME_Input[FME_ID],FME_Input[ROADCLS])</f>
        <v>0</v>
      </c>
      <c r="Y1370" s="230">
        <f>(FME_Ranking1[[#This Row],[Closures Raw]]/$X$2)*100</f>
        <v>0</v>
      </c>
      <c r="Z1370" s="180">
        <f>FME_Ranking1[[#This Row],[Closures Score (Normalized, Unweighted)]]*$X$3</f>
        <v>0</v>
      </c>
      <c r="AA1370" s="253">
        <f>_xlfn.XLOOKUP(FME_Ranking1[[#This Row],[FME ID]],FME_Input[FME_ID],FME_Input[ROAD_MILES100])</f>
        <v>4.0904898643493652</v>
      </c>
      <c r="AB1370" s="178">
        <f>(FME_Ranking1[[#This Row],[Miles Raw]]/$AA$2)*100</f>
        <v>5.3782605078196204E-2</v>
      </c>
      <c r="AC1370" s="178">
        <f>FME_Ranking1[[#This Row],[Miles Score (Normalized, Unweighted)]]*$AA$3</f>
        <v>5.3782605078196207E-3</v>
      </c>
      <c r="AD1370" s="255">
        <f>_xlfn.XLOOKUP(FME_Ranking1[[#This Row],[FME ID]],FME_Input[FME_ID],FME_Input[FARMACRE100])</f>
        <v>0.22162000834941861</v>
      </c>
      <c r="AE1370" s="230">
        <f>(FME_Ranking1[[#This Row],[Ag Land Raw]]/$AD$2)*100</f>
        <v>9.1386170615449929E-6</v>
      </c>
      <c r="AF1370" s="231">
        <f>FME_Ranking1[[#This Row],[Ag Land Score (Normalized, Unweighted)]]*$AD$3</f>
        <v>4.5693085307724964E-7</v>
      </c>
      <c r="AG137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4.0706541190580571E-2</v>
      </c>
      <c r="AH1370" s="406">
        <f t="shared" si="21"/>
        <v>1386</v>
      </c>
      <c r="AI137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4.0706541190580571E-2</v>
      </c>
      <c r="AJ1370" s="257">
        <f>FME_Ranking1[[#This Row],[Addition check]]-FME_Ranking1[[#This Row],[Weighted Score Based on Normalized Reported Factors]]</f>
        <v>0</v>
      </c>
      <c r="AK1370" s="178">
        <f>_xlfn.RANK.EQ(AI1370,$AI$6:$AI$2341,0)+COUNTIF($AI$6:AI1370,AI1370)-1</f>
        <v>1386</v>
      </c>
    </row>
    <row r="1371" spans="1:37" x14ac:dyDescent="0.25">
      <c r="A1371" t="s">
        <v>1824</v>
      </c>
      <c r="B1371">
        <f>_xlfn.XLOOKUP(FME_Ranking1[[#This Row],[FME ID]],FME_Input[FME_ID],FME_Input[RFPG_NUM])</f>
        <v>6</v>
      </c>
      <c r="C1371" t="str">
        <f>_xlfn.XLOOKUP(FME_Ranking1[[#This Row],[FME ID]],FME_Input[FME_ID],FME_Input[FME_NAME])</f>
        <v>City of Woodbranch  Master Drainage Plan</v>
      </c>
      <c r="D1371" t="str">
        <f>_xlfn.XLOOKUP(FME_Ranking1[[#This Row],[FME ID]],FME_Input[FME_ID],FME_Input[DESCR])</f>
        <v>Study to develop Master Drainage Plan using future and existing land use and flood/storm water drainage needs including Atlas 14 rainfall.</v>
      </c>
      <c r="E1371" s="256">
        <f>_xlfn.XLOOKUP(FME_Ranking1[[#This Row],[FME ID]],FME_Input[FME_ID],FME_Input[FME_COST])</f>
        <v>190000</v>
      </c>
      <c r="F1371" t="str">
        <f>_xlfn.XLOOKUP(FME_Ranking1[[#This Row],[FME ID]],FME_Input[FME_ID],FME_Input[EMER_NEED])</f>
        <v>Yes</v>
      </c>
      <c r="G1371">
        <f>IF(FME_Ranking!F1371="Yes",100,0)</f>
        <v>100</v>
      </c>
      <c r="H1371">
        <f>FME_Ranking1[[#This Row],[Emergency Need Score (Normalized, Unweighted)]]*$F$3</f>
        <v>0</v>
      </c>
      <c r="I1371" s="246">
        <f>_xlfn.XLOOKUP(FME_Ranking1[[#This Row],[FME ID]],FME_Input[FME_ID],FME_Input[STRUCT_100])</f>
        <v>197</v>
      </c>
      <c r="J1371" s="178">
        <f>(FME_Ranking1[[#This Row],[Structures 100 Raw]]/I$2)*100</f>
        <v>0.1054920104528124</v>
      </c>
      <c r="K1371" s="178">
        <f>FME_Ranking1[[#This Row],[Structures 100  Score (Normalized, Unweighted)]]*$I$3</f>
        <v>1.5823801567921857E-2</v>
      </c>
      <c r="L1371" s="246">
        <f>_xlfn.XLOOKUP(FME_Ranking1[[#This Row],[FME ID]],FME_Input[FME_ID],FME_Input[RES_STRUCT100])</f>
        <v>189</v>
      </c>
      <c r="M1371" s="230">
        <f>(FME_Ranking1[[#This Row],[Res Structures Raw]]/L$2)*100</f>
        <v>0.13386975676785992</v>
      </c>
      <c r="N1371" s="180">
        <f>FME_Ranking1[[#This Row],[Res Structures Score (Normalized, Unweighted)]]*$L$3</f>
        <v>1.3386975676785992E-2</v>
      </c>
      <c r="O1371" s="244">
        <f>_xlfn.XLOOKUP(FME_Ranking1[[#This Row],[FME ID]],FME_Input[FME_ID],FME_Input[POP100])</f>
        <v>398</v>
      </c>
      <c r="P1371" s="178">
        <f>(FME_Ranking1[[#This Row],[Pop Raw]]/$O$2)*100</f>
        <v>4.0745374171527786E-2</v>
      </c>
      <c r="Q1371" s="178">
        <f>FME_Ranking1[[#This Row],[Pop Score (Normalized, Unweighted)]]*$O$3</f>
        <v>6.1118061257291675E-3</v>
      </c>
      <c r="R1371" s="137">
        <f>_xlfn.XLOOKUP(FME_Ranking1[[#This Row],[FME ID]],FME_Input[FME_ID],FME_Input[CRITFAC100])</f>
        <v>0</v>
      </c>
      <c r="S1371" s="230">
        <f>(FME_Ranking1[[#This Row],[Critical Facilities Raw]]/$R$2)*100</f>
        <v>0</v>
      </c>
      <c r="T1371" s="180">
        <f>FME_Ranking1[[#This Row],[Critical Facilities Score (Normalized, Unweighted)]]*$R$3</f>
        <v>0</v>
      </c>
      <c r="U1371">
        <f>_xlfn.XLOOKUP(FME_Ranking1[[#This Row],[FME ID]],FME_Input[FME_ID],FME_Input[LWC])</f>
        <v>0</v>
      </c>
      <c r="V1371" s="178">
        <f>(FME_Ranking1[[#This Row],[LWC Raw]]/$U$2)*100</f>
        <v>0</v>
      </c>
      <c r="W1371" s="178">
        <f>FME_Ranking1[[#This Row],[LWC Score (Normalized, Unweighted)]]*$U$3</f>
        <v>0</v>
      </c>
      <c r="X1371" s="246">
        <f>_xlfn.XLOOKUP(FME_Ranking1[[#This Row],[FME ID]],FME_Input[FME_ID],FME_Input[ROADCLS])</f>
        <v>0</v>
      </c>
      <c r="Y1371" s="230">
        <f>(FME_Ranking1[[#This Row],[Closures Raw]]/$X$2)*100</f>
        <v>0</v>
      </c>
      <c r="Z1371" s="180">
        <f>FME_Ranking1[[#This Row],[Closures Score (Normalized, Unweighted)]]*$X$3</f>
        <v>0</v>
      </c>
      <c r="AA1371" s="253">
        <f>_xlfn.XLOOKUP(FME_Ranking1[[#This Row],[FME ID]],FME_Input[FME_ID],FME_Input[ROAD_MILES100])</f>
        <v>3.531308650970459</v>
      </c>
      <c r="AB1371" s="178">
        <f>(FME_Ranking1[[#This Row],[Miles Raw]]/$AA$2)*100</f>
        <v>4.643037506085379E-2</v>
      </c>
      <c r="AC1371" s="178">
        <f>FME_Ranking1[[#This Row],[Miles Score (Normalized, Unweighted)]]*$AA$3</f>
        <v>4.6430375060853794E-3</v>
      </c>
      <c r="AD1371" s="255">
        <f>_xlfn.XLOOKUP(FME_Ranking1[[#This Row],[FME ID]],FME_Input[FME_ID],FME_Input[FARMACRE100])</f>
        <v>0</v>
      </c>
      <c r="AE1371" s="230">
        <f>(FME_Ranking1[[#This Row],[Ag Land Raw]]/$AD$2)*100</f>
        <v>0</v>
      </c>
      <c r="AF1371" s="231">
        <f>FME_Ranking1[[#This Row],[Ag Land Score (Normalized, Unweighted)]]*$AD$3</f>
        <v>0</v>
      </c>
      <c r="AG137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3.9965620876522397E-2</v>
      </c>
      <c r="AH1371" s="406">
        <f t="shared" si="21"/>
        <v>1392</v>
      </c>
      <c r="AI137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3.9965620876522397E-2</v>
      </c>
      <c r="AJ1371" s="257">
        <f>FME_Ranking1[[#This Row],[Addition check]]-FME_Ranking1[[#This Row],[Weighted Score Based on Normalized Reported Factors]]</f>
        <v>0</v>
      </c>
      <c r="AK1371" s="178">
        <f>_xlfn.RANK.EQ(AI1371,$AI$6:$AI$2341,0)+COUNTIF($AI$6:AI1371,AI1371)-1</f>
        <v>1392</v>
      </c>
    </row>
    <row r="1372" spans="1:37" x14ac:dyDescent="0.25">
      <c r="A1372" t="s">
        <v>9287</v>
      </c>
      <c r="B1372">
        <f>_xlfn.XLOOKUP(FME_Ranking1[[#This Row],[FME ID]],FME_Input[FME_ID],FME_Input[RFPG_NUM])</f>
        <v>12</v>
      </c>
      <c r="C1372" t="str">
        <f>_xlfn.XLOOKUP(FME_Ranking1[[#This Row],[FME ID]],FME_Input[FME_ID],FME_Input[FME_NAME])</f>
        <v>LWC157 New Sulphur Springs Rd – East of Beck Rd</v>
      </c>
      <c r="D1372" t="str">
        <f>_xlfn.XLOOKUP(FME_Ranking1[[#This Row],[FME ID]],FME_Input[FME_ID],FME_Input[DESCR])</f>
        <v>The proposed project will install 4-10' x 9' MBC at the LWC and reconstruct the portion of New Sulphur Springs Rd. affected by the  culvert installation. The proposed street reconstruction will not include sidewalks or curbs.</v>
      </c>
      <c r="E1372" s="256">
        <f>_xlfn.XLOOKUP(FME_Ranking1[[#This Row],[FME ID]],FME_Input[FME_ID],FME_Input[FME_COST])</f>
        <v>942748</v>
      </c>
      <c r="F1372" t="str">
        <f>_xlfn.XLOOKUP(FME_Ranking1[[#This Row],[FME ID]],FME_Input[FME_ID],FME_Input[EMER_NEED])</f>
        <v>Yes</v>
      </c>
      <c r="G1372">
        <f>IF(FME_Ranking!F1372="Yes",100,0)</f>
        <v>100</v>
      </c>
      <c r="H1372">
        <f>FME_Ranking1[[#This Row],[Emergency Need Score (Normalized, Unweighted)]]*$F$3</f>
        <v>0</v>
      </c>
      <c r="I1372" s="246">
        <f>_xlfn.XLOOKUP(FME_Ranking1[[#This Row],[FME ID]],FME_Input[FME_ID],FME_Input[STRUCT_100])</f>
        <v>0</v>
      </c>
      <c r="J1372" s="178">
        <f>(FME_Ranking1[[#This Row],[Structures 100 Raw]]/I$2)*100</f>
        <v>0</v>
      </c>
      <c r="K1372" s="178">
        <f>FME_Ranking1[[#This Row],[Structures 100  Score (Normalized, Unweighted)]]*$I$3</f>
        <v>0</v>
      </c>
      <c r="L1372" s="246">
        <f>_xlfn.XLOOKUP(FME_Ranking1[[#This Row],[FME ID]],FME_Input[FME_ID],FME_Input[RES_STRUCT100])</f>
        <v>0</v>
      </c>
      <c r="M1372" s="230">
        <f>(FME_Ranking1[[#This Row],[Res Structures Raw]]/L$2)*100</f>
        <v>0</v>
      </c>
      <c r="N1372" s="180">
        <f>FME_Ranking1[[#This Row],[Res Structures Score (Normalized, Unweighted)]]*$L$3</f>
        <v>0</v>
      </c>
      <c r="O1372" s="244">
        <f>_xlfn.XLOOKUP(FME_Ranking1[[#This Row],[FME ID]],FME_Input[FME_ID],FME_Input[POP100])</f>
        <v>0</v>
      </c>
      <c r="P1372" s="178">
        <f>(FME_Ranking1[[#This Row],[Pop Raw]]/$O$2)*100</f>
        <v>0</v>
      </c>
      <c r="Q1372" s="178">
        <f>FME_Ranking1[[#This Row],[Pop Score (Normalized, Unweighted)]]*$O$3</f>
        <v>0</v>
      </c>
      <c r="R1372" s="137">
        <f>_xlfn.XLOOKUP(FME_Ranking1[[#This Row],[FME ID]],FME_Input[FME_ID],FME_Input[CRITFAC100])</f>
        <v>0</v>
      </c>
      <c r="S1372" s="230">
        <f>(FME_Ranking1[[#This Row],[Critical Facilities Raw]]/$R$2)*100</f>
        <v>0</v>
      </c>
      <c r="T1372" s="180">
        <f>FME_Ranking1[[#This Row],[Critical Facilities Score (Normalized, Unweighted)]]*$R$3</f>
        <v>0</v>
      </c>
      <c r="U1372">
        <f>_xlfn.XLOOKUP(FME_Ranking1[[#This Row],[FME ID]],FME_Input[FME_ID],FME_Input[LWC])</f>
        <v>3</v>
      </c>
      <c r="V1372" s="178">
        <f>(FME_Ranking1[[#This Row],[LWC Raw]]/$U$2)*100</f>
        <v>0.17271157167530224</v>
      </c>
      <c r="W1372" s="178">
        <f>FME_Ranking1[[#This Row],[LWC Score (Normalized, Unweighted)]]*$U$3</f>
        <v>3.4542314335060449E-2</v>
      </c>
      <c r="X1372" s="246">
        <f>_xlfn.XLOOKUP(FME_Ranking1[[#This Row],[FME ID]],FME_Input[FME_ID],FME_Input[ROADCLS])</f>
        <v>1</v>
      </c>
      <c r="Y1372" s="230">
        <f>(FME_Ranking1[[#This Row],[Closures Raw]]/$X$2)*100</f>
        <v>1.0514141520344864E-2</v>
      </c>
      <c r="Z1372" s="180">
        <f>FME_Ranking1[[#This Row],[Closures Score (Normalized, Unweighted)]]*$X$3</f>
        <v>5.2570707601724321E-4</v>
      </c>
      <c r="AA1372" s="253">
        <f>_xlfn.XLOOKUP(FME_Ranking1[[#This Row],[FME ID]],FME_Input[FME_ID],FME_Input[ROAD_MILES100])</f>
        <v>6.5999999642372131E-2</v>
      </c>
      <c r="AB1372" s="178">
        <f>(FME_Ranking1[[#This Row],[Miles Raw]]/$AA$2)*100</f>
        <v>8.6778161874052201E-4</v>
      </c>
      <c r="AC1372" s="178">
        <f>FME_Ranking1[[#This Row],[Miles Score (Normalized, Unweighted)]]*$AA$3</f>
        <v>8.6778161874052209E-5</v>
      </c>
      <c r="AD1372" s="255">
        <f>_xlfn.XLOOKUP(FME_Ranking1[[#This Row],[FME ID]],FME_Input[FME_ID],FME_Input[FARMACRE100])</f>
        <v>5.1725998520851142E-2</v>
      </c>
      <c r="AE1372" s="230">
        <f>(FME_Ranking1[[#This Row],[Ag Land Raw]]/$AD$2)*100</f>
        <v>2.1329486273766822E-6</v>
      </c>
      <c r="AF1372" s="231">
        <f>FME_Ranking1[[#This Row],[Ag Land Score (Normalized, Unweighted)]]*$AD$3</f>
        <v>1.0664743136883411E-7</v>
      </c>
      <c r="AG137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3.5154906220383114E-2</v>
      </c>
      <c r="AH1372" s="406">
        <f t="shared" si="21"/>
        <v>1428</v>
      </c>
      <c r="AI137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3.5154906220383114E-2</v>
      </c>
      <c r="AJ1372" s="257">
        <f>FME_Ranking1[[#This Row],[Addition check]]-FME_Ranking1[[#This Row],[Weighted Score Based on Normalized Reported Factors]]</f>
        <v>0</v>
      </c>
      <c r="AK1372" s="178">
        <f>_xlfn.RANK.EQ(AI1372,$AI$6:$AI$2341,0)+COUNTIF($AI$6:AI1372,AI1372)-1</f>
        <v>1428</v>
      </c>
    </row>
    <row r="1373" spans="1:37" x14ac:dyDescent="0.25">
      <c r="A1373" t="s">
        <v>1763</v>
      </c>
      <c r="B1373">
        <f>_xlfn.XLOOKUP(FME_Ranking1[[#This Row],[FME ID]],FME_Input[FME_ID],FME_Input[RFPG_NUM])</f>
        <v>6</v>
      </c>
      <c r="C1373" t="str">
        <f>_xlfn.XLOOKUP(FME_Ranking1[[#This Row],[FME ID]],FME_Input[FME_ID],FME_Input[FME_NAME])</f>
        <v>City of Splendora Master Drainage Plan</v>
      </c>
      <c r="D1373" t="str">
        <f>_xlfn.XLOOKUP(FME_Ranking1[[#This Row],[FME ID]],FME_Input[FME_ID],FME_Input[DESCR])</f>
        <v>Study to develop Master Drainage Plan using future and existing land use and flood/storm water drainage needs including Atlas 14 rainfall.</v>
      </c>
      <c r="E1373" s="256">
        <f>_xlfn.XLOOKUP(FME_Ranking1[[#This Row],[FME ID]],FME_Input[FME_ID],FME_Input[FME_COST])</f>
        <v>210000</v>
      </c>
      <c r="F1373" t="str">
        <f>_xlfn.XLOOKUP(FME_Ranking1[[#This Row],[FME ID]],FME_Input[FME_ID],FME_Input[EMER_NEED])</f>
        <v>Yes</v>
      </c>
      <c r="G1373">
        <f>IF(FME_Ranking!F1373="Yes",100,0)</f>
        <v>100</v>
      </c>
      <c r="H1373">
        <f>FME_Ranking1[[#This Row],[Emergency Need Score (Normalized, Unweighted)]]*$F$3</f>
        <v>0</v>
      </c>
      <c r="I1373" s="246">
        <f>_xlfn.XLOOKUP(FME_Ranking1[[#This Row],[FME ID]],FME_Input[FME_ID],FME_Input[STRUCT_100])</f>
        <v>231</v>
      </c>
      <c r="J1373" s="178">
        <f>(FME_Ranking1[[#This Row],[Structures 100 Raw]]/I$2)*100</f>
        <v>0.12369875337360237</v>
      </c>
      <c r="K1373" s="178">
        <f>FME_Ranking1[[#This Row],[Structures 100  Score (Normalized, Unweighted)]]*$I$3</f>
        <v>1.8554813006040356E-2</v>
      </c>
      <c r="L1373" s="246">
        <f>_xlfn.XLOOKUP(FME_Ranking1[[#This Row],[FME ID]],FME_Input[FME_ID],FME_Input[RES_STRUCT100])</f>
        <v>119</v>
      </c>
      <c r="M1373" s="230">
        <f>(FME_Ranking1[[#This Row],[Res Structures Raw]]/L$2)*100</f>
        <v>8.4288365372356247E-2</v>
      </c>
      <c r="N1373" s="180">
        <f>FME_Ranking1[[#This Row],[Res Structures Score (Normalized, Unweighted)]]*$L$3</f>
        <v>8.4288365372356244E-3</v>
      </c>
      <c r="O1373" s="244">
        <f>_xlfn.XLOOKUP(FME_Ranking1[[#This Row],[FME ID]],FME_Input[FME_ID],FME_Input[POP100])</f>
        <v>522</v>
      </c>
      <c r="P1373" s="178">
        <f>(FME_Ranking1[[#This Row],[Pop Raw]]/$O$2)*100</f>
        <v>5.3439912858134431E-2</v>
      </c>
      <c r="Q1373" s="178">
        <f>FME_Ranking1[[#This Row],[Pop Score (Normalized, Unweighted)]]*$O$3</f>
        <v>8.0159869287201643E-3</v>
      </c>
      <c r="R1373" s="137">
        <f>_xlfn.XLOOKUP(FME_Ranking1[[#This Row],[FME ID]],FME_Input[FME_ID],FME_Input[CRITFAC100])</f>
        <v>0</v>
      </c>
      <c r="S1373" s="230">
        <f>(FME_Ranking1[[#This Row],[Critical Facilities Raw]]/$R$2)*100</f>
        <v>0</v>
      </c>
      <c r="T1373" s="180">
        <f>FME_Ranking1[[#This Row],[Critical Facilities Score (Normalized, Unweighted)]]*$R$3</f>
        <v>0</v>
      </c>
      <c r="U1373">
        <f>_xlfn.XLOOKUP(FME_Ranking1[[#This Row],[FME ID]],FME_Input[FME_ID],FME_Input[LWC])</f>
        <v>0</v>
      </c>
      <c r="V1373" s="178">
        <f>(FME_Ranking1[[#This Row],[LWC Raw]]/$U$2)*100</f>
        <v>0</v>
      </c>
      <c r="W1373" s="178">
        <f>FME_Ranking1[[#This Row],[LWC Score (Normalized, Unweighted)]]*$U$3</f>
        <v>0</v>
      </c>
      <c r="X1373" s="246">
        <f>_xlfn.XLOOKUP(FME_Ranking1[[#This Row],[FME ID]],FME_Input[FME_ID],FME_Input[ROADCLS])</f>
        <v>0</v>
      </c>
      <c r="Y1373" s="230">
        <f>(FME_Ranking1[[#This Row],[Closures Raw]]/$X$2)*100</f>
        <v>0</v>
      </c>
      <c r="Z1373" s="180">
        <f>FME_Ranking1[[#This Row],[Closures Score (Normalized, Unweighted)]]*$X$3</f>
        <v>0</v>
      </c>
      <c r="AA1373" s="253">
        <f>_xlfn.XLOOKUP(FME_Ranking1[[#This Row],[FME ID]],FME_Input[FME_ID],FME_Input[ROAD_MILES100])</f>
        <v>8.3660469055175781</v>
      </c>
      <c r="AB1373" s="178">
        <f>(FME_Ranking1[[#This Row],[Miles Raw]]/$AA$2)*100</f>
        <v>0.10999851159799565</v>
      </c>
      <c r="AC1373" s="178">
        <f>FME_Ranking1[[#This Row],[Miles Score (Normalized, Unweighted)]]*$AA$3</f>
        <v>1.0999851159799566E-2</v>
      </c>
      <c r="AD1373" s="255">
        <f>_xlfn.XLOOKUP(FME_Ranking1[[#This Row],[FME ID]],FME_Input[FME_ID],FME_Input[FARMACRE100])</f>
        <v>1.674467921257019</v>
      </c>
      <c r="AE1373" s="230">
        <f>(FME_Ranking1[[#This Row],[Ag Land Raw]]/$AD$2)*100</f>
        <v>6.9047561310812099E-5</v>
      </c>
      <c r="AF1373" s="231">
        <f>FME_Ranking1[[#This Row],[Ag Land Score (Normalized, Unweighted)]]*$AD$3</f>
        <v>3.4523780655406049E-6</v>
      </c>
      <c r="AG137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4.600294000986125E-2</v>
      </c>
      <c r="AH1373" s="406">
        <f t="shared" si="21"/>
        <v>1330</v>
      </c>
      <c r="AI137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4.600294000986125E-2</v>
      </c>
      <c r="AJ1373" s="257">
        <f>FME_Ranking1[[#This Row],[Addition check]]-FME_Ranking1[[#This Row],[Weighted Score Based on Normalized Reported Factors]]</f>
        <v>0</v>
      </c>
      <c r="AK1373" s="178">
        <f>_xlfn.RANK.EQ(AI1373,$AI$6:$AI$2341,0)+COUNTIF($AI$6:AI1373,AI1373)-1</f>
        <v>1330</v>
      </c>
    </row>
    <row r="1374" spans="1:37" x14ac:dyDescent="0.25">
      <c r="A1374" t="s">
        <v>9281</v>
      </c>
      <c r="B1374">
        <f>_xlfn.XLOOKUP(FME_Ranking1[[#This Row],[FME ID]],FME_Input[FME_ID],FME_Input[RFPG_NUM])</f>
        <v>12</v>
      </c>
      <c r="C1374" t="str">
        <f>_xlfn.XLOOKUP(FME_Ranking1[[#This Row],[FME ID]],FME_Input[FME_ID],FME_Input[FME_NAME])</f>
        <v>LWC 112.1 Pvt Rd. 300' North of Marbcah Rd.</v>
      </c>
      <c r="D1374" t="str">
        <f>_xlfn.XLOOKUP(FME_Ranking1[[#This Row],[FME ID]],FME_Input[FME_ID],FME_Input[DESCR])</f>
        <v>Project consists of channel improvements and an outfall to Slick Creek to alleviate street flooding. Channel improvements include installing 10x4 MBC along the channel to improve flow at this portion of Slick Creek.</v>
      </c>
      <c r="E1374" s="256">
        <f>_xlfn.XLOOKUP(FME_Ranking1[[#This Row],[FME ID]],FME_Input[FME_ID],FME_Input[FME_COST])</f>
        <v>100000</v>
      </c>
      <c r="F1374" t="str">
        <f>_xlfn.XLOOKUP(FME_Ranking1[[#This Row],[FME ID]],FME_Input[FME_ID],FME_Input[EMER_NEED])</f>
        <v>Yes</v>
      </c>
      <c r="G1374">
        <f>IF(FME_Ranking!F1374="Yes",100,0)</f>
        <v>100</v>
      </c>
      <c r="H1374">
        <f>FME_Ranking1[[#This Row],[Emergency Need Score (Normalized, Unweighted)]]*$F$3</f>
        <v>0</v>
      </c>
      <c r="I1374" s="246">
        <f>_xlfn.XLOOKUP(FME_Ranking1[[#This Row],[FME ID]],FME_Input[FME_ID],FME_Input[STRUCT_100])</f>
        <v>0</v>
      </c>
      <c r="J1374" s="178">
        <f>(FME_Ranking1[[#This Row],[Structures 100 Raw]]/I$2)*100</f>
        <v>0</v>
      </c>
      <c r="K1374" s="178">
        <f>FME_Ranking1[[#This Row],[Structures 100  Score (Normalized, Unweighted)]]*$I$3</f>
        <v>0</v>
      </c>
      <c r="L1374" s="246">
        <f>_xlfn.XLOOKUP(FME_Ranking1[[#This Row],[FME ID]],FME_Input[FME_ID],FME_Input[RES_STRUCT100])</f>
        <v>0</v>
      </c>
      <c r="M1374" s="230">
        <f>(FME_Ranking1[[#This Row],[Res Structures Raw]]/L$2)*100</f>
        <v>0</v>
      </c>
      <c r="N1374" s="180">
        <f>FME_Ranking1[[#This Row],[Res Structures Score (Normalized, Unweighted)]]*$L$3</f>
        <v>0</v>
      </c>
      <c r="O1374" s="244">
        <f>_xlfn.XLOOKUP(FME_Ranking1[[#This Row],[FME ID]],FME_Input[FME_ID],FME_Input[POP100])</f>
        <v>0</v>
      </c>
      <c r="P1374" s="178">
        <f>(FME_Ranking1[[#This Row],[Pop Raw]]/$O$2)*100</f>
        <v>0</v>
      </c>
      <c r="Q1374" s="178">
        <f>FME_Ranking1[[#This Row],[Pop Score (Normalized, Unweighted)]]*$O$3</f>
        <v>0</v>
      </c>
      <c r="R1374" s="137">
        <f>_xlfn.XLOOKUP(FME_Ranking1[[#This Row],[FME ID]],FME_Input[FME_ID],FME_Input[CRITFAC100])</f>
        <v>0</v>
      </c>
      <c r="S1374" s="230">
        <f>(FME_Ranking1[[#This Row],[Critical Facilities Raw]]/$R$2)*100</f>
        <v>0</v>
      </c>
      <c r="T1374" s="180">
        <f>FME_Ranking1[[#This Row],[Critical Facilities Score (Normalized, Unweighted)]]*$R$3</f>
        <v>0</v>
      </c>
      <c r="U1374">
        <f>_xlfn.XLOOKUP(FME_Ranking1[[#This Row],[FME ID]],FME_Input[FME_ID],FME_Input[LWC])</f>
        <v>3</v>
      </c>
      <c r="V1374" s="178">
        <f>(FME_Ranking1[[#This Row],[LWC Raw]]/$U$2)*100</f>
        <v>0.17271157167530224</v>
      </c>
      <c r="W1374" s="178">
        <f>FME_Ranking1[[#This Row],[LWC Score (Normalized, Unweighted)]]*$U$3</f>
        <v>3.4542314335060449E-2</v>
      </c>
      <c r="X1374" s="246">
        <f>_xlfn.XLOOKUP(FME_Ranking1[[#This Row],[FME ID]],FME_Input[FME_ID],FME_Input[ROADCLS])</f>
        <v>0</v>
      </c>
      <c r="Y1374" s="230">
        <f>(FME_Ranking1[[#This Row],[Closures Raw]]/$X$2)*100</f>
        <v>0</v>
      </c>
      <c r="Z1374" s="180">
        <f>FME_Ranking1[[#This Row],[Closures Score (Normalized, Unweighted)]]*$X$3</f>
        <v>0</v>
      </c>
      <c r="AA1374" s="253">
        <f>_xlfn.XLOOKUP(FME_Ranking1[[#This Row],[FME ID]],FME_Input[FME_ID],FME_Input[ROAD_MILES100])</f>
        <v>0</v>
      </c>
      <c r="AB1374" s="178">
        <f>(FME_Ranking1[[#This Row],[Miles Raw]]/$AA$2)*100</f>
        <v>0</v>
      </c>
      <c r="AC1374" s="178">
        <f>FME_Ranking1[[#This Row],[Miles Score (Normalized, Unweighted)]]*$AA$3</f>
        <v>0</v>
      </c>
      <c r="AD1374" s="255">
        <f>_xlfn.XLOOKUP(FME_Ranking1[[#This Row],[FME ID]],FME_Input[FME_ID],FME_Input[FARMACRE100])</f>
        <v>0</v>
      </c>
      <c r="AE1374" s="230">
        <f>(FME_Ranking1[[#This Row],[Ag Land Raw]]/$AD$2)*100</f>
        <v>0</v>
      </c>
      <c r="AF1374" s="231">
        <f>FME_Ranking1[[#This Row],[Ag Land Score (Normalized, Unweighted)]]*$AD$3</f>
        <v>0</v>
      </c>
      <c r="AG137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3.4542314335060449E-2</v>
      </c>
      <c r="AH1374" s="406">
        <f t="shared" si="21"/>
        <v>1431</v>
      </c>
      <c r="AI137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3.4542314335060449E-2</v>
      </c>
      <c r="AJ1374" s="257">
        <f>FME_Ranking1[[#This Row],[Addition check]]-FME_Ranking1[[#This Row],[Weighted Score Based on Normalized Reported Factors]]</f>
        <v>0</v>
      </c>
      <c r="AK1374" s="178">
        <f>_xlfn.RANK.EQ(AI1374,$AI$6:$AI$2341,0)+COUNTIF($AI$6:AI1374,AI1374)-1</f>
        <v>1431</v>
      </c>
    </row>
    <row r="1375" spans="1:37" x14ac:dyDescent="0.25">
      <c r="A1375" t="s">
        <v>9475</v>
      </c>
      <c r="B1375">
        <f>_xlfn.XLOOKUP(FME_Ranking1[[#This Row],[FME ID]],FME_Input[FME_ID],FME_Input[RFPG_NUM])</f>
        <v>12</v>
      </c>
      <c r="C1375" t="str">
        <f>_xlfn.XLOOKUP(FME_Ranking1[[#This Row],[FME ID]],FME_Input[FME_ID],FME_Input[FME_NAME])</f>
        <v>LWC No 113-116 and Associated Channel Improvements</v>
      </c>
      <c r="D1375" t="str">
        <f>_xlfn.XLOOKUP(FME_Ranking1[[#This Row],[FME ID]],FME_Input[FME_ID],FME_Input[DESCR])</f>
        <v>This project proposes to upgrade LWC 115 &amp; 116 and construct an underground storm system on Military to tie into the existing earthen channel. The underground system will consist of 10' curb inlets, 6'x3' box culverts,  24"-42" (RCP),outfall structures</v>
      </c>
      <c r="E1375" s="256">
        <f>_xlfn.XLOOKUP(FME_Ranking1[[#This Row],[FME ID]],FME_Input[FME_ID],FME_Input[FME_COST])</f>
        <v>3666040</v>
      </c>
      <c r="F1375" t="str">
        <f>_xlfn.XLOOKUP(FME_Ranking1[[#This Row],[FME ID]],FME_Input[FME_ID],FME_Input[EMER_NEED])</f>
        <v>Yes</v>
      </c>
      <c r="G1375">
        <f>IF(FME_Ranking!F1375="Yes",100,0)</f>
        <v>100</v>
      </c>
      <c r="H1375">
        <f>FME_Ranking1[[#This Row],[Emergency Need Score (Normalized, Unweighted)]]*$F$3</f>
        <v>0</v>
      </c>
      <c r="I1375" s="246">
        <f>_xlfn.XLOOKUP(FME_Ranking1[[#This Row],[FME ID]],FME_Input[FME_ID],FME_Input[STRUCT_100])</f>
        <v>0</v>
      </c>
      <c r="J1375" s="178">
        <f>(FME_Ranking1[[#This Row],[Structures 100 Raw]]/I$2)*100</f>
        <v>0</v>
      </c>
      <c r="K1375" s="178">
        <f>FME_Ranking1[[#This Row],[Structures 100  Score (Normalized, Unweighted)]]*$I$3</f>
        <v>0</v>
      </c>
      <c r="L1375" s="246">
        <f>_xlfn.XLOOKUP(FME_Ranking1[[#This Row],[FME ID]],FME_Input[FME_ID],FME_Input[RES_STRUCT100])</f>
        <v>0</v>
      </c>
      <c r="M1375" s="230">
        <f>(FME_Ranking1[[#This Row],[Res Structures Raw]]/L$2)*100</f>
        <v>0</v>
      </c>
      <c r="N1375" s="180">
        <f>FME_Ranking1[[#This Row],[Res Structures Score (Normalized, Unweighted)]]*$L$3</f>
        <v>0</v>
      </c>
      <c r="O1375" s="244">
        <f>_xlfn.XLOOKUP(FME_Ranking1[[#This Row],[FME ID]],FME_Input[FME_ID],FME_Input[POP100])</f>
        <v>0</v>
      </c>
      <c r="P1375" s="178">
        <f>(FME_Ranking1[[#This Row],[Pop Raw]]/$O$2)*100</f>
        <v>0</v>
      </c>
      <c r="Q1375" s="178">
        <f>FME_Ranking1[[#This Row],[Pop Score (Normalized, Unweighted)]]*$O$3</f>
        <v>0</v>
      </c>
      <c r="R1375" s="137">
        <f>_xlfn.XLOOKUP(FME_Ranking1[[#This Row],[FME ID]],FME_Input[FME_ID],FME_Input[CRITFAC100])</f>
        <v>0</v>
      </c>
      <c r="S1375" s="230">
        <f>(FME_Ranking1[[#This Row],[Critical Facilities Raw]]/$R$2)*100</f>
        <v>0</v>
      </c>
      <c r="T1375" s="180">
        <f>FME_Ranking1[[#This Row],[Critical Facilities Score (Normalized, Unweighted)]]*$R$3</f>
        <v>0</v>
      </c>
      <c r="U1375">
        <f>_xlfn.XLOOKUP(FME_Ranking1[[#This Row],[FME ID]],FME_Input[FME_ID],FME_Input[LWC])</f>
        <v>3</v>
      </c>
      <c r="V1375" s="178">
        <f>(FME_Ranking1[[#This Row],[LWC Raw]]/$U$2)*100</f>
        <v>0.17271157167530224</v>
      </c>
      <c r="W1375" s="178">
        <f>FME_Ranking1[[#This Row],[LWC Score (Normalized, Unweighted)]]*$U$3</f>
        <v>3.4542314335060449E-2</v>
      </c>
      <c r="X1375" s="246">
        <f>_xlfn.XLOOKUP(FME_Ranking1[[#This Row],[FME ID]],FME_Input[FME_ID],FME_Input[ROADCLS])</f>
        <v>0</v>
      </c>
      <c r="Y1375" s="230">
        <f>(FME_Ranking1[[#This Row],[Closures Raw]]/$X$2)*100</f>
        <v>0</v>
      </c>
      <c r="Z1375" s="180">
        <f>FME_Ranking1[[#This Row],[Closures Score (Normalized, Unweighted)]]*$X$3</f>
        <v>0</v>
      </c>
      <c r="AA1375" s="253">
        <f>_xlfn.XLOOKUP(FME_Ranking1[[#This Row],[FME ID]],FME_Input[FME_ID],FME_Input[ROAD_MILES100])</f>
        <v>0</v>
      </c>
      <c r="AB1375" s="178">
        <f>(FME_Ranking1[[#This Row],[Miles Raw]]/$AA$2)*100</f>
        <v>0</v>
      </c>
      <c r="AC1375" s="178">
        <f>FME_Ranking1[[#This Row],[Miles Score (Normalized, Unweighted)]]*$AA$3</f>
        <v>0</v>
      </c>
      <c r="AD1375" s="255">
        <f>_xlfn.XLOOKUP(FME_Ranking1[[#This Row],[FME ID]],FME_Input[FME_ID],FME_Input[FARMACRE100])</f>
        <v>0</v>
      </c>
      <c r="AE1375" s="230">
        <f>(FME_Ranking1[[#This Row],[Ag Land Raw]]/$AD$2)*100</f>
        <v>0</v>
      </c>
      <c r="AF1375" s="231">
        <f>FME_Ranking1[[#This Row],[Ag Land Score (Normalized, Unweighted)]]*$AD$3</f>
        <v>0</v>
      </c>
      <c r="AG137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3.4542314335060449E-2</v>
      </c>
      <c r="AH1375" s="406">
        <f t="shared" si="21"/>
        <v>1431</v>
      </c>
      <c r="AI137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3.4542314335060449E-2</v>
      </c>
      <c r="AJ1375" s="257">
        <f>FME_Ranking1[[#This Row],[Addition check]]-FME_Ranking1[[#This Row],[Weighted Score Based on Normalized Reported Factors]]</f>
        <v>0</v>
      </c>
      <c r="AK1375" s="178">
        <f>_xlfn.RANK.EQ(AI1375,$AI$6:$AI$2341,0)+COUNTIF($AI$6:AI1375,AI1375)-1</f>
        <v>1432</v>
      </c>
    </row>
    <row r="1376" spans="1:37" x14ac:dyDescent="0.25">
      <c r="A1376" t="s">
        <v>8210</v>
      </c>
      <c r="B1376">
        <f>_xlfn.XLOOKUP(FME_Ranking1[[#This Row],[FME ID]],FME_Input[FME_ID],FME_Input[RFPG_NUM])</f>
        <v>9</v>
      </c>
      <c r="C1376" t="str">
        <f>_xlfn.XLOOKUP(FME_Ranking1[[#This Row],[FME ID]],FME_Input[FME_ID],FME_Input[FME_NAME])</f>
        <v>City of Big Lake FEMA Mapping</v>
      </c>
      <c r="D1376" t="str">
        <f>_xlfn.XLOOKUP(FME_Ranking1[[#This Row],[FME ID]],FME_Input[FME_ID],FME_Input[DESCR])</f>
        <v>Create FEMA Mapping in previously unmapped areas</v>
      </c>
      <c r="E1376" s="256">
        <f>_xlfn.XLOOKUP(FME_Ranking1[[#This Row],[FME ID]],FME_Input[FME_ID],FME_Input[FME_COST])</f>
        <v>31000</v>
      </c>
      <c r="F1376" t="str">
        <f>_xlfn.XLOOKUP(FME_Ranking1[[#This Row],[FME ID]],FME_Input[FME_ID],FME_Input[EMER_NEED])</f>
        <v>No</v>
      </c>
      <c r="G1376">
        <f>IF(FME_Ranking!F1376="Yes",100,0)</f>
        <v>0</v>
      </c>
      <c r="H1376">
        <f>FME_Ranking1[[#This Row],[Emergency Need Score (Normalized, Unweighted)]]*$F$3</f>
        <v>0</v>
      </c>
      <c r="I1376" s="246">
        <f>_xlfn.XLOOKUP(FME_Ranking1[[#This Row],[FME ID]],FME_Input[FME_ID],FME_Input[STRUCT_100])</f>
        <v>75</v>
      </c>
      <c r="J1376" s="178">
        <f>(FME_Ranking1[[#This Row],[Structures 100 Raw]]/I$2)*100</f>
        <v>4.016193291350726E-2</v>
      </c>
      <c r="K1376" s="178">
        <f>FME_Ranking1[[#This Row],[Structures 100  Score (Normalized, Unweighted)]]*$I$3</f>
        <v>6.024289937026089E-3</v>
      </c>
      <c r="L1376" s="246">
        <f>_xlfn.XLOOKUP(FME_Ranking1[[#This Row],[FME ID]],FME_Input[FME_ID],FME_Input[RES_STRUCT100])</f>
        <v>53</v>
      </c>
      <c r="M1376" s="230">
        <f>(FME_Ranking1[[#This Row],[Res Structures Raw]]/L$2)*100</f>
        <v>3.7540196342309928E-2</v>
      </c>
      <c r="N1376" s="180">
        <f>FME_Ranking1[[#This Row],[Res Structures Score (Normalized, Unweighted)]]*$L$3</f>
        <v>3.7540196342309932E-3</v>
      </c>
      <c r="O1376" s="244">
        <f>_xlfn.XLOOKUP(FME_Ranking1[[#This Row],[FME ID]],FME_Input[FME_ID],FME_Input[POP100])</f>
        <v>110</v>
      </c>
      <c r="P1376" s="178">
        <f>(FME_Ranking1[[#This Row],[Pop Raw]]/$O$2)*100</f>
        <v>1.1261284318763961E-2</v>
      </c>
      <c r="Q1376" s="178">
        <f>FME_Ranking1[[#This Row],[Pop Score (Normalized, Unweighted)]]*$O$3</f>
        <v>1.6891926478145942E-3</v>
      </c>
      <c r="R1376" s="137">
        <f>_xlfn.XLOOKUP(FME_Ranking1[[#This Row],[FME ID]],FME_Input[FME_ID],FME_Input[CRITFAC100])</f>
        <v>0</v>
      </c>
      <c r="S1376" s="230">
        <f>(FME_Ranking1[[#This Row],[Critical Facilities Raw]]/$R$2)*100</f>
        <v>0</v>
      </c>
      <c r="T1376" s="180">
        <f>FME_Ranking1[[#This Row],[Critical Facilities Score (Normalized, Unweighted)]]*$R$3</f>
        <v>0</v>
      </c>
      <c r="U1376">
        <f>_xlfn.XLOOKUP(FME_Ranking1[[#This Row],[FME ID]],FME_Input[FME_ID],FME_Input[LWC])</f>
        <v>2</v>
      </c>
      <c r="V1376" s="178">
        <f>(FME_Ranking1[[#This Row],[LWC Raw]]/$U$2)*100</f>
        <v>0.11514104778353484</v>
      </c>
      <c r="W1376" s="178">
        <f>FME_Ranking1[[#This Row],[LWC Score (Normalized, Unweighted)]]*$U$3</f>
        <v>2.302820955670697E-2</v>
      </c>
      <c r="X1376" s="246">
        <f>_xlfn.XLOOKUP(FME_Ranking1[[#This Row],[FME ID]],FME_Input[FME_ID],FME_Input[ROADCLS])</f>
        <v>0</v>
      </c>
      <c r="Y1376" s="230">
        <f>(FME_Ranking1[[#This Row],[Closures Raw]]/$X$2)*100</f>
        <v>0</v>
      </c>
      <c r="Z1376" s="180">
        <f>FME_Ranking1[[#This Row],[Closures Score (Normalized, Unweighted)]]*$X$3</f>
        <v>0</v>
      </c>
      <c r="AA1376" s="253">
        <f>_xlfn.XLOOKUP(FME_Ranking1[[#This Row],[FME ID]],FME_Input[FME_ID],FME_Input[ROAD_MILES100])</f>
        <v>2.3713705539703369</v>
      </c>
      <c r="AB1376" s="178">
        <f>(FME_Ranking1[[#This Row],[Miles Raw]]/$AA$2)*100</f>
        <v>3.1179269531947926E-2</v>
      </c>
      <c r="AC1376" s="178">
        <f>FME_Ranking1[[#This Row],[Miles Score (Normalized, Unweighted)]]*$AA$3</f>
        <v>3.1179269531947927E-3</v>
      </c>
      <c r="AD1376" s="255">
        <f>_xlfn.XLOOKUP(FME_Ranking1[[#This Row],[FME ID]],FME_Input[FME_ID],FME_Input[FARMACRE100])</f>
        <v>5.1941280364990234</v>
      </c>
      <c r="AE1376" s="230">
        <f>(FME_Ranking1[[#This Row],[Ag Land Raw]]/$AD$2)*100</f>
        <v>2.1418258869190088E-4</v>
      </c>
      <c r="AF1376" s="231">
        <f>FME_Ranking1[[#This Row],[Ag Land Score (Normalized, Unweighted)]]*$AD$3</f>
        <v>1.0709129434595044E-5</v>
      </c>
      <c r="AG137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3.7624347858408035E-2</v>
      </c>
      <c r="AH1376" s="406">
        <f t="shared" si="21"/>
        <v>1399</v>
      </c>
      <c r="AI137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3.7624347858408035E-2</v>
      </c>
      <c r="AJ1376" s="257">
        <f>FME_Ranking1[[#This Row],[Addition check]]-FME_Ranking1[[#This Row],[Weighted Score Based on Normalized Reported Factors]]</f>
        <v>0</v>
      </c>
      <c r="AK1376" s="178">
        <f>_xlfn.RANK.EQ(AI1376,$AI$6:$AI$2341,0)+COUNTIF($AI$6:AI1376,AI1376)-1</f>
        <v>1399</v>
      </c>
    </row>
    <row r="1377" spans="1:37" x14ac:dyDescent="0.25">
      <c r="A1377" t="s">
        <v>3868</v>
      </c>
      <c r="B1377">
        <f>_xlfn.XLOOKUP(FME_Ranking1[[#This Row],[FME ID]],FME_Input[FME_ID],FME_Input[RFPG_NUM])</f>
        <v>3</v>
      </c>
      <c r="C1377" t="str">
        <f>_xlfn.XLOOKUP(FME_Ranking1[[#This Row],[FME ID]],FME_Input[FME_ID],FME_Input[FME_NAME])</f>
        <v xml:space="preserve">Grimes County FEMA Mapping </v>
      </c>
      <c r="D1377" t="str">
        <f>_xlfn.XLOOKUP(FME_Ranking1[[#This Row],[FME ID]],FME_Input[FME_ID],FME_Input[DESCR])</f>
        <v>Create FEMA mapping in previously unmapped areas and update existing FEMA maps as needed.</v>
      </c>
      <c r="E1377" s="256">
        <f>_xlfn.XLOOKUP(FME_Ranking1[[#This Row],[FME ID]],FME_Input[FME_ID],FME_Input[FME_COST])</f>
        <v>1334000</v>
      </c>
      <c r="F1377" t="str">
        <f>_xlfn.XLOOKUP(FME_Ranking1[[#This Row],[FME ID]],FME_Input[FME_ID],FME_Input[EMER_NEED])</f>
        <v>No</v>
      </c>
      <c r="G1377">
        <f>IF(FME_Ranking!F1377="Yes",100,0)</f>
        <v>0</v>
      </c>
      <c r="H1377">
        <f>FME_Ranking1[[#This Row],[Emergency Need Score (Normalized, Unweighted)]]*$F$3</f>
        <v>0</v>
      </c>
      <c r="I1377" s="246">
        <f>_xlfn.XLOOKUP(FME_Ranking1[[#This Row],[FME ID]],FME_Input[FME_ID],FME_Input[STRUCT_100])</f>
        <v>109</v>
      </c>
      <c r="J1377" s="178">
        <f>(FME_Ranking1[[#This Row],[Structures 100 Raw]]/I$2)*100</f>
        <v>5.8368675834297223E-2</v>
      </c>
      <c r="K1377" s="178">
        <f>FME_Ranking1[[#This Row],[Structures 100  Score (Normalized, Unweighted)]]*$I$3</f>
        <v>8.7553013751445839E-3</v>
      </c>
      <c r="L1377" s="246">
        <f>_xlfn.XLOOKUP(FME_Ranking1[[#This Row],[FME ID]],FME_Input[FME_ID],FME_Input[RES_STRUCT100])</f>
        <v>69</v>
      </c>
      <c r="M1377" s="230">
        <f>(FME_Ranking1[[#This Row],[Res Structures Raw]]/L$2)*100</f>
        <v>4.8873085804139342E-2</v>
      </c>
      <c r="N1377" s="180">
        <f>FME_Ranking1[[#This Row],[Res Structures Score (Normalized, Unweighted)]]*$L$3</f>
        <v>4.8873085804139347E-3</v>
      </c>
      <c r="O1377" s="244">
        <f>_xlfn.XLOOKUP(FME_Ranking1[[#This Row],[FME ID]],FME_Input[FME_ID],FME_Input[POP100])</f>
        <v>49</v>
      </c>
      <c r="P1377" s="178">
        <f>(FME_Ranking1[[#This Row],[Pop Raw]]/$O$2)*100</f>
        <v>5.016390287449401E-3</v>
      </c>
      <c r="Q1377" s="178">
        <f>FME_Ranking1[[#This Row],[Pop Score (Normalized, Unweighted)]]*$O$3</f>
        <v>7.5245854311741011E-4</v>
      </c>
      <c r="R1377" s="137">
        <f>_xlfn.XLOOKUP(FME_Ranking1[[#This Row],[FME ID]],FME_Input[FME_ID],FME_Input[CRITFAC100])</f>
        <v>0</v>
      </c>
      <c r="S1377" s="230">
        <f>(FME_Ranking1[[#This Row],[Critical Facilities Raw]]/$R$2)*100</f>
        <v>0</v>
      </c>
      <c r="T1377" s="180">
        <f>FME_Ranking1[[#This Row],[Critical Facilities Score (Normalized, Unweighted)]]*$R$3</f>
        <v>0</v>
      </c>
      <c r="U1377">
        <f>_xlfn.XLOOKUP(FME_Ranking1[[#This Row],[FME ID]],FME_Input[FME_ID],FME_Input[LWC])</f>
        <v>0</v>
      </c>
      <c r="V1377" s="178">
        <f>(FME_Ranking1[[#This Row],[LWC Raw]]/$U$2)*100</f>
        <v>0</v>
      </c>
      <c r="W1377" s="178">
        <f>FME_Ranking1[[#This Row],[LWC Score (Normalized, Unweighted)]]*$U$3</f>
        <v>0</v>
      </c>
      <c r="X1377" s="246">
        <f>_xlfn.XLOOKUP(FME_Ranking1[[#This Row],[FME ID]],FME_Input[FME_ID],FME_Input[ROADCLS])</f>
        <v>0</v>
      </c>
      <c r="Y1377" s="230">
        <f>(FME_Ranking1[[#This Row],[Closures Raw]]/$X$2)*100</f>
        <v>0</v>
      </c>
      <c r="Z1377" s="180">
        <f>FME_Ranking1[[#This Row],[Closures Score (Normalized, Unweighted)]]*$X$3</f>
        <v>0</v>
      </c>
      <c r="AA1377" s="253">
        <f>_xlfn.XLOOKUP(FME_Ranking1[[#This Row],[FME ID]],FME_Input[FME_ID],FME_Input[ROAD_MILES100])</f>
        <v>13.037910461425779</v>
      </c>
      <c r="AB1377" s="178">
        <f>(FME_Ranking1[[#This Row],[Miles Raw]]/$AA$2)*100</f>
        <v>0.17142513797752207</v>
      </c>
      <c r="AC1377" s="178">
        <f>FME_Ranking1[[#This Row],[Miles Score (Normalized, Unweighted)]]*$AA$3</f>
        <v>1.7142513797752206E-2</v>
      </c>
      <c r="AD1377" s="255">
        <f>_xlfn.XLOOKUP(FME_Ranking1[[#This Row],[FME ID]],FME_Input[FME_ID],FME_Input[FARMACRE100])</f>
        <v>9748.66015625</v>
      </c>
      <c r="AE1377" s="230">
        <f>(FME_Ranking1[[#This Row],[Ag Land Raw]]/$AD$2)*100</f>
        <v>0.40199110493059337</v>
      </c>
      <c r="AF1377" s="231">
        <f>FME_Ranking1[[#This Row],[Ag Land Score (Normalized, Unweighted)]]*$AD$3</f>
        <v>2.009955524652967E-2</v>
      </c>
      <c r="AG137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5.1637137542957803E-2</v>
      </c>
      <c r="AH1377" s="406">
        <f t="shared" si="21"/>
        <v>1301</v>
      </c>
      <c r="AI137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5.1637137542957803E-2</v>
      </c>
      <c r="AJ1377" s="257">
        <f>FME_Ranking1[[#This Row],[Addition check]]-FME_Ranking1[[#This Row],[Weighted Score Based on Normalized Reported Factors]]</f>
        <v>0</v>
      </c>
      <c r="AK1377" s="178">
        <f>_xlfn.RANK.EQ(AI1377,$AI$6:$AI$2341,0)+COUNTIF($AI$6:AI1377,AI1377)-1</f>
        <v>1301</v>
      </c>
    </row>
    <row r="1378" spans="1:37" x14ac:dyDescent="0.25">
      <c r="A1378" t="s">
        <v>6971</v>
      </c>
      <c r="B1378">
        <f>_xlfn.XLOOKUP(FME_Ranking1[[#This Row],[FME ID]],FME_Input[FME_ID],FME_Input[RFPG_NUM])</f>
        <v>7</v>
      </c>
      <c r="C1378" t="str">
        <f>_xlfn.XLOOKUP(FME_Ranking1[[#This Row],[FME ID]],FME_Input[FME_ID],FME_Input[FME_NAME])</f>
        <v>City of Seymour DMP</v>
      </c>
      <c r="D1378" t="str">
        <f>_xlfn.XLOOKUP(FME_Ranking1[[#This Row],[FME ID]],FME_Input[FME_ID],FME_Input[DESCR])</f>
        <v>Evaluate city to analyze roads/stream crossing for emergency response vehicles to high hazard areas. Evaluate city storm infrastructure for deficiencies.</v>
      </c>
      <c r="E1378" s="256">
        <f>_xlfn.XLOOKUP(FME_Ranking1[[#This Row],[FME ID]],FME_Input[FME_ID],FME_Input[FME_COST])</f>
        <v>250000</v>
      </c>
      <c r="F1378" t="str">
        <f>_xlfn.XLOOKUP(FME_Ranking1[[#This Row],[FME ID]],FME_Input[FME_ID],FME_Input[EMER_NEED])</f>
        <v>No</v>
      </c>
      <c r="G1378">
        <f>IF(FME_Ranking!F1378="Yes",100,0)</f>
        <v>0</v>
      </c>
      <c r="H1378">
        <f>FME_Ranking1[[#This Row],[Emergency Need Score (Normalized, Unweighted)]]*$F$3</f>
        <v>0</v>
      </c>
      <c r="I1378" s="246">
        <f>_xlfn.XLOOKUP(FME_Ranking1[[#This Row],[FME ID]],FME_Input[FME_ID],FME_Input[STRUCT_100])</f>
        <v>195</v>
      </c>
      <c r="J1378" s="178">
        <f>(FME_Ranking1[[#This Row],[Structures 100 Raw]]/I$2)*100</f>
        <v>0.10442102557511887</v>
      </c>
      <c r="K1378" s="178">
        <f>FME_Ranking1[[#This Row],[Structures 100  Score (Normalized, Unweighted)]]*$I$3</f>
        <v>1.5663153836267828E-2</v>
      </c>
      <c r="L1378" s="246">
        <f>_xlfn.XLOOKUP(FME_Ranking1[[#This Row],[FME ID]],FME_Input[FME_ID],FME_Input[RES_STRUCT100])</f>
        <v>135</v>
      </c>
      <c r="M1378" s="230">
        <f>(FME_Ranking1[[#This Row],[Res Structures Raw]]/L$2)*100</f>
        <v>9.5621254834185668E-2</v>
      </c>
      <c r="N1378" s="180">
        <f>FME_Ranking1[[#This Row],[Res Structures Score (Normalized, Unweighted)]]*$L$3</f>
        <v>9.5621254834185668E-3</v>
      </c>
      <c r="O1378" s="244">
        <f>_xlfn.XLOOKUP(FME_Ranking1[[#This Row],[FME ID]],FME_Input[FME_ID],FME_Input[POP100])</f>
        <v>592</v>
      </c>
      <c r="P1378" s="178">
        <f>(FME_Ranking1[[#This Row],[Pop Raw]]/$O$2)*100</f>
        <v>6.060618469734786E-2</v>
      </c>
      <c r="Q1378" s="178">
        <f>FME_Ranking1[[#This Row],[Pop Score (Normalized, Unweighted)]]*$O$3</f>
        <v>9.0909277046021791E-3</v>
      </c>
      <c r="R1378" s="137">
        <f>_xlfn.XLOOKUP(FME_Ranking1[[#This Row],[FME ID]],FME_Input[FME_ID],FME_Input[CRITFAC100])</f>
        <v>0</v>
      </c>
      <c r="S1378" s="230">
        <f>(FME_Ranking1[[#This Row],[Critical Facilities Raw]]/$R$2)*100</f>
        <v>0</v>
      </c>
      <c r="T1378" s="180">
        <f>FME_Ranking1[[#This Row],[Critical Facilities Score (Normalized, Unweighted)]]*$R$3</f>
        <v>0</v>
      </c>
      <c r="U1378">
        <f>_xlfn.XLOOKUP(FME_Ranking1[[#This Row],[FME ID]],FME_Input[FME_ID],FME_Input[LWC])</f>
        <v>0</v>
      </c>
      <c r="V1378" s="178">
        <f>(FME_Ranking1[[#This Row],[LWC Raw]]/$U$2)*100</f>
        <v>0</v>
      </c>
      <c r="W1378" s="178">
        <f>FME_Ranking1[[#This Row],[LWC Score (Normalized, Unweighted)]]*$U$3</f>
        <v>0</v>
      </c>
      <c r="X1378" s="246">
        <f>_xlfn.XLOOKUP(FME_Ranking1[[#This Row],[FME ID]],FME_Input[FME_ID],FME_Input[ROADCLS])</f>
        <v>0</v>
      </c>
      <c r="Y1378" s="230">
        <f>(FME_Ranking1[[#This Row],[Closures Raw]]/$X$2)*100</f>
        <v>0</v>
      </c>
      <c r="Z1378" s="180">
        <f>FME_Ranking1[[#This Row],[Closures Score (Normalized, Unweighted)]]*$X$3</f>
        <v>0</v>
      </c>
      <c r="AA1378" s="253">
        <f>_xlfn.XLOOKUP(FME_Ranking1[[#This Row],[FME ID]],FME_Input[FME_ID],FME_Input[ROAD_MILES100])</f>
        <v>7.9804110527038574</v>
      </c>
      <c r="AB1378" s="178">
        <f>(FME_Ranking1[[#This Row],[Miles Raw]]/$AA$2)*100</f>
        <v>0.10492809180386845</v>
      </c>
      <c r="AC1378" s="178">
        <f>FME_Ranking1[[#This Row],[Miles Score (Normalized, Unweighted)]]*$AA$3</f>
        <v>1.0492809180386845E-2</v>
      </c>
      <c r="AD1378" s="255">
        <f>_xlfn.XLOOKUP(FME_Ranking1[[#This Row],[FME ID]],FME_Input[FME_ID],FME_Input[FARMACRE100])</f>
        <v>42.697242736816413</v>
      </c>
      <c r="AE1378" s="230">
        <f>(FME_Ranking1[[#This Row],[Ag Land Raw]]/$AD$2)*100</f>
        <v>1.7606431561016684E-3</v>
      </c>
      <c r="AF1378" s="231">
        <f>FME_Ranking1[[#This Row],[Ag Land Score (Normalized, Unweighted)]]*$AD$3</f>
        <v>8.8032157805083427E-5</v>
      </c>
      <c r="AG137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4.4897048362480499E-2</v>
      </c>
      <c r="AH1378" s="406">
        <f t="shared" si="21"/>
        <v>1342</v>
      </c>
      <c r="AI137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4.4897048362480499E-2</v>
      </c>
      <c r="AJ1378" s="257">
        <f>FME_Ranking1[[#This Row],[Addition check]]-FME_Ranking1[[#This Row],[Weighted Score Based on Normalized Reported Factors]]</f>
        <v>0</v>
      </c>
      <c r="AK1378" s="178">
        <f>_xlfn.RANK.EQ(AI1378,$AI$6:$AI$2341,0)+COUNTIF($AI$6:AI1378,AI1378)-1</f>
        <v>1342</v>
      </c>
    </row>
    <row r="1379" spans="1:37" x14ac:dyDescent="0.25">
      <c r="A1379" t="s">
        <v>1953</v>
      </c>
      <c r="B1379">
        <f>_xlfn.XLOOKUP(FME_Ranking1[[#This Row],[FME ID]],FME_Input[FME_ID],FME_Input[RFPG_NUM])</f>
        <v>6</v>
      </c>
      <c r="C1379" t="str">
        <f>_xlfn.XLOOKUP(FME_Ranking1[[#This Row],[FME ID]],FME_Input[FME_ID],FME_Input[FME_NAME])</f>
        <v>Galveston Bay Watershed Plan- PA04 (S+4) Crossing Improvements</v>
      </c>
      <c r="D1379" t="str">
        <f>_xlfn.XLOOKUP(FME_Ranking1[[#This Row],[FME ID]],FME_Input[FME_ID],FME_Input[DESCR])</f>
        <v>Recommended alternative directly addresses need for improved channel conveyance by increasing the size of the crossings at El Jardin Dr and Youpon Dr. to 8'x5' box culverts.</v>
      </c>
      <c r="E1379" s="256">
        <f>_xlfn.XLOOKUP(FME_Ranking1[[#This Row],[FME ID]],FME_Input[FME_ID],FME_Input[FME_COST])</f>
        <v>30000</v>
      </c>
      <c r="F1379" t="str">
        <f>_xlfn.XLOOKUP(FME_Ranking1[[#This Row],[FME ID]],FME_Input[FME_ID],FME_Input[EMER_NEED])</f>
        <v>No</v>
      </c>
      <c r="G1379">
        <f>IF(FME_Ranking!F1379="Yes",100,0)</f>
        <v>0</v>
      </c>
      <c r="H1379">
        <f>FME_Ranking1[[#This Row],[Emergency Need Score (Normalized, Unweighted)]]*$F$3</f>
        <v>0</v>
      </c>
      <c r="I1379" s="246">
        <f>_xlfn.XLOOKUP(FME_Ranking1[[#This Row],[FME ID]],FME_Input[FME_ID],FME_Input[STRUCT_100])</f>
        <v>190</v>
      </c>
      <c r="J1379" s="178">
        <f>(FME_Ranking1[[#This Row],[Structures 100 Raw]]/I$2)*100</f>
        <v>0.10174356338088505</v>
      </c>
      <c r="K1379" s="178">
        <f>FME_Ranking1[[#This Row],[Structures 100  Score (Normalized, Unweighted)]]*$I$3</f>
        <v>1.5261534507132758E-2</v>
      </c>
      <c r="L1379" s="246">
        <f>_xlfn.XLOOKUP(FME_Ranking1[[#This Row],[FME ID]],FME_Input[FME_ID],FME_Input[RES_STRUCT100])</f>
        <v>185</v>
      </c>
      <c r="M1379" s="230">
        <f>(FME_Ranking1[[#This Row],[Res Structures Raw]]/L$2)*100</f>
        <v>0.13103653440240259</v>
      </c>
      <c r="N1379" s="180">
        <f>FME_Ranking1[[#This Row],[Res Structures Score (Normalized, Unweighted)]]*$L$3</f>
        <v>1.3103653440240261E-2</v>
      </c>
      <c r="O1379" s="244">
        <f>_xlfn.XLOOKUP(FME_Ranking1[[#This Row],[FME ID]],FME_Input[FME_ID],FME_Input[POP100])</f>
        <v>391</v>
      </c>
      <c r="P1379" s="178">
        <f>(FME_Ranking1[[#This Row],[Pop Raw]]/$O$2)*100</f>
        <v>4.0028746987606445E-2</v>
      </c>
      <c r="Q1379" s="178">
        <f>FME_Ranking1[[#This Row],[Pop Score (Normalized, Unweighted)]]*$O$3</f>
        <v>6.0043120481409664E-3</v>
      </c>
      <c r="R1379" s="137">
        <f>_xlfn.XLOOKUP(FME_Ranking1[[#This Row],[FME ID]],FME_Input[FME_ID],FME_Input[CRITFAC100])</f>
        <v>0</v>
      </c>
      <c r="S1379" s="230">
        <f>(FME_Ranking1[[#This Row],[Critical Facilities Raw]]/$R$2)*100</f>
        <v>0</v>
      </c>
      <c r="T1379" s="180">
        <f>FME_Ranking1[[#This Row],[Critical Facilities Score (Normalized, Unweighted)]]*$R$3</f>
        <v>0</v>
      </c>
      <c r="U1379">
        <f>_xlfn.XLOOKUP(FME_Ranking1[[#This Row],[FME ID]],FME_Input[FME_ID],FME_Input[LWC])</f>
        <v>0</v>
      </c>
      <c r="V1379" s="178">
        <f>(FME_Ranking1[[#This Row],[LWC Raw]]/$U$2)*100</f>
        <v>0</v>
      </c>
      <c r="W1379" s="178">
        <f>FME_Ranking1[[#This Row],[LWC Score (Normalized, Unweighted)]]*$U$3</f>
        <v>0</v>
      </c>
      <c r="X1379" s="246">
        <f>_xlfn.XLOOKUP(FME_Ranking1[[#This Row],[FME ID]],FME_Input[FME_ID],FME_Input[ROADCLS])</f>
        <v>0</v>
      </c>
      <c r="Y1379" s="230">
        <f>(FME_Ranking1[[#This Row],[Closures Raw]]/$X$2)*100</f>
        <v>0</v>
      </c>
      <c r="Z1379" s="180">
        <f>FME_Ranking1[[#This Row],[Closures Score (Normalized, Unweighted)]]*$X$3</f>
        <v>0</v>
      </c>
      <c r="AA1379" s="253">
        <f>_xlfn.XLOOKUP(FME_Ranking1[[#This Row],[FME ID]],FME_Input[FME_ID],FME_Input[ROAD_MILES100])</f>
        <v>2.7616868019103999</v>
      </c>
      <c r="AB1379" s="178">
        <f>(FME_Ranking1[[#This Row],[Miles Raw]]/$AA$2)*100</f>
        <v>3.631122812730378E-2</v>
      </c>
      <c r="AC1379" s="178">
        <f>FME_Ranking1[[#This Row],[Miles Score (Normalized, Unweighted)]]*$AA$3</f>
        <v>3.6311228127303783E-3</v>
      </c>
      <c r="AD1379" s="255">
        <f>_xlfn.XLOOKUP(FME_Ranking1[[#This Row],[FME ID]],FME_Input[FME_ID],FME_Input[FARMACRE100])</f>
        <v>0.41367971897125239</v>
      </c>
      <c r="AE1379" s="230">
        <f>(FME_Ranking1[[#This Row],[Ag Land Raw]]/$AD$2)*100</f>
        <v>1.7058299771586225E-5</v>
      </c>
      <c r="AF1379" s="231">
        <f>FME_Ranking1[[#This Row],[Ag Land Score (Normalized, Unweighted)]]*$AD$3</f>
        <v>8.5291498857931132E-7</v>
      </c>
      <c r="AG137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3.8001475723232946E-2</v>
      </c>
      <c r="AH1379" s="406">
        <f t="shared" si="21"/>
        <v>1398</v>
      </c>
      <c r="AI137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3.8001475723232946E-2</v>
      </c>
      <c r="AJ1379" s="257">
        <f>FME_Ranking1[[#This Row],[Addition check]]-FME_Ranking1[[#This Row],[Weighted Score Based on Normalized Reported Factors]]</f>
        <v>0</v>
      </c>
      <c r="AK1379" s="178">
        <f>_xlfn.RANK.EQ(AI1379,$AI$6:$AI$2341,0)+COUNTIF($AI$6:AI1379,AI1379)-1</f>
        <v>1398</v>
      </c>
    </row>
    <row r="1380" spans="1:37" x14ac:dyDescent="0.25">
      <c r="A1380" t="s">
        <v>467</v>
      </c>
      <c r="B1380">
        <f>_xlfn.XLOOKUP(FME_Ranking1[[#This Row],[FME ID]],FME_Input[FME_ID],FME_Input[RFPG_NUM])</f>
        <v>10</v>
      </c>
      <c r="C1380" t="str">
        <f>_xlfn.XLOOKUP(FME_Ranking1[[#This Row],[FME ID]],FME_Input[FME_ID],FME_Input[FME_NAME])</f>
        <v>Construct Emergency Operation Center</v>
      </c>
      <c r="D1380" t="str">
        <f>_xlfn.XLOOKUP(FME_Ranking1[[#This Row],[FME ID]],FME_Input[FME_ID],FME_Input[DESCR])</f>
        <v>Construct emergency operation center</v>
      </c>
      <c r="E1380" s="256">
        <f>_xlfn.XLOOKUP(FME_Ranking1[[#This Row],[FME ID]],FME_Input[FME_ID],FME_Input[FME_COST])</f>
        <v>100000</v>
      </c>
      <c r="F1380" t="str">
        <f>_xlfn.XLOOKUP(FME_Ranking1[[#This Row],[FME ID]],FME_Input[FME_ID],FME_Input[EMER_NEED])</f>
        <v>No</v>
      </c>
      <c r="G1380">
        <f>IF(FME_Ranking!F1380="Yes",100,0)</f>
        <v>0</v>
      </c>
      <c r="H1380">
        <f>FME_Ranking1[[#This Row],[Emergency Need Score (Normalized, Unweighted)]]*$F$3</f>
        <v>0</v>
      </c>
      <c r="I1380" s="246">
        <f>_xlfn.XLOOKUP(FME_Ranking1[[#This Row],[FME ID]],FME_Input[FME_ID],FME_Input[STRUCT_100])</f>
        <v>247</v>
      </c>
      <c r="J1380" s="178">
        <f>(FME_Ranking1[[#This Row],[Structures 100 Raw]]/I$2)*100</f>
        <v>0.13226663239515057</v>
      </c>
      <c r="K1380" s="178">
        <f>FME_Ranking1[[#This Row],[Structures 100  Score (Normalized, Unweighted)]]*$I$3</f>
        <v>1.9839994859272587E-2</v>
      </c>
      <c r="L1380" s="246">
        <f>_xlfn.XLOOKUP(FME_Ranking1[[#This Row],[FME ID]],FME_Input[FME_ID],FME_Input[RES_STRUCT100])</f>
        <v>137</v>
      </c>
      <c r="M1380" s="230">
        <f>(FME_Ranking1[[#This Row],[Res Structures Raw]]/L$2)*100</f>
        <v>9.7037866016914331E-2</v>
      </c>
      <c r="N1380" s="180">
        <f>FME_Ranking1[[#This Row],[Res Structures Score (Normalized, Unweighted)]]*$L$3</f>
        <v>9.7037866016914335E-3</v>
      </c>
      <c r="O1380" s="244">
        <f>_xlfn.XLOOKUP(FME_Ranking1[[#This Row],[FME ID]],FME_Input[FME_ID],FME_Input[POP100])</f>
        <v>305</v>
      </c>
      <c r="P1380" s="178">
        <f>(FME_Ranking1[[#This Row],[Pop Raw]]/$O$2)*100</f>
        <v>3.1224470156572804E-2</v>
      </c>
      <c r="Q1380" s="178">
        <f>FME_Ranking1[[#This Row],[Pop Score (Normalized, Unweighted)]]*$O$3</f>
        <v>4.6836705234859204E-3</v>
      </c>
      <c r="R1380" s="137">
        <f>_xlfn.XLOOKUP(FME_Ranking1[[#This Row],[FME ID]],FME_Input[FME_ID],FME_Input[CRITFAC100])</f>
        <v>0</v>
      </c>
      <c r="S1380" s="230">
        <f>(FME_Ranking1[[#This Row],[Critical Facilities Raw]]/$R$2)*100</f>
        <v>0</v>
      </c>
      <c r="T1380" s="180">
        <f>FME_Ranking1[[#This Row],[Critical Facilities Score (Normalized, Unweighted)]]*$R$3</f>
        <v>0</v>
      </c>
      <c r="U1380">
        <f>_xlfn.XLOOKUP(FME_Ranking1[[#This Row],[FME ID]],FME_Input[FME_ID],FME_Input[LWC])</f>
        <v>0</v>
      </c>
      <c r="V1380" s="178">
        <f>(FME_Ranking1[[#This Row],[LWC Raw]]/$U$2)*100</f>
        <v>0</v>
      </c>
      <c r="W1380" s="178">
        <f>FME_Ranking1[[#This Row],[LWC Score (Normalized, Unweighted)]]*$U$3</f>
        <v>0</v>
      </c>
      <c r="X1380" s="246">
        <f>_xlfn.XLOOKUP(FME_Ranking1[[#This Row],[FME ID]],FME_Input[FME_ID],FME_Input[ROADCLS])</f>
        <v>0</v>
      </c>
      <c r="Y1380" s="230">
        <f>(FME_Ranking1[[#This Row],[Closures Raw]]/$X$2)*100</f>
        <v>0</v>
      </c>
      <c r="Z1380" s="180">
        <f>FME_Ranking1[[#This Row],[Closures Score (Normalized, Unweighted)]]*$X$3</f>
        <v>0</v>
      </c>
      <c r="AA1380" s="253">
        <f>_xlfn.XLOOKUP(FME_Ranking1[[#This Row],[FME ID]],FME_Input[FME_ID],FME_Input[ROAD_MILES100])</f>
        <v>6.8766918182373047</v>
      </c>
      <c r="AB1380" s="178">
        <f>(FME_Ranking1[[#This Row],[Miles Raw]]/$AA$2)*100</f>
        <v>9.0416163484015336E-2</v>
      </c>
      <c r="AC1380" s="178">
        <f>FME_Ranking1[[#This Row],[Miles Score (Normalized, Unweighted)]]*$AA$3</f>
        <v>9.0416163484015339E-3</v>
      </c>
      <c r="AD1380" s="255">
        <f>_xlfn.XLOOKUP(FME_Ranking1[[#This Row],[FME ID]],FME_Input[FME_ID],FME_Input[FARMACRE100])</f>
        <v>47.815559387207031</v>
      </c>
      <c r="AE1380" s="230">
        <f>(FME_Ranking1[[#This Row],[Ag Land Raw]]/$AD$2)*100</f>
        <v>1.9716996226004082E-3</v>
      </c>
      <c r="AF1380" s="231">
        <f>FME_Ranking1[[#This Row],[Ag Land Score (Normalized, Unweighted)]]*$AD$3</f>
        <v>9.8584981130020411E-5</v>
      </c>
      <c r="AG138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4.33676533139815E-2</v>
      </c>
      <c r="AH1380" s="406">
        <f t="shared" si="21"/>
        <v>1354</v>
      </c>
      <c r="AI138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4.33676533139815E-2</v>
      </c>
      <c r="AJ1380" s="257">
        <f>FME_Ranking1[[#This Row],[Addition check]]-FME_Ranking1[[#This Row],[Weighted Score Based on Normalized Reported Factors]]</f>
        <v>0</v>
      </c>
      <c r="AK1380" s="178">
        <f>_xlfn.RANK.EQ(AI1380,$AI$6:$AI$2341,0)+COUNTIF($AI$6:AI1380,AI1380)-1</f>
        <v>1354</v>
      </c>
    </row>
    <row r="1381" spans="1:37" x14ac:dyDescent="0.25">
      <c r="A1381" t="s">
        <v>9527</v>
      </c>
      <c r="B1381">
        <f>_xlfn.XLOOKUP(FME_Ranking1[[#This Row],[FME ID]],FME_Input[FME_ID],FME_Input[RFPG_NUM])</f>
        <v>12</v>
      </c>
      <c r="C1381" t="str">
        <f>_xlfn.XLOOKUP(FME_Ranking1[[#This Row],[FME ID]],FME_Input[FME_ID],FME_Input[FME_NAME])</f>
        <v>Damage Center 14- Airport Trib</v>
      </c>
      <c r="D1381" t="str">
        <f>_xlfn.XLOOKUP(FME_Ranking1[[#This Row],[FME ID]],FME_Input[FME_ID],FME_Input[DESCR])</f>
        <v>There are four bridges within this Damage Center, of which all overtop during the 1% AC storm event. Voluntary Acquisition of 79 residential propoerties that are compromised</v>
      </c>
      <c r="E1381" s="256">
        <f>_xlfn.XLOOKUP(FME_Ranking1[[#This Row],[FME ID]],FME_Input[FME_ID],FME_Input[FME_COST])</f>
        <v>28756432</v>
      </c>
      <c r="F1381" t="str">
        <f>_xlfn.XLOOKUP(FME_Ranking1[[#This Row],[FME ID]],FME_Input[FME_ID],FME_Input[EMER_NEED])</f>
        <v>Yes</v>
      </c>
      <c r="G1381">
        <f>IF(FME_Ranking!F1381="Yes",100,0)</f>
        <v>100</v>
      </c>
      <c r="H1381">
        <f>FME_Ranking1[[#This Row],[Emergency Need Score (Normalized, Unweighted)]]*$F$3</f>
        <v>0</v>
      </c>
      <c r="I1381" s="246">
        <f>_xlfn.XLOOKUP(FME_Ranking1[[#This Row],[FME ID]],FME_Input[FME_ID],FME_Input[STRUCT_100])</f>
        <v>85</v>
      </c>
      <c r="J1381" s="178">
        <f>(FME_Ranking1[[#This Row],[Structures 100 Raw]]/I$2)*100</f>
        <v>4.551685730197489E-2</v>
      </c>
      <c r="K1381" s="178">
        <f>FME_Ranking1[[#This Row],[Structures 100  Score (Normalized, Unweighted)]]*$I$3</f>
        <v>6.8275285952962336E-3</v>
      </c>
      <c r="L1381" s="246">
        <f>_xlfn.XLOOKUP(FME_Ranking1[[#This Row],[FME ID]],FME_Input[FME_ID],FME_Input[RES_STRUCT100])</f>
        <v>62</v>
      </c>
      <c r="M1381" s="230">
        <f>(FME_Ranking1[[#This Row],[Res Structures Raw]]/L$2)*100</f>
        <v>4.3914946664588971E-2</v>
      </c>
      <c r="N1381" s="180">
        <f>FME_Ranking1[[#This Row],[Res Structures Score (Normalized, Unweighted)]]*$L$3</f>
        <v>4.3914946664588969E-3</v>
      </c>
      <c r="O1381" s="244">
        <f>_xlfn.XLOOKUP(FME_Ranking1[[#This Row],[FME ID]],FME_Input[FME_ID],FME_Input[POP100])</f>
        <v>553</v>
      </c>
      <c r="P1381" s="178">
        <f>(FME_Ranking1[[#This Row],[Pop Raw]]/$O$2)*100</f>
        <v>5.6613547529786104E-2</v>
      </c>
      <c r="Q1381" s="178">
        <f>FME_Ranking1[[#This Row],[Pop Score (Normalized, Unweighted)]]*$O$3</f>
        <v>8.4920321294679156E-3</v>
      </c>
      <c r="R1381" s="137">
        <f>_xlfn.XLOOKUP(FME_Ranking1[[#This Row],[FME ID]],FME_Input[FME_ID],FME_Input[CRITFAC100])</f>
        <v>1</v>
      </c>
      <c r="S1381" s="230">
        <f>(FME_Ranking1[[#This Row],[Critical Facilities Raw]]/$R$2)*100</f>
        <v>4.2881646655231559E-2</v>
      </c>
      <c r="T1381" s="180">
        <f>FME_Ranking1[[#This Row],[Critical Facilities Score (Normalized, Unweighted)]]*$R$3</f>
        <v>8.5763293310463125E-3</v>
      </c>
      <c r="U1381">
        <f>_xlfn.XLOOKUP(FME_Ranking1[[#This Row],[FME ID]],FME_Input[FME_ID],FME_Input[LWC])</f>
        <v>0</v>
      </c>
      <c r="V1381" s="178">
        <f>(FME_Ranking1[[#This Row],[LWC Raw]]/$U$2)*100</f>
        <v>0</v>
      </c>
      <c r="W1381" s="178">
        <f>FME_Ranking1[[#This Row],[LWC Score (Normalized, Unweighted)]]*$U$3</f>
        <v>0</v>
      </c>
      <c r="X1381" s="246">
        <f>_xlfn.XLOOKUP(FME_Ranking1[[#This Row],[FME ID]],FME_Input[FME_ID],FME_Input[ROADCLS])</f>
        <v>11</v>
      </c>
      <c r="Y1381" s="230">
        <f>(FME_Ranking1[[#This Row],[Closures Raw]]/$X$2)*100</f>
        <v>0.1156555567237935</v>
      </c>
      <c r="Z1381" s="180">
        <f>FME_Ranking1[[#This Row],[Closures Score (Normalized, Unweighted)]]*$X$3</f>
        <v>5.7827778361896759E-3</v>
      </c>
      <c r="AA1381" s="253">
        <f>_xlfn.XLOOKUP(FME_Ranking1[[#This Row],[FME ID]],FME_Input[FME_ID],FME_Input[ROAD_MILES100])</f>
        <v>1.5</v>
      </c>
      <c r="AB1381" s="178">
        <f>(FME_Ranking1[[#This Row],[Miles Raw]]/$AA$2)*100</f>
        <v>1.9722309623697434E-2</v>
      </c>
      <c r="AC1381" s="178">
        <f>FME_Ranking1[[#This Row],[Miles Score (Normalized, Unweighted)]]*$AA$3</f>
        <v>1.9722309623697435E-3</v>
      </c>
      <c r="AD1381" s="255">
        <f>_xlfn.XLOOKUP(FME_Ranking1[[#This Row],[FME ID]],FME_Input[FME_ID],FME_Input[FARMACRE100])</f>
        <v>0</v>
      </c>
      <c r="AE1381" s="230">
        <f>(FME_Ranking1[[#This Row],[Ag Land Raw]]/$AD$2)*100</f>
        <v>0</v>
      </c>
      <c r="AF1381" s="231">
        <f>FME_Ranking1[[#This Row],[Ag Land Score (Normalized, Unweighted)]]*$AD$3</f>
        <v>0</v>
      </c>
      <c r="AG138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3.6042393520828775E-2</v>
      </c>
      <c r="AH1381" s="406">
        <f t="shared" si="21"/>
        <v>1419</v>
      </c>
      <c r="AI138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3.6042393520828775E-2</v>
      </c>
      <c r="AJ1381" s="257">
        <f>FME_Ranking1[[#This Row],[Addition check]]-FME_Ranking1[[#This Row],[Weighted Score Based on Normalized Reported Factors]]</f>
        <v>0</v>
      </c>
      <c r="AK1381" s="178">
        <f>_xlfn.RANK.EQ(AI1381,$AI$6:$AI$2341,0)+COUNTIF($AI$6:AI1381,AI1381)-1</f>
        <v>1419</v>
      </c>
    </row>
    <row r="1382" spans="1:37" x14ac:dyDescent="0.25">
      <c r="A1382" t="s">
        <v>2233</v>
      </c>
      <c r="B1382">
        <f>_xlfn.XLOOKUP(FME_Ranking1[[#This Row],[FME ID]],FME_Input[FME_ID],FME_Input[RFPG_NUM])</f>
        <v>6</v>
      </c>
      <c r="C1382" t="str">
        <f>_xlfn.XLOOKUP(FME_Ranking1[[#This Row],[FME ID]],FME_Input[FME_ID],FME_Input[FME_NAME])</f>
        <v>Cedar Bayou Flood Risk Reduction Study - Channel improvements from US 90 to FM 1942</v>
      </c>
      <c r="D1382" t="str">
        <f>_xlfn.XLOOKUP(FME_Ranking1[[#This Row],[FME ID]],FME_Input[FME_ID],FME_Input[DESCR])</f>
        <v>Study to develop a Benefit Cost Analysis needed for this project to become a FMP. Cedar Bayou channel improvements from US 90 to FM 1942.</v>
      </c>
      <c r="E1382" s="256">
        <f>_xlfn.XLOOKUP(FME_Ranking1[[#This Row],[FME ID]],FME_Input[FME_ID],FME_Input[FME_COST])</f>
        <v>30000</v>
      </c>
      <c r="F1382" t="str">
        <f>_xlfn.XLOOKUP(FME_Ranking1[[#This Row],[FME ID]],FME_Input[FME_ID],FME_Input[EMER_NEED])</f>
        <v>No</v>
      </c>
      <c r="G1382">
        <f>IF(FME_Ranking!F1382="Yes",100,0)</f>
        <v>0</v>
      </c>
      <c r="H1382">
        <f>FME_Ranking1[[#This Row],[Emergency Need Score (Normalized, Unweighted)]]*$F$3</f>
        <v>0</v>
      </c>
      <c r="I1382" s="246">
        <f>_xlfn.XLOOKUP(FME_Ranking1[[#This Row],[FME ID]],FME_Input[FME_ID],FME_Input[STRUCT_100])</f>
        <v>228</v>
      </c>
      <c r="J1382" s="178">
        <f>(FME_Ranking1[[#This Row],[Structures 100 Raw]]/I$2)*100</f>
        <v>0.12209227605706208</v>
      </c>
      <c r="K1382" s="178">
        <f>FME_Ranking1[[#This Row],[Structures 100  Score (Normalized, Unweighted)]]*$I$3</f>
        <v>1.8313841408559312E-2</v>
      </c>
      <c r="L1382" s="246">
        <f>_xlfn.XLOOKUP(FME_Ranking1[[#This Row],[FME ID]],FME_Input[FME_ID],FME_Input[RES_STRUCT100])</f>
        <v>119</v>
      </c>
      <c r="M1382" s="230">
        <f>(FME_Ranking1[[#This Row],[Res Structures Raw]]/L$2)*100</f>
        <v>8.4288365372356247E-2</v>
      </c>
      <c r="N1382" s="180">
        <f>FME_Ranking1[[#This Row],[Res Structures Score (Normalized, Unweighted)]]*$L$3</f>
        <v>8.4288365372356244E-3</v>
      </c>
      <c r="O1382" s="244">
        <f>_xlfn.XLOOKUP(FME_Ranking1[[#This Row],[FME ID]],FME_Input[FME_ID],FME_Input[POP100])</f>
        <v>345</v>
      </c>
      <c r="P1382" s="178">
        <f>(FME_Ranking1[[#This Row],[Pop Raw]]/$O$2)*100</f>
        <v>3.5319482636123334E-2</v>
      </c>
      <c r="Q1382" s="178">
        <f>FME_Ranking1[[#This Row],[Pop Score (Normalized, Unweighted)]]*$O$3</f>
        <v>5.2979223954185001E-3</v>
      </c>
      <c r="R1382" s="137">
        <f>_xlfn.XLOOKUP(FME_Ranking1[[#This Row],[FME ID]],FME_Input[FME_ID],FME_Input[CRITFAC100])</f>
        <v>0</v>
      </c>
      <c r="S1382" s="230">
        <f>(FME_Ranking1[[#This Row],[Critical Facilities Raw]]/$R$2)*100</f>
        <v>0</v>
      </c>
      <c r="T1382" s="180">
        <f>FME_Ranking1[[#This Row],[Critical Facilities Score (Normalized, Unweighted)]]*$R$3</f>
        <v>0</v>
      </c>
      <c r="U1382">
        <f>_xlfn.XLOOKUP(FME_Ranking1[[#This Row],[FME ID]],FME_Input[FME_ID],FME_Input[LWC])</f>
        <v>0</v>
      </c>
      <c r="V1382" s="178">
        <f>(FME_Ranking1[[#This Row],[LWC Raw]]/$U$2)*100</f>
        <v>0</v>
      </c>
      <c r="W1382" s="178">
        <f>FME_Ranking1[[#This Row],[LWC Score (Normalized, Unweighted)]]*$U$3</f>
        <v>0</v>
      </c>
      <c r="X1382" s="246">
        <f>_xlfn.XLOOKUP(FME_Ranking1[[#This Row],[FME ID]],FME_Input[FME_ID],FME_Input[ROADCLS])</f>
        <v>0</v>
      </c>
      <c r="Y1382" s="230">
        <f>(FME_Ranking1[[#This Row],[Closures Raw]]/$X$2)*100</f>
        <v>0</v>
      </c>
      <c r="Z1382" s="180">
        <f>FME_Ranking1[[#This Row],[Closures Score (Normalized, Unweighted)]]*$X$3</f>
        <v>0</v>
      </c>
      <c r="AA1382" s="253">
        <f>_xlfn.XLOOKUP(FME_Ranking1[[#This Row],[FME ID]],FME_Input[FME_ID],FME_Input[ROAD_MILES100])</f>
        <v>11.83630847930908</v>
      </c>
      <c r="AB1382" s="178">
        <f>(FME_Ranking1[[#This Row],[Miles Raw]]/$AA$2)*100</f>
        <v>0.15562622708701934</v>
      </c>
      <c r="AC1382" s="178">
        <f>FME_Ranking1[[#This Row],[Miles Score (Normalized, Unweighted)]]*$AA$3</f>
        <v>1.5562622708701936E-2</v>
      </c>
      <c r="AD1382" s="255">
        <f>_xlfn.XLOOKUP(FME_Ranking1[[#This Row],[FME ID]],FME_Input[FME_ID],FME_Input[FARMACRE100])</f>
        <v>891.77978515625</v>
      </c>
      <c r="AE1382" s="230">
        <f>(FME_Ranking1[[#This Row],[Ag Land Raw]]/$AD$2)*100</f>
        <v>3.6773006284345322E-2</v>
      </c>
      <c r="AF1382" s="231">
        <f>FME_Ranking1[[#This Row],[Ag Land Score (Normalized, Unweighted)]]*$AD$3</f>
        <v>1.8386503142172662E-3</v>
      </c>
      <c r="AG138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4.9441873364132638E-2</v>
      </c>
      <c r="AH1382" s="406">
        <f t="shared" si="21"/>
        <v>1319</v>
      </c>
      <c r="AI138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4.9441873364132638E-2</v>
      </c>
      <c r="AJ1382" s="257">
        <f>FME_Ranking1[[#This Row],[Addition check]]-FME_Ranking1[[#This Row],[Weighted Score Based on Normalized Reported Factors]]</f>
        <v>0</v>
      </c>
      <c r="AK1382" s="178">
        <f>_xlfn.RANK.EQ(AI1382,$AI$6:$AI$2341,0)+COUNTIF($AI$6:AI1382,AI1382)-1</f>
        <v>1319</v>
      </c>
    </row>
    <row r="1383" spans="1:37" x14ac:dyDescent="0.25">
      <c r="A1383" t="s">
        <v>10613</v>
      </c>
      <c r="B1383">
        <f>_xlfn.XLOOKUP(FME_Ranking1[[#This Row],[FME ID]],FME_Input[FME_ID],FME_Input[RFPG_NUM])</f>
        <v>13</v>
      </c>
      <c r="C1383" t="str">
        <f>_xlfn.XLOOKUP(FME_Ranking1[[#This Row],[FME ID]],FME_Input[FME_ID],FME_Input[FME_NAME])</f>
        <v>Citywide Stormwater Drainage Improvements - Taft</v>
      </c>
      <c r="D1383" t="str">
        <f>_xlfn.XLOOKUP(FME_Ranking1[[#This Row],[FME ID]],FME_Input[FME_ID],FME_Input[DESCR])</f>
        <v>Expanding the current stormwater network in residential areas. Reconstructing/regrading the roads to allow water to flow in the natural drainage direction instead of ponding.</v>
      </c>
      <c r="E1383" s="256">
        <f>_xlfn.XLOOKUP(FME_Ranking1[[#This Row],[FME ID]],FME_Input[FME_ID],FME_Input[FME_COST])</f>
        <v>150000</v>
      </c>
      <c r="F1383" t="str">
        <f>_xlfn.XLOOKUP(FME_Ranking1[[#This Row],[FME ID]],FME_Input[FME_ID],FME_Input[EMER_NEED])</f>
        <v>Yes</v>
      </c>
      <c r="G1383">
        <f>IF(FME_Ranking!F1383="Yes",100,0)</f>
        <v>100</v>
      </c>
      <c r="H1383">
        <f>FME_Ranking1[[#This Row],[Emergency Need Score (Normalized, Unweighted)]]*$F$3</f>
        <v>0</v>
      </c>
      <c r="I1383" s="246">
        <f>_xlfn.XLOOKUP(FME_Ranking1[[#This Row],[FME ID]],FME_Input[FME_ID],FME_Input[STRUCT_100])</f>
        <v>89</v>
      </c>
      <c r="J1383" s="178">
        <f>(FME_Ranking1[[#This Row],[Structures 100 Raw]]/I$2)*100</f>
        <v>4.7658827057361949E-2</v>
      </c>
      <c r="K1383" s="178">
        <f>FME_Ranking1[[#This Row],[Structures 100  Score (Normalized, Unweighted)]]*$I$3</f>
        <v>7.1488240586042922E-3</v>
      </c>
      <c r="L1383" s="246">
        <f>_xlfn.XLOOKUP(FME_Ranking1[[#This Row],[FME ID]],FME_Input[FME_ID],FME_Input[RES_STRUCT100])</f>
        <v>81</v>
      </c>
      <c r="M1383" s="230">
        <f>(FME_Ranking1[[#This Row],[Res Structures Raw]]/L$2)*100</f>
        <v>5.7372752900511394E-2</v>
      </c>
      <c r="N1383" s="180">
        <f>FME_Ranking1[[#This Row],[Res Structures Score (Normalized, Unweighted)]]*$L$3</f>
        <v>5.7372752900511394E-3</v>
      </c>
      <c r="O1383" s="244">
        <f>_xlfn.XLOOKUP(FME_Ranking1[[#This Row],[FME ID]],FME_Input[FME_ID],FME_Input[POP100])</f>
        <v>180</v>
      </c>
      <c r="P1383" s="178">
        <f>(FME_Ranking1[[#This Row],[Pop Raw]]/$O$2)*100</f>
        <v>1.8427556157977393E-2</v>
      </c>
      <c r="Q1383" s="178">
        <f>FME_Ranking1[[#This Row],[Pop Score (Normalized, Unweighted)]]*$O$3</f>
        <v>2.7641334236966088E-3</v>
      </c>
      <c r="R1383" s="137">
        <f>_xlfn.XLOOKUP(FME_Ranking1[[#This Row],[FME ID]],FME_Input[FME_ID],FME_Input[CRITFAC100])</f>
        <v>0</v>
      </c>
      <c r="S1383" s="230">
        <f>(FME_Ranking1[[#This Row],[Critical Facilities Raw]]/$R$2)*100</f>
        <v>0</v>
      </c>
      <c r="T1383" s="180">
        <f>FME_Ranking1[[#This Row],[Critical Facilities Score (Normalized, Unweighted)]]*$R$3</f>
        <v>0</v>
      </c>
      <c r="U1383">
        <f>_xlfn.XLOOKUP(FME_Ranking1[[#This Row],[FME ID]],FME_Input[FME_ID],FME_Input[LWC])</f>
        <v>0</v>
      </c>
      <c r="V1383" s="178">
        <f>(FME_Ranking1[[#This Row],[LWC Raw]]/$U$2)*100</f>
        <v>0</v>
      </c>
      <c r="W1383" s="178">
        <f>FME_Ranking1[[#This Row],[LWC Score (Normalized, Unweighted)]]*$U$3</f>
        <v>0</v>
      </c>
      <c r="X1383" s="246">
        <f>_xlfn.XLOOKUP(FME_Ranking1[[#This Row],[FME ID]],FME_Input[FME_ID],FME_Input[ROADCLS])</f>
        <v>34</v>
      </c>
      <c r="Y1383" s="230">
        <f>(FME_Ranking1[[#This Row],[Closures Raw]]/$X$2)*100</f>
        <v>0.35748081169172535</v>
      </c>
      <c r="Z1383" s="180">
        <f>FME_Ranking1[[#This Row],[Closures Score (Normalized, Unweighted)]]*$X$3</f>
        <v>1.7874040584586269E-2</v>
      </c>
      <c r="AA1383" s="253">
        <f>_xlfn.XLOOKUP(FME_Ranking1[[#This Row],[FME ID]],FME_Input[FME_ID],FME_Input[ROAD_MILES100])</f>
        <v>1.7205690145492549</v>
      </c>
      <c r="AB1383" s="178">
        <f>(FME_Ranking1[[#This Row],[Miles Raw]]/$AA$2)*100</f>
        <v>2.2622396555920254E-2</v>
      </c>
      <c r="AC1383" s="178">
        <f>FME_Ranking1[[#This Row],[Miles Score (Normalized, Unweighted)]]*$AA$3</f>
        <v>2.2622396555920256E-3</v>
      </c>
      <c r="AD1383" s="255">
        <f>_xlfn.XLOOKUP(FME_Ranking1[[#This Row],[FME ID]],FME_Input[FME_ID],FME_Input[FARMACRE100])</f>
        <v>99.318626403808594</v>
      </c>
      <c r="AE1383" s="230">
        <f>(FME_Ranking1[[#This Row],[Ag Land Raw]]/$AD$2)*100</f>
        <v>4.0954555526955391E-3</v>
      </c>
      <c r="AF1383" s="231">
        <f>FME_Ranking1[[#This Row],[Ag Land Score (Normalized, Unweighted)]]*$AD$3</f>
        <v>2.0477277763477698E-4</v>
      </c>
      <c r="AG138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3.5991285790165105E-2</v>
      </c>
      <c r="AH1383" s="406">
        <f t="shared" si="21"/>
        <v>1420</v>
      </c>
      <c r="AI138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3.5991285790165105E-2</v>
      </c>
      <c r="AJ1383" s="257">
        <f>FME_Ranking1[[#This Row],[Addition check]]-FME_Ranking1[[#This Row],[Weighted Score Based on Normalized Reported Factors]]</f>
        <v>0</v>
      </c>
      <c r="AK1383" s="178">
        <f>_xlfn.RANK.EQ(AI1383,$AI$6:$AI$2341,0)+COUNTIF($AI$6:AI1383,AI1383)-1</f>
        <v>1420</v>
      </c>
    </row>
    <row r="1384" spans="1:37" x14ac:dyDescent="0.25">
      <c r="A1384" t="s">
        <v>10620</v>
      </c>
      <c r="B1384">
        <f>_xlfn.XLOOKUP(FME_Ranking1[[#This Row],[FME ID]],FME_Input[FME_ID],FME_Input[RFPG_NUM])</f>
        <v>13</v>
      </c>
      <c r="C1384" t="str">
        <f>_xlfn.XLOOKUP(FME_Ranking1[[#This Row],[FME ID]],FME_Input[FME_ID],FME_Input[FME_NAME])</f>
        <v>City of Taft Flood Study</v>
      </c>
      <c r="D1384" t="str">
        <f>_xlfn.XLOOKUP(FME_Ranking1[[#This Row],[FME ID]],FME_Input[FME_ID],FME_Input[DESCR])</f>
        <v>San Patricio County Hazard Mitigation Action Plan - City of Taft, Action #6 Complete a comprehensive flood study for FEMA flood mapping.  Adopt higher floodplain development standards, above the minimum required based on the results of the flood study. </v>
      </c>
      <c r="E1384" s="256">
        <f>_xlfn.XLOOKUP(FME_Ranking1[[#This Row],[FME ID]],FME_Input[FME_ID],FME_Input[FME_COST])</f>
        <v>82000</v>
      </c>
      <c r="F1384" t="str">
        <f>_xlfn.XLOOKUP(FME_Ranking1[[#This Row],[FME ID]],FME_Input[FME_ID],FME_Input[EMER_NEED])</f>
        <v>Yes</v>
      </c>
      <c r="G1384">
        <f>IF(FME_Ranking!F1384="Yes",100,0)</f>
        <v>100</v>
      </c>
      <c r="H1384">
        <f>FME_Ranking1[[#This Row],[Emergency Need Score (Normalized, Unweighted)]]*$F$3</f>
        <v>0</v>
      </c>
      <c r="I1384" s="246">
        <f>_xlfn.XLOOKUP(FME_Ranking1[[#This Row],[FME ID]],FME_Input[FME_ID],FME_Input[STRUCT_100])</f>
        <v>89</v>
      </c>
      <c r="J1384" s="178">
        <f>(FME_Ranking1[[#This Row],[Structures 100 Raw]]/I$2)*100</f>
        <v>4.7658827057361949E-2</v>
      </c>
      <c r="K1384" s="178">
        <f>FME_Ranking1[[#This Row],[Structures 100  Score (Normalized, Unweighted)]]*$I$3</f>
        <v>7.1488240586042922E-3</v>
      </c>
      <c r="L1384" s="246">
        <f>_xlfn.XLOOKUP(FME_Ranking1[[#This Row],[FME ID]],FME_Input[FME_ID],FME_Input[RES_STRUCT100])</f>
        <v>81</v>
      </c>
      <c r="M1384" s="230">
        <f>(FME_Ranking1[[#This Row],[Res Structures Raw]]/L$2)*100</f>
        <v>5.7372752900511394E-2</v>
      </c>
      <c r="N1384" s="180">
        <f>FME_Ranking1[[#This Row],[Res Structures Score (Normalized, Unweighted)]]*$L$3</f>
        <v>5.7372752900511394E-3</v>
      </c>
      <c r="O1384" s="244">
        <f>_xlfn.XLOOKUP(FME_Ranking1[[#This Row],[FME ID]],FME_Input[FME_ID],FME_Input[POP100])</f>
        <v>180</v>
      </c>
      <c r="P1384" s="178">
        <f>(FME_Ranking1[[#This Row],[Pop Raw]]/$O$2)*100</f>
        <v>1.8427556157977393E-2</v>
      </c>
      <c r="Q1384" s="178">
        <f>FME_Ranking1[[#This Row],[Pop Score (Normalized, Unweighted)]]*$O$3</f>
        <v>2.7641334236966088E-3</v>
      </c>
      <c r="R1384" s="137">
        <f>_xlfn.XLOOKUP(FME_Ranking1[[#This Row],[FME ID]],FME_Input[FME_ID],FME_Input[CRITFAC100])</f>
        <v>0</v>
      </c>
      <c r="S1384" s="230">
        <f>(FME_Ranking1[[#This Row],[Critical Facilities Raw]]/$R$2)*100</f>
        <v>0</v>
      </c>
      <c r="T1384" s="180">
        <f>FME_Ranking1[[#This Row],[Critical Facilities Score (Normalized, Unweighted)]]*$R$3</f>
        <v>0</v>
      </c>
      <c r="U1384">
        <f>_xlfn.XLOOKUP(FME_Ranking1[[#This Row],[FME ID]],FME_Input[FME_ID],FME_Input[LWC])</f>
        <v>0</v>
      </c>
      <c r="V1384" s="178">
        <f>(FME_Ranking1[[#This Row],[LWC Raw]]/$U$2)*100</f>
        <v>0</v>
      </c>
      <c r="W1384" s="178">
        <f>FME_Ranking1[[#This Row],[LWC Score (Normalized, Unweighted)]]*$U$3</f>
        <v>0</v>
      </c>
      <c r="X1384" s="246">
        <f>_xlfn.XLOOKUP(FME_Ranking1[[#This Row],[FME ID]],FME_Input[FME_ID],FME_Input[ROADCLS])</f>
        <v>34</v>
      </c>
      <c r="Y1384" s="230">
        <f>(FME_Ranking1[[#This Row],[Closures Raw]]/$X$2)*100</f>
        <v>0.35748081169172535</v>
      </c>
      <c r="Z1384" s="180">
        <f>FME_Ranking1[[#This Row],[Closures Score (Normalized, Unweighted)]]*$X$3</f>
        <v>1.7874040584586269E-2</v>
      </c>
      <c r="AA1384" s="253">
        <f>_xlfn.XLOOKUP(FME_Ranking1[[#This Row],[FME ID]],FME_Input[FME_ID],FME_Input[ROAD_MILES100])</f>
        <v>1.7205690145492549</v>
      </c>
      <c r="AB1384" s="178">
        <f>(FME_Ranking1[[#This Row],[Miles Raw]]/$AA$2)*100</f>
        <v>2.2622396555920254E-2</v>
      </c>
      <c r="AC1384" s="178">
        <f>FME_Ranking1[[#This Row],[Miles Score (Normalized, Unweighted)]]*$AA$3</f>
        <v>2.2622396555920256E-3</v>
      </c>
      <c r="AD1384" s="255">
        <f>_xlfn.XLOOKUP(FME_Ranking1[[#This Row],[FME ID]],FME_Input[FME_ID],FME_Input[FARMACRE100])</f>
        <v>99.318626403808594</v>
      </c>
      <c r="AE1384" s="230">
        <f>(FME_Ranking1[[#This Row],[Ag Land Raw]]/$AD$2)*100</f>
        <v>4.0954555526955391E-3</v>
      </c>
      <c r="AF1384" s="231">
        <f>FME_Ranking1[[#This Row],[Ag Land Score (Normalized, Unweighted)]]*$AD$3</f>
        <v>2.0477277763477698E-4</v>
      </c>
      <c r="AG138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3.5991285790165105E-2</v>
      </c>
      <c r="AH1384" s="406">
        <f t="shared" si="21"/>
        <v>1420</v>
      </c>
      <c r="AI138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3.5991285790165105E-2</v>
      </c>
      <c r="AJ1384" s="257">
        <f>FME_Ranking1[[#This Row],[Addition check]]-FME_Ranking1[[#This Row],[Weighted Score Based on Normalized Reported Factors]]</f>
        <v>0</v>
      </c>
      <c r="AK1384" s="178">
        <f>_xlfn.RANK.EQ(AI1384,$AI$6:$AI$2341,0)+COUNTIF($AI$6:AI1384,AI1384)-1</f>
        <v>1421</v>
      </c>
    </row>
    <row r="1385" spans="1:37" x14ac:dyDescent="0.25">
      <c r="A1385" t="s">
        <v>5942</v>
      </c>
      <c r="B1385">
        <f>_xlfn.XLOOKUP(FME_Ranking1[[#This Row],[FME ID]],FME_Input[FME_ID],FME_Input[RFPG_NUM])</f>
        <v>5</v>
      </c>
      <c r="C1385" t="str">
        <f>_xlfn.XLOOKUP(FME_Ranking1[[#This Row],[FME ID]],FME_Input[FME_ID],FME_Input[FME_NAME])</f>
        <v>San Augustine County Update Flood Hazard Mapping</v>
      </c>
      <c r="D1385" t="str">
        <f>_xlfn.XLOOKUP(FME_Ranking1[[#This Row],[FME ID]],FME_Input[FME_ID],FME_Input[DESCR])</f>
        <v>Complete a detailed study within the county extent to delineate an updated flood hazard area, which can be used for regulatory purposes.</v>
      </c>
      <c r="E1385" s="256">
        <f>_xlfn.XLOOKUP(FME_Ranking1[[#This Row],[FME ID]],FME_Input[FME_ID],FME_Input[FME_COST])</f>
        <v>904125</v>
      </c>
      <c r="F1385" t="str">
        <f>_xlfn.XLOOKUP(FME_Ranking1[[#This Row],[FME ID]],FME_Input[FME_ID],FME_Input[EMER_NEED])</f>
        <v>Yes</v>
      </c>
      <c r="G1385">
        <f>IF(FME_Ranking!F1385="Yes",100,0)</f>
        <v>100</v>
      </c>
      <c r="H1385">
        <f>FME_Ranking1[[#This Row],[Emergency Need Score (Normalized, Unweighted)]]*$F$3</f>
        <v>0</v>
      </c>
      <c r="I1385" s="246">
        <f>_xlfn.XLOOKUP(FME_Ranking1[[#This Row],[FME ID]],FME_Input[FME_ID],FME_Input[STRUCT_100])</f>
        <v>64</v>
      </c>
      <c r="J1385" s="178">
        <f>(FME_Ranking1[[#This Row],[Structures 100 Raw]]/I$2)*100</f>
        <v>3.4271516086192867E-2</v>
      </c>
      <c r="K1385" s="178">
        <f>FME_Ranking1[[#This Row],[Structures 100  Score (Normalized, Unweighted)]]*$I$3</f>
        <v>5.1407274129289301E-3</v>
      </c>
      <c r="L1385" s="246">
        <f>_xlfn.XLOOKUP(FME_Ranking1[[#This Row],[FME ID]],FME_Input[FME_ID],FME_Input[RES_STRUCT100])</f>
        <v>28</v>
      </c>
      <c r="M1385" s="230">
        <f>(FME_Ranking1[[#This Row],[Res Structures Raw]]/L$2)*100</f>
        <v>1.9832556558201472E-2</v>
      </c>
      <c r="N1385" s="180">
        <f>FME_Ranking1[[#This Row],[Res Structures Score (Normalized, Unweighted)]]*$L$3</f>
        <v>1.9832556558201475E-3</v>
      </c>
      <c r="O1385" s="244">
        <f>_xlfn.XLOOKUP(FME_Ranking1[[#This Row],[FME ID]],FME_Input[FME_ID],FME_Input[POP100])</f>
        <v>146</v>
      </c>
      <c r="P1385" s="178">
        <f>(FME_Ranking1[[#This Row],[Pop Raw]]/$O$2)*100</f>
        <v>1.4946795550359441E-2</v>
      </c>
      <c r="Q1385" s="178">
        <f>FME_Ranking1[[#This Row],[Pop Score (Normalized, Unweighted)]]*$O$3</f>
        <v>2.2420193325539159E-3</v>
      </c>
      <c r="R1385" s="137">
        <f>_xlfn.XLOOKUP(FME_Ranking1[[#This Row],[FME ID]],FME_Input[FME_ID],FME_Input[CRITFAC100])</f>
        <v>0</v>
      </c>
      <c r="S1385" s="230">
        <f>(FME_Ranking1[[#This Row],[Critical Facilities Raw]]/$R$2)*100</f>
        <v>0</v>
      </c>
      <c r="T1385" s="180">
        <f>FME_Ranking1[[#This Row],[Critical Facilities Score (Normalized, Unweighted)]]*$R$3</f>
        <v>0</v>
      </c>
      <c r="U1385">
        <f>_xlfn.XLOOKUP(FME_Ranking1[[#This Row],[FME ID]],FME_Input[FME_ID],FME_Input[LWC])</f>
        <v>2</v>
      </c>
      <c r="V1385" s="178">
        <f>(FME_Ranking1[[#This Row],[LWC Raw]]/$U$2)*100</f>
        <v>0.11514104778353484</v>
      </c>
      <c r="W1385" s="178">
        <f>FME_Ranking1[[#This Row],[LWC Score (Normalized, Unweighted)]]*$U$3</f>
        <v>2.302820955670697E-2</v>
      </c>
      <c r="X1385" s="246">
        <f>_xlfn.XLOOKUP(FME_Ranking1[[#This Row],[FME ID]],FME_Input[FME_ID],FME_Input[ROADCLS])</f>
        <v>2</v>
      </c>
      <c r="Y1385" s="230">
        <f>(FME_Ranking1[[#This Row],[Closures Raw]]/$X$2)*100</f>
        <v>2.1028283040689728E-2</v>
      </c>
      <c r="Z1385" s="180">
        <f>FME_Ranking1[[#This Row],[Closures Score (Normalized, Unweighted)]]*$X$3</f>
        <v>1.0514141520344864E-3</v>
      </c>
      <c r="AA1385" s="253">
        <f>_xlfn.XLOOKUP(FME_Ranking1[[#This Row],[FME ID]],FME_Input[FME_ID],FME_Input[ROAD_MILES100])</f>
        <v>13.215072631835939</v>
      </c>
      <c r="AB1385" s="178">
        <f>(FME_Ranking1[[#This Row],[Miles Raw]]/$AA$2)*100</f>
        <v>0.17375450276314569</v>
      </c>
      <c r="AC1385" s="178">
        <f>FME_Ranking1[[#This Row],[Miles Score (Normalized, Unweighted)]]*$AA$3</f>
        <v>1.7375450276314569E-2</v>
      </c>
      <c r="AD1385" s="255">
        <f>_xlfn.XLOOKUP(FME_Ranking1[[#This Row],[FME ID]],FME_Input[FME_ID],FME_Input[FARMACRE100])</f>
        <v>41.607803344726563</v>
      </c>
      <c r="AE1385" s="230">
        <f>(FME_Ranking1[[#This Row],[Ag Land Raw]]/$AD$2)*100</f>
        <v>1.7157195524513411E-3</v>
      </c>
      <c r="AF1385" s="231">
        <f>FME_Ranking1[[#This Row],[Ag Land Score (Normalized, Unweighted)]]*$AD$3</f>
        <v>8.5785977622567053E-5</v>
      </c>
      <c r="AG138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5.0906862363981585E-2</v>
      </c>
      <c r="AH1385" s="406">
        <f t="shared" si="21"/>
        <v>1309</v>
      </c>
      <c r="AI138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5.0906862363981585E-2</v>
      </c>
      <c r="AJ1385" s="257">
        <f>FME_Ranking1[[#This Row],[Addition check]]-FME_Ranking1[[#This Row],[Weighted Score Based on Normalized Reported Factors]]</f>
        <v>0</v>
      </c>
      <c r="AK1385" s="178">
        <f>_xlfn.RANK.EQ(AI1385,$AI$6:$AI$2341,0)+COUNTIF($AI$6:AI1385,AI1385)-1</f>
        <v>1309</v>
      </c>
    </row>
    <row r="1386" spans="1:37" x14ac:dyDescent="0.25">
      <c r="A1386" t="s">
        <v>6167</v>
      </c>
      <c r="B1386">
        <f>_xlfn.XLOOKUP(FME_Ranking1[[#This Row],[FME ID]],FME_Input[FME_ID],FME_Input[RFPG_NUM])</f>
        <v>5</v>
      </c>
      <c r="C1386" t="str">
        <f>_xlfn.XLOOKUP(FME_Ranking1[[#This Row],[FME ID]],FME_Input[FME_ID],FME_Input[FME_NAME])</f>
        <v>San Augustine County Master Drainage Plan</v>
      </c>
      <c r="D1386"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1386" s="256">
        <f>_xlfn.XLOOKUP(FME_Ranking1[[#This Row],[FME ID]],FME_Input[FME_ID],FME_Input[FME_COST])</f>
        <v>379732</v>
      </c>
      <c r="F1386" t="str">
        <f>_xlfn.XLOOKUP(FME_Ranking1[[#This Row],[FME ID]],FME_Input[FME_ID],FME_Input[EMER_NEED])</f>
        <v>Yes</v>
      </c>
      <c r="G1386">
        <f>IF(FME_Ranking!F1386="Yes",100,0)</f>
        <v>100</v>
      </c>
      <c r="H1386">
        <f>FME_Ranking1[[#This Row],[Emergency Need Score (Normalized, Unweighted)]]*$F$3</f>
        <v>0</v>
      </c>
      <c r="I1386" s="246">
        <f>_xlfn.XLOOKUP(FME_Ranking1[[#This Row],[FME ID]],FME_Input[FME_ID],FME_Input[STRUCT_100])</f>
        <v>64</v>
      </c>
      <c r="J1386" s="178">
        <f>(FME_Ranking1[[#This Row],[Structures 100 Raw]]/I$2)*100</f>
        <v>3.4271516086192867E-2</v>
      </c>
      <c r="K1386" s="178">
        <f>FME_Ranking1[[#This Row],[Structures 100  Score (Normalized, Unweighted)]]*$I$3</f>
        <v>5.1407274129289301E-3</v>
      </c>
      <c r="L1386" s="246">
        <f>_xlfn.XLOOKUP(FME_Ranking1[[#This Row],[FME ID]],FME_Input[FME_ID],FME_Input[RES_STRUCT100])</f>
        <v>28</v>
      </c>
      <c r="M1386" s="230">
        <f>(FME_Ranking1[[#This Row],[Res Structures Raw]]/L$2)*100</f>
        <v>1.9832556558201472E-2</v>
      </c>
      <c r="N1386" s="180">
        <f>FME_Ranking1[[#This Row],[Res Structures Score (Normalized, Unweighted)]]*$L$3</f>
        <v>1.9832556558201475E-3</v>
      </c>
      <c r="O1386" s="244">
        <f>_xlfn.XLOOKUP(FME_Ranking1[[#This Row],[FME ID]],FME_Input[FME_ID],FME_Input[POP100])</f>
        <v>146</v>
      </c>
      <c r="P1386" s="178">
        <f>(FME_Ranking1[[#This Row],[Pop Raw]]/$O$2)*100</f>
        <v>1.4946795550359441E-2</v>
      </c>
      <c r="Q1386" s="178">
        <f>FME_Ranking1[[#This Row],[Pop Score (Normalized, Unweighted)]]*$O$3</f>
        <v>2.2420193325539159E-3</v>
      </c>
      <c r="R1386" s="137">
        <f>_xlfn.XLOOKUP(FME_Ranking1[[#This Row],[FME ID]],FME_Input[FME_ID],FME_Input[CRITFAC100])</f>
        <v>0</v>
      </c>
      <c r="S1386" s="230">
        <f>(FME_Ranking1[[#This Row],[Critical Facilities Raw]]/$R$2)*100</f>
        <v>0</v>
      </c>
      <c r="T1386" s="180">
        <f>FME_Ranking1[[#This Row],[Critical Facilities Score (Normalized, Unweighted)]]*$R$3</f>
        <v>0</v>
      </c>
      <c r="U1386">
        <f>_xlfn.XLOOKUP(FME_Ranking1[[#This Row],[FME ID]],FME_Input[FME_ID],FME_Input[LWC])</f>
        <v>2</v>
      </c>
      <c r="V1386" s="178">
        <f>(FME_Ranking1[[#This Row],[LWC Raw]]/$U$2)*100</f>
        <v>0.11514104778353484</v>
      </c>
      <c r="W1386" s="178">
        <f>FME_Ranking1[[#This Row],[LWC Score (Normalized, Unweighted)]]*$U$3</f>
        <v>2.302820955670697E-2</v>
      </c>
      <c r="X1386" s="246">
        <f>_xlfn.XLOOKUP(FME_Ranking1[[#This Row],[FME ID]],FME_Input[FME_ID],FME_Input[ROADCLS])</f>
        <v>2</v>
      </c>
      <c r="Y1386" s="230">
        <f>(FME_Ranking1[[#This Row],[Closures Raw]]/$X$2)*100</f>
        <v>2.1028283040689728E-2</v>
      </c>
      <c r="Z1386" s="180">
        <f>FME_Ranking1[[#This Row],[Closures Score (Normalized, Unweighted)]]*$X$3</f>
        <v>1.0514141520344864E-3</v>
      </c>
      <c r="AA1386" s="253">
        <f>_xlfn.XLOOKUP(FME_Ranking1[[#This Row],[FME ID]],FME_Input[FME_ID],FME_Input[ROAD_MILES100])</f>
        <v>13.215072631835939</v>
      </c>
      <c r="AB1386" s="178">
        <f>(FME_Ranking1[[#This Row],[Miles Raw]]/$AA$2)*100</f>
        <v>0.17375450276314569</v>
      </c>
      <c r="AC1386" s="178">
        <f>FME_Ranking1[[#This Row],[Miles Score (Normalized, Unweighted)]]*$AA$3</f>
        <v>1.7375450276314569E-2</v>
      </c>
      <c r="AD1386" s="255">
        <f>_xlfn.XLOOKUP(FME_Ranking1[[#This Row],[FME ID]],FME_Input[FME_ID],FME_Input[FARMACRE100])</f>
        <v>41.607803344726563</v>
      </c>
      <c r="AE1386" s="230">
        <f>(FME_Ranking1[[#This Row],[Ag Land Raw]]/$AD$2)*100</f>
        <v>1.7157195524513411E-3</v>
      </c>
      <c r="AF1386" s="231">
        <f>FME_Ranking1[[#This Row],[Ag Land Score (Normalized, Unweighted)]]*$AD$3</f>
        <v>8.5785977622567053E-5</v>
      </c>
      <c r="AG138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5.0906862363981585E-2</v>
      </c>
      <c r="AH1386" s="406">
        <f t="shared" si="21"/>
        <v>1309</v>
      </c>
      <c r="AI138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5.0906862363981585E-2</v>
      </c>
      <c r="AJ1386" s="257">
        <f>FME_Ranking1[[#This Row],[Addition check]]-FME_Ranking1[[#This Row],[Weighted Score Based on Normalized Reported Factors]]</f>
        <v>0</v>
      </c>
      <c r="AK1386" s="178">
        <f>_xlfn.RANK.EQ(AI1386,$AI$6:$AI$2341,0)+COUNTIF($AI$6:AI1386,AI1386)-1</f>
        <v>1310</v>
      </c>
    </row>
    <row r="1387" spans="1:37" x14ac:dyDescent="0.25">
      <c r="A1387" t="s">
        <v>5770</v>
      </c>
      <c r="B1387">
        <f>_xlfn.XLOOKUP(FME_Ranking1[[#This Row],[FME ID]],FME_Input[FME_ID],FME_Input[RFPG_NUM])</f>
        <v>5</v>
      </c>
      <c r="C1387" t="str">
        <f>_xlfn.XLOOKUP(FME_Ranking1[[#This Row],[FME ID]],FME_Input[FME_ID],FME_Input[FME_NAME])</f>
        <v>Anderson County Update Flood Hazard Mapping</v>
      </c>
      <c r="D1387" t="str">
        <f>_xlfn.XLOOKUP(FME_Ranking1[[#This Row],[FME ID]],FME_Input[FME_ID],FME_Input[DESCR])</f>
        <v>Complete a detailed study within the county extent to delineate an updated flood hazard area, which can be used for regulatory purposes.</v>
      </c>
      <c r="E1387" s="256">
        <f>_xlfn.XLOOKUP(FME_Ranking1[[#This Row],[FME ID]],FME_Input[FME_ID],FME_Input[FME_COST])</f>
        <v>2236919</v>
      </c>
      <c r="F1387" t="str">
        <f>_xlfn.XLOOKUP(FME_Ranking1[[#This Row],[FME ID]],FME_Input[FME_ID],FME_Input[EMER_NEED])</f>
        <v>Yes</v>
      </c>
      <c r="G1387">
        <f>IF(FME_Ranking!F1387="Yes",100,0)</f>
        <v>100</v>
      </c>
      <c r="H1387">
        <f>FME_Ranking1[[#This Row],[Emergency Need Score (Normalized, Unweighted)]]*$F$3</f>
        <v>0</v>
      </c>
      <c r="I1387" s="246">
        <f>_xlfn.XLOOKUP(FME_Ranking1[[#This Row],[FME ID]],FME_Input[FME_ID],FME_Input[STRUCT_100])</f>
        <v>69</v>
      </c>
      <c r="J1387" s="178">
        <f>(FME_Ranking1[[#This Row],[Structures 100 Raw]]/I$2)*100</f>
        <v>3.6948978280426682E-2</v>
      </c>
      <c r="K1387" s="178">
        <f>FME_Ranking1[[#This Row],[Structures 100  Score (Normalized, Unweighted)]]*$I$3</f>
        <v>5.5423467420640023E-3</v>
      </c>
      <c r="L1387" s="246">
        <f>_xlfn.XLOOKUP(FME_Ranking1[[#This Row],[FME ID]],FME_Input[FME_ID],FME_Input[RES_STRUCT100])</f>
        <v>28</v>
      </c>
      <c r="M1387" s="230">
        <f>(FME_Ranking1[[#This Row],[Res Structures Raw]]/L$2)*100</f>
        <v>1.9832556558201472E-2</v>
      </c>
      <c r="N1387" s="180">
        <f>FME_Ranking1[[#This Row],[Res Structures Score (Normalized, Unweighted)]]*$L$3</f>
        <v>1.9832556558201475E-3</v>
      </c>
      <c r="O1387" s="244">
        <f>_xlfn.XLOOKUP(FME_Ranking1[[#This Row],[FME ID]],FME_Input[FME_ID],FME_Input[POP100])</f>
        <v>73</v>
      </c>
      <c r="P1387" s="178">
        <f>(FME_Ranking1[[#This Row],[Pop Raw]]/$O$2)*100</f>
        <v>7.4733977751797204E-3</v>
      </c>
      <c r="Q1387" s="178">
        <f>FME_Ranking1[[#This Row],[Pop Score (Normalized, Unweighted)]]*$O$3</f>
        <v>1.1210096662769579E-3</v>
      </c>
      <c r="R1387" s="137">
        <f>_xlfn.XLOOKUP(FME_Ranking1[[#This Row],[FME ID]],FME_Input[FME_ID],FME_Input[CRITFAC100])</f>
        <v>0</v>
      </c>
      <c r="S1387" s="230">
        <f>(FME_Ranking1[[#This Row],[Critical Facilities Raw]]/$R$2)*100</f>
        <v>0</v>
      </c>
      <c r="T1387" s="180">
        <f>FME_Ranking1[[#This Row],[Critical Facilities Score (Normalized, Unweighted)]]*$R$3</f>
        <v>0</v>
      </c>
      <c r="U1387">
        <f>_xlfn.XLOOKUP(FME_Ranking1[[#This Row],[FME ID]],FME_Input[FME_ID],FME_Input[LWC])</f>
        <v>2</v>
      </c>
      <c r="V1387" s="178">
        <f>(FME_Ranking1[[#This Row],[LWC Raw]]/$U$2)*100</f>
        <v>0.11514104778353484</v>
      </c>
      <c r="W1387" s="178">
        <f>FME_Ranking1[[#This Row],[LWC Score (Normalized, Unweighted)]]*$U$3</f>
        <v>2.302820955670697E-2</v>
      </c>
      <c r="X1387" s="246">
        <f>_xlfn.XLOOKUP(FME_Ranking1[[#This Row],[FME ID]],FME_Input[FME_ID],FME_Input[ROADCLS])</f>
        <v>2</v>
      </c>
      <c r="Y1387" s="230">
        <f>(FME_Ranking1[[#This Row],[Closures Raw]]/$X$2)*100</f>
        <v>2.1028283040689728E-2</v>
      </c>
      <c r="Z1387" s="180">
        <f>FME_Ranking1[[#This Row],[Closures Score (Normalized, Unweighted)]]*$X$3</f>
        <v>1.0514141520344864E-3</v>
      </c>
      <c r="AA1387" s="253">
        <f>_xlfn.XLOOKUP(FME_Ranking1[[#This Row],[FME ID]],FME_Input[FME_ID],FME_Input[ROAD_MILES100])</f>
        <v>22.200126647949219</v>
      </c>
      <c r="AB1387" s="178">
        <f>(FME_Ranking1[[#This Row],[Miles Raw]]/$AA$2)*100</f>
        <v>0.29189184762410048</v>
      </c>
      <c r="AC1387" s="178">
        <f>FME_Ranking1[[#This Row],[Miles Score (Normalized, Unweighted)]]*$AA$3</f>
        <v>2.9189184762410048E-2</v>
      </c>
      <c r="AD1387" s="255">
        <f>_xlfn.XLOOKUP(FME_Ranking1[[#This Row],[FME ID]],FME_Input[FME_ID],FME_Input[FARMACRE100])</f>
        <v>348.31265258789063</v>
      </c>
      <c r="AE1387" s="230">
        <f>(FME_Ranking1[[#This Row],[Ag Land Raw]]/$AD$2)*100</f>
        <v>1.436285456985022E-2</v>
      </c>
      <c r="AF1387" s="231">
        <f>FME_Ranking1[[#This Row],[Ag Land Score (Normalized, Unweighted)]]*$AD$3</f>
        <v>7.1814272849251106E-4</v>
      </c>
      <c r="AG138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6.263356326380512E-2</v>
      </c>
      <c r="AH1387" s="406">
        <f t="shared" si="21"/>
        <v>1230</v>
      </c>
      <c r="AI138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6.263356326380512E-2</v>
      </c>
      <c r="AJ1387" s="257">
        <f>FME_Ranking1[[#This Row],[Addition check]]-FME_Ranking1[[#This Row],[Weighted Score Based on Normalized Reported Factors]]</f>
        <v>0</v>
      </c>
      <c r="AK1387" s="178">
        <f>_xlfn.RANK.EQ(AI1387,$AI$6:$AI$2341,0)+COUNTIF($AI$6:AI1387,AI1387)-1</f>
        <v>1230</v>
      </c>
    </row>
    <row r="1388" spans="1:37" x14ac:dyDescent="0.25">
      <c r="A1388" t="s">
        <v>6142</v>
      </c>
      <c r="B1388">
        <f>_xlfn.XLOOKUP(FME_Ranking1[[#This Row],[FME ID]],FME_Input[FME_ID],FME_Input[RFPG_NUM])</f>
        <v>5</v>
      </c>
      <c r="C1388" t="str">
        <f>_xlfn.XLOOKUP(FME_Ranking1[[#This Row],[FME ID]],FME_Input[FME_ID],FME_Input[FME_NAME])</f>
        <v>Anderson County Master Drainage Plan</v>
      </c>
      <c r="D1388"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1388" s="256">
        <f>_xlfn.XLOOKUP(FME_Ranking1[[#This Row],[FME ID]],FME_Input[FME_ID],FME_Input[FME_COST])</f>
        <v>737953</v>
      </c>
      <c r="F1388" t="str">
        <f>_xlfn.XLOOKUP(FME_Ranking1[[#This Row],[FME ID]],FME_Input[FME_ID],FME_Input[EMER_NEED])</f>
        <v>Yes</v>
      </c>
      <c r="G1388">
        <f>IF(FME_Ranking!F1388="Yes",100,0)</f>
        <v>100</v>
      </c>
      <c r="H1388">
        <f>FME_Ranking1[[#This Row],[Emergency Need Score (Normalized, Unweighted)]]*$F$3</f>
        <v>0</v>
      </c>
      <c r="I1388" s="246">
        <f>_xlfn.XLOOKUP(FME_Ranking1[[#This Row],[FME ID]],FME_Input[FME_ID],FME_Input[STRUCT_100])</f>
        <v>69</v>
      </c>
      <c r="J1388" s="178">
        <f>(FME_Ranking1[[#This Row],[Structures 100 Raw]]/I$2)*100</f>
        <v>3.6948978280426682E-2</v>
      </c>
      <c r="K1388" s="178">
        <f>FME_Ranking1[[#This Row],[Structures 100  Score (Normalized, Unweighted)]]*$I$3</f>
        <v>5.5423467420640023E-3</v>
      </c>
      <c r="L1388" s="246">
        <f>_xlfn.XLOOKUP(FME_Ranking1[[#This Row],[FME ID]],FME_Input[FME_ID],FME_Input[RES_STRUCT100])</f>
        <v>28</v>
      </c>
      <c r="M1388" s="230">
        <f>(FME_Ranking1[[#This Row],[Res Structures Raw]]/L$2)*100</f>
        <v>1.9832556558201472E-2</v>
      </c>
      <c r="N1388" s="180">
        <f>FME_Ranking1[[#This Row],[Res Structures Score (Normalized, Unweighted)]]*$L$3</f>
        <v>1.9832556558201475E-3</v>
      </c>
      <c r="O1388" s="244">
        <f>_xlfn.XLOOKUP(FME_Ranking1[[#This Row],[FME ID]],FME_Input[FME_ID],FME_Input[POP100])</f>
        <v>73</v>
      </c>
      <c r="P1388" s="178">
        <f>(FME_Ranking1[[#This Row],[Pop Raw]]/$O$2)*100</f>
        <v>7.4733977751797204E-3</v>
      </c>
      <c r="Q1388" s="178">
        <f>FME_Ranking1[[#This Row],[Pop Score (Normalized, Unweighted)]]*$O$3</f>
        <v>1.1210096662769579E-3</v>
      </c>
      <c r="R1388" s="137">
        <f>_xlfn.XLOOKUP(FME_Ranking1[[#This Row],[FME ID]],FME_Input[FME_ID],FME_Input[CRITFAC100])</f>
        <v>0</v>
      </c>
      <c r="S1388" s="230">
        <f>(FME_Ranking1[[#This Row],[Critical Facilities Raw]]/$R$2)*100</f>
        <v>0</v>
      </c>
      <c r="T1388" s="180">
        <f>FME_Ranking1[[#This Row],[Critical Facilities Score (Normalized, Unweighted)]]*$R$3</f>
        <v>0</v>
      </c>
      <c r="U1388">
        <f>_xlfn.XLOOKUP(FME_Ranking1[[#This Row],[FME ID]],FME_Input[FME_ID],FME_Input[LWC])</f>
        <v>2</v>
      </c>
      <c r="V1388" s="178">
        <f>(FME_Ranking1[[#This Row],[LWC Raw]]/$U$2)*100</f>
        <v>0.11514104778353484</v>
      </c>
      <c r="W1388" s="178">
        <f>FME_Ranking1[[#This Row],[LWC Score (Normalized, Unweighted)]]*$U$3</f>
        <v>2.302820955670697E-2</v>
      </c>
      <c r="X1388" s="246">
        <f>_xlfn.XLOOKUP(FME_Ranking1[[#This Row],[FME ID]],FME_Input[FME_ID],FME_Input[ROADCLS])</f>
        <v>2</v>
      </c>
      <c r="Y1388" s="230">
        <f>(FME_Ranking1[[#This Row],[Closures Raw]]/$X$2)*100</f>
        <v>2.1028283040689728E-2</v>
      </c>
      <c r="Z1388" s="180">
        <f>FME_Ranking1[[#This Row],[Closures Score (Normalized, Unweighted)]]*$X$3</f>
        <v>1.0514141520344864E-3</v>
      </c>
      <c r="AA1388" s="253">
        <f>_xlfn.XLOOKUP(FME_Ranking1[[#This Row],[FME ID]],FME_Input[FME_ID],FME_Input[ROAD_MILES100])</f>
        <v>22.200126647949219</v>
      </c>
      <c r="AB1388" s="178">
        <f>(FME_Ranking1[[#This Row],[Miles Raw]]/$AA$2)*100</f>
        <v>0.29189184762410048</v>
      </c>
      <c r="AC1388" s="178">
        <f>FME_Ranking1[[#This Row],[Miles Score (Normalized, Unweighted)]]*$AA$3</f>
        <v>2.9189184762410048E-2</v>
      </c>
      <c r="AD1388" s="255">
        <f>_xlfn.XLOOKUP(FME_Ranking1[[#This Row],[FME ID]],FME_Input[FME_ID],FME_Input[FARMACRE100])</f>
        <v>348.31265258789063</v>
      </c>
      <c r="AE1388" s="230">
        <f>(FME_Ranking1[[#This Row],[Ag Land Raw]]/$AD$2)*100</f>
        <v>1.436285456985022E-2</v>
      </c>
      <c r="AF1388" s="231">
        <f>FME_Ranking1[[#This Row],[Ag Land Score (Normalized, Unweighted)]]*$AD$3</f>
        <v>7.1814272849251106E-4</v>
      </c>
      <c r="AG138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6.263356326380512E-2</v>
      </c>
      <c r="AH1388" s="406">
        <f t="shared" si="21"/>
        <v>1230</v>
      </c>
      <c r="AI138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6.263356326380512E-2</v>
      </c>
      <c r="AJ1388" s="257">
        <f>FME_Ranking1[[#This Row],[Addition check]]-FME_Ranking1[[#This Row],[Weighted Score Based on Normalized Reported Factors]]</f>
        <v>0</v>
      </c>
      <c r="AK1388" s="178">
        <f>_xlfn.RANK.EQ(AI1388,$AI$6:$AI$2341,0)+COUNTIF($AI$6:AI1388,AI1388)-1</f>
        <v>1231</v>
      </c>
    </row>
    <row r="1389" spans="1:37" x14ac:dyDescent="0.25">
      <c r="A1389" t="s">
        <v>173</v>
      </c>
      <c r="B1389">
        <f>_xlfn.XLOOKUP(FME_Ranking1[[#This Row],[FME ID]],FME_Input[FME_ID],FME_Input[RFPG_NUM])</f>
        <v>10</v>
      </c>
      <c r="C1389" t="str">
        <f>_xlfn.XLOOKUP(FME_Ranking1[[#This Row],[FME ID]],FME_Input[FME_ID],FME_Input[FME_NAME])</f>
        <v>Various Culverts Along Stevenson Slough</v>
      </c>
      <c r="D1389" t="str">
        <f>_xlfn.XLOOKUP(FME_Ranking1[[#This Row],[FME ID]],FME_Input[FME_ID],FME_Input[DESCR])</f>
        <v xml:space="preserve">Enlarge culverts along Stevenson Slough_x000D_
</v>
      </c>
      <c r="E1389" s="256">
        <f>_xlfn.XLOOKUP(FME_Ranking1[[#This Row],[FME ID]],FME_Input[FME_ID],FME_Input[FME_COST])</f>
        <v>125000</v>
      </c>
      <c r="F1389" t="str">
        <f>_xlfn.XLOOKUP(FME_Ranking1[[#This Row],[FME ID]],FME_Input[FME_ID],FME_Input[EMER_NEED])</f>
        <v>No</v>
      </c>
      <c r="G1389">
        <f>IF(FME_Ranking!F1389="Yes",100,0)</f>
        <v>0</v>
      </c>
      <c r="H1389">
        <f>FME_Ranking1[[#This Row],[Emergency Need Score (Normalized, Unweighted)]]*$F$3</f>
        <v>0</v>
      </c>
      <c r="I1389" s="246">
        <f>_xlfn.XLOOKUP(FME_Ranking1[[#This Row],[FME ID]],FME_Input[FME_ID],FME_Input[STRUCT_100])</f>
        <v>205</v>
      </c>
      <c r="J1389" s="178">
        <f>(FME_Ranking1[[#This Row],[Structures 100 Raw]]/I$2)*100</f>
        <v>0.1097759499635865</v>
      </c>
      <c r="K1389" s="178">
        <f>FME_Ranking1[[#This Row],[Structures 100  Score (Normalized, Unweighted)]]*$I$3</f>
        <v>1.6466392494537973E-2</v>
      </c>
      <c r="L1389" s="246">
        <f>_xlfn.XLOOKUP(FME_Ranking1[[#This Row],[FME ID]],FME_Input[FME_ID],FME_Input[RES_STRUCT100])</f>
        <v>165</v>
      </c>
      <c r="M1389" s="230">
        <f>(FME_Ranking1[[#This Row],[Res Structures Raw]]/L$2)*100</f>
        <v>0.1168704225751158</v>
      </c>
      <c r="N1389" s="180">
        <f>FME_Ranking1[[#This Row],[Res Structures Score (Normalized, Unweighted)]]*$L$3</f>
        <v>1.1687042257511581E-2</v>
      </c>
      <c r="O1389" s="244">
        <f>_xlfn.XLOOKUP(FME_Ranking1[[#This Row],[FME ID]],FME_Input[FME_ID],FME_Input[POP100])</f>
        <v>296</v>
      </c>
      <c r="P1389" s="178">
        <f>(FME_Ranking1[[#This Row],[Pop Raw]]/$O$2)*100</f>
        <v>3.030309234867393E-2</v>
      </c>
      <c r="Q1389" s="178">
        <f>FME_Ranking1[[#This Row],[Pop Score (Normalized, Unweighted)]]*$O$3</f>
        <v>4.5454638523010895E-3</v>
      </c>
      <c r="R1389" s="137">
        <f>_xlfn.XLOOKUP(FME_Ranking1[[#This Row],[FME ID]],FME_Input[FME_ID],FME_Input[CRITFAC100])</f>
        <v>0</v>
      </c>
      <c r="S1389" s="230">
        <f>(FME_Ranking1[[#This Row],[Critical Facilities Raw]]/$R$2)*100</f>
        <v>0</v>
      </c>
      <c r="T1389" s="180">
        <f>FME_Ranking1[[#This Row],[Critical Facilities Score (Normalized, Unweighted)]]*$R$3</f>
        <v>0</v>
      </c>
      <c r="U1389">
        <f>_xlfn.XLOOKUP(FME_Ranking1[[#This Row],[FME ID]],FME_Input[FME_ID],FME_Input[LWC])</f>
        <v>0</v>
      </c>
      <c r="V1389" s="178">
        <f>(FME_Ranking1[[#This Row],[LWC Raw]]/$U$2)*100</f>
        <v>0</v>
      </c>
      <c r="W1389" s="178">
        <f>FME_Ranking1[[#This Row],[LWC Score (Normalized, Unweighted)]]*$U$3</f>
        <v>0</v>
      </c>
      <c r="X1389" s="246">
        <f>_xlfn.XLOOKUP(FME_Ranking1[[#This Row],[FME ID]],FME_Input[FME_ID],FME_Input[ROADCLS])</f>
        <v>0</v>
      </c>
      <c r="Y1389" s="230">
        <f>(FME_Ranking1[[#This Row],[Closures Raw]]/$X$2)*100</f>
        <v>0</v>
      </c>
      <c r="Z1389" s="180">
        <f>FME_Ranking1[[#This Row],[Closures Score (Normalized, Unweighted)]]*$X$3</f>
        <v>0</v>
      </c>
      <c r="AA1389" s="253">
        <f>_xlfn.XLOOKUP(FME_Ranking1[[#This Row],[FME ID]],FME_Input[FME_ID],FME_Input[ROAD_MILES100])</f>
        <v>3.7959856986999512</v>
      </c>
      <c r="AB1389" s="178">
        <f>(FME_Ranking1[[#This Row],[Miles Raw]]/$AA$2)*100</f>
        <v>4.991040351792525E-2</v>
      </c>
      <c r="AC1389" s="178">
        <f>FME_Ranking1[[#This Row],[Miles Score (Normalized, Unweighted)]]*$AA$3</f>
        <v>4.9910403517925252E-3</v>
      </c>
      <c r="AD1389" s="255">
        <f>_xlfn.XLOOKUP(FME_Ranking1[[#This Row],[FME ID]],FME_Input[FME_ID],FME_Input[FARMACRE100])</f>
        <v>334.60134887695313</v>
      </c>
      <c r="AE1389" s="230">
        <f>(FME_Ranking1[[#This Row],[Ag Land Raw]]/$AD$2)*100</f>
        <v>1.3797461783512805E-2</v>
      </c>
      <c r="AF1389" s="231">
        <f>FME_Ranking1[[#This Row],[Ag Land Score (Normalized, Unweighted)]]*$AD$3</f>
        <v>6.8987308917564031E-4</v>
      </c>
      <c r="AG138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3.837981204531881E-2</v>
      </c>
      <c r="AH1389" s="406">
        <f t="shared" si="21"/>
        <v>1396</v>
      </c>
      <c r="AI138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3.837981204531881E-2</v>
      </c>
      <c r="AJ1389" s="257">
        <f>FME_Ranking1[[#This Row],[Addition check]]-FME_Ranking1[[#This Row],[Weighted Score Based on Normalized Reported Factors]]</f>
        <v>0</v>
      </c>
      <c r="AK1389" s="178">
        <f>_xlfn.RANK.EQ(AI1389,$AI$6:$AI$2341,0)+COUNTIF($AI$6:AI1389,AI1389)-1</f>
        <v>1396</v>
      </c>
    </row>
    <row r="1390" spans="1:37" x14ac:dyDescent="0.25">
      <c r="A1390" t="s">
        <v>11258</v>
      </c>
      <c r="B1390">
        <f>_xlfn.XLOOKUP(FME_Ranking1[[#This Row],[FME ID]],FME_Input[FME_ID],FME_Input[RFPG_NUM])</f>
        <v>15</v>
      </c>
      <c r="C1390" t="str">
        <f>_xlfn.XLOOKUP(FME_Ranking1[[#This Row],[FME ID]],FME_Input[FME_ID],FME_Input[FME_NAME])</f>
        <v>Precinct 4 MDP - Risk Area I at Sharp Rd. &amp; E Monte Cristo Rd</v>
      </c>
      <c r="D1390" t="str">
        <f>_xlfn.XLOOKUP(FME_Ranking1[[#This Row],[FME ID]],FME_Input[FME_ID],FME_Input[DESCR])</f>
        <v>Inlets and proposed storm drain with Approximately 1,100’ of 4’x4’ RCB storm drain with curb inlets to be installed along Hendrix Dr. and Gaston Cr. with approximately 1,200’ of 6’x4’ RCB storm with grate and sag inlets along Uresti Rd. with</v>
      </c>
      <c r="E1390" s="256">
        <f>_xlfn.XLOOKUP(FME_Ranking1[[#This Row],[FME ID]],FME_Input[FME_ID],FME_Input[FME_COST])</f>
        <v>899250</v>
      </c>
      <c r="F1390" t="str">
        <f>_xlfn.XLOOKUP(FME_Ranking1[[#This Row],[FME ID]],FME_Input[FME_ID],FME_Input[EMER_NEED])</f>
        <v>Yes</v>
      </c>
      <c r="G1390">
        <f>IF(FME_Ranking!F1390="Yes",100,0)</f>
        <v>100</v>
      </c>
      <c r="H1390">
        <f>FME_Ranking1[[#This Row],[Emergency Need Score (Normalized, Unweighted)]]*$F$3</f>
        <v>0</v>
      </c>
      <c r="I1390" s="246">
        <f>_xlfn.XLOOKUP(FME_Ranking1[[#This Row],[FME ID]],FME_Input[FME_ID],FME_Input[STRUCT_100])</f>
        <v>0</v>
      </c>
      <c r="J1390" s="178">
        <f>(FME_Ranking1[[#This Row],[Structures 100 Raw]]/I$2)*100</f>
        <v>0</v>
      </c>
      <c r="K1390" s="178">
        <f>FME_Ranking1[[#This Row],[Structures 100  Score (Normalized, Unweighted)]]*$I$3</f>
        <v>0</v>
      </c>
      <c r="L1390" s="246">
        <f>_xlfn.XLOOKUP(FME_Ranking1[[#This Row],[FME ID]],FME_Input[FME_ID],FME_Input[RES_STRUCT100])</f>
        <v>67</v>
      </c>
      <c r="M1390" s="230">
        <f>(FME_Ranking1[[#This Row],[Res Structures Raw]]/L$2)*100</f>
        <v>4.7456474621410664E-2</v>
      </c>
      <c r="N1390" s="180">
        <f>FME_Ranking1[[#This Row],[Res Structures Score (Normalized, Unweighted)]]*$L$3</f>
        <v>4.7456474621410671E-3</v>
      </c>
      <c r="O1390" s="244">
        <f>_xlfn.XLOOKUP(FME_Ranking1[[#This Row],[FME ID]],FME_Input[FME_ID],FME_Input[POP100])</f>
        <v>354</v>
      </c>
      <c r="P1390" s="178">
        <f>(FME_Ranking1[[#This Row],[Pop Raw]]/$O$2)*100</f>
        <v>3.6240860444022201E-2</v>
      </c>
      <c r="Q1390" s="178">
        <f>FME_Ranking1[[#This Row],[Pop Score (Normalized, Unweighted)]]*$O$3</f>
        <v>5.4361290666033301E-3</v>
      </c>
      <c r="R1390" s="137">
        <f>_xlfn.XLOOKUP(FME_Ranking1[[#This Row],[FME ID]],FME_Input[FME_ID],FME_Input[CRITFAC100])</f>
        <v>0</v>
      </c>
      <c r="S1390" s="230">
        <f>(FME_Ranking1[[#This Row],[Critical Facilities Raw]]/$R$2)*100</f>
        <v>0</v>
      </c>
      <c r="T1390" s="180">
        <f>FME_Ranking1[[#This Row],[Critical Facilities Score (Normalized, Unweighted)]]*$R$3</f>
        <v>0</v>
      </c>
      <c r="U1390">
        <f>_xlfn.XLOOKUP(FME_Ranking1[[#This Row],[FME ID]],FME_Input[FME_ID],FME_Input[LWC])</f>
        <v>2</v>
      </c>
      <c r="V1390" s="178">
        <f>(FME_Ranking1[[#This Row],[LWC Raw]]/$U$2)*100</f>
        <v>0.11514104778353484</v>
      </c>
      <c r="W1390" s="178">
        <f>FME_Ranking1[[#This Row],[LWC Score (Normalized, Unweighted)]]*$U$3</f>
        <v>2.302820955670697E-2</v>
      </c>
      <c r="X1390" s="246">
        <f>_xlfn.XLOOKUP(FME_Ranking1[[#This Row],[FME ID]],FME_Input[FME_ID],FME_Input[ROADCLS])</f>
        <v>0</v>
      </c>
      <c r="Y1390" s="230">
        <f>(FME_Ranking1[[#This Row],[Closures Raw]]/$X$2)*100</f>
        <v>0</v>
      </c>
      <c r="Z1390" s="180">
        <f>FME_Ranking1[[#This Row],[Closures Score (Normalized, Unweighted)]]*$X$3</f>
        <v>0</v>
      </c>
      <c r="AA1390" s="253">
        <f>_xlfn.XLOOKUP(FME_Ranking1[[#This Row],[FME ID]],FME_Input[FME_ID],FME_Input[ROAD_MILES100])</f>
        <v>15.44429969787598</v>
      </c>
      <c r="AB1390" s="178">
        <f>(FME_Ranking1[[#This Row],[Miles Raw]]/$AA$2)*100</f>
        <v>0.20306484037512454</v>
      </c>
      <c r="AC1390" s="178">
        <f>FME_Ranking1[[#This Row],[Miles Score (Normalized, Unweighted)]]*$AA$3</f>
        <v>2.0306484037512455E-2</v>
      </c>
      <c r="AD1390" s="255">
        <f>_xlfn.XLOOKUP(FME_Ranking1[[#This Row],[FME ID]],FME_Input[FME_ID],FME_Input[FARMACRE100])</f>
        <v>0</v>
      </c>
      <c r="AE1390" s="230">
        <f>(FME_Ranking1[[#This Row],[Ag Land Raw]]/$AD$2)*100</f>
        <v>0</v>
      </c>
      <c r="AF1390" s="231">
        <f>FME_Ranking1[[#This Row],[Ag Land Score (Normalized, Unweighted)]]*$AD$3</f>
        <v>0</v>
      </c>
      <c r="AG139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5.3516470122963816E-2</v>
      </c>
      <c r="AH1390" s="406">
        <f t="shared" si="21"/>
        <v>1288</v>
      </c>
      <c r="AI139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5.3516470122963816E-2</v>
      </c>
      <c r="AJ1390" s="257">
        <f>FME_Ranking1[[#This Row],[Addition check]]-FME_Ranking1[[#This Row],[Weighted Score Based on Normalized Reported Factors]]</f>
        <v>0</v>
      </c>
      <c r="AK1390" s="178">
        <f>_xlfn.RANK.EQ(AI1390,$AI$6:$AI$2341,0)+COUNTIF($AI$6:AI1390,AI1390)-1</f>
        <v>1288</v>
      </c>
    </row>
    <row r="1391" spans="1:37" x14ac:dyDescent="0.25">
      <c r="A1391" t="s">
        <v>7578</v>
      </c>
      <c r="B1391">
        <f>_xlfn.XLOOKUP(FME_Ranking1[[#This Row],[FME ID]],FME_Input[FME_ID],FME_Input[RFPG_NUM])</f>
        <v>8</v>
      </c>
      <c r="C1391" t="str">
        <f>_xlfn.XLOOKUP(FME_Ranking1[[#This Row],[FME ID]],FME_Input[FME_ID],FME_Input[FME_NAME])</f>
        <v>A14</v>
      </c>
      <c r="D1391" t="str">
        <f>_xlfn.XLOOKUP(FME_Ranking1[[#This Row],[FME ID]],FME_Input[FME_ID],FME_Input[DESCR])</f>
        <v>Addition of in-line detention west of Dam 17.</v>
      </c>
      <c r="E1391" s="256">
        <f>_xlfn.XLOOKUP(FME_Ranking1[[#This Row],[FME ID]],FME_Input[FME_ID],FME_Input[FME_COST])</f>
        <v>250000</v>
      </c>
      <c r="F1391" t="str">
        <f>_xlfn.XLOOKUP(FME_Ranking1[[#This Row],[FME ID]],FME_Input[FME_ID],FME_Input[EMER_NEED])</f>
        <v>No</v>
      </c>
      <c r="G1391">
        <f>IF(FME_Ranking!F1391="Yes",100,0)</f>
        <v>0</v>
      </c>
      <c r="H1391">
        <f>FME_Ranking1[[#This Row],[Emergency Need Score (Normalized, Unweighted)]]*$F$3</f>
        <v>0</v>
      </c>
      <c r="I1391" s="246">
        <f>_xlfn.XLOOKUP(FME_Ranking1[[#This Row],[FME ID]],FME_Input[FME_ID],FME_Input[STRUCT_100])</f>
        <v>8</v>
      </c>
      <c r="J1391" s="178">
        <f>(FME_Ranking1[[#This Row],[Structures 100 Raw]]/I$2)*100</f>
        <v>4.2839395107741084E-3</v>
      </c>
      <c r="K1391" s="178">
        <f>FME_Ranking1[[#This Row],[Structures 100  Score (Normalized, Unweighted)]]*$I$3</f>
        <v>6.4259092661611626E-4</v>
      </c>
      <c r="L1391" s="246">
        <f>_xlfn.XLOOKUP(FME_Ranking1[[#This Row],[FME ID]],FME_Input[FME_ID],FME_Input[RES_STRUCT100])</f>
        <v>3</v>
      </c>
      <c r="M1391" s="230">
        <f>(FME_Ranking1[[#This Row],[Res Structures Raw]]/L$2)*100</f>
        <v>2.1249167740930146E-3</v>
      </c>
      <c r="N1391" s="180">
        <f>FME_Ranking1[[#This Row],[Res Structures Score (Normalized, Unweighted)]]*$L$3</f>
        <v>2.1249167740930149E-4</v>
      </c>
      <c r="O1391" s="244">
        <f>_xlfn.XLOOKUP(FME_Ranking1[[#This Row],[FME ID]],FME_Input[FME_ID],FME_Input[POP100])</f>
        <v>219</v>
      </c>
      <c r="P1391" s="178">
        <f>(FME_Ranking1[[#This Row],[Pop Raw]]/$O$2)*100</f>
        <v>2.242019332553916E-2</v>
      </c>
      <c r="Q1391" s="178">
        <f>FME_Ranking1[[#This Row],[Pop Score (Normalized, Unweighted)]]*$O$3</f>
        <v>3.363028998830874E-3</v>
      </c>
      <c r="R1391" s="137">
        <f>_xlfn.XLOOKUP(FME_Ranking1[[#This Row],[FME ID]],FME_Input[FME_ID],FME_Input[CRITFAC100])</f>
        <v>0</v>
      </c>
      <c r="S1391" s="230">
        <f>(FME_Ranking1[[#This Row],[Critical Facilities Raw]]/$R$2)*100</f>
        <v>0</v>
      </c>
      <c r="T1391" s="180">
        <f>FME_Ranking1[[#This Row],[Critical Facilities Score (Normalized, Unweighted)]]*$R$3</f>
        <v>0</v>
      </c>
      <c r="U1391">
        <f>_xlfn.XLOOKUP(FME_Ranking1[[#This Row],[FME ID]],FME_Input[FME_ID],FME_Input[LWC])</f>
        <v>2</v>
      </c>
      <c r="V1391" s="178">
        <f>(FME_Ranking1[[#This Row],[LWC Raw]]/$U$2)*100</f>
        <v>0.11514104778353484</v>
      </c>
      <c r="W1391" s="178">
        <f>FME_Ranking1[[#This Row],[LWC Score (Normalized, Unweighted)]]*$U$3</f>
        <v>2.302820955670697E-2</v>
      </c>
      <c r="X1391" s="246">
        <f>_xlfn.XLOOKUP(FME_Ranking1[[#This Row],[FME ID]],FME_Input[FME_ID],FME_Input[ROADCLS])</f>
        <v>9</v>
      </c>
      <c r="Y1391" s="230">
        <f>(FME_Ranking1[[#This Row],[Closures Raw]]/$X$2)*100</f>
        <v>9.462727368310378E-2</v>
      </c>
      <c r="Z1391" s="180">
        <f>FME_Ranking1[[#This Row],[Closures Score (Normalized, Unweighted)]]*$X$3</f>
        <v>4.7313636841551897E-3</v>
      </c>
      <c r="AA1391" s="253">
        <f>_xlfn.XLOOKUP(FME_Ranking1[[#This Row],[FME ID]],FME_Input[FME_ID],FME_Input[ROAD_MILES100])</f>
        <v>0.74190002679824829</v>
      </c>
      <c r="AB1391" s="178">
        <f>(FME_Ranking1[[#This Row],[Miles Raw]]/$AA$2)*100</f>
        <v>9.7546546922296501E-3</v>
      </c>
      <c r="AC1391" s="178">
        <f>FME_Ranking1[[#This Row],[Miles Score (Normalized, Unweighted)]]*$AA$3</f>
        <v>9.7546546922296507E-4</v>
      </c>
      <c r="AD1391" s="255">
        <f>_xlfn.XLOOKUP(FME_Ranking1[[#This Row],[FME ID]],FME_Input[FME_ID],FME_Input[FARMACRE100])</f>
        <v>426.5570068359375</v>
      </c>
      <c r="AE1391" s="230">
        <f>(FME_Ranking1[[#This Row],[Ag Land Raw]]/$AD$2)*100</f>
        <v>1.7589301477899201E-2</v>
      </c>
      <c r="AF1391" s="231">
        <f>FME_Ranking1[[#This Row],[Ag Land Score (Normalized, Unweighted)]]*$AD$3</f>
        <v>8.7946507389496009E-4</v>
      </c>
      <c r="AG139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3.3832615386836379E-2</v>
      </c>
      <c r="AH1391" s="406">
        <f t="shared" si="21"/>
        <v>1439</v>
      </c>
      <c r="AI139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3.3832615386836379E-2</v>
      </c>
      <c r="AJ1391" s="257">
        <f>FME_Ranking1[[#This Row],[Addition check]]-FME_Ranking1[[#This Row],[Weighted Score Based on Normalized Reported Factors]]</f>
        <v>0</v>
      </c>
      <c r="AK1391" s="178">
        <f>_xlfn.RANK.EQ(AI1391,$AI$6:$AI$2341,0)+COUNTIF($AI$6:AI1391,AI1391)-1</f>
        <v>1439</v>
      </c>
    </row>
    <row r="1392" spans="1:37" x14ac:dyDescent="0.25">
      <c r="A1392" t="s">
        <v>4651</v>
      </c>
      <c r="B1392">
        <f>_xlfn.XLOOKUP(FME_Ranking1[[#This Row],[FME ID]],FME_Input[FME_ID],FME_Input[RFPG_NUM])</f>
        <v>3</v>
      </c>
      <c r="C1392" t="str">
        <f>_xlfn.XLOOKUP(FME_Ranking1[[#This Row],[FME ID]],FME_Input[FME_ID],FME_Input[FME_NAME])</f>
        <v xml:space="preserve">Redbud Drive Bridge Improvement </v>
      </c>
      <c r="D1392" t="str">
        <f>_xlfn.XLOOKUP(FME_Ranking1[[#This Row],[FME ID]],FME_Input[FME_ID],FME_Input[DESCR])</f>
        <v>Walker watershed; Estimated construction cost of $1,200,000; from 2020 study</v>
      </c>
      <c r="E1392" s="256">
        <f>_xlfn.XLOOKUP(FME_Ranking1[[#This Row],[FME ID]],FME_Input[FME_ID],FME_Input[FME_COST])</f>
        <v>250000</v>
      </c>
      <c r="F1392" t="str">
        <f>_xlfn.XLOOKUP(FME_Ranking1[[#This Row],[FME ID]],FME_Input[FME_ID],FME_Input[EMER_NEED])</f>
        <v>No</v>
      </c>
      <c r="G1392">
        <f>IF(FME_Ranking!F1392="Yes",100,0)</f>
        <v>0</v>
      </c>
      <c r="H1392">
        <f>FME_Ranking1[[#This Row],[Emergency Need Score (Normalized, Unweighted)]]*$F$3</f>
        <v>0</v>
      </c>
      <c r="I1392" s="246">
        <f>_xlfn.XLOOKUP(FME_Ranking1[[#This Row],[FME ID]],FME_Input[FME_ID],FME_Input[STRUCT_100])</f>
        <v>68</v>
      </c>
      <c r="J1392" s="178">
        <f>(FME_Ranking1[[#This Row],[Structures 100 Raw]]/I$2)*100</f>
        <v>3.6413485841579919E-2</v>
      </c>
      <c r="K1392" s="178">
        <f>FME_Ranking1[[#This Row],[Structures 100  Score (Normalized, Unweighted)]]*$I$3</f>
        <v>5.4620228762369879E-3</v>
      </c>
      <c r="L1392" s="246">
        <f>_xlfn.XLOOKUP(FME_Ranking1[[#This Row],[FME ID]],FME_Input[FME_ID],FME_Input[RES_STRUCT100])</f>
        <v>61</v>
      </c>
      <c r="M1392" s="230">
        <f>(FME_Ranking1[[#This Row],[Res Structures Raw]]/L$2)*100</f>
        <v>4.3206641073224632E-2</v>
      </c>
      <c r="N1392" s="180">
        <f>FME_Ranking1[[#This Row],[Res Structures Score (Normalized, Unweighted)]]*$L$3</f>
        <v>4.3206641073224635E-3</v>
      </c>
      <c r="O1392" s="244">
        <f>_xlfn.XLOOKUP(FME_Ranking1[[#This Row],[FME ID]],FME_Input[FME_ID],FME_Input[POP100])</f>
        <v>189</v>
      </c>
      <c r="P1392" s="178">
        <f>(FME_Ranking1[[#This Row],[Pop Raw]]/$O$2)*100</f>
        <v>1.934893396587626E-2</v>
      </c>
      <c r="Q1392" s="178">
        <f>FME_Ranking1[[#This Row],[Pop Score (Normalized, Unweighted)]]*$O$3</f>
        <v>2.9023400948814389E-3</v>
      </c>
      <c r="R1392" s="137">
        <f>_xlfn.XLOOKUP(FME_Ranking1[[#This Row],[FME ID]],FME_Input[FME_ID],FME_Input[CRITFAC100])</f>
        <v>1</v>
      </c>
      <c r="S1392" s="230">
        <f>(FME_Ranking1[[#This Row],[Critical Facilities Raw]]/$R$2)*100</f>
        <v>4.2881646655231559E-2</v>
      </c>
      <c r="T1392" s="180">
        <f>FME_Ranking1[[#This Row],[Critical Facilities Score (Normalized, Unweighted)]]*$R$3</f>
        <v>8.5763293310463125E-3</v>
      </c>
      <c r="U1392">
        <f>_xlfn.XLOOKUP(FME_Ranking1[[#This Row],[FME ID]],FME_Input[FME_ID],FME_Input[LWC])</f>
        <v>1</v>
      </c>
      <c r="V1392" s="178">
        <f>(FME_Ranking1[[#This Row],[LWC Raw]]/$U$2)*100</f>
        <v>5.7570523891767422E-2</v>
      </c>
      <c r="W1392" s="178">
        <f>FME_Ranking1[[#This Row],[LWC Score (Normalized, Unweighted)]]*$U$3</f>
        <v>1.1514104778353485E-2</v>
      </c>
      <c r="X1392" s="246">
        <f>_xlfn.XLOOKUP(FME_Ranking1[[#This Row],[FME ID]],FME_Input[FME_ID],FME_Input[ROADCLS])</f>
        <v>0</v>
      </c>
      <c r="Y1392" s="230">
        <f>(FME_Ranking1[[#This Row],[Closures Raw]]/$X$2)*100</f>
        <v>0</v>
      </c>
      <c r="Z1392" s="180">
        <f>FME_Ranking1[[#This Row],[Closures Score (Normalized, Unweighted)]]*$X$3</f>
        <v>0</v>
      </c>
      <c r="AA1392" s="253">
        <f>_xlfn.XLOOKUP(FME_Ranking1[[#This Row],[FME ID]],FME_Input[FME_ID],FME_Input[ROAD_MILES100])</f>
        <v>2.8427519798278809</v>
      </c>
      <c r="AB1392" s="178">
        <f>(FME_Ranking1[[#This Row],[Miles Raw]]/$AA$2)*100</f>
        <v>3.737708981969623E-2</v>
      </c>
      <c r="AC1392" s="178">
        <f>FME_Ranking1[[#This Row],[Miles Score (Normalized, Unweighted)]]*$AA$3</f>
        <v>3.737708981969623E-3</v>
      </c>
      <c r="AD1392" s="255">
        <f>_xlfn.XLOOKUP(FME_Ranking1[[#This Row],[FME ID]],FME_Input[FME_ID],FME_Input[FARMACRE100])</f>
        <v>15.72422027587891</v>
      </c>
      <c r="AE1392" s="230">
        <f>(FME_Ranking1[[#This Row],[Ag Land Raw]]/$AD$2)*100</f>
        <v>6.4839645464716766E-4</v>
      </c>
      <c r="AF1392" s="231">
        <f>FME_Ranking1[[#This Row],[Ag Land Score (Normalized, Unweighted)]]*$AD$3</f>
        <v>3.2419822732358385E-5</v>
      </c>
      <c r="AG139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3.6545589992542669E-2</v>
      </c>
      <c r="AH1392" s="406">
        <f t="shared" si="21"/>
        <v>1415</v>
      </c>
      <c r="AI139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3.6545589992542669E-2</v>
      </c>
      <c r="AJ1392" s="257">
        <f>FME_Ranking1[[#This Row],[Addition check]]-FME_Ranking1[[#This Row],[Weighted Score Based on Normalized Reported Factors]]</f>
        <v>0</v>
      </c>
      <c r="AK1392" s="178">
        <f>_xlfn.RANK.EQ(AI1392,$AI$6:$AI$2341,0)+COUNTIF($AI$6:AI1392,AI1392)-1</f>
        <v>1415</v>
      </c>
    </row>
    <row r="1393" spans="1:37" x14ac:dyDescent="0.25">
      <c r="A1393" t="s">
        <v>4908</v>
      </c>
      <c r="B1393">
        <f>_xlfn.XLOOKUP(FME_Ranking1[[#This Row],[FME ID]],FME_Input[FME_ID],FME_Input[RFPG_NUM])</f>
        <v>3</v>
      </c>
      <c r="C1393" t="str">
        <f>_xlfn.XLOOKUP(FME_Ranking1[[#This Row],[FME ID]],FME_Input[FME_ID],FME_Input[FME_NAME])</f>
        <v xml:space="preserve">Hurstview Drive Bridge Improvement </v>
      </c>
      <c r="D1393" t="str">
        <f>_xlfn.XLOOKUP(FME_Ranking1[[#This Row],[FME ID]],FME_Input[FME_ID],FME_Input[DESCR])</f>
        <v>Lorean watershed; Estimated construction cost of $390,000; from 2013 study</v>
      </c>
      <c r="E1393" s="256">
        <f>_xlfn.XLOOKUP(FME_Ranking1[[#This Row],[FME ID]],FME_Input[FME_ID],FME_Input[FME_COST])</f>
        <v>250000</v>
      </c>
      <c r="F1393" t="str">
        <f>_xlfn.XLOOKUP(FME_Ranking1[[#This Row],[FME ID]],FME_Input[FME_ID],FME_Input[EMER_NEED])</f>
        <v>No</v>
      </c>
      <c r="G1393">
        <f>IF(FME_Ranking!F1393="Yes",100,0)</f>
        <v>0</v>
      </c>
      <c r="H1393">
        <f>FME_Ranking1[[#This Row],[Emergency Need Score (Normalized, Unweighted)]]*$F$3</f>
        <v>0</v>
      </c>
      <c r="I1393" s="246">
        <f>_xlfn.XLOOKUP(FME_Ranking1[[#This Row],[FME ID]],FME_Input[FME_ID],FME_Input[STRUCT_100])</f>
        <v>68</v>
      </c>
      <c r="J1393" s="178">
        <f>(FME_Ranking1[[#This Row],[Structures 100 Raw]]/I$2)*100</f>
        <v>3.6413485841579919E-2</v>
      </c>
      <c r="K1393" s="178">
        <f>FME_Ranking1[[#This Row],[Structures 100  Score (Normalized, Unweighted)]]*$I$3</f>
        <v>5.4620228762369879E-3</v>
      </c>
      <c r="L1393" s="246">
        <f>_xlfn.XLOOKUP(FME_Ranking1[[#This Row],[FME ID]],FME_Input[FME_ID],FME_Input[RES_STRUCT100])</f>
        <v>61</v>
      </c>
      <c r="M1393" s="230">
        <f>(FME_Ranking1[[#This Row],[Res Structures Raw]]/L$2)*100</f>
        <v>4.3206641073224632E-2</v>
      </c>
      <c r="N1393" s="180">
        <f>FME_Ranking1[[#This Row],[Res Structures Score (Normalized, Unweighted)]]*$L$3</f>
        <v>4.3206641073224635E-3</v>
      </c>
      <c r="O1393" s="244">
        <f>_xlfn.XLOOKUP(FME_Ranking1[[#This Row],[FME ID]],FME_Input[FME_ID],FME_Input[POP100])</f>
        <v>189</v>
      </c>
      <c r="P1393" s="178">
        <f>(FME_Ranking1[[#This Row],[Pop Raw]]/$O$2)*100</f>
        <v>1.934893396587626E-2</v>
      </c>
      <c r="Q1393" s="178">
        <f>FME_Ranking1[[#This Row],[Pop Score (Normalized, Unweighted)]]*$O$3</f>
        <v>2.9023400948814389E-3</v>
      </c>
      <c r="R1393" s="137">
        <f>_xlfn.XLOOKUP(FME_Ranking1[[#This Row],[FME ID]],FME_Input[FME_ID],FME_Input[CRITFAC100])</f>
        <v>1</v>
      </c>
      <c r="S1393" s="230">
        <f>(FME_Ranking1[[#This Row],[Critical Facilities Raw]]/$R$2)*100</f>
        <v>4.2881646655231559E-2</v>
      </c>
      <c r="T1393" s="180">
        <f>FME_Ranking1[[#This Row],[Critical Facilities Score (Normalized, Unweighted)]]*$R$3</f>
        <v>8.5763293310463125E-3</v>
      </c>
      <c r="U1393">
        <f>_xlfn.XLOOKUP(FME_Ranking1[[#This Row],[FME ID]],FME_Input[FME_ID],FME_Input[LWC])</f>
        <v>1</v>
      </c>
      <c r="V1393" s="178">
        <f>(FME_Ranking1[[#This Row],[LWC Raw]]/$U$2)*100</f>
        <v>5.7570523891767422E-2</v>
      </c>
      <c r="W1393" s="178">
        <f>FME_Ranking1[[#This Row],[LWC Score (Normalized, Unweighted)]]*$U$3</f>
        <v>1.1514104778353485E-2</v>
      </c>
      <c r="X1393" s="246">
        <f>_xlfn.XLOOKUP(FME_Ranking1[[#This Row],[FME ID]],FME_Input[FME_ID],FME_Input[ROADCLS])</f>
        <v>0</v>
      </c>
      <c r="Y1393" s="230">
        <f>(FME_Ranking1[[#This Row],[Closures Raw]]/$X$2)*100</f>
        <v>0</v>
      </c>
      <c r="Z1393" s="180">
        <f>FME_Ranking1[[#This Row],[Closures Score (Normalized, Unweighted)]]*$X$3</f>
        <v>0</v>
      </c>
      <c r="AA1393" s="253">
        <f>_xlfn.XLOOKUP(FME_Ranking1[[#This Row],[FME ID]],FME_Input[FME_ID],FME_Input[ROAD_MILES100])</f>
        <v>2.8427519798278809</v>
      </c>
      <c r="AB1393" s="178">
        <f>(FME_Ranking1[[#This Row],[Miles Raw]]/$AA$2)*100</f>
        <v>3.737708981969623E-2</v>
      </c>
      <c r="AC1393" s="178">
        <f>FME_Ranking1[[#This Row],[Miles Score (Normalized, Unweighted)]]*$AA$3</f>
        <v>3.737708981969623E-3</v>
      </c>
      <c r="AD1393" s="255">
        <f>_xlfn.XLOOKUP(FME_Ranking1[[#This Row],[FME ID]],FME_Input[FME_ID],FME_Input[FARMACRE100])</f>
        <v>15.72422027587891</v>
      </c>
      <c r="AE1393" s="230">
        <f>(FME_Ranking1[[#This Row],[Ag Land Raw]]/$AD$2)*100</f>
        <v>6.4839645464716766E-4</v>
      </c>
      <c r="AF1393" s="231">
        <f>FME_Ranking1[[#This Row],[Ag Land Score (Normalized, Unweighted)]]*$AD$3</f>
        <v>3.2419822732358385E-5</v>
      </c>
      <c r="AG139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3.6545589992542669E-2</v>
      </c>
      <c r="AH1393" s="406">
        <f t="shared" si="21"/>
        <v>1415</v>
      </c>
      <c r="AI139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3.6545589992542669E-2</v>
      </c>
      <c r="AJ1393" s="257">
        <f>FME_Ranking1[[#This Row],[Addition check]]-FME_Ranking1[[#This Row],[Weighted Score Based on Normalized Reported Factors]]</f>
        <v>0</v>
      </c>
      <c r="AK1393" s="178">
        <f>_xlfn.RANK.EQ(AI1393,$AI$6:$AI$2341,0)+COUNTIF($AI$6:AI1393,AI1393)-1</f>
        <v>1416</v>
      </c>
    </row>
    <row r="1394" spans="1:37" x14ac:dyDescent="0.25">
      <c r="A1394" t="s">
        <v>4128</v>
      </c>
      <c r="B1394">
        <f>_xlfn.XLOOKUP(FME_Ranking1[[#This Row],[FME ID]],FME_Input[FME_ID],FME_Input[RFPG_NUM])</f>
        <v>3</v>
      </c>
      <c r="C1394" t="str">
        <f>_xlfn.XLOOKUP(FME_Ranking1[[#This Row],[FME ID]],FME_Input[FME_ID],FME_Input[FME_NAME])</f>
        <v>City of Maypearl DMP</v>
      </c>
      <c r="D1394" t="str">
        <f>_xlfn.XLOOKUP(FME_Ranking1[[#This Row],[FME ID]],FME_Input[FME_ID],FME_Input[DESCR])</f>
        <v>Evaluate City and identify future projects.</v>
      </c>
      <c r="E1394" s="256">
        <f>_xlfn.XLOOKUP(FME_Ranking1[[#This Row],[FME ID]],FME_Input[FME_ID],FME_Input[FME_COST])</f>
        <v>250000</v>
      </c>
      <c r="F1394" t="str">
        <f>_xlfn.XLOOKUP(FME_Ranking1[[#This Row],[FME ID]],FME_Input[FME_ID],FME_Input[EMER_NEED])</f>
        <v>No</v>
      </c>
      <c r="G1394">
        <f>IF(FME_Ranking!F1394="Yes",100,0)</f>
        <v>0</v>
      </c>
      <c r="H1394">
        <f>FME_Ranking1[[#This Row],[Emergency Need Score (Normalized, Unweighted)]]*$F$3</f>
        <v>0</v>
      </c>
      <c r="I1394" s="246">
        <f>_xlfn.XLOOKUP(FME_Ranking1[[#This Row],[FME ID]],FME_Input[FME_ID],FME_Input[STRUCT_100])</f>
        <v>41</v>
      </c>
      <c r="J1394" s="178">
        <f>(FME_Ranking1[[#This Row],[Structures 100 Raw]]/I$2)*100</f>
        <v>2.1955189992717301E-2</v>
      </c>
      <c r="K1394" s="178">
        <f>FME_Ranking1[[#This Row],[Structures 100  Score (Normalized, Unweighted)]]*$I$3</f>
        <v>3.2932784989075951E-3</v>
      </c>
      <c r="L1394" s="246">
        <f>_xlfn.XLOOKUP(FME_Ranking1[[#This Row],[FME ID]],FME_Input[FME_ID],FME_Input[RES_STRUCT100])</f>
        <v>39</v>
      </c>
      <c r="M1394" s="230">
        <f>(FME_Ranking1[[#This Row],[Res Structures Raw]]/L$2)*100</f>
        <v>2.7623918063209192E-2</v>
      </c>
      <c r="N1394" s="180">
        <f>FME_Ranking1[[#This Row],[Res Structures Score (Normalized, Unweighted)]]*$L$3</f>
        <v>2.7623918063209192E-3</v>
      </c>
      <c r="O1394" s="244">
        <f>_xlfn.XLOOKUP(FME_Ranking1[[#This Row],[FME ID]],FME_Input[FME_ID],FME_Input[POP100])</f>
        <v>51</v>
      </c>
      <c r="P1394" s="178">
        <f>(FME_Ranking1[[#This Row],[Pop Raw]]/$O$2)*100</f>
        <v>5.2211409114269278E-3</v>
      </c>
      <c r="Q1394" s="178">
        <f>FME_Ranking1[[#This Row],[Pop Score (Normalized, Unweighted)]]*$O$3</f>
        <v>7.8317113671403911E-4</v>
      </c>
      <c r="R1394" s="137">
        <f>_xlfn.XLOOKUP(FME_Ranking1[[#This Row],[FME ID]],FME_Input[FME_ID],FME_Input[CRITFAC100])</f>
        <v>3</v>
      </c>
      <c r="S1394" s="230">
        <f>(FME_Ranking1[[#This Row],[Critical Facilities Raw]]/$R$2)*100</f>
        <v>0.1286449399656947</v>
      </c>
      <c r="T1394" s="180">
        <f>FME_Ranking1[[#This Row],[Critical Facilities Score (Normalized, Unweighted)]]*$R$3</f>
        <v>2.5728987993138941E-2</v>
      </c>
      <c r="U1394">
        <f>_xlfn.XLOOKUP(FME_Ranking1[[#This Row],[FME ID]],FME_Input[FME_ID],FME_Input[LWC])</f>
        <v>0</v>
      </c>
      <c r="V1394" s="178">
        <f>(FME_Ranking1[[#This Row],[LWC Raw]]/$U$2)*100</f>
        <v>0</v>
      </c>
      <c r="W1394" s="178">
        <f>FME_Ranking1[[#This Row],[LWC Score (Normalized, Unweighted)]]*$U$3</f>
        <v>0</v>
      </c>
      <c r="X1394" s="246">
        <f>_xlfn.XLOOKUP(FME_Ranking1[[#This Row],[FME ID]],FME_Input[FME_ID],FME_Input[ROADCLS])</f>
        <v>0</v>
      </c>
      <c r="Y1394" s="230">
        <f>(FME_Ranking1[[#This Row],[Closures Raw]]/$X$2)*100</f>
        <v>0</v>
      </c>
      <c r="Z1394" s="180">
        <f>FME_Ranking1[[#This Row],[Closures Score (Normalized, Unweighted)]]*$X$3</f>
        <v>0</v>
      </c>
      <c r="AA1394" s="253">
        <f>_xlfn.XLOOKUP(FME_Ranking1[[#This Row],[FME ID]],FME_Input[FME_ID],FME_Input[ROAD_MILES100])</f>
        <v>2.217488050460815</v>
      </c>
      <c r="AB1394" s="178">
        <f>(FME_Ranking1[[#This Row],[Miles Raw]]/$AA$2)*100</f>
        <v>2.915599061202493E-2</v>
      </c>
      <c r="AC1394" s="178">
        <f>FME_Ranking1[[#This Row],[Miles Score (Normalized, Unweighted)]]*$AA$3</f>
        <v>2.9155990612024932E-3</v>
      </c>
      <c r="AD1394" s="255">
        <f>_xlfn.XLOOKUP(FME_Ranking1[[#This Row],[FME ID]],FME_Input[FME_ID],FME_Input[FARMACRE100])</f>
        <v>67.007652282714844</v>
      </c>
      <c r="AE1394" s="230">
        <f>(FME_Ranking1[[#This Row],[Ag Land Raw]]/$AD$2)*100</f>
        <v>2.7630956201364957E-3</v>
      </c>
      <c r="AF1394" s="231">
        <f>FME_Ranking1[[#This Row],[Ag Land Score (Normalized, Unweighted)]]*$AD$3</f>
        <v>1.3815478100682478E-4</v>
      </c>
      <c r="AG139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3.5621583277290807E-2</v>
      </c>
      <c r="AH1394" s="406">
        <f t="shared" si="21"/>
        <v>1423</v>
      </c>
      <c r="AI139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3.5621583277290807E-2</v>
      </c>
      <c r="AJ1394" s="257">
        <f>FME_Ranking1[[#This Row],[Addition check]]-FME_Ranking1[[#This Row],[Weighted Score Based on Normalized Reported Factors]]</f>
        <v>0</v>
      </c>
      <c r="AK1394" s="178">
        <f>_xlfn.RANK.EQ(AI1394,$AI$6:$AI$2341,0)+COUNTIF($AI$6:AI1394,AI1394)-1</f>
        <v>1423</v>
      </c>
    </row>
    <row r="1395" spans="1:37" x14ac:dyDescent="0.25">
      <c r="A1395" t="s">
        <v>10883</v>
      </c>
      <c r="B1395">
        <f>_xlfn.XLOOKUP(FME_Ranking1[[#This Row],[FME ID]],FME_Input[FME_ID],FME_Input[RFPG_NUM])</f>
        <v>14</v>
      </c>
      <c r="C1395" t="str">
        <f>_xlfn.XLOOKUP(FME_Ranking1[[#This Row],[FME ID]],FME_Input[FME_ID],FME_Input[FME_NAME])</f>
        <v>Arroyo Siphon at SH20 near Tornillo</v>
      </c>
      <c r="D1395" t="str">
        <f>_xlfn.XLOOKUP(FME_Ranking1[[#This Row],[FME ID]],FME_Input[FME_ID],FME_Input[DESCR])</f>
        <v>Coordinate with TXDOT to install siphon at SH20 to prevent road from overtopping and stormwater from entering EPCWID1 canal system.</v>
      </c>
      <c r="E1395" s="256">
        <f>_xlfn.XLOOKUP(FME_Ranking1[[#This Row],[FME ID]],FME_Input[FME_ID],FME_Input[FME_COST])</f>
        <v>38000</v>
      </c>
      <c r="F1395" t="str">
        <f>_xlfn.XLOOKUP(FME_Ranking1[[#This Row],[FME ID]],FME_Input[FME_ID],FME_Input[EMER_NEED])</f>
        <v>No</v>
      </c>
      <c r="G1395">
        <f>IF(FME_Ranking!F1395="Yes",100,0)</f>
        <v>0</v>
      </c>
      <c r="H1395">
        <f>FME_Ranking1[[#This Row],[Emergency Need Score (Normalized, Unweighted)]]*$F$3</f>
        <v>0</v>
      </c>
      <c r="I1395" s="246">
        <f>_xlfn.XLOOKUP(FME_Ranking1[[#This Row],[FME ID]],FME_Input[FME_ID],FME_Input[STRUCT_100])</f>
        <v>0</v>
      </c>
      <c r="J1395" s="178">
        <f>(FME_Ranking1[[#This Row],[Structures 100 Raw]]/I$2)*100</f>
        <v>0</v>
      </c>
      <c r="K1395" s="178">
        <f>FME_Ranking1[[#This Row],[Structures 100  Score (Normalized, Unweighted)]]*$I$3</f>
        <v>0</v>
      </c>
      <c r="L1395" s="246">
        <f>_xlfn.XLOOKUP(FME_Ranking1[[#This Row],[FME ID]],FME_Input[FME_ID],FME_Input[RES_STRUCT100])</f>
        <v>0</v>
      </c>
      <c r="M1395" s="230">
        <f>(FME_Ranking1[[#This Row],[Res Structures Raw]]/L$2)*100</f>
        <v>0</v>
      </c>
      <c r="N1395" s="180">
        <f>FME_Ranking1[[#This Row],[Res Structures Score (Normalized, Unweighted)]]*$L$3</f>
        <v>0</v>
      </c>
      <c r="O1395" s="244">
        <f>_xlfn.XLOOKUP(FME_Ranking1[[#This Row],[FME ID]],FME_Input[FME_ID],FME_Input[POP100])</f>
        <v>2126</v>
      </c>
      <c r="P1395" s="178">
        <f>(FME_Ranking1[[#This Row],[Pop Raw]]/$O$2)*100</f>
        <v>0.21764991328811073</v>
      </c>
      <c r="Q1395" s="178">
        <f>FME_Ranking1[[#This Row],[Pop Score (Normalized, Unweighted)]]*$O$3</f>
        <v>3.264748699321661E-2</v>
      </c>
      <c r="R1395" s="137">
        <f>_xlfn.XLOOKUP(FME_Ranking1[[#This Row],[FME ID]],FME_Input[FME_ID],FME_Input[CRITFAC100])</f>
        <v>0</v>
      </c>
      <c r="S1395" s="230">
        <f>(FME_Ranking1[[#This Row],[Critical Facilities Raw]]/$R$2)*100</f>
        <v>0</v>
      </c>
      <c r="T1395" s="180">
        <f>FME_Ranking1[[#This Row],[Critical Facilities Score (Normalized, Unweighted)]]*$R$3</f>
        <v>0</v>
      </c>
      <c r="U1395">
        <f>_xlfn.XLOOKUP(FME_Ranking1[[#This Row],[FME ID]],FME_Input[FME_ID],FME_Input[LWC])</f>
        <v>0</v>
      </c>
      <c r="V1395" s="178">
        <f>(FME_Ranking1[[#This Row],[LWC Raw]]/$U$2)*100</f>
        <v>0</v>
      </c>
      <c r="W1395" s="178">
        <f>FME_Ranking1[[#This Row],[LWC Score (Normalized, Unweighted)]]*$U$3</f>
        <v>0</v>
      </c>
      <c r="X1395" s="246">
        <f>_xlfn.XLOOKUP(FME_Ranking1[[#This Row],[FME ID]],FME_Input[FME_ID],FME_Input[ROADCLS])</f>
        <v>0</v>
      </c>
      <c r="Y1395" s="230">
        <f>(FME_Ranking1[[#This Row],[Closures Raw]]/$X$2)*100</f>
        <v>0</v>
      </c>
      <c r="Z1395" s="180">
        <f>FME_Ranking1[[#This Row],[Closures Score (Normalized, Unweighted)]]*$X$3</f>
        <v>0</v>
      </c>
      <c r="AA1395" s="253">
        <f>_xlfn.XLOOKUP(FME_Ranking1[[#This Row],[FME ID]],FME_Input[FME_ID],FME_Input[ROAD_MILES100])</f>
        <v>0.24706199765205381</v>
      </c>
      <c r="AB1395" s="178">
        <f>(FME_Ranking1[[#This Row],[Miles Raw]]/$AA$2)*100</f>
        <v>3.2484221426286762E-3</v>
      </c>
      <c r="AC1395" s="178">
        <f>FME_Ranking1[[#This Row],[Miles Score (Normalized, Unweighted)]]*$AA$3</f>
        <v>3.2484221426286764E-4</v>
      </c>
      <c r="AD1395" s="255">
        <f>_xlfn.XLOOKUP(FME_Ranking1[[#This Row],[FME ID]],FME_Input[FME_ID],FME_Input[FARMACRE100])</f>
        <v>10.934300422668461</v>
      </c>
      <c r="AE1395" s="230">
        <f>(FME_Ranking1[[#This Row],[Ag Land Raw]]/$AD$2)*100</f>
        <v>4.5088160199466368E-4</v>
      </c>
      <c r="AF1395" s="231">
        <f>FME_Ranking1[[#This Row],[Ag Land Score (Normalized, Unweighted)]]*$AD$3</f>
        <v>2.2544080099733185E-5</v>
      </c>
      <c r="AG139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3.2994873287579211E-2</v>
      </c>
      <c r="AH1395" s="406">
        <f t="shared" si="21"/>
        <v>1444</v>
      </c>
      <c r="AI139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3.2994873287579211E-2</v>
      </c>
      <c r="AJ1395" s="257">
        <f>FME_Ranking1[[#This Row],[Addition check]]-FME_Ranking1[[#This Row],[Weighted Score Based on Normalized Reported Factors]]</f>
        <v>0</v>
      </c>
      <c r="AK1395" s="178">
        <f>_xlfn.RANK.EQ(AI1395,$AI$6:$AI$2341,0)+COUNTIF($AI$6:AI1395,AI1395)-1</f>
        <v>1444</v>
      </c>
    </row>
    <row r="1396" spans="1:37" x14ac:dyDescent="0.25">
      <c r="A1396" t="s">
        <v>978</v>
      </c>
      <c r="B1396">
        <f>_xlfn.XLOOKUP(FME_Ranking1[[#This Row],[FME ID]],FME_Input[FME_ID],FME_Input[RFPG_NUM])</f>
        <v>6</v>
      </c>
      <c r="C1396" t="str">
        <f>_xlfn.XLOOKUP(FME_Ranking1[[#This Row],[FME ID]],FME_Input[FME_ID],FME_Input[FME_NAME])</f>
        <v xml:space="preserve">City of Hillcrest Village Drainage Improvements </v>
      </c>
      <c r="D1396" t="str">
        <f>_xlfn.XLOOKUP(FME_Ranking1[[#This Row],[FME ID]],FME_Input[FME_ID],FME_Input[DESCR])</f>
        <v xml:space="preserve">Further study and FMP developement required to assess alternatives to restore drainage and mitigate flooding throughout the City of Hillcrest Village. </v>
      </c>
      <c r="E1396" s="256">
        <f>_xlfn.XLOOKUP(FME_Ranking1[[#This Row],[FME ID]],FME_Input[FME_ID],FME_Input[FME_COST])</f>
        <v>130000</v>
      </c>
      <c r="F1396" t="str">
        <f>_xlfn.XLOOKUP(FME_Ranking1[[#This Row],[FME ID]],FME_Input[FME_ID],FME_Input[EMER_NEED])</f>
        <v>No</v>
      </c>
      <c r="G1396">
        <f>IF(FME_Ranking!F1396="Yes",100,0)</f>
        <v>0</v>
      </c>
      <c r="H1396">
        <f>FME_Ranking1[[#This Row],[Emergency Need Score (Normalized, Unweighted)]]*$F$3</f>
        <v>0</v>
      </c>
      <c r="I1396" s="246">
        <f>_xlfn.XLOOKUP(FME_Ranking1[[#This Row],[FME ID]],FME_Input[FME_ID],FME_Input[STRUCT_100])</f>
        <v>128</v>
      </c>
      <c r="J1396" s="178">
        <f>(FME_Ranking1[[#This Row],[Structures 100 Raw]]/I$2)*100</f>
        <v>6.8543032172385734E-2</v>
      </c>
      <c r="K1396" s="178">
        <f>FME_Ranking1[[#This Row],[Structures 100  Score (Normalized, Unweighted)]]*$I$3</f>
        <v>1.028145482585786E-2</v>
      </c>
      <c r="L1396" s="246">
        <f>_xlfn.XLOOKUP(FME_Ranking1[[#This Row],[FME ID]],FME_Input[FME_ID],FME_Input[RES_STRUCT100])</f>
        <v>121</v>
      </c>
      <c r="M1396" s="230">
        <f>(FME_Ranking1[[#This Row],[Res Structures Raw]]/L$2)*100</f>
        <v>8.5704976555084925E-2</v>
      </c>
      <c r="N1396" s="180">
        <f>FME_Ranking1[[#This Row],[Res Structures Score (Normalized, Unweighted)]]*$L$3</f>
        <v>8.5704976555084928E-3</v>
      </c>
      <c r="O1396" s="244">
        <f>_xlfn.XLOOKUP(FME_Ranking1[[#This Row],[FME ID]],FME_Input[FME_ID],FME_Input[POP100])</f>
        <v>333</v>
      </c>
      <c r="P1396" s="178">
        <f>(FME_Ranking1[[#This Row],[Pop Raw]]/$O$2)*100</f>
        <v>3.4090978892258178E-2</v>
      </c>
      <c r="Q1396" s="178">
        <f>FME_Ranking1[[#This Row],[Pop Score (Normalized, Unweighted)]]*$O$3</f>
        <v>5.1136468338387267E-3</v>
      </c>
      <c r="R1396" s="137">
        <f>_xlfn.XLOOKUP(FME_Ranking1[[#This Row],[FME ID]],FME_Input[FME_ID],FME_Input[CRITFAC100])</f>
        <v>1</v>
      </c>
      <c r="S1396" s="230">
        <f>(FME_Ranking1[[#This Row],[Critical Facilities Raw]]/$R$2)*100</f>
        <v>4.2881646655231559E-2</v>
      </c>
      <c r="T1396" s="180">
        <f>FME_Ranking1[[#This Row],[Critical Facilities Score (Normalized, Unweighted)]]*$R$3</f>
        <v>8.5763293310463125E-3</v>
      </c>
      <c r="U1396">
        <f>_xlfn.XLOOKUP(FME_Ranking1[[#This Row],[FME ID]],FME_Input[FME_ID],FME_Input[LWC])</f>
        <v>0</v>
      </c>
      <c r="V1396" s="178">
        <f>(FME_Ranking1[[#This Row],[LWC Raw]]/$U$2)*100</f>
        <v>0</v>
      </c>
      <c r="W1396" s="178">
        <f>FME_Ranking1[[#This Row],[LWC Score (Normalized, Unweighted)]]*$U$3</f>
        <v>0</v>
      </c>
      <c r="X1396" s="246">
        <f>_xlfn.XLOOKUP(FME_Ranking1[[#This Row],[FME ID]],FME_Input[FME_ID],FME_Input[ROADCLS])</f>
        <v>0</v>
      </c>
      <c r="Y1396" s="230">
        <f>(FME_Ranking1[[#This Row],[Closures Raw]]/$X$2)*100</f>
        <v>0</v>
      </c>
      <c r="Z1396" s="180">
        <f>FME_Ranking1[[#This Row],[Closures Score (Normalized, Unweighted)]]*$X$3</f>
        <v>0</v>
      </c>
      <c r="AA1396" s="253">
        <f>_xlfn.XLOOKUP(FME_Ranking1[[#This Row],[FME ID]],FME_Input[FME_ID],FME_Input[ROAD_MILES100])</f>
        <v>2.0717709064483638</v>
      </c>
      <c r="AB1396" s="178">
        <f>(FME_Ranking1[[#This Row],[Miles Raw]]/$AA$2)*100</f>
        <v>2.7240071524228613E-2</v>
      </c>
      <c r="AC1396" s="178">
        <f>FME_Ranking1[[#This Row],[Miles Score (Normalized, Unweighted)]]*$AA$3</f>
        <v>2.7240071524228613E-3</v>
      </c>
      <c r="AD1396" s="255">
        <f>_xlfn.XLOOKUP(FME_Ranking1[[#This Row],[FME ID]],FME_Input[FME_ID],FME_Input[FARMACRE100])</f>
        <v>0.13477444648742681</v>
      </c>
      <c r="AE1396" s="230">
        <f>(FME_Ranking1[[#This Row],[Ag Land Raw]]/$AD$2)*100</f>
        <v>5.5574948548345374E-6</v>
      </c>
      <c r="AF1396" s="231">
        <f>FME_Ranking1[[#This Row],[Ag Land Score (Normalized, Unweighted)]]*$AD$3</f>
        <v>2.7787474274172688E-7</v>
      </c>
      <c r="AG139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3.5266213673417E-2</v>
      </c>
      <c r="AH1396" s="406">
        <f t="shared" si="21"/>
        <v>1425</v>
      </c>
      <c r="AI139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3.5266213673417E-2</v>
      </c>
      <c r="AJ1396" s="257">
        <f>FME_Ranking1[[#This Row],[Addition check]]-FME_Ranking1[[#This Row],[Weighted Score Based on Normalized Reported Factors]]</f>
        <v>0</v>
      </c>
      <c r="AK1396" s="178">
        <f>_xlfn.RANK.EQ(AI1396,$AI$6:$AI$2341,0)+COUNTIF($AI$6:AI1396,AI1396)-1</f>
        <v>1425</v>
      </c>
    </row>
    <row r="1397" spans="1:37" x14ac:dyDescent="0.25">
      <c r="A1397" t="s">
        <v>982</v>
      </c>
      <c r="B1397">
        <f>_xlfn.XLOOKUP(FME_Ranking1[[#This Row],[FME ID]],FME_Input[FME_ID],FME_Input[RFPG_NUM])</f>
        <v>6</v>
      </c>
      <c r="C1397" t="str">
        <f>_xlfn.XLOOKUP(FME_Ranking1[[#This Row],[FME ID]],FME_Input[FME_ID],FME_Input[FME_NAME])</f>
        <v>City of Hillcrest Village Engineering Survey</v>
      </c>
      <c r="D1397" t="str">
        <f>_xlfn.XLOOKUP(FME_Ranking1[[#This Row],[FME ID]],FME_Input[FME_ID],FME_Input[DESCR])</f>
        <v xml:space="preserve">Conduct an engineering assessment to establish proper drainage for 24 Homes located in the high risk flood Zone. </v>
      </c>
      <c r="E1397" s="256">
        <f>_xlfn.XLOOKUP(FME_Ranking1[[#This Row],[FME ID]],FME_Input[FME_ID],FME_Input[FME_COST])</f>
        <v>300000</v>
      </c>
      <c r="F1397" t="str">
        <f>_xlfn.XLOOKUP(FME_Ranking1[[#This Row],[FME ID]],FME_Input[FME_ID],FME_Input[EMER_NEED])</f>
        <v>No</v>
      </c>
      <c r="G1397">
        <f>IF(FME_Ranking!F1397="Yes",100,0)</f>
        <v>0</v>
      </c>
      <c r="H1397">
        <f>FME_Ranking1[[#This Row],[Emergency Need Score (Normalized, Unweighted)]]*$F$3</f>
        <v>0</v>
      </c>
      <c r="I1397" s="246">
        <f>_xlfn.XLOOKUP(FME_Ranking1[[#This Row],[FME ID]],FME_Input[FME_ID],FME_Input[STRUCT_100])</f>
        <v>128</v>
      </c>
      <c r="J1397" s="178">
        <f>(FME_Ranking1[[#This Row],[Structures 100 Raw]]/I$2)*100</f>
        <v>6.8543032172385734E-2</v>
      </c>
      <c r="K1397" s="178">
        <f>FME_Ranking1[[#This Row],[Structures 100  Score (Normalized, Unweighted)]]*$I$3</f>
        <v>1.028145482585786E-2</v>
      </c>
      <c r="L1397" s="246">
        <f>_xlfn.XLOOKUP(FME_Ranking1[[#This Row],[FME ID]],FME_Input[FME_ID],FME_Input[RES_STRUCT100])</f>
        <v>121</v>
      </c>
      <c r="M1397" s="230">
        <f>(FME_Ranking1[[#This Row],[Res Structures Raw]]/L$2)*100</f>
        <v>8.5704976555084925E-2</v>
      </c>
      <c r="N1397" s="180">
        <f>FME_Ranking1[[#This Row],[Res Structures Score (Normalized, Unweighted)]]*$L$3</f>
        <v>8.5704976555084928E-3</v>
      </c>
      <c r="O1397" s="244">
        <f>_xlfn.XLOOKUP(FME_Ranking1[[#This Row],[FME ID]],FME_Input[FME_ID],FME_Input[POP100])</f>
        <v>333</v>
      </c>
      <c r="P1397" s="178">
        <f>(FME_Ranking1[[#This Row],[Pop Raw]]/$O$2)*100</f>
        <v>3.4090978892258178E-2</v>
      </c>
      <c r="Q1397" s="178">
        <f>FME_Ranking1[[#This Row],[Pop Score (Normalized, Unweighted)]]*$O$3</f>
        <v>5.1136468338387267E-3</v>
      </c>
      <c r="R1397" s="137">
        <f>_xlfn.XLOOKUP(FME_Ranking1[[#This Row],[FME ID]],FME_Input[FME_ID],FME_Input[CRITFAC100])</f>
        <v>1</v>
      </c>
      <c r="S1397" s="230">
        <f>(FME_Ranking1[[#This Row],[Critical Facilities Raw]]/$R$2)*100</f>
        <v>4.2881646655231559E-2</v>
      </c>
      <c r="T1397" s="180">
        <f>FME_Ranking1[[#This Row],[Critical Facilities Score (Normalized, Unweighted)]]*$R$3</f>
        <v>8.5763293310463125E-3</v>
      </c>
      <c r="U1397">
        <f>_xlfn.XLOOKUP(FME_Ranking1[[#This Row],[FME ID]],FME_Input[FME_ID],FME_Input[LWC])</f>
        <v>0</v>
      </c>
      <c r="V1397" s="178">
        <f>(FME_Ranking1[[#This Row],[LWC Raw]]/$U$2)*100</f>
        <v>0</v>
      </c>
      <c r="W1397" s="178">
        <f>FME_Ranking1[[#This Row],[LWC Score (Normalized, Unweighted)]]*$U$3</f>
        <v>0</v>
      </c>
      <c r="X1397" s="246">
        <f>_xlfn.XLOOKUP(FME_Ranking1[[#This Row],[FME ID]],FME_Input[FME_ID],FME_Input[ROADCLS])</f>
        <v>0</v>
      </c>
      <c r="Y1397" s="230">
        <f>(FME_Ranking1[[#This Row],[Closures Raw]]/$X$2)*100</f>
        <v>0</v>
      </c>
      <c r="Z1397" s="180">
        <f>FME_Ranking1[[#This Row],[Closures Score (Normalized, Unweighted)]]*$X$3</f>
        <v>0</v>
      </c>
      <c r="AA1397" s="253">
        <f>_xlfn.XLOOKUP(FME_Ranking1[[#This Row],[FME ID]],FME_Input[FME_ID],FME_Input[ROAD_MILES100])</f>
        <v>2.0717709064483638</v>
      </c>
      <c r="AB1397" s="178">
        <f>(FME_Ranking1[[#This Row],[Miles Raw]]/$AA$2)*100</f>
        <v>2.7240071524228613E-2</v>
      </c>
      <c r="AC1397" s="178">
        <f>FME_Ranking1[[#This Row],[Miles Score (Normalized, Unweighted)]]*$AA$3</f>
        <v>2.7240071524228613E-3</v>
      </c>
      <c r="AD1397" s="255">
        <f>_xlfn.XLOOKUP(FME_Ranking1[[#This Row],[FME ID]],FME_Input[FME_ID],FME_Input[FARMACRE100])</f>
        <v>0.13477444648742681</v>
      </c>
      <c r="AE1397" s="230">
        <f>(FME_Ranking1[[#This Row],[Ag Land Raw]]/$AD$2)*100</f>
        <v>5.5574948548345374E-6</v>
      </c>
      <c r="AF1397" s="231">
        <f>FME_Ranking1[[#This Row],[Ag Land Score (Normalized, Unweighted)]]*$AD$3</f>
        <v>2.7787474274172688E-7</v>
      </c>
      <c r="AG139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3.5266213673417E-2</v>
      </c>
      <c r="AH1397" s="406">
        <f t="shared" si="21"/>
        <v>1425</v>
      </c>
      <c r="AI139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3.5266213673417E-2</v>
      </c>
      <c r="AJ1397" s="257">
        <f>FME_Ranking1[[#This Row],[Addition check]]-FME_Ranking1[[#This Row],[Weighted Score Based on Normalized Reported Factors]]</f>
        <v>0</v>
      </c>
      <c r="AK1397" s="178">
        <f>_xlfn.RANK.EQ(AI1397,$AI$6:$AI$2341,0)+COUNTIF($AI$6:AI1397,AI1397)-1</f>
        <v>1426</v>
      </c>
    </row>
    <row r="1398" spans="1:37" x14ac:dyDescent="0.25">
      <c r="A1398" t="s">
        <v>1591</v>
      </c>
      <c r="B1398">
        <f>_xlfn.XLOOKUP(FME_Ranking1[[#This Row],[FME ID]],FME_Input[FME_ID],FME_Input[RFPG_NUM])</f>
        <v>6</v>
      </c>
      <c r="C1398" t="str">
        <f>_xlfn.XLOOKUP(FME_Ranking1[[#This Row],[FME ID]],FME_Input[FME_ID],FME_Input[FME_NAME])</f>
        <v>City of Hillcrest  Master Drainage Plan</v>
      </c>
      <c r="D1398" t="str">
        <f>_xlfn.XLOOKUP(FME_Ranking1[[#This Row],[FME ID]],FME_Input[FME_ID],FME_Input[DESCR])</f>
        <v>Study to develop Master Drainage Plan using future and existing land use and flood/storm water drainage needs including Atlas 14 rainfall.</v>
      </c>
      <c r="E1398" s="256">
        <f>_xlfn.XLOOKUP(FME_Ranking1[[#This Row],[FME ID]],FME_Input[FME_ID],FME_Input[FME_COST])</f>
        <v>130000</v>
      </c>
      <c r="F1398" t="str">
        <f>_xlfn.XLOOKUP(FME_Ranking1[[#This Row],[FME ID]],FME_Input[FME_ID],FME_Input[EMER_NEED])</f>
        <v>Yes</v>
      </c>
      <c r="G1398">
        <f>IF(FME_Ranking!F1398="Yes",100,0)</f>
        <v>100</v>
      </c>
      <c r="H1398">
        <f>FME_Ranking1[[#This Row],[Emergency Need Score (Normalized, Unweighted)]]*$F$3</f>
        <v>0</v>
      </c>
      <c r="I1398" s="246">
        <f>_xlfn.XLOOKUP(FME_Ranking1[[#This Row],[FME ID]],FME_Input[FME_ID],FME_Input[STRUCT_100])</f>
        <v>128</v>
      </c>
      <c r="J1398" s="178">
        <f>(FME_Ranking1[[#This Row],[Structures 100 Raw]]/I$2)*100</f>
        <v>6.8543032172385734E-2</v>
      </c>
      <c r="K1398" s="178">
        <f>FME_Ranking1[[#This Row],[Structures 100  Score (Normalized, Unweighted)]]*$I$3</f>
        <v>1.028145482585786E-2</v>
      </c>
      <c r="L1398" s="246">
        <f>_xlfn.XLOOKUP(FME_Ranking1[[#This Row],[FME ID]],FME_Input[FME_ID],FME_Input[RES_STRUCT100])</f>
        <v>121</v>
      </c>
      <c r="M1398" s="230">
        <f>(FME_Ranking1[[#This Row],[Res Structures Raw]]/L$2)*100</f>
        <v>8.5704976555084925E-2</v>
      </c>
      <c r="N1398" s="180">
        <f>FME_Ranking1[[#This Row],[Res Structures Score (Normalized, Unweighted)]]*$L$3</f>
        <v>8.5704976555084928E-3</v>
      </c>
      <c r="O1398" s="244">
        <f>_xlfn.XLOOKUP(FME_Ranking1[[#This Row],[FME ID]],FME_Input[FME_ID],FME_Input[POP100])</f>
        <v>333</v>
      </c>
      <c r="P1398" s="178">
        <f>(FME_Ranking1[[#This Row],[Pop Raw]]/$O$2)*100</f>
        <v>3.4090978892258178E-2</v>
      </c>
      <c r="Q1398" s="178">
        <f>FME_Ranking1[[#This Row],[Pop Score (Normalized, Unweighted)]]*$O$3</f>
        <v>5.1136468338387267E-3</v>
      </c>
      <c r="R1398" s="137">
        <f>_xlfn.XLOOKUP(FME_Ranking1[[#This Row],[FME ID]],FME_Input[FME_ID],FME_Input[CRITFAC100])</f>
        <v>1</v>
      </c>
      <c r="S1398" s="230">
        <f>(FME_Ranking1[[#This Row],[Critical Facilities Raw]]/$R$2)*100</f>
        <v>4.2881646655231559E-2</v>
      </c>
      <c r="T1398" s="180">
        <f>FME_Ranking1[[#This Row],[Critical Facilities Score (Normalized, Unweighted)]]*$R$3</f>
        <v>8.5763293310463125E-3</v>
      </c>
      <c r="U1398">
        <f>_xlfn.XLOOKUP(FME_Ranking1[[#This Row],[FME ID]],FME_Input[FME_ID],FME_Input[LWC])</f>
        <v>0</v>
      </c>
      <c r="V1398" s="178">
        <f>(FME_Ranking1[[#This Row],[LWC Raw]]/$U$2)*100</f>
        <v>0</v>
      </c>
      <c r="W1398" s="178">
        <f>FME_Ranking1[[#This Row],[LWC Score (Normalized, Unweighted)]]*$U$3</f>
        <v>0</v>
      </c>
      <c r="X1398" s="246">
        <f>_xlfn.XLOOKUP(FME_Ranking1[[#This Row],[FME ID]],FME_Input[FME_ID],FME_Input[ROADCLS])</f>
        <v>0</v>
      </c>
      <c r="Y1398" s="230">
        <f>(FME_Ranking1[[#This Row],[Closures Raw]]/$X$2)*100</f>
        <v>0</v>
      </c>
      <c r="Z1398" s="180">
        <f>FME_Ranking1[[#This Row],[Closures Score (Normalized, Unweighted)]]*$X$3</f>
        <v>0</v>
      </c>
      <c r="AA1398" s="253">
        <f>_xlfn.XLOOKUP(FME_Ranking1[[#This Row],[FME ID]],FME_Input[FME_ID],FME_Input[ROAD_MILES100])</f>
        <v>2.0717709064483638</v>
      </c>
      <c r="AB1398" s="178">
        <f>(FME_Ranking1[[#This Row],[Miles Raw]]/$AA$2)*100</f>
        <v>2.7240071524228613E-2</v>
      </c>
      <c r="AC1398" s="178">
        <f>FME_Ranking1[[#This Row],[Miles Score (Normalized, Unweighted)]]*$AA$3</f>
        <v>2.7240071524228613E-3</v>
      </c>
      <c r="AD1398" s="255">
        <f>_xlfn.XLOOKUP(FME_Ranking1[[#This Row],[FME ID]],FME_Input[FME_ID],FME_Input[FARMACRE100])</f>
        <v>0.13477444648742681</v>
      </c>
      <c r="AE1398" s="230">
        <f>(FME_Ranking1[[#This Row],[Ag Land Raw]]/$AD$2)*100</f>
        <v>5.5574948548345374E-6</v>
      </c>
      <c r="AF1398" s="231">
        <f>FME_Ranking1[[#This Row],[Ag Land Score (Normalized, Unweighted)]]*$AD$3</f>
        <v>2.7787474274172688E-7</v>
      </c>
      <c r="AG139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3.5266213673417E-2</v>
      </c>
      <c r="AH1398" s="406">
        <f t="shared" si="21"/>
        <v>1425</v>
      </c>
      <c r="AI139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3.5266213673417E-2</v>
      </c>
      <c r="AJ1398" s="257">
        <f>FME_Ranking1[[#This Row],[Addition check]]-FME_Ranking1[[#This Row],[Weighted Score Based on Normalized Reported Factors]]</f>
        <v>0</v>
      </c>
      <c r="AK1398" s="178">
        <f>_xlfn.RANK.EQ(AI1398,$AI$6:$AI$2341,0)+COUNTIF($AI$6:AI1398,AI1398)-1</f>
        <v>1427</v>
      </c>
    </row>
    <row r="1399" spans="1:37" x14ac:dyDescent="0.25">
      <c r="A1399" t="s">
        <v>3606</v>
      </c>
      <c r="B1399">
        <f>_xlfn.XLOOKUP(FME_Ranking1[[#This Row],[FME ID]],FME_Input[FME_ID],FME_Input[RFPG_NUM])</f>
        <v>2</v>
      </c>
      <c r="C1399" t="str">
        <f>_xlfn.XLOOKUP(FME_Ranking1[[#This Row],[FME ID]],FME_Input[FME_ID],FME_Input[FME_NAME])</f>
        <v>City of Hooks Infrastructure</v>
      </c>
      <c r="D1399" t="str">
        <f>_xlfn.XLOOKUP(FME_Ranking1[[#This Row],[FME ID]],FME_Input[FME_ID],FME_Input[DESCR])</f>
        <v>Widen ditches to increase the volume capacity of flash flood waters</v>
      </c>
      <c r="E1399" s="256">
        <f>_xlfn.XLOOKUP(FME_Ranking1[[#This Row],[FME ID]],FME_Input[FME_ID],FME_Input[FME_COST])</f>
        <v>250000</v>
      </c>
      <c r="F1399" t="str">
        <f>_xlfn.XLOOKUP(FME_Ranking1[[#This Row],[FME ID]],FME_Input[FME_ID],FME_Input[EMER_NEED])</f>
        <v>No</v>
      </c>
      <c r="G1399">
        <f>IF(FME_Ranking!F1399="Yes",100,0)</f>
        <v>0</v>
      </c>
      <c r="H1399">
        <f>FME_Ranking1[[#This Row],[Emergency Need Score (Normalized, Unweighted)]]*$F$3</f>
        <v>0</v>
      </c>
      <c r="I1399" s="246">
        <f>_xlfn.XLOOKUP(FME_Ranking1[[#This Row],[FME ID]],FME_Input[FME_ID],FME_Input[STRUCT_100])</f>
        <v>174</v>
      </c>
      <c r="J1399" s="178">
        <f>(FME_Ranking1[[#This Row],[Structures 100 Raw]]/I$2)*100</f>
        <v>9.3175684359336847E-2</v>
      </c>
      <c r="K1399" s="178">
        <f>FME_Ranking1[[#This Row],[Structures 100  Score (Normalized, Unweighted)]]*$I$3</f>
        <v>1.3976352653900527E-2</v>
      </c>
      <c r="L1399" s="246">
        <f>_xlfn.XLOOKUP(FME_Ranking1[[#This Row],[FME ID]],FME_Input[FME_ID],FME_Input[RES_STRUCT100])</f>
        <v>134</v>
      </c>
      <c r="M1399" s="230">
        <f>(FME_Ranking1[[#This Row],[Res Structures Raw]]/L$2)*100</f>
        <v>9.4912949242821329E-2</v>
      </c>
      <c r="N1399" s="180">
        <f>FME_Ranking1[[#This Row],[Res Structures Score (Normalized, Unweighted)]]*$L$3</f>
        <v>9.4912949242821343E-3</v>
      </c>
      <c r="O1399" s="244">
        <f>_xlfn.XLOOKUP(FME_Ranking1[[#This Row],[FME ID]],FME_Input[FME_ID],FME_Input[POP100])</f>
        <v>579</v>
      </c>
      <c r="P1399" s="178">
        <f>(FME_Ranking1[[#This Row],[Pop Raw]]/$O$2)*100</f>
        <v>5.9275305641493949E-2</v>
      </c>
      <c r="Q1399" s="178">
        <f>FME_Ranking1[[#This Row],[Pop Score (Normalized, Unweighted)]]*$O$3</f>
        <v>8.8912958462240912E-3</v>
      </c>
      <c r="R1399" s="137">
        <f>_xlfn.XLOOKUP(FME_Ranking1[[#This Row],[FME ID]],FME_Input[FME_ID],FME_Input[CRITFAC100])</f>
        <v>0</v>
      </c>
      <c r="S1399" s="230">
        <f>(FME_Ranking1[[#This Row],[Critical Facilities Raw]]/$R$2)*100</f>
        <v>0</v>
      </c>
      <c r="T1399" s="180">
        <f>FME_Ranking1[[#This Row],[Critical Facilities Score (Normalized, Unweighted)]]*$R$3</f>
        <v>0</v>
      </c>
      <c r="U1399">
        <f>_xlfn.XLOOKUP(FME_Ranking1[[#This Row],[FME ID]],FME_Input[FME_ID],FME_Input[LWC])</f>
        <v>0</v>
      </c>
      <c r="V1399" s="178">
        <f>(FME_Ranking1[[#This Row],[LWC Raw]]/$U$2)*100</f>
        <v>0</v>
      </c>
      <c r="W1399" s="178">
        <f>FME_Ranking1[[#This Row],[LWC Score (Normalized, Unweighted)]]*$U$3</f>
        <v>0</v>
      </c>
      <c r="X1399" s="246">
        <f>_xlfn.XLOOKUP(FME_Ranking1[[#This Row],[FME ID]],FME_Input[FME_ID],FME_Input[ROADCLS])</f>
        <v>0</v>
      </c>
      <c r="Y1399" s="230">
        <f>(FME_Ranking1[[#This Row],[Closures Raw]]/$X$2)*100</f>
        <v>0</v>
      </c>
      <c r="Z1399" s="180">
        <f>FME_Ranking1[[#This Row],[Closures Score (Normalized, Unweighted)]]*$X$3</f>
        <v>0</v>
      </c>
      <c r="AA1399" s="253">
        <f>_xlfn.XLOOKUP(FME_Ranking1[[#This Row],[FME ID]],FME_Input[FME_ID],FME_Input[ROAD_MILES100])</f>
        <v>3.6294524669647221</v>
      </c>
      <c r="AB1399" s="178">
        <f>(FME_Ranking1[[#This Row],[Miles Raw]]/$AA$2)*100</f>
        <v>4.7720790211980488E-2</v>
      </c>
      <c r="AC1399" s="178">
        <f>FME_Ranking1[[#This Row],[Miles Score (Normalized, Unweighted)]]*$AA$3</f>
        <v>4.7720790211980488E-3</v>
      </c>
      <c r="AD1399" s="255">
        <f>_xlfn.XLOOKUP(FME_Ranking1[[#This Row],[FME ID]],FME_Input[FME_ID],FME_Input[FARMACRE100])</f>
        <v>0.68076592683792114</v>
      </c>
      <c r="AE1399" s="230">
        <f>(FME_Ranking1[[#This Row],[Ag Land Raw]]/$AD$2)*100</f>
        <v>2.8071739371612728E-5</v>
      </c>
      <c r="AF1399" s="231">
        <f>FME_Ranking1[[#This Row],[Ag Land Score (Normalized, Unweighted)]]*$AD$3</f>
        <v>1.4035869685806366E-6</v>
      </c>
      <c r="AG139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3.7132426032573385E-2</v>
      </c>
      <c r="AH1399" s="406">
        <f t="shared" si="21"/>
        <v>1401</v>
      </c>
      <c r="AI139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3.7132426032573385E-2</v>
      </c>
      <c r="AJ1399" s="257">
        <f>FME_Ranking1[[#This Row],[Addition check]]-FME_Ranking1[[#This Row],[Weighted Score Based on Normalized Reported Factors]]</f>
        <v>0</v>
      </c>
      <c r="AK1399" s="178">
        <f>_xlfn.RANK.EQ(AI1399,$AI$6:$AI$2341,0)+COUNTIF($AI$6:AI1399,AI1399)-1</f>
        <v>1401</v>
      </c>
    </row>
    <row r="1400" spans="1:37" x14ac:dyDescent="0.25">
      <c r="A1400" t="s">
        <v>10686</v>
      </c>
      <c r="B1400">
        <f>_xlfn.XLOOKUP(FME_Ranking1[[#This Row],[FME ID]],FME_Input[FME_ID],FME_Input[RFPG_NUM])</f>
        <v>13</v>
      </c>
      <c r="C1400" t="str">
        <f>_xlfn.XLOOKUP(FME_Ranking1[[#This Row],[FME ID]],FME_Input[FME_ID],FME_Input[FME_NAME])</f>
        <v>Outfall No. 9</v>
      </c>
      <c r="D1400" t="str">
        <f>_xlfn.XLOOKUP(FME_Ranking1[[#This Row],[FME ID]],FME_Input[FME_ID],FME_Input[DESCR])</f>
        <v>Hazard mitigation drainage improvements for the City of Port Aransas. The outfall has a 8'x3' RCB extending West from HWY 361 to an existing basin, 441 ft. North of the HWY 361 and Access Road 1A intersection.</v>
      </c>
      <c r="E1400" s="256">
        <f>_xlfn.XLOOKUP(FME_Ranking1[[#This Row],[FME ID]],FME_Input[FME_ID],FME_Input[FME_COST])</f>
        <v>198000</v>
      </c>
      <c r="F1400" t="str">
        <f>_xlfn.XLOOKUP(FME_Ranking1[[#This Row],[FME ID]],FME_Input[FME_ID],FME_Input[EMER_NEED])</f>
        <v>Yes</v>
      </c>
      <c r="G1400">
        <f>IF(FME_Ranking!F1400="Yes",100,0)</f>
        <v>100</v>
      </c>
      <c r="H1400">
        <f>FME_Ranking1[[#This Row],[Emergency Need Score (Normalized, Unweighted)]]*$F$3</f>
        <v>0</v>
      </c>
      <c r="I1400" s="246">
        <f>_xlfn.XLOOKUP(FME_Ranking1[[#This Row],[FME ID]],FME_Input[FME_ID],FME_Input[STRUCT_100])</f>
        <v>69</v>
      </c>
      <c r="J1400" s="178">
        <f>(FME_Ranking1[[#This Row],[Structures 100 Raw]]/I$2)*100</f>
        <v>3.6948978280426682E-2</v>
      </c>
      <c r="K1400" s="178">
        <f>FME_Ranking1[[#This Row],[Structures 100  Score (Normalized, Unweighted)]]*$I$3</f>
        <v>5.5423467420640023E-3</v>
      </c>
      <c r="L1400" s="246">
        <f>_xlfn.XLOOKUP(FME_Ranking1[[#This Row],[FME ID]],FME_Input[FME_ID],FME_Input[RES_STRUCT100])</f>
        <v>45</v>
      </c>
      <c r="M1400" s="230">
        <f>(FME_Ranking1[[#This Row],[Res Structures Raw]]/L$2)*100</f>
        <v>3.1873751611395225E-2</v>
      </c>
      <c r="N1400" s="180">
        <f>FME_Ranking1[[#This Row],[Res Structures Score (Normalized, Unweighted)]]*$L$3</f>
        <v>3.1873751611395228E-3</v>
      </c>
      <c r="O1400" s="244">
        <f>_xlfn.XLOOKUP(FME_Ranking1[[#This Row],[FME ID]],FME_Input[FME_ID],FME_Input[POP100])</f>
        <v>131</v>
      </c>
      <c r="P1400" s="178">
        <f>(FME_Ranking1[[#This Row],[Pop Raw]]/$O$2)*100</f>
        <v>1.3411165870527989E-2</v>
      </c>
      <c r="Q1400" s="178">
        <f>FME_Ranking1[[#This Row],[Pop Score (Normalized, Unweighted)]]*$O$3</f>
        <v>2.0116748805791983E-3</v>
      </c>
      <c r="R1400" s="137">
        <f>_xlfn.XLOOKUP(FME_Ranking1[[#This Row],[FME ID]],FME_Input[FME_ID],FME_Input[CRITFAC100])</f>
        <v>2</v>
      </c>
      <c r="S1400" s="230">
        <f>(FME_Ranking1[[#This Row],[Critical Facilities Raw]]/$R$2)*100</f>
        <v>8.5763293310463118E-2</v>
      </c>
      <c r="T1400" s="180">
        <f>FME_Ranking1[[#This Row],[Critical Facilities Score (Normalized, Unweighted)]]*$R$3</f>
        <v>1.7152658662092625E-2</v>
      </c>
      <c r="U1400">
        <f>_xlfn.XLOOKUP(FME_Ranking1[[#This Row],[FME ID]],FME_Input[FME_ID],FME_Input[LWC])</f>
        <v>0</v>
      </c>
      <c r="V1400" s="178">
        <f>(FME_Ranking1[[#This Row],[LWC Raw]]/$U$2)*100</f>
        <v>0</v>
      </c>
      <c r="W1400" s="178">
        <f>FME_Ranking1[[#This Row],[LWC Score (Normalized, Unweighted)]]*$U$3</f>
        <v>0</v>
      </c>
      <c r="X1400" s="246">
        <f>_xlfn.XLOOKUP(FME_Ranking1[[#This Row],[FME ID]],FME_Input[FME_ID],FME_Input[ROADCLS])</f>
        <v>8</v>
      </c>
      <c r="Y1400" s="230">
        <f>(FME_Ranking1[[#This Row],[Closures Raw]]/$X$2)*100</f>
        <v>8.4113132162758911E-2</v>
      </c>
      <c r="Z1400" s="180">
        <f>FME_Ranking1[[#This Row],[Closures Score (Normalized, Unweighted)]]*$X$3</f>
        <v>4.2056566081379457E-3</v>
      </c>
      <c r="AA1400" s="253">
        <f>_xlfn.XLOOKUP(FME_Ranking1[[#This Row],[FME ID]],FME_Input[FME_ID],FME_Input[ROAD_MILES100])</f>
        <v>2.7879757881164551</v>
      </c>
      <c r="AB1400" s="178">
        <f>(FME_Ranking1[[#This Row],[Miles Raw]]/$AA$2)*100</f>
        <v>3.6656881144403068E-2</v>
      </c>
      <c r="AC1400" s="178">
        <f>FME_Ranking1[[#This Row],[Miles Score (Normalized, Unweighted)]]*$AA$3</f>
        <v>3.6656881144403069E-3</v>
      </c>
      <c r="AD1400" s="255">
        <f>_xlfn.XLOOKUP(FME_Ranking1[[#This Row],[FME ID]],FME_Input[FME_ID],FME_Input[FARMACRE100])</f>
        <v>0.9343218207359314</v>
      </c>
      <c r="AE1400" s="230">
        <f>(FME_Ranking1[[#This Row],[Ag Land Raw]]/$AD$2)*100</f>
        <v>3.8527249392072158E-5</v>
      </c>
      <c r="AF1400" s="231">
        <f>FME_Ranking1[[#This Row],[Ag Land Score (Normalized, Unweighted)]]*$AD$3</f>
        <v>1.926362469603608E-6</v>
      </c>
      <c r="AG140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3.5767326530923203E-2</v>
      </c>
      <c r="AH1400" s="406">
        <f t="shared" si="21"/>
        <v>1422</v>
      </c>
      <c r="AI140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3.5767326530923203E-2</v>
      </c>
      <c r="AJ1400" s="257">
        <f>FME_Ranking1[[#This Row],[Addition check]]-FME_Ranking1[[#This Row],[Weighted Score Based on Normalized Reported Factors]]</f>
        <v>0</v>
      </c>
      <c r="AK1400" s="178">
        <f>_xlfn.RANK.EQ(AI1400,$AI$6:$AI$2341,0)+COUNTIF($AI$6:AI1400,AI1400)-1</f>
        <v>1422</v>
      </c>
    </row>
    <row r="1401" spans="1:37" x14ac:dyDescent="0.25">
      <c r="A1401" t="s">
        <v>4351</v>
      </c>
      <c r="B1401">
        <f>_xlfn.XLOOKUP(FME_Ranking1[[#This Row],[FME ID]],FME_Input[FME_ID],FME_Input[RFPG_NUM])</f>
        <v>3</v>
      </c>
      <c r="C1401" t="str">
        <f>_xlfn.XLOOKUP(FME_Ranking1[[#This Row],[FME ID]],FME_Input[FME_ID],FME_Input[FME_NAME])</f>
        <v>Eastern Meadows-Southlake Estates-Greenbrook-Green Acres-Rosehill Acreage Drainage Study Update</v>
      </c>
      <c r="D1401" t="str">
        <f>_xlfn.XLOOKUP(FME_Ranking1[[#This Row],[FME ID]],FME_Input[FME_ID],FME_Input[DESCR])</f>
        <v>Area 10</v>
      </c>
      <c r="E1401" s="256">
        <f>_xlfn.XLOOKUP(FME_Ranking1[[#This Row],[FME ID]],FME_Input[FME_ID],FME_Input[FME_COST])</f>
        <v>81000</v>
      </c>
      <c r="F1401" t="str">
        <f>_xlfn.XLOOKUP(FME_Ranking1[[#This Row],[FME ID]],FME_Input[FME_ID],FME_Input[EMER_NEED])</f>
        <v>No</v>
      </c>
      <c r="G1401">
        <f>IF(FME_Ranking!F1401="Yes",100,0)</f>
        <v>0</v>
      </c>
      <c r="H1401">
        <f>FME_Ranking1[[#This Row],[Emergency Need Score (Normalized, Unweighted)]]*$F$3</f>
        <v>0</v>
      </c>
      <c r="I1401" s="246">
        <f>_xlfn.XLOOKUP(FME_Ranking1[[#This Row],[FME ID]],FME_Input[FME_ID],FME_Input[STRUCT_100])</f>
        <v>13</v>
      </c>
      <c r="J1401" s="178">
        <f>(FME_Ranking1[[#This Row],[Structures 100 Raw]]/I$2)*100</f>
        <v>6.961401705007926E-3</v>
      </c>
      <c r="K1401" s="178">
        <f>FME_Ranking1[[#This Row],[Structures 100  Score (Normalized, Unweighted)]]*$I$3</f>
        <v>1.0442102557511889E-3</v>
      </c>
      <c r="L1401" s="246">
        <f>_xlfn.XLOOKUP(FME_Ranking1[[#This Row],[FME ID]],FME_Input[FME_ID],FME_Input[RES_STRUCT100])</f>
        <v>8</v>
      </c>
      <c r="M1401" s="230">
        <f>(FME_Ranking1[[#This Row],[Res Structures Raw]]/L$2)*100</f>
        <v>5.666444730914706E-3</v>
      </c>
      <c r="N1401" s="180">
        <f>FME_Ranking1[[#This Row],[Res Structures Score (Normalized, Unweighted)]]*$L$3</f>
        <v>5.6664447309147067E-4</v>
      </c>
      <c r="O1401" s="244">
        <f>_xlfn.XLOOKUP(FME_Ranking1[[#This Row],[FME ID]],FME_Input[FME_ID],FME_Input[POP100])</f>
        <v>24</v>
      </c>
      <c r="P1401" s="178">
        <f>(FME_Ranking1[[#This Row],[Pop Raw]]/$O$2)*100</f>
        <v>2.457007487730319E-3</v>
      </c>
      <c r="Q1401" s="178">
        <f>FME_Ranking1[[#This Row],[Pop Score (Normalized, Unweighted)]]*$O$3</f>
        <v>3.6855112315954783E-4</v>
      </c>
      <c r="R1401" s="137">
        <f>_xlfn.XLOOKUP(FME_Ranking1[[#This Row],[FME ID]],FME_Input[FME_ID],FME_Input[CRITFAC100])</f>
        <v>2</v>
      </c>
      <c r="S1401" s="230">
        <f>(FME_Ranking1[[#This Row],[Critical Facilities Raw]]/$R$2)*100</f>
        <v>8.5763293310463118E-2</v>
      </c>
      <c r="T1401" s="180">
        <f>FME_Ranking1[[#This Row],[Critical Facilities Score (Normalized, Unweighted)]]*$R$3</f>
        <v>1.7152658662092625E-2</v>
      </c>
      <c r="U1401">
        <f>_xlfn.XLOOKUP(FME_Ranking1[[#This Row],[FME ID]],FME_Input[FME_ID],FME_Input[LWC])</f>
        <v>1</v>
      </c>
      <c r="V1401" s="178">
        <f>(FME_Ranking1[[#This Row],[LWC Raw]]/$U$2)*100</f>
        <v>5.7570523891767422E-2</v>
      </c>
      <c r="W1401" s="178">
        <f>FME_Ranking1[[#This Row],[LWC Score (Normalized, Unweighted)]]*$U$3</f>
        <v>1.1514104778353485E-2</v>
      </c>
      <c r="X1401" s="246">
        <f>_xlfn.XLOOKUP(FME_Ranking1[[#This Row],[FME ID]],FME_Input[FME_ID],FME_Input[ROADCLS])</f>
        <v>0</v>
      </c>
      <c r="Y1401" s="230">
        <f>(FME_Ranking1[[#This Row],[Closures Raw]]/$X$2)*100</f>
        <v>0</v>
      </c>
      <c r="Z1401" s="180">
        <f>FME_Ranking1[[#This Row],[Closures Score (Normalized, Unweighted)]]*$X$3</f>
        <v>0</v>
      </c>
      <c r="AA1401" s="253">
        <f>_xlfn.XLOOKUP(FME_Ranking1[[#This Row],[FME ID]],FME_Input[FME_ID],FME_Input[ROAD_MILES100])</f>
        <v>2.1878209114074711</v>
      </c>
      <c r="AB1401" s="178">
        <f>(FME_Ranking1[[#This Row],[Miles Raw]]/$AA$2)*100</f>
        <v>2.8765920943985369E-2</v>
      </c>
      <c r="AC1401" s="178">
        <f>FME_Ranking1[[#This Row],[Miles Score (Normalized, Unweighted)]]*$AA$3</f>
        <v>2.876592094398537E-3</v>
      </c>
      <c r="AD1401" s="255">
        <f>_xlfn.XLOOKUP(FME_Ranking1[[#This Row],[FME ID]],FME_Input[FME_ID],FME_Input[FARMACRE100])</f>
        <v>628.71441650390625</v>
      </c>
      <c r="AE1401" s="230">
        <f>(FME_Ranking1[[#This Row],[Ag Land Raw]]/$AD$2)*100</f>
        <v>2.5925368094216007E-2</v>
      </c>
      <c r="AF1401" s="231">
        <f>FME_Ranking1[[#This Row],[Ag Land Score (Normalized, Unweighted)]]*$AD$3</f>
        <v>1.2962684047108004E-3</v>
      </c>
      <c r="AG140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3.4819029791557654E-2</v>
      </c>
      <c r="AH1401" s="406">
        <f t="shared" si="21"/>
        <v>1429</v>
      </c>
      <c r="AI140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3.4819029791557654E-2</v>
      </c>
      <c r="AJ1401" s="257">
        <f>FME_Ranking1[[#This Row],[Addition check]]-FME_Ranking1[[#This Row],[Weighted Score Based on Normalized Reported Factors]]</f>
        <v>0</v>
      </c>
      <c r="AK1401" s="178">
        <f>_xlfn.RANK.EQ(AI1401,$AI$6:$AI$2341,0)+COUNTIF($AI$6:AI1401,AI1401)-1</f>
        <v>1429</v>
      </c>
    </row>
    <row r="1402" spans="1:37" x14ac:dyDescent="0.25">
      <c r="A1402" t="s">
        <v>5339</v>
      </c>
      <c r="B1402">
        <f>_xlfn.XLOOKUP(FME_Ranking1[[#This Row],[FME ID]],FME_Input[FME_ID],FME_Input[RFPG_NUM])</f>
        <v>3</v>
      </c>
      <c r="C1402" t="str">
        <f>_xlfn.XLOOKUP(FME_Ranking1[[#This Row],[FME ID]],FME_Input[FME_ID],FME_Input[FME_NAME])</f>
        <v>Cottonwood Creek of Ten Mile Creek at Kissell (College) Road</v>
      </c>
      <c r="D1402" t="str">
        <f>_xlfn.XLOOKUP(FME_Ranking1[[#This Row],[FME ID]],FME_Input[FME_ID],FME_Input[DESCR])</f>
        <v>Evaluate bridge improvements for Kissell (College) Road over Cottonwood Creek of Ten Mile Creek</v>
      </c>
      <c r="E1402" s="256">
        <f>_xlfn.XLOOKUP(FME_Ranking1[[#This Row],[FME ID]],FME_Input[FME_ID],FME_Input[FME_COST])</f>
        <v>250000</v>
      </c>
      <c r="F1402" t="str">
        <f>_xlfn.XLOOKUP(FME_Ranking1[[#This Row],[FME ID]],FME_Input[FME_ID],FME_Input[EMER_NEED])</f>
        <v>No</v>
      </c>
      <c r="G1402">
        <f>IF(FME_Ranking!F1402="Yes",100,0)</f>
        <v>0</v>
      </c>
      <c r="H1402">
        <f>FME_Ranking1[[#This Row],[Emergency Need Score (Normalized, Unweighted)]]*$F$3</f>
        <v>0</v>
      </c>
      <c r="I1402" s="246">
        <f>_xlfn.XLOOKUP(FME_Ranking1[[#This Row],[FME ID]],FME_Input[FME_ID],FME_Input[STRUCT_100])</f>
        <v>47</v>
      </c>
      <c r="J1402" s="178">
        <f>(FME_Ranking1[[#This Row],[Structures 100 Raw]]/I$2)*100</f>
        <v>2.5168144625797882E-2</v>
      </c>
      <c r="K1402" s="178">
        <f>FME_Ranking1[[#This Row],[Structures 100  Score (Normalized, Unweighted)]]*$I$3</f>
        <v>3.7752216938696822E-3</v>
      </c>
      <c r="L1402" s="246">
        <f>_xlfn.XLOOKUP(FME_Ranking1[[#This Row],[FME ID]],FME_Input[FME_ID],FME_Input[RES_STRUCT100])</f>
        <v>47</v>
      </c>
      <c r="M1402" s="230">
        <f>(FME_Ranking1[[#This Row],[Res Structures Raw]]/L$2)*100</f>
        <v>3.3290362794123896E-2</v>
      </c>
      <c r="N1402" s="180">
        <f>FME_Ranking1[[#This Row],[Res Structures Score (Normalized, Unweighted)]]*$L$3</f>
        <v>3.3290362794123896E-3</v>
      </c>
      <c r="O1402" s="244">
        <f>_xlfn.XLOOKUP(FME_Ranking1[[#This Row],[FME ID]],FME_Input[FME_ID],FME_Input[POP100])</f>
        <v>106</v>
      </c>
      <c r="P1402" s="178">
        <f>(FME_Ranking1[[#This Row],[Pop Raw]]/$O$2)*100</f>
        <v>1.0851783070808909E-2</v>
      </c>
      <c r="Q1402" s="178">
        <f>FME_Ranking1[[#This Row],[Pop Score (Normalized, Unweighted)]]*$O$3</f>
        <v>1.6277674606213364E-3</v>
      </c>
      <c r="R1402" s="137">
        <f>_xlfn.XLOOKUP(FME_Ranking1[[#This Row],[FME ID]],FME_Input[FME_ID],FME_Input[CRITFAC100])</f>
        <v>0</v>
      </c>
      <c r="S1402" s="230">
        <f>(FME_Ranking1[[#This Row],[Critical Facilities Raw]]/$R$2)*100</f>
        <v>0</v>
      </c>
      <c r="T1402" s="180">
        <f>FME_Ranking1[[#This Row],[Critical Facilities Score (Normalized, Unweighted)]]*$R$3</f>
        <v>0</v>
      </c>
      <c r="U1402">
        <f>_xlfn.XLOOKUP(FME_Ranking1[[#This Row],[FME ID]],FME_Input[FME_ID],FME_Input[LWC])</f>
        <v>2</v>
      </c>
      <c r="V1402" s="178">
        <f>(FME_Ranking1[[#This Row],[LWC Raw]]/$U$2)*100</f>
        <v>0.11514104778353484</v>
      </c>
      <c r="W1402" s="178">
        <f>FME_Ranking1[[#This Row],[LWC Score (Normalized, Unweighted)]]*$U$3</f>
        <v>2.302820955670697E-2</v>
      </c>
      <c r="X1402" s="246">
        <f>_xlfn.XLOOKUP(FME_Ranking1[[#This Row],[FME ID]],FME_Input[FME_ID],FME_Input[ROADCLS])</f>
        <v>0</v>
      </c>
      <c r="Y1402" s="230">
        <f>(FME_Ranking1[[#This Row],[Closures Raw]]/$X$2)*100</f>
        <v>0</v>
      </c>
      <c r="Z1402" s="180">
        <f>FME_Ranking1[[#This Row],[Closures Score (Normalized, Unweighted)]]*$X$3</f>
        <v>0</v>
      </c>
      <c r="AA1402" s="253">
        <f>_xlfn.XLOOKUP(FME_Ranking1[[#This Row],[FME ID]],FME_Input[FME_ID],FME_Input[ROAD_MILES100])</f>
        <v>1.8646450042724609</v>
      </c>
      <c r="AB1402" s="178">
        <f>(FME_Ranking1[[#This Row],[Miles Raw]]/$AA$2)*100</f>
        <v>2.4516737408361397E-2</v>
      </c>
      <c r="AC1402" s="178">
        <f>FME_Ranking1[[#This Row],[Miles Score (Normalized, Unweighted)]]*$AA$3</f>
        <v>2.45167374083614E-3</v>
      </c>
      <c r="AD1402" s="255">
        <f>_xlfn.XLOOKUP(FME_Ranking1[[#This Row],[FME ID]],FME_Input[FME_ID],FME_Input[FARMACRE100])</f>
        <v>74.191802978515625</v>
      </c>
      <c r="AE1402" s="230">
        <f>(FME_Ranking1[[#This Row],[Ag Land Raw]]/$AD$2)*100</f>
        <v>3.0593378349542243E-3</v>
      </c>
      <c r="AF1402" s="231">
        <f>FME_Ranking1[[#This Row],[Ag Land Score (Normalized, Unweighted)]]*$AD$3</f>
        <v>1.5296689174771122E-4</v>
      </c>
      <c r="AG140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3.4364875623194222E-2</v>
      </c>
      <c r="AH1402" s="406">
        <f t="shared" si="21"/>
        <v>1435</v>
      </c>
      <c r="AI140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3.4364875623194222E-2</v>
      </c>
      <c r="AJ1402" s="257">
        <f>FME_Ranking1[[#This Row],[Addition check]]-FME_Ranking1[[#This Row],[Weighted Score Based on Normalized Reported Factors]]</f>
        <v>0</v>
      </c>
      <c r="AK1402" s="178">
        <f>_xlfn.RANK.EQ(AI1402,$AI$6:$AI$2341,0)+COUNTIF($AI$6:AI1402,AI1402)-1</f>
        <v>1435</v>
      </c>
    </row>
    <row r="1403" spans="1:37" x14ac:dyDescent="0.25">
      <c r="A1403" t="s">
        <v>5386</v>
      </c>
      <c r="B1403">
        <f>_xlfn.XLOOKUP(FME_Ranking1[[#This Row],[FME ID]],FME_Input[FME_ID],FME_Input[RFPG_NUM])</f>
        <v>3</v>
      </c>
      <c r="C1403" t="str">
        <f>_xlfn.XLOOKUP(FME_Ranking1[[#This Row],[FME ID]],FME_Input[FME_ID],FME_Input[FME_NAME])</f>
        <v>Stream 4A5 at Goode Road</v>
      </c>
      <c r="D1403" t="str">
        <f>_xlfn.XLOOKUP(FME_Ranking1[[#This Row],[FME ID]],FME_Input[FME_ID],FME_Input[DESCR])</f>
        <v>Evaluate bridge improvements for Goode Road over Stream 4A5</v>
      </c>
      <c r="E1403" s="256">
        <f>_xlfn.XLOOKUP(FME_Ranking1[[#This Row],[FME ID]],FME_Input[FME_ID],FME_Input[FME_COST])</f>
        <v>250000</v>
      </c>
      <c r="F1403" t="str">
        <f>_xlfn.XLOOKUP(FME_Ranking1[[#This Row],[FME ID]],FME_Input[FME_ID],FME_Input[EMER_NEED])</f>
        <v>No</v>
      </c>
      <c r="G1403">
        <f>IF(FME_Ranking!F1403="Yes",100,0)</f>
        <v>0</v>
      </c>
      <c r="H1403">
        <f>FME_Ranking1[[#This Row],[Emergency Need Score (Normalized, Unweighted)]]*$F$3</f>
        <v>0</v>
      </c>
      <c r="I1403" s="246">
        <f>_xlfn.XLOOKUP(FME_Ranking1[[#This Row],[FME ID]],FME_Input[FME_ID],FME_Input[STRUCT_100])</f>
        <v>47</v>
      </c>
      <c r="J1403" s="178">
        <f>(FME_Ranking1[[#This Row],[Structures 100 Raw]]/I$2)*100</f>
        <v>2.5168144625797882E-2</v>
      </c>
      <c r="K1403" s="178">
        <f>FME_Ranking1[[#This Row],[Structures 100  Score (Normalized, Unweighted)]]*$I$3</f>
        <v>3.7752216938696822E-3</v>
      </c>
      <c r="L1403" s="246">
        <f>_xlfn.XLOOKUP(FME_Ranking1[[#This Row],[FME ID]],FME_Input[FME_ID],FME_Input[RES_STRUCT100])</f>
        <v>47</v>
      </c>
      <c r="M1403" s="230">
        <f>(FME_Ranking1[[#This Row],[Res Structures Raw]]/L$2)*100</f>
        <v>3.3290362794123896E-2</v>
      </c>
      <c r="N1403" s="180">
        <f>FME_Ranking1[[#This Row],[Res Structures Score (Normalized, Unweighted)]]*$L$3</f>
        <v>3.3290362794123896E-3</v>
      </c>
      <c r="O1403" s="244">
        <f>_xlfn.XLOOKUP(FME_Ranking1[[#This Row],[FME ID]],FME_Input[FME_ID],FME_Input[POP100])</f>
        <v>106</v>
      </c>
      <c r="P1403" s="178">
        <f>(FME_Ranking1[[#This Row],[Pop Raw]]/$O$2)*100</f>
        <v>1.0851783070808909E-2</v>
      </c>
      <c r="Q1403" s="178">
        <f>FME_Ranking1[[#This Row],[Pop Score (Normalized, Unweighted)]]*$O$3</f>
        <v>1.6277674606213364E-3</v>
      </c>
      <c r="R1403" s="137">
        <f>_xlfn.XLOOKUP(FME_Ranking1[[#This Row],[FME ID]],FME_Input[FME_ID],FME_Input[CRITFAC100])</f>
        <v>0</v>
      </c>
      <c r="S1403" s="230">
        <f>(FME_Ranking1[[#This Row],[Critical Facilities Raw]]/$R$2)*100</f>
        <v>0</v>
      </c>
      <c r="T1403" s="180">
        <f>FME_Ranking1[[#This Row],[Critical Facilities Score (Normalized, Unweighted)]]*$R$3</f>
        <v>0</v>
      </c>
      <c r="U1403">
        <f>_xlfn.XLOOKUP(FME_Ranking1[[#This Row],[FME ID]],FME_Input[FME_ID],FME_Input[LWC])</f>
        <v>2</v>
      </c>
      <c r="V1403" s="178">
        <f>(FME_Ranking1[[#This Row],[LWC Raw]]/$U$2)*100</f>
        <v>0.11514104778353484</v>
      </c>
      <c r="W1403" s="178">
        <f>FME_Ranking1[[#This Row],[LWC Score (Normalized, Unweighted)]]*$U$3</f>
        <v>2.302820955670697E-2</v>
      </c>
      <c r="X1403" s="246">
        <f>_xlfn.XLOOKUP(FME_Ranking1[[#This Row],[FME ID]],FME_Input[FME_ID],FME_Input[ROADCLS])</f>
        <v>0</v>
      </c>
      <c r="Y1403" s="230">
        <f>(FME_Ranking1[[#This Row],[Closures Raw]]/$X$2)*100</f>
        <v>0</v>
      </c>
      <c r="Z1403" s="180">
        <f>FME_Ranking1[[#This Row],[Closures Score (Normalized, Unweighted)]]*$X$3</f>
        <v>0</v>
      </c>
      <c r="AA1403" s="253">
        <f>_xlfn.XLOOKUP(FME_Ranking1[[#This Row],[FME ID]],FME_Input[FME_ID],FME_Input[ROAD_MILES100])</f>
        <v>1.8646450042724609</v>
      </c>
      <c r="AB1403" s="178">
        <f>(FME_Ranking1[[#This Row],[Miles Raw]]/$AA$2)*100</f>
        <v>2.4516737408361397E-2</v>
      </c>
      <c r="AC1403" s="178">
        <f>FME_Ranking1[[#This Row],[Miles Score (Normalized, Unweighted)]]*$AA$3</f>
        <v>2.45167374083614E-3</v>
      </c>
      <c r="AD1403" s="255">
        <f>_xlfn.XLOOKUP(FME_Ranking1[[#This Row],[FME ID]],FME_Input[FME_ID],FME_Input[FARMACRE100])</f>
        <v>74.191802978515625</v>
      </c>
      <c r="AE1403" s="230">
        <f>(FME_Ranking1[[#This Row],[Ag Land Raw]]/$AD$2)*100</f>
        <v>3.0593378349542243E-3</v>
      </c>
      <c r="AF1403" s="231">
        <f>FME_Ranking1[[#This Row],[Ag Land Score (Normalized, Unweighted)]]*$AD$3</f>
        <v>1.5296689174771122E-4</v>
      </c>
      <c r="AG140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3.4364875623194222E-2</v>
      </c>
      <c r="AH1403" s="406">
        <f t="shared" si="21"/>
        <v>1435</v>
      </c>
      <c r="AI140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3.4364875623194222E-2</v>
      </c>
      <c r="AJ1403" s="257">
        <f>FME_Ranking1[[#This Row],[Addition check]]-FME_Ranking1[[#This Row],[Weighted Score Based on Normalized Reported Factors]]</f>
        <v>0</v>
      </c>
      <c r="AK1403" s="178">
        <f>_xlfn.RANK.EQ(AI1403,$AI$6:$AI$2341,0)+COUNTIF($AI$6:AI1403,AI1403)-1</f>
        <v>1436</v>
      </c>
    </row>
    <row r="1404" spans="1:37" x14ac:dyDescent="0.25">
      <c r="A1404" t="s">
        <v>5389</v>
      </c>
      <c r="B1404">
        <f>_xlfn.XLOOKUP(FME_Ranking1[[#This Row],[FME ID]],FME_Input[FME_ID],FME_Input[RFPG_NUM])</f>
        <v>3</v>
      </c>
      <c r="C1404" t="str">
        <f>_xlfn.XLOOKUP(FME_Ranking1[[#This Row],[FME ID]],FME_Input[FME_ID],FME_Input[FME_NAME])</f>
        <v>Stream 4A5 at IH 45</v>
      </c>
      <c r="D1404" t="str">
        <f>_xlfn.XLOOKUP(FME_Ranking1[[#This Row],[FME ID]],FME_Input[FME_ID],FME_Input[DESCR])</f>
        <v>Evaluate bridge improvements for IH 45 over Stream 4A5</v>
      </c>
      <c r="E1404" s="256">
        <f>_xlfn.XLOOKUP(FME_Ranking1[[#This Row],[FME ID]],FME_Input[FME_ID],FME_Input[FME_COST])</f>
        <v>250000</v>
      </c>
      <c r="F1404" t="str">
        <f>_xlfn.XLOOKUP(FME_Ranking1[[#This Row],[FME ID]],FME_Input[FME_ID],FME_Input[EMER_NEED])</f>
        <v>No</v>
      </c>
      <c r="G1404">
        <f>IF(FME_Ranking!F1404="Yes",100,0)</f>
        <v>0</v>
      </c>
      <c r="H1404">
        <f>FME_Ranking1[[#This Row],[Emergency Need Score (Normalized, Unweighted)]]*$F$3</f>
        <v>0</v>
      </c>
      <c r="I1404" s="246">
        <f>_xlfn.XLOOKUP(FME_Ranking1[[#This Row],[FME ID]],FME_Input[FME_ID],FME_Input[STRUCT_100])</f>
        <v>47</v>
      </c>
      <c r="J1404" s="178">
        <f>(FME_Ranking1[[#This Row],[Structures 100 Raw]]/I$2)*100</f>
        <v>2.5168144625797882E-2</v>
      </c>
      <c r="K1404" s="178">
        <f>FME_Ranking1[[#This Row],[Structures 100  Score (Normalized, Unweighted)]]*$I$3</f>
        <v>3.7752216938696822E-3</v>
      </c>
      <c r="L1404" s="246">
        <f>_xlfn.XLOOKUP(FME_Ranking1[[#This Row],[FME ID]],FME_Input[FME_ID],FME_Input[RES_STRUCT100])</f>
        <v>47</v>
      </c>
      <c r="M1404" s="230">
        <f>(FME_Ranking1[[#This Row],[Res Structures Raw]]/L$2)*100</f>
        <v>3.3290362794123896E-2</v>
      </c>
      <c r="N1404" s="180">
        <f>FME_Ranking1[[#This Row],[Res Structures Score (Normalized, Unweighted)]]*$L$3</f>
        <v>3.3290362794123896E-3</v>
      </c>
      <c r="O1404" s="244">
        <f>_xlfn.XLOOKUP(FME_Ranking1[[#This Row],[FME ID]],FME_Input[FME_ID],FME_Input[POP100])</f>
        <v>106</v>
      </c>
      <c r="P1404" s="178">
        <f>(FME_Ranking1[[#This Row],[Pop Raw]]/$O$2)*100</f>
        <v>1.0851783070808909E-2</v>
      </c>
      <c r="Q1404" s="178">
        <f>FME_Ranking1[[#This Row],[Pop Score (Normalized, Unweighted)]]*$O$3</f>
        <v>1.6277674606213364E-3</v>
      </c>
      <c r="R1404" s="137">
        <f>_xlfn.XLOOKUP(FME_Ranking1[[#This Row],[FME ID]],FME_Input[FME_ID],FME_Input[CRITFAC100])</f>
        <v>0</v>
      </c>
      <c r="S1404" s="230">
        <f>(FME_Ranking1[[#This Row],[Critical Facilities Raw]]/$R$2)*100</f>
        <v>0</v>
      </c>
      <c r="T1404" s="180">
        <f>FME_Ranking1[[#This Row],[Critical Facilities Score (Normalized, Unweighted)]]*$R$3</f>
        <v>0</v>
      </c>
      <c r="U1404">
        <f>_xlfn.XLOOKUP(FME_Ranking1[[#This Row],[FME ID]],FME_Input[FME_ID],FME_Input[LWC])</f>
        <v>2</v>
      </c>
      <c r="V1404" s="178">
        <f>(FME_Ranking1[[#This Row],[LWC Raw]]/$U$2)*100</f>
        <v>0.11514104778353484</v>
      </c>
      <c r="W1404" s="178">
        <f>FME_Ranking1[[#This Row],[LWC Score (Normalized, Unweighted)]]*$U$3</f>
        <v>2.302820955670697E-2</v>
      </c>
      <c r="X1404" s="246">
        <f>_xlfn.XLOOKUP(FME_Ranking1[[#This Row],[FME ID]],FME_Input[FME_ID],FME_Input[ROADCLS])</f>
        <v>0</v>
      </c>
      <c r="Y1404" s="230">
        <f>(FME_Ranking1[[#This Row],[Closures Raw]]/$X$2)*100</f>
        <v>0</v>
      </c>
      <c r="Z1404" s="180">
        <f>FME_Ranking1[[#This Row],[Closures Score (Normalized, Unweighted)]]*$X$3</f>
        <v>0</v>
      </c>
      <c r="AA1404" s="253">
        <f>_xlfn.XLOOKUP(FME_Ranking1[[#This Row],[FME ID]],FME_Input[FME_ID],FME_Input[ROAD_MILES100])</f>
        <v>1.8646450042724609</v>
      </c>
      <c r="AB1404" s="178">
        <f>(FME_Ranking1[[#This Row],[Miles Raw]]/$AA$2)*100</f>
        <v>2.4516737408361397E-2</v>
      </c>
      <c r="AC1404" s="178">
        <f>FME_Ranking1[[#This Row],[Miles Score (Normalized, Unweighted)]]*$AA$3</f>
        <v>2.45167374083614E-3</v>
      </c>
      <c r="AD1404" s="255">
        <f>_xlfn.XLOOKUP(FME_Ranking1[[#This Row],[FME ID]],FME_Input[FME_ID],FME_Input[FARMACRE100])</f>
        <v>74.191802978515625</v>
      </c>
      <c r="AE1404" s="230">
        <f>(FME_Ranking1[[#This Row],[Ag Land Raw]]/$AD$2)*100</f>
        <v>3.0593378349542243E-3</v>
      </c>
      <c r="AF1404" s="231">
        <f>FME_Ranking1[[#This Row],[Ag Land Score (Normalized, Unweighted)]]*$AD$3</f>
        <v>1.5296689174771122E-4</v>
      </c>
      <c r="AG140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3.4364875623194222E-2</v>
      </c>
      <c r="AH1404" s="406">
        <f t="shared" si="21"/>
        <v>1435</v>
      </c>
      <c r="AI140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3.4364875623194222E-2</v>
      </c>
      <c r="AJ1404" s="257">
        <f>FME_Ranking1[[#This Row],[Addition check]]-FME_Ranking1[[#This Row],[Weighted Score Based on Normalized Reported Factors]]</f>
        <v>0</v>
      </c>
      <c r="AK1404" s="178">
        <f>_xlfn.RANK.EQ(AI1404,$AI$6:$AI$2341,0)+COUNTIF($AI$6:AI1404,AI1404)-1</f>
        <v>1437</v>
      </c>
    </row>
    <row r="1405" spans="1:37" x14ac:dyDescent="0.25">
      <c r="A1405" t="s">
        <v>5986</v>
      </c>
      <c r="B1405">
        <f>_xlfn.XLOOKUP(FME_Ranking1[[#This Row],[FME ID]],FME_Input[FME_ID],FME_Input[RFPG_NUM])</f>
        <v>5</v>
      </c>
      <c r="C1405" t="str">
        <f>_xlfn.XLOOKUP(FME_Ranking1[[#This Row],[FME ID]],FME_Input[FME_ID],FME_Input[FME_NAME])</f>
        <v>Van Zandt County Update Flood Hazard Mapping</v>
      </c>
      <c r="D1405" t="str">
        <f>_xlfn.XLOOKUP(FME_Ranking1[[#This Row],[FME ID]],FME_Input[FME_ID],FME_Input[DESCR])</f>
        <v>Complete a detailed study within the county extent to delineate an updated flood hazard area, which can be used for regulatory purposes.</v>
      </c>
      <c r="E1405" s="256">
        <f>_xlfn.XLOOKUP(FME_Ranking1[[#This Row],[FME ID]],FME_Input[FME_ID],FME_Input[FME_COST])</f>
        <v>1111237</v>
      </c>
      <c r="F1405" t="str">
        <f>_xlfn.XLOOKUP(FME_Ranking1[[#This Row],[FME ID]],FME_Input[FME_ID],FME_Input[EMER_NEED])</f>
        <v>Yes</v>
      </c>
      <c r="G1405">
        <f>IF(FME_Ranking!F1405="Yes",100,0)</f>
        <v>100</v>
      </c>
      <c r="H1405">
        <f>FME_Ranking1[[#This Row],[Emergency Need Score (Normalized, Unweighted)]]*$F$3</f>
        <v>0</v>
      </c>
      <c r="I1405" s="246">
        <f>_xlfn.XLOOKUP(FME_Ranking1[[#This Row],[FME ID]],FME_Input[FME_ID],FME_Input[STRUCT_100])</f>
        <v>217</v>
      </c>
      <c r="J1405" s="178">
        <f>(FME_Ranking1[[#This Row],[Structures 100 Raw]]/I$2)*100</f>
        <v>0.11620185922974768</v>
      </c>
      <c r="K1405" s="178">
        <f>FME_Ranking1[[#This Row],[Structures 100  Score (Normalized, Unweighted)]]*$I$3</f>
        <v>1.7430278884462153E-2</v>
      </c>
      <c r="L1405" s="246">
        <f>_xlfn.XLOOKUP(FME_Ranking1[[#This Row],[FME ID]],FME_Input[FME_ID],FME_Input[RES_STRUCT100])</f>
        <v>144</v>
      </c>
      <c r="M1405" s="230">
        <f>(FME_Ranking1[[#This Row],[Res Structures Raw]]/L$2)*100</f>
        <v>0.1019960051564647</v>
      </c>
      <c r="N1405" s="180">
        <f>FME_Ranking1[[#This Row],[Res Structures Score (Normalized, Unweighted)]]*$L$3</f>
        <v>1.0199600515646471E-2</v>
      </c>
      <c r="O1405" s="244">
        <f>_xlfn.XLOOKUP(FME_Ranking1[[#This Row],[FME ID]],FME_Input[FME_ID],FME_Input[POP100])</f>
        <v>233</v>
      </c>
      <c r="P1405" s="178">
        <f>(FME_Ranking1[[#This Row],[Pop Raw]]/$O$2)*100</f>
        <v>2.3853447693381845E-2</v>
      </c>
      <c r="Q1405" s="178">
        <f>FME_Ranking1[[#This Row],[Pop Score (Normalized, Unweighted)]]*$O$3</f>
        <v>3.5780171540072767E-3</v>
      </c>
      <c r="R1405" s="137">
        <f>_xlfn.XLOOKUP(FME_Ranking1[[#This Row],[FME ID]],FME_Input[FME_ID],FME_Input[CRITFAC100])</f>
        <v>0</v>
      </c>
      <c r="S1405" s="230">
        <f>(FME_Ranking1[[#This Row],[Critical Facilities Raw]]/$R$2)*100</f>
        <v>0</v>
      </c>
      <c r="T1405" s="180">
        <f>FME_Ranking1[[#This Row],[Critical Facilities Score (Normalized, Unweighted)]]*$R$3</f>
        <v>0</v>
      </c>
      <c r="U1405">
        <f>_xlfn.XLOOKUP(FME_Ranking1[[#This Row],[FME ID]],FME_Input[FME_ID],FME_Input[LWC])</f>
        <v>0</v>
      </c>
      <c r="V1405" s="178">
        <f>(FME_Ranking1[[#This Row],[LWC Raw]]/$U$2)*100</f>
        <v>0</v>
      </c>
      <c r="W1405" s="178">
        <f>FME_Ranking1[[#This Row],[LWC Score (Normalized, Unweighted)]]*$U$3</f>
        <v>0</v>
      </c>
      <c r="X1405" s="246">
        <f>_xlfn.XLOOKUP(FME_Ranking1[[#This Row],[FME ID]],FME_Input[FME_ID],FME_Input[ROADCLS])</f>
        <v>0</v>
      </c>
      <c r="Y1405" s="230">
        <f>(FME_Ranking1[[#This Row],[Closures Raw]]/$X$2)*100</f>
        <v>0</v>
      </c>
      <c r="Z1405" s="180">
        <f>FME_Ranking1[[#This Row],[Closures Score (Normalized, Unweighted)]]*$X$3</f>
        <v>0</v>
      </c>
      <c r="AA1405" s="253">
        <f>_xlfn.XLOOKUP(FME_Ranking1[[#This Row],[FME ID]],FME_Input[FME_ID],FME_Input[ROAD_MILES100])</f>
        <v>13.46530914306641</v>
      </c>
      <c r="AB1405" s="178">
        <f>(FME_Ranking1[[#This Row],[Miles Raw]]/$AA$2)*100</f>
        <v>0.17704466406557312</v>
      </c>
      <c r="AC1405" s="178">
        <f>FME_Ranking1[[#This Row],[Miles Score (Normalized, Unweighted)]]*$AA$3</f>
        <v>1.7704466406557314E-2</v>
      </c>
      <c r="AD1405" s="255">
        <f>_xlfn.XLOOKUP(FME_Ranking1[[#This Row],[FME ID]],FME_Input[FME_ID],FME_Input[FARMACRE100])</f>
        <v>231.7996826171875</v>
      </c>
      <c r="AE1405" s="230">
        <f>(FME_Ranking1[[#This Row],[Ag Land Raw]]/$AD$2)*100</f>
        <v>9.5583812589983639E-3</v>
      </c>
      <c r="AF1405" s="231">
        <f>FME_Ranking1[[#This Row],[Ag Land Score (Normalized, Unweighted)]]*$AD$3</f>
        <v>4.7791906294991822E-4</v>
      </c>
      <c r="AG140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4.9390282023623125E-2</v>
      </c>
      <c r="AH1405" s="406">
        <f t="shared" si="21"/>
        <v>1320</v>
      </c>
      <c r="AI140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4.9390282023623125E-2</v>
      </c>
      <c r="AJ1405" s="257">
        <f>FME_Ranking1[[#This Row],[Addition check]]-FME_Ranking1[[#This Row],[Weighted Score Based on Normalized Reported Factors]]</f>
        <v>0</v>
      </c>
      <c r="AK1405" s="178">
        <f>_xlfn.RANK.EQ(AI1405,$AI$6:$AI$2341,0)+COUNTIF($AI$6:AI1405,AI1405)-1</f>
        <v>1320</v>
      </c>
    </row>
    <row r="1406" spans="1:37" x14ac:dyDescent="0.25">
      <c r="A1406" t="s">
        <v>6177</v>
      </c>
      <c r="B1406">
        <f>_xlfn.XLOOKUP(FME_Ranking1[[#This Row],[FME ID]],FME_Input[FME_ID],FME_Input[RFPG_NUM])</f>
        <v>5</v>
      </c>
      <c r="C1406" t="str">
        <f>_xlfn.XLOOKUP(FME_Ranking1[[#This Row],[FME ID]],FME_Input[FME_ID],FME_Input[FME_NAME])</f>
        <v>Van Zandt County Master Drainage Plan</v>
      </c>
      <c r="D1406"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1406" s="256">
        <f>_xlfn.XLOOKUP(FME_Ranking1[[#This Row],[FME ID]],FME_Input[FME_ID],FME_Input[FME_COST])</f>
        <v>484386</v>
      </c>
      <c r="F1406" t="str">
        <f>_xlfn.XLOOKUP(FME_Ranking1[[#This Row],[FME ID]],FME_Input[FME_ID],FME_Input[EMER_NEED])</f>
        <v>Yes</v>
      </c>
      <c r="G1406">
        <f>IF(FME_Ranking!F1406="Yes",100,0)</f>
        <v>100</v>
      </c>
      <c r="H1406">
        <f>FME_Ranking1[[#This Row],[Emergency Need Score (Normalized, Unweighted)]]*$F$3</f>
        <v>0</v>
      </c>
      <c r="I1406" s="246">
        <f>_xlfn.XLOOKUP(FME_Ranking1[[#This Row],[FME ID]],FME_Input[FME_ID],FME_Input[STRUCT_100])</f>
        <v>217</v>
      </c>
      <c r="J1406" s="178">
        <f>(FME_Ranking1[[#This Row],[Structures 100 Raw]]/I$2)*100</f>
        <v>0.11620185922974768</v>
      </c>
      <c r="K1406" s="178">
        <f>FME_Ranking1[[#This Row],[Structures 100  Score (Normalized, Unweighted)]]*$I$3</f>
        <v>1.7430278884462153E-2</v>
      </c>
      <c r="L1406" s="246">
        <f>_xlfn.XLOOKUP(FME_Ranking1[[#This Row],[FME ID]],FME_Input[FME_ID],FME_Input[RES_STRUCT100])</f>
        <v>144</v>
      </c>
      <c r="M1406" s="230">
        <f>(FME_Ranking1[[#This Row],[Res Structures Raw]]/L$2)*100</f>
        <v>0.1019960051564647</v>
      </c>
      <c r="N1406" s="180">
        <f>FME_Ranking1[[#This Row],[Res Structures Score (Normalized, Unweighted)]]*$L$3</f>
        <v>1.0199600515646471E-2</v>
      </c>
      <c r="O1406" s="244">
        <f>_xlfn.XLOOKUP(FME_Ranking1[[#This Row],[FME ID]],FME_Input[FME_ID],FME_Input[POP100])</f>
        <v>233</v>
      </c>
      <c r="P1406" s="178">
        <f>(FME_Ranking1[[#This Row],[Pop Raw]]/$O$2)*100</f>
        <v>2.3853447693381845E-2</v>
      </c>
      <c r="Q1406" s="178">
        <f>FME_Ranking1[[#This Row],[Pop Score (Normalized, Unweighted)]]*$O$3</f>
        <v>3.5780171540072767E-3</v>
      </c>
      <c r="R1406" s="137">
        <f>_xlfn.XLOOKUP(FME_Ranking1[[#This Row],[FME ID]],FME_Input[FME_ID],FME_Input[CRITFAC100])</f>
        <v>0</v>
      </c>
      <c r="S1406" s="230">
        <f>(FME_Ranking1[[#This Row],[Critical Facilities Raw]]/$R$2)*100</f>
        <v>0</v>
      </c>
      <c r="T1406" s="180">
        <f>FME_Ranking1[[#This Row],[Critical Facilities Score (Normalized, Unweighted)]]*$R$3</f>
        <v>0</v>
      </c>
      <c r="U1406">
        <f>_xlfn.XLOOKUP(FME_Ranking1[[#This Row],[FME ID]],FME_Input[FME_ID],FME_Input[LWC])</f>
        <v>0</v>
      </c>
      <c r="V1406" s="178">
        <f>(FME_Ranking1[[#This Row],[LWC Raw]]/$U$2)*100</f>
        <v>0</v>
      </c>
      <c r="W1406" s="178">
        <f>FME_Ranking1[[#This Row],[LWC Score (Normalized, Unweighted)]]*$U$3</f>
        <v>0</v>
      </c>
      <c r="X1406" s="246">
        <f>_xlfn.XLOOKUP(FME_Ranking1[[#This Row],[FME ID]],FME_Input[FME_ID],FME_Input[ROADCLS])</f>
        <v>0</v>
      </c>
      <c r="Y1406" s="230">
        <f>(FME_Ranking1[[#This Row],[Closures Raw]]/$X$2)*100</f>
        <v>0</v>
      </c>
      <c r="Z1406" s="180">
        <f>FME_Ranking1[[#This Row],[Closures Score (Normalized, Unweighted)]]*$X$3</f>
        <v>0</v>
      </c>
      <c r="AA1406" s="253">
        <f>_xlfn.XLOOKUP(FME_Ranking1[[#This Row],[FME ID]],FME_Input[FME_ID],FME_Input[ROAD_MILES100])</f>
        <v>13.46530914306641</v>
      </c>
      <c r="AB1406" s="178">
        <f>(FME_Ranking1[[#This Row],[Miles Raw]]/$AA$2)*100</f>
        <v>0.17704466406557312</v>
      </c>
      <c r="AC1406" s="178">
        <f>FME_Ranking1[[#This Row],[Miles Score (Normalized, Unweighted)]]*$AA$3</f>
        <v>1.7704466406557314E-2</v>
      </c>
      <c r="AD1406" s="255">
        <f>_xlfn.XLOOKUP(FME_Ranking1[[#This Row],[FME ID]],FME_Input[FME_ID],FME_Input[FARMACRE100])</f>
        <v>231.7996826171875</v>
      </c>
      <c r="AE1406" s="230">
        <f>(FME_Ranking1[[#This Row],[Ag Land Raw]]/$AD$2)*100</f>
        <v>9.5583812589983639E-3</v>
      </c>
      <c r="AF1406" s="231">
        <f>FME_Ranking1[[#This Row],[Ag Land Score (Normalized, Unweighted)]]*$AD$3</f>
        <v>4.7791906294991822E-4</v>
      </c>
      <c r="AG140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4.9390282023623125E-2</v>
      </c>
      <c r="AH1406" s="406">
        <f t="shared" si="21"/>
        <v>1320</v>
      </c>
      <c r="AI140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4.9390282023623125E-2</v>
      </c>
      <c r="AJ1406" s="257">
        <f>FME_Ranking1[[#This Row],[Addition check]]-FME_Ranking1[[#This Row],[Weighted Score Based on Normalized Reported Factors]]</f>
        <v>0</v>
      </c>
      <c r="AK1406" s="178">
        <f>_xlfn.RANK.EQ(AI1406,$AI$6:$AI$2341,0)+COUNTIF($AI$6:AI1406,AI1406)-1</f>
        <v>1321</v>
      </c>
    </row>
    <row r="1407" spans="1:37" x14ac:dyDescent="0.25">
      <c r="A1407" t="s">
        <v>7610</v>
      </c>
      <c r="B1407">
        <f>_xlfn.XLOOKUP(FME_Ranking1[[#This Row],[FME ID]],FME_Input[FME_ID],FME_Input[RFPG_NUM])</f>
        <v>8</v>
      </c>
      <c r="C1407" t="str">
        <f>_xlfn.XLOOKUP(FME_Ranking1[[#This Row],[FME ID]],FME_Input[FME_ID],FME_Input[FME_NAME])</f>
        <v>Pecan Ridge Subdivision Flooding</v>
      </c>
      <c r="D1407" t="str">
        <f>_xlfn.XLOOKUP(FME_Ranking1[[#This Row],[FME ID]],FME_Input[FME_ID],FME_Input[DESCR])</f>
        <v>Masterplan to determine source of flooding and identify potential solutions.</v>
      </c>
      <c r="E1407" s="256">
        <f>_xlfn.XLOOKUP(FME_Ranking1[[#This Row],[FME ID]],FME_Input[FME_ID],FME_Input[FME_COST])</f>
        <v>50000</v>
      </c>
      <c r="F1407" t="str">
        <f>_xlfn.XLOOKUP(FME_Ranking1[[#This Row],[FME ID]],FME_Input[FME_ID],FME_Input[EMER_NEED])</f>
        <v>No</v>
      </c>
      <c r="G1407">
        <f>IF(FME_Ranking!F1407="Yes",100,0)</f>
        <v>0</v>
      </c>
      <c r="H1407">
        <f>FME_Ranking1[[#This Row],[Emergency Need Score (Normalized, Unweighted)]]*$F$3</f>
        <v>0</v>
      </c>
      <c r="I1407" s="246">
        <f>_xlfn.XLOOKUP(FME_Ranking1[[#This Row],[FME ID]],FME_Input[FME_ID],FME_Input[STRUCT_100])</f>
        <v>88</v>
      </c>
      <c r="J1407" s="178">
        <f>(FME_Ranking1[[#This Row],[Structures 100 Raw]]/I$2)*100</f>
        <v>4.7123334618515186E-2</v>
      </c>
      <c r="K1407" s="178">
        <f>FME_Ranking1[[#This Row],[Structures 100  Score (Normalized, Unweighted)]]*$I$3</f>
        <v>7.0685001927772778E-3</v>
      </c>
      <c r="L1407" s="246">
        <f>_xlfn.XLOOKUP(FME_Ranking1[[#This Row],[FME ID]],FME_Input[FME_ID],FME_Input[RES_STRUCT100])</f>
        <v>84</v>
      </c>
      <c r="M1407" s="230">
        <f>(FME_Ranking1[[#This Row],[Res Structures Raw]]/L$2)*100</f>
        <v>5.949766967460441E-2</v>
      </c>
      <c r="N1407" s="180">
        <f>FME_Ranking1[[#This Row],[Res Structures Score (Normalized, Unweighted)]]*$L$3</f>
        <v>5.9497669674604412E-3</v>
      </c>
      <c r="O1407" s="244">
        <f>_xlfn.XLOOKUP(FME_Ranking1[[#This Row],[FME ID]],FME_Input[FME_ID],FME_Input[POP100])</f>
        <v>704</v>
      </c>
      <c r="P1407" s="178">
        <f>(FME_Ranking1[[#This Row],[Pop Raw]]/$O$2)*100</f>
        <v>7.2072219640089349E-2</v>
      </c>
      <c r="Q1407" s="178">
        <f>FME_Ranking1[[#This Row],[Pop Score (Normalized, Unweighted)]]*$O$3</f>
        <v>1.0810832946013402E-2</v>
      </c>
      <c r="R1407" s="137">
        <f>_xlfn.XLOOKUP(FME_Ranking1[[#This Row],[FME ID]],FME_Input[FME_ID],FME_Input[CRITFAC100])</f>
        <v>0</v>
      </c>
      <c r="S1407" s="230">
        <f>(FME_Ranking1[[#This Row],[Critical Facilities Raw]]/$R$2)*100</f>
        <v>0</v>
      </c>
      <c r="T1407" s="180">
        <f>FME_Ranking1[[#This Row],[Critical Facilities Score (Normalized, Unweighted)]]*$R$3</f>
        <v>0</v>
      </c>
      <c r="U1407">
        <f>_xlfn.XLOOKUP(FME_Ranking1[[#This Row],[FME ID]],FME_Input[FME_ID],FME_Input[LWC])</f>
        <v>0</v>
      </c>
      <c r="V1407" s="178">
        <f>(FME_Ranking1[[#This Row],[LWC Raw]]/$U$2)*100</f>
        <v>0</v>
      </c>
      <c r="W1407" s="178">
        <f>FME_Ranking1[[#This Row],[LWC Score (Normalized, Unweighted)]]*$U$3</f>
        <v>0</v>
      </c>
      <c r="X1407" s="246">
        <f>_xlfn.XLOOKUP(FME_Ranking1[[#This Row],[FME ID]],FME_Input[FME_ID],FME_Input[ROADCLS])</f>
        <v>14</v>
      </c>
      <c r="Y1407" s="230">
        <f>(FME_Ranking1[[#This Row],[Closures Raw]]/$X$2)*100</f>
        <v>0.14719798128482808</v>
      </c>
      <c r="Z1407" s="180">
        <f>FME_Ranking1[[#This Row],[Closures Score (Normalized, Unweighted)]]*$X$3</f>
        <v>7.3598990642414043E-3</v>
      </c>
      <c r="AA1407" s="253">
        <f>_xlfn.XLOOKUP(FME_Ranking1[[#This Row],[FME ID]],FME_Input[FME_ID],FME_Input[ROAD_MILES100])</f>
        <v>1.002230048179626</v>
      </c>
      <c r="AB1407" s="178">
        <f>(FME_Ranking1[[#This Row],[Miles Raw]]/$AA$2)*100</f>
        <v>1.3177527549581186E-2</v>
      </c>
      <c r="AC1407" s="178">
        <f>FME_Ranking1[[#This Row],[Miles Score (Normalized, Unweighted)]]*$AA$3</f>
        <v>1.3177527549581187E-3</v>
      </c>
      <c r="AD1407" s="255">
        <f>_xlfn.XLOOKUP(FME_Ranking1[[#This Row],[FME ID]],FME_Input[FME_ID],FME_Input[FARMACRE100])</f>
        <v>20.02910041809082</v>
      </c>
      <c r="AE1407" s="230">
        <f>(FME_Ranking1[[#This Row],[Ag Land Raw]]/$AD$2)*100</f>
        <v>8.2591044090014757E-4</v>
      </c>
      <c r="AF1407" s="231">
        <f>FME_Ranking1[[#This Row],[Ag Land Score (Normalized, Unweighted)]]*$AD$3</f>
        <v>4.1295522045007378E-5</v>
      </c>
      <c r="AG140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3.2548047447495655E-2</v>
      </c>
      <c r="AH1407" s="406">
        <f t="shared" si="21"/>
        <v>1447</v>
      </c>
      <c r="AI140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3.2548047447495655E-2</v>
      </c>
      <c r="AJ1407" s="257">
        <f>FME_Ranking1[[#This Row],[Addition check]]-FME_Ranking1[[#This Row],[Weighted Score Based on Normalized Reported Factors]]</f>
        <v>0</v>
      </c>
      <c r="AK1407" s="178">
        <f>_xlfn.RANK.EQ(AI1407,$AI$6:$AI$2341,0)+COUNTIF($AI$6:AI1407,AI1407)-1</f>
        <v>1447</v>
      </c>
    </row>
    <row r="1408" spans="1:37" x14ac:dyDescent="0.25">
      <c r="A1408" t="s">
        <v>1152</v>
      </c>
      <c r="B1408">
        <f>_xlfn.XLOOKUP(FME_Ranking1[[#This Row],[FME ID]],FME_Input[FME_ID],FME_Input[RFPG_NUM])</f>
        <v>6</v>
      </c>
      <c r="C1408" t="str">
        <f>_xlfn.XLOOKUP(FME_Ranking1[[#This Row],[FME ID]],FME_Input[FME_ID],FME_Input[FME_NAME])</f>
        <v>Evaluation of Culvert Enlargement and Bridge Elevation in Grimes County</v>
      </c>
      <c r="D1408" t="str">
        <f>_xlfn.XLOOKUP(FME_Ranking1[[#This Row],[FME ID]],FME_Input[FME_ID],FME_Input[DESCR])</f>
        <v>Study to identify flood-prone areas and mitigate the flooding problem by enlarging culverts under roads and bridges.</v>
      </c>
      <c r="E1408" s="256">
        <f>_xlfn.XLOOKUP(FME_Ranking1[[#This Row],[FME ID]],FME_Input[FME_ID],FME_Input[FME_COST])</f>
        <v>750000</v>
      </c>
      <c r="F1408" t="str">
        <f>_xlfn.XLOOKUP(FME_Ranking1[[#This Row],[FME ID]],FME_Input[FME_ID],FME_Input[EMER_NEED])</f>
        <v>No</v>
      </c>
      <c r="G1408">
        <f>IF(FME_Ranking!F1408="Yes",100,0)</f>
        <v>0</v>
      </c>
      <c r="H1408">
        <f>FME_Ranking1[[#This Row],[Emergency Need Score (Normalized, Unweighted)]]*$F$3</f>
        <v>0</v>
      </c>
      <c r="I1408" s="246">
        <f>_xlfn.XLOOKUP(FME_Ranking1[[#This Row],[FME ID]],FME_Input[FME_ID],FME_Input[STRUCT_100])</f>
        <v>145</v>
      </c>
      <c r="J1408" s="178">
        <f>(FME_Ranking1[[#This Row],[Structures 100 Raw]]/I$2)*100</f>
        <v>7.7646403632780706E-2</v>
      </c>
      <c r="K1408" s="178">
        <f>FME_Ranking1[[#This Row],[Structures 100  Score (Normalized, Unweighted)]]*$I$3</f>
        <v>1.1646960544917106E-2</v>
      </c>
      <c r="L1408" s="246">
        <f>_xlfn.XLOOKUP(FME_Ranking1[[#This Row],[FME ID]],FME_Input[FME_ID],FME_Input[RES_STRUCT100])</f>
        <v>76</v>
      </c>
      <c r="M1408" s="230">
        <f>(FME_Ranking1[[#This Row],[Res Structures Raw]]/L$2)*100</f>
        <v>5.38312249436897E-2</v>
      </c>
      <c r="N1408" s="180">
        <f>FME_Ranking1[[#This Row],[Res Structures Score (Normalized, Unweighted)]]*$L$3</f>
        <v>5.38312249436897E-3</v>
      </c>
      <c r="O1408" s="244">
        <f>_xlfn.XLOOKUP(FME_Ranking1[[#This Row],[FME ID]],FME_Input[FME_ID],FME_Input[POP100])</f>
        <v>120</v>
      </c>
      <c r="P1408" s="178">
        <f>(FME_Ranking1[[#This Row],[Pop Raw]]/$O$2)*100</f>
        <v>1.2285037438651593E-2</v>
      </c>
      <c r="Q1408" s="178">
        <f>FME_Ranking1[[#This Row],[Pop Score (Normalized, Unweighted)]]*$O$3</f>
        <v>1.8427556157977389E-3</v>
      </c>
      <c r="R1408" s="137">
        <f>_xlfn.XLOOKUP(FME_Ranking1[[#This Row],[FME ID]],FME_Input[FME_ID],FME_Input[CRITFAC100])</f>
        <v>0</v>
      </c>
      <c r="S1408" s="230">
        <f>(FME_Ranking1[[#This Row],[Critical Facilities Raw]]/$R$2)*100</f>
        <v>0</v>
      </c>
      <c r="T1408" s="180">
        <f>FME_Ranking1[[#This Row],[Critical Facilities Score (Normalized, Unweighted)]]*$R$3</f>
        <v>0</v>
      </c>
      <c r="U1408">
        <f>_xlfn.XLOOKUP(FME_Ranking1[[#This Row],[FME ID]],FME_Input[FME_ID],FME_Input[LWC])</f>
        <v>1</v>
      </c>
      <c r="V1408" s="178">
        <f>(FME_Ranking1[[#This Row],[LWC Raw]]/$U$2)*100</f>
        <v>5.7570523891767422E-2</v>
      </c>
      <c r="W1408" s="178">
        <f>FME_Ranking1[[#This Row],[LWC Score (Normalized, Unweighted)]]*$U$3</f>
        <v>1.1514104778353485E-2</v>
      </c>
      <c r="X1408" s="246">
        <f>_xlfn.XLOOKUP(FME_Ranking1[[#This Row],[FME ID]],FME_Input[FME_ID],FME_Input[ROADCLS])</f>
        <v>1</v>
      </c>
      <c r="Y1408" s="230">
        <f>(FME_Ranking1[[#This Row],[Closures Raw]]/$X$2)*100</f>
        <v>1.0514141520344864E-2</v>
      </c>
      <c r="Z1408" s="180">
        <f>FME_Ranking1[[#This Row],[Closures Score (Normalized, Unweighted)]]*$X$3</f>
        <v>5.2570707601724321E-4</v>
      </c>
      <c r="AA1408" s="253">
        <f>_xlfn.XLOOKUP(FME_Ranking1[[#This Row],[FME ID]],FME_Input[FME_ID],FME_Input[ROAD_MILES100])</f>
        <v>10.806294441223139</v>
      </c>
      <c r="AB1408" s="178">
        <f>(FME_Ranking1[[#This Row],[Miles Raw]]/$AA$2)*100</f>
        <v>0.14208338990309546</v>
      </c>
      <c r="AC1408" s="178">
        <f>FME_Ranking1[[#This Row],[Miles Score (Normalized, Unweighted)]]*$AA$3</f>
        <v>1.4208338990309547E-2</v>
      </c>
      <c r="AD1408" s="255">
        <f>_xlfn.XLOOKUP(FME_Ranking1[[#This Row],[FME ID]],FME_Input[FME_ID],FME_Input[FARMACRE100])</f>
        <v>151.27351379394531</v>
      </c>
      <c r="AE1408" s="230">
        <f>(FME_Ranking1[[#This Row],[Ag Land Raw]]/$AD$2)*100</f>
        <v>6.2378425324196903E-3</v>
      </c>
      <c r="AF1408" s="231">
        <f>FME_Ranking1[[#This Row],[Ag Land Score (Normalized, Unweighted)]]*$AD$3</f>
        <v>3.1189212662098456E-4</v>
      </c>
      <c r="AG140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4.5432881626385077E-2</v>
      </c>
      <c r="AH1408" s="406">
        <f t="shared" si="21"/>
        <v>1337</v>
      </c>
      <c r="AI140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4.5432881626385077E-2</v>
      </c>
      <c r="AJ1408" s="257">
        <f>FME_Ranking1[[#This Row],[Addition check]]-FME_Ranking1[[#This Row],[Weighted Score Based on Normalized Reported Factors]]</f>
        <v>0</v>
      </c>
      <c r="AK1408" s="178">
        <f>_xlfn.RANK.EQ(AI1408,$AI$6:$AI$2341,0)+COUNTIF($AI$6:AI1408,AI1408)-1</f>
        <v>1337</v>
      </c>
    </row>
    <row r="1409" spans="1:37" x14ac:dyDescent="0.25">
      <c r="A1409" t="s">
        <v>1844</v>
      </c>
      <c r="B1409">
        <f>_xlfn.XLOOKUP(FME_Ranking1[[#This Row],[FME ID]],FME_Input[FME_ID],FME_Input[RFPG_NUM])</f>
        <v>6</v>
      </c>
      <c r="C1409" t="str">
        <f>_xlfn.XLOOKUP(FME_Ranking1[[#This Row],[FME ID]],FME_Input[FME_ID],FME_Input[FME_NAME])</f>
        <v>Grimes Flood Mapping Updates</v>
      </c>
      <c r="D1409" t="str">
        <f>_xlfn.XLOOKUP(FME_Ranking1[[#This Row],[FME ID]],FME_Input[FME_ID],FME_Input[DESCR])</f>
        <v>County wide study to produce flood mappping updates including Atlas 14 rainfall.</v>
      </c>
      <c r="E1409" s="256">
        <f>_xlfn.XLOOKUP(FME_Ranking1[[#This Row],[FME ID]],FME_Input[FME_ID],FME_Input[FME_COST])</f>
        <v>3530000</v>
      </c>
      <c r="F1409" t="str">
        <f>_xlfn.XLOOKUP(FME_Ranking1[[#This Row],[FME ID]],FME_Input[FME_ID],FME_Input[EMER_NEED])</f>
        <v>Yes</v>
      </c>
      <c r="G1409">
        <f>IF(FME_Ranking!F1409="Yes",100,0)</f>
        <v>100</v>
      </c>
      <c r="H1409">
        <f>FME_Ranking1[[#This Row],[Emergency Need Score (Normalized, Unweighted)]]*$F$3</f>
        <v>0</v>
      </c>
      <c r="I1409" s="246">
        <f>_xlfn.XLOOKUP(FME_Ranking1[[#This Row],[FME ID]],FME_Input[FME_ID],FME_Input[STRUCT_100])</f>
        <v>145</v>
      </c>
      <c r="J1409" s="178">
        <f>(FME_Ranking1[[#This Row],[Structures 100 Raw]]/I$2)*100</f>
        <v>7.7646403632780706E-2</v>
      </c>
      <c r="K1409" s="178">
        <f>FME_Ranking1[[#This Row],[Structures 100  Score (Normalized, Unweighted)]]*$I$3</f>
        <v>1.1646960544917106E-2</v>
      </c>
      <c r="L1409" s="246">
        <f>_xlfn.XLOOKUP(FME_Ranking1[[#This Row],[FME ID]],FME_Input[FME_ID],FME_Input[RES_STRUCT100])</f>
        <v>76</v>
      </c>
      <c r="M1409" s="230">
        <f>(FME_Ranking1[[#This Row],[Res Structures Raw]]/L$2)*100</f>
        <v>5.38312249436897E-2</v>
      </c>
      <c r="N1409" s="180">
        <f>FME_Ranking1[[#This Row],[Res Structures Score (Normalized, Unweighted)]]*$L$3</f>
        <v>5.38312249436897E-3</v>
      </c>
      <c r="O1409" s="244">
        <f>_xlfn.XLOOKUP(FME_Ranking1[[#This Row],[FME ID]],FME_Input[FME_ID],FME_Input[POP100])</f>
        <v>120</v>
      </c>
      <c r="P1409" s="178">
        <f>(FME_Ranking1[[#This Row],[Pop Raw]]/$O$2)*100</f>
        <v>1.2285037438651593E-2</v>
      </c>
      <c r="Q1409" s="178">
        <f>FME_Ranking1[[#This Row],[Pop Score (Normalized, Unweighted)]]*$O$3</f>
        <v>1.8427556157977389E-3</v>
      </c>
      <c r="R1409" s="137">
        <f>_xlfn.XLOOKUP(FME_Ranking1[[#This Row],[FME ID]],FME_Input[FME_ID],FME_Input[CRITFAC100])</f>
        <v>0</v>
      </c>
      <c r="S1409" s="230">
        <f>(FME_Ranking1[[#This Row],[Critical Facilities Raw]]/$R$2)*100</f>
        <v>0</v>
      </c>
      <c r="T1409" s="180">
        <f>FME_Ranking1[[#This Row],[Critical Facilities Score (Normalized, Unweighted)]]*$R$3</f>
        <v>0</v>
      </c>
      <c r="U1409">
        <f>_xlfn.XLOOKUP(FME_Ranking1[[#This Row],[FME ID]],FME_Input[FME_ID],FME_Input[LWC])</f>
        <v>1</v>
      </c>
      <c r="V1409" s="178">
        <f>(FME_Ranking1[[#This Row],[LWC Raw]]/$U$2)*100</f>
        <v>5.7570523891767422E-2</v>
      </c>
      <c r="W1409" s="178">
        <f>FME_Ranking1[[#This Row],[LWC Score (Normalized, Unweighted)]]*$U$3</f>
        <v>1.1514104778353485E-2</v>
      </c>
      <c r="X1409" s="246">
        <f>_xlfn.XLOOKUP(FME_Ranking1[[#This Row],[FME ID]],FME_Input[FME_ID],FME_Input[ROADCLS])</f>
        <v>1</v>
      </c>
      <c r="Y1409" s="230">
        <f>(FME_Ranking1[[#This Row],[Closures Raw]]/$X$2)*100</f>
        <v>1.0514141520344864E-2</v>
      </c>
      <c r="Z1409" s="180">
        <f>FME_Ranking1[[#This Row],[Closures Score (Normalized, Unweighted)]]*$X$3</f>
        <v>5.2570707601724321E-4</v>
      </c>
      <c r="AA1409" s="253">
        <f>_xlfn.XLOOKUP(FME_Ranking1[[#This Row],[FME ID]],FME_Input[FME_ID],FME_Input[ROAD_MILES100])</f>
        <v>10.806294441223139</v>
      </c>
      <c r="AB1409" s="178">
        <f>(FME_Ranking1[[#This Row],[Miles Raw]]/$AA$2)*100</f>
        <v>0.14208338990309546</v>
      </c>
      <c r="AC1409" s="178">
        <f>FME_Ranking1[[#This Row],[Miles Score (Normalized, Unweighted)]]*$AA$3</f>
        <v>1.4208338990309547E-2</v>
      </c>
      <c r="AD1409" s="255">
        <f>_xlfn.XLOOKUP(FME_Ranking1[[#This Row],[FME ID]],FME_Input[FME_ID],FME_Input[FARMACRE100])</f>
        <v>151.27351379394531</v>
      </c>
      <c r="AE1409" s="230">
        <f>(FME_Ranking1[[#This Row],[Ag Land Raw]]/$AD$2)*100</f>
        <v>6.2378425324196903E-3</v>
      </c>
      <c r="AF1409" s="231">
        <f>FME_Ranking1[[#This Row],[Ag Land Score (Normalized, Unweighted)]]*$AD$3</f>
        <v>3.1189212662098456E-4</v>
      </c>
      <c r="AG140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4.5432881626385077E-2</v>
      </c>
      <c r="AH1409" s="406">
        <f t="shared" si="21"/>
        <v>1337</v>
      </c>
      <c r="AI140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4.5432881626385077E-2</v>
      </c>
      <c r="AJ1409" s="257">
        <f>FME_Ranking1[[#This Row],[Addition check]]-FME_Ranking1[[#This Row],[Weighted Score Based on Normalized Reported Factors]]</f>
        <v>0</v>
      </c>
      <c r="AK1409" s="178">
        <f>_xlfn.RANK.EQ(AI1409,$AI$6:$AI$2341,0)+COUNTIF($AI$6:AI1409,AI1409)-1</f>
        <v>1338</v>
      </c>
    </row>
    <row r="1410" spans="1:37" x14ac:dyDescent="0.25">
      <c r="A1410" t="s">
        <v>9432</v>
      </c>
      <c r="B1410">
        <f>_xlfn.XLOOKUP(FME_Ranking1[[#This Row],[FME ID]],FME_Input[FME_ID],FME_Input[RFPG_NUM])</f>
        <v>12</v>
      </c>
      <c r="C1410" t="str">
        <f>_xlfn.XLOOKUP(FME_Ranking1[[#This Row],[FME ID]],FME_Input[FME_ID],FME_Input[FME_NAME])</f>
        <v>Helotes Creek RSWF</v>
      </c>
      <c r="D1410" t="str">
        <f>_xlfn.XLOOKUP(FME_Ranking1[[#This Row],[FME ID]],FME_Input[FME_ID],FME_Input[DESCR])</f>
        <v>An off-channel RSWF provides approximately 3330 acres-ft oof storage.</v>
      </c>
      <c r="E1410" s="256">
        <f>_xlfn.XLOOKUP(FME_Ranking1[[#This Row],[FME ID]],FME_Input[FME_ID],FME_Input[FME_COST])</f>
        <v>8978646</v>
      </c>
      <c r="F1410" t="str">
        <f>_xlfn.XLOOKUP(FME_Ranking1[[#This Row],[FME ID]],FME_Input[FME_ID],FME_Input[EMER_NEED])</f>
        <v>Yes</v>
      </c>
      <c r="G1410">
        <f>IF(FME_Ranking!F1410="Yes",100,0)</f>
        <v>100</v>
      </c>
      <c r="H1410">
        <f>FME_Ranking1[[#This Row],[Emergency Need Score (Normalized, Unweighted)]]*$F$3</f>
        <v>0</v>
      </c>
      <c r="I1410" s="246">
        <f>_xlfn.XLOOKUP(FME_Ranking1[[#This Row],[FME ID]],FME_Input[FME_ID],FME_Input[STRUCT_100])</f>
        <v>28</v>
      </c>
      <c r="J1410" s="178">
        <f>(FME_Ranking1[[#This Row],[Structures 100 Raw]]/I$2)*100</f>
        <v>1.4993788287709378E-2</v>
      </c>
      <c r="K1410" s="178">
        <f>FME_Ranking1[[#This Row],[Structures 100  Score (Normalized, Unweighted)]]*$I$3</f>
        <v>2.2490682431564068E-3</v>
      </c>
      <c r="L1410" s="246">
        <f>_xlfn.XLOOKUP(FME_Ranking1[[#This Row],[FME ID]],FME_Input[FME_ID],FME_Input[RES_STRUCT100])</f>
        <v>16</v>
      </c>
      <c r="M1410" s="230">
        <f>(FME_Ranking1[[#This Row],[Res Structures Raw]]/L$2)*100</f>
        <v>1.1332889461829412E-2</v>
      </c>
      <c r="N1410" s="180">
        <f>FME_Ranking1[[#This Row],[Res Structures Score (Normalized, Unweighted)]]*$L$3</f>
        <v>1.1332889461829413E-3</v>
      </c>
      <c r="O1410" s="244">
        <f>_xlfn.XLOOKUP(FME_Ranking1[[#This Row],[FME ID]],FME_Input[FME_ID],FME_Input[POP100])</f>
        <v>141</v>
      </c>
      <c r="P1410" s="178">
        <f>(FME_Ranking1[[#This Row],[Pop Raw]]/$O$2)*100</f>
        <v>1.4434918990415622E-2</v>
      </c>
      <c r="Q1410" s="178">
        <f>FME_Ranking1[[#This Row],[Pop Score (Normalized, Unweighted)]]*$O$3</f>
        <v>2.1652378485623432E-3</v>
      </c>
      <c r="R1410" s="137">
        <f>_xlfn.XLOOKUP(FME_Ranking1[[#This Row],[FME ID]],FME_Input[FME_ID],FME_Input[CRITFAC100])</f>
        <v>0</v>
      </c>
      <c r="S1410" s="230">
        <f>(FME_Ranking1[[#This Row],[Critical Facilities Raw]]/$R$2)*100</f>
        <v>0</v>
      </c>
      <c r="T1410" s="180">
        <f>FME_Ranking1[[#This Row],[Critical Facilities Score (Normalized, Unweighted)]]*$R$3</f>
        <v>0</v>
      </c>
      <c r="U1410">
        <f>_xlfn.XLOOKUP(FME_Ranking1[[#This Row],[FME ID]],FME_Input[FME_ID],FME_Input[LWC])</f>
        <v>2</v>
      </c>
      <c r="V1410" s="178">
        <f>(FME_Ranking1[[#This Row],[LWC Raw]]/$U$2)*100</f>
        <v>0.11514104778353484</v>
      </c>
      <c r="W1410" s="178">
        <f>FME_Ranking1[[#This Row],[LWC Score (Normalized, Unweighted)]]*$U$3</f>
        <v>2.302820955670697E-2</v>
      </c>
      <c r="X1410" s="246">
        <f>_xlfn.XLOOKUP(FME_Ranking1[[#This Row],[FME ID]],FME_Input[FME_ID],FME_Input[ROADCLS])</f>
        <v>5</v>
      </c>
      <c r="Y1410" s="230">
        <f>(FME_Ranking1[[#This Row],[Closures Raw]]/$X$2)*100</f>
        <v>5.2570707601724324E-2</v>
      </c>
      <c r="Z1410" s="180">
        <f>FME_Ranking1[[#This Row],[Closures Score (Normalized, Unweighted)]]*$X$3</f>
        <v>2.6285353800862164E-3</v>
      </c>
      <c r="AA1410" s="253">
        <f>_xlfn.XLOOKUP(FME_Ranking1[[#This Row],[FME ID]],FME_Input[FME_ID],FME_Input[ROAD_MILES100])</f>
        <v>0.57999998331069946</v>
      </c>
      <c r="AB1410" s="178">
        <f>(FME_Ranking1[[#This Row],[Miles Raw]]/$AA$2)*100</f>
        <v>7.6259595017286394E-3</v>
      </c>
      <c r="AC1410" s="178">
        <f>FME_Ranking1[[#This Row],[Miles Score (Normalized, Unweighted)]]*$AA$3</f>
        <v>7.6259595017286403E-4</v>
      </c>
      <c r="AD1410" s="255">
        <f>_xlfn.XLOOKUP(FME_Ranking1[[#This Row],[FME ID]],FME_Input[FME_ID],FME_Input[FARMACRE100])</f>
        <v>0</v>
      </c>
      <c r="AE1410" s="230">
        <f>(FME_Ranking1[[#This Row],[Ag Land Raw]]/$AD$2)*100</f>
        <v>0</v>
      </c>
      <c r="AF1410" s="231">
        <f>FME_Ranking1[[#This Row],[Ag Land Score (Normalized, Unweighted)]]*$AD$3</f>
        <v>0</v>
      </c>
      <c r="AG141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3.196693592486774E-2</v>
      </c>
      <c r="AH1410" s="406">
        <f t="shared" si="21"/>
        <v>1450</v>
      </c>
      <c r="AI141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3.196693592486774E-2</v>
      </c>
      <c r="AJ1410" s="257">
        <f>FME_Ranking1[[#This Row],[Addition check]]-FME_Ranking1[[#This Row],[Weighted Score Based on Normalized Reported Factors]]</f>
        <v>0</v>
      </c>
      <c r="AK1410" s="178">
        <f>_xlfn.RANK.EQ(AI1410,$AI$6:$AI$2341,0)+COUNTIF($AI$6:AI1410,AI1410)-1</f>
        <v>1450</v>
      </c>
    </row>
    <row r="1411" spans="1:37" x14ac:dyDescent="0.25">
      <c r="A1411" t="s">
        <v>4654</v>
      </c>
      <c r="B1411">
        <f>_xlfn.XLOOKUP(FME_Ranking1[[#This Row],[FME ID]],FME_Input[FME_ID],FME_Input[RFPG_NUM])</f>
        <v>3</v>
      </c>
      <c r="C1411" t="str">
        <f>_xlfn.XLOOKUP(FME_Ranking1[[#This Row],[FME ID]],FME_Input[FME_ID],FME_Input[FME_NAME])</f>
        <v>Northeast Mall Culvert Improvement</v>
      </c>
      <c r="D1411" t="str">
        <f>_xlfn.XLOOKUP(FME_Ranking1[[#This Row],[FME ID]],FME_Input[FME_ID],FME_Input[DESCR])</f>
        <v>Walker watershed; Estimated construction cost of $11,600,000; from 2020 study</v>
      </c>
      <c r="E1411" s="256">
        <f>_xlfn.XLOOKUP(FME_Ranking1[[#This Row],[FME ID]],FME_Input[FME_ID],FME_Input[FME_COST])</f>
        <v>582000</v>
      </c>
      <c r="F1411" t="str">
        <f>_xlfn.XLOOKUP(FME_Ranking1[[#This Row],[FME ID]],FME_Input[FME_ID],FME_Input[EMER_NEED])</f>
        <v>No</v>
      </c>
      <c r="G1411">
        <f>IF(FME_Ranking!F1411="Yes",100,0)</f>
        <v>0</v>
      </c>
      <c r="H1411">
        <f>FME_Ranking1[[#This Row],[Emergency Need Score (Normalized, Unweighted)]]*$F$3</f>
        <v>0</v>
      </c>
      <c r="I1411" s="246">
        <f>_xlfn.XLOOKUP(FME_Ranking1[[#This Row],[FME ID]],FME_Input[FME_ID],FME_Input[STRUCT_100])</f>
        <v>91</v>
      </c>
      <c r="J1411" s="178">
        <f>(FME_Ranking1[[#This Row],[Structures 100 Raw]]/I$2)*100</f>
        <v>4.8729811935055475E-2</v>
      </c>
      <c r="K1411" s="178">
        <f>FME_Ranking1[[#This Row],[Structures 100  Score (Normalized, Unweighted)]]*$I$3</f>
        <v>7.3094717902583211E-3</v>
      </c>
      <c r="L1411" s="246">
        <f>_xlfn.XLOOKUP(FME_Ranking1[[#This Row],[FME ID]],FME_Input[FME_ID],FME_Input[RES_STRUCT100])</f>
        <v>85</v>
      </c>
      <c r="M1411" s="230">
        <f>(FME_Ranking1[[#This Row],[Res Structures Raw]]/L$2)*100</f>
        <v>6.0205975265968742E-2</v>
      </c>
      <c r="N1411" s="180">
        <f>FME_Ranking1[[#This Row],[Res Structures Score (Normalized, Unweighted)]]*$L$3</f>
        <v>6.0205975265968745E-3</v>
      </c>
      <c r="O1411" s="244">
        <f>_xlfn.XLOOKUP(FME_Ranking1[[#This Row],[FME ID]],FME_Input[FME_ID],FME_Input[POP100])</f>
        <v>380</v>
      </c>
      <c r="P1411" s="178">
        <f>(FME_Ranking1[[#This Row],[Pop Raw]]/$O$2)*100</f>
        <v>3.8902618555730045E-2</v>
      </c>
      <c r="Q1411" s="178">
        <f>FME_Ranking1[[#This Row],[Pop Score (Normalized, Unweighted)]]*$O$3</f>
        <v>5.8353927833595066E-3</v>
      </c>
      <c r="R1411" s="137">
        <f>_xlfn.XLOOKUP(FME_Ranking1[[#This Row],[FME ID]],FME_Input[FME_ID],FME_Input[CRITFAC100])</f>
        <v>0</v>
      </c>
      <c r="S1411" s="230">
        <f>(FME_Ranking1[[#This Row],[Critical Facilities Raw]]/$R$2)*100</f>
        <v>0</v>
      </c>
      <c r="T1411" s="180">
        <f>FME_Ranking1[[#This Row],[Critical Facilities Score (Normalized, Unweighted)]]*$R$3</f>
        <v>0</v>
      </c>
      <c r="U1411">
        <f>_xlfn.XLOOKUP(FME_Ranking1[[#This Row],[FME ID]],FME_Input[FME_ID],FME_Input[LWC])</f>
        <v>1</v>
      </c>
      <c r="V1411" s="178">
        <f>(FME_Ranking1[[#This Row],[LWC Raw]]/$U$2)*100</f>
        <v>5.7570523891767422E-2</v>
      </c>
      <c r="W1411" s="178">
        <f>FME_Ranking1[[#This Row],[LWC Score (Normalized, Unweighted)]]*$U$3</f>
        <v>1.1514104778353485E-2</v>
      </c>
      <c r="X1411" s="246">
        <f>_xlfn.XLOOKUP(FME_Ranking1[[#This Row],[FME ID]],FME_Input[FME_ID],FME_Input[ROADCLS])</f>
        <v>0</v>
      </c>
      <c r="Y1411" s="230">
        <f>(FME_Ranking1[[#This Row],[Closures Raw]]/$X$2)*100</f>
        <v>0</v>
      </c>
      <c r="Z1411" s="180">
        <f>FME_Ranking1[[#This Row],[Closures Score (Normalized, Unweighted)]]*$X$3</f>
        <v>0</v>
      </c>
      <c r="AA1411" s="253">
        <f>_xlfn.XLOOKUP(FME_Ranking1[[#This Row],[FME ID]],FME_Input[FME_ID],FME_Input[ROAD_MILES100])</f>
        <v>2.370385885238647</v>
      </c>
      <c r="AB1411" s="178">
        <f>(FME_Ranking1[[#This Row],[Miles Raw]]/$AA$2)*100</f>
        <v>3.1166322904212482E-2</v>
      </c>
      <c r="AC1411" s="178">
        <f>FME_Ranking1[[#This Row],[Miles Score (Normalized, Unweighted)]]*$AA$3</f>
        <v>3.1166322904212485E-3</v>
      </c>
      <c r="AD1411" s="255">
        <f>_xlfn.XLOOKUP(FME_Ranking1[[#This Row],[FME ID]],FME_Input[FME_ID],FME_Input[FARMACRE100])</f>
        <v>7.6597471237182617</v>
      </c>
      <c r="AE1411" s="230">
        <f>(FME_Ranking1[[#This Row],[Ag Land Raw]]/$AD$2)*100</f>
        <v>3.1585368249588153E-4</v>
      </c>
      <c r="AF1411" s="231">
        <f>FME_Ranking1[[#This Row],[Ag Land Score (Normalized, Unweighted)]]*$AD$3</f>
        <v>1.5792684124794077E-5</v>
      </c>
      <c r="AG141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3.3811991853114232E-2</v>
      </c>
      <c r="AH1411" s="406">
        <f t="shared" si="21"/>
        <v>1440</v>
      </c>
      <c r="AI141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3.3811991853114232E-2</v>
      </c>
      <c r="AJ1411" s="257">
        <f>FME_Ranking1[[#This Row],[Addition check]]-FME_Ranking1[[#This Row],[Weighted Score Based on Normalized Reported Factors]]</f>
        <v>0</v>
      </c>
      <c r="AK1411" s="178">
        <f>_xlfn.RANK.EQ(AI1411,$AI$6:$AI$2341,0)+COUNTIF($AI$6:AI1411,AI1411)-1</f>
        <v>1440</v>
      </c>
    </row>
    <row r="1412" spans="1:37" x14ac:dyDescent="0.25">
      <c r="A1412" t="s">
        <v>9426</v>
      </c>
      <c r="B1412">
        <f>_xlfn.XLOOKUP(FME_Ranking1[[#This Row],[FME ID]],FME_Input[FME_ID],FME_Input[RFPG_NUM])</f>
        <v>12</v>
      </c>
      <c r="C1412" t="str">
        <f>_xlfn.XLOOKUP(FME_Ranking1[[#This Row],[FME ID]],FME_Input[FME_ID],FME_Input[FME_NAME])</f>
        <v>Culebra Creek Tributary A at Tezel Road Enhanced Conveyance</v>
      </c>
      <c r="D1412" t="str">
        <f>_xlfn.XLOOKUP(FME_Ranking1[[#This Row],[FME ID]],FME_Input[FME_ID],FME_Input[DESCR])</f>
        <v>Increasing the flow area by widening the channel and increasing its side slope</v>
      </c>
      <c r="E1412" s="256">
        <f>_xlfn.XLOOKUP(FME_Ranking1[[#This Row],[FME ID]],FME_Input[FME_ID],FME_Input[FME_COST])</f>
        <v>9169814</v>
      </c>
      <c r="F1412" t="str">
        <f>_xlfn.XLOOKUP(FME_Ranking1[[#This Row],[FME ID]],FME_Input[FME_ID],FME_Input[EMER_NEED])</f>
        <v>No</v>
      </c>
      <c r="G1412">
        <f>IF(FME_Ranking!F1412="Yes",100,0)</f>
        <v>0</v>
      </c>
      <c r="H1412">
        <f>FME_Ranking1[[#This Row],[Emergency Need Score (Normalized, Unweighted)]]*$F$3</f>
        <v>0</v>
      </c>
      <c r="I1412" s="246">
        <f>_xlfn.XLOOKUP(FME_Ranking1[[#This Row],[FME ID]],FME_Input[FME_ID],FME_Input[STRUCT_100])</f>
        <v>99</v>
      </c>
      <c r="J1412" s="178">
        <f>(FME_Ranking1[[#This Row],[Structures 100 Raw]]/I$2)*100</f>
        <v>5.3013751445829579E-2</v>
      </c>
      <c r="K1412" s="178">
        <f>FME_Ranking1[[#This Row],[Structures 100  Score (Normalized, Unweighted)]]*$I$3</f>
        <v>7.9520627168744359E-3</v>
      </c>
      <c r="L1412" s="246">
        <f>_xlfn.XLOOKUP(FME_Ranking1[[#This Row],[FME ID]],FME_Input[FME_ID],FME_Input[RES_STRUCT100])</f>
        <v>99</v>
      </c>
      <c r="M1412" s="230">
        <f>(FME_Ranking1[[#This Row],[Res Structures Raw]]/L$2)*100</f>
        <v>7.0122253545069485E-2</v>
      </c>
      <c r="N1412" s="180">
        <f>FME_Ranking1[[#This Row],[Res Structures Score (Normalized, Unweighted)]]*$L$3</f>
        <v>7.0122253545069485E-3</v>
      </c>
      <c r="O1412" s="244">
        <f>_xlfn.XLOOKUP(FME_Ranking1[[#This Row],[FME ID]],FME_Input[FME_ID],FME_Input[POP100])</f>
        <v>344</v>
      </c>
      <c r="P1412" s="178">
        <f>(FME_Ranking1[[#This Row],[Pop Raw]]/$O$2)*100</f>
        <v>3.5217107324134571E-2</v>
      </c>
      <c r="Q1412" s="178">
        <f>FME_Ranking1[[#This Row],[Pop Score (Normalized, Unweighted)]]*$O$3</f>
        <v>5.2825660986201856E-3</v>
      </c>
      <c r="R1412" s="137">
        <f>_xlfn.XLOOKUP(FME_Ranking1[[#This Row],[FME ID]],FME_Input[FME_ID],FME_Input[CRITFAC100])</f>
        <v>0</v>
      </c>
      <c r="S1412" s="230">
        <f>(FME_Ranking1[[#This Row],[Critical Facilities Raw]]/$R$2)*100</f>
        <v>0</v>
      </c>
      <c r="T1412" s="180">
        <f>FME_Ranking1[[#This Row],[Critical Facilities Score (Normalized, Unweighted)]]*$R$3</f>
        <v>0</v>
      </c>
      <c r="U1412">
        <f>_xlfn.XLOOKUP(FME_Ranking1[[#This Row],[FME ID]],FME_Input[FME_ID],FME_Input[LWC])</f>
        <v>0</v>
      </c>
      <c r="V1412" s="178">
        <f>(FME_Ranking1[[#This Row],[LWC Raw]]/$U$2)*100</f>
        <v>0</v>
      </c>
      <c r="W1412" s="178">
        <f>FME_Ranking1[[#This Row],[LWC Score (Normalized, Unweighted)]]*$U$3</f>
        <v>0</v>
      </c>
      <c r="X1412" s="246">
        <f>_xlfn.XLOOKUP(FME_Ranking1[[#This Row],[FME ID]],FME_Input[FME_ID],FME_Input[ROADCLS])</f>
        <v>19</v>
      </c>
      <c r="Y1412" s="230">
        <f>(FME_Ranking1[[#This Row],[Closures Raw]]/$X$2)*100</f>
        <v>0.19976868888655239</v>
      </c>
      <c r="Z1412" s="180">
        <f>FME_Ranking1[[#This Row],[Closures Score (Normalized, Unweighted)]]*$X$3</f>
        <v>9.9884344443276207E-3</v>
      </c>
      <c r="AA1412" s="253">
        <f>_xlfn.XLOOKUP(FME_Ranking1[[#This Row],[FME ID]],FME_Input[FME_ID],FME_Input[ROAD_MILES100])</f>
        <v>0.88999998569488525</v>
      </c>
      <c r="AB1412" s="178">
        <f>(FME_Ranking1[[#This Row],[Miles Raw]]/$AA$2)*100</f>
        <v>1.1701903521973875E-2</v>
      </c>
      <c r="AC1412" s="178">
        <f>FME_Ranking1[[#This Row],[Miles Score (Normalized, Unweighted)]]*$AA$3</f>
        <v>1.1701903521973876E-3</v>
      </c>
      <c r="AD1412" s="255">
        <f>_xlfn.XLOOKUP(FME_Ranking1[[#This Row],[FME ID]],FME_Input[FME_ID],FME_Input[FARMACRE100])</f>
        <v>0</v>
      </c>
      <c r="AE1412" s="230">
        <f>(FME_Ranking1[[#This Row],[Ag Land Raw]]/$AD$2)*100</f>
        <v>0</v>
      </c>
      <c r="AF1412" s="231">
        <f>FME_Ranking1[[#This Row],[Ag Land Score (Normalized, Unweighted)]]*$AD$3</f>
        <v>0</v>
      </c>
      <c r="AG141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3.1405478966526582E-2</v>
      </c>
      <c r="AH1412" s="406">
        <f t="shared" si="21"/>
        <v>1457</v>
      </c>
      <c r="AI141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3.1405478966526582E-2</v>
      </c>
      <c r="AJ1412" s="257">
        <f>FME_Ranking1[[#This Row],[Addition check]]-FME_Ranking1[[#This Row],[Weighted Score Based on Normalized Reported Factors]]</f>
        <v>0</v>
      </c>
      <c r="AK1412" s="178">
        <f>_xlfn.RANK.EQ(AI1412,$AI$6:$AI$2341,0)+COUNTIF($AI$6:AI1412,AI1412)-1</f>
        <v>1457</v>
      </c>
    </row>
    <row r="1413" spans="1:37" x14ac:dyDescent="0.25">
      <c r="A1413" t="s">
        <v>1607</v>
      </c>
      <c r="B1413">
        <f>_xlfn.XLOOKUP(FME_Ranking1[[#This Row],[FME ID]],FME_Input[FME_ID],FME_Input[RFPG_NUM])</f>
        <v>6</v>
      </c>
      <c r="C1413" t="str">
        <f>_xlfn.XLOOKUP(FME_Ranking1[[#This Row],[FME ID]],FME_Input[FME_ID],FME_Input[FME_NAME])</f>
        <v>City of Hunters Creek Village  Master Drainage Plan</v>
      </c>
      <c r="D1413" t="str">
        <f>_xlfn.XLOOKUP(FME_Ranking1[[#This Row],[FME ID]],FME_Input[FME_ID],FME_Input[DESCR])</f>
        <v>Study to develop Master Drainage Plan using future and existing land use and flood/storm water drainage needs including Atlas 14 rainfall.</v>
      </c>
      <c r="E1413" s="256">
        <f>_xlfn.XLOOKUP(FME_Ranking1[[#This Row],[FME ID]],FME_Input[FME_ID],FME_Input[FME_COST])</f>
        <v>190000</v>
      </c>
      <c r="F1413" t="str">
        <f>_xlfn.XLOOKUP(FME_Ranking1[[#This Row],[FME ID]],FME_Input[FME_ID],FME_Input[EMER_NEED])</f>
        <v>Yes</v>
      </c>
      <c r="G1413">
        <f>IF(FME_Ranking!F1413="Yes",100,0)</f>
        <v>100</v>
      </c>
      <c r="H1413">
        <f>FME_Ranking1[[#This Row],[Emergency Need Score (Normalized, Unweighted)]]*$F$3</f>
        <v>0</v>
      </c>
      <c r="I1413" s="246">
        <f>_xlfn.XLOOKUP(FME_Ranking1[[#This Row],[FME ID]],FME_Input[FME_ID],FME_Input[STRUCT_100])</f>
        <v>108</v>
      </c>
      <c r="J1413" s="178">
        <f>(FME_Ranking1[[#This Row],[Structures 100 Raw]]/I$2)*100</f>
        <v>5.783318339545046E-2</v>
      </c>
      <c r="K1413" s="178">
        <f>FME_Ranking1[[#This Row],[Structures 100  Score (Normalized, Unweighted)]]*$I$3</f>
        <v>8.6749775093175694E-3</v>
      </c>
      <c r="L1413" s="246">
        <f>_xlfn.XLOOKUP(FME_Ranking1[[#This Row],[FME ID]],FME_Input[FME_ID],FME_Input[RES_STRUCT100])</f>
        <v>103</v>
      </c>
      <c r="M1413" s="230">
        <f>(FME_Ranking1[[#This Row],[Res Structures Raw]]/L$2)*100</f>
        <v>7.2955475910526826E-2</v>
      </c>
      <c r="N1413" s="180">
        <f>FME_Ranking1[[#This Row],[Res Structures Score (Normalized, Unweighted)]]*$L$3</f>
        <v>7.2955475910526828E-3</v>
      </c>
      <c r="O1413" s="244">
        <f>_xlfn.XLOOKUP(FME_Ranking1[[#This Row],[FME ID]],FME_Input[FME_ID],FME_Input[POP100])</f>
        <v>369</v>
      </c>
      <c r="P1413" s="178">
        <f>(FME_Ranking1[[#This Row],[Pop Raw]]/$O$2)*100</f>
        <v>3.7776490123853652E-2</v>
      </c>
      <c r="Q1413" s="178">
        <f>FME_Ranking1[[#This Row],[Pop Score (Normalized, Unweighted)]]*$O$3</f>
        <v>5.6664735185780477E-3</v>
      </c>
      <c r="R1413" s="137">
        <f>_xlfn.XLOOKUP(FME_Ranking1[[#This Row],[FME ID]],FME_Input[FME_ID],FME_Input[CRITFAC100])</f>
        <v>1</v>
      </c>
      <c r="S1413" s="230">
        <f>(FME_Ranking1[[#This Row],[Critical Facilities Raw]]/$R$2)*100</f>
        <v>4.2881646655231559E-2</v>
      </c>
      <c r="T1413" s="180">
        <f>FME_Ranking1[[#This Row],[Critical Facilities Score (Normalized, Unweighted)]]*$R$3</f>
        <v>8.5763293310463125E-3</v>
      </c>
      <c r="U1413">
        <f>_xlfn.XLOOKUP(FME_Ranking1[[#This Row],[FME ID]],FME_Input[FME_ID],FME_Input[LWC])</f>
        <v>0</v>
      </c>
      <c r="V1413" s="178">
        <f>(FME_Ranking1[[#This Row],[LWC Raw]]/$U$2)*100</f>
        <v>0</v>
      </c>
      <c r="W1413" s="178">
        <f>FME_Ranking1[[#This Row],[LWC Score (Normalized, Unweighted)]]*$U$3</f>
        <v>0</v>
      </c>
      <c r="X1413" s="246">
        <f>_xlfn.XLOOKUP(FME_Ranking1[[#This Row],[FME ID]],FME_Input[FME_ID],FME_Input[ROADCLS])</f>
        <v>0</v>
      </c>
      <c r="Y1413" s="230">
        <f>(FME_Ranking1[[#This Row],[Closures Raw]]/$X$2)*100</f>
        <v>0</v>
      </c>
      <c r="Z1413" s="180">
        <f>FME_Ranking1[[#This Row],[Closures Score (Normalized, Unweighted)]]*$X$3</f>
        <v>0</v>
      </c>
      <c r="AA1413" s="253">
        <f>_xlfn.XLOOKUP(FME_Ranking1[[#This Row],[FME ID]],FME_Input[FME_ID],FME_Input[ROAD_MILES100])</f>
        <v>1.162753224372864</v>
      </c>
      <c r="AB1413" s="178">
        <f>(FME_Ranking1[[#This Row],[Miles Raw]]/$AA$2)*100</f>
        <v>1.5288119404689439E-2</v>
      </c>
      <c r="AC1413" s="178">
        <f>FME_Ranking1[[#This Row],[Miles Score (Normalized, Unweighted)]]*$AA$3</f>
        <v>1.528811940468944E-3</v>
      </c>
      <c r="AD1413" s="255">
        <f>_xlfn.XLOOKUP(FME_Ranking1[[#This Row],[FME ID]],FME_Input[FME_ID],FME_Input[FARMACRE100])</f>
        <v>0</v>
      </c>
      <c r="AE1413" s="230">
        <f>(FME_Ranking1[[#This Row],[Ag Land Raw]]/$AD$2)*100</f>
        <v>0</v>
      </c>
      <c r="AF1413" s="231">
        <f>FME_Ranking1[[#This Row],[Ag Land Score (Normalized, Unweighted)]]*$AD$3</f>
        <v>0</v>
      </c>
      <c r="AG141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3.174213989046356E-2</v>
      </c>
      <c r="AH1413" s="406">
        <f t="shared" si="21"/>
        <v>1455</v>
      </c>
      <c r="AI141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3.174213989046356E-2</v>
      </c>
      <c r="AJ1413" s="257">
        <f>FME_Ranking1[[#This Row],[Addition check]]-FME_Ranking1[[#This Row],[Weighted Score Based on Normalized Reported Factors]]</f>
        <v>0</v>
      </c>
      <c r="AK1413" s="178">
        <f>_xlfn.RANK.EQ(AI1413,$AI$6:$AI$2341,0)+COUNTIF($AI$6:AI1413,AI1413)-1</f>
        <v>1455</v>
      </c>
    </row>
    <row r="1414" spans="1:37" x14ac:dyDescent="0.25">
      <c r="A1414" t="s">
        <v>1467</v>
      </c>
      <c r="B1414">
        <f>_xlfn.XLOOKUP(FME_Ranking1[[#This Row],[FME ID]],FME_Input[FME_ID],FME_Input[RFPG_NUM])</f>
        <v>6</v>
      </c>
      <c r="C1414" t="str">
        <f>_xlfn.XLOOKUP(FME_Ranking1[[#This Row],[FME ID]],FME_Input[FME_ID],FME_Input[FME_NAME])</f>
        <v>White Oak Bayou - General Drainage Improvements along E105-00-00</v>
      </c>
      <c r="D1414" t="str">
        <f>_xlfn.XLOOKUP(FME_Ranking1[[#This Row],[FME ID]],FME_Input[FME_ID],FME_Input[DESCR])</f>
        <v>Further study of channel improvements from partnership project to restore channel conveyanve including Atlas 14 rainfalls.</v>
      </c>
      <c r="E1414" s="256">
        <f>_xlfn.XLOOKUP(FME_Ranking1[[#This Row],[FME ID]],FME_Input[FME_ID],FME_Input[FME_COST])</f>
        <v>120000</v>
      </c>
      <c r="F1414" t="str">
        <f>_xlfn.XLOOKUP(FME_Ranking1[[#This Row],[FME ID]],FME_Input[FME_ID],FME_Input[EMER_NEED])</f>
        <v>No</v>
      </c>
      <c r="G1414">
        <f>IF(FME_Ranking!F1414="Yes",100,0)</f>
        <v>0</v>
      </c>
      <c r="H1414">
        <f>FME_Ranking1[[#This Row],[Emergency Need Score (Normalized, Unweighted)]]*$F$3</f>
        <v>0</v>
      </c>
      <c r="I1414" s="246">
        <f>_xlfn.XLOOKUP(FME_Ranking1[[#This Row],[FME ID]],FME_Input[FME_ID],FME_Input[STRUCT_100])</f>
        <v>160</v>
      </c>
      <c r="J1414" s="178">
        <f>(FME_Ranking1[[#This Row],[Structures 100 Raw]]/I$2)*100</f>
        <v>8.5678790215482151E-2</v>
      </c>
      <c r="K1414" s="178">
        <f>FME_Ranking1[[#This Row],[Structures 100  Score (Normalized, Unweighted)]]*$I$3</f>
        <v>1.2851818532322323E-2</v>
      </c>
      <c r="L1414" s="246">
        <f>_xlfn.XLOOKUP(FME_Ranking1[[#This Row],[FME ID]],FME_Input[FME_ID],FME_Input[RES_STRUCT100])</f>
        <v>151</v>
      </c>
      <c r="M1414" s="230">
        <f>(FME_Ranking1[[#This Row],[Res Structures Raw]]/L$2)*100</f>
        <v>0.10695414429601507</v>
      </c>
      <c r="N1414" s="180">
        <f>FME_Ranking1[[#This Row],[Res Structures Score (Normalized, Unweighted)]]*$L$3</f>
        <v>1.0695414429601507E-2</v>
      </c>
      <c r="O1414" s="244">
        <f>_xlfn.XLOOKUP(FME_Ranking1[[#This Row],[FME ID]],FME_Input[FME_ID],FME_Input[POP100])</f>
        <v>431</v>
      </c>
      <c r="P1414" s="178">
        <f>(FME_Ranking1[[#This Row],[Pop Raw]]/$O$2)*100</f>
        <v>4.4123759467156978E-2</v>
      </c>
      <c r="Q1414" s="178">
        <f>FME_Ranking1[[#This Row],[Pop Score (Normalized, Unweighted)]]*$O$3</f>
        <v>6.6185639200735469E-3</v>
      </c>
      <c r="R1414" s="137">
        <f>_xlfn.XLOOKUP(FME_Ranking1[[#This Row],[FME ID]],FME_Input[FME_ID],FME_Input[CRITFAC100])</f>
        <v>0</v>
      </c>
      <c r="S1414" s="230">
        <f>(FME_Ranking1[[#This Row],[Critical Facilities Raw]]/$R$2)*100</f>
        <v>0</v>
      </c>
      <c r="T1414" s="180">
        <f>FME_Ranking1[[#This Row],[Critical Facilities Score (Normalized, Unweighted)]]*$R$3</f>
        <v>0</v>
      </c>
      <c r="U1414">
        <f>_xlfn.XLOOKUP(FME_Ranking1[[#This Row],[FME ID]],FME_Input[FME_ID],FME_Input[LWC])</f>
        <v>0</v>
      </c>
      <c r="V1414" s="178">
        <f>(FME_Ranking1[[#This Row],[LWC Raw]]/$U$2)*100</f>
        <v>0</v>
      </c>
      <c r="W1414" s="178">
        <f>FME_Ranking1[[#This Row],[LWC Score (Normalized, Unweighted)]]*$U$3</f>
        <v>0</v>
      </c>
      <c r="X1414" s="246">
        <f>_xlfn.XLOOKUP(FME_Ranking1[[#This Row],[FME ID]],FME_Input[FME_ID],FME_Input[ROADCLS])</f>
        <v>0</v>
      </c>
      <c r="Y1414" s="230">
        <f>(FME_Ranking1[[#This Row],[Closures Raw]]/$X$2)*100</f>
        <v>0</v>
      </c>
      <c r="Z1414" s="180">
        <f>FME_Ranking1[[#This Row],[Closures Score (Normalized, Unweighted)]]*$X$3</f>
        <v>0</v>
      </c>
      <c r="AA1414" s="253">
        <f>_xlfn.XLOOKUP(FME_Ranking1[[#This Row],[FME ID]],FME_Input[FME_ID],FME_Input[ROAD_MILES100])</f>
        <v>3.4355027675628662</v>
      </c>
      <c r="AB1414" s="178">
        <f>(FME_Ranking1[[#This Row],[Miles Raw]]/$AA$2)*100</f>
        <v>4.5170699529962853E-2</v>
      </c>
      <c r="AC1414" s="178">
        <f>FME_Ranking1[[#This Row],[Miles Score (Normalized, Unweighted)]]*$AA$3</f>
        <v>4.5170699529962855E-3</v>
      </c>
      <c r="AD1414" s="255">
        <f>_xlfn.XLOOKUP(FME_Ranking1[[#This Row],[FME ID]],FME_Input[FME_ID],FME_Input[FARMACRE100])</f>
        <v>0.67417436838150024</v>
      </c>
      <c r="AE1414" s="230">
        <f>(FME_Ranking1[[#This Row],[Ag Land Raw]]/$AD$2)*100</f>
        <v>2.7799933008005683E-5</v>
      </c>
      <c r="AF1414" s="231">
        <f>FME_Ranking1[[#This Row],[Ag Land Score (Normalized, Unweighted)]]*$AD$3</f>
        <v>1.3899966504002842E-6</v>
      </c>
      <c r="AG141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3.4684256831644063E-2</v>
      </c>
      <c r="AH1414" s="406">
        <f t="shared" ref="AH1414:AH1477" si="22">_xlfn.RANK.EQ(AG1414,$AG$6:$AG$2341,0)</f>
        <v>1430</v>
      </c>
      <c r="AI141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3.4684256831644063E-2</v>
      </c>
      <c r="AJ1414" s="257">
        <f>FME_Ranking1[[#This Row],[Addition check]]-FME_Ranking1[[#This Row],[Weighted Score Based on Normalized Reported Factors]]</f>
        <v>0</v>
      </c>
      <c r="AK1414" s="178">
        <f>_xlfn.RANK.EQ(AI1414,$AI$6:$AI$2341,0)+COUNTIF($AI$6:AI1414,AI1414)-1</f>
        <v>1430</v>
      </c>
    </row>
    <row r="1415" spans="1:37" x14ac:dyDescent="0.25">
      <c r="A1415" t="s">
        <v>516</v>
      </c>
      <c r="B1415">
        <f>_xlfn.XLOOKUP(FME_Ranking1[[#This Row],[FME ID]],FME_Input[FME_ID],FME_Input[RFPG_NUM])</f>
        <v>10</v>
      </c>
      <c r="C1415" t="str">
        <f>_xlfn.XLOOKUP(FME_Ranking1[[#This Row],[FME ID]],FME_Input[FME_ID],FME_Input[FME_NAME])</f>
        <v>Create Emergency Evacuation Plan</v>
      </c>
      <c r="D1415" t="str">
        <f>_xlfn.XLOOKUP(FME_Ranking1[[#This Row],[FME ID]],FME_Input[FME_ID],FME_Input[DESCR])</f>
        <v>Create emergency evacuation plan</v>
      </c>
      <c r="E1415" s="256">
        <f>_xlfn.XLOOKUP(FME_Ranking1[[#This Row],[FME ID]],FME_Input[FME_ID],FME_Input[FME_COST])</f>
        <v>25000</v>
      </c>
      <c r="F1415" t="str">
        <f>_xlfn.XLOOKUP(FME_Ranking1[[#This Row],[FME ID]],FME_Input[FME_ID],FME_Input[EMER_NEED])</f>
        <v>No</v>
      </c>
      <c r="G1415">
        <f>IF(FME_Ranking!F1415="Yes",100,0)</f>
        <v>0</v>
      </c>
      <c r="H1415">
        <f>FME_Ranking1[[#This Row],[Emergency Need Score (Normalized, Unweighted)]]*$F$3</f>
        <v>0</v>
      </c>
      <c r="I1415" s="246">
        <f>_xlfn.XLOOKUP(FME_Ranking1[[#This Row],[FME ID]],FME_Input[FME_ID],FME_Input[STRUCT_100])</f>
        <v>167</v>
      </c>
      <c r="J1415" s="178">
        <f>(FME_Ranking1[[#This Row],[Structures 100 Raw]]/I$2)*100</f>
        <v>8.9427237287409492E-2</v>
      </c>
      <c r="K1415" s="178">
        <f>FME_Ranking1[[#This Row],[Structures 100  Score (Normalized, Unweighted)]]*$I$3</f>
        <v>1.3414085593111424E-2</v>
      </c>
      <c r="L1415" s="246">
        <f>_xlfn.XLOOKUP(FME_Ranking1[[#This Row],[FME ID]],FME_Input[FME_ID],FME_Input[RES_STRUCT100])</f>
        <v>144</v>
      </c>
      <c r="M1415" s="230">
        <f>(FME_Ranking1[[#This Row],[Res Structures Raw]]/L$2)*100</f>
        <v>0.1019960051564647</v>
      </c>
      <c r="N1415" s="180">
        <f>FME_Ranking1[[#This Row],[Res Structures Score (Normalized, Unweighted)]]*$L$3</f>
        <v>1.0199600515646471E-2</v>
      </c>
      <c r="O1415" s="244">
        <f>_xlfn.XLOOKUP(FME_Ranking1[[#This Row],[FME ID]],FME_Input[FME_ID],FME_Input[POP100])</f>
        <v>403</v>
      </c>
      <c r="P1415" s="178">
        <f>(FME_Ranking1[[#This Row],[Pop Raw]]/$O$2)*100</f>
        <v>4.1257250731471608E-2</v>
      </c>
      <c r="Q1415" s="178">
        <f>FME_Ranking1[[#This Row],[Pop Score (Normalized, Unweighted)]]*$O$3</f>
        <v>6.1885876097207406E-3</v>
      </c>
      <c r="R1415" s="137">
        <f>_xlfn.XLOOKUP(FME_Ranking1[[#This Row],[FME ID]],FME_Input[FME_ID],FME_Input[CRITFAC100])</f>
        <v>0</v>
      </c>
      <c r="S1415" s="230">
        <f>(FME_Ranking1[[#This Row],[Critical Facilities Raw]]/$R$2)*100</f>
        <v>0</v>
      </c>
      <c r="T1415" s="180">
        <f>FME_Ranking1[[#This Row],[Critical Facilities Score (Normalized, Unweighted)]]*$R$3</f>
        <v>0</v>
      </c>
      <c r="U1415">
        <f>_xlfn.XLOOKUP(FME_Ranking1[[#This Row],[FME ID]],FME_Input[FME_ID],FME_Input[LWC])</f>
        <v>0</v>
      </c>
      <c r="V1415" s="178">
        <f>(FME_Ranking1[[#This Row],[LWC Raw]]/$U$2)*100</f>
        <v>0</v>
      </c>
      <c r="W1415" s="178">
        <f>FME_Ranking1[[#This Row],[LWC Score (Normalized, Unweighted)]]*$U$3</f>
        <v>0</v>
      </c>
      <c r="X1415" s="246">
        <f>_xlfn.XLOOKUP(FME_Ranking1[[#This Row],[FME ID]],FME_Input[FME_ID],FME_Input[ROADCLS])</f>
        <v>0</v>
      </c>
      <c r="Y1415" s="230">
        <f>(FME_Ranking1[[#This Row],[Closures Raw]]/$X$2)*100</f>
        <v>0</v>
      </c>
      <c r="Z1415" s="180">
        <f>FME_Ranking1[[#This Row],[Closures Score (Normalized, Unweighted)]]*$X$3</f>
        <v>0</v>
      </c>
      <c r="AA1415" s="253">
        <f>_xlfn.XLOOKUP(FME_Ranking1[[#This Row],[FME ID]],FME_Input[FME_ID],FME_Input[ROAD_MILES100])</f>
        <v>0.64791983366012573</v>
      </c>
      <c r="AB1415" s="178">
        <f>(FME_Ranking1[[#This Row],[Miles Raw]]/$AA$2)*100</f>
        <v>8.5189837138530244E-3</v>
      </c>
      <c r="AC1415" s="178">
        <f>FME_Ranking1[[#This Row],[Miles Score (Normalized, Unweighted)]]*$AA$3</f>
        <v>8.5189837138530252E-4</v>
      </c>
      <c r="AD1415" s="255">
        <f>_xlfn.XLOOKUP(FME_Ranking1[[#This Row],[FME ID]],FME_Input[FME_ID],FME_Input[FARMACRE100])</f>
        <v>80.260734558105469</v>
      </c>
      <c r="AE1415" s="230">
        <f>(FME_Ranking1[[#This Row],[Ag Land Raw]]/$AD$2)*100</f>
        <v>3.3095934057019026E-3</v>
      </c>
      <c r="AF1415" s="231">
        <f>FME_Ranking1[[#This Row],[Ag Land Score (Normalized, Unweighted)]]*$AD$3</f>
        <v>1.6547967028509515E-4</v>
      </c>
      <c r="AG141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3.0819651760149031E-2</v>
      </c>
      <c r="AH1415" s="406">
        <f t="shared" si="22"/>
        <v>1463</v>
      </c>
      <c r="AI141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3.0819651760149031E-2</v>
      </c>
      <c r="AJ1415" s="257">
        <f>FME_Ranking1[[#This Row],[Addition check]]-FME_Ranking1[[#This Row],[Weighted Score Based on Normalized Reported Factors]]</f>
        <v>0</v>
      </c>
      <c r="AK1415" s="178">
        <f>_xlfn.RANK.EQ(AI1415,$AI$6:$AI$2341,0)+COUNTIF($AI$6:AI1415,AI1415)-1</f>
        <v>1463</v>
      </c>
    </row>
    <row r="1416" spans="1:37" x14ac:dyDescent="0.25">
      <c r="A1416" t="s">
        <v>3085</v>
      </c>
      <c r="B1416">
        <f>_xlfn.XLOOKUP(FME_Ranking1[[#This Row],[FME ID]],FME_Input[FME_ID],FME_Input[RFPG_NUM])</f>
        <v>1</v>
      </c>
      <c r="C1416" t="str">
        <f>_xlfn.XLOOKUP(FME_Ranking1[[#This Row],[FME ID]],FME_Input[FME_ID],FME_Input[FME_NAME])</f>
        <v>Pleasant Valley City Drainage Master Plan</v>
      </c>
      <c r="D1416" t="str">
        <f>_xlfn.XLOOKUP(FME_Ranking1[[#This Row],[FME ID]],FME_Input[FME_ID],FME_Input[DESCR])</f>
        <v xml:space="preserve">Perform H&amp;H modeling, develop conceptual alternatives and OPCC, and rank projects; selected based on the needs analysis and survey responses reporting issues with rivers, creeks, tributaries, and functioning floodplains </v>
      </c>
      <c r="E1416" s="256">
        <f>_xlfn.XLOOKUP(FME_Ranking1[[#This Row],[FME ID]],FME_Input[FME_ID],FME_Input[FME_COST])</f>
        <v>250000</v>
      </c>
      <c r="F1416" t="str">
        <f>_xlfn.XLOOKUP(FME_Ranking1[[#This Row],[FME ID]],FME_Input[FME_ID],FME_Input[EMER_NEED])</f>
        <v>No</v>
      </c>
      <c r="G1416">
        <f>IF(FME_Ranking!F1416="Yes",100,0)</f>
        <v>0</v>
      </c>
      <c r="H1416">
        <f>FME_Ranking1[[#This Row],[Emergency Need Score (Normalized, Unweighted)]]*$F$3</f>
        <v>0</v>
      </c>
      <c r="I1416" s="246">
        <f>_xlfn.XLOOKUP(FME_Ranking1[[#This Row],[FME ID]],FME_Input[FME_ID],FME_Input[STRUCT_100])</f>
        <v>93</v>
      </c>
      <c r="J1416" s="178">
        <f>(FME_Ranking1[[#This Row],[Structures 100 Raw]]/I$2)*100</f>
        <v>4.9800796812749001E-2</v>
      </c>
      <c r="K1416" s="178">
        <f>FME_Ranking1[[#This Row],[Structures 100  Score (Normalized, Unweighted)]]*$I$3</f>
        <v>7.47011952191235E-3</v>
      </c>
      <c r="L1416" s="246">
        <f>_xlfn.XLOOKUP(FME_Ranking1[[#This Row],[FME ID]],FME_Input[FME_ID],FME_Input[RES_STRUCT100])</f>
        <v>75</v>
      </c>
      <c r="M1416" s="230">
        <f>(FME_Ranking1[[#This Row],[Res Structures Raw]]/L$2)*100</f>
        <v>5.3122919352325368E-2</v>
      </c>
      <c r="N1416" s="180">
        <f>FME_Ranking1[[#This Row],[Res Structures Score (Normalized, Unweighted)]]*$L$3</f>
        <v>5.3122919352325375E-3</v>
      </c>
      <c r="O1416" s="244">
        <f>_xlfn.XLOOKUP(FME_Ranking1[[#This Row],[FME ID]],FME_Input[FME_ID],FME_Input[POP100])</f>
        <v>248</v>
      </c>
      <c r="P1416" s="178">
        <f>(FME_Ranking1[[#This Row],[Pop Raw]]/$O$2)*100</f>
        <v>2.5389077373213293E-2</v>
      </c>
      <c r="Q1416" s="178">
        <f>FME_Ranking1[[#This Row],[Pop Score (Normalized, Unweighted)]]*$O$3</f>
        <v>3.8083616059819939E-3</v>
      </c>
      <c r="R1416" s="137">
        <f>_xlfn.XLOOKUP(FME_Ranking1[[#This Row],[FME ID]],FME_Input[FME_ID],FME_Input[CRITFAC100])</f>
        <v>0</v>
      </c>
      <c r="S1416" s="230">
        <f>(FME_Ranking1[[#This Row],[Critical Facilities Raw]]/$R$2)*100</f>
        <v>0</v>
      </c>
      <c r="T1416" s="180">
        <f>FME_Ranking1[[#This Row],[Critical Facilities Score (Normalized, Unweighted)]]*$R$3</f>
        <v>0</v>
      </c>
      <c r="U1416">
        <f>_xlfn.XLOOKUP(FME_Ranking1[[#This Row],[FME ID]],FME_Input[FME_ID],FME_Input[LWC])</f>
        <v>1</v>
      </c>
      <c r="V1416" s="178">
        <f>(FME_Ranking1[[#This Row],[LWC Raw]]/$U$2)*100</f>
        <v>5.7570523891767422E-2</v>
      </c>
      <c r="W1416" s="178">
        <f>FME_Ranking1[[#This Row],[LWC Score (Normalized, Unweighted)]]*$U$3</f>
        <v>1.1514104778353485E-2</v>
      </c>
      <c r="X1416" s="246">
        <f>_xlfn.XLOOKUP(FME_Ranking1[[#This Row],[FME ID]],FME_Input[FME_ID],FME_Input[ROADCLS])</f>
        <v>3</v>
      </c>
      <c r="Y1416" s="230">
        <f>(FME_Ranking1[[#This Row],[Closures Raw]]/$X$2)*100</f>
        <v>3.1542424561034593E-2</v>
      </c>
      <c r="Z1416" s="180">
        <f>FME_Ranking1[[#This Row],[Closures Score (Normalized, Unweighted)]]*$X$3</f>
        <v>1.5771212280517297E-3</v>
      </c>
      <c r="AA1416" s="253">
        <f>_xlfn.XLOOKUP(FME_Ranking1[[#This Row],[FME ID]],FME_Input[FME_ID],FME_Input[ROAD_MILES100])</f>
        <v>0.80622470378875732</v>
      </c>
      <c r="AB1416" s="178">
        <f>(FME_Ranking1[[#This Row],[Miles Raw]]/$AA$2)*100</f>
        <v>1.0600408822930413E-2</v>
      </c>
      <c r="AC1416" s="178">
        <f>FME_Ranking1[[#This Row],[Miles Score (Normalized, Unweighted)]]*$AA$3</f>
        <v>1.0600408822930413E-3</v>
      </c>
      <c r="AD1416" s="255">
        <f>_xlfn.XLOOKUP(FME_Ranking1[[#This Row],[FME ID]],FME_Input[FME_ID],FME_Input[FARMACRE100])</f>
        <v>13.71359157562256</v>
      </c>
      <c r="AE1416" s="230">
        <f>(FME_Ranking1[[#This Row],[Ag Land Raw]]/$AD$2)*100</f>
        <v>5.6548712763539058E-4</v>
      </c>
      <c r="AF1416" s="231">
        <f>FME_Ranking1[[#This Row],[Ag Land Score (Normalized, Unweighted)]]*$AD$3</f>
        <v>2.8274356381769531E-5</v>
      </c>
      <c r="AG141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3.0770314308206908E-2</v>
      </c>
      <c r="AH1416" s="406">
        <f t="shared" si="22"/>
        <v>1464</v>
      </c>
      <c r="AI141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3.0770314308206908E-2</v>
      </c>
      <c r="AJ1416" s="257">
        <f>FME_Ranking1[[#This Row],[Addition check]]-FME_Ranking1[[#This Row],[Weighted Score Based on Normalized Reported Factors]]</f>
        <v>0</v>
      </c>
      <c r="AK1416" s="178">
        <f>_xlfn.RANK.EQ(AI1416,$AI$6:$AI$2341,0)+COUNTIF($AI$6:AI1416,AI1416)-1</f>
        <v>1464</v>
      </c>
    </row>
    <row r="1417" spans="1:37" x14ac:dyDescent="0.25">
      <c r="A1417" t="s">
        <v>1425</v>
      </c>
      <c r="B1417">
        <f>_xlfn.XLOOKUP(FME_Ranking1[[#This Row],[FME ID]],FME_Input[FME_ID],FME_Input[RFPG_NUM])</f>
        <v>6</v>
      </c>
      <c r="C1417" t="str">
        <f>_xlfn.XLOOKUP(FME_Ranking1[[#This Row],[FME ID]],FME_Input[FME_ID],FME_Input[FME_NAME])</f>
        <v>Little Cypress Creek - L109-00-00</v>
      </c>
      <c r="D1417" t="str">
        <f>_xlfn.XLOOKUP(FME_Ranking1[[#This Row],[FME ID]],FME_Input[FME_ID],FME_Input[DESCR])</f>
        <v>Further study of Flood Risk Reduction need identified through the HCFCD 'Watershed Planning Tool' to determine channel modifications needed to restore/improve channel conveyance including Atlas 14 rainfall.</v>
      </c>
      <c r="E1417" s="256">
        <f>_xlfn.XLOOKUP(FME_Ranking1[[#This Row],[FME ID]],FME_Input[FME_ID],FME_Input[FME_COST])</f>
        <v>100000</v>
      </c>
      <c r="F1417" t="str">
        <f>_xlfn.XLOOKUP(FME_Ranking1[[#This Row],[FME ID]],FME_Input[FME_ID],FME_Input[EMER_NEED])</f>
        <v>No</v>
      </c>
      <c r="G1417">
        <f>IF(FME_Ranking!F1417="Yes",100,0)</f>
        <v>0</v>
      </c>
      <c r="H1417">
        <f>FME_Ranking1[[#This Row],[Emergency Need Score (Normalized, Unweighted)]]*$F$3</f>
        <v>0</v>
      </c>
      <c r="I1417" s="246">
        <f>_xlfn.XLOOKUP(FME_Ranking1[[#This Row],[FME ID]],FME_Input[FME_ID],FME_Input[STRUCT_100])</f>
        <v>178</v>
      </c>
      <c r="J1417" s="178">
        <f>(FME_Ranking1[[#This Row],[Structures 100 Raw]]/I$2)*100</f>
        <v>9.5317654114723899E-2</v>
      </c>
      <c r="K1417" s="178">
        <f>FME_Ranking1[[#This Row],[Structures 100  Score (Normalized, Unweighted)]]*$I$3</f>
        <v>1.4297648117208584E-2</v>
      </c>
      <c r="L1417" s="246">
        <f>_xlfn.XLOOKUP(FME_Ranking1[[#This Row],[FME ID]],FME_Input[FME_ID],FME_Input[RES_STRUCT100])</f>
        <v>104</v>
      </c>
      <c r="M1417" s="230">
        <f>(FME_Ranking1[[#This Row],[Res Structures Raw]]/L$2)*100</f>
        <v>7.3663781501891179E-2</v>
      </c>
      <c r="N1417" s="180">
        <f>FME_Ranking1[[#This Row],[Res Structures Score (Normalized, Unweighted)]]*$L$3</f>
        <v>7.3663781501891179E-3</v>
      </c>
      <c r="O1417" s="244">
        <f>_xlfn.XLOOKUP(FME_Ranking1[[#This Row],[FME ID]],FME_Input[FME_ID],FME_Input[POP100])</f>
        <v>520</v>
      </c>
      <c r="P1417" s="178">
        <f>(FME_Ranking1[[#This Row],[Pop Raw]]/$O$2)*100</f>
        <v>5.3235162234156905E-2</v>
      </c>
      <c r="Q1417" s="178">
        <f>FME_Ranking1[[#This Row],[Pop Score (Normalized, Unweighted)]]*$O$3</f>
        <v>7.9852743351235354E-3</v>
      </c>
      <c r="R1417" s="137">
        <f>_xlfn.XLOOKUP(FME_Ranking1[[#This Row],[FME ID]],FME_Input[FME_ID],FME_Input[CRITFAC100])</f>
        <v>0</v>
      </c>
      <c r="S1417" s="230">
        <f>(FME_Ranking1[[#This Row],[Critical Facilities Raw]]/$R$2)*100</f>
        <v>0</v>
      </c>
      <c r="T1417" s="180">
        <f>FME_Ranking1[[#This Row],[Critical Facilities Score (Normalized, Unweighted)]]*$R$3</f>
        <v>0</v>
      </c>
      <c r="U1417">
        <f>_xlfn.XLOOKUP(FME_Ranking1[[#This Row],[FME ID]],FME_Input[FME_ID],FME_Input[LWC])</f>
        <v>0</v>
      </c>
      <c r="V1417" s="178">
        <f>(FME_Ranking1[[#This Row],[LWC Raw]]/$U$2)*100</f>
        <v>0</v>
      </c>
      <c r="W1417" s="178">
        <f>FME_Ranking1[[#This Row],[LWC Score (Normalized, Unweighted)]]*$U$3</f>
        <v>0</v>
      </c>
      <c r="X1417" s="246">
        <f>_xlfn.XLOOKUP(FME_Ranking1[[#This Row],[FME ID]],FME_Input[FME_ID],FME_Input[ROADCLS])</f>
        <v>0</v>
      </c>
      <c r="Y1417" s="230">
        <f>(FME_Ranking1[[#This Row],[Closures Raw]]/$X$2)*100</f>
        <v>0</v>
      </c>
      <c r="Z1417" s="180">
        <f>FME_Ranking1[[#This Row],[Closures Score (Normalized, Unweighted)]]*$X$3</f>
        <v>0</v>
      </c>
      <c r="AA1417" s="253">
        <f>_xlfn.XLOOKUP(FME_Ranking1[[#This Row],[FME ID]],FME_Input[FME_ID],FME_Input[ROAD_MILES100])</f>
        <v>1.738477230072021</v>
      </c>
      <c r="AB1417" s="178">
        <f>(FME_Ranking1[[#This Row],[Miles Raw]]/$AA$2)*100</f>
        <v>2.2857857470152187E-2</v>
      </c>
      <c r="AC1417" s="178">
        <f>FME_Ranking1[[#This Row],[Miles Score (Normalized, Unweighted)]]*$AA$3</f>
        <v>2.2857857470152186E-3</v>
      </c>
      <c r="AD1417" s="255">
        <f>_xlfn.XLOOKUP(FME_Ranking1[[#This Row],[FME ID]],FME_Input[FME_ID],FME_Input[FARMACRE100])</f>
        <v>12.908957481384279</v>
      </c>
      <c r="AE1417" s="230">
        <f>(FME_Ranking1[[#This Row],[Ag Land Raw]]/$AD$2)*100</f>
        <v>5.3230761953649533E-4</v>
      </c>
      <c r="AF1417" s="231">
        <f>FME_Ranking1[[#This Row],[Ag Land Score (Normalized, Unweighted)]]*$AD$3</f>
        <v>2.6615380976824769E-5</v>
      </c>
      <c r="AG141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3.1961701730513284E-2</v>
      </c>
      <c r="AH1417" s="406">
        <f t="shared" si="22"/>
        <v>1451</v>
      </c>
      <c r="AI141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3.1961701730513284E-2</v>
      </c>
      <c r="AJ1417" s="257">
        <f>FME_Ranking1[[#This Row],[Addition check]]-FME_Ranking1[[#This Row],[Weighted Score Based on Normalized Reported Factors]]</f>
        <v>0</v>
      </c>
      <c r="AK1417" s="178">
        <f>_xlfn.RANK.EQ(AI1417,$AI$6:$AI$2341,0)+COUNTIF($AI$6:AI1417,AI1417)-1</f>
        <v>1451</v>
      </c>
    </row>
    <row r="1418" spans="1:37" x14ac:dyDescent="0.25">
      <c r="A1418" t="s">
        <v>8228</v>
      </c>
      <c r="B1418">
        <f>_xlfn.XLOOKUP(FME_Ranking1[[#This Row],[FME ID]],FME_Input[FME_ID],FME_Input[RFPG_NUM])</f>
        <v>9</v>
      </c>
      <c r="C1418" t="str">
        <f>_xlfn.XLOOKUP(FME_Ranking1[[#This Row],[FME ID]],FME_Input[FME_ID],FME_Input[FME_NAME])</f>
        <v>Upton County FEMA Mapping</v>
      </c>
      <c r="D1418" t="str">
        <f>_xlfn.XLOOKUP(FME_Ranking1[[#This Row],[FME ID]],FME_Input[FME_ID],FME_Input[DESCR])</f>
        <v>Create FEMA Mapping in previously unmapped areas</v>
      </c>
      <c r="E1418" s="256">
        <f>_xlfn.XLOOKUP(FME_Ranking1[[#This Row],[FME ID]],FME_Input[FME_ID],FME_Input[FME_COST])</f>
        <v>1080000</v>
      </c>
      <c r="F1418" t="str">
        <f>_xlfn.XLOOKUP(FME_Ranking1[[#This Row],[FME ID]],FME_Input[FME_ID],FME_Input[EMER_NEED])</f>
        <v>No</v>
      </c>
      <c r="G1418">
        <f>IF(FME_Ranking!F1418="Yes",100,0)</f>
        <v>0</v>
      </c>
      <c r="H1418">
        <f>FME_Ranking1[[#This Row],[Emergency Need Score (Normalized, Unweighted)]]*$F$3</f>
        <v>0</v>
      </c>
      <c r="I1418" s="246">
        <f>_xlfn.XLOOKUP(FME_Ranking1[[#This Row],[FME ID]],FME_Input[FME_ID],FME_Input[STRUCT_100])</f>
        <v>41</v>
      </c>
      <c r="J1418" s="178">
        <f>(FME_Ranking1[[#This Row],[Structures 100 Raw]]/I$2)*100</f>
        <v>2.1955189992717301E-2</v>
      </c>
      <c r="K1418" s="178">
        <f>FME_Ranking1[[#This Row],[Structures 100  Score (Normalized, Unweighted)]]*$I$3</f>
        <v>3.2932784989075951E-3</v>
      </c>
      <c r="L1418" s="246">
        <f>_xlfn.XLOOKUP(FME_Ranking1[[#This Row],[FME ID]],FME_Input[FME_ID],FME_Input[RES_STRUCT100])</f>
        <v>16</v>
      </c>
      <c r="M1418" s="230">
        <f>(FME_Ranking1[[#This Row],[Res Structures Raw]]/L$2)*100</f>
        <v>1.1332889461829412E-2</v>
      </c>
      <c r="N1418" s="180">
        <f>FME_Ranking1[[#This Row],[Res Structures Score (Normalized, Unweighted)]]*$L$3</f>
        <v>1.1332889461829413E-3</v>
      </c>
      <c r="O1418" s="244">
        <f>_xlfn.XLOOKUP(FME_Ranking1[[#This Row],[FME ID]],FME_Input[FME_ID],FME_Input[POP100])</f>
        <v>23</v>
      </c>
      <c r="P1418" s="178">
        <f>(FME_Ranking1[[#This Row],[Pop Raw]]/$O$2)*100</f>
        <v>2.3546321757415556E-3</v>
      </c>
      <c r="Q1418" s="178">
        <f>FME_Ranking1[[#This Row],[Pop Score (Normalized, Unweighted)]]*$O$3</f>
        <v>3.5319482636123333E-4</v>
      </c>
      <c r="R1418" s="137">
        <f>_xlfn.XLOOKUP(FME_Ranking1[[#This Row],[FME ID]],FME_Input[FME_ID],FME_Input[CRITFAC100])</f>
        <v>0</v>
      </c>
      <c r="S1418" s="230">
        <f>(FME_Ranking1[[#This Row],[Critical Facilities Raw]]/$R$2)*100</f>
        <v>0</v>
      </c>
      <c r="T1418" s="180">
        <f>FME_Ranking1[[#This Row],[Critical Facilities Score (Normalized, Unweighted)]]*$R$3</f>
        <v>0</v>
      </c>
      <c r="U1418">
        <f>_xlfn.XLOOKUP(FME_Ranking1[[#This Row],[FME ID]],FME_Input[FME_ID],FME_Input[LWC])</f>
        <v>1</v>
      </c>
      <c r="V1418" s="178">
        <f>(FME_Ranking1[[#This Row],[LWC Raw]]/$U$2)*100</f>
        <v>5.7570523891767422E-2</v>
      </c>
      <c r="W1418" s="178">
        <f>FME_Ranking1[[#This Row],[LWC Score (Normalized, Unweighted)]]*$U$3</f>
        <v>1.1514104778353485E-2</v>
      </c>
      <c r="X1418" s="246">
        <f>_xlfn.XLOOKUP(FME_Ranking1[[#This Row],[FME ID]],FME_Input[FME_ID],FME_Input[ROADCLS])</f>
        <v>0</v>
      </c>
      <c r="Y1418" s="230">
        <f>(FME_Ranking1[[#This Row],[Closures Raw]]/$X$2)*100</f>
        <v>0</v>
      </c>
      <c r="Z1418" s="180">
        <f>FME_Ranking1[[#This Row],[Closures Score (Normalized, Unweighted)]]*$X$3</f>
        <v>0</v>
      </c>
      <c r="AA1418" s="253">
        <f>_xlfn.XLOOKUP(FME_Ranking1[[#This Row],[FME ID]],FME_Input[FME_ID],FME_Input[ROAD_MILES100])</f>
        <v>34.071346282958977</v>
      </c>
      <c r="AB1418" s="178">
        <f>(FME_Ranking1[[#This Row],[Miles Raw]]/$AA$2)*100</f>
        <v>0.4479770937924864</v>
      </c>
      <c r="AC1418" s="178">
        <f>FME_Ranking1[[#This Row],[Miles Score (Normalized, Unweighted)]]*$AA$3</f>
        <v>4.4797709379248644E-2</v>
      </c>
      <c r="AD1418" s="255">
        <f>_xlfn.XLOOKUP(FME_Ranking1[[#This Row],[FME ID]],FME_Input[FME_ID],FME_Input[FARMACRE100])</f>
        <v>6457.232421875</v>
      </c>
      <c r="AE1418" s="230">
        <f>(FME_Ranking1[[#This Row],[Ag Land Raw]]/$AD$2)*100</f>
        <v>0.26626735925336487</v>
      </c>
      <c r="AF1418" s="231">
        <f>FME_Ranking1[[#This Row],[Ag Land Score (Normalized, Unweighted)]]*$AD$3</f>
        <v>1.3313367962668243E-2</v>
      </c>
      <c r="AG141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7.4404944391722141E-2</v>
      </c>
      <c r="AH1418" s="406">
        <f t="shared" si="22"/>
        <v>1160</v>
      </c>
      <c r="AI141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7.4404944391722141E-2</v>
      </c>
      <c r="AJ1418" s="257">
        <f>FME_Ranking1[[#This Row],[Addition check]]-FME_Ranking1[[#This Row],[Weighted Score Based on Normalized Reported Factors]]</f>
        <v>0</v>
      </c>
      <c r="AK1418" s="178">
        <f>_xlfn.RANK.EQ(AI1418,$AI$6:$AI$2341,0)+COUNTIF($AI$6:AI1418,AI1418)-1</f>
        <v>1160</v>
      </c>
    </row>
    <row r="1419" spans="1:37" x14ac:dyDescent="0.25">
      <c r="A1419" t="s">
        <v>8306</v>
      </c>
      <c r="B1419">
        <f>_xlfn.XLOOKUP(FME_Ranking1[[#This Row],[FME ID]],FME_Input[FME_ID],FME_Input[RFPG_NUM])</f>
        <v>9</v>
      </c>
      <c r="C1419" t="str">
        <f>_xlfn.XLOOKUP(FME_Ranking1[[#This Row],[FME ID]],FME_Input[FME_ID],FME_Input[FME_NAME])</f>
        <v>Upton County DMP</v>
      </c>
      <c r="D1419" t="str">
        <f>_xlfn.XLOOKUP(FME_Ranking1[[#This Row],[FME ID]],FME_Input[FME_ID],FME_Input[DESCR])</f>
        <v xml:space="preserve">Create Drainage Master Plan, including evaluation of potential mitigation projects. </v>
      </c>
      <c r="E1419" s="256">
        <f>_xlfn.XLOOKUP(FME_Ranking1[[#This Row],[FME ID]],FME_Input[FME_ID],FME_Input[FME_COST])</f>
        <v>500000</v>
      </c>
      <c r="F1419" t="str">
        <f>_xlfn.XLOOKUP(FME_Ranking1[[#This Row],[FME ID]],FME_Input[FME_ID],FME_Input[EMER_NEED])</f>
        <v>No</v>
      </c>
      <c r="G1419">
        <f>IF(FME_Ranking!F1419="Yes",100,0)</f>
        <v>0</v>
      </c>
      <c r="H1419">
        <f>FME_Ranking1[[#This Row],[Emergency Need Score (Normalized, Unweighted)]]*$F$3</f>
        <v>0</v>
      </c>
      <c r="I1419" s="246">
        <f>_xlfn.XLOOKUP(FME_Ranking1[[#This Row],[FME ID]],FME_Input[FME_ID],FME_Input[STRUCT_100])</f>
        <v>41</v>
      </c>
      <c r="J1419" s="178">
        <f>(FME_Ranking1[[#This Row],[Structures 100 Raw]]/I$2)*100</f>
        <v>2.1955189992717301E-2</v>
      </c>
      <c r="K1419" s="178">
        <f>FME_Ranking1[[#This Row],[Structures 100  Score (Normalized, Unweighted)]]*$I$3</f>
        <v>3.2932784989075951E-3</v>
      </c>
      <c r="L1419" s="246">
        <f>_xlfn.XLOOKUP(FME_Ranking1[[#This Row],[FME ID]],FME_Input[FME_ID],FME_Input[RES_STRUCT100])</f>
        <v>16</v>
      </c>
      <c r="M1419" s="230">
        <f>(FME_Ranking1[[#This Row],[Res Structures Raw]]/L$2)*100</f>
        <v>1.1332889461829412E-2</v>
      </c>
      <c r="N1419" s="180">
        <f>FME_Ranking1[[#This Row],[Res Structures Score (Normalized, Unweighted)]]*$L$3</f>
        <v>1.1332889461829413E-3</v>
      </c>
      <c r="O1419" s="244">
        <f>_xlfn.XLOOKUP(FME_Ranking1[[#This Row],[FME ID]],FME_Input[FME_ID],FME_Input[POP100])</f>
        <v>23</v>
      </c>
      <c r="P1419" s="178">
        <f>(FME_Ranking1[[#This Row],[Pop Raw]]/$O$2)*100</f>
        <v>2.3546321757415556E-3</v>
      </c>
      <c r="Q1419" s="178">
        <f>FME_Ranking1[[#This Row],[Pop Score (Normalized, Unweighted)]]*$O$3</f>
        <v>3.5319482636123333E-4</v>
      </c>
      <c r="R1419" s="137">
        <f>_xlfn.XLOOKUP(FME_Ranking1[[#This Row],[FME ID]],FME_Input[FME_ID],FME_Input[CRITFAC100])</f>
        <v>0</v>
      </c>
      <c r="S1419" s="230">
        <f>(FME_Ranking1[[#This Row],[Critical Facilities Raw]]/$R$2)*100</f>
        <v>0</v>
      </c>
      <c r="T1419" s="180">
        <f>FME_Ranking1[[#This Row],[Critical Facilities Score (Normalized, Unweighted)]]*$R$3</f>
        <v>0</v>
      </c>
      <c r="U1419">
        <f>_xlfn.XLOOKUP(FME_Ranking1[[#This Row],[FME ID]],FME_Input[FME_ID],FME_Input[LWC])</f>
        <v>1</v>
      </c>
      <c r="V1419" s="178">
        <f>(FME_Ranking1[[#This Row],[LWC Raw]]/$U$2)*100</f>
        <v>5.7570523891767422E-2</v>
      </c>
      <c r="W1419" s="178">
        <f>FME_Ranking1[[#This Row],[LWC Score (Normalized, Unweighted)]]*$U$3</f>
        <v>1.1514104778353485E-2</v>
      </c>
      <c r="X1419" s="246">
        <f>_xlfn.XLOOKUP(FME_Ranking1[[#This Row],[FME ID]],FME_Input[FME_ID],FME_Input[ROADCLS])</f>
        <v>0</v>
      </c>
      <c r="Y1419" s="230">
        <f>(FME_Ranking1[[#This Row],[Closures Raw]]/$X$2)*100</f>
        <v>0</v>
      </c>
      <c r="Z1419" s="180">
        <f>FME_Ranking1[[#This Row],[Closures Score (Normalized, Unweighted)]]*$X$3</f>
        <v>0</v>
      </c>
      <c r="AA1419" s="253">
        <f>_xlfn.XLOOKUP(FME_Ranking1[[#This Row],[FME ID]],FME_Input[FME_ID],FME_Input[ROAD_MILES100])</f>
        <v>34.071346282958977</v>
      </c>
      <c r="AB1419" s="178">
        <f>(FME_Ranking1[[#This Row],[Miles Raw]]/$AA$2)*100</f>
        <v>0.4479770937924864</v>
      </c>
      <c r="AC1419" s="178">
        <f>FME_Ranking1[[#This Row],[Miles Score (Normalized, Unweighted)]]*$AA$3</f>
        <v>4.4797709379248644E-2</v>
      </c>
      <c r="AD1419" s="255">
        <f>_xlfn.XLOOKUP(FME_Ranking1[[#This Row],[FME ID]],FME_Input[FME_ID],FME_Input[FARMACRE100])</f>
        <v>6457.232421875</v>
      </c>
      <c r="AE1419" s="230">
        <f>(FME_Ranking1[[#This Row],[Ag Land Raw]]/$AD$2)*100</f>
        <v>0.26626735925336487</v>
      </c>
      <c r="AF1419" s="231">
        <f>FME_Ranking1[[#This Row],[Ag Land Score (Normalized, Unweighted)]]*$AD$3</f>
        <v>1.3313367962668243E-2</v>
      </c>
      <c r="AG141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7.4404944391722141E-2</v>
      </c>
      <c r="AH1419" s="406">
        <f t="shared" si="22"/>
        <v>1160</v>
      </c>
      <c r="AI141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7.4404944391722141E-2</v>
      </c>
      <c r="AJ1419" s="257">
        <f>FME_Ranking1[[#This Row],[Addition check]]-FME_Ranking1[[#This Row],[Weighted Score Based on Normalized Reported Factors]]</f>
        <v>0</v>
      </c>
      <c r="AK1419" s="178">
        <f>_xlfn.RANK.EQ(AI1419,$AI$6:$AI$2341,0)+COUNTIF($AI$6:AI1419,AI1419)-1</f>
        <v>1161</v>
      </c>
    </row>
    <row r="1420" spans="1:37" x14ac:dyDescent="0.25">
      <c r="A1420" t="s">
        <v>8309</v>
      </c>
      <c r="B1420">
        <f>_xlfn.XLOOKUP(FME_Ranking1[[#This Row],[FME ID]],FME_Input[FME_ID],FME_Input[RFPG_NUM])</f>
        <v>9</v>
      </c>
      <c r="C1420" t="str">
        <f>_xlfn.XLOOKUP(FME_Ranking1[[#This Row],[FME ID]],FME_Input[FME_ID],FME_Input[FME_NAME])</f>
        <v>Upton County GIS Development</v>
      </c>
      <c r="D1420" t="str">
        <f>_xlfn.XLOOKUP(FME_Ranking1[[#This Row],[FME ID]],FME_Input[FME_ID],FME_Input[DESCR])</f>
        <v>Develop a GIS inventory of stormwater infrastructure</v>
      </c>
      <c r="E1420" s="256">
        <f>_xlfn.XLOOKUP(FME_Ranking1[[#This Row],[FME ID]],FME_Input[FME_ID],FME_Input[FME_COST])</f>
        <v>100000</v>
      </c>
      <c r="F1420" t="str">
        <f>_xlfn.XLOOKUP(FME_Ranking1[[#This Row],[FME ID]],FME_Input[FME_ID],FME_Input[EMER_NEED])</f>
        <v>No</v>
      </c>
      <c r="G1420">
        <f>IF(FME_Ranking!F1420="Yes",100,0)</f>
        <v>0</v>
      </c>
      <c r="H1420">
        <f>FME_Ranking1[[#This Row],[Emergency Need Score (Normalized, Unweighted)]]*$F$3</f>
        <v>0</v>
      </c>
      <c r="I1420" s="246">
        <f>_xlfn.XLOOKUP(FME_Ranking1[[#This Row],[FME ID]],FME_Input[FME_ID],FME_Input[STRUCT_100])</f>
        <v>41</v>
      </c>
      <c r="J1420" s="178">
        <f>(FME_Ranking1[[#This Row],[Structures 100 Raw]]/I$2)*100</f>
        <v>2.1955189992717301E-2</v>
      </c>
      <c r="K1420" s="178">
        <f>FME_Ranking1[[#This Row],[Structures 100  Score (Normalized, Unweighted)]]*$I$3</f>
        <v>3.2932784989075951E-3</v>
      </c>
      <c r="L1420" s="246">
        <f>_xlfn.XLOOKUP(FME_Ranking1[[#This Row],[FME ID]],FME_Input[FME_ID],FME_Input[RES_STRUCT100])</f>
        <v>16</v>
      </c>
      <c r="M1420" s="230">
        <f>(FME_Ranking1[[#This Row],[Res Structures Raw]]/L$2)*100</f>
        <v>1.1332889461829412E-2</v>
      </c>
      <c r="N1420" s="180">
        <f>FME_Ranking1[[#This Row],[Res Structures Score (Normalized, Unweighted)]]*$L$3</f>
        <v>1.1332889461829413E-3</v>
      </c>
      <c r="O1420" s="244">
        <f>_xlfn.XLOOKUP(FME_Ranking1[[#This Row],[FME ID]],FME_Input[FME_ID],FME_Input[POP100])</f>
        <v>23</v>
      </c>
      <c r="P1420" s="178">
        <f>(FME_Ranking1[[#This Row],[Pop Raw]]/$O$2)*100</f>
        <v>2.3546321757415556E-3</v>
      </c>
      <c r="Q1420" s="178">
        <f>FME_Ranking1[[#This Row],[Pop Score (Normalized, Unweighted)]]*$O$3</f>
        <v>3.5319482636123333E-4</v>
      </c>
      <c r="R1420" s="137">
        <f>_xlfn.XLOOKUP(FME_Ranking1[[#This Row],[FME ID]],FME_Input[FME_ID],FME_Input[CRITFAC100])</f>
        <v>0</v>
      </c>
      <c r="S1420" s="230">
        <f>(FME_Ranking1[[#This Row],[Critical Facilities Raw]]/$R$2)*100</f>
        <v>0</v>
      </c>
      <c r="T1420" s="180">
        <f>FME_Ranking1[[#This Row],[Critical Facilities Score (Normalized, Unweighted)]]*$R$3</f>
        <v>0</v>
      </c>
      <c r="U1420">
        <f>_xlfn.XLOOKUP(FME_Ranking1[[#This Row],[FME ID]],FME_Input[FME_ID],FME_Input[LWC])</f>
        <v>1</v>
      </c>
      <c r="V1420" s="178">
        <f>(FME_Ranking1[[#This Row],[LWC Raw]]/$U$2)*100</f>
        <v>5.7570523891767422E-2</v>
      </c>
      <c r="W1420" s="178">
        <f>FME_Ranking1[[#This Row],[LWC Score (Normalized, Unweighted)]]*$U$3</f>
        <v>1.1514104778353485E-2</v>
      </c>
      <c r="X1420" s="246">
        <f>_xlfn.XLOOKUP(FME_Ranking1[[#This Row],[FME ID]],FME_Input[FME_ID],FME_Input[ROADCLS])</f>
        <v>0</v>
      </c>
      <c r="Y1420" s="230">
        <f>(FME_Ranking1[[#This Row],[Closures Raw]]/$X$2)*100</f>
        <v>0</v>
      </c>
      <c r="Z1420" s="180">
        <f>FME_Ranking1[[#This Row],[Closures Score (Normalized, Unweighted)]]*$X$3</f>
        <v>0</v>
      </c>
      <c r="AA1420" s="253">
        <f>_xlfn.XLOOKUP(FME_Ranking1[[#This Row],[FME ID]],FME_Input[FME_ID],FME_Input[ROAD_MILES100])</f>
        <v>34.071346282958977</v>
      </c>
      <c r="AB1420" s="178">
        <f>(FME_Ranking1[[#This Row],[Miles Raw]]/$AA$2)*100</f>
        <v>0.4479770937924864</v>
      </c>
      <c r="AC1420" s="178">
        <f>FME_Ranking1[[#This Row],[Miles Score (Normalized, Unweighted)]]*$AA$3</f>
        <v>4.4797709379248644E-2</v>
      </c>
      <c r="AD1420" s="255">
        <f>_xlfn.XLOOKUP(FME_Ranking1[[#This Row],[FME ID]],FME_Input[FME_ID],FME_Input[FARMACRE100])</f>
        <v>6457.232421875</v>
      </c>
      <c r="AE1420" s="230">
        <f>(FME_Ranking1[[#This Row],[Ag Land Raw]]/$AD$2)*100</f>
        <v>0.26626735925336487</v>
      </c>
      <c r="AF1420" s="231">
        <f>FME_Ranking1[[#This Row],[Ag Land Score (Normalized, Unweighted)]]*$AD$3</f>
        <v>1.3313367962668243E-2</v>
      </c>
      <c r="AG142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7.4404944391722141E-2</v>
      </c>
      <c r="AH1420" s="406">
        <f t="shared" si="22"/>
        <v>1160</v>
      </c>
      <c r="AI142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7.4404944391722141E-2</v>
      </c>
      <c r="AJ1420" s="257">
        <f>FME_Ranking1[[#This Row],[Addition check]]-FME_Ranking1[[#This Row],[Weighted Score Based on Normalized Reported Factors]]</f>
        <v>0</v>
      </c>
      <c r="AK1420" s="178">
        <f>_xlfn.RANK.EQ(AI1420,$AI$6:$AI$2341,0)+COUNTIF($AI$6:AI1420,AI1420)-1</f>
        <v>1162</v>
      </c>
    </row>
    <row r="1421" spans="1:37" x14ac:dyDescent="0.25">
      <c r="A1421" t="s">
        <v>134</v>
      </c>
      <c r="B1421">
        <f>_xlfn.XLOOKUP(FME_Ranking1[[#This Row],[FME ID]],FME_Input[FME_ID],FME_Input[RFPG_NUM])</f>
        <v>10</v>
      </c>
      <c r="C1421" t="str">
        <f>_xlfn.XLOOKUP(FME_Ranking1[[#This Row],[FME ID]],FME_Input[FME_ID],FME_Input[FME_NAME])</f>
        <v xml:space="preserve">Drainage System Improvements - JC Madison Addition_x000D_
</v>
      </c>
      <c r="D1421" t="str">
        <f>_xlfn.XLOOKUP(FME_Ranking1[[#This Row],[FME ID]],FME_Input[FME_ID],FME_Input[DESCR])</f>
        <v>Drainage System Improvements - JC Madison Addition</v>
      </c>
      <c r="E1421" s="256">
        <f>_xlfn.XLOOKUP(FME_Ranking1[[#This Row],[FME ID]],FME_Input[FME_ID],FME_Input[FME_COST])</f>
        <v>100000</v>
      </c>
      <c r="F1421" t="str">
        <f>_xlfn.XLOOKUP(FME_Ranking1[[#This Row],[FME ID]],FME_Input[FME_ID],FME_Input[EMER_NEED])</f>
        <v>No</v>
      </c>
      <c r="G1421">
        <f>IF(FME_Ranking!F1421="Yes",100,0)</f>
        <v>0</v>
      </c>
      <c r="H1421">
        <f>FME_Ranking1[[#This Row],[Emergency Need Score (Normalized, Unweighted)]]*$F$3</f>
        <v>0</v>
      </c>
      <c r="I1421" s="246">
        <f>_xlfn.XLOOKUP(FME_Ranking1[[#This Row],[FME ID]],FME_Input[FME_ID],FME_Input[STRUCT_100])</f>
        <v>103</v>
      </c>
      <c r="J1421" s="178">
        <f>(FME_Ranking1[[#This Row],[Structures 100 Raw]]/I$2)*100</f>
        <v>5.5155721201216645E-2</v>
      </c>
      <c r="K1421" s="178">
        <f>FME_Ranking1[[#This Row],[Structures 100  Score (Normalized, Unweighted)]]*$I$3</f>
        <v>8.2733581801824971E-3</v>
      </c>
      <c r="L1421" s="246">
        <f>_xlfn.XLOOKUP(FME_Ranking1[[#This Row],[FME ID]],FME_Input[FME_ID],FME_Input[RES_STRUCT100])</f>
        <v>78</v>
      </c>
      <c r="M1421" s="230">
        <f>(FME_Ranking1[[#This Row],[Res Structures Raw]]/L$2)*100</f>
        <v>5.5247836126418384E-2</v>
      </c>
      <c r="N1421" s="180">
        <f>FME_Ranking1[[#This Row],[Res Structures Score (Normalized, Unweighted)]]*$L$3</f>
        <v>5.5247836126418384E-3</v>
      </c>
      <c r="O1421" s="244">
        <f>_xlfn.XLOOKUP(FME_Ranking1[[#This Row],[FME ID]],FME_Input[FME_ID],FME_Input[POP100])</f>
        <v>241</v>
      </c>
      <c r="P1421" s="178">
        <f>(FME_Ranking1[[#This Row],[Pop Raw]]/$O$2)*100</f>
        <v>2.4672450189291952E-2</v>
      </c>
      <c r="Q1421" s="178">
        <f>FME_Ranking1[[#This Row],[Pop Score (Normalized, Unweighted)]]*$O$3</f>
        <v>3.7008675283937927E-3</v>
      </c>
      <c r="R1421" s="137">
        <f>_xlfn.XLOOKUP(FME_Ranking1[[#This Row],[FME ID]],FME_Input[FME_ID],FME_Input[CRITFAC100])</f>
        <v>0</v>
      </c>
      <c r="S1421" s="230">
        <f>(FME_Ranking1[[#This Row],[Critical Facilities Raw]]/$R$2)*100</f>
        <v>0</v>
      </c>
      <c r="T1421" s="180">
        <f>FME_Ranking1[[#This Row],[Critical Facilities Score (Normalized, Unweighted)]]*$R$3</f>
        <v>0</v>
      </c>
      <c r="U1421">
        <f>_xlfn.XLOOKUP(FME_Ranking1[[#This Row],[FME ID]],FME_Input[FME_ID],FME_Input[LWC])</f>
        <v>0</v>
      </c>
      <c r="V1421" s="178">
        <f>(FME_Ranking1[[#This Row],[LWC Raw]]/$U$2)*100</f>
        <v>0</v>
      </c>
      <c r="W1421" s="178">
        <f>FME_Ranking1[[#This Row],[LWC Score (Normalized, Unweighted)]]*$U$3</f>
        <v>0</v>
      </c>
      <c r="X1421" s="246">
        <f>_xlfn.XLOOKUP(FME_Ranking1[[#This Row],[FME ID]],FME_Input[FME_ID],FME_Input[ROADCLS])</f>
        <v>0</v>
      </c>
      <c r="Y1421" s="230">
        <f>(FME_Ranking1[[#This Row],[Closures Raw]]/$X$2)*100</f>
        <v>0</v>
      </c>
      <c r="Z1421" s="180">
        <f>FME_Ranking1[[#This Row],[Closures Score (Normalized, Unweighted)]]*$X$3</f>
        <v>0</v>
      </c>
      <c r="AA1421" s="253">
        <f>_xlfn.XLOOKUP(FME_Ranking1[[#This Row],[FME ID]],FME_Input[FME_ID],FME_Input[ROAD_MILES100])</f>
        <v>3.6772582530975342</v>
      </c>
      <c r="AB1421" s="178">
        <f>(FME_Ranking1[[#This Row],[Miles Raw]]/$AA$2)*100</f>
        <v>4.8349350555924209E-2</v>
      </c>
      <c r="AC1421" s="178">
        <f>FME_Ranking1[[#This Row],[Miles Score (Normalized, Unweighted)]]*$AA$3</f>
        <v>4.8349350555924216E-3</v>
      </c>
      <c r="AD1421" s="255">
        <f>_xlfn.XLOOKUP(FME_Ranking1[[#This Row],[FME ID]],FME_Input[FME_ID],FME_Input[FARMACRE100])</f>
        <v>5786.38037109375</v>
      </c>
      <c r="AE1421" s="230">
        <f>(FME_Ranking1[[#This Row],[Ag Land Raw]]/$AD$2)*100</f>
        <v>0.23860442375082652</v>
      </c>
      <c r="AF1421" s="231">
        <f>FME_Ranking1[[#This Row],[Ag Land Score (Normalized, Unweighted)]]*$AD$3</f>
        <v>1.1930221187541327E-2</v>
      </c>
      <c r="AG142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3.4264165564351877E-2</v>
      </c>
      <c r="AH1421" s="406">
        <f t="shared" si="22"/>
        <v>1438</v>
      </c>
      <c r="AI142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3.4264165564351877E-2</v>
      </c>
      <c r="AJ1421" s="257">
        <f>FME_Ranking1[[#This Row],[Addition check]]-FME_Ranking1[[#This Row],[Weighted Score Based on Normalized Reported Factors]]</f>
        <v>0</v>
      </c>
      <c r="AK1421" s="178">
        <f>_xlfn.RANK.EQ(AI1421,$AI$6:$AI$2341,0)+COUNTIF($AI$6:AI1421,AI1421)-1</f>
        <v>1438</v>
      </c>
    </row>
    <row r="1422" spans="1:37" x14ac:dyDescent="0.25">
      <c r="A1422" t="s">
        <v>10148</v>
      </c>
      <c r="B1422">
        <f>_xlfn.XLOOKUP(FME_Ranking1[[#This Row],[FME ID]],FME_Input[FME_ID],FME_Input[RFPG_NUM])</f>
        <v>13</v>
      </c>
      <c r="C1422" t="str">
        <f>_xlfn.XLOOKUP(FME_Ranking1[[#This Row],[FME ID]],FME_Input[FME_ID],FME_Input[FME_NAME])</f>
        <v>Upsize Burch St Crossing</v>
      </c>
      <c r="D1422" t="str">
        <f>_xlfn.XLOOKUP(FME_Ranking1[[#This Row],[FME ID]],FME_Input[FME_ID],FME_Input[DESCR])</f>
        <v>Increase the capacity on Burch Street by adding a second 36-inch culvert under the road._x000D_
- Increase culvert capacity on Burch St and other undersized crossings_x000D_
- Channel improvements along the main earthen channel "</v>
      </c>
      <c r="E1422" s="256">
        <f>_xlfn.XLOOKUP(FME_Ranking1[[#This Row],[FME ID]],FME_Input[FME_ID],FME_Input[FME_COST])</f>
        <v>80000</v>
      </c>
      <c r="F1422" t="str">
        <f>_xlfn.XLOOKUP(FME_Ranking1[[#This Row],[FME ID]],FME_Input[FME_ID],FME_Input[EMER_NEED])</f>
        <v>Yes</v>
      </c>
      <c r="G1422">
        <f>IF(FME_Ranking!F1422="Yes",100,0)</f>
        <v>100</v>
      </c>
      <c r="H1422">
        <f>FME_Ranking1[[#This Row],[Emergency Need Score (Normalized, Unweighted)]]*$F$3</f>
        <v>0</v>
      </c>
      <c r="I1422" s="246">
        <f>_xlfn.XLOOKUP(FME_Ranking1[[#This Row],[FME ID]],FME_Input[FME_ID],FME_Input[STRUCT_100])</f>
        <v>124</v>
      </c>
      <c r="J1422" s="178">
        <f>(FME_Ranking1[[#This Row],[Structures 100 Raw]]/I$2)*100</f>
        <v>6.6401062416998669E-2</v>
      </c>
      <c r="K1422" s="178">
        <f>FME_Ranking1[[#This Row],[Structures 100  Score (Normalized, Unweighted)]]*$I$3</f>
        <v>9.9601593625498006E-3</v>
      </c>
      <c r="L1422" s="246">
        <f>_xlfn.XLOOKUP(FME_Ranking1[[#This Row],[FME ID]],FME_Input[FME_ID],FME_Input[RES_STRUCT100])</f>
        <v>80</v>
      </c>
      <c r="M1422" s="230">
        <f>(FME_Ranking1[[#This Row],[Res Structures Raw]]/L$2)*100</f>
        <v>5.6664447309147055E-2</v>
      </c>
      <c r="N1422" s="180">
        <f>FME_Ranking1[[#This Row],[Res Structures Score (Normalized, Unweighted)]]*$L$3</f>
        <v>5.666444730914706E-3</v>
      </c>
      <c r="O1422" s="244">
        <f>_xlfn.XLOOKUP(FME_Ranking1[[#This Row],[FME ID]],FME_Input[FME_ID],FME_Input[POP100])</f>
        <v>175</v>
      </c>
      <c r="P1422" s="178">
        <f>(FME_Ranking1[[#This Row],[Pop Raw]]/$O$2)*100</f>
        <v>1.7915679598033574E-2</v>
      </c>
      <c r="Q1422" s="178">
        <f>FME_Ranking1[[#This Row],[Pop Score (Normalized, Unweighted)]]*$O$3</f>
        <v>2.6873519397050362E-3</v>
      </c>
      <c r="R1422" s="137">
        <f>_xlfn.XLOOKUP(FME_Ranking1[[#This Row],[FME ID]],FME_Input[FME_ID],FME_Input[CRITFAC100])</f>
        <v>0</v>
      </c>
      <c r="S1422" s="230">
        <f>(FME_Ranking1[[#This Row],[Critical Facilities Raw]]/$R$2)*100</f>
        <v>0</v>
      </c>
      <c r="T1422" s="180">
        <f>FME_Ranking1[[#This Row],[Critical Facilities Score (Normalized, Unweighted)]]*$R$3</f>
        <v>0</v>
      </c>
      <c r="U1422">
        <f>_xlfn.XLOOKUP(FME_Ranking1[[#This Row],[FME ID]],FME_Input[FME_ID],FME_Input[LWC])</f>
        <v>0</v>
      </c>
      <c r="V1422" s="178">
        <f>(FME_Ranking1[[#This Row],[LWC Raw]]/$U$2)*100</f>
        <v>0</v>
      </c>
      <c r="W1422" s="178">
        <f>FME_Ranking1[[#This Row],[LWC Score (Normalized, Unweighted)]]*$U$3</f>
        <v>0</v>
      </c>
      <c r="X1422" s="246">
        <f>_xlfn.XLOOKUP(FME_Ranking1[[#This Row],[FME ID]],FME_Input[FME_ID],FME_Input[ROADCLS])</f>
        <v>21</v>
      </c>
      <c r="Y1422" s="230">
        <f>(FME_Ranking1[[#This Row],[Closures Raw]]/$X$2)*100</f>
        <v>0.22079697192724212</v>
      </c>
      <c r="Z1422" s="180">
        <f>FME_Ranking1[[#This Row],[Closures Score (Normalized, Unweighted)]]*$X$3</f>
        <v>1.1039848596362107E-2</v>
      </c>
      <c r="AA1422" s="253">
        <f>_xlfn.XLOOKUP(FME_Ranking1[[#This Row],[FME ID]],FME_Input[FME_ID],FME_Input[ROAD_MILES100])</f>
        <v>1.906763553619385</v>
      </c>
      <c r="AB1422" s="178">
        <f>(FME_Ranking1[[#This Row],[Miles Raw]]/$AA$2)*100</f>
        <v>2.5070520789108743E-2</v>
      </c>
      <c r="AC1422" s="178">
        <f>FME_Ranking1[[#This Row],[Miles Score (Normalized, Unweighted)]]*$AA$3</f>
        <v>2.5070520789108744E-3</v>
      </c>
      <c r="AD1422" s="255">
        <f>_xlfn.XLOOKUP(FME_Ranking1[[#This Row],[FME ID]],FME_Input[FME_ID],FME_Input[FARMACRE100])</f>
        <v>8.3407831192016602</v>
      </c>
      <c r="AE1422" s="230">
        <f>(FME_Ranking1[[#This Row],[Ag Land Raw]]/$AD$2)*100</f>
        <v>3.4393655828947052E-4</v>
      </c>
      <c r="AF1422" s="231">
        <f>FME_Ranking1[[#This Row],[Ag Land Score (Normalized, Unweighted)]]*$AD$3</f>
        <v>1.7196827914473526E-5</v>
      </c>
      <c r="AG142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3.1878053536356997E-2</v>
      </c>
      <c r="AH1422" s="406">
        <f t="shared" si="22"/>
        <v>1452</v>
      </c>
      <c r="AI142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3.1878053536356997E-2</v>
      </c>
      <c r="AJ1422" s="257">
        <f>FME_Ranking1[[#This Row],[Addition check]]-FME_Ranking1[[#This Row],[Weighted Score Based on Normalized Reported Factors]]</f>
        <v>0</v>
      </c>
      <c r="AK1422" s="178">
        <f>_xlfn.RANK.EQ(AI1422,$AI$6:$AI$2341,0)+COUNTIF($AI$6:AI1422,AI1422)-1</f>
        <v>1452</v>
      </c>
    </row>
    <row r="1423" spans="1:37" x14ac:dyDescent="0.25">
      <c r="A1423" t="s">
        <v>9719</v>
      </c>
      <c r="B1423">
        <f>_xlfn.XLOOKUP(FME_Ranking1[[#This Row],[FME ID]],FME_Input[FME_ID],FME_Input[RFPG_NUM])</f>
        <v>12</v>
      </c>
      <c r="C1423" t="str">
        <f>_xlfn.XLOOKUP(FME_Ranking1[[#This Row],[FME ID]],FME_Input[FME_ID],FME_Input[FME_NAME])</f>
        <v>City of Floresville Flood Study</v>
      </c>
      <c r="D1423" t="str">
        <f>_xlfn.XLOOKUP(FME_Ranking1[[#This Row],[FME ID]],FME_Input[FME_ID],FME_Input[DESCR])</f>
        <v xml:space="preserve">City wide study
</v>
      </c>
      <c r="E1423" s="256">
        <f>_xlfn.XLOOKUP(FME_Ranking1[[#This Row],[FME ID]],FME_Input[FME_ID],FME_Input[FME_COST])</f>
        <v>100000</v>
      </c>
      <c r="F1423" t="str">
        <f>_xlfn.XLOOKUP(FME_Ranking1[[#This Row],[FME ID]],FME_Input[FME_ID],FME_Input[EMER_NEED])</f>
        <v>No</v>
      </c>
      <c r="G1423">
        <f>IF(FME_Ranking!F1423="Yes",100,0)</f>
        <v>0</v>
      </c>
      <c r="H1423">
        <f>FME_Ranking1[[#This Row],[Emergency Need Score (Normalized, Unweighted)]]*$F$3</f>
        <v>0</v>
      </c>
      <c r="I1423" s="246">
        <f>_xlfn.XLOOKUP(FME_Ranking1[[#This Row],[FME ID]],FME_Input[FME_ID],FME_Input[STRUCT_100])</f>
        <v>107</v>
      </c>
      <c r="J1423" s="178">
        <f>(FME_Ranking1[[#This Row],[Structures 100 Raw]]/I$2)*100</f>
        <v>5.7297690956603697E-2</v>
      </c>
      <c r="K1423" s="178">
        <f>FME_Ranking1[[#This Row],[Structures 100  Score (Normalized, Unweighted)]]*$I$3</f>
        <v>8.594653643490555E-3</v>
      </c>
      <c r="L1423" s="246">
        <f>_xlfn.XLOOKUP(FME_Ranking1[[#This Row],[FME ID]],FME_Input[FME_ID],FME_Input[RES_STRUCT100])</f>
        <v>63</v>
      </c>
      <c r="M1423" s="230">
        <f>(FME_Ranking1[[#This Row],[Res Structures Raw]]/L$2)*100</f>
        <v>4.4623252255953309E-2</v>
      </c>
      <c r="N1423" s="180">
        <f>FME_Ranking1[[#This Row],[Res Structures Score (Normalized, Unweighted)]]*$L$3</f>
        <v>4.4623252255953311E-3</v>
      </c>
      <c r="O1423" s="244">
        <f>_xlfn.XLOOKUP(FME_Ranking1[[#This Row],[FME ID]],FME_Input[FME_ID],FME_Input[POP100])</f>
        <v>161</v>
      </c>
      <c r="P1423" s="178">
        <f>(FME_Ranking1[[#This Row],[Pop Raw]]/$O$2)*100</f>
        <v>1.6482425230190889E-2</v>
      </c>
      <c r="Q1423" s="178">
        <f>FME_Ranking1[[#This Row],[Pop Score (Normalized, Unweighted)]]*$O$3</f>
        <v>2.4723637845286335E-3</v>
      </c>
      <c r="R1423" s="137">
        <f>_xlfn.XLOOKUP(FME_Ranking1[[#This Row],[FME ID]],FME_Input[FME_ID],FME_Input[CRITFAC100])</f>
        <v>0</v>
      </c>
      <c r="S1423" s="230">
        <f>(FME_Ranking1[[#This Row],[Critical Facilities Raw]]/$R$2)*100</f>
        <v>0</v>
      </c>
      <c r="T1423" s="180">
        <f>FME_Ranking1[[#This Row],[Critical Facilities Score (Normalized, Unweighted)]]*$R$3</f>
        <v>0</v>
      </c>
      <c r="U1423">
        <f>_xlfn.XLOOKUP(FME_Ranking1[[#This Row],[FME ID]],FME_Input[FME_ID],FME_Input[LWC])</f>
        <v>0</v>
      </c>
      <c r="V1423" s="178">
        <f>(FME_Ranking1[[#This Row],[LWC Raw]]/$U$2)*100</f>
        <v>0</v>
      </c>
      <c r="W1423" s="178">
        <f>FME_Ranking1[[#This Row],[LWC Score (Normalized, Unweighted)]]*$U$3</f>
        <v>0</v>
      </c>
      <c r="X1423" s="246">
        <f>_xlfn.XLOOKUP(FME_Ranking1[[#This Row],[FME ID]],FME_Input[FME_ID],FME_Input[ROADCLS])</f>
        <v>26</v>
      </c>
      <c r="Y1423" s="230">
        <f>(FME_Ranking1[[#This Row],[Closures Raw]]/$X$2)*100</f>
        <v>0.27336767952896646</v>
      </c>
      <c r="Z1423" s="180">
        <f>FME_Ranking1[[#This Row],[Closures Score (Normalized, Unweighted)]]*$X$3</f>
        <v>1.3668383976448324E-2</v>
      </c>
      <c r="AA1423" s="253">
        <f>_xlfn.XLOOKUP(FME_Ranking1[[#This Row],[FME ID]],FME_Input[FME_ID],FME_Input[ROAD_MILES100])</f>
        <v>3.809999942779541</v>
      </c>
      <c r="AB1423" s="178">
        <f>(FME_Ranking1[[#This Row],[Miles Raw]]/$AA$2)*100</f>
        <v>5.0094665691845078E-2</v>
      </c>
      <c r="AC1423" s="178">
        <f>FME_Ranking1[[#This Row],[Miles Score (Normalized, Unweighted)]]*$AA$3</f>
        <v>5.0094665691845083E-3</v>
      </c>
      <c r="AD1423" s="255">
        <f>_xlfn.XLOOKUP(FME_Ranking1[[#This Row],[FME ID]],FME_Input[FME_ID],FME_Input[FARMACRE100])</f>
        <v>80.781997680664063</v>
      </c>
      <c r="AE1423" s="230">
        <f>(FME_Ranking1[[#This Row],[Ag Land Raw]]/$AD$2)*100</f>
        <v>3.3310879634399276E-3</v>
      </c>
      <c r="AF1423" s="231">
        <f>FME_Ranking1[[#This Row],[Ag Land Score (Normalized, Unweighted)]]*$AD$3</f>
        <v>1.665543981719964E-4</v>
      </c>
      <c r="AG142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3.4373747597419346E-2</v>
      </c>
      <c r="AH1423" s="406">
        <f t="shared" si="22"/>
        <v>1433</v>
      </c>
      <c r="AI142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3.4373747597419346E-2</v>
      </c>
      <c r="AJ1423" s="257">
        <f>FME_Ranking1[[#This Row],[Addition check]]-FME_Ranking1[[#This Row],[Weighted Score Based on Normalized Reported Factors]]</f>
        <v>0</v>
      </c>
      <c r="AK1423" s="178">
        <f>_xlfn.RANK.EQ(AI1423,$AI$6:$AI$2341,0)+COUNTIF($AI$6:AI1423,AI1423)-1</f>
        <v>1433</v>
      </c>
    </row>
    <row r="1424" spans="1:37" x14ac:dyDescent="0.25">
      <c r="A1424" t="s">
        <v>9832</v>
      </c>
      <c r="B1424">
        <f>_xlfn.XLOOKUP(FME_Ranking1[[#This Row],[FME ID]],FME_Input[FME_ID],FME_Input[RFPG_NUM])</f>
        <v>12</v>
      </c>
      <c r="C1424" t="str">
        <f>_xlfn.XLOOKUP(FME_Ranking1[[#This Row],[FME ID]],FME_Input[FME_ID],FME_Input[FME_NAME])</f>
        <v>Property acquisition and demolition and/or relocations</v>
      </c>
      <c r="D1424" t="str">
        <f>_xlfn.XLOOKUP(FME_Ranking1[[#This Row],[FME ID]],FME_Input[FME_ID],FME_Input[DESCR])</f>
        <v>Property acquisition and demolition and/or relocations</v>
      </c>
      <c r="E1424" s="256">
        <f>_xlfn.XLOOKUP(FME_Ranking1[[#This Row],[FME ID]],FME_Input[FME_ID],FME_Input[FME_COST])</f>
        <v>1500000</v>
      </c>
      <c r="F1424" t="str">
        <f>_xlfn.XLOOKUP(FME_Ranking1[[#This Row],[FME ID]],FME_Input[FME_ID],FME_Input[EMER_NEED])</f>
        <v>No</v>
      </c>
      <c r="G1424">
        <f>IF(FME_Ranking!F1424="Yes",100,0)</f>
        <v>0</v>
      </c>
      <c r="H1424">
        <f>FME_Ranking1[[#This Row],[Emergency Need Score (Normalized, Unweighted)]]*$F$3</f>
        <v>0</v>
      </c>
      <c r="I1424" s="246">
        <f>_xlfn.XLOOKUP(FME_Ranking1[[#This Row],[FME ID]],FME_Input[FME_ID],FME_Input[STRUCT_100])</f>
        <v>107</v>
      </c>
      <c r="J1424" s="178">
        <f>(FME_Ranking1[[#This Row],[Structures 100 Raw]]/I$2)*100</f>
        <v>5.7297690956603697E-2</v>
      </c>
      <c r="K1424" s="178">
        <f>FME_Ranking1[[#This Row],[Structures 100  Score (Normalized, Unweighted)]]*$I$3</f>
        <v>8.594653643490555E-3</v>
      </c>
      <c r="L1424" s="246">
        <f>_xlfn.XLOOKUP(FME_Ranking1[[#This Row],[FME ID]],FME_Input[FME_ID],FME_Input[RES_STRUCT100])</f>
        <v>63</v>
      </c>
      <c r="M1424" s="230">
        <f>(FME_Ranking1[[#This Row],[Res Structures Raw]]/L$2)*100</f>
        <v>4.4623252255953309E-2</v>
      </c>
      <c r="N1424" s="180">
        <f>FME_Ranking1[[#This Row],[Res Structures Score (Normalized, Unweighted)]]*$L$3</f>
        <v>4.4623252255953311E-3</v>
      </c>
      <c r="O1424" s="244">
        <f>_xlfn.XLOOKUP(FME_Ranking1[[#This Row],[FME ID]],FME_Input[FME_ID],FME_Input[POP100])</f>
        <v>161</v>
      </c>
      <c r="P1424" s="178">
        <f>(FME_Ranking1[[#This Row],[Pop Raw]]/$O$2)*100</f>
        <v>1.6482425230190889E-2</v>
      </c>
      <c r="Q1424" s="178">
        <f>FME_Ranking1[[#This Row],[Pop Score (Normalized, Unweighted)]]*$O$3</f>
        <v>2.4723637845286335E-3</v>
      </c>
      <c r="R1424" s="137">
        <f>_xlfn.XLOOKUP(FME_Ranking1[[#This Row],[FME ID]],FME_Input[FME_ID],FME_Input[CRITFAC100])</f>
        <v>0</v>
      </c>
      <c r="S1424" s="230">
        <f>(FME_Ranking1[[#This Row],[Critical Facilities Raw]]/$R$2)*100</f>
        <v>0</v>
      </c>
      <c r="T1424" s="180">
        <f>FME_Ranking1[[#This Row],[Critical Facilities Score (Normalized, Unweighted)]]*$R$3</f>
        <v>0</v>
      </c>
      <c r="U1424">
        <f>_xlfn.XLOOKUP(FME_Ranking1[[#This Row],[FME ID]],FME_Input[FME_ID],FME_Input[LWC])</f>
        <v>0</v>
      </c>
      <c r="V1424" s="178">
        <f>(FME_Ranking1[[#This Row],[LWC Raw]]/$U$2)*100</f>
        <v>0</v>
      </c>
      <c r="W1424" s="178">
        <f>FME_Ranking1[[#This Row],[LWC Score (Normalized, Unweighted)]]*$U$3</f>
        <v>0</v>
      </c>
      <c r="X1424" s="246">
        <f>_xlfn.XLOOKUP(FME_Ranking1[[#This Row],[FME ID]],FME_Input[FME_ID],FME_Input[ROADCLS])</f>
        <v>26</v>
      </c>
      <c r="Y1424" s="230">
        <f>(FME_Ranking1[[#This Row],[Closures Raw]]/$X$2)*100</f>
        <v>0.27336767952896646</v>
      </c>
      <c r="Z1424" s="180">
        <f>FME_Ranking1[[#This Row],[Closures Score (Normalized, Unweighted)]]*$X$3</f>
        <v>1.3668383976448324E-2</v>
      </c>
      <c r="AA1424" s="253">
        <f>_xlfn.XLOOKUP(FME_Ranking1[[#This Row],[FME ID]],FME_Input[FME_ID],FME_Input[ROAD_MILES100])</f>
        <v>3.809999942779541</v>
      </c>
      <c r="AB1424" s="178">
        <f>(FME_Ranking1[[#This Row],[Miles Raw]]/$AA$2)*100</f>
        <v>5.0094665691845078E-2</v>
      </c>
      <c r="AC1424" s="178">
        <f>FME_Ranking1[[#This Row],[Miles Score (Normalized, Unweighted)]]*$AA$3</f>
        <v>5.0094665691845083E-3</v>
      </c>
      <c r="AD1424" s="255">
        <f>_xlfn.XLOOKUP(FME_Ranking1[[#This Row],[FME ID]],FME_Input[FME_ID],FME_Input[FARMACRE100])</f>
        <v>80.781997680664063</v>
      </c>
      <c r="AE1424" s="230">
        <f>(FME_Ranking1[[#This Row],[Ag Land Raw]]/$AD$2)*100</f>
        <v>3.3310879634399276E-3</v>
      </c>
      <c r="AF1424" s="231">
        <f>FME_Ranking1[[#This Row],[Ag Land Score (Normalized, Unweighted)]]*$AD$3</f>
        <v>1.665543981719964E-4</v>
      </c>
      <c r="AG142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3.4373747597419346E-2</v>
      </c>
      <c r="AH1424" s="406">
        <f t="shared" si="22"/>
        <v>1433</v>
      </c>
      <c r="AI142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3.4373747597419346E-2</v>
      </c>
      <c r="AJ1424" s="257">
        <f>FME_Ranking1[[#This Row],[Addition check]]-FME_Ranking1[[#This Row],[Weighted Score Based on Normalized Reported Factors]]</f>
        <v>0</v>
      </c>
      <c r="AK1424" s="178">
        <f>_xlfn.RANK.EQ(AI1424,$AI$6:$AI$2341,0)+COUNTIF($AI$6:AI1424,AI1424)-1</f>
        <v>1434</v>
      </c>
    </row>
    <row r="1425" spans="1:37" x14ac:dyDescent="0.25">
      <c r="A1425" t="s">
        <v>10680</v>
      </c>
      <c r="B1425">
        <f>_xlfn.XLOOKUP(FME_Ranking1[[#This Row],[FME ID]],FME_Input[FME_ID],FME_Input[RFPG_NUM])</f>
        <v>13</v>
      </c>
      <c r="C1425" t="str">
        <f>_xlfn.XLOOKUP(FME_Ranking1[[#This Row],[FME ID]],FME_Input[FME_ID],FME_Input[FME_NAME])</f>
        <v>Outfall No. 10</v>
      </c>
      <c r="D1425" t="str">
        <f>_xlfn.XLOOKUP(FME_Ranking1[[#This Row],[FME ID]],FME_Input[FME_ID],FME_Input[DESCR])</f>
        <v>Hazard mitigation drainage improvements for the City of Port Aransas. Outfall 10 is 3 5'x2' RCBs and extends Southwest from the Northwest end of Howard Blvd to a nearby basin.</v>
      </c>
      <c r="E1425" s="256">
        <f>_xlfn.XLOOKUP(FME_Ranking1[[#This Row],[FME ID]],FME_Input[FME_ID],FME_Input[FME_COST])</f>
        <v>130000</v>
      </c>
      <c r="F1425" t="str">
        <f>_xlfn.XLOOKUP(FME_Ranking1[[#This Row],[FME ID]],FME_Input[FME_ID],FME_Input[EMER_NEED])</f>
        <v>Yes</v>
      </c>
      <c r="G1425">
        <f>IF(FME_Ranking!F1425="Yes",100,0)</f>
        <v>100</v>
      </c>
      <c r="H1425">
        <f>FME_Ranking1[[#This Row],[Emergency Need Score (Normalized, Unweighted)]]*$F$3</f>
        <v>0</v>
      </c>
      <c r="I1425" s="246">
        <f>_xlfn.XLOOKUP(FME_Ranking1[[#This Row],[FME ID]],FME_Input[FME_ID],FME_Input[STRUCT_100])</f>
        <v>125</v>
      </c>
      <c r="J1425" s="178">
        <f>(FME_Ranking1[[#This Row],[Structures 100 Raw]]/I$2)*100</f>
        <v>6.6936554855845432E-2</v>
      </c>
      <c r="K1425" s="178">
        <f>FME_Ranking1[[#This Row],[Structures 100  Score (Normalized, Unweighted)]]*$I$3</f>
        <v>1.0040483228376815E-2</v>
      </c>
      <c r="L1425" s="246">
        <f>_xlfn.XLOOKUP(FME_Ranking1[[#This Row],[FME ID]],FME_Input[FME_ID],FME_Input[RES_STRUCT100])</f>
        <v>80</v>
      </c>
      <c r="M1425" s="230">
        <f>(FME_Ranking1[[#This Row],[Res Structures Raw]]/L$2)*100</f>
        <v>5.6664447309147055E-2</v>
      </c>
      <c r="N1425" s="180">
        <f>FME_Ranking1[[#This Row],[Res Structures Score (Normalized, Unweighted)]]*$L$3</f>
        <v>5.666444730914706E-3</v>
      </c>
      <c r="O1425" s="244">
        <f>_xlfn.XLOOKUP(FME_Ranking1[[#This Row],[FME ID]],FME_Input[FME_ID],FME_Input[POP100])</f>
        <v>263</v>
      </c>
      <c r="P1425" s="178">
        <f>(FME_Ranking1[[#This Row],[Pop Raw]]/$O$2)*100</f>
        <v>2.6924707053044745E-2</v>
      </c>
      <c r="Q1425" s="178">
        <f>FME_Ranking1[[#This Row],[Pop Score (Normalized, Unweighted)]]*$O$3</f>
        <v>4.0387060579567119E-3</v>
      </c>
      <c r="R1425" s="137">
        <f>_xlfn.XLOOKUP(FME_Ranking1[[#This Row],[FME ID]],FME_Input[FME_ID],FME_Input[CRITFAC100])</f>
        <v>0</v>
      </c>
      <c r="S1425" s="230">
        <f>(FME_Ranking1[[#This Row],[Critical Facilities Raw]]/$R$2)*100</f>
        <v>0</v>
      </c>
      <c r="T1425" s="180">
        <f>FME_Ranking1[[#This Row],[Critical Facilities Score (Normalized, Unweighted)]]*$R$3</f>
        <v>0</v>
      </c>
      <c r="U1425">
        <f>_xlfn.XLOOKUP(FME_Ranking1[[#This Row],[FME ID]],FME_Input[FME_ID],FME_Input[LWC])</f>
        <v>0</v>
      </c>
      <c r="V1425" s="178">
        <f>(FME_Ranking1[[#This Row],[LWC Raw]]/$U$2)*100</f>
        <v>0</v>
      </c>
      <c r="W1425" s="178">
        <f>FME_Ranking1[[#This Row],[LWC Score (Normalized, Unweighted)]]*$U$3</f>
        <v>0</v>
      </c>
      <c r="X1425" s="246">
        <f>_xlfn.XLOOKUP(FME_Ranking1[[#This Row],[FME ID]],FME_Input[FME_ID],FME_Input[ROADCLS])</f>
        <v>18</v>
      </c>
      <c r="Y1425" s="230">
        <f>(FME_Ranking1[[#This Row],[Closures Raw]]/$X$2)*100</f>
        <v>0.18925454736620756</v>
      </c>
      <c r="Z1425" s="180">
        <f>FME_Ranking1[[#This Row],[Closures Score (Normalized, Unweighted)]]*$X$3</f>
        <v>9.4627273683103794E-3</v>
      </c>
      <c r="AA1425" s="253">
        <f>_xlfn.XLOOKUP(FME_Ranking1[[#This Row],[FME ID]],FME_Input[FME_ID],FME_Input[ROAD_MILES100])</f>
        <v>2.6257610321044922</v>
      </c>
      <c r="AB1425" s="178">
        <f>(FME_Ranking1[[#This Row],[Miles Raw]]/$AA$2)*100</f>
        <v>3.4524048048669424E-2</v>
      </c>
      <c r="AC1425" s="178">
        <f>FME_Ranking1[[#This Row],[Miles Score (Normalized, Unweighted)]]*$AA$3</f>
        <v>3.4524048048669427E-3</v>
      </c>
      <c r="AD1425" s="255">
        <f>_xlfn.XLOOKUP(FME_Ranking1[[#This Row],[FME ID]],FME_Input[FME_ID],FME_Input[FARMACRE100])</f>
        <v>0.66718453168869019</v>
      </c>
      <c r="AE1425" s="230">
        <f>(FME_Ranking1[[#This Row],[Ag Land Raw]]/$AD$2)*100</f>
        <v>2.7511703432823937E-5</v>
      </c>
      <c r="AF1425" s="231">
        <f>FME_Ranking1[[#This Row],[Ag Land Score (Normalized, Unweighted)]]*$AD$3</f>
        <v>1.3755851716411969E-6</v>
      </c>
      <c r="AG142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3.2662141775597189E-2</v>
      </c>
      <c r="AH1425" s="406">
        <f t="shared" si="22"/>
        <v>1446</v>
      </c>
      <c r="AI142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3.2662141775597189E-2</v>
      </c>
      <c r="AJ1425" s="257">
        <f>FME_Ranking1[[#This Row],[Addition check]]-FME_Ranking1[[#This Row],[Weighted Score Based on Normalized Reported Factors]]</f>
        <v>0</v>
      </c>
      <c r="AK1425" s="178">
        <f>_xlfn.RANK.EQ(AI1425,$AI$6:$AI$2341,0)+COUNTIF($AI$6:AI1425,AI1425)-1</f>
        <v>1446</v>
      </c>
    </row>
    <row r="1426" spans="1:37" x14ac:dyDescent="0.25">
      <c r="A1426" t="s">
        <v>10644</v>
      </c>
      <c r="B1426">
        <f>_xlfn.XLOOKUP(FME_Ranking1[[#This Row],[FME ID]],FME_Input[FME_ID],FME_Input[RFPG_NUM])</f>
        <v>13</v>
      </c>
      <c r="C1426" t="str">
        <f>_xlfn.XLOOKUP(FME_Ranking1[[#This Row],[FME ID]],FME_Input[FME_ID],FME_Input[FME_NAME])</f>
        <v>Purchase Land Behind Aransas Pass Levees</v>
      </c>
      <c r="D1426" t="str">
        <f>_xlfn.XLOOKUP(FME_Ranking1[[#This Row],[FME ID]],FME_Input[FME_ID],FME_Input[DESCR])</f>
        <v>Purchase land behind levees to prevent people from building in a floodplain area. This will allow the City to use this land for preventing further flooding.</v>
      </c>
      <c r="E1426" s="256">
        <f>_xlfn.XLOOKUP(FME_Ranking1[[#This Row],[FME ID]],FME_Input[FME_ID],FME_Input[FME_COST])</f>
        <v>82000</v>
      </c>
      <c r="F1426" t="str">
        <f>_xlfn.XLOOKUP(FME_Ranking1[[#This Row],[FME ID]],FME_Input[FME_ID],FME_Input[EMER_NEED])</f>
        <v>Yes</v>
      </c>
      <c r="G1426">
        <f>IF(FME_Ranking!F1426="Yes",100,0)</f>
        <v>100</v>
      </c>
      <c r="H1426">
        <f>FME_Ranking1[[#This Row],[Emergency Need Score (Normalized, Unweighted)]]*$F$3</f>
        <v>0</v>
      </c>
      <c r="I1426" s="246">
        <f>_xlfn.XLOOKUP(FME_Ranking1[[#This Row],[FME ID]],FME_Input[FME_ID],FME_Input[STRUCT_100])</f>
        <v>89</v>
      </c>
      <c r="J1426" s="178">
        <f>(FME_Ranking1[[#This Row],[Structures 100 Raw]]/I$2)*100</f>
        <v>4.7658827057361949E-2</v>
      </c>
      <c r="K1426" s="178">
        <f>FME_Ranking1[[#This Row],[Structures 100  Score (Normalized, Unweighted)]]*$I$3</f>
        <v>7.1488240586042922E-3</v>
      </c>
      <c r="L1426" s="246">
        <f>_xlfn.XLOOKUP(FME_Ranking1[[#This Row],[FME ID]],FME_Input[FME_ID],FME_Input[RES_STRUCT100])</f>
        <v>26</v>
      </c>
      <c r="M1426" s="230">
        <f>(FME_Ranking1[[#This Row],[Res Structures Raw]]/L$2)*100</f>
        <v>1.8415945375472795E-2</v>
      </c>
      <c r="N1426" s="180">
        <f>FME_Ranking1[[#This Row],[Res Structures Score (Normalized, Unweighted)]]*$L$3</f>
        <v>1.8415945375472795E-3</v>
      </c>
      <c r="O1426" s="244">
        <f>_xlfn.XLOOKUP(FME_Ranking1[[#This Row],[FME ID]],FME_Input[FME_ID],FME_Input[POP100])</f>
        <v>318</v>
      </c>
      <c r="P1426" s="178">
        <f>(FME_Ranking1[[#This Row],[Pop Raw]]/$O$2)*100</f>
        <v>3.2555349212426726E-2</v>
      </c>
      <c r="Q1426" s="178">
        <f>FME_Ranking1[[#This Row],[Pop Score (Normalized, Unweighted)]]*$O$3</f>
        <v>4.8833023818640091E-3</v>
      </c>
      <c r="R1426" s="137">
        <f>_xlfn.XLOOKUP(FME_Ranking1[[#This Row],[FME ID]],FME_Input[FME_ID],FME_Input[CRITFAC100])</f>
        <v>0</v>
      </c>
      <c r="S1426" s="230">
        <f>(FME_Ranking1[[#This Row],[Critical Facilities Raw]]/$R$2)*100</f>
        <v>0</v>
      </c>
      <c r="T1426" s="180">
        <f>FME_Ranking1[[#This Row],[Critical Facilities Score (Normalized, Unweighted)]]*$R$3</f>
        <v>0</v>
      </c>
      <c r="U1426">
        <f>_xlfn.XLOOKUP(FME_Ranking1[[#This Row],[FME ID]],FME_Input[FME_ID],FME_Input[LWC])</f>
        <v>0</v>
      </c>
      <c r="V1426" s="178">
        <f>(FME_Ranking1[[#This Row],[LWC Raw]]/$U$2)*100</f>
        <v>0</v>
      </c>
      <c r="W1426" s="178">
        <f>FME_Ranking1[[#This Row],[LWC Score (Normalized, Unweighted)]]*$U$3</f>
        <v>0</v>
      </c>
      <c r="X1426" s="246">
        <f>_xlfn.XLOOKUP(FME_Ranking1[[#This Row],[FME ID]],FME_Input[FME_ID],FME_Input[ROADCLS])</f>
        <v>29</v>
      </c>
      <c r="Y1426" s="230">
        <f>(FME_Ranking1[[#This Row],[Closures Raw]]/$X$2)*100</f>
        <v>0.30491010409000108</v>
      </c>
      <c r="Z1426" s="180">
        <f>FME_Ranking1[[#This Row],[Closures Score (Normalized, Unweighted)]]*$X$3</f>
        <v>1.5245505204500055E-2</v>
      </c>
      <c r="AA1426" s="253">
        <f>_xlfn.XLOOKUP(FME_Ranking1[[#This Row],[FME ID]],FME_Input[FME_ID],FME_Input[ROAD_MILES100])</f>
        <v>4.923062801361084</v>
      </c>
      <c r="AB1426" s="178">
        <f>(FME_Ranking1[[#This Row],[Miles Raw]]/$AA$2)*100</f>
        <v>6.4729445910233704E-2</v>
      </c>
      <c r="AC1426" s="178">
        <f>FME_Ranking1[[#This Row],[Miles Score (Normalized, Unweighted)]]*$AA$3</f>
        <v>6.4729445910233704E-3</v>
      </c>
      <c r="AD1426" s="255">
        <f>_xlfn.XLOOKUP(FME_Ranking1[[#This Row],[FME ID]],FME_Input[FME_ID],FME_Input[FARMACRE100])</f>
        <v>0.28557202219963068</v>
      </c>
      <c r="AE1426" s="230">
        <f>(FME_Ranking1[[#This Row],[Ag Land Raw]]/$AD$2)*100</f>
        <v>1.177571183130179E-5</v>
      </c>
      <c r="AF1426" s="231">
        <f>FME_Ranking1[[#This Row],[Ag Land Score (Normalized, Unweighted)]]*$AD$3</f>
        <v>5.8878559156508957E-7</v>
      </c>
      <c r="AG142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3.559275955913057E-2</v>
      </c>
      <c r="AH1426" s="406">
        <f t="shared" si="22"/>
        <v>1424</v>
      </c>
      <c r="AI142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3.559275955913057E-2</v>
      </c>
      <c r="AJ1426" s="257">
        <f>FME_Ranking1[[#This Row],[Addition check]]-FME_Ranking1[[#This Row],[Weighted Score Based on Normalized Reported Factors]]</f>
        <v>0</v>
      </c>
      <c r="AK1426" s="178">
        <f>_xlfn.RANK.EQ(AI1426,$AI$6:$AI$2341,0)+COUNTIF($AI$6:AI1426,AI1426)-1</f>
        <v>1424</v>
      </c>
    </row>
    <row r="1427" spans="1:37" x14ac:dyDescent="0.25">
      <c r="A1427" t="s">
        <v>5380</v>
      </c>
      <c r="B1427">
        <f>_xlfn.XLOOKUP(FME_Ranking1[[#This Row],[FME ID]],FME_Input[FME_ID],FME_Input[RFPG_NUM])</f>
        <v>3</v>
      </c>
      <c r="C1427" t="str">
        <f>_xlfn.XLOOKUP(FME_Ranking1[[#This Row],[FME ID]],FME_Input[FME_ID],FME_Input[FME_NAME])</f>
        <v>Stream 4A1 at Goode Road</v>
      </c>
      <c r="D1427" t="str">
        <f>_xlfn.XLOOKUP(FME_Ranking1[[#This Row],[FME ID]],FME_Input[FME_ID],FME_Input[DESCR])</f>
        <v>Evaluate bridge improvements for Goode Road over Stream 4A1</v>
      </c>
      <c r="E1427" s="256">
        <f>_xlfn.XLOOKUP(FME_Ranking1[[#This Row],[FME ID]],FME_Input[FME_ID],FME_Input[FME_COST])</f>
        <v>250000</v>
      </c>
      <c r="F1427" t="str">
        <f>_xlfn.XLOOKUP(FME_Ranking1[[#This Row],[FME ID]],FME_Input[FME_ID],FME_Input[EMER_NEED])</f>
        <v>No</v>
      </c>
      <c r="G1427">
        <f>IF(FME_Ranking!F1427="Yes",100,0)</f>
        <v>0</v>
      </c>
      <c r="H1427">
        <f>FME_Ranking1[[#This Row],[Emergency Need Score (Normalized, Unweighted)]]*$F$3</f>
        <v>0</v>
      </c>
      <c r="I1427" s="246">
        <f>_xlfn.XLOOKUP(FME_Ranking1[[#This Row],[FME ID]],FME_Input[FME_ID],FME_Input[STRUCT_100])</f>
        <v>29</v>
      </c>
      <c r="J1427" s="178">
        <f>(FME_Ranking1[[#This Row],[Structures 100 Raw]]/I$2)*100</f>
        <v>1.5529280726556141E-2</v>
      </c>
      <c r="K1427" s="178">
        <f>FME_Ranking1[[#This Row],[Structures 100  Score (Normalized, Unweighted)]]*$I$3</f>
        <v>2.3293921089834213E-3</v>
      </c>
      <c r="L1427" s="246">
        <f>_xlfn.XLOOKUP(FME_Ranking1[[#This Row],[FME ID]],FME_Input[FME_ID],FME_Input[RES_STRUCT100])</f>
        <v>29</v>
      </c>
      <c r="M1427" s="230">
        <f>(FME_Ranking1[[#This Row],[Res Structures Raw]]/L$2)*100</f>
        <v>2.0540862149565808E-2</v>
      </c>
      <c r="N1427" s="180">
        <f>FME_Ranking1[[#This Row],[Res Structures Score (Normalized, Unweighted)]]*$L$3</f>
        <v>2.0540862149565809E-3</v>
      </c>
      <c r="O1427" s="244">
        <f>_xlfn.XLOOKUP(FME_Ranking1[[#This Row],[FME ID]],FME_Input[FME_ID],FME_Input[POP100])</f>
        <v>90</v>
      </c>
      <c r="P1427" s="178">
        <f>(FME_Ranking1[[#This Row],[Pop Raw]]/$O$2)*100</f>
        <v>9.2137780789886964E-3</v>
      </c>
      <c r="Q1427" s="178">
        <f>FME_Ranking1[[#This Row],[Pop Score (Normalized, Unweighted)]]*$O$3</f>
        <v>1.3820667118483044E-3</v>
      </c>
      <c r="R1427" s="137">
        <f>_xlfn.XLOOKUP(FME_Ranking1[[#This Row],[FME ID]],FME_Input[FME_ID],FME_Input[CRITFAC100])</f>
        <v>0</v>
      </c>
      <c r="S1427" s="230">
        <f>(FME_Ranking1[[#This Row],[Critical Facilities Raw]]/$R$2)*100</f>
        <v>0</v>
      </c>
      <c r="T1427" s="180">
        <f>FME_Ranking1[[#This Row],[Critical Facilities Score (Normalized, Unweighted)]]*$R$3</f>
        <v>0</v>
      </c>
      <c r="U1427">
        <f>_xlfn.XLOOKUP(FME_Ranking1[[#This Row],[FME ID]],FME_Input[FME_ID],FME_Input[LWC])</f>
        <v>2</v>
      </c>
      <c r="V1427" s="178">
        <f>(FME_Ranking1[[#This Row],[LWC Raw]]/$U$2)*100</f>
        <v>0.11514104778353484</v>
      </c>
      <c r="W1427" s="178">
        <f>FME_Ranking1[[#This Row],[LWC Score (Normalized, Unweighted)]]*$U$3</f>
        <v>2.302820955670697E-2</v>
      </c>
      <c r="X1427" s="246">
        <f>_xlfn.XLOOKUP(FME_Ranking1[[#This Row],[FME ID]],FME_Input[FME_ID],FME_Input[ROADCLS])</f>
        <v>0</v>
      </c>
      <c r="Y1427" s="230">
        <f>(FME_Ranking1[[#This Row],[Closures Raw]]/$X$2)*100</f>
        <v>0</v>
      </c>
      <c r="Z1427" s="180">
        <f>FME_Ranking1[[#This Row],[Closures Score (Normalized, Unweighted)]]*$X$3</f>
        <v>0</v>
      </c>
      <c r="AA1427" s="253">
        <f>_xlfn.XLOOKUP(FME_Ranking1[[#This Row],[FME ID]],FME_Input[FME_ID],FME_Input[ROAD_MILES100])</f>
        <v>0.56508767604827881</v>
      </c>
      <c r="AB1427" s="178">
        <f>(FME_Ranking1[[#This Row],[Miles Raw]]/$AA$2)*100</f>
        <v>7.4298894077065242E-3</v>
      </c>
      <c r="AC1427" s="178">
        <f>FME_Ranking1[[#This Row],[Miles Score (Normalized, Unweighted)]]*$AA$3</f>
        <v>7.4298894077065244E-4</v>
      </c>
      <c r="AD1427" s="255">
        <f>_xlfn.XLOOKUP(FME_Ranking1[[#This Row],[FME ID]],FME_Input[FME_ID],FME_Input[FARMACRE100])</f>
        <v>137.5653991699219</v>
      </c>
      <c r="AE1427" s="230">
        <f>(FME_Ranking1[[#This Row],[Ag Land Raw]]/$AD$2)*100</f>
        <v>5.6725812497506554E-3</v>
      </c>
      <c r="AF1427" s="231">
        <f>FME_Ranking1[[#This Row],[Ag Land Score (Normalized, Unweighted)]]*$AD$3</f>
        <v>2.8362906248753276E-4</v>
      </c>
      <c r="AG142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2.9820372595753462E-2</v>
      </c>
      <c r="AH1427" s="406">
        <f t="shared" si="22"/>
        <v>1469</v>
      </c>
      <c r="AI142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2.9820372595753462E-2</v>
      </c>
      <c r="AJ1427" s="257">
        <f>FME_Ranking1[[#This Row],[Addition check]]-FME_Ranking1[[#This Row],[Weighted Score Based on Normalized Reported Factors]]</f>
        <v>0</v>
      </c>
      <c r="AK1427" s="178">
        <f>_xlfn.RANK.EQ(AI1427,$AI$6:$AI$2341,0)+COUNTIF($AI$6:AI1427,AI1427)-1</f>
        <v>1469</v>
      </c>
    </row>
    <row r="1428" spans="1:37" x14ac:dyDescent="0.25">
      <c r="A1428" t="s">
        <v>5383</v>
      </c>
      <c r="B1428">
        <f>_xlfn.XLOOKUP(FME_Ranking1[[#This Row],[FME ID]],FME_Input[FME_ID],FME_Input[RFPG_NUM])</f>
        <v>3</v>
      </c>
      <c r="C1428" t="str">
        <f>_xlfn.XLOOKUP(FME_Ranking1[[#This Row],[FME ID]],FME_Input[FME_ID],FME_Input[FME_NAME])</f>
        <v>Stream 4A1 at Geller Road</v>
      </c>
      <c r="D1428" t="str">
        <f>_xlfn.XLOOKUP(FME_Ranking1[[#This Row],[FME ID]],FME_Input[FME_ID],FME_Input[DESCR])</f>
        <v>Evaluate bridge improvements for Geller Road over Stream 4A1</v>
      </c>
      <c r="E1428" s="256">
        <f>_xlfn.XLOOKUP(FME_Ranking1[[#This Row],[FME ID]],FME_Input[FME_ID],FME_Input[FME_COST])</f>
        <v>250000</v>
      </c>
      <c r="F1428" t="str">
        <f>_xlfn.XLOOKUP(FME_Ranking1[[#This Row],[FME ID]],FME_Input[FME_ID],FME_Input[EMER_NEED])</f>
        <v>No</v>
      </c>
      <c r="G1428">
        <f>IF(FME_Ranking!F1428="Yes",100,0)</f>
        <v>0</v>
      </c>
      <c r="H1428">
        <f>FME_Ranking1[[#This Row],[Emergency Need Score (Normalized, Unweighted)]]*$F$3</f>
        <v>0</v>
      </c>
      <c r="I1428" s="246">
        <f>_xlfn.XLOOKUP(FME_Ranking1[[#This Row],[FME ID]],FME_Input[FME_ID],FME_Input[STRUCT_100])</f>
        <v>29</v>
      </c>
      <c r="J1428" s="178">
        <f>(FME_Ranking1[[#This Row],[Structures 100 Raw]]/I$2)*100</f>
        <v>1.5529280726556141E-2</v>
      </c>
      <c r="K1428" s="178">
        <f>FME_Ranking1[[#This Row],[Structures 100  Score (Normalized, Unweighted)]]*$I$3</f>
        <v>2.3293921089834213E-3</v>
      </c>
      <c r="L1428" s="246">
        <f>_xlfn.XLOOKUP(FME_Ranking1[[#This Row],[FME ID]],FME_Input[FME_ID],FME_Input[RES_STRUCT100])</f>
        <v>29</v>
      </c>
      <c r="M1428" s="230">
        <f>(FME_Ranking1[[#This Row],[Res Structures Raw]]/L$2)*100</f>
        <v>2.0540862149565808E-2</v>
      </c>
      <c r="N1428" s="180">
        <f>FME_Ranking1[[#This Row],[Res Structures Score (Normalized, Unweighted)]]*$L$3</f>
        <v>2.0540862149565809E-3</v>
      </c>
      <c r="O1428" s="244">
        <f>_xlfn.XLOOKUP(FME_Ranking1[[#This Row],[FME ID]],FME_Input[FME_ID],FME_Input[POP100])</f>
        <v>90</v>
      </c>
      <c r="P1428" s="178">
        <f>(FME_Ranking1[[#This Row],[Pop Raw]]/$O$2)*100</f>
        <v>9.2137780789886964E-3</v>
      </c>
      <c r="Q1428" s="178">
        <f>FME_Ranking1[[#This Row],[Pop Score (Normalized, Unweighted)]]*$O$3</f>
        <v>1.3820667118483044E-3</v>
      </c>
      <c r="R1428" s="137">
        <f>_xlfn.XLOOKUP(FME_Ranking1[[#This Row],[FME ID]],FME_Input[FME_ID],FME_Input[CRITFAC100])</f>
        <v>0</v>
      </c>
      <c r="S1428" s="230">
        <f>(FME_Ranking1[[#This Row],[Critical Facilities Raw]]/$R$2)*100</f>
        <v>0</v>
      </c>
      <c r="T1428" s="180">
        <f>FME_Ranking1[[#This Row],[Critical Facilities Score (Normalized, Unweighted)]]*$R$3</f>
        <v>0</v>
      </c>
      <c r="U1428">
        <f>_xlfn.XLOOKUP(FME_Ranking1[[#This Row],[FME ID]],FME_Input[FME_ID],FME_Input[LWC])</f>
        <v>2</v>
      </c>
      <c r="V1428" s="178">
        <f>(FME_Ranking1[[#This Row],[LWC Raw]]/$U$2)*100</f>
        <v>0.11514104778353484</v>
      </c>
      <c r="W1428" s="178">
        <f>FME_Ranking1[[#This Row],[LWC Score (Normalized, Unweighted)]]*$U$3</f>
        <v>2.302820955670697E-2</v>
      </c>
      <c r="X1428" s="246">
        <f>_xlfn.XLOOKUP(FME_Ranking1[[#This Row],[FME ID]],FME_Input[FME_ID],FME_Input[ROADCLS])</f>
        <v>0</v>
      </c>
      <c r="Y1428" s="230">
        <f>(FME_Ranking1[[#This Row],[Closures Raw]]/$X$2)*100</f>
        <v>0</v>
      </c>
      <c r="Z1428" s="180">
        <f>FME_Ranking1[[#This Row],[Closures Score (Normalized, Unweighted)]]*$X$3</f>
        <v>0</v>
      </c>
      <c r="AA1428" s="253">
        <f>_xlfn.XLOOKUP(FME_Ranking1[[#This Row],[FME ID]],FME_Input[FME_ID],FME_Input[ROAD_MILES100])</f>
        <v>0.56508767604827881</v>
      </c>
      <c r="AB1428" s="178">
        <f>(FME_Ranking1[[#This Row],[Miles Raw]]/$AA$2)*100</f>
        <v>7.4298894077065242E-3</v>
      </c>
      <c r="AC1428" s="178">
        <f>FME_Ranking1[[#This Row],[Miles Score (Normalized, Unweighted)]]*$AA$3</f>
        <v>7.4298894077065244E-4</v>
      </c>
      <c r="AD1428" s="255">
        <f>_xlfn.XLOOKUP(FME_Ranking1[[#This Row],[FME ID]],FME_Input[FME_ID],FME_Input[FARMACRE100])</f>
        <v>137.5653991699219</v>
      </c>
      <c r="AE1428" s="230">
        <f>(FME_Ranking1[[#This Row],[Ag Land Raw]]/$AD$2)*100</f>
        <v>5.6725812497506554E-3</v>
      </c>
      <c r="AF1428" s="231">
        <f>FME_Ranking1[[#This Row],[Ag Land Score (Normalized, Unweighted)]]*$AD$3</f>
        <v>2.8362906248753276E-4</v>
      </c>
      <c r="AG142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2.9820372595753462E-2</v>
      </c>
      <c r="AH1428" s="406">
        <f t="shared" si="22"/>
        <v>1469</v>
      </c>
      <c r="AI142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2.9820372595753462E-2</v>
      </c>
      <c r="AJ1428" s="257">
        <f>FME_Ranking1[[#This Row],[Addition check]]-FME_Ranking1[[#This Row],[Weighted Score Based on Normalized Reported Factors]]</f>
        <v>0</v>
      </c>
      <c r="AK1428" s="178">
        <f>_xlfn.RANK.EQ(AI1428,$AI$6:$AI$2341,0)+COUNTIF($AI$6:AI1428,AI1428)-1</f>
        <v>1470</v>
      </c>
    </row>
    <row r="1429" spans="1:37" x14ac:dyDescent="0.25">
      <c r="A1429" t="s">
        <v>944</v>
      </c>
      <c r="B1429">
        <f>_xlfn.XLOOKUP(FME_Ranking1[[#This Row],[FME ID]],FME_Input[FME_ID],FME_Input[RFPG_NUM])</f>
        <v>6</v>
      </c>
      <c r="C1429" t="str">
        <f>_xlfn.XLOOKUP(FME_Ranking1[[#This Row],[FME ID]],FME_Input[FME_ID],FME_Input[FME_NAME])</f>
        <v>Chambers County Dam and Levee Failure Inundation Map Update</v>
      </c>
      <c r="D1429" t="str">
        <f>_xlfn.XLOOKUP(FME_Ranking1[[#This Row],[FME ID]],FME_Input[FME_ID],FME_Input[DESCR])</f>
        <v xml:space="preserve">Further study for all participating jurisdiction to update dam and levee failure inundation maps, and update floodplain and floodway maps throughout the county. The updated maps will also be made available to the public. </v>
      </c>
      <c r="E1429" s="256">
        <f>_xlfn.XLOOKUP(FME_Ranking1[[#This Row],[FME ID]],FME_Input[FME_ID],FME_Input[FME_COST])</f>
        <v>25000</v>
      </c>
      <c r="F1429" t="str">
        <f>_xlfn.XLOOKUP(FME_Ranking1[[#This Row],[FME ID]],FME_Input[FME_ID],FME_Input[EMER_NEED])</f>
        <v>No</v>
      </c>
      <c r="G1429">
        <f>IF(FME_Ranking!F1429="Yes",100,0)</f>
        <v>0</v>
      </c>
      <c r="H1429">
        <f>FME_Ranking1[[#This Row],[Emergency Need Score (Normalized, Unweighted)]]*$F$3</f>
        <v>0</v>
      </c>
      <c r="I1429" s="246">
        <f>_xlfn.XLOOKUP(FME_Ranking1[[#This Row],[FME ID]],FME_Input[FME_ID],FME_Input[STRUCT_100])</f>
        <v>151</v>
      </c>
      <c r="J1429" s="178">
        <f>(FME_Ranking1[[#This Row],[Structures 100 Raw]]/I$2)*100</f>
        <v>8.0859358265861284E-2</v>
      </c>
      <c r="K1429" s="178">
        <f>FME_Ranking1[[#This Row],[Structures 100  Score (Normalized, Unweighted)]]*$I$3</f>
        <v>1.2128903739879193E-2</v>
      </c>
      <c r="L1429" s="246">
        <f>_xlfn.XLOOKUP(FME_Ranking1[[#This Row],[FME ID]],FME_Input[FME_ID],FME_Input[RES_STRUCT100])</f>
        <v>56</v>
      </c>
      <c r="M1429" s="230">
        <f>(FME_Ranking1[[#This Row],[Res Structures Raw]]/L$2)*100</f>
        <v>3.9665113116402945E-2</v>
      </c>
      <c r="N1429" s="180">
        <f>FME_Ranking1[[#This Row],[Res Structures Score (Normalized, Unweighted)]]*$L$3</f>
        <v>3.966511311640295E-3</v>
      </c>
      <c r="O1429" s="244">
        <f>_xlfn.XLOOKUP(FME_Ranking1[[#This Row],[FME ID]],FME_Input[FME_ID],FME_Input[POP100])</f>
        <v>797</v>
      </c>
      <c r="P1429" s="178">
        <f>(FME_Ranking1[[#This Row],[Pop Raw]]/$O$2)*100</f>
        <v>8.1593123655044342E-2</v>
      </c>
      <c r="Q1429" s="178">
        <f>FME_Ranking1[[#This Row],[Pop Score (Normalized, Unweighted)]]*$O$3</f>
        <v>1.2238968548256651E-2</v>
      </c>
      <c r="R1429" s="137">
        <f>_xlfn.XLOOKUP(FME_Ranking1[[#This Row],[FME ID]],FME_Input[FME_ID],FME_Input[CRITFAC100])</f>
        <v>0</v>
      </c>
      <c r="S1429" s="230">
        <f>(FME_Ranking1[[#This Row],[Critical Facilities Raw]]/$R$2)*100</f>
        <v>0</v>
      </c>
      <c r="T1429" s="180">
        <f>FME_Ranking1[[#This Row],[Critical Facilities Score (Normalized, Unweighted)]]*$R$3</f>
        <v>0</v>
      </c>
      <c r="U1429">
        <f>_xlfn.XLOOKUP(FME_Ranking1[[#This Row],[FME ID]],FME_Input[FME_ID],FME_Input[LWC])</f>
        <v>0</v>
      </c>
      <c r="V1429" s="178">
        <f>(FME_Ranking1[[#This Row],[LWC Raw]]/$U$2)*100</f>
        <v>0</v>
      </c>
      <c r="W1429" s="178">
        <f>FME_Ranking1[[#This Row],[LWC Score (Normalized, Unweighted)]]*$U$3</f>
        <v>0</v>
      </c>
      <c r="X1429" s="246">
        <f>_xlfn.XLOOKUP(FME_Ranking1[[#This Row],[FME ID]],FME_Input[FME_ID],FME_Input[ROADCLS])</f>
        <v>0</v>
      </c>
      <c r="Y1429" s="230">
        <f>(FME_Ranking1[[#This Row],[Closures Raw]]/$X$2)*100</f>
        <v>0</v>
      </c>
      <c r="Z1429" s="180">
        <f>FME_Ranking1[[#This Row],[Closures Score (Normalized, Unweighted)]]*$X$3</f>
        <v>0</v>
      </c>
      <c r="AA1429" s="253">
        <f>_xlfn.XLOOKUP(FME_Ranking1[[#This Row],[FME ID]],FME_Input[FME_ID],FME_Input[ROAD_MILES100])</f>
        <v>7.296903133392334</v>
      </c>
      <c r="AB1429" s="178">
        <f>(FME_Ranking1[[#This Row],[Miles Raw]]/$AA$2)*100</f>
        <v>9.5941188593927723E-2</v>
      </c>
      <c r="AC1429" s="178">
        <f>FME_Ranking1[[#This Row],[Miles Score (Normalized, Unweighted)]]*$AA$3</f>
        <v>9.5941188593927727E-3</v>
      </c>
      <c r="AD1429" s="255">
        <f>_xlfn.XLOOKUP(FME_Ranking1[[#This Row],[FME ID]],FME_Input[FME_ID],FME_Input[FARMACRE100])</f>
        <v>354.08441162109381</v>
      </c>
      <c r="AE1429" s="230">
        <f>(FME_Ranking1[[#This Row],[Ag Land Raw]]/$AD$2)*100</f>
        <v>1.4600856075078911E-2</v>
      </c>
      <c r="AF1429" s="231">
        <f>FME_Ranking1[[#This Row],[Ag Land Score (Normalized, Unweighted)]]*$AD$3</f>
        <v>7.3004280375394554E-4</v>
      </c>
      <c r="AG142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3.865854526292286E-2</v>
      </c>
      <c r="AH1429" s="406">
        <f t="shared" si="22"/>
        <v>1393</v>
      </c>
      <c r="AI142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3.865854526292286E-2</v>
      </c>
      <c r="AJ1429" s="257">
        <f>FME_Ranking1[[#This Row],[Addition check]]-FME_Ranking1[[#This Row],[Weighted Score Based on Normalized Reported Factors]]</f>
        <v>0</v>
      </c>
      <c r="AK1429" s="178">
        <f>_xlfn.RANK.EQ(AI1429,$AI$6:$AI$2341,0)+COUNTIF($AI$6:AI1429,AI1429)-1</f>
        <v>1393</v>
      </c>
    </row>
    <row r="1430" spans="1:37" x14ac:dyDescent="0.25">
      <c r="A1430" t="s">
        <v>959</v>
      </c>
      <c r="B1430">
        <f>_xlfn.XLOOKUP(FME_Ranking1[[#This Row],[FME ID]],FME_Input[FME_ID],FME_Input[RFPG_NUM])</f>
        <v>6</v>
      </c>
      <c r="C1430" t="str">
        <f>_xlfn.XLOOKUP(FME_Ranking1[[#This Row],[FME ID]],FME_Input[FME_ID],FME_Input[FME_NAME])</f>
        <v xml:space="preserve">Chambers County Property Protection </v>
      </c>
      <c r="D1430" t="str">
        <f>_xlfn.XLOOKUP(FME_Ranking1[[#This Row],[FME ID]],FME_Input[FME_ID],FME_Input[DESCR])</f>
        <v>Study to determine flood risk reduction potential of clearing obstacles, widen and reshape ditches, and upgrade culverts to restore adequate drainage to mitigate flooding throughout all participating jurisdictions.</v>
      </c>
      <c r="E1430" s="256">
        <f>_xlfn.XLOOKUP(FME_Ranking1[[#This Row],[FME ID]],FME_Input[FME_ID],FME_Input[FME_COST])</f>
        <v>500000</v>
      </c>
      <c r="F1430" t="str">
        <f>_xlfn.XLOOKUP(FME_Ranking1[[#This Row],[FME ID]],FME_Input[FME_ID],FME_Input[EMER_NEED])</f>
        <v>No</v>
      </c>
      <c r="G1430">
        <f>IF(FME_Ranking!F1430="Yes",100,0)</f>
        <v>0</v>
      </c>
      <c r="H1430">
        <f>FME_Ranking1[[#This Row],[Emergency Need Score (Normalized, Unweighted)]]*$F$3</f>
        <v>0</v>
      </c>
      <c r="I1430" s="246">
        <f>_xlfn.XLOOKUP(FME_Ranking1[[#This Row],[FME ID]],FME_Input[FME_ID],FME_Input[STRUCT_100])</f>
        <v>151</v>
      </c>
      <c r="J1430" s="178">
        <f>(FME_Ranking1[[#This Row],[Structures 100 Raw]]/I$2)*100</f>
        <v>8.0859358265861284E-2</v>
      </c>
      <c r="K1430" s="178">
        <f>FME_Ranking1[[#This Row],[Structures 100  Score (Normalized, Unweighted)]]*$I$3</f>
        <v>1.2128903739879193E-2</v>
      </c>
      <c r="L1430" s="246">
        <f>_xlfn.XLOOKUP(FME_Ranking1[[#This Row],[FME ID]],FME_Input[FME_ID],FME_Input[RES_STRUCT100])</f>
        <v>56</v>
      </c>
      <c r="M1430" s="230">
        <f>(FME_Ranking1[[#This Row],[Res Structures Raw]]/L$2)*100</f>
        <v>3.9665113116402945E-2</v>
      </c>
      <c r="N1430" s="180">
        <f>FME_Ranking1[[#This Row],[Res Structures Score (Normalized, Unweighted)]]*$L$3</f>
        <v>3.966511311640295E-3</v>
      </c>
      <c r="O1430" s="244">
        <f>_xlfn.XLOOKUP(FME_Ranking1[[#This Row],[FME ID]],FME_Input[FME_ID],FME_Input[POP100])</f>
        <v>797</v>
      </c>
      <c r="P1430" s="178">
        <f>(FME_Ranking1[[#This Row],[Pop Raw]]/$O$2)*100</f>
        <v>8.1593123655044342E-2</v>
      </c>
      <c r="Q1430" s="178">
        <f>FME_Ranking1[[#This Row],[Pop Score (Normalized, Unweighted)]]*$O$3</f>
        <v>1.2238968548256651E-2</v>
      </c>
      <c r="R1430" s="137">
        <f>_xlfn.XLOOKUP(FME_Ranking1[[#This Row],[FME ID]],FME_Input[FME_ID],FME_Input[CRITFAC100])</f>
        <v>0</v>
      </c>
      <c r="S1430" s="230">
        <f>(FME_Ranking1[[#This Row],[Critical Facilities Raw]]/$R$2)*100</f>
        <v>0</v>
      </c>
      <c r="T1430" s="180">
        <f>FME_Ranking1[[#This Row],[Critical Facilities Score (Normalized, Unweighted)]]*$R$3</f>
        <v>0</v>
      </c>
      <c r="U1430">
        <f>_xlfn.XLOOKUP(FME_Ranking1[[#This Row],[FME ID]],FME_Input[FME_ID],FME_Input[LWC])</f>
        <v>0</v>
      </c>
      <c r="V1430" s="178">
        <f>(FME_Ranking1[[#This Row],[LWC Raw]]/$U$2)*100</f>
        <v>0</v>
      </c>
      <c r="W1430" s="178">
        <f>FME_Ranking1[[#This Row],[LWC Score (Normalized, Unweighted)]]*$U$3</f>
        <v>0</v>
      </c>
      <c r="X1430" s="246">
        <f>_xlfn.XLOOKUP(FME_Ranking1[[#This Row],[FME ID]],FME_Input[FME_ID],FME_Input[ROADCLS])</f>
        <v>0</v>
      </c>
      <c r="Y1430" s="230">
        <f>(FME_Ranking1[[#This Row],[Closures Raw]]/$X$2)*100</f>
        <v>0</v>
      </c>
      <c r="Z1430" s="180">
        <f>FME_Ranking1[[#This Row],[Closures Score (Normalized, Unweighted)]]*$X$3</f>
        <v>0</v>
      </c>
      <c r="AA1430" s="253">
        <f>_xlfn.XLOOKUP(FME_Ranking1[[#This Row],[FME ID]],FME_Input[FME_ID],FME_Input[ROAD_MILES100])</f>
        <v>7.296903133392334</v>
      </c>
      <c r="AB1430" s="178">
        <f>(FME_Ranking1[[#This Row],[Miles Raw]]/$AA$2)*100</f>
        <v>9.5941188593927723E-2</v>
      </c>
      <c r="AC1430" s="178">
        <f>FME_Ranking1[[#This Row],[Miles Score (Normalized, Unweighted)]]*$AA$3</f>
        <v>9.5941188593927727E-3</v>
      </c>
      <c r="AD1430" s="255">
        <f>_xlfn.XLOOKUP(FME_Ranking1[[#This Row],[FME ID]],FME_Input[FME_ID],FME_Input[FARMACRE100])</f>
        <v>354.08441162109381</v>
      </c>
      <c r="AE1430" s="230">
        <f>(FME_Ranking1[[#This Row],[Ag Land Raw]]/$AD$2)*100</f>
        <v>1.4600856075078911E-2</v>
      </c>
      <c r="AF1430" s="231">
        <f>FME_Ranking1[[#This Row],[Ag Land Score (Normalized, Unweighted)]]*$AD$3</f>
        <v>7.3004280375394554E-4</v>
      </c>
      <c r="AG143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3.865854526292286E-2</v>
      </c>
      <c r="AH1430" s="406">
        <f t="shared" si="22"/>
        <v>1393</v>
      </c>
      <c r="AI143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3.865854526292286E-2</v>
      </c>
      <c r="AJ1430" s="257">
        <f>FME_Ranking1[[#This Row],[Addition check]]-FME_Ranking1[[#This Row],[Weighted Score Based on Normalized Reported Factors]]</f>
        <v>0</v>
      </c>
      <c r="AK1430" s="178">
        <f>_xlfn.RANK.EQ(AI1430,$AI$6:$AI$2341,0)+COUNTIF($AI$6:AI1430,AI1430)-1</f>
        <v>1394</v>
      </c>
    </row>
    <row r="1431" spans="1:37" x14ac:dyDescent="0.25">
      <c r="A1431" t="s">
        <v>1840</v>
      </c>
      <c r="B1431">
        <f>_xlfn.XLOOKUP(FME_Ranking1[[#This Row],[FME ID]],FME_Input[FME_ID],FME_Input[RFPG_NUM])</f>
        <v>6</v>
      </c>
      <c r="C1431" t="str">
        <f>_xlfn.XLOOKUP(FME_Ranking1[[#This Row],[FME ID]],FME_Input[FME_ID],FME_Input[FME_NAME])</f>
        <v>Chambers Flood Mapping Updates</v>
      </c>
      <c r="D1431" t="str">
        <f>_xlfn.XLOOKUP(FME_Ranking1[[#This Row],[FME ID]],FME_Input[FME_ID],FME_Input[DESCR])</f>
        <v>County wide study to produce flood mappping updates including Atlas 14 rainfall.</v>
      </c>
      <c r="E1431" s="256">
        <f>_xlfn.XLOOKUP(FME_Ranking1[[#This Row],[FME ID]],FME_Input[FME_ID],FME_Input[FME_COST])</f>
        <v>631000</v>
      </c>
      <c r="F1431" t="str">
        <f>_xlfn.XLOOKUP(FME_Ranking1[[#This Row],[FME ID]],FME_Input[FME_ID],FME_Input[EMER_NEED])</f>
        <v>Yes</v>
      </c>
      <c r="G1431">
        <f>IF(FME_Ranking!F1431="Yes",100,0)</f>
        <v>100</v>
      </c>
      <c r="H1431">
        <f>FME_Ranking1[[#This Row],[Emergency Need Score (Normalized, Unweighted)]]*$F$3</f>
        <v>0</v>
      </c>
      <c r="I1431" s="246">
        <f>_xlfn.XLOOKUP(FME_Ranking1[[#This Row],[FME ID]],FME_Input[FME_ID],FME_Input[STRUCT_100])</f>
        <v>151</v>
      </c>
      <c r="J1431" s="178">
        <f>(FME_Ranking1[[#This Row],[Structures 100 Raw]]/I$2)*100</f>
        <v>8.0859358265861284E-2</v>
      </c>
      <c r="K1431" s="178">
        <f>FME_Ranking1[[#This Row],[Structures 100  Score (Normalized, Unweighted)]]*$I$3</f>
        <v>1.2128903739879193E-2</v>
      </c>
      <c r="L1431" s="246">
        <f>_xlfn.XLOOKUP(FME_Ranking1[[#This Row],[FME ID]],FME_Input[FME_ID],FME_Input[RES_STRUCT100])</f>
        <v>56</v>
      </c>
      <c r="M1431" s="230">
        <f>(FME_Ranking1[[#This Row],[Res Structures Raw]]/L$2)*100</f>
        <v>3.9665113116402945E-2</v>
      </c>
      <c r="N1431" s="180">
        <f>FME_Ranking1[[#This Row],[Res Structures Score (Normalized, Unweighted)]]*$L$3</f>
        <v>3.966511311640295E-3</v>
      </c>
      <c r="O1431" s="244">
        <f>_xlfn.XLOOKUP(FME_Ranking1[[#This Row],[FME ID]],FME_Input[FME_ID],FME_Input[POP100])</f>
        <v>797</v>
      </c>
      <c r="P1431" s="178">
        <f>(FME_Ranking1[[#This Row],[Pop Raw]]/$O$2)*100</f>
        <v>8.1593123655044342E-2</v>
      </c>
      <c r="Q1431" s="178">
        <f>FME_Ranking1[[#This Row],[Pop Score (Normalized, Unweighted)]]*$O$3</f>
        <v>1.2238968548256651E-2</v>
      </c>
      <c r="R1431" s="137">
        <f>_xlfn.XLOOKUP(FME_Ranking1[[#This Row],[FME ID]],FME_Input[FME_ID],FME_Input[CRITFAC100])</f>
        <v>0</v>
      </c>
      <c r="S1431" s="230">
        <f>(FME_Ranking1[[#This Row],[Critical Facilities Raw]]/$R$2)*100</f>
        <v>0</v>
      </c>
      <c r="T1431" s="180">
        <f>FME_Ranking1[[#This Row],[Critical Facilities Score (Normalized, Unweighted)]]*$R$3</f>
        <v>0</v>
      </c>
      <c r="U1431">
        <f>_xlfn.XLOOKUP(FME_Ranking1[[#This Row],[FME ID]],FME_Input[FME_ID],FME_Input[LWC])</f>
        <v>0</v>
      </c>
      <c r="V1431" s="178">
        <f>(FME_Ranking1[[#This Row],[LWC Raw]]/$U$2)*100</f>
        <v>0</v>
      </c>
      <c r="W1431" s="178">
        <f>FME_Ranking1[[#This Row],[LWC Score (Normalized, Unweighted)]]*$U$3</f>
        <v>0</v>
      </c>
      <c r="X1431" s="246">
        <f>_xlfn.XLOOKUP(FME_Ranking1[[#This Row],[FME ID]],FME_Input[FME_ID],FME_Input[ROADCLS])</f>
        <v>0</v>
      </c>
      <c r="Y1431" s="230">
        <f>(FME_Ranking1[[#This Row],[Closures Raw]]/$X$2)*100</f>
        <v>0</v>
      </c>
      <c r="Z1431" s="180">
        <f>FME_Ranking1[[#This Row],[Closures Score (Normalized, Unweighted)]]*$X$3</f>
        <v>0</v>
      </c>
      <c r="AA1431" s="253">
        <f>_xlfn.XLOOKUP(FME_Ranking1[[#This Row],[FME ID]],FME_Input[FME_ID],FME_Input[ROAD_MILES100])</f>
        <v>7.296903133392334</v>
      </c>
      <c r="AB1431" s="178">
        <f>(FME_Ranking1[[#This Row],[Miles Raw]]/$AA$2)*100</f>
        <v>9.5941188593927723E-2</v>
      </c>
      <c r="AC1431" s="178">
        <f>FME_Ranking1[[#This Row],[Miles Score (Normalized, Unweighted)]]*$AA$3</f>
        <v>9.5941188593927727E-3</v>
      </c>
      <c r="AD1431" s="255">
        <f>_xlfn.XLOOKUP(FME_Ranking1[[#This Row],[FME ID]],FME_Input[FME_ID],FME_Input[FARMACRE100])</f>
        <v>354.08441162109381</v>
      </c>
      <c r="AE1431" s="230">
        <f>(FME_Ranking1[[#This Row],[Ag Land Raw]]/$AD$2)*100</f>
        <v>1.4600856075078911E-2</v>
      </c>
      <c r="AF1431" s="231">
        <f>FME_Ranking1[[#This Row],[Ag Land Score (Normalized, Unweighted)]]*$AD$3</f>
        <v>7.3004280375394554E-4</v>
      </c>
      <c r="AG143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3.865854526292286E-2</v>
      </c>
      <c r="AH1431" s="406">
        <f t="shared" si="22"/>
        <v>1393</v>
      </c>
      <c r="AI143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3.865854526292286E-2</v>
      </c>
      <c r="AJ1431" s="257">
        <f>FME_Ranking1[[#This Row],[Addition check]]-FME_Ranking1[[#This Row],[Weighted Score Based on Normalized Reported Factors]]</f>
        <v>0</v>
      </c>
      <c r="AK1431" s="178">
        <f>_xlfn.RANK.EQ(AI1431,$AI$6:$AI$2341,0)+COUNTIF($AI$6:AI1431,AI1431)-1</f>
        <v>1395</v>
      </c>
    </row>
    <row r="1432" spans="1:37" x14ac:dyDescent="0.25">
      <c r="A1432" t="s">
        <v>761</v>
      </c>
      <c r="B1432">
        <f>_xlfn.XLOOKUP(FME_Ranking1[[#This Row],[FME ID]],FME_Input[FME_ID],FME_Input[RFPG_NUM])</f>
        <v>6</v>
      </c>
      <c r="C1432" t="str">
        <f>_xlfn.XLOOKUP(FME_Ranking1[[#This Row],[FME ID]],FME_Input[FME_ID],FME_Input[FME_NAME])</f>
        <v>Baretta - Grand Lake Creek Watershed</v>
      </c>
      <c r="D1432" t="str">
        <f>_xlfn.XLOOKUP(FME_Ranking1[[#This Row],[FME ID]],FME_Input[FME_ID],FME_Input[DESCR])</f>
        <v>Develop a benefits cost analysis in support of this project identied in the City of Conroe Master Drainage Plan.</v>
      </c>
      <c r="E1432" s="256">
        <f>_xlfn.XLOOKUP(FME_Ranking1[[#This Row],[FME ID]],FME_Input[FME_ID],FME_Input[FME_COST])</f>
        <v>30000</v>
      </c>
      <c r="F1432" t="str">
        <f>_xlfn.XLOOKUP(FME_Ranking1[[#This Row],[FME ID]],FME_Input[FME_ID],FME_Input[EMER_NEED])</f>
        <v>No</v>
      </c>
      <c r="G1432">
        <f>IF(FME_Ranking!F1432="Yes",100,0)</f>
        <v>0</v>
      </c>
      <c r="H1432">
        <f>FME_Ranking1[[#This Row],[Emergency Need Score (Normalized, Unweighted)]]*$F$3</f>
        <v>0</v>
      </c>
      <c r="I1432" s="246">
        <f>_xlfn.XLOOKUP(FME_Ranking1[[#This Row],[FME ID]],FME_Input[FME_ID],FME_Input[STRUCT_100])</f>
        <v>102</v>
      </c>
      <c r="J1432" s="178">
        <f>(FME_Ranking1[[#This Row],[Structures 100 Raw]]/I$2)*100</f>
        <v>5.4620228762369868E-2</v>
      </c>
      <c r="K1432" s="178">
        <f>FME_Ranking1[[#This Row],[Structures 100  Score (Normalized, Unweighted)]]*$I$3</f>
        <v>8.1930343143554792E-3</v>
      </c>
      <c r="L1432" s="246">
        <f>_xlfn.XLOOKUP(FME_Ranking1[[#This Row],[FME ID]],FME_Input[FME_ID],FME_Input[RES_STRUCT100])</f>
        <v>63</v>
      </c>
      <c r="M1432" s="230">
        <f>(FME_Ranking1[[#This Row],[Res Structures Raw]]/L$2)*100</f>
        <v>4.4623252255953309E-2</v>
      </c>
      <c r="N1432" s="180">
        <f>FME_Ranking1[[#This Row],[Res Structures Score (Normalized, Unweighted)]]*$L$3</f>
        <v>4.4623252255953311E-3</v>
      </c>
      <c r="O1432" s="244">
        <f>_xlfn.XLOOKUP(FME_Ranking1[[#This Row],[FME ID]],FME_Input[FME_ID],FME_Input[POP100])</f>
        <v>283</v>
      </c>
      <c r="P1432" s="178">
        <f>(FME_Ranking1[[#This Row],[Pop Raw]]/$O$2)*100</f>
        <v>2.8972213292820008E-2</v>
      </c>
      <c r="Q1432" s="178">
        <f>FME_Ranking1[[#This Row],[Pop Score (Normalized, Unweighted)]]*$O$3</f>
        <v>4.3458319939230008E-3</v>
      </c>
      <c r="R1432" s="137">
        <f>_xlfn.XLOOKUP(FME_Ranking1[[#This Row],[FME ID]],FME_Input[FME_ID],FME_Input[CRITFAC100])</f>
        <v>0</v>
      </c>
      <c r="S1432" s="230">
        <f>(FME_Ranking1[[#This Row],[Critical Facilities Raw]]/$R$2)*100</f>
        <v>0</v>
      </c>
      <c r="T1432" s="180">
        <f>FME_Ranking1[[#This Row],[Critical Facilities Score (Normalized, Unweighted)]]*$R$3</f>
        <v>0</v>
      </c>
      <c r="U1432">
        <f>_xlfn.XLOOKUP(FME_Ranking1[[#This Row],[FME ID]],FME_Input[FME_ID],FME_Input[LWC])</f>
        <v>1</v>
      </c>
      <c r="V1432" s="178">
        <f>(FME_Ranking1[[#This Row],[LWC Raw]]/$U$2)*100</f>
        <v>5.7570523891767422E-2</v>
      </c>
      <c r="W1432" s="178">
        <f>FME_Ranking1[[#This Row],[LWC Score (Normalized, Unweighted)]]*$U$3</f>
        <v>1.1514104778353485E-2</v>
      </c>
      <c r="X1432" s="246">
        <f>_xlfn.XLOOKUP(FME_Ranking1[[#This Row],[FME ID]],FME_Input[FME_ID],FME_Input[ROADCLS])</f>
        <v>1</v>
      </c>
      <c r="Y1432" s="230">
        <f>(FME_Ranking1[[#This Row],[Closures Raw]]/$X$2)*100</f>
        <v>1.0514141520344864E-2</v>
      </c>
      <c r="Z1432" s="180">
        <f>FME_Ranking1[[#This Row],[Closures Score (Normalized, Unweighted)]]*$X$3</f>
        <v>5.2570707601724321E-4</v>
      </c>
      <c r="AA1432" s="253">
        <f>_xlfn.XLOOKUP(FME_Ranking1[[#This Row],[FME ID]],FME_Input[FME_ID],FME_Input[ROAD_MILES100])</f>
        <v>5.9455585479736328</v>
      </c>
      <c r="AB1432" s="178">
        <f>(FME_Ranking1[[#This Row],[Miles Raw]]/$AA$2)*100</f>
        <v>7.8173431045971284E-2</v>
      </c>
      <c r="AC1432" s="178">
        <f>FME_Ranking1[[#This Row],[Miles Score (Normalized, Unweighted)]]*$AA$3</f>
        <v>7.8173431045971287E-3</v>
      </c>
      <c r="AD1432" s="255">
        <f>_xlfn.XLOOKUP(FME_Ranking1[[#This Row],[FME ID]],FME_Input[FME_ID],FME_Input[FARMACRE100])</f>
        <v>3.9540398120880131</v>
      </c>
      <c r="AE1432" s="230">
        <f>(FME_Ranking1[[#This Row],[Ag Land Raw]]/$AD$2)*100</f>
        <v>1.6304690157670264E-4</v>
      </c>
      <c r="AF1432" s="231">
        <f>FME_Ranking1[[#This Row],[Ag Land Score (Normalized, Unweighted)]]*$AD$3</f>
        <v>8.1523450788351331E-6</v>
      </c>
      <c r="AG143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3.6866498837920508E-2</v>
      </c>
      <c r="AH1432" s="406">
        <f t="shared" si="22"/>
        <v>1408</v>
      </c>
      <c r="AI143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3.6866498837920508E-2</v>
      </c>
      <c r="AJ1432" s="257">
        <f>FME_Ranking1[[#This Row],[Addition check]]-FME_Ranking1[[#This Row],[Weighted Score Based on Normalized Reported Factors]]</f>
        <v>0</v>
      </c>
      <c r="AK1432" s="178">
        <f>_xlfn.RANK.EQ(AI1432,$AI$6:$AI$2341,0)+COUNTIF($AI$6:AI1432,AI1432)-1</f>
        <v>1408</v>
      </c>
    </row>
    <row r="1433" spans="1:37" x14ac:dyDescent="0.25">
      <c r="A1433" t="s">
        <v>5129</v>
      </c>
      <c r="B1433">
        <f>_xlfn.XLOOKUP(FME_Ranking1[[#This Row],[FME ID]],FME_Input[FME_ID],FME_Input[RFPG_NUM])</f>
        <v>3</v>
      </c>
      <c r="C1433" t="str">
        <f>_xlfn.XLOOKUP(FME_Ranking1[[#This Row],[FME ID]],FME_Input[FME_ID],FME_Input[FME_NAME])</f>
        <v>Hogpen Creek and Detention Facilities H&amp;H Modeling Update</v>
      </c>
      <c r="D1433" t="str">
        <f>_xlfn.XLOOKUP(FME_Ranking1[[#This Row],[FME ID]],FME_Input[FME_ID],FME_Input[DESCR])</f>
        <v>Detailed headwaters study completed with detention. Needs a connectivity H&amp;H modeling with identified detention.</v>
      </c>
      <c r="E1433" s="256">
        <f>_xlfn.XLOOKUP(FME_Ranking1[[#This Row],[FME ID]],FME_Input[FME_ID],FME_Input[FME_COST])</f>
        <v>115000</v>
      </c>
      <c r="F1433" t="str">
        <f>_xlfn.XLOOKUP(FME_Ranking1[[#This Row],[FME ID]],FME_Input[FME_ID],FME_Input[EMER_NEED])</f>
        <v>No</v>
      </c>
      <c r="G1433">
        <f>IF(FME_Ranking!F1433="Yes",100,0)</f>
        <v>0</v>
      </c>
      <c r="H1433">
        <f>FME_Ranking1[[#This Row],[Emergency Need Score (Normalized, Unweighted)]]*$F$3</f>
        <v>0</v>
      </c>
      <c r="I1433" s="246">
        <f>_xlfn.XLOOKUP(FME_Ranking1[[#This Row],[FME ID]],FME_Input[FME_ID],FME_Input[STRUCT_100])</f>
        <v>43</v>
      </c>
      <c r="J1433" s="178">
        <f>(FME_Ranking1[[#This Row],[Structures 100 Raw]]/I$2)*100</f>
        <v>2.302617487041083E-2</v>
      </c>
      <c r="K1433" s="178">
        <f>FME_Ranking1[[#This Row],[Structures 100  Score (Normalized, Unweighted)]]*$I$3</f>
        <v>3.4539262305616244E-3</v>
      </c>
      <c r="L1433" s="246">
        <f>_xlfn.XLOOKUP(FME_Ranking1[[#This Row],[FME ID]],FME_Input[FME_ID],FME_Input[RES_STRUCT100])</f>
        <v>41</v>
      </c>
      <c r="M1433" s="230">
        <f>(FME_Ranking1[[#This Row],[Res Structures Raw]]/L$2)*100</f>
        <v>2.904052924593787E-2</v>
      </c>
      <c r="N1433" s="180">
        <f>FME_Ranking1[[#This Row],[Res Structures Score (Normalized, Unweighted)]]*$L$3</f>
        <v>2.9040529245937872E-3</v>
      </c>
      <c r="O1433" s="244">
        <f>_xlfn.XLOOKUP(FME_Ranking1[[#This Row],[FME ID]],FME_Input[FME_ID],FME_Input[POP100])</f>
        <v>143</v>
      </c>
      <c r="P1433" s="178">
        <f>(FME_Ranking1[[#This Row],[Pop Raw]]/$O$2)*100</f>
        <v>1.463966961439315E-2</v>
      </c>
      <c r="Q1433" s="178">
        <f>FME_Ranking1[[#This Row],[Pop Score (Normalized, Unweighted)]]*$O$3</f>
        <v>2.1959504421589725E-3</v>
      </c>
      <c r="R1433" s="137">
        <f>_xlfn.XLOOKUP(FME_Ranking1[[#This Row],[FME ID]],FME_Input[FME_ID],FME_Input[CRITFAC100])</f>
        <v>1</v>
      </c>
      <c r="S1433" s="230">
        <f>(FME_Ranking1[[#This Row],[Critical Facilities Raw]]/$R$2)*100</f>
        <v>4.2881646655231559E-2</v>
      </c>
      <c r="T1433" s="180">
        <f>FME_Ranking1[[#This Row],[Critical Facilities Score (Normalized, Unweighted)]]*$R$3</f>
        <v>8.5763293310463125E-3</v>
      </c>
      <c r="U1433">
        <f>_xlfn.XLOOKUP(FME_Ranking1[[#This Row],[FME ID]],FME_Input[FME_ID],FME_Input[LWC])</f>
        <v>1</v>
      </c>
      <c r="V1433" s="178">
        <f>(FME_Ranking1[[#This Row],[LWC Raw]]/$U$2)*100</f>
        <v>5.7570523891767422E-2</v>
      </c>
      <c r="W1433" s="178">
        <f>FME_Ranking1[[#This Row],[LWC Score (Normalized, Unweighted)]]*$U$3</f>
        <v>1.1514104778353485E-2</v>
      </c>
      <c r="X1433" s="246">
        <f>_xlfn.XLOOKUP(FME_Ranking1[[#This Row],[FME ID]],FME_Input[FME_ID],FME_Input[ROADCLS])</f>
        <v>0</v>
      </c>
      <c r="Y1433" s="230">
        <f>(FME_Ranking1[[#This Row],[Closures Raw]]/$X$2)*100</f>
        <v>0</v>
      </c>
      <c r="Z1433" s="180">
        <f>FME_Ranking1[[#This Row],[Closures Score (Normalized, Unweighted)]]*$X$3</f>
        <v>0</v>
      </c>
      <c r="AA1433" s="253">
        <f>_xlfn.XLOOKUP(FME_Ranking1[[#This Row],[FME ID]],FME_Input[FME_ID],FME_Input[ROAD_MILES100])</f>
        <v>1.454651951789856</v>
      </c>
      <c r="AB1433" s="178">
        <f>(FME_Ranking1[[#This Row],[Miles Raw]]/$AA$2)*100</f>
        <v>1.9126064125276888E-2</v>
      </c>
      <c r="AC1433" s="178">
        <f>FME_Ranking1[[#This Row],[Miles Score (Normalized, Unweighted)]]*$AA$3</f>
        <v>1.9126064125276889E-3</v>
      </c>
      <c r="AD1433" s="255">
        <f>_xlfn.XLOOKUP(FME_Ranking1[[#This Row],[FME ID]],FME_Input[FME_ID],FME_Input[FARMACRE100])</f>
        <v>34.117050170898438</v>
      </c>
      <c r="AE1433" s="230">
        <f>(FME_Ranking1[[#This Row],[Ag Land Raw]]/$AD$2)*100</f>
        <v>1.4068344239468885E-3</v>
      </c>
      <c r="AF1433" s="231">
        <f>FME_Ranking1[[#This Row],[Ag Land Score (Normalized, Unweighted)]]*$AD$3</f>
        <v>7.0341721197344421E-5</v>
      </c>
      <c r="AG143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3.0627311840439212E-2</v>
      </c>
      <c r="AH1433" s="406">
        <f t="shared" si="22"/>
        <v>1465</v>
      </c>
      <c r="AI143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3.0627311840439212E-2</v>
      </c>
      <c r="AJ1433" s="257">
        <f>FME_Ranking1[[#This Row],[Addition check]]-FME_Ranking1[[#This Row],[Weighted Score Based on Normalized Reported Factors]]</f>
        <v>0</v>
      </c>
      <c r="AK1433" s="178">
        <f>_xlfn.RANK.EQ(AI1433,$AI$6:$AI$2341,0)+COUNTIF($AI$6:AI1433,AI1433)-1</f>
        <v>1465</v>
      </c>
    </row>
    <row r="1434" spans="1:37" x14ac:dyDescent="0.25">
      <c r="A1434" t="s">
        <v>114</v>
      </c>
      <c r="B1434">
        <f>_xlfn.XLOOKUP(FME_Ranking1[[#This Row],[FME ID]],FME_Input[FME_ID],FME_Input[RFPG_NUM])</f>
        <v>10</v>
      </c>
      <c r="C1434" t="str">
        <f>_xlfn.XLOOKUP(FME_Ranking1[[#This Row],[FME ID]],FME_Input[FME_ID],FME_Input[FME_NAME])</f>
        <v>Old Sayers Rd &amp; Big Sandy Creek</v>
      </c>
      <c r="D1434" t="str">
        <f>_xlfn.XLOOKUP(FME_Ranking1[[#This Row],[FME ID]],FME_Input[FME_ID],FME_Input[DESCR])</f>
        <v>LWC to Culvert Cast-in-place multi-box (2) culvert-bridge</v>
      </c>
      <c r="E1434" s="256">
        <f>_xlfn.XLOOKUP(FME_Ranking1[[#This Row],[FME ID]],FME_Input[FME_ID],FME_Input[FME_COST])</f>
        <v>100000</v>
      </c>
      <c r="F1434" t="str">
        <f>_xlfn.XLOOKUP(FME_Ranking1[[#This Row],[FME ID]],FME_Input[FME_ID],FME_Input[EMER_NEED])</f>
        <v>No</v>
      </c>
      <c r="G1434">
        <f>IF(FME_Ranking!F1434="Yes",100,0)</f>
        <v>0</v>
      </c>
      <c r="H1434">
        <f>FME_Ranking1[[#This Row],[Emergency Need Score (Normalized, Unweighted)]]*$F$3</f>
        <v>0</v>
      </c>
      <c r="I1434" s="246">
        <f>_xlfn.XLOOKUP(FME_Ranking1[[#This Row],[FME ID]],FME_Input[FME_ID],FME_Input[STRUCT_100])</f>
        <v>90</v>
      </c>
      <c r="J1434" s="178">
        <f>(FME_Ranking1[[#This Row],[Structures 100 Raw]]/I$2)*100</f>
        <v>4.8194319496208712E-2</v>
      </c>
      <c r="K1434" s="178">
        <f>FME_Ranking1[[#This Row],[Structures 100  Score (Normalized, Unweighted)]]*$I$3</f>
        <v>7.2291479244313067E-3</v>
      </c>
      <c r="L1434" s="246">
        <f>_xlfn.XLOOKUP(FME_Ranking1[[#This Row],[FME ID]],FME_Input[FME_ID],FME_Input[RES_STRUCT100])</f>
        <v>72</v>
      </c>
      <c r="M1434" s="230">
        <f>(FME_Ranking1[[#This Row],[Res Structures Raw]]/L$2)*100</f>
        <v>5.0998002578232352E-2</v>
      </c>
      <c r="N1434" s="180">
        <f>FME_Ranking1[[#This Row],[Res Structures Score (Normalized, Unweighted)]]*$L$3</f>
        <v>5.0998002578232357E-3</v>
      </c>
      <c r="O1434" s="244">
        <f>_xlfn.XLOOKUP(FME_Ranking1[[#This Row],[FME ID]],FME_Input[FME_ID],FME_Input[POP100])</f>
        <v>191</v>
      </c>
      <c r="P1434" s="178">
        <f>(FME_Ranking1[[#This Row],[Pop Raw]]/$O$2)*100</f>
        <v>1.9553684589853789E-2</v>
      </c>
      <c r="Q1434" s="178">
        <f>FME_Ranking1[[#This Row],[Pop Score (Normalized, Unweighted)]]*$O$3</f>
        <v>2.9330526884780682E-3</v>
      </c>
      <c r="R1434" s="137">
        <f>_xlfn.XLOOKUP(FME_Ranking1[[#This Row],[FME ID]],FME_Input[FME_ID],FME_Input[CRITFAC100])</f>
        <v>0</v>
      </c>
      <c r="S1434" s="230">
        <f>(FME_Ranking1[[#This Row],[Critical Facilities Raw]]/$R$2)*100</f>
        <v>0</v>
      </c>
      <c r="T1434" s="180">
        <f>FME_Ranking1[[#This Row],[Critical Facilities Score (Normalized, Unweighted)]]*$R$3</f>
        <v>0</v>
      </c>
      <c r="U1434">
        <f>_xlfn.XLOOKUP(FME_Ranking1[[#This Row],[FME ID]],FME_Input[FME_ID],FME_Input[LWC])</f>
        <v>1</v>
      </c>
      <c r="V1434" s="178">
        <f>(FME_Ranking1[[#This Row],[LWC Raw]]/$U$2)*100</f>
        <v>5.7570523891767422E-2</v>
      </c>
      <c r="W1434" s="178">
        <f>FME_Ranking1[[#This Row],[LWC Score (Normalized, Unweighted)]]*$U$3</f>
        <v>1.1514104778353485E-2</v>
      </c>
      <c r="X1434" s="246">
        <f>_xlfn.XLOOKUP(FME_Ranking1[[#This Row],[FME ID]],FME_Input[FME_ID],FME_Input[ROADCLS])</f>
        <v>0</v>
      </c>
      <c r="Y1434" s="230">
        <f>(FME_Ranking1[[#This Row],[Closures Raw]]/$X$2)*100</f>
        <v>0</v>
      </c>
      <c r="Z1434" s="180">
        <f>FME_Ranking1[[#This Row],[Closures Score (Normalized, Unweighted)]]*$X$3</f>
        <v>0</v>
      </c>
      <c r="AA1434" s="253">
        <f>_xlfn.XLOOKUP(FME_Ranking1[[#This Row],[FME ID]],FME_Input[FME_ID],FME_Input[ROAD_MILES100])</f>
        <v>2.3206315040588379</v>
      </c>
      <c r="AB1434" s="178">
        <f>(FME_Ranking1[[#This Row],[Miles Raw]]/$AA$2)*100</f>
        <v>3.0512142030370046E-2</v>
      </c>
      <c r="AC1434" s="178">
        <f>FME_Ranking1[[#This Row],[Miles Score (Normalized, Unweighted)]]*$AA$3</f>
        <v>3.0512142030370048E-3</v>
      </c>
      <c r="AD1434" s="255">
        <f>_xlfn.XLOOKUP(FME_Ranking1[[#This Row],[FME ID]],FME_Input[FME_ID],FME_Input[FARMACRE100])</f>
        <v>894.32330322265625</v>
      </c>
      <c r="AE1434" s="230">
        <f>(FME_Ranking1[[#This Row],[Ag Land Raw]]/$AD$2)*100</f>
        <v>3.6877889583335911E-2</v>
      </c>
      <c r="AF1434" s="231">
        <f>FME_Ranking1[[#This Row],[Ag Land Score (Normalized, Unweighted)]]*$AD$3</f>
        <v>1.8438944791667957E-3</v>
      </c>
      <c r="AG143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3.1671214331289894E-2</v>
      </c>
      <c r="AH1434" s="406">
        <f t="shared" si="22"/>
        <v>1456</v>
      </c>
      <c r="AI143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3.1671214331289894E-2</v>
      </c>
      <c r="AJ1434" s="257">
        <f>FME_Ranking1[[#This Row],[Addition check]]-FME_Ranking1[[#This Row],[Weighted Score Based on Normalized Reported Factors]]</f>
        <v>0</v>
      </c>
      <c r="AK1434" s="178">
        <f>_xlfn.RANK.EQ(AI1434,$AI$6:$AI$2341,0)+COUNTIF($AI$6:AI1434,AI1434)-1</f>
        <v>1456</v>
      </c>
    </row>
    <row r="1435" spans="1:37" x14ac:dyDescent="0.25">
      <c r="A1435" t="s">
        <v>4147</v>
      </c>
      <c r="B1435">
        <f>_xlfn.XLOOKUP(FME_Ranking1[[#This Row],[FME ID]],FME_Input[FME_ID],FME_Input[RFPG_NUM])</f>
        <v>3</v>
      </c>
      <c r="C1435" t="str">
        <f>_xlfn.XLOOKUP(FME_Ranking1[[#This Row],[FME ID]],FME_Input[FME_ID],FME_Input[FME_NAME])</f>
        <v>City of Madisonville DMP</v>
      </c>
      <c r="D1435" t="str">
        <f>_xlfn.XLOOKUP(FME_Ranking1[[#This Row],[FME ID]],FME_Input[FME_ID],FME_Input[DESCR])</f>
        <v>Evaluate City and identify future projects.</v>
      </c>
      <c r="E1435" s="256">
        <f>_xlfn.XLOOKUP(FME_Ranking1[[#This Row],[FME ID]],FME_Input[FME_ID],FME_Input[FME_COST])</f>
        <v>250000</v>
      </c>
      <c r="F1435" t="str">
        <f>_xlfn.XLOOKUP(FME_Ranking1[[#This Row],[FME ID]],FME_Input[FME_ID],FME_Input[EMER_NEED])</f>
        <v>No</v>
      </c>
      <c r="G1435">
        <f>IF(FME_Ranking!F1435="Yes",100,0)</f>
        <v>0</v>
      </c>
      <c r="H1435">
        <f>FME_Ranking1[[#This Row],[Emergency Need Score (Normalized, Unweighted)]]*$F$3</f>
        <v>0</v>
      </c>
      <c r="I1435" s="246">
        <f>_xlfn.XLOOKUP(FME_Ranking1[[#This Row],[FME ID]],FME_Input[FME_ID],FME_Input[STRUCT_100])</f>
        <v>14</v>
      </c>
      <c r="J1435" s="178">
        <f>(FME_Ranking1[[#This Row],[Structures 100 Raw]]/I$2)*100</f>
        <v>7.4968941438546891E-3</v>
      </c>
      <c r="K1435" s="178">
        <f>FME_Ranking1[[#This Row],[Structures 100  Score (Normalized, Unweighted)]]*$I$3</f>
        <v>1.1245341215782034E-3</v>
      </c>
      <c r="L1435" s="246">
        <f>_xlfn.XLOOKUP(FME_Ranking1[[#This Row],[FME ID]],FME_Input[FME_ID],FME_Input[RES_STRUCT100])</f>
        <v>13</v>
      </c>
      <c r="M1435" s="230">
        <f>(FME_Ranking1[[#This Row],[Res Structures Raw]]/L$2)*100</f>
        <v>9.2079726877363974E-3</v>
      </c>
      <c r="N1435" s="180">
        <f>FME_Ranking1[[#This Row],[Res Structures Score (Normalized, Unweighted)]]*$L$3</f>
        <v>9.2079726877363974E-4</v>
      </c>
      <c r="O1435" s="244">
        <f>_xlfn.XLOOKUP(FME_Ranking1[[#This Row],[FME ID]],FME_Input[FME_ID],FME_Input[POP100])</f>
        <v>24</v>
      </c>
      <c r="P1435" s="178">
        <f>(FME_Ranking1[[#This Row],[Pop Raw]]/$O$2)*100</f>
        <v>2.457007487730319E-3</v>
      </c>
      <c r="Q1435" s="178">
        <f>FME_Ranking1[[#This Row],[Pop Score (Normalized, Unweighted)]]*$O$3</f>
        <v>3.6855112315954783E-4</v>
      </c>
      <c r="R1435" s="137">
        <f>_xlfn.XLOOKUP(FME_Ranking1[[#This Row],[FME ID]],FME_Input[FME_ID],FME_Input[CRITFAC100])</f>
        <v>3</v>
      </c>
      <c r="S1435" s="230">
        <f>(FME_Ranking1[[#This Row],[Critical Facilities Raw]]/$R$2)*100</f>
        <v>0.1286449399656947</v>
      </c>
      <c r="T1435" s="180">
        <f>FME_Ranking1[[#This Row],[Critical Facilities Score (Normalized, Unweighted)]]*$R$3</f>
        <v>2.5728987993138941E-2</v>
      </c>
      <c r="U1435">
        <f>_xlfn.XLOOKUP(FME_Ranking1[[#This Row],[FME ID]],FME_Input[FME_ID],FME_Input[LWC])</f>
        <v>0</v>
      </c>
      <c r="V1435" s="178">
        <f>(FME_Ranking1[[#This Row],[LWC Raw]]/$U$2)*100</f>
        <v>0</v>
      </c>
      <c r="W1435" s="178">
        <f>FME_Ranking1[[#This Row],[LWC Score (Normalized, Unweighted)]]*$U$3</f>
        <v>0</v>
      </c>
      <c r="X1435" s="246">
        <f>_xlfn.XLOOKUP(FME_Ranking1[[#This Row],[FME ID]],FME_Input[FME_ID],FME_Input[ROADCLS])</f>
        <v>0</v>
      </c>
      <c r="Y1435" s="230">
        <f>(FME_Ranking1[[#This Row],[Closures Raw]]/$X$2)*100</f>
        <v>0</v>
      </c>
      <c r="Z1435" s="180">
        <f>FME_Ranking1[[#This Row],[Closures Score (Normalized, Unweighted)]]*$X$3</f>
        <v>0</v>
      </c>
      <c r="AA1435" s="253">
        <f>_xlfn.XLOOKUP(FME_Ranking1[[#This Row],[FME ID]],FME_Input[FME_ID],FME_Input[ROAD_MILES100])</f>
        <v>1.890732049942017</v>
      </c>
      <c r="AB1435" s="178">
        <f>(FME_Ranking1[[#This Row],[Miles Raw]]/$AA$2)*100</f>
        <v>2.4859735269603077E-2</v>
      </c>
      <c r="AC1435" s="178">
        <f>FME_Ranking1[[#This Row],[Miles Score (Normalized, Unweighted)]]*$AA$3</f>
        <v>2.4859735269603077E-3</v>
      </c>
      <c r="AD1435" s="255">
        <f>_xlfn.XLOOKUP(FME_Ranking1[[#This Row],[FME ID]],FME_Input[FME_ID],FME_Input[FARMACRE100])</f>
        <v>108.0582962036133</v>
      </c>
      <c r="AE1435" s="230">
        <f>(FME_Ranking1[[#This Row],[Ag Land Raw]]/$AD$2)*100</f>
        <v>4.4558404120753816E-3</v>
      </c>
      <c r="AF1435" s="231">
        <f>FME_Ranking1[[#This Row],[Ag Land Score (Normalized, Unweighted)]]*$AD$3</f>
        <v>2.227920206037691E-4</v>
      </c>
      <c r="AG143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3.0851636054214409E-2</v>
      </c>
      <c r="AH1435" s="406">
        <f t="shared" si="22"/>
        <v>1462</v>
      </c>
      <c r="AI143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3.0851636054214409E-2</v>
      </c>
      <c r="AJ1435" s="257">
        <f>FME_Ranking1[[#This Row],[Addition check]]-FME_Ranking1[[#This Row],[Weighted Score Based on Normalized Reported Factors]]</f>
        <v>0</v>
      </c>
      <c r="AK1435" s="178">
        <f>_xlfn.RANK.EQ(AI1435,$AI$6:$AI$2341,0)+COUNTIF($AI$6:AI1435,AI1435)-1</f>
        <v>1462</v>
      </c>
    </row>
    <row r="1436" spans="1:37" x14ac:dyDescent="0.25">
      <c r="A1436" t="s">
        <v>5285</v>
      </c>
      <c r="B1436">
        <f>_xlfn.XLOOKUP(FME_Ranking1[[#This Row],[FME ID]],FME_Input[FME_ID],FME_Input[RFPG_NUM])</f>
        <v>3</v>
      </c>
      <c r="C1436" t="str">
        <f>_xlfn.XLOOKUP(FME_Ranking1[[#This Row],[FME ID]],FME_Input[FME_ID],FME_Input[FME_NAME])</f>
        <v>Mill Branch at Houston School Road</v>
      </c>
      <c r="D1436" t="str">
        <f>_xlfn.XLOOKUP(FME_Ranking1[[#This Row],[FME ID]],FME_Input[FME_ID],FME_Input[DESCR])</f>
        <v>Evaluate bridge improvements for Houston School Road over Mill Branch</v>
      </c>
      <c r="E1436" s="256">
        <f>_xlfn.XLOOKUP(FME_Ranking1[[#This Row],[FME ID]],FME_Input[FME_ID],FME_Input[FME_COST])</f>
        <v>250000</v>
      </c>
      <c r="F1436" t="str">
        <f>_xlfn.XLOOKUP(FME_Ranking1[[#This Row],[FME ID]],FME_Input[FME_ID],FME_Input[EMER_NEED])</f>
        <v>No</v>
      </c>
      <c r="G1436">
        <f>IF(FME_Ranking!F1436="Yes",100,0)</f>
        <v>0</v>
      </c>
      <c r="H1436">
        <f>FME_Ranking1[[#This Row],[Emergency Need Score (Normalized, Unweighted)]]*$F$3</f>
        <v>0</v>
      </c>
      <c r="I1436" s="246">
        <f>_xlfn.XLOOKUP(FME_Ranking1[[#This Row],[FME ID]],FME_Input[FME_ID],FME_Input[STRUCT_100])</f>
        <v>54</v>
      </c>
      <c r="J1436" s="178">
        <f>(FME_Ranking1[[#This Row],[Structures 100 Raw]]/I$2)*100</f>
        <v>2.891659169772523E-2</v>
      </c>
      <c r="K1436" s="178">
        <f>FME_Ranking1[[#This Row],[Structures 100  Score (Normalized, Unweighted)]]*$I$3</f>
        <v>4.3374887546587847E-3</v>
      </c>
      <c r="L1436" s="246">
        <f>_xlfn.XLOOKUP(FME_Ranking1[[#This Row],[FME ID]],FME_Input[FME_ID],FME_Input[RES_STRUCT100])</f>
        <v>50</v>
      </c>
      <c r="M1436" s="230">
        <f>(FME_Ranking1[[#This Row],[Res Structures Raw]]/L$2)*100</f>
        <v>3.5415279568216912E-2</v>
      </c>
      <c r="N1436" s="180">
        <f>FME_Ranking1[[#This Row],[Res Structures Score (Normalized, Unweighted)]]*$L$3</f>
        <v>3.5415279568216914E-3</v>
      </c>
      <c r="O1436" s="244">
        <f>_xlfn.XLOOKUP(FME_Ranking1[[#This Row],[FME ID]],FME_Input[FME_ID],FME_Input[POP100])</f>
        <v>580</v>
      </c>
      <c r="P1436" s="178">
        <f>(FME_Ranking1[[#This Row],[Pop Raw]]/$O$2)*100</f>
        <v>5.9377680953482705E-2</v>
      </c>
      <c r="Q1436" s="178">
        <f>FME_Ranking1[[#This Row],[Pop Score (Normalized, Unweighted)]]*$O$3</f>
        <v>8.9066521430224057E-3</v>
      </c>
      <c r="R1436" s="137">
        <f>_xlfn.XLOOKUP(FME_Ranking1[[#This Row],[FME ID]],FME_Input[FME_ID],FME_Input[CRITFAC100])</f>
        <v>0</v>
      </c>
      <c r="S1436" s="230">
        <f>(FME_Ranking1[[#This Row],[Critical Facilities Raw]]/$R$2)*100</f>
        <v>0</v>
      </c>
      <c r="T1436" s="180">
        <f>FME_Ranking1[[#This Row],[Critical Facilities Score (Normalized, Unweighted)]]*$R$3</f>
        <v>0</v>
      </c>
      <c r="U1436">
        <f>_xlfn.XLOOKUP(FME_Ranking1[[#This Row],[FME ID]],FME_Input[FME_ID],FME_Input[LWC])</f>
        <v>1</v>
      </c>
      <c r="V1436" s="178">
        <f>(FME_Ranking1[[#This Row],[LWC Raw]]/$U$2)*100</f>
        <v>5.7570523891767422E-2</v>
      </c>
      <c r="W1436" s="178">
        <f>FME_Ranking1[[#This Row],[LWC Score (Normalized, Unweighted)]]*$U$3</f>
        <v>1.1514104778353485E-2</v>
      </c>
      <c r="X1436" s="246">
        <f>_xlfn.XLOOKUP(FME_Ranking1[[#This Row],[FME ID]],FME_Input[FME_ID],FME_Input[ROADCLS])</f>
        <v>0</v>
      </c>
      <c r="Y1436" s="230">
        <f>(FME_Ranking1[[#This Row],[Closures Raw]]/$X$2)*100</f>
        <v>0</v>
      </c>
      <c r="Z1436" s="180">
        <f>FME_Ranking1[[#This Row],[Closures Score (Normalized, Unweighted)]]*$X$3</f>
        <v>0</v>
      </c>
      <c r="AA1436" s="253">
        <f>_xlfn.XLOOKUP(FME_Ranking1[[#This Row],[FME ID]],FME_Input[FME_ID],FME_Input[ROAD_MILES100])</f>
        <v>2.141130924224854</v>
      </c>
      <c r="AB1436" s="178">
        <f>(FME_Ranking1[[#This Row],[Miles Raw]]/$AA$2)*100</f>
        <v>2.8152031354957346E-2</v>
      </c>
      <c r="AC1436" s="178">
        <f>FME_Ranking1[[#This Row],[Miles Score (Normalized, Unweighted)]]*$AA$3</f>
        <v>2.8152031354957349E-3</v>
      </c>
      <c r="AD1436" s="255">
        <f>_xlfn.XLOOKUP(FME_Ranking1[[#This Row],[FME ID]],FME_Input[FME_ID],FME_Input[FARMACRE100])</f>
        <v>10.680290222167971</v>
      </c>
      <c r="AE1436" s="230">
        <f>(FME_Ranking1[[#This Row],[Ag Land Raw]]/$AD$2)*100</f>
        <v>4.4040735840362327E-4</v>
      </c>
      <c r="AF1436" s="231">
        <f>FME_Ranking1[[#This Row],[Ag Land Score (Normalized, Unweighted)]]*$AD$3</f>
        <v>2.2020367920181164E-5</v>
      </c>
      <c r="AG143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3.1136997136272281E-2</v>
      </c>
      <c r="AH1436" s="406">
        <f t="shared" si="22"/>
        <v>1459</v>
      </c>
      <c r="AI143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3.1136997136272281E-2</v>
      </c>
      <c r="AJ1436" s="257">
        <f>FME_Ranking1[[#This Row],[Addition check]]-FME_Ranking1[[#This Row],[Weighted Score Based on Normalized Reported Factors]]</f>
        <v>0</v>
      </c>
      <c r="AK1436" s="178">
        <f>_xlfn.RANK.EQ(AI1436,$AI$6:$AI$2341,0)+COUNTIF($AI$6:AI1436,AI1436)-1</f>
        <v>1459</v>
      </c>
    </row>
    <row r="1437" spans="1:37" x14ac:dyDescent="0.25">
      <c r="A1437" t="s">
        <v>5290</v>
      </c>
      <c r="B1437">
        <f>_xlfn.XLOOKUP(FME_Ranking1[[#This Row],[FME ID]],FME_Input[FME_ID],FME_Input[RFPG_NUM])</f>
        <v>3</v>
      </c>
      <c r="C1437" t="str">
        <f>_xlfn.XLOOKUP(FME_Ranking1[[#This Row],[FME ID]],FME_Input[FME_ID],FME_Input[FME_NAME])</f>
        <v>Mill Branch at Wintergreen Road</v>
      </c>
      <c r="D1437" t="str">
        <f>_xlfn.XLOOKUP(FME_Ranking1[[#This Row],[FME ID]],FME_Input[FME_ID],FME_Input[DESCR])</f>
        <v>Evaluate bridge improvements for Wintergreen Road over Mill Branch</v>
      </c>
      <c r="E1437" s="256">
        <f>_xlfn.XLOOKUP(FME_Ranking1[[#This Row],[FME ID]],FME_Input[FME_ID],FME_Input[FME_COST])</f>
        <v>250000</v>
      </c>
      <c r="F1437" t="str">
        <f>_xlfn.XLOOKUP(FME_Ranking1[[#This Row],[FME ID]],FME_Input[FME_ID],FME_Input[EMER_NEED])</f>
        <v>No</v>
      </c>
      <c r="G1437">
        <f>IF(FME_Ranking!F1437="Yes",100,0)</f>
        <v>0</v>
      </c>
      <c r="H1437">
        <f>FME_Ranking1[[#This Row],[Emergency Need Score (Normalized, Unweighted)]]*$F$3</f>
        <v>0</v>
      </c>
      <c r="I1437" s="246">
        <f>_xlfn.XLOOKUP(FME_Ranking1[[#This Row],[FME ID]],FME_Input[FME_ID],FME_Input[STRUCT_100])</f>
        <v>54</v>
      </c>
      <c r="J1437" s="178">
        <f>(FME_Ranking1[[#This Row],[Structures 100 Raw]]/I$2)*100</f>
        <v>2.891659169772523E-2</v>
      </c>
      <c r="K1437" s="178">
        <f>FME_Ranking1[[#This Row],[Structures 100  Score (Normalized, Unweighted)]]*$I$3</f>
        <v>4.3374887546587847E-3</v>
      </c>
      <c r="L1437" s="246">
        <f>_xlfn.XLOOKUP(FME_Ranking1[[#This Row],[FME ID]],FME_Input[FME_ID],FME_Input[RES_STRUCT100])</f>
        <v>50</v>
      </c>
      <c r="M1437" s="230">
        <f>(FME_Ranking1[[#This Row],[Res Structures Raw]]/L$2)*100</f>
        <v>3.5415279568216912E-2</v>
      </c>
      <c r="N1437" s="180">
        <f>FME_Ranking1[[#This Row],[Res Structures Score (Normalized, Unweighted)]]*$L$3</f>
        <v>3.5415279568216914E-3</v>
      </c>
      <c r="O1437" s="244">
        <f>_xlfn.XLOOKUP(FME_Ranking1[[#This Row],[FME ID]],FME_Input[FME_ID],FME_Input[POP100])</f>
        <v>580</v>
      </c>
      <c r="P1437" s="178">
        <f>(FME_Ranking1[[#This Row],[Pop Raw]]/$O$2)*100</f>
        <v>5.9377680953482705E-2</v>
      </c>
      <c r="Q1437" s="178">
        <f>FME_Ranking1[[#This Row],[Pop Score (Normalized, Unweighted)]]*$O$3</f>
        <v>8.9066521430224057E-3</v>
      </c>
      <c r="R1437" s="137">
        <f>_xlfn.XLOOKUP(FME_Ranking1[[#This Row],[FME ID]],FME_Input[FME_ID],FME_Input[CRITFAC100])</f>
        <v>0</v>
      </c>
      <c r="S1437" s="230">
        <f>(FME_Ranking1[[#This Row],[Critical Facilities Raw]]/$R$2)*100</f>
        <v>0</v>
      </c>
      <c r="T1437" s="180">
        <f>FME_Ranking1[[#This Row],[Critical Facilities Score (Normalized, Unweighted)]]*$R$3</f>
        <v>0</v>
      </c>
      <c r="U1437">
        <f>_xlfn.XLOOKUP(FME_Ranking1[[#This Row],[FME ID]],FME_Input[FME_ID],FME_Input[LWC])</f>
        <v>1</v>
      </c>
      <c r="V1437" s="178">
        <f>(FME_Ranking1[[#This Row],[LWC Raw]]/$U$2)*100</f>
        <v>5.7570523891767422E-2</v>
      </c>
      <c r="W1437" s="178">
        <f>FME_Ranking1[[#This Row],[LWC Score (Normalized, Unweighted)]]*$U$3</f>
        <v>1.1514104778353485E-2</v>
      </c>
      <c r="X1437" s="246">
        <f>_xlfn.XLOOKUP(FME_Ranking1[[#This Row],[FME ID]],FME_Input[FME_ID],FME_Input[ROADCLS])</f>
        <v>0</v>
      </c>
      <c r="Y1437" s="230">
        <f>(FME_Ranking1[[#This Row],[Closures Raw]]/$X$2)*100</f>
        <v>0</v>
      </c>
      <c r="Z1437" s="180">
        <f>FME_Ranking1[[#This Row],[Closures Score (Normalized, Unweighted)]]*$X$3</f>
        <v>0</v>
      </c>
      <c r="AA1437" s="253">
        <f>_xlfn.XLOOKUP(FME_Ranking1[[#This Row],[FME ID]],FME_Input[FME_ID],FME_Input[ROAD_MILES100])</f>
        <v>2.141130924224854</v>
      </c>
      <c r="AB1437" s="178">
        <f>(FME_Ranking1[[#This Row],[Miles Raw]]/$AA$2)*100</f>
        <v>2.8152031354957346E-2</v>
      </c>
      <c r="AC1437" s="178">
        <f>FME_Ranking1[[#This Row],[Miles Score (Normalized, Unweighted)]]*$AA$3</f>
        <v>2.8152031354957349E-3</v>
      </c>
      <c r="AD1437" s="255">
        <f>_xlfn.XLOOKUP(FME_Ranking1[[#This Row],[FME ID]],FME_Input[FME_ID],FME_Input[FARMACRE100])</f>
        <v>10.680290222167971</v>
      </c>
      <c r="AE1437" s="230">
        <f>(FME_Ranking1[[#This Row],[Ag Land Raw]]/$AD$2)*100</f>
        <v>4.4040735840362327E-4</v>
      </c>
      <c r="AF1437" s="231">
        <f>FME_Ranking1[[#This Row],[Ag Land Score (Normalized, Unweighted)]]*$AD$3</f>
        <v>2.2020367920181164E-5</v>
      </c>
      <c r="AG143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3.1136997136272281E-2</v>
      </c>
      <c r="AH1437" s="406">
        <f t="shared" si="22"/>
        <v>1459</v>
      </c>
      <c r="AI143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3.1136997136272281E-2</v>
      </c>
      <c r="AJ1437" s="257">
        <f>FME_Ranking1[[#This Row],[Addition check]]-FME_Ranking1[[#This Row],[Weighted Score Based on Normalized Reported Factors]]</f>
        <v>0</v>
      </c>
      <c r="AK1437" s="178">
        <f>_xlfn.RANK.EQ(AI1437,$AI$6:$AI$2341,0)+COUNTIF($AI$6:AI1437,AI1437)-1</f>
        <v>1460</v>
      </c>
    </row>
    <row r="1438" spans="1:37" x14ac:dyDescent="0.25">
      <c r="A1438" t="s">
        <v>7796</v>
      </c>
      <c r="B1438">
        <f>_xlfn.XLOOKUP(FME_Ranking1[[#This Row],[FME ID]],FME_Input[FME_ID],FME_Input[RFPG_NUM])</f>
        <v>8</v>
      </c>
      <c r="C1438" t="str">
        <f>_xlfn.XLOOKUP(FME_Ranking1[[#This Row],[FME ID]],FME_Input[FME_ID],FME_Input[FME_NAME])</f>
        <v>Taylor / Elm Storm Infrastructure &amp; Outfall</v>
      </c>
      <c r="D1438" t="str">
        <f>_xlfn.XLOOKUP(FME_Ranking1[[#This Row],[FME ID]],FME_Input[FME_ID],FME_Input[DESCR])</f>
        <v xml:space="preserve">Extension of current storm infrastructure in the area to improve drainage. Potential levee along MLK Boulevard to direct flow and prohibit road overtopping. </v>
      </c>
      <c r="E1438" s="256">
        <f>_xlfn.XLOOKUP(FME_Ranking1[[#This Row],[FME ID]],FME_Input[FME_ID],FME_Input[FME_COST])</f>
        <v>917000</v>
      </c>
      <c r="F1438" t="str">
        <f>_xlfn.XLOOKUP(FME_Ranking1[[#This Row],[FME ID]],FME_Input[FME_ID],FME_Input[EMER_NEED])</f>
        <v>No</v>
      </c>
      <c r="G1438">
        <f>IF(FME_Ranking!F1438="Yes",100,0)</f>
        <v>0</v>
      </c>
      <c r="H1438">
        <f>FME_Ranking1[[#This Row],[Emergency Need Score (Normalized, Unweighted)]]*$F$3</f>
        <v>0</v>
      </c>
      <c r="I1438" s="246">
        <f>_xlfn.XLOOKUP(FME_Ranking1[[#This Row],[FME ID]],FME_Input[FME_ID],FME_Input[STRUCT_100])</f>
        <v>69</v>
      </c>
      <c r="J1438" s="178">
        <f>(FME_Ranking1[[#This Row],[Structures 100 Raw]]/I$2)*100</f>
        <v>3.6948978280426682E-2</v>
      </c>
      <c r="K1438" s="178">
        <f>FME_Ranking1[[#This Row],[Structures 100  Score (Normalized, Unweighted)]]*$I$3</f>
        <v>5.5423467420640023E-3</v>
      </c>
      <c r="L1438" s="246">
        <f>_xlfn.XLOOKUP(FME_Ranking1[[#This Row],[FME ID]],FME_Input[FME_ID],FME_Input[RES_STRUCT100])</f>
        <v>47</v>
      </c>
      <c r="M1438" s="230">
        <f>(FME_Ranking1[[#This Row],[Res Structures Raw]]/L$2)*100</f>
        <v>3.3290362794123896E-2</v>
      </c>
      <c r="N1438" s="180">
        <f>FME_Ranking1[[#This Row],[Res Structures Score (Normalized, Unweighted)]]*$L$3</f>
        <v>3.3290362794123896E-3</v>
      </c>
      <c r="O1438" s="244">
        <f>_xlfn.XLOOKUP(FME_Ranking1[[#This Row],[FME ID]],FME_Input[FME_ID],FME_Input[POP100])</f>
        <v>705</v>
      </c>
      <c r="P1438" s="178">
        <f>(FME_Ranking1[[#This Row],[Pop Raw]]/$O$2)*100</f>
        <v>7.2174594952078119E-2</v>
      </c>
      <c r="Q1438" s="178">
        <f>FME_Ranking1[[#This Row],[Pop Score (Normalized, Unweighted)]]*$O$3</f>
        <v>1.0826189242811717E-2</v>
      </c>
      <c r="R1438" s="137">
        <f>_xlfn.XLOOKUP(FME_Ranking1[[#This Row],[FME ID]],FME_Input[FME_ID],FME_Input[CRITFAC100])</f>
        <v>1</v>
      </c>
      <c r="S1438" s="230">
        <f>(FME_Ranking1[[#This Row],[Critical Facilities Raw]]/$R$2)*100</f>
        <v>4.2881646655231559E-2</v>
      </c>
      <c r="T1438" s="180">
        <f>FME_Ranking1[[#This Row],[Critical Facilities Score (Normalized, Unweighted)]]*$R$3</f>
        <v>8.5763293310463125E-3</v>
      </c>
      <c r="U1438">
        <f>_xlfn.XLOOKUP(FME_Ranking1[[#This Row],[FME ID]],FME_Input[FME_ID],FME_Input[LWC])</f>
        <v>0</v>
      </c>
      <c r="V1438" s="178">
        <f>(FME_Ranking1[[#This Row],[LWC Raw]]/$U$2)*100</f>
        <v>0</v>
      </c>
      <c r="W1438" s="178">
        <f>FME_Ranking1[[#This Row],[LWC Score (Normalized, Unweighted)]]*$U$3</f>
        <v>0</v>
      </c>
      <c r="X1438" s="246">
        <f>_xlfn.XLOOKUP(FME_Ranking1[[#This Row],[FME ID]],FME_Input[FME_ID],FME_Input[ROADCLS])</f>
        <v>0</v>
      </c>
      <c r="Y1438" s="230">
        <f>(FME_Ranking1[[#This Row],[Closures Raw]]/$X$2)*100</f>
        <v>0</v>
      </c>
      <c r="Z1438" s="180">
        <f>FME_Ranking1[[#This Row],[Closures Score (Normalized, Unweighted)]]*$X$3</f>
        <v>0</v>
      </c>
      <c r="AA1438" s="253">
        <f>_xlfn.XLOOKUP(FME_Ranking1[[#This Row],[FME ID]],FME_Input[FME_ID],FME_Input[ROAD_MILES100])</f>
        <v>6.5988001823425293</v>
      </c>
      <c r="AB1438" s="178">
        <f>(FME_Ranking1[[#This Row],[Miles Raw]]/$AA$2)*100</f>
        <v>8.6762386894046958E-2</v>
      </c>
      <c r="AC1438" s="178">
        <f>FME_Ranking1[[#This Row],[Miles Score (Normalized, Unweighted)]]*$AA$3</f>
        <v>8.6762386894046958E-3</v>
      </c>
      <c r="AD1438" s="255">
        <f>_xlfn.XLOOKUP(FME_Ranking1[[#This Row],[FME ID]],FME_Input[FME_ID],FME_Input[FARMACRE100])</f>
        <v>14.69579982757568</v>
      </c>
      <c r="AE1438" s="230">
        <f>(FME_Ranking1[[#This Row],[Ag Land Raw]]/$AD$2)*100</f>
        <v>6.059889990870735E-4</v>
      </c>
      <c r="AF1438" s="231">
        <f>FME_Ranking1[[#This Row],[Ag Land Score (Normalized, Unweighted)]]*$AD$3</f>
        <v>3.0299449954353676E-5</v>
      </c>
      <c r="AG143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3.698043973469347E-2</v>
      </c>
      <c r="AH1438" s="406">
        <f t="shared" si="22"/>
        <v>1407</v>
      </c>
      <c r="AI143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3.698043973469347E-2</v>
      </c>
      <c r="AJ1438" s="257">
        <f>FME_Ranking1[[#This Row],[Addition check]]-FME_Ranking1[[#This Row],[Weighted Score Based on Normalized Reported Factors]]</f>
        <v>0</v>
      </c>
      <c r="AK1438" s="178">
        <f>_xlfn.RANK.EQ(AI1438,$AI$6:$AI$2341,0)+COUNTIF($AI$6:AI1438,AI1438)-1</f>
        <v>1407</v>
      </c>
    </row>
    <row r="1439" spans="1:37" x14ac:dyDescent="0.25">
      <c r="A1439" t="s">
        <v>2752</v>
      </c>
      <c r="B1439">
        <f>_xlfn.XLOOKUP(FME_Ranking1[[#This Row],[FME ID]],FME_Input[FME_ID],FME_Input[RFPG_NUM])</f>
        <v>1</v>
      </c>
      <c r="C1439" t="str">
        <f>_xlfn.XLOOKUP(FME_Ranking1[[#This Row],[FME ID]],FME_Input[FME_ID],FME_Input[FME_NAME])</f>
        <v>Panhandle City Drainage Master Plan</v>
      </c>
      <c r="D1439" t="str">
        <f>_xlfn.XLOOKUP(FME_Ranking1[[#This Row],[FME ID]],FME_Input[FME_ID],FME_Input[DESCR])</f>
        <v xml:space="preserve">Perform H&amp;H modeling, develop conceptual alternatives and OPCC, and rank projects; selected based on HMAPs </v>
      </c>
      <c r="E1439" s="256">
        <f>_xlfn.XLOOKUP(FME_Ranking1[[#This Row],[FME ID]],FME_Input[FME_ID],FME_Input[FME_COST])</f>
        <v>250000</v>
      </c>
      <c r="F1439" t="str">
        <f>_xlfn.XLOOKUP(FME_Ranking1[[#This Row],[FME ID]],FME_Input[FME_ID],FME_Input[EMER_NEED])</f>
        <v>No</v>
      </c>
      <c r="G1439">
        <f>IF(FME_Ranking!F1439="Yes",100,0)</f>
        <v>0</v>
      </c>
      <c r="H1439">
        <f>FME_Ranking1[[#This Row],[Emergency Need Score (Normalized, Unweighted)]]*$F$3</f>
        <v>0</v>
      </c>
      <c r="I1439" s="246">
        <f>_xlfn.XLOOKUP(FME_Ranking1[[#This Row],[FME ID]],FME_Input[FME_ID],FME_Input[STRUCT_100])</f>
        <v>14</v>
      </c>
      <c r="J1439" s="178">
        <f>(FME_Ranking1[[#This Row],[Structures 100 Raw]]/I$2)*100</f>
        <v>7.4968941438546891E-3</v>
      </c>
      <c r="K1439" s="178">
        <f>FME_Ranking1[[#This Row],[Structures 100  Score (Normalized, Unweighted)]]*$I$3</f>
        <v>1.1245341215782034E-3</v>
      </c>
      <c r="L1439" s="246">
        <f>_xlfn.XLOOKUP(FME_Ranking1[[#This Row],[FME ID]],FME_Input[FME_ID],FME_Input[RES_STRUCT100])</f>
        <v>2</v>
      </c>
      <c r="M1439" s="230">
        <f>(FME_Ranking1[[#This Row],[Res Structures Raw]]/L$2)*100</f>
        <v>1.4166111827286765E-3</v>
      </c>
      <c r="N1439" s="180">
        <f>FME_Ranking1[[#This Row],[Res Structures Score (Normalized, Unweighted)]]*$L$3</f>
        <v>1.4166111827286767E-4</v>
      </c>
      <c r="O1439" s="244">
        <f>_xlfn.XLOOKUP(FME_Ranking1[[#This Row],[FME ID]],FME_Input[FME_ID],FME_Input[POP100])</f>
        <v>55</v>
      </c>
      <c r="P1439" s="178">
        <f>(FME_Ranking1[[#This Row],[Pop Raw]]/$O$2)*100</f>
        <v>5.6306421593819806E-3</v>
      </c>
      <c r="Q1439" s="178">
        <f>FME_Ranking1[[#This Row],[Pop Score (Normalized, Unweighted)]]*$O$3</f>
        <v>8.4459632390729712E-4</v>
      </c>
      <c r="R1439" s="137">
        <f>_xlfn.XLOOKUP(FME_Ranking1[[#This Row],[FME ID]],FME_Input[FME_ID],FME_Input[CRITFAC100])</f>
        <v>3</v>
      </c>
      <c r="S1439" s="230">
        <f>(FME_Ranking1[[#This Row],[Critical Facilities Raw]]/$R$2)*100</f>
        <v>0.1286449399656947</v>
      </c>
      <c r="T1439" s="180">
        <f>FME_Ranking1[[#This Row],[Critical Facilities Score (Normalized, Unweighted)]]*$R$3</f>
        <v>2.5728987993138941E-2</v>
      </c>
      <c r="U1439">
        <f>_xlfn.XLOOKUP(FME_Ranking1[[#This Row],[FME ID]],FME_Input[FME_ID],FME_Input[LWC])</f>
        <v>0</v>
      </c>
      <c r="V1439" s="178">
        <f>(FME_Ranking1[[#This Row],[LWC Raw]]/$U$2)*100</f>
        <v>0</v>
      </c>
      <c r="W1439" s="178">
        <f>FME_Ranking1[[#This Row],[LWC Score (Normalized, Unweighted)]]*$U$3</f>
        <v>0</v>
      </c>
      <c r="X1439" s="246">
        <f>_xlfn.XLOOKUP(FME_Ranking1[[#This Row],[FME ID]],FME_Input[FME_ID],FME_Input[ROADCLS])</f>
        <v>0</v>
      </c>
      <c r="Y1439" s="230">
        <f>(FME_Ranking1[[#This Row],[Closures Raw]]/$X$2)*100</f>
        <v>0</v>
      </c>
      <c r="Z1439" s="180">
        <f>FME_Ranking1[[#This Row],[Closures Score (Normalized, Unweighted)]]*$X$3</f>
        <v>0</v>
      </c>
      <c r="AA1439" s="253">
        <f>_xlfn.XLOOKUP(FME_Ranking1[[#This Row],[FME ID]],FME_Input[FME_ID],FME_Input[ROAD_MILES100])</f>
        <v>0.80989313125610352</v>
      </c>
      <c r="AB1439" s="178">
        <f>(FME_Ranking1[[#This Row],[Miles Raw]]/$AA$2)*100</f>
        <v>1.0648642064492467E-2</v>
      </c>
      <c r="AC1439" s="178">
        <f>FME_Ranking1[[#This Row],[Miles Score (Normalized, Unweighted)]]*$AA$3</f>
        <v>1.0648642064492468E-3</v>
      </c>
      <c r="AD1439" s="255">
        <f>_xlfn.XLOOKUP(FME_Ranking1[[#This Row],[FME ID]],FME_Input[FME_ID],FME_Input[FARMACRE100])</f>
        <v>0.2150603532791138</v>
      </c>
      <c r="AE1439" s="230">
        <f>(FME_Ranking1[[#This Row],[Ag Land Raw]]/$AD$2)*100</f>
        <v>8.8681262507657457E-6</v>
      </c>
      <c r="AF1439" s="231">
        <f>FME_Ranking1[[#This Row],[Ag Land Score (Normalized, Unweighted)]]*$AD$3</f>
        <v>4.4340631253828731E-7</v>
      </c>
      <c r="AG143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2.8905087169659092E-2</v>
      </c>
      <c r="AH1439" s="406">
        <f t="shared" si="22"/>
        <v>1477</v>
      </c>
      <c r="AI143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2.8905087169659092E-2</v>
      </c>
      <c r="AJ1439" s="257">
        <f>FME_Ranking1[[#This Row],[Addition check]]-FME_Ranking1[[#This Row],[Weighted Score Based on Normalized Reported Factors]]</f>
        <v>0</v>
      </c>
      <c r="AK1439" s="178">
        <f>_xlfn.RANK.EQ(AI1439,$AI$6:$AI$2341,0)+COUNTIF($AI$6:AI1439,AI1439)-1</f>
        <v>1477</v>
      </c>
    </row>
    <row r="1440" spans="1:37" x14ac:dyDescent="0.25">
      <c r="A1440" t="s">
        <v>2784</v>
      </c>
      <c r="B1440">
        <f>_xlfn.XLOOKUP(FME_Ranking1[[#This Row],[FME ID]],FME_Input[FME_ID],FME_Input[RFPG_NUM])</f>
        <v>1</v>
      </c>
      <c r="C1440" t="str">
        <f>_xlfn.XLOOKUP(FME_Ranking1[[#This Row],[FME ID]],FME_Input[FME_ID],FME_Input[FME_NAME])</f>
        <v>City of Panhandle GIS Development</v>
      </c>
      <c r="D1440" t="str">
        <f>_xlfn.XLOOKUP(FME_Ranking1[[#This Row],[FME ID]],FME_Input[FME_ID],FME_Input[DESCR])</f>
        <v>Develop GIS inventory and condition assessment for flood infrastructure; selected based on survey response</v>
      </c>
      <c r="E1440" s="256">
        <f>_xlfn.XLOOKUP(FME_Ranking1[[#This Row],[FME ID]],FME_Input[FME_ID],FME_Input[FME_COST])</f>
        <v>50000</v>
      </c>
      <c r="F1440" t="str">
        <f>_xlfn.XLOOKUP(FME_Ranking1[[#This Row],[FME ID]],FME_Input[FME_ID],FME_Input[EMER_NEED])</f>
        <v>No</v>
      </c>
      <c r="G1440">
        <f>IF(FME_Ranking!F1440="Yes",100,0)</f>
        <v>0</v>
      </c>
      <c r="H1440">
        <f>FME_Ranking1[[#This Row],[Emergency Need Score (Normalized, Unweighted)]]*$F$3</f>
        <v>0</v>
      </c>
      <c r="I1440" s="246">
        <f>_xlfn.XLOOKUP(FME_Ranking1[[#This Row],[FME ID]],FME_Input[FME_ID],FME_Input[STRUCT_100])</f>
        <v>14</v>
      </c>
      <c r="J1440" s="178">
        <f>(FME_Ranking1[[#This Row],[Structures 100 Raw]]/I$2)*100</f>
        <v>7.4968941438546891E-3</v>
      </c>
      <c r="K1440" s="178">
        <f>FME_Ranking1[[#This Row],[Structures 100  Score (Normalized, Unweighted)]]*$I$3</f>
        <v>1.1245341215782034E-3</v>
      </c>
      <c r="L1440" s="246">
        <f>_xlfn.XLOOKUP(FME_Ranking1[[#This Row],[FME ID]],FME_Input[FME_ID],FME_Input[RES_STRUCT100])</f>
        <v>2</v>
      </c>
      <c r="M1440" s="230">
        <f>(FME_Ranking1[[#This Row],[Res Structures Raw]]/L$2)*100</f>
        <v>1.4166111827286765E-3</v>
      </c>
      <c r="N1440" s="180">
        <f>FME_Ranking1[[#This Row],[Res Structures Score (Normalized, Unweighted)]]*$L$3</f>
        <v>1.4166111827286767E-4</v>
      </c>
      <c r="O1440" s="244">
        <f>_xlfn.XLOOKUP(FME_Ranking1[[#This Row],[FME ID]],FME_Input[FME_ID],FME_Input[POP100])</f>
        <v>55</v>
      </c>
      <c r="P1440" s="178">
        <f>(FME_Ranking1[[#This Row],[Pop Raw]]/$O$2)*100</f>
        <v>5.6306421593819806E-3</v>
      </c>
      <c r="Q1440" s="178">
        <f>FME_Ranking1[[#This Row],[Pop Score (Normalized, Unweighted)]]*$O$3</f>
        <v>8.4459632390729712E-4</v>
      </c>
      <c r="R1440" s="137">
        <f>_xlfn.XLOOKUP(FME_Ranking1[[#This Row],[FME ID]],FME_Input[FME_ID],FME_Input[CRITFAC100])</f>
        <v>3</v>
      </c>
      <c r="S1440" s="230">
        <f>(FME_Ranking1[[#This Row],[Critical Facilities Raw]]/$R$2)*100</f>
        <v>0.1286449399656947</v>
      </c>
      <c r="T1440" s="180">
        <f>FME_Ranking1[[#This Row],[Critical Facilities Score (Normalized, Unweighted)]]*$R$3</f>
        <v>2.5728987993138941E-2</v>
      </c>
      <c r="U1440">
        <f>_xlfn.XLOOKUP(FME_Ranking1[[#This Row],[FME ID]],FME_Input[FME_ID],FME_Input[LWC])</f>
        <v>0</v>
      </c>
      <c r="V1440" s="178">
        <f>(FME_Ranking1[[#This Row],[LWC Raw]]/$U$2)*100</f>
        <v>0</v>
      </c>
      <c r="W1440" s="178">
        <f>FME_Ranking1[[#This Row],[LWC Score (Normalized, Unweighted)]]*$U$3</f>
        <v>0</v>
      </c>
      <c r="X1440" s="246">
        <f>_xlfn.XLOOKUP(FME_Ranking1[[#This Row],[FME ID]],FME_Input[FME_ID],FME_Input[ROADCLS])</f>
        <v>0</v>
      </c>
      <c r="Y1440" s="230">
        <f>(FME_Ranking1[[#This Row],[Closures Raw]]/$X$2)*100</f>
        <v>0</v>
      </c>
      <c r="Z1440" s="180">
        <f>FME_Ranking1[[#This Row],[Closures Score (Normalized, Unweighted)]]*$X$3</f>
        <v>0</v>
      </c>
      <c r="AA1440" s="253">
        <f>_xlfn.XLOOKUP(FME_Ranking1[[#This Row],[FME ID]],FME_Input[FME_ID],FME_Input[ROAD_MILES100])</f>
        <v>0.80989313125610352</v>
      </c>
      <c r="AB1440" s="178">
        <f>(FME_Ranking1[[#This Row],[Miles Raw]]/$AA$2)*100</f>
        <v>1.0648642064492467E-2</v>
      </c>
      <c r="AC1440" s="178">
        <f>FME_Ranking1[[#This Row],[Miles Score (Normalized, Unweighted)]]*$AA$3</f>
        <v>1.0648642064492468E-3</v>
      </c>
      <c r="AD1440" s="255">
        <f>_xlfn.XLOOKUP(FME_Ranking1[[#This Row],[FME ID]],FME_Input[FME_ID],FME_Input[FARMACRE100])</f>
        <v>0.2150603532791138</v>
      </c>
      <c r="AE1440" s="230">
        <f>(FME_Ranking1[[#This Row],[Ag Land Raw]]/$AD$2)*100</f>
        <v>8.8681262507657457E-6</v>
      </c>
      <c r="AF1440" s="231">
        <f>FME_Ranking1[[#This Row],[Ag Land Score (Normalized, Unweighted)]]*$AD$3</f>
        <v>4.4340631253828731E-7</v>
      </c>
      <c r="AG144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2.8905087169659092E-2</v>
      </c>
      <c r="AH1440" s="406">
        <f t="shared" si="22"/>
        <v>1477</v>
      </c>
      <c r="AI144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2.8905087169659092E-2</v>
      </c>
      <c r="AJ1440" s="257">
        <f>FME_Ranking1[[#This Row],[Addition check]]-FME_Ranking1[[#This Row],[Weighted Score Based on Normalized Reported Factors]]</f>
        <v>0</v>
      </c>
      <c r="AK1440" s="178">
        <f>_xlfn.RANK.EQ(AI1440,$AI$6:$AI$2341,0)+COUNTIF($AI$6:AI1440,AI1440)-1</f>
        <v>1478</v>
      </c>
    </row>
    <row r="1441" spans="1:37" x14ac:dyDescent="0.25">
      <c r="A1441" t="s">
        <v>4443</v>
      </c>
      <c r="B1441">
        <f>_xlfn.XLOOKUP(FME_Ranking1[[#This Row],[FME ID]],FME_Input[FME_ID],FME_Input[RFPG_NUM])</f>
        <v>3</v>
      </c>
      <c r="C1441" t="str">
        <f>_xlfn.XLOOKUP(FME_Ranking1[[#This Row],[FME ID]],FME_Input[FME_ID],FME_Input[FME_NAME])</f>
        <v>Elm Fork Bridge Improvements Assessment</v>
      </c>
      <c r="D1441" t="str">
        <f>_xlfn.XLOOKUP(FME_Ranking1[[#This Row],[FME ID]],FME_Input[FME_ID],FME_Input[DESCR])</f>
        <v>Assessment to alleviate flooding issues with the Elm Fork bridge on I-35.</v>
      </c>
      <c r="E1441" s="256">
        <f>_xlfn.XLOOKUP(FME_Ranking1[[#This Row],[FME ID]],FME_Input[FME_ID],FME_Input[FME_COST])</f>
        <v>100000</v>
      </c>
      <c r="F1441" t="str">
        <f>_xlfn.XLOOKUP(FME_Ranking1[[#This Row],[FME ID]],FME_Input[FME_ID],FME_Input[EMER_NEED])</f>
        <v>No</v>
      </c>
      <c r="G1441">
        <f>IF(FME_Ranking!F1441="Yes",100,0)</f>
        <v>0</v>
      </c>
      <c r="H1441">
        <f>FME_Ranking1[[#This Row],[Emergency Need Score (Normalized, Unweighted)]]*$F$3</f>
        <v>0</v>
      </c>
      <c r="I1441" s="246">
        <f>_xlfn.XLOOKUP(FME_Ranking1[[#This Row],[FME ID]],FME_Input[FME_ID],FME_Input[STRUCT_100])</f>
        <v>105</v>
      </c>
      <c r="J1441" s="178">
        <f>(FME_Ranking1[[#This Row],[Structures 100 Raw]]/I$2)*100</f>
        <v>5.6226706078910171E-2</v>
      </c>
      <c r="K1441" s="178">
        <f>FME_Ranking1[[#This Row],[Structures 100  Score (Normalized, Unweighted)]]*$I$3</f>
        <v>8.4340059118365261E-3</v>
      </c>
      <c r="L1441" s="246">
        <f>_xlfn.XLOOKUP(FME_Ranking1[[#This Row],[FME ID]],FME_Input[FME_ID],FME_Input[RES_STRUCT100])</f>
        <v>47</v>
      </c>
      <c r="M1441" s="230">
        <f>(FME_Ranking1[[#This Row],[Res Structures Raw]]/L$2)*100</f>
        <v>3.3290362794123896E-2</v>
      </c>
      <c r="N1441" s="180">
        <f>FME_Ranking1[[#This Row],[Res Structures Score (Normalized, Unweighted)]]*$L$3</f>
        <v>3.3290362794123896E-3</v>
      </c>
      <c r="O1441" s="244">
        <f>_xlfn.XLOOKUP(FME_Ranking1[[#This Row],[FME ID]],FME_Input[FME_ID],FME_Input[POP100])</f>
        <v>348</v>
      </c>
      <c r="P1441" s="178">
        <f>(FME_Ranking1[[#This Row],[Pop Raw]]/$O$2)*100</f>
        <v>3.5626608572089623E-2</v>
      </c>
      <c r="Q1441" s="178">
        <f>FME_Ranking1[[#This Row],[Pop Score (Normalized, Unweighted)]]*$O$3</f>
        <v>5.3439912858134434E-3</v>
      </c>
      <c r="R1441" s="137">
        <f>_xlfn.XLOOKUP(FME_Ranking1[[#This Row],[FME ID]],FME_Input[FME_ID],FME_Input[CRITFAC100])</f>
        <v>1</v>
      </c>
      <c r="S1441" s="230">
        <f>(FME_Ranking1[[#This Row],[Critical Facilities Raw]]/$R$2)*100</f>
        <v>4.2881646655231559E-2</v>
      </c>
      <c r="T1441" s="180">
        <f>FME_Ranking1[[#This Row],[Critical Facilities Score (Normalized, Unweighted)]]*$R$3</f>
        <v>8.5763293310463125E-3</v>
      </c>
      <c r="U1441">
        <f>_xlfn.XLOOKUP(FME_Ranking1[[#This Row],[FME ID]],FME_Input[FME_ID],FME_Input[LWC])</f>
        <v>0</v>
      </c>
      <c r="V1441" s="178">
        <f>(FME_Ranking1[[#This Row],[LWC Raw]]/$U$2)*100</f>
        <v>0</v>
      </c>
      <c r="W1441" s="178">
        <f>FME_Ranking1[[#This Row],[LWC Score (Normalized, Unweighted)]]*$U$3</f>
        <v>0</v>
      </c>
      <c r="X1441" s="246">
        <f>_xlfn.XLOOKUP(FME_Ranking1[[#This Row],[FME ID]],FME_Input[FME_ID],FME_Input[ROADCLS])</f>
        <v>0</v>
      </c>
      <c r="Y1441" s="230">
        <f>(FME_Ranking1[[#This Row],[Closures Raw]]/$X$2)*100</f>
        <v>0</v>
      </c>
      <c r="Z1441" s="180">
        <f>FME_Ranking1[[#This Row],[Closures Score (Normalized, Unweighted)]]*$X$3</f>
        <v>0</v>
      </c>
      <c r="AA1441" s="253">
        <f>_xlfn.XLOOKUP(FME_Ranking1[[#This Row],[FME ID]],FME_Input[FME_ID],FME_Input[ROAD_MILES100])</f>
        <v>4.2914290428161621</v>
      </c>
      <c r="AB1441" s="178">
        <f>(FME_Ranking1[[#This Row],[Miles Raw]]/$AA$2)*100</f>
        <v>5.642459487369858E-2</v>
      </c>
      <c r="AC1441" s="178">
        <f>FME_Ranking1[[#This Row],[Miles Score (Normalized, Unweighted)]]*$AA$3</f>
        <v>5.6424594873698587E-3</v>
      </c>
      <c r="AD1441" s="255">
        <f>_xlfn.XLOOKUP(FME_Ranking1[[#This Row],[FME ID]],FME_Input[FME_ID],FME_Input[FARMACRE100])</f>
        <v>1027.23095703125</v>
      </c>
      <c r="AE1441" s="230">
        <f>(FME_Ranking1[[#This Row],[Ag Land Raw]]/$AD$2)*100</f>
        <v>4.235840626479969E-2</v>
      </c>
      <c r="AF1441" s="231">
        <f>FME_Ranking1[[#This Row],[Ag Land Score (Normalized, Unweighted)]]*$AD$3</f>
        <v>2.1179203132399844E-3</v>
      </c>
      <c r="AG144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3.3443742608718519E-2</v>
      </c>
      <c r="AH1441" s="406">
        <f t="shared" si="22"/>
        <v>1441</v>
      </c>
      <c r="AI144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3.3443742608718519E-2</v>
      </c>
      <c r="AJ1441" s="257">
        <f>FME_Ranking1[[#This Row],[Addition check]]-FME_Ranking1[[#This Row],[Weighted Score Based on Normalized Reported Factors]]</f>
        <v>0</v>
      </c>
      <c r="AK1441" s="178">
        <f>_xlfn.RANK.EQ(AI1441,$AI$6:$AI$2341,0)+COUNTIF($AI$6:AI1441,AI1441)-1</f>
        <v>1441</v>
      </c>
    </row>
    <row r="1442" spans="1:37" x14ac:dyDescent="0.25">
      <c r="A1442" t="s">
        <v>2297</v>
      </c>
      <c r="B1442">
        <f>_xlfn.XLOOKUP(FME_Ranking1[[#This Row],[FME ID]],FME_Input[FME_ID],FME_Input[RFPG_NUM])</f>
        <v>6</v>
      </c>
      <c r="C1442" t="str">
        <f>_xlfn.XLOOKUP(FME_Ranking1[[#This Row],[FME ID]],FME_Input[FME_ID],FME_Input[FME_NAME])</f>
        <v>Cedar Bayou Flood Risk Reduction Study - Q130 Channel improvements from Crosby Eastgate Rd. to Q100 Confluence</v>
      </c>
      <c r="D1442" t="str">
        <f>_xlfn.XLOOKUP(FME_Ranking1[[#This Row],[FME ID]],FME_Input[FME_ID],FME_Input[DESCR])</f>
        <v>Study to develop a Benefit Cost Analysis needed for this project to become a FMP. Cedar Bayou Flood Risk Reduction Study - Q130 Channel improvements from Crosby Eastgate Rd. to Q100 Confluence.</v>
      </c>
      <c r="E1442" s="256">
        <f>_xlfn.XLOOKUP(FME_Ranking1[[#This Row],[FME ID]],FME_Input[FME_ID],FME_Input[FME_COST])</f>
        <v>30000</v>
      </c>
      <c r="F1442" t="str">
        <f>_xlfn.XLOOKUP(FME_Ranking1[[#This Row],[FME ID]],FME_Input[FME_ID],FME_Input[EMER_NEED])</f>
        <v>No</v>
      </c>
      <c r="G1442">
        <f>IF(FME_Ranking!F1442="Yes",100,0)</f>
        <v>0</v>
      </c>
      <c r="H1442">
        <f>FME_Ranking1[[#This Row],[Emergency Need Score (Normalized, Unweighted)]]*$F$3</f>
        <v>0</v>
      </c>
      <c r="I1442" s="246">
        <f>_xlfn.XLOOKUP(FME_Ranking1[[#This Row],[FME ID]],FME_Input[FME_ID],FME_Input[STRUCT_100])</f>
        <v>174</v>
      </c>
      <c r="J1442" s="178">
        <f>(FME_Ranking1[[#This Row],[Structures 100 Raw]]/I$2)*100</f>
        <v>9.3175684359336847E-2</v>
      </c>
      <c r="K1442" s="178">
        <f>FME_Ranking1[[#This Row],[Structures 100  Score (Normalized, Unweighted)]]*$I$3</f>
        <v>1.3976352653900527E-2</v>
      </c>
      <c r="L1442" s="246">
        <f>_xlfn.XLOOKUP(FME_Ranking1[[#This Row],[FME ID]],FME_Input[FME_ID],FME_Input[RES_STRUCT100])</f>
        <v>138</v>
      </c>
      <c r="M1442" s="230">
        <f>(FME_Ranking1[[#This Row],[Res Structures Raw]]/L$2)*100</f>
        <v>9.7746171608278684E-2</v>
      </c>
      <c r="N1442" s="180">
        <f>FME_Ranking1[[#This Row],[Res Structures Score (Normalized, Unweighted)]]*$L$3</f>
        <v>9.7746171608278695E-3</v>
      </c>
      <c r="O1442" s="244">
        <f>_xlfn.XLOOKUP(FME_Ranking1[[#This Row],[FME ID]],FME_Input[FME_ID],FME_Input[POP100])</f>
        <v>241</v>
      </c>
      <c r="P1442" s="178">
        <f>(FME_Ranking1[[#This Row],[Pop Raw]]/$O$2)*100</f>
        <v>2.4672450189291952E-2</v>
      </c>
      <c r="Q1442" s="178">
        <f>FME_Ranking1[[#This Row],[Pop Score (Normalized, Unweighted)]]*$O$3</f>
        <v>3.7008675283937927E-3</v>
      </c>
      <c r="R1442" s="137">
        <f>_xlfn.XLOOKUP(FME_Ranking1[[#This Row],[FME ID]],FME_Input[FME_ID],FME_Input[CRITFAC100])</f>
        <v>0</v>
      </c>
      <c r="S1442" s="230">
        <f>(FME_Ranking1[[#This Row],[Critical Facilities Raw]]/$R$2)*100</f>
        <v>0</v>
      </c>
      <c r="T1442" s="180">
        <f>FME_Ranking1[[#This Row],[Critical Facilities Score (Normalized, Unweighted)]]*$R$3</f>
        <v>0</v>
      </c>
      <c r="U1442">
        <f>_xlfn.XLOOKUP(FME_Ranking1[[#This Row],[FME ID]],FME_Input[FME_ID],FME_Input[LWC])</f>
        <v>0</v>
      </c>
      <c r="V1442" s="178">
        <f>(FME_Ranking1[[#This Row],[LWC Raw]]/$U$2)*100</f>
        <v>0</v>
      </c>
      <c r="W1442" s="178">
        <f>FME_Ranking1[[#This Row],[LWC Score (Normalized, Unweighted)]]*$U$3</f>
        <v>0</v>
      </c>
      <c r="X1442" s="246">
        <f>_xlfn.XLOOKUP(FME_Ranking1[[#This Row],[FME ID]],FME_Input[FME_ID],FME_Input[ROADCLS])</f>
        <v>0</v>
      </c>
      <c r="Y1442" s="230">
        <f>(FME_Ranking1[[#This Row],[Closures Raw]]/$X$2)*100</f>
        <v>0</v>
      </c>
      <c r="Z1442" s="180">
        <f>FME_Ranking1[[#This Row],[Closures Score (Normalized, Unweighted)]]*$X$3</f>
        <v>0</v>
      </c>
      <c r="AA1442" s="253">
        <f>_xlfn.XLOOKUP(FME_Ranking1[[#This Row],[FME ID]],FME_Input[FME_ID],FME_Input[ROAD_MILES100])</f>
        <v>3.1315500736236568</v>
      </c>
      <c r="AB1442" s="178">
        <f>(FME_Ranking1[[#This Row],[Miles Raw]]/$AA$2)*100</f>
        <v>4.1174266769412167E-2</v>
      </c>
      <c r="AC1442" s="178">
        <f>FME_Ranking1[[#This Row],[Miles Score (Normalized, Unweighted)]]*$AA$3</f>
        <v>4.117426676941217E-3</v>
      </c>
      <c r="AD1442" s="255">
        <f>_xlfn.XLOOKUP(FME_Ranking1[[#This Row],[FME ID]],FME_Input[FME_ID],FME_Input[FARMACRE100])</f>
        <v>141.0838623046875</v>
      </c>
      <c r="AE1442" s="230">
        <f>(FME_Ranking1[[#This Row],[Ag Land Raw]]/$AD$2)*100</f>
        <v>5.8176669190151842E-3</v>
      </c>
      <c r="AF1442" s="231">
        <f>FME_Ranking1[[#This Row],[Ag Land Score (Normalized, Unweighted)]]*$AD$3</f>
        <v>2.9088334595075922E-4</v>
      </c>
      <c r="AG144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3.1860147366014169E-2</v>
      </c>
      <c r="AH1442" s="406">
        <f t="shared" si="22"/>
        <v>1454</v>
      </c>
      <c r="AI144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3.1860147366014169E-2</v>
      </c>
      <c r="AJ1442" s="257">
        <f>FME_Ranking1[[#This Row],[Addition check]]-FME_Ranking1[[#This Row],[Weighted Score Based on Normalized Reported Factors]]</f>
        <v>0</v>
      </c>
      <c r="AK1442" s="178">
        <f>_xlfn.RANK.EQ(AI1442,$AI$6:$AI$2341,0)+COUNTIF($AI$6:AI1442,AI1442)-1</f>
        <v>1454</v>
      </c>
    </row>
    <row r="1443" spans="1:37" x14ac:dyDescent="0.25">
      <c r="A1443" t="s">
        <v>5569</v>
      </c>
      <c r="B1443">
        <f>_xlfn.XLOOKUP(FME_Ranking1[[#This Row],[FME ID]],FME_Input[FME_ID],FME_Input[RFPG_NUM])</f>
        <v>4</v>
      </c>
      <c r="C1443" t="str">
        <f>_xlfn.XLOOKUP(FME_Ranking1[[#This Row],[FME ID]],FME_Input[FME_ID],FME_Input[FME_NAME])</f>
        <v>Josephine Drainage Master Plan</v>
      </c>
      <c r="D1443" t="str">
        <f>_xlfn.XLOOKUP(FME_Ranking1[[#This Row],[FME ID]],FME_Input[FME_ID],FME_Input[DESCR])</f>
        <v>Perform study of existing culverts and drainage capabilities in town. Identify upgrades to drainage infrastructure capacity where needed.</v>
      </c>
      <c r="E1443" s="256">
        <f>_xlfn.XLOOKUP(FME_Ranking1[[#This Row],[FME ID]],FME_Input[FME_ID],FME_Input[FME_COST])</f>
        <v>100000</v>
      </c>
      <c r="F1443" t="str">
        <f>_xlfn.XLOOKUP(FME_Ranking1[[#This Row],[FME ID]],FME_Input[FME_ID],FME_Input[EMER_NEED])</f>
        <v>No</v>
      </c>
      <c r="G1443">
        <f>IF(FME_Ranking!F1443="Yes",100,0)</f>
        <v>0</v>
      </c>
      <c r="H1443">
        <f>FME_Ranking1[[#This Row],[Emergency Need Score (Normalized, Unweighted)]]*$F$3</f>
        <v>0</v>
      </c>
      <c r="I1443" s="246">
        <f>_xlfn.XLOOKUP(FME_Ranking1[[#This Row],[FME ID]],FME_Input[FME_ID],FME_Input[STRUCT_100])</f>
        <v>94</v>
      </c>
      <c r="J1443" s="178">
        <f>(FME_Ranking1[[#This Row],[Structures 100 Raw]]/I$2)*100</f>
        <v>5.0336289251595764E-2</v>
      </c>
      <c r="K1443" s="178">
        <f>FME_Ranking1[[#This Row],[Structures 100  Score (Normalized, Unweighted)]]*$I$3</f>
        <v>7.5504433877393645E-3</v>
      </c>
      <c r="L1443" s="246">
        <f>_xlfn.XLOOKUP(FME_Ranking1[[#This Row],[FME ID]],FME_Input[FME_ID],FME_Input[RES_STRUCT100])</f>
        <v>79</v>
      </c>
      <c r="M1443" s="230">
        <f>(FME_Ranking1[[#This Row],[Res Structures Raw]]/L$2)*100</f>
        <v>5.5956141717782723E-2</v>
      </c>
      <c r="N1443" s="180">
        <f>FME_Ranking1[[#This Row],[Res Structures Score (Normalized, Unweighted)]]*$L$3</f>
        <v>5.5956141717782727E-3</v>
      </c>
      <c r="O1443" s="244">
        <f>_xlfn.XLOOKUP(FME_Ranking1[[#This Row],[FME ID]],FME_Input[FME_ID],FME_Input[POP100])</f>
        <v>147</v>
      </c>
      <c r="P1443" s="178">
        <f>(FME_Ranking1[[#This Row],[Pop Raw]]/$O$2)*100</f>
        <v>1.5049170862348204E-2</v>
      </c>
      <c r="Q1443" s="178">
        <f>FME_Ranking1[[#This Row],[Pop Score (Normalized, Unweighted)]]*$O$3</f>
        <v>2.2573756293522303E-3</v>
      </c>
      <c r="R1443" s="137">
        <f>_xlfn.XLOOKUP(FME_Ranking1[[#This Row],[FME ID]],FME_Input[FME_ID],FME_Input[CRITFAC100])</f>
        <v>0</v>
      </c>
      <c r="S1443" s="230">
        <f>(FME_Ranking1[[#This Row],[Critical Facilities Raw]]/$R$2)*100</f>
        <v>0</v>
      </c>
      <c r="T1443" s="180">
        <f>FME_Ranking1[[#This Row],[Critical Facilities Score (Normalized, Unweighted)]]*$R$3</f>
        <v>0</v>
      </c>
      <c r="U1443">
        <f>_xlfn.XLOOKUP(FME_Ranking1[[#This Row],[FME ID]],FME_Input[FME_ID],FME_Input[LWC])</f>
        <v>1</v>
      </c>
      <c r="V1443" s="178">
        <f>(FME_Ranking1[[#This Row],[LWC Raw]]/$U$2)*100</f>
        <v>5.7570523891767422E-2</v>
      </c>
      <c r="W1443" s="178">
        <f>FME_Ranking1[[#This Row],[LWC Score (Normalized, Unweighted)]]*$U$3</f>
        <v>1.1514104778353485E-2</v>
      </c>
      <c r="X1443" s="246">
        <f>_xlfn.XLOOKUP(FME_Ranking1[[#This Row],[FME ID]],FME_Input[FME_ID],FME_Input[ROADCLS])</f>
        <v>1</v>
      </c>
      <c r="Y1443" s="230">
        <f>(FME_Ranking1[[#This Row],[Closures Raw]]/$X$2)*100</f>
        <v>1.0514141520344864E-2</v>
      </c>
      <c r="Z1443" s="180">
        <f>FME_Ranking1[[#This Row],[Closures Score (Normalized, Unweighted)]]*$X$3</f>
        <v>5.2570707601724321E-4</v>
      </c>
      <c r="AA1443" s="253">
        <f>_xlfn.XLOOKUP(FME_Ranking1[[#This Row],[FME ID]],FME_Input[FME_ID],FME_Input[ROAD_MILES100])</f>
        <v>1.409714341163635</v>
      </c>
      <c r="AB1443" s="178">
        <f>(FME_Ranking1[[#This Row],[Miles Raw]]/$AA$2)*100</f>
        <v>1.8535215144930565E-2</v>
      </c>
      <c r="AC1443" s="178">
        <f>FME_Ranking1[[#This Row],[Miles Score (Normalized, Unweighted)]]*$AA$3</f>
        <v>1.8535215144930566E-3</v>
      </c>
      <c r="AD1443" s="255">
        <f>_xlfn.XLOOKUP(FME_Ranking1[[#This Row],[FME ID]],FME_Input[FME_ID],FME_Input[FARMACRE100])</f>
        <v>110.02700042724609</v>
      </c>
      <c r="AE1443" s="230">
        <f>(FME_Ranking1[[#This Row],[Ag Land Raw]]/$AD$2)*100</f>
        <v>4.5370209613462779E-3</v>
      </c>
      <c r="AF1443" s="231">
        <f>FME_Ranking1[[#This Row],[Ag Land Score (Normalized, Unweighted)]]*$AD$3</f>
        <v>2.2685104806731391E-4</v>
      </c>
      <c r="AG144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2.9523617605800967E-2</v>
      </c>
      <c r="AH1443" s="406">
        <f t="shared" si="22"/>
        <v>1474</v>
      </c>
      <c r="AI144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2.9523617605800967E-2</v>
      </c>
      <c r="AJ1443" s="257">
        <f>FME_Ranking1[[#This Row],[Addition check]]-FME_Ranking1[[#This Row],[Weighted Score Based on Normalized Reported Factors]]</f>
        <v>0</v>
      </c>
      <c r="AK1443" s="178">
        <f>_xlfn.RANK.EQ(AI1443,$AI$6:$AI$2341,0)+COUNTIF($AI$6:AI1443,AI1443)-1</f>
        <v>1474</v>
      </c>
    </row>
    <row r="1444" spans="1:37" x14ac:dyDescent="0.25">
      <c r="A1444" t="s">
        <v>11278</v>
      </c>
      <c r="B1444">
        <f>_xlfn.XLOOKUP(FME_Ranking1[[#This Row],[FME ID]],FME_Input[FME_ID],FME_Input[RFPG_NUM])</f>
        <v>15</v>
      </c>
      <c r="C1444" t="str">
        <f>_xlfn.XLOOKUP(FME_Ranking1[[#This Row],[FME ID]],FME_Input[FME_ID],FME_Input[FME_NAME])</f>
        <v>International &amp; E Mile 5 N Improvements</v>
      </c>
      <c r="D1444" t="str">
        <f>_xlfn.XLOOKUP(FME_Ranking1[[#This Row],[FME ID]],FME_Input[FME_ID],FME_Input[DESCR])</f>
        <v>Channel Improvements just upstream of Ditch 35B; Culvert Improvements; Detention North of Llano Grande Lake Just West of 3 Mile Rd; 2- 130,000 GPM Pumps; Channel Improvements Ditch 34, 34B, 34BExt; Regional Detention; Bypass channel from Ditch 34; and Cu</v>
      </c>
      <c r="E1444" s="256">
        <f>_xlfn.XLOOKUP(FME_Ranking1[[#This Row],[FME ID]],FME_Input[FME_ID],FME_Input[FME_COST])</f>
        <v>1093500</v>
      </c>
      <c r="F1444" t="str">
        <f>_xlfn.XLOOKUP(FME_Ranking1[[#This Row],[FME ID]],FME_Input[FME_ID],FME_Input[EMER_NEED])</f>
        <v>Yes</v>
      </c>
      <c r="G1444">
        <f>IF(FME_Ranking!F1444="Yes",100,0)</f>
        <v>100</v>
      </c>
      <c r="H1444">
        <f>FME_Ranking1[[#This Row],[Emergency Need Score (Normalized, Unweighted)]]*$F$3</f>
        <v>0</v>
      </c>
      <c r="I1444" s="246">
        <f>_xlfn.XLOOKUP(FME_Ranking1[[#This Row],[FME ID]],FME_Input[FME_ID],FME_Input[STRUCT_100])</f>
        <v>0</v>
      </c>
      <c r="J1444" s="178">
        <f>(FME_Ranking1[[#This Row],[Structures 100 Raw]]/I$2)*100</f>
        <v>0</v>
      </c>
      <c r="K1444" s="178">
        <f>FME_Ranking1[[#This Row],[Structures 100  Score (Normalized, Unweighted)]]*$I$3</f>
        <v>0</v>
      </c>
      <c r="L1444" s="246">
        <f>_xlfn.XLOOKUP(FME_Ranking1[[#This Row],[FME ID]],FME_Input[FME_ID],FME_Input[RES_STRUCT100])</f>
        <v>257</v>
      </c>
      <c r="M1444" s="230">
        <f>(FME_Ranking1[[#This Row],[Res Structures Raw]]/L$2)*100</f>
        <v>0.18203453698063493</v>
      </c>
      <c r="N1444" s="180">
        <f>FME_Ranking1[[#This Row],[Res Structures Score (Normalized, Unweighted)]]*$L$3</f>
        <v>1.8203453698063494E-2</v>
      </c>
      <c r="O1444" s="244">
        <f>_xlfn.XLOOKUP(FME_Ranking1[[#This Row],[FME ID]],FME_Input[FME_ID],FME_Input[POP100])</f>
        <v>609</v>
      </c>
      <c r="P1444" s="178">
        <f>(FME_Ranking1[[#This Row],[Pop Raw]]/$O$2)*100</f>
        <v>6.2346565001156845E-2</v>
      </c>
      <c r="Q1444" s="178">
        <f>FME_Ranking1[[#This Row],[Pop Score (Normalized, Unweighted)]]*$O$3</f>
        <v>9.3519847501735264E-3</v>
      </c>
      <c r="R1444" s="137">
        <f>_xlfn.XLOOKUP(FME_Ranking1[[#This Row],[FME ID]],FME_Input[FME_ID],FME_Input[CRITFAC100])</f>
        <v>0</v>
      </c>
      <c r="S1444" s="230">
        <f>(FME_Ranking1[[#This Row],[Critical Facilities Raw]]/$R$2)*100</f>
        <v>0</v>
      </c>
      <c r="T1444" s="180">
        <f>FME_Ranking1[[#This Row],[Critical Facilities Score (Normalized, Unweighted)]]*$R$3</f>
        <v>0</v>
      </c>
      <c r="U1444">
        <f>_xlfn.XLOOKUP(FME_Ranking1[[#This Row],[FME ID]],FME_Input[FME_ID],FME_Input[LWC])</f>
        <v>0</v>
      </c>
      <c r="V1444" s="178">
        <f>(FME_Ranking1[[#This Row],[LWC Raw]]/$U$2)*100</f>
        <v>0</v>
      </c>
      <c r="W1444" s="178">
        <f>FME_Ranking1[[#This Row],[LWC Score (Normalized, Unweighted)]]*$U$3</f>
        <v>0</v>
      </c>
      <c r="X1444" s="246">
        <f>_xlfn.XLOOKUP(FME_Ranking1[[#This Row],[FME ID]],FME_Input[FME_ID],FME_Input[ROADCLS])</f>
        <v>0</v>
      </c>
      <c r="Y1444" s="230">
        <f>(FME_Ranking1[[#This Row],[Closures Raw]]/$X$2)*100</f>
        <v>0</v>
      </c>
      <c r="Z1444" s="180">
        <f>FME_Ranking1[[#This Row],[Closures Score (Normalized, Unweighted)]]*$X$3</f>
        <v>0</v>
      </c>
      <c r="AA1444" s="253">
        <f>_xlfn.XLOOKUP(FME_Ranking1[[#This Row],[FME ID]],FME_Input[FME_ID],FME_Input[ROAD_MILES100])</f>
        <v>17.548200607299801</v>
      </c>
      <c r="AB1444" s="178">
        <f>(FME_Ranking1[[#This Row],[Miles Raw]]/$AA$2)*100</f>
        <v>0.23072736381061468</v>
      </c>
      <c r="AC1444" s="178">
        <f>FME_Ranking1[[#This Row],[Miles Score (Normalized, Unweighted)]]*$AA$3</f>
        <v>2.3072736381061471E-2</v>
      </c>
      <c r="AD1444" s="255">
        <f>_xlfn.XLOOKUP(FME_Ranking1[[#This Row],[FME ID]],FME_Input[FME_ID],FME_Input[FARMACRE100])</f>
        <v>0</v>
      </c>
      <c r="AE1444" s="230">
        <f>(FME_Ranking1[[#This Row],[Ag Land Raw]]/$AD$2)*100</f>
        <v>0</v>
      </c>
      <c r="AF1444" s="231">
        <f>FME_Ranking1[[#This Row],[Ag Land Score (Normalized, Unweighted)]]*$AD$3</f>
        <v>0</v>
      </c>
      <c r="AG144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5.0628174829298489E-2</v>
      </c>
      <c r="AH1444" s="406">
        <f t="shared" si="22"/>
        <v>1313</v>
      </c>
      <c r="AI144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5.0628174829298489E-2</v>
      </c>
      <c r="AJ1444" s="257">
        <f>FME_Ranking1[[#This Row],[Addition check]]-FME_Ranking1[[#This Row],[Weighted Score Based on Normalized Reported Factors]]</f>
        <v>0</v>
      </c>
      <c r="AK1444" s="178">
        <f>_xlfn.RANK.EQ(AI1444,$AI$6:$AI$2341,0)+COUNTIF($AI$6:AI1444,AI1444)-1</f>
        <v>1313</v>
      </c>
    </row>
    <row r="1445" spans="1:37" x14ac:dyDescent="0.25">
      <c r="A1445" t="s">
        <v>3055</v>
      </c>
      <c r="B1445">
        <f>_xlfn.XLOOKUP(FME_Ranking1[[#This Row],[FME ID]],FME_Input[FME_ID],FME_Input[RFPG_NUM])</f>
        <v>1</v>
      </c>
      <c r="C1445" t="str">
        <f>_xlfn.XLOOKUP(FME_Ranking1[[#This Row],[FME ID]],FME_Input[FME_ID],FME_Input[FME_NAME])</f>
        <v>Palisades City Drainage Master Plan</v>
      </c>
      <c r="D1445" t="str">
        <f>_xlfn.XLOOKUP(FME_Ranking1[[#This Row],[FME ID]],FME_Input[FME_ID],FME_Input[DESCR])</f>
        <v xml:space="preserve">Perform H&amp;H modeling, develop conceptual alternatives and OPCC, and rank projects; selected based on the needs analysis and survey responses reporting issues with rivers, creeks, tributaries, and functioning floodplains </v>
      </c>
      <c r="E1445" s="256">
        <f>_xlfn.XLOOKUP(FME_Ranking1[[#This Row],[FME ID]],FME_Input[FME_ID],FME_Input[FME_COST])</f>
        <v>250000</v>
      </c>
      <c r="F1445" t="str">
        <f>_xlfn.XLOOKUP(FME_Ranking1[[#This Row],[FME ID]],FME_Input[FME_ID],FME_Input[EMER_NEED])</f>
        <v>No</v>
      </c>
      <c r="G1445">
        <f>IF(FME_Ranking!F1445="Yes",100,0)</f>
        <v>0</v>
      </c>
      <c r="H1445">
        <f>FME_Ranking1[[#This Row],[Emergency Need Score (Normalized, Unweighted)]]*$F$3</f>
        <v>0</v>
      </c>
      <c r="I1445" s="246">
        <f>_xlfn.XLOOKUP(FME_Ranking1[[#This Row],[FME ID]],FME_Input[FME_ID],FME_Input[STRUCT_100])</f>
        <v>45</v>
      </c>
      <c r="J1445" s="178">
        <f>(FME_Ranking1[[#This Row],[Structures 100 Raw]]/I$2)*100</f>
        <v>2.4097159748104356E-2</v>
      </c>
      <c r="K1445" s="178">
        <f>FME_Ranking1[[#This Row],[Structures 100  Score (Normalized, Unweighted)]]*$I$3</f>
        <v>3.6145739622156533E-3</v>
      </c>
      <c r="L1445" s="246">
        <f>_xlfn.XLOOKUP(FME_Ranking1[[#This Row],[FME ID]],FME_Input[FME_ID],FME_Input[RES_STRUCT100])</f>
        <v>31</v>
      </c>
      <c r="M1445" s="230">
        <f>(FME_Ranking1[[#This Row],[Res Structures Raw]]/L$2)*100</f>
        <v>2.1957473332294485E-2</v>
      </c>
      <c r="N1445" s="180">
        <f>FME_Ranking1[[#This Row],[Res Structures Score (Normalized, Unweighted)]]*$L$3</f>
        <v>2.1957473332294484E-3</v>
      </c>
      <c r="O1445" s="244">
        <f>_xlfn.XLOOKUP(FME_Ranking1[[#This Row],[FME ID]],FME_Input[FME_ID],FME_Input[POP100])</f>
        <v>73</v>
      </c>
      <c r="P1445" s="178">
        <f>(FME_Ranking1[[#This Row],[Pop Raw]]/$O$2)*100</f>
        <v>7.4733977751797204E-3</v>
      </c>
      <c r="Q1445" s="178">
        <f>FME_Ranking1[[#This Row],[Pop Score (Normalized, Unweighted)]]*$O$3</f>
        <v>1.1210096662769579E-3</v>
      </c>
      <c r="R1445" s="137">
        <f>_xlfn.XLOOKUP(FME_Ranking1[[#This Row],[FME ID]],FME_Input[FME_ID],FME_Input[CRITFAC100])</f>
        <v>1</v>
      </c>
      <c r="S1445" s="230">
        <f>(FME_Ranking1[[#This Row],[Critical Facilities Raw]]/$R$2)*100</f>
        <v>4.2881646655231559E-2</v>
      </c>
      <c r="T1445" s="180">
        <f>FME_Ranking1[[#This Row],[Critical Facilities Score (Normalized, Unweighted)]]*$R$3</f>
        <v>8.5763293310463125E-3</v>
      </c>
      <c r="U1445">
        <f>_xlfn.XLOOKUP(FME_Ranking1[[#This Row],[FME ID]],FME_Input[FME_ID],FME_Input[LWC])</f>
        <v>1</v>
      </c>
      <c r="V1445" s="178">
        <f>(FME_Ranking1[[#This Row],[LWC Raw]]/$U$2)*100</f>
        <v>5.7570523891767422E-2</v>
      </c>
      <c r="W1445" s="178">
        <f>FME_Ranking1[[#This Row],[LWC Score (Normalized, Unweighted)]]*$U$3</f>
        <v>1.1514104778353485E-2</v>
      </c>
      <c r="X1445" s="246">
        <f>_xlfn.XLOOKUP(FME_Ranking1[[#This Row],[FME ID]],FME_Input[FME_ID],FME_Input[ROADCLS])</f>
        <v>1</v>
      </c>
      <c r="Y1445" s="230">
        <f>(FME_Ranking1[[#This Row],[Closures Raw]]/$X$2)*100</f>
        <v>1.0514141520344864E-2</v>
      </c>
      <c r="Z1445" s="180">
        <f>FME_Ranking1[[#This Row],[Closures Score (Normalized, Unweighted)]]*$X$3</f>
        <v>5.2570707601724321E-4</v>
      </c>
      <c r="AA1445" s="253">
        <f>_xlfn.XLOOKUP(FME_Ranking1[[#This Row],[FME ID]],FME_Input[FME_ID],FME_Input[ROAD_MILES100])</f>
        <v>1.538977742195129</v>
      </c>
      <c r="AB1445" s="178">
        <f>(FME_Ranking1[[#This Row],[Miles Raw]]/$AA$2)*100</f>
        <v>2.0234797023700759E-2</v>
      </c>
      <c r="AC1445" s="178">
        <f>FME_Ranking1[[#This Row],[Miles Score (Normalized, Unweighted)]]*$AA$3</f>
        <v>2.0234797023700761E-3</v>
      </c>
      <c r="AD1445" s="255">
        <f>_xlfn.XLOOKUP(FME_Ranking1[[#This Row],[FME ID]],FME_Input[FME_ID],FME_Input[FARMACRE100])</f>
        <v>0.45272547006607061</v>
      </c>
      <c r="AE1445" s="230">
        <f>(FME_Ranking1[[#This Row],[Ag Land Raw]]/$AD$2)*100</f>
        <v>1.8668371758287696E-5</v>
      </c>
      <c r="AF1445" s="231">
        <f>FME_Ranking1[[#This Row],[Ag Land Score (Normalized, Unweighted)]]*$AD$3</f>
        <v>9.3341858791438478E-7</v>
      </c>
      <c r="AG144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2.9571885268097092E-2</v>
      </c>
      <c r="AH1445" s="406">
        <f t="shared" si="22"/>
        <v>1471</v>
      </c>
      <c r="AI144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2.9571885268097092E-2</v>
      </c>
      <c r="AJ1445" s="257">
        <f>FME_Ranking1[[#This Row],[Addition check]]-FME_Ranking1[[#This Row],[Weighted Score Based on Normalized Reported Factors]]</f>
        <v>0</v>
      </c>
      <c r="AK1445" s="178">
        <f>_xlfn.RANK.EQ(AI1445,$AI$6:$AI$2341,0)+COUNTIF($AI$6:AI1445,AI1445)-1</f>
        <v>1471</v>
      </c>
    </row>
    <row r="1446" spans="1:37" x14ac:dyDescent="0.25">
      <c r="A1446" t="s">
        <v>3185</v>
      </c>
      <c r="B1446">
        <f>_xlfn.XLOOKUP(FME_Ranking1[[#This Row],[FME ID]],FME_Input[FME_ID],FME_Input[RFPG_NUM])</f>
        <v>1</v>
      </c>
      <c r="C1446" t="str">
        <f>_xlfn.XLOOKUP(FME_Ranking1[[#This Row],[FME ID]],FME_Input[FME_ID],FME_Input[FME_NAME])</f>
        <v>City of Palisades GIS Development</v>
      </c>
      <c r="D1446" t="str">
        <f>_xlfn.XLOOKUP(FME_Ranking1[[#This Row],[FME ID]],FME_Input[FME_ID],FME_Input[DESCR])</f>
        <v>Develop GIS inventory and condition assessment for flood infrastructure; selected based on survey response</v>
      </c>
      <c r="E1446" s="256">
        <f>_xlfn.XLOOKUP(FME_Ranking1[[#This Row],[FME ID]],FME_Input[FME_ID],FME_Input[FME_COST])</f>
        <v>50000</v>
      </c>
      <c r="F1446" t="str">
        <f>_xlfn.XLOOKUP(FME_Ranking1[[#This Row],[FME ID]],FME_Input[FME_ID],FME_Input[EMER_NEED])</f>
        <v>No</v>
      </c>
      <c r="G1446">
        <f>IF(FME_Ranking!F1446="Yes",100,0)</f>
        <v>0</v>
      </c>
      <c r="H1446">
        <f>FME_Ranking1[[#This Row],[Emergency Need Score (Normalized, Unweighted)]]*$F$3</f>
        <v>0</v>
      </c>
      <c r="I1446" s="246">
        <f>_xlfn.XLOOKUP(FME_Ranking1[[#This Row],[FME ID]],FME_Input[FME_ID],FME_Input[STRUCT_100])</f>
        <v>45</v>
      </c>
      <c r="J1446" s="178">
        <f>(FME_Ranking1[[#This Row],[Structures 100 Raw]]/I$2)*100</f>
        <v>2.4097159748104356E-2</v>
      </c>
      <c r="K1446" s="178">
        <f>FME_Ranking1[[#This Row],[Structures 100  Score (Normalized, Unweighted)]]*$I$3</f>
        <v>3.6145739622156533E-3</v>
      </c>
      <c r="L1446" s="246">
        <f>_xlfn.XLOOKUP(FME_Ranking1[[#This Row],[FME ID]],FME_Input[FME_ID],FME_Input[RES_STRUCT100])</f>
        <v>31</v>
      </c>
      <c r="M1446" s="230">
        <f>(FME_Ranking1[[#This Row],[Res Structures Raw]]/L$2)*100</f>
        <v>2.1957473332294485E-2</v>
      </c>
      <c r="N1446" s="180">
        <f>FME_Ranking1[[#This Row],[Res Structures Score (Normalized, Unweighted)]]*$L$3</f>
        <v>2.1957473332294484E-3</v>
      </c>
      <c r="O1446" s="244">
        <f>_xlfn.XLOOKUP(FME_Ranking1[[#This Row],[FME ID]],FME_Input[FME_ID],FME_Input[POP100])</f>
        <v>73</v>
      </c>
      <c r="P1446" s="178">
        <f>(FME_Ranking1[[#This Row],[Pop Raw]]/$O$2)*100</f>
        <v>7.4733977751797204E-3</v>
      </c>
      <c r="Q1446" s="178">
        <f>FME_Ranking1[[#This Row],[Pop Score (Normalized, Unweighted)]]*$O$3</f>
        <v>1.1210096662769579E-3</v>
      </c>
      <c r="R1446" s="137">
        <f>_xlfn.XLOOKUP(FME_Ranking1[[#This Row],[FME ID]],FME_Input[FME_ID],FME_Input[CRITFAC100])</f>
        <v>1</v>
      </c>
      <c r="S1446" s="230">
        <f>(FME_Ranking1[[#This Row],[Critical Facilities Raw]]/$R$2)*100</f>
        <v>4.2881646655231559E-2</v>
      </c>
      <c r="T1446" s="180">
        <f>FME_Ranking1[[#This Row],[Critical Facilities Score (Normalized, Unweighted)]]*$R$3</f>
        <v>8.5763293310463125E-3</v>
      </c>
      <c r="U1446">
        <f>_xlfn.XLOOKUP(FME_Ranking1[[#This Row],[FME ID]],FME_Input[FME_ID],FME_Input[LWC])</f>
        <v>1</v>
      </c>
      <c r="V1446" s="178">
        <f>(FME_Ranking1[[#This Row],[LWC Raw]]/$U$2)*100</f>
        <v>5.7570523891767422E-2</v>
      </c>
      <c r="W1446" s="178">
        <f>FME_Ranking1[[#This Row],[LWC Score (Normalized, Unweighted)]]*$U$3</f>
        <v>1.1514104778353485E-2</v>
      </c>
      <c r="X1446" s="246">
        <f>_xlfn.XLOOKUP(FME_Ranking1[[#This Row],[FME ID]],FME_Input[FME_ID],FME_Input[ROADCLS])</f>
        <v>1</v>
      </c>
      <c r="Y1446" s="230">
        <f>(FME_Ranking1[[#This Row],[Closures Raw]]/$X$2)*100</f>
        <v>1.0514141520344864E-2</v>
      </c>
      <c r="Z1446" s="180">
        <f>FME_Ranking1[[#This Row],[Closures Score (Normalized, Unweighted)]]*$X$3</f>
        <v>5.2570707601724321E-4</v>
      </c>
      <c r="AA1446" s="253">
        <f>_xlfn.XLOOKUP(FME_Ranking1[[#This Row],[FME ID]],FME_Input[FME_ID],FME_Input[ROAD_MILES100])</f>
        <v>1.538977742195129</v>
      </c>
      <c r="AB1446" s="178">
        <f>(FME_Ranking1[[#This Row],[Miles Raw]]/$AA$2)*100</f>
        <v>2.0234797023700759E-2</v>
      </c>
      <c r="AC1446" s="178">
        <f>FME_Ranking1[[#This Row],[Miles Score (Normalized, Unweighted)]]*$AA$3</f>
        <v>2.0234797023700761E-3</v>
      </c>
      <c r="AD1446" s="255">
        <f>_xlfn.XLOOKUP(FME_Ranking1[[#This Row],[FME ID]],FME_Input[FME_ID],FME_Input[FARMACRE100])</f>
        <v>0.45272547006607061</v>
      </c>
      <c r="AE1446" s="230">
        <f>(FME_Ranking1[[#This Row],[Ag Land Raw]]/$AD$2)*100</f>
        <v>1.8668371758287696E-5</v>
      </c>
      <c r="AF1446" s="231">
        <f>FME_Ranking1[[#This Row],[Ag Land Score (Normalized, Unweighted)]]*$AD$3</f>
        <v>9.3341858791438478E-7</v>
      </c>
      <c r="AG144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2.9571885268097092E-2</v>
      </c>
      <c r="AH1446" s="406">
        <f t="shared" si="22"/>
        <v>1471</v>
      </c>
      <c r="AI144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2.9571885268097092E-2</v>
      </c>
      <c r="AJ1446" s="257">
        <f>FME_Ranking1[[#This Row],[Addition check]]-FME_Ranking1[[#This Row],[Weighted Score Based on Normalized Reported Factors]]</f>
        <v>0</v>
      </c>
      <c r="AK1446" s="178">
        <f>_xlfn.RANK.EQ(AI1446,$AI$6:$AI$2341,0)+COUNTIF($AI$6:AI1446,AI1446)-1</f>
        <v>1472</v>
      </c>
    </row>
    <row r="1447" spans="1:37" x14ac:dyDescent="0.25">
      <c r="A1447" t="s">
        <v>3459</v>
      </c>
      <c r="B1447">
        <f>_xlfn.XLOOKUP(FME_Ranking1[[#This Row],[FME ID]],FME_Input[FME_ID],FME_Input[RFPG_NUM])</f>
        <v>1</v>
      </c>
      <c r="C1447" t="str">
        <f>_xlfn.XLOOKUP(FME_Ranking1[[#This Row],[FME ID]],FME_Input[FME_ID],FME_Input[FME_NAME])</f>
        <v>Improve Creek Crossing (City of Palisades)</v>
      </c>
      <c r="D1447" t="str">
        <f>_xlfn.XLOOKUP(FME_Ranking1[[#This Row],[FME ID]],FME_Input[FME_ID],FME_Input[DESCR])</f>
        <v>Evaluate proposed improvements (upgrade bridge and increase channel flow) to current crossing to develop a cost, quantify benefits, evaluate impacts, and begin design. Project identified from survey response.</v>
      </c>
      <c r="E1447" s="256">
        <f>_xlfn.XLOOKUP(FME_Ranking1[[#This Row],[FME ID]],FME_Input[FME_ID],FME_Input[FME_COST])</f>
        <v>250000</v>
      </c>
      <c r="F1447" t="str">
        <f>_xlfn.XLOOKUP(FME_Ranking1[[#This Row],[FME ID]],FME_Input[FME_ID],FME_Input[EMER_NEED])</f>
        <v>No</v>
      </c>
      <c r="G1447">
        <f>IF(FME_Ranking!F1447="Yes",100,0)</f>
        <v>0</v>
      </c>
      <c r="H1447">
        <f>FME_Ranking1[[#This Row],[Emergency Need Score (Normalized, Unweighted)]]*$F$3</f>
        <v>0</v>
      </c>
      <c r="I1447" s="246">
        <f>_xlfn.XLOOKUP(FME_Ranking1[[#This Row],[FME ID]],FME_Input[FME_ID],FME_Input[STRUCT_100])</f>
        <v>45</v>
      </c>
      <c r="J1447" s="178">
        <f>(FME_Ranking1[[#This Row],[Structures 100 Raw]]/I$2)*100</f>
        <v>2.4097159748104356E-2</v>
      </c>
      <c r="K1447" s="178">
        <f>FME_Ranking1[[#This Row],[Structures 100  Score (Normalized, Unweighted)]]*$I$3</f>
        <v>3.6145739622156533E-3</v>
      </c>
      <c r="L1447" s="246">
        <f>_xlfn.XLOOKUP(FME_Ranking1[[#This Row],[FME ID]],FME_Input[FME_ID],FME_Input[RES_STRUCT100])</f>
        <v>31</v>
      </c>
      <c r="M1447" s="230">
        <f>(FME_Ranking1[[#This Row],[Res Structures Raw]]/L$2)*100</f>
        <v>2.1957473332294485E-2</v>
      </c>
      <c r="N1447" s="180">
        <f>FME_Ranking1[[#This Row],[Res Structures Score (Normalized, Unweighted)]]*$L$3</f>
        <v>2.1957473332294484E-3</v>
      </c>
      <c r="O1447" s="244">
        <f>_xlfn.XLOOKUP(FME_Ranking1[[#This Row],[FME ID]],FME_Input[FME_ID],FME_Input[POP100])</f>
        <v>73</v>
      </c>
      <c r="P1447" s="178">
        <f>(FME_Ranking1[[#This Row],[Pop Raw]]/$O$2)*100</f>
        <v>7.4733977751797204E-3</v>
      </c>
      <c r="Q1447" s="178">
        <f>FME_Ranking1[[#This Row],[Pop Score (Normalized, Unweighted)]]*$O$3</f>
        <v>1.1210096662769579E-3</v>
      </c>
      <c r="R1447" s="137">
        <f>_xlfn.XLOOKUP(FME_Ranking1[[#This Row],[FME ID]],FME_Input[FME_ID],FME_Input[CRITFAC100])</f>
        <v>1</v>
      </c>
      <c r="S1447" s="230">
        <f>(FME_Ranking1[[#This Row],[Critical Facilities Raw]]/$R$2)*100</f>
        <v>4.2881646655231559E-2</v>
      </c>
      <c r="T1447" s="180">
        <f>FME_Ranking1[[#This Row],[Critical Facilities Score (Normalized, Unweighted)]]*$R$3</f>
        <v>8.5763293310463125E-3</v>
      </c>
      <c r="U1447">
        <f>_xlfn.XLOOKUP(FME_Ranking1[[#This Row],[FME ID]],FME_Input[FME_ID],FME_Input[LWC])</f>
        <v>1</v>
      </c>
      <c r="V1447" s="178">
        <f>(FME_Ranking1[[#This Row],[LWC Raw]]/$U$2)*100</f>
        <v>5.7570523891767422E-2</v>
      </c>
      <c r="W1447" s="178">
        <f>FME_Ranking1[[#This Row],[LWC Score (Normalized, Unweighted)]]*$U$3</f>
        <v>1.1514104778353485E-2</v>
      </c>
      <c r="X1447" s="246">
        <f>_xlfn.XLOOKUP(FME_Ranking1[[#This Row],[FME ID]],FME_Input[FME_ID],FME_Input[ROADCLS])</f>
        <v>1</v>
      </c>
      <c r="Y1447" s="230">
        <f>(FME_Ranking1[[#This Row],[Closures Raw]]/$X$2)*100</f>
        <v>1.0514141520344864E-2</v>
      </c>
      <c r="Z1447" s="180">
        <f>FME_Ranking1[[#This Row],[Closures Score (Normalized, Unweighted)]]*$X$3</f>
        <v>5.2570707601724321E-4</v>
      </c>
      <c r="AA1447" s="253">
        <f>_xlfn.XLOOKUP(FME_Ranking1[[#This Row],[FME ID]],FME_Input[FME_ID],FME_Input[ROAD_MILES100])</f>
        <v>1.538977742195129</v>
      </c>
      <c r="AB1447" s="178">
        <f>(FME_Ranking1[[#This Row],[Miles Raw]]/$AA$2)*100</f>
        <v>2.0234797023700759E-2</v>
      </c>
      <c r="AC1447" s="178">
        <f>FME_Ranking1[[#This Row],[Miles Score (Normalized, Unweighted)]]*$AA$3</f>
        <v>2.0234797023700761E-3</v>
      </c>
      <c r="AD1447" s="255">
        <f>_xlfn.XLOOKUP(FME_Ranking1[[#This Row],[FME ID]],FME_Input[FME_ID],FME_Input[FARMACRE100])</f>
        <v>0.45272547006607061</v>
      </c>
      <c r="AE1447" s="230">
        <f>(FME_Ranking1[[#This Row],[Ag Land Raw]]/$AD$2)*100</f>
        <v>1.8668371758287696E-5</v>
      </c>
      <c r="AF1447" s="231">
        <f>FME_Ranking1[[#This Row],[Ag Land Score (Normalized, Unweighted)]]*$AD$3</f>
        <v>9.3341858791438478E-7</v>
      </c>
      <c r="AG144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2.9571885268097092E-2</v>
      </c>
      <c r="AH1447" s="406">
        <f t="shared" si="22"/>
        <v>1471</v>
      </c>
      <c r="AI144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2.9571885268097092E-2</v>
      </c>
      <c r="AJ1447" s="257">
        <f>FME_Ranking1[[#This Row],[Addition check]]-FME_Ranking1[[#This Row],[Weighted Score Based on Normalized Reported Factors]]</f>
        <v>0</v>
      </c>
      <c r="AK1447" s="178">
        <f>_xlfn.RANK.EQ(AI1447,$AI$6:$AI$2341,0)+COUNTIF($AI$6:AI1447,AI1447)-1</f>
        <v>1473</v>
      </c>
    </row>
    <row r="1448" spans="1:37" x14ac:dyDescent="0.25">
      <c r="A1448" t="s">
        <v>8776</v>
      </c>
      <c r="B1448">
        <f>_xlfn.XLOOKUP(FME_Ranking1[[#This Row],[FME ID]],FME_Input[FME_ID],FME_Input[RFPG_NUM])</f>
        <v>11</v>
      </c>
      <c r="C1448" t="str">
        <f>_xlfn.XLOOKUP(FME_Ranking1[[#This Row],[FME ID]],FME_Input[FME_ID],FME_Input[FME_NAME])</f>
        <v>City of San Marcos Modeling of Purgatory Creek and Willow Springs Creek Overflow Area</v>
      </c>
      <c r="D1448" t="str">
        <f>_xlfn.XLOOKUP(FME_Ranking1[[#This Row],[FME ID]],FME_Input[FME_ID],FME_Input[DESCR])</f>
        <v>2-Dimensional Modeling of the Purgatory Creek and Willow Springs Creek Overflow Area</v>
      </c>
      <c r="E1448" s="256">
        <f>_xlfn.XLOOKUP(FME_Ranking1[[#This Row],[FME ID]],FME_Input[FME_ID],FME_Input[FME_COST])</f>
        <v>271000</v>
      </c>
      <c r="F1448" t="str">
        <f>_xlfn.XLOOKUP(FME_Ranking1[[#This Row],[FME ID]],FME_Input[FME_ID],FME_Input[EMER_NEED])</f>
        <v>No</v>
      </c>
      <c r="G1448">
        <f>IF(FME_Ranking!F1448="Yes",100,0)</f>
        <v>0</v>
      </c>
      <c r="H1448">
        <f>FME_Ranking1[[#This Row],[Emergency Need Score (Normalized, Unweighted)]]*$F$3</f>
        <v>0</v>
      </c>
      <c r="I1448" s="246">
        <f>_xlfn.XLOOKUP(FME_Ranking1[[#This Row],[FME ID]],FME_Input[FME_ID],FME_Input[STRUCT_100])</f>
        <v>159</v>
      </c>
      <c r="J1448" s="178">
        <f>(FME_Ranking1[[#This Row],[Structures 100 Raw]]/I$2)*100</f>
        <v>8.5143297776635388E-2</v>
      </c>
      <c r="K1448" s="178">
        <f>FME_Ranking1[[#This Row],[Structures 100  Score (Normalized, Unweighted)]]*$I$3</f>
        <v>1.2771494666495308E-2</v>
      </c>
      <c r="L1448" s="246">
        <f>_xlfn.XLOOKUP(FME_Ranking1[[#This Row],[FME ID]],FME_Input[FME_ID],FME_Input[RES_STRUCT100])</f>
        <v>130</v>
      </c>
      <c r="M1448" s="230">
        <f>(FME_Ranking1[[#This Row],[Res Structures Raw]]/L$2)*100</f>
        <v>9.2079726877363974E-2</v>
      </c>
      <c r="N1448" s="180">
        <f>FME_Ranking1[[#This Row],[Res Structures Score (Normalized, Unweighted)]]*$L$3</f>
        <v>9.2079726877363974E-3</v>
      </c>
      <c r="O1448" s="244">
        <f>_xlfn.XLOOKUP(FME_Ranking1[[#This Row],[FME ID]],FME_Input[FME_ID],FME_Input[POP100])</f>
        <v>349</v>
      </c>
      <c r="P1448" s="178">
        <f>(FME_Ranking1[[#This Row],[Pop Raw]]/$O$2)*100</f>
        <v>3.5728983884078386E-2</v>
      </c>
      <c r="Q1448" s="178">
        <f>FME_Ranking1[[#This Row],[Pop Score (Normalized, Unweighted)]]*$O$3</f>
        <v>5.3593475826117579E-3</v>
      </c>
      <c r="R1448" s="137">
        <f>_xlfn.XLOOKUP(FME_Ranking1[[#This Row],[FME ID]],FME_Input[FME_ID],FME_Input[CRITFAC100])</f>
        <v>0</v>
      </c>
      <c r="S1448" s="230">
        <f>(FME_Ranking1[[#This Row],[Critical Facilities Raw]]/$R$2)*100</f>
        <v>0</v>
      </c>
      <c r="T1448" s="180">
        <f>FME_Ranking1[[#This Row],[Critical Facilities Score (Normalized, Unweighted)]]*$R$3</f>
        <v>0</v>
      </c>
      <c r="U1448">
        <f>_xlfn.XLOOKUP(FME_Ranking1[[#This Row],[FME ID]],FME_Input[FME_ID],FME_Input[LWC])</f>
        <v>0</v>
      </c>
      <c r="V1448" s="178">
        <f>(FME_Ranking1[[#This Row],[LWC Raw]]/$U$2)*100</f>
        <v>0</v>
      </c>
      <c r="W1448" s="178">
        <f>FME_Ranking1[[#This Row],[LWC Score (Normalized, Unweighted)]]*$U$3</f>
        <v>0</v>
      </c>
      <c r="X1448" s="246">
        <f>_xlfn.XLOOKUP(FME_Ranking1[[#This Row],[FME ID]],FME_Input[FME_ID],FME_Input[ROADCLS])</f>
        <v>0</v>
      </c>
      <c r="Y1448" s="230">
        <f>(FME_Ranking1[[#This Row],[Closures Raw]]/$X$2)*100</f>
        <v>0</v>
      </c>
      <c r="Z1448" s="180">
        <f>FME_Ranking1[[#This Row],[Closures Score (Normalized, Unweighted)]]*$X$3</f>
        <v>0</v>
      </c>
      <c r="AA1448" s="253">
        <f>_xlfn.XLOOKUP(FME_Ranking1[[#This Row],[FME ID]],FME_Input[FME_ID],FME_Input[ROAD_MILES100])</f>
        <v>3.004189014434814</v>
      </c>
      <c r="AB1448" s="178">
        <f>(FME_Ranking1[[#This Row],[Miles Raw]]/$AA$2)*100</f>
        <v>3.9499697273862558E-2</v>
      </c>
      <c r="AC1448" s="178">
        <f>FME_Ranking1[[#This Row],[Miles Score (Normalized, Unweighted)]]*$AA$3</f>
        <v>3.9499697273862556E-3</v>
      </c>
      <c r="AD1448" s="255">
        <f>_xlfn.XLOOKUP(FME_Ranking1[[#This Row],[FME ID]],FME_Input[FME_ID],FME_Input[FARMACRE100])</f>
        <v>0</v>
      </c>
      <c r="AE1448" s="230">
        <f>(FME_Ranking1[[#This Row],[Ag Land Raw]]/$AD$2)*100</f>
        <v>0</v>
      </c>
      <c r="AF1448" s="231">
        <f>FME_Ranking1[[#This Row],[Ag Land Score (Normalized, Unweighted)]]*$AD$3</f>
        <v>0</v>
      </c>
      <c r="AG144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3.128878466422972E-2</v>
      </c>
      <c r="AH1448" s="406">
        <f t="shared" si="22"/>
        <v>1458</v>
      </c>
      <c r="AI144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3.128878466422972E-2</v>
      </c>
      <c r="AJ1448" s="257">
        <f>FME_Ranking1[[#This Row],[Addition check]]-FME_Ranking1[[#This Row],[Weighted Score Based on Normalized Reported Factors]]</f>
        <v>0</v>
      </c>
      <c r="AK1448" s="178">
        <f>_xlfn.RANK.EQ(AI1448,$AI$6:$AI$2341,0)+COUNTIF($AI$6:AI1448,AI1448)-1</f>
        <v>1458</v>
      </c>
    </row>
    <row r="1449" spans="1:37" x14ac:dyDescent="0.25">
      <c r="A1449" t="s">
        <v>4101</v>
      </c>
      <c r="B1449">
        <f>_xlfn.XLOOKUP(FME_Ranking1[[#This Row],[FME ID]],FME_Input[FME_ID],FME_Input[RFPG_NUM])</f>
        <v>3</v>
      </c>
      <c r="C1449" t="str">
        <f>_xlfn.XLOOKUP(FME_Ranking1[[#This Row],[FME ID]],FME_Input[FME_ID],FME_Input[FME_NAME])</f>
        <v>University Park DMP</v>
      </c>
      <c r="D1449" t="str">
        <f>_xlfn.XLOOKUP(FME_Ranking1[[#This Row],[FME ID]],FME_Input[FME_ID],FME_Input[DESCR])</f>
        <v>Evaluate City and identify future projects.</v>
      </c>
      <c r="E1449" s="256">
        <f>_xlfn.XLOOKUP(FME_Ranking1[[#This Row],[FME ID]],FME_Input[FME_ID],FME_Input[FME_COST])</f>
        <v>500000</v>
      </c>
      <c r="F1449" t="str">
        <f>_xlfn.XLOOKUP(FME_Ranking1[[#This Row],[FME ID]],FME_Input[FME_ID],FME_Input[EMER_NEED])</f>
        <v>No</v>
      </c>
      <c r="G1449">
        <f>IF(FME_Ranking!F1449="Yes",100,0)</f>
        <v>0</v>
      </c>
      <c r="H1449">
        <f>FME_Ranking1[[#This Row],[Emergency Need Score (Normalized, Unweighted)]]*$F$3</f>
        <v>0</v>
      </c>
      <c r="I1449" s="246">
        <f>_xlfn.XLOOKUP(FME_Ranking1[[#This Row],[FME ID]],FME_Input[FME_ID],FME_Input[STRUCT_100])</f>
        <v>22</v>
      </c>
      <c r="J1449" s="178">
        <f>(FME_Ranking1[[#This Row],[Structures 100 Raw]]/I$2)*100</f>
        <v>1.1780833654628797E-2</v>
      </c>
      <c r="K1449" s="178">
        <f>FME_Ranking1[[#This Row],[Structures 100  Score (Normalized, Unweighted)]]*$I$3</f>
        <v>1.7671250481943194E-3</v>
      </c>
      <c r="L1449" s="246">
        <f>_xlfn.XLOOKUP(FME_Ranking1[[#This Row],[FME ID]],FME_Input[FME_ID],FME_Input[RES_STRUCT100])</f>
        <v>19</v>
      </c>
      <c r="M1449" s="230">
        <f>(FME_Ranking1[[#This Row],[Res Structures Raw]]/L$2)*100</f>
        <v>1.3457806235922425E-2</v>
      </c>
      <c r="N1449" s="180">
        <f>FME_Ranking1[[#This Row],[Res Structures Score (Normalized, Unweighted)]]*$L$3</f>
        <v>1.3457806235922425E-3</v>
      </c>
      <c r="O1449" s="244">
        <f>_xlfn.XLOOKUP(FME_Ranking1[[#This Row],[FME ID]],FME_Input[FME_ID],FME_Input[POP100])</f>
        <v>76</v>
      </c>
      <c r="P1449" s="178">
        <f>(FME_Ranking1[[#This Row],[Pop Raw]]/$O$2)*100</f>
        <v>7.7805237111460094E-3</v>
      </c>
      <c r="Q1449" s="178">
        <f>FME_Ranking1[[#This Row],[Pop Score (Normalized, Unweighted)]]*$O$3</f>
        <v>1.1670785566719013E-3</v>
      </c>
      <c r="R1449" s="137">
        <f>_xlfn.XLOOKUP(FME_Ranking1[[#This Row],[FME ID]],FME_Input[FME_ID],FME_Input[CRITFAC100])</f>
        <v>0</v>
      </c>
      <c r="S1449" s="230">
        <f>(FME_Ranking1[[#This Row],[Critical Facilities Raw]]/$R$2)*100</f>
        <v>0</v>
      </c>
      <c r="T1449" s="180">
        <f>FME_Ranking1[[#This Row],[Critical Facilities Score (Normalized, Unweighted)]]*$R$3</f>
        <v>0</v>
      </c>
      <c r="U1449">
        <f>_xlfn.XLOOKUP(FME_Ranking1[[#This Row],[FME ID]],FME_Input[FME_ID],FME_Input[LWC])</f>
        <v>2</v>
      </c>
      <c r="V1449" s="178">
        <f>(FME_Ranking1[[#This Row],[LWC Raw]]/$U$2)*100</f>
        <v>0.11514104778353484</v>
      </c>
      <c r="W1449" s="178">
        <f>FME_Ranking1[[#This Row],[LWC Score (Normalized, Unweighted)]]*$U$3</f>
        <v>2.302820955670697E-2</v>
      </c>
      <c r="X1449" s="246">
        <f>_xlfn.XLOOKUP(FME_Ranking1[[#This Row],[FME ID]],FME_Input[FME_ID],FME_Input[ROADCLS])</f>
        <v>0</v>
      </c>
      <c r="Y1449" s="230">
        <f>(FME_Ranking1[[#This Row],[Closures Raw]]/$X$2)*100</f>
        <v>0</v>
      </c>
      <c r="Z1449" s="180">
        <f>FME_Ranking1[[#This Row],[Closures Score (Normalized, Unweighted)]]*$X$3</f>
        <v>0</v>
      </c>
      <c r="AA1449" s="253">
        <f>_xlfn.XLOOKUP(FME_Ranking1[[#This Row],[FME ID]],FME_Input[FME_ID],FME_Input[ROAD_MILES100])</f>
        <v>0.30625671148300171</v>
      </c>
      <c r="AB1449" s="178">
        <f>(FME_Ranking1[[#This Row],[Miles Raw]]/$AA$2)*100</f>
        <v>4.0267264588020888E-3</v>
      </c>
      <c r="AC1449" s="178">
        <f>FME_Ranking1[[#This Row],[Miles Score (Normalized, Unweighted)]]*$AA$3</f>
        <v>4.0267264588020888E-4</v>
      </c>
      <c r="AD1449" s="255">
        <f>_xlfn.XLOOKUP(FME_Ranking1[[#This Row],[FME ID]],FME_Input[FME_ID],FME_Input[FARMACRE100])</f>
        <v>0.43760639429092407</v>
      </c>
      <c r="AE1449" s="230">
        <f>(FME_Ranking1[[#This Row],[Ag Land Raw]]/$AD$2)*100</f>
        <v>1.8044928753919141E-5</v>
      </c>
      <c r="AF1449" s="231">
        <f>FME_Ranking1[[#This Row],[Ag Land Score (Normalized, Unweighted)]]*$AD$3</f>
        <v>9.0224643769595712E-7</v>
      </c>
      <c r="AG144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2.7711768677483341E-2</v>
      </c>
      <c r="AH1449" s="406">
        <f t="shared" si="22"/>
        <v>1486</v>
      </c>
      <c r="AI144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2.7711768677483341E-2</v>
      </c>
      <c r="AJ1449" s="257">
        <f>FME_Ranking1[[#This Row],[Addition check]]-FME_Ranking1[[#This Row],[Weighted Score Based on Normalized Reported Factors]]</f>
        <v>0</v>
      </c>
      <c r="AK1449" s="178">
        <f>_xlfn.RANK.EQ(AI1449,$AI$6:$AI$2341,0)+COUNTIF($AI$6:AI1449,AI1449)-1</f>
        <v>1486</v>
      </c>
    </row>
    <row r="1450" spans="1:37" x14ac:dyDescent="0.25">
      <c r="A1450" t="s">
        <v>4450</v>
      </c>
      <c r="B1450">
        <f>_xlfn.XLOOKUP(FME_Ranking1[[#This Row],[FME ID]],FME_Input[FME_ID],FME_Input[RFPG_NUM])</f>
        <v>3</v>
      </c>
      <c r="C1450" t="str">
        <f>_xlfn.XLOOKUP(FME_Ranking1[[#This Row],[FME ID]],FME_Input[FME_ID],FME_Input[FME_NAME])</f>
        <v>University Park Storm Water Infrastructure Improvements Study</v>
      </c>
      <c r="D1450" t="str">
        <f>_xlfn.XLOOKUP(FME_Ranking1[[#This Row],[FME ID]],FME_Input[FME_ID],FME_Input[DESCR])</f>
        <v>Evaluation of storm drain system improvements including new storm sewer inlets, mains, and underground detention system to reduce flooding in Northeast portion of the City.</v>
      </c>
      <c r="E1450" s="256">
        <f>_xlfn.XLOOKUP(FME_Ranking1[[#This Row],[FME ID]],FME_Input[FME_ID],FME_Input[FME_COST])</f>
        <v>660000</v>
      </c>
      <c r="F1450" t="str">
        <f>_xlfn.XLOOKUP(FME_Ranking1[[#This Row],[FME ID]],FME_Input[FME_ID],FME_Input[EMER_NEED])</f>
        <v>No</v>
      </c>
      <c r="G1450">
        <f>IF(FME_Ranking!F1450="Yes",100,0)</f>
        <v>0</v>
      </c>
      <c r="H1450">
        <f>FME_Ranking1[[#This Row],[Emergency Need Score (Normalized, Unweighted)]]*$F$3</f>
        <v>0</v>
      </c>
      <c r="I1450" s="246">
        <f>_xlfn.XLOOKUP(FME_Ranking1[[#This Row],[FME ID]],FME_Input[FME_ID],FME_Input[STRUCT_100])</f>
        <v>22</v>
      </c>
      <c r="J1450" s="178">
        <f>(FME_Ranking1[[#This Row],[Structures 100 Raw]]/I$2)*100</f>
        <v>1.1780833654628797E-2</v>
      </c>
      <c r="K1450" s="178">
        <f>FME_Ranking1[[#This Row],[Structures 100  Score (Normalized, Unweighted)]]*$I$3</f>
        <v>1.7671250481943194E-3</v>
      </c>
      <c r="L1450" s="246">
        <f>_xlfn.XLOOKUP(FME_Ranking1[[#This Row],[FME ID]],FME_Input[FME_ID],FME_Input[RES_STRUCT100])</f>
        <v>19</v>
      </c>
      <c r="M1450" s="230">
        <f>(FME_Ranking1[[#This Row],[Res Structures Raw]]/L$2)*100</f>
        <v>1.3457806235922425E-2</v>
      </c>
      <c r="N1450" s="180">
        <f>FME_Ranking1[[#This Row],[Res Structures Score (Normalized, Unweighted)]]*$L$3</f>
        <v>1.3457806235922425E-3</v>
      </c>
      <c r="O1450" s="244">
        <f>_xlfn.XLOOKUP(FME_Ranking1[[#This Row],[FME ID]],FME_Input[FME_ID],FME_Input[POP100])</f>
        <v>76</v>
      </c>
      <c r="P1450" s="178">
        <f>(FME_Ranking1[[#This Row],[Pop Raw]]/$O$2)*100</f>
        <v>7.7805237111460094E-3</v>
      </c>
      <c r="Q1450" s="178">
        <f>FME_Ranking1[[#This Row],[Pop Score (Normalized, Unweighted)]]*$O$3</f>
        <v>1.1670785566719013E-3</v>
      </c>
      <c r="R1450" s="137">
        <f>_xlfn.XLOOKUP(FME_Ranking1[[#This Row],[FME ID]],FME_Input[FME_ID],FME_Input[CRITFAC100])</f>
        <v>0</v>
      </c>
      <c r="S1450" s="230">
        <f>(FME_Ranking1[[#This Row],[Critical Facilities Raw]]/$R$2)*100</f>
        <v>0</v>
      </c>
      <c r="T1450" s="180">
        <f>FME_Ranking1[[#This Row],[Critical Facilities Score (Normalized, Unweighted)]]*$R$3</f>
        <v>0</v>
      </c>
      <c r="U1450">
        <f>_xlfn.XLOOKUP(FME_Ranking1[[#This Row],[FME ID]],FME_Input[FME_ID],FME_Input[LWC])</f>
        <v>2</v>
      </c>
      <c r="V1450" s="178">
        <f>(FME_Ranking1[[#This Row],[LWC Raw]]/$U$2)*100</f>
        <v>0.11514104778353484</v>
      </c>
      <c r="W1450" s="178">
        <f>FME_Ranking1[[#This Row],[LWC Score (Normalized, Unweighted)]]*$U$3</f>
        <v>2.302820955670697E-2</v>
      </c>
      <c r="X1450" s="246">
        <f>_xlfn.XLOOKUP(FME_Ranking1[[#This Row],[FME ID]],FME_Input[FME_ID],FME_Input[ROADCLS])</f>
        <v>0</v>
      </c>
      <c r="Y1450" s="230">
        <f>(FME_Ranking1[[#This Row],[Closures Raw]]/$X$2)*100</f>
        <v>0</v>
      </c>
      <c r="Z1450" s="180">
        <f>FME_Ranking1[[#This Row],[Closures Score (Normalized, Unweighted)]]*$X$3</f>
        <v>0</v>
      </c>
      <c r="AA1450" s="253">
        <f>_xlfn.XLOOKUP(FME_Ranking1[[#This Row],[FME ID]],FME_Input[FME_ID],FME_Input[ROAD_MILES100])</f>
        <v>0.30625671148300171</v>
      </c>
      <c r="AB1450" s="178">
        <f>(FME_Ranking1[[#This Row],[Miles Raw]]/$AA$2)*100</f>
        <v>4.0267264588020888E-3</v>
      </c>
      <c r="AC1450" s="178">
        <f>FME_Ranking1[[#This Row],[Miles Score (Normalized, Unweighted)]]*$AA$3</f>
        <v>4.0267264588020888E-4</v>
      </c>
      <c r="AD1450" s="255">
        <f>_xlfn.XLOOKUP(FME_Ranking1[[#This Row],[FME ID]],FME_Input[FME_ID],FME_Input[FARMACRE100])</f>
        <v>0.43760639429092407</v>
      </c>
      <c r="AE1450" s="230">
        <f>(FME_Ranking1[[#This Row],[Ag Land Raw]]/$AD$2)*100</f>
        <v>1.8044928753919141E-5</v>
      </c>
      <c r="AF1450" s="231">
        <f>FME_Ranking1[[#This Row],[Ag Land Score (Normalized, Unweighted)]]*$AD$3</f>
        <v>9.0224643769595712E-7</v>
      </c>
      <c r="AG145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2.7711768677483341E-2</v>
      </c>
      <c r="AH1450" s="406">
        <f t="shared" si="22"/>
        <v>1486</v>
      </c>
      <c r="AI145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2.7711768677483341E-2</v>
      </c>
      <c r="AJ1450" s="257">
        <f>FME_Ranking1[[#This Row],[Addition check]]-FME_Ranking1[[#This Row],[Weighted Score Based on Normalized Reported Factors]]</f>
        <v>0</v>
      </c>
      <c r="AK1450" s="178">
        <f>_xlfn.RANK.EQ(AI1450,$AI$6:$AI$2341,0)+COUNTIF($AI$6:AI1450,AI1450)-1</f>
        <v>1487</v>
      </c>
    </row>
    <row r="1451" spans="1:37" x14ac:dyDescent="0.25">
      <c r="A1451" t="s">
        <v>5899</v>
      </c>
      <c r="B1451">
        <f>_xlfn.XLOOKUP(FME_Ranking1[[#This Row],[FME ID]],FME_Input[FME_ID],FME_Input[RFPG_NUM])</f>
        <v>5</v>
      </c>
      <c r="C1451" t="str">
        <f>_xlfn.XLOOKUP(FME_Ranking1[[#This Row],[FME ID]],FME_Input[FME_ID],FME_Input[FME_NAME])</f>
        <v>Liberty County Culvert Replacement Project</v>
      </c>
      <c r="D1451" t="str">
        <f>_xlfn.XLOOKUP(FME_Ranking1[[#This Row],[FME ID]],FME_Input[FME_ID],FME_Input[DESCR])</f>
        <v xml:space="preserve">Evaluate project to quantify benefits, evaluate impacts, and begin design. Project consists of increasing culvert size in identified flood hazard problem areas within Liberty County.
</v>
      </c>
      <c r="E1451" s="256">
        <f>_xlfn.XLOOKUP(FME_Ranking1[[#This Row],[FME ID]],FME_Input[FME_ID],FME_Input[FME_COST])</f>
        <v>100657</v>
      </c>
      <c r="F1451" t="str">
        <f>_xlfn.XLOOKUP(FME_Ranking1[[#This Row],[FME ID]],FME_Input[FME_ID],FME_Input[EMER_NEED])</f>
        <v>Yes</v>
      </c>
      <c r="G1451">
        <f>IF(FME_Ranking!F1451="Yes",100,0)</f>
        <v>100</v>
      </c>
      <c r="H1451">
        <f>FME_Ranking1[[#This Row],[Emergency Need Score (Normalized, Unweighted)]]*$F$3</f>
        <v>0</v>
      </c>
      <c r="I1451" s="246">
        <f>_xlfn.XLOOKUP(FME_Ranking1[[#This Row],[FME ID]],FME_Input[FME_ID],FME_Input[STRUCT_100])</f>
        <v>116</v>
      </c>
      <c r="J1451" s="178">
        <f>(FME_Ranking1[[#This Row],[Structures 100 Raw]]/I$2)*100</f>
        <v>6.2117122906224564E-2</v>
      </c>
      <c r="K1451" s="178">
        <f>FME_Ranking1[[#This Row],[Structures 100  Score (Normalized, Unweighted)]]*$I$3</f>
        <v>9.317568435933685E-3</v>
      </c>
      <c r="L1451" s="246">
        <f>_xlfn.XLOOKUP(FME_Ranking1[[#This Row],[FME ID]],FME_Input[FME_ID],FME_Input[RES_STRUCT100])</f>
        <v>57</v>
      </c>
      <c r="M1451" s="230">
        <f>(FME_Ranking1[[#This Row],[Res Structures Raw]]/L$2)*100</f>
        <v>4.0373418707767277E-2</v>
      </c>
      <c r="N1451" s="180">
        <f>FME_Ranking1[[#This Row],[Res Structures Score (Normalized, Unweighted)]]*$L$3</f>
        <v>4.0373418707767275E-3</v>
      </c>
      <c r="O1451" s="244">
        <f>_xlfn.XLOOKUP(FME_Ranking1[[#This Row],[FME ID]],FME_Input[FME_ID],FME_Input[POP100])</f>
        <v>143</v>
      </c>
      <c r="P1451" s="178">
        <f>(FME_Ranking1[[#This Row],[Pop Raw]]/$O$2)*100</f>
        <v>1.463966961439315E-2</v>
      </c>
      <c r="Q1451" s="178">
        <f>FME_Ranking1[[#This Row],[Pop Score (Normalized, Unweighted)]]*$O$3</f>
        <v>2.1959504421589725E-3</v>
      </c>
      <c r="R1451" s="137">
        <f>_xlfn.XLOOKUP(FME_Ranking1[[#This Row],[FME ID]],FME_Input[FME_ID],FME_Input[CRITFAC100])</f>
        <v>1</v>
      </c>
      <c r="S1451" s="230">
        <f>(FME_Ranking1[[#This Row],[Critical Facilities Raw]]/$R$2)*100</f>
        <v>4.2881646655231559E-2</v>
      </c>
      <c r="T1451" s="180">
        <f>FME_Ranking1[[#This Row],[Critical Facilities Score (Normalized, Unweighted)]]*$R$3</f>
        <v>8.5763293310463125E-3</v>
      </c>
      <c r="U1451">
        <f>_xlfn.XLOOKUP(FME_Ranking1[[#This Row],[FME ID]],FME_Input[FME_ID],FME_Input[LWC])</f>
        <v>0</v>
      </c>
      <c r="V1451" s="178">
        <f>(FME_Ranking1[[#This Row],[LWC Raw]]/$U$2)*100</f>
        <v>0</v>
      </c>
      <c r="W1451" s="178">
        <f>FME_Ranking1[[#This Row],[LWC Score (Normalized, Unweighted)]]*$U$3</f>
        <v>0</v>
      </c>
      <c r="X1451" s="246">
        <f>_xlfn.XLOOKUP(FME_Ranking1[[#This Row],[FME ID]],FME_Input[FME_ID],FME_Input[ROADCLS])</f>
        <v>0</v>
      </c>
      <c r="Y1451" s="230">
        <f>(FME_Ranking1[[#This Row],[Closures Raw]]/$X$2)*100</f>
        <v>0</v>
      </c>
      <c r="Z1451" s="180">
        <f>FME_Ranking1[[#This Row],[Closures Score (Normalized, Unweighted)]]*$X$3</f>
        <v>0</v>
      </c>
      <c r="AA1451" s="253">
        <f>_xlfn.XLOOKUP(FME_Ranking1[[#This Row],[FME ID]],FME_Input[FME_ID],FME_Input[ROAD_MILES100])</f>
        <v>7.1143298149108887</v>
      </c>
      <c r="AB1451" s="178">
        <f>(FME_Ranking1[[#This Row],[Miles Raw]]/$AA$2)*100</f>
        <v>9.3540676916516408E-2</v>
      </c>
      <c r="AC1451" s="178">
        <f>FME_Ranking1[[#This Row],[Miles Score (Normalized, Unweighted)]]*$AA$3</f>
        <v>9.3540676916516411E-3</v>
      </c>
      <c r="AD1451" s="255">
        <f>_xlfn.XLOOKUP(FME_Ranking1[[#This Row],[FME ID]],FME_Input[FME_ID],FME_Input[FARMACRE100])</f>
        <v>1525.707397460938</v>
      </c>
      <c r="AE1451" s="230">
        <f>(FME_Ranking1[[#This Row],[Ag Land Raw]]/$AD$2)*100</f>
        <v>6.2913343236495334E-2</v>
      </c>
      <c r="AF1451" s="231">
        <f>FME_Ranking1[[#This Row],[Ag Land Score (Normalized, Unweighted)]]*$AD$3</f>
        <v>3.1456671618247667E-3</v>
      </c>
      <c r="AG145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3.6626924933392105E-2</v>
      </c>
      <c r="AH1451" s="406">
        <f t="shared" si="22"/>
        <v>1410</v>
      </c>
      <c r="AI145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3.6626924933392105E-2</v>
      </c>
      <c r="AJ1451" s="257">
        <f>FME_Ranking1[[#This Row],[Addition check]]-FME_Ranking1[[#This Row],[Weighted Score Based on Normalized Reported Factors]]</f>
        <v>0</v>
      </c>
      <c r="AK1451" s="178">
        <f>_xlfn.RANK.EQ(AI1451,$AI$6:$AI$2341,0)+COUNTIF($AI$6:AI1451,AI1451)-1</f>
        <v>1410</v>
      </c>
    </row>
    <row r="1452" spans="1:37" x14ac:dyDescent="0.25">
      <c r="A1452" t="s">
        <v>5906</v>
      </c>
      <c r="B1452">
        <f>_xlfn.XLOOKUP(FME_Ranking1[[#This Row],[FME ID]],FME_Input[FME_ID],FME_Input[RFPG_NUM])</f>
        <v>5</v>
      </c>
      <c r="C1452" t="str">
        <f>_xlfn.XLOOKUP(FME_Ranking1[[#This Row],[FME ID]],FME_Input[FME_ID],FME_Input[FME_NAME])</f>
        <v>Liberty County Update Flood Hazard Mapping</v>
      </c>
      <c r="D1452" t="str">
        <f>_xlfn.XLOOKUP(FME_Ranking1[[#This Row],[FME ID]],FME_Input[FME_ID],FME_Input[DESCR])</f>
        <v>Complete a detailed study within the county extent to delineate an updated flood hazard area, which can be used for regulatory purposes.</v>
      </c>
      <c r="E1452" s="256">
        <f>_xlfn.XLOOKUP(FME_Ranking1[[#This Row],[FME ID]],FME_Input[FME_ID],FME_Input[FME_COST])</f>
        <v>402626</v>
      </c>
      <c r="F1452" t="str">
        <f>_xlfn.XLOOKUP(FME_Ranking1[[#This Row],[FME ID]],FME_Input[FME_ID],FME_Input[EMER_NEED])</f>
        <v>Yes</v>
      </c>
      <c r="G1452">
        <f>IF(FME_Ranking!F1452="Yes",100,0)</f>
        <v>100</v>
      </c>
      <c r="H1452">
        <f>FME_Ranking1[[#This Row],[Emergency Need Score (Normalized, Unweighted)]]*$F$3</f>
        <v>0</v>
      </c>
      <c r="I1452" s="246">
        <f>_xlfn.XLOOKUP(FME_Ranking1[[#This Row],[FME ID]],FME_Input[FME_ID],FME_Input[STRUCT_100])</f>
        <v>116</v>
      </c>
      <c r="J1452" s="178">
        <f>(FME_Ranking1[[#This Row],[Structures 100 Raw]]/I$2)*100</f>
        <v>6.2117122906224564E-2</v>
      </c>
      <c r="K1452" s="178">
        <f>FME_Ranking1[[#This Row],[Structures 100  Score (Normalized, Unweighted)]]*$I$3</f>
        <v>9.317568435933685E-3</v>
      </c>
      <c r="L1452" s="246">
        <f>_xlfn.XLOOKUP(FME_Ranking1[[#This Row],[FME ID]],FME_Input[FME_ID],FME_Input[RES_STRUCT100])</f>
        <v>57</v>
      </c>
      <c r="M1452" s="230">
        <f>(FME_Ranking1[[#This Row],[Res Structures Raw]]/L$2)*100</f>
        <v>4.0373418707767277E-2</v>
      </c>
      <c r="N1452" s="180">
        <f>FME_Ranking1[[#This Row],[Res Structures Score (Normalized, Unweighted)]]*$L$3</f>
        <v>4.0373418707767275E-3</v>
      </c>
      <c r="O1452" s="244">
        <f>_xlfn.XLOOKUP(FME_Ranking1[[#This Row],[FME ID]],FME_Input[FME_ID],FME_Input[POP100])</f>
        <v>143</v>
      </c>
      <c r="P1452" s="178">
        <f>(FME_Ranking1[[#This Row],[Pop Raw]]/$O$2)*100</f>
        <v>1.463966961439315E-2</v>
      </c>
      <c r="Q1452" s="178">
        <f>FME_Ranking1[[#This Row],[Pop Score (Normalized, Unweighted)]]*$O$3</f>
        <v>2.1959504421589725E-3</v>
      </c>
      <c r="R1452" s="137">
        <f>_xlfn.XLOOKUP(FME_Ranking1[[#This Row],[FME ID]],FME_Input[FME_ID],FME_Input[CRITFAC100])</f>
        <v>1</v>
      </c>
      <c r="S1452" s="230">
        <f>(FME_Ranking1[[#This Row],[Critical Facilities Raw]]/$R$2)*100</f>
        <v>4.2881646655231559E-2</v>
      </c>
      <c r="T1452" s="180">
        <f>FME_Ranking1[[#This Row],[Critical Facilities Score (Normalized, Unweighted)]]*$R$3</f>
        <v>8.5763293310463125E-3</v>
      </c>
      <c r="U1452">
        <f>_xlfn.XLOOKUP(FME_Ranking1[[#This Row],[FME ID]],FME_Input[FME_ID],FME_Input[LWC])</f>
        <v>0</v>
      </c>
      <c r="V1452" s="178">
        <f>(FME_Ranking1[[#This Row],[LWC Raw]]/$U$2)*100</f>
        <v>0</v>
      </c>
      <c r="W1452" s="178">
        <f>FME_Ranking1[[#This Row],[LWC Score (Normalized, Unweighted)]]*$U$3</f>
        <v>0</v>
      </c>
      <c r="X1452" s="246">
        <f>_xlfn.XLOOKUP(FME_Ranking1[[#This Row],[FME ID]],FME_Input[FME_ID],FME_Input[ROADCLS])</f>
        <v>0</v>
      </c>
      <c r="Y1452" s="230">
        <f>(FME_Ranking1[[#This Row],[Closures Raw]]/$X$2)*100</f>
        <v>0</v>
      </c>
      <c r="Z1452" s="180">
        <f>FME_Ranking1[[#This Row],[Closures Score (Normalized, Unweighted)]]*$X$3</f>
        <v>0</v>
      </c>
      <c r="AA1452" s="253">
        <f>_xlfn.XLOOKUP(FME_Ranking1[[#This Row],[FME ID]],FME_Input[FME_ID],FME_Input[ROAD_MILES100])</f>
        <v>7.1143298149108887</v>
      </c>
      <c r="AB1452" s="178">
        <f>(FME_Ranking1[[#This Row],[Miles Raw]]/$AA$2)*100</f>
        <v>9.3540676916516408E-2</v>
      </c>
      <c r="AC1452" s="178">
        <f>FME_Ranking1[[#This Row],[Miles Score (Normalized, Unweighted)]]*$AA$3</f>
        <v>9.3540676916516411E-3</v>
      </c>
      <c r="AD1452" s="255">
        <f>_xlfn.XLOOKUP(FME_Ranking1[[#This Row],[FME ID]],FME_Input[FME_ID],FME_Input[FARMACRE100])</f>
        <v>1525.707397460938</v>
      </c>
      <c r="AE1452" s="230">
        <f>(FME_Ranking1[[#This Row],[Ag Land Raw]]/$AD$2)*100</f>
        <v>6.2913343236495334E-2</v>
      </c>
      <c r="AF1452" s="231">
        <f>FME_Ranking1[[#This Row],[Ag Land Score (Normalized, Unweighted)]]*$AD$3</f>
        <v>3.1456671618247667E-3</v>
      </c>
      <c r="AG145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3.6626924933392105E-2</v>
      </c>
      <c r="AH1452" s="406">
        <f t="shared" si="22"/>
        <v>1410</v>
      </c>
      <c r="AI145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3.6626924933392105E-2</v>
      </c>
      <c r="AJ1452" s="257">
        <f>FME_Ranking1[[#This Row],[Addition check]]-FME_Ranking1[[#This Row],[Weighted Score Based on Normalized Reported Factors]]</f>
        <v>0</v>
      </c>
      <c r="AK1452" s="178">
        <f>_xlfn.RANK.EQ(AI1452,$AI$6:$AI$2341,0)+COUNTIF($AI$6:AI1452,AI1452)-1</f>
        <v>1411</v>
      </c>
    </row>
    <row r="1453" spans="1:37" x14ac:dyDescent="0.25">
      <c r="A1453" t="s">
        <v>6098</v>
      </c>
      <c r="B1453">
        <f>_xlfn.XLOOKUP(FME_Ranking1[[#This Row],[FME ID]],FME_Input[FME_ID],FME_Input[RFPG_NUM])</f>
        <v>5</v>
      </c>
      <c r="C1453" t="str">
        <f>_xlfn.XLOOKUP(FME_Ranking1[[#This Row],[FME ID]],FME_Input[FME_ID],FME_Input[FME_NAME])</f>
        <v>Liberty County Master Drainage Plan</v>
      </c>
      <c r="D1453" t="str">
        <f>_xlfn.XLOOKUP(FME_Ranking1[[#This Row],[FME ID]],FME_Input[FME_ID],FME_Input[DESCR])</f>
        <v>Complete a county wide drainage plan, which can be used for regulatory purposes.</v>
      </c>
      <c r="E1453" s="256">
        <f>_xlfn.XLOOKUP(FME_Ranking1[[#This Row],[FME ID]],FME_Input[FME_ID],FME_Input[FME_COST])</f>
        <v>201313</v>
      </c>
      <c r="F1453" t="str">
        <f>_xlfn.XLOOKUP(FME_Ranking1[[#This Row],[FME ID]],FME_Input[FME_ID],FME_Input[EMER_NEED])</f>
        <v>Yes</v>
      </c>
      <c r="G1453">
        <f>IF(FME_Ranking!F1453="Yes",100,0)</f>
        <v>100</v>
      </c>
      <c r="H1453">
        <f>FME_Ranking1[[#This Row],[Emergency Need Score (Normalized, Unweighted)]]*$F$3</f>
        <v>0</v>
      </c>
      <c r="I1453" s="246">
        <f>_xlfn.XLOOKUP(FME_Ranking1[[#This Row],[FME ID]],FME_Input[FME_ID],FME_Input[STRUCT_100])</f>
        <v>116</v>
      </c>
      <c r="J1453" s="178">
        <f>(FME_Ranking1[[#This Row],[Structures 100 Raw]]/I$2)*100</f>
        <v>6.2117122906224564E-2</v>
      </c>
      <c r="K1453" s="178">
        <f>FME_Ranking1[[#This Row],[Structures 100  Score (Normalized, Unweighted)]]*$I$3</f>
        <v>9.317568435933685E-3</v>
      </c>
      <c r="L1453" s="246">
        <f>_xlfn.XLOOKUP(FME_Ranking1[[#This Row],[FME ID]],FME_Input[FME_ID],FME_Input[RES_STRUCT100])</f>
        <v>57</v>
      </c>
      <c r="M1453" s="230">
        <f>(FME_Ranking1[[#This Row],[Res Structures Raw]]/L$2)*100</f>
        <v>4.0373418707767277E-2</v>
      </c>
      <c r="N1453" s="180">
        <f>FME_Ranking1[[#This Row],[Res Structures Score (Normalized, Unweighted)]]*$L$3</f>
        <v>4.0373418707767275E-3</v>
      </c>
      <c r="O1453" s="244">
        <f>_xlfn.XLOOKUP(FME_Ranking1[[#This Row],[FME ID]],FME_Input[FME_ID],FME_Input[POP100])</f>
        <v>143</v>
      </c>
      <c r="P1453" s="178">
        <f>(FME_Ranking1[[#This Row],[Pop Raw]]/$O$2)*100</f>
        <v>1.463966961439315E-2</v>
      </c>
      <c r="Q1453" s="178">
        <f>FME_Ranking1[[#This Row],[Pop Score (Normalized, Unweighted)]]*$O$3</f>
        <v>2.1959504421589725E-3</v>
      </c>
      <c r="R1453" s="137">
        <f>_xlfn.XLOOKUP(FME_Ranking1[[#This Row],[FME ID]],FME_Input[FME_ID],FME_Input[CRITFAC100])</f>
        <v>1</v>
      </c>
      <c r="S1453" s="230">
        <f>(FME_Ranking1[[#This Row],[Critical Facilities Raw]]/$R$2)*100</f>
        <v>4.2881646655231559E-2</v>
      </c>
      <c r="T1453" s="180">
        <f>FME_Ranking1[[#This Row],[Critical Facilities Score (Normalized, Unweighted)]]*$R$3</f>
        <v>8.5763293310463125E-3</v>
      </c>
      <c r="U1453">
        <f>_xlfn.XLOOKUP(FME_Ranking1[[#This Row],[FME ID]],FME_Input[FME_ID],FME_Input[LWC])</f>
        <v>0</v>
      </c>
      <c r="V1453" s="178">
        <f>(FME_Ranking1[[#This Row],[LWC Raw]]/$U$2)*100</f>
        <v>0</v>
      </c>
      <c r="W1453" s="178">
        <f>FME_Ranking1[[#This Row],[LWC Score (Normalized, Unweighted)]]*$U$3</f>
        <v>0</v>
      </c>
      <c r="X1453" s="246">
        <f>_xlfn.XLOOKUP(FME_Ranking1[[#This Row],[FME ID]],FME_Input[FME_ID],FME_Input[ROADCLS])</f>
        <v>0</v>
      </c>
      <c r="Y1453" s="230">
        <f>(FME_Ranking1[[#This Row],[Closures Raw]]/$X$2)*100</f>
        <v>0</v>
      </c>
      <c r="Z1453" s="180">
        <f>FME_Ranking1[[#This Row],[Closures Score (Normalized, Unweighted)]]*$X$3</f>
        <v>0</v>
      </c>
      <c r="AA1453" s="253">
        <f>_xlfn.XLOOKUP(FME_Ranking1[[#This Row],[FME ID]],FME_Input[FME_ID],FME_Input[ROAD_MILES100])</f>
        <v>7.1143298149108887</v>
      </c>
      <c r="AB1453" s="178">
        <f>(FME_Ranking1[[#This Row],[Miles Raw]]/$AA$2)*100</f>
        <v>9.3540676916516408E-2</v>
      </c>
      <c r="AC1453" s="178">
        <f>FME_Ranking1[[#This Row],[Miles Score (Normalized, Unweighted)]]*$AA$3</f>
        <v>9.3540676916516411E-3</v>
      </c>
      <c r="AD1453" s="255">
        <f>_xlfn.XLOOKUP(FME_Ranking1[[#This Row],[FME ID]],FME_Input[FME_ID],FME_Input[FARMACRE100])</f>
        <v>1525.707397460938</v>
      </c>
      <c r="AE1453" s="230">
        <f>(FME_Ranking1[[#This Row],[Ag Land Raw]]/$AD$2)*100</f>
        <v>6.2913343236495334E-2</v>
      </c>
      <c r="AF1453" s="231">
        <f>FME_Ranking1[[#This Row],[Ag Land Score (Normalized, Unweighted)]]*$AD$3</f>
        <v>3.1456671618247667E-3</v>
      </c>
      <c r="AG145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3.6626924933392105E-2</v>
      </c>
      <c r="AH1453" s="406">
        <f t="shared" si="22"/>
        <v>1410</v>
      </c>
      <c r="AI145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3.6626924933392105E-2</v>
      </c>
      <c r="AJ1453" s="257">
        <f>FME_Ranking1[[#This Row],[Addition check]]-FME_Ranking1[[#This Row],[Weighted Score Based on Normalized Reported Factors]]</f>
        <v>0</v>
      </c>
      <c r="AK1453" s="178">
        <f>_xlfn.RANK.EQ(AI1453,$AI$6:$AI$2341,0)+COUNTIF($AI$6:AI1453,AI1453)-1</f>
        <v>1412</v>
      </c>
    </row>
    <row r="1454" spans="1:37" x14ac:dyDescent="0.25">
      <c r="A1454" t="s">
        <v>6103</v>
      </c>
      <c r="B1454">
        <f>_xlfn.XLOOKUP(FME_Ranking1[[#This Row],[FME ID]],FME_Input[FME_ID],FME_Input[RFPG_NUM])</f>
        <v>5</v>
      </c>
      <c r="C1454" t="str">
        <f>_xlfn.XLOOKUP(FME_Ranking1[[#This Row],[FME ID]],FME_Input[FME_ID],FME_Input[FME_NAME])</f>
        <v>Liberty County Recanalization Feasibility Study</v>
      </c>
      <c r="D1454" t="str">
        <f>_xlfn.XLOOKUP(FME_Ranking1[[#This Row],[FME ID]],FME_Input[FME_ID],FME_Input[DESCR])</f>
        <v xml:space="preserve">Evaluate project to quantify benefits, evaluate impacts, and begin design. Project consists of dechannelizing existing feeder creeks that flow from north to south and improve drainage for storm water runoff.
</v>
      </c>
      <c r="E1454" s="256">
        <f>_xlfn.XLOOKUP(FME_Ranking1[[#This Row],[FME ID]],FME_Input[FME_ID],FME_Input[FME_COST])</f>
        <v>26171</v>
      </c>
      <c r="F1454" t="str">
        <f>_xlfn.XLOOKUP(FME_Ranking1[[#This Row],[FME ID]],FME_Input[FME_ID],FME_Input[EMER_NEED])</f>
        <v>Yes</v>
      </c>
      <c r="G1454">
        <f>IF(FME_Ranking!F1454="Yes",100,0)</f>
        <v>100</v>
      </c>
      <c r="H1454">
        <f>FME_Ranking1[[#This Row],[Emergency Need Score (Normalized, Unweighted)]]*$F$3</f>
        <v>0</v>
      </c>
      <c r="I1454" s="246">
        <f>_xlfn.XLOOKUP(FME_Ranking1[[#This Row],[FME ID]],FME_Input[FME_ID],FME_Input[STRUCT_100])</f>
        <v>116</v>
      </c>
      <c r="J1454" s="178">
        <f>(FME_Ranking1[[#This Row],[Structures 100 Raw]]/I$2)*100</f>
        <v>6.2117122906224564E-2</v>
      </c>
      <c r="K1454" s="178">
        <f>FME_Ranking1[[#This Row],[Structures 100  Score (Normalized, Unweighted)]]*$I$3</f>
        <v>9.317568435933685E-3</v>
      </c>
      <c r="L1454" s="246">
        <f>_xlfn.XLOOKUP(FME_Ranking1[[#This Row],[FME ID]],FME_Input[FME_ID],FME_Input[RES_STRUCT100])</f>
        <v>57</v>
      </c>
      <c r="M1454" s="230">
        <f>(FME_Ranking1[[#This Row],[Res Structures Raw]]/L$2)*100</f>
        <v>4.0373418707767277E-2</v>
      </c>
      <c r="N1454" s="180">
        <f>FME_Ranking1[[#This Row],[Res Structures Score (Normalized, Unweighted)]]*$L$3</f>
        <v>4.0373418707767275E-3</v>
      </c>
      <c r="O1454" s="244">
        <f>_xlfn.XLOOKUP(FME_Ranking1[[#This Row],[FME ID]],FME_Input[FME_ID],FME_Input[POP100])</f>
        <v>143</v>
      </c>
      <c r="P1454" s="178">
        <f>(FME_Ranking1[[#This Row],[Pop Raw]]/$O$2)*100</f>
        <v>1.463966961439315E-2</v>
      </c>
      <c r="Q1454" s="178">
        <f>FME_Ranking1[[#This Row],[Pop Score (Normalized, Unweighted)]]*$O$3</f>
        <v>2.1959504421589725E-3</v>
      </c>
      <c r="R1454" s="137">
        <f>_xlfn.XLOOKUP(FME_Ranking1[[#This Row],[FME ID]],FME_Input[FME_ID],FME_Input[CRITFAC100])</f>
        <v>1</v>
      </c>
      <c r="S1454" s="230">
        <f>(FME_Ranking1[[#This Row],[Critical Facilities Raw]]/$R$2)*100</f>
        <v>4.2881646655231559E-2</v>
      </c>
      <c r="T1454" s="180">
        <f>FME_Ranking1[[#This Row],[Critical Facilities Score (Normalized, Unweighted)]]*$R$3</f>
        <v>8.5763293310463125E-3</v>
      </c>
      <c r="U1454">
        <f>_xlfn.XLOOKUP(FME_Ranking1[[#This Row],[FME ID]],FME_Input[FME_ID],FME_Input[LWC])</f>
        <v>0</v>
      </c>
      <c r="V1454" s="178">
        <f>(FME_Ranking1[[#This Row],[LWC Raw]]/$U$2)*100</f>
        <v>0</v>
      </c>
      <c r="W1454" s="178">
        <f>FME_Ranking1[[#This Row],[LWC Score (Normalized, Unweighted)]]*$U$3</f>
        <v>0</v>
      </c>
      <c r="X1454" s="246">
        <f>_xlfn.XLOOKUP(FME_Ranking1[[#This Row],[FME ID]],FME_Input[FME_ID],FME_Input[ROADCLS])</f>
        <v>0</v>
      </c>
      <c r="Y1454" s="230">
        <f>(FME_Ranking1[[#This Row],[Closures Raw]]/$X$2)*100</f>
        <v>0</v>
      </c>
      <c r="Z1454" s="180">
        <f>FME_Ranking1[[#This Row],[Closures Score (Normalized, Unweighted)]]*$X$3</f>
        <v>0</v>
      </c>
      <c r="AA1454" s="253">
        <f>_xlfn.XLOOKUP(FME_Ranking1[[#This Row],[FME ID]],FME_Input[FME_ID],FME_Input[ROAD_MILES100])</f>
        <v>7.1143298149108887</v>
      </c>
      <c r="AB1454" s="178">
        <f>(FME_Ranking1[[#This Row],[Miles Raw]]/$AA$2)*100</f>
        <v>9.3540676916516408E-2</v>
      </c>
      <c r="AC1454" s="178">
        <f>FME_Ranking1[[#This Row],[Miles Score (Normalized, Unweighted)]]*$AA$3</f>
        <v>9.3540676916516411E-3</v>
      </c>
      <c r="AD1454" s="255">
        <f>_xlfn.XLOOKUP(FME_Ranking1[[#This Row],[FME ID]],FME_Input[FME_ID],FME_Input[FARMACRE100])</f>
        <v>1525.707397460938</v>
      </c>
      <c r="AE1454" s="230">
        <f>(FME_Ranking1[[#This Row],[Ag Land Raw]]/$AD$2)*100</f>
        <v>6.2913343236495334E-2</v>
      </c>
      <c r="AF1454" s="231">
        <f>FME_Ranking1[[#This Row],[Ag Land Score (Normalized, Unweighted)]]*$AD$3</f>
        <v>3.1456671618247667E-3</v>
      </c>
      <c r="AG145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3.6626924933392105E-2</v>
      </c>
      <c r="AH1454" s="406">
        <f t="shared" si="22"/>
        <v>1410</v>
      </c>
      <c r="AI145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3.6626924933392105E-2</v>
      </c>
      <c r="AJ1454" s="257">
        <f>FME_Ranking1[[#This Row],[Addition check]]-FME_Ranking1[[#This Row],[Weighted Score Based on Normalized Reported Factors]]</f>
        <v>0</v>
      </c>
      <c r="AK1454" s="178">
        <f>_xlfn.RANK.EQ(AI1454,$AI$6:$AI$2341,0)+COUNTIF($AI$6:AI1454,AI1454)-1</f>
        <v>1413</v>
      </c>
    </row>
    <row r="1455" spans="1:37" x14ac:dyDescent="0.25">
      <c r="A1455" t="s">
        <v>9573</v>
      </c>
      <c r="B1455">
        <f>_xlfn.XLOOKUP(FME_Ranking1[[#This Row],[FME ID]],FME_Input[FME_ID],FME_Input[RFPG_NUM])</f>
        <v>12</v>
      </c>
      <c r="C1455" t="str">
        <f>_xlfn.XLOOKUP(FME_Ranking1[[#This Row],[FME ID]],FME_Input[FME_ID],FME_Input[FME_NAME])</f>
        <v>LWC# 101 Rittiman Creek @ Gibbs Sprawl</v>
      </c>
      <c r="D1455" t="str">
        <f>_xlfn.XLOOKUP(FME_Ranking1[[#This Row],[FME ID]],FME_Input[FME_ID],FME_Input[DESCR])</f>
        <v>This proposed planning study adds culverts at the railroad crossing, upgrades the earthen channel in the park from the westerly property line to Rittiman road, and installation of larger box culverts at the Gibbs Sprawl LWC which requires Gibbs Sprawl</v>
      </c>
      <c r="E1455" s="256">
        <f>_xlfn.XLOOKUP(FME_Ranking1[[#This Row],[FME ID]],FME_Input[FME_ID],FME_Input[FME_COST])</f>
        <v>10973440</v>
      </c>
      <c r="F1455" t="str">
        <f>_xlfn.XLOOKUP(FME_Ranking1[[#This Row],[FME ID]],FME_Input[FME_ID],FME_Input[EMER_NEED])</f>
        <v>Yes</v>
      </c>
      <c r="G1455">
        <f>IF(FME_Ranking!F1455="Yes",100,0)</f>
        <v>100</v>
      </c>
      <c r="H1455">
        <f>FME_Ranking1[[#This Row],[Emergency Need Score (Normalized, Unweighted)]]*$F$3</f>
        <v>0</v>
      </c>
      <c r="I1455" s="246">
        <f>_xlfn.XLOOKUP(FME_Ranking1[[#This Row],[FME ID]],FME_Input[FME_ID],FME_Input[STRUCT_100])</f>
        <v>64</v>
      </c>
      <c r="J1455" s="178">
        <f>(FME_Ranking1[[#This Row],[Structures 100 Raw]]/I$2)*100</f>
        <v>3.4271516086192867E-2</v>
      </c>
      <c r="K1455" s="178">
        <f>FME_Ranking1[[#This Row],[Structures 100  Score (Normalized, Unweighted)]]*$I$3</f>
        <v>5.1407274129289301E-3</v>
      </c>
      <c r="L1455" s="246">
        <f>_xlfn.XLOOKUP(FME_Ranking1[[#This Row],[FME ID]],FME_Input[FME_ID],FME_Input[RES_STRUCT100])</f>
        <v>63</v>
      </c>
      <c r="M1455" s="230">
        <f>(FME_Ranking1[[#This Row],[Res Structures Raw]]/L$2)*100</f>
        <v>4.4623252255953309E-2</v>
      </c>
      <c r="N1455" s="180">
        <f>FME_Ranking1[[#This Row],[Res Structures Score (Normalized, Unweighted)]]*$L$3</f>
        <v>4.4623252255953311E-3</v>
      </c>
      <c r="O1455" s="244">
        <f>_xlfn.XLOOKUP(FME_Ranking1[[#This Row],[FME ID]],FME_Input[FME_ID],FME_Input[POP100])</f>
        <v>181</v>
      </c>
      <c r="P1455" s="178">
        <f>(FME_Ranking1[[#This Row],[Pop Raw]]/$O$2)*100</f>
        <v>1.8529931469966156E-2</v>
      </c>
      <c r="Q1455" s="178">
        <f>FME_Ranking1[[#This Row],[Pop Score (Normalized, Unweighted)]]*$O$3</f>
        <v>2.7794897204949233E-3</v>
      </c>
      <c r="R1455" s="137">
        <f>_xlfn.XLOOKUP(FME_Ranking1[[#This Row],[FME ID]],FME_Input[FME_ID],FME_Input[CRITFAC100])</f>
        <v>0</v>
      </c>
      <c r="S1455" s="230">
        <f>(FME_Ranking1[[#This Row],[Critical Facilities Raw]]/$R$2)*100</f>
        <v>0</v>
      </c>
      <c r="T1455" s="180">
        <f>FME_Ranking1[[#This Row],[Critical Facilities Score (Normalized, Unweighted)]]*$R$3</f>
        <v>0</v>
      </c>
      <c r="U1455">
        <f>_xlfn.XLOOKUP(FME_Ranking1[[#This Row],[FME ID]],FME_Input[FME_ID],FME_Input[LWC])</f>
        <v>1</v>
      </c>
      <c r="V1455" s="178">
        <f>(FME_Ranking1[[#This Row],[LWC Raw]]/$U$2)*100</f>
        <v>5.7570523891767422E-2</v>
      </c>
      <c r="W1455" s="178">
        <f>FME_Ranking1[[#This Row],[LWC Score (Normalized, Unweighted)]]*$U$3</f>
        <v>1.1514104778353485E-2</v>
      </c>
      <c r="X1455" s="246">
        <f>_xlfn.XLOOKUP(FME_Ranking1[[#This Row],[FME ID]],FME_Input[FME_ID],FME_Input[ROADCLS])</f>
        <v>6</v>
      </c>
      <c r="Y1455" s="230">
        <f>(FME_Ranking1[[#This Row],[Closures Raw]]/$X$2)*100</f>
        <v>6.3084849122069186E-2</v>
      </c>
      <c r="Z1455" s="180">
        <f>FME_Ranking1[[#This Row],[Closures Score (Normalized, Unweighted)]]*$X$3</f>
        <v>3.1542424561034595E-3</v>
      </c>
      <c r="AA1455" s="253">
        <f>_xlfn.XLOOKUP(FME_Ranking1[[#This Row],[FME ID]],FME_Input[FME_ID],FME_Input[ROAD_MILES100])</f>
        <v>0.87999999523162842</v>
      </c>
      <c r="AB1455" s="178">
        <f>(FME_Ranking1[[#This Row],[Miles Raw]]/$AA$2)*100</f>
        <v>1.1570421583206959E-2</v>
      </c>
      <c r="AC1455" s="178">
        <f>FME_Ranking1[[#This Row],[Miles Score (Normalized, Unweighted)]]*$AA$3</f>
        <v>1.157042158320696E-3</v>
      </c>
      <c r="AD1455" s="255">
        <f>_xlfn.XLOOKUP(FME_Ranking1[[#This Row],[FME ID]],FME_Input[FME_ID],FME_Input[FARMACRE100])</f>
        <v>0</v>
      </c>
      <c r="AE1455" s="230">
        <f>(FME_Ranking1[[#This Row],[Ag Land Raw]]/$AD$2)*100</f>
        <v>0</v>
      </c>
      <c r="AF1455" s="231">
        <f>FME_Ranking1[[#This Row],[Ag Land Score (Normalized, Unweighted)]]*$AD$3</f>
        <v>0</v>
      </c>
      <c r="AG145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2.8207931751796825E-2</v>
      </c>
      <c r="AH1455" s="406">
        <f t="shared" si="22"/>
        <v>1483</v>
      </c>
      <c r="AI145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2.8207931751796825E-2</v>
      </c>
      <c r="AJ1455" s="257">
        <f>FME_Ranking1[[#This Row],[Addition check]]-FME_Ranking1[[#This Row],[Weighted Score Based on Normalized Reported Factors]]</f>
        <v>0</v>
      </c>
      <c r="AK1455" s="178">
        <f>_xlfn.RANK.EQ(AI1455,$AI$6:$AI$2341,0)+COUNTIF($AI$6:AI1455,AI1455)-1</f>
        <v>1483</v>
      </c>
    </row>
    <row r="1456" spans="1:37" x14ac:dyDescent="0.25">
      <c r="A1456" t="s">
        <v>9874</v>
      </c>
      <c r="B1456">
        <f>_xlfn.XLOOKUP(FME_Ranking1[[#This Row],[FME ID]],FME_Input[FME_ID],FME_Input[RFPG_NUM])</f>
        <v>12</v>
      </c>
      <c r="C1456" t="str">
        <f>_xlfn.XLOOKUP(FME_Ranking1[[#This Row],[FME ID]],FME_Input[FME_ID],FME_Input[FME_NAME])</f>
        <v>Rockwood Creek (SA-39)</v>
      </c>
      <c r="D1456" t="str">
        <f>_xlfn.XLOOKUP(FME_Ranking1[[#This Row],[FME ID]],FME_Input[FME_ID],FME_Input[DESCR])</f>
        <v>Engineering study to assess the removal of properties and residential structures from the 100-Yr flood plain along Rockwood Creek upstream of the San Antonio River and River Side Golf Course.</v>
      </c>
      <c r="E1456" s="256">
        <f>_xlfn.XLOOKUP(FME_Ranking1[[#This Row],[FME ID]],FME_Input[FME_ID],FME_Input[FME_COST])</f>
        <v>100000</v>
      </c>
      <c r="F1456" t="str">
        <f>_xlfn.XLOOKUP(FME_Ranking1[[#This Row],[FME ID]],FME_Input[FME_ID],FME_Input[EMER_NEED])</f>
        <v>Yes</v>
      </c>
      <c r="G1456">
        <f>IF(FME_Ranking!F1456="Yes",100,0)</f>
        <v>100</v>
      </c>
      <c r="H1456">
        <f>FME_Ranking1[[#This Row],[Emergency Need Score (Normalized, Unweighted)]]*$F$3</f>
        <v>0</v>
      </c>
      <c r="I1456" s="246">
        <f>_xlfn.XLOOKUP(FME_Ranking1[[#This Row],[FME ID]],FME_Input[FME_ID],FME_Input[STRUCT_100])</f>
        <v>120</v>
      </c>
      <c r="J1456" s="178">
        <f>(FME_Ranking1[[#This Row],[Structures 100 Raw]]/I$2)*100</f>
        <v>6.4259092661611616E-2</v>
      </c>
      <c r="K1456" s="178">
        <f>FME_Ranking1[[#This Row],[Structures 100  Score (Normalized, Unweighted)]]*$I$3</f>
        <v>9.6388638992417428E-3</v>
      </c>
      <c r="L1456" s="246">
        <f>_xlfn.XLOOKUP(FME_Ranking1[[#This Row],[FME ID]],FME_Input[FME_ID],FME_Input[RES_STRUCT100])</f>
        <v>108</v>
      </c>
      <c r="M1456" s="230">
        <f>(FME_Ranking1[[#This Row],[Res Structures Raw]]/L$2)*100</f>
        <v>7.6497003867348534E-2</v>
      </c>
      <c r="N1456" s="180">
        <f>FME_Ranking1[[#This Row],[Res Structures Score (Normalized, Unweighted)]]*$L$3</f>
        <v>7.6497003867348539E-3</v>
      </c>
      <c r="O1456" s="244">
        <f>_xlfn.XLOOKUP(FME_Ranking1[[#This Row],[FME ID]],FME_Input[FME_ID],FME_Input[POP100])</f>
        <v>293</v>
      </c>
      <c r="P1456" s="178">
        <f>(FME_Ranking1[[#This Row],[Pop Raw]]/$O$2)*100</f>
        <v>2.9995966412707645E-2</v>
      </c>
      <c r="Q1456" s="178">
        <f>FME_Ranking1[[#This Row],[Pop Score (Normalized, Unweighted)]]*$O$3</f>
        <v>4.4993949619061462E-3</v>
      </c>
      <c r="R1456" s="137">
        <f>_xlfn.XLOOKUP(FME_Ranking1[[#This Row],[FME ID]],FME_Input[FME_ID],FME_Input[CRITFAC100])</f>
        <v>0</v>
      </c>
      <c r="S1456" s="230">
        <f>(FME_Ranking1[[#This Row],[Critical Facilities Raw]]/$R$2)*100</f>
        <v>0</v>
      </c>
      <c r="T1456" s="180">
        <f>FME_Ranking1[[#This Row],[Critical Facilities Score (Normalized, Unweighted)]]*$R$3</f>
        <v>0</v>
      </c>
      <c r="U1456">
        <f>_xlfn.XLOOKUP(FME_Ranking1[[#This Row],[FME ID]],FME_Input[FME_ID],FME_Input[LWC])</f>
        <v>0</v>
      </c>
      <c r="V1456" s="178">
        <f>(FME_Ranking1[[#This Row],[LWC Raw]]/$U$2)*100</f>
        <v>0</v>
      </c>
      <c r="W1456" s="178">
        <f>FME_Ranking1[[#This Row],[LWC Score (Normalized, Unweighted)]]*$U$3</f>
        <v>0</v>
      </c>
      <c r="X1456" s="246">
        <f>_xlfn.XLOOKUP(FME_Ranking1[[#This Row],[FME ID]],FME_Input[FME_ID],FME_Input[ROADCLS])</f>
        <v>10</v>
      </c>
      <c r="Y1456" s="230">
        <f>(FME_Ranking1[[#This Row],[Closures Raw]]/$X$2)*100</f>
        <v>0.10514141520344865</v>
      </c>
      <c r="Z1456" s="180">
        <f>FME_Ranking1[[#This Row],[Closures Score (Normalized, Unweighted)]]*$X$3</f>
        <v>5.2570707601724328E-3</v>
      </c>
      <c r="AA1456" s="253">
        <f>_xlfn.XLOOKUP(FME_Ranking1[[#This Row],[FME ID]],FME_Input[FME_ID],FME_Input[ROAD_MILES100])</f>
        <v>0.76999998092651367</v>
      </c>
      <c r="AB1456" s="178">
        <f>(FME_Ranking1[[#This Row],[Miles Raw]]/$AA$2)*100</f>
        <v>1.0124118689382547E-2</v>
      </c>
      <c r="AC1456" s="178">
        <f>FME_Ranking1[[#This Row],[Miles Score (Normalized, Unweighted)]]*$AA$3</f>
        <v>1.0124118689382549E-3</v>
      </c>
      <c r="AD1456" s="255">
        <f>_xlfn.XLOOKUP(FME_Ranking1[[#This Row],[FME ID]],FME_Input[FME_ID],FME_Input[FARMACRE100])</f>
        <v>0</v>
      </c>
      <c r="AE1456" s="230">
        <f>(FME_Ranking1[[#This Row],[Ag Land Raw]]/$AD$2)*100</f>
        <v>0</v>
      </c>
      <c r="AF1456" s="231">
        <f>FME_Ranking1[[#This Row],[Ag Land Score (Normalized, Unweighted)]]*$AD$3</f>
        <v>0</v>
      </c>
      <c r="AG145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2.8057441876993428E-2</v>
      </c>
      <c r="AH1456" s="406">
        <f t="shared" si="22"/>
        <v>1484</v>
      </c>
      <c r="AI145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2.8057441876993428E-2</v>
      </c>
      <c r="AJ1456" s="257">
        <f>FME_Ranking1[[#This Row],[Addition check]]-FME_Ranking1[[#This Row],[Weighted Score Based on Normalized Reported Factors]]</f>
        <v>0</v>
      </c>
      <c r="AK1456" s="178">
        <f>_xlfn.RANK.EQ(AI1456,$AI$6:$AI$2341,0)+COUNTIF($AI$6:AI1456,AI1456)-1</f>
        <v>1484</v>
      </c>
    </row>
    <row r="1457" spans="1:37" x14ac:dyDescent="0.25">
      <c r="A1457" t="s">
        <v>6113</v>
      </c>
      <c r="B1457">
        <f>_xlfn.XLOOKUP(FME_Ranking1[[#This Row],[FME ID]],FME_Input[FME_ID],FME_Input[RFPG_NUM])</f>
        <v>5</v>
      </c>
      <c r="C1457" t="str">
        <f>_xlfn.XLOOKUP(FME_Ranking1[[#This Row],[FME ID]],FME_Input[FME_ID],FME_Input[FME_NAME])</f>
        <v>Shawnee Creek Concrete Canal</v>
      </c>
      <c r="D1457" t="str">
        <f>_xlfn.XLOOKUP(FME_Ranking1[[#This Row],[FME ID]],FME_Input[FME_ID],FME_Input[DESCR])</f>
        <v>Evaluate project to quantify benefits, evaluate impacts, and begin design for a concrete canal for Shawnee Creek from Louisiana Street to 6th Street.</v>
      </c>
      <c r="E1457" s="256">
        <f>_xlfn.XLOOKUP(FME_Ranking1[[#This Row],[FME ID]],FME_Input[FME_ID],FME_Input[FME_COST])</f>
        <v>390000</v>
      </c>
      <c r="F1457" t="str">
        <f>_xlfn.XLOOKUP(FME_Ranking1[[#This Row],[FME ID]],FME_Input[FME_ID],FME_Input[EMER_NEED])</f>
        <v>Yes</v>
      </c>
      <c r="G1457">
        <f>IF(FME_Ranking!F1457="Yes",100,0)</f>
        <v>100</v>
      </c>
      <c r="H1457">
        <f>FME_Ranking1[[#This Row],[Emergency Need Score (Normalized, Unweighted)]]*$F$3</f>
        <v>0</v>
      </c>
      <c r="I1457" s="246">
        <f>_xlfn.XLOOKUP(FME_Ranking1[[#This Row],[FME ID]],FME_Input[FME_ID],FME_Input[STRUCT_100])</f>
        <v>17</v>
      </c>
      <c r="J1457" s="178">
        <f>(FME_Ranking1[[#This Row],[Structures 100 Raw]]/I$2)*100</f>
        <v>9.1033714603949798E-3</v>
      </c>
      <c r="K1457" s="178">
        <f>FME_Ranking1[[#This Row],[Structures 100  Score (Normalized, Unweighted)]]*$I$3</f>
        <v>1.365505719059247E-3</v>
      </c>
      <c r="L1457" s="246">
        <f>_xlfn.XLOOKUP(FME_Ranking1[[#This Row],[FME ID]],FME_Input[FME_ID],FME_Input[RES_STRUCT100])</f>
        <v>14</v>
      </c>
      <c r="M1457" s="230">
        <f>(FME_Ranking1[[#This Row],[Res Structures Raw]]/L$2)*100</f>
        <v>9.9162782791007362E-3</v>
      </c>
      <c r="N1457" s="180">
        <f>FME_Ranking1[[#This Row],[Res Structures Score (Normalized, Unweighted)]]*$L$3</f>
        <v>9.9162782791007375E-4</v>
      </c>
      <c r="O1457" s="244">
        <f>_xlfn.XLOOKUP(FME_Ranking1[[#This Row],[FME ID]],FME_Input[FME_ID],FME_Input[POP100])</f>
        <v>22</v>
      </c>
      <c r="P1457" s="178">
        <f>(FME_Ranking1[[#This Row],[Pop Raw]]/$O$2)*100</f>
        <v>2.2522568637527922E-3</v>
      </c>
      <c r="Q1457" s="178">
        <f>FME_Ranking1[[#This Row],[Pop Score (Normalized, Unweighted)]]*$O$3</f>
        <v>3.3783852956291883E-4</v>
      </c>
      <c r="R1457" s="137">
        <f>_xlfn.XLOOKUP(FME_Ranking1[[#This Row],[FME ID]],FME_Input[FME_ID],FME_Input[CRITFAC100])</f>
        <v>0</v>
      </c>
      <c r="S1457" s="230">
        <f>(FME_Ranking1[[#This Row],[Critical Facilities Raw]]/$R$2)*100</f>
        <v>0</v>
      </c>
      <c r="T1457" s="180">
        <f>FME_Ranking1[[#This Row],[Critical Facilities Score (Normalized, Unweighted)]]*$R$3</f>
        <v>0</v>
      </c>
      <c r="U1457">
        <f>_xlfn.XLOOKUP(FME_Ranking1[[#This Row],[FME ID]],FME_Input[FME_ID],FME_Input[LWC])</f>
        <v>2</v>
      </c>
      <c r="V1457" s="178">
        <f>(FME_Ranking1[[#This Row],[LWC Raw]]/$U$2)*100</f>
        <v>0.11514104778353484</v>
      </c>
      <c r="W1457" s="178">
        <f>FME_Ranking1[[#This Row],[LWC Score (Normalized, Unweighted)]]*$U$3</f>
        <v>2.302820955670697E-2</v>
      </c>
      <c r="X1457" s="246">
        <f>_xlfn.XLOOKUP(FME_Ranking1[[#This Row],[FME ID]],FME_Input[FME_ID],FME_Input[ROADCLS])</f>
        <v>2</v>
      </c>
      <c r="Y1457" s="230">
        <f>(FME_Ranking1[[#This Row],[Closures Raw]]/$X$2)*100</f>
        <v>2.1028283040689728E-2</v>
      </c>
      <c r="Z1457" s="180">
        <f>FME_Ranking1[[#This Row],[Closures Score (Normalized, Unweighted)]]*$X$3</f>
        <v>1.0514141520344864E-3</v>
      </c>
      <c r="AA1457" s="253">
        <f>_xlfn.XLOOKUP(FME_Ranking1[[#This Row],[FME ID]],FME_Input[FME_ID],FME_Input[ROAD_MILES100])</f>
        <v>1.593810558319092</v>
      </c>
      <c r="AB1457" s="178">
        <f>(FME_Ranking1[[#This Row],[Miles Raw]]/$AA$2)*100</f>
        <v>2.0955750208458138E-2</v>
      </c>
      <c r="AC1457" s="178">
        <f>FME_Ranking1[[#This Row],[Miles Score (Normalized, Unweighted)]]*$AA$3</f>
        <v>2.0955750208458139E-3</v>
      </c>
      <c r="AD1457" s="255">
        <f>_xlfn.XLOOKUP(FME_Ranking1[[#This Row],[FME ID]],FME_Input[FME_ID],FME_Input[FARMACRE100])</f>
        <v>5.2041945457458496</v>
      </c>
      <c r="AE1457" s="230">
        <f>(FME_Ranking1[[#This Row],[Ag Land Raw]]/$AD$2)*100</f>
        <v>2.1459768647047423E-4</v>
      </c>
      <c r="AF1457" s="231">
        <f>FME_Ranking1[[#This Row],[Ag Land Score (Normalized, Unweighted)]]*$AD$3</f>
        <v>1.0729884323523712E-5</v>
      </c>
      <c r="AG145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2.8880900690443034E-2</v>
      </c>
      <c r="AH1457" s="406">
        <f t="shared" si="22"/>
        <v>1479</v>
      </c>
      <c r="AI145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2.8880900690443034E-2</v>
      </c>
      <c r="AJ1457" s="257">
        <f>FME_Ranking1[[#This Row],[Addition check]]-FME_Ranking1[[#This Row],[Weighted Score Based on Normalized Reported Factors]]</f>
        <v>0</v>
      </c>
      <c r="AK1457" s="178">
        <f>_xlfn.RANK.EQ(AI1457,$AI$6:$AI$2341,0)+COUNTIF($AI$6:AI1457,AI1457)-1</f>
        <v>1479</v>
      </c>
    </row>
    <row r="1458" spans="1:37" x14ac:dyDescent="0.25">
      <c r="A1458" t="s">
        <v>576</v>
      </c>
      <c r="B1458">
        <f>_xlfn.XLOOKUP(FME_Ranking1[[#This Row],[FME ID]],FME_Input[FME_ID],FME_Input[RFPG_NUM])</f>
        <v>10</v>
      </c>
      <c r="C1458" t="str">
        <f>_xlfn.XLOOKUP(FME_Ranking1[[#This Row],[FME ID]],FME_Input[FME_ID],FME_Input[FME_NAME])</f>
        <v>Citywide Floodplain Map Update</v>
      </c>
      <c r="D1458" t="str">
        <f>_xlfn.XLOOKUP(FME_Ranking1[[#This Row],[FME ID]],FME_Input[FME_ID],FME_Input[DESCR])</f>
        <v>Approx 70 homes are flooded along the San Bernard River during large storm events</v>
      </c>
      <c r="E1458" s="256">
        <f>_xlfn.XLOOKUP(FME_Ranking1[[#This Row],[FME ID]],FME_Input[FME_ID],FME_Input[FME_COST])</f>
        <v>250000</v>
      </c>
      <c r="F1458" t="str">
        <f>_xlfn.XLOOKUP(FME_Ranking1[[#This Row],[FME ID]],FME_Input[FME_ID],FME_Input[EMER_NEED])</f>
        <v>No</v>
      </c>
      <c r="G1458">
        <f>IF(FME_Ranking!F1458="Yes",100,0)</f>
        <v>0</v>
      </c>
      <c r="H1458">
        <f>FME_Ranking1[[#This Row],[Emergency Need Score (Normalized, Unweighted)]]*$F$3</f>
        <v>0</v>
      </c>
      <c r="I1458" s="246">
        <f>_xlfn.XLOOKUP(FME_Ranking1[[#This Row],[FME ID]],FME_Input[FME_ID],FME_Input[STRUCT_100])</f>
        <v>158</v>
      </c>
      <c r="J1458" s="178">
        <f>(FME_Ranking1[[#This Row],[Structures 100 Raw]]/I$2)*100</f>
        <v>8.4607805337788625E-2</v>
      </c>
      <c r="K1458" s="178">
        <f>FME_Ranking1[[#This Row],[Structures 100  Score (Normalized, Unweighted)]]*$I$3</f>
        <v>1.2691170800668294E-2</v>
      </c>
      <c r="L1458" s="246">
        <f>_xlfn.XLOOKUP(FME_Ranking1[[#This Row],[FME ID]],FME_Input[FME_ID],FME_Input[RES_STRUCT100])</f>
        <v>142</v>
      </c>
      <c r="M1458" s="230">
        <f>(FME_Ranking1[[#This Row],[Res Structures Raw]]/L$2)*100</f>
        <v>0.10057939397373603</v>
      </c>
      <c r="N1458" s="180">
        <f>FME_Ranking1[[#This Row],[Res Structures Score (Normalized, Unweighted)]]*$L$3</f>
        <v>1.0057939397373603E-2</v>
      </c>
      <c r="O1458" s="244">
        <f>_xlfn.XLOOKUP(FME_Ranking1[[#This Row],[FME ID]],FME_Input[FME_ID],FME_Input[POP100])</f>
        <v>223</v>
      </c>
      <c r="P1458" s="178">
        <f>(FME_Ranking1[[#This Row],[Pop Raw]]/$O$2)*100</f>
        <v>2.2829694573494215E-2</v>
      </c>
      <c r="Q1458" s="178">
        <f>FME_Ranking1[[#This Row],[Pop Score (Normalized, Unweighted)]]*$O$3</f>
        <v>3.4244541860241322E-3</v>
      </c>
      <c r="R1458" s="137">
        <f>_xlfn.XLOOKUP(FME_Ranking1[[#This Row],[FME ID]],FME_Input[FME_ID],FME_Input[CRITFAC100])</f>
        <v>0</v>
      </c>
      <c r="S1458" s="230">
        <f>(FME_Ranking1[[#This Row],[Critical Facilities Raw]]/$R$2)*100</f>
        <v>0</v>
      </c>
      <c r="T1458" s="180">
        <f>FME_Ranking1[[#This Row],[Critical Facilities Score (Normalized, Unweighted)]]*$R$3</f>
        <v>0</v>
      </c>
      <c r="U1458">
        <f>_xlfn.XLOOKUP(FME_Ranking1[[#This Row],[FME ID]],FME_Input[FME_ID],FME_Input[LWC])</f>
        <v>0</v>
      </c>
      <c r="V1458" s="178">
        <f>(FME_Ranking1[[#This Row],[LWC Raw]]/$U$2)*100</f>
        <v>0</v>
      </c>
      <c r="W1458" s="178">
        <f>FME_Ranking1[[#This Row],[LWC Score (Normalized, Unweighted)]]*$U$3</f>
        <v>0</v>
      </c>
      <c r="X1458" s="246">
        <f>_xlfn.XLOOKUP(FME_Ranking1[[#This Row],[FME ID]],FME_Input[FME_ID],FME_Input[ROADCLS])</f>
        <v>0</v>
      </c>
      <c r="Y1458" s="230">
        <f>(FME_Ranking1[[#This Row],[Closures Raw]]/$X$2)*100</f>
        <v>0</v>
      </c>
      <c r="Z1458" s="180">
        <f>FME_Ranking1[[#This Row],[Closures Score (Normalized, Unweighted)]]*$X$3</f>
        <v>0</v>
      </c>
      <c r="AA1458" s="253">
        <f>_xlfn.XLOOKUP(FME_Ranking1[[#This Row],[FME ID]],FME_Input[FME_ID],FME_Input[ROAD_MILES100])</f>
        <v>4.1435322761535636</v>
      </c>
      <c r="AB1458" s="178">
        <f>(FME_Ranking1[[#This Row],[Miles Raw]]/$AA$2)*100</f>
        <v>5.4480017657389572E-2</v>
      </c>
      <c r="AC1458" s="178">
        <f>FME_Ranking1[[#This Row],[Miles Score (Normalized, Unweighted)]]*$AA$3</f>
        <v>5.4480017657389575E-3</v>
      </c>
      <c r="AD1458" s="255">
        <f>_xlfn.XLOOKUP(FME_Ranking1[[#This Row],[FME ID]],FME_Input[FME_ID],FME_Input[FARMACRE100])</f>
        <v>253.20198059082031</v>
      </c>
      <c r="AE1458" s="230">
        <f>(FME_Ranking1[[#This Row],[Ag Land Raw]]/$AD$2)*100</f>
        <v>1.044091621996514E-2</v>
      </c>
      <c r="AF1458" s="231">
        <f>FME_Ranking1[[#This Row],[Ag Land Score (Normalized, Unweighted)]]*$AD$3</f>
        <v>5.22045810998257E-4</v>
      </c>
      <c r="AG145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3.2143611960803252E-2</v>
      </c>
      <c r="AH1458" s="406">
        <f t="shared" si="22"/>
        <v>1449</v>
      </c>
      <c r="AI145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3.2143611960803252E-2</v>
      </c>
      <c r="AJ1458" s="257">
        <f>FME_Ranking1[[#This Row],[Addition check]]-FME_Ranking1[[#This Row],[Weighted Score Based on Normalized Reported Factors]]</f>
        <v>0</v>
      </c>
      <c r="AK1458" s="178">
        <f>_xlfn.RANK.EQ(AI1458,$AI$6:$AI$2341,0)+COUNTIF($AI$6:AI1458,AI1458)-1</f>
        <v>1449</v>
      </c>
    </row>
    <row r="1459" spans="1:37" x14ac:dyDescent="0.25">
      <c r="A1459" t="s">
        <v>6195</v>
      </c>
      <c r="B1459">
        <f>_xlfn.XLOOKUP(FME_Ranking1[[#This Row],[FME ID]],FME_Input[FME_ID],FME_Input[RFPG_NUM])</f>
        <v>5</v>
      </c>
      <c r="C1459" t="str">
        <f>_xlfn.XLOOKUP(FME_Ranking1[[#This Row],[FME ID]],FME_Input[FME_ID],FME_Input[FME_NAME])</f>
        <v>City of Palestine Master Drainage Plan</v>
      </c>
      <c r="D1459"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1459" s="256">
        <f>_xlfn.XLOOKUP(FME_Ranking1[[#This Row],[FME ID]],FME_Input[FME_ID],FME_Input[FME_COST])</f>
        <v>700000</v>
      </c>
      <c r="F1459" t="str">
        <f>_xlfn.XLOOKUP(FME_Ranking1[[#This Row],[FME ID]],FME_Input[FME_ID],FME_Input[EMER_NEED])</f>
        <v>Yes</v>
      </c>
      <c r="G1459">
        <f>IF(FME_Ranking!F1459="Yes",100,0)</f>
        <v>100</v>
      </c>
      <c r="H1459">
        <f>FME_Ranking1[[#This Row],[Emergency Need Score (Normalized, Unweighted)]]*$F$3</f>
        <v>0</v>
      </c>
      <c r="I1459" s="246">
        <f>_xlfn.XLOOKUP(FME_Ranking1[[#This Row],[FME ID]],FME_Input[FME_ID],FME_Input[STRUCT_100])</f>
        <v>14</v>
      </c>
      <c r="J1459" s="178">
        <f>(FME_Ranking1[[#This Row],[Structures 100 Raw]]/I$2)*100</f>
        <v>7.4968941438546891E-3</v>
      </c>
      <c r="K1459" s="178">
        <f>FME_Ranking1[[#This Row],[Structures 100  Score (Normalized, Unweighted)]]*$I$3</f>
        <v>1.1245341215782034E-3</v>
      </c>
      <c r="L1459" s="246">
        <f>_xlfn.XLOOKUP(FME_Ranking1[[#This Row],[FME ID]],FME_Input[FME_ID],FME_Input[RES_STRUCT100])</f>
        <v>10</v>
      </c>
      <c r="M1459" s="230">
        <f>(FME_Ranking1[[#This Row],[Res Structures Raw]]/L$2)*100</f>
        <v>7.0830559136433819E-3</v>
      </c>
      <c r="N1459" s="180">
        <f>FME_Ranking1[[#This Row],[Res Structures Score (Normalized, Unweighted)]]*$L$3</f>
        <v>7.0830559136433825E-4</v>
      </c>
      <c r="O1459" s="244">
        <f>_xlfn.XLOOKUP(FME_Ranking1[[#This Row],[FME ID]],FME_Input[FME_ID],FME_Input[POP100])</f>
        <v>42</v>
      </c>
      <c r="P1459" s="178">
        <f>(FME_Ranking1[[#This Row],[Pop Raw]]/$O$2)*100</f>
        <v>4.2997631035280575E-3</v>
      </c>
      <c r="Q1459" s="178">
        <f>FME_Ranking1[[#This Row],[Pop Score (Normalized, Unweighted)]]*$O$3</f>
        <v>6.4496446552920865E-4</v>
      </c>
      <c r="R1459" s="137">
        <f>_xlfn.XLOOKUP(FME_Ranking1[[#This Row],[FME ID]],FME_Input[FME_ID],FME_Input[CRITFAC100])</f>
        <v>0</v>
      </c>
      <c r="S1459" s="230">
        <f>(FME_Ranking1[[#This Row],[Critical Facilities Raw]]/$R$2)*100</f>
        <v>0</v>
      </c>
      <c r="T1459" s="180">
        <f>FME_Ranking1[[#This Row],[Critical Facilities Score (Normalized, Unweighted)]]*$R$3</f>
        <v>0</v>
      </c>
      <c r="U1459">
        <f>_xlfn.XLOOKUP(FME_Ranking1[[#This Row],[FME ID]],FME_Input[FME_ID],FME_Input[LWC])</f>
        <v>2</v>
      </c>
      <c r="V1459" s="178">
        <f>(FME_Ranking1[[#This Row],[LWC Raw]]/$U$2)*100</f>
        <v>0.11514104778353484</v>
      </c>
      <c r="W1459" s="178">
        <f>FME_Ranking1[[#This Row],[LWC Score (Normalized, Unweighted)]]*$U$3</f>
        <v>2.302820955670697E-2</v>
      </c>
      <c r="X1459" s="246">
        <f>_xlfn.XLOOKUP(FME_Ranking1[[#This Row],[FME ID]],FME_Input[FME_ID],FME_Input[ROADCLS])</f>
        <v>2</v>
      </c>
      <c r="Y1459" s="230">
        <f>(FME_Ranking1[[#This Row],[Closures Raw]]/$X$2)*100</f>
        <v>2.1028283040689728E-2</v>
      </c>
      <c r="Z1459" s="180">
        <f>FME_Ranking1[[#This Row],[Closures Score (Normalized, Unweighted)]]*$X$3</f>
        <v>1.0514141520344864E-3</v>
      </c>
      <c r="AA1459" s="253">
        <f>_xlfn.XLOOKUP(FME_Ranking1[[#This Row],[FME ID]],FME_Input[FME_ID],FME_Input[ROAD_MILES100])</f>
        <v>1.9619976282119751</v>
      </c>
      <c r="AB1459" s="178">
        <f>(FME_Ranking1[[#This Row],[Miles Raw]]/$AA$2)*100</f>
        <v>2.579674980303772E-2</v>
      </c>
      <c r="AC1459" s="178">
        <f>FME_Ranking1[[#This Row],[Miles Score (Normalized, Unweighted)]]*$AA$3</f>
        <v>2.5796749803037723E-3</v>
      </c>
      <c r="AD1459" s="255">
        <f>_xlfn.XLOOKUP(FME_Ranking1[[#This Row],[FME ID]],FME_Input[FME_ID],FME_Input[FARMACRE100])</f>
        <v>1.7737411260604861</v>
      </c>
      <c r="AE1459" s="230">
        <f>(FME_Ranking1[[#This Row],[Ag Land Raw]]/$AD$2)*100</f>
        <v>7.3141143880039525E-5</v>
      </c>
      <c r="AF1459" s="231">
        <f>FME_Ranking1[[#This Row],[Ag Land Score (Normalized, Unweighted)]]*$AD$3</f>
        <v>3.6570571940019766E-6</v>
      </c>
      <c r="AG145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2.9140759924710984E-2</v>
      </c>
      <c r="AH1459" s="406">
        <f t="shared" si="22"/>
        <v>1475</v>
      </c>
      <c r="AI145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2.9140759924710984E-2</v>
      </c>
      <c r="AJ1459" s="257">
        <f>FME_Ranking1[[#This Row],[Addition check]]-FME_Ranking1[[#This Row],[Weighted Score Based on Normalized Reported Factors]]</f>
        <v>0</v>
      </c>
      <c r="AK1459" s="178">
        <f>_xlfn.RANK.EQ(AI1459,$AI$6:$AI$2341,0)+COUNTIF($AI$6:AI1459,AI1459)-1</f>
        <v>1475</v>
      </c>
    </row>
    <row r="1460" spans="1:37" x14ac:dyDescent="0.25">
      <c r="A1460" t="s">
        <v>10723</v>
      </c>
      <c r="B1460">
        <f>_xlfn.XLOOKUP(FME_Ranking1[[#This Row],[FME ID]],FME_Input[FME_ID],FME_Input[RFPG_NUM])</f>
        <v>13</v>
      </c>
      <c r="C1460" t="str">
        <f>_xlfn.XLOOKUP(FME_Ranking1[[#This Row],[FME ID]],FME_Input[FME_ID],FME_Input[FME_NAME])</f>
        <v>San Patricio County Hazard Mitigation Action Plan - City of Mathis, Action #9</v>
      </c>
      <c r="D1460" t="str">
        <f>_xlfn.XLOOKUP(FME_Ranking1[[#This Row],[FME ID]],FME_Input[FME_ID],FME_Input[DESCR])</f>
        <v>Equip manholes with water tight covers/inflow guards; Raise sewage lift stations electrical systems above BFE; Floodproof sewage treatment plants in flood hazard areas</v>
      </c>
      <c r="E1460" s="256">
        <f>_xlfn.XLOOKUP(FME_Ranking1[[#This Row],[FME ID]],FME_Input[FME_ID],FME_Input[FME_COST])</f>
        <v>477000</v>
      </c>
      <c r="F1460" t="str">
        <f>_xlfn.XLOOKUP(FME_Ranking1[[#This Row],[FME ID]],FME_Input[FME_ID],FME_Input[EMER_NEED])</f>
        <v>Yes</v>
      </c>
      <c r="G1460">
        <f>IF(FME_Ranking!F1460="Yes",100,0)</f>
        <v>100</v>
      </c>
      <c r="H1460">
        <f>FME_Ranking1[[#This Row],[Emergency Need Score (Normalized, Unweighted)]]*$F$3</f>
        <v>0</v>
      </c>
      <c r="I1460" s="246">
        <f>_xlfn.XLOOKUP(FME_Ranking1[[#This Row],[FME ID]],FME_Input[FME_ID],FME_Input[STRUCT_100])</f>
        <v>54</v>
      </c>
      <c r="J1460" s="178">
        <f>(FME_Ranking1[[#This Row],[Structures 100 Raw]]/I$2)*100</f>
        <v>2.891659169772523E-2</v>
      </c>
      <c r="K1460" s="178">
        <f>FME_Ranking1[[#This Row],[Structures 100  Score (Normalized, Unweighted)]]*$I$3</f>
        <v>4.3374887546587847E-3</v>
      </c>
      <c r="L1460" s="246">
        <f>_xlfn.XLOOKUP(FME_Ranking1[[#This Row],[FME ID]],FME_Input[FME_ID],FME_Input[RES_STRUCT100])</f>
        <v>48</v>
      </c>
      <c r="M1460" s="230">
        <f>(FME_Ranking1[[#This Row],[Res Structures Raw]]/L$2)*100</f>
        <v>3.3998668385488234E-2</v>
      </c>
      <c r="N1460" s="180">
        <f>FME_Ranking1[[#This Row],[Res Structures Score (Normalized, Unweighted)]]*$L$3</f>
        <v>3.3998668385488238E-3</v>
      </c>
      <c r="O1460" s="244">
        <f>_xlfn.XLOOKUP(FME_Ranking1[[#This Row],[FME ID]],FME_Input[FME_ID],FME_Input[POP100])</f>
        <v>53</v>
      </c>
      <c r="P1460" s="178">
        <f>(FME_Ranking1[[#This Row],[Pop Raw]]/$O$2)*100</f>
        <v>5.4258915354044547E-3</v>
      </c>
      <c r="Q1460" s="178">
        <f>FME_Ranking1[[#This Row],[Pop Score (Normalized, Unweighted)]]*$O$3</f>
        <v>8.1388373031066822E-4</v>
      </c>
      <c r="R1460" s="137">
        <f>_xlfn.XLOOKUP(FME_Ranking1[[#This Row],[FME ID]],FME_Input[FME_ID],FME_Input[CRITFAC100])</f>
        <v>0</v>
      </c>
      <c r="S1460" s="230">
        <f>(FME_Ranking1[[#This Row],[Critical Facilities Raw]]/$R$2)*100</f>
        <v>0</v>
      </c>
      <c r="T1460" s="180">
        <f>FME_Ranking1[[#This Row],[Critical Facilities Score (Normalized, Unweighted)]]*$R$3</f>
        <v>0</v>
      </c>
      <c r="U1460">
        <f>_xlfn.XLOOKUP(FME_Ranking1[[#This Row],[FME ID]],FME_Input[FME_ID],FME_Input[LWC])</f>
        <v>0</v>
      </c>
      <c r="V1460" s="178">
        <f>(FME_Ranking1[[#This Row],[LWC Raw]]/$U$2)*100</f>
        <v>0</v>
      </c>
      <c r="W1460" s="178">
        <f>FME_Ranking1[[#This Row],[LWC Score (Normalized, Unweighted)]]*$U$3</f>
        <v>0</v>
      </c>
      <c r="X1460" s="246">
        <f>_xlfn.XLOOKUP(FME_Ranking1[[#This Row],[FME ID]],FME_Input[FME_ID],FME_Input[ROADCLS])</f>
        <v>34</v>
      </c>
      <c r="Y1460" s="230">
        <f>(FME_Ranking1[[#This Row],[Closures Raw]]/$X$2)*100</f>
        <v>0.35748081169172535</v>
      </c>
      <c r="Z1460" s="180">
        <f>FME_Ranking1[[#This Row],[Closures Score (Normalized, Unweighted)]]*$X$3</f>
        <v>1.7874040584586269E-2</v>
      </c>
      <c r="AA1460" s="253">
        <f>_xlfn.XLOOKUP(FME_Ranking1[[#This Row],[FME ID]],FME_Input[FME_ID],FME_Input[ROAD_MILES100])</f>
        <v>1.061133027076721</v>
      </c>
      <c r="AB1460" s="178">
        <f>(FME_Ranking1[[#This Row],[Miles Raw]]/$AA$2)*100</f>
        <v>1.3951996074625602E-2</v>
      </c>
      <c r="AC1460" s="178">
        <f>FME_Ranking1[[#This Row],[Miles Score (Normalized, Unweighted)]]*$AA$3</f>
        <v>1.3951996074625603E-3</v>
      </c>
      <c r="AD1460" s="255">
        <f>_xlfn.XLOOKUP(FME_Ranking1[[#This Row],[FME ID]],FME_Input[FME_ID],FME_Input[FARMACRE100])</f>
        <v>16.653665542602539</v>
      </c>
      <c r="AE1460" s="230">
        <f>(FME_Ranking1[[#This Row],[Ag Land Raw]]/$AD$2)*100</f>
        <v>6.867226167816845E-4</v>
      </c>
      <c r="AF1460" s="231">
        <f>FME_Ranking1[[#This Row],[Ag Land Score (Normalized, Unweighted)]]*$AD$3</f>
        <v>3.4336130839084228E-5</v>
      </c>
      <c r="AG146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2.7854815646406191E-2</v>
      </c>
      <c r="AH1460" s="406">
        <f t="shared" si="22"/>
        <v>1485</v>
      </c>
      <c r="AI146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2.7854815646406191E-2</v>
      </c>
      <c r="AJ1460" s="257">
        <f>FME_Ranking1[[#This Row],[Addition check]]-FME_Ranking1[[#This Row],[Weighted Score Based on Normalized Reported Factors]]</f>
        <v>0</v>
      </c>
      <c r="AK1460" s="178">
        <f>_xlfn.RANK.EQ(AI1460,$AI$6:$AI$2341,0)+COUNTIF($AI$6:AI1460,AI1460)-1</f>
        <v>1485</v>
      </c>
    </row>
    <row r="1461" spans="1:37" x14ac:dyDescent="0.25">
      <c r="A1461" t="s">
        <v>523</v>
      </c>
      <c r="B1461">
        <f>_xlfn.XLOOKUP(FME_Ranking1[[#This Row],[FME ID]],FME_Input[FME_ID],FME_Input[RFPG_NUM])</f>
        <v>10</v>
      </c>
      <c r="C1461" t="str">
        <f>_xlfn.XLOOKUP(FME_Ranking1[[#This Row],[FME ID]],FME_Input[FME_ID],FME_Input[FME_NAME])</f>
        <v>Review and Update Floodplain Management Plan</v>
      </c>
      <c r="D1461" t="str">
        <f>_xlfn.XLOOKUP(FME_Ranking1[[#This Row],[FME ID]],FME_Input[FME_ID],FME_Input[DESCR])</f>
        <v>Review and update floodplain management plan; review annually</v>
      </c>
      <c r="E1461" s="256">
        <f>_xlfn.XLOOKUP(FME_Ranking1[[#This Row],[FME ID]],FME_Input[FME_ID],FME_Input[FME_COST])</f>
        <v>25000</v>
      </c>
      <c r="F1461" t="str">
        <f>_xlfn.XLOOKUP(FME_Ranking1[[#This Row],[FME ID]],FME_Input[FME_ID],FME_Input[EMER_NEED])</f>
        <v>No</v>
      </c>
      <c r="G1461">
        <f>IF(FME_Ranking!F1461="Yes",100,0)</f>
        <v>0</v>
      </c>
      <c r="H1461">
        <f>FME_Ranking1[[#This Row],[Emergency Need Score (Normalized, Unweighted)]]*$F$3</f>
        <v>0</v>
      </c>
      <c r="I1461" s="246">
        <f>_xlfn.XLOOKUP(FME_Ranking1[[#This Row],[FME ID]],FME_Input[FME_ID],FME_Input[STRUCT_100])</f>
        <v>150</v>
      </c>
      <c r="J1461" s="178">
        <f>(FME_Ranking1[[#This Row],[Structures 100 Raw]]/I$2)*100</f>
        <v>8.0323865827014521E-2</v>
      </c>
      <c r="K1461" s="178">
        <f>FME_Ranking1[[#This Row],[Structures 100  Score (Normalized, Unweighted)]]*$I$3</f>
        <v>1.2048579874052178E-2</v>
      </c>
      <c r="L1461" s="246">
        <f>_xlfn.XLOOKUP(FME_Ranking1[[#This Row],[FME ID]],FME_Input[FME_ID],FME_Input[RES_STRUCT100])</f>
        <v>139</v>
      </c>
      <c r="M1461" s="230">
        <f>(FME_Ranking1[[#This Row],[Res Structures Raw]]/L$2)*100</f>
        <v>9.8454477199643009E-2</v>
      </c>
      <c r="N1461" s="180">
        <f>FME_Ranking1[[#This Row],[Res Structures Score (Normalized, Unweighted)]]*$L$3</f>
        <v>9.8454477199643019E-3</v>
      </c>
      <c r="O1461" s="244">
        <f>_xlfn.XLOOKUP(FME_Ranking1[[#This Row],[FME ID]],FME_Input[FME_ID],FME_Input[POP100])</f>
        <v>279</v>
      </c>
      <c r="P1461" s="178">
        <f>(FME_Ranking1[[#This Row],[Pop Raw]]/$O$2)*100</f>
        <v>2.8562712044864959E-2</v>
      </c>
      <c r="Q1461" s="178">
        <f>FME_Ranking1[[#This Row],[Pop Score (Normalized, Unweighted)]]*$O$3</f>
        <v>4.2844068067297439E-3</v>
      </c>
      <c r="R1461" s="137">
        <f>_xlfn.XLOOKUP(FME_Ranking1[[#This Row],[FME ID]],FME_Input[FME_ID],FME_Input[CRITFAC100])</f>
        <v>0</v>
      </c>
      <c r="S1461" s="230">
        <f>(FME_Ranking1[[#This Row],[Critical Facilities Raw]]/$R$2)*100</f>
        <v>0</v>
      </c>
      <c r="T1461" s="180">
        <f>FME_Ranking1[[#This Row],[Critical Facilities Score (Normalized, Unweighted)]]*$R$3</f>
        <v>0</v>
      </c>
      <c r="U1461">
        <f>_xlfn.XLOOKUP(FME_Ranking1[[#This Row],[FME ID]],FME_Input[FME_ID],FME_Input[LWC])</f>
        <v>0</v>
      </c>
      <c r="V1461" s="178">
        <f>(FME_Ranking1[[#This Row],[LWC Raw]]/$U$2)*100</f>
        <v>0</v>
      </c>
      <c r="W1461" s="178">
        <f>FME_Ranking1[[#This Row],[LWC Score (Normalized, Unweighted)]]*$U$3</f>
        <v>0</v>
      </c>
      <c r="X1461" s="246">
        <f>_xlfn.XLOOKUP(FME_Ranking1[[#This Row],[FME ID]],FME_Input[FME_ID],FME_Input[ROADCLS])</f>
        <v>0</v>
      </c>
      <c r="Y1461" s="230">
        <f>(FME_Ranking1[[#This Row],[Closures Raw]]/$X$2)*100</f>
        <v>0</v>
      </c>
      <c r="Z1461" s="180">
        <f>FME_Ranking1[[#This Row],[Closures Score (Normalized, Unweighted)]]*$X$3</f>
        <v>0</v>
      </c>
      <c r="AA1461" s="253">
        <f>_xlfn.XLOOKUP(FME_Ranking1[[#This Row],[FME ID]],FME_Input[FME_ID],FME_Input[ROAD_MILES100])</f>
        <v>0.19919504225254059</v>
      </c>
      <c r="AB1461" s="178">
        <f>(FME_Ranking1[[#This Row],[Miles Raw]]/$AA$2)*100</f>
        <v>2.6190575325400656E-3</v>
      </c>
      <c r="AC1461" s="178">
        <f>FME_Ranking1[[#This Row],[Miles Score (Normalized, Unweighted)]]*$AA$3</f>
        <v>2.6190575325400658E-4</v>
      </c>
      <c r="AD1461" s="255">
        <f>_xlfn.XLOOKUP(FME_Ranking1[[#This Row],[FME ID]],FME_Input[FME_ID],FME_Input[FARMACRE100])</f>
        <v>135.68196105957031</v>
      </c>
      <c r="AE1461" s="230">
        <f>(FME_Ranking1[[#This Row],[Ag Land Raw]]/$AD$2)*100</f>
        <v>5.5949166932974049E-3</v>
      </c>
      <c r="AF1461" s="231">
        <f>FME_Ranking1[[#This Row],[Ag Land Score (Normalized, Unweighted)]]*$AD$3</f>
        <v>2.7974583466487023E-4</v>
      </c>
      <c r="AG146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2.6720085988665099E-2</v>
      </c>
      <c r="AH1461" s="406">
        <f t="shared" si="22"/>
        <v>1496</v>
      </c>
      <c r="AI146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2.6720085988665099E-2</v>
      </c>
      <c r="AJ1461" s="257">
        <f>FME_Ranking1[[#This Row],[Addition check]]-FME_Ranking1[[#This Row],[Weighted Score Based on Normalized Reported Factors]]</f>
        <v>0</v>
      </c>
      <c r="AK1461" s="178">
        <f>_xlfn.RANK.EQ(AI1461,$AI$6:$AI$2341,0)+COUNTIF($AI$6:AI1461,AI1461)-1</f>
        <v>1496</v>
      </c>
    </row>
    <row r="1462" spans="1:37" x14ac:dyDescent="0.25">
      <c r="A1462" t="s">
        <v>528</v>
      </c>
      <c r="B1462">
        <f>_xlfn.XLOOKUP(FME_Ranking1[[#This Row],[FME ID]],FME_Input[FME_ID],FME_Input[RFPG_NUM])</f>
        <v>10</v>
      </c>
      <c r="C1462" t="str">
        <f>_xlfn.XLOOKUP(FME_Ranking1[[#This Row],[FME ID]],FME_Input[FME_ID],FME_Input[FME_NAME])</f>
        <v>Develop an Emergency Operations and Evacuation Plan</v>
      </c>
      <c r="D1462" t="str">
        <f>_xlfn.XLOOKUP(FME_Ranking1[[#This Row],[FME ID]],FME_Input[FME_ID],FME_Input[DESCR])</f>
        <v>Develop an Emergency Operations and Evacuation Plan</v>
      </c>
      <c r="E1462" s="256">
        <f>_xlfn.XLOOKUP(FME_Ranking1[[#This Row],[FME ID]],FME_Input[FME_ID],FME_Input[FME_COST])</f>
        <v>25000</v>
      </c>
      <c r="F1462" t="str">
        <f>_xlfn.XLOOKUP(FME_Ranking1[[#This Row],[FME ID]],FME_Input[FME_ID],FME_Input[EMER_NEED])</f>
        <v>No</v>
      </c>
      <c r="G1462">
        <f>IF(FME_Ranking!F1462="Yes",100,0)</f>
        <v>0</v>
      </c>
      <c r="H1462">
        <f>FME_Ranking1[[#This Row],[Emergency Need Score (Normalized, Unweighted)]]*$F$3</f>
        <v>0</v>
      </c>
      <c r="I1462" s="246">
        <f>_xlfn.XLOOKUP(FME_Ranking1[[#This Row],[FME ID]],FME_Input[FME_ID],FME_Input[STRUCT_100])</f>
        <v>150</v>
      </c>
      <c r="J1462" s="178">
        <f>(FME_Ranking1[[#This Row],[Structures 100 Raw]]/I$2)*100</f>
        <v>8.0323865827014521E-2</v>
      </c>
      <c r="K1462" s="178">
        <f>FME_Ranking1[[#This Row],[Structures 100  Score (Normalized, Unweighted)]]*$I$3</f>
        <v>1.2048579874052178E-2</v>
      </c>
      <c r="L1462" s="246">
        <f>_xlfn.XLOOKUP(FME_Ranking1[[#This Row],[FME ID]],FME_Input[FME_ID],FME_Input[RES_STRUCT100])</f>
        <v>139</v>
      </c>
      <c r="M1462" s="230">
        <f>(FME_Ranking1[[#This Row],[Res Structures Raw]]/L$2)*100</f>
        <v>9.8454477199643009E-2</v>
      </c>
      <c r="N1462" s="180">
        <f>FME_Ranking1[[#This Row],[Res Structures Score (Normalized, Unweighted)]]*$L$3</f>
        <v>9.8454477199643019E-3</v>
      </c>
      <c r="O1462" s="244">
        <f>_xlfn.XLOOKUP(FME_Ranking1[[#This Row],[FME ID]],FME_Input[FME_ID],FME_Input[POP100])</f>
        <v>279</v>
      </c>
      <c r="P1462" s="178">
        <f>(FME_Ranking1[[#This Row],[Pop Raw]]/$O$2)*100</f>
        <v>2.8562712044864959E-2</v>
      </c>
      <c r="Q1462" s="178">
        <f>FME_Ranking1[[#This Row],[Pop Score (Normalized, Unweighted)]]*$O$3</f>
        <v>4.2844068067297439E-3</v>
      </c>
      <c r="R1462" s="137">
        <f>_xlfn.XLOOKUP(FME_Ranking1[[#This Row],[FME ID]],FME_Input[FME_ID],FME_Input[CRITFAC100])</f>
        <v>0</v>
      </c>
      <c r="S1462" s="230">
        <f>(FME_Ranking1[[#This Row],[Critical Facilities Raw]]/$R$2)*100</f>
        <v>0</v>
      </c>
      <c r="T1462" s="180">
        <f>FME_Ranking1[[#This Row],[Critical Facilities Score (Normalized, Unweighted)]]*$R$3</f>
        <v>0</v>
      </c>
      <c r="U1462">
        <f>_xlfn.XLOOKUP(FME_Ranking1[[#This Row],[FME ID]],FME_Input[FME_ID],FME_Input[LWC])</f>
        <v>0</v>
      </c>
      <c r="V1462" s="178">
        <f>(FME_Ranking1[[#This Row],[LWC Raw]]/$U$2)*100</f>
        <v>0</v>
      </c>
      <c r="W1462" s="178">
        <f>FME_Ranking1[[#This Row],[LWC Score (Normalized, Unweighted)]]*$U$3</f>
        <v>0</v>
      </c>
      <c r="X1462" s="246">
        <f>_xlfn.XLOOKUP(FME_Ranking1[[#This Row],[FME ID]],FME_Input[FME_ID],FME_Input[ROADCLS])</f>
        <v>0</v>
      </c>
      <c r="Y1462" s="230">
        <f>(FME_Ranking1[[#This Row],[Closures Raw]]/$X$2)*100</f>
        <v>0</v>
      </c>
      <c r="Z1462" s="180">
        <f>FME_Ranking1[[#This Row],[Closures Score (Normalized, Unweighted)]]*$X$3</f>
        <v>0</v>
      </c>
      <c r="AA1462" s="253">
        <f>_xlfn.XLOOKUP(FME_Ranking1[[#This Row],[FME ID]],FME_Input[FME_ID],FME_Input[ROAD_MILES100])</f>
        <v>0.19919504225254059</v>
      </c>
      <c r="AB1462" s="178">
        <f>(FME_Ranking1[[#This Row],[Miles Raw]]/$AA$2)*100</f>
        <v>2.6190575325400656E-3</v>
      </c>
      <c r="AC1462" s="178">
        <f>FME_Ranking1[[#This Row],[Miles Score (Normalized, Unweighted)]]*$AA$3</f>
        <v>2.6190575325400658E-4</v>
      </c>
      <c r="AD1462" s="255">
        <f>_xlfn.XLOOKUP(FME_Ranking1[[#This Row],[FME ID]],FME_Input[FME_ID],FME_Input[FARMACRE100])</f>
        <v>135.68196105957031</v>
      </c>
      <c r="AE1462" s="230">
        <f>(FME_Ranking1[[#This Row],[Ag Land Raw]]/$AD$2)*100</f>
        <v>5.5949166932974049E-3</v>
      </c>
      <c r="AF1462" s="231">
        <f>FME_Ranking1[[#This Row],[Ag Land Score (Normalized, Unweighted)]]*$AD$3</f>
        <v>2.7974583466487023E-4</v>
      </c>
      <c r="AG146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2.6720085988665099E-2</v>
      </c>
      <c r="AH1462" s="406">
        <f t="shared" si="22"/>
        <v>1496</v>
      </c>
      <c r="AI146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2.6720085988665099E-2</v>
      </c>
      <c r="AJ1462" s="257">
        <f>FME_Ranking1[[#This Row],[Addition check]]-FME_Ranking1[[#This Row],[Weighted Score Based on Normalized Reported Factors]]</f>
        <v>0</v>
      </c>
      <c r="AK1462" s="178">
        <f>_xlfn.RANK.EQ(AI1462,$AI$6:$AI$2341,0)+COUNTIF($AI$6:AI1462,AI1462)-1</f>
        <v>1497</v>
      </c>
    </row>
    <row r="1463" spans="1:37" x14ac:dyDescent="0.25">
      <c r="A1463" t="s">
        <v>7821</v>
      </c>
      <c r="B1463">
        <f>_xlfn.XLOOKUP(FME_Ranking1[[#This Row],[FME ID]],FME_Input[FME_ID],FME_Input[RFPG_NUM])</f>
        <v>8</v>
      </c>
      <c r="C1463" t="str">
        <f>_xlfn.XLOOKUP(FME_Ranking1[[#This Row],[FME ID]],FME_Input[FME_ID],FME_Input[FME_NAME])</f>
        <v>Andrus Channel Improvements</v>
      </c>
      <c r="D1463" t="str">
        <f>_xlfn.XLOOKUP(FME_Ranking1[[#This Row],[FME ID]],FME_Input[FME_ID],FME_Input[DESCR])</f>
        <v>Channel improvements and re-configurations at several key locations</v>
      </c>
      <c r="E1463" s="256">
        <f>_xlfn.XLOOKUP(FME_Ranking1[[#This Row],[FME ID]],FME_Input[FME_ID],FME_Input[FME_COST])</f>
        <v>300000</v>
      </c>
      <c r="F1463" t="str">
        <f>_xlfn.XLOOKUP(FME_Ranking1[[#This Row],[FME ID]],FME_Input[FME_ID],FME_Input[EMER_NEED])</f>
        <v>Yes</v>
      </c>
      <c r="G1463">
        <f>IF(FME_Ranking!F1463="Yes",100,0)</f>
        <v>100</v>
      </c>
      <c r="H1463">
        <f>FME_Ranking1[[#This Row],[Emergency Need Score (Normalized, Unweighted)]]*$F$3</f>
        <v>0</v>
      </c>
      <c r="I1463" s="246">
        <f>_xlfn.XLOOKUP(FME_Ranking1[[#This Row],[FME ID]],FME_Input[FME_ID],FME_Input[STRUCT_100])</f>
        <v>149</v>
      </c>
      <c r="J1463" s="178">
        <f>(FME_Ranking1[[#This Row],[Structures 100 Raw]]/I$2)*100</f>
        <v>7.9788373388167758E-2</v>
      </c>
      <c r="K1463" s="178">
        <f>FME_Ranking1[[#This Row],[Structures 100  Score (Normalized, Unweighted)]]*$I$3</f>
        <v>1.1968256008225164E-2</v>
      </c>
      <c r="L1463" s="246">
        <f>_xlfn.XLOOKUP(FME_Ranking1[[#This Row],[FME ID]],FME_Input[FME_ID],FME_Input[RES_STRUCT100])</f>
        <v>107</v>
      </c>
      <c r="M1463" s="230">
        <f>(FME_Ranking1[[#This Row],[Res Structures Raw]]/L$2)*100</f>
        <v>7.5788698275984182E-2</v>
      </c>
      <c r="N1463" s="180">
        <f>FME_Ranking1[[#This Row],[Res Structures Score (Normalized, Unweighted)]]*$L$3</f>
        <v>7.5788698275984188E-3</v>
      </c>
      <c r="O1463" s="244">
        <f>_xlfn.XLOOKUP(FME_Ranking1[[#This Row],[FME ID]],FME_Input[FME_ID],FME_Input[POP100])</f>
        <v>137</v>
      </c>
      <c r="P1463" s="178">
        <f>(FME_Ranking1[[#This Row],[Pop Raw]]/$O$2)*100</f>
        <v>1.4025417742460569E-2</v>
      </c>
      <c r="Q1463" s="178">
        <f>FME_Ranking1[[#This Row],[Pop Score (Normalized, Unweighted)]]*$O$3</f>
        <v>2.1038126613690854E-3</v>
      </c>
      <c r="R1463" s="137">
        <f>_xlfn.XLOOKUP(FME_Ranking1[[#This Row],[FME ID]],FME_Input[FME_ID],FME_Input[CRITFAC100])</f>
        <v>0</v>
      </c>
      <c r="S1463" s="230">
        <f>(FME_Ranking1[[#This Row],[Critical Facilities Raw]]/$R$2)*100</f>
        <v>0</v>
      </c>
      <c r="T1463" s="180">
        <f>FME_Ranking1[[#This Row],[Critical Facilities Score (Normalized, Unweighted)]]*$R$3</f>
        <v>0</v>
      </c>
      <c r="U1463">
        <f>_xlfn.XLOOKUP(FME_Ranking1[[#This Row],[FME ID]],FME_Input[FME_ID],FME_Input[LWC])</f>
        <v>0</v>
      </c>
      <c r="V1463" s="178">
        <f>(FME_Ranking1[[#This Row],[LWC Raw]]/$U$2)*100</f>
        <v>0</v>
      </c>
      <c r="W1463" s="178">
        <f>FME_Ranking1[[#This Row],[LWC Score (Normalized, Unweighted)]]*$U$3</f>
        <v>0</v>
      </c>
      <c r="X1463" s="246">
        <f>_xlfn.XLOOKUP(FME_Ranking1[[#This Row],[FME ID]],FME_Input[FME_ID],FME_Input[ROADCLS])</f>
        <v>8</v>
      </c>
      <c r="Y1463" s="230">
        <f>(FME_Ranking1[[#This Row],[Closures Raw]]/$X$2)*100</f>
        <v>8.4113132162758911E-2</v>
      </c>
      <c r="Z1463" s="180">
        <f>FME_Ranking1[[#This Row],[Closures Score (Normalized, Unweighted)]]*$X$3</f>
        <v>4.2056566081379457E-3</v>
      </c>
      <c r="AA1463" s="253">
        <f>_xlfn.XLOOKUP(FME_Ranking1[[#This Row],[FME ID]],FME_Input[FME_ID],FME_Input[ROAD_MILES100])</f>
        <v>0.81000000238418579</v>
      </c>
      <c r="AB1463" s="178">
        <f>(FME_Ranking1[[#This Row],[Miles Raw]]/$AA$2)*100</f>
        <v>1.0650047228144381E-2</v>
      </c>
      <c r="AC1463" s="178">
        <f>FME_Ranking1[[#This Row],[Miles Score (Normalized, Unweighted)]]*$AA$3</f>
        <v>1.0650047228144381E-3</v>
      </c>
      <c r="AD1463" s="255">
        <f>_xlfn.XLOOKUP(FME_Ranking1[[#This Row],[FME ID]],FME_Input[FME_ID],FME_Input[FARMACRE100])</f>
        <v>271.7030029296875</v>
      </c>
      <c r="AE1463" s="230">
        <f>(FME_Ranking1[[#This Row],[Ag Land Raw]]/$AD$2)*100</f>
        <v>1.1203815561325265E-2</v>
      </c>
      <c r="AF1463" s="231">
        <f>FME_Ranking1[[#This Row],[Ag Land Score (Normalized, Unweighted)]]*$AD$3</f>
        <v>5.6019077806626323E-4</v>
      </c>
      <c r="AG146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2.7481790606211313E-2</v>
      </c>
      <c r="AH1463" s="406">
        <f t="shared" si="22"/>
        <v>1492</v>
      </c>
      <c r="AI146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2.7481790606211313E-2</v>
      </c>
      <c r="AJ1463" s="257">
        <f>FME_Ranking1[[#This Row],[Addition check]]-FME_Ranking1[[#This Row],[Weighted Score Based on Normalized Reported Factors]]</f>
        <v>0</v>
      </c>
      <c r="AK1463" s="178">
        <f>_xlfn.RANK.EQ(AI1463,$AI$6:$AI$2341,0)+COUNTIF($AI$6:AI1463,AI1463)-1</f>
        <v>1492</v>
      </c>
    </row>
    <row r="1464" spans="1:37" x14ac:dyDescent="0.25">
      <c r="A1464" t="s">
        <v>6134</v>
      </c>
      <c r="B1464">
        <f>_xlfn.XLOOKUP(FME_Ranking1[[#This Row],[FME ID]],FME_Input[FME_ID],FME_Input[RFPG_NUM])</f>
        <v>5</v>
      </c>
      <c r="C1464" t="str">
        <f>_xlfn.XLOOKUP(FME_Ranking1[[#This Row],[FME ID]],FME_Input[FME_ID],FME_Input[FME_NAME])</f>
        <v>Beauxart Gardens Central Ditch Improvements</v>
      </c>
      <c r="D1464" t="str">
        <f>_xlfn.XLOOKUP(FME_Ranking1[[#This Row],[FME ID]],FME_Input[FME_ID],FME_Input[DESCR])</f>
        <v xml:space="preserve">Evaluate project to quantify benefits, evaluate impacts, and begin design. Project consists of widening those channels to increase the runoff capacity – upgrading/enlarging road crossings to reduce out of bank flooding.
</v>
      </c>
      <c r="E1464" s="256">
        <f>_xlfn.XLOOKUP(FME_Ranking1[[#This Row],[FME ID]],FME_Input[FME_ID],FME_Input[FME_COST])</f>
        <v>50000</v>
      </c>
      <c r="F1464" t="str">
        <f>_xlfn.XLOOKUP(FME_Ranking1[[#This Row],[FME ID]],FME_Input[FME_ID],FME_Input[EMER_NEED])</f>
        <v>Yes</v>
      </c>
      <c r="G1464">
        <f>IF(FME_Ranking!F1464="Yes",100,0)</f>
        <v>100</v>
      </c>
      <c r="H1464">
        <f>FME_Ranking1[[#This Row],[Emergency Need Score (Normalized, Unweighted)]]*$F$3</f>
        <v>0</v>
      </c>
      <c r="I1464" s="246">
        <f>_xlfn.XLOOKUP(FME_Ranking1[[#This Row],[FME ID]],FME_Input[FME_ID],FME_Input[STRUCT_100])</f>
        <v>226</v>
      </c>
      <c r="J1464" s="178">
        <f>(FME_Ranking1[[#This Row],[Structures 100 Raw]]/I$2)*100</f>
        <v>0.12102129117936855</v>
      </c>
      <c r="K1464" s="178">
        <f>FME_Ranking1[[#This Row],[Structures 100  Score (Normalized, Unweighted)]]*$I$3</f>
        <v>1.8153193676905283E-2</v>
      </c>
      <c r="L1464" s="246">
        <f>_xlfn.XLOOKUP(FME_Ranking1[[#This Row],[FME ID]],FME_Input[FME_ID],FME_Input[RES_STRUCT100])</f>
        <v>9</v>
      </c>
      <c r="M1464" s="230">
        <f>(FME_Ranking1[[#This Row],[Res Structures Raw]]/L$2)*100</f>
        <v>6.3747503222790439E-3</v>
      </c>
      <c r="N1464" s="180">
        <f>FME_Ranking1[[#This Row],[Res Structures Score (Normalized, Unweighted)]]*$L$3</f>
        <v>6.3747503222790446E-4</v>
      </c>
      <c r="O1464" s="244">
        <f>_xlfn.XLOOKUP(FME_Ranking1[[#This Row],[FME ID]],FME_Input[FME_ID],FME_Input[POP100])</f>
        <v>480</v>
      </c>
      <c r="P1464" s="178">
        <f>(FME_Ranking1[[#This Row],[Pop Raw]]/$O$2)*100</f>
        <v>4.9140149754606371E-2</v>
      </c>
      <c r="Q1464" s="178">
        <f>FME_Ranking1[[#This Row],[Pop Score (Normalized, Unweighted)]]*$O$3</f>
        <v>7.3710224631909557E-3</v>
      </c>
      <c r="R1464" s="137">
        <f>_xlfn.XLOOKUP(FME_Ranking1[[#This Row],[FME ID]],FME_Input[FME_ID],FME_Input[CRITFAC100])</f>
        <v>0</v>
      </c>
      <c r="S1464" s="230">
        <f>(FME_Ranking1[[#This Row],[Critical Facilities Raw]]/$R$2)*100</f>
        <v>0</v>
      </c>
      <c r="T1464" s="180">
        <f>FME_Ranking1[[#This Row],[Critical Facilities Score (Normalized, Unweighted)]]*$R$3</f>
        <v>0</v>
      </c>
      <c r="U1464">
        <f>_xlfn.XLOOKUP(FME_Ranking1[[#This Row],[FME ID]],FME_Input[FME_ID],FME_Input[LWC])</f>
        <v>0</v>
      </c>
      <c r="V1464" s="178">
        <f>(FME_Ranking1[[#This Row],[LWC Raw]]/$U$2)*100</f>
        <v>0</v>
      </c>
      <c r="W1464" s="178">
        <f>FME_Ranking1[[#This Row],[LWC Score (Normalized, Unweighted)]]*$U$3</f>
        <v>0</v>
      </c>
      <c r="X1464" s="246">
        <f>_xlfn.XLOOKUP(FME_Ranking1[[#This Row],[FME ID]],FME_Input[FME_ID],FME_Input[ROADCLS])</f>
        <v>0</v>
      </c>
      <c r="Y1464" s="230">
        <f>(FME_Ranking1[[#This Row],[Closures Raw]]/$X$2)*100</f>
        <v>0</v>
      </c>
      <c r="Z1464" s="180">
        <f>FME_Ranking1[[#This Row],[Closures Score (Normalized, Unweighted)]]*$X$3</f>
        <v>0</v>
      </c>
      <c r="AA1464" s="253">
        <f>_xlfn.XLOOKUP(FME_Ranking1[[#This Row],[FME ID]],FME_Input[FME_ID],FME_Input[ROAD_MILES100])</f>
        <v>1.7408525943756099</v>
      </c>
      <c r="AB1464" s="178">
        <f>(FME_Ranking1[[#This Row],[Miles Raw]]/$AA$2)*100</f>
        <v>2.2889089250328492E-2</v>
      </c>
      <c r="AC1464" s="178">
        <f>FME_Ranking1[[#This Row],[Miles Score (Normalized, Unweighted)]]*$AA$3</f>
        <v>2.2889089250328495E-3</v>
      </c>
      <c r="AD1464" s="255">
        <f>_xlfn.XLOOKUP(FME_Ranking1[[#This Row],[FME ID]],FME_Input[FME_ID],FME_Input[FARMACRE100])</f>
        <v>9.6552705764770508</v>
      </c>
      <c r="AE1464" s="230">
        <f>(FME_Ranking1[[#This Row],[Ag Land Raw]]/$AD$2)*100</f>
        <v>3.9814013671955539E-4</v>
      </c>
      <c r="AF1464" s="231">
        <f>FME_Ranking1[[#This Row],[Ag Land Score (Normalized, Unweighted)]]*$AD$3</f>
        <v>1.9907006835977772E-5</v>
      </c>
      <c r="AG146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2.8470507104192969E-2</v>
      </c>
      <c r="AH1464" s="406">
        <f t="shared" si="22"/>
        <v>1482</v>
      </c>
      <c r="AI146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2.8470507104192969E-2</v>
      </c>
      <c r="AJ1464" s="257">
        <f>FME_Ranking1[[#This Row],[Addition check]]-FME_Ranking1[[#This Row],[Weighted Score Based on Normalized Reported Factors]]</f>
        <v>0</v>
      </c>
      <c r="AK1464" s="178">
        <f>_xlfn.RANK.EQ(AI1464,$AI$6:$AI$2341,0)+COUNTIF($AI$6:AI1464,AI1464)-1</f>
        <v>1482</v>
      </c>
    </row>
    <row r="1465" spans="1:37" x14ac:dyDescent="0.25">
      <c r="A1465" t="s">
        <v>9546</v>
      </c>
      <c r="B1465">
        <f>_xlfn.XLOOKUP(FME_Ranking1[[#This Row],[FME ID]],FME_Input[FME_ID],FME_Input[RFPG_NUM])</f>
        <v>12</v>
      </c>
      <c r="C1465" t="str">
        <f>_xlfn.XLOOKUP(FME_Ranking1[[#This Row],[FME ID]],FME_Input[FME_ID],FME_Input[FME_NAME])</f>
        <v>Damage Center 34-State Hospital Creek</v>
      </c>
      <c r="D1465" t="str">
        <f>_xlfn.XLOOKUP(FME_Ranking1[[#This Row],[FME ID]],FME_Input[FME_ID],FME_Input[DESCR])</f>
        <v>the channelization project will have to  be constructed  to  remove  all  structures  from  the  1%  annual  chance  storm  event floodplain</v>
      </c>
      <c r="E1465" s="256">
        <f>_xlfn.XLOOKUP(FME_Ranking1[[#This Row],[FME ID]],FME_Input[FME_ID],FME_Input[FME_COST])</f>
        <v>6041898</v>
      </c>
      <c r="F1465" t="str">
        <f>_xlfn.XLOOKUP(FME_Ranking1[[#This Row],[FME ID]],FME_Input[FME_ID],FME_Input[EMER_NEED])</f>
        <v>Yes</v>
      </c>
      <c r="G1465">
        <f>IF(FME_Ranking!F1465="Yes",100,0)</f>
        <v>100</v>
      </c>
      <c r="H1465">
        <f>FME_Ranking1[[#This Row],[Emergency Need Score (Normalized, Unweighted)]]*$F$3</f>
        <v>0</v>
      </c>
      <c r="I1465" s="246">
        <f>_xlfn.XLOOKUP(FME_Ranking1[[#This Row],[FME ID]],FME_Input[FME_ID],FME_Input[STRUCT_100])</f>
        <v>54</v>
      </c>
      <c r="J1465" s="178">
        <f>(FME_Ranking1[[#This Row],[Structures 100 Raw]]/I$2)*100</f>
        <v>2.891659169772523E-2</v>
      </c>
      <c r="K1465" s="178">
        <f>FME_Ranking1[[#This Row],[Structures 100  Score (Normalized, Unweighted)]]*$I$3</f>
        <v>4.3374887546587847E-3</v>
      </c>
      <c r="L1465" s="246">
        <f>_xlfn.XLOOKUP(FME_Ranking1[[#This Row],[FME ID]],FME_Input[FME_ID],FME_Input[RES_STRUCT100])</f>
        <v>54</v>
      </c>
      <c r="M1465" s="230">
        <f>(FME_Ranking1[[#This Row],[Res Structures Raw]]/L$2)*100</f>
        <v>3.8248501933674267E-2</v>
      </c>
      <c r="N1465" s="180">
        <f>FME_Ranking1[[#This Row],[Res Structures Score (Normalized, Unweighted)]]*$L$3</f>
        <v>3.824850193367427E-3</v>
      </c>
      <c r="O1465" s="244">
        <f>_xlfn.XLOOKUP(FME_Ranking1[[#This Row],[FME ID]],FME_Input[FME_ID],FME_Input[POP100])</f>
        <v>139</v>
      </c>
      <c r="P1465" s="178">
        <f>(FME_Ranking1[[#This Row],[Pop Raw]]/$O$2)*100</f>
        <v>1.4230168366438097E-2</v>
      </c>
      <c r="Q1465" s="178">
        <f>FME_Ranking1[[#This Row],[Pop Score (Normalized, Unweighted)]]*$O$3</f>
        <v>2.1345252549657143E-3</v>
      </c>
      <c r="R1465" s="137">
        <f>_xlfn.XLOOKUP(FME_Ranking1[[#This Row],[FME ID]],FME_Input[FME_ID],FME_Input[CRITFAC100])</f>
        <v>0</v>
      </c>
      <c r="S1465" s="230">
        <f>(FME_Ranking1[[#This Row],[Critical Facilities Raw]]/$R$2)*100</f>
        <v>0</v>
      </c>
      <c r="T1465" s="180">
        <f>FME_Ranking1[[#This Row],[Critical Facilities Score (Normalized, Unweighted)]]*$R$3</f>
        <v>0</v>
      </c>
      <c r="U1465">
        <f>_xlfn.XLOOKUP(FME_Ranking1[[#This Row],[FME ID]],FME_Input[FME_ID],FME_Input[LWC])</f>
        <v>1</v>
      </c>
      <c r="V1465" s="178">
        <f>(FME_Ranking1[[#This Row],[LWC Raw]]/$U$2)*100</f>
        <v>5.7570523891767422E-2</v>
      </c>
      <c r="W1465" s="178">
        <f>FME_Ranking1[[#This Row],[LWC Score (Normalized, Unweighted)]]*$U$3</f>
        <v>1.1514104778353485E-2</v>
      </c>
      <c r="X1465" s="246">
        <f>_xlfn.XLOOKUP(FME_Ranking1[[#This Row],[FME ID]],FME_Input[FME_ID],FME_Input[ROADCLS])</f>
        <v>8</v>
      </c>
      <c r="Y1465" s="230">
        <f>(FME_Ranking1[[#This Row],[Closures Raw]]/$X$2)*100</f>
        <v>8.4113132162758911E-2</v>
      </c>
      <c r="Z1465" s="180">
        <f>FME_Ranking1[[#This Row],[Closures Score (Normalized, Unweighted)]]*$X$3</f>
        <v>4.2056566081379457E-3</v>
      </c>
      <c r="AA1465" s="253">
        <f>_xlfn.XLOOKUP(FME_Ranking1[[#This Row],[FME ID]],FME_Input[FME_ID],FME_Input[ROAD_MILES100])</f>
        <v>1.139999985694885</v>
      </c>
      <c r="AB1465" s="178">
        <f>(FME_Ranking1[[#This Row],[Miles Raw]]/$AA$2)*100</f>
        <v>1.4988955125923444E-2</v>
      </c>
      <c r="AC1465" s="178">
        <f>FME_Ranking1[[#This Row],[Miles Score (Normalized, Unweighted)]]*$AA$3</f>
        <v>1.4988955125923445E-3</v>
      </c>
      <c r="AD1465" s="255">
        <f>_xlfn.XLOOKUP(FME_Ranking1[[#This Row],[FME ID]],FME_Input[FME_ID],FME_Input[FARMACRE100])</f>
        <v>0</v>
      </c>
      <c r="AE1465" s="230">
        <f>(FME_Ranking1[[#This Row],[Ag Land Raw]]/$AD$2)*100</f>
        <v>0</v>
      </c>
      <c r="AF1465" s="231">
        <f>FME_Ranking1[[#This Row],[Ag Land Score (Normalized, Unweighted)]]*$AD$3</f>
        <v>0</v>
      </c>
      <c r="AG146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2.7515521102075696E-2</v>
      </c>
      <c r="AH1465" s="406">
        <f t="shared" si="22"/>
        <v>1491</v>
      </c>
      <c r="AI146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2.7515521102075696E-2</v>
      </c>
      <c r="AJ1465" s="257">
        <f>FME_Ranking1[[#This Row],[Addition check]]-FME_Ranking1[[#This Row],[Weighted Score Based on Normalized Reported Factors]]</f>
        <v>0</v>
      </c>
      <c r="AK1465" s="178">
        <f>_xlfn.RANK.EQ(AI1465,$AI$6:$AI$2341,0)+COUNTIF($AI$6:AI1465,AI1465)-1</f>
        <v>1491</v>
      </c>
    </row>
    <row r="1466" spans="1:37" x14ac:dyDescent="0.25">
      <c r="A1466" t="s">
        <v>361</v>
      </c>
      <c r="B1466">
        <f>_xlfn.XLOOKUP(FME_Ranking1[[#This Row],[FME ID]],FME_Input[FME_ID],FME_Input[RFPG_NUM])</f>
        <v>10</v>
      </c>
      <c r="C1466" t="str">
        <f>_xlfn.XLOOKUP(FME_Ranking1[[#This Row],[FME ID]],FME_Input[FME_ID],FME_Input[FME_NAME])</f>
        <v>City of Buda Garlic Creek Culvert</v>
      </c>
      <c r="D1466" t="str">
        <f>_xlfn.XLOOKUP(FME_Ranking1[[#This Row],[FME ID]],FME_Input[FME_ID],FME_Input[DESCR])</f>
        <v>Culvert improvements to Garlic Creek RM 967, TxDOT upgraded the road but chose not to touch the culvert, Needs to be upsized. Current roadway inundation just north of creekside by Hailey's Way</v>
      </c>
      <c r="E1466" s="256">
        <f>_xlfn.XLOOKUP(FME_Ranking1[[#This Row],[FME ID]],FME_Input[FME_ID],FME_Input[FME_COST])</f>
        <v>100000</v>
      </c>
      <c r="F1466" t="str">
        <f>_xlfn.XLOOKUP(FME_Ranking1[[#This Row],[FME ID]],FME_Input[FME_ID],FME_Input[EMER_NEED])</f>
        <v>No</v>
      </c>
      <c r="G1466">
        <f>IF(FME_Ranking!F1466="Yes",100,0)</f>
        <v>0</v>
      </c>
      <c r="H1466">
        <f>FME_Ranking1[[#This Row],[Emergency Need Score (Normalized, Unweighted)]]*$F$3</f>
        <v>0</v>
      </c>
      <c r="I1466" s="246">
        <f>_xlfn.XLOOKUP(FME_Ranking1[[#This Row],[FME ID]],FME_Input[FME_ID],FME_Input[STRUCT_100])</f>
        <v>16</v>
      </c>
      <c r="J1466" s="178">
        <f>(FME_Ranking1[[#This Row],[Structures 100 Raw]]/I$2)*100</f>
        <v>8.5678790215482168E-3</v>
      </c>
      <c r="K1466" s="178">
        <f>FME_Ranking1[[#This Row],[Structures 100  Score (Normalized, Unweighted)]]*$I$3</f>
        <v>1.2851818532322325E-3</v>
      </c>
      <c r="L1466" s="246">
        <f>_xlfn.XLOOKUP(FME_Ranking1[[#This Row],[FME ID]],FME_Input[FME_ID],FME_Input[RES_STRUCT100])</f>
        <v>13</v>
      </c>
      <c r="M1466" s="230">
        <f>(FME_Ranking1[[#This Row],[Res Structures Raw]]/L$2)*100</f>
        <v>9.2079726877363974E-3</v>
      </c>
      <c r="N1466" s="180">
        <f>FME_Ranking1[[#This Row],[Res Structures Score (Normalized, Unweighted)]]*$L$3</f>
        <v>9.2079726877363974E-4</v>
      </c>
      <c r="O1466" s="244">
        <f>_xlfn.XLOOKUP(FME_Ranking1[[#This Row],[FME ID]],FME_Input[FME_ID],FME_Input[POP100])</f>
        <v>17</v>
      </c>
      <c r="P1466" s="178">
        <f>(FME_Ranking1[[#This Row],[Pop Raw]]/$O$2)*100</f>
        <v>1.7403803038089759E-3</v>
      </c>
      <c r="Q1466" s="178">
        <f>FME_Ranking1[[#This Row],[Pop Score (Normalized, Unweighted)]]*$O$3</f>
        <v>2.6105704557134637E-4</v>
      </c>
      <c r="R1466" s="137">
        <f>_xlfn.XLOOKUP(FME_Ranking1[[#This Row],[FME ID]],FME_Input[FME_ID],FME_Input[CRITFAC100])</f>
        <v>0</v>
      </c>
      <c r="S1466" s="230">
        <f>(FME_Ranking1[[#This Row],[Critical Facilities Raw]]/$R$2)*100</f>
        <v>0</v>
      </c>
      <c r="T1466" s="180">
        <f>FME_Ranking1[[#This Row],[Critical Facilities Score (Normalized, Unweighted)]]*$R$3</f>
        <v>0</v>
      </c>
      <c r="U1466">
        <f>_xlfn.XLOOKUP(FME_Ranking1[[#This Row],[FME ID]],FME_Input[FME_ID],FME_Input[LWC])</f>
        <v>2</v>
      </c>
      <c r="V1466" s="178">
        <f>(FME_Ranking1[[#This Row],[LWC Raw]]/$U$2)*100</f>
        <v>0.11514104778353484</v>
      </c>
      <c r="W1466" s="178">
        <f>FME_Ranking1[[#This Row],[LWC Score (Normalized, Unweighted)]]*$U$3</f>
        <v>2.302820955670697E-2</v>
      </c>
      <c r="X1466" s="246">
        <f>_xlfn.XLOOKUP(FME_Ranking1[[#This Row],[FME ID]],FME_Input[FME_ID],FME_Input[ROADCLS])</f>
        <v>0</v>
      </c>
      <c r="Y1466" s="230">
        <f>(FME_Ranking1[[#This Row],[Closures Raw]]/$X$2)*100</f>
        <v>0</v>
      </c>
      <c r="Z1466" s="180">
        <f>FME_Ranking1[[#This Row],[Closures Score (Normalized, Unweighted)]]*$X$3</f>
        <v>0</v>
      </c>
      <c r="AA1466" s="253">
        <f>_xlfn.XLOOKUP(FME_Ranking1[[#This Row],[FME ID]],FME_Input[FME_ID],FME_Input[ROAD_MILES100])</f>
        <v>0.37819370627403259</v>
      </c>
      <c r="AB1466" s="178">
        <f>(FME_Ranking1[[#This Row],[Miles Raw]]/$AA$2)*100</f>
        <v>4.9725689152467691E-3</v>
      </c>
      <c r="AC1466" s="178">
        <f>FME_Ranking1[[#This Row],[Miles Score (Normalized, Unweighted)]]*$AA$3</f>
        <v>4.9725689152467696E-4</v>
      </c>
      <c r="AD1466" s="255">
        <f>_xlfn.XLOOKUP(FME_Ranking1[[#This Row],[FME ID]],FME_Input[FME_ID],FME_Input[FARMACRE100])</f>
        <v>195.1989440917969</v>
      </c>
      <c r="AE1466" s="230">
        <f>(FME_Ranking1[[#This Row],[Ag Land Raw]]/$AD$2)*100</f>
        <v>8.0491306455523007E-3</v>
      </c>
      <c r="AF1466" s="231">
        <f>FME_Ranking1[[#This Row],[Ag Land Score (Normalized, Unweighted)]]*$AD$3</f>
        <v>4.0245653227761503E-4</v>
      </c>
      <c r="AG146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2.6394959148086483E-2</v>
      </c>
      <c r="AH1466" s="406">
        <f t="shared" si="22"/>
        <v>1500</v>
      </c>
      <c r="AI146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2.6394959148086483E-2</v>
      </c>
      <c r="AJ1466" s="257">
        <f>FME_Ranking1[[#This Row],[Addition check]]-FME_Ranking1[[#This Row],[Weighted Score Based on Normalized Reported Factors]]</f>
        <v>0</v>
      </c>
      <c r="AK1466" s="178">
        <f>_xlfn.RANK.EQ(AI1466,$AI$6:$AI$2341,0)+COUNTIF($AI$6:AI1466,AI1466)-1</f>
        <v>1500</v>
      </c>
    </row>
    <row r="1467" spans="1:37" x14ac:dyDescent="0.25">
      <c r="A1467" t="s">
        <v>739</v>
      </c>
      <c r="B1467">
        <f>_xlfn.XLOOKUP(FME_Ranking1[[#This Row],[FME ID]],FME_Input[FME_ID],FME_Input[RFPG_NUM])</f>
        <v>6</v>
      </c>
      <c r="C1467" t="str">
        <f>_xlfn.XLOOKUP(FME_Ranking1[[#This Row],[FME ID]],FME_Input[FME_ID],FME_Input[FME_NAME])</f>
        <v>Rush Creek Lake - Lake Conroe Estates Watershed</v>
      </c>
      <c r="D1467" t="str">
        <f>_xlfn.XLOOKUP(FME_Ranking1[[#This Row],[FME ID]],FME_Input[FME_ID],FME_Input[DESCR])</f>
        <v>Develop a benefits cost analysis in support of this project identied in the City of Conroe Master Drainage Plan.</v>
      </c>
      <c r="E1467" s="256">
        <f>_xlfn.XLOOKUP(FME_Ranking1[[#This Row],[FME ID]],FME_Input[FME_ID],FME_Input[FME_COST])</f>
        <v>30000</v>
      </c>
      <c r="F1467" t="str">
        <f>_xlfn.XLOOKUP(FME_Ranking1[[#This Row],[FME ID]],FME_Input[FME_ID],FME_Input[EMER_NEED])</f>
        <v>No</v>
      </c>
      <c r="G1467">
        <f>IF(FME_Ranking!F1467="Yes",100,0)</f>
        <v>0</v>
      </c>
      <c r="H1467">
        <f>FME_Ranking1[[#This Row],[Emergency Need Score (Normalized, Unweighted)]]*$F$3</f>
        <v>0</v>
      </c>
      <c r="I1467" s="246">
        <f>_xlfn.XLOOKUP(FME_Ranking1[[#This Row],[FME ID]],FME_Input[FME_ID],FME_Input[STRUCT_100])</f>
        <v>80</v>
      </c>
      <c r="J1467" s="178">
        <f>(FME_Ranking1[[#This Row],[Structures 100 Raw]]/I$2)*100</f>
        <v>4.2839395107741075E-2</v>
      </c>
      <c r="K1467" s="178">
        <f>FME_Ranking1[[#This Row],[Structures 100  Score (Normalized, Unweighted)]]*$I$3</f>
        <v>6.4259092661611613E-3</v>
      </c>
      <c r="L1467" s="246">
        <f>_xlfn.XLOOKUP(FME_Ranking1[[#This Row],[FME ID]],FME_Input[FME_ID],FME_Input[RES_STRUCT100])</f>
        <v>73</v>
      </c>
      <c r="M1467" s="230">
        <f>(FME_Ranking1[[#This Row],[Res Structures Raw]]/L$2)*100</f>
        <v>5.1706308169596697E-2</v>
      </c>
      <c r="N1467" s="180">
        <f>FME_Ranking1[[#This Row],[Res Structures Score (Normalized, Unweighted)]]*$L$3</f>
        <v>5.1706308169596699E-3</v>
      </c>
      <c r="O1467" s="244">
        <f>_xlfn.XLOOKUP(FME_Ranking1[[#This Row],[FME ID]],FME_Input[FME_ID],FME_Input[POP100])</f>
        <v>130</v>
      </c>
      <c r="P1467" s="178">
        <f>(FME_Ranking1[[#This Row],[Pop Raw]]/$O$2)*100</f>
        <v>1.3308790558539226E-2</v>
      </c>
      <c r="Q1467" s="178">
        <f>FME_Ranking1[[#This Row],[Pop Score (Normalized, Unweighted)]]*$O$3</f>
        <v>1.9963185837808838E-3</v>
      </c>
      <c r="R1467" s="137">
        <f>_xlfn.XLOOKUP(FME_Ranking1[[#This Row],[FME ID]],FME_Input[FME_ID],FME_Input[CRITFAC100])</f>
        <v>0</v>
      </c>
      <c r="S1467" s="230">
        <f>(FME_Ranking1[[#This Row],[Critical Facilities Raw]]/$R$2)*100</f>
        <v>0</v>
      </c>
      <c r="T1467" s="180">
        <f>FME_Ranking1[[#This Row],[Critical Facilities Score (Normalized, Unweighted)]]*$R$3</f>
        <v>0</v>
      </c>
      <c r="U1467">
        <f>_xlfn.XLOOKUP(FME_Ranking1[[#This Row],[FME ID]],FME_Input[FME_ID],FME_Input[LWC])</f>
        <v>1</v>
      </c>
      <c r="V1467" s="178">
        <f>(FME_Ranking1[[#This Row],[LWC Raw]]/$U$2)*100</f>
        <v>5.7570523891767422E-2</v>
      </c>
      <c r="W1467" s="178">
        <f>FME_Ranking1[[#This Row],[LWC Score (Normalized, Unweighted)]]*$U$3</f>
        <v>1.1514104778353485E-2</v>
      </c>
      <c r="X1467" s="246">
        <f>_xlfn.XLOOKUP(FME_Ranking1[[#This Row],[FME ID]],FME_Input[FME_ID],FME_Input[ROADCLS])</f>
        <v>1</v>
      </c>
      <c r="Y1467" s="230">
        <f>(FME_Ranking1[[#This Row],[Closures Raw]]/$X$2)*100</f>
        <v>1.0514141520344864E-2</v>
      </c>
      <c r="Z1467" s="180">
        <f>FME_Ranking1[[#This Row],[Closures Score (Normalized, Unweighted)]]*$X$3</f>
        <v>5.2570707601724321E-4</v>
      </c>
      <c r="AA1467" s="253">
        <f>_xlfn.XLOOKUP(FME_Ranking1[[#This Row],[FME ID]],FME_Input[FME_ID],FME_Input[ROAD_MILES100])</f>
        <v>0.37900954484939581</v>
      </c>
      <c r="AB1467" s="178">
        <f>(FME_Ranking1[[#This Row],[Miles Raw]]/$AA$2)*100</f>
        <v>4.9832957292376152E-3</v>
      </c>
      <c r="AC1467" s="178">
        <f>FME_Ranking1[[#This Row],[Miles Score (Normalized, Unweighted)]]*$AA$3</f>
        <v>4.9832957292376154E-4</v>
      </c>
      <c r="AD1467" s="255">
        <f>_xlfn.XLOOKUP(FME_Ranking1[[#This Row],[FME ID]],FME_Input[FME_ID],FME_Input[FARMACRE100])</f>
        <v>1.171100378036499</v>
      </c>
      <c r="AE1467" s="230">
        <f>(FME_Ranking1[[#This Row],[Ag Land Raw]]/$AD$2)*100</f>
        <v>4.8290937155062232E-5</v>
      </c>
      <c r="AF1467" s="231">
        <f>FME_Ranking1[[#This Row],[Ag Land Score (Normalized, Unweighted)]]*$AD$3</f>
        <v>2.4145468577531118E-6</v>
      </c>
      <c r="AG146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2.6133414641053961E-2</v>
      </c>
      <c r="AH1467" s="406">
        <f t="shared" si="22"/>
        <v>1503</v>
      </c>
      <c r="AI146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2.6133414641053961E-2</v>
      </c>
      <c r="AJ1467" s="257">
        <f>FME_Ranking1[[#This Row],[Addition check]]-FME_Ranking1[[#This Row],[Weighted Score Based on Normalized Reported Factors]]</f>
        <v>0</v>
      </c>
      <c r="AK1467" s="178">
        <f>_xlfn.RANK.EQ(AI1467,$AI$6:$AI$2341,0)+COUNTIF($AI$6:AI1467,AI1467)-1</f>
        <v>1503</v>
      </c>
    </row>
    <row r="1468" spans="1:37" x14ac:dyDescent="0.25">
      <c r="A1468" t="s">
        <v>513</v>
      </c>
      <c r="B1468">
        <f>_xlfn.XLOOKUP(FME_Ranking1[[#This Row],[FME ID]],FME_Input[FME_ID],FME_Input[RFPG_NUM])</f>
        <v>10</v>
      </c>
      <c r="C1468" t="str">
        <f>_xlfn.XLOOKUP(FME_Ranking1[[#This Row],[FME ID]],FME_Input[FME_ID],FME_Input[FME_NAME])</f>
        <v>Bee Creek Drainage Improvements</v>
      </c>
      <c r="D1468" t="str">
        <f>_xlfn.XLOOKUP(FME_Ranking1[[#This Row],[FME ID]],FME_Input[FME_ID],FME_Input[DESCR])</f>
        <v xml:space="preserve">Complete Little Bee Creek Drainage Improvement Project_x000D_
</v>
      </c>
      <c r="E1468" s="256">
        <f>_xlfn.XLOOKUP(FME_Ranking1[[#This Row],[FME ID]],FME_Input[FME_ID],FME_Input[FME_COST])</f>
        <v>100000</v>
      </c>
      <c r="F1468" t="str">
        <f>_xlfn.XLOOKUP(FME_Ranking1[[#This Row],[FME ID]],FME_Input[FME_ID],FME_Input[EMER_NEED])</f>
        <v>No</v>
      </c>
      <c r="G1468">
        <f>IF(FME_Ranking!F1468="Yes",100,0)</f>
        <v>0</v>
      </c>
      <c r="H1468">
        <f>FME_Ranking1[[#This Row],[Emergency Need Score (Normalized, Unweighted)]]*$F$3</f>
        <v>0</v>
      </c>
      <c r="I1468" s="246">
        <f>_xlfn.XLOOKUP(FME_Ranking1[[#This Row],[FME ID]],FME_Input[FME_ID],FME_Input[STRUCT_100])</f>
        <v>14</v>
      </c>
      <c r="J1468" s="178">
        <f>(FME_Ranking1[[#This Row],[Structures 100 Raw]]/I$2)*100</f>
        <v>7.4968941438546891E-3</v>
      </c>
      <c r="K1468" s="178">
        <f>FME_Ranking1[[#This Row],[Structures 100  Score (Normalized, Unweighted)]]*$I$3</f>
        <v>1.1245341215782034E-3</v>
      </c>
      <c r="L1468" s="246">
        <f>_xlfn.XLOOKUP(FME_Ranking1[[#This Row],[FME ID]],FME_Input[FME_ID],FME_Input[RES_STRUCT100])</f>
        <v>13</v>
      </c>
      <c r="M1468" s="230">
        <f>(FME_Ranking1[[#This Row],[Res Structures Raw]]/L$2)*100</f>
        <v>9.2079726877363974E-3</v>
      </c>
      <c r="N1468" s="180">
        <f>FME_Ranking1[[#This Row],[Res Structures Score (Normalized, Unweighted)]]*$L$3</f>
        <v>9.2079726877363974E-4</v>
      </c>
      <c r="O1468" s="244">
        <f>_xlfn.XLOOKUP(FME_Ranking1[[#This Row],[FME ID]],FME_Input[FME_ID],FME_Input[POP100])</f>
        <v>31</v>
      </c>
      <c r="P1468" s="178">
        <f>(FME_Ranking1[[#This Row],[Pop Raw]]/$O$2)*100</f>
        <v>3.1736346716516616E-3</v>
      </c>
      <c r="Q1468" s="178">
        <f>FME_Ranking1[[#This Row],[Pop Score (Normalized, Unweighted)]]*$O$3</f>
        <v>4.7604520074774923E-4</v>
      </c>
      <c r="R1468" s="137">
        <f>_xlfn.XLOOKUP(FME_Ranking1[[#This Row],[FME ID]],FME_Input[FME_ID],FME_Input[CRITFAC100])</f>
        <v>0</v>
      </c>
      <c r="S1468" s="230">
        <f>(FME_Ranking1[[#This Row],[Critical Facilities Raw]]/$R$2)*100</f>
        <v>0</v>
      </c>
      <c r="T1468" s="180">
        <f>FME_Ranking1[[#This Row],[Critical Facilities Score (Normalized, Unweighted)]]*$R$3</f>
        <v>0</v>
      </c>
      <c r="U1468">
        <f>_xlfn.XLOOKUP(FME_Ranking1[[#This Row],[FME ID]],FME_Input[FME_ID],FME_Input[LWC])</f>
        <v>2</v>
      </c>
      <c r="V1468" s="178">
        <f>(FME_Ranking1[[#This Row],[LWC Raw]]/$U$2)*100</f>
        <v>0.11514104778353484</v>
      </c>
      <c r="W1468" s="178">
        <f>FME_Ranking1[[#This Row],[LWC Score (Normalized, Unweighted)]]*$U$3</f>
        <v>2.302820955670697E-2</v>
      </c>
      <c r="X1468" s="246">
        <f>_xlfn.XLOOKUP(FME_Ranking1[[#This Row],[FME ID]],FME_Input[FME_ID],FME_Input[ROADCLS])</f>
        <v>0</v>
      </c>
      <c r="Y1468" s="230">
        <f>(FME_Ranking1[[#This Row],[Closures Raw]]/$X$2)*100</f>
        <v>0</v>
      </c>
      <c r="Z1468" s="180">
        <f>FME_Ranking1[[#This Row],[Closures Score (Normalized, Unweighted)]]*$X$3</f>
        <v>0</v>
      </c>
      <c r="AA1468" s="253">
        <f>_xlfn.XLOOKUP(FME_Ranking1[[#This Row],[FME ID]],FME_Input[FME_ID],FME_Input[ROAD_MILES100])</f>
        <v>0.46935573220252991</v>
      </c>
      <c r="AB1468" s="178">
        <f>(FME_Ranking1[[#This Row],[Miles Raw]]/$AA$2)*100</f>
        <v>6.171186049437007E-3</v>
      </c>
      <c r="AC1468" s="178">
        <f>FME_Ranking1[[#This Row],[Miles Score (Normalized, Unweighted)]]*$AA$3</f>
        <v>6.1711860494370076E-4</v>
      </c>
      <c r="AD1468" s="255">
        <f>_xlfn.XLOOKUP(FME_Ranking1[[#This Row],[FME ID]],FME_Input[FME_ID],FME_Input[FARMACRE100])</f>
        <v>18.362264633178711</v>
      </c>
      <c r="AE1468" s="230">
        <f>(FME_Ranking1[[#This Row],[Ag Land Raw]]/$AD$2)*100</f>
        <v>7.5717759472691305E-4</v>
      </c>
      <c r="AF1468" s="231">
        <f>FME_Ranking1[[#This Row],[Ag Land Score (Normalized, Unweighted)]]*$AD$3</f>
        <v>3.7858879736345657E-5</v>
      </c>
      <c r="AG146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2.6204563632486605E-2</v>
      </c>
      <c r="AH1468" s="406">
        <f t="shared" si="22"/>
        <v>1502</v>
      </c>
      <c r="AI146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2.6204563632486605E-2</v>
      </c>
      <c r="AJ1468" s="257">
        <f>FME_Ranking1[[#This Row],[Addition check]]-FME_Ranking1[[#This Row],[Weighted Score Based on Normalized Reported Factors]]</f>
        <v>0</v>
      </c>
      <c r="AK1468" s="178">
        <f>_xlfn.RANK.EQ(AI1468,$AI$6:$AI$2341,0)+COUNTIF($AI$6:AI1468,AI1468)-1</f>
        <v>1502</v>
      </c>
    </row>
    <row r="1469" spans="1:37" x14ac:dyDescent="0.25">
      <c r="A1469" t="s">
        <v>1034</v>
      </c>
      <c r="B1469">
        <f>_xlfn.XLOOKUP(FME_Ranking1[[#This Row],[FME ID]],FME_Input[FME_ID],FME_Input[RFPG_NUM])</f>
        <v>6</v>
      </c>
      <c r="C1469" t="str">
        <f>_xlfn.XLOOKUP(FME_Ranking1[[#This Row],[FME ID]],FME_Input[FME_ID],FME_Input[FME_NAME])</f>
        <v>Cowart Creek Segment 16</v>
      </c>
      <c r="D1469" t="str">
        <f>_xlfn.XLOOKUP(FME_Ranking1[[#This Row],[FME ID]],FME_Input[FME_ID],FME_Input[DESCR])</f>
        <v>Further study including Atlas 14 rainfall incorporation and Benefit Cost Analysis of proposed channel modifications included in the City of Pearland master drainage plan.</v>
      </c>
      <c r="E1469" s="256">
        <f>_xlfn.XLOOKUP(FME_Ranking1[[#This Row],[FME ID]],FME_Input[FME_ID],FME_Input[FME_COST])</f>
        <v>40000</v>
      </c>
      <c r="F1469" t="str">
        <f>_xlfn.XLOOKUP(FME_Ranking1[[#This Row],[FME ID]],FME_Input[FME_ID],FME_Input[EMER_NEED])</f>
        <v>No</v>
      </c>
      <c r="G1469">
        <f>IF(FME_Ranking!F1469="Yes",100,0)</f>
        <v>0</v>
      </c>
      <c r="H1469">
        <f>FME_Ranking1[[#This Row],[Emergency Need Score (Normalized, Unweighted)]]*$F$3</f>
        <v>0</v>
      </c>
      <c r="I1469" s="246">
        <f>_xlfn.XLOOKUP(FME_Ranking1[[#This Row],[FME ID]],FME_Input[FME_ID],FME_Input[STRUCT_100])</f>
        <v>150</v>
      </c>
      <c r="J1469" s="178">
        <f>(FME_Ranking1[[#This Row],[Structures 100 Raw]]/I$2)*100</f>
        <v>8.0323865827014521E-2</v>
      </c>
      <c r="K1469" s="178">
        <f>FME_Ranking1[[#This Row],[Structures 100  Score (Normalized, Unweighted)]]*$I$3</f>
        <v>1.2048579874052178E-2</v>
      </c>
      <c r="L1469" s="246">
        <f>_xlfn.XLOOKUP(FME_Ranking1[[#This Row],[FME ID]],FME_Input[FME_ID],FME_Input[RES_STRUCT100])</f>
        <v>123</v>
      </c>
      <c r="M1469" s="230">
        <f>(FME_Ranking1[[#This Row],[Res Structures Raw]]/L$2)*100</f>
        <v>8.7121587737813602E-2</v>
      </c>
      <c r="N1469" s="180">
        <f>FME_Ranking1[[#This Row],[Res Structures Score (Normalized, Unweighted)]]*$L$3</f>
        <v>8.7121587737813613E-3</v>
      </c>
      <c r="O1469" s="244">
        <f>_xlfn.XLOOKUP(FME_Ranking1[[#This Row],[FME ID]],FME_Input[FME_ID],FME_Input[POP100])</f>
        <v>313</v>
      </c>
      <c r="P1469" s="178">
        <f>(FME_Ranking1[[#This Row],[Pop Raw]]/$O$2)*100</f>
        <v>3.2043472652482911E-2</v>
      </c>
      <c r="Q1469" s="178">
        <f>FME_Ranking1[[#This Row],[Pop Score (Normalized, Unweighted)]]*$O$3</f>
        <v>4.8065208978724369E-3</v>
      </c>
      <c r="R1469" s="137">
        <f>_xlfn.XLOOKUP(FME_Ranking1[[#This Row],[FME ID]],FME_Input[FME_ID],FME_Input[CRITFAC100])</f>
        <v>0</v>
      </c>
      <c r="S1469" s="230">
        <f>(FME_Ranking1[[#This Row],[Critical Facilities Raw]]/$R$2)*100</f>
        <v>0</v>
      </c>
      <c r="T1469" s="180">
        <f>FME_Ranking1[[#This Row],[Critical Facilities Score (Normalized, Unweighted)]]*$R$3</f>
        <v>0</v>
      </c>
      <c r="U1469">
        <f>_xlfn.XLOOKUP(FME_Ranking1[[#This Row],[FME ID]],FME_Input[FME_ID],FME_Input[LWC])</f>
        <v>0</v>
      </c>
      <c r="V1469" s="178">
        <f>(FME_Ranking1[[#This Row],[LWC Raw]]/$U$2)*100</f>
        <v>0</v>
      </c>
      <c r="W1469" s="178">
        <f>FME_Ranking1[[#This Row],[LWC Score (Normalized, Unweighted)]]*$U$3</f>
        <v>0</v>
      </c>
      <c r="X1469" s="246">
        <f>_xlfn.XLOOKUP(FME_Ranking1[[#This Row],[FME ID]],FME_Input[FME_ID],FME_Input[ROADCLS])</f>
        <v>0</v>
      </c>
      <c r="Y1469" s="230">
        <f>(FME_Ranking1[[#This Row],[Closures Raw]]/$X$2)*100</f>
        <v>0</v>
      </c>
      <c r="Z1469" s="180">
        <f>FME_Ranking1[[#This Row],[Closures Score (Normalized, Unweighted)]]*$X$3</f>
        <v>0</v>
      </c>
      <c r="AA1469" s="253">
        <f>_xlfn.XLOOKUP(FME_Ranking1[[#This Row],[FME ID]],FME_Input[FME_ID],FME_Input[ROAD_MILES100])</f>
        <v>1.100077271461487</v>
      </c>
      <c r="AB1469" s="178">
        <f>(FME_Ranking1[[#This Row],[Miles Raw]]/$AA$2)*100</f>
        <v>1.4464043038503798E-2</v>
      </c>
      <c r="AC1469" s="178">
        <f>FME_Ranking1[[#This Row],[Miles Score (Normalized, Unweighted)]]*$AA$3</f>
        <v>1.4464043038503798E-3</v>
      </c>
      <c r="AD1469" s="255">
        <f>_xlfn.XLOOKUP(FME_Ranking1[[#This Row],[FME ID]],FME_Input[FME_ID],FME_Input[FARMACRE100])</f>
        <v>7.8175020217895508</v>
      </c>
      <c r="AE1469" s="230">
        <f>(FME_Ranking1[[#This Row],[Ag Land Raw]]/$AD$2)*100</f>
        <v>3.2235878830195829E-4</v>
      </c>
      <c r="AF1469" s="231">
        <f>FME_Ranking1[[#This Row],[Ag Land Score (Normalized, Unweighted)]]*$AD$3</f>
        <v>1.6117939415097915E-5</v>
      </c>
      <c r="AG146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2.7029781788971453E-2</v>
      </c>
      <c r="AH1469" s="406">
        <f t="shared" si="22"/>
        <v>1493</v>
      </c>
      <c r="AI146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2.7029781788971453E-2</v>
      </c>
      <c r="AJ1469" s="257">
        <f>FME_Ranking1[[#This Row],[Addition check]]-FME_Ranking1[[#This Row],[Weighted Score Based on Normalized Reported Factors]]</f>
        <v>0</v>
      </c>
      <c r="AK1469" s="178">
        <f>_xlfn.RANK.EQ(AI1469,$AI$6:$AI$2341,0)+COUNTIF($AI$6:AI1469,AI1469)-1</f>
        <v>1493</v>
      </c>
    </row>
    <row r="1470" spans="1:37" x14ac:dyDescent="0.25">
      <c r="A1470" t="s">
        <v>5293</v>
      </c>
      <c r="B1470">
        <f>_xlfn.XLOOKUP(FME_Ranking1[[#This Row],[FME ID]],FME_Input[FME_ID],FME_Input[RFPG_NUM])</f>
        <v>3</v>
      </c>
      <c r="C1470" t="str">
        <f>_xlfn.XLOOKUP(FME_Ranking1[[#This Row],[FME ID]],FME_Input[FME_ID],FME_Input[FME_NAME])</f>
        <v>Ten Mile Creek at Bluegrove Road</v>
      </c>
      <c r="D1470" t="str">
        <f>_xlfn.XLOOKUP(FME_Ranking1[[#This Row],[FME ID]],FME_Input[FME_ID],FME_Input[DESCR])</f>
        <v>Evaluate bridge improvements for Bluegrove Road over Ten Mile Creek</v>
      </c>
      <c r="E1470" s="256">
        <f>_xlfn.XLOOKUP(FME_Ranking1[[#This Row],[FME ID]],FME_Input[FME_ID],FME_Input[FME_COST])</f>
        <v>250000</v>
      </c>
      <c r="F1470" t="str">
        <f>_xlfn.XLOOKUP(FME_Ranking1[[#This Row],[FME ID]],FME_Input[FME_ID],FME_Input[EMER_NEED])</f>
        <v>No</v>
      </c>
      <c r="G1470">
        <f>IF(FME_Ranking!F1470="Yes",100,0)</f>
        <v>0</v>
      </c>
      <c r="H1470">
        <f>FME_Ranking1[[#This Row],[Emergency Need Score (Normalized, Unweighted)]]*$F$3</f>
        <v>0</v>
      </c>
      <c r="I1470" s="246">
        <f>_xlfn.XLOOKUP(FME_Ranking1[[#This Row],[FME ID]],FME_Input[FME_ID],FME_Input[STRUCT_100])</f>
        <v>12</v>
      </c>
      <c r="J1470" s="178">
        <f>(FME_Ranking1[[#This Row],[Structures 100 Raw]]/I$2)*100</f>
        <v>6.4259092661611613E-3</v>
      </c>
      <c r="K1470" s="178">
        <f>FME_Ranking1[[#This Row],[Structures 100  Score (Normalized, Unweighted)]]*$I$3</f>
        <v>9.6388638992417417E-4</v>
      </c>
      <c r="L1470" s="246">
        <f>_xlfn.XLOOKUP(FME_Ranking1[[#This Row],[FME ID]],FME_Input[FME_ID],FME_Input[RES_STRUCT100])</f>
        <v>11</v>
      </c>
      <c r="M1470" s="230">
        <f>(FME_Ranking1[[#This Row],[Res Structures Raw]]/L$2)*100</f>
        <v>7.7913615050077207E-3</v>
      </c>
      <c r="N1470" s="180">
        <f>FME_Ranking1[[#This Row],[Res Structures Score (Normalized, Unweighted)]]*$L$3</f>
        <v>7.7913615050077215E-4</v>
      </c>
      <c r="O1470" s="244">
        <f>_xlfn.XLOOKUP(FME_Ranking1[[#This Row],[FME ID]],FME_Input[FME_ID],FME_Input[POP100])</f>
        <v>26</v>
      </c>
      <c r="P1470" s="178">
        <f>(FME_Ranking1[[#This Row],[Pop Raw]]/$O$2)*100</f>
        <v>2.6617581117078454E-3</v>
      </c>
      <c r="Q1470" s="178">
        <f>FME_Ranking1[[#This Row],[Pop Score (Normalized, Unweighted)]]*$O$3</f>
        <v>3.9926371675617678E-4</v>
      </c>
      <c r="R1470" s="137">
        <f>_xlfn.XLOOKUP(FME_Ranking1[[#This Row],[FME ID]],FME_Input[FME_ID],FME_Input[CRITFAC100])</f>
        <v>0</v>
      </c>
      <c r="S1470" s="230">
        <f>(FME_Ranking1[[#This Row],[Critical Facilities Raw]]/$R$2)*100</f>
        <v>0</v>
      </c>
      <c r="T1470" s="180">
        <f>FME_Ranking1[[#This Row],[Critical Facilities Score (Normalized, Unweighted)]]*$R$3</f>
        <v>0</v>
      </c>
      <c r="U1470">
        <f>_xlfn.XLOOKUP(FME_Ranking1[[#This Row],[FME ID]],FME_Input[FME_ID],FME_Input[LWC])</f>
        <v>2</v>
      </c>
      <c r="V1470" s="178">
        <f>(FME_Ranking1[[#This Row],[LWC Raw]]/$U$2)*100</f>
        <v>0.11514104778353484</v>
      </c>
      <c r="W1470" s="178">
        <f>FME_Ranking1[[#This Row],[LWC Score (Normalized, Unweighted)]]*$U$3</f>
        <v>2.302820955670697E-2</v>
      </c>
      <c r="X1470" s="246">
        <f>_xlfn.XLOOKUP(FME_Ranking1[[#This Row],[FME ID]],FME_Input[FME_ID],FME_Input[ROADCLS])</f>
        <v>0</v>
      </c>
      <c r="Y1470" s="230">
        <f>(FME_Ranking1[[#This Row],[Closures Raw]]/$X$2)*100</f>
        <v>0</v>
      </c>
      <c r="Z1470" s="180">
        <f>FME_Ranking1[[#This Row],[Closures Score (Normalized, Unweighted)]]*$X$3</f>
        <v>0</v>
      </c>
      <c r="AA1470" s="253">
        <f>_xlfn.XLOOKUP(FME_Ranking1[[#This Row],[FME ID]],FME_Input[FME_ID],FME_Input[ROAD_MILES100])</f>
        <v>0.62198507785797119</v>
      </c>
      <c r="AB1470" s="178">
        <f>(FME_Ranking1[[#This Row],[Miles Raw]]/$AA$2)*100</f>
        <v>8.1779881912229738E-3</v>
      </c>
      <c r="AC1470" s="178">
        <f>FME_Ranking1[[#This Row],[Miles Score (Normalized, Unweighted)]]*$AA$3</f>
        <v>8.1779881912229745E-4</v>
      </c>
      <c r="AD1470" s="255">
        <f>_xlfn.XLOOKUP(FME_Ranking1[[#This Row],[FME ID]],FME_Input[FME_ID],FME_Input[FARMACRE100])</f>
        <v>69.591743469238281</v>
      </c>
      <c r="AE1470" s="230">
        <f>(FME_Ranking1[[#This Row],[Ag Land Raw]]/$AD$2)*100</f>
        <v>2.8696519729749918E-3</v>
      </c>
      <c r="AF1470" s="231">
        <f>FME_Ranking1[[#This Row],[Ag Land Score (Normalized, Unweighted)]]*$AD$3</f>
        <v>1.4348259864874958E-4</v>
      </c>
      <c r="AG147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2.6131777231659138E-2</v>
      </c>
      <c r="AH1470" s="406">
        <f t="shared" si="22"/>
        <v>1504</v>
      </c>
      <c r="AI147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2.6131777231659138E-2</v>
      </c>
      <c r="AJ1470" s="257">
        <f>FME_Ranking1[[#This Row],[Addition check]]-FME_Ranking1[[#This Row],[Weighted Score Based on Normalized Reported Factors]]</f>
        <v>0</v>
      </c>
      <c r="AK1470" s="178">
        <f>_xlfn.RANK.EQ(AI1470,$AI$6:$AI$2341,0)+COUNTIF($AI$6:AI1470,AI1470)-1</f>
        <v>1504</v>
      </c>
    </row>
    <row r="1471" spans="1:37" x14ac:dyDescent="0.25">
      <c r="A1471" t="s">
        <v>5374</v>
      </c>
      <c r="B1471">
        <f>_xlfn.XLOOKUP(FME_Ranking1[[#This Row],[FME ID]],FME_Input[FME_ID],FME_Input[RFPG_NUM])</f>
        <v>3</v>
      </c>
      <c r="C1471" t="str">
        <f>_xlfn.XLOOKUP(FME_Ranking1[[#This Row],[FME ID]],FME_Input[FME_ID],FME_Input[FME_NAME])</f>
        <v>Stream 3A1 at Ten Mile Road</v>
      </c>
      <c r="D1471" t="str">
        <f>_xlfn.XLOOKUP(FME_Ranking1[[#This Row],[FME ID]],FME_Input[FME_ID],FME_Input[DESCR])</f>
        <v>Evaluate bridge improvements for Ten Mile Road over Stream 3A1</v>
      </c>
      <c r="E1471" s="256">
        <f>_xlfn.XLOOKUP(FME_Ranking1[[#This Row],[FME ID]],FME_Input[FME_ID],FME_Input[FME_COST])</f>
        <v>250000</v>
      </c>
      <c r="F1471" t="str">
        <f>_xlfn.XLOOKUP(FME_Ranking1[[#This Row],[FME ID]],FME_Input[FME_ID],FME_Input[EMER_NEED])</f>
        <v>No</v>
      </c>
      <c r="G1471">
        <f>IF(FME_Ranking!F1471="Yes",100,0)</f>
        <v>0</v>
      </c>
      <c r="H1471">
        <f>FME_Ranking1[[#This Row],[Emergency Need Score (Normalized, Unweighted)]]*$F$3</f>
        <v>0</v>
      </c>
      <c r="I1471" s="246">
        <f>_xlfn.XLOOKUP(FME_Ranking1[[#This Row],[FME ID]],FME_Input[FME_ID],FME_Input[STRUCT_100])</f>
        <v>12</v>
      </c>
      <c r="J1471" s="178">
        <f>(FME_Ranking1[[#This Row],[Structures 100 Raw]]/I$2)*100</f>
        <v>6.4259092661611613E-3</v>
      </c>
      <c r="K1471" s="178">
        <f>FME_Ranking1[[#This Row],[Structures 100  Score (Normalized, Unweighted)]]*$I$3</f>
        <v>9.6388638992417417E-4</v>
      </c>
      <c r="L1471" s="246">
        <f>_xlfn.XLOOKUP(FME_Ranking1[[#This Row],[FME ID]],FME_Input[FME_ID],FME_Input[RES_STRUCT100])</f>
        <v>11</v>
      </c>
      <c r="M1471" s="230">
        <f>(FME_Ranking1[[#This Row],[Res Structures Raw]]/L$2)*100</f>
        <v>7.7913615050077207E-3</v>
      </c>
      <c r="N1471" s="180">
        <f>FME_Ranking1[[#This Row],[Res Structures Score (Normalized, Unweighted)]]*$L$3</f>
        <v>7.7913615050077215E-4</v>
      </c>
      <c r="O1471" s="244">
        <f>_xlfn.XLOOKUP(FME_Ranking1[[#This Row],[FME ID]],FME_Input[FME_ID],FME_Input[POP100])</f>
        <v>26</v>
      </c>
      <c r="P1471" s="178">
        <f>(FME_Ranking1[[#This Row],[Pop Raw]]/$O$2)*100</f>
        <v>2.6617581117078454E-3</v>
      </c>
      <c r="Q1471" s="178">
        <f>FME_Ranking1[[#This Row],[Pop Score (Normalized, Unweighted)]]*$O$3</f>
        <v>3.9926371675617678E-4</v>
      </c>
      <c r="R1471" s="137">
        <f>_xlfn.XLOOKUP(FME_Ranking1[[#This Row],[FME ID]],FME_Input[FME_ID],FME_Input[CRITFAC100])</f>
        <v>0</v>
      </c>
      <c r="S1471" s="230">
        <f>(FME_Ranking1[[#This Row],[Critical Facilities Raw]]/$R$2)*100</f>
        <v>0</v>
      </c>
      <c r="T1471" s="180">
        <f>FME_Ranking1[[#This Row],[Critical Facilities Score (Normalized, Unweighted)]]*$R$3</f>
        <v>0</v>
      </c>
      <c r="U1471">
        <f>_xlfn.XLOOKUP(FME_Ranking1[[#This Row],[FME ID]],FME_Input[FME_ID],FME_Input[LWC])</f>
        <v>2</v>
      </c>
      <c r="V1471" s="178">
        <f>(FME_Ranking1[[#This Row],[LWC Raw]]/$U$2)*100</f>
        <v>0.11514104778353484</v>
      </c>
      <c r="W1471" s="178">
        <f>FME_Ranking1[[#This Row],[LWC Score (Normalized, Unweighted)]]*$U$3</f>
        <v>2.302820955670697E-2</v>
      </c>
      <c r="X1471" s="246">
        <f>_xlfn.XLOOKUP(FME_Ranking1[[#This Row],[FME ID]],FME_Input[FME_ID],FME_Input[ROADCLS])</f>
        <v>0</v>
      </c>
      <c r="Y1471" s="230">
        <f>(FME_Ranking1[[#This Row],[Closures Raw]]/$X$2)*100</f>
        <v>0</v>
      </c>
      <c r="Z1471" s="180">
        <f>FME_Ranking1[[#This Row],[Closures Score (Normalized, Unweighted)]]*$X$3</f>
        <v>0</v>
      </c>
      <c r="AA1471" s="253">
        <f>_xlfn.XLOOKUP(FME_Ranking1[[#This Row],[FME ID]],FME_Input[FME_ID],FME_Input[ROAD_MILES100])</f>
        <v>0.62198507785797119</v>
      </c>
      <c r="AB1471" s="178">
        <f>(FME_Ranking1[[#This Row],[Miles Raw]]/$AA$2)*100</f>
        <v>8.1779881912229738E-3</v>
      </c>
      <c r="AC1471" s="178">
        <f>FME_Ranking1[[#This Row],[Miles Score (Normalized, Unweighted)]]*$AA$3</f>
        <v>8.1779881912229745E-4</v>
      </c>
      <c r="AD1471" s="255">
        <f>_xlfn.XLOOKUP(FME_Ranking1[[#This Row],[FME ID]],FME_Input[FME_ID],FME_Input[FARMACRE100])</f>
        <v>69.591743469238281</v>
      </c>
      <c r="AE1471" s="230">
        <f>(FME_Ranking1[[#This Row],[Ag Land Raw]]/$AD$2)*100</f>
        <v>2.8696519729749918E-3</v>
      </c>
      <c r="AF1471" s="231">
        <f>FME_Ranking1[[#This Row],[Ag Land Score (Normalized, Unweighted)]]*$AD$3</f>
        <v>1.4348259864874958E-4</v>
      </c>
      <c r="AG147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2.6131777231659138E-2</v>
      </c>
      <c r="AH1471" s="406">
        <f t="shared" si="22"/>
        <v>1504</v>
      </c>
      <c r="AI147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2.6131777231659138E-2</v>
      </c>
      <c r="AJ1471" s="257">
        <f>FME_Ranking1[[#This Row],[Addition check]]-FME_Ranking1[[#This Row],[Weighted Score Based on Normalized Reported Factors]]</f>
        <v>0</v>
      </c>
      <c r="AK1471" s="178">
        <f>_xlfn.RANK.EQ(AI1471,$AI$6:$AI$2341,0)+COUNTIF($AI$6:AI1471,AI1471)-1</f>
        <v>1505</v>
      </c>
    </row>
    <row r="1472" spans="1:37" x14ac:dyDescent="0.25">
      <c r="A1472" t="s">
        <v>7859</v>
      </c>
      <c r="B1472">
        <f>_xlfn.XLOOKUP(FME_Ranking1[[#This Row],[FME ID]],FME_Input[FME_ID],FME_Input[RFPG_NUM])</f>
        <v>9</v>
      </c>
      <c r="C1472" t="str">
        <f>_xlfn.XLOOKUP(FME_Ranking1[[#This Row],[FME ID]],FME_Input[FME_ID],FME_Input[FME_NAME])</f>
        <v>San Angelo Street Flooding 3</v>
      </c>
      <c r="D1472" t="str">
        <f>_xlfn.XLOOKUP(FME_Ranking1[[#This Row],[FME ID]],FME_Input[FME_ID],FME_Input[DESCR])</f>
        <v>Street flow south of Oxford enters Red Arroyo, 3-4' deep in street</v>
      </c>
      <c r="E1472" s="256">
        <f>_xlfn.XLOOKUP(FME_Ranking1[[#This Row],[FME ID]],FME_Input[FME_ID],FME_Input[FME_COST])</f>
        <v>6645000</v>
      </c>
      <c r="F1472" t="str">
        <f>_xlfn.XLOOKUP(FME_Ranking1[[#This Row],[FME ID]],FME_Input[FME_ID],FME_Input[EMER_NEED])</f>
        <v>Yes</v>
      </c>
      <c r="G1472">
        <f>IF(FME_Ranking!F1472="Yes",100,0)</f>
        <v>100</v>
      </c>
      <c r="H1472">
        <f>FME_Ranking1[[#This Row],[Emergency Need Score (Normalized, Unweighted)]]*$F$3</f>
        <v>0</v>
      </c>
      <c r="I1472" s="246">
        <f>_xlfn.XLOOKUP(FME_Ranking1[[#This Row],[FME ID]],FME_Input[FME_ID],FME_Input[STRUCT_100])</f>
        <v>12</v>
      </c>
      <c r="J1472" s="178">
        <f>(FME_Ranking1[[#This Row],[Structures 100 Raw]]/I$2)*100</f>
        <v>6.4259092661611613E-3</v>
      </c>
      <c r="K1472" s="178">
        <f>FME_Ranking1[[#This Row],[Structures 100  Score (Normalized, Unweighted)]]*$I$3</f>
        <v>9.6388638992417417E-4</v>
      </c>
      <c r="L1472" s="246">
        <f>_xlfn.XLOOKUP(FME_Ranking1[[#This Row],[FME ID]],FME_Input[FME_ID],FME_Input[RES_STRUCT100])</f>
        <v>1</v>
      </c>
      <c r="M1472" s="230">
        <f>(FME_Ranking1[[#This Row],[Res Structures Raw]]/L$2)*100</f>
        <v>7.0830559136433825E-4</v>
      </c>
      <c r="N1472" s="180">
        <f>FME_Ranking1[[#This Row],[Res Structures Score (Normalized, Unweighted)]]*$L$3</f>
        <v>7.0830559136433833E-5</v>
      </c>
      <c r="O1472" s="244">
        <f>_xlfn.XLOOKUP(FME_Ranking1[[#This Row],[FME ID]],FME_Input[FME_ID],FME_Input[POP100])</f>
        <v>81</v>
      </c>
      <c r="P1472" s="178">
        <f>(FME_Ranking1[[#This Row],[Pop Raw]]/$O$2)*100</f>
        <v>8.2924002710898261E-3</v>
      </c>
      <c r="Q1472" s="178">
        <f>FME_Ranking1[[#This Row],[Pop Score (Normalized, Unweighted)]]*$O$3</f>
        <v>1.243860040663474E-3</v>
      </c>
      <c r="R1472" s="137">
        <f>_xlfn.XLOOKUP(FME_Ranking1[[#This Row],[FME ID]],FME_Input[FME_ID],FME_Input[CRITFAC100])</f>
        <v>0</v>
      </c>
      <c r="S1472" s="230">
        <f>(FME_Ranking1[[#This Row],[Critical Facilities Raw]]/$R$2)*100</f>
        <v>0</v>
      </c>
      <c r="T1472" s="180">
        <f>FME_Ranking1[[#This Row],[Critical Facilities Score (Normalized, Unweighted)]]*$R$3</f>
        <v>0</v>
      </c>
      <c r="U1472">
        <f>_xlfn.XLOOKUP(FME_Ranking1[[#This Row],[FME ID]],FME_Input[FME_ID],FME_Input[LWC])</f>
        <v>2</v>
      </c>
      <c r="V1472" s="178">
        <f>(FME_Ranking1[[#This Row],[LWC Raw]]/$U$2)*100</f>
        <v>0.11514104778353484</v>
      </c>
      <c r="W1472" s="178">
        <f>FME_Ranking1[[#This Row],[LWC Score (Normalized, Unweighted)]]*$U$3</f>
        <v>2.302820955670697E-2</v>
      </c>
      <c r="X1472" s="246">
        <f>_xlfn.XLOOKUP(FME_Ranking1[[#This Row],[FME ID]],FME_Input[FME_ID],FME_Input[ROADCLS])</f>
        <v>0</v>
      </c>
      <c r="Y1472" s="230">
        <f>(FME_Ranking1[[#This Row],[Closures Raw]]/$X$2)*100</f>
        <v>0</v>
      </c>
      <c r="Z1472" s="180">
        <f>FME_Ranking1[[#This Row],[Closures Score (Normalized, Unweighted)]]*$X$3</f>
        <v>0</v>
      </c>
      <c r="AA1472" s="253">
        <f>_xlfn.XLOOKUP(FME_Ranking1[[#This Row],[FME ID]],FME_Input[FME_ID],FME_Input[ROAD_MILES100])</f>
        <v>1.820451617240906</v>
      </c>
      <c r="AB1472" s="178">
        <f>(FME_Ranking1[[#This Row],[Miles Raw]]/$AA$2)*100</f>
        <v>2.393567363345725E-2</v>
      </c>
      <c r="AC1472" s="178">
        <f>FME_Ranking1[[#This Row],[Miles Score (Normalized, Unweighted)]]*$AA$3</f>
        <v>2.3935673633457251E-3</v>
      </c>
      <c r="AD1472" s="255">
        <f>_xlfn.XLOOKUP(FME_Ranking1[[#This Row],[FME ID]],FME_Input[FME_ID],FME_Input[FARMACRE100])</f>
        <v>0.66426527500152588</v>
      </c>
      <c r="AE1472" s="230">
        <f>(FME_Ranking1[[#This Row],[Ag Land Raw]]/$AD$2)*100</f>
        <v>2.7391326355108613E-5</v>
      </c>
      <c r="AF1472" s="231">
        <f>FME_Ranking1[[#This Row],[Ag Land Score (Normalized, Unweighted)]]*$AD$3</f>
        <v>1.3695663177554307E-6</v>
      </c>
      <c r="AG147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2.7701723476094529E-2</v>
      </c>
      <c r="AH1472" s="406">
        <f t="shared" si="22"/>
        <v>1488</v>
      </c>
      <c r="AI147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2.7701723476094529E-2</v>
      </c>
      <c r="AJ1472" s="257">
        <f>FME_Ranking1[[#This Row],[Addition check]]-FME_Ranking1[[#This Row],[Weighted Score Based on Normalized Reported Factors]]</f>
        <v>0</v>
      </c>
      <c r="AK1472" s="178">
        <f>_xlfn.RANK.EQ(AI1472,$AI$6:$AI$2341,0)+COUNTIF($AI$6:AI1472,AI1472)-1</f>
        <v>1488</v>
      </c>
    </row>
    <row r="1473" spans="1:37" x14ac:dyDescent="0.25">
      <c r="A1473" t="s">
        <v>4368</v>
      </c>
      <c r="B1473">
        <f>_xlfn.XLOOKUP(FME_Ranking1[[#This Row],[FME ID]],FME_Input[FME_ID],FME_Input[RFPG_NUM])</f>
        <v>3</v>
      </c>
      <c r="C1473" t="str">
        <f>_xlfn.XLOOKUP(FME_Ranking1[[#This Row],[FME ID]],FME_Input[FME_ID],FME_Input[FME_NAME])</f>
        <v>Bluffview Drainage Study Update</v>
      </c>
      <c r="D1473" t="str">
        <f>_xlfn.XLOOKUP(FME_Ranking1[[#This Row],[FME ID]],FME_Input[FME_ID],FME_Input[DESCR])</f>
        <v>Area 15</v>
      </c>
      <c r="E1473" s="256">
        <f>_xlfn.XLOOKUP(FME_Ranking1[[#This Row],[FME ID]],FME_Input[FME_ID],FME_Input[FME_COST])</f>
        <v>150000</v>
      </c>
      <c r="F1473" t="str">
        <f>_xlfn.XLOOKUP(FME_Ranking1[[#This Row],[FME ID]],FME_Input[FME_ID],FME_Input[EMER_NEED])</f>
        <v>No</v>
      </c>
      <c r="G1473">
        <f>IF(FME_Ranking!F1473="Yes",100,0)</f>
        <v>0</v>
      </c>
      <c r="H1473">
        <f>FME_Ranking1[[#This Row],[Emergency Need Score (Normalized, Unweighted)]]*$F$3</f>
        <v>0</v>
      </c>
      <c r="I1473" s="246">
        <f>_xlfn.XLOOKUP(FME_Ranking1[[#This Row],[FME ID]],FME_Input[FME_ID],FME_Input[STRUCT_100])</f>
        <v>10</v>
      </c>
      <c r="J1473" s="178">
        <f>(FME_Ranking1[[#This Row],[Structures 100 Raw]]/I$2)*100</f>
        <v>5.3549243884676344E-3</v>
      </c>
      <c r="K1473" s="178">
        <f>FME_Ranking1[[#This Row],[Structures 100  Score (Normalized, Unweighted)]]*$I$3</f>
        <v>8.0323865827014516E-4</v>
      </c>
      <c r="L1473" s="246">
        <f>_xlfn.XLOOKUP(FME_Ranking1[[#This Row],[FME ID]],FME_Input[FME_ID],FME_Input[RES_STRUCT100])</f>
        <v>10</v>
      </c>
      <c r="M1473" s="230">
        <f>(FME_Ranking1[[#This Row],[Res Structures Raw]]/L$2)*100</f>
        <v>7.0830559136433819E-3</v>
      </c>
      <c r="N1473" s="180">
        <f>FME_Ranking1[[#This Row],[Res Structures Score (Normalized, Unweighted)]]*$L$3</f>
        <v>7.0830559136433825E-4</v>
      </c>
      <c r="O1473" s="244">
        <f>_xlfn.XLOOKUP(FME_Ranking1[[#This Row],[FME ID]],FME_Input[FME_ID],FME_Input[POP100])</f>
        <v>26</v>
      </c>
      <c r="P1473" s="178">
        <f>(FME_Ranking1[[#This Row],[Pop Raw]]/$O$2)*100</f>
        <v>2.6617581117078454E-3</v>
      </c>
      <c r="Q1473" s="178">
        <f>FME_Ranking1[[#This Row],[Pop Score (Normalized, Unweighted)]]*$O$3</f>
        <v>3.9926371675617678E-4</v>
      </c>
      <c r="R1473" s="137">
        <f>_xlfn.XLOOKUP(FME_Ranking1[[#This Row],[FME ID]],FME_Input[FME_ID],FME_Input[CRITFAC100])</f>
        <v>0</v>
      </c>
      <c r="S1473" s="230">
        <f>(FME_Ranking1[[#This Row],[Critical Facilities Raw]]/$R$2)*100</f>
        <v>0</v>
      </c>
      <c r="T1473" s="180">
        <f>FME_Ranking1[[#This Row],[Critical Facilities Score (Normalized, Unweighted)]]*$R$3</f>
        <v>0</v>
      </c>
      <c r="U1473">
        <f>_xlfn.XLOOKUP(FME_Ranking1[[#This Row],[FME ID]],FME_Input[FME_ID],FME_Input[LWC])</f>
        <v>2</v>
      </c>
      <c r="V1473" s="178">
        <f>(FME_Ranking1[[#This Row],[LWC Raw]]/$U$2)*100</f>
        <v>0.11514104778353484</v>
      </c>
      <c r="W1473" s="178">
        <f>FME_Ranking1[[#This Row],[LWC Score (Normalized, Unweighted)]]*$U$3</f>
        <v>2.302820955670697E-2</v>
      </c>
      <c r="X1473" s="246">
        <f>_xlfn.XLOOKUP(FME_Ranking1[[#This Row],[FME ID]],FME_Input[FME_ID],FME_Input[ROADCLS])</f>
        <v>0</v>
      </c>
      <c r="Y1473" s="230">
        <f>(FME_Ranking1[[#This Row],[Closures Raw]]/$X$2)*100</f>
        <v>0</v>
      </c>
      <c r="Z1473" s="180">
        <f>FME_Ranking1[[#This Row],[Closures Score (Normalized, Unweighted)]]*$X$3</f>
        <v>0</v>
      </c>
      <c r="AA1473" s="253">
        <f>_xlfn.XLOOKUP(FME_Ranking1[[#This Row],[FME ID]],FME_Input[FME_ID],FME_Input[ROAD_MILES100])</f>
        <v>0.53931897878646851</v>
      </c>
      <c r="AB1473" s="178">
        <f>(FME_Ranking1[[#This Row],[Miles Raw]]/$AA$2)*100</f>
        <v>7.091077257042026E-3</v>
      </c>
      <c r="AC1473" s="178">
        <f>FME_Ranking1[[#This Row],[Miles Score (Normalized, Unweighted)]]*$AA$3</f>
        <v>7.0910772570420262E-4</v>
      </c>
      <c r="AD1473" s="255">
        <f>_xlfn.XLOOKUP(FME_Ranking1[[#This Row],[FME ID]],FME_Input[FME_ID],FME_Input[FARMACRE100])</f>
        <v>84.700492858886719</v>
      </c>
      <c r="AE1473" s="230">
        <f>(FME_Ranking1[[#This Row],[Ag Land Raw]]/$AD$2)*100</f>
        <v>3.4926691634317077E-3</v>
      </c>
      <c r="AF1473" s="231">
        <f>FME_Ranking1[[#This Row],[Ag Land Score (Normalized, Unweighted)]]*$AD$3</f>
        <v>1.7463345817158541E-4</v>
      </c>
      <c r="AG147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2.5822758706973415E-2</v>
      </c>
      <c r="AH1473" s="406">
        <f t="shared" si="22"/>
        <v>1507</v>
      </c>
      <c r="AI147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2.5822758706973415E-2</v>
      </c>
      <c r="AJ1473" s="257">
        <f>FME_Ranking1[[#This Row],[Addition check]]-FME_Ranking1[[#This Row],[Weighted Score Based on Normalized Reported Factors]]</f>
        <v>0</v>
      </c>
      <c r="AK1473" s="178">
        <f>_xlfn.RANK.EQ(AI1473,$AI$6:$AI$2341,0)+COUNTIF($AI$6:AI1473,AI1473)-1</f>
        <v>1507</v>
      </c>
    </row>
    <row r="1474" spans="1:37" x14ac:dyDescent="0.25">
      <c r="A1474" t="s">
        <v>4382</v>
      </c>
      <c r="B1474">
        <f>_xlfn.XLOOKUP(FME_Ranking1[[#This Row],[FME ID]],FME_Input[FME_ID],FME_Input[RFPG_NUM])</f>
        <v>3</v>
      </c>
      <c r="C1474" t="str">
        <f>_xlfn.XLOOKUP(FME_Ranking1[[#This Row],[FME ID]],FME_Input[FME_ID],FME_Input[FME_NAME])</f>
        <v>Royal Crest-Meadowview Drainage Study Update</v>
      </c>
      <c r="D1474" t="str">
        <f>_xlfn.XLOOKUP(FME_Ranking1[[#This Row],[FME ID]],FME_Input[FME_ID],FME_Input[DESCR])</f>
        <v>Area 19</v>
      </c>
      <c r="E1474" s="256">
        <f>_xlfn.XLOOKUP(FME_Ranking1[[#This Row],[FME ID]],FME_Input[FME_ID],FME_Input[FME_COST])</f>
        <v>50000</v>
      </c>
      <c r="F1474" t="str">
        <f>_xlfn.XLOOKUP(FME_Ranking1[[#This Row],[FME ID]],FME_Input[FME_ID],FME_Input[EMER_NEED])</f>
        <v>No</v>
      </c>
      <c r="G1474">
        <f>IF(FME_Ranking!F1474="Yes",100,0)</f>
        <v>0</v>
      </c>
      <c r="H1474">
        <f>FME_Ranking1[[#This Row],[Emergency Need Score (Normalized, Unweighted)]]*$F$3</f>
        <v>0</v>
      </c>
      <c r="I1474" s="246">
        <f>_xlfn.XLOOKUP(FME_Ranking1[[#This Row],[FME ID]],FME_Input[FME_ID],FME_Input[STRUCT_100])</f>
        <v>10</v>
      </c>
      <c r="J1474" s="178">
        <f>(FME_Ranking1[[#This Row],[Structures 100 Raw]]/I$2)*100</f>
        <v>5.3549243884676344E-3</v>
      </c>
      <c r="K1474" s="178">
        <f>FME_Ranking1[[#This Row],[Structures 100  Score (Normalized, Unweighted)]]*$I$3</f>
        <v>8.0323865827014516E-4</v>
      </c>
      <c r="L1474" s="246">
        <f>_xlfn.XLOOKUP(FME_Ranking1[[#This Row],[FME ID]],FME_Input[FME_ID],FME_Input[RES_STRUCT100])</f>
        <v>10</v>
      </c>
      <c r="M1474" s="230">
        <f>(FME_Ranking1[[#This Row],[Res Structures Raw]]/L$2)*100</f>
        <v>7.0830559136433819E-3</v>
      </c>
      <c r="N1474" s="180">
        <f>FME_Ranking1[[#This Row],[Res Structures Score (Normalized, Unweighted)]]*$L$3</f>
        <v>7.0830559136433825E-4</v>
      </c>
      <c r="O1474" s="244">
        <f>_xlfn.XLOOKUP(FME_Ranking1[[#This Row],[FME ID]],FME_Input[FME_ID],FME_Input[POP100])</f>
        <v>26</v>
      </c>
      <c r="P1474" s="178">
        <f>(FME_Ranking1[[#This Row],[Pop Raw]]/$O$2)*100</f>
        <v>2.6617581117078454E-3</v>
      </c>
      <c r="Q1474" s="178">
        <f>FME_Ranking1[[#This Row],[Pop Score (Normalized, Unweighted)]]*$O$3</f>
        <v>3.9926371675617678E-4</v>
      </c>
      <c r="R1474" s="137">
        <f>_xlfn.XLOOKUP(FME_Ranking1[[#This Row],[FME ID]],FME_Input[FME_ID],FME_Input[CRITFAC100])</f>
        <v>0</v>
      </c>
      <c r="S1474" s="230">
        <f>(FME_Ranking1[[#This Row],[Critical Facilities Raw]]/$R$2)*100</f>
        <v>0</v>
      </c>
      <c r="T1474" s="180">
        <f>FME_Ranking1[[#This Row],[Critical Facilities Score (Normalized, Unweighted)]]*$R$3</f>
        <v>0</v>
      </c>
      <c r="U1474">
        <f>_xlfn.XLOOKUP(FME_Ranking1[[#This Row],[FME ID]],FME_Input[FME_ID],FME_Input[LWC])</f>
        <v>2</v>
      </c>
      <c r="V1474" s="178">
        <f>(FME_Ranking1[[#This Row],[LWC Raw]]/$U$2)*100</f>
        <v>0.11514104778353484</v>
      </c>
      <c r="W1474" s="178">
        <f>FME_Ranking1[[#This Row],[LWC Score (Normalized, Unweighted)]]*$U$3</f>
        <v>2.302820955670697E-2</v>
      </c>
      <c r="X1474" s="246">
        <f>_xlfn.XLOOKUP(FME_Ranking1[[#This Row],[FME ID]],FME_Input[FME_ID],FME_Input[ROADCLS])</f>
        <v>0</v>
      </c>
      <c r="Y1474" s="230">
        <f>(FME_Ranking1[[#This Row],[Closures Raw]]/$X$2)*100</f>
        <v>0</v>
      </c>
      <c r="Z1474" s="180">
        <f>FME_Ranking1[[#This Row],[Closures Score (Normalized, Unweighted)]]*$X$3</f>
        <v>0</v>
      </c>
      <c r="AA1474" s="253">
        <f>_xlfn.XLOOKUP(FME_Ranking1[[#This Row],[FME ID]],FME_Input[FME_ID],FME_Input[ROAD_MILES100])</f>
        <v>0.53931897878646851</v>
      </c>
      <c r="AB1474" s="178">
        <f>(FME_Ranking1[[#This Row],[Miles Raw]]/$AA$2)*100</f>
        <v>7.091077257042026E-3</v>
      </c>
      <c r="AC1474" s="178">
        <f>FME_Ranking1[[#This Row],[Miles Score (Normalized, Unweighted)]]*$AA$3</f>
        <v>7.0910772570420262E-4</v>
      </c>
      <c r="AD1474" s="255">
        <f>_xlfn.XLOOKUP(FME_Ranking1[[#This Row],[FME ID]],FME_Input[FME_ID],FME_Input[FARMACRE100])</f>
        <v>84.700492858886719</v>
      </c>
      <c r="AE1474" s="230">
        <f>(FME_Ranking1[[#This Row],[Ag Land Raw]]/$AD$2)*100</f>
        <v>3.4926691634317077E-3</v>
      </c>
      <c r="AF1474" s="231">
        <f>FME_Ranking1[[#This Row],[Ag Land Score (Normalized, Unweighted)]]*$AD$3</f>
        <v>1.7463345817158541E-4</v>
      </c>
      <c r="AG147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2.5822758706973415E-2</v>
      </c>
      <c r="AH1474" s="406">
        <f t="shared" si="22"/>
        <v>1507</v>
      </c>
      <c r="AI147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2.5822758706973415E-2</v>
      </c>
      <c r="AJ1474" s="257">
        <f>FME_Ranking1[[#This Row],[Addition check]]-FME_Ranking1[[#This Row],[Weighted Score Based on Normalized Reported Factors]]</f>
        <v>0</v>
      </c>
      <c r="AK1474" s="178">
        <f>_xlfn.RANK.EQ(AI1474,$AI$6:$AI$2341,0)+COUNTIF($AI$6:AI1474,AI1474)-1</f>
        <v>1508</v>
      </c>
    </row>
    <row r="1475" spans="1:37" x14ac:dyDescent="0.25">
      <c r="A1475" t="s">
        <v>5068</v>
      </c>
      <c r="B1475">
        <f>_xlfn.XLOOKUP(FME_Ranking1[[#This Row],[FME ID]],FME_Input[FME_ID],FME_Input[RFPG_NUM])</f>
        <v>3</v>
      </c>
      <c r="C1475" t="str">
        <f>_xlfn.XLOOKUP(FME_Ranking1[[#This Row],[FME ID]],FME_Input[FME_ID],FME_Input[FME_NAME])</f>
        <v>Colonel Palm Valley Drainage Improvements</v>
      </c>
      <c r="D1475" t="str">
        <f>_xlfn.XLOOKUP(FME_Ranking1[[#This Row],[FME ID]],FME_Input[FME_ID],FME_Input[DESCR])</f>
        <v>Implement results from the Colonel Drive Drainage Study. This study identified mitigation options in Coloneal Drive and Palm Valley Drive.</v>
      </c>
      <c r="E1475" s="256">
        <f>_xlfn.XLOOKUP(FME_Ranking1[[#This Row],[FME ID]],FME_Input[FME_ID],FME_Input[FME_COST])</f>
        <v>150000</v>
      </c>
      <c r="F1475" t="str">
        <f>_xlfn.XLOOKUP(FME_Ranking1[[#This Row],[FME ID]],FME_Input[FME_ID],FME_Input[EMER_NEED])</f>
        <v>No</v>
      </c>
      <c r="G1475">
        <f>IF(FME_Ranking!F1475="Yes",100,0)</f>
        <v>0</v>
      </c>
      <c r="H1475">
        <f>FME_Ranking1[[#This Row],[Emergency Need Score (Normalized, Unweighted)]]*$F$3</f>
        <v>0</v>
      </c>
      <c r="I1475" s="246">
        <f>_xlfn.XLOOKUP(FME_Ranking1[[#This Row],[FME ID]],FME_Input[FME_ID],FME_Input[STRUCT_100])</f>
        <v>10</v>
      </c>
      <c r="J1475" s="178">
        <f>(FME_Ranking1[[#This Row],[Structures 100 Raw]]/I$2)*100</f>
        <v>5.3549243884676344E-3</v>
      </c>
      <c r="K1475" s="178">
        <f>FME_Ranking1[[#This Row],[Structures 100  Score (Normalized, Unweighted)]]*$I$3</f>
        <v>8.0323865827014516E-4</v>
      </c>
      <c r="L1475" s="246">
        <f>_xlfn.XLOOKUP(FME_Ranking1[[#This Row],[FME ID]],FME_Input[FME_ID],FME_Input[RES_STRUCT100])</f>
        <v>10</v>
      </c>
      <c r="M1475" s="230">
        <f>(FME_Ranking1[[#This Row],[Res Structures Raw]]/L$2)*100</f>
        <v>7.0830559136433819E-3</v>
      </c>
      <c r="N1475" s="180">
        <f>FME_Ranking1[[#This Row],[Res Structures Score (Normalized, Unweighted)]]*$L$3</f>
        <v>7.0830559136433825E-4</v>
      </c>
      <c r="O1475" s="244">
        <f>_xlfn.XLOOKUP(FME_Ranking1[[#This Row],[FME ID]],FME_Input[FME_ID],FME_Input[POP100])</f>
        <v>26</v>
      </c>
      <c r="P1475" s="178">
        <f>(FME_Ranking1[[#This Row],[Pop Raw]]/$O$2)*100</f>
        <v>2.6617581117078454E-3</v>
      </c>
      <c r="Q1475" s="178">
        <f>FME_Ranking1[[#This Row],[Pop Score (Normalized, Unweighted)]]*$O$3</f>
        <v>3.9926371675617678E-4</v>
      </c>
      <c r="R1475" s="137">
        <f>_xlfn.XLOOKUP(FME_Ranking1[[#This Row],[FME ID]],FME_Input[FME_ID],FME_Input[CRITFAC100])</f>
        <v>0</v>
      </c>
      <c r="S1475" s="230">
        <f>(FME_Ranking1[[#This Row],[Critical Facilities Raw]]/$R$2)*100</f>
        <v>0</v>
      </c>
      <c r="T1475" s="180">
        <f>FME_Ranking1[[#This Row],[Critical Facilities Score (Normalized, Unweighted)]]*$R$3</f>
        <v>0</v>
      </c>
      <c r="U1475">
        <f>_xlfn.XLOOKUP(FME_Ranking1[[#This Row],[FME ID]],FME_Input[FME_ID],FME_Input[LWC])</f>
        <v>2</v>
      </c>
      <c r="V1475" s="178">
        <f>(FME_Ranking1[[#This Row],[LWC Raw]]/$U$2)*100</f>
        <v>0.11514104778353484</v>
      </c>
      <c r="W1475" s="178">
        <f>FME_Ranking1[[#This Row],[LWC Score (Normalized, Unweighted)]]*$U$3</f>
        <v>2.302820955670697E-2</v>
      </c>
      <c r="X1475" s="246">
        <f>_xlfn.XLOOKUP(FME_Ranking1[[#This Row],[FME ID]],FME_Input[FME_ID],FME_Input[ROADCLS])</f>
        <v>0</v>
      </c>
      <c r="Y1475" s="230">
        <f>(FME_Ranking1[[#This Row],[Closures Raw]]/$X$2)*100</f>
        <v>0</v>
      </c>
      <c r="Z1475" s="180">
        <f>FME_Ranking1[[#This Row],[Closures Score (Normalized, Unweighted)]]*$X$3</f>
        <v>0</v>
      </c>
      <c r="AA1475" s="253">
        <f>_xlfn.XLOOKUP(FME_Ranking1[[#This Row],[FME ID]],FME_Input[FME_ID],FME_Input[ROAD_MILES100])</f>
        <v>0.53931897878646851</v>
      </c>
      <c r="AB1475" s="178">
        <f>(FME_Ranking1[[#This Row],[Miles Raw]]/$AA$2)*100</f>
        <v>7.091077257042026E-3</v>
      </c>
      <c r="AC1475" s="178">
        <f>FME_Ranking1[[#This Row],[Miles Score (Normalized, Unweighted)]]*$AA$3</f>
        <v>7.0910772570420262E-4</v>
      </c>
      <c r="AD1475" s="255">
        <f>_xlfn.XLOOKUP(FME_Ranking1[[#This Row],[FME ID]],FME_Input[FME_ID],FME_Input[FARMACRE100])</f>
        <v>84.700492858886719</v>
      </c>
      <c r="AE1475" s="230">
        <f>(FME_Ranking1[[#This Row],[Ag Land Raw]]/$AD$2)*100</f>
        <v>3.4926691634317077E-3</v>
      </c>
      <c r="AF1475" s="231">
        <f>FME_Ranking1[[#This Row],[Ag Land Score (Normalized, Unweighted)]]*$AD$3</f>
        <v>1.7463345817158541E-4</v>
      </c>
      <c r="AG147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2.5822758706973415E-2</v>
      </c>
      <c r="AH1475" s="406">
        <f t="shared" si="22"/>
        <v>1507</v>
      </c>
      <c r="AI147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2.5822758706973415E-2</v>
      </c>
      <c r="AJ1475" s="257">
        <f>FME_Ranking1[[#This Row],[Addition check]]-FME_Ranking1[[#This Row],[Weighted Score Based on Normalized Reported Factors]]</f>
        <v>0</v>
      </c>
      <c r="AK1475" s="178">
        <f>_xlfn.RANK.EQ(AI1475,$AI$6:$AI$2341,0)+COUNTIF($AI$6:AI1475,AI1475)-1</f>
        <v>1509</v>
      </c>
    </row>
    <row r="1476" spans="1:37" x14ac:dyDescent="0.25">
      <c r="A1476" t="s">
        <v>6378</v>
      </c>
      <c r="B1476">
        <f>_xlfn.XLOOKUP(FME_Ranking1[[#This Row],[FME ID]],FME_Input[FME_ID],FME_Input[RFPG_NUM])</f>
        <v>5</v>
      </c>
      <c r="C1476" t="str">
        <f>_xlfn.XLOOKUP(FME_Ranking1[[#This Row],[FME ID]],FME_Input[FME_ID],FME_Input[FME_NAME])</f>
        <v>City of Lumberton Elevate Taft Road and Brushy Creek Subdivision</v>
      </c>
      <c r="D1476" t="str">
        <f>_xlfn.XLOOKUP(FME_Ranking1[[#This Row],[FME ID]],FME_Input[FME_ID],FME_Input[DESCR])</f>
        <v>H&amp;H Study to identify alternatives for elevating Taft Road and Brushy Creek Subdivision</v>
      </c>
      <c r="E1476" s="256">
        <f>_xlfn.XLOOKUP(FME_Ranking1[[#This Row],[FME ID]],FME_Input[FME_ID],FME_Input[FME_COST])</f>
        <v>75000</v>
      </c>
      <c r="F1476" t="str">
        <f>_xlfn.XLOOKUP(FME_Ranking1[[#This Row],[FME ID]],FME_Input[FME_ID],FME_Input[EMER_NEED])</f>
        <v>Yes</v>
      </c>
      <c r="G1476">
        <f>IF(FME_Ranking!F1476="Yes",100,0)</f>
        <v>100</v>
      </c>
      <c r="H1476">
        <f>FME_Ranking1[[#This Row],[Emergency Need Score (Normalized, Unweighted)]]*$F$3</f>
        <v>0</v>
      </c>
      <c r="I1476" s="246">
        <f>_xlfn.XLOOKUP(FME_Ranking1[[#This Row],[FME ID]],FME_Input[FME_ID],FME_Input[STRUCT_100])</f>
        <v>130</v>
      </c>
      <c r="J1476" s="178">
        <f>(FME_Ranking1[[#This Row],[Structures 100 Raw]]/I$2)*100</f>
        <v>6.961401705007926E-2</v>
      </c>
      <c r="K1476" s="178">
        <f>FME_Ranking1[[#This Row],[Structures 100  Score (Normalized, Unweighted)]]*$I$3</f>
        <v>1.0442102557511889E-2</v>
      </c>
      <c r="L1476" s="246">
        <f>_xlfn.XLOOKUP(FME_Ranking1[[#This Row],[FME ID]],FME_Input[FME_ID],FME_Input[RES_STRUCT100])</f>
        <v>129</v>
      </c>
      <c r="M1476" s="230">
        <f>(FME_Ranking1[[#This Row],[Res Structures Raw]]/L$2)*100</f>
        <v>9.1371421285999621E-2</v>
      </c>
      <c r="N1476" s="180">
        <f>FME_Ranking1[[#This Row],[Res Structures Score (Normalized, Unweighted)]]*$L$3</f>
        <v>9.1371421285999632E-3</v>
      </c>
      <c r="O1476" s="244">
        <f>_xlfn.XLOOKUP(FME_Ranking1[[#This Row],[FME ID]],FME_Input[FME_ID],FME_Input[POP100])</f>
        <v>360</v>
      </c>
      <c r="P1476" s="178">
        <f>(FME_Ranking1[[#This Row],[Pop Raw]]/$O$2)*100</f>
        <v>3.6855112315954786E-2</v>
      </c>
      <c r="Q1476" s="178">
        <f>FME_Ranking1[[#This Row],[Pop Score (Normalized, Unweighted)]]*$O$3</f>
        <v>5.5282668473932177E-3</v>
      </c>
      <c r="R1476" s="137">
        <f>_xlfn.XLOOKUP(FME_Ranking1[[#This Row],[FME ID]],FME_Input[FME_ID],FME_Input[CRITFAC100])</f>
        <v>0</v>
      </c>
      <c r="S1476" s="230">
        <f>(FME_Ranking1[[#This Row],[Critical Facilities Raw]]/$R$2)*100</f>
        <v>0</v>
      </c>
      <c r="T1476" s="180">
        <f>FME_Ranking1[[#This Row],[Critical Facilities Score (Normalized, Unweighted)]]*$R$3</f>
        <v>0</v>
      </c>
      <c r="U1476">
        <f>_xlfn.XLOOKUP(FME_Ranking1[[#This Row],[FME ID]],FME_Input[FME_ID],FME_Input[LWC])</f>
        <v>0</v>
      </c>
      <c r="V1476" s="178">
        <f>(FME_Ranking1[[#This Row],[LWC Raw]]/$U$2)*100</f>
        <v>0</v>
      </c>
      <c r="W1476" s="178">
        <f>FME_Ranking1[[#This Row],[LWC Score (Normalized, Unweighted)]]*$U$3</f>
        <v>0</v>
      </c>
      <c r="X1476" s="246">
        <f>_xlfn.XLOOKUP(FME_Ranking1[[#This Row],[FME ID]],FME_Input[FME_ID],FME_Input[ROADCLS])</f>
        <v>0</v>
      </c>
      <c r="Y1476" s="230">
        <f>(FME_Ranking1[[#This Row],[Closures Raw]]/$X$2)*100</f>
        <v>0</v>
      </c>
      <c r="Z1476" s="180">
        <f>FME_Ranking1[[#This Row],[Closures Score (Normalized, Unweighted)]]*$X$3</f>
        <v>0</v>
      </c>
      <c r="AA1476" s="253">
        <f>_xlfn.XLOOKUP(FME_Ranking1[[#This Row],[FME ID]],FME_Input[FME_ID],FME_Input[ROAD_MILES100])</f>
        <v>1.958768844604492</v>
      </c>
      <c r="AB1476" s="178">
        <f>(FME_Ranking1[[#This Row],[Miles Raw]]/$AA$2)*100</f>
        <v>2.5754297089694584E-2</v>
      </c>
      <c r="AC1476" s="178">
        <f>FME_Ranking1[[#This Row],[Miles Score (Normalized, Unweighted)]]*$AA$3</f>
        <v>2.5754297089694584E-3</v>
      </c>
      <c r="AD1476" s="255">
        <f>_xlfn.XLOOKUP(FME_Ranking1[[#This Row],[FME ID]],FME_Input[FME_ID],FME_Input[FARMACRE100])</f>
        <v>2.408648014068604</v>
      </c>
      <c r="AE1476" s="230">
        <f>(FME_Ranking1[[#This Row],[Ag Land Raw]]/$AD$2)*100</f>
        <v>9.9321861778467672E-5</v>
      </c>
      <c r="AF1476" s="231">
        <f>FME_Ranking1[[#This Row],[Ag Land Score (Normalized, Unweighted)]]*$AD$3</f>
        <v>4.9660930889233838E-6</v>
      </c>
      <c r="AG147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2.7687907335563453E-2</v>
      </c>
      <c r="AH1476" s="406">
        <f t="shared" si="22"/>
        <v>1489</v>
      </c>
      <c r="AI147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2.7687907335563453E-2</v>
      </c>
      <c r="AJ1476" s="257">
        <f>FME_Ranking1[[#This Row],[Addition check]]-FME_Ranking1[[#This Row],[Weighted Score Based on Normalized Reported Factors]]</f>
        <v>0</v>
      </c>
      <c r="AK1476" s="178">
        <f>_xlfn.RANK.EQ(AI1476,$AI$6:$AI$2341,0)+COUNTIF($AI$6:AI1476,AI1476)-1</f>
        <v>1489</v>
      </c>
    </row>
    <row r="1477" spans="1:37" x14ac:dyDescent="0.25">
      <c r="A1477" t="s">
        <v>2578</v>
      </c>
      <c r="B1477">
        <f>_xlfn.XLOOKUP(FME_Ranking1[[#This Row],[FME ID]],FME_Input[FME_ID],FME_Input[RFPG_NUM])</f>
        <v>1</v>
      </c>
      <c r="C1477" t="str">
        <f>_xlfn.XLOOKUP(FME_Ranking1[[#This Row],[FME ID]],FME_Input[FME_ID],FME_Input[FME_NAME])</f>
        <v>Jolly City Drainage Master Plan</v>
      </c>
      <c r="D1477" t="str">
        <f>_xlfn.XLOOKUP(FME_Ranking1[[#This Row],[FME ID]],FME_Input[FME_ID],FME_Input[DESCR])</f>
        <v>Perform H&amp;H modeling, develop conceptual alternatives and OPCC, and rank projects; selected based on the needs analysis</v>
      </c>
      <c r="E1477" s="256">
        <f>_xlfn.XLOOKUP(FME_Ranking1[[#This Row],[FME ID]],FME_Input[FME_ID],FME_Input[FME_COST])</f>
        <v>250000</v>
      </c>
      <c r="F1477" t="str">
        <f>_xlfn.XLOOKUP(FME_Ranking1[[#This Row],[FME ID]],FME_Input[FME_ID],FME_Input[EMER_NEED])</f>
        <v>No</v>
      </c>
      <c r="G1477">
        <f>IF(FME_Ranking!F1477="Yes",100,0)</f>
        <v>0</v>
      </c>
      <c r="H1477">
        <f>FME_Ranking1[[#This Row],[Emergency Need Score (Normalized, Unweighted)]]*$F$3</f>
        <v>0</v>
      </c>
      <c r="I1477" s="246">
        <f>_xlfn.XLOOKUP(FME_Ranking1[[#This Row],[FME ID]],FME_Input[FME_ID],FME_Input[STRUCT_100])</f>
        <v>3</v>
      </c>
      <c r="J1477" s="178">
        <f>(FME_Ranking1[[#This Row],[Structures 100 Raw]]/I$2)*100</f>
        <v>1.6064773165402903E-3</v>
      </c>
      <c r="K1477" s="178">
        <f>FME_Ranking1[[#This Row],[Structures 100  Score (Normalized, Unweighted)]]*$I$3</f>
        <v>2.4097159748104354E-4</v>
      </c>
      <c r="L1477" s="246">
        <f>_xlfn.XLOOKUP(FME_Ranking1[[#This Row],[FME ID]],FME_Input[FME_ID],FME_Input[RES_STRUCT100])</f>
        <v>0</v>
      </c>
      <c r="M1477" s="230">
        <f>(FME_Ranking1[[#This Row],[Res Structures Raw]]/L$2)*100</f>
        <v>0</v>
      </c>
      <c r="N1477" s="180">
        <f>FME_Ranking1[[#This Row],[Res Structures Score (Normalized, Unweighted)]]*$L$3</f>
        <v>0</v>
      </c>
      <c r="O1477" s="244">
        <f>_xlfn.XLOOKUP(FME_Ranking1[[#This Row],[FME ID]],FME_Input[FME_ID],FME_Input[POP100])</f>
        <v>12</v>
      </c>
      <c r="P1477" s="178">
        <f>(FME_Ranking1[[#This Row],[Pop Raw]]/$O$2)*100</f>
        <v>1.2285037438651595E-3</v>
      </c>
      <c r="Q1477" s="178">
        <f>FME_Ranking1[[#This Row],[Pop Score (Normalized, Unweighted)]]*$O$3</f>
        <v>1.8427556157977391E-4</v>
      </c>
      <c r="R1477" s="137">
        <f>_xlfn.XLOOKUP(FME_Ranking1[[#This Row],[FME ID]],FME_Input[FME_ID],FME_Input[CRITFAC100])</f>
        <v>0</v>
      </c>
      <c r="S1477" s="230">
        <f>(FME_Ranking1[[#This Row],[Critical Facilities Raw]]/$R$2)*100</f>
        <v>0</v>
      </c>
      <c r="T1477" s="180">
        <f>FME_Ranking1[[#This Row],[Critical Facilities Score (Normalized, Unweighted)]]*$R$3</f>
        <v>0</v>
      </c>
      <c r="U1477">
        <f>_xlfn.XLOOKUP(FME_Ranking1[[#This Row],[FME ID]],FME_Input[FME_ID],FME_Input[LWC])</f>
        <v>2</v>
      </c>
      <c r="V1477" s="178">
        <f>(FME_Ranking1[[#This Row],[LWC Raw]]/$U$2)*100</f>
        <v>0.11514104778353484</v>
      </c>
      <c r="W1477" s="178">
        <f>FME_Ranking1[[#This Row],[LWC Score (Normalized, Unweighted)]]*$U$3</f>
        <v>2.302820955670697E-2</v>
      </c>
      <c r="X1477" s="246">
        <f>_xlfn.XLOOKUP(FME_Ranking1[[#This Row],[FME ID]],FME_Input[FME_ID],FME_Input[ROADCLS])</f>
        <v>3</v>
      </c>
      <c r="Y1477" s="230">
        <f>(FME_Ranking1[[#This Row],[Closures Raw]]/$X$2)*100</f>
        <v>3.1542424561034593E-2</v>
      </c>
      <c r="Z1477" s="180">
        <f>FME_Ranking1[[#This Row],[Closures Score (Normalized, Unweighted)]]*$X$3</f>
        <v>1.5771212280517297E-3</v>
      </c>
      <c r="AA1477" s="253">
        <f>_xlfn.XLOOKUP(FME_Ranking1[[#This Row],[FME ID]],FME_Input[FME_ID],FME_Input[ROAD_MILES100])</f>
        <v>0.53090167045593262</v>
      </c>
      <c r="AB1477" s="178">
        <f>(FME_Ranking1[[#This Row],[Miles Raw]]/$AA$2)*100</f>
        <v>6.9804047496467223E-3</v>
      </c>
      <c r="AC1477" s="178">
        <f>FME_Ranking1[[#This Row],[Miles Score (Normalized, Unweighted)]]*$AA$3</f>
        <v>6.9804047496467223E-4</v>
      </c>
      <c r="AD1477" s="255">
        <f>_xlfn.XLOOKUP(FME_Ranking1[[#This Row],[FME ID]],FME_Input[FME_ID],FME_Input[FARMACRE100])</f>
        <v>10.21627807617188</v>
      </c>
      <c r="AE1477" s="230">
        <f>(FME_Ranking1[[#This Row],[Ag Land Raw]]/$AD$2)*100</f>
        <v>4.2127357465482796E-4</v>
      </c>
      <c r="AF1477" s="231">
        <f>FME_Ranking1[[#This Row],[Ag Land Score (Normalized, Unweighted)]]*$AD$3</f>
        <v>2.1063678732741399E-5</v>
      </c>
      <c r="AG147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2.5749682097516931E-2</v>
      </c>
      <c r="AH1477" s="406">
        <f t="shared" si="22"/>
        <v>1514</v>
      </c>
      <c r="AI147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2.5749682097516931E-2</v>
      </c>
      <c r="AJ1477" s="257">
        <f>FME_Ranking1[[#This Row],[Addition check]]-FME_Ranking1[[#This Row],[Weighted Score Based on Normalized Reported Factors]]</f>
        <v>0</v>
      </c>
      <c r="AK1477" s="178">
        <f>_xlfn.RANK.EQ(AI1477,$AI$6:$AI$2341,0)+COUNTIF($AI$6:AI1477,AI1477)-1</f>
        <v>1514</v>
      </c>
    </row>
    <row r="1478" spans="1:37" x14ac:dyDescent="0.25">
      <c r="A1478" t="s">
        <v>4758</v>
      </c>
      <c r="B1478">
        <f>_xlfn.XLOOKUP(FME_Ranking1[[#This Row],[FME ID]],FME_Input[FME_ID],FME_Input[RFPG_NUM])</f>
        <v>3</v>
      </c>
      <c r="C1478" t="str">
        <f>_xlfn.XLOOKUP(FME_Ranking1[[#This Row],[FME ID]],FME_Input[FME_ID],FME_Input[FME_NAME])</f>
        <v>Detention Basin at St. Michael's Church Vacant Property and Relief Storm Drains in Corn Valley Rd and Neighboring Streets from Santa Anna to Kirby Creek Channel</v>
      </c>
      <c r="D1478" t="str">
        <f>_xlfn.XLOOKUP(FME_Ranking1[[#This Row],[FME ID]],FME_Input[FME_ID],FME_Input[DESCR])</f>
        <v>Study update - Storm Drain Improvements; Estimated construction cost of $18,766,400</v>
      </c>
      <c r="E1478" s="256">
        <f>_xlfn.XLOOKUP(FME_Ranking1[[#This Row],[FME ID]],FME_Input[FME_ID],FME_Input[FME_COST])</f>
        <v>938000</v>
      </c>
      <c r="F1478" t="str">
        <f>_xlfn.XLOOKUP(FME_Ranking1[[#This Row],[FME ID]],FME_Input[FME_ID],FME_Input[EMER_NEED])</f>
        <v>No</v>
      </c>
      <c r="G1478">
        <f>IF(FME_Ranking!F1478="Yes",100,0)</f>
        <v>0</v>
      </c>
      <c r="H1478">
        <f>FME_Ranking1[[#This Row],[Emergency Need Score (Normalized, Unweighted)]]*$F$3</f>
        <v>0</v>
      </c>
      <c r="I1478" s="246">
        <f>_xlfn.XLOOKUP(FME_Ranking1[[#This Row],[FME ID]],FME_Input[FME_ID],FME_Input[STRUCT_100])</f>
        <v>10</v>
      </c>
      <c r="J1478" s="178">
        <f>(FME_Ranking1[[#This Row],[Structures 100 Raw]]/I$2)*100</f>
        <v>5.3549243884676344E-3</v>
      </c>
      <c r="K1478" s="178">
        <f>FME_Ranking1[[#This Row],[Structures 100  Score (Normalized, Unweighted)]]*$I$3</f>
        <v>8.0323865827014516E-4</v>
      </c>
      <c r="L1478" s="246">
        <f>_xlfn.XLOOKUP(FME_Ranking1[[#This Row],[FME ID]],FME_Input[FME_ID],FME_Input[RES_STRUCT100])</f>
        <v>8</v>
      </c>
      <c r="M1478" s="230">
        <f>(FME_Ranking1[[#This Row],[Res Structures Raw]]/L$2)*100</f>
        <v>5.666444730914706E-3</v>
      </c>
      <c r="N1478" s="180">
        <f>FME_Ranking1[[#This Row],[Res Structures Score (Normalized, Unweighted)]]*$L$3</f>
        <v>5.6664447309147067E-4</v>
      </c>
      <c r="O1478" s="244">
        <f>_xlfn.XLOOKUP(FME_Ranking1[[#This Row],[FME ID]],FME_Input[FME_ID],FME_Input[POP100])</f>
        <v>27</v>
      </c>
      <c r="P1478" s="178">
        <f>(FME_Ranking1[[#This Row],[Pop Raw]]/$O$2)*100</f>
        <v>2.7641334236966088E-3</v>
      </c>
      <c r="Q1478" s="178">
        <f>FME_Ranking1[[#This Row],[Pop Score (Normalized, Unweighted)]]*$O$3</f>
        <v>4.1462001355449134E-4</v>
      </c>
      <c r="R1478" s="137">
        <f>_xlfn.XLOOKUP(FME_Ranking1[[#This Row],[FME ID]],FME_Input[FME_ID],FME_Input[CRITFAC100])</f>
        <v>0</v>
      </c>
      <c r="S1478" s="230">
        <f>(FME_Ranking1[[#This Row],[Critical Facilities Raw]]/$R$2)*100</f>
        <v>0</v>
      </c>
      <c r="T1478" s="180">
        <f>FME_Ranking1[[#This Row],[Critical Facilities Score (Normalized, Unweighted)]]*$R$3</f>
        <v>0</v>
      </c>
      <c r="U1478">
        <f>_xlfn.XLOOKUP(FME_Ranking1[[#This Row],[FME ID]],FME_Input[FME_ID],FME_Input[LWC])</f>
        <v>2</v>
      </c>
      <c r="V1478" s="178">
        <f>(FME_Ranking1[[#This Row],[LWC Raw]]/$U$2)*100</f>
        <v>0.11514104778353484</v>
      </c>
      <c r="W1478" s="178">
        <f>FME_Ranking1[[#This Row],[LWC Score (Normalized, Unweighted)]]*$U$3</f>
        <v>2.302820955670697E-2</v>
      </c>
      <c r="X1478" s="246">
        <f>_xlfn.XLOOKUP(FME_Ranking1[[#This Row],[FME ID]],FME_Input[FME_ID],FME_Input[ROADCLS])</f>
        <v>0</v>
      </c>
      <c r="Y1478" s="230">
        <f>(FME_Ranking1[[#This Row],[Closures Raw]]/$X$2)*100</f>
        <v>0</v>
      </c>
      <c r="Z1478" s="180">
        <f>FME_Ranking1[[#This Row],[Closures Score (Normalized, Unweighted)]]*$X$3</f>
        <v>0</v>
      </c>
      <c r="AA1478" s="253">
        <f>_xlfn.XLOOKUP(FME_Ranking1[[#This Row],[FME ID]],FME_Input[FME_ID],FME_Input[ROAD_MILES100])</f>
        <v>1.211545944213867</v>
      </c>
      <c r="AB1478" s="178">
        <f>(FME_Ranking1[[#This Row],[Miles Raw]]/$AA$2)*100</f>
        <v>1.5929656156747164E-2</v>
      </c>
      <c r="AC1478" s="178">
        <f>FME_Ranking1[[#This Row],[Miles Score (Normalized, Unweighted)]]*$AA$3</f>
        <v>1.5929656156747165E-3</v>
      </c>
      <c r="AD1478" s="255">
        <f>_xlfn.XLOOKUP(FME_Ranking1[[#This Row],[FME ID]],FME_Input[FME_ID],FME_Input[FARMACRE100])</f>
        <v>61.319889068603523</v>
      </c>
      <c r="AE1478" s="230">
        <f>(FME_Ranking1[[#This Row],[Ag Land Raw]]/$AD$2)*100</f>
        <v>2.5285577264795574E-3</v>
      </c>
      <c r="AF1478" s="231">
        <f>FME_Ranking1[[#This Row],[Ag Land Score (Normalized, Unweighted)]]*$AD$3</f>
        <v>1.2642788632397786E-4</v>
      </c>
      <c r="AG147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2.6532106203621772E-2</v>
      </c>
      <c r="AH1478" s="406">
        <f t="shared" ref="AH1478:AH1541" si="23">_xlfn.RANK.EQ(AG1478,$AG$6:$AG$2341,0)</f>
        <v>1498</v>
      </c>
      <c r="AI147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2.6532106203621772E-2</v>
      </c>
      <c r="AJ1478" s="257">
        <f>FME_Ranking1[[#This Row],[Addition check]]-FME_Ranking1[[#This Row],[Weighted Score Based on Normalized Reported Factors]]</f>
        <v>0</v>
      </c>
      <c r="AK1478" s="178">
        <f>_xlfn.RANK.EQ(AI1478,$AI$6:$AI$2341,0)+COUNTIF($AI$6:AI1478,AI1478)-1</f>
        <v>1498</v>
      </c>
    </row>
    <row r="1479" spans="1:37" x14ac:dyDescent="0.25">
      <c r="A1479" t="s">
        <v>5149</v>
      </c>
      <c r="B1479">
        <f>_xlfn.XLOOKUP(FME_Ranking1[[#This Row],[FME ID]],FME_Input[FME_ID],FME_Input[RFPG_NUM])</f>
        <v>3</v>
      </c>
      <c r="C1479" t="str">
        <f>_xlfn.XLOOKUP(FME_Ranking1[[#This Row],[FME ID]],FME_Input[FME_ID],FME_Input[FME_NAME])</f>
        <v>North Creek Watershed Study</v>
      </c>
      <c r="D1479" t="str">
        <f>_xlfn.XLOOKUP(FME_Ranking1[[#This Row],[FME ID]],FME_Input[FME_ID],FME_Input[DESCR])</f>
        <v>Study to improve knowledge of flood risks and facilitate the analysis of proposed developments within or adjacent to the floodplain.</v>
      </c>
      <c r="E1479" s="256">
        <f>_xlfn.XLOOKUP(FME_Ranking1[[#This Row],[FME ID]],FME_Input[FME_ID],FME_Input[FME_COST])</f>
        <v>50000</v>
      </c>
      <c r="F1479" t="str">
        <f>_xlfn.XLOOKUP(FME_Ranking1[[#This Row],[FME ID]],FME_Input[FME_ID],FME_Input[EMER_NEED])</f>
        <v>No</v>
      </c>
      <c r="G1479">
        <f>IF(FME_Ranking!F1479="Yes",100,0)</f>
        <v>0</v>
      </c>
      <c r="H1479">
        <f>FME_Ranking1[[#This Row],[Emergency Need Score (Normalized, Unweighted)]]*$F$3</f>
        <v>0</v>
      </c>
      <c r="I1479" s="246">
        <f>_xlfn.XLOOKUP(FME_Ranking1[[#This Row],[FME ID]],FME_Input[FME_ID],FME_Input[STRUCT_100])</f>
        <v>3</v>
      </c>
      <c r="J1479" s="178">
        <f>(FME_Ranking1[[#This Row],[Structures 100 Raw]]/I$2)*100</f>
        <v>1.6064773165402903E-3</v>
      </c>
      <c r="K1479" s="178">
        <f>FME_Ranking1[[#This Row],[Structures 100  Score (Normalized, Unweighted)]]*$I$3</f>
        <v>2.4097159748104354E-4</v>
      </c>
      <c r="L1479" s="246">
        <f>_xlfn.XLOOKUP(FME_Ranking1[[#This Row],[FME ID]],FME_Input[FME_ID],FME_Input[RES_STRUCT100])</f>
        <v>0</v>
      </c>
      <c r="M1479" s="230">
        <f>(FME_Ranking1[[#This Row],[Res Structures Raw]]/L$2)*100</f>
        <v>0</v>
      </c>
      <c r="N1479" s="180">
        <f>FME_Ranking1[[#This Row],[Res Structures Score (Normalized, Unweighted)]]*$L$3</f>
        <v>0</v>
      </c>
      <c r="O1479" s="244">
        <f>_xlfn.XLOOKUP(FME_Ranking1[[#This Row],[FME ID]],FME_Input[FME_ID],FME_Input[POP100])</f>
        <v>91</v>
      </c>
      <c r="P1479" s="178">
        <f>(FME_Ranking1[[#This Row],[Pop Raw]]/$O$2)*100</f>
        <v>9.3161533909774576E-3</v>
      </c>
      <c r="Q1479" s="178">
        <f>FME_Ranking1[[#This Row],[Pop Score (Normalized, Unweighted)]]*$O$3</f>
        <v>1.3974230086466186E-3</v>
      </c>
      <c r="R1479" s="137">
        <f>_xlfn.XLOOKUP(FME_Ranking1[[#This Row],[FME ID]],FME_Input[FME_ID],FME_Input[CRITFAC100])</f>
        <v>0</v>
      </c>
      <c r="S1479" s="230">
        <f>(FME_Ranking1[[#This Row],[Critical Facilities Raw]]/$R$2)*100</f>
        <v>0</v>
      </c>
      <c r="T1479" s="180">
        <f>FME_Ranking1[[#This Row],[Critical Facilities Score (Normalized, Unweighted)]]*$R$3</f>
        <v>0</v>
      </c>
      <c r="U1479">
        <f>_xlfn.XLOOKUP(FME_Ranking1[[#This Row],[FME ID]],FME_Input[FME_ID],FME_Input[LWC])</f>
        <v>2</v>
      </c>
      <c r="V1479" s="178">
        <f>(FME_Ranking1[[#This Row],[LWC Raw]]/$U$2)*100</f>
        <v>0.11514104778353484</v>
      </c>
      <c r="W1479" s="178">
        <f>FME_Ranking1[[#This Row],[LWC Score (Normalized, Unweighted)]]*$U$3</f>
        <v>2.302820955670697E-2</v>
      </c>
      <c r="X1479" s="246">
        <f>_xlfn.XLOOKUP(FME_Ranking1[[#This Row],[FME ID]],FME_Input[FME_ID],FME_Input[ROADCLS])</f>
        <v>0</v>
      </c>
      <c r="Y1479" s="230">
        <f>(FME_Ranking1[[#This Row],[Closures Raw]]/$X$2)*100</f>
        <v>0</v>
      </c>
      <c r="Z1479" s="180">
        <f>FME_Ranking1[[#This Row],[Closures Score (Normalized, Unweighted)]]*$X$3</f>
        <v>0</v>
      </c>
      <c r="AA1479" s="253">
        <f>_xlfn.XLOOKUP(FME_Ranking1[[#This Row],[FME ID]],FME_Input[FME_ID],FME_Input[ROAD_MILES100])</f>
        <v>1.172554016113281</v>
      </c>
      <c r="AB1479" s="178">
        <f>(FME_Ranking1[[#This Row],[Miles Raw]]/$AA$2)*100</f>
        <v>1.5416982237530691E-2</v>
      </c>
      <c r="AC1479" s="178">
        <f>FME_Ranking1[[#This Row],[Miles Score (Normalized, Unweighted)]]*$AA$3</f>
        <v>1.5416982237530692E-3</v>
      </c>
      <c r="AD1479" s="255">
        <f>_xlfn.XLOOKUP(FME_Ranking1[[#This Row],[FME ID]],FME_Input[FME_ID],FME_Input[FARMACRE100])</f>
        <v>19.999700546264648</v>
      </c>
      <c r="AE1479" s="230">
        <f>(FME_Ranking1[[#This Row],[Ag Land Raw]]/$AD$2)*100</f>
        <v>8.2469812179467093E-4</v>
      </c>
      <c r="AF1479" s="231">
        <f>FME_Ranking1[[#This Row],[Ag Land Score (Normalized, Unweighted)]]*$AD$3</f>
        <v>4.1234906089733549E-5</v>
      </c>
      <c r="AG147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2.6249537292677434E-2</v>
      </c>
      <c r="AH1479" s="406">
        <f t="shared" si="23"/>
        <v>1501</v>
      </c>
      <c r="AI147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2.6249537292677434E-2</v>
      </c>
      <c r="AJ1479" s="257">
        <f>FME_Ranking1[[#This Row],[Addition check]]-FME_Ranking1[[#This Row],[Weighted Score Based on Normalized Reported Factors]]</f>
        <v>0</v>
      </c>
      <c r="AK1479" s="178">
        <f>_xlfn.RANK.EQ(AI1479,$AI$6:$AI$2341,0)+COUNTIF($AI$6:AI1479,AI1479)-1</f>
        <v>1501</v>
      </c>
    </row>
    <row r="1480" spans="1:37" x14ac:dyDescent="0.25">
      <c r="A1480" t="s">
        <v>3850</v>
      </c>
      <c r="B1480">
        <f>_xlfn.XLOOKUP(FME_Ranking1[[#This Row],[FME ID]],FME_Input[FME_ID],FME_Input[RFPG_NUM])</f>
        <v>3</v>
      </c>
      <c r="C1480" t="str">
        <f>_xlfn.XLOOKUP(FME_Ranking1[[#This Row],[FME ID]],FME_Input[FME_ID],FME_Input[FME_NAME])</f>
        <v xml:space="preserve">Fannin County FEMA Mapping </v>
      </c>
      <c r="D1480" t="str">
        <f>_xlfn.XLOOKUP(FME_Ranking1[[#This Row],[FME ID]],FME_Input[FME_ID],FME_Input[DESCR])</f>
        <v>Create FEMA mapping in previously unmapped areas and update existing FEMA maps as needed.</v>
      </c>
      <c r="E1480" s="256">
        <f>_xlfn.XLOOKUP(FME_Ranking1[[#This Row],[FME ID]],FME_Input[FME_ID],FME_Input[FME_COST])</f>
        <v>1183000</v>
      </c>
      <c r="F1480" t="str">
        <f>_xlfn.XLOOKUP(FME_Ranking1[[#This Row],[FME ID]],FME_Input[FME_ID],FME_Input[EMER_NEED])</f>
        <v>No</v>
      </c>
      <c r="G1480">
        <f>IF(FME_Ranking!F1480="Yes",100,0)</f>
        <v>0</v>
      </c>
      <c r="H1480">
        <f>FME_Ranking1[[#This Row],[Emergency Need Score (Normalized, Unweighted)]]*$F$3</f>
        <v>0</v>
      </c>
      <c r="I1480" s="246">
        <f>_xlfn.XLOOKUP(FME_Ranking1[[#This Row],[FME ID]],FME_Input[FME_ID],FME_Input[STRUCT_100])</f>
        <v>139</v>
      </c>
      <c r="J1480" s="178">
        <f>(FME_Ranking1[[#This Row],[Structures 100 Raw]]/I$2)*100</f>
        <v>7.4433448999700128E-2</v>
      </c>
      <c r="K1480" s="178">
        <f>FME_Ranking1[[#This Row],[Structures 100  Score (Normalized, Unweighted)]]*$I$3</f>
        <v>1.1165017349955019E-2</v>
      </c>
      <c r="L1480" s="246">
        <f>_xlfn.XLOOKUP(FME_Ranking1[[#This Row],[FME ID]],FME_Input[FME_ID],FME_Input[RES_STRUCT100])</f>
        <v>119</v>
      </c>
      <c r="M1480" s="230">
        <f>(FME_Ranking1[[#This Row],[Res Structures Raw]]/L$2)*100</f>
        <v>8.4288365372356247E-2</v>
      </c>
      <c r="N1480" s="180">
        <f>FME_Ranking1[[#This Row],[Res Structures Score (Normalized, Unweighted)]]*$L$3</f>
        <v>8.4288365372356244E-3</v>
      </c>
      <c r="O1480" s="244">
        <f>_xlfn.XLOOKUP(FME_Ranking1[[#This Row],[FME ID]],FME_Input[FME_ID],FME_Input[POP100])</f>
        <v>93</v>
      </c>
      <c r="P1480" s="178">
        <f>(FME_Ranking1[[#This Row],[Pop Raw]]/$O$2)*100</f>
        <v>9.5209040149549853E-3</v>
      </c>
      <c r="Q1480" s="178">
        <f>FME_Ranking1[[#This Row],[Pop Score (Normalized, Unweighted)]]*$O$3</f>
        <v>1.4281356022432478E-3</v>
      </c>
      <c r="R1480" s="137">
        <f>_xlfn.XLOOKUP(FME_Ranking1[[#This Row],[FME ID]],FME_Input[FME_ID],FME_Input[CRITFAC100])</f>
        <v>0</v>
      </c>
      <c r="S1480" s="230">
        <f>(FME_Ranking1[[#This Row],[Critical Facilities Raw]]/$R$2)*100</f>
        <v>0</v>
      </c>
      <c r="T1480" s="180">
        <f>FME_Ranking1[[#This Row],[Critical Facilities Score (Normalized, Unweighted)]]*$R$3</f>
        <v>0</v>
      </c>
      <c r="U1480">
        <f>_xlfn.XLOOKUP(FME_Ranking1[[#This Row],[FME ID]],FME_Input[FME_ID],FME_Input[LWC])</f>
        <v>0</v>
      </c>
      <c r="V1480" s="178">
        <f>(FME_Ranking1[[#This Row],[LWC Raw]]/$U$2)*100</f>
        <v>0</v>
      </c>
      <c r="W1480" s="178">
        <f>FME_Ranking1[[#This Row],[LWC Score (Normalized, Unweighted)]]*$U$3</f>
        <v>0</v>
      </c>
      <c r="X1480" s="246">
        <f>_xlfn.XLOOKUP(FME_Ranking1[[#This Row],[FME ID]],FME_Input[FME_ID],FME_Input[ROADCLS])</f>
        <v>0</v>
      </c>
      <c r="Y1480" s="230">
        <f>(FME_Ranking1[[#This Row],[Closures Raw]]/$X$2)*100</f>
        <v>0</v>
      </c>
      <c r="Z1480" s="180">
        <f>FME_Ranking1[[#This Row],[Closures Score (Normalized, Unweighted)]]*$X$3</f>
        <v>0</v>
      </c>
      <c r="AA1480" s="253">
        <f>_xlfn.XLOOKUP(FME_Ranking1[[#This Row],[FME ID]],FME_Input[FME_ID],FME_Input[ROAD_MILES100])</f>
        <v>4.4001379013061523</v>
      </c>
      <c r="AB1480" s="178">
        <f>(FME_Ranking1[[#This Row],[Miles Raw]]/$AA$2)*100</f>
        <v>5.7853921384350769E-2</v>
      </c>
      <c r="AC1480" s="178">
        <f>FME_Ranking1[[#This Row],[Miles Score (Normalized, Unweighted)]]*$AA$3</f>
        <v>5.7853921384350771E-3</v>
      </c>
      <c r="AD1480" s="255">
        <f>_xlfn.XLOOKUP(FME_Ranking1[[#This Row],[FME ID]],FME_Input[FME_ID],FME_Input[FARMACRE100])</f>
        <v>1782.81494140625</v>
      </c>
      <c r="AE1480" s="230">
        <f>(FME_Ranking1[[#This Row],[Ag Land Raw]]/$AD$2)*100</f>
        <v>7.3515307405930944E-2</v>
      </c>
      <c r="AF1480" s="231">
        <f>FME_Ranking1[[#This Row],[Ag Land Score (Normalized, Unweighted)]]*$AD$3</f>
        <v>3.6757653702965474E-3</v>
      </c>
      <c r="AG148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3.0483146998165515E-2</v>
      </c>
      <c r="AH1480" s="406">
        <f t="shared" si="23"/>
        <v>1466</v>
      </c>
      <c r="AI148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3.0483146998165515E-2</v>
      </c>
      <c r="AJ1480" s="257">
        <f>FME_Ranking1[[#This Row],[Addition check]]-FME_Ranking1[[#This Row],[Weighted Score Based on Normalized Reported Factors]]</f>
        <v>0</v>
      </c>
      <c r="AK1480" s="178">
        <f>_xlfn.RANK.EQ(AI1480,$AI$6:$AI$2341,0)+COUNTIF($AI$6:AI1480,AI1480)-1</f>
        <v>1466</v>
      </c>
    </row>
    <row r="1481" spans="1:37" x14ac:dyDescent="0.25">
      <c r="A1481" t="s">
        <v>4271</v>
      </c>
      <c r="B1481">
        <f>_xlfn.XLOOKUP(FME_Ranking1[[#This Row],[FME ID]],FME_Input[FME_ID],FME_Input[RFPG_NUM])</f>
        <v>3</v>
      </c>
      <c r="C1481" t="str">
        <f>_xlfn.XLOOKUP(FME_Ranking1[[#This Row],[FME ID]],FME_Input[FME_ID],FME_Input[FME_NAME])</f>
        <v>Fannin County DMP</v>
      </c>
      <c r="D1481" t="str">
        <f>_xlfn.XLOOKUP(FME_Ranking1[[#This Row],[FME ID]],FME_Input[FME_ID],FME_Input[DESCR])</f>
        <v>Evaluate County and identify future projects.</v>
      </c>
      <c r="E1481" s="256">
        <f>_xlfn.XLOOKUP(FME_Ranking1[[#This Row],[FME ID]],FME_Input[FME_ID],FME_Input[FME_COST])</f>
        <v>500000</v>
      </c>
      <c r="F1481" t="str">
        <f>_xlfn.XLOOKUP(FME_Ranking1[[#This Row],[FME ID]],FME_Input[FME_ID],FME_Input[EMER_NEED])</f>
        <v>No</v>
      </c>
      <c r="G1481">
        <f>IF(FME_Ranking!F1481="Yes",100,0)</f>
        <v>0</v>
      </c>
      <c r="H1481">
        <f>FME_Ranking1[[#This Row],[Emergency Need Score (Normalized, Unweighted)]]*$F$3</f>
        <v>0</v>
      </c>
      <c r="I1481" s="246">
        <f>_xlfn.XLOOKUP(FME_Ranking1[[#This Row],[FME ID]],FME_Input[FME_ID],FME_Input[STRUCT_100])</f>
        <v>139</v>
      </c>
      <c r="J1481" s="178">
        <f>(FME_Ranking1[[#This Row],[Structures 100 Raw]]/I$2)*100</f>
        <v>7.4433448999700128E-2</v>
      </c>
      <c r="K1481" s="178">
        <f>FME_Ranking1[[#This Row],[Structures 100  Score (Normalized, Unweighted)]]*$I$3</f>
        <v>1.1165017349955019E-2</v>
      </c>
      <c r="L1481" s="246">
        <f>_xlfn.XLOOKUP(FME_Ranking1[[#This Row],[FME ID]],FME_Input[FME_ID],FME_Input[RES_STRUCT100])</f>
        <v>119</v>
      </c>
      <c r="M1481" s="230">
        <f>(FME_Ranking1[[#This Row],[Res Structures Raw]]/L$2)*100</f>
        <v>8.4288365372356247E-2</v>
      </c>
      <c r="N1481" s="180">
        <f>FME_Ranking1[[#This Row],[Res Structures Score (Normalized, Unweighted)]]*$L$3</f>
        <v>8.4288365372356244E-3</v>
      </c>
      <c r="O1481" s="244">
        <f>_xlfn.XLOOKUP(FME_Ranking1[[#This Row],[FME ID]],FME_Input[FME_ID],FME_Input[POP100])</f>
        <v>93</v>
      </c>
      <c r="P1481" s="178">
        <f>(FME_Ranking1[[#This Row],[Pop Raw]]/$O$2)*100</f>
        <v>9.5209040149549853E-3</v>
      </c>
      <c r="Q1481" s="178">
        <f>FME_Ranking1[[#This Row],[Pop Score (Normalized, Unweighted)]]*$O$3</f>
        <v>1.4281356022432478E-3</v>
      </c>
      <c r="R1481" s="137">
        <f>_xlfn.XLOOKUP(FME_Ranking1[[#This Row],[FME ID]],FME_Input[FME_ID],FME_Input[CRITFAC100])</f>
        <v>0</v>
      </c>
      <c r="S1481" s="230">
        <f>(FME_Ranking1[[#This Row],[Critical Facilities Raw]]/$R$2)*100</f>
        <v>0</v>
      </c>
      <c r="T1481" s="180">
        <f>FME_Ranking1[[#This Row],[Critical Facilities Score (Normalized, Unweighted)]]*$R$3</f>
        <v>0</v>
      </c>
      <c r="U1481">
        <f>_xlfn.XLOOKUP(FME_Ranking1[[#This Row],[FME ID]],FME_Input[FME_ID],FME_Input[LWC])</f>
        <v>0</v>
      </c>
      <c r="V1481" s="178">
        <f>(FME_Ranking1[[#This Row],[LWC Raw]]/$U$2)*100</f>
        <v>0</v>
      </c>
      <c r="W1481" s="178">
        <f>FME_Ranking1[[#This Row],[LWC Score (Normalized, Unweighted)]]*$U$3</f>
        <v>0</v>
      </c>
      <c r="X1481" s="246">
        <f>_xlfn.XLOOKUP(FME_Ranking1[[#This Row],[FME ID]],FME_Input[FME_ID],FME_Input[ROADCLS])</f>
        <v>0</v>
      </c>
      <c r="Y1481" s="230">
        <f>(FME_Ranking1[[#This Row],[Closures Raw]]/$X$2)*100</f>
        <v>0</v>
      </c>
      <c r="Z1481" s="180">
        <f>FME_Ranking1[[#This Row],[Closures Score (Normalized, Unweighted)]]*$X$3</f>
        <v>0</v>
      </c>
      <c r="AA1481" s="253">
        <f>_xlfn.XLOOKUP(FME_Ranking1[[#This Row],[FME ID]],FME_Input[FME_ID],FME_Input[ROAD_MILES100])</f>
        <v>4.4001379013061523</v>
      </c>
      <c r="AB1481" s="178">
        <f>(FME_Ranking1[[#This Row],[Miles Raw]]/$AA$2)*100</f>
        <v>5.7853921384350769E-2</v>
      </c>
      <c r="AC1481" s="178">
        <f>FME_Ranking1[[#This Row],[Miles Score (Normalized, Unweighted)]]*$AA$3</f>
        <v>5.7853921384350771E-3</v>
      </c>
      <c r="AD1481" s="255">
        <f>_xlfn.XLOOKUP(FME_Ranking1[[#This Row],[FME ID]],FME_Input[FME_ID],FME_Input[FARMACRE100])</f>
        <v>1782.81494140625</v>
      </c>
      <c r="AE1481" s="230">
        <f>(FME_Ranking1[[#This Row],[Ag Land Raw]]/$AD$2)*100</f>
        <v>7.3515307405930944E-2</v>
      </c>
      <c r="AF1481" s="231">
        <f>FME_Ranking1[[#This Row],[Ag Land Score (Normalized, Unweighted)]]*$AD$3</f>
        <v>3.6757653702965474E-3</v>
      </c>
      <c r="AG148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3.0483146998165515E-2</v>
      </c>
      <c r="AH1481" s="406">
        <f t="shared" si="23"/>
        <v>1466</v>
      </c>
      <c r="AI148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3.0483146998165515E-2</v>
      </c>
      <c r="AJ1481" s="257">
        <f>FME_Ranking1[[#This Row],[Addition check]]-FME_Ranking1[[#This Row],[Weighted Score Based on Normalized Reported Factors]]</f>
        <v>0</v>
      </c>
      <c r="AK1481" s="178">
        <f>_xlfn.RANK.EQ(AI1481,$AI$6:$AI$2341,0)+COUNTIF($AI$6:AI1481,AI1481)-1</f>
        <v>1467</v>
      </c>
    </row>
    <row r="1482" spans="1:37" x14ac:dyDescent="0.25">
      <c r="A1482" t="s">
        <v>1108</v>
      </c>
      <c r="B1482">
        <f>_xlfn.XLOOKUP(FME_Ranking1[[#This Row],[FME ID]],FME_Input[FME_ID],FME_Input[RFPG_NUM])</f>
        <v>6</v>
      </c>
      <c r="C1482" t="str">
        <f>_xlfn.XLOOKUP(FME_Ranking1[[#This Row],[FME ID]],FME_Input[FME_ID],FME_Input[FME_NAME])</f>
        <v xml:space="preserve">Dredging Cedar Bayou </v>
      </c>
      <c r="D1482" t="str">
        <f>_xlfn.XLOOKUP(FME_Ranking1[[#This Row],[FME ID]],FME_Input[FME_ID],FME_Input[DESCR])</f>
        <v>Study of proposed Cedar Bayou dredging to determine flood risk reduction potential.</v>
      </c>
      <c r="E1482" s="256">
        <f>_xlfn.XLOOKUP(FME_Ranking1[[#This Row],[FME ID]],FME_Input[FME_ID],FME_Input[FME_COST])</f>
        <v>7070000</v>
      </c>
      <c r="F1482" t="str">
        <f>_xlfn.XLOOKUP(FME_Ranking1[[#This Row],[FME ID]],FME_Input[FME_ID],FME_Input[EMER_NEED])</f>
        <v>No</v>
      </c>
      <c r="G1482">
        <f>IF(FME_Ranking!F1482="Yes",100,0)</f>
        <v>0</v>
      </c>
      <c r="H1482">
        <f>FME_Ranking1[[#This Row],[Emergency Need Score (Normalized, Unweighted)]]*$F$3</f>
        <v>0</v>
      </c>
      <c r="I1482" s="246">
        <f>_xlfn.XLOOKUP(FME_Ranking1[[#This Row],[FME ID]],FME_Input[FME_ID],FME_Input[STRUCT_100])</f>
        <v>119</v>
      </c>
      <c r="J1482" s="178">
        <f>(FME_Ranking1[[#This Row],[Structures 100 Raw]]/I$2)*100</f>
        <v>6.3723600222764853E-2</v>
      </c>
      <c r="K1482" s="178">
        <f>FME_Ranking1[[#This Row],[Structures 100  Score (Normalized, Unweighted)]]*$I$3</f>
        <v>9.5585400334147284E-3</v>
      </c>
      <c r="L1482" s="246">
        <f>_xlfn.XLOOKUP(FME_Ranking1[[#This Row],[FME ID]],FME_Input[FME_ID],FME_Input[RES_STRUCT100])</f>
        <v>44</v>
      </c>
      <c r="M1482" s="230">
        <f>(FME_Ranking1[[#This Row],[Res Structures Raw]]/L$2)*100</f>
        <v>3.1165446020030883E-2</v>
      </c>
      <c r="N1482" s="180">
        <f>FME_Ranking1[[#This Row],[Res Structures Score (Normalized, Unweighted)]]*$L$3</f>
        <v>3.1165446020030886E-3</v>
      </c>
      <c r="O1482" s="244">
        <f>_xlfn.XLOOKUP(FME_Ranking1[[#This Row],[FME ID]],FME_Input[FME_ID],FME_Input[POP100])</f>
        <v>735</v>
      </c>
      <c r="P1482" s="178">
        <f>(FME_Ranking1[[#This Row],[Pop Raw]]/$O$2)*100</f>
        <v>7.5245854311741009E-2</v>
      </c>
      <c r="Q1482" s="178">
        <f>FME_Ranking1[[#This Row],[Pop Score (Normalized, Unweighted)]]*$O$3</f>
        <v>1.128687814676115E-2</v>
      </c>
      <c r="R1482" s="137">
        <f>_xlfn.XLOOKUP(FME_Ranking1[[#This Row],[FME ID]],FME_Input[FME_ID],FME_Input[CRITFAC100])</f>
        <v>0</v>
      </c>
      <c r="S1482" s="230">
        <f>(FME_Ranking1[[#This Row],[Critical Facilities Raw]]/$R$2)*100</f>
        <v>0</v>
      </c>
      <c r="T1482" s="180">
        <f>FME_Ranking1[[#This Row],[Critical Facilities Score (Normalized, Unweighted)]]*$R$3</f>
        <v>0</v>
      </c>
      <c r="U1482">
        <f>_xlfn.XLOOKUP(FME_Ranking1[[#This Row],[FME ID]],FME_Input[FME_ID],FME_Input[LWC])</f>
        <v>0</v>
      </c>
      <c r="V1482" s="178">
        <f>(FME_Ranking1[[#This Row],[LWC Raw]]/$U$2)*100</f>
        <v>0</v>
      </c>
      <c r="W1482" s="178">
        <f>FME_Ranking1[[#This Row],[LWC Score (Normalized, Unweighted)]]*$U$3</f>
        <v>0</v>
      </c>
      <c r="X1482" s="246">
        <f>_xlfn.XLOOKUP(FME_Ranking1[[#This Row],[FME ID]],FME_Input[FME_ID],FME_Input[ROADCLS])</f>
        <v>0</v>
      </c>
      <c r="Y1482" s="230">
        <f>(FME_Ranking1[[#This Row],[Closures Raw]]/$X$2)*100</f>
        <v>0</v>
      </c>
      <c r="Z1482" s="180">
        <f>FME_Ranking1[[#This Row],[Closures Score (Normalized, Unweighted)]]*$X$3</f>
        <v>0</v>
      </c>
      <c r="AA1482" s="253">
        <f>_xlfn.XLOOKUP(FME_Ranking1[[#This Row],[FME ID]],FME_Input[FME_ID],FME_Input[ROAD_MILES100])</f>
        <v>6.2903738021850586</v>
      </c>
      <c r="AB1482" s="178">
        <f>(FME_Ranking1[[#This Row],[Miles Raw]]/$AA$2)*100</f>
        <v>8.2707133183659062E-2</v>
      </c>
      <c r="AC1482" s="178">
        <f>FME_Ranking1[[#This Row],[Miles Score (Normalized, Unweighted)]]*$AA$3</f>
        <v>8.2707133183659073E-3</v>
      </c>
      <c r="AD1482" s="255">
        <f>_xlfn.XLOOKUP(FME_Ranking1[[#This Row],[FME ID]],FME_Input[FME_ID],FME_Input[FARMACRE100])</f>
        <v>341.08370971679688</v>
      </c>
      <c r="AE1482" s="230">
        <f>(FME_Ranking1[[#This Row],[Ag Land Raw]]/$AD$2)*100</f>
        <v>1.4064765326235747E-2</v>
      </c>
      <c r="AF1482" s="231">
        <f>FME_Ranking1[[#This Row],[Ag Land Score (Normalized, Unweighted)]]*$AD$3</f>
        <v>7.0323826631178742E-4</v>
      </c>
      <c r="AG148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3.293591436685666E-2</v>
      </c>
      <c r="AH1482" s="406">
        <f t="shared" si="23"/>
        <v>1445</v>
      </c>
      <c r="AI148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3.293591436685666E-2</v>
      </c>
      <c r="AJ1482" s="257">
        <f>FME_Ranking1[[#This Row],[Addition check]]-FME_Ranking1[[#This Row],[Weighted Score Based on Normalized Reported Factors]]</f>
        <v>0</v>
      </c>
      <c r="AK1482" s="178">
        <f>_xlfn.RANK.EQ(AI1482,$AI$6:$AI$2341,0)+COUNTIF($AI$6:AI1482,AI1482)-1</f>
        <v>1445</v>
      </c>
    </row>
    <row r="1483" spans="1:37" x14ac:dyDescent="0.25">
      <c r="A1483" t="s">
        <v>8756</v>
      </c>
      <c r="B1483">
        <f>_xlfn.XLOOKUP(FME_Ranking1[[#This Row],[FME ID]],FME_Input[FME_ID],FME_Input[RFPG_NUM])</f>
        <v>11</v>
      </c>
      <c r="C1483" t="str">
        <f>_xlfn.XLOOKUP(FME_Ranking1[[#This Row],[FME ID]],FME_Input[FME_ID],FME_Input[FME_NAME])</f>
        <v>City of Niederwald Engineering Review of City Hall</v>
      </c>
      <c r="D1483" t="str">
        <f>_xlfn.XLOOKUP(FME_Ranking1[[#This Row],[FME ID]],FME_Input[FME_ID],FME_Input[DESCR])</f>
        <v>Contract a consultation from an engineer to review the new City Hall building to ensure its resiliency (modular building that holds community documents and archives).</v>
      </c>
      <c r="E1483" s="256">
        <f>_xlfn.XLOOKUP(FME_Ranking1[[#This Row],[FME ID]],FME_Input[FME_ID],FME_Input[FME_COST])</f>
        <v>10000</v>
      </c>
      <c r="F1483" t="str">
        <f>_xlfn.XLOOKUP(FME_Ranking1[[#This Row],[FME ID]],FME_Input[FME_ID],FME_Input[EMER_NEED])</f>
        <v>No</v>
      </c>
      <c r="G1483">
        <f>IF(FME_Ranking!F1483="Yes",100,0)</f>
        <v>0</v>
      </c>
      <c r="H1483">
        <f>FME_Ranking1[[#This Row],[Emergency Need Score (Normalized, Unweighted)]]*$F$3</f>
        <v>0</v>
      </c>
      <c r="I1483" s="246">
        <f>_xlfn.XLOOKUP(FME_Ranking1[[#This Row],[FME ID]],FME_Input[FME_ID],FME_Input[STRUCT_100])</f>
        <v>9</v>
      </c>
      <c r="J1483" s="178">
        <f>(FME_Ranking1[[#This Row],[Structures 100 Raw]]/I$2)*100</f>
        <v>4.8194319496208714E-3</v>
      </c>
      <c r="K1483" s="178">
        <f>FME_Ranking1[[#This Row],[Structures 100  Score (Normalized, Unweighted)]]*$I$3</f>
        <v>7.2291479244313071E-4</v>
      </c>
      <c r="L1483" s="246">
        <f>_xlfn.XLOOKUP(FME_Ranking1[[#This Row],[FME ID]],FME_Input[FME_ID],FME_Input[RES_STRUCT100])</f>
        <v>2</v>
      </c>
      <c r="M1483" s="230">
        <f>(FME_Ranking1[[#This Row],[Res Structures Raw]]/L$2)*100</f>
        <v>1.4166111827286765E-3</v>
      </c>
      <c r="N1483" s="180">
        <f>FME_Ranking1[[#This Row],[Res Structures Score (Normalized, Unweighted)]]*$L$3</f>
        <v>1.4166111827286767E-4</v>
      </c>
      <c r="O1483" s="244">
        <f>_xlfn.XLOOKUP(FME_Ranking1[[#This Row],[FME ID]],FME_Input[FME_ID],FME_Input[POP100])</f>
        <v>24</v>
      </c>
      <c r="P1483" s="178">
        <f>(FME_Ranking1[[#This Row],[Pop Raw]]/$O$2)*100</f>
        <v>2.457007487730319E-3</v>
      </c>
      <c r="Q1483" s="178">
        <f>FME_Ranking1[[#This Row],[Pop Score (Normalized, Unweighted)]]*$O$3</f>
        <v>3.6855112315954783E-4</v>
      </c>
      <c r="R1483" s="137">
        <f>_xlfn.XLOOKUP(FME_Ranking1[[#This Row],[FME ID]],FME_Input[FME_ID],FME_Input[CRITFAC100])</f>
        <v>0</v>
      </c>
      <c r="S1483" s="230">
        <f>(FME_Ranking1[[#This Row],[Critical Facilities Raw]]/$R$2)*100</f>
        <v>0</v>
      </c>
      <c r="T1483" s="180">
        <f>FME_Ranking1[[#This Row],[Critical Facilities Score (Normalized, Unweighted)]]*$R$3</f>
        <v>0</v>
      </c>
      <c r="U1483">
        <f>_xlfn.XLOOKUP(FME_Ranking1[[#This Row],[FME ID]],FME_Input[FME_ID],FME_Input[LWC])</f>
        <v>2</v>
      </c>
      <c r="V1483" s="178">
        <f>(FME_Ranking1[[#This Row],[LWC Raw]]/$U$2)*100</f>
        <v>0.11514104778353484</v>
      </c>
      <c r="W1483" s="178">
        <f>FME_Ranking1[[#This Row],[LWC Score (Normalized, Unweighted)]]*$U$3</f>
        <v>2.302820955670697E-2</v>
      </c>
      <c r="X1483" s="246">
        <f>_xlfn.XLOOKUP(FME_Ranking1[[#This Row],[FME ID]],FME_Input[FME_ID],FME_Input[ROADCLS])</f>
        <v>0</v>
      </c>
      <c r="Y1483" s="230">
        <f>(FME_Ranking1[[#This Row],[Closures Raw]]/$X$2)*100</f>
        <v>0</v>
      </c>
      <c r="Z1483" s="180">
        <f>FME_Ranking1[[#This Row],[Closures Score (Normalized, Unweighted)]]*$X$3</f>
        <v>0</v>
      </c>
      <c r="AA1483" s="253">
        <f>_xlfn.XLOOKUP(FME_Ranking1[[#This Row],[FME ID]],FME_Input[FME_ID],FME_Input[ROAD_MILES100])</f>
        <v>1.488909244537354</v>
      </c>
      <c r="AB1483" s="178">
        <f>(FME_Ranking1[[#This Row],[Miles Raw]]/$AA$2)*100</f>
        <v>1.957648608156742E-2</v>
      </c>
      <c r="AC1483" s="178">
        <f>FME_Ranking1[[#This Row],[Miles Score (Normalized, Unweighted)]]*$AA$3</f>
        <v>1.9576486081567422E-3</v>
      </c>
      <c r="AD1483" s="255">
        <f>_xlfn.XLOOKUP(FME_Ranking1[[#This Row],[FME ID]],FME_Input[FME_ID],FME_Input[FARMACRE100])</f>
        <v>149.9698791503906</v>
      </c>
      <c r="AE1483" s="230">
        <f>(FME_Ranking1[[#This Row],[Ag Land Raw]]/$AD$2)*100</f>
        <v>6.1840864754447861E-3</v>
      </c>
      <c r="AF1483" s="231">
        <f>FME_Ranking1[[#This Row],[Ag Land Score (Normalized, Unweighted)]]*$AD$3</f>
        <v>3.0920432377223931E-4</v>
      </c>
      <c r="AG148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2.6528189522511497E-2</v>
      </c>
      <c r="AH1483" s="406">
        <f t="shared" si="23"/>
        <v>1499</v>
      </c>
      <c r="AI148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2.6528189522511497E-2</v>
      </c>
      <c r="AJ1483" s="257">
        <f>FME_Ranking1[[#This Row],[Addition check]]-FME_Ranking1[[#This Row],[Weighted Score Based on Normalized Reported Factors]]</f>
        <v>0</v>
      </c>
      <c r="AK1483" s="178">
        <f>_xlfn.RANK.EQ(AI1483,$AI$6:$AI$2341,0)+COUNTIF($AI$6:AI1483,AI1483)-1</f>
        <v>1499</v>
      </c>
    </row>
    <row r="1484" spans="1:37" x14ac:dyDescent="0.25">
      <c r="A1484" t="s">
        <v>5234</v>
      </c>
      <c r="B1484">
        <f>_xlfn.XLOOKUP(FME_Ranking1[[#This Row],[FME ID]],FME_Input[FME_ID],FME_Input[RFPG_NUM])</f>
        <v>3</v>
      </c>
      <c r="C1484" t="str">
        <f>_xlfn.XLOOKUP(FME_Ranking1[[#This Row],[FME ID]],FME_Input[FME_ID],FME_Input[FME_NAME])</f>
        <v>Hutchins Creek at Denton Street</v>
      </c>
      <c r="D1484" t="str">
        <f>_xlfn.XLOOKUP(FME_Ranking1[[#This Row],[FME ID]],FME_Input[FME_ID],FME_Input[DESCR])</f>
        <v>Evaluate culvert improvements for Denton Street over Hutchins Creek</v>
      </c>
      <c r="E1484" s="256">
        <f>_xlfn.XLOOKUP(FME_Ranking1[[#This Row],[FME ID]],FME_Input[FME_ID],FME_Input[FME_COST])</f>
        <v>250000</v>
      </c>
      <c r="F1484" t="str">
        <f>_xlfn.XLOOKUP(FME_Ranking1[[#This Row],[FME ID]],FME_Input[FME_ID],FME_Input[EMER_NEED])</f>
        <v>No</v>
      </c>
      <c r="G1484">
        <f>IF(FME_Ranking!F1484="Yes",100,0)</f>
        <v>0</v>
      </c>
      <c r="H1484">
        <f>FME_Ranking1[[#This Row],[Emergency Need Score (Normalized, Unweighted)]]*$F$3</f>
        <v>0</v>
      </c>
      <c r="I1484" s="246">
        <f>_xlfn.XLOOKUP(FME_Ranking1[[#This Row],[FME ID]],FME_Input[FME_ID],FME_Input[STRUCT_100])</f>
        <v>7</v>
      </c>
      <c r="J1484" s="178">
        <f>(FME_Ranking1[[#This Row],[Structures 100 Raw]]/I$2)*100</f>
        <v>3.7484470719273445E-3</v>
      </c>
      <c r="K1484" s="178">
        <f>FME_Ranking1[[#This Row],[Structures 100  Score (Normalized, Unweighted)]]*$I$3</f>
        <v>5.622670607891017E-4</v>
      </c>
      <c r="L1484" s="246">
        <f>_xlfn.XLOOKUP(FME_Ranking1[[#This Row],[FME ID]],FME_Input[FME_ID],FME_Input[RES_STRUCT100])</f>
        <v>1</v>
      </c>
      <c r="M1484" s="230">
        <f>(FME_Ranking1[[#This Row],[Res Structures Raw]]/L$2)*100</f>
        <v>7.0830559136433825E-4</v>
      </c>
      <c r="N1484" s="180">
        <f>FME_Ranking1[[#This Row],[Res Structures Score (Normalized, Unweighted)]]*$L$3</f>
        <v>7.0830559136433833E-5</v>
      </c>
      <c r="O1484" s="244">
        <f>_xlfn.XLOOKUP(FME_Ranking1[[#This Row],[FME ID]],FME_Input[FME_ID],FME_Input[POP100])</f>
        <v>38</v>
      </c>
      <c r="P1484" s="178">
        <f>(FME_Ranking1[[#This Row],[Pop Raw]]/$O$2)*100</f>
        <v>3.8902618555730047E-3</v>
      </c>
      <c r="Q1484" s="178">
        <f>FME_Ranking1[[#This Row],[Pop Score (Normalized, Unweighted)]]*$O$3</f>
        <v>5.8353927833595064E-4</v>
      </c>
      <c r="R1484" s="137">
        <f>_xlfn.XLOOKUP(FME_Ranking1[[#This Row],[FME ID]],FME_Input[FME_ID],FME_Input[CRITFAC100])</f>
        <v>0</v>
      </c>
      <c r="S1484" s="230">
        <f>(FME_Ranking1[[#This Row],[Critical Facilities Raw]]/$R$2)*100</f>
        <v>0</v>
      </c>
      <c r="T1484" s="180">
        <f>FME_Ranking1[[#This Row],[Critical Facilities Score (Normalized, Unweighted)]]*$R$3</f>
        <v>0</v>
      </c>
      <c r="U1484">
        <f>_xlfn.XLOOKUP(FME_Ranking1[[#This Row],[FME ID]],FME_Input[FME_ID],FME_Input[LWC])</f>
        <v>2</v>
      </c>
      <c r="V1484" s="178">
        <f>(FME_Ranking1[[#This Row],[LWC Raw]]/$U$2)*100</f>
        <v>0.11514104778353484</v>
      </c>
      <c r="W1484" s="178">
        <f>FME_Ranking1[[#This Row],[LWC Score (Normalized, Unweighted)]]*$U$3</f>
        <v>2.302820955670697E-2</v>
      </c>
      <c r="X1484" s="246">
        <f>_xlfn.XLOOKUP(FME_Ranking1[[#This Row],[FME ID]],FME_Input[FME_ID],FME_Input[ROADCLS])</f>
        <v>0</v>
      </c>
      <c r="Y1484" s="230">
        <f>(FME_Ranking1[[#This Row],[Closures Raw]]/$X$2)*100</f>
        <v>0</v>
      </c>
      <c r="Z1484" s="180">
        <f>FME_Ranking1[[#This Row],[Closures Score (Normalized, Unweighted)]]*$X$3</f>
        <v>0</v>
      </c>
      <c r="AA1484" s="253">
        <f>_xlfn.XLOOKUP(FME_Ranking1[[#This Row],[FME ID]],FME_Input[FME_ID],FME_Input[ROAD_MILES100])</f>
        <v>0.86780738830566406</v>
      </c>
      <c r="AB1484" s="178">
        <f>(FME_Ranking1[[#This Row],[Miles Raw]]/$AA$2)*100</f>
        <v>1.141011067059769E-2</v>
      </c>
      <c r="AC1484" s="178">
        <f>FME_Ranking1[[#This Row],[Miles Score (Normalized, Unweighted)]]*$AA$3</f>
        <v>1.1410110670597689E-3</v>
      </c>
      <c r="AD1484" s="255">
        <f>_xlfn.XLOOKUP(FME_Ranking1[[#This Row],[FME ID]],FME_Input[FME_ID],FME_Input[FARMACRE100])</f>
        <v>29.77371978759766</v>
      </c>
      <c r="AE1484" s="230">
        <f>(FME_Ranking1[[#This Row],[Ag Land Raw]]/$AD$2)*100</f>
        <v>1.2277349218740498E-3</v>
      </c>
      <c r="AF1484" s="231">
        <f>FME_Ranking1[[#This Row],[Ag Land Score (Normalized, Unweighted)]]*$AD$3</f>
        <v>6.1386746093702497E-5</v>
      </c>
      <c r="AG148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2.5447244268121925E-2</v>
      </c>
      <c r="AH1484" s="406">
        <f t="shared" si="23"/>
        <v>1516</v>
      </c>
      <c r="AI148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2.5447244268121925E-2</v>
      </c>
      <c r="AJ1484" s="257">
        <f>FME_Ranking1[[#This Row],[Addition check]]-FME_Ranking1[[#This Row],[Weighted Score Based on Normalized Reported Factors]]</f>
        <v>0</v>
      </c>
      <c r="AK1484" s="178">
        <f>_xlfn.RANK.EQ(AI1484,$AI$6:$AI$2341,0)+COUNTIF($AI$6:AI1484,AI1484)-1</f>
        <v>1516</v>
      </c>
    </row>
    <row r="1485" spans="1:37" x14ac:dyDescent="0.25">
      <c r="A1485" t="s">
        <v>5240</v>
      </c>
      <c r="B1485">
        <f>_xlfn.XLOOKUP(FME_Ranking1[[#This Row],[FME ID]],FME_Input[FME_ID],FME_Input[RFPG_NUM])</f>
        <v>3</v>
      </c>
      <c r="C1485" t="str">
        <f>_xlfn.XLOOKUP(FME_Ranking1[[#This Row],[FME ID]],FME_Input[FME_ID],FME_Input[FME_NAME])</f>
        <v>Hutchins Creek at J J Lemmon Street</v>
      </c>
      <c r="D1485" t="str">
        <f>_xlfn.XLOOKUP(FME_Ranking1[[#This Row],[FME ID]],FME_Input[FME_ID],FME_Input[DESCR])</f>
        <v>Evaluate bridge improvements for J J Lemmon Street over Hutchins Creek</v>
      </c>
      <c r="E1485" s="256">
        <f>_xlfn.XLOOKUP(FME_Ranking1[[#This Row],[FME ID]],FME_Input[FME_ID],FME_Input[FME_COST])</f>
        <v>250000</v>
      </c>
      <c r="F1485" t="str">
        <f>_xlfn.XLOOKUP(FME_Ranking1[[#This Row],[FME ID]],FME_Input[FME_ID],FME_Input[EMER_NEED])</f>
        <v>No</v>
      </c>
      <c r="G1485">
        <f>IF(FME_Ranking!F1485="Yes",100,0)</f>
        <v>0</v>
      </c>
      <c r="H1485">
        <f>FME_Ranking1[[#This Row],[Emergency Need Score (Normalized, Unweighted)]]*$F$3</f>
        <v>0</v>
      </c>
      <c r="I1485" s="246">
        <f>_xlfn.XLOOKUP(FME_Ranking1[[#This Row],[FME ID]],FME_Input[FME_ID],FME_Input[STRUCT_100])</f>
        <v>7</v>
      </c>
      <c r="J1485" s="178">
        <f>(FME_Ranking1[[#This Row],[Structures 100 Raw]]/I$2)*100</f>
        <v>3.7484470719273445E-3</v>
      </c>
      <c r="K1485" s="178">
        <f>FME_Ranking1[[#This Row],[Structures 100  Score (Normalized, Unweighted)]]*$I$3</f>
        <v>5.622670607891017E-4</v>
      </c>
      <c r="L1485" s="246">
        <f>_xlfn.XLOOKUP(FME_Ranking1[[#This Row],[FME ID]],FME_Input[FME_ID],FME_Input[RES_STRUCT100])</f>
        <v>1</v>
      </c>
      <c r="M1485" s="230">
        <f>(FME_Ranking1[[#This Row],[Res Structures Raw]]/L$2)*100</f>
        <v>7.0830559136433825E-4</v>
      </c>
      <c r="N1485" s="180">
        <f>FME_Ranking1[[#This Row],[Res Structures Score (Normalized, Unweighted)]]*$L$3</f>
        <v>7.0830559136433833E-5</v>
      </c>
      <c r="O1485" s="244">
        <f>_xlfn.XLOOKUP(FME_Ranking1[[#This Row],[FME ID]],FME_Input[FME_ID],FME_Input[POP100])</f>
        <v>38</v>
      </c>
      <c r="P1485" s="178">
        <f>(FME_Ranking1[[#This Row],[Pop Raw]]/$O$2)*100</f>
        <v>3.8902618555730047E-3</v>
      </c>
      <c r="Q1485" s="178">
        <f>FME_Ranking1[[#This Row],[Pop Score (Normalized, Unweighted)]]*$O$3</f>
        <v>5.8353927833595064E-4</v>
      </c>
      <c r="R1485" s="137">
        <f>_xlfn.XLOOKUP(FME_Ranking1[[#This Row],[FME ID]],FME_Input[FME_ID],FME_Input[CRITFAC100])</f>
        <v>0</v>
      </c>
      <c r="S1485" s="230">
        <f>(FME_Ranking1[[#This Row],[Critical Facilities Raw]]/$R$2)*100</f>
        <v>0</v>
      </c>
      <c r="T1485" s="180">
        <f>FME_Ranking1[[#This Row],[Critical Facilities Score (Normalized, Unweighted)]]*$R$3</f>
        <v>0</v>
      </c>
      <c r="U1485">
        <f>_xlfn.XLOOKUP(FME_Ranking1[[#This Row],[FME ID]],FME_Input[FME_ID],FME_Input[LWC])</f>
        <v>2</v>
      </c>
      <c r="V1485" s="178">
        <f>(FME_Ranking1[[#This Row],[LWC Raw]]/$U$2)*100</f>
        <v>0.11514104778353484</v>
      </c>
      <c r="W1485" s="178">
        <f>FME_Ranking1[[#This Row],[LWC Score (Normalized, Unweighted)]]*$U$3</f>
        <v>2.302820955670697E-2</v>
      </c>
      <c r="X1485" s="246">
        <f>_xlfn.XLOOKUP(FME_Ranking1[[#This Row],[FME ID]],FME_Input[FME_ID],FME_Input[ROADCLS])</f>
        <v>0</v>
      </c>
      <c r="Y1485" s="230">
        <f>(FME_Ranking1[[#This Row],[Closures Raw]]/$X$2)*100</f>
        <v>0</v>
      </c>
      <c r="Z1485" s="180">
        <f>FME_Ranking1[[#This Row],[Closures Score (Normalized, Unweighted)]]*$X$3</f>
        <v>0</v>
      </c>
      <c r="AA1485" s="253">
        <f>_xlfn.XLOOKUP(FME_Ranking1[[#This Row],[FME ID]],FME_Input[FME_ID],FME_Input[ROAD_MILES100])</f>
        <v>0.86780738830566406</v>
      </c>
      <c r="AB1485" s="178">
        <f>(FME_Ranking1[[#This Row],[Miles Raw]]/$AA$2)*100</f>
        <v>1.141011067059769E-2</v>
      </c>
      <c r="AC1485" s="178">
        <f>FME_Ranking1[[#This Row],[Miles Score (Normalized, Unweighted)]]*$AA$3</f>
        <v>1.1410110670597689E-3</v>
      </c>
      <c r="AD1485" s="255">
        <f>_xlfn.XLOOKUP(FME_Ranking1[[#This Row],[FME ID]],FME_Input[FME_ID],FME_Input[FARMACRE100])</f>
        <v>29.77371978759766</v>
      </c>
      <c r="AE1485" s="230">
        <f>(FME_Ranking1[[#This Row],[Ag Land Raw]]/$AD$2)*100</f>
        <v>1.2277349218740498E-3</v>
      </c>
      <c r="AF1485" s="231">
        <f>FME_Ranking1[[#This Row],[Ag Land Score (Normalized, Unweighted)]]*$AD$3</f>
        <v>6.1386746093702497E-5</v>
      </c>
      <c r="AG148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2.5447244268121925E-2</v>
      </c>
      <c r="AH1485" s="406">
        <f t="shared" si="23"/>
        <v>1516</v>
      </c>
      <c r="AI148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2.5447244268121925E-2</v>
      </c>
      <c r="AJ1485" s="257">
        <f>FME_Ranking1[[#This Row],[Addition check]]-FME_Ranking1[[#This Row],[Weighted Score Based on Normalized Reported Factors]]</f>
        <v>0</v>
      </c>
      <c r="AK1485" s="178">
        <f>_xlfn.RANK.EQ(AI1485,$AI$6:$AI$2341,0)+COUNTIF($AI$6:AI1485,AI1485)-1</f>
        <v>1517</v>
      </c>
    </row>
    <row r="1486" spans="1:37" x14ac:dyDescent="0.25">
      <c r="A1486" t="s">
        <v>5243</v>
      </c>
      <c r="B1486">
        <f>_xlfn.XLOOKUP(FME_Ranking1[[#This Row],[FME ID]],FME_Input[FME_ID],FME_Input[RFPG_NUM])</f>
        <v>3</v>
      </c>
      <c r="C1486" t="str">
        <f>_xlfn.XLOOKUP(FME_Ranking1[[#This Row],[FME ID]],FME_Input[FME_ID],FME_Input[FME_NAME])</f>
        <v>Hutchins Creek at Main Street</v>
      </c>
      <c r="D1486" t="str">
        <f>_xlfn.XLOOKUP(FME_Ranking1[[#This Row],[FME ID]],FME_Input[FME_ID],FME_Input[DESCR])</f>
        <v>Evaluate bridge improvements for Main Street over Hutchins Creek</v>
      </c>
      <c r="E1486" s="256">
        <f>_xlfn.XLOOKUP(FME_Ranking1[[#This Row],[FME ID]],FME_Input[FME_ID],FME_Input[FME_COST])</f>
        <v>250000</v>
      </c>
      <c r="F1486" t="str">
        <f>_xlfn.XLOOKUP(FME_Ranking1[[#This Row],[FME ID]],FME_Input[FME_ID],FME_Input[EMER_NEED])</f>
        <v>No</v>
      </c>
      <c r="G1486">
        <f>IF(FME_Ranking!F1486="Yes",100,0)</f>
        <v>0</v>
      </c>
      <c r="H1486">
        <f>FME_Ranking1[[#This Row],[Emergency Need Score (Normalized, Unweighted)]]*$F$3</f>
        <v>0</v>
      </c>
      <c r="I1486" s="246">
        <f>_xlfn.XLOOKUP(FME_Ranking1[[#This Row],[FME ID]],FME_Input[FME_ID],FME_Input[STRUCT_100])</f>
        <v>7</v>
      </c>
      <c r="J1486" s="178">
        <f>(FME_Ranking1[[#This Row],[Structures 100 Raw]]/I$2)*100</f>
        <v>3.7484470719273445E-3</v>
      </c>
      <c r="K1486" s="178">
        <f>FME_Ranking1[[#This Row],[Structures 100  Score (Normalized, Unweighted)]]*$I$3</f>
        <v>5.622670607891017E-4</v>
      </c>
      <c r="L1486" s="246">
        <f>_xlfn.XLOOKUP(FME_Ranking1[[#This Row],[FME ID]],FME_Input[FME_ID],FME_Input[RES_STRUCT100])</f>
        <v>1</v>
      </c>
      <c r="M1486" s="230">
        <f>(FME_Ranking1[[#This Row],[Res Structures Raw]]/L$2)*100</f>
        <v>7.0830559136433825E-4</v>
      </c>
      <c r="N1486" s="180">
        <f>FME_Ranking1[[#This Row],[Res Structures Score (Normalized, Unweighted)]]*$L$3</f>
        <v>7.0830559136433833E-5</v>
      </c>
      <c r="O1486" s="244">
        <f>_xlfn.XLOOKUP(FME_Ranking1[[#This Row],[FME ID]],FME_Input[FME_ID],FME_Input[POP100])</f>
        <v>38</v>
      </c>
      <c r="P1486" s="178">
        <f>(FME_Ranking1[[#This Row],[Pop Raw]]/$O$2)*100</f>
        <v>3.8902618555730047E-3</v>
      </c>
      <c r="Q1486" s="178">
        <f>FME_Ranking1[[#This Row],[Pop Score (Normalized, Unweighted)]]*$O$3</f>
        <v>5.8353927833595064E-4</v>
      </c>
      <c r="R1486" s="137">
        <f>_xlfn.XLOOKUP(FME_Ranking1[[#This Row],[FME ID]],FME_Input[FME_ID],FME_Input[CRITFAC100])</f>
        <v>0</v>
      </c>
      <c r="S1486" s="230">
        <f>(FME_Ranking1[[#This Row],[Critical Facilities Raw]]/$R$2)*100</f>
        <v>0</v>
      </c>
      <c r="T1486" s="180">
        <f>FME_Ranking1[[#This Row],[Critical Facilities Score (Normalized, Unweighted)]]*$R$3</f>
        <v>0</v>
      </c>
      <c r="U1486">
        <f>_xlfn.XLOOKUP(FME_Ranking1[[#This Row],[FME ID]],FME_Input[FME_ID],FME_Input[LWC])</f>
        <v>2</v>
      </c>
      <c r="V1486" s="178">
        <f>(FME_Ranking1[[#This Row],[LWC Raw]]/$U$2)*100</f>
        <v>0.11514104778353484</v>
      </c>
      <c r="W1486" s="178">
        <f>FME_Ranking1[[#This Row],[LWC Score (Normalized, Unweighted)]]*$U$3</f>
        <v>2.302820955670697E-2</v>
      </c>
      <c r="X1486" s="246">
        <f>_xlfn.XLOOKUP(FME_Ranking1[[#This Row],[FME ID]],FME_Input[FME_ID],FME_Input[ROADCLS])</f>
        <v>0</v>
      </c>
      <c r="Y1486" s="230">
        <f>(FME_Ranking1[[#This Row],[Closures Raw]]/$X$2)*100</f>
        <v>0</v>
      </c>
      <c r="Z1486" s="180">
        <f>FME_Ranking1[[#This Row],[Closures Score (Normalized, Unweighted)]]*$X$3</f>
        <v>0</v>
      </c>
      <c r="AA1486" s="253">
        <f>_xlfn.XLOOKUP(FME_Ranking1[[#This Row],[FME ID]],FME_Input[FME_ID],FME_Input[ROAD_MILES100])</f>
        <v>0.86780738830566406</v>
      </c>
      <c r="AB1486" s="178">
        <f>(FME_Ranking1[[#This Row],[Miles Raw]]/$AA$2)*100</f>
        <v>1.141011067059769E-2</v>
      </c>
      <c r="AC1486" s="178">
        <f>FME_Ranking1[[#This Row],[Miles Score (Normalized, Unweighted)]]*$AA$3</f>
        <v>1.1410110670597689E-3</v>
      </c>
      <c r="AD1486" s="255">
        <f>_xlfn.XLOOKUP(FME_Ranking1[[#This Row],[FME ID]],FME_Input[FME_ID],FME_Input[FARMACRE100])</f>
        <v>29.77371978759766</v>
      </c>
      <c r="AE1486" s="230">
        <f>(FME_Ranking1[[#This Row],[Ag Land Raw]]/$AD$2)*100</f>
        <v>1.2277349218740498E-3</v>
      </c>
      <c r="AF1486" s="231">
        <f>FME_Ranking1[[#This Row],[Ag Land Score (Normalized, Unweighted)]]*$AD$3</f>
        <v>6.1386746093702497E-5</v>
      </c>
      <c r="AG148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2.5447244268121925E-2</v>
      </c>
      <c r="AH1486" s="406">
        <f t="shared" si="23"/>
        <v>1516</v>
      </c>
      <c r="AI148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2.5447244268121925E-2</v>
      </c>
      <c r="AJ1486" s="257">
        <f>FME_Ranking1[[#This Row],[Addition check]]-FME_Ranking1[[#This Row],[Weighted Score Based on Normalized Reported Factors]]</f>
        <v>0</v>
      </c>
      <c r="AK1486" s="178">
        <f>_xlfn.RANK.EQ(AI1486,$AI$6:$AI$2341,0)+COUNTIF($AI$6:AI1486,AI1486)-1</f>
        <v>1518</v>
      </c>
    </row>
    <row r="1487" spans="1:37" x14ac:dyDescent="0.25">
      <c r="A1487" t="s">
        <v>3759</v>
      </c>
      <c r="B1487">
        <f>_xlfn.XLOOKUP(FME_Ranking1[[#This Row],[FME ID]],FME_Input[FME_ID],FME_Input[RFPG_NUM])</f>
        <v>2</v>
      </c>
      <c r="C1487" t="str">
        <f>_xlfn.XLOOKUP(FME_Ranking1[[#This Row],[FME ID]],FME_Input[FME_ID],FME_Input[FME_NAME])</f>
        <v>City of Nash Floodplain Study</v>
      </c>
      <c r="D1487" t="str">
        <f>_xlfn.XLOOKUP(FME_Ranking1[[#This Row],[FME ID]],FME_Input[FME_ID],FME_Input[DESCR])</f>
        <v>Drainage study to adopt floodplain.</v>
      </c>
      <c r="E1487" s="256">
        <f>_xlfn.XLOOKUP(FME_Ranking1[[#This Row],[FME ID]],FME_Input[FME_ID],FME_Input[FME_COST])</f>
        <v>250000</v>
      </c>
      <c r="F1487" t="str">
        <f>_xlfn.XLOOKUP(FME_Ranking1[[#This Row],[FME ID]],FME_Input[FME_ID],FME_Input[EMER_NEED])</f>
        <v>No</v>
      </c>
      <c r="G1487">
        <f>IF(FME_Ranking!F1487="Yes",100,0)</f>
        <v>0</v>
      </c>
      <c r="H1487">
        <f>FME_Ranking1[[#This Row],[Emergency Need Score (Normalized, Unweighted)]]*$F$3</f>
        <v>0</v>
      </c>
      <c r="I1487" s="246">
        <f>_xlfn.XLOOKUP(FME_Ranking1[[#This Row],[FME ID]],FME_Input[FME_ID],FME_Input[STRUCT_100])</f>
        <v>72</v>
      </c>
      <c r="J1487" s="178">
        <f>(FME_Ranking1[[#This Row],[Structures 100 Raw]]/I$2)*100</f>
        <v>3.8555455596966971E-2</v>
      </c>
      <c r="K1487" s="178">
        <f>FME_Ranking1[[#This Row],[Structures 100  Score (Normalized, Unweighted)]]*$I$3</f>
        <v>5.7833183395450457E-3</v>
      </c>
      <c r="L1487" s="246">
        <f>_xlfn.XLOOKUP(FME_Ranking1[[#This Row],[FME ID]],FME_Input[FME_ID],FME_Input[RES_STRUCT100])</f>
        <v>56</v>
      </c>
      <c r="M1487" s="230">
        <f>(FME_Ranking1[[#This Row],[Res Structures Raw]]/L$2)*100</f>
        <v>3.9665113116402945E-2</v>
      </c>
      <c r="N1487" s="180">
        <f>FME_Ranking1[[#This Row],[Res Structures Score (Normalized, Unweighted)]]*$L$3</f>
        <v>3.966511311640295E-3</v>
      </c>
      <c r="O1487" s="244">
        <f>_xlfn.XLOOKUP(FME_Ranking1[[#This Row],[FME ID]],FME_Input[FME_ID],FME_Input[POP100])</f>
        <v>387</v>
      </c>
      <c r="P1487" s="178">
        <f>(FME_Ranking1[[#This Row],[Pop Raw]]/$O$2)*100</f>
        <v>3.9619245739651393E-2</v>
      </c>
      <c r="Q1487" s="178">
        <f>FME_Ranking1[[#This Row],[Pop Score (Normalized, Unweighted)]]*$O$3</f>
        <v>5.9428868609477086E-3</v>
      </c>
      <c r="R1487" s="137">
        <f>_xlfn.XLOOKUP(FME_Ranking1[[#This Row],[FME ID]],FME_Input[FME_ID],FME_Input[CRITFAC100])</f>
        <v>1</v>
      </c>
      <c r="S1487" s="230">
        <f>(FME_Ranking1[[#This Row],[Critical Facilities Raw]]/$R$2)*100</f>
        <v>4.2881646655231559E-2</v>
      </c>
      <c r="T1487" s="180">
        <f>FME_Ranking1[[#This Row],[Critical Facilities Score (Normalized, Unweighted)]]*$R$3</f>
        <v>8.5763293310463125E-3</v>
      </c>
      <c r="U1487">
        <f>_xlfn.XLOOKUP(FME_Ranking1[[#This Row],[FME ID]],FME_Input[FME_ID],FME_Input[LWC])</f>
        <v>0</v>
      </c>
      <c r="V1487" s="178">
        <f>(FME_Ranking1[[#This Row],[LWC Raw]]/$U$2)*100</f>
        <v>0</v>
      </c>
      <c r="W1487" s="178">
        <f>FME_Ranking1[[#This Row],[LWC Score (Normalized, Unweighted)]]*$U$3</f>
        <v>0</v>
      </c>
      <c r="X1487" s="246">
        <f>_xlfn.XLOOKUP(FME_Ranking1[[#This Row],[FME ID]],FME_Input[FME_ID],FME_Input[ROADCLS])</f>
        <v>0</v>
      </c>
      <c r="Y1487" s="230">
        <f>(FME_Ranking1[[#This Row],[Closures Raw]]/$X$2)*100</f>
        <v>0</v>
      </c>
      <c r="Z1487" s="180">
        <f>FME_Ranking1[[#This Row],[Closures Score (Normalized, Unweighted)]]*$X$3</f>
        <v>0</v>
      </c>
      <c r="AA1487" s="253">
        <f>_xlfn.XLOOKUP(FME_Ranking1[[#This Row],[FME ID]],FME_Input[FME_ID],FME_Input[ROAD_MILES100])</f>
        <v>0.91929030418395996</v>
      </c>
      <c r="AB1487" s="178">
        <f>(FME_Ranking1[[#This Row],[Miles Raw]]/$AA$2)*100</f>
        <v>1.2087018675452704E-2</v>
      </c>
      <c r="AC1487" s="178">
        <f>FME_Ranking1[[#This Row],[Miles Score (Normalized, Unweighted)]]*$AA$3</f>
        <v>1.2087018675452704E-3</v>
      </c>
      <c r="AD1487" s="255">
        <f>_xlfn.XLOOKUP(FME_Ranking1[[#This Row],[FME ID]],FME_Input[FME_ID],FME_Input[FARMACRE100])</f>
        <v>5.1842079162597656</v>
      </c>
      <c r="AE1487" s="230">
        <f>(FME_Ranking1[[#This Row],[Ag Land Raw]]/$AD$2)*100</f>
        <v>2.1377352734068872E-4</v>
      </c>
      <c r="AF1487" s="231">
        <f>FME_Ranking1[[#This Row],[Ag Land Score (Normalized, Unweighted)]]*$AD$3</f>
        <v>1.0688676367034437E-5</v>
      </c>
      <c r="AG148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2.5488436387091664E-2</v>
      </c>
      <c r="AH1487" s="406">
        <f t="shared" si="23"/>
        <v>1515</v>
      </c>
      <c r="AI148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2.5488436387091664E-2</v>
      </c>
      <c r="AJ1487" s="257">
        <f>FME_Ranking1[[#This Row],[Addition check]]-FME_Ranking1[[#This Row],[Weighted Score Based on Normalized Reported Factors]]</f>
        <v>0</v>
      </c>
      <c r="AK1487" s="178">
        <f>_xlfn.RANK.EQ(AI1487,$AI$6:$AI$2341,0)+COUNTIF($AI$6:AI1487,AI1487)-1</f>
        <v>1515</v>
      </c>
    </row>
    <row r="1488" spans="1:37" x14ac:dyDescent="0.25">
      <c r="A1488" t="s">
        <v>11413</v>
      </c>
      <c r="B1488">
        <f>_xlfn.XLOOKUP(FME_Ranking1[[#This Row],[FME ID]],FME_Input[FME_ID],FME_Input[RFPG_NUM])</f>
        <v>15</v>
      </c>
      <c r="C1488" t="str">
        <f>_xlfn.XLOOKUP(FME_Ranking1[[#This Row],[FME ID]],FME_Input[FME_ID],FME_Input[FME_NAME])</f>
        <v>San Ygnacio MUD</v>
      </c>
      <c r="D1488" t="str">
        <f>_xlfn.XLOOKUP(FME_Ranking1[[#This Row],[FME ID]],FME_Input[FME_ID],FME_Input[DESCR])</f>
        <v>Develop Flood risk maps for San Ygnacio MUD and develop CIP</v>
      </c>
      <c r="E1488" s="256">
        <f>_xlfn.XLOOKUP(FME_Ranking1[[#This Row],[FME ID]],FME_Input[FME_ID],FME_Input[FME_COST])</f>
        <v>250000</v>
      </c>
      <c r="F1488" t="str">
        <f>_xlfn.XLOOKUP(FME_Ranking1[[#This Row],[FME ID]],FME_Input[FME_ID],FME_Input[EMER_NEED])</f>
        <v>Yes</v>
      </c>
      <c r="G1488">
        <f>IF(FME_Ranking!F1488="Yes",100,0)</f>
        <v>100</v>
      </c>
      <c r="H1488">
        <f>FME_Ranking1[[#This Row],[Emergency Need Score (Normalized, Unweighted)]]*$F$3</f>
        <v>0</v>
      </c>
      <c r="I1488" s="246">
        <f>_xlfn.XLOOKUP(FME_Ranking1[[#This Row],[FME ID]],FME_Input[FME_ID],FME_Input[STRUCT_100])</f>
        <v>0</v>
      </c>
      <c r="J1488" s="178">
        <f>(FME_Ranking1[[#This Row],[Structures 100 Raw]]/I$2)*100</f>
        <v>0</v>
      </c>
      <c r="K1488" s="178">
        <f>FME_Ranking1[[#This Row],[Structures 100  Score (Normalized, Unweighted)]]*$I$3</f>
        <v>0</v>
      </c>
      <c r="L1488" s="246">
        <f>_xlfn.XLOOKUP(FME_Ranking1[[#This Row],[FME ID]],FME_Input[FME_ID],FME_Input[RES_STRUCT100])</f>
        <v>118</v>
      </c>
      <c r="M1488" s="230">
        <f>(FME_Ranking1[[#This Row],[Res Structures Raw]]/L$2)*100</f>
        <v>8.3580059780991908E-2</v>
      </c>
      <c r="N1488" s="180">
        <f>FME_Ranking1[[#This Row],[Res Structures Score (Normalized, Unweighted)]]*$L$3</f>
        <v>8.3580059780991919E-3</v>
      </c>
      <c r="O1488" s="244">
        <f>_xlfn.XLOOKUP(FME_Ranking1[[#This Row],[FME ID]],FME_Input[FME_ID],FME_Input[POP100])</f>
        <v>472</v>
      </c>
      <c r="P1488" s="178">
        <f>(FME_Ranking1[[#This Row],[Pop Raw]]/$O$2)*100</f>
        <v>4.8321147258696275E-2</v>
      </c>
      <c r="Q1488" s="178">
        <f>FME_Ranking1[[#This Row],[Pop Score (Normalized, Unweighted)]]*$O$3</f>
        <v>7.248172088804441E-3</v>
      </c>
      <c r="R1488" s="137">
        <f>_xlfn.XLOOKUP(FME_Ranking1[[#This Row],[FME ID]],FME_Input[FME_ID],FME_Input[CRITFAC100])</f>
        <v>1</v>
      </c>
      <c r="S1488" s="230">
        <f>(FME_Ranking1[[#This Row],[Critical Facilities Raw]]/$R$2)*100</f>
        <v>4.2881646655231559E-2</v>
      </c>
      <c r="T1488" s="180">
        <f>FME_Ranking1[[#This Row],[Critical Facilities Score (Normalized, Unweighted)]]*$R$3</f>
        <v>8.5763293310463125E-3</v>
      </c>
      <c r="U1488">
        <f>_xlfn.XLOOKUP(FME_Ranking1[[#This Row],[FME ID]],FME_Input[FME_ID],FME_Input[LWC])</f>
        <v>0</v>
      </c>
      <c r="V1488" s="178">
        <f>(FME_Ranking1[[#This Row],[LWC Raw]]/$U$2)*100</f>
        <v>0</v>
      </c>
      <c r="W1488" s="178">
        <f>FME_Ranking1[[#This Row],[LWC Score (Normalized, Unweighted)]]*$U$3</f>
        <v>0</v>
      </c>
      <c r="X1488" s="246">
        <f>_xlfn.XLOOKUP(FME_Ranking1[[#This Row],[FME ID]],FME_Input[FME_ID],FME_Input[ROADCLS])</f>
        <v>0</v>
      </c>
      <c r="Y1488" s="230">
        <f>(FME_Ranking1[[#This Row],[Closures Raw]]/$X$2)*100</f>
        <v>0</v>
      </c>
      <c r="Z1488" s="180">
        <f>FME_Ranking1[[#This Row],[Closures Score (Normalized, Unweighted)]]*$X$3</f>
        <v>0</v>
      </c>
      <c r="AA1488" s="253">
        <f>_xlfn.XLOOKUP(FME_Ranking1[[#This Row],[FME ID]],FME_Input[FME_ID],FME_Input[ROAD_MILES100])</f>
        <v>5.2522802352905273</v>
      </c>
      <c r="AB1488" s="178">
        <f>(FME_Ranking1[[#This Row],[Miles Raw]]/$AA$2)*100</f>
        <v>6.9058064687217466E-2</v>
      </c>
      <c r="AC1488" s="178">
        <f>FME_Ranking1[[#This Row],[Miles Score (Normalized, Unweighted)]]*$AA$3</f>
        <v>6.9058064687217468E-3</v>
      </c>
      <c r="AD1488" s="255">
        <f>_xlfn.XLOOKUP(FME_Ranking1[[#This Row],[FME ID]],FME_Input[FME_ID],FME_Input[FARMACRE100])</f>
        <v>0</v>
      </c>
      <c r="AE1488" s="230">
        <f>(FME_Ranking1[[#This Row],[Ag Land Raw]]/$AD$2)*100</f>
        <v>0</v>
      </c>
      <c r="AF1488" s="231">
        <f>FME_Ranking1[[#This Row],[Ag Land Score (Normalized, Unweighted)]]*$AD$3</f>
        <v>0</v>
      </c>
      <c r="AG148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3.1088313866671692E-2</v>
      </c>
      <c r="AH1488" s="406">
        <f t="shared" si="23"/>
        <v>1461</v>
      </c>
      <c r="AI148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3.1088313866671692E-2</v>
      </c>
      <c r="AJ1488" s="257">
        <f>FME_Ranking1[[#This Row],[Addition check]]-FME_Ranking1[[#This Row],[Weighted Score Based on Normalized Reported Factors]]</f>
        <v>0</v>
      </c>
      <c r="AK1488" s="178">
        <f>_xlfn.RANK.EQ(AI1488,$AI$6:$AI$2341,0)+COUNTIF($AI$6:AI1488,AI1488)-1</f>
        <v>1461</v>
      </c>
    </row>
    <row r="1489" spans="1:37" x14ac:dyDescent="0.25">
      <c r="A1489" t="s">
        <v>10777</v>
      </c>
      <c r="B1489">
        <f>_xlfn.XLOOKUP(FME_Ranking1[[#This Row],[FME ID]],FME_Input[FME_ID],FME_Input[RFPG_NUM])</f>
        <v>13</v>
      </c>
      <c r="C1489" t="str">
        <f>_xlfn.XLOOKUP(FME_Ranking1[[#This Row],[FME ID]],FME_Input[FME_ID],FME_Input[FME_NAME])</f>
        <v>Aransas County Drainage Improvements - Southeast 35 - Project 1</v>
      </c>
      <c r="D1489" t="str">
        <f>_xlfn.XLOOKUP(FME_Ranking1[[#This Row],[FME ID]],FME_Input[FME_ID],FME_Input[DESCR])</f>
        <v>Aransas County Texas Multi-Jurisdictional Hazard Mitigation Action Plan - Action #26: Precinct 1/1A - Southeast 35 - Project 1. Reduce flood risk to buildings and infrastructure by making improvements to the County drainage system</v>
      </c>
      <c r="E1489" s="256">
        <f>_xlfn.XLOOKUP(FME_Ranking1[[#This Row],[FME ID]],FME_Input[FME_ID],FME_Input[FME_COST])</f>
        <v>40000</v>
      </c>
      <c r="F1489" t="str">
        <f>_xlfn.XLOOKUP(FME_Ranking1[[#This Row],[FME ID]],FME_Input[FME_ID],FME_Input[EMER_NEED])</f>
        <v>Yes</v>
      </c>
      <c r="G1489">
        <f>IF(FME_Ranking!F1489="Yes",100,0)</f>
        <v>100</v>
      </c>
      <c r="H1489">
        <f>FME_Ranking1[[#This Row],[Emergency Need Score (Normalized, Unweighted)]]*$F$3</f>
        <v>0</v>
      </c>
      <c r="I1489" s="246">
        <f>_xlfn.XLOOKUP(FME_Ranking1[[#This Row],[FME ID]],FME_Input[FME_ID],FME_Input[STRUCT_100])</f>
        <v>68</v>
      </c>
      <c r="J1489" s="178">
        <f>(FME_Ranking1[[#This Row],[Structures 100 Raw]]/I$2)*100</f>
        <v>3.6413485841579919E-2</v>
      </c>
      <c r="K1489" s="178">
        <f>FME_Ranking1[[#This Row],[Structures 100  Score (Normalized, Unweighted)]]*$I$3</f>
        <v>5.4620228762369879E-3</v>
      </c>
      <c r="L1489" s="246">
        <f>_xlfn.XLOOKUP(FME_Ranking1[[#This Row],[FME ID]],FME_Input[FME_ID],FME_Input[RES_STRUCT100])</f>
        <v>57</v>
      </c>
      <c r="M1489" s="230">
        <f>(FME_Ranking1[[#This Row],[Res Structures Raw]]/L$2)*100</f>
        <v>4.0373418707767277E-2</v>
      </c>
      <c r="N1489" s="180">
        <f>FME_Ranking1[[#This Row],[Res Structures Score (Normalized, Unweighted)]]*$L$3</f>
        <v>4.0373418707767275E-3</v>
      </c>
      <c r="O1489" s="244">
        <f>_xlfn.XLOOKUP(FME_Ranking1[[#This Row],[FME ID]],FME_Input[FME_ID],FME_Input[POP100])</f>
        <v>54</v>
      </c>
      <c r="P1489" s="178">
        <f>(FME_Ranking1[[#This Row],[Pop Raw]]/$O$2)*100</f>
        <v>5.5282668473932177E-3</v>
      </c>
      <c r="Q1489" s="178">
        <f>FME_Ranking1[[#This Row],[Pop Score (Normalized, Unweighted)]]*$O$3</f>
        <v>8.2924002710898267E-4</v>
      </c>
      <c r="R1489" s="137">
        <f>_xlfn.XLOOKUP(FME_Ranking1[[#This Row],[FME ID]],FME_Input[FME_ID],FME_Input[CRITFAC100])</f>
        <v>0</v>
      </c>
      <c r="S1489" s="230">
        <f>(FME_Ranking1[[#This Row],[Critical Facilities Raw]]/$R$2)*100</f>
        <v>0</v>
      </c>
      <c r="T1489" s="180">
        <f>FME_Ranking1[[#This Row],[Critical Facilities Score (Normalized, Unweighted)]]*$R$3</f>
        <v>0</v>
      </c>
      <c r="U1489">
        <f>_xlfn.XLOOKUP(FME_Ranking1[[#This Row],[FME ID]],FME_Input[FME_ID],FME_Input[LWC])</f>
        <v>0</v>
      </c>
      <c r="V1489" s="178">
        <f>(FME_Ranking1[[#This Row],[LWC Raw]]/$U$2)*100</f>
        <v>0</v>
      </c>
      <c r="W1489" s="178">
        <f>FME_Ranking1[[#This Row],[LWC Score (Normalized, Unweighted)]]*$U$3</f>
        <v>0</v>
      </c>
      <c r="X1489" s="246">
        <f>_xlfn.XLOOKUP(FME_Ranking1[[#This Row],[FME ID]],FME_Input[FME_ID],FME_Input[ROADCLS])</f>
        <v>26</v>
      </c>
      <c r="Y1489" s="230">
        <f>(FME_Ranking1[[#This Row],[Closures Raw]]/$X$2)*100</f>
        <v>0.27336767952896646</v>
      </c>
      <c r="Z1489" s="180">
        <f>FME_Ranking1[[#This Row],[Closures Score (Normalized, Unweighted)]]*$X$3</f>
        <v>1.3668383976448324E-2</v>
      </c>
      <c r="AA1489" s="253">
        <f>_xlfn.XLOOKUP(FME_Ranking1[[#This Row],[FME ID]],FME_Input[FME_ID],FME_Input[ROAD_MILES100])</f>
        <v>2.779873132705688</v>
      </c>
      <c r="AB1489" s="178">
        <f>(FME_Ranking1[[#This Row],[Miles Raw]]/$AA$2)*100</f>
        <v>3.6550345758546217E-2</v>
      </c>
      <c r="AC1489" s="178">
        <f>FME_Ranking1[[#This Row],[Miles Score (Normalized, Unweighted)]]*$AA$3</f>
        <v>3.6550345758546219E-3</v>
      </c>
      <c r="AD1489" s="255">
        <f>_xlfn.XLOOKUP(FME_Ranking1[[#This Row],[FME ID]],FME_Input[FME_ID],FME_Input[FARMACRE100])</f>
        <v>1.800757050514221</v>
      </c>
      <c r="AE1489" s="230">
        <f>(FME_Ranking1[[#This Row],[Ag Land Raw]]/$AD$2)*100</f>
        <v>7.4255159667626044E-5</v>
      </c>
      <c r="AF1489" s="231">
        <f>FME_Ranking1[[#This Row],[Ag Land Score (Normalized, Unweighted)]]*$AD$3</f>
        <v>3.7127579833813025E-6</v>
      </c>
      <c r="AG148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2.7655736084409022E-2</v>
      </c>
      <c r="AH1489" s="406">
        <f t="shared" si="23"/>
        <v>1490</v>
      </c>
      <c r="AI148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2.7655736084409022E-2</v>
      </c>
      <c r="AJ1489" s="257">
        <f>FME_Ranking1[[#This Row],[Addition check]]-FME_Ranking1[[#This Row],[Weighted Score Based on Normalized Reported Factors]]</f>
        <v>0</v>
      </c>
      <c r="AK1489" s="178">
        <f>_xlfn.RANK.EQ(AI1489,$AI$6:$AI$2341,0)+COUNTIF($AI$6:AI1489,AI1489)-1</f>
        <v>1490</v>
      </c>
    </row>
    <row r="1490" spans="1:37" x14ac:dyDescent="0.25">
      <c r="A1490" t="s">
        <v>11310</v>
      </c>
      <c r="B1490">
        <f>_xlfn.XLOOKUP(FME_Ranking1[[#This Row],[FME ID]],FME_Input[FME_ID],FME_Input[RFPG_NUM])</f>
        <v>15</v>
      </c>
      <c r="C1490" t="str">
        <f>_xlfn.XLOOKUP(FME_Ranking1[[#This Row],[FME ID]],FME_Input[FME_ID],FME_Input[FME_NAME])</f>
        <v>City of Sullivan</v>
      </c>
      <c r="D1490" t="str">
        <f>_xlfn.XLOOKUP(FME_Ranking1[[#This Row],[FME ID]],FME_Input[FME_ID],FME_Input[DESCR])</f>
        <v>Develop Flood risk maps for the city of Sullivan City and develop CIP</v>
      </c>
      <c r="E1490" s="256">
        <f>_xlfn.XLOOKUP(FME_Ranking1[[#This Row],[FME ID]],FME_Input[FME_ID],FME_Input[FME_COST])</f>
        <v>250000</v>
      </c>
      <c r="F1490" t="str">
        <f>_xlfn.XLOOKUP(FME_Ranking1[[#This Row],[FME ID]],FME_Input[FME_ID],FME_Input[EMER_NEED])</f>
        <v>Yes</v>
      </c>
      <c r="G1490">
        <f>IF(FME_Ranking!F1490="Yes",100,0)</f>
        <v>100</v>
      </c>
      <c r="H1490">
        <f>FME_Ranking1[[#This Row],[Emergency Need Score (Normalized, Unweighted)]]*$F$3</f>
        <v>0</v>
      </c>
      <c r="I1490" s="246">
        <f>_xlfn.XLOOKUP(FME_Ranking1[[#This Row],[FME ID]],FME_Input[FME_ID],FME_Input[STRUCT_100])</f>
        <v>0</v>
      </c>
      <c r="J1490" s="178">
        <f>(FME_Ranking1[[#This Row],[Structures 100 Raw]]/I$2)*100</f>
        <v>0</v>
      </c>
      <c r="K1490" s="178">
        <f>FME_Ranking1[[#This Row],[Structures 100  Score (Normalized, Unweighted)]]*$I$3</f>
        <v>0</v>
      </c>
      <c r="L1490" s="246">
        <f>_xlfn.XLOOKUP(FME_Ranking1[[#This Row],[FME ID]],FME_Input[FME_ID],FME_Input[RES_STRUCT100])</f>
        <v>153</v>
      </c>
      <c r="M1490" s="230">
        <f>(FME_Ranking1[[#This Row],[Res Structures Raw]]/L$2)*100</f>
        <v>0.10837075547874375</v>
      </c>
      <c r="N1490" s="180">
        <f>FME_Ranking1[[#This Row],[Res Structures Score (Normalized, Unweighted)]]*$L$3</f>
        <v>1.0837075547874376E-2</v>
      </c>
      <c r="O1490" s="244">
        <f>_xlfn.XLOOKUP(FME_Ranking1[[#This Row],[FME ID]],FME_Input[FME_ID],FME_Input[POP100])</f>
        <v>854</v>
      </c>
      <c r="P1490" s="178">
        <f>(FME_Ranking1[[#This Row],[Pop Raw]]/$O$2)*100</f>
        <v>8.7428516438403839E-2</v>
      </c>
      <c r="Q1490" s="178">
        <f>FME_Ranking1[[#This Row],[Pop Score (Normalized, Unweighted)]]*$O$3</f>
        <v>1.3114277465760575E-2</v>
      </c>
      <c r="R1490" s="137">
        <f>_xlfn.XLOOKUP(FME_Ranking1[[#This Row],[FME ID]],FME_Input[FME_ID],FME_Input[CRITFAC100])</f>
        <v>0</v>
      </c>
      <c r="S1490" s="230">
        <f>(FME_Ranking1[[#This Row],[Critical Facilities Raw]]/$R$2)*100</f>
        <v>0</v>
      </c>
      <c r="T1490" s="180">
        <f>FME_Ranking1[[#This Row],[Critical Facilities Score (Normalized, Unweighted)]]*$R$3</f>
        <v>0</v>
      </c>
      <c r="U1490">
        <f>_xlfn.XLOOKUP(FME_Ranking1[[#This Row],[FME ID]],FME_Input[FME_ID],FME_Input[LWC])</f>
        <v>0</v>
      </c>
      <c r="V1490" s="178">
        <f>(FME_Ranking1[[#This Row],[LWC Raw]]/$U$2)*100</f>
        <v>0</v>
      </c>
      <c r="W1490" s="178">
        <f>FME_Ranking1[[#This Row],[LWC Score (Normalized, Unweighted)]]*$U$3</f>
        <v>0</v>
      </c>
      <c r="X1490" s="246">
        <f>_xlfn.XLOOKUP(FME_Ranking1[[#This Row],[FME ID]],FME_Input[FME_ID],FME_Input[ROADCLS])</f>
        <v>0</v>
      </c>
      <c r="Y1490" s="230">
        <f>(FME_Ranking1[[#This Row],[Closures Raw]]/$X$2)*100</f>
        <v>0</v>
      </c>
      <c r="Z1490" s="180">
        <f>FME_Ranking1[[#This Row],[Closures Score (Normalized, Unweighted)]]*$X$3</f>
        <v>0</v>
      </c>
      <c r="AA1490" s="253">
        <f>_xlfn.XLOOKUP(FME_Ranking1[[#This Row],[FME ID]],FME_Input[FME_ID],FME_Input[ROAD_MILES100])</f>
        <v>9.6143598556518555</v>
      </c>
      <c r="AB1490" s="178">
        <f>(FME_Ranking1[[#This Row],[Miles Raw]]/$AA$2)*100</f>
        <v>0.12641158793787524</v>
      </c>
      <c r="AC1490" s="178">
        <f>FME_Ranking1[[#This Row],[Miles Score (Normalized, Unweighted)]]*$AA$3</f>
        <v>1.2641158793787525E-2</v>
      </c>
      <c r="AD1490" s="255">
        <f>_xlfn.XLOOKUP(FME_Ranking1[[#This Row],[FME ID]],FME_Input[FME_ID],FME_Input[FARMACRE100])</f>
        <v>0</v>
      </c>
      <c r="AE1490" s="230">
        <f>(FME_Ranking1[[#This Row],[Ag Land Raw]]/$AD$2)*100</f>
        <v>0</v>
      </c>
      <c r="AF1490" s="231">
        <f>FME_Ranking1[[#This Row],[Ag Land Score (Normalized, Unweighted)]]*$AD$3</f>
        <v>0</v>
      </c>
      <c r="AG149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3.659251180742247E-2</v>
      </c>
      <c r="AH1490" s="406">
        <f t="shared" si="23"/>
        <v>1414</v>
      </c>
      <c r="AI149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3.659251180742247E-2</v>
      </c>
      <c r="AJ1490" s="257">
        <f>FME_Ranking1[[#This Row],[Addition check]]-FME_Ranking1[[#This Row],[Weighted Score Based on Normalized Reported Factors]]</f>
        <v>0</v>
      </c>
      <c r="AK1490" s="178">
        <f>_xlfn.RANK.EQ(AI1490,$AI$6:$AI$2341,0)+COUNTIF($AI$6:AI1490,AI1490)-1</f>
        <v>1414</v>
      </c>
    </row>
    <row r="1491" spans="1:37" x14ac:dyDescent="0.25">
      <c r="A1491" t="s">
        <v>2245</v>
      </c>
      <c r="B1491">
        <f>_xlfn.XLOOKUP(FME_Ranking1[[#This Row],[FME ID]],FME_Input[FME_ID],FME_Input[RFPG_NUM])</f>
        <v>6</v>
      </c>
      <c r="C1491" t="str">
        <f>_xlfn.XLOOKUP(FME_Ranking1[[#This Row],[FME ID]],FME_Input[FME_ID],FME_Input[FME_NAME])</f>
        <v xml:space="preserve">Halls Bayou - Right-Of-Way, Design, and Construction of Channel Conveyance Improvements on P118-08-00 </v>
      </c>
      <c r="D1491" t="str">
        <f>_xlfn.XLOOKUP(FME_Ranking1[[#This Row],[FME ID]],FME_Input[FME_ID],FME_Input[DESCR])</f>
        <v>Develop BCA to become a FMP. This project could reduce the risk of flooding for over 210 structures and could reduce the 1% rainfall event for over 170 acres as part of the Halls Ahead Bond Implementation Program.</v>
      </c>
      <c r="E1491" s="256">
        <f>_xlfn.XLOOKUP(FME_Ranking1[[#This Row],[FME ID]],FME_Input[FME_ID],FME_Input[FME_COST])</f>
        <v>30000</v>
      </c>
      <c r="F1491" t="str">
        <f>_xlfn.XLOOKUP(FME_Ranking1[[#This Row],[FME ID]],FME_Input[FME_ID],FME_Input[EMER_NEED])</f>
        <v>No</v>
      </c>
      <c r="G1491">
        <f>IF(FME_Ranking!F1491="Yes",100,0)</f>
        <v>0</v>
      </c>
      <c r="H1491">
        <f>FME_Ranking1[[#This Row],[Emergency Need Score (Normalized, Unweighted)]]*$F$3</f>
        <v>0</v>
      </c>
      <c r="I1491" s="246">
        <f>_xlfn.XLOOKUP(FME_Ranking1[[#This Row],[FME ID]],FME_Input[FME_ID],FME_Input[STRUCT_100])</f>
        <v>39</v>
      </c>
      <c r="J1491" s="178">
        <f>(FME_Ranking1[[#This Row],[Structures 100 Raw]]/I$2)*100</f>
        <v>2.0884205115023775E-2</v>
      </c>
      <c r="K1491" s="178">
        <f>FME_Ranking1[[#This Row],[Structures 100  Score (Normalized, Unweighted)]]*$I$3</f>
        <v>3.1326307672535662E-3</v>
      </c>
      <c r="L1491" s="246">
        <f>_xlfn.XLOOKUP(FME_Ranking1[[#This Row],[FME ID]],FME_Input[FME_ID],FME_Input[RES_STRUCT100])</f>
        <v>36</v>
      </c>
      <c r="M1491" s="230">
        <f>(FME_Ranking1[[#This Row],[Res Structures Raw]]/L$2)*100</f>
        <v>2.5499001289116176E-2</v>
      </c>
      <c r="N1491" s="180">
        <f>FME_Ranking1[[#This Row],[Res Structures Score (Normalized, Unweighted)]]*$L$3</f>
        <v>2.5499001289116178E-3</v>
      </c>
      <c r="O1491" s="244">
        <f>_xlfn.XLOOKUP(FME_Ranking1[[#This Row],[FME ID]],FME_Input[FME_ID],FME_Input[POP100])</f>
        <v>64</v>
      </c>
      <c r="P1491" s="178">
        <f>(FME_Ranking1[[#This Row],[Pop Raw]]/$O$2)*100</f>
        <v>6.5520199672808501E-3</v>
      </c>
      <c r="Q1491" s="178">
        <f>FME_Ranking1[[#This Row],[Pop Score (Normalized, Unweighted)]]*$O$3</f>
        <v>9.8280299509212747E-4</v>
      </c>
      <c r="R1491" s="137">
        <f>_xlfn.XLOOKUP(FME_Ranking1[[#This Row],[FME ID]],FME_Input[FME_ID],FME_Input[CRITFAC100])</f>
        <v>2</v>
      </c>
      <c r="S1491" s="230">
        <f>(FME_Ranking1[[#This Row],[Critical Facilities Raw]]/$R$2)*100</f>
        <v>8.5763293310463118E-2</v>
      </c>
      <c r="T1491" s="180">
        <f>FME_Ranking1[[#This Row],[Critical Facilities Score (Normalized, Unweighted)]]*$R$3</f>
        <v>1.7152658662092625E-2</v>
      </c>
      <c r="U1491">
        <f>_xlfn.XLOOKUP(FME_Ranking1[[#This Row],[FME ID]],FME_Input[FME_ID],FME_Input[LWC])</f>
        <v>0</v>
      </c>
      <c r="V1491" s="178">
        <f>(FME_Ranking1[[#This Row],[LWC Raw]]/$U$2)*100</f>
        <v>0</v>
      </c>
      <c r="W1491" s="178">
        <f>FME_Ranking1[[#This Row],[LWC Score (Normalized, Unweighted)]]*$U$3</f>
        <v>0</v>
      </c>
      <c r="X1491" s="246">
        <f>_xlfn.XLOOKUP(FME_Ranking1[[#This Row],[FME ID]],FME_Input[FME_ID],FME_Input[ROADCLS])</f>
        <v>0</v>
      </c>
      <c r="Y1491" s="230">
        <f>(FME_Ranking1[[#This Row],[Closures Raw]]/$X$2)*100</f>
        <v>0</v>
      </c>
      <c r="Z1491" s="180">
        <f>FME_Ranking1[[#This Row],[Closures Score (Normalized, Unweighted)]]*$X$3</f>
        <v>0</v>
      </c>
      <c r="AA1491" s="253">
        <f>_xlfn.XLOOKUP(FME_Ranking1[[#This Row],[FME ID]],FME_Input[FME_ID],FME_Input[ROAD_MILES100])</f>
        <v>0.67308187484741211</v>
      </c>
      <c r="AB1491" s="178">
        <f>(FME_Ranking1[[#This Row],[Miles Raw]]/$AA$2)*100</f>
        <v>8.8498194252262848E-3</v>
      </c>
      <c r="AC1491" s="178">
        <f>FME_Ranking1[[#This Row],[Miles Score (Normalized, Unweighted)]]*$AA$3</f>
        <v>8.8498194252262848E-4</v>
      </c>
      <c r="AD1491" s="255">
        <f>_xlfn.XLOOKUP(FME_Ranking1[[#This Row],[FME ID]],FME_Input[FME_ID],FME_Input[FARMACRE100])</f>
        <v>4.5807771384716027E-2</v>
      </c>
      <c r="AE1491" s="230">
        <f>(FME_Ranking1[[#This Row],[Ag Land Raw]]/$AD$2)*100</f>
        <v>1.8889074332480799E-6</v>
      </c>
      <c r="AF1491" s="231">
        <f>FME_Ranking1[[#This Row],[Ag Land Score (Normalized, Unweighted)]]*$AD$3</f>
        <v>9.4445371662404003E-8</v>
      </c>
      <c r="AG149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2.4703068941244227E-2</v>
      </c>
      <c r="AH1491" s="406">
        <f t="shared" si="23"/>
        <v>1525</v>
      </c>
      <c r="AI149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2.4703068941244227E-2</v>
      </c>
      <c r="AJ1491" s="257">
        <f>FME_Ranking1[[#This Row],[Addition check]]-FME_Ranking1[[#This Row],[Weighted Score Based on Normalized Reported Factors]]</f>
        <v>0</v>
      </c>
      <c r="AK1491" s="178">
        <f>_xlfn.RANK.EQ(AI1491,$AI$6:$AI$2341,0)+COUNTIF($AI$6:AI1491,AI1491)-1</f>
        <v>1525</v>
      </c>
    </row>
    <row r="1492" spans="1:37" x14ac:dyDescent="0.25">
      <c r="A1492" t="s">
        <v>9563</v>
      </c>
      <c r="B1492">
        <f>_xlfn.XLOOKUP(FME_Ranking1[[#This Row],[FME ID]],FME_Input[FME_ID],FME_Input[RFPG_NUM])</f>
        <v>12</v>
      </c>
      <c r="C1492" t="str">
        <f>_xlfn.XLOOKUP(FME_Ranking1[[#This Row],[FME ID]],FME_Input[FME_ID],FME_Input[FME_NAME])</f>
        <v>FM 1863 at Cibolo Creek LWC</v>
      </c>
      <c r="D1492" t="str">
        <f>_xlfn.XLOOKUP(FME_Ranking1[[#This Row],[FME ID]],FME_Input[FME_ID],FME_Input[DESCR])</f>
        <v>Replace low water crossings at two locations(US &amp;DS) where FM1863 crossing Cibolo Creek with bridges.</v>
      </c>
      <c r="E1492" s="256">
        <f>_xlfn.XLOOKUP(FME_Ranking1[[#This Row],[FME ID]],FME_Input[FME_ID],FME_Input[FME_COST])</f>
        <v>5177276</v>
      </c>
      <c r="F1492" t="str">
        <f>_xlfn.XLOOKUP(FME_Ranking1[[#This Row],[FME ID]],FME_Input[FME_ID],FME_Input[EMER_NEED])</f>
        <v>Yes</v>
      </c>
      <c r="G1492">
        <f>IF(FME_Ranking!F1492="Yes",100,0)</f>
        <v>100</v>
      </c>
      <c r="H1492">
        <f>FME_Ranking1[[#This Row],[Emergency Need Score (Normalized, Unweighted)]]*$F$3</f>
        <v>0</v>
      </c>
      <c r="I1492" s="246">
        <f>_xlfn.XLOOKUP(FME_Ranking1[[#This Row],[FME ID]],FME_Input[FME_ID],FME_Input[STRUCT_100])</f>
        <v>0</v>
      </c>
      <c r="J1492" s="178">
        <f>(FME_Ranking1[[#This Row],[Structures 100 Raw]]/I$2)*100</f>
        <v>0</v>
      </c>
      <c r="K1492" s="178">
        <f>FME_Ranking1[[#This Row],[Structures 100  Score (Normalized, Unweighted)]]*$I$3</f>
        <v>0</v>
      </c>
      <c r="L1492" s="246">
        <f>_xlfn.XLOOKUP(FME_Ranking1[[#This Row],[FME ID]],FME_Input[FME_ID],FME_Input[RES_STRUCT100])</f>
        <v>0</v>
      </c>
      <c r="M1492" s="230">
        <f>(FME_Ranking1[[#This Row],[Res Structures Raw]]/L$2)*100</f>
        <v>0</v>
      </c>
      <c r="N1492" s="180">
        <f>FME_Ranking1[[#This Row],[Res Structures Score (Normalized, Unweighted)]]*$L$3</f>
        <v>0</v>
      </c>
      <c r="O1492" s="244">
        <f>_xlfn.XLOOKUP(FME_Ranking1[[#This Row],[FME ID]],FME_Input[FME_ID],FME_Input[POP100])</f>
        <v>0</v>
      </c>
      <c r="P1492" s="178">
        <f>(FME_Ranking1[[#This Row],[Pop Raw]]/$O$2)*100</f>
        <v>0</v>
      </c>
      <c r="Q1492" s="178">
        <f>FME_Ranking1[[#This Row],[Pop Score (Normalized, Unweighted)]]*$O$3</f>
        <v>0</v>
      </c>
      <c r="R1492" s="137">
        <f>_xlfn.XLOOKUP(FME_Ranking1[[#This Row],[FME ID]],FME_Input[FME_ID],FME_Input[CRITFAC100])</f>
        <v>0</v>
      </c>
      <c r="S1492" s="230">
        <f>(FME_Ranking1[[#This Row],[Critical Facilities Raw]]/$R$2)*100</f>
        <v>0</v>
      </c>
      <c r="T1492" s="180">
        <f>FME_Ranking1[[#This Row],[Critical Facilities Score (Normalized, Unweighted)]]*$R$3</f>
        <v>0</v>
      </c>
      <c r="U1492">
        <f>_xlfn.XLOOKUP(FME_Ranking1[[#This Row],[FME ID]],FME_Input[FME_ID],FME_Input[LWC])</f>
        <v>2</v>
      </c>
      <c r="V1492" s="178">
        <f>(FME_Ranking1[[#This Row],[LWC Raw]]/$U$2)*100</f>
        <v>0.11514104778353484</v>
      </c>
      <c r="W1492" s="178">
        <f>FME_Ranking1[[#This Row],[LWC Score (Normalized, Unweighted)]]*$U$3</f>
        <v>2.302820955670697E-2</v>
      </c>
      <c r="X1492" s="246">
        <f>_xlfn.XLOOKUP(FME_Ranking1[[#This Row],[FME ID]],FME_Input[FME_ID],FME_Input[ROADCLS])</f>
        <v>1</v>
      </c>
      <c r="Y1492" s="230">
        <f>(FME_Ranking1[[#This Row],[Closures Raw]]/$X$2)*100</f>
        <v>1.0514141520344864E-2</v>
      </c>
      <c r="Z1492" s="180">
        <f>FME_Ranking1[[#This Row],[Closures Score (Normalized, Unweighted)]]*$X$3</f>
        <v>5.2570707601724321E-4</v>
      </c>
      <c r="AA1492" s="253">
        <f>_xlfn.XLOOKUP(FME_Ranking1[[#This Row],[FME ID]],FME_Input[FME_ID],FME_Input[ROAD_MILES100])</f>
        <v>0.69999998807907104</v>
      </c>
      <c r="AB1492" s="178">
        <f>(FME_Ranking1[[#This Row],[Miles Raw]]/$AA$2)*100</f>
        <v>9.2037443343199674E-3</v>
      </c>
      <c r="AC1492" s="178">
        <f>FME_Ranking1[[#This Row],[Miles Score (Normalized, Unweighted)]]*$AA$3</f>
        <v>9.2037443343199674E-4</v>
      </c>
      <c r="AD1492" s="255">
        <f>_xlfn.XLOOKUP(FME_Ranking1[[#This Row],[FME ID]],FME_Input[FME_ID],FME_Input[FARMACRE100])</f>
        <v>0.1408060044050217</v>
      </c>
      <c r="AE1492" s="230">
        <f>(FME_Ranking1[[#This Row],[Ag Land Raw]]/$AD$2)*100</f>
        <v>5.8062093030648793E-6</v>
      </c>
      <c r="AF1492" s="231">
        <f>FME_Ranking1[[#This Row],[Ag Land Score (Normalized, Unweighted)]]*$AD$3</f>
        <v>2.9031046515324399E-7</v>
      </c>
      <c r="AG149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2.4474581376621365E-2</v>
      </c>
      <c r="AH1492" s="406">
        <f t="shared" si="23"/>
        <v>1527</v>
      </c>
      <c r="AI149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2.4474581376621365E-2</v>
      </c>
      <c r="AJ1492" s="257">
        <f>FME_Ranking1[[#This Row],[Addition check]]-FME_Ranking1[[#This Row],[Weighted Score Based on Normalized Reported Factors]]</f>
        <v>0</v>
      </c>
      <c r="AK1492" s="178">
        <f>_xlfn.RANK.EQ(AI1492,$AI$6:$AI$2341,0)+COUNTIF($AI$6:AI1492,AI1492)-1</f>
        <v>1527</v>
      </c>
    </row>
    <row r="1493" spans="1:37" x14ac:dyDescent="0.25">
      <c r="A1493" t="s">
        <v>3429</v>
      </c>
      <c r="B1493">
        <f>_xlfn.XLOOKUP(FME_Ranking1[[#This Row],[FME ID]],FME_Input[FME_ID],FME_Input[RFPG_NUM])</f>
        <v>1</v>
      </c>
      <c r="C1493" t="str">
        <f>_xlfn.XLOOKUP(FME_Ranking1[[#This Row],[FME ID]],FME_Input[FME_ID],FME_Input[FME_NAME])</f>
        <v>Spring Draw Watershed Study </v>
      </c>
      <c r="D1493" t="str">
        <f>_xlfn.XLOOKUP(FME_Ranking1[[#This Row],[FME ID]],FME_Input[FME_ID],FME_Input[DESCR])</f>
        <v>Perform H&amp;H modeling, develop conceptual alternatives and OPCC, and rank projects. Marked as high priority in 2019 Amarillo DMP. Joint effort between Amarillo, Canyon, and Randall County </v>
      </c>
      <c r="E1493" s="256">
        <f>_xlfn.XLOOKUP(FME_Ranking1[[#This Row],[FME ID]],FME_Input[FME_ID],FME_Input[FME_COST])</f>
        <v>499000</v>
      </c>
      <c r="F1493" t="str">
        <f>_xlfn.XLOOKUP(FME_Ranking1[[#This Row],[FME ID]],FME_Input[FME_ID],FME_Input[EMER_NEED])</f>
        <v>No</v>
      </c>
      <c r="G1493">
        <f>IF(FME_Ranking!F1493="Yes",100,0)</f>
        <v>0</v>
      </c>
      <c r="H1493">
        <f>FME_Ranking1[[#This Row],[Emergency Need Score (Normalized, Unweighted)]]*$F$3</f>
        <v>0</v>
      </c>
      <c r="I1493" s="246">
        <f>_xlfn.XLOOKUP(FME_Ranking1[[#This Row],[FME ID]],FME_Input[FME_ID],FME_Input[STRUCT_100])</f>
        <v>52</v>
      </c>
      <c r="J1493" s="178">
        <f>(FME_Ranking1[[#This Row],[Structures 100 Raw]]/I$2)*100</f>
        <v>2.7845606820031704E-2</v>
      </c>
      <c r="K1493" s="178">
        <f>FME_Ranking1[[#This Row],[Structures 100  Score (Normalized, Unweighted)]]*$I$3</f>
        <v>4.1768410230047558E-3</v>
      </c>
      <c r="L1493" s="246">
        <f>_xlfn.XLOOKUP(FME_Ranking1[[#This Row],[FME ID]],FME_Input[FME_ID],FME_Input[RES_STRUCT100])</f>
        <v>49</v>
      </c>
      <c r="M1493" s="230">
        <f>(FME_Ranking1[[#This Row],[Res Structures Raw]]/L$2)*100</f>
        <v>3.4706973976852573E-2</v>
      </c>
      <c r="N1493" s="180">
        <f>FME_Ranking1[[#This Row],[Res Structures Score (Normalized, Unweighted)]]*$L$3</f>
        <v>3.4706973976852576E-3</v>
      </c>
      <c r="O1493" s="244">
        <f>_xlfn.XLOOKUP(FME_Ranking1[[#This Row],[FME ID]],FME_Input[FME_ID],FME_Input[POP100])</f>
        <v>134</v>
      </c>
      <c r="P1493" s="178">
        <f>(FME_Ranking1[[#This Row],[Pop Raw]]/$O$2)*100</f>
        <v>1.371829180649428E-2</v>
      </c>
      <c r="Q1493" s="178">
        <f>FME_Ranking1[[#This Row],[Pop Score (Normalized, Unweighted)]]*$O$3</f>
        <v>2.0577437709741421E-3</v>
      </c>
      <c r="R1493" s="137">
        <f>_xlfn.XLOOKUP(FME_Ranking1[[#This Row],[FME ID]],FME_Input[FME_ID],FME_Input[CRITFAC100])</f>
        <v>0</v>
      </c>
      <c r="S1493" s="230">
        <f>(FME_Ranking1[[#This Row],[Critical Facilities Raw]]/$R$2)*100</f>
        <v>0</v>
      </c>
      <c r="T1493" s="180">
        <f>FME_Ranking1[[#This Row],[Critical Facilities Score (Normalized, Unweighted)]]*$R$3</f>
        <v>0</v>
      </c>
      <c r="U1493">
        <f>_xlfn.XLOOKUP(FME_Ranking1[[#This Row],[FME ID]],FME_Input[FME_ID],FME_Input[LWC])</f>
        <v>1</v>
      </c>
      <c r="V1493" s="178">
        <f>(FME_Ranking1[[#This Row],[LWC Raw]]/$U$2)*100</f>
        <v>5.7570523891767422E-2</v>
      </c>
      <c r="W1493" s="178">
        <f>FME_Ranking1[[#This Row],[LWC Score (Normalized, Unweighted)]]*$U$3</f>
        <v>1.1514104778353485E-2</v>
      </c>
      <c r="X1493" s="246">
        <f>_xlfn.XLOOKUP(FME_Ranking1[[#This Row],[FME ID]],FME_Input[FME_ID],FME_Input[ROADCLS])</f>
        <v>1</v>
      </c>
      <c r="Y1493" s="230">
        <f>(FME_Ranking1[[#This Row],[Closures Raw]]/$X$2)*100</f>
        <v>1.0514141520344864E-2</v>
      </c>
      <c r="Z1493" s="180">
        <f>FME_Ranking1[[#This Row],[Closures Score (Normalized, Unweighted)]]*$X$3</f>
        <v>5.2570707601724321E-4</v>
      </c>
      <c r="AA1493" s="253">
        <f>_xlfn.XLOOKUP(FME_Ranking1[[#This Row],[FME ID]],FME_Input[FME_ID],FME_Input[ROAD_MILES100])</f>
        <v>5.0678114891052246</v>
      </c>
      <c r="AB1493" s="178">
        <f>(FME_Ranking1[[#This Row],[Miles Raw]]/$AA$2)*100</f>
        <v>6.6632631535109593E-2</v>
      </c>
      <c r="AC1493" s="178">
        <f>FME_Ranking1[[#This Row],[Miles Score (Normalized, Unweighted)]]*$AA$3</f>
        <v>6.66326315351096E-3</v>
      </c>
      <c r="AD1493" s="255">
        <f>_xlfn.XLOOKUP(FME_Ranking1[[#This Row],[FME ID]],FME_Input[FME_ID],FME_Input[FARMACRE100])</f>
        <v>858.43280029296875</v>
      </c>
      <c r="AE1493" s="230">
        <f>(FME_Ranking1[[#This Row],[Ag Land Raw]]/$AD$2)*100</f>
        <v>3.5397925906484377E-2</v>
      </c>
      <c r="AF1493" s="231">
        <f>FME_Ranking1[[#This Row],[Ag Land Score (Normalized, Unweighted)]]*$AD$3</f>
        <v>1.769896295324219E-3</v>
      </c>
      <c r="AG149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3.0178253494870067E-2</v>
      </c>
      <c r="AH1493" s="406">
        <f t="shared" si="23"/>
        <v>1468</v>
      </c>
      <c r="AI149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3.0178253494870067E-2</v>
      </c>
      <c r="AJ1493" s="257">
        <f>FME_Ranking1[[#This Row],[Addition check]]-FME_Ranking1[[#This Row],[Weighted Score Based on Normalized Reported Factors]]</f>
        <v>0</v>
      </c>
      <c r="AK1493" s="178">
        <f>_xlfn.RANK.EQ(AI1493,$AI$6:$AI$2341,0)+COUNTIF($AI$6:AI1493,AI1493)-1</f>
        <v>1468</v>
      </c>
    </row>
    <row r="1494" spans="1:37" x14ac:dyDescent="0.25">
      <c r="A1494" t="s">
        <v>2696</v>
      </c>
      <c r="B1494">
        <f>_xlfn.XLOOKUP(FME_Ranking1[[#This Row],[FME ID]],FME_Input[FME_ID],FME_Input[RFPG_NUM])</f>
        <v>1</v>
      </c>
      <c r="C1494" t="str">
        <f>_xlfn.XLOOKUP(FME_Ranking1[[#This Row],[FME ID]],FME_Input[FME_ID],FME_Input[FME_NAME])</f>
        <v>Vernon City Drainage Master Plan</v>
      </c>
      <c r="D1494" t="str">
        <f>_xlfn.XLOOKUP(FME_Ranking1[[#This Row],[FME ID]],FME_Input[FME_ID],FME_Input[DESCR])</f>
        <v xml:space="preserve">Perform H&amp;H modeling, develop conceptual alternatives and OPCC, and rank projects; selected based on the needs analysis </v>
      </c>
      <c r="E1494" s="256">
        <f>_xlfn.XLOOKUP(FME_Ranking1[[#This Row],[FME ID]],FME_Input[FME_ID],FME_Input[FME_COST])</f>
        <v>250000</v>
      </c>
      <c r="F1494" t="str">
        <f>_xlfn.XLOOKUP(FME_Ranking1[[#This Row],[FME ID]],FME_Input[FME_ID],FME_Input[EMER_NEED])</f>
        <v>No</v>
      </c>
      <c r="G1494">
        <f>IF(FME_Ranking!F1494="Yes",100,0)</f>
        <v>0</v>
      </c>
      <c r="H1494">
        <f>FME_Ranking1[[#This Row],[Emergency Need Score (Normalized, Unweighted)]]*$F$3</f>
        <v>0</v>
      </c>
      <c r="I1494" s="246">
        <f>_xlfn.XLOOKUP(FME_Ranking1[[#This Row],[FME ID]],FME_Input[FME_ID],FME_Input[STRUCT_100])</f>
        <v>61</v>
      </c>
      <c r="J1494" s="178">
        <f>(FME_Ranking1[[#This Row],[Structures 100 Raw]]/I$2)*100</f>
        <v>3.2665038769652571E-2</v>
      </c>
      <c r="K1494" s="178">
        <f>FME_Ranking1[[#This Row],[Structures 100  Score (Normalized, Unweighted)]]*$I$3</f>
        <v>4.8997558154478859E-3</v>
      </c>
      <c r="L1494" s="246">
        <f>_xlfn.XLOOKUP(FME_Ranking1[[#This Row],[FME ID]],FME_Input[FME_ID],FME_Input[RES_STRUCT100])</f>
        <v>24</v>
      </c>
      <c r="M1494" s="230">
        <f>(FME_Ranking1[[#This Row],[Res Structures Raw]]/L$2)*100</f>
        <v>1.6999334192744117E-2</v>
      </c>
      <c r="N1494" s="180">
        <f>FME_Ranking1[[#This Row],[Res Structures Score (Normalized, Unweighted)]]*$L$3</f>
        <v>1.6999334192744119E-3</v>
      </c>
      <c r="O1494" s="244">
        <f>_xlfn.XLOOKUP(FME_Ranking1[[#This Row],[FME ID]],FME_Input[FME_ID],FME_Input[POP100])</f>
        <v>540</v>
      </c>
      <c r="P1494" s="178">
        <f>(FME_Ranking1[[#This Row],[Pop Raw]]/$O$2)*100</f>
        <v>5.5282668473932171E-2</v>
      </c>
      <c r="Q1494" s="178">
        <f>FME_Ranking1[[#This Row],[Pop Score (Normalized, Unweighted)]]*$O$3</f>
        <v>8.2924002710898261E-3</v>
      </c>
      <c r="R1494" s="137">
        <f>_xlfn.XLOOKUP(FME_Ranking1[[#This Row],[FME ID]],FME_Input[FME_ID],FME_Input[CRITFAC100])</f>
        <v>1</v>
      </c>
      <c r="S1494" s="230">
        <f>(FME_Ranking1[[#This Row],[Critical Facilities Raw]]/$R$2)*100</f>
        <v>4.2881646655231559E-2</v>
      </c>
      <c r="T1494" s="180">
        <f>FME_Ranking1[[#This Row],[Critical Facilities Score (Normalized, Unweighted)]]*$R$3</f>
        <v>8.5763293310463125E-3</v>
      </c>
      <c r="U1494">
        <f>_xlfn.XLOOKUP(FME_Ranking1[[#This Row],[FME ID]],FME_Input[FME_ID],FME_Input[LWC])</f>
        <v>0</v>
      </c>
      <c r="V1494" s="178">
        <f>(FME_Ranking1[[#This Row],[LWC Raw]]/$U$2)*100</f>
        <v>0</v>
      </c>
      <c r="W1494" s="178">
        <f>FME_Ranking1[[#This Row],[LWC Score (Normalized, Unweighted)]]*$U$3</f>
        <v>0</v>
      </c>
      <c r="X1494" s="246">
        <f>_xlfn.XLOOKUP(FME_Ranking1[[#This Row],[FME ID]],FME_Input[FME_ID],FME_Input[ROADCLS])</f>
        <v>0</v>
      </c>
      <c r="Y1494" s="230">
        <f>(FME_Ranking1[[#This Row],[Closures Raw]]/$X$2)*100</f>
        <v>0</v>
      </c>
      <c r="Z1494" s="180">
        <f>FME_Ranking1[[#This Row],[Closures Score (Normalized, Unweighted)]]*$X$3</f>
        <v>0</v>
      </c>
      <c r="AA1494" s="253">
        <f>_xlfn.XLOOKUP(FME_Ranking1[[#This Row],[FME ID]],FME_Input[FME_ID],FME_Input[ROAD_MILES100])</f>
        <v>12.716231346130369</v>
      </c>
      <c r="AB1494" s="178">
        <f>(FME_Ranking1[[#This Row],[Miles Raw]]/$AA$2)*100</f>
        <v>0.16719563456996664</v>
      </c>
      <c r="AC1494" s="178">
        <f>FME_Ranking1[[#This Row],[Miles Score (Normalized, Unweighted)]]*$AA$3</f>
        <v>1.6719563456996666E-2</v>
      </c>
      <c r="AD1494" s="255">
        <f>_xlfn.XLOOKUP(FME_Ranking1[[#This Row],[FME ID]],FME_Input[FME_ID],FME_Input[FARMACRE100])</f>
        <v>5.2531914710998544</v>
      </c>
      <c r="AE1494" s="230">
        <f>(FME_Ranking1[[#This Row],[Ag Land Raw]]/$AD$2)*100</f>
        <v>2.1661810033715625E-4</v>
      </c>
      <c r="AF1494" s="231">
        <f>FME_Ranking1[[#This Row],[Ag Land Score (Normalized, Unweighted)]]*$AD$3</f>
        <v>1.0830905016857813E-5</v>
      </c>
      <c r="AG149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4.019881319887196E-2</v>
      </c>
      <c r="AH1494" s="406">
        <f t="shared" si="23"/>
        <v>1390</v>
      </c>
      <c r="AI149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4.019881319887196E-2</v>
      </c>
      <c r="AJ1494" s="257">
        <f>FME_Ranking1[[#This Row],[Addition check]]-FME_Ranking1[[#This Row],[Weighted Score Based on Normalized Reported Factors]]</f>
        <v>0</v>
      </c>
      <c r="AK1494" s="178">
        <f>_xlfn.RANK.EQ(AI1494,$AI$6:$AI$2341,0)+COUNTIF($AI$6:AI1494,AI1494)-1</f>
        <v>1390</v>
      </c>
    </row>
    <row r="1495" spans="1:37" x14ac:dyDescent="0.25">
      <c r="A1495" t="s">
        <v>11363</v>
      </c>
      <c r="B1495">
        <f>_xlfn.XLOOKUP(FME_Ranking1[[#This Row],[FME ID]],FME_Input[FME_ID],FME_Input[RFPG_NUM])</f>
        <v>15</v>
      </c>
      <c r="C1495" t="str">
        <f>_xlfn.XLOOKUP(FME_Ranking1[[#This Row],[FME ID]],FME_Input[FME_ID],FME_Input[FME_NAME])</f>
        <v>Jim Hogg County</v>
      </c>
      <c r="D1495" t="str">
        <f>_xlfn.XLOOKUP(FME_Ranking1[[#This Row],[FME ID]],FME_Input[FME_ID],FME_Input[DESCR])</f>
        <v>Develop Flood risk maps for the county of Jim Hogg and develop CIP</v>
      </c>
      <c r="E1495" s="256">
        <f>_xlfn.XLOOKUP(FME_Ranking1[[#This Row],[FME ID]],FME_Input[FME_ID],FME_Input[FME_COST])</f>
        <v>250000</v>
      </c>
      <c r="F1495" t="str">
        <f>_xlfn.XLOOKUP(FME_Ranking1[[#This Row],[FME ID]],FME_Input[FME_ID],FME_Input[EMER_NEED])</f>
        <v>Yes</v>
      </c>
      <c r="G1495">
        <f>IF(FME_Ranking!F1495="Yes",100,0)</f>
        <v>100</v>
      </c>
      <c r="H1495">
        <f>FME_Ranking1[[#This Row],[Emergency Need Score (Normalized, Unweighted)]]*$F$3</f>
        <v>0</v>
      </c>
      <c r="I1495" s="246">
        <f>_xlfn.XLOOKUP(FME_Ranking1[[#This Row],[FME ID]],FME_Input[FME_ID],FME_Input[STRUCT_100])</f>
        <v>0</v>
      </c>
      <c r="J1495" s="178">
        <f>(FME_Ranking1[[#This Row],[Structures 100 Raw]]/I$2)*100</f>
        <v>0</v>
      </c>
      <c r="K1495" s="178">
        <f>FME_Ranking1[[#This Row],[Structures 100  Score (Normalized, Unweighted)]]*$I$3</f>
        <v>0</v>
      </c>
      <c r="L1495" s="246">
        <f>_xlfn.XLOOKUP(FME_Ranking1[[#This Row],[FME ID]],FME_Input[FME_ID],FME_Input[RES_STRUCT100])</f>
        <v>42</v>
      </c>
      <c r="M1495" s="230">
        <f>(FME_Ranking1[[#This Row],[Res Structures Raw]]/L$2)*100</f>
        <v>2.9748834837302205E-2</v>
      </c>
      <c r="N1495" s="180">
        <f>FME_Ranking1[[#This Row],[Res Structures Score (Normalized, Unweighted)]]*$L$3</f>
        <v>2.9748834837302206E-3</v>
      </c>
      <c r="O1495" s="244">
        <f>_xlfn.XLOOKUP(FME_Ranking1[[#This Row],[FME ID]],FME_Input[FME_ID],FME_Input[POP100])</f>
        <v>24</v>
      </c>
      <c r="P1495" s="178">
        <f>(FME_Ranking1[[#This Row],[Pop Raw]]/$O$2)*100</f>
        <v>2.457007487730319E-3</v>
      </c>
      <c r="Q1495" s="178">
        <f>FME_Ranking1[[#This Row],[Pop Score (Normalized, Unweighted)]]*$O$3</f>
        <v>3.6855112315954783E-4</v>
      </c>
      <c r="R1495" s="137">
        <f>_xlfn.XLOOKUP(FME_Ranking1[[#This Row],[FME ID]],FME_Input[FME_ID],FME_Input[CRITFAC100])</f>
        <v>1</v>
      </c>
      <c r="S1495" s="230">
        <f>(FME_Ranking1[[#This Row],[Critical Facilities Raw]]/$R$2)*100</f>
        <v>4.2881646655231559E-2</v>
      </c>
      <c r="T1495" s="180">
        <f>FME_Ranking1[[#This Row],[Critical Facilities Score (Normalized, Unweighted)]]*$R$3</f>
        <v>8.5763293310463125E-3</v>
      </c>
      <c r="U1495">
        <f>_xlfn.XLOOKUP(FME_Ranking1[[#This Row],[FME ID]],FME_Input[FME_ID],FME_Input[LWC])</f>
        <v>1</v>
      </c>
      <c r="V1495" s="178">
        <f>(FME_Ranking1[[#This Row],[LWC Raw]]/$U$2)*100</f>
        <v>5.7570523891767422E-2</v>
      </c>
      <c r="W1495" s="178">
        <f>FME_Ranking1[[#This Row],[LWC Score (Normalized, Unweighted)]]*$U$3</f>
        <v>1.1514104778353485E-2</v>
      </c>
      <c r="X1495" s="246">
        <f>_xlfn.XLOOKUP(FME_Ranking1[[#This Row],[FME ID]],FME_Input[FME_ID],FME_Input[ROADCLS])</f>
        <v>0</v>
      </c>
      <c r="Y1495" s="230">
        <f>(FME_Ranking1[[#This Row],[Closures Raw]]/$X$2)*100</f>
        <v>0</v>
      </c>
      <c r="Z1495" s="180">
        <f>FME_Ranking1[[#This Row],[Closures Score (Normalized, Unweighted)]]*$X$3</f>
        <v>0</v>
      </c>
      <c r="AA1495" s="253">
        <f>_xlfn.XLOOKUP(FME_Ranking1[[#This Row],[FME ID]],FME_Input[FME_ID],FME_Input[ROAD_MILES100])</f>
        <v>147.66099548339841</v>
      </c>
      <c r="AB1495" s="178">
        <f>(FME_Ranking1[[#This Row],[Miles Raw]]/$AA$2)*100</f>
        <v>1.9414772481779812</v>
      </c>
      <c r="AC1495" s="178">
        <f>FME_Ranking1[[#This Row],[Miles Score (Normalized, Unweighted)]]*$AA$3</f>
        <v>0.19414772481779813</v>
      </c>
      <c r="AD1495" s="255">
        <f>_xlfn.XLOOKUP(FME_Ranking1[[#This Row],[FME ID]],FME_Input[FME_ID],FME_Input[FARMACRE100])</f>
        <v>0</v>
      </c>
      <c r="AE1495" s="230">
        <f>(FME_Ranking1[[#This Row],[Ag Land Raw]]/$AD$2)*100</f>
        <v>0</v>
      </c>
      <c r="AF1495" s="231">
        <f>FME_Ranking1[[#This Row],[Ag Land Score (Normalized, Unweighted)]]*$AD$3</f>
        <v>0</v>
      </c>
      <c r="AG149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0.21758159353408768</v>
      </c>
      <c r="AH1495" s="406">
        <f t="shared" si="23"/>
        <v>782</v>
      </c>
      <c r="AI149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0.21758159353408768</v>
      </c>
      <c r="AJ1495" s="257">
        <f>FME_Ranking1[[#This Row],[Addition check]]-FME_Ranking1[[#This Row],[Weighted Score Based on Normalized Reported Factors]]</f>
        <v>0</v>
      </c>
      <c r="AK1495" s="178">
        <f>_xlfn.RANK.EQ(AI1495,$AI$6:$AI$2341,0)+COUNTIF($AI$6:AI1495,AI1495)-1</f>
        <v>782</v>
      </c>
    </row>
    <row r="1496" spans="1:37" x14ac:dyDescent="0.25">
      <c r="A1496" t="s">
        <v>7368</v>
      </c>
      <c r="B1496">
        <f>_xlfn.XLOOKUP(FME_Ranking1[[#This Row],[FME ID]],FME_Input[FME_ID],FME_Input[RFPG_NUM])</f>
        <v>7</v>
      </c>
      <c r="C1496" t="str">
        <f>_xlfn.XLOOKUP(FME_Ranking1[[#This Row],[FME ID]],FME_Input[FME_ID],FME_Input[FME_NAME])</f>
        <v>City of Abilene Buttonwillow Upstream Detention</v>
      </c>
      <c r="D1496" t="str">
        <f>_xlfn.XLOOKUP(FME_Ranking1[[#This Row],[FME ID]],FME_Input[FME_ID],FME_Input[DESCR])</f>
        <v>Regional detention pond</v>
      </c>
      <c r="E1496" s="256">
        <f>_xlfn.XLOOKUP(FME_Ranking1[[#This Row],[FME ID]],FME_Input[FME_ID],FME_Input[FME_COST])</f>
        <v>354217.5</v>
      </c>
      <c r="F1496" t="str">
        <f>_xlfn.XLOOKUP(FME_Ranking1[[#This Row],[FME ID]],FME_Input[FME_ID],FME_Input[EMER_NEED])</f>
        <v>No</v>
      </c>
      <c r="G1496">
        <f>IF(FME_Ranking!F1496="Yes",100,0)</f>
        <v>0</v>
      </c>
      <c r="H1496">
        <f>FME_Ranking1[[#This Row],[Emergency Need Score (Normalized, Unweighted)]]*$F$3</f>
        <v>0</v>
      </c>
      <c r="I1496" s="246">
        <f>_xlfn.XLOOKUP(FME_Ranking1[[#This Row],[FME ID]],FME_Input[FME_ID],FME_Input[STRUCT_100])</f>
        <v>0</v>
      </c>
      <c r="J1496" s="178">
        <f>(FME_Ranking1[[#This Row],[Structures 100 Raw]]/I$2)*100</f>
        <v>0</v>
      </c>
      <c r="K1496" s="178">
        <f>FME_Ranking1[[#This Row],[Structures 100  Score (Normalized, Unweighted)]]*$I$3</f>
        <v>0</v>
      </c>
      <c r="L1496" s="246">
        <f>_xlfn.XLOOKUP(FME_Ranking1[[#This Row],[FME ID]],FME_Input[FME_ID],FME_Input[RES_STRUCT100])</f>
        <v>0</v>
      </c>
      <c r="M1496" s="230">
        <f>(FME_Ranking1[[#This Row],[Res Structures Raw]]/L$2)*100</f>
        <v>0</v>
      </c>
      <c r="N1496" s="180">
        <f>FME_Ranking1[[#This Row],[Res Structures Score (Normalized, Unweighted)]]*$L$3</f>
        <v>0</v>
      </c>
      <c r="O1496" s="244">
        <f>_xlfn.XLOOKUP(FME_Ranking1[[#This Row],[FME ID]],FME_Input[FME_ID],FME_Input[POP100])</f>
        <v>0</v>
      </c>
      <c r="P1496" s="178">
        <f>(FME_Ranking1[[#This Row],[Pop Raw]]/$O$2)*100</f>
        <v>0</v>
      </c>
      <c r="Q1496" s="178">
        <f>FME_Ranking1[[#This Row],[Pop Score (Normalized, Unweighted)]]*$O$3</f>
        <v>0</v>
      </c>
      <c r="R1496" s="137">
        <f>_xlfn.XLOOKUP(FME_Ranking1[[#This Row],[FME ID]],FME_Input[FME_ID],FME_Input[CRITFAC100])</f>
        <v>0</v>
      </c>
      <c r="S1496" s="230">
        <f>(FME_Ranking1[[#This Row],[Critical Facilities Raw]]/$R$2)*100</f>
        <v>0</v>
      </c>
      <c r="T1496" s="180">
        <f>FME_Ranking1[[#This Row],[Critical Facilities Score (Normalized, Unweighted)]]*$R$3</f>
        <v>0</v>
      </c>
      <c r="U1496">
        <f>_xlfn.XLOOKUP(FME_Ranking1[[#This Row],[FME ID]],FME_Input[FME_ID],FME_Input[LWC])</f>
        <v>2</v>
      </c>
      <c r="V1496" s="178">
        <f>(FME_Ranking1[[#This Row],[LWC Raw]]/$U$2)*100</f>
        <v>0.11514104778353484</v>
      </c>
      <c r="W1496" s="178">
        <f>FME_Ranking1[[#This Row],[LWC Score (Normalized, Unweighted)]]*$U$3</f>
        <v>2.302820955670697E-2</v>
      </c>
      <c r="X1496" s="246">
        <f>_xlfn.XLOOKUP(FME_Ranking1[[#This Row],[FME ID]],FME_Input[FME_ID],FME_Input[ROADCLS])</f>
        <v>0</v>
      </c>
      <c r="Y1496" s="230">
        <f>(FME_Ranking1[[#This Row],[Closures Raw]]/$X$2)*100</f>
        <v>0</v>
      </c>
      <c r="Z1496" s="180">
        <f>FME_Ranking1[[#This Row],[Closures Score (Normalized, Unweighted)]]*$X$3</f>
        <v>0</v>
      </c>
      <c r="AA1496" s="253">
        <f>_xlfn.XLOOKUP(FME_Ranking1[[#This Row],[FME ID]],FME_Input[FME_ID],FME_Input[ROAD_MILES100])</f>
        <v>0.38069212436676031</v>
      </c>
      <c r="AB1496" s="178">
        <f>(FME_Ranking1[[#This Row],[Miles Raw]]/$AA$2)*100</f>
        <v>5.0054186320429182E-3</v>
      </c>
      <c r="AC1496" s="178">
        <f>FME_Ranking1[[#This Row],[Miles Score (Normalized, Unweighted)]]*$AA$3</f>
        <v>5.0054186320429186E-4</v>
      </c>
      <c r="AD1496" s="255">
        <f>_xlfn.XLOOKUP(FME_Ranking1[[#This Row],[FME ID]],FME_Input[FME_ID],FME_Input[FARMACRE100])</f>
        <v>0</v>
      </c>
      <c r="AE1496" s="230">
        <f>(FME_Ranking1[[#This Row],[Ag Land Raw]]/$AD$2)*100</f>
        <v>0</v>
      </c>
      <c r="AF1496" s="231">
        <f>FME_Ranking1[[#This Row],[Ag Land Score (Normalized, Unweighted)]]*$AD$3</f>
        <v>0</v>
      </c>
      <c r="AG149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2.3528751419911263E-2</v>
      </c>
      <c r="AH1496" s="406">
        <f t="shared" si="23"/>
        <v>1538</v>
      </c>
      <c r="AI149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2.3528751419911263E-2</v>
      </c>
      <c r="AJ1496" s="257">
        <f>FME_Ranking1[[#This Row],[Addition check]]-FME_Ranking1[[#This Row],[Weighted Score Based on Normalized Reported Factors]]</f>
        <v>0</v>
      </c>
      <c r="AK1496" s="178">
        <f>_xlfn.RANK.EQ(AI1496,$AI$6:$AI$2341,0)+COUNTIF($AI$6:AI1496,AI1496)-1</f>
        <v>1538</v>
      </c>
    </row>
    <row r="1497" spans="1:37" x14ac:dyDescent="0.25">
      <c r="A1497" t="s">
        <v>5832</v>
      </c>
      <c r="B1497">
        <f>_xlfn.XLOOKUP(FME_Ranking1[[#This Row],[FME ID]],FME_Input[FME_ID],FME_Input[RFPG_NUM])</f>
        <v>5</v>
      </c>
      <c r="C1497" t="str">
        <f>_xlfn.XLOOKUP(FME_Ranking1[[#This Row],[FME ID]],FME_Input[FME_ID],FME_Input[FME_NAME])</f>
        <v>City of Rose Hill Acres Flood Mitigation Improvements</v>
      </c>
      <c r="D1497" t="str">
        <f>_xlfn.XLOOKUP(FME_Ranking1[[#This Row],[FME ID]],FME_Input[FME_ID],FME_Input[DESCR])</f>
        <v xml:space="preserve">Develop drainage study to identify flood mitigation measures in and around Rose Hill Acres ETJ. </v>
      </c>
      <c r="E1497" s="256">
        <f>_xlfn.XLOOKUP(FME_Ranking1[[#This Row],[FME ID]],FME_Input[FME_ID],FME_Input[FME_COST])</f>
        <v>500000</v>
      </c>
      <c r="F1497" t="str">
        <f>_xlfn.XLOOKUP(FME_Ranking1[[#This Row],[FME ID]],FME_Input[FME_ID],FME_Input[EMER_NEED])</f>
        <v>Yes</v>
      </c>
      <c r="G1497">
        <f>IF(FME_Ranking!F1497="Yes",100,0)</f>
        <v>100</v>
      </c>
      <c r="H1497">
        <f>FME_Ranking1[[#This Row],[Emergency Need Score (Normalized, Unweighted)]]*$F$3</f>
        <v>0</v>
      </c>
      <c r="I1497" s="246">
        <f>_xlfn.XLOOKUP(FME_Ranking1[[#This Row],[FME ID]],FME_Input[FME_ID],FME_Input[STRUCT_100])</f>
        <v>129</v>
      </c>
      <c r="J1497" s="178">
        <f>(FME_Ranking1[[#This Row],[Structures 100 Raw]]/I$2)*100</f>
        <v>6.9078524611232497E-2</v>
      </c>
      <c r="K1497" s="178">
        <f>FME_Ranking1[[#This Row],[Structures 100  Score (Normalized, Unweighted)]]*$I$3</f>
        <v>1.0361778691684875E-2</v>
      </c>
      <c r="L1497" s="246">
        <f>_xlfn.XLOOKUP(FME_Ranking1[[#This Row],[FME ID]],FME_Input[FME_ID],FME_Input[RES_STRUCT100])</f>
        <v>123</v>
      </c>
      <c r="M1497" s="230">
        <f>(FME_Ranking1[[#This Row],[Res Structures Raw]]/L$2)*100</f>
        <v>8.7121587737813602E-2</v>
      </c>
      <c r="N1497" s="180">
        <f>FME_Ranking1[[#This Row],[Res Structures Score (Normalized, Unweighted)]]*$L$3</f>
        <v>8.7121587737813613E-3</v>
      </c>
      <c r="O1497" s="244">
        <f>_xlfn.XLOOKUP(FME_Ranking1[[#This Row],[FME ID]],FME_Input[FME_ID],FME_Input[POP100])</f>
        <v>237</v>
      </c>
      <c r="P1497" s="178">
        <f>(FME_Ranking1[[#This Row],[Pop Raw]]/$O$2)*100</f>
        <v>2.42629489413369E-2</v>
      </c>
      <c r="Q1497" s="178">
        <f>FME_Ranking1[[#This Row],[Pop Score (Normalized, Unweighted)]]*$O$3</f>
        <v>3.639442341200535E-3</v>
      </c>
      <c r="R1497" s="137">
        <f>_xlfn.XLOOKUP(FME_Ranking1[[#This Row],[FME ID]],FME_Input[FME_ID],FME_Input[CRITFAC100])</f>
        <v>0</v>
      </c>
      <c r="S1497" s="230">
        <f>(FME_Ranking1[[#This Row],[Critical Facilities Raw]]/$R$2)*100</f>
        <v>0</v>
      </c>
      <c r="T1497" s="180">
        <f>FME_Ranking1[[#This Row],[Critical Facilities Score (Normalized, Unweighted)]]*$R$3</f>
        <v>0</v>
      </c>
      <c r="U1497">
        <f>_xlfn.XLOOKUP(FME_Ranking1[[#This Row],[FME ID]],FME_Input[FME_ID],FME_Input[LWC])</f>
        <v>0</v>
      </c>
      <c r="V1497" s="178">
        <f>(FME_Ranking1[[#This Row],[LWC Raw]]/$U$2)*100</f>
        <v>0</v>
      </c>
      <c r="W1497" s="178">
        <f>FME_Ranking1[[#This Row],[LWC Score (Normalized, Unweighted)]]*$U$3</f>
        <v>0</v>
      </c>
      <c r="X1497" s="246">
        <f>_xlfn.XLOOKUP(FME_Ranking1[[#This Row],[FME ID]],FME_Input[FME_ID],FME_Input[ROADCLS])</f>
        <v>0</v>
      </c>
      <c r="Y1497" s="230">
        <f>(FME_Ranking1[[#This Row],[Closures Raw]]/$X$2)*100</f>
        <v>0</v>
      </c>
      <c r="Z1497" s="180">
        <f>FME_Ranking1[[#This Row],[Closures Score (Normalized, Unweighted)]]*$X$3</f>
        <v>0</v>
      </c>
      <c r="AA1497" s="253">
        <f>_xlfn.XLOOKUP(FME_Ranking1[[#This Row],[FME ID]],FME_Input[FME_ID],FME_Input[ROAD_MILES100])</f>
        <v>2.3294997215271001</v>
      </c>
      <c r="AB1497" s="178">
        <f>(FME_Ranking1[[#This Row],[Miles Raw]]/$AA$2)*100</f>
        <v>3.0628743184182947E-2</v>
      </c>
      <c r="AC1497" s="178">
        <f>FME_Ranking1[[#This Row],[Miles Score (Normalized, Unweighted)]]*$AA$3</f>
        <v>3.0628743184182949E-3</v>
      </c>
      <c r="AD1497" s="255">
        <f>_xlfn.XLOOKUP(FME_Ranking1[[#This Row],[FME ID]],FME_Input[FME_ID],FME_Input[FARMACRE100])</f>
        <v>0.1211110427975655</v>
      </c>
      <c r="AE1497" s="230">
        <f>(FME_Ranking1[[#This Row],[Ag Land Raw]]/$AD$2)*100</f>
        <v>4.9940772509416851E-6</v>
      </c>
      <c r="AF1497" s="231">
        <f>FME_Ranking1[[#This Row],[Ag Land Score (Normalized, Unweighted)]]*$AD$3</f>
        <v>2.4970386254708429E-7</v>
      </c>
      <c r="AG149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2.5776503828947611E-2</v>
      </c>
      <c r="AH1497" s="406">
        <f t="shared" si="23"/>
        <v>1510</v>
      </c>
      <c r="AI149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2.5776503828947611E-2</v>
      </c>
      <c r="AJ1497" s="257">
        <f>FME_Ranking1[[#This Row],[Addition check]]-FME_Ranking1[[#This Row],[Weighted Score Based on Normalized Reported Factors]]</f>
        <v>0</v>
      </c>
      <c r="AK1497" s="178">
        <f>_xlfn.RANK.EQ(AI1497,$AI$6:$AI$2341,0)+COUNTIF($AI$6:AI1497,AI1497)-1</f>
        <v>1510</v>
      </c>
    </row>
    <row r="1498" spans="1:37" x14ac:dyDescent="0.25">
      <c r="A1498" t="s">
        <v>6388</v>
      </c>
      <c r="B1498">
        <f>_xlfn.XLOOKUP(FME_Ranking1[[#This Row],[FME ID]],FME_Input[FME_ID],FME_Input[RFPG_NUM])</f>
        <v>5</v>
      </c>
      <c r="C1498" t="str">
        <f>_xlfn.XLOOKUP(FME_Ranking1[[#This Row],[FME ID]],FME_Input[FME_ID],FME_Input[FME_NAME])</f>
        <v>City of Rose Hill Acres Master Drainage Plan</v>
      </c>
      <c r="D1498" t="str">
        <f>_xlfn.XLOOKUP(FME_Ranking1[[#This Row],[FME ID]],FME_Input[FME_ID],FME_Input[DESCR])</f>
        <v>Develop drainage study to identify flood mitigation measures and drainage improvements including purchase of easements in the ETJ or a possible MOU to implement improvements.</v>
      </c>
      <c r="E1498" s="256">
        <f>_xlfn.XLOOKUP(FME_Ranking1[[#This Row],[FME ID]],FME_Input[FME_ID],FME_Input[FME_COST])</f>
        <v>200000</v>
      </c>
      <c r="F1498" t="str">
        <f>_xlfn.XLOOKUP(FME_Ranking1[[#This Row],[FME ID]],FME_Input[FME_ID],FME_Input[EMER_NEED])</f>
        <v>Yes</v>
      </c>
      <c r="G1498">
        <f>IF(FME_Ranking!F1498="Yes",100,0)</f>
        <v>100</v>
      </c>
      <c r="H1498">
        <f>FME_Ranking1[[#This Row],[Emergency Need Score (Normalized, Unweighted)]]*$F$3</f>
        <v>0</v>
      </c>
      <c r="I1498" s="246">
        <f>_xlfn.XLOOKUP(FME_Ranking1[[#This Row],[FME ID]],FME_Input[FME_ID],FME_Input[STRUCT_100])</f>
        <v>129</v>
      </c>
      <c r="J1498" s="178">
        <f>(FME_Ranking1[[#This Row],[Structures 100 Raw]]/I$2)*100</f>
        <v>6.9078524611232497E-2</v>
      </c>
      <c r="K1498" s="178">
        <f>FME_Ranking1[[#This Row],[Structures 100  Score (Normalized, Unweighted)]]*$I$3</f>
        <v>1.0361778691684875E-2</v>
      </c>
      <c r="L1498" s="246">
        <f>_xlfn.XLOOKUP(FME_Ranking1[[#This Row],[FME ID]],FME_Input[FME_ID],FME_Input[RES_STRUCT100])</f>
        <v>123</v>
      </c>
      <c r="M1498" s="230">
        <f>(FME_Ranking1[[#This Row],[Res Structures Raw]]/L$2)*100</f>
        <v>8.7121587737813602E-2</v>
      </c>
      <c r="N1498" s="180">
        <f>FME_Ranking1[[#This Row],[Res Structures Score (Normalized, Unweighted)]]*$L$3</f>
        <v>8.7121587737813613E-3</v>
      </c>
      <c r="O1498" s="244">
        <f>_xlfn.XLOOKUP(FME_Ranking1[[#This Row],[FME ID]],FME_Input[FME_ID],FME_Input[POP100])</f>
        <v>237</v>
      </c>
      <c r="P1498" s="178">
        <f>(FME_Ranking1[[#This Row],[Pop Raw]]/$O$2)*100</f>
        <v>2.42629489413369E-2</v>
      </c>
      <c r="Q1498" s="178">
        <f>FME_Ranking1[[#This Row],[Pop Score (Normalized, Unweighted)]]*$O$3</f>
        <v>3.639442341200535E-3</v>
      </c>
      <c r="R1498" s="137">
        <f>_xlfn.XLOOKUP(FME_Ranking1[[#This Row],[FME ID]],FME_Input[FME_ID],FME_Input[CRITFAC100])</f>
        <v>0</v>
      </c>
      <c r="S1498" s="230">
        <f>(FME_Ranking1[[#This Row],[Critical Facilities Raw]]/$R$2)*100</f>
        <v>0</v>
      </c>
      <c r="T1498" s="180">
        <f>FME_Ranking1[[#This Row],[Critical Facilities Score (Normalized, Unweighted)]]*$R$3</f>
        <v>0</v>
      </c>
      <c r="U1498">
        <f>_xlfn.XLOOKUP(FME_Ranking1[[#This Row],[FME ID]],FME_Input[FME_ID],FME_Input[LWC])</f>
        <v>0</v>
      </c>
      <c r="V1498" s="178">
        <f>(FME_Ranking1[[#This Row],[LWC Raw]]/$U$2)*100</f>
        <v>0</v>
      </c>
      <c r="W1498" s="178">
        <f>FME_Ranking1[[#This Row],[LWC Score (Normalized, Unweighted)]]*$U$3</f>
        <v>0</v>
      </c>
      <c r="X1498" s="246">
        <f>_xlfn.XLOOKUP(FME_Ranking1[[#This Row],[FME ID]],FME_Input[FME_ID],FME_Input[ROADCLS])</f>
        <v>0</v>
      </c>
      <c r="Y1498" s="230">
        <f>(FME_Ranking1[[#This Row],[Closures Raw]]/$X$2)*100</f>
        <v>0</v>
      </c>
      <c r="Z1498" s="180">
        <f>FME_Ranking1[[#This Row],[Closures Score (Normalized, Unweighted)]]*$X$3</f>
        <v>0</v>
      </c>
      <c r="AA1498" s="253">
        <f>_xlfn.XLOOKUP(FME_Ranking1[[#This Row],[FME ID]],FME_Input[FME_ID],FME_Input[ROAD_MILES100])</f>
        <v>2.3294997215271001</v>
      </c>
      <c r="AB1498" s="178">
        <f>(FME_Ranking1[[#This Row],[Miles Raw]]/$AA$2)*100</f>
        <v>3.0628743184182947E-2</v>
      </c>
      <c r="AC1498" s="178">
        <f>FME_Ranking1[[#This Row],[Miles Score (Normalized, Unweighted)]]*$AA$3</f>
        <v>3.0628743184182949E-3</v>
      </c>
      <c r="AD1498" s="255">
        <f>_xlfn.XLOOKUP(FME_Ranking1[[#This Row],[FME ID]],FME_Input[FME_ID],FME_Input[FARMACRE100])</f>
        <v>0.1211110427975655</v>
      </c>
      <c r="AE1498" s="230">
        <f>(FME_Ranking1[[#This Row],[Ag Land Raw]]/$AD$2)*100</f>
        <v>4.9940772509416851E-6</v>
      </c>
      <c r="AF1498" s="231">
        <f>FME_Ranking1[[#This Row],[Ag Land Score (Normalized, Unweighted)]]*$AD$3</f>
        <v>2.4970386254708429E-7</v>
      </c>
      <c r="AG149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2.5776503828947611E-2</v>
      </c>
      <c r="AH1498" s="406">
        <f t="shared" si="23"/>
        <v>1510</v>
      </c>
      <c r="AI149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2.5776503828947611E-2</v>
      </c>
      <c r="AJ1498" s="257">
        <f>FME_Ranking1[[#This Row],[Addition check]]-FME_Ranking1[[#This Row],[Weighted Score Based on Normalized Reported Factors]]</f>
        <v>0</v>
      </c>
      <c r="AK1498" s="178">
        <f>_xlfn.RANK.EQ(AI1498,$AI$6:$AI$2341,0)+COUNTIF($AI$6:AI1498,AI1498)-1</f>
        <v>1511</v>
      </c>
    </row>
    <row r="1499" spans="1:37" x14ac:dyDescent="0.25">
      <c r="A1499" t="s">
        <v>6391</v>
      </c>
      <c r="B1499">
        <f>_xlfn.XLOOKUP(FME_Ranking1[[#This Row],[FME ID]],FME_Input[FME_ID],FME_Input[RFPG_NUM])</f>
        <v>5</v>
      </c>
      <c r="C1499" t="str">
        <f>_xlfn.XLOOKUP(FME_Ranking1[[#This Row],[FME ID]],FME_Input[FME_ID],FME_Input[FME_NAME])</f>
        <v>City of Rose Hill Acres Ditch Improvements</v>
      </c>
      <c r="D1499" t="str">
        <f>_xlfn.XLOOKUP(FME_Ranking1[[#This Row],[FME ID]],FME_Input[FME_ID],FME_Input[DESCR])</f>
        <v>H&amp;H Study to identify alternatives for ditch improvements within Rose Hill Acres</v>
      </c>
      <c r="E1499" s="256">
        <f>_xlfn.XLOOKUP(FME_Ranking1[[#This Row],[FME ID]],FME_Input[FME_ID],FME_Input[FME_COST])</f>
        <v>50000</v>
      </c>
      <c r="F1499" t="str">
        <f>_xlfn.XLOOKUP(FME_Ranking1[[#This Row],[FME ID]],FME_Input[FME_ID],FME_Input[EMER_NEED])</f>
        <v>Yes</v>
      </c>
      <c r="G1499">
        <f>IF(FME_Ranking!F1499="Yes",100,0)</f>
        <v>100</v>
      </c>
      <c r="H1499">
        <f>FME_Ranking1[[#This Row],[Emergency Need Score (Normalized, Unweighted)]]*$F$3</f>
        <v>0</v>
      </c>
      <c r="I1499" s="246">
        <f>_xlfn.XLOOKUP(FME_Ranking1[[#This Row],[FME ID]],FME_Input[FME_ID],FME_Input[STRUCT_100])</f>
        <v>129</v>
      </c>
      <c r="J1499" s="178">
        <f>(FME_Ranking1[[#This Row],[Structures 100 Raw]]/I$2)*100</f>
        <v>6.9078524611232497E-2</v>
      </c>
      <c r="K1499" s="178">
        <f>FME_Ranking1[[#This Row],[Structures 100  Score (Normalized, Unweighted)]]*$I$3</f>
        <v>1.0361778691684875E-2</v>
      </c>
      <c r="L1499" s="246">
        <f>_xlfn.XLOOKUP(FME_Ranking1[[#This Row],[FME ID]],FME_Input[FME_ID],FME_Input[RES_STRUCT100])</f>
        <v>123</v>
      </c>
      <c r="M1499" s="230">
        <f>(FME_Ranking1[[#This Row],[Res Structures Raw]]/L$2)*100</f>
        <v>8.7121587737813602E-2</v>
      </c>
      <c r="N1499" s="180">
        <f>FME_Ranking1[[#This Row],[Res Structures Score (Normalized, Unweighted)]]*$L$3</f>
        <v>8.7121587737813613E-3</v>
      </c>
      <c r="O1499" s="244">
        <f>_xlfn.XLOOKUP(FME_Ranking1[[#This Row],[FME ID]],FME_Input[FME_ID],FME_Input[POP100])</f>
        <v>237</v>
      </c>
      <c r="P1499" s="178">
        <f>(FME_Ranking1[[#This Row],[Pop Raw]]/$O$2)*100</f>
        <v>2.42629489413369E-2</v>
      </c>
      <c r="Q1499" s="178">
        <f>FME_Ranking1[[#This Row],[Pop Score (Normalized, Unweighted)]]*$O$3</f>
        <v>3.639442341200535E-3</v>
      </c>
      <c r="R1499" s="137">
        <f>_xlfn.XLOOKUP(FME_Ranking1[[#This Row],[FME ID]],FME_Input[FME_ID],FME_Input[CRITFAC100])</f>
        <v>0</v>
      </c>
      <c r="S1499" s="230">
        <f>(FME_Ranking1[[#This Row],[Critical Facilities Raw]]/$R$2)*100</f>
        <v>0</v>
      </c>
      <c r="T1499" s="180">
        <f>FME_Ranking1[[#This Row],[Critical Facilities Score (Normalized, Unweighted)]]*$R$3</f>
        <v>0</v>
      </c>
      <c r="U1499">
        <f>_xlfn.XLOOKUP(FME_Ranking1[[#This Row],[FME ID]],FME_Input[FME_ID],FME_Input[LWC])</f>
        <v>0</v>
      </c>
      <c r="V1499" s="178">
        <f>(FME_Ranking1[[#This Row],[LWC Raw]]/$U$2)*100</f>
        <v>0</v>
      </c>
      <c r="W1499" s="178">
        <f>FME_Ranking1[[#This Row],[LWC Score (Normalized, Unweighted)]]*$U$3</f>
        <v>0</v>
      </c>
      <c r="X1499" s="246">
        <f>_xlfn.XLOOKUP(FME_Ranking1[[#This Row],[FME ID]],FME_Input[FME_ID],FME_Input[ROADCLS])</f>
        <v>0</v>
      </c>
      <c r="Y1499" s="230">
        <f>(FME_Ranking1[[#This Row],[Closures Raw]]/$X$2)*100</f>
        <v>0</v>
      </c>
      <c r="Z1499" s="180">
        <f>FME_Ranking1[[#This Row],[Closures Score (Normalized, Unweighted)]]*$X$3</f>
        <v>0</v>
      </c>
      <c r="AA1499" s="253">
        <f>_xlfn.XLOOKUP(FME_Ranking1[[#This Row],[FME ID]],FME_Input[FME_ID],FME_Input[ROAD_MILES100])</f>
        <v>2.3294997215271001</v>
      </c>
      <c r="AB1499" s="178">
        <f>(FME_Ranking1[[#This Row],[Miles Raw]]/$AA$2)*100</f>
        <v>3.0628743184182947E-2</v>
      </c>
      <c r="AC1499" s="178">
        <f>FME_Ranking1[[#This Row],[Miles Score (Normalized, Unweighted)]]*$AA$3</f>
        <v>3.0628743184182949E-3</v>
      </c>
      <c r="AD1499" s="255">
        <f>_xlfn.XLOOKUP(FME_Ranking1[[#This Row],[FME ID]],FME_Input[FME_ID],FME_Input[FARMACRE100])</f>
        <v>0.1211110427975655</v>
      </c>
      <c r="AE1499" s="230">
        <f>(FME_Ranking1[[#This Row],[Ag Land Raw]]/$AD$2)*100</f>
        <v>4.9940772509416851E-6</v>
      </c>
      <c r="AF1499" s="231">
        <f>FME_Ranking1[[#This Row],[Ag Land Score (Normalized, Unweighted)]]*$AD$3</f>
        <v>2.4970386254708429E-7</v>
      </c>
      <c r="AG149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2.5776503828947611E-2</v>
      </c>
      <c r="AH1499" s="406">
        <f t="shared" si="23"/>
        <v>1510</v>
      </c>
      <c r="AI149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2.5776503828947611E-2</v>
      </c>
      <c r="AJ1499" s="257">
        <f>FME_Ranking1[[#This Row],[Addition check]]-FME_Ranking1[[#This Row],[Weighted Score Based on Normalized Reported Factors]]</f>
        <v>0</v>
      </c>
      <c r="AK1499" s="178">
        <f>_xlfn.RANK.EQ(AI1499,$AI$6:$AI$2341,0)+COUNTIF($AI$6:AI1499,AI1499)-1</f>
        <v>1512</v>
      </c>
    </row>
    <row r="1500" spans="1:37" x14ac:dyDescent="0.25">
      <c r="A1500" t="s">
        <v>6394</v>
      </c>
      <c r="B1500">
        <f>_xlfn.XLOOKUP(FME_Ranking1[[#This Row],[FME ID]],FME_Input[FME_ID],FME_Input[RFPG_NUM])</f>
        <v>5</v>
      </c>
      <c r="C1500" t="str">
        <f>_xlfn.XLOOKUP(FME_Ranking1[[#This Row],[FME ID]],FME_Input[FME_ID],FME_Input[FME_NAME])</f>
        <v>City of Rose Hill Acres Road and Bridge Elevation</v>
      </c>
      <c r="D1500" t="str">
        <f>_xlfn.XLOOKUP(FME_Ranking1[[#This Row],[FME ID]],FME_Input[FME_ID],FME_Input[DESCR])</f>
        <v xml:space="preserve">H&amp;H study to locate roadways prone to flooding and identify alternatives to improve drainage. </v>
      </c>
      <c r="E1500" s="256">
        <f>_xlfn.XLOOKUP(FME_Ranking1[[#This Row],[FME ID]],FME_Input[FME_ID],FME_Input[FME_COST])</f>
        <v>50000</v>
      </c>
      <c r="F1500" t="str">
        <f>_xlfn.XLOOKUP(FME_Ranking1[[#This Row],[FME ID]],FME_Input[FME_ID],FME_Input[EMER_NEED])</f>
        <v>Yes</v>
      </c>
      <c r="G1500">
        <f>IF(FME_Ranking!F1500="Yes",100,0)</f>
        <v>100</v>
      </c>
      <c r="H1500">
        <f>FME_Ranking1[[#This Row],[Emergency Need Score (Normalized, Unweighted)]]*$F$3</f>
        <v>0</v>
      </c>
      <c r="I1500" s="246">
        <f>_xlfn.XLOOKUP(FME_Ranking1[[#This Row],[FME ID]],FME_Input[FME_ID],FME_Input[STRUCT_100])</f>
        <v>129</v>
      </c>
      <c r="J1500" s="178">
        <f>(FME_Ranking1[[#This Row],[Structures 100 Raw]]/I$2)*100</f>
        <v>6.9078524611232497E-2</v>
      </c>
      <c r="K1500" s="178">
        <f>FME_Ranking1[[#This Row],[Structures 100  Score (Normalized, Unweighted)]]*$I$3</f>
        <v>1.0361778691684875E-2</v>
      </c>
      <c r="L1500" s="246">
        <f>_xlfn.XLOOKUP(FME_Ranking1[[#This Row],[FME ID]],FME_Input[FME_ID],FME_Input[RES_STRUCT100])</f>
        <v>123</v>
      </c>
      <c r="M1500" s="230">
        <f>(FME_Ranking1[[#This Row],[Res Structures Raw]]/L$2)*100</f>
        <v>8.7121587737813602E-2</v>
      </c>
      <c r="N1500" s="180">
        <f>FME_Ranking1[[#This Row],[Res Structures Score (Normalized, Unweighted)]]*$L$3</f>
        <v>8.7121587737813613E-3</v>
      </c>
      <c r="O1500" s="244">
        <f>_xlfn.XLOOKUP(FME_Ranking1[[#This Row],[FME ID]],FME_Input[FME_ID],FME_Input[POP100])</f>
        <v>237</v>
      </c>
      <c r="P1500" s="178">
        <f>(FME_Ranking1[[#This Row],[Pop Raw]]/$O$2)*100</f>
        <v>2.42629489413369E-2</v>
      </c>
      <c r="Q1500" s="178">
        <f>FME_Ranking1[[#This Row],[Pop Score (Normalized, Unweighted)]]*$O$3</f>
        <v>3.639442341200535E-3</v>
      </c>
      <c r="R1500" s="137">
        <f>_xlfn.XLOOKUP(FME_Ranking1[[#This Row],[FME ID]],FME_Input[FME_ID],FME_Input[CRITFAC100])</f>
        <v>0</v>
      </c>
      <c r="S1500" s="230">
        <f>(FME_Ranking1[[#This Row],[Critical Facilities Raw]]/$R$2)*100</f>
        <v>0</v>
      </c>
      <c r="T1500" s="180">
        <f>FME_Ranking1[[#This Row],[Critical Facilities Score (Normalized, Unweighted)]]*$R$3</f>
        <v>0</v>
      </c>
      <c r="U1500">
        <f>_xlfn.XLOOKUP(FME_Ranking1[[#This Row],[FME ID]],FME_Input[FME_ID],FME_Input[LWC])</f>
        <v>0</v>
      </c>
      <c r="V1500" s="178">
        <f>(FME_Ranking1[[#This Row],[LWC Raw]]/$U$2)*100</f>
        <v>0</v>
      </c>
      <c r="W1500" s="178">
        <f>FME_Ranking1[[#This Row],[LWC Score (Normalized, Unweighted)]]*$U$3</f>
        <v>0</v>
      </c>
      <c r="X1500" s="246">
        <f>_xlfn.XLOOKUP(FME_Ranking1[[#This Row],[FME ID]],FME_Input[FME_ID],FME_Input[ROADCLS])</f>
        <v>0</v>
      </c>
      <c r="Y1500" s="230">
        <f>(FME_Ranking1[[#This Row],[Closures Raw]]/$X$2)*100</f>
        <v>0</v>
      </c>
      <c r="Z1500" s="180">
        <f>FME_Ranking1[[#This Row],[Closures Score (Normalized, Unweighted)]]*$X$3</f>
        <v>0</v>
      </c>
      <c r="AA1500" s="253">
        <f>_xlfn.XLOOKUP(FME_Ranking1[[#This Row],[FME ID]],FME_Input[FME_ID],FME_Input[ROAD_MILES100])</f>
        <v>2.3294997215271001</v>
      </c>
      <c r="AB1500" s="178">
        <f>(FME_Ranking1[[#This Row],[Miles Raw]]/$AA$2)*100</f>
        <v>3.0628743184182947E-2</v>
      </c>
      <c r="AC1500" s="178">
        <f>FME_Ranking1[[#This Row],[Miles Score (Normalized, Unweighted)]]*$AA$3</f>
        <v>3.0628743184182949E-3</v>
      </c>
      <c r="AD1500" s="255">
        <f>_xlfn.XLOOKUP(FME_Ranking1[[#This Row],[FME ID]],FME_Input[FME_ID],FME_Input[FARMACRE100])</f>
        <v>0.1211110427975655</v>
      </c>
      <c r="AE1500" s="230">
        <f>(FME_Ranking1[[#This Row],[Ag Land Raw]]/$AD$2)*100</f>
        <v>4.9940772509416851E-6</v>
      </c>
      <c r="AF1500" s="231">
        <f>FME_Ranking1[[#This Row],[Ag Land Score (Normalized, Unweighted)]]*$AD$3</f>
        <v>2.4970386254708429E-7</v>
      </c>
      <c r="AG150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2.5776503828947611E-2</v>
      </c>
      <c r="AH1500" s="406">
        <f t="shared" si="23"/>
        <v>1510</v>
      </c>
      <c r="AI150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2.5776503828947611E-2</v>
      </c>
      <c r="AJ1500" s="257">
        <f>FME_Ranking1[[#This Row],[Addition check]]-FME_Ranking1[[#This Row],[Weighted Score Based on Normalized Reported Factors]]</f>
        <v>0</v>
      </c>
      <c r="AK1500" s="178">
        <f>_xlfn.RANK.EQ(AI1500,$AI$6:$AI$2341,0)+COUNTIF($AI$6:AI1500,AI1500)-1</f>
        <v>1513</v>
      </c>
    </row>
    <row r="1501" spans="1:37" x14ac:dyDescent="0.25">
      <c r="A1501" t="s">
        <v>11192</v>
      </c>
      <c r="B1501">
        <f>_xlfn.XLOOKUP(FME_Ranking1[[#This Row],[FME ID]],FME_Input[FME_ID],FME_Input[RFPG_NUM])</f>
        <v>15</v>
      </c>
      <c r="C1501" t="str">
        <f>_xlfn.XLOOKUP(FME_Ranking1[[#This Row],[FME ID]],FME_Input[FME_ID],FME_Input[FME_NAME])</f>
        <v>Port Isabel Action #22</v>
      </c>
      <c r="D1501" t="str">
        <f>_xlfn.XLOOKUP(FME_Ranking1[[#This Row],[FME ID]],FME_Input[FME_ID],FME_Input[DESCR])</f>
        <v>Build breakwater or similar shoreline protection for harbor</v>
      </c>
      <c r="E1501" s="256">
        <f>_xlfn.XLOOKUP(FME_Ranking1[[#This Row],[FME ID]],FME_Input[FME_ID],FME_Input[FME_COST])</f>
        <v>1108800</v>
      </c>
      <c r="F1501" t="str">
        <f>_xlfn.XLOOKUP(FME_Ranking1[[#This Row],[FME ID]],FME_Input[FME_ID],FME_Input[EMER_NEED])</f>
        <v>Yes</v>
      </c>
      <c r="G1501">
        <f>IF(FME_Ranking!F1501="Yes",100,0)</f>
        <v>100</v>
      </c>
      <c r="H1501">
        <f>FME_Ranking1[[#This Row],[Emergency Need Score (Normalized, Unweighted)]]*$F$3</f>
        <v>0</v>
      </c>
      <c r="I1501" s="246">
        <f>_xlfn.XLOOKUP(FME_Ranking1[[#This Row],[FME ID]],FME_Input[FME_ID],FME_Input[STRUCT_100])</f>
        <v>0</v>
      </c>
      <c r="J1501" s="178">
        <f>(FME_Ranking1[[#This Row],[Structures 100 Raw]]/I$2)*100</f>
        <v>0</v>
      </c>
      <c r="K1501" s="178">
        <f>FME_Ranking1[[#This Row],[Structures 100  Score (Normalized, Unweighted)]]*$I$3</f>
        <v>0</v>
      </c>
      <c r="L1501" s="246">
        <f>_xlfn.XLOOKUP(FME_Ranking1[[#This Row],[FME ID]],FME_Input[FME_ID],FME_Input[RES_STRUCT100])</f>
        <v>167</v>
      </c>
      <c r="M1501" s="230">
        <f>(FME_Ranking1[[#This Row],[Res Structures Raw]]/L$2)*100</f>
        <v>0.1182870337578445</v>
      </c>
      <c r="N1501" s="180">
        <f>FME_Ranking1[[#This Row],[Res Structures Score (Normalized, Unweighted)]]*$L$3</f>
        <v>1.182870337578445E-2</v>
      </c>
      <c r="O1501" s="244">
        <f>_xlfn.XLOOKUP(FME_Ranking1[[#This Row],[FME ID]],FME_Input[FME_ID],FME_Input[POP100])</f>
        <v>702</v>
      </c>
      <c r="P1501" s="178">
        <f>(FME_Ranking1[[#This Row],[Pop Raw]]/$O$2)*100</f>
        <v>7.1867469016111823E-2</v>
      </c>
      <c r="Q1501" s="178">
        <f>FME_Ranking1[[#This Row],[Pop Score (Normalized, Unweighted)]]*$O$3</f>
        <v>1.0780120352416774E-2</v>
      </c>
      <c r="R1501" s="137">
        <f>_xlfn.XLOOKUP(FME_Ranking1[[#This Row],[FME ID]],FME_Input[FME_ID],FME_Input[CRITFAC100])</f>
        <v>0</v>
      </c>
      <c r="S1501" s="230">
        <f>(FME_Ranking1[[#This Row],[Critical Facilities Raw]]/$R$2)*100</f>
        <v>0</v>
      </c>
      <c r="T1501" s="180">
        <f>FME_Ranking1[[#This Row],[Critical Facilities Score (Normalized, Unweighted)]]*$R$3</f>
        <v>0</v>
      </c>
      <c r="U1501">
        <f>_xlfn.XLOOKUP(FME_Ranking1[[#This Row],[FME ID]],FME_Input[FME_ID],FME_Input[LWC])</f>
        <v>0</v>
      </c>
      <c r="V1501" s="178">
        <f>(FME_Ranking1[[#This Row],[LWC Raw]]/$U$2)*100</f>
        <v>0</v>
      </c>
      <c r="W1501" s="178">
        <f>FME_Ranking1[[#This Row],[LWC Score (Normalized, Unweighted)]]*$U$3</f>
        <v>0</v>
      </c>
      <c r="X1501" s="246">
        <f>_xlfn.XLOOKUP(FME_Ranking1[[#This Row],[FME ID]],FME_Input[FME_ID],FME_Input[ROADCLS])</f>
        <v>0</v>
      </c>
      <c r="Y1501" s="230">
        <f>(FME_Ranking1[[#This Row],[Closures Raw]]/$X$2)*100</f>
        <v>0</v>
      </c>
      <c r="Z1501" s="180">
        <f>FME_Ranking1[[#This Row],[Closures Score (Normalized, Unweighted)]]*$X$3</f>
        <v>0</v>
      </c>
      <c r="AA1501" s="253">
        <f>_xlfn.XLOOKUP(FME_Ranking1[[#This Row],[FME ID]],FME_Input[FME_ID],FME_Input[ROAD_MILES100])</f>
        <v>17.228500366210941</v>
      </c>
      <c r="AB1501" s="178">
        <f>(FME_Ranking1[[#This Row],[Miles Raw]]/$AA$2)*100</f>
        <v>0.22652387904959786</v>
      </c>
      <c r="AC1501" s="178">
        <f>FME_Ranking1[[#This Row],[Miles Score (Normalized, Unweighted)]]*$AA$3</f>
        <v>2.2652387904959787E-2</v>
      </c>
      <c r="AD1501" s="255">
        <f>_xlfn.XLOOKUP(FME_Ranking1[[#This Row],[FME ID]],FME_Input[FME_ID],FME_Input[FARMACRE100])</f>
        <v>0</v>
      </c>
      <c r="AE1501" s="230">
        <f>(FME_Ranking1[[#This Row],[Ag Land Raw]]/$AD$2)*100</f>
        <v>0</v>
      </c>
      <c r="AF1501" s="231">
        <f>FME_Ranking1[[#This Row],[Ag Land Score (Normalized, Unweighted)]]*$AD$3</f>
        <v>0</v>
      </c>
      <c r="AG150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4.5261211633161005E-2</v>
      </c>
      <c r="AH1501" s="406">
        <f t="shared" si="23"/>
        <v>1341</v>
      </c>
      <c r="AI150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4.5261211633161005E-2</v>
      </c>
      <c r="AJ1501" s="257">
        <f>FME_Ranking1[[#This Row],[Addition check]]-FME_Ranking1[[#This Row],[Weighted Score Based on Normalized Reported Factors]]</f>
        <v>0</v>
      </c>
      <c r="AK1501" s="178">
        <f>_xlfn.RANK.EQ(AI1501,$AI$6:$AI$2341,0)+COUNTIF($AI$6:AI1501,AI1501)-1</f>
        <v>1341</v>
      </c>
    </row>
    <row r="1502" spans="1:37" x14ac:dyDescent="0.25">
      <c r="A1502" t="s">
        <v>5932</v>
      </c>
      <c r="B1502">
        <f>_xlfn.XLOOKUP(FME_Ranking1[[#This Row],[FME ID]],FME_Input[FME_ID],FME_Input[RFPG_NUM])</f>
        <v>5</v>
      </c>
      <c r="C1502" t="str">
        <f>_xlfn.XLOOKUP(FME_Ranking1[[#This Row],[FME ID]],FME_Input[FME_ID],FME_Input[FME_NAME])</f>
        <v>Rusk County Update Flood Hazard Mapping</v>
      </c>
      <c r="D1502" t="str">
        <f>_xlfn.XLOOKUP(FME_Ranking1[[#This Row],[FME ID]],FME_Input[FME_ID],FME_Input[DESCR])</f>
        <v>Complete a detailed study within the county extent to delineate an updated flood hazard area, which can be used for regulatory purposes.</v>
      </c>
      <c r="E1502" s="256">
        <f>_xlfn.XLOOKUP(FME_Ranking1[[#This Row],[FME ID]],FME_Input[FME_ID],FME_Input[FME_COST])</f>
        <v>1318550</v>
      </c>
      <c r="F1502" t="str">
        <f>_xlfn.XLOOKUP(FME_Ranking1[[#This Row],[FME ID]],FME_Input[FME_ID],FME_Input[EMER_NEED])</f>
        <v>Yes</v>
      </c>
      <c r="G1502">
        <f>IF(FME_Ranking!F1502="Yes",100,0)</f>
        <v>100</v>
      </c>
      <c r="H1502">
        <f>FME_Ranking1[[#This Row],[Emergency Need Score (Normalized, Unweighted)]]*$F$3</f>
        <v>0</v>
      </c>
      <c r="I1502" s="246">
        <f>_xlfn.XLOOKUP(FME_Ranking1[[#This Row],[FME ID]],FME_Input[FME_ID],FME_Input[STRUCT_100])</f>
        <v>91</v>
      </c>
      <c r="J1502" s="178">
        <f>(FME_Ranking1[[#This Row],[Structures 100 Raw]]/I$2)*100</f>
        <v>4.8729811935055475E-2</v>
      </c>
      <c r="K1502" s="178">
        <f>FME_Ranking1[[#This Row],[Structures 100  Score (Normalized, Unweighted)]]*$I$3</f>
        <v>7.3094717902583211E-3</v>
      </c>
      <c r="L1502" s="246">
        <f>_xlfn.XLOOKUP(FME_Ranking1[[#This Row],[FME ID]],FME_Input[FME_ID],FME_Input[RES_STRUCT100])</f>
        <v>45</v>
      </c>
      <c r="M1502" s="230">
        <f>(FME_Ranking1[[#This Row],[Res Structures Raw]]/L$2)*100</f>
        <v>3.1873751611395225E-2</v>
      </c>
      <c r="N1502" s="180">
        <f>FME_Ranking1[[#This Row],[Res Structures Score (Normalized, Unweighted)]]*$L$3</f>
        <v>3.1873751611395228E-3</v>
      </c>
      <c r="O1502" s="244">
        <f>_xlfn.XLOOKUP(FME_Ranking1[[#This Row],[FME ID]],FME_Input[FME_ID],FME_Input[POP100])</f>
        <v>191</v>
      </c>
      <c r="P1502" s="178">
        <f>(FME_Ranking1[[#This Row],[Pop Raw]]/$O$2)*100</f>
        <v>1.9553684589853789E-2</v>
      </c>
      <c r="Q1502" s="178">
        <f>FME_Ranking1[[#This Row],[Pop Score (Normalized, Unweighted)]]*$O$3</f>
        <v>2.9330526884780682E-3</v>
      </c>
      <c r="R1502" s="137">
        <f>_xlfn.XLOOKUP(FME_Ranking1[[#This Row],[FME ID]],FME_Input[FME_ID],FME_Input[CRITFAC100])</f>
        <v>1</v>
      </c>
      <c r="S1502" s="230">
        <f>(FME_Ranking1[[#This Row],[Critical Facilities Raw]]/$R$2)*100</f>
        <v>4.2881646655231559E-2</v>
      </c>
      <c r="T1502" s="180">
        <f>FME_Ranking1[[#This Row],[Critical Facilities Score (Normalized, Unweighted)]]*$R$3</f>
        <v>8.5763293310463125E-3</v>
      </c>
      <c r="U1502">
        <f>_xlfn.XLOOKUP(FME_Ranking1[[#This Row],[FME ID]],FME_Input[FME_ID],FME_Input[LWC])</f>
        <v>0</v>
      </c>
      <c r="V1502" s="178">
        <f>(FME_Ranking1[[#This Row],[LWC Raw]]/$U$2)*100</f>
        <v>0</v>
      </c>
      <c r="W1502" s="178">
        <f>FME_Ranking1[[#This Row],[LWC Score (Normalized, Unweighted)]]*$U$3</f>
        <v>0</v>
      </c>
      <c r="X1502" s="246">
        <f>_xlfn.XLOOKUP(FME_Ranking1[[#This Row],[FME ID]],FME_Input[FME_ID],FME_Input[ROADCLS])</f>
        <v>0</v>
      </c>
      <c r="Y1502" s="230">
        <f>(FME_Ranking1[[#This Row],[Closures Raw]]/$X$2)*100</f>
        <v>0</v>
      </c>
      <c r="Z1502" s="180">
        <f>FME_Ranking1[[#This Row],[Closures Score (Normalized, Unweighted)]]*$X$3</f>
        <v>0</v>
      </c>
      <c r="AA1502" s="253">
        <f>_xlfn.XLOOKUP(FME_Ranking1[[#This Row],[FME ID]],FME_Input[FME_ID],FME_Input[ROAD_MILES100])</f>
        <v>21.115413665771481</v>
      </c>
      <c r="AB1502" s="178">
        <f>(FME_Ranking1[[#This Row],[Miles Raw]]/$AA$2)*100</f>
        <v>0.27762981743253146</v>
      </c>
      <c r="AC1502" s="178">
        <f>FME_Ranking1[[#This Row],[Miles Score (Normalized, Unweighted)]]*$AA$3</f>
        <v>2.7762981743253146E-2</v>
      </c>
      <c r="AD1502" s="255">
        <f>_xlfn.XLOOKUP(FME_Ranking1[[#This Row],[FME ID]],FME_Input[FME_ID],FME_Input[FARMACRE100])</f>
        <v>206.473876953125</v>
      </c>
      <c r="AE1502" s="230">
        <f>(FME_Ranking1[[#This Row],[Ag Land Raw]]/$AD$2)*100</f>
        <v>8.5140584044749203E-3</v>
      </c>
      <c r="AF1502" s="231">
        <f>FME_Ranking1[[#This Row],[Ag Land Score (Normalized, Unweighted)]]*$AD$3</f>
        <v>4.2570292022374602E-4</v>
      </c>
      <c r="AG150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5.019491363439911E-2</v>
      </c>
      <c r="AH1502" s="406">
        <f t="shared" si="23"/>
        <v>1315</v>
      </c>
      <c r="AI150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5.019491363439911E-2</v>
      </c>
      <c r="AJ1502" s="257">
        <f>FME_Ranking1[[#This Row],[Addition check]]-FME_Ranking1[[#This Row],[Weighted Score Based on Normalized Reported Factors]]</f>
        <v>0</v>
      </c>
      <c r="AK1502" s="178">
        <f>_xlfn.RANK.EQ(AI1502,$AI$6:$AI$2341,0)+COUNTIF($AI$6:AI1502,AI1502)-1</f>
        <v>1315</v>
      </c>
    </row>
    <row r="1503" spans="1:37" x14ac:dyDescent="0.25">
      <c r="A1503" t="s">
        <v>6163</v>
      </c>
      <c r="B1503">
        <f>_xlfn.XLOOKUP(FME_Ranking1[[#This Row],[FME ID]],FME_Input[FME_ID],FME_Input[RFPG_NUM])</f>
        <v>5</v>
      </c>
      <c r="C1503" t="str">
        <f>_xlfn.XLOOKUP(FME_Ranking1[[#This Row],[FME ID]],FME_Input[FME_ID],FME_Input[FME_NAME])</f>
        <v>Rusk County Master Drainage Plan</v>
      </c>
      <c r="D1503"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1503" s="256">
        <f>_xlfn.XLOOKUP(FME_Ranking1[[#This Row],[FME ID]],FME_Input[FME_ID],FME_Input[FME_COST])</f>
        <v>1400000</v>
      </c>
      <c r="F1503" t="str">
        <f>_xlfn.XLOOKUP(FME_Ranking1[[#This Row],[FME ID]],FME_Input[FME_ID],FME_Input[EMER_NEED])</f>
        <v>Yes</v>
      </c>
      <c r="G1503">
        <f>IF(FME_Ranking!F1503="Yes",100,0)</f>
        <v>100</v>
      </c>
      <c r="H1503">
        <f>FME_Ranking1[[#This Row],[Emergency Need Score (Normalized, Unweighted)]]*$F$3</f>
        <v>0</v>
      </c>
      <c r="I1503" s="246">
        <f>_xlfn.XLOOKUP(FME_Ranking1[[#This Row],[FME ID]],FME_Input[FME_ID],FME_Input[STRUCT_100])</f>
        <v>91</v>
      </c>
      <c r="J1503" s="178">
        <f>(FME_Ranking1[[#This Row],[Structures 100 Raw]]/I$2)*100</f>
        <v>4.8729811935055475E-2</v>
      </c>
      <c r="K1503" s="178">
        <f>FME_Ranking1[[#This Row],[Structures 100  Score (Normalized, Unweighted)]]*$I$3</f>
        <v>7.3094717902583211E-3</v>
      </c>
      <c r="L1503" s="246">
        <f>_xlfn.XLOOKUP(FME_Ranking1[[#This Row],[FME ID]],FME_Input[FME_ID],FME_Input[RES_STRUCT100])</f>
        <v>45</v>
      </c>
      <c r="M1503" s="230">
        <f>(FME_Ranking1[[#This Row],[Res Structures Raw]]/L$2)*100</f>
        <v>3.1873751611395225E-2</v>
      </c>
      <c r="N1503" s="180">
        <f>FME_Ranking1[[#This Row],[Res Structures Score (Normalized, Unweighted)]]*$L$3</f>
        <v>3.1873751611395228E-3</v>
      </c>
      <c r="O1503" s="244">
        <f>_xlfn.XLOOKUP(FME_Ranking1[[#This Row],[FME ID]],FME_Input[FME_ID],FME_Input[POP100])</f>
        <v>191</v>
      </c>
      <c r="P1503" s="178">
        <f>(FME_Ranking1[[#This Row],[Pop Raw]]/$O$2)*100</f>
        <v>1.9553684589853789E-2</v>
      </c>
      <c r="Q1503" s="178">
        <f>FME_Ranking1[[#This Row],[Pop Score (Normalized, Unweighted)]]*$O$3</f>
        <v>2.9330526884780682E-3</v>
      </c>
      <c r="R1503" s="137">
        <f>_xlfn.XLOOKUP(FME_Ranking1[[#This Row],[FME ID]],FME_Input[FME_ID],FME_Input[CRITFAC100])</f>
        <v>1</v>
      </c>
      <c r="S1503" s="230">
        <f>(FME_Ranking1[[#This Row],[Critical Facilities Raw]]/$R$2)*100</f>
        <v>4.2881646655231559E-2</v>
      </c>
      <c r="T1503" s="180">
        <f>FME_Ranking1[[#This Row],[Critical Facilities Score (Normalized, Unweighted)]]*$R$3</f>
        <v>8.5763293310463125E-3</v>
      </c>
      <c r="U1503">
        <f>_xlfn.XLOOKUP(FME_Ranking1[[#This Row],[FME ID]],FME_Input[FME_ID],FME_Input[LWC])</f>
        <v>0</v>
      </c>
      <c r="V1503" s="178">
        <f>(FME_Ranking1[[#This Row],[LWC Raw]]/$U$2)*100</f>
        <v>0</v>
      </c>
      <c r="W1503" s="178">
        <f>FME_Ranking1[[#This Row],[LWC Score (Normalized, Unweighted)]]*$U$3</f>
        <v>0</v>
      </c>
      <c r="X1503" s="246">
        <f>_xlfn.XLOOKUP(FME_Ranking1[[#This Row],[FME ID]],FME_Input[FME_ID],FME_Input[ROADCLS])</f>
        <v>0</v>
      </c>
      <c r="Y1503" s="230">
        <f>(FME_Ranking1[[#This Row],[Closures Raw]]/$X$2)*100</f>
        <v>0</v>
      </c>
      <c r="Z1503" s="180">
        <f>FME_Ranking1[[#This Row],[Closures Score (Normalized, Unweighted)]]*$X$3</f>
        <v>0</v>
      </c>
      <c r="AA1503" s="253">
        <f>_xlfn.XLOOKUP(FME_Ranking1[[#This Row],[FME ID]],FME_Input[FME_ID],FME_Input[ROAD_MILES100])</f>
        <v>21.115413665771481</v>
      </c>
      <c r="AB1503" s="178">
        <f>(FME_Ranking1[[#This Row],[Miles Raw]]/$AA$2)*100</f>
        <v>0.27762981743253146</v>
      </c>
      <c r="AC1503" s="178">
        <f>FME_Ranking1[[#This Row],[Miles Score (Normalized, Unweighted)]]*$AA$3</f>
        <v>2.7762981743253146E-2</v>
      </c>
      <c r="AD1503" s="255">
        <f>_xlfn.XLOOKUP(FME_Ranking1[[#This Row],[FME ID]],FME_Input[FME_ID],FME_Input[FARMACRE100])</f>
        <v>206.473876953125</v>
      </c>
      <c r="AE1503" s="230">
        <f>(FME_Ranking1[[#This Row],[Ag Land Raw]]/$AD$2)*100</f>
        <v>8.5140584044749203E-3</v>
      </c>
      <c r="AF1503" s="231">
        <f>FME_Ranking1[[#This Row],[Ag Land Score (Normalized, Unweighted)]]*$AD$3</f>
        <v>4.2570292022374602E-4</v>
      </c>
      <c r="AG150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5.019491363439911E-2</v>
      </c>
      <c r="AH1503" s="406">
        <f t="shared" si="23"/>
        <v>1315</v>
      </c>
      <c r="AI150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5.019491363439911E-2</v>
      </c>
      <c r="AJ1503" s="257">
        <f>FME_Ranking1[[#This Row],[Addition check]]-FME_Ranking1[[#This Row],[Weighted Score Based on Normalized Reported Factors]]</f>
        <v>0</v>
      </c>
      <c r="AK1503" s="178">
        <f>_xlfn.RANK.EQ(AI1503,$AI$6:$AI$2341,0)+COUNTIF($AI$6:AI1503,AI1503)-1</f>
        <v>1316</v>
      </c>
    </row>
    <row r="1504" spans="1:37" x14ac:dyDescent="0.25">
      <c r="A1504" t="s">
        <v>4858</v>
      </c>
      <c r="B1504">
        <f>_xlfn.XLOOKUP(FME_Ranking1[[#This Row],[FME ID]],FME_Input[FME_ID],FME_Input[RFPG_NUM])</f>
        <v>3</v>
      </c>
      <c r="C1504" t="str">
        <f>_xlfn.XLOOKUP(FME_Ranking1[[#This Row],[FME ID]],FME_Input[FME_ID],FME_Input[FME_NAME])</f>
        <v>North Weatherford St and Oakwood St Structure Improvements</v>
      </c>
      <c r="D1504" t="str">
        <f>_xlfn.XLOOKUP(FME_Ranking1[[#This Row],[FME ID]],FME_Input[FME_ID],FME_Input[DESCR])</f>
        <v>Structure improvements assessment - North Weatherford St in front of fire station and Oakwood St between Granada and El Camino.</v>
      </c>
      <c r="E1504" s="256">
        <f>_xlfn.XLOOKUP(FME_Ranking1[[#This Row],[FME ID]],FME_Input[FME_ID],FME_Input[FME_COST])</f>
        <v>200000</v>
      </c>
      <c r="F1504" t="str">
        <f>_xlfn.XLOOKUP(FME_Ranking1[[#This Row],[FME ID]],FME_Input[FME_ID],FME_Input[EMER_NEED])</f>
        <v>No</v>
      </c>
      <c r="G1504">
        <f>IF(FME_Ranking!F1504="Yes",100,0)</f>
        <v>0</v>
      </c>
      <c r="H1504">
        <f>FME_Ranking1[[#This Row],[Emergency Need Score (Normalized, Unweighted)]]*$F$3</f>
        <v>0</v>
      </c>
      <c r="I1504" s="246">
        <f>_xlfn.XLOOKUP(FME_Ranking1[[#This Row],[FME ID]],FME_Input[FME_ID],FME_Input[STRUCT_100])</f>
        <v>30</v>
      </c>
      <c r="J1504" s="178">
        <f>(FME_Ranking1[[#This Row],[Structures 100 Raw]]/I$2)*100</f>
        <v>1.6064773165402904E-2</v>
      </c>
      <c r="K1504" s="178">
        <f>FME_Ranking1[[#This Row],[Structures 100  Score (Normalized, Unweighted)]]*$I$3</f>
        <v>2.4097159748104357E-3</v>
      </c>
      <c r="L1504" s="246">
        <f>_xlfn.XLOOKUP(FME_Ranking1[[#This Row],[FME ID]],FME_Input[FME_ID],FME_Input[RES_STRUCT100])</f>
        <v>23</v>
      </c>
      <c r="M1504" s="230">
        <f>(FME_Ranking1[[#This Row],[Res Structures Raw]]/L$2)*100</f>
        <v>1.6291028601379778E-2</v>
      </c>
      <c r="N1504" s="180">
        <f>FME_Ranking1[[#This Row],[Res Structures Score (Normalized, Unweighted)]]*$L$3</f>
        <v>1.6291028601379779E-3</v>
      </c>
      <c r="O1504" s="244">
        <f>_xlfn.XLOOKUP(FME_Ranking1[[#This Row],[FME ID]],FME_Input[FME_ID],FME_Input[POP100])</f>
        <v>35</v>
      </c>
      <c r="P1504" s="178">
        <f>(FME_Ranking1[[#This Row],[Pop Raw]]/$O$2)*100</f>
        <v>3.5831359196067153E-3</v>
      </c>
      <c r="Q1504" s="178">
        <f>FME_Ranking1[[#This Row],[Pop Score (Normalized, Unweighted)]]*$O$3</f>
        <v>5.374703879410073E-4</v>
      </c>
      <c r="R1504" s="137">
        <f>_xlfn.XLOOKUP(FME_Ranking1[[#This Row],[FME ID]],FME_Input[FME_ID],FME_Input[CRITFAC100])</f>
        <v>2</v>
      </c>
      <c r="S1504" s="230">
        <f>(FME_Ranking1[[#This Row],[Critical Facilities Raw]]/$R$2)*100</f>
        <v>8.5763293310463118E-2</v>
      </c>
      <c r="T1504" s="180">
        <f>FME_Ranking1[[#This Row],[Critical Facilities Score (Normalized, Unweighted)]]*$R$3</f>
        <v>1.7152658662092625E-2</v>
      </c>
      <c r="U1504">
        <f>_xlfn.XLOOKUP(FME_Ranking1[[#This Row],[FME ID]],FME_Input[FME_ID],FME_Input[LWC])</f>
        <v>0</v>
      </c>
      <c r="V1504" s="178">
        <f>(FME_Ranking1[[#This Row],[LWC Raw]]/$U$2)*100</f>
        <v>0</v>
      </c>
      <c r="W1504" s="178">
        <f>FME_Ranking1[[#This Row],[LWC Score (Normalized, Unweighted)]]*$U$3</f>
        <v>0</v>
      </c>
      <c r="X1504" s="246">
        <f>_xlfn.XLOOKUP(FME_Ranking1[[#This Row],[FME ID]],FME_Input[FME_ID],FME_Input[ROADCLS])</f>
        <v>0</v>
      </c>
      <c r="Y1504" s="230">
        <f>(FME_Ranking1[[#This Row],[Closures Raw]]/$X$2)*100</f>
        <v>0</v>
      </c>
      <c r="Z1504" s="180">
        <f>FME_Ranking1[[#This Row],[Closures Score (Normalized, Unweighted)]]*$X$3</f>
        <v>0</v>
      </c>
      <c r="AA1504" s="253">
        <f>_xlfn.XLOOKUP(FME_Ranking1[[#This Row],[FME ID]],FME_Input[FME_ID],FME_Input[ROAD_MILES100])</f>
        <v>1.808284997940063</v>
      </c>
      <c r="AB1504" s="178">
        <f>(FME_Ranking1[[#This Row],[Miles Raw]]/$AA$2)*100</f>
        <v>2.3775704411507333E-2</v>
      </c>
      <c r="AC1504" s="178">
        <f>FME_Ranking1[[#This Row],[Miles Score (Normalized, Unweighted)]]*$AA$3</f>
        <v>2.3775704411507334E-3</v>
      </c>
      <c r="AD1504" s="255">
        <f>_xlfn.XLOOKUP(FME_Ranking1[[#This Row],[FME ID]],FME_Input[FME_ID],FME_Input[FARMACRE100])</f>
        <v>303.35958862304688</v>
      </c>
      <c r="AE1504" s="230">
        <f>(FME_Ranking1[[#This Row],[Ag Land Raw]]/$AD$2)*100</f>
        <v>1.2509191444496753E-2</v>
      </c>
      <c r="AF1504" s="231">
        <f>FME_Ranking1[[#This Row],[Ag Land Score (Normalized, Unweighted)]]*$AD$3</f>
        <v>6.2545957222483769E-4</v>
      </c>
      <c r="AG150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2.4731977898357616E-2</v>
      </c>
      <c r="AH1504" s="406">
        <f t="shared" si="23"/>
        <v>1524</v>
      </c>
      <c r="AI150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2.4731977898357616E-2</v>
      </c>
      <c r="AJ1504" s="257">
        <f>FME_Ranking1[[#This Row],[Addition check]]-FME_Ranking1[[#This Row],[Weighted Score Based on Normalized Reported Factors]]</f>
        <v>0</v>
      </c>
      <c r="AK1504" s="178">
        <f>_xlfn.RANK.EQ(AI1504,$AI$6:$AI$2341,0)+COUNTIF($AI$6:AI1504,AI1504)-1</f>
        <v>1524</v>
      </c>
    </row>
    <row r="1505" spans="1:37" x14ac:dyDescent="0.25">
      <c r="A1505" t="s">
        <v>7754</v>
      </c>
      <c r="B1505">
        <f>_xlfn.XLOOKUP(FME_Ranking1[[#This Row],[FME ID]],FME_Input[FME_ID],FME_Input[RFPG_NUM])</f>
        <v>8</v>
      </c>
      <c r="C1505" t="str">
        <f>_xlfn.XLOOKUP(FME_Ranking1[[#This Row],[FME ID]],FME_Input[FME_ID],FME_Input[FME_NAME])</f>
        <v>Improve Chandler Branch Tributary</v>
      </c>
      <c r="D1505" t="str">
        <f>_xlfn.XLOOKUP(FME_Ranking1[[#This Row],[FME ID]],FME_Input[FME_ID],FME_Input[DESCR])</f>
        <v>Channel improvements from Eagles Nest St to Settlement Dr.</v>
      </c>
      <c r="E1505" s="256">
        <f>_xlfn.XLOOKUP(FME_Ranking1[[#This Row],[FME ID]],FME_Input[FME_ID],FME_Input[FME_COST])</f>
        <v>202000</v>
      </c>
      <c r="F1505" t="str">
        <f>_xlfn.XLOOKUP(FME_Ranking1[[#This Row],[FME ID]],FME_Input[FME_ID],FME_Input[EMER_NEED])</f>
        <v>No</v>
      </c>
      <c r="G1505">
        <f>IF(FME_Ranking!F1505="Yes",100,0)</f>
        <v>0</v>
      </c>
      <c r="H1505">
        <f>FME_Ranking1[[#This Row],[Emergency Need Score (Normalized, Unweighted)]]*$F$3</f>
        <v>0</v>
      </c>
      <c r="I1505" s="246">
        <f>_xlfn.XLOOKUP(FME_Ranking1[[#This Row],[FME ID]],FME_Input[FME_ID],FME_Input[STRUCT_100])</f>
        <v>21</v>
      </c>
      <c r="J1505" s="178">
        <f>(FME_Ranking1[[#This Row],[Structures 100 Raw]]/I$2)*100</f>
        <v>1.1245341215782032E-2</v>
      </c>
      <c r="K1505" s="178">
        <f>FME_Ranking1[[#This Row],[Structures 100  Score (Normalized, Unweighted)]]*$I$3</f>
        <v>1.6868011823673048E-3</v>
      </c>
      <c r="L1505" s="246">
        <f>_xlfn.XLOOKUP(FME_Ranking1[[#This Row],[FME ID]],FME_Input[FME_ID],FME_Input[RES_STRUCT100])</f>
        <v>18</v>
      </c>
      <c r="M1505" s="230">
        <f>(FME_Ranking1[[#This Row],[Res Structures Raw]]/L$2)*100</f>
        <v>1.2749500644558088E-2</v>
      </c>
      <c r="N1505" s="180">
        <f>FME_Ranking1[[#This Row],[Res Structures Score (Normalized, Unweighted)]]*$L$3</f>
        <v>1.2749500644558089E-3</v>
      </c>
      <c r="O1505" s="244">
        <f>_xlfn.XLOOKUP(FME_Ranking1[[#This Row],[FME ID]],FME_Input[FME_ID],FME_Input[POP100])</f>
        <v>58</v>
      </c>
      <c r="P1505" s="178">
        <f>(FME_Ranking1[[#This Row],[Pop Raw]]/$O$2)*100</f>
        <v>5.9377680953482705E-3</v>
      </c>
      <c r="Q1505" s="178">
        <f>FME_Ranking1[[#This Row],[Pop Score (Normalized, Unweighted)]]*$O$3</f>
        <v>8.9066521430224057E-4</v>
      </c>
      <c r="R1505" s="137">
        <f>_xlfn.XLOOKUP(FME_Ranking1[[#This Row],[FME ID]],FME_Input[FME_ID],FME_Input[CRITFAC100])</f>
        <v>0</v>
      </c>
      <c r="S1505" s="230">
        <f>(FME_Ranking1[[#This Row],[Critical Facilities Raw]]/$R$2)*100</f>
        <v>0</v>
      </c>
      <c r="T1505" s="180">
        <f>FME_Ranking1[[#This Row],[Critical Facilities Score (Normalized, Unweighted)]]*$R$3</f>
        <v>0</v>
      </c>
      <c r="U1505">
        <f>_xlfn.XLOOKUP(FME_Ranking1[[#This Row],[FME ID]],FME_Input[FME_ID],FME_Input[LWC])</f>
        <v>1</v>
      </c>
      <c r="V1505" s="178">
        <f>(FME_Ranking1[[#This Row],[LWC Raw]]/$U$2)*100</f>
        <v>5.7570523891767422E-2</v>
      </c>
      <c r="W1505" s="178">
        <f>FME_Ranking1[[#This Row],[LWC Score (Normalized, Unweighted)]]*$U$3</f>
        <v>1.1514104778353485E-2</v>
      </c>
      <c r="X1505" s="246">
        <f>_xlfn.XLOOKUP(FME_Ranking1[[#This Row],[FME ID]],FME_Input[FME_ID],FME_Input[ROADCLS])</f>
        <v>13</v>
      </c>
      <c r="Y1505" s="230">
        <f>(FME_Ranking1[[#This Row],[Closures Raw]]/$X$2)*100</f>
        <v>0.13668383976448323</v>
      </c>
      <c r="Z1505" s="180">
        <f>FME_Ranking1[[#This Row],[Closures Score (Normalized, Unweighted)]]*$X$3</f>
        <v>6.8341919882241621E-3</v>
      </c>
      <c r="AA1505" s="253">
        <f>_xlfn.XLOOKUP(FME_Ranking1[[#This Row],[FME ID]],FME_Input[FME_ID],FME_Input[ROAD_MILES100])</f>
        <v>0.41014000773429871</v>
      </c>
      <c r="AB1505" s="178">
        <f>(FME_Ranking1[[#This Row],[Miles Raw]]/$AA$2)*100</f>
        <v>5.3926054810676657E-3</v>
      </c>
      <c r="AC1505" s="178">
        <f>FME_Ranking1[[#This Row],[Miles Score (Normalized, Unweighted)]]*$AA$3</f>
        <v>5.3926054810676664E-4</v>
      </c>
      <c r="AD1505" s="255">
        <f>_xlfn.XLOOKUP(FME_Ranking1[[#This Row],[FME ID]],FME_Input[FME_ID],FME_Input[FARMACRE100])</f>
        <v>9.8276300430297852</v>
      </c>
      <c r="AE1505" s="230">
        <f>(FME_Ranking1[[#This Row],[Ag Land Raw]]/$AD$2)*100</f>
        <v>4.0524746955240219E-4</v>
      </c>
      <c r="AF1505" s="231">
        <f>FME_Ranking1[[#This Row],[Ag Land Score (Normalized, Unweighted)]]*$AD$3</f>
        <v>2.0262373477620111E-5</v>
      </c>
      <c r="AG150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2.2760236149287388E-2</v>
      </c>
      <c r="AH1505" s="406">
        <f t="shared" si="23"/>
        <v>1545</v>
      </c>
      <c r="AI150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2.2760236149287388E-2</v>
      </c>
      <c r="AJ1505" s="257">
        <f>FME_Ranking1[[#This Row],[Addition check]]-FME_Ranking1[[#This Row],[Weighted Score Based on Normalized Reported Factors]]</f>
        <v>0</v>
      </c>
      <c r="AK1505" s="178">
        <f>_xlfn.RANK.EQ(AI1505,$AI$6:$AI$2341,0)+COUNTIF($AI$6:AI1505,AI1505)-1</f>
        <v>1545</v>
      </c>
    </row>
    <row r="1506" spans="1:37" x14ac:dyDescent="0.25">
      <c r="A1506" t="s">
        <v>10623</v>
      </c>
      <c r="B1506">
        <f>_xlfn.XLOOKUP(FME_Ranking1[[#This Row],[FME ID]],FME_Input[FME_ID],FME_Input[RFPG_NUM])</f>
        <v>13</v>
      </c>
      <c r="C1506" t="str">
        <f>_xlfn.XLOOKUP(FME_Ranking1[[#This Row],[FME ID]],FME_Input[FME_ID],FME_Input[FME_NAME])</f>
        <v>Webb County Becerra Creek Headwater Flood Study</v>
      </c>
      <c r="D1506" t="str">
        <f>_xlfn.XLOOKUP(FME_Ranking1[[#This Row],[FME ID]],FME_Input[FME_ID],FME_Input[DESCR])</f>
        <v xml:space="preserve">Flood study to define existing flood risk and potential flood risk reduction projects for subdivisions located in the vicinity of Highway 59. </v>
      </c>
      <c r="E1506" s="256">
        <f>_xlfn.XLOOKUP(FME_Ranking1[[#This Row],[FME ID]],FME_Input[FME_ID],FME_Input[FME_COST])</f>
        <v>120000</v>
      </c>
      <c r="F1506" t="str">
        <f>_xlfn.XLOOKUP(FME_Ranking1[[#This Row],[FME ID]],FME_Input[FME_ID],FME_Input[EMER_NEED])</f>
        <v>Yes</v>
      </c>
      <c r="G1506">
        <f>IF(FME_Ranking!F1506="Yes",100,0)</f>
        <v>100</v>
      </c>
      <c r="H1506">
        <f>FME_Ranking1[[#This Row],[Emergency Need Score (Normalized, Unweighted)]]*$F$3</f>
        <v>0</v>
      </c>
      <c r="I1506" s="246">
        <f>_xlfn.XLOOKUP(FME_Ranking1[[#This Row],[FME ID]],FME_Input[FME_ID],FME_Input[STRUCT_100])</f>
        <v>97</v>
      </c>
      <c r="J1506" s="178">
        <f>(FME_Ranking1[[#This Row],[Structures 100 Raw]]/I$2)*100</f>
        <v>5.1942766568136053E-2</v>
      </c>
      <c r="K1506" s="178">
        <f>FME_Ranking1[[#This Row],[Structures 100  Score (Normalized, Unweighted)]]*$I$3</f>
        <v>7.7914149852204078E-3</v>
      </c>
      <c r="L1506" s="246">
        <f>_xlfn.XLOOKUP(FME_Ranking1[[#This Row],[FME ID]],FME_Input[FME_ID],FME_Input[RES_STRUCT100])</f>
        <v>82</v>
      </c>
      <c r="M1506" s="230">
        <f>(FME_Ranking1[[#This Row],[Res Structures Raw]]/L$2)*100</f>
        <v>5.8081058491875739E-2</v>
      </c>
      <c r="N1506" s="180">
        <f>FME_Ranking1[[#This Row],[Res Structures Score (Normalized, Unweighted)]]*$L$3</f>
        <v>5.8081058491875745E-3</v>
      </c>
      <c r="O1506" s="244">
        <f>_xlfn.XLOOKUP(FME_Ranking1[[#This Row],[FME ID]],FME_Input[FME_ID],FME_Input[POP100])</f>
        <v>35</v>
      </c>
      <c r="P1506" s="178">
        <f>(FME_Ranking1[[#This Row],[Pop Raw]]/$O$2)*100</f>
        <v>3.5831359196067153E-3</v>
      </c>
      <c r="Q1506" s="178">
        <f>FME_Ranking1[[#This Row],[Pop Score (Normalized, Unweighted)]]*$O$3</f>
        <v>5.374703879410073E-4</v>
      </c>
      <c r="R1506" s="137">
        <f>_xlfn.XLOOKUP(FME_Ranking1[[#This Row],[FME ID]],FME_Input[FME_ID],FME_Input[CRITFAC100])</f>
        <v>0</v>
      </c>
      <c r="S1506" s="230">
        <f>(FME_Ranking1[[#This Row],[Critical Facilities Raw]]/$R$2)*100</f>
        <v>0</v>
      </c>
      <c r="T1506" s="180">
        <f>FME_Ranking1[[#This Row],[Critical Facilities Score (Normalized, Unweighted)]]*$R$3</f>
        <v>0</v>
      </c>
      <c r="U1506">
        <f>_xlfn.XLOOKUP(FME_Ranking1[[#This Row],[FME ID]],FME_Input[FME_ID],FME_Input[LWC])</f>
        <v>0</v>
      </c>
      <c r="V1506" s="178">
        <f>(FME_Ranking1[[#This Row],[LWC Raw]]/$U$2)*100</f>
        <v>0</v>
      </c>
      <c r="W1506" s="178">
        <f>FME_Ranking1[[#This Row],[LWC Score (Normalized, Unweighted)]]*$U$3</f>
        <v>0</v>
      </c>
      <c r="X1506" s="246">
        <f>_xlfn.XLOOKUP(FME_Ranking1[[#This Row],[FME ID]],FME_Input[FME_ID],FME_Input[ROADCLS])</f>
        <v>15</v>
      </c>
      <c r="Y1506" s="230">
        <f>(FME_Ranking1[[#This Row],[Closures Raw]]/$X$2)*100</f>
        <v>0.15771212280517297</v>
      </c>
      <c r="Z1506" s="180">
        <f>FME_Ranking1[[#This Row],[Closures Score (Normalized, Unweighted)]]*$X$3</f>
        <v>7.8856061402586483E-3</v>
      </c>
      <c r="AA1506" s="253">
        <f>_xlfn.XLOOKUP(FME_Ranking1[[#This Row],[FME ID]],FME_Input[FME_ID],FME_Input[ROAD_MILES100])</f>
        <v>8.5024290084838867</v>
      </c>
      <c r="AB1506" s="178">
        <f>(FME_Ranking1[[#This Row],[Miles Raw]]/$AA$2)*100</f>
        <v>0.11179169163921733</v>
      </c>
      <c r="AC1506" s="178">
        <f>FME_Ranking1[[#This Row],[Miles Score (Normalized, Unweighted)]]*$AA$3</f>
        <v>1.1179169163921733E-2</v>
      </c>
      <c r="AD1506" s="255">
        <f>_xlfn.XLOOKUP(FME_Ranking1[[#This Row],[FME ID]],FME_Input[FME_ID],FME_Input[FARMACRE100])</f>
        <v>0.46323740482330322</v>
      </c>
      <c r="AE1506" s="230">
        <f>(FME_Ranking1[[#This Row],[Ag Land Raw]]/$AD$2)*100</f>
        <v>1.9101836890961244E-5</v>
      </c>
      <c r="AF1506" s="231">
        <f>FME_Ranking1[[#This Row],[Ag Land Score (Normalized, Unweighted)]]*$AD$3</f>
        <v>9.5509184454806232E-7</v>
      </c>
      <c r="AG150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3.3202721618373919E-2</v>
      </c>
      <c r="AH1506" s="406">
        <f t="shared" si="23"/>
        <v>1442</v>
      </c>
      <c r="AI150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3.3202721618373919E-2</v>
      </c>
      <c r="AJ1506" s="257">
        <f>FME_Ranking1[[#This Row],[Addition check]]-FME_Ranking1[[#This Row],[Weighted Score Based on Normalized Reported Factors]]</f>
        <v>0</v>
      </c>
      <c r="AK1506" s="178">
        <f>_xlfn.RANK.EQ(AI1506,$AI$6:$AI$2341,0)+COUNTIF($AI$6:AI1506,AI1506)-1</f>
        <v>1442</v>
      </c>
    </row>
    <row r="1507" spans="1:37" x14ac:dyDescent="0.25">
      <c r="A1507" t="s">
        <v>716</v>
      </c>
      <c r="B1507">
        <f>_xlfn.XLOOKUP(FME_Ranking1[[#This Row],[FME ID]],FME_Input[FME_ID],FME_Input[RFPG_NUM])</f>
        <v>6</v>
      </c>
      <c r="C1507" t="str">
        <f>_xlfn.XLOOKUP(FME_Ranking1[[#This Row],[FME ID]],FME_Input[FME_ID],FME_Input[FME_NAME])</f>
        <v>Forest Estates - Live Oak Creek Watershed 
Artesian Forest 1 - Artesian Creek Watershed</v>
      </c>
      <c r="D1507" t="str">
        <f>_xlfn.XLOOKUP(FME_Ranking1[[#This Row],[FME ID]],FME_Input[FME_ID],FME_Input[DESCR])</f>
        <v>Develop a benefits cost analysis in support of this project identied in the City of Conroe Master Drainage Plan.</v>
      </c>
      <c r="E1507" s="256">
        <f>_xlfn.XLOOKUP(FME_Ranking1[[#This Row],[FME ID]],FME_Input[FME_ID],FME_Input[FME_COST])</f>
        <v>30000</v>
      </c>
      <c r="F1507" t="str">
        <f>_xlfn.XLOOKUP(FME_Ranking1[[#This Row],[FME ID]],FME_Input[FME_ID],FME_Input[EMER_NEED])</f>
        <v>No</v>
      </c>
      <c r="G1507">
        <f>IF(FME_Ranking!F1507="Yes",100,0)</f>
        <v>0</v>
      </c>
      <c r="H1507">
        <f>FME_Ranking1[[#This Row],[Emergency Need Score (Normalized, Unweighted)]]*$F$3</f>
        <v>0</v>
      </c>
      <c r="I1507" s="246">
        <f>_xlfn.XLOOKUP(FME_Ranking1[[#This Row],[FME ID]],FME_Input[FME_ID],FME_Input[STRUCT_100])</f>
        <v>99</v>
      </c>
      <c r="J1507" s="178">
        <f>(FME_Ranking1[[#This Row],[Structures 100 Raw]]/I$2)*100</f>
        <v>5.3013751445829579E-2</v>
      </c>
      <c r="K1507" s="178">
        <f>FME_Ranking1[[#This Row],[Structures 100  Score (Normalized, Unweighted)]]*$I$3</f>
        <v>7.9520627168744359E-3</v>
      </c>
      <c r="L1507" s="246">
        <f>_xlfn.XLOOKUP(FME_Ranking1[[#This Row],[FME ID]],FME_Input[FME_ID],FME_Input[RES_STRUCT100])</f>
        <v>83</v>
      </c>
      <c r="M1507" s="230">
        <f>(FME_Ranking1[[#This Row],[Res Structures Raw]]/L$2)*100</f>
        <v>5.8789364083240071E-2</v>
      </c>
      <c r="N1507" s="180">
        <f>FME_Ranking1[[#This Row],[Res Structures Score (Normalized, Unweighted)]]*$L$3</f>
        <v>5.8789364083240078E-3</v>
      </c>
      <c r="O1507" s="244">
        <f>_xlfn.XLOOKUP(FME_Ranking1[[#This Row],[FME ID]],FME_Input[FME_ID],FME_Input[POP100])</f>
        <v>531</v>
      </c>
      <c r="P1507" s="178">
        <f>(FME_Ranking1[[#This Row],[Pop Raw]]/$O$2)*100</f>
        <v>5.4361290666033305E-2</v>
      </c>
      <c r="Q1507" s="178">
        <f>FME_Ranking1[[#This Row],[Pop Score (Normalized, Unweighted)]]*$O$3</f>
        <v>8.154193599904996E-3</v>
      </c>
      <c r="R1507" s="137">
        <f>_xlfn.XLOOKUP(FME_Ranking1[[#This Row],[FME ID]],FME_Input[FME_ID],FME_Input[CRITFAC100])</f>
        <v>0</v>
      </c>
      <c r="S1507" s="230">
        <f>(FME_Ranking1[[#This Row],[Critical Facilities Raw]]/$R$2)*100</f>
        <v>0</v>
      </c>
      <c r="T1507" s="180">
        <f>FME_Ranking1[[#This Row],[Critical Facilities Score (Normalized, Unweighted)]]*$R$3</f>
        <v>0</v>
      </c>
      <c r="U1507">
        <f>_xlfn.XLOOKUP(FME_Ranking1[[#This Row],[FME ID]],FME_Input[FME_ID],FME_Input[LWC])</f>
        <v>0</v>
      </c>
      <c r="V1507" s="178">
        <f>(FME_Ranking1[[#This Row],[LWC Raw]]/$U$2)*100</f>
        <v>0</v>
      </c>
      <c r="W1507" s="178">
        <f>FME_Ranking1[[#This Row],[LWC Score (Normalized, Unweighted)]]*$U$3</f>
        <v>0</v>
      </c>
      <c r="X1507" s="246">
        <f>_xlfn.XLOOKUP(FME_Ranking1[[#This Row],[FME ID]],FME_Input[FME_ID],FME_Input[ROADCLS])</f>
        <v>0</v>
      </c>
      <c r="Y1507" s="230">
        <f>(FME_Ranking1[[#This Row],[Closures Raw]]/$X$2)*100</f>
        <v>0</v>
      </c>
      <c r="Z1507" s="180">
        <f>FME_Ranking1[[#This Row],[Closures Score (Normalized, Unweighted)]]*$X$3</f>
        <v>0</v>
      </c>
      <c r="AA1507" s="253">
        <f>_xlfn.XLOOKUP(FME_Ranking1[[#This Row],[FME ID]],FME_Input[FME_ID],FME_Input[ROAD_MILES100])</f>
        <v>2.2649357318878169</v>
      </c>
      <c r="AB1507" s="178">
        <f>(FME_Ranking1[[#This Row],[Miles Raw]]/$AA$2)*100</f>
        <v>2.9779842521378188E-2</v>
      </c>
      <c r="AC1507" s="178">
        <f>FME_Ranking1[[#This Row],[Miles Score (Normalized, Unweighted)]]*$AA$3</f>
        <v>2.9779842521378188E-3</v>
      </c>
      <c r="AD1507" s="255">
        <f>_xlfn.XLOOKUP(FME_Ranking1[[#This Row],[FME ID]],FME_Input[FME_ID],FME_Input[FARMACRE100])</f>
        <v>0.69726139307022095</v>
      </c>
      <c r="AE1507" s="230">
        <f>(FME_Ranking1[[#This Row],[Ag Land Raw]]/$AD$2)*100</f>
        <v>2.8751938557017325E-5</v>
      </c>
      <c r="AF1507" s="231">
        <f>FME_Ranking1[[#This Row],[Ag Land Score (Normalized, Unweighted)]]*$AD$3</f>
        <v>1.4375969278508664E-6</v>
      </c>
      <c r="AG150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2.4964614574169108E-2</v>
      </c>
      <c r="AH1507" s="406">
        <f t="shared" si="23"/>
        <v>1522</v>
      </c>
      <c r="AI150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2.4964614574169108E-2</v>
      </c>
      <c r="AJ1507" s="257">
        <f>FME_Ranking1[[#This Row],[Addition check]]-FME_Ranking1[[#This Row],[Weighted Score Based on Normalized Reported Factors]]</f>
        <v>0</v>
      </c>
      <c r="AK1507" s="178">
        <f>_xlfn.RANK.EQ(AI1507,$AI$6:$AI$2341,0)+COUNTIF($AI$6:AI1507,AI1507)-1</f>
        <v>1522</v>
      </c>
    </row>
    <row r="1508" spans="1:37" x14ac:dyDescent="0.25">
      <c r="A1508" t="s">
        <v>730</v>
      </c>
      <c r="B1508">
        <f>_xlfn.XLOOKUP(FME_Ranking1[[#This Row],[FME ID]],FME_Input[FME_ID],FME_Input[RFPG_NUM])</f>
        <v>6</v>
      </c>
      <c r="C1508" t="str">
        <f>_xlfn.XLOOKUP(FME_Ranking1[[#This Row],[FME ID]],FME_Input[FME_ID],FME_Input[FME_NAME])</f>
        <v>Longmire and SH-105 - Live Oak Creek Watershed</v>
      </c>
      <c r="D1508" t="str">
        <f>_xlfn.XLOOKUP(FME_Ranking1[[#This Row],[FME ID]],FME_Input[FME_ID],FME_Input[DESCR])</f>
        <v>Develop a benefits cost analysis in support of this project identied in the City of Conroe Master Drainage Plan.</v>
      </c>
      <c r="E1508" s="256">
        <f>_xlfn.XLOOKUP(FME_Ranking1[[#This Row],[FME ID]],FME_Input[FME_ID],FME_Input[FME_COST])</f>
        <v>30000</v>
      </c>
      <c r="F1508" t="str">
        <f>_xlfn.XLOOKUP(FME_Ranking1[[#This Row],[FME ID]],FME_Input[FME_ID],FME_Input[EMER_NEED])</f>
        <v>No</v>
      </c>
      <c r="G1508">
        <f>IF(FME_Ranking!F1508="Yes",100,0)</f>
        <v>0</v>
      </c>
      <c r="H1508">
        <f>FME_Ranking1[[#This Row],[Emergency Need Score (Normalized, Unweighted)]]*$F$3</f>
        <v>0</v>
      </c>
      <c r="I1508" s="246">
        <f>_xlfn.XLOOKUP(FME_Ranking1[[#This Row],[FME ID]],FME_Input[FME_ID],FME_Input[STRUCT_100])</f>
        <v>99</v>
      </c>
      <c r="J1508" s="178">
        <f>(FME_Ranking1[[#This Row],[Structures 100 Raw]]/I$2)*100</f>
        <v>5.3013751445829579E-2</v>
      </c>
      <c r="K1508" s="178">
        <f>FME_Ranking1[[#This Row],[Structures 100  Score (Normalized, Unweighted)]]*$I$3</f>
        <v>7.9520627168744359E-3</v>
      </c>
      <c r="L1508" s="246">
        <f>_xlfn.XLOOKUP(FME_Ranking1[[#This Row],[FME ID]],FME_Input[FME_ID],FME_Input[RES_STRUCT100])</f>
        <v>83</v>
      </c>
      <c r="M1508" s="230">
        <f>(FME_Ranking1[[#This Row],[Res Structures Raw]]/L$2)*100</f>
        <v>5.8789364083240071E-2</v>
      </c>
      <c r="N1508" s="180">
        <f>FME_Ranking1[[#This Row],[Res Structures Score (Normalized, Unweighted)]]*$L$3</f>
        <v>5.8789364083240078E-3</v>
      </c>
      <c r="O1508" s="244">
        <f>_xlfn.XLOOKUP(FME_Ranking1[[#This Row],[FME ID]],FME_Input[FME_ID],FME_Input[POP100])</f>
        <v>531</v>
      </c>
      <c r="P1508" s="178">
        <f>(FME_Ranking1[[#This Row],[Pop Raw]]/$O$2)*100</f>
        <v>5.4361290666033305E-2</v>
      </c>
      <c r="Q1508" s="178">
        <f>FME_Ranking1[[#This Row],[Pop Score (Normalized, Unweighted)]]*$O$3</f>
        <v>8.154193599904996E-3</v>
      </c>
      <c r="R1508" s="137">
        <f>_xlfn.XLOOKUP(FME_Ranking1[[#This Row],[FME ID]],FME_Input[FME_ID],FME_Input[CRITFAC100])</f>
        <v>0</v>
      </c>
      <c r="S1508" s="230">
        <f>(FME_Ranking1[[#This Row],[Critical Facilities Raw]]/$R$2)*100</f>
        <v>0</v>
      </c>
      <c r="T1508" s="180">
        <f>FME_Ranking1[[#This Row],[Critical Facilities Score (Normalized, Unweighted)]]*$R$3</f>
        <v>0</v>
      </c>
      <c r="U1508">
        <f>_xlfn.XLOOKUP(FME_Ranking1[[#This Row],[FME ID]],FME_Input[FME_ID],FME_Input[LWC])</f>
        <v>0</v>
      </c>
      <c r="V1508" s="178">
        <f>(FME_Ranking1[[#This Row],[LWC Raw]]/$U$2)*100</f>
        <v>0</v>
      </c>
      <c r="W1508" s="178">
        <f>FME_Ranking1[[#This Row],[LWC Score (Normalized, Unweighted)]]*$U$3</f>
        <v>0</v>
      </c>
      <c r="X1508" s="246">
        <f>_xlfn.XLOOKUP(FME_Ranking1[[#This Row],[FME ID]],FME_Input[FME_ID],FME_Input[ROADCLS])</f>
        <v>0</v>
      </c>
      <c r="Y1508" s="230">
        <f>(FME_Ranking1[[#This Row],[Closures Raw]]/$X$2)*100</f>
        <v>0</v>
      </c>
      <c r="Z1508" s="180">
        <f>FME_Ranking1[[#This Row],[Closures Score (Normalized, Unweighted)]]*$X$3</f>
        <v>0</v>
      </c>
      <c r="AA1508" s="253">
        <f>_xlfn.XLOOKUP(FME_Ranking1[[#This Row],[FME ID]],FME_Input[FME_ID],FME_Input[ROAD_MILES100])</f>
        <v>2.2649352550506592</v>
      </c>
      <c r="AB1508" s="178">
        <f>(FME_Ranking1[[#This Row],[Miles Raw]]/$AA$2)*100</f>
        <v>2.9779836251824812E-2</v>
      </c>
      <c r="AC1508" s="178">
        <f>FME_Ranking1[[#This Row],[Miles Score (Normalized, Unweighted)]]*$AA$3</f>
        <v>2.9779836251824813E-3</v>
      </c>
      <c r="AD1508" s="255">
        <f>_xlfn.XLOOKUP(FME_Ranking1[[#This Row],[FME ID]],FME_Input[FME_ID],FME_Input[FARMACRE100])</f>
        <v>0.69726139307022095</v>
      </c>
      <c r="AE1508" s="230">
        <f>(FME_Ranking1[[#This Row],[Ag Land Raw]]/$AD$2)*100</f>
        <v>2.8751938557017325E-5</v>
      </c>
      <c r="AF1508" s="231">
        <f>FME_Ranking1[[#This Row],[Ag Land Score (Normalized, Unweighted)]]*$AD$3</f>
        <v>1.4375969278508664E-6</v>
      </c>
      <c r="AG150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2.4964613947213773E-2</v>
      </c>
      <c r="AH1508" s="406">
        <f t="shared" si="23"/>
        <v>1523</v>
      </c>
      <c r="AI150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2.4964613947213773E-2</v>
      </c>
      <c r="AJ1508" s="257">
        <f>FME_Ranking1[[#This Row],[Addition check]]-FME_Ranking1[[#This Row],[Weighted Score Based on Normalized Reported Factors]]</f>
        <v>0</v>
      </c>
      <c r="AK1508" s="178">
        <f>_xlfn.RANK.EQ(AI1508,$AI$6:$AI$2341,0)+COUNTIF($AI$6:AI1508,AI1508)-1</f>
        <v>1523</v>
      </c>
    </row>
    <row r="1509" spans="1:37" x14ac:dyDescent="0.25">
      <c r="A1509" t="s">
        <v>7371</v>
      </c>
      <c r="B1509">
        <f>_xlfn.XLOOKUP(FME_Ranking1[[#This Row],[FME ID]],FME_Input[FME_ID],FME_Input[RFPG_NUM])</f>
        <v>7</v>
      </c>
      <c r="C1509" t="str">
        <f>_xlfn.XLOOKUP(FME_Ranking1[[#This Row],[FME ID]],FME_Input[FME_ID],FME_Input[FME_NAME])</f>
        <v>City of Abilene Improve Curry Lane Detention Pond</v>
      </c>
      <c r="D1509" t="str">
        <f>_xlfn.XLOOKUP(FME_Ranking1[[#This Row],[FME ID]],FME_Input[FME_ID],FME_Input[DESCR])</f>
        <v>Installation of drainage flumes and curb and gutter along Curry Lane, construction of bypass pipe from Catclaw Creek, deepening of existing detention pond and extension of storm drain in Curry Lane</v>
      </c>
      <c r="E1509" s="256">
        <f>_xlfn.XLOOKUP(FME_Ranking1[[#This Row],[FME ID]],FME_Input[FME_ID],FME_Input[FME_COST])</f>
        <v>474800</v>
      </c>
      <c r="F1509" t="str">
        <f>_xlfn.XLOOKUP(FME_Ranking1[[#This Row],[FME ID]],FME_Input[FME_ID],FME_Input[EMER_NEED])</f>
        <v>No</v>
      </c>
      <c r="G1509">
        <f>IF(FME_Ranking!F1509="Yes",100,0)</f>
        <v>0</v>
      </c>
      <c r="H1509">
        <f>FME_Ranking1[[#This Row],[Emergency Need Score (Normalized, Unweighted)]]*$F$3</f>
        <v>0</v>
      </c>
      <c r="I1509" s="246">
        <f>_xlfn.XLOOKUP(FME_Ranking1[[#This Row],[FME ID]],FME_Input[FME_ID],FME_Input[STRUCT_100])</f>
        <v>67</v>
      </c>
      <c r="J1509" s="178">
        <f>(FME_Ranking1[[#This Row],[Structures 100 Raw]]/I$2)*100</f>
        <v>3.5877993402733156E-2</v>
      </c>
      <c r="K1509" s="178">
        <f>FME_Ranking1[[#This Row],[Structures 100  Score (Normalized, Unweighted)]]*$I$3</f>
        <v>5.3816990104099734E-3</v>
      </c>
      <c r="L1509" s="246">
        <f>_xlfn.XLOOKUP(FME_Ranking1[[#This Row],[FME ID]],FME_Input[FME_ID],FME_Input[RES_STRUCT100])</f>
        <v>41</v>
      </c>
      <c r="M1509" s="230">
        <f>(FME_Ranking1[[#This Row],[Res Structures Raw]]/L$2)*100</f>
        <v>2.904052924593787E-2</v>
      </c>
      <c r="N1509" s="180">
        <f>FME_Ranking1[[#This Row],[Res Structures Score (Normalized, Unweighted)]]*$L$3</f>
        <v>2.9040529245937872E-3</v>
      </c>
      <c r="O1509" s="244">
        <f>_xlfn.XLOOKUP(FME_Ranking1[[#This Row],[FME ID]],FME_Input[FME_ID],FME_Input[POP100])</f>
        <v>868</v>
      </c>
      <c r="P1509" s="178">
        <f>(FME_Ranking1[[#This Row],[Pop Raw]]/$O$2)*100</f>
        <v>8.8861770806246534E-2</v>
      </c>
      <c r="Q1509" s="178">
        <f>FME_Ranking1[[#This Row],[Pop Score (Normalized, Unweighted)]]*$O$3</f>
        <v>1.3329265620936981E-2</v>
      </c>
      <c r="R1509" s="137">
        <f>_xlfn.XLOOKUP(FME_Ranking1[[#This Row],[FME ID]],FME_Input[FME_ID],FME_Input[CRITFAC100])</f>
        <v>0</v>
      </c>
      <c r="S1509" s="230">
        <f>(FME_Ranking1[[#This Row],[Critical Facilities Raw]]/$R$2)*100</f>
        <v>0</v>
      </c>
      <c r="T1509" s="180">
        <f>FME_Ranking1[[#This Row],[Critical Facilities Score (Normalized, Unweighted)]]*$R$3</f>
        <v>0</v>
      </c>
      <c r="U1509">
        <f>_xlfn.XLOOKUP(FME_Ranking1[[#This Row],[FME ID]],FME_Input[FME_ID],FME_Input[LWC])</f>
        <v>0</v>
      </c>
      <c r="V1509" s="178">
        <f>(FME_Ranking1[[#This Row],[LWC Raw]]/$U$2)*100</f>
        <v>0</v>
      </c>
      <c r="W1509" s="178">
        <f>FME_Ranking1[[#This Row],[LWC Score (Normalized, Unweighted)]]*$U$3</f>
        <v>0</v>
      </c>
      <c r="X1509" s="246">
        <f>_xlfn.XLOOKUP(FME_Ranking1[[#This Row],[FME ID]],FME_Input[FME_ID],FME_Input[ROADCLS])</f>
        <v>0</v>
      </c>
      <c r="Y1509" s="230">
        <f>(FME_Ranking1[[#This Row],[Closures Raw]]/$X$2)*100</f>
        <v>0</v>
      </c>
      <c r="Z1509" s="180">
        <f>FME_Ranking1[[#This Row],[Closures Score (Normalized, Unweighted)]]*$X$3</f>
        <v>0</v>
      </c>
      <c r="AA1509" s="253">
        <f>_xlfn.XLOOKUP(FME_Ranking1[[#This Row],[FME ID]],FME_Input[FME_ID],FME_Input[ROAD_MILES100])</f>
        <v>1.994093537330627</v>
      </c>
      <c r="AB1509" s="178">
        <f>(FME_Ranking1[[#This Row],[Miles Raw]]/$AA$2)*100</f>
        <v>2.6218753441232454E-2</v>
      </c>
      <c r="AC1509" s="178">
        <f>FME_Ranking1[[#This Row],[Miles Score (Normalized, Unweighted)]]*$AA$3</f>
        <v>2.6218753441232456E-3</v>
      </c>
      <c r="AD1509" s="255">
        <f>_xlfn.XLOOKUP(FME_Ranking1[[#This Row],[FME ID]],FME_Input[FME_ID],FME_Input[FARMACRE100])</f>
        <v>142.2181701660156</v>
      </c>
      <c r="AE1509" s="230">
        <f>(FME_Ranking1[[#This Row],[Ag Land Raw]]/$AD$2)*100</f>
        <v>5.8644406974830291E-3</v>
      </c>
      <c r="AF1509" s="231">
        <f>FME_Ranking1[[#This Row],[Ag Land Score (Normalized, Unweighted)]]*$AD$3</f>
        <v>2.9322203487415146E-4</v>
      </c>
      <c r="AG150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2.4530114934938139E-2</v>
      </c>
      <c r="AH1509" s="406">
        <f t="shared" si="23"/>
        <v>1526</v>
      </c>
      <c r="AI150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2.4530114934938139E-2</v>
      </c>
      <c r="AJ1509" s="257">
        <f>FME_Ranking1[[#This Row],[Addition check]]-FME_Ranking1[[#This Row],[Weighted Score Based on Normalized Reported Factors]]</f>
        <v>0</v>
      </c>
      <c r="AK1509" s="178">
        <f>_xlfn.RANK.EQ(AI1509,$AI$6:$AI$2341,0)+COUNTIF($AI$6:AI1509,AI1509)-1</f>
        <v>1526</v>
      </c>
    </row>
    <row r="1510" spans="1:37" x14ac:dyDescent="0.25">
      <c r="A1510" t="s">
        <v>11097</v>
      </c>
      <c r="B1510">
        <f>_xlfn.XLOOKUP(FME_Ranking1[[#This Row],[FME ID]],FME_Input[FME_ID],FME_Input[RFPG_NUM])</f>
        <v>15</v>
      </c>
      <c r="C1510" t="str">
        <f>_xlfn.XLOOKUP(FME_Ranking1[[#This Row],[FME ID]],FME_Input[FME_ID],FME_Input[FME_NAME])</f>
        <v>FM 1423 and Main Grove</v>
      </c>
      <c r="D1510" t="str">
        <f>_xlfn.XLOOKUP(FME_Ranking1[[#This Row],[FME ID]],FME_Input[FME_ID],FME_Input[DESCR])</f>
        <v>Local Drainage Improvements- Main Street, North Street</v>
      </c>
      <c r="E1510" s="256">
        <f>_xlfn.XLOOKUP(FME_Ranking1[[#This Row],[FME ID]],FME_Input[FME_ID],FME_Input[FME_COST])</f>
        <v>107100</v>
      </c>
      <c r="F1510" t="str">
        <f>_xlfn.XLOOKUP(FME_Ranking1[[#This Row],[FME ID]],FME_Input[FME_ID],FME_Input[EMER_NEED])</f>
        <v>Yes</v>
      </c>
      <c r="G1510">
        <f>IF(FME_Ranking!F1510="Yes",100,0)</f>
        <v>100</v>
      </c>
      <c r="H1510">
        <f>FME_Ranking1[[#This Row],[Emergency Need Score (Normalized, Unweighted)]]*$F$3</f>
        <v>0</v>
      </c>
      <c r="I1510" s="246">
        <f>_xlfn.XLOOKUP(FME_Ranking1[[#This Row],[FME ID]],FME_Input[FME_ID],FME_Input[STRUCT_100])</f>
        <v>0</v>
      </c>
      <c r="J1510" s="178">
        <f>(FME_Ranking1[[#This Row],[Structures 100 Raw]]/I$2)*100</f>
        <v>0</v>
      </c>
      <c r="K1510" s="178">
        <f>FME_Ranking1[[#This Row],[Structures 100  Score (Normalized, Unweighted)]]*$I$3</f>
        <v>0</v>
      </c>
      <c r="L1510" s="246">
        <f>_xlfn.XLOOKUP(FME_Ranking1[[#This Row],[FME ID]],FME_Input[FME_ID],FME_Input[RES_STRUCT100])</f>
        <v>157</v>
      </c>
      <c r="M1510" s="230">
        <f>(FME_Ranking1[[#This Row],[Res Structures Raw]]/L$2)*100</f>
        <v>0.11120397784420109</v>
      </c>
      <c r="N1510" s="180">
        <f>FME_Ranking1[[#This Row],[Res Structures Score (Normalized, Unweighted)]]*$L$3</f>
        <v>1.1120397784420109E-2</v>
      </c>
      <c r="O1510" s="244">
        <f>_xlfn.XLOOKUP(FME_Ranking1[[#This Row],[FME ID]],FME_Input[FME_ID],FME_Input[POP100])</f>
        <v>683</v>
      </c>
      <c r="P1510" s="178">
        <f>(FME_Ranking1[[#This Row],[Pop Raw]]/$O$2)*100</f>
        <v>6.992233808832532E-2</v>
      </c>
      <c r="Q1510" s="178">
        <f>FME_Ranking1[[#This Row],[Pop Score (Normalized, Unweighted)]]*$O$3</f>
        <v>1.0488350713248797E-2</v>
      </c>
      <c r="R1510" s="137">
        <f>_xlfn.XLOOKUP(FME_Ranking1[[#This Row],[FME ID]],FME_Input[FME_ID],FME_Input[CRITFAC100])</f>
        <v>0</v>
      </c>
      <c r="S1510" s="230">
        <f>(FME_Ranking1[[#This Row],[Critical Facilities Raw]]/$R$2)*100</f>
        <v>0</v>
      </c>
      <c r="T1510" s="180">
        <f>FME_Ranking1[[#This Row],[Critical Facilities Score (Normalized, Unweighted)]]*$R$3</f>
        <v>0</v>
      </c>
      <c r="U1510">
        <f>_xlfn.XLOOKUP(FME_Ranking1[[#This Row],[FME ID]],FME_Input[FME_ID],FME_Input[LWC])</f>
        <v>0</v>
      </c>
      <c r="V1510" s="178">
        <f>(FME_Ranking1[[#This Row],[LWC Raw]]/$U$2)*100</f>
        <v>0</v>
      </c>
      <c r="W1510" s="178">
        <f>FME_Ranking1[[#This Row],[LWC Score (Normalized, Unweighted)]]*$U$3</f>
        <v>0</v>
      </c>
      <c r="X1510" s="246">
        <f>_xlfn.XLOOKUP(FME_Ranking1[[#This Row],[FME ID]],FME_Input[FME_ID],FME_Input[ROADCLS])</f>
        <v>0</v>
      </c>
      <c r="Y1510" s="230">
        <f>(FME_Ranking1[[#This Row],[Closures Raw]]/$X$2)*100</f>
        <v>0</v>
      </c>
      <c r="Z1510" s="180">
        <f>FME_Ranking1[[#This Row],[Closures Score (Normalized, Unweighted)]]*$X$3</f>
        <v>0</v>
      </c>
      <c r="AA1510" s="253">
        <f>_xlfn.XLOOKUP(FME_Ranking1[[#This Row],[FME ID]],FME_Input[FME_ID],FME_Input[ROAD_MILES100])</f>
        <v>1.373970031738281</v>
      </c>
      <c r="AB1510" s="178">
        <f>(FME_Ranking1[[#This Row],[Miles Raw]]/$AA$2)*100</f>
        <v>1.8065241586415846E-2</v>
      </c>
      <c r="AC1510" s="178">
        <f>FME_Ranking1[[#This Row],[Miles Score (Normalized, Unweighted)]]*$AA$3</f>
        <v>1.8065241586415846E-3</v>
      </c>
      <c r="AD1510" s="255">
        <f>_xlfn.XLOOKUP(FME_Ranking1[[#This Row],[FME ID]],FME_Input[FME_ID],FME_Input[FARMACRE100])</f>
        <v>0</v>
      </c>
      <c r="AE1510" s="230">
        <f>(FME_Ranking1[[#This Row],[Ag Land Raw]]/$AD$2)*100</f>
        <v>0</v>
      </c>
      <c r="AF1510" s="231">
        <f>FME_Ranking1[[#This Row],[Ag Land Score (Normalized, Unweighted)]]*$AD$3</f>
        <v>0</v>
      </c>
      <c r="AG151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2.3415272656310493E-2</v>
      </c>
      <c r="AH1510" s="406">
        <f t="shared" si="23"/>
        <v>1539</v>
      </c>
      <c r="AI151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2.3415272656310493E-2</v>
      </c>
      <c r="AJ1510" s="257">
        <f>FME_Ranking1[[#This Row],[Addition check]]-FME_Ranking1[[#This Row],[Weighted Score Based on Normalized Reported Factors]]</f>
        <v>0</v>
      </c>
      <c r="AK1510" s="178">
        <f>_xlfn.RANK.EQ(AI1510,$AI$6:$AI$2341,0)+COUNTIF($AI$6:AI1510,AI1510)-1</f>
        <v>1539</v>
      </c>
    </row>
    <row r="1511" spans="1:37" x14ac:dyDescent="0.25">
      <c r="A1511" t="s">
        <v>3666</v>
      </c>
      <c r="B1511">
        <f>_xlfn.XLOOKUP(FME_Ranking1[[#This Row],[FME ID]],FME_Input[FME_ID],FME_Input[RFPG_NUM])</f>
        <v>2</v>
      </c>
      <c r="C1511" t="str">
        <f>_xlfn.XLOOKUP(FME_Ranking1[[#This Row],[FME ID]],FME_Input[FME_ID],FME_Input[FME_NAME])</f>
        <v>City of Clarksville Deleware Creek</v>
      </c>
      <c r="D1511" t="str">
        <f>_xlfn.XLOOKUP(FME_Ranking1[[#This Row],[FME ID]],FME_Input[FME_ID],FME_Input[DESCR])</f>
        <v>Debris, Vegetation Removal, and Channelization</v>
      </c>
      <c r="E1511" s="256">
        <f>_xlfn.XLOOKUP(FME_Ranking1[[#This Row],[FME ID]],FME_Input[FME_ID],FME_Input[FME_COST])</f>
        <v>25000</v>
      </c>
      <c r="F1511" t="str">
        <f>_xlfn.XLOOKUP(FME_Ranking1[[#This Row],[FME ID]],FME_Input[FME_ID],FME_Input[EMER_NEED])</f>
        <v>No</v>
      </c>
      <c r="G1511">
        <f>IF(FME_Ranking!F1511="Yes",100,0)</f>
        <v>0</v>
      </c>
      <c r="H1511">
        <f>FME_Ranking1[[#This Row],[Emergency Need Score (Normalized, Unweighted)]]*$F$3</f>
        <v>0</v>
      </c>
      <c r="I1511" s="246">
        <f>_xlfn.XLOOKUP(FME_Ranking1[[#This Row],[FME ID]],FME_Input[FME_ID],FME_Input[STRUCT_100])</f>
        <v>71</v>
      </c>
      <c r="J1511" s="178">
        <f>(FME_Ranking1[[#This Row],[Structures 100 Raw]]/I$2)*100</f>
        <v>3.8019963158120208E-2</v>
      </c>
      <c r="K1511" s="178">
        <f>FME_Ranking1[[#This Row],[Structures 100  Score (Normalized, Unweighted)]]*$I$3</f>
        <v>5.7029944737180312E-3</v>
      </c>
      <c r="L1511" s="246">
        <f>_xlfn.XLOOKUP(FME_Ranking1[[#This Row],[FME ID]],FME_Input[FME_ID],FME_Input[RES_STRUCT100])</f>
        <v>43</v>
      </c>
      <c r="M1511" s="230">
        <f>(FME_Ranking1[[#This Row],[Res Structures Raw]]/L$2)*100</f>
        <v>3.0457140428666547E-2</v>
      </c>
      <c r="N1511" s="180">
        <f>FME_Ranking1[[#This Row],[Res Structures Score (Normalized, Unweighted)]]*$L$3</f>
        <v>3.0457140428666548E-3</v>
      </c>
      <c r="O1511" s="244">
        <f>_xlfn.XLOOKUP(FME_Ranking1[[#This Row],[FME ID]],FME_Input[FME_ID],FME_Input[POP100])</f>
        <v>76</v>
      </c>
      <c r="P1511" s="178">
        <f>(FME_Ranking1[[#This Row],[Pop Raw]]/$O$2)*100</f>
        <v>7.7805237111460094E-3</v>
      </c>
      <c r="Q1511" s="178">
        <f>FME_Ranking1[[#This Row],[Pop Score (Normalized, Unweighted)]]*$O$3</f>
        <v>1.1670785566719013E-3</v>
      </c>
      <c r="R1511" s="137">
        <f>_xlfn.XLOOKUP(FME_Ranking1[[#This Row],[FME ID]],FME_Input[FME_ID],FME_Input[CRITFAC100])</f>
        <v>0</v>
      </c>
      <c r="S1511" s="230">
        <f>(FME_Ranking1[[#This Row],[Critical Facilities Raw]]/$R$2)*100</f>
        <v>0</v>
      </c>
      <c r="T1511" s="180">
        <f>FME_Ranking1[[#This Row],[Critical Facilities Score (Normalized, Unweighted)]]*$R$3</f>
        <v>0</v>
      </c>
      <c r="U1511">
        <f>_xlfn.XLOOKUP(FME_Ranking1[[#This Row],[FME ID]],FME_Input[FME_ID],FME_Input[LWC])</f>
        <v>1</v>
      </c>
      <c r="V1511" s="178">
        <f>(FME_Ranking1[[#This Row],[LWC Raw]]/$U$2)*100</f>
        <v>5.7570523891767422E-2</v>
      </c>
      <c r="W1511" s="178">
        <f>FME_Ranking1[[#This Row],[LWC Score (Normalized, Unweighted)]]*$U$3</f>
        <v>1.1514104778353485E-2</v>
      </c>
      <c r="X1511" s="246">
        <f>_xlfn.XLOOKUP(FME_Ranking1[[#This Row],[FME ID]],FME_Input[FME_ID],FME_Input[ROADCLS])</f>
        <v>0</v>
      </c>
      <c r="Y1511" s="230">
        <f>(FME_Ranking1[[#This Row],[Closures Raw]]/$X$2)*100</f>
        <v>0</v>
      </c>
      <c r="Z1511" s="180">
        <f>FME_Ranking1[[#This Row],[Closures Score (Normalized, Unweighted)]]*$X$3</f>
        <v>0</v>
      </c>
      <c r="AA1511" s="253">
        <f>_xlfn.XLOOKUP(FME_Ranking1[[#This Row],[FME ID]],FME_Input[FME_ID],FME_Input[ROAD_MILES100])</f>
        <v>2.2917745113372798</v>
      </c>
      <c r="AB1511" s="178">
        <f>(FME_Ranking1[[#This Row],[Miles Raw]]/$AA$2)*100</f>
        <v>3.0132724333527813E-2</v>
      </c>
      <c r="AC1511" s="178">
        <f>FME_Ranking1[[#This Row],[Miles Score (Normalized, Unweighted)]]*$AA$3</f>
        <v>3.0132724333527816E-3</v>
      </c>
      <c r="AD1511" s="255">
        <f>_xlfn.XLOOKUP(FME_Ranking1[[#This Row],[FME ID]],FME_Input[FME_ID],FME_Input[FARMACRE100])</f>
        <v>4.8403501510620117</v>
      </c>
      <c r="AE1511" s="230">
        <f>(FME_Ranking1[[#This Row],[Ag Land Raw]]/$AD$2)*100</f>
        <v>1.995943723844879E-4</v>
      </c>
      <c r="AF1511" s="231">
        <f>FME_Ranking1[[#This Row],[Ag Land Score (Normalized, Unweighted)]]*$AD$3</f>
        <v>9.9797186192243962E-6</v>
      </c>
      <c r="AG151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2.4453144003582079E-2</v>
      </c>
      <c r="AH1511" s="406">
        <f t="shared" si="23"/>
        <v>1528</v>
      </c>
      <c r="AI151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2.4453144003582079E-2</v>
      </c>
      <c r="AJ1511" s="257">
        <f>FME_Ranking1[[#This Row],[Addition check]]-FME_Ranking1[[#This Row],[Weighted Score Based on Normalized Reported Factors]]</f>
        <v>0</v>
      </c>
      <c r="AK1511" s="178">
        <f>_xlfn.RANK.EQ(AI1511,$AI$6:$AI$2341,0)+COUNTIF($AI$6:AI1511,AI1511)-1</f>
        <v>1528</v>
      </c>
    </row>
    <row r="1512" spans="1:37" x14ac:dyDescent="0.25">
      <c r="A1512" t="s">
        <v>7022</v>
      </c>
      <c r="B1512">
        <f>_xlfn.XLOOKUP(FME_Ranking1[[#This Row],[FME ID]],FME_Input[FME_ID],FME_Input[RFPG_NUM])</f>
        <v>7</v>
      </c>
      <c r="C1512" t="str">
        <f>_xlfn.XLOOKUP(FME_Ranking1[[#This Row],[FME ID]],FME_Input[FME_ID],FME_Input[FME_NAME])</f>
        <v>City of Albany DMP</v>
      </c>
      <c r="D1512" t="str">
        <f>_xlfn.XLOOKUP(FME_Ranking1[[#This Row],[FME ID]],FME_Input[FME_ID],FME_Input[DESCR])</f>
        <v>Evaluate city storm infrastructure and floodways for adequate capacity.</v>
      </c>
      <c r="E1512" s="256">
        <f>_xlfn.XLOOKUP(FME_Ranking1[[#This Row],[FME ID]],FME_Input[FME_ID],FME_Input[FME_COST])</f>
        <v>250000</v>
      </c>
      <c r="F1512" t="str">
        <f>_xlfn.XLOOKUP(FME_Ranking1[[#This Row],[FME ID]],FME_Input[FME_ID],FME_Input[EMER_NEED])</f>
        <v>No</v>
      </c>
      <c r="G1512">
        <f>IF(FME_Ranking!F1512="Yes",100,0)</f>
        <v>0</v>
      </c>
      <c r="H1512">
        <f>FME_Ranking1[[#This Row],[Emergency Need Score (Normalized, Unweighted)]]*$F$3</f>
        <v>0</v>
      </c>
      <c r="I1512" s="246">
        <f>_xlfn.XLOOKUP(FME_Ranking1[[#This Row],[FME ID]],FME_Input[FME_ID],FME_Input[STRUCT_100])</f>
        <v>158</v>
      </c>
      <c r="J1512" s="178">
        <f>(FME_Ranking1[[#This Row],[Structures 100 Raw]]/I$2)*100</f>
        <v>8.4607805337788625E-2</v>
      </c>
      <c r="K1512" s="178">
        <f>FME_Ranking1[[#This Row],[Structures 100  Score (Normalized, Unweighted)]]*$I$3</f>
        <v>1.2691170800668294E-2</v>
      </c>
      <c r="L1512" s="246">
        <f>_xlfn.XLOOKUP(FME_Ranking1[[#This Row],[FME ID]],FME_Input[FME_ID],FME_Input[RES_STRUCT100])</f>
        <v>97</v>
      </c>
      <c r="M1512" s="230">
        <f>(FME_Ranking1[[#This Row],[Res Structures Raw]]/L$2)*100</f>
        <v>6.8705642362340807E-2</v>
      </c>
      <c r="N1512" s="180">
        <f>FME_Ranking1[[#This Row],[Res Structures Score (Normalized, Unweighted)]]*$L$3</f>
        <v>6.8705642362340809E-3</v>
      </c>
      <c r="O1512" s="244">
        <f>_xlfn.XLOOKUP(FME_Ranking1[[#This Row],[FME ID]],FME_Input[FME_ID],FME_Input[POP100])</f>
        <v>93</v>
      </c>
      <c r="P1512" s="178">
        <f>(FME_Ranking1[[#This Row],[Pop Raw]]/$O$2)*100</f>
        <v>9.5209040149549853E-3</v>
      </c>
      <c r="Q1512" s="178">
        <f>FME_Ranking1[[#This Row],[Pop Score (Normalized, Unweighted)]]*$O$3</f>
        <v>1.4281356022432478E-3</v>
      </c>
      <c r="R1512" s="137">
        <f>_xlfn.XLOOKUP(FME_Ranking1[[#This Row],[FME ID]],FME_Input[FME_ID],FME_Input[CRITFAC100])</f>
        <v>0</v>
      </c>
      <c r="S1512" s="230">
        <f>(FME_Ranking1[[#This Row],[Critical Facilities Raw]]/$R$2)*100</f>
        <v>0</v>
      </c>
      <c r="T1512" s="180">
        <f>FME_Ranking1[[#This Row],[Critical Facilities Score (Normalized, Unweighted)]]*$R$3</f>
        <v>0</v>
      </c>
      <c r="U1512">
        <f>_xlfn.XLOOKUP(FME_Ranking1[[#This Row],[FME ID]],FME_Input[FME_ID],FME_Input[LWC])</f>
        <v>0</v>
      </c>
      <c r="V1512" s="178">
        <f>(FME_Ranking1[[#This Row],[LWC Raw]]/$U$2)*100</f>
        <v>0</v>
      </c>
      <c r="W1512" s="178">
        <f>FME_Ranking1[[#This Row],[LWC Score (Normalized, Unweighted)]]*$U$3</f>
        <v>0</v>
      </c>
      <c r="X1512" s="246">
        <f>_xlfn.XLOOKUP(FME_Ranking1[[#This Row],[FME ID]],FME_Input[FME_ID],FME_Input[ROADCLS])</f>
        <v>0</v>
      </c>
      <c r="Y1512" s="230">
        <f>(FME_Ranking1[[#This Row],[Closures Raw]]/$X$2)*100</f>
        <v>0</v>
      </c>
      <c r="Z1512" s="180">
        <f>FME_Ranking1[[#This Row],[Closures Score (Normalized, Unweighted)]]*$X$3</f>
        <v>0</v>
      </c>
      <c r="AA1512" s="253">
        <f>_xlfn.XLOOKUP(FME_Ranking1[[#This Row],[FME ID]],FME_Input[FME_ID],FME_Input[ROAD_MILES100])</f>
        <v>5.9385213851928711</v>
      </c>
      <c r="AB1512" s="178">
        <f>(FME_Ranking1[[#This Row],[Miles Raw]]/$AA$2)*100</f>
        <v>7.8080904977148258E-2</v>
      </c>
      <c r="AC1512" s="178">
        <f>FME_Ranking1[[#This Row],[Miles Score (Normalized, Unweighted)]]*$AA$3</f>
        <v>7.8080904977148261E-3</v>
      </c>
      <c r="AD1512" s="255">
        <f>_xlfn.XLOOKUP(FME_Ranking1[[#This Row],[FME ID]],FME_Input[FME_ID],FME_Input[FARMACRE100])</f>
        <v>3.7202998646534979E-4</v>
      </c>
      <c r="AE1512" s="230">
        <f>(FME_Ranking1[[#This Row],[Ag Land Raw]]/$AD$2)*100</f>
        <v>1.5340851248224028E-8</v>
      </c>
      <c r="AF1512" s="231">
        <f>FME_Ranking1[[#This Row],[Ag Land Score (Normalized, Unweighted)]]*$AD$3</f>
        <v>7.670425624112014E-10</v>
      </c>
      <c r="AG151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2.8797961903903012E-2</v>
      </c>
      <c r="AH1512" s="406">
        <f t="shared" si="23"/>
        <v>1480</v>
      </c>
      <c r="AI151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2.8797961903903012E-2</v>
      </c>
      <c r="AJ1512" s="257">
        <f>FME_Ranking1[[#This Row],[Addition check]]-FME_Ranking1[[#This Row],[Weighted Score Based on Normalized Reported Factors]]</f>
        <v>0</v>
      </c>
      <c r="AK1512" s="178">
        <f>_xlfn.RANK.EQ(AI1512,$AI$6:$AI$2341,0)+COUNTIF($AI$6:AI1512,AI1512)-1</f>
        <v>1480</v>
      </c>
    </row>
    <row r="1513" spans="1:37" x14ac:dyDescent="0.25">
      <c r="A1513" t="s">
        <v>1688</v>
      </c>
      <c r="B1513">
        <f>_xlfn.XLOOKUP(FME_Ranking1[[#This Row],[FME ID]],FME_Input[FME_ID],FME_Input[RFPG_NUM])</f>
        <v>6</v>
      </c>
      <c r="C1513" t="str">
        <f>_xlfn.XLOOKUP(FME_Ranking1[[#This Row],[FME ID]],FME_Input[FME_ID],FME_Input[FME_NAME])</f>
        <v>City of Oak Ridge North  Master Drainage Plan</v>
      </c>
      <c r="D1513" t="str">
        <f>_xlfn.XLOOKUP(FME_Ranking1[[#This Row],[FME ID]],FME_Input[FME_ID],FME_Input[DESCR])</f>
        <v>Study to develop Master Drainage Plan using future and existing land use and flood/storm water drainage needs including Atlas 14 rainfall.</v>
      </c>
      <c r="E1513" s="256">
        <f>_xlfn.XLOOKUP(FME_Ranking1[[#This Row],[FME ID]],FME_Input[FME_ID],FME_Input[FME_COST])</f>
        <v>170000</v>
      </c>
      <c r="F1513" t="str">
        <f>_xlfn.XLOOKUP(FME_Ranking1[[#This Row],[FME ID]],FME_Input[FME_ID],FME_Input[EMER_NEED])</f>
        <v>Yes</v>
      </c>
      <c r="G1513">
        <f>IF(FME_Ranking!F1513="Yes",100,0)</f>
        <v>100</v>
      </c>
      <c r="H1513">
        <f>FME_Ranking1[[#This Row],[Emergency Need Score (Normalized, Unweighted)]]*$F$3</f>
        <v>0</v>
      </c>
      <c r="I1513" s="246">
        <f>_xlfn.XLOOKUP(FME_Ranking1[[#This Row],[FME ID]],FME_Input[FME_ID],FME_Input[STRUCT_100])</f>
        <v>85</v>
      </c>
      <c r="J1513" s="178">
        <f>(FME_Ranking1[[#This Row],[Structures 100 Raw]]/I$2)*100</f>
        <v>4.551685730197489E-2</v>
      </c>
      <c r="K1513" s="178">
        <f>FME_Ranking1[[#This Row],[Structures 100  Score (Normalized, Unweighted)]]*$I$3</f>
        <v>6.8275285952962336E-3</v>
      </c>
      <c r="L1513" s="246">
        <f>_xlfn.XLOOKUP(FME_Ranking1[[#This Row],[FME ID]],FME_Input[FME_ID],FME_Input[RES_STRUCT100])</f>
        <v>73</v>
      </c>
      <c r="M1513" s="230">
        <f>(FME_Ranking1[[#This Row],[Res Structures Raw]]/L$2)*100</f>
        <v>5.1706308169596697E-2</v>
      </c>
      <c r="N1513" s="180">
        <f>FME_Ranking1[[#This Row],[Res Structures Score (Normalized, Unweighted)]]*$L$3</f>
        <v>5.1706308169596699E-3</v>
      </c>
      <c r="O1513" s="244">
        <f>_xlfn.XLOOKUP(FME_Ranking1[[#This Row],[FME ID]],FME_Input[FME_ID],FME_Input[POP100])</f>
        <v>578</v>
      </c>
      <c r="P1513" s="178">
        <f>(FME_Ranking1[[#This Row],[Pop Raw]]/$O$2)*100</f>
        <v>5.9172930329505179E-2</v>
      </c>
      <c r="Q1513" s="178">
        <f>FME_Ranking1[[#This Row],[Pop Score (Normalized, Unweighted)]]*$O$3</f>
        <v>8.8759395494257768E-3</v>
      </c>
      <c r="R1513" s="137">
        <f>_xlfn.XLOOKUP(FME_Ranking1[[#This Row],[FME ID]],FME_Input[FME_ID],FME_Input[CRITFAC100])</f>
        <v>0</v>
      </c>
      <c r="S1513" s="230">
        <f>(FME_Ranking1[[#This Row],[Critical Facilities Raw]]/$R$2)*100</f>
        <v>0</v>
      </c>
      <c r="T1513" s="180">
        <f>FME_Ranking1[[#This Row],[Critical Facilities Score (Normalized, Unweighted)]]*$R$3</f>
        <v>0</v>
      </c>
      <c r="U1513">
        <f>_xlfn.XLOOKUP(FME_Ranking1[[#This Row],[FME ID]],FME_Input[FME_ID],FME_Input[LWC])</f>
        <v>0</v>
      </c>
      <c r="V1513" s="178">
        <f>(FME_Ranking1[[#This Row],[LWC Raw]]/$U$2)*100</f>
        <v>0</v>
      </c>
      <c r="W1513" s="178">
        <f>FME_Ranking1[[#This Row],[LWC Score (Normalized, Unweighted)]]*$U$3</f>
        <v>0</v>
      </c>
      <c r="X1513" s="246">
        <f>_xlfn.XLOOKUP(FME_Ranking1[[#This Row],[FME ID]],FME_Input[FME_ID],FME_Input[ROADCLS])</f>
        <v>0</v>
      </c>
      <c r="Y1513" s="230">
        <f>(FME_Ranking1[[#This Row],[Closures Raw]]/$X$2)*100</f>
        <v>0</v>
      </c>
      <c r="Z1513" s="180">
        <f>FME_Ranking1[[#This Row],[Closures Score (Normalized, Unweighted)]]*$X$3</f>
        <v>0</v>
      </c>
      <c r="AA1513" s="253">
        <f>_xlfn.XLOOKUP(FME_Ranking1[[#This Row],[FME ID]],FME_Input[FME_ID],FME_Input[ROAD_MILES100])</f>
        <v>1.0369564294815059</v>
      </c>
      <c r="AB1513" s="178">
        <f>(FME_Ranking1[[#This Row],[Miles Raw]]/$AA$2)*100</f>
        <v>1.3634117179012022E-2</v>
      </c>
      <c r="AC1513" s="178">
        <f>FME_Ranking1[[#This Row],[Miles Score (Normalized, Unweighted)]]*$AA$3</f>
        <v>1.3634117179012022E-3</v>
      </c>
      <c r="AD1513" s="255">
        <f>_xlfn.XLOOKUP(FME_Ranking1[[#This Row],[FME ID]],FME_Input[FME_ID],FME_Input[FARMACRE100])</f>
        <v>0</v>
      </c>
      <c r="AE1513" s="230">
        <f>(FME_Ranking1[[#This Row],[Ag Land Raw]]/$AD$2)*100</f>
        <v>0</v>
      </c>
      <c r="AF1513" s="231">
        <f>FME_Ranking1[[#This Row],[Ag Land Score (Normalized, Unweighted)]]*$AD$3</f>
        <v>0</v>
      </c>
      <c r="AG151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2.2237510679582882E-2</v>
      </c>
      <c r="AH1513" s="406">
        <f t="shared" si="23"/>
        <v>1551</v>
      </c>
      <c r="AI151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2.2237510679582882E-2</v>
      </c>
      <c r="AJ1513" s="257">
        <f>FME_Ranking1[[#This Row],[Addition check]]-FME_Ranking1[[#This Row],[Weighted Score Based on Normalized Reported Factors]]</f>
        <v>0</v>
      </c>
      <c r="AK1513" s="178">
        <f>_xlfn.RANK.EQ(AI1513,$AI$6:$AI$2341,0)+COUNTIF($AI$6:AI1513,AI1513)-1</f>
        <v>1551</v>
      </c>
    </row>
    <row r="1514" spans="1:37" x14ac:dyDescent="0.25">
      <c r="A1514" t="s">
        <v>2294</v>
      </c>
      <c r="B1514">
        <f>_xlfn.XLOOKUP(FME_Ranking1[[#This Row],[FME ID]],FME_Input[FME_ID],FME_Input[RFPG_NUM])</f>
        <v>6</v>
      </c>
      <c r="C1514" t="str">
        <f>_xlfn.XLOOKUP(FME_Ranking1[[#This Row],[FME ID]],FME_Input[FME_ID],FME_Input[FME_NAME])</f>
        <v>Cedar Bayou Flood Risk Reduction Study - Q128 Channel Improvements from US 90 to Q100 Confluence</v>
      </c>
      <c r="D1514" t="str">
        <f>_xlfn.XLOOKUP(FME_Ranking1[[#This Row],[FME ID]],FME_Input[FME_ID],FME_Input[DESCR])</f>
        <v>Study to develop a Benefit Cost Analysis needed for this project to become a FMP. Cedar Bayou channel improvements from US 90 to Confluence with Q100.</v>
      </c>
      <c r="E1514" s="256">
        <f>_xlfn.XLOOKUP(FME_Ranking1[[#This Row],[FME ID]],FME_Input[FME_ID],FME_Input[FME_COST])</f>
        <v>30000</v>
      </c>
      <c r="F1514" t="str">
        <f>_xlfn.XLOOKUP(FME_Ranking1[[#This Row],[FME ID]],FME_Input[FME_ID],FME_Input[EMER_NEED])</f>
        <v>No</v>
      </c>
      <c r="G1514">
        <f>IF(FME_Ranking!F1514="Yes",100,0)</f>
        <v>0</v>
      </c>
      <c r="H1514">
        <f>FME_Ranking1[[#This Row],[Emergency Need Score (Normalized, Unweighted)]]*$F$3</f>
        <v>0</v>
      </c>
      <c r="I1514" s="246">
        <f>_xlfn.XLOOKUP(FME_Ranking1[[#This Row],[FME ID]],FME_Input[FME_ID],FME_Input[STRUCT_100])</f>
        <v>142</v>
      </c>
      <c r="J1514" s="178">
        <f>(FME_Ranking1[[#This Row],[Structures 100 Raw]]/I$2)*100</f>
        <v>7.6039926316240417E-2</v>
      </c>
      <c r="K1514" s="178">
        <f>FME_Ranking1[[#This Row],[Structures 100  Score (Normalized, Unweighted)]]*$I$3</f>
        <v>1.1405988947436062E-2</v>
      </c>
      <c r="L1514" s="246">
        <f>_xlfn.XLOOKUP(FME_Ranking1[[#This Row],[FME ID]],FME_Input[FME_ID],FME_Input[RES_STRUCT100])</f>
        <v>81</v>
      </c>
      <c r="M1514" s="230">
        <f>(FME_Ranking1[[#This Row],[Res Structures Raw]]/L$2)*100</f>
        <v>5.7372752900511394E-2</v>
      </c>
      <c r="N1514" s="180">
        <f>FME_Ranking1[[#This Row],[Res Structures Score (Normalized, Unweighted)]]*$L$3</f>
        <v>5.7372752900511394E-3</v>
      </c>
      <c r="O1514" s="244">
        <f>_xlfn.XLOOKUP(FME_Ranking1[[#This Row],[FME ID]],FME_Input[FME_ID],FME_Input[POP100])</f>
        <v>199</v>
      </c>
      <c r="P1514" s="178">
        <f>(FME_Ranking1[[#This Row],[Pop Raw]]/$O$2)*100</f>
        <v>2.0372687085763893E-2</v>
      </c>
      <c r="Q1514" s="178">
        <f>FME_Ranking1[[#This Row],[Pop Score (Normalized, Unweighted)]]*$O$3</f>
        <v>3.0559030628645838E-3</v>
      </c>
      <c r="R1514" s="137">
        <f>_xlfn.XLOOKUP(FME_Ranking1[[#This Row],[FME ID]],FME_Input[FME_ID],FME_Input[CRITFAC100])</f>
        <v>0</v>
      </c>
      <c r="S1514" s="230">
        <f>(FME_Ranking1[[#This Row],[Critical Facilities Raw]]/$R$2)*100</f>
        <v>0</v>
      </c>
      <c r="T1514" s="180">
        <f>FME_Ranking1[[#This Row],[Critical Facilities Score (Normalized, Unweighted)]]*$R$3</f>
        <v>0</v>
      </c>
      <c r="U1514">
        <f>_xlfn.XLOOKUP(FME_Ranking1[[#This Row],[FME ID]],FME_Input[FME_ID],FME_Input[LWC])</f>
        <v>0</v>
      </c>
      <c r="V1514" s="178">
        <f>(FME_Ranking1[[#This Row],[LWC Raw]]/$U$2)*100</f>
        <v>0</v>
      </c>
      <c r="W1514" s="178">
        <f>FME_Ranking1[[#This Row],[LWC Score (Normalized, Unweighted)]]*$U$3</f>
        <v>0</v>
      </c>
      <c r="X1514" s="246">
        <f>_xlfn.XLOOKUP(FME_Ranking1[[#This Row],[FME ID]],FME_Input[FME_ID],FME_Input[ROADCLS])</f>
        <v>0</v>
      </c>
      <c r="Y1514" s="230">
        <f>(FME_Ranking1[[#This Row],[Closures Raw]]/$X$2)*100</f>
        <v>0</v>
      </c>
      <c r="Z1514" s="180">
        <f>FME_Ranking1[[#This Row],[Closures Score (Normalized, Unweighted)]]*$X$3</f>
        <v>0</v>
      </c>
      <c r="AA1514" s="253">
        <f>_xlfn.XLOOKUP(FME_Ranking1[[#This Row],[FME ID]],FME_Input[FME_ID],FME_Input[ROAD_MILES100])</f>
        <v>6.2481751441955566</v>
      </c>
      <c r="AB1514" s="178">
        <f>(FME_Ranking1[[#This Row],[Miles Raw]]/$AA$2)*100</f>
        <v>8.2152296517943424E-2</v>
      </c>
      <c r="AC1514" s="178">
        <f>FME_Ranking1[[#This Row],[Miles Score (Normalized, Unweighted)]]*$AA$3</f>
        <v>8.2152296517943434E-3</v>
      </c>
      <c r="AD1514" s="255">
        <f>_xlfn.XLOOKUP(FME_Ranking1[[#This Row],[FME ID]],FME_Input[FME_ID],FME_Input[FARMACRE100])</f>
        <v>160.9646911621094</v>
      </c>
      <c r="AE1514" s="230">
        <f>(FME_Ranking1[[#This Row],[Ag Land Raw]]/$AD$2)*100</f>
        <v>6.6374633044915341E-3</v>
      </c>
      <c r="AF1514" s="231">
        <f>FME_Ranking1[[#This Row],[Ag Land Score (Normalized, Unweighted)]]*$AD$3</f>
        <v>3.3187316522457675E-4</v>
      </c>
      <c r="AG151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2.8746270117370704E-2</v>
      </c>
      <c r="AH1514" s="406">
        <f t="shared" si="23"/>
        <v>1481</v>
      </c>
      <c r="AI151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2.8746270117370704E-2</v>
      </c>
      <c r="AJ1514" s="257">
        <f>FME_Ranking1[[#This Row],[Addition check]]-FME_Ranking1[[#This Row],[Weighted Score Based on Normalized Reported Factors]]</f>
        <v>0</v>
      </c>
      <c r="AK1514" s="178">
        <f>_xlfn.RANK.EQ(AI1514,$AI$6:$AI$2341,0)+COUNTIF($AI$6:AI1514,AI1514)-1</f>
        <v>1481</v>
      </c>
    </row>
    <row r="1515" spans="1:37" x14ac:dyDescent="0.25">
      <c r="A1515" t="s">
        <v>9800</v>
      </c>
      <c r="B1515">
        <f>_xlfn.XLOOKUP(FME_Ranking1[[#This Row],[FME ID]],FME_Input[FME_ID],FME_Input[RFPG_NUM])</f>
        <v>12</v>
      </c>
      <c r="C1515" t="str">
        <f>_xlfn.XLOOKUP(FME_Ranking1[[#This Row],[FME ID]],FME_Input[FME_ID],FME_Input[FME_NAME])</f>
        <v>Lucas Creek at Cinco De Mayo Dr Bridge and Channel (DC-MRD)</v>
      </c>
      <c r="D1515" t="str">
        <f>_xlfn.XLOOKUP(FME_Ranking1[[#This Row],[FME ID]],FME_Input[FME_ID],FME_Input[DESCR])</f>
        <v>Regional detention, channel improvements, and bridge/culvert upgrades, property acquisition</v>
      </c>
      <c r="E1515" s="256">
        <f>_xlfn.XLOOKUP(FME_Ranking1[[#This Row],[FME ID]],FME_Input[FME_ID],FME_Input[FME_COST])</f>
        <v>150000</v>
      </c>
      <c r="F1515" t="str">
        <f>_xlfn.XLOOKUP(FME_Ranking1[[#This Row],[FME ID]],FME_Input[FME_ID],FME_Input[EMER_NEED])</f>
        <v>Yes</v>
      </c>
      <c r="G1515">
        <f>IF(FME_Ranking!F1515="Yes",100,0)</f>
        <v>100</v>
      </c>
      <c r="H1515">
        <f>FME_Ranking1[[#This Row],[Emergency Need Score (Normalized, Unweighted)]]*$F$3</f>
        <v>0</v>
      </c>
      <c r="I1515" s="246">
        <f>_xlfn.XLOOKUP(FME_Ranking1[[#This Row],[FME ID]],FME_Input[FME_ID],FME_Input[STRUCT_100])</f>
        <v>94</v>
      </c>
      <c r="J1515" s="178">
        <f>(FME_Ranking1[[#This Row],[Structures 100 Raw]]/I$2)*100</f>
        <v>5.0336289251595764E-2</v>
      </c>
      <c r="K1515" s="178">
        <f>FME_Ranking1[[#This Row],[Structures 100  Score (Normalized, Unweighted)]]*$I$3</f>
        <v>7.5504433877393645E-3</v>
      </c>
      <c r="L1515" s="246">
        <f>_xlfn.XLOOKUP(FME_Ranking1[[#This Row],[FME ID]],FME_Input[FME_ID],FME_Input[RES_STRUCT100])</f>
        <v>63</v>
      </c>
      <c r="M1515" s="230">
        <f>(FME_Ranking1[[#This Row],[Res Structures Raw]]/L$2)*100</f>
        <v>4.4623252255953309E-2</v>
      </c>
      <c r="N1515" s="180">
        <f>FME_Ranking1[[#This Row],[Res Structures Score (Normalized, Unweighted)]]*$L$3</f>
        <v>4.4623252255953311E-3</v>
      </c>
      <c r="O1515" s="244">
        <f>_xlfn.XLOOKUP(FME_Ranking1[[#This Row],[FME ID]],FME_Input[FME_ID],FME_Input[POP100])</f>
        <v>100</v>
      </c>
      <c r="P1515" s="178">
        <f>(FME_Ranking1[[#This Row],[Pop Raw]]/$O$2)*100</f>
        <v>1.0237531198876328E-2</v>
      </c>
      <c r="Q1515" s="178">
        <f>FME_Ranking1[[#This Row],[Pop Score (Normalized, Unweighted)]]*$O$3</f>
        <v>1.5356296798314491E-3</v>
      </c>
      <c r="R1515" s="137">
        <f>_xlfn.XLOOKUP(FME_Ranking1[[#This Row],[FME ID]],FME_Input[FME_ID],FME_Input[CRITFAC100])</f>
        <v>0</v>
      </c>
      <c r="S1515" s="230">
        <f>(FME_Ranking1[[#This Row],[Critical Facilities Raw]]/$R$2)*100</f>
        <v>0</v>
      </c>
      <c r="T1515" s="180">
        <f>FME_Ranking1[[#This Row],[Critical Facilities Score (Normalized, Unweighted)]]*$R$3</f>
        <v>0</v>
      </c>
      <c r="U1515">
        <f>_xlfn.XLOOKUP(FME_Ranking1[[#This Row],[FME ID]],FME_Input[FME_ID],FME_Input[LWC])</f>
        <v>0</v>
      </c>
      <c r="V1515" s="178">
        <f>(FME_Ranking1[[#This Row],[LWC Raw]]/$U$2)*100</f>
        <v>0</v>
      </c>
      <c r="W1515" s="178">
        <f>FME_Ranking1[[#This Row],[LWC Score (Normalized, Unweighted)]]*$U$3</f>
        <v>0</v>
      </c>
      <c r="X1515" s="246">
        <f>_xlfn.XLOOKUP(FME_Ranking1[[#This Row],[FME ID]],FME_Input[FME_ID],FME_Input[ROADCLS])</f>
        <v>13</v>
      </c>
      <c r="Y1515" s="230">
        <f>(FME_Ranking1[[#This Row],[Closures Raw]]/$X$2)*100</f>
        <v>0.13668383976448323</v>
      </c>
      <c r="Z1515" s="180">
        <f>FME_Ranking1[[#This Row],[Closures Score (Normalized, Unweighted)]]*$X$3</f>
        <v>6.8341919882241621E-3</v>
      </c>
      <c r="AA1515" s="253">
        <f>_xlfn.XLOOKUP(FME_Ranking1[[#This Row],[FME ID]],FME_Input[FME_ID],FME_Input[ROAD_MILES100])</f>
        <v>2.5499999523162842</v>
      </c>
      <c r="AB1515" s="178">
        <f>(FME_Ranking1[[#This Row],[Miles Raw]]/$AA$2)*100</f>
        <v>3.3527925733330299E-2</v>
      </c>
      <c r="AC1515" s="178">
        <f>FME_Ranking1[[#This Row],[Miles Score (Normalized, Unweighted)]]*$AA$3</f>
        <v>3.3527925733330302E-3</v>
      </c>
      <c r="AD1515" s="255">
        <f>_xlfn.XLOOKUP(FME_Ranking1[[#This Row],[FME ID]],FME_Input[FME_ID],FME_Input[FARMACRE100])</f>
        <v>7.993445873260498</v>
      </c>
      <c r="AE1515" s="230">
        <f>(FME_Ranking1[[#This Row],[Ag Land Raw]]/$AD$2)*100</f>
        <v>3.2961392512331989E-4</v>
      </c>
      <c r="AF1515" s="231">
        <f>FME_Ranking1[[#This Row],[Ag Land Score (Normalized, Unweighted)]]*$AD$3</f>
        <v>1.6480696256165994E-5</v>
      </c>
      <c r="AG151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2.3751863550979503E-2</v>
      </c>
      <c r="AH1515" s="406">
        <f t="shared" si="23"/>
        <v>1532</v>
      </c>
      <c r="AI151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2.3751863550979503E-2</v>
      </c>
      <c r="AJ1515" s="257">
        <f>FME_Ranking1[[#This Row],[Addition check]]-FME_Ranking1[[#This Row],[Weighted Score Based on Normalized Reported Factors]]</f>
        <v>0</v>
      </c>
      <c r="AK1515" s="178">
        <f>_xlfn.RANK.EQ(AI1515,$AI$6:$AI$2341,0)+COUNTIF($AI$6:AI1515,AI1515)-1</f>
        <v>1532</v>
      </c>
    </row>
    <row r="1516" spans="1:37" x14ac:dyDescent="0.25">
      <c r="A1516" t="s">
        <v>136</v>
      </c>
      <c r="B1516">
        <f>_xlfn.XLOOKUP(FME_Ranking1[[#This Row],[FME ID]],FME_Input[FME_ID],FME_Input[RFPG_NUM])</f>
        <v>10</v>
      </c>
      <c r="C1516" t="str">
        <f>_xlfn.XLOOKUP(FME_Ranking1[[#This Row],[FME ID]],FME_Input[FME_ID],FME_Input[FME_NAME])</f>
        <v xml:space="preserve">Citywide Drainage System Improvements_x000D_
</v>
      </c>
      <c r="D1516" t="str">
        <f>_xlfn.XLOOKUP(FME_Ranking1[[#This Row],[FME ID]],FME_Input[FME_ID],FME_Input[DESCR])</f>
        <v>Citywide Drainage System Improvements</v>
      </c>
      <c r="E1516" s="256">
        <f>_xlfn.XLOOKUP(FME_Ranking1[[#This Row],[FME ID]],FME_Input[FME_ID],FME_Input[FME_COST])</f>
        <v>500000</v>
      </c>
      <c r="F1516" t="str">
        <f>_xlfn.XLOOKUP(FME_Ranking1[[#This Row],[FME ID]],FME_Input[FME_ID],FME_Input[EMER_NEED])</f>
        <v>No</v>
      </c>
      <c r="G1516">
        <f>IF(FME_Ranking!F1516="Yes",100,0)</f>
        <v>0</v>
      </c>
      <c r="H1516">
        <f>FME_Ranking1[[#This Row],[Emergency Need Score (Normalized, Unweighted)]]*$F$3</f>
        <v>0</v>
      </c>
      <c r="I1516" s="246">
        <f>_xlfn.XLOOKUP(FME_Ranking1[[#This Row],[FME ID]],FME_Input[FME_ID],FME_Input[STRUCT_100])</f>
        <v>83</v>
      </c>
      <c r="J1516" s="178">
        <f>(FME_Ranking1[[#This Row],[Structures 100 Raw]]/I$2)*100</f>
        <v>4.4445872424281364E-2</v>
      </c>
      <c r="K1516" s="178">
        <f>FME_Ranking1[[#This Row],[Structures 100  Score (Normalized, Unweighted)]]*$I$3</f>
        <v>6.6668808636422047E-3</v>
      </c>
      <c r="L1516" s="246">
        <f>_xlfn.XLOOKUP(FME_Ranking1[[#This Row],[FME ID]],FME_Input[FME_ID],FME_Input[RES_STRUCT100])</f>
        <v>48</v>
      </c>
      <c r="M1516" s="230">
        <f>(FME_Ranking1[[#This Row],[Res Structures Raw]]/L$2)*100</f>
        <v>3.3998668385488234E-2</v>
      </c>
      <c r="N1516" s="180">
        <f>FME_Ranking1[[#This Row],[Res Structures Score (Normalized, Unweighted)]]*$L$3</f>
        <v>3.3998668385488238E-3</v>
      </c>
      <c r="O1516" s="244">
        <f>_xlfn.XLOOKUP(FME_Ranking1[[#This Row],[FME ID]],FME_Input[FME_ID],FME_Input[POP100])</f>
        <v>616</v>
      </c>
      <c r="P1516" s="178">
        <f>(FME_Ranking1[[#This Row],[Pop Raw]]/$O$2)*100</f>
        <v>6.3063192185078193E-2</v>
      </c>
      <c r="Q1516" s="178">
        <f>FME_Ranking1[[#This Row],[Pop Score (Normalized, Unweighted)]]*$O$3</f>
        <v>9.4594788277617293E-3</v>
      </c>
      <c r="R1516" s="137">
        <f>_xlfn.XLOOKUP(FME_Ranking1[[#This Row],[FME ID]],FME_Input[FME_ID],FME_Input[CRITFAC100])</f>
        <v>0</v>
      </c>
      <c r="S1516" s="230">
        <f>(FME_Ranking1[[#This Row],[Critical Facilities Raw]]/$R$2)*100</f>
        <v>0</v>
      </c>
      <c r="T1516" s="180">
        <f>FME_Ranking1[[#This Row],[Critical Facilities Score (Normalized, Unweighted)]]*$R$3</f>
        <v>0</v>
      </c>
      <c r="U1516">
        <f>_xlfn.XLOOKUP(FME_Ranking1[[#This Row],[FME ID]],FME_Input[FME_ID],FME_Input[LWC])</f>
        <v>0</v>
      </c>
      <c r="V1516" s="178">
        <f>(FME_Ranking1[[#This Row],[LWC Raw]]/$U$2)*100</f>
        <v>0</v>
      </c>
      <c r="W1516" s="178">
        <f>FME_Ranking1[[#This Row],[LWC Score (Normalized, Unweighted)]]*$U$3</f>
        <v>0</v>
      </c>
      <c r="X1516" s="246">
        <f>_xlfn.XLOOKUP(FME_Ranking1[[#This Row],[FME ID]],FME_Input[FME_ID],FME_Input[ROADCLS])</f>
        <v>0</v>
      </c>
      <c r="Y1516" s="230">
        <f>(FME_Ranking1[[#This Row],[Closures Raw]]/$X$2)*100</f>
        <v>0</v>
      </c>
      <c r="Z1516" s="180">
        <f>FME_Ranking1[[#This Row],[Closures Score (Normalized, Unweighted)]]*$X$3</f>
        <v>0</v>
      </c>
      <c r="AA1516" s="253">
        <f>_xlfn.XLOOKUP(FME_Ranking1[[#This Row],[FME ID]],FME_Input[FME_ID],FME_Input[ROAD_MILES100])</f>
        <v>3.7901375293731689</v>
      </c>
      <c r="AB1516" s="178">
        <f>(FME_Ranking1[[#This Row],[Miles Raw]]/$AA$2)*100</f>
        <v>4.9833510580462169E-2</v>
      </c>
      <c r="AC1516" s="178">
        <f>FME_Ranking1[[#This Row],[Miles Score (Normalized, Unweighted)]]*$AA$3</f>
        <v>4.9833510580462176E-3</v>
      </c>
      <c r="AD1516" s="255">
        <f>_xlfn.XLOOKUP(FME_Ranking1[[#This Row],[FME ID]],FME_Input[FME_ID],FME_Input[FARMACRE100])</f>
        <v>335.36322021484381</v>
      </c>
      <c r="AE1516" s="230">
        <f>(FME_Ranking1[[#This Row],[Ag Land Raw]]/$AD$2)*100</f>
        <v>1.3828877946967563E-2</v>
      </c>
      <c r="AF1516" s="231">
        <f>FME_Ranking1[[#This Row],[Ag Land Score (Normalized, Unweighted)]]*$AD$3</f>
        <v>6.9144389734837825E-4</v>
      </c>
      <c r="AG151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2.5201021485347353E-2</v>
      </c>
      <c r="AH1516" s="406">
        <f t="shared" si="23"/>
        <v>1520</v>
      </c>
      <c r="AI151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2.5201021485347353E-2</v>
      </c>
      <c r="AJ1516" s="257">
        <f>FME_Ranking1[[#This Row],[Addition check]]-FME_Ranking1[[#This Row],[Weighted Score Based on Normalized Reported Factors]]</f>
        <v>0</v>
      </c>
      <c r="AK1516" s="178">
        <f>_xlfn.RANK.EQ(AI1516,$AI$6:$AI$2341,0)+COUNTIF($AI$6:AI1516,AI1516)-1</f>
        <v>1520</v>
      </c>
    </row>
    <row r="1517" spans="1:37" x14ac:dyDescent="0.25">
      <c r="A1517" t="s">
        <v>428</v>
      </c>
      <c r="B1517">
        <f>_xlfn.XLOOKUP(FME_Ranking1[[#This Row],[FME ID]],FME_Input[FME_ID],FME_Input[RFPG_NUM])</f>
        <v>10</v>
      </c>
      <c r="C1517" t="str">
        <f>_xlfn.XLOOKUP(FME_Ranking1[[#This Row],[FME ID]],FME_Input[FME_ID],FME_Input[FME_NAME])</f>
        <v>Llano River Erosion</v>
      </c>
      <c r="D1517" t="str">
        <f>_xlfn.XLOOKUP(FME_Ranking1[[#This Row],[FME ID]],FME_Input[FME_ID],FME_Input[DESCR])</f>
        <v>Develop/implement projects to prevent erosion</v>
      </c>
      <c r="E1517" s="256">
        <f>_xlfn.XLOOKUP(FME_Ranking1[[#This Row],[FME ID]],FME_Input[FME_ID],FME_Input[FME_COST])</f>
        <v>200000</v>
      </c>
      <c r="F1517" t="str">
        <f>_xlfn.XLOOKUP(FME_Ranking1[[#This Row],[FME ID]],FME_Input[FME_ID],FME_Input[EMER_NEED])</f>
        <v>No</v>
      </c>
      <c r="G1517">
        <f>IF(FME_Ranking!F1517="Yes",100,0)</f>
        <v>0</v>
      </c>
      <c r="H1517">
        <f>FME_Ranking1[[#This Row],[Emergency Need Score (Normalized, Unweighted)]]*$F$3</f>
        <v>0</v>
      </c>
      <c r="I1517" s="246">
        <f>_xlfn.XLOOKUP(FME_Ranking1[[#This Row],[FME ID]],FME_Input[FME_ID],FME_Input[STRUCT_100])</f>
        <v>130</v>
      </c>
      <c r="J1517" s="178">
        <f>(FME_Ranking1[[#This Row],[Structures 100 Raw]]/I$2)*100</f>
        <v>6.961401705007926E-2</v>
      </c>
      <c r="K1517" s="178">
        <f>FME_Ranking1[[#This Row],[Structures 100  Score (Normalized, Unweighted)]]*$I$3</f>
        <v>1.0442102557511889E-2</v>
      </c>
      <c r="L1517" s="246">
        <f>_xlfn.XLOOKUP(FME_Ranking1[[#This Row],[FME ID]],FME_Input[FME_ID],FME_Input[RES_STRUCT100])</f>
        <v>83</v>
      </c>
      <c r="M1517" s="230">
        <f>(FME_Ranking1[[#This Row],[Res Structures Raw]]/L$2)*100</f>
        <v>5.8789364083240071E-2</v>
      </c>
      <c r="N1517" s="180">
        <f>FME_Ranking1[[#This Row],[Res Structures Score (Normalized, Unweighted)]]*$L$3</f>
        <v>5.8789364083240078E-3</v>
      </c>
      <c r="O1517" s="244">
        <f>_xlfn.XLOOKUP(FME_Ranking1[[#This Row],[FME ID]],FME_Input[FME_ID],FME_Input[POP100])</f>
        <v>192</v>
      </c>
      <c r="P1517" s="178">
        <f>(FME_Ranking1[[#This Row],[Pop Raw]]/$O$2)*100</f>
        <v>1.9656059901842552E-2</v>
      </c>
      <c r="Q1517" s="178">
        <f>FME_Ranking1[[#This Row],[Pop Score (Normalized, Unweighted)]]*$O$3</f>
        <v>2.9484089852763826E-3</v>
      </c>
      <c r="R1517" s="137">
        <f>_xlfn.XLOOKUP(FME_Ranking1[[#This Row],[FME ID]],FME_Input[FME_ID],FME_Input[CRITFAC100])</f>
        <v>0</v>
      </c>
      <c r="S1517" s="230">
        <f>(FME_Ranking1[[#This Row],[Critical Facilities Raw]]/$R$2)*100</f>
        <v>0</v>
      </c>
      <c r="T1517" s="180">
        <f>FME_Ranking1[[#This Row],[Critical Facilities Score (Normalized, Unweighted)]]*$R$3</f>
        <v>0</v>
      </c>
      <c r="U1517">
        <f>_xlfn.XLOOKUP(FME_Ranking1[[#This Row],[FME ID]],FME_Input[FME_ID],FME_Input[LWC])</f>
        <v>0</v>
      </c>
      <c r="V1517" s="178">
        <f>(FME_Ranking1[[#This Row],[LWC Raw]]/$U$2)*100</f>
        <v>0</v>
      </c>
      <c r="W1517" s="178">
        <f>FME_Ranking1[[#This Row],[LWC Score (Normalized, Unweighted)]]*$U$3</f>
        <v>0</v>
      </c>
      <c r="X1517" s="246">
        <f>_xlfn.XLOOKUP(FME_Ranking1[[#This Row],[FME ID]],FME_Input[FME_ID],FME_Input[ROADCLS])</f>
        <v>0</v>
      </c>
      <c r="Y1517" s="230">
        <f>(FME_Ranking1[[#This Row],[Closures Raw]]/$X$2)*100</f>
        <v>0</v>
      </c>
      <c r="Z1517" s="180">
        <f>FME_Ranking1[[#This Row],[Closures Score (Normalized, Unweighted)]]*$X$3</f>
        <v>0</v>
      </c>
      <c r="AA1517" s="253">
        <f>_xlfn.XLOOKUP(FME_Ranking1[[#This Row],[FME ID]],FME_Input[FME_ID],FME_Input[ROAD_MILES100])</f>
        <v>4.3005719780921943E-2</v>
      </c>
      <c r="AB1517" s="178">
        <f>(FME_Ranking1[[#This Row],[Miles Raw]]/$AA$2)*100</f>
        <v>5.6544808073954133E-4</v>
      </c>
      <c r="AC1517" s="178">
        <f>FME_Ranking1[[#This Row],[Miles Score (Normalized, Unweighted)]]*$AA$3</f>
        <v>5.6544808073954138E-5</v>
      </c>
      <c r="AD1517" s="255">
        <f>_xlfn.XLOOKUP(FME_Ranking1[[#This Row],[FME ID]],FME_Input[FME_ID],FME_Input[FARMACRE100])</f>
        <v>426.63497924804688</v>
      </c>
      <c r="AE1517" s="230">
        <f>(FME_Ranking1[[#This Row],[Ag Land Raw]]/$AD$2)*100</f>
        <v>1.7592516711130803E-2</v>
      </c>
      <c r="AF1517" s="231">
        <f>FME_Ranking1[[#This Row],[Ag Land Score (Normalized, Unweighted)]]*$AD$3</f>
        <v>8.7962583555654017E-4</v>
      </c>
      <c r="AG151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2.0205618594742774E-2</v>
      </c>
      <c r="AH1517" s="406">
        <f t="shared" si="23"/>
        <v>1577</v>
      </c>
      <c r="AI151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2.0205618594742774E-2</v>
      </c>
      <c r="AJ1517" s="257">
        <f>FME_Ranking1[[#This Row],[Addition check]]-FME_Ranking1[[#This Row],[Weighted Score Based on Normalized Reported Factors]]</f>
        <v>0</v>
      </c>
      <c r="AK1517" s="178">
        <f>_xlfn.RANK.EQ(AI1517,$AI$6:$AI$2341,0)+COUNTIF($AI$6:AI1517,AI1517)-1</f>
        <v>1577</v>
      </c>
    </row>
    <row r="1518" spans="1:37" x14ac:dyDescent="0.25">
      <c r="A1518" t="s">
        <v>7518</v>
      </c>
      <c r="B1518">
        <f>_xlfn.XLOOKUP(FME_Ranking1[[#This Row],[FME ID]],FME_Input[FME_ID],FME_Input[RFPG_NUM])</f>
        <v>8</v>
      </c>
      <c r="C1518" t="str">
        <f>_xlfn.XLOOKUP(FME_Ranking1[[#This Row],[FME ID]],FME_Input[FME_ID],FME_Input[FME_NAME])</f>
        <v>Lea/Penn and Red Bird Lane Improvements</v>
      </c>
      <c r="D1518" t="str">
        <f>_xlfn.XLOOKUP(FME_Ranking1[[#This Row],[FME ID]],FME_Input[FME_ID],FME_Input[DESCR])</f>
        <v>Design of diversion channel and road construction to reduce flooding and provide access to neighborhoods.</v>
      </c>
      <c r="E1518" s="256">
        <f>_xlfn.XLOOKUP(FME_Ranking1[[#This Row],[FME ID]],FME_Input[FME_ID],FME_Input[FME_COST])</f>
        <v>262000</v>
      </c>
      <c r="F1518" t="str">
        <f>_xlfn.XLOOKUP(FME_Ranking1[[#This Row],[FME ID]],FME_Input[FME_ID],FME_Input[EMER_NEED])</f>
        <v>No</v>
      </c>
      <c r="G1518">
        <f>IF(FME_Ranking!F1518="Yes",100,0)</f>
        <v>0</v>
      </c>
      <c r="H1518">
        <f>FME_Ranking1[[#This Row],[Emergency Need Score (Normalized, Unweighted)]]*$F$3</f>
        <v>0</v>
      </c>
      <c r="I1518" s="246">
        <f>_xlfn.XLOOKUP(FME_Ranking1[[#This Row],[FME ID]],FME_Input[FME_ID],FME_Input[STRUCT_100])</f>
        <v>80</v>
      </c>
      <c r="J1518" s="178">
        <f>(FME_Ranking1[[#This Row],[Structures 100 Raw]]/I$2)*100</f>
        <v>4.2839395107741075E-2</v>
      </c>
      <c r="K1518" s="178">
        <f>FME_Ranking1[[#This Row],[Structures 100  Score (Normalized, Unweighted)]]*$I$3</f>
        <v>6.4259092661611613E-3</v>
      </c>
      <c r="L1518" s="246">
        <f>_xlfn.XLOOKUP(FME_Ranking1[[#This Row],[FME ID]],FME_Input[FME_ID],FME_Input[RES_STRUCT100])</f>
        <v>47</v>
      </c>
      <c r="M1518" s="230">
        <f>(FME_Ranking1[[#This Row],[Res Structures Raw]]/L$2)*100</f>
        <v>3.3290362794123896E-2</v>
      </c>
      <c r="N1518" s="180">
        <f>FME_Ranking1[[#This Row],[Res Structures Score (Normalized, Unweighted)]]*$L$3</f>
        <v>3.3290362794123896E-3</v>
      </c>
      <c r="O1518" s="244">
        <f>_xlfn.XLOOKUP(FME_Ranking1[[#This Row],[FME ID]],FME_Input[FME_ID],FME_Input[POP100])</f>
        <v>177</v>
      </c>
      <c r="P1518" s="178">
        <f>(FME_Ranking1[[#This Row],[Pop Raw]]/$O$2)*100</f>
        <v>1.81204302220111E-2</v>
      </c>
      <c r="Q1518" s="178">
        <f>FME_Ranking1[[#This Row],[Pop Score (Normalized, Unweighted)]]*$O$3</f>
        <v>2.7180645333016651E-3</v>
      </c>
      <c r="R1518" s="137">
        <f>_xlfn.XLOOKUP(FME_Ranking1[[#This Row],[FME ID]],FME_Input[FME_ID],FME_Input[CRITFAC100])</f>
        <v>0</v>
      </c>
      <c r="S1518" s="230">
        <f>(FME_Ranking1[[#This Row],[Critical Facilities Raw]]/$R$2)*100</f>
        <v>0</v>
      </c>
      <c r="T1518" s="180">
        <f>FME_Ranking1[[#This Row],[Critical Facilities Score (Normalized, Unweighted)]]*$R$3</f>
        <v>0</v>
      </c>
      <c r="U1518">
        <f>_xlfn.XLOOKUP(FME_Ranking1[[#This Row],[FME ID]],FME_Input[FME_ID],FME_Input[LWC])</f>
        <v>0</v>
      </c>
      <c r="V1518" s="178">
        <f>(FME_Ranking1[[#This Row],[LWC Raw]]/$U$2)*100</f>
        <v>0</v>
      </c>
      <c r="W1518" s="178">
        <f>FME_Ranking1[[#This Row],[LWC Score (Normalized, Unweighted)]]*$U$3</f>
        <v>0</v>
      </c>
      <c r="X1518" s="246">
        <f>_xlfn.XLOOKUP(FME_Ranking1[[#This Row],[FME ID]],FME_Input[FME_ID],FME_Input[ROADCLS])</f>
        <v>9</v>
      </c>
      <c r="Y1518" s="230">
        <f>(FME_Ranking1[[#This Row],[Closures Raw]]/$X$2)*100</f>
        <v>9.462727368310378E-2</v>
      </c>
      <c r="Z1518" s="180">
        <f>FME_Ranking1[[#This Row],[Closures Score (Normalized, Unweighted)]]*$X$3</f>
        <v>4.7313636841551897E-3</v>
      </c>
      <c r="AA1518" s="253">
        <f>_xlfn.XLOOKUP(FME_Ranking1[[#This Row],[FME ID]],FME_Input[FME_ID],FME_Input[ROAD_MILES100])</f>
        <v>1.644350051879883</v>
      </c>
      <c r="AB1518" s="178">
        <f>(FME_Ranking1[[#This Row],[Miles Raw]]/$AA$2)*100</f>
        <v>2.162025390194533E-2</v>
      </c>
      <c r="AC1518" s="178">
        <f>FME_Ranking1[[#This Row],[Miles Score (Normalized, Unweighted)]]*$AA$3</f>
        <v>2.1620253901945331E-3</v>
      </c>
      <c r="AD1518" s="255">
        <f>_xlfn.XLOOKUP(FME_Ranking1[[#This Row],[FME ID]],FME_Input[FME_ID],FME_Input[FARMACRE100])</f>
        <v>1414.099975585938</v>
      </c>
      <c r="AE1518" s="230">
        <f>(FME_Ranking1[[#This Row],[Ag Land Raw]]/$AD$2)*100</f>
        <v>5.8311152769406127E-2</v>
      </c>
      <c r="AF1518" s="231">
        <f>FME_Ranking1[[#This Row],[Ag Land Score (Normalized, Unweighted)]]*$AD$3</f>
        <v>2.9155576384703066E-3</v>
      </c>
      <c r="AG151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2.2281956791695246E-2</v>
      </c>
      <c r="AH1518" s="406">
        <f t="shared" si="23"/>
        <v>1548</v>
      </c>
      <c r="AI151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2.2281956791695246E-2</v>
      </c>
      <c r="AJ1518" s="257">
        <f>FME_Ranking1[[#This Row],[Addition check]]-FME_Ranking1[[#This Row],[Weighted Score Based on Normalized Reported Factors]]</f>
        <v>0</v>
      </c>
      <c r="AK1518" s="178">
        <f>_xlfn.RANK.EQ(AI1518,$AI$6:$AI$2341,0)+COUNTIF($AI$6:AI1518,AI1518)-1</f>
        <v>1548</v>
      </c>
    </row>
    <row r="1519" spans="1:37" x14ac:dyDescent="0.25">
      <c r="A1519" t="s">
        <v>4635</v>
      </c>
      <c r="B1519">
        <f>_xlfn.XLOOKUP(FME_Ranking1[[#This Row],[FME ID]],FME_Input[FME_ID],FME_Input[RFPG_NUM])</f>
        <v>3</v>
      </c>
      <c r="C1519" t="str">
        <f>_xlfn.XLOOKUP(FME_Ranking1[[#This Row],[FME ID]],FME_Input[FME_ID],FME_Input[FME_NAME])</f>
        <v xml:space="preserve">Turkey Creek Trail Bridge </v>
      </c>
      <c r="D1519" t="str">
        <f>_xlfn.XLOOKUP(FME_Ranking1[[#This Row],[FME ID]],FME_Input[FME_ID],FME_Input[DESCR])</f>
        <v>Evaluate alternatives to construct Bridge at Low-Water Crossing on Turkey Creek Trail.</v>
      </c>
      <c r="E1519" s="256">
        <f>_xlfn.XLOOKUP(FME_Ranking1[[#This Row],[FME ID]],FME_Input[FME_ID],FME_Input[FME_COST])</f>
        <v>250000</v>
      </c>
      <c r="F1519" t="str">
        <f>_xlfn.XLOOKUP(FME_Ranking1[[#This Row],[FME ID]],FME_Input[FME_ID],FME_Input[EMER_NEED])</f>
        <v>No</v>
      </c>
      <c r="G1519">
        <f>IF(FME_Ranking!F1519="Yes",100,0)</f>
        <v>0</v>
      </c>
      <c r="H1519">
        <f>FME_Ranking1[[#This Row],[Emergency Need Score (Normalized, Unweighted)]]*$F$3</f>
        <v>0</v>
      </c>
      <c r="I1519" s="246">
        <f>_xlfn.XLOOKUP(FME_Ranking1[[#This Row],[FME ID]],FME_Input[FME_ID],FME_Input[STRUCT_100])</f>
        <v>0</v>
      </c>
      <c r="J1519" s="178">
        <f>(FME_Ranking1[[#This Row],[Structures 100 Raw]]/I$2)*100</f>
        <v>0</v>
      </c>
      <c r="K1519" s="178">
        <f>FME_Ranking1[[#This Row],[Structures 100  Score (Normalized, Unweighted)]]*$I$3</f>
        <v>0</v>
      </c>
      <c r="L1519" s="246">
        <f>_xlfn.XLOOKUP(FME_Ranking1[[#This Row],[FME ID]],FME_Input[FME_ID],FME_Input[RES_STRUCT100])</f>
        <v>0</v>
      </c>
      <c r="M1519" s="230">
        <f>(FME_Ranking1[[#This Row],[Res Structures Raw]]/L$2)*100</f>
        <v>0</v>
      </c>
      <c r="N1519" s="180">
        <f>FME_Ranking1[[#This Row],[Res Structures Score (Normalized, Unweighted)]]*$L$3</f>
        <v>0</v>
      </c>
      <c r="O1519" s="244">
        <f>_xlfn.XLOOKUP(FME_Ranking1[[#This Row],[FME ID]],FME_Input[FME_ID],FME_Input[POP100])</f>
        <v>0</v>
      </c>
      <c r="P1519" s="178">
        <f>(FME_Ranking1[[#This Row],[Pop Raw]]/$O$2)*100</f>
        <v>0</v>
      </c>
      <c r="Q1519" s="178">
        <f>FME_Ranking1[[#This Row],[Pop Score (Normalized, Unweighted)]]*$O$3</f>
        <v>0</v>
      </c>
      <c r="R1519" s="137">
        <f>_xlfn.XLOOKUP(FME_Ranking1[[#This Row],[FME ID]],FME_Input[FME_ID],FME_Input[CRITFAC100])</f>
        <v>1</v>
      </c>
      <c r="S1519" s="230">
        <f>(FME_Ranking1[[#This Row],[Critical Facilities Raw]]/$R$2)*100</f>
        <v>4.2881646655231559E-2</v>
      </c>
      <c r="T1519" s="180">
        <f>FME_Ranking1[[#This Row],[Critical Facilities Score (Normalized, Unweighted)]]*$R$3</f>
        <v>8.5763293310463125E-3</v>
      </c>
      <c r="U1519">
        <f>_xlfn.XLOOKUP(FME_Ranking1[[#This Row],[FME ID]],FME_Input[FME_ID],FME_Input[LWC])</f>
        <v>1</v>
      </c>
      <c r="V1519" s="178">
        <f>(FME_Ranking1[[#This Row],[LWC Raw]]/$U$2)*100</f>
        <v>5.7570523891767422E-2</v>
      </c>
      <c r="W1519" s="178">
        <f>FME_Ranking1[[#This Row],[LWC Score (Normalized, Unweighted)]]*$U$3</f>
        <v>1.1514104778353485E-2</v>
      </c>
      <c r="X1519" s="246">
        <f>_xlfn.XLOOKUP(FME_Ranking1[[#This Row],[FME ID]],FME_Input[FME_ID],FME_Input[ROADCLS])</f>
        <v>0</v>
      </c>
      <c r="Y1519" s="230">
        <f>(FME_Ranking1[[#This Row],[Closures Raw]]/$X$2)*100</f>
        <v>0</v>
      </c>
      <c r="Z1519" s="180">
        <f>FME_Ranking1[[#This Row],[Closures Score (Normalized, Unweighted)]]*$X$3</f>
        <v>0</v>
      </c>
      <c r="AA1519" s="253">
        <f>_xlfn.XLOOKUP(FME_Ranking1[[#This Row],[FME ID]],FME_Input[FME_ID],FME_Input[ROAD_MILES100])</f>
        <v>4.4881739616394043</v>
      </c>
      <c r="AB1519" s="178">
        <f>(FME_Ranking1[[#This Row],[Miles Raw]]/$AA$2)*100</f>
        <v>5.9011437677646036E-2</v>
      </c>
      <c r="AC1519" s="178">
        <f>FME_Ranking1[[#This Row],[Miles Score (Normalized, Unweighted)]]*$AA$3</f>
        <v>5.9011437677646038E-3</v>
      </c>
      <c r="AD1519" s="255">
        <f>_xlfn.XLOOKUP(FME_Ranking1[[#This Row],[FME ID]],FME_Input[FME_ID],FME_Input[FARMACRE100])</f>
        <v>0</v>
      </c>
      <c r="AE1519" s="230">
        <f>(FME_Ranking1[[#This Row],[Ag Land Raw]]/$AD$2)*100</f>
        <v>0</v>
      </c>
      <c r="AF1519" s="231">
        <f>FME_Ranking1[[#This Row],[Ag Land Score (Normalized, Unweighted)]]*$AD$3</f>
        <v>0</v>
      </c>
      <c r="AG151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2.5991577877164402E-2</v>
      </c>
      <c r="AH1519" s="406">
        <f t="shared" si="23"/>
        <v>1506</v>
      </c>
      <c r="AI151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2.5991577877164402E-2</v>
      </c>
      <c r="AJ1519" s="257">
        <f>FME_Ranking1[[#This Row],[Addition check]]-FME_Ranking1[[#This Row],[Weighted Score Based on Normalized Reported Factors]]</f>
        <v>0</v>
      </c>
      <c r="AK1519" s="178">
        <f>_xlfn.RANK.EQ(AI1519,$AI$6:$AI$2341,0)+COUNTIF($AI$6:AI1519,AI1519)-1</f>
        <v>1506</v>
      </c>
    </row>
    <row r="1520" spans="1:37" x14ac:dyDescent="0.25">
      <c r="A1520" t="s">
        <v>5080</v>
      </c>
      <c r="B1520">
        <f>_xlfn.XLOOKUP(FME_Ranking1[[#This Row],[FME ID]],FME_Input[FME_ID],FME_Input[RFPG_NUM])</f>
        <v>3</v>
      </c>
      <c r="C1520" t="str">
        <f>_xlfn.XLOOKUP(FME_Ranking1[[#This Row],[FME ID]],FME_Input[FME_ID],FME_Input[FME_NAME])</f>
        <v>Mc Adams Ditch Feasibility Study</v>
      </c>
      <c r="D1520" t="str">
        <f>_xlfn.XLOOKUP(FME_Ranking1[[#This Row],[FME ID]],FME_Input[FME_ID],FME_Input[DESCR])</f>
        <v>Evaluate alternatives for improvements to Mc Adams Ditch (crosses FM 3180 South).</v>
      </c>
      <c r="E1520" s="256">
        <f>_xlfn.XLOOKUP(FME_Ranking1[[#This Row],[FME ID]],FME_Input[FME_ID],FME_Input[FME_COST])</f>
        <v>500000</v>
      </c>
      <c r="F1520" t="str">
        <f>_xlfn.XLOOKUP(FME_Ranking1[[#This Row],[FME ID]],FME_Input[FME_ID],FME_Input[EMER_NEED])</f>
        <v>No</v>
      </c>
      <c r="G1520">
        <f>IF(FME_Ranking!F1520="Yes",100,0)</f>
        <v>0</v>
      </c>
      <c r="H1520">
        <f>FME_Ranking1[[#This Row],[Emergency Need Score (Normalized, Unweighted)]]*$F$3</f>
        <v>0</v>
      </c>
      <c r="I1520" s="246">
        <f>_xlfn.XLOOKUP(FME_Ranking1[[#This Row],[FME ID]],FME_Input[FME_ID],FME_Input[STRUCT_100])</f>
        <v>106</v>
      </c>
      <c r="J1520" s="178">
        <f>(FME_Ranking1[[#This Row],[Structures 100 Raw]]/I$2)*100</f>
        <v>5.6762198517756934E-2</v>
      </c>
      <c r="K1520" s="178">
        <f>FME_Ranking1[[#This Row],[Structures 100  Score (Normalized, Unweighted)]]*$I$3</f>
        <v>8.5143297776635405E-3</v>
      </c>
      <c r="L1520" s="246">
        <f>_xlfn.XLOOKUP(FME_Ranking1[[#This Row],[FME ID]],FME_Input[FME_ID],FME_Input[RES_STRUCT100])</f>
        <v>95</v>
      </c>
      <c r="M1520" s="230">
        <f>(FME_Ranking1[[#This Row],[Res Structures Raw]]/L$2)*100</f>
        <v>6.728903117961213E-2</v>
      </c>
      <c r="N1520" s="180">
        <f>FME_Ranking1[[#This Row],[Res Structures Score (Normalized, Unweighted)]]*$L$3</f>
        <v>6.7289031179612133E-3</v>
      </c>
      <c r="O1520" s="244">
        <f>_xlfn.XLOOKUP(FME_Ranking1[[#This Row],[FME ID]],FME_Input[FME_ID],FME_Input[POP100])</f>
        <v>241</v>
      </c>
      <c r="P1520" s="178">
        <f>(FME_Ranking1[[#This Row],[Pop Raw]]/$O$2)*100</f>
        <v>2.4672450189291952E-2</v>
      </c>
      <c r="Q1520" s="178">
        <f>FME_Ranking1[[#This Row],[Pop Score (Normalized, Unweighted)]]*$O$3</f>
        <v>3.7008675283937927E-3</v>
      </c>
      <c r="R1520" s="137">
        <f>_xlfn.XLOOKUP(FME_Ranking1[[#This Row],[FME ID]],FME_Input[FME_ID],FME_Input[CRITFAC100])</f>
        <v>0</v>
      </c>
      <c r="S1520" s="230">
        <f>(FME_Ranking1[[#This Row],[Critical Facilities Raw]]/$R$2)*100</f>
        <v>0</v>
      </c>
      <c r="T1520" s="180">
        <f>FME_Ranking1[[#This Row],[Critical Facilities Score (Normalized, Unweighted)]]*$R$3</f>
        <v>0</v>
      </c>
      <c r="U1520">
        <f>_xlfn.XLOOKUP(FME_Ranking1[[#This Row],[FME ID]],FME_Input[FME_ID],FME_Input[LWC])</f>
        <v>0</v>
      </c>
      <c r="V1520" s="178">
        <f>(FME_Ranking1[[#This Row],[LWC Raw]]/$U$2)*100</f>
        <v>0</v>
      </c>
      <c r="W1520" s="178">
        <f>FME_Ranking1[[#This Row],[LWC Score (Normalized, Unweighted)]]*$U$3</f>
        <v>0</v>
      </c>
      <c r="X1520" s="246">
        <f>_xlfn.XLOOKUP(FME_Ranking1[[#This Row],[FME ID]],FME_Input[FME_ID],FME_Input[ROADCLS])</f>
        <v>0</v>
      </c>
      <c r="Y1520" s="230">
        <f>(FME_Ranking1[[#This Row],[Closures Raw]]/$X$2)*100</f>
        <v>0</v>
      </c>
      <c r="Z1520" s="180">
        <f>FME_Ranking1[[#This Row],[Closures Score (Normalized, Unweighted)]]*$X$3</f>
        <v>0</v>
      </c>
      <c r="AA1520" s="253">
        <f>_xlfn.XLOOKUP(FME_Ranking1[[#This Row],[FME ID]],FME_Input[FME_ID],FME_Input[ROAD_MILES100])</f>
        <v>1.5426449775695801</v>
      </c>
      <c r="AB1520" s="178">
        <f>(FME_Ranking1[[#This Row],[Miles Raw]]/$AA$2)*100</f>
        <v>2.0283014591379361E-2</v>
      </c>
      <c r="AC1520" s="178">
        <f>FME_Ranking1[[#This Row],[Miles Score (Normalized, Unweighted)]]*$AA$3</f>
        <v>2.0283014591379362E-3</v>
      </c>
      <c r="AD1520" s="255">
        <f>_xlfn.XLOOKUP(FME_Ranking1[[#This Row],[FME ID]],FME_Input[FME_ID],FME_Input[FARMACRE100])</f>
        <v>551.2998046875</v>
      </c>
      <c r="AE1520" s="230">
        <f>(FME_Ranking1[[#This Row],[Ag Land Raw]]/$AD$2)*100</f>
        <v>2.2733136049702826E-2</v>
      </c>
      <c r="AF1520" s="231">
        <f>FME_Ranking1[[#This Row],[Ag Land Score (Normalized, Unweighted)]]*$AD$3</f>
        <v>1.1366568024851413E-3</v>
      </c>
      <c r="AG152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2.2109058685641624E-2</v>
      </c>
      <c r="AH1520" s="406">
        <f t="shared" si="23"/>
        <v>1552</v>
      </c>
      <c r="AI152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2.2109058685641624E-2</v>
      </c>
      <c r="AJ1520" s="257">
        <f>FME_Ranking1[[#This Row],[Addition check]]-FME_Ranking1[[#This Row],[Weighted Score Based on Normalized Reported Factors]]</f>
        <v>0</v>
      </c>
      <c r="AK1520" s="178">
        <f>_xlfn.RANK.EQ(AI1520,$AI$6:$AI$2341,0)+COUNTIF($AI$6:AI1520,AI1520)-1</f>
        <v>1552</v>
      </c>
    </row>
    <row r="1521" spans="1:37" x14ac:dyDescent="0.25">
      <c r="A1521" t="s">
        <v>7279</v>
      </c>
      <c r="B1521">
        <f>_xlfn.XLOOKUP(FME_Ranking1[[#This Row],[FME ID]],FME_Input[FME_ID],FME_Input[RFPG_NUM])</f>
        <v>7</v>
      </c>
      <c r="C1521" t="str">
        <f>_xlfn.XLOOKUP(FME_Ranking1[[#This Row],[FME ID]],FME_Input[FME_ID],FME_Input[FME_NAME])</f>
        <v>City of Slaton School Campus Drainage Program</v>
      </c>
      <c r="D1521" t="str">
        <f>_xlfn.XLOOKUP(FME_Ranking1[[#This Row],[FME ID]],FME_Input[FME_ID],FME_Input[DESCR])</f>
        <v>Install water drainage system at campuses as backup in severe weather events</v>
      </c>
      <c r="E1521" s="256">
        <f>_xlfn.XLOOKUP(FME_Ranking1[[#This Row],[FME ID]],FME_Input[FME_ID],FME_Input[FME_COST])</f>
        <v>150000</v>
      </c>
      <c r="F1521" t="str">
        <f>_xlfn.XLOOKUP(FME_Ranking1[[#This Row],[FME ID]],FME_Input[FME_ID],FME_Input[EMER_NEED])</f>
        <v>No</v>
      </c>
      <c r="G1521">
        <f>IF(FME_Ranking!F1521="Yes",100,0)</f>
        <v>0</v>
      </c>
      <c r="H1521">
        <f>FME_Ranking1[[#This Row],[Emergency Need Score (Normalized, Unweighted)]]*$F$3</f>
        <v>0</v>
      </c>
      <c r="I1521" s="246">
        <f>_xlfn.XLOOKUP(FME_Ranking1[[#This Row],[FME ID]],FME_Input[FME_ID],FME_Input[STRUCT_100])</f>
        <v>125</v>
      </c>
      <c r="J1521" s="178">
        <f>(FME_Ranking1[[#This Row],[Structures 100 Raw]]/I$2)*100</f>
        <v>6.6936554855845432E-2</v>
      </c>
      <c r="K1521" s="178">
        <f>FME_Ranking1[[#This Row],[Structures 100  Score (Normalized, Unweighted)]]*$I$3</f>
        <v>1.0040483228376815E-2</v>
      </c>
      <c r="L1521" s="246">
        <f>_xlfn.XLOOKUP(FME_Ranking1[[#This Row],[FME ID]],FME_Input[FME_ID],FME_Input[RES_STRUCT100])</f>
        <v>99</v>
      </c>
      <c r="M1521" s="230">
        <f>(FME_Ranking1[[#This Row],[Res Structures Raw]]/L$2)*100</f>
        <v>7.0122253545069485E-2</v>
      </c>
      <c r="N1521" s="180">
        <f>FME_Ranking1[[#This Row],[Res Structures Score (Normalized, Unweighted)]]*$L$3</f>
        <v>7.0122253545069485E-3</v>
      </c>
      <c r="O1521" s="244">
        <f>_xlfn.XLOOKUP(FME_Ranking1[[#This Row],[FME ID]],FME_Input[FME_ID],FME_Input[POP100])</f>
        <v>180</v>
      </c>
      <c r="P1521" s="178">
        <f>(FME_Ranking1[[#This Row],[Pop Raw]]/$O$2)*100</f>
        <v>1.8427556157977393E-2</v>
      </c>
      <c r="Q1521" s="178">
        <f>FME_Ranking1[[#This Row],[Pop Score (Normalized, Unweighted)]]*$O$3</f>
        <v>2.7641334236966088E-3</v>
      </c>
      <c r="R1521" s="137">
        <f>_xlfn.XLOOKUP(FME_Ranking1[[#This Row],[FME ID]],FME_Input[FME_ID],FME_Input[CRITFAC100])</f>
        <v>0</v>
      </c>
      <c r="S1521" s="230">
        <f>(FME_Ranking1[[#This Row],[Critical Facilities Raw]]/$R$2)*100</f>
        <v>0</v>
      </c>
      <c r="T1521" s="180">
        <f>FME_Ranking1[[#This Row],[Critical Facilities Score (Normalized, Unweighted)]]*$R$3</f>
        <v>0</v>
      </c>
      <c r="U1521">
        <f>_xlfn.XLOOKUP(FME_Ranking1[[#This Row],[FME ID]],FME_Input[FME_ID],FME_Input[LWC])</f>
        <v>0</v>
      </c>
      <c r="V1521" s="178">
        <f>(FME_Ranking1[[#This Row],[LWC Raw]]/$U$2)*100</f>
        <v>0</v>
      </c>
      <c r="W1521" s="178">
        <f>FME_Ranking1[[#This Row],[LWC Score (Normalized, Unweighted)]]*$U$3</f>
        <v>0</v>
      </c>
      <c r="X1521" s="246">
        <f>_xlfn.XLOOKUP(FME_Ranking1[[#This Row],[FME ID]],FME_Input[FME_ID],FME_Input[ROADCLS])</f>
        <v>0</v>
      </c>
      <c r="Y1521" s="230">
        <f>(FME_Ranking1[[#This Row],[Closures Raw]]/$X$2)*100</f>
        <v>0</v>
      </c>
      <c r="Z1521" s="180">
        <f>FME_Ranking1[[#This Row],[Closures Score (Normalized, Unweighted)]]*$X$3</f>
        <v>0</v>
      </c>
      <c r="AA1521" s="253">
        <f>_xlfn.XLOOKUP(FME_Ranking1[[#This Row],[FME ID]],FME_Input[FME_ID],FME_Input[ROAD_MILES100])</f>
        <v>5.3172087669372559</v>
      </c>
      <c r="AB1521" s="178">
        <f>(FME_Ranking1[[#This Row],[Miles Raw]]/$AA$2)*100</f>
        <v>6.9911758423583339E-2</v>
      </c>
      <c r="AC1521" s="178">
        <f>FME_Ranking1[[#This Row],[Miles Score (Normalized, Unweighted)]]*$AA$3</f>
        <v>6.9911758423583346E-3</v>
      </c>
      <c r="AD1521" s="255">
        <f>_xlfn.XLOOKUP(FME_Ranking1[[#This Row],[FME ID]],FME_Input[FME_ID],FME_Input[FARMACRE100])</f>
        <v>101.0284423828125</v>
      </c>
      <c r="AE1521" s="230">
        <f>(FME_Ranking1[[#This Row],[Ag Land Raw]]/$AD$2)*100</f>
        <v>4.1659607096721221E-3</v>
      </c>
      <c r="AF1521" s="231">
        <f>FME_Ranking1[[#This Row],[Ag Land Score (Normalized, Unweighted)]]*$AD$3</f>
        <v>2.0829803548360612E-4</v>
      </c>
      <c r="AG152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2.7016315884422309E-2</v>
      </c>
      <c r="AH1521" s="406">
        <f t="shared" si="23"/>
        <v>1494</v>
      </c>
      <c r="AI152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2.7016315884422309E-2</v>
      </c>
      <c r="AJ1521" s="257">
        <f>FME_Ranking1[[#This Row],[Addition check]]-FME_Ranking1[[#This Row],[Weighted Score Based on Normalized Reported Factors]]</f>
        <v>0</v>
      </c>
      <c r="AK1521" s="178">
        <f>_xlfn.RANK.EQ(AI1521,$AI$6:$AI$2341,0)+COUNTIF($AI$6:AI1521,AI1521)-1</f>
        <v>1494</v>
      </c>
    </row>
    <row r="1522" spans="1:37" x14ac:dyDescent="0.25">
      <c r="A1522" t="s">
        <v>1643</v>
      </c>
      <c r="B1522">
        <f>_xlfn.XLOOKUP(FME_Ranking1[[#This Row],[FME ID]],FME_Input[FME_ID],FME_Input[RFPG_NUM])</f>
        <v>6</v>
      </c>
      <c r="C1522" t="str">
        <f>_xlfn.XLOOKUP(FME_Ranking1[[#This Row],[FME ID]],FME_Input[FME_ID],FME_Input[FME_NAME])</f>
        <v>City of Liverpool  Master Drainage Plan</v>
      </c>
      <c r="D1522" t="str">
        <f>_xlfn.XLOOKUP(FME_Ranking1[[#This Row],[FME ID]],FME_Input[FME_ID],FME_Input[DESCR])</f>
        <v>Study to develop Master Drainage Plan using future and existing land use and flood/storm water drainage needs including Atlas 14 rainfall.</v>
      </c>
      <c r="E1522" s="256">
        <f>_xlfn.XLOOKUP(FME_Ranking1[[#This Row],[FME ID]],FME_Input[FME_ID],FME_Input[FME_COST])</f>
        <v>160000</v>
      </c>
      <c r="F1522" t="str">
        <f>_xlfn.XLOOKUP(FME_Ranking1[[#This Row],[FME ID]],FME_Input[FME_ID],FME_Input[EMER_NEED])</f>
        <v>Yes</v>
      </c>
      <c r="G1522">
        <f>IF(FME_Ranking!F1522="Yes",100,0)</f>
        <v>100</v>
      </c>
      <c r="H1522">
        <f>FME_Ranking1[[#This Row],[Emergency Need Score (Normalized, Unweighted)]]*$F$3</f>
        <v>0</v>
      </c>
      <c r="I1522" s="246">
        <f>_xlfn.XLOOKUP(FME_Ranking1[[#This Row],[FME ID]],FME_Input[FME_ID],FME_Input[STRUCT_100])</f>
        <v>130</v>
      </c>
      <c r="J1522" s="178">
        <f>(FME_Ranking1[[#This Row],[Structures 100 Raw]]/I$2)*100</f>
        <v>6.961401705007926E-2</v>
      </c>
      <c r="K1522" s="178">
        <f>FME_Ranking1[[#This Row],[Structures 100  Score (Normalized, Unweighted)]]*$I$3</f>
        <v>1.0442102557511889E-2</v>
      </c>
      <c r="L1522" s="246">
        <f>_xlfn.XLOOKUP(FME_Ranking1[[#This Row],[FME ID]],FME_Input[FME_ID],FME_Input[RES_STRUCT100])</f>
        <v>110</v>
      </c>
      <c r="M1522" s="230">
        <f>(FME_Ranking1[[#This Row],[Res Structures Raw]]/L$2)*100</f>
        <v>7.7913615050077198E-2</v>
      </c>
      <c r="N1522" s="180">
        <f>FME_Ranking1[[#This Row],[Res Structures Score (Normalized, Unweighted)]]*$L$3</f>
        <v>7.7913615050077198E-3</v>
      </c>
      <c r="O1522" s="244">
        <f>_xlfn.XLOOKUP(FME_Ranking1[[#This Row],[FME ID]],FME_Input[FME_ID],FME_Input[POP100])</f>
        <v>104</v>
      </c>
      <c r="P1522" s="178">
        <f>(FME_Ranking1[[#This Row],[Pop Raw]]/$O$2)*100</f>
        <v>1.0647032446831382E-2</v>
      </c>
      <c r="Q1522" s="178">
        <f>FME_Ranking1[[#This Row],[Pop Score (Normalized, Unweighted)]]*$O$3</f>
        <v>1.5970548670247071E-3</v>
      </c>
      <c r="R1522" s="137">
        <f>_xlfn.XLOOKUP(FME_Ranking1[[#This Row],[FME ID]],FME_Input[FME_ID],FME_Input[CRITFAC100])</f>
        <v>0</v>
      </c>
      <c r="S1522" s="230">
        <f>(FME_Ranking1[[#This Row],[Critical Facilities Raw]]/$R$2)*100</f>
        <v>0</v>
      </c>
      <c r="T1522" s="180">
        <f>FME_Ranking1[[#This Row],[Critical Facilities Score (Normalized, Unweighted)]]*$R$3</f>
        <v>0</v>
      </c>
      <c r="U1522">
        <f>_xlfn.XLOOKUP(FME_Ranking1[[#This Row],[FME ID]],FME_Input[FME_ID],FME_Input[LWC])</f>
        <v>0</v>
      </c>
      <c r="V1522" s="178">
        <f>(FME_Ranking1[[#This Row],[LWC Raw]]/$U$2)*100</f>
        <v>0</v>
      </c>
      <c r="W1522" s="178">
        <f>FME_Ranking1[[#This Row],[LWC Score (Normalized, Unweighted)]]*$U$3</f>
        <v>0</v>
      </c>
      <c r="X1522" s="246">
        <f>_xlfn.XLOOKUP(FME_Ranking1[[#This Row],[FME ID]],FME_Input[FME_ID],FME_Input[ROADCLS])</f>
        <v>0</v>
      </c>
      <c r="Y1522" s="230">
        <f>(FME_Ranking1[[#This Row],[Closures Raw]]/$X$2)*100</f>
        <v>0</v>
      </c>
      <c r="Z1522" s="180">
        <f>FME_Ranking1[[#This Row],[Closures Score (Normalized, Unweighted)]]*$X$3</f>
        <v>0</v>
      </c>
      <c r="AA1522" s="253">
        <f>_xlfn.XLOOKUP(FME_Ranking1[[#This Row],[FME ID]],FME_Input[FME_ID],FME_Input[ROAD_MILES100])</f>
        <v>3.3209011554718022</v>
      </c>
      <c r="AB1522" s="178">
        <f>(FME_Ranking1[[#This Row],[Miles Raw]]/$AA$2)*100</f>
        <v>4.3663893878606301E-2</v>
      </c>
      <c r="AC1522" s="178">
        <f>FME_Ranking1[[#This Row],[Miles Score (Normalized, Unweighted)]]*$AA$3</f>
        <v>4.3663893878606299E-3</v>
      </c>
      <c r="AD1522" s="255">
        <f>_xlfn.XLOOKUP(FME_Ranking1[[#This Row],[FME ID]],FME_Input[FME_ID],FME_Input[FARMACRE100])</f>
        <v>5.29180908203125</v>
      </c>
      <c r="AE1522" s="230">
        <f>(FME_Ranking1[[#This Row],[Ag Land Raw]]/$AD$2)*100</f>
        <v>2.182105177400892E-4</v>
      </c>
      <c r="AF1522" s="231">
        <f>FME_Ranking1[[#This Row],[Ag Land Score (Normalized, Unweighted)]]*$AD$3</f>
        <v>1.0910525887004461E-5</v>
      </c>
      <c r="AG152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2.4207818843291949E-2</v>
      </c>
      <c r="AH1522" s="406">
        <f t="shared" si="23"/>
        <v>1529</v>
      </c>
      <c r="AI152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2.4207818843291949E-2</v>
      </c>
      <c r="AJ1522" s="257">
        <f>FME_Ranking1[[#This Row],[Addition check]]-FME_Ranking1[[#This Row],[Weighted Score Based on Normalized Reported Factors]]</f>
        <v>0</v>
      </c>
      <c r="AK1522" s="178">
        <f>_xlfn.RANK.EQ(AI1522,$AI$6:$AI$2341,0)+COUNTIF($AI$6:AI1522,AI1522)-1</f>
        <v>1529</v>
      </c>
    </row>
    <row r="1523" spans="1:37" x14ac:dyDescent="0.25">
      <c r="A1523" t="s">
        <v>5117</v>
      </c>
      <c r="B1523">
        <f>_xlfn.XLOOKUP(FME_Ranking1[[#This Row],[FME ID]],FME_Input[FME_ID],FME_Input[RFPG_NUM])</f>
        <v>3</v>
      </c>
      <c r="C1523" t="str">
        <f>_xlfn.XLOOKUP(FME_Ranking1[[#This Row],[FME ID]],FME_Input[FME_ID],FME_Input[FME_NAME])</f>
        <v>Headwaters of Willow Creek Regulatory Floodplain Determination Study</v>
      </c>
      <c r="D1523" t="str">
        <f>_xlfn.XLOOKUP(FME_Ranking1[[#This Row],[FME ID]],FME_Input[FME_ID],FME_Input[DESCR])</f>
        <v>Mapping study for Headwaters of Willow Creek through Mansfield ETJ.</v>
      </c>
      <c r="E1523" s="256">
        <f>_xlfn.XLOOKUP(FME_Ranking1[[#This Row],[FME ID]],FME_Input[FME_ID],FME_Input[FME_COST])</f>
        <v>137000</v>
      </c>
      <c r="F1523" t="str">
        <f>_xlfn.XLOOKUP(FME_Ranking1[[#This Row],[FME ID]],FME_Input[FME_ID],FME_Input[EMER_NEED])</f>
        <v>No</v>
      </c>
      <c r="G1523">
        <f>IF(FME_Ranking!F1523="Yes",100,0)</f>
        <v>0</v>
      </c>
      <c r="H1523">
        <f>FME_Ranking1[[#This Row],[Emergency Need Score (Normalized, Unweighted)]]*$F$3</f>
        <v>0</v>
      </c>
      <c r="I1523" s="246">
        <f>_xlfn.XLOOKUP(FME_Ranking1[[#This Row],[FME ID]],FME_Input[FME_ID],FME_Input[STRUCT_100])</f>
        <v>43</v>
      </c>
      <c r="J1523" s="178">
        <f>(FME_Ranking1[[#This Row],[Structures 100 Raw]]/I$2)*100</f>
        <v>2.302617487041083E-2</v>
      </c>
      <c r="K1523" s="178">
        <f>FME_Ranking1[[#This Row],[Structures 100  Score (Normalized, Unweighted)]]*$I$3</f>
        <v>3.4539262305616244E-3</v>
      </c>
      <c r="L1523" s="246">
        <f>_xlfn.XLOOKUP(FME_Ranking1[[#This Row],[FME ID]],FME_Input[FME_ID],FME_Input[RES_STRUCT100])</f>
        <v>36</v>
      </c>
      <c r="M1523" s="230">
        <f>(FME_Ranking1[[#This Row],[Res Structures Raw]]/L$2)*100</f>
        <v>2.5499001289116176E-2</v>
      </c>
      <c r="N1523" s="180">
        <f>FME_Ranking1[[#This Row],[Res Structures Score (Normalized, Unweighted)]]*$L$3</f>
        <v>2.5499001289116178E-3</v>
      </c>
      <c r="O1523" s="244">
        <f>_xlfn.XLOOKUP(FME_Ranking1[[#This Row],[FME ID]],FME_Input[FME_ID],FME_Input[POP100])</f>
        <v>105</v>
      </c>
      <c r="P1523" s="178">
        <f>(FME_Ranking1[[#This Row],[Pop Raw]]/$O$2)*100</f>
        <v>1.0749407758820145E-2</v>
      </c>
      <c r="Q1523" s="178">
        <f>FME_Ranking1[[#This Row],[Pop Score (Normalized, Unweighted)]]*$O$3</f>
        <v>1.6124111638230216E-3</v>
      </c>
      <c r="R1523" s="137">
        <f>_xlfn.XLOOKUP(FME_Ranking1[[#This Row],[FME ID]],FME_Input[FME_ID],FME_Input[CRITFAC100])</f>
        <v>0</v>
      </c>
      <c r="S1523" s="230">
        <f>(FME_Ranking1[[#This Row],[Critical Facilities Raw]]/$R$2)*100</f>
        <v>0</v>
      </c>
      <c r="T1523" s="180">
        <f>FME_Ranking1[[#This Row],[Critical Facilities Score (Normalized, Unweighted)]]*$R$3</f>
        <v>0</v>
      </c>
      <c r="U1523">
        <f>_xlfn.XLOOKUP(FME_Ranking1[[#This Row],[FME ID]],FME_Input[FME_ID],FME_Input[LWC])</f>
        <v>1</v>
      </c>
      <c r="V1523" s="178">
        <f>(FME_Ranking1[[#This Row],[LWC Raw]]/$U$2)*100</f>
        <v>5.7570523891767422E-2</v>
      </c>
      <c r="W1523" s="178">
        <f>FME_Ranking1[[#This Row],[LWC Score (Normalized, Unweighted)]]*$U$3</f>
        <v>1.1514104778353485E-2</v>
      </c>
      <c r="X1523" s="246">
        <f>_xlfn.XLOOKUP(FME_Ranking1[[#This Row],[FME ID]],FME_Input[FME_ID],FME_Input[ROADCLS])</f>
        <v>0</v>
      </c>
      <c r="Y1523" s="230">
        <f>(FME_Ranking1[[#This Row],[Closures Raw]]/$X$2)*100</f>
        <v>0</v>
      </c>
      <c r="Z1523" s="180">
        <f>FME_Ranking1[[#This Row],[Closures Score (Normalized, Unweighted)]]*$X$3</f>
        <v>0</v>
      </c>
      <c r="AA1523" s="253">
        <f>_xlfn.XLOOKUP(FME_Ranking1[[#This Row],[FME ID]],FME_Input[FME_ID],FME_Input[ROAD_MILES100])</f>
        <v>0.53135198354721069</v>
      </c>
      <c r="AB1523" s="178">
        <f>(FME_Ranking1[[#This Row],[Miles Raw]]/$AA$2)*100</f>
        <v>6.9863255591225831E-3</v>
      </c>
      <c r="AC1523" s="178">
        <f>FME_Ranking1[[#This Row],[Miles Score (Normalized, Unweighted)]]*$AA$3</f>
        <v>6.9863255591225831E-4</v>
      </c>
      <c r="AD1523" s="255">
        <f>_xlfn.XLOOKUP(FME_Ranking1[[#This Row],[FME ID]],FME_Input[FME_ID],FME_Input[FARMACRE100])</f>
        <v>188.24809265136719</v>
      </c>
      <c r="AE1523" s="230">
        <f>(FME_Ranking1[[#This Row],[Ag Land Raw]]/$AD$2)*100</f>
        <v>7.7625086476610979E-3</v>
      </c>
      <c r="AF1523" s="231">
        <f>FME_Ranking1[[#This Row],[Ag Land Score (Normalized, Unweighted)]]*$AD$3</f>
        <v>3.8812543238305494E-4</v>
      </c>
      <c r="AG152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2.0217100289945063E-2</v>
      </c>
      <c r="AH1523" s="406">
        <f t="shared" si="23"/>
        <v>1576</v>
      </c>
      <c r="AI152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2.0217100289945063E-2</v>
      </c>
      <c r="AJ1523" s="257">
        <f>FME_Ranking1[[#This Row],[Addition check]]-FME_Ranking1[[#This Row],[Weighted Score Based on Normalized Reported Factors]]</f>
        <v>0</v>
      </c>
      <c r="AK1523" s="178">
        <f>_xlfn.RANK.EQ(AI1523,$AI$6:$AI$2341,0)+COUNTIF($AI$6:AI1523,AI1523)-1</f>
        <v>1576</v>
      </c>
    </row>
    <row r="1524" spans="1:37" x14ac:dyDescent="0.25">
      <c r="A1524" t="s">
        <v>10735</v>
      </c>
      <c r="B1524">
        <f>_xlfn.XLOOKUP(FME_Ranking1[[#This Row],[FME ID]],FME_Input[FME_ID],FME_Input[RFPG_NUM])</f>
        <v>13</v>
      </c>
      <c r="C1524" t="str">
        <f>_xlfn.XLOOKUP(FME_Ranking1[[#This Row],[FME ID]],FME_Input[FME_ID],FME_Input[FME_NAME])</f>
        <v>Kleberg County Drainage Improvement Study</v>
      </c>
      <c r="D1524" t="str">
        <f>_xlfn.XLOOKUP(FME_Ranking1[[#This Row],[FME ID]],FME_Input[FME_ID],FME_Input[DESCR])</f>
        <v>COASTAL BEND MITIGATION ACTION PLAN - KL - 13: Improve drainage to county roads, Pcts 1 &amp; 3, heavy rains cause road flooding and standing water to ditches. The overflow of stormwater has produced some flooding to residential homes and properties.</v>
      </c>
      <c r="E1524" s="256">
        <f>_xlfn.XLOOKUP(FME_Ranking1[[#This Row],[FME ID]],FME_Input[FME_ID],FME_Input[FME_COST])</f>
        <v>49000</v>
      </c>
      <c r="F1524" t="str">
        <f>_xlfn.XLOOKUP(FME_Ranking1[[#This Row],[FME ID]],FME_Input[FME_ID],FME_Input[EMER_NEED])</f>
        <v>Yes</v>
      </c>
      <c r="G1524">
        <f>IF(FME_Ranking!F1524="Yes",100,0)</f>
        <v>100</v>
      </c>
      <c r="H1524">
        <f>FME_Ranking1[[#This Row],[Emergency Need Score (Normalized, Unweighted)]]*$F$3</f>
        <v>0</v>
      </c>
      <c r="I1524" s="246">
        <f>_xlfn.XLOOKUP(FME_Ranking1[[#This Row],[FME ID]],FME_Input[FME_ID],FME_Input[STRUCT_100])</f>
        <v>17</v>
      </c>
      <c r="J1524" s="178">
        <f>(FME_Ranking1[[#This Row],[Structures 100 Raw]]/I$2)*100</f>
        <v>9.1033714603949798E-3</v>
      </c>
      <c r="K1524" s="178">
        <f>FME_Ranking1[[#This Row],[Structures 100  Score (Normalized, Unweighted)]]*$I$3</f>
        <v>1.365505719059247E-3</v>
      </c>
      <c r="L1524" s="246">
        <f>_xlfn.XLOOKUP(FME_Ranking1[[#This Row],[FME ID]],FME_Input[FME_ID],FME_Input[RES_STRUCT100])</f>
        <v>17</v>
      </c>
      <c r="M1524" s="230">
        <f>(FME_Ranking1[[#This Row],[Res Structures Raw]]/L$2)*100</f>
        <v>1.2041195053193749E-2</v>
      </c>
      <c r="N1524" s="180">
        <f>FME_Ranking1[[#This Row],[Res Structures Score (Normalized, Unweighted)]]*$L$3</f>
        <v>1.2041195053193749E-3</v>
      </c>
      <c r="O1524" s="244">
        <f>_xlfn.XLOOKUP(FME_Ranking1[[#This Row],[FME ID]],FME_Input[FME_ID],FME_Input[POP100])</f>
        <v>42</v>
      </c>
      <c r="P1524" s="178">
        <f>(FME_Ranking1[[#This Row],[Pop Raw]]/$O$2)*100</f>
        <v>4.2997631035280575E-3</v>
      </c>
      <c r="Q1524" s="178">
        <f>FME_Ranking1[[#This Row],[Pop Score (Normalized, Unweighted)]]*$O$3</f>
        <v>6.4496446552920865E-4</v>
      </c>
      <c r="R1524" s="137">
        <f>_xlfn.XLOOKUP(FME_Ranking1[[#This Row],[FME ID]],FME_Input[FME_ID],FME_Input[CRITFAC100])</f>
        <v>0</v>
      </c>
      <c r="S1524" s="230">
        <f>(FME_Ranking1[[#This Row],[Critical Facilities Raw]]/$R$2)*100</f>
        <v>0</v>
      </c>
      <c r="T1524" s="180">
        <f>FME_Ranking1[[#This Row],[Critical Facilities Score (Normalized, Unweighted)]]*$R$3</f>
        <v>0</v>
      </c>
      <c r="U1524">
        <f>_xlfn.XLOOKUP(FME_Ranking1[[#This Row],[FME ID]],FME_Input[FME_ID],FME_Input[LWC])</f>
        <v>1</v>
      </c>
      <c r="V1524" s="178">
        <f>(FME_Ranking1[[#This Row],[LWC Raw]]/$U$2)*100</f>
        <v>5.7570523891767422E-2</v>
      </c>
      <c r="W1524" s="178">
        <f>FME_Ranking1[[#This Row],[LWC Score (Normalized, Unweighted)]]*$U$3</f>
        <v>1.1514104778353485E-2</v>
      </c>
      <c r="X1524" s="246">
        <f>_xlfn.XLOOKUP(FME_Ranking1[[#This Row],[FME ID]],FME_Input[FME_ID],FME_Input[ROADCLS])</f>
        <v>9</v>
      </c>
      <c r="Y1524" s="230">
        <f>(FME_Ranking1[[#This Row],[Closures Raw]]/$X$2)*100</f>
        <v>9.462727368310378E-2</v>
      </c>
      <c r="Z1524" s="180">
        <f>FME_Ranking1[[#This Row],[Closures Score (Normalized, Unweighted)]]*$X$3</f>
        <v>4.7313636841551897E-3</v>
      </c>
      <c r="AA1524" s="253">
        <f>_xlfn.XLOOKUP(FME_Ranking1[[#This Row],[FME ID]],FME_Input[FME_ID],FME_Input[ROAD_MILES100])</f>
        <v>0.80595892667770386</v>
      </c>
      <c r="AB1524" s="178">
        <f>(FME_Ranking1[[#This Row],[Miles Raw]]/$AA$2)*100</f>
        <v>1.0596914330613688E-2</v>
      </c>
      <c r="AC1524" s="178">
        <f>FME_Ranking1[[#This Row],[Miles Score (Normalized, Unweighted)]]*$AA$3</f>
        <v>1.0596914330613689E-3</v>
      </c>
      <c r="AD1524" s="255">
        <f>_xlfn.XLOOKUP(FME_Ranking1[[#This Row],[FME ID]],FME_Input[FME_ID],FME_Input[FARMACRE100])</f>
        <v>2.5765872001647949</v>
      </c>
      <c r="AE1524" s="230">
        <f>(FME_Ranking1[[#This Row],[Ag Land Raw]]/$AD$2)*100</f>
        <v>1.0624692203268844E-4</v>
      </c>
      <c r="AF1524" s="231">
        <f>FME_Ranking1[[#This Row],[Ag Land Score (Normalized, Unweighted)]]*$AD$3</f>
        <v>5.312346101634422E-6</v>
      </c>
      <c r="AG152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2.0525061931579509E-2</v>
      </c>
      <c r="AH1524" s="406">
        <f t="shared" si="23"/>
        <v>1570</v>
      </c>
      <c r="AI152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2.0525061931579509E-2</v>
      </c>
      <c r="AJ1524" s="257">
        <f>FME_Ranking1[[#This Row],[Addition check]]-FME_Ranking1[[#This Row],[Weighted Score Based on Normalized Reported Factors]]</f>
        <v>0</v>
      </c>
      <c r="AK1524" s="178">
        <f>_xlfn.RANK.EQ(AI1524,$AI$6:$AI$2341,0)+COUNTIF($AI$6:AI1524,AI1524)-1</f>
        <v>1570</v>
      </c>
    </row>
    <row r="1525" spans="1:37" x14ac:dyDescent="0.25">
      <c r="A1525" t="s">
        <v>7487</v>
      </c>
      <c r="B1525">
        <f>_xlfn.XLOOKUP(FME_Ranking1[[#This Row],[FME ID]],FME_Input[FME_ID],FME_Input[RFPG_NUM])</f>
        <v>8</v>
      </c>
      <c r="C1525" t="str">
        <f>_xlfn.XLOOKUP(FME_Ranking1[[#This Row],[FME ID]],FME_Input[FME_ID],FME_Input[FME_NAME])</f>
        <v>Brushy Creek Tributaries Study</v>
      </c>
      <c r="D1525" t="str">
        <f>_xlfn.XLOOKUP(FME_Ranking1[[#This Row],[FME ID]],FME_Input[FME_ID],FME_Input[DESCR])</f>
        <v>Perform a detailed study of the Brushy Creek tributaries in the City of Thrall.</v>
      </c>
      <c r="E1525" s="256">
        <f>_xlfn.XLOOKUP(FME_Ranking1[[#This Row],[FME ID]],FME_Input[FME_ID],FME_Input[FME_COST])</f>
        <v>88000</v>
      </c>
      <c r="F1525" t="str">
        <f>_xlfn.XLOOKUP(FME_Ranking1[[#This Row],[FME ID]],FME_Input[FME_ID],FME_Input[EMER_NEED])</f>
        <v>No</v>
      </c>
      <c r="G1525">
        <f>IF(FME_Ranking!F1525="Yes",100,0)</f>
        <v>0</v>
      </c>
      <c r="H1525">
        <f>FME_Ranking1[[#This Row],[Emergency Need Score (Normalized, Unweighted)]]*$F$3</f>
        <v>0</v>
      </c>
      <c r="I1525" s="246">
        <f>_xlfn.XLOOKUP(FME_Ranking1[[#This Row],[FME ID]],FME_Input[FME_ID],FME_Input[STRUCT_100])</f>
        <v>11</v>
      </c>
      <c r="J1525" s="178">
        <f>(FME_Ranking1[[#This Row],[Structures 100 Raw]]/I$2)*100</f>
        <v>5.8904168273143983E-3</v>
      </c>
      <c r="K1525" s="178">
        <f>FME_Ranking1[[#This Row],[Structures 100  Score (Normalized, Unweighted)]]*$I$3</f>
        <v>8.8356252409715972E-4</v>
      </c>
      <c r="L1525" s="246">
        <f>_xlfn.XLOOKUP(FME_Ranking1[[#This Row],[FME ID]],FME_Input[FME_ID],FME_Input[RES_STRUCT100])</f>
        <v>5</v>
      </c>
      <c r="M1525" s="230">
        <f>(FME_Ranking1[[#This Row],[Res Structures Raw]]/L$2)*100</f>
        <v>3.5415279568216909E-3</v>
      </c>
      <c r="N1525" s="180">
        <f>FME_Ranking1[[#This Row],[Res Structures Score (Normalized, Unweighted)]]*$L$3</f>
        <v>3.5415279568216913E-4</v>
      </c>
      <c r="O1525" s="244">
        <f>_xlfn.XLOOKUP(FME_Ranking1[[#This Row],[FME ID]],FME_Input[FME_ID],FME_Input[POP100])</f>
        <v>11</v>
      </c>
      <c r="P1525" s="178">
        <f>(FME_Ranking1[[#This Row],[Pop Raw]]/$O$2)*100</f>
        <v>1.1261284318763961E-3</v>
      </c>
      <c r="Q1525" s="178">
        <f>FME_Ranking1[[#This Row],[Pop Score (Normalized, Unweighted)]]*$O$3</f>
        <v>1.6891926478145941E-4</v>
      </c>
      <c r="R1525" s="137">
        <f>_xlfn.XLOOKUP(FME_Ranking1[[#This Row],[FME ID]],FME_Input[FME_ID],FME_Input[CRITFAC100])</f>
        <v>0</v>
      </c>
      <c r="S1525" s="230">
        <f>(FME_Ranking1[[#This Row],[Critical Facilities Raw]]/$R$2)*100</f>
        <v>0</v>
      </c>
      <c r="T1525" s="180">
        <f>FME_Ranking1[[#This Row],[Critical Facilities Score (Normalized, Unweighted)]]*$R$3</f>
        <v>0</v>
      </c>
      <c r="U1525">
        <f>_xlfn.XLOOKUP(FME_Ranking1[[#This Row],[FME ID]],FME_Input[FME_ID],FME_Input[LWC])</f>
        <v>1</v>
      </c>
      <c r="V1525" s="178">
        <f>(FME_Ranking1[[#This Row],[LWC Raw]]/$U$2)*100</f>
        <v>5.7570523891767422E-2</v>
      </c>
      <c r="W1525" s="178">
        <f>FME_Ranking1[[#This Row],[LWC Score (Normalized, Unweighted)]]*$U$3</f>
        <v>1.1514104778353485E-2</v>
      </c>
      <c r="X1525" s="246">
        <f>_xlfn.XLOOKUP(FME_Ranking1[[#This Row],[FME ID]],FME_Input[FME_ID],FME_Input[ROADCLS])</f>
        <v>8</v>
      </c>
      <c r="Y1525" s="230">
        <f>(FME_Ranking1[[#This Row],[Closures Raw]]/$X$2)*100</f>
        <v>8.4113132162758911E-2</v>
      </c>
      <c r="Z1525" s="180">
        <f>FME_Ranking1[[#This Row],[Closures Score (Normalized, Unweighted)]]*$X$3</f>
        <v>4.2056566081379457E-3</v>
      </c>
      <c r="AA1525" s="253">
        <f>_xlfn.XLOOKUP(FME_Ranking1[[#This Row],[FME ID]],FME_Input[FME_ID],FME_Input[ROAD_MILES100])</f>
        <v>1.7508800029754641</v>
      </c>
      <c r="AB1525" s="178">
        <f>(FME_Ranking1[[#This Row],[Miles Raw]]/$AA$2)*100</f>
        <v>2.3020931688414927E-2</v>
      </c>
      <c r="AC1525" s="178">
        <f>FME_Ranking1[[#This Row],[Miles Score (Normalized, Unweighted)]]*$AA$3</f>
        <v>2.3020931688414927E-3</v>
      </c>
      <c r="AD1525" s="255">
        <f>_xlfn.XLOOKUP(FME_Ranking1[[#This Row],[FME ID]],FME_Input[FME_ID],FME_Input[FARMACRE100])</f>
        <v>1105.449951171875</v>
      </c>
      <c r="AE1525" s="230">
        <f>(FME_Ranking1[[#This Row],[Ag Land Raw]]/$AD$2)*100</f>
        <v>4.5583807435543203E-2</v>
      </c>
      <c r="AF1525" s="231">
        <f>FME_Ranking1[[#This Row],[Ag Land Score (Normalized, Unweighted)]]*$AD$3</f>
        <v>2.2791903717771602E-3</v>
      </c>
      <c r="AG152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2.1707679511670869E-2</v>
      </c>
      <c r="AH1525" s="406">
        <f t="shared" si="23"/>
        <v>1558</v>
      </c>
      <c r="AI152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2.1707679511670869E-2</v>
      </c>
      <c r="AJ1525" s="257">
        <f>FME_Ranking1[[#This Row],[Addition check]]-FME_Ranking1[[#This Row],[Weighted Score Based on Normalized Reported Factors]]</f>
        <v>0</v>
      </c>
      <c r="AK1525" s="178">
        <f>_xlfn.RANK.EQ(AI1525,$AI$6:$AI$2341,0)+COUNTIF($AI$6:AI1525,AI1525)-1</f>
        <v>1558</v>
      </c>
    </row>
    <row r="1526" spans="1:37" x14ac:dyDescent="0.25">
      <c r="A1526" t="s">
        <v>7685</v>
      </c>
      <c r="B1526">
        <f>_xlfn.XLOOKUP(FME_Ranking1[[#This Row],[FME ID]],FME_Input[FME_ID],FME_Input[RFPG_NUM])</f>
        <v>8</v>
      </c>
      <c r="C1526" t="str">
        <f>_xlfn.XLOOKUP(FME_Ranking1[[#This Row],[FME ID]],FME_Input[FME_ID],FME_Input[FME_NAME])</f>
        <v>Dam 18 Rehabilitation</v>
      </c>
      <c r="D1526" t="str">
        <f>_xlfn.XLOOKUP(FME_Ranking1[[#This Row],[FME ID]],FME_Input[FME_ID],FME_Input[DESCR])</f>
        <v>Improvements to ensure dam provides necessary protection against flood risk.</v>
      </c>
      <c r="E1526" s="256">
        <f>_xlfn.XLOOKUP(FME_Ranking1[[#This Row],[FME ID]],FME_Input[FME_ID],FME_Input[FME_COST])</f>
        <v>500000</v>
      </c>
      <c r="F1526" t="str">
        <f>_xlfn.XLOOKUP(FME_Ranking1[[#This Row],[FME ID]],FME_Input[FME_ID],FME_Input[EMER_NEED])</f>
        <v>No</v>
      </c>
      <c r="G1526">
        <f>IF(FME_Ranking!F1526="Yes",100,0)</f>
        <v>0</v>
      </c>
      <c r="H1526">
        <f>FME_Ranking1[[#This Row],[Emergency Need Score (Normalized, Unweighted)]]*$F$3</f>
        <v>0</v>
      </c>
      <c r="I1526" s="246">
        <f>_xlfn.XLOOKUP(FME_Ranking1[[#This Row],[FME ID]],FME_Input[FME_ID],FME_Input[STRUCT_100])</f>
        <v>11</v>
      </c>
      <c r="J1526" s="178">
        <f>(FME_Ranking1[[#This Row],[Structures 100 Raw]]/I$2)*100</f>
        <v>5.8904168273143983E-3</v>
      </c>
      <c r="K1526" s="178">
        <f>FME_Ranking1[[#This Row],[Structures 100  Score (Normalized, Unweighted)]]*$I$3</f>
        <v>8.8356252409715972E-4</v>
      </c>
      <c r="L1526" s="246">
        <f>_xlfn.XLOOKUP(FME_Ranking1[[#This Row],[FME ID]],FME_Input[FME_ID],FME_Input[RES_STRUCT100])</f>
        <v>5</v>
      </c>
      <c r="M1526" s="230">
        <f>(FME_Ranking1[[#This Row],[Res Structures Raw]]/L$2)*100</f>
        <v>3.5415279568216909E-3</v>
      </c>
      <c r="N1526" s="180">
        <f>FME_Ranking1[[#This Row],[Res Structures Score (Normalized, Unweighted)]]*$L$3</f>
        <v>3.5415279568216913E-4</v>
      </c>
      <c r="O1526" s="244">
        <f>_xlfn.XLOOKUP(FME_Ranking1[[#This Row],[FME ID]],FME_Input[FME_ID],FME_Input[POP100])</f>
        <v>11</v>
      </c>
      <c r="P1526" s="178">
        <f>(FME_Ranking1[[#This Row],[Pop Raw]]/$O$2)*100</f>
        <v>1.1261284318763961E-3</v>
      </c>
      <c r="Q1526" s="178">
        <f>FME_Ranking1[[#This Row],[Pop Score (Normalized, Unweighted)]]*$O$3</f>
        <v>1.6891926478145941E-4</v>
      </c>
      <c r="R1526" s="137">
        <f>_xlfn.XLOOKUP(FME_Ranking1[[#This Row],[FME ID]],FME_Input[FME_ID],FME_Input[CRITFAC100])</f>
        <v>0</v>
      </c>
      <c r="S1526" s="230">
        <f>(FME_Ranking1[[#This Row],[Critical Facilities Raw]]/$R$2)*100</f>
        <v>0</v>
      </c>
      <c r="T1526" s="180">
        <f>FME_Ranking1[[#This Row],[Critical Facilities Score (Normalized, Unweighted)]]*$R$3</f>
        <v>0</v>
      </c>
      <c r="U1526">
        <f>_xlfn.XLOOKUP(FME_Ranking1[[#This Row],[FME ID]],FME_Input[FME_ID],FME_Input[LWC])</f>
        <v>1</v>
      </c>
      <c r="V1526" s="178">
        <f>(FME_Ranking1[[#This Row],[LWC Raw]]/$U$2)*100</f>
        <v>5.7570523891767422E-2</v>
      </c>
      <c r="W1526" s="178">
        <f>FME_Ranking1[[#This Row],[LWC Score (Normalized, Unweighted)]]*$U$3</f>
        <v>1.1514104778353485E-2</v>
      </c>
      <c r="X1526" s="246">
        <f>_xlfn.XLOOKUP(FME_Ranking1[[#This Row],[FME ID]],FME_Input[FME_ID],FME_Input[ROADCLS])</f>
        <v>8</v>
      </c>
      <c r="Y1526" s="230">
        <f>(FME_Ranking1[[#This Row],[Closures Raw]]/$X$2)*100</f>
        <v>8.4113132162758911E-2</v>
      </c>
      <c r="Z1526" s="180">
        <f>FME_Ranking1[[#This Row],[Closures Score (Normalized, Unweighted)]]*$X$3</f>
        <v>4.2056566081379457E-3</v>
      </c>
      <c r="AA1526" s="253">
        <f>_xlfn.XLOOKUP(FME_Ranking1[[#This Row],[FME ID]],FME_Input[FME_ID],FME_Input[ROAD_MILES100])</f>
        <v>1.7508800029754641</v>
      </c>
      <c r="AB1526" s="178">
        <f>(FME_Ranking1[[#This Row],[Miles Raw]]/$AA$2)*100</f>
        <v>2.3020931688414927E-2</v>
      </c>
      <c r="AC1526" s="178">
        <f>FME_Ranking1[[#This Row],[Miles Score (Normalized, Unweighted)]]*$AA$3</f>
        <v>2.3020931688414927E-3</v>
      </c>
      <c r="AD1526" s="255">
        <f>_xlfn.XLOOKUP(FME_Ranking1[[#This Row],[FME ID]],FME_Input[FME_ID],FME_Input[FARMACRE100])</f>
        <v>1105.449951171875</v>
      </c>
      <c r="AE1526" s="230">
        <f>(FME_Ranking1[[#This Row],[Ag Land Raw]]/$AD$2)*100</f>
        <v>4.5583807435543203E-2</v>
      </c>
      <c r="AF1526" s="231">
        <f>FME_Ranking1[[#This Row],[Ag Land Score (Normalized, Unweighted)]]*$AD$3</f>
        <v>2.2791903717771602E-3</v>
      </c>
      <c r="AG152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2.1707679511670869E-2</v>
      </c>
      <c r="AH1526" s="406">
        <f t="shared" si="23"/>
        <v>1558</v>
      </c>
      <c r="AI152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2.1707679511670869E-2</v>
      </c>
      <c r="AJ1526" s="257">
        <f>FME_Ranking1[[#This Row],[Addition check]]-FME_Ranking1[[#This Row],[Weighted Score Based on Normalized Reported Factors]]</f>
        <v>0</v>
      </c>
      <c r="AK1526" s="178">
        <f>_xlfn.RANK.EQ(AI1526,$AI$6:$AI$2341,0)+COUNTIF($AI$6:AI1526,AI1526)-1</f>
        <v>1559</v>
      </c>
    </row>
    <row r="1527" spans="1:37" x14ac:dyDescent="0.25">
      <c r="A1527" t="s">
        <v>10256</v>
      </c>
      <c r="B1527">
        <f>_xlfn.XLOOKUP(FME_Ranking1[[#This Row],[FME ID]],FME_Input[FME_ID],FME_Input[RFPG_NUM])</f>
        <v>13</v>
      </c>
      <c r="C1527" t="str">
        <f>_xlfn.XLOOKUP(FME_Ranking1[[#This Row],[FME ID]],FME_Input[FME_ID],FME_Input[FME_NAME])</f>
        <v>Downtown Rockport Drainage Study</v>
      </c>
      <c r="D1527" t="str">
        <f>_xlfn.XLOOKUP(FME_Ranking1[[#This Row],[FME ID]],FME_Input[FME_ID],FME_Input[DESCR])</f>
        <v>Design and conduct an engineering study to address flooding in downtown Rockport</v>
      </c>
      <c r="E1527" s="256">
        <f>_xlfn.XLOOKUP(FME_Ranking1[[#This Row],[FME ID]],FME_Input[FME_ID],FME_Input[FME_COST])</f>
        <v>1090000</v>
      </c>
      <c r="F1527" t="str">
        <f>_xlfn.XLOOKUP(FME_Ranking1[[#This Row],[FME ID]],FME_Input[FME_ID],FME_Input[EMER_NEED])</f>
        <v>Yes</v>
      </c>
      <c r="G1527">
        <f>IF(FME_Ranking!F1527="Yes",100,0)</f>
        <v>100</v>
      </c>
      <c r="H1527">
        <f>FME_Ranking1[[#This Row],[Emergency Need Score (Normalized, Unweighted)]]*$F$3</f>
        <v>0</v>
      </c>
      <c r="I1527" s="246">
        <f>_xlfn.XLOOKUP(FME_Ranking1[[#This Row],[FME ID]],FME_Input[FME_ID],FME_Input[STRUCT_100])</f>
        <v>57</v>
      </c>
      <c r="J1527" s="178">
        <f>(FME_Ranking1[[#This Row],[Structures 100 Raw]]/I$2)*100</f>
        <v>3.0523069014265519E-2</v>
      </c>
      <c r="K1527" s="178">
        <f>FME_Ranking1[[#This Row],[Structures 100  Score (Normalized, Unweighted)]]*$I$3</f>
        <v>4.5784603521398281E-3</v>
      </c>
      <c r="L1527" s="246">
        <f>_xlfn.XLOOKUP(FME_Ranking1[[#This Row],[FME ID]],FME_Input[FME_ID],FME_Input[RES_STRUCT100])</f>
        <v>9</v>
      </c>
      <c r="M1527" s="230">
        <f>(FME_Ranking1[[#This Row],[Res Structures Raw]]/L$2)*100</f>
        <v>6.3747503222790439E-3</v>
      </c>
      <c r="N1527" s="180">
        <f>FME_Ranking1[[#This Row],[Res Structures Score (Normalized, Unweighted)]]*$L$3</f>
        <v>6.3747503222790446E-4</v>
      </c>
      <c r="O1527" s="244">
        <f>_xlfn.XLOOKUP(FME_Ranking1[[#This Row],[FME ID]],FME_Input[FME_ID],FME_Input[POP100])</f>
        <v>195</v>
      </c>
      <c r="P1527" s="178">
        <f>(FME_Ranking1[[#This Row],[Pop Raw]]/$O$2)*100</f>
        <v>1.9963185837808841E-2</v>
      </c>
      <c r="Q1527" s="178">
        <f>FME_Ranking1[[#This Row],[Pop Score (Normalized, Unweighted)]]*$O$3</f>
        <v>2.994477875671326E-3</v>
      </c>
      <c r="R1527" s="137">
        <f>_xlfn.XLOOKUP(FME_Ranking1[[#This Row],[FME ID]],FME_Input[FME_ID],FME_Input[CRITFAC100])</f>
        <v>0</v>
      </c>
      <c r="S1527" s="230">
        <f>(FME_Ranking1[[#This Row],[Critical Facilities Raw]]/$R$2)*100</f>
        <v>0</v>
      </c>
      <c r="T1527" s="180">
        <f>FME_Ranking1[[#This Row],[Critical Facilities Score (Normalized, Unweighted)]]*$R$3</f>
        <v>0</v>
      </c>
      <c r="U1527">
        <f>_xlfn.XLOOKUP(FME_Ranking1[[#This Row],[FME ID]],FME_Input[FME_ID],FME_Input[LWC])</f>
        <v>0</v>
      </c>
      <c r="V1527" s="178">
        <f>(FME_Ranking1[[#This Row],[LWC Raw]]/$U$2)*100</f>
        <v>0</v>
      </c>
      <c r="W1527" s="178">
        <f>FME_Ranking1[[#This Row],[LWC Score (Normalized, Unweighted)]]*$U$3</f>
        <v>0</v>
      </c>
      <c r="X1527" s="246">
        <f>_xlfn.XLOOKUP(FME_Ranking1[[#This Row],[FME ID]],FME_Input[FME_ID],FME_Input[ROADCLS])</f>
        <v>21</v>
      </c>
      <c r="Y1527" s="230">
        <f>(FME_Ranking1[[#This Row],[Closures Raw]]/$X$2)*100</f>
        <v>0.22079697192724212</v>
      </c>
      <c r="Z1527" s="180">
        <f>FME_Ranking1[[#This Row],[Closures Score (Normalized, Unweighted)]]*$X$3</f>
        <v>1.1039848596362107E-2</v>
      </c>
      <c r="AA1527" s="253">
        <f>_xlfn.XLOOKUP(FME_Ranking1[[#This Row],[FME ID]],FME_Input[FME_ID],FME_Input[ROAD_MILES100])</f>
        <v>2.8518245220184331</v>
      </c>
      <c r="AB1527" s="178">
        <f>(FME_Ranking1[[#This Row],[Miles Raw]]/$AA$2)*100</f>
        <v>3.7496377477133649E-2</v>
      </c>
      <c r="AC1527" s="178">
        <f>FME_Ranking1[[#This Row],[Miles Score (Normalized, Unweighted)]]*$AA$3</f>
        <v>3.7496377477133653E-3</v>
      </c>
      <c r="AD1527" s="255">
        <f>_xlfn.XLOOKUP(FME_Ranking1[[#This Row],[FME ID]],FME_Input[FME_ID],FME_Input[FARMACRE100])</f>
        <v>0</v>
      </c>
      <c r="AE1527" s="230">
        <f>(FME_Ranking1[[#This Row],[Ag Land Raw]]/$AD$2)*100</f>
        <v>0</v>
      </c>
      <c r="AF1527" s="231">
        <f>FME_Ranking1[[#This Row],[Ag Land Score (Normalized, Unweighted)]]*$AD$3</f>
        <v>0</v>
      </c>
      <c r="AG152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2.2999899604114533E-2</v>
      </c>
      <c r="AH1527" s="406">
        <f t="shared" si="23"/>
        <v>1543</v>
      </c>
      <c r="AI152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2.2999899604114533E-2</v>
      </c>
      <c r="AJ1527" s="257">
        <f>FME_Ranking1[[#This Row],[Addition check]]-FME_Ranking1[[#This Row],[Weighted Score Based on Normalized Reported Factors]]</f>
        <v>0</v>
      </c>
      <c r="AK1527" s="178">
        <f>_xlfn.RANK.EQ(AI1527,$AI$6:$AI$2341,0)+COUNTIF($AI$6:AI1527,AI1527)-1</f>
        <v>1543</v>
      </c>
    </row>
    <row r="1528" spans="1:37" x14ac:dyDescent="0.25">
      <c r="A1528" t="s">
        <v>8364</v>
      </c>
      <c r="B1528">
        <f>_xlfn.XLOOKUP(FME_Ranking1[[#This Row],[FME ID]],FME_Input[FME_ID],FME_Input[RFPG_NUM])</f>
        <v>9</v>
      </c>
      <c r="C1528" t="str">
        <f>_xlfn.XLOOKUP(FME_Ranking1[[#This Row],[FME ID]],FME_Input[FME_ID],FME_Input[FME_NAME])</f>
        <v>Midland Draw Channel Improvements</v>
      </c>
      <c r="D1528" t="str">
        <f>_xlfn.XLOOKUP(FME_Ranking1[[#This Row],[FME ID]],FME_Input[FME_ID],FME_Input[DESCR])</f>
        <v>The proposed channel has a 250-foot top width for the entire length of the reach. There are three existing crossings, two to remain, one to be expanded, and one new crossing. The first crossing, at Loop 349, is to remain. The second crossing, at the futu*</v>
      </c>
      <c r="E1528" s="256">
        <f>_xlfn.XLOOKUP(FME_Ranking1[[#This Row],[FME ID]],FME_Input[FME_ID],FME_Input[FME_COST])</f>
        <v>8450000</v>
      </c>
      <c r="F1528" t="str">
        <f>_xlfn.XLOOKUP(FME_Ranking1[[#This Row],[FME ID]],FME_Input[FME_ID],FME_Input[EMER_NEED])</f>
        <v>No</v>
      </c>
      <c r="G1528">
        <f>IF(FME_Ranking!F1528="Yes",100,0)</f>
        <v>0</v>
      </c>
      <c r="H1528">
        <f>FME_Ranking1[[#This Row],[Emergency Need Score (Normalized, Unweighted)]]*$F$3</f>
        <v>0</v>
      </c>
      <c r="I1528" s="246">
        <f>_xlfn.XLOOKUP(FME_Ranking1[[#This Row],[FME ID]],FME_Input[FME_ID],FME_Input[STRUCT_100])</f>
        <v>37</v>
      </c>
      <c r="J1528" s="178">
        <f>(FME_Ranking1[[#This Row],[Structures 100 Raw]]/I$2)*100</f>
        <v>1.9813220237330249E-2</v>
      </c>
      <c r="K1528" s="178">
        <f>FME_Ranking1[[#This Row],[Structures 100  Score (Normalized, Unweighted)]]*$I$3</f>
        <v>2.9719830355995373E-3</v>
      </c>
      <c r="L1528" s="246">
        <f>_xlfn.XLOOKUP(FME_Ranking1[[#This Row],[FME ID]],FME_Input[FME_ID],FME_Input[RES_STRUCT100])</f>
        <v>36</v>
      </c>
      <c r="M1528" s="230">
        <f>(FME_Ranking1[[#This Row],[Res Structures Raw]]/L$2)*100</f>
        <v>2.5499001289116176E-2</v>
      </c>
      <c r="N1528" s="180">
        <f>FME_Ranking1[[#This Row],[Res Structures Score (Normalized, Unweighted)]]*$L$3</f>
        <v>2.5499001289116178E-3</v>
      </c>
      <c r="O1528" s="244">
        <f>_xlfn.XLOOKUP(FME_Ranking1[[#This Row],[FME ID]],FME_Input[FME_ID],FME_Input[POP100])</f>
        <v>138</v>
      </c>
      <c r="P1528" s="178">
        <f>(FME_Ranking1[[#This Row],[Pop Raw]]/$O$2)*100</f>
        <v>1.4127793054449334E-2</v>
      </c>
      <c r="Q1528" s="178">
        <f>FME_Ranking1[[#This Row],[Pop Score (Normalized, Unweighted)]]*$O$3</f>
        <v>2.1191689581673999E-3</v>
      </c>
      <c r="R1528" s="137">
        <f>_xlfn.XLOOKUP(FME_Ranking1[[#This Row],[FME ID]],FME_Input[FME_ID],FME_Input[CRITFAC100])</f>
        <v>0</v>
      </c>
      <c r="S1528" s="230">
        <f>(FME_Ranking1[[#This Row],[Critical Facilities Raw]]/$R$2)*100</f>
        <v>0</v>
      </c>
      <c r="T1528" s="180">
        <f>FME_Ranking1[[#This Row],[Critical Facilities Score (Normalized, Unweighted)]]*$R$3</f>
        <v>0</v>
      </c>
      <c r="U1528">
        <f>_xlfn.XLOOKUP(FME_Ranking1[[#This Row],[FME ID]],FME_Input[FME_ID],FME_Input[LWC])</f>
        <v>1</v>
      </c>
      <c r="V1528" s="178">
        <f>(FME_Ranking1[[#This Row],[LWC Raw]]/$U$2)*100</f>
        <v>5.7570523891767422E-2</v>
      </c>
      <c r="W1528" s="178">
        <f>FME_Ranking1[[#This Row],[LWC Score (Normalized, Unweighted)]]*$U$3</f>
        <v>1.1514104778353485E-2</v>
      </c>
      <c r="X1528" s="246">
        <f>_xlfn.XLOOKUP(FME_Ranking1[[#This Row],[FME ID]],FME_Input[FME_ID],FME_Input[ROADCLS])</f>
        <v>0</v>
      </c>
      <c r="Y1528" s="230">
        <f>(FME_Ranking1[[#This Row],[Closures Raw]]/$X$2)*100</f>
        <v>0</v>
      </c>
      <c r="Z1528" s="180">
        <f>FME_Ranking1[[#This Row],[Closures Score (Normalized, Unweighted)]]*$X$3</f>
        <v>0</v>
      </c>
      <c r="AA1528" s="253">
        <f>_xlfn.XLOOKUP(FME_Ranking1[[#This Row],[FME ID]],FME_Input[FME_ID],FME_Input[ROAD_MILES100])</f>
        <v>1.8999999761581421</v>
      </c>
      <c r="AB1528" s="178">
        <f>(FME_Ranking1[[#This Row],[Miles Raw]]/$AA$2)*100</f>
        <v>2.4981591876539082E-2</v>
      </c>
      <c r="AC1528" s="178">
        <f>FME_Ranking1[[#This Row],[Miles Score (Normalized, Unweighted)]]*$AA$3</f>
        <v>2.4981591876539083E-3</v>
      </c>
      <c r="AD1528" s="255">
        <f>_xlfn.XLOOKUP(FME_Ranking1[[#This Row],[FME ID]],FME_Input[FME_ID],FME_Input[FARMACRE100])</f>
        <v>4.5999999046325684</v>
      </c>
      <c r="AE1528" s="230">
        <f>(FME_Ranking1[[#This Row],[Ag Land Raw]]/$AD$2)*100</f>
        <v>1.8968340415050257E-4</v>
      </c>
      <c r="AF1528" s="231">
        <f>FME_Ranking1[[#This Row],[Ag Land Score (Normalized, Unweighted)]]*$AD$3</f>
        <v>9.4841702075251297E-6</v>
      </c>
      <c r="AG152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2.1662800258893476E-2</v>
      </c>
      <c r="AH1528" s="406">
        <f t="shared" si="23"/>
        <v>1561</v>
      </c>
      <c r="AI152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2.1662800258893476E-2</v>
      </c>
      <c r="AJ1528" s="257">
        <f>FME_Ranking1[[#This Row],[Addition check]]-FME_Ranking1[[#This Row],[Weighted Score Based on Normalized Reported Factors]]</f>
        <v>0</v>
      </c>
      <c r="AK1528" s="178">
        <f>_xlfn.RANK.EQ(AI1528,$AI$6:$AI$2341,0)+COUNTIF($AI$6:AI1528,AI1528)-1</f>
        <v>1561</v>
      </c>
    </row>
    <row r="1529" spans="1:37" x14ac:dyDescent="0.25">
      <c r="A1529" t="s">
        <v>11253</v>
      </c>
      <c r="B1529">
        <f>_xlfn.XLOOKUP(FME_Ranking1[[#This Row],[FME ID]],FME_Input[FME_ID],FME_Input[RFPG_NUM])</f>
        <v>15</v>
      </c>
      <c r="C1529" t="str">
        <f>_xlfn.XLOOKUP(FME_Ranking1[[#This Row],[FME ID]],FME_Input[FME_ID],FME_Input[FME_NAME])</f>
        <v>Precinct 4 MDP - Risk Area G at Hoehn Rd. &amp; Mile 11 Rd.</v>
      </c>
      <c r="D1529" t="str">
        <f>_xlfn.XLOOKUP(FME_Ranking1[[#This Row],[FME ID]],FME_Input[FME_ID],FME_Input[DESCR])</f>
        <v>Channel Improvements with approximately 0.75 miles of proposed improvements.  Proposed Pond north of County Road 3424 and west of County Road 3421 has an approximate footprint of 5 acres and capacity of 35 acre-ft. Grate Inlets and Proposed Storm Drain 5</v>
      </c>
      <c r="E1529" s="256">
        <f>_xlfn.XLOOKUP(FME_Ranking1[[#This Row],[FME ID]],FME_Input[FME_ID],FME_Input[FME_COST])</f>
        <v>909150</v>
      </c>
      <c r="F1529" t="str">
        <f>_xlfn.XLOOKUP(FME_Ranking1[[#This Row],[FME ID]],FME_Input[FME_ID],FME_Input[EMER_NEED])</f>
        <v>Yes</v>
      </c>
      <c r="G1529">
        <f>IF(FME_Ranking!F1529="Yes",100,0)</f>
        <v>100</v>
      </c>
      <c r="H1529">
        <f>FME_Ranking1[[#This Row],[Emergency Need Score (Normalized, Unweighted)]]*$F$3</f>
        <v>0</v>
      </c>
      <c r="I1529" s="246">
        <f>_xlfn.XLOOKUP(FME_Ranking1[[#This Row],[FME ID]],FME_Input[FME_ID],FME_Input[STRUCT_100])</f>
        <v>0</v>
      </c>
      <c r="J1529" s="178">
        <f>(FME_Ranking1[[#This Row],[Structures 100 Raw]]/I$2)*100</f>
        <v>0</v>
      </c>
      <c r="K1529" s="178">
        <f>FME_Ranking1[[#This Row],[Structures 100  Score (Normalized, Unweighted)]]*$I$3</f>
        <v>0</v>
      </c>
      <c r="L1529" s="246">
        <f>_xlfn.XLOOKUP(FME_Ranking1[[#This Row],[FME ID]],FME_Input[FME_ID],FME_Input[RES_STRUCT100])</f>
        <v>141</v>
      </c>
      <c r="M1529" s="230">
        <f>(FME_Ranking1[[#This Row],[Res Structures Raw]]/L$2)*100</f>
        <v>9.98710883823717E-2</v>
      </c>
      <c r="N1529" s="180">
        <f>FME_Ranking1[[#This Row],[Res Structures Score (Normalized, Unweighted)]]*$L$3</f>
        <v>9.9871088382371704E-3</v>
      </c>
      <c r="O1529" s="244">
        <f>_xlfn.XLOOKUP(FME_Ranking1[[#This Row],[FME ID]],FME_Input[FME_ID],FME_Input[POP100])</f>
        <v>592</v>
      </c>
      <c r="P1529" s="178">
        <f>(FME_Ranking1[[#This Row],[Pop Raw]]/$O$2)*100</f>
        <v>6.060618469734786E-2</v>
      </c>
      <c r="Q1529" s="178">
        <f>FME_Ranking1[[#This Row],[Pop Score (Normalized, Unweighted)]]*$O$3</f>
        <v>9.0909277046021791E-3</v>
      </c>
      <c r="R1529" s="137">
        <f>_xlfn.XLOOKUP(FME_Ranking1[[#This Row],[FME ID]],FME_Input[FME_ID],FME_Input[CRITFAC100])</f>
        <v>0</v>
      </c>
      <c r="S1529" s="230">
        <f>(FME_Ranking1[[#This Row],[Critical Facilities Raw]]/$R$2)*100</f>
        <v>0</v>
      </c>
      <c r="T1529" s="180">
        <f>FME_Ranking1[[#This Row],[Critical Facilities Score (Normalized, Unweighted)]]*$R$3</f>
        <v>0</v>
      </c>
      <c r="U1529">
        <f>_xlfn.XLOOKUP(FME_Ranking1[[#This Row],[FME ID]],FME_Input[FME_ID],FME_Input[LWC])</f>
        <v>0</v>
      </c>
      <c r="V1529" s="178">
        <f>(FME_Ranking1[[#This Row],[LWC Raw]]/$U$2)*100</f>
        <v>0</v>
      </c>
      <c r="W1529" s="178">
        <f>FME_Ranking1[[#This Row],[LWC Score (Normalized, Unweighted)]]*$U$3</f>
        <v>0</v>
      </c>
      <c r="X1529" s="246">
        <f>_xlfn.XLOOKUP(FME_Ranking1[[#This Row],[FME ID]],FME_Input[FME_ID],FME_Input[ROADCLS])</f>
        <v>0</v>
      </c>
      <c r="Y1529" s="230">
        <f>(FME_Ranking1[[#This Row],[Closures Raw]]/$X$2)*100</f>
        <v>0</v>
      </c>
      <c r="Z1529" s="180">
        <f>FME_Ranking1[[#This Row],[Closures Score (Normalized, Unweighted)]]*$X$3</f>
        <v>0</v>
      </c>
      <c r="AA1529" s="253">
        <f>_xlfn.XLOOKUP(FME_Ranking1[[#This Row],[FME ID]],FME_Input[FME_ID],FME_Input[ROAD_MILES100])</f>
        <v>10.15839958190918</v>
      </c>
      <c r="AB1529" s="178">
        <f>(FME_Ranking1[[#This Row],[Miles Raw]]/$AA$2)*100</f>
        <v>0.13356473455710091</v>
      </c>
      <c r="AC1529" s="178">
        <f>FME_Ranking1[[#This Row],[Miles Score (Normalized, Unweighted)]]*$AA$3</f>
        <v>1.3356473455710092E-2</v>
      </c>
      <c r="AD1529" s="255">
        <f>_xlfn.XLOOKUP(FME_Ranking1[[#This Row],[FME ID]],FME_Input[FME_ID],FME_Input[FARMACRE100])</f>
        <v>0</v>
      </c>
      <c r="AE1529" s="230">
        <f>(FME_Ranking1[[#This Row],[Ag Land Raw]]/$AD$2)*100</f>
        <v>0</v>
      </c>
      <c r="AF1529" s="231">
        <f>FME_Ranking1[[#This Row],[Ag Land Score (Normalized, Unweighted)]]*$AD$3</f>
        <v>0</v>
      </c>
      <c r="AG152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3.2434509998549438E-2</v>
      </c>
      <c r="AH1529" s="406">
        <f t="shared" si="23"/>
        <v>1448</v>
      </c>
      <c r="AI152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3.2434509998549438E-2</v>
      </c>
      <c r="AJ1529" s="257">
        <f>FME_Ranking1[[#This Row],[Addition check]]-FME_Ranking1[[#This Row],[Weighted Score Based on Normalized Reported Factors]]</f>
        <v>0</v>
      </c>
      <c r="AK1529" s="178">
        <f>_xlfn.RANK.EQ(AI1529,$AI$6:$AI$2341,0)+COUNTIF($AI$6:AI1529,AI1529)-1</f>
        <v>1448</v>
      </c>
    </row>
    <row r="1530" spans="1:37" x14ac:dyDescent="0.25">
      <c r="A1530" t="s">
        <v>4114</v>
      </c>
      <c r="B1530">
        <f>_xlfn.XLOOKUP(FME_Ranking1[[#This Row],[FME ID]],FME_Input[FME_ID],FME_Input[RFPG_NUM])</f>
        <v>3</v>
      </c>
      <c r="C1530" t="str">
        <f>_xlfn.XLOOKUP(FME_Ranking1[[#This Row],[FME ID]],FME_Input[FME_ID],FME_Input[FME_NAME])</f>
        <v>City of Aubrey DMP</v>
      </c>
      <c r="D1530" t="str">
        <f>_xlfn.XLOOKUP(FME_Ranking1[[#This Row],[FME ID]],FME_Input[FME_ID],FME_Input[DESCR])</f>
        <v>Evaluate City and identify future projects.</v>
      </c>
      <c r="E1530" s="256">
        <f>_xlfn.XLOOKUP(FME_Ranking1[[#This Row],[FME ID]],FME_Input[FME_ID],FME_Input[FME_COST])</f>
        <v>250000</v>
      </c>
      <c r="F1530" t="str">
        <f>_xlfn.XLOOKUP(FME_Ranking1[[#This Row],[FME ID]],FME_Input[FME_ID],FME_Input[EMER_NEED])</f>
        <v>No</v>
      </c>
      <c r="G1530">
        <f>IF(FME_Ranking!F1530="Yes",100,0)</f>
        <v>0</v>
      </c>
      <c r="H1530">
        <f>FME_Ranking1[[#This Row],[Emergency Need Score (Normalized, Unweighted)]]*$F$3</f>
        <v>0</v>
      </c>
      <c r="I1530" s="246">
        <f>_xlfn.XLOOKUP(FME_Ranking1[[#This Row],[FME ID]],FME_Input[FME_ID],FME_Input[STRUCT_100])</f>
        <v>54</v>
      </c>
      <c r="J1530" s="178">
        <f>(FME_Ranking1[[#This Row],[Structures 100 Raw]]/I$2)*100</f>
        <v>2.891659169772523E-2</v>
      </c>
      <c r="K1530" s="178">
        <f>FME_Ranking1[[#This Row],[Structures 100  Score (Normalized, Unweighted)]]*$I$3</f>
        <v>4.3374887546587847E-3</v>
      </c>
      <c r="L1530" s="246">
        <f>_xlfn.XLOOKUP(FME_Ranking1[[#This Row],[FME ID]],FME_Input[FME_ID],FME_Input[RES_STRUCT100])</f>
        <v>52</v>
      </c>
      <c r="M1530" s="230">
        <f>(FME_Ranking1[[#This Row],[Res Structures Raw]]/L$2)*100</f>
        <v>3.683189075094559E-2</v>
      </c>
      <c r="N1530" s="180">
        <f>FME_Ranking1[[#This Row],[Res Structures Score (Normalized, Unweighted)]]*$L$3</f>
        <v>3.683189075094559E-3</v>
      </c>
      <c r="O1530" s="244">
        <f>_xlfn.XLOOKUP(FME_Ranking1[[#This Row],[FME ID]],FME_Input[FME_ID],FME_Input[POP100])</f>
        <v>127</v>
      </c>
      <c r="P1530" s="178">
        <f>(FME_Ranking1[[#This Row],[Pop Raw]]/$O$2)*100</f>
        <v>1.3001664622572937E-2</v>
      </c>
      <c r="Q1530" s="178">
        <f>FME_Ranking1[[#This Row],[Pop Score (Normalized, Unweighted)]]*$O$3</f>
        <v>1.9502496933859405E-3</v>
      </c>
      <c r="R1530" s="137">
        <f>_xlfn.XLOOKUP(FME_Ranking1[[#This Row],[FME ID]],FME_Input[FME_ID],FME_Input[CRITFAC100])</f>
        <v>1</v>
      </c>
      <c r="S1530" s="230">
        <f>(FME_Ranking1[[#This Row],[Critical Facilities Raw]]/$R$2)*100</f>
        <v>4.2881646655231559E-2</v>
      </c>
      <c r="T1530" s="180">
        <f>FME_Ranking1[[#This Row],[Critical Facilities Score (Normalized, Unweighted)]]*$R$3</f>
        <v>8.5763293310463125E-3</v>
      </c>
      <c r="U1530">
        <f>_xlfn.XLOOKUP(FME_Ranking1[[#This Row],[FME ID]],FME_Input[FME_ID],FME_Input[LWC])</f>
        <v>0</v>
      </c>
      <c r="V1530" s="178">
        <f>(FME_Ranking1[[#This Row],[LWC Raw]]/$U$2)*100</f>
        <v>0</v>
      </c>
      <c r="W1530" s="178">
        <f>FME_Ranking1[[#This Row],[LWC Score (Normalized, Unweighted)]]*$U$3</f>
        <v>0</v>
      </c>
      <c r="X1530" s="246">
        <f>_xlfn.XLOOKUP(FME_Ranking1[[#This Row],[FME ID]],FME_Input[FME_ID],FME_Input[ROADCLS])</f>
        <v>0</v>
      </c>
      <c r="Y1530" s="230">
        <f>(FME_Ranking1[[#This Row],[Closures Raw]]/$X$2)*100</f>
        <v>0</v>
      </c>
      <c r="Z1530" s="180">
        <f>FME_Ranking1[[#This Row],[Closures Score (Normalized, Unweighted)]]*$X$3</f>
        <v>0</v>
      </c>
      <c r="AA1530" s="253">
        <f>_xlfn.XLOOKUP(FME_Ranking1[[#This Row],[FME ID]],FME_Input[FME_ID],FME_Input[ROAD_MILES100])</f>
        <v>2.0801270008087158</v>
      </c>
      <c r="AB1530" s="178">
        <f>(FME_Ranking1[[#This Row],[Miles Raw]]/$AA$2)*100</f>
        <v>2.7349939177708411E-2</v>
      </c>
      <c r="AC1530" s="178">
        <f>FME_Ranking1[[#This Row],[Miles Score (Normalized, Unweighted)]]*$AA$3</f>
        <v>2.7349939177708413E-3</v>
      </c>
      <c r="AD1530" s="255">
        <f>_xlfn.XLOOKUP(FME_Ranking1[[#This Row],[FME ID]],FME_Input[FME_ID],FME_Input[FARMACRE100])</f>
        <v>189.16239929199219</v>
      </c>
      <c r="AE1530" s="230">
        <f>(FME_Ranking1[[#This Row],[Ag Land Raw]]/$AD$2)*100</f>
        <v>7.8002105606234219E-3</v>
      </c>
      <c r="AF1530" s="231">
        <f>FME_Ranking1[[#This Row],[Ag Land Score (Normalized, Unweighted)]]*$AD$3</f>
        <v>3.9001052803117113E-4</v>
      </c>
      <c r="AG153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2.1672261299987606E-2</v>
      </c>
      <c r="AH1530" s="406">
        <f t="shared" si="23"/>
        <v>1560</v>
      </c>
      <c r="AI153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2.1672261299987606E-2</v>
      </c>
      <c r="AJ1530" s="257">
        <f>FME_Ranking1[[#This Row],[Addition check]]-FME_Ranking1[[#This Row],[Weighted Score Based on Normalized Reported Factors]]</f>
        <v>0</v>
      </c>
      <c r="AK1530" s="178">
        <f>_xlfn.RANK.EQ(AI1530,$AI$6:$AI$2341,0)+COUNTIF($AI$6:AI1530,AI1530)-1</f>
        <v>1560</v>
      </c>
    </row>
    <row r="1531" spans="1:37" x14ac:dyDescent="0.25">
      <c r="A1531" t="s">
        <v>1880</v>
      </c>
      <c r="B1531">
        <f>_xlfn.XLOOKUP(FME_Ranking1[[#This Row],[FME ID]],FME_Input[FME_ID],FME_Input[RFPG_NUM])</f>
        <v>6</v>
      </c>
      <c r="C1531" t="str">
        <f>_xlfn.XLOOKUP(FME_Ranking1[[#This Row],[FME ID]],FME_Input[FME_ID],FME_Input[FME_NAME])</f>
        <v>Blalock Road Drainage Improvement Project</v>
      </c>
      <c r="D1531" t="str">
        <f>_xlfn.XLOOKUP(FME_Ranking1[[#This Row],[FME ID]],FME_Input[FME_ID],FME_Input[DESCR])</f>
        <v xml:space="preserve">Study to further the proposed project that includes increasing the capacity of the drainage system with a 9’x9’ RCB to replace dual 36-inch RCP along the east side of the road and an open ditch with driveway culverts on the west side of the road. </v>
      </c>
      <c r="E1531" s="256">
        <f>_xlfn.XLOOKUP(FME_Ranking1[[#This Row],[FME ID]],FME_Input[FME_ID],FME_Input[FME_COST])</f>
        <v>30000</v>
      </c>
      <c r="F1531" t="str">
        <f>_xlfn.XLOOKUP(FME_Ranking1[[#This Row],[FME ID]],FME_Input[FME_ID],FME_Input[EMER_NEED])</f>
        <v>No</v>
      </c>
      <c r="G1531">
        <f>IF(FME_Ranking!F1531="Yes",100,0)</f>
        <v>0</v>
      </c>
      <c r="H1531">
        <f>FME_Ranking1[[#This Row],[Emergency Need Score (Normalized, Unweighted)]]*$F$3</f>
        <v>0</v>
      </c>
      <c r="I1531" s="246">
        <f>_xlfn.XLOOKUP(FME_Ranking1[[#This Row],[FME ID]],FME_Input[FME_ID],FME_Input[STRUCT_100])</f>
        <v>35</v>
      </c>
      <c r="J1531" s="178">
        <f>(FME_Ranking1[[#This Row],[Structures 100 Raw]]/I$2)*100</f>
        <v>1.8742235359636723E-2</v>
      </c>
      <c r="K1531" s="178">
        <f>FME_Ranking1[[#This Row],[Structures 100  Score (Normalized, Unweighted)]]*$I$3</f>
        <v>2.8113353039455084E-3</v>
      </c>
      <c r="L1531" s="246">
        <f>_xlfn.XLOOKUP(FME_Ranking1[[#This Row],[FME ID]],FME_Input[FME_ID],FME_Input[RES_STRUCT100])</f>
        <v>25</v>
      </c>
      <c r="M1531" s="230">
        <f>(FME_Ranking1[[#This Row],[Res Structures Raw]]/L$2)*100</f>
        <v>1.7707639784108456E-2</v>
      </c>
      <c r="N1531" s="180">
        <f>FME_Ranking1[[#This Row],[Res Structures Score (Normalized, Unweighted)]]*$L$3</f>
        <v>1.7707639784108457E-3</v>
      </c>
      <c r="O1531" s="244">
        <f>_xlfn.XLOOKUP(FME_Ranking1[[#This Row],[FME ID]],FME_Input[FME_ID],FME_Input[POP100])</f>
        <v>365</v>
      </c>
      <c r="P1531" s="178">
        <f>(FME_Ranking1[[#This Row],[Pop Raw]]/$O$2)*100</f>
        <v>3.73669888758986E-2</v>
      </c>
      <c r="Q1531" s="178">
        <f>FME_Ranking1[[#This Row],[Pop Score (Normalized, Unweighted)]]*$O$3</f>
        <v>5.6050483313847899E-3</v>
      </c>
      <c r="R1531" s="137">
        <f>_xlfn.XLOOKUP(FME_Ranking1[[#This Row],[FME ID]],FME_Input[FME_ID],FME_Input[CRITFAC100])</f>
        <v>1</v>
      </c>
      <c r="S1531" s="230">
        <f>(FME_Ranking1[[#This Row],[Critical Facilities Raw]]/$R$2)*100</f>
        <v>4.2881646655231559E-2</v>
      </c>
      <c r="T1531" s="180">
        <f>FME_Ranking1[[#This Row],[Critical Facilities Score (Normalized, Unweighted)]]*$R$3</f>
        <v>8.5763293310463125E-3</v>
      </c>
      <c r="U1531">
        <f>_xlfn.XLOOKUP(FME_Ranking1[[#This Row],[FME ID]],FME_Input[FME_ID],FME_Input[LWC])</f>
        <v>0</v>
      </c>
      <c r="V1531" s="178">
        <f>(FME_Ranking1[[#This Row],[LWC Raw]]/$U$2)*100</f>
        <v>0</v>
      </c>
      <c r="W1531" s="178">
        <f>FME_Ranking1[[#This Row],[LWC Score (Normalized, Unweighted)]]*$U$3</f>
        <v>0</v>
      </c>
      <c r="X1531" s="246">
        <f>_xlfn.XLOOKUP(FME_Ranking1[[#This Row],[FME ID]],FME_Input[FME_ID],FME_Input[ROADCLS])</f>
        <v>0</v>
      </c>
      <c r="Y1531" s="230">
        <f>(FME_Ranking1[[#This Row],[Closures Raw]]/$X$2)*100</f>
        <v>0</v>
      </c>
      <c r="Z1531" s="180">
        <f>FME_Ranking1[[#This Row],[Closures Score (Normalized, Unweighted)]]*$X$3</f>
        <v>0</v>
      </c>
      <c r="AA1531" s="253">
        <f>_xlfn.XLOOKUP(FME_Ranking1[[#This Row],[FME ID]],FME_Input[FME_ID],FME_Input[ROAD_MILES100])</f>
        <v>0.28545406460762018</v>
      </c>
      <c r="AB1531" s="178">
        <f>(FME_Ranking1[[#This Row],[Miles Raw]]/$AA$2)*100</f>
        <v>3.7532089636896108E-3</v>
      </c>
      <c r="AC1531" s="178">
        <f>FME_Ranking1[[#This Row],[Miles Score (Normalized, Unweighted)]]*$AA$3</f>
        <v>3.753208963689611E-4</v>
      </c>
      <c r="AD1531" s="255">
        <f>_xlfn.XLOOKUP(FME_Ranking1[[#This Row],[FME ID]],FME_Input[FME_ID],FME_Input[FARMACRE100])</f>
        <v>0</v>
      </c>
      <c r="AE1531" s="230">
        <f>(FME_Ranking1[[#This Row],[Ag Land Raw]]/$AD$2)*100</f>
        <v>0</v>
      </c>
      <c r="AF1531" s="231">
        <f>FME_Ranking1[[#This Row],[Ag Land Score (Normalized, Unweighted)]]*$AD$3</f>
        <v>0</v>
      </c>
      <c r="AG153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1.9138797841156418E-2</v>
      </c>
      <c r="AH1531" s="406">
        <f t="shared" si="23"/>
        <v>1584</v>
      </c>
      <c r="AI153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1.9138797841156418E-2</v>
      </c>
      <c r="AJ1531" s="257">
        <f>FME_Ranking1[[#This Row],[Addition check]]-FME_Ranking1[[#This Row],[Weighted Score Based on Normalized Reported Factors]]</f>
        <v>0</v>
      </c>
      <c r="AK1531" s="178">
        <f>_xlfn.RANK.EQ(AI1531,$AI$6:$AI$2341,0)+COUNTIF($AI$6:AI1531,AI1531)-1</f>
        <v>1584</v>
      </c>
    </row>
    <row r="1532" spans="1:37" x14ac:dyDescent="0.25">
      <c r="A1532" t="s">
        <v>6323</v>
      </c>
      <c r="B1532">
        <f>_xlfn.XLOOKUP(FME_Ranking1[[#This Row],[FME ID]],FME_Input[FME_ID],FME_Input[RFPG_NUM])</f>
        <v>5</v>
      </c>
      <c r="C1532" t="str">
        <f>_xlfn.XLOOKUP(FME_Ranking1[[#This Row],[FME ID]],FME_Input[FME_ID],FME_Input[FME_NAME])</f>
        <v>Blanchette Diversion</v>
      </c>
      <c r="D1532" t="str">
        <f>_xlfn.XLOOKUP(FME_Ranking1[[#This Row],[FME ID]],FME_Input[FME_ID],FME_Input[DESCR])</f>
        <v xml:space="preserve">H&amp;H study to identify alternatives for a diversion to the Neches River. </v>
      </c>
      <c r="E1532" s="256">
        <f>_xlfn.XLOOKUP(FME_Ranking1[[#This Row],[FME ID]],FME_Input[FME_ID],FME_Input[FME_COST])</f>
        <v>100000</v>
      </c>
      <c r="F1532" t="str">
        <f>_xlfn.XLOOKUP(FME_Ranking1[[#This Row],[FME ID]],FME_Input[FME_ID],FME_Input[EMER_NEED])</f>
        <v>Yes</v>
      </c>
      <c r="G1532">
        <f>IF(FME_Ranking!F1532="Yes",100,0)</f>
        <v>100</v>
      </c>
      <c r="H1532">
        <f>FME_Ranking1[[#This Row],[Emergency Need Score (Normalized, Unweighted)]]*$F$3</f>
        <v>0</v>
      </c>
      <c r="I1532" s="246">
        <f>_xlfn.XLOOKUP(FME_Ranking1[[#This Row],[FME ID]],FME_Input[FME_ID],FME_Input[STRUCT_100])</f>
        <v>88</v>
      </c>
      <c r="J1532" s="178">
        <f>(FME_Ranking1[[#This Row],[Structures 100 Raw]]/I$2)*100</f>
        <v>4.7123334618515186E-2</v>
      </c>
      <c r="K1532" s="178">
        <f>FME_Ranking1[[#This Row],[Structures 100  Score (Normalized, Unweighted)]]*$I$3</f>
        <v>7.0685001927772778E-3</v>
      </c>
      <c r="L1532" s="246">
        <f>_xlfn.XLOOKUP(FME_Ranking1[[#This Row],[FME ID]],FME_Input[FME_ID],FME_Input[RES_STRUCT100])</f>
        <v>38</v>
      </c>
      <c r="M1532" s="230">
        <f>(FME_Ranking1[[#This Row],[Res Structures Raw]]/L$2)*100</f>
        <v>2.691561247184485E-2</v>
      </c>
      <c r="N1532" s="180">
        <f>FME_Ranking1[[#This Row],[Res Structures Score (Normalized, Unweighted)]]*$L$3</f>
        <v>2.691561247184485E-3</v>
      </c>
      <c r="O1532" s="244">
        <f>_xlfn.XLOOKUP(FME_Ranking1[[#This Row],[FME ID]],FME_Input[FME_ID],FME_Input[POP100])</f>
        <v>582</v>
      </c>
      <c r="P1532" s="178">
        <f>(FME_Ranking1[[#This Row],[Pop Raw]]/$O$2)*100</f>
        <v>5.9582431577460231E-2</v>
      </c>
      <c r="Q1532" s="178">
        <f>FME_Ranking1[[#This Row],[Pop Score (Normalized, Unweighted)]]*$O$3</f>
        <v>8.9373647366190346E-3</v>
      </c>
      <c r="R1532" s="137">
        <f>_xlfn.XLOOKUP(FME_Ranking1[[#This Row],[FME ID]],FME_Input[FME_ID],FME_Input[CRITFAC100])</f>
        <v>0</v>
      </c>
      <c r="S1532" s="230">
        <f>(FME_Ranking1[[#This Row],[Critical Facilities Raw]]/$R$2)*100</f>
        <v>0</v>
      </c>
      <c r="T1532" s="180">
        <f>FME_Ranking1[[#This Row],[Critical Facilities Score (Normalized, Unweighted)]]*$R$3</f>
        <v>0</v>
      </c>
      <c r="U1532">
        <f>_xlfn.XLOOKUP(FME_Ranking1[[#This Row],[FME ID]],FME_Input[FME_ID],FME_Input[LWC])</f>
        <v>0</v>
      </c>
      <c r="V1532" s="178">
        <f>(FME_Ranking1[[#This Row],[LWC Raw]]/$U$2)*100</f>
        <v>0</v>
      </c>
      <c r="W1532" s="178">
        <f>FME_Ranking1[[#This Row],[LWC Score (Normalized, Unweighted)]]*$U$3</f>
        <v>0</v>
      </c>
      <c r="X1532" s="246">
        <f>_xlfn.XLOOKUP(FME_Ranking1[[#This Row],[FME ID]],FME_Input[FME_ID],FME_Input[ROADCLS])</f>
        <v>0</v>
      </c>
      <c r="Y1532" s="230">
        <f>(FME_Ranking1[[#This Row],[Closures Raw]]/$X$2)*100</f>
        <v>0</v>
      </c>
      <c r="Z1532" s="180">
        <f>FME_Ranking1[[#This Row],[Closures Score (Normalized, Unweighted)]]*$X$3</f>
        <v>0</v>
      </c>
      <c r="AA1532" s="253">
        <f>_xlfn.XLOOKUP(FME_Ranking1[[#This Row],[FME ID]],FME_Input[FME_ID],FME_Input[ROAD_MILES100])</f>
        <v>2.4608979225158691</v>
      </c>
      <c r="AB1532" s="178">
        <f>(FME_Ranking1[[#This Row],[Miles Raw]]/$AA$2)*100</f>
        <v>3.235639385344783E-2</v>
      </c>
      <c r="AC1532" s="178">
        <f>FME_Ranking1[[#This Row],[Miles Score (Normalized, Unweighted)]]*$AA$3</f>
        <v>3.2356393853447832E-3</v>
      </c>
      <c r="AD1532" s="255">
        <f>_xlfn.XLOOKUP(FME_Ranking1[[#This Row],[FME ID]],FME_Input[FME_ID],FME_Input[FARMACRE100])</f>
        <v>4.3098649978637704</v>
      </c>
      <c r="AE1532" s="230">
        <f>(FME_Ranking1[[#This Row],[Ag Land Raw]]/$AD$2)*100</f>
        <v>1.7771953938533795E-4</v>
      </c>
      <c r="AF1532" s="231">
        <f>FME_Ranking1[[#This Row],[Ag Land Score (Normalized, Unweighted)]]*$AD$3</f>
        <v>8.8859769692668983E-6</v>
      </c>
      <c r="AG153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2.1941951538894843E-2</v>
      </c>
      <c r="AH1532" s="406">
        <f t="shared" si="23"/>
        <v>1557</v>
      </c>
      <c r="AI153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2.1941951538894843E-2</v>
      </c>
      <c r="AJ1532" s="257">
        <f>FME_Ranking1[[#This Row],[Addition check]]-FME_Ranking1[[#This Row],[Weighted Score Based on Normalized Reported Factors]]</f>
        <v>0</v>
      </c>
      <c r="AK1532" s="178">
        <f>_xlfn.RANK.EQ(AI1532,$AI$6:$AI$2341,0)+COUNTIF($AI$6:AI1532,AI1532)-1</f>
        <v>1557</v>
      </c>
    </row>
    <row r="1533" spans="1:37" x14ac:dyDescent="0.25">
      <c r="A1533" t="s">
        <v>8744</v>
      </c>
      <c r="B1533">
        <f>_xlfn.XLOOKUP(FME_Ranking1[[#This Row],[FME ID]],FME_Input[FME_ID],FME_Input[RFPG_NUM])</f>
        <v>11</v>
      </c>
      <c r="C1533" t="str">
        <f>_xlfn.XLOOKUP(FME_Ranking1[[#This Row],[FME ID]],FME_Input[FME_ID],FME_Input[FME_NAME])</f>
        <v>City of New Braunfels Dry Comal Creek Tributary East Watershed Project Planning</v>
      </c>
      <c r="D1533" t="str">
        <f>_xlfn.XLOOKUP(FME_Ranking1[[#This Row],[FME ID]],FME_Input[FME_ID],FME_Input[DESCR])</f>
        <v xml:space="preserve">Study to analyze drainage conveyance and flooding issues within the Dry Comal Creek Tributaries East area (Kerlick Lane/Encino Drive/Mission Drive) and project planning for solutions within project area. </v>
      </c>
      <c r="E1533" s="256">
        <f>_xlfn.XLOOKUP(FME_Ranking1[[#This Row],[FME ID]],FME_Input[FME_ID],FME_Input[FME_COST])</f>
        <v>344000</v>
      </c>
      <c r="F1533" t="str">
        <f>_xlfn.XLOOKUP(FME_Ranking1[[#This Row],[FME ID]],FME_Input[FME_ID],FME_Input[EMER_NEED])</f>
        <v>No</v>
      </c>
      <c r="G1533">
        <f>IF(FME_Ranking!F1533="Yes",100,0)</f>
        <v>0</v>
      </c>
      <c r="H1533">
        <f>FME_Ranking1[[#This Row],[Emergency Need Score (Normalized, Unweighted)]]*$F$3</f>
        <v>0</v>
      </c>
      <c r="I1533" s="246">
        <f>_xlfn.XLOOKUP(FME_Ranking1[[#This Row],[FME ID]],FME_Input[FME_ID],FME_Input[STRUCT_100])</f>
        <v>77</v>
      </c>
      <c r="J1533" s="178">
        <f>(FME_Ranking1[[#This Row],[Structures 100 Raw]]/I$2)*100</f>
        <v>4.1232917791200786E-2</v>
      </c>
      <c r="K1533" s="178">
        <f>FME_Ranking1[[#This Row],[Structures 100  Score (Normalized, Unweighted)]]*$I$3</f>
        <v>6.1849376686801179E-3</v>
      </c>
      <c r="L1533" s="246">
        <f>_xlfn.XLOOKUP(FME_Ranking1[[#This Row],[FME ID]],FME_Input[FME_ID],FME_Input[RES_STRUCT100])</f>
        <v>48</v>
      </c>
      <c r="M1533" s="230">
        <f>(FME_Ranking1[[#This Row],[Res Structures Raw]]/L$2)*100</f>
        <v>3.3998668385488234E-2</v>
      </c>
      <c r="N1533" s="180">
        <f>FME_Ranking1[[#This Row],[Res Structures Score (Normalized, Unweighted)]]*$L$3</f>
        <v>3.3998668385488238E-3</v>
      </c>
      <c r="O1533" s="244">
        <f>_xlfn.XLOOKUP(FME_Ranking1[[#This Row],[FME ID]],FME_Input[FME_ID],FME_Input[POP100])</f>
        <v>588</v>
      </c>
      <c r="P1533" s="178">
        <f>(FME_Ranking1[[#This Row],[Pop Raw]]/$O$2)*100</f>
        <v>6.0196683449392815E-2</v>
      </c>
      <c r="Q1533" s="178">
        <f>FME_Ranking1[[#This Row],[Pop Score (Normalized, Unweighted)]]*$O$3</f>
        <v>9.0295025174089213E-3</v>
      </c>
      <c r="R1533" s="137">
        <f>_xlfn.XLOOKUP(FME_Ranking1[[#This Row],[FME ID]],FME_Input[FME_ID],FME_Input[CRITFAC100])</f>
        <v>0</v>
      </c>
      <c r="S1533" s="230">
        <f>(FME_Ranking1[[#This Row],[Critical Facilities Raw]]/$R$2)*100</f>
        <v>0</v>
      </c>
      <c r="T1533" s="180">
        <f>FME_Ranking1[[#This Row],[Critical Facilities Score (Normalized, Unweighted)]]*$R$3</f>
        <v>0</v>
      </c>
      <c r="U1533">
        <f>_xlfn.XLOOKUP(FME_Ranking1[[#This Row],[FME ID]],FME_Input[FME_ID],FME_Input[LWC])</f>
        <v>0</v>
      </c>
      <c r="V1533" s="178">
        <f>(FME_Ranking1[[#This Row],[LWC Raw]]/$U$2)*100</f>
        <v>0</v>
      </c>
      <c r="W1533" s="178">
        <f>FME_Ranking1[[#This Row],[LWC Score (Normalized, Unweighted)]]*$U$3</f>
        <v>0</v>
      </c>
      <c r="X1533" s="246">
        <f>_xlfn.XLOOKUP(FME_Ranking1[[#This Row],[FME ID]],FME_Input[FME_ID],FME_Input[ROADCLS])</f>
        <v>0</v>
      </c>
      <c r="Y1533" s="230">
        <f>(FME_Ranking1[[#This Row],[Closures Raw]]/$X$2)*100</f>
        <v>0</v>
      </c>
      <c r="Z1533" s="180">
        <f>FME_Ranking1[[#This Row],[Closures Score (Normalized, Unweighted)]]*$X$3</f>
        <v>0</v>
      </c>
      <c r="AA1533" s="253">
        <f>_xlfn.XLOOKUP(FME_Ranking1[[#This Row],[FME ID]],FME_Input[FME_ID],FME_Input[ROAD_MILES100])</f>
        <v>1.3093488216400151</v>
      </c>
      <c r="AB1533" s="178">
        <f>(FME_Ranking1[[#This Row],[Miles Raw]]/$AA$2)*100</f>
        <v>1.7215588577205176E-2</v>
      </c>
      <c r="AC1533" s="178">
        <f>FME_Ranking1[[#This Row],[Miles Score (Normalized, Unweighted)]]*$AA$3</f>
        <v>1.7215588577205176E-3</v>
      </c>
      <c r="AD1533" s="255">
        <f>_xlfn.XLOOKUP(FME_Ranking1[[#This Row],[FME ID]],FME_Input[FME_ID],FME_Input[FARMACRE100])</f>
        <v>15.29646110534668</v>
      </c>
      <c r="AE1533" s="230">
        <f>(FME_Ranking1[[#This Row],[Ag Land Raw]]/$AD$2)*100</f>
        <v>6.3075758131992353E-4</v>
      </c>
      <c r="AF1533" s="231">
        <f>FME_Ranking1[[#This Row],[Ag Land Score (Normalized, Unweighted)]]*$AD$3</f>
        <v>3.1537879065996177E-5</v>
      </c>
      <c r="AG153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2.0367403761424378E-2</v>
      </c>
      <c r="AH1533" s="406">
        <f t="shared" si="23"/>
        <v>1573</v>
      </c>
      <c r="AI153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2.0367403761424378E-2</v>
      </c>
      <c r="AJ1533" s="257">
        <f>FME_Ranking1[[#This Row],[Addition check]]-FME_Ranking1[[#This Row],[Weighted Score Based on Normalized Reported Factors]]</f>
        <v>0</v>
      </c>
      <c r="AK1533" s="178">
        <f>_xlfn.RANK.EQ(AI1533,$AI$6:$AI$2341,0)+COUNTIF($AI$6:AI1533,AI1533)-1</f>
        <v>1573</v>
      </c>
    </row>
    <row r="1534" spans="1:37" x14ac:dyDescent="0.25">
      <c r="A1534" t="s">
        <v>4934</v>
      </c>
      <c r="B1534">
        <f>_xlfn.XLOOKUP(FME_Ranking1[[#This Row],[FME ID]],FME_Input[FME_ID],FME_Input[RFPG_NUM])</f>
        <v>3</v>
      </c>
      <c r="C1534" t="str">
        <f>_xlfn.XLOOKUP(FME_Ranking1[[#This Row],[FME ID]],FME_Input[FME_ID],FME_Input[FME_NAME])</f>
        <v>Prairie Creek Stabilization</v>
      </c>
      <c r="D1534" t="str">
        <f>_xlfn.XLOOKUP(FME_Ranking1[[#This Row],[FME ID]],FME_Input[FME_ID],FME_Input[DESCR])</f>
        <v>Evaluate from upstream of Great Southwest Pkwy to upstream of Robinson Road; Estimated construction cost of $606,900</v>
      </c>
      <c r="E1534" s="256">
        <f>_xlfn.XLOOKUP(FME_Ranking1[[#This Row],[FME ID]],FME_Input[FME_ID],FME_Input[FME_COST])</f>
        <v>250000</v>
      </c>
      <c r="F1534" t="str">
        <f>_xlfn.XLOOKUP(FME_Ranking1[[#This Row],[FME ID]],FME_Input[FME_ID],FME_Input[EMER_NEED])</f>
        <v>No</v>
      </c>
      <c r="G1534">
        <f>IF(FME_Ranking!F1534="Yes",100,0)</f>
        <v>0</v>
      </c>
      <c r="H1534">
        <f>FME_Ranking1[[#This Row],[Emergency Need Score (Normalized, Unweighted)]]*$F$3</f>
        <v>0</v>
      </c>
      <c r="I1534" s="246">
        <f>_xlfn.XLOOKUP(FME_Ranking1[[#This Row],[FME ID]],FME_Input[FME_ID],FME_Input[STRUCT_100])</f>
        <v>25</v>
      </c>
      <c r="J1534" s="178">
        <f>(FME_Ranking1[[#This Row],[Structures 100 Raw]]/I$2)*100</f>
        <v>1.3387310971169086E-2</v>
      </c>
      <c r="K1534" s="178">
        <f>FME_Ranking1[[#This Row],[Structures 100  Score (Normalized, Unweighted)]]*$I$3</f>
        <v>2.0080966456753626E-3</v>
      </c>
      <c r="L1534" s="246">
        <f>_xlfn.XLOOKUP(FME_Ranking1[[#This Row],[FME ID]],FME_Input[FME_ID],FME_Input[RES_STRUCT100])</f>
        <v>22</v>
      </c>
      <c r="M1534" s="230">
        <f>(FME_Ranking1[[#This Row],[Res Structures Raw]]/L$2)*100</f>
        <v>1.5582723010015441E-2</v>
      </c>
      <c r="N1534" s="180">
        <f>FME_Ranking1[[#This Row],[Res Structures Score (Normalized, Unweighted)]]*$L$3</f>
        <v>1.5582723010015443E-3</v>
      </c>
      <c r="O1534" s="244">
        <f>_xlfn.XLOOKUP(FME_Ranking1[[#This Row],[FME ID]],FME_Input[FME_ID],FME_Input[POP100])</f>
        <v>421</v>
      </c>
      <c r="P1534" s="178">
        <f>(FME_Ranking1[[#This Row],[Pop Raw]]/$O$2)*100</f>
        <v>4.3100006347269341E-2</v>
      </c>
      <c r="Q1534" s="178">
        <f>FME_Ranking1[[#This Row],[Pop Score (Normalized, Unweighted)]]*$O$3</f>
        <v>6.4650009520904007E-3</v>
      </c>
      <c r="R1534" s="137">
        <f>_xlfn.XLOOKUP(FME_Ranking1[[#This Row],[FME ID]],FME_Input[FME_ID],FME_Input[CRITFAC100])</f>
        <v>1</v>
      </c>
      <c r="S1534" s="230">
        <f>(FME_Ranking1[[#This Row],[Critical Facilities Raw]]/$R$2)*100</f>
        <v>4.2881646655231559E-2</v>
      </c>
      <c r="T1534" s="180">
        <f>FME_Ranking1[[#This Row],[Critical Facilities Score (Normalized, Unweighted)]]*$R$3</f>
        <v>8.5763293310463125E-3</v>
      </c>
      <c r="U1534">
        <f>_xlfn.XLOOKUP(FME_Ranking1[[#This Row],[FME ID]],FME_Input[FME_ID],FME_Input[LWC])</f>
        <v>0</v>
      </c>
      <c r="V1534" s="178">
        <f>(FME_Ranking1[[#This Row],[LWC Raw]]/$U$2)*100</f>
        <v>0</v>
      </c>
      <c r="W1534" s="178">
        <f>FME_Ranking1[[#This Row],[LWC Score (Normalized, Unweighted)]]*$U$3</f>
        <v>0</v>
      </c>
      <c r="X1534" s="246">
        <f>_xlfn.XLOOKUP(FME_Ranking1[[#This Row],[FME ID]],FME_Input[FME_ID],FME_Input[ROADCLS])</f>
        <v>0</v>
      </c>
      <c r="Y1534" s="230">
        <f>(FME_Ranking1[[#This Row],[Closures Raw]]/$X$2)*100</f>
        <v>0</v>
      </c>
      <c r="Z1534" s="180">
        <f>FME_Ranking1[[#This Row],[Closures Score (Normalized, Unweighted)]]*$X$3</f>
        <v>0</v>
      </c>
      <c r="AA1534" s="253">
        <f>_xlfn.XLOOKUP(FME_Ranking1[[#This Row],[FME ID]],FME_Input[FME_ID],FME_Input[ROAD_MILES100])</f>
        <v>3.8919739723205571</v>
      </c>
      <c r="AB1534" s="178">
        <f>(FME_Ranking1[[#This Row],[Miles Raw]]/$AA$2)*100</f>
        <v>5.1172477152985105E-2</v>
      </c>
      <c r="AC1534" s="178">
        <f>FME_Ranking1[[#This Row],[Miles Score (Normalized, Unweighted)]]*$AA$3</f>
        <v>5.1172477152985106E-3</v>
      </c>
      <c r="AD1534" s="255">
        <f>_xlfn.XLOOKUP(FME_Ranking1[[#This Row],[FME ID]],FME_Input[FME_ID],FME_Input[FARMACRE100])</f>
        <v>7.8348288536071777</v>
      </c>
      <c r="AE1534" s="230">
        <f>(FME_Ranking1[[#This Row],[Ag Land Raw]]/$AD$2)*100</f>
        <v>3.2307326928249068E-4</v>
      </c>
      <c r="AF1534" s="231">
        <f>FME_Ranking1[[#This Row],[Ag Land Score (Normalized, Unweighted)]]*$AD$3</f>
        <v>1.6153663464124534E-5</v>
      </c>
      <c r="AG153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2.3741100608576253E-2</v>
      </c>
      <c r="AH1534" s="406">
        <f t="shared" si="23"/>
        <v>1533</v>
      </c>
      <c r="AI153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2.3741100608576253E-2</v>
      </c>
      <c r="AJ1534" s="257">
        <f>FME_Ranking1[[#This Row],[Addition check]]-FME_Ranking1[[#This Row],[Weighted Score Based on Normalized Reported Factors]]</f>
        <v>0</v>
      </c>
      <c r="AK1534" s="178">
        <f>_xlfn.RANK.EQ(AI1534,$AI$6:$AI$2341,0)+COUNTIF($AI$6:AI1534,AI1534)-1</f>
        <v>1533</v>
      </c>
    </row>
    <row r="1535" spans="1:37" x14ac:dyDescent="0.25">
      <c r="A1535" t="s">
        <v>5037</v>
      </c>
      <c r="B1535">
        <f>_xlfn.XLOOKUP(FME_Ranking1[[#This Row],[FME ID]],FME_Input[FME_ID],FME_Input[RFPG_NUM])</f>
        <v>3</v>
      </c>
      <c r="C1535" t="str">
        <f>_xlfn.XLOOKUP(FME_Ranking1[[#This Row],[FME ID]],FME_Input[FME_ID],FME_Input[FME_NAME])</f>
        <v>South Great Southwest Parkway from North of Forum Drive to Prairie Creek Channel</v>
      </c>
      <c r="D1535" t="str">
        <f>_xlfn.XLOOKUP(FME_Ranking1[[#This Row],[FME ID]],FME_Input[FME_ID],FME_Input[DESCR])</f>
        <v>Study update - Storm Drain Improvements; Estimated construction cost of $2,127,800</v>
      </c>
      <c r="E1535" s="256">
        <f>_xlfn.XLOOKUP(FME_Ranking1[[#This Row],[FME ID]],FME_Input[FME_ID],FME_Input[FME_COST])</f>
        <v>344000</v>
      </c>
      <c r="F1535" t="str">
        <f>_xlfn.XLOOKUP(FME_Ranking1[[#This Row],[FME ID]],FME_Input[FME_ID],FME_Input[EMER_NEED])</f>
        <v>No</v>
      </c>
      <c r="G1535">
        <f>IF(FME_Ranking!F1535="Yes",100,0)</f>
        <v>0</v>
      </c>
      <c r="H1535">
        <f>FME_Ranking1[[#This Row],[Emergency Need Score (Normalized, Unweighted)]]*$F$3</f>
        <v>0</v>
      </c>
      <c r="I1535" s="246">
        <f>_xlfn.XLOOKUP(FME_Ranking1[[#This Row],[FME ID]],FME_Input[FME_ID],FME_Input[STRUCT_100])</f>
        <v>25</v>
      </c>
      <c r="J1535" s="178">
        <f>(FME_Ranking1[[#This Row],[Structures 100 Raw]]/I$2)*100</f>
        <v>1.3387310971169086E-2</v>
      </c>
      <c r="K1535" s="178">
        <f>FME_Ranking1[[#This Row],[Structures 100  Score (Normalized, Unweighted)]]*$I$3</f>
        <v>2.0080966456753626E-3</v>
      </c>
      <c r="L1535" s="246">
        <f>_xlfn.XLOOKUP(FME_Ranking1[[#This Row],[FME ID]],FME_Input[FME_ID],FME_Input[RES_STRUCT100])</f>
        <v>22</v>
      </c>
      <c r="M1535" s="230">
        <f>(FME_Ranking1[[#This Row],[Res Structures Raw]]/L$2)*100</f>
        <v>1.5582723010015441E-2</v>
      </c>
      <c r="N1535" s="180">
        <f>FME_Ranking1[[#This Row],[Res Structures Score (Normalized, Unweighted)]]*$L$3</f>
        <v>1.5582723010015443E-3</v>
      </c>
      <c r="O1535" s="244">
        <f>_xlfn.XLOOKUP(FME_Ranking1[[#This Row],[FME ID]],FME_Input[FME_ID],FME_Input[POP100])</f>
        <v>421</v>
      </c>
      <c r="P1535" s="178">
        <f>(FME_Ranking1[[#This Row],[Pop Raw]]/$O$2)*100</f>
        <v>4.3100006347269341E-2</v>
      </c>
      <c r="Q1535" s="178">
        <f>FME_Ranking1[[#This Row],[Pop Score (Normalized, Unweighted)]]*$O$3</f>
        <v>6.4650009520904007E-3</v>
      </c>
      <c r="R1535" s="137">
        <f>_xlfn.XLOOKUP(FME_Ranking1[[#This Row],[FME ID]],FME_Input[FME_ID],FME_Input[CRITFAC100])</f>
        <v>1</v>
      </c>
      <c r="S1535" s="230">
        <f>(FME_Ranking1[[#This Row],[Critical Facilities Raw]]/$R$2)*100</f>
        <v>4.2881646655231559E-2</v>
      </c>
      <c r="T1535" s="180">
        <f>FME_Ranking1[[#This Row],[Critical Facilities Score (Normalized, Unweighted)]]*$R$3</f>
        <v>8.5763293310463125E-3</v>
      </c>
      <c r="U1535">
        <f>_xlfn.XLOOKUP(FME_Ranking1[[#This Row],[FME ID]],FME_Input[FME_ID],FME_Input[LWC])</f>
        <v>0</v>
      </c>
      <c r="V1535" s="178">
        <f>(FME_Ranking1[[#This Row],[LWC Raw]]/$U$2)*100</f>
        <v>0</v>
      </c>
      <c r="W1535" s="178">
        <f>FME_Ranking1[[#This Row],[LWC Score (Normalized, Unweighted)]]*$U$3</f>
        <v>0</v>
      </c>
      <c r="X1535" s="246">
        <f>_xlfn.XLOOKUP(FME_Ranking1[[#This Row],[FME ID]],FME_Input[FME_ID],FME_Input[ROADCLS])</f>
        <v>0</v>
      </c>
      <c r="Y1535" s="230">
        <f>(FME_Ranking1[[#This Row],[Closures Raw]]/$X$2)*100</f>
        <v>0</v>
      </c>
      <c r="Z1535" s="180">
        <f>FME_Ranking1[[#This Row],[Closures Score (Normalized, Unweighted)]]*$X$3</f>
        <v>0</v>
      </c>
      <c r="AA1535" s="253">
        <f>_xlfn.XLOOKUP(FME_Ranking1[[#This Row],[FME ID]],FME_Input[FME_ID],FME_Input[ROAD_MILES100])</f>
        <v>3.8919739723205571</v>
      </c>
      <c r="AB1535" s="178">
        <f>(FME_Ranking1[[#This Row],[Miles Raw]]/$AA$2)*100</f>
        <v>5.1172477152985105E-2</v>
      </c>
      <c r="AC1535" s="178">
        <f>FME_Ranking1[[#This Row],[Miles Score (Normalized, Unweighted)]]*$AA$3</f>
        <v>5.1172477152985106E-3</v>
      </c>
      <c r="AD1535" s="255">
        <f>_xlfn.XLOOKUP(FME_Ranking1[[#This Row],[FME ID]],FME_Input[FME_ID],FME_Input[FARMACRE100])</f>
        <v>7.8348288536071777</v>
      </c>
      <c r="AE1535" s="230">
        <f>(FME_Ranking1[[#This Row],[Ag Land Raw]]/$AD$2)*100</f>
        <v>3.2307326928249068E-4</v>
      </c>
      <c r="AF1535" s="231">
        <f>FME_Ranking1[[#This Row],[Ag Land Score (Normalized, Unweighted)]]*$AD$3</f>
        <v>1.6153663464124534E-5</v>
      </c>
      <c r="AG153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2.3741100608576253E-2</v>
      </c>
      <c r="AH1535" s="406">
        <f t="shared" si="23"/>
        <v>1533</v>
      </c>
      <c r="AI153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2.3741100608576253E-2</v>
      </c>
      <c r="AJ1535" s="257">
        <f>FME_Ranking1[[#This Row],[Addition check]]-FME_Ranking1[[#This Row],[Weighted Score Based on Normalized Reported Factors]]</f>
        <v>0</v>
      </c>
      <c r="AK1535" s="178">
        <f>_xlfn.RANK.EQ(AI1535,$AI$6:$AI$2341,0)+COUNTIF($AI$6:AI1535,AI1535)-1</f>
        <v>1534</v>
      </c>
    </row>
    <row r="1536" spans="1:37" x14ac:dyDescent="0.25">
      <c r="A1536" t="s">
        <v>4313</v>
      </c>
      <c r="B1536">
        <f>_xlfn.XLOOKUP(FME_Ranking1[[#This Row],[FME ID]],FME_Input[FME_ID],FME_Input[RFPG_NUM])</f>
        <v>3</v>
      </c>
      <c r="C1536" t="str">
        <f>_xlfn.XLOOKUP(FME_Ranking1[[#This Row],[FME ID]],FME_Input[FME_ID],FME_Input[FME_NAME])</f>
        <v>Copper Canyon Poindexter Branch Flood Mitigation Plan</v>
      </c>
      <c r="D1536" t="str">
        <f>_xlfn.XLOOKUP(FME_Ranking1[[#This Row],[FME ID]],FME_Input[FME_ID],FME_Input[DESCR])</f>
        <v>Copper Canyon Poindexter Branch Flood Mitigation Plan</v>
      </c>
      <c r="E1536" s="256">
        <f>_xlfn.XLOOKUP(FME_Ranking1[[#This Row],[FME ID]],FME_Input[FME_ID],FME_Input[FME_COST])</f>
        <v>150000</v>
      </c>
      <c r="F1536" t="str">
        <f>_xlfn.XLOOKUP(FME_Ranking1[[#This Row],[FME ID]],FME_Input[FME_ID],FME_Input[EMER_NEED])</f>
        <v>No</v>
      </c>
      <c r="G1536">
        <f>IF(FME_Ranking!F1536="Yes",100,0)</f>
        <v>0</v>
      </c>
      <c r="H1536">
        <f>FME_Ranking1[[#This Row],[Emergency Need Score (Normalized, Unweighted)]]*$F$3</f>
        <v>0</v>
      </c>
      <c r="I1536" s="246">
        <f>_xlfn.XLOOKUP(FME_Ranking1[[#This Row],[FME ID]],FME_Input[FME_ID],FME_Input[STRUCT_100])</f>
        <v>55</v>
      </c>
      <c r="J1536" s="178">
        <f>(FME_Ranking1[[#This Row],[Structures 100 Raw]]/I$2)*100</f>
        <v>2.9452084136571993E-2</v>
      </c>
      <c r="K1536" s="178">
        <f>FME_Ranking1[[#This Row],[Structures 100  Score (Normalized, Unweighted)]]*$I$3</f>
        <v>4.4178126204857992E-3</v>
      </c>
      <c r="L1536" s="246">
        <f>_xlfn.XLOOKUP(FME_Ranking1[[#This Row],[FME ID]],FME_Input[FME_ID],FME_Input[RES_STRUCT100])</f>
        <v>40</v>
      </c>
      <c r="M1536" s="230">
        <f>(FME_Ranking1[[#This Row],[Res Structures Raw]]/L$2)*100</f>
        <v>2.8332223654573527E-2</v>
      </c>
      <c r="N1536" s="180">
        <f>FME_Ranking1[[#This Row],[Res Structures Score (Normalized, Unweighted)]]*$L$3</f>
        <v>2.833222365457353E-3</v>
      </c>
      <c r="O1536" s="244">
        <f>_xlfn.XLOOKUP(FME_Ranking1[[#This Row],[FME ID]],FME_Input[FME_ID],FME_Input[POP100])</f>
        <v>173</v>
      </c>
      <c r="P1536" s="178">
        <f>(FME_Ranking1[[#This Row],[Pop Raw]]/$O$2)*100</f>
        <v>1.7710928974056048E-2</v>
      </c>
      <c r="Q1536" s="178">
        <f>FME_Ranking1[[#This Row],[Pop Score (Normalized, Unweighted)]]*$O$3</f>
        <v>2.6566393461084073E-3</v>
      </c>
      <c r="R1536" s="137">
        <f>_xlfn.XLOOKUP(FME_Ranking1[[#This Row],[FME ID]],FME_Input[FME_ID],FME_Input[CRITFAC100])</f>
        <v>1</v>
      </c>
      <c r="S1536" s="230">
        <f>(FME_Ranking1[[#This Row],[Critical Facilities Raw]]/$R$2)*100</f>
        <v>4.2881646655231559E-2</v>
      </c>
      <c r="T1536" s="180">
        <f>FME_Ranking1[[#This Row],[Critical Facilities Score (Normalized, Unweighted)]]*$R$3</f>
        <v>8.5763293310463125E-3</v>
      </c>
      <c r="U1536">
        <f>_xlfn.XLOOKUP(FME_Ranking1[[#This Row],[FME ID]],FME_Input[FME_ID],FME_Input[LWC])</f>
        <v>0</v>
      </c>
      <c r="V1536" s="178">
        <f>(FME_Ranking1[[#This Row],[LWC Raw]]/$U$2)*100</f>
        <v>0</v>
      </c>
      <c r="W1536" s="178">
        <f>FME_Ranking1[[#This Row],[LWC Score (Normalized, Unweighted)]]*$U$3</f>
        <v>0</v>
      </c>
      <c r="X1536" s="246">
        <f>_xlfn.XLOOKUP(FME_Ranking1[[#This Row],[FME ID]],FME_Input[FME_ID],FME_Input[ROADCLS])</f>
        <v>0</v>
      </c>
      <c r="Y1536" s="230">
        <f>(FME_Ranking1[[#This Row],[Closures Raw]]/$X$2)*100</f>
        <v>0</v>
      </c>
      <c r="Z1536" s="180">
        <f>FME_Ranking1[[#This Row],[Closures Score (Normalized, Unweighted)]]*$X$3</f>
        <v>0</v>
      </c>
      <c r="AA1536" s="253">
        <f>_xlfn.XLOOKUP(FME_Ranking1[[#This Row],[FME ID]],FME_Input[FME_ID],FME_Input[ROAD_MILES100])</f>
        <v>2.2962040901184082</v>
      </c>
      <c r="AB1536" s="178">
        <f>(FME_Ranking1[[#This Row],[Miles Raw]]/$AA$2)*100</f>
        <v>3.0190965349677128E-2</v>
      </c>
      <c r="AC1536" s="178">
        <f>FME_Ranking1[[#This Row],[Miles Score (Normalized, Unweighted)]]*$AA$3</f>
        <v>3.0190965349677131E-3</v>
      </c>
      <c r="AD1536" s="255">
        <f>_xlfn.XLOOKUP(FME_Ranking1[[#This Row],[FME ID]],FME_Input[FME_ID],FME_Input[FARMACRE100])</f>
        <v>58.537570953369141</v>
      </c>
      <c r="AE1536" s="230">
        <f>(FME_Ranking1[[#This Row],[Ag Land Raw]]/$AD$2)*100</f>
        <v>2.4138273824645994E-3</v>
      </c>
      <c r="AF1536" s="231">
        <f>FME_Ranking1[[#This Row],[Ag Land Score (Normalized, Unweighted)]]*$AD$3</f>
        <v>1.2069136912322997E-4</v>
      </c>
      <c r="AG153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2.1623791567188813E-2</v>
      </c>
      <c r="AH1536" s="406">
        <f t="shared" si="23"/>
        <v>1562</v>
      </c>
      <c r="AI153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2.1623791567188813E-2</v>
      </c>
      <c r="AJ1536" s="257">
        <f>FME_Ranking1[[#This Row],[Addition check]]-FME_Ranking1[[#This Row],[Weighted Score Based on Normalized Reported Factors]]</f>
        <v>0</v>
      </c>
      <c r="AK1536" s="178">
        <f>_xlfn.RANK.EQ(AI1536,$AI$6:$AI$2341,0)+COUNTIF($AI$6:AI1536,AI1536)-1</f>
        <v>1562</v>
      </c>
    </row>
    <row r="1537" spans="1:37" x14ac:dyDescent="0.25">
      <c r="A1537" t="s">
        <v>7403</v>
      </c>
      <c r="B1537">
        <f>_xlfn.XLOOKUP(FME_Ranking1[[#This Row],[FME ID]],FME_Input[FME_ID],FME_Input[RFPG_NUM])</f>
        <v>7</v>
      </c>
      <c r="C1537" t="str">
        <f>_xlfn.XLOOKUP(FME_Ranking1[[#This Row],[FME ID]],FME_Input[FME_ID],FME_Input[FME_NAME])</f>
        <v>City of Lubbock Clovis and Quaker</v>
      </c>
      <c r="D1537" t="str">
        <f>_xlfn.XLOOKUP(FME_Ranking1[[#This Row],[FME ID]],FME_Input[FME_ID],FME_Input[DESCR])</f>
        <v>Clovis and Quaker Area of Interest</v>
      </c>
      <c r="E1537" s="256">
        <f>_xlfn.XLOOKUP(FME_Ranking1[[#This Row],[FME ID]],FME_Input[FME_ID],FME_Input[FME_COST])</f>
        <v>100000</v>
      </c>
      <c r="F1537" t="str">
        <f>_xlfn.XLOOKUP(FME_Ranking1[[#This Row],[FME ID]],FME_Input[FME_ID],FME_Input[EMER_NEED])</f>
        <v>No</v>
      </c>
      <c r="G1537">
        <f>IF(FME_Ranking!F1537="Yes",100,0)</f>
        <v>0</v>
      </c>
      <c r="H1537">
        <f>FME_Ranking1[[#This Row],[Emergency Need Score (Normalized, Unweighted)]]*$F$3</f>
        <v>0</v>
      </c>
      <c r="I1537" s="246">
        <f>_xlfn.XLOOKUP(FME_Ranking1[[#This Row],[FME ID]],FME_Input[FME_ID],FME_Input[STRUCT_100])</f>
        <v>100</v>
      </c>
      <c r="J1537" s="178">
        <f>(FME_Ranking1[[#This Row],[Structures 100 Raw]]/I$2)*100</f>
        <v>5.3549243884676342E-2</v>
      </c>
      <c r="K1537" s="178">
        <f>FME_Ranking1[[#This Row],[Structures 100  Score (Normalized, Unweighted)]]*$I$3</f>
        <v>8.0323865827014503E-3</v>
      </c>
      <c r="L1537" s="246">
        <f>_xlfn.XLOOKUP(FME_Ranking1[[#This Row],[FME ID]],FME_Input[FME_ID],FME_Input[RES_STRUCT100])</f>
        <v>54</v>
      </c>
      <c r="M1537" s="230">
        <f>(FME_Ranking1[[#This Row],[Res Structures Raw]]/L$2)*100</f>
        <v>3.8248501933674267E-2</v>
      </c>
      <c r="N1537" s="180">
        <f>FME_Ranking1[[#This Row],[Res Structures Score (Normalized, Unweighted)]]*$L$3</f>
        <v>3.824850193367427E-3</v>
      </c>
      <c r="O1537" s="244">
        <f>_xlfn.XLOOKUP(FME_Ranking1[[#This Row],[FME ID]],FME_Input[FME_ID],FME_Input[POP100])</f>
        <v>322</v>
      </c>
      <c r="P1537" s="178">
        <f>(FME_Ranking1[[#This Row],[Pop Raw]]/$O$2)*100</f>
        <v>3.2964850460381778E-2</v>
      </c>
      <c r="Q1537" s="178">
        <f>FME_Ranking1[[#This Row],[Pop Score (Normalized, Unweighted)]]*$O$3</f>
        <v>4.9447275690572669E-3</v>
      </c>
      <c r="R1537" s="137">
        <f>_xlfn.XLOOKUP(FME_Ranking1[[#This Row],[FME ID]],FME_Input[FME_ID],FME_Input[CRITFAC100])</f>
        <v>0</v>
      </c>
      <c r="S1537" s="230">
        <f>(FME_Ranking1[[#This Row],[Critical Facilities Raw]]/$R$2)*100</f>
        <v>0</v>
      </c>
      <c r="T1537" s="180">
        <f>FME_Ranking1[[#This Row],[Critical Facilities Score (Normalized, Unweighted)]]*$R$3</f>
        <v>0</v>
      </c>
      <c r="U1537">
        <f>_xlfn.XLOOKUP(FME_Ranking1[[#This Row],[FME ID]],FME_Input[FME_ID],FME_Input[LWC])</f>
        <v>0</v>
      </c>
      <c r="V1537" s="178">
        <f>(FME_Ranking1[[#This Row],[LWC Raw]]/$U$2)*100</f>
        <v>0</v>
      </c>
      <c r="W1537" s="178">
        <f>FME_Ranking1[[#This Row],[LWC Score (Normalized, Unweighted)]]*$U$3</f>
        <v>0</v>
      </c>
      <c r="X1537" s="246">
        <f>_xlfn.XLOOKUP(FME_Ranking1[[#This Row],[FME ID]],FME_Input[FME_ID],FME_Input[ROADCLS])</f>
        <v>0</v>
      </c>
      <c r="Y1537" s="230">
        <f>(FME_Ranking1[[#This Row],[Closures Raw]]/$X$2)*100</f>
        <v>0</v>
      </c>
      <c r="Z1537" s="180">
        <f>FME_Ranking1[[#This Row],[Closures Score (Normalized, Unweighted)]]*$X$3</f>
        <v>0</v>
      </c>
      <c r="AA1537" s="253">
        <f>_xlfn.XLOOKUP(FME_Ranking1[[#This Row],[FME ID]],FME_Input[FME_ID],FME_Input[ROAD_MILES100])</f>
        <v>3.316250324249268</v>
      </c>
      <c r="AB1537" s="178">
        <f>(FME_Ranking1[[#This Row],[Miles Raw]]/$AA$2)*100</f>
        <v>4.3602743789687384E-2</v>
      </c>
      <c r="AC1537" s="178">
        <f>FME_Ranking1[[#This Row],[Miles Score (Normalized, Unweighted)]]*$AA$3</f>
        <v>4.3602743789687383E-3</v>
      </c>
      <c r="AD1537" s="255">
        <f>_xlfn.XLOOKUP(FME_Ranking1[[#This Row],[FME ID]],FME_Input[FME_ID],FME_Input[FARMACRE100])</f>
        <v>865.73687744140625</v>
      </c>
      <c r="AE1537" s="230">
        <f>(FME_Ranking1[[#This Row],[Ag Land Raw]]/$AD$2)*100</f>
        <v>3.5699113351357635E-2</v>
      </c>
      <c r="AF1537" s="231">
        <f>FME_Ranking1[[#This Row],[Ag Land Score (Normalized, Unweighted)]]*$AD$3</f>
        <v>1.7849556675678818E-3</v>
      </c>
      <c r="AG153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2.2947194391662765E-2</v>
      </c>
      <c r="AH1537" s="406">
        <f t="shared" si="23"/>
        <v>1544</v>
      </c>
      <c r="AI153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2.2947194391662765E-2</v>
      </c>
      <c r="AJ1537" s="257">
        <f>FME_Ranking1[[#This Row],[Addition check]]-FME_Ranking1[[#This Row],[Weighted Score Based on Normalized Reported Factors]]</f>
        <v>0</v>
      </c>
      <c r="AK1537" s="178">
        <f>_xlfn.RANK.EQ(AI1537,$AI$6:$AI$2341,0)+COUNTIF($AI$6:AI1537,AI1537)-1</f>
        <v>1544</v>
      </c>
    </row>
    <row r="1538" spans="1:37" x14ac:dyDescent="0.25">
      <c r="A1538" t="s">
        <v>4220</v>
      </c>
      <c r="B1538">
        <f>_xlfn.XLOOKUP(FME_Ranking1[[#This Row],[FME ID]],FME_Input[FME_ID],FME_Input[RFPG_NUM])</f>
        <v>3</v>
      </c>
      <c r="C1538" t="str">
        <f>_xlfn.XLOOKUP(FME_Ranking1[[#This Row],[FME ID]],FME_Input[FME_ID],FME_Input[FME_NAME])</f>
        <v>City of Decatur DMP</v>
      </c>
      <c r="D1538" t="str">
        <f>_xlfn.XLOOKUP(FME_Ranking1[[#This Row],[FME ID]],FME_Input[FME_ID],FME_Input[DESCR])</f>
        <v>Evaluate City and identify future projects.</v>
      </c>
      <c r="E1538" s="256">
        <f>_xlfn.XLOOKUP(FME_Ranking1[[#This Row],[FME ID]],FME_Input[FME_ID],FME_Input[FME_COST])</f>
        <v>250000</v>
      </c>
      <c r="F1538" t="str">
        <f>_xlfn.XLOOKUP(FME_Ranking1[[#This Row],[FME ID]],FME_Input[FME_ID],FME_Input[EMER_NEED])</f>
        <v>No</v>
      </c>
      <c r="G1538">
        <f>IF(FME_Ranking!F1538="Yes",100,0)</f>
        <v>0</v>
      </c>
      <c r="H1538">
        <f>FME_Ranking1[[#This Row],[Emergency Need Score (Normalized, Unweighted)]]*$F$3</f>
        <v>0</v>
      </c>
      <c r="I1538" s="246">
        <f>_xlfn.XLOOKUP(FME_Ranking1[[#This Row],[FME ID]],FME_Input[FME_ID],FME_Input[STRUCT_100])</f>
        <v>34</v>
      </c>
      <c r="J1538" s="178">
        <f>(FME_Ranking1[[#This Row],[Structures 100 Raw]]/I$2)*100</f>
        <v>1.820674292078996E-2</v>
      </c>
      <c r="K1538" s="178">
        <f>FME_Ranking1[[#This Row],[Structures 100  Score (Normalized, Unweighted)]]*$I$3</f>
        <v>2.7310114381184939E-3</v>
      </c>
      <c r="L1538" s="246">
        <f>_xlfn.XLOOKUP(FME_Ranking1[[#This Row],[FME ID]],FME_Input[FME_ID],FME_Input[RES_STRUCT100])</f>
        <v>25</v>
      </c>
      <c r="M1538" s="230">
        <f>(FME_Ranking1[[#This Row],[Res Structures Raw]]/L$2)*100</f>
        <v>1.7707639784108456E-2</v>
      </c>
      <c r="N1538" s="180">
        <f>FME_Ranking1[[#This Row],[Res Structures Score (Normalized, Unweighted)]]*$L$3</f>
        <v>1.7707639784108457E-3</v>
      </c>
      <c r="O1538" s="244">
        <f>_xlfn.XLOOKUP(FME_Ranking1[[#This Row],[FME ID]],FME_Input[FME_ID],FME_Input[POP100])</f>
        <v>298</v>
      </c>
      <c r="P1538" s="178">
        <f>(FME_Ranking1[[#This Row],[Pop Raw]]/$O$2)*100</f>
        <v>3.050784297265146E-2</v>
      </c>
      <c r="Q1538" s="178">
        <f>FME_Ranking1[[#This Row],[Pop Score (Normalized, Unweighted)]]*$O$3</f>
        <v>4.5761764458977184E-3</v>
      </c>
      <c r="R1538" s="137">
        <f>_xlfn.XLOOKUP(FME_Ranking1[[#This Row],[FME ID]],FME_Input[FME_ID],FME_Input[CRITFAC100])</f>
        <v>1</v>
      </c>
      <c r="S1538" s="230">
        <f>(FME_Ranking1[[#This Row],[Critical Facilities Raw]]/$R$2)*100</f>
        <v>4.2881646655231559E-2</v>
      </c>
      <c r="T1538" s="180">
        <f>FME_Ranking1[[#This Row],[Critical Facilities Score (Normalized, Unweighted)]]*$R$3</f>
        <v>8.5763293310463125E-3</v>
      </c>
      <c r="U1538">
        <f>_xlfn.XLOOKUP(FME_Ranking1[[#This Row],[FME ID]],FME_Input[FME_ID],FME_Input[LWC])</f>
        <v>0</v>
      </c>
      <c r="V1538" s="178">
        <f>(FME_Ranking1[[#This Row],[LWC Raw]]/$U$2)*100</f>
        <v>0</v>
      </c>
      <c r="W1538" s="178">
        <f>FME_Ranking1[[#This Row],[LWC Score (Normalized, Unweighted)]]*$U$3</f>
        <v>0</v>
      </c>
      <c r="X1538" s="246">
        <f>_xlfn.XLOOKUP(FME_Ranking1[[#This Row],[FME ID]],FME_Input[FME_ID],FME_Input[ROADCLS])</f>
        <v>0</v>
      </c>
      <c r="Y1538" s="230">
        <f>(FME_Ranking1[[#This Row],[Closures Raw]]/$X$2)*100</f>
        <v>0</v>
      </c>
      <c r="Z1538" s="180">
        <f>FME_Ranking1[[#This Row],[Closures Score (Normalized, Unweighted)]]*$X$3</f>
        <v>0</v>
      </c>
      <c r="AA1538" s="253">
        <f>_xlfn.XLOOKUP(FME_Ranking1[[#This Row],[FME ID]],FME_Input[FME_ID],FME_Input[ROAD_MILES100])</f>
        <v>2.5955829620361328</v>
      </c>
      <c r="AB1538" s="178">
        <f>(FME_Ranking1[[#This Row],[Miles Raw]]/$AA$2)*100</f>
        <v>3.4127260554180208E-2</v>
      </c>
      <c r="AC1538" s="178">
        <f>FME_Ranking1[[#This Row],[Miles Score (Normalized, Unweighted)]]*$AA$3</f>
        <v>3.4127260554180209E-3</v>
      </c>
      <c r="AD1538" s="255">
        <f>_xlfn.XLOOKUP(FME_Ranking1[[#This Row],[FME ID]],FME_Input[FME_ID],FME_Input[FARMACRE100])</f>
        <v>114.79599761962891</v>
      </c>
      <c r="AE1538" s="230">
        <f>(FME_Ranking1[[#This Row],[Ag Land Raw]]/$AD$2)*100</f>
        <v>4.7336730571266184E-3</v>
      </c>
      <c r="AF1538" s="231">
        <f>FME_Ranking1[[#This Row],[Ag Land Score (Normalized, Unweighted)]]*$AD$3</f>
        <v>2.3668365285633094E-4</v>
      </c>
      <c r="AG153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2.1303690901747722E-2</v>
      </c>
      <c r="AH1538" s="406">
        <f t="shared" si="23"/>
        <v>1568</v>
      </c>
      <c r="AI153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2.1303690901747722E-2</v>
      </c>
      <c r="AJ1538" s="257">
        <f>FME_Ranking1[[#This Row],[Addition check]]-FME_Ranking1[[#This Row],[Weighted Score Based on Normalized Reported Factors]]</f>
        <v>0</v>
      </c>
      <c r="AK1538" s="178">
        <f>_xlfn.RANK.EQ(AI1538,$AI$6:$AI$2341,0)+COUNTIF($AI$6:AI1538,AI1538)-1</f>
        <v>1568</v>
      </c>
    </row>
    <row r="1539" spans="1:37" x14ac:dyDescent="0.25">
      <c r="A1539" t="s">
        <v>11449</v>
      </c>
      <c r="B1539">
        <f>_xlfn.XLOOKUP(FME_Ranking1[[#This Row],[FME ID]],FME_Input[FME_ID],FME_Input[RFPG_NUM])</f>
        <v>15</v>
      </c>
      <c r="C1539" t="str">
        <f>_xlfn.XLOOKUP(FME_Ranking1[[#This Row],[FME ID]],FME_Input[FME_ID],FME_Input[FME_NAME])</f>
        <v>Weslaco Stormwater Improvement Plan - South International Boulevard and Business 83</v>
      </c>
      <c r="D1539" t="str">
        <f>_xlfn.XLOOKUP(FME_Ranking1[[#This Row],[FME ID]],FME_Input[FME_ID],FME_Input[DESCR])</f>
        <v>Replacement of 48 – inch culverts at two roadway crossings with 6’ x 4’ RCBs.</v>
      </c>
      <c r="E1539" s="256">
        <f>_xlfn.XLOOKUP(FME_Ranking1[[#This Row],[FME ID]],FME_Input[FME_ID],FME_Input[FME_COST])</f>
        <v>14071.2001953125</v>
      </c>
      <c r="F1539" t="str">
        <f>_xlfn.XLOOKUP(FME_Ranking1[[#This Row],[FME ID]],FME_Input[FME_ID],FME_Input[EMER_NEED])</f>
        <v>Yes</v>
      </c>
      <c r="G1539">
        <f>IF(FME_Ranking!F1539="Yes",100,0)</f>
        <v>100</v>
      </c>
      <c r="H1539">
        <f>FME_Ranking1[[#This Row],[Emergency Need Score (Normalized, Unweighted)]]*$F$3</f>
        <v>0</v>
      </c>
      <c r="I1539" s="246">
        <f>_xlfn.XLOOKUP(FME_Ranking1[[#This Row],[FME ID]],FME_Input[FME_ID],FME_Input[STRUCT_100])</f>
        <v>0</v>
      </c>
      <c r="J1539" s="178">
        <f>(FME_Ranking1[[#This Row],[Structures 100 Raw]]/I$2)*100</f>
        <v>0</v>
      </c>
      <c r="K1539" s="178">
        <f>FME_Ranking1[[#This Row],[Structures 100  Score (Normalized, Unweighted)]]*$I$3</f>
        <v>0</v>
      </c>
      <c r="L1539" s="246">
        <f>_xlfn.XLOOKUP(FME_Ranking1[[#This Row],[FME ID]],FME_Input[FME_ID],FME_Input[RES_STRUCT100])</f>
        <v>183</v>
      </c>
      <c r="M1539" s="230">
        <f>(FME_Ranking1[[#This Row],[Res Structures Raw]]/L$2)*100</f>
        <v>0.12961992321967389</v>
      </c>
      <c r="N1539" s="180">
        <f>FME_Ranking1[[#This Row],[Res Structures Score (Normalized, Unweighted)]]*$L$3</f>
        <v>1.2961992321967389E-2</v>
      </c>
      <c r="O1539" s="244">
        <f>_xlfn.XLOOKUP(FME_Ranking1[[#This Row],[FME ID]],FME_Input[FME_ID],FME_Input[POP100])</f>
        <v>310</v>
      </c>
      <c r="P1539" s="178">
        <f>(FME_Ranking1[[#This Row],[Pop Raw]]/$O$2)*100</f>
        <v>3.1736346716516615E-2</v>
      </c>
      <c r="Q1539" s="178">
        <f>FME_Ranking1[[#This Row],[Pop Score (Normalized, Unweighted)]]*$O$3</f>
        <v>4.7604520074774918E-3</v>
      </c>
      <c r="R1539" s="137">
        <f>_xlfn.XLOOKUP(FME_Ranking1[[#This Row],[FME ID]],FME_Input[FME_ID],FME_Input[CRITFAC100])</f>
        <v>0</v>
      </c>
      <c r="S1539" s="230">
        <f>(FME_Ranking1[[#This Row],[Critical Facilities Raw]]/$R$2)*100</f>
        <v>0</v>
      </c>
      <c r="T1539" s="180">
        <f>FME_Ranking1[[#This Row],[Critical Facilities Score (Normalized, Unweighted)]]*$R$3</f>
        <v>0</v>
      </c>
      <c r="U1539">
        <f>_xlfn.XLOOKUP(FME_Ranking1[[#This Row],[FME ID]],FME_Input[FME_ID],FME_Input[LWC])</f>
        <v>0</v>
      </c>
      <c r="V1539" s="178">
        <f>(FME_Ranking1[[#This Row],[LWC Raw]]/$U$2)*100</f>
        <v>0</v>
      </c>
      <c r="W1539" s="178">
        <f>FME_Ranking1[[#This Row],[LWC Score (Normalized, Unweighted)]]*$U$3</f>
        <v>0</v>
      </c>
      <c r="X1539" s="246">
        <f>_xlfn.XLOOKUP(FME_Ranking1[[#This Row],[FME ID]],FME_Input[FME_ID],FME_Input[ROADCLS])</f>
        <v>0</v>
      </c>
      <c r="Y1539" s="230">
        <f>(FME_Ranking1[[#This Row],[Closures Raw]]/$X$2)*100</f>
        <v>0</v>
      </c>
      <c r="Z1539" s="180">
        <f>FME_Ranking1[[#This Row],[Closures Score (Normalized, Unweighted)]]*$X$3</f>
        <v>0</v>
      </c>
      <c r="AA1539" s="253">
        <f>_xlfn.XLOOKUP(FME_Ranking1[[#This Row],[FME ID]],FME_Input[FME_ID],FME_Input[ROAD_MILES100])</f>
        <v>4.5475401878356934</v>
      </c>
      <c r="AB1539" s="178">
        <f>(FME_Ranking1[[#This Row],[Miles Raw]]/$AA$2)*100</f>
        <v>5.9791997073801818E-2</v>
      </c>
      <c r="AC1539" s="178">
        <f>FME_Ranking1[[#This Row],[Miles Score (Normalized, Unweighted)]]*$AA$3</f>
        <v>5.9791997073801824E-3</v>
      </c>
      <c r="AD1539" s="255">
        <f>_xlfn.XLOOKUP(FME_Ranking1[[#This Row],[FME ID]],FME_Input[FME_ID],FME_Input[FARMACRE100])</f>
        <v>0</v>
      </c>
      <c r="AE1539" s="230">
        <f>(FME_Ranking1[[#This Row],[Ag Land Raw]]/$AD$2)*100</f>
        <v>0</v>
      </c>
      <c r="AF1539" s="231">
        <f>FME_Ranking1[[#This Row],[Ag Land Score (Normalized, Unweighted)]]*$AD$3</f>
        <v>0</v>
      </c>
      <c r="AG153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2.3701644036825065E-2</v>
      </c>
      <c r="AH1539" s="406">
        <f t="shared" si="23"/>
        <v>1535</v>
      </c>
      <c r="AI153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2.3701644036825065E-2</v>
      </c>
      <c r="AJ1539" s="257">
        <f>FME_Ranking1[[#This Row],[Addition check]]-FME_Ranking1[[#This Row],[Weighted Score Based on Normalized Reported Factors]]</f>
        <v>0</v>
      </c>
      <c r="AK1539" s="178">
        <f>_xlfn.RANK.EQ(AI1539,$AI$6:$AI$2341,0)+COUNTIF($AI$6:AI1539,AI1539)-1</f>
        <v>1535</v>
      </c>
    </row>
    <row r="1540" spans="1:37" x14ac:dyDescent="0.25">
      <c r="A1540" t="s">
        <v>6186</v>
      </c>
      <c r="B1540">
        <f>_xlfn.XLOOKUP(FME_Ranking1[[#This Row],[FME ID]],FME_Input[FME_ID],FME_Input[RFPG_NUM])</f>
        <v>5</v>
      </c>
      <c r="C1540" t="str">
        <f>_xlfn.XLOOKUP(FME_Ranking1[[#This Row],[FME ID]],FME_Input[FME_ID],FME_Input[FME_NAME])</f>
        <v>City of Whitehouse Master Drainage Plan</v>
      </c>
      <c r="D1540"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1540" s="256">
        <f>_xlfn.XLOOKUP(FME_Ranking1[[#This Row],[FME ID]],FME_Input[FME_ID],FME_Input[FME_COST])</f>
        <v>150000</v>
      </c>
      <c r="F1540" t="str">
        <f>_xlfn.XLOOKUP(FME_Ranking1[[#This Row],[FME ID]],FME_Input[FME_ID],FME_Input[EMER_NEED])</f>
        <v>Yes</v>
      </c>
      <c r="G1540">
        <f>IF(FME_Ranking!F1540="Yes",100,0)</f>
        <v>100</v>
      </c>
      <c r="H1540">
        <f>FME_Ranking1[[#This Row],[Emergency Need Score (Normalized, Unweighted)]]*$F$3</f>
        <v>0</v>
      </c>
      <c r="I1540" s="246">
        <f>_xlfn.XLOOKUP(FME_Ranking1[[#This Row],[FME ID]],FME_Input[FME_ID],FME_Input[STRUCT_100])</f>
        <v>36</v>
      </c>
      <c r="J1540" s="178">
        <f>(FME_Ranking1[[#This Row],[Structures 100 Raw]]/I$2)*100</f>
        <v>1.9277727798483486E-2</v>
      </c>
      <c r="K1540" s="178">
        <f>FME_Ranking1[[#This Row],[Structures 100  Score (Normalized, Unweighted)]]*$I$3</f>
        <v>2.8916591697725228E-3</v>
      </c>
      <c r="L1540" s="246">
        <f>_xlfn.XLOOKUP(FME_Ranking1[[#This Row],[FME ID]],FME_Input[FME_ID],FME_Input[RES_STRUCT100])</f>
        <v>18</v>
      </c>
      <c r="M1540" s="230">
        <f>(FME_Ranking1[[#This Row],[Res Structures Raw]]/L$2)*100</f>
        <v>1.2749500644558088E-2</v>
      </c>
      <c r="N1540" s="180">
        <f>FME_Ranking1[[#This Row],[Res Structures Score (Normalized, Unweighted)]]*$L$3</f>
        <v>1.2749500644558089E-3</v>
      </c>
      <c r="O1540" s="244">
        <f>_xlfn.XLOOKUP(FME_Ranking1[[#This Row],[FME ID]],FME_Input[FME_ID],FME_Input[POP100])</f>
        <v>97</v>
      </c>
      <c r="P1540" s="178">
        <f>(FME_Ranking1[[#This Row],[Pop Raw]]/$O$2)*100</f>
        <v>9.930405262910039E-3</v>
      </c>
      <c r="Q1540" s="178">
        <f>FME_Ranking1[[#This Row],[Pop Score (Normalized, Unweighted)]]*$O$3</f>
        <v>1.4895607894365058E-3</v>
      </c>
      <c r="R1540" s="137">
        <f>_xlfn.XLOOKUP(FME_Ranking1[[#This Row],[FME ID]],FME_Input[FME_ID],FME_Input[CRITFAC100])</f>
        <v>0</v>
      </c>
      <c r="S1540" s="230">
        <f>(FME_Ranking1[[#This Row],[Critical Facilities Raw]]/$R$2)*100</f>
        <v>0</v>
      </c>
      <c r="T1540" s="180">
        <f>FME_Ranking1[[#This Row],[Critical Facilities Score (Normalized, Unweighted)]]*$R$3</f>
        <v>0</v>
      </c>
      <c r="U1540">
        <f>_xlfn.XLOOKUP(FME_Ranking1[[#This Row],[FME ID]],FME_Input[FME_ID],FME_Input[LWC])</f>
        <v>1</v>
      </c>
      <c r="V1540" s="178">
        <f>(FME_Ranking1[[#This Row],[LWC Raw]]/$U$2)*100</f>
        <v>5.7570523891767422E-2</v>
      </c>
      <c r="W1540" s="178">
        <f>FME_Ranking1[[#This Row],[LWC Score (Normalized, Unweighted)]]*$U$3</f>
        <v>1.1514104778353485E-2</v>
      </c>
      <c r="X1540" s="246">
        <f>_xlfn.XLOOKUP(FME_Ranking1[[#This Row],[FME ID]],FME_Input[FME_ID],FME_Input[ROADCLS])</f>
        <v>1</v>
      </c>
      <c r="Y1540" s="230">
        <f>(FME_Ranking1[[#This Row],[Closures Raw]]/$X$2)*100</f>
        <v>1.0514141520344864E-2</v>
      </c>
      <c r="Z1540" s="180">
        <f>FME_Ranking1[[#This Row],[Closures Score (Normalized, Unweighted)]]*$X$3</f>
        <v>5.2570707601724321E-4</v>
      </c>
      <c r="AA1540" s="253">
        <f>_xlfn.XLOOKUP(FME_Ranking1[[#This Row],[FME ID]],FME_Input[FME_ID],FME_Input[ROAD_MILES100])</f>
        <v>0.73146384954452515</v>
      </c>
      <c r="AB1540" s="178">
        <f>(FME_Ranking1[[#This Row],[Miles Raw]]/$AA$2)*100</f>
        <v>9.61743767950584E-3</v>
      </c>
      <c r="AC1540" s="178">
        <f>FME_Ranking1[[#This Row],[Miles Score (Normalized, Unweighted)]]*$AA$3</f>
        <v>9.6174376795058402E-4</v>
      </c>
      <c r="AD1540" s="255">
        <f>_xlfn.XLOOKUP(FME_Ranking1[[#This Row],[FME ID]],FME_Input[FME_ID],FME_Input[FARMACRE100])</f>
        <v>1.548403382301331</v>
      </c>
      <c r="AE1540" s="230">
        <f>(FME_Ranking1[[#This Row],[Ag Land Raw]]/$AD$2)*100</f>
        <v>6.3849224052653266E-5</v>
      </c>
      <c r="AF1540" s="231">
        <f>FME_Ranking1[[#This Row],[Ag Land Score (Normalized, Unweighted)]]*$AD$3</f>
        <v>3.1924612026326633E-6</v>
      </c>
      <c r="AG154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1.8660918107188784E-2</v>
      </c>
      <c r="AH1540" s="406">
        <f t="shared" si="23"/>
        <v>1589</v>
      </c>
      <c r="AI154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1.8660918107188784E-2</v>
      </c>
      <c r="AJ1540" s="257">
        <f>FME_Ranking1[[#This Row],[Addition check]]-FME_Ranking1[[#This Row],[Weighted Score Based on Normalized Reported Factors]]</f>
        <v>0</v>
      </c>
      <c r="AK1540" s="178">
        <f>_xlfn.RANK.EQ(AI1540,$AI$6:$AI$2341,0)+COUNTIF($AI$6:AI1540,AI1540)-1</f>
        <v>1589</v>
      </c>
    </row>
    <row r="1541" spans="1:37" x14ac:dyDescent="0.25">
      <c r="A1541" t="s">
        <v>3376</v>
      </c>
      <c r="B1541">
        <f>_xlfn.XLOOKUP(FME_Ranking1[[#This Row],[FME ID]],FME_Input[FME_ID],FME_Input[RFPG_NUM])</f>
        <v>1</v>
      </c>
      <c r="C1541" t="str">
        <f>_xlfn.XLOOKUP(FME_Ranking1[[#This Row],[FME ID]],FME_Input[FME_ID],FME_Input[FME_NAME])</f>
        <v>Playa 4 Watershed Study (City of Amarillo)</v>
      </c>
      <c r="D1541" t="str">
        <f>_xlfn.XLOOKUP(FME_Ranking1[[#This Row],[FME ID]],FME_Input[FME_ID],FME_Input[DESCR])</f>
        <v>Perform H&amp;H modeling, develop conceptual alternatives and OPCC, and rank projects. Marked as high priority in 2019 Amarillo DMP</v>
      </c>
      <c r="E1541" s="256">
        <f>_xlfn.XLOOKUP(FME_Ranking1[[#This Row],[FME ID]],FME_Input[FME_ID],FME_Input[FME_COST])</f>
        <v>431000</v>
      </c>
      <c r="F1541" t="str">
        <f>_xlfn.XLOOKUP(FME_Ranking1[[#This Row],[FME ID]],FME_Input[FME_ID],FME_Input[EMER_NEED])</f>
        <v>No</v>
      </c>
      <c r="G1541">
        <f>IF(FME_Ranking!F1541="Yes",100,0)</f>
        <v>0</v>
      </c>
      <c r="H1541">
        <f>FME_Ranking1[[#This Row],[Emergency Need Score (Normalized, Unweighted)]]*$F$3</f>
        <v>0</v>
      </c>
      <c r="I1541" s="246">
        <f>_xlfn.XLOOKUP(FME_Ranking1[[#This Row],[FME ID]],FME_Input[FME_ID],FME_Input[STRUCT_100])</f>
        <v>87</v>
      </c>
      <c r="J1541" s="178">
        <f>(FME_Ranking1[[#This Row],[Structures 100 Raw]]/I$2)*100</f>
        <v>4.6587842179668423E-2</v>
      </c>
      <c r="K1541" s="178">
        <f>FME_Ranking1[[#This Row],[Structures 100  Score (Normalized, Unweighted)]]*$I$3</f>
        <v>6.9881763269502633E-3</v>
      </c>
      <c r="L1541" s="246">
        <f>_xlfn.XLOOKUP(FME_Ranking1[[#This Row],[FME ID]],FME_Input[FME_ID],FME_Input[RES_STRUCT100])</f>
        <v>87</v>
      </c>
      <c r="M1541" s="230">
        <f>(FME_Ranking1[[#This Row],[Res Structures Raw]]/L$2)*100</f>
        <v>6.1622586448697426E-2</v>
      </c>
      <c r="N1541" s="180">
        <f>FME_Ranking1[[#This Row],[Res Structures Score (Normalized, Unweighted)]]*$L$3</f>
        <v>6.162258644869743E-3</v>
      </c>
      <c r="O1541" s="244">
        <f>_xlfn.XLOOKUP(FME_Ranking1[[#This Row],[FME ID]],FME_Input[FME_ID],FME_Input[POP100])</f>
        <v>280</v>
      </c>
      <c r="P1541" s="178">
        <f>(FME_Ranking1[[#This Row],[Pop Raw]]/$O$2)*100</f>
        <v>2.8665087356853722E-2</v>
      </c>
      <c r="Q1541" s="178">
        <f>FME_Ranking1[[#This Row],[Pop Score (Normalized, Unweighted)]]*$O$3</f>
        <v>4.2997631035280584E-3</v>
      </c>
      <c r="R1541" s="137">
        <f>_xlfn.XLOOKUP(FME_Ranking1[[#This Row],[FME ID]],FME_Input[FME_ID],FME_Input[CRITFAC100])</f>
        <v>0</v>
      </c>
      <c r="S1541" s="230">
        <f>(FME_Ranking1[[#This Row],[Critical Facilities Raw]]/$R$2)*100</f>
        <v>0</v>
      </c>
      <c r="T1541" s="180">
        <f>FME_Ranking1[[#This Row],[Critical Facilities Score (Normalized, Unweighted)]]*$R$3</f>
        <v>0</v>
      </c>
      <c r="U1541">
        <f>_xlfn.XLOOKUP(FME_Ranking1[[#This Row],[FME ID]],FME_Input[FME_ID],FME_Input[LWC])</f>
        <v>0</v>
      </c>
      <c r="V1541" s="178">
        <f>(FME_Ranking1[[#This Row],[LWC Raw]]/$U$2)*100</f>
        <v>0</v>
      </c>
      <c r="W1541" s="178">
        <f>FME_Ranking1[[#This Row],[LWC Score (Normalized, Unweighted)]]*$U$3</f>
        <v>0</v>
      </c>
      <c r="X1541" s="246">
        <f>_xlfn.XLOOKUP(FME_Ranking1[[#This Row],[FME ID]],FME_Input[FME_ID],FME_Input[ROADCLS])</f>
        <v>0</v>
      </c>
      <c r="Y1541" s="230">
        <f>(FME_Ranking1[[#This Row],[Closures Raw]]/$X$2)*100</f>
        <v>0</v>
      </c>
      <c r="Z1541" s="180">
        <f>FME_Ranking1[[#This Row],[Closures Score (Normalized, Unweighted)]]*$X$3</f>
        <v>0</v>
      </c>
      <c r="AA1541" s="253">
        <f>_xlfn.XLOOKUP(FME_Ranking1[[#This Row],[FME ID]],FME_Input[FME_ID],FME_Input[ROAD_MILES100])</f>
        <v>2.116379022598267</v>
      </c>
      <c r="AB1541" s="178">
        <f>(FME_Ranking1[[#This Row],[Miles Raw]]/$AA$2)*100</f>
        <v>2.7826588243187445E-2</v>
      </c>
      <c r="AC1541" s="178">
        <f>FME_Ranking1[[#This Row],[Miles Score (Normalized, Unweighted)]]*$AA$3</f>
        <v>2.7826588243187447E-3</v>
      </c>
      <c r="AD1541" s="255">
        <f>_xlfn.XLOOKUP(FME_Ranking1[[#This Row],[FME ID]],FME_Input[FME_ID],FME_Input[FARMACRE100])</f>
        <v>51.514286041259773</v>
      </c>
      <c r="AE1541" s="230">
        <f>(FME_Ranking1[[#This Row],[Ag Land Raw]]/$AD$2)*100</f>
        <v>2.1242185524500299E-3</v>
      </c>
      <c r="AF1541" s="231">
        <f>FME_Ranking1[[#This Row],[Ag Land Score (Normalized, Unweighted)]]*$AD$3</f>
        <v>1.062109276225015E-4</v>
      </c>
      <c r="AG154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2.0339067827289312E-2</v>
      </c>
      <c r="AH1541" s="406">
        <f t="shared" si="23"/>
        <v>1574</v>
      </c>
      <c r="AI154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2.0339067827289312E-2</v>
      </c>
      <c r="AJ1541" s="257">
        <f>FME_Ranking1[[#This Row],[Addition check]]-FME_Ranking1[[#This Row],[Weighted Score Based on Normalized Reported Factors]]</f>
        <v>0</v>
      </c>
      <c r="AK1541" s="178">
        <f>_xlfn.RANK.EQ(AI1541,$AI$6:$AI$2341,0)+COUNTIF($AI$6:AI1541,AI1541)-1</f>
        <v>1574</v>
      </c>
    </row>
    <row r="1542" spans="1:37" x14ac:dyDescent="0.25">
      <c r="A1542" t="s">
        <v>3305</v>
      </c>
      <c r="B1542">
        <f>_xlfn.XLOOKUP(FME_Ranking1[[#This Row],[FME ID]],FME_Input[FME_ID],FME_Input[RFPG_NUM])</f>
        <v>1</v>
      </c>
      <c r="C1542" t="str">
        <f>_xlfn.XLOOKUP(FME_Ranking1[[#This Row],[FME ID]],FME_Input[FME_ID],FME_Input[FME_NAME])</f>
        <v>Playa No. 4 Outfall (City of Amarillo)</v>
      </c>
      <c r="D1542" t="str">
        <f>_xlfn.XLOOKUP(FME_Ranking1[[#This Row],[FME ID]],FME_Input[FME_ID],FME_Input[DESCR])</f>
        <v>Evaluate project to quantify benefits, evaluate impacts and begin design. Improvements to Playa No. 4 Outfall. Project identified from 2019 Amarillo DMP.</v>
      </c>
      <c r="E1542" s="256">
        <f>_xlfn.XLOOKUP(FME_Ranking1[[#This Row],[FME ID]],FME_Input[FME_ID],FME_Input[FME_COST])</f>
        <v>250000</v>
      </c>
      <c r="F1542" t="str">
        <f>_xlfn.XLOOKUP(FME_Ranking1[[#This Row],[FME ID]],FME_Input[FME_ID],FME_Input[EMER_NEED])</f>
        <v>No</v>
      </c>
      <c r="G1542">
        <f>IF(FME_Ranking!F1542="Yes",100,0)</f>
        <v>0</v>
      </c>
      <c r="H1542">
        <f>FME_Ranking1[[#This Row],[Emergency Need Score (Normalized, Unweighted)]]*$F$3</f>
        <v>0</v>
      </c>
      <c r="I1542" s="246">
        <f>_xlfn.XLOOKUP(FME_Ranking1[[#This Row],[FME ID]],FME_Input[FME_ID],FME_Input[STRUCT_100])</f>
        <v>87</v>
      </c>
      <c r="J1542" s="178">
        <f>(FME_Ranking1[[#This Row],[Structures 100 Raw]]/I$2)*100</f>
        <v>4.6587842179668423E-2</v>
      </c>
      <c r="K1542" s="178">
        <f>FME_Ranking1[[#This Row],[Structures 100  Score (Normalized, Unweighted)]]*$I$3</f>
        <v>6.9881763269502633E-3</v>
      </c>
      <c r="L1542" s="246">
        <f>_xlfn.XLOOKUP(FME_Ranking1[[#This Row],[FME ID]],FME_Input[FME_ID],FME_Input[RES_STRUCT100])</f>
        <v>87</v>
      </c>
      <c r="M1542" s="230">
        <f>(FME_Ranking1[[#This Row],[Res Structures Raw]]/L$2)*100</f>
        <v>6.1622586448697426E-2</v>
      </c>
      <c r="N1542" s="180">
        <f>FME_Ranking1[[#This Row],[Res Structures Score (Normalized, Unweighted)]]*$L$3</f>
        <v>6.162258644869743E-3</v>
      </c>
      <c r="O1542" s="244">
        <f>_xlfn.XLOOKUP(FME_Ranking1[[#This Row],[FME ID]],FME_Input[FME_ID],FME_Input[POP100])</f>
        <v>280</v>
      </c>
      <c r="P1542" s="178">
        <f>(FME_Ranking1[[#This Row],[Pop Raw]]/$O$2)*100</f>
        <v>2.8665087356853722E-2</v>
      </c>
      <c r="Q1542" s="178">
        <f>FME_Ranking1[[#This Row],[Pop Score (Normalized, Unweighted)]]*$O$3</f>
        <v>4.2997631035280584E-3</v>
      </c>
      <c r="R1542" s="137">
        <f>_xlfn.XLOOKUP(FME_Ranking1[[#This Row],[FME ID]],FME_Input[FME_ID],FME_Input[CRITFAC100])</f>
        <v>0</v>
      </c>
      <c r="S1542" s="230">
        <f>(FME_Ranking1[[#This Row],[Critical Facilities Raw]]/$R$2)*100</f>
        <v>0</v>
      </c>
      <c r="T1542" s="180">
        <f>FME_Ranking1[[#This Row],[Critical Facilities Score (Normalized, Unweighted)]]*$R$3</f>
        <v>0</v>
      </c>
      <c r="U1542">
        <f>_xlfn.XLOOKUP(FME_Ranking1[[#This Row],[FME ID]],FME_Input[FME_ID],FME_Input[LWC])</f>
        <v>0</v>
      </c>
      <c r="V1542" s="178">
        <f>(FME_Ranking1[[#This Row],[LWC Raw]]/$U$2)*100</f>
        <v>0</v>
      </c>
      <c r="W1542" s="178">
        <f>FME_Ranking1[[#This Row],[LWC Score (Normalized, Unweighted)]]*$U$3</f>
        <v>0</v>
      </c>
      <c r="X1542" s="246">
        <f>_xlfn.XLOOKUP(FME_Ranking1[[#This Row],[FME ID]],FME_Input[FME_ID],FME_Input[ROADCLS])</f>
        <v>0</v>
      </c>
      <c r="Y1542" s="230">
        <f>(FME_Ranking1[[#This Row],[Closures Raw]]/$X$2)*100</f>
        <v>0</v>
      </c>
      <c r="Z1542" s="180">
        <f>FME_Ranking1[[#This Row],[Closures Score (Normalized, Unweighted)]]*$X$3</f>
        <v>0</v>
      </c>
      <c r="AA1542" s="253">
        <f>_xlfn.XLOOKUP(FME_Ranking1[[#This Row],[FME ID]],FME_Input[FME_ID],FME_Input[ROAD_MILES100])</f>
        <v>2.116379022598267</v>
      </c>
      <c r="AB1542" s="178">
        <f>(FME_Ranking1[[#This Row],[Miles Raw]]/$AA$2)*100</f>
        <v>2.7826588243187445E-2</v>
      </c>
      <c r="AC1542" s="178">
        <f>FME_Ranking1[[#This Row],[Miles Score (Normalized, Unweighted)]]*$AA$3</f>
        <v>2.7826588243187447E-3</v>
      </c>
      <c r="AD1542" s="255">
        <f>_xlfn.XLOOKUP(FME_Ranking1[[#This Row],[FME ID]],FME_Input[FME_ID],FME_Input[FARMACRE100])</f>
        <v>51.514202117919922</v>
      </c>
      <c r="AE1542" s="230">
        <f>(FME_Ranking1[[#This Row],[Ag Land Raw]]/$AD$2)*100</f>
        <v>2.1242150918271779E-3</v>
      </c>
      <c r="AF1542" s="231">
        <f>FME_Ranking1[[#This Row],[Ag Land Score (Normalized, Unweighted)]]*$AD$3</f>
        <v>1.062107545913589E-4</v>
      </c>
      <c r="AG154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2.0339067654258171E-2</v>
      </c>
      <c r="AH1542" s="406">
        <f t="shared" ref="AH1542:AH1605" si="24">_xlfn.RANK.EQ(AG1542,$AG$6:$AG$2341,0)</f>
        <v>1575</v>
      </c>
      <c r="AI154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2.0339067654258171E-2</v>
      </c>
      <c r="AJ1542" s="257">
        <f>FME_Ranking1[[#This Row],[Addition check]]-FME_Ranking1[[#This Row],[Weighted Score Based on Normalized Reported Factors]]</f>
        <v>0</v>
      </c>
      <c r="AK1542" s="178">
        <f>_xlfn.RANK.EQ(AI1542,$AI$6:$AI$2341,0)+COUNTIF($AI$6:AI1542,AI1542)-1</f>
        <v>1575</v>
      </c>
    </row>
    <row r="1543" spans="1:37" x14ac:dyDescent="0.25">
      <c r="A1543" t="s">
        <v>10695</v>
      </c>
      <c r="B1543">
        <f>_xlfn.XLOOKUP(FME_Ranking1[[#This Row],[FME ID]],FME_Input[FME_ID],FME_Input[RFPG_NUM])</f>
        <v>13</v>
      </c>
      <c r="C1543" t="str">
        <f>_xlfn.XLOOKUP(FME_Ranking1[[#This Row],[FME ID]],FME_Input[FME_ID],FME_Input[FME_NAME])</f>
        <v>Fulton West  Drainage Improvements</v>
      </c>
      <c r="D1543" t="str">
        <f>_xlfn.XLOOKUP(FME_Ranking1[[#This Row],[FME ID]],FME_Input[FME_ID],FME_Input[DESCR])</f>
        <v>Collection System Improvements include inlets, drain pipes, manholes or junction boxes, collection swales, and connection of the system to existing major drainage outfalls.</v>
      </c>
      <c r="E1543" s="256">
        <f>_xlfn.XLOOKUP(FME_Ranking1[[#This Row],[FME ID]],FME_Input[FME_ID],FME_Input[FME_COST])</f>
        <v>450000</v>
      </c>
      <c r="F1543" t="str">
        <f>_xlfn.XLOOKUP(FME_Ranking1[[#This Row],[FME ID]],FME_Input[FME_ID],FME_Input[EMER_NEED])</f>
        <v>Yes</v>
      </c>
      <c r="G1543">
        <f>IF(FME_Ranking!F1543="Yes",100,0)</f>
        <v>100</v>
      </c>
      <c r="H1543">
        <f>FME_Ranking1[[#This Row],[Emergency Need Score (Normalized, Unweighted)]]*$F$3</f>
        <v>0</v>
      </c>
      <c r="I1543" s="246">
        <f>_xlfn.XLOOKUP(FME_Ranking1[[#This Row],[FME ID]],FME_Input[FME_ID],FME_Input[STRUCT_100])</f>
        <v>25</v>
      </c>
      <c r="J1543" s="178">
        <f>(FME_Ranking1[[#This Row],[Structures 100 Raw]]/I$2)*100</f>
        <v>1.3387310971169086E-2</v>
      </c>
      <c r="K1543" s="178">
        <f>FME_Ranking1[[#This Row],[Structures 100  Score (Normalized, Unweighted)]]*$I$3</f>
        <v>2.0080966456753626E-3</v>
      </c>
      <c r="L1543" s="246">
        <f>_xlfn.XLOOKUP(FME_Ranking1[[#This Row],[FME ID]],FME_Input[FME_ID],FME_Input[RES_STRUCT100])</f>
        <v>14</v>
      </c>
      <c r="M1543" s="230">
        <f>(FME_Ranking1[[#This Row],[Res Structures Raw]]/L$2)*100</f>
        <v>9.9162782791007362E-3</v>
      </c>
      <c r="N1543" s="180">
        <f>FME_Ranking1[[#This Row],[Res Structures Score (Normalized, Unweighted)]]*$L$3</f>
        <v>9.9162782791007375E-4</v>
      </c>
      <c r="O1543" s="244">
        <f>_xlfn.XLOOKUP(FME_Ranking1[[#This Row],[FME ID]],FME_Input[FME_ID],FME_Input[POP100])</f>
        <v>45</v>
      </c>
      <c r="P1543" s="178">
        <f>(FME_Ranking1[[#This Row],[Pop Raw]]/$O$2)*100</f>
        <v>4.6068890394943482E-3</v>
      </c>
      <c r="Q1543" s="178">
        <f>FME_Ranking1[[#This Row],[Pop Score (Normalized, Unweighted)]]*$O$3</f>
        <v>6.9103335592415221E-4</v>
      </c>
      <c r="R1543" s="137">
        <f>_xlfn.XLOOKUP(FME_Ranking1[[#This Row],[FME ID]],FME_Input[FME_ID],FME_Input[CRITFAC100])</f>
        <v>1</v>
      </c>
      <c r="S1543" s="230">
        <f>(FME_Ranking1[[#This Row],[Critical Facilities Raw]]/$R$2)*100</f>
        <v>4.2881646655231559E-2</v>
      </c>
      <c r="T1543" s="180">
        <f>FME_Ranking1[[#This Row],[Critical Facilities Score (Normalized, Unweighted)]]*$R$3</f>
        <v>8.5763293310463125E-3</v>
      </c>
      <c r="U1543">
        <f>_xlfn.XLOOKUP(FME_Ranking1[[#This Row],[FME ID]],FME_Input[FME_ID],FME_Input[LWC])</f>
        <v>0</v>
      </c>
      <c r="V1543" s="178">
        <f>(FME_Ranking1[[#This Row],[LWC Raw]]/$U$2)*100</f>
        <v>0</v>
      </c>
      <c r="W1543" s="178">
        <f>FME_Ranking1[[#This Row],[LWC Score (Normalized, Unweighted)]]*$U$3</f>
        <v>0</v>
      </c>
      <c r="X1543" s="246">
        <f>_xlfn.XLOOKUP(FME_Ranking1[[#This Row],[FME ID]],FME_Input[FME_ID],FME_Input[ROADCLS])</f>
        <v>10</v>
      </c>
      <c r="Y1543" s="230">
        <f>(FME_Ranking1[[#This Row],[Closures Raw]]/$X$2)*100</f>
        <v>0.10514141520344865</v>
      </c>
      <c r="Z1543" s="180">
        <f>FME_Ranking1[[#This Row],[Closures Score (Normalized, Unweighted)]]*$X$3</f>
        <v>5.2570707601724328E-3</v>
      </c>
      <c r="AA1543" s="253">
        <f>_xlfn.XLOOKUP(FME_Ranking1[[#This Row],[FME ID]],FME_Input[FME_ID],FME_Input[ROAD_MILES100])</f>
        <v>0.8416939377784729</v>
      </c>
      <c r="AB1543" s="178">
        <f>(FME_Ranking1[[#This Row],[Miles Raw]]/$AA$2)*100</f>
        <v>1.1066765632837443E-2</v>
      </c>
      <c r="AC1543" s="178">
        <f>FME_Ranking1[[#This Row],[Miles Score (Normalized, Unweighted)]]*$AA$3</f>
        <v>1.1066765632837443E-3</v>
      </c>
      <c r="AD1543" s="255">
        <f>_xlfn.XLOOKUP(FME_Ranking1[[#This Row],[FME ID]],FME_Input[FME_ID],FME_Input[FARMACRE100])</f>
        <v>0</v>
      </c>
      <c r="AE1543" s="230">
        <f>(FME_Ranking1[[#This Row],[Ag Land Raw]]/$AD$2)*100</f>
        <v>0</v>
      </c>
      <c r="AF1543" s="231">
        <f>FME_Ranking1[[#This Row],[Ag Land Score (Normalized, Unweighted)]]*$AD$3</f>
        <v>0</v>
      </c>
      <c r="AG154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1.8630834484012076E-2</v>
      </c>
      <c r="AH1543" s="406">
        <f t="shared" si="24"/>
        <v>1590</v>
      </c>
      <c r="AI154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1.8630834484012076E-2</v>
      </c>
      <c r="AJ1543" s="257">
        <f>FME_Ranking1[[#This Row],[Addition check]]-FME_Ranking1[[#This Row],[Weighted Score Based on Normalized Reported Factors]]</f>
        <v>0</v>
      </c>
      <c r="AK1543" s="178">
        <f>_xlfn.RANK.EQ(AI1543,$AI$6:$AI$2341,0)+COUNTIF($AI$6:AI1543,AI1543)-1</f>
        <v>1590</v>
      </c>
    </row>
    <row r="1544" spans="1:37" x14ac:dyDescent="0.25">
      <c r="A1544" t="s">
        <v>5544</v>
      </c>
      <c r="B1544">
        <f>_xlfn.XLOOKUP(FME_Ranking1[[#This Row],[FME ID]],FME_Input[FME_ID],FME_Input[RFPG_NUM])</f>
        <v>4</v>
      </c>
      <c r="C1544" t="str">
        <f>_xlfn.XLOOKUP(FME_Ranking1[[#This Row],[FME ID]],FME_Input[FME_ID],FME_Input[FME_NAME])</f>
        <v>City of Fate Drainage Master Plan</v>
      </c>
      <c r="D1544" t="str">
        <f>_xlfn.XLOOKUP(FME_Ranking1[[#This Row],[FME ID]],FME_Input[FME_ID],FME_Input[DESCR])</f>
        <v>Perform study of existing culverts and drainage capabilities in town. Identify upgrades to drainage infrastructure capacity where needed.</v>
      </c>
      <c r="E1544" s="256">
        <f>_xlfn.XLOOKUP(FME_Ranking1[[#This Row],[FME ID]],FME_Input[FME_ID],FME_Input[FME_COST])</f>
        <v>450000</v>
      </c>
      <c r="F1544" t="str">
        <f>_xlfn.XLOOKUP(FME_Ranking1[[#This Row],[FME ID]],FME_Input[FME_ID],FME_Input[EMER_NEED])</f>
        <v>No</v>
      </c>
      <c r="G1544">
        <f>IF(FME_Ranking!F1544="Yes",100,0)</f>
        <v>0</v>
      </c>
      <c r="H1544">
        <f>FME_Ranking1[[#This Row],[Emergency Need Score (Normalized, Unweighted)]]*$F$3</f>
        <v>0</v>
      </c>
      <c r="I1544" s="246">
        <f>_xlfn.XLOOKUP(FME_Ranking1[[#This Row],[FME ID]],FME_Input[FME_ID],FME_Input[STRUCT_100])</f>
        <v>21</v>
      </c>
      <c r="J1544" s="178">
        <f>(FME_Ranking1[[#This Row],[Structures 100 Raw]]/I$2)*100</f>
        <v>1.1245341215782032E-2</v>
      </c>
      <c r="K1544" s="178">
        <f>FME_Ranking1[[#This Row],[Structures 100  Score (Normalized, Unweighted)]]*$I$3</f>
        <v>1.6868011823673048E-3</v>
      </c>
      <c r="L1544" s="246">
        <f>_xlfn.XLOOKUP(FME_Ranking1[[#This Row],[FME ID]],FME_Input[FME_ID],FME_Input[RES_STRUCT100])</f>
        <v>21</v>
      </c>
      <c r="M1544" s="230">
        <f>(FME_Ranking1[[#This Row],[Res Structures Raw]]/L$2)*100</f>
        <v>1.4874417418651103E-2</v>
      </c>
      <c r="N1544" s="180">
        <f>FME_Ranking1[[#This Row],[Res Structures Score (Normalized, Unweighted)]]*$L$3</f>
        <v>1.4874417418651103E-3</v>
      </c>
      <c r="O1544" s="244">
        <f>_xlfn.XLOOKUP(FME_Ranking1[[#This Row],[FME ID]],FME_Input[FME_ID],FME_Input[POP100])</f>
        <v>128</v>
      </c>
      <c r="P1544" s="178">
        <f>(FME_Ranking1[[#This Row],[Pop Raw]]/$O$2)*100</f>
        <v>1.31040399345617E-2</v>
      </c>
      <c r="Q1544" s="178">
        <f>FME_Ranking1[[#This Row],[Pop Score (Normalized, Unweighted)]]*$O$3</f>
        <v>1.9656059901842549E-3</v>
      </c>
      <c r="R1544" s="137">
        <f>_xlfn.XLOOKUP(FME_Ranking1[[#This Row],[FME ID]],FME_Input[FME_ID],FME_Input[CRITFAC100])</f>
        <v>0</v>
      </c>
      <c r="S1544" s="230">
        <f>(FME_Ranking1[[#This Row],[Critical Facilities Raw]]/$R$2)*100</f>
        <v>0</v>
      </c>
      <c r="T1544" s="180">
        <f>FME_Ranking1[[#This Row],[Critical Facilities Score (Normalized, Unweighted)]]*$R$3</f>
        <v>0</v>
      </c>
      <c r="U1544">
        <f>_xlfn.XLOOKUP(FME_Ranking1[[#This Row],[FME ID]],FME_Input[FME_ID],FME_Input[LWC])</f>
        <v>1</v>
      </c>
      <c r="V1544" s="178">
        <f>(FME_Ranking1[[#This Row],[LWC Raw]]/$U$2)*100</f>
        <v>5.7570523891767422E-2</v>
      </c>
      <c r="W1544" s="178">
        <f>FME_Ranking1[[#This Row],[LWC Score (Normalized, Unweighted)]]*$U$3</f>
        <v>1.1514104778353485E-2</v>
      </c>
      <c r="X1544" s="246">
        <f>_xlfn.XLOOKUP(FME_Ranking1[[#This Row],[FME ID]],FME_Input[FME_ID],FME_Input[ROADCLS])</f>
        <v>1</v>
      </c>
      <c r="Y1544" s="230">
        <f>(FME_Ranking1[[#This Row],[Closures Raw]]/$X$2)*100</f>
        <v>1.0514141520344864E-2</v>
      </c>
      <c r="Z1544" s="180">
        <f>FME_Ranking1[[#This Row],[Closures Score (Normalized, Unweighted)]]*$X$3</f>
        <v>5.2570707601724321E-4</v>
      </c>
      <c r="AA1544" s="253">
        <f>_xlfn.XLOOKUP(FME_Ranking1[[#This Row],[FME ID]],FME_Input[FME_ID],FME_Input[ROAD_MILES100])</f>
        <v>3.0208101272583008</v>
      </c>
      <c r="AB1544" s="178">
        <f>(FME_Ranking1[[#This Row],[Miles Raw]]/$AA$2)*100</f>
        <v>3.9718235096126035E-2</v>
      </c>
      <c r="AC1544" s="178">
        <f>FME_Ranking1[[#This Row],[Miles Score (Normalized, Unweighted)]]*$AA$3</f>
        <v>3.971823509612604E-3</v>
      </c>
      <c r="AD1544" s="255">
        <f>_xlfn.XLOOKUP(FME_Ranking1[[#This Row],[FME ID]],FME_Input[FME_ID],FME_Input[FARMACRE100])</f>
        <v>164.16365051269531</v>
      </c>
      <c r="AE1544" s="230">
        <f>(FME_Ranking1[[#This Row],[Ag Land Raw]]/$AD$2)*100</f>
        <v>6.7693740679563609E-3</v>
      </c>
      <c r="AF1544" s="231">
        <f>FME_Ranking1[[#This Row],[Ag Land Score (Normalized, Unweighted)]]*$AD$3</f>
        <v>3.3846870339781805E-4</v>
      </c>
      <c r="AG154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2.148995298179782E-2</v>
      </c>
      <c r="AH1544" s="406">
        <f t="shared" si="24"/>
        <v>1563</v>
      </c>
      <c r="AI154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2.148995298179782E-2</v>
      </c>
      <c r="AJ1544" s="257">
        <f>FME_Ranking1[[#This Row],[Addition check]]-FME_Ranking1[[#This Row],[Weighted Score Based on Normalized Reported Factors]]</f>
        <v>0</v>
      </c>
      <c r="AK1544" s="178">
        <f>_xlfn.RANK.EQ(AI1544,$AI$6:$AI$2341,0)+COUNTIF($AI$6:AI1544,AI1544)-1</f>
        <v>1563</v>
      </c>
    </row>
    <row r="1545" spans="1:37" x14ac:dyDescent="0.25">
      <c r="A1545" t="s">
        <v>11282</v>
      </c>
      <c r="B1545">
        <f>_xlfn.XLOOKUP(FME_Ranking1[[#This Row],[FME ID]],FME_Input[FME_ID],FME_Input[RFPG_NUM])</f>
        <v>15</v>
      </c>
      <c r="C1545" t="str">
        <f>_xlfn.XLOOKUP(FME_Ranking1[[#This Row],[FME ID]],FME_Input[FME_ID],FME_Input[FME_NAME])</f>
        <v>Mile 11 N &amp; Mile 6 W Improvements</v>
      </c>
      <c r="D1545" t="str">
        <f>_xlfn.XLOOKUP(FME_Ranking1[[#This Row],[FME ID]],FME_Input[FME_ID],FME_Input[DESCR])</f>
        <v>Channel Improvements- Ditch 17B2A1A, Channel Improvements- Ditch 7T,7T1, Local Drainage Improvements- West of Ditch17B2A1A, and Ditch 17B2A1  Detention West</v>
      </c>
      <c r="E1545" s="256">
        <f>_xlfn.XLOOKUP(FME_Ranking1[[#This Row],[FME ID]],FME_Input[FME_ID],FME_Input[FME_COST])</f>
        <v>570300</v>
      </c>
      <c r="F1545" t="str">
        <f>_xlfn.XLOOKUP(FME_Ranking1[[#This Row],[FME ID]],FME_Input[FME_ID],FME_Input[EMER_NEED])</f>
        <v>Yes</v>
      </c>
      <c r="G1545">
        <f>IF(FME_Ranking!F1545="Yes",100,0)</f>
        <v>100</v>
      </c>
      <c r="H1545">
        <f>FME_Ranking1[[#This Row],[Emergency Need Score (Normalized, Unweighted)]]*$F$3</f>
        <v>0</v>
      </c>
      <c r="I1545" s="246">
        <f>_xlfn.XLOOKUP(FME_Ranking1[[#This Row],[FME ID]],FME_Input[FME_ID],FME_Input[STRUCT_100])</f>
        <v>0</v>
      </c>
      <c r="J1545" s="178">
        <f>(FME_Ranking1[[#This Row],[Structures 100 Raw]]/I$2)*100</f>
        <v>0</v>
      </c>
      <c r="K1545" s="178">
        <f>FME_Ranking1[[#This Row],[Structures 100  Score (Normalized, Unweighted)]]*$I$3</f>
        <v>0</v>
      </c>
      <c r="L1545" s="246">
        <f>_xlfn.XLOOKUP(FME_Ranking1[[#This Row],[FME ID]],FME_Input[FME_ID],FME_Input[RES_STRUCT100])</f>
        <v>112</v>
      </c>
      <c r="M1545" s="230">
        <f>(FME_Ranking1[[#This Row],[Res Structures Raw]]/L$2)*100</f>
        <v>7.9330226232805889E-2</v>
      </c>
      <c r="N1545" s="180">
        <f>FME_Ranking1[[#This Row],[Res Structures Score (Normalized, Unweighted)]]*$L$3</f>
        <v>7.93302262328059E-3</v>
      </c>
      <c r="O1545" s="244">
        <f>_xlfn.XLOOKUP(FME_Ranking1[[#This Row],[FME ID]],FME_Input[FME_ID],FME_Input[POP100])</f>
        <v>622</v>
      </c>
      <c r="P1545" s="178">
        <f>(FME_Ranking1[[#This Row],[Pop Raw]]/$O$2)*100</f>
        <v>6.3677444057010757E-2</v>
      </c>
      <c r="Q1545" s="178">
        <f>FME_Ranking1[[#This Row],[Pop Score (Normalized, Unweighted)]]*$O$3</f>
        <v>9.5516166085516125E-3</v>
      </c>
      <c r="R1545" s="137">
        <f>_xlfn.XLOOKUP(FME_Ranking1[[#This Row],[FME ID]],FME_Input[FME_ID],FME_Input[CRITFAC100])</f>
        <v>0</v>
      </c>
      <c r="S1545" s="230">
        <f>(FME_Ranking1[[#This Row],[Critical Facilities Raw]]/$R$2)*100</f>
        <v>0</v>
      </c>
      <c r="T1545" s="180">
        <f>FME_Ranking1[[#This Row],[Critical Facilities Score (Normalized, Unweighted)]]*$R$3</f>
        <v>0</v>
      </c>
      <c r="U1545">
        <f>_xlfn.XLOOKUP(FME_Ranking1[[#This Row],[FME ID]],FME_Input[FME_ID],FME_Input[LWC])</f>
        <v>0</v>
      </c>
      <c r="V1545" s="178">
        <f>(FME_Ranking1[[#This Row],[LWC Raw]]/$U$2)*100</f>
        <v>0</v>
      </c>
      <c r="W1545" s="178">
        <f>FME_Ranking1[[#This Row],[LWC Score (Normalized, Unweighted)]]*$U$3</f>
        <v>0</v>
      </c>
      <c r="X1545" s="246">
        <f>_xlfn.XLOOKUP(FME_Ranking1[[#This Row],[FME ID]],FME_Input[FME_ID],FME_Input[ROADCLS])</f>
        <v>0</v>
      </c>
      <c r="Y1545" s="230">
        <f>(FME_Ranking1[[#This Row],[Closures Raw]]/$X$2)*100</f>
        <v>0</v>
      </c>
      <c r="Z1545" s="180">
        <f>FME_Ranking1[[#This Row],[Closures Score (Normalized, Unweighted)]]*$X$3</f>
        <v>0</v>
      </c>
      <c r="AA1545" s="253">
        <f>_xlfn.XLOOKUP(FME_Ranking1[[#This Row],[FME ID]],FME_Input[FME_ID],FME_Input[ROAD_MILES100])</f>
        <v>11.7987003326416</v>
      </c>
      <c r="AB1545" s="178">
        <f>(FME_Ranking1[[#This Row],[Miles Raw]]/$AA$2)*100</f>
        <v>0.1551317474117197</v>
      </c>
      <c r="AC1545" s="178">
        <f>FME_Ranking1[[#This Row],[Miles Score (Normalized, Unweighted)]]*$AA$3</f>
        <v>1.551317474117197E-2</v>
      </c>
      <c r="AD1545" s="255">
        <f>_xlfn.XLOOKUP(FME_Ranking1[[#This Row],[FME ID]],FME_Input[FME_ID],FME_Input[FARMACRE100])</f>
        <v>0</v>
      </c>
      <c r="AE1545" s="230">
        <f>(FME_Ranking1[[#This Row],[Ag Land Raw]]/$AD$2)*100</f>
        <v>0</v>
      </c>
      <c r="AF1545" s="231">
        <f>FME_Ranking1[[#This Row],[Ag Land Score (Normalized, Unweighted)]]*$AD$3</f>
        <v>0</v>
      </c>
      <c r="AG154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3.2997813973004171E-2</v>
      </c>
      <c r="AH1545" s="406">
        <f t="shared" si="24"/>
        <v>1443</v>
      </c>
      <c r="AI154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3.2997813973004171E-2</v>
      </c>
      <c r="AJ1545" s="257">
        <f>FME_Ranking1[[#This Row],[Addition check]]-FME_Ranking1[[#This Row],[Weighted Score Based on Normalized Reported Factors]]</f>
        <v>0</v>
      </c>
      <c r="AK1545" s="178">
        <f>_xlfn.RANK.EQ(AI1545,$AI$6:$AI$2341,0)+COUNTIF($AI$6:AI1545,AI1545)-1</f>
        <v>1443</v>
      </c>
    </row>
    <row r="1546" spans="1:37" x14ac:dyDescent="0.25">
      <c r="A1546" t="s">
        <v>9471</v>
      </c>
      <c r="B1546">
        <f>_xlfn.XLOOKUP(FME_Ranking1[[#This Row],[FME ID]],FME_Input[FME_ID],FME_Input[RFPG_NUM])</f>
        <v>12</v>
      </c>
      <c r="C1546" t="str">
        <f>_xlfn.XLOOKUP(FME_Ranking1[[#This Row],[FME ID]],FME_Input[FME_ID],FME_Input[FME_NAME])</f>
        <v>LWC 42 Dreamland south of RR Xing</v>
      </c>
      <c r="D1546" t="str">
        <f>_xlfn.XLOOKUP(FME_Ranking1[[#This Row],[FME ID]],FME_Input[FME_ID],FME_Input[DESCR])</f>
        <v>The project will consist of proposed Bridge crossing with +/- 6300 LF of total channel grading upstream and downstream and excavating to eliminate a low water crossing.  Street reconstruction includes driveway approaches, curbs, and sidewalks as required</v>
      </c>
      <c r="E1546" s="256">
        <f>_xlfn.XLOOKUP(FME_Ranking1[[#This Row],[FME ID]],FME_Input[FME_ID],FME_Input[FME_COST])</f>
        <v>11470000</v>
      </c>
      <c r="F1546" t="str">
        <f>_xlfn.XLOOKUP(FME_Ranking1[[#This Row],[FME ID]],FME_Input[FME_ID],FME_Input[EMER_NEED])</f>
        <v>Yes</v>
      </c>
      <c r="G1546">
        <f>IF(FME_Ranking!F1546="Yes",100,0)</f>
        <v>100</v>
      </c>
      <c r="H1546">
        <f>FME_Ranking1[[#This Row],[Emergency Need Score (Normalized, Unweighted)]]*$F$3</f>
        <v>0</v>
      </c>
      <c r="I1546" s="246">
        <f>_xlfn.XLOOKUP(FME_Ranking1[[#This Row],[FME ID]],FME_Input[FME_ID],FME_Input[STRUCT_100])</f>
        <v>17</v>
      </c>
      <c r="J1546" s="178">
        <f>(FME_Ranking1[[#This Row],[Structures 100 Raw]]/I$2)*100</f>
        <v>9.1033714603949798E-3</v>
      </c>
      <c r="K1546" s="178">
        <f>FME_Ranking1[[#This Row],[Structures 100  Score (Normalized, Unweighted)]]*$I$3</f>
        <v>1.365505719059247E-3</v>
      </c>
      <c r="L1546" s="246">
        <f>_xlfn.XLOOKUP(FME_Ranking1[[#This Row],[FME ID]],FME_Input[FME_ID],FME_Input[RES_STRUCT100])</f>
        <v>17</v>
      </c>
      <c r="M1546" s="230">
        <f>(FME_Ranking1[[#This Row],[Res Structures Raw]]/L$2)*100</f>
        <v>1.2041195053193749E-2</v>
      </c>
      <c r="N1546" s="180">
        <f>FME_Ranking1[[#This Row],[Res Structures Score (Normalized, Unweighted)]]*$L$3</f>
        <v>1.2041195053193749E-3</v>
      </c>
      <c r="O1546" s="244">
        <f>_xlfn.XLOOKUP(FME_Ranking1[[#This Row],[FME ID]],FME_Input[FME_ID],FME_Input[POP100])</f>
        <v>12</v>
      </c>
      <c r="P1546" s="178">
        <f>(FME_Ranking1[[#This Row],[Pop Raw]]/$O$2)*100</f>
        <v>1.2285037438651595E-3</v>
      </c>
      <c r="Q1546" s="178">
        <f>FME_Ranking1[[#This Row],[Pop Score (Normalized, Unweighted)]]*$O$3</f>
        <v>1.8427556157977391E-4</v>
      </c>
      <c r="R1546" s="137">
        <f>_xlfn.XLOOKUP(FME_Ranking1[[#This Row],[FME ID]],FME_Input[FME_ID],FME_Input[CRITFAC100])</f>
        <v>0</v>
      </c>
      <c r="S1546" s="230">
        <f>(FME_Ranking1[[#This Row],[Critical Facilities Raw]]/$R$2)*100</f>
        <v>0</v>
      </c>
      <c r="T1546" s="180">
        <f>FME_Ranking1[[#This Row],[Critical Facilities Score (Normalized, Unweighted)]]*$R$3</f>
        <v>0</v>
      </c>
      <c r="U1546">
        <f>_xlfn.XLOOKUP(FME_Ranking1[[#This Row],[FME ID]],FME_Input[FME_ID],FME_Input[LWC])</f>
        <v>1</v>
      </c>
      <c r="V1546" s="178">
        <f>(FME_Ranking1[[#This Row],[LWC Raw]]/$U$2)*100</f>
        <v>5.7570523891767422E-2</v>
      </c>
      <c r="W1546" s="178">
        <f>FME_Ranking1[[#This Row],[LWC Score (Normalized, Unweighted)]]*$U$3</f>
        <v>1.1514104778353485E-2</v>
      </c>
      <c r="X1546" s="246">
        <f>_xlfn.XLOOKUP(FME_Ranking1[[#This Row],[FME ID]],FME_Input[FME_ID],FME_Input[ROADCLS])</f>
        <v>6</v>
      </c>
      <c r="Y1546" s="230">
        <f>(FME_Ranking1[[#This Row],[Closures Raw]]/$X$2)*100</f>
        <v>6.3084849122069186E-2</v>
      </c>
      <c r="Z1546" s="180">
        <f>FME_Ranking1[[#This Row],[Closures Score (Normalized, Unweighted)]]*$X$3</f>
        <v>3.1542424561034595E-3</v>
      </c>
      <c r="AA1546" s="253">
        <f>_xlfn.XLOOKUP(FME_Ranking1[[#This Row],[FME ID]],FME_Input[FME_ID],FME_Input[ROAD_MILES100])</f>
        <v>0.5</v>
      </c>
      <c r="AB1546" s="178">
        <f>(FME_Ranking1[[#This Row],[Miles Raw]]/$AA$2)*100</f>
        <v>6.5741032078991445E-3</v>
      </c>
      <c r="AC1546" s="178">
        <f>FME_Ranking1[[#This Row],[Miles Score (Normalized, Unweighted)]]*$AA$3</f>
        <v>6.5741032078991447E-4</v>
      </c>
      <c r="AD1546" s="255">
        <f>_xlfn.XLOOKUP(FME_Ranking1[[#This Row],[FME ID]],FME_Input[FME_ID],FME_Input[FARMACRE100])</f>
        <v>0</v>
      </c>
      <c r="AE1546" s="230">
        <f>(FME_Ranking1[[#This Row],[Ag Land Raw]]/$AD$2)*100</f>
        <v>0</v>
      </c>
      <c r="AF1546" s="231">
        <f>FME_Ranking1[[#This Row],[Ag Land Score (Normalized, Unweighted)]]*$AD$3</f>
        <v>0</v>
      </c>
      <c r="AG154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1.8079658341205257E-2</v>
      </c>
      <c r="AH1546" s="406">
        <f t="shared" si="24"/>
        <v>1600</v>
      </c>
      <c r="AI154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1.8079658341205257E-2</v>
      </c>
      <c r="AJ1546" s="257">
        <f>FME_Ranking1[[#This Row],[Addition check]]-FME_Ranking1[[#This Row],[Weighted Score Based on Normalized Reported Factors]]</f>
        <v>0</v>
      </c>
      <c r="AK1546" s="178">
        <f>_xlfn.RANK.EQ(AI1546,$AI$6:$AI$2341,0)+COUNTIF($AI$6:AI1546,AI1546)-1</f>
        <v>1600</v>
      </c>
    </row>
    <row r="1547" spans="1:37" x14ac:dyDescent="0.25">
      <c r="A1547" t="s">
        <v>8658</v>
      </c>
      <c r="B1547">
        <f>_xlfn.XLOOKUP(FME_Ranking1[[#This Row],[FME ID]],FME_Input[FME_ID],FME_Input[RFPG_NUM])</f>
        <v>11</v>
      </c>
      <c r="C1547" t="str">
        <f>_xlfn.XLOOKUP(FME_Ranking1[[#This Row],[FME ID]],FME_Input[FME_ID],FME_Input[FME_NAME])</f>
        <v xml:space="preserve">City of Ingram Drainage Improvements Study </v>
      </c>
      <c r="D1547" t="str">
        <f>_xlfn.XLOOKUP(FME_Ranking1[[#This Row],[FME ID]],FME_Input[FME_ID],FME_Input[DESCR])</f>
        <v>Study of solutions to upgrade existing storm drainage infrastructure to reduce the potential impacts of future flood events.</v>
      </c>
      <c r="E1547" s="256">
        <f>_xlfn.XLOOKUP(FME_Ranking1[[#This Row],[FME ID]],FME_Input[FME_ID],FME_Input[FME_COST])</f>
        <v>100000</v>
      </c>
      <c r="F1547" t="str">
        <f>_xlfn.XLOOKUP(FME_Ranking1[[#This Row],[FME ID]],FME_Input[FME_ID],FME_Input[EMER_NEED])</f>
        <v>No</v>
      </c>
      <c r="G1547">
        <f>IF(FME_Ranking!F1547="Yes",100,0)</f>
        <v>0</v>
      </c>
      <c r="H1547">
        <f>FME_Ranking1[[#This Row],[Emergency Need Score (Normalized, Unweighted)]]*$F$3</f>
        <v>0</v>
      </c>
      <c r="I1547" s="246">
        <f>_xlfn.XLOOKUP(FME_Ranking1[[#This Row],[FME ID]],FME_Input[FME_ID],FME_Input[STRUCT_100])</f>
        <v>122</v>
      </c>
      <c r="J1547" s="178">
        <f>(FME_Ranking1[[#This Row],[Structures 100 Raw]]/I$2)*100</f>
        <v>6.5330077539305142E-2</v>
      </c>
      <c r="K1547" s="178">
        <f>FME_Ranking1[[#This Row],[Structures 100  Score (Normalized, Unweighted)]]*$I$3</f>
        <v>9.7995116308957717E-3</v>
      </c>
      <c r="L1547" s="246">
        <f>_xlfn.XLOOKUP(FME_Ranking1[[#This Row],[FME ID]],FME_Input[FME_ID],FME_Input[RES_STRUCT100])</f>
        <v>76</v>
      </c>
      <c r="M1547" s="230">
        <f>(FME_Ranking1[[#This Row],[Res Structures Raw]]/L$2)*100</f>
        <v>5.38312249436897E-2</v>
      </c>
      <c r="N1547" s="180">
        <f>FME_Ranking1[[#This Row],[Res Structures Score (Normalized, Unweighted)]]*$L$3</f>
        <v>5.38312249436897E-3</v>
      </c>
      <c r="O1547" s="244">
        <f>_xlfn.XLOOKUP(FME_Ranking1[[#This Row],[FME ID]],FME_Input[FME_ID],FME_Input[POP100])</f>
        <v>141</v>
      </c>
      <c r="P1547" s="178">
        <f>(FME_Ranking1[[#This Row],[Pop Raw]]/$O$2)*100</f>
        <v>1.4434918990415622E-2</v>
      </c>
      <c r="Q1547" s="178">
        <f>FME_Ranking1[[#This Row],[Pop Score (Normalized, Unweighted)]]*$O$3</f>
        <v>2.1652378485623432E-3</v>
      </c>
      <c r="R1547" s="137">
        <f>_xlfn.XLOOKUP(FME_Ranking1[[#This Row],[FME ID]],FME_Input[FME_ID],FME_Input[CRITFAC100])</f>
        <v>0</v>
      </c>
      <c r="S1547" s="230">
        <f>(FME_Ranking1[[#This Row],[Critical Facilities Raw]]/$R$2)*100</f>
        <v>0</v>
      </c>
      <c r="T1547" s="180">
        <f>FME_Ranking1[[#This Row],[Critical Facilities Score (Normalized, Unweighted)]]*$R$3</f>
        <v>0</v>
      </c>
      <c r="U1547">
        <f>_xlfn.XLOOKUP(FME_Ranking1[[#This Row],[FME ID]],FME_Input[FME_ID],FME_Input[LWC])</f>
        <v>0</v>
      </c>
      <c r="V1547" s="178">
        <f>(FME_Ranking1[[#This Row],[LWC Raw]]/$U$2)*100</f>
        <v>0</v>
      </c>
      <c r="W1547" s="178">
        <f>FME_Ranking1[[#This Row],[LWC Score (Normalized, Unweighted)]]*$U$3</f>
        <v>0</v>
      </c>
      <c r="X1547" s="246">
        <f>_xlfn.XLOOKUP(FME_Ranking1[[#This Row],[FME ID]],FME_Input[FME_ID],FME_Input[ROADCLS])</f>
        <v>0</v>
      </c>
      <c r="Y1547" s="230">
        <f>(FME_Ranking1[[#This Row],[Closures Raw]]/$X$2)*100</f>
        <v>0</v>
      </c>
      <c r="Z1547" s="180">
        <f>FME_Ranking1[[#This Row],[Closures Score (Normalized, Unweighted)]]*$X$3</f>
        <v>0</v>
      </c>
      <c r="AA1547" s="253">
        <f>_xlfn.XLOOKUP(FME_Ranking1[[#This Row],[FME ID]],FME_Input[FME_ID],FME_Input[ROAD_MILES100])</f>
        <v>3.054731130599976</v>
      </c>
      <c r="AB1547" s="178">
        <f>(FME_Ranking1[[#This Row],[Miles Raw]]/$AA$2)*100</f>
        <v>4.0164235449893365E-2</v>
      </c>
      <c r="AC1547" s="178">
        <f>FME_Ranking1[[#This Row],[Miles Score (Normalized, Unweighted)]]*$AA$3</f>
        <v>4.0164235449893365E-3</v>
      </c>
      <c r="AD1547" s="255">
        <f>_xlfn.XLOOKUP(FME_Ranking1[[#This Row],[FME ID]],FME_Input[FME_ID],FME_Input[FARMACRE100])</f>
        <v>24.21843338012695</v>
      </c>
      <c r="AE1547" s="230">
        <f>(FME_Ranking1[[#This Row],[Ag Land Raw]]/$AD$2)*100</f>
        <v>9.9865977869005671E-4</v>
      </c>
      <c r="AF1547" s="231">
        <f>FME_Ranking1[[#This Row],[Ag Land Score (Normalized, Unweighted)]]*$AD$3</f>
        <v>4.993298893450284E-5</v>
      </c>
      <c r="AG154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2.1414228507750925E-2</v>
      </c>
      <c r="AH1547" s="406">
        <f t="shared" si="24"/>
        <v>1564</v>
      </c>
      <c r="AI154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2.1414228507750925E-2</v>
      </c>
      <c r="AJ1547" s="257">
        <f>FME_Ranking1[[#This Row],[Addition check]]-FME_Ranking1[[#This Row],[Weighted Score Based on Normalized Reported Factors]]</f>
        <v>0</v>
      </c>
      <c r="AK1547" s="178">
        <f>_xlfn.RANK.EQ(AI1547,$AI$6:$AI$2341,0)+COUNTIF($AI$6:AI1547,AI1547)-1</f>
        <v>1564</v>
      </c>
    </row>
    <row r="1548" spans="1:37" x14ac:dyDescent="0.25">
      <c r="A1548" t="s">
        <v>10029</v>
      </c>
      <c r="B1548">
        <f>_xlfn.XLOOKUP(FME_Ranking1[[#This Row],[FME ID]],FME_Input[FME_ID],FME_Input[RFPG_NUM])</f>
        <v>13</v>
      </c>
      <c r="C1548" t="str">
        <f>_xlfn.XLOOKUP(FME_Ranking1[[#This Row],[FME ID]],FME_Input[FME_ID],FME_Input[FME_NAME])</f>
        <v>Atascosa McMullen Hazard Mitigation Plan - City of Jourdanton Action #12</v>
      </c>
      <c r="D1548" t="str">
        <f>_xlfn.XLOOKUP(FME_Ranking1[[#This Row],[FME ID]],FME_Input[FME_ID],FME_Input[DESCR])</f>
        <v>Identify problem flooding areas within an area drainage study and implement a program to reduce citywide and localized flooding.</v>
      </c>
      <c r="E1548" s="256">
        <f>_xlfn.XLOOKUP(FME_Ranking1[[#This Row],[FME ID]],FME_Input[FME_ID],FME_Input[FME_COST])</f>
        <v>225000</v>
      </c>
      <c r="F1548" t="str">
        <f>_xlfn.XLOOKUP(FME_Ranking1[[#This Row],[FME ID]],FME_Input[FME_ID],FME_Input[EMER_NEED])</f>
        <v>Yes</v>
      </c>
      <c r="G1548">
        <f>IF(FME_Ranking!F1548="Yes",100,0)</f>
        <v>100</v>
      </c>
      <c r="H1548">
        <f>FME_Ranking1[[#This Row],[Emergency Need Score (Normalized, Unweighted)]]*$F$3</f>
        <v>0</v>
      </c>
      <c r="I1548" s="246">
        <f>_xlfn.XLOOKUP(FME_Ranking1[[#This Row],[FME ID]],FME_Input[FME_ID],FME_Input[STRUCT_100])</f>
        <v>18</v>
      </c>
      <c r="J1548" s="178">
        <f>(FME_Ranking1[[#This Row],[Structures 100 Raw]]/I$2)*100</f>
        <v>9.6388638992417428E-3</v>
      </c>
      <c r="K1548" s="178">
        <f>FME_Ranking1[[#This Row],[Structures 100  Score (Normalized, Unweighted)]]*$I$3</f>
        <v>1.4458295848862614E-3</v>
      </c>
      <c r="L1548" s="246">
        <f>_xlfn.XLOOKUP(FME_Ranking1[[#This Row],[FME ID]],FME_Input[FME_ID],FME_Input[RES_STRUCT100])</f>
        <v>11</v>
      </c>
      <c r="M1548" s="230">
        <f>(FME_Ranking1[[#This Row],[Res Structures Raw]]/L$2)*100</f>
        <v>7.7913615050077207E-3</v>
      </c>
      <c r="N1548" s="180">
        <f>FME_Ranking1[[#This Row],[Res Structures Score (Normalized, Unweighted)]]*$L$3</f>
        <v>7.7913615050077215E-4</v>
      </c>
      <c r="O1548" s="244">
        <f>_xlfn.XLOOKUP(FME_Ranking1[[#This Row],[FME ID]],FME_Input[FME_ID],FME_Input[POP100])</f>
        <v>113</v>
      </c>
      <c r="P1548" s="178">
        <f>(FME_Ranking1[[#This Row],[Pop Raw]]/$O$2)*100</f>
        <v>1.1568410254730252E-2</v>
      </c>
      <c r="Q1548" s="178">
        <f>FME_Ranking1[[#This Row],[Pop Score (Normalized, Unweighted)]]*$O$3</f>
        <v>1.7352615382095378E-3</v>
      </c>
      <c r="R1548" s="137">
        <f>_xlfn.XLOOKUP(FME_Ranking1[[#This Row],[FME ID]],FME_Input[FME_ID],FME_Input[CRITFAC100])</f>
        <v>0</v>
      </c>
      <c r="S1548" s="230">
        <f>(FME_Ranking1[[#This Row],[Critical Facilities Raw]]/$R$2)*100</f>
        <v>0</v>
      </c>
      <c r="T1548" s="180">
        <f>FME_Ranking1[[#This Row],[Critical Facilities Score (Normalized, Unweighted)]]*$R$3</f>
        <v>0</v>
      </c>
      <c r="U1548">
        <f>_xlfn.XLOOKUP(FME_Ranking1[[#This Row],[FME ID]],FME_Input[FME_ID],FME_Input[LWC])</f>
        <v>0</v>
      </c>
      <c r="V1548" s="178">
        <f>(FME_Ranking1[[#This Row],[LWC Raw]]/$U$2)*100</f>
        <v>0</v>
      </c>
      <c r="W1548" s="178">
        <f>FME_Ranking1[[#This Row],[LWC Score (Normalized, Unweighted)]]*$U$3</f>
        <v>0</v>
      </c>
      <c r="X1548" s="246">
        <f>_xlfn.XLOOKUP(FME_Ranking1[[#This Row],[FME ID]],FME_Input[FME_ID],FME_Input[ROADCLS])</f>
        <v>25</v>
      </c>
      <c r="Y1548" s="230">
        <f>(FME_Ranking1[[#This Row],[Closures Raw]]/$X$2)*100</f>
        <v>0.2628535380086216</v>
      </c>
      <c r="Z1548" s="180">
        <f>FME_Ranking1[[#This Row],[Closures Score (Normalized, Unweighted)]]*$X$3</f>
        <v>1.3142676900431081E-2</v>
      </c>
      <c r="AA1548" s="253">
        <f>_xlfn.XLOOKUP(FME_Ranking1[[#This Row],[FME ID]],FME_Input[FME_ID],FME_Input[ROAD_MILES100])</f>
        <v>0.96141952276229858</v>
      </c>
      <c r="AB1548" s="178">
        <f>(FME_Ranking1[[#This Row],[Miles Raw]]/$AA$2)*100</f>
        <v>1.2640942337456985E-2</v>
      </c>
      <c r="AC1548" s="178">
        <f>FME_Ranking1[[#This Row],[Miles Score (Normalized, Unweighted)]]*$AA$3</f>
        <v>1.2640942337456985E-3</v>
      </c>
      <c r="AD1548" s="255">
        <f>_xlfn.XLOOKUP(FME_Ranking1[[#This Row],[FME ID]],FME_Input[FME_ID],FME_Input[FARMACRE100])</f>
        <v>1.337621808052063</v>
      </c>
      <c r="AE1548" s="230">
        <f>(FME_Ranking1[[#This Row],[Ag Land Raw]]/$AD$2)*100</f>
        <v>5.5157535495108245E-5</v>
      </c>
      <c r="AF1548" s="231">
        <f>FME_Ranking1[[#This Row],[Ag Land Score (Normalized, Unweighted)]]*$AD$3</f>
        <v>2.7578767747554125E-6</v>
      </c>
      <c r="AG154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1.8369756284548108E-2</v>
      </c>
      <c r="AH1548" s="406">
        <f t="shared" si="24"/>
        <v>1598</v>
      </c>
      <c r="AI154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1.8369756284548108E-2</v>
      </c>
      <c r="AJ1548" s="257">
        <f>FME_Ranking1[[#This Row],[Addition check]]-FME_Ranking1[[#This Row],[Weighted Score Based on Normalized Reported Factors]]</f>
        <v>0</v>
      </c>
      <c r="AK1548" s="178">
        <f>_xlfn.RANK.EQ(AI1548,$AI$6:$AI$2341,0)+COUNTIF($AI$6:AI1548,AI1548)-1</f>
        <v>1598</v>
      </c>
    </row>
    <row r="1549" spans="1:37" x14ac:dyDescent="0.25">
      <c r="A1549" t="s">
        <v>9349</v>
      </c>
      <c r="B1549">
        <f>_xlfn.XLOOKUP(FME_Ranking1[[#This Row],[FME ID]],FME_Input[FME_ID],FME_Input[RFPG_NUM])</f>
        <v>12</v>
      </c>
      <c r="C1549" t="str">
        <f>_xlfn.XLOOKUP(FME_Ranking1[[#This Row],[FME ID]],FME_Input[FME_ID],FME_Input[FME_NAME])</f>
        <v>Inventory of residences in floodplain</v>
      </c>
      <c r="D1549" t="str">
        <f>_xlfn.XLOOKUP(FME_Ranking1[[#This Row],[FME ID]],FME_Input[FME_ID],FME_Input[DESCR])</f>
        <v>Identify residential structures that are located in flood zones or high hazard areas and develop plan and implement a program for floodproofing or acquistion.</v>
      </c>
      <c r="E1549" s="256">
        <f>_xlfn.XLOOKUP(FME_Ranking1[[#This Row],[FME ID]],FME_Input[FME_ID],FME_Input[FME_COST])</f>
        <v>50000</v>
      </c>
      <c r="F1549" t="str">
        <f>_xlfn.XLOOKUP(FME_Ranking1[[#This Row],[FME ID]],FME_Input[FME_ID],FME_Input[EMER_NEED])</f>
        <v>No</v>
      </c>
      <c r="G1549">
        <f>IF(FME_Ranking!F1549="Yes",100,0)</f>
        <v>0</v>
      </c>
      <c r="H1549">
        <f>FME_Ranking1[[#This Row],[Emergency Need Score (Normalized, Unweighted)]]*$F$3</f>
        <v>0</v>
      </c>
      <c r="I1549" s="246">
        <f>_xlfn.XLOOKUP(FME_Ranking1[[#This Row],[FME ID]],FME_Input[FME_ID],FME_Input[STRUCT_100])</f>
        <v>42</v>
      </c>
      <c r="J1549" s="178">
        <f>(FME_Ranking1[[#This Row],[Structures 100 Raw]]/I$2)*100</f>
        <v>2.2490682431564064E-2</v>
      </c>
      <c r="K1549" s="178">
        <f>FME_Ranking1[[#This Row],[Structures 100  Score (Normalized, Unweighted)]]*$I$3</f>
        <v>3.3736023647346096E-3</v>
      </c>
      <c r="L1549" s="246">
        <f>_xlfn.XLOOKUP(FME_Ranking1[[#This Row],[FME ID]],FME_Input[FME_ID],FME_Input[RES_STRUCT100])</f>
        <v>24</v>
      </c>
      <c r="M1549" s="230">
        <f>(FME_Ranking1[[#This Row],[Res Structures Raw]]/L$2)*100</f>
        <v>1.6999334192744117E-2</v>
      </c>
      <c r="N1549" s="180">
        <f>FME_Ranking1[[#This Row],[Res Structures Score (Normalized, Unweighted)]]*$L$3</f>
        <v>1.6999334192744119E-3</v>
      </c>
      <c r="O1549" s="244">
        <f>_xlfn.XLOOKUP(FME_Ranking1[[#This Row],[FME ID]],FME_Input[FME_ID],FME_Input[POP100])</f>
        <v>59</v>
      </c>
      <c r="P1549" s="178">
        <f>(FME_Ranking1[[#This Row],[Pop Raw]]/$O$2)*100</f>
        <v>6.0401434073370343E-3</v>
      </c>
      <c r="Q1549" s="178">
        <f>FME_Ranking1[[#This Row],[Pop Score (Normalized, Unweighted)]]*$O$3</f>
        <v>9.0602151110055513E-4</v>
      </c>
      <c r="R1549" s="137">
        <f>_xlfn.XLOOKUP(FME_Ranking1[[#This Row],[FME ID]],FME_Input[FME_ID],FME_Input[CRITFAC100])</f>
        <v>0</v>
      </c>
      <c r="S1549" s="230">
        <f>(FME_Ranking1[[#This Row],[Critical Facilities Raw]]/$R$2)*100</f>
        <v>0</v>
      </c>
      <c r="T1549" s="180">
        <f>FME_Ranking1[[#This Row],[Critical Facilities Score (Normalized, Unweighted)]]*$R$3</f>
        <v>0</v>
      </c>
      <c r="U1549">
        <f>_xlfn.XLOOKUP(FME_Ranking1[[#This Row],[FME ID]],FME_Input[FME_ID],FME_Input[LWC])</f>
        <v>0</v>
      </c>
      <c r="V1549" s="178">
        <f>(FME_Ranking1[[#This Row],[LWC Raw]]/$U$2)*100</f>
        <v>0</v>
      </c>
      <c r="W1549" s="178">
        <f>FME_Ranking1[[#This Row],[LWC Score (Normalized, Unweighted)]]*$U$3</f>
        <v>0</v>
      </c>
      <c r="X1549" s="246">
        <f>_xlfn.XLOOKUP(FME_Ranking1[[#This Row],[FME ID]],FME_Input[FME_ID],FME_Input[ROADCLS])</f>
        <v>21</v>
      </c>
      <c r="Y1549" s="230">
        <f>(FME_Ranking1[[#This Row],[Closures Raw]]/$X$2)*100</f>
        <v>0.22079697192724212</v>
      </c>
      <c r="Z1549" s="180">
        <f>FME_Ranking1[[#This Row],[Closures Score (Normalized, Unweighted)]]*$X$3</f>
        <v>1.1039848596362107E-2</v>
      </c>
      <c r="AA1549" s="253">
        <f>_xlfn.XLOOKUP(FME_Ranking1[[#This Row],[FME ID]],FME_Input[FME_ID],FME_Input[ROAD_MILES100])</f>
        <v>0.43000000715255737</v>
      </c>
      <c r="AB1549" s="178">
        <f>(FME_Ranking1[[#This Row],[Miles Raw]]/$AA$2)*100</f>
        <v>5.6537288528365655E-3</v>
      </c>
      <c r="AC1549" s="178">
        <f>FME_Ranking1[[#This Row],[Miles Score (Normalized, Unweighted)]]*$AA$3</f>
        <v>5.6537288528365657E-4</v>
      </c>
      <c r="AD1549" s="255">
        <f>_xlfn.XLOOKUP(FME_Ranking1[[#This Row],[FME ID]],FME_Input[FME_ID],FME_Input[FARMACRE100])</f>
        <v>13.105299949646</v>
      </c>
      <c r="AE1549" s="230">
        <f>(FME_Ranking1[[#This Row],[Ag Land Raw]]/$AD$2)*100</f>
        <v>5.4040390399982515E-4</v>
      </c>
      <c r="AF1549" s="231">
        <f>FME_Ranking1[[#This Row],[Ag Land Score (Normalized, Unweighted)]]*$AD$3</f>
        <v>2.7020195199991257E-5</v>
      </c>
      <c r="AG154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1.761179897195533E-2</v>
      </c>
      <c r="AH1549" s="406">
        <f t="shared" si="24"/>
        <v>1603</v>
      </c>
      <c r="AI154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1.761179897195533E-2</v>
      </c>
      <c r="AJ1549" s="257">
        <f>FME_Ranking1[[#This Row],[Addition check]]-FME_Ranking1[[#This Row],[Weighted Score Based on Normalized Reported Factors]]</f>
        <v>0</v>
      </c>
      <c r="AK1549" s="178">
        <f>_xlfn.RANK.EQ(AI1549,$AI$6:$AI$2341,0)+COUNTIF($AI$6:AI1549,AI1549)-1</f>
        <v>1603</v>
      </c>
    </row>
    <row r="1550" spans="1:37" x14ac:dyDescent="0.25">
      <c r="A1550" t="s">
        <v>5342</v>
      </c>
      <c r="B1550">
        <f>_xlfn.XLOOKUP(FME_Ranking1[[#This Row],[FME ID]],FME_Input[FME_ID],FME_Input[RFPG_NUM])</f>
        <v>3</v>
      </c>
      <c r="C1550" t="str">
        <f>_xlfn.XLOOKUP(FME_Ranking1[[#This Row],[FME ID]],FME_Input[FME_ID],FME_Input[FME_NAME])</f>
        <v>Ten Mile Creek at Ferris Road</v>
      </c>
      <c r="D1550" t="str">
        <f>_xlfn.XLOOKUP(FME_Ranking1[[#This Row],[FME ID]],FME_Input[FME_ID],FME_Input[DESCR])</f>
        <v>Evaluate bridge improvements for Ferris Road over Ten Mile Creek</v>
      </c>
      <c r="E1550" s="256">
        <f>_xlfn.XLOOKUP(FME_Ranking1[[#This Row],[FME ID]],FME_Input[FME_ID],FME_Input[FME_COST])</f>
        <v>250000</v>
      </c>
      <c r="F1550" t="str">
        <f>_xlfn.XLOOKUP(FME_Ranking1[[#This Row],[FME ID]],FME_Input[FME_ID],FME_Input[EMER_NEED])</f>
        <v>No</v>
      </c>
      <c r="G1550">
        <f>IF(FME_Ranking!F1550="Yes",100,0)</f>
        <v>0</v>
      </c>
      <c r="H1550">
        <f>FME_Ranking1[[#This Row],[Emergency Need Score (Normalized, Unweighted)]]*$F$3</f>
        <v>0</v>
      </c>
      <c r="I1550" s="246">
        <f>_xlfn.XLOOKUP(FME_Ranking1[[#This Row],[FME ID]],FME_Input[FME_ID],FME_Input[STRUCT_100])</f>
        <v>28</v>
      </c>
      <c r="J1550" s="178">
        <f>(FME_Ranking1[[#This Row],[Structures 100 Raw]]/I$2)*100</f>
        <v>1.4993788287709378E-2</v>
      </c>
      <c r="K1550" s="178">
        <f>FME_Ranking1[[#This Row],[Structures 100  Score (Normalized, Unweighted)]]*$I$3</f>
        <v>2.2490682431564068E-3</v>
      </c>
      <c r="L1550" s="246">
        <f>_xlfn.XLOOKUP(FME_Ranking1[[#This Row],[FME ID]],FME_Input[FME_ID],FME_Input[RES_STRUCT100])</f>
        <v>22</v>
      </c>
      <c r="M1550" s="230">
        <f>(FME_Ranking1[[#This Row],[Res Structures Raw]]/L$2)*100</f>
        <v>1.5582723010015441E-2</v>
      </c>
      <c r="N1550" s="180">
        <f>FME_Ranking1[[#This Row],[Res Structures Score (Normalized, Unweighted)]]*$L$3</f>
        <v>1.5582723010015443E-3</v>
      </c>
      <c r="O1550" s="244">
        <f>_xlfn.XLOOKUP(FME_Ranking1[[#This Row],[FME ID]],FME_Input[FME_ID],FME_Input[POP100])</f>
        <v>41</v>
      </c>
      <c r="P1550" s="178">
        <f>(FME_Ranking1[[#This Row],[Pop Raw]]/$O$2)*100</f>
        <v>4.1973877915392954E-3</v>
      </c>
      <c r="Q1550" s="178">
        <f>FME_Ranking1[[#This Row],[Pop Score (Normalized, Unweighted)]]*$O$3</f>
        <v>6.2960816873089431E-4</v>
      </c>
      <c r="R1550" s="137">
        <f>_xlfn.XLOOKUP(FME_Ranking1[[#This Row],[FME ID]],FME_Input[FME_ID],FME_Input[CRITFAC100])</f>
        <v>1</v>
      </c>
      <c r="S1550" s="230">
        <f>(FME_Ranking1[[#This Row],[Critical Facilities Raw]]/$R$2)*100</f>
        <v>4.2881646655231559E-2</v>
      </c>
      <c r="T1550" s="180">
        <f>FME_Ranking1[[#This Row],[Critical Facilities Score (Normalized, Unweighted)]]*$R$3</f>
        <v>8.5763293310463125E-3</v>
      </c>
      <c r="U1550">
        <f>_xlfn.XLOOKUP(FME_Ranking1[[#This Row],[FME ID]],FME_Input[FME_ID],FME_Input[LWC])</f>
        <v>0</v>
      </c>
      <c r="V1550" s="178">
        <f>(FME_Ranking1[[#This Row],[LWC Raw]]/$U$2)*100</f>
        <v>0</v>
      </c>
      <c r="W1550" s="178">
        <f>FME_Ranking1[[#This Row],[LWC Score (Normalized, Unweighted)]]*$U$3</f>
        <v>0</v>
      </c>
      <c r="X1550" s="246">
        <f>_xlfn.XLOOKUP(FME_Ranking1[[#This Row],[FME ID]],FME_Input[FME_ID],FME_Input[ROADCLS])</f>
        <v>0</v>
      </c>
      <c r="Y1550" s="230">
        <f>(FME_Ranking1[[#This Row],[Closures Raw]]/$X$2)*100</f>
        <v>0</v>
      </c>
      <c r="Z1550" s="180">
        <f>FME_Ranking1[[#This Row],[Closures Score (Normalized, Unweighted)]]*$X$3</f>
        <v>0</v>
      </c>
      <c r="AA1550" s="253">
        <f>_xlfn.XLOOKUP(FME_Ranking1[[#This Row],[FME ID]],FME_Input[FME_ID],FME_Input[ROAD_MILES100])</f>
        <v>4.0715541839599609</v>
      </c>
      <c r="AB1550" s="178">
        <f>(FME_Ranking1[[#This Row],[Miles Raw]]/$AA$2)*100</f>
        <v>5.3533634843812725E-2</v>
      </c>
      <c r="AC1550" s="178">
        <f>FME_Ranking1[[#This Row],[Miles Score (Normalized, Unweighted)]]*$AA$3</f>
        <v>5.3533634843812728E-3</v>
      </c>
      <c r="AD1550" s="255">
        <f>_xlfn.XLOOKUP(FME_Ranking1[[#This Row],[FME ID]],FME_Input[FME_ID],FME_Input[FARMACRE100])</f>
        <v>1892.139038085938</v>
      </c>
      <c r="AE1550" s="230">
        <f>(FME_Ranking1[[#This Row],[Ag Land Raw]]/$AD$2)*100</f>
        <v>7.8023343763279143E-2</v>
      </c>
      <c r="AF1550" s="231">
        <f>FME_Ranking1[[#This Row],[Ag Land Score (Normalized, Unweighted)]]*$AD$3</f>
        <v>3.9011671881639572E-3</v>
      </c>
      <c r="AG155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2.2267808716480385E-2</v>
      </c>
      <c r="AH1550" s="406">
        <f t="shared" si="24"/>
        <v>1549</v>
      </c>
      <c r="AI155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2.2267808716480385E-2</v>
      </c>
      <c r="AJ1550" s="257">
        <f>FME_Ranking1[[#This Row],[Addition check]]-FME_Ranking1[[#This Row],[Weighted Score Based on Normalized Reported Factors]]</f>
        <v>0</v>
      </c>
      <c r="AK1550" s="178">
        <f>_xlfn.RANK.EQ(AI1550,$AI$6:$AI$2341,0)+COUNTIF($AI$6:AI1550,AI1550)-1</f>
        <v>1549</v>
      </c>
    </row>
    <row r="1551" spans="1:37" x14ac:dyDescent="0.25">
      <c r="A1551" t="s">
        <v>5347</v>
      </c>
      <c r="B1551">
        <f>_xlfn.XLOOKUP(FME_Ranking1[[#This Row],[FME ID]],FME_Input[FME_ID],FME_Input[RFPG_NUM])</f>
        <v>3</v>
      </c>
      <c r="C1551" t="str">
        <f>_xlfn.XLOOKUP(FME_Ranking1[[#This Row],[FME ID]],FME_Input[FME_ID],FME_Input[FME_NAME])</f>
        <v xml:space="preserve">Ten Mile Creek at Parkinson Road </v>
      </c>
      <c r="D1551" t="str">
        <f>_xlfn.XLOOKUP(FME_Ranking1[[#This Row],[FME ID]],FME_Input[FME_ID],FME_Input[DESCR])</f>
        <v>Evaluate bridge improvements for Parkinson Road over Ten Mile Creek</v>
      </c>
      <c r="E1551" s="256">
        <f>_xlfn.XLOOKUP(FME_Ranking1[[#This Row],[FME ID]],FME_Input[FME_ID],FME_Input[FME_COST])</f>
        <v>1032000</v>
      </c>
      <c r="F1551" t="str">
        <f>_xlfn.XLOOKUP(FME_Ranking1[[#This Row],[FME ID]],FME_Input[FME_ID],FME_Input[EMER_NEED])</f>
        <v>No</v>
      </c>
      <c r="G1551">
        <f>IF(FME_Ranking!F1551="Yes",100,0)</f>
        <v>0</v>
      </c>
      <c r="H1551">
        <f>FME_Ranking1[[#This Row],[Emergency Need Score (Normalized, Unweighted)]]*$F$3</f>
        <v>0</v>
      </c>
      <c r="I1551" s="246">
        <f>_xlfn.XLOOKUP(FME_Ranking1[[#This Row],[FME ID]],FME_Input[FME_ID],FME_Input[STRUCT_100])</f>
        <v>28</v>
      </c>
      <c r="J1551" s="178">
        <f>(FME_Ranking1[[#This Row],[Structures 100 Raw]]/I$2)*100</f>
        <v>1.4993788287709378E-2</v>
      </c>
      <c r="K1551" s="178">
        <f>FME_Ranking1[[#This Row],[Structures 100  Score (Normalized, Unweighted)]]*$I$3</f>
        <v>2.2490682431564068E-3</v>
      </c>
      <c r="L1551" s="246">
        <f>_xlfn.XLOOKUP(FME_Ranking1[[#This Row],[FME ID]],FME_Input[FME_ID],FME_Input[RES_STRUCT100])</f>
        <v>22</v>
      </c>
      <c r="M1551" s="230">
        <f>(FME_Ranking1[[#This Row],[Res Structures Raw]]/L$2)*100</f>
        <v>1.5582723010015441E-2</v>
      </c>
      <c r="N1551" s="180">
        <f>FME_Ranking1[[#This Row],[Res Structures Score (Normalized, Unweighted)]]*$L$3</f>
        <v>1.5582723010015443E-3</v>
      </c>
      <c r="O1551" s="244">
        <f>_xlfn.XLOOKUP(FME_Ranking1[[#This Row],[FME ID]],FME_Input[FME_ID],FME_Input[POP100])</f>
        <v>41</v>
      </c>
      <c r="P1551" s="178">
        <f>(FME_Ranking1[[#This Row],[Pop Raw]]/$O$2)*100</f>
        <v>4.1973877915392954E-3</v>
      </c>
      <c r="Q1551" s="178">
        <f>FME_Ranking1[[#This Row],[Pop Score (Normalized, Unweighted)]]*$O$3</f>
        <v>6.2960816873089431E-4</v>
      </c>
      <c r="R1551" s="137">
        <f>_xlfn.XLOOKUP(FME_Ranking1[[#This Row],[FME ID]],FME_Input[FME_ID],FME_Input[CRITFAC100])</f>
        <v>1</v>
      </c>
      <c r="S1551" s="230">
        <f>(FME_Ranking1[[#This Row],[Critical Facilities Raw]]/$R$2)*100</f>
        <v>4.2881646655231559E-2</v>
      </c>
      <c r="T1551" s="180">
        <f>FME_Ranking1[[#This Row],[Critical Facilities Score (Normalized, Unweighted)]]*$R$3</f>
        <v>8.5763293310463125E-3</v>
      </c>
      <c r="U1551">
        <f>_xlfn.XLOOKUP(FME_Ranking1[[#This Row],[FME ID]],FME_Input[FME_ID],FME_Input[LWC])</f>
        <v>0</v>
      </c>
      <c r="V1551" s="178">
        <f>(FME_Ranking1[[#This Row],[LWC Raw]]/$U$2)*100</f>
        <v>0</v>
      </c>
      <c r="W1551" s="178">
        <f>FME_Ranking1[[#This Row],[LWC Score (Normalized, Unweighted)]]*$U$3</f>
        <v>0</v>
      </c>
      <c r="X1551" s="246">
        <f>_xlfn.XLOOKUP(FME_Ranking1[[#This Row],[FME ID]],FME_Input[FME_ID],FME_Input[ROADCLS])</f>
        <v>0</v>
      </c>
      <c r="Y1551" s="230">
        <f>(FME_Ranking1[[#This Row],[Closures Raw]]/$X$2)*100</f>
        <v>0</v>
      </c>
      <c r="Z1551" s="180">
        <f>FME_Ranking1[[#This Row],[Closures Score (Normalized, Unweighted)]]*$X$3</f>
        <v>0</v>
      </c>
      <c r="AA1551" s="253">
        <f>_xlfn.XLOOKUP(FME_Ranking1[[#This Row],[FME ID]],FME_Input[FME_ID],FME_Input[ROAD_MILES100])</f>
        <v>4.0715541839599609</v>
      </c>
      <c r="AB1551" s="178">
        <f>(FME_Ranking1[[#This Row],[Miles Raw]]/$AA$2)*100</f>
        <v>5.3533634843812725E-2</v>
      </c>
      <c r="AC1551" s="178">
        <f>FME_Ranking1[[#This Row],[Miles Score (Normalized, Unweighted)]]*$AA$3</f>
        <v>5.3533634843812728E-3</v>
      </c>
      <c r="AD1551" s="255">
        <f>_xlfn.XLOOKUP(FME_Ranking1[[#This Row],[FME ID]],FME_Input[FME_ID],FME_Input[FARMACRE100])</f>
        <v>1892.139038085938</v>
      </c>
      <c r="AE1551" s="230">
        <f>(FME_Ranking1[[#This Row],[Ag Land Raw]]/$AD$2)*100</f>
        <v>7.8023343763279143E-2</v>
      </c>
      <c r="AF1551" s="231">
        <f>FME_Ranking1[[#This Row],[Ag Land Score (Normalized, Unweighted)]]*$AD$3</f>
        <v>3.9011671881639572E-3</v>
      </c>
      <c r="AG155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2.2267808716480385E-2</v>
      </c>
      <c r="AH1551" s="406">
        <f t="shared" si="24"/>
        <v>1549</v>
      </c>
      <c r="AI155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2.2267808716480385E-2</v>
      </c>
      <c r="AJ1551" s="257">
        <f>FME_Ranking1[[#This Row],[Addition check]]-FME_Ranking1[[#This Row],[Weighted Score Based on Normalized Reported Factors]]</f>
        <v>0</v>
      </c>
      <c r="AK1551" s="178">
        <f>_xlfn.RANK.EQ(AI1551,$AI$6:$AI$2341,0)+COUNTIF($AI$6:AI1551,AI1551)-1</f>
        <v>1550</v>
      </c>
    </row>
    <row r="1552" spans="1:37" x14ac:dyDescent="0.25">
      <c r="A1552" t="s">
        <v>4514</v>
      </c>
      <c r="B1552">
        <f>_xlfn.XLOOKUP(FME_Ranking1[[#This Row],[FME ID]],FME_Input[FME_ID],FME_Input[RFPG_NUM])</f>
        <v>3</v>
      </c>
      <c r="C1552" t="str">
        <f>_xlfn.XLOOKUP(FME_Ranking1[[#This Row],[FME ID]],FME_Input[FME_ID],FME_Input[FME_NAME])</f>
        <v>CR 1400 drainage study</v>
      </c>
      <c r="D1552" t="str">
        <f>_xlfn.XLOOKUP(FME_Ranking1[[#This Row],[FME ID]],FME_Input[FME_ID],FME_Input[DESCR])</f>
        <v>Evaluate widening road and installing box drains where necessary.</v>
      </c>
      <c r="E1552" s="256">
        <f>_xlfn.XLOOKUP(FME_Ranking1[[#This Row],[FME ID]],FME_Input[FME_ID],FME_Input[FME_COST])</f>
        <v>500000</v>
      </c>
      <c r="F1552" t="str">
        <f>_xlfn.XLOOKUP(FME_Ranking1[[#This Row],[FME ID]],FME_Input[FME_ID],FME_Input[EMER_NEED])</f>
        <v>No</v>
      </c>
      <c r="G1552">
        <f>IF(FME_Ranking!F1552="Yes",100,0)</f>
        <v>0</v>
      </c>
      <c r="H1552">
        <f>FME_Ranking1[[#This Row],[Emergency Need Score (Normalized, Unweighted)]]*$F$3</f>
        <v>0</v>
      </c>
      <c r="I1552" s="246">
        <f>_xlfn.XLOOKUP(FME_Ranking1[[#This Row],[FME ID]],FME_Input[FME_ID],FME_Input[STRUCT_100])</f>
        <v>30</v>
      </c>
      <c r="J1552" s="178">
        <f>(FME_Ranking1[[#This Row],[Structures 100 Raw]]/I$2)*100</f>
        <v>1.6064773165402904E-2</v>
      </c>
      <c r="K1552" s="178">
        <f>FME_Ranking1[[#This Row],[Structures 100  Score (Normalized, Unweighted)]]*$I$3</f>
        <v>2.4097159748104357E-3</v>
      </c>
      <c r="L1552" s="246">
        <f>_xlfn.XLOOKUP(FME_Ranking1[[#This Row],[FME ID]],FME_Input[FME_ID],FME_Input[RES_STRUCT100])</f>
        <v>19</v>
      </c>
      <c r="M1552" s="230">
        <f>(FME_Ranking1[[#This Row],[Res Structures Raw]]/L$2)*100</f>
        <v>1.3457806235922425E-2</v>
      </c>
      <c r="N1552" s="180">
        <f>FME_Ranking1[[#This Row],[Res Structures Score (Normalized, Unweighted)]]*$L$3</f>
        <v>1.3457806235922425E-3</v>
      </c>
      <c r="O1552" s="244">
        <f>_xlfn.XLOOKUP(FME_Ranking1[[#This Row],[FME ID]],FME_Input[FME_ID],FME_Input[POP100])</f>
        <v>284</v>
      </c>
      <c r="P1552" s="178">
        <f>(FME_Ranking1[[#This Row],[Pop Raw]]/$O$2)*100</f>
        <v>2.9074588604808774E-2</v>
      </c>
      <c r="Q1552" s="178">
        <f>FME_Ranking1[[#This Row],[Pop Score (Normalized, Unweighted)]]*$O$3</f>
        <v>4.3611882907213162E-3</v>
      </c>
      <c r="R1552" s="137">
        <f>_xlfn.XLOOKUP(FME_Ranking1[[#This Row],[FME ID]],FME_Input[FME_ID],FME_Input[CRITFAC100])</f>
        <v>1</v>
      </c>
      <c r="S1552" s="230">
        <f>(FME_Ranking1[[#This Row],[Critical Facilities Raw]]/$R$2)*100</f>
        <v>4.2881646655231559E-2</v>
      </c>
      <c r="T1552" s="180">
        <f>FME_Ranking1[[#This Row],[Critical Facilities Score (Normalized, Unweighted)]]*$R$3</f>
        <v>8.5763293310463125E-3</v>
      </c>
      <c r="U1552">
        <f>_xlfn.XLOOKUP(FME_Ranking1[[#This Row],[FME ID]],FME_Input[FME_ID],FME_Input[LWC])</f>
        <v>0</v>
      </c>
      <c r="V1552" s="178">
        <f>(FME_Ranking1[[#This Row],[LWC Raw]]/$U$2)*100</f>
        <v>0</v>
      </c>
      <c r="W1552" s="178">
        <f>FME_Ranking1[[#This Row],[LWC Score (Normalized, Unweighted)]]*$U$3</f>
        <v>0</v>
      </c>
      <c r="X1552" s="246">
        <f>_xlfn.XLOOKUP(FME_Ranking1[[#This Row],[FME ID]],FME_Input[FME_ID],FME_Input[ROADCLS])</f>
        <v>0</v>
      </c>
      <c r="Y1552" s="230">
        <f>(FME_Ranking1[[#This Row],[Closures Raw]]/$X$2)*100</f>
        <v>0</v>
      </c>
      <c r="Z1552" s="180">
        <f>FME_Ranking1[[#This Row],[Closures Score (Normalized, Unweighted)]]*$X$3</f>
        <v>0</v>
      </c>
      <c r="AA1552" s="253">
        <f>_xlfn.XLOOKUP(FME_Ranking1[[#This Row],[FME ID]],FME_Input[FME_ID],FME_Input[ROAD_MILES100])</f>
        <v>1.5717999935150151</v>
      </c>
      <c r="AB1552" s="178">
        <f>(FME_Ranking1[[#This Row],[Miles Raw]]/$AA$2)*100</f>
        <v>2.0666350759085832E-2</v>
      </c>
      <c r="AC1552" s="178">
        <f>FME_Ranking1[[#This Row],[Miles Score (Normalized, Unweighted)]]*$AA$3</f>
        <v>2.0666350759085835E-3</v>
      </c>
      <c r="AD1552" s="255">
        <f>_xlfn.XLOOKUP(FME_Ranking1[[#This Row],[FME ID]],FME_Input[FME_ID],FME_Input[FARMACRE100])</f>
        <v>42.987171173095703</v>
      </c>
      <c r="AE1552" s="230">
        <f>(FME_Ranking1[[#This Row],[Ag Land Raw]]/$AD$2)*100</f>
        <v>1.7725985069481115E-3</v>
      </c>
      <c r="AF1552" s="231">
        <f>FME_Ranking1[[#This Row],[Ag Land Score (Normalized, Unweighted)]]*$AD$3</f>
        <v>8.8629925347405588E-5</v>
      </c>
      <c r="AG155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1.8848279221426293E-2</v>
      </c>
      <c r="AH1552" s="406">
        <f t="shared" si="24"/>
        <v>1588</v>
      </c>
      <c r="AI155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1.8848279221426293E-2</v>
      </c>
      <c r="AJ1552" s="257">
        <f>FME_Ranking1[[#This Row],[Addition check]]-FME_Ranking1[[#This Row],[Weighted Score Based on Normalized Reported Factors]]</f>
        <v>0</v>
      </c>
      <c r="AK1552" s="178">
        <f>_xlfn.RANK.EQ(AI1552,$AI$6:$AI$2341,0)+COUNTIF($AI$6:AI1552,AI1552)-1</f>
        <v>1588</v>
      </c>
    </row>
    <row r="1553" spans="1:37" x14ac:dyDescent="0.25">
      <c r="A1553" t="s">
        <v>6369</v>
      </c>
      <c r="B1553">
        <f>_xlfn.XLOOKUP(FME_Ranking1[[#This Row],[FME ID]],FME_Input[FME_ID],FME_Input[RFPG_NUM])</f>
        <v>5</v>
      </c>
      <c r="C1553" t="str">
        <f>_xlfn.XLOOKUP(FME_Ranking1[[#This Row],[FME ID]],FME_Input[FME_ID],FME_Input[FME_NAME])</f>
        <v>City of Lumberton East Village Creek Parkway Drainage Improvements</v>
      </c>
      <c r="D1553" t="str">
        <f>_xlfn.XLOOKUP(FME_Ranking1[[#This Row],[FME ID]],FME_Input[FME_ID],FME_Input[DESCR])</f>
        <v>H&amp;H Study to identify alternatives for improving existing drainage of East Village Creek Parkway</v>
      </c>
      <c r="E1553" s="256">
        <f>_xlfn.XLOOKUP(FME_Ranking1[[#This Row],[FME ID]],FME_Input[FME_ID],FME_Input[FME_COST])</f>
        <v>125000</v>
      </c>
      <c r="F1553" t="str">
        <f>_xlfn.XLOOKUP(FME_Ranking1[[#This Row],[FME ID]],FME_Input[FME_ID],FME_Input[EMER_NEED])</f>
        <v>Yes</v>
      </c>
      <c r="G1553">
        <f>IF(FME_Ranking!F1553="Yes",100,0)</f>
        <v>100</v>
      </c>
      <c r="H1553">
        <f>FME_Ranking1[[#This Row],[Emergency Need Score (Normalized, Unweighted)]]*$F$3</f>
        <v>0</v>
      </c>
      <c r="I1553" s="246">
        <f>_xlfn.XLOOKUP(FME_Ranking1[[#This Row],[FME ID]],FME_Input[FME_ID],FME_Input[STRUCT_100])</f>
        <v>27</v>
      </c>
      <c r="J1553" s="178">
        <f>(FME_Ranking1[[#This Row],[Structures 100 Raw]]/I$2)*100</f>
        <v>1.4458295848862615E-2</v>
      </c>
      <c r="K1553" s="178">
        <f>FME_Ranking1[[#This Row],[Structures 100  Score (Normalized, Unweighted)]]*$I$3</f>
        <v>2.1687443773293924E-3</v>
      </c>
      <c r="L1553" s="246">
        <f>_xlfn.XLOOKUP(FME_Ranking1[[#This Row],[FME ID]],FME_Input[FME_ID],FME_Input[RES_STRUCT100])</f>
        <v>17</v>
      </c>
      <c r="M1553" s="230">
        <f>(FME_Ranking1[[#This Row],[Res Structures Raw]]/L$2)*100</f>
        <v>1.2041195053193749E-2</v>
      </c>
      <c r="N1553" s="180">
        <f>FME_Ranking1[[#This Row],[Res Structures Score (Normalized, Unweighted)]]*$L$3</f>
        <v>1.2041195053193749E-3</v>
      </c>
      <c r="O1553" s="244">
        <f>_xlfn.XLOOKUP(FME_Ranking1[[#This Row],[FME ID]],FME_Input[FME_ID],FME_Input[POP100])</f>
        <v>82</v>
      </c>
      <c r="P1553" s="178">
        <f>(FME_Ranking1[[#This Row],[Pop Raw]]/$O$2)*100</f>
        <v>8.3947755830785908E-3</v>
      </c>
      <c r="Q1553" s="178">
        <f>FME_Ranking1[[#This Row],[Pop Score (Normalized, Unweighted)]]*$O$3</f>
        <v>1.2592163374617886E-3</v>
      </c>
      <c r="R1553" s="137">
        <f>_xlfn.XLOOKUP(FME_Ranking1[[#This Row],[FME ID]],FME_Input[FME_ID],FME_Input[CRITFAC100])</f>
        <v>0</v>
      </c>
      <c r="S1553" s="230">
        <f>(FME_Ranking1[[#This Row],[Critical Facilities Raw]]/$R$2)*100</f>
        <v>0</v>
      </c>
      <c r="T1553" s="180">
        <f>FME_Ranking1[[#This Row],[Critical Facilities Score (Normalized, Unweighted)]]*$R$3</f>
        <v>0</v>
      </c>
      <c r="U1553">
        <f>_xlfn.XLOOKUP(FME_Ranking1[[#This Row],[FME ID]],FME_Input[FME_ID],FME_Input[LWC])</f>
        <v>1</v>
      </c>
      <c r="V1553" s="178">
        <f>(FME_Ranking1[[#This Row],[LWC Raw]]/$U$2)*100</f>
        <v>5.7570523891767422E-2</v>
      </c>
      <c r="W1553" s="178">
        <f>FME_Ranking1[[#This Row],[LWC Score (Normalized, Unweighted)]]*$U$3</f>
        <v>1.1514104778353485E-2</v>
      </c>
      <c r="X1553" s="246">
        <f>_xlfn.XLOOKUP(FME_Ranking1[[#This Row],[FME ID]],FME_Input[FME_ID],FME_Input[ROADCLS])</f>
        <v>1</v>
      </c>
      <c r="Y1553" s="230">
        <f>(FME_Ranking1[[#This Row],[Closures Raw]]/$X$2)*100</f>
        <v>1.0514141520344864E-2</v>
      </c>
      <c r="Z1553" s="180">
        <f>FME_Ranking1[[#This Row],[Closures Score (Normalized, Unweighted)]]*$X$3</f>
        <v>5.2570707601724321E-4</v>
      </c>
      <c r="AA1553" s="253">
        <f>_xlfn.XLOOKUP(FME_Ranking1[[#This Row],[FME ID]],FME_Input[FME_ID],FME_Input[ROAD_MILES100])</f>
        <v>0.61809378862380981</v>
      </c>
      <c r="AB1553" s="178">
        <f>(FME_Ranking1[[#This Row],[Miles Raw]]/$AA$2)*100</f>
        <v>8.1268247171486473E-3</v>
      </c>
      <c r="AC1553" s="178">
        <f>FME_Ranking1[[#This Row],[Miles Score (Normalized, Unweighted)]]*$AA$3</f>
        <v>8.1268247171486477E-4</v>
      </c>
      <c r="AD1553" s="255">
        <f>_xlfn.XLOOKUP(FME_Ranking1[[#This Row],[FME ID]],FME_Input[FME_ID],FME_Input[FARMACRE100])</f>
        <v>1.21292507648468</v>
      </c>
      <c r="AE1553" s="230">
        <f>(FME_Ranking1[[#This Row],[Ag Land Raw]]/$AD$2)*100</f>
        <v>5.0015600490648296E-5</v>
      </c>
      <c r="AF1553" s="231">
        <f>FME_Ranking1[[#This Row],[Ag Land Score (Normalized, Unweighted)]]*$AD$3</f>
        <v>2.5007800245324151E-6</v>
      </c>
      <c r="AG155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1.7487075326220684E-2</v>
      </c>
      <c r="AH1553" s="406">
        <f t="shared" si="24"/>
        <v>1604</v>
      </c>
      <c r="AI155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1.7487075326220684E-2</v>
      </c>
      <c r="AJ1553" s="257">
        <f>FME_Ranking1[[#This Row],[Addition check]]-FME_Ranking1[[#This Row],[Weighted Score Based on Normalized Reported Factors]]</f>
        <v>0</v>
      </c>
      <c r="AK1553" s="178">
        <f>_xlfn.RANK.EQ(AI1553,$AI$6:$AI$2341,0)+COUNTIF($AI$6:AI1553,AI1553)-1</f>
        <v>1604</v>
      </c>
    </row>
    <row r="1554" spans="1:37" x14ac:dyDescent="0.25">
      <c r="A1554" t="s">
        <v>9265</v>
      </c>
      <c r="B1554">
        <f>_xlfn.XLOOKUP(FME_Ranking1[[#This Row],[FME ID]],FME_Input[FME_ID],FME_Input[RFPG_NUM])</f>
        <v>12</v>
      </c>
      <c r="C1554" t="str">
        <f>_xlfn.XLOOKUP(FME_Ranking1[[#This Row],[FME ID]],FME_Input[FME_ID],FME_Input[FME_NAME])</f>
        <v>DC19: Salado Creek Tributary B</v>
      </c>
      <c r="D1554" t="str">
        <f>_xlfn.XLOOKUP(FME_Ranking1[[#This Row],[FME ID]],FME_Input[FME_ID],FME_Input[DESCR])</f>
        <v>Improvement on IH 10 culvert crossing to reduce peak flood stages upstream of IH 10 channel improvements downstream of IH 10 to prevent peak flood stage increase</v>
      </c>
      <c r="E1554" s="256">
        <f>_xlfn.XLOOKUP(FME_Ranking1[[#This Row],[FME ID]],FME_Input[FME_ID],FME_Input[FME_COST])</f>
        <v>19790464</v>
      </c>
      <c r="F1554" t="str">
        <f>_xlfn.XLOOKUP(FME_Ranking1[[#This Row],[FME ID]],FME_Input[FME_ID],FME_Input[EMER_NEED])</f>
        <v>No</v>
      </c>
      <c r="G1554">
        <f>IF(FME_Ranking!F1554="Yes",100,0)</f>
        <v>0</v>
      </c>
      <c r="H1554">
        <f>FME_Ranking1[[#This Row],[Emergency Need Score (Normalized, Unweighted)]]*$F$3</f>
        <v>0</v>
      </c>
      <c r="I1554" s="246">
        <f>_xlfn.XLOOKUP(FME_Ranking1[[#This Row],[FME ID]],FME_Input[FME_ID],FME_Input[STRUCT_100])</f>
        <v>65</v>
      </c>
      <c r="J1554" s="178">
        <f>(FME_Ranking1[[#This Row],[Structures 100 Raw]]/I$2)*100</f>
        <v>3.480700852503963E-2</v>
      </c>
      <c r="K1554" s="178">
        <f>FME_Ranking1[[#This Row],[Structures 100  Score (Normalized, Unweighted)]]*$I$3</f>
        <v>5.2210512787559445E-3</v>
      </c>
      <c r="L1554" s="246">
        <f>_xlfn.XLOOKUP(FME_Ranking1[[#This Row],[FME ID]],FME_Input[FME_ID],FME_Input[RES_STRUCT100])</f>
        <v>65</v>
      </c>
      <c r="M1554" s="230">
        <f>(FME_Ranking1[[#This Row],[Res Structures Raw]]/L$2)*100</f>
        <v>4.6039863438681987E-2</v>
      </c>
      <c r="N1554" s="180">
        <f>FME_Ranking1[[#This Row],[Res Structures Score (Normalized, Unweighted)]]*$L$3</f>
        <v>4.6039863438681987E-3</v>
      </c>
      <c r="O1554" s="244">
        <f>_xlfn.XLOOKUP(FME_Ranking1[[#This Row],[FME ID]],FME_Input[FME_ID],FME_Input[POP100])</f>
        <v>172</v>
      </c>
      <c r="P1554" s="178">
        <f>(FME_Ranking1[[#This Row],[Pop Raw]]/$O$2)*100</f>
        <v>1.7608553662067285E-2</v>
      </c>
      <c r="Q1554" s="178">
        <f>FME_Ranking1[[#This Row],[Pop Score (Normalized, Unweighted)]]*$O$3</f>
        <v>2.6412830493100928E-3</v>
      </c>
      <c r="R1554" s="137">
        <f>_xlfn.XLOOKUP(FME_Ranking1[[#This Row],[FME ID]],FME_Input[FME_ID],FME_Input[CRITFAC100])</f>
        <v>0</v>
      </c>
      <c r="S1554" s="230">
        <f>(FME_Ranking1[[#This Row],[Critical Facilities Raw]]/$R$2)*100</f>
        <v>0</v>
      </c>
      <c r="T1554" s="180">
        <f>FME_Ranking1[[#This Row],[Critical Facilities Score (Normalized, Unweighted)]]*$R$3</f>
        <v>0</v>
      </c>
      <c r="U1554">
        <f>_xlfn.XLOOKUP(FME_Ranking1[[#This Row],[FME ID]],FME_Input[FME_ID],FME_Input[LWC])</f>
        <v>0</v>
      </c>
      <c r="V1554" s="178">
        <f>(FME_Ranking1[[#This Row],[LWC Raw]]/$U$2)*100</f>
        <v>0</v>
      </c>
      <c r="W1554" s="178">
        <f>FME_Ranking1[[#This Row],[LWC Score (Normalized, Unweighted)]]*$U$3</f>
        <v>0</v>
      </c>
      <c r="X1554" s="246">
        <f>_xlfn.XLOOKUP(FME_Ranking1[[#This Row],[FME ID]],FME_Input[FME_ID],FME_Input[ROADCLS])</f>
        <v>8</v>
      </c>
      <c r="Y1554" s="230">
        <f>(FME_Ranking1[[#This Row],[Closures Raw]]/$X$2)*100</f>
        <v>8.4113132162758911E-2</v>
      </c>
      <c r="Z1554" s="180">
        <f>FME_Ranking1[[#This Row],[Closures Score (Normalized, Unweighted)]]*$X$3</f>
        <v>4.2056566081379457E-3</v>
      </c>
      <c r="AA1554" s="253">
        <f>_xlfn.XLOOKUP(FME_Ranking1[[#This Row],[FME ID]],FME_Input[FME_ID],FME_Input[ROAD_MILES100])</f>
        <v>0.92000001668930054</v>
      </c>
      <c r="AB1554" s="178">
        <f>(FME_Ranking1[[#This Row],[Miles Raw]]/$AA$2)*100</f>
        <v>1.2096350121968795E-2</v>
      </c>
      <c r="AC1554" s="178">
        <f>FME_Ranking1[[#This Row],[Miles Score (Normalized, Unweighted)]]*$AA$3</f>
        <v>1.2096350121968795E-3</v>
      </c>
      <c r="AD1554" s="255">
        <f>_xlfn.XLOOKUP(FME_Ranking1[[#This Row],[FME ID]],FME_Input[FME_ID],FME_Input[FARMACRE100])</f>
        <v>0</v>
      </c>
      <c r="AE1554" s="230">
        <f>(FME_Ranking1[[#This Row],[Ag Land Raw]]/$AD$2)*100</f>
        <v>0</v>
      </c>
      <c r="AF1554" s="231">
        <f>FME_Ranking1[[#This Row],[Ag Land Score (Normalized, Unweighted)]]*$AD$3</f>
        <v>0</v>
      </c>
      <c r="AG155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1.7881612292269061E-2</v>
      </c>
      <c r="AH1554" s="406">
        <f t="shared" si="24"/>
        <v>1602</v>
      </c>
      <c r="AI155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1.7881612292269061E-2</v>
      </c>
      <c r="AJ1554" s="257">
        <f>FME_Ranking1[[#This Row],[Addition check]]-FME_Ranking1[[#This Row],[Weighted Score Based on Normalized Reported Factors]]</f>
        <v>0</v>
      </c>
      <c r="AK1554" s="178">
        <f>_xlfn.RANK.EQ(AI1554,$AI$6:$AI$2341,0)+COUNTIF($AI$6:AI1554,AI1554)-1</f>
        <v>1602</v>
      </c>
    </row>
    <row r="1555" spans="1:37" x14ac:dyDescent="0.25">
      <c r="A1555" t="s">
        <v>3735</v>
      </c>
      <c r="B1555">
        <f>_xlfn.XLOOKUP(FME_Ranking1[[#This Row],[FME ID]],FME_Input[FME_ID],FME_Input[RFPG_NUM])</f>
        <v>2</v>
      </c>
      <c r="C1555" t="str">
        <f>_xlfn.XLOOKUP(FME_Ranking1[[#This Row],[FME ID]],FME_Input[FME_ID],FME_Input[FME_NAME])</f>
        <v>Sulphur River (Main Stem) Log Jams</v>
      </c>
      <c r="D1555" t="str">
        <f>_xlfn.XLOOKUP(FME_Ranking1[[#This Row],[FME ID]],FME_Input[FME_ID],FME_Input[DESCR])</f>
        <v>Log and debris jams along Sulphur River near Highway 37</v>
      </c>
      <c r="E1555" s="256">
        <f>_xlfn.XLOOKUP(FME_Ranking1[[#This Row],[FME ID]],FME_Input[FME_ID],FME_Input[FME_COST])</f>
        <v>550000</v>
      </c>
      <c r="F1555" t="str">
        <f>_xlfn.XLOOKUP(FME_Ranking1[[#This Row],[FME ID]],FME_Input[FME_ID],FME_Input[EMER_NEED])</f>
        <v>No</v>
      </c>
      <c r="G1555">
        <f>IF(FME_Ranking!F1555="Yes",100,0)</f>
        <v>0</v>
      </c>
      <c r="H1555">
        <f>FME_Ranking1[[#This Row],[Emergency Need Score (Normalized, Unweighted)]]*$F$3</f>
        <v>0</v>
      </c>
      <c r="I1555" s="246">
        <f>_xlfn.XLOOKUP(FME_Ranking1[[#This Row],[FME ID]],FME_Input[FME_ID],FME_Input[STRUCT_100])</f>
        <v>23</v>
      </c>
      <c r="J1555" s="178">
        <f>(FME_Ranking1[[#This Row],[Structures 100 Raw]]/I$2)*100</f>
        <v>1.231632609347556E-2</v>
      </c>
      <c r="K1555" s="178">
        <f>FME_Ranking1[[#This Row],[Structures 100  Score (Normalized, Unweighted)]]*$I$3</f>
        <v>1.8474489140213339E-3</v>
      </c>
      <c r="L1555" s="246">
        <f>_xlfn.XLOOKUP(FME_Ranking1[[#This Row],[FME ID]],FME_Input[FME_ID],FME_Input[RES_STRUCT100])</f>
        <v>7</v>
      </c>
      <c r="M1555" s="230">
        <f>(FME_Ranking1[[#This Row],[Res Structures Raw]]/L$2)*100</f>
        <v>4.9581391395503681E-3</v>
      </c>
      <c r="N1555" s="180">
        <f>FME_Ranking1[[#This Row],[Res Structures Score (Normalized, Unweighted)]]*$L$3</f>
        <v>4.9581391395503687E-4</v>
      </c>
      <c r="O1555" s="244">
        <f>_xlfn.XLOOKUP(FME_Ranking1[[#This Row],[FME ID]],FME_Input[FME_ID],FME_Input[POP100])</f>
        <v>28</v>
      </c>
      <c r="P1555" s="178">
        <f>(FME_Ranking1[[#This Row],[Pop Raw]]/$O$2)*100</f>
        <v>2.8665087356853718E-3</v>
      </c>
      <c r="Q1555" s="178">
        <f>FME_Ranking1[[#This Row],[Pop Score (Normalized, Unweighted)]]*$O$3</f>
        <v>4.2997631035280578E-4</v>
      </c>
      <c r="R1555" s="137">
        <f>_xlfn.XLOOKUP(FME_Ranking1[[#This Row],[FME ID]],FME_Input[FME_ID],FME_Input[CRITFAC100])</f>
        <v>1</v>
      </c>
      <c r="S1555" s="230">
        <f>(FME_Ranking1[[#This Row],[Critical Facilities Raw]]/$R$2)*100</f>
        <v>4.2881646655231559E-2</v>
      </c>
      <c r="T1555" s="180">
        <f>FME_Ranking1[[#This Row],[Critical Facilities Score (Normalized, Unweighted)]]*$R$3</f>
        <v>8.5763293310463125E-3</v>
      </c>
      <c r="U1555">
        <f>_xlfn.XLOOKUP(FME_Ranking1[[#This Row],[FME ID]],FME_Input[FME_ID],FME_Input[LWC])</f>
        <v>0</v>
      </c>
      <c r="V1555" s="178">
        <f>(FME_Ranking1[[#This Row],[LWC Raw]]/$U$2)*100</f>
        <v>0</v>
      </c>
      <c r="W1555" s="178">
        <f>FME_Ranking1[[#This Row],[LWC Score (Normalized, Unweighted)]]*$U$3</f>
        <v>0</v>
      </c>
      <c r="X1555" s="246">
        <f>_xlfn.XLOOKUP(FME_Ranking1[[#This Row],[FME ID]],FME_Input[FME_ID],FME_Input[ROADCLS])</f>
        <v>0</v>
      </c>
      <c r="Y1555" s="230">
        <f>(FME_Ranking1[[#This Row],[Closures Raw]]/$X$2)*100</f>
        <v>0</v>
      </c>
      <c r="Z1555" s="180">
        <f>FME_Ranking1[[#This Row],[Closures Score (Normalized, Unweighted)]]*$X$3</f>
        <v>0</v>
      </c>
      <c r="AA1555" s="253">
        <f>_xlfn.XLOOKUP(FME_Ranking1[[#This Row],[FME ID]],FME_Input[FME_ID],FME_Input[ROAD_MILES100])</f>
        <v>6.4730134010314941</v>
      </c>
      <c r="AB1555" s="178">
        <f>(FME_Ranking1[[#This Row],[Miles Raw]]/$AA$2)*100</f>
        <v>8.5108516328990594E-2</v>
      </c>
      <c r="AC1555" s="178">
        <f>FME_Ranking1[[#This Row],[Miles Score (Normalized, Unweighted)]]*$AA$3</f>
        <v>8.5108516328990594E-3</v>
      </c>
      <c r="AD1555" s="255">
        <f>_xlfn.XLOOKUP(FME_Ranking1[[#This Row],[FME ID]],FME_Input[FME_ID],FME_Input[FARMACRE100])</f>
        <v>2524.40087890625</v>
      </c>
      <c r="AE1555" s="230">
        <f>(FME_Ranking1[[#This Row],[Ag Land Raw]]/$AD$2)*100</f>
        <v>0.10409499175624568</v>
      </c>
      <c r="AF1555" s="231">
        <f>FME_Ranking1[[#This Row],[Ag Land Score (Normalized, Unweighted)]]*$AD$3</f>
        <v>5.2047495878122839E-3</v>
      </c>
      <c r="AG155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2.506516969008683E-2</v>
      </c>
      <c r="AH1555" s="406">
        <f t="shared" si="24"/>
        <v>1521</v>
      </c>
      <c r="AI155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2.506516969008683E-2</v>
      </c>
      <c r="AJ1555" s="257">
        <f>FME_Ranking1[[#This Row],[Addition check]]-FME_Ranking1[[#This Row],[Weighted Score Based on Normalized Reported Factors]]</f>
        <v>0</v>
      </c>
      <c r="AK1555" s="178">
        <f>_xlfn.RANK.EQ(AI1555,$AI$6:$AI$2341,0)+COUNTIF($AI$6:AI1555,AI1555)-1</f>
        <v>1521</v>
      </c>
    </row>
    <row r="1556" spans="1:37" x14ac:dyDescent="0.25">
      <c r="A1556" t="s">
        <v>6945</v>
      </c>
      <c r="B1556">
        <f>_xlfn.XLOOKUP(FME_Ranking1[[#This Row],[FME ID]],FME_Input[FME_ID],FME_Input[RFPG_NUM])</f>
        <v>7</v>
      </c>
      <c r="C1556" t="str">
        <f>_xlfn.XLOOKUP(FME_Ranking1[[#This Row],[FME ID]],FME_Input[FME_ID],FME_Input[FME_NAME])</f>
        <v>Canal Street Study</v>
      </c>
      <c r="D1556" t="str">
        <f>_xlfn.XLOOKUP(FME_Ranking1[[#This Row],[FME ID]],FME_Input[FME_ID],FME_Input[DESCR])</f>
        <v>H&amp;H Study to review drainage problems on Canal Street, Knox City to determine mitigation efforts to reduce flooding.</v>
      </c>
      <c r="E1556" s="256">
        <f>_xlfn.XLOOKUP(FME_Ranking1[[#This Row],[FME ID]],FME_Input[FME_ID],FME_Input[FME_COST])</f>
        <v>260000</v>
      </c>
      <c r="F1556" t="str">
        <f>_xlfn.XLOOKUP(FME_Ranking1[[#This Row],[FME ID]],FME_Input[FME_ID],FME_Input[EMER_NEED])</f>
        <v>No</v>
      </c>
      <c r="G1556">
        <f>IF(FME_Ranking!F1556="Yes",100,0)</f>
        <v>0</v>
      </c>
      <c r="H1556">
        <f>FME_Ranking1[[#This Row],[Emergency Need Score (Normalized, Unweighted)]]*$F$3</f>
        <v>0</v>
      </c>
      <c r="I1556" s="246">
        <f>_xlfn.XLOOKUP(FME_Ranking1[[#This Row],[FME ID]],FME_Input[FME_ID],FME_Input[STRUCT_100])</f>
        <v>119</v>
      </c>
      <c r="J1556" s="178">
        <f>(FME_Ranking1[[#This Row],[Structures 100 Raw]]/I$2)*100</f>
        <v>6.3723600222764853E-2</v>
      </c>
      <c r="K1556" s="178">
        <f>FME_Ranking1[[#This Row],[Structures 100  Score (Normalized, Unweighted)]]*$I$3</f>
        <v>9.5585400334147284E-3</v>
      </c>
      <c r="L1556" s="246">
        <f>_xlfn.XLOOKUP(FME_Ranking1[[#This Row],[FME ID]],FME_Input[FME_ID],FME_Input[RES_STRUCT100])</f>
        <v>69</v>
      </c>
      <c r="M1556" s="230">
        <f>(FME_Ranking1[[#This Row],[Res Structures Raw]]/L$2)*100</f>
        <v>4.8873085804139342E-2</v>
      </c>
      <c r="N1556" s="180">
        <f>FME_Ranking1[[#This Row],[Res Structures Score (Normalized, Unweighted)]]*$L$3</f>
        <v>4.8873085804139347E-3</v>
      </c>
      <c r="O1556" s="244">
        <f>_xlfn.XLOOKUP(FME_Ranking1[[#This Row],[FME ID]],FME_Input[FME_ID],FME_Input[POP100])</f>
        <v>133</v>
      </c>
      <c r="P1556" s="178">
        <f>(FME_Ranking1[[#This Row],[Pop Raw]]/$O$2)*100</f>
        <v>1.3615916494505519E-2</v>
      </c>
      <c r="Q1556" s="178">
        <f>FME_Ranking1[[#This Row],[Pop Score (Normalized, Unweighted)]]*$O$3</f>
        <v>2.0423874741758276E-3</v>
      </c>
      <c r="R1556" s="137">
        <f>_xlfn.XLOOKUP(FME_Ranking1[[#This Row],[FME ID]],FME_Input[FME_ID],FME_Input[CRITFAC100])</f>
        <v>0</v>
      </c>
      <c r="S1556" s="230">
        <f>(FME_Ranking1[[#This Row],[Critical Facilities Raw]]/$R$2)*100</f>
        <v>0</v>
      </c>
      <c r="T1556" s="180">
        <f>FME_Ranking1[[#This Row],[Critical Facilities Score (Normalized, Unweighted)]]*$R$3</f>
        <v>0</v>
      </c>
      <c r="U1556">
        <f>_xlfn.XLOOKUP(FME_Ranking1[[#This Row],[FME ID]],FME_Input[FME_ID],FME_Input[LWC])</f>
        <v>0</v>
      </c>
      <c r="V1556" s="178">
        <f>(FME_Ranking1[[#This Row],[LWC Raw]]/$U$2)*100</f>
        <v>0</v>
      </c>
      <c r="W1556" s="178">
        <f>FME_Ranking1[[#This Row],[LWC Score (Normalized, Unweighted)]]*$U$3</f>
        <v>0</v>
      </c>
      <c r="X1556" s="246">
        <f>_xlfn.XLOOKUP(FME_Ranking1[[#This Row],[FME ID]],FME_Input[FME_ID],FME_Input[ROADCLS])</f>
        <v>0</v>
      </c>
      <c r="Y1556" s="230">
        <f>(FME_Ranking1[[#This Row],[Closures Raw]]/$X$2)*100</f>
        <v>0</v>
      </c>
      <c r="Z1556" s="180">
        <f>FME_Ranking1[[#This Row],[Closures Score (Normalized, Unweighted)]]*$X$3</f>
        <v>0</v>
      </c>
      <c r="AA1556" s="253">
        <f>_xlfn.XLOOKUP(FME_Ranking1[[#This Row],[FME ID]],FME_Input[FME_ID],FME_Input[ROAD_MILES100])</f>
        <v>7.9342622756958008</v>
      </c>
      <c r="AB1556" s="178">
        <f>(FME_Ranking1[[#This Row],[Miles Raw]]/$AA$2)*100</f>
        <v>0.10432131815792986</v>
      </c>
      <c r="AC1556" s="178">
        <f>FME_Ranking1[[#This Row],[Miles Score (Normalized, Unweighted)]]*$AA$3</f>
        <v>1.0432131815792986E-2</v>
      </c>
      <c r="AD1556" s="255">
        <f>_xlfn.XLOOKUP(FME_Ranking1[[#This Row],[FME ID]],FME_Input[FME_ID],FME_Input[FARMACRE100])</f>
        <v>6.5556163787841797</v>
      </c>
      <c r="AE1556" s="230">
        <f>(FME_Ranking1[[#This Row],[Ag Land Raw]]/$AD$2)*100</f>
        <v>2.7032427322015333E-4</v>
      </c>
      <c r="AF1556" s="231">
        <f>FME_Ranking1[[#This Row],[Ag Land Score (Normalized, Unweighted)]]*$AD$3</f>
        <v>1.3516213661007666E-5</v>
      </c>
      <c r="AG155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2.6933884117458482E-2</v>
      </c>
      <c r="AH1556" s="406">
        <f t="shared" si="24"/>
        <v>1495</v>
      </c>
      <c r="AI155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2.6933884117458482E-2</v>
      </c>
      <c r="AJ1556" s="257">
        <f>FME_Ranking1[[#This Row],[Addition check]]-FME_Ranking1[[#This Row],[Weighted Score Based on Normalized Reported Factors]]</f>
        <v>0</v>
      </c>
      <c r="AK1556" s="178">
        <f>_xlfn.RANK.EQ(AI1556,$AI$6:$AI$2341,0)+COUNTIF($AI$6:AI1556,AI1556)-1</f>
        <v>1495</v>
      </c>
    </row>
    <row r="1557" spans="1:37" x14ac:dyDescent="0.25">
      <c r="A1557" t="s">
        <v>11101</v>
      </c>
      <c r="B1557">
        <f>_xlfn.XLOOKUP(FME_Ranking1[[#This Row],[FME ID]],FME_Input[FME_ID],FME_Input[RFPG_NUM])</f>
        <v>15</v>
      </c>
      <c r="C1557" t="str">
        <f>_xlfn.XLOOKUP(FME_Ranking1[[#This Row],[FME ID]],FME_Input[FME_ID],FME_Input[FME_NAME])</f>
        <v>FM 1423 and Nolana</v>
      </c>
      <c r="D1557" t="str">
        <f>_xlfn.XLOOKUP(FME_Ranking1[[#This Row],[FME ID]],FME_Input[FME_ID],FME_Input[DESCR])</f>
        <v>Local Drainage Improvements--Storm Drain and Detention South of Earling Road West of Val Verde Street</v>
      </c>
      <c r="E1557" s="256">
        <f>_xlfn.XLOOKUP(FME_Ranking1[[#This Row],[FME ID]],FME_Input[FME_ID],FME_Input[FME_COST])</f>
        <v>321000</v>
      </c>
      <c r="F1557" t="str">
        <f>_xlfn.XLOOKUP(FME_Ranking1[[#This Row],[FME ID]],FME_Input[FME_ID],FME_Input[EMER_NEED])</f>
        <v>Yes</v>
      </c>
      <c r="G1557">
        <f>IF(FME_Ranking!F1557="Yes",100,0)</f>
        <v>100</v>
      </c>
      <c r="H1557">
        <f>FME_Ranking1[[#This Row],[Emergency Need Score (Normalized, Unweighted)]]*$F$3</f>
        <v>0</v>
      </c>
      <c r="I1557" s="246">
        <f>_xlfn.XLOOKUP(FME_Ranking1[[#This Row],[FME ID]],FME_Input[FME_ID],FME_Input[STRUCT_100])</f>
        <v>0</v>
      </c>
      <c r="J1557" s="178">
        <f>(FME_Ranking1[[#This Row],[Structures 100 Raw]]/I$2)*100</f>
        <v>0</v>
      </c>
      <c r="K1557" s="178">
        <f>FME_Ranking1[[#This Row],[Structures 100  Score (Normalized, Unweighted)]]*$I$3</f>
        <v>0</v>
      </c>
      <c r="L1557" s="246">
        <f>_xlfn.XLOOKUP(FME_Ranking1[[#This Row],[FME ID]],FME_Input[FME_ID],FME_Input[RES_STRUCT100])</f>
        <v>113</v>
      </c>
      <c r="M1557" s="230">
        <f>(FME_Ranking1[[#This Row],[Res Structures Raw]]/L$2)*100</f>
        <v>8.0038531824170228E-2</v>
      </c>
      <c r="N1557" s="180">
        <f>FME_Ranking1[[#This Row],[Res Structures Score (Normalized, Unweighted)]]*$L$3</f>
        <v>8.0038531824170225E-3</v>
      </c>
      <c r="O1557" s="244">
        <f>_xlfn.XLOOKUP(FME_Ranking1[[#This Row],[FME ID]],FME_Input[FME_ID],FME_Input[POP100])</f>
        <v>553</v>
      </c>
      <c r="P1557" s="178">
        <f>(FME_Ranking1[[#This Row],[Pop Raw]]/$O$2)*100</f>
        <v>5.6613547529786104E-2</v>
      </c>
      <c r="Q1557" s="178">
        <f>FME_Ranking1[[#This Row],[Pop Score (Normalized, Unweighted)]]*$O$3</f>
        <v>8.4920321294679156E-3</v>
      </c>
      <c r="R1557" s="137">
        <f>_xlfn.XLOOKUP(FME_Ranking1[[#This Row],[FME ID]],FME_Input[FME_ID],FME_Input[CRITFAC100])</f>
        <v>0</v>
      </c>
      <c r="S1557" s="230">
        <f>(FME_Ranking1[[#This Row],[Critical Facilities Raw]]/$R$2)*100</f>
        <v>0</v>
      </c>
      <c r="T1557" s="180">
        <f>FME_Ranking1[[#This Row],[Critical Facilities Score (Normalized, Unweighted)]]*$R$3</f>
        <v>0</v>
      </c>
      <c r="U1557">
        <f>_xlfn.XLOOKUP(FME_Ranking1[[#This Row],[FME ID]],FME_Input[FME_ID],FME_Input[LWC])</f>
        <v>0</v>
      </c>
      <c r="V1557" s="178">
        <f>(FME_Ranking1[[#This Row],[LWC Raw]]/$U$2)*100</f>
        <v>0</v>
      </c>
      <c r="W1557" s="178">
        <f>FME_Ranking1[[#This Row],[LWC Score (Normalized, Unweighted)]]*$U$3</f>
        <v>0</v>
      </c>
      <c r="X1557" s="246">
        <f>_xlfn.XLOOKUP(FME_Ranking1[[#This Row],[FME ID]],FME_Input[FME_ID],FME_Input[ROADCLS])</f>
        <v>0</v>
      </c>
      <c r="Y1557" s="230">
        <f>(FME_Ranking1[[#This Row],[Closures Raw]]/$X$2)*100</f>
        <v>0</v>
      </c>
      <c r="Z1557" s="180">
        <f>FME_Ranking1[[#This Row],[Closures Score (Normalized, Unweighted)]]*$X$3</f>
        <v>0</v>
      </c>
      <c r="AA1557" s="253">
        <f>_xlfn.XLOOKUP(FME_Ranking1[[#This Row],[FME ID]],FME_Input[FME_ID],FME_Input[ROAD_MILES100])</f>
        <v>9.5209798812866211</v>
      </c>
      <c r="AB1557" s="178">
        <f>(FME_Ranking1[[#This Row],[Miles Raw]]/$AA$2)*100</f>
        <v>0.12518380875981919</v>
      </c>
      <c r="AC1557" s="178">
        <f>FME_Ranking1[[#This Row],[Miles Score (Normalized, Unweighted)]]*$AA$3</f>
        <v>1.251838087598192E-2</v>
      </c>
      <c r="AD1557" s="255">
        <f>_xlfn.XLOOKUP(FME_Ranking1[[#This Row],[FME ID]],FME_Input[FME_ID],FME_Input[FARMACRE100])</f>
        <v>0</v>
      </c>
      <c r="AE1557" s="230">
        <f>(FME_Ranking1[[#This Row],[Ag Land Raw]]/$AD$2)*100</f>
        <v>0</v>
      </c>
      <c r="AF1557" s="231">
        <f>FME_Ranking1[[#This Row],[Ag Land Score (Normalized, Unweighted)]]*$AD$3</f>
        <v>0</v>
      </c>
      <c r="AG155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2.9014266187866858E-2</v>
      </c>
      <c r="AH1557" s="406">
        <f t="shared" si="24"/>
        <v>1476</v>
      </c>
      <c r="AI155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2.9014266187866858E-2</v>
      </c>
      <c r="AJ1557" s="257">
        <f>FME_Ranking1[[#This Row],[Addition check]]-FME_Ranking1[[#This Row],[Weighted Score Based on Normalized Reported Factors]]</f>
        <v>0</v>
      </c>
      <c r="AK1557" s="178">
        <f>_xlfn.RANK.EQ(AI1557,$AI$6:$AI$2341,0)+COUNTIF($AI$6:AI1557,AI1557)-1</f>
        <v>1476</v>
      </c>
    </row>
    <row r="1558" spans="1:37" x14ac:dyDescent="0.25">
      <c r="A1558" t="s">
        <v>11222</v>
      </c>
      <c r="B1558">
        <f>_xlfn.XLOOKUP(FME_Ranking1[[#This Row],[FME ID]],FME_Input[FME_ID],FME_Input[RFPG_NUM])</f>
        <v>15</v>
      </c>
      <c r="C1558" t="str">
        <f>_xlfn.XLOOKUP(FME_Ranking1[[#This Row],[FME ID]],FME_Input[FME_ID],FME_Input[FME_NAME])</f>
        <v>Precinct 4 MDP - Risk Area A  at Mile 8.5 Rd. &amp; Ware Rd.</v>
      </c>
      <c r="D1558" t="str">
        <f>_xlfn.XLOOKUP(FME_Ranking1[[#This Row],[FME ID]],FME_Input[FME_ID],FME_Input[DESCR])</f>
        <v xml:space="preserve"> Approximately 1 mile of proposed channel improvements. Proposed culverts. Proposed Detention Ponds with pond north of Mile 8.5 Rd. to collect runoff from the west and has an approximate footprint of 12 acres and storage capacity of 60 acre-ft and will o</v>
      </c>
      <c r="E1558" s="256">
        <f>_xlfn.XLOOKUP(FME_Ranking1[[#This Row],[FME ID]],FME_Input[FME_ID],FME_Input[FME_COST])</f>
        <v>2984850</v>
      </c>
      <c r="F1558" t="str">
        <f>_xlfn.XLOOKUP(FME_Ranking1[[#This Row],[FME ID]],FME_Input[FME_ID],FME_Input[EMER_NEED])</f>
        <v>Yes</v>
      </c>
      <c r="G1558">
        <f>IF(FME_Ranking!F1558="Yes",100,0)</f>
        <v>100</v>
      </c>
      <c r="H1558">
        <f>FME_Ranking1[[#This Row],[Emergency Need Score (Normalized, Unweighted)]]*$F$3</f>
        <v>0</v>
      </c>
      <c r="I1558" s="246">
        <f>_xlfn.XLOOKUP(FME_Ranking1[[#This Row],[FME ID]],FME_Input[FME_ID],FME_Input[STRUCT_100])</f>
        <v>0</v>
      </c>
      <c r="J1558" s="178">
        <f>(FME_Ranking1[[#This Row],[Structures 100 Raw]]/I$2)*100</f>
        <v>0</v>
      </c>
      <c r="K1558" s="178">
        <f>FME_Ranking1[[#This Row],[Structures 100  Score (Normalized, Unweighted)]]*$I$3</f>
        <v>0</v>
      </c>
      <c r="L1558" s="246">
        <f>_xlfn.XLOOKUP(FME_Ranking1[[#This Row],[FME ID]],FME_Input[FME_ID],FME_Input[RES_STRUCT100])</f>
        <v>124</v>
      </c>
      <c r="M1558" s="230">
        <f>(FME_Ranking1[[#This Row],[Res Structures Raw]]/L$2)*100</f>
        <v>8.7829893329177941E-2</v>
      </c>
      <c r="N1558" s="180">
        <f>FME_Ranking1[[#This Row],[Res Structures Score (Normalized, Unweighted)]]*$L$3</f>
        <v>8.7829893329177938E-3</v>
      </c>
      <c r="O1558" s="244">
        <f>_xlfn.XLOOKUP(FME_Ranking1[[#This Row],[FME ID]],FME_Input[FME_ID],FME_Input[POP100])</f>
        <v>499</v>
      </c>
      <c r="P1558" s="178">
        <f>(FME_Ranking1[[#This Row],[Pop Raw]]/$O$2)*100</f>
        <v>5.1085280682392875E-2</v>
      </c>
      <c r="Q1558" s="178">
        <f>FME_Ranking1[[#This Row],[Pop Score (Normalized, Unweighted)]]*$O$3</f>
        <v>7.6627921023589311E-3</v>
      </c>
      <c r="R1558" s="137">
        <f>_xlfn.XLOOKUP(FME_Ranking1[[#This Row],[FME ID]],FME_Input[FME_ID],FME_Input[CRITFAC100])</f>
        <v>0</v>
      </c>
      <c r="S1558" s="230">
        <f>(FME_Ranking1[[#This Row],[Critical Facilities Raw]]/$R$2)*100</f>
        <v>0</v>
      </c>
      <c r="T1558" s="180">
        <f>FME_Ranking1[[#This Row],[Critical Facilities Score (Normalized, Unweighted)]]*$R$3</f>
        <v>0</v>
      </c>
      <c r="U1558">
        <f>_xlfn.XLOOKUP(FME_Ranking1[[#This Row],[FME ID]],FME_Input[FME_ID],FME_Input[LWC])</f>
        <v>0</v>
      </c>
      <c r="V1558" s="178">
        <f>(FME_Ranking1[[#This Row],[LWC Raw]]/$U$2)*100</f>
        <v>0</v>
      </c>
      <c r="W1558" s="178">
        <f>FME_Ranking1[[#This Row],[LWC Score (Normalized, Unweighted)]]*$U$3</f>
        <v>0</v>
      </c>
      <c r="X1558" s="246">
        <f>_xlfn.XLOOKUP(FME_Ranking1[[#This Row],[FME ID]],FME_Input[FME_ID],FME_Input[ROADCLS])</f>
        <v>0</v>
      </c>
      <c r="Y1558" s="230">
        <f>(FME_Ranking1[[#This Row],[Closures Raw]]/$X$2)*100</f>
        <v>0</v>
      </c>
      <c r="Z1558" s="180">
        <f>FME_Ranking1[[#This Row],[Closures Score (Normalized, Unweighted)]]*$X$3</f>
        <v>0</v>
      </c>
      <c r="AA1558" s="253">
        <f>_xlfn.XLOOKUP(FME_Ranking1[[#This Row],[FME ID]],FME_Input[FME_ID],FME_Input[ROAD_MILES100])</f>
        <v>5.7132501602172852</v>
      </c>
      <c r="AB1558" s="178">
        <f>(FME_Ranking1[[#This Row],[Miles Raw]]/$AA$2)*100</f>
        <v>7.5118992411629504E-2</v>
      </c>
      <c r="AC1558" s="178">
        <f>FME_Ranking1[[#This Row],[Miles Score (Normalized, Unweighted)]]*$AA$3</f>
        <v>7.5118992411629506E-3</v>
      </c>
      <c r="AD1558" s="255">
        <f>_xlfn.XLOOKUP(FME_Ranking1[[#This Row],[FME ID]],FME_Input[FME_ID],FME_Input[FARMACRE100])</f>
        <v>0</v>
      </c>
      <c r="AE1558" s="230">
        <f>(FME_Ranking1[[#This Row],[Ag Land Raw]]/$AD$2)*100</f>
        <v>0</v>
      </c>
      <c r="AF1558" s="231">
        <f>FME_Ranking1[[#This Row],[Ag Land Score (Normalized, Unweighted)]]*$AD$3</f>
        <v>0</v>
      </c>
      <c r="AG155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2.3957680676439674E-2</v>
      </c>
      <c r="AH1558" s="406">
        <f t="shared" si="24"/>
        <v>1531</v>
      </c>
      <c r="AI155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2.3957680676439674E-2</v>
      </c>
      <c r="AJ1558" s="257">
        <f>FME_Ranking1[[#This Row],[Addition check]]-FME_Ranking1[[#This Row],[Weighted Score Based on Normalized Reported Factors]]</f>
        <v>0</v>
      </c>
      <c r="AK1558" s="178">
        <f>_xlfn.RANK.EQ(AI1558,$AI$6:$AI$2341,0)+COUNTIF($AI$6:AI1558,AI1558)-1</f>
        <v>1531</v>
      </c>
    </row>
    <row r="1559" spans="1:37" x14ac:dyDescent="0.25">
      <c r="A1559" t="s">
        <v>7360</v>
      </c>
      <c r="B1559">
        <f>_xlfn.XLOOKUP(FME_Ranking1[[#This Row],[FME ID]],FME_Input[FME_ID],FME_Input[RFPG_NUM])</f>
        <v>7</v>
      </c>
      <c r="C1559" t="str">
        <f>_xlfn.XLOOKUP(FME_Ranking1[[#This Row],[FME ID]],FME_Input[FME_ID],FME_Input[FME_NAME])</f>
        <v>City of Abilene Buttonwillow Creek Crossing</v>
      </c>
      <c r="D1559" t="str">
        <f>_xlfn.XLOOKUP(FME_Ranking1[[#This Row],[FME ID]],FME_Input[FME_ID],FME_Input[DESCR])</f>
        <v>Replacement of low water crossing</v>
      </c>
      <c r="E1559" s="256">
        <f>_xlfn.XLOOKUP(FME_Ranking1[[#This Row],[FME ID]],FME_Input[FME_ID],FME_Input[FME_COST])</f>
        <v>138500</v>
      </c>
      <c r="F1559" t="str">
        <f>_xlfn.XLOOKUP(FME_Ranking1[[#This Row],[FME ID]],FME_Input[FME_ID],FME_Input[EMER_NEED])</f>
        <v>No</v>
      </c>
      <c r="G1559">
        <f>IF(FME_Ranking!F1559="Yes",100,0)</f>
        <v>0</v>
      </c>
      <c r="H1559">
        <f>FME_Ranking1[[#This Row],[Emergency Need Score (Normalized, Unweighted)]]*$F$3</f>
        <v>0</v>
      </c>
      <c r="I1559" s="246">
        <f>_xlfn.XLOOKUP(FME_Ranking1[[#This Row],[FME ID]],FME_Input[FME_ID],FME_Input[STRUCT_100])</f>
        <v>26</v>
      </c>
      <c r="J1559" s="178">
        <f>(FME_Ranking1[[#This Row],[Structures 100 Raw]]/I$2)*100</f>
        <v>1.3922803410015852E-2</v>
      </c>
      <c r="K1559" s="178">
        <f>FME_Ranking1[[#This Row],[Structures 100  Score (Normalized, Unweighted)]]*$I$3</f>
        <v>2.0884205115023779E-3</v>
      </c>
      <c r="L1559" s="246">
        <f>_xlfn.XLOOKUP(FME_Ranking1[[#This Row],[FME ID]],FME_Input[FME_ID],FME_Input[RES_STRUCT100])</f>
        <v>26</v>
      </c>
      <c r="M1559" s="230">
        <f>(FME_Ranking1[[#This Row],[Res Structures Raw]]/L$2)*100</f>
        <v>1.8415945375472795E-2</v>
      </c>
      <c r="N1559" s="180">
        <f>FME_Ranking1[[#This Row],[Res Structures Score (Normalized, Unweighted)]]*$L$3</f>
        <v>1.8415945375472795E-3</v>
      </c>
      <c r="O1559" s="244">
        <f>_xlfn.XLOOKUP(FME_Ranking1[[#This Row],[FME ID]],FME_Input[FME_ID],FME_Input[POP100])</f>
        <v>55</v>
      </c>
      <c r="P1559" s="178">
        <f>(FME_Ranking1[[#This Row],[Pop Raw]]/$O$2)*100</f>
        <v>5.6306421593819806E-3</v>
      </c>
      <c r="Q1559" s="178">
        <f>FME_Ranking1[[#This Row],[Pop Score (Normalized, Unweighted)]]*$O$3</f>
        <v>8.4459632390729712E-4</v>
      </c>
      <c r="R1559" s="137">
        <f>_xlfn.XLOOKUP(FME_Ranking1[[#This Row],[FME ID]],FME_Input[FME_ID],FME_Input[CRITFAC100])</f>
        <v>0</v>
      </c>
      <c r="S1559" s="230">
        <f>(FME_Ranking1[[#This Row],[Critical Facilities Raw]]/$R$2)*100</f>
        <v>0</v>
      </c>
      <c r="T1559" s="180">
        <f>FME_Ranking1[[#This Row],[Critical Facilities Score (Normalized, Unweighted)]]*$R$3</f>
        <v>0</v>
      </c>
      <c r="U1559">
        <f>_xlfn.XLOOKUP(FME_Ranking1[[#This Row],[FME ID]],FME_Input[FME_ID],FME_Input[LWC])</f>
        <v>1</v>
      </c>
      <c r="V1559" s="178">
        <f>(FME_Ranking1[[#This Row],[LWC Raw]]/$U$2)*100</f>
        <v>5.7570523891767422E-2</v>
      </c>
      <c r="W1559" s="178">
        <f>FME_Ranking1[[#This Row],[LWC Score (Normalized, Unweighted)]]*$U$3</f>
        <v>1.1514104778353485E-2</v>
      </c>
      <c r="X1559" s="246">
        <f>_xlfn.XLOOKUP(FME_Ranking1[[#This Row],[FME ID]],FME_Input[FME_ID],FME_Input[ROADCLS])</f>
        <v>0</v>
      </c>
      <c r="Y1559" s="230">
        <f>(FME_Ranking1[[#This Row],[Closures Raw]]/$X$2)*100</f>
        <v>0</v>
      </c>
      <c r="Z1559" s="180">
        <f>FME_Ranking1[[#This Row],[Closures Score (Normalized, Unweighted)]]*$X$3</f>
        <v>0</v>
      </c>
      <c r="AA1559" s="253">
        <f>_xlfn.XLOOKUP(FME_Ranking1[[#This Row],[FME ID]],FME_Input[FME_ID],FME_Input[ROAD_MILES100])</f>
        <v>0.46322068572044373</v>
      </c>
      <c r="AB1559" s="178">
        <f>(FME_Ranking1[[#This Row],[Miles Raw]]/$AA$2)*100</f>
        <v>6.0905211919200213E-3</v>
      </c>
      <c r="AC1559" s="178">
        <f>FME_Ranking1[[#This Row],[Miles Score (Normalized, Unweighted)]]*$AA$3</f>
        <v>6.090521191920022E-4</v>
      </c>
      <c r="AD1559" s="255">
        <f>_xlfn.XLOOKUP(FME_Ranking1[[#This Row],[FME ID]],FME_Input[FME_ID],FME_Input[FARMACRE100])</f>
        <v>0</v>
      </c>
      <c r="AE1559" s="230">
        <f>(FME_Ranking1[[#This Row],[Ag Land Raw]]/$AD$2)*100</f>
        <v>0</v>
      </c>
      <c r="AF1559" s="231">
        <f>FME_Ranking1[[#This Row],[Ag Land Score (Normalized, Unweighted)]]*$AD$3</f>
        <v>0</v>
      </c>
      <c r="AG155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1.689776827050244E-2</v>
      </c>
      <c r="AH1559" s="406">
        <f t="shared" si="24"/>
        <v>1616</v>
      </c>
      <c r="AI155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1.689776827050244E-2</v>
      </c>
      <c r="AJ1559" s="257">
        <f>FME_Ranking1[[#This Row],[Addition check]]-FME_Ranking1[[#This Row],[Weighted Score Based on Normalized Reported Factors]]</f>
        <v>0</v>
      </c>
      <c r="AK1559" s="178">
        <f>_xlfn.RANK.EQ(AI1559,$AI$6:$AI$2341,0)+COUNTIF($AI$6:AI1559,AI1559)-1</f>
        <v>1616</v>
      </c>
    </row>
    <row r="1560" spans="1:37" x14ac:dyDescent="0.25">
      <c r="A1560" t="s">
        <v>4802</v>
      </c>
      <c r="B1560">
        <f>_xlfn.XLOOKUP(FME_Ranking1[[#This Row],[FME ID]],FME_Input[FME_ID],FME_Input[RFPG_NUM])</f>
        <v>3</v>
      </c>
      <c r="C1560" t="str">
        <f>_xlfn.XLOOKUP(FME_Ranking1[[#This Row],[FME ID]],FME_Input[FME_ID],FME_Input[FME_NAME])</f>
        <v>Fairfield South Bateman Drainage Study</v>
      </c>
      <c r="D1560" t="str">
        <f>_xlfn.XLOOKUP(FME_Ranking1[[#This Row],[FME ID]],FME_Input[FME_ID],FME_Input[DESCR])</f>
        <v>Fairfield South Bateman Drainage Study</v>
      </c>
      <c r="E1560" s="256">
        <f>_xlfn.XLOOKUP(FME_Ranking1[[#This Row],[FME ID]],FME_Input[FME_ID],FME_Input[FME_COST])</f>
        <v>200000</v>
      </c>
      <c r="F1560" t="str">
        <f>_xlfn.XLOOKUP(FME_Ranking1[[#This Row],[FME ID]],FME_Input[FME_ID],FME_Input[EMER_NEED])</f>
        <v>No</v>
      </c>
      <c r="G1560">
        <f>IF(FME_Ranking!F1560="Yes",100,0)</f>
        <v>0</v>
      </c>
      <c r="H1560">
        <f>FME_Ranking1[[#This Row],[Emergency Need Score (Normalized, Unweighted)]]*$F$3</f>
        <v>0</v>
      </c>
      <c r="I1560" s="246">
        <f>_xlfn.XLOOKUP(FME_Ranking1[[#This Row],[FME ID]],FME_Input[FME_ID],FME_Input[STRUCT_100])</f>
        <v>41</v>
      </c>
      <c r="J1560" s="178">
        <f>(FME_Ranking1[[#This Row],[Structures 100 Raw]]/I$2)*100</f>
        <v>2.1955189992717301E-2</v>
      </c>
      <c r="K1560" s="178">
        <f>FME_Ranking1[[#This Row],[Structures 100  Score (Normalized, Unweighted)]]*$I$3</f>
        <v>3.2932784989075951E-3</v>
      </c>
      <c r="L1560" s="246">
        <f>_xlfn.XLOOKUP(FME_Ranking1[[#This Row],[FME ID]],FME_Input[FME_ID],FME_Input[RES_STRUCT100])</f>
        <v>36</v>
      </c>
      <c r="M1560" s="230">
        <f>(FME_Ranking1[[#This Row],[Res Structures Raw]]/L$2)*100</f>
        <v>2.5499001289116176E-2</v>
      </c>
      <c r="N1560" s="180">
        <f>FME_Ranking1[[#This Row],[Res Structures Score (Normalized, Unweighted)]]*$L$3</f>
        <v>2.5499001289116178E-3</v>
      </c>
      <c r="O1560" s="244">
        <f>_xlfn.XLOOKUP(FME_Ranking1[[#This Row],[FME ID]],FME_Input[FME_ID],FME_Input[POP100])</f>
        <v>64</v>
      </c>
      <c r="P1560" s="178">
        <f>(FME_Ranking1[[#This Row],[Pop Raw]]/$O$2)*100</f>
        <v>6.5520199672808501E-3</v>
      </c>
      <c r="Q1560" s="178">
        <f>FME_Ranking1[[#This Row],[Pop Score (Normalized, Unweighted)]]*$O$3</f>
        <v>9.8280299509212747E-4</v>
      </c>
      <c r="R1560" s="137">
        <f>_xlfn.XLOOKUP(FME_Ranking1[[#This Row],[FME ID]],FME_Input[FME_ID],FME_Input[CRITFAC100])</f>
        <v>1</v>
      </c>
      <c r="S1560" s="230">
        <f>(FME_Ranking1[[#This Row],[Critical Facilities Raw]]/$R$2)*100</f>
        <v>4.2881646655231559E-2</v>
      </c>
      <c r="T1560" s="180">
        <f>FME_Ranking1[[#This Row],[Critical Facilities Score (Normalized, Unweighted)]]*$R$3</f>
        <v>8.5763293310463125E-3</v>
      </c>
      <c r="U1560">
        <f>_xlfn.XLOOKUP(FME_Ranking1[[#This Row],[FME ID]],FME_Input[FME_ID],FME_Input[LWC])</f>
        <v>0</v>
      </c>
      <c r="V1560" s="178">
        <f>(FME_Ranking1[[#This Row],[LWC Raw]]/$U$2)*100</f>
        <v>0</v>
      </c>
      <c r="W1560" s="178">
        <f>FME_Ranking1[[#This Row],[LWC Score (Normalized, Unweighted)]]*$U$3</f>
        <v>0</v>
      </c>
      <c r="X1560" s="246">
        <f>_xlfn.XLOOKUP(FME_Ranking1[[#This Row],[FME ID]],FME_Input[FME_ID],FME_Input[ROADCLS])</f>
        <v>0</v>
      </c>
      <c r="Y1560" s="230">
        <f>(FME_Ranking1[[#This Row],[Closures Raw]]/$X$2)*100</f>
        <v>0</v>
      </c>
      <c r="Z1560" s="180">
        <f>FME_Ranking1[[#This Row],[Closures Score (Normalized, Unweighted)]]*$X$3</f>
        <v>0</v>
      </c>
      <c r="AA1560" s="253">
        <f>_xlfn.XLOOKUP(FME_Ranking1[[#This Row],[FME ID]],FME_Input[FME_ID],FME_Input[ROAD_MILES100])</f>
        <v>2.4177310466766362</v>
      </c>
      <c r="AB1560" s="178">
        <f>(FME_Ranking1[[#This Row],[Miles Raw]]/$AA$2)*100</f>
        <v>3.1788826859588462E-2</v>
      </c>
      <c r="AC1560" s="178">
        <f>FME_Ranking1[[#This Row],[Miles Score (Normalized, Unweighted)]]*$AA$3</f>
        <v>3.1788826859588462E-3</v>
      </c>
      <c r="AD1560" s="255">
        <f>_xlfn.XLOOKUP(FME_Ranking1[[#This Row],[FME ID]],FME_Input[FME_ID],FME_Input[FARMACRE100])</f>
        <v>411.4989013671875</v>
      </c>
      <c r="AE1560" s="230">
        <f>(FME_Ranking1[[#This Row],[Ag Land Raw]]/$AD$2)*100</f>
        <v>1.696837261603264E-2</v>
      </c>
      <c r="AF1560" s="231">
        <f>FME_Ranking1[[#This Row],[Ag Land Score (Normalized, Unweighted)]]*$AD$3</f>
        <v>8.4841863080163205E-4</v>
      </c>
      <c r="AG156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1.9429612270718131E-2</v>
      </c>
      <c r="AH1560" s="406">
        <f t="shared" si="24"/>
        <v>1582</v>
      </c>
      <c r="AI156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1.9429612270718131E-2</v>
      </c>
      <c r="AJ1560" s="257">
        <f>FME_Ranking1[[#This Row],[Addition check]]-FME_Ranking1[[#This Row],[Weighted Score Based on Normalized Reported Factors]]</f>
        <v>0</v>
      </c>
      <c r="AK1560" s="178">
        <f>_xlfn.RANK.EQ(AI1560,$AI$6:$AI$2341,0)+COUNTIF($AI$6:AI1560,AI1560)-1</f>
        <v>1582</v>
      </c>
    </row>
    <row r="1561" spans="1:37" x14ac:dyDescent="0.25">
      <c r="A1561" t="s">
        <v>1733</v>
      </c>
      <c r="B1561">
        <f>_xlfn.XLOOKUP(FME_Ranking1[[#This Row],[FME ID]],FME_Input[FME_ID],FME_Input[RFPG_NUM])</f>
        <v>6</v>
      </c>
      <c r="C1561" t="str">
        <f>_xlfn.XLOOKUP(FME_Ranking1[[#This Row],[FME ID]],FME_Input[FME_ID],FME_Input[FME_NAME])</f>
        <v>City of Roman Forest  Master Drainage Plan</v>
      </c>
      <c r="D1561" t="str">
        <f>_xlfn.XLOOKUP(FME_Ranking1[[#This Row],[FME ID]],FME_Input[FME_ID],FME_Input[DESCR])</f>
        <v>Study to develop Master Drainage Plan using future and existing land use and flood/storm water drainage needs including Atlas 14 rainfall.</v>
      </c>
      <c r="E1561" s="256">
        <f>_xlfn.XLOOKUP(FME_Ranking1[[#This Row],[FME ID]],FME_Input[FME_ID],FME_Input[FME_COST])</f>
        <v>190000</v>
      </c>
      <c r="F1561" t="str">
        <f>_xlfn.XLOOKUP(FME_Ranking1[[#This Row],[FME ID]],FME_Input[FME_ID],FME_Input[EMER_NEED])</f>
        <v>Yes</v>
      </c>
      <c r="G1561">
        <f>IF(FME_Ranking!F1561="Yes",100,0)</f>
        <v>100</v>
      </c>
      <c r="H1561">
        <f>FME_Ranking1[[#This Row],[Emergency Need Score (Normalized, Unweighted)]]*$F$3</f>
        <v>0</v>
      </c>
      <c r="I1561" s="246">
        <f>_xlfn.XLOOKUP(FME_Ranking1[[#This Row],[FME ID]],FME_Input[FME_ID],FME_Input[STRUCT_100])</f>
        <v>86</v>
      </c>
      <c r="J1561" s="178">
        <f>(FME_Ranking1[[#This Row],[Structures 100 Raw]]/I$2)*100</f>
        <v>4.605234974082166E-2</v>
      </c>
      <c r="K1561" s="178">
        <f>FME_Ranking1[[#This Row],[Structures 100  Score (Normalized, Unweighted)]]*$I$3</f>
        <v>6.9078524611232489E-3</v>
      </c>
      <c r="L1561" s="246">
        <f>_xlfn.XLOOKUP(FME_Ranking1[[#This Row],[FME ID]],FME_Input[FME_ID],FME_Input[RES_STRUCT100])</f>
        <v>73</v>
      </c>
      <c r="M1561" s="230">
        <f>(FME_Ranking1[[#This Row],[Res Structures Raw]]/L$2)*100</f>
        <v>5.1706308169596697E-2</v>
      </c>
      <c r="N1561" s="180">
        <f>FME_Ranking1[[#This Row],[Res Structures Score (Normalized, Unweighted)]]*$L$3</f>
        <v>5.1706308169596699E-3</v>
      </c>
      <c r="O1561" s="244">
        <f>_xlfn.XLOOKUP(FME_Ranking1[[#This Row],[FME ID]],FME_Input[FME_ID],FME_Input[POP100])</f>
        <v>270</v>
      </c>
      <c r="P1561" s="178">
        <f>(FME_Ranking1[[#This Row],[Pop Raw]]/$O$2)*100</f>
        <v>2.7641334236966086E-2</v>
      </c>
      <c r="Q1561" s="178">
        <f>FME_Ranking1[[#This Row],[Pop Score (Normalized, Unweighted)]]*$O$3</f>
        <v>4.146200135544913E-3</v>
      </c>
      <c r="R1561" s="137">
        <f>_xlfn.XLOOKUP(FME_Ranking1[[#This Row],[FME ID]],FME_Input[FME_ID],FME_Input[CRITFAC100])</f>
        <v>0</v>
      </c>
      <c r="S1561" s="230">
        <f>(FME_Ranking1[[#This Row],[Critical Facilities Raw]]/$R$2)*100</f>
        <v>0</v>
      </c>
      <c r="T1561" s="180">
        <f>FME_Ranking1[[#This Row],[Critical Facilities Score (Normalized, Unweighted)]]*$R$3</f>
        <v>0</v>
      </c>
      <c r="U1561">
        <f>_xlfn.XLOOKUP(FME_Ranking1[[#This Row],[FME ID]],FME_Input[FME_ID],FME_Input[LWC])</f>
        <v>0</v>
      </c>
      <c r="V1561" s="178">
        <f>(FME_Ranking1[[#This Row],[LWC Raw]]/$U$2)*100</f>
        <v>0</v>
      </c>
      <c r="W1561" s="178">
        <f>FME_Ranking1[[#This Row],[LWC Score (Normalized, Unweighted)]]*$U$3</f>
        <v>0</v>
      </c>
      <c r="X1561" s="246">
        <f>_xlfn.XLOOKUP(FME_Ranking1[[#This Row],[FME ID]],FME_Input[FME_ID],FME_Input[ROADCLS])</f>
        <v>0</v>
      </c>
      <c r="Y1561" s="230">
        <f>(FME_Ranking1[[#This Row],[Closures Raw]]/$X$2)*100</f>
        <v>0</v>
      </c>
      <c r="Z1561" s="180">
        <f>FME_Ranking1[[#This Row],[Closures Score (Normalized, Unweighted)]]*$X$3</f>
        <v>0</v>
      </c>
      <c r="AA1561" s="253">
        <f>_xlfn.XLOOKUP(FME_Ranking1[[#This Row],[FME ID]],FME_Input[FME_ID],FME_Input[ROAD_MILES100])</f>
        <v>3.1773431301116939</v>
      </c>
      <c r="AB1561" s="178">
        <f>(FME_Ranking1[[#This Row],[Miles Raw]]/$AA$2)*100</f>
        <v>4.1776363328527188E-2</v>
      </c>
      <c r="AC1561" s="178">
        <f>FME_Ranking1[[#This Row],[Miles Score (Normalized, Unweighted)]]*$AA$3</f>
        <v>4.1776363328527187E-3</v>
      </c>
      <c r="AD1561" s="255">
        <f>_xlfn.XLOOKUP(FME_Ranking1[[#This Row],[FME ID]],FME_Input[FME_ID],FME_Input[FARMACRE100])</f>
        <v>0</v>
      </c>
      <c r="AE1561" s="230">
        <f>(FME_Ranking1[[#This Row],[Ag Land Raw]]/$AD$2)*100</f>
        <v>0</v>
      </c>
      <c r="AF1561" s="231">
        <f>FME_Ranking1[[#This Row],[Ag Land Score (Normalized, Unweighted)]]*$AD$3</f>
        <v>0</v>
      </c>
      <c r="AG156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2.040231974648055E-2</v>
      </c>
      <c r="AH1561" s="406">
        <f t="shared" si="24"/>
        <v>1571</v>
      </c>
      <c r="AI156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2.040231974648055E-2</v>
      </c>
      <c r="AJ1561" s="257">
        <f>FME_Ranking1[[#This Row],[Addition check]]-FME_Ranking1[[#This Row],[Weighted Score Based on Normalized Reported Factors]]</f>
        <v>0</v>
      </c>
      <c r="AK1561" s="178">
        <f>_xlfn.RANK.EQ(AI1561,$AI$6:$AI$2341,0)+COUNTIF($AI$6:AI1561,AI1561)-1</f>
        <v>1571</v>
      </c>
    </row>
    <row r="1562" spans="1:37" x14ac:dyDescent="0.25">
      <c r="A1562" t="s">
        <v>2054</v>
      </c>
      <c r="B1562">
        <f>_xlfn.XLOOKUP(FME_Ranking1[[#This Row],[FME ID]],FME_Input[FME_ID],FME_Input[RFPG_NUM])</f>
        <v>6</v>
      </c>
      <c r="C1562" t="str">
        <f>_xlfn.XLOOKUP(FME_Ranking1[[#This Row],[FME ID]],FME_Input[FME_ID],FME_Input[FME_NAME])</f>
        <v>Roman Forest Boulevard Bridge Elevation Project</v>
      </c>
      <c r="D1562" t="str">
        <f>_xlfn.XLOOKUP(FME_Ranking1[[#This Row],[FME ID]],FME_Input[FME_ID],FME_Input[DESCR])</f>
        <v xml:space="preserve">Further study of this project involves the study, design, elevation, and replacement of the Roman Forest Boulevard Bridge to mitigate the risks associated with storms and riverine flooding for the approximate 15,000 citizens. </v>
      </c>
      <c r="E1562" s="256">
        <f>_xlfn.XLOOKUP(FME_Ranking1[[#This Row],[FME ID]],FME_Input[FME_ID],FME_Input[FME_COST])</f>
        <v>30000</v>
      </c>
      <c r="F1562" t="str">
        <f>_xlfn.XLOOKUP(FME_Ranking1[[#This Row],[FME ID]],FME_Input[FME_ID],FME_Input[EMER_NEED])</f>
        <v>No</v>
      </c>
      <c r="G1562">
        <f>IF(FME_Ranking!F1562="Yes",100,0)</f>
        <v>0</v>
      </c>
      <c r="H1562">
        <f>FME_Ranking1[[#This Row],[Emergency Need Score (Normalized, Unweighted)]]*$F$3</f>
        <v>0</v>
      </c>
      <c r="I1562" s="246">
        <f>_xlfn.XLOOKUP(FME_Ranking1[[#This Row],[FME ID]],FME_Input[FME_ID],FME_Input[STRUCT_100])</f>
        <v>86</v>
      </c>
      <c r="J1562" s="178">
        <f>(FME_Ranking1[[#This Row],[Structures 100 Raw]]/I$2)*100</f>
        <v>4.605234974082166E-2</v>
      </c>
      <c r="K1562" s="178">
        <f>FME_Ranking1[[#This Row],[Structures 100  Score (Normalized, Unweighted)]]*$I$3</f>
        <v>6.9078524611232489E-3</v>
      </c>
      <c r="L1562" s="246">
        <f>_xlfn.XLOOKUP(FME_Ranking1[[#This Row],[FME ID]],FME_Input[FME_ID],FME_Input[RES_STRUCT100])</f>
        <v>73</v>
      </c>
      <c r="M1562" s="230">
        <f>(FME_Ranking1[[#This Row],[Res Structures Raw]]/L$2)*100</f>
        <v>5.1706308169596697E-2</v>
      </c>
      <c r="N1562" s="180">
        <f>FME_Ranking1[[#This Row],[Res Structures Score (Normalized, Unweighted)]]*$L$3</f>
        <v>5.1706308169596699E-3</v>
      </c>
      <c r="O1562" s="244">
        <f>_xlfn.XLOOKUP(FME_Ranking1[[#This Row],[FME ID]],FME_Input[FME_ID],FME_Input[POP100])</f>
        <v>270</v>
      </c>
      <c r="P1562" s="178">
        <f>(FME_Ranking1[[#This Row],[Pop Raw]]/$O$2)*100</f>
        <v>2.7641334236966086E-2</v>
      </c>
      <c r="Q1562" s="178">
        <f>FME_Ranking1[[#This Row],[Pop Score (Normalized, Unweighted)]]*$O$3</f>
        <v>4.146200135544913E-3</v>
      </c>
      <c r="R1562" s="137">
        <f>_xlfn.XLOOKUP(FME_Ranking1[[#This Row],[FME ID]],FME_Input[FME_ID],FME_Input[CRITFAC100])</f>
        <v>0</v>
      </c>
      <c r="S1562" s="230">
        <f>(FME_Ranking1[[#This Row],[Critical Facilities Raw]]/$R$2)*100</f>
        <v>0</v>
      </c>
      <c r="T1562" s="180">
        <f>FME_Ranking1[[#This Row],[Critical Facilities Score (Normalized, Unweighted)]]*$R$3</f>
        <v>0</v>
      </c>
      <c r="U1562">
        <f>_xlfn.XLOOKUP(FME_Ranking1[[#This Row],[FME ID]],FME_Input[FME_ID],FME_Input[LWC])</f>
        <v>0</v>
      </c>
      <c r="V1562" s="178">
        <f>(FME_Ranking1[[#This Row],[LWC Raw]]/$U$2)*100</f>
        <v>0</v>
      </c>
      <c r="W1562" s="178">
        <f>FME_Ranking1[[#This Row],[LWC Score (Normalized, Unweighted)]]*$U$3</f>
        <v>0</v>
      </c>
      <c r="X1562" s="246">
        <f>_xlfn.XLOOKUP(FME_Ranking1[[#This Row],[FME ID]],FME_Input[FME_ID],FME_Input[ROADCLS])</f>
        <v>0</v>
      </c>
      <c r="Y1562" s="230">
        <f>(FME_Ranking1[[#This Row],[Closures Raw]]/$X$2)*100</f>
        <v>0</v>
      </c>
      <c r="Z1562" s="180">
        <f>FME_Ranking1[[#This Row],[Closures Score (Normalized, Unweighted)]]*$X$3</f>
        <v>0</v>
      </c>
      <c r="AA1562" s="253">
        <f>_xlfn.XLOOKUP(FME_Ranking1[[#This Row],[FME ID]],FME_Input[FME_ID],FME_Input[ROAD_MILES100])</f>
        <v>3.1773431301116939</v>
      </c>
      <c r="AB1562" s="178">
        <f>(FME_Ranking1[[#This Row],[Miles Raw]]/$AA$2)*100</f>
        <v>4.1776363328527188E-2</v>
      </c>
      <c r="AC1562" s="178">
        <f>FME_Ranking1[[#This Row],[Miles Score (Normalized, Unweighted)]]*$AA$3</f>
        <v>4.1776363328527187E-3</v>
      </c>
      <c r="AD1562" s="255">
        <f>_xlfn.XLOOKUP(FME_Ranking1[[#This Row],[FME ID]],FME_Input[FME_ID],FME_Input[FARMACRE100])</f>
        <v>0</v>
      </c>
      <c r="AE1562" s="230">
        <f>(FME_Ranking1[[#This Row],[Ag Land Raw]]/$AD$2)*100</f>
        <v>0</v>
      </c>
      <c r="AF1562" s="231">
        <f>FME_Ranking1[[#This Row],[Ag Land Score (Normalized, Unweighted)]]*$AD$3</f>
        <v>0</v>
      </c>
      <c r="AG156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2.040231974648055E-2</v>
      </c>
      <c r="AH1562" s="406">
        <f t="shared" si="24"/>
        <v>1571</v>
      </c>
      <c r="AI156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2.040231974648055E-2</v>
      </c>
      <c r="AJ1562" s="257">
        <f>FME_Ranking1[[#This Row],[Addition check]]-FME_Ranking1[[#This Row],[Weighted Score Based on Normalized Reported Factors]]</f>
        <v>0</v>
      </c>
      <c r="AK1562" s="178">
        <f>_xlfn.RANK.EQ(AI1562,$AI$6:$AI$2341,0)+COUNTIF($AI$6:AI1562,AI1562)-1</f>
        <v>1572</v>
      </c>
    </row>
    <row r="1563" spans="1:37" x14ac:dyDescent="0.25">
      <c r="A1563" t="s">
        <v>9961</v>
      </c>
      <c r="B1563">
        <f>_xlfn.XLOOKUP(FME_Ranking1[[#This Row],[FME ID]],FME_Input[FME_ID],FME_Input[RFPG_NUM])</f>
        <v>13</v>
      </c>
      <c r="C1563" t="str">
        <f>_xlfn.XLOOKUP(FME_Ranking1[[#This Row],[FME ID]],FME_Input[FME_ID],FME_Input[FME_NAME])</f>
        <v>City of Natalia Floodplain Study</v>
      </c>
      <c r="D1563" t="str">
        <f>_xlfn.XLOOKUP(FME_Ranking1[[#This Row],[FME ID]],FME_Input[FME_ID],FME_Input[DESCR])</f>
        <v xml:space="preserve">City wide flood study to evaluate floodplain. </v>
      </c>
      <c r="E1563" s="256">
        <f>_xlfn.XLOOKUP(FME_Ranking1[[#This Row],[FME ID]],FME_Input[FME_ID],FME_Input[FME_COST])</f>
        <v>48000</v>
      </c>
      <c r="F1563" t="str">
        <f>_xlfn.XLOOKUP(FME_Ranking1[[#This Row],[FME ID]],FME_Input[FME_ID],FME_Input[EMER_NEED])</f>
        <v>Yes</v>
      </c>
      <c r="G1563">
        <f>IF(FME_Ranking!F1563="Yes",100,0)</f>
        <v>100</v>
      </c>
      <c r="H1563">
        <f>FME_Ranking1[[#This Row],[Emergency Need Score (Normalized, Unweighted)]]*$F$3</f>
        <v>0</v>
      </c>
      <c r="I1563" s="246">
        <f>_xlfn.XLOOKUP(FME_Ranking1[[#This Row],[FME ID]],FME_Input[FME_ID],FME_Input[STRUCT_100])</f>
        <v>56</v>
      </c>
      <c r="J1563" s="178">
        <f>(FME_Ranking1[[#This Row],[Structures 100 Raw]]/I$2)*100</f>
        <v>2.9987576575418756E-2</v>
      </c>
      <c r="K1563" s="178">
        <f>FME_Ranking1[[#This Row],[Structures 100  Score (Normalized, Unweighted)]]*$I$3</f>
        <v>4.4981364863128136E-3</v>
      </c>
      <c r="L1563" s="246">
        <f>_xlfn.XLOOKUP(FME_Ranking1[[#This Row],[FME ID]],FME_Input[FME_ID],FME_Input[RES_STRUCT100])</f>
        <v>31</v>
      </c>
      <c r="M1563" s="230">
        <f>(FME_Ranking1[[#This Row],[Res Structures Raw]]/L$2)*100</f>
        <v>2.1957473332294485E-2</v>
      </c>
      <c r="N1563" s="180">
        <f>FME_Ranking1[[#This Row],[Res Structures Score (Normalized, Unweighted)]]*$L$3</f>
        <v>2.1957473332294484E-3</v>
      </c>
      <c r="O1563" s="244">
        <f>_xlfn.XLOOKUP(FME_Ranking1[[#This Row],[FME ID]],FME_Input[FME_ID],FME_Input[POP100])</f>
        <v>68</v>
      </c>
      <c r="P1563" s="178">
        <f>(FME_Ranking1[[#This Row],[Pop Raw]]/$O$2)*100</f>
        <v>6.9615212152359038E-3</v>
      </c>
      <c r="Q1563" s="178">
        <f>FME_Ranking1[[#This Row],[Pop Score (Normalized, Unweighted)]]*$O$3</f>
        <v>1.0442281822853855E-3</v>
      </c>
      <c r="R1563" s="137">
        <f>_xlfn.XLOOKUP(FME_Ranking1[[#This Row],[FME ID]],FME_Input[FME_ID],FME_Input[CRITFAC100])</f>
        <v>0</v>
      </c>
      <c r="S1563" s="230">
        <f>(FME_Ranking1[[#This Row],[Critical Facilities Raw]]/$R$2)*100</f>
        <v>0</v>
      </c>
      <c r="T1563" s="180">
        <f>FME_Ranking1[[#This Row],[Critical Facilities Score (Normalized, Unweighted)]]*$R$3</f>
        <v>0</v>
      </c>
      <c r="U1563">
        <f>_xlfn.XLOOKUP(FME_Ranking1[[#This Row],[FME ID]],FME_Input[FME_ID],FME_Input[LWC])</f>
        <v>0</v>
      </c>
      <c r="V1563" s="178">
        <f>(FME_Ranking1[[#This Row],[LWC Raw]]/$U$2)*100</f>
        <v>0</v>
      </c>
      <c r="W1563" s="178">
        <f>FME_Ranking1[[#This Row],[LWC Score (Normalized, Unweighted)]]*$U$3</f>
        <v>0</v>
      </c>
      <c r="X1563" s="246">
        <f>_xlfn.XLOOKUP(FME_Ranking1[[#This Row],[FME ID]],FME_Input[FME_ID],FME_Input[ROADCLS])</f>
        <v>16</v>
      </c>
      <c r="Y1563" s="230">
        <f>(FME_Ranking1[[#This Row],[Closures Raw]]/$X$2)*100</f>
        <v>0.16822626432551782</v>
      </c>
      <c r="Z1563" s="180">
        <f>FME_Ranking1[[#This Row],[Closures Score (Normalized, Unweighted)]]*$X$3</f>
        <v>8.4113132162758914E-3</v>
      </c>
      <c r="AA1563" s="253">
        <f>_xlfn.XLOOKUP(FME_Ranking1[[#This Row],[FME ID]],FME_Input[FME_ID],FME_Input[ROAD_MILES100])</f>
        <v>1.402095675468445</v>
      </c>
      <c r="AB1563" s="178">
        <f>(FME_Ranking1[[#This Row],[Miles Raw]]/$AA$2)*100</f>
        <v>1.8435043355757245E-2</v>
      </c>
      <c r="AC1563" s="178">
        <f>FME_Ranking1[[#This Row],[Miles Score (Normalized, Unweighted)]]*$AA$3</f>
        <v>1.8435043355757245E-3</v>
      </c>
      <c r="AD1563" s="255">
        <f>_xlfn.XLOOKUP(FME_Ranking1[[#This Row],[FME ID]],FME_Input[FME_ID],FME_Input[FARMACRE100])</f>
        <v>1.3182862997055049</v>
      </c>
      <c r="AE1563" s="230">
        <f>(FME_Ranking1[[#This Row],[Ag Land Raw]]/$AD$2)*100</f>
        <v>5.4360225686370648E-5</v>
      </c>
      <c r="AF1563" s="231">
        <f>FME_Ranking1[[#This Row],[Ag Land Score (Normalized, Unweighted)]]*$AD$3</f>
        <v>2.7180112843185326E-6</v>
      </c>
      <c r="AG156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1.7995647564963579E-2</v>
      </c>
      <c r="AH1563" s="406">
        <f t="shared" si="24"/>
        <v>1601</v>
      </c>
      <c r="AI156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1.7995647564963579E-2</v>
      </c>
      <c r="AJ1563" s="257">
        <f>FME_Ranking1[[#This Row],[Addition check]]-FME_Ranking1[[#This Row],[Weighted Score Based on Normalized Reported Factors]]</f>
        <v>0</v>
      </c>
      <c r="AK1563" s="178">
        <f>_xlfn.RANK.EQ(AI1563,$AI$6:$AI$2341,0)+COUNTIF($AI$6:AI1563,AI1563)-1</f>
        <v>1601</v>
      </c>
    </row>
    <row r="1564" spans="1:37" x14ac:dyDescent="0.25">
      <c r="A1564" t="s">
        <v>1830</v>
      </c>
      <c r="B1564">
        <f>_xlfn.XLOOKUP(FME_Ranking1[[#This Row],[FME ID]],FME_Input[FME_ID],FME_Input[RFPG_NUM])</f>
        <v>6</v>
      </c>
      <c r="C1564" t="str">
        <f>_xlfn.XLOOKUP(FME_Ranking1[[#This Row],[FME ID]],FME_Input[FME_ID],FME_Input[FME_NAME])</f>
        <v>Town of Woodloch  Master Drainage Plan</v>
      </c>
      <c r="D1564" t="str">
        <f>_xlfn.XLOOKUP(FME_Ranking1[[#This Row],[FME ID]],FME_Input[FME_ID],FME_Input[DESCR])</f>
        <v>Study to develop Master Drainage Plan using future and existing land use and flood/storm water drainage needs including Atlas 14 rainfall.</v>
      </c>
      <c r="E1564" s="256">
        <f>_xlfn.XLOOKUP(FME_Ranking1[[#This Row],[FME ID]],FME_Input[FME_ID],FME_Input[FME_COST])</f>
        <v>50000</v>
      </c>
      <c r="F1564" t="str">
        <f>_xlfn.XLOOKUP(FME_Ranking1[[#This Row],[FME ID]],FME_Input[FME_ID],FME_Input[EMER_NEED])</f>
        <v>Yes</v>
      </c>
      <c r="G1564">
        <f>IF(FME_Ranking!F1564="Yes",100,0)</f>
        <v>100</v>
      </c>
      <c r="H1564">
        <f>FME_Ranking1[[#This Row],[Emergency Need Score (Normalized, Unweighted)]]*$F$3</f>
        <v>0</v>
      </c>
      <c r="I1564" s="246">
        <f>_xlfn.XLOOKUP(FME_Ranking1[[#This Row],[FME ID]],FME_Input[FME_ID],FME_Input[STRUCT_100])</f>
        <v>85</v>
      </c>
      <c r="J1564" s="178">
        <f>(FME_Ranking1[[#This Row],[Structures 100 Raw]]/I$2)*100</f>
        <v>4.551685730197489E-2</v>
      </c>
      <c r="K1564" s="178">
        <f>FME_Ranking1[[#This Row],[Structures 100  Score (Normalized, Unweighted)]]*$I$3</f>
        <v>6.8275285952962336E-3</v>
      </c>
      <c r="L1564" s="246">
        <f>_xlfn.XLOOKUP(FME_Ranking1[[#This Row],[FME ID]],FME_Input[FME_ID],FME_Input[RES_STRUCT100])</f>
        <v>80</v>
      </c>
      <c r="M1564" s="230">
        <f>(FME_Ranking1[[#This Row],[Res Structures Raw]]/L$2)*100</f>
        <v>5.6664447309147055E-2</v>
      </c>
      <c r="N1564" s="180">
        <f>FME_Ranking1[[#This Row],[Res Structures Score (Normalized, Unweighted)]]*$L$3</f>
        <v>5.666444730914706E-3</v>
      </c>
      <c r="O1564" s="244">
        <f>_xlfn.XLOOKUP(FME_Ranking1[[#This Row],[FME ID]],FME_Input[FME_ID],FME_Input[POP100])</f>
        <v>233</v>
      </c>
      <c r="P1564" s="178">
        <f>(FME_Ranking1[[#This Row],[Pop Raw]]/$O$2)*100</f>
        <v>2.3853447693381845E-2</v>
      </c>
      <c r="Q1564" s="178">
        <f>FME_Ranking1[[#This Row],[Pop Score (Normalized, Unweighted)]]*$O$3</f>
        <v>3.5780171540072767E-3</v>
      </c>
      <c r="R1564" s="137">
        <f>_xlfn.XLOOKUP(FME_Ranking1[[#This Row],[FME ID]],FME_Input[FME_ID],FME_Input[CRITFAC100])</f>
        <v>0</v>
      </c>
      <c r="S1564" s="230">
        <f>(FME_Ranking1[[#This Row],[Critical Facilities Raw]]/$R$2)*100</f>
        <v>0</v>
      </c>
      <c r="T1564" s="180">
        <f>FME_Ranking1[[#This Row],[Critical Facilities Score (Normalized, Unweighted)]]*$R$3</f>
        <v>0</v>
      </c>
      <c r="U1564">
        <f>_xlfn.XLOOKUP(FME_Ranking1[[#This Row],[FME ID]],FME_Input[FME_ID],FME_Input[LWC])</f>
        <v>0</v>
      </c>
      <c r="V1564" s="178">
        <f>(FME_Ranking1[[#This Row],[LWC Raw]]/$U$2)*100</f>
        <v>0</v>
      </c>
      <c r="W1564" s="178">
        <f>FME_Ranking1[[#This Row],[LWC Score (Normalized, Unweighted)]]*$U$3</f>
        <v>0</v>
      </c>
      <c r="X1564" s="246">
        <f>_xlfn.XLOOKUP(FME_Ranking1[[#This Row],[FME ID]],FME_Input[FME_ID],FME_Input[ROADCLS])</f>
        <v>0</v>
      </c>
      <c r="Y1564" s="230">
        <f>(FME_Ranking1[[#This Row],[Closures Raw]]/$X$2)*100</f>
        <v>0</v>
      </c>
      <c r="Z1564" s="180">
        <f>FME_Ranking1[[#This Row],[Closures Score (Normalized, Unweighted)]]*$X$3</f>
        <v>0</v>
      </c>
      <c r="AA1564" s="253">
        <f>_xlfn.XLOOKUP(FME_Ranking1[[#This Row],[FME ID]],FME_Input[FME_ID],FME_Input[ROAD_MILES100])</f>
        <v>1.0146340131759639</v>
      </c>
      <c r="AB1564" s="178">
        <f>(FME_Ranking1[[#This Row],[Miles Raw]]/$AA$2)*100</f>
        <v>1.3340617441727372E-2</v>
      </c>
      <c r="AC1564" s="178">
        <f>FME_Ranking1[[#This Row],[Miles Score (Normalized, Unweighted)]]*$AA$3</f>
        <v>1.3340617441727374E-3</v>
      </c>
      <c r="AD1564" s="255">
        <f>_xlfn.XLOOKUP(FME_Ranking1[[#This Row],[FME ID]],FME_Input[FME_ID],FME_Input[FARMACRE100])</f>
        <v>0</v>
      </c>
      <c r="AE1564" s="230">
        <f>(FME_Ranking1[[#This Row],[Ag Land Raw]]/$AD$2)*100</f>
        <v>0</v>
      </c>
      <c r="AF1564" s="231">
        <f>FME_Ranking1[[#This Row],[Ag Land Score (Normalized, Unweighted)]]*$AD$3</f>
        <v>0</v>
      </c>
      <c r="AG156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1.7406052224390952E-2</v>
      </c>
      <c r="AH1564" s="406">
        <f t="shared" si="24"/>
        <v>1606</v>
      </c>
      <c r="AI156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1.7406052224390952E-2</v>
      </c>
      <c r="AJ1564" s="257">
        <f>FME_Ranking1[[#This Row],[Addition check]]-FME_Ranking1[[#This Row],[Weighted Score Based on Normalized Reported Factors]]</f>
        <v>0</v>
      </c>
      <c r="AK1564" s="178">
        <f>_xlfn.RANK.EQ(AI1564,$AI$6:$AI$2341,0)+COUNTIF($AI$6:AI1564,AI1564)-1</f>
        <v>1606</v>
      </c>
    </row>
    <row r="1565" spans="1:37" x14ac:dyDescent="0.25">
      <c r="A1565" t="s">
        <v>5971</v>
      </c>
      <c r="B1565">
        <f>_xlfn.XLOOKUP(FME_Ranking1[[#This Row],[FME ID]],FME_Input[FME_ID],FME_Input[RFPG_NUM])</f>
        <v>5</v>
      </c>
      <c r="C1565" t="str">
        <f>_xlfn.XLOOKUP(FME_Ranking1[[#This Row],[FME ID]],FME_Input[FME_ID],FME_Input[FME_NAME])</f>
        <v>Trinity County Update Flood Hazard Mapping</v>
      </c>
      <c r="D1565" t="str">
        <f>_xlfn.XLOOKUP(FME_Ranking1[[#This Row],[FME ID]],FME_Input[FME_ID],FME_Input[DESCR])</f>
        <v>Complete a detailed study within the county extent to delineate an updated flood hazard area, which can be used for regulatory purposes.</v>
      </c>
      <c r="E1565" s="256">
        <f>_xlfn.XLOOKUP(FME_Ranking1[[#This Row],[FME ID]],FME_Input[FME_ID],FME_Input[FME_COST])</f>
        <v>1540238</v>
      </c>
      <c r="F1565" t="str">
        <f>_xlfn.XLOOKUP(FME_Ranking1[[#This Row],[FME ID]],FME_Input[FME_ID],FME_Input[EMER_NEED])</f>
        <v>Yes</v>
      </c>
      <c r="G1565">
        <f>IF(FME_Ranking!F1565="Yes",100,0)</f>
        <v>100</v>
      </c>
      <c r="H1565">
        <f>FME_Ranking1[[#This Row],[Emergency Need Score (Normalized, Unweighted)]]*$F$3</f>
        <v>0</v>
      </c>
      <c r="I1565" s="246">
        <f>_xlfn.XLOOKUP(FME_Ranking1[[#This Row],[FME ID]],FME_Input[FME_ID],FME_Input[STRUCT_100])</f>
        <v>32</v>
      </c>
      <c r="J1565" s="178">
        <f>(FME_Ranking1[[#This Row],[Structures 100 Raw]]/I$2)*100</f>
        <v>1.7135758043096434E-2</v>
      </c>
      <c r="K1565" s="178">
        <f>FME_Ranking1[[#This Row],[Structures 100  Score (Normalized, Unweighted)]]*$I$3</f>
        <v>2.570363706464465E-3</v>
      </c>
      <c r="L1565" s="246">
        <f>_xlfn.XLOOKUP(FME_Ranking1[[#This Row],[FME ID]],FME_Input[FME_ID],FME_Input[RES_STRUCT100])</f>
        <v>15</v>
      </c>
      <c r="M1565" s="230">
        <f>(FME_Ranking1[[#This Row],[Res Structures Raw]]/L$2)*100</f>
        <v>1.0624583870465073E-2</v>
      </c>
      <c r="N1565" s="180">
        <f>FME_Ranking1[[#This Row],[Res Structures Score (Normalized, Unweighted)]]*$L$3</f>
        <v>1.0624583870465073E-3</v>
      </c>
      <c r="O1565" s="244">
        <f>_xlfn.XLOOKUP(FME_Ranking1[[#This Row],[FME ID]],FME_Input[FME_ID],FME_Input[POP100])</f>
        <v>15</v>
      </c>
      <c r="P1565" s="178">
        <f>(FME_Ranking1[[#This Row],[Pop Raw]]/$O$2)*100</f>
        <v>1.5356296798314491E-3</v>
      </c>
      <c r="Q1565" s="178">
        <f>FME_Ranking1[[#This Row],[Pop Score (Normalized, Unweighted)]]*$O$3</f>
        <v>2.3034445197471737E-4</v>
      </c>
      <c r="R1565" s="137">
        <f>_xlfn.XLOOKUP(FME_Ranking1[[#This Row],[FME ID]],FME_Input[FME_ID],FME_Input[CRITFAC100])</f>
        <v>0</v>
      </c>
      <c r="S1565" s="230">
        <f>(FME_Ranking1[[#This Row],[Critical Facilities Raw]]/$R$2)*100</f>
        <v>0</v>
      </c>
      <c r="T1565" s="180">
        <f>FME_Ranking1[[#This Row],[Critical Facilities Score (Normalized, Unweighted)]]*$R$3</f>
        <v>0</v>
      </c>
      <c r="U1565">
        <f>_xlfn.XLOOKUP(FME_Ranking1[[#This Row],[FME ID]],FME_Input[FME_ID],FME_Input[LWC])</f>
        <v>1</v>
      </c>
      <c r="V1565" s="178">
        <f>(FME_Ranking1[[#This Row],[LWC Raw]]/$U$2)*100</f>
        <v>5.7570523891767422E-2</v>
      </c>
      <c r="W1565" s="178">
        <f>FME_Ranking1[[#This Row],[LWC Score (Normalized, Unweighted)]]*$U$3</f>
        <v>1.1514104778353485E-2</v>
      </c>
      <c r="X1565" s="246">
        <f>_xlfn.XLOOKUP(FME_Ranking1[[#This Row],[FME ID]],FME_Input[FME_ID],FME_Input[ROADCLS])</f>
        <v>1</v>
      </c>
      <c r="Y1565" s="230">
        <f>(FME_Ranking1[[#This Row],[Closures Raw]]/$X$2)*100</f>
        <v>1.0514141520344864E-2</v>
      </c>
      <c r="Z1565" s="180">
        <f>FME_Ranking1[[#This Row],[Closures Score (Normalized, Unweighted)]]*$X$3</f>
        <v>5.2570707601724321E-4</v>
      </c>
      <c r="AA1565" s="253">
        <f>_xlfn.XLOOKUP(FME_Ranking1[[#This Row],[FME ID]],FME_Input[FME_ID],FME_Input[ROAD_MILES100])</f>
        <v>22.494344711303711</v>
      </c>
      <c r="AB1565" s="178">
        <f>(FME_Ranking1[[#This Row],[Miles Raw]]/$AA$2)*100</f>
        <v>0.29576028745234179</v>
      </c>
      <c r="AC1565" s="178">
        <f>FME_Ranking1[[#This Row],[Miles Score (Normalized, Unweighted)]]*$AA$3</f>
        <v>2.9576028745234181E-2</v>
      </c>
      <c r="AD1565" s="255">
        <f>_xlfn.XLOOKUP(FME_Ranking1[[#This Row],[FME ID]],FME_Input[FME_ID],FME_Input[FARMACRE100])</f>
        <v>68.388084411621094</v>
      </c>
      <c r="AE1565" s="230">
        <f>(FME_Ranking1[[#This Row],[Ag Land Raw]]/$AD$2)*100</f>
        <v>2.820018461623071E-3</v>
      </c>
      <c r="AF1565" s="231">
        <f>FME_Ranking1[[#This Row],[Ag Land Score (Normalized, Unweighted)]]*$AD$3</f>
        <v>1.4100092308115355E-4</v>
      </c>
      <c r="AG156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4.5620008068171757E-2</v>
      </c>
      <c r="AH1565" s="406">
        <f t="shared" si="24"/>
        <v>1333</v>
      </c>
      <c r="AI156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4.5620008068171757E-2</v>
      </c>
      <c r="AJ1565" s="257">
        <f>FME_Ranking1[[#This Row],[Addition check]]-FME_Ranking1[[#This Row],[Weighted Score Based on Normalized Reported Factors]]</f>
        <v>0</v>
      </c>
      <c r="AK1565" s="178">
        <f>_xlfn.RANK.EQ(AI1565,$AI$6:$AI$2341,0)+COUNTIF($AI$6:AI1565,AI1565)-1</f>
        <v>1333</v>
      </c>
    </row>
    <row r="1566" spans="1:37" x14ac:dyDescent="0.25">
      <c r="A1566" t="s">
        <v>6173</v>
      </c>
      <c r="B1566">
        <f>_xlfn.XLOOKUP(FME_Ranking1[[#This Row],[FME ID]],FME_Input[FME_ID],FME_Input[RFPG_NUM])</f>
        <v>5</v>
      </c>
      <c r="C1566" t="str">
        <f>_xlfn.XLOOKUP(FME_Ranking1[[#This Row],[FME ID]],FME_Input[FME_ID],FME_Input[FME_NAME])</f>
        <v>Trinity County Master Drainage Plan</v>
      </c>
      <c r="D1566"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1566" s="256">
        <f>_xlfn.XLOOKUP(FME_Ranking1[[#This Row],[FME ID]],FME_Input[FME_ID],FME_Input[FME_COST])</f>
        <v>481324</v>
      </c>
      <c r="F1566" t="str">
        <f>_xlfn.XLOOKUP(FME_Ranking1[[#This Row],[FME ID]],FME_Input[FME_ID],FME_Input[EMER_NEED])</f>
        <v>Yes</v>
      </c>
      <c r="G1566">
        <f>IF(FME_Ranking!F1566="Yes",100,0)</f>
        <v>100</v>
      </c>
      <c r="H1566">
        <f>FME_Ranking1[[#This Row],[Emergency Need Score (Normalized, Unweighted)]]*$F$3</f>
        <v>0</v>
      </c>
      <c r="I1566" s="246">
        <f>_xlfn.XLOOKUP(FME_Ranking1[[#This Row],[FME ID]],FME_Input[FME_ID],FME_Input[STRUCT_100])</f>
        <v>32</v>
      </c>
      <c r="J1566" s="178">
        <f>(FME_Ranking1[[#This Row],[Structures 100 Raw]]/I$2)*100</f>
        <v>1.7135758043096434E-2</v>
      </c>
      <c r="K1566" s="178">
        <f>FME_Ranking1[[#This Row],[Structures 100  Score (Normalized, Unweighted)]]*$I$3</f>
        <v>2.570363706464465E-3</v>
      </c>
      <c r="L1566" s="246">
        <f>_xlfn.XLOOKUP(FME_Ranking1[[#This Row],[FME ID]],FME_Input[FME_ID],FME_Input[RES_STRUCT100])</f>
        <v>15</v>
      </c>
      <c r="M1566" s="230">
        <f>(FME_Ranking1[[#This Row],[Res Structures Raw]]/L$2)*100</f>
        <v>1.0624583870465073E-2</v>
      </c>
      <c r="N1566" s="180">
        <f>FME_Ranking1[[#This Row],[Res Structures Score (Normalized, Unweighted)]]*$L$3</f>
        <v>1.0624583870465073E-3</v>
      </c>
      <c r="O1566" s="244">
        <f>_xlfn.XLOOKUP(FME_Ranking1[[#This Row],[FME ID]],FME_Input[FME_ID],FME_Input[POP100])</f>
        <v>15</v>
      </c>
      <c r="P1566" s="178">
        <f>(FME_Ranking1[[#This Row],[Pop Raw]]/$O$2)*100</f>
        <v>1.5356296798314491E-3</v>
      </c>
      <c r="Q1566" s="178">
        <f>FME_Ranking1[[#This Row],[Pop Score (Normalized, Unweighted)]]*$O$3</f>
        <v>2.3034445197471737E-4</v>
      </c>
      <c r="R1566" s="137">
        <f>_xlfn.XLOOKUP(FME_Ranking1[[#This Row],[FME ID]],FME_Input[FME_ID],FME_Input[CRITFAC100])</f>
        <v>0</v>
      </c>
      <c r="S1566" s="230">
        <f>(FME_Ranking1[[#This Row],[Critical Facilities Raw]]/$R$2)*100</f>
        <v>0</v>
      </c>
      <c r="T1566" s="180">
        <f>FME_Ranking1[[#This Row],[Critical Facilities Score (Normalized, Unweighted)]]*$R$3</f>
        <v>0</v>
      </c>
      <c r="U1566">
        <f>_xlfn.XLOOKUP(FME_Ranking1[[#This Row],[FME ID]],FME_Input[FME_ID],FME_Input[LWC])</f>
        <v>1</v>
      </c>
      <c r="V1566" s="178">
        <f>(FME_Ranking1[[#This Row],[LWC Raw]]/$U$2)*100</f>
        <v>5.7570523891767422E-2</v>
      </c>
      <c r="W1566" s="178">
        <f>FME_Ranking1[[#This Row],[LWC Score (Normalized, Unweighted)]]*$U$3</f>
        <v>1.1514104778353485E-2</v>
      </c>
      <c r="X1566" s="246">
        <f>_xlfn.XLOOKUP(FME_Ranking1[[#This Row],[FME ID]],FME_Input[FME_ID],FME_Input[ROADCLS])</f>
        <v>1</v>
      </c>
      <c r="Y1566" s="230">
        <f>(FME_Ranking1[[#This Row],[Closures Raw]]/$X$2)*100</f>
        <v>1.0514141520344864E-2</v>
      </c>
      <c r="Z1566" s="180">
        <f>FME_Ranking1[[#This Row],[Closures Score (Normalized, Unweighted)]]*$X$3</f>
        <v>5.2570707601724321E-4</v>
      </c>
      <c r="AA1566" s="253">
        <f>_xlfn.XLOOKUP(FME_Ranking1[[#This Row],[FME ID]],FME_Input[FME_ID],FME_Input[ROAD_MILES100])</f>
        <v>22.494344711303711</v>
      </c>
      <c r="AB1566" s="178">
        <f>(FME_Ranking1[[#This Row],[Miles Raw]]/$AA$2)*100</f>
        <v>0.29576028745234179</v>
      </c>
      <c r="AC1566" s="178">
        <f>FME_Ranking1[[#This Row],[Miles Score (Normalized, Unweighted)]]*$AA$3</f>
        <v>2.9576028745234181E-2</v>
      </c>
      <c r="AD1566" s="255">
        <f>_xlfn.XLOOKUP(FME_Ranking1[[#This Row],[FME ID]],FME_Input[FME_ID],FME_Input[FARMACRE100])</f>
        <v>68.388084411621094</v>
      </c>
      <c r="AE1566" s="230">
        <f>(FME_Ranking1[[#This Row],[Ag Land Raw]]/$AD$2)*100</f>
        <v>2.820018461623071E-3</v>
      </c>
      <c r="AF1566" s="231">
        <f>FME_Ranking1[[#This Row],[Ag Land Score (Normalized, Unweighted)]]*$AD$3</f>
        <v>1.4100092308115355E-4</v>
      </c>
      <c r="AG156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4.5620008068171757E-2</v>
      </c>
      <c r="AH1566" s="406">
        <f t="shared" si="24"/>
        <v>1333</v>
      </c>
      <c r="AI156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4.5620008068171757E-2</v>
      </c>
      <c r="AJ1566" s="257">
        <f>FME_Ranking1[[#This Row],[Addition check]]-FME_Ranking1[[#This Row],[Weighted Score Based on Normalized Reported Factors]]</f>
        <v>0</v>
      </c>
      <c r="AK1566" s="178">
        <f>_xlfn.RANK.EQ(AI1566,$AI$6:$AI$2341,0)+COUNTIF($AI$6:AI1566,AI1566)-1</f>
        <v>1334</v>
      </c>
    </row>
    <row r="1567" spans="1:37" x14ac:dyDescent="0.25">
      <c r="A1567" t="s">
        <v>5217</v>
      </c>
      <c r="B1567">
        <f>_xlfn.XLOOKUP(FME_Ranking1[[#This Row],[FME ID]],FME_Input[FME_ID],FME_Input[RFPG_NUM])</f>
        <v>3</v>
      </c>
      <c r="C1567" t="str">
        <f>_xlfn.XLOOKUP(FME_Ranking1[[#This Row],[FME ID]],FME_Input[FME_ID],FME_Input[FME_NAME])</f>
        <v>Wilson Branch at Bonnie View Road</v>
      </c>
      <c r="D1567" t="str">
        <f>_xlfn.XLOOKUP(FME_Ranking1[[#This Row],[FME ID]],FME_Input[FME_ID],FME_Input[DESCR])</f>
        <v>Evaluate bridge improvements for Bonnie View Road over Wilson Branch</v>
      </c>
      <c r="E1567" s="256">
        <f>_xlfn.XLOOKUP(FME_Ranking1[[#This Row],[FME ID]],FME_Input[FME_ID],FME_Input[FME_COST])</f>
        <v>250000</v>
      </c>
      <c r="F1567" t="str">
        <f>_xlfn.XLOOKUP(FME_Ranking1[[#This Row],[FME ID]],FME_Input[FME_ID],FME_Input[EMER_NEED])</f>
        <v>No</v>
      </c>
      <c r="G1567">
        <f>IF(FME_Ranking!F1567="Yes",100,0)</f>
        <v>0</v>
      </c>
      <c r="H1567">
        <f>FME_Ranking1[[#This Row],[Emergency Need Score (Normalized, Unweighted)]]*$F$3</f>
        <v>0</v>
      </c>
      <c r="I1567" s="246">
        <f>_xlfn.XLOOKUP(FME_Ranking1[[#This Row],[FME ID]],FME_Input[FME_ID],FME_Input[STRUCT_100])</f>
        <v>27</v>
      </c>
      <c r="J1567" s="178">
        <f>(FME_Ranking1[[#This Row],[Structures 100 Raw]]/I$2)*100</f>
        <v>1.4458295848862615E-2</v>
      </c>
      <c r="K1567" s="178">
        <f>FME_Ranking1[[#This Row],[Structures 100  Score (Normalized, Unweighted)]]*$I$3</f>
        <v>2.1687443773293924E-3</v>
      </c>
      <c r="L1567" s="246">
        <f>_xlfn.XLOOKUP(FME_Ranking1[[#This Row],[FME ID]],FME_Input[FME_ID],FME_Input[RES_STRUCT100])</f>
        <v>25</v>
      </c>
      <c r="M1567" s="230">
        <f>(FME_Ranking1[[#This Row],[Res Structures Raw]]/L$2)*100</f>
        <v>1.7707639784108456E-2</v>
      </c>
      <c r="N1567" s="180">
        <f>FME_Ranking1[[#This Row],[Res Structures Score (Normalized, Unweighted)]]*$L$3</f>
        <v>1.7707639784108457E-3</v>
      </c>
      <c r="O1567" s="244">
        <f>_xlfn.XLOOKUP(FME_Ranking1[[#This Row],[FME ID]],FME_Input[FME_ID],FME_Input[POP100])</f>
        <v>25</v>
      </c>
      <c r="P1567" s="178">
        <f>(FME_Ranking1[[#This Row],[Pop Raw]]/$O$2)*100</f>
        <v>2.559382799719082E-3</v>
      </c>
      <c r="Q1567" s="178">
        <f>FME_Ranking1[[#This Row],[Pop Score (Normalized, Unweighted)]]*$O$3</f>
        <v>3.8390741995786228E-4</v>
      </c>
      <c r="R1567" s="137">
        <f>_xlfn.XLOOKUP(FME_Ranking1[[#This Row],[FME ID]],FME_Input[FME_ID],FME_Input[CRITFAC100])</f>
        <v>0</v>
      </c>
      <c r="S1567" s="230">
        <f>(FME_Ranking1[[#This Row],[Critical Facilities Raw]]/$R$2)*100</f>
        <v>0</v>
      </c>
      <c r="T1567" s="180">
        <f>FME_Ranking1[[#This Row],[Critical Facilities Score (Normalized, Unweighted)]]*$R$3</f>
        <v>0</v>
      </c>
      <c r="U1567">
        <f>_xlfn.XLOOKUP(FME_Ranking1[[#This Row],[FME ID]],FME_Input[FME_ID],FME_Input[LWC])</f>
        <v>1</v>
      </c>
      <c r="V1567" s="178">
        <f>(FME_Ranking1[[#This Row],[LWC Raw]]/$U$2)*100</f>
        <v>5.7570523891767422E-2</v>
      </c>
      <c r="W1567" s="178">
        <f>FME_Ranking1[[#This Row],[LWC Score (Normalized, Unweighted)]]*$U$3</f>
        <v>1.1514104778353485E-2</v>
      </c>
      <c r="X1567" s="246">
        <f>_xlfn.XLOOKUP(FME_Ranking1[[#This Row],[FME ID]],FME_Input[FME_ID],FME_Input[ROADCLS])</f>
        <v>0</v>
      </c>
      <c r="Y1567" s="230">
        <f>(FME_Ranking1[[#This Row],[Closures Raw]]/$X$2)*100</f>
        <v>0</v>
      </c>
      <c r="Z1567" s="180">
        <f>FME_Ranking1[[#This Row],[Closures Score (Normalized, Unweighted)]]*$X$3</f>
        <v>0</v>
      </c>
      <c r="AA1567" s="253">
        <f>_xlfn.XLOOKUP(FME_Ranking1[[#This Row],[FME ID]],FME_Input[FME_ID],FME_Input[ROAD_MILES100])</f>
        <v>5.4428310394287109</v>
      </c>
      <c r="AB1567" s="178">
        <f>(FME_Ranking1[[#This Row],[Miles Raw]]/$AA$2)*100</f>
        <v>7.1563465992722647E-2</v>
      </c>
      <c r="AC1567" s="178">
        <f>FME_Ranking1[[#This Row],[Miles Score (Normalized, Unweighted)]]*$AA$3</f>
        <v>7.1563465992722647E-3</v>
      </c>
      <c r="AD1567" s="255">
        <f>_xlfn.XLOOKUP(FME_Ranking1[[#This Row],[FME ID]],FME_Input[FME_ID],FME_Input[FARMACRE100])</f>
        <v>64.390632629394531</v>
      </c>
      <c r="AE1567" s="230">
        <f>(FME_Ranking1[[#This Row],[Ag Land Raw]]/$AD$2)*100</f>
        <v>2.6551814447316993E-3</v>
      </c>
      <c r="AF1567" s="231">
        <f>FME_Ranking1[[#This Row],[Ag Land Score (Normalized, Unweighted)]]*$AD$3</f>
        <v>1.3275907223658497E-4</v>
      </c>
      <c r="AG156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2.3126626225560432E-2</v>
      </c>
      <c r="AH1567" s="406">
        <f t="shared" si="24"/>
        <v>1540</v>
      </c>
      <c r="AI156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2.3126626225560432E-2</v>
      </c>
      <c r="AJ1567" s="257">
        <f>FME_Ranking1[[#This Row],[Addition check]]-FME_Ranking1[[#This Row],[Weighted Score Based on Normalized Reported Factors]]</f>
        <v>0</v>
      </c>
      <c r="AK1567" s="178">
        <f>_xlfn.RANK.EQ(AI1567,$AI$6:$AI$2341,0)+COUNTIF($AI$6:AI1567,AI1567)-1</f>
        <v>1540</v>
      </c>
    </row>
    <row r="1568" spans="1:37" x14ac:dyDescent="0.25">
      <c r="A1568" t="s">
        <v>5222</v>
      </c>
      <c r="B1568">
        <f>_xlfn.XLOOKUP(FME_Ranking1[[#This Row],[FME ID]],FME_Input[FME_ID],FME_Input[RFPG_NUM])</f>
        <v>3</v>
      </c>
      <c r="C1568" t="str">
        <f>_xlfn.XLOOKUP(FME_Ranking1[[#This Row],[FME ID]],FME_Input[FME_ID],FME_Input[FME_NAME])</f>
        <v>Wilson Branch at J J Lemmon Road</v>
      </c>
      <c r="D1568" t="str">
        <f>_xlfn.XLOOKUP(FME_Ranking1[[#This Row],[FME ID]],FME_Input[FME_ID],FME_Input[DESCR])</f>
        <v>Evaluate bridge improvements for J J Lemmon Road over Wilson Branch</v>
      </c>
      <c r="E1568" s="256">
        <f>_xlfn.XLOOKUP(FME_Ranking1[[#This Row],[FME ID]],FME_Input[FME_ID],FME_Input[FME_COST])</f>
        <v>250000</v>
      </c>
      <c r="F1568" t="str">
        <f>_xlfn.XLOOKUP(FME_Ranking1[[#This Row],[FME ID]],FME_Input[FME_ID],FME_Input[EMER_NEED])</f>
        <v>No</v>
      </c>
      <c r="G1568">
        <f>IF(FME_Ranking!F1568="Yes",100,0)</f>
        <v>0</v>
      </c>
      <c r="H1568">
        <f>FME_Ranking1[[#This Row],[Emergency Need Score (Normalized, Unweighted)]]*$F$3</f>
        <v>0</v>
      </c>
      <c r="I1568" s="246">
        <f>_xlfn.XLOOKUP(FME_Ranking1[[#This Row],[FME ID]],FME_Input[FME_ID],FME_Input[STRUCT_100])</f>
        <v>27</v>
      </c>
      <c r="J1568" s="178">
        <f>(FME_Ranking1[[#This Row],[Structures 100 Raw]]/I$2)*100</f>
        <v>1.4458295848862615E-2</v>
      </c>
      <c r="K1568" s="178">
        <f>FME_Ranking1[[#This Row],[Structures 100  Score (Normalized, Unweighted)]]*$I$3</f>
        <v>2.1687443773293924E-3</v>
      </c>
      <c r="L1568" s="246">
        <f>_xlfn.XLOOKUP(FME_Ranking1[[#This Row],[FME ID]],FME_Input[FME_ID],FME_Input[RES_STRUCT100])</f>
        <v>25</v>
      </c>
      <c r="M1568" s="230">
        <f>(FME_Ranking1[[#This Row],[Res Structures Raw]]/L$2)*100</f>
        <v>1.7707639784108456E-2</v>
      </c>
      <c r="N1568" s="180">
        <f>FME_Ranking1[[#This Row],[Res Structures Score (Normalized, Unweighted)]]*$L$3</f>
        <v>1.7707639784108457E-3</v>
      </c>
      <c r="O1568" s="244">
        <f>_xlfn.XLOOKUP(FME_Ranking1[[#This Row],[FME ID]],FME_Input[FME_ID],FME_Input[POP100])</f>
        <v>25</v>
      </c>
      <c r="P1568" s="178">
        <f>(FME_Ranking1[[#This Row],[Pop Raw]]/$O$2)*100</f>
        <v>2.559382799719082E-3</v>
      </c>
      <c r="Q1568" s="178">
        <f>FME_Ranking1[[#This Row],[Pop Score (Normalized, Unweighted)]]*$O$3</f>
        <v>3.8390741995786228E-4</v>
      </c>
      <c r="R1568" s="137">
        <f>_xlfn.XLOOKUP(FME_Ranking1[[#This Row],[FME ID]],FME_Input[FME_ID],FME_Input[CRITFAC100])</f>
        <v>0</v>
      </c>
      <c r="S1568" s="230">
        <f>(FME_Ranking1[[#This Row],[Critical Facilities Raw]]/$R$2)*100</f>
        <v>0</v>
      </c>
      <c r="T1568" s="180">
        <f>FME_Ranking1[[#This Row],[Critical Facilities Score (Normalized, Unweighted)]]*$R$3</f>
        <v>0</v>
      </c>
      <c r="U1568">
        <f>_xlfn.XLOOKUP(FME_Ranking1[[#This Row],[FME ID]],FME_Input[FME_ID],FME_Input[LWC])</f>
        <v>1</v>
      </c>
      <c r="V1568" s="178">
        <f>(FME_Ranking1[[#This Row],[LWC Raw]]/$U$2)*100</f>
        <v>5.7570523891767422E-2</v>
      </c>
      <c r="W1568" s="178">
        <f>FME_Ranking1[[#This Row],[LWC Score (Normalized, Unweighted)]]*$U$3</f>
        <v>1.1514104778353485E-2</v>
      </c>
      <c r="X1568" s="246">
        <f>_xlfn.XLOOKUP(FME_Ranking1[[#This Row],[FME ID]],FME_Input[FME_ID],FME_Input[ROADCLS])</f>
        <v>0</v>
      </c>
      <c r="Y1568" s="230">
        <f>(FME_Ranking1[[#This Row],[Closures Raw]]/$X$2)*100</f>
        <v>0</v>
      </c>
      <c r="Z1568" s="180">
        <f>FME_Ranking1[[#This Row],[Closures Score (Normalized, Unweighted)]]*$X$3</f>
        <v>0</v>
      </c>
      <c r="AA1568" s="253">
        <f>_xlfn.XLOOKUP(FME_Ranking1[[#This Row],[FME ID]],FME_Input[FME_ID],FME_Input[ROAD_MILES100])</f>
        <v>5.4428310394287109</v>
      </c>
      <c r="AB1568" s="178">
        <f>(FME_Ranking1[[#This Row],[Miles Raw]]/$AA$2)*100</f>
        <v>7.1563465992722647E-2</v>
      </c>
      <c r="AC1568" s="178">
        <f>FME_Ranking1[[#This Row],[Miles Score (Normalized, Unweighted)]]*$AA$3</f>
        <v>7.1563465992722647E-3</v>
      </c>
      <c r="AD1568" s="255">
        <f>_xlfn.XLOOKUP(FME_Ranking1[[#This Row],[FME ID]],FME_Input[FME_ID],FME_Input[FARMACRE100])</f>
        <v>64.390632629394531</v>
      </c>
      <c r="AE1568" s="230">
        <f>(FME_Ranking1[[#This Row],[Ag Land Raw]]/$AD$2)*100</f>
        <v>2.6551814447316993E-3</v>
      </c>
      <c r="AF1568" s="231">
        <f>FME_Ranking1[[#This Row],[Ag Land Score (Normalized, Unweighted)]]*$AD$3</f>
        <v>1.3275907223658497E-4</v>
      </c>
      <c r="AG156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2.3126626225560432E-2</v>
      </c>
      <c r="AH1568" s="406">
        <f t="shared" si="24"/>
        <v>1540</v>
      </c>
      <c r="AI156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2.3126626225560432E-2</v>
      </c>
      <c r="AJ1568" s="257">
        <f>FME_Ranking1[[#This Row],[Addition check]]-FME_Ranking1[[#This Row],[Weighted Score Based on Normalized Reported Factors]]</f>
        <v>0</v>
      </c>
      <c r="AK1568" s="178">
        <f>_xlfn.RANK.EQ(AI1568,$AI$6:$AI$2341,0)+COUNTIF($AI$6:AI1568,AI1568)-1</f>
        <v>1541</v>
      </c>
    </row>
    <row r="1569" spans="1:37" x14ac:dyDescent="0.25">
      <c r="A1569" t="s">
        <v>5225</v>
      </c>
      <c r="B1569">
        <f>_xlfn.XLOOKUP(FME_Ranking1[[#This Row],[FME ID]],FME_Input[FME_ID],FME_Input[RFPG_NUM])</f>
        <v>3</v>
      </c>
      <c r="C1569" t="str">
        <f>_xlfn.XLOOKUP(FME_Ranking1[[#This Row],[FME ID]],FME_Input[FME_ID],FME_Input[FME_NAME])</f>
        <v>Wilson Branch at Tioga Street</v>
      </c>
      <c r="D1569" t="str">
        <f>_xlfn.XLOOKUP(FME_Ranking1[[#This Row],[FME ID]],FME_Input[FME_ID],FME_Input[DESCR])</f>
        <v>Evaluate bridge improvements for Tioga Street over Wilson Branch</v>
      </c>
      <c r="E1569" s="256">
        <f>_xlfn.XLOOKUP(FME_Ranking1[[#This Row],[FME ID]],FME_Input[FME_ID],FME_Input[FME_COST])</f>
        <v>250000</v>
      </c>
      <c r="F1569" t="str">
        <f>_xlfn.XLOOKUP(FME_Ranking1[[#This Row],[FME ID]],FME_Input[FME_ID],FME_Input[EMER_NEED])</f>
        <v>No</v>
      </c>
      <c r="G1569">
        <f>IF(FME_Ranking!F1569="Yes",100,0)</f>
        <v>0</v>
      </c>
      <c r="H1569">
        <f>FME_Ranking1[[#This Row],[Emergency Need Score (Normalized, Unweighted)]]*$F$3</f>
        <v>0</v>
      </c>
      <c r="I1569" s="246">
        <f>_xlfn.XLOOKUP(FME_Ranking1[[#This Row],[FME ID]],FME_Input[FME_ID],FME_Input[STRUCT_100])</f>
        <v>27</v>
      </c>
      <c r="J1569" s="178">
        <f>(FME_Ranking1[[#This Row],[Structures 100 Raw]]/I$2)*100</f>
        <v>1.4458295848862615E-2</v>
      </c>
      <c r="K1569" s="178">
        <f>FME_Ranking1[[#This Row],[Structures 100  Score (Normalized, Unweighted)]]*$I$3</f>
        <v>2.1687443773293924E-3</v>
      </c>
      <c r="L1569" s="246">
        <f>_xlfn.XLOOKUP(FME_Ranking1[[#This Row],[FME ID]],FME_Input[FME_ID],FME_Input[RES_STRUCT100])</f>
        <v>25</v>
      </c>
      <c r="M1569" s="230">
        <f>(FME_Ranking1[[#This Row],[Res Structures Raw]]/L$2)*100</f>
        <v>1.7707639784108456E-2</v>
      </c>
      <c r="N1569" s="180">
        <f>FME_Ranking1[[#This Row],[Res Structures Score (Normalized, Unweighted)]]*$L$3</f>
        <v>1.7707639784108457E-3</v>
      </c>
      <c r="O1569" s="244">
        <f>_xlfn.XLOOKUP(FME_Ranking1[[#This Row],[FME ID]],FME_Input[FME_ID],FME_Input[POP100])</f>
        <v>25</v>
      </c>
      <c r="P1569" s="178">
        <f>(FME_Ranking1[[#This Row],[Pop Raw]]/$O$2)*100</f>
        <v>2.559382799719082E-3</v>
      </c>
      <c r="Q1569" s="178">
        <f>FME_Ranking1[[#This Row],[Pop Score (Normalized, Unweighted)]]*$O$3</f>
        <v>3.8390741995786228E-4</v>
      </c>
      <c r="R1569" s="137">
        <f>_xlfn.XLOOKUP(FME_Ranking1[[#This Row],[FME ID]],FME_Input[FME_ID],FME_Input[CRITFAC100])</f>
        <v>0</v>
      </c>
      <c r="S1569" s="230">
        <f>(FME_Ranking1[[#This Row],[Critical Facilities Raw]]/$R$2)*100</f>
        <v>0</v>
      </c>
      <c r="T1569" s="180">
        <f>FME_Ranking1[[#This Row],[Critical Facilities Score (Normalized, Unweighted)]]*$R$3</f>
        <v>0</v>
      </c>
      <c r="U1569">
        <f>_xlfn.XLOOKUP(FME_Ranking1[[#This Row],[FME ID]],FME_Input[FME_ID],FME_Input[LWC])</f>
        <v>1</v>
      </c>
      <c r="V1569" s="178">
        <f>(FME_Ranking1[[#This Row],[LWC Raw]]/$U$2)*100</f>
        <v>5.7570523891767422E-2</v>
      </c>
      <c r="W1569" s="178">
        <f>FME_Ranking1[[#This Row],[LWC Score (Normalized, Unweighted)]]*$U$3</f>
        <v>1.1514104778353485E-2</v>
      </c>
      <c r="X1569" s="246">
        <f>_xlfn.XLOOKUP(FME_Ranking1[[#This Row],[FME ID]],FME_Input[FME_ID],FME_Input[ROADCLS])</f>
        <v>0</v>
      </c>
      <c r="Y1569" s="230">
        <f>(FME_Ranking1[[#This Row],[Closures Raw]]/$X$2)*100</f>
        <v>0</v>
      </c>
      <c r="Z1569" s="180">
        <f>FME_Ranking1[[#This Row],[Closures Score (Normalized, Unweighted)]]*$X$3</f>
        <v>0</v>
      </c>
      <c r="AA1569" s="253">
        <f>_xlfn.XLOOKUP(FME_Ranking1[[#This Row],[FME ID]],FME_Input[FME_ID],FME_Input[ROAD_MILES100])</f>
        <v>5.4428310394287109</v>
      </c>
      <c r="AB1569" s="178">
        <f>(FME_Ranking1[[#This Row],[Miles Raw]]/$AA$2)*100</f>
        <v>7.1563465992722647E-2</v>
      </c>
      <c r="AC1569" s="178">
        <f>FME_Ranking1[[#This Row],[Miles Score (Normalized, Unweighted)]]*$AA$3</f>
        <v>7.1563465992722647E-3</v>
      </c>
      <c r="AD1569" s="255">
        <f>_xlfn.XLOOKUP(FME_Ranking1[[#This Row],[FME ID]],FME_Input[FME_ID],FME_Input[FARMACRE100])</f>
        <v>64.390632629394531</v>
      </c>
      <c r="AE1569" s="230">
        <f>(FME_Ranking1[[#This Row],[Ag Land Raw]]/$AD$2)*100</f>
        <v>2.6551814447316993E-3</v>
      </c>
      <c r="AF1569" s="231">
        <f>FME_Ranking1[[#This Row],[Ag Land Score (Normalized, Unweighted)]]*$AD$3</f>
        <v>1.3275907223658497E-4</v>
      </c>
      <c r="AG156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2.3126626225560432E-2</v>
      </c>
      <c r="AH1569" s="406">
        <f t="shared" si="24"/>
        <v>1540</v>
      </c>
      <c r="AI156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2.3126626225560432E-2</v>
      </c>
      <c r="AJ1569" s="257">
        <f>FME_Ranking1[[#This Row],[Addition check]]-FME_Ranking1[[#This Row],[Weighted Score Based on Normalized Reported Factors]]</f>
        <v>0</v>
      </c>
      <c r="AK1569" s="178">
        <f>_xlfn.RANK.EQ(AI1569,$AI$6:$AI$2341,0)+COUNTIF($AI$6:AI1569,AI1569)-1</f>
        <v>1542</v>
      </c>
    </row>
    <row r="1570" spans="1:37" x14ac:dyDescent="0.25">
      <c r="A1570" t="s">
        <v>7621</v>
      </c>
      <c r="B1570">
        <f>_xlfn.XLOOKUP(FME_Ranking1[[#This Row],[FME ID]],FME_Input[FME_ID],FME_Input[RFPG_NUM])</f>
        <v>8</v>
      </c>
      <c r="C1570" t="str">
        <f>_xlfn.XLOOKUP(FME_Ranking1[[#This Row],[FME ID]],FME_Input[FME_ID],FME_Input[FME_NAME])</f>
        <v>Sugar Creek Watershed Analysis</v>
      </c>
      <c r="D1570" t="str">
        <f>_xlfn.XLOOKUP(FME_Ranking1[[#This Row],[FME ID]],FME_Input[FME_ID],FME_Input[DESCR])</f>
        <v>Complete a drainage study for the Sugar Creek neighborhood to mitigate flooding risk.</v>
      </c>
      <c r="E1570" s="256">
        <f>_xlfn.XLOOKUP(FME_Ranking1[[#This Row],[FME ID]],FME_Input[FME_ID],FME_Input[FME_COST])</f>
        <v>50000</v>
      </c>
      <c r="F1570" t="str">
        <f>_xlfn.XLOOKUP(FME_Ranking1[[#This Row],[FME ID]],FME_Input[FME_ID],FME_Input[EMER_NEED])</f>
        <v>No</v>
      </c>
      <c r="G1570">
        <f>IF(FME_Ranking!F1570="Yes",100,0)</f>
        <v>0</v>
      </c>
      <c r="H1570">
        <f>FME_Ranking1[[#This Row],[Emergency Need Score (Normalized, Unweighted)]]*$F$3</f>
        <v>0</v>
      </c>
      <c r="I1570" s="246">
        <f>_xlfn.XLOOKUP(FME_Ranking1[[#This Row],[FME ID]],FME_Input[FME_ID],FME_Input[STRUCT_100])</f>
        <v>26</v>
      </c>
      <c r="J1570" s="178">
        <f>(FME_Ranking1[[#This Row],[Structures 100 Raw]]/I$2)*100</f>
        <v>1.3922803410015852E-2</v>
      </c>
      <c r="K1570" s="178">
        <f>FME_Ranking1[[#This Row],[Structures 100  Score (Normalized, Unweighted)]]*$I$3</f>
        <v>2.0884205115023779E-3</v>
      </c>
      <c r="L1570" s="246">
        <f>_xlfn.XLOOKUP(FME_Ranking1[[#This Row],[FME ID]],FME_Input[FME_ID],FME_Input[RES_STRUCT100])</f>
        <v>14</v>
      </c>
      <c r="M1570" s="230">
        <f>(FME_Ranking1[[#This Row],[Res Structures Raw]]/L$2)*100</f>
        <v>9.9162782791007362E-3</v>
      </c>
      <c r="N1570" s="180">
        <f>FME_Ranking1[[#This Row],[Res Structures Score (Normalized, Unweighted)]]*$L$3</f>
        <v>9.9162782791007375E-4</v>
      </c>
      <c r="O1570" s="244">
        <f>_xlfn.XLOOKUP(FME_Ranking1[[#This Row],[FME ID]],FME_Input[FME_ID],FME_Input[POP100])</f>
        <v>214</v>
      </c>
      <c r="P1570" s="178">
        <f>(FME_Ranking1[[#This Row],[Pop Raw]]/$O$2)*100</f>
        <v>2.1908316765595341E-2</v>
      </c>
      <c r="Q1570" s="178">
        <f>FME_Ranking1[[#This Row],[Pop Score (Normalized, Unweighted)]]*$O$3</f>
        <v>3.2862475148393009E-3</v>
      </c>
      <c r="R1570" s="137">
        <f>_xlfn.XLOOKUP(FME_Ranking1[[#This Row],[FME ID]],FME_Input[FME_ID],FME_Input[CRITFAC100])</f>
        <v>0</v>
      </c>
      <c r="S1570" s="230">
        <f>(FME_Ranking1[[#This Row],[Critical Facilities Raw]]/$R$2)*100</f>
        <v>0</v>
      </c>
      <c r="T1570" s="180">
        <f>FME_Ranking1[[#This Row],[Critical Facilities Score (Normalized, Unweighted)]]*$R$3</f>
        <v>0</v>
      </c>
      <c r="U1570">
        <f>_xlfn.XLOOKUP(FME_Ranking1[[#This Row],[FME ID]],FME_Input[FME_ID],FME_Input[LWC])</f>
        <v>0</v>
      </c>
      <c r="V1570" s="178">
        <f>(FME_Ranking1[[#This Row],[LWC Raw]]/$U$2)*100</f>
        <v>0</v>
      </c>
      <c r="W1570" s="178">
        <f>FME_Ranking1[[#This Row],[LWC Score (Normalized, Unweighted)]]*$U$3</f>
        <v>0</v>
      </c>
      <c r="X1570" s="246">
        <f>_xlfn.XLOOKUP(FME_Ranking1[[#This Row],[FME ID]],FME_Input[FME_ID],FME_Input[ROADCLS])</f>
        <v>18</v>
      </c>
      <c r="Y1570" s="230">
        <f>(FME_Ranking1[[#This Row],[Closures Raw]]/$X$2)*100</f>
        <v>0.18925454736620756</v>
      </c>
      <c r="Z1570" s="180">
        <f>FME_Ranking1[[#This Row],[Closures Score (Normalized, Unweighted)]]*$X$3</f>
        <v>9.4627273683103794E-3</v>
      </c>
      <c r="AA1570" s="253">
        <f>_xlfn.XLOOKUP(FME_Ranking1[[#This Row],[FME ID]],FME_Input[FME_ID],FME_Input[ROAD_MILES100])</f>
        <v>2.3496100902557369</v>
      </c>
      <c r="AB1570" s="178">
        <f>(FME_Ranking1[[#This Row],[Miles Raw]]/$AA$2)*100</f>
        <v>3.0893158463324875E-2</v>
      </c>
      <c r="AC1570" s="178">
        <f>FME_Ranking1[[#This Row],[Miles Score (Normalized, Unweighted)]]*$AA$3</f>
        <v>3.0893158463324876E-3</v>
      </c>
      <c r="AD1570" s="255">
        <f>_xlfn.XLOOKUP(FME_Ranking1[[#This Row],[FME ID]],FME_Input[FME_ID],FME_Input[FARMACRE100])</f>
        <v>1.240339994430542</v>
      </c>
      <c r="AE1570" s="230">
        <f>(FME_Ranking1[[#This Row],[Ag Land Raw]]/$AD$2)*100</f>
        <v>5.1146068983754311E-5</v>
      </c>
      <c r="AF1570" s="231">
        <f>FME_Ranking1[[#This Row],[Ag Land Score (Normalized, Unweighted)]]*$AD$3</f>
        <v>2.5573034491877158E-6</v>
      </c>
      <c r="AG157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1.8920896372343808E-2</v>
      </c>
      <c r="AH1570" s="406">
        <f t="shared" si="24"/>
        <v>1585</v>
      </c>
      <c r="AI157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1.8920896372343808E-2</v>
      </c>
      <c r="AJ1570" s="257">
        <f>FME_Ranking1[[#This Row],[Addition check]]-FME_Ranking1[[#This Row],[Weighted Score Based on Normalized Reported Factors]]</f>
        <v>0</v>
      </c>
      <c r="AK1570" s="178">
        <f>_xlfn.RANK.EQ(AI1570,$AI$6:$AI$2341,0)+COUNTIF($AI$6:AI1570,AI1570)-1</f>
        <v>1585</v>
      </c>
    </row>
    <row r="1571" spans="1:37" x14ac:dyDescent="0.25">
      <c r="A1571" t="s">
        <v>7626</v>
      </c>
      <c r="B1571">
        <f>_xlfn.XLOOKUP(FME_Ranking1[[#This Row],[FME ID]],FME_Input[FME_ID],FME_Input[RFPG_NUM])</f>
        <v>8</v>
      </c>
      <c r="C1571" t="str">
        <f>_xlfn.XLOOKUP(FME_Ranking1[[#This Row],[FME ID]],FME_Input[FME_ID],FME_Input[FME_NAME])</f>
        <v>Sugar Creek East Ditch</v>
      </c>
      <c r="D1571" t="str">
        <f>_xlfn.XLOOKUP(FME_Ranking1[[#This Row],[FME ID]],FME_Input[FME_ID],FME_Input[DESCR])</f>
        <v>Install box culverts in the Sugar Creek East Ditch for storm water control.</v>
      </c>
      <c r="E1571" s="256">
        <f>_xlfn.XLOOKUP(FME_Ranking1[[#This Row],[FME ID]],FME_Input[FME_ID],FME_Input[FME_COST])</f>
        <v>253000</v>
      </c>
      <c r="F1571" t="str">
        <f>_xlfn.XLOOKUP(FME_Ranking1[[#This Row],[FME ID]],FME_Input[FME_ID],FME_Input[EMER_NEED])</f>
        <v>No</v>
      </c>
      <c r="G1571">
        <f>IF(FME_Ranking!F1571="Yes",100,0)</f>
        <v>0</v>
      </c>
      <c r="H1571">
        <f>FME_Ranking1[[#This Row],[Emergency Need Score (Normalized, Unweighted)]]*$F$3</f>
        <v>0</v>
      </c>
      <c r="I1571" s="246">
        <f>_xlfn.XLOOKUP(FME_Ranking1[[#This Row],[FME ID]],FME_Input[FME_ID],FME_Input[STRUCT_100])</f>
        <v>26</v>
      </c>
      <c r="J1571" s="178">
        <f>(FME_Ranking1[[#This Row],[Structures 100 Raw]]/I$2)*100</f>
        <v>1.3922803410015852E-2</v>
      </c>
      <c r="K1571" s="178">
        <f>FME_Ranking1[[#This Row],[Structures 100  Score (Normalized, Unweighted)]]*$I$3</f>
        <v>2.0884205115023779E-3</v>
      </c>
      <c r="L1571" s="246">
        <f>_xlfn.XLOOKUP(FME_Ranking1[[#This Row],[FME ID]],FME_Input[FME_ID],FME_Input[RES_STRUCT100])</f>
        <v>14</v>
      </c>
      <c r="M1571" s="230">
        <f>(FME_Ranking1[[#This Row],[Res Structures Raw]]/L$2)*100</f>
        <v>9.9162782791007362E-3</v>
      </c>
      <c r="N1571" s="180">
        <f>FME_Ranking1[[#This Row],[Res Structures Score (Normalized, Unweighted)]]*$L$3</f>
        <v>9.9162782791007375E-4</v>
      </c>
      <c r="O1571" s="244">
        <f>_xlfn.XLOOKUP(FME_Ranking1[[#This Row],[FME ID]],FME_Input[FME_ID],FME_Input[POP100])</f>
        <v>214</v>
      </c>
      <c r="P1571" s="178">
        <f>(FME_Ranking1[[#This Row],[Pop Raw]]/$O$2)*100</f>
        <v>2.1908316765595341E-2</v>
      </c>
      <c r="Q1571" s="178">
        <f>FME_Ranking1[[#This Row],[Pop Score (Normalized, Unweighted)]]*$O$3</f>
        <v>3.2862475148393009E-3</v>
      </c>
      <c r="R1571" s="137">
        <f>_xlfn.XLOOKUP(FME_Ranking1[[#This Row],[FME ID]],FME_Input[FME_ID],FME_Input[CRITFAC100])</f>
        <v>0</v>
      </c>
      <c r="S1571" s="230">
        <f>(FME_Ranking1[[#This Row],[Critical Facilities Raw]]/$R$2)*100</f>
        <v>0</v>
      </c>
      <c r="T1571" s="180">
        <f>FME_Ranking1[[#This Row],[Critical Facilities Score (Normalized, Unweighted)]]*$R$3</f>
        <v>0</v>
      </c>
      <c r="U1571">
        <f>_xlfn.XLOOKUP(FME_Ranking1[[#This Row],[FME ID]],FME_Input[FME_ID],FME_Input[LWC])</f>
        <v>0</v>
      </c>
      <c r="V1571" s="178">
        <f>(FME_Ranking1[[#This Row],[LWC Raw]]/$U$2)*100</f>
        <v>0</v>
      </c>
      <c r="W1571" s="178">
        <f>FME_Ranking1[[#This Row],[LWC Score (Normalized, Unweighted)]]*$U$3</f>
        <v>0</v>
      </c>
      <c r="X1571" s="246">
        <f>_xlfn.XLOOKUP(FME_Ranking1[[#This Row],[FME ID]],FME_Input[FME_ID],FME_Input[ROADCLS])</f>
        <v>18</v>
      </c>
      <c r="Y1571" s="230">
        <f>(FME_Ranking1[[#This Row],[Closures Raw]]/$X$2)*100</f>
        <v>0.18925454736620756</v>
      </c>
      <c r="Z1571" s="180">
        <f>FME_Ranking1[[#This Row],[Closures Score (Normalized, Unweighted)]]*$X$3</f>
        <v>9.4627273683103794E-3</v>
      </c>
      <c r="AA1571" s="253">
        <f>_xlfn.XLOOKUP(FME_Ranking1[[#This Row],[FME ID]],FME_Input[FME_ID],FME_Input[ROAD_MILES100])</f>
        <v>2.3496100902557369</v>
      </c>
      <c r="AB1571" s="178">
        <f>(FME_Ranking1[[#This Row],[Miles Raw]]/$AA$2)*100</f>
        <v>3.0893158463324875E-2</v>
      </c>
      <c r="AC1571" s="178">
        <f>FME_Ranking1[[#This Row],[Miles Score (Normalized, Unweighted)]]*$AA$3</f>
        <v>3.0893158463324876E-3</v>
      </c>
      <c r="AD1571" s="255">
        <f>_xlfn.XLOOKUP(FME_Ranking1[[#This Row],[FME ID]],FME_Input[FME_ID],FME_Input[FARMACRE100])</f>
        <v>1.240339994430542</v>
      </c>
      <c r="AE1571" s="230">
        <f>(FME_Ranking1[[#This Row],[Ag Land Raw]]/$AD$2)*100</f>
        <v>5.1146068983754311E-5</v>
      </c>
      <c r="AF1571" s="231">
        <f>FME_Ranking1[[#This Row],[Ag Land Score (Normalized, Unweighted)]]*$AD$3</f>
        <v>2.5573034491877158E-6</v>
      </c>
      <c r="AG157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1.8920896372343808E-2</v>
      </c>
      <c r="AH1571" s="406">
        <f t="shared" si="24"/>
        <v>1585</v>
      </c>
      <c r="AI157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1.8920896372343808E-2</v>
      </c>
      <c r="AJ1571" s="257">
        <f>FME_Ranking1[[#This Row],[Addition check]]-FME_Ranking1[[#This Row],[Weighted Score Based on Normalized Reported Factors]]</f>
        <v>0</v>
      </c>
      <c r="AK1571" s="178">
        <f>_xlfn.RANK.EQ(AI1571,$AI$6:$AI$2341,0)+COUNTIF($AI$6:AI1571,AI1571)-1</f>
        <v>1586</v>
      </c>
    </row>
    <row r="1572" spans="1:37" x14ac:dyDescent="0.25">
      <c r="A1572" t="s">
        <v>7629</v>
      </c>
      <c r="B1572">
        <f>_xlfn.XLOOKUP(FME_Ranking1[[#This Row],[FME ID]],FME_Input[FME_ID],FME_Input[RFPG_NUM])</f>
        <v>8</v>
      </c>
      <c r="C1572" t="str">
        <f>_xlfn.XLOOKUP(FME_Ranking1[[#This Row],[FME ID]],FME_Input[FME_ID],FME_Input[FME_NAME])</f>
        <v>Lakebend Sugar Creek Outfall &amp; Drainage</v>
      </c>
      <c r="D1572" t="str">
        <f>_xlfn.XLOOKUP(FME_Ranking1[[#This Row],[FME ID]],FME_Input[FME_ID],FME_Input[DESCR])</f>
        <v>Replace outfall structure and channel improvements at Sugar Creek &amp; Parkway Blvd and upsize storm water systems.</v>
      </c>
      <c r="E1572" s="256">
        <f>_xlfn.XLOOKUP(FME_Ranking1[[#This Row],[FME ID]],FME_Input[FME_ID],FME_Input[FME_COST])</f>
        <v>388000</v>
      </c>
      <c r="F1572" t="str">
        <f>_xlfn.XLOOKUP(FME_Ranking1[[#This Row],[FME ID]],FME_Input[FME_ID],FME_Input[EMER_NEED])</f>
        <v>No</v>
      </c>
      <c r="G1572">
        <f>IF(FME_Ranking!F1572="Yes",100,0)</f>
        <v>0</v>
      </c>
      <c r="H1572">
        <f>FME_Ranking1[[#This Row],[Emergency Need Score (Normalized, Unweighted)]]*$F$3</f>
        <v>0</v>
      </c>
      <c r="I1572" s="246">
        <f>_xlfn.XLOOKUP(FME_Ranking1[[#This Row],[FME ID]],FME_Input[FME_ID],FME_Input[STRUCT_100])</f>
        <v>26</v>
      </c>
      <c r="J1572" s="178">
        <f>(FME_Ranking1[[#This Row],[Structures 100 Raw]]/I$2)*100</f>
        <v>1.3922803410015852E-2</v>
      </c>
      <c r="K1572" s="178">
        <f>FME_Ranking1[[#This Row],[Structures 100  Score (Normalized, Unweighted)]]*$I$3</f>
        <v>2.0884205115023779E-3</v>
      </c>
      <c r="L1572" s="246">
        <f>_xlfn.XLOOKUP(FME_Ranking1[[#This Row],[FME ID]],FME_Input[FME_ID],FME_Input[RES_STRUCT100])</f>
        <v>14</v>
      </c>
      <c r="M1572" s="230">
        <f>(FME_Ranking1[[#This Row],[Res Structures Raw]]/L$2)*100</f>
        <v>9.9162782791007362E-3</v>
      </c>
      <c r="N1572" s="180">
        <f>FME_Ranking1[[#This Row],[Res Structures Score (Normalized, Unweighted)]]*$L$3</f>
        <v>9.9162782791007375E-4</v>
      </c>
      <c r="O1572" s="244">
        <f>_xlfn.XLOOKUP(FME_Ranking1[[#This Row],[FME ID]],FME_Input[FME_ID],FME_Input[POP100])</f>
        <v>214</v>
      </c>
      <c r="P1572" s="178">
        <f>(FME_Ranking1[[#This Row],[Pop Raw]]/$O$2)*100</f>
        <v>2.1908316765595341E-2</v>
      </c>
      <c r="Q1572" s="178">
        <f>FME_Ranking1[[#This Row],[Pop Score (Normalized, Unweighted)]]*$O$3</f>
        <v>3.2862475148393009E-3</v>
      </c>
      <c r="R1572" s="137">
        <f>_xlfn.XLOOKUP(FME_Ranking1[[#This Row],[FME ID]],FME_Input[FME_ID],FME_Input[CRITFAC100])</f>
        <v>0</v>
      </c>
      <c r="S1572" s="230">
        <f>(FME_Ranking1[[#This Row],[Critical Facilities Raw]]/$R$2)*100</f>
        <v>0</v>
      </c>
      <c r="T1572" s="180">
        <f>FME_Ranking1[[#This Row],[Critical Facilities Score (Normalized, Unweighted)]]*$R$3</f>
        <v>0</v>
      </c>
      <c r="U1572">
        <f>_xlfn.XLOOKUP(FME_Ranking1[[#This Row],[FME ID]],FME_Input[FME_ID],FME_Input[LWC])</f>
        <v>0</v>
      </c>
      <c r="V1572" s="178">
        <f>(FME_Ranking1[[#This Row],[LWC Raw]]/$U$2)*100</f>
        <v>0</v>
      </c>
      <c r="W1572" s="178">
        <f>FME_Ranking1[[#This Row],[LWC Score (Normalized, Unweighted)]]*$U$3</f>
        <v>0</v>
      </c>
      <c r="X1572" s="246">
        <f>_xlfn.XLOOKUP(FME_Ranking1[[#This Row],[FME ID]],FME_Input[FME_ID],FME_Input[ROADCLS])</f>
        <v>18</v>
      </c>
      <c r="Y1572" s="230">
        <f>(FME_Ranking1[[#This Row],[Closures Raw]]/$X$2)*100</f>
        <v>0.18925454736620756</v>
      </c>
      <c r="Z1572" s="180">
        <f>FME_Ranking1[[#This Row],[Closures Score (Normalized, Unweighted)]]*$X$3</f>
        <v>9.4627273683103794E-3</v>
      </c>
      <c r="AA1572" s="253">
        <f>_xlfn.XLOOKUP(FME_Ranking1[[#This Row],[FME ID]],FME_Input[FME_ID],FME_Input[ROAD_MILES100])</f>
        <v>2.3496100902557369</v>
      </c>
      <c r="AB1572" s="178">
        <f>(FME_Ranking1[[#This Row],[Miles Raw]]/$AA$2)*100</f>
        <v>3.0893158463324875E-2</v>
      </c>
      <c r="AC1572" s="178">
        <f>FME_Ranking1[[#This Row],[Miles Score (Normalized, Unweighted)]]*$AA$3</f>
        <v>3.0893158463324876E-3</v>
      </c>
      <c r="AD1572" s="255">
        <f>_xlfn.XLOOKUP(FME_Ranking1[[#This Row],[FME ID]],FME_Input[FME_ID],FME_Input[FARMACRE100])</f>
        <v>1.240339994430542</v>
      </c>
      <c r="AE1572" s="230">
        <f>(FME_Ranking1[[#This Row],[Ag Land Raw]]/$AD$2)*100</f>
        <v>5.1146068983754311E-5</v>
      </c>
      <c r="AF1572" s="231">
        <f>FME_Ranking1[[#This Row],[Ag Land Score (Normalized, Unweighted)]]*$AD$3</f>
        <v>2.5573034491877158E-6</v>
      </c>
      <c r="AG157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1.8920896372343808E-2</v>
      </c>
      <c r="AH1572" s="406">
        <f t="shared" si="24"/>
        <v>1585</v>
      </c>
      <c r="AI157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1.8920896372343808E-2</v>
      </c>
      <c r="AJ1572" s="257">
        <f>FME_Ranking1[[#This Row],[Addition check]]-FME_Ranking1[[#This Row],[Weighted Score Based on Normalized Reported Factors]]</f>
        <v>0</v>
      </c>
      <c r="AK1572" s="178">
        <f>_xlfn.RANK.EQ(AI1572,$AI$6:$AI$2341,0)+COUNTIF($AI$6:AI1572,AI1572)-1</f>
        <v>1587</v>
      </c>
    </row>
    <row r="1573" spans="1:37" x14ac:dyDescent="0.25">
      <c r="A1573" t="s">
        <v>3292</v>
      </c>
      <c r="B1573">
        <f>_xlfn.XLOOKUP(FME_Ranking1[[#This Row],[FME ID]],FME_Input[FME_ID],FME_Input[RFPG_NUM])</f>
        <v>1</v>
      </c>
      <c r="C1573" t="str">
        <f>_xlfn.XLOOKUP(FME_Ranking1[[#This Row],[FME ID]],FME_Input[FME_ID],FME_Input[FME_NAME])</f>
        <v>Wild Horse Lake Project Planning (City of Amarillo)</v>
      </c>
      <c r="D1573" t="str">
        <f>_xlfn.XLOOKUP(FME_Ranking1[[#This Row],[FME ID]],FME_Input[FME_ID],FME_Input[DESCR])</f>
        <v>Evaluate project to quantify benefits, evaluate impacts and begin design. Improvements include adding a 30" relief culvert and a new junction box w/ flap gate. Project identified from 2019 Amarillo DMP.</v>
      </c>
      <c r="E1573" s="256">
        <f>_xlfn.XLOOKUP(FME_Ranking1[[#This Row],[FME ID]],FME_Input[FME_ID],FME_Input[FME_COST])</f>
        <v>250000</v>
      </c>
      <c r="F1573" t="str">
        <f>_xlfn.XLOOKUP(FME_Ranking1[[#This Row],[FME ID]],FME_Input[FME_ID],FME_Input[EMER_NEED])</f>
        <v>No</v>
      </c>
      <c r="G1573">
        <f>IF(FME_Ranking!F1573="Yes",100,0)</f>
        <v>0</v>
      </c>
      <c r="H1573">
        <f>FME_Ranking1[[#This Row],[Emergency Need Score (Normalized, Unweighted)]]*$F$3</f>
        <v>0</v>
      </c>
      <c r="I1573" s="246">
        <f>_xlfn.XLOOKUP(FME_Ranking1[[#This Row],[FME ID]],FME_Input[FME_ID],FME_Input[STRUCT_100])</f>
        <v>30</v>
      </c>
      <c r="J1573" s="178">
        <f>(FME_Ranking1[[#This Row],[Structures 100 Raw]]/I$2)*100</f>
        <v>1.6064773165402904E-2</v>
      </c>
      <c r="K1573" s="178">
        <f>FME_Ranking1[[#This Row],[Structures 100  Score (Normalized, Unweighted)]]*$I$3</f>
        <v>2.4097159748104357E-3</v>
      </c>
      <c r="L1573" s="246">
        <f>_xlfn.XLOOKUP(FME_Ranking1[[#This Row],[FME ID]],FME_Input[FME_ID],FME_Input[RES_STRUCT100])</f>
        <v>4</v>
      </c>
      <c r="M1573" s="230">
        <f>(FME_Ranking1[[#This Row],[Res Structures Raw]]/L$2)*100</f>
        <v>2.833222365457353E-3</v>
      </c>
      <c r="N1573" s="180">
        <f>FME_Ranking1[[#This Row],[Res Structures Score (Normalized, Unweighted)]]*$L$3</f>
        <v>2.8332223654573533E-4</v>
      </c>
      <c r="O1573" s="244">
        <f>_xlfn.XLOOKUP(FME_Ranking1[[#This Row],[FME ID]],FME_Input[FME_ID],FME_Input[POP100])</f>
        <v>297</v>
      </c>
      <c r="P1573" s="178">
        <f>(FME_Ranking1[[#This Row],[Pop Raw]]/$O$2)*100</f>
        <v>3.0405467660662697E-2</v>
      </c>
      <c r="Q1573" s="178">
        <f>FME_Ranking1[[#This Row],[Pop Score (Normalized, Unweighted)]]*$O$3</f>
        <v>4.560820149099404E-3</v>
      </c>
      <c r="R1573" s="137">
        <f>_xlfn.XLOOKUP(FME_Ranking1[[#This Row],[FME ID]],FME_Input[FME_ID],FME_Input[CRITFAC100])</f>
        <v>1</v>
      </c>
      <c r="S1573" s="230">
        <f>(FME_Ranking1[[#This Row],[Critical Facilities Raw]]/$R$2)*100</f>
        <v>4.2881646655231559E-2</v>
      </c>
      <c r="T1573" s="180">
        <f>FME_Ranking1[[#This Row],[Critical Facilities Score (Normalized, Unweighted)]]*$R$3</f>
        <v>8.5763293310463125E-3</v>
      </c>
      <c r="U1573">
        <f>_xlfn.XLOOKUP(FME_Ranking1[[#This Row],[FME ID]],FME_Input[FME_ID],FME_Input[LWC])</f>
        <v>0</v>
      </c>
      <c r="V1573" s="178">
        <f>(FME_Ranking1[[#This Row],[LWC Raw]]/$U$2)*100</f>
        <v>0</v>
      </c>
      <c r="W1573" s="178">
        <f>FME_Ranking1[[#This Row],[LWC Score (Normalized, Unweighted)]]*$U$3</f>
        <v>0</v>
      </c>
      <c r="X1573" s="246">
        <f>_xlfn.XLOOKUP(FME_Ranking1[[#This Row],[FME ID]],FME_Input[FME_ID],FME_Input[ROADCLS])</f>
        <v>0</v>
      </c>
      <c r="Y1573" s="230">
        <f>(FME_Ranking1[[#This Row],[Closures Raw]]/$X$2)*100</f>
        <v>0</v>
      </c>
      <c r="Z1573" s="180">
        <f>FME_Ranking1[[#This Row],[Closures Score (Normalized, Unweighted)]]*$X$3</f>
        <v>0</v>
      </c>
      <c r="AA1573" s="253">
        <f>_xlfn.XLOOKUP(FME_Ranking1[[#This Row],[FME ID]],FME_Input[FME_ID],FME_Input[ROAD_MILES100])</f>
        <v>2.073381900787354</v>
      </c>
      <c r="AB1573" s="178">
        <f>(FME_Ranking1[[#This Row],[Miles Raw]]/$AA$2)*100</f>
        <v>2.7261253210332341E-2</v>
      </c>
      <c r="AC1573" s="178">
        <f>FME_Ranking1[[#This Row],[Miles Score (Normalized, Unweighted)]]*$AA$3</f>
        <v>2.7261253210332341E-3</v>
      </c>
      <c r="AD1573" s="255">
        <f>_xlfn.XLOOKUP(FME_Ranking1[[#This Row],[FME ID]],FME_Input[FME_ID],FME_Input[FARMACRE100])</f>
        <v>0</v>
      </c>
      <c r="AE1573" s="230">
        <f>(FME_Ranking1[[#This Row],[Ag Land Raw]]/$AD$2)*100</f>
        <v>0</v>
      </c>
      <c r="AF1573" s="231">
        <f>FME_Ranking1[[#This Row],[Ag Land Score (Normalized, Unweighted)]]*$AD$3</f>
        <v>0</v>
      </c>
      <c r="AG157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1.855631301253512E-2</v>
      </c>
      <c r="AH1573" s="406">
        <f t="shared" si="24"/>
        <v>1592</v>
      </c>
      <c r="AI157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1.855631301253512E-2</v>
      </c>
      <c r="AJ1573" s="257">
        <f>FME_Ranking1[[#This Row],[Addition check]]-FME_Ranking1[[#This Row],[Weighted Score Based on Normalized Reported Factors]]</f>
        <v>0</v>
      </c>
      <c r="AK1573" s="178">
        <f>_xlfn.RANK.EQ(AI1573,$AI$6:$AI$2341,0)+COUNTIF($AI$6:AI1573,AI1573)-1</f>
        <v>1592</v>
      </c>
    </row>
    <row r="1574" spans="1:37" x14ac:dyDescent="0.25">
      <c r="A1574" t="s">
        <v>3343</v>
      </c>
      <c r="B1574">
        <f>_xlfn.XLOOKUP(FME_Ranking1[[#This Row],[FME ID]],FME_Input[FME_ID],FME_Input[RFPG_NUM])</f>
        <v>1</v>
      </c>
      <c r="C1574" t="str">
        <f>_xlfn.XLOOKUP(FME_Ranking1[[#This Row],[FME ID]],FME_Input[FME_ID],FME_Input[FME_NAME])</f>
        <v>Wild Horse Lake Project Planning - ONG/Lipscomb Storm Sewer (City of Amarillo)</v>
      </c>
      <c r="D1574" t="str">
        <f>_xlfn.XLOOKUP(FME_Ranking1[[#This Row],[FME ID]],FME_Input[FME_ID],FME_Input[DESCR])</f>
        <v>Evaluate project to quantify benefits, evaluate impacts and begin design. Improvements include replacing 5 pipes with larger diameters, adding two RCP, and adding a new diversion structure. Project identified from 2019 Amarillo DMP.</v>
      </c>
      <c r="E1574" s="256">
        <f>_xlfn.XLOOKUP(FME_Ranking1[[#This Row],[FME ID]],FME_Input[FME_ID],FME_Input[FME_COST])</f>
        <v>250000</v>
      </c>
      <c r="F1574" t="str">
        <f>_xlfn.XLOOKUP(FME_Ranking1[[#This Row],[FME ID]],FME_Input[FME_ID],FME_Input[EMER_NEED])</f>
        <v>No</v>
      </c>
      <c r="G1574">
        <f>IF(FME_Ranking!F1574="Yes",100,0)</f>
        <v>0</v>
      </c>
      <c r="H1574">
        <f>FME_Ranking1[[#This Row],[Emergency Need Score (Normalized, Unweighted)]]*$F$3</f>
        <v>0</v>
      </c>
      <c r="I1574" s="246">
        <f>_xlfn.XLOOKUP(FME_Ranking1[[#This Row],[FME ID]],FME_Input[FME_ID],FME_Input[STRUCT_100])</f>
        <v>30</v>
      </c>
      <c r="J1574" s="178">
        <f>(FME_Ranking1[[#This Row],[Structures 100 Raw]]/I$2)*100</f>
        <v>1.6064773165402904E-2</v>
      </c>
      <c r="K1574" s="178">
        <f>FME_Ranking1[[#This Row],[Structures 100  Score (Normalized, Unweighted)]]*$I$3</f>
        <v>2.4097159748104357E-3</v>
      </c>
      <c r="L1574" s="246">
        <f>_xlfn.XLOOKUP(FME_Ranking1[[#This Row],[FME ID]],FME_Input[FME_ID],FME_Input[RES_STRUCT100])</f>
        <v>4</v>
      </c>
      <c r="M1574" s="230">
        <f>(FME_Ranking1[[#This Row],[Res Structures Raw]]/L$2)*100</f>
        <v>2.833222365457353E-3</v>
      </c>
      <c r="N1574" s="180">
        <f>FME_Ranking1[[#This Row],[Res Structures Score (Normalized, Unweighted)]]*$L$3</f>
        <v>2.8332223654573533E-4</v>
      </c>
      <c r="O1574" s="244">
        <f>_xlfn.XLOOKUP(FME_Ranking1[[#This Row],[FME ID]],FME_Input[FME_ID],FME_Input[POP100])</f>
        <v>297</v>
      </c>
      <c r="P1574" s="178">
        <f>(FME_Ranking1[[#This Row],[Pop Raw]]/$O$2)*100</f>
        <v>3.0405467660662697E-2</v>
      </c>
      <c r="Q1574" s="178">
        <f>FME_Ranking1[[#This Row],[Pop Score (Normalized, Unweighted)]]*$O$3</f>
        <v>4.560820149099404E-3</v>
      </c>
      <c r="R1574" s="137">
        <f>_xlfn.XLOOKUP(FME_Ranking1[[#This Row],[FME ID]],FME_Input[FME_ID],FME_Input[CRITFAC100])</f>
        <v>1</v>
      </c>
      <c r="S1574" s="230">
        <f>(FME_Ranking1[[#This Row],[Critical Facilities Raw]]/$R$2)*100</f>
        <v>4.2881646655231559E-2</v>
      </c>
      <c r="T1574" s="180">
        <f>FME_Ranking1[[#This Row],[Critical Facilities Score (Normalized, Unweighted)]]*$R$3</f>
        <v>8.5763293310463125E-3</v>
      </c>
      <c r="U1574">
        <f>_xlfn.XLOOKUP(FME_Ranking1[[#This Row],[FME ID]],FME_Input[FME_ID],FME_Input[LWC])</f>
        <v>0</v>
      </c>
      <c r="V1574" s="178">
        <f>(FME_Ranking1[[#This Row],[LWC Raw]]/$U$2)*100</f>
        <v>0</v>
      </c>
      <c r="W1574" s="178">
        <f>FME_Ranking1[[#This Row],[LWC Score (Normalized, Unweighted)]]*$U$3</f>
        <v>0</v>
      </c>
      <c r="X1574" s="246">
        <f>_xlfn.XLOOKUP(FME_Ranking1[[#This Row],[FME ID]],FME_Input[FME_ID],FME_Input[ROADCLS])</f>
        <v>0</v>
      </c>
      <c r="Y1574" s="230">
        <f>(FME_Ranking1[[#This Row],[Closures Raw]]/$X$2)*100</f>
        <v>0</v>
      </c>
      <c r="Z1574" s="180">
        <f>FME_Ranking1[[#This Row],[Closures Score (Normalized, Unweighted)]]*$X$3</f>
        <v>0</v>
      </c>
      <c r="AA1574" s="253">
        <f>_xlfn.XLOOKUP(FME_Ranking1[[#This Row],[FME ID]],FME_Input[FME_ID],FME_Input[ROAD_MILES100])</f>
        <v>2.073381900787354</v>
      </c>
      <c r="AB1574" s="178">
        <f>(FME_Ranking1[[#This Row],[Miles Raw]]/$AA$2)*100</f>
        <v>2.7261253210332341E-2</v>
      </c>
      <c r="AC1574" s="178">
        <f>FME_Ranking1[[#This Row],[Miles Score (Normalized, Unweighted)]]*$AA$3</f>
        <v>2.7261253210332341E-3</v>
      </c>
      <c r="AD1574" s="255">
        <f>_xlfn.XLOOKUP(FME_Ranking1[[#This Row],[FME ID]],FME_Input[FME_ID],FME_Input[FARMACRE100])</f>
        <v>0</v>
      </c>
      <c r="AE1574" s="230">
        <f>(FME_Ranking1[[#This Row],[Ag Land Raw]]/$AD$2)*100</f>
        <v>0</v>
      </c>
      <c r="AF1574" s="231">
        <f>FME_Ranking1[[#This Row],[Ag Land Score (Normalized, Unweighted)]]*$AD$3</f>
        <v>0</v>
      </c>
      <c r="AG157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1.855631301253512E-2</v>
      </c>
      <c r="AH1574" s="406">
        <f t="shared" si="24"/>
        <v>1592</v>
      </c>
      <c r="AI157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1.855631301253512E-2</v>
      </c>
      <c r="AJ1574" s="257">
        <f>FME_Ranking1[[#This Row],[Addition check]]-FME_Ranking1[[#This Row],[Weighted Score Based on Normalized Reported Factors]]</f>
        <v>0</v>
      </c>
      <c r="AK1574" s="178">
        <f>_xlfn.RANK.EQ(AI1574,$AI$6:$AI$2341,0)+COUNTIF($AI$6:AI1574,AI1574)-1</f>
        <v>1593</v>
      </c>
    </row>
    <row r="1575" spans="1:37" x14ac:dyDescent="0.25">
      <c r="A1575" t="s">
        <v>3367</v>
      </c>
      <c r="B1575">
        <f>_xlfn.XLOOKUP(FME_Ranking1[[#This Row],[FME ID]],FME_Input[FME_ID],FME_Input[RFPG_NUM])</f>
        <v>1</v>
      </c>
      <c r="C1575" t="str">
        <f>_xlfn.XLOOKUP(FME_Ranking1[[#This Row],[FME ID]],FME_Input[FME_ID],FME_Input[FME_NAME])</f>
        <v>Wild Horse Lake Improvement (City of Amarillo)</v>
      </c>
      <c r="D1575" t="str">
        <f>_xlfn.XLOOKUP(FME_Ranking1[[#This Row],[FME ID]],FME_Input[FME_ID],FME_Input[DESCR])</f>
        <v>Evaluate project to quantify benefits, evaluate impacts and begin design. Improvements to Wild Horse Lake. Project identified from 2019 Amarillo DMP.</v>
      </c>
      <c r="E1575" s="256">
        <f>_xlfn.XLOOKUP(FME_Ranking1[[#This Row],[FME ID]],FME_Input[FME_ID],FME_Input[FME_COST])</f>
        <v>250000</v>
      </c>
      <c r="F1575" t="str">
        <f>_xlfn.XLOOKUP(FME_Ranking1[[#This Row],[FME ID]],FME_Input[FME_ID],FME_Input[EMER_NEED])</f>
        <v>No</v>
      </c>
      <c r="G1575">
        <f>IF(FME_Ranking!F1575="Yes",100,0)</f>
        <v>0</v>
      </c>
      <c r="H1575">
        <f>FME_Ranking1[[#This Row],[Emergency Need Score (Normalized, Unweighted)]]*$F$3</f>
        <v>0</v>
      </c>
      <c r="I1575" s="246">
        <f>_xlfn.XLOOKUP(FME_Ranking1[[#This Row],[FME ID]],FME_Input[FME_ID],FME_Input[STRUCT_100])</f>
        <v>30</v>
      </c>
      <c r="J1575" s="178">
        <f>(FME_Ranking1[[#This Row],[Structures 100 Raw]]/I$2)*100</f>
        <v>1.6064773165402904E-2</v>
      </c>
      <c r="K1575" s="178">
        <f>FME_Ranking1[[#This Row],[Structures 100  Score (Normalized, Unweighted)]]*$I$3</f>
        <v>2.4097159748104357E-3</v>
      </c>
      <c r="L1575" s="246">
        <f>_xlfn.XLOOKUP(FME_Ranking1[[#This Row],[FME ID]],FME_Input[FME_ID],FME_Input[RES_STRUCT100])</f>
        <v>4</v>
      </c>
      <c r="M1575" s="230">
        <f>(FME_Ranking1[[#This Row],[Res Structures Raw]]/L$2)*100</f>
        <v>2.833222365457353E-3</v>
      </c>
      <c r="N1575" s="180">
        <f>FME_Ranking1[[#This Row],[Res Structures Score (Normalized, Unweighted)]]*$L$3</f>
        <v>2.8332223654573533E-4</v>
      </c>
      <c r="O1575" s="244">
        <f>_xlfn.XLOOKUP(FME_Ranking1[[#This Row],[FME ID]],FME_Input[FME_ID],FME_Input[POP100])</f>
        <v>297</v>
      </c>
      <c r="P1575" s="178">
        <f>(FME_Ranking1[[#This Row],[Pop Raw]]/$O$2)*100</f>
        <v>3.0405467660662697E-2</v>
      </c>
      <c r="Q1575" s="178">
        <f>FME_Ranking1[[#This Row],[Pop Score (Normalized, Unweighted)]]*$O$3</f>
        <v>4.560820149099404E-3</v>
      </c>
      <c r="R1575" s="137">
        <f>_xlfn.XLOOKUP(FME_Ranking1[[#This Row],[FME ID]],FME_Input[FME_ID],FME_Input[CRITFAC100])</f>
        <v>1</v>
      </c>
      <c r="S1575" s="230">
        <f>(FME_Ranking1[[#This Row],[Critical Facilities Raw]]/$R$2)*100</f>
        <v>4.2881646655231559E-2</v>
      </c>
      <c r="T1575" s="180">
        <f>FME_Ranking1[[#This Row],[Critical Facilities Score (Normalized, Unweighted)]]*$R$3</f>
        <v>8.5763293310463125E-3</v>
      </c>
      <c r="U1575">
        <f>_xlfn.XLOOKUP(FME_Ranking1[[#This Row],[FME ID]],FME_Input[FME_ID],FME_Input[LWC])</f>
        <v>0</v>
      </c>
      <c r="V1575" s="178">
        <f>(FME_Ranking1[[#This Row],[LWC Raw]]/$U$2)*100</f>
        <v>0</v>
      </c>
      <c r="W1575" s="178">
        <f>FME_Ranking1[[#This Row],[LWC Score (Normalized, Unweighted)]]*$U$3</f>
        <v>0</v>
      </c>
      <c r="X1575" s="246">
        <f>_xlfn.XLOOKUP(FME_Ranking1[[#This Row],[FME ID]],FME_Input[FME_ID],FME_Input[ROADCLS])</f>
        <v>0</v>
      </c>
      <c r="Y1575" s="230">
        <f>(FME_Ranking1[[#This Row],[Closures Raw]]/$X$2)*100</f>
        <v>0</v>
      </c>
      <c r="Z1575" s="180">
        <f>FME_Ranking1[[#This Row],[Closures Score (Normalized, Unweighted)]]*$X$3</f>
        <v>0</v>
      </c>
      <c r="AA1575" s="253">
        <f>_xlfn.XLOOKUP(FME_Ranking1[[#This Row],[FME ID]],FME_Input[FME_ID],FME_Input[ROAD_MILES100])</f>
        <v>2.073381900787354</v>
      </c>
      <c r="AB1575" s="178">
        <f>(FME_Ranking1[[#This Row],[Miles Raw]]/$AA$2)*100</f>
        <v>2.7261253210332341E-2</v>
      </c>
      <c r="AC1575" s="178">
        <f>FME_Ranking1[[#This Row],[Miles Score (Normalized, Unweighted)]]*$AA$3</f>
        <v>2.7261253210332341E-3</v>
      </c>
      <c r="AD1575" s="255">
        <f>_xlfn.XLOOKUP(FME_Ranking1[[#This Row],[FME ID]],FME_Input[FME_ID],FME_Input[FARMACRE100])</f>
        <v>0</v>
      </c>
      <c r="AE1575" s="230">
        <f>(FME_Ranking1[[#This Row],[Ag Land Raw]]/$AD$2)*100</f>
        <v>0</v>
      </c>
      <c r="AF1575" s="231">
        <f>FME_Ranking1[[#This Row],[Ag Land Score (Normalized, Unweighted)]]*$AD$3</f>
        <v>0</v>
      </c>
      <c r="AG157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1.855631301253512E-2</v>
      </c>
      <c r="AH1575" s="406">
        <f t="shared" si="24"/>
        <v>1592</v>
      </c>
      <c r="AI157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1.855631301253512E-2</v>
      </c>
      <c r="AJ1575" s="257">
        <f>FME_Ranking1[[#This Row],[Addition check]]-FME_Ranking1[[#This Row],[Weighted Score Based on Normalized Reported Factors]]</f>
        <v>0</v>
      </c>
      <c r="AK1575" s="178">
        <f>_xlfn.RANK.EQ(AI1575,$AI$6:$AI$2341,0)+COUNTIF($AI$6:AI1575,AI1575)-1</f>
        <v>1594</v>
      </c>
    </row>
    <row r="1576" spans="1:37" x14ac:dyDescent="0.25">
      <c r="A1576" t="s">
        <v>3409</v>
      </c>
      <c r="B1576">
        <f>_xlfn.XLOOKUP(FME_Ranking1[[#This Row],[FME ID]],FME_Input[FME_ID],FME_Input[RFPG_NUM])</f>
        <v>1</v>
      </c>
      <c r="C1576" t="str">
        <f>_xlfn.XLOOKUP(FME_Ranking1[[#This Row],[FME ID]],FME_Input[FME_ID],FME_Input[FME_NAME])</f>
        <v>Wild Horse Lake Watershed Study (City of Amarillo)</v>
      </c>
      <c r="D1576" t="str">
        <f>_xlfn.XLOOKUP(FME_Ranking1[[#This Row],[FME ID]],FME_Input[FME_ID],FME_Input[DESCR])</f>
        <v>Perform H&amp;H modeling, develop conceptual alternatives and OPCC, and rank projects. Marked as very high priority in 2019 Amarillo DMP</v>
      </c>
      <c r="E1576" s="256">
        <f>_xlfn.XLOOKUP(FME_Ranking1[[#This Row],[FME ID]],FME_Input[FME_ID],FME_Input[FME_COST])</f>
        <v>548000</v>
      </c>
      <c r="F1576" t="str">
        <f>_xlfn.XLOOKUP(FME_Ranking1[[#This Row],[FME ID]],FME_Input[FME_ID],FME_Input[EMER_NEED])</f>
        <v>No</v>
      </c>
      <c r="G1576">
        <f>IF(FME_Ranking!F1576="Yes",100,0)</f>
        <v>0</v>
      </c>
      <c r="H1576">
        <f>FME_Ranking1[[#This Row],[Emergency Need Score (Normalized, Unweighted)]]*$F$3</f>
        <v>0</v>
      </c>
      <c r="I1576" s="246">
        <f>_xlfn.XLOOKUP(FME_Ranking1[[#This Row],[FME ID]],FME_Input[FME_ID],FME_Input[STRUCT_100])</f>
        <v>30</v>
      </c>
      <c r="J1576" s="178">
        <f>(FME_Ranking1[[#This Row],[Structures 100 Raw]]/I$2)*100</f>
        <v>1.6064773165402904E-2</v>
      </c>
      <c r="K1576" s="178">
        <f>FME_Ranking1[[#This Row],[Structures 100  Score (Normalized, Unweighted)]]*$I$3</f>
        <v>2.4097159748104357E-3</v>
      </c>
      <c r="L1576" s="246">
        <f>_xlfn.XLOOKUP(FME_Ranking1[[#This Row],[FME ID]],FME_Input[FME_ID],FME_Input[RES_STRUCT100])</f>
        <v>4</v>
      </c>
      <c r="M1576" s="230">
        <f>(FME_Ranking1[[#This Row],[Res Structures Raw]]/L$2)*100</f>
        <v>2.833222365457353E-3</v>
      </c>
      <c r="N1576" s="180">
        <f>FME_Ranking1[[#This Row],[Res Structures Score (Normalized, Unweighted)]]*$L$3</f>
        <v>2.8332223654573533E-4</v>
      </c>
      <c r="O1576" s="244">
        <f>_xlfn.XLOOKUP(FME_Ranking1[[#This Row],[FME ID]],FME_Input[FME_ID],FME_Input[POP100])</f>
        <v>297</v>
      </c>
      <c r="P1576" s="178">
        <f>(FME_Ranking1[[#This Row],[Pop Raw]]/$O$2)*100</f>
        <v>3.0405467660662697E-2</v>
      </c>
      <c r="Q1576" s="178">
        <f>FME_Ranking1[[#This Row],[Pop Score (Normalized, Unweighted)]]*$O$3</f>
        <v>4.560820149099404E-3</v>
      </c>
      <c r="R1576" s="137">
        <f>_xlfn.XLOOKUP(FME_Ranking1[[#This Row],[FME ID]],FME_Input[FME_ID],FME_Input[CRITFAC100])</f>
        <v>1</v>
      </c>
      <c r="S1576" s="230">
        <f>(FME_Ranking1[[#This Row],[Critical Facilities Raw]]/$R$2)*100</f>
        <v>4.2881646655231559E-2</v>
      </c>
      <c r="T1576" s="180">
        <f>FME_Ranking1[[#This Row],[Critical Facilities Score (Normalized, Unweighted)]]*$R$3</f>
        <v>8.5763293310463125E-3</v>
      </c>
      <c r="U1576">
        <f>_xlfn.XLOOKUP(FME_Ranking1[[#This Row],[FME ID]],FME_Input[FME_ID],FME_Input[LWC])</f>
        <v>0</v>
      </c>
      <c r="V1576" s="178">
        <f>(FME_Ranking1[[#This Row],[LWC Raw]]/$U$2)*100</f>
        <v>0</v>
      </c>
      <c r="W1576" s="178">
        <f>FME_Ranking1[[#This Row],[LWC Score (Normalized, Unweighted)]]*$U$3</f>
        <v>0</v>
      </c>
      <c r="X1576" s="246">
        <f>_xlfn.XLOOKUP(FME_Ranking1[[#This Row],[FME ID]],FME_Input[FME_ID],FME_Input[ROADCLS])</f>
        <v>0</v>
      </c>
      <c r="Y1576" s="230">
        <f>(FME_Ranking1[[#This Row],[Closures Raw]]/$X$2)*100</f>
        <v>0</v>
      </c>
      <c r="Z1576" s="180">
        <f>FME_Ranking1[[#This Row],[Closures Score (Normalized, Unweighted)]]*$X$3</f>
        <v>0</v>
      </c>
      <c r="AA1576" s="253">
        <f>_xlfn.XLOOKUP(FME_Ranking1[[#This Row],[FME ID]],FME_Input[FME_ID],FME_Input[ROAD_MILES100])</f>
        <v>2.073381900787354</v>
      </c>
      <c r="AB1576" s="178">
        <f>(FME_Ranking1[[#This Row],[Miles Raw]]/$AA$2)*100</f>
        <v>2.7261253210332341E-2</v>
      </c>
      <c r="AC1576" s="178">
        <f>FME_Ranking1[[#This Row],[Miles Score (Normalized, Unweighted)]]*$AA$3</f>
        <v>2.7261253210332341E-3</v>
      </c>
      <c r="AD1576" s="255">
        <f>_xlfn.XLOOKUP(FME_Ranking1[[#This Row],[FME ID]],FME_Input[FME_ID],FME_Input[FARMACRE100])</f>
        <v>0</v>
      </c>
      <c r="AE1576" s="230">
        <f>(FME_Ranking1[[#This Row],[Ag Land Raw]]/$AD$2)*100</f>
        <v>0</v>
      </c>
      <c r="AF1576" s="231">
        <f>FME_Ranking1[[#This Row],[Ag Land Score (Normalized, Unweighted)]]*$AD$3</f>
        <v>0</v>
      </c>
      <c r="AG157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1.855631301253512E-2</v>
      </c>
      <c r="AH1576" s="406">
        <f t="shared" si="24"/>
        <v>1592</v>
      </c>
      <c r="AI157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1.855631301253512E-2</v>
      </c>
      <c r="AJ1576" s="257">
        <f>FME_Ranking1[[#This Row],[Addition check]]-FME_Ranking1[[#This Row],[Weighted Score Based on Normalized Reported Factors]]</f>
        <v>0</v>
      </c>
      <c r="AK1576" s="178">
        <f>_xlfn.RANK.EQ(AI1576,$AI$6:$AI$2341,0)+COUNTIF($AI$6:AI1576,AI1576)-1</f>
        <v>1595</v>
      </c>
    </row>
    <row r="1577" spans="1:37" x14ac:dyDescent="0.25">
      <c r="A1577" t="s">
        <v>3463</v>
      </c>
      <c r="B1577">
        <f>_xlfn.XLOOKUP(FME_Ranking1[[#This Row],[FME ID]],FME_Input[FME_ID],FME_Input[RFPG_NUM])</f>
        <v>1</v>
      </c>
      <c r="C1577" t="str">
        <f>_xlfn.XLOOKUP(FME_Ranking1[[#This Row],[FME ID]],FME_Input[FME_ID],FME_Input[FME_NAME])</f>
        <v>Culverts: Various Locations (City of Amarillo)</v>
      </c>
      <c r="D1577" t="str">
        <f>_xlfn.XLOOKUP(FME_Ranking1[[#This Row],[FME ID]],FME_Input[FME_ID],FME_Input[DESCR])</f>
        <v>Evaluate project to quantify benefits, evaluate impacts and begin design. Improvements to culverts. Project identified from 2019 Amarillo DMP.</v>
      </c>
      <c r="E1577" s="256">
        <f>_xlfn.XLOOKUP(FME_Ranking1[[#This Row],[FME ID]],FME_Input[FME_ID],FME_Input[FME_COST])</f>
        <v>250000</v>
      </c>
      <c r="F1577" t="str">
        <f>_xlfn.XLOOKUP(FME_Ranking1[[#This Row],[FME ID]],FME_Input[FME_ID],FME_Input[EMER_NEED])</f>
        <v>No</v>
      </c>
      <c r="G1577">
        <f>IF(FME_Ranking!F1577="Yes",100,0)</f>
        <v>0</v>
      </c>
      <c r="H1577">
        <f>FME_Ranking1[[#This Row],[Emergency Need Score (Normalized, Unweighted)]]*$F$3</f>
        <v>0</v>
      </c>
      <c r="I1577" s="246">
        <f>_xlfn.XLOOKUP(FME_Ranking1[[#This Row],[FME ID]],FME_Input[FME_ID],FME_Input[STRUCT_100])</f>
        <v>30</v>
      </c>
      <c r="J1577" s="178">
        <f>(FME_Ranking1[[#This Row],[Structures 100 Raw]]/I$2)*100</f>
        <v>1.6064773165402904E-2</v>
      </c>
      <c r="K1577" s="178">
        <f>FME_Ranking1[[#This Row],[Structures 100  Score (Normalized, Unweighted)]]*$I$3</f>
        <v>2.4097159748104357E-3</v>
      </c>
      <c r="L1577" s="246">
        <f>_xlfn.XLOOKUP(FME_Ranking1[[#This Row],[FME ID]],FME_Input[FME_ID],FME_Input[RES_STRUCT100])</f>
        <v>4</v>
      </c>
      <c r="M1577" s="230">
        <f>(FME_Ranking1[[#This Row],[Res Structures Raw]]/L$2)*100</f>
        <v>2.833222365457353E-3</v>
      </c>
      <c r="N1577" s="180">
        <f>FME_Ranking1[[#This Row],[Res Structures Score (Normalized, Unweighted)]]*$L$3</f>
        <v>2.8332223654573533E-4</v>
      </c>
      <c r="O1577" s="244">
        <f>_xlfn.XLOOKUP(FME_Ranking1[[#This Row],[FME ID]],FME_Input[FME_ID],FME_Input[POP100])</f>
        <v>297</v>
      </c>
      <c r="P1577" s="178">
        <f>(FME_Ranking1[[#This Row],[Pop Raw]]/$O$2)*100</f>
        <v>3.0405467660662697E-2</v>
      </c>
      <c r="Q1577" s="178">
        <f>FME_Ranking1[[#This Row],[Pop Score (Normalized, Unweighted)]]*$O$3</f>
        <v>4.560820149099404E-3</v>
      </c>
      <c r="R1577" s="137">
        <f>_xlfn.XLOOKUP(FME_Ranking1[[#This Row],[FME ID]],FME_Input[FME_ID],FME_Input[CRITFAC100])</f>
        <v>1</v>
      </c>
      <c r="S1577" s="230">
        <f>(FME_Ranking1[[#This Row],[Critical Facilities Raw]]/$R$2)*100</f>
        <v>4.2881646655231559E-2</v>
      </c>
      <c r="T1577" s="180">
        <f>FME_Ranking1[[#This Row],[Critical Facilities Score (Normalized, Unweighted)]]*$R$3</f>
        <v>8.5763293310463125E-3</v>
      </c>
      <c r="U1577">
        <f>_xlfn.XLOOKUP(FME_Ranking1[[#This Row],[FME ID]],FME_Input[FME_ID],FME_Input[LWC])</f>
        <v>0</v>
      </c>
      <c r="V1577" s="178">
        <f>(FME_Ranking1[[#This Row],[LWC Raw]]/$U$2)*100</f>
        <v>0</v>
      </c>
      <c r="W1577" s="178">
        <f>FME_Ranking1[[#This Row],[LWC Score (Normalized, Unweighted)]]*$U$3</f>
        <v>0</v>
      </c>
      <c r="X1577" s="246">
        <f>_xlfn.XLOOKUP(FME_Ranking1[[#This Row],[FME ID]],FME_Input[FME_ID],FME_Input[ROADCLS])</f>
        <v>0</v>
      </c>
      <c r="Y1577" s="230">
        <f>(FME_Ranking1[[#This Row],[Closures Raw]]/$X$2)*100</f>
        <v>0</v>
      </c>
      <c r="Z1577" s="180">
        <f>FME_Ranking1[[#This Row],[Closures Score (Normalized, Unweighted)]]*$X$3</f>
        <v>0</v>
      </c>
      <c r="AA1577" s="253">
        <f>_xlfn.XLOOKUP(FME_Ranking1[[#This Row],[FME ID]],FME_Input[FME_ID],FME_Input[ROAD_MILES100])</f>
        <v>2.073384046554565</v>
      </c>
      <c r="AB1577" s="178">
        <f>(FME_Ranking1[[#This Row],[Miles Raw]]/$AA$2)*100</f>
        <v>2.7261281423322549E-2</v>
      </c>
      <c r="AC1577" s="178">
        <f>FME_Ranking1[[#This Row],[Miles Score (Normalized, Unweighted)]]*$AA$3</f>
        <v>2.7261281423322549E-3</v>
      </c>
      <c r="AD1577" s="255">
        <f>_xlfn.XLOOKUP(FME_Ranking1[[#This Row],[FME ID]],FME_Input[FME_ID],FME_Input[FARMACRE100])</f>
        <v>0</v>
      </c>
      <c r="AE1577" s="230">
        <f>(FME_Ranking1[[#This Row],[Ag Land Raw]]/$AD$2)*100</f>
        <v>0</v>
      </c>
      <c r="AF1577" s="231">
        <f>FME_Ranking1[[#This Row],[Ag Land Score (Normalized, Unweighted)]]*$AD$3</f>
        <v>0</v>
      </c>
      <c r="AG157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1.8556315833834141E-2</v>
      </c>
      <c r="AH1577" s="406">
        <f t="shared" si="24"/>
        <v>1591</v>
      </c>
      <c r="AI157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1.8556315833834141E-2</v>
      </c>
      <c r="AJ1577" s="257">
        <f>FME_Ranking1[[#This Row],[Addition check]]-FME_Ranking1[[#This Row],[Weighted Score Based on Normalized Reported Factors]]</f>
        <v>0</v>
      </c>
      <c r="AK1577" s="178">
        <f>_xlfn.RANK.EQ(AI1577,$AI$6:$AI$2341,0)+COUNTIF($AI$6:AI1577,AI1577)-1</f>
        <v>1591</v>
      </c>
    </row>
    <row r="1578" spans="1:37" x14ac:dyDescent="0.25">
      <c r="A1578" t="s">
        <v>10699</v>
      </c>
      <c r="B1578">
        <f>_xlfn.XLOOKUP(FME_Ranking1[[#This Row],[FME ID]],FME_Input[FME_ID],FME_Input[RFPG_NUM])</f>
        <v>13</v>
      </c>
      <c r="C1578" t="str">
        <f>_xlfn.XLOOKUP(FME_Ranking1[[#This Row],[FME ID]],FME_Input[FME_ID],FME_Input[FME_NAME])</f>
        <v>Fulton East  Drainage Improvements</v>
      </c>
      <c r="D1578" t="str">
        <f>_xlfn.XLOOKUP(FME_Ranking1[[#This Row],[FME ID]],FME_Input[FME_ID],FME_Input[DESCR])</f>
        <v>Collection system improvements include collection swales, inlets, drain pipes, manholes or junction boxes, and collection of the system to existing major drainage outfalls or the construction of new outfalls.</v>
      </c>
      <c r="E1578" s="256">
        <f>_xlfn.XLOOKUP(FME_Ranking1[[#This Row],[FME ID]],FME_Input[FME_ID],FME_Input[FME_COST])</f>
        <v>900000</v>
      </c>
      <c r="F1578" t="str">
        <f>_xlfn.XLOOKUP(FME_Ranking1[[#This Row],[FME ID]],FME_Input[FME_ID],FME_Input[EMER_NEED])</f>
        <v>Yes</v>
      </c>
      <c r="G1578">
        <f>IF(FME_Ranking!F1578="Yes",100,0)</f>
        <v>100</v>
      </c>
      <c r="H1578">
        <f>FME_Ranking1[[#This Row],[Emergency Need Score (Normalized, Unweighted)]]*$F$3</f>
        <v>0</v>
      </c>
      <c r="I1578" s="246">
        <f>_xlfn.XLOOKUP(FME_Ranking1[[#This Row],[FME ID]],FME_Input[FME_ID],FME_Input[STRUCT_100])</f>
        <v>32</v>
      </c>
      <c r="J1578" s="178">
        <f>(FME_Ranking1[[#This Row],[Structures 100 Raw]]/I$2)*100</f>
        <v>1.7135758043096434E-2</v>
      </c>
      <c r="K1578" s="178">
        <f>FME_Ranking1[[#This Row],[Structures 100  Score (Normalized, Unweighted)]]*$I$3</f>
        <v>2.570363706464465E-3</v>
      </c>
      <c r="L1578" s="246">
        <f>_xlfn.XLOOKUP(FME_Ranking1[[#This Row],[FME ID]],FME_Input[FME_ID],FME_Input[RES_STRUCT100])</f>
        <v>11</v>
      </c>
      <c r="M1578" s="230">
        <f>(FME_Ranking1[[#This Row],[Res Structures Raw]]/L$2)*100</f>
        <v>7.7913615050077207E-3</v>
      </c>
      <c r="N1578" s="180">
        <f>FME_Ranking1[[#This Row],[Res Structures Score (Normalized, Unweighted)]]*$L$3</f>
        <v>7.7913615050077215E-4</v>
      </c>
      <c r="O1578" s="244">
        <f>_xlfn.XLOOKUP(FME_Ranking1[[#This Row],[FME ID]],FME_Input[FME_ID],FME_Input[POP100])</f>
        <v>56</v>
      </c>
      <c r="P1578" s="178">
        <f>(FME_Ranking1[[#This Row],[Pop Raw]]/$O$2)*100</f>
        <v>5.7330174713707436E-3</v>
      </c>
      <c r="Q1578" s="178">
        <f>FME_Ranking1[[#This Row],[Pop Score (Normalized, Unweighted)]]*$O$3</f>
        <v>8.5995262070561157E-4</v>
      </c>
      <c r="R1578" s="137">
        <f>_xlfn.XLOOKUP(FME_Ranking1[[#This Row],[FME ID]],FME_Input[FME_ID],FME_Input[CRITFAC100])</f>
        <v>0</v>
      </c>
      <c r="S1578" s="230">
        <f>(FME_Ranking1[[#This Row],[Critical Facilities Raw]]/$R$2)*100</f>
        <v>0</v>
      </c>
      <c r="T1578" s="180">
        <f>FME_Ranking1[[#This Row],[Critical Facilities Score (Normalized, Unweighted)]]*$R$3</f>
        <v>0</v>
      </c>
      <c r="U1578">
        <f>_xlfn.XLOOKUP(FME_Ranking1[[#This Row],[FME ID]],FME_Input[FME_ID],FME_Input[LWC])</f>
        <v>0</v>
      </c>
      <c r="V1578" s="178">
        <f>(FME_Ranking1[[#This Row],[LWC Raw]]/$U$2)*100</f>
        <v>0</v>
      </c>
      <c r="W1578" s="178">
        <f>FME_Ranking1[[#This Row],[LWC Score (Normalized, Unweighted)]]*$U$3</f>
        <v>0</v>
      </c>
      <c r="X1578" s="246">
        <f>_xlfn.XLOOKUP(FME_Ranking1[[#This Row],[FME ID]],FME_Input[FME_ID],FME_Input[ROADCLS])</f>
        <v>22</v>
      </c>
      <c r="Y1578" s="230">
        <f>(FME_Ranking1[[#This Row],[Closures Raw]]/$X$2)*100</f>
        <v>0.23131111344758701</v>
      </c>
      <c r="Z1578" s="180">
        <f>FME_Ranking1[[#This Row],[Closures Score (Normalized, Unweighted)]]*$X$3</f>
        <v>1.1565555672379352E-2</v>
      </c>
      <c r="AA1578" s="253">
        <f>_xlfn.XLOOKUP(FME_Ranking1[[#This Row],[FME ID]],FME_Input[FME_ID],FME_Input[ROAD_MILES100])</f>
        <v>1.26202917098999</v>
      </c>
      <c r="AB1578" s="178">
        <f>(FME_Ranking1[[#This Row],[Miles Raw]]/$AA$2)*100</f>
        <v>1.6593420042935181E-2</v>
      </c>
      <c r="AC1578" s="178">
        <f>FME_Ranking1[[#This Row],[Miles Score (Normalized, Unweighted)]]*$AA$3</f>
        <v>1.6593420042935181E-3</v>
      </c>
      <c r="AD1578" s="255">
        <f>_xlfn.XLOOKUP(FME_Ranking1[[#This Row],[FME ID]],FME_Input[FME_ID],FME_Input[FARMACRE100])</f>
        <v>0</v>
      </c>
      <c r="AE1578" s="230">
        <f>(FME_Ranking1[[#This Row],[Ag Land Raw]]/$AD$2)*100</f>
        <v>0</v>
      </c>
      <c r="AF1578" s="231">
        <f>FME_Ranking1[[#This Row],[Ag Land Score (Normalized, Unweighted)]]*$AD$3</f>
        <v>0</v>
      </c>
      <c r="AG157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1.743435015434372E-2</v>
      </c>
      <c r="AH1578" s="406">
        <f t="shared" si="24"/>
        <v>1605</v>
      </c>
      <c r="AI157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1.743435015434372E-2</v>
      </c>
      <c r="AJ1578" s="257">
        <f>FME_Ranking1[[#This Row],[Addition check]]-FME_Ranking1[[#This Row],[Weighted Score Based on Normalized Reported Factors]]</f>
        <v>0</v>
      </c>
      <c r="AK1578" s="178">
        <f>_xlfn.RANK.EQ(AI1578,$AI$6:$AI$2341,0)+COUNTIF($AI$6:AI1578,AI1578)-1</f>
        <v>1605</v>
      </c>
    </row>
    <row r="1579" spans="1:37" x14ac:dyDescent="0.25">
      <c r="A1579" t="s">
        <v>7757</v>
      </c>
      <c r="B1579">
        <f>_xlfn.XLOOKUP(FME_Ranking1[[#This Row],[FME ID]],FME_Input[FME_ID],FME_Input[RFPG_NUM])</f>
        <v>8</v>
      </c>
      <c r="C1579" t="str">
        <f>_xlfn.XLOOKUP(FME_Ranking1[[#This Row],[FME ID]],FME_Input[FME_ID],FME_Input[FME_NAME])</f>
        <v>Lower Oyster Creek Improvements</v>
      </c>
      <c r="D1579" t="str">
        <f>_xlfn.XLOOKUP(FME_Ranking1[[#This Row],[FME ID]],FME_Input[FME_ID],FME_Input[DESCR])</f>
        <v>Channel bank fill and improvements to create smooth transitions between diversion, flume, and creek channels during large storm improvements.</v>
      </c>
      <c r="E1579" s="256">
        <f>_xlfn.XLOOKUP(FME_Ranking1[[#This Row],[FME ID]],FME_Input[FME_ID],FME_Input[FME_COST])</f>
        <v>54000</v>
      </c>
      <c r="F1579" t="str">
        <f>_xlfn.XLOOKUP(FME_Ranking1[[#This Row],[FME ID]],FME_Input[FME_ID],FME_Input[EMER_NEED])</f>
        <v>No</v>
      </c>
      <c r="G1579">
        <f>IF(FME_Ranking!F1579="Yes",100,0)</f>
        <v>0</v>
      </c>
      <c r="H1579">
        <f>FME_Ranking1[[#This Row],[Emergency Need Score (Normalized, Unweighted)]]*$F$3</f>
        <v>0</v>
      </c>
      <c r="I1579" s="246">
        <f>_xlfn.XLOOKUP(FME_Ranking1[[#This Row],[FME ID]],FME_Input[FME_ID],FME_Input[STRUCT_100])</f>
        <v>30</v>
      </c>
      <c r="J1579" s="178">
        <f>(FME_Ranking1[[#This Row],[Structures 100 Raw]]/I$2)*100</f>
        <v>1.6064773165402904E-2</v>
      </c>
      <c r="K1579" s="178">
        <f>FME_Ranking1[[#This Row],[Structures 100  Score (Normalized, Unweighted)]]*$I$3</f>
        <v>2.4097159748104357E-3</v>
      </c>
      <c r="L1579" s="246">
        <f>_xlfn.XLOOKUP(FME_Ranking1[[#This Row],[FME ID]],FME_Input[FME_ID],FME_Input[RES_STRUCT100])</f>
        <v>26</v>
      </c>
      <c r="M1579" s="230">
        <f>(FME_Ranking1[[#This Row],[Res Structures Raw]]/L$2)*100</f>
        <v>1.8415945375472795E-2</v>
      </c>
      <c r="N1579" s="180">
        <f>FME_Ranking1[[#This Row],[Res Structures Score (Normalized, Unweighted)]]*$L$3</f>
        <v>1.8415945375472795E-3</v>
      </c>
      <c r="O1579" s="244">
        <f>_xlfn.XLOOKUP(FME_Ranking1[[#This Row],[FME ID]],FME_Input[FME_ID],FME_Input[POP100])</f>
        <v>84</v>
      </c>
      <c r="P1579" s="178">
        <f>(FME_Ranking1[[#This Row],[Pop Raw]]/$O$2)*100</f>
        <v>8.599526207056115E-3</v>
      </c>
      <c r="Q1579" s="178">
        <f>FME_Ranking1[[#This Row],[Pop Score (Normalized, Unweighted)]]*$O$3</f>
        <v>1.2899289310584173E-3</v>
      </c>
      <c r="R1579" s="137">
        <f>_xlfn.XLOOKUP(FME_Ranking1[[#This Row],[FME ID]],FME_Input[FME_ID],FME_Input[CRITFAC100])</f>
        <v>0</v>
      </c>
      <c r="S1579" s="230">
        <f>(FME_Ranking1[[#This Row],[Critical Facilities Raw]]/$R$2)*100</f>
        <v>0</v>
      </c>
      <c r="T1579" s="180">
        <f>FME_Ranking1[[#This Row],[Critical Facilities Score (Normalized, Unweighted)]]*$R$3</f>
        <v>0</v>
      </c>
      <c r="U1579">
        <f>_xlfn.XLOOKUP(FME_Ranking1[[#This Row],[FME ID]],FME_Input[FME_ID],FME_Input[LWC])</f>
        <v>0</v>
      </c>
      <c r="V1579" s="178">
        <f>(FME_Ranking1[[#This Row],[LWC Raw]]/$U$2)*100</f>
        <v>0</v>
      </c>
      <c r="W1579" s="178">
        <f>FME_Ranking1[[#This Row],[LWC Score (Normalized, Unweighted)]]*$U$3</f>
        <v>0</v>
      </c>
      <c r="X1579" s="246">
        <f>_xlfn.XLOOKUP(FME_Ranking1[[#This Row],[FME ID]],FME_Input[FME_ID],FME_Input[ROADCLS])</f>
        <v>18</v>
      </c>
      <c r="Y1579" s="230">
        <f>(FME_Ranking1[[#This Row],[Closures Raw]]/$X$2)*100</f>
        <v>0.18925454736620756</v>
      </c>
      <c r="Z1579" s="180">
        <f>FME_Ranking1[[#This Row],[Closures Score (Normalized, Unweighted)]]*$X$3</f>
        <v>9.4627273683103794E-3</v>
      </c>
      <c r="AA1579" s="253">
        <f>_xlfn.XLOOKUP(FME_Ranking1[[#This Row],[FME ID]],FME_Input[FME_ID],FME_Input[ROAD_MILES100])</f>
        <v>3.361510038375854</v>
      </c>
      <c r="AB1579" s="178">
        <f>(FME_Ranking1[[#This Row],[Miles Raw]]/$AA$2)*100</f>
        <v>4.4197827853343759E-2</v>
      </c>
      <c r="AC1579" s="178">
        <f>FME_Ranking1[[#This Row],[Miles Score (Normalized, Unweighted)]]*$AA$3</f>
        <v>4.4197827853343762E-3</v>
      </c>
      <c r="AD1579" s="255">
        <f>_xlfn.XLOOKUP(FME_Ranking1[[#This Row],[FME ID]],FME_Input[FME_ID],FME_Input[FARMACRE100])</f>
        <v>372.68499755859381</v>
      </c>
      <c r="AE1579" s="230">
        <f>(FME_Ranking1[[#This Row],[Ag Land Raw]]/$AD$2)*100</f>
        <v>1.5367860973549837E-2</v>
      </c>
      <c r="AF1579" s="231">
        <f>FME_Ranking1[[#This Row],[Ag Land Score (Normalized, Unweighted)]]*$AD$3</f>
        <v>7.6839304867749186E-4</v>
      </c>
      <c r="AG157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2.0192142645738379E-2</v>
      </c>
      <c r="AH1579" s="406">
        <f t="shared" si="24"/>
        <v>1578</v>
      </c>
      <c r="AI157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2.0192142645738379E-2</v>
      </c>
      <c r="AJ1579" s="257">
        <f>FME_Ranking1[[#This Row],[Addition check]]-FME_Ranking1[[#This Row],[Weighted Score Based on Normalized Reported Factors]]</f>
        <v>0</v>
      </c>
      <c r="AK1579" s="178">
        <f>_xlfn.RANK.EQ(AI1579,$AI$6:$AI$2341,0)+COUNTIF($AI$6:AI1579,AI1579)-1</f>
        <v>1578</v>
      </c>
    </row>
    <row r="1580" spans="1:37" x14ac:dyDescent="0.25">
      <c r="A1580" t="s">
        <v>11426</v>
      </c>
      <c r="B1580">
        <f>_xlfn.XLOOKUP(FME_Ranking1[[#This Row],[FME ID]],FME_Input[FME_ID],FME_Input[RFPG_NUM])</f>
        <v>15</v>
      </c>
      <c r="C1580" t="str">
        <f>_xlfn.XLOOKUP(FME_Ranking1[[#This Row],[FME ID]],FME_Input[FME_ID],FME_Input[FME_NAME])</f>
        <v>Weslaco Stormwater Improvement Plan - Mile 10 N and Mile 5 ½ W</v>
      </c>
      <c r="D1580" t="str">
        <f>_xlfn.XLOOKUP(FME_Ranking1[[#This Row],[FME ID]],FME_Input[FME_ID],FME_Input[DESCR])</f>
        <v>Construction of an 8 acre detention pond, with approximately 4,000 LF of channel widening along the back of the neighborhoods and between the Justice Raul A. Gonzalez Elementary School and Joe Calvillo Jr Career &amp; Technology Education Complex; replacemen</v>
      </c>
      <c r="E1580" s="256">
        <f>_xlfn.XLOOKUP(FME_Ranking1[[#This Row],[FME ID]],FME_Input[FME_ID],FME_Input[FME_COST])</f>
        <v>666151</v>
      </c>
      <c r="F1580" t="str">
        <f>_xlfn.XLOOKUP(FME_Ranking1[[#This Row],[FME ID]],FME_Input[FME_ID],FME_Input[EMER_NEED])</f>
        <v>Yes</v>
      </c>
      <c r="G1580">
        <f>IF(FME_Ranking!F1580="Yes",100,0)</f>
        <v>100</v>
      </c>
      <c r="H1580">
        <f>FME_Ranking1[[#This Row],[Emergency Need Score (Normalized, Unweighted)]]*$F$3</f>
        <v>0</v>
      </c>
      <c r="I1580" s="246">
        <f>_xlfn.XLOOKUP(FME_Ranking1[[#This Row],[FME ID]],FME_Input[FME_ID],FME_Input[STRUCT_100])</f>
        <v>0</v>
      </c>
      <c r="J1580" s="178">
        <f>(FME_Ranking1[[#This Row],[Structures 100 Raw]]/I$2)*100</f>
        <v>0</v>
      </c>
      <c r="K1580" s="178">
        <f>FME_Ranking1[[#This Row],[Structures 100  Score (Normalized, Unweighted)]]*$I$3</f>
        <v>0</v>
      </c>
      <c r="L1580" s="246">
        <f>_xlfn.XLOOKUP(FME_Ranking1[[#This Row],[FME ID]],FME_Input[FME_ID],FME_Input[RES_STRUCT100])</f>
        <v>72</v>
      </c>
      <c r="M1580" s="230">
        <f>(FME_Ranking1[[#This Row],[Res Structures Raw]]/L$2)*100</f>
        <v>5.0998002578232352E-2</v>
      </c>
      <c r="N1580" s="180">
        <f>FME_Ranking1[[#This Row],[Res Structures Score (Normalized, Unweighted)]]*$L$3</f>
        <v>5.0998002578232357E-3</v>
      </c>
      <c r="O1580" s="244">
        <f>_xlfn.XLOOKUP(FME_Ranking1[[#This Row],[FME ID]],FME_Input[FME_ID],FME_Input[POP100])</f>
        <v>686</v>
      </c>
      <c r="P1580" s="178">
        <f>(FME_Ranking1[[#This Row],[Pop Raw]]/$O$2)*100</f>
        <v>7.0229464024291616E-2</v>
      </c>
      <c r="Q1580" s="178">
        <f>FME_Ranking1[[#This Row],[Pop Score (Normalized, Unweighted)]]*$O$3</f>
        <v>1.0534419603643742E-2</v>
      </c>
      <c r="R1580" s="137">
        <f>_xlfn.XLOOKUP(FME_Ranking1[[#This Row],[FME ID]],FME_Input[FME_ID],FME_Input[CRITFAC100])</f>
        <v>0</v>
      </c>
      <c r="S1580" s="230">
        <f>(FME_Ranking1[[#This Row],[Critical Facilities Raw]]/$R$2)*100</f>
        <v>0</v>
      </c>
      <c r="T1580" s="180">
        <f>FME_Ranking1[[#This Row],[Critical Facilities Score (Normalized, Unweighted)]]*$R$3</f>
        <v>0</v>
      </c>
      <c r="U1580">
        <f>_xlfn.XLOOKUP(FME_Ranking1[[#This Row],[FME ID]],FME_Input[FME_ID],FME_Input[LWC])</f>
        <v>0</v>
      </c>
      <c r="V1580" s="178">
        <f>(FME_Ranking1[[#This Row],[LWC Raw]]/$U$2)*100</f>
        <v>0</v>
      </c>
      <c r="W1580" s="178">
        <f>FME_Ranking1[[#This Row],[LWC Score (Normalized, Unweighted)]]*$U$3</f>
        <v>0</v>
      </c>
      <c r="X1580" s="246">
        <f>_xlfn.XLOOKUP(FME_Ranking1[[#This Row],[FME ID]],FME_Input[FME_ID],FME_Input[ROADCLS])</f>
        <v>0</v>
      </c>
      <c r="Y1580" s="230">
        <f>(FME_Ranking1[[#This Row],[Closures Raw]]/$X$2)*100</f>
        <v>0</v>
      </c>
      <c r="Z1580" s="180">
        <f>FME_Ranking1[[#This Row],[Closures Score (Normalized, Unweighted)]]*$X$3</f>
        <v>0</v>
      </c>
      <c r="AA1580" s="253">
        <f>_xlfn.XLOOKUP(FME_Ranking1[[#This Row],[FME ID]],FME_Input[FME_ID],FME_Input[ROAD_MILES100])</f>
        <v>4.3353500366210938</v>
      </c>
      <c r="AB1580" s="178">
        <f>(FME_Ranking1[[#This Row],[Miles Raw]]/$AA$2)*100</f>
        <v>5.700207716623281E-2</v>
      </c>
      <c r="AC1580" s="178">
        <f>FME_Ranking1[[#This Row],[Miles Score (Normalized, Unweighted)]]*$AA$3</f>
        <v>5.7002077166232812E-3</v>
      </c>
      <c r="AD1580" s="255">
        <f>_xlfn.XLOOKUP(FME_Ranking1[[#This Row],[FME ID]],FME_Input[FME_ID],FME_Input[FARMACRE100])</f>
        <v>0</v>
      </c>
      <c r="AE1580" s="230">
        <f>(FME_Ranking1[[#This Row],[Ag Land Raw]]/$AD$2)*100</f>
        <v>0</v>
      </c>
      <c r="AF1580" s="231">
        <f>FME_Ranking1[[#This Row],[Ag Land Score (Normalized, Unweighted)]]*$AD$3</f>
        <v>0</v>
      </c>
      <c r="AG158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2.1334427578090259E-2</v>
      </c>
      <c r="AH1580" s="406">
        <f t="shared" si="24"/>
        <v>1567</v>
      </c>
      <c r="AI158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2.1334427578090259E-2</v>
      </c>
      <c r="AJ1580" s="257">
        <f>FME_Ranking1[[#This Row],[Addition check]]-FME_Ranking1[[#This Row],[Weighted Score Based on Normalized Reported Factors]]</f>
        <v>0</v>
      </c>
      <c r="AK1580" s="178">
        <f>_xlfn.RANK.EQ(AI1580,$AI$6:$AI$2341,0)+COUNTIF($AI$6:AI1580,AI1580)-1</f>
        <v>1567</v>
      </c>
    </row>
    <row r="1581" spans="1:37" x14ac:dyDescent="0.25">
      <c r="A1581" t="s">
        <v>2650</v>
      </c>
      <c r="B1581">
        <f>_xlfn.XLOOKUP(FME_Ranking1[[#This Row],[FME ID]],FME_Input[FME_ID],FME_Input[RFPG_NUM])</f>
        <v>1</v>
      </c>
      <c r="C1581" t="str">
        <f>_xlfn.XLOOKUP(FME_Ranking1[[#This Row],[FME ID]],FME_Input[FME_ID],FME_Input[FME_NAME])</f>
        <v>Hereford City Drainage Master Plan</v>
      </c>
      <c r="D1581" t="str">
        <f>_xlfn.XLOOKUP(FME_Ranking1[[#This Row],[FME ID]],FME_Input[FME_ID],FME_Input[DESCR])</f>
        <v xml:space="preserve">Perform H&amp;H modeling, develop conceptual alternatives and OPCC, and rank projects; selected based on survey responses </v>
      </c>
      <c r="E1581" s="256">
        <f>_xlfn.XLOOKUP(FME_Ranking1[[#This Row],[FME ID]],FME_Input[FME_ID],FME_Input[FME_COST])</f>
        <v>250000</v>
      </c>
      <c r="F1581" t="str">
        <f>_xlfn.XLOOKUP(FME_Ranking1[[#This Row],[FME ID]],FME_Input[FME_ID],FME_Input[EMER_NEED])</f>
        <v>No</v>
      </c>
      <c r="G1581">
        <f>IF(FME_Ranking!F1581="Yes",100,0)</f>
        <v>0</v>
      </c>
      <c r="H1581">
        <f>FME_Ranking1[[#This Row],[Emergency Need Score (Normalized, Unweighted)]]*$F$3</f>
        <v>0</v>
      </c>
      <c r="I1581" s="246">
        <f>_xlfn.XLOOKUP(FME_Ranking1[[#This Row],[FME ID]],FME_Input[FME_ID],FME_Input[STRUCT_100])</f>
        <v>19</v>
      </c>
      <c r="J1581" s="178">
        <f>(FME_Ranking1[[#This Row],[Structures 100 Raw]]/I$2)*100</f>
        <v>1.0174356338088506E-2</v>
      </c>
      <c r="K1581" s="178">
        <f>FME_Ranking1[[#This Row],[Structures 100  Score (Normalized, Unweighted)]]*$I$3</f>
        <v>1.5261534507132759E-3</v>
      </c>
      <c r="L1581" s="246">
        <f>_xlfn.XLOOKUP(FME_Ranking1[[#This Row],[FME ID]],FME_Input[FME_ID],FME_Input[RES_STRUCT100])</f>
        <v>11</v>
      </c>
      <c r="M1581" s="230">
        <f>(FME_Ranking1[[#This Row],[Res Structures Raw]]/L$2)*100</f>
        <v>7.7913615050077207E-3</v>
      </c>
      <c r="N1581" s="180">
        <f>FME_Ranking1[[#This Row],[Res Structures Score (Normalized, Unweighted)]]*$L$3</f>
        <v>7.7913615050077215E-4</v>
      </c>
      <c r="O1581" s="244">
        <f>_xlfn.XLOOKUP(FME_Ranking1[[#This Row],[FME ID]],FME_Input[FME_ID],FME_Input[POP100])</f>
        <v>83</v>
      </c>
      <c r="P1581" s="178">
        <f>(FME_Ranking1[[#This Row],[Pop Raw]]/$O$2)*100</f>
        <v>8.497150895067352E-3</v>
      </c>
      <c r="Q1581" s="178">
        <f>FME_Ranking1[[#This Row],[Pop Score (Normalized, Unweighted)]]*$O$3</f>
        <v>1.2745726342601028E-3</v>
      </c>
      <c r="R1581" s="137">
        <f>_xlfn.XLOOKUP(FME_Ranking1[[#This Row],[FME ID]],FME_Input[FME_ID],FME_Input[CRITFAC100])</f>
        <v>0</v>
      </c>
      <c r="S1581" s="230">
        <f>(FME_Ranking1[[#This Row],[Critical Facilities Raw]]/$R$2)*100</f>
        <v>0</v>
      </c>
      <c r="T1581" s="180">
        <f>FME_Ranking1[[#This Row],[Critical Facilities Score (Normalized, Unweighted)]]*$R$3</f>
        <v>0</v>
      </c>
      <c r="U1581">
        <f>_xlfn.XLOOKUP(FME_Ranking1[[#This Row],[FME ID]],FME_Input[FME_ID],FME_Input[LWC])</f>
        <v>1</v>
      </c>
      <c r="V1581" s="178">
        <f>(FME_Ranking1[[#This Row],[LWC Raw]]/$U$2)*100</f>
        <v>5.7570523891767422E-2</v>
      </c>
      <c r="W1581" s="178">
        <f>FME_Ranking1[[#This Row],[LWC Score (Normalized, Unweighted)]]*$U$3</f>
        <v>1.1514104778353485E-2</v>
      </c>
      <c r="X1581" s="246">
        <f>_xlfn.XLOOKUP(FME_Ranking1[[#This Row],[FME ID]],FME_Input[FME_ID],FME_Input[ROADCLS])</f>
        <v>1</v>
      </c>
      <c r="Y1581" s="230">
        <f>(FME_Ranking1[[#This Row],[Closures Raw]]/$X$2)*100</f>
        <v>1.0514141520344864E-2</v>
      </c>
      <c r="Z1581" s="180">
        <f>FME_Ranking1[[#This Row],[Closures Score (Normalized, Unweighted)]]*$X$3</f>
        <v>5.2570707601724321E-4</v>
      </c>
      <c r="AA1581" s="253">
        <f>_xlfn.XLOOKUP(FME_Ranking1[[#This Row],[FME ID]],FME_Input[FME_ID],FME_Input[ROAD_MILES100])</f>
        <v>2.1828212738037109</v>
      </c>
      <c r="AB1581" s="178">
        <f>(FME_Ranking1[[#This Row],[Miles Raw]]/$AA$2)*100</f>
        <v>2.8700184676766945E-2</v>
      </c>
      <c r="AC1581" s="178">
        <f>FME_Ranking1[[#This Row],[Miles Score (Normalized, Unweighted)]]*$AA$3</f>
        <v>2.8700184676766945E-3</v>
      </c>
      <c r="AD1581" s="255">
        <f>_xlfn.XLOOKUP(FME_Ranking1[[#This Row],[FME ID]],FME_Input[FME_ID],FME_Input[FARMACRE100])</f>
        <v>6.6215229034423828</v>
      </c>
      <c r="AE1581" s="230">
        <f>(FME_Ranking1[[#This Row],[Ag Land Raw]]/$AD$2)*100</f>
        <v>2.7304196326625687E-4</v>
      </c>
      <c r="AF1581" s="231">
        <f>FME_Ranking1[[#This Row],[Ag Land Score (Normalized, Unweighted)]]*$AD$3</f>
        <v>1.3652098163312843E-5</v>
      </c>
      <c r="AG158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1.8503344655684886E-2</v>
      </c>
      <c r="AH1581" s="406">
        <f t="shared" si="24"/>
        <v>1596</v>
      </c>
      <c r="AI158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1.8503344655684886E-2</v>
      </c>
      <c r="AJ1581" s="257">
        <f>FME_Ranking1[[#This Row],[Addition check]]-FME_Ranking1[[#This Row],[Weighted Score Based on Normalized Reported Factors]]</f>
        <v>0</v>
      </c>
      <c r="AK1581" s="178">
        <f>_xlfn.RANK.EQ(AI1581,$AI$6:$AI$2341,0)+COUNTIF($AI$6:AI1581,AI1581)-1</f>
        <v>1596</v>
      </c>
    </row>
    <row r="1582" spans="1:37" x14ac:dyDescent="0.25">
      <c r="A1582" t="s">
        <v>11216</v>
      </c>
      <c r="B1582">
        <f>_xlfn.XLOOKUP(FME_Ranking1[[#This Row],[FME ID]],FME_Input[FME_ID],FME_Input[RFPG_NUM])</f>
        <v>15</v>
      </c>
      <c r="C1582" t="str">
        <f>_xlfn.XLOOKUP(FME_Ranking1[[#This Row],[FME ID]],FME_Input[FME_ID],FME_Input[FME_NAME])</f>
        <v>Alton MDP - West Mile 5 and South Glasscock Road Alternative 3</v>
      </c>
      <c r="D1582" t="str">
        <f>_xlfn.XLOOKUP(FME_Ranking1[[#This Row],[FME ID]],FME_Input[FME_ID],FME_Input[DESCR])</f>
        <v>Alternative 3 is simply the buyout and removal of 23 properties on the north side of Buchanan from the 10-year floodplain. Once structures are removed, the vacant land can be excavated and used as a park/regional retention pond.</v>
      </c>
      <c r="E1582" s="256">
        <f>_xlfn.XLOOKUP(FME_Ranking1[[#This Row],[FME ID]],FME_Input[FME_ID],FME_Input[FME_COST])</f>
        <v>249480</v>
      </c>
      <c r="F1582" t="str">
        <f>_xlfn.XLOOKUP(FME_Ranking1[[#This Row],[FME ID]],FME_Input[FME_ID],FME_Input[EMER_NEED])</f>
        <v>Yes</v>
      </c>
      <c r="G1582">
        <f>IF(FME_Ranking!F1582="Yes",100,0)</f>
        <v>100</v>
      </c>
      <c r="H1582">
        <f>FME_Ranking1[[#This Row],[Emergency Need Score (Normalized, Unweighted)]]*$F$3</f>
        <v>0</v>
      </c>
      <c r="I1582" s="246">
        <f>_xlfn.XLOOKUP(FME_Ranking1[[#This Row],[FME ID]],FME_Input[FME_ID],FME_Input[STRUCT_100])</f>
        <v>0</v>
      </c>
      <c r="J1582" s="178">
        <f>(FME_Ranking1[[#This Row],[Structures 100 Raw]]/I$2)*100</f>
        <v>0</v>
      </c>
      <c r="K1582" s="178">
        <f>FME_Ranking1[[#This Row],[Structures 100  Score (Normalized, Unweighted)]]*$I$3</f>
        <v>0</v>
      </c>
      <c r="L1582" s="246">
        <f>_xlfn.XLOOKUP(FME_Ranking1[[#This Row],[FME ID]],FME_Input[FME_ID],FME_Input[RES_STRUCT100])</f>
        <v>98</v>
      </c>
      <c r="M1582" s="230">
        <f>(FME_Ranking1[[#This Row],[Res Structures Raw]]/L$2)*100</f>
        <v>6.9413947953705146E-2</v>
      </c>
      <c r="N1582" s="180">
        <f>FME_Ranking1[[#This Row],[Res Structures Score (Normalized, Unweighted)]]*$L$3</f>
        <v>6.9413947953705151E-3</v>
      </c>
      <c r="O1582" s="244">
        <f>_xlfn.XLOOKUP(FME_Ranking1[[#This Row],[FME ID]],FME_Input[FME_ID],FME_Input[POP100])</f>
        <v>562</v>
      </c>
      <c r="P1582" s="178">
        <f>(FME_Ranking1[[#This Row],[Pop Raw]]/$O$2)*100</f>
        <v>5.7534925337684964E-2</v>
      </c>
      <c r="Q1582" s="178">
        <f>FME_Ranking1[[#This Row],[Pop Score (Normalized, Unweighted)]]*$O$3</f>
        <v>8.6302388006527439E-3</v>
      </c>
      <c r="R1582" s="137">
        <f>_xlfn.XLOOKUP(FME_Ranking1[[#This Row],[FME ID]],FME_Input[FME_ID],FME_Input[CRITFAC100])</f>
        <v>0</v>
      </c>
      <c r="S1582" s="230">
        <f>(FME_Ranking1[[#This Row],[Critical Facilities Raw]]/$R$2)*100</f>
        <v>0</v>
      </c>
      <c r="T1582" s="180">
        <f>FME_Ranking1[[#This Row],[Critical Facilities Score (Normalized, Unweighted)]]*$R$3</f>
        <v>0</v>
      </c>
      <c r="U1582">
        <f>_xlfn.XLOOKUP(FME_Ranking1[[#This Row],[FME ID]],FME_Input[FME_ID],FME_Input[LWC])</f>
        <v>0</v>
      </c>
      <c r="V1582" s="178">
        <f>(FME_Ranking1[[#This Row],[LWC Raw]]/$U$2)*100</f>
        <v>0</v>
      </c>
      <c r="W1582" s="178">
        <f>FME_Ranking1[[#This Row],[LWC Score (Normalized, Unweighted)]]*$U$3</f>
        <v>0</v>
      </c>
      <c r="X1582" s="246">
        <f>_xlfn.XLOOKUP(FME_Ranking1[[#This Row],[FME ID]],FME_Input[FME_ID],FME_Input[ROADCLS])</f>
        <v>0</v>
      </c>
      <c r="Y1582" s="230">
        <f>(FME_Ranking1[[#This Row],[Closures Raw]]/$X$2)*100</f>
        <v>0</v>
      </c>
      <c r="Z1582" s="180">
        <f>FME_Ranking1[[#This Row],[Closures Score (Normalized, Unweighted)]]*$X$3</f>
        <v>0</v>
      </c>
      <c r="AA1582" s="253">
        <f>_xlfn.XLOOKUP(FME_Ranking1[[#This Row],[FME ID]],FME_Input[FME_ID],FME_Input[ROAD_MILES100])</f>
        <v>5.4585700035095206</v>
      </c>
      <c r="AB1582" s="178">
        <f>(FME_Ranking1[[#This Row],[Miles Raw]]/$AA$2)*100</f>
        <v>7.1770405141227969E-2</v>
      </c>
      <c r="AC1582" s="178">
        <f>FME_Ranking1[[#This Row],[Miles Score (Normalized, Unweighted)]]*$AA$3</f>
        <v>7.1770405141227973E-3</v>
      </c>
      <c r="AD1582" s="255">
        <f>_xlfn.XLOOKUP(FME_Ranking1[[#This Row],[FME ID]],FME_Input[FME_ID],FME_Input[FARMACRE100])</f>
        <v>0</v>
      </c>
      <c r="AE1582" s="230">
        <f>(FME_Ranking1[[#This Row],[Ag Land Raw]]/$AD$2)*100</f>
        <v>0</v>
      </c>
      <c r="AF1582" s="231">
        <f>FME_Ranking1[[#This Row],[Ag Land Score (Normalized, Unweighted)]]*$AD$3</f>
        <v>0</v>
      </c>
      <c r="AG158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2.2748674110146055E-2</v>
      </c>
      <c r="AH1582" s="406">
        <f t="shared" si="24"/>
        <v>1546</v>
      </c>
      <c r="AI158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2.2748674110146055E-2</v>
      </c>
      <c r="AJ1582" s="257">
        <f>FME_Ranking1[[#This Row],[Addition check]]-FME_Ranking1[[#This Row],[Weighted Score Based on Normalized Reported Factors]]</f>
        <v>0</v>
      </c>
      <c r="AK1582" s="178">
        <f>_xlfn.RANK.EQ(AI1582,$AI$6:$AI$2341,0)+COUNTIF($AI$6:AI1582,AI1582)-1</f>
        <v>1546</v>
      </c>
    </row>
    <row r="1583" spans="1:37" x14ac:dyDescent="0.25">
      <c r="A1583" t="s">
        <v>1440</v>
      </c>
      <c r="B1583">
        <f>_xlfn.XLOOKUP(FME_Ranking1[[#This Row],[FME ID]],FME_Input[FME_ID],FME_Input[RFPG_NUM])</f>
        <v>6</v>
      </c>
      <c r="C1583" t="str">
        <f>_xlfn.XLOOKUP(FME_Ranking1[[#This Row],[FME ID]],FME_Input[FME_ID],FME_Input[FME_NAME])</f>
        <v>Greens Bayou - P130-05-02</v>
      </c>
      <c r="D1583" t="str">
        <f>_xlfn.XLOOKUP(FME_Ranking1[[#This Row],[FME ID]],FME_Input[FME_ID],FME_Input[DESCR])</f>
        <v>Further study of Flood Risk Reduction need identified through the HCFCD 'Watershed Planning Tool' to determine channel modifications needed to restore/improve channel conveyance including Atlas 14 rainfall.</v>
      </c>
      <c r="E1583" s="256">
        <f>_xlfn.XLOOKUP(FME_Ranking1[[#This Row],[FME ID]],FME_Input[FME_ID],FME_Input[FME_COST])</f>
        <v>100000</v>
      </c>
      <c r="F1583" t="str">
        <f>_xlfn.XLOOKUP(FME_Ranking1[[#This Row],[FME ID]],FME_Input[FME_ID],FME_Input[EMER_NEED])</f>
        <v>No</v>
      </c>
      <c r="G1583">
        <f>IF(FME_Ranking!F1583="Yes",100,0)</f>
        <v>0</v>
      </c>
      <c r="H1583">
        <f>FME_Ranking1[[#This Row],[Emergency Need Score (Normalized, Unweighted)]]*$F$3</f>
        <v>0</v>
      </c>
      <c r="I1583" s="246">
        <f>_xlfn.XLOOKUP(FME_Ranking1[[#This Row],[FME ID]],FME_Input[FME_ID],FME_Input[STRUCT_100])</f>
        <v>94</v>
      </c>
      <c r="J1583" s="178">
        <f>(FME_Ranking1[[#This Row],[Structures 100 Raw]]/I$2)*100</f>
        <v>5.0336289251595764E-2</v>
      </c>
      <c r="K1583" s="178">
        <f>FME_Ranking1[[#This Row],[Structures 100  Score (Normalized, Unweighted)]]*$I$3</f>
        <v>7.5504433877393645E-3</v>
      </c>
      <c r="L1583" s="246">
        <f>_xlfn.XLOOKUP(FME_Ranking1[[#This Row],[FME ID]],FME_Input[FME_ID],FME_Input[RES_STRUCT100])</f>
        <v>84</v>
      </c>
      <c r="M1583" s="230">
        <f>(FME_Ranking1[[#This Row],[Res Structures Raw]]/L$2)*100</f>
        <v>5.949766967460441E-2</v>
      </c>
      <c r="N1583" s="180">
        <f>FME_Ranking1[[#This Row],[Res Structures Score (Normalized, Unweighted)]]*$L$3</f>
        <v>5.9497669674604412E-3</v>
      </c>
      <c r="O1583" s="244">
        <f>_xlfn.XLOOKUP(FME_Ranking1[[#This Row],[FME ID]],FME_Input[FME_ID],FME_Input[POP100])</f>
        <v>130</v>
      </c>
      <c r="P1583" s="178">
        <f>(FME_Ranking1[[#This Row],[Pop Raw]]/$O$2)*100</f>
        <v>1.3308790558539226E-2</v>
      </c>
      <c r="Q1583" s="178">
        <f>FME_Ranking1[[#This Row],[Pop Score (Normalized, Unweighted)]]*$O$3</f>
        <v>1.9963185837808838E-3</v>
      </c>
      <c r="R1583" s="137">
        <f>_xlfn.XLOOKUP(FME_Ranking1[[#This Row],[FME ID]],FME_Input[FME_ID],FME_Input[CRITFAC100])</f>
        <v>0</v>
      </c>
      <c r="S1583" s="230">
        <f>(FME_Ranking1[[#This Row],[Critical Facilities Raw]]/$R$2)*100</f>
        <v>0</v>
      </c>
      <c r="T1583" s="180">
        <f>FME_Ranking1[[#This Row],[Critical Facilities Score (Normalized, Unweighted)]]*$R$3</f>
        <v>0</v>
      </c>
      <c r="U1583">
        <f>_xlfn.XLOOKUP(FME_Ranking1[[#This Row],[FME ID]],FME_Input[FME_ID],FME_Input[LWC])</f>
        <v>0</v>
      </c>
      <c r="V1583" s="178">
        <f>(FME_Ranking1[[#This Row],[LWC Raw]]/$U$2)*100</f>
        <v>0</v>
      </c>
      <c r="W1583" s="178">
        <f>FME_Ranking1[[#This Row],[LWC Score (Normalized, Unweighted)]]*$U$3</f>
        <v>0</v>
      </c>
      <c r="X1583" s="246">
        <f>_xlfn.XLOOKUP(FME_Ranking1[[#This Row],[FME ID]],FME_Input[FME_ID],FME_Input[ROADCLS])</f>
        <v>0</v>
      </c>
      <c r="Y1583" s="230">
        <f>(FME_Ranking1[[#This Row],[Closures Raw]]/$X$2)*100</f>
        <v>0</v>
      </c>
      <c r="Z1583" s="180">
        <f>FME_Ranking1[[#This Row],[Closures Score (Normalized, Unweighted)]]*$X$3</f>
        <v>0</v>
      </c>
      <c r="AA1583" s="253">
        <f>_xlfn.XLOOKUP(FME_Ranking1[[#This Row],[FME ID]],FME_Input[FME_ID],FME_Input[ROAD_MILES100])</f>
        <v>1.3894331455230711</v>
      </c>
      <c r="AB1583" s="178">
        <f>(FME_Ranking1[[#This Row],[Miles Raw]]/$AA$2)*100</f>
        <v>1.826855379828924E-2</v>
      </c>
      <c r="AC1583" s="178">
        <f>FME_Ranking1[[#This Row],[Miles Score (Normalized, Unweighted)]]*$AA$3</f>
        <v>1.826855379828924E-3</v>
      </c>
      <c r="AD1583" s="255">
        <f>_xlfn.XLOOKUP(FME_Ranking1[[#This Row],[FME ID]],FME_Input[FME_ID],FME_Input[FARMACRE100])</f>
        <v>0</v>
      </c>
      <c r="AE1583" s="230">
        <f>(FME_Ranking1[[#This Row],[Ag Land Raw]]/$AD$2)*100</f>
        <v>0</v>
      </c>
      <c r="AF1583" s="231">
        <f>FME_Ranking1[[#This Row],[Ag Land Score (Normalized, Unweighted)]]*$AD$3</f>
        <v>0</v>
      </c>
      <c r="AG158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1.7323384318809615E-2</v>
      </c>
      <c r="AH1583" s="406">
        <f t="shared" si="24"/>
        <v>1608</v>
      </c>
      <c r="AI158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1.7323384318809615E-2</v>
      </c>
      <c r="AJ1583" s="257">
        <f>FME_Ranking1[[#This Row],[Addition check]]-FME_Ranking1[[#This Row],[Weighted Score Based on Normalized Reported Factors]]</f>
        <v>0</v>
      </c>
      <c r="AK1583" s="178">
        <f>_xlfn.RANK.EQ(AI1583,$AI$6:$AI$2341,0)+COUNTIF($AI$6:AI1583,AI1583)-1</f>
        <v>1608</v>
      </c>
    </row>
    <row r="1584" spans="1:37" x14ac:dyDescent="0.25">
      <c r="A1584" t="s">
        <v>10172</v>
      </c>
      <c r="B1584">
        <f>_xlfn.XLOOKUP(FME_Ranking1[[#This Row],[FME ID]],FME_Input[FME_ID],FME_Input[RFPG_NUM])</f>
        <v>13</v>
      </c>
      <c r="C1584" t="str">
        <f>_xlfn.XLOOKUP(FME_Ranking1[[#This Row],[FME ID]],FME_Input[FME_ID],FME_Input[FME_NAME])</f>
        <v>Realitos Drainage Improvements</v>
      </c>
      <c r="D1584" t="str">
        <f>_xlfn.XLOOKUP(FME_Ranking1[[#This Row],[FME ID]],FME_Input[FME_ID],FME_Input[DESCR])</f>
        <v xml:space="preserve">Improvements to surface and subsurface infrastructure of Realitos Drainage System </v>
      </c>
      <c r="E1584" s="256">
        <f>_xlfn.XLOOKUP(FME_Ranking1[[#This Row],[FME ID]],FME_Input[FME_ID],FME_Input[FME_COST])</f>
        <v>150000</v>
      </c>
      <c r="F1584" t="str">
        <f>_xlfn.XLOOKUP(FME_Ranking1[[#This Row],[FME ID]],FME_Input[FME_ID],FME_Input[EMER_NEED])</f>
        <v>Yes</v>
      </c>
      <c r="G1584">
        <f>IF(FME_Ranking!F1584="Yes",100,0)</f>
        <v>100</v>
      </c>
      <c r="H1584">
        <f>FME_Ranking1[[#This Row],[Emergency Need Score (Normalized, Unweighted)]]*$F$3</f>
        <v>0</v>
      </c>
      <c r="I1584" s="246">
        <f>_xlfn.XLOOKUP(FME_Ranking1[[#This Row],[FME ID]],FME_Input[FME_ID],FME_Input[STRUCT_100])</f>
        <v>66</v>
      </c>
      <c r="J1584" s="178">
        <f>(FME_Ranking1[[#This Row],[Structures 100 Raw]]/I$2)*100</f>
        <v>3.5342500963886393E-2</v>
      </c>
      <c r="K1584" s="178">
        <f>FME_Ranking1[[#This Row],[Structures 100  Score (Normalized, Unweighted)]]*$I$3</f>
        <v>5.301375144582959E-3</v>
      </c>
      <c r="L1584" s="246">
        <f>_xlfn.XLOOKUP(FME_Ranking1[[#This Row],[FME ID]],FME_Input[FME_ID],FME_Input[RES_STRUCT100])</f>
        <v>27</v>
      </c>
      <c r="M1584" s="230">
        <f>(FME_Ranking1[[#This Row],[Res Structures Raw]]/L$2)*100</f>
        <v>1.9124250966837134E-2</v>
      </c>
      <c r="N1584" s="180">
        <f>FME_Ranking1[[#This Row],[Res Structures Score (Normalized, Unweighted)]]*$L$3</f>
        <v>1.9124250966837135E-3</v>
      </c>
      <c r="O1584" s="244">
        <f>_xlfn.XLOOKUP(FME_Ranking1[[#This Row],[FME ID]],FME_Input[FME_ID],FME_Input[POP100])</f>
        <v>93</v>
      </c>
      <c r="P1584" s="178">
        <f>(FME_Ranking1[[#This Row],[Pop Raw]]/$O$2)*100</f>
        <v>9.5209040149549853E-3</v>
      </c>
      <c r="Q1584" s="178">
        <f>FME_Ranking1[[#This Row],[Pop Score (Normalized, Unweighted)]]*$O$3</f>
        <v>1.4281356022432478E-3</v>
      </c>
      <c r="R1584" s="137">
        <f>_xlfn.XLOOKUP(FME_Ranking1[[#This Row],[FME ID]],FME_Input[FME_ID],FME_Input[CRITFAC100])</f>
        <v>0</v>
      </c>
      <c r="S1584" s="230">
        <f>(FME_Ranking1[[#This Row],[Critical Facilities Raw]]/$R$2)*100</f>
        <v>0</v>
      </c>
      <c r="T1584" s="180">
        <f>FME_Ranking1[[#This Row],[Critical Facilities Score (Normalized, Unweighted)]]*$R$3</f>
        <v>0</v>
      </c>
      <c r="U1584">
        <f>_xlfn.XLOOKUP(FME_Ranking1[[#This Row],[FME ID]],FME_Input[FME_ID],FME_Input[LWC])</f>
        <v>0</v>
      </c>
      <c r="V1584" s="178">
        <f>(FME_Ranking1[[#This Row],[LWC Raw]]/$U$2)*100</f>
        <v>0</v>
      </c>
      <c r="W1584" s="178">
        <f>FME_Ranking1[[#This Row],[LWC Score (Normalized, Unweighted)]]*$U$3</f>
        <v>0</v>
      </c>
      <c r="X1584" s="246">
        <f>_xlfn.XLOOKUP(FME_Ranking1[[#This Row],[FME ID]],FME_Input[FME_ID],FME_Input[ROADCLS])</f>
        <v>13</v>
      </c>
      <c r="Y1584" s="230">
        <f>(FME_Ranking1[[#This Row],[Closures Raw]]/$X$2)*100</f>
        <v>0.13668383976448323</v>
      </c>
      <c r="Z1584" s="180">
        <f>FME_Ranking1[[#This Row],[Closures Score (Normalized, Unweighted)]]*$X$3</f>
        <v>6.8341919882241621E-3</v>
      </c>
      <c r="AA1584" s="253">
        <f>_xlfn.XLOOKUP(FME_Ranking1[[#This Row],[FME ID]],FME_Input[FME_ID],FME_Input[ROAD_MILES100])</f>
        <v>2.2502682209014888</v>
      </c>
      <c r="AB1584" s="178">
        <f>(FME_Ranking1[[#This Row],[Miles Raw]]/$AA$2)*100</f>
        <v>2.9586991059323959E-2</v>
      </c>
      <c r="AC1584" s="178">
        <f>FME_Ranking1[[#This Row],[Miles Score (Normalized, Unweighted)]]*$AA$3</f>
        <v>2.9586991059323961E-3</v>
      </c>
      <c r="AD1584" s="255">
        <f>_xlfn.XLOOKUP(FME_Ranking1[[#This Row],[FME ID]],FME_Input[FME_ID],FME_Input[FARMACRE100])</f>
        <v>2.2640714645385742</v>
      </c>
      <c r="AE1584" s="230">
        <f>(FME_Ranking1[[#This Row],[Ag Land Raw]]/$AD$2)*100</f>
        <v>9.3360172073306627E-5</v>
      </c>
      <c r="AF1584" s="231">
        <f>FME_Ranking1[[#This Row],[Ag Land Score (Normalized, Unweighted)]]*$AD$3</f>
        <v>4.6680086036653317E-6</v>
      </c>
      <c r="AG158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1.8439494946270143E-2</v>
      </c>
      <c r="AH1584" s="406">
        <f t="shared" si="24"/>
        <v>1597</v>
      </c>
      <c r="AI158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1.8439494946270143E-2</v>
      </c>
      <c r="AJ1584" s="257">
        <f>FME_Ranking1[[#This Row],[Addition check]]-FME_Ranking1[[#This Row],[Weighted Score Based on Normalized Reported Factors]]</f>
        <v>0</v>
      </c>
      <c r="AK1584" s="178">
        <f>_xlfn.RANK.EQ(AI1584,$AI$6:$AI$2341,0)+COUNTIF($AI$6:AI1584,AI1584)-1</f>
        <v>1597</v>
      </c>
    </row>
    <row r="1585" spans="1:37" x14ac:dyDescent="0.25">
      <c r="A1585" t="s">
        <v>732</v>
      </c>
      <c r="B1585">
        <f>_xlfn.XLOOKUP(FME_Ranking1[[#This Row],[FME ID]],FME_Input[FME_ID],FME_Input[RFPG_NUM])</f>
        <v>6</v>
      </c>
      <c r="C1585" t="str">
        <f>_xlfn.XLOOKUP(FME_Ranking1[[#This Row],[FME ID]],FME_Input[FME_ID],FME_Input[FME_NAME])</f>
        <v>Artesian Forest 1 - Artesian Creek Watershed</v>
      </c>
      <c r="D1585" t="str">
        <f>_xlfn.XLOOKUP(FME_Ranking1[[#This Row],[FME ID]],FME_Input[FME_ID],FME_Input[DESCR])</f>
        <v>Develop a benefits cost analysis in support of this project identied in the City of Conroe Master Drainage Plan.</v>
      </c>
      <c r="E1585" s="256">
        <f>_xlfn.XLOOKUP(FME_Ranking1[[#This Row],[FME ID]],FME_Input[FME_ID],FME_Input[FME_COST])</f>
        <v>30000</v>
      </c>
      <c r="F1585" t="str">
        <f>_xlfn.XLOOKUP(FME_Ranking1[[#This Row],[FME ID]],FME_Input[FME_ID],FME_Input[EMER_NEED])</f>
        <v>No</v>
      </c>
      <c r="G1585">
        <f>IF(FME_Ranking!F1585="Yes",100,0)</f>
        <v>0</v>
      </c>
      <c r="H1585">
        <f>FME_Ranking1[[#This Row],[Emergency Need Score (Normalized, Unweighted)]]*$F$3</f>
        <v>0</v>
      </c>
      <c r="I1585" s="246">
        <f>_xlfn.XLOOKUP(FME_Ranking1[[#This Row],[FME ID]],FME_Input[FME_ID],FME_Input[STRUCT_100])</f>
        <v>40</v>
      </c>
      <c r="J1585" s="178">
        <f>(FME_Ranking1[[#This Row],[Structures 100 Raw]]/I$2)*100</f>
        <v>2.1419697553870538E-2</v>
      </c>
      <c r="K1585" s="178">
        <f>FME_Ranking1[[#This Row],[Structures 100  Score (Normalized, Unweighted)]]*$I$3</f>
        <v>3.2129546330805807E-3</v>
      </c>
      <c r="L1585" s="246">
        <f>_xlfn.XLOOKUP(FME_Ranking1[[#This Row],[FME ID]],FME_Input[FME_ID],FME_Input[RES_STRUCT100])</f>
        <v>36</v>
      </c>
      <c r="M1585" s="230">
        <f>(FME_Ranking1[[#This Row],[Res Structures Raw]]/L$2)*100</f>
        <v>2.5499001289116176E-2</v>
      </c>
      <c r="N1585" s="180">
        <f>FME_Ranking1[[#This Row],[Res Structures Score (Normalized, Unweighted)]]*$L$3</f>
        <v>2.5499001289116178E-3</v>
      </c>
      <c r="O1585" s="244">
        <f>_xlfn.XLOOKUP(FME_Ranking1[[#This Row],[FME ID]],FME_Input[FME_ID],FME_Input[POP100])</f>
        <v>69</v>
      </c>
      <c r="P1585" s="178">
        <f>(FME_Ranking1[[#This Row],[Pop Raw]]/$O$2)*100</f>
        <v>7.0638965272246668E-3</v>
      </c>
      <c r="Q1585" s="178">
        <f>FME_Ranking1[[#This Row],[Pop Score (Normalized, Unweighted)]]*$O$3</f>
        <v>1.0595844790836999E-3</v>
      </c>
      <c r="R1585" s="137">
        <f>_xlfn.XLOOKUP(FME_Ranking1[[#This Row],[FME ID]],FME_Input[FME_ID],FME_Input[CRITFAC100])</f>
        <v>1</v>
      </c>
      <c r="S1585" s="230">
        <f>(FME_Ranking1[[#This Row],[Critical Facilities Raw]]/$R$2)*100</f>
        <v>4.2881646655231559E-2</v>
      </c>
      <c r="T1585" s="180">
        <f>FME_Ranking1[[#This Row],[Critical Facilities Score (Normalized, Unweighted)]]*$R$3</f>
        <v>8.5763293310463125E-3</v>
      </c>
      <c r="U1585">
        <f>_xlfn.XLOOKUP(FME_Ranking1[[#This Row],[FME ID]],FME_Input[FME_ID],FME_Input[LWC])</f>
        <v>0</v>
      </c>
      <c r="V1585" s="178">
        <f>(FME_Ranking1[[#This Row],[LWC Raw]]/$U$2)*100</f>
        <v>0</v>
      </c>
      <c r="W1585" s="178">
        <f>FME_Ranking1[[#This Row],[LWC Score (Normalized, Unweighted)]]*$U$3</f>
        <v>0</v>
      </c>
      <c r="X1585" s="246">
        <f>_xlfn.XLOOKUP(FME_Ranking1[[#This Row],[FME ID]],FME_Input[FME_ID],FME_Input[ROADCLS])</f>
        <v>0</v>
      </c>
      <c r="Y1585" s="230">
        <f>(FME_Ranking1[[#This Row],[Closures Raw]]/$X$2)*100</f>
        <v>0</v>
      </c>
      <c r="Z1585" s="180">
        <f>FME_Ranking1[[#This Row],[Closures Score (Normalized, Unweighted)]]*$X$3</f>
        <v>0</v>
      </c>
      <c r="AA1585" s="253">
        <f>_xlfn.XLOOKUP(FME_Ranking1[[#This Row],[FME ID]],FME_Input[FME_ID],FME_Input[ROAD_MILES100])</f>
        <v>0.89068692922592163</v>
      </c>
      <c r="AB1585" s="178">
        <f>(FME_Ranking1[[#This Row],[Miles Raw]]/$AA$2)*100</f>
        <v>1.1710935597315938E-2</v>
      </c>
      <c r="AC1585" s="178">
        <f>FME_Ranking1[[#This Row],[Miles Score (Normalized, Unweighted)]]*$AA$3</f>
        <v>1.171093559731594E-3</v>
      </c>
      <c r="AD1585" s="255">
        <f>_xlfn.XLOOKUP(FME_Ranking1[[#This Row],[FME ID]],FME_Input[FME_ID],FME_Input[FARMACRE100])</f>
        <v>6.5784134864807129</v>
      </c>
      <c r="AE1585" s="230">
        <f>(FME_Ranking1[[#This Row],[Ag Land Raw]]/$AD$2)*100</f>
        <v>2.7126432389022167E-4</v>
      </c>
      <c r="AF1585" s="231">
        <f>FME_Ranking1[[#This Row],[Ag Land Score (Normalized, Unweighted)]]*$AD$3</f>
        <v>1.3563216194511084E-5</v>
      </c>
      <c r="AG158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1.6583425348048315E-2</v>
      </c>
      <c r="AH1585" s="406">
        <f t="shared" si="24"/>
        <v>1619</v>
      </c>
      <c r="AI158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1.6583425348048315E-2</v>
      </c>
      <c r="AJ1585" s="257">
        <f>FME_Ranking1[[#This Row],[Addition check]]-FME_Ranking1[[#This Row],[Weighted Score Based on Normalized Reported Factors]]</f>
        <v>0</v>
      </c>
      <c r="AK1585" s="178">
        <f>_xlfn.RANK.EQ(AI1585,$AI$6:$AI$2341,0)+COUNTIF($AI$6:AI1585,AI1585)-1</f>
        <v>1619</v>
      </c>
    </row>
    <row r="1586" spans="1:37" x14ac:dyDescent="0.25">
      <c r="A1586" t="s">
        <v>737</v>
      </c>
      <c r="B1586">
        <f>_xlfn.XLOOKUP(FME_Ranking1[[#This Row],[FME ID]],FME_Input[FME_ID],FME_Input[RFPG_NUM])</f>
        <v>6</v>
      </c>
      <c r="C1586" t="str">
        <f>_xlfn.XLOOKUP(FME_Ranking1[[#This Row],[FME ID]],FME_Input[FME_ID],FME_Input[FME_NAME])</f>
        <v>Artesian Forest East - Artesian Creek Watershed</v>
      </c>
      <c r="D1586" t="str">
        <f>_xlfn.XLOOKUP(FME_Ranking1[[#This Row],[FME ID]],FME_Input[FME_ID],FME_Input[DESCR])</f>
        <v>Develop a benefits cost analysis in support of this project identied in the City of Conroe Master Drainage Plan.</v>
      </c>
      <c r="E1586" s="256">
        <f>_xlfn.XLOOKUP(FME_Ranking1[[#This Row],[FME ID]],FME_Input[FME_ID],FME_Input[FME_COST])</f>
        <v>30000</v>
      </c>
      <c r="F1586" t="str">
        <f>_xlfn.XLOOKUP(FME_Ranking1[[#This Row],[FME ID]],FME_Input[FME_ID],FME_Input[EMER_NEED])</f>
        <v>No</v>
      </c>
      <c r="G1586">
        <f>IF(FME_Ranking!F1586="Yes",100,0)</f>
        <v>0</v>
      </c>
      <c r="H1586">
        <f>FME_Ranking1[[#This Row],[Emergency Need Score (Normalized, Unweighted)]]*$F$3</f>
        <v>0</v>
      </c>
      <c r="I1586" s="246">
        <f>_xlfn.XLOOKUP(FME_Ranking1[[#This Row],[FME ID]],FME_Input[FME_ID],FME_Input[STRUCT_100])</f>
        <v>40</v>
      </c>
      <c r="J1586" s="178">
        <f>(FME_Ranking1[[#This Row],[Structures 100 Raw]]/I$2)*100</f>
        <v>2.1419697553870538E-2</v>
      </c>
      <c r="K1586" s="178">
        <f>FME_Ranking1[[#This Row],[Structures 100  Score (Normalized, Unweighted)]]*$I$3</f>
        <v>3.2129546330805807E-3</v>
      </c>
      <c r="L1586" s="246">
        <f>_xlfn.XLOOKUP(FME_Ranking1[[#This Row],[FME ID]],FME_Input[FME_ID],FME_Input[RES_STRUCT100])</f>
        <v>36</v>
      </c>
      <c r="M1586" s="230">
        <f>(FME_Ranking1[[#This Row],[Res Structures Raw]]/L$2)*100</f>
        <v>2.5499001289116176E-2</v>
      </c>
      <c r="N1586" s="180">
        <f>FME_Ranking1[[#This Row],[Res Structures Score (Normalized, Unweighted)]]*$L$3</f>
        <v>2.5499001289116178E-3</v>
      </c>
      <c r="O1586" s="244">
        <f>_xlfn.XLOOKUP(FME_Ranking1[[#This Row],[FME ID]],FME_Input[FME_ID],FME_Input[POP100])</f>
        <v>69</v>
      </c>
      <c r="P1586" s="178">
        <f>(FME_Ranking1[[#This Row],[Pop Raw]]/$O$2)*100</f>
        <v>7.0638965272246668E-3</v>
      </c>
      <c r="Q1586" s="178">
        <f>FME_Ranking1[[#This Row],[Pop Score (Normalized, Unweighted)]]*$O$3</f>
        <v>1.0595844790836999E-3</v>
      </c>
      <c r="R1586" s="137">
        <f>_xlfn.XLOOKUP(FME_Ranking1[[#This Row],[FME ID]],FME_Input[FME_ID],FME_Input[CRITFAC100])</f>
        <v>1</v>
      </c>
      <c r="S1586" s="230">
        <f>(FME_Ranking1[[#This Row],[Critical Facilities Raw]]/$R$2)*100</f>
        <v>4.2881646655231559E-2</v>
      </c>
      <c r="T1586" s="180">
        <f>FME_Ranking1[[#This Row],[Critical Facilities Score (Normalized, Unweighted)]]*$R$3</f>
        <v>8.5763293310463125E-3</v>
      </c>
      <c r="U1586">
        <f>_xlfn.XLOOKUP(FME_Ranking1[[#This Row],[FME ID]],FME_Input[FME_ID],FME_Input[LWC])</f>
        <v>0</v>
      </c>
      <c r="V1586" s="178">
        <f>(FME_Ranking1[[#This Row],[LWC Raw]]/$U$2)*100</f>
        <v>0</v>
      </c>
      <c r="W1586" s="178">
        <f>FME_Ranking1[[#This Row],[LWC Score (Normalized, Unweighted)]]*$U$3</f>
        <v>0</v>
      </c>
      <c r="X1586" s="246">
        <f>_xlfn.XLOOKUP(FME_Ranking1[[#This Row],[FME ID]],FME_Input[FME_ID],FME_Input[ROADCLS])</f>
        <v>0</v>
      </c>
      <c r="Y1586" s="230">
        <f>(FME_Ranking1[[#This Row],[Closures Raw]]/$X$2)*100</f>
        <v>0</v>
      </c>
      <c r="Z1586" s="180">
        <f>FME_Ranking1[[#This Row],[Closures Score (Normalized, Unweighted)]]*$X$3</f>
        <v>0</v>
      </c>
      <c r="AA1586" s="253">
        <f>_xlfn.XLOOKUP(FME_Ranking1[[#This Row],[FME ID]],FME_Input[FME_ID],FME_Input[ROAD_MILES100])</f>
        <v>0.89068692922592163</v>
      </c>
      <c r="AB1586" s="178">
        <f>(FME_Ranking1[[#This Row],[Miles Raw]]/$AA$2)*100</f>
        <v>1.1710935597315938E-2</v>
      </c>
      <c r="AC1586" s="178">
        <f>FME_Ranking1[[#This Row],[Miles Score (Normalized, Unweighted)]]*$AA$3</f>
        <v>1.171093559731594E-3</v>
      </c>
      <c r="AD1586" s="255">
        <f>_xlfn.XLOOKUP(FME_Ranking1[[#This Row],[FME ID]],FME_Input[FME_ID],FME_Input[FARMACRE100])</f>
        <v>6.5784134864807129</v>
      </c>
      <c r="AE1586" s="230">
        <f>(FME_Ranking1[[#This Row],[Ag Land Raw]]/$AD$2)*100</f>
        <v>2.7126432389022167E-4</v>
      </c>
      <c r="AF1586" s="231">
        <f>FME_Ranking1[[#This Row],[Ag Land Score (Normalized, Unweighted)]]*$AD$3</f>
        <v>1.3563216194511084E-5</v>
      </c>
      <c r="AG158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1.6583425348048315E-2</v>
      </c>
      <c r="AH1586" s="406">
        <f t="shared" si="24"/>
        <v>1619</v>
      </c>
      <c r="AI158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1.6583425348048315E-2</v>
      </c>
      <c r="AJ1586" s="257">
        <f>FME_Ranking1[[#This Row],[Addition check]]-FME_Ranking1[[#This Row],[Weighted Score Based on Normalized Reported Factors]]</f>
        <v>0</v>
      </c>
      <c r="AK1586" s="178">
        <f>_xlfn.RANK.EQ(AI1586,$AI$6:$AI$2341,0)+COUNTIF($AI$6:AI1586,AI1586)-1</f>
        <v>1620</v>
      </c>
    </row>
    <row r="1587" spans="1:37" x14ac:dyDescent="0.25">
      <c r="A1587" t="s">
        <v>4595</v>
      </c>
      <c r="B1587">
        <f>_xlfn.XLOOKUP(FME_Ranking1[[#This Row],[FME ID]],FME_Input[FME_ID],FME_Input[RFPG_NUM])</f>
        <v>3</v>
      </c>
      <c r="C1587" t="str">
        <f>_xlfn.XLOOKUP(FME_Ranking1[[#This Row],[FME ID]],FME_Input[FME_ID],FME_Input[FME_NAME])</f>
        <v>Old 35 Sover Sampson Creek Bridge Elevation</v>
      </c>
      <c r="D1587" t="str">
        <f>_xlfn.XLOOKUP(FME_Ranking1[[#This Row],[FME ID]],FME_Input[FME_ID],FME_Input[DESCR])</f>
        <v>Evaluate alternatives to elevate bridge on Old 35 Sover Sampson Creek</v>
      </c>
      <c r="E1587" s="256">
        <f>_xlfn.XLOOKUP(FME_Ranking1[[#This Row],[FME ID]],FME_Input[FME_ID],FME_Input[FME_COST])</f>
        <v>100000</v>
      </c>
      <c r="F1587" t="str">
        <f>_xlfn.XLOOKUP(FME_Ranking1[[#This Row],[FME ID]],FME_Input[FME_ID],FME_Input[EMER_NEED])</f>
        <v>No</v>
      </c>
      <c r="G1587">
        <f>IF(FME_Ranking!F1587="Yes",100,0)</f>
        <v>0</v>
      </c>
      <c r="H1587">
        <f>FME_Ranking1[[#This Row],[Emergency Need Score (Normalized, Unweighted)]]*$F$3</f>
        <v>0</v>
      </c>
      <c r="I1587" s="246">
        <f>_xlfn.XLOOKUP(FME_Ranking1[[#This Row],[FME ID]],FME_Input[FME_ID],FME_Input[STRUCT_100])</f>
        <v>46</v>
      </c>
      <c r="J1587" s="178">
        <f>(FME_Ranking1[[#This Row],[Structures 100 Raw]]/I$2)*100</f>
        <v>2.4632652186951119E-2</v>
      </c>
      <c r="K1587" s="178">
        <f>FME_Ranking1[[#This Row],[Structures 100  Score (Normalized, Unweighted)]]*$I$3</f>
        <v>3.6948978280426678E-3</v>
      </c>
      <c r="L1587" s="246">
        <f>_xlfn.XLOOKUP(FME_Ranking1[[#This Row],[FME ID]],FME_Input[FME_ID],FME_Input[RES_STRUCT100])</f>
        <v>37</v>
      </c>
      <c r="M1587" s="230">
        <f>(FME_Ranking1[[#This Row],[Res Structures Raw]]/L$2)*100</f>
        <v>2.6207306880480515E-2</v>
      </c>
      <c r="N1587" s="180">
        <f>FME_Ranking1[[#This Row],[Res Structures Score (Normalized, Unweighted)]]*$L$3</f>
        <v>2.6207306880480516E-3</v>
      </c>
      <c r="O1587" s="244">
        <f>_xlfn.XLOOKUP(FME_Ranking1[[#This Row],[FME ID]],FME_Input[FME_ID],FME_Input[POP100])</f>
        <v>27</v>
      </c>
      <c r="P1587" s="178">
        <f>(FME_Ranking1[[#This Row],[Pop Raw]]/$O$2)*100</f>
        <v>2.7641334236966088E-3</v>
      </c>
      <c r="Q1587" s="178">
        <f>FME_Ranking1[[#This Row],[Pop Score (Normalized, Unweighted)]]*$O$3</f>
        <v>4.1462001355449134E-4</v>
      </c>
      <c r="R1587" s="137">
        <f>_xlfn.XLOOKUP(FME_Ranking1[[#This Row],[FME ID]],FME_Input[FME_ID],FME_Input[CRITFAC100])</f>
        <v>1</v>
      </c>
      <c r="S1587" s="230">
        <f>(FME_Ranking1[[#This Row],[Critical Facilities Raw]]/$R$2)*100</f>
        <v>4.2881646655231559E-2</v>
      </c>
      <c r="T1587" s="180">
        <f>FME_Ranking1[[#This Row],[Critical Facilities Score (Normalized, Unweighted)]]*$R$3</f>
        <v>8.5763293310463125E-3</v>
      </c>
      <c r="U1587">
        <f>_xlfn.XLOOKUP(FME_Ranking1[[#This Row],[FME ID]],FME_Input[FME_ID],FME_Input[LWC])</f>
        <v>0</v>
      </c>
      <c r="V1587" s="178">
        <f>(FME_Ranking1[[#This Row],[LWC Raw]]/$U$2)*100</f>
        <v>0</v>
      </c>
      <c r="W1587" s="178">
        <f>FME_Ranking1[[#This Row],[LWC Score (Normalized, Unweighted)]]*$U$3</f>
        <v>0</v>
      </c>
      <c r="X1587" s="246">
        <f>_xlfn.XLOOKUP(FME_Ranking1[[#This Row],[FME ID]],FME_Input[FME_ID],FME_Input[ROADCLS])</f>
        <v>0</v>
      </c>
      <c r="Y1587" s="230">
        <f>(FME_Ranking1[[#This Row],[Closures Raw]]/$X$2)*100</f>
        <v>0</v>
      </c>
      <c r="Z1587" s="180">
        <f>FME_Ranking1[[#This Row],[Closures Score (Normalized, Unweighted)]]*$X$3</f>
        <v>0</v>
      </c>
      <c r="AA1587" s="253">
        <f>_xlfn.XLOOKUP(FME_Ranking1[[#This Row],[FME ID]],FME_Input[FME_ID],FME_Input[ROAD_MILES100])</f>
        <v>0.26962658762931818</v>
      </c>
      <c r="AB1587" s="178">
        <f>(FME_Ranking1[[#This Row],[Miles Raw]]/$AA$2)*100</f>
        <v>3.5451060293376006E-3</v>
      </c>
      <c r="AC1587" s="178">
        <f>FME_Ranking1[[#This Row],[Miles Score (Normalized, Unweighted)]]*$AA$3</f>
        <v>3.5451060293376009E-4</v>
      </c>
      <c r="AD1587" s="255">
        <f>_xlfn.XLOOKUP(FME_Ranking1[[#This Row],[FME ID]],FME_Input[FME_ID],FME_Input[FARMACRE100])</f>
        <v>28.67970085144043</v>
      </c>
      <c r="AE1587" s="230">
        <f>(FME_Ranking1[[#This Row],[Ag Land Raw]]/$AD$2)*100</f>
        <v>1.1826224783267297E-3</v>
      </c>
      <c r="AF1587" s="231">
        <f>FME_Ranking1[[#This Row],[Ag Land Score (Normalized, Unweighted)]]*$AD$3</f>
        <v>5.9131123916336488E-5</v>
      </c>
      <c r="AG158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1.572021958754162E-2</v>
      </c>
      <c r="AH1587" s="406">
        <f t="shared" si="24"/>
        <v>1626</v>
      </c>
      <c r="AI158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1.572021958754162E-2</v>
      </c>
      <c r="AJ1587" s="257">
        <f>FME_Ranking1[[#This Row],[Addition check]]-FME_Ranking1[[#This Row],[Weighted Score Based on Normalized Reported Factors]]</f>
        <v>0</v>
      </c>
      <c r="AK1587" s="178">
        <f>_xlfn.RANK.EQ(AI1587,$AI$6:$AI$2341,0)+COUNTIF($AI$6:AI1587,AI1587)-1</f>
        <v>1626</v>
      </c>
    </row>
    <row r="1588" spans="1:37" x14ac:dyDescent="0.25">
      <c r="A1588" t="s">
        <v>4602</v>
      </c>
      <c r="B1588">
        <f>_xlfn.XLOOKUP(FME_Ranking1[[#This Row],[FME ID]],FME_Input[FME_ID],FME_Input[RFPG_NUM])</f>
        <v>3</v>
      </c>
      <c r="C1588" t="str">
        <f>_xlfn.XLOOKUP(FME_Ranking1[[#This Row],[FME ID]],FME_Input[FME_ID],FME_Input[FME_NAME])</f>
        <v>Pennington Rd Culverts</v>
      </c>
      <c r="D1588" t="str">
        <f>_xlfn.XLOOKUP(FME_Ranking1[[#This Row],[FME ID]],FME_Input[FME_ID],FME_Input[DESCR])</f>
        <v>Evaluate alternatives to install multiple culverts under Pennington Rd</v>
      </c>
      <c r="E1588" s="256">
        <f>_xlfn.XLOOKUP(FME_Ranking1[[#This Row],[FME ID]],FME_Input[FME_ID],FME_Input[FME_COST])</f>
        <v>100000</v>
      </c>
      <c r="F1588" t="str">
        <f>_xlfn.XLOOKUP(FME_Ranking1[[#This Row],[FME ID]],FME_Input[FME_ID],FME_Input[EMER_NEED])</f>
        <v>No</v>
      </c>
      <c r="G1588">
        <f>IF(FME_Ranking!F1588="Yes",100,0)</f>
        <v>0</v>
      </c>
      <c r="H1588">
        <f>FME_Ranking1[[#This Row],[Emergency Need Score (Normalized, Unweighted)]]*$F$3</f>
        <v>0</v>
      </c>
      <c r="I1588" s="246">
        <f>_xlfn.XLOOKUP(FME_Ranking1[[#This Row],[FME ID]],FME_Input[FME_ID],FME_Input[STRUCT_100])</f>
        <v>46</v>
      </c>
      <c r="J1588" s="178">
        <f>(FME_Ranking1[[#This Row],[Structures 100 Raw]]/I$2)*100</f>
        <v>2.4632652186951119E-2</v>
      </c>
      <c r="K1588" s="178">
        <f>FME_Ranking1[[#This Row],[Structures 100  Score (Normalized, Unweighted)]]*$I$3</f>
        <v>3.6948978280426678E-3</v>
      </c>
      <c r="L1588" s="246">
        <f>_xlfn.XLOOKUP(FME_Ranking1[[#This Row],[FME ID]],FME_Input[FME_ID],FME_Input[RES_STRUCT100])</f>
        <v>37</v>
      </c>
      <c r="M1588" s="230">
        <f>(FME_Ranking1[[#This Row],[Res Structures Raw]]/L$2)*100</f>
        <v>2.6207306880480515E-2</v>
      </c>
      <c r="N1588" s="180">
        <f>FME_Ranking1[[#This Row],[Res Structures Score (Normalized, Unweighted)]]*$L$3</f>
        <v>2.6207306880480516E-3</v>
      </c>
      <c r="O1588" s="244">
        <f>_xlfn.XLOOKUP(FME_Ranking1[[#This Row],[FME ID]],FME_Input[FME_ID],FME_Input[POP100])</f>
        <v>27</v>
      </c>
      <c r="P1588" s="178">
        <f>(FME_Ranking1[[#This Row],[Pop Raw]]/$O$2)*100</f>
        <v>2.7641334236966088E-3</v>
      </c>
      <c r="Q1588" s="178">
        <f>FME_Ranking1[[#This Row],[Pop Score (Normalized, Unweighted)]]*$O$3</f>
        <v>4.1462001355449134E-4</v>
      </c>
      <c r="R1588" s="137">
        <f>_xlfn.XLOOKUP(FME_Ranking1[[#This Row],[FME ID]],FME_Input[FME_ID],FME_Input[CRITFAC100])</f>
        <v>1</v>
      </c>
      <c r="S1588" s="230">
        <f>(FME_Ranking1[[#This Row],[Critical Facilities Raw]]/$R$2)*100</f>
        <v>4.2881646655231559E-2</v>
      </c>
      <c r="T1588" s="180">
        <f>FME_Ranking1[[#This Row],[Critical Facilities Score (Normalized, Unweighted)]]*$R$3</f>
        <v>8.5763293310463125E-3</v>
      </c>
      <c r="U1588">
        <f>_xlfn.XLOOKUP(FME_Ranking1[[#This Row],[FME ID]],FME_Input[FME_ID],FME_Input[LWC])</f>
        <v>0</v>
      </c>
      <c r="V1588" s="178">
        <f>(FME_Ranking1[[#This Row],[LWC Raw]]/$U$2)*100</f>
        <v>0</v>
      </c>
      <c r="W1588" s="178">
        <f>FME_Ranking1[[#This Row],[LWC Score (Normalized, Unweighted)]]*$U$3</f>
        <v>0</v>
      </c>
      <c r="X1588" s="246">
        <f>_xlfn.XLOOKUP(FME_Ranking1[[#This Row],[FME ID]],FME_Input[FME_ID],FME_Input[ROADCLS])</f>
        <v>0</v>
      </c>
      <c r="Y1588" s="230">
        <f>(FME_Ranking1[[#This Row],[Closures Raw]]/$X$2)*100</f>
        <v>0</v>
      </c>
      <c r="Z1588" s="180">
        <f>FME_Ranking1[[#This Row],[Closures Score (Normalized, Unweighted)]]*$X$3</f>
        <v>0</v>
      </c>
      <c r="AA1588" s="253">
        <f>_xlfn.XLOOKUP(FME_Ranking1[[#This Row],[FME ID]],FME_Input[FME_ID],FME_Input[ROAD_MILES100])</f>
        <v>0.26962658762931818</v>
      </c>
      <c r="AB1588" s="178">
        <f>(FME_Ranking1[[#This Row],[Miles Raw]]/$AA$2)*100</f>
        <v>3.5451060293376006E-3</v>
      </c>
      <c r="AC1588" s="178">
        <f>FME_Ranking1[[#This Row],[Miles Score (Normalized, Unweighted)]]*$AA$3</f>
        <v>3.5451060293376009E-4</v>
      </c>
      <c r="AD1588" s="255">
        <f>_xlfn.XLOOKUP(FME_Ranking1[[#This Row],[FME ID]],FME_Input[FME_ID],FME_Input[FARMACRE100])</f>
        <v>28.67970085144043</v>
      </c>
      <c r="AE1588" s="230">
        <f>(FME_Ranking1[[#This Row],[Ag Land Raw]]/$AD$2)*100</f>
        <v>1.1826224783267297E-3</v>
      </c>
      <c r="AF1588" s="231">
        <f>FME_Ranking1[[#This Row],[Ag Land Score (Normalized, Unweighted)]]*$AD$3</f>
        <v>5.9131123916336488E-5</v>
      </c>
      <c r="AG158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1.572021958754162E-2</v>
      </c>
      <c r="AH1588" s="406">
        <f t="shared" si="24"/>
        <v>1626</v>
      </c>
      <c r="AI158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1.572021958754162E-2</v>
      </c>
      <c r="AJ1588" s="257">
        <f>FME_Ranking1[[#This Row],[Addition check]]-FME_Ranking1[[#This Row],[Weighted Score Based on Normalized Reported Factors]]</f>
        <v>0</v>
      </c>
      <c r="AK1588" s="178">
        <f>_xlfn.RANK.EQ(AI1588,$AI$6:$AI$2341,0)+COUNTIF($AI$6:AI1588,AI1588)-1</f>
        <v>1627</v>
      </c>
    </row>
    <row r="1589" spans="1:37" x14ac:dyDescent="0.25">
      <c r="A1589" t="s">
        <v>7725</v>
      </c>
      <c r="B1589">
        <f>_xlfn.XLOOKUP(FME_Ranking1[[#This Row],[FME ID]],FME_Input[FME_ID],FME_Input[RFPG_NUM])</f>
        <v>8</v>
      </c>
      <c r="C1589" t="str">
        <f>_xlfn.XLOOKUP(FME_Ranking1[[#This Row],[FME ID]],FME_Input[FME_ID],FME_Input[FME_NAME])</f>
        <v>Hwy 6 Crossing &amp; DS Channel Improvements</v>
      </c>
      <c r="D1589" t="str">
        <f>_xlfn.XLOOKUP(FME_Ranking1[[#This Row],[FME ID]],FME_Input[FME_ID],FME_Input[DESCR])</f>
        <v>Update design to account for Atlas 14 rainfall.</v>
      </c>
      <c r="E1589" s="256">
        <f>_xlfn.XLOOKUP(FME_Ranking1[[#This Row],[FME ID]],FME_Input[FME_ID],FME_Input[FME_COST])</f>
        <v>100000</v>
      </c>
      <c r="F1589" t="str">
        <f>_xlfn.XLOOKUP(FME_Ranking1[[#This Row],[FME ID]],FME_Input[FME_ID],FME_Input[EMER_NEED])</f>
        <v>No</v>
      </c>
      <c r="G1589">
        <f>IF(FME_Ranking!F1589="Yes",100,0)</f>
        <v>0</v>
      </c>
      <c r="H1589">
        <f>FME_Ranking1[[#This Row],[Emergency Need Score (Normalized, Unweighted)]]*$F$3</f>
        <v>0</v>
      </c>
      <c r="I1589" s="246">
        <f>_xlfn.XLOOKUP(FME_Ranking1[[#This Row],[FME ID]],FME_Input[FME_ID],FME_Input[STRUCT_100])</f>
        <v>26</v>
      </c>
      <c r="J1589" s="178">
        <f>(FME_Ranking1[[#This Row],[Structures 100 Raw]]/I$2)*100</f>
        <v>1.3922803410015852E-2</v>
      </c>
      <c r="K1589" s="178">
        <f>FME_Ranking1[[#This Row],[Structures 100  Score (Normalized, Unweighted)]]*$I$3</f>
        <v>2.0884205115023779E-3</v>
      </c>
      <c r="L1589" s="246">
        <f>_xlfn.XLOOKUP(FME_Ranking1[[#This Row],[FME ID]],FME_Input[FME_ID],FME_Input[RES_STRUCT100])</f>
        <v>26</v>
      </c>
      <c r="M1589" s="230">
        <f>(FME_Ranking1[[#This Row],[Res Structures Raw]]/L$2)*100</f>
        <v>1.8415945375472795E-2</v>
      </c>
      <c r="N1589" s="180">
        <f>FME_Ranking1[[#This Row],[Res Structures Score (Normalized, Unweighted)]]*$L$3</f>
        <v>1.8415945375472795E-3</v>
      </c>
      <c r="O1589" s="244">
        <f>_xlfn.XLOOKUP(FME_Ranking1[[#This Row],[FME ID]],FME_Input[FME_ID],FME_Input[POP100])</f>
        <v>104</v>
      </c>
      <c r="P1589" s="178">
        <f>(FME_Ranking1[[#This Row],[Pop Raw]]/$O$2)*100</f>
        <v>1.0647032446831382E-2</v>
      </c>
      <c r="Q1589" s="178">
        <f>FME_Ranking1[[#This Row],[Pop Score (Normalized, Unweighted)]]*$O$3</f>
        <v>1.5970548670247071E-3</v>
      </c>
      <c r="R1589" s="137">
        <f>_xlfn.XLOOKUP(FME_Ranking1[[#This Row],[FME ID]],FME_Input[FME_ID],FME_Input[CRITFAC100])</f>
        <v>1</v>
      </c>
      <c r="S1589" s="230">
        <f>(FME_Ranking1[[#This Row],[Critical Facilities Raw]]/$R$2)*100</f>
        <v>4.2881646655231559E-2</v>
      </c>
      <c r="T1589" s="180">
        <f>FME_Ranking1[[#This Row],[Critical Facilities Score (Normalized, Unweighted)]]*$R$3</f>
        <v>8.5763293310463125E-3</v>
      </c>
      <c r="U1589">
        <f>_xlfn.XLOOKUP(FME_Ranking1[[#This Row],[FME ID]],FME_Input[FME_ID],FME_Input[LWC])</f>
        <v>0</v>
      </c>
      <c r="V1589" s="178">
        <f>(FME_Ranking1[[#This Row],[LWC Raw]]/$U$2)*100</f>
        <v>0</v>
      </c>
      <c r="W1589" s="178">
        <f>FME_Ranking1[[#This Row],[LWC Score (Normalized, Unweighted)]]*$U$3</f>
        <v>0</v>
      </c>
      <c r="X1589" s="246">
        <f>_xlfn.XLOOKUP(FME_Ranking1[[#This Row],[FME ID]],FME_Input[FME_ID],FME_Input[ROADCLS])</f>
        <v>2</v>
      </c>
      <c r="Y1589" s="230">
        <f>(FME_Ranking1[[#This Row],[Closures Raw]]/$X$2)*100</f>
        <v>2.1028283040689728E-2</v>
      </c>
      <c r="Z1589" s="180">
        <f>FME_Ranking1[[#This Row],[Closures Score (Normalized, Unweighted)]]*$X$3</f>
        <v>1.0514141520344864E-3</v>
      </c>
      <c r="AA1589" s="253">
        <f>_xlfn.XLOOKUP(FME_Ranking1[[#This Row],[FME ID]],FME_Input[FME_ID],FME_Input[ROAD_MILES100])</f>
        <v>1.654309988021851</v>
      </c>
      <c r="AB1589" s="178">
        <f>(FME_Ranking1[[#This Row],[Miles Raw]]/$AA$2)*100</f>
        <v>2.1751209198228091E-2</v>
      </c>
      <c r="AC1589" s="178">
        <f>FME_Ranking1[[#This Row],[Miles Score (Normalized, Unweighted)]]*$AA$3</f>
        <v>2.1751209198228091E-3</v>
      </c>
      <c r="AD1589" s="255">
        <f>_xlfn.XLOOKUP(FME_Ranking1[[#This Row],[FME ID]],FME_Input[FME_ID],FME_Input[FARMACRE100])</f>
        <v>12.156399726867679</v>
      </c>
      <c r="AE1589" s="230">
        <f>(FME_Ranking1[[#This Row],[Ag Land Raw]]/$AD$2)*100</f>
        <v>5.0127550656779533E-4</v>
      </c>
      <c r="AF1589" s="231">
        <f>FME_Ranking1[[#This Row],[Ag Land Score (Normalized, Unweighted)]]*$AD$3</f>
        <v>2.5063775328389768E-5</v>
      </c>
      <c r="AG158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1.7354998094306365E-2</v>
      </c>
      <c r="AH1589" s="406">
        <f t="shared" si="24"/>
        <v>1607</v>
      </c>
      <c r="AI158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1.7354998094306365E-2</v>
      </c>
      <c r="AJ1589" s="257">
        <f>FME_Ranking1[[#This Row],[Addition check]]-FME_Ranking1[[#This Row],[Weighted Score Based on Normalized Reported Factors]]</f>
        <v>0</v>
      </c>
      <c r="AK1589" s="178">
        <f>_xlfn.RANK.EQ(AI1589,$AI$6:$AI$2341,0)+COUNTIF($AI$6:AI1589,AI1589)-1</f>
        <v>1607</v>
      </c>
    </row>
    <row r="1590" spans="1:37" x14ac:dyDescent="0.25">
      <c r="A1590" t="s">
        <v>1797</v>
      </c>
      <c r="B1590">
        <f>_xlfn.XLOOKUP(FME_Ranking1[[#This Row],[FME ID]],FME_Input[FME_ID],FME_Input[RFPG_NUM])</f>
        <v>6</v>
      </c>
      <c r="C1590" t="str">
        <f>_xlfn.XLOOKUP(FME_Ranking1[[#This Row],[FME ID]],FME_Input[FME_ID],FME_Input[FME_NAME])</f>
        <v>City of Tomball  Master Drainage Plan</v>
      </c>
      <c r="D1590" t="str">
        <f>_xlfn.XLOOKUP(FME_Ranking1[[#This Row],[FME ID]],FME_Input[FME_ID],FME_Input[DESCR])</f>
        <v>Study to develop Master Drainage Plan using future and existing land use and flood/storm water drainage needs including Atlas 14 rainfall.</v>
      </c>
      <c r="E1590" s="256">
        <f>_xlfn.XLOOKUP(FME_Ranking1[[#This Row],[FME ID]],FME_Input[FME_ID],FME_Input[FME_COST])</f>
        <v>350000</v>
      </c>
      <c r="F1590" t="str">
        <f>_xlfn.XLOOKUP(FME_Ranking1[[#This Row],[FME ID]],FME_Input[FME_ID],FME_Input[EMER_NEED])</f>
        <v>No</v>
      </c>
      <c r="G1590">
        <f>IF(FME_Ranking!F1590="Yes",100,0)</f>
        <v>0</v>
      </c>
      <c r="H1590">
        <f>FME_Ranking1[[#This Row],[Emergency Need Score (Normalized, Unweighted)]]*$F$3</f>
        <v>0</v>
      </c>
      <c r="I1590" s="246">
        <f>_xlfn.XLOOKUP(FME_Ranking1[[#This Row],[FME ID]],FME_Input[FME_ID],FME_Input[STRUCT_100])</f>
        <v>47</v>
      </c>
      <c r="J1590" s="178">
        <f>(FME_Ranking1[[#This Row],[Structures 100 Raw]]/I$2)*100</f>
        <v>2.5168144625797882E-2</v>
      </c>
      <c r="K1590" s="178">
        <f>FME_Ranking1[[#This Row],[Structures 100  Score (Normalized, Unweighted)]]*$I$3</f>
        <v>3.7752216938696822E-3</v>
      </c>
      <c r="L1590" s="246">
        <f>_xlfn.XLOOKUP(FME_Ranking1[[#This Row],[FME ID]],FME_Input[FME_ID],FME_Input[RES_STRUCT100])</f>
        <v>29</v>
      </c>
      <c r="M1590" s="230">
        <f>(FME_Ranking1[[#This Row],[Res Structures Raw]]/L$2)*100</f>
        <v>2.0540862149565808E-2</v>
      </c>
      <c r="N1590" s="180">
        <f>FME_Ranking1[[#This Row],[Res Structures Score (Normalized, Unweighted)]]*$L$3</f>
        <v>2.0540862149565809E-3</v>
      </c>
      <c r="O1590" s="244">
        <f>_xlfn.XLOOKUP(FME_Ranking1[[#This Row],[FME ID]],FME_Input[FME_ID],FME_Input[POP100])</f>
        <v>607</v>
      </c>
      <c r="P1590" s="178">
        <f>(FME_Ranking1[[#This Row],[Pop Raw]]/$O$2)*100</f>
        <v>6.2141814377179319E-2</v>
      </c>
      <c r="Q1590" s="178">
        <f>FME_Ranking1[[#This Row],[Pop Score (Normalized, Unweighted)]]*$O$3</f>
        <v>9.3212721565768975E-3</v>
      </c>
      <c r="R1590" s="137">
        <f>_xlfn.XLOOKUP(FME_Ranking1[[#This Row],[FME ID]],FME_Input[FME_ID],FME_Input[CRITFAC100])</f>
        <v>0</v>
      </c>
      <c r="S1590" s="230">
        <f>(FME_Ranking1[[#This Row],[Critical Facilities Raw]]/$R$2)*100</f>
        <v>0</v>
      </c>
      <c r="T1590" s="180">
        <f>FME_Ranking1[[#This Row],[Critical Facilities Score (Normalized, Unweighted)]]*$R$3</f>
        <v>0</v>
      </c>
      <c r="U1590">
        <f>_xlfn.XLOOKUP(FME_Ranking1[[#This Row],[FME ID]],FME_Input[FME_ID],FME_Input[LWC])</f>
        <v>0</v>
      </c>
      <c r="V1590" s="178">
        <f>(FME_Ranking1[[#This Row],[LWC Raw]]/$U$2)*100</f>
        <v>0</v>
      </c>
      <c r="W1590" s="178">
        <f>FME_Ranking1[[#This Row],[LWC Score (Normalized, Unweighted)]]*$U$3</f>
        <v>0</v>
      </c>
      <c r="X1590" s="246">
        <f>_xlfn.XLOOKUP(FME_Ranking1[[#This Row],[FME ID]],FME_Input[FME_ID],FME_Input[ROADCLS])</f>
        <v>0</v>
      </c>
      <c r="Y1590" s="230">
        <f>(FME_Ranking1[[#This Row],[Closures Raw]]/$X$2)*100</f>
        <v>0</v>
      </c>
      <c r="Z1590" s="180">
        <f>FME_Ranking1[[#This Row],[Closures Score (Normalized, Unweighted)]]*$X$3</f>
        <v>0</v>
      </c>
      <c r="AA1590" s="253">
        <f>_xlfn.XLOOKUP(FME_Ranking1[[#This Row],[FME ID]],FME_Input[FME_ID],FME_Input[ROAD_MILES100])</f>
        <v>3.7131321430206299</v>
      </c>
      <c r="AB1590" s="178">
        <f>(FME_Ranking1[[#This Row],[Miles Raw]]/$AA$2)*100</f>
        <v>4.8821027865570694E-2</v>
      </c>
      <c r="AC1590" s="178">
        <f>FME_Ranking1[[#This Row],[Miles Score (Normalized, Unweighted)]]*$AA$3</f>
        <v>4.8821027865570696E-3</v>
      </c>
      <c r="AD1590" s="255">
        <f>_xlfn.XLOOKUP(FME_Ranking1[[#This Row],[FME ID]],FME_Input[FME_ID],FME_Input[FARMACRE100])</f>
        <v>4.5960383415222168</v>
      </c>
      <c r="AE1590" s="230">
        <f>(FME_Ranking1[[#This Row],[Ag Land Raw]]/$AD$2)*100</f>
        <v>1.8952004702178356E-4</v>
      </c>
      <c r="AF1590" s="231">
        <f>FME_Ranking1[[#This Row],[Ag Land Score (Normalized, Unweighted)]]*$AD$3</f>
        <v>9.4760023510891792E-6</v>
      </c>
      <c r="AG159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2.004215885431132E-2</v>
      </c>
      <c r="AH1590" s="406">
        <f t="shared" si="24"/>
        <v>1579</v>
      </c>
      <c r="AI159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2.004215885431132E-2</v>
      </c>
      <c r="AJ1590" s="257">
        <f>FME_Ranking1[[#This Row],[Addition check]]-FME_Ranking1[[#This Row],[Weighted Score Based on Normalized Reported Factors]]</f>
        <v>0</v>
      </c>
      <c r="AK1590" s="178">
        <f>_xlfn.RANK.EQ(AI1590,$AI$6:$AI$2341,0)+COUNTIF($AI$6:AI1590,AI1590)-1</f>
        <v>1579</v>
      </c>
    </row>
    <row r="1591" spans="1:37" x14ac:dyDescent="0.25">
      <c r="A1591" t="s">
        <v>2047</v>
      </c>
      <c r="B1591">
        <f>_xlfn.XLOOKUP(FME_Ranking1[[#This Row],[FME ID]],FME_Input[FME_ID],FME_Input[RFPG_NUM])</f>
        <v>6</v>
      </c>
      <c r="C1591" t="str">
        <f>_xlfn.XLOOKUP(FME_Ranking1[[#This Row],[FME ID]],FME_Input[FME_ID],FME_Input[FME_NAME])</f>
        <v>City of Tomball Drainage Improvements</v>
      </c>
      <c r="D1591" t="str">
        <f>_xlfn.XLOOKUP(FME_Ranking1[[#This Row],[FME ID]],FME_Input[FME_ID],FME_Input[DESCR])</f>
        <v>Study to the the drainage project for the City of Tomball is comprised of building storm sewer systems and channel conveyance to enable flood waters to be removed from portions of the city bounded by Holderrieth Road, SH 249, UPRR, and FM 2920.</v>
      </c>
      <c r="E1591" s="256">
        <f>_xlfn.XLOOKUP(FME_Ranking1[[#This Row],[FME ID]],FME_Input[FME_ID],FME_Input[FME_COST])</f>
        <v>30000</v>
      </c>
      <c r="F1591" t="str">
        <f>_xlfn.XLOOKUP(FME_Ranking1[[#This Row],[FME ID]],FME_Input[FME_ID],FME_Input[EMER_NEED])</f>
        <v>No</v>
      </c>
      <c r="G1591">
        <f>IF(FME_Ranking!F1591="Yes",100,0)</f>
        <v>0</v>
      </c>
      <c r="H1591">
        <f>FME_Ranking1[[#This Row],[Emergency Need Score (Normalized, Unweighted)]]*$F$3</f>
        <v>0</v>
      </c>
      <c r="I1591" s="246">
        <f>_xlfn.XLOOKUP(FME_Ranking1[[#This Row],[FME ID]],FME_Input[FME_ID],FME_Input[STRUCT_100])</f>
        <v>47</v>
      </c>
      <c r="J1591" s="178">
        <f>(FME_Ranking1[[#This Row],[Structures 100 Raw]]/I$2)*100</f>
        <v>2.5168144625797882E-2</v>
      </c>
      <c r="K1591" s="178">
        <f>FME_Ranking1[[#This Row],[Structures 100  Score (Normalized, Unweighted)]]*$I$3</f>
        <v>3.7752216938696822E-3</v>
      </c>
      <c r="L1591" s="246">
        <f>_xlfn.XLOOKUP(FME_Ranking1[[#This Row],[FME ID]],FME_Input[FME_ID],FME_Input[RES_STRUCT100])</f>
        <v>29</v>
      </c>
      <c r="M1591" s="230">
        <f>(FME_Ranking1[[#This Row],[Res Structures Raw]]/L$2)*100</f>
        <v>2.0540862149565808E-2</v>
      </c>
      <c r="N1591" s="180">
        <f>FME_Ranking1[[#This Row],[Res Structures Score (Normalized, Unweighted)]]*$L$3</f>
        <v>2.0540862149565809E-3</v>
      </c>
      <c r="O1591" s="244">
        <f>_xlfn.XLOOKUP(FME_Ranking1[[#This Row],[FME ID]],FME_Input[FME_ID],FME_Input[POP100])</f>
        <v>607</v>
      </c>
      <c r="P1591" s="178">
        <f>(FME_Ranking1[[#This Row],[Pop Raw]]/$O$2)*100</f>
        <v>6.2141814377179319E-2</v>
      </c>
      <c r="Q1591" s="178">
        <f>FME_Ranking1[[#This Row],[Pop Score (Normalized, Unweighted)]]*$O$3</f>
        <v>9.3212721565768975E-3</v>
      </c>
      <c r="R1591" s="137">
        <f>_xlfn.XLOOKUP(FME_Ranking1[[#This Row],[FME ID]],FME_Input[FME_ID],FME_Input[CRITFAC100])</f>
        <v>0</v>
      </c>
      <c r="S1591" s="230">
        <f>(FME_Ranking1[[#This Row],[Critical Facilities Raw]]/$R$2)*100</f>
        <v>0</v>
      </c>
      <c r="T1591" s="180">
        <f>FME_Ranking1[[#This Row],[Critical Facilities Score (Normalized, Unweighted)]]*$R$3</f>
        <v>0</v>
      </c>
      <c r="U1591">
        <f>_xlfn.XLOOKUP(FME_Ranking1[[#This Row],[FME ID]],FME_Input[FME_ID],FME_Input[LWC])</f>
        <v>0</v>
      </c>
      <c r="V1591" s="178">
        <f>(FME_Ranking1[[#This Row],[LWC Raw]]/$U$2)*100</f>
        <v>0</v>
      </c>
      <c r="W1591" s="178">
        <f>FME_Ranking1[[#This Row],[LWC Score (Normalized, Unweighted)]]*$U$3</f>
        <v>0</v>
      </c>
      <c r="X1591" s="246">
        <f>_xlfn.XLOOKUP(FME_Ranking1[[#This Row],[FME ID]],FME_Input[FME_ID],FME_Input[ROADCLS])</f>
        <v>0</v>
      </c>
      <c r="Y1591" s="230">
        <f>(FME_Ranking1[[#This Row],[Closures Raw]]/$X$2)*100</f>
        <v>0</v>
      </c>
      <c r="Z1591" s="180">
        <f>FME_Ranking1[[#This Row],[Closures Score (Normalized, Unweighted)]]*$X$3</f>
        <v>0</v>
      </c>
      <c r="AA1591" s="253">
        <f>_xlfn.XLOOKUP(FME_Ranking1[[#This Row],[FME ID]],FME_Input[FME_ID],FME_Input[ROAD_MILES100])</f>
        <v>3.7131321430206299</v>
      </c>
      <c r="AB1591" s="178">
        <f>(FME_Ranking1[[#This Row],[Miles Raw]]/$AA$2)*100</f>
        <v>4.8821027865570694E-2</v>
      </c>
      <c r="AC1591" s="178">
        <f>FME_Ranking1[[#This Row],[Miles Score (Normalized, Unweighted)]]*$AA$3</f>
        <v>4.8821027865570696E-3</v>
      </c>
      <c r="AD1591" s="255">
        <f>_xlfn.XLOOKUP(FME_Ranking1[[#This Row],[FME ID]],FME_Input[FME_ID],FME_Input[FARMACRE100])</f>
        <v>4.5960383415222168</v>
      </c>
      <c r="AE1591" s="230">
        <f>(FME_Ranking1[[#This Row],[Ag Land Raw]]/$AD$2)*100</f>
        <v>1.8952004702178356E-4</v>
      </c>
      <c r="AF1591" s="231">
        <f>FME_Ranking1[[#This Row],[Ag Land Score (Normalized, Unweighted)]]*$AD$3</f>
        <v>9.4760023510891792E-6</v>
      </c>
      <c r="AG159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2.004215885431132E-2</v>
      </c>
      <c r="AH1591" s="406">
        <f t="shared" si="24"/>
        <v>1579</v>
      </c>
      <c r="AI159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2.004215885431132E-2</v>
      </c>
      <c r="AJ1591" s="257">
        <f>FME_Ranking1[[#This Row],[Addition check]]-FME_Ranking1[[#This Row],[Weighted Score Based on Normalized Reported Factors]]</f>
        <v>0</v>
      </c>
      <c r="AK1591" s="178">
        <f>_xlfn.RANK.EQ(AI1591,$AI$6:$AI$2341,0)+COUNTIF($AI$6:AI1591,AI1591)-1</f>
        <v>1580</v>
      </c>
    </row>
    <row r="1592" spans="1:37" x14ac:dyDescent="0.25">
      <c r="A1592" t="s">
        <v>9533</v>
      </c>
      <c r="B1592">
        <f>_xlfn.XLOOKUP(FME_Ranking1[[#This Row],[FME ID]],FME_Input[FME_ID],FME_Input[RFPG_NUM])</f>
        <v>12</v>
      </c>
      <c r="C1592" t="str">
        <f>_xlfn.XLOOKUP(FME_Ranking1[[#This Row],[FME ID]],FME_Input[FME_ID],FME_Input[FME_NAME])</f>
        <v>Damage Center 19- San Pedro Creek</v>
      </c>
      <c r="D1592" t="str">
        <f>_xlfn.XLOOKUP(FME_Ranking1[[#This Row],[FME ID]],FME_Input[FME_ID],FME_Input[DESCR])</f>
        <v>A lateral detention project is recommended to reduce the Camaron Street spill which will also provide some minor relief to the storm sewer surcharges at West Elmira Street, Cadwallader Street, Marshall Street, and Hill Street</v>
      </c>
      <c r="E1592" s="256">
        <f>_xlfn.XLOOKUP(FME_Ranking1[[#This Row],[FME ID]],FME_Input[FME_ID],FME_Input[FME_COST])</f>
        <v>11852902</v>
      </c>
      <c r="F1592" t="str">
        <f>_xlfn.XLOOKUP(FME_Ranking1[[#This Row],[FME ID]],FME_Input[FME_ID],FME_Input[EMER_NEED])</f>
        <v>No</v>
      </c>
      <c r="G1592">
        <f>IF(FME_Ranking!F1592="Yes",100,0)</f>
        <v>0</v>
      </c>
      <c r="H1592">
        <f>FME_Ranking1[[#This Row],[Emergency Need Score (Normalized, Unweighted)]]*$F$3</f>
        <v>0</v>
      </c>
      <c r="I1592" s="246">
        <f>_xlfn.XLOOKUP(FME_Ranking1[[#This Row],[FME ID]],FME_Input[FME_ID],FME_Input[STRUCT_100])</f>
        <v>33</v>
      </c>
      <c r="J1592" s="178">
        <f>(FME_Ranking1[[#This Row],[Structures 100 Raw]]/I$2)*100</f>
        <v>1.7671250481943197E-2</v>
      </c>
      <c r="K1592" s="178">
        <f>FME_Ranking1[[#This Row],[Structures 100  Score (Normalized, Unweighted)]]*$I$3</f>
        <v>2.6506875722914795E-3</v>
      </c>
      <c r="L1592" s="246">
        <f>_xlfn.XLOOKUP(FME_Ranking1[[#This Row],[FME ID]],FME_Input[FME_ID],FME_Input[RES_STRUCT100])</f>
        <v>13</v>
      </c>
      <c r="M1592" s="230">
        <f>(FME_Ranking1[[#This Row],[Res Structures Raw]]/L$2)*100</f>
        <v>9.2079726877363974E-3</v>
      </c>
      <c r="N1592" s="180">
        <f>FME_Ranking1[[#This Row],[Res Structures Score (Normalized, Unweighted)]]*$L$3</f>
        <v>9.2079726877363974E-4</v>
      </c>
      <c r="O1592" s="244">
        <f>_xlfn.XLOOKUP(FME_Ranking1[[#This Row],[FME ID]],FME_Input[FME_ID],FME_Input[POP100])</f>
        <v>275</v>
      </c>
      <c r="P1592" s="178">
        <f>(FME_Ranking1[[#This Row],[Pop Raw]]/$O$2)*100</f>
        <v>2.8153210796909901E-2</v>
      </c>
      <c r="Q1592" s="178">
        <f>FME_Ranking1[[#This Row],[Pop Score (Normalized, Unweighted)]]*$O$3</f>
        <v>4.2229816195364853E-3</v>
      </c>
      <c r="R1592" s="137">
        <f>_xlfn.XLOOKUP(FME_Ranking1[[#This Row],[FME ID]],FME_Input[FME_ID],FME_Input[CRITFAC100])</f>
        <v>0</v>
      </c>
      <c r="S1592" s="230">
        <f>(FME_Ranking1[[#This Row],[Critical Facilities Raw]]/$R$2)*100</f>
        <v>0</v>
      </c>
      <c r="T1592" s="180">
        <f>FME_Ranking1[[#This Row],[Critical Facilities Score (Normalized, Unweighted)]]*$R$3</f>
        <v>0</v>
      </c>
      <c r="U1592">
        <f>_xlfn.XLOOKUP(FME_Ranking1[[#This Row],[FME ID]],FME_Input[FME_ID],FME_Input[LWC])</f>
        <v>0</v>
      </c>
      <c r="V1592" s="178">
        <f>(FME_Ranking1[[#This Row],[LWC Raw]]/$U$2)*100</f>
        <v>0</v>
      </c>
      <c r="W1592" s="178">
        <f>FME_Ranking1[[#This Row],[LWC Score (Normalized, Unweighted)]]*$U$3</f>
        <v>0</v>
      </c>
      <c r="X1592" s="246">
        <f>_xlfn.XLOOKUP(FME_Ranking1[[#This Row],[FME ID]],FME_Input[FME_ID],FME_Input[ROADCLS])</f>
        <v>14</v>
      </c>
      <c r="Y1592" s="230">
        <f>(FME_Ranking1[[#This Row],[Closures Raw]]/$X$2)*100</f>
        <v>0.14719798128482808</v>
      </c>
      <c r="Z1592" s="180">
        <f>FME_Ranking1[[#This Row],[Closures Score (Normalized, Unweighted)]]*$X$3</f>
        <v>7.3598990642414043E-3</v>
      </c>
      <c r="AA1592" s="253">
        <f>_xlfn.XLOOKUP(FME_Ranking1[[#This Row],[FME ID]],FME_Input[FME_ID],FME_Input[ROAD_MILES100])</f>
        <v>1.419999957084656</v>
      </c>
      <c r="AB1592" s="178">
        <f>(FME_Ranking1[[#This Row],[Miles Raw]]/$AA$2)*100</f>
        <v>1.867045254617377E-2</v>
      </c>
      <c r="AC1592" s="178">
        <f>FME_Ranking1[[#This Row],[Miles Score (Normalized, Unweighted)]]*$AA$3</f>
        <v>1.867045254617377E-3</v>
      </c>
      <c r="AD1592" s="255">
        <f>_xlfn.XLOOKUP(FME_Ranking1[[#This Row],[FME ID]],FME_Input[FME_ID],FME_Input[FARMACRE100])</f>
        <v>0</v>
      </c>
      <c r="AE1592" s="230">
        <f>(FME_Ranking1[[#This Row],[Ag Land Raw]]/$AD$2)*100</f>
        <v>0</v>
      </c>
      <c r="AF1592" s="231">
        <f>FME_Ranking1[[#This Row],[Ag Land Score (Normalized, Unweighted)]]*$AD$3</f>
        <v>0</v>
      </c>
      <c r="AG159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1.7021410779460386E-2</v>
      </c>
      <c r="AH1592" s="406">
        <f t="shared" si="24"/>
        <v>1614</v>
      </c>
      <c r="AI159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1.7021410779460386E-2</v>
      </c>
      <c r="AJ1592" s="257">
        <f>FME_Ranking1[[#This Row],[Addition check]]-FME_Ranking1[[#This Row],[Weighted Score Based on Normalized Reported Factors]]</f>
        <v>0</v>
      </c>
      <c r="AK1592" s="178">
        <f>_xlfn.RANK.EQ(AI1592,$AI$6:$AI$2341,0)+COUNTIF($AI$6:AI1592,AI1592)-1</f>
        <v>1614</v>
      </c>
    </row>
    <row r="1593" spans="1:37" x14ac:dyDescent="0.25">
      <c r="A1593" t="s">
        <v>10784</v>
      </c>
      <c r="B1593">
        <f>_xlfn.XLOOKUP(FME_Ranking1[[#This Row],[FME ID]],FME_Input[FME_ID],FME_Input[RFPG_NUM])</f>
        <v>13</v>
      </c>
      <c r="C1593" t="str">
        <f>_xlfn.XLOOKUP(FME_Ranking1[[#This Row],[FME ID]],FME_Input[FME_ID],FME_Input[FME_NAME])</f>
        <v>Nueces Delta Preserve Project - Land Acquisition</v>
      </c>
      <c r="D1593" t="str">
        <f>_xlfn.XLOOKUP(FME_Ranking1[[#This Row],[FME ID]],FME_Input[FME_ID],FME_Input[DESCR])</f>
        <v>This master plan envisions that the delta land identified here will likely become part of the Nueces Delta Preserve via voluntary coordination with private landowners.</v>
      </c>
      <c r="E1593" s="256">
        <f>_xlfn.XLOOKUP(FME_Ranking1[[#This Row],[FME ID]],FME_Input[FME_ID],FME_Input[FME_COST])</f>
        <v>1635000</v>
      </c>
      <c r="F1593" t="str">
        <f>_xlfn.XLOOKUP(FME_Ranking1[[#This Row],[FME ID]],FME_Input[FME_ID],FME_Input[EMER_NEED])</f>
        <v>Yes</v>
      </c>
      <c r="G1593">
        <f>IF(FME_Ranking!F1593="Yes",100,0)</f>
        <v>100</v>
      </c>
      <c r="H1593">
        <f>FME_Ranking1[[#This Row],[Emergency Need Score (Normalized, Unweighted)]]*$F$3</f>
        <v>0</v>
      </c>
      <c r="I1593" s="246">
        <f>_xlfn.XLOOKUP(FME_Ranking1[[#This Row],[FME ID]],FME_Input[FME_ID],FME_Input[STRUCT_100])</f>
        <v>58</v>
      </c>
      <c r="J1593" s="178">
        <f>(FME_Ranking1[[#This Row],[Structures 100 Raw]]/I$2)*100</f>
        <v>3.1058561453112282E-2</v>
      </c>
      <c r="K1593" s="178">
        <f>FME_Ranking1[[#This Row],[Structures 100  Score (Normalized, Unweighted)]]*$I$3</f>
        <v>4.6587842179668425E-3</v>
      </c>
      <c r="L1593" s="246">
        <f>_xlfn.XLOOKUP(FME_Ranking1[[#This Row],[FME ID]],FME_Input[FME_ID],FME_Input[RES_STRUCT100])</f>
        <v>52</v>
      </c>
      <c r="M1593" s="230">
        <f>(FME_Ranking1[[#This Row],[Res Structures Raw]]/L$2)*100</f>
        <v>3.683189075094559E-2</v>
      </c>
      <c r="N1593" s="180">
        <f>FME_Ranking1[[#This Row],[Res Structures Score (Normalized, Unweighted)]]*$L$3</f>
        <v>3.683189075094559E-3</v>
      </c>
      <c r="O1593" s="244">
        <f>_xlfn.XLOOKUP(FME_Ranking1[[#This Row],[FME ID]],FME_Input[FME_ID],FME_Input[POP100])</f>
        <v>106</v>
      </c>
      <c r="P1593" s="178">
        <f>(FME_Ranking1[[#This Row],[Pop Raw]]/$O$2)*100</f>
        <v>1.0851783070808909E-2</v>
      </c>
      <c r="Q1593" s="178">
        <f>FME_Ranking1[[#This Row],[Pop Score (Normalized, Unweighted)]]*$O$3</f>
        <v>1.6277674606213364E-3</v>
      </c>
      <c r="R1593" s="137">
        <f>_xlfn.XLOOKUP(FME_Ranking1[[#This Row],[FME ID]],FME_Input[FME_ID],FME_Input[CRITFAC100])</f>
        <v>0</v>
      </c>
      <c r="S1593" s="230">
        <f>(FME_Ranking1[[#This Row],[Critical Facilities Raw]]/$R$2)*100</f>
        <v>0</v>
      </c>
      <c r="T1593" s="180">
        <f>FME_Ranking1[[#This Row],[Critical Facilities Score (Normalized, Unweighted)]]*$R$3</f>
        <v>0</v>
      </c>
      <c r="U1593">
        <f>_xlfn.XLOOKUP(FME_Ranking1[[#This Row],[FME ID]],FME_Input[FME_ID],FME_Input[LWC])</f>
        <v>0</v>
      </c>
      <c r="V1593" s="178">
        <f>(FME_Ranking1[[#This Row],[LWC Raw]]/$U$2)*100</f>
        <v>0</v>
      </c>
      <c r="W1593" s="178">
        <f>FME_Ranking1[[#This Row],[LWC Score (Normalized, Unweighted)]]*$U$3</f>
        <v>0</v>
      </c>
      <c r="X1593" s="246">
        <f>_xlfn.XLOOKUP(FME_Ranking1[[#This Row],[FME ID]],FME_Input[FME_ID],FME_Input[ROADCLS])</f>
        <v>9</v>
      </c>
      <c r="Y1593" s="230">
        <f>(FME_Ranking1[[#This Row],[Closures Raw]]/$X$2)*100</f>
        <v>9.462727368310378E-2</v>
      </c>
      <c r="Z1593" s="180">
        <f>FME_Ranking1[[#This Row],[Closures Score (Normalized, Unweighted)]]*$X$3</f>
        <v>4.7313636841551897E-3</v>
      </c>
      <c r="AA1593" s="253">
        <f>_xlfn.XLOOKUP(FME_Ranking1[[#This Row],[FME ID]],FME_Input[FME_ID],FME_Input[ROAD_MILES100])</f>
        <v>5.2231731414794922</v>
      </c>
      <c r="AB1593" s="178">
        <f>(FME_Ranking1[[#This Row],[Miles Raw]]/$AA$2)*100</f>
        <v>6.8675358609625967E-2</v>
      </c>
      <c r="AC1593" s="178">
        <f>FME_Ranking1[[#This Row],[Miles Score (Normalized, Unweighted)]]*$AA$3</f>
        <v>6.8675358609625974E-3</v>
      </c>
      <c r="AD1593" s="255">
        <f>_xlfn.XLOOKUP(FME_Ranking1[[#This Row],[FME ID]],FME_Input[FME_ID],FME_Input[FARMACRE100])</f>
        <v>200.81532287597659</v>
      </c>
      <c r="AE1593" s="230">
        <f>(FME_Ranking1[[#This Row],[Ag Land Raw]]/$AD$2)*100</f>
        <v>8.2807249648715227E-3</v>
      </c>
      <c r="AF1593" s="231">
        <f>FME_Ranking1[[#This Row],[Ag Land Score (Normalized, Unweighted)]]*$AD$3</f>
        <v>4.1403624824357614E-4</v>
      </c>
      <c r="AG159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2.1982676547044101E-2</v>
      </c>
      <c r="AH1593" s="406">
        <f t="shared" si="24"/>
        <v>1556</v>
      </c>
      <c r="AI159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2.1982676547044101E-2</v>
      </c>
      <c r="AJ1593" s="257">
        <f>FME_Ranking1[[#This Row],[Addition check]]-FME_Ranking1[[#This Row],[Weighted Score Based on Normalized Reported Factors]]</f>
        <v>0</v>
      </c>
      <c r="AK1593" s="178">
        <f>_xlfn.RANK.EQ(AI1593,$AI$6:$AI$2341,0)+COUNTIF($AI$6:AI1593,AI1593)-1</f>
        <v>1556</v>
      </c>
    </row>
    <row r="1594" spans="1:37" x14ac:dyDescent="0.25">
      <c r="A1594" t="s">
        <v>9877</v>
      </c>
      <c r="B1594">
        <f>_xlfn.XLOOKUP(FME_Ranking1[[#This Row],[FME ID]],FME_Input[FME_ID],FME_Input[RFPG_NUM])</f>
        <v>12</v>
      </c>
      <c r="C1594" t="str">
        <f>_xlfn.XLOOKUP(FME_Ranking1[[#This Row],[FME ID]],FME_Input[FME_ID],FME_Input[FME_NAME])</f>
        <v>Live Oak at Salitrillo Creek (CB-9)</v>
      </c>
      <c r="D1594" t="str">
        <f>_xlfn.XLOOKUP(FME_Ranking1[[#This Row],[FME ID]],FME_Input[FME_ID],FME_Input[DESCR])</f>
        <v>Engineering study to assess removal of residential structures from the Salitrillo Creek 100-Yr flood plain upstream of Martinez Creek Dam No. 5.</v>
      </c>
      <c r="E1594" s="256">
        <f>_xlfn.XLOOKUP(FME_Ranking1[[#This Row],[FME ID]],FME_Input[FME_ID],FME_Input[FME_COST])</f>
        <v>100000</v>
      </c>
      <c r="F1594" t="str">
        <f>_xlfn.XLOOKUP(FME_Ranking1[[#This Row],[FME ID]],FME_Input[FME_ID],FME_Input[EMER_NEED])</f>
        <v>Yes</v>
      </c>
      <c r="G1594">
        <f>IF(FME_Ranking!F1594="Yes",100,0)</f>
        <v>100</v>
      </c>
      <c r="H1594">
        <f>FME_Ranking1[[#This Row],[Emergency Need Score (Normalized, Unweighted)]]*$F$3</f>
        <v>0</v>
      </c>
      <c r="I1594" s="246">
        <f>_xlfn.XLOOKUP(FME_Ranking1[[#This Row],[FME ID]],FME_Input[FME_ID],FME_Input[STRUCT_100])</f>
        <v>40</v>
      </c>
      <c r="J1594" s="178">
        <f>(FME_Ranking1[[#This Row],[Structures 100 Raw]]/I$2)*100</f>
        <v>2.1419697553870538E-2</v>
      </c>
      <c r="K1594" s="178">
        <f>FME_Ranking1[[#This Row],[Structures 100  Score (Normalized, Unweighted)]]*$I$3</f>
        <v>3.2129546330805807E-3</v>
      </c>
      <c r="L1594" s="246">
        <f>_xlfn.XLOOKUP(FME_Ranking1[[#This Row],[FME ID]],FME_Input[FME_ID],FME_Input[RES_STRUCT100])</f>
        <v>36</v>
      </c>
      <c r="M1594" s="230">
        <f>(FME_Ranking1[[#This Row],[Res Structures Raw]]/L$2)*100</f>
        <v>2.5499001289116176E-2</v>
      </c>
      <c r="N1594" s="180">
        <f>FME_Ranking1[[#This Row],[Res Structures Score (Normalized, Unweighted)]]*$L$3</f>
        <v>2.5499001289116178E-3</v>
      </c>
      <c r="O1594" s="244">
        <f>_xlfn.XLOOKUP(FME_Ranking1[[#This Row],[FME ID]],FME_Input[FME_ID],FME_Input[POP100])</f>
        <v>94</v>
      </c>
      <c r="P1594" s="178">
        <f>(FME_Ranking1[[#This Row],[Pop Raw]]/$O$2)*100</f>
        <v>9.6232793269437501E-3</v>
      </c>
      <c r="Q1594" s="178">
        <f>FME_Ranking1[[#This Row],[Pop Score (Normalized, Unweighted)]]*$O$3</f>
        <v>1.4434918990415624E-3</v>
      </c>
      <c r="R1594" s="137">
        <f>_xlfn.XLOOKUP(FME_Ranking1[[#This Row],[FME ID]],FME_Input[FME_ID],FME_Input[CRITFAC100])</f>
        <v>0</v>
      </c>
      <c r="S1594" s="230">
        <f>(FME_Ranking1[[#This Row],[Critical Facilities Raw]]/$R$2)*100</f>
        <v>0</v>
      </c>
      <c r="T1594" s="180">
        <f>FME_Ranking1[[#This Row],[Critical Facilities Score (Normalized, Unweighted)]]*$R$3</f>
        <v>0</v>
      </c>
      <c r="U1594">
        <f>_xlfn.XLOOKUP(FME_Ranking1[[#This Row],[FME ID]],FME_Input[FME_ID],FME_Input[LWC])</f>
        <v>0</v>
      </c>
      <c r="V1594" s="178">
        <f>(FME_Ranking1[[#This Row],[LWC Raw]]/$U$2)*100</f>
        <v>0</v>
      </c>
      <c r="W1594" s="178">
        <f>FME_Ranking1[[#This Row],[LWC Score (Normalized, Unweighted)]]*$U$3</f>
        <v>0</v>
      </c>
      <c r="X1594" s="246">
        <f>_xlfn.XLOOKUP(FME_Ranking1[[#This Row],[FME ID]],FME_Input[FME_ID],FME_Input[ROADCLS])</f>
        <v>15</v>
      </c>
      <c r="Y1594" s="230">
        <f>(FME_Ranking1[[#This Row],[Closures Raw]]/$X$2)*100</f>
        <v>0.15771212280517297</v>
      </c>
      <c r="Z1594" s="180">
        <f>FME_Ranking1[[#This Row],[Closures Score (Normalized, Unweighted)]]*$X$3</f>
        <v>7.8856061402586483E-3</v>
      </c>
      <c r="AA1594" s="253">
        <f>_xlfn.XLOOKUP(FME_Ranking1[[#This Row],[FME ID]],FME_Input[FME_ID],FME_Input[ROAD_MILES100])</f>
        <v>0.87999999523162842</v>
      </c>
      <c r="AB1594" s="178">
        <f>(FME_Ranking1[[#This Row],[Miles Raw]]/$AA$2)*100</f>
        <v>1.1570421583206959E-2</v>
      </c>
      <c r="AC1594" s="178">
        <f>FME_Ranking1[[#This Row],[Miles Score (Normalized, Unweighted)]]*$AA$3</f>
        <v>1.157042158320696E-3</v>
      </c>
      <c r="AD1594" s="255">
        <f>_xlfn.XLOOKUP(FME_Ranking1[[#This Row],[FME ID]],FME_Input[FME_ID],FME_Input[FARMACRE100])</f>
        <v>1.7114599943161011</v>
      </c>
      <c r="AE1594" s="230">
        <f>(FME_Ranking1[[#This Row],[Ag Land Raw]]/$AD$2)*100</f>
        <v>7.0572948808617111E-5</v>
      </c>
      <c r="AF1594" s="231">
        <f>FME_Ranking1[[#This Row],[Ag Land Score (Normalized, Unweighted)]]*$AD$3</f>
        <v>3.5286474404308557E-6</v>
      </c>
      <c r="AG159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1.6252523607053537E-2</v>
      </c>
      <c r="AH1594" s="406">
        <f t="shared" si="24"/>
        <v>1623</v>
      </c>
      <c r="AI159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1.6252523607053537E-2</v>
      </c>
      <c r="AJ1594" s="257">
        <f>FME_Ranking1[[#This Row],[Addition check]]-FME_Ranking1[[#This Row],[Weighted Score Based on Normalized Reported Factors]]</f>
        <v>0</v>
      </c>
      <c r="AK1594" s="178">
        <f>_xlfn.RANK.EQ(AI1594,$AI$6:$AI$2341,0)+COUNTIF($AI$6:AI1594,AI1594)-1</f>
        <v>1623</v>
      </c>
    </row>
    <row r="1595" spans="1:37" x14ac:dyDescent="0.25">
      <c r="A1595" t="s">
        <v>1496</v>
      </c>
      <c r="B1595">
        <f>_xlfn.XLOOKUP(FME_Ranking1[[#This Row],[FME ID]],FME_Input[FME_ID],FME_Input[RFPG_NUM])</f>
        <v>6</v>
      </c>
      <c r="C1595" t="str">
        <f>_xlfn.XLOOKUP(FME_Ranking1[[#This Row],[FME ID]],FME_Input[FME_ID],FME_Input[FME_NAME])</f>
        <v>Buffalo Bayou - W158-00-00</v>
      </c>
      <c r="D1595" t="str">
        <f>_xlfn.XLOOKUP(FME_Ranking1[[#This Row],[FME ID]],FME_Input[FME_ID],FME_Input[DESCR])</f>
        <v>Further study of Flood Risk Reduction need identified through the HCFCD 'Watershed Planning Tool' to determine channel modifications needed to restore/improve channel conveyance including Atlas 14 rainfall.</v>
      </c>
      <c r="E1595" s="256">
        <f>_xlfn.XLOOKUP(FME_Ranking1[[#This Row],[FME ID]],FME_Input[FME_ID],FME_Input[FME_COST])</f>
        <v>100000</v>
      </c>
      <c r="F1595" t="str">
        <f>_xlfn.XLOOKUP(FME_Ranking1[[#This Row],[FME ID]],FME_Input[FME_ID],FME_Input[EMER_NEED])</f>
        <v>No</v>
      </c>
      <c r="G1595">
        <f>IF(FME_Ranking!F1595="Yes",100,0)</f>
        <v>0</v>
      </c>
      <c r="H1595">
        <f>FME_Ranking1[[#This Row],[Emergency Need Score (Normalized, Unweighted)]]*$F$3</f>
        <v>0</v>
      </c>
      <c r="I1595" s="246">
        <f>_xlfn.XLOOKUP(FME_Ranking1[[#This Row],[FME ID]],FME_Input[FME_ID],FME_Input[STRUCT_100])</f>
        <v>72</v>
      </c>
      <c r="J1595" s="178">
        <f>(FME_Ranking1[[#This Row],[Structures 100 Raw]]/I$2)*100</f>
        <v>3.8555455596966971E-2</v>
      </c>
      <c r="K1595" s="178">
        <f>FME_Ranking1[[#This Row],[Structures 100  Score (Normalized, Unweighted)]]*$I$3</f>
        <v>5.7833183395450457E-3</v>
      </c>
      <c r="L1595" s="246">
        <f>_xlfn.XLOOKUP(FME_Ranking1[[#This Row],[FME ID]],FME_Input[FME_ID],FME_Input[RES_STRUCT100])</f>
        <v>63</v>
      </c>
      <c r="M1595" s="230">
        <f>(FME_Ranking1[[#This Row],[Res Structures Raw]]/L$2)*100</f>
        <v>4.4623252255953309E-2</v>
      </c>
      <c r="N1595" s="180">
        <f>FME_Ranking1[[#This Row],[Res Structures Score (Normalized, Unweighted)]]*$L$3</f>
        <v>4.4623252255953311E-3</v>
      </c>
      <c r="O1595" s="244">
        <f>_xlfn.XLOOKUP(FME_Ranking1[[#This Row],[FME ID]],FME_Input[FME_ID],FME_Input[POP100])</f>
        <v>311</v>
      </c>
      <c r="P1595" s="178">
        <f>(FME_Ranking1[[#This Row],[Pop Raw]]/$O$2)*100</f>
        <v>3.1838722028505378E-2</v>
      </c>
      <c r="Q1595" s="178">
        <f>FME_Ranking1[[#This Row],[Pop Score (Normalized, Unweighted)]]*$O$3</f>
        <v>4.7758083042758063E-3</v>
      </c>
      <c r="R1595" s="137">
        <f>_xlfn.XLOOKUP(FME_Ranking1[[#This Row],[FME ID]],FME_Input[FME_ID],FME_Input[CRITFAC100])</f>
        <v>0</v>
      </c>
      <c r="S1595" s="230">
        <f>(FME_Ranking1[[#This Row],[Critical Facilities Raw]]/$R$2)*100</f>
        <v>0</v>
      </c>
      <c r="T1595" s="180">
        <f>FME_Ranking1[[#This Row],[Critical Facilities Score (Normalized, Unweighted)]]*$R$3</f>
        <v>0</v>
      </c>
      <c r="U1595">
        <f>_xlfn.XLOOKUP(FME_Ranking1[[#This Row],[FME ID]],FME_Input[FME_ID],FME_Input[LWC])</f>
        <v>0</v>
      </c>
      <c r="V1595" s="178">
        <f>(FME_Ranking1[[#This Row],[LWC Raw]]/$U$2)*100</f>
        <v>0</v>
      </c>
      <c r="W1595" s="178">
        <f>FME_Ranking1[[#This Row],[LWC Score (Normalized, Unweighted)]]*$U$3</f>
        <v>0</v>
      </c>
      <c r="X1595" s="246">
        <f>_xlfn.XLOOKUP(FME_Ranking1[[#This Row],[FME ID]],FME_Input[FME_ID],FME_Input[ROADCLS])</f>
        <v>0</v>
      </c>
      <c r="Y1595" s="230">
        <f>(FME_Ranking1[[#This Row],[Closures Raw]]/$X$2)*100</f>
        <v>0</v>
      </c>
      <c r="Z1595" s="180">
        <f>FME_Ranking1[[#This Row],[Closures Score (Normalized, Unweighted)]]*$X$3</f>
        <v>0</v>
      </c>
      <c r="AA1595" s="253">
        <f>_xlfn.XLOOKUP(FME_Ranking1[[#This Row],[FME ID]],FME_Input[FME_ID],FME_Input[ROAD_MILES100])</f>
        <v>0.98375749588012695</v>
      </c>
      <c r="AB1595" s="178">
        <f>(FME_Ranking1[[#This Row],[Miles Raw]]/$AA$2)*100</f>
        <v>1.2934646618920746E-2</v>
      </c>
      <c r="AC1595" s="178">
        <f>FME_Ranking1[[#This Row],[Miles Score (Normalized, Unweighted)]]*$AA$3</f>
        <v>1.2934646618920746E-3</v>
      </c>
      <c r="AD1595" s="255">
        <f>_xlfn.XLOOKUP(FME_Ranking1[[#This Row],[FME ID]],FME_Input[FME_ID],FME_Input[FARMACRE100])</f>
        <v>0.72411692142486572</v>
      </c>
      <c r="AE1595" s="230">
        <f>(FME_Ranking1[[#This Row],[Ag Land Raw]]/$AD$2)*100</f>
        <v>2.9859340327491113E-5</v>
      </c>
      <c r="AF1595" s="231">
        <f>FME_Ranking1[[#This Row],[Ag Land Score (Normalized, Unweighted)]]*$AD$3</f>
        <v>1.4929670163745558E-6</v>
      </c>
      <c r="AG159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1.6316409498324632E-2</v>
      </c>
      <c r="AH1595" s="406">
        <f t="shared" si="24"/>
        <v>1621</v>
      </c>
      <c r="AI159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1.6316409498324632E-2</v>
      </c>
      <c r="AJ1595" s="257">
        <f>FME_Ranking1[[#This Row],[Addition check]]-FME_Ranking1[[#This Row],[Weighted Score Based on Normalized Reported Factors]]</f>
        <v>0</v>
      </c>
      <c r="AK1595" s="178">
        <f>_xlfn.RANK.EQ(AI1595,$AI$6:$AI$2341,0)+COUNTIF($AI$6:AI1595,AI1595)-1</f>
        <v>1621</v>
      </c>
    </row>
    <row r="1596" spans="1:37" x14ac:dyDescent="0.25">
      <c r="A1596" t="s">
        <v>5105</v>
      </c>
      <c r="B1596">
        <f>_xlfn.XLOOKUP(FME_Ranking1[[#This Row],[FME ID]],FME_Input[FME_ID],FME_Input[RFPG_NUM])</f>
        <v>3</v>
      </c>
      <c r="C1596" t="str">
        <f>_xlfn.XLOOKUP(FME_Ranking1[[#This Row],[FME ID]],FME_Input[FME_ID],FME_Input[FME_NAME])</f>
        <v>Headwaters of South Fork Trinity River Tributaries Through Hudson Oaks</v>
      </c>
      <c r="D1596" t="str">
        <f>_xlfn.XLOOKUP(FME_Ranking1[[#This Row],[FME ID]],FME_Input[FME_ID],FME_Input[DESCR])</f>
        <v xml:space="preserve">Study to determine flooding issues and potential future projects. </v>
      </c>
      <c r="E1596" s="256">
        <f>_xlfn.XLOOKUP(FME_Ranking1[[#This Row],[FME ID]],FME_Input[FME_ID],FME_Input[FME_COST])</f>
        <v>164000</v>
      </c>
      <c r="F1596" t="str">
        <f>_xlfn.XLOOKUP(FME_Ranking1[[#This Row],[FME ID]],FME_Input[FME_ID],FME_Input[EMER_NEED])</f>
        <v>No</v>
      </c>
      <c r="G1596">
        <f>IF(FME_Ranking!F1596="Yes",100,0)</f>
        <v>0</v>
      </c>
      <c r="H1596">
        <f>FME_Ranking1[[#This Row],[Emergency Need Score (Normalized, Unweighted)]]*$F$3</f>
        <v>0</v>
      </c>
      <c r="I1596" s="246">
        <f>_xlfn.XLOOKUP(FME_Ranking1[[#This Row],[FME ID]],FME_Input[FME_ID],FME_Input[STRUCT_100])</f>
        <v>33</v>
      </c>
      <c r="J1596" s="178">
        <f>(FME_Ranking1[[#This Row],[Structures 100 Raw]]/I$2)*100</f>
        <v>1.7671250481943197E-2</v>
      </c>
      <c r="K1596" s="178">
        <f>FME_Ranking1[[#This Row],[Structures 100  Score (Normalized, Unweighted)]]*$I$3</f>
        <v>2.6506875722914795E-3</v>
      </c>
      <c r="L1596" s="246">
        <f>_xlfn.XLOOKUP(FME_Ranking1[[#This Row],[FME ID]],FME_Input[FME_ID],FME_Input[RES_STRUCT100])</f>
        <v>20</v>
      </c>
      <c r="M1596" s="230">
        <f>(FME_Ranking1[[#This Row],[Res Structures Raw]]/L$2)*100</f>
        <v>1.4166111827286764E-2</v>
      </c>
      <c r="N1596" s="180">
        <f>FME_Ranking1[[#This Row],[Res Structures Score (Normalized, Unweighted)]]*$L$3</f>
        <v>1.4166111827286765E-3</v>
      </c>
      <c r="O1596" s="244">
        <f>_xlfn.XLOOKUP(FME_Ranking1[[#This Row],[FME ID]],FME_Input[FME_ID],FME_Input[POP100])</f>
        <v>51</v>
      </c>
      <c r="P1596" s="178">
        <f>(FME_Ranking1[[#This Row],[Pop Raw]]/$O$2)*100</f>
        <v>5.2211409114269278E-3</v>
      </c>
      <c r="Q1596" s="178">
        <f>FME_Ranking1[[#This Row],[Pop Score (Normalized, Unweighted)]]*$O$3</f>
        <v>7.8317113671403911E-4</v>
      </c>
      <c r="R1596" s="137">
        <f>_xlfn.XLOOKUP(FME_Ranking1[[#This Row],[FME ID]],FME_Input[FME_ID],FME_Input[CRITFAC100])</f>
        <v>1</v>
      </c>
      <c r="S1596" s="230">
        <f>(FME_Ranking1[[#This Row],[Critical Facilities Raw]]/$R$2)*100</f>
        <v>4.2881646655231559E-2</v>
      </c>
      <c r="T1596" s="180">
        <f>FME_Ranking1[[#This Row],[Critical Facilities Score (Normalized, Unweighted)]]*$R$3</f>
        <v>8.5763293310463125E-3</v>
      </c>
      <c r="U1596">
        <f>_xlfn.XLOOKUP(FME_Ranking1[[#This Row],[FME ID]],FME_Input[FME_ID],FME_Input[LWC])</f>
        <v>0</v>
      </c>
      <c r="V1596" s="178">
        <f>(FME_Ranking1[[#This Row],[LWC Raw]]/$U$2)*100</f>
        <v>0</v>
      </c>
      <c r="W1596" s="178">
        <f>FME_Ranking1[[#This Row],[LWC Score (Normalized, Unweighted)]]*$U$3</f>
        <v>0</v>
      </c>
      <c r="X1596" s="246">
        <f>_xlfn.XLOOKUP(FME_Ranking1[[#This Row],[FME ID]],FME_Input[FME_ID],FME_Input[ROADCLS])</f>
        <v>0</v>
      </c>
      <c r="Y1596" s="230">
        <f>(FME_Ranking1[[#This Row],[Closures Raw]]/$X$2)*100</f>
        <v>0</v>
      </c>
      <c r="Z1596" s="180">
        <f>FME_Ranking1[[#This Row],[Closures Score (Normalized, Unweighted)]]*$X$3</f>
        <v>0</v>
      </c>
      <c r="AA1596" s="253">
        <f>_xlfn.XLOOKUP(FME_Ranking1[[#This Row],[FME ID]],FME_Input[FME_ID],FME_Input[ROAD_MILES100])</f>
        <v>0.62120872735977173</v>
      </c>
      <c r="AB1596" s="178">
        <f>(FME_Ranking1[[#This Row],[Miles Raw]]/$AA$2)*100</f>
        <v>8.1677805746216414E-3</v>
      </c>
      <c r="AC1596" s="178">
        <f>FME_Ranking1[[#This Row],[Miles Score (Normalized, Unweighted)]]*$AA$3</f>
        <v>8.1677805746216414E-4</v>
      </c>
      <c r="AD1596" s="255">
        <f>_xlfn.XLOOKUP(FME_Ranking1[[#This Row],[FME ID]],FME_Input[FME_ID],FME_Input[FARMACRE100])</f>
        <v>714.980224609375</v>
      </c>
      <c r="AE1596" s="230">
        <f>(FME_Ranking1[[#This Row],[Ag Land Raw]]/$AD$2)*100</f>
        <v>2.9482583851277281E-2</v>
      </c>
      <c r="AF1596" s="231">
        <f>FME_Ranking1[[#This Row],[Ag Land Score (Normalized, Unweighted)]]*$AD$3</f>
        <v>1.4741291925638642E-3</v>
      </c>
      <c r="AG159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1.5717706472806538E-2</v>
      </c>
      <c r="AH1596" s="406">
        <f t="shared" si="24"/>
        <v>1628</v>
      </c>
      <c r="AI159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1.5717706472806538E-2</v>
      </c>
      <c r="AJ1596" s="257">
        <f>FME_Ranking1[[#This Row],[Addition check]]-FME_Ranking1[[#This Row],[Weighted Score Based on Normalized Reported Factors]]</f>
        <v>0</v>
      </c>
      <c r="AK1596" s="178">
        <f>_xlfn.RANK.EQ(AI1596,$AI$6:$AI$2341,0)+COUNTIF($AI$6:AI1596,AI1596)-1</f>
        <v>1628</v>
      </c>
    </row>
    <row r="1597" spans="1:37" x14ac:dyDescent="0.25">
      <c r="A1597" t="s">
        <v>1546</v>
      </c>
      <c r="B1597">
        <f>_xlfn.XLOOKUP(FME_Ranking1[[#This Row],[FME ID]],FME_Input[FME_ID],FME_Input[RFPG_NUM])</f>
        <v>6</v>
      </c>
      <c r="C1597" t="str">
        <f>_xlfn.XLOOKUP(FME_Ranking1[[#This Row],[FME ID]],FME_Input[FME_ID],FME_Input[FME_NAME])</f>
        <v>City of Cut and Shoot  Master Drainage Plan</v>
      </c>
      <c r="D1597" t="str">
        <f>_xlfn.XLOOKUP(FME_Ranking1[[#This Row],[FME ID]],FME_Input[FME_ID],FME_Input[DESCR])</f>
        <v>Study to develop Master Drainage Plan using future and existing land use and flood/storm water drainage needs including Atlas 14 rainfall.</v>
      </c>
      <c r="E1597" s="256">
        <f>_xlfn.XLOOKUP(FME_Ranking1[[#This Row],[FME ID]],FME_Input[FME_ID],FME_Input[FME_COST])</f>
        <v>210000</v>
      </c>
      <c r="F1597" t="str">
        <f>_xlfn.XLOOKUP(FME_Ranking1[[#This Row],[FME ID]],FME_Input[FME_ID],FME_Input[EMER_NEED])</f>
        <v>No</v>
      </c>
      <c r="G1597">
        <f>IF(FME_Ranking!F1597="Yes",100,0)</f>
        <v>0</v>
      </c>
      <c r="H1597">
        <f>FME_Ranking1[[#This Row],[Emergency Need Score (Normalized, Unweighted)]]*$F$3</f>
        <v>0</v>
      </c>
      <c r="I1597" s="246">
        <f>_xlfn.XLOOKUP(FME_Ranking1[[#This Row],[FME ID]],FME_Input[FME_ID],FME_Input[STRUCT_100])</f>
        <v>90</v>
      </c>
      <c r="J1597" s="178">
        <f>(FME_Ranking1[[#This Row],[Structures 100 Raw]]/I$2)*100</f>
        <v>4.8194319496208712E-2</v>
      </c>
      <c r="K1597" s="178">
        <f>FME_Ranking1[[#This Row],[Structures 100  Score (Normalized, Unweighted)]]*$I$3</f>
        <v>7.2291479244313067E-3</v>
      </c>
      <c r="L1597" s="246">
        <f>_xlfn.XLOOKUP(FME_Ranking1[[#This Row],[FME ID]],FME_Input[FME_ID],FME_Input[RES_STRUCT100])</f>
        <v>52</v>
      </c>
      <c r="M1597" s="230">
        <f>(FME_Ranking1[[#This Row],[Res Structures Raw]]/L$2)*100</f>
        <v>3.683189075094559E-2</v>
      </c>
      <c r="N1597" s="180">
        <f>FME_Ranking1[[#This Row],[Res Structures Score (Normalized, Unweighted)]]*$L$3</f>
        <v>3.683189075094559E-3</v>
      </c>
      <c r="O1597" s="244">
        <f>_xlfn.XLOOKUP(FME_Ranking1[[#This Row],[FME ID]],FME_Input[FME_ID],FME_Input[POP100])</f>
        <v>258</v>
      </c>
      <c r="P1597" s="178">
        <f>(FME_Ranking1[[#This Row],[Pop Raw]]/$O$2)*100</f>
        <v>2.641283049310093E-2</v>
      </c>
      <c r="Q1597" s="178">
        <f>FME_Ranking1[[#This Row],[Pop Score (Normalized, Unweighted)]]*$O$3</f>
        <v>3.9619245739651397E-3</v>
      </c>
      <c r="R1597" s="137">
        <f>_xlfn.XLOOKUP(FME_Ranking1[[#This Row],[FME ID]],FME_Input[FME_ID],FME_Input[CRITFAC100])</f>
        <v>0</v>
      </c>
      <c r="S1597" s="230">
        <f>(FME_Ranking1[[#This Row],[Critical Facilities Raw]]/$R$2)*100</f>
        <v>0</v>
      </c>
      <c r="T1597" s="180">
        <f>FME_Ranking1[[#This Row],[Critical Facilities Score (Normalized, Unweighted)]]*$R$3</f>
        <v>0</v>
      </c>
      <c r="U1597">
        <f>_xlfn.XLOOKUP(FME_Ranking1[[#This Row],[FME ID]],FME_Input[FME_ID],FME_Input[LWC])</f>
        <v>0</v>
      </c>
      <c r="V1597" s="178">
        <f>(FME_Ranking1[[#This Row],[LWC Raw]]/$U$2)*100</f>
        <v>0</v>
      </c>
      <c r="W1597" s="178">
        <f>FME_Ranking1[[#This Row],[LWC Score (Normalized, Unweighted)]]*$U$3</f>
        <v>0</v>
      </c>
      <c r="X1597" s="246">
        <f>_xlfn.XLOOKUP(FME_Ranking1[[#This Row],[FME ID]],FME_Input[FME_ID],FME_Input[ROADCLS])</f>
        <v>0</v>
      </c>
      <c r="Y1597" s="230">
        <f>(FME_Ranking1[[#This Row],[Closures Raw]]/$X$2)*100</f>
        <v>0</v>
      </c>
      <c r="Z1597" s="180">
        <f>FME_Ranking1[[#This Row],[Closures Score (Normalized, Unweighted)]]*$X$3</f>
        <v>0</v>
      </c>
      <c r="AA1597" s="253">
        <f>_xlfn.XLOOKUP(FME_Ranking1[[#This Row],[FME ID]],FME_Input[FME_ID],FME_Input[ROAD_MILES100])</f>
        <v>1.70509397983551</v>
      </c>
      <c r="AB1597" s="178">
        <f>(FME_Ranking1[[#This Row],[Miles Raw]]/$AA$2)*100</f>
        <v>2.2418927605212292E-2</v>
      </c>
      <c r="AC1597" s="178">
        <f>FME_Ranking1[[#This Row],[Miles Score (Normalized, Unweighted)]]*$AA$3</f>
        <v>2.2418927605212294E-3</v>
      </c>
      <c r="AD1597" s="255">
        <f>_xlfn.XLOOKUP(FME_Ranking1[[#This Row],[FME ID]],FME_Input[FME_ID],FME_Input[FARMACRE100])</f>
        <v>2.870004415512085</v>
      </c>
      <c r="AE1597" s="230">
        <f>(FME_Ranking1[[#This Row],[Ag Land Raw]]/$AD$2)*100</f>
        <v>1.1834613451036362E-4</v>
      </c>
      <c r="AF1597" s="231">
        <f>FME_Ranking1[[#This Row],[Ag Land Score (Normalized, Unweighted)]]*$AD$3</f>
        <v>5.9173067255181815E-6</v>
      </c>
      <c r="AG159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1.7122071640737754E-2</v>
      </c>
      <c r="AH1597" s="406">
        <f t="shared" si="24"/>
        <v>1611</v>
      </c>
      <c r="AI159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1.7122071640737754E-2</v>
      </c>
      <c r="AJ1597" s="257">
        <f>FME_Ranking1[[#This Row],[Addition check]]-FME_Ranking1[[#This Row],[Weighted Score Based on Normalized Reported Factors]]</f>
        <v>0</v>
      </c>
      <c r="AK1597" s="178">
        <f>_xlfn.RANK.EQ(AI1597,$AI$6:$AI$2341,0)+COUNTIF($AI$6:AI1597,AI1597)-1</f>
        <v>1611</v>
      </c>
    </row>
    <row r="1598" spans="1:37" x14ac:dyDescent="0.25">
      <c r="A1598" t="s">
        <v>399</v>
      </c>
      <c r="B1598">
        <f>_xlfn.XLOOKUP(FME_Ranking1[[#This Row],[FME ID]],FME_Input[FME_ID],FME_Input[RFPG_NUM])</f>
        <v>10</v>
      </c>
      <c r="C1598" t="str">
        <f>_xlfn.XLOOKUP(FME_Ranking1[[#This Row],[FME ID]],FME_Input[FME_ID],FME_Input[FME_NAME])</f>
        <v>Devers Creek Regional Detention and Channel Improvements</v>
      </c>
      <c r="D1598" t="str">
        <f>_xlfn.XLOOKUP(FME_Ranking1[[#This Row],[FME ID]],FME_Input[FME_ID],FME_Input[DESCR])</f>
        <v xml:space="preserve">Coordinate with JCCWDD to develop region detention and channel widening improvements along Devers Creek. </v>
      </c>
      <c r="E1598" s="256">
        <f>_xlfn.XLOOKUP(FME_Ranking1[[#This Row],[FME ID]],FME_Input[FME_ID],FME_Input[FME_COST])</f>
        <v>250000</v>
      </c>
      <c r="F1598" t="str">
        <f>_xlfn.XLOOKUP(FME_Ranking1[[#This Row],[FME ID]],FME_Input[FME_ID],FME_Input[EMER_NEED])</f>
        <v>No</v>
      </c>
      <c r="G1598">
        <f>IF(FME_Ranking!F1598="Yes",100,0)</f>
        <v>0</v>
      </c>
      <c r="H1598">
        <f>FME_Ranking1[[#This Row],[Emergency Need Score (Normalized, Unweighted)]]*$F$3</f>
        <v>0</v>
      </c>
      <c r="I1598" s="246">
        <f>_xlfn.XLOOKUP(FME_Ranking1[[#This Row],[FME ID]],FME_Input[FME_ID],FME_Input[STRUCT_100])</f>
        <v>13</v>
      </c>
      <c r="J1598" s="178">
        <f>(FME_Ranking1[[#This Row],[Structures 100 Raw]]/I$2)*100</f>
        <v>6.961401705007926E-3</v>
      </c>
      <c r="K1598" s="178">
        <f>FME_Ranking1[[#This Row],[Structures 100  Score (Normalized, Unweighted)]]*$I$3</f>
        <v>1.0442102557511889E-3</v>
      </c>
      <c r="L1598" s="246">
        <f>_xlfn.XLOOKUP(FME_Ranking1[[#This Row],[FME ID]],FME_Input[FME_ID],FME_Input[RES_STRUCT100])</f>
        <v>6</v>
      </c>
      <c r="M1598" s="230">
        <f>(FME_Ranking1[[#This Row],[Res Structures Raw]]/L$2)*100</f>
        <v>4.2498335481860293E-3</v>
      </c>
      <c r="N1598" s="180">
        <f>FME_Ranking1[[#This Row],[Res Structures Score (Normalized, Unweighted)]]*$L$3</f>
        <v>4.2498335481860297E-4</v>
      </c>
      <c r="O1598" s="244">
        <f>_xlfn.XLOOKUP(FME_Ranking1[[#This Row],[FME ID]],FME_Input[FME_ID],FME_Input[POP100])</f>
        <v>64</v>
      </c>
      <c r="P1598" s="178">
        <f>(FME_Ranking1[[#This Row],[Pop Raw]]/$O$2)*100</f>
        <v>6.5520199672808501E-3</v>
      </c>
      <c r="Q1598" s="178">
        <f>FME_Ranking1[[#This Row],[Pop Score (Normalized, Unweighted)]]*$O$3</f>
        <v>9.8280299509212747E-4</v>
      </c>
      <c r="R1598" s="137">
        <f>_xlfn.XLOOKUP(FME_Ranking1[[#This Row],[FME ID]],FME_Input[FME_ID],FME_Input[CRITFAC100])</f>
        <v>0</v>
      </c>
      <c r="S1598" s="230">
        <f>(FME_Ranking1[[#This Row],[Critical Facilities Raw]]/$R$2)*100</f>
        <v>0</v>
      </c>
      <c r="T1598" s="180">
        <f>FME_Ranking1[[#This Row],[Critical Facilities Score (Normalized, Unweighted)]]*$R$3</f>
        <v>0</v>
      </c>
      <c r="U1598">
        <f>_xlfn.XLOOKUP(FME_Ranking1[[#This Row],[FME ID]],FME_Input[FME_ID],FME_Input[LWC])</f>
        <v>1</v>
      </c>
      <c r="V1598" s="178">
        <f>(FME_Ranking1[[#This Row],[LWC Raw]]/$U$2)*100</f>
        <v>5.7570523891767422E-2</v>
      </c>
      <c r="W1598" s="178">
        <f>FME_Ranking1[[#This Row],[LWC Score (Normalized, Unweighted)]]*$U$3</f>
        <v>1.1514104778353485E-2</v>
      </c>
      <c r="X1598" s="246">
        <f>_xlfn.XLOOKUP(FME_Ranking1[[#This Row],[FME ID]],FME_Input[FME_ID],FME_Input[ROADCLS])</f>
        <v>0</v>
      </c>
      <c r="Y1598" s="230">
        <f>(FME_Ranking1[[#This Row],[Closures Raw]]/$X$2)*100</f>
        <v>0</v>
      </c>
      <c r="Z1598" s="180">
        <f>FME_Ranking1[[#This Row],[Closures Score (Normalized, Unweighted)]]*$X$3</f>
        <v>0</v>
      </c>
      <c r="AA1598" s="253">
        <f>_xlfn.XLOOKUP(FME_Ranking1[[#This Row],[FME ID]],FME_Input[FME_ID],FME_Input[ROAD_MILES100])</f>
        <v>0.54722785949707031</v>
      </c>
      <c r="AB1598" s="178">
        <f>(FME_Ranking1[[#This Row],[Miles Raw]]/$AA$2)*100</f>
        <v>7.1950648531429445E-3</v>
      </c>
      <c r="AC1598" s="178">
        <f>FME_Ranking1[[#This Row],[Miles Score (Normalized, Unweighted)]]*$AA$3</f>
        <v>7.1950648531429447E-4</v>
      </c>
      <c r="AD1598" s="255">
        <f>_xlfn.XLOOKUP(FME_Ranking1[[#This Row],[FME ID]],FME_Input[FME_ID],FME_Input[FARMACRE100])</f>
        <v>398.61135864257813</v>
      </c>
      <c r="AE1598" s="230">
        <f>(FME_Ranking1[[#This Row],[Ag Land Raw]]/$AD$2)*100</f>
        <v>1.6436948045202304E-2</v>
      </c>
      <c r="AF1598" s="231">
        <f>FME_Ranking1[[#This Row],[Ag Land Score (Normalized, Unweighted)]]*$AD$3</f>
        <v>8.218474022601152E-4</v>
      </c>
      <c r="AG159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1.5507455271589813E-2</v>
      </c>
      <c r="AH1598" s="406">
        <f t="shared" si="24"/>
        <v>1629</v>
      </c>
      <c r="AI159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1.5507455271589813E-2</v>
      </c>
      <c r="AJ1598" s="257">
        <f>FME_Ranking1[[#This Row],[Addition check]]-FME_Ranking1[[#This Row],[Weighted Score Based on Normalized Reported Factors]]</f>
        <v>0</v>
      </c>
      <c r="AK1598" s="178">
        <f>_xlfn.RANK.EQ(AI1598,$AI$6:$AI$2341,0)+COUNTIF($AI$6:AI1598,AI1598)-1</f>
        <v>1629</v>
      </c>
    </row>
    <row r="1599" spans="1:37" x14ac:dyDescent="0.25">
      <c r="A1599" t="s">
        <v>7841</v>
      </c>
      <c r="B1599">
        <f>_xlfn.XLOOKUP(FME_Ranking1[[#This Row],[FME ID]],FME_Input[FME_ID],FME_Input[RFPG_NUM])</f>
        <v>9</v>
      </c>
      <c r="C1599" t="str">
        <f>_xlfn.XLOOKUP(FME_Ranking1[[#This Row],[FME ID]],FME_Input[FME_ID],FME_Input[FME_NAME])</f>
        <v>San Angelo Goodfellow Draw Low Water Crossing Improvements</v>
      </c>
      <c r="D1599" t="str">
        <f>_xlfn.XLOOKUP(FME_Ranking1[[#This Row],[FME ID]],FME_Input[FME_ID],FME_Input[DESCR])</f>
        <v>Proposed 10'x5' Box culverts beneath Era Street and Evelyn avenue and channel improvements in Goodfellow Draw to allow passage of the 25-year storm. In existing conditions, there are no culverts present (2 LWCs).</v>
      </c>
      <c r="E1599" s="256">
        <f>_xlfn.XLOOKUP(FME_Ranking1[[#This Row],[FME ID]],FME_Input[FME_ID],FME_Input[FME_COST])</f>
        <v>1813953.125</v>
      </c>
      <c r="F1599" t="str">
        <f>_xlfn.XLOOKUP(FME_Ranking1[[#This Row],[FME ID]],FME_Input[FME_ID],FME_Input[EMER_NEED])</f>
        <v>Yes</v>
      </c>
      <c r="G1599">
        <f>IF(FME_Ranking!F1599="Yes",100,0)</f>
        <v>100</v>
      </c>
      <c r="H1599">
        <f>FME_Ranking1[[#This Row],[Emergency Need Score (Normalized, Unweighted)]]*$F$3</f>
        <v>0</v>
      </c>
      <c r="I1599" s="246">
        <f>_xlfn.XLOOKUP(FME_Ranking1[[#This Row],[FME ID]],FME_Input[FME_ID],FME_Input[STRUCT_100])</f>
        <v>16</v>
      </c>
      <c r="J1599" s="178">
        <f>(FME_Ranking1[[#This Row],[Structures 100 Raw]]/I$2)*100</f>
        <v>8.5678790215482168E-3</v>
      </c>
      <c r="K1599" s="178">
        <f>FME_Ranking1[[#This Row],[Structures 100  Score (Normalized, Unweighted)]]*$I$3</f>
        <v>1.2851818532322325E-3</v>
      </c>
      <c r="L1599" s="246">
        <f>_xlfn.XLOOKUP(FME_Ranking1[[#This Row],[FME ID]],FME_Input[FME_ID],FME_Input[RES_STRUCT100])</f>
        <v>16</v>
      </c>
      <c r="M1599" s="230">
        <f>(FME_Ranking1[[#This Row],[Res Structures Raw]]/L$2)*100</f>
        <v>1.1332889461829412E-2</v>
      </c>
      <c r="N1599" s="180">
        <f>FME_Ranking1[[#This Row],[Res Structures Score (Normalized, Unweighted)]]*$L$3</f>
        <v>1.1332889461829413E-3</v>
      </c>
      <c r="O1599" s="244">
        <f>_xlfn.XLOOKUP(FME_Ranking1[[#This Row],[FME ID]],FME_Input[FME_ID],FME_Input[POP100])</f>
        <v>53</v>
      </c>
      <c r="P1599" s="178">
        <f>(FME_Ranking1[[#This Row],[Pop Raw]]/$O$2)*100</f>
        <v>5.4258915354044547E-3</v>
      </c>
      <c r="Q1599" s="178">
        <f>FME_Ranking1[[#This Row],[Pop Score (Normalized, Unweighted)]]*$O$3</f>
        <v>8.1388373031066822E-4</v>
      </c>
      <c r="R1599" s="137">
        <f>_xlfn.XLOOKUP(FME_Ranking1[[#This Row],[FME ID]],FME_Input[FME_ID],FME_Input[CRITFAC100])</f>
        <v>0</v>
      </c>
      <c r="S1599" s="230">
        <f>(FME_Ranking1[[#This Row],[Critical Facilities Raw]]/$R$2)*100</f>
        <v>0</v>
      </c>
      <c r="T1599" s="180">
        <f>FME_Ranking1[[#This Row],[Critical Facilities Score (Normalized, Unweighted)]]*$R$3</f>
        <v>0</v>
      </c>
      <c r="U1599">
        <f>_xlfn.XLOOKUP(FME_Ranking1[[#This Row],[FME ID]],FME_Input[FME_ID],FME_Input[LWC])</f>
        <v>1</v>
      </c>
      <c r="V1599" s="178">
        <f>(FME_Ranking1[[#This Row],[LWC Raw]]/$U$2)*100</f>
        <v>5.7570523891767422E-2</v>
      </c>
      <c r="W1599" s="178">
        <f>FME_Ranking1[[#This Row],[LWC Score (Normalized, Unweighted)]]*$U$3</f>
        <v>1.1514104778353485E-2</v>
      </c>
      <c r="X1599" s="246">
        <f>_xlfn.XLOOKUP(FME_Ranking1[[#This Row],[FME ID]],FME_Input[FME_ID],FME_Input[ROADCLS])</f>
        <v>0</v>
      </c>
      <c r="Y1599" s="230">
        <f>(FME_Ranking1[[#This Row],[Closures Raw]]/$X$2)*100</f>
        <v>0</v>
      </c>
      <c r="Z1599" s="180">
        <f>FME_Ranking1[[#This Row],[Closures Score (Normalized, Unweighted)]]*$X$3</f>
        <v>0</v>
      </c>
      <c r="AA1599" s="253">
        <f>_xlfn.XLOOKUP(FME_Ranking1[[#This Row],[FME ID]],FME_Input[FME_ID],FME_Input[ROAD_MILES100])</f>
        <v>0.16489860415458679</v>
      </c>
      <c r="AB1599" s="178">
        <f>(FME_Ranking1[[#This Row],[Miles Raw]]/$AA$2)*100</f>
        <v>2.1681208851015207E-3</v>
      </c>
      <c r="AC1599" s="178">
        <f>FME_Ranking1[[#This Row],[Miles Score (Normalized, Unweighted)]]*$AA$3</f>
        <v>2.1681208851015207E-4</v>
      </c>
      <c r="AD1599" s="255">
        <f>_xlfn.XLOOKUP(FME_Ranking1[[#This Row],[FME ID]],FME_Input[FME_ID],FME_Input[FARMACRE100])</f>
        <v>0</v>
      </c>
      <c r="AE1599" s="230">
        <f>(FME_Ranking1[[#This Row],[Ag Land Raw]]/$AD$2)*100</f>
        <v>0</v>
      </c>
      <c r="AF1599" s="231">
        <f>FME_Ranking1[[#This Row],[Ag Land Score (Normalized, Unweighted)]]*$AD$3</f>
        <v>0</v>
      </c>
      <c r="AG159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1.4963271396589478E-2</v>
      </c>
      <c r="AH1599" s="406">
        <f t="shared" si="24"/>
        <v>1635</v>
      </c>
      <c r="AI159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1.4963271396589478E-2</v>
      </c>
      <c r="AJ1599" s="257">
        <f>FME_Ranking1[[#This Row],[Addition check]]-FME_Ranking1[[#This Row],[Weighted Score Based on Normalized Reported Factors]]</f>
        <v>0</v>
      </c>
      <c r="AK1599" s="178">
        <f>_xlfn.RANK.EQ(AI1599,$AI$6:$AI$2341,0)+COUNTIF($AI$6:AI1599,AI1599)-1</f>
        <v>1635</v>
      </c>
    </row>
    <row r="1600" spans="1:37" x14ac:dyDescent="0.25">
      <c r="A1600" t="s">
        <v>4023</v>
      </c>
      <c r="B1600">
        <f>_xlfn.XLOOKUP(FME_Ranking1[[#This Row],[FME ID]],FME_Input[FME_ID],FME_Input[RFPG_NUM])</f>
        <v>3</v>
      </c>
      <c r="C1600" t="str">
        <f>_xlfn.XLOOKUP(FME_Ranking1[[#This Row],[FME ID]],FME_Input[FME_ID],FME_Input[FME_NAME])</f>
        <v xml:space="preserve">Young County FEMA Mapping </v>
      </c>
      <c r="D1600" t="str">
        <f>_xlfn.XLOOKUP(FME_Ranking1[[#This Row],[FME ID]],FME_Input[FME_ID],FME_Input[DESCR])</f>
        <v>Create FEMA mapping in previously unmapped areas and update existing FEMA maps as needed.</v>
      </c>
      <c r="E1600" s="256">
        <f>_xlfn.XLOOKUP(FME_Ranking1[[#This Row],[FME ID]],FME_Input[FME_ID],FME_Input[FME_COST])</f>
        <v>1407000</v>
      </c>
      <c r="F1600" t="str">
        <f>_xlfn.XLOOKUP(FME_Ranking1[[#This Row],[FME ID]],FME_Input[FME_ID],FME_Input[EMER_NEED])</f>
        <v>No</v>
      </c>
      <c r="G1600">
        <f>IF(FME_Ranking!F1600="Yes",100,0)</f>
        <v>0</v>
      </c>
      <c r="H1600">
        <f>FME_Ranking1[[#This Row],[Emergency Need Score (Normalized, Unweighted)]]*$F$3</f>
        <v>0</v>
      </c>
      <c r="I1600" s="246">
        <f>_xlfn.XLOOKUP(FME_Ranking1[[#This Row],[FME ID]],FME_Input[FME_ID],FME_Input[STRUCT_100])</f>
        <v>25</v>
      </c>
      <c r="J1600" s="178">
        <f>(FME_Ranking1[[#This Row],[Structures 100 Raw]]/I$2)*100</f>
        <v>1.3387310971169086E-2</v>
      </c>
      <c r="K1600" s="178">
        <f>FME_Ranking1[[#This Row],[Structures 100  Score (Normalized, Unweighted)]]*$I$3</f>
        <v>2.0080966456753626E-3</v>
      </c>
      <c r="L1600" s="246">
        <f>_xlfn.XLOOKUP(FME_Ranking1[[#This Row],[FME ID]],FME_Input[FME_ID],FME_Input[RES_STRUCT100])</f>
        <v>11</v>
      </c>
      <c r="M1600" s="230">
        <f>(FME_Ranking1[[#This Row],[Res Structures Raw]]/L$2)*100</f>
        <v>7.7913615050077207E-3</v>
      </c>
      <c r="N1600" s="180">
        <f>FME_Ranking1[[#This Row],[Res Structures Score (Normalized, Unweighted)]]*$L$3</f>
        <v>7.7913615050077215E-4</v>
      </c>
      <c r="O1600" s="244">
        <f>_xlfn.XLOOKUP(FME_Ranking1[[#This Row],[FME ID]],FME_Input[FME_ID],FME_Input[POP100])</f>
        <v>4</v>
      </c>
      <c r="P1600" s="178">
        <f>(FME_Ranking1[[#This Row],[Pop Raw]]/$O$2)*100</f>
        <v>4.0950124795505313E-4</v>
      </c>
      <c r="Q1600" s="178">
        <f>FME_Ranking1[[#This Row],[Pop Score (Normalized, Unweighted)]]*$O$3</f>
        <v>6.1425187193257967E-5</v>
      </c>
      <c r="R1600" s="137">
        <f>_xlfn.XLOOKUP(FME_Ranking1[[#This Row],[FME ID]],FME_Input[FME_ID],FME_Input[CRITFAC100])</f>
        <v>0</v>
      </c>
      <c r="S1600" s="230">
        <f>(FME_Ranking1[[#This Row],[Critical Facilities Raw]]/$R$2)*100</f>
        <v>0</v>
      </c>
      <c r="T1600" s="180">
        <f>FME_Ranking1[[#This Row],[Critical Facilities Score (Normalized, Unweighted)]]*$R$3</f>
        <v>0</v>
      </c>
      <c r="U1600">
        <f>_xlfn.XLOOKUP(FME_Ranking1[[#This Row],[FME ID]],FME_Input[FME_ID],FME_Input[LWC])</f>
        <v>0</v>
      </c>
      <c r="V1600" s="178">
        <f>(FME_Ranking1[[#This Row],[LWC Raw]]/$U$2)*100</f>
        <v>0</v>
      </c>
      <c r="W1600" s="178">
        <f>FME_Ranking1[[#This Row],[LWC Score (Normalized, Unweighted)]]*$U$3</f>
        <v>0</v>
      </c>
      <c r="X1600" s="246">
        <f>_xlfn.XLOOKUP(FME_Ranking1[[#This Row],[FME ID]],FME_Input[FME_ID],FME_Input[ROADCLS])</f>
        <v>0</v>
      </c>
      <c r="Y1600" s="230">
        <f>(FME_Ranking1[[#This Row],[Closures Raw]]/$X$2)*100</f>
        <v>0</v>
      </c>
      <c r="Z1600" s="180">
        <f>FME_Ranking1[[#This Row],[Closures Score (Normalized, Unweighted)]]*$X$3</f>
        <v>0</v>
      </c>
      <c r="AA1600" s="253">
        <f>_xlfn.XLOOKUP(FME_Ranking1[[#This Row],[FME ID]],FME_Input[FME_ID],FME_Input[ROAD_MILES100])</f>
        <v>6.805908203125</v>
      </c>
      <c r="AB1600" s="178">
        <f>(FME_Ranking1[[#This Row],[Miles Raw]]/$AA$2)*100</f>
        <v>8.9485485901662332E-2</v>
      </c>
      <c r="AC1600" s="178">
        <f>FME_Ranking1[[#This Row],[Miles Score (Normalized, Unweighted)]]*$AA$3</f>
        <v>8.9485485901662342E-3</v>
      </c>
      <c r="AD1600" s="255">
        <f>_xlfn.XLOOKUP(FME_Ranking1[[#This Row],[FME ID]],FME_Input[FME_ID],FME_Input[FARMACRE100])</f>
        <v>5757.373046875</v>
      </c>
      <c r="AE1600" s="230">
        <f>(FME_Ranking1[[#This Row],[Ag Land Raw]]/$AD$2)*100</f>
        <v>0.23740829155143914</v>
      </c>
      <c r="AF1600" s="231">
        <f>FME_Ranking1[[#This Row],[Ag Land Score (Normalized, Unweighted)]]*$AD$3</f>
        <v>1.1870414577571958E-2</v>
      </c>
      <c r="AG160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2.3667621151107585E-2</v>
      </c>
      <c r="AH1600" s="406">
        <f t="shared" si="24"/>
        <v>1536</v>
      </c>
      <c r="AI160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2.3667621151107585E-2</v>
      </c>
      <c r="AJ1600" s="257">
        <f>FME_Ranking1[[#This Row],[Addition check]]-FME_Ranking1[[#This Row],[Weighted Score Based on Normalized Reported Factors]]</f>
        <v>0</v>
      </c>
      <c r="AK1600" s="178">
        <f>_xlfn.RANK.EQ(AI1600,$AI$6:$AI$2341,0)+COUNTIF($AI$6:AI1600,AI1600)-1</f>
        <v>1536</v>
      </c>
    </row>
    <row r="1601" spans="1:37" x14ac:dyDescent="0.25">
      <c r="A1601" t="s">
        <v>7355</v>
      </c>
      <c r="B1601">
        <f>_xlfn.XLOOKUP(FME_Ranking1[[#This Row],[FME ID]],FME_Input[FME_ID],FME_Input[RFPG_NUM])</f>
        <v>7</v>
      </c>
      <c r="C1601" t="str">
        <f>_xlfn.XLOOKUP(FME_Ranking1[[#This Row],[FME ID]],FME_Input[FME_ID],FME_Input[FME_NAME])</f>
        <v>City of Abilene Little Elm Creek at S. 7th Street</v>
      </c>
      <c r="D1601" t="str">
        <f>_xlfn.XLOOKUP(FME_Ranking1[[#This Row],[FME ID]],FME_Input[FME_ID],FME_Input[DESCR])</f>
        <v>Channel improvements, enlargement of culvert under South 7th and overflow detention</v>
      </c>
      <c r="E1601" s="256">
        <f>_xlfn.XLOOKUP(FME_Ranking1[[#This Row],[FME ID]],FME_Input[FME_ID],FME_Input[FME_COST])</f>
        <v>553300</v>
      </c>
      <c r="F1601" t="str">
        <f>_xlfn.XLOOKUP(FME_Ranking1[[#This Row],[FME ID]],FME_Input[FME_ID],FME_Input[EMER_NEED])</f>
        <v>No</v>
      </c>
      <c r="G1601">
        <f>IF(FME_Ranking!F1601="Yes",100,0)</f>
        <v>0</v>
      </c>
      <c r="H1601">
        <f>FME_Ranking1[[#This Row],[Emergency Need Score (Normalized, Unweighted)]]*$F$3</f>
        <v>0</v>
      </c>
      <c r="I1601" s="246">
        <f>_xlfn.XLOOKUP(FME_Ranking1[[#This Row],[FME ID]],FME_Input[FME_ID],FME_Input[STRUCT_100])</f>
        <v>15</v>
      </c>
      <c r="J1601" s="178">
        <f>(FME_Ranking1[[#This Row],[Structures 100 Raw]]/I$2)*100</f>
        <v>8.0323865827014521E-3</v>
      </c>
      <c r="K1601" s="178">
        <f>FME_Ranking1[[#This Row],[Structures 100  Score (Normalized, Unweighted)]]*$I$3</f>
        <v>1.2048579874052179E-3</v>
      </c>
      <c r="L1601" s="246">
        <f>_xlfn.XLOOKUP(FME_Ranking1[[#This Row],[FME ID]],FME_Input[FME_ID],FME_Input[RES_STRUCT100])</f>
        <v>9</v>
      </c>
      <c r="M1601" s="230">
        <f>(FME_Ranking1[[#This Row],[Res Structures Raw]]/L$2)*100</f>
        <v>6.3747503222790439E-3</v>
      </c>
      <c r="N1601" s="180">
        <f>FME_Ranking1[[#This Row],[Res Structures Score (Normalized, Unweighted)]]*$L$3</f>
        <v>6.3747503222790446E-4</v>
      </c>
      <c r="O1601" s="244">
        <f>_xlfn.XLOOKUP(FME_Ranking1[[#This Row],[FME ID]],FME_Input[FME_ID],FME_Input[POP100])</f>
        <v>74</v>
      </c>
      <c r="P1601" s="178">
        <f>(FME_Ranking1[[#This Row],[Pop Raw]]/$O$2)*100</f>
        <v>7.5757730871684826E-3</v>
      </c>
      <c r="Q1601" s="178">
        <f>FME_Ranking1[[#This Row],[Pop Score (Normalized, Unweighted)]]*$O$3</f>
        <v>1.1363659630752724E-3</v>
      </c>
      <c r="R1601" s="137">
        <f>_xlfn.XLOOKUP(FME_Ranking1[[#This Row],[FME ID]],FME_Input[FME_ID],FME_Input[CRITFAC100])</f>
        <v>0</v>
      </c>
      <c r="S1601" s="230">
        <f>(FME_Ranking1[[#This Row],[Critical Facilities Raw]]/$R$2)*100</f>
        <v>0</v>
      </c>
      <c r="T1601" s="180">
        <f>FME_Ranking1[[#This Row],[Critical Facilities Score (Normalized, Unweighted)]]*$R$3</f>
        <v>0</v>
      </c>
      <c r="U1601">
        <f>_xlfn.XLOOKUP(FME_Ranking1[[#This Row],[FME ID]],FME_Input[FME_ID],FME_Input[LWC])</f>
        <v>1</v>
      </c>
      <c r="V1601" s="178">
        <f>(FME_Ranking1[[#This Row],[LWC Raw]]/$U$2)*100</f>
        <v>5.7570523891767422E-2</v>
      </c>
      <c r="W1601" s="178">
        <f>FME_Ranking1[[#This Row],[LWC Score (Normalized, Unweighted)]]*$U$3</f>
        <v>1.1514104778353485E-2</v>
      </c>
      <c r="X1601" s="246">
        <f>_xlfn.XLOOKUP(FME_Ranking1[[#This Row],[FME ID]],FME_Input[FME_ID],FME_Input[ROADCLS])</f>
        <v>0</v>
      </c>
      <c r="Y1601" s="230">
        <f>(FME_Ranking1[[#This Row],[Closures Raw]]/$X$2)*100</f>
        <v>0</v>
      </c>
      <c r="Z1601" s="180">
        <f>FME_Ranking1[[#This Row],[Closures Score (Normalized, Unweighted)]]*$X$3</f>
        <v>0</v>
      </c>
      <c r="AA1601" s="253">
        <f>_xlfn.XLOOKUP(FME_Ranking1[[#This Row],[FME ID]],FME_Input[FME_ID],FME_Input[ROAD_MILES100])</f>
        <v>0.93780338764190674</v>
      </c>
      <c r="AB1601" s="178">
        <f>(FME_Ranking1[[#This Row],[Miles Raw]]/$AA$2)*100</f>
        <v>1.2330432518150688E-2</v>
      </c>
      <c r="AC1601" s="178">
        <f>FME_Ranking1[[#This Row],[Miles Score (Normalized, Unweighted)]]*$AA$3</f>
        <v>1.2330432518150689E-3</v>
      </c>
      <c r="AD1601" s="255">
        <f>_xlfn.XLOOKUP(FME_Ranking1[[#This Row],[FME ID]],FME_Input[FME_ID],FME_Input[FARMACRE100])</f>
        <v>0</v>
      </c>
      <c r="AE1601" s="230">
        <f>(FME_Ranking1[[#This Row],[Ag Land Raw]]/$AD$2)*100</f>
        <v>0</v>
      </c>
      <c r="AF1601" s="231">
        <f>FME_Ranking1[[#This Row],[Ag Land Score (Normalized, Unweighted)]]*$AD$3</f>
        <v>0</v>
      </c>
      <c r="AG160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1.5725847012876947E-2</v>
      </c>
      <c r="AH1601" s="406">
        <f t="shared" si="24"/>
        <v>1625</v>
      </c>
      <c r="AI160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1.5725847012876947E-2</v>
      </c>
      <c r="AJ1601" s="257">
        <f>FME_Ranking1[[#This Row],[Addition check]]-FME_Ranking1[[#This Row],[Weighted Score Based on Normalized Reported Factors]]</f>
        <v>0</v>
      </c>
      <c r="AK1601" s="178">
        <f>_xlfn.RANK.EQ(AI1601,$AI$6:$AI$2341,0)+COUNTIF($AI$6:AI1601,AI1601)-1</f>
        <v>1625</v>
      </c>
    </row>
    <row r="1602" spans="1:37" x14ac:dyDescent="0.25">
      <c r="A1602" t="s">
        <v>8335</v>
      </c>
      <c r="B1602">
        <f>_xlfn.XLOOKUP(FME_Ranking1[[#This Row],[FME ID]],FME_Input[FME_ID],FME_Input[RFPG_NUM])</f>
        <v>9</v>
      </c>
      <c r="C1602" t="str">
        <f>_xlfn.XLOOKUP(FME_Ranking1[[#This Row],[FME ID]],FME_Input[FME_ID],FME_Input[FME_NAME])</f>
        <v>San Angelo Sulper Draw Park Drainage Improvements</v>
      </c>
      <c r="D1602" t="str">
        <f>_xlfn.XLOOKUP(FME_Ranking1[[#This Row],[FME ID]],FME_Input[FME_ID],FME_Input[DESCR])</f>
        <v>Low water crossing, street flooding. Monroe at Sulfur Draw Park. Excessive street flow, street flooding. Taylor St at Conchita St. Heavy street flow. Madison St. between Ave J to Algerita. Heavy street flow. Beauregard Ave (Campus to N Concho River)</v>
      </c>
      <c r="E1602" s="256">
        <f>_xlfn.XLOOKUP(FME_Ranking1[[#This Row],[FME ID]],FME_Input[FME_ID],FME_Input[FME_COST])</f>
        <v>532640</v>
      </c>
      <c r="F1602" t="str">
        <f>_xlfn.XLOOKUP(FME_Ranking1[[#This Row],[FME ID]],FME_Input[FME_ID],FME_Input[EMER_NEED])</f>
        <v>No</v>
      </c>
      <c r="G1602">
        <f>IF(FME_Ranking!F1602="Yes",100,0)</f>
        <v>0</v>
      </c>
      <c r="H1602">
        <f>FME_Ranking1[[#This Row],[Emergency Need Score (Normalized, Unweighted)]]*$F$3</f>
        <v>0</v>
      </c>
      <c r="I1602" s="246">
        <f>_xlfn.XLOOKUP(FME_Ranking1[[#This Row],[FME ID]],FME_Input[FME_ID],FME_Input[STRUCT_100])</f>
        <v>96</v>
      </c>
      <c r="J1602" s="178">
        <f>(FME_Ranking1[[#This Row],[Structures 100 Raw]]/I$2)*100</f>
        <v>5.140727412928929E-2</v>
      </c>
      <c r="K1602" s="178">
        <f>FME_Ranking1[[#This Row],[Structures 100  Score (Normalized, Unweighted)]]*$I$3</f>
        <v>7.7110911193933934E-3</v>
      </c>
      <c r="L1602" s="246">
        <f>_xlfn.XLOOKUP(FME_Ranking1[[#This Row],[FME ID]],FME_Input[FME_ID],FME_Input[RES_STRUCT100])</f>
        <v>94</v>
      </c>
      <c r="M1602" s="230">
        <f>(FME_Ranking1[[#This Row],[Res Structures Raw]]/L$2)*100</f>
        <v>6.6580725588247791E-2</v>
      </c>
      <c r="N1602" s="180">
        <f>FME_Ranking1[[#This Row],[Res Structures Score (Normalized, Unweighted)]]*$L$3</f>
        <v>6.6580725588247791E-3</v>
      </c>
      <c r="O1602" s="244">
        <f>_xlfn.XLOOKUP(FME_Ranking1[[#This Row],[FME ID]],FME_Input[FME_ID],FME_Input[POP100])</f>
        <v>0</v>
      </c>
      <c r="P1602" s="178">
        <f>(FME_Ranking1[[#This Row],[Pop Raw]]/$O$2)*100</f>
        <v>0</v>
      </c>
      <c r="Q1602" s="178">
        <f>FME_Ranking1[[#This Row],[Pop Score (Normalized, Unweighted)]]*$O$3</f>
        <v>0</v>
      </c>
      <c r="R1602" s="137">
        <f>_xlfn.XLOOKUP(FME_Ranking1[[#This Row],[FME ID]],FME_Input[FME_ID],FME_Input[CRITFAC100])</f>
        <v>0</v>
      </c>
      <c r="S1602" s="230">
        <f>(FME_Ranking1[[#This Row],[Critical Facilities Raw]]/$R$2)*100</f>
        <v>0</v>
      </c>
      <c r="T1602" s="180">
        <f>FME_Ranking1[[#This Row],[Critical Facilities Score (Normalized, Unweighted)]]*$R$3</f>
        <v>0</v>
      </c>
      <c r="U1602">
        <f>_xlfn.XLOOKUP(FME_Ranking1[[#This Row],[FME ID]],FME_Input[FME_ID],FME_Input[LWC])</f>
        <v>0</v>
      </c>
      <c r="V1602" s="178">
        <f>(FME_Ranking1[[#This Row],[LWC Raw]]/$U$2)*100</f>
        <v>0</v>
      </c>
      <c r="W1602" s="178">
        <f>FME_Ranking1[[#This Row],[LWC Score (Normalized, Unweighted)]]*$U$3</f>
        <v>0</v>
      </c>
      <c r="X1602" s="246">
        <f>_xlfn.XLOOKUP(FME_Ranking1[[#This Row],[FME ID]],FME_Input[FME_ID],FME_Input[ROADCLS])</f>
        <v>0</v>
      </c>
      <c r="Y1602" s="230">
        <f>(FME_Ranking1[[#This Row],[Closures Raw]]/$X$2)*100</f>
        <v>0</v>
      </c>
      <c r="Z1602" s="180">
        <f>FME_Ranking1[[#This Row],[Closures Score (Normalized, Unweighted)]]*$X$3</f>
        <v>0</v>
      </c>
      <c r="AA1602" s="253">
        <f>_xlfn.XLOOKUP(FME_Ranking1[[#This Row],[FME ID]],FME_Input[FME_ID],FME_Input[ROAD_MILES100])</f>
        <v>0</v>
      </c>
      <c r="AB1602" s="178">
        <f>(FME_Ranking1[[#This Row],[Miles Raw]]/$AA$2)*100</f>
        <v>0</v>
      </c>
      <c r="AC1602" s="178">
        <f>FME_Ranking1[[#This Row],[Miles Score (Normalized, Unweighted)]]*$AA$3</f>
        <v>0</v>
      </c>
      <c r="AD1602" s="255">
        <f>_xlfn.XLOOKUP(FME_Ranking1[[#This Row],[FME ID]],FME_Input[FME_ID],FME_Input[FARMACRE100])</f>
        <v>0</v>
      </c>
      <c r="AE1602" s="230">
        <f>(FME_Ranking1[[#This Row],[Ag Land Raw]]/$AD$2)*100</f>
        <v>0</v>
      </c>
      <c r="AF1602" s="231">
        <f>FME_Ranking1[[#This Row],[Ag Land Score (Normalized, Unweighted)]]*$AD$3</f>
        <v>0</v>
      </c>
      <c r="AG160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1.4369163678218173E-2</v>
      </c>
      <c r="AH1602" s="406">
        <f t="shared" si="24"/>
        <v>1644</v>
      </c>
      <c r="AI160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1.4369163678218173E-2</v>
      </c>
      <c r="AJ1602" s="257">
        <f>FME_Ranking1[[#This Row],[Addition check]]-FME_Ranking1[[#This Row],[Weighted Score Based on Normalized Reported Factors]]</f>
        <v>0</v>
      </c>
      <c r="AK1602" s="178">
        <f>_xlfn.RANK.EQ(AI1602,$AI$6:$AI$2341,0)+COUNTIF($AI$6:AI1602,AI1602)-1</f>
        <v>1644</v>
      </c>
    </row>
    <row r="1603" spans="1:37" x14ac:dyDescent="0.25">
      <c r="A1603" t="s">
        <v>5207</v>
      </c>
      <c r="B1603">
        <f>_xlfn.XLOOKUP(FME_Ranking1[[#This Row],[FME ID]],FME_Input[FME_ID],FME_Input[RFPG_NUM])</f>
        <v>3</v>
      </c>
      <c r="C1603" t="str">
        <f>_xlfn.XLOOKUP(FME_Ranking1[[#This Row],[FME ID]],FME_Input[FME_ID],FME_Input[FME_NAME])</f>
        <v>Runyon Springs Branch at Crouch Road</v>
      </c>
      <c r="D1603" t="str">
        <f>_xlfn.XLOOKUP(FME_Ranking1[[#This Row],[FME ID]],FME_Input[FME_ID],FME_Input[DESCR])</f>
        <v>Evaluate bridge improvements for Crouch Road over Runyon Springs Branch</v>
      </c>
      <c r="E1603" s="256">
        <f>_xlfn.XLOOKUP(FME_Ranking1[[#This Row],[FME ID]],FME_Input[FME_ID],FME_Input[FME_COST])</f>
        <v>250000</v>
      </c>
      <c r="F1603" t="str">
        <f>_xlfn.XLOOKUP(FME_Ranking1[[#This Row],[FME ID]],FME_Input[FME_ID],FME_Input[EMER_NEED])</f>
        <v>No</v>
      </c>
      <c r="G1603">
        <f>IF(FME_Ranking!F1603="Yes",100,0)</f>
        <v>0</v>
      </c>
      <c r="H1603">
        <f>FME_Ranking1[[#This Row],[Emergency Need Score (Normalized, Unweighted)]]*$F$3</f>
        <v>0</v>
      </c>
      <c r="I1603" s="246">
        <f>_xlfn.XLOOKUP(FME_Ranking1[[#This Row],[FME ID]],FME_Input[FME_ID],FME_Input[STRUCT_100])</f>
        <v>9</v>
      </c>
      <c r="J1603" s="178">
        <f>(FME_Ranking1[[#This Row],[Structures 100 Raw]]/I$2)*100</f>
        <v>4.8194319496208714E-3</v>
      </c>
      <c r="K1603" s="178">
        <f>FME_Ranking1[[#This Row],[Structures 100  Score (Normalized, Unweighted)]]*$I$3</f>
        <v>7.2291479244313071E-4</v>
      </c>
      <c r="L1603" s="246">
        <f>_xlfn.XLOOKUP(FME_Ranking1[[#This Row],[FME ID]],FME_Input[FME_ID],FME_Input[RES_STRUCT100])</f>
        <v>1</v>
      </c>
      <c r="M1603" s="230">
        <f>(FME_Ranking1[[#This Row],[Res Structures Raw]]/L$2)*100</f>
        <v>7.0830559136433825E-4</v>
      </c>
      <c r="N1603" s="180">
        <f>FME_Ranking1[[#This Row],[Res Structures Score (Normalized, Unweighted)]]*$L$3</f>
        <v>7.0830559136433833E-5</v>
      </c>
      <c r="O1603" s="244">
        <f>_xlfn.XLOOKUP(FME_Ranking1[[#This Row],[FME ID]],FME_Input[FME_ID],FME_Input[POP100])</f>
        <v>129</v>
      </c>
      <c r="P1603" s="178">
        <f>(FME_Ranking1[[#This Row],[Pop Raw]]/$O$2)*100</f>
        <v>1.3206415246550465E-2</v>
      </c>
      <c r="Q1603" s="178">
        <f>FME_Ranking1[[#This Row],[Pop Score (Normalized, Unweighted)]]*$O$3</f>
        <v>1.9809622869825698E-3</v>
      </c>
      <c r="R1603" s="137">
        <f>_xlfn.XLOOKUP(FME_Ranking1[[#This Row],[FME ID]],FME_Input[FME_ID],FME_Input[CRITFAC100])</f>
        <v>0</v>
      </c>
      <c r="S1603" s="230">
        <f>(FME_Ranking1[[#This Row],[Critical Facilities Raw]]/$R$2)*100</f>
        <v>0</v>
      </c>
      <c r="T1603" s="180">
        <f>FME_Ranking1[[#This Row],[Critical Facilities Score (Normalized, Unweighted)]]*$R$3</f>
        <v>0</v>
      </c>
      <c r="U1603">
        <f>_xlfn.XLOOKUP(FME_Ranking1[[#This Row],[FME ID]],FME_Input[FME_ID],FME_Input[LWC])</f>
        <v>1</v>
      </c>
      <c r="V1603" s="178">
        <f>(FME_Ranking1[[#This Row],[LWC Raw]]/$U$2)*100</f>
        <v>5.7570523891767422E-2</v>
      </c>
      <c r="W1603" s="178">
        <f>FME_Ranking1[[#This Row],[LWC Score (Normalized, Unweighted)]]*$U$3</f>
        <v>1.1514104778353485E-2</v>
      </c>
      <c r="X1603" s="246">
        <f>_xlfn.XLOOKUP(FME_Ranking1[[#This Row],[FME ID]],FME_Input[FME_ID],FME_Input[ROADCLS])</f>
        <v>0</v>
      </c>
      <c r="Y1603" s="230">
        <f>(FME_Ranking1[[#This Row],[Closures Raw]]/$X$2)*100</f>
        <v>0</v>
      </c>
      <c r="Z1603" s="180">
        <f>FME_Ranking1[[#This Row],[Closures Score (Normalized, Unweighted)]]*$X$3</f>
        <v>0</v>
      </c>
      <c r="AA1603" s="253">
        <f>_xlfn.XLOOKUP(FME_Ranking1[[#This Row],[FME ID]],FME_Input[FME_ID],FME_Input[ROAD_MILES100])</f>
        <v>1.9841270446777339</v>
      </c>
      <c r="AB1603" s="178">
        <f>(FME_Ranking1[[#This Row],[Miles Raw]]/$AA$2)*100</f>
        <v>2.6087711938590677E-2</v>
      </c>
      <c r="AC1603" s="178">
        <f>FME_Ranking1[[#This Row],[Miles Score (Normalized, Unweighted)]]*$AA$3</f>
        <v>2.6087711938590679E-3</v>
      </c>
      <c r="AD1603" s="255">
        <f>_xlfn.XLOOKUP(FME_Ranking1[[#This Row],[FME ID]],FME_Input[FME_ID],FME_Input[FARMACRE100])</f>
        <v>23.395139694213871</v>
      </c>
      <c r="AE1603" s="230">
        <f>(FME_Ranking1[[#This Row],[Ag Land Raw]]/$AD$2)*100</f>
        <v>9.647108325602238E-4</v>
      </c>
      <c r="AF1603" s="231">
        <f>FME_Ranking1[[#This Row],[Ag Land Score (Normalized, Unweighted)]]*$AD$3</f>
        <v>4.8235541628011194E-5</v>
      </c>
      <c r="AG160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1.6945819152402695E-2</v>
      </c>
      <c r="AH1603" s="406">
        <f t="shared" si="24"/>
        <v>1615</v>
      </c>
      <c r="AI160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1.6945819152402695E-2</v>
      </c>
      <c r="AJ1603" s="257">
        <f>FME_Ranking1[[#This Row],[Addition check]]-FME_Ranking1[[#This Row],[Weighted Score Based on Normalized Reported Factors]]</f>
        <v>0</v>
      </c>
      <c r="AK1603" s="178">
        <f>_xlfn.RANK.EQ(AI1603,$AI$6:$AI$2341,0)+COUNTIF($AI$6:AI1603,AI1603)-1</f>
        <v>1615</v>
      </c>
    </row>
    <row r="1604" spans="1:37" x14ac:dyDescent="0.25">
      <c r="A1604" t="s">
        <v>6280</v>
      </c>
      <c r="B1604">
        <f>_xlfn.XLOOKUP(FME_Ranking1[[#This Row],[FME ID]],FME_Input[FME_ID],FME_Input[RFPG_NUM])</f>
        <v>5</v>
      </c>
      <c r="C1604" t="str">
        <f>_xlfn.XLOOKUP(FME_Ranking1[[#This Row],[FME ID]],FME_Input[FME_ID],FME_Input[FME_NAME])</f>
        <v>Central Gardens Ditch - Upgrade Drainage Channel</v>
      </c>
      <c r="D1604" t="str">
        <f>_xlfn.XLOOKUP(FME_Ranking1[[#This Row],[FME ID]],FME_Input[FME_ID],FME_Input[DESCR])</f>
        <v>H&amp;H study to identify alternatives for Central Gardens Ditch</v>
      </c>
      <c r="E1604" s="256">
        <f>_xlfn.XLOOKUP(FME_Ranking1[[#This Row],[FME ID]],FME_Input[FME_ID],FME_Input[FME_COST])</f>
        <v>100000</v>
      </c>
      <c r="F1604" t="str">
        <f>_xlfn.XLOOKUP(FME_Ranking1[[#This Row],[FME ID]],FME_Input[FME_ID],FME_Input[EMER_NEED])</f>
        <v>Yes</v>
      </c>
      <c r="G1604">
        <f>IF(FME_Ranking!F1604="Yes",100,0)</f>
        <v>100</v>
      </c>
      <c r="H1604">
        <f>FME_Ranking1[[#This Row],[Emergency Need Score (Normalized, Unweighted)]]*$F$3</f>
        <v>0</v>
      </c>
      <c r="I1604" s="246">
        <f>_xlfn.XLOOKUP(FME_Ranking1[[#This Row],[FME ID]],FME_Input[FME_ID],FME_Input[STRUCT_100])</f>
        <v>80</v>
      </c>
      <c r="J1604" s="178">
        <f>(FME_Ranking1[[#This Row],[Structures 100 Raw]]/I$2)*100</f>
        <v>4.2839395107741075E-2</v>
      </c>
      <c r="K1604" s="178">
        <f>FME_Ranking1[[#This Row],[Structures 100  Score (Normalized, Unweighted)]]*$I$3</f>
        <v>6.4259092661611613E-3</v>
      </c>
      <c r="L1604" s="246">
        <f>_xlfn.XLOOKUP(FME_Ranking1[[#This Row],[FME ID]],FME_Input[FME_ID],FME_Input[RES_STRUCT100])</f>
        <v>76</v>
      </c>
      <c r="M1604" s="230">
        <f>(FME_Ranking1[[#This Row],[Res Structures Raw]]/L$2)*100</f>
        <v>5.38312249436897E-2</v>
      </c>
      <c r="N1604" s="180">
        <f>FME_Ranking1[[#This Row],[Res Structures Score (Normalized, Unweighted)]]*$L$3</f>
        <v>5.38312249436897E-3</v>
      </c>
      <c r="O1604" s="244">
        <f>_xlfn.XLOOKUP(FME_Ranking1[[#This Row],[FME ID]],FME_Input[FME_ID],FME_Input[POP100])</f>
        <v>151</v>
      </c>
      <c r="P1604" s="178">
        <f>(FME_Ranking1[[#This Row],[Pop Raw]]/$O$2)*100</f>
        <v>1.5458672110303256E-2</v>
      </c>
      <c r="Q1604" s="178">
        <f>FME_Ranking1[[#This Row],[Pop Score (Normalized, Unweighted)]]*$O$3</f>
        <v>2.3188008165454881E-3</v>
      </c>
      <c r="R1604" s="137">
        <f>_xlfn.XLOOKUP(FME_Ranking1[[#This Row],[FME ID]],FME_Input[FME_ID],FME_Input[CRITFAC100])</f>
        <v>0</v>
      </c>
      <c r="S1604" s="230">
        <f>(FME_Ranking1[[#This Row],[Critical Facilities Raw]]/$R$2)*100</f>
        <v>0</v>
      </c>
      <c r="T1604" s="180">
        <f>FME_Ranking1[[#This Row],[Critical Facilities Score (Normalized, Unweighted)]]*$R$3</f>
        <v>0</v>
      </c>
      <c r="U1604">
        <f>_xlfn.XLOOKUP(FME_Ranking1[[#This Row],[FME ID]],FME_Input[FME_ID],FME_Input[LWC])</f>
        <v>0</v>
      </c>
      <c r="V1604" s="178">
        <f>(FME_Ranking1[[#This Row],[LWC Raw]]/$U$2)*100</f>
        <v>0</v>
      </c>
      <c r="W1604" s="178">
        <f>FME_Ranking1[[#This Row],[LWC Score (Normalized, Unweighted)]]*$U$3</f>
        <v>0</v>
      </c>
      <c r="X1604" s="246">
        <f>_xlfn.XLOOKUP(FME_Ranking1[[#This Row],[FME ID]],FME_Input[FME_ID],FME_Input[ROADCLS])</f>
        <v>0</v>
      </c>
      <c r="Y1604" s="230">
        <f>(FME_Ranking1[[#This Row],[Closures Raw]]/$X$2)*100</f>
        <v>0</v>
      </c>
      <c r="Z1604" s="180">
        <f>FME_Ranking1[[#This Row],[Closures Score (Normalized, Unweighted)]]*$X$3</f>
        <v>0</v>
      </c>
      <c r="AA1604" s="253">
        <f>_xlfn.XLOOKUP(FME_Ranking1[[#This Row],[FME ID]],FME_Input[FME_ID],FME_Input[ROAD_MILES100])</f>
        <v>0.82020533084869385</v>
      </c>
      <c r="AB1604" s="178">
        <f>(FME_Ranking1[[#This Row],[Miles Raw]]/$AA$2)*100</f>
        <v>1.0784228993336755E-2</v>
      </c>
      <c r="AC1604" s="178">
        <f>FME_Ranking1[[#This Row],[Miles Score (Normalized, Unweighted)]]*$AA$3</f>
        <v>1.0784228993336756E-3</v>
      </c>
      <c r="AD1604" s="255">
        <f>_xlfn.XLOOKUP(FME_Ranking1[[#This Row],[FME ID]],FME_Input[FME_ID],FME_Input[FARMACRE100])</f>
        <v>5.1550060510635383E-2</v>
      </c>
      <c r="AE1604" s="230">
        <f>(FME_Ranking1[[#This Row],[Ag Land Raw]]/$AD$2)*100</f>
        <v>2.1256937314225361E-6</v>
      </c>
      <c r="AF1604" s="231">
        <f>FME_Ranking1[[#This Row],[Ag Land Score (Normalized, Unweighted)]]*$AD$3</f>
        <v>1.0628468657112682E-7</v>
      </c>
      <c r="AG160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1.5206361761095867E-2</v>
      </c>
      <c r="AH1604" s="406">
        <f t="shared" si="24"/>
        <v>1633</v>
      </c>
      <c r="AI160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1.5206361761095867E-2</v>
      </c>
      <c r="AJ1604" s="257">
        <f>FME_Ranking1[[#This Row],[Addition check]]-FME_Ranking1[[#This Row],[Weighted Score Based on Normalized Reported Factors]]</f>
        <v>0</v>
      </c>
      <c r="AK1604" s="178">
        <f>_xlfn.RANK.EQ(AI1604,$AI$6:$AI$2341,0)+COUNTIF($AI$6:AI1604,AI1604)-1</f>
        <v>1633</v>
      </c>
    </row>
    <row r="1605" spans="1:37" x14ac:dyDescent="0.25">
      <c r="A1605" t="s">
        <v>4557</v>
      </c>
      <c r="B1605">
        <f>_xlfn.XLOOKUP(FME_Ranking1[[#This Row],[FME ID]],FME_Input[FME_ID],FME_Input[RFPG_NUM])</f>
        <v>3</v>
      </c>
      <c r="C1605" t="str">
        <f>_xlfn.XLOOKUP(FME_Ranking1[[#This Row],[FME ID]],FME_Input[FME_ID],FME_Input[FME_NAME])</f>
        <v xml:space="preserve">County Rd 125 Automatic Warning Barricade Installation </v>
      </c>
      <c r="D1605" t="str">
        <f>_xlfn.XLOOKUP(FME_Ranking1[[#This Row],[FME ID]],FME_Input[FME_ID],FME_Input[DESCR])</f>
        <v>Evaluate alternatives to install automatic warning barricades at County Rd 125 low-water crossing</v>
      </c>
      <c r="E1605" s="256">
        <f>_xlfn.XLOOKUP(FME_Ranking1[[#This Row],[FME ID]],FME_Input[FME_ID],FME_Input[FME_COST])</f>
        <v>50000</v>
      </c>
      <c r="F1605" t="str">
        <f>_xlfn.XLOOKUP(FME_Ranking1[[#This Row],[FME ID]],FME_Input[FME_ID],FME_Input[EMER_NEED])</f>
        <v>No</v>
      </c>
      <c r="G1605">
        <f>IF(FME_Ranking!F1605="Yes",100,0)</f>
        <v>0</v>
      </c>
      <c r="H1605">
        <f>FME_Ranking1[[#This Row],[Emergency Need Score (Normalized, Unweighted)]]*$F$3</f>
        <v>0</v>
      </c>
      <c r="I1605" s="246">
        <f>_xlfn.XLOOKUP(FME_Ranking1[[#This Row],[FME ID]],FME_Input[FME_ID],FME_Input[STRUCT_100])</f>
        <v>76</v>
      </c>
      <c r="J1605" s="178">
        <f>(FME_Ranking1[[#This Row],[Structures 100 Raw]]/I$2)*100</f>
        <v>4.0697425352354023E-2</v>
      </c>
      <c r="K1605" s="178">
        <f>FME_Ranking1[[#This Row],[Structures 100  Score (Normalized, Unweighted)]]*$I$3</f>
        <v>6.1046138028531035E-3</v>
      </c>
      <c r="L1605" s="246">
        <f>_xlfn.XLOOKUP(FME_Ranking1[[#This Row],[FME ID]],FME_Input[FME_ID],FME_Input[RES_STRUCT100])</f>
        <v>58</v>
      </c>
      <c r="M1605" s="230">
        <f>(FME_Ranking1[[#This Row],[Res Structures Raw]]/L$2)*100</f>
        <v>4.1081724299131615E-2</v>
      </c>
      <c r="N1605" s="180">
        <f>FME_Ranking1[[#This Row],[Res Structures Score (Normalized, Unweighted)]]*$L$3</f>
        <v>4.1081724299131617E-3</v>
      </c>
      <c r="O1605" s="244">
        <f>_xlfn.XLOOKUP(FME_Ranking1[[#This Row],[FME ID]],FME_Input[FME_ID],FME_Input[POP100])</f>
        <v>56</v>
      </c>
      <c r="P1605" s="178">
        <f>(FME_Ranking1[[#This Row],[Pop Raw]]/$O$2)*100</f>
        <v>5.7330174713707436E-3</v>
      </c>
      <c r="Q1605" s="178">
        <f>FME_Ranking1[[#This Row],[Pop Score (Normalized, Unweighted)]]*$O$3</f>
        <v>8.5995262070561157E-4</v>
      </c>
      <c r="R1605" s="137">
        <f>_xlfn.XLOOKUP(FME_Ranking1[[#This Row],[FME ID]],FME_Input[FME_ID],FME_Input[CRITFAC100])</f>
        <v>0</v>
      </c>
      <c r="S1605" s="230">
        <f>(FME_Ranking1[[#This Row],[Critical Facilities Raw]]/$R$2)*100</f>
        <v>0</v>
      </c>
      <c r="T1605" s="180">
        <f>FME_Ranking1[[#This Row],[Critical Facilities Score (Normalized, Unweighted)]]*$R$3</f>
        <v>0</v>
      </c>
      <c r="U1605">
        <f>_xlfn.XLOOKUP(FME_Ranking1[[#This Row],[FME ID]],FME_Input[FME_ID],FME_Input[LWC])</f>
        <v>0</v>
      </c>
      <c r="V1605" s="178">
        <f>(FME_Ranking1[[#This Row],[LWC Raw]]/$U$2)*100</f>
        <v>0</v>
      </c>
      <c r="W1605" s="178">
        <f>FME_Ranking1[[#This Row],[LWC Score (Normalized, Unweighted)]]*$U$3</f>
        <v>0</v>
      </c>
      <c r="X1605" s="246">
        <f>_xlfn.XLOOKUP(FME_Ranking1[[#This Row],[FME ID]],FME_Input[FME_ID],FME_Input[ROADCLS])</f>
        <v>0</v>
      </c>
      <c r="Y1605" s="230">
        <f>(FME_Ranking1[[#This Row],[Closures Raw]]/$X$2)*100</f>
        <v>0</v>
      </c>
      <c r="Z1605" s="180">
        <f>FME_Ranking1[[#This Row],[Closures Score (Normalized, Unweighted)]]*$X$3</f>
        <v>0</v>
      </c>
      <c r="AA1605" s="253">
        <f>_xlfn.XLOOKUP(FME_Ranking1[[#This Row],[FME ID]],FME_Input[FME_ID],FME_Input[ROAD_MILES100])</f>
        <v>0.95274221897125244</v>
      </c>
      <c r="AB1605" s="178">
        <f>(FME_Ranking1[[#This Row],[Miles Raw]]/$AA$2)*100</f>
        <v>1.2526851356079722E-2</v>
      </c>
      <c r="AC1605" s="178">
        <f>FME_Ranking1[[#This Row],[Miles Score (Normalized, Unweighted)]]*$AA$3</f>
        <v>1.2526851356079722E-3</v>
      </c>
      <c r="AD1605" s="255">
        <f>_xlfn.XLOOKUP(FME_Ranking1[[#This Row],[FME ID]],FME_Input[FME_ID],FME_Input[FARMACRE100])</f>
        <v>1408.567993164062</v>
      </c>
      <c r="AE1605" s="230">
        <f>(FME_Ranking1[[#This Row],[Ag Land Raw]]/$AD$2)*100</f>
        <v>5.808303857826768E-2</v>
      </c>
      <c r="AF1605" s="231">
        <f>FME_Ranking1[[#This Row],[Ag Land Score (Normalized, Unweighted)]]*$AD$3</f>
        <v>2.9041519289133844E-3</v>
      </c>
      <c r="AG160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1.5229575917993234E-2</v>
      </c>
      <c r="AH1605" s="406">
        <f t="shared" si="24"/>
        <v>1632</v>
      </c>
      <c r="AI160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1.5229575917993234E-2</v>
      </c>
      <c r="AJ1605" s="257">
        <f>FME_Ranking1[[#This Row],[Addition check]]-FME_Ranking1[[#This Row],[Weighted Score Based on Normalized Reported Factors]]</f>
        <v>0</v>
      </c>
      <c r="AK1605" s="178">
        <f>_xlfn.RANK.EQ(AI1605,$AI$6:$AI$2341,0)+COUNTIF($AI$6:AI1605,AI1605)-1</f>
        <v>1632</v>
      </c>
    </row>
    <row r="1606" spans="1:37" x14ac:dyDescent="0.25">
      <c r="A1606" t="s">
        <v>3820</v>
      </c>
      <c r="B1606">
        <f>_xlfn.XLOOKUP(FME_Ranking1[[#This Row],[FME ID]],FME_Input[FME_ID],FME_Input[RFPG_NUM])</f>
        <v>3</v>
      </c>
      <c r="C1606" t="str">
        <f>_xlfn.XLOOKUP(FME_Ranking1[[#This Row],[FME ID]],FME_Input[FME_ID],FME_Input[FME_NAME])</f>
        <v xml:space="preserve">Clay County FEMA Mapping </v>
      </c>
      <c r="D1606" t="str">
        <f>_xlfn.XLOOKUP(FME_Ranking1[[#This Row],[FME ID]],FME_Input[FME_ID],FME_Input[DESCR])</f>
        <v>Create FEMA mapping in previously unmapped areas and update existing FEMA maps as needed.</v>
      </c>
      <c r="E1606" s="256">
        <f>_xlfn.XLOOKUP(FME_Ranking1[[#This Row],[FME ID]],FME_Input[FME_ID],FME_Input[FME_COST])</f>
        <v>1470000</v>
      </c>
      <c r="F1606" t="str">
        <f>_xlfn.XLOOKUP(FME_Ranking1[[#This Row],[FME ID]],FME_Input[FME_ID],FME_Input[EMER_NEED])</f>
        <v>No</v>
      </c>
      <c r="G1606">
        <f>IF(FME_Ranking!F1606="Yes",100,0)</f>
        <v>0</v>
      </c>
      <c r="H1606">
        <f>FME_Ranking1[[#This Row],[Emergency Need Score (Normalized, Unweighted)]]*$F$3</f>
        <v>0</v>
      </c>
      <c r="I1606" s="246">
        <f>_xlfn.XLOOKUP(FME_Ranking1[[#This Row],[FME ID]],FME_Input[FME_ID],FME_Input[STRUCT_100])</f>
        <v>28</v>
      </c>
      <c r="J1606" s="178">
        <f>(FME_Ranking1[[#This Row],[Structures 100 Raw]]/I$2)*100</f>
        <v>1.4993788287709378E-2</v>
      </c>
      <c r="K1606" s="178">
        <f>FME_Ranking1[[#This Row],[Structures 100  Score (Normalized, Unweighted)]]*$I$3</f>
        <v>2.2490682431564068E-3</v>
      </c>
      <c r="L1606" s="246">
        <f>_xlfn.XLOOKUP(FME_Ranking1[[#This Row],[FME ID]],FME_Input[FME_ID],FME_Input[RES_STRUCT100])</f>
        <v>27</v>
      </c>
      <c r="M1606" s="230">
        <f>(FME_Ranking1[[#This Row],[Res Structures Raw]]/L$2)*100</f>
        <v>1.9124250966837134E-2</v>
      </c>
      <c r="N1606" s="180">
        <f>FME_Ranking1[[#This Row],[Res Structures Score (Normalized, Unweighted)]]*$L$3</f>
        <v>1.9124250966837135E-3</v>
      </c>
      <c r="O1606" s="244">
        <f>_xlfn.XLOOKUP(FME_Ranking1[[#This Row],[FME ID]],FME_Input[FME_ID],FME_Input[POP100])</f>
        <v>16</v>
      </c>
      <c r="P1606" s="178">
        <f>(FME_Ranking1[[#This Row],[Pop Raw]]/$O$2)*100</f>
        <v>1.6380049918202125E-3</v>
      </c>
      <c r="Q1606" s="178">
        <f>FME_Ranking1[[#This Row],[Pop Score (Normalized, Unweighted)]]*$O$3</f>
        <v>2.4570074877303187E-4</v>
      </c>
      <c r="R1606" s="137">
        <f>_xlfn.XLOOKUP(FME_Ranking1[[#This Row],[FME ID]],FME_Input[FME_ID],FME_Input[CRITFAC100])</f>
        <v>0</v>
      </c>
      <c r="S1606" s="230">
        <f>(FME_Ranking1[[#This Row],[Critical Facilities Raw]]/$R$2)*100</f>
        <v>0</v>
      </c>
      <c r="T1606" s="180">
        <f>FME_Ranking1[[#This Row],[Critical Facilities Score (Normalized, Unweighted)]]*$R$3</f>
        <v>0</v>
      </c>
      <c r="U1606">
        <f>_xlfn.XLOOKUP(FME_Ranking1[[#This Row],[FME ID]],FME_Input[FME_ID],FME_Input[LWC])</f>
        <v>0</v>
      </c>
      <c r="V1606" s="178">
        <f>(FME_Ranking1[[#This Row],[LWC Raw]]/$U$2)*100</f>
        <v>0</v>
      </c>
      <c r="W1606" s="178">
        <f>FME_Ranking1[[#This Row],[LWC Score (Normalized, Unweighted)]]*$U$3</f>
        <v>0</v>
      </c>
      <c r="X1606" s="246">
        <f>_xlfn.XLOOKUP(FME_Ranking1[[#This Row],[FME ID]],FME_Input[FME_ID],FME_Input[ROADCLS])</f>
        <v>0</v>
      </c>
      <c r="Y1606" s="230">
        <f>(FME_Ranking1[[#This Row],[Closures Raw]]/$X$2)*100</f>
        <v>0</v>
      </c>
      <c r="Z1606" s="180">
        <f>FME_Ranking1[[#This Row],[Closures Score (Normalized, Unweighted)]]*$X$3</f>
        <v>0</v>
      </c>
      <c r="AA1606" s="253">
        <f>_xlfn.XLOOKUP(FME_Ranking1[[#This Row],[FME ID]],FME_Input[FME_ID],FME_Input[ROAD_MILES100])</f>
        <v>17.718050003051761</v>
      </c>
      <c r="AB1606" s="178">
        <f>(FME_Ranking1[[#This Row],[Miles Raw]]/$AA$2)*100</f>
        <v>0.23296057872556009</v>
      </c>
      <c r="AC1606" s="178">
        <f>FME_Ranking1[[#This Row],[Miles Score (Normalized, Unweighted)]]*$AA$3</f>
        <v>2.3296057872556009E-2</v>
      </c>
      <c r="AD1606" s="255">
        <f>_xlfn.XLOOKUP(FME_Ranking1[[#This Row],[FME ID]],FME_Input[FME_ID],FME_Input[FARMACRE100])</f>
        <v>4620.7509765625</v>
      </c>
      <c r="AE1606" s="230">
        <f>(FME_Ranking1[[#This Row],[Ag Land Raw]]/$AD$2)*100</f>
        <v>0.1905390854646429</v>
      </c>
      <c r="AF1606" s="231">
        <f>FME_Ranking1[[#This Row],[Ag Land Score (Normalized, Unweighted)]]*$AD$3</f>
        <v>9.5269542732321459E-3</v>
      </c>
      <c r="AG160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3.7230206234401306E-2</v>
      </c>
      <c r="AH1606" s="406">
        <f t="shared" ref="AH1606:AH1669" si="25">_xlfn.RANK.EQ(AG1606,$AG$6:$AG$2341,0)</f>
        <v>1400</v>
      </c>
      <c r="AI160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3.7230206234401306E-2</v>
      </c>
      <c r="AJ1606" s="257">
        <f>FME_Ranking1[[#This Row],[Addition check]]-FME_Ranking1[[#This Row],[Weighted Score Based on Normalized Reported Factors]]</f>
        <v>0</v>
      </c>
      <c r="AK1606" s="178">
        <f>_xlfn.RANK.EQ(AI1606,$AI$6:$AI$2341,0)+COUNTIF($AI$6:AI1606,AI1606)-1</f>
        <v>1400</v>
      </c>
    </row>
    <row r="1607" spans="1:37" x14ac:dyDescent="0.25">
      <c r="A1607" t="s">
        <v>1502</v>
      </c>
      <c r="B1607">
        <f>_xlfn.XLOOKUP(FME_Ranking1[[#This Row],[FME ID]],FME_Input[FME_ID],FME_Input[RFPG_NUM])</f>
        <v>6</v>
      </c>
      <c r="C1607" t="str">
        <f>_xlfn.XLOOKUP(FME_Ranking1[[#This Row],[FME ID]],FME_Input[FME_ID],FME_Input[FME_NAME])</f>
        <v>Buffalo Bayou - W163-00-00</v>
      </c>
      <c r="D1607" t="str">
        <f>_xlfn.XLOOKUP(FME_Ranking1[[#This Row],[FME ID]],FME_Input[FME_ID],FME_Input[DESCR])</f>
        <v>Further study of Flood Risk Reduction need identified through the HCFCD 'Watershed Planning Tool' to determine channel modifications needed to restore/improve channel conveyance including Atlas 14 rainfall.</v>
      </c>
      <c r="E1607" s="256">
        <f>_xlfn.XLOOKUP(FME_Ranking1[[#This Row],[FME ID]],FME_Input[FME_ID],FME_Input[FME_COST])</f>
        <v>100000</v>
      </c>
      <c r="F1607" t="str">
        <f>_xlfn.XLOOKUP(FME_Ranking1[[#This Row],[FME ID]],FME_Input[FME_ID],FME_Input[EMER_NEED])</f>
        <v>No</v>
      </c>
      <c r="G1607">
        <f>IF(FME_Ranking!F1607="Yes",100,0)</f>
        <v>0</v>
      </c>
      <c r="H1607">
        <f>FME_Ranking1[[#This Row],[Emergency Need Score (Normalized, Unweighted)]]*$F$3</f>
        <v>0</v>
      </c>
      <c r="I1607" s="246">
        <f>_xlfn.XLOOKUP(FME_Ranking1[[#This Row],[FME ID]],FME_Input[FME_ID],FME_Input[STRUCT_100])</f>
        <v>70</v>
      </c>
      <c r="J1607" s="178">
        <f>(FME_Ranking1[[#This Row],[Structures 100 Raw]]/I$2)*100</f>
        <v>3.7484470719273445E-2</v>
      </c>
      <c r="K1607" s="178">
        <f>FME_Ranking1[[#This Row],[Structures 100  Score (Normalized, Unweighted)]]*$I$3</f>
        <v>5.6226706078910168E-3</v>
      </c>
      <c r="L1607" s="246">
        <f>_xlfn.XLOOKUP(FME_Ranking1[[#This Row],[FME ID]],FME_Input[FME_ID],FME_Input[RES_STRUCT100])</f>
        <v>68</v>
      </c>
      <c r="M1607" s="230">
        <f>(FME_Ranking1[[#This Row],[Res Structures Raw]]/L$2)*100</f>
        <v>4.8164780212774996E-2</v>
      </c>
      <c r="N1607" s="180">
        <f>FME_Ranking1[[#This Row],[Res Structures Score (Normalized, Unweighted)]]*$L$3</f>
        <v>4.8164780212774996E-3</v>
      </c>
      <c r="O1607" s="244">
        <f>_xlfn.XLOOKUP(FME_Ranking1[[#This Row],[FME ID]],FME_Input[FME_ID],FME_Input[POP100])</f>
        <v>226</v>
      </c>
      <c r="P1607" s="178">
        <f>(FME_Ranking1[[#This Row],[Pop Raw]]/$O$2)*100</f>
        <v>2.3136820509460504E-2</v>
      </c>
      <c r="Q1607" s="178">
        <f>FME_Ranking1[[#This Row],[Pop Score (Normalized, Unweighted)]]*$O$3</f>
        <v>3.4705230764190756E-3</v>
      </c>
      <c r="R1607" s="137">
        <f>_xlfn.XLOOKUP(FME_Ranking1[[#This Row],[FME ID]],FME_Input[FME_ID],FME_Input[CRITFAC100])</f>
        <v>0</v>
      </c>
      <c r="S1607" s="230">
        <f>(FME_Ranking1[[#This Row],[Critical Facilities Raw]]/$R$2)*100</f>
        <v>0</v>
      </c>
      <c r="T1607" s="180">
        <f>FME_Ranking1[[#This Row],[Critical Facilities Score (Normalized, Unweighted)]]*$R$3</f>
        <v>0</v>
      </c>
      <c r="U1607">
        <f>_xlfn.XLOOKUP(FME_Ranking1[[#This Row],[FME ID]],FME_Input[FME_ID],FME_Input[LWC])</f>
        <v>0</v>
      </c>
      <c r="V1607" s="178">
        <f>(FME_Ranking1[[#This Row],[LWC Raw]]/$U$2)*100</f>
        <v>0</v>
      </c>
      <c r="W1607" s="178">
        <f>FME_Ranking1[[#This Row],[LWC Score (Normalized, Unweighted)]]*$U$3</f>
        <v>0</v>
      </c>
      <c r="X1607" s="246">
        <f>_xlfn.XLOOKUP(FME_Ranking1[[#This Row],[FME ID]],FME_Input[FME_ID],FME_Input[ROADCLS])</f>
        <v>0</v>
      </c>
      <c r="Y1607" s="230">
        <f>(FME_Ranking1[[#This Row],[Closures Raw]]/$X$2)*100</f>
        <v>0</v>
      </c>
      <c r="Z1607" s="180">
        <f>FME_Ranking1[[#This Row],[Closures Score (Normalized, Unweighted)]]*$X$3</f>
        <v>0</v>
      </c>
      <c r="AA1607" s="253">
        <f>_xlfn.XLOOKUP(FME_Ranking1[[#This Row],[FME ID]],FME_Input[FME_ID],FME_Input[ROAD_MILES100])</f>
        <v>0.85699093341827393</v>
      </c>
      <c r="AB1607" s="178">
        <f>(FME_Ranking1[[#This Row],[Miles Raw]]/$AA$2)*100</f>
        <v>1.1267893689051112E-2</v>
      </c>
      <c r="AC1607" s="178">
        <f>FME_Ranking1[[#This Row],[Miles Score (Normalized, Unweighted)]]*$AA$3</f>
        <v>1.1267893689051113E-3</v>
      </c>
      <c r="AD1607" s="255">
        <f>_xlfn.XLOOKUP(FME_Ranking1[[#This Row],[FME ID]],FME_Input[FME_ID],FME_Input[FARMACRE100])</f>
        <v>0.44320216774940491</v>
      </c>
      <c r="AE1607" s="230">
        <f>(FME_Ranking1[[#This Row],[Ag Land Raw]]/$AD$2)*100</f>
        <v>1.827567340184636E-5</v>
      </c>
      <c r="AF1607" s="231">
        <f>FME_Ranking1[[#This Row],[Ag Land Score (Normalized, Unweighted)]]*$AD$3</f>
        <v>9.1378367009231801E-7</v>
      </c>
      <c r="AG160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1.5037374858162795E-2</v>
      </c>
      <c r="AH1607" s="406">
        <f t="shared" si="25"/>
        <v>1634</v>
      </c>
      <c r="AI160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1.5037374858162795E-2</v>
      </c>
      <c r="AJ1607" s="257">
        <f>FME_Ranking1[[#This Row],[Addition check]]-FME_Ranking1[[#This Row],[Weighted Score Based on Normalized Reported Factors]]</f>
        <v>0</v>
      </c>
      <c r="AK1607" s="178">
        <f>_xlfn.RANK.EQ(AI1607,$AI$6:$AI$2341,0)+COUNTIF($AI$6:AI1607,AI1607)-1</f>
        <v>1634</v>
      </c>
    </row>
    <row r="1608" spans="1:37" x14ac:dyDescent="0.25">
      <c r="A1608" t="s">
        <v>7811</v>
      </c>
      <c r="B1608">
        <f>_xlfn.XLOOKUP(FME_Ranking1[[#This Row],[FME ID]],FME_Input[FME_ID],FME_Input[RFPG_NUM])</f>
        <v>8</v>
      </c>
      <c r="C1608" t="str">
        <f>_xlfn.XLOOKUP(FME_Ranking1[[#This Row],[FME ID]],FME_Input[FME_ID],FME_Input[FME_NAME])</f>
        <v>Cross Creek Road Low Water Crossing Removal</v>
      </c>
      <c r="D1608" t="str">
        <f>_xlfn.XLOOKUP(FME_Ranking1[[#This Row],[FME ID]],FME_Input[FME_ID],FME_Input[DESCR])</f>
        <v>Removal of the Cross Creek Road low water crossing and associated 18" culverts. Extension of Stone Creek Ridge Drive to maintain access to existing properties.</v>
      </c>
      <c r="E1608" s="256">
        <f>_xlfn.XLOOKUP(FME_Ranking1[[#This Row],[FME ID]],FME_Input[FME_ID],FME_Input[FME_COST])</f>
        <v>100000</v>
      </c>
      <c r="F1608" t="str">
        <f>_xlfn.XLOOKUP(FME_Ranking1[[#This Row],[FME ID]],FME_Input[FME_ID],FME_Input[EMER_NEED])</f>
        <v>No</v>
      </c>
      <c r="G1608">
        <f>IF(FME_Ranking!F1608="Yes",100,0)</f>
        <v>0</v>
      </c>
      <c r="H1608">
        <f>FME_Ranking1[[#This Row],[Emergency Need Score (Normalized, Unweighted)]]*$F$3</f>
        <v>0</v>
      </c>
      <c r="I1608" s="246">
        <f>_xlfn.XLOOKUP(FME_Ranking1[[#This Row],[FME ID]],FME_Input[FME_ID],FME_Input[STRUCT_100])</f>
        <v>13</v>
      </c>
      <c r="J1608" s="178">
        <f>(FME_Ranking1[[#This Row],[Structures 100 Raw]]/I$2)*100</f>
        <v>6.961401705007926E-3</v>
      </c>
      <c r="K1608" s="178">
        <f>FME_Ranking1[[#This Row],[Structures 100  Score (Normalized, Unweighted)]]*$I$3</f>
        <v>1.0442102557511889E-3</v>
      </c>
      <c r="L1608" s="246">
        <f>_xlfn.XLOOKUP(FME_Ranking1[[#This Row],[FME ID]],FME_Input[FME_ID],FME_Input[RES_STRUCT100])</f>
        <v>9</v>
      </c>
      <c r="M1608" s="230">
        <f>(FME_Ranking1[[#This Row],[Res Structures Raw]]/L$2)*100</f>
        <v>6.3747503222790439E-3</v>
      </c>
      <c r="N1608" s="180">
        <f>FME_Ranking1[[#This Row],[Res Structures Score (Normalized, Unweighted)]]*$L$3</f>
        <v>6.3747503222790446E-4</v>
      </c>
      <c r="O1608" s="244">
        <f>_xlfn.XLOOKUP(FME_Ranking1[[#This Row],[FME ID]],FME_Input[FME_ID],FME_Input[POP100])</f>
        <v>37</v>
      </c>
      <c r="P1608" s="178">
        <f>(FME_Ranking1[[#This Row],[Pop Raw]]/$O$2)*100</f>
        <v>3.7878865435842413E-3</v>
      </c>
      <c r="Q1608" s="178">
        <f>FME_Ranking1[[#This Row],[Pop Score (Normalized, Unweighted)]]*$O$3</f>
        <v>5.6818298153763619E-4</v>
      </c>
      <c r="R1608" s="137">
        <f>_xlfn.XLOOKUP(FME_Ranking1[[#This Row],[FME ID]],FME_Input[FME_ID],FME_Input[CRITFAC100])</f>
        <v>0</v>
      </c>
      <c r="S1608" s="230">
        <f>(FME_Ranking1[[#This Row],[Critical Facilities Raw]]/$R$2)*100</f>
        <v>0</v>
      </c>
      <c r="T1608" s="180">
        <f>FME_Ranking1[[#This Row],[Critical Facilities Score (Normalized, Unweighted)]]*$R$3</f>
        <v>0</v>
      </c>
      <c r="U1608">
        <f>_xlfn.XLOOKUP(FME_Ranking1[[#This Row],[FME ID]],FME_Input[FME_ID],FME_Input[LWC])</f>
        <v>1</v>
      </c>
      <c r="V1608" s="178">
        <f>(FME_Ranking1[[#This Row],[LWC Raw]]/$U$2)*100</f>
        <v>5.7570523891767422E-2</v>
      </c>
      <c r="W1608" s="178">
        <f>FME_Ranking1[[#This Row],[LWC Score (Normalized, Unweighted)]]*$U$3</f>
        <v>1.1514104778353485E-2</v>
      </c>
      <c r="X1608" s="246">
        <f>_xlfn.XLOOKUP(FME_Ranking1[[#This Row],[FME ID]],FME_Input[FME_ID],FME_Input[ROADCLS])</f>
        <v>0</v>
      </c>
      <c r="Y1608" s="230">
        <f>(FME_Ranking1[[#This Row],[Closures Raw]]/$X$2)*100</f>
        <v>0</v>
      </c>
      <c r="Z1608" s="180">
        <f>FME_Ranking1[[#This Row],[Closures Score (Normalized, Unweighted)]]*$X$3</f>
        <v>0</v>
      </c>
      <c r="AA1608" s="253">
        <f>_xlfn.XLOOKUP(FME_Ranking1[[#This Row],[FME ID]],FME_Input[FME_ID],FME_Input[ROAD_MILES100])</f>
        <v>0.80000001192092896</v>
      </c>
      <c r="AB1608" s="178">
        <f>(FME_Ranking1[[#This Row],[Miles Raw]]/$AA$2)*100</f>
        <v>1.0518565289377465E-2</v>
      </c>
      <c r="AC1608" s="178">
        <f>FME_Ranking1[[#This Row],[Miles Score (Normalized, Unweighted)]]*$AA$3</f>
        <v>1.0518565289377466E-3</v>
      </c>
      <c r="AD1608" s="255">
        <f>_xlfn.XLOOKUP(FME_Ranking1[[#This Row],[FME ID]],FME_Input[FME_ID],FME_Input[FARMACRE100])</f>
        <v>17.60000038146973</v>
      </c>
      <c r="AE1608" s="230">
        <f>(FME_Ranking1[[#This Row],[Ag Land Raw]]/$AD$2)*100</f>
        <v>7.2574522926516975E-4</v>
      </c>
      <c r="AF1608" s="231">
        <f>FME_Ranking1[[#This Row],[Ag Land Score (Normalized, Unweighted)]]*$AD$3</f>
        <v>3.6287261463258488E-5</v>
      </c>
      <c r="AG160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1.4852116838271218E-2</v>
      </c>
      <c r="AH1608" s="406">
        <f t="shared" si="25"/>
        <v>1636</v>
      </c>
      <c r="AI160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1.4852116838271218E-2</v>
      </c>
      <c r="AJ1608" s="257">
        <f>FME_Ranking1[[#This Row],[Addition check]]-FME_Ranking1[[#This Row],[Weighted Score Based on Normalized Reported Factors]]</f>
        <v>0</v>
      </c>
      <c r="AK1608" s="178">
        <f>_xlfn.RANK.EQ(AI1608,$AI$6:$AI$2341,0)+COUNTIF($AI$6:AI1608,AI1608)-1</f>
        <v>1636</v>
      </c>
    </row>
    <row r="1609" spans="1:37" x14ac:dyDescent="0.25">
      <c r="A1609" t="s">
        <v>1487</v>
      </c>
      <c r="B1609">
        <f>_xlfn.XLOOKUP(FME_Ranking1[[#This Row],[FME ID]],FME_Input[FME_ID],FME_Input[RFPG_NUM])</f>
        <v>6</v>
      </c>
      <c r="C1609" t="str">
        <f>_xlfn.XLOOKUP(FME_Ranking1[[#This Row],[FME ID]],FME_Input[FME_ID],FME_Input[FME_NAME])</f>
        <v>Barker - T101-00-00</v>
      </c>
      <c r="D1609" t="str">
        <f>_xlfn.XLOOKUP(FME_Ranking1[[#This Row],[FME ID]],FME_Input[FME_ID],FME_Input[DESCR])</f>
        <v>Further study of Flood Risk Reduction need identified through the HCFCD 'Watershed Planning Tool' to determine channel modifications needed to restore/improve channel conveyance including Atlas 14 rainfall.</v>
      </c>
      <c r="E1609" s="256">
        <f>_xlfn.XLOOKUP(FME_Ranking1[[#This Row],[FME ID]],FME_Input[FME_ID],FME_Input[FME_COST])</f>
        <v>300000</v>
      </c>
      <c r="F1609" t="str">
        <f>_xlfn.XLOOKUP(FME_Ranking1[[#This Row],[FME ID]],FME_Input[FME_ID],FME_Input[EMER_NEED])</f>
        <v>No</v>
      </c>
      <c r="G1609">
        <f>IF(FME_Ranking!F1609="Yes",100,0)</f>
        <v>0</v>
      </c>
      <c r="H1609">
        <f>FME_Ranking1[[#This Row],[Emergency Need Score (Normalized, Unweighted)]]*$F$3</f>
        <v>0</v>
      </c>
      <c r="I1609" s="246">
        <f>_xlfn.XLOOKUP(FME_Ranking1[[#This Row],[FME ID]],FME_Input[FME_ID],FME_Input[STRUCT_100])</f>
        <v>41</v>
      </c>
      <c r="J1609" s="178">
        <f>(FME_Ranking1[[#This Row],[Structures 100 Raw]]/I$2)*100</f>
        <v>2.1955189992717301E-2</v>
      </c>
      <c r="K1609" s="178">
        <f>FME_Ranking1[[#This Row],[Structures 100  Score (Normalized, Unweighted)]]*$I$3</f>
        <v>3.2932784989075951E-3</v>
      </c>
      <c r="L1609" s="246">
        <f>_xlfn.XLOOKUP(FME_Ranking1[[#This Row],[FME ID]],FME_Input[FME_ID],FME_Input[RES_STRUCT100])</f>
        <v>34</v>
      </c>
      <c r="M1609" s="230">
        <f>(FME_Ranking1[[#This Row],[Res Structures Raw]]/L$2)*100</f>
        <v>2.4082390106387498E-2</v>
      </c>
      <c r="N1609" s="180">
        <f>FME_Ranking1[[#This Row],[Res Structures Score (Normalized, Unweighted)]]*$L$3</f>
        <v>2.4082390106387498E-3</v>
      </c>
      <c r="O1609" s="244">
        <f>_xlfn.XLOOKUP(FME_Ranking1[[#This Row],[FME ID]],FME_Input[FME_ID],FME_Input[POP100])</f>
        <v>521</v>
      </c>
      <c r="P1609" s="178">
        <f>(FME_Ranking1[[#This Row],[Pop Raw]]/$O$2)*100</f>
        <v>5.3337537546145675E-2</v>
      </c>
      <c r="Q1609" s="178">
        <f>FME_Ranking1[[#This Row],[Pop Score (Normalized, Unweighted)]]*$O$3</f>
        <v>8.0006306319218515E-3</v>
      </c>
      <c r="R1609" s="137">
        <f>_xlfn.XLOOKUP(FME_Ranking1[[#This Row],[FME ID]],FME_Input[FME_ID],FME_Input[CRITFAC100])</f>
        <v>0</v>
      </c>
      <c r="S1609" s="230">
        <f>(FME_Ranking1[[#This Row],[Critical Facilities Raw]]/$R$2)*100</f>
        <v>0</v>
      </c>
      <c r="T1609" s="180">
        <f>FME_Ranking1[[#This Row],[Critical Facilities Score (Normalized, Unweighted)]]*$R$3</f>
        <v>0</v>
      </c>
      <c r="U1609">
        <f>_xlfn.XLOOKUP(FME_Ranking1[[#This Row],[FME ID]],FME_Input[FME_ID],FME_Input[LWC])</f>
        <v>0</v>
      </c>
      <c r="V1609" s="178">
        <f>(FME_Ranking1[[#This Row],[LWC Raw]]/$U$2)*100</f>
        <v>0</v>
      </c>
      <c r="W1609" s="178">
        <f>FME_Ranking1[[#This Row],[LWC Score (Normalized, Unweighted)]]*$U$3</f>
        <v>0</v>
      </c>
      <c r="X1609" s="246">
        <f>_xlfn.XLOOKUP(FME_Ranking1[[#This Row],[FME ID]],FME_Input[FME_ID],FME_Input[ROADCLS])</f>
        <v>0</v>
      </c>
      <c r="Y1609" s="230">
        <f>(FME_Ranking1[[#This Row],[Closures Raw]]/$X$2)*100</f>
        <v>0</v>
      </c>
      <c r="Z1609" s="180">
        <f>FME_Ranking1[[#This Row],[Closures Score (Normalized, Unweighted)]]*$X$3</f>
        <v>0</v>
      </c>
      <c r="AA1609" s="253">
        <f>_xlfn.XLOOKUP(FME_Ranking1[[#This Row],[FME ID]],FME_Input[FME_ID],FME_Input[ROAD_MILES100])</f>
        <v>2.582297563552856</v>
      </c>
      <c r="AB1609" s="178">
        <f>(FME_Ranking1[[#This Row],[Miles Raw]]/$AA$2)*100</f>
        <v>3.395258139260595E-2</v>
      </c>
      <c r="AC1609" s="178">
        <f>FME_Ranking1[[#This Row],[Miles Score (Normalized, Unweighted)]]*$AA$3</f>
        <v>3.3952581392605952E-3</v>
      </c>
      <c r="AD1609" s="255">
        <f>_xlfn.XLOOKUP(FME_Ranking1[[#This Row],[FME ID]],FME_Input[FME_ID],FME_Input[FARMACRE100])</f>
        <v>8.6169300079345703</v>
      </c>
      <c r="AE1609" s="230">
        <f>(FME_Ranking1[[#This Row],[Ag Land Raw]]/$AD$2)*100</f>
        <v>3.5532361980824948E-4</v>
      </c>
      <c r="AF1609" s="231">
        <f>FME_Ranking1[[#This Row],[Ag Land Score (Normalized, Unweighted)]]*$AD$3</f>
        <v>1.7766180990412476E-5</v>
      </c>
      <c r="AG160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1.7115172461719202E-2</v>
      </c>
      <c r="AH1609" s="406">
        <f t="shared" si="25"/>
        <v>1612</v>
      </c>
      <c r="AI160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1.7115172461719202E-2</v>
      </c>
      <c r="AJ1609" s="257">
        <f>FME_Ranking1[[#This Row],[Addition check]]-FME_Ranking1[[#This Row],[Weighted Score Based on Normalized Reported Factors]]</f>
        <v>0</v>
      </c>
      <c r="AK1609" s="178">
        <f>_xlfn.RANK.EQ(AI1609,$AI$6:$AI$2341,0)+COUNTIF($AI$6:AI1609,AI1609)-1</f>
        <v>1612</v>
      </c>
    </row>
    <row r="1610" spans="1:37" x14ac:dyDescent="0.25">
      <c r="A1610" t="s">
        <v>4336</v>
      </c>
      <c r="B1610">
        <f>_xlfn.XLOOKUP(FME_Ranking1[[#This Row],[FME ID]],FME_Input[FME_ID],FME_Input[RFPG_NUM])</f>
        <v>3</v>
      </c>
      <c r="C1610" t="str">
        <f>_xlfn.XLOOKUP(FME_Ranking1[[#This Row],[FME ID]],FME_Input[FME_ID],FME_Input[FME_NAME])</f>
        <v>Country Club Add., Club Hill Est., &amp; Eastern Hills Est. Drainage Study Update</v>
      </c>
      <c r="D1610" t="str">
        <f>_xlfn.XLOOKUP(FME_Ranking1[[#This Row],[FME ID]],FME_Input[FME_ID],FME_Input[DESCR])</f>
        <v>Area 6</v>
      </c>
      <c r="E1610" s="256">
        <f>_xlfn.XLOOKUP(FME_Ranking1[[#This Row],[FME ID]],FME_Input[FME_ID],FME_Input[FME_COST])</f>
        <v>127000</v>
      </c>
      <c r="F1610" t="str">
        <f>_xlfn.XLOOKUP(FME_Ranking1[[#This Row],[FME ID]],FME_Input[FME_ID],FME_Input[EMER_NEED])</f>
        <v>No</v>
      </c>
      <c r="G1610">
        <f>IF(FME_Ranking!F1610="Yes",100,0)</f>
        <v>0</v>
      </c>
      <c r="H1610">
        <f>FME_Ranking1[[#This Row],[Emergency Need Score (Normalized, Unweighted)]]*$F$3</f>
        <v>0</v>
      </c>
      <c r="I1610" s="246">
        <f>_xlfn.XLOOKUP(FME_Ranking1[[#This Row],[FME ID]],FME_Input[FME_ID],FME_Input[STRUCT_100])</f>
        <v>10</v>
      </c>
      <c r="J1610" s="178">
        <f>(FME_Ranking1[[#This Row],[Structures 100 Raw]]/I$2)*100</f>
        <v>5.3549243884676344E-3</v>
      </c>
      <c r="K1610" s="178">
        <f>FME_Ranking1[[#This Row],[Structures 100  Score (Normalized, Unweighted)]]*$I$3</f>
        <v>8.0323865827014516E-4</v>
      </c>
      <c r="L1610" s="246">
        <f>_xlfn.XLOOKUP(FME_Ranking1[[#This Row],[FME ID]],FME_Input[FME_ID],FME_Input[RES_STRUCT100])</f>
        <v>10</v>
      </c>
      <c r="M1610" s="230">
        <f>(FME_Ranking1[[#This Row],[Res Structures Raw]]/L$2)*100</f>
        <v>7.0830559136433819E-3</v>
      </c>
      <c r="N1610" s="180">
        <f>FME_Ranking1[[#This Row],[Res Structures Score (Normalized, Unweighted)]]*$L$3</f>
        <v>7.0830559136433825E-4</v>
      </c>
      <c r="O1610" s="244">
        <f>_xlfn.XLOOKUP(FME_Ranking1[[#This Row],[FME ID]],FME_Input[FME_ID],FME_Input[POP100])</f>
        <v>26</v>
      </c>
      <c r="P1610" s="178">
        <f>(FME_Ranking1[[#This Row],[Pop Raw]]/$O$2)*100</f>
        <v>2.6617581117078454E-3</v>
      </c>
      <c r="Q1610" s="178">
        <f>FME_Ranking1[[#This Row],[Pop Score (Normalized, Unweighted)]]*$O$3</f>
        <v>3.9926371675617678E-4</v>
      </c>
      <c r="R1610" s="137">
        <f>_xlfn.XLOOKUP(FME_Ranking1[[#This Row],[FME ID]],FME_Input[FME_ID],FME_Input[CRITFAC100])</f>
        <v>0</v>
      </c>
      <c r="S1610" s="230">
        <f>(FME_Ranking1[[#This Row],[Critical Facilities Raw]]/$R$2)*100</f>
        <v>0</v>
      </c>
      <c r="T1610" s="180">
        <f>FME_Ranking1[[#This Row],[Critical Facilities Score (Normalized, Unweighted)]]*$R$3</f>
        <v>0</v>
      </c>
      <c r="U1610">
        <f>_xlfn.XLOOKUP(FME_Ranking1[[#This Row],[FME ID]],FME_Input[FME_ID],FME_Input[LWC])</f>
        <v>1</v>
      </c>
      <c r="V1610" s="178">
        <f>(FME_Ranking1[[#This Row],[LWC Raw]]/$U$2)*100</f>
        <v>5.7570523891767422E-2</v>
      </c>
      <c r="W1610" s="178">
        <f>FME_Ranking1[[#This Row],[LWC Score (Normalized, Unweighted)]]*$U$3</f>
        <v>1.1514104778353485E-2</v>
      </c>
      <c r="X1610" s="246">
        <f>_xlfn.XLOOKUP(FME_Ranking1[[#This Row],[FME ID]],FME_Input[FME_ID],FME_Input[ROADCLS])</f>
        <v>0</v>
      </c>
      <c r="Y1610" s="230">
        <f>(FME_Ranking1[[#This Row],[Closures Raw]]/$X$2)*100</f>
        <v>0</v>
      </c>
      <c r="Z1610" s="180">
        <f>FME_Ranking1[[#This Row],[Closures Score (Normalized, Unweighted)]]*$X$3</f>
        <v>0</v>
      </c>
      <c r="AA1610" s="253">
        <f>_xlfn.XLOOKUP(FME_Ranking1[[#This Row],[FME ID]],FME_Input[FME_ID],FME_Input[ROAD_MILES100])</f>
        <v>0.36322501301765442</v>
      </c>
      <c r="AB1610" s="178">
        <f>(FME_Ranking1[[#This Row],[Miles Raw]]/$AA$2)*100</f>
        <v>4.7757574465371409E-3</v>
      </c>
      <c r="AC1610" s="178">
        <f>FME_Ranking1[[#This Row],[Miles Score (Normalized, Unweighted)]]*$AA$3</f>
        <v>4.7757574465371412E-4</v>
      </c>
      <c r="AD1610" s="255">
        <f>_xlfn.XLOOKUP(FME_Ranking1[[#This Row],[FME ID]],FME_Input[FME_ID],FME_Input[FARMACRE100])</f>
        <v>83.124992370605469</v>
      </c>
      <c r="AE1610" s="230">
        <f>(FME_Ranking1[[#This Row],[Ag Land Raw]]/$AD$2)*100</f>
        <v>3.4277025760287372E-3</v>
      </c>
      <c r="AF1610" s="231">
        <f>FME_Ranking1[[#This Row],[Ag Land Score (Normalized, Unweighted)]]*$AD$3</f>
        <v>1.7138512880143688E-4</v>
      </c>
      <c r="AG161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1.4073873618199296E-2</v>
      </c>
      <c r="AH1610" s="406">
        <f t="shared" si="25"/>
        <v>1649</v>
      </c>
      <c r="AI161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1.4073873618199296E-2</v>
      </c>
      <c r="AJ1610" s="257">
        <f>FME_Ranking1[[#This Row],[Addition check]]-FME_Ranking1[[#This Row],[Weighted Score Based on Normalized Reported Factors]]</f>
        <v>0</v>
      </c>
      <c r="AK1610" s="178">
        <f>_xlfn.RANK.EQ(AI1610,$AI$6:$AI$2341,0)+COUNTIF($AI$6:AI1610,AI1610)-1</f>
        <v>1649</v>
      </c>
    </row>
    <row r="1611" spans="1:37" x14ac:dyDescent="0.25">
      <c r="A1611" t="s">
        <v>11209</v>
      </c>
      <c r="B1611">
        <f>_xlfn.XLOOKUP(FME_Ranking1[[#This Row],[FME ID]],FME_Input[FME_ID],FME_Input[RFPG_NUM])</f>
        <v>15</v>
      </c>
      <c r="C1611" t="str">
        <f>_xlfn.XLOOKUP(FME_Ranking1[[#This Row],[FME ID]],FME_Input[FME_ID],FME_Input[FME_NAME])</f>
        <v>Alton MDP - North Inspiration Road and West St. Jude Avenue Alternative 2</v>
      </c>
      <c r="D1611" t="str">
        <f>_xlfn.XLOOKUP(FME_Ranking1[[#This Row],[FME ID]],FME_Input[FME_ID],FME_Input[DESCR])</f>
        <v>Alternative 2, is designed to remove structures from the 25-year floodplain and more  frequent storms. This alternative consists of upsizing the storm drain under West St Jude Avenue. The trunk line will consist of 1,900 LF of a single 7’ X 5’ reinfo</v>
      </c>
      <c r="E1611" s="256">
        <f>_xlfn.XLOOKUP(FME_Ranking1[[#This Row],[FME ID]],FME_Input[FME_ID],FME_Input[FME_COST])</f>
        <v>422690</v>
      </c>
      <c r="F1611" t="str">
        <f>_xlfn.XLOOKUP(FME_Ranking1[[#This Row],[FME ID]],FME_Input[FME_ID],FME_Input[EMER_NEED])</f>
        <v>Yes</v>
      </c>
      <c r="G1611">
        <f>IF(FME_Ranking!F1611="Yes",100,0)</f>
        <v>100</v>
      </c>
      <c r="H1611">
        <f>FME_Ranking1[[#This Row],[Emergency Need Score (Normalized, Unweighted)]]*$F$3</f>
        <v>0</v>
      </c>
      <c r="I1611" s="246">
        <f>_xlfn.XLOOKUP(FME_Ranking1[[#This Row],[FME ID]],FME_Input[FME_ID],FME_Input[STRUCT_100])</f>
        <v>0</v>
      </c>
      <c r="J1611" s="178">
        <f>(FME_Ranking1[[#This Row],[Structures 100 Raw]]/I$2)*100</f>
        <v>0</v>
      </c>
      <c r="K1611" s="178">
        <f>FME_Ranking1[[#This Row],[Structures 100  Score (Normalized, Unweighted)]]*$I$3</f>
        <v>0</v>
      </c>
      <c r="L1611" s="246">
        <f>_xlfn.XLOOKUP(FME_Ranking1[[#This Row],[FME ID]],FME_Input[FME_ID],FME_Input[RES_STRUCT100])</f>
        <v>102</v>
      </c>
      <c r="M1611" s="230">
        <f>(FME_Ranking1[[#This Row],[Res Structures Raw]]/L$2)*100</f>
        <v>7.2247170319162501E-2</v>
      </c>
      <c r="N1611" s="180">
        <f>FME_Ranking1[[#This Row],[Res Structures Score (Normalized, Unweighted)]]*$L$3</f>
        <v>7.2247170319162503E-3</v>
      </c>
      <c r="O1611" s="244">
        <f>_xlfn.XLOOKUP(FME_Ranking1[[#This Row],[FME ID]],FME_Input[FME_ID],FME_Input[POP100])</f>
        <v>414</v>
      </c>
      <c r="P1611" s="178">
        <f>(FME_Ranking1[[#This Row],[Pop Raw]]/$O$2)*100</f>
        <v>4.2383379163348001E-2</v>
      </c>
      <c r="Q1611" s="178">
        <f>FME_Ranking1[[#This Row],[Pop Score (Normalized, Unweighted)]]*$O$3</f>
        <v>6.3575068745021996E-3</v>
      </c>
      <c r="R1611" s="137">
        <f>_xlfn.XLOOKUP(FME_Ranking1[[#This Row],[FME ID]],FME_Input[FME_ID],FME_Input[CRITFAC100])</f>
        <v>0</v>
      </c>
      <c r="S1611" s="230">
        <f>(FME_Ranking1[[#This Row],[Critical Facilities Raw]]/$R$2)*100</f>
        <v>0</v>
      </c>
      <c r="T1611" s="180">
        <f>FME_Ranking1[[#This Row],[Critical Facilities Score (Normalized, Unweighted)]]*$R$3</f>
        <v>0</v>
      </c>
      <c r="U1611">
        <f>_xlfn.XLOOKUP(FME_Ranking1[[#This Row],[FME ID]],FME_Input[FME_ID],FME_Input[LWC])</f>
        <v>0</v>
      </c>
      <c r="V1611" s="178">
        <f>(FME_Ranking1[[#This Row],[LWC Raw]]/$U$2)*100</f>
        <v>0</v>
      </c>
      <c r="W1611" s="178">
        <f>FME_Ranking1[[#This Row],[LWC Score (Normalized, Unweighted)]]*$U$3</f>
        <v>0</v>
      </c>
      <c r="X1611" s="246">
        <f>_xlfn.XLOOKUP(FME_Ranking1[[#This Row],[FME ID]],FME_Input[FME_ID],FME_Input[ROADCLS])</f>
        <v>0</v>
      </c>
      <c r="Y1611" s="230">
        <f>(FME_Ranking1[[#This Row],[Closures Raw]]/$X$2)*100</f>
        <v>0</v>
      </c>
      <c r="Z1611" s="180">
        <f>FME_Ranking1[[#This Row],[Closures Score (Normalized, Unweighted)]]*$X$3</f>
        <v>0</v>
      </c>
      <c r="AA1611" s="253">
        <f>_xlfn.XLOOKUP(FME_Ranking1[[#This Row],[FME ID]],FME_Input[FME_ID],FME_Input[ROAD_MILES100])</f>
        <v>2.0382800102233891</v>
      </c>
      <c r="AB1611" s="178">
        <f>(FME_Ranking1[[#This Row],[Miles Raw]]/$AA$2)*100</f>
        <v>2.6799726307612567E-2</v>
      </c>
      <c r="AC1611" s="178">
        <f>FME_Ranking1[[#This Row],[Miles Score (Normalized, Unweighted)]]*$AA$3</f>
        <v>2.6799726307612567E-3</v>
      </c>
      <c r="AD1611" s="255">
        <f>_xlfn.XLOOKUP(FME_Ranking1[[#This Row],[FME ID]],FME_Input[FME_ID],FME_Input[FARMACRE100])</f>
        <v>0</v>
      </c>
      <c r="AE1611" s="230">
        <f>(FME_Ranking1[[#This Row],[Ag Land Raw]]/$AD$2)*100</f>
        <v>0</v>
      </c>
      <c r="AF1611" s="231">
        <f>FME_Ranking1[[#This Row],[Ag Land Score (Normalized, Unweighted)]]*$AD$3</f>
        <v>0</v>
      </c>
      <c r="AG161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1.6262196537179707E-2</v>
      </c>
      <c r="AH1611" s="406">
        <f t="shared" si="25"/>
        <v>1622</v>
      </c>
      <c r="AI161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1.6262196537179707E-2</v>
      </c>
      <c r="AJ1611" s="257">
        <f>FME_Ranking1[[#This Row],[Addition check]]-FME_Ranking1[[#This Row],[Weighted Score Based on Normalized Reported Factors]]</f>
        <v>0</v>
      </c>
      <c r="AK1611" s="178">
        <f>_xlfn.RANK.EQ(AI1611,$AI$6:$AI$2341,0)+COUNTIF($AI$6:AI1611,AI1611)-1</f>
        <v>1622</v>
      </c>
    </row>
    <row r="1612" spans="1:37" x14ac:dyDescent="0.25">
      <c r="A1612" t="s">
        <v>5642</v>
      </c>
      <c r="B1612">
        <f>_xlfn.XLOOKUP(FME_Ranking1[[#This Row],[FME ID]],FME_Input[FME_ID],FME_Input[RFPG_NUM])</f>
        <v>4</v>
      </c>
      <c r="C1612" t="str">
        <f>_xlfn.XLOOKUP(FME_Ranking1[[#This Row],[FME ID]],FME_Input[FME_ID],FME_Input[FME_NAME])</f>
        <v>City of Henderson Flood Instructure Improvements Study</v>
      </c>
      <c r="D1612" t="str">
        <f>_xlfn.XLOOKUP(FME_Ranking1[[#This Row],[FME ID]],FME_Input[FME_ID],FME_Input[DESCR])</f>
        <v>Feasibility study to replace riprap lining with a concrete lining to increase maintenance efficiency and flood protection.</v>
      </c>
      <c r="E1612" s="256">
        <f>_xlfn.XLOOKUP(FME_Ranking1[[#This Row],[FME ID]],FME_Input[FME_ID],FME_Input[FME_COST])</f>
        <v>200000</v>
      </c>
      <c r="F1612" t="str">
        <f>_xlfn.XLOOKUP(FME_Ranking1[[#This Row],[FME ID]],FME_Input[FME_ID],FME_Input[EMER_NEED])</f>
        <v>Yes</v>
      </c>
      <c r="G1612">
        <f>IF(FME_Ranking!F1612="Yes",100,0)</f>
        <v>100</v>
      </c>
      <c r="H1612">
        <f>FME_Ranking1[[#This Row],[Emergency Need Score (Normalized, Unweighted)]]*$F$3</f>
        <v>0</v>
      </c>
      <c r="I1612" s="246">
        <f>_xlfn.XLOOKUP(FME_Ranking1[[#This Row],[FME ID]],FME_Input[FME_ID],FME_Input[STRUCT_100])</f>
        <v>27</v>
      </c>
      <c r="J1612" s="178">
        <f>(FME_Ranking1[[#This Row],[Structures 100 Raw]]/I$2)*100</f>
        <v>1.4458295848862615E-2</v>
      </c>
      <c r="K1612" s="178">
        <f>FME_Ranking1[[#This Row],[Structures 100  Score (Normalized, Unweighted)]]*$I$3</f>
        <v>2.1687443773293924E-3</v>
      </c>
      <c r="L1612" s="246">
        <f>_xlfn.XLOOKUP(FME_Ranking1[[#This Row],[FME ID]],FME_Input[FME_ID],FME_Input[RES_STRUCT100])</f>
        <v>24</v>
      </c>
      <c r="M1612" s="230">
        <f>(FME_Ranking1[[#This Row],[Res Structures Raw]]/L$2)*100</f>
        <v>1.6999334192744117E-2</v>
      </c>
      <c r="N1612" s="180">
        <f>FME_Ranking1[[#This Row],[Res Structures Score (Normalized, Unweighted)]]*$L$3</f>
        <v>1.6999334192744119E-3</v>
      </c>
      <c r="O1612" s="244">
        <f>_xlfn.XLOOKUP(FME_Ranking1[[#This Row],[FME ID]],FME_Input[FME_ID],FME_Input[POP100])</f>
        <v>629</v>
      </c>
      <c r="P1612" s="178">
        <f>(FME_Ranking1[[#This Row],[Pop Raw]]/$O$2)*100</f>
        <v>6.4394071240932105E-2</v>
      </c>
      <c r="Q1612" s="178">
        <f>FME_Ranking1[[#This Row],[Pop Score (Normalized, Unweighted)]]*$O$3</f>
        <v>9.6591106861398154E-3</v>
      </c>
      <c r="R1612" s="137">
        <f>_xlfn.XLOOKUP(FME_Ranking1[[#This Row],[FME ID]],FME_Input[FME_ID],FME_Input[CRITFAC100])</f>
        <v>0</v>
      </c>
      <c r="S1612" s="230">
        <f>(FME_Ranking1[[#This Row],[Critical Facilities Raw]]/$R$2)*100</f>
        <v>0</v>
      </c>
      <c r="T1612" s="180">
        <f>FME_Ranking1[[#This Row],[Critical Facilities Score (Normalized, Unweighted)]]*$R$3</f>
        <v>0</v>
      </c>
      <c r="U1612">
        <f>_xlfn.XLOOKUP(FME_Ranking1[[#This Row],[FME ID]],FME_Input[FME_ID],FME_Input[LWC])</f>
        <v>0</v>
      </c>
      <c r="V1612" s="178">
        <f>(FME_Ranking1[[#This Row],[LWC Raw]]/$U$2)*100</f>
        <v>0</v>
      </c>
      <c r="W1612" s="178">
        <f>FME_Ranking1[[#This Row],[LWC Score (Normalized, Unweighted)]]*$U$3</f>
        <v>0</v>
      </c>
      <c r="X1612" s="246">
        <f>_xlfn.XLOOKUP(FME_Ranking1[[#This Row],[FME ID]],FME_Input[FME_ID],FME_Input[ROADCLS])</f>
        <v>0</v>
      </c>
      <c r="Y1612" s="230">
        <f>(FME_Ranking1[[#This Row],[Closures Raw]]/$X$2)*100</f>
        <v>0</v>
      </c>
      <c r="Z1612" s="180">
        <f>FME_Ranking1[[#This Row],[Closures Score (Normalized, Unweighted)]]*$X$3</f>
        <v>0</v>
      </c>
      <c r="AA1612" s="253">
        <f>_xlfn.XLOOKUP(FME_Ranking1[[#This Row],[FME ID]],FME_Input[FME_ID],FME_Input[ROAD_MILES100])</f>
        <v>0.30945983529090881</v>
      </c>
      <c r="AB1612" s="178">
        <f>(FME_Ranking1[[#This Row],[Miles Raw]]/$AA$2)*100</f>
        <v>4.0688417918038084E-3</v>
      </c>
      <c r="AC1612" s="178">
        <f>FME_Ranking1[[#This Row],[Miles Score (Normalized, Unweighted)]]*$AA$3</f>
        <v>4.0688417918038086E-4</v>
      </c>
      <c r="AD1612" s="255">
        <f>_xlfn.XLOOKUP(FME_Ranking1[[#This Row],[FME ID]],FME_Input[FME_ID],FME_Input[FARMACRE100])</f>
        <v>15.02338314056396</v>
      </c>
      <c r="AE1612" s="230">
        <f>(FME_Ranking1[[#This Row],[Ag Land Raw]]/$AD$2)*100</f>
        <v>6.1949706848680097E-4</v>
      </c>
      <c r="AF1612" s="231">
        <f>FME_Ranking1[[#This Row],[Ag Land Score (Normalized, Unweighted)]]*$AD$3</f>
        <v>3.0974853424340053E-5</v>
      </c>
      <c r="AG161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1.396564751534834E-2</v>
      </c>
      <c r="AH1612" s="406">
        <f t="shared" si="25"/>
        <v>1650</v>
      </c>
      <c r="AI161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1.396564751534834E-2</v>
      </c>
      <c r="AJ1612" s="257">
        <f>FME_Ranking1[[#This Row],[Addition check]]-FME_Ranking1[[#This Row],[Weighted Score Based on Normalized Reported Factors]]</f>
        <v>0</v>
      </c>
      <c r="AK1612" s="178">
        <f>_xlfn.RANK.EQ(AI1612,$AI$6:$AI$2341,0)+COUNTIF($AI$6:AI1612,AI1612)-1</f>
        <v>1650</v>
      </c>
    </row>
    <row r="1613" spans="1:37" x14ac:dyDescent="0.25">
      <c r="A1613" t="s">
        <v>5649</v>
      </c>
      <c r="B1613">
        <f>_xlfn.XLOOKUP(FME_Ranking1[[#This Row],[FME ID]],FME_Input[FME_ID],FME_Input[RFPG_NUM])</f>
        <v>4</v>
      </c>
      <c r="C1613" t="str">
        <f>_xlfn.XLOOKUP(FME_Ranking1[[#This Row],[FME ID]],FME_Input[FME_ID],FME_Input[FME_NAME])</f>
        <v>City of Henderson Storm Drain Improvement Study</v>
      </c>
      <c r="D1613" t="str">
        <f>_xlfn.XLOOKUP(FME_Ranking1[[#This Row],[FME ID]],FME_Input[FME_ID],FME_Input[DESCR])</f>
        <v>Feasibility study to install new storm drain system to address localized neighborhood drainage issues</v>
      </c>
      <c r="E1613" s="256">
        <f>_xlfn.XLOOKUP(FME_Ranking1[[#This Row],[FME ID]],FME_Input[FME_ID],FME_Input[FME_COST])</f>
        <v>100000</v>
      </c>
      <c r="F1613" t="str">
        <f>_xlfn.XLOOKUP(FME_Ranking1[[#This Row],[FME ID]],FME_Input[FME_ID],FME_Input[EMER_NEED])</f>
        <v>Yes</v>
      </c>
      <c r="G1613">
        <f>IF(FME_Ranking!F1613="Yes",100,0)</f>
        <v>100</v>
      </c>
      <c r="H1613">
        <f>FME_Ranking1[[#This Row],[Emergency Need Score (Normalized, Unweighted)]]*$F$3</f>
        <v>0</v>
      </c>
      <c r="I1613" s="246">
        <f>_xlfn.XLOOKUP(FME_Ranking1[[#This Row],[FME ID]],FME_Input[FME_ID],FME_Input[STRUCT_100])</f>
        <v>27</v>
      </c>
      <c r="J1613" s="178">
        <f>(FME_Ranking1[[#This Row],[Structures 100 Raw]]/I$2)*100</f>
        <v>1.4458295848862615E-2</v>
      </c>
      <c r="K1613" s="178">
        <f>FME_Ranking1[[#This Row],[Structures 100  Score (Normalized, Unweighted)]]*$I$3</f>
        <v>2.1687443773293924E-3</v>
      </c>
      <c r="L1613" s="246">
        <f>_xlfn.XLOOKUP(FME_Ranking1[[#This Row],[FME ID]],FME_Input[FME_ID],FME_Input[RES_STRUCT100])</f>
        <v>24</v>
      </c>
      <c r="M1613" s="230">
        <f>(FME_Ranking1[[#This Row],[Res Structures Raw]]/L$2)*100</f>
        <v>1.6999334192744117E-2</v>
      </c>
      <c r="N1613" s="180">
        <f>FME_Ranking1[[#This Row],[Res Structures Score (Normalized, Unweighted)]]*$L$3</f>
        <v>1.6999334192744119E-3</v>
      </c>
      <c r="O1613" s="244">
        <f>_xlfn.XLOOKUP(FME_Ranking1[[#This Row],[FME ID]],FME_Input[FME_ID],FME_Input[POP100])</f>
        <v>629</v>
      </c>
      <c r="P1613" s="178">
        <f>(FME_Ranking1[[#This Row],[Pop Raw]]/$O$2)*100</f>
        <v>6.4394071240932105E-2</v>
      </c>
      <c r="Q1613" s="178">
        <f>FME_Ranking1[[#This Row],[Pop Score (Normalized, Unweighted)]]*$O$3</f>
        <v>9.6591106861398154E-3</v>
      </c>
      <c r="R1613" s="137">
        <f>_xlfn.XLOOKUP(FME_Ranking1[[#This Row],[FME ID]],FME_Input[FME_ID],FME_Input[CRITFAC100])</f>
        <v>0</v>
      </c>
      <c r="S1613" s="230">
        <f>(FME_Ranking1[[#This Row],[Critical Facilities Raw]]/$R$2)*100</f>
        <v>0</v>
      </c>
      <c r="T1613" s="180">
        <f>FME_Ranking1[[#This Row],[Critical Facilities Score (Normalized, Unweighted)]]*$R$3</f>
        <v>0</v>
      </c>
      <c r="U1613">
        <f>_xlfn.XLOOKUP(FME_Ranking1[[#This Row],[FME ID]],FME_Input[FME_ID],FME_Input[LWC])</f>
        <v>0</v>
      </c>
      <c r="V1613" s="178">
        <f>(FME_Ranking1[[#This Row],[LWC Raw]]/$U$2)*100</f>
        <v>0</v>
      </c>
      <c r="W1613" s="178">
        <f>FME_Ranking1[[#This Row],[LWC Score (Normalized, Unweighted)]]*$U$3</f>
        <v>0</v>
      </c>
      <c r="X1613" s="246">
        <f>_xlfn.XLOOKUP(FME_Ranking1[[#This Row],[FME ID]],FME_Input[FME_ID],FME_Input[ROADCLS])</f>
        <v>0</v>
      </c>
      <c r="Y1613" s="230">
        <f>(FME_Ranking1[[#This Row],[Closures Raw]]/$X$2)*100</f>
        <v>0</v>
      </c>
      <c r="Z1613" s="180">
        <f>FME_Ranking1[[#This Row],[Closures Score (Normalized, Unweighted)]]*$X$3</f>
        <v>0</v>
      </c>
      <c r="AA1613" s="253">
        <f>_xlfn.XLOOKUP(FME_Ranking1[[#This Row],[FME ID]],FME_Input[FME_ID],FME_Input[ROAD_MILES100])</f>
        <v>0.30945983529090881</v>
      </c>
      <c r="AB1613" s="178">
        <f>(FME_Ranking1[[#This Row],[Miles Raw]]/$AA$2)*100</f>
        <v>4.0688417918038084E-3</v>
      </c>
      <c r="AC1613" s="178">
        <f>FME_Ranking1[[#This Row],[Miles Score (Normalized, Unweighted)]]*$AA$3</f>
        <v>4.0688417918038086E-4</v>
      </c>
      <c r="AD1613" s="255">
        <f>_xlfn.XLOOKUP(FME_Ranking1[[#This Row],[FME ID]],FME_Input[FME_ID],FME_Input[FARMACRE100])</f>
        <v>15.02338314056396</v>
      </c>
      <c r="AE1613" s="230">
        <f>(FME_Ranking1[[#This Row],[Ag Land Raw]]/$AD$2)*100</f>
        <v>6.1949706848680097E-4</v>
      </c>
      <c r="AF1613" s="231">
        <f>FME_Ranking1[[#This Row],[Ag Land Score (Normalized, Unweighted)]]*$AD$3</f>
        <v>3.0974853424340053E-5</v>
      </c>
      <c r="AG161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1.396564751534834E-2</v>
      </c>
      <c r="AH1613" s="406">
        <f t="shared" si="25"/>
        <v>1650</v>
      </c>
      <c r="AI161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1.396564751534834E-2</v>
      </c>
      <c r="AJ1613" s="257">
        <f>FME_Ranking1[[#This Row],[Addition check]]-FME_Ranking1[[#This Row],[Weighted Score Based on Normalized Reported Factors]]</f>
        <v>0</v>
      </c>
      <c r="AK1613" s="178">
        <f>_xlfn.RANK.EQ(AI1613,$AI$6:$AI$2341,0)+COUNTIF($AI$6:AI1613,AI1613)-1</f>
        <v>1651</v>
      </c>
    </row>
    <row r="1614" spans="1:37" x14ac:dyDescent="0.25">
      <c r="A1614" t="s">
        <v>3279</v>
      </c>
      <c r="B1614">
        <f>_xlfn.XLOOKUP(FME_Ranking1[[#This Row],[FME ID]],FME_Input[FME_ID],FME_Input[RFPG_NUM])</f>
        <v>1</v>
      </c>
      <c r="C1614" t="str">
        <f>_xlfn.XLOOKUP(FME_Ranking1[[#This Row],[FME ID]],FME_Input[FME_ID],FME_Input[FME_NAME])</f>
        <v>Bennett Lake Project Planning (City of Amarillo)</v>
      </c>
      <c r="D1614" t="str">
        <f>_xlfn.XLOOKUP(FME_Ranking1[[#This Row],[FME ID]],FME_Input[FME_ID],FME_Input[DESCR])</f>
        <v>Evaluate project to quantify benefits, evaluate impacts and begin design. Excavate 140,000 CY, add new 5,000 GPM pumping station with suction line, add several force mains at various sizes. Project identified from 2019 Amarillo DMP.</v>
      </c>
      <c r="E1614" s="256">
        <f>_xlfn.XLOOKUP(FME_Ranking1[[#This Row],[FME ID]],FME_Input[FME_ID],FME_Input[FME_COST])</f>
        <v>556000</v>
      </c>
      <c r="F1614" t="str">
        <f>_xlfn.XLOOKUP(FME_Ranking1[[#This Row],[FME ID]],FME_Input[FME_ID],FME_Input[EMER_NEED])</f>
        <v>No</v>
      </c>
      <c r="G1614">
        <f>IF(FME_Ranking!F1614="Yes",100,0)</f>
        <v>0</v>
      </c>
      <c r="H1614">
        <f>FME_Ranking1[[#This Row],[Emergency Need Score (Normalized, Unweighted)]]*$F$3</f>
        <v>0</v>
      </c>
      <c r="I1614" s="246">
        <f>_xlfn.XLOOKUP(FME_Ranking1[[#This Row],[FME ID]],FME_Input[FME_ID],FME_Input[STRUCT_100])</f>
        <v>49</v>
      </c>
      <c r="J1614" s="178">
        <f>(FME_Ranking1[[#This Row],[Structures 100 Raw]]/I$2)*100</f>
        <v>2.6239129503491408E-2</v>
      </c>
      <c r="K1614" s="178">
        <f>FME_Ranking1[[#This Row],[Structures 100  Score (Normalized, Unweighted)]]*$I$3</f>
        <v>3.9358694255237107E-3</v>
      </c>
      <c r="L1614" s="246">
        <f>_xlfn.XLOOKUP(FME_Ranking1[[#This Row],[FME ID]],FME_Input[FME_ID],FME_Input[RES_STRUCT100])</f>
        <v>21</v>
      </c>
      <c r="M1614" s="230">
        <f>(FME_Ranking1[[#This Row],[Res Structures Raw]]/L$2)*100</f>
        <v>1.4874417418651103E-2</v>
      </c>
      <c r="N1614" s="180">
        <f>FME_Ranking1[[#This Row],[Res Structures Score (Normalized, Unweighted)]]*$L$3</f>
        <v>1.4874417418651103E-3</v>
      </c>
      <c r="O1614" s="244">
        <f>_xlfn.XLOOKUP(FME_Ranking1[[#This Row],[FME ID]],FME_Input[FME_ID],FME_Input[POP100])</f>
        <v>525</v>
      </c>
      <c r="P1614" s="178">
        <f>(FME_Ranking1[[#This Row],[Pop Raw]]/$O$2)*100</f>
        <v>5.3747038794100727E-2</v>
      </c>
      <c r="Q1614" s="178">
        <f>FME_Ranking1[[#This Row],[Pop Score (Normalized, Unweighted)]]*$O$3</f>
        <v>8.0620558191151093E-3</v>
      </c>
      <c r="R1614" s="137">
        <f>_xlfn.XLOOKUP(FME_Ranking1[[#This Row],[FME ID]],FME_Input[FME_ID],FME_Input[CRITFAC100])</f>
        <v>0</v>
      </c>
      <c r="S1614" s="230">
        <f>(FME_Ranking1[[#This Row],[Critical Facilities Raw]]/$R$2)*100</f>
        <v>0</v>
      </c>
      <c r="T1614" s="180">
        <f>FME_Ranking1[[#This Row],[Critical Facilities Score (Normalized, Unweighted)]]*$R$3</f>
        <v>0</v>
      </c>
      <c r="U1614">
        <f>_xlfn.XLOOKUP(FME_Ranking1[[#This Row],[FME ID]],FME_Input[FME_ID],FME_Input[LWC])</f>
        <v>0</v>
      </c>
      <c r="V1614" s="178">
        <f>(FME_Ranking1[[#This Row],[LWC Raw]]/$U$2)*100</f>
        <v>0</v>
      </c>
      <c r="W1614" s="178">
        <f>FME_Ranking1[[#This Row],[LWC Score (Normalized, Unweighted)]]*$U$3</f>
        <v>0</v>
      </c>
      <c r="X1614" s="246">
        <f>_xlfn.XLOOKUP(FME_Ranking1[[#This Row],[FME ID]],FME_Input[FME_ID],FME_Input[ROADCLS])</f>
        <v>0</v>
      </c>
      <c r="Y1614" s="230">
        <f>(FME_Ranking1[[#This Row],[Closures Raw]]/$X$2)*100</f>
        <v>0</v>
      </c>
      <c r="Z1614" s="180">
        <f>FME_Ranking1[[#This Row],[Closures Score (Normalized, Unweighted)]]*$X$3</f>
        <v>0</v>
      </c>
      <c r="AA1614" s="253">
        <f>_xlfn.XLOOKUP(FME_Ranking1[[#This Row],[FME ID]],FME_Input[FME_ID],FME_Input[ROAD_MILES100])</f>
        <v>2.8701775074005131</v>
      </c>
      <c r="AB1614" s="178">
        <f>(FME_Ranking1[[#This Row],[Miles Raw]]/$AA$2)*100</f>
        <v>3.7737686317283366E-2</v>
      </c>
      <c r="AC1614" s="178">
        <f>FME_Ranking1[[#This Row],[Miles Score (Normalized, Unweighted)]]*$AA$3</f>
        <v>3.7737686317283366E-3</v>
      </c>
      <c r="AD1614" s="255">
        <f>_xlfn.XLOOKUP(FME_Ranking1[[#This Row],[FME ID]],FME_Input[FME_ID],FME_Input[FARMACRE100])</f>
        <v>0</v>
      </c>
      <c r="AE1614" s="230">
        <f>(FME_Ranking1[[#This Row],[Ag Land Raw]]/$AD$2)*100</f>
        <v>0</v>
      </c>
      <c r="AF1614" s="231">
        <f>FME_Ranking1[[#This Row],[Ag Land Score (Normalized, Unweighted)]]*$AD$3</f>
        <v>0</v>
      </c>
      <c r="AG161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1.7259135618232266E-2</v>
      </c>
      <c r="AH1614" s="406">
        <f t="shared" si="25"/>
        <v>1609</v>
      </c>
      <c r="AI161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1.7259135618232266E-2</v>
      </c>
      <c r="AJ1614" s="257">
        <f>FME_Ranking1[[#This Row],[Addition check]]-FME_Ranking1[[#This Row],[Weighted Score Based on Normalized Reported Factors]]</f>
        <v>0</v>
      </c>
      <c r="AK1614" s="178">
        <f>_xlfn.RANK.EQ(AI1614,$AI$6:$AI$2341,0)+COUNTIF($AI$6:AI1614,AI1614)-1</f>
        <v>1609</v>
      </c>
    </row>
    <row r="1615" spans="1:37" x14ac:dyDescent="0.25">
      <c r="A1615" t="s">
        <v>3390</v>
      </c>
      <c r="B1615">
        <f>_xlfn.XLOOKUP(FME_Ranking1[[#This Row],[FME ID]],FME_Input[FME_ID],FME_Input[RFPG_NUM])</f>
        <v>1</v>
      </c>
      <c r="C1615" t="str">
        <f>_xlfn.XLOOKUP(FME_Ranking1[[#This Row],[FME ID]],FME_Input[FME_ID],FME_Input[FME_NAME])</f>
        <v>Bennett Lake Watershed Study (City of Amarillo)</v>
      </c>
      <c r="D1615" t="str">
        <f>_xlfn.XLOOKUP(FME_Ranking1[[#This Row],[FME ID]],FME_Input[FME_ID],FME_Input[DESCR])</f>
        <v>Perform H&amp;H modeling, develop conceptual alternatives and OPCC, and rank projects. Marked as very high priority in 2019 Amarillo DMP</v>
      </c>
      <c r="E1615" s="256">
        <f>_xlfn.XLOOKUP(FME_Ranking1[[#This Row],[FME ID]],FME_Input[FME_ID],FME_Input[FME_COST])</f>
        <v>195000</v>
      </c>
      <c r="F1615" t="str">
        <f>_xlfn.XLOOKUP(FME_Ranking1[[#This Row],[FME ID]],FME_Input[FME_ID],FME_Input[EMER_NEED])</f>
        <v>No</v>
      </c>
      <c r="G1615">
        <f>IF(FME_Ranking!F1615="Yes",100,0)</f>
        <v>0</v>
      </c>
      <c r="H1615">
        <f>FME_Ranking1[[#This Row],[Emergency Need Score (Normalized, Unweighted)]]*$F$3</f>
        <v>0</v>
      </c>
      <c r="I1615" s="246">
        <f>_xlfn.XLOOKUP(FME_Ranking1[[#This Row],[FME ID]],FME_Input[FME_ID],FME_Input[STRUCT_100])</f>
        <v>49</v>
      </c>
      <c r="J1615" s="178">
        <f>(FME_Ranking1[[#This Row],[Structures 100 Raw]]/I$2)*100</f>
        <v>2.6239129503491408E-2</v>
      </c>
      <c r="K1615" s="178">
        <f>FME_Ranking1[[#This Row],[Structures 100  Score (Normalized, Unweighted)]]*$I$3</f>
        <v>3.9358694255237107E-3</v>
      </c>
      <c r="L1615" s="246">
        <f>_xlfn.XLOOKUP(FME_Ranking1[[#This Row],[FME ID]],FME_Input[FME_ID],FME_Input[RES_STRUCT100])</f>
        <v>21</v>
      </c>
      <c r="M1615" s="230">
        <f>(FME_Ranking1[[#This Row],[Res Structures Raw]]/L$2)*100</f>
        <v>1.4874417418651103E-2</v>
      </c>
      <c r="N1615" s="180">
        <f>FME_Ranking1[[#This Row],[Res Structures Score (Normalized, Unweighted)]]*$L$3</f>
        <v>1.4874417418651103E-3</v>
      </c>
      <c r="O1615" s="244">
        <f>_xlfn.XLOOKUP(FME_Ranking1[[#This Row],[FME ID]],FME_Input[FME_ID],FME_Input[POP100])</f>
        <v>525</v>
      </c>
      <c r="P1615" s="178">
        <f>(FME_Ranking1[[#This Row],[Pop Raw]]/$O$2)*100</f>
        <v>5.3747038794100727E-2</v>
      </c>
      <c r="Q1615" s="178">
        <f>FME_Ranking1[[#This Row],[Pop Score (Normalized, Unweighted)]]*$O$3</f>
        <v>8.0620558191151093E-3</v>
      </c>
      <c r="R1615" s="137">
        <f>_xlfn.XLOOKUP(FME_Ranking1[[#This Row],[FME ID]],FME_Input[FME_ID],FME_Input[CRITFAC100])</f>
        <v>0</v>
      </c>
      <c r="S1615" s="230">
        <f>(FME_Ranking1[[#This Row],[Critical Facilities Raw]]/$R$2)*100</f>
        <v>0</v>
      </c>
      <c r="T1615" s="180">
        <f>FME_Ranking1[[#This Row],[Critical Facilities Score (Normalized, Unweighted)]]*$R$3</f>
        <v>0</v>
      </c>
      <c r="U1615">
        <f>_xlfn.XLOOKUP(FME_Ranking1[[#This Row],[FME ID]],FME_Input[FME_ID],FME_Input[LWC])</f>
        <v>0</v>
      </c>
      <c r="V1615" s="178">
        <f>(FME_Ranking1[[#This Row],[LWC Raw]]/$U$2)*100</f>
        <v>0</v>
      </c>
      <c r="W1615" s="178">
        <f>FME_Ranking1[[#This Row],[LWC Score (Normalized, Unweighted)]]*$U$3</f>
        <v>0</v>
      </c>
      <c r="X1615" s="246">
        <f>_xlfn.XLOOKUP(FME_Ranking1[[#This Row],[FME ID]],FME_Input[FME_ID],FME_Input[ROADCLS])</f>
        <v>0</v>
      </c>
      <c r="Y1615" s="230">
        <f>(FME_Ranking1[[#This Row],[Closures Raw]]/$X$2)*100</f>
        <v>0</v>
      </c>
      <c r="Z1615" s="180">
        <f>FME_Ranking1[[#This Row],[Closures Score (Normalized, Unweighted)]]*$X$3</f>
        <v>0</v>
      </c>
      <c r="AA1615" s="253">
        <f>_xlfn.XLOOKUP(FME_Ranking1[[#This Row],[FME ID]],FME_Input[FME_ID],FME_Input[ROAD_MILES100])</f>
        <v>2.8701775074005131</v>
      </c>
      <c r="AB1615" s="178">
        <f>(FME_Ranking1[[#This Row],[Miles Raw]]/$AA$2)*100</f>
        <v>3.7737686317283366E-2</v>
      </c>
      <c r="AC1615" s="178">
        <f>FME_Ranking1[[#This Row],[Miles Score (Normalized, Unweighted)]]*$AA$3</f>
        <v>3.7737686317283366E-3</v>
      </c>
      <c r="AD1615" s="255">
        <f>_xlfn.XLOOKUP(FME_Ranking1[[#This Row],[FME ID]],FME_Input[FME_ID],FME_Input[FARMACRE100])</f>
        <v>0</v>
      </c>
      <c r="AE1615" s="230">
        <f>(FME_Ranking1[[#This Row],[Ag Land Raw]]/$AD$2)*100</f>
        <v>0</v>
      </c>
      <c r="AF1615" s="231">
        <f>FME_Ranking1[[#This Row],[Ag Land Score (Normalized, Unweighted)]]*$AD$3</f>
        <v>0</v>
      </c>
      <c r="AG161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1.7259135618232266E-2</v>
      </c>
      <c r="AH1615" s="406">
        <f t="shared" si="25"/>
        <v>1609</v>
      </c>
      <c r="AI161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1.7259135618232266E-2</v>
      </c>
      <c r="AJ1615" s="257">
        <f>FME_Ranking1[[#This Row],[Addition check]]-FME_Ranking1[[#This Row],[Weighted Score Based on Normalized Reported Factors]]</f>
        <v>0</v>
      </c>
      <c r="AK1615" s="178">
        <f>_xlfn.RANK.EQ(AI1615,$AI$6:$AI$2341,0)+COUNTIF($AI$6:AI1615,AI1615)-1</f>
        <v>1610</v>
      </c>
    </row>
    <row r="1616" spans="1:37" x14ac:dyDescent="0.25">
      <c r="A1616" t="s">
        <v>9103</v>
      </c>
      <c r="B1616">
        <f>_xlfn.XLOOKUP(FME_Ranking1[[#This Row],[FME ID]],FME_Input[FME_ID],FME_Input[RFPG_NUM])</f>
        <v>11</v>
      </c>
      <c r="C1616" t="str">
        <f>_xlfn.XLOOKUP(FME_Ranking1[[#This Row],[FME ID]],FME_Input[FME_ID],FME_Input[FME_NAME])</f>
        <v>City of New Braunfels Wood Road/Landa Street Drainage Improvement</v>
      </c>
      <c r="D1616" t="str">
        <f>_xlfn.XLOOKUP(FME_Ranking1[[#This Row],[FME ID]],FME_Input[FME_ID],FME_Input[DESCR])</f>
        <v>Project planning for drainage improvement project to capture runoff east of Walnut Avenue and detains it in a 12-acre detention pond with 144 acre-feet of storage capacity.  The pond outfall structure discharges to an existing channel south of Wood Road.</v>
      </c>
      <c r="E1616" s="256">
        <f>_xlfn.XLOOKUP(FME_Ranking1[[#This Row],[FME ID]],FME_Input[FME_ID],FME_Input[FME_COST])</f>
        <v>3575700</v>
      </c>
      <c r="F1616" t="str">
        <f>_xlfn.XLOOKUP(FME_Ranking1[[#This Row],[FME ID]],FME_Input[FME_ID],FME_Input[EMER_NEED])</f>
        <v>No</v>
      </c>
      <c r="G1616">
        <f>IF(FME_Ranking!F1616="Yes",100,0)</f>
        <v>0</v>
      </c>
      <c r="H1616">
        <f>FME_Ranking1[[#This Row],[Emergency Need Score (Normalized, Unweighted)]]*$F$3</f>
        <v>0</v>
      </c>
      <c r="I1616" s="246">
        <f>_xlfn.XLOOKUP(FME_Ranking1[[#This Row],[FME ID]],FME_Input[FME_ID],FME_Input[STRUCT_100])</f>
        <v>47</v>
      </c>
      <c r="J1616" s="178">
        <f>(FME_Ranking1[[#This Row],[Structures 100 Raw]]/I$2)*100</f>
        <v>2.5168144625797882E-2</v>
      </c>
      <c r="K1616" s="178">
        <f>FME_Ranking1[[#This Row],[Structures 100  Score (Normalized, Unweighted)]]*$I$3</f>
        <v>3.7752216938696822E-3</v>
      </c>
      <c r="L1616" s="246">
        <f>_xlfn.XLOOKUP(FME_Ranking1[[#This Row],[FME ID]],FME_Input[FME_ID],FME_Input[RES_STRUCT100])</f>
        <v>23</v>
      </c>
      <c r="M1616" s="230">
        <f>(FME_Ranking1[[#This Row],[Res Structures Raw]]/L$2)*100</f>
        <v>1.6291028601379778E-2</v>
      </c>
      <c r="N1616" s="180">
        <f>FME_Ranking1[[#This Row],[Res Structures Score (Normalized, Unweighted)]]*$L$3</f>
        <v>1.6291028601379779E-3</v>
      </c>
      <c r="O1616" s="244">
        <f>_xlfn.XLOOKUP(FME_Ranking1[[#This Row],[FME ID]],FME_Input[FME_ID],FME_Input[POP100])</f>
        <v>523</v>
      </c>
      <c r="P1616" s="178">
        <f>(FME_Ranking1[[#This Row],[Pop Raw]]/$O$2)*100</f>
        <v>5.3542288170123201E-2</v>
      </c>
      <c r="Q1616" s="178">
        <f>FME_Ranking1[[#This Row],[Pop Score (Normalized, Unweighted)]]*$O$3</f>
        <v>8.0313432255184804E-3</v>
      </c>
      <c r="R1616" s="137">
        <f>_xlfn.XLOOKUP(FME_Ranking1[[#This Row],[FME ID]],FME_Input[FME_ID],FME_Input[CRITFAC100])</f>
        <v>0</v>
      </c>
      <c r="S1616" s="230">
        <f>(FME_Ranking1[[#This Row],[Critical Facilities Raw]]/$R$2)*100</f>
        <v>0</v>
      </c>
      <c r="T1616" s="180">
        <f>FME_Ranking1[[#This Row],[Critical Facilities Score (Normalized, Unweighted)]]*$R$3</f>
        <v>0</v>
      </c>
      <c r="U1616">
        <f>_xlfn.XLOOKUP(FME_Ranking1[[#This Row],[FME ID]],FME_Input[FME_ID],FME_Input[LWC])</f>
        <v>0</v>
      </c>
      <c r="V1616" s="178">
        <f>(FME_Ranking1[[#This Row],[LWC Raw]]/$U$2)*100</f>
        <v>0</v>
      </c>
      <c r="W1616" s="178">
        <f>FME_Ranking1[[#This Row],[LWC Score (Normalized, Unweighted)]]*$U$3</f>
        <v>0</v>
      </c>
      <c r="X1616" s="246">
        <f>_xlfn.XLOOKUP(FME_Ranking1[[#This Row],[FME ID]],FME_Input[FME_ID],FME_Input[ROADCLS])</f>
        <v>0</v>
      </c>
      <c r="Y1616" s="230">
        <f>(FME_Ranking1[[#This Row],[Closures Raw]]/$X$2)*100</f>
        <v>0</v>
      </c>
      <c r="Z1616" s="180">
        <f>FME_Ranking1[[#This Row],[Closures Score (Normalized, Unweighted)]]*$X$3</f>
        <v>0</v>
      </c>
      <c r="AA1616" s="253">
        <f>_xlfn.XLOOKUP(FME_Ranking1[[#This Row],[FME ID]],FME_Input[FME_ID],FME_Input[ROAD_MILES100])</f>
        <v>0.70844906568527222</v>
      </c>
      <c r="AB1616" s="178">
        <f>(FME_Ranking1[[#This Row],[Miles Raw]]/$AA$2)*100</f>
        <v>9.3148345507093992E-3</v>
      </c>
      <c r="AC1616" s="178">
        <f>FME_Ranking1[[#This Row],[Miles Score (Normalized, Unweighted)]]*$AA$3</f>
        <v>9.3148345507094001E-4</v>
      </c>
      <c r="AD1616" s="255">
        <f>_xlfn.XLOOKUP(FME_Ranking1[[#This Row],[FME ID]],FME_Input[FME_ID],FME_Input[FARMACRE100])</f>
        <v>0</v>
      </c>
      <c r="AE1616" s="230">
        <f>(FME_Ranking1[[#This Row],[Ag Land Raw]]/$AD$2)*100</f>
        <v>0</v>
      </c>
      <c r="AF1616" s="231">
        <f>FME_Ranking1[[#This Row],[Ag Land Score (Normalized, Unweighted)]]*$AD$3</f>
        <v>0</v>
      </c>
      <c r="AG161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1.4367151234597079E-2</v>
      </c>
      <c r="AH1616" s="406">
        <f t="shared" si="25"/>
        <v>1645</v>
      </c>
      <c r="AI161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1.4367151234597079E-2</v>
      </c>
      <c r="AJ1616" s="257">
        <f>FME_Ranking1[[#This Row],[Addition check]]-FME_Ranking1[[#This Row],[Weighted Score Based on Normalized Reported Factors]]</f>
        <v>0</v>
      </c>
      <c r="AK1616" s="178">
        <f>_xlfn.RANK.EQ(AI1616,$AI$6:$AI$2341,0)+COUNTIF($AI$6:AI1616,AI1616)-1</f>
        <v>1645</v>
      </c>
    </row>
    <row r="1617" spans="1:37" x14ac:dyDescent="0.25">
      <c r="A1617" t="s">
        <v>1865</v>
      </c>
      <c r="B1617">
        <f>_xlfn.XLOOKUP(FME_Ranking1[[#This Row],[FME ID]],FME_Input[FME_ID],FME_Input[RFPG_NUM])</f>
        <v>6</v>
      </c>
      <c r="C1617" t="str">
        <f>_xlfn.XLOOKUP(FME_Ranking1[[#This Row],[FME ID]],FME_Input[FME_ID],FME_Input[FME_NAME])</f>
        <v xml:space="preserve">Armand Bayou - Design and Construction of the B509-03-00 and B509-04-00 Stormwater Detention Basins </v>
      </c>
      <c r="D1617" t="str">
        <f>_xlfn.XLOOKUP(FME_Ranking1[[#This Row],[FME ID]],FME_Input[FME_ID],FME_Input[DESCR])</f>
        <v>Study to develop a Benefit Cost Analysis needed for this project to become a FMP.  Design and Construction of this stormwater detention basin could reduce the risk of flooding for over 400 structures in an Atlas 14 1% rainfall event.</v>
      </c>
      <c r="E1617" s="256">
        <f>_xlfn.XLOOKUP(FME_Ranking1[[#This Row],[FME ID]],FME_Input[FME_ID],FME_Input[FME_COST])</f>
        <v>30000</v>
      </c>
      <c r="F1617" t="str">
        <f>_xlfn.XLOOKUP(FME_Ranking1[[#This Row],[FME ID]],FME_Input[FME_ID],FME_Input[EMER_NEED])</f>
        <v>No</v>
      </c>
      <c r="G1617">
        <f>IF(FME_Ranking!F1617="Yes",100,0)</f>
        <v>0</v>
      </c>
      <c r="H1617">
        <f>FME_Ranking1[[#This Row],[Emergency Need Score (Normalized, Unweighted)]]*$F$3</f>
        <v>0</v>
      </c>
      <c r="I1617" s="246">
        <f>_xlfn.XLOOKUP(FME_Ranking1[[#This Row],[FME ID]],FME_Input[FME_ID],FME_Input[STRUCT_100])</f>
        <v>63</v>
      </c>
      <c r="J1617" s="178">
        <f>(FME_Ranking1[[#This Row],[Structures 100 Raw]]/I$2)*100</f>
        <v>3.3736023647346104E-2</v>
      </c>
      <c r="K1617" s="178">
        <f>FME_Ranking1[[#This Row],[Structures 100  Score (Normalized, Unweighted)]]*$I$3</f>
        <v>5.0604035471019156E-3</v>
      </c>
      <c r="L1617" s="246">
        <f>_xlfn.XLOOKUP(FME_Ranking1[[#This Row],[FME ID]],FME_Input[FME_ID],FME_Input[RES_STRUCT100])</f>
        <v>16</v>
      </c>
      <c r="M1617" s="230">
        <f>(FME_Ranking1[[#This Row],[Res Structures Raw]]/L$2)*100</f>
        <v>1.1332889461829412E-2</v>
      </c>
      <c r="N1617" s="180">
        <f>FME_Ranking1[[#This Row],[Res Structures Score (Normalized, Unweighted)]]*$L$3</f>
        <v>1.1332889461829413E-3</v>
      </c>
      <c r="O1617" s="244">
        <f>_xlfn.XLOOKUP(FME_Ranking1[[#This Row],[FME ID]],FME_Input[FME_ID],FME_Input[POP100])</f>
        <v>468</v>
      </c>
      <c r="P1617" s="178">
        <f>(FME_Ranking1[[#This Row],[Pop Raw]]/$O$2)*100</f>
        <v>4.7911646010741216E-2</v>
      </c>
      <c r="Q1617" s="178">
        <f>FME_Ranking1[[#This Row],[Pop Score (Normalized, Unweighted)]]*$O$3</f>
        <v>7.1867469016111823E-3</v>
      </c>
      <c r="R1617" s="137">
        <f>_xlfn.XLOOKUP(FME_Ranking1[[#This Row],[FME ID]],FME_Input[FME_ID],FME_Input[CRITFAC100])</f>
        <v>0</v>
      </c>
      <c r="S1617" s="230">
        <f>(FME_Ranking1[[#This Row],[Critical Facilities Raw]]/$R$2)*100</f>
        <v>0</v>
      </c>
      <c r="T1617" s="180">
        <f>FME_Ranking1[[#This Row],[Critical Facilities Score (Normalized, Unweighted)]]*$R$3</f>
        <v>0</v>
      </c>
      <c r="U1617">
        <f>_xlfn.XLOOKUP(FME_Ranking1[[#This Row],[FME ID]],FME_Input[FME_ID],FME_Input[LWC])</f>
        <v>0</v>
      </c>
      <c r="V1617" s="178">
        <f>(FME_Ranking1[[#This Row],[LWC Raw]]/$U$2)*100</f>
        <v>0</v>
      </c>
      <c r="W1617" s="178">
        <f>FME_Ranking1[[#This Row],[LWC Score (Normalized, Unweighted)]]*$U$3</f>
        <v>0</v>
      </c>
      <c r="X1617" s="246">
        <f>_xlfn.XLOOKUP(FME_Ranking1[[#This Row],[FME ID]],FME_Input[FME_ID],FME_Input[ROADCLS])</f>
        <v>0</v>
      </c>
      <c r="Y1617" s="230">
        <f>(FME_Ranking1[[#This Row],[Closures Raw]]/$X$2)*100</f>
        <v>0</v>
      </c>
      <c r="Z1617" s="180">
        <f>FME_Ranking1[[#This Row],[Closures Score (Normalized, Unweighted)]]*$X$3</f>
        <v>0</v>
      </c>
      <c r="AA1617" s="253">
        <f>_xlfn.XLOOKUP(FME_Ranking1[[#This Row],[FME ID]],FME_Input[FME_ID],FME_Input[ROAD_MILES100])</f>
        <v>2.8047490119934082</v>
      </c>
      <c r="AB1617" s="178">
        <f>(FME_Ranking1[[#This Row],[Miles Raw]]/$AA$2)*100</f>
        <v>3.6877418954195648E-2</v>
      </c>
      <c r="AC1617" s="178">
        <f>FME_Ranking1[[#This Row],[Miles Score (Normalized, Unweighted)]]*$AA$3</f>
        <v>3.6877418954195649E-3</v>
      </c>
      <c r="AD1617" s="255">
        <f>_xlfn.XLOOKUP(FME_Ranking1[[#This Row],[FME ID]],FME_Input[FME_ID],FME_Input[FARMACRE100])</f>
        <v>6.1562490463256836</v>
      </c>
      <c r="AE1617" s="230">
        <f>(FME_Ranking1[[#This Row],[Ag Land Raw]]/$AD$2)*100</f>
        <v>2.5385615219890219E-4</v>
      </c>
      <c r="AF1617" s="231">
        <f>FME_Ranking1[[#This Row],[Ag Land Score (Normalized, Unweighted)]]*$AD$3</f>
        <v>1.2692807609945111E-5</v>
      </c>
      <c r="AG161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1.7080874097925552E-2</v>
      </c>
      <c r="AH1617" s="406">
        <f t="shared" si="25"/>
        <v>1613</v>
      </c>
      <c r="AI161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1.7080874097925552E-2</v>
      </c>
      <c r="AJ1617" s="257">
        <f>FME_Ranking1[[#This Row],[Addition check]]-FME_Ranking1[[#This Row],[Weighted Score Based on Normalized Reported Factors]]</f>
        <v>0</v>
      </c>
      <c r="AK1617" s="178">
        <f>_xlfn.RANK.EQ(AI1617,$AI$6:$AI$2341,0)+COUNTIF($AI$6:AI1617,AI1617)-1</f>
        <v>1613</v>
      </c>
    </row>
    <row r="1618" spans="1:37" x14ac:dyDescent="0.25">
      <c r="A1618" t="s">
        <v>131</v>
      </c>
      <c r="B1618">
        <f>_xlfn.XLOOKUP(FME_Ranking1[[#This Row],[FME ID]],FME_Input[FME_ID],FME_Input[RFPG_NUM])</f>
        <v>10</v>
      </c>
      <c r="C1618" t="str">
        <f>_xlfn.XLOOKUP(FME_Ranking1[[#This Row],[FME ID]],FME_Input[FME_ID],FME_Input[FME_NAME])</f>
        <v xml:space="preserve">Piney Creek Benching_x000D_
</v>
      </c>
      <c r="D1618" t="str">
        <f>_xlfn.XLOOKUP(FME_Ranking1[[#This Row],[FME ID]],FME_Input[FME_ID],FME_Input[DESCR])</f>
        <v>4,430 LF channel benching</v>
      </c>
      <c r="E1618" s="256">
        <f>_xlfn.XLOOKUP(FME_Ranking1[[#This Row],[FME ID]],FME_Input[FME_ID],FME_Input[FME_COST])</f>
        <v>200000</v>
      </c>
      <c r="F1618" t="str">
        <f>_xlfn.XLOOKUP(FME_Ranking1[[#This Row],[FME ID]],FME_Input[FME_ID],FME_Input[EMER_NEED])</f>
        <v>No</v>
      </c>
      <c r="G1618">
        <f>IF(FME_Ranking!F1618="Yes",100,0)</f>
        <v>0</v>
      </c>
      <c r="H1618">
        <f>FME_Ranking1[[#This Row],[Emergency Need Score (Normalized, Unweighted)]]*$F$3</f>
        <v>0</v>
      </c>
      <c r="I1618" s="246">
        <f>_xlfn.XLOOKUP(FME_Ranking1[[#This Row],[FME ID]],FME_Input[FME_ID],FME_Input[STRUCT_100])</f>
        <v>9</v>
      </c>
      <c r="J1618" s="178">
        <f>(FME_Ranking1[[#This Row],[Structures 100 Raw]]/I$2)*100</f>
        <v>4.8194319496208714E-3</v>
      </c>
      <c r="K1618" s="178">
        <f>FME_Ranking1[[#This Row],[Structures 100  Score (Normalized, Unweighted)]]*$I$3</f>
        <v>7.2291479244313071E-4</v>
      </c>
      <c r="L1618" s="246">
        <f>_xlfn.XLOOKUP(FME_Ranking1[[#This Row],[FME ID]],FME_Input[FME_ID],FME_Input[RES_STRUCT100])</f>
        <v>5</v>
      </c>
      <c r="M1618" s="230">
        <f>(FME_Ranking1[[#This Row],[Res Structures Raw]]/L$2)*100</f>
        <v>3.5415279568216909E-3</v>
      </c>
      <c r="N1618" s="180">
        <f>FME_Ranking1[[#This Row],[Res Structures Score (Normalized, Unweighted)]]*$L$3</f>
        <v>3.5415279568216913E-4</v>
      </c>
      <c r="O1618" s="244">
        <f>_xlfn.XLOOKUP(FME_Ranking1[[#This Row],[FME ID]],FME_Input[FME_ID],FME_Input[POP100])</f>
        <v>44</v>
      </c>
      <c r="P1618" s="178">
        <f>(FME_Ranking1[[#This Row],[Pop Raw]]/$O$2)*100</f>
        <v>4.5045137275055843E-3</v>
      </c>
      <c r="Q1618" s="178">
        <f>FME_Ranking1[[#This Row],[Pop Score (Normalized, Unweighted)]]*$O$3</f>
        <v>6.7567705912583765E-4</v>
      </c>
      <c r="R1618" s="137">
        <f>_xlfn.XLOOKUP(FME_Ranking1[[#This Row],[FME ID]],FME_Input[FME_ID],FME_Input[CRITFAC100])</f>
        <v>0</v>
      </c>
      <c r="S1618" s="230">
        <f>(FME_Ranking1[[#This Row],[Critical Facilities Raw]]/$R$2)*100</f>
        <v>0</v>
      </c>
      <c r="T1618" s="180">
        <f>FME_Ranking1[[#This Row],[Critical Facilities Score (Normalized, Unweighted)]]*$R$3</f>
        <v>0</v>
      </c>
      <c r="U1618">
        <f>_xlfn.XLOOKUP(FME_Ranking1[[#This Row],[FME ID]],FME_Input[FME_ID],FME_Input[LWC])</f>
        <v>1</v>
      </c>
      <c r="V1618" s="178">
        <f>(FME_Ranking1[[#This Row],[LWC Raw]]/$U$2)*100</f>
        <v>5.7570523891767422E-2</v>
      </c>
      <c r="W1618" s="178">
        <f>FME_Ranking1[[#This Row],[LWC Score (Normalized, Unweighted)]]*$U$3</f>
        <v>1.1514104778353485E-2</v>
      </c>
      <c r="X1618" s="246">
        <f>_xlfn.XLOOKUP(FME_Ranking1[[#This Row],[FME ID]],FME_Input[FME_ID],FME_Input[ROADCLS])</f>
        <v>0</v>
      </c>
      <c r="Y1618" s="230">
        <f>(FME_Ranking1[[#This Row],[Closures Raw]]/$X$2)*100</f>
        <v>0</v>
      </c>
      <c r="Z1618" s="180">
        <f>FME_Ranking1[[#This Row],[Closures Score (Normalized, Unweighted)]]*$X$3</f>
        <v>0</v>
      </c>
      <c r="AA1618" s="253">
        <f>_xlfn.XLOOKUP(FME_Ranking1[[#This Row],[FME ID]],FME_Input[FME_ID],FME_Input[ROAD_MILES100])</f>
        <v>0.19196777045726779</v>
      </c>
      <c r="AB1618" s="178">
        <f>(FME_Ranking1[[#This Row],[Miles Raw]]/$AA$2)*100</f>
        <v>2.5240318711527419E-3</v>
      </c>
      <c r="AC1618" s="178">
        <f>FME_Ranking1[[#This Row],[Miles Score (Normalized, Unweighted)]]*$AA$3</f>
        <v>2.5240318711527418E-4</v>
      </c>
      <c r="AD1618" s="255">
        <f>_xlfn.XLOOKUP(FME_Ranking1[[#This Row],[FME ID]],FME_Input[FME_ID],FME_Input[FARMACRE100])</f>
        <v>36.893760681152337</v>
      </c>
      <c r="AE1618" s="230">
        <f>(FME_Ranking1[[#This Row],[Ag Land Raw]]/$AD$2)*100</f>
        <v>1.5213335354349157E-3</v>
      </c>
      <c r="AF1618" s="231">
        <f>FME_Ranking1[[#This Row],[Ag Land Score (Normalized, Unweighted)]]*$AD$3</f>
        <v>7.6066676771745795E-5</v>
      </c>
      <c r="AG161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1.3595319289491642E-2</v>
      </c>
      <c r="AH1618" s="406">
        <f t="shared" si="25"/>
        <v>1655</v>
      </c>
      <c r="AI161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1.3595319289491642E-2</v>
      </c>
      <c r="AJ1618" s="257">
        <f>FME_Ranking1[[#This Row],[Addition check]]-FME_Ranking1[[#This Row],[Weighted Score Based on Normalized Reported Factors]]</f>
        <v>0</v>
      </c>
      <c r="AK1618" s="178">
        <f>_xlfn.RANK.EQ(AI1618,$AI$6:$AI$2341,0)+COUNTIF($AI$6:AI1618,AI1618)-1</f>
        <v>1655</v>
      </c>
    </row>
    <row r="1619" spans="1:37" x14ac:dyDescent="0.25">
      <c r="A1619" t="s">
        <v>5936</v>
      </c>
      <c r="B1619">
        <f>_xlfn.XLOOKUP(FME_Ranking1[[#This Row],[FME ID]],FME_Input[FME_ID],FME_Input[RFPG_NUM])</f>
        <v>5</v>
      </c>
      <c r="C1619" t="str">
        <f>_xlfn.XLOOKUP(FME_Ranking1[[#This Row],[FME ID]],FME_Input[FME_ID],FME_Input[FME_NAME])</f>
        <v>Sabine County Update Flood Hazard Mapping</v>
      </c>
      <c r="D1619" t="str">
        <f>_xlfn.XLOOKUP(FME_Ranking1[[#This Row],[FME ID]],FME_Input[FME_ID],FME_Input[DESCR])</f>
        <v>Complete a detailed study within the county extent to delineate an updated flood hazard area, which can be used for regulatory purposes.</v>
      </c>
      <c r="E1619" s="256">
        <f>_xlfn.XLOOKUP(FME_Ranking1[[#This Row],[FME ID]],FME_Input[FME_ID],FME_Input[FME_COST])</f>
        <v>182571</v>
      </c>
      <c r="F1619" t="str">
        <f>_xlfn.XLOOKUP(FME_Ranking1[[#This Row],[FME ID]],FME_Input[FME_ID],FME_Input[EMER_NEED])</f>
        <v>Yes</v>
      </c>
      <c r="G1619">
        <f>IF(FME_Ranking!F1619="Yes",100,0)</f>
        <v>100</v>
      </c>
      <c r="H1619">
        <f>FME_Ranking1[[#This Row],[Emergency Need Score (Normalized, Unweighted)]]*$F$3</f>
        <v>0</v>
      </c>
      <c r="I1619" s="246">
        <f>_xlfn.XLOOKUP(FME_Ranking1[[#This Row],[FME ID]],FME_Input[FME_ID],FME_Input[STRUCT_100])</f>
        <v>11</v>
      </c>
      <c r="J1619" s="178">
        <f>(FME_Ranking1[[#This Row],[Structures 100 Raw]]/I$2)*100</f>
        <v>5.8904168273143983E-3</v>
      </c>
      <c r="K1619" s="178">
        <f>FME_Ranking1[[#This Row],[Structures 100  Score (Normalized, Unweighted)]]*$I$3</f>
        <v>8.8356252409715972E-4</v>
      </c>
      <c r="L1619" s="246">
        <f>_xlfn.XLOOKUP(FME_Ranking1[[#This Row],[FME ID]],FME_Input[FME_ID],FME_Input[RES_STRUCT100])</f>
        <v>2</v>
      </c>
      <c r="M1619" s="230">
        <f>(FME_Ranking1[[#This Row],[Res Structures Raw]]/L$2)*100</f>
        <v>1.4166111827286765E-3</v>
      </c>
      <c r="N1619" s="180">
        <f>FME_Ranking1[[#This Row],[Res Structures Score (Normalized, Unweighted)]]*$L$3</f>
        <v>1.4166111827286767E-4</v>
      </c>
      <c r="O1619" s="244">
        <f>_xlfn.XLOOKUP(FME_Ranking1[[#This Row],[FME ID]],FME_Input[FME_ID],FME_Input[POP100])</f>
        <v>16</v>
      </c>
      <c r="P1619" s="178">
        <f>(FME_Ranking1[[#This Row],[Pop Raw]]/$O$2)*100</f>
        <v>1.6380049918202125E-3</v>
      </c>
      <c r="Q1619" s="178">
        <f>FME_Ranking1[[#This Row],[Pop Score (Normalized, Unweighted)]]*$O$3</f>
        <v>2.4570074877303187E-4</v>
      </c>
      <c r="R1619" s="137">
        <f>_xlfn.XLOOKUP(FME_Ranking1[[#This Row],[FME ID]],FME_Input[FME_ID],FME_Input[CRITFAC100])</f>
        <v>0</v>
      </c>
      <c r="S1619" s="230">
        <f>(FME_Ranking1[[#This Row],[Critical Facilities Raw]]/$R$2)*100</f>
        <v>0</v>
      </c>
      <c r="T1619" s="180">
        <f>FME_Ranking1[[#This Row],[Critical Facilities Score (Normalized, Unweighted)]]*$R$3</f>
        <v>0</v>
      </c>
      <c r="U1619">
        <f>_xlfn.XLOOKUP(FME_Ranking1[[#This Row],[FME ID]],FME_Input[FME_ID],FME_Input[LWC])</f>
        <v>1</v>
      </c>
      <c r="V1619" s="178">
        <f>(FME_Ranking1[[#This Row],[LWC Raw]]/$U$2)*100</f>
        <v>5.7570523891767422E-2</v>
      </c>
      <c r="W1619" s="178">
        <f>FME_Ranking1[[#This Row],[LWC Score (Normalized, Unweighted)]]*$U$3</f>
        <v>1.1514104778353485E-2</v>
      </c>
      <c r="X1619" s="246">
        <f>_xlfn.XLOOKUP(FME_Ranking1[[#This Row],[FME ID]],FME_Input[FME_ID],FME_Input[ROADCLS])</f>
        <v>1</v>
      </c>
      <c r="Y1619" s="230">
        <f>(FME_Ranking1[[#This Row],[Closures Raw]]/$X$2)*100</f>
        <v>1.0514141520344864E-2</v>
      </c>
      <c r="Z1619" s="180">
        <f>FME_Ranking1[[#This Row],[Closures Score (Normalized, Unweighted)]]*$X$3</f>
        <v>5.2570707601724321E-4</v>
      </c>
      <c r="AA1619" s="253">
        <f>_xlfn.XLOOKUP(FME_Ranking1[[#This Row],[FME ID]],FME_Input[FME_ID],FME_Input[ROAD_MILES100])</f>
        <v>2.669447660446167</v>
      </c>
      <c r="AB1619" s="178">
        <f>(FME_Ranking1[[#This Row],[Miles Raw]]/$AA$2)*100</f>
        <v>3.5098448855716023E-2</v>
      </c>
      <c r="AC1619" s="178">
        <f>FME_Ranking1[[#This Row],[Miles Score (Normalized, Unweighted)]]*$AA$3</f>
        <v>3.5098448855716024E-3</v>
      </c>
      <c r="AD1619" s="255">
        <f>_xlfn.XLOOKUP(FME_Ranking1[[#This Row],[FME ID]],FME_Input[FME_ID],FME_Input[FARMACRE100])</f>
        <v>4.9565868377685547</v>
      </c>
      <c r="AE1619" s="230">
        <f>(FME_Ranking1[[#This Row],[Ag Land Raw]]/$AD$2)*100</f>
        <v>2.0438745301030886E-4</v>
      </c>
      <c r="AF1619" s="231">
        <f>FME_Ranking1[[#This Row],[Ag Land Score (Normalized, Unweighted)]]*$AD$3</f>
        <v>1.0219372650515445E-5</v>
      </c>
      <c r="AG161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1.6830800503735907E-2</v>
      </c>
      <c r="AH1619" s="406">
        <f t="shared" si="25"/>
        <v>1617</v>
      </c>
      <c r="AI161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1.6830800503735907E-2</v>
      </c>
      <c r="AJ1619" s="257">
        <f>FME_Ranking1[[#This Row],[Addition check]]-FME_Ranking1[[#This Row],[Weighted Score Based on Normalized Reported Factors]]</f>
        <v>0</v>
      </c>
      <c r="AK1619" s="178">
        <f>_xlfn.RANK.EQ(AI1619,$AI$6:$AI$2341,0)+COUNTIF($AI$6:AI1619,AI1619)-1</f>
        <v>1617</v>
      </c>
    </row>
    <row r="1620" spans="1:37" x14ac:dyDescent="0.25">
      <c r="A1620" t="s">
        <v>6165</v>
      </c>
      <c r="B1620">
        <f>_xlfn.XLOOKUP(FME_Ranking1[[#This Row],[FME ID]],FME_Input[FME_ID],FME_Input[RFPG_NUM])</f>
        <v>5</v>
      </c>
      <c r="C1620" t="str">
        <f>_xlfn.XLOOKUP(FME_Ranking1[[#This Row],[FME ID]],FME_Input[FME_ID],FME_Input[FME_NAME])</f>
        <v>Sabine County Master Drainage Plan</v>
      </c>
      <c r="D1620"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1620" s="256">
        <f>_xlfn.XLOOKUP(FME_Ranking1[[#This Row],[FME ID]],FME_Input[FME_ID],FME_Input[FME_COST])</f>
        <v>76348</v>
      </c>
      <c r="F1620" t="str">
        <f>_xlfn.XLOOKUP(FME_Ranking1[[#This Row],[FME ID]],FME_Input[FME_ID],FME_Input[EMER_NEED])</f>
        <v>Yes</v>
      </c>
      <c r="G1620">
        <f>IF(FME_Ranking!F1620="Yes",100,0)</f>
        <v>100</v>
      </c>
      <c r="H1620">
        <f>FME_Ranking1[[#This Row],[Emergency Need Score (Normalized, Unweighted)]]*$F$3</f>
        <v>0</v>
      </c>
      <c r="I1620" s="246">
        <f>_xlfn.XLOOKUP(FME_Ranking1[[#This Row],[FME ID]],FME_Input[FME_ID],FME_Input[STRUCT_100])</f>
        <v>11</v>
      </c>
      <c r="J1620" s="178">
        <f>(FME_Ranking1[[#This Row],[Structures 100 Raw]]/I$2)*100</f>
        <v>5.8904168273143983E-3</v>
      </c>
      <c r="K1620" s="178">
        <f>FME_Ranking1[[#This Row],[Structures 100  Score (Normalized, Unweighted)]]*$I$3</f>
        <v>8.8356252409715972E-4</v>
      </c>
      <c r="L1620" s="246">
        <f>_xlfn.XLOOKUP(FME_Ranking1[[#This Row],[FME ID]],FME_Input[FME_ID],FME_Input[RES_STRUCT100])</f>
        <v>2</v>
      </c>
      <c r="M1620" s="230">
        <f>(FME_Ranking1[[#This Row],[Res Structures Raw]]/L$2)*100</f>
        <v>1.4166111827286765E-3</v>
      </c>
      <c r="N1620" s="180">
        <f>FME_Ranking1[[#This Row],[Res Structures Score (Normalized, Unweighted)]]*$L$3</f>
        <v>1.4166111827286767E-4</v>
      </c>
      <c r="O1620" s="244">
        <f>_xlfn.XLOOKUP(FME_Ranking1[[#This Row],[FME ID]],FME_Input[FME_ID],FME_Input[POP100])</f>
        <v>16</v>
      </c>
      <c r="P1620" s="178">
        <f>(FME_Ranking1[[#This Row],[Pop Raw]]/$O$2)*100</f>
        <v>1.6380049918202125E-3</v>
      </c>
      <c r="Q1620" s="178">
        <f>FME_Ranking1[[#This Row],[Pop Score (Normalized, Unweighted)]]*$O$3</f>
        <v>2.4570074877303187E-4</v>
      </c>
      <c r="R1620" s="137">
        <f>_xlfn.XLOOKUP(FME_Ranking1[[#This Row],[FME ID]],FME_Input[FME_ID],FME_Input[CRITFAC100])</f>
        <v>0</v>
      </c>
      <c r="S1620" s="230">
        <f>(FME_Ranking1[[#This Row],[Critical Facilities Raw]]/$R$2)*100</f>
        <v>0</v>
      </c>
      <c r="T1620" s="180">
        <f>FME_Ranking1[[#This Row],[Critical Facilities Score (Normalized, Unweighted)]]*$R$3</f>
        <v>0</v>
      </c>
      <c r="U1620">
        <f>_xlfn.XLOOKUP(FME_Ranking1[[#This Row],[FME ID]],FME_Input[FME_ID],FME_Input[LWC])</f>
        <v>1</v>
      </c>
      <c r="V1620" s="178">
        <f>(FME_Ranking1[[#This Row],[LWC Raw]]/$U$2)*100</f>
        <v>5.7570523891767422E-2</v>
      </c>
      <c r="W1620" s="178">
        <f>FME_Ranking1[[#This Row],[LWC Score (Normalized, Unweighted)]]*$U$3</f>
        <v>1.1514104778353485E-2</v>
      </c>
      <c r="X1620" s="246">
        <f>_xlfn.XLOOKUP(FME_Ranking1[[#This Row],[FME ID]],FME_Input[FME_ID],FME_Input[ROADCLS])</f>
        <v>1</v>
      </c>
      <c r="Y1620" s="230">
        <f>(FME_Ranking1[[#This Row],[Closures Raw]]/$X$2)*100</f>
        <v>1.0514141520344864E-2</v>
      </c>
      <c r="Z1620" s="180">
        <f>FME_Ranking1[[#This Row],[Closures Score (Normalized, Unweighted)]]*$X$3</f>
        <v>5.2570707601724321E-4</v>
      </c>
      <c r="AA1620" s="253">
        <f>_xlfn.XLOOKUP(FME_Ranking1[[#This Row],[FME ID]],FME_Input[FME_ID],FME_Input[ROAD_MILES100])</f>
        <v>2.669447660446167</v>
      </c>
      <c r="AB1620" s="178">
        <f>(FME_Ranking1[[#This Row],[Miles Raw]]/$AA$2)*100</f>
        <v>3.5098448855716023E-2</v>
      </c>
      <c r="AC1620" s="178">
        <f>FME_Ranking1[[#This Row],[Miles Score (Normalized, Unweighted)]]*$AA$3</f>
        <v>3.5098448855716024E-3</v>
      </c>
      <c r="AD1620" s="255">
        <f>_xlfn.XLOOKUP(FME_Ranking1[[#This Row],[FME ID]],FME_Input[FME_ID],FME_Input[FARMACRE100])</f>
        <v>4.9565868377685547</v>
      </c>
      <c r="AE1620" s="230">
        <f>(FME_Ranking1[[#This Row],[Ag Land Raw]]/$AD$2)*100</f>
        <v>2.0438745301030886E-4</v>
      </c>
      <c r="AF1620" s="231">
        <f>FME_Ranking1[[#This Row],[Ag Land Score (Normalized, Unweighted)]]*$AD$3</f>
        <v>1.0219372650515445E-5</v>
      </c>
      <c r="AG162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1.6830800503735907E-2</v>
      </c>
      <c r="AH1620" s="406">
        <f t="shared" si="25"/>
        <v>1617</v>
      </c>
      <c r="AI162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1.6830800503735907E-2</v>
      </c>
      <c r="AJ1620" s="257">
        <f>FME_Ranking1[[#This Row],[Addition check]]-FME_Ranking1[[#This Row],[Weighted Score Based on Normalized Reported Factors]]</f>
        <v>0</v>
      </c>
      <c r="AK1620" s="178">
        <f>_xlfn.RANK.EQ(AI1620,$AI$6:$AI$2341,0)+COUNTIF($AI$6:AI1620,AI1620)-1</f>
        <v>1618</v>
      </c>
    </row>
    <row r="1621" spans="1:37" x14ac:dyDescent="0.25">
      <c r="A1621" t="s">
        <v>9361</v>
      </c>
      <c r="B1621">
        <f>_xlfn.XLOOKUP(FME_Ranking1[[#This Row],[FME ID]],FME_Input[FME_ID],FME_Input[RFPG_NUM])</f>
        <v>12</v>
      </c>
      <c r="C1621" t="str">
        <f>_xlfn.XLOOKUP(FME_Ranking1[[#This Row],[FME ID]],FME_Input[FME_ID],FME_Input[FME_NAME])</f>
        <v>Update flood information and policies</v>
      </c>
      <c r="D1621" t="str">
        <f>_xlfn.XLOOKUP(FME_Ranking1[[#This Row],[FME ID]],FME_Input[FME_ID],FME_Input[DESCR])</f>
        <v>Identify and compile information on flood hazard areas and residential property in flood zones, establish and implement a volunteer acquisition / elevation program based on FEMA protocol in association with SARA studies, and review permitting process bas</v>
      </c>
      <c r="E1621" s="256">
        <f>_xlfn.XLOOKUP(FME_Ranking1[[#This Row],[FME ID]],FME_Input[FME_ID],FME_Input[FME_COST])</f>
        <v>100000</v>
      </c>
      <c r="F1621" t="str">
        <f>_xlfn.XLOOKUP(FME_Ranking1[[#This Row],[FME ID]],FME_Input[FME_ID],FME_Input[EMER_NEED])</f>
        <v>No</v>
      </c>
      <c r="G1621">
        <f>IF(FME_Ranking!F1621="Yes",100,0)</f>
        <v>0</v>
      </c>
      <c r="H1621">
        <f>FME_Ranking1[[#This Row],[Emergency Need Score (Normalized, Unweighted)]]*$F$3</f>
        <v>0</v>
      </c>
      <c r="I1621" s="246">
        <f>_xlfn.XLOOKUP(FME_Ranking1[[#This Row],[FME ID]],FME_Input[FME_ID],FME_Input[STRUCT_100])</f>
        <v>38</v>
      </c>
      <c r="J1621" s="178">
        <f>(FME_Ranking1[[#This Row],[Structures 100 Raw]]/I$2)*100</f>
        <v>2.0348712676177012E-2</v>
      </c>
      <c r="K1621" s="178">
        <f>FME_Ranking1[[#This Row],[Structures 100  Score (Normalized, Unweighted)]]*$I$3</f>
        <v>3.0523069014265517E-3</v>
      </c>
      <c r="L1621" s="246">
        <f>_xlfn.XLOOKUP(FME_Ranking1[[#This Row],[FME ID]],FME_Input[FME_ID],FME_Input[RES_STRUCT100])</f>
        <v>19</v>
      </c>
      <c r="M1621" s="230">
        <f>(FME_Ranking1[[#This Row],[Res Structures Raw]]/L$2)*100</f>
        <v>1.3457806235922425E-2</v>
      </c>
      <c r="N1621" s="180">
        <f>FME_Ranking1[[#This Row],[Res Structures Score (Normalized, Unweighted)]]*$L$3</f>
        <v>1.3457806235922425E-3</v>
      </c>
      <c r="O1621" s="244">
        <f>_xlfn.XLOOKUP(FME_Ranking1[[#This Row],[FME ID]],FME_Input[FME_ID],FME_Input[POP100])</f>
        <v>53</v>
      </c>
      <c r="P1621" s="178">
        <f>(FME_Ranking1[[#This Row],[Pop Raw]]/$O$2)*100</f>
        <v>5.4258915354044547E-3</v>
      </c>
      <c r="Q1621" s="178">
        <f>FME_Ranking1[[#This Row],[Pop Score (Normalized, Unweighted)]]*$O$3</f>
        <v>8.1388373031066822E-4</v>
      </c>
      <c r="R1621" s="137">
        <f>_xlfn.XLOOKUP(FME_Ranking1[[#This Row],[FME ID]],FME_Input[FME_ID],FME_Input[CRITFAC100])</f>
        <v>0</v>
      </c>
      <c r="S1621" s="230">
        <f>(FME_Ranking1[[#This Row],[Critical Facilities Raw]]/$R$2)*100</f>
        <v>0</v>
      </c>
      <c r="T1621" s="180">
        <f>FME_Ranking1[[#This Row],[Critical Facilities Score (Normalized, Unweighted)]]*$R$3</f>
        <v>0</v>
      </c>
      <c r="U1621">
        <f>_xlfn.XLOOKUP(FME_Ranking1[[#This Row],[FME ID]],FME_Input[FME_ID],FME_Input[LWC])</f>
        <v>0</v>
      </c>
      <c r="V1621" s="178">
        <f>(FME_Ranking1[[#This Row],[LWC Raw]]/$U$2)*100</f>
        <v>0</v>
      </c>
      <c r="W1621" s="178">
        <f>FME_Ranking1[[#This Row],[LWC Score (Normalized, Unweighted)]]*$U$3</f>
        <v>0</v>
      </c>
      <c r="X1621" s="246">
        <f>_xlfn.XLOOKUP(FME_Ranking1[[#This Row],[FME ID]],FME_Input[FME_ID],FME_Input[ROADCLS])</f>
        <v>15</v>
      </c>
      <c r="Y1621" s="230">
        <f>(FME_Ranking1[[#This Row],[Closures Raw]]/$X$2)*100</f>
        <v>0.15771212280517297</v>
      </c>
      <c r="Z1621" s="180">
        <f>FME_Ranking1[[#This Row],[Closures Score (Normalized, Unweighted)]]*$X$3</f>
        <v>7.8856061402586483E-3</v>
      </c>
      <c r="AA1621" s="253">
        <f>_xlfn.XLOOKUP(FME_Ranking1[[#This Row],[FME ID]],FME_Input[FME_ID],FME_Input[ROAD_MILES100])</f>
        <v>0.94999998807907104</v>
      </c>
      <c r="AB1621" s="178">
        <f>(FME_Ranking1[[#This Row],[Miles Raw]]/$AA$2)*100</f>
        <v>1.2490795938269541E-2</v>
      </c>
      <c r="AC1621" s="178">
        <f>FME_Ranking1[[#This Row],[Miles Score (Normalized, Unweighted)]]*$AA$3</f>
        <v>1.2490795938269541E-3</v>
      </c>
      <c r="AD1621" s="255">
        <f>_xlfn.XLOOKUP(FME_Ranking1[[#This Row],[FME ID]],FME_Input[FME_ID],FME_Input[FARMACRE100])</f>
        <v>31.62490081787109</v>
      </c>
      <c r="AE1621" s="230">
        <f>(FME_Ranking1[[#This Row],[Ag Land Raw]]/$AD$2)*100</f>
        <v>1.3040693407438144E-3</v>
      </c>
      <c r="AF1621" s="231">
        <f>FME_Ranking1[[#This Row],[Ag Land Score (Normalized, Unweighted)]]*$AD$3</f>
        <v>6.5203467037190719E-5</v>
      </c>
      <c r="AG162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1.4411860456452255E-2</v>
      </c>
      <c r="AH1621" s="406">
        <f t="shared" si="25"/>
        <v>1643</v>
      </c>
      <c r="AI162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1.4411860456452255E-2</v>
      </c>
      <c r="AJ1621" s="257">
        <f>FME_Ranking1[[#This Row],[Addition check]]-FME_Ranking1[[#This Row],[Weighted Score Based on Normalized Reported Factors]]</f>
        <v>0</v>
      </c>
      <c r="AK1621" s="178">
        <f>_xlfn.RANK.EQ(AI1621,$AI$6:$AI$2341,0)+COUNTIF($AI$6:AI1621,AI1621)-1</f>
        <v>1643</v>
      </c>
    </row>
    <row r="1622" spans="1:37" x14ac:dyDescent="0.25">
      <c r="A1622" t="s">
        <v>8717</v>
      </c>
      <c r="B1622">
        <f>_xlfn.XLOOKUP(FME_Ranking1[[#This Row],[FME ID]],FME_Input[FME_ID],FME_Input[RFPG_NUM])</f>
        <v>11</v>
      </c>
      <c r="C1622" t="str">
        <f>_xlfn.XLOOKUP(FME_Ranking1[[#This Row],[FME ID]],FME_Input[FME_ID],FME_Input[FME_NAME])</f>
        <v>City of Luling Drainage Improvements Study</v>
      </c>
      <c r="D1622" t="str">
        <f>_xlfn.XLOOKUP(FME_Ranking1[[#This Row],[FME ID]],FME_Input[FME_ID],FME_Input[DESCR])</f>
        <v>Study of solutions to upgrade undersized stormwater drains and culverts.</v>
      </c>
      <c r="E1622" s="256">
        <f>_xlfn.XLOOKUP(FME_Ranking1[[#This Row],[FME ID]],FME_Input[FME_ID],FME_Input[FME_COST])</f>
        <v>150000</v>
      </c>
      <c r="F1622" t="str">
        <f>_xlfn.XLOOKUP(FME_Ranking1[[#This Row],[FME ID]],FME_Input[FME_ID],FME_Input[EMER_NEED])</f>
        <v>No</v>
      </c>
      <c r="G1622">
        <f>IF(FME_Ranking!F1622="Yes",100,0)</f>
        <v>0</v>
      </c>
      <c r="H1622">
        <f>FME_Ranking1[[#This Row],[Emergency Need Score (Normalized, Unweighted)]]*$F$3</f>
        <v>0</v>
      </c>
      <c r="I1622" s="246">
        <f>_xlfn.XLOOKUP(FME_Ranking1[[#This Row],[FME ID]],FME_Input[FME_ID],FME_Input[STRUCT_100])</f>
        <v>74</v>
      </c>
      <c r="J1622" s="178">
        <f>(FME_Ranking1[[#This Row],[Structures 100 Raw]]/I$2)*100</f>
        <v>3.9626440474660497E-2</v>
      </c>
      <c r="K1622" s="178">
        <f>FME_Ranking1[[#This Row],[Structures 100  Score (Normalized, Unweighted)]]*$I$3</f>
        <v>5.9439660711990746E-3</v>
      </c>
      <c r="L1622" s="246">
        <f>_xlfn.XLOOKUP(FME_Ranking1[[#This Row],[FME ID]],FME_Input[FME_ID],FME_Input[RES_STRUCT100])</f>
        <v>52</v>
      </c>
      <c r="M1622" s="230">
        <f>(FME_Ranking1[[#This Row],[Res Structures Raw]]/L$2)*100</f>
        <v>3.683189075094559E-2</v>
      </c>
      <c r="N1622" s="180">
        <f>FME_Ranking1[[#This Row],[Res Structures Score (Normalized, Unweighted)]]*$L$3</f>
        <v>3.683189075094559E-3</v>
      </c>
      <c r="O1622" s="244">
        <f>_xlfn.XLOOKUP(FME_Ranking1[[#This Row],[FME ID]],FME_Input[FME_ID],FME_Input[POP100])</f>
        <v>199</v>
      </c>
      <c r="P1622" s="178">
        <f>(FME_Ranking1[[#This Row],[Pop Raw]]/$O$2)*100</f>
        <v>2.0372687085763893E-2</v>
      </c>
      <c r="Q1622" s="178">
        <f>FME_Ranking1[[#This Row],[Pop Score (Normalized, Unweighted)]]*$O$3</f>
        <v>3.0559030628645838E-3</v>
      </c>
      <c r="R1622" s="137">
        <f>_xlfn.XLOOKUP(FME_Ranking1[[#This Row],[FME ID]],FME_Input[FME_ID],FME_Input[CRITFAC100])</f>
        <v>0</v>
      </c>
      <c r="S1622" s="230">
        <f>(FME_Ranking1[[#This Row],[Critical Facilities Raw]]/$R$2)*100</f>
        <v>0</v>
      </c>
      <c r="T1622" s="180">
        <f>FME_Ranking1[[#This Row],[Critical Facilities Score (Normalized, Unweighted)]]*$R$3</f>
        <v>0</v>
      </c>
      <c r="U1622">
        <f>_xlfn.XLOOKUP(FME_Ranking1[[#This Row],[FME ID]],FME_Input[FME_ID],FME_Input[LWC])</f>
        <v>0</v>
      </c>
      <c r="V1622" s="178">
        <f>(FME_Ranking1[[#This Row],[LWC Raw]]/$U$2)*100</f>
        <v>0</v>
      </c>
      <c r="W1622" s="178">
        <f>FME_Ranking1[[#This Row],[LWC Score (Normalized, Unweighted)]]*$U$3</f>
        <v>0</v>
      </c>
      <c r="X1622" s="246">
        <f>_xlfn.XLOOKUP(FME_Ranking1[[#This Row],[FME ID]],FME_Input[FME_ID],FME_Input[ROADCLS])</f>
        <v>0</v>
      </c>
      <c r="Y1622" s="230">
        <f>(FME_Ranking1[[#This Row],[Closures Raw]]/$X$2)*100</f>
        <v>0</v>
      </c>
      <c r="Z1622" s="180">
        <f>FME_Ranking1[[#This Row],[Closures Score (Normalized, Unweighted)]]*$X$3</f>
        <v>0</v>
      </c>
      <c r="AA1622" s="253">
        <f>_xlfn.XLOOKUP(FME_Ranking1[[#This Row],[FME ID]],FME_Input[FME_ID],FME_Input[ROAD_MILES100])</f>
        <v>6.2682452201843262</v>
      </c>
      <c r="AB1622" s="178">
        <f>(FME_Ranking1[[#This Row],[Miles Raw]]/$AA$2)*100</f>
        <v>8.2416182019824522E-2</v>
      </c>
      <c r="AC1622" s="178">
        <f>FME_Ranking1[[#This Row],[Miles Score (Normalized, Unweighted)]]*$AA$3</f>
        <v>8.2416182019824525E-3</v>
      </c>
      <c r="AD1622" s="255">
        <f>_xlfn.XLOOKUP(FME_Ranking1[[#This Row],[FME ID]],FME_Input[FME_ID],FME_Input[FARMACRE100])</f>
        <v>209.52320861816409</v>
      </c>
      <c r="AE1622" s="230">
        <f>(FME_Ranking1[[#This Row],[Ag Land Raw]]/$AD$2)*100</f>
        <v>8.6397991919966843E-3</v>
      </c>
      <c r="AF1622" s="231">
        <f>FME_Ranking1[[#This Row],[Ag Land Score (Normalized, Unweighted)]]*$AD$3</f>
        <v>4.3198995959983425E-4</v>
      </c>
      <c r="AG162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2.1356666370740504E-2</v>
      </c>
      <c r="AH1622" s="406">
        <f t="shared" si="25"/>
        <v>1565</v>
      </c>
      <c r="AI162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2.1356666370740504E-2</v>
      </c>
      <c r="AJ1622" s="257">
        <f>FME_Ranking1[[#This Row],[Addition check]]-FME_Ranking1[[#This Row],[Weighted Score Based on Normalized Reported Factors]]</f>
        <v>0</v>
      </c>
      <c r="AK1622" s="178">
        <f>_xlfn.RANK.EQ(AI1622,$AI$6:$AI$2341,0)+COUNTIF($AI$6:AI1622,AI1622)-1</f>
        <v>1565</v>
      </c>
    </row>
    <row r="1623" spans="1:37" x14ac:dyDescent="0.25">
      <c r="A1623" t="s">
        <v>9417</v>
      </c>
      <c r="B1623">
        <f>_xlfn.XLOOKUP(FME_Ranking1[[#This Row],[FME ID]],FME_Input[FME_ID],FME_Input[RFPG_NUM])</f>
        <v>12</v>
      </c>
      <c r="C1623" t="str">
        <f>_xlfn.XLOOKUP(FME_Ranking1[[#This Row],[FME ID]],FME_Input[FME_ID],FME_Input[FME_NAME])</f>
        <v>Detailed Study of Culebra Creek Trib C</v>
      </c>
      <c r="D1623" t="str">
        <f>_xlfn.XLOOKUP(FME_Ranking1[[#This Row],[FME ID]],FME_Input[FME_ID],FME_Input[DESCR])</f>
        <v>Three low water crossings of Culebra Creek Tributary C, Beverly Hill Drive, Doheny at FM 1560, and FM 1560.  A detailed hydrologic and hydraulic study is needed to determine appropriate drainage improvements</v>
      </c>
      <c r="E1623" s="256">
        <f>_xlfn.XLOOKUP(FME_Ranking1[[#This Row],[FME ID]],FME_Input[FME_ID],FME_Input[FME_COST])</f>
        <v>65000</v>
      </c>
      <c r="F1623" t="str">
        <f>_xlfn.XLOOKUP(FME_Ranking1[[#This Row],[FME ID]],FME_Input[FME_ID],FME_Input[EMER_NEED])</f>
        <v>Yes</v>
      </c>
      <c r="G1623">
        <f>IF(FME_Ranking!F1623="Yes",100,0)</f>
        <v>100</v>
      </c>
      <c r="H1623">
        <f>FME_Ranking1[[#This Row],[Emergency Need Score (Normalized, Unweighted)]]*$F$3</f>
        <v>0</v>
      </c>
      <c r="I1623" s="246">
        <f>_xlfn.XLOOKUP(FME_Ranking1[[#This Row],[FME ID]],FME_Input[FME_ID],FME_Input[STRUCT_100])</f>
        <v>0</v>
      </c>
      <c r="J1623" s="178">
        <f>(FME_Ranking1[[#This Row],[Structures 100 Raw]]/I$2)*100</f>
        <v>0</v>
      </c>
      <c r="K1623" s="178">
        <f>FME_Ranking1[[#This Row],[Structures 100  Score (Normalized, Unweighted)]]*$I$3</f>
        <v>0</v>
      </c>
      <c r="L1623" s="246">
        <f>_xlfn.XLOOKUP(FME_Ranking1[[#This Row],[FME ID]],FME_Input[FME_ID],FME_Input[RES_STRUCT100])</f>
        <v>0</v>
      </c>
      <c r="M1623" s="230">
        <f>(FME_Ranking1[[#This Row],[Res Structures Raw]]/L$2)*100</f>
        <v>0</v>
      </c>
      <c r="N1623" s="180">
        <f>FME_Ranking1[[#This Row],[Res Structures Score (Normalized, Unweighted)]]*$L$3</f>
        <v>0</v>
      </c>
      <c r="O1623" s="244">
        <f>_xlfn.XLOOKUP(FME_Ranking1[[#This Row],[FME ID]],FME_Input[FME_ID],FME_Input[POP100])</f>
        <v>0</v>
      </c>
      <c r="P1623" s="178">
        <f>(FME_Ranking1[[#This Row],[Pop Raw]]/$O$2)*100</f>
        <v>0</v>
      </c>
      <c r="Q1623" s="178">
        <f>FME_Ranking1[[#This Row],[Pop Score (Normalized, Unweighted)]]*$O$3</f>
        <v>0</v>
      </c>
      <c r="R1623" s="137">
        <f>_xlfn.XLOOKUP(FME_Ranking1[[#This Row],[FME ID]],FME_Input[FME_ID],FME_Input[CRITFAC100])</f>
        <v>0</v>
      </c>
      <c r="S1623" s="230">
        <f>(FME_Ranking1[[#This Row],[Critical Facilities Raw]]/$R$2)*100</f>
        <v>0</v>
      </c>
      <c r="T1623" s="180">
        <f>FME_Ranking1[[#This Row],[Critical Facilities Score (Normalized, Unweighted)]]*$R$3</f>
        <v>0</v>
      </c>
      <c r="U1623">
        <f>_xlfn.XLOOKUP(FME_Ranking1[[#This Row],[FME ID]],FME_Input[FME_ID],FME_Input[LWC])</f>
        <v>1</v>
      </c>
      <c r="V1623" s="178">
        <f>(FME_Ranking1[[#This Row],[LWC Raw]]/$U$2)*100</f>
        <v>5.7570523891767422E-2</v>
      </c>
      <c r="W1623" s="178">
        <f>FME_Ranking1[[#This Row],[LWC Score (Normalized, Unweighted)]]*$U$3</f>
        <v>1.1514104778353485E-2</v>
      </c>
      <c r="X1623" s="246">
        <f>_xlfn.XLOOKUP(FME_Ranking1[[#This Row],[FME ID]],FME_Input[FME_ID],FME_Input[ROADCLS])</f>
        <v>3</v>
      </c>
      <c r="Y1623" s="230">
        <f>(FME_Ranking1[[#This Row],[Closures Raw]]/$X$2)*100</f>
        <v>3.1542424561034593E-2</v>
      </c>
      <c r="Z1623" s="180">
        <f>FME_Ranking1[[#This Row],[Closures Score (Normalized, Unweighted)]]*$X$3</f>
        <v>1.5771212280517297E-3</v>
      </c>
      <c r="AA1623" s="253">
        <f>_xlfn.XLOOKUP(FME_Ranking1[[#This Row],[FME ID]],FME_Input[FME_ID],FME_Input[ROAD_MILES100])</f>
        <v>0.2800000011920929</v>
      </c>
      <c r="AB1623" s="178">
        <f>(FME_Ranking1[[#This Row],[Miles Raw]]/$AA$2)*100</f>
        <v>3.6814978120974042E-3</v>
      </c>
      <c r="AC1623" s="178">
        <f>FME_Ranking1[[#This Row],[Miles Score (Normalized, Unweighted)]]*$AA$3</f>
        <v>3.6814978120974047E-4</v>
      </c>
      <c r="AD1623" s="255">
        <f>_xlfn.XLOOKUP(FME_Ranking1[[#This Row],[FME ID]],FME_Input[FME_ID],FME_Input[FARMACRE100])</f>
        <v>0</v>
      </c>
      <c r="AE1623" s="230">
        <f>(FME_Ranking1[[#This Row],[Ag Land Raw]]/$AD$2)*100</f>
        <v>0</v>
      </c>
      <c r="AF1623" s="231">
        <f>FME_Ranking1[[#This Row],[Ag Land Score (Normalized, Unweighted)]]*$AD$3</f>
        <v>0</v>
      </c>
      <c r="AG162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1.3459375787614955E-2</v>
      </c>
      <c r="AH1623" s="406">
        <f t="shared" si="25"/>
        <v>1658</v>
      </c>
      <c r="AI162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1.3459375787614955E-2</v>
      </c>
      <c r="AJ1623" s="257">
        <f>FME_Ranking1[[#This Row],[Addition check]]-FME_Ranking1[[#This Row],[Weighted Score Based on Normalized Reported Factors]]</f>
        <v>0</v>
      </c>
      <c r="AK1623" s="178">
        <f>_xlfn.RANK.EQ(AI1623,$AI$6:$AI$2341,0)+COUNTIF($AI$6:AI1623,AI1623)-1</f>
        <v>1658</v>
      </c>
    </row>
    <row r="1624" spans="1:37" x14ac:dyDescent="0.25">
      <c r="A1624" t="s">
        <v>9334</v>
      </c>
      <c r="B1624">
        <f>_xlfn.XLOOKUP(FME_Ranking1[[#This Row],[FME ID]],FME_Input[FME_ID],FME_Input[RFPG_NUM])</f>
        <v>12</v>
      </c>
      <c r="C1624" t="str">
        <f>_xlfn.XLOOKUP(FME_Ranking1[[#This Row],[FME ID]],FME_Input[FME_ID],FME_Input[FME_NAME])</f>
        <v>Inventory of residences in floodplain</v>
      </c>
      <c r="D1624" t="str">
        <f>_xlfn.XLOOKUP(FME_Ranking1[[#This Row],[FME ID]],FME_Input[FME_ID],FME_Input[DESCR])</f>
        <v>Identify residential structures that are located in flood zones or high hazard areas and develop plan and implement a program for floodproofing or acquistion.</v>
      </c>
      <c r="E1624" s="256">
        <f>_xlfn.XLOOKUP(FME_Ranking1[[#This Row],[FME ID]],FME_Input[FME_ID],FME_Input[FME_COST])</f>
        <v>50000</v>
      </c>
      <c r="F1624" t="str">
        <f>_xlfn.XLOOKUP(FME_Ranking1[[#This Row],[FME ID]],FME_Input[FME_ID],FME_Input[EMER_NEED])</f>
        <v>No</v>
      </c>
      <c r="G1624">
        <f>IF(FME_Ranking!F1624="Yes",100,0)</f>
        <v>0</v>
      </c>
      <c r="H1624">
        <f>FME_Ranking1[[#This Row],[Emergency Need Score (Normalized, Unweighted)]]*$F$3</f>
        <v>0</v>
      </c>
      <c r="I1624" s="246">
        <f>_xlfn.XLOOKUP(FME_Ranking1[[#This Row],[FME ID]],FME_Input[FME_ID],FME_Input[STRUCT_100])</f>
        <v>37</v>
      </c>
      <c r="J1624" s="178">
        <f>(FME_Ranking1[[#This Row],[Structures 100 Raw]]/I$2)*100</f>
        <v>1.9813220237330249E-2</v>
      </c>
      <c r="K1624" s="178">
        <f>FME_Ranking1[[#This Row],[Structures 100  Score (Normalized, Unweighted)]]*$I$3</f>
        <v>2.9719830355995373E-3</v>
      </c>
      <c r="L1624" s="246">
        <f>_xlfn.XLOOKUP(FME_Ranking1[[#This Row],[FME ID]],FME_Input[FME_ID],FME_Input[RES_STRUCT100])</f>
        <v>19</v>
      </c>
      <c r="M1624" s="230">
        <f>(FME_Ranking1[[#This Row],[Res Structures Raw]]/L$2)*100</f>
        <v>1.3457806235922425E-2</v>
      </c>
      <c r="N1624" s="180">
        <f>FME_Ranking1[[#This Row],[Res Structures Score (Normalized, Unweighted)]]*$L$3</f>
        <v>1.3457806235922425E-3</v>
      </c>
      <c r="O1624" s="244">
        <f>_xlfn.XLOOKUP(FME_Ranking1[[#This Row],[FME ID]],FME_Input[FME_ID],FME_Input[POP100])</f>
        <v>53</v>
      </c>
      <c r="P1624" s="178">
        <f>(FME_Ranking1[[#This Row],[Pop Raw]]/$O$2)*100</f>
        <v>5.4258915354044547E-3</v>
      </c>
      <c r="Q1624" s="178">
        <f>FME_Ranking1[[#This Row],[Pop Score (Normalized, Unweighted)]]*$O$3</f>
        <v>8.1388373031066822E-4</v>
      </c>
      <c r="R1624" s="137">
        <f>_xlfn.XLOOKUP(FME_Ranking1[[#This Row],[FME ID]],FME_Input[FME_ID],FME_Input[CRITFAC100])</f>
        <v>0</v>
      </c>
      <c r="S1624" s="230">
        <f>(FME_Ranking1[[#This Row],[Critical Facilities Raw]]/$R$2)*100</f>
        <v>0</v>
      </c>
      <c r="T1624" s="180">
        <f>FME_Ranking1[[#This Row],[Critical Facilities Score (Normalized, Unweighted)]]*$R$3</f>
        <v>0</v>
      </c>
      <c r="U1624">
        <f>_xlfn.XLOOKUP(FME_Ranking1[[#This Row],[FME ID]],FME_Input[FME_ID],FME_Input[LWC])</f>
        <v>0</v>
      </c>
      <c r="V1624" s="178">
        <f>(FME_Ranking1[[#This Row],[LWC Raw]]/$U$2)*100</f>
        <v>0</v>
      </c>
      <c r="W1624" s="178">
        <f>FME_Ranking1[[#This Row],[LWC Score (Normalized, Unweighted)]]*$U$3</f>
        <v>0</v>
      </c>
      <c r="X1624" s="246">
        <f>_xlfn.XLOOKUP(FME_Ranking1[[#This Row],[FME ID]],FME_Input[FME_ID],FME_Input[ROADCLS])</f>
        <v>15</v>
      </c>
      <c r="Y1624" s="230">
        <f>(FME_Ranking1[[#This Row],[Closures Raw]]/$X$2)*100</f>
        <v>0.15771212280517297</v>
      </c>
      <c r="Z1624" s="180">
        <f>FME_Ranking1[[#This Row],[Closures Score (Normalized, Unweighted)]]*$X$3</f>
        <v>7.8856061402586483E-3</v>
      </c>
      <c r="AA1624" s="253">
        <f>_xlfn.XLOOKUP(FME_Ranking1[[#This Row],[FME ID]],FME_Input[FME_ID],FME_Input[ROAD_MILES100])</f>
        <v>0.94999998807907104</v>
      </c>
      <c r="AB1624" s="178">
        <f>(FME_Ranking1[[#This Row],[Miles Raw]]/$AA$2)*100</f>
        <v>1.2490795938269541E-2</v>
      </c>
      <c r="AC1624" s="178">
        <f>FME_Ranking1[[#This Row],[Miles Score (Normalized, Unweighted)]]*$AA$3</f>
        <v>1.2490795938269541E-3</v>
      </c>
      <c r="AD1624" s="255">
        <f>_xlfn.XLOOKUP(FME_Ranking1[[#This Row],[FME ID]],FME_Input[FME_ID],FME_Input[FARMACRE100])</f>
        <v>31.62490081787109</v>
      </c>
      <c r="AE1624" s="230">
        <f>(FME_Ranking1[[#This Row],[Ag Land Raw]]/$AD$2)*100</f>
        <v>1.3040693407438144E-3</v>
      </c>
      <c r="AF1624" s="231">
        <f>FME_Ranking1[[#This Row],[Ag Land Score (Normalized, Unweighted)]]*$AD$3</f>
        <v>6.5203467037190719E-5</v>
      </c>
      <c r="AG162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1.433153659062524E-2</v>
      </c>
      <c r="AH1624" s="406">
        <f t="shared" si="25"/>
        <v>1646</v>
      </c>
      <c r="AI162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1.433153659062524E-2</v>
      </c>
      <c r="AJ1624" s="257">
        <f>FME_Ranking1[[#This Row],[Addition check]]-FME_Ranking1[[#This Row],[Weighted Score Based on Normalized Reported Factors]]</f>
        <v>0</v>
      </c>
      <c r="AK1624" s="178">
        <f>_xlfn.RANK.EQ(AI1624,$AI$6:$AI$2341,0)+COUNTIF($AI$6:AI1624,AI1624)-1</f>
        <v>1646</v>
      </c>
    </row>
    <row r="1625" spans="1:37" x14ac:dyDescent="0.25">
      <c r="A1625" t="s">
        <v>1915</v>
      </c>
      <c r="B1625">
        <f>_xlfn.XLOOKUP(FME_Ranking1[[#This Row],[FME ID]],FME_Input[FME_ID],FME_Input[RFPG_NUM])</f>
        <v>6</v>
      </c>
      <c r="C1625" t="str">
        <f>_xlfn.XLOOKUP(FME_Ranking1[[#This Row],[FME ID]],FME_Input[FME_ID],FME_Input[FME_NAME])</f>
        <v>Spring Creek Watershed Plan- Recommended Alternative for PA-02: J131-01-00 Storm Sewer improvements &amp; channel modification</v>
      </c>
      <c r="D1625" t="str">
        <f>_xlfn.XLOOKUP(FME_Ranking1[[#This Row],[FME ID]],FME_Input[FME_ID],FME_Input[DESCR])</f>
        <v>Study to develop a BCR required for this project to become a FMP. Channel modifications along J131-01 &amp; storm sewer improvements under Zion Road, reduces sheetflow by providing positive drainage outfall for ~200 ac of land.</v>
      </c>
      <c r="E1625" s="256">
        <f>_xlfn.XLOOKUP(FME_Ranking1[[#This Row],[FME ID]],FME_Input[FME_ID],FME_Input[FME_COST])</f>
        <v>30000</v>
      </c>
      <c r="F1625" t="str">
        <f>_xlfn.XLOOKUP(FME_Ranking1[[#This Row],[FME ID]],FME_Input[FME_ID],FME_Input[EMER_NEED])</f>
        <v>No</v>
      </c>
      <c r="G1625">
        <f>IF(FME_Ranking!F1625="Yes",100,0)</f>
        <v>0</v>
      </c>
      <c r="H1625">
        <f>FME_Ranking1[[#This Row],[Emergency Need Score (Normalized, Unweighted)]]*$F$3</f>
        <v>0</v>
      </c>
      <c r="I1625" s="246">
        <f>_xlfn.XLOOKUP(FME_Ranking1[[#This Row],[FME ID]],FME_Input[FME_ID],FME_Input[STRUCT_100])</f>
        <v>6</v>
      </c>
      <c r="J1625" s="178">
        <f>(FME_Ranking1[[#This Row],[Structures 100 Raw]]/I$2)*100</f>
        <v>3.2129546330805807E-3</v>
      </c>
      <c r="K1625" s="178">
        <f>FME_Ranking1[[#This Row],[Structures 100  Score (Normalized, Unweighted)]]*$I$3</f>
        <v>4.8194319496208709E-4</v>
      </c>
      <c r="L1625" s="246">
        <f>_xlfn.XLOOKUP(FME_Ranking1[[#This Row],[FME ID]],FME_Input[FME_ID],FME_Input[RES_STRUCT100])</f>
        <v>6</v>
      </c>
      <c r="M1625" s="230">
        <f>(FME_Ranking1[[#This Row],[Res Structures Raw]]/L$2)*100</f>
        <v>4.2498335481860293E-3</v>
      </c>
      <c r="N1625" s="180">
        <f>FME_Ranking1[[#This Row],[Res Structures Score (Normalized, Unweighted)]]*$L$3</f>
        <v>4.2498335481860297E-4</v>
      </c>
      <c r="O1625" s="244">
        <f>_xlfn.XLOOKUP(FME_Ranking1[[#This Row],[FME ID]],FME_Input[FME_ID],FME_Input[POP100])</f>
        <v>7</v>
      </c>
      <c r="P1625" s="178">
        <f>(FME_Ranking1[[#This Row],[Pop Raw]]/$O$2)*100</f>
        <v>7.1662718392134295E-4</v>
      </c>
      <c r="Q1625" s="178">
        <f>FME_Ranking1[[#This Row],[Pop Score (Normalized, Unweighted)]]*$O$3</f>
        <v>1.0749407758820145E-4</v>
      </c>
      <c r="R1625" s="137">
        <f>_xlfn.XLOOKUP(FME_Ranking1[[#This Row],[FME ID]],FME_Input[FME_ID],FME_Input[CRITFAC100])</f>
        <v>0</v>
      </c>
      <c r="S1625" s="230">
        <f>(FME_Ranking1[[#This Row],[Critical Facilities Raw]]/$R$2)*100</f>
        <v>0</v>
      </c>
      <c r="T1625" s="180">
        <f>FME_Ranking1[[#This Row],[Critical Facilities Score (Normalized, Unweighted)]]*$R$3</f>
        <v>0</v>
      </c>
      <c r="U1625">
        <f>_xlfn.XLOOKUP(FME_Ranking1[[#This Row],[FME ID]],FME_Input[FME_ID],FME_Input[LWC])</f>
        <v>1</v>
      </c>
      <c r="V1625" s="178">
        <f>(FME_Ranking1[[#This Row],[LWC Raw]]/$U$2)*100</f>
        <v>5.7570523891767422E-2</v>
      </c>
      <c r="W1625" s="178">
        <f>FME_Ranking1[[#This Row],[LWC Score (Normalized, Unweighted)]]*$U$3</f>
        <v>1.1514104778353485E-2</v>
      </c>
      <c r="X1625" s="246">
        <f>_xlfn.XLOOKUP(FME_Ranking1[[#This Row],[FME ID]],FME_Input[FME_ID],FME_Input[ROADCLS])</f>
        <v>1</v>
      </c>
      <c r="Y1625" s="230">
        <f>(FME_Ranking1[[#This Row],[Closures Raw]]/$X$2)*100</f>
        <v>1.0514141520344864E-2</v>
      </c>
      <c r="Z1625" s="180">
        <f>FME_Ranking1[[#This Row],[Closures Score (Normalized, Unweighted)]]*$X$3</f>
        <v>5.2570707601724321E-4</v>
      </c>
      <c r="AA1625" s="253">
        <f>_xlfn.XLOOKUP(FME_Ranking1[[#This Row],[FME ID]],FME_Input[FME_ID],FME_Input[ROAD_MILES100])</f>
        <v>0.34244820475578308</v>
      </c>
      <c r="AB1625" s="178">
        <f>(FME_Ranking1[[#This Row],[Miles Raw]]/$AA$2)*100</f>
        <v>4.5025796828485933E-3</v>
      </c>
      <c r="AC1625" s="178">
        <f>FME_Ranking1[[#This Row],[Miles Score (Normalized, Unweighted)]]*$AA$3</f>
        <v>4.5025796828485933E-4</v>
      </c>
      <c r="AD1625" s="255">
        <f>_xlfn.XLOOKUP(FME_Ranking1[[#This Row],[FME ID]],FME_Input[FME_ID],FME_Input[FARMACRE100])</f>
        <v>0</v>
      </c>
      <c r="AE1625" s="230">
        <f>(FME_Ranking1[[#This Row],[Ag Land Raw]]/$AD$2)*100</f>
        <v>0</v>
      </c>
      <c r="AF1625" s="231">
        <f>FME_Ranking1[[#This Row],[Ag Land Score (Normalized, Unweighted)]]*$AD$3</f>
        <v>0</v>
      </c>
      <c r="AG162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1.3504490450024479E-2</v>
      </c>
      <c r="AH1625" s="406">
        <f t="shared" si="25"/>
        <v>1657</v>
      </c>
      <c r="AI162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1.3504490450024479E-2</v>
      </c>
      <c r="AJ1625" s="257">
        <f>FME_Ranking1[[#This Row],[Addition check]]-FME_Ranking1[[#This Row],[Weighted Score Based on Normalized Reported Factors]]</f>
        <v>0</v>
      </c>
      <c r="AK1625" s="178">
        <f>_xlfn.RANK.EQ(AI1625,$AI$6:$AI$2341,0)+COUNTIF($AI$6:AI1625,AI1625)-1</f>
        <v>1657</v>
      </c>
    </row>
    <row r="1626" spans="1:37" x14ac:dyDescent="0.25">
      <c r="A1626" t="s">
        <v>9026</v>
      </c>
      <c r="B1626">
        <f>_xlfn.XLOOKUP(FME_Ranking1[[#This Row],[FME ID]],FME_Input[FME_ID],FME_Input[RFPG_NUM])</f>
        <v>11</v>
      </c>
      <c r="C1626" t="str">
        <f>_xlfn.XLOOKUP(FME_Ranking1[[#This Row],[FME ID]],FME_Input[FME_ID],FME_Input[FME_NAME])</f>
        <v>Travis County Voluntary Buyout Program Project Planning</v>
      </c>
      <c r="D1626" t="str">
        <f>_xlfn.XLOOKUP(FME_Ranking1[[#This Row],[FME ID]],FME_Input[FME_ID],FME_Input[DESCR])</f>
        <v>Project planning to identify and prioritize structures for elevation as flood mitigation. Elevate flood prone structures throughout unincorporated Travis County.</v>
      </c>
      <c r="E1626" s="256">
        <f>_xlfn.XLOOKUP(FME_Ranking1[[#This Row],[FME ID]],FME_Input[FME_ID],FME_Input[FME_COST])</f>
        <v>300000</v>
      </c>
      <c r="F1626" t="str">
        <f>_xlfn.XLOOKUP(FME_Ranking1[[#This Row],[FME ID]],FME_Input[FME_ID],FME_Input[EMER_NEED])</f>
        <v>No</v>
      </c>
      <c r="G1626">
        <f>IF(FME_Ranking!F1626="Yes",100,0)</f>
        <v>0</v>
      </c>
      <c r="H1626">
        <f>FME_Ranking1[[#This Row],[Emergency Need Score (Normalized, Unweighted)]]*$F$3</f>
        <v>0</v>
      </c>
      <c r="I1626" s="246">
        <f>_xlfn.XLOOKUP(FME_Ranking1[[#This Row],[FME ID]],FME_Input[FME_ID],FME_Input[STRUCT_100])</f>
        <v>7</v>
      </c>
      <c r="J1626" s="178">
        <f>(FME_Ranking1[[#This Row],[Structures 100 Raw]]/I$2)*100</f>
        <v>3.7484470719273445E-3</v>
      </c>
      <c r="K1626" s="178">
        <f>FME_Ranking1[[#This Row],[Structures 100  Score (Normalized, Unweighted)]]*$I$3</f>
        <v>5.622670607891017E-4</v>
      </c>
      <c r="L1626" s="246">
        <f>_xlfn.XLOOKUP(FME_Ranking1[[#This Row],[FME ID]],FME_Input[FME_ID],FME_Input[RES_STRUCT100])</f>
        <v>7</v>
      </c>
      <c r="M1626" s="230">
        <f>(FME_Ranking1[[#This Row],[Res Structures Raw]]/L$2)*100</f>
        <v>4.9581391395503681E-3</v>
      </c>
      <c r="N1626" s="180">
        <f>FME_Ranking1[[#This Row],[Res Structures Score (Normalized, Unweighted)]]*$L$3</f>
        <v>4.9581391395503687E-4</v>
      </c>
      <c r="O1626" s="244">
        <f>_xlfn.XLOOKUP(FME_Ranking1[[#This Row],[FME ID]],FME_Input[FME_ID],FME_Input[POP100])</f>
        <v>18</v>
      </c>
      <c r="P1626" s="178">
        <f>(FME_Ranking1[[#This Row],[Pop Raw]]/$O$2)*100</f>
        <v>1.8427556157977389E-3</v>
      </c>
      <c r="Q1626" s="178">
        <f>FME_Ranking1[[#This Row],[Pop Score (Normalized, Unweighted)]]*$O$3</f>
        <v>2.7641334236966082E-4</v>
      </c>
      <c r="R1626" s="137">
        <f>_xlfn.XLOOKUP(FME_Ranking1[[#This Row],[FME ID]],FME_Input[FME_ID],FME_Input[CRITFAC100])</f>
        <v>0</v>
      </c>
      <c r="S1626" s="230">
        <f>(FME_Ranking1[[#This Row],[Critical Facilities Raw]]/$R$2)*100</f>
        <v>0</v>
      </c>
      <c r="T1626" s="180">
        <f>FME_Ranking1[[#This Row],[Critical Facilities Score (Normalized, Unweighted)]]*$R$3</f>
        <v>0</v>
      </c>
      <c r="U1626">
        <f>_xlfn.XLOOKUP(FME_Ranking1[[#This Row],[FME ID]],FME_Input[FME_ID],FME_Input[LWC])</f>
        <v>1</v>
      </c>
      <c r="V1626" s="178">
        <f>(FME_Ranking1[[#This Row],[LWC Raw]]/$U$2)*100</f>
        <v>5.7570523891767422E-2</v>
      </c>
      <c r="W1626" s="178">
        <f>FME_Ranking1[[#This Row],[LWC Score (Normalized, Unweighted)]]*$U$3</f>
        <v>1.1514104778353485E-2</v>
      </c>
      <c r="X1626" s="246">
        <f>_xlfn.XLOOKUP(FME_Ranking1[[#This Row],[FME ID]],FME_Input[FME_ID],FME_Input[ROADCLS])</f>
        <v>0</v>
      </c>
      <c r="Y1626" s="230">
        <f>(FME_Ranking1[[#This Row],[Closures Raw]]/$X$2)*100</f>
        <v>0</v>
      </c>
      <c r="Z1626" s="180">
        <f>FME_Ranking1[[#This Row],[Closures Score (Normalized, Unweighted)]]*$X$3</f>
        <v>0</v>
      </c>
      <c r="AA1626" s="253">
        <f>_xlfn.XLOOKUP(FME_Ranking1[[#This Row],[FME ID]],FME_Input[FME_ID],FME_Input[ROAD_MILES100])</f>
        <v>0.1034702584147453</v>
      </c>
      <c r="AB1626" s="178">
        <f>(FME_Ranking1[[#This Row],[Miles Raw]]/$AA$2)*100</f>
        <v>1.360448315533061E-3</v>
      </c>
      <c r="AC1626" s="178">
        <f>FME_Ranking1[[#This Row],[Miles Score (Normalized, Unweighted)]]*$AA$3</f>
        <v>1.360448315533061E-4</v>
      </c>
      <c r="AD1626" s="255">
        <f>_xlfn.XLOOKUP(FME_Ranking1[[#This Row],[FME ID]],FME_Input[FME_ID],FME_Input[FARMACRE100])</f>
        <v>99.043113708496094</v>
      </c>
      <c r="AE1626" s="230">
        <f>(FME_Ranking1[[#This Row],[Ag Land Raw]]/$AD$2)*100</f>
        <v>4.0840946424744486E-3</v>
      </c>
      <c r="AF1626" s="231">
        <f>FME_Ranking1[[#This Row],[Ag Land Score (Normalized, Unweighted)]]*$AD$3</f>
        <v>2.0420473212372244E-4</v>
      </c>
      <c r="AG162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1.3188848659144312E-2</v>
      </c>
      <c r="AH1626" s="406">
        <f t="shared" si="25"/>
        <v>1660</v>
      </c>
      <c r="AI162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1.3188848659144312E-2</v>
      </c>
      <c r="AJ1626" s="257">
        <f>FME_Ranking1[[#This Row],[Addition check]]-FME_Ranking1[[#This Row],[Weighted Score Based on Normalized Reported Factors]]</f>
        <v>0</v>
      </c>
      <c r="AK1626" s="178">
        <f>_xlfn.RANK.EQ(AI1626,$AI$6:$AI$2341,0)+COUNTIF($AI$6:AI1626,AI1626)-1</f>
        <v>1660</v>
      </c>
    </row>
    <row r="1627" spans="1:37" x14ac:dyDescent="0.25">
      <c r="A1627" t="s">
        <v>4716</v>
      </c>
      <c r="B1627">
        <f>_xlfn.XLOOKUP(FME_Ranking1[[#This Row],[FME ID]],FME_Input[FME_ID],FME_Input[RFPG_NUM])</f>
        <v>3</v>
      </c>
      <c r="C1627" t="str">
        <f>_xlfn.XLOOKUP(FME_Ranking1[[#This Row],[FME ID]],FME_Input[FME_ID],FME_Input[FME_NAME])</f>
        <v>Varsity Drive and Christy St from Varsity to Mountain Creek Lake</v>
      </c>
      <c r="D1627" t="str">
        <f>_xlfn.XLOOKUP(FME_Ranking1[[#This Row],[FME ID]],FME_Input[FME_ID],FME_Input[DESCR])</f>
        <v>Study update - Storm Drain Improvements; Estimated construction cost of $4,768,500</v>
      </c>
      <c r="E1627" s="256">
        <f>_xlfn.XLOOKUP(FME_Ranking1[[#This Row],[FME ID]],FME_Input[FME_ID],FME_Input[FME_COST])</f>
        <v>250000</v>
      </c>
      <c r="F1627" t="str">
        <f>_xlfn.XLOOKUP(FME_Ranking1[[#This Row],[FME ID]],FME_Input[FME_ID],FME_Input[EMER_NEED])</f>
        <v>No</v>
      </c>
      <c r="G1627">
        <f>IF(FME_Ranking!F1627="Yes",100,0)</f>
        <v>0</v>
      </c>
      <c r="H1627">
        <f>FME_Ranking1[[#This Row],[Emergency Need Score (Normalized, Unweighted)]]*$F$3</f>
        <v>0</v>
      </c>
      <c r="I1627" s="246">
        <f>_xlfn.XLOOKUP(FME_Ranking1[[#This Row],[FME ID]],FME_Input[FME_ID],FME_Input[STRUCT_100])</f>
        <v>7</v>
      </c>
      <c r="J1627" s="178">
        <f>(FME_Ranking1[[#This Row],[Structures 100 Raw]]/I$2)*100</f>
        <v>3.7484470719273445E-3</v>
      </c>
      <c r="K1627" s="178">
        <f>FME_Ranking1[[#This Row],[Structures 100  Score (Normalized, Unweighted)]]*$I$3</f>
        <v>5.622670607891017E-4</v>
      </c>
      <c r="L1627" s="246">
        <f>_xlfn.XLOOKUP(FME_Ranking1[[#This Row],[FME ID]],FME_Input[FME_ID],FME_Input[RES_STRUCT100])</f>
        <v>7</v>
      </c>
      <c r="M1627" s="230">
        <f>(FME_Ranking1[[#This Row],[Res Structures Raw]]/L$2)*100</f>
        <v>4.9581391395503681E-3</v>
      </c>
      <c r="N1627" s="180">
        <f>FME_Ranking1[[#This Row],[Res Structures Score (Normalized, Unweighted)]]*$L$3</f>
        <v>4.9581391395503687E-4</v>
      </c>
      <c r="O1627" s="244">
        <f>_xlfn.XLOOKUP(FME_Ranking1[[#This Row],[FME ID]],FME_Input[FME_ID],FME_Input[POP100])</f>
        <v>23</v>
      </c>
      <c r="P1627" s="178">
        <f>(FME_Ranking1[[#This Row],[Pop Raw]]/$O$2)*100</f>
        <v>2.3546321757415556E-3</v>
      </c>
      <c r="Q1627" s="178">
        <f>FME_Ranking1[[#This Row],[Pop Score (Normalized, Unweighted)]]*$O$3</f>
        <v>3.5319482636123333E-4</v>
      </c>
      <c r="R1627" s="137">
        <f>_xlfn.XLOOKUP(FME_Ranking1[[#This Row],[FME ID]],FME_Input[FME_ID],FME_Input[CRITFAC100])</f>
        <v>0</v>
      </c>
      <c r="S1627" s="230">
        <f>(FME_Ranking1[[#This Row],[Critical Facilities Raw]]/$R$2)*100</f>
        <v>0</v>
      </c>
      <c r="T1627" s="180">
        <f>FME_Ranking1[[#This Row],[Critical Facilities Score (Normalized, Unweighted)]]*$R$3</f>
        <v>0</v>
      </c>
      <c r="U1627">
        <f>_xlfn.XLOOKUP(FME_Ranking1[[#This Row],[FME ID]],FME_Input[FME_ID],FME_Input[LWC])</f>
        <v>1</v>
      </c>
      <c r="V1627" s="178">
        <f>(FME_Ranking1[[#This Row],[LWC Raw]]/$U$2)*100</f>
        <v>5.7570523891767422E-2</v>
      </c>
      <c r="W1627" s="178">
        <f>FME_Ranking1[[#This Row],[LWC Score (Normalized, Unweighted)]]*$U$3</f>
        <v>1.1514104778353485E-2</v>
      </c>
      <c r="X1627" s="246">
        <f>_xlfn.XLOOKUP(FME_Ranking1[[#This Row],[FME ID]],FME_Input[FME_ID],FME_Input[ROADCLS])</f>
        <v>0</v>
      </c>
      <c r="Y1627" s="230">
        <f>(FME_Ranking1[[#This Row],[Closures Raw]]/$X$2)*100</f>
        <v>0</v>
      </c>
      <c r="Z1627" s="180">
        <f>FME_Ranking1[[#This Row],[Closures Score (Normalized, Unweighted)]]*$X$3</f>
        <v>0</v>
      </c>
      <c r="AA1627" s="253">
        <f>_xlfn.XLOOKUP(FME_Ranking1[[#This Row],[FME ID]],FME_Input[FME_ID],FME_Input[ROAD_MILES100])</f>
        <v>0.6480557918548584</v>
      </c>
      <c r="AB1627" s="178">
        <f>(FME_Ranking1[[#This Row],[Miles Raw]]/$AA$2)*100</f>
        <v>8.5207713202612896E-3</v>
      </c>
      <c r="AC1627" s="178">
        <f>FME_Ranking1[[#This Row],[Miles Score (Normalized, Unweighted)]]*$AA$3</f>
        <v>8.5207713202612898E-4</v>
      </c>
      <c r="AD1627" s="255">
        <f>_xlfn.XLOOKUP(FME_Ranking1[[#This Row],[FME ID]],FME_Input[FME_ID],FME_Input[FARMACRE100])</f>
        <v>30.786809921264648</v>
      </c>
      <c r="AE1627" s="230">
        <f>(FME_Ranking1[[#This Row],[Ag Land Raw]]/$AD$2)*100</f>
        <v>1.2695102238847553E-3</v>
      </c>
      <c r="AF1627" s="231">
        <f>FME_Ranking1[[#This Row],[Ag Land Score (Normalized, Unweighted)]]*$AD$3</f>
        <v>6.3475511194237763E-5</v>
      </c>
      <c r="AG162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1.3840933222679224E-2</v>
      </c>
      <c r="AH1627" s="406">
        <f t="shared" si="25"/>
        <v>1652</v>
      </c>
      <c r="AI162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1.3840933222679224E-2</v>
      </c>
      <c r="AJ1627" s="257">
        <f>FME_Ranking1[[#This Row],[Addition check]]-FME_Ranking1[[#This Row],[Weighted Score Based on Normalized Reported Factors]]</f>
        <v>0</v>
      </c>
      <c r="AK1627" s="178">
        <f>_xlfn.RANK.EQ(AI1627,$AI$6:$AI$2341,0)+COUNTIF($AI$6:AI1627,AI1627)-1</f>
        <v>1652</v>
      </c>
    </row>
    <row r="1628" spans="1:37" x14ac:dyDescent="0.25">
      <c r="A1628" t="s">
        <v>2263</v>
      </c>
      <c r="B1628">
        <f>_xlfn.XLOOKUP(FME_Ranking1[[#This Row],[FME ID]],FME_Input[FME_ID],FME_Input[RFPG_NUM])</f>
        <v>6</v>
      </c>
      <c r="C1628" t="str">
        <f>_xlfn.XLOOKUP(FME_Ranking1[[#This Row],[FME ID]],FME_Input[FME_ID],FME_Input[FME_NAME])</f>
        <v>Willow Creek - Overflow Flooding between Burlington Northern Railroad and Hufsmith-Kohrville Rd. Analysis</v>
      </c>
      <c r="D1628" t="str">
        <f>_xlfn.XLOOKUP(FME_Ranking1[[#This Row],[FME ID]],FME_Input[FME_ID],FME_Input[DESCR])</f>
        <v>Study recommended as part of the Willow Creek Watershed Plan.  Planning level analysis to identify flooding reasons in Northern Point subdivison south of SH99.</v>
      </c>
      <c r="E1628" s="256">
        <f>_xlfn.XLOOKUP(FME_Ranking1[[#This Row],[FME ID]],FME_Input[FME_ID],FME_Input[FME_COST])</f>
        <v>590000</v>
      </c>
      <c r="F1628" t="str">
        <f>_xlfn.XLOOKUP(FME_Ranking1[[#This Row],[FME ID]],FME_Input[FME_ID],FME_Input[EMER_NEED])</f>
        <v>No</v>
      </c>
      <c r="G1628">
        <f>IF(FME_Ranking!F1628="Yes",100,0)</f>
        <v>0</v>
      </c>
      <c r="H1628">
        <f>FME_Ranking1[[#This Row],[Emergency Need Score (Normalized, Unweighted)]]*$F$3</f>
        <v>0</v>
      </c>
      <c r="I1628" s="246">
        <f>_xlfn.XLOOKUP(FME_Ranking1[[#This Row],[FME ID]],FME_Input[FME_ID],FME_Input[STRUCT_100])</f>
        <v>10</v>
      </c>
      <c r="J1628" s="178">
        <f>(FME_Ranking1[[#This Row],[Structures 100 Raw]]/I$2)*100</f>
        <v>5.3549243884676344E-3</v>
      </c>
      <c r="K1628" s="178">
        <f>FME_Ranking1[[#This Row],[Structures 100  Score (Normalized, Unweighted)]]*$I$3</f>
        <v>8.0323865827014516E-4</v>
      </c>
      <c r="L1628" s="246">
        <f>_xlfn.XLOOKUP(FME_Ranking1[[#This Row],[FME ID]],FME_Input[FME_ID],FME_Input[RES_STRUCT100])</f>
        <v>0</v>
      </c>
      <c r="M1628" s="230">
        <f>(FME_Ranking1[[#This Row],[Res Structures Raw]]/L$2)*100</f>
        <v>0</v>
      </c>
      <c r="N1628" s="180">
        <f>FME_Ranking1[[#This Row],[Res Structures Score (Normalized, Unweighted)]]*$L$3</f>
        <v>0</v>
      </c>
      <c r="O1628" s="244">
        <f>_xlfn.XLOOKUP(FME_Ranking1[[#This Row],[FME ID]],FME_Input[FME_ID],FME_Input[POP100])</f>
        <v>9</v>
      </c>
      <c r="P1628" s="178">
        <f>(FME_Ranking1[[#This Row],[Pop Raw]]/$O$2)*100</f>
        <v>9.2137780789886947E-4</v>
      </c>
      <c r="Q1628" s="178">
        <f>FME_Ranking1[[#This Row],[Pop Score (Normalized, Unweighted)]]*$O$3</f>
        <v>1.3820667118483041E-4</v>
      </c>
      <c r="R1628" s="137">
        <f>_xlfn.XLOOKUP(FME_Ranking1[[#This Row],[FME ID]],FME_Input[FME_ID],FME_Input[CRITFAC100])</f>
        <v>0</v>
      </c>
      <c r="S1628" s="230">
        <f>(FME_Ranking1[[#This Row],[Critical Facilities Raw]]/$R$2)*100</f>
        <v>0</v>
      </c>
      <c r="T1628" s="180">
        <f>FME_Ranking1[[#This Row],[Critical Facilities Score (Normalized, Unweighted)]]*$R$3</f>
        <v>0</v>
      </c>
      <c r="U1628">
        <f>_xlfn.XLOOKUP(FME_Ranking1[[#This Row],[FME ID]],FME_Input[FME_ID],FME_Input[LWC])</f>
        <v>1</v>
      </c>
      <c r="V1628" s="178">
        <f>(FME_Ranking1[[#This Row],[LWC Raw]]/$U$2)*100</f>
        <v>5.7570523891767422E-2</v>
      </c>
      <c r="W1628" s="178">
        <f>FME_Ranking1[[#This Row],[LWC Score (Normalized, Unweighted)]]*$U$3</f>
        <v>1.1514104778353485E-2</v>
      </c>
      <c r="X1628" s="246">
        <f>_xlfn.XLOOKUP(FME_Ranking1[[#This Row],[FME ID]],FME_Input[FME_ID],FME_Input[ROADCLS])</f>
        <v>1</v>
      </c>
      <c r="Y1628" s="230">
        <f>(FME_Ranking1[[#This Row],[Closures Raw]]/$X$2)*100</f>
        <v>1.0514141520344864E-2</v>
      </c>
      <c r="Z1628" s="180">
        <f>FME_Ranking1[[#This Row],[Closures Score (Normalized, Unweighted)]]*$X$3</f>
        <v>5.2570707601724321E-4</v>
      </c>
      <c r="AA1628" s="253">
        <f>_xlfn.XLOOKUP(FME_Ranking1[[#This Row],[FME ID]],FME_Input[FME_ID],FME_Input[ROAD_MILES100])</f>
        <v>0.50292670726776123</v>
      </c>
      <c r="AB1628" s="178">
        <f>(FME_Ranking1[[#This Row],[Miles Raw]]/$AA$2)*100</f>
        <v>6.6125841591742861E-3</v>
      </c>
      <c r="AC1628" s="178">
        <f>FME_Ranking1[[#This Row],[Miles Score (Normalized, Unweighted)]]*$AA$3</f>
        <v>6.6125841591742861E-4</v>
      </c>
      <c r="AD1628" s="255">
        <f>_xlfn.XLOOKUP(FME_Ranking1[[#This Row],[FME ID]],FME_Input[FME_ID],FME_Input[FARMACRE100])</f>
        <v>2.658556222915649</v>
      </c>
      <c r="AE1628" s="230">
        <f>(FME_Ranking1[[#This Row],[Ag Land Raw]]/$AD$2)*100</f>
        <v>1.0962695759630088E-4</v>
      </c>
      <c r="AF1628" s="231">
        <f>FME_Ranking1[[#This Row],[Ag Land Score (Normalized, Unweighted)]]*$AD$3</f>
        <v>5.481347879815044E-6</v>
      </c>
      <c r="AG162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1.3647996947622948E-2</v>
      </c>
      <c r="AH1628" s="406">
        <f t="shared" si="25"/>
        <v>1654</v>
      </c>
      <c r="AI162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1.3647996947622948E-2</v>
      </c>
      <c r="AJ1628" s="257">
        <f>FME_Ranking1[[#This Row],[Addition check]]-FME_Ranking1[[#This Row],[Weighted Score Based on Normalized Reported Factors]]</f>
        <v>0</v>
      </c>
      <c r="AK1628" s="178">
        <f>_xlfn.RANK.EQ(AI1628,$AI$6:$AI$2341,0)+COUNTIF($AI$6:AI1628,AI1628)-1</f>
        <v>1654</v>
      </c>
    </row>
    <row r="1629" spans="1:37" x14ac:dyDescent="0.25">
      <c r="A1629" t="s">
        <v>10972</v>
      </c>
      <c r="B1629">
        <f>_xlfn.XLOOKUP(FME_Ranking1[[#This Row],[FME ID]],FME_Input[FME_ID],FME_Input[RFPG_NUM])</f>
        <v>14</v>
      </c>
      <c r="C1629" t="str">
        <f>_xlfn.XLOOKUP(FME_Ranking1[[#This Row],[FME ID]],FME_Input[FME_ID],FME_Input[FME_NAME])</f>
        <v>Plan for mitigation of drainage controls where ground water reduces storm water conveyance capacity in the Montoya Drain</v>
      </c>
      <c r="D1629" t="str">
        <f>_xlfn.XLOOKUP(FME_Ranking1[[#This Row],[FME ID]],FME_Input[FME_ID],FME_Input[DESCR])</f>
        <v>Perform H&amp;H modeling to develop a FMP for increasing the capacity of Montoya Drain through measures to control groundwater intrusion into the drain.</v>
      </c>
      <c r="E1629" s="256">
        <f>_xlfn.XLOOKUP(FME_Ranking1[[#This Row],[FME ID]],FME_Input[FME_ID],FME_Input[FME_COST])</f>
        <v>130000</v>
      </c>
      <c r="F1629" t="str">
        <f>_xlfn.XLOOKUP(FME_Ranking1[[#This Row],[FME ID]],FME_Input[FME_ID],FME_Input[EMER_NEED])</f>
        <v>No</v>
      </c>
      <c r="G1629">
        <f>IF(FME_Ranking!F1629="Yes",100,0)</f>
        <v>0</v>
      </c>
      <c r="H1629">
        <f>FME_Ranking1[[#This Row],[Emergency Need Score (Normalized, Unweighted)]]*$F$3</f>
        <v>0</v>
      </c>
      <c r="I1629" s="246">
        <f>_xlfn.XLOOKUP(FME_Ranking1[[#This Row],[FME ID]],FME_Input[FME_ID],FME_Input[STRUCT_100])</f>
        <v>63</v>
      </c>
      <c r="J1629" s="178">
        <f>(FME_Ranking1[[#This Row],[Structures 100 Raw]]/I$2)*100</f>
        <v>3.3736023647346104E-2</v>
      </c>
      <c r="K1629" s="178">
        <f>FME_Ranking1[[#This Row],[Structures 100  Score (Normalized, Unweighted)]]*$I$3</f>
        <v>5.0604035471019156E-3</v>
      </c>
      <c r="L1629" s="246">
        <f>_xlfn.XLOOKUP(FME_Ranking1[[#This Row],[FME ID]],FME_Input[FME_ID],FME_Input[RES_STRUCT100])</f>
        <v>58</v>
      </c>
      <c r="M1629" s="230">
        <f>(FME_Ranking1[[#This Row],[Res Structures Raw]]/L$2)*100</f>
        <v>4.1081724299131615E-2</v>
      </c>
      <c r="N1629" s="180">
        <f>FME_Ranking1[[#This Row],[Res Structures Score (Normalized, Unweighted)]]*$L$3</f>
        <v>4.1081724299131617E-3</v>
      </c>
      <c r="O1629" s="244">
        <f>_xlfn.XLOOKUP(FME_Ranking1[[#This Row],[FME ID]],FME_Input[FME_ID],FME_Input[POP100])</f>
        <v>245</v>
      </c>
      <c r="P1629" s="178">
        <f>(FME_Ranking1[[#This Row],[Pop Raw]]/$O$2)*100</f>
        <v>2.5081951437247008E-2</v>
      </c>
      <c r="Q1629" s="178">
        <f>FME_Ranking1[[#This Row],[Pop Score (Normalized, Unweighted)]]*$O$3</f>
        <v>3.762292715587051E-3</v>
      </c>
      <c r="R1629" s="137">
        <f>_xlfn.XLOOKUP(FME_Ranking1[[#This Row],[FME ID]],FME_Input[FME_ID],FME_Input[CRITFAC100])</f>
        <v>0</v>
      </c>
      <c r="S1629" s="230">
        <f>(FME_Ranking1[[#This Row],[Critical Facilities Raw]]/$R$2)*100</f>
        <v>0</v>
      </c>
      <c r="T1629" s="180">
        <f>FME_Ranking1[[#This Row],[Critical Facilities Score (Normalized, Unweighted)]]*$R$3</f>
        <v>0</v>
      </c>
      <c r="U1629">
        <f>_xlfn.XLOOKUP(FME_Ranking1[[#This Row],[FME ID]],FME_Input[FME_ID],FME_Input[LWC])</f>
        <v>0</v>
      </c>
      <c r="V1629" s="178">
        <f>(FME_Ranking1[[#This Row],[LWC Raw]]/$U$2)*100</f>
        <v>0</v>
      </c>
      <c r="W1629" s="178">
        <f>FME_Ranking1[[#This Row],[LWC Score (Normalized, Unweighted)]]*$U$3</f>
        <v>0</v>
      </c>
      <c r="X1629" s="246">
        <f>_xlfn.XLOOKUP(FME_Ranking1[[#This Row],[FME ID]],FME_Input[FME_ID],FME_Input[ROADCLS])</f>
        <v>0</v>
      </c>
      <c r="Y1629" s="230">
        <f>(FME_Ranking1[[#This Row],[Closures Raw]]/$X$2)*100</f>
        <v>0</v>
      </c>
      <c r="Z1629" s="180">
        <f>FME_Ranking1[[#This Row],[Closures Score (Normalized, Unweighted)]]*$X$3</f>
        <v>0</v>
      </c>
      <c r="AA1629" s="253">
        <f>_xlfn.XLOOKUP(FME_Ranking1[[#This Row],[FME ID]],FME_Input[FME_ID],FME_Input[ROAD_MILES100])</f>
        <v>1.804340004920959</v>
      </c>
      <c r="AB1629" s="178">
        <f>(FME_Ranking1[[#This Row],[Miles Raw]]/$AA$2)*100</f>
        <v>2.372383482898327E-2</v>
      </c>
      <c r="AC1629" s="178">
        <f>FME_Ranking1[[#This Row],[Miles Score (Normalized, Unweighted)]]*$AA$3</f>
        <v>2.3723834828983273E-3</v>
      </c>
      <c r="AD1629" s="255">
        <f>_xlfn.XLOOKUP(FME_Ranking1[[#This Row],[FME ID]],FME_Input[FME_ID],FME_Input[FARMACRE100])</f>
        <v>10.88409996032715</v>
      </c>
      <c r="AE1629" s="230">
        <f>(FME_Ranking1[[#This Row],[Ag Land Raw]]/$AD$2)*100</f>
        <v>4.48811559650263E-4</v>
      </c>
      <c r="AF1629" s="231">
        <f>FME_Ranking1[[#This Row],[Ag Land Score (Normalized, Unweighted)]]*$AD$3</f>
        <v>2.244057798251315E-5</v>
      </c>
      <c r="AG162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1.5325692753482971E-2</v>
      </c>
      <c r="AH1629" s="406">
        <f t="shared" si="25"/>
        <v>1631</v>
      </c>
      <c r="AI162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1.5325692753482971E-2</v>
      </c>
      <c r="AJ1629" s="257">
        <f>FME_Ranking1[[#This Row],[Addition check]]-FME_Ranking1[[#This Row],[Weighted Score Based on Normalized Reported Factors]]</f>
        <v>0</v>
      </c>
      <c r="AK1629" s="178">
        <f>_xlfn.RANK.EQ(AI1629,$AI$6:$AI$2341,0)+COUNTIF($AI$6:AI1629,AI1629)-1</f>
        <v>1631</v>
      </c>
    </row>
    <row r="1630" spans="1:37" x14ac:dyDescent="0.25">
      <c r="A1630" t="s">
        <v>7808</v>
      </c>
      <c r="B1630">
        <f>_xlfn.XLOOKUP(FME_Ranking1[[#This Row],[FME ID]],FME_Input[FME_ID],FME_Input[RFPG_NUM])</f>
        <v>8</v>
      </c>
      <c r="C1630" t="str">
        <f>_xlfn.XLOOKUP(FME_Ranking1[[#This Row],[FME ID]],FME_Input[FME_ID],FME_Input[FME_NAME])</f>
        <v>Oakwood Channel &amp; Bridge Improvements</v>
      </c>
      <c r="D1630" t="str">
        <f>_xlfn.XLOOKUP(FME_Ranking1[[#This Row],[FME ID]],FME_Input[FME_ID],FME_Input[DESCR])</f>
        <v xml:space="preserve">Widening of Primrose Creek to increase flow capacity, as well as removal and replacement of several crossings along the channel improvements. </v>
      </c>
      <c r="E1630" s="256">
        <f>_xlfn.XLOOKUP(FME_Ranking1[[#This Row],[FME ID]],FME_Input[FME_ID],FME_Input[FME_COST])</f>
        <v>300000</v>
      </c>
      <c r="F1630" t="str">
        <f>_xlfn.XLOOKUP(FME_Ranking1[[#This Row],[FME ID]],FME_Input[FME_ID],FME_Input[EMER_NEED])</f>
        <v>No</v>
      </c>
      <c r="G1630">
        <f>IF(FME_Ranking!F1630="Yes",100,0)</f>
        <v>0</v>
      </c>
      <c r="H1630">
        <f>FME_Ranking1[[#This Row],[Emergency Need Score (Normalized, Unweighted)]]*$F$3</f>
        <v>0</v>
      </c>
      <c r="I1630" s="246">
        <f>_xlfn.XLOOKUP(FME_Ranking1[[#This Row],[FME ID]],FME_Input[FME_ID],FME_Input[STRUCT_100])</f>
        <v>39</v>
      </c>
      <c r="J1630" s="178">
        <f>(FME_Ranking1[[#This Row],[Structures 100 Raw]]/I$2)*100</f>
        <v>2.0884205115023775E-2</v>
      </c>
      <c r="K1630" s="178">
        <f>FME_Ranking1[[#This Row],[Structures 100  Score (Normalized, Unweighted)]]*$I$3</f>
        <v>3.1326307672535662E-3</v>
      </c>
      <c r="L1630" s="246">
        <f>_xlfn.XLOOKUP(FME_Ranking1[[#This Row],[FME ID]],FME_Input[FME_ID],FME_Input[RES_STRUCT100])</f>
        <v>28</v>
      </c>
      <c r="M1630" s="230">
        <f>(FME_Ranking1[[#This Row],[Res Structures Raw]]/L$2)*100</f>
        <v>1.9832556558201472E-2</v>
      </c>
      <c r="N1630" s="180">
        <f>FME_Ranking1[[#This Row],[Res Structures Score (Normalized, Unweighted)]]*$L$3</f>
        <v>1.9832556558201475E-3</v>
      </c>
      <c r="O1630" s="244">
        <f>_xlfn.XLOOKUP(FME_Ranking1[[#This Row],[FME ID]],FME_Input[FME_ID],FME_Input[POP100])</f>
        <v>505</v>
      </c>
      <c r="P1630" s="178">
        <f>(FME_Ranking1[[#This Row],[Pop Raw]]/$O$2)*100</f>
        <v>5.169953255432546E-2</v>
      </c>
      <c r="Q1630" s="178">
        <f>FME_Ranking1[[#This Row],[Pop Score (Normalized, Unweighted)]]*$O$3</f>
        <v>7.7549298831488186E-3</v>
      </c>
      <c r="R1630" s="137">
        <f>_xlfn.XLOOKUP(FME_Ranking1[[#This Row],[FME ID]],FME_Input[FME_ID],FME_Input[CRITFAC100])</f>
        <v>0</v>
      </c>
      <c r="S1630" s="230">
        <f>(FME_Ranking1[[#This Row],[Critical Facilities Raw]]/$R$2)*100</f>
        <v>0</v>
      </c>
      <c r="T1630" s="180">
        <f>FME_Ranking1[[#This Row],[Critical Facilities Score (Normalized, Unweighted)]]*$R$3</f>
        <v>0</v>
      </c>
      <c r="U1630">
        <f>_xlfn.XLOOKUP(FME_Ranking1[[#This Row],[FME ID]],FME_Input[FME_ID],FME_Input[LWC])</f>
        <v>0</v>
      </c>
      <c r="V1630" s="178">
        <f>(FME_Ranking1[[#This Row],[LWC Raw]]/$U$2)*100</f>
        <v>0</v>
      </c>
      <c r="W1630" s="178">
        <f>FME_Ranking1[[#This Row],[LWC Score (Normalized, Unweighted)]]*$U$3</f>
        <v>0</v>
      </c>
      <c r="X1630" s="246">
        <f>_xlfn.XLOOKUP(FME_Ranking1[[#This Row],[FME ID]],FME_Input[FME_ID],FME_Input[ROADCLS])</f>
        <v>0</v>
      </c>
      <c r="Y1630" s="230">
        <f>(FME_Ranking1[[#This Row],[Closures Raw]]/$X$2)*100</f>
        <v>0</v>
      </c>
      <c r="Z1630" s="180">
        <f>FME_Ranking1[[#This Row],[Closures Score (Normalized, Unweighted)]]*$X$3</f>
        <v>0</v>
      </c>
      <c r="AA1630" s="253">
        <f>_xlfn.XLOOKUP(FME_Ranking1[[#This Row],[FME ID]],FME_Input[FME_ID],FME_Input[ROAD_MILES100])</f>
        <v>6.4000000953674316</v>
      </c>
      <c r="AB1630" s="178">
        <f>(FME_Ranking1[[#This Row],[Miles Raw]]/$AA$2)*100</f>
        <v>8.4148522315019722E-2</v>
      </c>
      <c r="AC1630" s="178">
        <f>FME_Ranking1[[#This Row],[Miles Score (Normalized, Unweighted)]]*$AA$3</f>
        <v>8.4148522315019725E-3</v>
      </c>
      <c r="AD1630" s="255">
        <f>_xlfn.XLOOKUP(FME_Ranking1[[#This Row],[FME ID]],FME_Input[FME_ID],FME_Input[FARMACRE100])</f>
        <v>33.5</v>
      </c>
      <c r="AE1630" s="230">
        <f>(FME_Ranking1[[#This Row],[Ag Land Raw]]/$AD$2)*100</f>
        <v>1.3813900371264036E-3</v>
      </c>
      <c r="AF1630" s="231">
        <f>FME_Ranking1[[#This Row],[Ag Land Score (Normalized, Unweighted)]]*$AD$3</f>
        <v>6.9069501856320185E-5</v>
      </c>
      <c r="AG163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2.1354738039580826E-2</v>
      </c>
      <c r="AH1630" s="406">
        <f t="shared" si="25"/>
        <v>1566</v>
      </c>
      <c r="AI163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2.1354738039580826E-2</v>
      </c>
      <c r="AJ1630" s="257">
        <f>FME_Ranking1[[#This Row],[Addition check]]-FME_Ranking1[[#This Row],[Weighted Score Based on Normalized Reported Factors]]</f>
        <v>0</v>
      </c>
      <c r="AK1630" s="178">
        <f>_xlfn.RANK.EQ(AI1630,$AI$6:$AI$2341,0)+COUNTIF($AI$6:AI1630,AI1630)-1</f>
        <v>1566</v>
      </c>
    </row>
    <row r="1631" spans="1:37" x14ac:dyDescent="0.25">
      <c r="A1631" t="s">
        <v>9284</v>
      </c>
      <c r="B1631">
        <f>_xlfn.XLOOKUP(FME_Ranking1[[#This Row],[FME ID]],FME_Input[FME_ID],FME_Input[RFPG_NUM])</f>
        <v>12</v>
      </c>
      <c r="C1631" t="str">
        <f>_xlfn.XLOOKUP(FME_Ranking1[[#This Row],[FME ID]],FME_Input[FME_ID],FME_Input[FME_NAME])</f>
        <v>LWC 100, Blakeley Area Drainage Improvement</v>
      </c>
      <c r="D1631" t="str">
        <f>_xlfn.XLOOKUP(FME_Ranking1[[#This Row],[FME ID]],FME_Input[FME_ID],FME_Input[DESCR])</f>
        <v>This option consists of upsizing the Blakeley crossing to (3) 6'x3' RCB and providing a 7' bottom width concrete trap channel with 3:1 side slopes upstream of the crossing.</v>
      </c>
      <c r="E1631" s="256">
        <f>_xlfn.XLOOKUP(FME_Ranking1[[#This Row],[FME ID]],FME_Input[FME_ID],FME_Input[FME_COST])</f>
        <v>672778</v>
      </c>
      <c r="F1631" t="str">
        <f>_xlfn.XLOOKUP(FME_Ranking1[[#This Row],[FME ID]],FME_Input[FME_ID],FME_Input[EMER_NEED])</f>
        <v>Yes</v>
      </c>
      <c r="G1631">
        <f>IF(FME_Ranking!F1631="Yes",100,0)</f>
        <v>100</v>
      </c>
      <c r="H1631">
        <f>FME_Ranking1[[#This Row],[Emergency Need Score (Normalized, Unweighted)]]*$F$3</f>
        <v>0</v>
      </c>
      <c r="I1631" s="246">
        <f>_xlfn.XLOOKUP(FME_Ranking1[[#This Row],[FME ID]],FME_Input[FME_ID],FME_Input[STRUCT_100])</f>
        <v>5</v>
      </c>
      <c r="J1631" s="178">
        <f>(FME_Ranking1[[#This Row],[Structures 100 Raw]]/I$2)*100</f>
        <v>2.6774621942338172E-3</v>
      </c>
      <c r="K1631" s="178">
        <f>FME_Ranking1[[#This Row],[Structures 100  Score (Normalized, Unweighted)]]*$I$3</f>
        <v>4.0161932913507258E-4</v>
      </c>
      <c r="L1631" s="246">
        <f>_xlfn.XLOOKUP(FME_Ranking1[[#This Row],[FME ID]],FME_Input[FME_ID],FME_Input[RES_STRUCT100])</f>
        <v>5</v>
      </c>
      <c r="M1631" s="230">
        <f>(FME_Ranking1[[#This Row],[Res Structures Raw]]/L$2)*100</f>
        <v>3.5415279568216909E-3</v>
      </c>
      <c r="N1631" s="180">
        <f>FME_Ranking1[[#This Row],[Res Structures Score (Normalized, Unweighted)]]*$L$3</f>
        <v>3.5415279568216913E-4</v>
      </c>
      <c r="O1631" s="244">
        <f>_xlfn.XLOOKUP(FME_Ranking1[[#This Row],[FME ID]],FME_Input[FME_ID],FME_Input[POP100])</f>
        <v>8</v>
      </c>
      <c r="P1631" s="178">
        <f>(FME_Ranking1[[#This Row],[Pop Raw]]/$O$2)*100</f>
        <v>8.1900249591010626E-4</v>
      </c>
      <c r="Q1631" s="178">
        <f>FME_Ranking1[[#This Row],[Pop Score (Normalized, Unweighted)]]*$O$3</f>
        <v>1.2285037438651593E-4</v>
      </c>
      <c r="R1631" s="137">
        <f>_xlfn.XLOOKUP(FME_Ranking1[[#This Row],[FME ID]],FME_Input[FME_ID],FME_Input[CRITFAC100])</f>
        <v>0</v>
      </c>
      <c r="S1631" s="230">
        <f>(FME_Ranking1[[#This Row],[Critical Facilities Raw]]/$R$2)*100</f>
        <v>0</v>
      </c>
      <c r="T1631" s="180">
        <f>FME_Ranking1[[#This Row],[Critical Facilities Score (Normalized, Unweighted)]]*$R$3</f>
        <v>0</v>
      </c>
      <c r="U1631">
        <f>_xlfn.XLOOKUP(FME_Ranking1[[#This Row],[FME ID]],FME_Input[FME_ID],FME_Input[LWC])</f>
        <v>1</v>
      </c>
      <c r="V1631" s="178">
        <f>(FME_Ranking1[[#This Row],[LWC Raw]]/$U$2)*100</f>
        <v>5.7570523891767422E-2</v>
      </c>
      <c r="W1631" s="178">
        <f>FME_Ranking1[[#This Row],[LWC Score (Normalized, Unweighted)]]*$U$3</f>
        <v>1.1514104778353485E-2</v>
      </c>
      <c r="X1631" s="246">
        <f>_xlfn.XLOOKUP(FME_Ranking1[[#This Row],[FME ID]],FME_Input[FME_ID],FME_Input[ROADCLS])</f>
        <v>1</v>
      </c>
      <c r="Y1631" s="230">
        <f>(FME_Ranking1[[#This Row],[Closures Raw]]/$X$2)*100</f>
        <v>1.0514141520344864E-2</v>
      </c>
      <c r="Z1631" s="180">
        <f>FME_Ranking1[[#This Row],[Closures Score (Normalized, Unweighted)]]*$X$3</f>
        <v>5.2570707601724321E-4</v>
      </c>
      <c r="AA1631" s="253">
        <f>_xlfn.XLOOKUP(FME_Ranking1[[#This Row],[FME ID]],FME_Input[FME_ID],FME_Input[ROAD_MILES100])</f>
        <v>5.0999999046325677E-2</v>
      </c>
      <c r="AB1631" s="178">
        <f>(FME_Ranking1[[#This Row],[Miles Raw]]/$AA$2)*100</f>
        <v>6.7055851466660591E-4</v>
      </c>
      <c r="AC1631" s="178">
        <f>FME_Ranking1[[#This Row],[Miles Score (Normalized, Unweighted)]]*$AA$3</f>
        <v>6.7055851466660594E-5</v>
      </c>
      <c r="AD1631" s="255">
        <f>_xlfn.XLOOKUP(FME_Ranking1[[#This Row],[FME ID]],FME_Input[FME_ID],FME_Input[FARMACRE100])</f>
        <v>0</v>
      </c>
      <c r="AE1631" s="230">
        <f>(FME_Ranking1[[#This Row],[Ag Land Raw]]/$AD$2)*100</f>
        <v>0</v>
      </c>
      <c r="AF1631" s="231">
        <f>FME_Ranking1[[#This Row],[Ag Land Score (Normalized, Unweighted)]]*$AD$3</f>
        <v>0</v>
      </c>
      <c r="AG163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1.2985490205041146E-2</v>
      </c>
      <c r="AH1631" s="406">
        <f t="shared" si="25"/>
        <v>1670</v>
      </c>
      <c r="AI163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1.2985490205041146E-2</v>
      </c>
      <c r="AJ1631" s="257">
        <f>FME_Ranking1[[#This Row],[Addition check]]-FME_Ranking1[[#This Row],[Weighted Score Based on Normalized Reported Factors]]</f>
        <v>0</v>
      </c>
      <c r="AK1631" s="178">
        <f>_xlfn.RANK.EQ(AI1631,$AI$6:$AI$2341,0)+COUNTIF($AI$6:AI1631,AI1631)-1</f>
        <v>1670</v>
      </c>
    </row>
    <row r="1632" spans="1:37" x14ac:dyDescent="0.25">
      <c r="A1632" t="s">
        <v>7855</v>
      </c>
      <c r="B1632">
        <f>_xlfn.XLOOKUP(FME_Ranking1[[#This Row],[FME ID]],FME_Input[FME_ID],FME_Input[RFPG_NUM])</f>
        <v>9</v>
      </c>
      <c r="C1632" t="str">
        <f>_xlfn.XLOOKUP(FME_Ranking1[[#This Row],[FME ID]],FME_Input[FME_ID],FME_Input[FME_NAME])</f>
        <v>San Angelo Sul Ross Avenue and Lindenwood Drive Culvert Improvements.</v>
      </c>
      <c r="D1632" t="str">
        <f>_xlfn.XLOOKUP(FME_Ranking1[[#This Row],[FME ID]],FME_Input[FME_ID],FME_Input[DESCR])</f>
        <v>Proposed 9'x8' box culvert running underground along Sul Ross Avenue from Loop 306 to Lindenwood Drive, then along Lindenwood Drive to downstream storage. Excessive street flow, street flooding Sul Ross St. at Sunset Dr.</v>
      </c>
      <c r="E1632" s="256">
        <f>_xlfn.XLOOKUP(FME_Ranking1[[#This Row],[FME ID]],FME_Input[FME_ID],FME_Input[FME_COST])</f>
        <v>1037911.375</v>
      </c>
      <c r="F1632" t="str">
        <f>_xlfn.XLOOKUP(FME_Ranking1[[#This Row],[FME ID]],FME_Input[FME_ID],FME_Input[EMER_NEED])</f>
        <v>Yes</v>
      </c>
      <c r="G1632">
        <f>IF(FME_Ranking!F1632="Yes",100,0)</f>
        <v>100</v>
      </c>
      <c r="H1632">
        <f>FME_Ranking1[[#This Row],[Emergency Need Score (Normalized, Unweighted)]]*$F$3</f>
        <v>0</v>
      </c>
      <c r="I1632" s="246">
        <f>_xlfn.XLOOKUP(FME_Ranking1[[#This Row],[FME ID]],FME_Input[FME_ID],FME_Input[STRUCT_100])</f>
        <v>4</v>
      </c>
      <c r="J1632" s="178">
        <f>(FME_Ranking1[[#This Row],[Structures 100 Raw]]/I$2)*100</f>
        <v>2.1419697553870542E-3</v>
      </c>
      <c r="K1632" s="178">
        <f>FME_Ranking1[[#This Row],[Structures 100  Score (Normalized, Unweighted)]]*$I$3</f>
        <v>3.2129546330805813E-4</v>
      </c>
      <c r="L1632" s="246">
        <f>_xlfn.XLOOKUP(FME_Ranking1[[#This Row],[FME ID]],FME_Input[FME_ID],FME_Input[RES_STRUCT100])</f>
        <v>4</v>
      </c>
      <c r="M1632" s="230">
        <f>(FME_Ranking1[[#This Row],[Res Structures Raw]]/L$2)*100</f>
        <v>2.833222365457353E-3</v>
      </c>
      <c r="N1632" s="180">
        <f>FME_Ranking1[[#This Row],[Res Structures Score (Normalized, Unweighted)]]*$L$3</f>
        <v>2.8332223654573533E-4</v>
      </c>
      <c r="O1632" s="244">
        <f>_xlfn.XLOOKUP(FME_Ranking1[[#This Row],[FME ID]],FME_Input[FME_ID],FME_Input[POP100])</f>
        <v>52</v>
      </c>
      <c r="P1632" s="178">
        <f>(FME_Ranking1[[#This Row],[Pop Raw]]/$O$2)*100</f>
        <v>5.3235162234156908E-3</v>
      </c>
      <c r="Q1632" s="178">
        <f>FME_Ranking1[[#This Row],[Pop Score (Normalized, Unweighted)]]*$O$3</f>
        <v>7.9852743351235356E-4</v>
      </c>
      <c r="R1632" s="137">
        <f>_xlfn.XLOOKUP(FME_Ranking1[[#This Row],[FME ID]],FME_Input[FME_ID],FME_Input[CRITFAC100])</f>
        <v>0</v>
      </c>
      <c r="S1632" s="230">
        <f>(FME_Ranking1[[#This Row],[Critical Facilities Raw]]/$R$2)*100</f>
        <v>0</v>
      </c>
      <c r="T1632" s="180">
        <f>FME_Ranking1[[#This Row],[Critical Facilities Score (Normalized, Unweighted)]]*$R$3</f>
        <v>0</v>
      </c>
      <c r="U1632">
        <f>_xlfn.XLOOKUP(FME_Ranking1[[#This Row],[FME ID]],FME_Input[FME_ID],FME_Input[LWC])</f>
        <v>1</v>
      </c>
      <c r="V1632" s="178">
        <f>(FME_Ranking1[[#This Row],[LWC Raw]]/$U$2)*100</f>
        <v>5.7570523891767422E-2</v>
      </c>
      <c r="W1632" s="178">
        <f>FME_Ranking1[[#This Row],[LWC Score (Normalized, Unweighted)]]*$U$3</f>
        <v>1.1514104778353485E-2</v>
      </c>
      <c r="X1632" s="246">
        <f>_xlfn.XLOOKUP(FME_Ranking1[[#This Row],[FME ID]],FME_Input[FME_ID],FME_Input[ROADCLS])</f>
        <v>0</v>
      </c>
      <c r="Y1632" s="230">
        <f>(FME_Ranking1[[#This Row],[Closures Raw]]/$X$2)*100</f>
        <v>0</v>
      </c>
      <c r="Z1632" s="180">
        <f>FME_Ranking1[[#This Row],[Closures Score (Normalized, Unweighted)]]*$X$3</f>
        <v>0</v>
      </c>
      <c r="AA1632" s="253">
        <f>_xlfn.XLOOKUP(FME_Ranking1[[#This Row],[FME ID]],FME_Input[FME_ID],FME_Input[ROAD_MILES100])</f>
        <v>0.55855476856231689</v>
      </c>
      <c r="AB1632" s="178">
        <f>(FME_Ranking1[[#This Row],[Miles Raw]]/$AA$2)*100</f>
        <v>7.3439933915857829E-3</v>
      </c>
      <c r="AC1632" s="178">
        <f>FME_Ranking1[[#This Row],[Miles Score (Normalized, Unweighted)]]*$AA$3</f>
        <v>7.3439933915857834E-4</v>
      </c>
      <c r="AD1632" s="255">
        <f>_xlfn.XLOOKUP(FME_Ranking1[[#This Row],[FME ID]],FME_Input[FME_ID],FME_Input[FARMACRE100])</f>
        <v>0</v>
      </c>
      <c r="AE1632" s="230">
        <f>(FME_Ranking1[[#This Row],[Ag Land Raw]]/$AD$2)*100</f>
        <v>0</v>
      </c>
      <c r="AF1632" s="231">
        <f>FME_Ranking1[[#This Row],[Ag Land Score (Normalized, Unweighted)]]*$AD$3</f>
        <v>0</v>
      </c>
      <c r="AG163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1.3651649250878211E-2</v>
      </c>
      <c r="AH1632" s="406">
        <f t="shared" si="25"/>
        <v>1653</v>
      </c>
      <c r="AI163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1.3651649250878211E-2</v>
      </c>
      <c r="AJ1632" s="257">
        <f>FME_Ranking1[[#This Row],[Addition check]]-FME_Ranking1[[#This Row],[Weighted Score Based on Normalized Reported Factors]]</f>
        <v>0</v>
      </c>
      <c r="AK1632" s="178">
        <f>_xlfn.RANK.EQ(AI1632,$AI$6:$AI$2341,0)+COUNTIF($AI$6:AI1632,AI1632)-1</f>
        <v>1653</v>
      </c>
    </row>
    <row r="1633" spans="1:37" x14ac:dyDescent="0.25">
      <c r="A1633" t="s">
        <v>2241</v>
      </c>
      <c r="B1633">
        <f>_xlfn.XLOOKUP(FME_Ranking1[[#This Row],[FME ID]],FME_Input[FME_ID],FME_Input[RFPG_NUM])</f>
        <v>6</v>
      </c>
      <c r="C1633" t="str">
        <f>_xlfn.XLOOKUP(FME_Ranking1[[#This Row],[FME ID]],FME_Input[FME_ID],FME_Input[FME_NAME])</f>
        <v>Cedar Bayou Flood Risk Reduction Study - Channel improvements upstream of FM 1960</v>
      </c>
      <c r="D1633" t="str">
        <f>_xlfn.XLOOKUP(FME_Ranking1[[#This Row],[FME ID]],FME_Input[FME_ID],FME_Input[DESCR])</f>
        <v>Study to develop a Benefit Cost Analysis needed for this project to become a FMP. Cedar Bayou channel improvements upstream of FM 1960.</v>
      </c>
      <c r="E1633" s="256">
        <f>_xlfn.XLOOKUP(FME_Ranking1[[#This Row],[FME ID]],FME_Input[FME_ID],FME_Input[FME_COST])</f>
        <v>30000</v>
      </c>
      <c r="F1633" t="str">
        <f>_xlfn.XLOOKUP(FME_Ranking1[[#This Row],[FME ID]],FME_Input[FME_ID],FME_Input[EMER_NEED])</f>
        <v>No</v>
      </c>
      <c r="G1633">
        <f>IF(FME_Ranking!F1633="Yes",100,0)</f>
        <v>0</v>
      </c>
      <c r="H1633">
        <f>FME_Ranking1[[#This Row],[Emergency Need Score (Normalized, Unweighted)]]*$F$3</f>
        <v>0</v>
      </c>
      <c r="I1633" s="246">
        <f>_xlfn.XLOOKUP(FME_Ranking1[[#This Row],[FME ID]],FME_Input[FME_ID],FME_Input[STRUCT_100])</f>
        <v>75</v>
      </c>
      <c r="J1633" s="178">
        <f>(FME_Ranking1[[#This Row],[Structures 100 Raw]]/I$2)*100</f>
        <v>4.016193291350726E-2</v>
      </c>
      <c r="K1633" s="178">
        <f>FME_Ranking1[[#This Row],[Structures 100  Score (Normalized, Unweighted)]]*$I$3</f>
        <v>6.024289937026089E-3</v>
      </c>
      <c r="L1633" s="246">
        <f>_xlfn.XLOOKUP(FME_Ranking1[[#This Row],[FME ID]],FME_Input[FME_ID],FME_Input[RES_STRUCT100])</f>
        <v>51</v>
      </c>
      <c r="M1633" s="230">
        <f>(FME_Ranking1[[#This Row],[Res Structures Raw]]/L$2)*100</f>
        <v>3.6123585159581251E-2</v>
      </c>
      <c r="N1633" s="180">
        <f>FME_Ranking1[[#This Row],[Res Structures Score (Normalized, Unweighted)]]*$L$3</f>
        <v>3.6123585159581252E-3</v>
      </c>
      <c r="O1633" s="244">
        <f>_xlfn.XLOOKUP(FME_Ranking1[[#This Row],[FME ID]],FME_Input[FME_ID],FME_Input[POP100])</f>
        <v>147</v>
      </c>
      <c r="P1633" s="178">
        <f>(FME_Ranking1[[#This Row],[Pop Raw]]/$O$2)*100</f>
        <v>1.5049170862348204E-2</v>
      </c>
      <c r="Q1633" s="178">
        <f>FME_Ranking1[[#This Row],[Pop Score (Normalized, Unweighted)]]*$O$3</f>
        <v>2.2573756293522303E-3</v>
      </c>
      <c r="R1633" s="137">
        <f>_xlfn.XLOOKUP(FME_Ranking1[[#This Row],[FME ID]],FME_Input[FME_ID],FME_Input[CRITFAC100])</f>
        <v>0</v>
      </c>
      <c r="S1633" s="230">
        <f>(FME_Ranking1[[#This Row],[Critical Facilities Raw]]/$R$2)*100</f>
        <v>0</v>
      </c>
      <c r="T1633" s="180">
        <f>FME_Ranking1[[#This Row],[Critical Facilities Score (Normalized, Unweighted)]]*$R$3</f>
        <v>0</v>
      </c>
      <c r="U1633">
        <f>_xlfn.XLOOKUP(FME_Ranking1[[#This Row],[FME ID]],FME_Input[FME_ID],FME_Input[LWC])</f>
        <v>0</v>
      </c>
      <c r="V1633" s="178">
        <f>(FME_Ranking1[[#This Row],[LWC Raw]]/$U$2)*100</f>
        <v>0</v>
      </c>
      <c r="W1633" s="178">
        <f>FME_Ranking1[[#This Row],[LWC Score (Normalized, Unweighted)]]*$U$3</f>
        <v>0</v>
      </c>
      <c r="X1633" s="246">
        <f>_xlfn.XLOOKUP(FME_Ranking1[[#This Row],[FME ID]],FME_Input[FME_ID],FME_Input[ROADCLS])</f>
        <v>0</v>
      </c>
      <c r="Y1633" s="230">
        <f>(FME_Ranking1[[#This Row],[Closures Raw]]/$X$2)*100</f>
        <v>0</v>
      </c>
      <c r="Z1633" s="180">
        <f>FME_Ranking1[[#This Row],[Closures Score (Normalized, Unweighted)]]*$X$3</f>
        <v>0</v>
      </c>
      <c r="AA1633" s="253">
        <f>_xlfn.XLOOKUP(FME_Ranking1[[#This Row],[FME ID]],FME_Input[FME_ID],FME_Input[ROAD_MILES100])</f>
        <v>4.9218950271606454</v>
      </c>
      <c r="AB1633" s="178">
        <f>(FME_Ranking1[[#This Row],[Miles Raw]]/$AA$2)*100</f>
        <v>6.4714091773999283E-2</v>
      </c>
      <c r="AC1633" s="178">
        <f>FME_Ranking1[[#This Row],[Miles Score (Normalized, Unweighted)]]*$AA$3</f>
        <v>6.471409177399929E-3</v>
      </c>
      <c r="AD1633" s="255">
        <f>_xlfn.XLOOKUP(FME_Ranking1[[#This Row],[FME ID]],FME_Input[FME_ID],FME_Input[FARMACRE100])</f>
        <v>463.47845458984381</v>
      </c>
      <c r="AE1633" s="230">
        <f>(FME_Ranking1[[#This Row],[Ag Land Raw]]/$AD$2)*100</f>
        <v>1.911177670427321E-2</v>
      </c>
      <c r="AF1633" s="231">
        <f>FME_Ranking1[[#This Row],[Ag Land Score (Normalized, Unweighted)]]*$AD$3</f>
        <v>9.5558883521366055E-4</v>
      </c>
      <c r="AG163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1.9321022094950031E-2</v>
      </c>
      <c r="AH1633" s="406">
        <f t="shared" si="25"/>
        <v>1583</v>
      </c>
      <c r="AI163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1.9321022094950031E-2</v>
      </c>
      <c r="AJ1633" s="257">
        <f>FME_Ranking1[[#This Row],[Addition check]]-FME_Ranking1[[#This Row],[Weighted Score Based on Normalized Reported Factors]]</f>
        <v>0</v>
      </c>
      <c r="AK1633" s="178">
        <f>_xlfn.RANK.EQ(AI1633,$AI$6:$AI$2341,0)+COUNTIF($AI$6:AI1633,AI1633)-1</f>
        <v>1583</v>
      </c>
    </row>
    <row r="1634" spans="1:37" x14ac:dyDescent="0.25">
      <c r="A1634" t="s">
        <v>10297</v>
      </c>
      <c r="B1634">
        <f>_xlfn.XLOOKUP(FME_Ranking1[[#This Row],[FME ID]],FME_Input[FME_ID],FME_Input[RFPG_NUM])</f>
        <v>13</v>
      </c>
      <c r="C1634" t="str">
        <f>_xlfn.XLOOKUP(FME_Ranking1[[#This Row],[FME ID]],FME_Input[FME_ID],FME_Input[FME_NAME])</f>
        <v>Avenue B Drainage Channel Extension and Outfall Improvements</v>
      </c>
      <c r="D1634" t="str">
        <f>_xlfn.XLOOKUP(FME_Ranking1[[#This Row],[FME ID]],FME_Input[FME_ID],FME_Input[DESCR])</f>
        <v>Storm sewer replacement between Humble Ave. and Mustang Ave.as well as between Mustang Ave. and Ave. B channel. Improvements from 5th St., 6th St., 7th St., and 8th St. into the improved Ave. B channel, and downstream channel excavation.</v>
      </c>
      <c r="E1634" s="256">
        <f>_xlfn.XLOOKUP(FME_Ranking1[[#This Row],[FME ID]],FME_Input[FME_ID],FME_Input[FME_COST])</f>
        <v>750000</v>
      </c>
      <c r="F1634" t="str">
        <f>_xlfn.XLOOKUP(FME_Ranking1[[#This Row],[FME ID]],FME_Input[FME_ID],FME_Input[EMER_NEED])</f>
        <v>Yes</v>
      </c>
      <c r="G1634">
        <f>IF(FME_Ranking!F1634="Yes",100,0)</f>
        <v>100</v>
      </c>
      <c r="H1634">
        <f>FME_Ranking1[[#This Row],[Emergency Need Score (Normalized, Unweighted)]]*$F$3</f>
        <v>0</v>
      </c>
      <c r="I1634" s="246">
        <f>_xlfn.XLOOKUP(FME_Ranking1[[#This Row],[FME ID]],FME_Input[FME_ID],FME_Input[STRUCT_100])</f>
        <v>11</v>
      </c>
      <c r="J1634" s="178">
        <f>(FME_Ranking1[[#This Row],[Structures 100 Raw]]/I$2)*100</f>
        <v>5.8904168273143983E-3</v>
      </c>
      <c r="K1634" s="178">
        <f>FME_Ranking1[[#This Row],[Structures 100  Score (Normalized, Unweighted)]]*$I$3</f>
        <v>8.8356252409715972E-4</v>
      </c>
      <c r="L1634" s="246">
        <f>_xlfn.XLOOKUP(FME_Ranking1[[#This Row],[FME ID]],FME_Input[FME_ID],FME_Input[RES_STRUCT100])</f>
        <v>10</v>
      </c>
      <c r="M1634" s="230">
        <f>(FME_Ranking1[[#This Row],[Res Structures Raw]]/L$2)*100</f>
        <v>7.0830559136433819E-3</v>
      </c>
      <c r="N1634" s="180">
        <f>FME_Ranking1[[#This Row],[Res Structures Score (Normalized, Unweighted)]]*$L$3</f>
        <v>7.0830559136433825E-4</v>
      </c>
      <c r="O1634" s="244">
        <f>_xlfn.XLOOKUP(FME_Ranking1[[#This Row],[FME ID]],FME_Input[FME_ID],FME_Input[POP100])</f>
        <v>45</v>
      </c>
      <c r="P1634" s="178">
        <f>(FME_Ranking1[[#This Row],[Pop Raw]]/$O$2)*100</f>
        <v>4.6068890394943482E-3</v>
      </c>
      <c r="Q1634" s="178">
        <f>FME_Ranking1[[#This Row],[Pop Score (Normalized, Unweighted)]]*$O$3</f>
        <v>6.9103335592415221E-4</v>
      </c>
      <c r="R1634" s="137">
        <f>_xlfn.XLOOKUP(FME_Ranking1[[#This Row],[FME ID]],FME_Input[FME_ID],FME_Input[CRITFAC100])</f>
        <v>0</v>
      </c>
      <c r="S1634" s="230">
        <f>(FME_Ranking1[[#This Row],[Critical Facilities Raw]]/$R$2)*100</f>
        <v>0</v>
      </c>
      <c r="T1634" s="180">
        <f>FME_Ranking1[[#This Row],[Critical Facilities Score (Normalized, Unweighted)]]*$R$3</f>
        <v>0</v>
      </c>
      <c r="U1634">
        <f>_xlfn.XLOOKUP(FME_Ranking1[[#This Row],[FME ID]],FME_Input[FME_ID],FME_Input[LWC])</f>
        <v>0</v>
      </c>
      <c r="V1634" s="178">
        <f>(FME_Ranking1[[#This Row],[LWC Raw]]/$U$2)*100</f>
        <v>0</v>
      </c>
      <c r="W1634" s="178">
        <f>FME_Ranking1[[#This Row],[LWC Score (Normalized, Unweighted)]]*$U$3</f>
        <v>0</v>
      </c>
      <c r="X1634" s="246">
        <f>_xlfn.XLOOKUP(FME_Ranking1[[#This Row],[FME ID]],FME_Input[FME_ID],FME_Input[ROADCLS])</f>
        <v>20</v>
      </c>
      <c r="Y1634" s="230">
        <f>(FME_Ranking1[[#This Row],[Closures Raw]]/$X$2)*100</f>
        <v>0.2102828304068973</v>
      </c>
      <c r="Z1634" s="180">
        <f>FME_Ranking1[[#This Row],[Closures Score (Normalized, Unweighted)]]*$X$3</f>
        <v>1.0514141520344866E-2</v>
      </c>
      <c r="AA1634" s="253">
        <f>_xlfn.XLOOKUP(FME_Ranking1[[#This Row],[FME ID]],FME_Input[FME_ID],FME_Input[ROAD_MILES100])</f>
        <v>0.30747348070144648</v>
      </c>
      <c r="AB1634" s="178">
        <f>(FME_Ranking1[[#This Row],[Miles Raw]]/$AA$2)*100</f>
        <v>4.0427247916465896E-3</v>
      </c>
      <c r="AC1634" s="178">
        <f>FME_Ranking1[[#This Row],[Miles Score (Normalized, Unweighted)]]*$AA$3</f>
        <v>4.0427247916465897E-4</v>
      </c>
      <c r="AD1634" s="255">
        <f>_xlfn.XLOOKUP(FME_Ranking1[[#This Row],[FME ID]],FME_Input[FME_ID],FME_Input[FARMACRE100])</f>
        <v>0</v>
      </c>
      <c r="AE1634" s="230">
        <f>(FME_Ranking1[[#This Row],[Ag Land Raw]]/$AD$2)*100</f>
        <v>0</v>
      </c>
      <c r="AF1634" s="231">
        <f>FME_Ranking1[[#This Row],[Ag Land Score (Normalized, Unweighted)]]*$AD$3</f>
        <v>0</v>
      </c>
      <c r="AG163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1.3201315470895173E-2</v>
      </c>
      <c r="AH1634" s="406">
        <f t="shared" si="25"/>
        <v>1659</v>
      </c>
      <c r="AI163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1.3201315470895173E-2</v>
      </c>
      <c r="AJ1634" s="257">
        <f>FME_Ranking1[[#This Row],[Addition check]]-FME_Ranking1[[#This Row],[Weighted Score Based on Normalized Reported Factors]]</f>
        <v>0</v>
      </c>
      <c r="AK1634" s="178">
        <f>_xlfn.RANK.EQ(AI1634,$AI$6:$AI$2341,0)+COUNTIF($AI$6:AI1634,AI1634)-1</f>
        <v>1659</v>
      </c>
    </row>
    <row r="1635" spans="1:37" x14ac:dyDescent="0.25">
      <c r="A1635" t="s">
        <v>9302</v>
      </c>
      <c r="B1635">
        <f>_xlfn.XLOOKUP(FME_Ranking1[[#This Row],[FME ID]],FME_Input[FME_ID],FME_Input[RFPG_NUM])</f>
        <v>12</v>
      </c>
      <c r="C1635" t="str">
        <f>_xlfn.XLOOKUP(FME_Ranking1[[#This Row],[FME ID]],FME_Input[FME_ID],FME_Input[FME_NAME])</f>
        <v>LWC #34 Sleepy Hollow @ Sunburst</v>
      </c>
      <c r="D1635" t="str">
        <f>_xlfn.XLOOKUP(FME_Ranking1[[#This Row],[FME ID]],FME_Input[FME_ID],FME_Input[DESCR])</f>
        <v>This project requires the placement culverts or a bridge to eliminate a low water crossing . Street Reconstruction includes driveway approaches, curbs, and sidewalks as required.</v>
      </c>
      <c r="E1635" s="256">
        <f>_xlfn.XLOOKUP(FME_Ranking1[[#This Row],[FME ID]],FME_Input[FME_ID],FME_Input[FME_COST])</f>
        <v>5421088</v>
      </c>
      <c r="F1635" t="str">
        <f>_xlfn.XLOOKUP(FME_Ranking1[[#This Row],[FME ID]],FME_Input[FME_ID],FME_Input[EMER_NEED])</f>
        <v>Yes</v>
      </c>
      <c r="G1635">
        <f>IF(FME_Ranking!F1635="Yes",100,0)</f>
        <v>100</v>
      </c>
      <c r="H1635">
        <f>FME_Ranking1[[#This Row],[Emergency Need Score (Normalized, Unweighted)]]*$F$3</f>
        <v>0</v>
      </c>
      <c r="I1635" s="246">
        <f>_xlfn.XLOOKUP(FME_Ranking1[[#This Row],[FME ID]],FME_Input[FME_ID],FME_Input[STRUCT_100])</f>
        <v>1</v>
      </c>
      <c r="J1635" s="178">
        <f>(FME_Ranking1[[#This Row],[Structures 100 Raw]]/I$2)*100</f>
        <v>5.3549243884676355E-4</v>
      </c>
      <c r="K1635" s="178">
        <f>FME_Ranking1[[#This Row],[Structures 100  Score (Normalized, Unweighted)]]*$I$3</f>
        <v>8.0323865827014533E-5</v>
      </c>
      <c r="L1635" s="246">
        <f>_xlfn.XLOOKUP(FME_Ranking1[[#This Row],[FME ID]],FME_Input[FME_ID],FME_Input[RES_STRUCT100])</f>
        <v>1</v>
      </c>
      <c r="M1635" s="230">
        <f>(FME_Ranking1[[#This Row],[Res Structures Raw]]/L$2)*100</f>
        <v>7.0830559136433825E-4</v>
      </c>
      <c r="N1635" s="180">
        <f>FME_Ranking1[[#This Row],[Res Structures Score (Normalized, Unweighted)]]*$L$3</f>
        <v>7.0830559136433833E-5</v>
      </c>
      <c r="O1635" s="244">
        <f>_xlfn.XLOOKUP(FME_Ranking1[[#This Row],[FME ID]],FME_Input[FME_ID],FME_Input[POP100])</f>
        <v>2</v>
      </c>
      <c r="P1635" s="178">
        <f>(FME_Ranking1[[#This Row],[Pop Raw]]/$O$2)*100</f>
        <v>2.0475062397752657E-4</v>
      </c>
      <c r="Q1635" s="178">
        <f>FME_Ranking1[[#This Row],[Pop Score (Normalized, Unweighted)]]*$O$3</f>
        <v>3.0712593596628984E-5</v>
      </c>
      <c r="R1635" s="137">
        <f>_xlfn.XLOOKUP(FME_Ranking1[[#This Row],[FME ID]],FME_Input[FME_ID],FME_Input[CRITFAC100])</f>
        <v>0</v>
      </c>
      <c r="S1635" s="230">
        <f>(FME_Ranking1[[#This Row],[Critical Facilities Raw]]/$R$2)*100</f>
        <v>0</v>
      </c>
      <c r="T1635" s="180">
        <f>FME_Ranking1[[#This Row],[Critical Facilities Score (Normalized, Unweighted)]]*$R$3</f>
        <v>0</v>
      </c>
      <c r="U1635">
        <f>_xlfn.XLOOKUP(FME_Ranking1[[#This Row],[FME ID]],FME_Input[FME_ID],FME_Input[LWC])</f>
        <v>1</v>
      </c>
      <c r="V1635" s="178">
        <f>(FME_Ranking1[[#This Row],[LWC Raw]]/$U$2)*100</f>
        <v>5.7570523891767422E-2</v>
      </c>
      <c r="W1635" s="178">
        <f>FME_Ranking1[[#This Row],[LWC Score (Normalized, Unweighted)]]*$U$3</f>
        <v>1.1514104778353485E-2</v>
      </c>
      <c r="X1635" s="246">
        <f>_xlfn.XLOOKUP(FME_Ranking1[[#This Row],[FME ID]],FME_Input[FME_ID],FME_Input[ROADCLS])</f>
        <v>2</v>
      </c>
      <c r="Y1635" s="230">
        <f>(FME_Ranking1[[#This Row],[Closures Raw]]/$X$2)*100</f>
        <v>2.1028283040689728E-2</v>
      </c>
      <c r="Z1635" s="180">
        <f>FME_Ranking1[[#This Row],[Closures Score (Normalized, Unweighted)]]*$X$3</f>
        <v>1.0514141520344864E-3</v>
      </c>
      <c r="AA1635" s="253">
        <f>_xlfn.XLOOKUP(FME_Ranking1[[#This Row],[FME ID]],FME_Input[FME_ID],FME_Input[ROAD_MILES100])</f>
        <v>0.12999999523162839</v>
      </c>
      <c r="AB1635" s="178">
        <f>(FME_Ranking1[[#This Row],[Miles Raw]]/$AA$2)*100</f>
        <v>1.7092667713582434E-3</v>
      </c>
      <c r="AC1635" s="178">
        <f>FME_Ranking1[[#This Row],[Miles Score (Normalized, Unweighted)]]*$AA$3</f>
        <v>1.7092667713582436E-4</v>
      </c>
      <c r="AD1635" s="255">
        <f>_xlfn.XLOOKUP(FME_Ranking1[[#This Row],[FME ID]],FME_Input[FME_ID],FME_Input[FARMACRE100])</f>
        <v>0</v>
      </c>
      <c r="AE1635" s="230">
        <f>(FME_Ranking1[[#This Row],[Ag Land Raw]]/$AD$2)*100</f>
        <v>0</v>
      </c>
      <c r="AF1635" s="231">
        <f>FME_Ranking1[[#This Row],[Ag Land Score (Normalized, Unweighted)]]*$AD$3</f>
        <v>0</v>
      </c>
      <c r="AG163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1.2918312626083873E-2</v>
      </c>
      <c r="AH1635" s="406">
        <f t="shared" si="25"/>
        <v>1671</v>
      </c>
      <c r="AI163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1.2918312626083873E-2</v>
      </c>
      <c r="AJ1635" s="257">
        <f>FME_Ranking1[[#This Row],[Addition check]]-FME_Ranking1[[#This Row],[Weighted Score Based on Normalized Reported Factors]]</f>
        <v>0</v>
      </c>
      <c r="AK1635" s="178">
        <f>_xlfn.RANK.EQ(AI1635,$AI$6:$AI$2341,0)+COUNTIF($AI$6:AI1635,AI1635)-1</f>
        <v>1671</v>
      </c>
    </row>
    <row r="1636" spans="1:37" x14ac:dyDescent="0.25">
      <c r="A1636" t="s">
        <v>9489</v>
      </c>
      <c r="B1636">
        <f>_xlfn.XLOOKUP(FME_Ranking1[[#This Row],[FME ID]],FME_Input[FME_ID],FME_Input[RFPG_NUM])</f>
        <v>12</v>
      </c>
      <c r="C1636" t="str">
        <f>_xlfn.XLOOKUP(FME_Ranking1[[#This Row],[FME ID]],FME_Input[FME_ID],FME_Input[FME_NAME])</f>
        <v>New Sulphur Springs – East of Lodi Rd</v>
      </c>
      <c r="D1636" t="str">
        <f>_xlfn.XLOOKUP(FME_Ranking1[[#This Row],[FME ID]],FME_Input[FME_ID],FME_Input[DESCR])</f>
        <v>This project will install a cross arm/barricade at the LWC. Construction of a bridge or culvertinstallation</v>
      </c>
      <c r="E1636" s="256">
        <f>_xlfn.XLOOKUP(FME_Ranking1[[#This Row],[FME ID]],FME_Input[FME_ID],FME_Input[FME_COST])</f>
        <v>2317784</v>
      </c>
      <c r="F1636" t="str">
        <f>_xlfn.XLOOKUP(FME_Ranking1[[#This Row],[FME ID]],FME_Input[FME_ID],FME_Input[EMER_NEED])</f>
        <v>Yes</v>
      </c>
      <c r="G1636">
        <f>IF(FME_Ranking!F1636="Yes",100,0)</f>
        <v>100</v>
      </c>
      <c r="H1636">
        <f>FME_Ranking1[[#This Row],[Emergency Need Score (Normalized, Unweighted)]]*$F$3</f>
        <v>0</v>
      </c>
      <c r="I1636" s="246">
        <f>_xlfn.XLOOKUP(FME_Ranking1[[#This Row],[FME ID]],FME_Input[FME_ID],FME_Input[STRUCT_100])</f>
        <v>3</v>
      </c>
      <c r="J1636" s="178">
        <f>(FME_Ranking1[[#This Row],[Structures 100 Raw]]/I$2)*100</f>
        <v>1.6064773165402903E-3</v>
      </c>
      <c r="K1636" s="178">
        <f>FME_Ranking1[[#This Row],[Structures 100  Score (Normalized, Unweighted)]]*$I$3</f>
        <v>2.4097159748104354E-4</v>
      </c>
      <c r="L1636" s="246">
        <f>_xlfn.XLOOKUP(FME_Ranking1[[#This Row],[FME ID]],FME_Input[FME_ID],FME_Input[RES_STRUCT100])</f>
        <v>3</v>
      </c>
      <c r="M1636" s="230">
        <f>(FME_Ranking1[[#This Row],[Res Structures Raw]]/L$2)*100</f>
        <v>2.1249167740930146E-3</v>
      </c>
      <c r="N1636" s="180">
        <f>FME_Ranking1[[#This Row],[Res Structures Score (Normalized, Unweighted)]]*$L$3</f>
        <v>2.1249167740930149E-4</v>
      </c>
      <c r="O1636" s="244">
        <f>_xlfn.XLOOKUP(FME_Ranking1[[#This Row],[FME ID]],FME_Input[FME_ID],FME_Input[POP100])</f>
        <v>12</v>
      </c>
      <c r="P1636" s="178">
        <f>(FME_Ranking1[[#This Row],[Pop Raw]]/$O$2)*100</f>
        <v>1.2285037438651595E-3</v>
      </c>
      <c r="Q1636" s="178">
        <f>FME_Ranking1[[#This Row],[Pop Score (Normalized, Unweighted)]]*$O$3</f>
        <v>1.8427556157977391E-4</v>
      </c>
      <c r="R1636" s="137">
        <f>_xlfn.XLOOKUP(FME_Ranking1[[#This Row],[FME ID]],FME_Input[FME_ID],FME_Input[CRITFAC100])</f>
        <v>0</v>
      </c>
      <c r="S1636" s="230">
        <f>(FME_Ranking1[[#This Row],[Critical Facilities Raw]]/$R$2)*100</f>
        <v>0</v>
      </c>
      <c r="T1636" s="180">
        <f>FME_Ranking1[[#This Row],[Critical Facilities Score (Normalized, Unweighted)]]*$R$3</f>
        <v>0</v>
      </c>
      <c r="U1636">
        <f>_xlfn.XLOOKUP(FME_Ranking1[[#This Row],[FME ID]],FME_Input[FME_ID],FME_Input[LWC])</f>
        <v>1</v>
      </c>
      <c r="V1636" s="178">
        <f>(FME_Ranking1[[#This Row],[LWC Raw]]/$U$2)*100</f>
        <v>5.7570523891767422E-2</v>
      </c>
      <c r="W1636" s="178">
        <f>FME_Ranking1[[#This Row],[LWC Score (Normalized, Unweighted)]]*$U$3</f>
        <v>1.1514104778353485E-2</v>
      </c>
      <c r="X1636" s="246">
        <f>_xlfn.XLOOKUP(FME_Ranking1[[#This Row],[FME ID]],FME_Input[FME_ID],FME_Input[ROADCLS])</f>
        <v>1</v>
      </c>
      <c r="Y1636" s="230">
        <f>(FME_Ranking1[[#This Row],[Closures Raw]]/$X$2)*100</f>
        <v>1.0514141520344864E-2</v>
      </c>
      <c r="Z1636" s="180">
        <f>FME_Ranking1[[#This Row],[Closures Score (Normalized, Unweighted)]]*$X$3</f>
        <v>5.2570707601724321E-4</v>
      </c>
      <c r="AA1636" s="253">
        <f>_xlfn.XLOOKUP(FME_Ranking1[[#This Row],[FME ID]],FME_Input[FME_ID],FME_Input[ROAD_MILES100])</f>
        <v>9.7999997437000275E-2</v>
      </c>
      <c r="AB1636" s="178">
        <f>(FME_Ranking1[[#This Row],[Miles Raw]]/$AA$2)*100</f>
        <v>1.288524195049383E-3</v>
      </c>
      <c r="AC1636" s="178">
        <f>FME_Ranking1[[#This Row],[Miles Score (Normalized, Unweighted)]]*$AA$3</f>
        <v>1.2885241950493829E-4</v>
      </c>
      <c r="AD1636" s="255">
        <f>_xlfn.XLOOKUP(FME_Ranking1[[#This Row],[FME ID]],FME_Input[FME_ID],FME_Input[FARMACRE100])</f>
        <v>0</v>
      </c>
      <c r="AE1636" s="230">
        <f>(FME_Ranking1[[#This Row],[Ag Land Raw]]/$AD$2)*100</f>
        <v>0</v>
      </c>
      <c r="AF1636" s="231">
        <f>FME_Ranking1[[#This Row],[Ag Land Score (Normalized, Unweighted)]]*$AD$3</f>
        <v>0</v>
      </c>
      <c r="AG163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1.2806403110345786E-2</v>
      </c>
      <c r="AH1636" s="406">
        <f t="shared" si="25"/>
        <v>1673</v>
      </c>
      <c r="AI163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1.2806403110345786E-2</v>
      </c>
      <c r="AJ1636" s="257">
        <f>FME_Ranking1[[#This Row],[Addition check]]-FME_Ranking1[[#This Row],[Weighted Score Based on Normalized Reported Factors]]</f>
        <v>0</v>
      </c>
      <c r="AK1636" s="178">
        <f>_xlfn.RANK.EQ(AI1636,$AI$6:$AI$2341,0)+COUNTIF($AI$6:AI1636,AI1636)-1</f>
        <v>1673</v>
      </c>
    </row>
    <row r="1637" spans="1:37" x14ac:dyDescent="0.25">
      <c r="A1637" t="s">
        <v>9726</v>
      </c>
      <c r="B1637">
        <f>_xlfn.XLOOKUP(FME_Ranking1[[#This Row],[FME ID]],FME_Input[FME_ID],FME_Input[RFPG_NUM])</f>
        <v>12</v>
      </c>
      <c r="C1637" t="str">
        <f>_xlfn.XLOOKUP(FME_Ranking1[[#This Row],[FME ID]],FME_Input[FME_ID],FME_Input[FME_NAME])</f>
        <v xml:space="preserve">Highway 16 Bridge Upgrade
</v>
      </c>
      <c r="D1637" t="str">
        <f>_xlfn.XLOOKUP(FME_Ranking1[[#This Row],[FME ID]],FME_Input[FME_ID],FME_Input[DESCR])</f>
        <v>Closes the road down which is the main access for citizens. Study to upgrade crossing.</v>
      </c>
      <c r="E1637" s="256">
        <f>_xlfn.XLOOKUP(FME_Ranking1[[#This Row],[FME ID]],FME_Input[FME_ID],FME_Input[FME_COST])</f>
        <v>150000</v>
      </c>
      <c r="F1637" t="str">
        <f>_xlfn.XLOOKUP(FME_Ranking1[[#This Row],[FME ID]],FME_Input[FME_ID],FME_Input[EMER_NEED])</f>
        <v>Yes</v>
      </c>
      <c r="G1637">
        <f>IF(FME_Ranking!F1637="Yes",100,0)</f>
        <v>100</v>
      </c>
      <c r="H1637">
        <f>FME_Ranking1[[#This Row],[Emergency Need Score (Normalized, Unweighted)]]*$F$3</f>
        <v>0</v>
      </c>
      <c r="I1637" s="246">
        <f>_xlfn.XLOOKUP(FME_Ranking1[[#This Row],[FME ID]],FME_Input[FME_ID],FME_Input[STRUCT_100])</f>
        <v>1</v>
      </c>
      <c r="J1637" s="178">
        <f>(FME_Ranking1[[#This Row],[Structures 100 Raw]]/I$2)*100</f>
        <v>5.3549243884676355E-4</v>
      </c>
      <c r="K1637" s="178">
        <f>FME_Ranking1[[#This Row],[Structures 100  Score (Normalized, Unweighted)]]*$I$3</f>
        <v>8.0323865827014533E-5</v>
      </c>
      <c r="L1637" s="246">
        <f>_xlfn.XLOOKUP(FME_Ranking1[[#This Row],[FME ID]],FME_Input[FME_ID],FME_Input[RES_STRUCT100])</f>
        <v>0</v>
      </c>
      <c r="M1637" s="230">
        <f>(FME_Ranking1[[#This Row],[Res Structures Raw]]/L$2)*100</f>
        <v>0</v>
      </c>
      <c r="N1637" s="180">
        <f>FME_Ranking1[[#This Row],[Res Structures Score (Normalized, Unweighted)]]*$L$3</f>
        <v>0</v>
      </c>
      <c r="O1637" s="244">
        <f>_xlfn.XLOOKUP(FME_Ranking1[[#This Row],[FME ID]],FME_Input[FME_ID],FME_Input[POP100])</f>
        <v>0</v>
      </c>
      <c r="P1637" s="178">
        <f>(FME_Ranking1[[#This Row],[Pop Raw]]/$O$2)*100</f>
        <v>0</v>
      </c>
      <c r="Q1637" s="178">
        <f>FME_Ranking1[[#This Row],[Pop Score (Normalized, Unweighted)]]*$O$3</f>
        <v>0</v>
      </c>
      <c r="R1637" s="137">
        <f>_xlfn.XLOOKUP(FME_Ranking1[[#This Row],[FME ID]],FME_Input[FME_ID],FME_Input[CRITFAC100])</f>
        <v>0</v>
      </c>
      <c r="S1637" s="230">
        <f>(FME_Ranking1[[#This Row],[Critical Facilities Raw]]/$R$2)*100</f>
        <v>0</v>
      </c>
      <c r="T1637" s="180">
        <f>FME_Ranking1[[#This Row],[Critical Facilities Score (Normalized, Unweighted)]]*$R$3</f>
        <v>0</v>
      </c>
      <c r="U1637">
        <f>_xlfn.XLOOKUP(FME_Ranking1[[#This Row],[FME ID]],FME_Input[FME_ID],FME_Input[LWC])</f>
        <v>1</v>
      </c>
      <c r="V1637" s="178">
        <f>(FME_Ranking1[[#This Row],[LWC Raw]]/$U$2)*100</f>
        <v>5.7570523891767422E-2</v>
      </c>
      <c r="W1637" s="178">
        <f>FME_Ranking1[[#This Row],[LWC Score (Normalized, Unweighted)]]*$U$3</f>
        <v>1.1514104778353485E-2</v>
      </c>
      <c r="X1637" s="246">
        <f>_xlfn.XLOOKUP(FME_Ranking1[[#This Row],[FME ID]],FME_Input[FME_ID],FME_Input[ROADCLS])</f>
        <v>2</v>
      </c>
      <c r="Y1637" s="230">
        <f>(FME_Ranking1[[#This Row],[Closures Raw]]/$X$2)*100</f>
        <v>2.1028283040689728E-2</v>
      </c>
      <c r="Z1637" s="180">
        <f>FME_Ranking1[[#This Row],[Closures Score (Normalized, Unweighted)]]*$X$3</f>
        <v>1.0514141520344864E-3</v>
      </c>
      <c r="AA1637" s="253">
        <f>_xlfn.XLOOKUP(FME_Ranking1[[#This Row],[FME ID]],FME_Input[FME_ID],FME_Input[ROAD_MILES100])</f>
        <v>0.30000001192092901</v>
      </c>
      <c r="AB1637" s="178">
        <f>(FME_Ranking1[[#This Row],[Miles Raw]]/$AA$2)*100</f>
        <v>3.9444620814783216E-3</v>
      </c>
      <c r="AC1637" s="178">
        <f>FME_Ranking1[[#This Row],[Miles Score (Normalized, Unweighted)]]*$AA$3</f>
        <v>3.9444620814783221E-4</v>
      </c>
      <c r="AD1637" s="255">
        <f>_xlfn.XLOOKUP(FME_Ranking1[[#This Row],[FME ID]],FME_Input[FME_ID],FME_Input[FARMACRE100])</f>
        <v>0.11628299951553341</v>
      </c>
      <c r="AE1637" s="230">
        <f>(FME_Ranking1[[#This Row],[Ag Land Raw]]/$AD$2)*100</f>
        <v>4.7949903587442461E-6</v>
      </c>
      <c r="AF1637" s="231">
        <f>FME_Ranking1[[#This Row],[Ag Land Score (Normalized, Unweighted)]]*$AD$3</f>
        <v>2.3974951793721232E-7</v>
      </c>
      <c r="AG163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1.3040528753880754E-2</v>
      </c>
      <c r="AH1637" s="406">
        <f t="shared" si="25"/>
        <v>1666</v>
      </c>
      <c r="AI163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1.3040528753880754E-2</v>
      </c>
      <c r="AJ1637" s="257">
        <f>FME_Ranking1[[#This Row],[Addition check]]-FME_Ranking1[[#This Row],[Weighted Score Based on Normalized Reported Factors]]</f>
        <v>0</v>
      </c>
      <c r="AK1637" s="178">
        <f>_xlfn.RANK.EQ(AI1637,$AI$6:$AI$2341,0)+COUNTIF($AI$6:AI1637,AI1637)-1</f>
        <v>1666</v>
      </c>
    </row>
    <row r="1638" spans="1:37" x14ac:dyDescent="0.25">
      <c r="A1638" t="s">
        <v>6796</v>
      </c>
      <c r="B1638">
        <f>_xlfn.XLOOKUP(FME_Ranking1[[#This Row],[FME ID]],FME_Input[FME_ID],FME_Input[RFPG_NUM])</f>
        <v>7</v>
      </c>
      <c r="C1638" t="str">
        <f>_xlfn.XLOOKUP(FME_Ranking1[[#This Row],[FME ID]],FME_Input[FME_ID],FME_Input[FME_NAME])</f>
        <v>King County Initial FEMA Mapping</v>
      </c>
      <c r="D1638" t="str">
        <f>_xlfn.XLOOKUP(FME_Ranking1[[#This Row],[FME ID]],FME_Input[FME_ID],FME_Input[DESCR])</f>
        <v>Create FEMA Mapping in previously unmapped areas</v>
      </c>
      <c r="E1638" s="256">
        <f>_xlfn.XLOOKUP(FME_Ranking1[[#This Row],[FME ID]],FME_Input[FME_ID],FME_Input[FME_COST])</f>
        <v>954000</v>
      </c>
      <c r="F1638" t="str">
        <f>_xlfn.XLOOKUP(FME_Ranking1[[#This Row],[FME ID]],FME_Input[FME_ID],FME_Input[EMER_NEED])</f>
        <v>No</v>
      </c>
      <c r="G1638">
        <f>IF(FME_Ranking!F1638="Yes",100,0)</f>
        <v>0</v>
      </c>
      <c r="H1638">
        <f>FME_Ranking1[[#This Row],[Emergency Need Score (Normalized, Unweighted)]]*$F$3</f>
        <v>0</v>
      </c>
      <c r="I1638" s="246">
        <f>_xlfn.XLOOKUP(FME_Ranking1[[#This Row],[FME ID]],FME_Input[FME_ID],FME_Input[STRUCT_100])</f>
        <v>3</v>
      </c>
      <c r="J1638" s="178">
        <f>(FME_Ranking1[[#This Row],[Structures 100 Raw]]/I$2)*100</f>
        <v>1.6064773165402903E-3</v>
      </c>
      <c r="K1638" s="178">
        <f>FME_Ranking1[[#This Row],[Structures 100  Score (Normalized, Unweighted)]]*$I$3</f>
        <v>2.4097159748104354E-4</v>
      </c>
      <c r="L1638" s="246">
        <f>_xlfn.XLOOKUP(FME_Ranking1[[#This Row],[FME ID]],FME_Input[FME_ID],FME_Input[RES_STRUCT100])</f>
        <v>0</v>
      </c>
      <c r="M1638" s="230">
        <f>(FME_Ranking1[[#This Row],[Res Structures Raw]]/L$2)*100</f>
        <v>0</v>
      </c>
      <c r="N1638" s="180">
        <f>FME_Ranking1[[#This Row],[Res Structures Score (Normalized, Unweighted)]]*$L$3</f>
        <v>0</v>
      </c>
      <c r="O1638" s="244">
        <f>_xlfn.XLOOKUP(FME_Ranking1[[#This Row],[FME ID]],FME_Input[FME_ID],FME_Input[POP100])</f>
        <v>1</v>
      </c>
      <c r="P1638" s="178">
        <f>(FME_Ranking1[[#This Row],[Pop Raw]]/$O$2)*100</f>
        <v>1.0237531198876328E-4</v>
      </c>
      <c r="Q1638" s="178">
        <f>FME_Ranking1[[#This Row],[Pop Score (Normalized, Unweighted)]]*$O$3</f>
        <v>1.5356296798314492E-5</v>
      </c>
      <c r="R1638" s="137">
        <f>_xlfn.XLOOKUP(FME_Ranking1[[#This Row],[FME ID]],FME_Input[FME_ID],FME_Input[CRITFAC100])</f>
        <v>0</v>
      </c>
      <c r="S1638" s="230">
        <f>(FME_Ranking1[[#This Row],[Critical Facilities Raw]]/$R$2)*100</f>
        <v>0</v>
      </c>
      <c r="T1638" s="180">
        <f>FME_Ranking1[[#This Row],[Critical Facilities Score (Normalized, Unweighted)]]*$R$3</f>
        <v>0</v>
      </c>
      <c r="U1638">
        <f>_xlfn.XLOOKUP(FME_Ranking1[[#This Row],[FME ID]],FME_Input[FME_ID],FME_Input[LWC])</f>
        <v>1</v>
      </c>
      <c r="V1638" s="178">
        <f>(FME_Ranking1[[#This Row],[LWC Raw]]/$U$2)*100</f>
        <v>5.7570523891767422E-2</v>
      </c>
      <c r="W1638" s="178">
        <f>FME_Ranking1[[#This Row],[LWC Score (Normalized, Unweighted)]]*$U$3</f>
        <v>1.1514104778353485E-2</v>
      </c>
      <c r="X1638" s="246">
        <f>_xlfn.XLOOKUP(FME_Ranking1[[#This Row],[FME ID]],FME_Input[FME_ID],FME_Input[ROADCLS])</f>
        <v>0</v>
      </c>
      <c r="Y1638" s="230">
        <f>(FME_Ranking1[[#This Row],[Closures Raw]]/$X$2)*100</f>
        <v>0</v>
      </c>
      <c r="Z1638" s="180">
        <f>FME_Ranking1[[#This Row],[Closures Score (Normalized, Unweighted)]]*$X$3</f>
        <v>0</v>
      </c>
      <c r="AA1638" s="253">
        <f>_xlfn.XLOOKUP(FME_Ranking1[[#This Row],[FME ID]],FME_Input[FME_ID],FME_Input[ROAD_MILES100])</f>
        <v>7.1589617729187012</v>
      </c>
      <c r="AB1638" s="178">
        <f>(FME_Ranking1[[#This Row],[Miles Raw]]/$AA$2)*100</f>
        <v>9.4127507113144354E-2</v>
      </c>
      <c r="AC1638" s="178">
        <f>FME_Ranking1[[#This Row],[Miles Score (Normalized, Unweighted)]]*$AA$3</f>
        <v>9.4127507113144354E-3</v>
      </c>
      <c r="AD1638" s="255">
        <f>_xlfn.XLOOKUP(FME_Ranking1[[#This Row],[FME ID]],FME_Input[FME_ID],FME_Input[FARMACRE100])</f>
        <v>409.40933227539063</v>
      </c>
      <c r="AE1638" s="230">
        <f>(FME_Ranking1[[#This Row],[Ag Land Raw]]/$AD$2)*100</f>
        <v>1.6882208140650688E-2</v>
      </c>
      <c r="AF1638" s="231">
        <f>FME_Ranking1[[#This Row],[Ag Land Score (Normalized, Unweighted)]]*$AD$3</f>
        <v>8.4411040703253443E-4</v>
      </c>
      <c r="AG163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2.2027293790979813E-2</v>
      </c>
      <c r="AH1638" s="406">
        <f t="shared" si="25"/>
        <v>1553</v>
      </c>
      <c r="AI163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2.2027293790979813E-2</v>
      </c>
      <c r="AJ1638" s="257">
        <f>FME_Ranking1[[#This Row],[Addition check]]-FME_Ranking1[[#This Row],[Weighted Score Based on Normalized Reported Factors]]</f>
        <v>0</v>
      </c>
      <c r="AK1638" s="178">
        <f>_xlfn.RANK.EQ(AI1638,$AI$6:$AI$2341,0)+COUNTIF($AI$6:AI1638,AI1638)-1</f>
        <v>1553</v>
      </c>
    </row>
    <row r="1639" spans="1:37" x14ac:dyDescent="0.25">
      <c r="A1639" t="s">
        <v>6802</v>
      </c>
      <c r="B1639">
        <f>_xlfn.XLOOKUP(FME_Ranking1[[#This Row],[FME ID]],FME_Input[FME_ID],FME_Input[RFPG_NUM])</f>
        <v>7</v>
      </c>
      <c r="C1639" t="str">
        <f>_xlfn.XLOOKUP(FME_Ranking1[[#This Row],[FME ID]],FME_Input[FME_ID],FME_Input[FME_NAME])</f>
        <v>King County GIS Development</v>
      </c>
      <c r="D1639" t="str">
        <f>_xlfn.XLOOKUP(FME_Ranking1[[#This Row],[FME ID]],FME_Input[FME_ID],FME_Input[DESCR])</f>
        <v>Develop a GIS inventory of stormwater infrastructure</v>
      </c>
      <c r="E1639" s="256">
        <f>_xlfn.XLOOKUP(FME_Ranking1[[#This Row],[FME ID]],FME_Input[FME_ID],FME_Input[FME_COST])</f>
        <v>100000</v>
      </c>
      <c r="F1639" t="str">
        <f>_xlfn.XLOOKUP(FME_Ranking1[[#This Row],[FME ID]],FME_Input[FME_ID],FME_Input[EMER_NEED])</f>
        <v>No</v>
      </c>
      <c r="G1639">
        <f>IF(FME_Ranking!F1639="Yes",100,0)</f>
        <v>0</v>
      </c>
      <c r="H1639">
        <f>FME_Ranking1[[#This Row],[Emergency Need Score (Normalized, Unweighted)]]*$F$3</f>
        <v>0</v>
      </c>
      <c r="I1639" s="246">
        <f>_xlfn.XLOOKUP(FME_Ranking1[[#This Row],[FME ID]],FME_Input[FME_ID],FME_Input[STRUCT_100])</f>
        <v>3</v>
      </c>
      <c r="J1639" s="178">
        <f>(FME_Ranking1[[#This Row],[Structures 100 Raw]]/I$2)*100</f>
        <v>1.6064773165402903E-3</v>
      </c>
      <c r="K1639" s="178">
        <f>FME_Ranking1[[#This Row],[Structures 100  Score (Normalized, Unweighted)]]*$I$3</f>
        <v>2.4097159748104354E-4</v>
      </c>
      <c r="L1639" s="246">
        <f>_xlfn.XLOOKUP(FME_Ranking1[[#This Row],[FME ID]],FME_Input[FME_ID],FME_Input[RES_STRUCT100])</f>
        <v>0</v>
      </c>
      <c r="M1639" s="230">
        <f>(FME_Ranking1[[#This Row],[Res Structures Raw]]/L$2)*100</f>
        <v>0</v>
      </c>
      <c r="N1639" s="180">
        <f>FME_Ranking1[[#This Row],[Res Structures Score (Normalized, Unweighted)]]*$L$3</f>
        <v>0</v>
      </c>
      <c r="O1639" s="244">
        <f>_xlfn.XLOOKUP(FME_Ranking1[[#This Row],[FME ID]],FME_Input[FME_ID],FME_Input[POP100])</f>
        <v>1</v>
      </c>
      <c r="P1639" s="178">
        <f>(FME_Ranking1[[#This Row],[Pop Raw]]/$O$2)*100</f>
        <v>1.0237531198876328E-4</v>
      </c>
      <c r="Q1639" s="178">
        <f>FME_Ranking1[[#This Row],[Pop Score (Normalized, Unweighted)]]*$O$3</f>
        <v>1.5356296798314492E-5</v>
      </c>
      <c r="R1639" s="137">
        <f>_xlfn.XLOOKUP(FME_Ranking1[[#This Row],[FME ID]],FME_Input[FME_ID],FME_Input[CRITFAC100])</f>
        <v>0</v>
      </c>
      <c r="S1639" s="230">
        <f>(FME_Ranking1[[#This Row],[Critical Facilities Raw]]/$R$2)*100</f>
        <v>0</v>
      </c>
      <c r="T1639" s="180">
        <f>FME_Ranking1[[#This Row],[Critical Facilities Score (Normalized, Unweighted)]]*$R$3</f>
        <v>0</v>
      </c>
      <c r="U1639">
        <f>_xlfn.XLOOKUP(FME_Ranking1[[#This Row],[FME ID]],FME_Input[FME_ID],FME_Input[LWC])</f>
        <v>1</v>
      </c>
      <c r="V1639" s="178">
        <f>(FME_Ranking1[[#This Row],[LWC Raw]]/$U$2)*100</f>
        <v>5.7570523891767422E-2</v>
      </c>
      <c r="W1639" s="178">
        <f>FME_Ranking1[[#This Row],[LWC Score (Normalized, Unweighted)]]*$U$3</f>
        <v>1.1514104778353485E-2</v>
      </c>
      <c r="X1639" s="246">
        <f>_xlfn.XLOOKUP(FME_Ranking1[[#This Row],[FME ID]],FME_Input[FME_ID],FME_Input[ROADCLS])</f>
        <v>0</v>
      </c>
      <c r="Y1639" s="230">
        <f>(FME_Ranking1[[#This Row],[Closures Raw]]/$X$2)*100</f>
        <v>0</v>
      </c>
      <c r="Z1639" s="180">
        <f>FME_Ranking1[[#This Row],[Closures Score (Normalized, Unweighted)]]*$X$3</f>
        <v>0</v>
      </c>
      <c r="AA1639" s="253">
        <f>_xlfn.XLOOKUP(FME_Ranking1[[#This Row],[FME ID]],FME_Input[FME_ID],FME_Input[ROAD_MILES100])</f>
        <v>7.1589617729187012</v>
      </c>
      <c r="AB1639" s="178">
        <f>(FME_Ranking1[[#This Row],[Miles Raw]]/$AA$2)*100</f>
        <v>9.4127507113144354E-2</v>
      </c>
      <c r="AC1639" s="178">
        <f>FME_Ranking1[[#This Row],[Miles Score (Normalized, Unweighted)]]*$AA$3</f>
        <v>9.4127507113144354E-3</v>
      </c>
      <c r="AD1639" s="255">
        <f>_xlfn.XLOOKUP(FME_Ranking1[[#This Row],[FME ID]],FME_Input[FME_ID],FME_Input[FARMACRE100])</f>
        <v>409.40933227539063</v>
      </c>
      <c r="AE1639" s="230">
        <f>(FME_Ranking1[[#This Row],[Ag Land Raw]]/$AD$2)*100</f>
        <v>1.6882208140650688E-2</v>
      </c>
      <c r="AF1639" s="231">
        <f>FME_Ranking1[[#This Row],[Ag Land Score (Normalized, Unweighted)]]*$AD$3</f>
        <v>8.4411040703253443E-4</v>
      </c>
      <c r="AG163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2.2027293790979813E-2</v>
      </c>
      <c r="AH1639" s="406">
        <f t="shared" si="25"/>
        <v>1553</v>
      </c>
      <c r="AI163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2.2027293790979813E-2</v>
      </c>
      <c r="AJ1639" s="257">
        <f>FME_Ranking1[[#This Row],[Addition check]]-FME_Ranking1[[#This Row],[Weighted Score Based on Normalized Reported Factors]]</f>
        <v>0</v>
      </c>
      <c r="AK1639" s="178">
        <f>_xlfn.RANK.EQ(AI1639,$AI$6:$AI$2341,0)+COUNTIF($AI$6:AI1639,AI1639)-1</f>
        <v>1554</v>
      </c>
    </row>
    <row r="1640" spans="1:37" x14ac:dyDescent="0.25">
      <c r="A1640" t="s">
        <v>7212</v>
      </c>
      <c r="B1640">
        <f>_xlfn.XLOOKUP(FME_Ranking1[[#This Row],[FME ID]],FME_Input[FME_ID],FME_Input[RFPG_NUM])</f>
        <v>7</v>
      </c>
      <c r="C1640" t="str">
        <f>_xlfn.XLOOKUP(FME_Ranking1[[#This Row],[FME ID]],FME_Input[FME_ID],FME_Input[FME_NAME])</f>
        <v>King County DCM</v>
      </c>
      <c r="D1640" t="str">
        <f>_xlfn.XLOOKUP(FME_Ranking1[[#This Row],[FME ID]],FME_Input[FME_ID],FME_Input[DESCR])</f>
        <v>Consider stormwater criteria for infrastructure and floodplain ordinances to avoid new exposure to flood hazards.</v>
      </c>
      <c r="E1640" s="256">
        <f>_xlfn.XLOOKUP(FME_Ranking1[[#This Row],[FME ID]],FME_Input[FME_ID],FME_Input[FME_COST])</f>
        <v>100000</v>
      </c>
      <c r="F1640" t="str">
        <f>_xlfn.XLOOKUP(FME_Ranking1[[#This Row],[FME ID]],FME_Input[FME_ID],FME_Input[EMER_NEED])</f>
        <v>No</v>
      </c>
      <c r="G1640">
        <f>IF(FME_Ranking!F1640="Yes",100,0)</f>
        <v>0</v>
      </c>
      <c r="H1640">
        <f>FME_Ranking1[[#This Row],[Emergency Need Score (Normalized, Unweighted)]]*$F$3</f>
        <v>0</v>
      </c>
      <c r="I1640" s="246">
        <f>_xlfn.XLOOKUP(FME_Ranking1[[#This Row],[FME ID]],FME_Input[FME_ID],FME_Input[STRUCT_100])</f>
        <v>3</v>
      </c>
      <c r="J1640" s="178">
        <f>(FME_Ranking1[[#This Row],[Structures 100 Raw]]/I$2)*100</f>
        <v>1.6064773165402903E-3</v>
      </c>
      <c r="K1640" s="178">
        <f>FME_Ranking1[[#This Row],[Structures 100  Score (Normalized, Unweighted)]]*$I$3</f>
        <v>2.4097159748104354E-4</v>
      </c>
      <c r="L1640" s="246">
        <f>_xlfn.XLOOKUP(FME_Ranking1[[#This Row],[FME ID]],FME_Input[FME_ID],FME_Input[RES_STRUCT100])</f>
        <v>0</v>
      </c>
      <c r="M1640" s="230">
        <f>(FME_Ranking1[[#This Row],[Res Structures Raw]]/L$2)*100</f>
        <v>0</v>
      </c>
      <c r="N1640" s="180">
        <f>FME_Ranking1[[#This Row],[Res Structures Score (Normalized, Unweighted)]]*$L$3</f>
        <v>0</v>
      </c>
      <c r="O1640" s="244">
        <f>_xlfn.XLOOKUP(FME_Ranking1[[#This Row],[FME ID]],FME_Input[FME_ID],FME_Input[POP100])</f>
        <v>1</v>
      </c>
      <c r="P1640" s="178">
        <f>(FME_Ranking1[[#This Row],[Pop Raw]]/$O$2)*100</f>
        <v>1.0237531198876328E-4</v>
      </c>
      <c r="Q1640" s="178">
        <f>FME_Ranking1[[#This Row],[Pop Score (Normalized, Unweighted)]]*$O$3</f>
        <v>1.5356296798314492E-5</v>
      </c>
      <c r="R1640" s="137">
        <f>_xlfn.XLOOKUP(FME_Ranking1[[#This Row],[FME ID]],FME_Input[FME_ID],FME_Input[CRITFAC100])</f>
        <v>0</v>
      </c>
      <c r="S1640" s="230">
        <f>(FME_Ranking1[[#This Row],[Critical Facilities Raw]]/$R$2)*100</f>
        <v>0</v>
      </c>
      <c r="T1640" s="180">
        <f>FME_Ranking1[[#This Row],[Critical Facilities Score (Normalized, Unweighted)]]*$R$3</f>
        <v>0</v>
      </c>
      <c r="U1640">
        <f>_xlfn.XLOOKUP(FME_Ranking1[[#This Row],[FME ID]],FME_Input[FME_ID],FME_Input[LWC])</f>
        <v>1</v>
      </c>
      <c r="V1640" s="178">
        <f>(FME_Ranking1[[#This Row],[LWC Raw]]/$U$2)*100</f>
        <v>5.7570523891767422E-2</v>
      </c>
      <c r="W1640" s="178">
        <f>FME_Ranking1[[#This Row],[LWC Score (Normalized, Unweighted)]]*$U$3</f>
        <v>1.1514104778353485E-2</v>
      </c>
      <c r="X1640" s="246">
        <f>_xlfn.XLOOKUP(FME_Ranking1[[#This Row],[FME ID]],FME_Input[FME_ID],FME_Input[ROADCLS])</f>
        <v>0</v>
      </c>
      <c r="Y1640" s="230">
        <f>(FME_Ranking1[[#This Row],[Closures Raw]]/$X$2)*100</f>
        <v>0</v>
      </c>
      <c r="Z1640" s="180">
        <f>FME_Ranking1[[#This Row],[Closures Score (Normalized, Unweighted)]]*$X$3</f>
        <v>0</v>
      </c>
      <c r="AA1640" s="253">
        <f>_xlfn.XLOOKUP(FME_Ranking1[[#This Row],[FME ID]],FME_Input[FME_ID],FME_Input[ROAD_MILES100])</f>
        <v>7.1589617729187012</v>
      </c>
      <c r="AB1640" s="178">
        <f>(FME_Ranking1[[#This Row],[Miles Raw]]/$AA$2)*100</f>
        <v>9.4127507113144354E-2</v>
      </c>
      <c r="AC1640" s="178">
        <f>FME_Ranking1[[#This Row],[Miles Score (Normalized, Unweighted)]]*$AA$3</f>
        <v>9.4127507113144354E-3</v>
      </c>
      <c r="AD1640" s="255">
        <f>_xlfn.XLOOKUP(FME_Ranking1[[#This Row],[FME ID]],FME_Input[FME_ID],FME_Input[FARMACRE100])</f>
        <v>409.40933227539063</v>
      </c>
      <c r="AE1640" s="230">
        <f>(FME_Ranking1[[#This Row],[Ag Land Raw]]/$AD$2)*100</f>
        <v>1.6882208140650688E-2</v>
      </c>
      <c r="AF1640" s="231">
        <f>FME_Ranking1[[#This Row],[Ag Land Score (Normalized, Unweighted)]]*$AD$3</f>
        <v>8.4411040703253443E-4</v>
      </c>
      <c r="AG164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2.2027293790979813E-2</v>
      </c>
      <c r="AH1640" s="406">
        <f t="shared" si="25"/>
        <v>1553</v>
      </c>
      <c r="AI164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2.2027293790979813E-2</v>
      </c>
      <c r="AJ1640" s="257">
        <f>FME_Ranking1[[#This Row],[Addition check]]-FME_Ranking1[[#This Row],[Weighted Score Based on Normalized Reported Factors]]</f>
        <v>0</v>
      </c>
      <c r="AK1640" s="178">
        <f>_xlfn.RANK.EQ(AI1640,$AI$6:$AI$2341,0)+COUNTIF($AI$6:AI1640,AI1640)-1</f>
        <v>1555</v>
      </c>
    </row>
    <row r="1641" spans="1:37" x14ac:dyDescent="0.25">
      <c r="A1641" t="s">
        <v>9492</v>
      </c>
      <c r="B1641">
        <f>_xlfn.XLOOKUP(FME_Ranking1[[#This Row],[FME ID]],FME_Input[FME_ID],FME_Input[RFPG_NUM])</f>
        <v>12</v>
      </c>
      <c r="C1641" t="str">
        <f>_xlfn.XLOOKUP(FME_Ranking1[[#This Row],[FME ID]],FME_Input[FME_ID],FME_Input[FME_NAME])</f>
        <v>LWC #71 Danville and Overbrook</v>
      </c>
      <c r="D1641" t="str">
        <f>_xlfn.XLOOKUP(FME_Ranking1[[#This Row],[FME ID]],FME_Input[FME_ID],FME_Input[DESCR])</f>
        <v>This project requires the replacement of existing low water crossing on Danville with an upgraded culvert (2-10'X10' MBC) or bridge to eliminate a low water crossing with some channel modifications upstream and downstream of the crossing</v>
      </c>
      <c r="E1641" s="256">
        <f>_xlfn.XLOOKUP(FME_Ranking1[[#This Row],[FME ID]],FME_Input[FME_ID],FME_Input[FME_COST])</f>
        <v>2890500</v>
      </c>
      <c r="F1641" t="str">
        <f>_xlfn.XLOOKUP(FME_Ranking1[[#This Row],[FME ID]],FME_Input[FME_ID],FME_Input[EMER_NEED])</f>
        <v>Yes</v>
      </c>
      <c r="G1641">
        <f>IF(FME_Ranking!F1641="Yes",100,0)</f>
        <v>100</v>
      </c>
      <c r="H1641">
        <f>FME_Ranking1[[#This Row],[Emergency Need Score (Normalized, Unweighted)]]*$F$3</f>
        <v>0</v>
      </c>
      <c r="I1641" s="246">
        <f>_xlfn.XLOOKUP(FME_Ranking1[[#This Row],[FME ID]],FME_Input[FME_ID],FME_Input[STRUCT_100])</f>
        <v>0</v>
      </c>
      <c r="J1641" s="178">
        <f>(FME_Ranking1[[#This Row],[Structures 100 Raw]]/I$2)*100</f>
        <v>0</v>
      </c>
      <c r="K1641" s="178">
        <f>FME_Ranking1[[#This Row],[Structures 100  Score (Normalized, Unweighted)]]*$I$3</f>
        <v>0</v>
      </c>
      <c r="L1641" s="246">
        <f>_xlfn.XLOOKUP(FME_Ranking1[[#This Row],[FME ID]],FME_Input[FME_ID],FME_Input[RES_STRUCT100])</f>
        <v>0</v>
      </c>
      <c r="M1641" s="230">
        <f>(FME_Ranking1[[#This Row],[Res Structures Raw]]/L$2)*100</f>
        <v>0</v>
      </c>
      <c r="N1641" s="180">
        <f>FME_Ranking1[[#This Row],[Res Structures Score (Normalized, Unweighted)]]*$L$3</f>
        <v>0</v>
      </c>
      <c r="O1641" s="244">
        <f>_xlfn.XLOOKUP(FME_Ranking1[[#This Row],[FME ID]],FME_Input[FME_ID],FME_Input[POP100])</f>
        <v>0</v>
      </c>
      <c r="P1641" s="178">
        <f>(FME_Ranking1[[#This Row],[Pop Raw]]/$O$2)*100</f>
        <v>0</v>
      </c>
      <c r="Q1641" s="178">
        <f>FME_Ranking1[[#This Row],[Pop Score (Normalized, Unweighted)]]*$O$3</f>
        <v>0</v>
      </c>
      <c r="R1641" s="137">
        <f>_xlfn.XLOOKUP(FME_Ranking1[[#This Row],[FME ID]],FME_Input[FME_ID],FME_Input[CRITFAC100])</f>
        <v>0</v>
      </c>
      <c r="S1641" s="230">
        <f>(FME_Ranking1[[#This Row],[Critical Facilities Raw]]/$R$2)*100</f>
        <v>0</v>
      </c>
      <c r="T1641" s="180">
        <f>FME_Ranking1[[#This Row],[Critical Facilities Score (Normalized, Unweighted)]]*$R$3</f>
        <v>0</v>
      </c>
      <c r="U1641">
        <f>_xlfn.XLOOKUP(FME_Ranking1[[#This Row],[FME ID]],FME_Input[FME_ID],FME_Input[LWC])</f>
        <v>1</v>
      </c>
      <c r="V1641" s="178">
        <f>(FME_Ranking1[[#This Row],[LWC Raw]]/$U$2)*100</f>
        <v>5.7570523891767422E-2</v>
      </c>
      <c r="W1641" s="178">
        <f>FME_Ranking1[[#This Row],[LWC Score (Normalized, Unweighted)]]*$U$3</f>
        <v>1.1514104778353485E-2</v>
      </c>
      <c r="X1641" s="246">
        <f>_xlfn.XLOOKUP(FME_Ranking1[[#This Row],[FME ID]],FME_Input[FME_ID],FME_Input[ROADCLS])</f>
        <v>2</v>
      </c>
      <c r="Y1641" s="230">
        <f>(FME_Ranking1[[#This Row],[Closures Raw]]/$X$2)*100</f>
        <v>2.1028283040689728E-2</v>
      </c>
      <c r="Z1641" s="180">
        <f>FME_Ranking1[[#This Row],[Closures Score (Normalized, Unweighted)]]*$X$3</f>
        <v>1.0514141520344864E-3</v>
      </c>
      <c r="AA1641" s="253">
        <f>_xlfn.XLOOKUP(FME_Ranking1[[#This Row],[FME ID]],FME_Input[FME_ID],FME_Input[ROAD_MILES100])</f>
        <v>0.15000000596046451</v>
      </c>
      <c r="AB1641" s="178">
        <f>(FME_Ranking1[[#This Row],[Miles Raw]]/$AA$2)*100</f>
        <v>1.9722310407391608E-3</v>
      </c>
      <c r="AC1641" s="178">
        <f>FME_Ranking1[[#This Row],[Miles Score (Normalized, Unweighted)]]*$AA$3</f>
        <v>1.972231040739161E-4</v>
      </c>
      <c r="AD1641" s="255">
        <f>_xlfn.XLOOKUP(FME_Ranking1[[#This Row],[FME ID]],FME_Input[FME_ID],FME_Input[FARMACRE100])</f>
        <v>0</v>
      </c>
      <c r="AE1641" s="230">
        <f>(FME_Ranking1[[#This Row],[Ag Land Raw]]/$AD$2)*100</f>
        <v>0</v>
      </c>
      <c r="AF1641" s="231">
        <f>FME_Ranking1[[#This Row],[Ag Land Score (Normalized, Unweighted)]]*$AD$3</f>
        <v>0</v>
      </c>
      <c r="AG164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1.2762742034461887E-2</v>
      </c>
      <c r="AH1641" s="406">
        <f t="shared" si="25"/>
        <v>1674</v>
      </c>
      <c r="AI164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1.2762742034461887E-2</v>
      </c>
      <c r="AJ1641" s="257">
        <f>FME_Ranking1[[#This Row],[Addition check]]-FME_Ranking1[[#This Row],[Weighted Score Based on Normalized Reported Factors]]</f>
        <v>0</v>
      </c>
      <c r="AK1641" s="178">
        <f>_xlfn.RANK.EQ(AI1641,$AI$6:$AI$2341,0)+COUNTIF($AI$6:AI1641,AI1641)-1</f>
        <v>1674</v>
      </c>
    </row>
    <row r="1642" spans="1:37" x14ac:dyDescent="0.25">
      <c r="A1642" t="s">
        <v>4698</v>
      </c>
      <c r="B1642">
        <f>_xlfn.XLOOKUP(FME_Ranking1[[#This Row],[FME ID]],FME_Input[FME_ID],FME_Input[RFPG_NUM])</f>
        <v>3</v>
      </c>
      <c r="C1642" t="str">
        <f>_xlfn.XLOOKUP(FME_Ranking1[[#This Row],[FME ID]],FME_Input[FME_ID],FME_Input[FME_NAME])</f>
        <v>Lake Park Drive and Victoria Drive</v>
      </c>
      <c r="D1642" t="str">
        <f>_xlfn.XLOOKUP(FME_Ranking1[[#This Row],[FME ID]],FME_Input[FME_ID],FME_Input[DESCR])</f>
        <v>Study update - Storm Drain Improvements; Estimated construction cost of $1,094,100</v>
      </c>
      <c r="E1642" s="256">
        <f>_xlfn.XLOOKUP(FME_Ranking1[[#This Row],[FME ID]],FME_Input[FME_ID],FME_Input[FME_COST])</f>
        <v>250000</v>
      </c>
      <c r="F1642" t="str">
        <f>_xlfn.XLOOKUP(FME_Ranking1[[#This Row],[FME ID]],FME_Input[FME_ID],FME_Input[EMER_NEED])</f>
        <v>No</v>
      </c>
      <c r="G1642">
        <f>IF(FME_Ranking!F1642="Yes",100,0)</f>
        <v>0</v>
      </c>
      <c r="H1642">
        <f>FME_Ranking1[[#This Row],[Emergency Need Score (Normalized, Unweighted)]]*$F$3</f>
        <v>0</v>
      </c>
      <c r="I1642" s="246">
        <f>_xlfn.XLOOKUP(FME_Ranking1[[#This Row],[FME ID]],FME_Input[FME_ID],FME_Input[STRUCT_100])</f>
        <v>4</v>
      </c>
      <c r="J1642" s="178">
        <f>(FME_Ranking1[[#This Row],[Structures 100 Raw]]/I$2)*100</f>
        <v>2.1419697553870542E-3</v>
      </c>
      <c r="K1642" s="178">
        <f>FME_Ranking1[[#This Row],[Structures 100  Score (Normalized, Unweighted)]]*$I$3</f>
        <v>3.2129546330805813E-4</v>
      </c>
      <c r="L1642" s="246">
        <f>_xlfn.XLOOKUP(FME_Ranking1[[#This Row],[FME ID]],FME_Input[FME_ID],FME_Input[RES_STRUCT100])</f>
        <v>4</v>
      </c>
      <c r="M1642" s="230">
        <f>(FME_Ranking1[[#This Row],[Res Structures Raw]]/L$2)*100</f>
        <v>2.833222365457353E-3</v>
      </c>
      <c r="N1642" s="180">
        <f>FME_Ranking1[[#This Row],[Res Structures Score (Normalized, Unweighted)]]*$L$3</f>
        <v>2.8332223654573533E-4</v>
      </c>
      <c r="O1642" s="244">
        <f>_xlfn.XLOOKUP(FME_Ranking1[[#This Row],[FME ID]],FME_Input[FME_ID],FME_Input[POP100])</f>
        <v>23</v>
      </c>
      <c r="P1642" s="178">
        <f>(FME_Ranking1[[#This Row],[Pop Raw]]/$O$2)*100</f>
        <v>2.3546321757415556E-3</v>
      </c>
      <c r="Q1642" s="178">
        <f>FME_Ranking1[[#This Row],[Pop Score (Normalized, Unweighted)]]*$O$3</f>
        <v>3.5319482636123333E-4</v>
      </c>
      <c r="R1642" s="137">
        <f>_xlfn.XLOOKUP(FME_Ranking1[[#This Row],[FME ID]],FME_Input[FME_ID],FME_Input[CRITFAC100])</f>
        <v>0</v>
      </c>
      <c r="S1642" s="230">
        <f>(FME_Ranking1[[#This Row],[Critical Facilities Raw]]/$R$2)*100</f>
        <v>0</v>
      </c>
      <c r="T1642" s="180">
        <f>FME_Ranking1[[#This Row],[Critical Facilities Score (Normalized, Unweighted)]]*$R$3</f>
        <v>0</v>
      </c>
      <c r="U1642">
        <f>_xlfn.XLOOKUP(FME_Ranking1[[#This Row],[FME ID]],FME_Input[FME_ID],FME_Input[LWC])</f>
        <v>1</v>
      </c>
      <c r="V1642" s="178">
        <f>(FME_Ranking1[[#This Row],[LWC Raw]]/$U$2)*100</f>
        <v>5.7570523891767422E-2</v>
      </c>
      <c r="W1642" s="178">
        <f>FME_Ranking1[[#This Row],[LWC Score (Normalized, Unweighted)]]*$U$3</f>
        <v>1.1514104778353485E-2</v>
      </c>
      <c r="X1642" s="246">
        <f>_xlfn.XLOOKUP(FME_Ranking1[[#This Row],[FME ID]],FME_Input[FME_ID],FME_Input[ROADCLS])</f>
        <v>0</v>
      </c>
      <c r="Y1642" s="230">
        <f>(FME_Ranking1[[#This Row],[Closures Raw]]/$X$2)*100</f>
        <v>0</v>
      </c>
      <c r="Z1642" s="180">
        <f>FME_Ranking1[[#This Row],[Closures Score (Normalized, Unweighted)]]*$X$3</f>
        <v>0</v>
      </c>
      <c r="AA1642" s="253">
        <f>_xlfn.XLOOKUP(FME_Ranking1[[#This Row],[FME ID]],FME_Input[FME_ID],FME_Input[ROAD_MILES100])</f>
        <v>0.1097175031900406</v>
      </c>
      <c r="AB1642" s="178">
        <f>(FME_Ranking1[[#This Row],[Miles Raw]]/$AA$2)*100</f>
        <v>1.4425883793686611E-3</v>
      </c>
      <c r="AC1642" s="178">
        <f>FME_Ranking1[[#This Row],[Miles Score (Normalized, Unweighted)]]*$AA$3</f>
        <v>1.4425883793686611E-4</v>
      </c>
      <c r="AD1642" s="255">
        <f>_xlfn.XLOOKUP(FME_Ranking1[[#This Row],[FME ID]],FME_Input[FME_ID],FME_Input[FARMACRE100])</f>
        <v>3.1668329238891602</v>
      </c>
      <c r="AE1642" s="230">
        <f>(FME_Ranking1[[#This Row],[Ag Land Raw]]/$AD$2)*100</f>
        <v>1.3058601344192132E-4</v>
      </c>
      <c r="AF1642" s="231">
        <f>FME_Ranking1[[#This Row],[Ag Land Score (Normalized, Unweighted)]]*$AD$3</f>
        <v>6.5293006720960665E-6</v>
      </c>
      <c r="AG164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1.2622705443177474E-2</v>
      </c>
      <c r="AH1642" s="406">
        <f t="shared" si="25"/>
        <v>1680</v>
      </c>
      <c r="AI164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1.2622705443177474E-2</v>
      </c>
      <c r="AJ1642" s="257">
        <f>FME_Ranking1[[#This Row],[Addition check]]-FME_Ranking1[[#This Row],[Weighted Score Based on Normalized Reported Factors]]</f>
        <v>0</v>
      </c>
      <c r="AK1642" s="178">
        <f>_xlfn.RANK.EQ(AI1642,$AI$6:$AI$2341,0)+COUNTIF($AI$6:AI1642,AI1642)-1</f>
        <v>1680</v>
      </c>
    </row>
    <row r="1643" spans="1:37" x14ac:dyDescent="0.25">
      <c r="A1643" t="s">
        <v>4953</v>
      </c>
      <c r="B1643">
        <f>_xlfn.XLOOKUP(FME_Ranking1[[#This Row],[FME ID]],FME_Input[FME_ID],FME_Input[RFPG_NUM])</f>
        <v>3</v>
      </c>
      <c r="C1643" t="str">
        <f>_xlfn.XLOOKUP(FME_Ranking1[[#This Row],[FME ID]],FME_Input[FME_ID],FME_Input[FME_NAME])</f>
        <v>Plattner Creek Stabilization</v>
      </c>
      <c r="D1643" t="str">
        <f>_xlfn.XLOOKUP(FME_Ranking1[[#This Row],[FME ID]],FME_Input[FME_ID],FME_Input[DESCR])</f>
        <v>Evaluate from FM 1382 to City Limits of Dallas, west of SE 14th; Estimated construction cost of $252,900</v>
      </c>
      <c r="E1643" s="256">
        <f>_xlfn.XLOOKUP(FME_Ranking1[[#This Row],[FME ID]],FME_Input[FME_ID],FME_Input[FME_COST])</f>
        <v>250000</v>
      </c>
      <c r="F1643" t="str">
        <f>_xlfn.XLOOKUP(FME_Ranking1[[#This Row],[FME ID]],FME_Input[FME_ID],FME_Input[EMER_NEED])</f>
        <v>No</v>
      </c>
      <c r="G1643">
        <f>IF(FME_Ranking!F1643="Yes",100,0)</f>
        <v>0</v>
      </c>
      <c r="H1643">
        <f>FME_Ranking1[[#This Row],[Emergency Need Score (Normalized, Unweighted)]]*$F$3</f>
        <v>0</v>
      </c>
      <c r="I1643" s="246">
        <f>_xlfn.XLOOKUP(FME_Ranking1[[#This Row],[FME ID]],FME_Input[FME_ID],FME_Input[STRUCT_100])</f>
        <v>4</v>
      </c>
      <c r="J1643" s="178">
        <f>(FME_Ranking1[[#This Row],[Structures 100 Raw]]/I$2)*100</f>
        <v>2.1419697553870542E-3</v>
      </c>
      <c r="K1643" s="178">
        <f>FME_Ranking1[[#This Row],[Structures 100  Score (Normalized, Unweighted)]]*$I$3</f>
        <v>3.2129546330805813E-4</v>
      </c>
      <c r="L1643" s="246">
        <f>_xlfn.XLOOKUP(FME_Ranking1[[#This Row],[FME ID]],FME_Input[FME_ID],FME_Input[RES_STRUCT100])</f>
        <v>4</v>
      </c>
      <c r="M1643" s="230">
        <f>(FME_Ranking1[[#This Row],[Res Structures Raw]]/L$2)*100</f>
        <v>2.833222365457353E-3</v>
      </c>
      <c r="N1643" s="180">
        <f>FME_Ranking1[[#This Row],[Res Structures Score (Normalized, Unweighted)]]*$L$3</f>
        <v>2.8332223654573533E-4</v>
      </c>
      <c r="O1643" s="244">
        <f>_xlfn.XLOOKUP(FME_Ranking1[[#This Row],[FME ID]],FME_Input[FME_ID],FME_Input[POP100])</f>
        <v>23</v>
      </c>
      <c r="P1643" s="178">
        <f>(FME_Ranking1[[#This Row],[Pop Raw]]/$O$2)*100</f>
        <v>2.3546321757415556E-3</v>
      </c>
      <c r="Q1643" s="178">
        <f>FME_Ranking1[[#This Row],[Pop Score (Normalized, Unweighted)]]*$O$3</f>
        <v>3.5319482636123333E-4</v>
      </c>
      <c r="R1643" s="137">
        <f>_xlfn.XLOOKUP(FME_Ranking1[[#This Row],[FME ID]],FME_Input[FME_ID],FME_Input[CRITFAC100])</f>
        <v>0</v>
      </c>
      <c r="S1643" s="230">
        <f>(FME_Ranking1[[#This Row],[Critical Facilities Raw]]/$R$2)*100</f>
        <v>0</v>
      </c>
      <c r="T1643" s="180">
        <f>FME_Ranking1[[#This Row],[Critical Facilities Score (Normalized, Unweighted)]]*$R$3</f>
        <v>0</v>
      </c>
      <c r="U1643">
        <f>_xlfn.XLOOKUP(FME_Ranking1[[#This Row],[FME ID]],FME_Input[FME_ID],FME_Input[LWC])</f>
        <v>1</v>
      </c>
      <c r="V1643" s="178">
        <f>(FME_Ranking1[[#This Row],[LWC Raw]]/$U$2)*100</f>
        <v>5.7570523891767422E-2</v>
      </c>
      <c r="W1643" s="178">
        <f>FME_Ranking1[[#This Row],[LWC Score (Normalized, Unweighted)]]*$U$3</f>
        <v>1.1514104778353485E-2</v>
      </c>
      <c r="X1643" s="246">
        <f>_xlfn.XLOOKUP(FME_Ranking1[[#This Row],[FME ID]],FME_Input[FME_ID],FME_Input[ROADCLS])</f>
        <v>0</v>
      </c>
      <c r="Y1643" s="230">
        <f>(FME_Ranking1[[#This Row],[Closures Raw]]/$X$2)*100</f>
        <v>0</v>
      </c>
      <c r="Z1643" s="180">
        <f>FME_Ranking1[[#This Row],[Closures Score (Normalized, Unweighted)]]*$X$3</f>
        <v>0</v>
      </c>
      <c r="AA1643" s="253">
        <f>_xlfn.XLOOKUP(FME_Ranking1[[#This Row],[FME ID]],FME_Input[FME_ID],FME_Input[ROAD_MILES100])</f>
        <v>0.1097175031900406</v>
      </c>
      <c r="AB1643" s="178">
        <f>(FME_Ranking1[[#This Row],[Miles Raw]]/$AA$2)*100</f>
        <v>1.4425883793686611E-3</v>
      </c>
      <c r="AC1643" s="178">
        <f>FME_Ranking1[[#This Row],[Miles Score (Normalized, Unweighted)]]*$AA$3</f>
        <v>1.4425883793686611E-4</v>
      </c>
      <c r="AD1643" s="255">
        <f>_xlfn.XLOOKUP(FME_Ranking1[[#This Row],[FME ID]],FME_Input[FME_ID],FME_Input[FARMACRE100])</f>
        <v>3.1668329238891602</v>
      </c>
      <c r="AE1643" s="230">
        <f>(FME_Ranking1[[#This Row],[Ag Land Raw]]/$AD$2)*100</f>
        <v>1.3058601344192132E-4</v>
      </c>
      <c r="AF1643" s="231">
        <f>FME_Ranking1[[#This Row],[Ag Land Score (Normalized, Unweighted)]]*$AD$3</f>
        <v>6.5293006720960665E-6</v>
      </c>
      <c r="AG164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1.2622705443177474E-2</v>
      </c>
      <c r="AH1643" s="406">
        <f t="shared" si="25"/>
        <v>1680</v>
      </c>
      <c r="AI164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1.2622705443177474E-2</v>
      </c>
      <c r="AJ1643" s="257">
        <f>FME_Ranking1[[#This Row],[Addition check]]-FME_Ranking1[[#This Row],[Weighted Score Based on Normalized Reported Factors]]</f>
        <v>0</v>
      </c>
      <c r="AK1643" s="178">
        <f>_xlfn.RANK.EQ(AI1643,$AI$6:$AI$2341,0)+COUNTIF($AI$6:AI1643,AI1643)-1</f>
        <v>1681</v>
      </c>
    </row>
    <row r="1644" spans="1:37" x14ac:dyDescent="0.25">
      <c r="A1644" t="s">
        <v>4965</v>
      </c>
      <c r="B1644">
        <f>_xlfn.XLOOKUP(FME_Ranking1[[#This Row],[FME ID]],FME_Input[FME_ID],FME_Input[RFPG_NUM])</f>
        <v>3</v>
      </c>
      <c r="C1644" t="str">
        <f>_xlfn.XLOOKUP(FME_Ranking1[[#This Row],[FME ID]],FME_Input[FME_ID],FME_Input[FME_NAME])</f>
        <v xml:space="preserve">Belt Line Rd at Plattner Creek </v>
      </c>
      <c r="D1644" t="str">
        <f>_xlfn.XLOOKUP(FME_Ranking1[[#This Row],[FME ID]],FME_Input[FME_ID],FME_Input[DESCR])</f>
        <v>Study update - Channel Improvements; Estimated construction cost of $435,500</v>
      </c>
      <c r="E1644" s="256">
        <f>_xlfn.XLOOKUP(FME_Ranking1[[#This Row],[FME ID]],FME_Input[FME_ID],FME_Input[FME_COST])</f>
        <v>250000</v>
      </c>
      <c r="F1644" t="str">
        <f>_xlfn.XLOOKUP(FME_Ranking1[[#This Row],[FME ID]],FME_Input[FME_ID],FME_Input[EMER_NEED])</f>
        <v>No</v>
      </c>
      <c r="G1644">
        <f>IF(FME_Ranking!F1644="Yes",100,0)</f>
        <v>0</v>
      </c>
      <c r="H1644">
        <f>FME_Ranking1[[#This Row],[Emergency Need Score (Normalized, Unweighted)]]*$F$3</f>
        <v>0</v>
      </c>
      <c r="I1644" s="246">
        <f>_xlfn.XLOOKUP(FME_Ranking1[[#This Row],[FME ID]],FME_Input[FME_ID],FME_Input[STRUCT_100])</f>
        <v>4</v>
      </c>
      <c r="J1644" s="178">
        <f>(FME_Ranking1[[#This Row],[Structures 100 Raw]]/I$2)*100</f>
        <v>2.1419697553870542E-3</v>
      </c>
      <c r="K1644" s="178">
        <f>FME_Ranking1[[#This Row],[Structures 100  Score (Normalized, Unweighted)]]*$I$3</f>
        <v>3.2129546330805813E-4</v>
      </c>
      <c r="L1644" s="246">
        <f>_xlfn.XLOOKUP(FME_Ranking1[[#This Row],[FME ID]],FME_Input[FME_ID],FME_Input[RES_STRUCT100])</f>
        <v>4</v>
      </c>
      <c r="M1644" s="230">
        <f>(FME_Ranking1[[#This Row],[Res Structures Raw]]/L$2)*100</f>
        <v>2.833222365457353E-3</v>
      </c>
      <c r="N1644" s="180">
        <f>FME_Ranking1[[#This Row],[Res Structures Score (Normalized, Unweighted)]]*$L$3</f>
        <v>2.8332223654573533E-4</v>
      </c>
      <c r="O1644" s="244">
        <f>_xlfn.XLOOKUP(FME_Ranking1[[#This Row],[FME ID]],FME_Input[FME_ID],FME_Input[POP100])</f>
        <v>23</v>
      </c>
      <c r="P1644" s="178">
        <f>(FME_Ranking1[[#This Row],[Pop Raw]]/$O$2)*100</f>
        <v>2.3546321757415556E-3</v>
      </c>
      <c r="Q1644" s="178">
        <f>FME_Ranking1[[#This Row],[Pop Score (Normalized, Unweighted)]]*$O$3</f>
        <v>3.5319482636123333E-4</v>
      </c>
      <c r="R1644" s="137">
        <f>_xlfn.XLOOKUP(FME_Ranking1[[#This Row],[FME ID]],FME_Input[FME_ID],FME_Input[CRITFAC100])</f>
        <v>0</v>
      </c>
      <c r="S1644" s="230">
        <f>(FME_Ranking1[[#This Row],[Critical Facilities Raw]]/$R$2)*100</f>
        <v>0</v>
      </c>
      <c r="T1644" s="180">
        <f>FME_Ranking1[[#This Row],[Critical Facilities Score (Normalized, Unweighted)]]*$R$3</f>
        <v>0</v>
      </c>
      <c r="U1644">
        <f>_xlfn.XLOOKUP(FME_Ranking1[[#This Row],[FME ID]],FME_Input[FME_ID],FME_Input[LWC])</f>
        <v>1</v>
      </c>
      <c r="V1644" s="178">
        <f>(FME_Ranking1[[#This Row],[LWC Raw]]/$U$2)*100</f>
        <v>5.7570523891767422E-2</v>
      </c>
      <c r="W1644" s="178">
        <f>FME_Ranking1[[#This Row],[LWC Score (Normalized, Unweighted)]]*$U$3</f>
        <v>1.1514104778353485E-2</v>
      </c>
      <c r="X1644" s="246">
        <f>_xlfn.XLOOKUP(FME_Ranking1[[#This Row],[FME ID]],FME_Input[FME_ID],FME_Input[ROADCLS])</f>
        <v>0</v>
      </c>
      <c r="Y1644" s="230">
        <f>(FME_Ranking1[[#This Row],[Closures Raw]]/$X$2)*100</f>
        <v>0</v>
      </c>
      <c r="Z1644" s="180">
        <f>FME_Ranking1[[#This Row],[Closures Score (Normalized, Unweighted)]]*$X$3</f>
        <v>0</v>
      </c>
      <c r="AA1644" s="253">
        <f>_xlfn.XLOOKUP(FME_Ranking1[[#This Row],[FME ID]],FME_Input[FME_ID],FME_Input[ROAD_MILES100])</f>
        <v>0.1097175031900406</v>
      </c>
      <c r="AB1644" s="178">
        <f>(FME_Ranking1[[#This Row],[Miles Raw]]/$AA$2)*100</f>
        <v>1.4425883793686611E-3</v>
      </c>
      <c r="AC1644" s="178">
        <f>FME_Ranking1[[#This Row],[Miles Score (Normalized, Unweighted)]]*$AA$3</f>
        <v>1.4425883793686611E-4</v>
      </c>
      <c r="AD1644" s="255">
        <f>_xlfn.XLOOKUP(FME_Ranking1[[#This Row],[FME ID]],FME_Input[FME_ID],FME_Input[FARMACRE100])</f>
        <v>3.1668329238891602</v>
      </c>
      <c r="AE1644" s="230">
        <f>(FME_Ranking1[[#This Row],[Ag Land Raw]]/$AD$2)*100</f>
        <v>1.3058601344192132E-4</v>
      </c>
      <c r="AF1644" s="231">
        <f>FME_Ranking1[[#This Row],[Ag Land Score (Normalized, Unweighted)]]*$AD$3</f>
        <v>6.5293006720960665E-6</v>
      </c>
      <c r="AG164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1.2622705443177474E-2</v>
      </c>
      <c r="AH1644" s="406">
        <f t="shared" si="25"/>
        <v>1680</v>
      </c>
      <c r="AI164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1.2622705443177474E-2</v>
      </c>
      <c r="AJ1644" s="257">
        <f>FME_Ranking1[[#This Row],[Addition check]]-FME_Ranking1[[#This Row],[Weighted Score Based on Normalized Reported Factors]]</f>
        <v>0</v>
      </c>
      <c r="AK1644" s="178">
        <f>_xlfn.RANK.EQ(AI1644,$AI$6:$AI$2341,0)+COUNTIF($AI$6:AI1644,AI1644)-1</f>
        <v>1682</v>
      </c>
    </row>
    <row r="1645" spans="1:37" x14ac:dyDescent="0.25">
      <c r="A1645" t="s">
        <v>4971</v>
      </c>
      <c r="B1645">
        <f>_xlfn.XLOOKUP(FME_Ranking1[[#This Row],[FME ID]],FME_Input[FME_ID],FME_Input[RFPG_NUM])</f>
        <v>3</v>
      </c>
      <c r="C1645" t="str">
        <f>_xlfn.XLOOKUP(FME_Ranking1[[#This Row],[FME ID]],FME_Input[FME_ID],FME_Input[FME_NAME])</f>
        <v>East Marshall Drive, Santa Cruz Circle &amp; Belt Line Rd</v>
      </c>
      <c r="D1645" t="str">
        <f>_xlfn.XLOOKUP(FME_Ranking1[[#This Row],[FME ID]],FME_Input[FME_ID],FME_Input[DESCR])</f>
        <v>Study update - Storm Drain Improvements; Estimated construction cost of $1,753,800</v>
      </c>
      <c r="E1645" s="256">
        <f>_xlfn.XLOOKUP(FME_Ranking1[[#This Row],[FME ID]],FME_Input[FME_ID],FME_Input[FME_COST])</f>
        <v>250000</v>
      </c>
      <c r="F1645" t="str">
        <f>_xlfn.XLOOKUP(FME_Ranking1[[#This Row],[FME ID]],FME_Input[FME_ID],FME_Input[EMER_NEED])</f>
        <v>No</v>
      </c>
      <c r="G1645">
        <f>IF(FME_Ranking!F1645="Yes",100,0)</f>
        <v>0</v>
      </c>
      <c r="H1645">
        <f>FME_Ranking1[[#This Row],[Emergency Need Score (Normalized, Unweighted)]]*$F$3</f>
        <v>0</v>
      </c>
      <c r="I1645" s="246">
        <f>_xlfn.XLOOKUP(FME_Ranking1[[#This Row],[FME ID]],FME_Input[FME_ID],FME_Input[STRUCT_100])</f>
        <v>4</v>
      </c>
      <c r="J1645" s="178">
        <f>(FME_Ranking1[[#This Row],[Structures 100 Raw]]/I$2)*100</f>
        <v>2.1419697553870542E-3</v>
      </c>
      <c r="K1645" s="178">
        <f>FME_Ranking1[[#This Row],[Structures 100  Score (Normalized, Unweighted)]]*$I$3</f>
        <v>3.2129546330805813E-4</v>
      </c>
      <c r="L1645" s="246">
        <f>_xlfn.XLOOKUP(FME_Ranking1[[#This Row],[FME ID]],FME_Input[FME_ID],FME_Input[RES_STRUCT100])</f>
        <v>4</v>
      </c>
      <c r="M1645" s="230">
        <f>(FME_Ranking1[[#This Row],[Res Structures Raw]]/L$2)*100</f>
        <v>2.833222365457353E-3</v>
      </c>
      <c r="N1645" s="180">
        <f>FME_Ranking1[[#This Row],[Res Structures Score (Normalized, Unweighted)]]*$L$3</f>
        <v>2.8332223654573533E-4</v>
      </c>
      <c r="O1645" s="244">
        <f>_xlfn.XLOOKUP(FME_Ranking1[[#This Row],[FME ID]],FME_Input[FME_ID],FME_Input[POP100])</f>
        <v>23</v>
      </c>
      <c r="P1645" s="178">
        <f>(FME_Ranking1[[#This Row],[Pop Raw]]/$O$2)*100</f>
        <v>2.3546321757415556E-3</v>
      </c>
      <c r="Q1645" s="178">
        <f>FME_Ranking1[[#This Row],[Pop Score (Normalized, Unweighted)]]*$O$3</f>
        <v>3.5319482636123333E-4</v>
      </c>
      <c r="R1645" s="137">
        <f>_xlfn.XLOOKUP(FME_Ranking1[[#This Row],[FME ID]],FME_Input[FME_ID],FME_Input[CRITFAC100])</f>
        <v>0</v>
      </c>
      <c r="S1645" s="230">
        <f>(FME_Ranking1[[#This Row],[Critical Facilities Raw]]/$R$2)*100</f>
        <v>0</v>
      </c>
      <c r="T1645" s="180">
        <f>FME_Ranking1[[#This Row],[Critical Facilities Score (Normalized, Unweighted)]]*$R$3</f>
        <v>0</v>
      </c>
      <c r="U1645">
        <f>_xlfn.XLOOKUP(FME_Ranking1[[#This Row],[FME ID]],FME_Input[FME_ID],FME_Input[LWC])</f>
        <v>1</v>
      </c>
      <c r="V1645" s="178">
        <f>(FME_Ranking1[[#This Row],[LWC Raw]]/$U$2)*100</f>
        <v>5.7570523891767422E-2</v>
      </c>
      <c r="W1645" s="178">
        <f>FME_Ranking1[[#This Row],[LWC Score (Normalized, Unweighted)]]*$U$3</f>
        <v>1.1514104778353485E-2</v>
      </c>
      <c r="X1645" s="246">
        <f>_xlfn.XLOOKUP(FME_Ranking1[[#This Row],[FME ID]],FME_Input[FME_ID],FME_Input[ROADCLS])</f>
        <v>0</v>
      </c>
      <c r="Y1645" s="230">
        <f>(FME_Ranking1[[#This Row],[Closures Raw]]/$X$2)*100</f>
        <v>0</v>
      </c>
      <c r="Z1645" s="180">
        <f>FME_Ranking1[[#This Row],[Closures Score (Normalized, Unweighted)]]*$X$3</f>
        <v>0</v>
      </c>
      <c r="AA1645" s="253">
        <f>_xlfn.XLOOKUP(FME_Ranking1[[#This Row],[FME ID]],FME_Input[FME_ID],FME_Input[ROAD_MILES100])</f>
        <v>0.1097175031900406</v>
      </c>
      <c r="AB1645" s="178">
        <f>(FME_Ranking1[[#This Row],[Miles Raw]]/$AA$2)*100</f>
        <v>1.4425883793686611E-3</v>
      </c>
      <c r="AC1645" s="178">
        <f>FME_Ranking1[[#This Row],[Miles Score (Normalized, Unweighted)]]*$AA$3</f>
        <v>1.4425883793686611E-4</v>
      </c>
      <c r="AD1645" s="255">
        <f>_xlfn.XLOOKUP(FME_Ranking1[[#This Row],[FME ID]],FME_Input[FME_ID],FME_Input[FARMACRE100])</f>
        <v>3.1668329238891602</v>
      </c>
      <c r="AE1645" s="230">
        <f>(FME_Ranking1[[#This Row],[Ag Land Raw]]/$AD$2)*100</f>
        <v>1.3058601344192132E-4</v>
      </c>
      <c r="AF1645" s="231">
        <f>FME_Ranking1[[#This Row],[Ag Land Score (Normalized, Unweighted)]]*$AD$3</f>
        <v>6.5293006720960665E-6</v>
      </c>
      <c r="AG164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1.2622705443177474E-2</v>
      </c>
      <c r="AH1645" s="406">
        <f t="shared" si="25"/>
        <v>1680</v>
      </c>
      <c r="AI164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1.2622705443177474E-2</v>
      </c>
      <c r="AJ1645" s="257">
        <f>FME_Ranking1[[#This Row],[Addition check]]-FME_Ranking1[[#This Row],[Weighted Score Based on Normalized Reported Factors]]</f>
        <v>0</v>
      </c>
      <c r="AK1645" s="178">
        <f>_xlfn.RANK.EQ(AI1645,$AI$6:$AI$2341,0)+COUNTIF($AI$6:AI1645,AI1645)-1</f>
        <v>1683</v>
      </c>
    </row>
    <row r="1646" spans="1:37" x14ac:dyDescent="0.25">
      <c r="A1646" t="s">
        <v>5031</v>
      </c>
      <c r="B1646">
        <f>_xlfn.XLOOKUP(FME_Ranking1[[#This Row],[FME ID]],FME_Input[FME_ID],FME_Input[RFPG_NUM])</f>
        <v>3</v>
      </c>
      <c r="C1646" t="str">
        <f>_xlfn.XLOOKUP(FME_Ranking1[[#This Row],[FME ID]],FME_Input[FME_ID],FME_Input[FME_NAME])</f>
        <v>SW 3rd Street from Dorris North to Concrete Channel</v>
      </c>
      <c r="D1646" t="str">
        <f>_xlfn.XLOOKUP(FME_Ranking1[[#This Row],[FME ID]],FME_Input[FME_ID],FME_Input[DESCR])</f>
        <v>Study update - Storm Drain Improvements; Estimated construction cost of $4,024,800</v>
      </c>
      <c r="E1646" s="256">
        <f>_xlfn.XLOOKUP(FME_Ranking1[[#This Row],[FME ID]],FME_Input[FME_ID],FME_Input[FME_COST])</f>
        <v>250000</v>
      </c>
      <c r="F1646" t="str">
        <f>_xlfn.XLOOKUP(FME_Ranking1[[#This Row],[FME ID]],FME_Input[FME_ID],FME_Input[EMER_NEED])</f>
        <v>No</v>
      </c>
      <c r="G1646">
        <f>IF(FME_Ranking!F1646="Yes",100,0)</f>
        <v>0</v>
      </c>
      <c r="H1646">
        <f>FME_Ranking1[[#This Row],[Emergency Need Score (Normalized, Unweighted)]]*$F$3</f>
        <v>0</v>
      </c>
      <c r="I1646" s="246">
        <f>_xlfn.XLOOKUP(FME_Ranking1[[#This Row],[FME ID]],FME_Input[FME_ID],FME_Input[STRUCT_100])</f>
        <v>4</v>
      </c>
      <c r="J1646" s="178">
        <f>(FME_Ranking1[[#This Row],[Structures 100 Raw]]/I$2)*100</f>
        <v>2.1419697553870542E-3</v>
      </c>
      <c r="K1646" s="178">
        <f>FME_Ranking1[[#This Row],[Structures 100  Score (Normalized, Unweighted)]]*$I$3</f>
        <v>3.2129546330805813E-4</v>
      </c>
      <c r="L1646" s="246">
        <f>_xlfn.XLOOKUP(FME_Ranking1[[#This Row],[FME ID]],FME_Input[FME_ID],FME_Input[RES_STRUCT100])</f>
        <v>4</v>
      </c>
      <c r="M1646" s="230">
        <f>(FME_Ranking1[[#This Row],[Res Structures Raw]]/L$2)*100</f>
        <v>2.833222365457353E-3</v>
      </c>
      <c r="N1646" s="180">
        <f>FME_Ranking1[[#This Row],[Res Structures Score (Normalized, Unweighted)]]*$L$3</f>
        <v>2.8332223654573533E-4</v>
      </c>
      <c r="O1646" s="244">
        <f>_xlfn.XLOOKUP(FME_Ranking1[[#This Row],[FME ID]],FME_Input[FME_ID],FME_Input[POP100])</f>
        <v>23</v>
      </c>
      <c r="P1646" s="178">
        <f>(FME_Ranking1[[#This Row],[Pop Raw]]/$O$2)*100</f>
        <v>2.3546321757415556E-3</v>
      </c>
      <c r="Q1646" s="178">
        <f>FME_Ranking1[[#This Row],[Pop Score (Normalized, Unweighted)]]*$O$3</f>
        <v>3.5319482636123333E-4</v>
      </c>
      <c r="R1646" s="137">
        <f>_xlfn.XLOOKUP(FME_Ranking1[[#This Row],[FME ID]],FME_Input[FME_ID],FME_Input[CRITFAC100])</f>
        <v>0</v>
      </c>
      <c r="S1646" s="230">
        <f>(FME_Ranking1[[#This Row],[Critical Facilities Raw]]/$R$2)*100</f>
        <v>0</v>
      </c>
      <c r="T1646" s="180">
        <f>FME_Ranking1[[#This Row],[Critical Facilities Score (Normalized, Unweighted)]]*$R$3</f>
        <v>0</v>
      </c>
      <c r="U1646">
        <f>_xlfn.XLOOKUP(FME_Ranking1[[#This Row],[FME ID]],FME_Input[FME_ID],FME_Input[LWC])</f>
        <v>1</v>
      </c>
      <c r="V1646" s="178">
        <f>(FME_Ranking1[[#This Row],[LWC Raw]]/$U$2)*100</f>
        <v>5.7570523891767422E-2</v>
      </c>
      <c r="W1646" s="178">
        <f>FME_Ranking1[[#This Row],[LWC Score (Normalized, Unweighted)]]*$U$3</f>
        <v>1.1514104778353485E-2</v>
      </c>
      <c r="X1646" s="246">
        <f>_xlfn.XLOOKUP(FME_Ranking1[[#This Row],[FME ID]],FME_Input[FME_ID],FME_Input[ROADCLS])</f>
        <v>0</v>
      </c>
      <c r="Y1646" s="230">
        <f>(FME_Ranking1[[#This Row],[Closures Raw]]/$X$2)*100</f>
        <v>0</v>
      </c>
      <c r="Z1646" s="180">
        <f>FME_Ranking1[[#This Row],[Closures Score (Normalized, Unweighted)]]*$X$3</f>
        <v>0</v>
      </c>
      <c r="AA1646" s="253">
        <f>_xlfn.XLOOKUP(FME_Ranking1[[#This Row],[FME ID]],FME_Input[FME_ID],FME_Input[ROAD_MILES100])</f>
        <v>0.1097175031900406</v>
      </c>
      <c r="AB1646" s="178">
        <f>(FME_Ranking1[[#This Row],[Miles Raw]]/$AA$2)*100</f>
        <v>1.4425883793686611E-3</v>
      </c>
      <c r="AC1646" s="178">
        <f>FME_Ranking1[[#This Row],[Miles Score (Normalized, Unweighted)]]*$AA$3</f>
        <v>1.4425883793686611E-4</v>
      </c>
      <c r="AD1646" s="255">
        <f>_xlfn.XLOOKUP(FME_Ranking1[[#This Row],[FME ID]],FME_Input[FME_ID],FME_Input[FARMACRE100])</f>
        <v>3.1668329238891602</v>
      </c>
      <c r="AE1646" s="230">
        <f>(FME_Ranking1[[#This Row],[Ag Land Raw]]/$AD$2)*100</f>
        <v>1.3058601344192132E-4</v>
      </c>
      <c r="AF1646" s="231">
        <f>FME_Ranking1[[#This Row],[Ag Land Score (Normalized, Unweighted)]]*$AD$3</f>
        <v>6.5293006720960665E-6</v>
      </c>
      <c r="AG164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1.2622705443177474E-2</v>
      </c>
      <c r="AH1646" s="406">
        <f t="shared" si="25"/>
        <v>1680</v>
      </c>
      <c r="AI164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1.2622705443177474E-2</v>
      </c>
      <c r="AJ1646" s="257">
        <f>FME_Ranking1[[#This Row],[Addition check]]-FME_Ranking1[[#This Row],[Weighted Score Based on Normalized Reported Factors]]</f>
        <v>0</v>
      </c>
      <c r="AK1646" s="178">
        <f>_xlfn.RANK.EQ(AI1646,$AI$6:$AI$2341,0)+COUNTIF($AI$6:AI1646,AI1646)-1</f>
        <v>1684</v>
      </c>
    </row>
    <row r="1647" spans="1:37" x14ac:dyDescent="0.25">
      <c r="A1647" t="s">
        <v>5054</v>
      </c>
      <c r="B1647">
        <f>_xlfn.XLOOKUP(FME_Ranking1[[#This Row],[FME ID]],FME_Input[FME_ID],FME_Input[RFPG_NUM])</f>
        <v>3</v>
      </c>
      <c r="C1647" t="str">
        <f>_xlfn.XLOOKUP(FME_Ranking1[[#This Row],[FME ID]],FME_Input[FME_ID],FME_Input[FME_NAME])</f>
        <v xml:space="preserve">Pioneer Parkway from Brady to Plattner Creek (TXDOT) </v>
      </c>
      <c r="D1647" t="str">
        <f>_xlfn.XLOOKUP(FME_Ranking1[[#This Row],[FME ID]],FME_Input[FME_ID],FME_Input[DESCR])</f>
        <v>Study update - Storm Drain Improvements; Estimated construction cost of $9,511,900</v>
      </c>
      <c r="E1647" s="256">
        <f>_xlfn.XLOOKUP(FME_Ranking1[[#This Row],[FME ID]],FME_Input[FME_ID],FME_Input[FME_COST])</f>
        <v>476000</v>
      </c>
      <c r="F1647" t="str">
        <f>_xlfn.XLOOKUP(FME_Ranking1[[#This Row],[FME ID]],FME_Input[FME_ID],FME_Input[EMER_NEED])</f>
        <v>No</v>
      </c>
      <c r="G1647">
        <f>IF(FME_Ranking!F1647="Yes",100,0)</f>
        <v>0</v>
      </c>
      <c r="H1647">
        <f>FME_Ranking1[[#This Row],[Emergency Need Score (Normalized, Unweighted)]]*$F$3</f>
        <v>0</v>
      </c>
      <c r="I1647" s="246">
        <f>_xlfn.XLOOKUP(FME_Ranking1[[#This Row],[FME ID]],FME_Input[FME_ID],FME_Input[STRUCT_100])</f>
        <v>4</v>
      </c>
      <c r="J1647" s="178">
        <f>(FME_Ranking1[[#This Row],[Structures 100 Raw]]/I$2)*100</f>
        <v>2.1419697553870542E-3</v>
      </c>
      <c r="K1647" s="178">
        <f>FME_Ranking1[[#This Row],[Structures 100  Score (Normalized, Unweighted)]]*$I$3</f>
        <v>3.2129546330805813E-4</v>
      </c>
      <c r="L1647" s="246">
        <f>_xlfn.XLOOKUP(FME_Ranking1[[#This Row],[FME ID]],FME_Input[FME_ID],FME_Input[RES_STRUCT100])</f>
        <v>4</v>
      </c>
      <c r="M1647" s="230">
        <f>(FME_Ranking1[[#This Row],[Res Structures Raw]]/L$2)*100</f>
        <v>2.833222365457353E-3</v>
      </c>
      <c r="N1647" s="180">
        <f>FME_Ranking1[[#This Row],[Res Structures Score (Normalized, Unweighted)]]*$L$3</f>
        <v>2.8332223654573533E-4</v>
      </c>
      <c r="O1647" s="244">
        <f>_xlfn.XLOOKUP(FME_Ranking1[[#This Row],[FME ID]],FME_Input[FME_ID],FME_Input[POP100])</f>
        <v>23</v>
      </c>
      <c r="P1647" s="178">
        <f>(FME_Ranking1[[#This Row],[Pop Raw]]/$O$2)*100</f>
        <v>2.3546321757415556E-3</v>
      </c>
      <c r="Q1647" s="178">
        <f>FME_Ranking1[[#This Row],[Pop Score (Normalized, Unweighted)]]*$O$3</f>
        <v>3.5319482636123333E-4</v>
      </c>
      <c r="R1647" s="137">
        <f>_xlfn.XLOOKUP(FME_Ranking1[[#This Row],[FME ID]],FME_Input[FME_ID],FME_Input[CRITFAC100])</f>
        <v>0</v>
      </c>
      <c r="S1647" s="230">
        <f>(FME_Ranking1[[#This Row],[Critical Facilities Raw]]/$R$2)*100</f>
        <v>0</v>
      </c>
      <c r="T1647" s="180">
        <f>FME_Ranking1[[#This Row],[Critical Facilities Score (Normalized, Unweighted)]]*$R$3</f>
        <v>0</v>
      </c>
      <c r="U1647">
        <f>_xlfn.XLOOKUP(FME_Ranking1[[#This Row],[FME ID]],FME_Input[FME_ID],FME_Input[LWC])</f>
        <v>1</v>
      </c>
      <c r="V1647" s="178">
        <f>(FME_Ranking1[[#This Row],[LWC Raw]]/$U$2)*100</f>
        <v>5.7570523891767422E-2</v>
      </c>
      <c r="W1647" s="178">
        <f>FME_Ranking1[[#This Row],[LWC Score (Normalized, Unweighted)]]*$U$3</f>
        <v>1.1514104778353485E-2</v>
      </c>
      <c r="X1647" s="246">
        <f>_xlfn.XLOOKUP(FME_Ranking1[[#This Row],[FME ID]],FME_Input[FME_ID],FME_Input[ROADCLS])</f>
        <v>0</v>
      </c>
      <c r="Y1647" s="230">
        <f>(FME_Ranking1[[#This Row],[Closures Raw]]/$X$2)*100</f>
        <v>0</v>
      </c>
      <c r="Z1647" s="180">
        <f>FME_Ranking1[[#This Row],[Closures Score (Normalized, Unweighted)]]*$X$3</f>
        <v>0</v>
      </c>
      <c r="AA1647" s="253">
        <f>_xlfn.XLOOKUP(FME_Ranking1[[#This Row],[FME ID]],FME_Input[FME_ID],FME_Input[ROAD_MILES100])</f>
        <v>0.1097175031900406</v>
      </c>
      <c r="AB1647" s="178">
        <f>(FME_Ranking1[[#This Row],[Miles Raw]]/$AA$2)*100</f>
        <v>1.4425883793686611E-3</v>
      </c>
      <c r="AC1647" s="178">
        <f>FME_Ranking1[[#This Row],[Miles Score (Normalized, Unweighted)]]*$AA$3</f>
        <v>1.4425883793686611E-4</v>
      </c>
      <c r="AD1647" s="255">
        <f>_xlfn.XLOOKUP(FME_Ranking1[[#This Row],[FME ID]],FME_Input[FME_ID],FME_Input[FARMACRE100])</f>
        <v>3.1668329238891602</v>
      </c>
      <c r="AE1647" s="230">
        <f>(FME_Ranking1[[#This Row],[Ag Land Raw]]/$AD$2)*100</f>
        <v>1.3058601344192132E-4</v>
      </c>
      <c r="AF1647" s="231">
        <f>FME_Ranking1[[#This Row],[Ag Land Score (Normalized, Unweighted)]]*$AD$3</f>
        <v>6.5293006720960665E-6</v>
      </c>
      <c r="AG164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1.2622705443177474E-2</v>
      </c>
      <c r="AH1647" s="406">
        <f t="shared" si="25"/>
        <v>1680</v>
      </c>
      <c r="AI164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1.2622705443177474E-2</v>
      </c>
      <c r="AJ1647" s="257">
        <f>FME_Ranking1[[#This Row],[Addition check]]-FME_Ranking1[[#This Row],[Weighted Score Based on Normalized Reported Factors]]</f>
        <v>0</v>
      </c>
      <c r="AK1647" s="178">
        <f>_xlfn.RANK.EQ(AI1647,$AI$6:$AI$2341,0)+COUNTIF($AI$6:AI1647,AI1647)-1</f>
        <v>1685</v>
      </c>
    </row>
    <row r="1648" spans="1:37" x14ac:dyDescent="0.25">
      <c r="A1648" t="s">
        <v>10702</v>
      </c>
      <c r="B1648">
        <f>_xlfn.XLOOKUP(FME_Ranking1[[#This Row],[FME ID]],FME_Input[FME_ID],FME_Input[RFPG_NUM])</f>
        <v>13</v>
      </c>
      <c r="C1648" t="str">
        <f>_xlfn.XLOOKUP(FME_Ranking1[[#This Row],[FME ID]],FME_Input[FME_ID],FME_Input[FME_NAME])</f>
        <v>Town of Fulton Palmetto Outfall Improvements</v>
      </c>
      <c r="D1648" t="str">
        <f>_xlfn.XLOOKUP(FME_Ranking1[[#This Row],[FME ID]],FME_Input[FME_ID],FME_Input[DESCR])</f>
        <v>New storm drain pipes, inlets, and channel improvements with new outfall structure to Aransas Bay. Reduce frequency of roadway flooding and risk of property flooding in Southern Fulton, Northern Rockport, and Rockport CC/Tulle Creek area</v>
      </c>
      <c r="E1648" s="256">
        <f>_xlfn.XLOOKUP(FME_Ranking1[[#This Row],[FME ID]],FME_Input[FME_ID],FME_Input[FME_COST])</f>
        <v>1500000</v>
      </c>
      <c r="F1648" t="str">
        <f>_xlfn.XLOOKUP(FME_Ranking1[[#This Row],[FME ID]],FME_Input[FME_ID],FME_Input[EMER_NEED])</f>
        <v>Yes</v>
      </c>
      <c r="G1648">
        <f>IF(FME_Ranking!F1648="Yes",100,0)</f>
        <v>100</v>
      </c>
      <c r="H1648">
        <f>FME_Ranking1[[#This Row],[Emergency Need Score (Normalized, Unweighted)]]*$F$3</f>
        <v>0</v>
      </c>
      <c r="I1648" s="246">
        <f>_xlfn.XLOOKUP(FME_Ranking1[[#This Row],[FME ID]],FME_Input[FME_ID],FME_Input[STRUCT_100])</f>
        <v>23</v>
      </c>
      <c r="J1648" s="178">
        <f>(FME_Ranking1[[#This Row],[Structures 100 Raw]]/I$2)*100</f>
        <v>1.231632609347556E-2</v>
      </c>
      <c r="K1648" s="178">
        <f>FME_Ranking1[[#This Row],[Structures 100  Score (Normalized, Unweighted)]]*$I$3</f>
        <v>1.8474489140213339E-3</v>
      </c>
      <c r="L1648" s="246">
        <f>_xlfn.XLOOKUP(FME_Ranking1[[#This Row],[FME ID]],FME_Input[FME_ID],FME_Input[RES_STRUCT100])</f>
        <v>15</v>
      </c>
      <c r="M1648" s="230">
        <f>(FME_Ranking1[[#This Row],[Res Structures Raw]]/L$2)*100</f>
        <v>1.0624583870465073E-2</v>
      </c>
      <c r="N1648" s="180">
        <f>FME_Ranking1[[#This Row],[Res Structures Score (Normalized, Unweighted)]]*$L$3</f>
        <v>1.0624583870465073E-3</v>
      </c>
      <c r="O1648" s="244">
        <f>_xlfn.XLOOKUP(FME_Ranking1[[#This Row],[FME ID]],FME_Input[FME_ID],FME_Input[POP100])</f>
        <v>36</v>
      </c>
      <c r="P1648" s="178">
        <f>(FME_Ranking1[[#This Row],[Pop Raw]]/$O$2)*100</f>
        <v>3.6855112315954779E-3</v>
      </c>
      <c r="Q1648" s="178">
        <f>FME_Ranking1[[#This Row],[Pop Score (Normalized, Unweighted)]]*$O$3</f>
        <v>5.5282668473932164E-4</v>
      </c>
      <c r="R1648" s="137">
        <f>_xlfn.XLOOKUP(FME_Ranking1[[#This Row],[FME ID]],FME_Input[FME_ID],FME_Input[CRITFAC100])</f>
        <v>0</v>
      </c>
      <c r="S1648" s="230">
        <f>(FME_Ranking1[[#This Row],[Critical Facilities Raw]]/$R$2)*100</f>
        <v>0</v>
      </c>
      <c r="T1648" s="180">
        <f>FME_Ranking1[[#This Row],[Critical Facilities Score (Normalized, Unweighted)]]*$R$3</f>
        <v>0</v>
      </c>
      <c r="U1648">
        <f>_xlfn.XLOOKUP(FME_Ranking1[[#This Row],[FME ID]],FME_Input[FME_ID],FME_Input[LWC])</f>
        <v>0</v>
      </c>
      <c r="V1648" s="178">
        <f>(FME_Ranking1[[#This Row],[LWC Raw]]/$U$2)*100</f>
        <v>0</v>
      </c>
      <c r="W1648" s="178">
        <f>FME_Ranking1[[#This Row],[LWC Score (Normalized, Unweighted)]]*$U$3</f>
        <v>0</v>
      </c>
      <c r="X1648" s="246">
        <f>_xlfn.XLOOKUP(FME_Ranking1[[#This Row],[FME ID]],FME_Input[FME_ID],FME_Input[ROADCLS])</f>
        <v>17</v>
      </c>
      <c r="Y1648" s="230">
        <f>(FME_Ranking1[[#This Row],[Closures Raw]]/$X$2)*100</f>
        <v>0.17874040584586268</v>
      </c>
      <c r="Z1648" s="180">
        <f>FME_Ranking1[[#This Row],[Closures Score (Normalized, Unweighted)]]*$X$3</f>
        <v>8.9370202922931345E-3</v>
      </c>
      <c r="AA1648" s="253">
        <f>_xlfn.XLOOKUP(FME_Ranking1[[#This Row],[FME ID]],FME_Input[FME_ID],FME_Input[ROAD_MILES100])</f>
        <v>0.51121526956558228</v>
      </c>
      <c r="AB1648" s="178">
        <f>(FME_Ranking1[[#This Row],[Miles Raw]]/$AA$2)*100</f>
        <v>6.7215638871562407E-3</v>
      </c>
      <c r="AC1648" s="178">
        <f>FME_Ranking1[[#This Row],[Miles Score (Normalized, Unweighted)]]*$AA$3</f>
        <v>6.7215638871562407E-4</v>
      </c>
      <c r="AD1648" s="255">
        <f>_xlfn.XLOOKUP(FME_Ranking1[[#This Row],[FME ID]],FME_Input[FME_ID],FME_Input[FARMACRE100])</f>
        <v>0</v>
      </c>
      <c r="AE1648" s="230">
        <f>(FME_Ranking1[[#This Row],[Ag Land Raw]]/$AD$2)*100</f>
        <v>0</v>
      </c>
      <c r="AF1648" s="231">
        <f>FME_Ranking1[[#This Row],[Ag Land Score (Normalized, Unweighted)]]*$AD$3</f>
        <v>0</v>
      </c>
      <c r="AG164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1.3071910666815923E-2</v>
      </c>
      <c r="AH1648" s="406">
        <f t="shared" si="25"/>
        <v>1665</v>
      </c>
      <c r="AI164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1.3071910666815923E-2</v>
      </c>
      <c r="AJ1648" s="257">
        <f>FME_Ranking1[[#This Row],[Addition check]]-FME_Ranking1[[#This Row],[Weighted Score Based on Normalized Reported Factors]]</f>
        <v>0</v>
      </c>
      <c r="AK1648" s="178">
        <f>_xlfn.RANK.EQ(AI1648,$AI$6:$AI$2341,0)+COUNTIF($AI$6:AI1648,AI1648)-1</f>
        <v>1665</v>
      </c>
    </row>
    <row r="1649" spans="1:37" x14ac:dyDescent="0.25">
      <c r="A1649" t="s">
        <v>6268</v>
      </c>
      <c r="B1649">
        <f>_xlfn.XLOOKUP(FME_Ranking1[[#This Row],[FME ID]],FME_Input[FME_ID],FME_Input[RFPG_NUM])</f>
        <v>5</v>
      </c>
      <c r="C1649" t="str">
        <f>_xlfn.XLOOKUP(FME_Ranking1[[#This Row],[FME ID]],FME_Input[FME_ID],FME_Input[FME_NAME])</f>
        <v>9th Avenue - Upgrade Pumping Equipment</v>
      </c>
      <c r="D1649" t="str">
        <f>_xlfn.XLOOKUP(FME_Ranking1[[#This Row],[FME ID]],FME_Input[FME_ID],FME_Input[DESCR])</f>
        <v xml:space="preserve">H&amp;H study to size pump upgrades and improve existing level of service. </v>
      </c>
      <c r="E1649" s="256">
        <f>_xlfn.XLOOKUP(FME_Ranking1[[#This Row],[FME ID]],FME_Input[FME_ID],FME_Input[FME_COST])</f>
        <v>100000</v>
      </c>
      <c r="F1649" t="str">
        <f>_xlfn.XLOOKUP(FME_Ranking1[[#This Row],[FME ID]],FME_Input[FME_ID],FME_Input[EMER_NEED])</f>
        <v>Yes</v>
      </c>
      <c r="G1649">
        <f>IF(FME_Ranking!F1649="Yes",100,0)</f>
        <v>100</v>
      </c>
      <c r="H1649">
        <f>FME_Ranking1[[#This Row],[Emergency Need Score (Normalized, Unweighted)]]*$F$3</f>
        <v>0</v>
      </c>
      <c r="I1649" s="246">
        <f>_xlfn.XLOOKUP(FME_Ranking1[[#This Row],[FME ID]],FME_Input[FME_ID],FME_Input[STRUCT_100])</f>
        <v>36</v>
      </c>
      <c r="J1649" s="178">
        <f>(FME_Ranking1[[#This Row],[Structures 100 Raw]]/I$2)*100</f>
        <v>1.9277727798483486E-2</v>
      </c>
      <c r="K1649" s="178">
        <f>FME_Ranking1[[#This Row],[Structures 100  Score (Normalized, Unweighted)]]*$I$3</f>
        <v>2.8916591697725228E-3</v>
      </c>
      <c r="L1649" s="246">
        <f>_xlfn.XLOOKUP(FME_Ranking1[[#This Row],[FME ID]],FME_Input[FME_ID],FME_Input[RES_STRUCT100])</f>
        <v>19</v>
      </c>
      <c r="M1649" s="230">
        <f>(FME_Ranking1[[#This Row],[Res Structures Raw]]/L$2)*100</f>
        <v>1.3457806235922425E-2</v>
      </c>
      <c r="N1649" s="180">
        <f>FME_Ranking1[[#This Row],[Res Structures Score (Normalized, Unweighted)]]*$L$3</f>
        <v>1.3457806235922425E-3</v>
      </c>
      <c r="O1649" s="244">
        <f>_xlfn.XLOOKUP(FME_Ranking1[[#This Row],[FME ID]],FME_Input[FME_ID],FME_Input[POP100])</f>
        <v>528</v>
      </c>
      <c r="P1649" s="178">
        <f>(FME_Ranking1[[#This Row],[Pop Raw]]/$O$2)*100</f>
        <v>5.4054164730067016E-2</v>
      </c>
      <c r="Q1649" s="178">
        <f>FME_Ranking1[[#This Row],[Pop Score (Normalized, Unweighted)]]*$O$3</f>
        <v>8.1081247095100527E-3</v>
      </c>
      <c r="R1649" s="137">
        <f>_xlfn.XLOOKUP(FME_Ranking1[[#This Row],[FME ID]],FME_Input[FME_ID],FME_Input[CRITFAC100])</f>
        <v>0</v>
      </c>
      <c r="S1649" s="230">
        <f>(FME_Ranking1[[#This Row],[Critical Facilities Raw]]/$R$2)*100</f>
        <v>0</v>
      </c>
      <c r="T1649" s="180">
        <f>FME_Ranking1[[#This Row],[Critical Facilities Score (Normalized, Unweighted)]]*$R$3</f>
        <v>0</v>
      </c>
      <c r="U1649">
        <f>_xlfn.XLOOKUP(FME_Ranking1[[#This Row],[FME ID]],FME_Input[FME_ID],FME_Input[LWC])</f>
        <v>0</v>
      </c>
      <c r="V1649" s="178">
        <f>(FME_Ranking1[[#This Row],[LWC Raw]]/$U$2)*100</f>
        <v>0</v>
      </c>
      <c r="W1649" s="178">
        <f>FME_Ranking1[[#This Row],[LWC Score (Normalized, Unweighted)]]*$U$3</f>
        <v>0</v>
      </c>
      <c r="X1649" s="246">
        <f>_xlfn.XLOOKUP(FME_Ranking1[[#This Row],[FME ID]],FME_Input[FME_ID],FME_Input[ROADCLS])</f>
        <v>0</v>
      </c>
      <c r="Y1649" s="230">
        <f>(FME_Ranking1[[#This Row],[Closures Raw]]/$X$2)*100</f>
        <v>0</v>
      </c>
      <c r="Z1649" s="180">
        <f>FME_Ranking1[[#This Row],[Closures Score (Normalized, Unweighted)]]*$X$3</f>
        <v>0</v>
      </c>
      <c r="AA1649" s="253">
        <f>_xlfn.XLOOKUP(FME_Ranking1[[#This Row],[FME ID]],FME_Input[FME_ID],FME_Input[ROAD_MILES100])</f>
        <v>1.764595627784729</v>
      </c>
      <c r="AB1649" s="178">
        <f>(FME_Ranking1[[#This Row],[Miles Raw]]/$AA$2)*100</f>
        <v>2.3201267554528785E-2</v>
      </c>
      <c r="AC1649" s="178">
        <f>FME_Ranking1[[#This Row],[Miles Score (Normalized, Unweighted)]]*$AA$3</f>
        <v>2.3201267554528787E-3</v>
      </c>
      <c r="AD1649" s="255">
        <f>_xlfn.XLOOKUP(FME_Ranking1[[#This Row],[FME ID]],FME_Input[FME_ID],FME_Input[FARMACRE100])</f>
        <v>1.333173871040344</v>
      </c>
      <c r="AE1649" s="230">
        <f>(FME_Ranking1[[#This Row],[Ag Land Raw]]/$AD$2)*100</f>
        <v>5.49741224839514E-5</v>
      </c>
      <c r="AF1649" s="231">
        <f>FME_Ranking1[[#This Row],[Ag Land Score (Normalized, Unweighted)]]*$AD$3</f>
        <v>2.7487061241975702E-6</v>
      </c>
      <c r="AG164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1.4668439964451895E-2</v>
      </c>
      <c r="AH1649" s="406">
        <f t="shared" si="25"/>
        <v>1638</v>
      </c>
      <c r="AI164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1.4668439964451895E-2</v>
      </c>
      <c r="AJ1649" s="257">
        <f>FME_Ranking1[[#This Row],[Addition check]]-FME_Ranking1[[#This Row],[Weighted Score Based on Normalized Reported Factors]]</f>
        <v>0</v>
      </c>
      <c r="AK1649" s="178">
        <f>_xlfn.RANK.EQ(AI1649,$AI$6:$AI$2341,0)+COUNTIF($AI$6:AI1649,AI1649)-1</f>
        <v>1638</v>
      </c>
    </row>
    <row r="1650" spans="1:37" x14ac:dyDescent="0.25">
      <c r="A1650" t="s">
        <v>6305</v>
      </c>
      <c r="B1650">
        <f>_xlfn.XLOOKUP(FME_Ranking1[[#This Row],[FME ID]],FME_Input[FME_ID],FME_Input[RFPG_NUM])</f>
        <v>5</v>
      </c>
      <c r="C1650" t="str">
        <f>_xlfn.XLOOKUP(FME_Ranking1[[#This Row],[FME ID]],FME_Input[FME_ID],FME_Input[FME_NAME])</f>
        <v>9th Avenue Additional Detention Excavation</v>
      </c>
      <c r="D1650" t="str">
        <f>_xlfn.XLOOKUP(FME_Ranking1[[#This Row],[FME ID]],FME_Input[FME_ID],FME_Input[DESCR])</f>
        <v>H&amp;H study to identify additional detention required to improve existing level of service</v>
      </c>
      <c r="E1650" s="256">
        <f>_xlfn.XLOOKUP(FME_Ranking1[[#This Row],[FME ID]],FME_Input[FME_ID],FME_Input[FME_COST])</f>
        <v>100000</v>
      </c>
      <c r="F1650" t="str">
        <f>_xlfn.XLOOKUP(FME_Ranking1[[#This Row],[FME ID]],FME_Input[FME_ID],FME_Input[EMER_NEED])</f>
        <v>Yes</v>
      </c>
      <c r="G1650">
        <f>IF(FME_Ranking!F1650="Yes",100,0)</f>
        <v>100</v>
      </c>
      <c r="H1650">
        <f>FME_Ranking1[[#This Row],[Emergency Need Score (Normalized, Unweighted)]]*$F$3</f>
        <v>0</v>
      </c>
      <c r="I1650" s="246">
        <f>_xlfn.XLOOKUP(FME_Ranking1[[#This Row],[FME ID]],FME_Input[FME_ID],FME_Input[STRUCT_100])</f>
        <v>36</v>
      </c>
      <c r="J1650" s="178">
        <f>(FME_Ranking1[[#This Row],[Structures 100 Raw]]/I$2)*100</f>
        <v>1.9277727798483486E-2</v>
      </c>
      <c r="K1650" s="178">
        <f>FME_Ranking1[[#This Row],[Structures 100  Score (Normalized, Unweighted)]]*$I$3</f>
        <v>2.8916591697725228E-3</v>
      </c>
      <c r="L1650" s="246">
        <f>_xlfn.XLOOKUP(FME_Ranking1[[#This Row],[FME ID]],FME_Input[FME_ID],FME_Input[RES_STRUCT100])</f>
        <v>19</v>
      </c>
      <c r="M1650" s="230">
        <f>(FME_Ranking1[[#This Row],[Res Structures Raw]]/L$2)*100</f>
        <v>1.3457806235922425E-2</v>
      </c>
      <c r="N1650" s="180">
        <f>FME_Ranking1[[#This Row],[Res Structures Score (Normalized, Unweighted)]]*$L$3</f>
        <v>1.3457806235922425E-3</v>
      </c>
      <c r="O1650" s="244">
        <f>_xlfn.XLOOKUP(FME_Ranking1[[#This Row],[FME ID]],FME_Input[FME_ID],FME_Input[POP100])</f>
        <v>528</v>
      </c>
      <c r="P1650" s="178">
        <f>(FME_Ranking1[[#This Row],[Pop Raw]]/$O$2)*100</f>
        <v>5.4054164730067016E-2</v>
      </c>
      <c r="Q1650" s="178">
        <f>FME_Ranking1[[#This Row],[Pop Score (Normalized, Unweighted)]]*$O$3</f>
        <v>8.1081247095100527E-3</v>
      </c>
      <c r="R1650" s="137">
        <f>_xlfn.XLOOKUP(FME_Ranking1[[#This Row],[FME ID]],FME_Input[FME_ID],FME_Input[CRITFAC100])</f>
        <v>0</v>
      </c>
      <c r="S1650" s="230">
        <f>(FME_Ranking1[[#This Row],[Critical Facilities Raw]]/$R$2)*100</f>
        <v>0</v>
      </c>
      <c r="T1650" s="180">
        <f>FME_Ranking1[[#This Row],[Critical Facilities Score (Normalized, Unweighted)]]*$R$3</f>
        <v>0</v>
      </c>
      <c r="U1650">
        <f>_xlfn.XLOOKUP(FME_Ranking1[[#This Row],[FME ID]],FME_Input[FME_ID],FME_Input[LWC])</f>
        <v>0</v>
      </c>
      <c r="V1650" s="178">
        <f>(FME_Ranking1[[#This Row],[LWC Raw]]/$U$2)*100</f>
        <v>0</v>
      </c>
      <c r="W1650" s="178">
        <f>FME_Ranking1[[#This Row],[LWC Score (Normalized, Unweighted)]]*$U$3</f>
        <v>0</v>
      </c>
      <c r="X1650" s="246">
        <f>_xlfn.XLOOKUP(FME_Ranking1[[#This Row],[FME ID]],FME_Input[FME_ID],FME_Input[ROADCLS])</f>
        <v>0</v>
      </c>
      <c r="Y1650" s="230">
        <f>(FME_Ranking1[[#This Row],[Closures Raw]]/$X$2)*100</f>
        <v>0</v>
      </c>
      <c r="Z1650" s="180">
        <f>FME_Ranking1[[#This Row],[Closures Score (Normalized, Unweighted)]]*$X$3</f>
        <v>0</v>
      </c>
      <c r="AA1650" s="253">
        <f>_xlfn.XLOOKUP(FME_Ranking1[[#This Row],[FME ID]],FME_Input[FME_ID],FME_Input[ROAD_MILES100])</f>
        <v>1.764595627784729</v>
      </c>
      <c r="AB1650" s="178">
        <f>(FME_Ranking1[[#This Row],[Miles Raw]]/$AA$2)*100</f>
        <v>2.3201267554528785E-2</v>
      </c>
      <c r="AC1650" s="178">
        <f>FME_Ranking1[[#This Row],[Miles Score (Normalized, Unweighted)]]*$AA$3</f>
        <v>2.3201267554528787E-3</v>
      </c>
      <c r="AD1650" s="255">
        <f>_xlfn.XLOOKUP(FME_Ranking1[[#This Row],[FME ID]],FME_Input[FME_ID],FME_Input[FARMACRE100])</f>
        <v>1.333173871040344</v>
      </c>
      <c r="AE1650" s="230">
        <f>(FME_Ranking1[[#This Row],[Ag Land Raw]]/$AD$2)*100</f>
        <v>5.49741224839514E-5</v>
      </c>
      <c r="AF1650" s="231">
        <f>FME_Ranking1[[#This Row],[Ag Land Score (Normalized, Unweighted)]]*$AD$3</f>
        <v>2.7487061241975702E-6</v>
      </c>
      <c r="AG165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1.4668439964451895E-2</v>
      </c>
      <c r="AH1650" s="406">
        <f t="shared" si="25"/>
        <v>1638</v>
      </c>
      <c r="AI165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1.4668439964451895E-2</v>
      </c>
      <c r="AJ1650" s="257">
        <f>FME_Ranking1[[#This Row],[Addition check]]-FME_Ranking1[[#This Row],[Weighted Score Based on Normalized Reported Factors]]</f>
        <v>0</v>
      </c>
      <c r="AK1650" s="178">
        <f>_xlfn.RANK.EQ(AI1650,$AI$6:$AI$2341,0)+COUNTIF($AI$6:AI1650,AI1650)-1</f>
        <v>1639</v>
      </c>
    </row>
    <row r="1651" spans="1:37" x14ac:dyDescent="0.25">
      <c r="A1651" t="s">
        <v>8098</v>
      </c>
      <c r="B1651">
        <f>_xlfn.XLOOKUP(FME_Ranking1[[#This Row],[FME ID]],FME_Input[FME_ID],FME_Input[RFPG_NUM])</f>
        <v>9</v>
      </c>
      <c r="C1651" t="str">
        <f>_xlfn.XLOOKUP(FME_Ranking1[[#This Row],[FME ID]],FME_Input[FME_ID],FME_Input[FME_NAME])</f>
        <v>Town of Ballinger  DMP</v>
      </c>
      <c r="D1651" t="str">
        <f>_xlfn.XLOOKUP(FME_Ranking1[[#This Row],[FME ID]],FME_Input[FME_ID],FME_Input[DESCR])</f>
        <v xml:space="preserve">Create Drainage Master Plan, including evaluation of potential mitigation projects. </v>
      </c>
      <c r="E1651" s="256">
        <f>_xlfn.XLOOKUP(FME_Ranking1[[#This Row],[FME ID]],FME_Input[FME_ID],FME_Input[FME_COST])</f>
        <v>250000</v>
      </c>
      <c r="F1651" t="str">
        <f>_xlfn.XLOOKUP(FME_Ranking1[[#This Row],[FME ID]],FME_Input[FME_ID],FME_Input[EMER_NEED])</f>
        <v>No</v>
      </c>
      <c r="G1651">
        <f>IF(FME_Ranking!F1651="Yes",100,0)</f>
        <v>0</v>
      </c>
      <c r="H1651">
        <f>FME_Ranking1[[#This Row],[Emergency Need Score (Normalized, Unweighted)]]*$F$3</f>
        <v>0</v>
      </c>
      <c r="I1651" s="246">
        <f>_xlfn.XLOOKUP(FME_Ranking1[[#This Row],[FME ID]],FME_Input[FME_ID],FME_Input[STRUCT_100])</f>
        <v>13</v>
      </c>
      <c r="J1651" s="178">
        <f>(FME_Ranking1[[#This Row],[Structures 100 Raw]]/I$2)*100</f>
        <v>6.961401705007926E-3</v>
      </c>
      <c r="K1651" s="178">
        <f>FME_Ranking1[[#This Row],[Structures 100  Score (Normalized, Unweighted)]]*$I$3</f>
        <v>1.0442102557511889E-3</v>
      </c>
      <c r="L1651" s="246">
        <f>_xlfn.XLOOKUP(FME_Ranking1[[#This Row],[FME ID]],FME_Input[FME_ID],FME_Input[RES_STRUCT100])</f>
        <v>7</v>
      </c>
      <c r="M1651" s="230">
        <f>(FME_Ranking1[[#This Row],[Res Structures Raw]]/L$2)*100</f>
        <v>4.9581391395503681E-3</v>
      </c>
      <c r="N1651" s="180">
        <f>FME_Ranking1[[#This Row],[Res Structures Score (Normalized, Unweighted)]]*$L$3</f>
        <v>4.9581391395503687E-4</v>
      </c>
      <c r="O1651" s="244">
        <f>_xlfn.XLOOKUP(FME_Ranking1[[#This Row],[FME ID]],FME_Input[FME_ID],FME_Input[POP100])</f>
        <v>127</v>
      </c>
      <c r="P1651" s="178">
        <f>(FME_Ranking1[[#This Row],[Pop Raw]]/$O$2)*100</f>
        <v>1.3001664622572937E-2</v>
      </c>
      <c r="Q1651" s="178">
        <f>FME_Ranking1[[#This Row],[Pop Score (Normalized, Unweighted)]]*$O$3</f>
        <v>1.9502496933859405E-3</v>
      </c>
      <c r="R1651" s="137">
        <f>_xlfn.XLOOKUP(FME_Ranking1[[#This Row],[FME ID]],FME_Input[FME_ID],FME_Input[CRITFAC100])</f>
        <v>1</v>
      </c>
      <c r="S1651" s="230">
        <f>(FME_Ranking1[[#This Row],[Critical Facilities Raw]]/$R$2)*100</f>
        <v>4.2881646655231559E-2</v>
      </c>
      <c r="T1651" s="180">
        <f>FME_Ranking1[[#This Row],[Critical Facilities Score (Normalized, Unweighted)]]*$R$3</f>
        <v>8.5763293310463125E-3</v>
      </c>
      <c r="U1651">
        <f>_xlfn.XLOOKUP(FME_Ranking1[[#This Row],[FME ID]],FME_Input[FME_ID],FME_Input[LWC])</f>
        <v>0</v>
      </c>
      <c r="V1651" s="178">
        <f>(FME_Ranking1[[#This Row],[LWC Raw]]/$U$2)*100</f>
        <v>0</v>
      </c>
      <c r="W1651" s="178">
        <f>FME_Ranking1[[#This Row],[LWC Score (Normalized, Unweighted)]]*$U$3</f>
        <v>0</v>
      </c>
      <c r="X1651" s="246">
        <f>_xlfn.XLOOKUP(FME_Ranking1[[#This Row],[FME ID]],FME_Input[FME_ID],FME_Input[ROADCLS])</f>
        <v>0</v>
      </c>
      <c r="Y1651" s="230">
        <f>(FME_Ranking1[[#This Row],[Closures Raw]]/$X$2)*100</f>
        <v>0</v>
      </c>
      <c r="Z1651" s="180">
        <f>FME_Ranking1[[#This Row],[Closures Score (Normalized, Unweighted)]]*$X$3</f>
        <v>0</v>
      </c>
      <c r="AA1651" s="253">
        <f>_xlfn.XLOOKUP(FME_Ranking1[[#This Row],[FME ID]],FME_Input[FME_ID],FME_Input[ROAD_MILES100])</f>
        <v>14.86351490020752</v>
      </c>
      <c r="AB1651" s="178">
        <f>(FME_Ranking1[[#This Row],[Miles Raw]]/$AA$2)*100</f>
        <v>0.19542856197222197</v>
      </c>
      <c r="AC1651" s="178">
        <f>FME_Ranking1[[#This Row],[Miles Score (Normalized, Unweighted)]]*$AA$3</f>
        <v>1.9542856197222198E-2</v>
      </c>
      <c r="AD1651" s="255">
        <f>_xlfn.XLOOKUP(FME_Ranking1[[#This Row],[FME ID]],FME_Input[FME_ID],FME_Input[FARMACRE100])</f>
        <v>122.51356506347661</v>
      </c>
      <c r="AE1651" s="230">
        <f>(FME_Ranking1[[#This Row],[Ag Land Raw]]/$AD$2)*100</f>
        <v>5.0519109907917617E-3</v>
      </c>
      <c r="AF1651" s="231">
        <f>FME_Ranking1[[#This Row],[Ag Land Score (Normalized, Unweighted)]]*$AD$3</f>
        <v>2.5259554953958809E-4</v>
      </c>
      <c r="AG165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3.1862054940900261E-2</v>
      </c>
      <c r="AH1651" s="406">
        <f t="shared" si="25"/>
        <v>1453</v>
      </c>
      <c r="AI165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3.1862054940900261E-2</v>
      </c>
      <c r="AJ1651" s="257">
        <f>FME_Ranking1[[#This Row],[Addition check]]-FME_Ranking1[[#This Row],[Weighted Score Based on Normalized Reported Factors]]</f>
        <v>0</v>
      </c>
      <c r="AK1651" s="178">
        <f>_xlfn.RANK.EQ(AI1651,$AI$6:$AI$2341,0)+COUNTIF($AI$6:AI1651,AI1651)-1</f>
        <v>1453</v>
      </c>
    </row>
    <row r="1652" spans="1:37" x14ac:dyDescent="0.25">
      <c r="A1652" t="s">
        <v>8880</v>
      </c>
      <c r="B1652">
        <f>_xlfn.XLOOKUP(FME_Ranking1[[#This Row],[FME ID]],FME_Input[FME_ID],FME_Input[RFPG_NUM])</f>
        <v>11</v>
      </c>
      <c r="C1652" t="str">
        <f>_xlfn.XLOOKUP(FME_Ranking1[[#This Row],[FME ID]],FME_Input[FME_ID],FME_Input[FME_NAME])</f>
        <v>City of Wimberley Hidden Valley at Blanco River Low Water Crossing Project Planning</v>
      </c>
      <c r="D1652" t="str">
        <f>_xlfn.XLOOKUP(FME_Ranking1[[#This Row],[FME ID]],FME_Input[FME_ID],FME_Input[DESCR])</f>
        <v>Project planning for proposed project to replace low water crossing at Hidden Valley at Blanco River</v>
      </c>
      <c r="E1652" s="256">
        <f>_xlfn.XLOOKUP(FME_Ranking1[[#This Row],[FME ID]],FME_Input[FME_ID],FME_Input[FME_COST])</f>
        <v>100000</v>
      </c>
      <c r="F1652" t="str">
        <f>_xlfn.XLOOKUP(FME_Ranking1[[#This Row],[FME ID]],FME_Input[FME_ID],FME_Input[EMER_NEED])</f>
        <v>No</v>
      </c>
      <c r="G1652">
        <f>IF(FME_Ranking!F1652="Yes",100,0)</f>
        <v>0</v>
      </c>
      <c r="H1652">
        <f>FME_Ranking1[[#This Row],[Emergency Need Score (Normalized, Unweighted)]]*$F$3</f>
        <v>0</v>
      </c>
      <c r="I1652" s="246">
        <f>_xlfn.XLOOKUP(FME_Ranking1[[#This Row],[FME ID]],FME_Input[FME_ID],FME_Input[STRUCT_100])</f>
        <v>4</v>
      </c>
      <c r="J1652" s="178">
        <f>(FME_Ranking1[[#This Row],[Structures 100 Raw]]/I$2)*100</f>
        <v>2.1419697553870542E-3</v>
      </c>
      <c r="K1652" s="178">
        <f>FME_Ranking1[[#This Row],[Structures 100  Score (Normalized, Unweighted)]]*$I$3</f>
        <v>3.2129546330805813E-4</v>
      </c>
      <c r="L1652" s="246">
        <f>_xlfn.XLOOKUP(FME_Ranking1[[#This Row],[FME ID]],FME_Input[FME_ID],FME_Input[RES_STRUCT100])</f>
        <v>4</v>
      </c>
      <c r="M1652" s="230">
        <f>(FME_Ranking1[[#This Row],[Res Structures Raw]]/L$2)*100</f>
        <v>2.833222365457353E-3</v>
      </c>
      <c r="N1652" s="180">
        <f>FME_Ranking1[[#This Row],[Res Structures Score (Normalized, Unweighted)]]*$L$3</f>
        <v>2.8332223654573533E-4</v>
      </c>
      <c r="O1652" s="244">
        <f>_xlfn.XLOOKUP(FME_Ranking1[[#This Row],[FME ID]],FME_Input[FME_ID],FME_Input[POP100])</f>
        <v>12</v>
      </c>
      <c r="P1652" s="178">
        <f>(FME_Ranking1[[#This Row],[Pop Raw]]/$O$2)*100</f>
        <v>1.2285037438651595E-3</v>
      </c>
      <c r="Q1652" s="178">
        <f>FME_Ranking1[[#This Row],[Pop Score (Normalized, Unweighted)]]*$O$3</f>
        <v>1.8427556157977391E-4</v>
      </c>
      <c r="R1652" s="137">
        <f>_xlfn.XLOOKUP(FME_Ranking1[[#This Row],[FME ID]],FME_Input[FME_ID],FME_Input[CRITFAC100])</f>
        <v>0</v>
      </c>
      <c r="S1652" s="230">
        <f>(FME_Ranking1[[#This Row],[Critical Facilities Raw]]/$R$2)*100</f>
        <v>0</v>
      </c>
      <c r="T1652" s="180">
        <f>FME_Ranking1[[#This Row],[Critical Facilities Score (Normalized, Unweighted)]]*$R$3</f>
        <v>0</v>
      </c>
      <c r="U1652">
        <f>_xlfn.XLOOKUP(FME_Ranking1[[#This Row],[FME ID]],FME_Input[FME_ID],FME_Input[LWC])</f>
        <v>1</v>
      </c>
      <c r="V1652" s="178">
        <f>(FME_Ranking1[[#This Row],[LWC Raw]]/$U$2)*100</f>
        <v>5.7570523891767422E-2</v>
      </c>
      <c r="W1652" s="178">
        <f>FME_Ranking1[[#This Row],[LWC Score (Normalized, Unweighted)]]*$U$3</f>
        <v>1.1514104778353485E-2</v>
      </c>
      <c r="X1652" s="246">
        <f>_xlfn.XLOOKUP(FME_Ranking1[[#This Row],[FME ID]],FME_Input[FME_ID],FME_Input[ROADCLS])</f>
        <v>0</v>
      </c>
      <c r="Y1652" s="230">
        <f>(FME_Ranking1[[#This Row],[Closures Raw]]/$X$2)*100</f>
        <v>0</v>
      </c>
      <c r="Z1652" s="180">
        <f>FME_Ranking1[[#This Row],[Closures Score (Normalized, Unweighted)]]*$X$3</f>
        <v>0</v>
      </c>
      <c r="AA1652" s="253">
        <f>_xlfn.XLOOKUP(FME_Ranking1[[#This Row],[FME ID]],FME_Input[FME_ID],FME_Input[ROAD_MILES100])</f>
        <v>0.19637605547904971</v>
      </c>
      <c r="AB1652" s="178">
        <f>(FME_Ranking1[[#This Row],[Miles Raw]]/$AA$2)*100</f>
        <v>2.5819929125588024E-3</v>
      </c>
      <c r="AC1652" s="178">
        <f>FME_Ranking1[[#This Row],[Miles Score (Normalized, Unweighted)]]*$AA$3</f>
        <v>2.5819929125588023E-4</v>
      </c>
      <c r="AD1652" s="255">
        <f>_xlfn.XLOOKUP(FME_Ranking1[[#This Row],[FME ID]],FME_Input[FME_ID],FME_Input[FARMACRE100])</f>
        <v>0.707386314868927</v>
      </c>
      <c r="AE1652" s="230">
        <f>(FME_Ranking1[[#This Row],[Ag Land Raw]]/$AD$2)*100</f>
        <v>2.9169445007746179E-5</v>
      </c>
      <c r="AF1652" s="231">
        <f>FME_Ranking1[[#This Row],[Ag Land Score (Normalized, Unweighted)]]*$AD$3</f>
        <v>1.458472250387309E-6</v>
      </c>
      <c r="AG165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1.256265580329332E-2</v>
      </c>
      <c r="AH1652" s="406">
        <f t="shared" si="25"/>
        <v>1687</v>
      </c>
      <c r="AI165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1.256265580329332E-2</v>
      </c>
      <c r="AJ1652" s="257">
        <f>FME_Ranking1[[#This Row],[Addition check]]-FME_Ranking1[[#This Row],[Weighted Score Based on Normalized Reported Factors]]</f>
        <v>0</v>
      </c>
      <c r="AK1652" s="178">
        <f>_xlfn.RANK.EQ(AI1652,$AI$6:$AI$2341,0)+COUNTIF($AI$6:AI1652,AI1652)-1</f>
        <v>1687</v>
      </c>
    </row>
    <row r="1653" spans="1:37" x14ac:dyDescent="0.25">
      <c r="A1653" t="s">
        <v>238</v>
      </c>
      <c r="B1653">
        <f>_xlfn.XLOOKUP(FME_Ranking1[[#This Row],[FME ID]],FME_Input[FME_ID],FME_Input[RFPG_NUM])</f>
        <v>10</v>
      </c>
      <c r="C1653" t="str">
        <f>_xlfn.XLOOKUP(FME_Ranking1[[#This Row],[FME ID]],FME_Input[FME_ID],FME_Input[FME_NAME])</f>
        <v>1431/281 Detention</v>
      </c>
      <c r="D1653" t="str">
        <f>_xlfn.XLOOKUP(FME_Ranking1[[#This Row],[FME ID]],FME_Input[FME_ID],FME_Input[DESCR])</f>
        <v xml:space="preserve">This project would be in partnership with TxDOT.  TxDOT is looking at installing a right turn lane on northbound 281 onto 1431.  This would require acquisition of the properties in the vicinity, as the businesses would no longer be able to function. </v>
      </c>
      <c r="E1653" s="256">
        <f>_xlfn.XLOOKUP(FME_Ranking1[[#This Row],[FME ID]],FME_Input[FME_ID],FME_Input[FME_COST])</f>
        <v>150000</v>
      </c>
      <c r="F1653" t="str">
        <f>_xlfn.XLOOKUP(FME_Ranking1[[#This Row],[FME ID]],FME_Input[FME_ID],FME_Input[EMER_NEED])</f>
        <v>No</v>
      </c>
      <c r="G1653">
        <f>IF(FME_Ranking!F1653="Yes",100,0)</f>
        <v>0</v>
      </c>
      <c r="H1653">
        <f>FME_Ranking1[[#This Row],[Emergency Need Score (Normalized, Unweighted)]]*$F$3</f>
        <v>0</v>
      </c>
      <c r="I1653" s="246">
        <f>_xlfn.XLOOKUP(FME_Ranking1[[#This Row],[FME ID]],FME_Input[FME_ID],FME_Input[STRUCT_100])</f>
        <v>5</v>
      </c>
      <c r="J1653" s="178">
        <f>(FME_Ranking1[[#This Row],[Structures 100 Raw]]/I$2)*100</f>
        <v>2.6774621942338172E-3</v>
      </c>
      <c r="K1653" s="178">
        <f>FME_Ranking1[[#This Row],[Structures 100  Score (Normalized, Unweighted)]]*$I$3</f>
        <v>4.0161932913507258E-4</v>
      </c>
      <c r="L1653" s="246">
        <f>_xlfn.XLOOKUP(FME_Ranking1[[#This Row],[FME ID]],FME_Input[FME_ID],FME_Input[RES_STRUCT100])</f>
        <v>1</v>
      </c>
      <c r="M1653" s="230">
        <f>(FME_Ranking1[[#This Row],[Res Structures Raw]]/L$2)*100</f>
        <v>7.0830559136433825E-4</v>
      </c>
      <c r="N1653" s="180">
        <f>FME_Ranking1[[#This Row],[Res Structures Score (Normalized, Unweighted)]]*$L$3</f>
        <v>7.0830559136433833E-5</v>
      </c>
      <c r="O1653" s="244">
        <f>_xlfn.XLOOKUP(FME_Ranking1[[#This Row],[FME ID]],FME_Input[FME_ID],FME_Input[POP100])</f>
        <v>16</v>
      </c>
      <c r="P1653" s="178">
        <f>(FME_Ranking1[[#This Row],[Pop Raw]]/$O$2)*100</f>
        <v>1.6380049918202125E-3</v>
      </c>
      <c r="Q1653" s="178">
        <f>FME_Ranking1[[#This Row],[Pop Score (Normalized, Unweighted)]]*$O$3</f>
        <v>2.4570074877303187E-4</v>
      </c>
      <c r="R1653" s="137">
        <f>_xlfn.XLOOKUP(FME_Ranking1[[#This Row],[FME ID]],FME_Input[FME_ID],FME_Input[CRITFAC100])</f>
        <v>0</v>
      </c>
      <c r="S1653" s="230">
        <f>(FME_Ranking1[[#This Row],[Critical Facilities Raw]]/$R$2)*100</f>
        <v>0</v>
      </c>
      <c r="T1653" s="180">
        <f>FME_Ranking1[[#This Row],[Critical Facilities Score (Normalized, Unweighted)]]*$R$3</f>
        <v>0</v>
      </c>
      <c r="U1653">
        <f>_xlfn.XLOOKUP(FME_Ranking1[[#This Row],[FME ID]],FME_Input[FME_ID],FME_Input[LWC])</f>
        <v>1</v>
      </c>
      <c r="V1653" s="178">
        <f>(FME_Ranking1[[#This Row],[LWC Raw]]/$U$2)*100</f>
        <v>5.7570523891767422E-2</v>
      </c>
      <c r="W1653" s="178">
        <f>FME_Ranking1[[#This Row],[LWC Score (Normalized, Unweighted)]]*$U$3</f>
        <v>1.1514104778353485E-2</v>
      </c>
      <c r="X1653" s="246">
        <f>_xlfn.XLOOKUP(FME_Ranking1[[#This Row],[FME ID]],FME_Input[FME_ID],FME_Input[ROADCLS])</f>
        <v>0</v>
      </c>
      <c r="Y1653" s="230">
        <f>(FME_Ranking1[[#This Row],[Closures Raw]]/$X$2)*100</f>
        <v>0</v>
      </c>
      <c r="Z1653" s="180">
        <f>FME_Ranking1[[#This Row],[Closures Score (Normalized, Unweighted)]]*$X$3</f>
        <v>0</v>
      </c>
      <c r="AA1653" s="253">
        <f>_xlfn.XLOOKUP(FME_Ranking1[[#This Row],[FME ID]],FME_Input[FME_ID],FME_Input[ROAD_MILES100])</f>
        <v>0.1215009614825249</v>
      </c>
      <c r="AB1653" s="178">
        <f>(FME_Ranking1[[#This Row],[Miles Raw]]/$AA$2)*100</f>
        <v>1.5975197212901946E-3</v>
      </c>
      <c r="AC1653" s="178">
        <f>FME_Ranking1[[#This Row],[Miles Score (Normalized, Unweighted)]]*$AA$3</f>
        <v>1.5975197212901948E-4</v>
      </c>
      <c r="AD1653" s="255">
        <f>_xlfn.XLOOKUP(FME_Ranking1[[#This Row],[FME ID]],FME_Input[FME_ID],FME_Input[FARMACRE100])</f>
        <v>23.44124794006348</v>
      </c>
      <c r="AE1653" s="230">
        <f>(FME_Ranking1[[#This Row],[Ag Land Raw]]/$AD$2)*100</f>
        <v>9.6661213021532913E-4</v>
      </c>
      <c r="AF1653" s="231">
        <f>FME_Ranking1[[#This Row],[Ag Land Score (Normalized, Unweighted)]]*$AD$3</f>
        <v>4.8330606510766462E-5</v>
      </c>
      <c r="AG165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1.2440337994037808E-2</v>
      </c>
      <c r="AH1653" s="406">
        <f t="shared" si="25"/>
        <v>1689</v>
      </c>
      <c r="AI165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1.2440337994037808E-2</v>
      </c>
      <c r="AJ1653" s="257">
        <f>FME_Ranking1[[#This Row],[Addition check]]-FME_Ranking1[[#This Row],[Weighted Score Based on Normalized Reported Factors]]</f>
        <v>0</v>
      </c>
      <c r="AK1653" s="178">
        <f>_xlfn.RANK.EQ(AI1653,$AI$6:$AI$2341,0)+COUNTIF($AI$6:AI1653,AI1653)-1</f>
        <v>1689</v>
      </c>
    </row>
    <row r="1654" spans="1:37" x14ac:dyDescent="0.25">
      <c r="A1654" t="s">
        <v>4092</v>
      </c>
      <c r="B1654">
        <f>_xlfn.XLOOKUP(FME_Ranking1[[#This Row],[FME ID]],FME_Input[FME_ID],FME_Input[RFPG_NUM])</f>
        <v>3</v>
      </c>
      <c r="C1654" t="str">
        <f>_xlfn.XLOOKUP(FME_Ranking1[[#This Row],[FME ID]],FME_Input[FME_ID],FME_Input[FME_NAME])</f>
        <v>City of Lavon DMP</v>
      </c>
      <c r="D1654" t="str">
        <f>_xlfn.XLOOKUP(FME_Ranking1[[#This Row],[FME ID]],FME_Input[FME_ID],FME_Input[DESCR])</f>
        <v>Evaluate City and identify future projects.</v>
      </c>
      <c r="E1654" s="256">
        <f>_xlfn.XLOOKUP(FME_Ranking1[[#This Row],[FME ID]],FME_Input[FME_ID],FME_Input[FME_COST])</f>
        <v>250000</v>
      </c>
      <c r="F1654" t="str">
        <f>_xlfn.XLOOKUP(FME_Ranking1[[#This Row],[FME ID]],FME_Input[FME_ID],FME_Input[EMER_NEED])</f>
        <v>No</v>
      </c>
      <c r="G1654">
        <f>IF(FME_Ranking!F1654="Yes",100,0)</f>
        <v>0</v>
      </c>
      <c r="H1654">
        <f>FME_Ranking1[[#This Row],[Emergency Need Score (Normalized, Unweighted)]]*$F$3</f>
        <v>0</v>
      </c>
      <c r="I1654" s="246">
        <f>_xlfn.XLOOKUP(FME_Ranking1[[#This Row],[FME ID]],FME_Input[FME_ID],FME_Input[STRUCT_100])</f>
        <v>4</v>
      </c>
      <c r="J1654" s="178">
        <f>(FME_Ranking1[[#This Row],[Structures 100 Raw]]/I$2)*100</f>
        <v>2.1419697553870542E-3</v>
      </c>
      <c r="K1654" s="178">
        <f>FME_Ranking1[[#This Row],[Structures 100  Score (Normalized, Unweighted)]]*$I$3</f>
        <v>3.2129546330805813E-4</v>
      </c>
      <c r="L1654" s="246">
        <f>_xlfn.XLOOKUP(FME_Ranking1[[#This Row],[FME ID]],FME_Input[FME_ID],FME_Input[RES_STRUCT100])</f>
        <v>4</v>
      </c>
      <c r="M1654" s="230">
        <f>(FME_Ranking1[[#This Row],[Res Structures Raw]]/L$2)*100</f>
        <v>2.833222365457353E-3</v>
      </c>
      <c r="N1654" s="180">
        <f>FME_Ranking1[[#This Row],[Res Structures Score (Normalized, Unweighted)]]*$L$3</f>
        <v>2.8332223654573533E-4</v>
      </c>
      <c r="O1654" s="244">
        <f>_xlfn.XLOOKUP(FME_Ranking1[[#This Row],[FME ID]],FME_Input[FME_ID],FME_Input[POP100])</f>
        <v>4</v>
      </c>
      <c r="P1654" s="178">
        <f>(FME_Ranking1[[#This Row],[Pop Raw]]/$O$2)*100</f>
        <v>4.0950124795505313E-4</v>
      </c>
      <c r="Q1654" s="178">
        <f>FME_Ranking1[[#This Row],[Pop Score (Normalized, Unweighted)]]*$O$3</f>
        <v>6.1425187193257967E-5</v>
      </c>
      <c r="R1654" s="137">
        <f>_xlfn.XLOOKUP(FME_Ranking1[[#This Row],[FME ID]],FME_Input[FME_ID],FME_Input[CRITFAC100])</f>
        <v>0</v>
      </c>
      <c r="S1654" s="230">
        <f>(FME_Ranking1[[#This Row],[Critical Facilities Raw]]/$R$2)*100</f>
        <v>0</v>
      </c>
      <c r="T1654" s="180">
        <f>FME_Ranking1[[#This Row],[Critical Facilities Score (Normalized, Unweighted)]]*$R$3</f>
        <v>0</v>
      </c>
      <c r="U1654">
        <f>_xlfn.XLOOKUP(FME_Ranking1[[#This Row],[FME ID]],FME_Input[FME_ID],FME_Input[LWC])</f>
        <v>1</v>
      </c>
      <c r="V1654" s="178">
        <f>(FME_Ranking1[[#This Row],[LWC Raw]]/$U$2)*100</f>
        <v>5.7570523891767422E-2</v>
      </c>
      <c r="W1654" s="178">
        <f>FME_Ranking1[[#This Row],[LWC Score (Normalized, Unweighted)]]*$U$3</f>
        <v>1.1514104778353485E-2</v>
      </c>
      <c r="X1654" s="246">
        <f>_xlfn.XLOOKUP(FME_Ranking1[[#This Row],[FME ID]],FME_Input[FME_ID],FME_Input[ROADCLS])</f>
        <v>0</v>
      </c>
      <c r="Y1654" s="230">
        <f>(FME_Ranking1[[#This Row],[Closures Raw]]/$X$2)*100</f>
        <v>0</v>
      </c>
      <c r="Z1654" s="180">
        <f>FME_Ranking1[[#This Row],[Closures Score (Normalized, Unweighted)]]*$X$3</f>
        <v>0</v>
      </c>
      <c r="AA1654" s="253">
        <f>_xlfn.XLOOKUP(FME_Ranking1[[#This Row],[FME ID]],FME_Input[FME_ID],FME_Input[ROAD_MILES100])</f>
        <v>0.66100198030471802</v>
      </c>
      <c r="AB1654" s="178">
        <f>(FME_Ranking1[[#This Row],[Miles Raw]]/$AA$2)*100</f>
        <v>8.6909904782978675E-3</v>
      </c>
      <c r="AC1654" s="178">
        <f>FME_Ranking1[[#This Row],[Miles Score (Normalized, Unweighted)]]*$AA$3</f>
        <v>8.6909904782978681E-4</v>
      </c>
      <c r="AD1654" s="255">
        <f>_xlfn.XLOOKUP(FME_Ranking1[[#This Row],[FME ID]],FME_Input[FME_ID],FME_Input[FARMACRE100])</f>
        <v>31.52216911315918</v>
      </c>
      <c r="AE1654" s="230">
        <f>(FME_Ranking1[[#This Row],[Ag Land Raw]]/$AD$2)*100</f>
        <v>1.2998331451203502E-3</v>
      </c>
      <c r="AF1654" s="231">
        <f>FME_Ranking1[[#This Row],[Ag Land Score (Normalized, Unweighted)]]*$AD$3</f>
        <v>6.4991657256017516E-5</v>
      </c>
      <c r="AG165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1.311423837048634E-2</v>
      </c>
      <c r="AH1654" s="406">
        <f t="shared" si="25"/>
        <v>1664</v>
      </c>
      <c r="AI165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1.311423837048634E-2</v>
      </c>
      <c r="AJ1654" s="257">
        <f>FME_Ranking1[[#This Row],[Addition check]]-FME_Ranking1[[#This Row],[Weighted Score Based on Normalized Reported Factors]]</f>
        <v>0</v>
      </c>
      <c r="AK1654" s="178">
        <f>_xlfn.RANK.EQ(AI1654,$AI$6:$AI$2341,0)+COUNTIF($AI$6:AI1654,AI1654)-1</f>
        <v>1664</v>
      </c>
    </row>
    <row r="1655" spans="1:37" x14ac:dyDescent="0.25">
      <c r="A1655" t="s">
        <v>8693</v>
      </c>
      <c r="B1655">
        <f>_xlfn.XLOOKUP(FME_Ranking1[[#This Row],[FME ID]],FME_Input[FME_ID],FME_Input[RFPG_NUM])</f>
        <v>11</v>
      </c>
      <c r="C1655" t="str">
        <f>_xlfn.XLOOKUP(FME_Ranking1[[#This Row],[FME ID]],FME_Input[FME_ID],FME_Input[FME_NAME])</f>
        <v>City of Kerrville Harper Road to Town Creek (Fay Drive) Drainage Improvements Study</v>
      </c>
      <c r="D1655" t="str">
        <f>_xlfn.XLOOKUP(FME_Ranking1[[#This Row],[FME ID]],FME_Input[FME_ID],FME_Input[DESCR])</f>
        <v xml:space="preserve">Study of solutions to implement drainage improvements on Harper Road to Town Creek (Fay Drive). </v>
      </c>
      <c r="E1655" s="256">
        <f>_xlfn.XLOOKUP(FME_Ranking1[[#This Row],[FME ID]],FME_Input[FME_ID],FME_Input[FME_COST])</f>
        <v>150000</v>
      </c>
      <c r="F1655" t="str">
        <f>_xlfn.XLOOKUP(FME_Ranking1[[#This Row],[FME ID]],FME_Input[FME_ID],FME_Input[EMER_NEED])</f>
        <v>No</v>
      </c>
      <c r="G1655">
        <f>IF(FME_Ranking!F1655="Yes",100,0)</f>
        <v>0</v>
      </c>
      <c r="H1655">
        <f>FME_Ranking1[[#This Row],[Emergency Need Score (Normalized, Unweighted)]]*$F$3</f>
        <v>0</v>
      </c>
      <c r="I1655" s="246">
        <f>_xlfn.XLOOKUP(FME_Ranking1[[#This Row],[FME ID]],FME_Input[FME_ID],FME_Input[STRUCT_100])</f>
        <v>4</v>
      </c>
      <c r="J1655" s="178">
        <f>(FME_Ranking1[[#This Row],[Structures 100 Raw]]/I$2)*100</f>
        <v>2.1419697553870542E-3</v>
      </c>
      <c r="K1655" s="178">
        <f>FME_Ranking1[[#This Row],[Structures 100  Score (Normalized, Unweighted)]]*$I$3</f>
        <v>3.2129546330805813E-4</v>
      </c>
      <c r="L1655" s="246">
        <f>_xlfn.XLOOKUP(FME_Ranking1[[#This Row],[FME ID]],FME_Input[FME_ID],FME_Input[RES_STRUCT100])</f>
        <v>4</v>
      </c>
      <c r="M1655" s="230">
        <f>(FME_Ranking1[[#This Row],[Res Structures Raw]]/L$2)*100</f>
        <v>2.833222365457353E-3</v>
      </c>
      <c r="N1655" s="180">
        <f>FME_Ranking1[[#This Row],[Res Structures Score (Normalized, Unweighted)]]*$L$3</f>
        <v>2.8332223654573533E-4</v>
      </c>
      <c r="O1655" s="244">
        <f>_xlfn.XLOOKUP(FME_Ranking1[[#This Row],[FME ID]],FME_Input[FME_ID],FME_Input[POP100])</f>
        <v>7</v>
      </c>
      <c r="P1655" s="178">
        <f>(FME_Ranking1[[#This Row],[Pop Raw]]/$O$2)*100</f>
        <v>7.1662718392134295E-4</v>
      </c>
      <c r="Q1655" s="178">
        <f>FME_Ranking1[[#This Row],[Pop Score (Normalized, Unweighted)]]*$O$3</f>
        <v>1.0749407758820145E-4</v>
      </c>
      <c r="R1655" s="137">
        <f>_xlfn.XLOOKUP(FME_Ranking1[[#This Row],[FME ID]],FME_Input[FME_ID],FME_Input[CRITFAC100])</f>
        <v>0</v>
      </c>
      <c r="S1655" s="230">
        <f>(FME_Ranking1[[#This Row],[Critical Facilities Raw]]/$R$2)*100</f>
        <v>0</v>
      </c>
      <c r="T1655" s="180">
        <f>FME_Ranking1[[#This Row],[Critical Facilities Score (Normalized, Unweighted)]]*$R$3</f>
        <v>0</v>
      </c>
      <c r="U1655">
        <f>_xlfn.XLOOKUP(FME_Ranking1[[#This Row],[FME ID]],FME_Input[FME_ID],FME_Input[LWC])</f>
        <v>1</v>
      </c>
      <c r="V1655" s="178">
        <f>(FME_Ranking1[[#This Row],[LWC Raw]]/$U$2)*100</f>
        <v>5.7570523891767422E-2</v>
      </c>
      <c r="W1655" s="178">
        <f>FME_Ranking1[[#This Row],[LWC Score (Normalized, Unweighted)]]*$U$3</f>
        <v>1.1514104778353485E-2</v>
      </c>
      <c r="X1655" s="246">
        <f>_xlfn.XLOOKUP(FME_Ranking1[[#This Row],[FME ID]],FME_Input[FME_ID],FME_Input[ROADCLS])</f>
        <v>0</v>
      </c>
      <c r="Y1655" s="230">
        <f>(FME_Ranking1[[#This Row],[Closures Raw]]/$X$2)*100</f>
        <v>0</v>
      </c>
      <c r="Z1655" s="180">
        <f>FME_Ranking1[[#This Row],[Closures Score (Normalized, Unweighted)]]*$X$3</f>
        <v>0</v>
      </c>
      <c r="AA1655" s="253">
        <f>_xlfn.XLOOKUP(FME_Ranking1[[#This Row],[FME ID]],FME_Input[FME_ID],FME_Input[ROAD_MILES100])</f>
        <v>9.9094696342945099E-2</v>
      </c>
      <c r="AB1655" s="178">
        <f>(FME_Ranking1[[#This Row],[Miles Raw]]/$AA$2)*100</f>
        <v>1.302917522227894E-3</v>
      </c>
      <c r="AC1655" s="178">
        <f>FME_Ranking1[[#This Row],[Miles Score (Normalized, Unweighted)]]*$AA$3</f>
        <v>1.3029175222278939E-4</v>
      </c>
      <c r="AD1655" s="255">
        <f>_xlfn.XLOOKUP(FME_Ranking1[[#This Row],[FME ID]],FME_Input[FME_ID],FME_Input[FARMACRE100])</f>
        <v>0</v>
      </c>
      <c r="AE1655" s="230">
        <f>(FME_Ranking1[[#This Row],[Ag Land Raw]]/$AD$2)*100</f>
        <v>0</v>
      </c>
      <c r="AF1655" s="231">
        <f>FME_Ranking1[[#This Row],[Ag Land Score (Normalized, Unweighted)]]*$AD$3</f>
        <v>0</v>
      </c>
      <c r="AG165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1.2356508308018268E-2</v>
      </c>
      <c r="AH1655" s="406">
        <f t="shared" si="25"/>
        <v>1693</v>
      </c>
      <c r="AI165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1.2356508308018268E-2</v>
      </c>
      <c r="AJ1655" s="257">
        <f>FME_Ranking1[[#This Row],[Addition check]]-FME_Ranking1[[#This Row],[Weighted Score Based on Normalized Reported Factors]]</f>
        <v>0</v>
      </c>
      <c r="AK1655" s="178">
        <f>_xlfn.RANK.EQ(AI1655,$AI$6:$AI$2341,0)+COUNTIF($AI$6:AI1655,AI1655)-1</f>
        <v>1693</v>
      </c>
    </row>
    <row r="1656" spans="1:37" x14ac:dyDescent="0.25">
      <c r="A1656" t="s">
        <v>1676</v>
      </c>
      <c r="B1656">
        <f>_xlfn.XLOOKUP(FME_Ranking1[[#This Row],[FME ID]],FME_Input[FME_ID],FME_Input[RFPG_NUM])</f>
        <v>6</v>
      </c>
      <c r="C1656" t="str">
        <f>_xlfn.XLOOKUP(FME_Ranking1[[#This Row],[FME ID]],FME_Input[FME_ID],FME_Input[FME_NAME])</f>
        <v>City of Morgan's Point  Master Drainage Plan</v>
      </c>
      <c r="D1656" t="str">
        <f>_xlfn.XLOOKUP(FME_Ranking1[[#This Row],[FME ID]],FME_Input[FME_ID],FME_Input[DESCR])</f>
        <v>Study to develop Master Drainage Plan using future and existing land use and flood/storm water drainage needs including Atlas 14 rainfall.</v>
      </c>
      <c r="E1656" s="256">
        <f>_xlfn.XLOOKUP(FME_Ranking1[[#This Row],[FME ID]],FME_Input[FME_ID],FME_Input[FME_COST])</f>
        <v>190000</v>
      </c>
      <c r="F1656" t="str">
        <f>_xlfn.XLOOKUP(FME_Ranking1[[#This Row],[FME ID]],FME_Input[FME_ID],FME_Input[EMER_NEED])</f>
        <v>Yes</v>
      </c>
      <c r="G1656">
        <f>IF(FME_Ranking!F1656="Yes",100,0)</f>
        <v>100</v>
      </c>
      <c r="H1656">
        <f>FME_Ranking1[[#This Row],[Emergency Need Score (Normalized, Unweighted)]]*$F$3</f>
        <v>0</v>
      </c>
      <c r="I1656" s="246">
        <f>_xlfn.XLOOKUP(FME_Ranking1[[#This Row],[FME ID]],FME_Input[FME_ID],FME_Input[STRUCT_100])</f>
        <v>48</v>
      </c>
      <c r="J1656" s="178">
        <f>(FME_Ranking1[[#This Row],[Structures 100 Raw]]/I$2)*100</f>
        <v>2.5703637064644645E-2</v>
      </c>
      <c r="K1656" s="178">
        <f>FME_Ranking1[[#This Row],[Structures 100  Score (Normalized, Unweighted)]]*$I$3</f>
        <v>3.8555455596966967E-3</v>
      </c>
      <c r="L1656" s="246">
        <f>_xlfn.XLOOKUP(FME_Ranking1[[#This Row],[FME ID]],FME_Input[FME_ID],FME_Input[RES_STRUCT100])</f>
        <v>46</v>
      </c>
      <c r="M1656" s="230">
        <f>(FME_Ranking1[[#This Row],[Res Structures Raw]]/L$2)*100</f>
        <v>3.2582057202759557E-2</v>
      </c>
      <c r="N1656" s="180">
        <f>FME_Ranking1[[#This Row],[Res Structures Score (Normalized, Unweighted)]]*$L$3</f>
        <v>3.2582057202759558E-3</v>
      </c>
      <c r="O1656" s="244">
        <f>_xlfn.XLOOKUP(FME_Ranking1[[#This Row],[FME ID]],FME_Input[FME_ID],FME_Input[POP100])</f>
        <v>330</v>
      </c>
      <c r="P1656" s="178">
        <f>(FME_Ranking1[[#This Row],[Pop Raw]]/$O$2)*100</f>
        <v>3.3783852956291882E-2</v>
      </c>
      <c r="Q1656" s="178">
        <f>FME_Ranking1[[#This Row],[Pop Score (Normalized, Unweighted)]]*$O$3</f>
        <v>5.0675779434437825E-3</v>
      </c>
      <c r="R1656" s="137">
        <f>_xlfn.XLOOKUP(FME_Ranking1[[#This Row],[FME ID]],FME_Input[FME_ID],FME_Input[CRITFAC100])</f>
        <v>0</v>
      </c>
      <c r="S1656" s="230">
        <f>(FME_Ranking1[[#This Row],[Critical Facilities Raw]]/$R$2)*100</f>
        <v>0</v>
      </c>
      <c r="T1656" s="180">
        <f>FME_Ranking1[[#This Row],[Critical Facilities Score (Normalized, Unweighted)]]*$R$3</f>
        <v>0</v>
      </c>
      <c r="U1656">
        <f>_xlfn.XLOOKUP(FME_Ranking1[[#This Row],[FME ID]],FME_Input[FME_ID],FME_Input[LWC])</f>
        <v>0</v>
      </c>
      <c r="V1656" s="178">
        <f>(FME_Ranking1[[#This Row],[LWC Raw]]/$U$2)*100</f>
        <v>0</v>
      </c>
      <c r="W1656" s="178">
        <f>FME_Ranking1[[#This Row],[LWC Score (Normalized, Unweighted)]]*$U$3</f>
        <v>0</v>
      </c>
      <c r="X1656" s="246">
        <f>_xlfn.XLOOKUP(FME_Ranking1[[#This Row],[FME ID]],FME_Input[FME_ID],FME_Input[ROADCLS])</f>
        <v>0</v>
      </c>
      <c r="Y1656" s="230">
        <f>(FME_Ranking1[[#This Row],[Closures Raw]]/$X$2)*100</f>
        <v>0</v>
      </c>
      <c r="Z1656" s="180">
        <f>FME_Ranking1[[#This Row],[Closures Score (Normalized, Unweighted)]]*$X$3</f>
        <v>0</v>
      </c>
      <c r="AA1656" s="253">
        <f>_xlfn.XLOOKUP(FME_Ranking1[[#This Row],[FME ID]],FME_Input[FME_ID],FME_Input[ROAD_MILES100])</f>
        <v>7.4120506644248962E-2</v>
      </c>
      <c r="AB1656" s="178">
        <f>(FME_Ranking1[[#This Row],[Miles Raw]]/$AA$2)*100</f>
        <v>9.7455172100213401E-4</v>
      </c>
      <c r="AC1656" s="178">
        <f>FME_Ranking1[[#This Row],[Miles Score (Normalized, Unweighted)]]*$AA$3</f>
        <v>9.7455172100213401E-5</v>
      </c>
      <c r="AD1656" s="255">
        <f>_xlfn.XLOOKUP(FME_Ranking1[[#This Row],[FME ID]],FME_Input[FME_ID],FME_Input[FARMACRE100])</f>
        <v>1.000524759292603</v>
      </c>
      <c r="AE1656" s="230">
        <f>(FME_Ranking1[[#This Row],[Ag Land Raw]]/$AD$2)*100</f>
        <v>4.1257162220450595E-5</v>
      </c>
      <c r="AF1656" s="231">
        <f>FME_Ranking1[[#This Row],[Ag Land Score (Normalized, Unweighted)]]*$AD$3</f>
        <v>2.0628581110225298E-6</v>
      </c>
      <c r="AG165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1.2280847253627672E-2</v>
      </c>
      <c r="AH1656" s="406">
        <f t="shared" si="25"/>
        <v>1694</v>
      </c>
      <c r="AI165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1.2280847253627672E-2</v>
      </c>
      <c r="AJ1656" s="257">
        <f>FME_Ranking1[[#This Row],[Addition check]]-FME_Ranking1[[#This Row],[Weighted Score Based on Normalized Reported Factors]]</f>
        <v>0</v>
      </c>
      <c r="AK1656" s="178">
        <f>_xlfn.RANK.EQ(AI1656,$AI$6:$AI$2341,0)+COUNTIF($AI$6:AI1656,AI1656)-1</f>
        <v>1694</v>
      </c>
    </row>
    <row r="1657" spans="1:37" x14ac:dyDescent="0.25">
      <c r="A1657" t="s">
        <v>10396</v>
      </c>
      <c r="B1657">
        <f>_xlfn.XLOOKUP(FME_Ranking1[[#This Row],[FME ID]],FME_Input[FME_ID],FME_Input[RFPG_NUM])</f>
        <v>13</v>
      </c>
      <c r="C1657" t="str">
        <f>_xlfn.XLOOKUP(FME_Ranking1[[#This Row],[FME ID]],FME_Input[FME_ID],FME_Input[FME_NAME])</f>
        <v>Corpus Christi Police Headquarters Flood Proofing</v>
      </c>
      <c r="D1657" t="str">
        <f>_xlfn.XLOOKUP(FME_Ranking1[[#This Row],[FME ID]],FME_Input[FME_ID],FME_Input[DESCR])</f>
        <v>COASTAL BEND MITIGATION ACTION PLAN - NU - 33 - The automatic generator transfer switch is located in a control room on the ground floor of the building, which is in an area vulnerable to street flooding. Project intends to elevate power transfer switch.</v>
      </c>
      <c r="E1657" s="256">
        <f>_xlfn.XLOOKUP(FME_Ranking1[[#This Row],[FME ID]],FME_Input[FME_ID],FME_Input[FME_COST])</f>
        <v>7000</v>
      </c>
      <c r="F1657" t="str">
        <f>_xlfn.XLOOKUP(FME_Ranking1[[#This Row],[FME ID]],FME_Input[FME_ID],FME_Input[EMER_NEED])</f>
        <v>Yes</v>
      </c>
      <c r="G1657">
        <f>IF(FME_Ranking!F1657="Yes",100,0)</f>
        <v>100</v>
      </c>
      <c r="H1657">
        <f>FME_Ranking1[[#This Row],[Emergency Need Score (Normalized, Unweighted)]]*$F$3</f>
        <v>0</v>
      </c>
      <c r="I1657" s="246">
        <f>_xlfn.XLOOKUP(FME_Ranking1[[#This Row],[FME ID]],FME_Input[FME_ID],FME_Input[STRUCT_100])</f>
        <v>1</v>
      </c>
      <c r="J1657" s="178">
        <f>(FME_Ranking1[[#This Row],[Structures 100 Raw]]/I$2)*100</f>
        <v>5.3549243884676355E-4</v>
      </c>
      <c r="K1657" s="178">
        <f>FME_Ranking1[[#This Row],[Structures 100  Score (Normalized, Unweighted)]]*$I$3</f>
        <v>8.0323865827014533E-5</v>
      </c>
      <c r="L1657" s="246">
        <f>_xlfn.XLOOKUP(FME_Ranking1[[#This Row],[FME ID]],FME_Input[FME_ID],FME_Input[RES_STRUCT100])</f>
        <v>0</v>
      </c>
      <c r="M1657" s="230">
        <f>(FME_Ranking1[[#This Row],[Res Structures Raw]]/L$2)*100</f>
        <v>0</v>
      </c>
      <c r="N1657" s="180">
        <f>FME_Ranking1[[#This Row],[Res Structures Score (Normalized, Unweighted)]]*$L$3</f>
        <v>0</v>
      </c>
      <c r="O1657" s="244">
        <f>_xlfn.XLOOKUP(FME_Ranking1[[#This Row],[FME ID]],FME_Input[FME_ID],FME_Input[POP100])</f>
        <v>229</v>
      </c>
      <c r="P1657" s="178">
        <f>(FME_Ranking1[[#This Row],[Pop Raw]]/$O$2)*100</f>
        <v>2.3443946445426793E-2</v>
      </c>
      <c r="Q1657" s="178">
        <f>FME_Ranking1[[#This Row],[Pop Score (Normalized, Unweighted)]]*$O$3</f>
        <v>3.5165919668140189E-3</v>
      </c>
      <c r="R1657" s="137">
        <f>_xlfn.XLOOKUP(FME_Ranking1[[#This Row],[FME ID]],FME_Input[FME_ID],FME_Input[CRITFAC100])</f>
        <v>1</v>
      </c>
      <c r="S1657" s="230">
        <f>(FME_Ranking1[[#This Row],[Critical Facilities Raw]]/$R$2)*100</f>
        <v>4.2881646655231559E-2</v>
      </c>
      <c r="T1657" s="180">
        <f>FME_Ranking1[[#This Row],[Critical Facilities Score (Normalized, Unweighted)]]*$R$3</f>
        <v>8.5763293310463125E-3</v>
      </c>
      <c r="U1657">
        <f>_xlfn.XLOOKUP(FME_Ranking1[[#This Row],[FME ID]],FME_Input[FME_ID],FME_Input[LWC])</f>
        <v>0</v>
      </c>
      <c r="V1657" s="178">
        <f>(FME_Ranking1[[#This Row],[LWC Raw]]/$U$2)*100</f>
        <v>0</v>
      </c>
      <c r="W1657" s="178">
        <f>FME_Ranking1[[#This Row],[LWC Score (Normalized, Unweighted)]]*$U$3</f>
        <v>0</v>
      </c>
      <c r="X1657" s="246">
        <f>_xlfn.XLOOKUP(FME_Ranking1[[#This Row],[FME ID]],FME_Input[FME_ID],FME_Input[ROADCLS])</f>
        <v>0</v>
      </c>
      <c r="Y1657" s="230">
        <f>(FME_Ranking1[[#This Row],[Closures Raw]]/$X$2)*100</f>
        <v>0</v>
      </c>
      <c r="Z1657" s="180">
        <f>FME_Ranking1[[#This Row],[Closures Score (Normalized, Unweighted)]]*$X$3</f>
        <v>0</v>
      </c>
      <c r="AA1657" s="253">
        <f>_xlfn.XLOOKUP(FME_Ranking1[[#This Row],[FME ID]],FME_Input[FME_ID],FME_Input[ROAD_MILES100])</f>
        <v>0</v>
      </c>
      <c r="AB1657" s="178">
        <f>(FME_Ranking1[[#This Row],[Miles Raw]]/$AA$2)*100</f>
        <v>0</v>
      </c>
      <c r="AC1657" s="178">
        <f>FME_Ranking1[[#This Row],[Miles Score (Normalized, Unweighted)]]*$AA$3</f>
        <v>0</v>
      </c>
      <c r="AD1657" s="255">
        <f>_xlfn.XLOOKUP(FME_Ranking1[[#This Row],[FME ID]],FME_Input[FME_ID],FME_Input[FARMACRE100])</f>
        <v>0</v>
      </c>
      <c r="AE1657" s="230">
        <f>(FME_Ranking1[[#This Row],[Ag Land Raw]]/$AD$2)*100</f>
        <v>0</v>
      </c>
      <c r="AF1657" s="231">
        <f>FME_Ranking1[[#This Row],[Ag Land Score (Normalized, Unweighted)]]*$AD$3</f>
        <v>0</v>
      </c>
      <c r="AG165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1.2173245163687346E-2</v>
      </c>
      <c r="AH1657" s="406">
        <f t="shared" si="25"/>
        <v>1700</v>
      </c>
      <c r="AI165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1.2173245163687346E-2</v>
      </c>
      <c r="AJ1657" s="257">
        <f>FME_Ranking1[[#This Row],[Addition check]]-FME_Ranking1[[#This Row],[Weighted Score Based on Normalized Reported Factors]]</f>
        <v>0</v>
      </c>
      <c r="AK1657" s="178">
        <f>_xlfn.RANK.EQ(AI1657,$AI$6:$AI$2341,0)+COUNTIF($AI$6:AI1657,AI1657)-1</f>
        <v>1700</v>
      </c>
    </row>
    <row r="1658" spans="1:37" x14ac:dyDescent="0.25">
      <c r="A1658" t="s">
        <v>8894</v>
      </c>
      <c r="B1658">
        <f>_xlfn.XLOOKUP(FME_Ranking1[[#This Row],[FME ID]],FME_Input[FME_ID],FME_Input[RFPG_NUM])</f>
        <v>11</v>
      </c>
      <c r="C1658" t="str">
        <f>_xlfn.XLOOKUP(FME_Ranking1[[#This Row],[FME ID]],FME_Input[FME_ID],FME_Input[FME_NAME])</f>
        <v>City of Wimberley FM 1492 at Pierce Creek Low Water Crossing Project Planning</v>
      </c>
      <c r="D1658" t="str">
        <f>_xlfn.XLOOKUP(FME_Ranking1[[#This Row],[FME ID]],FME_Input[FME_ID],FME_Input[DESCR])</f>
        <v>Project planning for proposed project to replace low water crossing at FM 1492 at Pierce Creek</v>
      </c>
      <c r="E1658" s="256">
        <f>_xlfn.XLOOKUP(FME_Ranking1[[#This Row],[FME ID]],FME_Input[FME_ID],FME_Input[FME_COST])</f>
        <v>100000</v>
      </c>
      <c r="F1658" t="str">
        <f>_xlfn.XLOOKUP(FME_Ranking1[[#This Row],[FME ID]],FME_Input[FME_ID],FME_Input[EMER_NEED])</f>
        <v>No</v>
      </c>
      <c r="G1658">
        <f>IF(FME_Ranking!F1658="Yes",100,0)</f>
        <v>0</v>
      </c>
      <c r="H1658">
        <f>FME_Ranking1[[#This Row],[Emergency Need Score (Normalized, Unweighted)]]*$F$3</f>
        <v>0</v>
      </c>
      <c r="I1658" s="246">
        <f>_xlfn.XLOOKUP(FME_Ranking1[[#This Row],[FME ID]],FME_Input[FME_ID],FME_Input[STRUCT_100])</f>
        <v>3</v>
      </c>
      <c r="J1658" s="178">
        <f>(FME_Ranking1[[#This Row],[Structures 100 Raw]]/I$2)*100</f>
        <v>1.6064773165402903E-3</v>
      </c>
      <c r="K1658" s="178">
        <f>FME_Ranking1[[#This Row],[Structures 100  Score (Normalized, Unweighted)]]*$I$3</f>
        <v>2.4097159748104354E-4</v>
      </c>
      <c r="L1658" s="246">
        <f>_xlfn.XLOOKUP(FME_Ranking1[[#This Row],[FME ID]],FME_Input[FME_ID],FME_Input[RES_STRUCT100])</f>
        <v>3</v>
      </c>
      <c r="M1658" s="230">
        <f>(FME_Ranking1[[#This Row],[Res Structures Raw]]/L$2)*100</f>
        <v>2.1249167740930146E-3</v>
      </c>
      <c r="N1658" s="180">
        <f>FME_Ranking1[[#This Row],[Res Structures Score (Normalized, Unweighted)]]*$L$3</f>
        <v>2.1249167740930149E-4</v>
      </c>
      <c r="O1658" s="244">
        <f>_xlfn.XLOOKUP(FME_Ranking1[[#This Row],[FME ID]],FME_Input[FME_ID],FME_Input[POP100])</f>
        <v>10</v>
      </c>
      <c r="P1658" s="178">
        <f>(FME_Ranking1[[#This Row],[Pop Raw]]/$O$2)*100</f>
        <v>1.0237531198876329E-3</v>
      </c>
      <c r="Q1658" s="178">
        <f>FME_Ranking1[[#This Row],[Pop Score (Normalized, Unweighted)]]*$O$3</f>
        <v>1.5356296798314494E-4</v>
      </c>
      <c r="R1658" s="137">
        <f>_xlfn.XLOOKUP(FME_Ranking1[[#This Row],[FME ID]],FME_Input[FME_ID],FME_Input[CRITFAC100])</f>
        <v>0</v>
      </c>
      <c r="S1658" s="230">
        <f>(FME_Ranking1[[#This Row],[Critical Facilities Raw]]/$R$2)*100</f>
        <v>0</v>
      </c>
      <c r="T1658" s="180">
        <f>FME_Ranking1[[#This Row],[Critical Facilities Score (Normalized, Unweighted)]]*$R$3</f>
        <v>0</v>
      </c>
      <c r="U1658">
        <f>_xlfn.XLOOKUP(FME_Ranking1[[#This Row],[FME ID]],FME_Input[FME_ID],FME_Input[LWC])</f>
        <v>1</v>
      </c>
      <c r="V1658" s="178">
        <f>(FME_Ranking1[[#This Row],[LWC Raw]]/$U$2)*100</f>
        <v>5.7570523891767422E-2</v>
      </c>
      <c r="W1658" s="178">
        <f>FME_Ranking1[[#This Row],[LWC Score (Normalized, Unweighted)]]*$U$3</f>
        <v>1.1514104778353485E-2</v>
      </c>
      <c r="X1658" s="246">
        <f>_xlfn.XLOOKUP(FME_Ranking1[[#This Row],[FME ID]],FME_Input[FME_ID],FME_Input[ROADCLS])</f>
        <v>0</v>
      </c>
      <c r="Y1658" s="230">
        <f>(FME_Ranking1[[#This Row],[Closures Raw]]/$X$2)*100</f>
        <v>0</v>
      </c>
      <c r="Z1658" s="180">
        <f>FME_Ranking1[[#This Row],[Closures Score (Normalized, Unweighted)]]*$X$3</f>
        <v>0</v>
      </c>
      <c r="AA1658" s="253">
        <f>_xlfn.XLOOKUP(FME_Ranking1[[#This Row],[FME ID]],FME_Input[FME_ID],FME_Input[ROAD_MILES100])</f>
        <v>6.6845312714576721E-2</v>
      </c>
      <c r="AB1658" s="178">
        <f>(FME_Ranking1[[#This Row],[Miles Raw]]/$AA$2)*100</f>
        <v>8.7889596949984052E-4</v>
      </c>
      <c r="AC1658" s="178">
        <f>FME_Ranking1[[#This Row],[Miles Score (Normalized, Unweighted)]]*$AA$3</f>
        <v>8.7889596949984058E-5</v>
      </c>
      <c r="AD1658" s="255">
        <f>_xlfn.XLOOKUP(FME_Ranking1[[#This Row],[FME ID]],FME_Input[FME_ID],FME_Input[FARMACRE100])</f>
        <v>0</v>
      </c>
      <c r="AE1658" s="230">
        <f>(FME_Ranking1[[#This Row],[Ag Land Raw]]/$AD$2)*100</f>
        <v>0</v>
      </c>
      <c r="AF1658" s="231">
        <f>FME_Ranking1[[#This Row],[Ag Land Score (Normalized, Unweighted)]]*$AD$3</f>
        <v>0</v>
      </c>
      <c r="AG165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1.2209020618176959E-2</v>
      </c>
      <c r="AH1658" s="406">
        <f t="shared" si="25"/>
        <v>1697</v>
      </c>
      <c r="AI165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1.2209020618176959E-2</v>
      </c>
      <c r="AJ1658" s="257">
        <f>FME_Ranking1[[#This Row],[Addition check]]-FME_Ranking1[[#This Row],[Weighted Score Based on Normalized Reported Factors]]</f>
        <v>0</v>
      </c>
      <c r="AK1658" s="178">
        <f>_xlfn.RANK.EQ(AI1658,$AI$6:$AI$2341,0)+COUNTIF($AI$6:AI1658,AI1658)-1</f>
        <v>1697</v>
      </c>
    </row>
    <row r="1659" spans="1:37" x14ac:dyDescent="0.25">
      <c r="A1659" t="s">
        <v>3099</v>
      </c>
      <c r="B1659">
        <f>_xlfn.XLOOKUP(FME_Ranking1[[#This Row],[FME ID]],FME_Input[FME_ID],FME_Input[RFPG_NUM])</f>
        <v>1</v>
      </c>
      <c r="C1659" t="str">
        <f>_xlfn.XLOOKUP(FME_Ranking1[[#This Row],[FME ID]],FME_Input[FME_ID],FME_Input[FME_NAME])</f>
        <v>Scotland City Drainage Master Plan</v>
      </c>
      <c r="D1659" t="str">
        <f>_xlfn.XLOOKUP(FME_Ranking1[[#This Row],[FME ID]],FME_Input[FME_ID],FME_Input[DESCR])</f>
        <v xml:space="preserve">Perform H&amp;H modeling, develop conceptual alternatives and OPCC, and rank projects; selected based on HMAPs </v>
      </c>
      <c r="E1659" s="256">
        <f>_xlfn.XLOOKUP(FME_Ranking1[[#This Row],[FME ID]],FME_Input[FME_ID],FME_Input[FME_COST])</f>
        <v>250000</v>
      </c>
      <c r="F1659" t="str">
        <f>_xlfn.XLOOKUP(FME_Ranking1[[#This Row],[FME ID]],FME_Input[FME_ID],FME_Input[EMER_NEED])</f>
        <v>No</v>
      </c>
      <c r="G1659">
        <f>IF(FME_Ranking!F1659="Yes",100,0)</f>
        <v>0</v>
      </c>
      <c r="H1659">
        <f>FME_Ranking1[[#This Row],[Emergency Need Score (Normalized, Unweighted)]]*$F$3</f>
        <v>0</v>
      </c>
      <c r="I1659" s="246">
        <f>_xlfn.XLOOKUP(FME_Ranking1[[#This Row],[FME ID]],FME_Input[FME_ID],FME_Input[STRUCT_100])</f>
        <v>0</v>
      </c>
      <c r="J1659" s="178">
        <f>(FME_Ranking1[[#This Row],[Structures 100 Raw]]/I$2)*100</f>
        <v>0</v>
      </c>
      <c r="K1659" s="178">
        <f>FME_Ranking1[[#This Row],[Structures 100  Score (Normalized, Unweighted)]]*$I$3</f>
        <v>0</v>
      </c>
      <c r="L1659" s="246">
        <f>_xlfn.XLOOKUP(FME_Ranking1[[#This Row],[FME ID]],FME_Input[FME_ID],FME_Input[RES_STRUCT100])</f>
        <v>0</v>
      </c>
      <c r="M1659" s="230">
        <f>(FME_Ranking1[[#This Row],[Res Structures Raw]]/L$2)*100</f>
        <v>0</v>
      </c>
      <c r="N1659" s="180">
        <f>FME_Ranking1[[#This Row],[Res Structures Score (Normalized, Unweighted)]]*$L$3</f>
        <v>0</v>
      </c>
      <c r="O1659" s="244">
        <f>_xlfn.XLOOKUP(FME_Ranking1[[#This Row],[FME ID]],FME_Input[FME_ID],FME_Input[POP100])</f>
        <v>0</v>
      </c>
      <c r="P1659" s="178">
        <f>(FME_Ranking1[[#This Row],[Pop Raw]]/$O$2)*100</f>
        <v>0</v>
      </c>
      <c r="Q1659" s="178">
        <f>FME_Ranking1[[#This Row],[Pop Score (Normalized, Unweighted)]]*$O$3</f>
        <v>0</v>
      </c>
      <c r="R1659" s="137">
        <f>_xlfn.XLOOKUP(FME_Ranking1[[#This Row],[FME ID]],FME_Input[FME_ID],FME_Input[CRITFAC100])</f>
        <v>0</v>
      </c>
      <c r="S1659" s="230">
        <f>(FME_Ranking1[[#This Row],[Critical Facilities Raw]]/$R$2)*100</f>
        <v>0</v>
      </c>
      <c r="T1659" s="180">
        <f>FME_Ranking1[[#This Row],[Critical Facilities Score (Normalized, Unweighted)]]*$R$3</f>
        <v>0</v>
      </c>
      <c r="U1659">
        <f>_xlfn.XLOOKUP(FME_Ranking1[[#This Row],[FME ID]],FME_Input[FME_ID],FME_Input[LWC])</f>
        <v>1</v>
      </c>
      <c r="V1659" s="178">
        <f>(FME_Ranking1[[#This Row],[LWC Raw]]/$U$2)*100</f>
        <v>5.7570523891767422E-2</v>
      </c>
      <c r="W1659" s="178">
        <f>FME_Ranking1[[#This Row],[LWC Score (Normalized, Unweighted)]]*$U$3</f>
        <v>1.1514104778353485E-2</v>
      </c>
      <c r="X1659" s="246">
        <f>_xlfn.XLOOKUP(FME_Ranking1[[#This Row],[FME ID]],FME_Input[FME_ID],FME_Input[ROADCLS])</f>
        <v>1</v>
      </c>
      <c r="Y1659" s="230">
        <f>(FME_Ranking1[[#This Row],[Closures Raw]]/$X$2)*100</f>
        <v>1.0514141520344864E-2</v>
      </c>
      <c r="Z1659" s="180">
        <f>FME_Ranking1[[#This Row],[Closures Score (Normalized, Unweighted)]]*$X$3</f>
        <v>5.2570707601724321E-4</v>
      </c>
      <c r="AA1659" s="253">
        <f>_xlfn.XLOOKUP(FME_Ranking1[[#This Row],[FME ID]],FME_Input[FME_ID],FME_Input[ROAD_MILES100])</f>
        <v>0.46882602572441101</v>
      </c>
      <c r="AB1659" s="178">
        <f>(FME_Ranking1[[#This Row],[Miles Raw]]/$AA$2)*100</f>
        <v>6.1642213593229144E-3</v>
      </c>
      <c r="AC1659" s="178">
        <f>FME_Ranking1[[#This Row],[Miles Score (Normalized, Unweighted)]]*$AA$3</f>
        <v>6.1642213593229151E-4</v>
      </c>
      <c r="AD1659" s="255">
        <f>_xlfn.XLOOKUP(FME_Ranking1[[#This Row],[FME ID]],FME_Input[FME_ID],FME_Input[FARMACRE100])</f>
        <v>27.250883102416989</v>
      </c>
      <c r="AE1659" s="230">
        <f>(FME_Ranking1[[#This Row],[Ag Land Raw]]/$AD$2)*100</f>
        <v>1.1237044304649281E-3</v>
      </c>
      <c r="AF1659" s="231">
        <f>FME_Ranking1[[#This Row],[Ag Land Score (Normalized, Unweighted)]]*$AD$3</f>
        <v>5.6185221523246407E-5</v>
      </c>
      <c r="AG165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1.2712419211826266E-2</v>
      </c>
      <c r="AH1659" s="406">
        <f t="shared" si="25"/>
        <v>1677</v>
      </c>
      <c r="AI165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1.2712419211826266E-2</v>
      </c>
      <c r="AJ1659" s="257">
        <f>FME_Ranking1[[#This Row],[Addition check]]-FME_Ranking1[[#This Row],[Weighted Score Based on Normalized Reported Factors]]</f>
        <v>0</v>
      </c>
      <c r="AK1659" s="178">
        <f>_xlfn.RANK.EQ(AI1659,$AI$6:$AI$2341,0)+COUNTIF($AI$6:AI1659,AI1659)-1</f>
        <v>1677</v>
      </c>
    </row>
    <row r="1660" spans="1:37" x14ac:dyDescent="0.25">
      <c r="A1660" t="s">
        <v>8472</v>
      </c>
      <c r="B1660">
        <f>_xlfn.XLOOKUP(FME_Ranking1[[#This Row],[FME ID]],FME_Input[FME_ID],FME_Input[RFPG_NUM])</f>
        <v>10</v>
      </c>
      <c r="C1660" t="str">
        <f>_xlfn.XLOOKUP(FME_Ranking1[[#This Row],[FME ID]],FME_Input[FME_ID],FME_Input[FME_NAME])</f>
        <v>Highland Hills Crossing Improvements Project Planning</v>
      </c>
      <c r="D1660" t="str">
        <f>_xlfn.XLOOKUP(FME_Ranking1[[#This Row],[FME ID]],FME_Input[FME_ID],FME_Input[DESCR])</f>
        <v>Project planning for project to upgrade the low crossing to reduce the frequency and depth of inundation and improve public safety. Develop technical data required for FMP.</v>
      </c>
      <c r="E1660" s="256">
        <f>_xlfn.XLOOKUP(FME_Ranking1[[#This Row],[FME ID]],FME_Input[FME_ID],FME_Input[FME_COST])</f>
        <v>150000</v>
      </c>
      <c r="F1660" t="str">
        <f>_xlfn.XLOOKUP(FME_Ranking1[[#This Row],[FME ID]],FME_Input[FME_ID],FME_Input[EMER_NEED])</f>
        <v>No</v>
      </c>
      <c r="G1660">
        <f>IF(FME_Ranking!F1660="Yes",100,0)</f>
        <v>0</v>
      </c>
      <c r="H1660">
        <f>FME_Ranking1[[#This Row],[Emergency Need Score (Normalized, Unweighted)]]*$F$3</f>
        <v>0</v>
      </c>
      <c r="I1660" s="246">
        <f>_xlfn.XLOOKUP(FME_Ranking1[[#This Row],[FME ID]],FME_Input[FME_ID],FME_Input[STRUCT_100])</f>
        <v>3</v>
      </c>
      <c r="J1660" s="178">
        <f>(FME_Ranking1[[#This Row],[Structures 100 Raw]]/I$2)*100</f>
        <v>1.6064773165402903E-3</v>
      </c>
      <c r="K1660" s="178">
        <f>FME_Ranking1[[#This Row],[Structures 100  Score (Normalized, Unweighted)]]*$I$3</f>
        <v>2.4097159748104354E-4</v>
      </c>
      <c r="L1660" s="246">
        <f>_xlfn.XLOOKUP(FME_Ranking1[[#This Row],[FME ID]],FME_Input[FME_ID],FME_Input[RES_STRUCT100])</f>
        <v>3</v>
      </c>
      <c r="M1660" s="230">
        <f>(FME_Ranking1[[#This Row],[Res Structures Raw]]/L$2)*100</f>
        <v>2.1249167740930146E-3</v>
      </c>
      <c r="N1660" s="180">
        <f>FME_Ranking1[[#This Row],[Res Structures Score (Normalized, Unweighted)]]*$L$3</f>
        <v>2.1249167740930149E-4</v>
      </c>
      <c r="O1660" s="244">
        <f>_xlfn.XLOOKUP(FME_Ranking1[[#This Row],[FME ID]],FME_Input[FME_ID],FME_Input[POP100])</f>
        <v>8</v>
      </c>
      <c r="P1660" s="178">
        <f>(FME_Ranking1[[#This Row],[Pop Raw]]/$O$2)*100</f>
        <v>8.1900249591010626E-4</v>
      </c>
      <c r="Q1660" s="178">
        <f>FME_Ranking1[[#This Row],[Pop Score (Normalized, Unweighted)]]*$O$3</f>
        <v>1.2285037438651593E-4</v>
      </c>
      <c r="R1660" s="137">
        <f>_xlfn.XLOOKUP(FME_Ranking1[[#This Row],[FME ID]],FME_Input[FME_ID],FME_Input[CRITFAC100])</f>
        <v>0</v>
      </c>
      <c r="S1660" s="230">
        <f>(FME_Ranking1[[#This Row],[Critical Facilities Raw]]/$R$2)*100</f>
        <v>0</v>
      </c>
      <c r="T1660" s="180">
        <f>FME_Ranking1[[#This Row],[Critical Facilities Score (Normalized, Unweighted)]]*$R$3</f>
        <v>0</v>
      </c>
      <c r="U1660">
        <f>_xlfn.XLOOKUP(FME_Ranking1[[#This Row],[FME ID]],FME_Input[FME_ID],FME_Input[LWC])</f>
        <v>1</v>
      </c>
      <c r="V1660" s="178">
        <f>(FME_Ranking1[[#This Row],[LWC Raw]]/$U$2)*100</f>
        <v>5.7570523891767422E-2</v>
      </c>
      <c r="W1660" s="178">
        <f>FME_Ranking1[[#This Row],[LWC Score (Normalized, Unweighted)]]*$U$3</f>
        <v>1.1514104778353485E-2</v>
      </c>
      <c r="X1660" s="246">
        <f>_xlfn.XLOOKUP(FME_Ranking1[[#This Row],[FME ID]],FME_Input[FME_ID],FME_Input[ROADCLS])</f>
        <v>0</v>
      </c>
      <c r="Y1660" s="230">
        <f>(FME_Ranking1[[#This Row],[Closures Raw]]/$X$2)*100</f>
        <v>0</v>
      </c>
      <c r="Z1660" s="180">
        <f>FME_Ranking1[[#This Row],[Closures Score (Normalized, Unweighted)]]*$X$3</f>
        <v>0</v>
      </c>
      <c r="AA1660" s="253">
        <f>_xlfn.XLOOKUP(FME_Ranking1[[#This Row],[FME ID]],FME_Input[FME_ID],FME_Input[ROAD_MILES100])</f>
        <v>2.3240832611918449E-2</v>
      </c>
      <c r="AB1660" s="178">
        <f>(FME_Ranking1[[#This Row],[Miles Raw]]/$AA$2)*100</f>
        <v>3.0557526445652031E-4</v>
      </c>
      <c r="AC1660" s="178">
        <f>FME_Ranking1[[#This Row],[Miles Score (Normalized, Unweighted)]]*$AA$3</f>
        <v>3.0557526445652031E-5</v>
      </c>
      <c r="AD1660" s="255">
        <f>_xlfn.XLOOKUP(FME_Ranking1[[#This Row],[FME ID]],FME_Input[FME_ID],FME_Input[FARMACRE100])</f>
        <v>1.288966059684753</v>
      </c>
      <c r="AE1660" s="230">
        <f>(FME_Ranking1[[#This Row],[Ag Land Raw]]/$AD$2)*100</f>
        <v>5.3151190240077468E-5</v>
      </c>
      <c r="AF1660" s="231">
        <f>FME_Ranking1[[#This Row],[Ag Land Score (Normalized, Unweighted)]]*$AD$3</f>
        <v>2.6575595120038738E-6</v>
      </c>
      <c r="AG166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1.2123633513588002E-2</v>
      </c>
      <c r="AH1660" s="406">
        <f t="shared" si="25"/>
        <v>1707</v>
      </c>
      <c r="AI166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1.2123633513588002E-2</v>
      </c>
      <c r="AJ1660" s="257">
        <f>FME_Ranking1[[#This Row],[Addition check]]-FME_Ranking1[[#This Row],[Weighted Score Based on Normalized Reported Factors]]</f>
        <v>0</v>
      </c>
      <c r="AK1660" s="178">
        <f>_xlfn.RANK.EQ(AI1660,$AI$6:$AI$2341,0)+COUNTIF($AI$6:AI1660,AI1660)-1</f>
        <v>1707</v>
      </c>
    </row>
    <row r="1661" spans="1:37" x14ac:dyDescent="0.25">
      <c r="A1661" t="s">
        <v>8338</v>
      </c>
      <c r="B1661">
        <f>_xlfn.XLOOKUP(FME_Ranking1[[#This Row],[FME ID]],FME_Input[FME_ID],FME_Input[RFPG_NUM])</f>
        <v>9</v>
      </c>
      <c r="C1661" t="str">
        <f>_xlfn.XLOOKUP(FME_Ranking1[[#This Row],[FME ID]],FME_Input[FME_ID],FME_Input[FME_NAME])</f>
        <v>San Angelo Sunset Lake Flooding Improvement</v>
      </c>
      <c r="D1661" t="str">
        <f>_xlfn.XLOOKUP(FME_Ranking1[[#This Row],[FME ID]],FME_Input[FME_ID],FME_Input[DESCR])</f>
        <v>Evaluate the increase in flood water surface. Analyize the flood pool level for Sunset Lake. Review the outlet structures, over flow points, and the excessive 70,000 cu yds of requireded dredging. Restore or improve lake levels to FEMA FIS studies.</v>
      </c>
      <c r="E1661" s="256">
        <f>_xlfn.XLOOKUP(FME_Ranking1[[#This Row],[FME ID]],FME_Input[FME_ID],FME_Input[FME_COST])</f>
        <v>100000</v>
      </c>
      <c r="F1661" t="str">
        <f>_xlfn.XLOOKUP(FME_Ranking1[[#This Row],[FME ID]],FME_Input[FME_ID],FME_Input[EMER_NEED])</f>
        <v>Yes</v>
      </c>
      <c r="G1661">
        <f>IF(FME_Ranking!F1661="Yes",100,0)</f>
        <v>100</v>
      </c>
      <c r="H1661">
        <f>FME_Ranking1[[#This Row],[Emergency Need Score (Normalized, Unweighted)]]*$F$3</f>
        <v>0</v>
      </c>
      <c r="I1661" s="246">
        <f>_xlfn.XLOOKUP(FME_Ranking1[[#This Row],[FME ID]],FME_Input[FME_ID],FME_Input[STRUCT_100])</f>
        <v>7</v>
      </c>
      <c r="J1661" s="178">
        <f>(FME_Ranking1[[#This Row],[Structures 100 Raw]]/I$2)*100</f>
        <v>3.7484470719273445E-3</v>
      </c>
      <c r="K1661" s="178">
        <f>FME_Ranking1[[#This Row],[Structures 100  Score (Normalized, Unweighted)]]*$I$3</f>
        <v>5.622670607891017E-4</v>
      </c>
      <c r="L1661" s="246">
        <f>_xlfn.XLOOKUP(FME_Ranking1[[#This Row],[FME ID]],FME_Input[FME_ID],FME_Input[RES_STRUCT100])</f>
        <v>0</v>
      </c>
      <c r="M1661" s="230">
        <f>(FME_Ranking1[[#This Row],[Res Structures Raw]]/L$2)*100</f>
        <v>0</v>
      </c>
      <c r="N1661" s="180">
        <f>FME_Ranking1[[#This Row],[Res Structures Score (Normalized, Unweighted)]]*$L$3</f>
        <v>0</v>
      </c>
      <c r="O1661" s="244">
        <f>_xlfn.XLOOKUP(FME_Ranking1[[#This Row],[FME ID]],FME_Input[FME_ID],FME_Input[POP100])</f>
        <v>0</v>
      </c>
      <c r="P1661" s="178">
        <f>(FME_Ranking1[[#This Row],[Pop Raw]]/$O$2)*100</f>
        <v>0</v>
      </c>
      <c r="Q1661" s="178">
        <f>FME_Ranking1[[#This Row],[Pop Score (Normalized, Unweighted)]]*$O$3</f>
        <v>0</v>
      </c>
      <c r="R1661" s="137">
        <f>_xlfn.XLOOKUP(FME_Ranking1[[#This Row],[FME ID]],FME_Input[FME_ID],FME_Input[CRITFAC100])</f>
        <v>0</v>
      </c>
      <c r="S1661" s="230">
        <f>(FME_Ranking1[[#This Row],[Critical Facilities Raw]]/$R$2)*100</f>
        <v>0</v>
      </c>
      <c r="T1661" s="180">
        <f>FME_Ranking1[[#This Row],[Critical Facilities Score (Normalized, Unweighted)]]*$R$3</f>
        <v>0</v>
      </c>
      <c r="U1661">
        <f>_xlfn.XLOOKUP(FME_Ranking1[[#This Row],[FME ID]],FME_Input[FME_ID],FME_Input[LWC])</f>
        <v>1</v>
      </c>
      <c r="V1661" s="178">
        <f>(FME_Ranking1[[#This Row],[LWC Raw]]/$U$2)*100</f>
        <v>5.7570523891767422E-2</v>
      </c>
      <c r="W1661" s="178">
        <f>FME_Ranking1[[#This Row],[LWC Score (Normalized, Unweighted)]]*$U$3</f>
        <v>1.1514104778353485E-2</v>
      </c>
      <c r="X1661" s="246">
        <f>_xlfn.XLOOKUP(FME_Ranking1[[#This Row],[FME ID]],FME_Input[FME_ID],FME_Input[ROADCLS])</f>
        <v>0</v>
      </c>
      <c r="Y1661" s="230">
        <f>(FME_Ranking1[[#This Row],[Closures Raw]]/$X$2)*100</f>
        <v>0</v>
      </c>
      <c r="Z1661" s="180">
        <f>FME_Ranking1[[#This Row],[Closures Score (Normalized, Unweighted)]]*$X$3</f>
        <v>0</v>
      </c>
      <c r="AA1661" s="253">
        <f>_xlfn.XLOOKUP(FME_Ranking1[[#This Row],[FME ID]],FME_Input[FME_ID],FME_Input[ROAD_MILES100])</f>
        <v>0</v>
      </c>
      <c r="AB1661" s="178">
        <f>(FME_Ranking1[[#This Row],[Miles Raw]]/$AA$2)*100</f>
        <v>0</v>
      </c>
      <c r="AC1661" s="178">
        <f>FME_Ranking1[[#This Row],[Miles Score (Normalized, Unweighted)]]*$AA$3</f>
        <v>0</v>
      </c>
      <c r="AD1661" s="255">
        <f>_xlfn.XLOOKUP(FME_Ranking1[[#This Row],[FME ID]],FME_Input[FME_ID],FME_Input[FARMACRE100])</f>
        <v>0</v>
      </c>
      <c r="AE1661" s="230">
        <f>(FME_Ranking1[[#This Row],[Ag Land Raw]]/$AD$2)*100</f>
        <v>0</v>
      </c>
      <c r="AF1661" s="231">
        <f>FME_Ranking1[[#This Row],[Ag Land Score (Normalized, Unweighted)]]*$AD$3</f>
        <v>0</v>
      </c>
      <c r="AG166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1.2076371839142586E-2</v>
      </c>
      <c r="AH1661" s="406">
        <f t="shared" si="25"/>
        <v>1709</v>
      </c>
      <c r="AI166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1.2076371839142586E-2</v>
      </c>
      <c r="AJ1661" s="257">
        <f>FME_Ranking1[[#This Row],[Addition check]]-FME_Ranking1[[#This Row],[Weighted Score Based on Normalized Reported Factors]]</f>
        <v>0</v>
      </c>
      <c r="AK1661" s="178">
        <f>_xlfn.RANK.EQ(AI1661,$AI$6:$AI$2341,0)+COUNTIF($AI$6:AI1661,AI1661)-1</f>
        <v>1709</v>
      </c>
    </row>
    <row r="1662" spans="1:37" x14ac:dyDescent="0.25">
      <c r="A1662" t="s">
        <v>8345</v>
      </c>
      <c r="B1662">
        <f>_xlfn.XLOOKUP(FME_Ranking1[[#This Row],[FME ID]],FME_Input[FME_ID],FME_Input[RFPG_NUM])</f>
        <v>9</v>
      </c>
      <c r="C1662" t="str">
        <f>_xlfn.XLOOKUP(FME_Ranking1[[#This Row],[FME ID]],FME_Input[FME_ID],FME_Input[FME_NAME])</f>
        <v xml:space="preserve">Southwest Blvd Channel Widening </v>
      </c>
      <c r="D1662" t="str">
        <f>_xlfn.XLOOKUP(FME_Ranking1[[#This Row],[FME ID]],FME_Input[FME_ID],FME_Input[DESCR])</f>
        <v xml:space="preserve">Widen channel from just upstream of Loop 306 to just downstream of Southwest Blvd.  Install a 300 flood bridge with high chord of 1888msl.  Install storm drain line in Southwest Blvd.  </v>
      </c>
      <c r="E1662" s="256">
        <f>_xlfn.XLOOKUP(FME_Ranking1[[#This Row],[FME ID]],FME_Input[FME_ID],FME_Input[FME_COST])</f>
        <v>25000</v>
      </c>
      <c r="F1662" t="str">
        <f>_xlfn.XLOOKUP(FME_Ranking1[[#This Row],[FME ID]],FME_Input[FME_ID],FME_Input[EMER_NEED])</f>
        <v>No</v>
      </c>
      <c r="G1662">
        <f>IF(FME_Ranking!F1662="Yes",100,0)</f>
        <v>0</v>
      </c>
      <c r="H1662">
        <f>FME_Ranking1[[#This Row],[Emergency Need Score (Normalized, Unweighted)]]*$F$3</f>
        <v>0</v>
      </c>
      <c r="I1662" s="246">
        <f>_xlfn.XLOOKUP(FME_Ranking1[[#This Row],[FME ID]],FME_Input[FME_ID],FME_Input[STRUCT_100])</f>
        <v>7</v>
      </c>
      <c r="J1662" s="178">
        <f>(FME_Ranking1[[#This Row],[Structures 100 Raw]]/I$2)*100</f>
        <v>3.7484470719273445E-3</v>
      </c>
      <c r="K1662" s="178">
        <f>FME_Ranking1[[#This Row],[Structures 100  Score (Normalized, Unweighted)]]*$I$3</f>
        <v>5.622670607891017E-4</v>
      </c>
      <c r="L1662" s="246">
        <f>_xlfn.XLOOKUP(FME_Ranking1[[#This Row],[FME ID]],FME_Input[FME_ID],FME_Input[RES_STRUCT100])</f>
        <v>0</v>
      </c>
      <c r="M1662" s="230">
        <f>(FME_Ranking1[[#This Row],[Res Structures Raw]]/L$2)*100</f>
        <v>0</v>
      </c>
      <c r="N1662" s="180">
        <f>FME_Ranking1[[#This Row],[Res Structures Score (Normalized, Unweighted)]]*$L$3</f>
        <v>0</v>
      </c>
      <c r="O1662" s="244">
        <f>_xlfn.XLOOKUP(FME_Ranking1[[#This Row],[FME ID]],FME_Input[FME_ID],FME_Input[POP100])</f>
        <v>0</v>
      </c>
      <c r="P1662" s="178">
        <f>(FME_Ranking1[[#This Row],[Pop Raw]]/$O$2)*100</f>
        <v>0</v>
      </c>
      <c r="Q1662" s="178">
        <f>FME_Ranking1[[#This Row],[Pop Score (Normalized, Unweighted)]]*$O$3</f>
        <v>0</v>
      </c>
      <c r="R1662" s="137">
        <f>_xlfn.XLOOKUP(FME_Ranking1[[#This Row],[FME ID]],FME_Input[FME_ID],FME_Input[CRITFAC100])</f>
        <v>0</v>
      </c>
      <c r="S1662" s="230">
        <f>(FME_Ranking1[[#This Row],[Critical Facilities Raw]]/$R$2)*100</f>
        <v>0</v>
      </c>
      <c r="T1662" s="180">
        <f>FME_Ranking1[[#This Row],[Critical Facilities Score (Normalized, Unweighted)]]*$R$3</f>
        <v>0</v>
      </c>
      <c r="U1662">
        <f>_xlfn.XLOOKUP(FME_Ranking1[[#This Row],[FME ID]],FME_Input[FME_ID],FME_Input[LWC])</f>
        <v>1</v>
      </c>
      <c r="V1662" s="178">
        <f>(FME_Ranking1[[#This Row],[LWC Raw]]/$U$2)*100</f>
        <v>5.7570523891767422E-2</v>
      </c>
      <c r="W1662" s="178">
        <f>FME_Ranking1[[#This Row],[LWC Score (Normalized, Unweighted)]]*$U$3</f>
        <v>1.1514104778353485E-2</v>
      </c>
      <c r="X1662" s="246">
        <f>_xlfn.XLOOKUP(FME_Ranking1[[#This Row],[FME ID]],FME_Input[FME_ID],FME_Input[ROADCLS])</f>
        <v>0</v>
      </c>
      <c r="Y1662" s="230">
        <f>(FME_Ranking1[[#This Row],[Closures Raw]]/$X$2)*100</f>
        <v>0</v>
      </c>
      <c r="Z1662" s="180">
        <f>FME_Ranking1[[#This Row],[Closures Score (Normalized, Unweighted)]]*$X$3</f>
        <v>0</v>
      </c>
      <c r="AA1662" s="253">
        <f>_xlfn.XLOOKUP(FME_Ranking1[[#This Row],[FME ID]],FME_Input[FME_ID],FME_Input[ROAD_MILES100])</f>
        <v>0</v>
      </c>
      <c r="AB1662" s="178">
        <f>(FME_Ranking1[[#This Row],[Miles Raw]]/$AA$2)*100</f>
        <v>0</v>
      </c>
      <c r="AC1662" s="178">
        <f>FME_Ranking1[[#This Row],[Miles Score (Normalized, Unweighted)]]*$AA$3</f>
        <v>0</v>
      </c>
      <c r="AD1662" s="255">
        <f>_xlfn.XLOOKUP(FME_Ranking1[[#This Row],[FME ID]],FME_Input[FME_ID],FME_Input[FARMACRE100])</f>
        <v>0</v>
      </c>
      <c r="AE1662" s="230">
        <f>(FME_Ranking1[[#This Row],[Ag Land Raw]]/$AD$2)*100</f>
        <v>0</v>
      </c>
      <c r="AF1662" s="231">
        <f>FME_Ranking1[[#This Row],[Ag Land Score (Normalized, Unweighted)]]*$AD$3</f>
        <v>0</v>
      </c>
      <c r="AG166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1.2076371839142586E-2</v>
      </c>
      <c r="AH1662" s="406">
        <f t="shared" si="25"/>
        <v>1709</v>
      </c>
      <c r="AI166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1.2076371839142586E-2</v>
      </c>
      <c r="AJ1662" s="257">
        <f>FME_Ranking1[[#This Row],[Addition check]]-FME_Ranking1[[#This Row],[Weighted Score Based on Normalized Reported Factors]]</f>
        <v>0</v>
      </c>
      <c r="AK1662" s="178">
        <f>_xlfn.RANK.EQ(AI1662,$AI$6:$AI$2341,0)+COUNTIF($AI$6:AI1662,AI1662)-1</f>
        <v>1710</v>
      </c>
    </row>
    <row r="1663" spans="1:37" x14ac:dyDescent="0.25">
      <c r="A1663" t="s">
        <v>9553</v>
      </c>
      <c r="B1663">
        <f>_xlfn.XLOOKUP(FME_Ranking1[[#This Row],[FME ID]],FME_Input[FME_ID],FME_Input[RFPG_NUM])</f>
        <v>12</v>
      </c>
      <c r="C1663" t="str">
        <f>_xlfn.XLOOKUP(FME_Ranking1[[#This Row],[FME ID]],FME_Input[FME_ID],FME_Input[FME_NAME])</f>
        <v>LWC at Old Fredericksburg Rd and Balcones Creek</v>
      </c>
      <c r="D1663" t="str">
        <f>_xlfn.XLOOKUP(FME_Ranking1[[#This Row],[FME ID]],FME_Input[FME_ID],FME_Input[DESCR])</f>
        <v>Improve the low water crossing at Old Fredericksburg Rd and Balcones Creek</v>
      </c>
      <c r="E1663" s="256">
        <f>_xlfn.XLOOKUP(FME_Ranking1[[#This Row],[FME ID]],FME_Input[FME_ID],FME_Input[FME_COST])</f>
        <v>100000</v>
      </c>
      <c r="F1663" t="str">
        <f>_xlfn.XLOOKUP(FME_Ranking1[[#This Row],[FME ID]],FME_Input[FME_ID],FME_Input[EMER_NEED])</f>
        <v>Yes</v>
      </c>
      <c r="G1663">
        <f>IF(FME_Ranking!F1663="Yes",100,0)</f>
        <v>100</v>
      </c>
      <c r="H1663">
        <f>FME_Ranking1[[#This Row],[Emergency Need Score (Normalized, Unweighted)]]*$F$3</f>
        <v>0</v>
      </c>
      <c r="I1663" s="246">
        <f>_xlfn.XLOOKUP(FME_Ranking1[[#This Row],[FME ID]],FME_Input[FME_ID],FME_Input[STRUCT_100])</f>
        <v>0</v>
      </c>
      <c r="J1663" s="178">
        <f>(FME_Ranking1[[#This Row],[Structures 100 Raw]]/I$2)*100</f>
        <v>0</v>
      </c>
      <c r="K1663" s="178">
        <f>FME_Ranking1[[#This Row],[Structures 100  Score (Normalized, Unweighted)]]*$I$3</f>
        <v>0</v>
      </c>
      <c r="L1663" s="246">
        <f>_xlfn.XLOOKUP(FME_Ranking1[[#This Row],[FME ID]],FME_Input[FME_ID],FME_Input[RES_STRUCT100])</f>
        <v>0</v>
      </c>
      <c r="M1663" s="230">
        <f>(FME_Ranking1[[#This Row],[Res Structures Raw]]/L$2)*100</f>
        <v>0</v>
      </c>
      <c r="N1663" s="180">
        <f>FME_Ranking1[[#This Row],[Res Structures Score (Normalized, Unweighted)]]*$L$3</f>
        <v>0</v>
      </c>
      <c r="O1663" s="244">
        <f>_xlfn.XLOOKUP(FME_Ranking1[[#This Row],[FME ID]],FME_Input[FME_ID],FME_Input[POP100])</f>
        <v>0</v>
      </c>
      <c r="P1663" s="178">
        <f>(FME_Ranking1[[#This Row],[Pop Raw]]/$O$2)*100</f>
        <v>0</v>
      </c>
      <c r="Q1663" s="178">
        <f>FME_Ranking1[[#This Row],[Pop Score (Normalized, Unweighted)]]*$O$3</f>
        <v>0</v>
      </c>
      <c r="R1663" s="137">
        <f>_xlfn.XLOOKUP(FME_Ranking1[[#This Row],[FME ID]],FME_Input[FME_ID],FME_Input[CRITFAC100])</f>
        <v>0</v>
      </c>
      <c r="S1663" s="230">
        <f>(FME_Ranking1[[#This Row],[Critical Facilities Raw]]/$R$2)*100</f>
        <v>0</v>
      </c>
      <c r="T1663" s="180">
        <f>FME_Ranking1[[#This Row],[Critical Facilities Score (Normalized, Unweighted)]]*$R$3</f>
        <v>0</v>
      </c>
      <c r="U1663">
        <f>_xlfn.XLOOKUP(FME_Ranking1[[#This Row],[FME ID]],FME_Input[FME_ID],FME_Input[LWC])</f>
        <v>1</v>
      </c>
      <c r="V1663" s="178">
        <f>(FME_Ranking1[[#This Row],[LWC Raw]]/$U$2)*100</f>
        <v>5.7570523891767422E-2</v>
      </c>
      <c r="W1663" s="178">
        <f>FME_Ranking1[[#This Row],[LWC Score (Normalized, Unweighted)]]*$U$3</f>
        <v>1.1514104778353485E-2</v>
      </c>
      <c r="X1663" s="246">
        <f>_xlfn.XLOOKUP(FME_Ranking1[[#This Row],[FME ID]],FME_Input[FME_ID],FME_Input[ROADCLS])</f>
        <v>1</v>
      </c>
      <c r="Y1663" s="230">
        <f>(FME_Ranking1[[#This Row],[Closures Raw]]/$X$2)*100</f>
        <v>1.0514141520344864E-2</v>
      </c>
      <c r="Z1663" s="180">
        <f>FME_Ranking1[[#This Row],[Closures Score (Normalized, Unweighted)]]*$X$3</f>
        <v>5.2570707601724321E-4</v>
      </c>
      <c r="AA1663" s="253">
        <f>_xlfn.XLOOKUP(FME_Ranking1[[#This Row],[FME ID]],FME_Input[FME_ID],FME_Input[ROAD_MILES100])</f>
        <v>0.11599999666213991</v>
      </c>
      <c r="AB1663" s="178">
        <f>(FME_Ranking1[[#This Row],[Miles Raw]]/$AA$2)*100</f>
        <v>1.5251919003457281E-3</v>
      </c>
      <c r="AC1663" s="178">
        <f>FME_Ranking1[[#This Row],[Miles Score (Normalized, Unweighted)]]*$AA$3</f>
        <v>1.5251919003457282E-4</v>
      </c>
      <c r="AD1663" s="255">
        <f>_xlfn.XLOOKUP(FME_Ranking1[[#This Row],[FME ID]],FME_Input[FME_ID],FME_Input[FARMACRE100])</f>
        <v>0.25911799073219299</v>
      </c>
      <c r="AE1663" s="230">
        <f>(FME_Ranking1[[#This Row],[Ag Land Raw]]/$AD$2)*100</f>
        <v>1.0684865995154125E-5</v>
      </c>
      <c r="AF1663" s="231">
        <f>FME_Ranking1[[#This Row],[Ag Land Score (Normalized, Unweighted)]]*$AD$3</f>
        <v>5.3424329975770628E-7</v>
      </c>
      <c r="AG166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1.2192865287705058E-2</v>
      </c>
      <c r="AH1663" s="406">
        <f t="shared" si="25"/>
        <v>1699</v>
      </c>
      <c r="AI166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1.2192865287705058E-2</v>
      </c>
      <c r="AJ1663" s="257">
        <f>FME_Ranking1[[#This Row],[Addition check]]-FME_Ranking1[[#This Row],[Weighted Score Based on Normalized Reported Factors]]</f>
        <v>0</v>
      </c>
      <c r="AK1663" s="178">
        <f>_xlfn.RANK.EQ(AI1663,$AI$6:$AI$2341,0)+COUNTIF($AI$6:AI1663,AI1663)-1</f>
        <v>1699</v>
      </c>
    </row>
    <row r="1664" spans="1:37" x14ac:dyDescent="0.25">
      <c r="A1664" t="s">
        <v>9176</v>
      </c>
      <c r="B1664">
        <f>_xlfn.XLOOKUP(FME_Ranking1[[#This Row],[FME ID]],FME_Input[FME_ID],FME_Input[RFPG_NUM])</f>
        <v>12</v>
      </c>
      <c r="C1664" t="str">
        <f>_xlfn.XLOOKUP(FME_Ranking1[[#This Row],[FME ID]],FME_Input[FME_ID],FME_Input[FME_NAME])</f>
        <v>Battle Intense  LWC Flow-activated Sensors</v>
      </c>
      <c r="D1664" t="str">
        <f>_xlfn.XLOOKUP(FME_Ranking1[[#This Row],[FME ID]],FME_Input[FME_ID],FME_Input[DESCR])</f>
        <v>Add flow-activated sensors and automated drop-down arms to close off a road when the water has surpassed the road.</v>
      </c>
      <c r="E1664" s="256">
        <f>_xlfn.XLOOKUP(FME_Ranking1[[#This Row],[FME ID]],FME_Input[FME_ID],FME_Input[FME_COST])</f>
        <v>179792</v>
      </c>
      <c r="F1664" t="str">
        <f>_xlfn.XLOOKUP(FME_Ranking1[[#This Row],[FME ID]],FME_Input[FME_ID],FME_Input[EMER_NEED])</f>
        <v>Yes</v>
      </c>
      <c r="G1664">
        <f>IF(FME_Ranking!F1664="Yes",100,0)</f>
        <v>100</v>
      </c>
      <c r="H1664">
        <f>FME_Ranking1[[#This Row],[Emergency Need Score (Normalized, Unweighted)]]*$F$3</f>
        <v>0</v>
      </c>
      <c r="I1664" s="246">
        <f>_xlfn.XLOOKUP(FME_Ranking1[[#This Row],[FME ID]],FME_Input[FME_ID],FME_Input[STRUCT_100])</f>
        <v>0</v>
      </c>
      <c r="J1664" s="178">
        <f>(FME_Ranking1[[#This Row],[Structures 100 Raw]]/I$2)*100</f>
        <v>0</v>
      </c>
      <c r="K1664" s="178">
        <f>FME_Ranking1[[#This Row],[Structures 100  Score (Normalized, Unweighted)]]*$I$3</f>
        <v>0</v>
      </c>
      <c r="L1664" s="246">
        <f>_xlfn.XLOOKUP(FME_Ranking1[[#This Row],[FME ID]],FME_Input[FME_ID],FME_Input[RES_STRUCT100])</f>
        <v>0</v>
      </c>
      <c r="M1664" s="230">
        <f>(FME_Ranking1[[#This Row],[Res Structures Raw]]/L$2)*100</f>
        <v>0</v>
      </c>
      <c r="N1664" s="180">
        <f>FME_Ranking1[[#This Row],[Res Structures Score (Normalized, Unweighted)]]*$L$3</f>
        <v>0</v>
      </c>
      <c r="O1664" s="244">
        <f>_xlfn.XLOOKUP(FME_Ranking1[[#This Row],[FME ID]],FME_Input[FME_ID],FME_Input[POP100])</f>
        <v>0</v>
      </c>
      <c r="P1664" s="178">
        <f>(FME_Ranking1[[#This Row],[Pop Raw]]/$O$2)*100</f>
        <v>0</v>
      </c>
      <c r="Q1664" s="178">
        <f>FME_Ranking1[[#This Row],[Pop Score (Normalized, Unweighted)]]*$O$3</f>
        <v>0</v>
      </c>
      <c r="R1664" s="137">
        <f>_xlfn.XLOOKUP(FME_Ranking1[[#This Row],[FME ID]],FME_Input[FME_ID],FME_Input[CRITFAC100])</f>
        <v>0</v>
      </c>
      <c r="S1664" s="230">
        <f>(FME_Ranking1[[#This Row],[Critical Facilities Raw]]/$R$2)*100</f>
        <v>0</v>
      </c>
      <c r="T1664" s="180">
        <f>FME_Ranking1[[#This Row],[Critical Facilities Score (Normalized, Unweighted)]]*$R$3</f>
        <v>0</v>
      </c>
      <c r="U1664">
        <f>_xlfn.XLOOKUP(FME_Ranking1[[#This Row],[FME ID]],FME_Input[FME_ID],FME_Input[LWC])</f>
        <v>1</v>
      </c>
      <c r="V1664" s="178">
        <f>(FME_Ranking1[[#This Row],[LWC Raw]]/$U$2)*100</f>
        <v>5.7570523891767422E-2</v>
      </c>
      <c r="W1664" s="178">
        <f>FME_Ranking1[[#This Row],[LWC Score (Normalized, Unweighted)]]*$U$3</f>
        <v>1.1514104778353485E-2</v>
      </c>
      <c r="X1664" s="246">
        <f>_xlfn.XLOOKUP(FME_Ranking1[[#This Row],[FME ID]],FME_Input[FME_ID],FME_Input[ROADCLS])</f>
        <v>1</v>
      </c>
      <c r="Y1664" s="230">
        <f>(FME_Ranking1[[#This Row],[Closures Raw]]/$X$2)*100</f>
        <v>1.0514141520344864E-2</v>
      </c>
      <c r="Z1664" s="180">
        <f>FME_Ranking1[[#This Row],[Closures Score (Normalized, Unweighted)]]*$X$3</f>
        <v>5.2570707601724321E-4</v>
      </c>
      <c r="AA1664" s="253">
        <f>_xlfn.XLOOKUP(FME_Ranking1[[#This Row],[FME ID]],FME_Input[FME_ID],FME_Input[ROAD_MILES100])</f>
        <v>0.25999999046325678</v>
      </c>
      <c r="AB1664" s="178">
        <f>(FME_Ranking1[[#This Row],[Miles Raw]]/$AA$2)*100</f>
        <v>3.4185335427164868E-3</v>
      </c>
      <c r="AC1664" s="178">
        <f>FME_Ranking1[[#This Row],[Miles Score (Normalized, Unweighted)]]*$AA$3</f>
        <v>3.4185335427164873E-4</v>
      </c>
      <c r="AD1664" s="255">
        <f>_xlfn.XLOOKUP(FME_Ranking1[[#This Row],[FME ID]],FME_Input[FME_ID],FME_Input[FARMACRE100])</f>
        <v>3.0920000746846199E-2</v>
      </c>
      <c r="AE1664" s="230">
        <f>(FME_Ranking1[[#This Row],[Ag Land Raw]]/$AD$2)*100</f>
        <v>1.2750024173025164E-6</v>
      </c>
      <c r="AF1664" s="231">
        <f>FME_Ranking1[[#This Row],[Ag Land Score (Normalized, Unweighted)]]*$AD$3</f>
        <v>6.3750120865125819E-8</v>
      </c>
      <c r="AG166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1.2381728958763241E-2</v>
      </c>
      <c r="AH1664" s="406">
        <f t="shared" si="25"/>
        <v>1691</v>
      </c>
      <c r="AI166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1.2381728958763241E-2</v>
      </c>
      <c r="AJ1664" s="257">
        <f>FME_Ranking1[[#This Row],[Addition check]]-FME_Ranking1[[#This Row],[Weighted Score Based on Normalized Reported Factors]]</f>
        <v>0</v>
      </c>
      <c r="AK1664" s="178">
        <f>_xlfn.RANK.EQ(AI1664,$AI$6:$AI$2341,0)+COUNTIF($AI$6:AI1664,AI1664)-1</f>
        <v>1691</v>
      </c>
    </row>
    <row r="1665" spans="1:37" x14ac:dyDescent="0.25">
      <c r="A1665" t="s">
        <v>9294</v>
      </c>
      <c r="B1665">
        <f>_xlfn.XLOOKUP(FME_Ranking1[[#This Row],[FME ID]],FME_Input[FME_ID],FME_Input[RFPG_NUM])</f>
        <v>12</v>
      </c>
      <c r="C1665" t="str">
        <f>_xlfn.XLOOKUP(FME_Ranking1[[#This Row],[FME ID]],FME_Input[FME_ID],FME_Input[FME_NAME])</f>
        <v>LWC#156 New Sulphur Springs Rd – btwn S. Foster &amp; Gardner</v>
      </c>
      <c r="D1665" t="str">
        <f>_xlfn.XLOOKUP(FME_Ranking1[[#This Row],[FME ID]],FME_Input[FME_ID],FME_Input[DESCR])</f>
        <v>The proposed project will replace the existing culvert system with a bridge approximately 1500' in length. The proposed bridge will span two streams at this location</v>
      </c>
      <c r="E1665" s="256">
        <f>_xlfn.XLOOKUP(FME_Ranking1[[#This Row],[FME ID]],FME_Input[FME_ID],FME_Input[FME_COST])</f>
        <v>22845792</v>
      </c>
      <c r="F1665" t="str">
        <f>_xlfn.XLOOKUP(FME_Ranking1[[#This Row],[FME ID]],FME_Input[FME_ID],FME_Input[EMER_NEED])</f>
        <v>Yes</v>
      </c>
      <c r="G1665">
        <f>IF(FME_Ranking!F1665="Yes",100,0)</f>
        <v>100</v>
      </c>
      <c r="H1665">
        <f>FME_Ranking1[[#This Row],[Emergency Need Score (Normalized, Unweighted)]]*$F$3</f>
        <v>0</v>
      </c>
      <c r="I1665" s="246">
        <f>_xlfn.XLOOKUP(FME_Ranking1[[#This Row],[FME ID]],FME_Input[FME_ID],FME_Input[STRUCT_100])</f>
        <v>0</v>
      </c>
      <c r="J1665" s="178">
        <f>(FME_Ranking1[[#This Row],[Structures 100 Raw]]/I$2)*100</f>
        <v>0</v>
      </c>
      <c r="K1665" s="178">
        <f>FME_Ranking1[[#This Row],[Structures 100  Score (Normalized, Unweighted)]]*$I$3</f>
        <v>0</v>
      </c>
      <c r="L1665" s="246">
        <f>_xlfn.XLOOKUP(FME_Ranking1[[#This Row],[FME ID]],FME_Input[FME_ID],FME_Input[RES_STRUCT100])</f>
        <v>0</v>
      </c>
      <c r="M1665" s="230">
        <f>(FME_Ranking1[[#This Row],[Res Structures Raw]]/L$2)*100</f>
        <v>0</v>
      </c>
      <c r="N1665" s="180">
        <f>FME_Ranking1[[#This Row],[Res Structures Score (Normalized, Unweighted)]]*$L$3</f>
        <v>0</v>
      </c>
      <c r="O1665" s="244">
        <f>_xlfn.XLOOKUP(FME_Ranking1[[#This Row],[FME ID]],FME_Input[FME_ID],FME_Input[POP100])</f>
        <v>0</v>
      </c>
      <c r="P1665" s="178">
        <f>(FME_Ranking1[[#This Row],[Pop Raw]]/$O$2)*100</f>
        <v>0</v>
      </c>
      <c r="Q1665" s="178">
        <f>FME_Ranking1[[#This Row],[Pop Score (Normalized, Unweighted)]]*$O$3</f>
        <v>0</v>
      </c>
      <c r="R1665" s="137">
        <f>_xlfn.XLOOKUP(FME_Ranking1[[#This Row],[FME ID]],FME_Input[FME_ID],FME_Input[CRITFAC100])</f>
        <v>0</v>
      </c>
      <c r="S1665" s="230">
        <f>(FME_Ranking1[[#This Row],[Critical Facilities Raw]]/$R$2)*100</f>
        <v>0</v>
      </c>
      <c r="T1665" s="180">
        <f>FME_Ranking1[[#This Row],[Critical Facilities Score (Normalized, Unweighted)]]*$R$3</f>
        <v>0</v>
      </c>
      <c r="U1665">
        <f>_xlfn.XLOOKUP(FME_Ranking1[[#This Row],[FME ID]],FME_Input[FME_ID],FME_Input[LWC])</f>
        <v>1</v>
      </c>
      <c r="V1665" s="178">
        <f>(FME_Ranking1[[#This Row],[LWC Raw]]/$U$2)*100</f>
        <v>5.7570523891767422E-2</v>
      </c>
      <c r="W1665" s="178">
        <f>FME_Ranking1[[#This Row],[LWC Score (Normalized, Unweighted)]]*$U$3</f>
        <v>1.1514104778353485E-2</v>
      </c>
      <c r="X1665" s="246">
        <f>_xlfn.XLOOKUP(FME_Ranking1[[#This Row],[FME ID]],FME_Input[FME_ID],FME_Input[ROADCLS])</f>
        <v>1</v>
      </c>
      <c r="Y1665" s="230">
        <f>(FME_Ranking1[[#This Row],[Closures Raw]]/$X$2)*100</f>
        <v>1.0514141520344864E-2</v>
      </c>
      <c r="Z1665" s="180">
        <f>FME_Ranking1[[#This Row],[Closures Score (Normalized, Unweighted)]]*$X$3</f>
        <v>5.2570707601724321E-4</v>
      </c>
      <c r="AA1665" s="253">
        <f>_xlfn.XLOOKUP(FME_Ranking1[[#This Row],[FME ID]],FME_Input[FME_ID],FME_Input[ROAD_MILES100])</f>
        <v>9.0000003576278687E-2</v>
      </c>
      <c r="AB1665" s="178">
        <f>(FME_Ranking1[[#This Row],[Miles Raw]]/$AA$2)*100</f>
        <v>1.1833386244434964E-3</v>
      </c>
      <c r="AC1665" s="178">
        <f>FME_Ranking1[[#This Row],[Miles Score (Normalized, Unweighted)]]*$AA$3</f>
        <v>1.1833386244434964E-4</v>
      </c>
      <c r="AD1665" s="255">
        <f>_xlfn.XLOOKUP(FME_Ranking1[[#This Row],[FME ID]],FME_Input[FME_ID],FME_Input[FARMACRE100])</f>
        <v>0</v>
      </c>
      <c r="AE1665" s="230">
        <f>(FME_Ranking1[[#This Row],[Ag Land Raw]]/$AD$2)*100</f>
        <v>0</v>
      </c>
      <c r="AF1665" s="231">
        <f>FME_Ranking1[[#This Row],[Ag Land Score (Normalized, Unweighted)]]*$AD$3</f>
        <v>0</v>
      </c>
      <c r="AG166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1.2158145716815078E-2</v>
      </c>
      <c r="AH1665" s="406">
        <f t="shared" si="25"/>
        <v>1701</v>
      </c>
      <c r="AI166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1.2158145716815078E-2</v>
      </c>
      <c r="AJ1665" s="257">
        <f>FME_Ranking1[[#This Row],[Addition check]]-FME_Ranking1[[#This Row],[Weighted Score Based on Normalized Reported Factors]]</f>
        <v>0</v>
      </c>
      <c r="AK1665" s="178">
        <f>_xlfn.RANK.EQ(AI1665,$AI$6:$AI$2341,0)+COUNTIF($AI$6:AI1665,AI1665)-1</f>
        <v>1701</v>
      </c>
    </row>
    <row r="1666" spans="1:37" x14ac:dyDescent="0.25">
      <c r="A1666" t="s">
        <v>9297</v>
      </c>
      <c r="B1666">
        <f>_xlfn.XLOOKUP(FME_Ranking1[[#This Row],[FME ID]],FME_Input[FME_ID],FME_Input[RFPG_NUM])</f>
        <v>12</v>
      </c>
      <c r="C1666" t="str">
        <f>_xlfn.XLOOKUP(FME_Ranking1[[#This Row],[FME ID]],FME_Input[FME_ID],FME_Input[FME_NAME])</f>
        <v>LWC #159.1 Southton Rd</v>
      </c>
      <c r="D1666" t="str">
        <f>_xlfn.XLOOKUP(FME_Ranking1[[#This Row],[FME ID]],FME_Input[FME_ID],FME_Input[DESCR])</f>
        <v>The proposed project will replace the existing culvert system with a bridge approximately 1500' in length.</v>
      </c>
      <c r="E1666" s="256">
        <f>_xlfn.XLOOKUP(FME_Ranking1[[#This Row],[FME ID]],FME_Input[FME_ID],FME_Input[FME_COST])</f>
        <v>6102679</v>
      </c>
      <c r="F1666" t="str">
        <f>_xlfn.XLOOKUP(FME_Ranking1[[#This Row],[FME ID]],FME_Input[FME_ID],FME_Input[EMER_NEED])</f>
        <v>Yes</v>
      </c>
      <c r="G1666">
        <f>IF(FME_Ranking!F1666="Yes",100,0)</f>
        <v>100</v>
      </c>
      <c r="H1666">
        <f>FME_Ranking1[[#This Row],[Emergency Need Score (Normalized, Unweighted)]]*$F$3</f>
        <v>0</v>
      </c>
      <c r="I1666" s="246">
        <f>_xlfn.XLOOKUP(FME_Ranking1[[#This Row],[FME ID]],FME_Input[FME_ID],FME_Input[STRUCT_100])</f>
        <v>0</v>
      </c>
      <c r="J1666" s="178">
        <f>(FME_Ranking1[[#This Row],[Structures 100 Raw]]/I$2)*100</f>
        <v>0</v>
      </c>
      <c r="K1666" s="178">
        <f>FME_Ranking1[[#This Row],[Structures 100  Score (Normalized, Unweighted)]]*$I$3</f>
        <v>0</v>
      </c>
      <c r="L1666" s="246">
        <f>_xlfn.XLOOKUP(FME_Ranking1[[#This Row],[FME ID]],FME_Input[FME_ID],FME_Input[RES_STRUCT100])</f>
        <v>0</v>
      </c>
      <c r="M1666" s="230">
        <f>(FME_Ranking1[[#This Row],[Res Structures Raw]]/L$2)*100</f>
        <v>0</v>
      </c>
      <c r="N1666" s="180">
        <f>FME_Ranking1[[#This Row],[Res Structures Score (Normalized, Unweighted)]]*$L$3</f>
        <v>0</v>
      </c>
      <c r="O1666" s="244">
        <f>_xlfn.XLOOKUP(FME_Ranking1[[#This Row],[FME ID]],FME_Input[FME_ID],FME_Input[POP100])</f>
        <v>0</v>
      </c>
      <c r="P1666" s="178">
        <f>(FME_Ranking1[[#This Row],[Pop Raw]]/$O$2)*100</f>
        <v>0</v>
      </c>
      <c r="Q1666" s="178">
        <f>FME_Ranking1[[#This Row],[Pop Score (Normalized, Unweighted)]]*$O$3</f>
        <v>0</v>
      </c>
      <c r="R1666" s="137">
        <f>_xlfn.XLOOKUP(FME_Ranking1[[#This Row],[FME ID]],FME_Input[FME_ID],FME_Input[CRITFAC100])</f>
        <v>0</v>
      </c>
      <c r="S1666" s="230">
        <f>(FME_Ranking1[[#This Row],[Critical Facilities Raw]]/$R$2)*100</f>
        <v>0</v>
      </c>
      <c r="T1666" s="180">
        <f>FME_Ranking1[[#This Row],[Critical Facilities Score (Normalized, Unweighted)]]*$R$3</f>
        <v>0</v>
      </c>
      <c r="U1666">
        <f>_xlfn.XLOOKUP(FME_Ranking1[[#This Row],[FME ID]],FME_Input[FME_ID],FME_Input[LWC])</f>
        <v>1</v>
      </c>
      <c r="V1666" s="178">
        <f>(FME_Ranking1[[#This Row],[LWC Raw]]/$U$2)*100</f>
        <v>5.7570523891767422E-2</v>
      </c>
      <c r="W1666" s="178">
        <f>FME_Ranking1[[#This Row],[LWC Score (Normalized, Unweighted)]]*$U$3</f>
        <v>1.1514104778353485E-2</v>
      </c>
      <c r="X1666" s="246">
        <f>_xlfn.XLOOKUP(FME_Ranking1[[#This Row],[FME ID]],FME_Input[FME_ID],FME_Input[ROADCLS])</f>
        <v>1</v>
      </c>
      <c r="Y1666" s="230">
        <f>(FME_Ranking1[[#This Row],[Closures Raw]]/$X$2)*100</f>
        <v>1.0514141520344864E-2</v>
      </c>
      <c r="Z1666" s="180">
        <f>FME_Ranking1[[#This Row],[Closures Score (Normalized, Unweighted)]]*$X$3</f>
        <v>5.2570707601724321E-4</v>
      </c>
      <c r="AA1666" s="253">
        <f>_xlfn.XLOOKUP(FME_Ranking1[[#This Row],[FME ID]],FME_Input[FME_ID],FME_Input[ROAD_MILES100])</f>
        <v>3.2999999821186073E-2</v>
      </c>
      <c r="AB1666" s="178">
        <f>(FME_Ranking1[[#This Row],[Miles Raw]]/$AA$2)*100</f>
        <v>4.3389080937026111E-4</v>
      </c>
      <c r="AC1666" s="178">
        <f>FME_Ranking1[[#This Row],[Miles Score (Normalized, Unweighted)]]*$AA$3</f>
        <v>4.3389080937026111E-5</v>
      </c>
      <c r="AD1666" s="255">
        <f>_xlfn.XLOOKUP(FME_Ranking1[[#This Row],[FME ID]],FME_Input[FME_ID],FME_Input[FARMACRE100])</f>
        <v>0</v>
      </c>
      <c r="AE1666" s="230">
        <f>(FME_Ranking1[[#This Row],[Ag Land Raw]]/$AD$2)*100</f>
        <v>0</v>
      </c>
      <c r="AF1666" s="231">
        <f>FME_Ranking1[[#This Row],[Ag Land Score (Normalized, Unweighted)]]*$AD$3</f>
        <v>0</v>
      </c>
      <c r="AG166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1.2083200935307754E-2</v>
      </c>
      <c r="AH1666" s="406">
        <f t="shared" si="25"/>
        <v>1708</v>
      </c>
      <c r="AI166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1.2083200935307754E-2</v>
      </c>
      <c r="AJ1666" s="257">
        <f>FME_Ranking1[[#This Row],[Addition check]]-FME_Ranking1[[#This Row],[Weighted Score Based on Normalized Reported Factors]]</f>
        <v>0</v>
      </c>
      <c r="AK1666" s="178">
        <f>_xlfn.RANK.EQ(AI1666,$AI$6:$AI$2341,0)+COUNTIF($AI$6:AI1666,AI1666)-1</f>
        <v>1708</v>
      </c>
    </row>
    <row r="1667" spans="1:37" x14ac:dyDescent="0.25">
      <c r="A1667" t="s">
        <v>9495</v>
      </c>
      <c r="B1667">
        <f>_xlfn.XLOOKUP(FME_Ranking1[[#This Row],[FME ID]],FME_Input[FME_ID],FME_Input[RFPG_NUM])</f>
        <v>12</v>
      </c>
      <c r="C1667" t="str">
        <f>_xlfn.XLOOKUP(FME_Ranking1[[#This Row],[FME ID]],FME_Input[FME_ID],FME_Input[FME_NAME])</f>
        <v>LWC#72 Spencer Lane, east of Balcones Rd.</v>
      </c>
      <c r="D1667" t="str">
        <f>_xlfn.XLOOKUP(FME_Ranking1[[#This Row],[FME ID]],FME_Input[FME_ID],FME_Input[DESCR])</f>
        <v>During a rain storm event, storm water runoff from the East Woodlawn Ditch overtops the road. This project proposes the construction of a culvert crossing to include an associated energy dissipation system, headwall, and outfall structures.</v>
      </c>
      <c r="E1667" s="256">
        <f>_xlfn.XLOOKUP(FME_Ranking1[[#This Row],[FME ID]],FME_Input[FME_ID],FME_Input[FME_COST])</f>
        <v>1889332</v>
      </c>
      <c r="F1667" t="str">
        <f>_xlfn.XLOOKUP(FME_Ranking1[[#This Row],[FME ID]],FME_Input[FME_ID],FME_Input[EMER_NEED])</f>
        <v>Yes</v>
      </c>
      <c r="G1667">
        <f>IF(FME_Ranking!F1667="Yes",100,0)</f>
        <v>100</v>
      </c>
      <c r="H1667">
        <f>FME_Ranking1[[#This Row],[Emergency Need Score (Normalized, Unweighted)]]*$F$3</f>
        <v>0</v>
      </c>
      <c r="I1667" s="246">
        <f>_xlfn.XLOOKUP(FME_Ranking1[[#This Row],[FME ID]],FME_Input[FME_ID],FME_Input[STRUCT_100])</f>
        <v>0</v>
      </c>
      <c r="J1667" s="178">
        <f>(FME_Ranking1[[#This Row],[Structures 100 Raw]]/I$2)*100</f>
        <v>0</v>
      </c>
      <c r="K1667" s="178">
        <f>FME_Ranking1[[#This Row],[Structures 100  Score (Normalized, Unweighted)]]*$I$3</f>
        <v>0</v>
      </c>
      <c r="L1667" s="246">
        <f>_xlfn.XLOOKUP(FME_Ranking1[[#This Row],[FME ID]],FME_Input[FME_ID],FME_Input[RES_STRUCT100])</f>
        <v>0</v>
      </c>
      <c r="M1667" s="230">
        <f>(FME_Ranking1[[#This Row],[Res Structures Raw]]/L$2)*100</f>
        <v>0</v>
      </c>
      <c r="N1667" s="180">
        <f>FME_Ranking1[[#This Row],[Res Structures Score (Normalized, Unweighted)]]*$L$3</f>
        <v>0</v>
      </c>
      <c r="O1667" s="244">
        <f>_xlfn.XLOOKUP(FME_Ranking1[[#This Row],[FME ID]],FME_Input[FME_ID],FME_Input[POP100])</f>
        <v>0</v>
      </c>
      <c r="P1667" s="178">
        <f>(FME_Ranking1[[#This Row],[Pop Raw]]/$O$2)*100</f>
        <v>0</v>
      </c>
      <c r="Q1667" s="178">
        <f>FME_Ranking1[[#This Row],[Pop Score (Normalized, Unweighted)]]*$O$3</f>
        <v>0</v>
      </c>
      <c r="R1667" s="137">
        <f>_xlfn.XLOOKUP(FME_Ranking1[[#This Row],[FME ID]],FME_Input[FME_ID],FME_Input[CRITFAC100])</f>
        <v>0</v>
      </c>
      <c r="S1667" s="230">
        <f>(FME_Ranking1[[#This Row],[Critical Facilities Raw]]/$R$2)*100</f>
        <v>0</v>
      </c>
      <c r="T1667" s="180">
        <f>FME_Ranking1[[#This Row],[Critical Facilities Score (Normalized, Unweighted)]]*$R$3</f>
        <v>0</v>
      </c>
      <c r="U1667">
        <f>_xlfn.XLOOKUP(FME_Ranking1[[#This Row],[FME ID]],FME_Input[FME_ID],FME_Input[LWC])</f>
        <v>1</v>
      </c>
      <c r="V1667" s="178">
        <f>(FME_Ranking1[[#This Row],[LWC Raw]]/$U$2)*100</f>
        <v>5.7570523891767422E-2</v>
      </c>
      <c r="W1667" s="178">
        <f>FME_Ranking1[[#This Row],[LWC Score (Normalized, Unweighted)]]*$U$3</f>
        <v>1.1514104778353485E-2</v>
      </c>
      <c r="X1667" s="246">
        <f>_xlfn.XLOOKUP(FME_Ranking1[[#This Row],[FME ID]],FME_Input[FME_ID],FME_Input[ROADCLS])</f>
        <v>1</v>
      </c>
      <c r="Y1667" s="230">
        <f>(FME_Ranking1[[#This Row],[Closures Raw]]/$X$2)*100</f>
        <v>1.0514141520344864E-2</v>
      </c>
      <c r="Z1667" s="180">
        <f>FME_Ranking1[[#This Row],[Closures Score (Normalized, Unweighted)]]*$X$3</f>
        <v>5.2570707601724321E-4</v>
      </c>
      <c r="AA1667" s="253">
        <f>_xlfn.XLOOKUP(FME_Ranking1[[#This Row],[FME ID]],FME_Input[FME_ID],FME_Input[ROAD_MILES100])</f>
        <v>7.0000000298023224E-2</v>
      </c>
      <c r="AB1667" s="178">
        <f>(FME_Ranking1[[#This Row],[Miles Raw]]/$AA$2)*100</f>
        <v>9.2037445302435106E-4</v>
      </c>
      <c r="AC1667" s="178">
        <f>FME_Ranking1[[#This Row],[Miles Score (Normalized, Unweighted)]]*$AA$3</f>
        <v>9.2037445302435117E-5</v>
      </c>
      <c r="AD1667" s="255">
        <f>_xlfn.XLOOKUP(FME_Ranking1[[#This Row],[FME ID]],FME_Input[FME_ID],FME_Input[FARMACRE100])</f>
        <v>0</v>
      </c>
      <c r="AE1667" s="230">
        <f>(FME_Ranking1[[#This Row],[Ag Land Raw]]/$AD$2)*100</f>
        <v>0</v>
      </c>
      <c r="AF1667" s="231">
        <f>FME_Ranking1[[#This Row],[Ag Land Score (Normalized, Unweighted)]]*$AD$3</f>
        <v>0</v>
      </c>
      <c r="AG166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1.2131849299673163E-2</v>
      </c>
      <c r="AH1667" s="406">
        <f t="shared" si="25"/>
        <v>1705</v>
      </c>
      <c r="AI166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1.2131849299673163E-2</v>
      </c>
      <c r="AJ1667" s="257">
        <f>FME_Ranking1[[#This Row],[Addition check]]-FME_Ranking1[[#This Row],[Weighted Score Based on Normalized Reported Factors]]</f>
        <v>0</v>
      </c>
      <c r="AK1667" s="178">
        <f>_xlfn.RANK.EQ(AI1667,$AI$6:$AI$2341,0)+COUNTIF($AI$6:AI1667,AI1667)-1</f>
        <v>1705</v>
      </c>
    </row>
    <row r="1668" spans="1:37" x14ac:dyDescent="0.25">
      <c r="A1668" t="s">
        <v>10497</v>
      </c>
      <c r="B1668">
        <f>_xlfn.XLOOKUP(FME_Ranking1[[#This Row],[FME ID]],FME_Input[FME_ID],FME_Input[RFPG_NUM])</f>
        <v>13</v>
      </c>
      <c r="C1668" t="str">
        <f>_xlfn.XLOOKUP(FME_Ranking1[[#This Row],[FME ID]],FME_Input[FME_ID],FME_Input[FME_NAME])</f>
        <v>Madison St Low Water Crossing Replacement Project</v>
      </c>
      <c r="D1668" t="str">
        <f>_xlfn.XLOOKUP(FME_Ranking1[[#This Row],[FME ID]],FME_Input[FME_ID],FME_Input[DESCR])</f>
        <v>Madison St Low Water crossing replacement</v>
      </c>
      <c r="E1668" s="256">
        <f>_xlfn.XLOOKUP(FME_Ranking1[[#This Row],[FME ID]],FME_Input[FME_ID],FME_Input[FME_COST])</f>
        <v>192000</v>
      </c>
      <c r="F1668" t="str">
        <f>_xlfn.XLOOKUP(FME_Ranking1[[#This Row],[FME ID]],FME_Input[FME_ID],FME_Input[EMER_NEED])</f>
        <v>Yes</v>
      </c>
      <c r="G1668">
        <f>IF(FME_Ranking!F1668="Yes",100,0)</f>
        <v>100</v>
      </c>
      <c r="H1668">
        <f>FME_Ranking1[[#This Row],[Emergency Need Score (Normalized, Unweighted)]]*$F$3</f>
        <v>0</v>
      </c>
      <c r="I1668" s="246">
        <f>_xlfn.XLOOKUP(FME_Ranking1[[#This Row],[FME ID]],FME_Input[FME_ID],FME_Input[STRUCT_100])</f>
        <v>0</v>
      </c>
      <c r="J1668" s="178">
        <f>(FME_Ranking1[[#This Row],[Structures 100 Raw]]/I$2)*100</f>
        <v>0</v>
      </c>
      <c r="K1668" s="178">
        <f>FME_Ranking1[[#This Row],[Structures 100  Score (Normalized, Unweighted)]]*$I$3</f>
        <v>0</v>
      </c>
      <c r="L1668" s="246">
        <f>_xlfn.XLOOKUP(FME_Ranking1[[#This Row],[FME ID]],FME_Input[FME_ID],FME_Input[RES_STRUCT100])</f>
        <v>0</v>
      </c>
      <c r="M1668" s="230">
        <f>(FME_Ranking1[[#This Row],[Res Structures Raw]]/L$2)*100</f>
        <v>0</v>
      </c>
      <c r="N1668" s="180">
        <f>FME_Ranking1[[#This Row],[Res Structures Score (Normalized, Unweighted)]]*$L$3</f>
        <v>0</v>
      </c>
      <c r="O1668" s="244">
        <f>_xlfn.XLOOKUP(FME_Ranking1[[#This Row],[FME ID]],FME_Input[FME_ID],FME_Input[POP100])</f>
        <v>0</v>
      </c>
      <c r="P1668" s="178">
        <f>(FME_Ranking1[[#This Row],[Pop Raw]]/$O$2)*100</f>
        <v>0</v>
      </c>
      <c r="Q1668" s="178">
        <f>FME_Ranking1[[#This Row],[Pop Score (Normalized, Unweighted)]]*$O$3</f>
        <v>0</v>
      </c>
      <c r="R1668" s="137">
        <f>_xlfn.XLOOKUP(FME_Ranking1[[#This Row],[FME ID]],FME_Input[FME_ID],FME_Input[CRITFAC100])</f>
        <v>0</v>
      </c>
      <c r="S1668" s="230">
        <f>(FME_Ranking1[[#This Row],[Critical Facilities Raw]]/$R$2)*100</f>
        <v>0</v>
      </c>
      <c r="T1668" s="180">
        <f>FME_Ranking1[[#This Row],[Critical Facilities Score (Normalized, Unweighted)]]*$R$3</f>
        <v>0</v>
      </c>
      <c r="U1668">
        <f>_xlfn.XLOOKUP(FME_Ranking1[[#This Row],[FME ID]],FME_Input[FME_ID],FME_Input[LWC])</f>
        <v>1</v>
      </c>
      <c r="V1668" s="178">
        <f>(FME_Ranking1[[#This Row],[LWC Raw]]/$U$2)*100</f>
        <v>5.7570523891767422E-2</v>
      </c>
      <c r="W1668" s="178">
        <f>FME_Ranking1[[#This Row],[LWC Score (Normalized, Unweighted)]]*$U$3</f>
        <v>1.1514104778353485E-2</v>
      </c>
      <c r="X1668" s="246">
        <f>_xlfn.XLOOKUP(FME_Ranking1[[#This Row],[FME ID]],FME_Input[FME_ID],FME_Input[ROADCLS])</f>
        <v>1</v>
      </c>
      <c r="Y1668" s="230">
        <f>(FME_Ranking1[[#This Row],[Closures Raw]]/$X$2)*100</f>
        <v>1.0514141520344864E-2</v>
      </c>
      <c r="Z1668" s="180">
        <f>FME_Ranking1[[#This Row],[Closures Score (Normalized, Unweighted)]]*$X$3</f>
        <v>5.2570707601724321E-4</v>
      </c>
      <c r="AA1668" s="253">
        <f>_xlfn.XLOOKUP(FME_Ranking1[[#This Row],[FME ID]],FME_Input[FME_ID],FME_Input[ROAD_MILES100])</f>
        <v>2.4471810087561611E-2</v>
      </c>
      <c r="AB1668" s="178">
        <f>(FME_Ranking1[[#This Row],[Miles Raw]]/$AA$2)*100</f>
        <v>3.2176041039947486E-4</v>
      </c>
      <c r="AC1668" s="178">
        <f>FME_Ranking1[[#This Row],[Miles Score (Normalized, Unweighted)]]*$AA$3</f>
        <v>3.2176041039947487E-5</v>
      </c>
      <c r="AD1668" s="255">
        <f>_xlfn.XLOOKUP(FME_Ranking1[[#This Row],[FME ID]],FME_Input[FME_ID],FME_Input[FARMACRE100])</f>
        <v>0</v>
      </c>
      <c r="AE1668" s="230">
        <f>(FME_Ranking1[[#This Row],[Ag Land Raw]]/$AD$2)*100</f>
        <v>0</v>
      </c>
      <c r="AF1668" s="231">
        <f>FME_Ranking1[[#This Row],[Ag Land Score (Normalized, Unweighted)]]*$AD$3</f>
        <v>0</v>
      </c>
      <c r="AG166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1.2071987895410675E-2</v>
      </c>
      <c r="AH1668" s="406">
        <f t="shared" si="25"/>
        <v>1711</v>
      </c>
      <c r="AI166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1.2071987895410675E-2</v>
      </c>
      <c r="AJ1668" s="257">
        <f>FME_Ranking1[[#This Row],[Addition check]]-FME_Ranking1[[#This Row],[Weighted Score Based on Normalized Reported Factors]]</f>
        <v>0</v>
      </c>
      <c r="AK1668" s="178">
        <f>_xlfn.RANK.EQ(AI1668,$AI$6:$AI$2341,0)+COUNTIF($AI$6:AI1668,AI1668)-1</f>
        <v>1711</v>
      </c>
    </row>
    <row r="1669" spans="1:37" x14ac:dyDescent="0.25">
      <c r="A1669" t="s">
        <v>7573</v>
      </c>
      <c r="B1669">
        <f>_xlfn.XLOOKUP(FME_Ranking1[[#This Row],[FME ID]],FME_Input[FME_ID],FME_Input[RFPG_NUM])</f>
        <v>8</v>
      </c>
      <c r="C1669" t="str">
        <f>_xlfn.XLOOKUP(FME_Ranking1[[#This Row],[FME ID]],FME_Input[FME_ID],FME_Input[FME_NAME])</f>
        <v>Dam 14 Rehabilitation</v>
      </c>
      <c r="D1669" t="str">
        <f>_xlfn.XLOOKUP(FME_Ranking1[[#This Row],[FME ID]],FME_Input[FME_ID],FME_Input[DESCR])</f>
        <v>Study to design erosion repairs for the downstream slope, mitigation for the longitudinal cracking on the dam crest, and auxiliary spillway improvements.</v>
      </c>
      <c r="E1669" s="256">
        <f>_xlfn.XLOOKUP(FME_Ranking1[[#This Row],[FME ID]],FME_Input[FME_ID],FME_Input[FME_COST])</f>
        <v>148000</v>
      </c>
      <c r="F1669" t="str">
        <f>_xlfn.XLOOKUP(FME_Ranking1[[#This Row],[FME ID]],FME_Input[FME_ID],FME_Input[EMER_NEED])</f>
        <v>No</v>
      </c>
      <c r="G1669">
        <f>IF(FME_Ranking!F1669="Yes",100,0)</f>
        <v>0</v>
      </c>
      <c r="H1669">
        <f>FME_Ranking1[[#This Row],[Emergency Need Score (Normalized, Unweighted)]]*$F$3</f>
        <v>0</v>
      </c>
      <c r="I1669" s="246">
        <f>_xlfn.XLOOKUP(FME_Ranking1[[#This Row],[FME ID]],FME_Input[FME_ID],FME_Input[STRUCT_100])</f>
        <v>28</v>
      </c>
      <c r="J1669" s="178">
        <f>(FME_Ranking1[[#This Row],[Structures 100 Raw]]/I$2)*100</f>
        <v>1.4993788287709378E-2</v>
      </c>
      <c r="K1669" s="178">
        <f>FME_Ranking1[[#This Row],[Structures 100  Score (Normalized, Unweighted)]]*$I$3</f>
        <v>2.2490682431564068E-3</v>
      </c>
      <c r="L1669" s="246">
        <f>_xlfn.XLOOKUP(FME_Ranking1[[#This Row],[FME ID]],FME_Input[FME_ID],FME_Input[RES_STRUCT100])</f>
        <v>11</v>
      </c>
      <c r="M1669" s="230">
        <f>(FME_Ranking1[[#This Row],[Res Structures Raw]]/L$2)*100</f>
        <v>7.7913615050077207E-3</v>
      </c>
      <c r="N1669" s="180">
        <f>FME_Ranking1[[#This Row],[Res Structures Score (Normalized, Unweighted)]]*$L$3</f>
        <v>7.7913615050077215E-4</v>
      </c>
      <c r="O1669" s="244">
        <f>_xlfn.XLOOKUP(FME_Ranking1[[#This Row],[FME ID]],FME_Input[FME_ID],FME_Input[POP100])</f>
        <v>121</v>
      </c>
      <c r="P1669" s="178">
        <f>(FME_Ranking1[[#This Row],[Pop Raw]]/$O$2)*100</f>
        <v>1.2387412750640358E-2</v>
      </c>
      <c r="Q1669" s="178">
        <f>FME_Ranking1[[#This Row],[Pop Score (Normalized, Unweighted)]]*$O$3</f>
        <v>1.8581119125960536E-3</v>
      </c>
      <c r="R1669" s="137">
        <f>_xlfn.XLOOKUP(FME_Ranking1[[#This Row],[FME ID]],FME_Input[FME_ID],FME_Input[CRITFAC100])</f>
        <v>0</v>
      </c>
      <c r="S1669" s="230">
        <f>(FME_Ranking1[[#This Row],[Critical Facilities Raw]]/$R$2)*100</f>
        <v>0</v>
      </c>
      <c r="T1669" s="180">
        <f>FME_Ranking1[[#This Row],[Critical Facilities Score (Normalized, Unweighted)]]*$R$3</f>
        <v>0</v>
      </c>
      <c r="U1669">
        <f>_xlfn.XLOOKUP(FME_Ranking1[[#This Row],[FME ID]],FME_Input[FME_ID],FME_Input[LWC])</f>
        <v>0</v>
      </c>
      <c r="V1669" s="178">
        <f>(FME_Ranking1[[#This Row],[LWC Raw]]/$U$2)*100</f>
        <v>0</v>
      </c>
      <c r="W1669" s="178">
        <f>FME_Ranking1[[#This Row],[LWC Score (Normalized, Unweighted)]]*$U$3</f>
        <v>0</v>
      </c>
      <c r="X1669" s="246">
        <f>_xlfn.XLOOKUP(FME_Ranking1[[#This Row],[FME ID]],FME_Input[FME_ID],FME_Input[ROADCLS])</f>
        <v>12</v>
      </c>
      <c r="Y1669" s="230">
        <f>(FME_Ranking1[[#This Row],[Closures Raw]]/$X$2)*100</f>
        <v>0.12616969824413837</v>
      </c>
      <c r="Z1669" s="180">
        <f>FME_Ranking1[[#This Row],[Closures Score (Normalized, Unweighted)]]*$X$3</f>
        <v>6.308484912206919E-3</v>
      </c>
      <c r="AA1669" s="253">
        <f>_xlfn.XLOOKUP(FME_Ranking1[[#This Row],[FME ID]],FME_Input[FME_ID],FME_Input[ROAD_MILES100])</f>
        <v>0.86785197257995605</v>
      </c>
      <c r="AB1669" s="178">
        <f>(FME_Ranking1[[#This Row],[Miles Raw]]/$AA$2)*100</f>
        <v>1.141069687383898E-2</v>
      </c>
      <c r="AC1669" s="178">
        <f>FME_Ranking1[[#This Row],[Miles Score (Normalized, Unweighted)]]*$AA$3</f>
        <v>1.141069687383898E-3</v>
      </c>
      <c r="AD1669" s="255">
        <f>_xlfn.XLOOKUP(FME_Ranking1[[#This Row],[FME ID]],FME_Input[FME_ID],FME_Input[FARMACRE100])</f>
        <v>399.3900146484375</v>
      </c>
      <c r="AE1669" s="230">
        <f>(FME_Ranking1[[#This Row],[Ag Land Raw]]/$AD$2)*100</f>
        <v>1.6469056333227462E-2</v>
      </c>
      <c r="AF1669" s="231">
        <f>FME_Ranking1[[#This Row],[Ag Land Score (Normalized, Unweighted)]]*$AD$3</f>
        <v>8.234528166613732E-4</v>
      </c>
      <c r="AG166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1.3159323722505422E-2</v>
      </c>
      <c r="AH1669" s="406">
        <f t="shared" si="25"/>
        <v>1661</v>
      </c>
      <c r="AI166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1.3159323722505422E-2</v>
      </c>
      <c r="AJ1669" s="257">
        <f>FME_Ranking1[[#This Row],[Addition check]]-FME_Ranking1[[#This Row],[Weighted Score Based on Normalized Reported Factors]]</f>
        <v>0</v>
      </c>
      <c r="AK1669" s="178">
        <f>_xlfn.RANK.EQ(AI1669,$AI$6:$AI$2341,0)+COUNTIF($AI$6:AI1669,AI1669)-1</f>
        <v>1661</v>
      </c>
    </row>
    <row r="1670" spans="1:37" x14ac:dyDescent="0.25">
      <c r="A1670" t="s">
        <v>7581</v>
      </c>
      <c r="B1670">
        <f>_xlfn.XLOOKUP(FME_Ranking1[[#This Row],[FME ID]],FME_Input[FME_ID],FME_Input[RFPG_NUM])</f>
        <v>8</v>
      </c>
      <c r="C1670" t="str">
        <f>_xlfn.XLOOKUP(FME_Ranking1[[#This Row],[FME ID]],FME_Input[FME_ID],FME_Input[FME_NAME])</f>
        <v>A13</v>
      </c>
      <c r="D1670" t="str">
        <f>_xlfn.XLOOKUP(FME_Ranking1[[#This Row],[FME ID]],FME_Input[FME_ID],FME_Input[DESCR])</f>
        <v>Addition of in-line detention between Dam 15 and 16.</v>
      </c>
      <c r="E1670" s="256">
        <f>_xlfn.XLOOKUP(FME_Ranking1[[#This Row],[FME ID]],FME_Input[FME_ID],FME_Input[FME_COST])</f>
        <v>250000</v>
      </c>
      <c r="F1670" t="str">
        <f>_xlfn.XLOOKUP(FME_Ranking1[[#This Row],[FME ID]],FME_Input[FME_ID],FME_Input[EMER_NEED])</f>
        <v>No</v>
      </c>
      <c r="G1670">
        <f>IF(FME_Ranking!F1670="Yes",100,0)</f>
        <v>0</v>
      </c>
      <c r="H1670">
        <f>FME_Ranking1[[#This Row],[Emergency Need Score (Normalized, Unweighted)]]*$F$3</f>
        <v>0</v>
      </c>
      <c r="I1670" s="246">
        <f>_xlfn.XLOOKUP(FME_Ranking1[[#This Row],[FME ID]],FME_Input[FME_ID],FME_Input[STRUCT_100])</f>
        <v>28</v>
      </c>
      <c r="J1670" s="178">
        <f>(FME_Ranking1[[#This Row],[Structures 100 Raw]]/I$2)*100</f>
        <v>1.4993788287709378E-2</v>
      </c>
      <c r="K1670" s="178">
        <f>FME_Ranking1[[#This Row],[Structures 100  Score (Normalized, Unweighted)]]*$I$3</f>
        <v>2.2490682431564068E-3</v>
      </c>
      <c r="L1670" s="246">
        <f>_xlfn.XLOOKUP(FME_Ranking1[[#This Row],[FME ID]],FME_Input[FME_ID],FME_Input[RES_STRUCT100])</f>
        <v>11</v>
      </c>
      <c r="M1670" s="230">
        <f>(FME_Ranking1[[#This Row],[Res Structures Raw]]/L$2)*100</f>
        <v>7.7913615050077207E-3</v>
      </c>
      <c r="N1670" s="180">
        <f>FME_Ranking1[[#This Row],[Res Structures Score (Normalized, Unweighted)]]*$L$3</f>
        <v>7.7913615050077215E-4</v>
      </c>
      <c r="O1670" s="244">
        <f>_xlfn.XLOOKUP(FME_Ranking1[[#This Row],[FME ID]],FME_Input[FME_ID],FME_Input[POP100])</f>
        <v>121</v>
      </c>
      <c r="P1670" s="178">
        <f>(FME_Ranking1[[#This Row],[Pop Raw]]/$O$2)*100</f>
        <v>1.2387412750640358E-2</v>
      </c>
      <c r="Q1670" s="178">
        <f>FME_Ranking1[[#This Row],[Pop Score (Normalized, Unweighted)]]*$O$3</f>
        <v>1.8581119125960536E-3</v>
      </c>
      <c r="R1670" s="137">
        <f>_xlfn.XLOOKUP(FME_Ranking1[[#This Row],[FME ID]],FME_Input[FME_ID],FME_Input[CRITFAC100])</f>
        <v>0</v>
      </c>
      <c r="S1670" s="230">
        <f>(FME_Ranking1[[#This Row],[Critical Facilities Raw]]/$R$2)*100</f>
        <v>0</v>
      </c>
      <c r="T1670" s="180">
        <f>FME_Ranking1[[#This Row],[Critical Facilities Score (Normalized, Unweighted)]]*$R$3</f>
        <v>0</v>
      </c>
      <c r="U1670">
        <f>_xlfn.XLOOKUP(FME_Ranking1[[#This Row],[FME ID]],FME_Input[FME_ID],FME_Input[LWC])</f>
        <v>0</v>
      </c>
      <c r="V1670" s="178">
        <f>(FME_Ranking1[[#This Row],[LWC Raw]]/$U$2)*100</f>
        <v>0</v>
      </c>
      <c r="W1670" s="178">
        <f>FME_Ranking1[[#This Row],[LWC Score (Normalized, Unweighted)]]*$U$3</f>
        <v>0</v>
      </c>
      <c r="X1670" s="246">
        <f>_xlfn.XLOOKUP(FME_Ranking1[[#This Row],[FME ID]],FME_Input[FME_ID],FME_Input[ROADCLS])</f>
        <v>12</v>
      </c>
      <c r="Y1670" s="230">
        <f>(FME_Ranking1[[#This Row],[Closures Raw]]/$X$2)*100</f>
        <v>0.12616969824413837</v>
      </c>
      <c r="Z1670" s="180">
        <f>FME_Ranking1[[#This Row],[Closures Score (Normalized, Unweighted)]]*$X$3</f>
        <v>6.308484912206919E-3</v>
      </c>
      <c r="AA1670" s="253">
        <f>_xlfn.XLOOKUP(FME_Ranking1[[#This Row],[FME ID]],FME_Input[FME_ID],FME_Input[ROAD_MILES100])</f>
        <v>0.86785197257995605</v>
      </c>
      <c r="AB1670" s="178">
        <f>(FME_Ranking1[[#This Row],[Miles Raw]]/$AA$2)*100</f>
        <v>1.141069687383898E-2</v>
      </c>
      <c r="AC1670" s="178">
        <f>FME_Ranking1[[#This Row],[Miles Score (Normalized, Unweighted)]]*$AA$3</f>
        <v>1.141069687383898E-3</v>
      </c>
      <c r="AD1670" s="255">
        <f>_xlfn.XLOOKUP(FME_Ranking1[[#This Row],[FME ID]],FME_Input[FME_ID],FME_Input[FARMACRE100])</f>
        <v>399.3900146484375</v>
      </c>
      <c r="AE1670" s="230">
        <f>(FME_Ranking1[[#This Row],[Ag Land Raw]]/$AD$2)*100</f>
        <v>1.6469056333227462E-2</v>
      </c>
      <c r="AF1670" s="231">
        <f>FME_Ranking1[[#This Row],[Ag Land Score (Normalized, Unweighted)]]*$AD$3</f>
        <v>8.234528166613732E-4</v>
      </c>
      <c r="AG167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1.3159323722505422E-2</v>
      </c>
      <c r="AH1670" s="406">
        <f t="shared" ref="AH1670:AH1733" si="26">_xlfn.RANK.EQ(AG1670,$AG$6:$AG$2341,0)</f>
        <v>1661</v>
      </c>
      <c r="AI167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1.3159323722505422E-2</v>
      </c>
      <c r="AJ1670" s="257">
        <f>FME_Ranking1[[#This Row],[Addition check]]-FME_Ranking1[[#This Row],[Weighted Score Based on Normalized Reported Factors]]</f>
        <v>0</v>
      </c>
      <c r="AK1670" s="178">
        <f>_xlfn.RANK.EQ(AI1670,$AI$6:$AI$2341,0)+COUNTIF($AI$6:AI1670,AI1670)-1</f>
        <v>1662</v>
      </c>
    </row>
    <row r="1671" spans="1:37" x14ac:dyDescent="0.25">
      <c r="A1671" t="s">
        <v>321</v>
      </c>
      <c r="B1671">
        <f>_xlfn.XLOOKUP(FME_Ranking1[[#This Row],[FME ID]],FME_Input[FME_ID],FME_Input[RFPG_NUM])</f>
        <v>10</v>
      </c>
      <c r="C1671" t="str">
        <f>_xlfn.XLOOKUP(FME_Ranking1[[#This Row],[FME ID]],FME_Input[FME_ID],FME_Input[FME_NAME])</f>
        <v>200 Block N Orange</v>
      </c>
      <c r="D1671" t="str">
        <f>_xlfn.XLOOKUP(FME_Ranking1[[#This Row],[FME ID]],FME_Input[FME_ID],FME_Input[DESCR])</f>
        <v>Concrete apron; pedestrian/guard rail; relocate DS concrete encased utility or extend protection to cover utility</v>
      </c>
      <c r="E1671" s="256">
        <f>_xlfn.XLOOKUP(FME_Ranking1[[#This Row],[FME ID]],FME_Input[FME_ID],FME_Input[FME_COST])</f>
        <v>50000</v>
      </c>
      <c r="F1671" t="str">
        <f>_xlfn.XLOOKUP(FME_Ranking1[[#This Row],[FME ID]],FME_Input[FME_ID],FME_Input[EMER_NEED])</f>
        <v>No</v>
      </c>
      <c r="G1671">
        <f>IF(FME_Ranking!F1671="Yes",100,0)</f>
        <v>0</v>
      </c>
      <c r="H1671">
        <f>FME_Ranking1[[#This Row],[Emergency Need Score (Normalized, Unweighted)]]*$F$3</f>
        <v>0</v>
      </c>
      <c r="I1671" s="246">
        <f>_xlfn.XLOOKUP(FME_Ranking1[[#This Row],[FME ID]],FME_Input[FME_ID],FME_Input[STRUCT_100])</f>
        <v>3</v>
      </c>
      <c r="J1671" s="178">
        <f>(FME_Ranking1[[#This Row],[Structures 100 Raw]]/I$2)*100</f>
        <v>1.6064773165402903E-3</v>
      </c>
      <c r="K1671" s="178">
        <f>FME_Ranking1[[#This Row],[Structures 100  Score (Normalized, Unweighted)]]*$I$3</f>
        <v>2.4097159748104354E-4</v>
      </c>
      <c r="L1671" s="246">
        <f>_xlfn.XLOOKUP(FME_Ranking1[[#This Row],[FME ID]],FME_Input[FME_ID],FME_Input[RES_STRUCT100])</f>
        <v>3</v>
      </c>
      <c r="M1671" s="230">
        <f>(FME_Ranking1[[#This Row],[Res Structures Raw]]/L$2)*100</f>
        <v>2.1249167740930146E-3</v>
      </c>
      <c r="N1671" s="180">
        <f>FME_Ranking1[[#This Row],[Res Structures Score (Normalized, Unweighted)]]*$L$3</f>
        <v>2.1249167740930149E-4</v>
      </c>
      <c r="O1671" s="244">
        <f>_xlfn.XLOOKUP(FME_Ranking1[[#This Row],[FME ID]],FME_Input[FME_ID],FME_Input[POP100])</f>
        <v>3</v>
      </c>
      <c r="P1671" s="178">
        <f>(FME_Ranking1[[#This Row],[Pop Raw]]/$O$2)*100</f>
        <v>3.0712593596628988E-4</v>
      </c>
      <c r="Q1671" s="178">
        <f>FME_Ranking1[[#This Row],[Pop Score (Normalized, Unweighted)]]*$O$3</f>
        <v>4.6068890394943479E-5</v>
      </c>
      <c r="R1671" s="137">
        <f>_xlfn.XLOOKUP(FME_Ranking1[[#This Row],[FME ID]],FME_Input[FME_ID],FME_Input[CRITFAC100])</f>
        <v>0</v>
      </c>
      <c r="S1671" s="230">
        <f>(FME_Ranking1[[#This Row],[Critical Facilities Raw]]/$R$2)*100</f>
        <v>0</v>
      </c>
      <c r="T1671" s="180">
        <f>FME_Ranking1[[#This Row],[Critical Facilities Score (Normalized, Unweighted)]]*$R$3</f>
        <v>0</v>
      </c>
      <c r="U1671">
        <f>_xlfn.XLOOKUP(FME_Ranking1[[#This Row],[FME ID]],FME_Input[FME_ID],FME_Input[LWC])</f>
        <v>1</v>
      </c>
      <c r="V1671" s="178">
        <f>(FME_Ranking1[[#This Row],[LWC Raw]]/$U$2)*100</f>
        <v>5.7570523891767422E-2</v>
      </c>
      <c r="W1671" s="178">
        <f>FME_Ranking1[[#This Row],[LWC Score (Normalized, Unweighted)]]*$U$3</f>
        <v>1.1514104778353485E-2</v>
      </c>
      <c r="X1671" s="246">
        <f>_xlfn.XLOOKUP(FME_Ranking1[[#This Row],[FME ID]],FME_Input[FME_ID],FME_Input[ROADCLS])</f>
        <v>0</v>
      </c>
      <c r="Y1671" s="230">
        <f>(FME_Ranking1[[#This Row],[Closures Raw]]/$X$2)*100</f>
        <v>0</v>
      </c>
      <c r="Z1671" s="180">
        <f>FME_Ranking1[[#This Row],[Closures Score (Normalized, Unweighted)]]*$X$3</f>
        <v>0</v>
      </c>
      <c r="AA1671" s="253">
        <f>_xlfn.XLOOKUP(FME_Ranking1[[#This Row],[FME ID]],FME_Input[FME_ID],FME_Input[ROAD_MILES100])</f>
        <v>0</v>
      </c>
      <c r="AB1671" s="178">
        <f>(FME_Ranking1[[#This Row],[Miles Raw]]/$AA$2)*100</f>
        <v>0</v>
      </c>
      <c r="AC1671" s="178">
        <f>FME_Ranking1[[#This Row],[Miles Score (Normalized, Unweighted)]]*$AA$3</f>
        <v>0</v>
      </c>
      <c r="AD1671" s="255">
        <f>_xlfn.XLOOKUP(FME_Ranking1[[#This Row],[FME ID]],FME_Input[FME_ID],FME_Input[FARMACRE100])</f>
        <v>0</v>
      </c>
      <c r="AE1671" s="230">
        <f>(FME_Ranking1[[#This Row],[Ag Land Raw]]/$AD$2)*100</f>
        <v>0</v>
      </c>
      <c r="AF1671" s="231">
        <f>FME_Ranking1[[#This Row],[Ag Land Score (Normalized, Unweighted)]]*$AD$3</f>
        <v>0</v>
      </c>
      <c r="AG167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1.2013636943638772E-2</v>
      </c>
      <c r="AH1671" s="406">
        <f t="shared" si="26"/>
        <v>1714</v>
      </c>
      <c r="AI167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1.2013636943638772E-2</v>
      </c>
      <c r="AJ1671" s="257">
        <f>FME_Ranking1[[#This Row],[Addition check]]-FME_Ranking1[[#This Row],[Weighted Score Based on Normalized Reported Factors]]</f>
        <v>0</v>
      </c>
      <c r="AK1671" s="178">
        <f>_xlfn.RANK.EQ(AI1671,$AI$6:$AI$2341,0)+COUNTIF($AI$6:AI1671,AI1671)-1</f>
        <v>1714</v>
      </c>
    </row>
    <row r="1672" spans="1:37" x14ac:dyDescent="0.25">
      <c r="A1672" t="s">
        <v>9257</v>
      </c>
      <c r="B1672">
        <f>_xlfn.XLOOKUP(FME_Ranking1[[#This Row],[FME ID]],FME_Input[FME_ID],FME_Input[RFPG_NUM])</f>
        <v>12</v>
      </c>
      <c r="C1672" t="str">
        <f>_xlfn.XLOOKUP(FME_Ranking1[[#This Row],[FME ID]],FME_Input[FME_ID],FME_Input[FME_NAME])</f>
        <v>Huebner Creek Flood Control Project Segment 1</v>
      </c>
      <c r="D1672" t="str">
        <f>_xlfn.XLOOKUP(FME_Ranking1[[#This Row],[FME ID]],FME_Input[FME_ID],FME_Input[DESCR])</f>
        <v>The channel will be widened to 50” in front of Raymond Rimkus Park (6440 Evers Road) and then widened more from the park to the bridge.</v>
      </c>
      <c r="E1672" s="256">
        <f>_xlfn.XLOOKUP(FME_Ranking1[[#This Row],[FME ID]],FME_Input[FME_ID],FME_Input[FME_COST])</f>
        <v>22471310</v>
      </c>
      <c r="F1672" t="str">
        <f>_xlfn.XLOOKUP(FME_Ranking1[[#This Row],[FME ID]],FME_Input[FME_ID],FME_Input[EMER_NEED])</f>
        <v>Yes</v>
      </c>
      <c r="G1672">
        <f>IF(FME_Ranking!F1672="Yes",100,0)</f>
        <v>100</v>
      </c>
      <c r="H1672">
        <f>FME_Ranking1[[#This Row],[Emergency Need Score (Normalized, Unweighted)]]*$F$3</f>
        <v>0</v>
      </c>
      <c r="I1672" s="246">
        <f>_xlfn.XLOOKUP(FME_Ranking1[[#This Row],[FME ID]],FME_Input[FME_ID],FME_Input[STRUCT_100])</f>
        <v>12</v>
      </c>
      <c r="J1672" s="178">
        <f>(FME_Ranking1[[#This Row],[Structures 100 Raw]]/I$2)*100</f>
        <v>6.4259092661611613E-3</v>
      </c>
      <c r="K1672" s="178">
        <f>FME_Ranking1[[#This Row],[Structures 100  Score (Normalized, Unweighted)]]*$I$3</f>
        <v>9.6388638992417417E-4</v>
      </c>
      <c r="L1672" s="246">
        <f>_xlfn.XLOOKUP(FME_Ranking1[[#This Row],[FME ID]],FME_Input[FME_ID],FME_Input[RES_STRUCT100])</f>
        <v>5</v>
      </c>
      <c r="M1672" s="230">
        <f>(FME_Ranking1[[#This Row],[Res Structures Raw]]/L$2)*100</f>
        <v>3.5415279568216909E-3</v>
      </c>
      <c r="N1672" s="180">
        <f>FME_Ranking1[[#This Row],[Res Structures Score (Normalized, Unweighted)]]*$L$3</f>
        <v>3.5415279568216913E-4</v>
      </c>
      <c r="O1672" s="244">
        <f>_xlfn.XLOOKUP(FME_Ranking1[[#This Row],[FME ID]],FME_Input[FME_ID],FME_Input[POP100])</f>
        <v>28</v>
      </c>
      <c r="P1672" s="178">
        <f>(FME_Ranking1[[#This Row],[Pop Raw]]/$O$2)*100</f>
        <v>2.8665087356853718E-3</v>
      </c>
      <c r="Q1672" s="178">
        <f>FME_Ranking1[[#This Row],[Pop Score (Normalized, Unweighted)]]*$O$3</f>
        <v>4.2997631035280578E-4</v>
      </c>
      <c r="R1672" s="137">
        <f>_xlfn.XLOOKUP(FME_Ranking1[[#This Row],[FME ID]],FME_Input[FME_ID],FME_Input[CRITFAC100])</f>
        <v>1</v>
      </c>
      <c r="S1672" s="230">
        <f>(FME_Ranking1[[#This Row],[Critical Facilities Raw]]/$R$2)*100</f>
        <v>4.2881646655231559E-2</v>
      </c>
      <c r="T1672" s="180">
        <f>FME_Ranking1[[#This Row],[Critical Facilities Score (Normalized, Unweighted)]]*$R$3</f>
        <v>8.5763293310463125E-3</v>
      </c>
      <c r="U1672">
        <f>_xlfn.XLOOKUP(FME_Ranking1[[#This Row],[FME ID]],FME_Input[FME_ID],FME_Input[LWC])</f>
        <v>0</v>
      </c>
      <c r="V1672" s="178">
        <f>(FME_Ranking1[[#This Row],[LWC Raw]]/$U$2)*100</f>
        <v>0</v>
      </c>
      <c r="W1672" s="178">
        <f>FME_Ranking1[[#This Row],[LWC Score (Normalized, Unweighted)]]*$U$3</f>
        <v>0</v>
      </c>
      <c r="X1672" s="246">
        <f>_xlfn.XLOOKUP(FME_Ranking1[[#This Row],[FME ID]],FME_Input[FME_ID],FME_Input[ROADCLS])</f>
        <v>3</v>
      </c>
      <c r="Y1672" s="230">
        <f>(FME_Ranking1[[#This Row],[Closures Raw]]/$X$2)*100</f>
        <v>3.1542424561034593E-2</v>
      </c>
      <c r="Z1672" s="180">
        <f>FME_Ranking1[[#This Row],[Closures Score (Normalized, Unweighted)]]*$X$3</f>
        <v>1.5771212280517297E-3</v>
      </c>
      <c r="AA1672" s="253">
        <f>_xlfn.XLOOKUP(FME_Ranking1[[#This Row],[FME ID]],FME_Input[FME_ID],FME_Input[ROAD_MILES100])</f>
        <v>9.0000003576278687E-2</v>
      </c>
      <c r="AB1672" s="178">
        <f>(FME_Ranking1[[#This Row],[Miles Raw]]/$AA$2)*100</f>
        <v>1.1833386244434964E-3</v>
      </c>
      <c r="AC1672" s="178">
        <f>FME_Ranking1[[#This Row],[Miles Score (Normalized, Unweighted)]]*$AA$3</f>
        <v>1.1833386244434964E-4</v>
      </c>
      <c r="AD1672" s="255">
        <f>_xlfn.XLOOKUP(FME_Ranking1[[#This Row],[FME ID]],FME_Input[FME_ID],FME_Input[FARMACRE100])</f>
        <v>0</v>
      </c>
      <c r="AE1672" s="230">
        <f>(FME_Ranking1[[#This Row],[Ag Land Raw]]/$AD$2)*100</f>
        <v>0</v>
      </c>
      <c r="AF1672" s="231">
        <f>FME_Ranking1[[#This Row],[Ag Land Score (Normalized, Unweighted)]]*$AD$3</f>
        <v>0</v>
      </c>
      <c r="AG167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1.2019799917501541E-2</v>
      </c>
      <c r="AH1672" s="406">
        <f t="shared" si="26"/>
        <v>1713</v>
      </c>
      <c r="AI167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1.2019799917501541E-2</v>
      </c>
      <c r="AJ1672" s="257">
        <f>FME_Ranking1[[#This Row],[Addition check]]-FME_Ranking1[[#This Row],[Weighted Score Based on Normalized Reported Factors]]</f>
        <v>0</v>
      </c>
      <c r="AK1672" s="178">
        <f>_xlfn.RANK.EQ(AI1672,$AI$6:$AI$2341,0)+COUNTIF($AI$6:AI1672,AI1672)-1</f>
        <v>1713</v>
      </c>
    </row>
    <row r="1673" spans="1:37" x14ac:dyDescent="0.25">
      <c r="A1673" t="s">
        <v>1817</v>
      </c>
      <c r="B1673">
        <f>_xlfn.XLOOKUP(FME_Ranking1[[#This Row],[FME ID]],FME_Input[FME_ID],FME_Input[RFPG_NUM])</f>
        <v>6</v>
      </c>
      <c r="C1673" t="str">
        <f>_xlfn.XLOOKUP(FME_Ranking1[[#This Row],[FME ID]],FME_Input[FME_ID],FME_Input[FME_NAME])</f>
        <v>City of Willis  Master Drainage Plan</v>
      </c>
      <c r="D1673" t="str">
        <f>_xlfn.XLOOKUP(FME_Ranking1[[#This Row],[FME ID]],FME_Input[FME_ID],FME_Input[DESCR])</f>
        <v>Study to develop Master Drainage Plan using future and existing land use and flood/storm water drainage needs including Atlas 14 rainfall.</v>
      </c>
      <c r="E1673" s="256">
        <f>_xlfn.XLOOKUP(FME_Ranking1[[#This Row],[FME ID]],FME_Input[FME_ID],FME_Input[FME_COST])</f>
        <v>250000</v>
      </c>
      <c r="F1673" t="str">
        <f>_xlfn.XLOOKUP(FME_Ranking1[[#This Row],[FME ID]],FME_Input[FME_ID],FME_Input[EMER_NEED])</f>
        <v>No</v>
      </c>
      <c r="G1673">
        <f>IF(FME_Ranking!F1673="Yes",100,0)</f>
        <v>0</v>
      </c>
      <c r="H1673">
        <f>FME_Ranking1[[#This Row],[Emergency Need Score (Normalized, Unweighted)]]*$F$3</f>
        <v>0</v>
      </c>
      <c r="I1673" s="246">
        <f>_xlfn.XLOOKUP(FME_Ranking1[[#This Row],[FME ID]],FME_Input[FME_ID],FME_Input[STRUCT_100])</f>
        <v>61</v>
      </c>
      <c r="J1673" s="178">
        <f>(FME_Ranking1[[#This Row],[Structures 100 Raw]]/I$2)*100</f>
        <v>3.2665038769652571E-2</v>
      </c>
      <c r="K1673" s="178">
        <f>FME_Ranking1[[#This Row],[Structures 100  Score (Normalized, Unweighted)]]*$I$3</f>
        <v>4.8997558154478859E-3</v>
      </c>
      <c r="L1673" s="246">
        <f>_xlfn.XLOOKUP(FME_Ranking1[[#This Row],[FME ID]],FME_Input[FME_ID],FME_Input[RES_STRUCT100])</f>
        <v>18</v>
      </c>
      <c r="M1673" s="230">
        <f>(FME_Ranking1[[#This Row],[Res Structures Raw]]/L$2)*100</f>
        <v>1.2749500644558088E-2</v>
      </c>
      <c r="N1673" s="180">
        <f>FME_Ranking1[[#This Row],[Res Structures Score (Normalized, Unweighted)]]*$L$3</f>
        <v>1.2749500644558089E-3</v>
      </c>
      <c r="O1673" s="244">
        <f>_xlfn.XLOOKUP(FME_Ranking1[[#This Row],[FME ID]],FME_Input[FME_ID],FME_Input[POP100])</f>
        <v>372</v>
      </c>
      <c r="P1673" s="178">
        <f>(FME_Ranking1[[#This Row],[Pop Raw]]/$O$2)*100</f>
        <v>3.8083616059819941E-2</v>
      </c>
      <c r="Q1673" s="178">
        <f>FME_Ranking1[[#This Row],[Pop Score (Normalized, Unweighted)]]*$O$3</f>
        <v>5.712542408972991E-3</v>
      </c>
      <c r="R1673" s="137">
        <f>_xlfn.XLOOKUP(FME_Ranking1[[#This Row],[FME ID]],FME_Input[FME_ID],FME_Input[CRITFAC100])</f>
        <v>0</v>
      </c>
      <c r="S1673" s="230">
        <f>(FME_Ranking1[[#This Row],[Critical Facilities Raw]]/$R$2)*100</f>
        <v>0</v>
      </c>
      <c r="T1673" s="180">
        <f>FME_Ranking1[[#This Row],[Critical Facilities Score (Normalized, Unweighted)]]*$R$3</f>
        <v>0</v>
      </c>
      <c r="U1673">
        <f>_xlfn.XLOOKUP(FME_Ranking1[[#This Row],[FME ID]],FME_Input[FME_ID],FME_Input[LWC])</f>
        <v>0</v>
      </c>
      <c r="V1673" s="178">
        <f>(FME_Ranking1[[#This Row],[LWC Raw]]/$U$2)*100</f>
        <v>0</v>
      </c>
      <c r="W1673" s="178">
        <f>FME_Ranking1[[#This Row],[LWC Score (Normalized, Unweighted)]]*$U$3</f>
        <v>0</v>
      </c>
      <c r="X1673" s="246">
        <f>_xlfn.XLOOKUP(FME_Ranking1[[#This Row],[FME ID]],FME_Input[FME_ID],FME_Input[ROADCLS])</f>
        <v>0</v>
      </c>
      <c r="Y1673" s="230">
        <f>(FME_Ranking1[[#This Row],[Closures Raw]]/$X$2)*100</f>
        <v>0</v>
      </c>
      <c r="Z1673" s="180">
        <f>FME_Ranking1[[#This Row],[Closures Score (Normalized, Unweighted)]]*$X$3</f>
        <v>0</v>
      </c>
      <c r="AA1673" s="253">
        <f>_xlfn.XLOOKUP(FME_Ranking1[[#This Row],[FME ID]],FME_Input[FME_ID],FME_Input[ROAD_MILES100])</f>
        <v>1.664969325065613</v>
      </c>
      <c r="AB1673" s="178">
        <f>(FME_Ranking1[[#This Row],[Miles Raw]]/$AA$2)*100</f>
        <v>2.189136036193504E-2</v>
      </c>
      <c r="AC1673" s="178">
        <f>FME_Ranking1[[#This Row],[Miles Score (Normalized, Unweighted)]]*$AA$3</f>
        <v>2.1891360361935039E-3</v>
      </c>
      <c r="AD1673" s="255">
        <f>_xlfn.XLOOKUP(FME_Ranking1[[#This Row],[FME ID]],FME_Input[FME_ID],FME_Input[FARMACRE100])</f>
        <v>0.92410212755203247</v>
      </c>
      <c r="AE1673" s="230">
        <f>(FME_Ranking1[[#This Row],[Ag Land Raw]]/$AD$2)*100</f>
        <v>3.8105834993662411E-5</v>
      </c>
      <c r="AF1673" s="231">
        <f>FME_Ranking1[[#This Row],[Ag Land Score (Normalized, Unweighted)]]*$AD$3</f>
        <v>1.9052917496831207E-6</v>
      </c>
      <c r="AG167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1.4078289616819874E-2</v>
      </c>
      <c r="AH1673" s="406">
        <f t="shared" si="26"/>
        <v>1648</v>
      </c>
      <c r="AI167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1.4078289616819874E-2</v>
      </c>
      <c r="AJ1673" s="257">
        <f>FME_Ranking1[[#This Row],[Addition check]]-FME_Ranking1[[#This Row],[Weighted Score Based on Normalized Reported Factors]]</f>
        <v>0</v>
      </c>
      <c r="AK1673" s="178">
        <f>_xlfn.RANK.EQ(AI1673,$AI$6:$AI$2341,0)+COUNTIF($AI$6:AI1673,AI1673)-1</f>
        <v>1648</v>
      </c>
    </row>
    <row r="1674" spans="1:37" x14ac:dyDescent="0.25">
      <c r="A1674" t="s">
        <v>8616</v>
      </c>
      <c r="B1674">
        <f>_xlfn.XLOOKUP(FME_Ranking1[[#This Row],[FME ID]],FME_Input[FME_ID],FME_Input[RFPG_NUM])</f>
        <v>11</v>
      </c>
      <c r="C1674" t="str">
        <f>_xlfn.XLOOKUP(FME_Ranking1[[#This Row],[FME ID]],FME_Input[FME_ID],FME_Input[FME_NAME])</f>
        <v>City of Buda Dam Study</v>
      </c>
      <c r="D1674" t="str">
        <f>_xlfn.XLOOKUP(FME_Ranking1[[#This Row],[FME ID]],FME_Input[FME_ID],FME_Input[DESCR])</f>
        <v>Study to evaluate dam failure risks, planning for structural and nonstructural measures to protect the integrity of the earthen fill dams.</v>
      </c>
      <c r="E1674" s="256">
        <f>_xlfn.XLOOKUP(FME_Ranking1[[#This Row],[FME ID]],FME_Input[FME_ID],FME_Input[FME_COST])</f>
        <v>500000</v>
      </c>
      <c r="F1674" t="str">
        <f>_xlfn.XLOOKUP(FME_Ranking1[[#This Row],[FME ID]],FME_Input[FME_ID],FME_Input[EMER_NEED])</f>
        <v>No</v>
      </c>
      <c r="G1674">
        <f>IF(FME_Ranking!F1674="Yes",100,0)</f>
        <v>0</v>
      </c>
      <c r="H1674">
        <f>FME_Ranking1[[#This Row],[Emergency Need Score (Normalized, Unweighted)]]*$F$3</f>
        <v>0</v>
      </c>
      <c r="I1674" s="246">
        <f>_xlfn.XLOOKUP(FME_Ranking1[[#This Row],[FME ID]],FME_Input[FME_ID],FME_Input[STRUCT_100])</f>
        <v>3</v>
      </c>
      <c r="J1674" s="178">
        <f>(FME_Ranking1[[#This Row],[Structures 100 Raw]]/I$2)*100</f>
        <v>1.6064773165402903E-3</v>
      </c>
      <c r="K1674" s="178">
        <f>FME_Ranking1[[#This Row],[Structures 100  Score (Normalized, Unweighted)]]*$I$3</f>
        <v>2.4097159748104354E-4</v>
      </c>
      <c r="L1674" s="246">
        <f>_xlfn.XLOOKUP(FME_Ranking1[[#This Row],[FME ID]],FME_Input[FME_ID],FME_Input[RES_STRUCT100])</f>
        <v>1</v>
      </c>
      <c r="M1674" s="230">
        <f>(FME_Ranking1[[#This Row],[Res Structures Raw]]/L$2)*100</f>
        <v>7.0830559136433825E-4</v>
      </c>
      <c r="N1674" s="180">
        <f>FME_Ranking1[[#This Row],[Res Structures Score (Normalized, Unweighted)]]*$L$3</f>
        <v>7.0830559136433833E-5</v>
      </c>
      <c r="O1674" s="244">
        <f>_xlfn.XLOOKUP(FME_Ranking1[[#This Row],[FME ID]],FME_Input[FME_ID],FME_Input[POP100])</f>
        <v>3</v>
      </c>
      <c r="P1674" s="178">
        <f>(FME_Ranking1[[#This Row],[Pop Raw]]/$O$2)*100</f>
        <v>3.0712593596628988E-4</v>
      </c>
      <c r="Q1674" s="178">
        <f>FME_Ranking1[[#This Row],[Pop Score (Normalized, Unweighted)]]*$O$3</f>
        <v>4.6068890394943479E-5</v>
      </c>
      <c r="R1674" s="137">
        <f>_xlfn.XLOOKUP(FME_Ranking1[[#This Row],[FME ID]],FME_Input[FME_ID],FME_Input[CRITFAC100])</f>
        <v>0</v>
      </c>
      <c r="S1674" s="230">
        <f>(FME_Ranking1[[#This Row],[Critical Facilities Raw]]/$R$2)*100</f>
        <v>0</v>
      </c>
      <c r="T1674" s="180">
        <f>FME_Ranking1[[#This Row],[Critical Facilities Score (Normalized, Unweighted)]]*$R$3</f>
        <v>0</v>
      </c>
      <c r="U1674">
        <f>_xlfn.XLOOKUP(FME_Ranking1[[#This Row],[FME ID]],FME_Input[FME_ID],FME_Input[LWC])</f>
        <v>1</v>
      </c>
      <c r="V1674" s="178">
        <f>(FME_Ranking1[[#This Row],[LWC Raw]]/$U$2)*100</f>
        <v>5.7570523891767422E-2</v>
      </c>
      <c r="W1674" s="178">
        <f>FME_Ranking1[[#This Row],[LWC Score (Normalized, Unweighted)]]*$U$3</f>
        <v>1.1514104778353485E-2</v>
      </c>
      <c r="X1674" s="246">
        <f>_xlfn.XLOOKUP(FME_Ranking1[[#This Row],[FME ID]],FME_Input[FME_ID],FME_Input[ROADCLS])</f>
        <v>0</v>
      </c>
      <c r="Y1674" s="230">
        <f>(FME_Ranking1[[#This Row],[Closures Raw]]/$X$2)*100</f>
        <v>0</v>
      </c>
      <c r="Z1674" s="180">
        <f>FME_Ranking1[[#This Row],[Closures Score (Normalized, Unweighted)]]*$X$3</f>
        <v>0</v>
      </c>
      <c r="AA1674" s="253">
        <f>_xlfn.XLOOKUP(FME_Ranking1[[#This Row],[FME ID]],FME_Input[FME_ID],FME_Input[ROAD_MILES100])</f>
        <v>0.86334943771362305</v>
      </c>
      <c r="AB1674" s="178">
        <f>(FME_Ranking1[[#This Row],[Miles Raw]]/$AA$2)*100</f>
        <v>1.1351496616022104E-2</v>
      </c>
      <c r="AC1674" s="178">
        <f>FME_Ranking1[[#This Row],[Miles Score (Normalized, Unweighted)]]*$AA$3</f>
        <v>1.1351496616022105E-3</v>
      </c>
      <c r="AD1674" s="255">
        <f>_xlfn.XLOOKUP(FME_Ranking1[[#This Row],[FME ID]],FME_Input[FME_ID],FME_Input[FARMACRE100])</f>
        <v>7.7387247085571289</v>
      </c>
      <c r="AE1674" s="230">
        <f>(FME_Ranking1[[#This Row],[Ag Land Raw]]/$AD$2)*100</f>
        <v>3.1911036455118655E-4</v>
      </c>
      <c r="AF1674" s="231">
        <f>FME_Ranking1[[#This Row],[Ag Land Score (Normalized, Unweighted)]]*$AD$3</f>
        <v>1.5955518227559327E-5</v>
      </c>
      <c r="AG167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1.3023081005195676E-2</v>
      </c>
      <c r="AH1674" s="406">
        <f t="shared" si="26"/>
        <v>1667</v>
      </c>
      <c r="AI167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1.3023081005195676E-2</v>
      </c>
      <c r="AJ1674" s="257">
        <f>FME_Ranking1[[#This Row],[Addition check]]-FME_Ranking1[[#This Row],[Weighted Score Based on Normalized Reported Factors]]</f>
        <v>0</v>
      </c>
      <c r="AK1674" s="178">
        <f>_xlfn.RANK.EQ(AI1674,$AI$6:$AI$2341,0)+COUNTIF($AI$6:AI1674,AI1674)-1</f>
        <v>1667</v>
      </c>
    </row>
    <row r="1675" spans="1:37" x14ac:dyDescent="0.25">
      <c r="A1675" t="s">
        <v>376</v>
      </c>
      <c r="B1675">
        <f>_xlfn.XLOOKUP(FME_Ranking1[[#This Row],[FME ID]],FME_Input[FME_ID],FME_Input[RFPG_NUM])</f>
        <v>10</v>
      </c>
      <c r="C1675" t="str">
        <f>_xlfn.XLOOKUP(FME_Ranking1[[#This Row],[FME ID]],FME_Input[FME_ID],FME_Input[FME_NAME])</f>
        <v>Jackson County Hospital District</v>
      </c>
      <c r="D1675" t="str">
        <f>_xlfn.XLOOKUP(FME_Ranking1[[#This Row],[FME ID]],FME_Input[FME_ID],FME_Input[DESCR])</f>
        <v>Jackson County Hospital Flood Plan</v>
      </c>
      <c r="E1675" s="256">
        <f>_xlfn.XLOOKUP(FME_Ranking1[[#This Row],[FME ID]],FME_Input[FME_ID],FME_Input[FME_COST])</f>
        <v>150000</v>
      </c>
      <c r="F1675" t="str">
        <f>_xlfn.XLOOKUP(FME_Ranking1[[#This Row],[FME ID]],FME_Input[FME_ID],FME_Input[EMER_NEED])</f>
        <v>No</v>
      </c>
      <c r="G1675">
        <f>IF(FME_Ranking!F1675="Yes",100,0)</f>
        <v>0</v>
      </c>
      <c r="H1675">
        <f>FME_Ranking1[[#This Row],[Emergency Need Score (Normalized, Unweighted)]]*$F$3</f>
        <v>0</v>
      </c>
      <c r="I1675" s="246">
        <f>_xlfn.XLOOKUP(FME_Ranking1[[#This Row],[FME ID]],FME_Input[FME_ID],FME_Input[STRUCT_100])</f>
        <v>3</v>
      </c>
      <c r="J1675" s="178">
        <f>(FME_Ranking1[[#This Row],[Structures 100 Raw]]/I$2)*100</f>
        <v>1.6064773165402903E-3</v>
      </c>
      <c r="K1675" s="178">
        <f>FME_Ranking1[[#This Row],[Structures 100  Score (Normalized, Unweighted)]]*$I$3</f>
        <v>2.4097159748104354E-4</v>
      </c>
      <c r="L1675" s="246">
        <f>_xlfn.XLOOKUP(FME_Ranking1[[#This Row],[FME ID]],FME_Input[FME_ID],FME_Input[RES_STRUCT100])</f>
        <v>0</v>
      </c>
      <c r="M1675" s="230">
        <f>(FME_Ranking1[[#This Row],[Res Structures Raw]]/L$2)*100</f>
        <v>0</v>
      </c>
      <c r="N1675" s="180">
        <f>FME_Ranking1[[#This Row],[Res Structures Score (Normalized, Unweighted)]]*$L$3</f>
        <v>0</v>
      </c>
      <c r="O1675" s="244">
        <f>_xlfn.XLOOKUP(FME_Ranking1[[#This Row],[FME ID]],FME_Input[FME_ID],FME_Input[POP100])</f>
        <v>5</v>
      </c>
      <c r="P1675" s="178">
        <f>(FME_Ranking1[[#This Row],[Pop Raw]]/$O$2)*100</f>
        <v>5.1187655994381644E-4</v>
      </c>
      <c r="Q1675" s="178">
        <f>FME_Ranking1[[#This Row],[Pop Score (Normalized, Unweighted)]]*$O$3</f>
        <v>7.6781483991572469E-5</v>
      </c>
      <c r="R1675" s="137">
        <f>_xlfn.XLOOKUP(FME_Ranking1[[#This Row],[FME ID]],FME_Input[FME_ID],FME_Input[CRITFAC100])</f>
        <v>0</v>
      </c>
      <c r="S1675" s="230">
        <f>(FME_Ranking1[[#This Row],[Critical Facilities Raw]]/$R$2)*100</f>
        <v>0</v>
      </c>
      <c r="T1675" s="180">
        <f>FME_Ranking1[[#This Row],[Critical Facilities Score (Normalized, Unweighted)]]*$R$3</f>
        <v>0</v>
      </c>
      <c r="U1675">
        <f>_xlfn.XLOOKUP(FME_Ranking1[[#This Row],[FME ID]],FME_Input[FME_ID],FME_Input[LWC])</f>
        <v>1</v>
      </c>
      <c r="V1675" s="178">
        <f>(FME_Ranking1[[#This Row],[LWC Raw]]/$U$2)*100</f>
        <v>5.7570523891767422E-2</v>
      </c>
      <c r="W1675" s="178">
        <f>FME_Ranking1[[#This Row],[LWC Score (Normalized, Unweighted)]]*$U$3</f>
        <v>1.1514104778353485E-2</v>
      </c>
      <c r="X1675" s="246">
        <f>_xlfn.XLOOKUP(FME_Ranking1[[#This Row],[FME ID]],FME_Input[FME_ID],FME_Input[ROADCLS])</f>
        <v>0</v>
      </c>
      <c r="Y1675" s="230">
        <f>(FME_Ranking1[[#This Row],[Closures Raw]]/$X$2)*100</f>
        <v>0</v>
      </c>
      <c r="Z1675" s="180">
        <f>FME_Ranking1[[#This Row],[Closures Score (Normalized, Unweighted)]]*$X$3</f>
        <v>0</v>
      </c>
      <c r="AA1675" s="253">
        <f>_xlfn.XLOOKUP(FME_Ranking1[[#This Row],[FME ID]],FME_Input[FME_ID],FME_Input[ROAD_MILES100])</f>
        <v>0.11882103234529499</v>
      </c>
      <c r="AB1675" s="178">
        <f>(FME_Ranking1[[#This Row],[Miles Raw]]/$AA$2)*100</f>
        <v>1.5622834598141839E-3</v>
      </c>
      <c r="AC1675" s="178">
        <f>FME_Ranking1[[#This Row],[Miles Score (Normalized, Unweighted)]]*$AA$3</f>
        <v>1.5622834598141841E-4</v>
      </c>
      <c r="AD1675" s="255">
        <f>_xlfn.XLOOKUP(FME_Ranking1[[#This Row],[FME ID]],FME_Input[FME_ID],FME_Input[FARMACRE100])</f>
        <v>0</v>
      </c>
      <c r="AE1675" s="230">
        <f>(FME_Ranking1[[#This Row],[Ag Land Raw]]/$AD$2)*100</f>
        <v>0</v>
      </c>
      <c r="AF1675" s="231">
        <f>FME_Ranking1[[#This Row],[Ag Land Score (Normalized, Unweighted)]]*$AD$3</f>
        <v>0</v>
      </c>
      <c r="AG167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1.1988086205807519E-2</v>
      </c>
      <c r="AH1675" s="406">
        <f t="shared" si="26"/>
        <v>1715</v>
      </c>
      <c r="AI167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1.1988086205807519E-2</v>
      </c>
      <c r="AJ1675" s="257">
        <f>FME_Ranking1[[#This Row],[Addition check]]-FME_Ranking1[[#This Row],[Weighted Score Based on Normalized Reported Factors]]</f>
        <v>0</v>
      </c>
      <c r="AK1675" s="178">
        <f>_xlfn.RANK.EQ(AI1675,$AI$6:$AI$2341,0)+COUNTIF($AI$6:AI1675,AI1675)-1</f>
        <v>1715</v>
      </c>
    </row>
    <row r="1676" spans="1:37" x14ac:dyDescent="0.25">
      <c r="A1676" t="s">
        <v>3154</v>
      </c>
      <c r="B1676">
        <f>_xlfn.XLOOKUP(FME_Ranking1[[#This Row],[FME ID]],FME_Input[FME_ID],FME_Input[RFPG_NUM])</f>
        <v>1</v>
      </c>
      <c r="C1676" t="str">
        <f>_xlfn.XLOOKUP(FME_Ranking1[[#This Row],[FME ID]],FME_Input[FME_ID],FME_Input[FME_NAME])</f>
        <v>Timbercreek Canyon City Drainage Master Plan</v>
      </c>
      <c r="D1676" t="str">
        <f>_xlfn.XLOOKUP(FME_Ranking1[[#This Row],[FME ID]],FME_Input[FME_ID],FME_Input[DESCR])</f>
        <v xml:space="preserve">Perform H&amp;H modeling, develop conceptual alternatives and OPCC, and rank projects; selected based on the needs analysis </v>
      </c>
      <c r="E1676" s="256">
        <f>_xlfn.XLOOKUP(FME_Ranking1[[#This Row],[FME ID]],FME_Input[FME_ID],FME_Input[FME_COST])</f>
        <v>250000</v>
      </c>
      <c r="F1676" t="str">
        <f>_xlfn.XLOOKUP(FME_Ranking1[[#This Row],[FME ID]],FME_Input[FME_ID],FME_Input[EMER_NEED])</f>
        <v>No</v>
      </c>
      <c r="G1676">
        <f>IF(FME_Ranking!F1676="Yes",100,0)</f>
        <v>0</v>
      </c>
      <c r="H1676">
        <f>FME_Ranking1[[#This Row],[Emergency Need Score (Normalized, Unweighted)]]*$F$3</f>
        <v>0</v>
      </c>
      <c r="I1676" s="246">
        <f>_xlfn.XLOOKUP(FME_Ranking1[[#This Row],[FME ID]],FME_Input[FME_ID],FME_Input[STRUCT_100])</f>
        <v>19</v>
      </c>
      <c r="J1676" s="178">
        <f>(FME_Ranking1[[#This Row],[Structures 100 Raw]]/I$2)*100</f>
        <v>1.0174356338088506E-2</v>
      </c>
      <c r="K1676" s="178">
        <f>FME_Ranking1[[#This Row],[Structures 100  Score (Normalized, Unweighted)]]*$I$3</f>
        <v>1.5261534507132759E-3</v>
      </c>
      <c r="L1676" s="246">
        <f>_xlfn.XLOOKUP(FME_Ranking1[[#This Row],[FME ID]],FME_Input[FME_ID],FME_Input[RES_STRUCT100])</f>
        <v>16</v>
      </c>
      <c r="M1676" s="230">
        <f>(FME_Ranking1[[#This Row],[Res Structures Raw]]/L$2)*100</f>
        <v>1.1332889461829412E-2</v>
      </c>
      <c r="N1676" s="180">
        <f>FME_Ranking1[[#This Row],[Res Structures Score (Normalized, Unweighted)]]*$L$3</f>
        <v>1.1332889461829413E-3</v>
      </c>
      <c r="O1676" s="244">
        <f>_xlfn.XLOOKUP(FME_Ranking1[[#This Row],[FME ID]],FME_Input[FME_ID],FME_Input[POP100])</f>
        <v>36</v>
      </c>
      <c r="P1676" s="178">
        <f>(FME_Ranking1[[#This Row],[Pop Raw]]/$O$2)*100</f>
        <v>3.6855112315954779E-3</v>
      </c>
      <c r="Q1676" s="178">
        <f>FME_Ranking1[[#This Row],[Pop Score (Normalized, Unweighted)]]*$O$3</f>
        <v>5.5282668473932164E-4</v>
      </c>
      <c r="R1676" s="137">
        <f>_xlfn.XLOOKUP(FME_Ranking1[[#This Row],[FME ID]],FME_Input[FME_ID],FME_Input[CRITFAC100])</f>
        <v>1</v>
      </c>
      <c r="S1676" s="230">
        <f>(FME_Ranking1[[#This Row],[Critical Facilities Raw]]/$R$2)*100</f>
        <v>4.2881646655231559E-2</v>
      </c>
      <c r="T1676" s="180">
        <f>FME_Ranking1[[#This Row],[Critical Facilities Score (Normalized, Unweighted)]]*$R$3</f>
        <v>8.5763293310463125E-3</v>
      </c>
      <c r="U1676">
        <f>_xlfn.XLOOKUP(FME_Ranking1[[#This Row],[FME ID]],FME_Input[FME_ID],FME_Input[LWC])</f>
        <v>0</v>
      </c>
      <c r="V1676" s="178">
        <f>(FME_Ranking1[[#This Row],[LWC Raw]]/$U$2)*100</f>
        <v>0</v>
      </c>
      <c r="W1676" s="178">
        <f>FME_Ranking1[[#This Row],[LWC Score (Normalized, Unweighted)]]*$U$3</f>
        <v>0</v>
      </c>
      <c r="X1676" s="246">
        <f>_xlfn.XLOOKUP(FME_Ranking1[[#This Row],[FME ID]],FME_Input[FME_ID],FME_Input[ROADCLS])</f>
        <v>0</v>
      </c>
      <c r="Y1676" s="230">
        <f>(FME_Ranking1[[#This Row],[Closures Raw]]/$X$2)*100</f>
        <v>0</v>
      </c>
      <c r="Z1676" s="180">
        <f>FME_Ranking1[[#This Row],[Closures Score (Normalized, Unweighted)]]*$X$3</f>
        <v>0</v>
      </c>
      <c r="AA1676" s="253">
        <f>_xlfn.XLOOKUP(FME_Ranking1[[#This Row],[FME ID]],FME_Input[FME_ID],FME_Input[ROAD_MILES100])</f>
        <v>0.73951780796051025</v>
      </c>
      <c r="AB1676" s="178">
        <f>(FME_Ranking1[[#This Row],[Miles Raw]]/$AA$2)*100</f>
        <v>9.7233327872234682E-3</v>
      </c>
      <c r="AC1676" s="178">
        <f>FME_Ranking1[[#This Row],[Miles Score (Normalized, Unweighted)]]*$AA$3</f>
        <v>9.7233327872234688E-4</v>
      </c>
      <c r="AD1676" s="255">
        <f>_xlfn.XLOOKUP(FME_Ranking1[[#This Row],[FME ID]],FME_Input[FME_ID],FME_Input[FARMACRE100])</f>
        <v>0.16217586398124689</v>
      </c>
      <c r="AE1676" s="230">
        <f>(FME_Ranking1[[#This Row],[Ag Land Raw]]/$AD$2)*100</f>
        <v>6.687406649733171E-6</v>
      </c>
      <c r="AF1676" s="231">
        <f>FME_Ranking1[[#This Row],[Ag Land Score (Normalized, Unweighted)]]*$AD$3</f>
        <v>3.3437033248665858E-7</v>
      </c>
      <c r="AG167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1.2761266061736684E-2</v>
      </c>
      <c r="AH1676" s="406">
        <f t="shared" si="26"/>
        <v>1675</v>
      </c>
      <c r="AI167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1.2761266061736684E-2</v>
      </c>
      <c r="AJ1676" s="257">
        <f>FME_Ranking1[[#This Row],[Addition check]]-FME_Ranking1[[#This Row],[Weighted Score Based on Normalized Reported Factors]]</f>
        <v>0</v>
      </c>
      <c r="AK1676" s="178">
        <f>_xlfn.RANK.EQ(AI1676,$AI$6:$AI$2341,0)+COUNTIF($AI$6:AI1676,AI1676)-1</f>
        <v>1675</v>
      </c>
    </row>
    <row r="1677" spans="1:37" x14ac:dyDescent="0.25">
      <c r="A1677" t="s">
        <v>88</v>
      </c>
      <c r="B1677">
        <f>_xlfn.XLOOKUP(FME_Ranking1[[#This Row],[FME ID]],FME_Input[FME_ID],FME_Input[RFPG_NUM])</f>
        <v>10</v>
      </c>
      <c r="C1677" t="str">
        <f>_xlfn.XLOOKUP(FME_Ranking1[[#This Row],[FME ID]],FME_Input[FME_ID],FME_Input[FME_NAME])</f>
        <v>Old Sayers Rd &amp; Little Sandy Creek</v>
      </c>
      <c r="D1677" t="str">
        <f>_xlfn.XLOOKUP(FME_Ranking1[[#This Row],[FME ID]],FME_Input[FME_ID],FME_Input[DESCR])</f>
        <v>LWC upgrade, Box culvert</v>
      </c>
      <c r="E1677" s="256">
        <f>_xlfn.XLOOKUP(FME_Ranking1[[#This Row],[FME ID]],FME_Input[FME_ID],FME_Input[FME_COST])</f>
        <v>100000</v>
      </c>
      <c r="F1677" t="str">
        <f>_xlfn.XLOOKUP(FME_Ranking1[[#This Row],[FME ID]],FME_Input[FME_ID],FME_Input[EMER_NEED])</f>
        <v>No</v>
      </c>
      <c r="G1677">
        <f>IF(FME_Ranking!F1677="Yes",100,0)</f>
        <v>0</v>
      </c>
      <c r="H1677">
        <f>FME_Ranking1[[#This Row],[Emergency Need Score (Normalized, Unweighted)]]*$F$3</f>
        <v>0</v>
      </c>
      <c r="I1677" s="246">
        <f>_xlfn.XLOOKUP(FME_Ranking1[[#This Row],[FME ID]],FME_Input[FME_ID],FME_Input[STRUCT_100])</f>
        <v>0</v>
      </c>
      <c r="J1677" s="178">
        <f>(FME_Ranking1[[#This Row],[Structures 100 Raw]]/I$2)*100</f>
        <v>0</v>
      </c>
      <c r="K1677" s="178">
        <f>FME_Ranking1[[#This Row],[Structures 100  Score (Normalized, Unweighted)]]*$I$3</f>
        <v>0</v>
      </c>
      <c r="L1677" s="246">
        <f>_xlfn.XLOOKUP(FME_Ranking1[[#This Row],[FME ID]],FME_Input[FME_ID],FME_Input[RES_STRUCT100])</f>
        <v>0</v>
      </c>
      <c r="M1677" s="230">
        <f>(FME_Ranking1[[#This Row],[Res Structures Raw]]/L$2)*100</f>
        <v>0</v>
      </c>
      <c r="N1677" s="180">
        <f>FME_Ranking1[[#This Row],[Res Structures Score (Normalized, Unweighted)]]*$L$3</f>
        <v>0</v>
      </c>
      <c r="O1677" s="244">
        <f>_xlfn.XLOOKUP(FME_Ranking1[[#This Row],[FME ID]],FME_Input[FME_ID],FME_Input[POP100])</f>
        <v>0</v>
      </c>
      <c r="P1677" s="178">
        <f>(FME_Ranking1[[#This Row],[Pop Raw]]/$O$2)*100</f>
        <v>0</v>
      </c>
      <c r="Q1677" s="178">
        <f>FME_Ranking1[[#This Row],[Pop Score (Normalized, Unweighted)]]*$O$3</f>
        <v>0</v>
      </c>
      <c r="R1677" s="137">
        <f>_xlfn.XLOOKUP(FME_Ranking1[[#This Row],[FME ID]],FME_Input[FME_ID],FME_Input[CRITFAC100])</f>
        <v>0</v>
      </c>
      <c r="S1677" s="230">
        <f>(FME_Ranking1[[#This Row],[Critical Facilities Raw]]/$R$2)*100</f>
        <v>0</v>
      </c>
      <c r="T1677" s="180">
        <f>FME_Ranking1[[#This Row],[Critical Facilities Score (Normalized, Unweighted)]]*$R$3</f>
        <v>0</v>
      </c>
      <c r="U1677">
        <f>_xlfn.XLOOKUP(FME_Ranking1[[#This Row],[FME ID]],FME_Input[FME_ID],FME_Input[LWC])</f>
        <v>1</v>
      </c>
      <c r="V1677" s="178">
        <f>(FME_Ranking1[[#This Row],[LWC Raw]]/$U$2)*100</f>
        <v>5.7570523891767422E-2</v>
      </c>
      <c r="W1677" s="178">
        <f>FME_Ranking1[[#This Row],[LWC Score (Normalized, Unweighted)]]*$U$3</f>
        <v>1.1514104778353485E-2</v>
      </c>
      <c r="X1677" s="246">
        <f>_xlfn.XLOOKUP(FME_Ranking1[[#This Row],[FME ID]],FME_Input[FME_ID],FME_Input[ROADCLS])</f>
        <v>0</v>
      </c>
      <c r="Y1677" s="230">
        <f>(FME_Ranking1[[#This Row],[Closures Raw]]/$X$2)*100</f>
        <v>0</v>
      </c>
      <c r="Z1677" s="180">
        <f>FME_Ranking1[[#This Row],[Closures Score (Normalized, Unweighted)]]*$X$3</f>
        <v>0</v>
      </c>
      <c r="AA1677" s="253">
        <f>_xlfn.XLOOKUP(FME_Ranking1[[#This Row],[FME ID]],FME_Input[FME_ID],FME_Input[ROAD_MILES100])</f>
        <v>0.18950353562831879</v>
      </c>
      <c r="AB1677" s="178">
        <f>(FME_Ranking1[[#This Row],[Miles Raw]]/$AA$2)*100</f>
        <v>2.4916316029647209E-3</v>
      </c>
      <c r="AC1677" s="178">
        <f>FME_Ranking1[[#This Row],[Miles Score (Normalized, Unweighted)]]*$AA$3</f>
        <v>2.4916316029647211E-4</v>
      </c>
      <c r="AD1677" s="255">
        <f>_xlfn.XLOOKUP(FME_Ranking1[[#This Row],[FME ID]],FME_Input[FME_ID],FME_Input[FARMACRE100])</f>
        <v>105.46693420410161</v>
      </c>
      <c r="AE1677" s="230">
        <f>(FME_Ranking1[[#This Row],[Ag Land Raw]]/$AD$2)*100</f>
        <v>4.3489842434570707E-3</v>
      </c>
      <c r="AF1677" s="231">
        <f>FME_Ranking1[[#This Row],[Ag Land Score (Normalized, Unweighted)]]*$AD$3</f>
        <v>2.1744921217285354E-4</v>
      </c>
      <c r="AG167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1.1980717150822811E-2</v>
      </c>
      <c r="AH1677" s="406">
        <f t="shared" si="26"/>
        <v>1716</v>
      </c>
      <c r="AI167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1.1980717150822811E-2</v>
      </c>
      <c r="AJ1677" s="257">
        <f>FME_Ranking1[[#This Row],[Addition check]]-FME_Ranking1[[#This Row],[Weighted Score Based on Normalized Reported Factors]]</f>
        <v>0</v>
      </c>
      <c r="AK1677" s="178">
        <f>_xlfn.RANK.EQ(AI1677,$AI$6:$AI$2341,0)+COUNTIF($AI$6:AI1677,AI1677)-1</f>
        <v>1716</v>
      </c>
    </row>
    <row r="1678" spans="1:37" x14ac:dyDescent="0.25">
      <c r="A1678" t="s">
        <v>8703</v>
      </c>
      <c r="B1678">
        <f>_xlfn.XLOOKUP(FME_Ranking1[[#This Row],[FME ID]],FME_Input[FME_ID],FME_Input[RFPG_NUM])</f>
        <v>11</v>
      </c>
      <c r="C1678" t="str">
        <f>_xlfn.XLOOKUP(FME_Ranking1[[#This Row],[FME ID]],FME_Input[FME_ID],FME_Input[FME_NAME])</f>
        <v>City of Kyle - N. Burleson Street Drainage Improvements Project Planning</v>
      </c>
      <c r="D1678" t="str">
        <f>_xlfn.XLOOKUP(FME_Ranking1[[#This Row],[FME ID]],FME_Input[FME_ID],FME_Input[DESCR])</f>
        <v>Project planning for proposed project to conduct street reconstruction and drainage improvements to minimize flooding in the downtown area.</v>
      </c>
      <c r="E1678" s="256">
        <f>_xlfn.XLOOKUP(FME_Ranking1[[#This Row],[FME ID]],FME_Input[FME_ID],FME_Input[FME_COST])</f>
        <v>983000</v>
      </c>
      <c r="F1678" t="str">
        <f>_xlfn.XLOOKUP(FME_Ranking1[[#This Row],[FME ID]],FME_Input[FME_ID],FME_Input[EMER_NEED])</f>
        <v>No</v>
      </c>
      <c r="G1678">
        <f>IF(FME_Ranking!F1678="Yes",100,0)</f>
        <v>0</v>
      </c>
      <c r="H1678">
        <f>FME_Ranking1[[#This Row],[Emergency Need Score (Normalized, Unweighted)]]*$F$3</f>
        <v>0</v>
      </c>
      <c r="I1678" s="246">
        <f>_xlfn.XLOOKUP(FME_Ranking1[[#This Row],[FME ID]],FME_Input[FME_ID],FME_Input[STRUCT_100])</f>
        <v>1</v>
      </c>
      <c r="J1678" s="178">
        <f>(FME_Ranking1[[#This Row],[Structures 100 Raw]]/I$2)*100</f>
        <v>5.3549243884676355E-4</v>
      </c>
      <c r="K1678" s="178">
        <f>FME_Ranking1[[#This Row],[Structures 100  Score (Normalized, Unweighted)]]*$I$3</f>
        <v>8.0323865827014533E-5</v>
      </c>
      <c r="L1678" s="246">
        <f>_xlfn.XLOOKUP(FME_Ranking1[[#This Row],[FME ID]],FME_Input[FME_ID],FME_Input[RES_STRUCT100])</f>
        <v>1</v>
      </c>
      <c r="M1678" s="230">
        <f>(FME_Ranking1[[#This Row],[Res Structures Raw]]/L$2)*100</f>
        <v>7.0830559136433825E-4</v>
      </c>
      <c r="N1678" s="180">
        <f>FME_Ranking1[[#This Row],[Res Structures Score (Normalized, Unweighted)]]*$L$3</f>
        <v>7.0830559136433833E-5</v>
      </c>
      <c r="O1678" s="244">
        <f>_xlfn.XLOOKUP(FME_Ranking1[[#This Row],[FME ID]],FME_Input[FME_ID],FME_Input[POP100])</f>
        <v>3</v>
      </c>
      <c r="P1678" s="178">
        <f>(FME_Ranking1[[#This Row],[Pop Raw]]/$O$2)*100</f>
        <v>3.0712593596628988E-4</v>
      </c>
      <c r="Q1678" s="178">
        <f>FME_Ranking1[[#This Row],[Pop Score (Normalized, Unweighted)]]*$O$3</f>
        <v>4.6068890394943479E-5</v>
      </c>
      <c r="R1678" s="137">
        <f>_xlfn.XLOOKUP(FME_Ranking1[[#This Row],[FME ID]],FME_Input[FME_ID],FME_Input[CRITFAC100])</f>
        <v>0</v>
      </c>
      <c r="S1678" s="230">
        <f>(FME_Ranking1[[#This Row],[Critical Facilities Raw]]/$R$2)*100</f>
        <v>0</v>
      </c>
      <c r="T1678" s="180">
        <f>FME_Ranking1[[#This Row],[Critical Facilities Score (Normalized, Unweighted)]]*$R$3</f>
        <v>0</v>
      </c>
      <c r="U1678">
        <f>_xlfn.XLOOKUP(FME_Ranking1[[#This Row],[FME ID]],FME_Input[FME_ID],FME_Input[LWC])</f>
        <v>1</v>
      </c>
      <c r="V1678" s="178">
        <f>(FME_Ranking1[[#This Row],[LWC Raw]]/$U$2)*100</f>
        <v>5.7570523891767422E-2</v>
      </c>
      <c r="W1678" s="178">
        <f>FME_Ranking1[[#This Row],[LWC Score (Normalized, Unweighted)]]*$U$3</f>
        <v>1.1514104778353485E-2</v>
      </c>
      <c r="X1678" s="246">
        <f>_xlfn.XLOOKUP(FME_Ranking1[[#This Row],[FME ID]],FME_Input[FME_ID],FME_Input[ROADCLS])</f>
        <v>0</v>
      </c>
      <c r="Y1678" s="230">
        <f>(FME_Ranking1[[#This Row],[Closures Raw]]/$X$2)*100</f>
        <v>0</v>
      </c>
      <c r="Z1678" s="180">
        <f>FME_Ranking1[[#This Row],[Closures Score (Normalized, Unweighted)]]*$X$3</f>
        <v>0</v>
      </c>
      <c r="AA1678" s="253">
        <f>_xlfn.XLOOKUP(FME_Ranking1[[#This Row],[FME ID]],FME_Input[FME_ID],FME_Input[ROAD_MILES100])</f>
        <v>0.1535243093967438</v>
      </c>
      <c r="AB1678" s="178">
        <f>(FME_Ranking1[[#This Row],[Miles Raw]]/$AA$2)*100</f>
        <v>2.0185693097912686E-3</v>
      </c>
      <c r="AC1678" s="178">
        <f>FME_Ranking1[[#This Row],[Miles Score (Normalized, Unweighted)]]*$AA$3</f>
        <v>2.0185693097912687E-4</v>
      </c>
      <c r="AD1678" s="255">
        <f>_xlfn.XLOOKUP(FME_Ranking1[[#This Row],[FME ID]],FME_Input[FME_ID],FME_Input[FARMACRE100])</f>
        <v>0</v>
      </c>
      <c r="AE1678" s="230">
        <f>(FME_Ranking1[[#This Row],[Ag Land Raw]]/$AD$2)*100</f>
        <v>0</v>
      </c>
      <c r="AF1678" s="231">
        <f>FME_Ranking1[[#This Row],[Ag Land Score (Normalized, Unweighted)]]*$AD$3</f>
        <v>0</v>
      </c>
      <c r="AG167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1.1913185024691004E-2</v>
      </c>
      <c r="AH1678" s="406">
        <f t="shared" si="26"/>
        <v>1718</v>
      </c>
      <c r="AI167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1.1913185024691004E-2</v>
      </c>
      <c r="AJ1678" s="257">
        <f>FME_Ranking1[[#This Row],[Addition check]]-FME_Ranking1[[#This Row],[Weighted Score Based on Normalized Reported Factors]]</f>
        <v>0</v>
      </c>
      <c r="AK1678" s="178">
        <f>_xlfn.RANK.EQ(AI1678,$AI$6:$AI$2341,0)+COUNTIF($AI$6:AI1678,AI1678)-1</f>
        <v>1718</v>
      </c>
    </row>
    <row r="1679" spans="1:37" x14ac:dyDescent="0.25">
      <c r="A1679" t="s">
        <v>4775</v>
      </c>
      <c r="B1679">
        <f>_xlfn.XLOOKUP(FME_Ranking1[[#This Row],[FME ID]],FME_Input[FME_ID],FME_Input[RFPG_NUM])</f>
        <v>3</v>
      </c>
      <c r="C1679" t="str">
        <f>_xlfn.XLOOKUP(FME_Ranking1[[#This Row],[FME ID]],FME_Input[FME_ID],FME_Input[FME_NAME])</f>
        <v>Kirby Creek Channel Lining Replacements</v>
      </c>
      <c r="D1679" t="str">
        <f>_xlfn.XLOOKUP(FME_Ranking1[[#This Row],[FME ID]],FME_Input[FME_ID],FME_Input[DESCR])</f>
        <v>Evaluate the improvements needed along Kirby Creek: from 800 feet east of Great Southwest to West of Waterwood; just north of Kildeer cul-de-sac and from Waterwood East to End of Channel Lining just east of Greenvista; $1,267,200</v>
      </c>
      <c r="E1679" s="256">
        <f>_xlfn.XLOOKUP(FME_Ranking1[[#This Row],[FME ID]],FME_Input[FME_ID],FME_Input[FME_COST])</f>
        <v>250000</v>
      </c>
      <c r="F1679" t="str">
        <f>_xlfn.XLOOKUP(FME_Ranking1[[#This Row],[FME ID]],FME_Input[FME_ID],FME_Input[EMER_NEED])</f>
        <v>No</v>
      </c>
      <c r="G1679">
        <f>IF(FME_Ranking!F1679="Yes",100,0)</f>
        <v>0</v>
      </c>
      <c r="H1679">
        <f>FME_Ranking1[[#This Row],[Emergency Need Score (Normalized, Unweighted)]]*$F$3</f>
        <v>0</v>
      </c>
      <c r="I1679" s="246">
        <f>_xlfn.XLOOKUP(FME_Ranking1[[#This Row],[FME ID]],FME_Input[FME_ID],FME_Input[STRUCT_100])</f>
        <v>1</v>
      </c>
      <c r="J1679" s="178">
        <f>(FME_Ranking1[[#This Row],[Structures 100 Raw]]/I$2)*100</f>
        <v>5.3549243884676355E-4</v>
      </c>
      <c r="K1679" s="178">
        <f>FME_Ranking1[[#This Row],[Structures 100  Score (Normalized, Unweighted)]]*$I$3</f>
        <v>8.0323865827014533E-5</v>
      </c>
      <c r="L1679" s="246">
        <f>_xlfn.XLOOKUP(FME_Ranking1[[#This Row],[FME ID]],FME_Input[FME_ID],FME_Input[RES_STRUCT100])</f>
        <v>0</v>
      </c>
      <c r="M1679" s="230">
        <f>(FME_Ranking1[[#This Row],[Res Structures Raw]]/L$2)*100</f>
        <v>0</v>
      </c>
      <c r="N1679" s="180">
        <f>FME_Ranking1[[#This Row],[Res Structures Score (Normalized, Unweighted)]]*$L$3</f>
        <v>0</v>
      </c>
      <c r="O1679" s="244">
        <f>_xlfn.XLOOKUP(FME_Ranking1[[#This Row],[FME ID]],FME_Input[FME_ID],FME_Input[POP100])</f>
        <v>0</v>
      </c>
      <c r="P1679" s="178">
        <f>(FME_Ranking1[[#This Row],[Pop Raw]]/$O$2)*100</f>
        <v>0</v>
      </c>
      <c r="Q1679" s="178">
        <f>FME_Ranking1[[#This Row],[Pop Score (Normalized, Unweighted)]]*$O$3</f>
        <v>0</v>
      </c>
      <c r="R1679" s="137">
        <f>_xlfn.XLOOKUP(FME_Ranking1[[#This Row],[FME ID]],FME_Input[FME_ID],FME_Input[CRITFAC100])</f>
        <v>0</v>
      </c>
      <c r="S1679" s="230">
        <f>(FME_Ranking1[[#This Row],[Critical Facilities Raw]]/$R$2)*100</f>
        <v>0</v>
      </c>
      <c r="T1679" s="180">
        <f>FME_Ranking1[[#This Row],[Critical Facilities Score (Normalized, Unweighted)]]*$R$3</f>
        <v>0</v>
      </c>
      <c r="U1679">
        <f>_xlfn.XLOOKUP(FME_Ranking1[[#This Row],[FME ID]],FME_Input[FME_ID],FME_Input[LWC])</f>
        <v>1</v>
      </c>
      <c r="V1679" s="178">
        <f>(FME_Ranking1[[#This Row],[LWC Raw]]/$U$2)*100</f>
        <v>5.7570523891767422E-2</v>
      </c>
      <c r="W1679" s="178">
        <f>FME_Ranking1[[#This Row],[LWC Score (Normalized, Unweighted)]]*$U$3</f>
        <v>1.1514104778353485E-2</v>
      </c>
      <c r="X1679" s="246">
        <f>_xlfn.XLOOKUP(FME_Ranking1[[#This Row],[FME ID]],FME_Input[FME_ID],FME_Input[ROADCLS])</f>
        <v>0</v>
      </c>
      <c r="Y1679" s="230">
        <f>(FME_Ranking1[[#This Row],[Closures Raw]]/$X$2)*100</f>
        <v>0</v>
      </c>
      <c r="Z1679" s="180">
        <f>FME_Ranking1[[#This Row],[Closures Score (Normalized, Unweighted)]]*$X$3</f>
        <v>0</v>
      </c>
      <c r="AA1679" s="253">
        <f>_xlfn.XLOOKUP(FME_Ranking1[[#This Row],[FME ID]],FME_Input[FME_ID],FME_Input[ROAD_MILES100])</f>
        <v>0.18863590061664581</v>
      </c>
      <c r="AB1679" s="178">
        <f>(FME_Ranking1[[#This Row],[Miles Raw]]/$AA$2)*100</f>
        <v>2.4802237587376709E-3</v>
      </c>
      <c r="AC1679" s="178">
        <f>FME_Ranking1[[#This Row],[Miles Score (Normalized, Unweighted)]]*$AA$3</f>
        <v>2.4802237587376709E-4</v>
      </c>
      <c r="AD1679" s="255">
        <f>_xlfn.XLOOKUP(FME_Ranking1[[#This Row],[FME ID]],FME_Input[FME_ID],FME_Input[FARMACRE100])</f>
        <v>7.3821249008178711</v>
      </c>
      <c r="AE1679" s="230">
        <f>(FME_Ranking1[[#This Row],[Ag Land Raw]]/$AD$2)*100</f>
        <v>3.0440578480037453E-4</v>
      </c>
      <c r="AF1679" s="231">
        <f>FME_Ranking1[[#This Row],[Ag Land Score (Normalized, Unweighted)]]*$AD$3</f>
        <v>1.5220289240018728E-5</v>
      </c>
      <c r="AG167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1.1857671309294285E-2</v>
      </c>
      <c r="AH1679" s="406">
        <f t="shared" si="26"/>
        <v>1719</v>
      </c>
      <c r="AI167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1.1857671309294285E-2</v>
      </c>
      <c r="AJ1679" s="257">
        <f>FME_Ranking1[[#This Row],[Addition check]]-FME_Ranking1[[#This Row],[Weighted Score Based on Normalized Reported Factors]]</f>
        <v>0</v>
      </c>
      <c r="AK1679" s="178">
        <f>_xlfn.RANK.EQ(AI1679,$AI$6:$AI$2341,0)+COUNTIF($AI$6:AI1679,AI1679)-1</f>
        <v>1719</v>
      </c>
    </row>
    <row r="1680" spans="1:37" x14ac:dyDescent="0.25">
      <c r="A1680" t="s">
        <v>5034</v>
      </c>
      <c r="B1680">
        <f>_xlfn.XLOOKUP(FME_Ranking1[[#This Row],[FME ID]],FME_Input[FME_ID],FME_Input[RFPG_NUM])</f>
        <v>3</v>
      </c>
      <c r="C1680" t="str">
        <f>_xlfn.XLOOKUP(FME_Ranking1[[#This Row],[FME ID]],FME_Input[FME_ID],FME_Input[FME_NAME])</f>
        <v>South Great Southwest Parkway from Warrior to Kirby Creek Concrete Channel North of Mayfield</v>
      </c>
      <c r="D1680" t="str">
        <f>_xlfn.XLOOKUP(FME_Ranking1[[#This Row],[FME ID]],FME_Input[FME_ID],FME_Input[DESCR])</f>
        <v>Study update - Storm Drain Improvements; Estimated construction cost of $1,411,100</v>
      </c>
      <c r="E1680" s="256">
        <f>_xlfn.XLOOKUP(FME_Ranking1[[#This Row],[FME ID]],FME_Input[FME_ID],FME_Input[FME_COST])</f>
        <v>250000</v>
      </c>
      <c r="F1680" t="str">
        <f>_xlfn.XLOOKUP(FME_Ranking1[[#This Row],[FME ID]],FME_Input[FME_ID],FME_Input[EMER_NEED])</f>
        <v>No</v>
      </c>
      <c r="G1680">
        <f>IF(FME_Ranking!F1680="Yes",100,0)</f>
        <v>0</v>
      </c>
      <c r="H1680">
        <f>FME_Ranking1[[#This Row],[Emergency Need Score (Normalized, Unweighted)]]*$F$3</f>
        <v>0</v>
      </c>
      <c r="I1680" s="246">
        <f>_xlfn.XLOOKUP(FME_Ranking1[[#This Row],[FME ID]],FME_Input[FME_ID],FME_Input[STRUCT_100])</f>
        <v>1</v>
      </c>
      <c r="J1680" s="178">
        <f>(FME_Ranking1[[#This Row],[Structures 100 Raw]]/I$2)*100</f>
        <v>5.3549243884676355E-4</v>
      </c>
      <c r="K1680" s="178">
        <f>FME_Ranking1[[#This Row],[Structures 100  Score (Normalized, Unweighted)]]*$I$3</f>
        <v>8.0323865827014533E-5</v>
      </c>
      <c r="L1680" s="246">
        <f>_xlfn.XLOOKUP(FME_Ranking1[[#This Row],[FME ID]],FME_Input[FME_ID],FME_Input[RES_STRUCT100])</f>
        <v>0</v>
      </c>
      <c r="M1680" s="230">
        <f>(FME_Ranking1[[#This Row],[Res Structures Raw]]/L$2)*100</f>
        <v>0</v>
      </c>
      <c r="N1680" s="180">
        <f>FME_Ranking1[[#This Row],[Res Structures Score (Normalized, Unweighted)]]*$L$3</f>
        <v>0</v>
      </c>
      <c r="O1680" s="244">
        <f>_xlfn.XLOOKUP(FME_Ranking1[[#This Row],[FME ID]],FME_Input[FME_ID],FME_Input[POP100])</f>
        <v>0</v>
      </c>
      <c r="P1680" s="178">
        <f>(FME_Ranking1[[#This Row],[Pop Raw]]/$O$2)*100</f>
        <v>0</v>
      </c>
      <c r="Q1680" s="178">
        <f>FME_Ranking1[[#This Row],[Pop Score (Normalized, Unweighted)]]*$O$3</f>
        <v>0</v>
      </c>
      <c r="R1680" s="137">
        <f>_xlfn.XLOOKUP(FME_Ranking1[[#This Row],[FME ID]],FME_Input[FME_ID],FME_Input[CRITFAC100])</f>
        <v>0</v>
      </c>
      <c r="S1680" s="230">
        <f>(FME_Ranking1[[#This Row],[Critical Facilities Raw]]/$R$2)*100</f>
        <v>0</v>
      </c>
      <c r="T1680" s="180">
        <f>FME_Ranking1[[#This Row],[Critical Facilities Score (Normalized, Unweighted)]]*$R$3</f>
        <v>0</v>
      </c>
      <c r="U1680">
        <f>_xlfn.XLOOKUP(FME_Ranking1[[#This Row],[FME ID]],FME_Input[FME_ID],FME_Input[LWC])</f>
        <v>1</v>
      </c>
      <c r="V1680" s="178">
        <f>(FME_Ranking1[[#This Row],[LWC Raw]]/$U$2)*100</f>
        <v>5.7570523891767422E-2</v>
      </c>
      <c r="W1680" s="178">
        <f>FME_Ranking1[[#This Row],[LWC Score (Normalized, Unweighted)]]*$U$3</f>
        <v>1.1514104778353485E-2</v>
      </c>
      <c r="X1680" s="246">
        <f>_xlfn.XLOOKUP(FME_Ranking1[[#This Row],[FME ID]],FME_Input[FME_ID],FME_Input[ROADCLS])</f>
        <v>0</v>
      </c>
      <c r="Y1680" s="230">
        <f>(FME_Ranking1[[#This Row],[Closures Raw]]/$X$2)*100</f>
        <v>0</v>
      </c>
      <c r="Z1680" s="180">
        <f>FME_Ranking1[[#This Row],[Closures Score (Normalized, Unweighted)]]*$X$3</f>
        <v>0</v>
      </c>
      <c r="AA1680" s="253">
        <f>_xlfn.XLOOKUP(FME_Ranking1[[#This Row],[FME ID]],FME_Input[FME_ID],FME_Input[ROAD_MILES100])</f>
        <v>0.18863590061664581</v>
      </c>
      <c r="AB1680" s="178">
        <f>(FME_Ranking1[[#This Row],[Miles Raw]]/$AA$2)*100</f>
        <v>2.4802237587376709E-3</v>
      </c>
      <c r="AC1680" s="178">
        <f>FME_Ranking1[[#This Row],[Miles Score (Normalized, Unweighted)]]*$AA$3</f>
        <v>2.4802237587376709E-4</v>
      </c>
      <c r="AD1680" s="255">
        <f>_xlfn.XLOOKUP(FME_Ranking1[[#This Row],[FME ID]],FME_Input[FME_ID],FME_Input[FARMACRE100])</f>
        <v>7.3821249008178711</v>
      </c>
      <c r="AE1680" s="230">
        <f>(FME_Ranking1[[#This Row],[Ag Land Raw]]/$AD$2)*100</f>
        <v>3.0440578480037453E-4</v>
      </c>
      <c r="AF1680" s="231">
        <f>FME_Ranking1[[#This Row],[Ag Land Score (Normalized, Unweighted)]]*$AD$3</f>
        <v>1.5220289240018728E-5</v>
      </c>
      <c r="AG168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1.1857671309294285E-2</v>
      </c>
      <c r="AH1680" s="406">
        <f t="shared" si="26"/>
        <v>1719</v>
      </c>
      <c r="AI168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1.1857671309294285E-2</v>
      </c>
      <c r="AJ1680" s="257">
        <f>FME_Ranking1[[#This Row],[Addition check]]-FME_Ranking1[[#This Row],[Weighted Score Based on Normalized Reported Factors]]</f>
        <v>0</v>
      </c>
      <c r="AK1680" s="178">
        <f>_xlfn.RANK.EQ(AI1680,$AI$6:$AI$2341,0)+COUNTIF($AI$6:AI1680,AI1680)-1</f>
        <v>1720</v>
      </c>
    </row>
    <row r="1681" spans="1:37" x14ac:dyDescent="0.25">
      <c r="A1681" t="s">
        <v>11327</v>
      </c>
      <c r="B1681">
        <f>_xlfn.XLOOKUP(FME_Ranking1[[#This Row],[FME ID]],FME_Input[FME_ID],FME_Input[RFPG_NUM])</f>
        <v>15</v>
      </c>
      <c r="C1681" t="str">
        <f>_xlfn.XLOOKUP(FME_Ranking1[[#This Row],[FME ID]],FME_Input[FME_ID],FME_Input[FME_NAME])</f>
        <v>Brooks County</v>
      </c>
      <c r="D1681" t="str">
        <f>_xlfn.XLOOKUP(FME_Ranking1[[#This Row],[FME ID]],FME_Input[FME_ID],FME_Input[DESCR])</f>
        <v>Develop Flood risk maps for the county of Brooks</v>
      </c>
      <c r="E1681" s="256">
        <f>_xlfn.XLOOKUP(FME_Ranking1[[#This Row],[FME ID]],FME_Input[FME_ID],FME_Input[FME_COST])</f>
        <v>250000</v>
      </c>
      <c r="F1681" t="str">
        <f>_xlfn.XLOOKUP(FME_Ranking1[[#This Row],[FME ID]],FME_Input[FME_ID],FME_Input[EMER_NEED])</f>
        <v>Yes</v>
      </c>
      <c r="G1681">
        <f>IF(FME_Ranking!F1681="Yes",100,0)</f>
        <v>100</v>
      </c>
      <c r="H1681">
        <f>FME_Ranking1[[#This Row],[Emergency Need Score (Normalized, Unweighted)]]*$F$3</f>
        <v>0</v>
      </c>
      <c r="I1681" s="246">
        <f>_xlfn.XLOOKUP(FME_Ranking1[[#This Row],[FME ID]],FME_Input[FME_ID],FME_Input[STRUCT_100])</f>
        <v>0</v>
      </c>
      <c r="J1681" s="178">
        <f>(FME_Ranking1[[#This Row],[Structures 100 Raw]]/I$2)*100</f>
        <v>0</v>
      </c>
      <c r="K1681" s="178">
        <f>FME_Ranking1[[#This Row],[Structures 100  Score (Normalized, Unweighted)]]*$I$3</f>
        <v>0</v>
      </c>
      <c r="L1681" s="246">
        <f>_xlfn.XLOOKUP(FME_Ranking1[[#This Row],[FME ID]],FME_Input[FME_ID],FME_Input[RES_STRUCT100])</f>
        <v>151</v>
      </c>
      <c r="M1681" s="230">
        <f>(FME_Ranking1[[#This Row],[Res Structures Raw]]/L$2)*100</f>
        <v>0.10695414429601507</v>
      </c>
      <c r="N1681" s="180">
        <f>FME_Ranking1[[#This Row],[Res Structures Score (Normalized, Unweighted)]]*$L$3</f>
        <v>1.0695414429601507E-2</v>
      </c>
      <c r="O1681" s="244">
        <f>_xlfn.XLOOKUP(FME_Ranking1[[#This Row],[FME ID]],FME_Input[FME_ID],FME_Input[POP100])</f>
        <v>54</v>
      </c>
      <c r="P1681" s="178">
        <f>(FME_Ranking1[[#This Row],[Pop Raw]]/$O$2)*100</f>
        <v>5.5282668473932177E-3</v>
      </c>
      <c r="Q1681" s="178">
        <f>FME_Ranking1[[#This Row],[Pop Score (Normalized, Unweighted)]]*$O$3</f>
        <v>8.2924002710898267E-4</v>
      </c>
      <c r="R1681" s="137">
        <f>_xlfn.XLOOKUP(FME_Ranking1[[#This Row],[FME ID]],FME_Input[FME_ID],FME_Input[CRITFAC100])</f>
        <v>0</v>
      </c>
      <c r="S1681" s="230">
        <f>(FME_Ranking1[[#This Row],[Critical Facilities Raw]]/$R$2)*100</f>
        <v>0</v>
      </c>
      <c r="T1681" s="180">
        <f>FME_Ranking1[[#This Row],[Critical Facilities Score (Normalized, Unweighted)]]*$R$3</f>
        <v>0</v>
      </c>
      <c r="U1681">
        <f>_xlfn.XLOOKUP(FME_Ranking1[[#This Row],[FME ID]],FME_Input[FME_ID],FME_Input[LWC])</f>
        <v>0</v>
      </c>
      <c r="V1681" s="178">
        <f>(FME_Ranking1[[#This Row],[LWC Raw]]/$U$2)*100</f>
        <v>0</v>
      </c>
      <c r="W1681" s="178">
        <f>FME_Ranking1[[#This Row],[LWC Score (Normalized, Unweighted)]]*$U$3</f>
        <v>0</v>
      </c>
      <c r="X1681" s="246">
        <f>_xlfn.XLOOKUP(FME_Ranking1[[#This Row],[FME ID]],FME_Input[FME_ID],FME_Input[ROADCLS])</f>
        <v>0</v>
      </c>
      <c r="Y1681" s="230">
        <f>(FME_Ranking1[[#This Row],[Closures Raw]]/$X$2)*100</f>
        <v>0</v>
      </c>
      <c r="Z1681" s="180">
        <f>FME_Ranking1[[#This Row],[Closures Score (Normalized, Unweighted)]]*$X$3</f>
        <v>0</v>
      </c>
      <c r="AA1681" s="253">
        <f>_xlfn.XLOOKUP(FME_Ranking1[[#This Row],[FME ID]],FME_Input[FME_ID],FME_Input[ROAD_MILES100])</f>
        <v>636.052001953125</v>
      </c>
      <c r="AB1681" s="178">
        <f>(FME_Ranking1[[#This Row],[Miles Raw]]/$AA$2)*100</f>
        <v>8.3629430128614235</v>
      </c>
      <c r="AC1681" s="178">
        <f>FME_Ranking1[[#This Row],[Miles Score (Normalized, Unweighted)]]*$AA$3</f>
        <v>0.83629430128614235</v>
      </c>
      <c r="AD1681" s="255">
        <f>_xlfn.XLOOKUP(FME_Ranking1[[#This Row],[FME ID]],FME_Input[FME_ID],FME_Input[FARMACRE100])</f>
        <v>0</v>
      </c>
      <c r="AE1681" s="230">
        <f>(FME_Ranking1[[#This Row],[Ag Land Raw]]/$AD$2)*100</f>
        <v>0</v>
      </c>
      <c r="AF1681" s="231">
        <f>FME_Ranking1[[#This Row],[Ag Land Score (Normalized, Unweighted)]]*$AD$3</f>
        <v>0</v>
      </c>
      <c r="AG168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0.84781895574285282</v>
      </c>
      <c r="AH1681" s="406">
        <f t="shared" si="26"/>
        <v>313</v>
      </c>
      <c r="AI168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0.84781895574285282</v>
      </c>
      <c r="AJ1681" s="257">
        <f>FME_Ranking1[[#This Row],[Addition check]]-FME_Ranking1[[#This Row],[Weighted Score Based on Normalized Reported Factors]]</f>
        <v>0</v>
      </c>
      <c r="AK1681" s="178">
        <f>_xlfn.RANK.EQ(AI1681,$AI$6:$AI$2341,0)+COUNTIF($AI$6:AI1681,AI1681)-1</f>
        <v>313</v>
      </c>
    </row>
    <row r="1682" spans="1:37" x14ac:dyDescent="0.25">
      <c r="A1682" t="s">
        <v>8621</v>
      </c>
      <c r="B1682">
        <f>_xlfn.XLOOKUP(FME_Ranking1[[#This Row],[FME ID]],FME_Input[FME_ID],FME_Input[RFPG_NUM])</f>
        <v>11</v>
      </c>
      <c r="C1682" t="str">
        <f>_xlfn.XLOOKUP(FME_Ranking1[[#This Row],[FME ID]],FME_Input[FME_ID],FME_Input[FME_NAME])</f>
        <v xml:space="preserve">City of Bulverde Drainage Improvements Study </v>
      </c>
      <c r="D1682" t="str">
        <f>_xlfn.XLOOKUP(FME_Ranking1[[#This Row],[FME ID]],FME_Input[FME_ID],FME_Input[DESCR])</f>
        <v>Study of solutions to replace existing culverts with larger ones, improve drainage channels; clear‐out existing drainage channels; survey and remove hazardous trees from drainage systems.</v>
      </c>
      <c r="E1682" s="256">
        <f>_xlfn.XLOOKUP(FME_Ranking1[[#This Row],[FME ID]],FME_Input[FME_ID],FME_Input[FME_COST])</f>
        <v>150000</v>
      </c>
      <c r="F1682" t="str">
        <f>_xlfn.XLOOKUP(FME_Ranking1[[#This Row],[FME ID]],FME_Input[FME_ID],FME_Input[EMER_NEED])</f>
        <v>No</v>
      </c>
      <c r="G1682">
        <f>IF(FME_Ranking!F1682="Yes",100,0)</f>
        <v>0</v>
      </c>
      <c r="H1682">
        <f>FME_Ranking1[[#This Row],[Emergency Need Score (Normalized, Unweighted)]]*$F$3</f>
        <v>0</v>
      </c>
      <c r="I1682" s="246">
        <f>_xlfn.XLOOKUP(FME_Ranking1[[#This Row],[FME ID]],FME_Input[FME_ID],FME_Input[STRUCT_100])</f>
        <v>0</v>
      </c>
      <c r="J1682" s="178">
        <f>(FME_Ranking1[[#This Row],[Structures 100 Raw]]/I$2)*100</f>
        <v>0</v>
      </c>
      <c r="K1682" s="178">
        <f>FME_Ranking1[[#This Row],[Structures 100  Score (Normalized, Unweighted)]]*$I$3</f>
        <v>0</v>
      </c>
      <c r="L1682" s="246">
        <f>_xlfn.XLOOKUP(FME_Ranking1[[#This Row],[FME ID]],FME_Input[FME_ID],FME_Input[RES_STRUCT100])</f>
        <v>0</v>
      </c>
      <c r="M1682" s="230">
        <f>(FME_Ranking1[[#This Row],[Res Structures Raw]]/L$2)*100</f>
        <v>0</v>
      </c>
      <c r="N1682" s="180">
        <f>FME_Ranking1[[#This Row],[Res Structures Score (Normalized, Unweighted)]]*$L$3</f>
        <v>0</v>
      </c>
      <c r="O1682" s="244">
        <f>_xlfn.XLOOKUP(FME_Ranking1[[#This Row],[FME ID]],FME_Input[FME_ID],FME_Input[POP100])</f>
        <v>0</v>
      </c>
      <c r="P1682" s="178">
        <f>(FME_Ranking1[[#This Row],[Pop Raw]]/$O$2)*100</f>
        <v>0</v>
      </c>
      <c r="Q1682" s="178">
        <f>FME_Ranking1[[#This Row],[Pop Score (Normalized, Unweighted)]]*$O$3</f>
        <v>0</v>
      </c>
      <c r="R1682" s="137">
        <f>_xlfn.XLOOKUP(FME_Ranking1[[#This Row],[FME ID]],FME_Input[FME_ID],FME_Input[CRITFAC100])</f>
        <v>0</v>
      </c>
      <c r="S1682" s="230">
        <f>(FME_Ranking1[[#This Row],[Critical Facilities Raw]]/$R$2)*100</f>
        <v>0</v>
      </c>
      <c r="T1682" s="180">
        <f>FME_Ranking1[[#This Row],[Critical Facilities Score (Normalized, Unweighted)]]*$R$3</f>
        <v>0</v>
      </c>
      <c r="U1682">
        <f>_xlfn.XLOOKUP(FME_Ranking1[[#This Row],[FME ID]],FME_Input[FME_ID],FME_Input[LWC])</f>
        <v>1</v>
      </c>
      <c r="V1682" s="178">
        <f>(FME_Ranking1[[#This Row],[LWC Raw]]/$U$2)*100</f>
        <v>5.7570523891767422E-2</v>
      </c>
      <c r="W1682" s="178">
        <f>FME_Ranking1[[#This Row],[LWC Score (Normalized, Unweighted)]]*$U$3</f>
        <v>1.1514104778353485E-2</v>
      </c>
      <c r="X1682" s="246">
        <f>_xlfn.XLOOKUP(FME_Ranking1[[#This Row],[FME ID]],FME_Input[FME_ID],FME_Input[ROADCLS])</f>
        <v>0</v>
      </c>
      <c r="Y1682" s="230">
        <f>(FME_Ranking1[[#This Row],[Closures Raw]]/$X$2)*100</f>
        <v>0</v>
      </c>
      <c r="Z1682" s="180">
        <f>FME_Ranking1[[#This Row],[Closures Score (Normalized, Unweighted)]]*$X$3</f>
        <v>0</v>
      </c>
      <c r="AA1682" s="253">
        <f>_xlfn.XLOOKUP(FME_Ranking1[[#This Row],[FME ID]],FME_Input[FME_ID],FME_Input[ROAD_MILES100])</f>
        <v>0.57610100507736206</v>
      </c>
      <c r="AB1682" s="178">
        <f>(FME_Ranking1[[#This Row],[Miles Raw]]/$AA$2)*100</f>
        <v>7.5746949311060142E-3</v>
      </c>
      <c r="AC1682" s="178">
        <f>FME_Ranking1[[#This Row],[Miles Score (Normalized, Unweighted)]]*$AA$3</f>
        <v>7.5746949311060149E-4</v>
      </c>
      <c r="AD1682" s="255">
        <f>_xlfn.XLOOKUP(FME_Ranking1[[#This Row],[FME ID]],FME_Input[FME_ID],FME_Input[FARMACRE100])</f>
        <v>1.4412499666213989</v>
      </c>
      <c r="AE1682" s="230">
        <f>(FME_Ranking1[[#This Row],[Ag Land Raw]]/$AD$2)*100</f>
        <v>5.9430696862673494E-5</v>
      </c>
      <c r="AF1682" s="231">
        <f>FME_Ranking1[[#This Row],[Ag Land Score (Normalized, Unweighted)]]*$AD$3</f>
        <v>2.9715348431336751E-6</v>
      </c>
      <c r="AG168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1.227454580630722E-2</v>
      </c>
      <c r="AH1682" s="406">
        <f t="shared" si="26"/>
        <v>1695</v>
      </c>
      <c r="AI168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1.227454580630722E-2</v>
      </c>
      <c r="AJ1682" s="257">
        <f>FME_Ranking1[[#This Row],[Addition check]]-FME_Ranking1[[#This Row],[Weighted Score Based on Normalized Reported Factors]]</f>
        <v>0</v>
      </c>
      <c r="AK1682" s="178">
        <f>_xlfn.RANK.EQ(AI1682,$AI$6:$AI$2341,0)+COUNTIF($AI$6:AI1682,AI1682)-1</f>
        <v>1695</v>
      </c>
    </row>
    <row r="1683" spans="1:37" x14ac:dyDescent="0.25">
      <c r="A1683" t="s">
        <v>8629</v>
      </c>
      <c r="B1683">
        <f>_xlfn.XLOOKUP(FME_Ranking1[[#This Row],[FME ID]],FME_Input[FME_ID],FME_Input[RFPG_NUM])</f>
        <v>11</v>
      </c>
      <c r="C1683" t="str">
        <f>_xlfn.XLOOKUP(FME_Ranking1[[#This Row],[FME ID]],FME_Input[FME_ID],FME_Input[FME_NAME])</f>
        <v xml:space="preserve">City of Bulverde Local Flooding Study </v>
      </c>
      <c r="D1683" t="str">
        <f>_xlfn.XLOOKUP(FME_Ranking1[[#This Row],[FME ID]],FME_Input[FME_ID],FME_Input[DESCR])</f>
        <v>Study of solutions to elevate some segments of roadways in various portions of the community to address localized flooding issues.</v>
      </c>
      <c r="E1683" s="256">
        <f>_xlfn.XLOOKUP(FME_Ranking1[[#This Row],[FME ID]],FME_Input[FME_ID],FME_Input[FME_COST])</f>
        <v>100000</v>
      </c>
      <c r="F1683" t="str">
        <f>_xlfn.XLOOKUP(FME_Ranking1[[#This Row],[FME ID]],FME_Input[FME_ID],FME_Input[EMER_NEED])</f>
        <v>No</v>
      </c>
      <c r="G1683">
        <f>IF(FME_Ranking!F1683="Yes",100,0)</f>
        <v>0</v>
      </c>
      <c r="H1683">
        <f>FME_Ranking1[[#This Row],[Emergency Need Score (Normalized, Unweighted)]]*$F$3</f>
        <v>0</v>
      </c>
      <c r="I1683" s="246">
        <f>_xlfn.XLOOKUP(FME_Ranking1[[#This Row],[FME ID]],FME_Input[FME_ID],FME_Input[STRUCT_100])</f>
        <v>0</v>
      </c>
      <c r="J1683" s="178">
        <f>(FME_Ranking1[[#This Row],[Structures 100 Raw]]/I$2)*100</f>
        <v>0</v>
      </c>
      <c r="K1683" s="178">
        <f>FME_Ranking1[[#This Row],[Structures 100  Score (Normalized, Unweighted)]]*$I$3</f>
        <v>0</v>
      </c>
      <c r="L1683" s="246">
        <f>_xlfn.XLOOKUP(FME_Ranking1[[#This Row],[FME ID]],FME_Input[FME_ID],FME_Input[RES_STRUCT100])</f>
        <v>0</v>
      </c>
      <c r="M1683" s="230">
        <f>(FME_Ranking1[[#This Row],[Res Structures Raw]]/L$2)*100</f>
        <v>0</v>
      </c>
      <c r="N1683" s="180">
        <f>FME_Ranking1[[#This Row],[Res Structures Score (Normalized, Unweighted)]]*$L$3</f>
        <v>0</v>
      </c>
      <c r="O1683" s="244">
        <f>_xlfn.XLOOKUP(FME_Ranking1[[#This Row],[FME ID]],FME_Input[FME_ID],FME_Input[POP100])</f>
        <v>0</v>
      </c>
      <c r="P1683" s="178">
        <f>(FME_Ranking1[[#This Row],[Pop Raw]]/$O$2)*100</f>
        <v>0</v>
      </c>
      <c r="Q1683" s="178">
        <f>FME_Ranking1[[#This Row],[Pop Score (Normalized, Unweighted)]]*$O$3</f>
        <v>0</v>
      </c>
      <c r="R1683" s="137">
        <f>_xlfn.XLOOKUP(FME_Ranking1[[#This Row],[FME ID]],FME_Input[FME_ID],FME_Input[CRITFAC100])</f>
        <v>0</v>
      </c>
      <c r="S1683" s="230">
        <f>(FME_Ranking1[[#This Row],[Critical Facilities Raw]]/$R$2)*100</f>
        <v>0</v>
      </c>
      <c r="T1683" s="180">
        <f>FME_Ranking1[[#This Row],[Critical Facilities Score (Normalized, Unweighted)]]*$R$3</f>
        <v>0</v>
      </c>
      <c r="U1683">
        <f>_xlfn.XLOOKUP(FME_Ranking1[[#This Row],[FME ID]],FME_Input[FME_ID],FME_Input[LWC])</f>
        <v>1</v>
      </c>
      <c r="V1683" s="178">
        <f>(FME_Ranking1[[#This Row],[LWC Raw]]/$U$2)*100</f>
        <v>5.7570523891767422E-2</v>
      </c>
      <c r="W1683" s="178">
        <f>FME_Ranking1[[#This Row],[LWC Score (Normalized, Unweighted)]]*$U$3</f>
        <v>1.1514104778353485E-2</v>
      </c>
      <c r="X1683" s="246">
        <f>_xlfn.XLOOKUP(FME_Ranking1[[#This Row],[FME ID]],FME_Input[FME_ID],FME_Input[ROADCLS])</f>
        <v>0</v>
      </c>
      <c r="Y1683" s="230">
        <f>(FME_Ranking1[[#This Row],[Closures Raw]]/$X$2)*100</f>
        <v>0</v>
      </c>
      <c r="Z1683" s="180">
        <f>FME_Ranking1[[#This Row],[Closures Score (Normalized, Unweighted)]]*$X$3</f>
        <v>0</v>
      </c>
      <c r="AA1683" s="253">
        <f>_xlfn.XLOOKUP(FME_Ranking1[[#This Row],[FME ID]],FME_Input[FME_ID],FME_Input[ROAD_MILES100])</f>
        <v>0.57610100507736206</v>
      </c>
      <c r="AB1683" s="178">
        <f>(FME_Ranking1[[#This Row],[Miles Raw]]/$AA$2)*100</f>
        <v>7.5746949311060142E-3</v>
      </c>
      <c r="AC1683" s="178">
        <f>FME_Ranking1[[#This Row],[Miles Score (Normalized, Unweighted)]]*$AA$3</f>
        <v>7.5746949311060149E-4</v>
      </c>
      <c r="AD1683" s="255">
        <f>_xlfn.XLOOKUP(FME_Ranking1[[#This Row],[FME ID]],FME_Input[FME_ID],FME_Input[FARMACRE100])</f>
        <v>1.4412499666213989</v>
      </c>
      <c r="AE1683" s="230">
        <f>(FME_Ranking1[[#This Row],[Ag Land Raw]]/$AD$2)*100</f>
        <v>5.9430696862673494E-5</v>
      </c>
      <c r="AF1683" s="231">
        <f>FME_Ranking1[[#This Row],[Ag Land Score (Normalized, Unweighted)]]*$AD$3</f>
        <v>2.9715348431336751E-6</v>
      </c>
      <c r="AG168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1.227454580630722E-2</v>
      </c>
      <c r="AH1683" s="406">
        <f t="shared" si="26"/>
        <v>1695</v>
      </c>
      <c r="AI168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1.227454580630722E-2</v>
      </c>
      <c r="AJ1683" s="257">
        <f>FME_Ranking1[[#This Row],[Addition check]]-FME_Ranking1[[#This Row],[Weighted Score Based on Normalized Reported Factors]]</f>
        <v>0</v>
      </c>
      <c r="AK1683" s="178">
        <f>_xlfn.RANK.EQ(AI1683,$AI$6:$AI$2341,0)+COUNTIF($AI$6:AI1683,AI1683)-1</f>
        <v>1696</v>
      </c>
    </row>
    <row r="1684" spans="1:37" x14ac:dyDescent="0.25">
      <c r="A1684" t="s">
        <v>8906</v>
      </c>
      <c r="B1684">
        <f>_xlfn.XLOOKUP(FME_Ranking1[[#This Row],[FME ID]],FME_Input[FME_ID],FME_Input[RFPG_NUM])</f>
        <v>11</v>
      </c>
      <c r="C1684" t="str">
        <f>_xlfn.XLOOKUP(FME_Ranking1[[#This Row],[FME ID]],FME_Input[FME_ID],FME_Input[FME_NAME])</f>
        <v>City of Wimberley Spoke Hollow Dr. at Spoke Pile Creek Low Water Crossing Project Planning</v>
      </c>
      <c r="D1684" t="str">
        <f>_xlfn.XLOOKUP(FME_Ranking1[[#This Row],[FME ID]],FME_Input[FME_ID],FME_Input[DESCR])</f>
        <v>Project planning for proposed project to replace low water crossing at Spoke Hollow Dr. at Spoke Pile Creek</v>
      </c>
      <c r="E1684" s="256">
        <f>_xlfn.XLOOKUP(FME_Ranking1[[#This Row],[FME ID]],FME_Input[FME_ID],FME_Input[FME_COST])</f>
        <v>100000</v>
      </c>
      <c r="F1684" t="str">
        <f>_xlfn.XLOOKUP(FME_Ranking1[[#This Row],[FME ID]],FME_Input[FME_ID],FME_Input[EMER_NEED])</f>
        <v>No</v>
      </c>
      <c r="G1684">
        <f>IF(FME_Ranking!F1684="Yes",100,0)</f>
        <v>0</v>
      </c>
      <c r="H1684">
        <f>FME_Ranking1[[#This Row],[Emergency Need Score (Normalized, Unweighted)]]*$F$3</f>
        <v>0</v>
      </c>
      <c r="I1684" s="246">
        <f>_xlfn.XLOOKUP(FME_Ranking1[[#This Row],[FME ID]],FME_Input[FME_ID],FME_Input[STRUCT_100])</f>
        <v>0</v>
      </c>
      <c r="J1684" s="178">
        <f>(FME_Ranking1[[#This Row],[Structures 100 Raw]]/I$2)*100</f>
        <v>0</v>
      </c>
      <c r="K1684" s="178">
        <f>FME_Ranking1[[#This Row],[Structures 100  Score (Normalized, Unweighted)]]*$I$3</f>
        <v>0</v>
      </c>
      <c r="L1684" s="246">
        <f>_xlfn.XLOOKUP(FME_Ranking1[[#This Row],[FME ID]],FME_Input[FME_ID],FME_Input[RES_STRUCT100])</f>
        <v>0</v>
      </c>
      <c r="M1684" s="230">
        <f>(FME_Ranking1[[#This Row],[Res Structures Raw]]/L$2)*100</f>
        <v>0</v>
      </c>
      <c r="N1684" s="180">
        <f>FME_Ranking1[[#This Row],[Res Structures Score (Normalized, Unweighted)]]*$L$3</f>
        <v>0</v>
      </c>
      <c r="O1684" s="244">
        <f>_xlfn.XLOOKUP(FME_Ranking1[[#This Row],[FME ID]],FME_Input[FME_ID],FME_Input[POP100])</f>
        <v>0</v>
      </c>
      <c r="P1684" s="178">
        <f>(FME_Ranking1[[#This Row],[Pop Raw]]/$O$2)*100</f>
        <v>0</v>
      </c>
      <c r="Q1684" s="178">
        <f>FME_Ranking1[[#This Row],[Pop Score (Normalized, Unweighted)]]*$O$3</f>
        <v>0</v>
      </c>
      <c r="R1684" s="137">
        <f>_xlfn.XLOOKUP(FME_Ranking1[[#This Row],[FME ID]],FME_Input[FME_ID],FME_Input[CRITFAC100])</f>
        <v>0</v>
      </c>
      <c r="S1684" s="230">
        <f>(FME_Ranking1[[#This Row],[Critical Facilities Raw]]/$R$2)*100</f>
        <v>0</v>
      </c>
      <c r="T1684" s="180">
        <f>FME_Ranking1[[#This Row],[Critical Facilities Score (Normalized, Unweighted)]]*$R$3</f>
        <v>0</v>
      </c>
      <c r="U1684">
        <f>_xlfn.XLOOKUP(FME_Ranking1[[#This Row],[FME ID]],FME_Input[FME_ID],FME_Input[LWC])</f>
        <v>1</v>
      </c>
      <c r="V1684" s="178">
        <f>(FME_Ranking1[[#This Row],[LWC Raw]]/$U$2)*100</f>
        <v>5.7570523891767422E-2</v>
      </c>
      <c r="W1684" s="178">
        <f>FME_Ranking1[[#This Row],[LWC Score (Normalized, Unweighted)]]*$U$3</f>
        <v>1.1514104778353485E-2</v>
      </c>
      <c r="X1684" s="246">
        <f>_xlfn.XLOOKUP(FME_Ranking1[[#This Row],[FME ID]],FME_Input[FME_ID],FME_Input[ROADCLS])</f>
        <v>0</v>
      </c>
      <c r="Y1684" s="230">
        <f>(FME_Ranking1[[#This Row],[Closures Raw]]/$X$2)*100</f>
        <v>0</v>
      </c>
      <c r="Z1684" s="180">
        <f>FME_Ranking1[[#This Row],[Closures Score (Normalized, Unweighted)]]*$X$3</f>
        <v>0</v>
      </c>
      <c r="AA1684" s="253">
        <f>_xlfn.XLOOKUP(FME_Ranking1[[#This Row],[FME ID]],FME_Input[FME_ID],FME_Input[ROAD_MILES100])</f>
        <v>5.7553950697183609E-2</v>
      </c>
      <c r="AB1684" s="178">
        <f>(FME_Ranking1[[#This Row],[Miles Raw]]/$AA$2)*100</f>
        <v>7.5673122381124793E-4</v>
      </c>
      <c r="AC1684" s="178">
        <f>FME_Ranking1[[#This Row],[Miles Score (Normalized, Unweighted)]]*$AA$3</f>
        <v>7.5673122381124798E-5</v>
      </c>
      <c r="AD1684" s="255">
        <f>_xlfn.XLOOKUP(FME_Ranking1[[#This Row],[FME ID]],FME_Input[FME_ID],FME_Input[FARMACRE100])</f>
        <v>0.18754808604717249</v>
      </c>
      <c r="AE1684" s="230">
        <f>(FME_Ranking1[[#This Row],[Ag Land Raw]]/$AD$2)*100</f>
        <v>7.7336435088862538E-6</v>
      </c>
      <c r="AF1684" s="231">
        <f>FME_Ranking1[[#This Row],[Ag Land Score (Normalized, Unweighted)]]*$AD$3</f>
        <v>3.8668217544431269E-7</v>
      </c>
      <c r="AG168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1.1590164582910054E-2</v>
      </c>
      <c r="AH1684" s="406">
        <f t="shared" si="26"/>
        <v>1733</v>
      </c>
      <c r="AI168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1.1590164582910054E-2</v>
      </c>
      <c r="AJ1684" s="257">
        <f>FME_Ranking1[[#This Row],[Addition check]]-FME_Ranking1[[#This Row],[Weighted Score Based on Normalized Reported Factors]]</f>
        <v>0</v>
      </c>
      <c r="AK1684" s="178">
        <f>_xlfn.RANK.EQ(AI1684,$AI$6:$AI$2341,0)+COUNTIF($AI$6:AI1684,AI1684)-1</f>
        <v>1733</v>
      </c>
    </row>
    <row r="1685" spans="1:37" x14ac:dyDescent="0.25">
      <c r="A1685" t="s">
        <v>315</v>
      </c>
      <c r="B1685">
        <f>_xlfn.XLOOKUP(FME_Ranking1[[#This Row],[FME ID]],FME_Input[FME_ID],FME_Input[RFPG_NUM])</f>
        <v>10</v>
      </c>
      <c r="C1685" t="str">
        <f>_xlfn.XLOOKUP(FME_Ranking1[[#This Row],[FME ID]],FME_Input[FME_ID],FME_Input[FME_NAME])</f>
        <v>N Edison Low Water Crossing</v>
      </c>
      <c r="D1685" t="str">
        <f>_xlfn.XLOOKUP(FME_Ranking1[[#This Row],[FME ID]],FME_Input[FME_ID],FME_Input[DESCR])</f>
        <v>Raise N Edison at Schubert; redesign intersection; install FEWS with automatic gates &amp; flashers</v>
      </c>
      <c r="E1685" s="256">
        <f>_xlfn.XLOOKUP(FME_Ranking1[[#This Row],[FME ID]],FME_Input[FME_ID],FME_Input[FME_COST])</f>
        <v>15000</v>
      </c>
      <c r="F1685" t="str">
        <f>_xlfn.XLOOKUP(FME_Ranking1[[#This Row],[FME ID]],FME_Input[FME_ID],FME_Input[EMER_NEED])</f>
        <v>No</v>
      </c>
      <c r="G1685">
        <f>IF(FME_Ranking!F1685="Yes",100,0)</f>
        <v>0</v>
      </c>
      <c r="H1685">
        <f>FME_Ranking1[[#This Row],[Emergency Need Score (Normalized, Unweighted)]]*$F$3</f>
        <v>0</v>
      </c>
      <c r="I1685" s="246">
        <f>_xlfn.XLOOKUP(FME_Ranking1[[#This Row],[FME ID]],FME_Input[FME_ID],FME_Input[STRUCT_100])</f>
        <v>0</v>
      </c>
      <c r="J1685" s="178">
        <f>(FME_Ranking1[[#This Row],[Structures 100 Raw]]/I$2)*100</f>
        <v>0</v>
      </c>
      <c r="K1685" s="178">
        <f>FME_Ranking1[[#This Row],[Structures 100  Score (Normalized, Unweighted)]]*$I$3</f>
        <v>0</v>
      </c>
      <c r="L1685" s="246">
        <f>_xlfn.XLOOKUP(FME_Ranking1[[#This Row],[FME ID]],FME_Input[FME_ID],FME_Input[RES_STRUCT100])</f>
        <v>0</v>
      </c>
      <c r="M1685" s="230">
        <f>(FME_Ranking1[[#This Row],[Res Structures Raw]]/L$2)*100</f>
        <v>0</v>
      </c>
      <c r="N1685" s="180">
        <f>FME_Ranking1[[#This Row],[Res Structures Score (Normalized, Unweighted)]]*$L$3</f>
        <v>0</v>
      </c>
      <c r="O1685" s="244">
        <f>_xlfn.XLOOKUP(FME_Ranking1[[#This Row],[FME ID]],FME_Input[FME_ID],FME_Input[POP100])</f>
        <v>0</v>
      </c>
      <c r="P1685" s="178">
        <f>(FME_Ranking1[[#This Row],[Pop Raw]]/$O$2)*100</f>
        <v>0</v>
      </c>
      <c r="Q1685" s="178">
        <f>FME_Ranking1[[#This Row],[Pop Score (Normalized, Unweighted)]]*$O$3</f>
        <v>0</v>
      </c>
      <c r="R1685" s="137">
        <f>_xlfn.XLOOKUP(FME_Ranking1[[#This Row],[FME ID]],FME_Input[FME_ID],FME_Input[CRITFAC100])</f>
        <v>0</v>
      </c>
      <c r="S1685" s="230">
        <f>(FME_Ranking1[[#This Row],[Critical Facilities Raw]]/$R$2)*100</f>
        <v>0</v>
      </c>
      <c r="T1685" s="180">
        <f>FME_Ranking1[[#This Row],[Critical Facilities Score (Normalized, Unweighted)]]*$R$3</f>
        <v>0</v>
      </c>
      <c r="U1685">
        <f>_xlfn.XLOOKUP(FME_Ranking1[[#This Row],[FME ID]],FME_Input[FME_ID],FME_Input[LWC])</f>
        <v>1</v>
      </c>
      <c r="V1685" s="178">
        <f>(FME_Ranking1[[#This Row],[LWC Raw]]/$U$2)*100</f>
        <v>5.7570523891767422E-2</v>
      </c>
      <c r="W1685" s="178">
        <f>FME_Ranking1[[#This Row],[LWC Score (Normalized, Unweighted)]]*$U$3</f>
        <v>1.1514104778353485E-2</v>
      </c>
      <c r="X1685" s="246">
        <f>_xlfn.XLOOKUP(FME_Ranking1[[#This Row],[FME ID]],FME_Input[FME_ID],FME_Input[ROADCLS])</f>
        <v>0</v>
      </c>
      <c r="Y1685" s="230">
        <f>(FME_Ranking1[[#This Row],[Closures Raw]]/$X$2)*100</f>
        <v>0</v>
      </c>
      <c r="Z1685" s="180">
        <f>FME_Ranking1[[#This Row],[Closures Score (Normalized, Unweighted)]]*$X$3</f>
        <v>0</v>
      </c>
      <c r="AA1685" s="253">
        <f>_xlfn.XLOOKUP(FME_Ranking1[[#This Row],[FME ID]],FME_Input[FME_ID],FME_Input[ROAD_MILES100])</f>
        <v>0</v>
      </c>
      <c r="AB1685" s="178">
        <f>(FME_Ranking1[[#This Row],[Miles Raw]]/$AA$2)*100</f>
        <v>0</v>
      </c>
      <c r="AC1685" s="178">
        <f>FME_Ranking1[[#This Row],[Miles Score (Normalized, Unweighted)]]*$AA$3</f>
        <v>0</v>
      </c>
      <c r="AD1685" s="255">
        <f>_xlfn.XLOOKUP(FME_Ranking1[[#This Row],[FME ID]],FME_Input[FME_ID],FME_Input[FARMACRE100])</f>
        <v>0</v>
      </c>
      <c r="AE1685" s="230">
        <f>(FME_Ranking1[[#This Row],[Ag Land Raw]]/$AD$2)*100</f>
        <v>0</v>
      </c>
      <c r="AF1685" s="231">
        <f>FME_Ranking1[[#This Row],[Ag Land Score (Normalized, Unweighted)]]*$AD$3</f>
        <v>0</v>
      </c>
      <c r="AG168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1.1514104778353485E-2</v>
      </c>
      <c r="AH1685" s="406">
        <f t="shared" si="26"/>
        <v>1737</v>
      </c>
      <c r="AI168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1.1514104778353485E-2</v>
      </c>
      <c r="AJ1685" s="257">
        <f>FME_Ranking1[[#This Row],[Addition check]]-FME_Ranking1[[#This Row],[Weighted Score Based on Normalized Reported Factors]]</f>
        <v>0</v>
      </c>
      <c r="AK1685" s="178">
        <f>_xlfn.RANK.EQ(AI1685,$AI$6:$AI$2341,0)+COUNTIF($AI$6:AI1685,AI1685)-1</f>
        <v>1737</v>
      </c>
    </row>
    <row r="1686" spans="1:37" x14ac:dyDescent="0.25">
      <c r="A1686" t="s">
        <v>8671</v>
      </c>
      <c r="B1686">
        <f>_xlfn.XLOOKUP(FME_Ranking1[[#This Row],[FME ID]],FME_Input[FME_ID],FME_Input[RFPG_NUM])</f>
        <v>11</v>
      </c>
      <c r="C1686" t="str">
        <f>_xlfn.XLOOKUP(FME_Ranking1[[#This Row],[FME ID]],FME_Input[FME_ID],FME_Input[FME_NAME])</f>
        <v>City of Kerrville Park Street Low Water Crossing Project Planning</v>
      </c>
      <c r="D1686" t="str">
        <f>_xlfn.XLOOKUP(FME_Ranking1[[#This Row],[FME ID]],FME_Input[FME_ID],FME_Input[DESCR])</f>
        <v>Project planning for proposed project to improve or replace the Park Street Low Water Crossing.</v>
      </c>
      <c r="E1686" s="256">
        <f>_xlfn.XLOOKUP(FME_Ranking1[[#This Row],[FME ID]],FME_Input[FME_ID],FME_Input[FME_COST])</f>
        <v>340000</v>
      </c>
      <c r="F1686" t="str">
        <f>_xlfn.XLOOKUP(FME_Ranking1[[#This Row],[FME ID]],FME_Input[FME_ID],FME_Input[EMER_NEED])</f>
        <v>No</v>
      </c>
      <c r="G1686">
        <f>IF(FME_Ranking!F1686="Yes",100,0)</f>
        <v>0</v>
      </c>
      <c r="H1686">
        <f>FME_Ranking1[[#This Row],[Emergency Need Score (Normalized, Unweighted)]]*$F$3</f>
        <v>0</v>
      </c>
      <c r="I1686" s="246">
        <f>_xlfn.XLOOKUP(FME_Ranking1[[#This Row],[FME ID]],FME_Input[FME_ID],FME_Input[STRUCT_100])</f>
        <v>0</v>
      </c>
      <c r="J1686" s="178">
        <f>(FME_Ranking1[[#This Row],[Structures 100 Raw]]/I$2)*100</f>
        <v>0</v>
      </c>
      <c r="K1686" s="178">
        <f>FME_Ranking1[[#This Row],[Structures 100  Score (Normalized, Unweighted)]]*$I$3</f>
        <v>0</v>
      </c>
      <c r="L1686" s="246">
        <f>_xlfn.XLOOKUP(FME_Ranking1[[#This Row],[FME ID]],FME_Input[FME_ID],FME_Input[RES_STRUCT100])</f>
        <v>0</v>
      </c>
      <c r="M1686" s="230">
        <f>(FME_Ranking1[[#This Row],[Res Structures Raw]]/L$2)*100</f>
        <v>0</v>
      </c>
      <c r="N1686" s="180">
        <f>FME_Ranking1[[#This Row],[Res Structures Score (Normalized, Unweighted)]]*$L$3</f>
        <v>0</v>
      </c>
      <c r="O1686" s="244">
        <f>_xlfn.XLOOKUP(FME_Ranking1[[#This Row],[FME ID]],FME_Input[FME_ID],FME_Input[POP100])</f>
        <v>0</v>
      </c>
      <c r="P1686" s="178">
        <f>(FME_Ranking1[[#This Row],[Pop Raw]]/$O$2)*100</f>
        <v>0</v>
      </c>
      <c r="Q1686" s="178">
        <f>FME_Ranking1[[#This Row],[Pop Score (Normalized, Unweighted)]]*$O$3</f>
        <v>0</v>
      </c>
      <c r="R1686" s="137">
        <f>_xlfn.XLOOKUP(FME_Ranking1[[#This Row],[FME ID]],FME_Input[FME_ID],FME_Input[CRITFAC100])</f>
        <v>0</v>
      </c>
      <c r="S1686" s="230">
        <f>(FME_Ranking1[[#This Row],[Critical Facilities Raw]]/$R$2)*100</f>
        <v>0</v>
      </c>
      <c r="T1686" s="180">
        <f>FME_Ranking1[[#This Row],[Critical Facilities Score (Normalized, Unweighted)]]*$R$3</f>
        <v>0</v>
      </c>
      <c r="U1686">
        <f>_xlfn.XLOOKUP(FME_Ranking1[[#This Row],[FME ID]],FME_Input[FME_ID],FME_Input[LWC])</f>
        <v>1</v>
      </c>
      <c r="V1686" s="178">
        <f>(FME_Ranking1[[#This Row],[LWC Raw]]/$U$2)*100</f>
        <v>5.7570523891767422E-2</v>
      </c>
      <c r="W1686" s="178">
        <f>FME_Ranking1[[#This Row],[LWC Score (Normalized, Unweighted)]]*$U$3</f>
        <v>1.1514104778353485E-2</v>
      </c>
      <c r="X1686" s="246">
        <f>_xlfn.XLOOKUP(FME_Ranking1[[#This Row],[FME ID]],FME_Input[FME_ID],FME_Input[ROADCLS])</f>
        <v>0</v>
      </c>
      <c r="Y1686" s="230">
        <f>(FME_Ranking1[[#This Row],[Closures Raw]]/$X$2)*100</f>
        <v>0</v>
      </c>
      <c r="Z1686" s="180">
        <f>FME_Ranking1[[#This Row],[Closures Score (Normalized, Unweighted)]]*$X$3</f>
        <v>0</v>
      </c>
      <c r="AA1686" s="253">
        <f>_xlfn.XLOOKUP(FME_Ranking1[[#This Row],[FME ID]],FME_Input[FME_ID],FME_Input[ROAD_MILES100])</f>
        <v>7.3735900223255157E-2</v>
      </c>
      <c r="AB1686" s="178">
        <f>(FME_Ranking1[[#This Row],[Miles Raw]]/$AA$2)*100</f>
        <v>9.6949483639006593E-4</v>
      </c>
      <c r="AC1686" s="178">
        <f>FME_Ranking1[[#This Row],[Miles Score (Normalized, Unweighted)]]*$AA$3</f>
        <v>9.6949483639006593E-5</v>
      </c>
      <c r="AD1686" s="255">
        <f>_xlfn.XLOOKUP(FME_Ranking1[[#This Row],[FME ID]],FME_Input[FME_ID],FME_Input[FARMACRE100])</f>
        <v>0</v>
      </c>
      <c r="AE1686" s="230">
        <f>(FME_Ranking1[[#This Row],[Ag Land Raw]]/$AD$2)*100</f>
        <v>0</v>
      </c>
      <c r="AF1686" s="231">
        <f>FME_Ranking1[[#This Row],[Ag Land Score (Normalized, Unweighted)]]*$AD$3</f>
        <v>0</v>
      </c>
      <c r="AG168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1.1611054261992491E-2</v>
      </c>
      <c r="AH1686" s="406">
        <f t="shared" si="26"/>
        <v>1728</v>
      </c>
      <c r="AI168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1.1611054261992491E-2</v>
      </c>
      <c r="AJ1686" s="257">
        <f>FME_Ranking1[[#This Row],[Addition check]]-FME_Ranking1[[#This Row],[Weighted Score Based on Normalized Reported Factors]]</f>
        <v>0</v>
      </c>
      <c r="AK1686" s="178">
        <f>_xlfn.RANK.EQ(AI1686,$AI$6:$AI$2341,0)+COUNTIF($AI$6:AI1686,AI1686)-1</f>
        <v>1728</v>
      </c>
    </row>
    <row r="1687" spans="1:37" x14ac:dyDescent="0.25">
      <c r="A1687" t="s">
        <v>8674</v>
      </c>
      <c r="B1687">
        <f>_xlfn.XLOOKUP(FME_Ranking1[[#This Row],[FME ID]],FME_Input[FME_ID],FME_Input[RFPG_NUM])</f>
        <v>11</v>
      </c>
      <c r="C1687" t="str">
        <f>_xlfn.XLOOKUP(FME_Ranking1[[#This Row],[FME ID]],FME_Input[FME_ID],FME_Input[FME_NAME])</f>
        <v>City of Kerrville First Street Low Water Crossing Project Planning</v>
      </c>
      <c r="D1687" t="str">
        <f>_xlfn.XLOOKUP(FME_Ranking1[[#This Row],[FME ID]],FME_Input[FME_ID],FME_Input[DESCR])</f>
        <v>Project planning for proposed project to improve or replace the First Street Low Water Crossing.</v>
      </c>
      <c r="E1687" s="256">
        <f>_xlfn.XLOOKUP(FME_Ranking1[[#This Row],[FME ID]],FME_Input[FME_ID],FME_Input[FME_COST])</f>
        <v>510000</v>
      </c>
      <c r="F1687" t="str">
        <f>_xlfn.XLOOKUP(FME_Ranking1[[#This Row],[FME ID]],FME_Input[FME_ID],FME_Input[EMER_NEED])</f>
        <v>No</v>
      </c>
      <c r="G1687">
        <f>IF(FME_Ranking!F1687="Yes",100,0)</f>
        <v>0</v>
      </c>
      <c r="H1687">
        <f>FME_Ranking1[[#This Row],[Emergency Need Score (Normalized, Unweighted)]]*$F$3</f>
        <v>0</v>
      </c>
      <c r="I1687" s="246">
        <f>_xlfn.XLOOKUP(FME_Ranking1[[#This Row],[FME ID]],FME_Input[FME_ID],FME_Input[STRUCT_100])</f>
        <v>0</v>
      </c>
      <c r="J1687" s="178">
        <f>(FME_Ranking1[[#This Row],[Structures 100 Raw]]/I$2)*100</f>
        <v>0</v>
      </c>
      <c r="K1687" s="178">
        <f>FME_Ranking1[[#This Row],[Structures 100  Score (Normalized, Unweighted)]]*$I$3</f>
        <v>0</v>
      </c>
      <c r="L1687" s="246">
        <f>_xlfn.XLOOKUP(FME_Ranking1[[#This Row],[FME ID]],FME_Input[FME_ID],FME_Input[RES_STRUCT100])</f>
        <v>0</v>
      </c>
      <c r="M1687" s="230">
        <f>(FME_Ranking1[[#This Row],[Res Structures Raw]]/L$2)*100</f>
        <v>0</v>
      </c>
      <c r="N1687" s="180">
        <f>FME_Ranking1[[#This Row],[Res Structures Score (Normalized, Unweighted)]]*$L$3</f>
        <v>0</v>
      </c>
      <c r="O1687" s="244">
        <f>_xlfn.XLOOKUP(FME_Ranking1[[#This Row],[FME ID]],FME_Input[FME_ID],FME_Input[POP100])</f>
        <v>0</v>
      </c>
      <c r="P1687" s="178">
        <f>(FME_Ranking1[[#This Row],[Pop Raw]]/$O$2)*100</f>
        <v>0</v>
      </c>
      <c r="Q1687" s="178">
        <f>FME_Ranking1[[#This Row],[Pop Score (Normalized, Unweighted)]]*$O$3</f>
        <v>0</v>
      </c>
      <c r="R1687" s="137">
        <f>_xlfn.XLOOKUP(FME_Ranking1[[#This Row],[FME ID]],FME_Input[FME_ID],FME_Input[CRITFAC100])</f>
        <v>0</v>
      </c>
      <c r="S1687" s="230">
        <f>(FME_Ranking1[[#This Row],[Critical Facilities Raw]]/$R$2)*100</f>
        <v>0</v>
      </c>
      <c r="T1687" s="180">
        <f>FME_Ranking1[[#This Row],[Critical Facilities Score (Normalized, Unweighted)]]*$R$3</f>
        <v>0</v>
      </c>
      <c r="U1687">
        <f>_xlfn.XLOOKUP(FME_Ranking1[[#This Row],[FME ID]],FME_Input[FME_ID],FME_Input[LWC])</f>
        <v>1</v>
      </c>
      <c r="V1687" s="178">
        <f>(FME_Ranking1[[#This Row],[LWC Raw]]/$U$2)*100</f>
        <v>5.7570523891767422E-2</v>
      </c>
      <c r="W1687" s="178">
        <f>FME_Ranking1[[#This Row],[LWC Score (Normalized, Unweighted)]]*$U$3</f>
        <v>1.1514104778353485E-2</v>
      </c>
      <c r="X1687" s="246">
        <f>_xlfn.XLOOKUP(FME_Ranking1[[#This Row],[FME ID]],FME_Input[FME_ID],FME_Input[ROADCLS])</f>
        <v>0</v>
      </c>
      <c r="Y1687" s="230">
        <f>(FME_Ranking1[[#This Row],[Closures Raw]]/$X$2)*100</f>
        <v>0</v>
      </c>
      <c r="Z1687" s="180">
        <f>FME_Ranking1[[#This Row],[Closures Score (Normalized, Unweighted)]]*$X$3</f>
        <v>0</v>
      </c>
      <c r="AA1687" s="253">
        <f>_xlfn.XLOOKUP(FME_Ranking1[[#This Row],[FME ID]],FME_Input[FME_ID],FME_Input[ROAD_MILES100])</f>
        <v>4.8712641000747681E-2</v>
      </c>
      <c r="AB1687" s="178">
        <f>(FME_Ranking1[[#This Row],[Miles Raw]]/$AA$2)*100</f>
        <v>6.4048385893650944E-4</v>
      </c>
      <c r="AC1687" s="178">
        <f>FME_Ranking1[[#This Row],[Miles Score (Normalized, Unweighted)]]*$AA$3</f>
        <v>6.4048385893650944E-5</v>
      </c>
      <c r="AD1687" s="255">
        <f>_xlfn.XLOOKUP(FME_Ranking1[[#This Row],[FME ID]],FME_Input[FME_ID],FME_Input[FARMACRE100])</f>
        <v>0</v>
      </c>
      <c r="AE1687" s="230">
        <f>(FME_Ranking1[[#This Row],[Ag Land Raw]]/$AD$2)*100</f>
        <v>0</v>
      </c>
      <c r="AF1687" s="231">
        <f>FME_Ranking1[[#This Row],[Ag Land Score (Normalized, Unweighted)]]*$AD$3</f>
        <v>0</v>
      </c>
      <c r="AG168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1.1578153164247136E-2</v>
      </c>
      <c r="AH1687" s="406">
        <f t="shared" si="26"/>
        <v>1734</v>
      </c>
      <c r="AI168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1.1578153164247136E-2</v>
      </c>
      <c r="AJ1687" s="257">
        <f>FME_Ranking1[[#This Row],[Addition check]]-FME_Ranking1[[#This Row],[Weighted Score Based on Normalized Reported Factors]]</f>
        <v>0</v>
      </c>
      <c r="AK1687" s="178">
        <f>_xlfn.RANK.EQ(AI1687,$AI$6:$AI$2341,0)+COUNTIF($AI$6:AI1687,AI1687)-1</f>
        <v>1734</v>
      </c>
    </row>
    <row r="1688" spans="1:37" x14ac:dyDescent="0.25">
      <c r="A1688" t="s">
        <v>8677</v>
      </c>
      <c r="B1688">
        <f>_xlfn.XLOOKUP(FME_Ranking1[[#This Row],[FME ID]],FME_Input[FME_ID],FME_Input[RFPG_NUM])</f>
        <v>11</v>
      </c>
      <c r="C1688" t="str">
        <f>_xlfn.XLOOKUP(FME_Ranking1[[#This Row],[FME ID]],FME_Input[FME_ID],FME_Input[FME_NAME])</f>
        <v>City of Kerrville Fourth Street Low Water Crossing Project Planning</v>
      </c>
      <c r="D1688" t="str">
        <f>_xlfn.XLOOKUP(FME_Ranking1[[#This Row],[FME ID]],FME_Input[FME_ID],FME_Input[DESCR])</f>
        <v>Project planning for proposed project to improve or replace the Park Street Low Water Crossing.</v>
      </c>
      <c r="E1688" s="256">
        <f>_xlfn.XLOOKUP(FME_Ranking1[[#This Row],[FME ID]],FME_Input[FME_ID],FME_Input[FME_COST])</f>
        <v>180000</v>
      </c>
      <c r="F1688" t="str">
        <f>_xlfn.XLOOKUP(FME_Ranking1[[#This Row],[FME ID]],FME_Input[FME_ID],FME_Input[EMER_NEED])</f>
        <v>No</v>
      </c>
      <c r="G1688">
        <f>IF(FME_Ranking!F1688="Yes",100,0)</f>
        <v>0</v>
      </c>
      <c r="H1688">
        <f>FME_Ranking1[[#This Row],[Emergency Need Score (Normalized, Unweighted)]]*$F$3</f>
        <v>0</v>
      </c>
      <c r="I1688" s="246">
        <f>_xlfn.XLOOKUP(FME_Ranking1[[#This Row],[FME ID]],FME_Input[FME_ID],FME_Input[STRUCT_100])</f>
        <v>0</v>
      </c>
      <c r="J1688" s="178">
        <f>(FME_Ranking1[[#This Row],[Structures 100 Raw]]/I$2)*100</f>
        <v>0</v>
      </c>
      <c r="K1688" s="178">
        <f>FME_Ranking1[[#This Row],[Structures 100  Score (Normalized, Unweighted)]]*$I$3</f>
        <v>0</v>
      </c>
      <c r="L1688" s="246">
        <f>_xlfn.XLOOKUP(FME_Ranking1[[#This Row],[FME ID]],FME_Input[FME_ID],FME_Input[RES_STRUCT100])</f>
        <v>0</v>
      </c>
      <c r="M1688" s="230">
        <f>(FME_Ranking1[[#This Row],[Res Structures Raw]]/L$2)*100</f>
        <v>0</v>
      </c>
      <c r="N1688" s="180">
        <f>FME_Ranking1[[#This Row],[Res Structures Score (Normalized, Unweighted)]]*$L$3</f>
        <v>0</v>
      </c>
      <c r="O1688" s="244">
        <f>_xlfn.XLOOKUP(FME_Ranking1[[#This Row],[FME ID]],FME_Input[FME_ID],FME_Input[POP100])</f>
        <v>0</v>
      </c>
      <c r="P1688" s="178">
        <f>(FME_Ranking1[[#This Row],[Pop Raw]]/$O$2)*100</f>
        <v>0</v>
      </c>
      <c r="Q1688" s="178">
        <f>FME_Ranking1[[#This Row],[Pop Score (Normalized, Unweighted)]]*$O$3</f>
        <v>0</v>
      </c>
      <c r="R1688" s="137">
        <f>_xlfn.XLOOKUP(FME_Ranking1[[#This Row],[FME ID]],FME_Input[FME_ID],FME_Input[CRITFAC100])</f>
        <v>0</v>
      </c>
      <c r="S1688" s="230">
        <f>(FME_Ranking1[[#This Row],[Critical Facilities Raw]]/$R$2)*100</f>
        <v>0</v>
      </c>
      <c r="T1688" s="180">
        <f>FME_Ranking1[[#This Row],[Critical Facilities Score (Normalized, Unweighted)]]*$R$3</f>
        <v>0</v>
      </c>
      <c r="U1688">
        <f>_xlfn.XLOOKUP(FME_Ranking1[[#This Row],[FME ID]],FME_Input[FME_ID],FME_Input[LWC])</f>
        <v>1</v>
      </c>
      <c r="V1688" s="178">
        <f>(FME_Ranking1[[#This Row],[LWC Raw]]/$U$2)*100</f>
        <v>5.7570523891767422E-2</v>
      </c>
      <c r="W1688" s="178">
        <f>FME_Ranking1[[#This Row],[LWC Score (Normalized, Unweighted)]]*$U$3</f>
        <v>1.1514104778353485E-2</v>
      </c>
      <c r="X1688" s="246">
        <f>_xlfn.XLOOKUP(FME_Ranking1[[#This Row],[FME ID]],FME_Input[FME_ID],FME_Input[ROADCLS])</f>
        <v>0</v>
      </c>
      <c r="Y1688" s="230">
        <f>(FME_Ranking1[[#This Row],[Closures Raw]]/$X$2)*100</f>
        <v>0</v>
      </c>
      <c r="Z1688" s="180">
        <f>FME_Ranking1[[#This Row],[Closures Score (Normalized, Unweighted)]]*$X$3</f>
        <v>0</v>
      </c>
      <c r="AA1688" s="253">
        <f>_xlfn.XLOOKUP(FME_Ranking1[[#This Row],[FME ID]],FME_Input[FME_ID],FME_Input[ROAD_MILES100])</f>
        <v>6.1610579490661621E-2</v>
      </c>
      <c r="AB1688" s="178">
        <f>(FME_Ranking1[[#This Row],[Miles Raw]]/$AA$2)*100</f>
        <v>8.100686165401676E-4</v>
      </c>
      <c r="AC1688" s="178">
        <f>FME_Ranking1[[#This Row],[Miles Score (Normalized, Unweighted)]]*$AA$3</f>
        <v>8.1006861654016763E-5</v>
      </c>
      <c r="AD1688" s="255">
        <f>_xlfn.XLOOKUP(FME_Ranking1[[#This Row],[FME ID]],FME_Input[FME_ID],FME_Input[FARMACRE100])</f>
        <v>0</v>
      </c>
      <c r="AE1688" s="230">
        <f>(FME_Ranking1[[#This Row],[Ag Land Raw]]/$AD$2)*100</f>
        <v>0</v>
      </c>
      <c r="AF1688" s="231">
        <f>FME_Ranking1[[#This Row],[Ag Land Score (Normalized, Unweighted)]]*$AD$3</f>
        <v>0</v>
      </c>
      <c r="AG168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1.1595111640007502E-2</v>
      </c>
      <c r="AH1688" s="406">
        <f t="shared" si="26"/>
        <v>1732</v>
      </c>
      <c r="AI168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1.1595111640007502E-2</v>
      </c>
      <c r="AJ1688" s="257">
        <f>FME_Ranking1[[#This Row],[Addition check]]-FME_Ranking1[[#This Row],[Weighted Score Based on Normalized Reported Factors]]</f>
        <v>0</v>
      </c>
      <c r="AK1688" s="178">
        <f>_xlfn.RANK.EQ(AI1688,$AI$6:$AI$2341,0)+COUNTIF($AI$6:AI1688,AI1688)-1</f>
        <v>1732</v>
      </c>
    </row>
    <row r="1689" spans="1:37" x14ac:dyDescent="0.25">
      <c r="A1689" t="s">
        <v>8787</v>
      </c>
      <c r="B1689">
        <f>_xlfn.XLOOKUP(FME_Ranking1[[#This Row],[FME ID]],FME_Input[FME_ID],FME_Input[RFPG_NUM])</f>
        <v>11</v>
      </c>
      <c r="C1689" t="str">
        <f>_xlfn.XLOOKUP(FME_Ranking1[[#This Row],[FME ID]],FME_Input[FME_ID],FME_Input[FME_NAME])</f>
        <v>City of San Marcos LWC at River Road and Railroad Trestle/Blanco River Project Planning</v>
      </c>
      <c r="D1689" t="str">
        <f>_xlfn.XLOOKUP(FME_Ranking1[[#This Row],[FME ID]],FME_Input[FME_ID],FME_Input[DESCR])</f>
        <v>Project planning to replace low water crossing at River Road and Railroad Trestle/Blanco River</v>
      </c>
      <c r="E1689" s="256">
        <f>_xlfn.XLOOKUP(FME_Ranking1[[#This Row],[FME ID]],FME_Input[FME_ID],FME_Input[FME_COST])</f>
        <v>150000</v>
      </c>
      <c r="F1689" t="str">
        <f>_xlfn.XLOOKUP(FME_Ranking1[[#This Row],[FME ID]],FME_Input[FME_ID],FME_Input[EMER_NEED])</f>
        <v>No</v>
      </c>
      <c r="G1689">
        <f>IF(FME_Ranking!F1689="Yes",100,0)</f>
        <v>0</v>
      </c>
      <c r="H1689">
        <f>FME_Ranking1[[#This Row],[Emergency Need Score (Normalized, Unweighted)]]*$F$3</f>
        <v>0</v>
      </c>
      <c r="I1689" s="246">
        <f>_xlfn.XLOOKUP(FME_Ranking1[[#This Row],[FME ID]],FME_Input[FME_ID],FME_Input[STRUCT_100])</f>
        <v>0</v>
      </c>
      <c r="J1689" s="178">
        <f>(FME_Ranking1[[#This Row],[Structures 100 Raw]]/I$2)*100</f>
        <v>0</v>
      </c>
      <c r="K1689" s="178">
        <f>FME_Ranking1[[#This Row],[Structures 100  Score (Normalized, Unweighted)]]*$I$3</f>
        <v>0</v>
      </c>
      <c r="L1689" s="246">
        <f>_xlfn.XLOOKUP(FME_Ranking1[[#This Row],[FME ID]],FME_Input[FME_ID],FME_Input[RES_STRUCT100])</f>
        <v>0</v>
      </c>
      <c r="M1689" s="230">
        <f>(FME_Ranking1[[#This Row],[Res Structures Raw]]/L$2)*100</f>
        <v>0</v>
      </c>
      <c r="N1689" s="180">
        <f>FME_Ranking1[[#This Row],[Res Structures Score (Normalized, Unweighted)]]*$L$3</f>
        <v>0</v>
      </c>
      <c r="O1689" s="244">
        <f>_xlfn.XLOOKUP(FME_Ranking1[[#This Row],[FME ID]],FME_Input[FME_ID],FME_Input[POP100])</f>
        <v>0</v>
      </c>
      <c r="P1689" s="178">
        <f>(FME_Ranking1[[#This Row],[Pop Raw]]/$O$2)*100</f>
        <v>0</v>
      </c>
      <c r="Q1689" s="178">
        <f>FME_Ranking1[[#This Row],[Pop Score (Normalized, Unweighted)]]*$O$3</f>
        <v>0</v>
      </c>
      <c r="R1689" s="137">
        <f>_xlfn.XLOOKUP(FME_Ranking1[[#This Row],[FME ID]],FME_Input[FME_ID],FME_Input[CRITFAC100])</f>
        <v>0</v>
      </c>
      <c r="S1689" s="230">
        <f>(FME_Ranking1[[#This Row],[Critical Facilities Raw]]/$R$2)*100</f>
        <v>0</v>
      </c>
      <c r="T1689" s="180">
        <f>FME_Ranking1[[#This Row],[Critical Facilities Score (Normalized, Unweighted)]]*$R$3</f>
        <v>0</v>
      </c>
      <c r="U1689">
        <f>_xlfn.XLOOKUP(FME_Ranking1[[#This Row],[FME ID]],FME_Input[FME_ID],FME_Input[LWC])</f>
        <v>1</v>
      </c>
      <c r="V1689" s="178">
        <f>(FME_Ranking1[[#This Row],[LWC Raw]]/$U$2)*100</f>
        <v>5.7570523891767422E-2</v>
      </c>
      <c r="W1689" s="178">
        <f>FME_Ranking1[[#This Row],[LWC Score (Normalized, Unweighted)]]*$U$3</f>
        <v>1.1514104778353485E-2</v>
      </c>
      <c r="X1689" s="246">
        <f>_xlfn.XLOOKUP(FME_Ranking1[[#This Row],[FME ID]],FME_Input[FME_ID],FME_Input[ROADCLS])</f>
        <v>0</v>
      </c>
      <c r="Y1689" s="230">
        <f>(FME_Ranking1[[#This Row],[Closures Raw]]/$X$2)*100</f>
        <v>0</v>
      </c>
      <c r="Z1689" s="180">
        <f>FME_Ranking1[[#This Row],[Closures Score (Normalized, Unweighted)]]*$X$3</f>
        <v>0</v>
      </c>
      <c r="AA1689" s="253">
        <f>_xlfn.XLOOKUP(FME_Ranking1[[#This Row],[FME ID]],FME_Input[FME_ID],FME_Input[ROAD_MILES100])</f>
        <v>6.3839897513389587E-2</v>
      </c>
      <c r="AB1689" s="178">
        <f>(FME_Ranking1[[#This Row],[Miles Raw]]/$AA$2)*100</f>
        <v>8.3938015006945418E-4</v>
      </c>
      <c r="AC1689" s="178">
        <f>FME_Ranking1[[#This Row],[Miles Score (Normalized, Unweighted)]]*$AA$3</f>
        <v>8.3938015006945429E-5</v>
      </c>
      <c r="AD1689" s="255">
        <f>_xlfn.XLOOKUP(FME_Ranking1[[#This Row],[FME ID]],FME_Input[FME_ID],FME_Input[FARMACRE100])</f>
        <v>0</v>
      </c>
      <c r="AE1689" s="230">
        <f>(FME_Ranking1[[#This Row],[Ag Land Raw]]/$AD$2)*100</f>
        <v>0</v>
      </c>
      <c r="AF1689" s="231">
        <f>FME_Ranking1[[#This Row],[Ag Land Score (Normalized, Unweighted)]]*$AD$3</f>
        <v>0</v>
      </c>
      <c r="AG168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1.1598042793360431E-2</v>
      </c>
      <c r="AH1689" s="406">
        <f t="shared" si="26"/>
        <v>1731</v>
      </c>
      <c r="AI168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1.1598042793360431E-2</v>
      </c>
      <c r="AJ1689" s="257">
        <f>FME_Ranking1[[#This Row],[Addition check]]-FME_Ranking1[[#This Row],[Weighted Score Based on Normalized Reported Factors]]</f>
        <v>0</v>
      </c>
      <c r="AK1689" s="178">
        <f>_xlfn.RANK.EQ(AI1689,$AI$6:$AI$2341,0)+COUNTIF($AI$6:AI1689,AI1689)-1</f>
        <v>1731</v>
      </c>
    </row>
    <row r="1690" spans="1:37" x14ac:dyDescent="0.25">
      <c r="A1690" t="s">
        <v>8875</v>
      </c>
      <c r="B1690">
        <f>_xlfn.XLOOKUP(FME_Ranking1[[#This Row],[FME ID]],FME_Input[FME_ID],FME_Input[RFPG_NUM])</f>
        <v>11</v>
      </c>
      <c r="C1690" t="str">
        <f>_xlfn.XLOOKUP(FME_Ranking1[[#This Row],[FME ID]],FME_Input[FME_ID],FME_Input[FME_NAME])</f>
        <v>City of Wimberley FM 1492 at Blanco River Low Water Crossing Project Planning</v>
      </c>
      <c r="D1690" t="str">
        <f>_xlfn.XLOOKUP(FME_Ranking1[[#This Row],[FME ID]],FME_Input[FME_ID],FME_Input[DESCR])</f>
        <v>Project planning for proposed project to replace low water crossing at FM 1492 at Blanco River</v>
      </c>
      <c r="E1690" s="256">
        <f>_xlfn.XLOOKUP(FME_Ranking1[[#This Row],[FME ID]],FME_Input[FME_ID],FME_Input[FME_COST])</f>
        <v>100000</v>
      </c>
      <c r="F1690" t="str">
        <f>_xlfn.XLOOKUP(FME_Ranking1[[#This Row],[FME ID]],FME_Input[FME_ID],FME_Input[EMER_NEED])</f>
        <v>No</v>
      </c>
      <c r="G1690">
        <f>IF(FME_Ranking!F1690="Yes",100,0)</f>
        <v>0</v>
      </c>
      <c r="H1690">
        <f>FME_Ranking1[[#This Row],[Emergency Need Score (Normalized, Unweighted)]]*$F$3</f>
        <v>0</v>
      </c>
      <c r="I1690" s="246">
        <f>_xlfn.XLOOKUP(FME_Ranking1[[#This Row],[FME ID]],FME_Input[FME_ID],FME_Input[STRUCT_100])</f>
        <v>0</v>
      </c>
      <c r="J1690" s="178">
        <f>(FME_Ranking1[[#This Row],[Structures 100 Raw]]/I$2)*100</f>
        <v>0</v>
      </c>
      <c r="K1690" s="178">
        <f>FME_Ranking1[[#This Row],[Structures 100  Score (Normalized, Unweighted)]]*$I$3</f>
        <v>0</v>
      </c>
      <c r="L1690" s="246">
        <f>_xlfn.XLOOKUP(FME_Ranking1[[#This Row],[FME ID]],FME_Input[FME_ID],FME_Input[RES_STRUCT100])</f>
        <v>0</v>
      </c>
      <c r="M1690" s="230">
        <f>(FME_Ranking1[[#This Row],[Res Structures Raw]]/L$2)*100</f>
        <v>0</v>
      </c>
      <c r="N1690" s="180">
        <f>FME_Ranking1[[#This Row],[Res Structures Score (Normalized, Unweighted)]]*$L$3</f>
        <v>0</v>
      </c>
      <c r="O1690" s="244">
        <f>_xlfn.XLOOKUP(FME_Ranking1[[#This Row],[FME ID]],FME_Input[FME_ID],FME_Input[POP100])</f>
        <v>0</v>
      </c>
      <c r="P1690" s="178">
        <f>(FME_Ranking1[[#This Row],[Pop Raw]]/$O$2)*100</f>
        <v>0</v>
      </c>
      <c r="Q1690" s="178">
        <f>FME_Ranking1[[#This Row],[Pop Score (Normalized, Unweighted)]]*$O$3</f>
        <v>0</v>
      </c>
      <c r="R1690" s="137">
        <f>_xlfn.XLOOKUP(FME_Ranking1[[#This Row],[FME ID]],FME_Input[FME_ID],FME_Input[CRITFAC100])</f>
        <v>0</v>
      </c>
      <c r="S1690" s="230">
        <f>(FME_Ranking1[[#This Row],[Critical Facilities Raw]]/$R$2)*100</f>
        <v>0</v>
      </c>
      <c r="T1690" s="180">
        <f>FME_Ranking1[[#This Row],[Critical Facilities Score (Normalized, Unweighted)]]*$R$3</f>
        <v>0</v>
      </c>
      <c r="U1690">
        <f>_xlfn.XLOOKUP(FME_Ranking1[[#This Row],[FME ID]],FME_Input[FME_ID],FME_Input[LWC])</f>
        <v>1</v>
      </c>
      <c r="V1690" s="178">
        <f>(FME_Ranking1[[#This Row],[LWC Raw]]/$U$2)*100</f>
        <v>5.7570523891767422E-2</v>
      </c>
      <c r="W1690" s="178">
        <f>FME_Ranking1[[#This Row],[LWC Score (Normalized, Unweighted)]]*$U$3</f>
        <v>1.1514104778353485E-2</v>
      </c>
      <c r="X1690" s="246">
        <f>_xlfn.XLOOKUP(FME_Ranking1[[#This Row],[FME ID]],FME_Input[FME_ID],FME_Input[ROADCLS])</f>
        <v>0</v>
      </c>
      <c r="Y1690" s="230">
        <f>(FME_Ranking1[[#This Row],[Closures Raw]]/$X$2)*100</f>
        <v>0</v>
      </c>
      <c r="Z1690" s="180">
        <f>FME_Ranking1[[#This Row],[Closures Score (Normalized, Unweighted)]]*$X$3</f>
        <v>0</v>
      </c>
      <c r="AA1690" s="253">
        <f>_xlfn.XLOOKUP(FME_Ranking1[[#This Row],[FME ID]],FME_Input[FME_ID],FME_Input[ROAD_MILES100])</f>
        <v>9.4311542809009552E-2</v>
      </c>
      <c r="AB1690" s="178">
        <f>(FME_Ranking1[[#This Row],[Miles Raw]]/$AA$2)*100</f>
        <v>1.2400276322452545E-3</v>
      </c>
      <c r="AC1690" s="178">
        <f>FME_Ranking1[[#This Row],[Miles Score (Normalized, Unweighted)]]*$AA$3</f>
        <v>1.2400276322452545E-4</v>
      </c>
      <c r="AD1690" s="255">
        <f>_xlfn.XLOOKUP(FME_Ranking1[[#This Row],[FME ID]],FME_Input[FME_ID],FME_Input[FARMACRE100])</f>
        <v>0</v>
      </c>
      <c r="AE1690" s="230">
        <f>(FME_Ranking1[[#This Row],[Ag Land Raw]]/$AD$2)*100</f>
        <v>0</v>
      </c>
      <c r="AF1690" s="231">
        <f>FME_Ranking1[[#This Row],[Ag Land Score (Normalized, Unweighted)]]*$AD$3</f>
        <v>0</v>
      </c>
      <c r="AG169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1.163810754157801E-2</v>
      </c>
      <c r="AH1690" s="406">
        <f t="shared" si="26"/>
        <v>1727</v>
      </c>
      <c r="AI169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1.163810754157801E-2</v>
      </c>
      <c r="AJ1690" s="257">
        <f>FME_Ranking1[[#This Row],[Addition check]]-FME_Ranking1[[#This Row],[Weighted Score Based on Normalized Reported Factors]]</f>
        <v>0</v>
      </c>
      <c r="AK1690" s="178">
        <f>_xlfn.RANK.EQ(AI1690,$AI$6:$AI$2341,0)+COUNTIF($AI$6:AI1690,AI1690)-1</f>
        <v>1727</v>
      </c>
    </row>
    <row r="1691" spans="1:37" x14ac:dyDescent="0.25">
      <c r="A1691" t="s">
        <v>8888</v>
      </c>
      <c r="B1691">
        <f>_xlfn.XLOOKUP(FME_Ranking1[[#This Row],[FME ID]],FME_Input[FME_ID],FME_Input[RFPG_NUM])</f>
        <v>11</v>
      </c>
      <c r="C1691" t="str">
        <f>_xlfn.XLOOKUP(FME_Ranking1[[#This Row],[FME ID]],FME_Input[FME_ID],FME_Input[FME_NAME])</f>
        <v>City of Wimberley Valley Drive at Pierce Creek Low Water Crossing Project Planning</v>
      </c>
      <c r="D1691" t="str">
        <f>_xlfn.XLOOKUP(FME_Ranking1[[#This Row],[FME ID]],FME_Input[FME_ID],FME_Input[DESCR])</f>
        <v>Project planning for proposed project to replace low water crossing at Valley Drive at Pierce Creek</v>
      </c>
      <c r="E1691" s="256">
        <f>_xlfn.XLOOKUP(FME_Ranking1[[#This Row],[FME ID]],FME_Input[FME_ID],FME_Input[FME_COST])</f>
        <v>100000</v>
      </c>
      <c r="F1691" t="str">
        <f>_xlfn.XLOOKUP(FME_Ranking1[[#This Row],[FME ID]],FME_Input[FME_ID],FME_Input[EMER_NEED])</f>
        <v>No</v>
      </c>
      <c r="G1691">
        <f>IF(FME_Ranking!F1691="Yes",100,0)</f>
        <v>0</v>
      </c>
      <c r="H1691">
        <f>FME_Ranking1[[#This Row],[Emergency Need Score (Normalized, Unweighted)]]*$F$3</f>
        <v>0</v>
      </c>
      <c r="I1691" s="246">
        <f>_xlfn.XLOOKUP(FME_Ranking1[[#This Row],[FME ID]],FME_Input[FME_ID],FME_Input[STRUCT_100])</f>
        <v>0</v>
      </c>
      <c r="J1691" s="178">
        <f>(FME_Ranking1[[#This Row],[Structures 100 Raw]]/I$2)*100</f>
        <v>0</v>
      </c>
      <c r="K1691" s="178">
        <f>FME_Ranking1[[#This Row],[Structures 100  Score (Normalized, Unweighted)]]*$I$3</f>
        <v>0</v>
      </c>
      <c r="L1691" s="246">
        <f>_xlfn.XLOOKUP(FME_Ranking1[[#This Row],[FME ID]],FME_Input[FME_ID],FME_Input[RES_STRUCT100])</f>
        <v>0</v>
      </c>
      <c r="M1691" s="230">
        <f>(FME_Ranking1[[#This Row],[Res Structures Raw]]/L$2)*100</f>
        <v>0</v>
      </c>
      <c r="N1691" s="180">
        <f>FME_Ranking1[[#This Row],[Res Structures Score (Normalized, Unweighted)]]*$L$3</f>
        <v>0</v>
      </c>
      <c r="O1691" s="244">
        <f>_xlfn.XLOOKUP(FME_Ranking1[[#This Row],[FME ID]],FME_Input[FME_ID],FME_Input[POP100])</f>
        <v>0</v>
      </c>
      <c r="P1691" s="178">
        <f>(FME_Ranking1[[#This Row],[Pop Raw]]/$O$2)*100</f>
        <v>0</v>
      </c>
      <c r="Q1691" s="178">
        <f>FME_Ranking1[[#This Row],[Pop Score (Normalized, Unweighted)]]*$O$3</f>
        <v>0</v>
      </c>
      <c r="R1691" s="137">
        <f>_xlfn.XLOOKUP(FME_Ranking1[[#This Row],[FME ID]],FME_Input[FME_ID],FME_Input[CRITFAC100])</f>
        <v>0</v>
      </c>
      <c r="S1691" s="230">
        <f>(FME_Ranking1[[#This Row],[Critical Facilities Raw]]/$R$2)*100</f>
        <v>0</v>
      </c>
      <c r="T1691" s="180">
        <f>FME_Ranking1[[#This Row],[Critical Facilities Score (Normalized, Unweighted)]]*$R$3</f>
        <v>0</v>
      </c>
      <c r="U1691">
        <f>_xlfn.XLOOKUP(FME_Ranking1[[#This Row],[FME ID]],FME_Input[FME_ID],FME_Input[LWC])</f>
        <v>1</v>
      </c>
      <c r="V1691" s="178">
        <f>(FME_Ranking1[[#This Row],[LWC Raw]]/$U$2)*100</f>
        <v>5.7570523891767422E-2</v>
      </c>
      <c r="W1691" s="178">
        <f>FME_Ranking1[[#This Row],[LWC Score (Normalized, Unweighted)]]*$U$3</f>
        <v>1.1514104778353485E-2</v>
      </c>
      <c r="X1691" s="246">
        <f>_xlfn.XLOOKUP(FME_Ranking1[[#This Row],[FME ID]],FME_Input[FME_ID],FME_Input[ROADCLS])</f>
        <v>0</v>
      </c>
      <c r="Y1691" s="230">
        <f>(FME_Ranking1[[#This Row],[Closures Raw]]/$X$2)*100</f>
        <v>0</v>
      </c>
      <c r="Z1691" s="180">
        <f>FME_Ranking1[[#This Row],[Closures Score (Normalized, Unweighted)]]*$X$3</f>
        <v>0</v>
      </c>
      <c r="AA1691" s="253">
        <f>_xlfn.XLOOKUP(FME_Ranking1[[#This Row],[FME ID]],FME_Input[FME_ID],FME_Input[ROAD_MILES100])</f>
        <v>7.3555409908294678E-2</v>
      </c>
      <c r="AB1691" s="178">
        <f>(FME_Ranking1[[#This Row],[Miles Raw]]/$AA$2)*100</f>
        <v>9.6712171247291317E-4</v>
      </c>
      <c r="AC1691" s="178">
        <f>FME_Ranking1[[#This Row],[Miles Score (Normalized, Unweighted)]]*$AA$3</f>
        <v>9.6712171247291323E-5</v>
      </c>
      <c r="AD1691" s="255">
        <f>_xlfn.XLOOKUP(FME_Ranking1[[#This Row],[FME ID]],FME_Input[FME_ID],FME_Input[FARMACRE100])</f>
        <v>0</v>
      </c>
      <c r="AE1691" s="230">
        <f>(FME_Ranking1[[#This Row],[Ag Land Raw]]/$AD$2)*100</f>
        <v>0</v>
      </c>
      <c r="AF1691" s="231">
        <f>FME_Ranking1[[#This Row],[Ag Land Score (Normalized, Unweighted)]]*$AD$3</f>
        <v>0</v>
      </c>
      <c r="AG169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1.1610816949600776E-2</v>
      </c>
      <c r="AH1691" s="406">
        <f t="shared" si="26"/>
        <v>1729</v>
      </c>
      <c r="AI169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1.1610816949600776E-2</v>
      </c>
      <c r="AJ1691" s="257">
        <f>FME_Ranking1[[#This Row],[Addition check]]-FME_Ranking1[[#This Row],[Weighted Score Based on Normalized Reported Factors]]</f>
        <v>0</v>
      </c>
      <c r="AK1691" s="178">
        <f>_xlfn.RANK.EQ(AI1691,$AI$6:$AI$2341,0)+COUNTIF($AI$6:AI1691,AI1691)-1</f>
        <v>1729</v>
      </c>
    </row>
    <row r="1692" spans="1:37" x14ac:dyDescent="0.25">
      <c r="A1692" t="s">
        <v>8912</v>
      </c>
      <c r="B1692">
        <f>_xlfn.XLOOKUP(FME_Ranking1[[#This Row],[FME ID]],FME_Input[FME_ID],FME_Input[RFPG_NUM])</f>
        <v>11</v>
      </c>
      <c r="C1692" t="str">
        <f>_xlfn.XLOOKUP(FME_Ranking1[[#This Row],[FME ID]],FME_Input[FME_ID],FME_Input[FME_NAME])</f>
        <v>City of Wimberley Paradise Hills Low Water Crossing Project Planning</v>
      </c>
      <c r="D1692" t="str">
        <f>_xlfn.XLOOKUP(FME_Ranking1[[#This Row],[FME ID]],FME_Input[FME_ID],FME_Input[DESCR])</f>
        <v>Project planning for proposed project to replace low water crossing at Paradise Hills</v>
      </c>
      <c r="E1692" s="256">
        <f>_xlfn.XLOOKUP(FME_Ranking1[[#This Row],[FME ID]],FME_Input[FME_ID],FME_Input[FME_COST])</f>
        <v>100000</v>
      </c>
      <c r="F1692" t="str">
        <f>_xlfn.XLOOKUP(FME_Ranking1[[#This Row],[FME ID]],FME_Input[FME_ID],FME_Input[EMER_NEED])</f>
        <v>No</v>
      </c>
      <c r="G1692">
        <f>IF(FME_Ranking!F1692="Yes",100,0)</f>
        <v>0</v>
      </c>
      <c r="H1692">
        <f>FME_Ranking1[[#This Row],[Emergency Need Score (Normalized, Unweighted)]]*$F$3</f>
        <v>0</v>
      </c>
      <c r="I1692" s="246">
        <f>_xlfn.XLOOKUP(FME_Ranking1[[#This Row],[FME ID]],FME_Input[FME_ID],FME_Input[STRUCT_100])</f>
        <v>0</v>
      </c>
      <c r="J1692" s="178">
        <f>(FME_Ranking1[[#This Row],[Structures 100 Raw]]/I$2)*100</f>
        <v>0</v>
      </c>
      <c r="K1692" s="178">
        <f>FME_Ranking1[[#This Row],[Structures 100  Score (Normalized, Unweighted)]]*$I$3</f>
        <v>0</v>
      </c>
      <c r="L1692" s="246">
        <f>_xlfn.XLOOKUP(FME_Ranking1[[#This Row],[FME ID]],FME_Input[FME_ID],FME_Input[RES_STRUCT100])</f>
        <v>0</v>
      </c>
      <c r="M1692" s="230">
        <f>(FME_Ranking1[[#This Row],[Res Structures Raw]]/L$2)*100</f>
        <v>0</v>
      </c>
      <c r="N1692" s="180">
        <f>FME_Ranking1[[#This Row],[Res Structures Score (Normalized, Unweighted)]]*$L$3</f>
        <v>0</v>
      </c>
      <c r="O1692" s="244">
        <f>_xlfn.XLOOKUP(FME_Ranking1[[#This Row],[FME ID]],FME_Input[FME_ID],FME_Input[POP100])</f>
        <v>0</v>
      </c>
      <c r="P1692" s="178">
        <f>(FME_Ranking1[[#This Row],[Pop Raw]]/$O$2)*100</f>
        <v>0</v>
      </c>
      <c r="Q1692" s="178">
        <f>FME_Ranking1[[#This Row],[Pop Score (Normalized, Unweighted)]]*$O$3</f>
        <v>0</v>
      </c>
      <c r="R1692" s="137">
        <f>_xlfn.XLOOKUP(FME_Ranking1[[#This Row],[FME ID]],FME_Input[FME_ID],FME_Input[CRITFAC100])</f>
        <v>0</v>
      </c>
      <c r="S1692" s="230">
        <f>(FME_Ranking1[[#This Row],[Critical Facilities Raw]]/$R$2)*100</f>
        <v>0</v>
      </c>
      <c r="T1692" s="180">
        <f>FME_Ranking1[[#This Row],[Critical Facilities Score (Normalized, Unweighted)]]*$R$3</f>
        <v>0</v>
      </c>
      <c r="U1692">
        <f>_xlfn.XLOOKUP(FME_Ranking1[[#This Row],[FME ID]],FME_Input[FME_ID],FME_Input[LWC])</f>
        <v>1</v>
      </c>
      <c r="V1692" s="178">
        <f>(FME_Ranking1[[#This Row],[LWC Raw]]/$U$2)*100</f>
        <v>5.7570523891767422E-2</v>
      </c>
      <c r="W1692" s="178">
        <f>FME_Ranking1[[#This Row],[LWC Score (Normalized, Unweighted)]]*$U$3</f>
        <v>1.1514104778353485E-2</v>
      </c>
      <c r="X1692" s="246">
        <f>_xlfn.XLOOKUP(FME_Ranking1[[#This Row],[FME ID]],FME_Input[FME_ID],FME_Input[ROADCLS])</f>
        <v>0</v>
      </c>
      <c r="Y1692" s="230">
        <f>(FME_Ranking1[[#This Row],[Closures Raw]]/$X$2)*100</f>
        <v>0</v>
      </c>
      <c r="Z1692" s="180">
        <f>FME_Ranking1[[#This Row],[Closures Score (Normalized, Unweighted)]]*$X$3</f>
        <v>0</v>
      </c>
      <c r="AA1692" s="253">
        <f>_xlfn.XLOOKUP(FME_Ranking1[[#This Row],[FME ID]],FME_Input[FME_ID],FME_Input[ROAD_MILES100])</f>
        <v>7.2975568473339081E-2</v>
      </c>
      <c r="AB1692" s="178">
        <f>(FME_Ranking1[[#This Row],[Miles Raw]]/$AA$2)*100</f>
        <v>9.5949783759768426E-4</v>
      </c>
      <c r="AC1692" s="178">
        <f>FME_Ranking1[[#This Row],[Miles Score (Normalized, Unweighted)]]*$AA$3</f>
        <v>9.5949783759768429E-5</v>
      </c>
      <c r="AD1692" s="255">
        <f>_xlfn.XLOOKUP(FME_Ranking1[[#This Row],[FME ID]],FME_Input[FME_ID],FME_Input[FARMACRE100])</f>
        <v>0</v>
      </c>
      <c r="AE1692" s="230">
        <f>(FME_Ranking1[[#This Row],[Ag Land Raw]]/$AD$2)*100</f>
        <v>0</v>
      </c>
      <c r="AF1692" s="231">
        <f>FME_Ranking1[[#This Row],[Ag Land Score (Normalized, Unweighted)]]*$AD$3</f>
        <v>0</v>
      </c>
      <c r="AG169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1.1610054562113253E-2</v>
      </c>
      <c r="AH1692" s="406">
        <f t="shared" si="26"/>
        <v>1730</v>
      </c>
      <c r="AI169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1.1610054562113253E-2</v>
      </c>
      <c r="AJ1692" s="257">
        <f>FME_Ranking1[[#This Row],[Addition check]]-FME_Ranking1[[#This Row],[Weighted Score Based on Normalized Reported Factors]]</f>
        <v>0</v>
      </c>
      <c r="AK1692" s="178">
        <f>_xlfn.RANK.EQ(AI1692,$AI$6:$AI$2341,0)+COUNTIF($AI$6:AI1692,AI1692)-1</f>
        <v>1730</v>
      </c>
    </row>
    <row r="1693" spans="1:37" x14ac:dyDescent="0.25">
      <c r="A1693" t="s">
        <v>9094</v>
      </c>
      <c r="B1693">
        <f>_xlfn.XLOOKUP(FME_Ranking1[[#This Row],[FME ID]],FME_Input[FME_ID],FME_Input[RFPG_NUM])</f>
        <v>11</v>
      </c>
      <c r="C1693" t="str">
        <f>_xlfn.XLOOKUP(FME_Ranking1[[#This Row],[FME ID]],FME_Input[FME_ID],FME_Input[FME_NAME])</f>
        <v>City of San Marcos McKie Street at Willow Springs Creek Project Planning</v>
      </c>
      <c r="D1693" t="str">
        <f>_xlfn.XLOOKUP(FME_Ranking1[[#This Row],[FME ID]],FME_Input[FME_ID],FME_Input[DESCR])</f>
        <v xml:space="preserve">Alternatives analysis to determine if a feasible FMP exists at this location. Develop technical data required for FMPs. </v>
      </c>
      <c r="E1693" s="256">
        <f>_xlfn.XLOOKUP(FME_Ranking1[[#This Row],[FME ID]],FME_Input[FME_ID],FME_Input[FME_COST])</f>
        <v>50000</v>
      </c>
      <c r="F1693" t="str">
        <f>_xlfn.XLOOKUP(FME_Ranking1[[#This Row],[FME ID]],FME_Input[FME_ID],FME_Input[EMER_NEED])</f>
        <v>No</v>
      </c>
      <c r="G1693">
        <f>IF(FME_Ranking!F1693="Yes",100,0)</f>
        <v>0</v>
      </c>
      <c r="H1693">
        <f>FME_Ranking1[[#This Row],[Emergency Need Score (Normalized, Unweighted)]]*$F$3</f>
        <v>0</v>
      </c>
      <c r="I1693" s="246">
        <f>_xlfn.XLOOKUP(FME_Ranking1[[#This Row],[FME ID]],FME_Input[FME_ID],FME_Input[STRUCT_100])</f>
        <v>0</v>
      </c>
      <c r="J1693" s="178">
        <f>(FME_Ranking1[[#This Row],[Structures 100 Raw]]/I$2)*100</f>
        <v>0</v>
      </c>
      <c r="K1693" s="178">
        <f>FME_Ranking1[[#This Row],[Structures 100  Score (Normalized, Unweighted)]]*$I$3</f>
        <v>0</v>
      </c>
      <c r="L1693" s="246">
        <f>_xlfn.XLOOKUP(FME_Ranking1[[#This Row],[FME ID]],FME_Input[FME_ID],FME_Input[RES_STRUCT100])</f>
        <v>0</v>
      </c>
      <c r="M1693" s="230">
        <f>(FME_Ranking1[[#This Row],[Res Structures Raw]]/L$2)*100</f>
        <v>0</v>
      </c>
      <c r="N1693" s="180">
        <f>FME_Ranking1[[#This Row],[Res Structures Score (Normalized, Unweighted)]]*$L$3</f>
        <v>0</v>
      </c>
      <c r="O1693" s="244">
        <f>_xlfn.XLOOKUP(FME_Ranking1[[#This Row],[FME ID]],FME_Input[FME_ID],FME_Input[POP100])</f>
        <v>0</v>
      </c>
      <c r="P1693" s="178">
        <f>(FME_Ranking1[[#This Row],[Pop Raw]]/$O$2)*100</f>
        <v>0</v>
      </c>
      <c r="Q1693" s="178">
        <f>FME_Ranking1[[#This Row],[Pop Score (Normalized, Unweighted)]]*$O$3</f>
        <v>0</v>
      </c>
      <c r="R1693" s="137">
        <f>_xlfn.XLOOKUP(FME_Ranking1[[#This Row],[FME ID]],FME_Input[FME_ID],FME_Input[CRITFAC100])</f>
        <v>0</v>
      </c>
      <c r="S1693" s="230">
        <f>(FME_Ranking1[[#This Row],[Critical Facilities Raw]]/$R$2)*100</f>
        <v>0</v>
      </c>
      <c r="T1693" s="180">
        <f>FME_Ranking1[[#This Row],[Critical Facilities Score (Normalized, Unweighted)]]*$R$3</f>
        <v>0</v>
      </c>
      <c r="U1693">
        <f>_xlfn.XLOOKUP(FME_Ranking1[[#This Row],[FME ID]],FME_Input[FME_ID],FME_Input[LWC])</f>
        <v>1</v>
      </c>
      <c r="V1693" s="178">
        <f>(FME_Ranking1[[#This Row],[LWC Raw]]/$U$2)*100</f>
        <v>5.7570523891767422E-2</v>
      </c>
      <c r="W1693" s="178">
        <f>FME_Ranking1[[#This Row],[LWC Score (Normalized, Unweighted)]]*$U$3</f>
        <v>1.1514104778353485E-2</v>
      </c>
      <c r="X1693" s="246">
        <f>_xlfn.XLOOKUP(FME_Ranking1[[#This Row],[FME ID]],FME_Input[FME_ID],FME_Input[ROADCLS])</f>
        <v>0</v>
      </c>
      <c r="Y1693" s="230">
        <f>(FME_Ranking1[[#This Row],[Closures Raw]]/$X$2)*100</f>
        <v>0</v>
      </c>
      <c r="Z1693" s="180">
        <f>FME_Ranking1[[#This Row],[Closures Score (Normalized, Unweighted)]]*$X$3</f>
        <v>0</v>
      </c>
      <c r="AA1693" s="253">
        <f>_xlfn.XLOOKUP(FME_Ranking1[[#This Row],[FME ID]],FME_Input[FME_ID],FME_Input[ROAD_MILES100])</f>
        <v>2.8567200526595119E-2</v>
      </c>
      <c r="AB1693" s="178">
        <f>(FME_Ranking1[[#This Row],[Miles Raw]]/$AA$2)*100</f>
        <v>3.7560744924517418E-4</v>
      </c>
      <c r="AC1693" s="178">
        <f>FME_Ranking1[[#This Row],[Miles Score (Normalized, Unweighted)]]*$AA$3</f>
        <v>3.7560744924517422E-5</v>
      </c>
      <c r="AD1693" s="255">
        <f>_xlfn.XLOOKUP(FME_Ranking1[[#This Row],[FME ID]],FME_Input[FME_ID],FME_Input[FARMACRE100])</f>
        <v>0</v>
      </c>
      <c r="AE1693" s="230">
        <f>(FME_Ranking1[[#This Row],[Ag Land Raw]]/$AD$2)*100</f>
        <v>0</v>
      </c>
      <c r="AF1693" s="231">
        <f>FME_Ranking1[[#This Row],[Ag Land Score (Normalized, Unweighted)]]*$AD$3</f>
        <v>0</v>
      </c>
      <c r="AG169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1.1551665523278002E-2</v>
      </c>
      <c r="AH1693" s="406">
        <f t="shared" si="26"/>
        <v>1736</v>
      </c>
      <c r="AI169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1.1551665523278002E-2</v>
      </c>
      <c r="AJ1693" s="257">
        <f>FME_Ranking1[[#This Row],[Addition check]]-FME_Ranking1[[#This Row],[Weighted Score Based on Normalized Reported Factors]]</f>
        <v>0</v>
      </c>
      <c r="AK1693" s="178">
        <f>_xlfn.RANK.EQ(AI1693,$AI$6:$AI$2341,0)+COUNTIF($AI$6:AI1693,AI1693)-1</f>
        <v>1736</v>
      </c>
    </row>
    <row r="1694" spans="1:37" x14ac:dyDescent="0.25">
      <c r="A1694" t="s">
        <v>9098</v>
      </c>
      <c r="B1694">
        <f>_xlfn.XLOOKUP(FME_Ranking1[[#This Row],[FME ID]],FME_Input[FME_ID],FME_Input[RFPG_NUM])</f>
        <v>11</v>
      </c>
      <c r="C1694" t="str">
        <f>_xlfn.XLOOKUP(FME_Ranking1[[#This Row],[FME ID]],FME_Input[FME_ID],FME_Input[FME_NAME])</f>
        <v>City of San Marcos South LBJ Drive at Willow Springs Creek Project Planning</v>
      </c>
      <c r="D1694" t="str">
        <f>_xlfn.XLOOKUP(FME_Ranking1[[#This Row],[FME ID]],FME_Input[FME_ID],FME_Input[DESCR])</f>
        <v xml:space="preserve">Alternatives analysis to determine if a feasible FMP exists at this location. Develop technical data required for FMPs. </v>
      </c>
      <c r="E1694" s="256">
        <f>_xlfn.XLOOKUP(FME_Ranking1[[#This Row],[FME ID]],FME_Input[FME_ID],FME_Input[FME_COST])</f>
        <v>50000</v>
      </c>
      <c r="F1694" t="str">
        <f>_xlfn.XLOOKUP(FME_Ranking1[[#This Row],[FME ID]],FME_Input[FME_ID],FME_Input[EMER_NEED])</f>
        <v>No</v>
      </c>
      <c r="G1694">
        <f>IF(FME_Ranking!F1694="Yes",100,0)</f>
        <v>0</v>
      </c>
      <c r="H1694">
        <f>FME_Ranking1[[#This Row],[Emergency Need Score (Normalized, Unweighted)]]*$F$3</f>
        <v>0</v>
      </c>
      <c r="I1694" s="246">
        <f>_xlfn.XLOOKUP(FME_Ranking1[[#This Row],[FME ID]],FME_Input[FME_ID],FME_Input[STRUCT_100])</f>
        <v>0</v>
      </c>
      <c r="J1694" s="178">
        <f>(FME_Ranking1[[#This Row],[Structures 100 Raw]]/I$2)*100</f>
        <v>0</v>
      </c>
      <c r="K1694" s="178">
        <f>FME_Ranking1[[#This Row],[Structures 100  Score (Normalized, Unweighted)]]*$I$3</f>
        <v>0</v>
      </c>
      <c r="L1694" s="246">
        <f>_xlfn.XLOOKUP(FME_Ranking1[[#This Row],[FME ID]],FME_Input[FME_ID],FME_Input[RES_STRUCT100])</f>
        <v>0</v>
      </c>
      <c r="M1694" s="230">
        <f>(FME_Ranking1[[#This Row],[Res Structures Raw]]/L$2)*100</f>
        <v>0</v>
      </c>
      <c r="N1694" s="180">
        <f>FME_Ranking1[[#This Row],[Res Structures Score (Normalized, Unweighted)]]*$L$3</f>
        <v>0</v>
      </c>
      <c r="O1694" s="244">
        <f>_xlfn.XLOOKUP(FME_Ranking1[[#This Row],[FME ID]],FME_Input[FME_ID],FME_Input[POP100])</f>
        <v>0</v>
      </c>
      <c r="P1694" s="178">
        <f>(FME_Ranking1[[#This Row],[Pop Raw]]/$O$2)*100</f>
        <v>0</v>
      </c>
      <c r="Q1694" s="178">
        <f>FME_Ranking1[[#This Row],[Pop Score (Normalized, Unweighted)]]*$O$3</f>
        <v>0</v>
      </c>
      <c r="R1694" s="137">
        <f>_xlfn.XLOOKUP(FME_Ranking1[[#This Row],[FME ID]],FME_Input[FME_ID],FME_Input[CRITFAC100])</f>
        <v>0</v>
      </c>
      <c r="S1694" s="230">
        <f>(FME_Ranking1[[#This Row],[Critical Facilities Raw]]/$R$2)*100</f>
        <v>0</v>
      </c>
      <c r="T1694" s="180">
        <f>FME_Ranking1[[#This Row],[Critical Facilities Score (Normalized, Unweighted)]]*$R$3</f>
        <v>0</v>
      </c>
      <c r="U1694">
        <f>_xlfn.XLOOKUP(FME_Ranking1[[#This Row],[FME ID]],FME_Input[FME_ID],FME_Input[LWC])</f>
        <v>1</v>
      </c>
      <c r="V1694" s="178">
        <f>(FME_Ranking1[[#This Row],[LWC Raw]]/$U$2)*100</f>
        <v>5.7570523891767422E-2</v>
      </c>
      <c r="W1694" s="178">
        <f>FME_Ranking1[[#This Row],[LWC Score (Normalized, Unweighted)]]*$U$3</f>
        <v>1.1514104778353485E-2</v>
      </c>
      <c r="X1694" s="246">
        <f>_xlfn.XLOOKUP(FME_Ranking1[[#This Row],[FME ID]],FME_Input[FME_ID],FME_Input[ROADCLS])</f>
        <v>0</v>
      </c>
      <c r="Y1694" s="230">
        <f>(FME_Ranking1[[#This Row],[Closures Raw]]/$X$2)*100</f>
        <v>0</v>
      </c>
      <c r="Z1694" s="180">
        <f>FME_Ranking1[[#This Row],[Closures Score (Normalized, Unweighted)]]*$X$3</f>
        <v>0</v>
      </c>
      <c r="AA1694" s="253">
        <f>_xlfn.XLOOKUP(FME_Ranking1[[#This Row],[FME ID]],FME_Input[FME_ID],FME_Input[ROAD_MILES100])</f>
        <v>3.6572538316249847E-2</v>
      </c>
      <c r="AB1694" s="178">
        <f>(FME_Ranking1[[#This Row],[Miles Raw]]/$AA$2)*100</f>
        <v>4.8086328293174497E-4</v>
      </c>
      <c r="AC1694" s="178">
        <f>FME_Ranking1[[#This Row],[Miles Score (Normalized, Unweighted)]]*$AA$3</f>
        <v>4.8086328293174499E-5</v>
      </c>
      <c r="AD1694" s="255">
        <f>_xlfn.XLOOKUP(FME_Ranking1[[#This Row],[FME ID]],FME_Input[FME_ID],FME_Input[FARMACRE100])</f>
        <v>0</v>
      </c>
      <c r="AE1694" s="230">
        <f>(FME_Ranking1[[#This Row],[Ag Land Raw]]/$AD$2)*100</f>
        <v>0</v>
      </c>
      <c r="AF1694" s="231">
        <f>FME_Ranking1[[#This Row],[Ag Land Score (Normalized, Unweighted)]]*$AD$3</f>
        <v>0</v>
      </c>
      <c r="AG169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1.156219110664666E-2</v>
      </c>
      <c r="AH1694" s="406">
        <f t="shared" si="26"/>
        <v>1735</v>
      </c>
      <c r="AI169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1.156219110664666E-2</v>
      </c>
      <c r="AJ1694" s="257">
        <f>FME_Ranking1[[#This Row],[Addition check]]-FME_Ranking1[[#This Row],[Weighted Score Based on Normalized Reported Factors]]</f>
        <v>0</v>
      </c>
      <c r="AK1694" s="178">
        <f>_xlfn.RANK.EQ(AI1694,$AI$6:$AI$2341,0)+COUNTIF($AI$6:AI1694,AI1694)-1</f>
        <v>1735</v>
      </c>
    </row>
    <row r="1695" spans="1:37" x14ac:dyDescent="0.25">
      <c r="A1695" t="s">
        <v>9273</v>
      </c>
      <c r="B1695">
        <f>_xlfn.XLOOKUP(FME_Ranking1[[#This Row],[FME ID]],FME_Input[FME_ID],FME_Input[RFPG_NUM])</f>
        <v>12</v>
      </c>
      <c r="C1695" t="str">
        <f>_xlfn.XLOOKUP(FME_Ranking1[[#This Row],[FME ID]],FME_Input[FME_ID],FME_Input[FME_NAME])</f>
        <v>LWC#41 Vance Jackson 200ft south of Scenic</v>
      </c>
      <c r="D1695" t="str">
        <f>_xlfn.XLOOKUP(FME_Ranking1[[#This Row],[FME ID]],FME_Input[FME_ID],FME_Input[DESCR])</f>
        <v>Low Water Crossing needs Bridge/Culvert Improvements with possible advanced warning signals. Associated street reconstruction to include curbs, sidewalks, and driveway approaches be incorporated into the project.</v>
      </c>
      <c r="E1695" s="256">
        <f>_xlfn.XLOOKUP(FME_Ranking1[[#This Row],[FME ID]],FME_Input[FME_ID],FME_Input[FME_COST])</f>
        <v>1013300</v>
      </c>
      <c r="F1695" t="str">
        <f>_xlfn.XLOOKUP(FME_Ranking1[[#This Row],[FME ID]],FME_Input[FME_ID],FME_Input[EMER_NEED])</f>
        <v>Yes</v>
      </c>
      <c r="G1695">
        <f>IF(FME_Ranking!F1695="Yes",100,0)</f>
        <v>100</v>
      </c>
      <c r="H1695">
        <f>FME_Ranking1[[#This Row],[Emergency Need Score (Normalized, Unweighted)]]*$F$3</f>
        <v>0</v>
      </c>
      <c r="I1695" s="246">
        <f>_xlfn.XLOOKUP(FME_Ranking1[[#This Row],[FME ID]],FME_Input[FME_ID],FME_Input[STRUCT_100])</f>
        <v>0</v>
      </c>
      <c r="J1695" s="178">
        <f>(FME_Ranking1[[#This Row],[Structures 100 Raw]]/I$2)*100</f>
        <v>0</v>
      </c>
      <c r="K1695" s="178">
        <f>FME_Ranking1[[#This Row],[Structures 100  Score (Normalized, Unweighted)]]*$I$3</f>
        <v>0</v>
      </c>
      <c r="L1695" s="246">
        <f>_xlfn.XLOOKUP(FME_Ranking1[[#This Row],[FME ID]],FME_Input[FME_ID],FME_Input[RES_STRUCT100])</f>
        <v>0</v>
      </c>
      <c r="M1695" s="230">
        <f>(FME_Ranking1[[#This Row],[Res Structures Raw]]/L$2)*100</f>
        <v>0</v>
      </c>
      <c r="N1695" s="180">
        <f>FME_Ranking1[[#This Row],[Res Structures Score (Normalized, Unweighted)]]*$L$3</f>
        <v>0</v>
      </c>
      <c r="O1695" s="244">
        <f>_xlfn.XLOOKUP(FME_Ranking1[[#This Row],[FME ID]],FME_Input[FME_ID],FME_Input[POP100])</f>
        <v>0</v>
      </c>
      <c r="P1695" s="178">
        <f>(FME_Ranking1[[#This Row],[Pop Raw]]/$O$2)*100</f>
        <v>0</v>
      </c>
      <c r="Q1695" s="178">
        <f>FME_Ranking1[[#This Row],[Pop Score (Normalized, Unweighted)]]*$O$3</f>
        <v>0</v>
      </c>
      <c r="R1695" s="137">
        <f>_xlfn.XLOOKUP(FME_Ranking1[[#This Row],[FME ID]],FME_Input[FME_ID],FME_Input[CRITFAC100])</f>
        <v>0</v>
      </c>
      <c r="S1695" s="230">
        <f>(FME_Ranking1[[#This Row],[Critical Facilities Raw]]/$R$2)*100</f>
        <v>0</v>
      </c>
      <c r="T1695" s="180">
        <f>FME_Ranking1[[#This Row],[Critical Facilities Score (Normalized, Unweighted)]]*$R$3</f>
        <v>0</v>
      </c>
      <c r="U1695">
        <f>_xlfn.XLOOKUP(FME_Ranking1[[#This Row],[FME ID]],FME_Input[FME_ID],FME_Input[LWC])</f>
        <v>1</v>
      </c>
      <c r="V1695" s="178">
        <f>(FME_Ranking1[[#This Row],[LWC Raw]]/$U$2)*100</f>
        <v>5.7570523891767422E-2</v>
      </c>
      <c r="W1695" s="178">
        <f>FME_Ranking1[[#This Row],[LWC Score (Normalized, Unweighted)]]*$U$3</f>
        <v>1.1514104778353485E-2</v>
      </c>
      <c r="X1695" s="246">
        <f>_xlfn.XLOOKUP(FME_Ranking1[[#This Row],[FME ID]],FME_Input[FME_ID],FME_Input[ROADCLS])</f>
        <v>0</v>
      </c>
      <c r="Y1695" s="230">
        <f>(FME_Ranking1[[#This Row],[Closures Raw]]/$X$2)*100</f>
        <v>0</v>
      </c>
      <c r="Z1695" s="180">
        <f>FME_Ranking1[[#This Row],[Closures Score (Normalized, Unweighted)]]*$X$3</f>
        <v>0</v>
      </c>
      <c r="AA1695" s="253">
        <f>_xlfn.XLOOKUP(FME_Ranking1[[#This Row],[FME ID]],FME_Input[FME_ID],FME_Input[ROAD_MILES100])</f>
        <v>0</v>
      </c>
      <c r="AB1695" s="178">
        <f>(FME_Ranking1[[#This Row],[Miles Raw]]/$AA$2)*100</f>
        <v>0</v>
      </c>
      <c r="AC1695" s="178">
        <f>FME_Ranking1[[#This Row],[Miles Score (Normalized, Unweighted)]]*$AA$3</f>
        <v>0</v>
      </c>
      <c r="AD1695" s="255">
        <f>_xlfn.XLOOKUP(FME_Ranking1[[#This Row],[FME ID]],FME_Input[FME_ID],FME_Input[FARMACRE100])</f>
        <v>0</v>
      </c>
      <c r="AE1695" s="230">
        <f>(FME_Ranking1[[#This Row],[Ag Land Raw]]/$AD$2)*100</f>
        <v>0</v>
      </c>
      <c r="AF1695" s="231">
        <f>FME_Ranking1[[#This Row],[Ag Land Score (Normalized, Unweighted)]]*$AD$3</f>
        <v>0</v>
      </c>
      <c r="AG169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1.1514104778353485E-2</v>
      </c>
      <c r="AH1695" s="406">
        <f t="shared" si="26"/>
        <v>1737</v>
      </c>
      <c r="AI169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1.1514104778353485E-2</v>
      </c>
      <c r="AJ1695" s="257">
        <f>FME_Ranking1[[#This Row],[Addition check]]-FME_Ranking1[[#This Row],[Weighted Score Based on Normalized Reported Factors]]</f>
        <v>0</v>
      </c>
      <c r="AK1695" s="178">
        <f>_xlfn.RANK.EQ(AI1695,$AI$6:$AI$2341,0)+COUNTIF($AI$6:AI1695,AI1695)-1</f>
        <v>1738</v>
      </c>
    </row>
    <row r="1696" spans="1:37" x14ac:dyDescent="0.25">
      <c r="A1696" t="s">
        <v>9414</v>
      </c>
      <c r="B1696">
        <f>_xlfn.XLOOKUP(FME_Ranking1[[#This Row],[FME ID]],FME_Input[FME_ID],FME_Input[RFPG_NUM])</f>
        <v>12</v>
      </c>
      <c r="C1696" t="str">
        <f>_xlfn.XLOOKUP(FME_Ranking1[[#This Row],[FME ID]],FME_Input[FME_ID],FME_Input[FME_NAME])</f>
        <v>Detailed Study of Unnamed Trib 3 to Helotes Creek</v>
      </c>
      <c r="D1696" t="str">
        <f>_xlfn.XLOOKUP(FME_Ranking1[[#This Row],[FME ID]],FME_Input[FME_ID],FME_Input[DESCR])</f>
        <v>Detailed hydrologic and hydraulic study is needed to determine appropriate drainage improvements.</v>
      </c>
      <c r="E1696" s="256">
        <f>_xlfn.XLOOKUP(FME_Ranking1[[#This Row],[FME ID]],FME_Input[FME_ID],FME_Input[FME_COST])</f>
        <v>40000</v>
      </c>
      <c r="F1696" t="str">
        <f>_xlfn.XLOOKUP(FME_Ranking1[[#This Row],[FME ID]],FME_Input[FME_ID],FME_Input[EMER_NEED])</f>
        <v>Yes</v>
      </c>
      <c r="G1696">
        <f>IF(FME_Ranking!F1696="Yes",100,0)</f>
        <v>100</v>
      </c>
      <c r="H1696">
        <f>FME_Ranking1[[#This Row],[Emergency Need Score (Normalized, Unweighted)]]*$F$3</f>
        <v>0</v>
      </c>
      <c r="I1696" s="246">
        <f>_xlfn.XLOOKUP(FME_Ranking1[[#This Row],[FME ID]],FME_Input[FME_ID],FME_Input[STRUCT_100])</f>
        <v>0</v>
      </c>
      <c r="J1696" s="178">
        <f>(FME_Ranking1[[#This Row],[Structures 100 Raw]]/I$2)*100</f>
        <v>0</v>
      </c>
      <c r="K1696" s="178">
        <f>FME_Ranking1[[#This Row],[Structures 100  Score (Normalized, Unweighted)]]*$I$3</f>
        <v>0</v>
      </c>
      <c r="L1696" s="246">
        <f>_xlfn.XLOOKUP(FME_Ranking1[[#This Row],[FME ID]],FME_Input[FME_ID],FME_Input[RES_STRUCT100])</f>
        <v>0</v>
      </c>
      <c r="M1696" s="230">
        <f>(FME_Ranking1[[#This Row],[Res Structures Raw]]/L$2)*100</f>
        <v>0</v>
      </c>
      <c r="N1696" s="180">
        <f>FME_Ranking1[[#This Row],[Res Structures Score (Normalized, Unweighted)]]*$L$3</f>
        <v>0</v>
      </c>
      <c r="O1696" s="244">
        <f>_xlfn.XLOOKUP(FME_Ranking1[[#This Row],[FME ID]],FME_Input[FME_ID],FME_Input[POP100])</f>
        <v>0</v>
      </c>
      <c r="P1696" s="178">
        <f>(FME_Ranking1[[#This Row],[Pop Raw]]/$O$2)*100</f>
        <v>0</v>
      </c>
      <c r="Q1696" s="178">
        <f>FME_Ranking1[[#This Row],[Pop Score (Normalized, Unweighted)]]*$O$3</f>
        <v>0</v>
      </c>
      <c r="R1696" s="137">
        <f>_xlfn.XLOOKUP(FME_Ranking1[[#This Row],[FME ID]],FME_Input[FME_ID],FME_Input[CRITFAC100])</f>
        <v>0</v>
      </c>
      <c r="S1696" s="230">
        <f>(FME_Ranking1[[#This Row],[Critical Facilities Raw]]/$R$2)*100</f>
        <v>0</v>
      </c>
      <c r="T1696" s="180">
        <f>FME_Ranking1[[#This Row],[Critical Facilities Score (Normalized, Unweighted)]]*$R$3</f>
        <v>0</v>
      </c>
      <c r="U1696">
        <f>_xlfn.XLOOKUP(FME_Ranking1[[#This Row],[FME ID]],FME_Input[FME_ID],FME_Input[LWC])</f>
        <v>1</v>
      </c>
      <c r="V1696" s="178">
        <f>(FME_Ranking1[[#This Row],[LWC Raw]]/$U$2)*100</f>
        <v>5.7570523891767422E-2</v>
      </c>
      <c r="W1696" s="178">
        <f>FME_Ranking1[[#This Row],[LWC Score (Normalized, Unweighted)]]*$U$3</f>
        <v>1.1514104778353485E-2</v>
      </c>
      <c r="X1696" s="246">
        <f>_xlfn.XLOOKUP(FME_Ranking1[[#This Row],[FME ID]],FME_Input[FME_ID],FME_Input[ROADCLS])</f>
        <v>0</v>
      </c>
      <c r="Y1696" s="230">
        <f>(FME_Ranking1[[#This Row],[Closures Raw]]/$X$2)*100</f>
        <v>0</v>
      </c>
      <c r="Z1696" s="180">
        <f>FME_Ranking1[[#This Row],[Closures Score (Normalized, Unweighted)]]*$X$3</f>
        <v>0</v>
      </c>
      <c r="AA1696" s="253">
        <f>_xlfn.XLOOKUP(FME_Ranking1[[#This Row],[FME ID]],FME_Input[FME_ID],FME_Input[ROAD_MILES100])</f>
        <v>0</v>
      </c>
      <c r="AB1696" s="178">
        <f>(FME_Ranking1[[#This Row],[Miles Raw]]/$AA$2)*100</f>
        <v>0</v>
      </c>
      <c r="AC1696" s="178">
        <f>FME_Ranking1[[#This Row],[Miles Score (Normalized, Unweighted)]]*$AA$3</f>
        <v>0</v>
      </c>
      <c r="AD1696" s="255">
        <f>_xlfn.XLOOKUP(FME_Ranking1[[#This Row],[FME ID]],FME_Input[FME_ID],FME_Input[FARMACRE100])</f>
        <v>0</v>
      </c>
      <c r="AE1696" s="230">
        <f>(FME_Ranking1[[#This Row],[Ag Land Raw]]/$AD$2)*100</f>
        <v>0</v>
      </c>
      <c r="AF1696" s="231">
        <f>FME_Ranking1[[#This Row],[Ag Land Score (Normalized, Unweighted)]]*$AD$3</f>
        <v>0</v>
      </c>
      <c r="AG169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1.1514104778353485E-2</v>
      </c>
      <c r="AH1696" s="406">
        <f t="shared" si="26"/>
        <v>1737</v>
      </c>
      <c r="AI169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1.1514104778353485E-2</v>
      </c>
      <c r="AJ1696" s="257">
        <f>FME_Ranking1[[#This Row],[Addition check]]-FME_Ranking1[[#This Row],[Weighted Score Based on Normalized Reported Factors]]</f>
        <v>0</v>
      </c>
      <c r="AK1696" s="178">
        <f>_xlfn.RANK.EQ(AI1696,$AI$6:$AI$2341,0)+COUNTIF($AI$6:AI1696,AI1696)-1</f>
        <v>1739</v>
      </c>
    </row>
    <row r="1697" spans="1:37" x14ac:dyDescent="0.25">
      <c r="A1697" t="s">
        <v>9481</v>
      </c>
      <c r="B1697">
        <f>_xlfn.XLOOKUP(FME_Ranking1[[#This Row],[FME ID]],FME_Input[FME_ID],FME_Input[RFPG_NUM])</f>
        <v>12</v>
      </c>
      <c r="C1697" t="str">
        <f>_xlfn.XLOOKUP(FME_Ranking1[[#This Row],[FME ID]],FME_Input[FME_ID],FME_Input[FME_NAME])</f>
        <v>LWC #15 Copperhill Between Parkstone &amp; Happy Hollow</v>
      </c>
      <c r="D1697" t="str">
        <f>_xlfn.XLOOKUP(FME_Ranking1[[#This Row],[FME ID]],FME_Input[FME_ID],FME_Input[DESCR])</f>
        <v>Low Water Crossing #15 has approximately 128 acres of storm water that is conveyed through this crossing. This project proposes to construct an underground drainage system to assist in the conveyance of runoff crossing through this section</v>
      </c>
      <c r="E1697" s="256">
        <f>_xlfn.XLOOKUP(FME_Ranking1[[#This Row],[FME ID]],FME_Input[FME_ID],FME_Input[FME_COST])</f>
        <v>471988</v>
      </c>
      <c r="F1697" t="str">
        <f>_xlfn.XLOOKUP(FME_Ranking1[[#This Row],[FME ID]],FME_Input[FME_ID],FME_Input[EMER_NEED])</f>
        <v>Yes</v>
      </c>
      <c r="G1697">
        <f>IF(FME_Ranking!F1697="Yes",100,0)</f>
        <v>100</v>
      </c>
      <c r="H1697">
        <f>FME_Ranking1[[#This Row],[Emergency Need Score (Normalized, Unweighted)]]*$F$3</f>
        <v>0</v>
      </c>
      <c r="I1697" s="246">
        <f>_xlfn.XLOOKUP(FME_Ranking1[[#This Row],[FME ID]],FME_Input[FME_ID],FME_Input[STRUCT_100])</f>
        <v>0</v>
      </c>
      <c r="J1697" s="178">
        <f>(FME_Ranking1[[#This Row],[Structures 100 Raw]]/I$2)*100</f>
        <v>0</v>
      </c>
      <c r="K1697" s="178">
        <f>FME_Ranking1[[#This Row],[Structures 100  Score (Normalized, Unweighted)]]*$I$3</f>
        <v>0</v>
      </c>
      <c r="L1697" s="246">
        <f>_xlfn.XLOOKUP(FME_Ranking1[[#This Row],[FME ID]],FME_Input[FME_ID],FME_Input[RES_STRUCT100])</f>
        <v>0</v>
      </c>
      <c r="M1697" s="230">
        <f>(FME_Ranking1[[#This Row],[Res Structures Raw]]/L$2)*100</f>
        <v>0</v>
      </c>
      <c r="N1697" s="180">
        <f>FME_Ranking1[[#This Row],[Res Structures Score (Normalized, Unweighted)]]*$L$3</f>
        <v>0</v>
      </c>
      <c r="O1697" s="244">
        <f>_xlfn.XLOOKUP(FME_Ranking1[[#This Row],[FME ID]],FME_Input[FME_ID],FME_Input[POP100])</f>
        <v>0</v>
      </c>
      <c r="P1697" s="178">
        <f>(FME_Ranking1[[#This Row],[Pop Raw]]/$O$2)*100</f>
        <v>0</v>
      </c>
      <c r="Q1697" s="178">
        <f>FME_Ranking1[[#This Row],[Pop Score (Normalized, Unweighted)]]*$O$3</f>
        <v>0</v>
      </c>
      <c r="R1697" s="137">
        <f>_xlfn.XLOOKUP(FME_Ranking1[[#This Row],[FME ID]],FME_Input[FME_ID],FME_Input[CRITFAC100])</f>
        <v>0</v>
      </c>
      <c r="S1697" s="230">
        <f>(FME_Ranking1[[#This Row],[Critical Facilities Raw]]/$R$2)*100</f>
        <v>0</v>
      </c>
      <c r="T1697" s="180">
        <f>FME_Ranking1[[#This Row],[Critical Facilities Score (Normalized, Unweighted)]]*$R$3</f>
        <v>0</v>
      </c>
      <c r="U1697">
        <f>_xlfn.XLOOKUP(FME_Ranking1[[#This Row],[FME ID]],FME_Input[FME_ID],FME_Input[LWC])</f>
        <v>1</v>
      </c>
      <c r="V1697" s="178">
        <f>(FME_Ranking1[[#This Row],[LWC Raw]]/$U$2)*100</f>
        <v>5.7570523891767422E-2</v>
      </c>
      <c r="W1697" s="178">
        <f>FME_Ranking1[[#This Row],[LWC Score (Normalized, Unweighted)]]*$U$3</f>
        <v>1.1514104778353485E-2</v>
      </c>
      <c r="X1697" s="246">
        <f>_xlfn.XLOOKUP(FME_Ranking1[[#This Row],[FME ID]],FME_Input[FME_ID],FME_Input[ROADCLS])</f>
        <v>0</v>
      </c>
      <c r="Y1697" s="230">
        <f>(FME_Ranking1[[#This Row],[Closures Raw]]/$X$2)*100</f>
        <v>0</v>
      </c>
      <c r="Z1697" s="180">
        <f>FME_Ranking1[[#This Row],[Closures Score (Normalized, Unweighted)]]*$X$3</f>
        <v>0</v>
      </c>
      <c r="AA1697" s="253">
        <f>_xlfn.XLOOKUP(FME_Ranking1[[#This Row],[FME ID]],FME_Input[FME_ID],FME_Input[ROAD_MILES100])</f>
        <v>0</v>
      </c>
      <c r="AB1697" s="178">
        <f>(FME_Ranking1[[#This Row],[Miles Raw]]/$AA$2)*100</f>
        <v>0</v>
      </c>
      <c r="AC1697" s="178">
        <f>FME_Ranking1[[#This Row],[Miles Score (Normalized, Unweighted)]]*$AA$3</f>
        <v>0</v>
      </c>
      <c r="AD1697" s="255">
        <f>_xlfn.XLOOKUP(FME_Ranking1[[#This Row],[FME ID]],FME_Input[FME_ID],FME_Input[FARMACRE100])</f>
        <v>0</v>
      </c>
      <c r="AE1697" s="230">
        <f>(FME_Ranking1[[#This Row],[Ag Land Raw]]/$AD$2)*100</f>
        <v>0</v>
      </c>
      <c r="AF1697" s="231">
        <f>FME_Ranking1[[#This Row],[Ag Land Score (Normalized, Unweighted)]]*$AD$3</f>
        <v>0</v>
      </c>
      <c r="AG169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1.1514104778353485E-2</v>
      </c>
      <c r="AH1697" s="406">
        <f t="shared" si="26"/>
        <v>1737</v>
      </c>
      <c r="AI169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1.1514104778353485E-2</v>
      </c>
      <c r="AJ1697" s="257">
        <f>FME_Ranking1[[#This Row],[Addition check]]-FME_Ranking1[[#This Row],[Weighted Score Based on Normalized Reported Factors]]</f>
        <v>0</v>
      </c>
      <c r="AK1697" s="178">
        <f>_xlfn.RANK.EQ(AI1697,$AI$6:$AI$2341,0)+COUNTIF($AI$6:AI1697,AI1697)-1</f>
        <v>1740</v>
      </c>
    </row>
    <row r="1698" spans="1:37" x14ac:dyDescent="0.25">
      <c r="A1698" t="s">
        <v>9484</v>
      </c>
      <c r="B1698">
        <f>_xlfn.XLOOKUP(FME_Ranking1[[#This Row],[FME ID]],FME_Input[FME_ID],FME_Input[RFPG_NUM])</f>
        <v>12</v>
      </c>
      <c r="C1698" t="str">
        <f>_xlfn.XLOOKUP(FME_Ranking1[[#This Row],[FME ID]],FME_Input[FME_ID],FME_Input[FME_NAME])</f>
        <v>LWC #13 West Ave. @ Interpark</v>
      </c>
      <c r="D1698" t="str">
        <f>_xlfn.XLOOKUP(FME_Ranking1[[#This Row],[FME ID]],FME_Input[FME_ID],FME_Input[DESCR])</f>
        <v>Since approximately 2006, residents have complained about flooding within a low point on West Ave. Approximately 173 acres drains through this area. This project will construct an underground drainage system with an earthen channel</v>
      </c>
      <c r="E1698" s="256">
        <f>_xlfn.XLOOKUP(FME_Ranking1[[#This Row],[FME ID]],FME_Input[FME_ID],FME_Input[FME_COST])</f>
        <v>5759953</v>
      </c>
      <c r="F1698" t="str">
        <f>_xlfn.XLOOKUP(FME_Ranking1[[#This Row],[FME ID]],FME_Input[FME_ID],FME_Input[EMER_NEED])</f>
        <v>Yes</v>
      </c>
      <c r="G1698">
        <f>IF(FME_Ranking!F1698="Yes",100,0)</f>
        <v>100</v>
      </c>
      <c r="H1698">
        <f>FME_Ranking1[[#This Row],[Emergency Need Score (Normalized, Unweighted)]]*$F$3</f>
        <v>0</v>
      </c>
      <c r="I1698" s="246">
        <f>_xlfn.XLOOKUP(FME_Ranking1[[#This Row],[FME ID]],FME_Input[FME_ID],FME_Input[STRUCT_100])</f>
        <v>0</v>
      </c>
      <c r="J1698" s="178">
        <f>(FME_Ranking1[[#This Row],[Structures 100 Raw]]/I$2)*100</f>
        <v>0</v>
      </c>
      <c r="K1698" s="178">
        <f>FME_Ranking1[[#This Row],[Structures 100  Score (Normalized, Unweighted)]]*$I$3</f>
        <v>0</v>
      </c>
      <c r="L1698" s="246">
        <f>_xlfn.XLOOKUP(FME_Ranking1[[#This Row],[FME ID]],FME_Input[FME_ID],FME_Input[RES_STRUCT100])</f>
        <v>0</v>
      </c>
      <c r="M1698" s="230">
        <f>(FME_Ranking1[[#This Row],[Res Structures Raw]]/L$2)*100</f>
        <v>0</v>
      </c>
      <c r="N1698" s="180">
        <f>FME_Ranking1[[#This Row],[Res Structures Score (Normalized, Unweighted)]]*$L$3</f>
        <v>0</v>
      </c>
      <c r="O1698" s="244">
        <f>_xlfn.XLOOKUP(FME_Ranking1[[#This Row],[FME ID]],FME_Input[FME_ID],FME_Input[POP100])</f>
        <v>0</v>
      </c>
      <c r="P1698" s="178">
        <f>(FME_Ranking1[[#This Row],[Pop Raw]]/$O$2)*100</f>
        <v>0</v>
      </c>
      <c r="Q1698" s="178">
        <f>FME_Ranking1[[#This Row],[Pop Score (Normalized, Unweighted)]]*$O$3</f>
        <v>0</v>
      </c>
      <c r="R1698" s="137">
        <f>_xlfn.XLOOKUP(FME_Ranking1[[#This Row],[FME ID]],FME_Input[FME_ID],FME_Input[CRITFAC100])</f>
        <v>0</v>
      </c>
      <c r="S1698" s="230">
        <f>(FME_Ranking1[[#This Row],[Critical Facilities Raw]]/$R$2)*100</f>
        <v>0</v>
      </c>
      <c r="T1698" s="180">
        <f>FME_Ranking1[[#This Row],[Critical Facilities Score (Normalized, Unweighted)]]*$R$3</f>
        <v>0</v>
      </c>
      <c r="U1698">
        <f>_xlfn.XLOOKUP(FME_Ranking1[[#This Row],[FME ID]],FME_Input[FME_ID],FME_Input[LWC])</f>
        <v>1</v>
      </c>
      <c r="V1698" s="178">
        <f>(FME_Ranking1[[#This Row],[LWC Raw]]/$U$2)*100</f>
        <v>5.7570523891767422E-2</v>
      </c>
      <c r="W1698" s="178">
        <f>FME_Ranking1[[#This Row],[LWC Score (Normalized, Unweighted)]]*$U$3</f>
        <v>1.1514104778353485E-2</v>
      </c>
      <c r="X1698" s="246">
        <f>_xlfn.XLOOKUP(FME_Ranking1[[#This Row],[FME ID]],FME_Input[FME_ID],FME_Input[ROADCLS])</f>
        <v>0</v>
      </c>
      <c r="Y1698" s="230">
        <f>(FME_Ranking1[[#This Row],[Closures Raw]]/$X$2)*100</f>
        <v>0</v>
      </c>
      <c r="Z1698" s="180">
        <f>FME_Ranking1[[#This Row],[Closures Score (Normalized, Unweighted)]]*$X$3</f>
        <v>0</v>
      </c>
      <c r="AA1698" s="253">
        <f>_xlfn.XLOOKUP(FME_Ranking1[[#This Row],[FME ID]],FME_Input[FME_ID],FME_Input[ROAD_MILES100])</f>
        <v>0</v>
      </c>
      <c r="AB1698" s="178">
        <f>(FME_Ranking1[[#This Row],[Miles Raw]]/$AA$2)*100</f>
        <v>0</v>
      </c>
      <c r="AC1698" s="178">
        <f>FME_Ranking1[[#This Row],[Miles Score (Normalized, Unweighted)]]*$AA$3</f>
        <v>0</v>
      </c>
      <c r="AD1698" s="255">
        <f>_xlfn.XLOOKUP(FME_Ranking1[[#This Row],[FME ID]],FME_Input[FME_ID],FME_Input[FARMACRE100])</f>
        <v>0</v>
      </c>
      <c r="AE1698" s="230">
        <f>(FME_Ranking1[[#This Row],[Ag Land Raw]]/$AD$2)*100</f>
        <v>0</v>
      </c>
      <c r="AF1698" s="231">
        <f>FME_Ranking1[[#This Row],[Ag Land Score (Normalized, Unweighted)]]*$AD$3</f>
        <v>0</v>
      </c>
      <c r="AG169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1.1514104778353485E-2</v>
      </c>
      <c r="AH1698" s="406">
        <f t="shared" si="26"/>
        <v>1737</v>
      </c>
      <c r="AI169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1.1514104778353485E-2</v>
      </c>
      <c r="AJ1698" s="257">
        <f>FME_Ranking1[[#This Row],[Addition check]]-FME_Ranking1[[#This Row],[Weighted Score Based on Normalized Reported Factors]]</f>
        <v>0</v>
      </c>
      <c r="AK1698" s="178">
        <f>_xlfn.RANK.EQ(AI1698,$AI$6:$AI$2341,0)+COUNTIF($AI$6:AI1698,AI1698)-1</f>
        <v>1741</v>
      </c>
    </row>
    <row r="1699" spans="1:37" x14ac:dyDescent="0.25">
      <c r="A1699" t="s">
        <v>6896</v>
      </c>
      <c r="B1699">
        <f>_xlfn.XLOOKUP(FME_Ranking1[[#This Row],[FME ID]],FME_Input[FME_ID],FME_Input[RFPG_NUM])</f>
        <v>7</v>
      </c>
      <c r="C1699" t="str">
        <f>_xlfn.XLOOKUP(FME_Ranking1[[#This Row],[FME ID]],FME_Input[FME_ID],FME_Input[FME_NAME])</f>
        <v>City of Anson DMP</v>
      </c>
      <c r="D1699" t="str">
        <f>_xlfn.XLOOKUP(FME_Ranking1[[#This Row],[FME ID]],FME_Input[FME_ID],FME_Input[DESCR])</f>
        <v>Evaluate city to identify future projects, analyze roads/stream crossing for emergency response vehicles to high hazard areas</v>
      </c>
      <c r="E1699" s="256">
        <f>_xlfn.XLOOKUP(FME_Ranking1[[#This Row],[FME ID]],FME_Input[FME_ID],FME_Input[FME_COST])</f>
        <v>250000</v>
      </c>
      <c r="F1699" t="str">
        <f>_xlfn.XLOOKUP(FME_Ranking1[[#This Row],[FME ID]],FME_Input[FME_ID],FME_Input[EMER_NEED])</f>
        <v>No</v>
      </c>
      <c r="G1699">
        <f>IF(FME_Ranking!F1699="Yes",100,0)</f>
        <v>0</v>
      </c>
      <c r="H1699">
        <f>FME_Ranking1[[#This Row],[Emergency Need Score (Normalized, Unweighted)]]*$F$3</f>
        <v>0</v>
      </c>
      <c r="I1699" s="246">
        <f>_xlfn.XLOOKUP(FME_Ranking1[[#This Row],[FME ID]],FME_Input[FME_ID],FME_Input[STRUCT_100])</f>
        <v>53</v>
      </c>
      <c r="J1699" s="178">
        <f>(FME_Ranking1[[#This Row],[Structures 100 Raw]]/I$2)*100</f>
        <v>2.8381099258878467E-2</v>
      </c>
      <c r="K1699" s="178">
        <f>FME_Ranking1[[#This Row],[Structures 100  Score (Normalized, Unweighted)]]*$I$3</f>
        <v>4.2571648888317703E-3</v>
      </c>
      <c r="L1699" s="246">
        <f>_xlfn.XLOOKUP(FME_Ranking1[[#This Row],[FME ID]],FME_Input[FME_ID],FME_Input[RES_STRUCT100])</f>
        <v>26</v>
      </c>
      <c r="M1699" s="230">
        <f>(FME_Ranking1[[#This Row],[Res Structures Raw]]/L$2)*100</f>
        <v>1.8415945375472795E-2</v>
      </c>
      <c r="N1699" s="180">
        <f>FME_Ranking1[[#This Row],[Res Structures Score (Normalized, Unweighted)]]*$L$3</f>
        <v>1.8415945375472795E-3</v>
      </c>
      <c r="O1699" s="244">
        <f>_xlfn.XLOOKUP(FME_Ranking1[[#This Row],[FME ID]],FME_Input[FME_ID],FME_Input[POP100])</f>
        <v>349</v>
      </c>
      <c r="P1699" s="178">
        <f>(FME_Ranking1[[#This Row],[Pop Raw]]/$O$2)*100</f>
        <v>3.5728983884078386E-2</v>
      </c>
      <c r="Q1699" s="178">
        <f>FME_Ranking1[[#This Row],[Pop Score (Normalized, Unweighted)]]*$O$3</f>
        <v>5.3593475826117579E-3</v>
      </c>
      <c r="R1699" s="137">
        <f>_xlfn.XLOOKUP(FME_Ranking1[[#This Row],[FME ID]],FME_Input[FME_ID],FME_Input[CRITFAC100])</f>
        <v>0</v>
      </c>
      <c r="S1699" s="230">
        <f>(FME_Ranking1[[#This Row],[Critical Facilities Raw]]/$R$2)*100</f>
        <v>0</v>
      </c>
      <c r="T1699" s="180">
        <f>FME_Ranking1[[#This Row],[Critical Facilities Score (Normalized, Unweighted)]]*$R$3</f>
        <v>0</v>
      </c>
      <c r="U1699">
        <f>_xlfn.XLOOKUP(FME_Ranking1[[#This Row],[FME ID]],FME_Input[FME_ID],FME_Input[LWC])</f>
        <v>0</v>
      </c>
      <c r="V1699" s="178">
        <f>(FME_Ranking1[[#This Row],[LWC Raw]]/$U$2)*100</f>
        <v>0</v>
      </c>
      <c r="W1699" s="178">
        <f>FME_Ranking1[[#This Row],[LWC Score (Normalized, Unweighted)]]*$U$3</f>
        <v>0</v>
      </c>
      <c r="X1699" s="246">
        <f>_xlfn.XLOOKUP(FME_Ranking1[[#This Row],[FME ID]],FME_Input[FME_ID],FME_Input[ROADCLS])</f>
        <v>0</v>
      </c>
      <c r="Y1699" s="230">
        <f>(FME_Ranking1[[#This Row],[Closures Raw]]/$X$2)*100</f>
        <v>0</v>
      </c>
      <c r="Z1699" s="180">
        <f>FME_Ranking1[[#This Row],[Closures Score (Normalized, Unweighted)]]*$X$3</f>
        <v>0</v>
      </c>
      <c r="AA1699" s="253">
        <f>_xlfn.XLOOKUP(FME_Ranking1[[#This Row],[FME ID]],FME_Input[FME_ID],FME_Input[ROAD_MILES100])</f>
        <v>2.5451159477233891</v>
      </c>
      <c r="AB1699" s="178">
        <f>(FME_Ranking1[[#This Row],[Miles Raw]]/$AA$2)*100</f>
        <v>3.3463709832807206E-2</v>
      </c>
      <c r="AC1699" s="178">
        <f>FME_Ranking1[[#This Row],[Miles Score (Normalized, Unweighted)]]*$AA$3</f>
        <v>3.3463709832807207E-3</v>
      </c>
      <c r="AD1699" s="255">
        <f>_xlfn.XLOOKUP(FME_Ranking1[[#This Row],[FME ID]],FME_Input[FME_ID],FME_Input[FARMACRE100])</f>
        <v>11.92022132873535</v>
      </c>
      <c r="AE1699" s="230">
        <f>(FME_Ranking1[[#This Row],[Ag Land Raw]]/$AD$2)*100</f>
        <v>4.9153656668228876E-4</v>
      </c>
      <c r="AF1699" s="231">
        <f>FME_Ranking1[[#This Row],[Ag Land Score (Normalized, Unweighted)]]*$AD$3</f>
        <v>2.4576828334114438E-5</v>
      </c>
      <c r="AG169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1.4829054820605642E-2</v>
      </c>
      <c r="AH1699" s="406">
        <f t="shared" si="26"/>
        <v>1637</v>
      </c>
      <c r="AI169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1.4829054820605642E-2</v>
      </c>
      <c r="AJ1699" s="257">
        <f>FME_Ranking1[[#This Row],[Addition check]]-FME_Ranking1[[#This Row],[Weighted Score Based on Normalized Reported Factors]]</f>
        <v>0</v>
      </c>
      <c r="AK1699" s="178">
        <f>_xlfn.RANK.EQ(AI1699,$AI$6:$AI$2341,0)+COUNTIF($AI$6:AI1699,AI1699)-1</f>
        <v>1637</v>
      </c>
    </row>
    <row r="1700" spans="1:37" x14ac:dyDescent="0.25">
      <c r="A1700" t="s">
        <v>10021</v>
      </c>
      <c r="B1700">
        <f>_xlfn.XLOOKUP(FME_Ranking1[[#This Row],[FME ID]],FME_Input[FME_ID],FME_Input[RFPG_NUM])</f>
        <v>13</v>
      </c>
      <c r="C1700" t="str">
        <f>_xlfn.XLOOKUP(FME_Ranking1[[#This Row],[FME ID]],FME_Input[FME_ID],FME_Input[FME_NAME])</f>
        <v xml:space="preserve">Atascosa McMullen Hazard Mitigation Plan - City of Christine Action #2_x000D_
</v>
      </c>
      <c r="D1700" t="str">
        <f>_xlfn.XLOOKUP(FME_Ranking1[[#This Row],[FME ID]],FME_Input[FME_ID],FME_Input[DESCR])</f>
        <v>Improve drainage in certain areas of the  city that are subject to flooding and conduct a study to identify deficiencies in current land development code for future developments.</v>
      </c>
      <c r="E1700" s="256">
        <f>_xlfn.XLOOKUP(FME_Ranking1[[#This Row],[FME ID]],FME_Input[FME_ID],FME_Input[FME_COST])</f>
        <v>350000</v>
      </c>
      <c r="F1700" t="str">
        <f>_xlfn.XLOOKUP(FME_Ranking1[[#This Row],[FME ID]],FME_Input[FME_ID],FME_Input[EMER_NEED])</f>
        <v>Yes</v>
      </c>
      <c r="G1700">
        <f>IF(FME_Ranking!F1700="Yes",100,0)</f>
        <v>100</v>
      </c>
      <c r="H1700">
        <f>FME_Ranking1[[#This Row],[Emergency Need Score (Normalized, Unweighted)]]*$F$3</f>
        <v>0</v>
      </c>
      <c r="I1700" s="246">
        <f>_xlfn.XLOOKUP(FME_Ranking1[[#This Row],[FME ID]],FME_Input[FME_ID],FME_Input[STRUCT_100])</f>
        <v>15</v>
      </c>
      <c r="J1700" s="178">
        <f>(FME_Ranking1[[#This Row],[Structures 100 Raw]]/I$2)*100</f>
        <v>8.0323865827014521E-3</v>
      </c>
      <c r="K1700" s="178">
        <f>FME_Ranking1[[#This Row],[Structures 100  Score (Normalized, Unweighted)]]*$I$3</f>
        <v>1.2048579874052179E-3</v>
      </c>
      <c r="L1700" s="246">
        <f>_xlfn.XLOOKUP(FME_Ranking1[[#This Row],[FME ID]],FME_Input[FME_ID],FME_Input[RES_STRUCT100])</f>
        <v>8</v>
      </c>
      <c r="M1700" s="230">
        <f>(FME_Ranking1[[#This Row],[Res Structures Raw]]/L$2)*100</f>
        <v>5.666444730914706E-3</v>
      </c>
      <c r="N1700" s="180">
        <f>FME_Ranking1[[#This Row],[Res Structures Score (Normalized, Unweighted)]]*$L$3</f>
        <v>5.6664447309147067E-4</v>
      </c>
      <c r="O1700" s="244">
        <f>_xlfn.XLOOKUP(FME_Ranking1[[#This Row],[FME ID]],FME_Input[FME_ID],FME_Input[POP100])</f>
        <v>13</v>
      </c>
      <c r="P1700" s="178">
        <f>(FME_Ranking1[[#This Row],[Pop Raw]]/$O$2)*100</f>
        <v>1.3308790558539227E-3</v>
      </c>
      <c r="Q1700" s="178">
        <f>FME_Ranking1[[#This Row],[Pop Score (Normalized, Unweighted)]]*$O$3</f>
        <v>1.9963185837808839E-4</v>
      </c>
      <c r="R1700" s="137">
        <f>_xlfn.XLOOKUP(FME_Ranking1[[#This Row],[FME ID]],FME_Input[FME_ID],FME_Input[CRITFAC100])</f>
        <v>0</v>
      </c>
      <c r="S1700" s="230">
        <f>(FME_Ranking1[[#This Row],[Critical Facilities Raw]]/$R$2)*100</f>
        <v>0</v>
      </c>
      <c r="T1700" s="180">
        <f>FME_Ranking1[[#This Row],[Critical Facilities Score (Normalized, Unweighted)]]*$R$3</f>
        <v>0</v>
      </c>
      <c r="U1700">
        <f>_xlfn.XLOOKUP(FME_Ranking1[[#This Row],[FME ID]],FME_Input[FME_ID],FME_Input[LWC])</f>
        <v>0</v>
      </c>
      <c r="V1700" s="178">
        <f>(FME_Ranking1[[#This Row],[LWC Raw]]/$U$2)*100</f>
        <v>0</v>
      </c>
      <c r="W1700" s="178">
        <f>FME_Ranking1[[#This Row],[LWC Score (Normalized, Unweighted)]]*$U$3</f>
        <v>0</v>
      </c>
      <c r="X1700" s="246">
        <f>_xlfn.XLOOKUP(FME_Ranking1[[#This Row],[FME ID]],FME_Input[FME_ID],FME_Input[ROADCLS])</f>
        <v>18</v>
      </c>
      <c r="Y1700" s="230">
        <f>(FME_Ranking1[[#This Row],[Closures Raw]]/$X$2)*100</f>
        <v>0.18925454736620756</v>
      </c>
      <c r="Z1700" s="180">
        <f>FME_Ranking1[[#This Row],[Closures Score (Normalized, Unweighted)]]*$X$3</f>
        <v>9.4627273683103794E-3</v>
      </c>
      <c r="AA1700" s="253">
        <f>_xlfn.XLOOKUP(FME_Ranking1[[#This Row],[FME ID]],FME_Input[FME_ID],FME_Input[ROAD_MILES100])</f>
        <v>0.78053456544876099</v>
      </c>
      <c r="AB1700" s="178">
        <f>(FME_Ranking1[[#This Row],[Miles Raw]]/$AA$2)*100</f>
        <v>1.0262629581185729E-2</v>
      </c>
      <c r="AC1700" s="178">
        <f>FME_Ranking1[[#This Row],[Miles Score (Normalized, Unweighted)]]*$AA$3</f>
        <v>1.026262958118573E-3</v>
      </c>
      <c r="AD1700" s="255">
        <f>_xlfn.XLOOKUP(FME_Ranking1[[#This Row],[FME ID]],FME_Input[FME_ID],FME_Input[FARMACRE100])</f>
        <v>0</v>
      </c>
      <c r="AE1700" s="230">
        <f>(FME_Ranking1[[#This Row],[Ag Land Raw]]/$AD$2)*100</f>
        <v>0</v>
      </c>
      <c r="AF1700" s="231">
        <f>FME_Ranking1[[#This Row],[Ag Land Score (Normalized, Unweighted)]]*$AD$3</f>
        <v>0</v>
      </c>
      <c r="AG170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1.2460124645303728E-2</v>
      </c>
      <c r="AH1700" s="406">
        <f t="shared" si="26"/>
        <v>1688</v>
      </c>
      <c r="AI170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1.2460124645303728E-2</v>
      </c>
      <c r="AJ1700" s="257">
        <f>FME_Ranking1[[#This Row],[Addition check]]-FME_Ranking1[[#This Row],[Weighted Score Based on Normalized Reported Factors]]</f>
        <v>0</v>
      </c>
      <c r="AK1700" s="178">
        <f>_xlfn.RANK.EQ(AI1700,$AI$6:$AI$2341,0)+COUNTIF($AI$6:AI1700,AI1700)-1</f>
        <v>1688</v>
      </c>
    </row>
    <row r="1701" spans="1:37" x14ac:dyDescent="0.25">
      <c r="A1701" t="s">
        <v>2720</v>
      </c>
      <c r="B1701">
        <f>_xlfn.XLOOKUP(FME_Ranking1[[#This Row],[FME ID]],FME_Input[FME_ID],FME_Input[RFPG_NUM])</f>
        <v>1</v>
      </c>
      <c r="C1701" t="str">
        <f>_xlfn.XLOOKUP(FME_Ranking1[[#This Row],[FME ID]],FME_Input[FME_ID],FME_Input[FME_NAME])</f>
        <v>Groom City Drainage Master Plan</v>
      </c>
      <c r="D1701" t="str">
        <f>_xlfn.XLOOKUP(FME_Ranking1[[#This Row],[FME ID]],FME_Input[FME_ID],FME_Input[DESCR])</f>
        <v xml:space="preserve">Perform H&amp;H modeling, develop conceptual alternatives and OPCC, and rank projects; selected based on HMAPs </v>
      </c>
      <c r="E1701" s="256">
        <f>_xlfn.XLOOKUP(FME_Ranking1[[#This Row],[FME ID]],FME_Input[FME_ID],FME_Input[FME_COST])</f>
        <v>250000</v>
      </c>
      <c r="F1701" t="str">
        <f>_xlfn.XLOOKUP(FME_Ranking1[[#This Row],[FME ID]],FME_Input[FME_ID],FME_Input[EMER_NEED])</f>
        <v>No</v>
      </c>
      <c r="G1701">
        <f>IF(FME_Ranking!F1701="Yes",100,0)</f>
        <v>0</v>
      </c>
      <c r="H1701">
        <f>FME_Ranking1[[#This Row],[Emergency Need Score (Normalized, Unweighted)]]*$F$3</f>
        <v>0</v>
      </c>
      <c r="I1701" s="246">
        <f>_xlfn.XLOOKUP(FME_Ranking1[[#This Row],[FME ID]],FME_Input[FME_ID],FME_Input[STRUCT_100])</f>
        <v>19</v>
      </c>
      <c r="J1701" s="178">
        <f>(FME_Ranking1[[#This Row],[Structures 100 Raw]]/I$2)*100</f>
        <v>1.0174356338088506E-2</v>
      </c>
      <c r="K1701" s="178">
        <f>FME_Ranking1[[#This Row],[Structures 100  Score (Normalized, Unweighted)]]*$I$3</f>
        <v>1.5261534507132759E-3</v>
      </c>
      <c r="L1701" s="246">
        <f>_xlfn.XLOOKUP(FME_Ranking1[[#This Row],[FME ID]],FME_Input[FME_ID],FME_Input[RES_STRUCT100])</f>
        <v>13</v>
      </c>
      <c r="M1701" s="230">
        <f>(FME_Ranking1[[#This Row],[Res Structures Raw]]/L$2)*100</f>
        <v>9.2079726877363974E-3</v>
      </c>
      <c r="N1701" s="180">
        <f>FME_Ranking1[[#This Row],[Res Structures Score (Normalized, Unweighted)]]*$L$3</f>
        <v>9.2079726877363974E-4</v>
      </c>
      <c r="O1701" s="244">
        <f>_xlfn.XLOOKUP(FME_Ranking1[[#This Row],[FME ID]],FME_Input[FME_ID],FME_Input[POP100])</f>
        <v>26</v>
      </c>
      <c r="P1701" s="178">
        <f>(FME_Ranking1[[#This Row],[Pop Raw]]/$O$2)*100</f>
        <v>2.6617581117078454E-3</v>
      </c>
      <c r="Q1701" s="178">
        <f>FME_Ranking1[[#This Row],[Pop Score (Normalized, Unweighted)]]*$O$3</f>
        <v>3.9926371675617678E-4</v>
      </c>
      <c r="R1701" s="137">
        <f>_xlfn.XLOOKUP(FME_Ranking1[[#This Row],[FME ID]],FME_Input[FME_ID],FME_Input[CRITFAC100])</f>
        <v>1</v>
      </c>
      <c r="S1701" s="230">
        <f>(FME_Ranking1[[#This Row],[Critical Facilities Raw]]/$R$2)*100</f>
        <v>4.2881646655231559E-2</v>
      </c>
      <c r="T1701" s="180">
        <f>FME_Ranking1[[#This Row],[Critical Facilities Score (Normalized, Unweighted)]]*$R$3</f>
        <v>8.5763293310463125E-3</v>
      </c>
      <c r="U1701">
        <f>_xlfn.XLOOKUP(FME_Ranking1[[#This Row],[FME ID]],FME_Input[FME_ID],FME_Input[LWC])</f>
        <v>0</v>
      </c>
      <c r="V1701" s="178">
        <f>(FME_Ranking1[[#This Row],[LWC Raw]]/$U$2)*100</f>
        <v>0</v>
      </c>
      <c r="W1701" s="178">
        <f>FME_Ranking1[[#This Row],[LWC Score (Normalized, Unweighted)]]*$U$3</f>
        <v>0</v>
      </c>
      <c r="X1701" s="246">
        <f>_xlfn.XLOOKUP(FME_Ranking1[[#This Row],[FME ID]],FME_Input[FME_ID],FME_Input[ROADCLS])</f>
        <v>0</v>
      </c>
      <c r="Y1701" s="230">
        <f>(FME_Ranking1[[#This Row],[Closures Raw]]/$X$2)*100</f>
        <v>0</v>
      </c>
      <c r="Z1701" s="180">
        <f>FME_Ranking1[[#This Row],[Closures Score (Normalized, Unweighted)]]*$X$3</f>
        <v>0</v>
      </c>
      <c r="AA1701" s="253">
        <f>_xlfn.XLOOKUP(FME_Ranking1[[#This Row],[FME ID]],FME_Input[FME_ID],FME_Input[ROAD_MILES100])</f>
        <v>0.58541977405548096</v>
      </c>
      <c r="AB1701" s="178">
        <f>(FME_Ranking1[[#This Row],[Miles Raw]]/$AA$2)*100</f>
        <v>7.6972200291714589E-3</v>
      </c>
      <c r="AC1701" s="178">
        <f>FME_Ranking1[[#This Row],[Miles Score (Normalized, Unweighted)]]*$AA$3</f>
        <v>7.6972200291714594E-4</v>
      </c>
      <c r="AD1701" s="255">
        <f>_xlfn.XLOOKUP(FME_Ranking1[[#This Row],[FME ID]],FME_Input[FME_ID],FME_Input[FARMACRE100])</f>
        <v>2.128160715103149</v>
      </c>
      <c r="AE1701" s="230">
        <f>(FME_Ranking1[[#This Row],[Ag Land Raw]]/$AD$2)*100</f>
        <v>8.7755821171560969E-5</v>
      </c>
      <c r="AF1701" s="231">
        <f>FME_Ranking1[[#This Row],[Ag Land Score (Normalized, Unweighted)]]*$AD$3</f>
        <v>4.3877910585780484E-6</v>
      </c>
      <c r="AG170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1.219665356126513E-2</v>
      </c>
      <c r="AH1701" s="406">
        <f t="shared" si="26"/>
        <v>1698</v>
      </c>
      <c r="AI170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1.219665356126513E-2</v>
      </c>
      <c r="AJ1701" s="257">
        <f>FME_Ranking1[[#This Row],[Addition check]]-FME_Ranking1[[#This Row],[Weighted Score Based on Normalized Reported Factors]]</f>
        <v>0</v>
      </c>
      <c r="AK1701" s="178">
        <f>_xlfn.RANK.EQ(AI1701,$AI$6:$AI$2341,0)+COUNTIF($AI$6:AI1701,AI1701)-1</f>
        <v>1698</v>
      </c>
    </row>
    <row r="1702" spans="1:37" x14ac:dyDescent="0.25">
      <c r="A1702" t="s">
        <v>6180</v>
      </c>
      <c r="B1702">
        <f>_xlfn.XLOOKUP(FME_Ranking1[[#This Row],[FME ID]],FME_Input[FME_ID],FME_Input[RFPG_NUM])</f>
        <v>5</v>
      </c>
      <c r="C1702" t="str">
        <f>_xlfn.XLOOKUP(FME_Ranking1[[#This Row],[FME ID]],FME_Input[FME_ID],FME_Input[FME_NAME])</f>
        <v>City of Rusk Master Drainage Plan</v>
      </c>
      <c r="D1702"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1702" s="256">
        <f>_xlfn.XLOOKUP(FME_Ranking1[[#This Row],[FME ID]],FME_Input[FME_ID],FME_Input[FME_COST])</f>
        <v>280000</v>
      </c>
      <c r="F1702" t="str">
        <f>_xlfn.XLOOKUP(FME_Ranking1[[#This Row],[FME ID]],FME_Input[FME_ID],FME_Input[EMER_NEED])</f>
        <v>No</v>
      </c>
      <c r="G1702">
        <f>IF(FME_Ranking!F1702="Yes",100,0)</f>
        <v>0</v>
      </c>
      <c r="H1702">
        <f>FME_Ranking1[[#This Row],[Emergency Need Score (Normalized, Unweighted)]]*$F$3</f>
        <v>0</v>
      </c>
      <c r="I1702" s="246">
        <f>_xlfn.XLOOKUP(FME_Ranking1[[#This Row],[FME ID]],FME_Input[FME_ID],FME_Input[STRUCT_100])</f>
        <v>41</v>
      </c>
      <c r="J1702" s="178">
        <f>(FME_Ranking1[[#This Row],[Structures 100 Raw]]/I$2)*100</f>
        <v>2.1955189992717301E-2</v>
      </c>
      <c r="K1702" s="178">
        <f>FME_Ranking1[[#This Row],[Structures 100  Score (Normalized, Unweighted)]]*$I$3</f>
        <v>3.2932784989075951E-3</v>
      </c>
      <c r="L1702" s="246">
        <f>_xlfn.XLOOKUP(FME_Ranking1[[#This Row],[FME ID]],FME_Input[FME_ID],FME_Input[RES_STRUCT100])</f>
        <v>9</v>
      </c>
      <c r="M1702" s="230">
        <f>(FME_Ranking1[[#This Row],[Res Structures Raw]]/L$2)*100</f>
        <v>6.3747503222790439E-3</v>
      </c>
      <c r="N1702" s="180">
        <f>FME_Ranking1[[#This Row],[Res Structures Score (Normalized, Unweighted)]]*$L$3</f>
        <v>6.3747503222790446E-4</v>
      </c>
      <c r="O1702" s="244">
        <f>_xlfn.XLOOKUP(FME_Ranking1[[#This Row],[FME ID]],FME_Input[FME_ID],FME_Input[POP100])</f>
        <v>462</v>
      </c>
      <c r="P1702" s="178">
        <f>(FME_Ranking1[[#This Row],[Pop Raw]]/$O$2)*100</f>
        <v>4.7297394138808638E-2</v>
      </c>
      <c r="Q1702" s="178">
        <f>FME_Ranking1[[#This Row],[Pop Score (Normalized, Unweighted)]]*$O$3</f>
        <v>7.0946091208212957E-3</v>
      </c>
      <c r="R1702" s="137">
        <f>_xlfn.XLOOKUP(FME_Ranking1[[#This Row],[FME ID]],FME_Input[FME_ID],FME_Input[CRITFAC100])</f>
        <v>0</v>
      </c>
      <c r="S1702" s="230">
        <f>(FME_Ranking1[[#This Row],[Critical Facilities Raw]]/$R$2)*100</f>
        <v>0</v>
      </c>
      <c r="T1702" s="180">
        <f>FME_Ranking1[[#This Row],[Critical Facilities Score (Normalized, Unweighted)]]*$R$3</f>
        <v>0</v>
      </c>
      <c r="U1702">
        <f>_xlfn.XLOOKUP(FME_Ranking1[[#This Row],[FME ID]],FME_Input[FME_ID],FME_Input[LWC])</f>
        <v>0</v>
      </c>
      <c r="V1702" s="178">
        <f>(FME_Ranking1[[#This Row],[LWC Raw]]/$U$2)*100</f>
        <v>0</v>
      </c>
      <c r="W1702" s="178">
        <f>FME_Ranking1[[#This Row],[LWC Score (Normalized, Unweighted)]]*$U$3</f>
        <v>0</v>
      </c>
      <c r="X1702" s="246">
        <f>_xlfn.XLOOKUP(FME_Ranking1[[#This Row],[FME ID]],FME_Input[FME_ID],FME_Input[ROADCLS])</f>
        <v>0</v>
      </c>
      <c r="Y1702" s="230">
        <f>(FME_Ranking1[[#This Row],[Closures Raw]]/$X$2)*100</f>
        <v>0</v>
      </c>
      <c r="Z1702" s="180">
        <f>FME_Ranking1[[#This Row],[Closures Score (Normalized, Unweighted)]]*$X$3</f>
        <v>0</v>
      </c>
      <c r="AA1702" s="253">
        <f>_xlfn.XLOOKUP(FME_Ranking1[[#This Row],[FME ID]],FME_Input[FME_ID],FME_Input[ROAD_MILES100])</f>
        <v>1.51203465461731</v>
      </c>
      <c r="AB1702" s="178">
        <f>(FME_Ranking1[[#This Row],[Miles Raw]]/$AA$2)*100</f>
        <v>1.9880543746748667E-2</v>
      </c>
      <c r="AC1702" s="178">
        <f>FME_Ranking1[[#This Row],[Miles Score (Normalized, Unweighted)]]*$AA$3</f>
        <v>1.9880543746748666E-3</v>
      </c>
      <c r="AD1702" s="255">
        <f>_xlfn.XLOOKUP(FME_Ranking1[[#This Row],[FME ID]],FME_Input[FME_ID],FME_Input[FARMACRE100])</f>
        <v>1.508719325065613</v>
      </c>
      <c r="AE1702" s="230">
        <f>(FME_Ranking1[[#This Row],[Ag Land Raw]]/$AD$2)*100</f>
        <v>6.2212831178080891E-5</v>
      </c>
      <c r="AF1702" s="231">
        <f>FME_Ranking1[[#This Row],[Ag Land Score (Normalized, Unweighted)]]*$AD$3</f>
        <v>3.1106415589040447E-6</v>
      </c>
      <c r="AG170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1.3016527668190565E-2</v>
      </c>
      <c r="AH1702" s="406">
        <f t="shared" si="26"/>
        <v>1668</v>
      </c>
      <c r="AI170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1.3016527668190565E-2</v>
      </c>
      <c r="AJ1702" s="257">
        <f>FME_Ranking1[[#This Row],[Addition check]]-FME_Ranking1[[#This Row],[Weighted Score Based on Normalized Reported Factors]]</f>
        <v>0</v>
      </c>
      <c r="AK1702" s="178">
        <f>_xlfn.RANK.EQ(AI1702,$AI$6:$AI$2341,0)+COUNTIF($AI$6:AI1702,AI1702)-1</f>
        <v>1668</v>
      </c>
    </row>
    <row r="1703" spans="1:37" x14ac:dyDescent="0.25">
      <c r="A1703" t="s">
        <v>9914</v>
      </c>
      <c r="B1703">
        <f>_xlfn.XLOOKUP(FME_Ranking1[[#This Row],[FME ID]],FME_Input[FME_ID],FME_Input[RFPG_NUM])</f>
        <v>13</v>
      </c>
      <c r="C1703" t="str">
        <f>_xlfn.XLOOKUP(FME_Ranking1[[#This Row],[FME ID]],FME_Input[FME_ID],FME_Input[FME_NAME])</f>
        <v>Camp Wood City-wide Drainage Study</v>
      </c>
      <c r="D1703" t="str">
        <f>_xlfn.XLOOKUP(FME_Ranking1[[#This Row],[FME ID]],FME_Input[FME_ID],FME_Input[DESCR])</f>
        <v>Camp Wood City-wide Drainage Study</v>
      </c>
      <c r="E1703" s="256">
        <f>_xlfn.XLOOKUP(FME_Ranking1[[#This Row],[FME ID]],FME_Input[FME_ID],FME_Input[FME_COST])</f>
        <v>250000</v>
      </c>
      <c r="F1703" t="str">
        <f>_xlfn.XLOOKUP(FME_Ranking1[[#This Row],[FME ID]],FME_Input[FME_ID],FME_Input[EMER_NEED])</f>
        <v>Yes</v>
      </c>
      <c r="G1703">
        <f>IF(FME_Ranking!F1703="Yes",100,0)</f>
        <v>100</v>
      </c>
      <c r="H1703">
        <f>FME_Ranking1[[#This Row],[Emergency Need Score (Normalized, Unweighted)]]*$F$3</f>
        <v>0</v>
      </c>
      <c r="I1703" s="246">
        <f>_xlfn.XLOOKUP(FME_Ranking1[[#This Row],[FME ID]],FME_Input[FME_ID],FME_Input[STRUCT_100])</f>
        <v>36</v>
      </c>
      <c r="J1703" s="178">
        <f>(FME_Ranking1[[#This Row],[Structures 100 Raw]]/I$2)*100</f>
        <v>1.9277727798483486E-2</v>
      </c>
      <c r="K1703" s="178">
        <f>FME_Ranking1[[#This Row],[Structures 100  Score (Normalized, Unweighted)]]*$I$3</f>
        <v>2.8916591697725228E-3</v>
      </c>
      <c r="L1703" s="246">
        <f>_xlfn.XLOOKUP(FME_Ranking1[[#This Row],[FME ID]],FME_Input[FME_ID],FME_Input[RES_STRUCT100])</f>
        <v>31</v>
      </c>
      <c r="M1703" s="230">
        <f>(FME_Ranking1[[#This Row],[Res Structures Raw]]/L$2)*100</f>
        <v>2.1957473332294485E-2</v>
      </c>
      <c r="N1703" s="180">
        <f>FME_Ranking1[[#This Row],[Res Structures Score (Normalized, Unweighted)]]*$L$3</f>
        <v>2.1957473332294484E-3</v>
      </c>
      <c r="O1703" s="244">
        <f>_xlfn.XLOOKUP(FME_Ranking1[[#This Row],[FME ID]],FME_Input[FME_ID],FME_Input[POP100])</f>
        <v>25</v>
      </c>
      <c r="P1703" s="178">
        <f>(FME_Ranking1[[#This Row],[Pop Raw]]/$O$2)*100</f>
        <v>2.559382799719082E-3</v>
      </c>
      <c r="Q1703" s="178">
        <f>FME_Ranking1[[#This Row],[Pop Score (Normalized, Unweighted)]]*$O$3</f>
        <v>3.8390741995786228E-4</v>
      </c>
      <c r="R1703" s="137">
        <f>_xlfn.XLOOKUP(FME_Ranking1[[#This Row],[FME ID]],FME_Input[FME_ID],FME_Input[CRITFAC100])</f>
        <v>0</v>
      </c>
      <c r="S1703" s="230">
        <f>(FME_Ranking1[[#This Row],[Critical Facilities Raw]]/$R$2)*100</f>
        <v>0</v>
      </c>
      <c r="T1703" s="180">
        <f>FME_Ranking1[[#This Row],[Critical Facilities Score (Normalized, Unweighted)]]*$R$3</f>
        <v>0</v>
      </c>
      <c r="U1703">
        <f>_xlfn.XLOOKUP(FME_Ranking1[[#This Row],[FME ID]],FME_Input[FME_ID],FME_Input[LWC])</f>
        <v>0</v>
      </c>
      <c r="V1703" s="178">
        <f>(FME_Ranking1[[#This Row],[LWC Raw]]/$U$2)*100</f>
        <v>0</v>
      </c>
      <c r="W1703" s="178">
        <f>FME_Ranking1[[#This Row],[LWC Score (Normalized, Unweighted)]]*$U$3</f>
        <v>0</v>
      </c>
      <c r="X1703" s="246">
        <f>_xlfn.XLOOKUP(FME_Ranking1[[#This Row],[FME ID]],FME_Input[FME_ID],FME_Input[ROADCLS])</f>
        <v>10</v>
      </c>
      <c r="Y1703" s="230">
        <f>(FME_Ranking1[[#This Row],[Closures Raw]]/$X$2)*100</f>
        <v>0.10514141520344865</v>
      </c>
      <c r="Z1703" s="180">
        <f>FME_Ranking1[[#This Row],[Closures Score (Normalized, Unweighted)]]*$X$3</f>
        <v>5.2570707601724328E-3</v>
      </c>
      <c r="AA1703" s="253">
        <f>_xlfn.XLOOKUP(FME_Ranking1[[#This Row],[FME ID]],FME_Input[FME_ID],FME_Input[ROAD_MILES100])</f>
        <v>0.77145016193389893</v>
      </c>
      <c r="AB1703" s="178">
        <f>(FME_Ranking1[[#This Row],[Miles Raw]]/$AA$2)*100</f>
        <v>1.0143185968607919E-2</v>
      </c>
      <c r="AC1703" s="178">
        <f>FME_Ranking1[[#This Row],[Miles Score (Normalized, Unweighted)]]*$AA$3</f>
        <v>1.0143185968607919E-3</v>
      </c>
      <c r="AD1703" s="255">
        <f>_xlfn.XLOOKUP(FME_Ranking1[[#This Row],[FME ID]],FME_Input[FME_ID],FME_Input[FARMACRE100])</f>
        <v>0</v>
      </c>
      <c r="AE1703" s="230">
        <f>(FME_Ranking1[[#This Row],[Ag Land Raw]]/$AD$2)*100</f>
        <v>0</v>
      </c>
      <c r="AF1703" s="231">
        <f>FME_Ranking1[[#This Row],[Ag Land Score (Normalized, Unweighted)]]*$AD$3</f>
        <v>0</v>
      </c>
      <c r="AG170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1.1742703279993058E-2</v>
      </c>
      <c r="AH1703" s="406">
        <f t="shared" si="26"/>
        <v>1725</v>
      </c>
      <c r="AI170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1.1742703279993058E-2</v>
      </c>
      <c r="AJ1703" s="257">
        <f>FME_Ranking1[[#This Row],[Addition check]]-FME_Ranking1[[#This Row],[Weighted Score Based on Normalized Reported Factors]]</f>
        <v>0</v>
      </c>
      <c r="AK1703" s="178">
        <f>_xlfn.RANK.EQ(AI1703,$AI$6:$AI$2341,0)+COUNTIF($AI$6:AI1703,AI1703)-1</f>
        <v>1725</v>
      </c>
    </row>
    <row r="1704" spans="1:37" x14ac:dyDescent="0.25">
      <c r="A1704" t="s">
        <v>7745</v>
      </c>
      <c r="B1704">
        <f>_xlfn.XLOOKUP(FME_Ranking1[[#This Row],[FME ID]],FME_Input[FME_ID],FME_Input[RFPG_NUM])</f>
        <v>8</v>
      </c>
      <c r="C1704" t="str">
        <f>_xlfn.XLOOKUP(FME_Ranking1[[#This Row],[FME ID]],FME_Input[FME_ID],FME_Input[FME_NAME])</f>
        <v>Hope's Creek Flood Study</v>
      </c>
      <c r="D1704" t="str">
        <f>_xlfn.XLOOKUP(FME_Ranking1[[#This Row],[FME ID]],FME_Input[FME_ID],FME_Input[DESCR])</f>
        <v>Study to determine flood risk across the watershed.</v>
      </c>
      <c r="E1704" s="256">
        <f>_xlfn.XLOOKUP(FME_Ranking1[[#This Row],[FME ID]],FME_Input[FME_ID],FME_Input[FME_COST])</f>
        <v>158000</v>
      </c>
      <c r="F1704" t="str">
        <f>_xlfn.XLOOKUP(FME_Ranking1[[#This Row],[FME ID]],FME_Input[FME_ID],FME_Input[EMER_NEED])</f>
        <v>No</v>
      </c>
      <c r="G1704">
        <f>IF(FME_Ranking!F1704="Yes",100,0)</f>
        <v>0</v>
      </c>
      <c r="H1704">
        <f>FME_Ranking1[[#This Row],[Emergency Need Score (Normalized, Unweighted)]]*$F$3</f>
        <v>0</v>
      </c>
      <c r="I1704" s="246">
        <f>_xlfn.XLOOKUP(FME_Ranking1[[#This Row],[FME ID]],FME_Input[FME_ID],FME_Input[STRUCT_100])</f>
        <v>37</v>
      </c>
      <c r="J1704" s="178">
        <f>(FME_Ranking1[[#This Row],[Structures 100 Raw]]/I$2)*100</f>
        <v>1.9813220237330249E-2</v>
      </c>
      <c r="K1704" s="178">
        <f>FME_Ranking1[[#This Row],[Structures 100  Score (Normalized, Unweighted)]]*$I$3</f>
        <v>2.9719830355995373E-3</v>
      </c>
      <c r="L1704" s="246">
        <f>_xlfn.XLOOKUP(FME_Ranking1[[#This Row],[FME ID]],FME_Input[FME_ID],FME_Input[RES_STRUCT100])</f>
        <v>24</v>
      </c>
      <c r="M1704" s="230">
        <f>(FME_Ranking1[[#This Row],[Res Structures Raw]]/L$2)*100</f>
        <v>1.6999334192744117E-2</v>
      </c>
      <c r="N1704" s="180">
        <f>FME_Ranking1[[#This Row],[Res Structures Score (Normalized, Unweighted)]]*$L$3</f>
        <v>1.6999334192744119E-3</v>
      </c>
      <c r="O1704" s="244">
        <f>_xlfn.XLOOKUP(FME_Ranking1[[#This Row],[FME ID]],FME_Input[FME_ID],FME_Input[POP100])</f>
        <v>101</v>
      </c>
      <c r="P1704" s="178">
        <f>(FME_Ranking1[[#This Row],[Pop Raw]]/$O$2)*100</f>
        <v>1.0339906510865093E-2</v>
      </c>
      <c r="Q1704" s="178">
        <f>FME_Ranking1[[#This Row],[Pop Score (Normalized, Unweighted)]]*$O$3</f>
        <v>1.5509859766297638E-3</v>
      </c>
      <c r="R1704" s="137">
        <f>_xlfn.XLOOKUP(FME_Ranking1[[#This Row],[FME ID]],FME_Input[FME_ID],FME_Input[CRITFAC100])</f>
        <v>0</v>
      </c>
      <c r="S1704" s="230">
        <f>(FME_Ranking1[[#This Row],[Critical Facilities Raw]]/$R$2)*100</f>
        <v>0</v>
      </c>
      <c r="T1704" s="180">
        <f>FME_Ranking1[[#This Row],[Critical Facilities Score (Normalized, Unweighted)]]*$R$3</f>
        <v>0</v>
      </c>
      <c r="U1704">
        <f>_xlfn.XLOOKUP(FME_Ranking1[[#This Row],[FME ID]],FME_Input[FME_ID],FME_Input[LWC])</f>
        <v>0</v>
      </c>
      <c r="V1704" s="178">
        <f>(FME_Ranking1[[#This Row],[LWC Raw]]/$U$2)*100</f>
        <v>0</v>
      </c>
      <c r="W1704" s="178">
        <f>FME_Ranking1[[#This Row],[LWC Score (Normalized, Unweighted)]]*$U$3</f>
        <v>0</v>
      </c>
      <c r="X1704" s="246">
        <f>_xlfn.XLOOKUP(FME_Ranking1[[#This Row],[FME ID]],FME_Input[FME_ID],FME_Input[ROADCLS])</f>
        <v>5</v>
      </c>
      <c r="Y1704" s="230">
        <f>(FME_Ranking1[[#This Row],[Closures Raw]]/$X$2)*100</f>
        <v>5.2570707601724324E-2</v>
      </c>
      <c r="Z1704" s="180">
        <f>FME_Ranking1[[#This Row],[Closures Score (Normalized, Unweighted)]]*$X$3</f>
        <v>2.6285353800862164E-3</v>
      </c>
      <c r="AA1704" s="253">
        <f>_xlfn.XLOOKUP(FME_Ranking1[[#This Row],[FME ID]],FME_Input[FME_ID],FME_Input[ROAD_MILES100])</f>
        <v>1.338160037994385</v>
      </c>
      <c r="AB1704" s="178">
        <f>(FME_Ranking1[[#This Row],[Miles Raw]]/$AA$2)*100</f>
        <v>1.7594404396922655E-2</v>
      </c>
      <c r="AC1704" s="178">
        <f>FME_Ranking1[[#This Row],[Miles Score (Normalized, Unweighted)]]*$AA$3</f>
        <v>1.7594404396922656E-3</v>
      </c>
      <c r="AD1704" s="255">
        <f>_xlfn.XLOOKUP(FME_Ranking1[[#This Row],[FME ID]],FME_Input[FME_ID],FME_Input[FARMACRE100])</f>
        <v>702.49700927734375</v>
      </c>
      <c r="AE1704" s="230">
        <f>(FME_Ranking1[[#This Row],[Ag Land Raw]]/$AD$2)*100</f>
        <v>2.8967831932143803E-2</v>
      </c>
      <c r="AF1704" s="231">
        <f>FME_Ranking1[[#This Row],[Ag Land Score (Normalized, Unweighted)]]*$AD$3</f>
        <v>1.4483915966071901E-3</v>
      </c>
      <c r="AG170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1.2059269847889385E-2</v>
      </c>
      <c r="AH1704" s="406">
        <f t="shared" si="26"/>
        <v>1712</v>
      </c>
      <c r="AI170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1.2059269847889385E-2</v>
      </c>
      <c r="AJ1704" s="257">
        <f>FME_Ranking1[[#This Row],[Addition check]]-FME_Ranking1[[#This Row],[Weighted Score Based on Normalized Reported Factors]]</f>
        <v>0</v>
      </c>
      <c r="AK1704" s="178">
        <f>_xlfn.RANK.EQ(AI1704,$AI$6:$AI$2341,0)+COUNTIF($AI$6:AI1704,AI1704)-1</f>
        <v>1712</v>
      </c>
    </row>
    <row r="1705" spans="1:37" x14ac:dyDescent="0.25">
      <c r="A1705" t="s">
        <v>11108</v>
      </c>
      <c r="B1705">
        <f>_xlfn.XLOOKUP(FME_Ranking1[[#This Row],[FME ID]],FME_Input[FME_ID],FME_Input[RFPG_NUM])</f>
        <v>15</v>
      </c>
      <c r="C1705" t="str">
        <f>_xlfn.XLOOKUP(FME_Ranking1[[#This Row],[FME ID]],FME_Input[FME_ID],FME_Input[FME_NAME])</f>
        <v>Dillon and Roosevelt</v>
      </c>
      <c r="D1705" t="str">
        <f>_xlfn.XLOOKUP(FME_Ranking1[[#This Row],[FME ID]],FME_Input[FME_ID],FME_Input[DESCR])</f>
        <v>Local Drainage Improvements-Just North of E Roosevelt Rd</v>
      </c>
      <c r="E1705" s="256">
        <f>_xlfn.XLOOKUP(FME_Ranking1[[#This Row],[FME ID]],FME_Input[FME_ID],FME_Input[FME_COST])</f>
        <v>216600</v>
      </c>
      <c r="F1705" t="str">
        <f>_xlfn.XLOOKUP(FME_Ranking1[[#This Row],[FME ID]],FME_Input[FME_ID],FME_Input[EMER_NEED])</f>
        <v>Yes</v>
      </c>
      <c r="G1705">
        <f>IF(FME_Ranking!F1705="Yes",100,0)</f>
        <v>100</v>
      </c>
      <c r="H1705">
        <f>FME_Ranking1[[#This Row],[Emergency Need Score (Normalized, Unweighted)]]*$F$3</f>
        <v>0</v>
      </c>
      <c r="I1705" s="246">
        <f>_xlfn.XLOOKUP(FME_Ranking1[[#This Row],[FME ID]],FME_Input[FME_ID],FME_Input[STRUCT_100])</f>
        <v>0</v>
      </c>
      <c r="J1705" s="178">
        <f>(FME_Ranking1[[#This Row],[Structures 100 Raw]]/I$2)*100</f>
        <v>0</v>
      </c>
      <c r="K1705" s="178">
        <f>FME_Ranking1[[#This Row],[Structures 100  Score (Normalized, Unweighted)]]*$I$3</f>
        <v>0</v>
      </c>
      <c r="L1705" s="246">
        <f>_xlfn.XLOOKUP(FME_Ranking1[[#This Row],[FME ID]],FME_Input[FME_ID],FME_Input[RES_STRUCT100])</f>
        <v>86</v>
      </c>
      <c r="M1705" s="230">
        <f>(FME_Ranking1[[#This Row],[Res Structures Raw]]/L$2)*100</f>
        <v>6.0914280857333095E-2</v>
      </c>
      <c r="N1705" s="180">
        <f>FME_Ranking1[[#This Row],[Res Structures Score (Normalized, Unweighted)]]*$L$3</f>
        <v>6.0914280857333096E-3</v>
      </c>
      <c r="O1705" s="244">
        <f>_xlfn.XLOOKUP(FME_Ranking1[[#This Row],[FME ID]],FME_Input[FME_ID],FME_Input[POP100])</f>
        <v>271</v>
      </c>
      <c r="P1705" s="178">
        <f>(FME_Ranking1[[#This Row],[Pop Raw]]/$O$2)*100</f>
        <v>2.7743709548954852E-2</v>
      </c>
      <c r="Q1705" s="178">
        <f>FME_Ranking1[[#This Row],[Pop Score (Normalized, Unweighted)]]*$O$3</f>
        <v>4.1615564323432275E-3</v>
      </c>
      <c r="R1705" s="137">
        <f>_xlfn.XLOOKUP(FME_Ranking1[[#This Row],[FME ID]],FME_Input[FME_ID],FME_Input[CRITFAC100])</f>
        <v>0</v>
      </c>
      <c r="S1705" s="230">
        <f>(FME_Ranking1[[#This Row],[Critical Facilities Raw]]/$R$2)*100</f>
        <v>0</v>
      </c>
      <c r="T1705" s="180">
        <f>FME_Ranking1[[#This Row],[Critical Facilities Score (Normalized, Unweighted)]]*$R$3</f>
        <v>0</v>
      </c>
      <c r="U1705">
        <f>_xlfn.XLOOKUP(FME_Ranking1[[#This Row],[FME ID]],FME_Input[FME_ID],FME_Input[LWC])</f>
        <v>0</v>
      </c>
      <c r="V1705" s="178">
        <f>(FME_Ranking1[[#This Row],[LWC Raw]]/$U$2)*100</f>
        <v>0</v>
      </c>
      <c r="W1705" s="178">
        <f>FME_Ranking1[[#This Row],[LWC Score (Normalized, Unweighted)]]*$U$3</f>
        <v>0</v>
      </c>
      <c r="X1705" s="246">
        <f>_xlfn.XLOOKUP(FME_Ranking1[[#This Row],[FME ID]],FME_Input[FME_ID],FME_Input[ROADCLS])</f>
        <v>0</v>
      </c>
      <c r="Y1705" s="230">
        <f>(FME_Ranking1[[#This Row],[Closures Raw]]/$X$2)*100</f>
        <v>0</v>
      </c>
      <c r="Z1705" s="180">
        <f>FME_Ranking1[[#This Row],[Closures Score (Normalized, Unweighted)]]*$X$3</f>
        <v>0</v>
      </c>
      <c r="AA1705" s="253">
        <f>_xlfn.XLOOKUP(FME_Ranking1[[#This Row],[FME ID]],FME_Input[FME_ID],FME_Input[ROAD_MILES100])</f>
        <v>8.0043296813964844</v>
      </c>
      <c r="AB1705" s="178">
        <f>(FME_Ranking1[[#This Row],[Miles Raw]]/$AA$2)*100</f>
        <v>0.10524257887110193</v>
      </c>
      <c r="AC1705" s="178">
        <f>FME_Ranking1[[#This Row],[Miles Score (Normalized, Unweighted)]]*$AA$3</f>
        <v>1.0524257887110193E-2</v>
      </c>
      <c r="AD1705" s="255">
        <f>_xlfn.XLOOKUP(FME_Ranking1[[#This Row],[FME ID]],FME_Input[FME_ID],FME_Input[FARMACRE100])</f>
        <v>0</v>
      </c>
      <c r="AE1705" s="230">
        <f>(FME_Ranking1[[#This Row],[Ag Land Raw]]/$AD$2)*100</f>
        <v>0</v>
      </c>
      <c r="AF1705" s="231">
        <f>FME_Ranking1[[#This Row],[Ag Land Score (Normalized, Unweighted)]]*$AD$3</f>
        <v>0</v>
      </c>
      <c r="AG170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2.0777242405186729E-2</v>
      </c>
      <c r="AH1705" s="406">
        <f t="shared" si="26"/>
        <v>1569</v>
      </c>
      <c r="AI170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2.0777242405186729E-2</v>
      </c>
      <c r="AJ1705" s="257">
        <f>FME_Ranking1[[#This Row],[Addition check]]-FME_Ranking1[[#This Row],[Weighted Score Based on Normalized Reported Factors]]</f>
        <v>0</v>
      </c>
      <c r="AK1705" s="178">
        <f>_xlfn.RANK.EQ(AI1705,$AI$6:$AI$2341,0)+COUNTIF($AI$6:AI1705,AI1705)-1</f>
        <v>1569</v>
      </c>
    </row>
    <row r="1706" spans="1:37" x14ac:dyDescent="0.25">
      <c r="A1706" t="s">
        <v>9250</v>
      </c>
      <c r="B1706">
        <f>_xlfn.XLOOKUP(FME_Ranking1[[#This Row],[FME ID]],FME_Input[FME_ID],FME_Input[RFPG_NUM])</f>
        <v>12</v>
      </c>
      <c r="C1706" t="str">
        <f>_xlfn.XLOOKUP(FME_Ranking1[[#This Row],[FME ID]],FME_Input[FME_ID],FME_Input[FME_NAME])</f>
        <v>French Creek at Guilbeau Road NWWC</v>
      </c>
      <c r="D1706" t="str">
        <f>_xlfn.XLOOKUP(FME_Ranking1[[#This Row],[FME ID]],FME_Input[FME_ID],FME_Input[DESCR])</f>
        <v>A basic trapezoidal channel with side slopes of 3:1, representing an earthen channel</v>
      </c>
      <c r="E1706" s="256">
        <f>_xlfn.XLOOKUP(FME_Ranking1[[#This Row],[FME ID]],FME_Input[FME_ID],FME_Input[FME_COST])</f>
        <v>9827999</v>
      </c>
      <c r="F1706" t="str">
        <f>_xlfn.XLOOKUP(FME_Ranking1[[#This Row],[FME ID]],FME_Input[FME_ID],FME_Input[EMER_NEED])</f>
        <v>No</v>
      </c>
      <c r="G1706">
        <f>IF(FME_Ranking!F1706="Yes",100,0)</f>
        <v>0</v>
      </c>
      <c r="H1706">
        <f>FME_Ranking1[[#This Row],[Emergency Need Score (Normalized, Unweighted)]]*$F$3</f>
        <v>0</v>
      </c>
      <c r="I1706" s="246">
        <f>_xlfn.XLOOKUP(FME_Ranking1[[#This Row],[FME ID]],FME_Input[FME_ID],FME_Input[STRUCT_100])</f>
        <v>27</v>
      </c>
      <c r="J1706" s="178">
        <f>(FME_Ranking1[[#This Row],[Structures 100 Raw]]/I$2)*100</f>
        <v>1.4458295848862615E-2</v>
      </c>
      <c r="K1706" s="178">
        <f>FME_Ranking1[[#This Row],[Structures 100  Score (Normalized, Unweighted)]]*$I$3</f>
        <v>2.1687443773293924E-3</v>
      </c>
      <c r="L1706" s="246">
        <f>_xlfn.XLOOKUP(FME_Ranking1[[#This Row],[FME ID]],FME_Input[FME_ID],FME_Input[RES_STRUCT100])</f>
        <v>26</v>
      </c>
      <c r="M1706" s="230">
        <f>(FME_Ranking1[[#This Row],[Res Structures Raw]]/L$2)*100</f>
        <v>1.8415945375472795E-2</v>
      </c>
      <c r="N1706" s="180">
        <f>FME_Ranking1[[#This Row],[Res Structures Score (Normalized, Unweighted)]]*$L$3</f>
        <v>1.8415945375472795E-3</v>
      </c>
      <c r="O1706" s="244">
        <f>_xlfn.XLOOKUP(FME_Ranking1[[#This Row],[FME ID]],FME_Input[FME_ID],FME_Input[POP100])</f>
        <v>234</v>
      </c>
      <c r="P1706" s="178">
        <f>(FME_Ranking1[[#This Row],[Pop Raw]]/$O$2)*100</f>
        <v>2.3955823005370608E-2</v>
      </c>
      <c r="Q1706" s="178">
        <f>FME_Ranking1[[#This Row],[Pop Score (Normalized, Unweighted)]]*$O$3</f>
        <v>3.5933734508055912E-3</v>
      </c>
      <c r="R1706" s="137">
        <f>_xlfn.XLOOKUP(FME_Ranking1[[#This Row],[FME ID]],FME_Input[FME_ID],FME_Input[CRITFAC100])</f>
        <v>0</v>
      </c>
      <c r="S1706" s="230">
        <f>(FME_Ranking1[[#This Row],[Critical Facilities Raw]]/$R$2)*100</f>
        <v>0</v>
      </c>
      <c r="T1706" s="180">
        <f>FME_Ranking1[[#This Row],[Critical Facilities Score (Normalized, Unweighted)]]*$R$3</f>
        <v>0</v>
      </c>
      <c r="U1706">
        <f>_xlfn.XLOOKUP(FME_Ranking1[[#This Row],[FME ID]],FME_Input[FME_ID],FME_Input[LWC])</f>
        <v>0</v>
      </c>
      <c r="V1706" s="178">
        <f>(FME_Ranking1[[#This Row],[LWC Raw]]/$U$2)*100</f>
        <v>0</v>
      </c>
      <c r="W1706" s="178">
        <f>FME_Ranking1[[#This Row],[LWC Score (Normalized, Unweighted)]]*$U$3</f>
        <v>0</v>
      </c>
      <c r="X1706" s="246">
        <f>_xlfn.XLOOKUP(FME_Ranking1[[#This Row],[FME ID]],FME_Input[FME_ID],FME_Input[ROADCLS])</f>
        <v>5</v>
      </c>
      <c r="Y1706" s="230">
        <f>(FME_Ranking1[[#This Row],[Closures Raw]]/$X$2)*100</f>
        <v>5.2570707601724324E-2</v>
      </c>
      <c r="Z1706" s="180">
        <f>FME_Ranking1[[#This Row],[Closures Score (Normalized, Unweighted)]]*$X$3</f>
        <v>2.6285353800862164E-3</v>
      </c>
      <c r="AA1706" s="253">
        <f>_xlfn.XLOOKUP(FME_Ranking1[[#This Row],[FME ID]],FME_Input[FME_ID],FME_Input[ROAD_MILES100])</f>
        <v>0.63999998569488525</v>
      </c>
      <c r="AB1706" s="178">
        <f>(FME_Ranking1[[#This Row],[Miles Raw]]/$AA$2)*100</f>
        <v>8.4148519180243034E-3</v>
      </c>
      <c r="AC1706" s="178">
        <f>FME_Ranking1[[#This Row],[Miles Score (Normalized, Unweighted)]]*$AA$3</f>
        <v>8.4148519180243038E-4</v>
      </c>
      <c r="AD1706" s="255">
        <f>_xlfn.XLOOKUP(FME_Ranking1[[#This Row],[FME ID]],FME_Input[FME_ID],FME_Input[FARMACRE100])</f>
        <v>0</v>
      </c>
      <c r="AE1706" s="230">
        <f>(FME_Ranking1[[#This Row],[Ag Land Raw]]/$AD$2)*100</f>
        <v>0</v>
      </c>
      <c r="AF1706" s="231">
        <f>FME_Ranking1[[#This Row],[Ag Land Score (Normalized, Unweighted)]]*$AD$3</f>
        <v>0</v>
      </c>
      <c r="AG170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1.1073732937570909E-2</v>
      </c>
      <c r="AH1706" s="406">
        <f t="shared" si="26"/>
        <v>1744</v>
      </c>
      <c r="AI170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1.1073732937570909E-2</v>
      </c>
      <c r="AJ1706" s="257">
        <f>FME_Ranking1[[#This Row],[Addition check]]-FME_Ranking1[[#This Row],[Weighted Score Based on Normalized Reported Factors]]</f>
        <v>0</v>
      </c>
      <c r="AK1706" s="178">
        <f>_xlfn.RANK.EQ(AI1706,$AI$6:$AI$2341,0)+COUNTIF($AI$6:AI1706,AI1706)-1</f>
        <v>1744</v>
      </c>
    </row>
    <row r="1707" spans="1:37" x14ac:dyDescent="0.25">
      <c r="A1707" t="s">
        <v>4878</v>
      </c>
      <c r="B1707">
        <f>_xlfn.XLOOKUP(FME_Ranking1[[#This Row],[FME ID]],FME_Input[FME_ID],FME_Input[RFPG_NUM])</f>
        <v>3</v>
      </c>
      <c r="C1707" t="str">
        <f>_xlfn.XLOOKUP(FME_Ranking1[[#This Row],[FME ID]],FME_Input[FME_ID],FME_Input[FME_NAME])</f>
        <v>Sanger Creek Waterways Reconstruction Study</v>
      </c>
      <c r="D1707" t="str">
        <f>_xlfn.XLOOKUP(FME_Ranking1[[#This Row],[FME ID]],FME_Input[FME_ID],FME_Input[DESCR])</f>
        <v>Evaluate alternatives to reconstruct creek waterways to correct drainage issues</v>
      </c>
      <c r="E1707" s="256">
        <f>_xlfn.XLOOKUP(FME_Ranking1[[#This Row],[FME ID]],FME_Input[FME_ID],FME_Input[FME_COST])</f>
        <v>600000</v>
      </c>
      <c r="F1707" t="str">
        <f>_xlfn.XLOOKUP(FME_Ranking1[[#This Row],[FME ID]],FME_Input[FME_ID],FME_Input[EMER_NEED])</f>
        <v>No</v>
      </c>
      <c r="G1707">
        <f>IF(FME_Ranking!F1707="Yes",100,0)</f>
        <v>0</v>
      </c>
      <c r="H1707">
        <f>FME_Ranking1[[#This Row],[Emergency Need Score (Normalized, Unweighted)]]*$F$3</f>
        <v>0</v>
      </c>
      <c r="I1707" s="246">
        <f>_xlfn.XLOOKUP(FME_Ranking1[[#This Row],[FME ID]],FME_Input[FME_ID],FME_Input[STRUCT_100])</f>
        <v>41</v>
      </c>
      <c r="J1707" s="178">
        <f>(FME_Ranking1[[#This Row],[Structures 100 Raw]]/I$2)*100</f>
        <v>2.1955189992717301E-2</v>
      </c>
      <c r="K1707" s="178">
        <f>FME_Ranking1[[#This Row],[Structures 100  Score (Normalized, Unweighted)]]*$I$3</f>
        <v>3.2932784989075951E-3</v>
      </c>
      <c r="L1707" s="246">
        <f>_xlfn.XLOOKUP(FME_Ranking1[[#This Row],[FME ID]],FME_Input[FME_ID],FME_Input[RES_STRUCT100])</f>
        <v>37</v>
      </c>
      <c r="M1707" s="230">
        <f>(FME_Ranking1[[#This Row],[Res Structures Raw]]/L$2)*100</f>
        <v>2.6207306880480515E-2</v>
      </c>
      <c r="N1707" s="180">
        <f>FME_Ranking1[[#This Row],[Res Structures Score (Normalized, Unweighted)]]*$L$3</f>
        <v>2.6207306880480516E-3</v>
      </c>
      <c r="O1707" s="244">
        <f>_xlfn.XLOOKUP(FME_Ranking1[[#This Row],[FME ID]],FME_Input[FME_ID],FME_Input[POP100])</f>
        <v>153</v>
      </c>
      <c r="P1707" s="178">
        <f>(FME_Ranking1[[#This Row],[Pop Raw]]/$O$2)*100</f>
        <v>1.5663422734280782E-2</v>
      </c>
      <c r="Q1707" s="178">
        <f>FME_Ranking1[[#This Row],[Pop Score (Normalized, Unweighted)]]*$O$3</f>
        <v>2.349513410142117E-3</v>
      </c>
      <c r="R1707" s="137">
        <f>_xlfn.XLOOKUP(FME_Ranking1[[#This Row],[FME ID]],FME_Input[FME_ID],FME_Input[CRITFAC100])</f>
        <v>0</v>
      </c>
      <c r="S1707" s="230">
        <f>(FME_Ranking1[[#This Row],[Critical Facilities Raw]]/$R$2)*100</f>
        <v>0</v>
      </c>
      <c r="T1707" s="180">
        <f>FME_Ranking1[[#This Row],[Critical Facilities Score (Normalized, Unweighted)]]*$R$3</f>
        <v>0</v>
      </c>
      <c r="U1707">
        <f>_xlfn.XLOOKUP(FME_Ranking1[[#This Row],[FME ID]],FME_Input[FME_ID],FME_Input[LWC])</f>
        <v>0</v>
      </c>
      <c r="V1707" s="178">
        <f>(FME_Ranking1[[#This Row],[LWC Raw]]/$U$2)*100</f>
        <v>0</v>
      </c>
      <c r="W1707" s="178">
        <f>FME_Ranking1[[#This Row],[LWC Score (Normalized, Unweighted)]]*$U$3</f>
        <v>0</v>
      </c>
      <c r="X1707" s="246">
        <f>_xlfn.XLOOKUP(FME_Ranking1[[#This Row],[FME ID]],FME_Input[FME_ID],FME_Input[ROADCLS])</f>
        <v>0</v>
      </c>
      <c r="Y1707" s="230">
        <f>(FME_Ranking1[[#This Row],[Closures Raw]]/$X$2)*100</f>
        <v>0</v>
      </c>
      <c r="Z1707" s="180">
        <f>FME_Ranking1[[#This Row],[Closures Score (Normalized, Unweighted)]]*$X$3</f>
        <v>0</v>
      </c>
      <c r="AA1707" s="253">
        <f>_xlfn.XLOOKUP(FME_Ranking1[[#This Row],[FME ID]],FME_Input[FME_ID],FME_Input[ROAD_MILES100])</f>
        <v>4.0081877708435059</v>
      </c>
      <c r="AB1707" s="178">
        <f>(FME_Ranking1[[#This Row],[Miles Raw]]/$AA$2)*100</f>
        <v>5.2700480164328829E-2</v>
      </c>
      <c r="AC1707" s="178">
        <f>FME_Ranking1[[#This Row],[Miles Score (Normalized, Unweighted)]]*$AA$3</f>
        <v>5.2700480164328831E-3</v>
      </c>
      <c r="AD1707" s="255">
        <f>_xlfn.XLOOKUP(FME_Ranking1[[#This Row],[FME ID]],FME_Input[FME_ID],FME_Input[FARMACRE100])</f>
        <v>921.33477783203125</v>
      </c>
      <c r="AE1707" s="230">
        <f>(FME_Ranking1[[#This Row],[Ag Land Raw]]/$AD$2)*100</f>
        <v>3.7991721879260788E-2</v>
      </c>
      <c r="AF1707" s="231">
        <f>FME_Ranking1[[#This Row],[Ag Land Score (Normalized, Unweighted)]]*$AD$3</f>
        <v>1.8995860939630396E-3</v>
      </c>
      <c r="AG170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1.5433156707493689E-2</v>
      </c>
      <c r="AH1707" s="406">
        <f t="shared" si="26"/>
        <v>1630</v>
      </c>
      <c r="AI170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1.5433156707493689E-2</v>
      </c>
      <c r="AJ1707" s="257">
        <f>FME_Ranking1[[#This Row],[Addition check]]-FME_Ranking1[[#This Row],[Weighted Score Based on Normalized Reported Factors]]</f>
        <v>0</v>
      </c>
      <c r="AK1707" s="178">
        <f>_xlfn.RANK.EQ(AI1707,$AI$6:$AI$2341,0)+COUNTIF($AI$6:AI1707,AI1707)-1</f>
        <v>1630</v>
      </c>
    </row>
    <row r="1708" spans="1:37" x14ac:dyDescent="0.25">
      <c r="A1708" t="s">
        <v>4833</v>
      </c>
      <c r="B1708">
        <f>_xlfn.XLOOKUP(FME_Ranking1[[#This Row],[FME ID]],FME_Input[FME_ID],FME_Input[RFPG_NUM])</f>
        <v>3</v>
      </c>
      <c r="C1708" t="str">
        <f>_xlfn.XLOOKUP(FME_Ranking1[[#This Row],[FME ID]],FME_Input[FME_ID],FME_Input[FME_NAME])</f>
        <v>North Colony Blvd. at Powers Street</v>
      </c>
      <c r="D1708" t="str">
        <f>_xlfn.XLOOKUP(FME_Ranking1[[#This Row],[FME ID]],FME_Input[FME_ID],FME_Input[DESCR])</f>
        <v>Streams SC-1A Drainage Study and storm drain upgrades to deal with flooding</v>
      </c>
      <c r="E1708" s="256">
        <f>_xlfn.XLOOKUP(FME_Ranking1[[#This Row],[FME ID]],FME_Input[FME_ID],FME_Input[FME_COST])</f>
        <v>100000</v>
      </c>
      <c r="F1708" t="str">
        <f>_xlfn.XLOOKUP(FME_Ranking1[[#This Row],[FME ID]],FME_Input[FME_ID],FME_Input[EMER_NEED])</f>
        <v>No</v>
      </c>
      <c r="G1708">
        <f>IF(FME_Ranking!F1708="Yes",100,0)</f>
        <v>0</v>
      </c>
      <c r="H1708">
        <f>FME_Ranking1[[#This Row],[Emergency Need Score (Normalized, Unweighted)]]*$F$3</f>
        <v>0</v>
      </c>
      <c r="I1708" s="246">
        <f>_xlfn.XLOOKUP(FME_Ranking1[[#This Row],[FME ID]],FME_Input[FME_ID],FME_Input[STRUCT_100])</f>
        <v>7</v>
      </c>
      <c r="J1708" s="178">
        <f>(FME_Ranking1[[#This Row],[Structures 100 Raw]]/I$2)*100</f>
        <v>3.7484470719273445E-3</v>
      </c>
      <c r="K1708" s="178">
        <f>FME_Ranking1[[#This Row],[Structures 100  Score (Normalized, Unweighted)]]*$I$3</f>
        <v>5.622670607891017E-4</v>
      </c>
      <c r="L1708" s="246">
        <f>_xlfn.XLOOKUP(FME_Ranking1[[#This Row],[FME ID]],FME_Input[FME_ID],FME_Input[RES_STRUCT100])</f>
        <v>7</v>
      </c>
      <c r="M1708" s="230">
        <f>(FME_Ranking1[[#This Row],[Res Structures Raw]]/L$2)*100</f>
        <v>4.9581391395503681E-3</v>
      </c>
      <c r="N1708" s="180">
        <f>FME_Ranking1[[#This Row],[Res Structures Score (Normalized, Unweighted)]]*$L$3</f>
        <v>4.9581391395503687E-4</v>
      </c>
      <c r="O1708" s="244">
        <f>_xlfn.XLOOKUP(FME_Ranking1[[#This Row],[FME ID]],FME_Input[FME_ID],FME_Input[POP100])</f>
        <v>26</v>
      </c>
      <c r="P1708" s="178">
        <f>(FME_Ranking1[[#This Row],[Pop Raw]]/$O$2)*100</f>
        <v>2.6617581117078454E-3</v>
      </c>
      <c r="Q1708" s="178">
        <f>FME_Ranking1[[#This Row],[Pop Score (Normalized, Unweighted)]]*$O$3</f>
        <v>3.9926371675617678E-4</v>
      </c>
      <c r="R1708" s="137">
        <f>_xlfn.XLOOKUP(FME_Ranking1[[#This Row],[FME ID]],FME_Input[FME_ID],FME_Input[CRITFAC100])</f>
        <v>1</v>
      </c>
      <c r="S1708" s="230">
        <f>(FME_Ranking1[[#This Row],[Critical Facilities Raw]]/$R$2)*100</f>
        <v>4.2881646655231559E-2</v>
      </c>
      <c r="T1708" s="180">
        <f>FME_Ranking1[[#This Row],[Critical Facilities Score (Normalized, Unweighted)]]*$R$3</f>
        <v>8.5763293310463125E-3</v>
      </c>
      <c r="U1708">
        <f>_xlfn.XLOOKUP(FME_Ranking1[[#This Row],[FME ID]],FME_Input[FME_ID],FME_Input[LWC])</f>
        <v>0</v>
      </c>
      <c r="V1708" s="178">
        <f>(FME_Ranking1[[#This Row],[LWC Raw]]/$U$2)*100</f>
        <v>0</v>
      </c>
      <c r="W1708" s="178">
        <f>FME_Ranking1[[#This Row],[LWC Score (Normalized, Unweighted)]]*$U$3</f>
        <v>0</v>
      </c>
      <c r="X1708" s="246">
        <f>_xlfn.XLOOKUP(FME_Ranking1[[#This Row],[FME ID]],FME_Input[FME_ID],FME_Input[ROADCLS])</f>
        <v>0</v>
      </c>
      <c r="Y1708" s="230">
        <f>(FME_Ranking1[[#This Row],[Closures Raw]]/$X$2)*100</f>
        <v>0</v>
      </c>
      <c r="Z1708" s="180">
        <f>FME_Ranking1[[#This Row],[Closures Score (Normalized, Unweighted)]]*$X$3</f>
        <v>0</v>
      </c>
      <c r="AA1708" s="253">
        <f>_xlfn.XLOOKUP(FME_Ranking1[[#This Row],[FME ID]],FME_Input[FME_ID],FME_Input[ROAD_MILES100])</f>
        <v>0.45168700814247131</v>
      </c>
      <c r="AB1708" s="178">
        <f>(FME_Ranking1[[#This Row],[Miles Raw]]/$AA$2)*100</f>
        <v>5.9388740183915758E-3</v>
      </c>
      <c r="AC1708" s="178">
        <f>FME_Ranking1[[#This Row],[Miles Score (Normalized, Unweighted)]]*$AA$3</f>
        <v>5.9388740183915763E-4</v>
      </c>
      <c r="AD1708" s="255">
        <f>_xlfn.XLOOKUP(FME_Ranking1[[#This Row],[FME ID]],FME_Input[FME_ID],FME_Input[FARMACRE100])</f>
        <v>10.24493980407715</v>
      </c>
      <c r="AE1708" s="230">
        <f>(FME_Ranking1[[#This Row],[Ag Land Raw]]/$AD$2)*100</f>
        <v>4.2245545600931057E-4</v>
      </c>
      <c r="AF1708" s="231">
        <f>FME_Ranking1[[#This Row],[Ag Land Score (Normalized, Unweighted)]]*$AD$3</f>
        <v>2.1122772800465529E-5</v>
      </c>
      <c r="AG170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1.064868419718625E-2</v>
      </c>
      <c r="AH1708" s="406">
        <f t="shared" si="26"/>
        <v>1748</v>
      </c>
      <c r="AI170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1.064868419718625E-2</v>
      </c>
      <c r="AJ1708" s="257">
        <f>FME_Ranking1[[#This Row],[Addition check]]-FME_Ranking1[[#This Row],[Weighted Score Based on Normalized Reported Factors]]</f>
        <v>0</v>
      </c>
      <c r="AK1708" s="178">
        <f>_xlfn.RANK.EQ(AI1708,$AI$6:$AI$2341,0)+COUNTIF($AI$6:AI1708,AI1708)-1</f>
        <v>1748</v>
      </c>
    </row>
    <row r="1709" spans="1:37" x14ac:dyDescent="0.25">
      <c r="A1709" t="s">
        <v>3745</v>
      </c>
      <c r="B1709">
        <f>_xlfn.XLOOKUP(FME_Ranking1[[#This Row],[FME ID]],FME_Input[FME_ID],FME_Input[RFPG_NUM])</f>
        <v>2</v>
      </c>
      <c r="C1709" t="str">
        <f>_xlfn.XLOOKUP(FME_Ranking1[[#This Row],[FME ID]],FME_Input[FME_ID],FME_Input[FME_NAME])</f>
        <v>Anderson Creek WWTP Flood Study</v>
      </c>
      <c r="D1709" t="str">
        <f>_xlfn.XLOOKUP(FME_Ranking1[[#This Row],[FME ID]],FME_Input[FME_ID],FME_Input[DESCR])</f>
        <v>WWTP was impacted by flooding from Anderson Creek. Study to evaluate whether existing berm meets 100-year protection and to evaluate the needs for sump pumps and lift station.</v>
      </c>
      <c r="E1709" s="256">
        <f>_xlfn.XLOOKUP(FME_Ranking1[[#This Row],[FME ID]],FME_Input[FME_ID],FME_Input[FME_COST])</f>
        <v>250000</v>
      </c>
      <c r="F1709" t="str">
        <f>_xlfn.XLOOKUP(FME_Ranking1[[#This Row],[FME ID]],FME_Input[FME_ID],FME_Input[EMER_NEED])</f>
        <v>No</v>
      </c>
      <c r="G1709">
        <f>IF(FME_Ranking!F1709="Yes",100,0)</f>
        <v>0</v>
      </c>
      <c r="H1709">
        <f>FME_Ranking1[[#This Row],[Emergency Need Score (Normalized, Unweighted)]]*$F$3</f>
        <v>0</v>
      </c>
      <c r="I1709" s="246">
        <f>_xlfn.XLOOKUP(FME_Ranking1[[#This Row],[FME ID]],FME_Input[FME_ID],FME_Input[STRUCT_100])</f>
        <v>10</v>
      </c>
      <c r="J1709" s="178">
        <f>(FME_Ranking1[[#This Row],[Structures 100 Raw]]/I$2)*100</f>
        <v>5.3549243884676344E-3</v>
      </c>
      <c r="K1709" s="178">
        <f>FME_Ranking1[[#This Row],[Structures 100  Score (Normalized, Unweighted)]]*$I$3</f>
        <v>8.0323865827014516E-4</v>
      </c>
      <c r="L1709" s="246">
        <f>_xlfn.XLOOKUP(FME_Ranking1[[#This Row],[FME ID]],FME_Input[FME_ID],FME_Input[RES_STRUCT100])</f>
        <v>3</v>
      </c>
      <c r="M1709" s="230">
        <f>(FME_Ranking1[[#This Row],[Res Structures Raw]]/L$2)*100</f>
        <v>2.1249167740930146E-3</v>
      </c>
      <c r="N1709" s="180">
        <f>FME_Ranking1[[#This Row],[Res Structures Score (Normalized, Unweighted)]]*$L$3</f>
        <v>2.1249167740930149E-4</v>
      </c>
      <c r="O1709" s="244">
        <f>_xlfn.XLOOKUP(FME_Ranking1[[#This Row],[FME ID]],FME_Input[FME_ID],FME_Input[POP100])</f>
        <v>12</v>
      </c>
      <c r="P1709" s="178">
        <f>(FME_Ranking1[[#This Row],[Pop Raw]]/$O$2)*100</f>
        <v>1.2285037438651595E-3</v>
      </c>
      <c r="Q1709" s="178">
        <f>FME_Ranking1[[#This Row],[Pop Score (Normalized, Unweighted)]]*$O$3</f>
        <v>1.8427556157977391E-4</v>
      </c>
      <c r="R1709" s="137">
        <f>_xlfn.XLOOKUP(FME_Ranking1[[#This Row],[FME ID]],FME_Input[FME_ID],FME_Input[CRITFAC100])</f>
        <v>1</v>
      </c>
      <c r="S1709" s="230">
        <f>(FME_Ranking1[[#This Row],[Critical Facilities Raw]]/$R$2)*100</f>
        <v>4.2881646655231559E-2</v>
      </c>
      <c r="T1709" s="180">
        <f>FME_Ranking1[[#This Row],[Critical Facilities Score (Normalized, Unweighted)]]*$R$3</f>
        <v>8.5763293310463125E-3</v>
      </c>
      <c r="U1709">
        <f>_xlfn.XLOOKUP(FME_Ranking1[[#This Row],[FME ID]],FME_Input[FME_ID],FME_Input[LWC])</f>
        <v>0</v>
      </c>
      <c r="V1709" s="178">
        <f>(FME_Ranking1[[#This Row],[LWC Raw]]/$U$2)*100</f>
        <v>0</v>
      </c>
      <c r="W1709" s="178">
        <f>FME_Ranking1[[#This Row],[LWC Score (Normalized, Unweighted)]]*$U$3</f>
        <v>0</v>
      </c>
      <c r="X1709" s="246">
        <f>_xlfn.XLOOKUP(FME_Ranking1[[#This Row],[FME ID]],FME_Input[FME_ID],FME_Input[ROADCLS])</f>
        <v>0</v>
      </c>
      <c r="Y1709" s="230">
        <f>(FME_Ranking1[[#This Row],[Closures Raw]]/$X$2)*100</f>
        <v>0</v>
      </c>
      <c r="Z1709" s="180">
        <f>FME_Ranking1[[#This Row],[Closures Score (Normalized, Unweighted)]]*$X$3</f>
        <v>0</v>
      </c>
      <c r="AA1709" s="253">
        <f>_xlfn.XLOOKUP(FME_Ranking1[[#This Row],[FME ID]],FME_Input[FME_ID],FME_Input[ROAD_MILES100])</f>
        <v>2.0035641193389888</v>
      </c>
      <c r="AB1709" s="178">
        <f>(FME_Ranking1[[#This Row],[Miles Raw]]/$AA$2)*100</f>
        <v>2.6343274608356143E-2</v>
      </c>
      <c r="AC1709" s="178">
        <f>FME_Ranking1[[#This Row],[Miles Score (Normalized, Unweighted)]]*$AA$3</f>
        <v>2.6343274608356146E-3</v>
      </c>
      <c r="AD1709" s="255">
        <f>_xlfn.XLOOKUP(FME_Ranking1[[#This Row],[FME ID]],FME_Input[FME_ID],FME_Input[FARMACRE100])</f>
        <v>80.241897583007813</v>
      </c>
      <c r="AE1709" s="230">
        <f>(FME_Ranking1[[#This Row],[Ag Land Raw]]/$AD$2)*100</f>
        <v>3.308816653172664E-3</v>
      </c>
      <c r="AF1709" s="231">
        <f>FME_Ranking1[[#This Row],[Ag Land Score (Normalized, Unweighted)]]*$AD$3</f>
        <v>1.6544083265863322E-4</v>
      </c>
      <c r="AG170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1.2576103521799782E-2</v>
      </c>
      <c r="AH1709" s="406">
        <f t="shared" si="26"/>
        <v>1686</v>
      </c>
      <c r="AI170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1.2576103521799782E-2</v>
      </c>
      <c r="AJ1709" s="257">
        <f>FME_Ranking1[[#This Row],[Addition check]]-FME_Ranking1[[#This Row],[Weighted Score Based on Normalized Reported Factors]]</f>
        <v>0</v>
      </c>
      <c r="AK1709" s="178">
        <f>_xlfn.RANK.EQ(AI1709,$AI$6:$AI$2341,0)+COUNTIF($AI$6:AI1709,AI1709)-1</f>
        <v>1686</v>
      </c>
    </row>
    <row r="1710" spans="1:37" x14ac:dyDescent="0.25">
      <c r="A1710" t="s">
        <v>10689</v>
      </c>
      <c r="B1710">
        <f>_xlfn.XLOOKUP(FME_Ranking1[[#This Row],[FME ID]],FME_Input[FME_ID],FME_Input[RFPG_NUM])</f>
        <v>13</v>
      </c>
      <c r="C1710" t="str">
        <f>_xlfn.XLOOKUP(FME_Ranking1[[#This Row],[FME ID]],FME_Input[FME_ID],FME_Input[FME_NAME])</f>
        <v>Outfall No. 5</v>
      </c>
      <c r="D1710" t="str">
        <f>_xlfn.XLOOKUP(FME_Ranking1[[#This Row],[FME ID]],FME_Input[FME_ID],FME_Input[DESCR])</f>
        <v>Hazard mitigation drainage improvements for the City of Port Aransas. The outfall is composed of two 48" RCPs and extend West from HWY 361 to a nearby basin. Outfall is 361 ft. South of Mustang Blvd and HWY 361 intersection.</v>
      </c>
      <c r="E1710" s="256">
        <f>_xlfn.XLOOKUP(FME_Ranking1[[#This Row],[FME ID]],FME_Input[FME_ID],FME_Input[FME_COST])</f>
        <v>12000</v>
      </c>
      <c r="F1710" t="str">
        <f>_xlfn.XLOOKUP(FME_Ranking1[[#This Row],[FME ID]],FME_Input[FME_ID],FME_Input[EMER_NEED])</f>
        <v>Yes</v>
      </c>
      <c r="G1710">
        <f>IF(FME_Ranking!F1710="Yes",100,0)</f>
        <v>100</v>
      </c>
      <c r="H1710">
        <f>FME_Ranking1[[#This Row],[Emergency Need Score (Normalized, Unweighted)]]*$F$3</f>
        <v>0</v>
      </c>
      <c r="I1710" s="246">
        <f>_xlfn.XLOOKUP(FME_Ranking1[[#This Row],[FME ID]],FME_Input[FME_ID],FME_Input[STRUCT_100])</f>
        <v>32</v>
      </c>
      <c r="J1710" s="178">
        <f>(FME_Ranking1[[#This Row],[Structures 100 Raw]]/I$2)*100</f>
        <v>1.7135758043096434E-2</v>
      </c>
      <c r="K1710" s="178">
        <f>FME_Ranking1[[#This Row],[Structures 100  Score (Normalized, Unweighted)]]*$I$3</f>
        <v>2.570363706464465E-3</v>
      </c>
      <c r="L1710" s="246">
        <f>_xlfn.XLOOKUP(FME_Ranking1[[#This Row],[FME ID]],FME_Input[FME_ID],FME_Input[RES_STRUCT100])</f>
        <v>31</v>
      </c>
      <c r="M1710" s="230">
        <f>(FME_Ranking1[[#This Row],[Res Structures Raw]]/L$2)*100</f>
        <v>2.1957473332294485E-2</v>
      </c>
      <c r="N1710" s="180">
        <f>FME_Ranking1[[#This Row],[Res Structures Score (Normalized, Unweighted)]]*$L$3</f>
        <v>2.1957473332294484E-3</v>
      </c>
      <c r="O1710" s="244">
        <f>_xlfn.XLOOKUP(FME_Ranking1[[#This Row],[FME ID]],FME_Input[FME_ID],FME_Input[POP100])</f>
        <v>53</v>
      </c>
      <c r="P1710" s="178">
        <f>(FME_Ranking1[[#This Row],[Pop Raw]]/$O$2)*100</f>
        <v>5.4258915354044547E-3</v>
      </c>
      <c r="Q1710" s="178">
        <f>FME_Ranking1[[#This Row],[Pop Score (Normalized, Unweighted)]]*$O$3</f>
        <v>8.1388373031066822E-4</v>
      </c>
      <c r="R1710" s="137">
        <f>_xlfn.XLOOKUP(FME_Ranking1[[#This Row],[FME ID]],FME_Input[FME_ID],FME_Input[CRITFAC100])</f>
        <v>0</v>
      </c>
      <c r="S1710" s="230">
        <f>(FME_Ranking1[[#This Row],[Critical Facilities Raw]]/$R$2)*100</f>
        <v>0</v>
      </c>
      <c r="T1710" s="180">
        <f>FME_Ranking1[[#This Row],[Critical Facilities Score (Normalized, Unweighted)]]*$R$3</f>
        <v>0</v>
      </c>
      <c r="U1710">
        <f>_xlfn.XLOOKUP(FME_Ranking1[[#This Row],[FME ID]],FME_Input[FME_ID],FME_Input[LWC])</f>
        <v>0</v>
      </c>
      <c r="V1710" s="178">
        <f>(FME_Ranking1[[#This Row],[LWC Raw]]/$U$2)*100</f>
        <v>0</v>
      </c>
      <c r="W1710" s="178">
        <f>FME_Ranking1[[#This Row],[LWC Score (Normalized, Unweighted)]]*$U$3</f>
        <v>0</v>
      </c>
      <c r="X1710" s="246">
        <f>_xlfn.XLOOKUP(FME_Ranking1[[#This Row],[FME ID]],FME_Input[FME_ID],FME_Input[ROADCLS])</f>
        <v>8</v>
      </c>
      <c r="Y1710" s="230">
        <f>(FME_Ranking1[[#This Row],[Closures Raw]]/$X$2)*100</f>
        <v>8.4113132162758911E-2</v>
      </c>
      <c r="Z1710" s="180">
        <f>FME_Ranking1[[#This Row],[Closures Score (Normalized, Unweighted)]]*$X$3</f>
        <v>4.2056566081379457E-3</v>
      </c>
      <c r="AA1710" s="253">
        <f>_xlfn.XLOOKUP(FME_Ranking1[[#This Row],[FME ID]],FME_Input[FME_ID],FME_Input[ROAD_MILES100])</f>
        <v>2.248869657516479</v>
      </c>
      <c r="AB1710" s="178">
        <f>(FME_Ranking1[[#This Row],[Miles Raw]]/$AA$2)*100</f>
        <v>2.9568602459252271E-2</v>
      </c>
      <c r="AC1710" s="178">
        <f>FME_Ranking1[[#This Row],[Miles Score (Normalized, Unweighted)]]*$AA$3</f>
        <v>2.9568602459252272E-3</v>
      </c>
      <c r="AD1710" s="255">
        <f>_xlfn.XLOOKUP(FME_Ranking1[[#This Row],[FME ID]],FME_Input[FME_ID],FME_Input[FARMACRE100])</f>
        <v>2.0015535354614258</v>
      </c>
      <c r="AE1710" s="230">
        <f>(FME_Ranking1[[#This Row],[Ag Land Raw]]/$AD$2)*100</f>
        <v>8.2535107840643081E-5</v>
      </c>
      <c r="AF1710" s="231">
        <f>FME_Ranking1[[#This Row],[Ag Land Score (Normalized, Unweighted)]]*$AD$3</f>
        <v>4.1267553920321542E-6</v>
      </c>
      <c r="AG171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1.2746638379459786E-2</v>
      </c>
      <c r="AH1710" s="406">
        <f t="shared" si="26"/>
        <v>1676</v>
      </c>
      <c r="AI171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1.2746638379459786E-2</v>
      </c>
      <c r="AJ1710" s="257">
        <f>FME_Ranking1[[#This Row],[Addition check]]-FME_Ranking1[[#This Row],[Weighted Score Based on Normalized Reported Factors]]</f>
        <v>0</v>
      </c>
      <c r="AK1710" s="178">
        <f>_xlfn.RANK.EQ(AI1710,$AI$6:$AI$2341,0)+COUNTIF($AI$6:AI1710,AI1710)-1</f>
        <v>1676</v>
      </c>
    </row>
    <row r="1711" spans="1:37" x14ac:dyDescent="0.25">
      <c r="A1711" t="s">
        <v>2704</v>
      </c>
      <c r="B1711">
        <f>_xlfn.XLOOKUP(FME_Ranking1[[#This Row],[FME ID]],FME_Input[FME_ID],FME_Input[RFPG_NUM])</f>
        <v>1</v>
      </c>
      <c r="C1711" t="str">
        <f>_xlfn.XLOOKUP(FME_Ranking1[[#This Row],[FME ID]],FME_Input[FME_ID],FME_Input[FME_NAME])</f>
        <v>Childress City Drainage Master Plan</v>
      </c>
      <c r="D1711" t="str">
        <f>_xlfn.XLOOKUP(FME_Ranking1[[#This Row],[FME ID]],FME_Input[FME_ID],FME_Input[DESCR])</f>
        <v xml:space="preserve">Perform H&amp;H modeling, develop conceptual alternatives and OPCC, and rank projects; selected based on HMAPs </v>
      </c>
      <c r="E1711" s="256">
        <f>_xlfn.XLOOKUP(FME_Ranking1[[#This Row],[FME ID]],FME_Input[FME_ID],FME_Input[FME_COST])</f>
        <v>250000</v>
      </c>
      <c r="F1711" t="str">
        <f>_xlfn.XLOOKUP(FME_Ranking1[[#This Row],[FME ID]],FME_Input[FME_ID],FME_Input[EMER_NEED])</f>
        <v>No</v>
      </c>
      <c r="G1711">
        <f>IF(FME_Ranking!F1711="Yes",100,0)</f>
        <v>0</v>
      </c>
      <c r="H1711">
        <f>FME_Ranking1[[#This Row],[Emergency Need Score (Normalized, Unweighted)]]*$F$3</f>
        <v>0</v>
      </c>
      <c r="I1711" s="246">
        <f>_xlfn.XLOOKUP(FME_Ranking1[[#This Row],[FME ID]],FME_Input[FME_ID],FME_Input[STRUCT_100])</f>
        <v>8</v>
      </c>
      <c r="J1711" s="178">
        <f>(FME_Ranking1[[#This Row],[Structures 100 Raw]]/I$2)*100</f>
        <v>4.2839395107741084E-3</v>
      </c>
      <c r="K1711" s="178">
        <f>FME_Ranking1[[#This Row],[Structures 100  Score (Normalized, Unweighted)]]*$I$3</f>
        <v>6.4259092661611626E-4</v>
      </c>
      <c r="L1711" s="246">
        <f>_xlfn.XLOOKUP(FME_Ranking1[[#This Row],[FME ID]],FME_Input[FME_ID],FME_Input[RES_STRUCT100])</f>
        <v>4</v>
      </c>
      <c r="M1711" s="230">
        <f>(FME_Ranking1[[#This Row],[Res Structures Raw]]/L$2)*100</f>
        <v>2.833222365457353E-3</v>
      </c>
      <c r="N1711" s="180">
        <f>FME_Ranking1[[#This Row],[Res Structures Score (Normalized, Unweighted)]]*$L$3</f>
        <v>2.8332223654573533E-4</v>
      </c>
      <c r="O1711" s="244">
        <f>_xlfn.XLOOKUP(FME_Ranking1[[#This Row],[FME ID]],FME_Input[FME_ID],FME_Input[POP100])</f>
        <v>18</v>
      </c>
      <c r="P1711" s="178">
        <f>(FME_Ranking1[[#This Row],[Pop Raw]]/$O$2)*100</f>
        <v>1.8427556157977389E-3</v>
      </c>
      <c r="Q1711" s="178">
        <f>FME_Ranking1[[#This Row],[Pop Score (Normalized, Unweighted)]]*$O$3</f>
        <v>2.7641334236966082E-4</v>
      </c>
      <c r="R1711" s="137">
        <f>_xlfn.XLOOKUP(FME_Ranking1[[#This Row],[FME ID]],FME_Input[FME_ID],FME_Input[CRITFAC100])</f>
        <v>1</v>
      </c>
      <c r="S1711" s="230">
        <f>(FME_Ranking1[[#This Row],[Critical Facilities Raw]]/$R$2)*100</f>
        <v>4.2881646655231559E-2</v>
      </c>
      <c r="T1711" s="180">
        <f>FME_Ranking1[[#This Row],[Critical Facilities Score (Normalized, Unweighted)]]*$R$3</f>
        <v>8.5763293310463125E-3</v>
      </c>
      <c r="U1711">
        <f>_xlfn.XLOOKUP(FME_Ranking1[[#This Row],[FME ID]],FME_Input[FME_ID],FME_Input[LWC])</f>
        <v>0</v>
      </c>
      <c r="V1711" s="178">
        <f>(FME_Ranking1[[#This Row],[LWC Raw]]/$U$2)*100</f>
        <v>0</v>
      </c>
      <c r="W1711" s="178">
        <f>FME_Ranking1[[#This Row],[LWC Score (Normalized, Unweighted)]]*$U$3</f>
        <v>0</v>
      </c>
      <c r="X1711" s="246">
        <f>_xlfn.XLOOKUP(FME_Ranking1[[#This Row],[FME ID]],FME_Input[FME_ID],FME_Input[ROADCLS])</f>
        <v>0</v>
      </c>
      <c r="Y1711" s="230">
        <f>(FME_Ranking1[[#This Row],[Closures Raw]]/$X$2)*100</f>
        <v>0</v>
      </c>
      <c r="Z1711" s="180">
        <f>FME_Ranking1[[#This Row],[Closures Score (Normalized, Unweighted)]]*$X$3</f>
        <v>0</v>
      </c>
      <c r="AA1711" s="253">
        <f>_xlfn.XLOOKUP(FME_Ranking1[[#This Row],[FME ID]],FME_Input[FME_ID],FME_Input[ROAD_MILES100])</f>
        <v>2.323685884475708</v>
      </c>
      <c r="AB1711" s="178">
        <f>(FME_Ranking1[[#This Row],[Miles Raw]]/$AA$2)*100</f>
        <v>3.0552301654563425E-2</v>
      </c>
      <c r="AC1711" s="178">
        <f>FME_Ranking1[[#This Row],[Miles Score (Normalized, Unweighted)]]*$AA$3</f>
        <v>3.0552301654563426E-3</v>
      </c>
      <c r="AD1711" s="255">
        <f>_xlfn.XLOOKUP(FME_Ranking1[[#This Row],[FME ID]],FME_Input[FME_ID],FME_Input[FARMACRE100])</f>
        <v>2.155611515045166</v>
      </c>
      <c r="AE1711" s="230">
        <f>(FME_Ranking1[[#This Row],[Ag Land Raw]]/$AD$2)*100</f>
        <v>8.8887769277562541E-5</v>
      </c>
      <c r="AF1711" s="231">
        <f>FME_Ranking1[[#This Row],[Ag Land Score (Normalized, Unweighted)]]*$AD$3</f>
        <v>4.444388463878127E-6</v>
      </c>
      <c r="AG171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1.2838330390498046E-2</v>
      </c>
      <c r="AH1711" s="406">
        <f t="shared" si="26"/>
        <v>1672</v>
      </c>
      <c r="AI171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1.2838330390498046E-2</v>
      </c>
      <c r="AJ1711" s="257">
        <f>FME_Ranking1[[#This Row],[Addition check]]-FME_Ranking1[[#This Row],[Weighted Score Based on Normalized Reported Factors]]</f>
        <v>0</v>
      </c>
      <c r="AK1711" s="178">
        <f>_xlfn.RANK.EQ(AI1711,$AI$6:$AI$2341,0)+COUNTIF($AI$6:AI1711,AI1711)-1</f>
        <v>1672</v>
      </c>
    </row>
    <row r="1712" spans="1:37" x14ac:dyDescent="0.25">
      <c r="A1712" t="s">
        <v>11417</v>
      </c>
      <c r="B1712">
        <f>_xlfn.XLOOKUP(FME_Ranking1[[#This Row],[FME ID]],FME_Input[FME_ID],FME_Input[RFPG_NUM])</f>
        <v>15</v>
      </c>
      <c r="C1712" t="str">
        <f>_xlfn.XLOOKUP(FME_Ranking1[[#This Row],[FME ID]],FME_Input[FME_ID],FME_Input[FME_NAME])</f>
        <v>Fort Clark MUD</v>
      </c>
      <c r="D1712" t="str">
        <f>_xlfn.XLOOKUP(FME_Ranking1[[#This Row],[FME ID]],FME_Input[FME_ID],FME_Input[DESCR])</f>
        <v>Develop Flood risk maps for Fort Clark MUD and develop CIP</v>
      </c>
      <c r="E1712" s="256">
        <f>_xlfn.XLOOKUP(FME_Ranking1[[#This Row],[FME ID]],FME_Input[FME_ID],FME_Input[FME_COST])</f>
        <v>250000</v>
      </c>
      <c r="F1712" t="str">
        <f>_xlfn.XLOOKUP(FME_Ranking1[[#This Row],[FME ID]],FME_Input[FME_ID],FME_Input[EMER_NEED])</f>
        <v>Yes</v>
      </c>
      <c r="G1712">
        <f>IF(FME_Ranking!F1712="Yes",100,0)</f>
        <v>100</v>
      </c>
      <c r="H1712">
        <f>FME_Ranking1[[#This Row],[Emergency Need Score (Normalized, Unweighted)]]*$F$3</f>
        <v>0</v>
      </c>
      <c r="I1712" s="246">
        <f>_xlfn.XLOOKUP(FME_Ranking1[[#This Row],[FME ID]],FME_Input[FME_ID],FME_Input[STRUCT_100])</f>
        <v>0</v>
      </c>
      <c r="J1712" s="178">
        <f>(FME_Ranking1[[#This Row],[Structures 100 Raw]]/I$2)*100</f>
        <v>0</v>
      </c>
      <c r="K1712" s="178">
        <f>FME_Ranking1[[#This Row],[Structures 100  Score (Normalized, Unweighted)]]*$I$3</f>
        <v>0</v>
      </c>
      <c r="L1712" s="246">
        <f>_xlfn.XLOOKUP(FME_Ranking1[[#This Row],[FME ID]],FME_Input[FME_ID],FME_Input[RES_STRUCT100])</f>
        <v>88</v>
      </c>
      <c r="M1712" s="230">
        <f>(FME_Ranking1[[#This Row],[Res Structures Raw]]/L$2)*100</f>
        <v>6.2330892040061765E-2</v>
      </c>
      <c r="N1712" s="180">
        <f>FME_Ranking1[[#This Row],[Res Structures Score (Normalized, Unweighted)]]*$L$3</f>
        <v>6.2330892040061772E-3</v>
      </c>
      <c r="O1712" s="244">
        <f>_xlfn.XLOOKUP(FME_Ranking1[[#This Row],[FME ID]],FME_Input[FME_ID],FME_Input[POP100])</f>
        <v>227</v>
      </c>
      <c r="P1712" s="178">
        <f>(FME_Ranking1[[#This Row],[Pop Raw]]/$O$2)*100</f>
        <v>2.3239195821449263E-2</v>
      </c>
      <c r="Q1712" s="178">
        <f>FME_Ranking1[[#This Row],[Pop Score (Normalized, Unweighted)]]*$O$3</f>
        <v>3.4858793732173896E-3</v>
      </c>
      <c r="R1712" s="137">
        <f>_xlfn.XLOOKUP(FME_Ranking1[[#This Row],[FME ID]],FME_Input[FME_ID],FME_Input[CRITFAC100])</f>
        <v>0</v>
      </c>
      <c r="S1712" s="230">
        <f>(FME_Ranking1[[#This Row],[Critical Facilities Raw]]/$R$2)*100</f>
        <v>0</v>
      </c>
      <c r="T1712" s="180">
        <f>FME_Ranking1[[#This Row],[Critical Facilities Score (Normalized, Unweighted)]]*$R$3</f>
        <v>0</v>
      </c>
      <c r="U1712">
        <f>_xlfn.XLOOKUP(FME_Ranking1[[#This Row],[FME ID]],FME_Input[FME_ID],FME_Input[LWC])</f>
        <v>0</v>
      </c>
      <c r="V1712" s="178">
        <f>(FME_Ranking1[[#This Row],[LWC Raw]]/$U$2)*100</f>
        <v>0</v>
      </c>
      <c r="W1712" s="178">
        <f>FME_Ranking1[[#This Row],[LWC Score (Normalized, Unweighted)]]*$U$3</f>
        <v>0</v>
      </c>
      <c r="X1712" s="246">
        <f>_xlfn.XLOOKUP(FME_Ranking1[[#This Row],[FME ID]],FME_Input[FME_ID],FME_Input[ROADCLS])</f>
        <v>0</v>
      </c>
      <c r="Y1712" s="230">
        <f>(FME_Ranking1[[#This Row],[Closures Raw]]/$X$2)*100</f>
        <v>0</v>
      </c>
      <c r="Z1712" s="180">
        <f>FME_Ranking1[[#This Row],[Closures Score (Normalized, Unweighted)]]*$X$3</f>
        <v>0</v>
      </c>
      <c r="AA1712" s="253">
        <f>_xlfn.XLOOKUP(FME_Ranking1[[#This Row],[FME ID]],FME_Input[FME_ID],FME_Input[ROAD_MILES100])</f>
        <v>0</v>
      </c>
      <c r="AB1712" s="178">
        <f>(FME_Ranking1[[#This Row],[Miles Raw]]/$AA$2)*100</f>
        <v>0</v>
      </c>
      <c r="AC1712" s="178">
        <f>FME_Ranking1[[#This Row],[Miles Score (Normalized, Unweighted)]]*$AA$3</f>
        <v>0</v>
      </c>
      <c r="AD1712" s="255">
        <f>_xlfn.XLOOKUP(FME_Ranking1[[#This Row],[FME ID]],FME_Input[FME_ID],FME_Input[FARMACRE100])</f>
        <v>0</v>
      </c>
      <c r="AE1712" s="230">
        <f>(FME_Ranking1[[#This Row],[Ag Land Raw]]/$AD$2)*100</f>
        <v>0</v>
      </c>
      <c r="AF1712" s="231">
        <f>FME_Ranking1[[#This Row],[Ag Land Score (Normalized, Unweighted)]]*$AD$3</f>
        <v>0</v>
      </c>
      <c r="AG171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9.7189685772235673E-3</v>
      </c>
      <c r="AH1712" s="406">
        <f t="shared" si="26"/>
        <v>1757</v>
      </c>
      <c r="AI171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9.7189685772235673E-3</v>
      </c>
      <c r="AJ1712" s="257">
        <f>FME_Ranking1[[#This Row],[Addition check]]-FME_Ranking1[[#This Row],[Weighted Score Based on Normalized Reported Factors]]</f>
        <v>0</v>
      </c>
      <c r="AK1712" s="178">
        <f>_xlfn.RANK.EQ(AI1712,$AI$6:$AI$2341,0)+COUNTIF($AI$6:AI1712,AI1712)-1</f>
        <v>1757</v>
      </c>
    </row>
    <row r="1713" spans="1:37" x14ac:dyDescent="0.25">
      <c r="A1713" t="s">
        <v>9204</v>
      </c>
      <c r="B1713">
        <f>_xlfn.XLOOKUP(FME_Ranking1[[#This Row],[FME ID]],FME_Input[FME_ID],FME_Input[RFPG_NUM])</f>
        <v>12</v>
      </c>
      <c r="C1713" t="str">
        <f>_xlfn.XLOOKUP(FME_Ranking1[[#This Row],[FME ID]],FME_Input[FME_ID],FME_Input[FME_NAME])</f>
        <v>D/O Center M(HWY 1604 East of Somerset Community)</v>
      </c>
      <c r="D1713" t="str">
        <f>_xlfn.XLOOKUP(FME_Ranking1[[#This Row],[FME ID]],FME_Input[FME_ID],FME_Input[DESCR])</f>
        <v>Oak Island Drainage Improvements. Culvert upgrades at two locations on Oak Island Dr and 1604 with channel work.</v>
      </c>
      <c r="E1713" s="256">
        <f>_xlfn.XLOOKUP(FME_Ranking1[[#This Row],[FME ID]],FME_Input[FME_ID],FME_Input[FME_COST])</f>
        <v>4556575</v>
      </c>
      <c r="F1713" t="str">
        <f>_xlfn.XLOOKUP(FME_Ranking1[[#This Row],[FME ID]],FME_Input[FME_ID],FME_Input[EMER_NEED])</f>
        <v>No</v>
      </c>
      <c r="G1713">
        <f>IF(FME_Ranking!F1713="Yes",100,0)</f>
        <v>0</v>
      </c>
      <c r="H1713">
        <f>FME_Ranking1[[#This Row],[Emergency Need Score (Normalized, Unweighted)]]*$F$3</f>
        <v>0</v>
      </c>
      <c r="I1713" s="246">
        <f>_xlfn.XLOOKUP(FME_Ranking1[[#This Row],[FME ID]],FME_Input[FME_ID],FME_Input[STRUCT_100])</f>
        <v>57</v>
      </c>
      <c r="J1713" s="178">
        <f>(FME_Ranking1[[#This Row],[Structures 100 Raw]]/I$2)*100</f>
        <v>3.0523069014265519E-2</v>
      </c>
      <c r="K1713" s="178">
        <f>FME_Ranking1[[#This Row],[Structures 100  Score (Normalized, Unweighted)]]*$I$3</f>
        <v>4.5784603521398281E-3</v>
      </c>
      <c r="L1713" s="246">
        <f>_xlfn.XLOOKUP(FME_Ranking1[[#This Row],[FME ID]],FME_Input[FME_ID],FME_Input[RES_STRUCT100])</f>
        <v>41</v>
      </c>
      <c r="M1713" s="230">
        <f>(FME_Ranking1[[#This Row],[Res Structures Raw]]/L$2)*100</f>
        <v>2.904052924593787E-2</v>
      </c>
      <c r="N1713" s="180">
        <f>FME_Ranking1[[#This Row],[Res Structures Score (Normalized, Unweighted)]]*$L$3</f>
        <v>2.9040529245937872E-3</v>
      </c>
      <c r="O1713" s="244">
        <f>_xlfn.XLOOKUP(FME_Ranking1[[#This Row],[FME ID]],FME_Input[FME_ID],FME_Input[POP100])</f>
        <v>65</v>
      </c>
      <c r="P1713" s="178">
        <f>(FME_Ranking1[[#This Row],[Pop Raw]]/$O$2)*100</f>
        <v>6.6543952792696131E-3</v>
      </c>
      <c r="Q1713" s="178">
        <f>FME_Ranking1[[#This Row],[Pop Score (Normalized, Unweighted)]]*$O$3</f>
        <v>9.9815929189044192E-4</v>
      </c>
      <c r="R1713" s="137">
        <f>_xlfn.XLOOKUP(FME_Ranking1[[#This Row],[FME ID]],FME_Input[FME_ID],FME_Input[CRITFAC100])</f>
        <v>0</v>
      </c>
      <c r="S1713" s="230">
        <f>(FME_Ranking1[[#This Row],[Critical Facilities Raw]]/$R$2)*100</f>
        <v>0</v>
      </c>
      <c r="T1713" s="180">
        <f>FME_Ranking1[[#This Row],[Critical Facilities Score (Normalized, Unweighted)]]*$R$3</f>
        <v>0</v>
      </c>
      <c r="U1713">
        <f>_xlfn.XLOOKUP(FME_Ranking1[[#This Row],[FME ID]],FME_Input[FME_ID],FME_Input[LWC])</f>
        <v>0</v>
      </c>
      <c r="V1713" s="178">
        <f>(FME_Ranking1[[#This Row],[LWC Raw]]/$U$2)*100</f>
        <v>0</v>
      </c>
      <c r="W1713" s="178">
        <f>FME_Ranking1[[#This Row],[LWC Score (Normalized, Unweighted)]]*$U$3</f>
        <v>0</v>
      </c>
      <c r="X1713" s="246">
        <f>_xlfn.XLOOKUP(FME_Ranking1[[#This Row],[FME ID]],FME_Input[FME_ID],FME_Input[ROADCLS])</f>
        <v>2</v>
      </c>
      <c r="Y1713" s="230">
        <f>(FME_Ranking1[[#This Row],[Closures Raw]]/$X$2)*100</f>
        <v>2.1028283040689728E-2</v>
      </c>
      <c r="Z1713" s="180">
        <f>FME_Ranking1[[#This Row],[Closures Score (Normalized, Unweighted)]]*$X$3</f>
        <v>1.0514141520344864E-3</v>
      </c>
      <c r="AA1713" s="253">
        <f>_xlfn.XLOOKUP(FME_Ranking1[[#This Row],[FME ID]],FME_Input[FME_ID],FME_Input[ROAD_MILES100])</f>
        <v>0.93999999761581421</v>
      </c>
      <c r="AB1713" s="178">
        <f>(FME_Ranking1[[#This Row],[Miles Raw]]/$AA$2)*100</f>
        <v>1.2359313999502625E-2</v>
      </c>
      <c r="AC1713" s="178">
        <f>FME_Ranking1[[#This Row],[Miles Score (Normalized, Unweighted)]]*$AA$3</f>
        <v>1.2359313999502626E-3</v>
      </c>
      <c r="AD1713" s="255">
        <f>_xlfn.XLOOKUP(FME_Ranking1[[#This Row],[FME ID]],FME_Input[FME_ID],FME_Input[FARMACRE100])</f>
        <v>10.497500419616699</v>
      </c>
      <c r="AE1713" s="230">
        <f>(FME_Ranking1[[#This Row],[Ag Land Raw]]/$AD$2)*100</f>
        <v>4.3286992520563428E-4</v>
      </c>
      <c r="AF1713" s="231">
        <f>FME_Ranking1[[#This Row],[Ag Land Score (Normalized, Unweighted)]]*$AD$3</f>
        <v>2.1643496260281715E-5</v>
      </c>
      <c r="AG171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1.0789661616869088E-2</v>
      </c>
      <c r="AH1713" s="406">
        <f t="shared" si="26"/>
        <v>1747</v>
      </c>
      <c r="AI171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1.0789661616869088E-2</v>
      </c>
      <c r="AJ1713" s="257">
        <f>FME_Ranking1[[#This Row],[Addition check]]-FME_Ranking1[[#This Row],[Weighted Score Based on Normalized Reported Factors]]</f>
        <v>0</v>
      </c>
      <c r="AK1713" s="178">
        <f>_xlfn.RANK.EQ(AI1713,$AI$6:$AI$2341,0)+COUNTIF($AI$6:AI1713,AI1713)-1</f>
        <v>1747</v>
      </c>
    </row>
    <row r="1714" spans="1:37" x14ac:dyDescent="0.25">
      <c r="A1714" t="s">
        <v>2057</v>
      </c>
      <c r="B1714">
        <f>_xlfn.XLOOKUP(FME_Ranking1[[#This Row],[FME ID]],FME_Input[FME_ID],FME_Input[RFPG_NUM])</f>
        <v>6</v>
      </c>
      <c r="C1714" t="str">
        <f>_xlfn.XLOOKUP(FME_Ranking1[[#This Row],[FME ID]],FME_Input[FME_ID],FME_Input[FME_NAME])</f>
        <v>West Fork Chocolate (Cold River Ranch Ditch)</v>
      </c>
      <c r="D1714" t="str">
        <f>_xlfn.XLOOKUP(FME_Ranking1[[#This Row],[FME ID]],FME_Input[FME_ID],FME_Input[DESCR])</f>
        <v xml:space="preserve">Further study of proposed channel modifications to Cold River Ranch Ditch included in the City of Pearland master drainage plan to include Atlas 14 rainfall. </v>
      </c>
      <c r="E1714" s="256">
        <f>_xlfn.XLOOKUP(FME_Ranking1[[#This Row],[FME ID]],FME_Input[FME_ID],FME_Input[FME_COST])</f>
        <v>200000</v>
      </c>
      <c r="F1714" t="str">
        <f>_xlfn.XLOOKUP(FME_Ranking1[[#This Row],[FME ID]],FME_Input[FME_ID],FME_Input[EMER_NEED])</f>
        <v>No</v>
      </c>
      <c r="G1714">
        <f>IF(FME_Ranking!F1714="Yes",100,0)</f>
        <v>0</v>
      </c>
      <c r="H1714">
        <f>FME_Ranking1[[#This Row],[Emergency Need Score (Normalized, Unweighted)]]*$F$3</f>
        <v>0</v>
      </c>
      <c r="I1714" s="246">
        <f>_xlfn.XLOOKUP(FME_Ranking1[[#This Row],[FME ID]],FME_Input[FME_ID],FME_Input[STRUCT_100])</f>
        <v>60</v>
      </c>
      <c r="J1714" s="178">
        <f>(FME_Ranking1[[#This Row],[Structures 100 Raw]]/I$2)*100</f>
        <v>3.2129546330805808E-2</v>
      </c>
      <c r="K1714" s="178">
        <f>FME_Ranking1[[#This Row],[Structures 100  Score (Normalized, Unweighted)]]*$I$3</f>
        <v>4.8194319496208714E-3</v>
      </c>
      <c r="L1714" s="246">
        <f>_xlfn.XLOOKUP(FME_Ranking1[[#This Row],[FME ID]],FME_Input[FME_ID],FME_Input[RES_STRUCT100])</f>
        <v>54</v>
      </c>
      <c r="M1714" s="230">
        <f>(FME_Ranking1[[#This Row],[Res Structures Raw]]/L$2)*100</f>
        <v>3.8248501933674267E-2</v>
      </c>
      <c r="N1714" s="180">
        <f>FME_Ranking1[[#This Row],[Res Structures Score (Normalized, Unweighted)]]*$L$3</f>
        <v>3.824850193367427E-3</v>
      </c>
      <c r="O1714" s="244">
        <f>_xlfn.XLOOKUP(FME_Ranking1[[#This Row],[FME ID]],FME_Input[FME_ID],FME_Input[POP100])</f>
        <v>56</v>
      </c>
      <c r="P1714" s="178">
        <f>(FME_Ranking1[[#This Row],[Pop Raw]]/$O$2)*100</f>
        <v>5.7330174713707436E-3</v>
      </c>
      <c r="Q1714" s="178">
        <f>FME_Ranking1[[#This Row],[Pop Score (Normalized, Unweighted)]]*$O$3</f>
        <v>8.5995262070561157E-4</v>
      </c>
      <c r="R1714" s="137">
        <f>_xlfn.XLOOKUP(FME_Ranking1[[#This Row],[FME ID]],FME_Input[FME_ID],FME_Input[CRITFAC100])</f>
        <v>0</v>
      </c>
      <c r="S1714" s="230">
        <f>(FME_Ranking1[[#This Row],[Critical Facilities Raw]]/$R$2)*100</f>
        <v>0</v>
      </c>
      <c r="T1714" s="180">
        <f>FME_Ranking1[[#This Row],[Critical Facilities Score (Normalized, Unweighted)]]*$R$3</f>
        <v>0</v>
      </c>
      <c r="U1714">
        <f>_xlfn.XLOOKUP(FME_Ranking1[[#This Row],[FME ID]],FME_Input[FME_ID],FME_Input[LWC])</f>
        <v>0</v>
      </c>
      <c r="V1714" s="178">
        <f>(FME_Ranking1[[#This Row],[LWC Raw]]/$U$2)*100</f>
        <v>0</v>
      </c>
      <c r="W1714" s="178">
        <f>FME_Ranking1[[#This Row],[LWC Score (Normalized, Unweighted)]]*$U$3</f>
        <v>0</v>
      </c>
      <c r="X1714" s="246">
        <f>_xlfn.XLOOKUP(FME_Ranking1[[#This Row],[FME ID]],FME_Input[FME_ID],FME_Input[ROADCLS])</f>
        <v>0</v>
      </c>
      <c r="Y1714" s="230">
        <f>(FME_Ranking1[[#This Row],[Closures Raw]]/$X$2)*100</f>
        <v>0</v>
      </c>
      <c r="Z1714" s="180">
        <f>FME_Ranking1[[#This Row],[Closures Score (Normalized, Unweighted)]]*$X$3</f>
        <v>0</v>
      </c>
      <c r="AA1714" s="253">
        <f>_xlfn.XLOOKUP(FME_Ranking1[[#This Row],[FME ID]],FME_Input[FME_ID],FME_Input[ROAD_MILES100])</f>
        <v>1.1900678873062129</v>
      </c>
      <c r="AB1714" s="178">
        <f>(FME_Ranking1[[#This Row],[Miles Raw]]/$AA$2)*100</f>
        <v>1.5647258231115062E-2</v>
      </c>
      <c r="AC1714" s="178">
        <f>FME_Ranking1[[#This Row],[Miles Score (Normalized, Unweighted)]]*$AA$3</f>
        <v>1.5647258231115064E-3</v>
      </c>
      <c r="AD1714" s="255">
        <f>_xlfn.XLOOKUP(FME_Ranking1[[#This Row],[FME ID]],FME_Input[FME_ID],FME_Input[FARMACRE100])</f>
        <v>0.44331040978431702</v>
      </c>
      <c r="AE1714" s="230">
        <f>(FME_Ranking1[[#This Row],[Ag Land Raw]]/$AD$2)*100</f>
        <v>1.8280136818820265E-5</v>
      </c>
      <c r="AF1714" s="231">
        <f>FME_Ranking1[[#This Row],[Ag Land Score (Normalized, Unweighted)]]*$AD$3</f>
        <v>9.1400684094101325E-7</v>
      </c>
      <c r="AG171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1.1069874593646356E-2</v>
      </c>
      <c r="AH1714" s="406">
        <f t="shared" si="26"/>
        <v>1745</v>
      </c>
      <c r="AI171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1.1069874593646356E-2</v>
      </c>
      <c r="AJ1714" s="257">
        <f>FME_Ranking1[[#This Row],[Addition check]]-FME_Ranking1[[#This Row],[Weighted Score Based on Normalized Reported Factors]]</f>
        <v>0</v>
      </c>
      <c r="AK1714" s="178">
        <f>_xlfn.RANK.EQ(AI1714,$AI$6:$AI$2341,0)+COUNTIF($AI$6:AI1714,AI1714)-1</f>
        <v>1745</v>
      </c>
    </row>
    <row r="1715" spans="1:37" x14ac:dyDescent="0.25">
      <c r="A1715" t="s">
        <v>6849</v>
      </c>
      <c r="B1715">
        <f>_xlfn.XLOOKUP(FME_Ranking1[[#This Row],[FME ID]],FME_Input[FME_ID],FME_Input[RFPG_NUM])</f>
        <v>7</v>
      </c>
      <c r="C1715" t="str">
        <f>_xlfn.XLOOKUP(FME_Ranking1[[#This Row],[FME ID]],FME_Input[FME_ID],FME_Input[FME_NAME])</f>
        <v>Swisher County Update FEMA Mapping</v>
      </c>
      <c r="D1715" t="str">
        <f>_xlfn.XLOOKUP(FME_Ranking1[[#This Row],[FME ID]],FME_Input[FME_ID],FME_Input[DESCR])</f>
        <v>Update existing FEMA mapping</v>
      </c>
      <c r="E1715" s="256">
        <f>_xlfn.XLOOKUP(FME_Ranking1[[#This Row],[FME ID]],FME_Input[FME_ID],FME_Input[FME_COST])</f>
        <v>920000</v>
      </c>
      <c r="F1715" t="str">
        <f>_xlfn.XLOOKUP(FME_Ranking1[[#This Row],[FME ID]],FME_Input[FME_ID],FME_Input[EMER_NEED])</f>
        <v>No</v>
      </c>
      <c r="G1715">
        <f>IF(FME_Ranking!F1715="Yes",100,0)</f>
        <v>0</v>
      </c>
      <c r="H1715">
        <f>FME_Ranking1[[#This Row],[Emergency Need Score (Normalized, Unweighted)]]*$F$3</f>
        <v>0</v>
      </c>
      <c r="I1715" s="246">
        <f>_xlfn.XLOOKUP(FME_Ranking1[[#This Row],[FME ID]],FME_Input[FME_ID],FME_Input[STRUCT_100])</f>
        <v>5</v>
      </c>
      <c r="J1715" s="178">
        <f>(FME_Ranking1[[#This Row],[Structures 100 Raw]]/I$2)*100</f>
        <v>2.6774621942338172E-3</v>
      </c>
      <c r="K1715" s="178">
        <f>FME_Ranking1[[#This Row],[Structures 100  Score (Normalized, Unweighted)]]*$I$3</f>
        <v>4.0161932913507258E-4</v>
      </c>
      <c r="L1715" s="246">
        <f>_xlfn.XLOOKUP(FME_Ranking1[[#This Row],[FME ID]],FME_Input[FME_ID],FME_Input[RES_STRUCT100])</f>
        <v>3</v>
      </c>
      <c r="M1715" s="230">
        <f>(FME_Ranking1[[#This Row],[Res Structures Raw]]/L$2)*100</f>
        <v>2.1249167740930146E-3</v>
      </c>
      <c r="N1715" s="180">
        <f>FME_Ranking1[[#This Row],[Res Structures Score (Normalized, Unweighted)]]*$L$3</f>
        <v>2.1249167740930149E-4</v>
      </c>
      <c r="O1715" s="244">
        <f>_xlfn.XLOOKUP(FME_Ranking1[[#This Row],[FME ID]],FME_Input[FME_ID],FME_Input[POP100])</f>
        <v>10</v>
      </c>
      <c r="P1715" s="178">
        <f>(FME_Ranking1[[#This Row],[Pop Raw]]/$O$2)*100</f>
        <v>1.0237531198876329E-3</v>
      </c>
      <c r="Q1715" s="178">
        <f>FME_Ranking1[[#This Row],[Pop Score (Normalized, Unweighted)]]*$O$3</f>
        <v>1.5356296798314494E-4</v>
      </c>
      <c r="R1715" s="137">
        <f>_xlfn.XLOOKUP(FME_Ranking1[[#This Row],[FME ID]],FME_Input[FME_ID],FME_Input[CRITFAC100])</f>
        <v>0</v>
      </c>
      <c r="S1715" s="230">
        <f>(FME_Ranking1[[#This Row],[Critical Facilities Raw]]/$R$2)*100</f>
        <v>0</v>
      </c>
      <c r="T1715" s="180">
        <f>FME_Ranking1[[#This Row],[Critical Facilities Score (Normalized, Unweighted)]]*$R$3</f>
        <v>0</v>
      </c>
      <c r="U1715">
        <f>_xlfn.XLOOKUP(FME_Ranking1[[#This Row],[FME ID]],FME_Input[FME_ID],FME_Input[LWC])</f>
        <v>0</v>
      </c>
      <c r="V1715" s="178">
        <f>(FME_Ranking1[[#This Row],[LWC Raw]]/$U$2)*100</f>
        <v>0</v>
      </c>
      <c r="W1715" s="178">
        <f>FME_Ranking1[[#This Row],[LWC Score (Normalized, Unweighted)]]*$U$3</f>
        <v>0</v>
      </c>
      <c r="X1715" s="246">
        <f>_xlfn.XLOOKUP(FME_Ranking1[[#This Row],[FME ID]],FME_Input[FME_ID],FME_Input[ROADCLS])</f>
        <v>0</v>
      </c>
      <c r="Y1715" s="230">
        <f>(FME_Ranking1[[#This Row],[Closures Raw]]/$X$2)*100</f>
        <v>0</v>
      </c>
      <c r="Z1715" s="180">
        <f>FME_Ranking1[[#This Row],[Closures Score (Normalized, Unweighted)]]*$X$3</f>
        <v>0</v>
      </c>
      <c r="AA1715" s="253">
        <f>_xlfn.XLOOKUP(FME_Ranking1[[#This Row],[FME ID]],FME_Input[FME_ID],FME_Input[ROAD_MILES100])</f>
        <v>46.634864807128913</v>
      </c>
      <c r="AB1715" s="178">
        <f>(FME_Ranking1[[#This Row],[Miles Raw]]/$AA$2)*100</f>
        <v>0.61316482865697819</v>
      </c>
      <c r="AC1715" s="178">
        <f>FME_Ranking1[[#This Row],[Miles Score (Normalized, Unweighted)]]*$AA$3</f>
        <v>6.1316482865697824E-2</v>
      </c>
      <c r="AD1715" s="255">
        <f>_xlfn.XLOOKUP(FME_Ranking1[[#This Row],[FME ID]],FME_Input[FME_ID],FME_Input[FARMACRE100])</f>
        <v>4233.44482421875</v>
      </c>
      <c r="AE1715" s="230">
        <f>(FME_Ranking1[[#This Row],[Ag Land Raw]]/$AD$2)*100</f>
        <v>0.17456831351940655</v>
      </c>
      <c r="AF1715" s="231">
        <f>FME_Ranking1[[#This Row],[Ag Land Score (Normalized, Unweighted)]]*$AD$3</f>
        <v>8.7284156759703281E-3</v>
      </c>
      <c r="AG171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7.0812572516195674E-2</v>
      </c>
      <c r="AH1715" s="406">
        <f t="shared" si="26"/>
        <v>1184</v>
      </c>
      <c r="AI171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7.0812572516195674E-2</v>
      </c>
      <c r="AJ1715" s="257">
        <f>FME_Ranking1[[#This Row],[Addition check]]-FME_Ranking1[[#This Row],[Weighted Score Based on Normalized Reported Factors]]</f>
        <v>0</v>
      </c>
      <c r="AK1715" s="178">
        <f>_xlfn.RANK.EQ(AI1715,$AI$6:$AI$2341,0)+COUNTIF($AI$6:AI1715,AI1715)-1</f>
        <v>1184</v>
      </c>
    </row>
    <row r="1716" spans="1:37" x14ac:dyDescent="0.25">
      <c r="A1716" t="s">
        <v>6855</v>
      </c>
      <c r="B1716">
        <f>_xlfn.XLOOKUP(FME_Ranking1[[#This Row],[FME ID]],FME_Input[FME_ID],FME_Input[RFPG_NUM])</f>
        <v>7</v>
      </c>
      <c r="C1716" t="str">
        <f>_xlfn.XLOOKUP(FME_Ranking1[[#This Row],[FME ID]],FME_Input[FME_ID],FME_Input[FME_NAME])</f>
        <v>Swisher County DMP</v>
      </c>
      <c r="D1716" t="str">
        <f>_xlfn.XLOOKUP(FME_Ranking1[[#This Row],[FME ID]],FME_Input[FME_ID],FME_Input[DESCR])</f>
        <v>Evaluate the TxDOT low water crossings county-wide</v>
      </c>
      <c r="E1716" s="256">
        <f>_xlfn.XLOOKUP(FME_Ranking1[[#This Row],[FME ID]],FME_Input[FME_ID],FME_Input[FME_COST])</f>
        <v>500000</v>
      </c>
      <c r="F1716" t="str">
        <f>_xlfn.XLOOKUP(FME_Ranking1[[#This Row],[FME ID]],FME_Input[FME_ID],FME_Input[EMER_NEED])</f>
        <v>No</v>
      </c>
      <c r="G1716">
        <f>IF(FME_Ranking!F1716="Yes",100,0)</f>
        <v>0</v>
      </c>
      <c r="H1716">
        <f>FME_Ranking1[[#This Row],[Emergency Need Score (Normalized, Unweighted)]]*$F$3</f>
        <v>0</v>
      </c>
      <c r="I1716" s="246">
        <f>_xlfn.XLOOKUP(FME_Ranking1[[#This Row],[FME ID]],FME_Input[FME_ID],FME_Input[STRUCT_100])</f>
        <v>5</v>
      </c>
      <c r="J1716" s="178">
        <f>(FME_Ranking1[[#This Row],[Structures 100 Raw]]/I$2)*100</f>
        <v>2.6774621942338172E-3</v>
      </c>
      <c r="K1716" s="178">
        <f>FME_Ranking1[[#This Row],[Structures 100  Score (Normalized, Unweighted)]]*$I$3</f>
        <v>4.0161932913507258E-4</v>
      </c>
      <c r="L1716" s="246">
        <f>_xlfn.XLOOKUP(FME_Ranking1[[#This Row],[FME ID]],FME_Input[FME_ID],FME_Input[RES_STRUCT100])</f>
        <v>3</v>
      </c>
      <c r="M1716" s="230">
        <f>(FME_Ranking1[[#This Row],[Res Structures Raw]]/L$2)*100</f>
        <v>2.1249167740930146E-3</v>
      </c>
      <c r="N1716" s="180">
        <f>FME_Ranking1[[#This Row],[Res Structures Score (Normalized, Unweighted)]]*$L$3</f>
        <v>2.1249167740930149E-4</v>
      </c>
      <c r="O1716" s="244">
        <f>_xlfn.XLOOKUP(FME_Ranking1[[#This Row],[FME ID]],FME_Input[FME_ID],FME_Input[POP100])</f>
        <v>10</v>
      </c>
      <c r="P1716" s="178">
        <f>(FME_Ranking1[[#This Row],[Pop Raw]]/$O$2)*100</f>
        <v>1.0237531198876329E-3</v>
      </c>
      <c r="Q1716" s="178">
        <f>FME_Ranking1[[#This Row],[Pop Score (Normalized, Unweighted)]]*$O$3</f>
        <v>1.5356296798314494E-4</v>
      </c>
      <c r="R1716" s="137">
        <f>_xlfn.XLOOKUP(FME_Ranking1[[#This Row],[FME ID]],FME_Input[FME_ID],FME_Input[CRITFAC100])</f>
        <v>0</v>
      </c>
      <c r="S1716" s="230">
        <f>(FME_Ranking1[[#This Row],[Critical Facilities Raw]]/$R$2)*100</f>
        <v>0</v>
      </c>
      <c r="T1716" s="180">
        <f>FME_Ranking1[[#This Row],[Critical Facilities Score (Normalized, Unweighted)]]*$R$3</f>
        <v>0</v>
      </c>
      <c r="U1716">
        <f>_xlfn.XLOOKUP(FME_Ranking1[[#This Row],[FME ID]],FME_Input[FME_ID],FME_Input[LWC])</f>
        <v>0</v>
      </c>
      <c r="V1716" s="178">
        <f>(FME_Ranking1[[#This Row],[LWC Raw]]/$U$2)*100</f>
        <v>0</v>
      </c>
      <c r="W1716" s="178">
        <f>FME_Ranking1[[#This Row],[LWC Score (Normalized, Unweighted)]]*$U$3</f>
        <v>0</v>
      </c>
      <c r="X1716" s="246">
        <f>_xlfn.XLOOKUP(FME_Ranking1[[#This Row],[FME ID]],FME_Input[FME_ID],FME_Input[ROADCLS])</f>
        <v>0</v>
      </c>
      <c r="Y1716" s="230">
        <f>(FME_Ranking1[[#This Row],[Closures Raw]]/$X$2)*100</f>
        <v>0</v>
      </c>
      <c r="Z1716" s="180">
        <f>FME_Ranking1[[#This Row],[Closures Score (Normalized, Unweighted)]]*$X$3</f>
        <v>0</v>
      </c>
      <c r="AA1716" s="253">
        <f>_xlfn.XLOOKUP(FME_Ranking1[[#This Row],[FME ID]],FME_Input[FME_ID],FME_Input[ROAD_MILES100])</f>
        <v>46.634864807128913</v>
      </c>
      <c r="AB1716" s="178">
        <f>(FME_Ranking1[[#This Row],[Miles Raw]]/$AA$2)*100</f>
        <v>0.61316482865697819</v>
      </c>
      <c r="AC1716" s="178">
        <f>FME_Ranking1[[#This Row],[Miles Score (Normalized, Unweighted)]]*$AA$3</f>
        <v>6.1316482865697824E-2</v>
      </c>
      <c r="AD1716" s="255">
        <f>_xlfn.XLOOKUP(FME_Ranking1[[#This Row],[FME ID]],FME_Input[FME_ID],FME_Input[FARMACRE100])</f>
        <v>4233.44482421875</v>
      </c>
      <c r="AE1716" s="230">
        <f>(FME_Ranking1[[#This Row],[Ag Land Raw]]/$AD$2)*100</f>
        <v>0.17456831351940655</v>
      </c>
      <c r="AF1716" s="231">
        <f>FME_Ranking1[[#This Row],[Ag Land Score (Normalized, Unweighted)]]*$AD$3</f>
        <v>8.7284156759703281E-3</v>
      </c>
      <c r="AG171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7.0812572516195674E-2</v>
      </c>
      <c r="AH1716" s="406">
        <f t="shared" si="26"/>
        <v>1184</v>
      </c>
      <c r="AI171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7.0812572516195674E-2</v>
      </c>
      <c r="AJ1716" s="257">
        <f>FME_Ranking1[[#This Row],[Addition check]]-FME_Ranking1[[#This Row],[Weighted Score Based on Normalized Reported Factors]]</f>
        <v>0</v>
      </c>
      <c r="AK1716" s="178">
        <f>_xlfn.RANK.EQ(AI1716,$AI$6:$AI$2341,0)+COUNTIF($AI$6:AI1716,AI1716)-1</f>
        <v>1185</v>
      </c>
    </row>
    <row r="1717" spans="1:37" x14ac:dyDescent="0.25">
      <c r="A1717" t="s">
        <v>6858</v>
      </c>
      <c r="B1717">
        <f>_xlfn.XLOOKUP(FME_Ranking1[[#This Row],[FME ID]],FME_Input[FME_ID],FME_Input[RFPG_NUM])</f>
        <v>7</v>
      </c>
      <c r="C1717" t="str">
        <f>_xlfn.XLOOKUP(FME_Ranking1[[#This Row],[FME ID]],FME_Input[FME_ID],FME_Input[FME_NAME])</f>
        <v>Swisher County GIS Development</v>
      </c>
      <c r="D1717" t="str">
        <f>_xlfn.XLOOKUP(FME_Ranking1[[#This Row],[FME ID]],FME_Input[FME_ID],FME_Input[DESCR])</f>
        <v>Develop a GIS inventory of stormwater infrastructure</v>
      </c>
      <c r="E1717" s="256">
        <f>_xlfn.XLOOKUP(FME_Ranking1[[#This Row],[FME ID]],FME_Input[FME_ID],FME_Input[FME_COST])</f>
        <v>100000</v>
      </c>
      <c r="F1717" t="str">
        <f>_xlfn.XLOOKUP(FME_Ranking1[[#This Row],[FME ID]],FME_Input[FME_ID],FME_Input[EMER_NEED])</f>
        <v>No</v>
      </c>
      <c r="G1717">
        <f>IF(FME_Ranking!F1717="Yes",100,0)</f>
        <v>0</v>
      </c>
      <c r="H1717">
        <f>FME_Ranking1[[#This Row],[Emergency Need Score (Normalized, Unweighted)]]*$F$3</f>
        <v>0</v>
      </c>
      <c r="I1717" s="246">
        <f>_xlfn.XLOOKUP(FME_Ranking1[[#This Row],[FME ID]],FME_Input[FME_ID],FME_Input[STRUCT_100])</f>
        <v>5</v>
      </c>
      <c r="J1717" s="178">
        <f>(FME_Ranking1[[#This Row],[Structures 100 Raw]]/I$2)*100</f>
        <v>2.6774621942338172E-3</v>
      </c>
      <c r="K1717" s="178">
        <f>FME_Ranking1[[#This Row],[Structures 100  Score (Normalized, Unweighted)]]*$I$3</f>
        <v>4.0161932913507258E-4</v>
      </c>
      <c r="L1717" s="246">
        <f>_xlfn.XLOOKUP(FME_Ranking1[[#This Row],[FME ID]],FME_Input[FME_ID],FME_Input[RES_STRUCT100])</f>
        <v>3</v>
      </c>
      <c r="M1717" s="230">
        <f>(FME_Ranking1[[#This Row],[Res Structures Raw]]/L$2)*100</f>
        <v>2.1249167740930146E-3</v>
      </c>
      <c r="N1717" s="180">
        <f>FME_Ranking1[[#This Row],[Res Structures Score (Normalized, Unweighted)]]*$L$3</f>
        <v>2.1249167740930149E-4</v>
      </c>
      <c r="O1717" s="244">
        <f>_xlfn.XLOOKUP(FME_Ranking1[[#This Row],[FME ID]],FME_Input[FME_ID],FME_Input[POP100])</f>
        <v>10</v>
      </c>
      <c r="P1717" s="178">
        <f>(FME_Ranking1[[#This Row],[Pop Raw]]/$O$2)*100</f>
        <v>1.0237531198876329E-3</v>
      </c>
      <c r="Q1717" s="178">
        <f>FME_Ranking1[[#This Row],[Pop Score (Normalized, Unweighted)]]*$O$3</f>
        <v>1.5356296798314494E-4</v>
      </c>
      <c r="R1717" s="137">
        <f>_xlfn.XLOOKUP(FME_Ranking1[[#This Row],[FME ID]],FME_Input[FME_ID],FME_Input[CRITFAC100])</f>
        <v>0</v>
      </c>
      <c r="S1717" s="230">
        <f>(FME_Ranking1[[#This Row],[Critical Facilities Raw]]/$R$2)*100</f>
        <v>0</v>
      </c>
      <c r="T1717" s="180">
        <f>FME_Ranking1[[#This Row],[Critical Facilities Score (Normalized, Unweighted)]]*$R$3</f>
        <v>0</v>
      </c>
      <c r="U1717">
        <f>_xlfn.XLOOKUP(FME_Ranking1[[#This Row],[FME ID]],FME_Input[FME_ID],FME_Input[LWC])</f>
        <v>0</v>
      </c>
      <c r="V1717" s="178">
        <f>(FME_Ranking1[[#This Row],[LWC Raw]]/$U$2)*100</f>
        <v>0</v>
      </c>
      <c r="W1717" s="178">
        <f>FME_Ranking1[[#This Row],[LWC Score (Normalized, Unweighted)]]*$U$3</f>
        <v>0</v>
      </c>
      <c r="X1717" s="246">
        <f>_xlfn.XLOOKUP(FME_Ranking1[[#This Row],[FME ID]],FME_Input[FME_ID],FME_Input[ROADCLS])</f>
        <v>0</v>
      </c>
      <c r="Y1717" s="230">
        <f>(FME_Ranking1[[#This Row],[Closures Raw]]/$X$2)*100</f>
        <v>0</v>
      </c>
      <c r="Z1717" s="180">
        <f>FME_Ranking1[[#This Row],[Closures Score (Normalized, Unweighted)]]*$X$3</f>
        <v>0</v>
      </c>
      <c r="AA1717" s="253">
        <f>_xlfn.XLOOKUP(FME_Ranking1[[#This Row],[FME ID]],FME_Input[FME_ID],FME_Input[ROAD_MILES100])</f>
        <v>46.634864807128913</v>
      </c>
      <c r="AB1717" s="178">
        <f>(FME_Ranking1[[#This Row],[Miles Raw]]/$AA$2)*100</f>
        <v>0.61316482865697819</v>
      </c>
      <c r="AC1717" s="178">
        <f>FME_Ranking1[[#This Row],[Miles Score (Normalized, Unweighted)]]*$AA$3</f>
        <v>6.1316482865697824E-2</v>
      </c>
      <c r="AD1717" s="255">
        <f>_xlfn.XLOOKUP(FME_Ranking1[[#This Row],[FME ID]],FME_Input[FME_ID],FME_Input[FARMACRE100])</f>
        <v>4233.44482421875</v>
      </c>
      <c r="AE1717" s="230">
        <f>(FME_Ranking1[[#This Row],[Ag Land Raw]]/$AD$2)*100</f>
        <v>0.17456831351940655</v>
      </c>
      <c r="AF1717" s="231">
        <f>FME_Ranking1[[#This Row],[Ag Land Score (Normalized, Unweighted)]]*$AD$3</f>
        <v>8.7284156759703281E-3</v>
      </c>
      <c r="AG171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7.0812572516195674E-2</v>
      </c>
      <c r="AH1717" s="406">
        <f t="shared" si="26"/>
        <v>1184</v>
      </c>
      <c r="AI171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7.0812572516195674E-2</v>
      </c>
      <c r="AJ1717" s="257">
        <f>FME_Ranking1[[#This Row],[Addition check]]-FME_Ranking1[[#This Row],[Weighted Score Based on Normalized Reported Factors]]</f>
        <v>0</v>
      </c>
      <c r="AK1717" s="178">
        <f>_xlfn.RANK.EQ(AI1717,$AI$6:$AI$2341,0)+COUNTIF($AI$6:AI1717,AI1717)-1</f>
        <v>1186</v>
      </c>
    </row>
    <row r="1718" spans="1:37" x14ac:dyDescent="0.25">
      <c r="A1718" t="s">
        <v>7230</v>
      </c>
      <c r="B1718">
        <f>_xlfn.XLOOKUP(FME_Ranking1[[#This Row],[FME ID]],FME_Input[FME_ID],FME_Input[RFPG_NUM])</f>
        <v>7</v>
      </c>
      <c r="C1718" t="str">
        <f>_xlfn.XLOOKUP(FME_Ranking1[[#This Row],[FME ID]],FME_Input[FME_ID],FME_Input[FME_NAME])</f>
        <v>Swisher County DCM</v>
      </c>
      <c r="D1718" t="str">
        <f>_xlfn.XLOOKUP(FME_Ranking1[[#This Row],[FME ID]],FME_Input[FME_ID],FME_Input[DESCR])</f>
        <v>Consider stormwater criteria for infrastructure and floodplain ordinances to avoid new exposure to flood hazards.</v>
      </c>
      <c r="E1718" s="256">
        <f>_xlfn.XLOOKUP(FME_Ranking1[[#This Row],[FME ID]],FME_Input[FME_ID],FME_Input[FME_COST])</f>
        <v>100000</v>
      </c>
      <c r="F1718" t="str">
        <f>_xlfn.XLOOKUP(FME_Ranking1[[#This Row],[FME ID]],FME_Input[FME_ID],FME_Input[EMER_NEED])</f>
        <v>No</v>
      </c>
      <c r="G1718">
        <f>IF(FME_Ranking!F1718="Yes",100,0)</f>
        <v>0</v>
      </c>
      <c r="H1718">
        <f>FME_Ranking1[[#This Row],[Emergency Need Score (Normalized, Unweighted)]]*$F$3</f>
        <v>0</v>
      </c>
      <c r="I1718" s="246">
        <f>_xlfn.XLOOKUP(FME_Ranking1[[#This Row],[FME ID]],FME_Input[FME_ID],FME_Input[STRUCT_100])</f>
        <v>5</v>
      </c>
      <c r="J1718" s="178">
        <f>(FME_Ranking1[[#This Row],[Structures 100 Raw]]/I$2)*100</f>
        <v>2.6774621942338172E-3</v>
      </c>
      <c r="K1718" s="178">
        <f>FME_Ranking1[[#This Row],[Structures 100  Score (Normalized, Unweighted)]]*$I$3</f>
        <v>4.0161932913507258E-4</v>
      </c>
      <c r="L1718" s="246">
        <f>_xlfn.XLOOKUP(FME_Ranking1[[#This Row],[FME ID]],FME_Input[FME_ID],FME_Input[RES_STRUCT100])</f>
        <v>3</v>
      </c>
      <c r="M1718" s="230">
        <f>(FME_Ranking1[[#This Row],[Res Structures Raw]]/L$2)*100</f>
        <v>2.1249167740930146E-3</v>
      </c>
      <c r="N1718" s="180">
        <f>FME_Ranking1[[#This Row],[Res Structures Score (Normalized, Unweighted)]]*$L$3</f>
        <v>2.1249167740930149E-4</v>
      </c>
      <c r="O1718" s="244">
        <f>_xlfn.XLOOKUP(FME_Ranking1[[#This Row],[FME ID]],FME_Input[FME_ID],FME_Input[POP100])</f>
        <v>10</v>
      </c>
      <c r="P1718" s="178">
        <f>(FME_Ranking1[[#This Row],[Pop Raw]]/$O$2)*100</f>
        <v>1.0237531198876329E-3</v>
      </c>
      <c r="Q1718" s="178">
        <f>FME_Ranking1[[#This Row],[Pop Score (Normalized, Unweighted)]]*$O$3</f>
        <v>1.5356296798314494E-4</v>
      </c>
      <c r="R1718" s="137">
        <f>_xlfn.XLOOKUP(FME_Ranking1[[#This Row],[FME ID]],FME_Input[FME_ID],FME_Input[CRITFAC100])</f>
        <v>0</v>
      </c>
      <c r="S1718" s="230">
        <f>(FME_Ranking1[[#This Row],[Critical Facilities Raw]]/$R$2)*100</f>
        <v>0</v>
      </c>
      <c r="T1718" s="180">
        <f>FME_Ranking1[[#This Row],[Critical Facilities Score (Normalized, Unweighted)]]*$R$3</f>
        <v>0</v>
      </c>
      <c r="U1718">
        <f>_xlfn.XLOOKUP(FME_Ranking1[[#This Row],[FME ID]],FME_Input[FME_ID],FME_Input[LWC])</f>
        <v>0</v>
      </c>
      <c r="V1718" s="178">
        <f>(FME_Ranking1[[#This Row],[LWC Raw]]/$U$2)*100</f>
        <v>0</v>
      </c>
      <c r="W1718" s="178">
        <f>FME_Ranking1[[#This Row],[LWC Score (Normalized, Unweighted)]]*$U$3</f>
        <v>0</v>
      </c>
      <c r="X1718" s="246">
        <f>_xlfn.XLOOKUP(FME_Ranking1[[#This Row],[FME ID]],FME_Input[FME_ID],FME_Input[ROADCLS])</f>
        <v>0</v>
      </c>
      <c r="Y1718" s="230">
        <f>(FME_Ranking1[[#This Row],[Closures Raw]]/$X$2)*100</f>
        <v>0</v>
      </c>
      <c r="Z1718" s="180">
        <f>FME_Ranking1[[#This Row],[Closures Score (Normalized, Unweighted)]]*$X$3</f>
        <v>0</v>
      </c>
      <c r="AA1718" s="253">
        <f>_xlfn.XLOOKUP(FME_Ranking1[[#This Row],[FME ID]],FME_Input[FME_ID],FME_Input[ROAD_MILES100])</f>
        <v>46.634864807128913</v>
      </c>
      <c r="AB1718" s="178">
        <f>(FME_Ranking1[[#This Row],[Miles Raw]]/$AA$2)*100</f>
        <v>0.61316482865697819</v>
      </c>
      <c r="AC1718" s="178">
        <f>FME_Ranking1[[#This Row],[Miles Score (Normalized, Unweighted)]]*$AA$3</f>
        <v>6.1316482865697824E-2</v>
      </c>
      <c r="AD1718" s="255">
        <f>_xlfn.XLOOKUP(FME_Ranking1[[#This Row],[FME ID]],FME_Input[FME_ID],FME_Input[FARMACRE100])</f>
        <v>4233.44482421875</v>
      </c>
      <c r="AE1718" s="230">
        <f>(FME_Ranking1[[#This Row],[Ag Land Raw]]/$AD$2)*100</f>
        <v>0.17456831351940655</v>
      </c>
      <c r="AF1718" s="231">
        <f>FME_Ranking1[[#This Row],[Ag Land Score (Normalized, Unweighted)]]*$AD$3</f>
        <v>8.7284156759703281E-3</v>
      </c>
      <c r="AG171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7.0812572516195674E-2</v>
      </c>
      <c r="AH1718" s="406">
        <f t="shared" si="26"/>
        <v>1184</v>
      </c>
      <c r="AI171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7.0812572516195674E-2</v>
      </c>
      <c r="AJ1718" s="257">
        <f>FME_Ranking1[[#This Row],[Addition check]]-FME_Ranking1[[#This Row],[Weighted Score Based on Normalized Reported Factors]]</f>
        <v>0</v>
      </c>
      <c r="AK1718" s="178">
        <f>_xlfn.RANK.EQ(AI1718,$AI$6:$AI$2341,0)+COUNTIF($AI$6:AI1718,AI1718)-1</f>
        <v>1187</v>
      </c>
    </row>
    <row r="1719" spans="1:37" x14ac:dyDescent="0.25">
      <c r="A1719" t="s">
        <v>200</v>
      </c>
      <c r="B1719">
        <f>_xlfn.XLOOKUP(FME_Ranking1[[#This Row],[FME ID]],FME_Input[FME_ID],FME_Input[RFPG_NUM])</f>
        <v>10</v>
      </c>
      <c r="C1719" t="str">
        <f>_xlfn.XLOOKUP(FME_Ranking1[[#This Row],[FME ID]],FME_Input[FME_ID],FME_Input[FME_NAME])</f>
        <v>Delaware Creek Flood Study</v>
      </c>
      <c r="D1719" t="str">
        <f>_xlfn.XLOOKUP(FME_Ranking1[[#This Row],[FME ID]],FME_Input[FME_ID],FME_Input[DESCR])</f>
        <v>Flood-prone problem area in need of flood study, indentified on sponsor outreach call.  Lift station here also in need of a generator</v>
      </c>
      <c r="E1719" s="256">
        <f>_xlfn.XLOOKUP(FME_Ranking1[[#This Row],[FME ID]],FME_Input[FME_ID],FME_Input[FME_COST])</f>
        <v>150000</v>
      </c>
      <c r="F1719" t="str">
        <f>_xlfn.XLOOKUP(FME_Ranking1[[#This Row],[FME ID]],FME_Input[FME_ID],FME_Input[EMER_NEED])</f>
        <v>No</v>
      </c>
      <c r="G1719">
        <f>IF(FME_Ranking!F1719="Yes",100,0)</f>
        <v>0</v>
      </c>
      <c r="H1719">
        <f>FME_Ranking1[[#This Row],[Emergency Need Score (Normalized, Unweighted)]]*$F$3</f>
        <v>0</v>
      </c>
      <c r="I1719" s="246">
        <f>_xlfn.XLOOKUP(FME_Ranking1[[#This Row],[FME ID]],FME_Input[FME_ID],FME_Input[STRUCT_100])</f>
        <v>54</v>
      </c>
      <c r="J1719" s="178">
        <f>(FME_Ranking1[[#This Row],[Structures 100 Raw]]/I$2)*100</f>
        <v>2.891659169772523E-2</v>
      </c>
      <c r="K1719" s="178">
        <f>FME_Ranking1[[#This Row],[Structures 100  Score (Normalized, Unweighted)]]*$I$3</f>
        <v>4.3374887546587847E-3</v>
      </c>
      <c r="L1719" s="246">
        <f>_xlfn.XLOOKUP(FME_Ranking1[[#This Row],[FME ID]],FME_Input[FME_ID],FME_Input[RES_STRUCT100])</f>
        <v>34</v>
      </c>
      <c r="M1719" s="230">
        <f>(FME_Ranking1[[#This Row],[Res Structures Raw]]/L$2)*100</f>
        <v>2.4082390106387498E-2</v>
      </c>
      <c r="N1719" s="180">
        <f>FME_Ranking1[[#This Row],[Res Structures Score (Normalized, Unweighted)]]*$L$3</f>
        <v>2.4082390106387498E-3</v>
      </c>
      <c r="O1719" s="244">
        <f>_xlfn.XLOOKUP(FME_Ranking1[[#This Row],[FME ID]],FME_Input[FME_ID],FME_Input[POP100])</f>
        <v>74</v>
      </c>
      <c r="P1719" s="178">
        <f>(FME_Ranking1[[#This Row],[Pop Raw]]/$O$2)*100</f>
        <v>7.5757730871684826E-3</v>
      </c>
      <c r="Q1719" s="178">
        <f>FME_Ranking1[[#This Row],[Pop Score (Normalized, Unweighted)]]*$O$3</f>
        <v>1.1363659630752724E-3</v>
      </c>
      <c r="R1719" s="137">
        <f>_xlfn.XLOOKUP(FME_Ranking1[[#This Row],[FME ID]],FME_Input[FME_ID],FME_Input[CRITFAC100])</f>
        <v>0</v>
      </c>
      <c r="S1719" s="230">
        <f>(FME_Ranking1[[#This Row],[Critical Facilities Raw]]/$R$2)*100</f>
        <v>0</v>
      </c>
      <c r="T1719" s="180">
        <f>FME_Ranking1[[#This Row],[Critical Facilities Score (Normalized, Unweighted)]]*$R$3</f>
        <v>0</v>
      </c>
      <c r="U1719">
        <f>_xlfn.XLOOKUP(FME_Ranking1[[#This Row],[FME ID]],FME_Input[FME_ID],FME_Input[LWC])</f>
        <v>0</v>
      </c>
      <c r="V1719" s="178">
        <f>(FME_Ranking1[[#This Row],[LWC Raw]]/$U$2)*100</f>
        <v>0</v>
      </c>
      <c r="W1719" s="178">
        <f>FME_Ranking1[[#This Row],[LWC Score (Normalized, Unweighted)]]*$U$3</f>
        <v>0</v>
      </c>
      <c r="X1719" s="246">
        <f>_xlfn.XLOOKUP(FME_Ranking1[[#This Row],[FME ID]],FME_Input[FME_ID],FME_Input[ROADCLS])</f>
        <v>0</v>
      </c>
      <c r="Y1719" s="230">
        <f>(FME_Ranking1[[#This Row],[Closures Raw]]/$X$2)*100</f>
        <v>0</v>
      </c>
      <c r="Z1719" s="180">
        <f>FME_Ranking1[[#This Row],[Closures Score (Normalized, Unweighted)]]*$X$3</f>
        <v>0</v>
      </c>
      <c r="AA1719" s="253">
        <f>_xlfn.XLOOKUP(FME_Ranking1[[#This Row],[FME ID]],FME_Input[FME_ID],FME_Input[ROAD_MILES100])</f>
        <v>2.211657047271729</v>
      </c>
      <c r="AB1719" s="178">
        <f>(FME_Ranking1[[#This Row],[Miles Raw]]/$AA$2)*100</f>
        <v>2.9079323378483644E-2</v>
      </c>
      <c r="AC1719" s="178">
        <f>FME_Ranking1[[#This Row],[Miles Score (Normalized, Unweighted)]]*$AA$3</f>
        <v>2.9079323378483645E-3</v>
      </c>
      <c r="AD1719" s="255">
        <f>_xlfn.XLOOKUP(FME_Ranking1[[#This Row],[FME ID]],FME_Input[FME_ID],FME_Input[FARMACRE100])</f>
        <v>760.2451171875</v>
      </c>
      <c r="AE1719" s="230">
        <f>(FME_Ranking1[[#This Row],[Ag Land Raw]]/$AD$2)*100</f>
        <v>3.134910539274053E-2</v>
      </c>
      <c r="AF1719" s="231">
        <f>FME_Ranking1[[#This Row],[Ag Land Score (Normalized, Unweighted)]]*$AD$3</f>
        <v>1.5674552696370266E-3</v>
      </c>
      <c r="AG171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1.2357481335858197E-2</v>
      </c>
      <c r="AH1719" s="406">
        <f t="shared" si="26"/>
        <v>1692</v>
      </c>
      <c r="AI171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1.2357481335858197E-2</v>
      </c>
      <c r="AJ1719" s="257">
        <f>FME_Ranking1[[#This Row],[Addition check]]-FME_Ranking1[[#This Row],[Weighted Score Based on Normalized Reported Factors]]</f>
        <v>0</v>
      </c>
      <c r="AK1719" s="178">
        <f>_xlfn.RANK.EQ(AI1719,$AI$6:$AI$2341,0)+COUNTIF($AI$6:AI1719,AI1719)-1</f>
        <v>1692</v>
      </c>
    </row>
    <row r="1720" spans="1:37" x14ac:dyDescent="0.25">
      <c r="A1720" t="s">
        <v>4941</v>
      </c>
      <c r="B1720">
        <f>_xlfn.XLOOKUP(FME_Ranking1[[#This Row],[FME ID]],FME_Input[FME_ID],FME_Input[RFPG_NUM])</f>
        <v>3</v>
      </c>
      <c r="C1720" t="str">
        <f>_xlfn.XLOOKUP(FME_Ranking1[[#This Row],[FME ID]],FME_Input[FME_ID],FME_Input[FME_NAME])</f>
        <v>Bill Allen Park Erosion Study</v>
      </c>
      <c r="D1720" t="str">
        <f>_xlfn.XLOOKUP(FME_Ranking1[[#This Row],[FME ID]],FME_Input[FME_ID],FME_Input[DESCR])</f>
        <v>Evaluate erosion control measures at Blair Oaks Drive to Good Shepherd Lutheran Church.</v>
      </c>
      <c r="E1720" s="256">
        <f>_xlfn.XLOOKUP(FME_Ranking1[[#This Row],[FME ID]],FME_Input[FME_ID],FME_Input[FME_COST])</f>
        <v>100000</v>
      </c>
      <c r="F1720" t="str">
        <f>_xlfn.XLOOKUP(FME_Ranking1[[#This Row],[FME ID]],FME_Input[FME_ID],FME_Input[EMER_NEED])</f>
        <v>No</v>
      </c>
      <c r="G1720">
        <f>IF(FME_Ranking!F1720="Yes",100,0)</f>
        <v>0</v>
      </c>
      <c r="H1720">
        <f>FME_Ranking1[[#This Row],[Emergency Need Score (Normalized, Unweighted)]]*$F$3</f>
        <v>0</v>
      </c>
      <c r="I1720" s="246">
        <f>_xlfn.XLOOKUP(FME_Ranking1[[#This Row],[FME ID]],FME_Input[FME_ID],FME_Input[STRUCT_100])</f>
        <v>3</v>
      </c>
      <c r="J1720" s="178">
        <f>(FME_Ranking1[[#This Row],[Structures 100 Raw]]/I$2)*100</f>
        <v>1.6064773165402903E-3</v>
      </c>
      <c r="K1720" s="178">
        <f>FME_Ranking1[[#This Row],[Structures 100  Score (Normalized, Unweighted)]]*$I$3</f>
        <v>2.4097159748104354E-4</v>
      </c>
      <c r="L1720" s="246">
        <f>_xlfn.XLOOKUP(FME_Ranking1[[#This Row],[FME ID]],FME_Input[FME_ID],FME_Input[RES_STRUCT100])</f>
        <v>1</v>
      </c>
      <c r="M1720" s="230">
        <f>(FME_Ranking1[[#This Row],[Res Structures Raw]]/L$2)*100</f>
        <v>7.0830559136433825E-4</v>
      </c>
      <c r="N1720" s="180">
        <f>FME_Ranking1[[#This Row],[Res Structures Score (Normalized, Unweighted)]]*$L$3</f>
        <v>7.0830559136433833E-5</v>
      </c>
      <c r="O1720" s="244">
        <f>_xlfn.XLOOKUP(FME_Ranking1[[#This Row],[FME ID]],FME_Input[FME_ID],FME_Input[POP100])</f>
        <v>12</v>
      </c>
      <c r="P1720" s="178">
        <f>(FME_Ranking1[[#This Row],[Pop Raw]]/$O$2)*100</f>
        <v>1.2285037438651595E-3</v>
      </c>
      <c r="Q1720" s="178">
        <f>FME_Ranking1[[#This Row],[Pop Score (Normalized, Unweighted)]]*$O$3</f>
        <v>1.8427556157977391E-4</v>
      </c>
      <c r="R1720" s="137">
        <f>_xlfn.XLOOKUP(FME_Ranking1[[#This Row],[FME ID]],FME_Input[FME_ID],FME_Input[CRITFAC100])</f>
        <v>1</v>
      </c>
      <c r="S1720" s="230">
        <f>(FME_Ranking1[[#This Row],[Critical Facilities Raw]]/$R$2)*100</f>
        <v>4.2881646655231559E-2</v>
      </c>
      <c r="T1720" s="180">
        <f>FME_Ranking1[[#This Row],[Critical Facilities Score (Normalized, Unweighted)]]*$R$3</f>
        <v>8.5763293310463125E-3</v>
      </c>
      <c r="U1720">
        <f>_xlfn.XLOOKUP(FME_Ranking1[[#This Row],[FME ID]],FME_Input[FME_ID],FME_Input[LWC])</f>
        <v>0</v>
      </c>
      <c r="V1720" s="178">
        <f>(FME_Ranking1[[#This Row],[LWC Raw]]/$U$2)*100</f>
        <v>0</v>
      </c>
      <c r="W1720" s="178">
        <f>FME_Ranking1[[#This Row],[LWC Score (Normalized, Unweighted)]]*$U$3</f>
        <v>0</v>
      </c>
      <c r="X1720" s="246">
        <f>_xlfn.XLOOKUP(FME_Ranking1[[#This Row],[FME ID]],FME_Input[FME_ID],FME_Input[ROADCLS])</f>
        <v>0</v>
      </c>
      <c r="Y1720" s="230">
        <f>(FME_Ranking1[[#This Row],[Closures Raw]]/$X$2)*100</f>
        <v>0</v>
      </c>
      <c r="Z1720" s="180">
        <f>FME_Ranking1[[#This Row],[Closures Score (Normalized, Unweighted)]]*$X$3</f>
        <v>0</v>
      </c>
      <c r="AA1720" s="253">
        <f>_xlfn.XLOOKUP(FME_Ranking1[[#This Row],[FME ID]],FME_Input[FME_ID],FME_Input[ROAD_MILES100])</f>
        <v>1.078611016273499</v>
      </c>
      <c r="AB1720" s="178">
        <f>(FME_Ranking1[[#This Row],[Miles Raw]]/$AA$2)*100</f>
        <v>1.4181800284317932E-2</v>
      </c>
      <c r="AC1720" s="178">
        <f>FME_Ranking1[[#This Row],[Miles Score (Normalized, Unweighted)]]*$AA$3</f>
        <v>1.4181800284317932E-3</v>
      </c>
      <c r="AD1720" s="255">
        <f>_xlfn.XLOOKUP(FME_Ranking1[[#This Row],[FME ID]],FME_Input[FME_ID],FME_Input[FARMACRE100])</f>
        <v>167.4028015136719</v>
      </c>
      <c r="AE1720" s="230">
        <f>(FME_Ranking1[[#This Row],[Ag Land Raw]]/$AD$2)*100</f>
        <v>6.9029421551652301E-3</v>
      </c>
      <c r="AF1720" s="231">
        <f>FME_Ranking1[[#This Row],[Ag Land Score (Normalized, Unweighted)]]*$AD$3</f>
        <v>3.4514710775826154E-4</v>
      </c>
      <c r="AG172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1.0835734185433618E-2</v>
      </c>
      <c r="AH1720" s="406">
        <f t="shared" si="26"/>
        <v>1746</v>
      </c>
      <c r="AI172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1.0835734185433618E-2</v>
      </c>
      <c r="AJ1720" s="257">
        <f>FME_Ranking1[[#This Row],[Addition check]]-FME_Ranking1[[#This Row],[Weighted Score Based on Normalized Reported Factors]]</f>
        <v>0</v>
      </c>
      <c r="AK1720" s="178">
        <f>_xlfn.RANK.EQ(AI1720,$AI$6:$AI$2341,0)+COUNTIF($AI$6:AI1720,AI1720)-1</f>
        <v>1746</v>
      </c>
    </row>
    <row r="1721" spans="1:37" x14ac:dyDescent="0.25">
      <c r="A1721" t="s">
        <v>11399</v>
      </c>
      <c r="B1721">
        <f>_xlfn.XLOOKUP(FME_Ranking1[[#This Row],[FME ID]],FME_Input[FME_ID],FME_Input[RFPG_NUM])</f>
        <v>15</v>
      </c>
      <c r="C1721" t="str">
        <f>_xlfn.XLOOKUP(FME_Ranking1[[#This Row],[FME ID]],FME_Input[FME_ID],FME_Input[FME_NAME])</f>
        <v>Webb County Drainage District #1</v>
      </c>
      <c r="D1721" t="str">
        <f>_xlfn.XLOOKUP(FME_Ranking1[[#This Row],[FME ID]],FME_Input[FME_ID],FME_Input[DESCR])</f>
        <v>Develop Flood risk maps for the Webb County Drainage District #1 and develop CIP</v>
      </c>
      <c r="E1721" s="256">
        <f>_xlfn.XLOOKUP(FME_Ranking1[[#This Row],[FME ID]],FME_Input[FME_ID],FME_Input[FME_COST])</f>
        <v>1000000</v>
      </c>
      <c r="F1721" t="str">
        <f>_xlfn.XLOOKUP(FME_Ranking1[[#This Row],[FME ID]],FME_Input[FME_ID],FME_Input[EMER_NEED])</f>
        <v>Yes</v>
      </c>
      <c r="G1721">
        <f>IF(FME_Ranking!F1721="Yes",100,0)</f>
        <v>100</v>
      </c>
      <c r="H1721">
        <f>FME_Ranking1[[#This Row],[Emergency Need Score (Normalized, Unweighted)]]*$F$3</f>
        <v>0</v>
      </c>
      <c r="I1721" s="246">
        <f>_xlfn.XLOOKUP(FME_Ranking1[[#This Row],[FME ID]],FME_Input[FME_ID],FME_Input[STRUCT_100])</f>
        <v>0</v>
      </c>
      <c r="J1721" s="178">
        <f>(FME_Ranking1[[#This Row],[Structures 100 Raw]]/I$2)*100</f>
        <v>0</v>
      </c>
      <c r="K1721" s="178">
        <f>FME_Ranking1[[#This Row],[Structures 100  Score (Normalized, Unweighted)]]*$I$3</f>
        <v>0</v>
      </c>
      <c r="L1721" s="246">
        <f>_xlfn.XLOOKUP(FME_Ranking1[[#This Row],[FME ID]],FME_Input[FME_ID],FME_Input[RES_STRUCT100])</f>
        <v>68</v>
      </c>
      <c r="M1721" s="230">
        <f>(FME_Ranking1[[#This Row],[Res Structures Raw]]/L$2)*100</f>
        <v>4.8164780212774996E-2</v>
      </c>
      <c r="N1721" s="180">
        <f>FME_Ranking1[[#This Row],[Res Structures Score (Normalized, Unweighted)]]*$L$3</f>
        <v>4.8164780212774996E-3</v>
      </c>
      <c r="O1721" s="244">
        <f>_xlfn.XLOOKUP(FME_Ranking1[[#This Row],[FME ID]],FME_Input[FME_ID],FME_Input[POP100])</f>
        <v>299</v>
      </c>
      <c r="P1721" s="178">
        <f>(FME_Ranking1[[#This Row],[Pop Raw]]/$O$2)*100</f>
        <v>3.0610218284640223E-2</v>
      </c>
      <c r="Q1721" s="178">
        <f>FME_Ranking1[[#This Row],[Pop Score (Normalized, Unweighted)]]*$O$3</f>
        <v>4.5915327426960329E-3</v>
      </c>
      <c r="R1721" s="137">
        <f>_xlfn.XLOOKUP(FME_Ranking1[[#This Row],[FME ID]],FME_Input[FME_ID],FME_Input[CRITFAC100])</f>
        <v>0</v>
      </c>
      <c r="S1721" s="230">
        <f>(FME_Ranking1[[#This Row],[Critical Facilities Raw]]/$R$2)*100</f>
        <v>0</v>
      </c>
      <c r="T1721" s="180">
        <f>FME_Ranking1[[#This Row],[Critical Facilities Score (Normalized, Unweighted)]]*$R$3</f>
        <v>0</v>
      </c>
      <c r="U1721">
        <f>_xlfn.XLOOKUP(FME_Ranking1[[#This Row],[FME ID]],FME_Input[FME_ID],FME_Input[LWC])</f>
        <v>0</v>
      </c>
      <c r="V1721" s="178">
        <f>(FME_Ranking1[[#This Row],[LWC Raw]]/$U$2)*100</f>
        <v>0</v>
      </c>
      <c r="W1721" s="178">
        <f>FME_Ranking1[[#This Row],[LWC Score (Normalized, Unweighted)]]*$U$3</f>
        <v>0</v>
      </c>
      <c r="X1721" s="246">
        <f>_xlfn.XLOOKUP(FME_Ranking1[[#This Row],[FME ID]],FME_Input[FME_ID],FME_Input[ROADCLS])</f>
        <v>0</v>
      </c>
      <c r="Y1721" s="230">
        <f>(FME_Ranking1[[#This Row],[Closures Raw]]/$X$2)*100</f>
        <v>0</v>
      </c>
      <c r="Z1721" s="180">
        <f>FME_Ranking1[[#This Row],[Closures Score (Normalized, Unweighted)]]*$X$3</f>
        <v>0</v>
      </c>
      <c r="AA1721" s="253">
        <f>_xlfn.XLOOKUP(FME_Ranking1[[#This Row],[FME ID]],FME_Input[FME_ID],FME_Input[ROAD_MILES100])</f>
        <v>10.778300285339361</v>
      </c>
      <c r="AB1721" s="178">
        <f>(FME_Ranking1[[#This Row],[Miles Raw]]/$AA$2)*100</f>
        <v>0.14171531696309952</v>
      </c>
      <c r="AC1721" s="178">
        <f>FME_Ranking1[[#This Row],[Miles Score (Normalized, Unweighted)]]*$AA$3</f>
        <v>1.4171531696309954E-2</v>
      </c>
      <c r="AD1721" s="255">
        <f>_xlfn.XLOOKUP(FME_Ranking1[[#This Row],[FME ID]],FME_Input[FME_ID],FME_Input[FARMACRE100])</f>
        <v>0</v>
      </c>
      <c r="AE1721" s="230">
        <f>(FME_Ranking1[[#This Row],[Ag Land Raw]]/$AD$2)*100</f>
        <v>0</v>
      </c>
      <c r="AF1721" s="231">
        <f>FME_Ranking1[[#This Row],[Ag Land Score (Normalized, Unweighted)]]*$AD$3</f>
        <v>0</v>
      </c>
      <c r="AG172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2.3579542460283487E-2</v>
      </c>
      <c r="AH1721" s="406">
        <f t="shared" si="26"/>
        <v>1537</v>
      </c>
      <c r="AI172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2.3579542460283487E-2</v>
      </c>
      <c r="AJ1721" s="257">
        <f>FME_Ranking1[[#This Row],[Addition check]]-FME_Ranking1[[#This Row],[Weighted Score Based on Normalized Reported Factors]]</f>
        <v>0</v>
      </c>
      <c r="AK1721" s="178">
        <f>_xlfn.RANK.EQ(AI1721,$AI$6:$AI$2341,0)+COUNTIF($AI$6:AI1721,AI1721)-1</f>
        <v>1537</v>
      </c>
    </row>
    <row r="1722" spans="1:37" x14ac:dyDescent="0.25">
      <c r="A1722" t="s">
        <v>7062</v>
      </c>
      <c r="B1722">
        <f>_xlfn.XLOOKUP(FME_Ranking1[[#This Row],[FME ID]],FME_Input[FME_ID],FME_Input[RFPG_NUM])</f>
        <v>7</v>
      </c>
      <c r="C1722" t="str">
        <f>_xlfn.XLOOKUP(FME_Ranking1[[#This Row],[FME ID]],FME_Input[FME_ID],FME_Input[FME_NAME])</f>
        <v>City of Olton DMP</v>
      </c>
      <c r="D1722" t="str">
        <f>_xlfn.XLOOKUP(FME_Ranking1[[#This Row],[FME ID]],FME_Input[FME_ID],FME_Input[DESCR])</f>
        <v>Evaluate City of Olton for a Storm Water Master Plan, flood ordinances, and policies.</v>
      </c>
      <c r="E1722" s="256">
        <f>_xlfn.XLOOKUP(FME_Ranking1[[#This Row],[FME ID]],FME_Input[FME_ID],FME_Input[FME_COST])</f>
        <v>250000</v>
      </c>
      <c r="F1722" t="str">
        <f>_xlfn.XLOOKUP(FME_Ranking1[[#This Row],[FME ID]],FME_Input[FME_ID],FME_Input[EMER_NEED])</f>
        <v>No</v>
      </c>
      <c r="G1722">
        <f>IF(FME_Ranking!F1722="Yes",100,0)</f>
        <v>0</v>
      </c>
      <c r="H1722">
        <f>FME_Ranking1[[#This Row],[Emergency Need Score (Normalized, Unweighted)]]*$F$3</f>
        <v>0</v>
      </c>
      <c r="I1722" s="246">
        <f>_xlfn.XLOOKUP(FME_Ranking1[[#This Row],[FME ID]],FME_Input[FME_ID],FME_Input[STRUCT_100])</f>
        <v>63</v>
      </c>
      <c r="J1722" s="178">
        <f>(FME_Ranking1[[#This Row],[Structures 100 Raw]]/I$2)*100</f>
        <v>3.3736023647346104E-2</v>
      </c>
      <c r="K1722" s="178">
        <f>FME_Ranking1[[#This Row],[Structures 100  Score (Normalized, Unweighted)]]*$I$3</f>
        <v>5.0604035471019156E-3</v>
      </c>
      <c r="L1722" s="246">
        <f>_xlfn.XLOOKUP(FME_Ranking1[[#This Row],[FME ID]],FME_Input[FME_ID],FME_Input[RES_STRUCT100])</f>
        <v>45</v>
      </c>
      <c r="M1722" s="230">
        <f>(FME_Ranking1[[#This Row],[Res Structures Raw]]/L$2)*100</f>
        <v>3.1873751611395225E-2</v>
      </c>
      <c r="N1722" s="180">
        <f>FME_Ranking1[[#This Row],[Res Structures Score (Normalized, Unweighted)]]*$L$3</f>
        <v>3.1873751611395228E-3</v>
      </c>
      <c r="O1722" s="244">
        <f>_xlfn.XLOOKUP(FME_Ranking1[[#This Row],[FME ID]],FME_Input[FME_ID],FME_Input[POP100])</f>
        <v>71</v>
      </c>
      <c r="P1722" s="178">
        <f>(FME_Ranking1[[#This Row],[Pop Raw]]/$O$2)*100</f>
        <v>7.2686471512021936E-3</v>
      </c>
      <c r="Q1722" s="178">
        <f>FME_Ranking1[[#This Row],[Pop Score (Normalized, Unweighted)]]*$O$3</f>
        <v>1.090297072680329E-3</v>
      </c>
      <c r="R1722" s="137">
        <f>_xlfn.XLOOKUP(FME_Ranking1[[#This Row],[FME ID]],FME_Input[FME_ID],FME_Input[CRITFAC100])</f>
        <v>0</v>
      </c>
      <c r="S1722" s="230">
        <f>(FME_Ranking1[[#This Row],[Critical Facilities Raw]]/$R$2)*100</f>
        <v>0</v>
      </c>
      <c r="T1722" s="180">
        <f>FME_Ranking1[[#This Row],[Critical Facilities Score (Normalized, Unweighted)]]*$R$3</f>
        <v>0</v>
      </c>
      <c r="U1722">
        <f>_xlfn.XLOOKUP(FME_Ranking1[[#This Row],[FME ID]],FME_Input[FME_ID],FME_Input[LWC])</f>
        <v>0</v>
      </c>
      <c r="V1722" s="178">
        <f>(FME_Ranking1[[#This Row],[LWC Raw]]/$U$2)*100</f>
        <v>0</v>
      </c>
      <c r="W1722" s="178">
        <f>FME_Ranking1[[#This Row],[LWC Score (Normalized, Unweighted)]]*$U$3</f>
        <v>0</v>
      </c>
      <c r="X1722" s="246">
        <f>_xlfn.XLOOKUP(FME_Ranking1[[#This Row],[FME ID]],FME_Input[FME_ID],FME_Input[ROADCLS])</f>
        <v>0</v>
      </c>
      <c r="Y1722" s="230">
        <f>(FME_Ranking1[[#This Row],[Closures Raw]]/$X$2)*100</f>
        <v>0</v>
      </c>
      <c r="Z1722" s="180">
        <f>FME_Ranking1[[#This Row],[Closures Score (Normalized, Unweighted)]]*$X$3</f>
        <v>0</v>
      </c>
      <c r="AA1722" s="253">
        <f>_xlfn.XLOOKUP(FME_Ranking1[[#This Row],[FME ID]],FME_Input[FME_ID],FME_Input[ROAD_MILES100])</f>
        <v>6.7922763824462891</v>
      </c>
      <c r="AB1722" s="178">
        <f>(FME_Ranking1[[#This Row],[Miles Raw]]/$AA$2)*100</f>
        <v>8.930625190955549E-2</v>
      </c>
      <c r="AC1722" s="178">
        <f>FME_Ranking1[[#This Row],[Miles Score (Normalized, Unweighted)]]*$AA$3</f>
        <v>8.9306251909555493E-3</v>
      </c>
      <c r="AD1722" s="255">
        <f>_xlfn.XLOOKUP(FME_Ranking1[[#This Row],[FME ID]],FME_Input[FME_ID],FME_Input[FARMACRE100])</f>
        <v>14.39934253692627</v>
      </c>
      <c r="AE1722" s="230">
        <f>(FME_Ranking1[[#This Row],[Ag Land Raw]]/$AD$2)*100</f>
        <v>5.9376442751284727E-4</v>
      </c>
      <c r="AF1722" s="231">
        <f>FME_Ranking1[[#This Row],[Ag Land Score (Normalized, Unweighted)]]*$AD$3</f>
        <v>2.9688221375642363E-5</v>
      </c>
      <c r="AG172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1.829838919325296E-2</v>
      </c>
      <c r="AH1722" s="406">
        <f t="shared" si="26"/>
        <v>1599</v>
      </c>
      <c r="AI172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1.829838919325296E-2</v>
      </c>
      <c r="AJ1722" s="257">
        <f>FME_Ranking1[[#This Row],[Addition check]]-FME_Ranking1[[#This Row],[Weighted Score Based on Normalized Reported Factors]]</f>
        <v>0</v>
      </c>
      <c r="AK1722" s="178">
        <f>_xlfn.RANK.EQ(AI1722,$AI$6:$AI$2341,0)+COUNTIF($AI$6:AI1722,AI1722)-1</f>
        <v>1599</v>
      </c>
    </row>
    <row r="1723" spans="1:37" x14ac:dyDescent="0.25">
      <c r="A1723" t="s">
        <v>4487</v>
      </c>
      <c r="B1723">
        <f>_xlfn.XLOOKUP(FME_Ranking1[[#This Row],[FME ID]],FME_Input[FME_ID],FME_Input[RFPG_NUM])</f>
        <v>3</v>
      </c>
      <c r="C1723" t="str">
        <f>_xlfn.XLOOKUP(FME_Ranking1[[#This Row],[FME ID]],FME_Input[FME_ID],FME_Input[FME_NAME])</f>
        <v>Westside Drive Drainage System and Street Reconstruct Study</v>
      </c>
      <c r="D1723" t="str">
        <f>_xlfn.XLOOKUP(FME_Ranking1[[#This Row],[FME ID]],FME_Input[FME_ID],FME_Input[DESCR])</f>
        <v>Study to reconstruct Drainage System and Street in the 4500-4700 blocks of Westside Drive</v>
      </c>
      <c r="E1723" s="256">
        <f>_xlfn.XLOOKUP(FME_Ranking1[[#This Row],[FME ID]],FME_Input[FME_ID],FME_Input[FME_COST])</f>
        <v>700000</v>
      </c>
      <c r="F1723" t="str">
        <f>_xlfn.XLOOKUP(FME_Ranking1[[#This Row],[FME ID]],FME_Input[FME_ID],FME_Input[EMER_NEED])</f>
        <v>No</v>
      </c>
      <c r="G1723">
        <f>IF(FME_Ranking!F1723="Yes",100,0)</f>
        <v>0</v>
      </c>
      <c r="H1723">
        <f>FME_Ranking1[[#This Row],[Emergency Need Score (Normalized, Unweighted)]]*$F$3</f>
        <v>0</v>
      </c>
      <c r="I1723" s="246">
        <f>_xlfn.XLOOKUP(FME_Ranking1[[#This Row],[FME ID]],FME_Input[FME_ID],FME_Input[STRUCT_100])</f>
        <v>4</v>
      </c>
      <c r="J1723" s="178">
        <f>(FME_Ranking1[[#This Row],[Structures 100 Raw]]/I$2)*100</f>
        <v>2.1419697553870542E-3</v>
      </c>
      <c r="K1723" s="178">
        <f>FME_Ranking1[[#This Row],[Structures 100  Score (Normalized, Unweighted)]]*$I$3</f>
        <v>3.2129546330805813E-4</v>
      </c>
      <c r="L1723" s="246">
        <f>_xlfn.XLOOKUP(FME_Ranking1[[#This Row],[FME ID]],FME_Input[FME_ID],FME_Input[RES_STRUCT100])</f>
        <v>4</v>
      </c>
      <c r="M1723" s="230">
        <f>(FME_Ranking1[[#This Row],[Res Structures Raw]]/L$2)*100</f>
        <v>2.833222365457353E-3</v>
      </c>
      <c r="N1723" s="180">
        <f>FME_Ranking1[[#This Row],[Res Structures Score (Normalized, Unweighted)]]*$L$3</f>
        <v>2.8332223654573533E-4</v>
      </c>
      <c r="O1723" s="244">
        <f>_xlfn.XLOOKUP(FME_Ranking1[[#This Row],[FME ID]],FME_Input[FME_ID],FME_Input[POP100])</f>
        <v>5</v>
      </c>
      <c r="P1723" s="178">
        <f>(FME_Ranking1[[#This Row],[Pop Raw]]/$O$2)*100</f>
        <v>5.1187655994381644E-4</v>
      </c>
      <c r="Q1723" s="178">
        <f>FME_Ranking1[[#This Row],[Pop Score (Normalized, Unweighted)]]*$O$3</f>
        <v>7.6781483991572469E-5</v>
      </c>
      <c r="R1723" s="137">
        <f>_xlfn.XLOOKUP(FME_Ranking1[[#This Row],[FME ID]],FME_Input[FME_ID],FME_Input[CRITFAC100])</f>
        <v>1</v>
      </c>
      <c r="S1723" s="230">
        <f>(FME_Ranking1[[#This Row],[Critical Facilities Raw]]/$R$2)*100</f>
        <v>4.2881646655231559E-2</v>
      </c>
      <c r="T1723" s="180">
        <f>FME_Ranking1[[#This Row],[Critical Facilities Score (Normalized, Unweighted)]]*$R$3</f>
        <v>8.5763293310463125E-3</v>
      </c>
      <c r="U1723">
        <f>_xlfn.XLOOKUP(FME_Ranking1[[#This Row],[FME ID]],FME_Input[FME_ID],FME_Input[LWC])</f>
        <v>0</v>
      </c>
      <c r="V1723" s="178">
        <f>(FME_Ranking1[[#This Row],[LWC Raw]]/$U$2)*100</f>
        <v>0</v>
      </c>
      <c r="W1723" s="178">
        <f>FME_Ranking1[[#This Row],[LWC Score (Normalized, Unweighted)]]*$U$3</f>
        <v>0</v>
      </c>
      <c r="X1723" s="246">
        <f>_xlfn.XLOOKUP(FME_Ranking1[[#This Row],[FME ID]],FME_Input[FME_ID],FME_Input[ROADCLS])</f>
        <v>0</v>
      </c>
      <c r="Y1723" s="230">
        <f>(FME_Ranking1[[#This Row],[Closures Raw]]/$X$2)*100</f>
        <v>0</v>
      </c>
      <c r="Z1723" s="180">
        <f>FME_Ranking1[[#This Row],[Closures Score (Normalized, Unweighted)]]*$X$3</f>
        <v>0</v>
      </c>
      <c r="AA1723" s="253">
        <f>_xlfn.XLOOKUP(FME_Ranking1[[#This Row],[FME ID]],FME_Input[FME_ID],FME_Input[ROAD_MILES100])</f>
        <v>0.1942787021398544</v>
      </c>
      <c r="AB1723" s="178">
        <f>(FME_Ranking1[[#This Row],[Miles Raw]]/$AA$2)*100</f>
        <v>2.5544164779281982E-3</v>
      </c>
      <c r="AC1723" s="178">
        <f>FME_Ranking1[[#This Row],[Miles Score (Normalized, Unweighted)]]*$AA$3</f>
        <v>2.5544164779281984E-4</v>
      </c>
      <c r="AD1723" s="255">
        <f>_xlfn.XLOOKUP(FME_Ranking1[[#This Row],[FME ID]],FME_Input[FME_ID],FME_Input[FARMACRE100])</f>
        <v>0</v>
      </c>
      <c r="AE1723" s="230">
        <f>(FME_Ranking1[[#This Row],[Ag Land Raw]]/$AD$2)*100</f>
        <v>0</v>
      </c>
      <c r="AF1723" s="231">
        <f>FME_Ranking1[[#This Row],[Ag Land Score (Normalized, Unweighted)]]*$AD$3</f>
        <v>0</v>
      </c>
      <c r="AG172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9.5131701626844974E-3</v>
      </c>
      <c r="AH1723" s="406">
        <f t="shared" si="26"/>
        <v>1760</v>
      </c>
      <c r="AI172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9.5131701626844974E-3</v>
      </c>
      <c r="AJ1723" s="257">
        <f>FME_Ranking1[[#This Row],[Addition check]]-FME_Ranking1[[#This Row],[Weighted Score Based on Normalized Reported Factors]]</f>
        <v>0</v>
      </c>
      <c r="AK1723" s="178">
        <f>_xlfn.RANK.EQ(AI1723,$AI$6:$AI$2341,0)+COUNTIF($AI$6:AI1723,AI1723)-1</f>
        <v>1760</v>
      </c>
    </row>
    <row r="1724" spans="1:37" x14ac:dyDescent="0.25">
      <c r="A1724" t="s">
        <v>4947</v>
      </c>
      <c r="B1724">
        <f>_xlfn.XLOOKUP(FME_Ranking1[[#This Row],[FME ID]],FME_Input[FME_ID],FME_Input[RFPG_NUM])</f>
        <v>3</v>
      </c>
      <c r="C1724" t="str">
        <f>_xlfn.XLOOKUP(FME_Ranking1[[#This Row],[FME ID]],FME_Input[FME_ID],FME_Input[FME_NAME])</f>
        <v>Archer County FEMA Mapping</v>
      </c>
      <c r="D1724" t="str">
        <f>_xlfn.XLOOKUP(FME_Ranking1[[#This Row],[FME ID]],FME_Input[FME_ID],FME_Input[DESCR])</f>
        <v>Create FEMA mapping in previously unmapped areas and update existing FEMA maps as needed.</v>
      </c>
      <c r="E1724" s="256">
        <f>_xlfn.XLOOKUP(FME_Ranking1[[#This Row],[FME ID]],FME_Input[FME_ID],FME_Input[FME_COST])</f>
        <v>1254000</v>
      </c>
      <c r="F1724" t="str">
        <f>_xlfn.XLOOKUP(FME_Ranking1[[#This Row],[FME ID]],FME_Input[FME_ID],FME_Input[EMER_NEED])</f>
        <v>No</v>
      </c>
      <c r="G1724">
        <f>IF(FME_Ranking!F1724="Yes",100,0)</f>
        <v>0</v>
      </c>
      <c r="H1724">
        <f>FME_Ranking1[[#This Row],[Emergency Need Score (Normalized, Unweighted)]]*$F$3</f>
        <v>0</v>
      </c>
      <c r="I1724" s="246">
        <f>_xlfn.XLOOKUP(FME_Ranking1[[#This Row],[FME ID]],FME_Input[FME_ID],FME_Input[STRUCT_100])</f>
        <v>1</v>
      </c>
      <c r="J1724" s="178">
        <f>(FME_Ranking1[[#This Row],[Structures 100 Raw]]/I$2)*100</f>
        <v>5.3549243884676355E-4</v>
      </c>
      <c r="K1724" s="178">
        <f>FME_Ranking1[[#This Row],[Structures 100  Score (Normalized, Unweighted)]]*$I$3</f>
        <v>8.0323865827014533E-5</v>
      </c>
      <c r="L1724" s="246">
        <f>_xlfn.XLOOKUP(FME_Ranking1[[#This Row],[FME ID]],FME_Input[FME_ID],FME_Input[RES_STRUCT100])</f>
        <v>0</v>
      </c>
      <c r="M1724" s="230">
        <f>(FME_Ranking1[[#This Row],[Res Structures Raw]]/L$2)*100</f>
        <v>0</v>
      </c>
      <c r="N1724" s="180">
        <f>FME_Ranking1[[#This Row],[Res Structures Score (Normalized, Unweighted)]]*$L$3</f>
        <v>0</v>
      </c>
      <c r="O1724" s="244">
        <f>_xlfn.XLOOKUP(FME_Ranking1[[#This Row],[FME ID]],FME_Input[FME_ID],FME_Input[POP100])</f>
        <v>5</v>
      </c>
      <c r="P1724" s="178">
        <f>(FME_Ranking1[[#This Row],[Pop Raw]]/$O$2)*100</f>
        <v>5.1187655994381644E-4</v>
      </c>
      <c r="Q1724" s="178">
        <f>FME_Ranking1[[#This Row],[Pop Score (Normalized, Unweighted)]]*$O$3</f>
        <v>7.6781483991572469E-5</v>
      </c>
      <c r="R1724" s="137">
        <f>_xlfn.XLOOKUP(FME_Ranking1[[#This Row],[FME ID]],FME_Input[FME_ID],FME_Input[CRITFAC100])</f>
        <v>0</v>
      </c>
      <c r="S1724" s="230">
        <f>(FME_Ranking1[[#This Row],[Critical Facilities Raw]]/$R$2)*100</f>
        <v>0</v>
      </c>
      <c r="T1724" s="180">
        <f>FME_Ranking1[[#This Row],[Critical Facilities Score (Normalized, Unweighted)]]*$R$3</f>
        <v>0</v>
      </c>
      <c r="U1724">
        <f>_xlfn.XLOOKUP(FME_Ranking1[[#This Row],[FME ID]],FME_Input[FME_ID],FME_Input[LWC])</f>
        <v>0</v>
      </c>
      <c r="V1724" s="178">
        <f>(FME_Ranking1[[#This Row],[LWC Raw]]/$U$2)*100</f>
        <v>0</v>
      </c>
      <c r="W1724" s="178">
        <f>FME_Ranking1[[#This Row],[LWC Score (Normalized, Unweighted)]]*$U$3</f>
        <v>0</v>
      </c>
      <c r="X1724" s="246">
        <f>_xlfn.XLOOKUP(FME_Ranking1[[#This Row],[FME ID]],FME_Input[FME_ID],FME_Input[ROADCLS])</f>
        <v>0</v>
      </c>
      <c r="Y1724" s="230">
        <f>(FME_Ranking1[[#This Row],[Closures Raw]]/$X$2)*100</f>
        <v>0</v>
      </c>
      <c r="Z1724" s="180">
        <f>FME_Ranking1[[#This Row],[Closures Score (Normalized, Unweighted)]]*$X$3</f>
        <v>0</v>
      </c>
      <c r="AA1724" s="253">
        <f>_xlfn.XLOOKUP(FME_Ranking1[[#This Row],[FME ID]],FME_Input[FME_ID],FME_Input[ROAD_MILES100])</f>
        <v>7.8994359970092773</v>
      </c>
      <c r="AB1724" s="178">
        <f>(FME_Ranking1[[#This Row],[Miles Raw]]/$AA$2)*100</f>
        <v>0.10386341505706533</v>
      </c>
      <c r="AC1724" s="178">
        <f>FME_Ranking1[[#This Row],[Miles Score (Normalized, Unweighted)]]*$AA$3</f>
        <v>1.0386341505706533E-2</v>
      </c>
      <c r="AD1724" s="255">
        <f>_xlfn.XLOOKUP(FME_Ranking1[[#This Row],[FME ID]],FME_Input[FME_ID],FME_Input[FARMACRE100])</f>
        <v>4393.65185546875</v>
      </c>
      <c r="AE1724" s="230">
        <f>(FME_Ranking1[[#This Row],[Ag Land Raw]]/$AD$2)*100</f>
        <v>0.18117453432079011</v>
      </c>
      <c r="AF1724" s="231">
        <f>FME_Ranking1[[#This Row],[Ag Land Score (Normalized, Unweighted)]]*$AD$3</f>
        <v>9.0587267160395068E-3</v>
      </c>
      <c r="AG172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1.9602173571564626E-2</v>
      </c>
      <c r="AH1724" s="406">
        <f t="shared" si="26"/>
        <v>1581</v>
      </c>
      <c r="AI172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1.9602173571564626E-2</v>
      </c>
      <c r="AJ1724" s="257">
        <f>FME_Ranking1[[#This Row],[Addition check]]-FME_Ranking1[[#This Row],[Weighted Score Based on Normalized Reported Factors]]</f>
        <v>0</v>
      </c>
      <c r="AK1724" s="178">
        <f>_xlfn.RANK.EQ(AI1724,$AI$6:$AI$2341,0)+COUNTIF($AI$6:AI1724,AI1724)-1</f>
        <v>1581</v>
      </c>
    </row>
    <row r="1725" spans="1:37" x14ac:dyDescent="0.25">
      <c r="A1725" t="s">
        <v>5091</v>
      </c>
      <c r="B1725">
        <f>_xlfn.XLOOKUP(FME_Ranking1[[#This Row],[FME ID]],FME_Input[FME_ID],FME_Input[RFPG_NUM])</f>
        <v>3</v>
      </c>
      <c r="C1725" t="str">
        <f>_xlfn.XLOOKUP(FME_Ranking1[[#This Row],[FME ID]],FME_Input[FME_ID],FME_Input[FME_NAME])</f>
        <v>Lindsay Waterways Improvements Study</v>
      </c>
      <c r="D1725" t="str">
        <f>_xlfn.XLOOKUP(FME_Ranking1[[#This Row],[FME ID]],FME_Input[FME_ID],FME_Input[DESCR])</f>
        <v xml:space="preserve">Identify alternatives to reshape waterways to allow quicker flow in areas that have regular flooding. Construction of Gabion retaining walls, and widening and/or deepening of the waterway. </v>
      </c>
      <c r="E1725" s="256">
        <f>_xlfn.XLOOKUP(FME_Ranking1[[#This Row],[FME ID]],FME_Input[FME_ID],FME_Input[FME_COST])</f>
        <v>100000</v>
      </c>
      <c r="F1725" t="str">
        <f>_xlfn.XLOOKUP(FME_Ranking1[[#This Row],[FME ID]],FME_Input[FME_ID],FME_Input[EMER_NEED])</f>
        <v>No</v>
      </c>
      <c r="G1725">
        <f>IF(FME_Ranking!F1725="Yes",100,0)</f>
        <v>0</v>
      </c>
      <c r="H1725">
        <f>FME_Ranking1[[#This Row],[Emergency Need Score (Normalized, Unweighted)]]*$F$3</f>
        <v>0</v>
      </c>
      <c r="I1725" s="246">
        <f>_xlfn.XLOOKUP(FME_Ranking1[[#This Row],[FME ID]],FME_Input[FME_ID],FME_Input[STRUCT_100])</f>
        <v>46</v>
      </c>
      <c r="J1725" s="178">
        <f>(FME_Ranking1[[#This Row],[Structures 100 Raw]]/I$2)*100</f>
        <v>2.4632652186951119E-2</v>
      </c>
      <c r="K1725" s="178">
        <f>FME_Ranking1[[#This Row],[Structures 100  Score (Normalized, Unweighted)]]*$I$3</f>
        <v>3.6948978280426678E-3</v>
      </c>
      <c r="L1725" s="246">
        <f>_xlfn.XLOOKUP(FME_Ranking1[[#This Row],[FME ID]],FME_Input[FME_ID],FME_Input[RES_STRUCT100])</f>
        <v>27</v>
      </c>
      <c r="M1725" s="230">
        <f>(FME_Ranking1[[#This Row],[Res Structures Raw]]/L$2)*100</f>
        <v>1.9124250966837134E-2</v>
      </c>
      <c r="N1725" s="180">
        <f>FME_Ranking1[[#This Row],[Res Structures Score (Normalized, Unweighted)]]*$L$3</f>
        <v>1.9124250966837135E-3</v>
      </c>
      <c r="O1725" s="244">
        <f>_xlfn.XLOOKUP(FME_Ranking1[[#This Row],[FME ID]],FME_Input[FME_ID],FME_Input[POP100])</f>
        <v>61</v>
      </c>
      <c r="P1725" s="178">
        <f>(FME_Ranking1[[#This Row],[Pop Raw]]/$O$2)*100</f>
        <v>6.2448940313145612E-3</v>
      </c>
      <c r="Q1725" s="178">
        <f>FME_Ranking1[[#This Row],[Pop Score (Normalized, Unweighted)]]*$O$3</f>
        <v>9.3673410469718413E-4</v>
      </c>
      <c r="R1725" s="137">
        <f>_xlfn.XLOOKUP(FME_Ranking1[[#This Row],[FME ID]],FME_Input[FME_ID],FME_Input[CRITFAC100])</f>
        <v>0</v>
      </c>
      <c r="S1725" s="230">
        <f>(FME_Ranking1[[#This Row],[Critical Facilities Raw]]/$R$2)*100</f>
        <v>0</v>
      </c>
      <c r="T1725" s="180">
        <f>FME_Ranking1[[#This Row],[Critical Facilities Score (Normalized, Unweighted)]]*$R$3</f>
        <v>0</v>
      </c>
      <c r="U1725">
        <f>_xlfn.XLOOKUP(FME_Ranking1[[#This Row],[FME ID]],FME_Input[FME_ID],FME_Input[LWC])</f>
        <v>0</v>
      </c>
      <c r="V1725" s="178">
        <f>(FME_Ranking1[[#This Row],[LWC Raw]]/$U$2)*100</f>
        <v>0</v>
      </c>
      <c r="W1725" s="178">
        <f>FME_Ranking1[[#This Row],[LWC Score (Normalized, Unweighted)]]*$U$3</f>
        <v>0</v>
      </c>
      <c r="X1725" s="246">
        <f>_xlfn.XLOOKUP(FME_Ranking1[[#This Row],[FME ID]],FME_Input[FME_ID],FME_Input[ROADCLS])</f>
        <v>0</v>
      </c>
      <c r="Y1725" s="230">
        <f>(FME_Ranking1[[#This Row],[Closures Raw]]/$X$2)*100</f>
        <v>0</v>
      </c>
      <c r="Z1725" s="180">
        <f>FME_Ranking1[[#This Row],[Closures Score (Normalized, Unweighted)]]*$X$3</f>
        <v>0</v>
      </c>
      <c r="AA1725" s="253">
        <f>_xlfn.XLOOKUP(FME_Ranking1[[#This Row],[FME ID]],FME_Input[FME_ID],FME_Input[ROAD_MILES100])</f>
        <v>2.2864758968353271</v>
      </c>
      <c r="AB1725" s="178">
        <f>(FME_Ranking1[[#This Row],[Miles Raw]]/$AA$2)*100</f>
        <v>3.0063057056338396E-2</v>
      </c>
      <c r="AC1725" s="178">
        <f>FME_Ranking1[[#This Row],[Miles Score (Normalized, Unweighted)]]*$AA$3</f>
        <v>3.0063057056338399E-3</v>
      </c>
      <c r="AD1725" s="255">
        <f>_xlfn.XLOOKUP(FME_Ranking1[[#This Row],[FME ID]],FME_Input[FME_ID],FME_Input[FARMACRE100])</f>
        <v>1251.365966796875</v>
      </c>
      <c r="AE1725" s="230">
        <f>(FME_Ranking1[[#This Row],[Ag Land Raw]]/$AD$2)*100</f>
        <v>5.1600730726335912E-2</v>
      </c>
      <c r="AF1725" s="231">
        <f>FME_Ranking1[[#This Row],[Ag Land Score (Normalized, Unweighted)]]*$AD$3</f>
        <v>2.5800365363167956E-3</v>
      </c>
      <c r="AG172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1.2130399271374201E-2</v>
      </c>
      <c r="AH1725" s="406">
        <f t="shared" si="26"/>
        <v>1706</v>
      </c>
      <c r="AI172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1.2130399271374201E-2</v>
      </c>
      <c r="AJ1725" s="257">
        <f>FME_Ranking1[[#This Row],[Addition check]]-FME_Ranking1[[#This Row],[Weighted Score Based on Normalized Reported Factors]]</f>
        <v>0</v>
      </c>
      <c r="AK1725" s="178">
        <f>_xlfn.RANK.EQ(AI1725,$AI$6:$AI$2341,0)+COUNTIF($AI$6:AI1725,AI1725)-1</f>
        <v>1706</v>
      </c>
    </row>
    <row r="1726" spans="1:37" x14ac:dyDescent="0.25">
      <c r="A1726" t="s">
        <v>9608</v>
      </c>
      <c r="B1726">
        <f>_xlfn.XLOOKUP(FME_Ranking1[[#This Row],[FME ID]],FME_Input[FME_ID],FME_Input[RFPG_NUM])</f>
        <v>12</v>
      </c>
      <c r="C1726" t="str">
        <f>_xlfn.XLOOKUP(FME_Ranking1[[#This Row],[FME ID]],FME_Input[FME_ID],FME_Input[FME_NAME])</f>
        <v>Flat Creek Study</v>
      </c>
      <c r="D1726" t="str">
        <f>_xlfn.XLOOKUP(FME_Ranking1[[#This Row],[FME ID]],FME_Input[FME_ID],FME_Input[DESCR])</f>
        <v>Update details on both current and expected ultimate watershed build-oit conditions, Identify at-risk infrastructure and detail oppurtunities for flood reduction, and provide mitigation plans with regard to risk due to delevopment.</v>
      </c>
      <c r="E1726" s="256">
        <f>_xlfn.XLOOKUP(FME_Ranking1[[#This Row],[FME ID]],FME_Input[FME_ID],FME_Input[FME_COST])</f>
        <v>500000</v>
      </c>
      <c r="F1726" t="str">
        <f>_xlfn.XLOOKUP(FME_Ranking1[[#This Row],[FME ID]],FME_Input[FME_ID],FME_Input[EMER_NEED])</f>
        <v>Yes</v>
      </c>
      <c r="G1726">
        <f>IF(FME_Ranking!F1726="Yes",100,0)</f>
        <v>100</v>
      </c>
      <c r="H1726">
        <f>FME_Ranking1[[#This Row],[Emergency Need Score (Normalized, Unweighted)]]*$F$3</f>
        <v>0</v>
      </c>
      <c r="I1726" s="246">
        <f>_xlfn.XLOOKUP(FME_Ranking1[[#This Row],[FME ID]],FME_Input[FME_ID],FME_Input[STRUCT_100])</f>
        <v>44</v>
      </c>
      <c r="J1726" s="178">
        <f>(FME_Ranking1[[#This Row],[Structures 100 Raw]]/I$2)*100</f>
        <v>2.3561667309257593E-2</v>
      </c>
      <c r="K1726" s="178">
        <f>FME_Ranking1[[#This Row],[Structures 100  Score (Normalized, Unweighted)]]*$I$3</f>
        <v>3.5342500963886389E-3</v>
      </c>
      <c r="L1726" s="246">
        <f>_xlfn.XLOOKUP(FME_Ranking1[[#This Row],[FME ID]],FME_Input[FME_ID],FME_Input[RES_STRUCT100])</f>
        <v>41</v>
      </c>
      <c r="M1726" s="230">
        <f>(FME_Ranking1[[#This Row],[Res Structures Raw]]/L$2)*100</f>
        <v>2.904052924593787E-2</v>
      </c>
      <c r="N1726" s="180">
        <f>FME_Ranking1[[#This Row],[Res Structures Score (Normalized, Unweighted)]]*$L$3</f>
        <v>2.9040529245937872E-3</v>
      </c>
      <c r="O1726" s="244">
        <f>_xlfn.XLOOKUP(FME_Ranking1[[#This Row],[FME ID]],FME_Input[FME_ID],FME_Input[POP100])</f>
        <v>29</v>
      </c>
      <c r="P1726" s="178">
        <f>(FME_Ranking1[[#This Row],[Pop Raw]]/$O$2)*100</f>
        <v>2.9688840476741352E-3</v>
      </c>
      <c r="Q1726" s="178">
        <f>FME_Ranking1[[#This Row],[Pop Score (Normalized, Unweighted)]]*$O$3</f>
        <v>4.4533260715112028E-4</v>
      </c>
      <c r="R1726" s="137">
        <f>_xlfn.XLOOKUP(FME_Ranking1[[#This Row],[FME ID]],FME_Input[FME_ID],FME_Input[CRITFAC100])</f>
        <v>0</v>
      </c>
      <c r="S1726" s="230">
        <f>(FME_Ranking1[[#This Row],[Critical Facilities Raw]]/$R$2)*100</f>
        <v>0</v>
      </c>
      <c r="T1726" s="180">
        <f>FME_Ranking1[[#This Row],[Critical Facilities Score (Normalized, Unweighted)]]*$R$3</f>
        <v>0</v>
      </c>
      <c r="U1726">
        <f>_xlfn.XLOOKUP(FME_Ranking1[[#This Row],[FME ID]],FME_Input[FME_ID],FME_Input[LWC])</f>
        <v>0</v>
      </c>
      <c r="V1726" s="178">
        <f>(FME_Ranking1[[#This Row],[LWC Raw]]/$U$2)*100</f>
        <v>0</v>
      </c>
      <c r="W1726" s="178">
        <f>FME_Ranking1[[#This Row],[LWC Score (Normalized, Unweighted)]]*$U$3</f>
        <v>0</v>
      </c>
      <c r="X1726" s="246">
        <f>_xlfn.XLOOKUP(FME_Ranking1[[#This Row],[FME ID]],FME_Input[FME_ID],FME_Input[ROADCLS])</f>
        <v>3</v>
      </c>
      <c r="Y1726" s="230">
        <f>(FME_Ranking1[[#This Row],[Closures Raw]]/$X$2)*100</f>
        <v>3.1542424561034593E-2</v>
      </c>
      <c r="Z1726" s="180">
        <f>FME_Ranking1[[#This Row],[Closures Score (Normalized, Unweighted)]]*$X$3</f>
        <v>1.5771212280517297E-3</v>
      </c>
      <c r="AA1726" s="253">
        <f>_xlfn.XLOOKUP(FME_Ranking1[[#This Row],[FME ID]],FME_Input[FME_ID],FME_Input[ROAD_MILES100])</f>
        <v>1.070000052452087</v>
      </c>
      <c r="AB1726" s="178">
        <f>(FME_Ranking1[[#This Row],[Miles Raw]]/$AA$2)*100</f>
        <v>1.4068581554555034E-2</v>
      </c>
      <c r="AC1726" s="178">
        <f>FME_Ranking1[[#This Row],[Miles Score (Normalized, Unweighted)]]*$AA$3</f>
        <v>1.4068581554555035E-3</v>
      </c>
      <c r="AD1726" s="255">
        <f>_xlfn.XLOOKUP(FME_Ranking1[[#This Row],[FME ID]],FME_Input[FME_ID],FME_Input[FARMACRE100])</f>
        <v>298.27999877929688</v>
      </c>
      <c r="AE1726" s="230">
        <f>(FME_Ranking1[[#This Row],[Ag Land Raw]]/$AD$2)*100</f>
        <v>1.2299731898143181E-2</v>
      </c>
      <c r="AF1726" s="231">
        <f>FME_Ranking1[[#This Row],[Ag Land Score (Normalized, Unweighted)]]*$AD$3</f>
        <v>6.1498659490715911E-4</v>
      </c>
      <c r="AG172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1.0482601606547938E-2</v>
      </c>
      <c r="AH1726" s="406">
        <f t="shared" si="26"/>
        <v>1749</v>
      </c>
      <c r="AI172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1.0482601606547938E-2</v>
      </c>
      <c r="AJ1726" s="257">
        <f>FME_Ranking1[[#This Row],[Addition check]]-FME_Ranking1[[#This Row],[Weighted Score Based on Normalized Reported Factors]]</f>
        <v>0</v>
      </c>
      <c r="AK1726" s="178">
        <f>_xlfn.RANK.EQ(AI1726,$AI$6:$AI$2341,0)+COUNTIF($AI$6:AI1726,AI1726)-1</f>
        <v>1749</v>
      </c>
    </row>
    <row r="1727" spans="1:37" x14ac:dyDescent="0.25">
      <c r="A1727" t="s">
        <v>6986</v>
      </c>
      <c r="B1727">
        <f>_xlfn.XLOOKUP(FME_Ranking1[[#This Row],[FME ID]],FME_Input[FME_ID],FME_Input[RFPG_NUM])</f>
        <v>7</v>
      </c>
      <c r="C1727" t="str">
        <f>_xlfn.XLOOKUP(FME_Ranking1[[#This Row],[FME ID]],FME_Input[FME_ID],FME_Input[FME_NAME])</f>
        <v>City of Earth DMP</v>
      </c>
      <c r="D1727" t="str">
        <f>_xlfn.XLOOKUP(FME_Ranking1[[#This Row],[FME ID]],FME_Input[FME_ID],FME_Input[DESCR])</f>
        <v>Evaluate City of Earth for a Storm Water Master Plan, flood ordinances, and policies.</v>
      </c>
      <c r="E1727" s="256">
        <f>_xlfn.XLOOKUP(FME_Ranking1[[#This Row],[FME ID]],FME_Input[FME_ID],FME_Input[FME_COST])</f>
        <v>250000</v>
      </c>
      <c r="F1727" t="str">
        <f>_xlfn.XLOOKUP(FME_Ranking1[[#This Row],[FME ID]],FME_Input[FME_ID],FME_Input[EMER_NEED])</f>
        <v>No</v>
      </c>
      <c r="G1727">
        <f>IF(FME_Ranking!F1727="Yes",100,0)</f>
        <v>0</v>
      </c>
      <c r="H1727">
        <f>FME_Ranking1[[#This Row],[Emergency Need Score (Normalized, Unweighted)]]*$F$3</f>
        <v>0</v>
      </c>
      <c r="I1727" s="246">
        <f>_xlfn.XLOOKUP(FME_Ranking1[[#This Row],[FME ID]],FME_Input[FME_ID],FME_Input[STRUCT_100])</f>
        <v>65</v>
      </c>
      <c r="J1727" s="178">
        <f>(FME_Ranking1[[#This Row],[Structures 100 Raw]]/I$2)*100</f>
        <v>3.480700852503963E-2</v>
      </c>
      <c r="K1727" s="178">
        <f>FME_Ranking1[[#This Row],[Structures 100  Score (Normalized, Unweighted)]]*$I$3</f>
        <v>5.2210512787559445E-3</v>
      </c>
      <c r="L1727" s="246">
        <f>_xlfn.XLOOKUP(FME_Ranking1[[#This Row],[FME ID]],FME_Input[FME_ID],FME_Input[RES_STRUCT100])</f>
        <v>41</v>
      </c>
      <c r="M1727" s="230">
        <f>(FME_Ranking1[[#This Row],[Res Structures Raw]]/L$2)*100</f>
        <v>2.904052924593787E-2</v>
      </c>
      <c r="N1727" s="180">
        <f>FME_Ranking1[[#This Row],[Res Structures Score (Normalized, Unweighted)]]*$L$3</f>
        <v>2.9040529245937872E-3</v>
      </c>
      <c r="O1727" s="244">
        <f>_xlfn.XLOOKUP(FME_Ranking1[[#This Row],[FME ID]],FME_Input[FME_ID],FME_Input[POP100])</f>
        <v>54</v>
      </c>
      <c r="P1727" s="178">
        <f>(FME_Ranking1[[#This Row],[Pop Raw]]/$O$2)*100</f>
        <v>5.5282668473932177E-3</v>
      </c>
      <c r="Q1727" s="178">
        <f>FME_Ranking1[[#This Row],[Pop Score (Normalized, Unweighted)]]*$O$3</f>
        <v>8.2924002710898267E-4</v>
      </c>
      <c r="R1727" s="137">
        <f>_xlfn.XLOOKUP(FME_Ranking1[[#This Row],[FME ID]],FME_Input[FME_ID],FME_Input[CRITFAC100])</f>
        <v>0</v>
      </c>
      <c r="S1727" s="230">
        <f>(FME_Ranking1[[#This Row],[Critical Facilities Raw]]/$R$2)*100</f>
        <v>0</v>
      </c>
      <c r="T1727" s="180">
        <f>FME_Ranking1[[#This Row],[Critical Facilities Score (Normalized, Unweighted)]]*$R$3</f>
        <v>0</v>
      </c>
      <c r="U1727">
        <f>_xlfn.XLOOKUP(FME_Ranking1[[#This Row],[FME ID]],FME_Input[FME_ID],FME_Input[LWC])</f>
        <v>0</v>
      </c>
      <c r="V1727" s="178">
        <f>(FME_Ranking1[[#This Row],[LWC Raw]]/$U$2)*100</f>
        <v>0</v>
      </c>
      <c r="W1727" s="178">
        <f>FME_Ranking1[[#This Row],[LWC Score (Normalized, Unweighted)]]*$U$3</f>
        <v>0</v>
      </c>
      <c r="X1727" s="246">
        <f>_xlfn.XLOOKUP(FME_Ranking1[[#This Row],[FME ID]],FME_Input[FME_ID],FME_Input[ROADCLS])</f>
        <v>0</v>
      </c>
      <c r="Y1727" s="230">
        <f>(FME_Ranking1[[#This Row],[Closures Raw]]/$X$2)*100</f>
        <v>0</v>
      </c>
      <c r="Z1727" s="180">
        <f>FME_Ranking1[[#This Row],[Closures Score (Normalized, Unweighted)]]*$X$3</f>
        <v>0</v>
      </c>
      <c r="AA1727" s="253">
        <f>_xlfn.XLOOKUP(FME_Ranking1[[#This Row],[FME ID]],FME_Input[FME_ID],FME_Input[ROAD_MILES100])</f>
        <v>3.388698816299438</v>
      </c>
      <c r="AB1727" s="178">
        <f>(FME_Ranking1[[#This Row],[Miles Raw]]/$AA$2)*100</f>
        <v>4.455531151767634E-2</v>
      </c>
      <c r="AC1727" s="178">
        <f>FME_Ranking1[[#This Row],[Miles Score (Normalized, Unweighted)]]*$AA$3</f>
        <v>4.4555311517676345E-3</v>
      </c>
      <c r="AD1727" s="255">
        <f>_xlfn.XLOOKUP(FME_Ranking1[[#This Row],[FME ID]],FME_Input[FME_ID],FME_Input[FARMACRE100])</f>
        <v>48.803863525390618</v>
      </c>
      <c r="AE1727" s="230">
        <f>(FME_Ranking1[[#This Row],[Ag Land Raw]]/$AD$2)*100</f>
        <v>2.0124528611119782E-3</v>
      </c>
      <c r="AF1727" s="231">
        <f>FME_Ranking1[[#This Row],[Ag Land Score (Normalized, Unweighted)]]*$AD$3</f>
        <v>1.0062264305559892E-4</v>
      </c>
      <c r="AG172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1.3510498025281948E-2</v>
      </c>
      <c r="AH1727" s="406">
        <f t="shared" si="26"/>
        <v>1656</v>
      </c>
      <c r="AI172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1.3510498025281948E-2</v>
      </c>
      <c r="AJ1727" s="257">
        <f>FME_Ranking1[[#This Row],[Addition check]]-FME_Ranking1[[#This Row],[Weighted Score Based on Normalized Reported Factors]]</f>
        <v>0</v>
      </c>
      <c r="AK1727" s="178">
        <f>_xlfn.RANK.EQ(AI1727,$AI$6:$AI$2341,0)+COUNTIF($AI$6:AI1727,AI1727)-1</f>
        <v>1656</v>
      </c>
    </row>
    <row r="1728" spans="1:37" x14ac:dyDescent="0.25">
      <c r="A1728" t="s">
        <v>7595</v>
      </c>
      <c r="B1728">
        <f>_xlfn.XLOOKUP(FME_Ranking1[[#This Row],[FME ID]],FME_Input[FME_ID],FME_Input[RFPG_NUM])</f>
        <v>8</v>
      </c>
      <c r="C1728" t="str">
        <f>_xlfn.XLOOKUP(FME_Ranking1[[#This Row],[FME ID]],FME_Input[FME_ID],FME_Input[FME_NAME])</f>
        <v>Castle Heights Subdivision Flooding</v>
      </c>
      <c r="D1728" t="str">
        <f>_xlfn.XLOOKUP(FME_Ranking1[[#This Row],[FME ID]],FME_Input[FME_ID],FME_Input[DESCR])</f>
        <v>Study to determine necessary detention, storm sewer, and other drainage improvements for Castle Heights subdivision.</v>
      </c>
      <c r="E1728" s="256">
        <f>_xlfn.XLOOKUP(FME_Ranking1[[#This Row],[FME ID]],FME_Input[FME_ID],FME_Input[FME_COST])</f>
        <v>221000</v>
      </c>
      <c r="F1728" t="str">
        <f>_xlfn.XLOOKUP(FME_Ranking1[[#This Row],[FME ID]],FME_Input[FME_ID],FME_Input[EMER_NEED])</f>
        <v>No</v>
      </c>
      <c r="G1728">
        <f>IF(FME_Ranking!F1728="Yes",100,0)</f>
        <v>0</v>
      </c>
      <c r="H1728">
        <f>FME_Ranking1[[#This Row],[Emergency Need Score (Normalized, Unweighted)]]*$F$3</f>
        <v>0</v>
      </c>
      <c r="I1728" s="246">
        <f>_xlfn.XLOOKUP(FME_Ranking1[[#This Row],[FME ID]],FME_Input[FME_ID],FME_Input[STRUCT_100])</f>
        <v>39</v>
      </c>
      <c r="J1728" s="178">
        <f>(FME_Ranking1[[#This Row],[Structures 100 Raw]]/I$2)*100</f>
        <v>2.0884205115023775E-2</v>
      </c>
      <c r="K1728" s="178">
        <f>FME_Ranking1[[#This Row],[Structures 100  Score (Normalized, Unweighted)]]*$I$3</f>
        <v>3.1326307672535662E-3</v>
      </c>
      <c r="L1728" s="246">
        <f>_xlfn.XLOOKUP(FME_Ranking1[[#This Row],[FME ID]],FME_Input[FME_ID],FME_Input[RES_STRUCT100])</f>
        <v>31</v>
      </c>
      <c r="M1728" s="230">
        <f>(FME_Ranking1[[#This Row],[Res Structures Raw]]/L$2)*100</f>
        <v>2.1957473332294485E-2</v>
      </c>
      <c r="N1728" s="180">
        <f>FME_Ranking1[[#This Row],[Res Structures Score (Normalized, Unweighted)]]*$L$3</f>
        <v>2.1957473332294484E-3</v>
      </c>
      <c r="O1728" s="244">
        <f>_xlfn.XLOOKUP(FME_Ranking1[[#This Row],[FME ID]],FME_Input[FME_ID],FME_Input[POP100])</f>
        <v>21</v>
      </c>
      <c r="P1728" s="178">
        <f>(FME_Ranking1[[#This Row],[Pop Raw]]/$O$2)*100</f>
        <v>2.1498815517640288E-3</v>
      </c>
      <c r="Q1728" s="178">
        <f>FME_Ranking1[[#This Row],[Pop Score (Normalized, Unweighted)]]*$O$3</f>
        <v>3.2248223276460432E-4</v>
      </c>
      <c r="R1728" s="137">
        <f>_xlfn.XLOOKUP(FME_Ranking1[[#This Row],[FME ID]],FME_Input[FME_ID],FME_Input[CRITFAC100])</f>
        <v>0</v>
      </c>
      <c r="S1728" s="230">
        <f>(FME_Ranking1[[#This Row],[Critical Facilities Raw]]/$R$2)*100</f>
        <v>0</v>
      </c>
      <c r="T1728" s="180">
        <f>FME_Ranking1[[#This Row],[Critical Facilities Score (Normalized, Unweighted)]]*$R$3</f>
        <v>0</v>
      </c>
      <c r="U1728">
        <f>_xlfn.XLOOKUP(FME_Ranking1[[#This Row],[FME ID]],FME_Input[FME_ID],FME_Input[LWC])</f>
        <v>0</v>
      </c>
      <c r="V1728" s="178">
        <f>(FME_Ranking1[[#This Row],[LWC Raw]]/$U$2)*100</f>
        <v>0</v>
      </c>
      <c r="W1728" s="178">
        <f>FME_Ranking1[[#This Row],[LWC Score (Normalized, Unweighted)]]*$U$3</f>
        <v>0</v>
      </c>
      <c r="X1728" s="246">
        <f>_xlfn.XLOOKUP(FME_Ranking1[[#This Row],[FME ID]],FME_Input[FME_ID],FME_Input[ROADCLS])</f>
        <v>6</v>
      </c>
      <c r="Y1728" s="230">
        <f>(FME_Ranking1[[#This Row],[Closures Raw]]/$X$2)*100</f>
        <v>6.3084849122069186E-2</v>
      </c>
      <c r="Z1728" s="180">
        <f>FME_Ranking1[[#This Row],[Closures Score (Normalized, Unweighted)]]*$X$3</f>
        <v>3.1542424561034595E-3</v>
      </c>
      <c r="AA1728" s="253">
        <f>_xlfn.XLOOKUP(FME_Ranking1[[#This Row],[FME ID]],FME_Input[FME_ID],FME_Input[ROAD_MILES100])</f>
        <v>0.21264499425888059</v>
      </c>
      <c r="AB1728" s="178">
        <f>(FME_Ranking1[[#This Row],[Miles Raw]]/$AA$2)*100</f>
        <v>2.7959002778020041E-3</v>
      </c>
      <c r="AC1728" s="178">
        <f>FME_Ranking1[[#This Row],[Miles Score (Normalized, Unweighted)]]*$AA$3</f>
        <v>2.7959002778020042E-4</v>
      </c>
      <c r="AD1728" s="255">
        <f>_xlfn.XLOOKUP(FME_Ranking1[[#This Row],[FME ID]],FME_Input[FME_ID],FME_Input[FARMACRE100])</f>
        <v>63.979198455810547</v>
      </c>
      <c r="AE1728" s="230">
        <f>(FME_Ranking1[[#This Row],[Ag Land Raw]]/$AD$2)*100</f>
        <v>2.6382157411996921E-3</v>
      </c>
      <c r="AF1728" s="231">
        <f>FME_Ranking1[[#This Row],[Ag Land Score (Normalized, Unweighted)]]*$AD$3</f>
        <v>1.319107870599846E-4</v>
      </c>
      <c r="AG172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9.2166036041912616E-3</v>
      </c>
      <c r="AH1728" s="406">
        <f t="shared" si="26"/>
        <v>1762</v>
      </c>
      <c r="AI172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9.2166036041912616E-3</v>
      </c>
      <c r="AJ1728" s="257">
        <f>FME_Ranking1[[#This Row],[Addition check]]-FME_Ranking1[[#This Row],[Weighted Score Based on Normalized Reported Factors]]</f>
        <v>0</v>
      </c>
      <c r="AK1728" s="178">
        <f>_xlfn.RANK.EQ(AI1728,$AI$6:$AI$2341,0)+COUNTIF($AI$6:AI1728,AI1728)-1</f>
        <v>1762</v>
      </c>
    </row>
    <row r="1729" spans="1:37" x14ac:dyDescent="0.25">
      <c r="A1729" t="s">
        <v>9634</v>
      </c>
      <c r="B1729">
        <f>_xlfn.XLOOKUP(FME_Ranking1[[#This Row],[FME ID]],FME_Input[FME_ID],FME_Input[RFPG_NUM])</f>
        <v>12</v>
      </c>
      <c r="C1729" t="str">
        <f>_xlfn.XLOOKUP(FME_Ranking1[[#This Row],[FME ID]],FME_Input[FME_ID],FME_Input[FME_NAME])</f>
        <v>Kempf Creek Watershed Study</v>
      </c>
      <c r="D1729" t="str">
        <f>_xlfn.XLOOKUP(FME_Ranking1[[#This Row],[FME ID]],FME_Input[FME_ID],FME_Input[DESCR])</f>
        <v>H&amp;H Study. Alternatives analysis for regional flood conveyance systems. Project identification and recommendations.</v>
      </c>
      <c r="E1729" s="256">
        <f>_xlfn.XLOOKUP(FME_Ranking1[[#This Row],[FME ID]],FME_Input[FME_ID],FME_Input[FME_COST])</f>
        <v>150000</v>
      </c>
      <c r="F1729" t="str">
        <f>_xlfn.XLOOKUP(FME_Ranking1[[#This Row],[FME ID]],FME_Input[FME_ID],FME_Input[EMER_NEED])</f>
        <v>Yes</v>
      </c>
      <c r="G1729">
        <f>IF(FME_Ranking!F1729="Yes",100,0)</f>
        <v>100</v>
      </c>
      <c r="H1729">
        <f>FME_Ranking1[[#This Row],[Emergency Need Score (Normalized, Unweighted)]]*$F$3</f>
        <v>0</v>
      </c>
      <c r="I1729" s="246">
        <f>_xlfn.XLOOKUP(FME_Ranking1[[#This Row],[FME ID]],FME_Input[FME_ID],FME_Input[STRUCT_100])</f>
        <v>32</v>
      </c>
      <c r="J1729" s="178">
        <f>(FME_Ranking1[[#This Row],[Structures 100 Raw]]/I$2)*100</f>
        <v>1.7135758043096434E-2</v>
      </c>
      <c r="K1729" s="178">
        <f>FME_Ranking1[[#This Row],[Structures 100  Score (Normalized, Unweighted)]]*$I$3</f>
        <v>2.570363706464465E-3</v>
      </c>
      <c r="L1729" s="246">
        <f>_xlfn.XLOOKUP(FME_Ranking1[[#This Row],[FME ID]],FME_Input[FME_ID],FME_Input[RES_STRUCT100])</f>
        <v>18</v>
      </c>
      <c r="M1729" s="230">
        <f>(FME_Ranking1[[#This Row],[Res Structures Raw]]/L$2)*100</f>
        <v>1.2749500644558088E-2</v>
      </c>
      <c r="N1729" s="180">
        <f>FME_Ranking1[[#This Row],[Res Structures Score (Normalized, Unweighted)]]*$L$3</f>
        <v>1.2749500644558089E-3</v>
      </c>
      <c r="O1729" s="244">
        <f>_xlfn.XLOOKUP(FME_Ranking1[[#This Row],[FME ID]],FME_Input[FME_ID],FME_Input[POP100])</f>
        <v>20</v>
      </c>
      <c r="P1729" s="178">
        <f>(FME_Ranking1[[#This Row],[Pop Raw]]/$O$2)*100</f>
        <v>2.0475062397752658E-3</v>
      </c>
      <c r="Q1729" s="178">
        <f>FME_Ranking1[[#This Row],[Pop Score (Normalized, Unweighted)]]*$O$3</f>
        <v>3.0712593596628988E-4</v>
      </c>
      <c r="R1729" s="137">
        <f>_xlfn.XLOOKUP(FME_Ranking1[[#This Row],[FME ID]],FME_Input[FME_ID],FME_Input[CRITFAC100])</f>
        <v>0</v>
      </c>
      <c r="S1729" s="230">
        <f>(FME_Ranking1[[#This Row],[Critical Facilities Raw]]/$R$2)*100</f>
        <v>0</v>
      </c>
      <c r="T1729" s="180">
        <f>FME_Ranking1[[#This Row],[Critical Facilities Score (Normalized, Unweighted)]]*$R$3</f>
        <v>0</v>
      </c>
      <c r="U1729">
        <f>_xlfn.XLOOKUP(FME_Ranking1[[#This Row],[FME ID]],FME_Input[FME_ID],FME_Input[LWC])</f>
        <v>0</v>
      </c>
      <c r="V1729" s="178">
        <f>(FME_Ranking1[[#This Row],[LWC Raw]]/$U$2)*100</f>
        <v>0</v>
      </c>
      <c r="W1729" s="178">
        <f>FME_Ranking1[[#This Row],[LWC Score (Normalized, Unweighted)]]*$U$3</f>
        <v>0</v>
      </c>
      <c r="X1729" s="246">
        <f>_xlfn.XLOOKUP(FME_Ranking1[[#This Row],[FME ID]],FME_Input[FME_ID],FME_Input[ROADCLS])</f>
        <v>6</v>
      </c>
      <c r="Y1729" s="230">
        <f>(FME_Ranking1[[#This Row],[Closures Raw]]/$X$2)*100</f>
        <v>6.3084849122069186E-2</v>
      </c>
      <c r="Z1729" s="180">
        <f>FME_Ranking1[[#This Row],[Closures Score (Normalized, Unweighted)]]*$X$3</f>
        <v>3.1542424561034595E-3</v>
      </c>
      <c r="AA1729" s="253">
        <f>_xlfn.XLOOKUP(FME_Ranking1[[#This Row],[FME ID]],FME_Input[FME_ID],FME_Input[ROAD_MILES100])</f>
        <v>2.2400000095367432</v>
      </c>
      <c r="AB1729" s="178">
        <f>(FME_Ranking1[[#This Row],[Miles Raw]]/$AA$2)*100</f>
        <v>2.9451982496779234E-2</v>
      </c>
      <c r="AC1729" s="178">
        <f>FME_Ranking1[[#This Row],[Miles Score (Normalized, Unweighted)]]*$AA$3</f>
        <v>2.9451982496779237E-3</v>
      </c>
      <c r="AD1729" s="255">
        <f>_xlfn.XLOOKUP(FME_Ranking1[[#This Row],[FME ID]],FME_Input[FME_ID],FME_Input[FARMACRE100])</f>
        <v>697.6729736328125</v>
      </c>
      <c r="AE1729" s="230">
        <f>(FME_Ranking1[[#This Row],[Ag Land Raw]]/$AD$2)*100</f>
        <v>2.8768910296976691E-2</v>
      </c>
      <c r="AF1729" s="231">
        <f>FME_Ranking1[[#This Row],[Ag Land Score (Normalized, Unweighted)]]*$AD$3</f>
        <v>1.4384455148488346E-3</v>
      </c>
      <c r="AG172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1.169032592751678E-2</v>
      </c>
      <c r="AH1729" s="406">
        <f t="shared" si="26"/>
        <v>1726</v>
      </c>
      <c r="AI172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1.169032592751678E-2</v>
      </c>
      <c r="AJ1729" s="257">
        <f>FME_Ranking1[[#This Row],[Addition check]]-FME_Ranking1[[#This Row],[Weighted Score Based on Normalized Reported Factors]]</f>
        <v>0</v>
      </c>
      <c r="AK1729" s="178">
        <f>_xlfn.RANK.EQ(AI1729,$AI$6:$AI$2341,0)+COUNTIF($AI$6:AI1729,AI1729)-1</f>
        <v>1726</v>
      </c>
    </row>
    <row r="1730" spans="1:37" x14ac:dyDescent="0.25">
      <c r="A1730" t="s">
        <v>7323</v>
      </c>
      <c r="B1730">
        <f>_xlfn.XLOOKUP(FME_Ranking1[[#This Row],[FME ID]],FME_Input[FME_ID],FME_Input[RFPG_NUM])</f>
        <v>7</v>
      </c>
      <c r="C1730" t="str">
        <f>_xlfn.XLOOKUP(FME_Ranking1[[#This Row],[FME ID]],FME_Input[FME_ID],FME_Input[FME_NAME])</f>
        <v>City of Wolfforth Higher Standards Program</v>
      </c>
      <c r="D1730" t="str">
        <f>_xlfn.XLOOKUP(FME_Ranking1[[#This Row],[FME ID]],FME_Input[FME_ID],FME_Input[DESCR])</f>
        <v>Adopt higher standards for new construction, increase freeboard requirements for structures in the SFHA; adopt a “no-rise” in BFE in the 100-year floodplain.  Update local flood ordinance to prohibit granting of variance in SFHA; Include “cumulativ</v>
      </c>
      <c r="E1730" s="256">
        <f>_xlfn.XLOOKUP(FME_Ranking1[[#This Row],[FME ID]],FME_Input[FME_ID],FME_Input[FME_COST])</f>
        <v>100000</v>
      </c>
      <c r="F1730" t="str">
        <f>_xlfn.XLOOKUP(FME_Ranking1[[#This Row],[FME ID]],FME_Input[FME_ID],FME_Input[EMER_NEED])</f>
        <v>No</v>
      </c>
      <c r="G1730">
        <f>IF(FME_Ranking!F1730="Yes",100,0)</f>
        <v>0</v>
      </c>
      <c r="H1730">
        <f>FME_Ranking1[[#This Row],[Emergency Need Score (Normalized, Unweighted)]]*$F$3</f>
        <v>0</v>
      </c>
      <c r="I1730" s="246">
        <f>_xlfn.XLOOKUP(FME_Ranking1[[#This Row],[FME ID]],FME_Input[FME_ID],FME_Input[STRUCT_100])</f>
        <v>54</v>
      </c>
      <c r="J1730" s="178">
        <f>(FME_Ranking1[[#This Row],[Structures 100 Raw]]/I$2)*100</f>
        <v>2.891659169772523E-2</v>
      </c>
      <c r="K1730" s="178">
        <f>FME_Ranking1[[#This Row],[Structures 100  Score (Normalized, Unweighted)]]*$I$3</f>
        <v>4.3374887546587847E-3</v>
      </c>
      <c r="L1730" s="246">
        <f>_xlfn.XLOOKUP(FME_Ranking1[[#This Row],[FME ID]],FME_Input[FME_ID],FME_Input[RES_STRUCT100])</f>
        <v>38</v>
      </c>
      <c r="M1730" s="230">
        <f>(FME_Ranking1[[#This Row],[Res Structures Raw]]/L$2)*100</f>
        <v>2.691561247184485E-2</v>
      </c>
      <c r="N1730" s="180">
        <f>FME_Ranking1[[#This Row],[Res Structures Score (Normalized, Unweighted)]]*$L$3</f>
        <v>2.691561247184485E-3</v>
      </c>
      <c r="O1730" s="244">
        <f>_xlfn.XLOOKUP(FME_Ranking1[[#This Row],[FME ID]],FME_Input[FME_ID],FME_Input[POP100])</f>
        <v>100</v>
      </c>
      <c r="P1730" s="178">
        <f>(FME_Ranking1[[#This Row],[Pop Raw]]/$O$2)*100</f>
        <v>1.0237531198876328E-2</v>
      </c>
      <c r="Q1730" s="178">
        <f>FME_Ranking1[[#This Row],[Pop Score (Normalized, Unweighted)]]*$O$3</f>
        <v>1.5356296798314491E-3</v>
      </c>
      <c r="R1730" s="137">
        <f>_xlfn.XLOOKUP(FME_Ranking1[[#This Row],[FME ID]],FME_Input[FME_ID],FME_Input[CRITFAC100])</f>
        <v>0</v>
      </c>
      <c r="S1730" s="230">
        <f>(FME_Ranking1[[#This Row],[Critical Facilities Raw]]/$R$2)*100</f>
        <v>0</v>
      </c>
      <c r="T1730" s="180">
        <f>FME_Ranking1[[#This Row],[Critical Facilities Score (Normalized, Unweighted)]]*$R$3</f>
        <v>0</v>
      </c>
      <c r="U1730">
        <f>_xlfn.XLOOKUP(FME_Ranking1[[#This Row],[FME ID]],FME_Input[FME_ID],FME_Input[LWC])</f>
        <v>0</v>
      </c>
      <c r="V1730" s="178">
        <f>(FME_Ranking1[[#This Row],[LWC Raw]]/$U$2)*100</f>
        <v>0</v>
      </c>
      <c r="W1730" s="178">
        <f>FME_Ranking1[[#This Row],[LWC Score (Normalized, Unweighted)]]*$U$3</f>
        <v>0</v>
      </c>
      <c r="X1730" s="246">
        <f>_xlfn.XLOOKUP(FME_Ranking1[[#This Row],[FME ID]],FME_Input[FME_ID],FME_Input[ROADCLS])</f>
        <v>0</v>
      </c>
      <c r="Y1730" s="230">
        <f>(FME_Ranking1[[#This Row],[Closures Raw]]/$X$2)*100</f>
        <v>0</v>
      </c>
      <c r="Z1730" s="180">
        <f>FME_Ranking1[[#This Row],[Closures Score (Normalized, Unweighted)]]*$X$3</f>
        <v>0</v>
      </c>
      <c r="AA1730" s="253">
        <f>_xlfn.XLOOKUP(FME_Ranking1[[#This Row],[FME ID]],FME_Input[FME_ID],FME_Input[ROAD_MILES100])</f>
        <v>4.5219273567199707</v>
      </c>
      <c r="AB1730" s="178">
        <f>(FME_Ranking1[[#This Row],[Miles Raw]]/$AA$2)*100</f>
        <v>5.9455234283399321E-2</v>
      </c>
      <c r="AC1730" s="178">
        <f>FME_Ranking1[[#This Row],[Miles Score (Normalized, Unweighted)]]*$AA$3</f>
        <v>5.9455234283399324E-3</v>
      </c>
      <c r="AD1730" s="255">
        <f>_xlfn.XLOOKUP(FME_Ranking1[[#This Row],[FME ID]],FME_Input[FME_ID],FME_Input[FARMACRE100])</f>
        <v>50.724521636962891</v>
      </c>
      <c r="AE1730" s="230">
        <f>(FME_Ranking1[[#This Row],[Ag Land Raw]]/$AD$2)*100</f>
        <v>2.0916522038000964E-3</v>
      </c>
      <c r="AF1730" s="231">
        <f>FME_Ranking1[[#This Row],[Ag Land Score (Normalized, Unweighted)]]*$AD$3</f>
        <v>1.0458261019000483E-4</v>
      </c>
      <c r="AG173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1.4614785720204656E-2</v>
      </c>
      <c r="AH1730" s="406">
        <f t="shared" si="26"/>
        <v>1640</v>
      </c>
      <c r="AI173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1.4614785720204656E-2</v>
      </c>
      <c r="AJ1730" s="257">
        <f>FME_Ranking1[[#This Row],[Addition check]]-FME_Ranking1[[#This Row],[Weighted Score Based on Normalized Reported Factors]]</f>
        <v>0</v>
      </c>
      <c r="AK1730" s="178">
        <f>_xlfn.RANK.EQ(AI1730,$AI$6:$AI$2341,0)+COUNTIF($AI$6:AI1730,AI1730)-1</f>
        <v>1640</v>
      </c>
    </row>
    <row r="1731" spans="1:37" x14ac:dyDescent="0.25">
      <c r="A1731" t="s">
        <v>3637</v>
      </c>
      <c r="B1731">
        <f>_xlfn.XLOOKUP(FME_Ranking1[[#This Row],[FME ID]],FME_Input[FME_ID],FME_Input[RFPG_NUM])</f>
        <v>2</v>
      </c>
      <c r="C1731" t="str">
        <f>_xlfn.XLOOKUP(FME_Ranking1[[#This Row],[FME ID]],FME_Input[FME_ID],FME_Input[FME_NAME])</f>
        <v>Cooke County Acquisition of Repetitive Loss and Damaged Properties</v>
      </c>
      <c r="D1731" t="str">
        <f>_xlfn.XLOOKUP(FME_Ranking1[[#This Row],[FME ID]],FME_Input[FME_ID],FME_Input[DESCR])</f>
        <v>Purchase and removal of damaged homes that are located in the floodplain and buy-out of repetitive flood loss properties in Region 2</v>
      </c>
      <c r="E1731" s="256">
        <f>_xlfn.XLOOKUP(FME_Ranking1[[#This Row],[FME ID]],FME_Input[FME_ID],FME_Input[FME_COST])</f>
        <v>250000</v>
      </c>
      <c r="F1731" t="str">
        <f>_xlfn.XLOOKUP(FME_Ranking1[[#This Row],[FME ID]],FME_Input[FME_ID],FME_Input[EMER_NEED])</f>
        <v>No</v>
      </c>
      <c r="G1731">
        <f>IF(FME_Ranking!F1731="Yes",100,0)</f>
        <v>0</v>
      </c>
      <c r="H1731">
        <f>FME_Ranking1[[#This Row],[Emergency Need Score (Normalized, Unweighted)]]*$F$3</f>
        <v>0</v>
      </c>
      <c r="I1731" s="246">
        <f>_xlfn.XLOOKUP(FME_Ranking1[[#This Row],[FME ID]],FME_Input[FME_ID],FME_Input[STRUCT_100])</f>
        <v>34</v>
      </c>
      <c r="J1731" s="178">
        <f>(FME_Ranking1[[#This Row],[Structures 100 Raw]]/I$2)*100</f>
        <v>1.820674292078996E-2</v>
      </c>
      <c r="K1731" s="178">
        <f>FME_Ranking1[[#This Row],[Structures 100  Score (Normalized, Unweighted)]]*$I$3</f>
        <v>2.7310114381184939E-3</v>
      </c>
      <c r="L1731" s="246">
        <f>_xlfn.XLOOKUP(FME_Ranking1[[#This Row],[FME ID]],FME_Input[FME_ID],FME_Input[RES_STRUCT100])</f>
        <v>20</v>
      </c>
      <c r="M1731" s="230">
        <f>(FME_Ranking1[[#This Row],[Res Structures Raw]]/L$2)*100</f>
        <v>1.4166111827286764E-2</v>
      </c>
      <c r="N1731" s="180">
        <f>FME_Ranking1[[#This Row],[Res Structures Score (Normalized, Unweighted)]]*$L$3</f>
        <v>1.4166111827286765E-3</v>
      </c>
      <c r="O1731" s="244">
        <f>_xlfn.XLOOKUP(FME_Ranking1[[#This Row],[FME ID]],FME_Input[FME_ID],FME_Input[POP100])</f>
        <v>26</v>
      </c>
      <c r="P1731" s="178">
        <f>(FME_Ranking1[[#This Row],[Pop Raw]]/$O$2)*100</f>
        <v>2.6617581117078454E-3</v>
      </c>
      <c r="Q1731" s="178">
        <f>FME_Ranking1[[#This Row],[Pop Score (Normalized, Unweighted)]]*$O$3</f>
        <v>3.9926371675617678E-4</v>
      </c>
      <c r="R1731" s="137">
        <f>_xlfn.XLOOKUP(FME_Ranking1[[#This Row],[FME ID]],FME_Input[FME_ID],FME_Input[CRITFAC100])</f>
        <v>0</v>
      </c>
      <c r="S1731" s="230">
        <f>(FME_Ranking1[[#This Row],[Critical Facilities Raw]]/$R$2)*100</f>
        <v>0</v>
      </c>
      <c r="T1731" s="180">
        <f>FME_Ranking1[[#This Row],[Critical Facilities Score (Normalized, Unweighted)]]*$R$3</f>
        <v>0</v>
      </c>
      <c r="U1731">
        <f>_xlfn.XLOOKUP(FME_Ranking1[[#This Row],[FME ID]],FME_Input[FME_ID],FME_Input[LWC])</f>
        <v>0</v>
      </c>
      <c r="V1731" s="178">
        <f>(FME_Ranking1[[#This Row],[LWC Raw]]/$U$2)*100</f>
        <v>0</v>
      </c>
      <c r="W1731" s="178">
        <f>FME_Ranking1[[#This Row],[LWC Score (Normalized, Unweighted)]]*$U$3</f>
        <v>0</v>
      </c>
      <c r="X1731" s="246">
        <f>_xlfn.XLOOKUP(FME_Ranking1[[#This Row],[FME ID]],FME_Input[FME_ID],FME_Input[ROADCLS])</f>
        <v>0</v>
      </c>
      <c r="Y1731" s="230">
        <f>(FME_Ranking1[[#This Row],[Closures Raw]]/$X$2)*100</f>
        <v>0</v>
      </c>
      <c r="Z1731" s="180">
        <f>FME_Ranking1[[#This Row],[Closures Score (Normalized, Unweighted)]]*$X$3</f>
        <v>0</v>
      </c>
      <c r="AA1731" s="253">
        <f>_xlfn.XLOOKUP(FME_Ranking1[[#This Row],[FME ID]],FME_Input[FME_ID],FME_Input[ROAD_MILES100])</f>
        <v>12.695725440979</v>
      </c>
      <c r="AB1731" s="178">
        <f>(FME_Ranking1[[#This Row],[Miles Raw]]/$AA$2)*100</f>
        <v>0.16692601869629364</v>
      </c>
      <c r="AC1731" s="178">
        <f>FME_Ranking1[[#This Row],[Miles Score (Normalized, Unweighted)]]*$AA$3</f>
        <v>1.6692601869629366E-2</v>
      </c>
      <c r="AD1731" s="255">
        <f>_xlfn.XLOOKUP(FME_Ranking1[[#This Row],[FME ID]],FME_Input[FME_ID],FME_Input[FARMACRE100])</f>
        <v>1958.073974609375</v>
      </c>
      <c r="AE1731" s="230">
        <f>(FME_Ranking1[[#This Row],[Ag Land Raw]]/$AD$2)*100</f>
        <v>8.0742205387519084E-2</v>
      </c>
      <c r="AF1731" s="231">
        <f>FME_Ranking1[[#This Row],[Ag Land Score (Normalized, Unweighted)]]*$AD$3</f>
        <v>4.0371102693759547E-3</v>
      </c>
      <c r="AG173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2.527659847660867E-2</v>
      </c>
      <c r="AH1731" s="406">
        <f t="shared" si="26"/>
        <v>1519</v>
      </c>
      <c r="AI173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2.527659847660867E-2</v>
      </c>
      <c r="AJ1731" s="257">
        <f>FME_Ranking1[[#This Row],[Addition check]]-FME_Ranking1[[#This Row],[Weighted Score Based on Normalized Reported Factors]]</f>
        <v>0</v>
      </c>
      <c r="AK1731" s="178">
        <f>_xlfn.RANK.EQ(AI1731,$AI$6:$AI$2341,0)+COUNTIF($AI$6:AI1731,AI1731)-1</f>
        <v>1519</v>
      </c>
    </row>
    <row r="1732" spans="1:37" x14ac:dyDescent="0.25">
      <c r="A1732" t="s">
        <v>4213</v>
      </c>
      <c r="B1732">
        <f>_xlfn.XLOOKUP(FME_Ranking1[[#This Row],[FME ID]],FME_Input[FME_ID],FME_Input[RFPG_NUM])</f>
        <v>3</v>
      </c>
      <c r="C1732" t="str">
        <f>_xlfn.XLOOKUP(FME_Ranking1[[#This Row],[FME ID]],FME_Input[FME_ID],FME_Input[FME_NAME])</f>
        <v>Sansom Park DMP</v>
      </c>
      <c r="D1732" t="str">
        <f>_xlfn.XLOOKUP(FME_Ranking1[[#This Row],[FME ID]],FME_Input[FME_ID],FME_Input[DESCR])</f>
        <v>Evaluate City and identify future projects.</v>
      </c>
      <c r="E1732" s="256">
        <f>_xlfn.XLOOKUP(FME_Ranking1[[#This Row],[FME ID]],FME_Input[FME_ID],FME_Input[FME_COST])</f>
        <v>250000</v>
      </c>
      <c r="F1732" t="str">
        <f>_xlfn.XLOOKUP(FME_Ranking1[[#This Row],[FME ID]],FME_Input[FME_ID],FME_Input[EMER_NEED])</f>
        <v>No</v>
      </c>
      <c r="G1732">
        <f>IF(FME_Ranking!F1732="Yes",100,0)</f>
        <v>0</v>
      </c>
      <c r="H1732">
        <f>FME_Ranking1[[#This Row],[Emergency Need Score (Normalized, Unweighted)]]*$F$3</f>
        <v>0</v>
      </c>
      <c r="I1732" s="246">
        <f>_xlfn.XLOOKUP(FME_Ranking1[[#This Row],[FME ID]],FME_Input[FME_ID],FME_Input[STRUCT_100])</f>
        <v>0</v>
      </c>
      <c r="J1732" s="178">
        <f>(FME_Ranking1[[#This Row],[Structures 100 Raw]]/I$2)*100</f>
        <v>0</v>
      </c>
      <c r="K1732" s="178">
        <f>FME_Ranking1[[#This Row],[Structures 100  Score (Normalized, Unweighted)]]*$I$3</f>
        <v>0</v>
      </c>
      <c r="L1732" s="246">
        <f>_xlfn.XLOOKUP(FME_Ranking1[[#This Row],[FME ID]],FME_Input[FME_ID],FME_Input[RES_STRUCT100])</f>
        <v>0</v>
      </c>
      <c r="M1732" s="230">
        <f>(FME_Ranking1[[#This Row],[Res Structures Raw]]/L$2)*100</f>
        <v>0</v>
      </c>
      <c r="N1732" s="180">
        <f>FME_Ranking1[[#This Row],[Res Structures Score (Normalized, Unweighted)]]*$L$3</f>
        <v>0</v>
      </c>
      <c r="O1732" s="244">
        <f>_xlfn.XLOOKUP(FME_Ranking1[[#This Row],[FME ID]],FME_Input[FME_ID],FME_Input[POP100])</f>
        <v>0</v>
      </c>
      <c r="P1732" s="178">
        <f>(FME_Ranking1[[#This Row],[Pop Raw]]/$O$2)*100</f>
        <v>0</v>
      </c>
      <c r="Q1732" s="178">
        <f>FME_Ranking1[[#This Row],[Pop Score (Normalized, Unweighted)]]*$O$3</f>
        <v>0</v>
      </c>
      <c r="R1732" s="137">
        <f>_xlfn.XLOOKUP(FME_Ranking1[[#This Row],[FME ID]],FME_Input[FME_ID],FME_Input[CRITFAC100])</f>
        <v>1</v>
      </c>
      <c r="S1732" s="230">
        <f>(FME_Ranking1[[#This Row],[Critical Facilities Raw]]/$R$2)*100</f>
        <v>4.2881646655231559E-2</v>
      </c>
      <c r="T1732" s="180">
        <f>FME_Ranking1[[#This Row],[Critical Facilities Score (Normalized, Unweighted)]]*$R$3</f>
        <v>8.5763293310463125E-3</v>
      </c>
      <c r="U1732">
        <f>_xlfn.XLOOKUP(FME_Ranking1[[#This Row],[FME ID]],FME_Input[FME_ID],FME_Input[LWC])</f>
        <v>0</v>
      </c>
      <c r="V1732" s="178">
        <f>(FME_Ranking1[[#This Row],[LWC Raw]]/$U$2)*100</f>
        <v>0</v>
      </c>
      <c r="W1732" s="178">
        <f>FME_Ranking1[[#This Row],[LWC Score (Normalized, Unweighted)]]*$U$3</f>
        <v>0</v>
      </c>
      <c r="X1732" s="246">
        <f>_xlfn.XLOOKUP(FME_Ranking1[[#This Row],[FME ID]],FME_Input[FME_ID],FME_Input[ROADCLS])</f>
        <v>0</v>
      </c>
      <c r="Y1732" s="230">
        <f>(FME_Ranking1[[#This Row],[Closures Raw]]/$X$2)*100</f>
        <v>0</v>
      </c>
      <c r="Z1732" s="180">
        <f>FME_Ranking1[[#This Row],[Closures Score (Normalized, Unweighted)]]*$X$3</f>
        <v>0</v>
      </c>
      <c r="AA1732" s="253">
        <f>_xlfn.XLOOKUP(FME_Ranking1[[#This Row],[FME ID]],FME_Input[FME_ID],FME_Input[ROAD_MILES100])</f>
        <v>0</v>
      </c>
      <c r="AB1732" s="178">
        <f>(FME_Ranking1[[#This Row],[Miles Raw]]/$AA$2)*100</f>
        <v>0</v>
      </c>
      <c r="AC1732" s="178">
        <f>FME_Ranking1[[#This Row],[Miles Score (Normalized, Unweighted)]]*$AA$3</f>
        <v>0</v>
      </c>
      <c r="AD1732" s="255">
        <f>_xlfn.XLOOKUP(FME_Ranking1[[#This Row],[FME ID]],FME_Input[FME_ID],FME_Input[FARMACRE100])</f>
        <v>0</v>
      </c>
      <c r="AE1732" s="230">
        <f>(FME_Ranking1[[#This Row],[Ag Land Raw]]/$AD$2)*100</f>
        <v>0</v>
      </c>
      <c r="AF1732" s="231">
        <f>FME_Ranking1[[#This Row],[Ag Land Score (Normalized, Unweighted)]]*$AD$3</f>
        <v>0</v>
      </c>
      <c r="AG173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8.5763293310463125E-3</v>
      </c>
      <c r="AH1732" s="406">
        <f t="shared" si="26"/>
        <v>1770</v>
      </c>
      <c r="AI173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8.5763293310463125E-3</v>
      </c>
      <c r="AJ1732" s="257">
        <f>FME_Ranking1[[#This Row],[Addition check]]-FME_Ranking1[[#This Row],[Weighted Score Based on Normalized Reported Factors]]</f>
        <v>0</v>
      </c>
      <c r="AK1732" s="178">
        <f>_xlfn.RANK.EQ(AI1732,$AI$6:$AI$2341,0)+COUNTIF($AI$6:AI1732,AI1732)-1</f>
        <v>1770</v>
      </c>
    </row>
    <row r="1733" spans="1:37" x14ac:dyDescent="0.25">
      <c r="A1733" t="s">
        <v>66</v>
      </c>
      <c r="B1733">
        <f>_xlfn.XLOOKUP(FME_Ranking1[[#This Row],[FME ID]],FME_Input[FME_ID],FME_Input[RFPG_NUM])</f>
        <v>10</v>
      </c>
      <c r="C1733" t="str">
        <f>_xlfn.XLOOKUP(FME_Ranking1[[#This Row],[FME ID]],FME_Input[FME_ID],FME_Input[FME_NAME])</f>
        <v>Lakeview Drive &amp; Tuck Street</v>
      </c>
      <c r="D1733" t="str">
        <f>_xlfn.XLOOKUP(FME_Ranking1[[#This Row],[FME ID]],FME_Input[FME_ID],FME_Input[DESCR])</f>
        <v>Drainage system improvements</v>
      </c>
      <c r="E1733" s="256">
        <f>_xlfn.XLOOKUP(FME_Ranking1[[#This Row],[FME ID]],FME_Input[FME_ID],FME_Input[FME_COST])</f>
        <v>100000</v>
      </c>
      <c r="F1733" t="str">
        <f>_xlfn.XLOOKUP(FME_Ranking1[[#This Row],[FME ID]],FME_Input[FME_ID],FME_Input[EMER_NEED])</f>
        <v>No</v>
      </c>
      <c r="G1733">
        <f>IF(FME_Ranking!F1733="Yes",100,0)</f>
        <v>0</v>
      </c>
      <c r="H1733">
        <f>FME_Ranking1[[#This Row],[Emergency Need Score (Normalized, Unweighted)]]*$F$3</f>
        <v>0</v>
      </c>
      <c r="I1733" s="246">
        <f>_xlfn.XLOOKUP(FME_Ranking1[[#This Row],[FME ID]],FME_Input[FME_ID],FME_Input[STRUCT_100])</f>
        <v>47</v>
      </c>
      <c r="J1733" s="178">
        <f>(FME_Ranking1[[#This Row],[Structures 100 Raw]]/I$2)*100</f>
        <v>2.5168144625797882E-2</v>
      </c>
      <c r="K1733" s="178">
        <f>FME_Ranking1[[#This Row],[Structures 100  Score (Normalized, Unweighted)]]*$I$3</f>
        <v>3.7752216938696822E-3</v>
      </c>
      <c r="L1733" s="246">
        <f>_xlfn.XLOOKUP(FME_Ranking1[[#This Row],[FME ID]],FME_Input[FME_ID],FME_Input[RES_STRUCT100])</f>
        <v>40</v>
      </c>
      <c r="M1733" s="230">
        <f>(FME_Ranking1[[#This Row],[Res Structures Raw]]/L$2)*100</f>
        <v>2.8332223654573527E-2</v>
      </c>
      <c r="N1733" s="180">
        <f>FME_Ranking1[[#This Row],[Res Structures Score (Normalized, Unweighted)]]*$L$3</f>
        <v>2.833222365457353E-3</v>
      </c>
      <c r="O1733" s="244">
        <f>_xlfn.XLOOKUP(FME_Ranking1[[#This Row],[FME ID]],FME_Input[FME_ID],FME_Input[POP100])</f>
        <v>115</v>
      </c>
      <c r="P1733" s="178">
        <f>(FME_Ranking1[[#This Row],[Pop Raw]]/$O$2)*100</f>
        <v>1.1773160878707778E-2</v>
      </c>
      <c r="Q1733" s="178">
        <f>FME_Ranking1[[#This Row],[Pop Score (Normalized, Unweighted)]]*$O$3</f>
        <v>1.7659741318061667E-3</v>
      </c>
      <c r="R1733" s="137">
        <f>_xlfn.XLOOKUP(FME_Ranking1[[#This Row],[FME ID]],FME_Input[FME_ID],FME_Input[CRITFAC100])</f>
        <v>0</v>
      </c>
      <c r="S1733" s="230">
        <f>(FME_Ranking1[[#This Row],[Critical Facilities Raw]]/$R$2)*100</f>
        <v>0</v>
      </c>
      <c r="T1733" s="180">
        <f>FME_Ranking1[[#This Row],[Critical Facilities Score (Normalized, Unweighted)]]*$R$3</f>
        <v>0</v>
      </c>
      <c r="U1733">
        <f>_xlfn.XLOOKUP(FME_Ranking1[[#This Row],[FME ID]],FME_Input[FME_ID],FME_Input[LWC])</f>
        <v>0</v>
      </c>
      <c r="V1733" s="178">
        <f>(FME_Ranking1[[#This Row],[LWC Raw]]/$U$2)*100</f>
        <v>0</v>
      </c>
      <c r="W1733" s="178">
        <f>FME_Ranking1[[#This Row],[LWC Score (Normalized, Unweighted)]]*$U$3</f>
        <v>0</v>
      </c>
      <c r="X1733" s="246">
        <f>_xlfn.XLOOKUP(FME_Ranking1[[#This Row],[FME ID]],FME_Input[FME_ID],FME_Input[ROADCLS])</f>
        <v>0</v>
      </c>
      <c r="Y1733" s="230">
        <f>(FME_Ranking1[[#This Row],[Closures Raw]]/$X$2)*100</f>
        <v>0</v>
      </c>
      <c r="Z1733" s="180">
        <f>FME_Ranking1[[#This Row],[Closures Score (Normalized, Unweighted)]]*$X$3</f>
        <v>0</v>
      </c>
      <c r="AA1733" s="253">
        <f>_xlfn.XLOOKUP(FME_Ranking1[[#This Row],[FME ID]],FME_Input[FME_ID],FME_Input[ROAD_MILES100])</f>
        <v>0.37732475996017462</v>
      </c>
      <c r="AB1733" s="178">
        <f>(FME_Ranking1[[#This Row],[Miles Raw]]/$AA$2)*100</f>
        <v>4.9611438297479174E-3</v>
      </c>
      <c r="AC1733" s="178">
        <f>FME_Ranking1[[#This Row],[Miles Score (Normalized, Unweighted)]]*$AA$3</f>
        <v>4.9611438297479172E-4</v>
      </c>
      <c r="AD1733" s="255">
        <f>_xlfn.XLOOKUP(FME_Ranking1[[#This Row],[FME ID]],FME_Input[FME_ID],FME_Input[FARMACRE100])</f>
        <v>61.844192504882813</v>
      </c>
      <c r="AE1733" s="230">
        <f>(FME_Ranking1[[#This Row],[Ag Land Raw]]/$AD$2)*100</f>
        <v>2.5501776531454481E-3</v>
      </c>
      <c r="AF1733" s="231">
        <f>FME_Ranking1[[#This Row],[Ag Land Score (Normalized, Unweighted)]]*$AD$3</f>
        <v>1.2750888265727241E-4</v>
      </c>
      <c r="AG173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8.9980414567652645E-3</v>
      </c>
      <c r="AH1733" s="406">
        <f t="shared" si="26"/>
        <v>1767</v>
      </c>
      <c r="AI173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8.9980414567652645E-3</v>
      </c>
      <c r="AJ1733" s="257">
        <f>FME_Ranking1[[#This Row],[Addition check]]-FME_Ranking1[[#This Row],[Weighted Score Based on Normalized Reported Factors]]</f>
        <v>0</v>
      </c>
      <c r="AK1733" s="178">
        <f>_xlfn.RANK.EQ(AI1733,$AI$6:$AI$2341,0)+COUNTIF($AI$6:AI1733,AI1733)-1</f>
        <v>1767</v>
      </c>
    </row>
    <row r="1734" spans="1:37" x14ac:dyDescent="0.25">
      <c r="A1734" t="s">
        <v>11244</v>
      </c>
      <c r="B1734">
        <f>_xlfn.XLOOKUP(FME_Ranking1[[#This Row],[FME ID]],FME_Input[FME_ID],FME_Input[RFPG_NUM])</f>
        <v>15</v>
      </c>
      <c r="C1734" t="str">
        <f>_xlfn.XLOOKUP(FME_Ranking1[[#This Row],[FME ID]],FME_Input[FME_ID],FME_Input[FME_NAME])</f>
        <v>Precinct 4 MDP - Risk Area E at Hwy 107 &amp; Val Verde Rd.</v>
      </c>
      <c r="D1734" t="str">
        <f>_xlfn.XLOOKUP(FME_Ranking1[[#This Row],[FME ID]],FME_Input[FME_ID],FME_Input[DESCR])</f>
        <v>Channel Improvements with approximately 0.3 miles of proposed improvements. Proposed detention pond north of Tex-Mex Rd. and east of S 87th St. has an approximate footprint of 4.25 acres and capacity of 20 acre-ft. Grate Inlets and Proposed Storm Drain 5</v>
      </c>
      <c r="E1734" s="256">
        <f>_xlfn.XLOOKUP(FME_Ranking1[[#This Row],[FME ID]],FME_Input[FME_ID],FME_Input[FME_COST])</f>
        <v>747450</v>
      </c>
      <c r="F1734" t="str">
        <f>_xlfn.XLOOKUP(FME_Ranking1[[#This Row],[FME ID]],FME_Input[FME_ID],FME_Input[EMER_NEED])</f>
        <v>Yes</v>
      </c>
      <c r="G1734">
        <f>IF(FME_Ranking!F1734="Yes",100,0)</f>
        <v>100</v>
      </c>
      <c r="H1734">
        <f>FME_Ranking1[[#This Row],[Emergency Need Score (Normalized, Unweighted)]]*$F$3</f>
        <v>0</v>
      </c>
      <c r="I1734" s="246">
        <f>_xlfn.XLOOKUP(FME_Ranking1[[#This Row],[FME ID]],FME_Input[FME_ID],FME_Input[STRUCT_100])</f>
        <v>0</v>
      </c>
      <c r="J1734" s="178">
        <f>(FME_Ranking1[[#This Row],[Structures 100 Raw]]/I$2)*100</f>
        <v>0</v>
      </c>
      <c r="K1734" s="178">
        <f>FME_Ranking1[[#This Row],[Structures 100  Score (Normalized, Unweighted)]]*$I$3</f>
        <v>0</v>
      </c>
      <c r="L1734" s="246">
        <f>_xlfn.XLOOKUP(FME_Ranking1[[#This Row],[FME ID]],FME_Input[FME_ID],FME_Input[RES_STRUCT100])</f>
        <v>58</v>
      </c>
      <c r="M1734" s="230">
        <f>(FME_Ranking1[[#This Row],[Res Structures Raw]]/L$2)*100</f>
        <v>4.1081724299131615E-2</v>
      </c>
      <c r="N1734" s="180">
        <f>FME_Ranking1[[#This Row],[Res Structures Score (Normalized, Unweighted)]]*$L$3</f>
        <v>4.1081724299131617E-3</v>
      </c>
      <c r="O1734" s="244">
        <f>_xlfn.XLOOKUP(FME_Ranking1[[#This Row],[FME ID]],FME_Input[FME_ID],FME_Input[POP100])</f>
        <v>280</v>
      </c>
      <c r="P1734" s="178">
        <f>(FME_Ranking1[[#This Row],[Pop Raw]]/$O$2)*100</f>
        <v>2.8665087356853722E-2</v>
      </c>
      <c r="Q1734" s="178">
        <f>FME_Ranking1[[#This Row],[Pop Score (Normalized, Unweighted)]]*$O$3</f>
        <v>4.2997631035280584E-3</v>
      </c>
      <c r="R1734" s="137">
        <f>_xlfn.XLOOKUP(FME_Ranking1[[#This Row],[FME ID]],FME_Input[FME_ID],FME_Input[CRITFAC100])</f>
        <v>0</v>
      </c>
      <c r="S1734" s="230">
        <f>(FME_Ranking1[[#This Row],[Critical Facilities Raw]]/$R$2)*100</f>
        <v>0</v>
      </c>
      <c r="T1734" s="180">
        <f>FME_Ranking1[[#This Row],[Critical Facilities Score (Normalized, Unweighted)]]*$R$3</f>
        <v>0</v>
      </c>
      <c r="U1734">
        <f>_xlfn.XLOOKUP(FME_Ranking1[[#This Row],[FME ID]],FME_Input[FME_ID],FME_Input[LWC])</f>
        <v>0</v>
      </c>
      <c r="V1734" s="178">
        <f>(FME_Ranking1[[#This Row],[LWC Raw]]/$U$2)*100</f>
        <v>0</v>
      </c>
      <c r="W1734" s="178">
        <f>FME_Ranking1[[#This Row],[LWC Score (Normalized, Unweighted)]]*$U$3</f>
        <v>0</v>
      </c>
      <c r="X1734" s="246">
        <f>_xlfn.XLOOKUP(FME_Ranking1[[#This Row],[FME ID]],FME_Input[FME_ID],FME_Input[ROADCLS])</f>
        <v>0</v>
      </c>
      <c r="Y1734" s="230">
        <f>(FME_Ranking1[[#This Row],[Closures Raw]]/$X$2)*100</f>
        <v>0</v>
      </c>
      <c r="Z1734" s="180">
        <f>FME_Ranking1[[#This Row],[Closures Score (Normalized, Unweighted)]]*$X$3</f>
        <v>0</v>
      </c>
      <c r="AA1734" s="253">
        <f>_xlfn.XLOOKUP(FME_Ranking1[[#This Row],[FME ID]],FME_Input[FME_ID],FME_Input[ROAD_MILES100])</f>
        <v>4.5910201072692871</v>
      </c>
      <c r="AB1734" s="178">
        <f>(FME_Ranking1[[#This Row],[Miles Raw]]/$AA$2)*100</f>
        <v>6.0363680029456995E-2</v>
      </c>
      <c r="AC1734" s="178">
        <f>FME_Ranking1[[#This Row],[Miles Score (Normalized, Unweighted)]]*$AA$3</f>
        <v>6.0363680029456995E-3</v>
      </c>
      <c r="AD1734" s="255">
        <f>_xlfn.XLOOKUP(FME_Ranking1[[#This Row],[FME ID]],FME_Input[FME_ID],FME_Input[FARMACRE100])</f>
        <v>0</v>
      </c>
      <c r="AE1734" s="230">
        <f>(FME_Ranking1[[#This Row],[Ag Land Raw]]/$AD$2)*100</f>
        <v>0</v>
      </c>
      <c r="AF1734" s="231">
        <f>FME_Ranking1[[#This Row],[Ag Land Score (Normalized, Unweighted)]]*$AD$3</f>
        <v>0</v>
      </c>
      <c r="AG173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1.444430353638692E-2</v>
      </c>
      <c r="AH1734" s="406">
        <f t="shared" ref="AH1734:AH1797" si="27">_xlfn.RANK.EQ(AG1734,$AG$6:$AG$2341,0)</f>
        <v>1642</v>
      </c>
      <c r="AI173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1.444430353638692E-2</v>
      </c>
      <c r="AJ1734" s="257">
        <f>FME_Ranking1[[#This Row],[Addition check]]-FME_Ranking1[[#This Row],[Weighted Score Based on Normalized Reported Factors]]</f>
        <v>0</v>
      </c>
      <c r="AK1734" s="178">
        <f>_xlfn.RANK.EQ(AI1734,$AI$6:$AI$2341,0)+COUNTIF($AI$6:AI1734,AI1734)-1</f>
        <v>1642</v>
      </c>
    </row>
    <row r="1735" spans="1:37" x14ac:dyDescent="0.25">
      <c r="A1735" t="s">
        <v>180</v>
      </c>
      <c r="B1735">
        <f>_xlfn.XLOOKUP(FME_Ranking1[[#This Row],[FME ID]],FME_Input[FME_ID],FME_Input[RFPG_NUM])</f>
        <v>10</v>
      </c>
      <c r="C1735" t="str">
        <f>_xlfn.XLOOKUP(FME_Ranking1[[#This Row],[FME ID]],FME_Input[FME_ID],FME_Input[FME_NAME])</f>
        <v>Magnolia St</v>
      </c>
      <c r="D1735" t="str">
        <f>_xlfn.XLOOKUP(FME_Ranking1[[#This Row],[FME ID]],FME_Input[FME_ID],FME_Input[DESCR])</f>
        <v>Magnolia Ditch Project, Construction of ditch &amp; culvert</v>
      </c>
      <c r="E1735" s="256">
        <f>_xlfn.XLOOKUP(FME_Ranking1[[#This Row],[FME ID]],FME_Input[FME_ID],FME_Input[FME_COST])</f>
        <v>100000</v>
      </c>
      <c r="F1735" t="str">
        <f>_xlfn.XLOOKUP(FME_Ranking1[[#This Row],[FME ID]],FME_Input[FME_ID],FME_Input[EMER_NEED])</f>
        <v>No</v>
      </c>
      <c r="G1735">
        <f>IF(FME_Ranking!F1735="Yes",100,0)</f>
        <v>0</v>
      </c>
      <c r="H1735">
        <f>FME_Ranking1[[#This Row],[Emergency Need Score (Normalized, Unweighted)]]*$F$3</f>
        <v>0</v>
      </c>
      <c r="I1735" s="246">
        <f>_xlfn.XLOOKUP(FME_Ranking1[[#This Row],[FME ID]],FME_Input[FME_ID],FME_Input[STRUCT_100])</f>
        <v>27</v>
      </c>
      <c r="J1735" s="178">
        <f>(FME_Ranking1[[#This Row],[Structures 100 Raw]]/I$2)*100</f>
        <v>1.4458295848862615E-2</v>
      </c>
      <c r="K1735" s="178">
        <f>FME_Ranking1[[#This Row],[Structures 100  Score (Normalized, Unweighted)]]*$I$3</f>
        <v>2.1687443773293924E-3</v>
      </c>
      <c r="L1735" s="246">
        <f>_xlfn.XLOOKUP(FME_Ranking1[[#This Row],[FME ID]],FME_Input[FME_ID],FME_Input[RES_STRUCT100])</f>
        <v>27</v>
      </c>
      <c r="M1735" s="230">
        <f>(FME_Ranking1[[#This Row],[Res Structures Raw]]/L$2)*100</f>
        <v>1.9124250966837134E-2</v>
      </c>
      <c r="N1735" s="180">
        <f>FME_Ranking1[[#This Row],[Res Structures Score (Normalized, Unweighted)]]*$L$3</f>
        <v>1.9124250966837135E-3</v>
      </c>
      <c r="O1735" s="244">
        <f>_xlfn.XLOOKUP(FME_Ranking1[[#This Row],[FME ID]],FME_Input[FME_ID],FME_Input[POP100])</f>
        <v>276</v>
      </c>
      <c r="P1735" s="178">
        <f>(FME_Ranking1[[#This Row],[Pop Raw]]/$O$2)*100</f>
        <v>2.8255586108898667E-2</v>
      </c>
      <c r="Q1735" s="178">
        <f>FME_Ranking1[[#This Row],[Pop Score (Normalized, Unweighted)]]*$O$3</f>
        <v>4.2383379163347997E-3</v>
      </c>
      <c r="R1735" s="137">
        <f>_xlfn.XLOOKUP(FME_Ranking1[[#This Row],[FME ID]],FME_Input[FME_ID],FME_Input[CRITFAC100])</f>
        <v>0</v>
      </c>
      <c r="S1735" s="230">
        <f>(FME_Ranking1[[#This Row],[Critical Facilities Raw]]/$R$2)*100</f>
        <v>0</v>
      </c>
      <c r="T1735" s="180">
        <f>FME_Ranking1[[#This Row],[Critical Facilities Score (Normalized, Unweighted)]]*$R$3</f>
        <v>0</v>
      </c>
      <c r="U1735">
        <f>_xlfn.XLOOKUP(FME_Ranking1[[#This Row],[FME ID]],FME_Input[FME_ID],FME_Input[LWC])</f>
        <v>0</v>
      </c>
      <c r="V1735" s="178">
        <f>(FME_Ranking1[[#This Row],[LWC Raw]]/$U$2)*100</f>
        <v>0</v>
      </c>
      <c r="W1735" s="178">
        <f>FME_Ranking1[[#This Row],[LWC Score (Normalized, Unweighted)]]*$U$3</f>
        <v>0</v>
      </c>
      <c r="X1735" s="246">
        <f>_xlfn.XLOOKUP(FME_Ranking1[[#This Row],[FME ID]],FME_Input[FME_ID],FME_Input[ROADCLS])</f>
        <v>0</v>
      </c>
      <c r="Y1735" s="230">
        <f>(FME_Ranking1[[#This Row],[Closures Raw]]/$X$2)*100</f>
        <v>0</v>
      </c>
      <c r="Z1735" s="180">
        <f>FME_Ranking1[[#This Row],[Closures Score (Normalized, Unweighted)]]*$X$3</f>
        <v>0</v>
      </c>
      <c r="AA1735" s="253">
        <f>_xlfn.XLOOKUP(FME_Ranking1[[#This Row],[FME ID]],FME_Input[FME_ID],FME_Input[ROAD_MILES100])</f>
        <v>0.65585160255432129</v>
      </c>
      <c r="AB1735" s="178">
        <f>(FME_Ranking1[[#This Row],[Miles Raw]]/$AA$2)*100</f>
        <v>8.6232722485163164E-3</v>
      </c>
      <c r="AC1735" s="178">
        <f>FME_Ranking1[[#This Row],[Miles Score (Normalized, Unweighted)]]*$AA$3</f>
        <v>8.6232722485163164E-4</v>
      </c>
      <c r="AD1735" s="255">
        <f>_xlfn.XLOOKUP(FME_Ranking1[[#This Row],[FME ID]],FME_Input[FME_ID],FME_Input[FARMACRE100])</f>
        <v>7.2071123123168954</v>
      </c>
      <c r="AE1735" s="230">
        <f>(FME_Ranking1[[#This Row],[Ag Land Raw]]/$AD$2)*100</f>
        <v>2.9718904909509242E-4</v>
      </c>
      <c r="AF1735" s="231">
        <f>FME_Ranking1[[#This Row],[Ag Land Score (Normalized, Unweighted)]]*$AD$3</f>
        <v>1.4859452454754621E-5</v>
      </c>
      <c r="AG173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9.1966940676542919E-3</v>
      </c>
      <c r="AH1735" s="406">
        <f t="shared" si="27"/>
        <v>1763</v>
      </c>
      <c r="AI173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9.1966940676542919E-3</v>
      </c>
      <c r="AJ1735" s="257">
        <f>FME_Ranking1[[#This Row],[Addition check]]-FME_Ranking1[[#This Row],[Weighted Score Based on Normalized Reported Factors]]</f>
        <v>0</v>
      </c>
      <c r="AK1735" s="178">
        <f>_xlfn.RANK.EQ(AI1735,$AI$6:$AI$2341,0)+COUNTIF($AI$6:AI1735,AI1735)-1</f>
        <v>1763</v>
      </c>
    </row>
    <row r="1736" spans="1:37" x14ac:dyDescent="0.25">
      <c r="A1736" t="s">
        <v>829</v>
      </c>
      <c r="B1736">
        <f>_xlfn.XLOOKUP(FME_Ranking1[[#This Row],[FME ID]],FME_Input[FME_ID],FME_Input[RFPG_NUM])</f>
        <v>6</v>
      </c>
      <c r="C1736" t="str">
        <f>_xlfn.XLOOKUP(FME_Ranking1[[#This Row],[FME ID]],FME_Input[FME_ID],FME_Input[FME_NAME])</f>
        <v>Lake Shadows Subdivision Drainage Improvements</v>
      </c>
      <c r="D1736" t="str">
        <f>_xlfn.XLOOKUP(FME_Ranking1[[#This Row],[FME ID]],FME_Input[FME_ID],FME_Input[DESCR])</f>
        <v>Further study and development of a FMP of recommended alternative 5 which includes installing the Foley trunk line downstream of the pipelines, upsizing and installing new outfalls, and installing the Belle Cote trunk line.</v>
      </c>
      <c r="E1736" s="256">
        <f>_xlfn.XLOOKUP(FME_Ranking1[[#This Row],[FME ID]],FME_Input[FME_ID],FME_Input[FME_COST])</f>
        <v>280000</v>
      </c>
      <c r="F1736" t="str">
        <f>_xlfn.XLOOKUP(FME_Ranking1[[#This Row],[FME ID]],FME_Input[FME_ID],FME_Input[EMER_NEED])</f>
        <v>No</v>
      </c>
      <c r="G1736">
        <f>IF(FME_Ranking!F1736="Yes",100,0)</f>
        <v>0</v>
      </c>
      <c r="H1736">
        <f>FME_Ranking1[[#This Row],[Emergency Need Score (Normalized, Unweighted)]]*$F$3</f>
        <v>0</v>
      </c>
      <c r="I1736" s="246">
        <f>_xlfn.XLOOKUP(FME_Ranking1[[#This Row],[FME ID]],FME_Input[FME_ID],FME_Input[STRUCT_100])</f>
        <v>41</v>
      </c>
      <c r="J1736" s="178">
        <f>(FME_Ranking1[[#This Row],[Structures 100 Raw]]/I$2)*100</f>
        <v>2.1955189992717301E-2</v>
      </c>
      <c r="K1736" s="178">
        <f>FME_Ranking1[[#This Row],[Structures 100  Score (Normalized, Unweighted)]]*$I$3</f>
        <v>3.2932784989075951E-3</v>
      </c>
      <c r="L1736" s="246">
        <f>_xlfn.XLOOKUP(FME_Ranking1[[#This Row],[FME ID]],FME_Input[FME_ID],FME_Input[RES_STRUCT100])</f>
        <v>38</v>
      </c>
      <c r="M1736" s="230">
        <f>(FME_Ranking1[[#This Row],[Res Structures Raw]]/L$2)*100</f>
        <v>2.691561247184485E-2</v>
      </c>
      <c r="N1736" s="180">
        <f>FME_Ranking1[[#This Row],[Res Structures Score (Normalized, Unweighted)]]*$L$3</f>
        <v>2.691561247184485E-3</v>
      </c>
      <c r="O1736" s="244">
        <f>_xlfn.XLOOKUP(FME_Ranking1[[#This Row],[FME ID]],FME_Input[FME_ID],FME_Input[POP100])</f>
        <v>149</v>
      </c>
      <c r="P1736" s="178">
        <f>(FME_Ranking1[[#This Row],[Pop Raw]]/$O$2)*100</f>
        <v>1.525392148632573E-2</v>
      </c>
      <c r="Q1736" s="178">
        <f>FME_Ranking1[[#This Row],[Pop Score (Normalized, Unweighted)]]*$O$3</f>
        <v>2.2880882229488592E-3</v>
      </c>
      <c r="R1736" s="137">
        <f>_xlfn.XLOOKUP(FME_Ranking1[[#This Row],[FME ID]],FME_Input[FME_ID],FME_Input[CRITFAC100])</f>
        <v>0</v>
      </c>
      <c r="S1736" s="230">
        <f>(FME_Ranking1[[#This Row],[Critical Facilities Raw]]/$R$2)*100</f>
        <v>0</v>
      </c>
      <c r="T1736" s="180">
        <f>FME_Ranking1[[#This Row],[Critical Facilities Score (Normalized, Unweighted)]]*$R$3</f>
        <v>0</v>
      </c>
      <c r="U1736">
        <f>_xlfn.XLOOKUP(FME_Ranking1[[#This Row],[FME ID]],FME_Input[FME_ID],FME_Input[LWC])</f>
        <v>0</v>
      </c>
      <c r="V1736" s="178">
        <f>(FME_Ranking1[[#This Row],[LWC Raw]]/$U$2)*100</f>
        <v>0</v>
      </c>
      <c r="W1736" s="178">
        <f>FME_Ranking1[[#This Row],[LWC Score (Normalized, Unweighted)]]*$U$3</f>
        <v>0</v>
      </c>
      <c r="X1736" s="246">
        <f>_xlfn.XLOOKUP(FME_Ranking1[[#This Row],[FME ID]],FME_Input[FME_ID],FME_Input[ROADCLS])</f>
        <v>0</v>
      </c>
      <c r="Y1736" s="230">
        <f>(FME_Ranking1[[#This Row],[Closures Raw]]/$X$2)*100</f>
        <v>0</v>
      </c>
      <c r="Z1736" s="180">
        <f>FME_Ranking1[[#This Row],[Closures Score (Normalized, Unweighted)]]*$X$3</f>
        <v>0</v>
      </c>
      <c r="AA1736" s="253">
        <f>_xlfn.XLOOKUP(FME_Ranking1[[#This Row],[FME ID]],FME_Input[FME_ID],FME_Input[ROAD_MILES100])</f>
        <v>0</v>
      </c>
      <c r="AB1736" s="178">
        <f>(FME_Ranking1[[#This Row],[Miles Raw]]/$AA$2)*100</f>
        <v>0</v>
      </c>
      <c r="AC1736" s="178">
        <f>FME_Ranking1[[#This Row],[Miles Score (Normalized, Unweighted)]]*$AA$3</f>
        <v>0</v>
      </c>
      <c r="AD1736" s="255">
        <f>_xlfn.XLOOKUP(FME_Ranking1[[#This Row],[FME ID]],FME_Input[FME_ID],FME_Input[FARMACRE100])</f>
        <v>0.4700922966003418</v>
      </c>
      <c r="AE1736" s="230">
        <f>(FME_Ranking1[[#This Row],[Ag Land Raw]]/$AD$2)*100</f>
        <v>1.9384501941897984E-5</v>
      </c>
      <c r="AF1736" s="231">
        <f>FME_Ranking1[[#This Row],[Ag Land Score (Normalized, Unweighted)]]*$AD$3</f>
        <v>9.692250970948993E-7</v>
      </c>
      <c r="AG173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8.2738971941380343E-3</v>
      </c>
      <c r="AH1736" s="406">
        <f t="shared" si="27"/>
        <v>1780</v>
      </c>
      <c r="AI173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8.2738971941380343E-3</v>
      </c>
      <c r="AJ1736" s="257">
        <f>FME_Ranking1[[#This Row],[Addition check]]-FME_Ranking1[[#This Row],[Weighted Score Based on Normalized Reported Factors]]</f>
        <v>0</v>
      </c>
      <c r="AK1736" s="178">
        <f>_xlfn.RANK.EQ(AI1736,$AI$6:$AI$2341,0)+COUNTIF($AI$6:AI1736,AI1736)-1</f>
        <v>1780</v>
      </c>
    </row>
    <row r="1737" spans="1:37" x14ac:dyDescent="0.25">
      <c r="A1737" t="s">
        <v>85</v>
      </c>
      <c r="B1737">
        <f>_xlfn.XLOOKUP(FME_Ranking1[[#This Row],[FME ID]],FME_Input[FME_ID],FME_Input[RFPG_NUM])</f>
        <v>10</v>
      </c>
      <c r="C1737" t="str">
        <f>_xlfn.XLOOKUP(FME_Ranking1[[#This Row],[FME ID]],FME_Input[FME_ID],FME_Input[FME_NAME])</f>
        <v>Waters Edge Terrace Subdivision</v>
      </c>
      <c r="D1737" t="str">
        <f>_xlfn.XLOOKUP(FME_Ranking1[[#This Row],[FME ID]],FME_Input[FME_ID],FME_Input[DESCR])</f>
        <v>Voluntary buyout of homes in 100-year FP (12 homes)</v>
      </c>
      <c r="E1737" s="256">
        <f>_xlfn.XLOOKUP(FME_Ranking1[[#This Row],[FME ID]],FME_Input[FME_ID],FME_Input[FME_COST])</f>
        <v>100000</v>
      </c>
      <c r="F1737" t="str">
        <f>_xlfn.XLOOKUP(FME_Ranking1[[#This Row],[FME ID]],FME_Input[FME_ID],FME_Input[EMER_NEED])</f>
        <v>No</v>
      </c>
      <c r="G1737">
        <f>IF(FME_Ranking!F1737="Yes",100,0)</f>
        <v>0</v>
      </c>
      <c r="H1737">
        <f>FME_Ranking1[[#This Row],[Emergency Need Score (Normalized, Unweighted)]]*$F$3</f>
        <v>0</v>
      </c>
      <c r="I1737" s="246">
        <f>_xlfn.XLOOKUP(FME_Ranking1[[#This Row],[FME ID]],FME_Input[FME_ID],FME_Input[STRUCT_100])</f>
        <v>43</v>
      </c>
      <c r="J1737" s="178">
        <f>(FME_Ranking1[[#This Row],[Structures 100 Raw]]/I$2)*100</f>
        <v>2.302617487041083E-2</v>
      </c>
      <c r="K1737" s="178">
        <f>FME_Ranking1[[#This Row],[Structures 100  Score (Normalized, Unweighted)]]*$I$3</f>
        <v>3.4539262305616244E-3</v>
      </c>
      <c r="L1737" s="246">
        <f>_xlfn.XLOOKUP(FME_Ranking1[[#This Row],[FME ID]],FME_Input[FME_ID],FME_Input[RES_STRUCT100])</f>
        <v>41</v>
      </c>
      <c r="M1737" s="230">
        <f>(FME_Ranking1[[#This Row],[Res Structures Raw]]/L$2)*100</f>
        <v>2.904052924593787E-2</v>
      </c>
      <c r="N1737" s="180">
        <f>FME_Ranking1[[#This Row],[Res Structures Score (Normalized, Unweighted)]]*$L$3</f>
        <v>2.9040529245937872E-3</v>
      </c>
      <c r="O1737" s="244">
        <f>_xlfn.XLOOKUP(FME_Ranking1[[#This Row],[FME ID]],FME_Input[FME_ID],FME_Input[POP100])</f>
        <v>120</v>
      </c>
      <c r="P1737" s="178">
        <f>(FME_Ranking1[[#This Row],[Pop Raw]]/$O$2)*100</f>
        <v>1.2285037438651593E-2</v>
      </c>
      <c r="Q1737" s="178">
        <f>FME_Ranking1[[#This Row],[Pop Score (Normalized, Unweighted)]]*$O$3</f>
        <v>1.8427556157977389E-3</v>
      </c>
      <c r="R1737" s="137">
        <f>_xlfn.XLOOKUP(FME_Ranking1[[#This Row],[FME ID]],FME_Input[FME_ID],FME_Input[CRITFAC100])</f>
        <v>0</v>
      </c>
      <c r="S1737" s="230">
        <f>(FME_Ranking1[[#This Row],[Critical Facilities Raw]]/$R$2)*100</f>
        <v>0</v>
      </c>
      <c r="T1737" s="180">
        <f>FME_Ranking1[[#This Row],[Critical Facilities Score (Normalized, Unweighted)]]*$R$3</f>
        <v>0</v>
      </c>
      <c r="U1737">
        <f>_xlfn.XLOOKUP(FME_Ranking1[[#This Row],[FME ID]],FME_Input[FME_ID],FME_Input[LWC])</f>
        <v>0</v>
      </c>
      <c r="V1737" s="178">
        <f>(FME_Ranking1[[#This Row],[LWC Raw]]/$U$2)*100</f>
        <v>0</v>
      </c>
      <c r="W1737" s="178">
        <f>FME_Ranking1[[#This Row],[LWC Score (Normalized, Unweighted)]]*$U$3</f>
        <v>0</v>
      </c>
      <c r="X1737" s="246">
        <f>_xlfn.XLOOKUP(FME_Ranking1[[#This Row],[FME ID]],FME_Input[FME_ID],FME_Input[ROADCLS])</f>
        <v>0</v>
      </c>
      <c r="Y1737" s="230">
        <f>(FME_Ranking1[[#This Row],[Closures Raw]]/$X$2)*100</f>
        <v>0</v>
      </c>
      <c r="Z1737" s="180">
        <f>FME_Ranking1[[#This Row],[Closures Score (Normalized, Unweighted)]]*$X$3</f>
        <v>0</v>
      </c>
      <c r="AA1737" s="253">
        <f>_xlfn.XLOOKUP(FME_Ranking1[[#This Row],[FME ID]],FME_Input[FME_ID],FME_Input[ROAD_MILES100])</f>
        <v>0.46129077672958368</v>
      </c>
      <c r="AB1737" s="178">
        <f>(FME_Ranking1[[#This Row],[Miles Raw]]/$AA$2)*100</f>
        <v>6.0651463501444885E-3</v>
      </c>
      <c r="AC1737" s="178">
        <f>FME_Ranking1[[#This Row],[Miles Score (Normalized, Unweighted)]]*$AA$3</f>
        <v>6.0651463501444885E-4</v>
      </c>
      <c r="AD1737" s="255">
        <f>_xlfn.XLOOKUP(FME_Ranking1[[#This Row],[FME ID]],FME_Input[FME_ID],FME_Input[FARMACRE100])</f>
        <v>17.668033599853519</v>
      </c>
      <c r="AE1737" s="230">
        <f>(FME_Ranking1[[#This Row],[Ag Land Raw]]/$AD$2)*100</f>
        <v>7.2855061464036422E-4</v>
      </c>
      <c r="AF1737" s="231">
        <f>FME_Ranking1[[#This Row],[Ag Land Score (Normalized, Unweighted)]]*$AD$3</f>
        <v>3.6427530732018211E-5</v>
      </c>
      <c r="AG173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8.8436769366996171E-3</v>
      </c>
      <c r="AH1737" s="406">
        <f t="shared" si="27"/>
        <v>1768</v>
      </c>
      <c r="AI173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8.8436769366996171E-3</v>
      </c>
      <c r="AJ1737" s="257">
        <f>FME_Ranking1[[#This Row],[Addition check]]-FME_Ranking1[[#This Row],[Weighted Score Based on Normalized Reported Factors]]</f>
        <v>0</v>
      </c>
      <c r="AK1737" s="178">
        <f>_xlfn.RANK.EQ(AI1737,$AI$6:$AI$2341,0)+COUNTIF($AI$6:AI1737,AI1737)-1</f>
        <v>1768</v>
      </c>
    </row>
    <row r="1738" spans="1:37" x14ac:dyDescent="0.25">
      <c r="A1738" t="s">
        <v>4729</v>
      </c>
      <c r="B1738">
        <f>_xlfn.XLOOKUP(FME_Ranking1[[#This Row],[FME ID]],FME_Input[FME_ID],FME_Input[RFPG_NUM])</f>
        <v>3</v>
      </c>
      <c r="C1738" t="str">
        <f>_xlfn.XLOOKUP(FME_Ranking1[[#This Row],[FME ID]],FME_Input[FME_ID],FME_Input[FME_NAME])</f>
        <v>South of Bardin Rd and North of Newberry St</v>
      </c>
      <c r="D1738" t="str">
        <f>_xlfn.XLOOKUP(FME_Ranking1[[#This Row],[FME ID]],FME_Input[FME_ID],FME_Input[DESCR])</f>
        <v>Study update - Storm Drain Improvements; Estimated construction cost of $2,007,600</v>
      </c>
      <c r="E1738" s="256">
        <f>_xlfn.XLOOKUP(FME_Ranking1[[#This Row],[FME ID]],FME_Input[FME_ID],FME_Input[FME_COST])</f>
        <v>250000</v>
      </c>
      <c r="F1738" t="str">
        <f>_xlfn.XLOOKUP(FME_Ranking1[[#This Row],[FME ID]],FME_Input[FME_ID],FME_Input[EMER_NEED])</f>
        <v>No</v>
      </c>
      <c r="G1738">
        <f>IF(FME_Ranking!F1738="Yes",100,0)</f>
        <v>0</v>
      </c>
      <c r="H1738">
        <f>FME_Ranking1[[#This Row],[Emergency Need Score (Normalized, Unweighted)]]*$F$3</f>
        <v>0</v>
      </c>
      <c r="I1738" s="246">
        <f>_xlfn.XLOOKUP(FME_Ranking1[[#This Row],[FME ID]],FME_Input[FME_ID],FME_Input[STRUCT_100])</f>
        <v>22</v>
      </c>
      <c r="J1738" s="178">
        <f>(FME_Ranking1[[#This Row],[Structures 100 Raw]]/I$2)*100</f>
        <v>1.1780833654628797E-2</v>
      </c>
      <c r="K1738" s="178">
        <f>FME_Ranking1[[#This Row],[Structures 100  Score (Normalized, Unweighted)]]*$I$3</f>
        <v>1.7671250481943194E-3</v>
      </c>
      <c r="L1738" s="246">
        <f>_xlfn.XLOOKUP(FME_Ranking1[[#This Row],[FME ID]],FME_Input[FME_ID],FME_Input[RES_STRUCT100])</f>
        <v>21</v>
      </c>
      <c r="M1738" s="230">
        <f>(FME_Ranking1[[#This Row],[Res Structures Raw]]/L$2)*100</f>
        <v>1.4874417418651103E-2</v>
      </c>
      <c r="N1738" s="180">
        <f>FME_Ranking1[[#This Row],[Res Structures Score (Normalized, Unweighted)]]*$L$3</f>
        <v>1.4874417418651103E-3</v>
      </c>
      <c r="O1738" s="244">
        <f>_xlfn.XLOOKUP(FME_Ranking1[[#This Row],[FME ID]],FME_Input[FME_ID],FME_Input[POP100])</f>
        <v>314</v>
      </c>
      <c r="P1738" s="178">
        <f>(FME_Ranking1[[#This Row],[Pop Raw]]/$O$2)*100</f>
        <v>3.2145847964471674E-2</v>
      </c>
      <c r="Q1738" s="178">
        <f>FME_Ranking1[[#This Row],[Pop Score (Normalized, Unweighted)]]*$O$3</f>
        <v>4.8218771946707513E-3</v>
      </c>
      <c r="R1738" s="137">
        <f>_xlfn.XLOOKUP(FME_Ranking1[[#This Row],[FME ID]],FME_Input[FME_ID],FME_Input[CRITFAC100])</f>
        <v>0</v>
      </c>
      <c r="S1738" s="230">
        <f>(FME_Ranking1[[#This Row],[Critical Facilities Raw]]/$R$2)*100</f>
        <v>0</v>
      </c>
      <c r="T1738" s="180">
        <f>FME_Ranking1[[#This Row],[Critical Facilities Score (Normalized, Unweighted)]]*$R$3</f>
        <v>0</v>
      </c>
      <c r="U1738">
        <f>_xlfn.XLOOKUP(FME_Ranking1[[#This Row],[FME ID]],FME_Input[FME_ID],FME_Input[LWC])</f>
        <v>0</v>
      </c>
      <c r="V1738" s="178">
        <f>(FME_Ranking1[[#This Row],[LWC Raw]]/$U$2)*100</f>
        <v>0</v>
      </c>
      <c r="W1738" s="178">
        <f>FME_Ranking1[[#This Row],[LWC Score (Normalized, Unweighted)]]*$U$3</f>
        <v>0</v>
      </c>
      <c r="X1738" s="246">
        <f>_xlfn.XLOOKUP(FME_Ranking1[[#This Row],[FME ID]],FME_Input[FME_ID],FME_Input[ROADCLS])</f>
        <v>0</v>
      </c>
      <c r="Y1738" s="230">
        <f>(FME_Ranking1[[#This Row],[Closures Raw]]/$X$2)*100</f>
        <v>0</v>
      </c>
      <c r="Z1738" s="180">
        <f>FME_Ranking1[[#This Row],[Closures Score (Normalized, Unweighted)]]*$X$3</f>
        <v>0</v>
      </c>
      <c r="AA1738" s="253">
        <f>_xlfn.XLOOKUP(FME_Ranking1[[#This Row],[FME ID]],FME_Input[FME_ID],FME_Input[ROAD_MILES100])</f>
        <v>1.317970991134644</v>
      </c>
      <c r="AB1738" s="178">
        <f>(FME_Ranking1[[#This Row],[Miles Raw]]/$AA$2)*100</f>
        <v>1.7328954641472556E-2</v>
      </c>
      <c r="AC1738" s="178">
        <f>FME_Ranking1[[#This Row],[Miles Score (Normalized, Unweighted)]]*$AA$3</f>
        <v>1.7328954641472557E-3</v>
      </c>
      <c r="AD1738" s="255">
        <f>_xlfn.XLOOKUP(FME_Ranking1[[#This Row],[FME ID]],FME_Input[FME_ID],FME_Input[FARMACRE100])</f>
        <v>26.933830261230469</v>
      </c>
      <c r="AE1738" s="230">
        <f>(FME_Ranking1[[#This Row],[Ag Land Raw]]/$AD$2)*100</f>
        <v>1.1106305905826093E-3</v>
      </c>
      <c r="AF1738" s="231">
        <f>FME_Ranking1[[#This Row],[Ag Land Score (Normalized, Unweighted)]]*$AD$3</f>
        <v>5.5531529529130472E-5</v>
      </c>
      <c r="AG173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9.8648709784065671E-3</v>
      </c>
      <c r="AH1738" s="406">
        <f t="shared" si="27"/>
        <v>1756</v>
      </c>
      <c r="AI173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9.8648709784065671E-3</v>
      </c>
      <c r="AJ1738" s="257">
        <f>FME_Ranking1[[#This Row],[Addition check]]-FME_Ranking1[[#This Row],[Weighted Score Based on Normalized Reported Factors]]</f>
        <v>0</v>
      </c>
      <c r="AK1738" s="178">
        <f>_xlfn.RANK.EQ(AI1738,$AI$6:$AI$2341,0)+COUNTIF($AI$6:AI1738,AI1738)-1</f>
        <v>1756</v>
      </c>
    </row>
    <row r="1739" spans="1:37" x14ac:dyDescent="0.25">
      <c r="A1739" t="s">
        <v>2766</v>
      </c>
      <c r="B1739">
        <f>_xlfn.XLOOKUP(FME_Ranking1[[#This Row],[FME ID]],FME_Input[FME_ID],FME_Input[RFPG_NUM])</f>
        <v>1</v>
      </c>
      <c r="C1739" t="str">
        <f>_xlfn.XLOOKUP(FME_Ranking1[[#This Row],[FME ID]],FME_Input[FME_ID],FME_Input[FME_NAME])</f>
        <v>City of Fritch GIS Development</v>
      </c>
      <c r="D1739" t="str">
        <f>_xlfn.XLOOKUP(FME_Ranking1[[#This Row],[FME ID]],FME_Input[FME_ID],FME_Input[DESCR])</f>
        <v>Develop GIS inventory and condition assessment for flood infrastructure; selected based on survey response</v>
      </c>
      <c r="E1739" s="256">
        <f>_xlfn.XLOOKUP(FME_Ranking1[[#This Row],[FME ID]],FME_Input[FME_ID],FME_Input[FME_COST])</f>
        <v>50000</v>
      </c>
      <c r="F1739" t="str">
        <f>_xlfn.XLOOKUP(FME_Ranking1[[#This Row],[FME ID]],FME_Input[FME_ID],FME_Input[EMER_NEED])</f>
        <v>No</v>
      </c>
      <c r="G1739">
        <f>IF(FME_Ranking!F1739="Yes",100,0)</f>
        <v>0</v>
      </c>
      <c r="H1739">
        <f>FME_Ranking1[[#This Row],[Emergency Need Score (Normalized, Unweighted)]]*$F$3</f>
        <v>0</v>
      </c>
      <c r="I1739" s="246">
        <f>_xlfn.XLOOKUP(FME_Ranking1[[#This Row],[FME ID]],FME_Input[FME_ID],FME_Input[STRUCT_100])</f>
        <v>76</v>
      </c>
      <c r="J1739" s="178">
        <f>(FME_Ranking1[[#This Row],[Structures 100 Raw]]/I$2)*100</f>
        <v>4.0697425352354023E-2</v>
      </c>
      <c r="K1739" s="178">
        <f>FME_Ranking1[[#This Row],[Structures 100  Score (Normalized, Unweighted)]]*$I$3</f>
        <v>6.1046138028531035E-3</v>
      </c>
      <c r="L1739" s="246">
        <f>_xlfn.XLOOKUP(FME_Ranking1[[#This Row],[FME ID]],FME_Input[FME_ID],FME_Input[RES_STRUCT100])</f>
        <v>0</v>
      </c>
      <c r="M1739" s="230">
        <f>(FME_Ranking1[[#This Row],[Res Structures Raw]]/L$2)*100</f>
        <v>0</v>
      </c>
      <c r="N1739" s="180">
        <f>FME_Ranking1[[#This Row],[Res Structures Score (Normalized, Unweighted)]]*$L$3</f>
        <v>0</v>
      </c>
      <c r="O1739" s="244">
        <f>_xlfn.XLOOKUP(FME_Ranking1[[#This Row],[FME ID]],FME_Input[FME_ID],FME_Input[POP100])</f>
        <v>117</v>
      </c>
      <c r="P1739" s="178">
        <f>(FME_Ranking1[[#This Row],[Pop Raw]]/$O$2)*100</f>
        <v>1.1977911502685304E-2</v>
      </c>
      <c r="Q1739" s="178">
        <f>FME_Ranking1[[#This Row],[Pop Score (Normalized, Unweighted)]]*$O$3</f>
        <v>1.7966867254027956E-3</v>
      </c>
      <c r="R1739" s="137">
        <f>_xlfn.XLOOKUP(FME_Ranking1[[#This Row],[FME ID]],FME_Input[FME_ID],FME_Input[CRITFAC100])</f>
        <v>0</v>
      </c>
      <c r="S1739" s="230">
        <f>(FME_Ranking1[[#This Row],[Critical Facilities Raw]]/$R$2)*100</f>
        <v>0</v>
      </c>
      <c r="T1739" s="180">
        <f>FME_Ranking1[[#This Row],[Critical Facilities Score (Normalized, Unweighted)]]*$R$3</f>
        <v>0</v>
      </c>
      <c r="U1739">
        <f>_xlfn.XLOOKUP(FME_Ranking1[[#This Row],[FME ID]],FME_Input[FME_ID],FME_Input[LWC])</f>
        <v>0</v>
      </c>
      <c r="V1739" s="178">
        <f>(FME_Ranking1[[#This Row],[LWC Raw]]/$U$2)*100</f>
        <v>0</v>
      </c>
      <c r="W1739" s="178">
        <f>FME_Ranking1[[#This Row],[LWC Score (Normalized, Unweighted)]]*$U$3</f>
        <v>0</v>
      </c>
      <c r="X1739" s="246">
        <f>_xlfn.XLOOKUP(FME_Ranking1[[#This Row],[FME ID]],FME_Input[FME_ID],FME_Input[ROADCLS])</f>
        <v>0</v>
      </c>
      <c r="Y1739" s="230">
        <f>(FME_Ranking1[[#This Row],[Closures Raw]]/$X$2)*100</f>
        <v>0</v>
      </c>
      <c r="Z1739" s="180">
        <f>FME_Ranking1[[#This Row],[Closures Score (Normalized, Unweighted)]]*$X$3</f>
        <v>0</v>
      </c>
      <c r="AA1739" s="253">
        <f>_xlfn.XLOOKUP(FME_Ranking1[[#This Row],[FME ID]],FME_Input[FME_ID],FME_Input[ROAD_MILES100])</f>
        <v>3.5939300060272221</v>
      </c>
      <c r="AB1739" s="178">
        <f>(FME_Ranking1[[#This Row],[Miles Raw]]/$AA$2)*100</f>
        <v>4.7253733563177108E-2</v>
      </c>
      <c r="AC1739" s="178">
        <f>FME_Ranking1[[#This Row],[Miles Score (Normalized, Unweighted)]]*$AA$3</f>
        <v>4.7253733563177112E-3</v>
      </c>
      <c r="AD1739" s="255">
        <f>_xlfn.XLOOKUP(FME_Ranking1[[#This Row],[FME ID]],FME_Input[FME_ID],FME_Input[FARMACRE100])</f>
        <v>5.8515591621398926</v>
      </c>
      <c r="AE1739" s="230">
        <f>(FME_Ranking1[[#This Row],[Ag Land Raw]]/$AD$2)*100</f>
        <v>2.4129210532047087E-4</v>
      </c>
      <c r="AF1739" s="231">
        <f>FME_Ranking1[[#This Row],[Ag Land Score (Normalized, Unweighted)]]*$AD$3</f>
        <v>1.2064605266023545E-5</v>
      </c>
      <c r="AG173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1.2638738489839634E-2</v>
      </c>
      <c r="AH1739" s="406">
        <f t="shared" si="27"/>
        <v>1679</v>
      </c>
      <c r="AI173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1.2638738489839634E-2</v>
      </c>
      <c r="AJ1739" s="257">
        <f>FME_Ranking1[[#This Row],[Addition check]]-FME_Ranking1[[#This Row],[Weighted Score Based on Normalized Reported Factors]]</f>
        <v>0</v>
      </c>
      <c r="AK1739" s="178">
        <f>_xlfn.RANK.EQ(AI1739,$AI$6:$AI$2341,0)+COUNTIF($AI$6:AI1739,AI1739)-1</f>
        <v>1679</v>
      </c>
    </row>
    <row r="1740" spans="1:37" x14ac:dyDescent="0.25">
      <c r="A1740" t="s">
        <v>3902</v>
      </c>
      <c r="B1740">
        <f>_xlfn.XLOOKUP(FME_Ranking1[[#This Row],[FME ID]],FME_Input[FME_ID],FME_Input[RFPG_NUM])</f>
        <v>3</v>
      </c>
      <c r="C1740" t="str">
        <f>_xlfn.XLOOKUP(FME_Ranking1[[#This Row],[FME ID]],FME_Input[FME_ID],FME_Input[FME_NAME])</f>
        <v xml:space="preserve">Hunt County FEMA Mapping </v>
      </c>
      <c r="D1740" t="str">
        <f>_xlfn.XLOOKUP(FME_Ranking1[[#This Row],[FME ID]],FME_Input[FME_ID],FME_Input[DESCR])</f>
        <v>Create FEMA mapping in previously unmapped areas and update existing FEMA maps as needed.</v>
      </c>
      <c r="E1740" s="256">
        <f>_xlfn.XLOOKUP(FME_Ranking1[[#This Row],[FME ID]],FME_Input[FME_ID],FME_Input[FME_COST])</f>
        <v>1064000</v>
      </c>
      <c r="F1740" t="str">
        <f>_xlfn.XLOOKUP(FME_Ranking1[[#This Row],[FME ID]],FME_Input[FME_ID],FME_Input[EMER_NEED])</f>
        <v>No</v>
      </c>
      <c r="G1740">
        <f>IF(FME_Ranking!F1740="Yes",100,0)</f>
        <v>0</v>
      </c>
      <c r="H1740">
        <f>FME_Ranking1[[#This Row],[Emergency Need Score (Normalized, Unweighted)]]*$F$3</f>
        <v>0</v>
      </c>
      <c r="I1740" s="246">
        <f>_xlfn.XLOOKUP(FME_Ranking1[[#This Row],[FME ID]],FME_Input[FME_ID],FME_Input[STRUCT_100])</f>
        <v>27</v>
      </c>
      <c r="J1740" s="178">
        <f>(FME_Ranking1[[#This Row],[Structures 100 Raw]]/I$2)*100</f>
        <v>1.4458295848862615E-2</v>
      </c>
      <c r="K1740" s="178">
        <f>FME_Ranking1[[#This Row],[Structures 100  Score (Normalized, Unweighted)]]*$I$3</f>
        <v>2.1687443773293924E-3</v>
      </c>
      <c r="L1740" s="246">
        <f>_xlfn.XLOOKUP(FME_Ranking1[[#This Row],[FME ID]],FME_Input[FME_ID],FME_Input[RES_STRUCT100])</f>
        <v>16</v>
      </c>
      <c r="M1740" s="230">
        <f>(FME_Ranking1[[#This Row],[Res Structures Raw]]/L$2)*100</f>
        <v>1.1332889461829412E-2</v>
      </c>
      <c r="N1740" s="180">
        <f>FME_Ranking1[[#This Row],[Res Structures Score (Normalized, Unweighted)]]*$L$3</f>
        <v>1.1332889461829413E-3</v>
      </c>
      <c r="O1740" s="244">
        <f>_xlfn.XLOOKUP(FME_Ranking1[[#This Row],[FME ID]],FME_Input[FME_ID],FME_Input[POP100])</f>
        <v>7</v>
      </c>
      <c r="P1740" s="178">
        <f>(FME_Ranking1[[#This Row],[Pop Raw]]/$O$2)*100</f>
        <v>7.1662718392134295E-4</v>
      </c>
      <c r="Q1740" s="178">
        <f>FME_Ranking1[[#This Row],[Pop Score (Normalized, Unweighted)]]*$O$3</f>
        <v>1.0749407758820145E-4</v>
      </c>
      <c r="R1740" s="137">
        <f>_xlfn.XLOOKUP(FME_Ranking1[[#This Row],[FME ID]],FME_Input[FME_ID],FME_Input[CRITFAC100])</f>
        <v>0</v>
      </c>
      <c r="S1740" s="230">
        <f>(FME_Ranking1[[#This Row],[Critical Facilities Raw]]/$R$2)*100</f>
        <v>0</v>
      </c>
      <c r="T1740" s="180">
        <f>FME_Ranking1[[#This Row],[Critical Facilities Score (Normalized, Unweighted)]]*$R$3</f>
        <v>0</v>
      </c>
      <c r="U1740">
        <f>_xlfn.XLOOKUP(FME_Ranking1[[#This Row],[FME ID]],FME_Input[FME_ID],FME_Input[LWC])</f>
        <v>0</v>
      </c>
      <c r="V1740" s="178">
        <f>(FME_Ranking1[[#This Row],[LWC Raw]]/$U$2)*100</f>
        <v>0</v>
      </c>
      <c r="W1740" s="178">
        <f>FME_Ranking1[[#This Row],[LWC Score (Normalized, Unweighted)]]*$U$3</f>
        <v>0</v>
      </c>
      <c r="X1740" s="246">
        <f>_xlfn.XLOOKUP(FME_Ranking1[[#This Row],[FME ID]],FME_Input[FME_ID],FME_Input[ROADCLS])</f>
        <v>0</v>
      </c>
      <c r="Y1740" s="230">
        <f>(FME_Ranking1[[#This Row],[Closures Raw]]/$X$2)*100</f>
        <v>0</v>
      </c>
      <c r="Z1740" s="180">
        <f>FME_Ranking1[[#This Row],[Closures Score (Normalized, Unweighted)]]*$X$3</f>
        <v>0</v>
      </c>
      <c r="AA1740" s="253">
        <f>_xlfn.XLOOKUP(FME_Ranking1[[#This Row],[FME ID]],FME_Input[FME_ID],FME_Input[ROAD_MILES100])</f>
        <v>3.9244170188903809</v>
      </c>
      <c r="AB1740" s="178">
        <f>(FME_Ranking1[[#This Row],[Miles Raw]]/$AA$2)*100</f>
        <v>5.1599045026042498E-2</v>
      </c>
      <c r="AC1740" s="178">
        <f>FME_Ranking1[[#This Row],[Miles Score (Normalized, Unweighted)]]*$AA$3</f>
        <v>5.1599045026042498E-3</v>
      </c>
      <c r="AD1740" s="255">
        <f>_xlfn.XLOOKUP(FME_Ranking1[[#This Row],[FME ID]],FME_Input[FME_ID],FME_Input[FARMACRE100])</f>
        <v>2148.945068359375</v>
      </c>
      <c r="AE1740" s="230">
        <f>(FME_Ranking1[[#This Row],[Ag Land Raw]]/$AD$2)*100</f>
        <v>8.8612874858613702E-2</v>
      </c>
      <c r="AF1740" s="231">
        <f>FME_Ranking1[[#This Row],[Ag Land Score (Normalized, Unweighted)]]*$AD$3</f>
        <v>4.4306437429306855E-3</v>
      </c>
      <c r="AG174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1.3000075646635471E-2</v>
      </c>
      <c r="AH1740" s="406">
        <f t="shared" si="27"/>
        <v>1669</v>
      </c>
      <c r="AI174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1.3000075646635471E-2</v>
      </c>
      <c r="AJ1740" s="257">
        <f>FME_Ranking1[[#This Row],[Addition check]]-FME_Ranking1[[#This Row],[Weighted Score Based on Normalized Reported Factors]]</f>
        <v>0</v>
      </c>
      <c r="AK1740" s="178">
        <f>_xlfn.RANK.EQ(AI1740,$AI$6:$AI$2341,0)+COUNTIF($AI$6:AI1740,AI1740)-1</f>
        <v>1669</v>
      </c>
    </row>
    <row r="1741" spans="1:37" x14ac:dyDescent="0.25">
      <c r="A1741" t="s">
        <v>6433</v>
      </c>
      <c r="B1741">
        <f>_xlfn.XLOOKUP(FME_Ranking1[[#This Row],[FME ID]],FME_Input[FME_ID],FME_Input[RFPG_NUM])</f>
        <v>5</v>
      </c>
      <c r="C1741" t="str">
        <f>_xlfn.XLOOKUP(FME_Ranking1[[#This Row],[FME ID]],FME_Input[FME_ID],FME_Input[FME_NAME])</f>
        <v>Hardin County Cooks Lake Road Bridge Elevation</v>
      </c>
      <c r="D1741" t="str">
        <f>_xlfn.XLOOKUP(FME_Ranking1[[#This Row],[FME ID]],FME_Input[FME_ID],FME_Input[DESCR])</f>
        <v>H&amp;H study to improve drainage along Cooks Lake Bridge.</v>
      </c>
      <c r="E1741" s="256">
        <f>_xlfn.XLOOKUP(FME_Ranking1[[#This Row],[FME ID]],FME_Input[FME_ID],FME_Input[FME_COST])</f>
        <v>20000</v>
      </c>
      <c r="F1741" t="str">
        <f>_xlfn.XLOOKUP(FME_Ranking1[[#This Row],[FME ID]],FME_Input[FME_ID],FME_Input[EMER_NEED])</f>
        <v>Yes</v>
      </c>
      <c r="G1741">
        <f>IF(FME_Ranking!F1741="Yes",100,0)</f>
        <v>100</v>
      </c>
      <c r="H1741">
        <f>FME_Ranking1[[#This Row],[Emergency Need Score (Normalized, Unweighted)]]*$F$3</f>
        <v>0</v>
      </c>
      <c r="I1741" s="246">
        <f>_xlfn.XLOOKUP(FME_Ranking1[[#This Row],[FME ID]],FME_Input[FME_ID],FME_Input[STRUCT_100])</f>
        <v>41</v>
      </c>
      <c r="J1741" s="178">
        <f>(FME_Ranking1[[#This Row],[Structures 100 Raw]]/I$2)*100</f>
        <v>2.1955189992717301E-2</v>
      </c>
      <c r="K1741" s="178">
        <f>FME_Ranking1[[#This Row],[Structures 100  Score (Normalized, Unweighted)]]*$I$3</f>
        <v>3.2932784989075951E-3</v>
      </c>
      <c r="L1741" s="246">
        <f>_xlfn.XLOOKUP(FME_Ranking1[[#This Row],[FME ID]],FME_Input[FME_ID],FME_Input[RES_STRUCT100])</f>
        <v>23</v>
      </c>
      <c r="M1741" s="230">
        <f>(FME_Ranking1[[#This Row],[Res Structures Raw]]/L$2)*100</f>
        <v>1.6291028601379778E-2</v>
      </c>
      <c r="N1741" s="180">
        <f>FME_Ranking1[[#This Row],[Res Structures Score (Normalized, Unweighted)]]*$L$3</f>
        <v>1.6291028601379779E-3</v>
      </c>
      <c r="O1741" s="244">
        <f>_xlfn.XLOOKUP(FME_Ranking1[[#This Row],[FME ID]],FME_Input[FME_ID],FME_Input[POP100])</f>
        <v>188</v>
      </c>
      <c r="P1741" s="178">
        <f>(FME_Ranking1[[#This Row],[Pop Raw]]/$O$2)*100</f>
        <v>1.92465586538875E-2</v>
      </c>
      <c r="Q1741" s="178">
        <f>FME_Ranking1[[#This Row],[Pop Score (Normalized, Unweighted)]]*$O$3</f>
        <v>2.8869837980831248E-3</v>
      </c>
      <c r="R1741" s="137">
        <f>_xlfn.XLOOKUP(FME_Ranking1[[#This Row],[FME ID]],FME_Input[FME_ID],FME_Input[CRITFAC100])</f>
        <v>0</v>
      </c>
      <c r="S1741" s="230">
        <f>(FME_Ranking1[[#This Row],[Critical Facilities Raw]]/$R$2)*100</f>
        <v>0</v>
      </c>
      <c r="T1741" s="180">
        <f>FME_Ranking1[[#This Row],[Critical Facilities Score (Normalized, Unweighted)]]*$R$3</f>
        <v>0</v>
      </c>
      <c r="U1741">
        <f>_xlfn.XLOOKUP(FME_Ranking1[[#This Row],[FME ID]],FME_Input[FME_ID],FME_Input[LWC])</f>
        <v>0</v>
      </c>
      <c r="V1741" s="178">
        <f>(FME_Ranking1[[#This Row],[LWC Raw]]/$U$2)*100</f>
        <v>0</v>
      </c>
      <c r="W1741" s="178">
        <f>FME_Ranking1[[#This Row],[LWC Score (Normalized, Unweighted)]]*$U$3</f>
        <v>0</v>
      </c>
      <c r="X1741" s="246">
        <f>_xlfn.XLOOKUP(FME_Ranking1[[#This Row],[FME ID]],FME_Input[FME_ID],FME_Input[ROADCLS])</f>
        <v>0</v>
      </c>
      <c r="Y1741" s="230">
        <f>(FME_Ranking1[[#This Row],[Closures Raw]]/$X$2)*100</f>
        <v>0</v>
      </c>
      <c r="Z1741" s="180">
        <f>FME_Ranking1[[#This Row],[Closures Score (Normalized, Unweighted)]]*$X$3</f>
        <v>0</v>
      </c>
      <c r="AA1741" s="253">
        <f>_xlfn.XLOOKUP(FME_Ranking1[[#This Row],[FME ID]],FME_Input[FME_ID],FME_Input[ROAD_MILES100])</f>
        <v>2.6654155254364009</v>
      </c>
      <c r="AB1741" s="178">
        <f>(FME_Ranking1[[#This Row],[Miles Raw]]/$AA$2)*100</f>
        <v>3.504543351231125E-2</v>
      </c>
      <c r="AC1741" s="178">
        <f>FME_Ranking1[[#This Row],[Miles Score (Normalized, Unweighted)]]*$AA$3</f>
        <v>3.5045433512311251E-3</v>
      </c>
      <c r="AD1741" s="255">
        <f>_xlfn.XLOOKUP(FME_Ranking1[[#This Row],[FME ID]],FME_Input[FME_ID],FME_Input[FARMACRE100])</f>
        <v>8.1037559509277344</v>
      </c>
      <c r="AE1741" s="230">
        <f>(FME_Ranking1[[#This Row],[Ag Land Raw]]/$AD$2)*100</f>
        <v>3.3416261892284705E-4</v>
      </c>
      <c r="AF1741" s="231">
        <f>FME_Ranking1[[#This Row],[Ag Land Score (Normalized, Unweighted)]]*$AD$3</f>
        <v>1.6708130946142354E-5</v>
      </c>
      <c r="AG174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1.1330616639305964E-2</v>
      </c>
      <c r="AH1741" s="406">
        <f t="shared" si="27"/>
        <v>1743</v>
      </c>
      <c r="AI174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1.1330616639305964E-2</v>
      </c>
      <c r="AJ1741" s="257">
        <f>FME_Ranking1[[#This Row],[Addition check]]-FME_Ranking1[[#This Row],[Weighted Score Based on Normalized Reported Factors]]</f>
        <v>0</v>
      </c>
      <c r="AK1741" s="178">
        <f>_xlfn.RANK.EQ(AI1741,$AI$6:$AI$2341,0)+COUNTIF($AI$6:AI1741,AI1741)-1</f>
        <v>1743</v>
      </c>
    </row>
    <row r="1742" spans="1:37" x14ac:dyDescent="0.25">
      <c r="A1742" t="s">
        <v>9429</v>
      </c>
      <c r="B1742">
        <f>_xlfn.XLOOKUP(FME_Ranking1[[#This Row],[FME ID]],FME_Input[FME_ID],FME_Input[RFPG_NUM])</f>
        <v>12</v>
      </c>
      <c r="C1742" t="str">
        <f>_xlfn.XLOOKUP(FME_Ranking1[[#This Row],[FME ID]],FME_Input[FME_ID],FME_Input[FME_NAME])</f>
        <v>Helotes Creek at Bandera Road Enhanced Conveyance</v>
      </c>
      <c r="D1742" t="str">
        <f>_xlfn.XLOOKUP(FME_Ranking1[[#This Row],[FME ID]],FME_Input[FME_ID],FME_Input[DESCR])</f>
        <v>Channel modifications were designed as a basic trapezoidal channel with side slopes of 3:1.</v>
      </c>
      <c r="E1742" s="256">
        <f>_xlfn.XLOOKUP(FME_Ranking1[[#This Row],[FME ID]],FME_Input[FME_ID],FME_Input[FME_COST])</f>
        <v>2611481</v>
      </c>
      <c r="F1742" t="str">
        <f>_xlfn.XLOOKUP(FME_Ranking1[[#This Row],[FME ID]],FME_Input[FME_ID],FME_Input[EMER_NEED])</f>
        <v>No</v>
      </c>
      <c r="G1742">
        <f>IF(FME_Ranking!F1742="Yes",100,0)</f>
        <v>0</v>
      </c>
      <c r="H1742">
        <f>FME_Ranking1[[#This Row],[Emergency Need Score (Normalized, Unweighted)]]*$F$3</f>
        <v>0</v>
      </c>
      <c r="I1742" s="246">
        <f>_xlfn.XLOOKUP(FME_Ranking1[[#This Row],[FME ID]],FME_Input[FME_ID],FME_Input[STRUCT_100])</f>
        <v>29</v>
      </c>
      <c r="J1742" s="178">
        <f>(FME_Ranking1[[#This Row],[Structures 100 Raw]]/I$2)*100</f>
        <v>1.5529280726556141E-2</v>
      </c>
      <c r="K1742" s="178">
        <f>FME_Ranking1[[#This Row],[Structures 100  Score (Normalized, Unweighted)]]*$I$3</f>
        <v>2.3293921089834213E-3</v>
      </c>
      <c r="L1742" s="246">
        <f>_xlfn.XLOOKUP(FME_Ranking1[[#This Row],[FME ID]],FME_Input[FME_ID],FME_Input[RES_STRUCT100])</f>
        <v>16</v>
      </c>
      <c r="M1742" s="230">
        <f>(FME_Ranking1[[#This Row],[Res Structures Raw]]/L$2)*100</f>
        <v>1.1332889461829412E-2</v>
      </c>
      <c r="N1742" s="180">
        <f>FME_Ranking1[[#This Row],[Res Structures Score (Normalized, Unweighted)]]*$L$3</f>
        <v>1.1332889461829413E-3</v>
      </c>
      <c r="O1742" s="244">
        <f>_xlfn.XLOOKUP(FME_Ranking1[[#This Row],[FME ID]],FME_Input[FME_ID],FME_Input[POP100])</f>
        <v>43</v>
      </c>
      <c r="P1742" s="178">
        <f>(FME_Ranking1[[#This Row],[Pop Raw]]/$O$2)*100</f>
        <v>4.4021384155168214E-3</v>
      </c>
      <c r="Q1742" s="178">
        <f>FME_Ranking1[[#This Row],[Pop Score (Normalized, Unweighted)]]*$O$3</f>
        <v>6.603207623275232E-4</v>
      </c>
      <c r="R1742" s="137">
        <f>_xlfn.XLOOKUP(FME_Ranking1[[#This Row],[FME ID]],FME_Input[FME_ID],FME_Input[CRITFAC100])</f>
        <v>0</v>
      </c>
      <c r="S1742" s="230">
        <f>(FME_Ranking1[[#This Row],[Critical Facilities Raw]]/$R$2)*100</f>
        <v>0</v>
      </c>
      <c r="T1742" s="180">
        <f>FME_Ranking1[[#This Row],[Critical Facilities Score (Normalized, Unweighted)]]*$R$3</f>
        <v>0</v>
      </c>
      <c r="U1742">
        <f>_xlfn.XLOOKUP(FME_Ranking1[[#This Row],[FME ID]],FME_Input[FME_ID],FME_Input[LWC])</f>
        <v>0</v>
      </c>
      <c r="V1742" s="178">
        <f>(FME_Ranking1[[#This Row],[LWC Raw]]/$U$2)*100</f>
        <v>0</v>
      </c>
      <c r="W1742" s="178">
        <f>FME_Ranking1[[#This Row],[LWC Score (Normalized, Unweighted)]]*$U$3</f>
        <v>0</v>
      </c>
      <c r="X1742" s="246">
        <f>_xlfn.XLOOKUP(FME_Ranking1[[#This Row],[FME ID]],FME_Input[FME_ID],FME_Input[ROADCLS])</f>
        <v>7</v>
      </c>
      <c r="Y1742" s="230">
        <f>(FME_Ranking1[[#This Row],[Closures Raw]]/$X$2)*100</f>
        <v>7.3598990642414042E-2</v>
      </c>
      <c r="Z1742" s="180">
        <f>FME_Ranking1[[#This Row],[Closures Score (Normalized, Unweighted)]]*$X$3</f>
        <v>3.6799495321207022E-3</v>
      </c>
      <c r="AA1742" s="253">
        <f>_xlfn.XLOOKUP(FME_Ranking1[[#This Row],[FME ID]],FME_Input[FME_ID],FME_Input[ROAD_MILES100])</f>
        <v>1.3400000333786011</v>
      </c>
      <c r="AB1742" s="178">
        <f>(FME_Ranking1[[#This Row],[Miles Raw]]/$AA$2)*100</f>
        <v>1.7618597036038446E-2</v>
      </c>
      <c r="AC1742" s="178">
        <f>FME_Ranking1[[#This Row],[Miles Score (Normalized, Unweighted)]]*$AA$3</f>
        <v>1.7618597036038446E-3</v>
      </c>
      <c r="AD1742" s="255">
        <f>_xlfn.XLOOKUP(FME_Ranking1[[#This Row],[FME ID]],FME_Input[FME_ID],FME_Input[FARMACRE100])</f>
        <v>0</v>
      </c>
      <c r="AE1742" s="230">
        <f>(FME_Ranking1[[#This Row],[Ag Land Raw]]/$AD$2)*100</f>
        <v>0</v>
      </c>
      <c r="AF1742" s="231">
        <f>FME_Ranking1[[#This Row],[Ag Land Score (Normalized, Unweighted)]]*$AD$3</f>
        <v>0</v>
      </c>
      <c r="AG174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9.5648110532184326E-3</v>
      </c>
      <c r="AH1742" s="406">
        <f t="shared" si="27"/>
        <v>1759</v>
      </c>
      <c r="AI174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9.5648110532184326E-3</v>
      </c>
      <c r="AJ1742" s="257">
        <f>FME_Ranking1[[#This Row],[Addition check]]-FME_Ranking1[[#This Row],[Weighted Score Based on Normalized Reported Factors]]</f>
        <v>0</v>
      </c>
      <c r="AK1742" s="178">
        <f>_xlfn.RANK.EQ(AI1742,$AI$6:$AI$2341,0)+COUNTIF($AI$6:AI1742,AI1742)-1</f>
        <v>1759</v>
      </c>
    </row>
    <row r="1743" spans="1:37" x14ac:dyDescent="0.25">
      <c r="A1743" t="s">
        <v>6951</v>
      </c>
      <c r="B1743">
        <f>_xlfn.XLOOKUP(FME_Ranking1[[#This Row],[FME ID]],FME_Input[FME_ID],FME_Input[RFPG_NUM])</f>
        <v>7</v>
      </c>
      <c r="C1743" t="str">
        <f>_xlfn.XLOOKUP(FME_Ranking1[[#This Row],[FME ID]],FME_Input[FME_ID],FME_Input[FME_NAME])</f>
        <v>City of Post DMP</v>
      </c>
      <c r="D1743" t="str">
        <f>_xlfn.XLOOKUP(FME_Ranking1[[#This Row],[FME ID]],FME_Input[FME_ID],FME_Input[DESCR])</f>
        <v>Evaluate city to identify future projects, analyze roads/stream crossing for emergency response vehicles to high hazard areas</v>
      </c>
      <c r="E1743" s="256">
        <f>_xlfn.XLOOKUP(FME_Ranking1[[#This Row],[FME ID]],FME_Input[FME_ID],FME_Input[FME_COST])</f>
        <v>250000</v>
      </c>
      <c r="F1743" t="str">
        <f>_xlfn.XLOOKUP(FME_Ranking1[[#This Row],[FME ID]],FME_Input[FME_ID],FME_Input[EMER_NEED])</f>
        <v>No</v>
      </c>
      <c r="G1743">
        <f>IF(FME_Ranking!F1743="Yes",100,0)</f>
        <v>0</v>
      </c>
      <c r="H1743">
        <f>FME_Ranking1[[#This Row],[Emergency Need Score (Normalized, Unweighted)]]*$F$3</f>
        <v>0</v>
      </c>
      <c r="I1743" s="246">
        <f>_xlfn.XLOOKUP(FME_Ranking1[[#This Row],[FME ID]],FME_Input[FME_ID],FME_Input[STRUCT_100])</f>
        <v>36</v>
      </c>
      <c r="J1743" s="178">
        <f>(FME_Ranking1[[#This Row],[Structures 100 Raw]]/I$2)*100</f>
        <v>1.9277727798483486E-2</v>
      </c>
      <c r="K1743" s="178">
        <f>FME_Ranking1[[#This Row],[Structures 100  Score (Normalized, Unweighted)]]*$I$3</f>
        <v>2.8916591697725228E-3</v>
      </c>
      <c r="L1743" s="246">
        <f>_xlfn.XLOOKUP(FME_Ranking1[[#This Row],[FME ID]],FME_Input[FME_ID],FME_Input[RES_STRUCT100])</f>
        <v>14</v>
      </c>
      <c r="M1743" s="230">
        <f>(FME_Ranking1[[#This Row],[Res Structures Raw]]/L$2)*100</f>
        <v>9.9162782791007362E-3</v>
      </c>
      <c r="N1743" s="180">
        <f>FME_Ranking1[[#This Row],[Res Structures Score (Normalized, Unweighted)]]*$L$3</f>
        <v>9.9162782791007375E-4</v>
      </c>
      <c r="O1743" s="244">
        <f>_xlfn.XLOOKUP(FME_Ranking1[[#This Row],[FME ID]],FME_Input[FME_ID],FME_Input[POP100])</f>
        <v>251</v>
      </c>
      <c r="P1743" s="178">
        <f>(FME_Ranking1[[#This Row],[Pop Raw]]/$O$2)*100</f>
        <v>2.5696203309179586E-2</v>
      </c>
      <c r="Q1743" s="178">
        <f>FME_Ranking1[[#This Row],[Pop Score (Normalized, Unweighted)]]*$O$3</f>
        <v>3.8544304963769377E-3</v>
      </c>
      <c r="R1743" s="137">
        <f>_xlfn.XLOOKUP(FME_Ranking1[[#This Row],[FME ID]],FME_Input[FME_ID],FME_Input[CRITFAC100])</f>
        <v>0</v>
      </c>
      <c r="S1743" s="230">
        <f>(FME_Ranking1[[#This Row],[Critical Facilities Raw]]/$R$2)*100</f>
        <v>0</v>
      </c>
      <c r="T1743" s="180">
        <f>FME_Ranking1[[#This Row],[Critical Facilities Score (Normalized, Unweighted)]]*$R$3</f>
        <v>0</v>
      </c>
      <c r="U1743">
        <f>_xlfn.XLOOKUP(FME_Ranking1[[#This Row],[FME ID]],FME_Input[FME_ID],FME_Input[LWC])</f>
        <v>0</v>
      </c>
      <c r="V1743" s="178">
        <f>(FME_Ranking1[[#This Row],[LWC Raw]]/$U$2)*100</f>
        <v>0</v>
      </c>
      <c r="W1743" s="178">
        <f>FME_Ranking1[[#This Row],[LWC Score (Normalized, Unweighted)]]*$U$3</f>
        <v>0</v>
      </c>
      <c r="X1743" s="246">
        <f>_xlfn.XLOOKUP(FME_Ranking1[[#This Row],[FME ID]],FME_Input[FME_ID],FME_Input[ROADCLS])</f>
        <v>0</v>
      </c>
      <c r="Y1743" s="230">
        <f>(FME_Ranking1[[#This Row],[Closures Raw]]/$X$2)*100</f>
        <v>0</v>
      </c>
      <c r="Z1743" s="180">
        <f>FME_Ranking1[[#This Row],[Closures Score (Normalized, Unweighted)]]*$X$3</f>
        <v>0</v>
      </c>
      <c r="AA1743" s="253">
        <f>_xlfn.XLOOKUP(FME_Ranking1[[#This Row],[FME ID]],FME_Input[FME_ID],FME_Input[ROAD_MILES100])</f>
        <v>6.4002513885498047</v>
      </c>
      <c r="AB1743" s="178">
        <f>(FME_Ranking1[[#This Row],[Miles Raw]]/$AA$2)*100</f>
        <v>8.415182636965246E-2</v>
      </c>
      <c r="AC1743" s="178">
        <f>FME_Ranking1[[#This Row],[Miles Score (Normalized, Unweighted)]]*$AA$3</f>
        <v>8.4151826369652464E-3</v>
      </c>
      <c r="AD1743" s="255">
        <f>_xlfn.XLOOKUP(FME_Ranking1[[#This Row],[FME ID]],FME_Input[FME_ID],FME_Input[FARMACRE100])</f>
        <v>0</v>
      </c>
      <c r="AE1743" s="230">
        <f>(FME_Ranking1[[#This Row],[Ag Land Raw]]/$AD$2)*100</f>
        <v>0</v>
      </c>
      <c r="AF1743" s="231">
        <f>FME_Ranking1[[#This Row],[Ag Land Score (Normalized, Unweighted)]]*$AD$3</f>
        <v>0</v>
      </c>
      <c r="AG174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1.6152900131024779E-2</v>
      </c>
      <c r="AH1743" s="406">
        <f t="shared" si="27"/>
        <v>1624</v>
      </c>
      <c r="AI174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1.6152900131024779E-2</v>
      </c>
      <c r="AJ1743" s="257">
        <f>FME_Ranking1[[#This Row],[Addition check]]-FME_Ranking1[[#This Row],[Weighted Score Based on Normalized Reported Factors]]</f>
        <v>0</v>
      </c>
      <c r="AK1743" s="178">
        <f>_xlfn.RANK.EQ(AI1743,$AI$6:$AI$2341,0)+COUNTIF($AI$6:AI1743,AI1743)-1</f>
        <v>1624</v>
      </c>
    </row>
    <row r="1744" spans="1:37" x14ac:dyDescent="0.25">
      <c r="A1744" t="s">
        <v>11085</v>
      </c>
      <c r="B1744">
        <f>_xlfn.XLOOKUP(FME_Ranking1[[#This Row],[FME ID]],FME_Input[FME_ID],FME_Input[RFPG_NUM])</f>
        <v>15</v>
      </c>
      <c r="C1744" t="str">
        <f>_xlfn.XLOOKUP(FME_Ranking1[[#This Row],[FME ID]],FME_Input[FME_ID],FME_Input[FME_NAME])</f>
        <v>Lott Rd &amp; Soderquist</v>
      </c>
      <c r="D1744" t="str">
        <f>_xlfn.XLOOKUP(FME_Ranking1[[#This Row],[FME ID]],FME_Input[FME_ID],FME_Input[DESCR])</f>
        <v>Local Drainage Improvements- North of Lott Road and East of Soderquist Rd.</v>
      </c>
      <c r="E1744" s="256">
        <f>_xlfn.XLOOKUP(FME_Ranking1[[#This Row],[FME ID]],FME_Input[FME_ID],FME_Input[FME_COST])</f>
        <v>190500</v>
      </c>
      <c r="F1744" t="str">
        <f>_xlfn.XLOOKUP(FME_Ranking1[[#This Row],[FME ID]],FME_Input[FME_ID],FME_Input[EMER_NEED])</f>
        <v>Yes</v>
      </c>
      <c r="G1744">
        <f>IF(FME_Ranking!F1744="Yes",100,0)</f>
        <v>100</v>
      </c>
      <c r="H1744">
        <f>FME_Ranking1[[#This Row],[Emergency Need Score (Normalized, Unweighted)]]*$F$3</f>
        <v>0</v>
      </c>
      <c r="I1744" s="246">
        <f>_xlfn.XLOOKUP(FME_Ranking1[[#This Row],[FME ID]],FME_Input[FME_ID],FME_Input[STRUCT_100])</f>
        <v>0</v>
      </c>
      <c r="J1744" s="178">
        <f>(FME_Ranking1[[#This Row],[Structures 100 Raw]]/I$2)*100</f>
        <v>0</v>
      </c>
      <c r="K1744" s="178">
        <f>FME_Ranking1[[#This Row],[Structures 100  Score (Normalized, Unweighted)]]*$I$3</f>
        <v>0</v>
      </c>
      <c r="L1744" s="246">
        <f>_xlfn.XLOOKUP(FME_Ranking1[[#This Row],[FME ID]],FME_Input[FME_ID],FME_Input[RES_STRUCT100])</f>
        <v>55</v>
      </c>
      <c r="M1744" s="230">
        <f>(FME_Ranking1[[#This Row],[Res Structures Raw]]/L$2)*100</f>
        <v>3.8956807525038599E-2</v>
      </c>
      <c r="N1744" s="180">
        <f>FME_Ranking1[[#This Row],[Res Structures Score (Normalized, Unweighted)]]*$L$3</f>
        <v>3.8956807525038599E-3</v>
      </c>
      <c r="O1744" s="244">
        <f>_xlfn.XLOOKUP(FME_Ranking1[[#This Row],[FME ID]],FME_Input[FME_ID],FME_Input[POP100])</f>
        <v>245</v>
      </c>
      <c r="P1744" s="178">
        <f>(FME_Ranking1[[#This Row],[Pop Raw]]/$O$2)*100</f>
        <v>2.5081951437247008E-2</v>
      </c>
      <c r="Q1744" s="178">
        <f>FME_Ranking1[[#This Row],[Pop Score (Normalized, Unweighted)]]*$O$3</f>
        <v>3.762292715587051E-3</v>
      </c>
      <c r="R1744" s="137">
        <f>_xlfn.XLOOKUP(FME_Ranking1[[#This Row],[FME ID]],FME_Input[FME_ID],FME_Input[CRITFAC100])</f>
        <v>0</v>
      </c>
      <c r="S1744" s="230">
        <f>(FME_Ranking1[[#This Row],[Critical Facilities Raw]]/$R$2)*100</f>
        <v>0</v>
      </c>
      <c r="T1744" s="180">
        <f>FME_Ranking1[[#This Row],[Critical Facilities Score (Normalized, Unweighted)]]*$R$3</f>
        <v>0</v>
      </c>
      <c r="U1744">
        <f>_xlfn.XLOOKUP(FME_Ranking1[[#This Row],[FME ID]],FME_Input[FME_ID],FME_Input[LWC])</f>
        <v>0</v>
      </c>
      <c r="V1744" s="178">
        <f>(FME_Ranking1[[#This Row],[LWC Raw]]/$U$2)*100</f>
        <v>0</v>
      </c>
      <c r="W1744" s="178">
        <f>FME_Ranking1[[#This Row],[LWC Score (Normalized, Unweighted)]]*$U$3</f>
        <v>0</v>
      </c>
      <c r="X1744" s="246">
        <f>_xlfn.XLOOKUP(FME_Ranking1[[#This Row],[FME ID]],FME_Input[FME_ID],FME_Input[ROADCLS])</f>
        <v>0</v>
      </c>
      <c r="Y1744" s="230">
        <f>(FME_Ranking1[[#This Row],[Closures Raw]]/$X$2)*100</f>
        <v>0</v>
      </c>
      <c r="Z1744" s="180">
        <f>FME_Ranking1[[#This Row],[Closures Score (Normalized, Unweighted)]]*$X$3</f>
        <v>0</v>
      </c>
      <c r="AA1744" s="253">
        <f>_xlfn.XLOOKUP(FME_Ranking1[[#This Row],[FME ID]],FME_Input[FME_ID],FME_Input[ROAD_MILES100])</f>
        <v>3.2607300281524658</v>
      </c>
      <c r="AB1744" s="178">
        <f>(FME_Ranking1[[#This Row],[Miles Raw]]/$AA$2)*100</f>
        <v>4.2872751476340391E-2</v>
      </c>
      <c r="AC1744" s="178">
        <f>FME_Ranking1[[#This Row],[Miles Score (Normalized, Unweighted)]]*$AA$3</f>
        <v>4.2872751476340397E-3</v>
      </c>
      <c r="AD1744" s="255">
        <f>_xlfn.XLOOKUP(FME_Ranking1[[#This Row],[FME ID]],FME_Input[FME_ID],FME_Input[FARMACRE100])</f>
        <v>0</v>
      </c>
      <c r="AE1744" s="230">
        <f>(FME_Ranking1[[#This Row],[Ag Land Raw]]/$AD$2)*100</f>
        <v>0</v>
      </c>
      <c r="AF1744" s="231">
        <f>FME_Ranking1[[#This Row],[Ag Land Score (Normalized, Unweighted)]]*$AD$3</f>
        <v>0</v>
      </c>
      <c r="AG174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1.1945248615724951E-2</v>
      </c>
      <c r="AH1744" s="406">
        <f t="shared" si="27"/>
        <v>1717</v>
      </c>
      <c r="AI174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1.1945248615724951E-2</v>
      </c>
      <c r="AJ1744" s="257">
        <f>FME_Ranking1[[#This Row],[Addition check]]-FME_Ranking1[[#This Row],[Weighted Score Based on Normalized Reported Factors]]</f>
        <v>0</v>
      </c>
      <c r="AK1744" s="178">
        <f>_xlfn.RANK.EQ(AI1744,$AI$6:$AI$2341,0)+COUNTIF($AI$6:AI1744,AI1744)-1</f>
        <v>1717</v>
      </c>
    </row>
    <row r="1745" spans="1:37" x14ac:dyDescent="0.25">
      <c r="A1745" t="s">
        <v>10508</v>
      </c>
      <c r="B1745">
        <f>_xlfn.XLOOKUP(FME_Ranking1[[#This Row],[FME ID]],FME_Input[FME_ID],FME_Input[RFPG_NUM])</f>
        <v>13</v>
      </c>
      <c r="C1745" t="str">
        <f>_xlfn.XLOOKUP(FME_Ranking1[[#This Row],[FME ID]],FME_Input[FME_ID],FME_Input[FME_NAME])</f>
        <v>Tierra Grande Subdivision Drainage Improvements Feasibility Study</v>
      </c>
      <c r="D1745" t="str">
        <f>_xlfn.XLOOKUP(FME_Ranking1[[#This Row],[FME ID]],FME_Input[FME_ID],FME_Input[DESCR])</f>
        <v>Hydrological and Hydraulic Study to provide drainage solutions to reduce flooding within the subdivision due to existing hydrological flow patterns from regional, upgradient, and local runoff drainage areas flowing toward the center of the subdivision.</v>
      </c>
      <c r="E1745" s="256">
        <f>_xlfn.XLOOKUP(FME_Ranking1[[#This Row],[FME ID]],FME_Input[FME_ID],FME_Input[FME_COST])</f>
        <v>250000</v>
      </c>
      <c r="F1745" t="str">
        <f>_xlfn.XLOOKUP(FME_Ranking1[[#This Row],[FME ID]],FME_Input[FME_ID],FME_Input[EMER_NEED])</f>
        <v>Yes</v>
      </c>
      <c r="G1745">
        <f>IF(FME_Ranking!F1745="Yes",100,0)</f>
        <v>100</v>
      </c>
      <c r="H1745">
        <f>FME_Ranking1[[#This Row],[Emergency Need Score (Normalized, Unweighted)]]*$F$3</f>
        <v>0</v>
      </c>
      <c r="I1745" s="246">
        <f>_xlfn.XLOOKUP(FME_Ranking1[[#This Row],[FME ID]],FME_Input[FME_ID],FME_Input[STRUCT_100])</f>
        <v>30</v>
      </c>
      <c r="J1745" s="178">
        <f>(FME_Ranking1[[#This Row],[Structures 100 Raw]]/I$2)*100</f>
        <v>1.6064773165402904E-2</v>
      </c>
      <c r="K1745" s="178">
        <f>FME_Ranking1[[#This Row],[Structures 100  Score (Normalized, Unweighted)]]*$I$3</f>
        <v>2.4097159748104357E-3</v>
      </c>
      <c r="L1745" s="246">
        <f>_xlfn.XLOOKUP(FME_Ranking1[[#This Row],[FME ID]],FME_Input[FME_ID],FME_Input[RES_STRUCT100])</f>
        <v>29</v>
      </c>
      <c r="M1745" s="230">
        <f>(FME_Ranking1[[#This Row],[Res Structures Raw]]/L$2)*100</f>
        <v>2.0540862149565808E-2</v>
      </c>
      <c r="N1745" s="180">
        <f>FME_Ranking1[[#This Row],[Res Structures Score (Normalized, Unweighted)]]*$L$3</f>
        <v>2.0540862149565809E-3</v>
      </c>
      <c r="O1745" s="244">
        <f>_xlfn.XLOOKUP(FME_Ranking1[[#This Row],[FME ID]],FME_Input[FME_ID],FME_Input[POP100])</f>
        <v>31</v>
      </c>
      <c r="P1745" s="178">
        <f>(FME_Ranking1[[#This Row],[Pop Raw]]/$O$2)*100</f>
        <v>3.1736346716516616E-3</v>
      </c>
      <c r="Q1745" s="178">
        <f>FME_Ranking1[[#This Row],[Pop Score (Normalized, Unweighted)]]*$O$3</f>
        <v>4.7604520074774923E-4</v>
      </c>
      <c r="R1745" s="137">
        <f>_xlfn.XLOOKUP(FME_Ranking1[[#This Row],[FME ID]],FME_Input[FME_ID],FME_Input[CRITFAC100])</f>
        <v>0</v>
      </c>
      <c r="S1745" s="230">
        <f>(FME_Ranking1[[#This Row],[Critical Facilities Raw]]/$R$2)*100</f>
        <v>0</v>
      </c>
      <c r="T1745" s="180">
        <f>FME_Ranking1[[#This Row],[Critical Facilities Score (Normalized, Unweighted)]]*$R$3</f>
        <v>0</v>
      </c>
      <c r="U1745">
        <f>_xlfn.XLOOKUP(FME_Ranking1[[#This Row],[FME ID]],FME_Input[FME_ID],FME_Input[LWC])</f>
        <v>0</v>
      </c>
      <c r="V1745" s="178">
        <f>(FME_Ranking1[[#This Row],[LWC Raw]]/$U$2)*100</f>
        <v>0</v>
      </c>
      <c r="W1745" s="178">
        <f>FME_Ranking1[[#This Row],[LWC Score (Normalized, Unweighted)]]*$U$3</f>
        <v>0</v>
      </c>
      <c r="X1745" s="246">
        <f>_xlfn.XLOOKUP(FME_Ranking1[[#This Row],[FME ID]],FME_Input[FME_ID],FME_Input[ROADCLS])</f>
        <v>5</v>
      </c>
      <c r="Y1745" s="230">
        <f>(FME_Ranking1[[#This Row],[Closures Raw]]/$X$2)*100</f>
        <v>5.2570707601724324E-2</v>
      </c>
      <c r="Z1745" s="180">
        <f>FME_Ranking1[[#This Row],[Closures Score (Normalized, Unweighted)]]*$X$3</f>
        <v>2.6285353800862164E-3</v>
      </c>
      <c r="AA1745" s="253">
        <f>_xlfn.XLOOKUP(FME_Ranking1[[#This Row],[FME ID]],FME_Input[FME_ID],FME_Input[ROAD_MILES100])</f>
        <v>0.5874142050743103</v>
      </c>
      <c r="AB1745" s="178">
        <f>(FME_Ranking1[[#This Row],[Miles Raw]]/$AA$2)*100</f>
        <v>7.7234432198890991E-3</v>
      </c>
      <c r="AC1745" s="178">
        <f>FME_Ranking1[[#This Row],[Miles Score (Normalized, Unweighted)]]*$AA$3</f>
        <v>7.7234432198890993E-4</v>
      </c>
      <c r="AD1745" s="255">
        <f>_xlfn.XLOOKUP(FME_Ranking1[[#This Row],[FME ID]],FME_Input[FME_ID],FME_Input[FARMACRE100])</f>
        <v>12.43043422698975</v>
      </c>
      <c r="AE1745" s="230">
        <f>(FME_Ranking1[[#This Row],[Ag Land Raw]]/$AD$2)*100</f>
        <v>5.1257546263637878E-4</v>
      </c>
      <c r="AF1745" s="231">
        <f>FME_Ranking1[[#This Row],[Ag Land Score (Normalized, Unweighted)]]*$AD$3</f>
        <v>2.562877313181894E-5</v>
      </c>
      <c r="AG174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8.366355865721712E-3</v>
      </c>
      <c r="AH1745" s="406">
        <f t="shared" si="27"/>
        <v>1779</v>
      </c>
      <c r="AI174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8.366355865721712E-3</v>
      </c>
      <c r="AJ1745" s="257">
        <f>FME_Ranking1[[#This Row],[Addition check]]-FME_Ranking1[[#This Row],[Weighted Score Based on Normalized Reported Factors]]</f>
        <v>0</v>
      </c>
      <c r="AK1745" s="178">
        <f>_xlfn.RANK.EQ(AI1745,$AI$6:$AI$2341,0)+COUNTIF($AI$6:AI1745,AI1745)-1</f>
        <v>1779</v>
      </c>
    </row>
    <row r="1746" spans="1:37" x14ac:dyDescent="0.25">
      <c r="A1746" t="s">
        <v>7673</v>
      </c>
      <c r="B1746">
        <f>_xlfn.XLOOKUP(FME_Ranking1[[#This Row],[FME ID]],FME_Input[FME_ID],FME_Input[RFPG_NUM])</f>
        <v>8</v>
      </c>
      <c r="C1746" t="str">
        <f>_xlfn.XLOOKUP(FME_Ranking1[[#This Row],[FME ID]],FME_Input[FME_ID],FME_Input[FME_NAME])</f>
        <v>Improve Undersized Storm Sewers in Hudson Creek DB</v>
      </c>
      <c r="D1746" t="str">
        <f>_xlfn.XLOOKUP(FME_Ranking1[[#This Row],[FME ID]],FME_Input[FME_ID],FME_Input[DESCR])</f>
        <v>Update modeling to Atlas 14 to determine appropriate sizing for storm sewer in the region.</v>
      </c>
      <c r="E1746" s="256">
        <f>_xlfn.XLOOKUP(FME_Ranking1[[#This Row],[FME ID]],FME_Input[FME_ID],FME_Input[FME_COST])</f>
        <v>100000</v>
      </c>
      <c r="F1746" t="str">
        <f>_xlfn.XLOOKUP(FME_Ranking1[[#This Row],[FME ID]],FME_Input[FME_ID],FME_Input[EMER_NEED])</f>
        <v>No</v>
      </c>
      <c r="G1746">
        <f>IF(FME_Ranking!F1746="Yes",100,0)</f>
        <v>0</v>
      </c>
      <c r="H1746">
        <f>FME_Ranking1[[#This Row],[Emergency Need Score (Normalized, Unweighted)]]*$F$3</f>
        <v>0</v>
      </c>
      <c r="I1746" s="246">
        <f>_xlfn.XLOOKUP(FME_Ranking1[[#This Row],[FME ID]],FME_Input[FME_ID],FME_Input[STRUCT_100])</f>
        <v>26</v>
      </c>
      <c r="J1746" s="178">
        <f>(FME_Ranking1[[#This Row],[Structures 100 Raw]]/I$2)*100</f>
        <v>1.3922803410015852E-2</v>
      </c>
      <c r="K1746" s="178">
        <f>FME_Ranking1[[#This Row],[Structures 100  Score (Normalized, Unweighted)]]*$I$3</f>
        <v>2.0884205115023779E-3</v>
      </c>
      <c r="L1746" s="246">
        <f>_xlfn.XLOOKUP(FME_Ranking1[[#This Row],[FME ID]],FME_Input[FME_ID],FME_Input[RES_STRUCT100])</f>
        <v>21</v>
      </c>
      <c r="M1746" s="230">
        <f>(FME_Ranking1[[#This Row],[Res Structures Raw]]/L$2)*100</f>
        <v>1.4874417418651103E-2</v>
      </c>
      <c r="N1746" s="180">
        <f>FME_Ranking1[[#This Row],[Res Structures Score (Normalized, Unweighted)]]*$L$3</f>
        <v>1.4874417418651103E-3</v>
      </c>
      <c r="O1746" s="244">
        <f>_xlfn.XLOOKUP(FME_Ranking1[[#This Row],[FME ID]],FME_Input[FME_ID],FME_Input[POP100])</f>
        <v>153</v>
      </c>
      <c r="P1746" s="178">
        <f>(FME_Ranking1[[#This Row],[Pop Raw]]/$O$2)*100</f>
        <v>1.5663422734280782E-2</v>
      </c>
      <c r="Q1746" s="178">
        <f>FME_Ranking1[[#This Row],[Pop Score (Normalized, Unweighted)]]*$O$3</f>
        <v>2.349513410142117E-3</v>
      </c>
      <c r="R1746" s="137">
        <f>_xlfn.XLOOKUP(FME_Ranking1[[#This Row],[FME ID]],FME_Input[FME_ID],FME_Input[CRITFAC100])</f>
        <v>0</v>
      </c>
      <c r="S1746" s="230">
        <f>(FME_Ranking1[[#This Row],[Critical Facilities Raw]]/$R$2)*100</f>
        <v>0</v>
      </c>
      <c r="T1746" s="180">
        <f>FME_Ranking1[[#This Row],[Critical Facilities Score (Normalized, Unweighted)]]*$R$3</f>
        <v>0</v>
      </c>
      <c r="U1746">
        <f>_xlfn.XLOOKUP(FME_Ranking1[[#This Row],[FME ID]],FME_Input[FME_ID],FME_Input[LWC])</f>
        <v>0</v>
      </c>
      <c r="V1746" s="178">
        <f>(FME_Ranking1[[#This Row],[LWC Raw]]/$U$2)*100</f>
        <v>0</v>
      </c>
      <c r="W1746" s="178">
        <f>FME_Ranking1[[#This Row],[LWC Score (Normalized, Unweighted)]]*$U$3</f>
        <v>0</v>
      </c>
      <c r="X1746" s="246">
        <f>_xlfn.XLOOKUP(FME_Ranking1[[#This Row],[FME ID]],FME_Input[FME_ID],FME_Input[ROADCLS])</f>
        <v>3</v>
      </c>
      <c r="Y1746" s="230">
        <f>(FME_Ranking1[[#This Row],[Closures Raw]]/$X$2)*100</f>
        <v>3.1542424561034593E-2</v>
      </c>
      <c r="Z1746" s="180">
        <f>FME_Ranking1[[#This Row],[Closures Score (Normalized, Unweighted)]]*$X$3</f>
        <v>1.5771212280517297E-3</v>
      </c>
      <c r="AA1746" s="253">
        <f>_xlfn.XLOOKUP(FME_Ranking1[[#This Row],[FME ID]],FME_Input[FME_ID],FME_Input[ROAD_MILES100])</f>
        <v>0.29899299144744867</v>
      </c>
      <c r="AB1746" s="178">
        <f>(FME_Ranking1[[#This Row],[Miles Raw]]/$AA$2)*100</f>
        <v>3.931221568428068E-3</v>
      </c>
      <c r="AC1746" s="178">
        <f>FME_Ranking1[[#This Row],[Miles Score (Normalized, Unweighted)]]*$AA$3</f>
        <v>3.9312215684280684E-4</v>
      </c>
      <c r="AD1746" s="255">
        <f>_xlfn.XLOOKUP(FME_Ranking1[[#This Row],[FME ID]],FME_Input[FME_ID],FME_Input[FARMACRE100])</f>
        <v>11.870200157165529</v>
      </c>
      <c r="AE1746" s="230">
        <f>(FME_Ranking1[[#This Row],[Ag Land Raw]]/$AD$2)*100</f>
        <v>4.8947391748670839E-4</v>
      </c>
      <c r="AF1746" s="231">
        <f>FME_Ranking1[[#This Row],[Ag Land Score (Normalized, Unweighted)]]*$AD$3</f>
        <v>2.447369587433542E-5</v>
      </c>
      <c r="AG174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7.9200927442784775E-3</v>
      </c>
      <c r="AH1746" s="406">
        <f t="shared" si="27"/>
        <v>1785</v>
      </c>
      <c r="AI174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7.9200927442784775E-3</v>
      </c>
      <c r="AJ1746" s="257">
        <f>FME_Ranking1[[#This Row],[Addition check]]-FME_Ranking1[[#This Row],[Weighted Score Based on Normalized Reported Factors]]</f>
        <v>0</v>
      </c>
      <c r="AK1746" s="178">
        <f>_xlfn.RANK.EQ(AI1746,$AI$6:$AI$2341,0)+COUNTIF($AI$6:AI1746,AI1746)-1</f>
        <v>1785</v>
      </c>
    </row>
    <row r="1747" spans="1:37" x14ac:dyDescent="0.25">
      <c r="A1747" t="s">
        <v>7777</v>
      </c>
      <c r="B1747">
        <f>_xlfn.XLOOKUP(FME_Ranking1[[#This Row],[FME ID]],FME_Input[FME_ID],FME_Input[RFPG_NUM])</f>
        <v>8</v>
      </c>
      <c r="C1747" t="str">
        <f>_xlfn.XLOOKUP(FME_Ranking1[[#This Row],[FME ID]],FME_Input[FME_ID],FME_Input[FME_NAME])</f>
        <v>Hudson Creek Regional Detention</v>
      </c>
      <c r="D1747" t="str">
        <f>_xlfn.XLOOKUP(FME_Ranking1[[#This Row],[FME ID]],FME_Input[FME_ID],FME_Input[DESCR])</f>
        <v>Study to design regional detention upstream of Copperfield to mitigate flooding and maintenance problems.</v>
      </c>
      <c r="E1747" s="256">
        <f>_xlfn.XLOOKUP(FME_Ranking1[[#This Row],[FME ID]],FME_Input[FME_ID],FME_Input[FME_COST])</f>
        <v>160000</v>
      </c>
      <c r="F1747" t="str">
        <f>_xlfn.XLOOKUP(FME_Ranking1[[#This Row],[FME ID]],FME_Input[FME_ID],FME_Input[EMER_NEED])</f>
        <v>No</v>
      </c>
      <c r="G1747">
        <f>IF(FME_Ranking!F1747="Yes",100,0)</f>
        <v>0</v>
      </c>
      <c r="H1747">
        <f>FME_Ranking1[[#This Row],[Emergency Need Score (Normalized, Unweighted)]]*$F$3</f>
        <v>0</v>
      </c>
      <c r="I1747" s="246">
        <f>_xlfn.XLOOKUP(FME_Ranking1[[#This Row],[FME ID]],FME_Input[FME_ID],FME_Input[STRUCT_100])</f>
        <v>26</v>
      </c>
      <c r="J1747" s="178">
        <f>(FME_Ranking1[[#This Row],[Structures 100 Raw]]/I$2)*100</f>
        <v>1.3922803410015852E-2</v>
      </c>
      <c r="K1747" s="178">
        <f>FME_Ranking1[[#This Row],[Structures 100  Score (Normalized, Unweighted)]]*$I$3</f>
        <v>2.0884205115023779E-3</v>
      </c>
      <c r="L1747" s="246">
        <f>_xlfn.XLOOKUP(FME_Ranking1[[#This Row],[FME ID]],FME_Input[FME_ID],FME_Input[RES_STRUCT100])</f>
        <v>21</v>
      </c>
      <c r="M1747" s="230">
        <f>(FME_Ranking1[[#This Row],[Res Structures Raw]]/L$2)*100</f>
        <v>1.4874417418651103E-2</v>
      </c>
      <c r="N1747" s="180">
        <f>FME_Ranking1[[#This Row],[Res Structures Score (Normalized, Unweighted)]]*$L$3</f>
        <v>1.4874417418651103E-3</v>
      </c>
      <c r="O1747" s="244">
        <f>_xlfn.XLOOKUP(FME_Ranking1[[#This Row],[FME ID]],FME_Input[FME_ID],FME_Input[POP100])</f>
        <v>153</v>
      </c>
      <c r="P1747" s="178">
        <f>(FME_Ranking1[[#This Row],[Pop Raw]]/$O$2)*100</f>
        <v>1.5663422734280782E-2</v>
      </c>
      <c r="Q1747" s="178">
        <f>FME_Ranking1[[#This Row],[Pop Score (Normalized, Unweighted)]]*$O$3</f>
        <v>2.349513410142117E-3</v>
      </c>
      <c r="R1747" s="137">
        <f>_xlfn.XLOOKUP(FME_Ranking1[[#This Row],[FME ID]],FME_Input[FME_ID],FME_Input[CRITFAC100])</f>
        <v>0</v>
      </c>
      <c r="S1747" s="230">
        <f>(FME_Ranking1[[#This Row],[Critical Facilities Raw]]/$R$2)*100</f>
        <v>0</v>
      </c>
      <c r="T1747" s="180">
        <f>FME_Ranking1[[#This Row],[Critical Facilities Score (Normalized, Unweighted)]]*$R$3</f>
        <v>0</v>
      </c>
      <c r="U1747">
        <f>_xlfn.XLOOKUP(FME_Ranking1[[#This Row],[FME ID]],FME_Input[FME_ID],FME_Input[LWC])</f>
        <v>0</v>
      </c>
      <c r="V1747" s="178">
        <f>(FME_Ranking1[[#This Row],[LWC Raw]]/$U$2)*100</f>
        <v>0</v>
      </c>
      <c r="W1747" s="178">
        <f>FME_Ranking1[[#This Row],[LWC Score (Normalized, Unweighted)]]*$U$3</f>
        <v>0</v>
      </c>
      <c r="X1747" s="246">
        <f>_xlfn.XLOOKUP(FME_Ranking1[[#This Row],[FME ID]],FME_Input[FME_ID],FME_Input[ROADCLS])</f>
        <v>3</v>
      </c>
      <c r="Y1747" s="230">
        <f>(FME_Ranking1[[#This Row],[Closures Raw]]/$X$2)*100</f>
        <v>3.1542424561034593E-2</v>
      </c>
      <c r="Z1747" s="180">
        <f>FME_Ranking1[[#This Row],[Closures Score (Normalized, Unweighted)]]*$X$3</f>
        <v>1.5771212280517297E-3</v>
      </c>
      <c r="AA1747" s="253">
        <f>_xlfn.XLOOKUP(FME_Ranking1[[#This Row],[FME ID]],FME_Input[FME_ID],FME_Input[ROAD_MILES100])</f>
        <v>0.29899299144744867</v>
      </c>
      <c r="AB1747" s="178">
        <f>(FME_Ranking1[[#This Row],[Miles Raw]]/$AA$2)*100</f>
        <v>3.931221568428068E-3</v>
      </c>
      <c r="AC1747" s="178">
        <f>FME_Ranking1[[#This Row],[Miles Score (Normalized, Unweighted)]]*$AA$3</f>
        <v>3.9312215684280684E-4</v>
      </c>
      <c r="AD1747" s="255">
        <f>_xlfn.XLOOKUP(FME_Ranking1[[#This Row],[FME ID]],FME_Input[FME_ID],FME_Input[FARMACRE100])</f>
        <v>11.870200157165529</v>
      </c>
      <c r="AE1747" s="230">
        <f>(FME_Ranking1[[#This Row],[Ag Land Raw]]/$AD$2)*100</f>
        <v>4.8947391748670839E-4</v>
      </c>
      <c r="AF1747" s="231">
        <f>FME_Ranking1[[#This Row],[Ag Land Score (Normalized, Unweighted)]]*$AD$3</f>
        <v>2.447369587433542E-5</v>
      </c>
      <c r="AG174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7.9200927442784775E-3</v>
      </c>
      <c r="AH1747" s="406">
        <f t="shared" si="27"/>
        <v>1785</v>
      </c>
      <c r="AI174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7.9200927442784775E-3</v>
      </c>
      <c r="AJ1747" s="257">
        <f>FME_Ranking1[[#This Row],[Addition check]]-FME_Ranking1[[#This Row],[Weighted Score Based on Normalized Reported Factors]]</f>
        <v>0</v>
      </c>
      <c r="AK1747" s="178">
        <f>_xlfn.RANK.EQ(AI1747,$AI$6:$AI$2341,0)+COUNTIF($AI$6:AI1747,AI1747)-1</f>
        <v>1786</v>
      </c>
    </row>
    <row r="1748" spans="1:37" x14ac:dyDescent="0.25">
      <c r="A1748" t="s">
        <v>1190</v>
      </c>
      <c r="B1748">
        <f>_xlfn.XLOOKUP(FME_Ranking1[[#This Row],[FME ID]],FME_Input[FME_ID],FME_Input[RFPG_NUM])</f>
        <v>6</v>
      </c>
      <c r="C1748" t="str">
        <f>_xlfn.XLOOKUP(FME_Ranking1[[#This Row],[FME ID]],FME_Input[FME_ID],FME_Input[FME_NAME])</f>
        <v>Corp of Engineers study of the Galveston County Water Reservoir Dam and Levee system</v>
      </c>
      <c r="D1748" t="str">
        <f>_xlfn.XLOOKUP(FME_Ranking1[[#This Row],[FME ID]],FME_Input[FME_ID],FME_Input[DESCR])</f>
        <v>Review findings of potential breach to dam/levee system and develop/implement mitigation actions as applicable.</v>
      </c>
      <c r="E1748" s="256">
        <f>_xlfn.XLOOKUP(FME_Ranking1[[#This Row],[FME ID]],FME_Input[FME_ID],FME_Input[FME_COST])</f>
        <v>190000</v>
      </c>
      <c r="F1748" t="str">
        <f>_xlfn.XLOOKUP(FME_Ranking1[[#This Row],[FME ID]],FME_Input[FME_ID],FME_Input[EMER_NEED])</f>
        <v>No</v>
      </c>
      <c r="G1748">
        <f>IF(FME_Ranking!F1748="Yes",100,0)</f>
        <v>0</v>
      </c>
      <c r="H1748">
        <f>FME_Ranking1[[#This Row],[Emergency Need Score (Normalized, Unweighted)]]*$F$3</f>
        <v>0</v>
      </c>
      <c r="I1748" s="246">
        <f>_xlfn.XLOOKUP(FME_Ranking1[[#This Row],[FME ID]],FME_Input[FME_ID],FME_Input[STRUCT_100])</f>
        <v>52</v>
      </c>
      <c r="J1748" s="178">
        <f>(FME_Ranking1[[#This Row],[Structures 100 Raw]]/I$2)*100</f>
        <v>2.7845606820031704E-2</v>
      </c>
      <c r="K1748" s="178">
        <f>FME_Ranking1[[#This Row],[Structures 100  Score (Normalized, Unweighted)]]*$I$3</f>
        <v>4.1768410230047558E-3</v>
      </c>
      <c r="L1748" s="246">
        <f>_xlfn.XLOOKUP(FME_Ranking1[[#This Row],[FME ID]],FME_Input[FME_ID],FME_Input[RES_STRUCT100])</f>
        <v>37</v>
      </c>
      <c r="M1748" s="230">
        <f>(FME_Ranking1[[#This Row],[Res Structures Raw]]/L$2)*100</f>
        <v>2.6207306880480515E-2</v>
      </c>
      <c r="N1748" s="180">
        <f>FME_Ranking1[[#This Row],[Res Structures Score (Normalized, Unweighted)]]*$L$3</f>
        <v>2.6207306880480516E-3</v>
      </c>
      <c r="O1748" s="244">
        <f>_xlfn.XLOOKUP(FME_Ranking1[[#This Row],[FME ID]],FME_Input[FME_ID],FME_Input[POP100])</f>
        <v>44</v>
      </c>
      <c r="P1748" s="178">
        <f>(FME_Ranking1[[#This Row],[Pop Raw]]/$O$2)*100</f>
        <v>4.5045137275055843E-3</v>
      </c>
      <c r="Q1748" s="178">
        <f>FME_Ranking1[[#This Row],[Pop Score (Normalized, Unweighted)]]*$O$3</f>
        <v>6.7567705912583765E-4</v>
      </c>
      <c r="R1748" s="137">
        <f>_xlfn.XLOOKUP(FME_Ranking1[[#This Row],[FME ID]],FME_Input[FME_ID],FME_Input[CRITFAC100])</f>
        <v>0</v>
      </c>
      <c r="S1748" s="230">
        <f>(FME_Ranking1[[#This Row],[Critical Facilities Raw]]/$R$2)*100</f>
        <v>0</v>
      </c>
      <c r="T1748" s="180">
        <f>FME_Ranking1[[#This Row],[Critical Facilities Score (Normalized, Unweighted)]]*$R$3</f>
        <v>0</v>
      </c>
      <c r="U1748">
        <f>_xlfn.XLOOKUP(FME_Ranking1[[#This Row],[FME ID]],FME_Input[FME_ID],FME_Input[LWC])</f>
        <v>0</v>
      </c>
      <c r="V1748" s="178">
        <f>(FME_Ranking1[[#This Row],[LWC Raw]]/$U$2)*100</f>
        <v>0</v>
      </c>
      <c r="W1748" s="178">
        <f>FME_Ranking1[[#This Row],[LWC Score (Normalized, Unweighted)]]*$U$3</f>
        <v>0</v>
      </c>
      <c r="X1748" s="246">
        <f>_xlfn.XLOOKUP(FME_Ranking1[[#This Row],[FME ID]],FME_Input[FME_ID],FME_Input[ROADCLS])</f>
        <v>0</v>
      </c>
      <c r="Y1748" s="230">
        <f>(FME_Ranking1[[#This Row],[Closures Raw]]/$X$2)*100</f>
        <v>0</v>
      </c>
      <c r="Z1748" s="180">
        <f>FME_Ranking1[[#This Row],[Closures Score (Normalized, Unweighted)]]*$X$3</f>
        <v>0</v>
      </c>
      <c r="AA1748" s="253">
        <f>_xlfn.XLOOKUP(FME_Ranking1[[#This Row],[FME ID]],FME_Input[FME_ID],FME_Input[ROAD_MILES100])</f>
        <v>3.3015956878662109</v>
      </c>
      <c r="AB1748" s="178">
        <f>(FME_Ranking1[[#This Row],[Miles Raw]]/$AA$2)*100</f>
        <v>4.3410061605574479E-2</v>
      </c>
      <c r="AC1748" s="178">
        <f>FME_Ranking1[[#This Row],[Miles Score (Normalized, Unweighted)]]*$AA$3</f>
        <v>4.3410061605574481E-3</v>
      </c>
      <c r="AD1748" s="255">
        <f>_xlfn.XLOOKUP(FME_Ranking1[[#This Row],[FME ID]],FME_Input[FME_ID],FME_Input[FARMACRE100])</f>
        <v>6.1741275787353516</v>
      </c>
      <c r="AE1748" s="230">
        <f>(FME_Ranking1[[#This Row],[Ag Land Raw]]/$AD$2)*100</f>
        <v>2.545933828421606E-4</v>
      </c>
      <c r="AF1748" s="231">
        <f>FME_Ranking1[[#This Row],[Ag Land Score (Normalized, Unweighted)]]*$AD$3</f>
        <v>1.272966914210803E-5</v>
      </c>
      <c r="AG174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1.18269845998782E-2</v>
      </c>
      <c r="AH1748" s="406">
        <f t="shared" si="27"/>
        <v>1721</v>
      </c>
      <c r="AI174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1.18269845998782E-2</v>
      </c>
      <c r="AJ1748" s="257">
        <f>FME_Ranking1[[#This Row],[Addition check]]-FME_Ranking1[[#This Row],[Weighted Score Based on Normalized Reported Factors]]</f>
        <v>0</v>
      </c>
      <c r="AK1748" s="178">
        <f>_xlfn.RANK.EQ(AI1748,$AI$6:$AI$2341,0)+COUNTIF($AI$6:AI1748,AI1748)-1</f>
        <v>1721</v>
      </c>
    </row>
    <row r="1749" spans="1:37" x14ac:dyDescent="0.25">
      <c r="A1749" t="s">
        <v>1200</v>
      </c>
      <c r="B1749">
        <f>_xlfn.XLOOKUP(FME_Ranking1[[#This Row],[FME ID]],FME_Input[FME_ID],FME_Input[RFPG_NUM])</f>
        <v>6</v>
      </c>
      <c r="C1749" t="str">
        <f>_xlfn.XLOOKUP(FME_Ranking1[[#This Row],[FME ID]],FME_Input[FME_ID],FME_Input[FME_NAME])</f>
        <v xml:space="preserve">Elevate Existing Bridge - East Fork San Jacinto River </v>
      </c>
      <c r="D1749" t="str">
        <f>_xlfn.XLOOKUP(FME_Ranking1[[#This Row],[FME ID]],FME_Input[FME_ID],FME_Input[DESCR])</f>
        <v>Evaluate, Design and construct new bridge over east fork san jacinto river on low water bridge road to reduce flooding.</v>
      </c>
      <c r="E1749" s="256">
        <f>_xlfn.XLOOKUP(FME_Ranking1[[#This Row],[FME ID]],FME_Input[FME_ID],FME_Input[FME_COST])</f>
        <v>1000000</v>
      </c>
      <c r="F1749" t="str">
        <f>_xlfn.XLOOKUP(FME_Ranking1[[#This Row],[FME ID]],FME_Input[FME_ID],FME_Input[EMER_NEED])</f>
        <v>No</v>
      </c>
      <c r="G1749">
        <f>IF(FME_Ranking!F1749="Yes",100,0)</f>
        <v>0</v>
      </c>
      <c r="H1749">
        <f>FME_Ranking1[[#This Row],[Emergency Need Score (Normalized, Unweighted)]]*$F$3</f>
        <v>0</v>
      </c>
      <c r="I1749" s="246">
        <f>_xlfn.XLOOKUP(FME_Ranking1[[#This Row],[FME ID]],FME_Input[FME_ID],FME_Input[STRUCT_100])</f>
        <v>52</v>
      </c>
      <c r="J1749" s="178">
        <f>(FME_Ranking1[[#This Row],[Structures 100 Raw]]/I$2)*100</f>
        <v>2.7845606820031704E-2</v>
      </c>
      <c r="K1749" s="178">
        <f>FME_Ranking1[[#This Row],[Structures 100  Score (Normalized, Unweighted)]]*$I$3</f>
        <v>4.1768410230047558E-3</v>
      </c>
      <c r="L1749" s="246">
        <f>_xlfn.XLOOKUP(FME_Ranking1[[#This Row],[FME ID]],FME_Input[FME_ID],FME_Input[RES_STRUCT100])</f>
        <v>37</v>
      </c>
      <c r="M1749" s="230">
        <f>(FME_Ranking1[[#This Row],[Res Structures Raw]]/L$2)*100</f>
        <v>2.6207306880480515E-2</v>
      </c>
      <c r="N1749" s="180">
        <f>FME_Ranking1[[#This Row],[Res Structures Score (Normalized, Unweighted)]]*$L$3</f>
        <v>2.6207306880480516E-3</v>
      </c>
      <c r="O1749" s="244">
        <f>_xlfn.XLOOKUP(FME_Ranking1[[#This Row],[FME ID]],FME_Input[FME_ID],FME_Input[POP100])</f>
        <v>44</v>
      </c>
      <c r="P1749" s="178">
        <f>(FME_Ranking1[[#This Row],[Pop Raw]]/$O$2)*100</f>
        <v>4.5045137275055843E-3</v>
      </c>
      <c r="Q1749" s="178">
        <f>FME_Ranking1[[#This Row],[Pop Score (Normalized, Unweighted)]]*$O$3</f>
        <v>6.7567705912583765E-4</v>
      </c>
      <c r="R1749" s="137">
        <f>_xlfn.XLOOKUP(FME_Ranking1[[#This Row],[FME ID]],FME_Input[FME_ID],FME_Input[CRITFAC100])</f>
        <v>0</v>
      </c>
      <c r="S1749" s="230">
        <f>(FME_Ranking1[[#This Row],[Critical Facilities Raw]]/$R$2)*100</f>
        <v>0</v>
      </c>
      <c r="T1749" s="180">
        <f>FME_Ranking1[[#This Row],[Critical Facilities Score (Normalized, Unweighted)]]*$R$3</f>
        <v>0</v>
      </c>
      <c r="U1749">
        <f>_xlfn.XLOOKUP(FME_Ranking1[[#This Row],[FME ID]],FME_Input[FME_ID],FME_Input[LWC])</f>
        <v>0</v>
      </c>
      <c r="V1749" s="178">
        <f>(FME_Ranking1[[#This Row],[LWC Raw]]/$U$2)*100</f>
        <v>0</v>
      </c>
      <c r="W1749" s="178">
        <f>FME_Ranking1[[#This Row],[LWC Score (Normalized, Unweighted)]]*$U$3</f>
        <v>0</v>
      </c>
      <c r="X1749" s="246">
        <f>_xlfn.XLOOKUP(FME_Ranking1[[#This Row],[FME ID]],FME_Input[FME_ID],FME_Input[ROADCLS])</f>
        <v>0</v>
      </c>
      <c r="Y1749" s="230">
        <f>(FME_Ranking1[[#This Row],[Closures Raw]]/$X$2)*100</f>
        <v>0</v>
      </c>
      <c r="Z1749" s="180">
        <f>FME_Ranking1[[#This Row],[Closures Score (Normalized, Unweighted)]]*$X$3</f>
        <v>0</v>
      </c>
      <c r="AA1749" s="253">
        <f>_xlfn.XLOOKUP(FME_Ranking1[[#This Row],[FME ID]],FME_Input[FME_ID],FME_Input[ROAD_MILES100])</f>
        <v>3.3015956878662109</v>
      </c>
      <c r="AB1749" s="178">
        <f>(FME_Ranking1[[#This Row],[Miles Raw]]/$AA$2)*100</f>
        <v>4.3410061605574479E-2</v>
      </c>
      <c r="AC1749" s="178">
        <f>FME_Ranking1[[#This Row],[Miles Score (Normalized, Unweighted)]]*$AA$3</f>
        <v>4.3410061605574481E-3</v>
      </c>
      <c r="AD1749" s="255">
        <f>_xlfn.XLOOKUP(FME_Ranking1[[#This Row],[FME ID]],FME_Input[FME_ID],FME_Input[FARMACRE100])</f>
        <v>6.1741275787353516</v>
      </c>
      <c r="AE1749" s="230">
        <f>(FME_Ranking1[[#This Row],[Ag Land Raw]]/$AD$2)*100</f>
        <v>2.545933828421606E-4</v>
      </c>
      <c r="AF1749" s="231">
        <f>FME_Ranking1[[#This Row],[Ag Land Score (Normalized, Unweighted)]]*$AD$3</f>
        <v>1.272966914210803E-5</v>
      </c>
      <c r="AG174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1.18269845998782E-2</v>
      </c>
      <c r="AH1749" s="406">
        <f t="shared" si="27"/>
        <v>1721</v>
      </c>
      <c r="AI174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1.18269845998782E-2</v>
      </c>
      <c r="AJ1749" s="257">
        <f>FME_Ranking1[[#This Row],[Addition check]]-FME_Ranking1[[#This Row],[Weighted Score Based on Normalized Reported Factors]]</f>
        <v>0</v>
      </c>
      <c r="AK1749" s="178">
        <f>_xlfn.RANK.EQ(AI1749,$AI$6:$AI$2341,0)+COUNTIF($AI$6:AI1749,AI1749)-1</f>
        <v>1722</v>
      </c>
    </row>
    <row r="1750" spans="1:37" x14ac:dyDescent="0.25">
      <c r="A1750" t="s">
        <v>1686</v>
      </c>
      <c r="B1750">
        <f>_xlfn.XLOOKUP(FME_Ranking1[[#This Row],[FME ID]],FME_Input[FME_ID],FME_Input[RFPG_NUM])</f>
        <v>6</v>
      </c>
      <c r="C1750" t="str">
        <f>_xlfn.XLOOKUP(FME_Ranking1[[#This Row],[FME ID]],FME_Input[FME_ID],FME_Input[FME_NAME])</f>
        <v>City of North Cleveland Master Drainage Plan</v>
      </c>
      <c r="D1750" t="str">
        <f>_xlfn.XLOOKUP(FME_Ranking1[[#This Row],[FME ID]],FME_Input[FME_ID],FME_Input[DESCR])</f>
        <v>Study to develop Master Drainage Plan using future and existing land use and flood/storm water drainage needs including Atlas 14 rainfall.</v>
      </c>
      <c r="E1750" s="256">
        <f>_xlfn.XLOOKUP(FME_Ranking1[[#This Row],[FME ID]],FME_Input[FME_ID],FME_Input[FME_COST])</f>
        <v>190000</v>
      </c>
      <c r="F1750" t="str">
        <f>_xlfn.XLOOKUP(FME_Ranking1[[#This Row],[FME ID]],FME_Input[FME_ID],FME_Input[EMER_NEED])</f>
        <v>No</v>
      </c>
      <c r="G1750">
        <f>IF(FME_Ranking!F1750="Yes",100,0)</f>
        <v>0</v>
      </c>
      <c r="H1750">
        <f>FME_Ranking1[[#This Row],[Emergency Need Score (Normalized, Unweighted)]]*$F$3</f>
        <v>0</v>
      </c>
      <c r="I1750" s="246">
        <f>_xlfn.XLOOKUP(FME_Ranking1[[#This Row],[FME ID]],FME_Input[FME_ID],FME_Input[STRUCT_100])</f>
        <v>52</v>
      </c>
      <c r="J1750" s="178">
        <f>(FME_Ranking1[[#This Row],[Structures 100 Raw]]/I$2)*100</f>
        <v>2.7845606820031704E-2</v>
      </c>
      <c r="K1750" s="178">
        <f>FME_Ranking1[[#This Row],[Structures 100  Score (Normalized, Unweighted)]]*$I$3</f>
        <v>4.1768410230047558E-3</v>
      </c>
      <c r="L1750" s="246">
        <f>_xlfn.XLOOKUP(FME_Ranking1[[#This Row],[FME ID]],FME_Input[FME_ID],FME_Input[RES_STRUCT100])</f>
        <v>37</v>
      </c>
      <c r="M1750" s="230">
        <f>(FME_Ranking1[[#This Row],[Res Structures Raw]]/L$2)*100</f>
        <v>2.6207306880480515E-2</v>
      </c>
      <c r="N1750" s="180">
        <f>FME_Ranking1[[#This Row],[Res Structures Score (Normalized, Unweighted)]]*$L$3</f>
        <v>2.6207306880480516E-3</v>
      </c>
      <c r="O1750" s="244">
        <f>_xlfn.XLOOKUP(FME_Ranking1[[#This Row],[FME ID]],FME_Input[FME_ID],FME_Input[POP100])</f>
        <v>44</v>
      </c>
      <c r="P1750" s="178">
        <f>(FME_Ranking1[[#This Row],[Pop Raw]]/$O$2)*100</f>
        <v>4.5045137275055843E-3</v>
      </c>
      <c r="Q1750" s="178">
        <f>FME_Ranking1[[#This Row],[Pop Score (Normalized, Unweighted)]]*$O$3</f>
        <v>6.7567705912583765E-4</v>
      </c>
      <c r="R1750" s="137">
        <f>_xlfn.XLOOKUP(FME_Ranking1[[#This Row],[FME ID]],FME_Input[FME_ID],FME_Input[CRITFAC100])</f>
        <v>0</v>
      </c>
      <c r="S1750" s="230">
        <f>(FME_Ranking1[[#This Row],[Critical Facilities Raw]]/$R$2)*100</f>
        <v>0</v>
      </c>
      <c r="T1750" s="180">
        <f>FME_Ranking1[[#This Row],[Critical Facilities Score (Normalized, Unweighted)]]*$R$3</f>
        <v>0</v>
      </c>
      <c r="U1750">
        <f>_xlfn.XLOOKUP(FME_Ranking1[[#This Row],[FME ID]],FME_Input[FME_ID],FME_Input[LWC])</f>
        <v>0</v>
      </c>
      <c r="V1750" s="178">
        <f>(FME_Ranking1[[#This Row],[LWC Raw]]/$U$2)*100</f>
        <v>0</v>
      </c>
      <c r="W1750" s="178">
        <f>FME_Ranking1[[#This Row],[LWC Score (Normalized, Unweighted)]]*$U$3</f>
        <v>0</v>
      </c>
      <c r="X1750" s="246">
        <f>_xlfn.XLOOKUP(FME_Ranking1[[#This Row],[FME ID]],FME_Input[FME_ID],FME_Input[ROADCLS])</f>
        <v>0</v>
      </c>
      <c r="Y1750" s="230">
        <f>(FME_Ranking1[[#This Row],[Closures Raw]]/$X$2)*100</f>
        <v>0</v>
      </c>
      <c r="Z1750" s="180">
        <f>FME_Ranking1[[#This Row],[Closures Score (Normalized, Unweighted)]]*$X$3</f>
        <v>0</v>
      </c>
      <c r="AA1750" s="253">
        <f>_xlfn.XLOOKUP(FME_Ranking1[[#This Row],[FME ID]],FME_Input[FME_ID],FME_Input[ROAD_MILES100])</f>
        <v>3.3015956878662109</v>
      </c>
      <c r="AB1750" s="178">
        <f>(FME_Ranking1[[#This Row],[Miles Raw]]/$AA$2)*100</f>
        <v>4.3410061605574479E-2</v>
      </c>
      <c r="AC1750" s="178">
        <f>FME_Ranking1[[#This Row],[Miles Score (Normalized, Unweighted)]]*$AA$3</f>
        <v>4.3410061605574481E-3</v>
      </c>
      <c r="AD1750" s="255">
        <f>_xlfn.XLOOKUP(FME_Ranking1[[#This Row],[FME ID]],FME_Input[FME_ID],FME_Input[FARMACRE100])</f>
        <v>6.1741275787353516</v>
      </c>
      <c r="AE1750" s="230">
        <f>(FME_Ranking1[[#This Row],[Ag Land Raw]]/$AD$2)*100</f>
        <v>2.545933828421606E-4</v>
      </c>
      <c r="AF1750" s="231">
        <f>FME_Ranking1[[#This Row],[Ag Land Score (Normalized, Unweighted)]]*$AD$3</f>
        <v>1.272966914210803E-5</v>
      </c>
      <c r="AG175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1.18269845998782E-2</v>
      </c>
      <c r="AH1750" s="406">
        <f t="shared" si="27"/>
        <v>1721</v>
      </c>
      <c r="AI175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1.18269845998782E-2</v>
      </c>
      <c r="AJ1750" s="257">
        <f>FME_Ranking1[[#This Row],[Addition check]]-FME_Ranking1[[#This Row],[Weighted Score Based on Normalized Reported Factors]]</f>
        <v>0</v>
      </c>
      <c r="AK1750" s="178">
        <f>_xlfn.RANK.EQ(AI1750,$AI$6:$AI$2341,0)+COUNTIF($AI$6:AI1750,AI1750)-1</f>
        <v>1723</v>
      </c>
    </row>
    <row r="1751" spans="1:37" x14ac:dyDescent="0.25">
      <c r="A1751" t="s">
        <v>4679</v>
      </c>
      <c r="B1751">
        <f>_xlfn.XLOOKUP(FME_Ranking1[[#This Row],[FME ID]],FME_Input[FME_ID],FME_Input[RFPG_NUM])</f>
        <v>3</v>
      </c>
      <c r="C1751" t="str">
        <f>_xlfn.XLOOKUP(FME_Ranking1[[#This Row],[FME ID]],FME_Input[FME_ID],FME_Input[FME_NAME])</f>
        <v>Green Hollow Drive North and South of Thornbush Drive</v>
      </c>
      <c r="D1751" t="str">
        <f>_xlfn.XLOOKUP(FME_Ranking1[[#This Row],[FME ID]],FME_Input[FME_ID],FME_Input[DESCR])</f>
        <v>Study update - Storm Drain Improvements; Estimated construction cost of $247,000</v>
      </c>
      <c r="E1751" s="256">
        <f>_xlfn.XLOOKUP(FME_Ranking1[[#This Row],[FME ID]],FME_Input[FME_ID],FME_Input[FME_COST])</f>
        <v>250000</v>
      </c>
      <c r="F1751" t="str">
        <f>_xlfn.XLOOKUP(FME_Ranking1[[#This Row],[FME ID]],FME_Input[FME_ID],FME_Input[EMER_NEED])</f>
        <v>No</v>
      </c>
      <c r="G1751">
        <f>IF(FME_Ranking!F1751="Yes",100,0)</f>
        <v>0</v>
      </c>
      <c r="H1751">
        <f>FME_Ranking1[[#This Row],[Emergency Need Score (Normalized, Unweighted)]]*$F$3</f>
        <v>0</v>
      </c>
      <c r="I1751" s="246">
        <f>_xlfn.XLOOKUP(FME_Ranking1[[#This Row],[FME ID]],FME_Input[FME_ID],FME_Input[STRUCT_100])</f>
        <v>19</v>
      </c>
      <c r="J1751" s="178">
        <f>(FME_Ranking1[[#This Row],[Structures 100 Raw]]/I$2)*100</f>
        <v>1.0174356338088506E-2</v>
      </c>
      <c r="K1751" s="178">
        <f>FME_Ranking1[[#This Row],[Structures 100  Score (Normalized, Unweighted)]]*$I$3</f>
        <v>1.5261534507132759E-3</v>
      </c>
      <c r="L1751" s="246">
        <f>_xlfn.XLOOKUP(FME_Ranking1[[#This Row],[FME ID]],FME_Input[FME_ID],FME_Input[RES_STRUCT100])</f>
        <v>18</v>
      </c>
      <c r="M1751" s="230">
        <f>(FME_Ranking1[[#This Row],[Res Structures Raw]]/L$2)*100</f>
        <v>1.2749500644558088E-2</v>
      </c>
      <c r="N1751" s="180">
        <f>FME_Ranking1[[#This Row],[Res Structures Score (Normalized, Unweighted)]]*$L$3</f>
        <v>1.2749500644558089E-3</v>
      </c>
      <c r="O1751" s="244">
        <f>_xlfn.XLOOKUP(FME_Ranking1[[#This Row],[FME ID]],FME_Input[FME_ID],FME_Input[POP100])</f>
        <v>302</v>
      </c>
      <c r="P1751" s="178">
        <f>(FME_Ranking1[[#This Row],[Pop Raw]]/$O$2)*100</f>
        <v>3.0917344220606512E-2</v>
      </c>
      <c r="Q1751" s="178">
        <f>FME_Ranking1[[#This Row],[Pop Score (Normalized, Unweighted)]]*$O$3</f>
        <v>4.6376016330909762E-3</v>
      </c>
      <c r="R1751" s="137">
        <f>_xlfn.XLOOKUP(FME_Ranking1[[#This Row],[FME ID]],FME_Input[FME_ID],FME_Input[CRITFAC100])</f>
        <v>0</v>
      </c>
      <c r="S1751" s="230">
        <f>(FME_Ranking1[[#This Row],[Critical Facilities Raw]]/$R$2)*100</f>
        <v>0</v>
      </c>
      <c r="T1751" s="180">
        <f>FME_Ranking1[[#This Row],[Critical Facilities Score (Normalized, Unweighted)]]*$R$3</f>
        <v>0</v>
      </c>
      <c r="U1751">
        <f>_xlfn.XLOOKUP(FME_Ranking1[[#This Row],[FME ID]],FME_Input[FME_ID],FME_Input[LWC])</f>
        <v>0</v>
      </c>
      <c r="V1751" s="178">
        <f>(FME_Ranking1[[#This Row],[LWC Raw]]/$U$2)*100</f>
        <v>0</v>
      </c>
      <c r="W1751" s="178">
        <f>FME_Ranking1[[#This Row],[LWC Score (Normalized, Unweighted)]]*$U$3</f>
        <v>0</v>
      </c>
      <c r="X1751" s="246">
        <f>_xlfn.XLOOKUP(FME_Ranking1[[#This Row],[FME ID]],FME_Input[FME_ID],FME_Input[ROADCLS])</f>
        <v>0</v>
      </c>
      <c r="Y1751" s="230">
        <f>(FME_Ranking1[[#This Row],[Closures Raw]]/$X$2)*100</f>
        <v>0</v>
      </c>
      <c r="Z1751" s="180">
        <f>FME_Ranking1[[#This Row],[Closures Score (Normalized, Unweighted)]]*$X$3</f>
        <v>0</v>
      </c>
      <c r="AA1751" s="253">
        <f>_xlfn.XLOOKUP(FME_Ranking1[[#This Row],[FME ID]],FME_Input[FME_ID],FME_Input[ROAD_MILES100])</f>
        <v>0.7840501070022583</v>
      </c>
      <c r="AB1751" s="178">
        <f>(FME_Ranking1[[#This Row],[Miles Raw]]/$AA$2)*100</f>
        <v>1.0308852647194427E-2</v>
      </c>
      <c r="AC1751" s="178">
        <f>FME_Ranking1[[#This Row],[Miles Score (Normalized, Unweighted)]]*$AA$3</f>
        <v>1.0308852647194428E-3</v>
      </c>
      <c r="AD1751" s="255">
        <f>_xlfn.XLOOKUP(FME_Ranking1[[#This Row],[FME ID]],FME_Input[FME_ID],FME_Input[FARMACRE100])</f>
        <v>19.684999465942379</v>
      </c>
      <c r="AE1751" s="230">
        <f>(FME_Ranking1[[#This Row],[Ag Land Raw]]/$AD$2)*100</f>
        <v>8.1172125800272764E-4</v>
      </c>
      <c r="AF1751" s="231">
        <f>FME_Ranking1[[#This Row],[Ag Land Score (Normalized, Unweighted)]]*$AD$3</f>
        <v>4.0586062900136387E-5</v>
      </c>
      <c r="AG175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8.5101764758796408E-3</v>
      </c>
      <c r="AH1751" s="406">
        <f t="shared" si="27"/>
        <v>1777</v>
      </c>
      <c r="AI175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8.5101764758796408E-3</v>
      </c>
      <c r="AJ1751" s="257">
        <f>FME_Ranking1[[#This Row],[Addition check]]-FME_Ranking1[[#This Row],[Weighted Score Based on Normalized Reported Factors]]</f>
        <v>0</v>
      </c>
      <c r="AK1751" s="178">
        <f>_xlfn.RANK.EQ(AI1751,$AI$6:$AI$2341,0)+COUNTIF($AI$6:AI1751,AI1751)-1</f>
        <v>1777</v>
      </c>
    </row>
    <row r="1752" spans="1:37" x14ac:dyDescent="0.25">
      <c r="A1752" t="s">
        <v>6773</v>
      </c>
      <c r="B1752">
        <f>_xlfn.XLOOKUP(FME_Ranking1[[#This Row],[FME ID]],FME_Input[FME_ID],FME_Input[RFPG_NUM])</f>
        <v>7</v>
      </c>
      <c r="C1752" t="str">
        <f>_xlfn.XLOOKUP(FME_Ranking1[[#This Row],[FME ID]],FME_Input[FME_ID],FME_Input[FME_NAME])</f>
        <v>Terry County Update FEMA Mapping</v>
      </c>
      <c r="D1752" t="str">
        <f>_xlfn.XLOOKUP(FME_Ranking1[[#This Row],[FME ID]],FME_Input[FME_ID],FME_Input[DESCR])</f>
        <v>Update existing FEMA mapping</v>
      </c>
      <c r="E1752" s="256">
        <f>_xlfn.XLOOKUP(FME_Ranking1[[#This Row],[FME ID]],FME_Input[FME_ID],FME_Input[FME_COST])</f>
        <v>1010000</v>
      </c>
      <c r="F1752" t="str">
        <f>_xlfn.XLOOKUP(FME_Ranking1[[#This Row],[FME ID]],FME_Input[FME_ID],FME_Input[EMER_NEED])</f>
        <v>No</v>
      </c>
      <c r="G1752">
        <f>IF(FME_Ranking!F1752="Yes",100,0)</f>
        <v>0</v>
      </c>
      <c r="H1752">
        <f>FME_Ranking1[[#This Row],[Emergency Need Score (Normalized, Unweighted)]]*$F$3</f>
        <v>0</v>
      </c>
      <c r="I1752" s="246">
        <f>_xlfn.XLOOKUP(FME_Ranking1[[#This Row],[FME ID]],FME_Input[FME_ID],FME_Input[STRUCT_100])</f>
        <v>4</v>
      </c>
      <c r="J1752" s="178">
        <f>(FME_Ranking1[[#This Row],[Structures 100 Raw]]/I$2)*100</f>
        <v>2.1419697553870542E-3</v>
      </c>
      <c r="K1752" s="178">
        <f>FME_Ranking1[[#This Row],[Structures 100  Score (Normalized, Unweighted)]]*$I$3</f>
        <v>3.2129546330805813E-4</v>
      </c>
      <c r="L1752" s="246">
        <f>_xlfn.XLOOKUP(FME_Ranking1[[#This Row],[FME ID]],FME_Input[FME_ID],FME_Input[RES_STRUCT100])</f>
        <v>0</v>
      </c>
      <c r="M1752" s="230">
        <f>(FME_Ranking1[[#This Row],[Res Structures Raw]]/L$2)*100</f>
        <v>0</v>
      </c>
      <c r="N1752" s="180">
        <f>FME_Ranking1[[#This Row],[Res Structures Score (Normalized, Unweighted)]]*$L$3</f>
        <v>0</v>
      </c>
      <c r="O1752" s="244">
        <f>_xlfn.XLOOKUP(FME_Ranking1[[#This Row],[FME ID]],FME_Input[FME_ID],FME_Input[POP100])</f>
        <v>5</v>
      </c>
      <c r="P1752" s="178">
        <f>(FME_Ranking1[[#This Row],[Pop Raw]]/$O$2)*100</f>
        <v>5.1187655994381644E-4</v>
      </c>
      <c r="Q1752" s="178">
        <f>FME_Ranking1[[#This Row],[Pop Score (Normalized, Unweighted)]]*$O$3</f>
        <v>7.6781483991572469E-5</v>
      </c>
      <c r="R1752" s="137">
        <f>_xlfn.XLOOKUP(FME_Ranking1[[#This Row],[FME ID]],FME_Input[FME_ID],FME_Input[CRITFAC100])</f>
        <v>0</v>
      </c>
      <c r="S1752" s="230">
        <f>(FME_Ranking1[[#This Row],[Critical Facilities Raw]]/$R$2)*100</f>
        <v>0</v>
      </c>
      <c r="T1752" s="180">
        <f>FME_Ranking1[[#This Row],[Critical Facilities Score (Normalized, Unweighted)]]*$R$3</f>
        <v>0</v>
      </c>
      <c r="U1752">
        <f>_xlfn.XLOOKUP(FME_Ranking1[[#This Row],[FME ID]],FME_Input[FME_ID],FME_Input[LWC])</f>
        <v>0</v>
      </c>
      <c r="V1752" s="178">
        <f>(FME_Ranking1[[#This Row],[LWC Raw]]/$U$2)*100</f>
        <v>0</v>
      </c>
      <c r="W1752" s="178">
        <f>FME_Ranking1[[#This Row],[LWC Score (Normalized, Unweighted)]]*$U$3</f>
        <v>0</v>
      </c>
      <c r="X1752" s="246">
        <f>_xlfn.XLOOKUP(FME_Ranking1[[#This Row],[FME ID]],FME_Input[FME_ID],FME_Input[ROADCLS])</f>
        <v>0</v>
      </c>
      <c r="Y1752" s="230">
        <f>(FME_Ranking1[[#This Row],[Closures Raw]]/$X$2)*100</f>
        <v>0</v>
      </c>
      <c r="Z1752" s="180">
        <f>FME_Ranking1[[#This Row],[Closures Score (Normalized, Unweighted)]]*$X$3</f>
        <v>0</v>
      </c>
      <c r="AA1752" s="253">
        <f>_xlfn.XLOOKUP(FME_Ranking1[[#This Row],[FME ID]],FME_Input[FME_ID],FME_Input[ROAD_MILES100])</f>
        <v>27.414487838745121</v>
      </c>
      <c r="AB1752" s="178">
        <f>(FME_Ranking1[[#This Row],[Miles Raw]]/$AA$2)*100</f>
        <v>0.36045134488721275</v>
      </c>
      <c r="AC1752" s="178">
        <f>FME_Ranking1[[#This Row],[Miles Score (Normalized, Unweighted)]]*$AA$3</f>
        <v>3.6045134488721278E-2</v>
      </c>
      <c r="AD1752" s="255">
        <f>_xlfn.XLOOKUP(FME_Ranking1[[#This Row],[FME ID]],FME_Input[FME_ID],FME_Input[FARMACRE100])</f>
        <v>3373.045166015625</v>
      </c>
      <c r="AE1752" s="230">
        <f>(FME_Ranking1[[#This Row],[Ag Land Raw]]/$AD$2)*100</f>
        <v>0.13908928319735403</v>
      </c>
      <c r="AF1752" s="231">
        <f>FME_Ranking1[[#This Row],[Ag Land Score (Normalized, Unweighted)]]*$AD$3</f>
        <v>6.954464159867702E-3</v>
      </c>
      <c r="AG175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4.3397675595888613E-2</v>
      </c>
      <c r="AH1752" s="406">
        <f t="shared" si="27"/>
        <v>1348</v>
      </c>
      <c r="AI175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4.3397675595888613E-2</v>
      </c>
      <c r="AJ1752" s="257">
        <f>FME_Ranking1[[#This Row],[Addition check]]-FME_Ranking1[[#This Row],[Weighted Score Based on Normalized Reported Factors]]</f>
        <v>0</v>
      </c>
      <c r="AK1752" s="178">
        <f>_xlfn.RANK.EQ(AI1752,$AI$6:$AI$2341,0)+COUNTIF($AI$6:AI1752,AI1752)-1</f>
        <v>1348</v>
      </c>
    </row>
    <row r="1753" spans="1:37" x14ac:dyDescent="0.25">
      <c r="A1753" t="s">
        <v>6781</v>
      </c>
      <c r="B1753">
        <f>_xlfn.XLOOKUP(FME_Ranking1[[#This Row],[FME ID]],FME_Input[FME_ID],FME_Input[RFPG_NUM])</f>
        <v>7</v>
      </c>
      <c r="C1753" t="str">
        <f>_xlfn.XLOOKUP(FME_Ranking1[[#This Row],[FME ID]],FME_Input[FME_ID],FME_Input[FME_NAME])</f>
        <v>Terry County GIS Development</v>
      </c>
      <c r="D1753" t="str">
        <f>_xlfn.XLOOKUP(FME_Ranking1[[#This Row],[FME ID]],FME_Input[FME_ID],FME_Input[DESCR])</f>
        <v>Develop a GIS inventory of stormwater infrastructure</v>
      </c>
      <c r="E1753" s="256">
        <f>_xlfn.XLOOKUP(FME_Ranking1[[#This Row],[FME ID]],FME_Input[FME_ID],FME_Input[FME_COST])</f>
        <v>100000</v>
      </c>
      <c r="F1753" t="str">
        <f>_xlfn.XLOOKUP(FME_Ranking1[[#This Row],[FME ID]],FME_Input[FME_ID],FME_Input[EMER_NEED])</f>
        <v>No</v>
      </c>
      <c r="G1753">
        <f>IF(FME_Ranking!F1753="Yes",100,0)</f>
        <v>0</v>
      </c>
      <c r="H1753">
        <f>FME_Ranking1[[#This Row],[Emergency Need Score (Normalized, Unweighted)]]*$F$3</f>
        <v>0</v>
      </c>
      <c r="I1753" s="246">
        <f>_xlfn.XLOOKUP(FME_Ranking1[[#This Row],[FME ID]],FME_Input[FME_ID],FME_Input[STRUCT_100])</f>
        <v>4</v>
      </c>
      <c r="J1753" s="178">
        <f>(FME_Ranking1[[#This Row],[Structures 100 Raw]]/I$2)*100</f>
        <v>2.1419697553870542E-3</v>
      </c>
      <c r="K1753" s="178">
        <f>FME_Ranking1[[#This Row],[Structures 100  Score (Normalized, Unweighted)]]*$I$3</f>
        <v>3.2129546330805813E-4</v>
      </c>
      <c r="L1753" s="246">
        <f>_xlfn.XLOOKUP(FME_Ranking1[[#This Row],[FME ID]],FME_Input[FME_ID],FME_Input[RES_STRUCT100])</f>
        <v>0</v>
      </c>
      <c r="M1753" s="230">
        <f>(FME_Ranking1[[#This Row],[Res Structures Raw]]/L$2)*100</f>
        <v>0</v>
      </c>
      <c r="N1753" s="180">
        <f>FME_Ranking1[[#This Row],[Res Structures Score (Normalized, Unweighted)]]*$L$3</f>
        <v>0</v>
      </c>
      <c r="O1753" s="244">
        <f>_xlfn.XLOOKUP(FME_Ranking1[[#This Row],[FME ID]],FME_Input[FME_ID],FME_Input[POP100])</f>
        <v>5</v>
      </c>
      <c r="P1753" s="178">
        <f>(FME_Ranking1[[#This Row],[Pop Raw]]/$O$2)*100</f>
        <v>5.1187655994381644E-4</v>
      </c>
      <c r="Q1753" s="178">
        <f>FME_Ranking1[[#This Row],[Pop Score (Normalized, Unweighted)]]*$O$3</f>
        <v>7.6781483991572469E-5</v>
      </c>
      <c r="R1753" s="137">
        <f>_xlfn.XLOOKUP(FME_Ranking1[[#This Row],[FME ID]],FME_Input[FME_ID],FME_Input[CRITFAC100])</f>
        <v>0</v>
      </c>
      <c r="S1753" s="230">
        <f>(FME_Ranking1[[#This Row],[Critical Facilities Raw]]/$R$2)*100</f>
        <v>0</v>
      </c>
      <c r="T1753" s="180">
        <f>FME_Ranking1[[#This Row],[Critical Facilities Score (Normalized, Unweighted)]]*$R$3</f>
        <v>0</v>
      </c>
      <c r="U1753">
        <f>_xlfn.XLOOKUP(FME_Ranking1[[#This Row],[FME ID]],FME_Input[FME_ID],FME_Input[LWC])</f>
        <v>0</v>
      </c>
      <c r="V1753" s="178">
        <f>(FME_Ranking1[[#This Row],[LWC Raw]]/$U$2)*100</f>
        <v>0</v>
      </c>
      <c r="W1753" s="178">
        <f>FME_Ranking1[[#This Row],[LWC Score (Normalized, Unweighted)]]*$U$3</f>
        <v>0</v>
      </c>
      <c r="X1753" s="246">
        <f>_xlfn.XLOOKUP(FME_Ranking1[[#This Row],[FME ID]],FME_Input[FME_ID],FME_Input[ROADCLS])</f>
        <v>0</v>
      </c>
      <c r="Y1753" s="230">
        <f>(FME_Ranking1[[#This Row],[Closures Raw]]/$X$2)*100</f>
        <v>0</v>
      </c>
      <c r="Z1753" s="180">
        <f>FME_Ranking1[[#This Row],[Closures Score (Normalized, Unweighted)]]*$X$3</f>
        <v>0</v>
      </c>
      <c r="AA1753" s="253">
        <f>_xlfn.XLOOKUP(FME_Ranking1[[#This Row],[FME ID]],FME_Input[FME_ID],FME_Input[ROAD_MILES100])</f>
        <v>27.414487838745121</v>
      </c>
      <c r="AB1753" s="178">
        <f>(FME_Ranking1[[#This Row],[Miles Raw]]/$AA$2)*100</f>
        <v>0.36045134488721275</v>
      </c>
      <c r="AC1753" s="178">
        <f>FME_Ranking1[[#This Row],[Miles Score (Normalized, Unweighted)]]*$AA$3</f>
        <v>3.6045134488721278E-2</v>
      </c>
      <c r="AD1753" s="255">
        <f>_xlfn.XLOOKUP(FME_Ranking1[[#This Row],[FME ID]],FME_Input[FME_ID],FME_Input[FARMACRE100])</f>
        <v>3373.045166015625</v>
      </c>
      <c r="AE1753" s="230">
        <f>(FME_Ranking1[[#This Row],[Ag Land Raw]]/$AD$2)*100</f>
        <v>0.13908928319735403</v>
      </c>
      <c r="AF1753" s="231">
        <f>FME_Ranking1[[#This Row],[Ag Land Score (Normalized, Unweighted)]]*$AD$3</f>
        <v>6.954464159867702E-3</v>
      </c>
      <c r="AG175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4.3397675595888613E-2</v>
      </c>
      <c r="AH1753" s="406">
        <f t="shared" si="27"/>
        <v>1348</v>
      </c>
      <c r="AI175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4.3397675595888613E-2</v>
      </c>
      <c r="AJ1753" s="257">
        <f>FME_Ranking1[[#This Row],[Addition check]]-FME_Ranking1[[#This Row],[Weighted Score Based on Normalized Reported Factors]]</f>
        <v>0</v>
      </c>
      <c r="AK1753" s="178">
        <f>_xlfn.RANK.EQ(AI1753,$AI$6:$AI$2341,0)+COUNTIF($AI$6:AI1753,AI1753)-1</f>
        <v>1349</v>
      </c>
    </row>
    <row r="1754" spans="1:37" x14ac:dyDescent="0.25">
      <c r="A1754" t="s">
        <v>7255</v>
      </c>
      <c r="B1754">
        <f>_xlfn.XLOOKUP(FME_Ranking1[[#This Row],[FME ID]],FME_Input[FME_ID],FME_Input[RFPG_NUM])</f>
        <v>7</v>
      </c>
      <c r="C1754" t="str">
        <f>_xlfn.XLOOKUP(FME_Ranking1[[#This Row],[FME ID]],FME_Input[FME_ID],FME_Input[FME_NAME])</f>
        <v>Terry County DCM</v>
      </c>
      <c r="D1754" t="str">
        <f>_xlfn.XLOOKUP(FME_Ranking1[[#This Row],[FME ID]],FME_Input[FME_ID],FME_Input[DESCR])</f>
        <v>Consider stormwater criteria for infrastructure and floodplain ordinances to avoid new exposure to flood hazards.</v>
      </c>
      <c r="E1754" s="256">
        <f>_xlfn.XLOOKUP(FME_Ranking1[[#This Row],[FME ID]],FME_Input[FME_ID],FME_Input[FME_COST])</f>
        <v>100000</v>
      </c>
      <c r="F1754" t="str">
        <f>_xlfn.XLOOKUP(FME_Ranking1[[#This Row],[FME ID]],FME_Input[FME_ID],FME_Input[EMER_NEED])</f>
        <v>No</v>
      </c>
      <c r="G1754">
        <f>IF(FME_Ranking!F1754="Yes",100,0)</f>
        <v>0</v>
      </c>
      <c r="H1754">
        <f>FME_Ranking1[[#This Row],[Emergency Need Score (Normalized, Unweighted)]]*$F$3</f>
        <v>0</v>
      </c>
      <c r="I1754" s="246">
        <f>_xlfn.XLOOKUP(FME_Ranking1[[#This Row],[FME ID]],FME_Input[FME_ID],FME_Input[STRUCT_100])</f>
        <v>4</v>
      </c>
      <c r="J1754" s="178">
        <f>(FME_Ranking1[[#This Row],[Structures 100 Raw]]/I$2)*100</f>
        <v>2.1419697553870542E-3</v>
      </c>
      <c r="K1754" s="178">
        <f>FME_Ranking1[[#This Row],[Structures 100  Score (Normalized, Unweighted)]]*$I$3</f>
        <v>3.2129546330805813E-4</v>
      </c>
      <c r="L1754" s="246">
        <f>_xlfn.XLOOKUP(FME_Ranking1[[#This Row],[FME ID]],FME_Input[FME_ID],FME_Input[RES_STRUCT100])</f>
        <v>0</v>
      </c>
      <c r="M1754" s="230">
        <f>(FME_Ranking1[[#This Row],[Res Structures Raw]]/L$2)*100</f>
        <v>0</v>
      </c>
      <c r="N1754" s="180">
        <f>FME_Ranking1[[#This Row],[Res Structures Score (Normalized, Unweighted)]]*$L$3</f>
        <v>0</v>
      </c>
      <c r="O1754" s="244">
        <f>_xlfn.XLOOKUP(FME_Ranking1[[#This Row],[FME ID]],FME_Input[FME_ID],FME_Input[POP100])</f>
        <v>5</v>
      </c>
      <c r="P1754" s="178">
        <f>(FME_Ranking1[[#This Row],[Pop Raw]]/$O$2)*100</f>
        <v>5.1187655994381644E-4</v>
      </c>
      <c r="Q1754" s="178">
        <f>FME_Ranking1[[#This Row],[Pop Score (Normalized, Unweighted)]]*$O$3</f>
        <v>7.6781483991572469E-5</v>
      </c>
      <c r="R1754" s="137">
        <f>_xlfn.XLOOKUP(FME_Ranking1[[#This Row],[FME ID]],FME_Input[FME_ID],FME_Input[CRITFAC100])</f>
        <v>0</v>
      </c>
      <c r="S1754" s="230">
        <f>(FME_Ranking1[[#This Row],[Critical Facilities Raw]]/$R$2)*100</f>
        <v>0</v>
      </c>
      <c r="T1754" s="180">
        <f>FME_Ranking1[[#This Row],[Critical Facilities Score (Normalized, Unweighted)]]*$R$3</f>
        <v>0</v>
      </c>
      <c r="U1754">
        <f>_xlfn.XLOOKUP(FME_Ranking1[[#This Row],[FME ID]],FME_Input[FME_ID],FME_Input[LWC])</f>
        <v>0</v>
      </c>
      <c r="V1754" s="178">
        <f>(FME_Ranking1[[#This Row],[LWC Raw]]/$U$2)*100</f>
        <v>0</v>
      </c>
      <c r="W1754" s="178">
        <f>FME_Ranking1[[#This Row],[LWC Score (Normalized, Unweighted)]]*$U$3</f>
        <v>0</v>
      </c>
      <c r="X1754" s="246">
        <f>_xlfn.XLOOKUP(FME_Ranking1[[#This Row],[FME ID]],FME_Input[FME_ID],FME_Input[ROADCLS])</f>
        <v>0</v>
      </c>
      <c r="Y1754" s="230">
        <f>(FME_Ranking1[[#This Row],[Closures Raw]]/$X$2)*100</f>
        <v>0</v>
      </c>
      <c r="Z1754" s="180">
        <f>FME_Ranking1[[#This Row],[Closures Score (Normalized, Unweighted)]]*$X$3</f>
        <v>0</v>
      </c>
      <c r="AA1754" s="253">
        <f>_xlfn.XLOOKUP(FME_Ranking1[[#This Row],[FME ID]],FME_Input[FME_ID],FME_Input[ROAD_MILES100])</f>
        <v>27.414487838745121</v>
      </c>
      <c r="AB1754" s="178">
        <f>(FME_Ranking1[[#This Row],[Miles Raw]]/$AA$2)*100</f>
        <v>0.36045134488721275</v>
      </c>
      <c r="AC1754" s="178">
        <f>FME_Ranking1[[#This Row],[Miles Score (Normalized, Unweighted)]]*$AA$3</f>
        <v>3.6045134488721278E-2</v>
      </c>
      <c r="AD1754" s="255">
        <f>_xlfn.XLOOKUP(FME_Ranking1[[#This Row],[FME ID]],FME_Input[FME_ID],FME_Input[FARMACRE100])</f>
        <v>3373.045166015625</v>
      </c>
      <c r="AE1754" s="230">
        <f>(FME_Ranking1[[#This Row],[Ag Land Raw]]/$AD$2)*100</f>
        <v>0.13908928319735403</v>
      </c>
      <c r="AF1754" s="231">
        <f>FME_Ranking1[[#This Row],[Ag Land Score (Normalized, Unweighted)]]*$AD$3</f>
        <v>6.954464159867702E-3</v>
      </c>
      <c r="AG175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4.3397675595888613E-2</v>
      </c>
      <c r="AH1754" s="406">
        <f t="shared" si="27"/>
        <v>1348</v>
      </c>
      <c r="AI175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4.3397675595888613E-2</v>
      </c>
      <c r="AJ1754" s="257">
        <f>FME_Ranking1[[#This Row],[Addition check]]-FME_Ranking1[[#This Row],[Weighted Score Based on Normalized Reported Factors]]</f>
        <v>0</v>
      </c>
      <c r="AK1754" s="178">
        <f>_xlfn.RANK.EQ(AI1754,$AI$6:$AI$2341,0)+COUNTIF($AI$6:AI1754,AI1754)-1</f>
        <v>1350</v>
      </c>
    </row>
    <row r="1755" spans="1:37" x14ac:dyDescent="0.25">
      <c r="A1755" t="s">
        <v>8490</v>
      </c>
      <c r="B1755">
        <f>_xlfn.XLOOKUP(FME_Ranking1[[#This Row],[FME ID]],FME_Input[FME_ID],FME_Input[RFPG_NUM])</f>
        <v>10</v>
      </c>
      <c r="C1755" t="str">
        <f>_xlfn.XLOOKUP(FME_Ranking1[[#This Row],[FME ID]],FME_Input[FME_ID],FME_Input[FME_NAME])</f>
        <v>Glen Flora Drainage Master Plan and Levee Project</v>
      </c>
      <c r="D1755" t="str">
        <f>_xlfn.XLOOKUP(FME_Ranking1[[#This Row],[FME ID]],FME_Input[FME_ID],FME_Input[DESCR])</f>
        <v>Watershed Study and Project Planning</v>
      </c>
      <c r="E1755" s="256">
        <f>_xlfn.XLOOKUP(FME_Ranking1[[#This Row],[FME ID]],FME_Input[FME_ID],FME_Input[FME_COST])</f>
        <v>300000</v>
      </c>
      <c r="F1755" t="str">
        <f>_xlfn.XLOOKUP(FME_Ranking1[[#This Row],[FME ID]],FME_Input[FME_ID],FME_Input[EMER_NEED])</f>
        <v>No</v>
      </c>
      <c r="G1755">
        <f>IF(FME_Ranking!F1755="Yes",100,0)</f>
        <v>0</v>
      </c>
      <c r="H1755">
        <f>FME_Ranking1[[#This Row],[Emergency Need Score (Normalized, Unweighted)]]*$F$3</f>
        <v>0</v>
      </c>
      <c r="I1755" s="246">
        <f>_xlfn.XLOOKUP(FME_Ranking1[[#This Row],[FME ID]],FME_Input[FME_ID],FME_Input[STRUCT_100])</f>
        <v>48</v>
      </c>
      <c r="J1755" s="178">
        <f>(FME_Ranking1[[#This Row],[Structures 100 Raw]]/I$2)*100</f>
        <v>2.5703637064644645E-2</v>
      </c>
      <c r="K1755" s="178">
        <f>FME_Ranking1[[#This Row],[Structures 100  Score (Normalized, Unweighted)]]*$I$3</f>
        <v>3.8555455596966967E-3</v>
      </c>
      <c r="L1755" s="246">
        <f>_xlfn.XLOOKUP(FME_Ranking1[[#This Row],[FME ID]],FME_Input[FME_ID],FME_Input[RES_STRUCT100])</f>
        <v>31</v>
      </c>
      <c r="M1755" s="230">
        <f>(FME_Ranking1[[#This Row],[Res Structures Raw]]/L$2)*100</f>
        <v>2.1957473332294485E-2</v>
      </c>
      <c r="N1755" s="180">
        <f>FME_Ranking1[[#This Row],[Res Structures Score (Normalized, Unweighted)]]*$L$3</f>
        <v>2.1957473332294484E-3</v>
      </c>
      <c r="O1755" s="244">
        <f>_xlfn.XLOOKUP(FME_Ranking1[[#This Row],[FME ID]],FME_Input[FME_ID],FME_Input[POP100])</f>
        <v>65</v>
      </c>
      <c r="P1755" s="178">
        <f>(FME_Ranking1[[#This Row],[Pop Raw]]/$O$2)*100</f>
        <v>6.6543952792696131E-3</v>
      </c>
      <c r="Q1755" s="178">
        <f>FME_Ranking1[[#This Row],[Pop Score (Normalized, Unweighted)]]*$O$3</f>
        <v>9.9815929189044192E-4</v>
      </c>
      <c r="R1755" s="137">
        <f>_xlfn.XLOOKUP(FME_Ranking1[[#This Row],[FME ID]],FME_Input[FME_ID],FME_Input[CRITFAC100])</f>
        <v>0</v>
      </c>
      <c r="S1755" s="230">
        <f>(FME_Ranking1[[#This Row],[Critical Facilities Raw]]/$R$2)*100</f>
        <v>0</v>
      </c>
      <c r="T1755" s="180">
        <f>FME_Ranking1[[#This Row],[Critical Facilities Score (Normalized, Unweighted)]]*$R$3</f>
        <v>0</v>
      </c>
      <c r="U1755">
        <f>_xlfn.XLOOKUP(FME_Ranking1[[#This Row],[FME ID]],FME_Input[FME_ID],FME_Input[LWC])</f>
        <v>0</v>
      </c>
      <c r="V1755" s="178">
        <f>(FME_Ranking1[[#This Row],[LWC Raw]]/$U$2)*100</f>
        <v>0</v>
      </c>
      <c r="W1755" s="178">
        <f>FME_Ranking1[[#This Row],[LWC Score (Normalized, Unweighted)]]*$U$3</f>
        <v>0</v>
      </c>
      <c r="X1755" s="246">
        <f>_xlfn.XLOOKUP(FME_Ranking1[[#This Row],[FME ID]],FME_Input[FME_ID],FME_Input[ROADCLS])</f>
        <v>0</v>
      </c>
      <c r="Y1755" s="230">
        <f>(FME_Ranking1[[#This Row],[Closures Raw]]/$X$2)*100</f>
        <v>0</v>
      </c>
      <c r="Z1755" s="180">
        <f>FME_Ranking1[[#This Row],[Closures Score (Normalized, Unweighted)]]*$X$3</f>
        <v>0</v>
      </c>
      <c r="AA1755" s="253">
        <f>_xlfn.XLOOKUP(FME_Ranking1[[#This Row],[FME ID]],FME_Input[FME_ID],FME_Input[ROAD_MILES100])</f>
        <v>1.4144659042358401</v>
      </c>
      <c r="AB1755" s="178">
        <f>(FME_Ranking1[[#This Row],[Miles Raw]]/$AA$2)*100</f>
        <v>1.8597689677001601E-2</v>
      </c>
      <c r="AC1755" s="178">
        <f>FME_Ranking1[[#This Row],[Miles Score (Normalized, Unweighted)]]*$AA$3</f>
        <v>1.8597689677001602E-3</v>
      </c>
      <c r="AD1755" s="255">
        <f>_xlfn.XLOOKUP(FME_Ranking1[[#This Row],[FME ID]],FME_Input[FME_ID],FME_Input[FARMACRE100])</f>
        <v>112.0524215698242</v>
      </c>
      <c r="AE1755" s="230">
        <f>(FME_Ranking1[[#This Row],[Ag Land Raw]]/$AD$2)*100</f>
        <v>4.6205402624609811E-3</v>
      </c>
      <c r="AF1755" s="231">
        <f>FME_Ranking1[[#This Row],[Ag Land Score (Normalized, Unweighted)]]*$AD$3</f>
        <v>2.3102701312304906E-4</v>
      </c>
      <c r="AG175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9.1402481656397971E-3</v>
      </c>
      <c r="AH1755" s="406">
        <f t="shared" si="27"/>
        <v>1765</v>
      </c>
      <c r="AI175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9.1402481656397971E-3</v>
      </c>
      <c r="AJ1755" s="257">
        <f>FME_Ranking1[[#This Row],[Addition check]]-FME_Ranking1[[#This Row],[Weighted Score Based on Normalized Reported Factors]]</f>
        <v>0</v>
      </c>
      <c r="AK1755" s="178">
        <f>_xlfn.RANK.EQ(AI1755,$AI$6:$AI$2341,0)+COUNTIF($AI$6:AI1755,AI1755)-1</f>
        <v>1765</v>
      </c>
    </row>
    <row r="1756" spans="1:37" x14ac:dyDescent="0.25">
      <c r="A1756" t="s">
        <v>7676</v>
      </c>
      <c r="B1756">
        <f>_xlfn.XLOOKUP(FME_Ranking1[[#This Row],[FME ID]],FME_Input[FME_ID],FME_Input[RFPG_NUM])</f>
        <v>8</v>
      </c>
      <c r="C1756" t="str">
        <f>_xlfn.XLOOKUP(FME_Ranking1[[#This Row],[FME ID]],FME_Input[FME_ID],FME_Input[FME_NAME])</f>
        <v>Improve Undersized Storm Sewers in Turkey Creek DB</v>
      </c>
      <c r="D1756" t="str">
        <f>_xlfn.XLOOKUP(FME_Ranking1[[#This Row],[FME ID]],FME_Input[FME_ID],FME_Input[DESCR])</f>
        <v>Update modeling to Atlas 14 to determine appropriate sizing for storm sewer in the region.</v>
      </c>
      <c r="E1756" s="256">
        <f>_xlfn.XLOOKUP(FME_Ranking1[[#This Row],[FME ID]],FME_Input[FME_ID],FME_Input[FME_COST])</f>
        <v>100000</v>
      </c>
      <c r="F1756" t="str">
        <f>_xlfn.XLOOKUP(FME_Ranking1[[#This Row],[FME ID]],FME_Input[FME_ID],FME_Input[EMER_NEED])</f>
        <v>No</v>
      </c>
      <c r="G1756">
        <f>IF(FME_Ranking!F1756="Yes",100,0)</f>
        <v>0</v>
      </c>
      <c r="H1756">
        <f>FME_Ranking1[[#This Row],[Emergency Need Score (Normalized, Unweighted)]]*$F$3</f>
        <v>0</v>
      </c>
      <c r="I1756" s="246">
        <f>_xlfn.XLOOKUP(FME_Ranking1[[#This Row],[FME ID]],FME_Input[FME_ID],FME_Input[STRUCT_100])</f>
        <v>14</v>
      </c>
      <c r="J1756" s="178">
        <f>(FME_Ranking1[[#This Row],[Structures 100 Raw]]/I$2)*100</f>
        <v>7.4968941438546891E-3</v>
      </c>
      <c r="K1756" s="178">
        <f>FME_Ranking1[[#This Row],[Structures 100  Score (Normalized, Unweighted)]]*$I$3</f>
        <v>1.1245341215782034E-3</v>
      </c>
      <c r="L1756" s="246">
        <f>_xlfn.XLOOKUP(FME_Ranking1[[#This Row],[FME ID]],FME_Input[FME_ID],FME_Input[RES_STRUCT100])</f>
        <v>14</v>
      </c>
      <c r="M1756" s="230">
        <f>(FME_Ranking1[[#This Row],[Res Structures Raw]]/L$2)*100</f>
        <v>9.9162782791007362E-3</v>
      </c>
      <c r="N1756" s="180">
        <f>FME_Ranking1[[#This Row],[Res Structures Score (Normalized, Unweighted)]]*$L$3</f>
        <v>9.9162782791007375E-4</v>
      </c>
      <c r="O1756" s="244">
        <f>_xlfn.XLOOKUP(FME_Ranking1[[#This Row],[FME ID]],FME_Input[FME_ID],FME_Input[POP100])</f>
        <v>22</v>
      </c>
      <c r="P1756" s="178">
        <f>(FME_Ranking1[[#This Row],[Pop Raw]]/$O$2)*100</f>
        <v>2.2522568637527922E-3</v>
      </c>
      <c r="Q1756" s="178">
        <f>FME_Ranking1[[#This Row],[Pop Score (Normalized, Unweighted)]]*$O$3</f>
        <v>3.3783852956291883E-4</v>
      </c>
      <c r="R1756" s="137">
        <f>_xlfn.XLOOKUP(FME_Ranking1[[#This Row],[FME ID]],FME_Input[FME_ID],FME_Input[CRITFAC100])</f>
        <v>0</v>
      </c>
      <c r="S1756" s="230">
        <f>(FME_Ranking1[[#This Row],[Critical Facilities Raw]]/$R$2)*100</f>
        <v>0</v>
      </c>
      <c r="T1756" s="180">
        <f>FME_Ranking1[[#This Row],[Critical Facilities Score (Normalized, Unweighted)]]*$R$3</f>
        <v>0</v>
      </c>
      <c r="U1756">
        <f>_xlfn.XLOOKUP(FME_Ranking1[[#This Row],[FME ID]],FME_Input[FME_ID],FME_Input[LWC])</f>
        <v>0</v>
      </c>
      <c r="V1756" s="178">
        <f>(FME_Ranking1[[#This Row],[LWC Raw]]/$U$2)*100</f>
        <v>0</v>
      </c>
      <c r="W1756" s="178">
        <f>FME_Ranking1[[#This Row],[LWC Score (Normalized, Unweighted)]]*$U$3</f>
        <v>0</v>
      </c>
      <c r="X1756" s="246">
        <f>_xlfn.XLOOKUP(FME_Ranking1[[#This Row],[FME ID]],FME_Input[FME_ID],FME_Input[ROADCLS])</f>
        <v>9</v>
      </c>
      <c r="Y1756" s="230">
        <f>(FME_Ranking1[[#This Row],[Closures Raw]]/$X$2)*100</f>
        <v>9.462727368310378E-2</v>
      </c>
      <c r="Z1756" s="180">
        <f>FME_Ranking1[[#This Row],[Closures Score (Normalized, Unweighted)]]*$X$3</f>
        <v>4.7313636841551897E-3</v>
      </c>
      <c r="AA1756" s="253">
        <f>_xlfn.XLOOKUP(FME_Ranking1[[#This Row],[FME ID]],FME_Input[FME_ID],FME_Input[ROAD_MILES100])</f>
        <v>0.48542198538780212</v>
      </c>
      <c r="AB1756" s="178">
        <f>(FME_Ranking1[[#This Row],[Miles Raw]]/$AA$2)*100</f>
        <v>6.3824284626454435E-3</v>
      </c>
      <c r="AC1756" s="178">
        <f>FME_Ranking1[[#This Row],[Miles Score (Normalized, Unweighted)]]*$AA$3</f>
        <v>6.3824284626454435E-4</v>
      </c>
      <c r="AD1756" s="255">
        <f>_xlfn.XLOOKUP(FME_Ranking1[[#This Row],[FME ID]],FME_Input[FME_ID],FME_Input[FARMACRE100])</f>
        <v>19.424200057983398</v>
      </c>
      <c r="AE1756" s="230">
        <f>(FME_Ranking1[[#This Row],[Ag Land Raw]]/$AD$2)*100</f>
        <v>8.009670578880112E-4</v>
      </c>
      <c r="AF1756" s="231">
        <f>FME_Ranking1[[#This Row],[Ag Land Score (Normalized, Unweighted)]]*$AD$3</f>
        <v>4.0048352894400564E-5</v>
      </c>
      <c r="AG175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7.8636553623653311E-3</v>
      </c>
      <c r="AH1756" s="406">
        <f t="shared" si="27"/>
        <v>1787</v>
      </c>
      <c r="AI175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7.8636553623653311E-3</v>
      </c>
      <c r="AJ1756" s="257">
        <f>FME_Ranking1[[#This Row],[Addition check]]-FME_Ranking1[[#This Row],[Weighted Score Based on Normalized Reported Factors]]</f>
        <v>0</v>
      </c>
      <c r="AK1756" s="178">
        <f>_xlfn.RANK.EQ(AI1756,$AI$6:$AI$2341,0)+COUNTIF($AI$6:AI1756,AI1756)-1</f>
        <v>1787</v>
      </c>
    </row>
    <row r="1757" spans="1:37" x14ac:dyDescent="0.25">
      <c r="A1757" t="s">
        <v>7766</v>
      </c>
      <c r="B1757">
        <f>_xlfn.XLOOKUP(FME_Ranking1[[#This Row],[FME ID]],FME_Input[FME_ID],FME_Input[RFPG_NUM])</f>
        <v>8</v>
      </c>
      <c r="C1757" t="str">
        <f>_xlfn.XLOOKUP(FME_Ranking1[[#This Row],[FME ID]],FME_Input[FME_ID],FME_Input[FME_NAME])</f>
        <v>Turkey Creek Drainage Improvements</v>
      </c>
      <c r="D1757" t="str">
        <f>_xlfn.XLOOKUP(FME_Ranking1[[#This Row],[FME ID]],FME_Input[FME_ID],FME_Input[DESCR])</f>
        <v>Detailed design of improvements throughout the Turkey Creek watershed, especially to fix erosion problems.</v>
      </c>
      <c r="E1757" s="256">
        <f>_xlfn.XLOOKUP(FME_Ranking1[[#This Row],[FME ID]],FME_Input[FME_ID],FME_Input[FME_COST])</f>
        <v>222000</v>
      </c>
      <c r="F1757" t="str">
        <f>_xlfn.XLOOKUP(FME_Ranking1[[#This Row],[FME ID]],FME_Input[FME_ID],FME_Input[EMER_NEED])</f>
        <v>No</v>
      </c>
      <c r="G1757">
        <f>IF(FME_Ranking!F1757="Yes",100,0)</f>
        <v>0</v>
      </c>
      <c r="H1757">
        <f>FME_Ranking1[[#This Row],[Emergency Need Score (Normalized, Unweighted)]]*$F$3</f>
        <v>0</v>
      </c>
      <c r="I1757" s="246">
        <f>_xlfn.XLOOKUP(FME_Ranking1[[#This Row],[FME ID]],FME_Input[FME_ID],FME_Input[STRUCT_100])</f>
        <v>14</v>
      </c>
      <c r="J1757" s="178">
        <f>(FME_Ranking1[[#This Row],[Structures 100 Raw]]/I$2)*100</f>
        <v>7.4968941438546891E-3</v>
      </c>
      <c r="K1757" s="178">
        <f>FME_Ranking1[[#This Row],[Structures 100  Score (Normalized, Unweighted)]]*$I$3</f>
        <v>1.1245341215782034E-3</v>
      </c>
      <c r="L1757" s="246">
        <f>_xlfn.XLOOKUP(FME_Ranking1[[#This Row],[FME ID]],FME_Input[FME_ID],FME_Input[RES_STRUCT100])</f>
        <v>14</v>
      </c>
      <c r="M1757" s="230">
        <f>(FME_Ranking1[[#This Row],[Res Structures Raw]]/L$2)*100</f>
        <v>9.9162782791007362E-3</v>
      </c>
      <c r="N1757" s="180">
        <f>FME_Ranking1[[#This Row],[Res Structures Score (Normalized, Unweighted)]]*$L$3</f>
        <v>9.9162782791007375E-4</v>
      </c>
      <c r="O1757" s="244">
        <f>_xlfn.XLOOKUP(FME_Ranking1[[#This Row],[FME ID]],FME_Input[FME_ID],FME_Input[POP100])</f>
        <v>22</v>
      </c>
      <c r="P1757" s="178">
        <f>(FME_Ranking1[[#This Row],[Pop Raw]]/$O$2)*100</f>
        <v>2.2522568637527922E-3</v>
      </c>
      <c r="Q1757" s="178">
        <f>FME_Ranking1[[#This Row],[Pop Score (Normalized, Unweighted)]]*$O$3</f>
        <v>3.3783852956291883E-4</v>
      </c>
      <c r="R1757" s="137">
        <f>_xlfn.XLOOKUP(FME_Ranking1[[#This Row],[FME ID]],FME_Input[FME_ID],FME_Input[CRITFAC100])</f>
        <v>0</v>
      </c>
      <c r="S1757" s="230">
        <f>(FME_Ranking1[[#This Row],[Critical Facilities Raw]]/$R$2)*100</f>
        <v>0</v>
      </c>
      <c r="T1757" s="180">
        <f>FME_Ranking1[[#This Row],[Critical Facilities Score (Normalized, Unweighted)]]*$R$3</f>
        <v>0</v>
      </c>
      <c r="U1757">
        <f>_xlfn.XLOOKUP(FME_Ranking1[[#This Row],[FME ID]],FME_Input[FME_ID],FME_Input[LWC])</f>
        <v>0</v>
      </c>
      <c r="V1757" s="178">
        <f>(FME_Ranking1[[#This Row],[LWC Raw]]/$U$2)*100</f>
        <v>0</v>
      </c>
      <c r="W1757" s="178">
        <f>FME_Ranking1[[#This Row],[LWC Score (Normalized, Unweighted)]]*$U$3</f>
        <v>0</v>
      </c>
      <c r="X1757" s="246">
        <f>_xlfn.XLOOKUP(FME_Ranking1[[#This Row],[FME ID]],FME_Input[FME_ID],FME_Input[ROADCLS])</f>
        <v>9</v>
      </c>
      <c r="Y1757" s="230">
        <f>(FME_Ranking1[[#This Row],[Closures Raw]]/$X$2)*100</f>
        <v>9.462727368310378E-2</v>
      </c>
      <c r="Z1757" s="180">
        <f>FME_Ranking1[[#This Row],[Closures Score (Normalized, Unweighted)]]*$X$3</f>
        <v>4.7313636841551897E-3</v>
      </c>
      <c r="AA1757" s="253">
        <f>_xlfn.XLOOKUP(FME_Ranking1[[#This Row],[FME ID]],FME_Input[FME_ID],FME_Input[ROAD_MILES100])</f>
        <v>0.48542198538780212</v>
      </c>
      <c r="AB1757" s="178">
        <f>(FME_Ranking1[[#This Row],[Miles Raw]]/$AA$2)*100</f>
        <v>6.3824284626454435E-3</v>
      </c>
      <c r="AC1757" s="178">
        <f>FME_Ranking1[[#This Row],[Miles Score (Normalized, Unweighted)]]*$AA$3</f>
        <v>6.3824284626454435E-4</v>
      </c>
      <c r="AD1757" s="255">
        <f>_xlfn.XLOOKUP(FME_Ranking1[[#This Row],[FME ID]],FME_Input[FME_ID],FME_Input[FARMACRE100])</f>
        <v>19.424200057983398</v>
      </c>
      <c r="AE1757" s="230">
        <f>(FME_Ranking1[[#This Row],[Ag Land Raw]]/$AD$2)*100</f>
        <v>8.009670578880112E-4</v>
      </c>
      <c r="AF1757" s="231">
        <f>FME_Ranking1[[#This Row],[Ag Land Score (Normalized, Unweighted)]]*$AD$3</f>
        <v>4.0048352894400564E-5</v>
      </c>
      <c r="AG175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7.8636553623653311E-3</v>
      </c>
      <c r="AH1757" s="406">
        <f t="shared" si="27"/>
        <v>1787</v>
      </c>
      <c r="AI175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7.8636553623653311E-3</v>
      </c>
      <c r="AJ1757" s="257">
        <f>FME_Ranking1[[#This Row],[Addition check]]-FME_Ranking1[[#This Row],[Weighted Score Based on Normalized Reported Factors]]</f>
        <v>0</v>
      </c>
      <c r="AK1757" s="178">
        <f>_xlfn.RANK.EQ(AI1757,$AI$6:$AI$2341,0)+COUNTIF($AI$6:AI1757,AI1757)-1</f>
        <v>1788</v>
      </c>
    </row>
    <row r="1758" spans="1:37" x14ac:dyDescent="0.25">
      <c r="A1758" t="s">
        <v>7769</v>
      </c>
      <c r="B1758">
        <f>_xlfn.XLOOKUP(FME_Ranking1[[#This Row],[FME ID]],FME_Input[FME_ID],FME_Input[RFPG_NUM])</f>
        <v>8</v>
      </c>
      <c r="C1758" t="str">
        <f>_xlfn.XLOOKUP(FME_Ranking1[[#This Row],[FME ID]],FME_Input[FME_ID],FME_Input[FME_NAME])</f>
        <v>South For of Turkey Creek Improvements</v>
      </c>
      <c r="D1758" t="str">
        <f>_xlfn.XLOOKUP(FME_Ranking1[[#This Row],[FME ID]],FME_Input[FME_ID],FME_Input[DESCR])</f>
        <v>Erosion control and crossing improvements along South Fork of Turkey Creek.</v>
      </c>
      <c r="E1758" s="256">
        <f>_xlfn.XLOOKUP(FME_Ranking1[[#This Row],[FME ID]],FME_Input[FME_ID],FME_Input[FME_COST])</f>
        <v>61000</v>
      </c>
      <c r="F1758" t="str">
        <f>_xlfn.XLOOKUP(FME_Ranking1[[#This Row],[FME ID]],FME_Input[FME_ID],FME_Input[EMER_NEED])</f>
        <v>No</v>
      </c>
      <c r="G1758">
        <f>IF(FME_Ranking!F1758="Yes",100,0)</f>
        <v>0</v>
      </c>
      <c r="H1758">
        <f>FME_Ranking1[[#This Row],[Emergency Need Score (Normalized, Unweighted)]]*$F$3</f>
        <v>0</v>
      </c>
      <c r="I1758" s="246">
        <f>_xlfn.XLOOKUP(FME_Ranking1[[#This Row],[FME ID]],FME_Input[FME_ID],FME_Input[STRUCT_100])</f>
        <v>14</v>
      </c>
      <c r="J1758" s="178">
        <f>(FME_Ranking1[[#This Row],[Structures 100 Raw]]/I$2)*100</f>
        <v>7.4968941438546891E-3</v>
      </c>
      <c r="K1758" s="178">
        <f>FME_Ranking1[[#This Row],[Structures 100  Score (Normalized, Unweighted)]]*$I$3</f>
        <v>1.1245341215782034E-3</v>
      </c>
      <c r="L1758" s="246">
        <f>_xlfn.XLOOKUP(FME_Ranking1[[#This Row],[FME ID]],FME_Input[FME_ID],FME_Input[RES_STRUCT100])</f>
        <v>14</v>
      </c>
      <c r="M1758" s="230">
        <f>(FME_Ranking1[[#This Row],[Res Structures Raw]]/L$2)*100</f>
        <v>9.9162782791007362E-3</v>
      </c>
      <c r="N1758" s="180">
        <f>FME_Ranking1[[#This Row],[Res Structures Score (Normalized, Unweighted)]]*$L$3</f>
        <v>9.9162782791007375E-4</v>
      </c>
      <c r="O1758" s="244">
        <f>_xlfn.XLOOKUP(FME_Ranking1[[#This Row],[FME ID]],FME_Input[FME_ID],FME_Input[POP100])</f>
        <v>22</v>
      </c>
      <c r="P1758" s="178">
        <f>(FME_Ranking1[[#This Row],[Pop Raw]]/$O$2)*100</f>
        <v>2.2522568637527922E-3</v>
      </c>
      <c r="Q1758" s="178">
        <f>FME_Ranking1[[#This Row],[Pop Score (Normalized, Unweighted)]]*$O$3</f>
        <v>3.3783852956291883E-4</v>
      </c>
      <c r="R1758" s="137">
        <f>_xlfn.XLOOKUP(FME_Ranking1[[#This Row],[FME ID]],FME_Input[FME_ID],FME_Input[CRITFAC100])</f>
        <v>0</v>
      </c>
      <c r="S1758" s="230">
        <f>(FME_Ranking1[[#This Row],[Critical Facilities Raw]]/$R$2)*100</f>
        <v>0</v>
      </c>
      <c r="T1758" s="180">
        <f>FME_Ranking1[[#This Row],[Critical Facilities Score (Normalized, Unweighted)]]*$R$3</f>
        <v>0</v>
      </c>
      <c r="U1758">
        <f>_xlfn.XLOOKUP(FME_Ranking1[[#This Row],[FME ID]],FME_Input[FME_ID],FME_Input[LWC])</f>
        <v>0</v>
      </c>
      <c r="V1758" s="178">
        <f>(FME_Ranking1[[#This Row],[LWC Raw]]/$U$2)*100</f>
        <v>0</v>
      </c>
      <c r="W1758" s="178">
        <f>FME_Ranking1[[#This Row],[LWC Score (Normalized, Unweighted)]]*$U$3</f>
        <v>0</v>
      </c>
      <c r="X1758" s="246">
        <f>_xlfn.XLOOKUP(FME_Ranking1[[#This Row],[FME ID]],FME_Input[FME_ID],FME_Input[ROADCLS])</f>
        <v>9</v>
      </c>
      <c r="Y1758" s="230">
        <f>(FME_Ranking1[[#This Row],[Closures Raw]]/$X$2)*100</f>
        <v>9.462727368310378E-2</v>
      </c>
      <c r="Z1758" s="180">
        <f>FME_Ranking1[[#This Row],[Closures Score (Normalized, Unweighted)]]*$X$3</f>
        <v>4.7313636841551897E-3</v>
      </c>
      <c r="AA1758" s="253">
        <f>_xlfn.XLOOKUP(FME_Ranking1[[#This Row],[FME ID]],FME_Input[FME_ID],FME_Input[ROAD_MILES100])</f>
        <v>0.48542198538780212</v>
      </c>
      <c r="AB1758" s="178">
        <f>(FME_Ranking1[[#This Row],[Miles Raw]]/$AA$2)*100</f>
        <v>6.3824284626454435E-3</v>
      </c>
      <c r="AC1758" s="178">
        <f>FME_Ranking1[[#This Row],[Miles Score (Normalized, Unweighted)]]*$AA$3</f>
        <v>6.3824284626454435E-4</v>
      </c>
      <c r="AD1758" s="255">
        <f>_xlfn.XLOOKUP(FME_Ranking1[[#This Row],[FME ID]],FME_Input[FME_ID],FME_Input[FARMACRE100])</f>
        <v>19.424200057983398</v>
      </c>
      <c r="AE1758" s="230">
        <f>(FME_Ranking1[[#This Row],[Ag Land Raw]]/$AD$2)*100</f>
        <v>8.009670578880112E-4</v>
      </c>
      <c r="AF1758" s="231">
        <f>FME_Ranking1[[#This Row],[Ag Land Score (Normalized, Unweighted)]]*$AD$3</f>
        <v>4.0048352894400564E-5</v>
      </c>
      <c r="AG175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7.8636553623653311E-3</v>
      </c>
      <c r="AH1758" s="406">
        <f t="shared" si="27"/>
        <v>1787</v>
      </c>
      <c r="AI175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7.8636553623653311E-3</v>
      </c>
      <c r="AJ1758" s="257">
        <f>FME_Ranking1[[#This Row],[Addition check]]-FME_Ranking1[[#This Row],[Weighted Score Based on Normalized Reported Factors]]</f>
        <v>0</v>
      </c>
      <c r="AK1758" s="178">
        <f>_xlfn.RANK.EQ(AI1758,$AI$6:$AI$2341,0)+COUNTIF($AI$6:AI1758,AI1758)-1</f>
        <v>1789</v>
      </c>
    </row>
    <row r="1759" spans="1:37" x14ac:dyDescent="0.25">
      <c r="A1759" t="s">
        <v>496</v>
      </c>
      <c r="B1759">
        <f>_xlfn.XLOOKUP(FME_Ranking1[[#This Row],[FME ID]],FME_Input[FME_ID],FME_Input[RFPG_NUM])</f>
        <v>10</v>
      </c>
      <c r="C1759" t="str">
        <f>_xlfn.XLOOKUP(FME_Ranking1[[#This Row],[FME ID]],FME_Input[FME_ID],FME_Input[FME_NAME])</f>
        <v>Hooten Holler in Richland Springs</v>
      </c>
      <c r="D1759" t="str">
        <f>_xlfn.XLOOKUP(FME_Ranking1[[#This Row],[FME ID]],FME_Input[FME_ID],FME_Input[DESCR])</f>
        <v xml:space="preserve">Develop engineering sutdy of 'Hooten Holler'_x000D_
</v>
      </c>
      <c r="E1759" s="256">
        <f>_xlfn.XLOOKUP(FME_Ranking1[[#This Row],[FME ID]],FME_Input[FME_ID],FME_Input[FME_COST])</f>
        <v>100000</v>
      </c>
      <c r="F1759" t="str">
        <f>_xlfn.XLOOKUP(FME_Ranking1[[#This Row],[FME ID]],FME_Input[FME_ID],FME_Input[EMER_NEED])</f>
        <v>No</v>
      </c>
      <c r="G1759">
        <f>IF(FME_Ranking!F1759="Yes",100,0)</f>
        <v>0</v>
      </c>
      <c r="H1759">
        <f>FME_Ranking1[[#This Row],[Emergency Need Score (Normalized, Unweighted)]]*$F$3</f>
        <v>0</v>
      </c>
      <c r="I1759" s="246">
        <f>_xlfn.XLOOKUP(FME_Ranking1[[#This Row],[FME ID]],FME_Input[FME_ID],FME_Input[STRUCT_100])</f>
        <v>43</v>
      </c>
      <c r="J1759" s="178">
        <f>(FME_Ranking1[[#This Row],[Structures 100 Raw]]/I$2)*100</f>
        <v>2.302617487041083E-2</v>
      </c>
      <c r="K1759" s="178">
        <f>FME_Ranking1[[#This Row],[Structures 100  Score (Normalized, Unweighted)]]*$I$3</f>
        <v>3.4539262305616244E-3</v>
      </c>
      <c r="L1759" s="246">
        <f>_xlfn.XLOOKUP(FME_Ranking1[[#This Row],[FME ID]],FME_Input[FME_ID],FME_Input[RES_STRUCT100])</f>
        <v>24</v>
      </c>
      <c r="M1759" s="230">
        <f>(FME_Ranking1[[#This Row],[Res Structures Raw]]/L$2)*100</f>
        <v>1.6999334192744117E-2</v>
      </c>
      <c r="N1759" s="180">
        <f>FME_Ranking1[[#This Row],[Res Structures Score (Normalized, Unweighted)]]*$L$3</f>
        <v>1.6999334192744119E-3</v>
      </c>
      <c r="O1759" s="244">
        <f>_xlfn.XLOOKUP(FME_Ranking1[[#This Row],[FME ID]],FME_Input[FME_ID],FME_Input[POP100])</f>
        <v>34</v>
      </c>
      <c r="P1759" s="178">
        <f>(FME_Ranking1[[#This Row],[Pop Raw]]/$O$2)*100</f>
        <v>3.4807606076179519E-3</v>
      </c>
      <c r="Q1759" s="178">
        <f>FME_Ranking1[[#This Row],[Pop Score (Normalized, Unweighted)]]*$O$3</f>
        <v>5.2211409114269274E-4</v>
      </c>
      <c r="R1759" s="137">
        <f>_xlfn.XLOOKUP(FME_Ranking1[[#This Row],[FME ID]],FME_Input[FME_ID],FME_Input[CRITFAC100])</f>
        <v>0</v>
      </c>
      <c r="S1759" s="230">
        <f>(FME_Ranking1[[#This Row],[Critical Facilities Raw]]/$R$2)*100</f>
        <v>0</v>
      </c>
      <c r="T1759" s="180">
        <f>FME_Ranking1[[#This Row],[Critical Facilities Score (Normalized, Unweighted)]]*$R$3</f>
        <v>0</v>
      </c>
      <c r="U1759">
        <f>_xlfn.XLOOKUP(FME_Ranking1[[#This Row],[FME ID]],FME_Input[FME_ID],FME_Input[LWC])</f>
        <v>0</v>
      </c>
      <c r="V1759" s="178">
        <f>(FME_Ranking1[[#This Row],[LWC Raw]]/$U$2)*100</f>
        <v>0</v>
      </c>
      <c r="W1759" s="178">
        <f>FME_Ranking1[[#This Row],[LWC Score (Normalized, Unweighted)]]*$U$3</f>
        <v>0</v>
      </c>
      <c r="X1759" s="246">
        <f>_xlfn.XLOOKUP(FME_Ranking1[[#This Row],[FME ID]],FME_Input[FME_ID],FME_Input[ROADCLS])</f>
        <v>0</v>
      </c>
      <c r="Y1759" s="230">
        <f>(FME_Ranking1[[#This Row],[Closures Raw]]/$X$2)*100</f>
        <v>0</v>
      </c>
      <c r="Z1759" s="180">
        <f>FME_Ranking1[[#This Row],[Closures Score (Normalized, Unweighted)]]*$X$3</f>
        <v>0</v>
      </c>
      <c r="AA1759" s="253">
        <f>_xlfn.XLOOKUP(FME_Ranking1[[#This Row],[FME ID]],FME_Input[FME_ID],FME_Input[ROAD_MILES100])</f>
        <v>1.8679391145706179</v>
      </c>
      <c r="AB1759" s="178">
        <f>(FME_Ranking1[[#This Row],[Miles Raw]]/$AA$2)*100</f>
        <v>2.4560049050517972E-2</v>
      </c>
      <c r="AC1759" s="178">
        <f>FME_Ranking1[[#This Row],[Miles Score (Normalized, Unweighted)]]*$AA$3</f>
        <v>2.4560049050517973E-3</v>
      </c>
      <c r="AD1759" s="255">
        <f>_xlfn.XLOOKUP(FME_Ranking1[[#This Row],[FME ID]],FME_Input[FME_ID],FME_Input[FARMACRE100])</f>
        <v>695.0015869140625</v>
      </c>
      <c r="AE1759" s="230">
        <f>(FME_Ranking1[[#This Row],[Ag Land Raw]]/$AD$2)*100</f>
        <v>2.8658754267167946E-2</v>
      </c>
      <c r="AF1759" s="231">
        <f>FME_Ranking1[[#This Row],[Ag Land Score (Normalized, Unweighted)]]*$AD$3</f>
        <v>1.4329377133583973E-3</v>
      </c>
      <c r="AG175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9.5649163593889228E-3</v>
      </c>
      <c r="AH1759" s="406">
        <f t="shared" si="27"/>
        <v>1758</v>
      </c>
      <c r="AI175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9.5649163593889228E-3</v>
      </c>
      <c r="AJ1759" s="257">
        <f>FME_Ranking1[[#This Row],[Addition check]]-FME_Ranking1[[#This Row],[Weighted Score Based on Normalized Reported Factors]]</f>
        <v>0</v>
      </c>
      <c r="AK1759" s="178">
        <f>_xlfn.RANK.EQ(AI1759,$AI$6:$AI$2341,0)+COUNTIF($AI$6:AI1759,AI1759)-1</f>
        <v>1758</v>
      </c>
    </row>
    <row r="1760" spans="1:37" x14ac:dyDescent="0.25">
      <c r="A1760" t="s">
        <v>82</v>
      </c>
      <c r="B1760">
        <f>_xlfn.XLOOKUP(FME_Ranking1[[#This Row],[FME ID]],FME_Input[FME_ID],FME_Input[RFPG_NUM])</f>
        <v>10</v>
      </c>
      <c r="C1760" t="str">
        <f>_xlfn.XLOOKUP(FME_Ranking1[[#This Row],[FME ID]],FME_Input[FME_ID],FME_Input[FME_NAME])</f>
        <v>Hidden Shores Subdivision</v>
      </c>
      <c r="D1760" t="str">
        <f>_xlfn.XLOOKUP(FME_Ranking1[[#This Row],[FME ID]],FME_Input[FME_ID],FME_Input[DESCR])</f>
        <v>Voluntary buyout of homes in floodway (22 homes)</v>
      </c>
      <c r="E1760" s="256">
        <f>_xlfn.XLOOKUP(FME_Ranking1[[#This Row],[FME ID]],FME_Input[FME_ID],FME_Input[FME_COST])</f>
        <v>150000</v>
      </c>
      <c r="F1760" t="str">
        <f>_xlfn.XLOOKUP(FME_Ranking1[[#This Row],[FME ID]],FME_Input[FME_ID],FME_Input[EMER_NEED])</f>
        <v>No</v>
      </c>
      <c r="G1760">
        <f>IF(FME_Ranking!F1760="Yes",100,0)</f>
        <v>0</v>
      </c>
      <c r="H1760">
        <f>FME_Ranking1[[#This Row],[Emergency Need Score (Normalized, Unweighted)]]*$F$3</f>
        <v>0</v>
      </c>
      <c r="I1760" s="246">
        <f>_xlfn.XLOOKUP(FME_Ranking1[[#This Row],[FME ID]],FME_Input[FME_ID],FME_Input[STRUCT_100])</f>
        <v>39</v>
      </c>
      <c r="J1760" s="178">
        <f>(FME_Ranking1[[#This Row],[Structures 100 Raw]]/I$2)*100</f>
        <v>2.0884205115023775E-2</v>
      </c>
      <c r="K1760" s="178">
        <f>FME_Ranking1[[#This Row],[Structures 100  Score (Normalized, Unweighted)]]*$I$3</f>
        <v>3.1326307672535662E-3</v>
      </c>
      <c r="L1760" s="246">
        <f>_xlfn.XLOOKUP(FME_Ranking1[[#This Row],[FME ID]],FME_Input[FME_ID],FME_Input[RES_STRUCT100])</f>
        <v>39</v>
      </c>
      <c r="M1760" s="230">
        <f>(FME_Ranking1[[#This Row],[Res Structures Raw]]/L$2)*100</f>
        <v>2.7623918063209192E-2</v>
      </c>
      <c r="N1760" s="180">
        <f>FME_Ranking1[[#This Row],[Res Structures Score (Normalized, Unweighted)]]*$L$3</f>
        <v>2.7623918063209192E-3</v>
      </c>
      <c r="O1760" s="244">
        <f>_xlfn.XLOOKUP(FME_Ranking1[[#This Row],[FME ID]],FME_Input[FME_ID],FME_Input[POP100])</f>
        <v>68</v>
      </c>
      <c r="P1760" s="178">
        <f>(FME_Ranking1[[#This Row],[Pop Raw]]/$O$2)*100</f>
        <v>6.9615212152359038E-3</v>
      </c>
      <c r="Q1760" s="178">
        <f>FME_Ranking1[[#This Row],[Pop Score (Normalized, Unweighted)]]*$O$3</f>
        <v>1.0442281822853855E-3</v>
      </c>
      <c r="R1760" s="137">
        <f>_xlfn.XLOOKUP(FME_Ranking1[[#This Row],[FME ID]],FME_Input[FME_ID],FME_Input[CRITFAC100])</f>
        <v>0</v>
      </c>
      <c r="S1760" s="230">
        <f>(FME_Ranking1[[#This Row],[Critical Facilities Raw]]/$R$2)*100</f>
        <v>0</v>
      </c>
      <c r="T1760" s="180">
        <f>FME_Ranking1[[#This Row],[Critical Facilities Score (Normalized, Unweighted)]]*$R$3</f>
        <v>0</v>
      </c>
      <c r="U1760">
        <f>_xlfn.XLOOKUP(FME_Ranking1[[#This Row],[FME ID]],FME_Input[FME_ID],FME_Input[LWC])</f>
        <v>0</v>
      </c>
      <c r="V1760" s="178">
        <f>(FME_Ranking1[[#This Row],[LWC Raw]]/$U$2)*100</f>
        <v>0</v>
      </c>
      <c r="W1760" s="178">
        <f>FME_Ranking1[[#This Row],[LWC Score (Normalized, Unweighted)]]*$U$3</f>
        <v>0</v>
      </c>
      <c r="X1760" s="246">
        <f>_xlfn.XLOOKUP(FME_Ranking1[[#This Row],[FME ID]],FME_Input[FME_ID],FME_Input[ROADCLS])</f>
        <v>0</v>
      </c>
      <c r="Y1760" s="230">
        <f>(FME_Ranking1[[#This Row],[Closures Raw]]/$X$2)*100</f>
        <v>0</v>
      </c>
      <c r="Z1760" s="180">
        <f>FME_Ranking1[[#This Row],[Closures Score (Normalized, Unweighted)]]*$X$3</f>
        <v>0</v>
      </c>
      <c r="AA1760" s="253">
        <f>_xlfn.XLOOKUP(FME_Ranking1[[#This Row],[FME ID]],FME_Input[FME_ID],FME_Input[ROAD_MILES100])</f>
        <v>1.131923913955688</v>
      </c>
      <c r="AB1760" s="178">
        <f>(FME_Ranking1[[#This Row],[Miles Raw]]/$AA$2)*100</f>
        <v>1.4882769267667687E-2</v>
      </c>
      <c r="AC1760" s="178">
        <f>FME_Ranking1[[#This Row],[Miles Score (Normalized, Unweighted)]]*$AA$3</f>
        <v>1.4882769267667688E-3</v>
      </c>
      <c r="AD1760" s="255">
        <f>_xlfn.XLOOKUP(FME_Ranking1[[#This Row],[FME ID]],FME_Input[FME_ID],FME_Input[FARMACRE100])</f>
        <v>67.894149780273438</v>
      </c>
      <c r="AE1760" s="230">
        <f>(FME_Ranking1[[#This Row],[Ag Land Raw]]/$AD$2)*100</f>
        <v>2.7996508085264935E-3</v>
      </c>
      <c r="AF1760" s="231">
        <f>FME_Ranking1[[#This Row],[Ag Land Score (Normalized, Unweighted)]]*$AD$3</f>
        <v>1.3998254042632468E-4</v>
      </c>
      <c r="AG176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8.5675102230529654E-3</v>
      </c>
      <c r="AH1760" s="406">
        <f t="shared" si="27"/>
        <v>1775</v>
      </c>
      <c r="AI176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8.5675102230529654E-3</v>
      </c>
      <c r="AJ1760" s="257">
        <f>FME_Ranking1[[#This Row],[Addition check]]-FME_Ranking1[[#This Row],[Weighted Score Based on Normalized Reported Factors]]</f>
        <v>0</v>
      </c>
      <c r="AK1760" s="178">
        <f>_xlfn.RANK.EQ(AI1760,$AI$6:$AI$2341,0)+COUNTIF($AI$6:AI1760,AI1760)-1</f>
        <v>1775</v>
      </c>
    </row>
    <row r="1761" spans="1:37" x14ac:dyDescent="0.25">
      <c r="A1761" t="s">
        <v>11073</v>
      </c>
      <c r="B1761">
        <f>_xlfn.XLOOKUP(FME_Ranking1[[#This Row],[FME ID]],FME_Input[FME_ID],FME_Input[RFPG_NUM])</f>
        <v>15</v>
      </c>
      <c r="C1761" t="str">
        <f>_xlfn.XLOOKUP(FME_Ranking1[[#This Row],[FME ID]],FME_Input[FME_ID],FME_Input[FME_NAME])</f>
        <v>Risk Area 8 Tributary 2 channel widening near Alexander Drive</v>
      </c>
      <c r="D1761" t="str">
        <f>_xlfn.XLOOKUP(FME_Ranking1[[#This Row],[FME ID]],FME_Input[FME_ID],FME_Input[DESCR])</f>
        <v>Project includes constructing a 3' deep trapezoidal channel with a 76' bottom width with 4:1 side slopes from Graves  Elementary School to the confluence of existing channels and constructing a 4' deep trapezoidal channel with a 11' bottom width with 4:1</v>
      </c>
      <c r="E1761" s="256">
        <f>_xlfn.XLOOKUP(FME_Ranking1[[#This Row],[FME ID]],FME_Input[FME_ID],FME_Input[FME_COST])</f>
        <v>12045</v>
      </c>
      <c r="F1761" t="str">
        <f>_xlfn.XLOOKUP(FME_Ranking1[[#This Row],[FME ID]],FME_Input[FME_ID],FME_Input[EMER_NEED])</f>
        <v>Yes</v>
      </c>
      <c r="G1761">
        <f>IF(FME_Ranking!F1761="Yes",100,0)</f>
        <v>100</v>
      </c>
      <c r="H1761">
        <f>FME_Ranking1[[#This Row],[Emergency Need Score (Normalized, Unweighted)]]*$F$3</f>
        <v>0</v>
      </c>
      <c r="I1761" s="246">
        <f>_xlfn.XLOOKUP(FME_Ranking1[[#This Row],[FME ID]],FME_Input[FME_ID],FME_Input[STRUCT_100])</f>
        <v>0</v>
      </c>
      <c r="J1761" s="178">
        <f>(FME_Ranking1[[#This Row],[Structures 100 Raw]]/I$2)*100</f>
        <v>0</v>
      </c>
      <c r="K1761" s="178">
        <f>FME_Ranking1[[#This Row],[Structures 100  Score (Normalized, Unweighted)]]*$I$3</f>
        <v>0</v>
      </c>
      <c r="L1761" s="246">
        <f>_xlfn.XLOOKUP(FME_Ranking1[[#This Row],[FME ID]],FME_Input[FME_ID],FME_Input[RES_STRUCT100])</f>
        <v>36</v>
      </c>
      <c r="M1761" s="230">
        <f>(FME_Ranking1[[#This Row],[Res Structures Raw]]/L$2)*100</f>
        <v>2.5499001289116176E-2</v>
      </c>
      <c r="N1761" s="180">
        <f>FME_Ranking1[[#This Row],[Res Structures Score (Normalized, Unweighted)]]*$L$3</f>
        <v>2.5499001289116178E-3</v>
      </c>
      <c r="O1761" s="244">
        <f>_xlfn.XLOOKUP(FME_Ranking1[[#This Row],[FME ID]],FME_Input[FME_ID],FME_Input[POP100])</f>
        <v>289</v>
      </c>
      <c r="P1761" s="178">
        <f>(FME_Ranking1[[#This Row],[Pop Raw]]/$O$2)*100</f>
        <v>2.9586465164752589E-2</v>
      </c>
      <c r="Q1761" s="178">
        <f>FME_Ranking1[[#This Row],[Pop Score (Normalized, Unweighted)]]*$O$3</f>
        <v>4.4379697747128884E-3</v>
      </c>
      <c r="R1761" s="137">
        <f>_xlfn.XLOOKUP(FME_Ranking1[[#This Row],[FME ID]],FME_Input[FME_ID],FME_Input[CRITFAC100])</f>
        <v>0</v>
      </c>
      <c r="S1761" s="230">
        <f>(FME_Ranking1[[#This Row],[Critical Facilities Raw]]/$R$2)*100</f>
        <v>0</v>
      </c>
      <c r="T1761" s="180">
        <f>FME_Ranking1[[#This Row],[Critical Facilities Score (Normalized, Unweighted)]]*$R$3</f>
        <v>0</v>
      </c>
      <c r="U1761">
        <f>_xlfn.XLOOKUP(FME_Ranking1[[#This Row],[FME ID]],FME_Input[FME_ID],FME_Input[LWC])</f>
        <v>0</v>
      </c>
      <c r="V1761" s="178">
        <f>(FME_Ranking1[[#This Row],[LWC Raw]]/$U$2)*100</f>
        <v>0</v>
      </c>
      <c r="W1761" s="178">
        <f>FME_Ranking1[[#This Row],[LWC Score (Normalized, Unweighted)]]*$U$3</f>
        <v>0</v>
      </c>
      <c r="X1761" s="246">
        <f>_xlfn.XLOOKUP(FME_Ranking1[[#This Row],[FME ID]],FME_Input[FME_ID],FME_Input[ROADCLS])</f>
        <v>0</v>
      </c>
      <c r="Y1761" s="230">
        <f>(FME_Ranking1[[#This Row],[Closures Raw]]/$X$2)*100</f>
        <v>0</v>
      </c>
      <c r="Z1761" s="180">
        <f>FME_Ranking1[[#This Row],[Closures Score (Normalized, Unweighted)]]*$X$3</f>
        <v>0</v>
      </c>
      <c r="AA1761" s="253">
        <f>_xlfn.XLOOKUP(FME_Ranking1[[#This Row],[FME ID]],FME_Input[FME_ID],FME_Input[ROAD_MILES100])</f>
        <v>3.6759800910949711</v>
      </c>
      <c r="AB1761" s="178">
        <f>(FME_Ranking1[[#This Row],[Miles Raw]]/$AA$2)*100</f>
        <v>4.833254501808168E-2</v>
      </c>
      <c r="AC1761" s="178">
        <f>FME_Ranking1[[#This Row],[Miles Score (Normalized, Unweighted)]]*$AA$3</f>
        <v>4.8332545018081683E-3</v>
      </c>
      <c r="AD1761" s="255">
        <f>_xlfn.XLOOKUP(FME_Ranking1[[#This Row],[FME ID]],FME_Input[FME_ID],FME_Input[FARMACRE100])</f>
        <v>0</v>
      </c>
      <c r="AE1761" s="230">
        <f>(FME_Ranking1[[#This Row],[Ag Land Raw]]/$AD$2)*100</f>
        <v>0</v>
      </c>
      <c r="AF1761" s="231">
        <f>FME_Ranking1[[#This Row],[Ag Land Score (Normalized, Unweighted)]]*$AD$3</f>
        <v>0</v>
      </c>
      <c r="AG176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1.1821124405432674E-2</v>
      </c>
      <c r="AH1761" s="406">
        <f t="shared" si="27"/>
        <v>1724</v>
      </c>
      <c r="AI176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1.1821124405432674E-2</v>
      </c>
      <c r="AJ1761" s="257">
        <f>FME_Ranking1[[#This Row],[Addition check]]-FME_Ranking1[[#This Row],[Weighted Score Based on Normalized Reported Factors]]</f>
        <v>0</v>
      </c>
      <c r="AK1761" s="178">
        <f>_xlfn.RANK.EQ(AI1761,$AI$6:$AI$2341,0)+COUNTIF($AI$6:AI1761,AI1761)-1</f>
        <v>1724</v>
      </c>
    </row>
    <row r="1762" spans="1:37" x14ac:dyDescent="0.25">
      <c r="A1762" t="s">
        <v>9058</v>
      </c>
      <c r="B1762">
        <f>_xlfn.XLOOKUP(FME_Ranking1[[#This Row],[FME ID]],FME_Input[FME_ID],FME_Input[RFPG_NUM])</f>
        <v>11</v>
      </c>
      <c r="C1762" t="str">
        <f>_xlfn.XLOOKUP(FME_Ranking1[[#This Row],[FME ID]],FME_Input[FME_ID],FME_Input[FME_NAME])</f>
        <v>Wilson County Stormwater Management Plan</v>
      </c>
      <c r="D1762" t="str">
        <f>_xlfn.XLOOKUP(FME_Ranking1[[#This Row],[FME ID]],FME_Input[FME_ID],FME_Input[DESCR])</f>
        <v>Develop flood hazard information by collecting information, high water marks, and conduct engineering studies to develop the 100 year and 500 year flood elevation levels.</v>
      </c>
      <c r="E1762" s="256">
        <f>_xlfn.XLOOKUP(FME_Ranking1[[#This Row],[FME ID]],FME_Input[FME_ID],FME_Input[FME_COST])</f>
        <v>500000</v>
      </c>
      <c r="F1762" t="str">
        <f>_xlfn.XLOOKUP(FME_Ranking1[[#This Row],[FME ID]],FME_Input[FME_ID],FME_Input[EMER_NEED])</f>
        <v>No</v>
      </c>
      <c r="G1762">
        <f>IF(FME_Ranking!F1762="Yes",100,0)</f>
        <v>0</v>
      </c>
      <c r="H1762">
        <f>FME_Ranking1[[#This Row],[Emergency Need Score (Normalized, Unweighted)]]*$F$3</f>
        <v>0</v>
      </c>
      <c r="I1762" s="246">
        <f>_xlfn.XLOOKUP(FME_Ranking1[[#This Row],[FME ID]],FME_Input[FME_ID],FME_Input[STRUCT_100])</f>
        <v>18</v>
      </c>
      <c r="J1762" s="178">
        <f>(FME_Ranking1[[#This Row],[Structures 100 Raw]]/I$2)*100</f>
        <v>9.6388638992417428E-3</v>
      </c>
      <c r="K1762" s="178">
        <f>FME_Ranking1[[#This Row],[Structures 100  Score (Normalized, Unweighted)]]*$I$3</f>
        <v>1.4458295848862614E-3</v>
      </c>
      <c r="L1762" s="246">
        <f>_xlfn.XLOOKUP(FME_Ranking1[[#This Row],[FME ID]],FME_Input[FME_ID],FME_Input[RES_STRUCT100])</f>
        <v>9</v>
      </c>
      <c r="M1762" s="230">
        <f>(FME_Ranking1[[#This Row],[Res Structures Raw]]/L$2)*100</f>
        <v>6.3747503222790439E-3</v>
      </c>
      <c r="N1762" s="180">
        <f>FME_Ranking1[[#This Row],[Res Structures Score (Normalized, Unweighted)]]*$L$3</f>
        <v>6.3747503222790446E-4</v>
      </c>
      <c r="O1762" s="244">
        <f>_xlfn.XLOOKUP(FME_Ranking1[[#This Row],[FME ID]],FME_Input[FME_ID],FME_Input[POP100])</f>
        <v>33</v>
      </c>
      <c r="P1762" s="178">
        <f>(FME_Ranking1[[#This Row],[Pop Raw]]/$O$2)*100</f>
        <v>3.3783852956291885E-3</v>
      </c>
      <c r="Q1762" s="178">
        <f>FME_Ranking1[[#This Row],[Pop Score (Normalized, Unweighted)]]*$O$3</f>
        <v>5.0675779434437829E-4</v>
      </c>
      <c r="R1762" s="137">
        <f>_xlfn.XLOOKUP(FME_Ranking1[[#This Row],[FME ID]],FME_Input[FME_ID],FME_Input[CRITFAC100])</f>
        <v>0</v>
      </c>
      <c r="S1762" s="230">
        <f>(FME_Ranking1[[#This Row],[Critical Facilities Raw]]/$R$2)*100</f>
        <v>0</v>
      </c>
      <c r="T1762" s="180">
        <f>FME_Ranking1[[#This Row],[Critical Facilities Score (Normalized, Unweighted)]]*$R$3</f>
        <v>0</v>
      </c>
      <c r="U1762">
        <f>_xlfn.XLOOKUP(FME_Ranking1[[#This Row],[FME ID]],FME_Input[FME_ID],FME_Input[LWC])</f>
        <v>0</v>
      </c>
      <c r="V1762" s="178">
        <f>(FME_Ranking1[[#This Row],[LWC Raw]]/$U$2)*100</f>
        <v>0</v>
      </c>
      <c r="W1762" s="178">
        <f>FME_Ranking1[[#This Row],[LWC Score (Normalized, Unweighted)]]*$U$3</f>
        <v>0</v>
      </c>
      <c r="X1762" s="246">
        <f>_xlfn.XLOOKUP(FME_Ranking1[[#This Row],[FME ID]],FME_Input[FME_ID],FME_Input[ROADCLS])</f>
        <v>0</v>
      </c>
      <c r="Y1762" s="230">
        <f>(FME_Ranking1[[#This Row],[Closures Raw]]/$X$2)*100</f>
        <v>0</v>
      </c>
      <c r="Z1762" s="180">
        <f>FME_Ranking1[[#This Row],[Closures Score (Normalized, Unweighted)]]*$X$3</f>
        <v>0</v>
      </c>
      <c r="AA1762" s="253">
        <f>_xlfn.XLOOKUP(FME_Ranking1[[#This Row],[FME ID]],FME_Input[FME_ID],FME_Input[ROAD_MILES100])</f>
        <v>3.9509081840515141</v>
      </c>
      <c r="AB1762" s="178">
        <f>(FME_Ranking1[[#This Row],[Miles Raw]]/$AA$2)*100</f>
        <v>5.194735633377609E-2</v>
      </c>
      <c r="AC1762" s="178">
        <f>FME_Ranking1[[#This Row],[Miles Score (Normalized, Unweighted)]]*$AA$3</f>
        <v>5.1947356333776097E-3</v>
      </c>
      <c r="AD1762" s="255">
        <f>_xlfn.XLOOKUP(FME_Ranking1[[#This Row],[FME ID]],FME_Input[FME_ID],FME_Input[FARMACRE100])</f>
        <v>2119.96484375</v>
      </c>
      <c r="AE1762" s="230">
        <f>(FME_Ranking1[[#This Row],[Ag Land Raw]]/$AD$2)*100</f>
        <v>8.7417860125805463E-2</v>
      </c>
      <c r="AF1762" s="231">
        <f>FME_Ranking1[[#This Row],[Ag Land Score (Normalized, Unweighted)]]*$AD$3</f>
        <v>4.3708930062902737E-3</v>
      </c>
      <c r="AG176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1.2155691051126427E-2</v>
      </c>
      <c r="AH1762" s="406">
        <f t="shared" si="27"/>
        <v>1702</v>
      </c>
      <c r="AI176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1.2155691051126427E-2</v>
      </c>
      <c r="AJ1762" s="257">
        <f>FME_Ranking1[[#This Row],[Addition check]]-FME_Ranking1[[#This Row],[Weighted Score Based on Normalized Reported Factors]]</f>
        <v>0</v>
      </c>
      <c r="AK1762" s="178">
        <f>_xlfn.RANK.EQ(AI1762,$AI$6:$AI$2341,0)+COUNTIF($AI$6:AI1762,AI1762)-1</f>
        <v>1702</v>
      </c>
    </row>
    <row r="1763" spans="1:37" x14ac:dyDescent="0.25">
      <c r="A1763" t="s">
        <v>9065</v>
      </c>
      <c r="B1763">
        <f>_xlfn.XLOOKUP(FME_Ranking1[[#This Row],[FME ID]],FME_Input[FME_ID],FME_Input[RFPG_NUM])</f>
        <v>11</v>
      </c>
      <c r="C1763" t="str">
        <f>_xlfn.XLOOKUP(FME_Ranking1[[#This Row],[FME ID]],FME_Input[FME_ID],FME_Input[FME_NAME])</f>
        <v>Wilson County Low Water Crossing Improvements Project Planning</v>
      </c>
      <c r="D1763" t="str">
        <f>_xlfn.XLOOKUP(FME_Ranking1[[#This Row],[FME ID]],FME_Input[FME_ID],FME_Input[DESCR])</f>
        <v>Project planning to upgrade infrastructure at low water crossings to provide unimpeded access during 100 year base flood event to facilitate evacuation and response by emergency vehicles</v>
      </c>
      <c r="E1763" s="256">
        <f>_xlfn.XLOOKUP(FME_Ranking1[[#This Row],[FME ID]],FME_Input[FME_ID],FME_Input[FME_COST])</f>
        <v>150000</v>
      </c>
      <c r="F1763" t="str">
        <f>_xlfn.XLOOKUP(FME_Ranking1[[#This Row],[FME ID]],FME_Input[FME_ID],FME_Input[EMER_NEED])</f>
        <v>No</v>
      </c>
      <c r="G1763">
        <f>IF(FME_Ranking!F1763="Yes",100,0)</f>
        <v>0</v>
      </c>
      <c r="H1763">
        <f>FME_Ranking1[[#This Row],[Emergency Need Score (Normalized, Unweighted)]]*$F$3</f>
        <v>0</v>
      </c>
      <c r="I1763" s="246">
        <f>_xlfn.XLOOKUP(FME_Ranking1[[#This Row],[FME ID]],FME_Input[FME_ID],FME_Input[STRUCT_100])</f>
        <v>18</v>
      </c>
      <c r="J1763" s="178">
        <f>(FME_Ranking1[[#This Row],[Structures 100 Raw]]/I$2)*100</f>
        <v>9.6388638992417428E-3</v>
      </c>
      <c r="K1763" s="178">
        <f>FME_Ranking1[[#This Row],[Structures 100  Score (Normalized, Unweighted)]]*$I$3</f>
        <v>1.4458295848862614E-3</v>
      </c>
      <c r="L1763" s="246">
        <f>_xlfn.XLOOKUP(FME_Ranking1[[#This Row],[FME ID]],FME_Input[FME_ID],FME_Input[RES_STRUCT100])</f>
        <v>9</v>
      </c>
      <c r="M1763" s="230">
        <f>(FME_Ranking1[[#This Row],[Res Structures Raw]]/L$2)*100</f>
        <v>6.3747503222790439E-3</v>
      </c>
      <c r="N1763" s="180">
        <f>FME_Ranking1[[#This Row],[Res Structures Score (Normalized, Unweighted)]]*$L$3</f>
        <v>6.3747503222790446E-4</v>
      </c>
      <c r="O1763" s="244">
        <f>_xlfn.XLOOKUP(FME_Ranking1[[#This Row],[FME ID]],FME_Input[FME_ID],FME_Input[POP100])</f>
        <v>33</v>
      </c>
      <c r="P1763" s="178">
        <f>(FME_Ranking1[[#This Row],[Pop Raw]]/$O$2)*100</f>
        <v>3.3783852956291885E-3</v>
      </c>
      <c r="Q1763" s="178">
        <f>FME_Ranking1[[#This Row],[Pop Score (Normalized, Unweighted)]]*$O$3</f>
        <v>5.0675779434437829E-4</v>
      </c>
      <c r="R1763" s="137">
        <f>_xlfn.XLOOKUP(FME_Ranking1[[#This Row],[FME ID]],FME_Input[FME_ID],FME_Input[CRITFAC100])</f>
        <v>0</v>
      </c>
      <c r="S1763" s="230">
        <f>(FME_Ranking1[[#This Row],[Critical Facilities Raw]]/$R$2)*100</f>
        <v>0</v>
      </c>
      <c r="T1763" s="180">
        <f>FME_Ranking1[[#This Row],[Critical Facilities Score (Normalized, Unweighted)]]*$R$3</f>
        <v>0</v>
      </c>
      <c r="U1763">
        <f>_xlfn.XLOOKUP(FME_Ranking1[[#This Row],[FME ID]],FME_Input[FME_ID],FME_Input[LWC])</f>
        <v>0</v>
      </c>
      <c r="V1763" s="178">
        <f>(FME_Ranking1[[#This Row],[LWC Raw]]/$U$2)*100</f>
        <v>0</v>
      </c>
      <c r="W1763" s="178">
        <f>FME_Ranking1[[#This Row],[LWC Score (Normalized, Unweighted)]]*$U$3</f>
        <v>0</v>
      </c>
      <c r="X1763" s="246">
        <f>_xlfn.XLOOKUP(FME_Ranking1[[#This Row],[FME ID]],FME_Input[FME_ID],FME_Input[ROADCLS])</f>
        <v>0</v>
      </c>
      <c r="Y1763" s="230">
        <f>(FME_Ranking1[[#This Row],[Closures Raw]]/$X$2)*100</f>
        <v>0</v>
      </c>
      <c r="Z1763" s="180">
        <f>FME_Ranking1[[#This Row],[Closures Score (Normalized, Unweighted)]]*$X$3</f>
        <v>0</v>
      </c>
      <c r="AA1763" s="253">
        <f>_xlfn.XLOOKUP(FME_Ranking1[[#This Row],[FME ID]],FME_Input[FME_ID],FME_Input[ROAD_MILES100])</f>
        <v>3.9509081840515141</v>
      </c>
      <c r="AB1763" s="178">
        <f>(FME_Ranking1[[#This Row],[Miles Raw]]/$AA$2)*100</f>
        <v>5.194735633377609E-2</v>
      </c>
      <c r="AC1763" s="178">
        <f>FME_Ranking1[[#This Row],[Miles Score (Normalized, Unweighted)]]*$AA$3</f>
        <v>5.1947356333776097E-3</v>
      </c>
      <c r="AD1763" s="255">
        <f>_xlfn.XLOOKUP(FME_Ranking1[[#This Row],[FME ID]],FME_Input[FME_ID],FME_Input[FARMACRE100])</f>
        <v>2119.96484375</v>
      </c>
      <c r="AE1763" s="230">
        <f>(FME_Ranking1[[#This Row],[Ag Land Raw]]/$AD$2)*100</f>
        <v>8.7417860125805463E-2</v>
      </c>
      <c r="AF1763" s="231">
        <f>FME_Ranking1[[#This Row],[Ag Land Score (Normalized, Unweighted)]]*$AD$3</f>
        <v>4.3708930062902737E-3</v>
      </c>
      <c r="AG176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1.2155691051126427E-2</v>
      </c>
      <c r="AH1763" s="406">
        <f t="shared" si="27"/>
        <v>1702</v>
      </c>
      <c r="AI176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1.2155691051126427E-2</v>
      </c>
      <c r="AJ1763" s="257">
        <f>FME_Ranking1[[#This Row],[Addition check]]-FME_Ranking1[[#This Row],[Weighted Score Based on Normalized Reported Factors]]</f>
        <v>0</v>
      </c>
      <c r="AK1763" s="178">
        <f>_xlfn.RANK.EQ(AI1763,$AI$6:$AI$2341,0)+COUNTIF($AI$6:AI1763,AI1763)-1</f>
        <v>1703</v>
      </c>
    </row>
    <row r="1764" spans="1:37" x14ac:dyDescent="0.25">
      <c r="A1764" t="s">
        <v>9068</v>
      </c>
      <c r="B1764">
        <f>_xlfn.XLOOKUP(FME_Ranking1[[#This Row],[FME ID]],FME_Input[FME_ID],FME_Input[RFPG_NUM])</f>
        <v>11</v>
      </c>
      <c r="C1764" t="str">
        <f>_xlfn.XLOOKUP(FME_Ranking1[[#This Row],[FME ID]],FME_Input[FME_ID],FME_Input[FME_NAME])</f>
        <v>Wilson County Voluntary Buyout Program Project Planning</v>
      </c>
      <c r="D1764" t="str">
        <f>_xlfn.XLOOKUP(FME_Ranking1[[#This Row],[FME ID]],FME_Input[FME_ID],FME_Input[DESCR])</f>
        <v>Project planning to establish of a voluntary aquistion and demolition program, structure relocation program, and structure elevation program to address repetitive loss, floodprone properties. Keep a database of properties.</v>
      </c>
      <c r="E1764" s="256">
        <f>_xlfn.XLOOKUP(FME_Ranking1[[#This Row],[FME ID]],FME_Input[FME_ID],FME_Input[FME_COST])</f>
        <v>150000</v>
      </c>
      <c r="F1764" t="str">
        <f>_xlfn.XLOOKUP(FME_Ranking1[[#This Row],[FME ID]],FME_Input[FME_ID],FME_Input[EMER_NEED])</f>
        <v>No</v>
      </c>
      <c r="G1764">
        <f>IF(FME_Ranking!F1764="Yes",100,0)</f>
        <v>0</v>
      </c>
      <c r="H1764">
        <f>FME_Ranking1[[#This Row],[Emergency Need Score (Normalized, Unweighted)]]*$F$3</f>
        <v>0</v>
      </c>
      <c r="I1764" s="246">
        <f>_xlfn.XLOOKUP(FME_Ranking1[[#This Row],[FME ID]],FME_Input[FME_ID],FME_Input[STRUCT_100])</f>
        <v>18</v>
      </c>
      <c r="J1764" s="178">
        <f>(FME_Ranking1[[#This Row],[Structures 100 Raw]]/I$2)*100</f>
        <v>9.6388638992417428E-3</v>
      </c>
      <c r="K1764" s="178">
        <f>FME_Ranking1[[#This Row],[Structures 100  Score (Normalized, Unweighted)]]*$I$3</f>
        <v>1.4458295848862614E-3</v>
      </c>
      <c r="L1764" s="246">
        <f>_xlfn.XLOOKUP(FME_Ranking1[[#This Row],[FME ID]],FME_Input[FME_ID],FME_Input[RES_STRUCT100])</f>
        <v>9</v>
      </c>
      <c r="M1764" s="230">
        <f>(FME_Ranking1[[#This Row],[Res Structures Raw]]/L$2)*100</f>
        <v>6.3747503222790439E-3</v>
      </c>
      <c r="N1764" s="180">
        <f>FME_Ranking1[[#This Row],[Res Structures Score (Normalized, Unweighted)]]*$L$3</f>
        <v>6.3747503222790446E-4</v>
      </c>
      <c r="O1764" s="244">
        <f>_xlfn.XLOOKUP(FME_Ranking1[[#This Row],[FME ID]],FME_Input[FME_ID],FME_Input[POP100])</f>
        <v>33</v>
      </c>
      <c r="P1764" s="178">
        <f>(FME_Ranking1[[#This Row],[Pop Raw]]/$O$2)*100</f>
        <v>3.3783852956291885E-3</v>
      </c>
      <c r="Q1764" s="178">
        <f>FME_Ranking1[[#This Row],[Pop Score (Normalized, Unweighted)]]*$O$3</f>
        <v>5.0675779434437829E-4</v>
      </c>
      <c r="R1764" s="137">
        <f>_xlfn.XLOOKUP(FME_Ranking1[[#This Row],[FME ID]],FME_Input[FME_ID],FME_Input[CRITFAC100])</f>
        <v>0</v>
      </c>
      <c r="S1764" s="230">
        <f>(FME_Ranking1[[#This Row],[Critical Facilities Raw]]/$R$2)*100</f>
        <v>0</v>
      </c>
      <c r="T1764" s="180">
        <f>FME_Ranking1[[#This Row],[Critical Facilities Score (Normalized, Unweighted)]]*$R$3</f>
        <v>0</v>
      </c>
      <c r="U1764">
        <f>_xlfn.XLOOKUP(FME_Ranking1[[#This Row],[FME ID]],FME_Input[FME_ID],FME_Input[LWC])</f>
        <v>0</v>
      </c>
      <c r="V1764" s="178">
        <f>(FME_Ranking1[[#This Row],[LWC Raw]]/$U$2)*100</f>
        <v>0</v>
      </c>
      <c r="W1764" s="178">
        <f>FME_Ranking1[[#This Row],[LWC Score (Normalized, Unweighted)]]*$U$3</f>
        <v>0</v>
      </c>
      <c r="X1764" s="246">
        <f>_xlfn.XLOOKUP(FME_Ranking1[[#This Row],[FME ID]],FME_Input[FME_ID],FME_Input[ROADCLS])</f>
        <v>0</v>
      </c>
      <c r="Y1764" s="230">
        <f>(FME_Ranking1[[#This Row],[Closures Raw]]/$X$2)*100</f>
        <v>0</v>
      </c>
      <c r="Z1764" s="180">
        <f>FME_Ranking1[[#This Row],[Closures Score (Normalized, Unweighted)]]*$X$3</f>
        <v>0</v>
      </c>
      <c r="AA1764" s="253">
        <f>_xlfn.XLOOKUP(FME_Ranking1[[#This Row],[FME ID]],FME_Input[FME_ID],FME_Input[ROAD_MILES100])</f>
        <v>3.9509081840515141</v>
      </c>
      <c r="AB1764" s="178">
        <f>(FME_Ranking1[[#This Row],[Miles Raw]]/$AA$2)*100</f>
        <v>5.194735633377609E-2</v>
      </c>
      <c r="AC1764" s="178">
        <f>FME_Ranking1[[#This Row],[Miles Score (Normalized, Unweighted)]]*$AA$3</f>
        <v>5.1947356333776097E-3</v>
      </c>
      <c r="AD1764" s="255">
        <f>_xlfn.XLOOKUP(FME_Ranking1[[#This Row],[FME ID]],FME_Input[FME_ID],FME_Input[FARMACRE100])</f>
        <v>2119.96484375</v>
      </c>
      <c r="AE1764" s="230">
        <f>(FME_Ranking1[[#This Row],[Ag Land Raw]]/$AD$2)*100</f>
        <v>8.7417860125805463E-2</v>
      </c>
      <c r="AF1764" s="231">
        <f>FME_Ranking1[[#This Row],[Ag Land Score (Normalized, Unweighted)]]*$AD$3</f>
        <v>4.3708930062902737E-3</v>
      </c>
      <c r="AG176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1.2155691051126427E-2</v>
      </c>
      <c r="AH1764" s="406">
        <f t="shared" si="27"/>
        <v>1702</v>
      </c>
      <c r="AI176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1.2155691051126427E-2</v>
      </c>
      <c r="AJ1764" s="257">
        <f>FME_Ranking1[[#This Row],[Addition check]]-FME_Ranking1[[#This Row],[Weighted Score Based on Normalized Reported Factors]]</f>
        <v>0</v>
      </c>
      <c r="AK1764" s="178">
        <f>_xlfn.RANK.EQ(AI1764,$AI$6:$AI$2341,0)+COUNTIF($AI$6:AI1764,AI1764)-1</f>
        <v>1704</v>
      </c>
    </row>
    <row r="1765" spans="1:37" x14ac:dyDescent="0.25">
      <c r="A1765" t="s">
        <v>7056</v>
      </c>
      <c r="B1765">
        <f>_xlfn.XLOOKUP(FME_Ranking1[[#This Row],[FME ID]],FME_Input[FME_ID],FME_Input[RFPG_NUM])</f>
        <v>7</v>
      </c>
      <c r="C1765" t="str">
        <f>_xlfn.XLOOKUP(FME_Ranking1[[#This Row],[FME ID]],FME_Input[FME_ID],FME_Input[FME_NAME])</f>
        <v>City of Littlefield DMP</v>
      </c>
      <c r="D1765" t="str">
        <f>_xlfn.XLOOKUP(FME_Ranking1[[#This Row],[FME ID]],FME_Input[FME_ID],FME_Input[DESCR])</f>
        <v>Evaluate City of Littlefield for a Storm Water Master Plan, flood ordinances, and policies.</v>
      </c>
      <c r="E1765" s="256">
        <f>_xlfn.XLOOKUP(FME_Ranking1[[#This Row],[FME ID]],FME_Input[FME_ID],FME_Input[FME_COST])</f>
        <v>250000</v>
      </c>
      <c r="F1765" t="str">
        <f>_xlfn.XLOOKUP(FME_Ranking1[[#This Row],[FME ID]],FME_Input[FME_ID],FME_Input[EMER_NEED])</f>
        <v>No</v>
      </c>
      <c r="G1765">
        <f>IF(FME_Ranking!F1765="Yes",100,0)</f>
        <v>0</v>
      </c>
      <c r="H1765">
        <f>FME_Ranking1[[#This Row],[Emergency Need Score (Normalized, Unweighted)]]*$F$3</f>
        <v>0</v>
      </c>
      <c r="I1765" s="246">
        <f>_xlfn.XLOOKUP(FME_Ranking1[[#This Row],[FME ID]],FME_Input[FME_ID],FME_Input[STRUCT_100])</f>
        <v>55</v>
      </c>
      <c r="J1765" s="178">
        <f>(FME_Ranking1[[#This Row],[Structures 100 Raw]]/I$2)*100</f>
        <v>2.9452084136571993E-2</v>
      </c>
      <c r="K1765" s="178">
        <f>FME_Ranking1[[#This Row],[Structures 100  Score (Normalized, Unweighted)]]*$I$3</f>
        <v>4.4178126204857992E-3</v>
      </c>
      <c r="L1765" s="246">
        <f>_xlfn.XLOOKUP(FME_Ranking1[[#This Row],[FME ID]],FME_Input[FME_ID],FME_Input[RES_STRUCT100])</f>
        <v>20</v>
      </c>
      <c r="M1765" s="230">
        <f>(FME_Ranking1[[#This Row],[Res Structures Raw]]/L$2)*100</f>
        <v>1.4166111827286764E-2</v>
      </c>
      <c r="N1765" s="180">
        <f>FME_Ranking1[[#This Row],[Res Structures Score (Normalized, Unweighted)]]*$L$3</f>
        <v>1.4166111827286765E-3</v>
      </c>
      <c r="O1765" s="244">
        <f>_xlfn.XLOOKUP(FME_Ranking1[[#This Row],[FME ID]],FME_Input[FME_ID],FME_Input[POP100])</f>
        <v>66</v>
      </c>
      <c r="P1765" s="178">
        <f>(FME_Ranking1[[#This Row],[Pop Raw]]/$O$2)*100</f>
        <v>6.7567705912583769E-3</v>
      </c>
      <c r="Q1765" s="178">
        <f>FME_Ranking1[[#This Row],[Pop Score (Normalized, Unweighted)]]*$O$3</f>
        <v>1.0135155886887566E-3</v>
      </c>
      <c r="R1765" s="137">
        <f>_xlfn.XLOOKUP(FME_Ranking1[[#This Row],[FME ID]],FME_Input[FME_ID],FME_Input[CRITFAC100])</f>
        <v>0</v>
      </c>
      <c r="S1765" s="230">
        <f>(FME_Ranking1[[#This Row],[Critical Facilities Raw]]/$R$2)*100</f>
        <v>0</v>
      </c>
      <c r="T1765" s="180">
        <f>FME_Ranking1[[#This Row],[Critical Facilities Score (Normalized, Unweighted)]]*$R$3</f>
        <v>0</v>
      </c>
      <c r="U1765">
        <f>_xlfn.XLOOKUP(FME_Ranking1[[#This Row],[FME ID]],FME_Input[FME_ID],FME_Input[LWC])</f>
        <v>0</v>
      </c>
      <c r="V1765" s="178">
        <f>(FME_Ranking1[[#This Row],[LWC Raw]]/$U$2)*100</f>
        <v>0</v>
      </c>
      <c r="W1765" s="178">
        <f>FME_Ranking1[[#This Row],[LWC Score (Normalized, Unweighted)]]*$U$3</f>
        <v>0</v>
      </c>
      <c r="X1765" s="246">
        <f>_xlfn.XLOOKUP(FME_Ranking1[[#This Row],[FME ID]],FME_Input[FME_ID],FME_Input[ROADCLS])</f>
        <v>0</v>
      </c>
      <c r="Y1765" s="230">
        <f>(FME_Ranking1[[#This Row],[Closures Raw]]/$X$2)*100</f>
        <v>0</v>
      </c>
      <c r="Z1765" s="180">
        <f>FME_Ranking1[[#This Row],[Closures Score (Normalized, Unweighted)]]*$X$3</f>
        <v>0</v>
      </c>
      <c r="AA1765" s="253">
        <f>_xlfn.XLOOKUP(FME_Ranking1[[#This Row],[FME ID]],FME_Input[FME_ID],FME_Input[ROAD_MILES100])</f>
        <v>12.032303810119631</v>
      </c>
      <c r="AB1765" s="178">
        <f>(FME_Ranking1[[#This Row],[Miles Raw]]/$AA$2)*100</f>
        <v>0.15820321415304914</v>
      </c>
      <c r="AC1765" s="178">
        <f>FME_Ranking1[[#This Row],[Miles Score (Normalized, Unweighted)]]*$AA$3</f>
        <v>1.5820321415304914E-2</v>
      </c>
      <c r="AD1765" s="255">
        <f>_xlfn.XLOOKUP(FME_Ranking1[[#This Row],[FME ID]],FME_Input[FME_ID],FME_Input[FARMACRE100])</f>
        <v>29.11989593505859</v>
      </c>
      <c r="AE1765" s="230">
        <f>(FME_Ranking1[[#This Row],[Ag Land Raw]]/$AD$2)*100</f>
        <v>1.2007741530402267E-3</v>
      </c>
      <c r="AF1765" s="231">
        <f>FME_Ranking1[[#This Row],[Ag Land Score (Normalized, Unweighted)]]*$AD$3</f>
        <v>6.003870765201134E-5</v>
      </c>
      <c r="AG176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2.2728299514860158E-2</v>
      </c>
      <c r="AH1765" s="406">
        <f t="shared" si="27"/>
        <v>1547</v>
      </c>
      <c r="AI176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2.2728299514860158E-2</v>
      </c>
      <c r="AJ1765" s="257">
        <f>FME_Ranking1[[#This Row],[Addition check]]-FME_Ranking1[[#This Row],[Weighted Score Based on Normalized Reported Factors]]</f>
        <v>0</v>
      </c>
      <c r="AK1765" s="178">
        <f>_xlfn.RANK.EQ(AI1765,$AI$6:$AI$2341,0)+COUNTIF($AI$6:AI1765,AI1765)-1</f>
        <v>1547</v>
      </c>
    </row>
    <row r="1766" spans="1:37" x14ac:dyDescent="0.25">
      <c r="A1766" t="s">
        <v>69</v>
      </c>
      <c r="B1766">
        <f>_xlfn.XLOOKUP(FME_Ranking1[[#This Row],[FME ID]],FME_Input[FME_ID],FME_Input[RFPG_NUM])</f>
        <v>10</v>
      </c>
      <c r="C1766" t="str">
        <f>_xlfn.XLOOKUP(FME_Ranking1[[#This Row],[FME ID]],FME_Input[FME_ID],FME_Input[FME_NAME])</f>
        <v>Green Valley Drive in Precinct 1</v>
      </c>
      <c r="D1766" t="str">
        <f>_xlfn.XLOOKUP(FME_Ranking1[[#This Row],[FME ID]],FME_Input[FME_ID],FME_Input[DESCR])</f>
        <v>LWC upgrade, Bridge</v>
      </c>
      <c r="E1766" s="256">
        <f>_xlfn.XLOOKUP(FME_Ranking1[[#This Row],[FME ID]],FME_Input[FME_ID],FME_Input[FME_COST])</f>
        <v>100000</v>
      </c>
      <c r="F1766" t="str">
        <f>_xlfn.XLOOKUP(FME_Ranking1[[#This Row],[FME ID]],FME_Input[FME_ID],FME_Input[EMER_NEED])</f>
        <v>No</v>
      </c>
      <c r="G1766">
        <f>IF(FME_Ranking!F1766="Yes",100,0)</f>
        <v>0</v>
      </c>
      <c r="H1766">
        <f>FME_Ranking1[[#This Row],[Emergency Need Score (Normalized, Unweighted)]]*$F$3</f>
        <v>0</v>
      </c>
      <c r="I1766" s="246">
        <f>_xlfn.XLOOKUP(FME_Ranking1[[#This Row],[FME ID]],FME_Input[FME_ID],FME_Input[STRUCT_100])</f>
        <v>38</v>
      </c>
      <c r="J1766" s="178">
        <f>(FME_Ranking1[[#This Row],[Structures 100 Raw]]/I$2)*100</f>
        <v>2.0348712676177012E-2</v>
      </c>
      <c r="K1766" s="178">
        <f>FME_Ranking1[[#This Row],[Structures 100  Score (Normalized, Unweighted)]]*$I$3</f>
        <v>3.0523069014265517E-3</v>
      </c>
      <c r="L1766" s="246">
        <f>_xlfn.XLOOKUP(FME_Ranking1[[#This Row],[FME ID]],FME_Input[FME_ID],FME_Input[RES_STRUCT100])</f>
        <v>35</v>
      </c>
      <c r="M1766" s="230">
        <f>(FME_Ranking1[[#This Row],[Res Structures Raw]]/L$2)*100</f>
        <v>2.4790695697751837E-2</v>
      </c>
      <c r="N1766" s="180">
        <f>FME_Ranking1[[#This Row],[Res Structures Score (Normalized, Unweighted)]]*$L$3</f>
        <v>2.479069569775184E-3</v>
      </c>
      <c r="O1766" s="244">
        <f>_xlfn.XLOOKUP(FME_Ranking1[[#This Row],[FME ID]],FME_Input[FME_ID],FME_Input[POP100])</f>
        <v>67</v>
      </c>
      <c r="P1766" s="178">
        <f>(FME_Ranking1[[#This Row],[Pop Raw]]/$O$2)*100</f>
        <v>6.8591459032471399E-3</v>
      </c>
      <c r="Q1766" s="178">
        <f>FME_Ranking1[[#This Row],[Pop Score (Normalized, Unweighted)]]*$O$3</f>
        <v>1.028871885487071E-3</v>
      </c>
      <c r="R1766" s="137">
        <f>_xlfn.XLOOKUP(FME_Ranking1[[#This Row],[FME ID]],FME_Input[FME_ID],FME_Input[CRITFAC100])</f>
        <v>0</v>
      </c>
      <c r="S1766" s="230">
        <f>(FME_Ranking1[[#This Row],[Critical Facilities Raw]]/$R$2)*100</f>
        <v>0</v>
      </c>
      <c r="T1766" s="180">
        <f>FME_Ranking1[[#This Row],[Critical Facilities Score (Normalized, Unweighted)]]*$R$3</f>
        <v>0</v>
      </c>
      <c r="U1766">
        <f>_xlfn.XLOOKUP(FME_Ranking1[[#This Row],[FME ID]],FME_Input[FME_ID],FME_Input[LWC])</f>
        <v>0</v>
      </c>
      <c r="V1766" s="178">
        <f>(FME_Ranking1[[#This Row],[LWC Raw]]/$U$2)*100</f>
        <v>0</v>
      </c>
      <c r="W1766" s="178">
        <f>FME_Ranking1[[#This Row],[LWC Score (Normalized, Unweighted)]]*$U$3</f>
        <v>0</v>
      </c>
      <c r="X1766" s="246">
        <f>_xlfn.XLOOKUP(FME_Ranking1[[#This Row],[FME ID]],FME_Input[FME_ID],FME_Input[ROADCLS])</f>
        <v>0</v>
      </c>
      <c r="Y1766" s="230">
        <f>(FME_Ranking1[[#This Row],[Closures Raw]]/$X$2)*100</f>
        <v>0</v>
      </c>
      <c r="Z1766" s="180">
        <f>FME_Ranking1[[#This Row],[Closures Score (Normalized, Unweighted)]]*$X$3</f>
        <v>0</v>
      </c>
      <c r="AA1766" s="253">
        <f>_xlfn.XLOOKUP(FME_Ranking1[[#This Row],[FME ID]],FME_Input[FME_ID],FME_Input[ROAD_MILES100])</f>
        <v>0.32683888077735901</v>
      </c>
      <c r="AB1766" s="178">
        <f>(FME_Ranking1[[#This Row],[Miles Raw]]/$AA$2)*100</f>
        <v>4.2973450691692035E-3</v>
      </c>
      <c r="AC1766" s="178">
        <f>FME_Ranking1[[#This Row],[Miles Score (Normalized, Unweighted)]]*$AA$3</f>
        <v>4.2973450691692036E-4</v>
      </c>
      <c r="AD1766" s="255">
        <f>_xlfn.XLOOKUP(FME_Ranking1[[#This Row],[FME ID]],FME_Input[FME_ID],FME_Input[FARMACRE100])</f>
        <v>49.476730346679688</v>
      </c>
      <c r="AE1766" s="230">
        <f>(FME_Ranking1[[#This Row],[Ag Land Raw]]/$AD$2)*100</f>
        <v>2.0401988767311317E-3</v>
      </c>
      <c r="AF1766" s="231">
        <f>FME_Ranking1[[#This Row],[Ag Land Score (Normalized, Unweighted)]]*$AD$3</f>
        <v>1.0200994383655659E-4</v>
      </c>
      <c r="AG176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7.0919928074422833E-3</v>
      </c>
      <c r="AH1766" s="406">
        <f t="shared" si="27"/>
        <v>1797</v>
      </c>
      <c r="AI176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7.0919928074422833E-3</v>
      </c>
      <c r="AJ1766" s="257">
        <f>FME_Ranking1[[#This Row],[Addition check]]-FME_Ranking1[[#This Row],[Weighted Score Based on Normalized Reported Factors]]</f>
        <v>0</v>
      </c>
      <c r="AK1766" s="178">
        <f>_xlfn.RANK.EQ(AI1766,$AI$6:$AI$2341,0)+COUNTIF($AI$6:AI1766,AI1766)-1</f>
        <v>1797</v>
      </c>
    </row>
    <row r="1767" spans="1:37" x14ac:dyDescent="0.25">
      <c r="A1767" t="s">
        <v>1173</v>
      </c>
      <c r="B1767">
        <f>_xlfn.XLOOKUP(FME_Ranking1[[#This Row],[FME ID]],FME_Input[FME_ID],FME_Input[RFPG_NUM])</f>
        <v>6</v>
      </c>
      <c r="C1767" t="str">
        <f>_xlfn.XLOOKUP(FME_Ranking1[[#This Row],[FME ID]],FME_Input[FME_ID],FME_Input[FME_NAME])</f>
        <v>Replace Existing Culverts in City of Arcola</v>
      </c>
      <c r="D1767" t="str">
        <f>_xlfn.XLOOKUP(FME_Ranking1[[#This Row],[FME ID]],FME_Input[FME_ID],FME_Input[DESCR])</f>
        <v>Evaluation of proposed culvert replacement.</v>
      </c>
      <c r="E1767" s="256">
        <f>_xlfn.XLOOKUP(FME_Ranking1[[#This Row],[FME ID]],FME_Input[FME_ID],FME_Input[FME_COST])</f>
        <v>200000</v>
      </c>
      <c r="F1767" t="str">
        <f>_xlfn.XLOOKUP(FME_Ranking1[[#This Row],[FME ID]],FME_Input[FME_ID],FME_Input[EMER_NEED])</f>
        <v>No</v>
      </c>
      <c r="G1767">
        <f>IF(FME_Ranking!F1767="Yes",100,0)</f>
        <v>0</v>
      </c>
      <c r="H1767">
        <f>FME_Ranking1[[#This Row],[Emergency Need Score (Normalized, Unweighted)]]*$F$3</f>
        <v>0</v>
      </c>
      <c r="I1767" s="246">
        <f>_xlfn.XLOOKUP(FME_Ranking1[[#This Row],[FME ID]],FME_Input[FME_ID],FME_Input[STRUCT_100])</f>
        <v>41</v>
      </c>
      <c r="J1767" s="178">
        <f>(FME_Ranking1[[#This Row],[Structures 100 Raw]]/I$2)*100</f>
        <v>2.1955189992717301E-2</v>
      </c>
      <c r="K1767" s="178">
        <f>FME_Ranking1[[#This Row],[Structures 100  Score (Normalized, Unweighted)]]*$I$3</f>
        <v>3.2932784989075951E-3</v>
      </c>
      <c r="L1767" s="246">
        <f>_xlfn.XLOOKUP(FME_Ranking1[[#This Row],[FME ID]],FME_Input[FME_ID],FME_Input[RES_STRUCT100])</f>
        <v>37</v>
      </c>
      <c r="M1767" s="230">
        <f>(FME_Ranking1[[#This Row],[Res Structures Raw]]/L$2)*100</f>
        <v>2.6207306880480515E-2</v>
      </c>
      <c r="N1767" s="180">
        <f>FME_Ranking1[[#This Row],[Res Structures Score (Normalized, Unweighted)]]*$L$3</f>
        <v>2.6207306880480516E-3</v>
      </c>
      <c r="O1767" s="244">
        <f>_xlfn.XLOOKUP(FME_Ranking1[[#This Row],[FME ID]],FME_Input[FME_ID],FME_Input[POP100])</f>
        <v>39</v>
      </c>
      <c r="P1767" s="178">
        <f>(FME_Ranking1[[#This Row],[Pop Raw]]/$O$2)*100</f>
        <v>3.9926371675617685E-3</v>
      </c>
      <c r="Q1767" s="178">
        <f>FME_Ranking1[[#This Row],[Pop Score (Normalized, Unweighted)]]*$O$3</f>
        <v>5.988955751342653E-4</v>
      </c>
      <c r="R1767" s="137">
        <f>_xlfn.XLOOKUP(FME_Ranking1[[#This Row],[FME ID]],FME_Input[FME_ID],FME_Input[CRITFAC100])</f>
        <v>0</v>
      </c>
      <c r="S1767" s="230">
        <f>(FME_Ranking1[[#This Row],[Critical Facilities Raw]]/$R$2)*100</f>
        <v>0</v>
      </c>
      <c r="T1767" s="180">
        <f>FME_Ranking1[[#This Row],[Critical Facilities Score (Normalized, Unweighted)]]*$R$3</f>
        <v>0</v>
      </c>
      <c r="U1767">
        <f>_xlfn.XLOOKUP(FME_Ranking1[[#This Row],[FME ID]],FME_Input[FME_ID],FME_Input[LWC])</f>
        <v>0</v>
      </c>
      <c r="V1767" s="178">
        <f>(FME_Ranking1[[#This Row],[LWC Raw]]/$U$2)*100</f>
        <v>0</v>
      </c>
      <c r="W1767" s="178">
        <f>FME_Ranking1[[#This Row],[LWC Score (Normalized, Unweighted)]]*$U$3</f>
        <v>0</v>
      </c>
      <c r="X1767" s="246">
        <f>_xlfn.XLOOKUP(FME_Ranking1[[#This Row],[FME ID]],FME_Input[FME_ID],FME_Input[ROADCLS])</f>
        <v>0</v>
      </c>
      <c r="Y1767" s="230">
        <f>(FME_Ranking1[[#This Row],[Closures Raw]]/$X$2)*100</f>
        <v>0</v>
      </c>
      <c r="Z1767" s="180">
        <f>FME_Ranking1[[#This Row],[Closures Score (Normalized, Unweighted)]]*$X$3</f>
        <v>0</v>
      </c>
      <c r="AA1767" s="253">
        <f>_xlfn.XLOOKUP(FME_Ranking1[[#This Row],[FME ID]],FME_Input[FME_ID],FME_Input[ROAD_MILES100])</f>
        <v>0.21681888401508331</v>
      </c>
      <c r="AB1767" s="178">
        <f>(FME_Ranking1[[#This Row],[Miles Raw]]/$AA$2)*100</f>
        <v>2.8507794418733438E-3</v>
      </c>
      <c r="AC1767" s="178">
        <f>FME_Ranking1[[#This Row],[Miles Score (Normalized, Unweighted)]]*$AA$3</f>
        <v>2.8507794418733439E-4</v>
      </c>
      <c r="AD1767" s="255">
        <f>_xlfn.XLOOKUP(FME_Ranking1[[#This Row],[FME ID]],FME_Input[FME_ID],FME_Input[FARMACRE100])</f>
        <v>1.2274031639099121</v>
      </c>
      <c r="AE1767" s="230">
        <f>(FME_Ranking1[[#This Row],[Ag Land Raw]]/$AD$2)*100</f>
        <v>5.0612612004853096E-5</v>
      </c>
      <c r="AF1767" s="231">
        <f>FME_Ranking1[[#This Row],[Ag Land Score (Normalized, Unweighted)]]*$AD$3</f>
        <v>2.530630600242655E-6</v>
      </c>
      <c r="AG176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6.8005133368774888E-3</v>
      </c>
      <c r="AH1767" s="406">
        <f t="shared" si="27"/>
        <v>1802</v>
      </c>
      <c r="AI176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6.8005133368774888E-3</v>
      </c>
      <c r="AJ1767" s="257">
        <f>FME_Ranking1[[#This Row],[Addition check]]-FME_Ranking1[[#This Row],[Weighted Score Based on Normalized Reported Factors]]</f>
        <v>0</v>
      </c>
      <c r="AK1767" s="178">
        <f>_xlfn.RANK.EQ(AI1767,$AI$6:$AI$2341,0)+COUNTIF($AI$6:AI1767,AI1767)-1</f>
        <v>1802</v>
      </c>
    </row>
    <row r="1768" spans="1:37" x14ac:dyDescent="0.25">
      <c r="A1768" t="s">
        <v>1198</v>
      </c>
      <c r="B1768">
        <f>_xlfn.XLOOKUP(FME_Ranking1[[#This Row],[FME ID]],FME_Input[FME_ID],FME_Input[RFPG_NUM])</f>
        <v>6</v>
      </c>
      <c r="C1768" t="str">
        <f>_xlfn.XLOOKUP(FME_Ranking1[[#This Row],[FME ID]],FME_Input[FME_ID],FME_Input[FME_NAME])</f>
        <v>City of Arcola Regional Drainage Improvements</v>
      </c>
      <c r="D1768" t="str">
        <f>_xlfn.XLOOKUP(FME_Ranking1[[#This Row],[FME ID]],FME_Input[FME_ID],FME_Input[DESCR])</f>
        <v>Study of repetitive loss and possbile drainage improvements.</v>
      </c>
      <c r="E1768" s="256">
        <f>_xlfn.XLOOKUP(FME_Ranking1[[#This Row],[FME ID]],FME_Input[FME_ID],FME_Input[FME_COST])</f>
        <v>520000</v>
      </c>
      <c r="F1768" t="str">
        <f>_xlfn.XLOOKUP(FME_Ranking1[[#This Row],[FME ID]],FME_Input[FME_ID],FME_Input[EMER_NEED])</f>
        <v>No</v>
      </c>
      <c r="G1768">
        <f>IF(FME_Ranking!F1768="Yes",100,0)</f>
        <v>0</v>
      </c>
      <c r="H1768">
        <f>FME_Ranking1[[#This Row],[Emergency Need Score (Normalized, Unweighted)]]*$F$3</f>
        <v>0</v>
      </c>
      <c r="I1768" s="246">
        <f>_xlfn.XLOOKUP(FME_Ranking1[[#This Row],[FME ID]],FME_Input[FME_ID],FME_Input[STRUCT_100])</f>
        <v>41</v>
      </c>
      <c r="J1768" s="178">
        <f>(FME_Ranking1[[#This Row],[Structures 100 Raw]]/I$2)*100</f>
        <v>2.1955189992717301E-2</v>
      </c>
      <c r="K1768" s="178">
        <f>FME_Ranking1[[#This Row],[Structures 100  Score (Normalized, Unweighted)]]*$I$3</f>
        <v>3.2932784989075951E-3</v>
      </c>
      <c r="L1768" s="246">
        <f>_xlfn.XLOOKUP(FME_Ranking1[[#This Row],[FME ID]],FME_Input[FME_ID],FME_Input[RES_STRUCT100])</f>
        <v>37</v>
      </c>
      <c r="M1768" s="230">
        <f>(FME_Ranking1[[#This Row],[Res Structures Raw]]/L$2)*100</f>
        <v>2.6207306880480515E-2</v>
      </c>
      <c r="N1768" s="180">
        <f>FME_Ranking1[[#This Row],[Res Structures Score (Normalized, Unweighted)]]*$L$3</f>
        <v>2.6207306880480516E-3</v>
      </c>
      <c r="O1768" s="244">
        <f>_xlfn.XLOOKUP(FME_Ranking1[[#This Row],[FME ID]],FME_Input[FME_ID],FME_Input[POP100])</f>
        <v>39</v>
      </c>
      <c r="P1768" s="178">
        <f>(FME_Ranking1[[#This Row],[Pop Raw]]/$O$2)*100</f>
        <v>3.9926371675617685E-3</v>
      </c>
      <c r="Q1768" s="178">
        <f>FME_Ranking1[[#This Row],[Pop Score (Normalized, Unweighted)]]*$O$3</f>
        <v>5.988955751342653E-4</v>
      </c>
      <c r="R1768" s="137">
        <f>_xlfn.XLOOKUP(FME_Ranking1[[#This Row],[FME ID]],FME_Input[FME_ID],FME_Input[CRITFAC100])</f>
        <v>0</v>
      </c>
      <c r="S1768" s="230">
        <f>(FME_Ranking1[[#This Row],[Critical Facilities Raw]]/$R$2)*100</f>
        <v>0</v>
      </c>
      <c r="T1768" s="180">
        <f>FME_Ranking1[[#This Row],[Critical Facilities Score (Normalized, Unweighted)]]*$R$3</f>
        <v>0</v>
      </c>
      <c r="U1768">
        <f>_xlfn.XLOOKUP(FME_Ranking1[[#This Row],[FME ID]],FME_Input[FME_ID],FME_Input[LWC])</f>
        <v>0</v>
      </c>
      <c r="V1768" s="178">
        <f>(FME_Ranking1[[#This Row],[LWC Raw]]/$U$2)*100</f>
        <v>0</v>
      </c>
      <c r="W1768" s="178">
        <f>FME_Ranking1[[#This Row],[LWC Score (Normalized, Unweighted)]]*$U$3</f>
        <v>0</v>
      </c>
      <c r="X1768" s="246">
        <f>_xlfn.XLOOKUP(FME_Ranking1[[#This Row],[FME ID]],FME_Input[FME_ID],FME_Input[ROADCLS])</f>
        <v>0</v>
      </c>
      <c r="Y1768" s="230">
        <f>(FME_Ranking1[[#This Row],[Closures Raw]]/$X$2)*100</f>
        <v>0</v>
      </c>
      <c r="Z1768" s="180">
        <f>FME_Ranking1[[#This Row],[Closures Score (Normalized, Unweighted)]]*$X$3</f>
        <v>0</v>
      </c>
      <c r="AA1768" s="253">
        <f>_xlfn.XLOOKUP(FME_Ranking1[[#This Row],[FME ID]],FME_Input[FME_ID],FME_Input[ROAD_MILES100])</f>
        <v>0.21681888401508331</v>
      </c>
      <c r="AB1768" s="178">
        <f>(FME_Ranking1[[#This Row],[Miles Raw]]/$AA$2)*100</f>
        <v>2.8507794418733438E-3</v>
      </c>
      <c r="AC1768" s="178">
        <f>FME_Ranking1[[#This Row],[Miles Score (Normalized, Unweighted)]]*$AA$3</f>
        <v>2.8507794418733439E-4</v>
      </c>
      <c r="AD1768" s="255">
        <f>_xlfn.XLOOKUP(FME_Ranking1[[#This Row],[FME ID]],FME_Input[FME_ID],FME_Input[FARMACRE100])</f>
        <v>1.2274031639099121</v>
      </c>
      <c r="AE1768" s="230">
        <f>(FME_Ranking1[[#This Row],[Ag Land Raw]]/$AD$2)*100</f>
        <v>5.0612612004853096E-5</v>
      </c>
      <c r="AF1768" s="231">
        <f>FME_Ranking1[[#This Row],[Ag Land Score (Normalized, Unweighted)]]*$AD$3</f>
        <v>2.530630600242655E-6</v>
      </c>
      <c r="AG176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6.8005133368774888E-3</v>
      </c>
      <c r="AH1768" s="406">
        <f t="shared" si="27"/>
        <v>1802</v>
      </c>
      <c r="AI176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6.8005133368774888E-3</v>
      </c>
      <c r="AJ1768" s="257">
        <f>FME_Ranking1[[#This Row],[Addition check]]-FME_Ranking1[[#This Row],[Weighted Score Based on Normalized Reported Factors]]</f>
        <v>0</v>
      </c>
      <c r="AK1768" s="178">
        <f>_xlfn.RANK.EQ(AI1768,$AI$6:$AI$2341,0)+COUNTIF($AI$6:AI1768,AI1768)-1</f>
        <v>1803</v>
      </c>
    </row>
    <row r="1769" spans="1:37" x14ac:dyDescent="0.25">
      <c r="A1769" t="s">
        <v>1270</v>
      </c>
      <c r="B1769">
        <f>_xlfn.XLOOKUP(FME_Ranking1[[#This Row],[FME ID]],FME_Input[FME_ID],FME_Input[RFPG_NUM])</f>
        <v>6</v>
      </c>
      <c r="C1769" t="str">
        <f>_xlfn.XLOOKUP(FME_Ranking1[[#This Row],[FME ID]],FME_Input[FME_ID],FME_Input[FME_NAME])</f>
        <v>Evaluation of Reinforcement of Critical Facilities in the City of Arcola</v>
      </c>
      <c r="D1769" t="str">
        <f>_xlfn.XLOOKUP(FME_Ranking1[[#This Row],[FME ID]],FME_Input[FME_ID],FME_Input[DESCR])</f>
        <v>Reinforcement of critical facilities to withstand high winds from severe weather.</v>
      </c>
      <c r="E1769" s="256">
        <f>_xlfn.XLOOKUP(FME_Ranking1[[#This Row],[FME ID]],FME_Input[FME_ID],FME_Input[FME_COST])</f>
        <v>200000</v>
      </c>
      <c r="F1769" t="str">
        <f>_xlfn.XLOOKUP(FME_Ranking1[[#This Row],[FME ID]],FME_Input[FME_ID],FME_Input[EMER_NEED])</f>
        <v>No</v>
      </c>
      <c r="G1769">
        <f>IF(FME_Ranking!F1769="Yes",100,0)</f>
        <v>0</v>
      </c>
      <c r="H1769">
        <f>FME_Ranking1[[#This Row],[Emergency Need Score (Normalized, Unweighted)]]*$F$3</f>
        <v>0</v>
      </c>
      <c r="I1769" s="246">
        <f>_xlfn.XLOOKUP(FME_Ranking1[[#This Row],[FME ID]],FME_Input[FME_ID],FME_Input[STRUCT_100])</f>
        <v>41</v>
      </c>
      <c r="J1769" s="178">
        <f>(FME_Ranking1[[#This Row],[Structures 100 Raw]]/I$2)*100</f>
        <v>2.1955189992717301E-2</v>
      </c>
      <c r="K1769" s="178">
        <f>FME_Ranking1[[#This Row],[Structures 100  Score (Normalized, Unweighted)]]*$I$3</f>
        <v>3.2932784989075951E-3</v>
      </c>
      <c r="L1769" s="246">
        <f>_xlfn.XLOOKUP(FME_Ranking1[[#This Row],[FME ID]],FME_Input[FME_ID],FME_Input[RES_STRUCT100])</f>
        <v>37</v>
      </c>
      <c r="M1769" s="230">
        <f>(FME_Ranking1[[#This Row],[Res Structures Raw]]/L$2)*100</f>
        <v>2.6207306880480515E-2</v>
      </c>
      <c r="N1769" s="180">
        <f>FME_Ranking1[[#This Row],[Res Structures Score (Normalized, Unweighted)]]*$L$3</f>
        <v>2.6207306880480516E-3</v>
      </c>
      <c r="O1769" s="244">
        <f>_xlfn.XLOOKUP(FME_Ranking1[[#This Row],[FME ID]],FME_Input[FME_ID],FME_Input[POP100])</f>
        <v>39</v>
      </c>
      <c r="P1769" s="178">
        <f>(FME_Ranking1[[#This Row],[Pop Raw]]/$O$2)*100</f>
        <v>3.9926371675617685E-3</v>
      </c>
      <c r="Q1769" s="178">
        <f>FME_Ranking1[[#This Row],[Pop Score (Normalized, Unweighted)]]*$O$3</f>
        <v>5.988955751342653E-4</v>
      </c>
      <c r="R1769" s="137">
        <f>_xlfn.XLOOKUP(FME_Ranking1[[#This Row],[FME ID]],FME_Input[FME_ID],FME_Input[CRITFAC100])</f>
        <v>0</v>
      </c>
      <c r="S1769" s="230">
        <f>(FME_Ranking1[[#This Row],[Critical Facilities Raw]]/$R$2)*100</f>
        <v>0</v>
      </c>
      <c r="T1769" s="180">
        <f>FME_Ranking1[[#This Row],[Critical Facilities Score (Normalized, Unweighted)]]*$R$3</f>
        <v>0</v>
      </c>
      <c r="U1769">
        <f>_xlfn.XLOOKUP(FME_Ranking1[[#This Row],[FME ID]],FME_Input[FME_ID],FME_Input[LWC])</f>
        <v>0</v>
      </c>
      <c r="V1769" s="178">
        <f>(FME_Ranking1[[#This Row],[LWC Raw]]/$U$2)*100</f>
        <v>0</v>
      </c>
      <c r="W1769" s="178">
        <f>FME_Ranking1[[#This Row],[LWC Score (Normalized, Unweighted)]]*$U$3</f>
        <v>0</v>
      </c>
      <c r="X1769" s="246">
        <f>_xlfn.XLOOKUP(FME_Ranking1[[#This Row],[FME ID]],FME_Input[FME_ID],FME_Input[ROADCLS])</f>
        <v>0</v>
      </c>
      <c r="Y1769" s="230">
        <f>(FME_Ranking1[[#This Row],[Closures Raw]]/$X$2)*100</f>
        <v>0</v>
      </c>
      <c r="Z1769" s="180">
        <f>FME_Ranking1[[#This Row],[Closures Score (Normalized, Unweighted)]]*$X$3</f>
        <v>0</v>
      </c>
      <c r="AA1769" s="253">
        <f>_xlfn.XLOOKUP(FME_Ranking1[[#This Row],[FME ID]],FME_Input[FME_ID],FME_Input[ROAD_MILES100])</f>
        <v>0.21681888401508331</v>
      </c>
      <c r="AB1769" s="178">
        <f>(FME_Ranking1[[#This Row],[Miles Raw]]/$AA$2)*100</f>
        <v>2.8507794418733438E-3</v>
      </c>
      <c r="AC1769" s="178">
        <f>FME_Ranking1[[#This Row],[Miles Score (Normalized, Unweighted)]]*$AA$3</f>
        <v>2.8507794418733439E-4</v>
      </c>
      <c r="AD1769" s="255">
        <f>_xlfn.XLOOKUP(FME_Ranking1[[#This Row],[FME ID]],FME_Input[FME_ID],FME_Input[FARMACRE100])</f>
        <v>1.2274031639099121</v>
      </c>
      <c r="AE1769" s="230">
        <f>(FME_Ranking1[[#This Row],[Ag Land Raw]]/$AD$2)*100</f>
        <v>5.0612612004853096E-5</v>
      </c>
      <c r="AF1769" s="231">
        <f>FME_Ranking1[[#This Row],[Ag Land Score (Normalized, Unweighted)]]*$AD$3</f>
        <v>2.530630600242655E-6</v>
      </c>
      <c r="AG176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6.8005133368774888E-3</v>
      </c>
      <c r="AH1769" s="406">
        <f t="shared" si="27"/>
        <v>1802</v>
      </c>
      <c r="AI176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6.8005133368774888E-3</v>
      </c>
      <c r="AJ1769" s="257">
        <f>FME_Ranking1[[#This Row],[Addition check]]-FME_Ranking1[[#This Row],[Weighted Score Based on Normalized Reported Factors]]</f>
        <v>0</v>
      </c>
      <c r="AK1769" s="178">
        <f>_xlfn.RANK.EQ(AI1769,$AI$6:$AI$2341,0)+COUNTIF($AI$6:AI1769,AI1769)-1</f>
        <v>1804</v>
      </c>
    </row>
    <row r="1770" spans="1:37" x14ac:dyDescent="0.25">
      <c r="A1770" t="s">
        <v>1504</v>
      </c>
      <c r="B1770">
        <f>_xlfn.XLOOKUP(FME_Ranking1[[#This Row],[FME ID]],FME_Input[FME_ID],FME_Input[RFPG_NUM])</f>
        <v>6</v>
      </c>
      <c r="C1770" t="str">
        <f>_xlfn.XLOOKUP(FME_Ranking1[[#This Row],[FME ID]],FME_Input[FME_ID],FME_Input[FME_NAME])</f>
        <v>City of Arcola  Master Drainage Plan</v>
      </c>
      <c r="D1770" t="str">
        <f>_xlfn.XLOOKUP(FME_Ranking1[[#This Row],[FME ID]],FME_Input[FME_ID],FME_Input[DESCR])</f>
        <v>Study to develop Master Drainage Plan using future and existing land use and flood/storm water drainage needs including Atlas 14 rainfall.</v>
      </c>
      <c r="E1770" s="256">
        <f>_xlfn.XLOOKUP(FME_Ranking1[[#This Row],[FME ID]],FME_Input[FME_ID],FME_Input[FME_COST])</f>
        <v>200000</v>
      </c>
      <c r="F1770" t="str">
        <f>_xlfn.XLOOKUP(FME_Ranking1[[#This Row],[FME ID]],FME_Input[FME_ID],FME_Input[EMER_NEED])</f>
        <v>No</v>
      </c>
      <c r="G1770">
        <f>IF(FME_Ranking!F1770="Yes",100,0)</f>
        <v>0</v>
      </c>
      <c r="H1770">
        <f>FME_Ranking1[[#This Row],[Emergency Need Score (Normalized, Unweighted)]]*$F$3</f>
        <v>0</v>
      </c>
      <c r="I1770" s="246">
        <f>_xlfn.XLOOKUP(FME_Ranking1[[#This Row],[FME ID]],FME_Input[FME_ID],FME_Input[STRUCT_100])</f>
        <v>41</v>
      </c>
      <c r="J1770" s="178">
        <f>(FME_Ranking1[[#This Row],[Structures 100 Raw]]/I$2)*100</f>
        <v>2.1955189992717301E-2</v>
      </c>
      <c r="K1770" s="178">
        <f>FME_Ranking1[[#This Row],[Structures 100  Score (Normalized, Unweighted)]]*$I$3</f>
        <v>3.2932784989075951E-3</v>
      </c>
      <c r="L1770" s="246">
        <f>_xlfn.XLOOKUP(FME_Ranking1[[#This Row],[FME ID]],FME_Input[FME_ID],FME_Input[RES_STRUCT100])</f>
        <v>37</v>
      </c>
      <c r="M1770" s="230">
        <f>(FME_Ranking1[[#This Row],[Res Structures Raw]]/L$2)*100</f>
        <v>2.6207306880480515E-2</v>
      </c>
      <c r="N1770" s="180">
        <f>FME_Ranking1[[#This Row],[Res Structures Score (Normalized, Unweighted)]]*$L$3</f>
        <v>2.6207306880480516E-3</v>
      </c>
      <c r="O1770" s="244">
        <f>_xlfn.XLOOKUP(FME_Ranking1[[#This Row],[FME ID]],FME_Input[FME_ID],FME_Input[POP100])</f>
        <v>39</v>
      </c>
      <c r="P1770" s="178">
        <f>(FME_Ranking1[[#This Row],[Pop Raw]]/$O$2)*100</f>
        <v>3.9926371675617685E-3</v>
      </c>
      <c r="Q1770" s="178">
        <f>FME_Ranking1[[#This Row],[Pop Score (Normalized, Unweighted)]]*$O$3</f>
        <v>5.988955751342653E-4</v>
      </c>
      <c r="R1770" s="137">
        <f>_xlfn.XLOOKUP(FME_Ranking1[[#This Row],[FME ID]],FME_Input[FME_ID],FME_Input[CRITFAC100])</f>
        <v>0</v>
      </c>
      <c r="S1770" s="230">
        <f>(FME_Ranking1[[#This Row],[Critical Facilities Raw]]/$R$2)*100</f>
        <v>0</v>
      </c>
      <c r="T1770" s="180">
        <f>FME_Ranking1[[#This Row],[Critical Facilities Score (Normalized, Unweighted)]]*$R$3</f>
        <v>0</v>
      </c>
      <c r="U1770">
        <f>_xlfn.XLOOKUP(FME_Ranking1[[#This Row],[FME ID]],FME_Input[FME_ID],FME_Input[LWC])</f>
        <v>0</v>
      </c>
      <c r="V1770" s="178">
        <f>(FME_Ranking1[[#This Row],[LWC Raw]]/$U$2)*100</f>
        <v>0</v>
      </c>
      <c r="W1770" s="178">
        <f>FME_Ranking1[[#This Row],[LWC Score (Normalized, Unweighted)]]*$U$3</f>
        <v>0</v>
      </c>
      <c r="X1770" s="246">
        <f>_xlfn.XLOOKUP(FME_Ranking1[[#This Row],[FME ID]],FME_Input[FME_ID],FME_Input[ROADCLS])</f>
        <v>0</v>
      </c>
      <c r="Y1770" s="230">
        <f>(FME_Ranking1[[#This Row],[Closures Raw]]/$X$2)*100</f>
        <v>0</v>
      </c>
      <c r="Z1770" s="180">
        <f>FME_Ranking1[[#This Row],[Closures Score (Normalized, Unweighted)]]*$X$3</f>
        <v>0</v>
      </c>
      <c r="AA1770" s="253">
        <f>_xlfn.XLOOKUP(FME_Ranking1[[#This Row],[FME ID]],FME_Input[FME_ID],FME_Input[ROAD_MILES100])</f>
        <v>0.21681888401508331</v>
      </c>
      <c r="AB1770" s="178">
        <f>(FME_Ranking1[[#This Row],[Miles Raw]]/$AA$2)*100</f>
        <v>2.8507794418733438E-3</v>
      </c>
      <c r="AC1770" s="178">
        <f>FME_Ranking1[[#This Row],[Miles Score (Normalized, Unweighted)]]*$AA$3</f>
        <v>2.8507794418733439E-4</v>
      </c>
      <c r="AD1770" s="255">
        <f>_xlfn.XLOOKUP(FME_Ranking1[[#This Row],[FME ID]],FME_Input[FME_ID],FME_Input[FARMACRE100])</f>
        <v>1.2274031639099121</v>
      </c>
      <c r="AE1770" s="230">
        <f>(FME_Ranking1[[#This Row],[Ag Land Raw]]/$AD$2)*100</f>
        <v>5.0612612004853096E-5</v>
      </c>
      <c r="AF1770" s="231">
        <f>FME_Ranking1[[#This Row],[Ag Land Score (Normalized, Unweighted)]]*$AD$3</f>
        <v>2.530630600242655E-6</v>
      </c>
      <c r="AG177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6.8005133368774888E-3</v>
      </c>
      <c r="AH1770" s="406">
        <f t="shared" si="27"/>
        <v>1802</v>
      </c>
      <c r="AI177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6.8005133368774888E-3</v>
      </c>
      <c r="AJ1770" s="257">
        <f>FME_Ranking1[[#This Row],[Addition check]]-FME_Ranking1[[#This Row],[Weighted Score Based on Normalized Reported Factors]]</f>
        <v>0</v>
      </c>
      <c r="AK1770" s="178">
        <f>_xlfn.RANK.EQ(AI1770,$AI$6:$AI$2341,0)+COUNTIF($AI$6:AI1770,AI1770)-1</f>
        <v>1805</v>
      </c>
    </row>
    <row r="1771" spans="1:37" x14ac:dyDescent="0.25">
      <c r="A1771" t="s">
        <v>882</v>
      </c>
      <c r="B1771">
        <f>_xlfn.XLOOKUP(FME_Ranking1[[#This Row],[FME ID]],FME_Input[FME_ID],FME_Input[RFPG_NUM])</f>
        <v>6</v>
      </c>
      <c r="C1771" t="str">
        <f>_xlfn.XLOOKUP(FME_Ranking1[[#This Row],[FME ID]],FME_Input[FME_ID],FME_Input[FME_NAME])</f>
        <v>City of Arcola Regional Drainage Improvements</v>
      </c>
      <c r="D1771" t="str">
        <f>_xlfn.XLOOKUP(FME_Ranking1[[#This Row],[FME ID]],FME_Input[FME_ID],FME_Input[DESCR])</f>
        <v>Further study of proposed flood risk reduction project that includes various drainage improvement alternatives.</v>
      </c>
      <c r="E1771" s="256">
        <f>_xlfn.XLOOKUP(FME_Ranking1[[#This Row],[FME ID]],FME_Input[FME_ID],FME_Input[FME_COST])</f>
        <v>233000</v>
      </c>
      <c r="F1771" t="str">
        <f>_xlfn.XLOOKUP(FME_Ranking1[[#This Row],[FME ID]],FME_Input[FME_ID],FME_Input[EMER_NEED])</f>
        <v>No</v>
      </c>
      <c r="G1771">
        <f>IF(FME_Ranking!F1771="Yes",100,0)</f>
        <v>0</v>
      </c>
      <c r="H1771">
        <f>FME_Ranking1[[#This Row],[Emergency Need Score (Normalized, Unweighted)]]*$F$3</f>
        <v>0</v>
      </c>
      <c r="I1771" s="246">
        <f>_xlfn.XLOOKUP(FME_Ranking1[[#This Row],[FME ID]],FME_Input[FME_ID],FME_Input[STRUCT_100])</f>
        <v>41</v>
      </c>
      <c r="J1771" s="178">
        <f>(FME_Ranking1[[#This Row],[Structures 100 Raw]]/I$2)*100</f>
        <v>2.1955189992717301E-2</v>
      </c>
      <c r="K1771" s="178">
        <f>FME_Ranking1[[#This Row],[Structures 100  Score (Normalized, Unweighted)]]*$I$3</f>
        <v>3.2932784989075951E-3</v>
      </c>
      <c r="L1771" s="246">
        <f>_xlfn.XLOOKUP(FME_Ranking1[[#This Row],[FME ID]],FME_Input[FME_ID],FME_Input[RES_STRUCT100])</f>
        <v>37</v>
      </c>
      <c r="M1771" s="230">
        <f>(FME_Ranking1[[#This Row],[Res Structures Raw]]/L$2)*100</f>
        <v>2.6207306880480515E-2</v>
      </c>
      <c r="N1771" s="180">
        <f>FME_Ranking1[[#This Row],[Res Structures Score (Normalized, Unweighted)]]*$L$3</f>
        <v>2.6207306880480516E-3</v>
      </c>
      <c r="O1771" s="244">
        <f>_xlfn.XLOOKUP(FME_Ranking1[[#This Row],[FME ID]],FME_Input[FME_ID],FME_Input[POP100])</f>
        <v>39</v>
      </c>
      <c r="P1771" s="178">
        <f>(FME_Ranking1[[#This Row],[Pop Raw]]/$O$2)*100</f>
        <v>3.9926371675617685E-3</v>
      </c>
      <c r="Q1771" s="178">
        <f>FME_Ranking1[[#This Row],[Pop Score (Normalized, Unweighted)]]*$O$3</f>
        <v>5.988955751342653E-4</v>
      </c>
      <c r="R1771" s="137">
        <f>_xlfn.XLOOKUP(FME_Ranking1[[#This Row],[FME ID]],FME_Input[FME_ID],FME_Input[CRITFAC100])</f>
        <v>0</v>
      </c>
      <c r="S1771" s="230">
        <f>(FME_Ranking1[[#This Row],[Critical Facilities Raw]]/$R$2)*100</f>
        <v>0</v>
      </c>
      <c r="T1771" s="180">
        <f>FME_Ranking1[[#This Row],[Critical Facilities Score (Normalized, Unweighted)]]*$R$3</f>
        <v>0</v>
      </c>
      <c r="U1771">
        <f>_xlfn.XLOOKUP(FME_Ranking1[[#This Row],[FME ID]],FME_Input[FME_ID],FME_Input[LWC])</f>
        <v>0</v>
      </c>
      <c r="V1771" s="178">
        <f>(FME_Ranking1[[#This Row],[LWC Raw]]/$U$2)*100</f>
        <v>0</v>
      </c>
      <c r="W1771" s="178">
        <f>FME_Ranking1[[#This Row],[LWC Score (Normalized, Unweighted)]]*$U$3</f>
        <v>0</v>
      </c>
      <c r="X1771" s="246">
        <f>_xlfn.XLOOKUP(FME_Ranking1[[#This Row],[FME ID]],FME_Input[FME_ID],FME_Input[ROADCLS])</f>
        <v>0</v>
      </c>
      <c r="Y1771" s="230">
        <f>(FME_Ranking1[[#This Row],[Closures Raw]]/$X$2)*100</f>
        <v>0</v>
      </c>
      <c r="Z1771" s="180">
        <f>FME_Ranking1[[#This Row],[Closures Score (Normalized, Unweighted)]]*$X$3</f>
        <v>0</v>
      </c>
      <c r="AA1771" s="253">
        <f>_xlfn.XLOOKUP(FME_Ranking1[[#This Row],[FME ID]],FME_Input[FME_ID],FME_Input[ROAD_MILES100])</f>
        <v>0.21681888401508331</v>
      </c>
      <c r="AB1771" s="178">
        <f>(FME_Ranking1[[#This Row],[Miles Raw]]/$AA$2)*100</f>
        <v>2.8507794418733438E-3</v>
      </c>
      <c r="AC1771" s="178">
        <f>FME_Ranking1[[#This Row],[Miles Score (Normalized, Unweighted)]]*$AA$3</f>
        <v>2.8507794418733439E-4</v>
      </c>
      <c r="AD1771" s="255">
        <f>_xlfn.XLOOKUP(FME_Ranking1[[#This Row],[FME ID]],FME_Input[FME_ID],FME_Input[FARMACRE100])</f>
        <v>1.2274031639099121</v>
      </c>
      <c r="AE1771" s="230">
        <f>(FME_Ranking1[[#This Row],[Ag Land Raw]]/$AD$2)*100</f>
        <v>5.0612612004853096E-5</v>
      </c>
      <c r="AF1771" s="231">
        <f>FME_Ranking1[[#This Row],[Ag Land Score (Normalized, Unweighted)]]*$AD$3</f>
        <v>2.530630600242655E-6</v>
      </c>
      <c r="AG177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6.8005133368774888E-3</v>
      </c>
      <c r="AH1771" s="406">
        <f t="shared" si="27"/>
        <v>1802</v>
      </c>
      <c r="AI177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6.8005133368774888E-3</v>
      </c>
      <c r="AJ1771" s="257">
        <f>FME_Ranking1[[#This Row],[Addition check]]-FME_Ranking1[[#This Row],[Weighted Score Based on Normalized Reported Factors]]</f>
        <v>0</v>
      </c>
      <c r="AK1771" s="178">
        <f>_xlfn.RANK.EQ(AI1771,$AI$6:$AI$2341,0)+COUNTIF($AI$6:AI1771,AI1771)-1</f>
        <v>1806</v>
      </c>
    </row>
    <row r="1772" spans="1:37" x14ac:dyDescent="0.25">
      <c r="A1772" t="s">
        <v>6321</v>
      </c>
      <c r="B1772">
        <f>_xlfn.XLOOKUP(FME_Ranking1[[#This Row],[FME ID]],FME_Input[FME_ID],FME_Input[RFPG_NUM])</f>
        <v>5</v>
      </c>
      <c r="C1772" t="str">
        <f>_xlfn.XLOOKUP(FME_Ranking1[[#This Row],[FME ID]],FME_Input[FME_ID],FME_Input[FME_NAME])</f>
        <v>South Park Diversion</v>
      </c>
      <c r="D1772" t="str">
        <f>_xlfn.XLOOKUP(FME_Ranking1[[#This Row],[FME ID]],FME_Input[FME_ID],FME_Input[DESCR])</f>
        <v xml:space="preserve">H&amp;H study to identify alternatives for a diversion to the Neches River. </v>
      </c>
      <c r="E1772" s="256">
        <f>_xlfn.XLOOKUP(FME_Ranking1[[#This Row],[FME ID]],FME_Input[FME_ID],FME_Input[FME_COST])</f>
        <v>100000</v>
      </c>
      <c r="F1772" t="str">
        <f>_xlfn.XLOOKUP(FME_Ranking1[[#This Row],[FME ID]],FME_Input[FME_ID],FME_Input[EMER_NEED])</f>
        <v>Yes</v>
      </c>
      <c r="G1772">
        <f>IF(FME_Ranking!F1772="Yes",100,0)</f>
        <v>100</v>
      </c>
      <c r="H1772">
        <f>FME_Ranking1[[#This Row],[Emergency Need Score (Normalized, Unweighted)]]*$F$3</f>
        <v>0</v>
      </c>
      <c r="I1772" s="246">
        <f>_xlfn.XLOOKUP(FME_Ranking1[[#This Row],[FME ID]],FME_Input[FME_ID],FME_Input[STRUCT_100])</f>
        <v>16</v>
      </c>
      <c r="J1772" s="178">
        <f>(FME_Ranking1[[#This Row],[Structures 100 Raw]]/I$2)*100</f>
        <v>8.5678790215482168E-3</v>
      </c>
      <c r="K1772" s="178">
        <f>FME_Ranking1[[#This Row],[Structures 100  Score (Normalized, Unweighted)]]*$I$3</f>
        <v>1.2851818532322325E-3</v>
      </c>
      <c r="L1772" s="246">
        <f>_xlfn.XLOOKUP(FME_Ranking1[[#This Row],[FME ID]],FME_Input[FME_ID],FME_Input[RES_STRUCT100])</f>
        <v>11</v>
      </c>
      <c r="M1772" s="230">
        <f>(FME_Ranking1[[#This Row],[Res Structures Raw]]/L$2)*100</f>
        <v>7.7913615050077207E-3</v>
      </c>
      <c r="N1772" s="180">
        <f>FME_Ranking1[[#This Row],[Res Structures Score (Normalized, Unweighted)]]*$L$3</f>
        <v>7.7913615050077215E-4</v>
      </c>
      <c r="O1772" s="244">
        <f>_xlfn.XLOOKUP(FME_Ranking1[[#This Row],[FME ID]],FME_Input[FME_ID],FME_Input[POP100])</f>
        <v>271</v>
      </c>
      <c r="P1772" s="178">
        <f>(FME_Ranking1[[#This Row],[Pop Raw]]/$O$2)*100</f>
        <v>2.7743709548954852E-2</v>
      </c>
      <c r="Q1772" s="178">
        <f>FME_Ranking1[[#This Row],[Pop Score (Normalized, Unweighted)]]*$O$3</f>
        <v>4.1615564323432275E-3</v>
      </c>
      <c r="R1772" s="137">
        <f>_xlfn.XLOOKUP(FME_Ranking1[[#This Row],[FME ID]],FME_Input[FME_ID],FME_Input[CRITFAC100])</f>
        <v>0</v>
      </c>
      <c r="S1772" s="230">
        <f>(FME_Ranking1[[#This Row],[Critical Facilities Raw]]/$R$2)*100</f>
        <v>0</v>
      </c>
      <c r="T1772" s="180">
        <f>FME_Ranking1[[#This Row],[Critical Facilities Score (Normalized, Unweighted)]]*$R$3</f>
        <v>0</v>
      </c>
      <c r="U1772">
        <f>_xlfn.XLOOKUP(FME_Ranking1[[#This Row],[FME ID]],FME_Input[FME_ID],FME_Input[LWC])</f>
        <v>0</v>
      </c>
      <c r="V1772" s="178">
        <f>(FME_Ranking1[[#This Row],[LWC Raw]]/$U$2)*100</f>
        <v>0</v>
      </c>
      <c r="W1772" s="178">
        <f>FME_Ranking1[[#This Row],[LWC Score (Normalized, Unweighted)]]*$U$3</f>
        <v>0</v>
      </c>
      <c r="X1772" s="246">
        <f>_xlfn.XLOOKUP(FME_Ranking1[[#This Row],[FME ID]],FME_Input[FME_ID],FME_Input[ROADCLS])</f>
        <v>0</v>
      </c>
      <c r="Y1772" s="230">
        <f>(FME_Ranking1[[#This Row],[Closures Raw]]/$X$2)*100</f>
        <v>0</v>
      </c>
      <c r="Z1772" s="180">
        <f>FME_Ranking1[[#This Row],[Closures Score (Normalized, Unweighted)]]*$X$3</f>
        <v>0</v>
      </c>
      <c r="AA1772" s="253">
        <f>_xlfn.XLOOKUP(FME_Ranking1[[#This Row],[FME ID]],FME_Input[FME_ID],FME_Input[ROAD_MILES100])</f>
        <v>0.58664149045944214</v>
      </c>
      <c r="AB1772" s="178">
        <f>(FME_Ranking1[[#This Row],[Miles Raw]]/$AA$2)*100</f>
        <v>7.7132834086323073E-3</v>
      </c>
      <c r="AC1772" s="178">
        <f>FME_Ranking1[[#This Row],[Miles Score (Normalized, Unweighted)]]*$AA$3</f>
        <v>7.7132834086323081E-4</v>
      </c>
      <c r="AD1772" s="255">
        <f>_xlfn.XLOOKUP(FME_Ranking1[[#This Row],[FME ID]],FME_Input[FME_ID],FME_Input[FARMACRE100])</f>
        <v>0.1599830687046051</v>
      </c>
      <c r="AE1772" s="230">
        <f>(FME_Ranking1[[#This Row],[Ag Land Raw]]/$AD$2)*100</f>
        <v>6.5969855885806101E-6</v>
      </c>
      <c r="AF1772" s="231">
        <f>FME_Ranking1[[#This Row],[Ag Land Score (Normalized, Unweighted)]]*$AD$3</f>
        <v>3.2984927942903054E-7</v>
      </c>
      <c r="AG177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6.9975326262188917E-3</v>
      </c>
      <c r="AH1772" s="406">
        <f t="shared" si="27"/>
        <v>1799</v>
      </c>
      <c r="AI177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6.9975326262188917E-3</v>
      </c>
      <c r="AJ1772" s="257">
        <f>FME_Ranking1[[#This Row],[Addition check]]-FME_Ranking1[[#This Row],[Weighted Score Based on Normalized Reported Factors]]</f>
        <v>0</v>
      </c>
      <c r="AK1772" s="178">
        <f>_xlfn.RANK.EQ(AI1772,$AI$6:$AI$2341,0)+COUNTIF($AI$6:AI1772,AI1772)-1</f>
        <v>1799</v>
      </c>
    </row>
    <row r="1773" spans="1:37" x14ac:dyDescent="0.25">
      <c r="A1773" t="s">
        <v>10181</v>
      </c>
      <c r="B1773">
        <f>_xlfn.XLOOKUP(FME_Ranking1[[#This Row],[FME ID]],FME_Input[FME_ID],FME_Input[RFPG_NUM])</f>
        <v>13</v>
      </c>
      <c r="C1773" t="str">
        <f>_xlfn.XLOOKUP(FME_Ranking1[[#This Row],[FME ID]],FME_Input[FME_ID],FME_Input[FME_NAME])</f>
        <v>Concepcion Drainage Improvements</v>
      </c>
      <c r="D1773" t="str">
        <f>_xlfn.XLOOKUP(FME_Ranking1[[#This Row],[FME ID]],FME_Input[FME_ID],FME_Input[DESCR])</f>
        <v>Improvements to  drainage infrastructure in Concepcion</v>
      </c>
      <c r="E1773" s="256">
        <f>_xlfn.XLOOKUP(FME_Ranking1[[#This Row],[FME ID]],FME_Input[FME_ID],FME_Input[FME_COST])</f>
        <v>150000</v>
      </c>
      <c r="F1773" t="str">
        <f>_xlfn.XLOOKUP(FME_Ranking1[[#This Row],[FME ID]],FME_Input[FME_ID],FME_Input[EMER_NEED])</f>
        <v>Yes</v>
      </c>
      <c r="G1773">
        <f>IF(FME_Ranking!F1773="Yes",100,0)</f>
        <v>100</v>
      </c>
      <c r="H1773">
        <f>FME_Ranking1[[#This Row],[Emergency Need Score (Normalized, Unweighted)]]*$F$3</f>
        <v>0</v>
      </c>
      <c r="I1773" s="246">
        <f>_xlfn.XLOOKUP(FME_Ranking1[[#This Row],[FME ID]],FME_Input[FME_ID],FME_Input[STRUCT_100])</f>
        <v>16</v>
      </c>
      <c r="J1773" s="178">
        <f>(FME_Ranking1[[#This Row],[Structures 100 Raw]]/I$2)*100</f>
        <v>8.5678790215482168E-3</v>
      </c>
      <c r="K1773" s="178">
        <f>FME_Ranking1[[#This Row],[Structures 100  Score (Normalized, Unweighted)]]*$I$3</f>
        <v>1.2851818532322325E-3</v>
      </c>
      <c r="L1773" s="246">
        <f>_xlfn.XLOOKUP(FME_Ranking1[[#This Row],[FME ID]],FME_Input[FME_ID],FME_Input[RES_STRUCT100])</f>
        <v>1</v>
      </c>
      <c r="M1773" s="230">
        <f>(FME_Ranking1[[#This Row],[Res Structures Raw]]/L$2)*100</f>
        <v>7.0830559136433825E-4</v>
      </c>
      <c r="N1773" s="180">
        <f>FME_Ranking1[[#This Row],[Res Structures Score (Normalized, Unweighted)]]*$L$3</f>
        <v>7.0830559136433833E-5</v>
      </c>
      <c r="O1773" s="244">
        <f>_xlfn.XLOOKUP(FME_Ranking1[[#This Row],[FME ID]],FME_Input[FME_ID],FME_Input[POP100])</f>
        <v>5</v>
      </c>
      <c r="P1773" s="178">
        <f>(FME_Ranking1[[#This Row],[Pop Raw]]/$O$2)*100</f>
        <v>5.1187655994381644E-4</v>
      </c>
      <c r="Q1773" s="178">
        <f>FME_Ranking1[[#This Row],[Pop Score (Normalized, Unweighted)]]*$O$3</f>
        <v>7.6781483991572469E-5</v>
      </c>
      <c r="R1773" s="137">
        <f>_xlfn.XLOOKUP(FME_Ranking1[[#This Row],[FME ID]],FME_Input[FME_ID],FME_Input[CRITFAC100])</f>
        <v>0</v>
      </c>
      <c r="S1773" s="230">
        <f>(FME_Ranking1[[#This Row],[Critical Facilities Raw]]/$R$2)*100</f>
        <v>0</v>
      </c>
      <c r="T1773" s="180">
        <f>FME_Ranking1[[#This Row],[Critical Facilities Score (Normalized, Unweighted)]]*$R$3</f>
        <v>0</v>
      </c>
      <c r="U1773">
        <f>_xlfn.XLOOKUP(FME_Ranking1[[#This Row],[FME ID]],FME_Input[FME_ID],FME_Input[LWC])</f>
        <v>0</v>
      </c>
      <c r="V1773" s="178">
        <f>(FME_Ranking1[[#This Row],[LWC Raw]]/$U$2)*100</f>
        <v>0</v>
      </c>
      <c r="W1773" s="178">
        <f>FME_Ranking1[[#This Row],[LWC Score (Normalized, Unweighted)]]*$U$3</f>
        <v>0</v>
      </c>
      <c r="X1773" s="246">
        <f>_xlfn.XLOOKUP(FME_Ranking1[[#This Row],[FME ID]],FME_Input[FME_ID],FME_Input[ROADCLS])</f>
        <v>9</v>
      </c>
      <c r="Y1773" s="230">
        <f>(FME_Ranking1[[#This Row],[Closures Raw]]/$X$2)*100</f>
        <v>9.462727368310378E-2</v>
      </c>
      <c r="Z1773" s="180">
        <f>FME_Ranking1[[#This Row],[Closures Score (Normalized, Unweighted)]]*$X$3</f>
        <v>4.7313636841551897E-3</v>
      </c>
      <c r="AA1773" s="253">
        <f>_xlfn.XLOOKUP(FME_Ranking1[[#This Row],[FME ID]],FME_Input[FME_ID],FME_Input[ROAD_MILES100])</f>
        <v>2.9818398952484131</v>
      </c>
      <c r="AB1773" s="178">
        <f>(FME_Ranking1[[#This Row],[Miles Raw]]/$AA$2)*100</f>
        <v>3.9205846441588484E-2</v>
      </c>
      <c r="AC1773" s="178">
        <f>FME_Ranking1[[#This Row],[Miles Score (Normalized, Unweighted)]]*$AA$3</f>
        <v>3.9205846441588482E-3</v>
      </c>
      <c r="AD1773" s="255">
        <f>_xlfn.XLOOKUP(FME_Ranking1[[#This Row],[FME ID]],FME_Input[FME_ID],FME_Input[FARMACRE100])</f>
        <v>17.063089370727539</v>
      </c>
      <c r="AE1773" s="230">
        <f>(FME_Ranking1[[#This Row],[Ag Land Raw]]/$AD$2)*100</f>
        <v>7.0360542266628223E-4</v>
      </c>
      <c r="AF1773" s="231">
        <f>FME_Ranking1[[#This Row],[Ag Land Score (Normalized, Unweighted)]]*$AD$3</f>
        <v>3.5180271133314116E-5</v>
      </c>
      <c r="AG177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1.0119922495807591E-2</v>
      </c>
      <c r="AH1773" s="406">
        <f t="shared" si="27"/>
        <v>1753</v>
      </c>
      <c r="AI177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1.0119922495807591E-2</v>
      </c>
      <c r="AJ1773" s="257">
        <f>FME_Ranking1[[#This Row],[Addition check]]-FME_Ranking1[[#This Row],[Weighted Score Based on Normalized Reported Factors]]</f>
        <v>0</v>
      </c>
      <c r="AK1773" s="178">
        <f>_xlfn.RANK.EQ(AI1773,$AI$6:$AI$2341,0)+COUNTIF($AI$6:AI1773,AI1773)-1</f>
        <v>1753</v>
      </c>
    </row>
    <row r="1774" spans="1:37" x14ac:dyDescent="0.25">
      <c r="A1774" t="s">
        <v>11058</v>
      </c>
      <c r="B1774">
        <f>_xlfn.XLOOKUP(FME_Ranking1[[#This Row],[FME ID]],FME_Input[FME_ID],FME_Input[RFPG_NUM])</f>
        <v>15</v>
      </c>
      <c r="C1774" t="str">
        <f>_xlfn.XLOOKUP(FME_Ranking1[[#This Row],[FME ID]],FME_Input[FME_ID],FME_Input[FME_NAME])</f>
        <v>Risk Area 2 Treasure Hills</v>
      </c>
      <c r="D1774" t="str">
        <f>_xlfn.XLOOKUP(FME_Ranking1[[#This Row],[FME ID]],FME_Input[FME_ID],FME_Input[DESCR])</f>
        <v>Project includes constructing a 4' deep trapezoidal concrete channel with 8' bottom width and 2:1 side slopes, from detention pond outfall to existing culverts.</v>
      </c>
      <c r="E1774" s="256">
        <f>_xlfn.XLOOKUP(FME_Ranking1[[#This Row],[FME ID]],FME_Input[FME_ID],FME_Input[FME_COST])</f>
        <v>89595</v>
      </c>
      <c r="F1774" t="str">
        <f>_xlfn.XLOOKUP(FME_Ranking1[[#This Row],[FME ID]],FME_Input[FME_ID],FME_Input[EMER_NEED])</f>
        <v>Yes</v>
      </c>
      <c r="G1774">
        <f>IF(FME_Ranking!F1774="Yes",100,0)</f>
        <v>100</v>
      </c>
      <c r="H1774">
        <f>FME_Ranking1[[#This Row],[Emergency Need Score (Normalized, Unweighted)]]*$F$3</f>
        <v>0</v>
      </c>
      <c r="I1774" s="246">
        <f>_xlfn.XLOOKUP(FME_Ranking1[[#This Row],[FME ID]],FME_Input[FME_ID],FME_Input[STRUCT_100])</f>
        <v>0</v>
      </c>
      <c r="J1774" s="178">
        <f>(FME_Ranking1[[#This Row],[Structures 100 Raw]]/I$2)*100</f>
        <v>0</v>
      </c>
      <c r="K1774" s="178">
        <f>FME_Ranking1[[#This Row],[Structures 100  Score (Normalized, Unweighted)]]*$I$3</f>
        <v>0</v>
      </c>
      <c r="L1774" s="246">
        <f>_xlfn.XLOOKUP(FME_Ranking1[[#This Row],[FME ID]],FME_Input[FME_ID],FME_Input[RES_STRUCT100])</f>
        <v>26</v>
      </c>
      <c r="M1774" s="230">
        <f>(FME_Ranking1[[#This Row],[Res Structures Raw]]/L$2)*100</f>
        <v>1.8415945375472795E-2</v>
      </c>
      <c r="N1774" s="180">
        <f>FME_Ranking1[[#This Row],[Res Structures Score (Normalized, Unweighted)]]*$L$3</f>
        <v>1.8415945375472795E-3</v>
      </c>
      <c r="O1774" s="244">
        <f>_xlfn.XLOOKUP(FME_Ranking1[[#This Row],[FME ID]],FME_Input[FME_ID],FME_Input[POP100])</f>
        <v>268</v>
      </c>
      <c r="P1774" s="178">
        <f>(FME_Ranking1[[#This Row],[Pop Raw]]/$O$2)*100</f>
        <v>2.743658361298856E-2</v>
      </c>
      <c r="Q1774" s="178">
        <f>FME_Ranking1[[#This Row],[Pop Score (Normalized, Unweighted)]]*$O$3</f>
        <v>4.1154875419482841E-3</v>
      </c>
      <c r="R1774" s="137">
        <f>_xlfn.XLOOKUP(FME_Ranking1[[#This Row],[FME ID]],FME_Input[FME_ID],FME_Input[CRITFAC100])</f>
        <v>0</v>
      </c>
      <c r="S1774" s="230">
        <f>(FME_Ranking1[[#This Row],[Critical Facilities Raw]]/$R$2)*100</f>
        <v>0</v>
      </c>
      <c r="T1774" s="180">
        <f>FME_Ranking1[[#This Row],[Critical Facilities Score (Normalized, Unweighted)]]*$R$3</f>
        <v>0</v>
      </c>
      <c r="U1774">
        <f>_xlfn.XLOOKUP(FME_Ranking1[[#This Row],[FME ID]],FME_Input[FME_ID],FME_Input[LWC])</f>
        <v>0</v>
      </c>
      <c r="V1774" s="178">
        <f>(FME_Ranking1[[#This Row],[LWC Raw]]/$U$2)*100</f>
        <v>0</v>
      </c>
      <c r="W1774" s="178">
        <f>FME_Ranking1[[#This Row],[LWC Score (Normalized, Unweighted)]]*$U$3</f>
        <v>0</v>
      </c>
      <c r="X1774" s="246">
        <f>_xlfn.XLOOKUP(FME_Ranking1[[#This Row],[FME ID]],FME_Input[FME_ID],FME_Input[ROADCLS])</f>
        <v>0</v>
      </c>
      <c r="Y1774" s="230">
        <f>(FME_Ranking1[[#This Row],[Closures Raw]]/$X$2)*100</f>
        <v>0</v>
      </c>
      <c r="Z1774" s="180">
        <f>FME_Ranking1[[#This Row],[Closures Score (Normalized, Unweighted)]]*$X$3</f>
        <v>0</v>
      </c>
      <c r="AA1774" s="253">
        <f>_xlfn.XLOOKUP(FME_Ranking1[[#This Row],[FME ID]],FME_Input[FME_ID],FME_Input[ROAD_MILES100])</f>
        <v>5.1105799674987793</v>
      </c>
      <c r="AB1774" s="178">
        <f>(FME_Ranking1[[#This Row],[Miles Raw]]/$AA$2)*100</f>
        <v>6.7194960317117663E-2</v>
      </c>
      <c r="AC1774" s="178">
        <f>FME_Ranking1[[#This Row],[Miles Score (Normalized, Unweighted)]]*$AA$3</f>
        <v>6.719496031711767E-3</v>
      </c>
      <c r="AD1774" s="255">
        <f>_xlfn.XLOOKUP(FME_Ranking1[[#This Row],[FME ID]],FME_Input[FME_ID],FME_Input[FARMACRE100])</f>
        <v>0</v>
      </c>
      <c r="AE1774" s="230">
        <f>(FME_Ranking1[[#This Row],[Ag Land Raw]]/$AD$2)*100</f>
        <v>0</v>
      </c>
      <c r="AF1774" s="231">
        <f>FME_Ranking1[[#This Row],[Ag Land Score (Normalized, Unweighted)]]*$AD$3</f>
        <v>0</v>
      </c>
      <c r="AG177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1.2676578111207331E-2</v>
      </c>
      <c r="AH1774" s="406">
        <f t="shared" si="27"/>
        <v>1678</v>
      </c>
      <c r="AI177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1.2676578111207331E-2</v>
      </c>
      <c r="AJ1774" s="257">
        <f>FME_Ranking1[[#This Row],[Addition check]]-FME_Ranking1[[#This Row],[Weighted Score Based on Normalized Reported Factors]]</f>
        <v>0</v>
      </c>
      <c r="AK1774" s="178">
        <f>_xlfn.RANK.EQ(AI1774,$AI$6:$AI$2341,0)+COUNTIF($AI$6:AI1774,AI1774)-1</f>
        <v>1678</v>
      </c>
    </row>
    <row r="1775" spans="1:37" x14ac:dyDescent="0.25">
      <c r="A1775" t="s">
        <v>9339</v>
      </c>
      <c r="B1775">
        <f>_xlfn.XLOOKUP(FME_Ranking1[[#This Row],[FME ID]],FME_Input[FME_ID],FME_Input[RFPG_NUM])</f>
        <v>12</v>
      </c>
      <c r="C1775" t="str">
        <f>_xlfn.XLOOKUP(FME_Ranking1[[#This Row],[FME ID]],FME_Input[FME_ID],FME_Input[FME_NAME])</f>
        <v>Update flood information and policies</v>
      </c>
      <c r="D1775" t="str">
        <f>_xlfn.XLOOKUP(FME_Ranking1[[#This Row],[FME ID]],FME_Input[FME_ID],FME_Input[DESCR])</f>
        <v>Identify and compile information on flood hazard areas and residential property in flood zones, establish and implement a volunteer acquisition / elevation program based on FEMA protocol in association with SARA studies, and review permitting process bas</v>
      </c>
      <c r="E1775" s="256">
        <f>_xlfn.XLOOKUP(FME_Ranking1[[#This Row],[FME ID]],FME_Input[FME_ID],FME_Input[FME_COST])</f>
        <v>100000</v>
      </c>
      <c r="F1775" t="str">
        <f>_xlfn.XLOOKUP(FME_Ranking1[[#This Row],[FME ID]],FME_Input[FME_ID],FME_Input[EMER_NEED])</f>
        <v>No</v>
      </c>
      <c r="G1775">
        <f>IF(FME_Ranking!F1775="Yes",100,0)</f>
        <v>0</v>
      </c>
      <c r="H1775">
        <f>FME_Ranking1[[#This Row],[Emergency Need Score (Normalized, Unweighted)]]*$F$3</f>
        <v>0</v>
      </c>
      <c r="I1775" s="246">
        <f>_xlfn.XLOOKUP(FME_Ranking1[[#This Row],[FME ID]],FME_Input[FME_ID],FME_Input[STRUCT_100])</f>
        <v>6</v>
      </c>
      <c r="J1775" s="178">
        <f>(FME_Ranking1[[#This Row],[Structures 100 Raw]]/I$2)*100</f>
        <v>3.2129546330805807E-3</v>
      </c>
      <c r="K1775" s="178">
        <f>FME_Ranking1[[#This Row],[Structures 100  Score (Normalized, Unweighted)]]*$I$3</f>
        <v>4.8194319496208709E-4</v>
      </c>
      <c r="L1775" s="246">
        <f>_xlfn.XLOOKUP(FME_Ranking1[[#This Row],[FME ID]],FME_Input[FME_ID],FME_Input[RES_STRUCT100])</f>
        <v>5</v>
      </c>
      <c r="M1775" s="230">
        <f>(FME_Ranking1[[#This Row],[Res Structures Raw]]/L$2)*100</f>
        <v>3.5415279568216909E-3</v>
      </c>
      <c r="N1775" s="180">
        <f>FME_Ranking1[[#This Row],[Res Structures Score (Normalized, Unweighted)]]*$L$3</f>
        <v>3.5415279568216913E-4</v>
      </c>
      <c r="O1775" s="244">
        <f>_xlfn.XLOOKUP(FME_Ranking1[[#This Row],[FME ID]],FME_Input[FME_ID],FME_Input[POP100])</f>
        <v>159</v>
      </c>
      <c r="P1775" s="178">
        <f>(FME_Ranking1[[#This Row],[Pop Raw]]/$O$2)*100</f>
        <v>1.6277674606213363E-2</v>
      </c>
      <c r="Q1775" s="178">
        <f>FME_Ranking1[[#This Row],[Pop Score (Normalized, Unweighted)]]*$O$3</f>
        <v>2.4416511909320046E-3</v>
      </c>
      <c r="R1775" s="137">
        <f>_xlfn.XLOOKUP(FME_Ranking1[[#This Row],[FME ID]],FME_Input[FME_ID],FME_Input[CRITFAC100])</f>
        <v>0</v>
      </c>
      <c r="S1775" s="230">
        <f>(FME_Ranking1[[#This Row],[Critical Facilities Raw]]/$R$2)*100</f>
        <v>0</v>
      </c>
      <c r="T1775" s="180">
        <f>FME_Ranking1[[#This Row],[Critical Facilities Score (Normalized, Unweighted)]]*$R$3</f>
        <v>0</v>
      </c>
      <c r="U1775">
        <f>_xlfn.XLOOKUP(FME_Ranking1[[#This Row],[FME ID]],FME_Input[FME_ID],FME_Input[LWC])</f>
        <v>0</v>
      </c>
      <c r="V1775" s="178">
        <f>(FME_Ranking1[[#This Row],[LWC Raw]]/$U$2)*100</f>
        <v>0</v>
      </c>
      <c r="W1775" s="178">
        <f>FME_Ranking1[[#This Row],[LWC Score (Normalized, Unweighted)]]*$U$3</f>
        <v>0</v>
      </c>
      <c r="X1775" s="246">
        <f>_xlfn.XLOOKUP(FME_Ranking1[[#This Row],[FME ID]],FME_Input[FME_ID],FME_Input[ROADCLS])</f>
        <v>5</v>
      </c>
      <c r="Y1775" s="230">
        <f>(FME_Ranking1[[#This Row],[Closures Raw]]/$X$2)*100</f>
        <v>5.2570707601724324E-2</v>
      </c>
      <c r="Z1775" s="180">
        <f>FME_Ranking1[[#This Row],[Closures Score (Normalized, Unweighted)]]*$X$3</f>
        <v>2.6285353800862164E-3</v>
      </c>
      <c r="AA1775" s="253">
        <f>_xlfn.XLOOKUP(FME_Ranking1[[#This Row],[FME ID]],FME_Input[FME_ID],FME_Input[ROAD_MILES100])</f>
        <v>0.14000000059604639</v>
      </c>
      <c r="AB1775" s="178">
        <f>(FME_Ranking1[[#This Row],[Miles Raw]]/$AA$2)*100</f>
        <v>1.8407489060487015E-3</v>
      </c>
      <c r="AC1775" s="178">
        <f>FME_Ranking1[[#This Row],[Miles Score (Normalized, Unweighted)]]*$AA$3</f>
        <v>1.8407489060487015E-4</v>
      </c>
      <c r="AD1775" s="255">
        <f>_xlfn.XLOOKUP(FME_Ranking1[[#This Row],[FME ID]],FME_Input[FME_ID],FME_Input[FARMACRE100])</f>
        <v>0.89692902565002441</v>
      </c>
      <c r="AE1775" s="230">
        <f>(FME_Ranking1[[#This Row],[Ag Land Raw]]/$AD$2)*100</f>
        <v>3.6985337911714519E-5</v>
      </c>
      <c r="AF1775" s="231">
        <f>FME_Ranking1[[#This Row],[Ag Land Score (Normalized, Unweighted)]]*$AD$3</f>
        <v>1.8492668955857259E-6</v>
      </c>
      <c r="AG177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6.0922067191629334E-3</v>
      </c>
      <c r="AH1775" s="406">
        <f t="shared" si="27"/>
        <v>1811</v>
      </c>
      <c r="AI177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6.0922067191629334E-3</v>
      </c>
      <c r="AJ1775" s="257">
        <f>FME_Ranking1[[#This Row],[Addition check]]-FME_Ranking1[[#This Row],[Weighted Score Based on Normalized Reported Factors]]</f>
        <v>0</v>
      </c>
      <c r="AK1775" s="178">
        <f>_xlfn.RANK.EQ(AI1775,$AI$6:$AI$2341,0)+COUNTIF($AI$6:AI1775,AI1775)-1</f>
        <v>1811</v>
      </c>
    </row>
    <row r="1776" spans="1:37" x14ac:dyDescent="0.25">
      <c r="A1776" t="s">
        <v>9362</v>
      </c>
      <c r="B1776">
        <f>_xlfn.XLOOKUP(FME_Ranking1[[#This Row],[FME ID]],FME_Input[FME_ID],FME_Input[RFPG_NUM])</f>
        <v>12</v>
      </c>
      <c r="C1776" t="str">
        <f>_xlfn.XLOOKUP(FME_Ranking1[[#This Row],[FME ID]],FME_Input[FME_ID],FME_Input[FME_NAME])</f>
        <v>Inventory of residences in floodplain</v>
      </c>
      <c r="D1776" t="str">
        <f>_xlfn.XLOOKUP(FME_Ranking1[[#This Row],[FME ID]],FME_Input[FME_ID],FME_Input[DESCR])</f>
        <v>Identify residential structures that are located in flood zones or high hazard areas and develop plan and implement a program for floodproofing or acquistion.</v>
      </c>
      <c r="E1776" s="256">
        <f>_xlfn.XLOOKUP(FME_Ranking1[[#This Row],[FME ID]],FME_Input[FME_ID],FME_Input[FME_COST])</f>
        <v>50000</v>
      </c>
      <c r="F1776" t="str">
        <f>_xlfn.XLOOKUP(FME_Ranking1[[#This Row],[FME ID]],FME_Input[FME_ID],FME_Input[EMER_NEED])</f>
        <v>No</v>
      </c>
      <c r="G1776">
        <f>IF(FME_Ranking!F1776="Yes",100,0)</f>
        <v>0</v>
      </c>
      <c r="H1776">
        <f>FME_Ranking1[[#This Row],[Emergency Need Score (Normalized, Unweighted)]]*$F$3</f>
        <v>0</v>
      </c>
      <c r="I1776" s="246">
        <f>_xlfn.XLOOKUP(FME_Ranking1[[#This Row],[FME ID]],FME_Input[FME_ID],FME_Input[STRUCT_100])</f>
        <v>6</v>
      </c>
      <c r="J1776" s="178">
        <f>(FME_Ranking1[[#This Row],[Structures 100 Raw]]/I$2)*100</f>
        <v>3.2129546330805807E-3</v>
      </c>
      <c r="K1776" s="178">
        <f>FME_Ranking1[[#This Row],[Structures 100  Score (Normalized, Unweighted)]]*$I$3</f>
        <v>4.8194319496208709E-4</v>
      </c>
      <c r="L1776" s="246">
        <f>_xlfn.XLOOKUP(FME_Ranking1[[#This Row],[FME ID]],FME_Input[FME_ID],FME_Input[RES_STRUCT100])</f>
        <v>5</v>
      </c>
      <c r="M1776" s="230">
        <f>(FME_Ranking1[[#This Row],[Res Structures Raw]]/L$2)*100</f>
        <v>3.5415279568216909E-3</v>
      </c>
      <c r="N1776" s="180">
        <f>FME_Ranking1[[#This Row],[Res Structures Score (Normalized, Unweighted)]]*$L$3</f>
        <v>3.5415279568216913E-4</v>
      </c>
      <c r="O1776" s="244">
        <f>_xlfn.XLOOKUP(FME_Ranking1[[#This Row],[FME ID]],FME_Input[FME_ID],FME_Input[POP100])</f>
        <v>159</v>
      </c>
      <c r="P1776" s="178">
        <f>(FME_Ranking1[[#This Row],[Pop Raw]]/$O$2)*100</f>
        <v>1.6277674606213363E-2</v>
      </c>
      <c r="Q1776" s="178">
        <f>FME_Ranking1[[#This Row],[Pop Score (Normalized, Unweighted)]]*$O$3</f>
        <v>2.4416511909320046E-3</v>
      </c>
      <c r="R1776" s="137">
        <f>_xlfn.XLOOKUP(FME_Ranking1[[#This Row],[FME ID]],FME_Input[FME_ID],FME_Input[CRITFAC100])</f>
        <v>0</v>
      </c>
      <c r="S1776" s="230">
        <f>(FME_Ranking1[[#This Row],[Critical Facilities Raw]]/$R$2)*100</f>
        <v>0</v>
      </c>
      <c r="T1776" s="180">
        <f>FME_Ranking1[[#This Row],[Critical Facilities Score (Normalized, Unweighted)]]*$R$3</f>
        <v>0</v>
      </c>
      <c r="U1776">
        <f>_xlfn.XLOOKUP(FME_Ranking1[[#This Row],[FME ID]],FME_Input[FME_ID],FME_Input[LWC])</f>
        <v>0</v>
      </c>
      <c r="V1776" s="178">
        <f>(FME_Ranking1[[#This Row],[LWC Raw]]/$U$2)*100</f>
        <v>0</v>
      </c>
      <c r="W1776" s="178">
        <f>FME_Ranking1[[#This Row],[LWC Score (Normalized, Unweighted)]]*$U$3</f>
        <v>0</v>
      </c>
      <c r="X1776" s="246">
        <f>_xlfn.XLOOKUP(FME_Ranking1[[#This Row],[FME ID]],FME_Input[FME_ID],FME_Input[ROADCLS])</f>
        <v>5</v>
      </c>
      <c r="Y1776" s="230">
        <f>(FME_Ranking1[[#This Row],[Closures Raw]]/$X$2)*100</f>
        <v>5.2570707601724324E-2</v>
      </c>
      <c r="Z1776" s="180">
        <f>FME_Ranking1[[#This Row],[Closures Score (Normalized, Unweighted)]]*$X$3</f>
        <v>2.6285353800862164E-3</v>
      </c>
      <c r="AA1776" s="253">
        <f>_xlfn.XLOOKUP(FME_Ranking1[[#This Row],[FME ID]],FME_Input[FME_ID],FME_Input[ROAD_MILES100])</f>
        <v>0.14000000059604639</v>
      </c>
      <c r="AB1776" s="178">
        <f>(FME_Ranking1[[#This Row],[Miles Raw]]/$AA$2)*100</f>
        <v>1.8407489060487015E-3</v>
      </c>
      <c r="AC1776" s="178">
        <f>FME_Ranking1[[#This Row],[Miles Score (Normalized, Unweighted)]]*$AA$3</f>
        <v>1.8407489060487015E-4</v>
      </c>
      <c r="AD1776" s="255">
        <f>_xlfn.XLOOKUP(FME_Ranking1[[#This Row],[FME ID]],FME_Input[FME_ID],FME_Input[FARMACRE100])</f>
        <v>0.89692902565002441</v>
      </c>
      <c r="AE1776" s="230">
        <f>(FME_Ranking1[[#This Row],[Ag Land Raw]]/$AD$2)*100</f>
        <v>3.6985337911714519E-5</v>
      </c>
      <c r="AF1776" s="231">
        <f>FME_Ranking1[[#This Row],[Ag Land Score (Normalized, Unweighted)]]*$AD$3</f>
        <v>1.8492668955857259E-6</v>
      </c>
      <c r="AG177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6.0922067191629334E-3</v>
      </c>
      <c r="AH1776" s="406">
        <f t="shared" si="27"/>
        <v>1811</v>
      </c>
      <c r="AI177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6.0922067191629334E-3</v>
      </c>
      <c r="AJ1776" s="257">
        <f>FME_Ranking1[[#This Row],[Addition check]]-FME_Ranking1[[#This Row],[Weighted Score Based on Normalized Reported Factors]]</f>
        <v>0</v>
      </c>
      <c r="AK1776" s="178">
        <f>_xlfn.RANK.EQ(AI1776,$AI$6:$AI$2341,0)+COUNTIF($AI$6:AI1776,AI1776)-1</f>
        <v>1812</v>
      </c>
    </row>
    <row r="1777" spans="1:37" x14ac:dyDescent="0.25">
      <c r="A1777" t="s">
        <v>10012</v>
      </c>
      <c r="B1777">
        <f>_xlfn.XLOOKUP(FME_Ranking1[[#This Row],[FME ID]],FME_Input[FME_ID],FME_Input[RFPG_NUM])</f>
        <v>13</v>
      </c>
      <c r="C1777" t="str">
        <f>_xlfn.XLOOKUP(FME_Ranking1[[#This Row],[FME ID]],FME_Input[FME_ID],FME_Input[FME_NAME])</f>
        <v xml:space="preserve">Atascosa McMullen Hazard Mitigation Plan - City of Charlotte Action #3_x000D_
</v>
      </c>
      <c r="D1777" t="str">
        <f>_xlfn.XLOOKUP(FME_Ranking1[[#This Row],[FME ID]],FME_Input[FME_ID],FME_Input[DESCR])</f>
        <v>Implement a stormwater plan needing to identify and prioritize projects that will improve drainage in the areas in the city</v>
      </c>
      <c r="E1777" s="256">
        <f>_xlfn.XLOOKUP(FME_Ranking1[[#This Row],[FME ID]],FME_Input[FME_ID],FME_Input[FME_COST])</f>
        <v>350000</v>
      </c>
      <c r="F1777" t="str">
        <f>_xlfn.XLOOKUP(FME_Ranking1[[#This Row],[FME ID]],FME_Input[FME_ID],FME_Input[EMER_NEED])</f>
        <v>Yes</v>
      </c>
      <c r="G1777">
        <f>IF(FME_Ranking!F1777="Yes",100,0)</f>
        <v>100</v>
      </c>
      <c r="H1777">
        <f>FME_Ranking1[[#This Row],[Emergency Need Score (Normalized, Unweighted)]]*$F$3</f>
        <v>0</v>
      </c>
      <c r="I1777" s="246">
        <f>_xlfn.XLOOKUP(FME_Ranking1[[#This Row],[FME ID]],FME_Input[FME_ID],FME_Input[STRUCT_100])</f>
        <v>3</v>
      </c>
      <c r="J1777" s="178">
        <f>(FME_Ranking1[[#This Row],[Structures 100 Raw]]/I$2)*100</f>
        <v>1.6064773165402903E-3</v>
      </c>
      <c r="K1777" s="178">
        <f>FME_Ranking1[[#This Row],[Structures 100  Score (Normalized, Unweighted)]]*$I$3</f>
        <v>2.4097159748104354E-4</v>
      </c>
      <c r="L1777" s="246">
        <f>_xlfn.XLOOKUP(FME_Ranking1[[#This Row],[FME ID]],FME_Input[FME_ID],FME_Input[RES_STRUCT100])</f>
        <v>3</v>
      </c>
      <c r="M1777" s="230">
        <f>(FME_Ranking1[[#This Row],[Res Structures Raw]]/L$2)*100</f>
        <v>2.1249167740930146E-3</v>
      </c>
      <c r="N1777" s="180">
        <f>FME_Ranking1[[#This Row],[Res Structures Score (Normalized, Unweighted)]]*$L$3</f>
        <v>2.1249167740930149E-4</v>
      </c>
      <c r="O1777" s="244">
        <f>_xlfn.XLOOKUP(FME_Ranking1[[#This Row],[FME ID]],FME_Input[FME_ID],FME_Input[POP100])</f>
        <v>4</v>
      </c>
      <c r="P1777" s="178">
        <f>(FME_Ranking1[[#This Row],[Pop Raw]]/$O$2)*100</f>
        <v>4.0950124795505313E-4</v>
      </c>
      <c r="Q1777" s="178">
        <f>FME_Ranking1[[#This Row],[Pop Score (Normalized, Unweighted)]]*$O$3</f>
        <v>6.1425187193257967E-5</v>
      </c>
      <c r="R1777" s="137">
        <f>_xlfn.XLOOKUP(FME_Ranking1[[#This Row],[FME ID]],FME_Input[FME_ID],FME_Input[CRITFAC100])</f>
        <v>0</v>
      </c>
      <c r="S1777" s="230">
        <f>(FME_Ranking1[[#This Row],[Critical Facilities Raw]]/$R$2)*100</f>
        <v>0</v>
      </c>
      <c r="T1777" s="180">
        <f>FME_Ranking1[[#This Row],[Critical Facilities Score (Normalized, Unweighted)]]*$R$3</f>
        <v>0</v>
      </c>
      <c r="U1777">
        <f>_xlfn.XLOOKUP(FME_Ranking1[[#This Row],[FME ID]],FME_Input[FME_ID],FME_Input[LWC])</f>
        <v>0</v>
      </c>
      <c r="V1777" s="178">
        <f>(FME_Ranking1[[#This Row],[LWC Raw]]/$U$2)*100</f>
        <v>0</v>
      </c>
      <c r="W1777" s="178">
        <f>FME_Ranking1[[#This Row],[LWC Score (Normalized, Unweighted)]]*$U$3</f>
        <v>0</v>
      </c>
      <c r="X1777" s="246">
        <f>_xlfn.XLOOKUP(FME_Ranking1[[#This Row],[FME ID]],FME_Input[FME_ID],FME_Input[ROADCLS])</f>
        <v>10</v>
      </c>
      <c r="Y1777" s="230">
        <f>(FME_Ranking1[[#This Row],[Closures Raw]]/$X$2)*100</f>
        <v>0.10514141520344865</v>
      </c>
      <c r="Z1777" s="180">
        <f>FME_Ranking1[[#This Row],[Closures Score (Normalized, Unweighted)]]*$X$3</f>
        <v>5.2570707601724328E-3</v>
      </c>
      <c r="AA1777" s="253">
        <f>_xlfn.XLOOKUP(FME_Ranking1[[#This Row],[FME ID]],FME_Input[FME_ID],FME_Input[ROAD_MILES100])</f>
        <v>0.17604222893714899</v>
      </c>
      <c r="AB1777" s="178">
        <f>(FME_Ranking1[[#This Row],[Miles Raw]]/$AA$2)*100</f>
        <v>2.3146395639628537E-3</v>
      </c>
      <c r="AC1777" s="178">
        <f>FME_Ranking1[[#This Row],[Miles Score (Normalized, Unweighted)]]*$AA$3</f>
        <v>2.3146395639628539E-4</v>
      </c>
      <c r="AD1777" s="255">
        <f>_xlfn.XLOOKUP(FME_Ranking1[[#This Row],[FME ID]],FME_Input[FME_ID],FME_Input[FARMACRE100])</f>
        <v>4.8719469457864761E-2</v>
      </c>
      <c r="AE1777" s="230">
        <f>(FME_Ranking1[[#This Row],[Ag Land Raw]]/$AD$2)*100</f>
        <v>2.0089728275575666E-6</v>
      </c>
      <c r="AF1777" s="231">
        <f>FME_Ranking1[[#This Row],[Ag Land Score (Normalized, Unweighted)]]*$AD$3</f>
        <v>1.0044864137787833E-7</v>
      </c>
      <c r="AG177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6.0035236272936989E-3</v>
      </c>
      <c r="AH1777" s="406">
        <f t="shared" si="27"/>
        <v>1815</v>
      </c>
      <c r="AI177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6.0035236272936989E-3</v>
      </c>
      <c r="AJ1777" s="257">
        <f>FME_Ranking1[[#This Row],[Addition check]]-FME_Ranking1[[#This Row],[Weighted Score Based on Normalized Reported Factors]]</f>
        <v>0</v>
      </c>
      <c r="AK1777" s="178">
        <f>_xlfn.RANK.EQ(AI1777,$AI$6:$AI$2341,0)+COUNTIF($AI$6:AI1777,AI1777)-1</f>
        <v>1815</v>
      </c>
    </row>
    <row r="1778" spans="1:37" x14ac:dyDescent="0.25">
      <c r="A1778" t="s">
        <v>9498</v>
      </c>
      <c r="B1778">
        <f>_xlfn.XLOOKUP(FME_Ranking1[[#This Row],[FME ID]],FME_Input[FME_ID],FME_Input[RFPG_NUM])</f>
        <v>12</v>
      </c>
      <c r="C1778" t="str">
        <f>_xlfn.XLOOKUP(FME_Ranking1[[#This Row],[FME ID]],FME_Input[FME_ID],FME_Input[FME_NAME])</f>
        <v>Mahncke Park Outfall</v>
      </c>
      <c r="D1778" t="str">
        <f>_xlfn.XLOOKUP(FME_Ranking1[[#This Row],[FME ID]],FME_Input[FME_ID],FME_Input[DESCR])</f>
        <v>To convey the 100-yr ultimate development and relieve the current backwater conditions. This project proposes drainage improvement to watershed SA4.To reduce clogging and increase effciency.</v>
      </c>
      <c r="E1778" s="256">
        <f>_xlfn.XLOOKUP(FME_Ranking1[[#This Row],[FME ID]],FME_Input[FME_ID],FME_Input[FME_COST])</f>
        <v>10792673</v>
      </c>
      <c r="F1778" t="str">
        <f>_xlfn.XLOOKUP(FME_Ranking1[[#This Row],[FME ID]],FME_Input[FME_ID],FME_Input[EMER_NEED])</f>
        <v>No</v>
      </c>
      <c r="G1778">
        <f>IF(FME_Ranking!F1778="Yes",100,0)</f>
        <v>0</v>
      </c>
      <c r="H1778">
        <f>FME_Ranking1[[#This Row],[Emergency Need Score (Normalized, Unweighted)]]*$F$3</f>
        <v>0</v>
      </c>
      <c r="I1778" s="246">
        <f>_xlfn.XLOOKUP(FME_Ranking1[[#This Row],[FME ID]],FME_Input[FME_ID],FME_Input[STRUCT_100])</f>
        <v>16</v>
      </c>
      <c r="J1778" s="178">
        <f>(FME_Ranking1[[#This Row],[Structures 100 Raw]]/I$2)*100</f>
        <v>8.5678790215482168E-3</v>
      </c>
      <c r="K1778" s="178">
        <f>FME_Ranking1[[#This Row],[Structures 100  Score (Normalized, Unweighted)]]*$I$3</f>
        <v>1.2851818532322325E-3</v>
      </c>
      <c r="L1778" s="246">
        <f>_xlfn.XLOOKUP(FME_Ranking1[[#This Row],[FME ID]],FME_Input[FME_ID],FME_Input[RES_STRUCT100])</f>
        <v>14</v>
      </c>
      <c r="M1778" s="230">
        <f>(FME_Ranking1[[#This Row],[Res Structures Raw]]/L$2)*100</f>
        <v>9.9162782791007362E-3</v>
      </c>
      <c r="N1778" s="180">
        <f>FME_Ranking1[[#This Row],[Res Structures Score (Normalized, Unweighted)]]*$L$3</f>
        <v>9.9162782791007375E-4</v>
      </c>
      <c r="O1778" s="244">
        <f>_xlfn.XLOOKUP(FME_Ranking1[[#This Row],[FME ID]],FME_Input[FME_ID],FME_Input[POP100])</f>
        <v>53</v>
      </c>
      <c r="P1778" s="178">
        <f>(FME_Ranking1[[#This Row],[Pop Raw]]/$O$2)*100</f>
        <v>5.4258915354044547E-3</v>
      </c>
      <c r="Q1778" s="178">
        <f>FME_Ranking1[[#This Row],[Pop Score (Normalized, Unweighted)]]*$O$3</f>
        <v>8.1388373031066822E-4</v>
      </c>
      <c r="R1778" s="137">
        <f>_xlfn.XLOOKUP(FME_Ranking1[[#This Row],[FME ID]],FME_Input[FME_ID],FME_Input[CRITFAC100])</f>
        <v>0</v>
      </c>
      <c r="S1778" s="230">
        <f>(FME_Ranking1[[#This Row],[Critical Facilities Raw]]/$R$2)*100</f>
        <v>0</v>
      </c>
      <c r="T1778" s="180">
        <f>FME_Ranking1[[#This Row],[Critical Facilities Score (Normalized, Unweighted)]]*$R$3</f>
        <v>0</v>
      </c>
      <c r="U1778">
        <f>_xlfn.XLOOKUP(FME_Ranking1[[#This Row],[FME ID]],FME_Input[FME_ID],FME_Input[LWC])</f>
        <v>0</v>
      </c>
      <c r="V1778" s="178">
        <f>(FME_Ranking1[[#This Row],[LWC Raw]]/$U$2)*100</f>
        <v>0</v>
      </c>
      <c r="W1778" s="178">
        <f>FME_Ranking1[[#This Row],[LWC Score (Normalized, Unweighted)]]*$U$3</f>
        <v>0</v>
      </c>
      <c r="X1778" s="246">
        <f>_xlfn.XLOOKUP(FME_Ranking1[[#This Row],[FME ID]],FME_Input[FME_ID],FME_Input[ROADCLS])</f>
        <v>5</v>
      </c>
      <c r="Y1778" s="230">
        <f>(FME_Ranking1[[#This Row],[Closures Raw]]/$X$2)*100</f>
        <v>5.2570707601724324E-2</v>
      </c>
      <c r="Z1778" s="180">
        <f>FME_Ranking1[[#This Row],[Closures Score (Normalized, Unweighted)]]*$X$3</f>
        <v>2.6285353800862164E-3</v>
      </c>
      <c r="AA1778" s="253">
        <f>_xlfn.XLOOKUP(FME_Ranking1[[#This Row],[FME ID]],FME_Input[FME_ID],FME_Input[ROAD_MILES100])</f>
        <v>0.239999994635582</v>
      </c>
      <c r="AB1778" s="178">
        <f>(FME_Ranking1[[#This Row],[Miles Raw]]/$AA$2)*100</f>
        <v>3.1555694692591142E-3</v>
      </c>
      <c r="AC1778" s="178">
        <f>FME_Ranking1[[#This Row],[Miles Score (Normalized, Unweighted)]]*$AA$3</f>
        <v>3.1555694692591142E-4</v>
      </c>
      <c r="AD1778" s="255">
        <f>_xlfn.XLOOKUP(FME_Ranking1[[#This Row],[FME ID]],FME_Input[FME_ID],FME_Input[FARMACRE100])</f>
        <v>0</v>
      </c>
      <c r="AE1778" s="230">
        <f>(FME_Ranking1[[#This Row],[Ag Land Raw]]/$AD$2)*100</f>
        <v>0</v>
      </c>
      <c r="AF1778" s="231">
        <f>FME_Ranking1[[#This Row],[Ag Land Score (Normalized, Unweighted)]]*$AD$3</f>
        <v>0</v>
      </c>
      <c r="AG177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6.0347857384651024E-3</v>
      </c>
      <c r="AH1778" s="406">
        <f t="shared" si="27"/>
        <v>1814</v>
      </c>
      <c r="AI177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6.0347857384651024E-3</v>
      </c>
      <c r="AJ1778" s="257">
        <f>FME_Ranking1[[#This Row],[Addition check]]-FME_Ranking1[[#This Row],[Weighted Score Based on Normalized Reported Factors]]</f>
        <v>0</v>
      </c>
      <c r="AK1778" s="178">
        <f>_xlfn.RANK.EQ(AI1778,$AI$6:$AI$2341,0)+COUNTIF($AI$6:AI1778,AI1778)-1</f>
        <v>1814</v>
      </c>
    </row>
    <row r="1779" spans="1:37" x14ac:dyDescent="0.25">
      <c r="A1779" t="s">
        <v>1553</v>
      </c>
      <c r="B1779">
        <f>_xlfn.XLOOKUP(FME_Ranking1[[#This Row],[FME ID]],FME_Input[FME_ID],FME_Input[RFPG_NUM])</f>
        <v>6</v>
      </c>
      <c r="C1779" t="str">
        <f>_xlfn.XLOOKUP(FME_Ranking1[[#This Row],[FME ID]],FME_Input[FME_ID],FME_Input[FME_NAME])</f>
        <v>City of Dayton  Master Drainage Plan</v>
      </c>
      <c r="D1779" t="str">
        <f>_xlfn.XLOOKUP(FME_Ranking1[[#This Row],[FME ID]],FME_Input[FME_ID],FME_Input[DESCR])</f>
        <v>Study to develop Master Drainage Plan using future and existing land use and flood/storm water drainage needs including Atlas 14 rainfall.</v>
      </c>
      <c r="E1779" s="256">
        <f>_xlfn.XLOOKUP(FME_Ranking1[[#This Row],[FME ID]],FME_Input[FME_ID],FME_Input[FME_COST])</f>
        <v>480000</v>
      </c>
      <c r="F1779" t="str">
        <f>_xlfn.XLOOKUP(FME_Ranking1[[#This Row],[FME ID]],FME_Input[FME_ID],FME_Input[EMER_NEED])</f>
        <v>No</v>
      </c>
      <c r="G1779">
        <f>IF(FME_Ranking!F1779="Yes",100,0)</f>
        <v>0</v>
      </c>
      <c r="H1779">
        <f>FME_Ranking1[[#This Row],[Emergency Need Score (Normalized, Unweighted)]]*$F$3</f>
        <v>0</v>
      </c>
      <c r="I1779" s="246">
        <f>_xlfn.XLOOKUP(FME_Ranking1[[#This Row],[FME ID]],FME_Input[FME_ID],FME_Input[STRUCT_100])</f>
        <v>32</v>
      </c>
      <c r="J1779" s="178">
        <f>(FME_Ranking1[[#This Row],[Structures 100 Raw]]/I$2)*100</f>
        <v>1.7135758043096434E-2</v>
      </c>
      <c r="K1779" s="178">
        <f>FME_Ranking1[[#This Row],[Structures 100  Score (Normalized, Unweighted)]]*$I$3</f>
        <v>2.570363706464465E-3</v>
      </c>
      <c r="L1779" s="246">
        <f>_xlfn.XLOOKUP(FME_Ranking1[[#This Row],[FME ID]],FME_Input[FME_ID],FME_Input[RES_STRUCT100])</f>
        <v>26</v>
      </c>
      <c r="M1779" s="230">
        <f>(FME_Ranking1[[#This Row],[Res Structures Raw]]/L$2)*100</f>
        <v>1.8415945375472795E-2</v>
      </c>
      <c r="N1779" s="180">
        <f>FME_Ranking1[[#This Row],[Res Structures Score (Normalized, Unweighted)]]*$L$3</f>
        <v>1.8415945375472795E-3</v>
      </c>
      <c r="O1779" s="244">
        <f>_xlfn.XLOOKUP(FME_Ranking1[[#This Row],[FME ID]],FME_Input[FME_ID],FME_Input[POP100])</f>
        <v>74</v>
      </c>
      <c r="P1779" s="178">
        <f>(FME_Ranking1[[#This Row],[Pop Raw]]/$O$2)*100</f>
        <v>7.5757730871684826E-3</v>
      </c>
      <c r="Q1779" s="178">
        <f>FME_Ranking1[[#This Row],[Pop Score (Normalized, Unweighted)]]*$O$3</f>
        <v>1.1363659630752724E-3</v>
      </c>
      <c r="R1779" s="137">
        <f>_xlfn.XLOOKUP(FME_Ranking1[[#This Row],[FME ID]],FME_Input[FME_ID],FME_Input[CRITFAC100])</f>
        <v>0</v>
      </c>
      <c r="S1779" s="230">
        <f>(FME_Ranking1[[#This Row],[Critical Facilities Raw]]/$R$2)*100</f>
        <v>0</v>
      </c>
      <c r="T1779" s="180">
        <f>FME_Ranking1[[#This Row],[Critical Facilities Score (Normalized, Unweighted)]]*$R$3</f>
        <v>0</v>
      </c>
      <c r="U1779">
        <f>_xlfn.XLOOKUP(FME_Ranking1[[#This Row],[FME ID]],FME_Input[FME_ID],FME_Input[LWC])</f>
        <v>0</v>
      </c>
      <c r="V1779" s="178">
        <f>(FME_Ranking1[[#This Row],[LWC Raw]]/$U$2)*100</f>
        <v>0</v>
      </c>
      <c r="W1779" s="178">
        <f>FME_Ranking1[[#This Row],[LWC Score (Normalized, Unweighted)]]*$U$3</f>
        <v>0</v>
      </c>
      <c r="X1779" s="246">
        <f>_xlfn.XLOOKUP(FME_Ranking1[[#This Row],[FME ID]],FME_Input[FME_ID],FME_Input[ROADCLS])</f>
        <v>0</v>
      </c>
      <c r="Y1779" s="230">
        <f>(FME_Ranking1[[#This Row],[Closures Raw]]/$X$2)*100</f>
        <v>0</v>
      </c>
      <c r="Z1779" s="180">
        <f>FME_Ranking1[[#This Row],[Closures Score (Normalized, Unweighted)]]*$X$3</f>
        <v>0</v>
      </c>
      <c r="AA1779" s="253">
        <f>_xlfn.XLOOKUP(FME_Ranking1[[#This Row],[FME ID]],FME_Input[FME_ID],FME_Input[ROAD_MILES100])</f>
        <v>0.92756974697113037</v>
      </c>
      <c r="AB1779" s="178">
        <f>(FME_Ranking1[[#This Row],[Miles Raw]]/$AA$2)*100</f>
        <v>1.2195878498226212E-2</v>
      </c>
      <c r="AC1779" s="178">
        <f>FME_Ranking1[[#This Row],[Miles Score (Normalized, Unweighted)]]*$AA$3</f>
        <v>1.2195878498226214E-3</v>
      </c>
      <c r="AD1779" s="255">
        <f>_xlfn.XLOOKUP(FME_Ranking1[[#This Row],[FME ID]],FME_Input[FME_ID],FME_Input[FARMACRE100])</f>
        <v>65.600112915039063</v>
      </c>
      <c r="AE1779" s="230">
        <f>(FME_Ranking1[[#This Row],[Ag Land Raw]]/$AD$2)*100</f>
        <v>2.7050549974687189E-3</v>
      </c>
      <c r="AF1779" s="231">
        <f>FME_Ranking1[[#This Row],[Ag Land Score (Normalized, Unweighted)]]*$AD$3</f>
        <v>1.3525274987343595E-4</v>
      </c>
      <c r="AG177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6.9031648067830742E-3</v>
      </c>
      <c r="AH1779" s="406">
        <f t="shared" si="27"/>
        <v>1801</v>
      </c>
      <c r="AI177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6.9031648067830742E-3</v>
      </c>
      <c r="AJ1779" s="257">
        <f>FME_Ranking1[[#This Row],[Addition check]]-FME_Ranking1[[#This Row],[Weighted Score Based on Normalized Reported Factors]]</f>
        <v>0</v>
      </c>
      <c r="AK1779" s="178">
        <f>_xlfn.RANK.EQ(AI1779,$AI$6:$AI$2341,0)+COUNTIF($AI$6:AI1779,AI1779)-1</f>
        <v>1801</v>
      </c>
    </row>
    <row r="1780" spans="1:37" x14ac:dyDescent="0.25">
      <c r="A1780" t="s">
        <v>6238</v>
      </c>
      <c r="B1780">
        <f>_xlfn.XLOOKUP(FME_Ranking1[[#This Row],[FME ID]],FME_Input[FME_ID],FME_Input[RFPG_NUM])</f>
        <v>5</v>
      </c>
      <c r="C1780" t="str">
        <f>_xlfn.XLOOKUP(FME_Ranking1[[#This Row],[FME ID]],FME_Input[FME_ID],FME_Input[FME_NAME])</f>
        <v>City of Henderson Master Drainage Plan</v>
      </c>
      <c r="D1780"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1780" s="256">
        <f>_xlfn.XLOOKUP(FME_Ranking1[[#This Row],[FME ID]],FME_Input[FME_ID],FME_Input[FME_COST])</f>
        <v>480000</v>
      </c>
      <c r="F1780" t="str">
        <f>_xlfn.XLOOKUP(FME_Ranking1[[#This Row],[FME ID]],FME_Input[FME_ID],FME_Input[EMER_NEED])</f>
        <v>No</v>
      </c>
      <c r="G1780">
        <f>IF(FME_Ranking!F1780="Yes",100,0)</f>
        <v>0</v>
      </c>
      <c r="H1780">
        <f>FME_Ranking1[[#This Row],[Emergency Need Score (Normalized, Unweighted)]]*$F$3</f>
        <v>0</v>
      </c>
      <c r="I1780" s="246">
        <f>_xlfn.XLOOKUP(FME_Ranking1[[#This Row],[FME ID]],FME_Input[FME_ID],FME_Input[STRUCT_100])</f>
        <v>37</v>
      </c>
      <c r="J1780" s="178">
        <f>(FME_Ranking1[[#This Row],[Structures 100 Raw]]/I$2)*100</f>
        <v>1.9813220237330249E-2</v>
      </c>
      <c r="K1780" s="178">
        <f>FME_Ranking1[[#This Row],[Structures 100  Score (Normalized, Unweighted)]]*$I$3</f>
        <v>2.9719830355995373E-3</v>
      </c>
      <c r="L1780" s="246">
        <f>_xlfn.XLOOKUP(FME_Ranking1[[#This Row],[FME ID]],FME_Input[FME_ID],FME_Input[RES_STRUCT100])</f>
        <v>17</v>
      </c>
      <c r="M1780" s="230">
        <f>(FME_Ranking1[[#This Row],[Res Structures Raw]]/L$2)*100</f>
        <v>1.2041195053193749E-2</v>
      </c>
      <c r="N1780" s="180">
        <f>FME_Ranking1[[#This Row],[Res Structures Score (Normalized, Unweighted)]]*$L$3</f>
        <v>1.2041195053193749E-3</v>
      </c>
      <c r="O1780" s="244">
        <f>_xlfn.XLOOKUP(FME_Ranking1[[#This Row],[FME ID]],FME_Input[FME_ID],FME_Input[POP100])</f>
        <v>97</v>
      </c>
      <c r="P1780" s="178">
        <f>(FME_Ranking1[[#This Row],[Pop Raw]]/$O$2)*100</f>
        <v>9.930405262910039E-3</v>
      </c>
      <c r="Q1780" s="178">
        <f>FME_Ranking1[[#This Row],[Pop Score (Normalized, Unweighted)]]*$O$3</f>
        <v>1.4895607894365058E-3</v>
      </c>
      <c r="R1780" s="137">
        <f>_xlfn.XLOOKUP(FME_Ranking1[[#This Row],[FME ID]],FME_Input[FME_ID],FME_Input[CRITFAC100])</f>
        <v>0</v>
      </c>
      <c r="S1780" s="230">
        <f>(FME_Ranking1[[#This Row],[Critical Facilities Raw]]/$R$2)*100</f>
        <v>0</v>
      </c>
      <c r="T1780" s="180">
        <f>FME_Ranking1[[#This Row],[Critical Facilities Score (Normalized, Unweighted)]]*$R$3</f>
        <v>0</v>
      </c>
      <c r="U1780">
        <f>_xlfn.XLOOKUP(FME_Ranking1[[#This Row],[FME ID]],FME_Input[FME_ID],FME_Input[LWC])</f>
        <v>0</v>
      </c>
      <c r="V1780" s="178">
        <f>(FME_Ranking1[[#This Row],[LWC Raw]]/$U$2)*100</f>
        <v>0</v>
      </c>
      <c r="W1780" s="178">
        <f>FME_Ranking1[[#This Row],[LWC Score (Normalized, Unweighted)]]*$U$3</f>
        <v>0</v>
      </c>
      <c r="X1780" s="246">
        <f>_xlfn.XLOOKUP(FME_Ranking1[[#This Row],[FME ID]],FME_Input[FME_ID],FME_Input[ROADCLS])</f>
        <v>0</v>
      </c>
      <c r="Y1780" s="230">
        <f>(FME_Ranking1[[#This Row],[Closures Raw]]/$X$2)*100</f>
        <v>0</v>
      </c>
      <c r="Z1780" s="180">
        <f>FME_Ranking1[[#This Row],[Closures Score (Normalized, Unweighted)]]*$X$3</f>
        <v>0</v>
      </c>
      <c r="AA1780" s="253">
        <f>_xlfn.XLOOKUP(FME_Ranking1[[#This Row],[FME ID]],FME_Input[FME_ID],FME_Input[ROAD_MILES100])</f>
        <v>2.2799005508422852</v>
      </c>
      <c r="AB1780" s="178">
        <f>(FME_Ranking1[[#This Row],[Miles Raw]]/$AA$2)*100</f>
        <v>2.9976603049966587E-2</v>
      </c>
      <c r="AC1780" s="178">
        <f>FME_Ranking1[[#This Row],[Miles Score (Normalized, Unweighted)]]*$AA$3</f>
        <v>2.9976603049966591E-3</v>
      </c>
      <c r="AD1780" s="255">
        <f>_xlfn.XLOOKUP(FME_Ranking1[[#This Row],[FME ID]],FME_Input[FME_ID],FME_Input[FARMACRE100])</f>
        <v>5.1774449348449707</v>
      </c>
      <c r="AE1780" s="230">
        <f>(FME_Ranking1[[#This Row],[Ag Land Raw]]/$AD$2)*100</f>
        <v>2.1349465226165384E-4</v>
      </c>
      <c r="AF1780" s="231">
        <f>FME_Ranking1[[#This Row],[Ag Land Score (Normalized, Unweighted)]]*$AD$3</f>
        <v>1.0674732613082693E-5</v>
      </c>
      <c r="AG178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8.6739983679651605E-3</v>
      </c>
      <c r="AH1780" s="406">
        <f t="shared" si="27"/>
        <v>1769</v>
      </c>
      <c r="AI178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8.6739983679651605E-3</v>
      </c>
      <c r="AJ1780" s="257">
        <f>FME_Ranking1[[#This Row],[Addition check]]-FME_Ranking1[[#This Row],[Weighted Score Based on Normalized Reported Factors]]</f>
        <v>0</v>
      </c>
      <c r="AK1780" s="178">
        <f>_xlfn.RANK.EQ(AI1780,$AI$6:$AI$2341,0)+COUNTIF($AI$6:AI1780,AI1780)-1</f>
        <v>1769</v>
      </c>
    </row>
    <row r="1781" spans="1:37" x14ac:dyDescent="0.25">
      <c r="A1781" t="s">
        <v>10374</v>
      </c>
      <c r="B1781">
        <f>_xlfn.XLOOKUP(FME_Ranking1[[#This Row],[FME ID]],FME_Input[FME_ID],FME_Input[RFPG_NUM])</f>
        <v>13</v>
      </c>
      <c r="C1781" t="str">
        <f>_xlfn.XLOOKUP(FME_Ranking1[[#This Row],[FME ID]],FME_Input[FME_ID],FME_Input[FME_NAME])</f>
        <v>Brawner Outfall Improvements</v>
      </c>
      <c r="D1781" t="str">
        <f>_xlfn.XLOOKUP(FME_Ranking1[[#This Row],[FME ID]],FME_Input[FME_ID],FME_Input[DESCR])</f>
        <v>Inspect the Brawner Outfall system and assess needed repairs, design improvements, and construct necessary repairs and upgrades to accommodate future flows to prevent flooding and improve water quality.</v>
      </c>
      <c r="E1781" s="256">
        <f>_xlfn.XLOOKUP(FME_Ranking1[[#This Row],[FME ID]],FME_Input[FME_ID],FME_Input[FME_COST])</f>
        <v>459000</v>
      </c>
      <c r="F1781" t="str">
        <f>_xlfn.XLOOKUP(FME_Ranking1[[#This Row],[FME ID]],FME_Input[FME_ID],FME_Input[EMER_NEED])</f>
        <v>Yes</v>
      </c>
      <c r="G1781">
        <f>IF(FME_Ranking!F1781="Yes",100,0)</f>
        <v>100</v>
      </c>
      <c r="H1781">
        <f>FME_Ranking1[[#This Row],[Emergency Need Score (Normalized, Unweighted)]]*$F$3</f>
        <v>0</v>
      </c>
      <c r="I1781" s="246">
        <f>_xlfn.XLOOKUP(FME_Ranking1[[#This Row],[FME ID]],FME_Input[FME_ID],FME_Input[STRUCT_100])</f>
        <v>7</v>
      </c>
      <c r="J1781" s="178">
        <f>(FME_Ranking1[[#This Row],[Structures 100 Raw]]/I$2)*100</f>
        <v>3.7484470719273445E-3</v>
      </c>
      <c r="K1781" s="178">
        <f>FME_Ranking1[[#This Row],[Structures 100  Score (Normalized, Unweighted)]]*$I$3</f>
        <v>5.622670607891017E-4</v>
      </c>
      <c r="L1781" s="246">
        <f>_xlfn.XLOOKUP(FME_Ranking1[[#This Row],[FME ID]],FME_Input[FME_ID],FME_Input[RES_STRUCT100])</f>
        <v>7</v>
      </c>
      <c r="M1781" s="230">
        <f>(FME_Ranking1[[#This Row],[Res Structures Raw]]/L$2)*100</f>
        <v>4.9581391395503681E-3</v>
      </c>
      <c r="N1781" s="180">
        <f>FME_Ranking1[[#This Row],[Res Structures Score (Normalized, Unweighted)]]*$L$3</f>
        <v>4.9581391395503687E-4</v>
      </c>
      <c r="O1781" s="244">
        <f>_xlfn.XLOOKUP(FME_Ranking1[[#This Row],[FME ID]],FME_Input[FME_ID],FME_Input[POP100])</f>
        <v>21</v>
      </c>
      <c r="P1781" s="178">
        <f>(FME_Ranking1[[#This Row],[Pop Raw]]/$O$2)*100</f>
        <v>2.1498815517640288E-3</v>
      </c>
      <c r="Q1781" s="178">
        <f>FME_Ranking1[[#This Row],[Pop Score (Normalized, Unweighted)]]*$O$3</f>
        <v>3.2248223276460432E-4</v>
      </c>
      <c r="R1781" s="137">
        <f>_xlfn.XLOOKUP(FME_Ranking1[[#This Row],[FME ID]],FME_Input[FME_ID],FME_Input[CRITFAC100])</f>
        <v>0</v>
      </c>
      <c r="S1781" s="230">
        <f>(FME_Ranking1[[#This Row],[Critical Facilities Raw]]/$R$2)*100</f>
        <v>0</v>
      </c>
      <c r="T1781" s="180">
        <f>FME_Ranking1[[#This Row],[Critical Facilities Score (Normalized, Unweighted)]]*$R$3</f>
        <v>0</v>
      </c>
      <c r="U1781">
        <f>_xlfn.XLOOKUP(FME_Ranking1[[#This Row],[FME ID]],FME_Input[FME_ID],FME_Input[LWC])</f>
        <v>0</v>
      </c>
      <c r="V1781" s="178">
        <f>(FME_Ranking1[[#This Row],[LWC Raw]]/$U$2)*100</f>
        <v>0</v>
      </c>
      <c r="W1781" s="178">
        <f>FME_Ranking1[[#This Row],[LWC Score (Normalized, Unweighted)]]*$U$3</f>
        <v>0</v>
      </c>
      <c r="X1781" s="246">
        <f>_xlfn.XLOOKUP(FME_Ranking1[[#This Row],[FME ID]],FME_Input[FME_ID],FME_Input[ROADCLS])</f>
        <v>8</v>
      </c>
      <c r="Y1781" s="230">
        <f>(FME_Ranking1[[#This Row],[Closures Raw]]/$X$2)*100</f>
        <v>8.4113132162758911E-2</v>
      </c>
      <c r="Z1781" s="180">
        <f>FME_Ranking1[[#This Row],[Closures Score (Normalized, Unweighted)]]*$X$3</f>
        <v>4.2056566081379457E-3</v>
      </c>
      <c r="AA1781" s="253">
        <f>_xlfn.XLOOKUP(FME_Ranking1[[#This Row],[FME ID]],FME_Input[FME_ID],FME_Input[ROAD_MILES100])</f>
        <v>1.0921832323074341</v>
      </c>
      <c r="AB1781" s="178">
        <f>(FME_Ranking1[[#This Row],[Miles Raw]]/$AA$2)*100</f>
        <v>1.4360250582251918E-2</v>
      </c>
      <c r="AC1781" s="178">
        <f>FME_Ranking1[[#This Row],[Miles Score (Normalized, Unweighted)]]*$AA$3</f>
        <v>1.4360250582251919E-3</v>
      </c>
      <c r="AD1781" s="255">
        <f>_xlfn.XLOOKUP(FME_Ranking1[[#This Row],[FME ID]],FME_Input[FME_ID],FME_Input[FARMACRE100])</f>
        <v>3.8535941392183297E-2</v>
      </c>
      <c r="AE1781" s="230">
        <f>(FME_Ranking1[[#This Row],[Ag Land Raw]]/$AD$2)*100</f>
        <v>1.5890497167298206E-6</v>
      </c>
      <c r="AF1781" s="231">
        <f>FME_Ranking1[[#This Row],[Ag Land Score (Normalized, Unweighted)]]*$AD$3</f>
        <v>7.9452485836491041E-8</v>
      </c>
      <c r="AG178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7.0223243263577168E-3</v>
      </c>
      <c r="AH1781" s="406">
        <f t="shared" si="27"/>
        <v>1798</v>
      </c>
      <c r="AI178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7.0223243263577168E-3</v>
      </c>
      <c r="AJ1781" s="257">
        <f>FME_Ranking1[[#This Row],[Addition check]]-FME_Ranking1[[#This Row],[Weighted Score Based on Normalized Reported Factors]]</f>
        <v>0</v>
      </c>
      <c r="AK1781" s="178">
        <f>_xlfn.RANK.EQ(AI1781,$AI$6:$AI$2341,0)+COUNTIF($AI$6:AI1781,AI1781)-1</f>
        <v>1798</v>
      </c>
    </row>
    <row r="1782" spans="1:37" x14ac:dyDescent="0.25">
      <c r="A1782" t="s">
        <v>11125</v>
      </c>
      <c r="B1782">
        <f>_xlfn.XLOOKUP(FME_Ranking1[[#This Row],[FME ID]],FME_Input[FME_ID],FME_Input[RFPG_NUM])</f>
        <v>15</v>
      </c>
      <c r="C1782" t="str">
        <f>_xlfn.XLOOKUP(FME_Ranking1[[#This Row],[FME ID]],FME_Input[FME_ID],FME_Input[FME_NAME])</f>
        <v>Indian Lake Action #1</v>
      </c>
      <c r="D1782" t="str">
        <f>_xlfn.XLOOKUP(FME_Ranking1[[#This Row],[FME ID]],FME_Input[FME_ID],FME_Input[DESCR])</f>
        <v>Elevate and harden S Resaca Shore Drive bridge to reduce risk of damages and maintaining critical access route</v>
      </c>
      <c r="E1782" s="256">
        <f>_xlfn.XLOOKUP(FME_Ranking1[[#This Row],[FME ID]],FME_Input[FME_ID],FME_Input[FME_COST])</f>
        <v>92400</v>
      </c>
      <c r="F1782" t="str">
        <f>_xlfn.XLOOKUP(FME_Ranking1[[#This Row],[FME ID]],FME_Input[FME_ID],FME_Input[EMER_NEED])</f>
        <v>Yes</v>
      </c>
      <c r="G1782">
        <f>IF(FME_Ranking!F1782="Yes",100,0)</f>
        <v>100</v>
      </c>
      <c r="H1782">
        <f>FME_Ranking1[[#This Row],[Emergency Need Score (Normalized, Unweighted)]]*$F$3</f>
        <v>0</v>
      </c>
      <c r="I1782" s="246">
        <f>_xlfn.XLOOKUP(FME_Ranking1[[#This Row],[FME ID]],FME_Input[FME_ID],FME_Input[STRUCT_100])</f>
        <v>0</v>
      </c>
      <c r="J1782" s="178">
        <f>(FME_Ranking1[[#This Row],[Structures 100 Raw]]/I$2)*100</f>
        <v>0</v>
      </c>
      <c r="K1782" s="178">
        <f>FME_Ranking1[[#This Row],[Structures 100  Score (Normalized, Unweighted)]]*$I$3</f>
        <v>0</v>
      </c>
      <c r="L1782" s="246">
        <f>_xlfn.XLOOKUP(FME_Ranking1[[#This Row],[FME ID]],FME_Input[FME_ID],FME_Input[RES_STRUCT100])</f>
        <v>38</v>
      </c>
      <c r="M1782" s="230">
        <f>(FME_Ranking1[[#This Row],[Res Structures Raw]]/L$2)*100</f>
        <v>2.691561247184485E-2</v>
      </c>
      <c r="N1782" s="180">
        <f>FME_Ranking1[[#This Row],[Res Structures Score (Normalized, Unweighted)]]*$L$3</f>
        <v>2.691561247184485E-3</v>
      </c>
      <c r="O1782" s="244">
        <f>_xlfn.XLOOKUP(FME_Ranking1[[#This Row],[FME ID]],FME_Input[FME_ID],FME_Input[POP100])</f>
        <v>184</v>
      </c>
      <c r="P1782" s="178">
        <f>(FME_Ranking1[[#This Row],[Pop Raw]]/$O$2)*100</f>
        <v>1.8837057405932445E-2</v>
      </c>
      <c r="Q1782" s="178">
        <f>FME_Ranking1[[#This Row],[Pop Score (Normalized, Unweighted)]]*$O$3</f>
        <v>2.8255586108898666E-3</v>
      </c>
      <c r="R1782" s="137">
        <f>_xlfn.XLOOKUP(FME_Ranking1[[#This Row],[FME ID]],FME_Input[FME_ID],FME_Input[CRITFAC100])</f>
        <v>0</v>
      </c>
      <c r="S1782" s="230">
        <f>(FME_Ranking1[[#This Row],[Critical Facilities Raw]]/$R$2)*100</f>
        <v>0</v>
      </c>
      <c r="T1782" s="180">
        <f>FME_Ranking1[[#This Row],[Critical Facilities Score (Normalized, Unweighted)]]*$R$3</f>
        <v>0</v>
      </c>
      <c r="U1782">
        <f>_xlfn.XLOOKUP(FME_Ranking1[[#This Row],[FME ID]],FME_Input[FME_ID],FME_Input[LWC])</f>
        <v>0</v>
      </c>
      <c r="V1782" s="178">
        <f>(FME_Ranking1[[#This Row],[LWC Raw]]/$U$2)*100</f>
        <v>0</v>
      </c>
      <c r="W1782" s="178">
        <f>FME_Ranking1[[#This Row],[LWC Score (Normalized, Unweighted)]]*$U$3</f>
        <v>0</v>
      </c>
      <c r="X1782" s="246">
        <f>_xlfn.XLOOKUP(FME_Ranking1[[#This Row],[FME ID]],FME_Input[FME_ID],FME_Input[ROADCLS])</f>
        <v>0</v>
      </c>
      <c r="Y1782" s="230">
        <f>(FME_Ranking1[[#This Row],[Closures Raw]]/$X$2)*100</f>
        <v>0</v>
      </c>
      <c r="Z1782" s="180">
        <f>FME_Ranking1[[#This Row],[Closures Score (Normalized, Unweighted)]]*$X$3</f>
        <v>0</v>
      </c>
      <c r="AA1782" s="253">
        <f>_xlfn.XLOOKUP(FME_Ranking1[[#This Row],[FME ID]],FME_Input[FME_ID],FME_Input[ROAD_MILES100])</f>
        <v>6.8506898880004883</v>
      </c>
      <c r="AB1782" s="178">
        <f>(FME_Ranking1[[#This Row],[Miles Raw]]/$AA$2)*100</f>
        <v>9.0074284738052485E-2</v>
      </c>
      <c r="AC1782" s="178">
        <f>FME_Ranking1[[#This Row],[Miles Score (Normalized, Unweighted)]]*$AA$3</f>
        <v>9.0074284738052481E-3</v>
      </c>
      <c r="AD1782" s="255">
        <f>_xlfn.XLOOKUP(FME_Ranking1[[#This Row],[FME ID]],FME_Input[FME_ID],FME_Input[FARMACRE100])</f>
        <v>0</v>
      </c>
      <c r="AE1782" s="230">
        <f>(FME_Ranking1[[#This Row],[Ag Land Raw]]/$AD$2)*100</f>
        <v>0</v>
      </c>
      <c r="AF1782" s="231">
        <f>FME_Ranking1[[#This Row],[Ag Land Score (Normalized, Unweighted)]]*$AD$3</f>
        <v>0</v>
      </c>
      <c r="AG178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1.45245483318796E-2</v>
      </c>
      <c r="AH1782" s="406">
        <f t="shared" si="27"/>
        <v>1641</v>
      </c>
      <c r="AI178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1.45245483318796E-2</v>
      </c>
      <c r="AJ1782" s="257">
        <f>FME_Ranking1[[#This Row],[Addition check]]-FME_Ranking1[[#This Row],[Weighted Score Based on Normalized Reported Factors]]</f>
        <v>0</v>
      </c>
      <c r="AK1782" s="178">
        <f>_xlfn.RANK.EQ(AI1782,$AI$6:$AI$2341,0)+COUNTIF($AI$6:AI1782,AI1782)-1</f>
        <v>1641</v>
      </c>
    </row>
    <row r="1783" spans="1:37" x14ac:dyDescent="0.25">
      <c r="A1783" t="s">
        <v>4608</v>
      </c>
      <c r="B1783">
        <f>_xlfn.XLOOKUP(FME_Ranking1[[#This Row],[FME ID]],FME_Input[FME_ID],FME_Input[RFPG_NUM])</f>
        <v>3</v>
      </c>
      <c r="C1783" t="str">
        <f>_xlfn.XLOOKUP(FME_Ranking1[[#This Row],[FME ID]],FME_Input[FME_ID],FME_Input[FME_NAME])</f>
        <v xml:space="preserve">Rock Creek Road Improvements </v>
      </c>
      <c r="D1783" t="str">
        <f>_xlfn.XLOOKUP(FME_Ranking1[[#This Row],[FME ID]],FME_Input[FME_ID],FME_Input[DESCR])</f>
        <v>Evaluate alternatives to mitigate repetitive damages to Rocky Creek Rd sustained between 2015 - Present</v>
      </c>
      <c r="E1783" s="256">
        <f>_xlfn.XLOOKUP(FME_Ranking1[[#This Row],[FME ID]],FME_Input[FME_ID],FME_Input[FME_COST])</f>
        <v>100000</v>
      </c>
      <c r="F1783" t="str">
        <f>_xlfn.XLOOKUP(FME_Ranking1[[#This Row],[FME ID]],FME_Input[FME_ID],FME_Input[EMER_NEED])</f>
        <v>No</v>
      </c>
      <c r="G1783">
        <f>IF(FME_Ranking!F1783="Yes",100,0)</f>
        <v>0</v>
      </c>
      <c r="H1783">
        <f>FME_Ranking1[[#This Row],[Emergency Need Score (Normalized, Unweighted)]]*$F$3</f>
        <v>0</v>
      </c>
      <c r="I1783" s="246">
        <f>_xlfn.XLOOKUP(FME_Ranking1[[#This Row],[FME ID]],FME_Input[FME_ID],FME_Input[STRUCT_100])</f>
        <v>32</v>
      </c>
      <c r="J1783" s="178">
        <f>(FME_Ranking1[[#This Row],[Structures 100 Raw]]/I$2)*100</f>
        <v>1.7135758043096434E-2</v>
      </c>
      <c r="K1783" s="178">
        <f>FME_Ranking1[[#This Row],[Structures 100  Score (Normalized, Unweighted)]]*$I$3</f>
        <v>2.570363706464465E-3</v>
      </c>
      <c r="L1783" s="246">
        <f>_xlfn.XLOOKUP(FME_Ranking1[[#This Row],[FME ID]],FME_Input[FME_ID],FME_Input[RES_STRUCT100])</f>
        <v>31</v>
      </c>
      <c r="M1783" s="230">
        <f>(FME_Ranking1[[#This Row],[Res Structures Raw]]/L$2)*100</f>
        <v>2.1957473332294485E-2</v>
      </c>
      <c r="N1783" s="180">
        <f>FME_Ranking1[[#This Row],[Res Structures Score (Normalized, Unweighted)]]*$L$3</f>
        <v>2.1957473332294484E-3</v>
      </c>
      <c r="O1783" s="244">
        <f>_xlfn.XLOOKUP(FME_Ranking1[[#This Row],[FME ID]],FME_Input[FME_ID],FME_Input[POP100])</f>
        <v>39</v>
      </c>
      <c r="P1783" s="178">
        <f>(FME_Ranking1[[#This Row],[Pop Raw]]/$O$2)*100</f>
        <v>3.9926371675617685E-3</v>
      </c>
      <c r="Q1783" s="178">
        <f>FME_Ranking1[[#This Row],[Pop Score (Normalized, Unweighted)]]*$O$3</f>
        <v>5.988955751342653E-4</v>
      </c>
      <c r="R1783" s="137">
        <f>_xlfn.XLOOKUP(FME_Ranking1[[#This Row],[FME ID]],FME_Input[FME_ID],FME_Input[CRITFAC100])</f>
        <v>0</v>
      </c>
      <c r="S1783" s="230">
        <f>(FME_Ranking1[[#This Row],[Critical Facilities Raw]]/$R$2)*100</f>
        <v>0</v>
      </c>
      <c r="T1783" s="180">
        <f>FME_Ranking1[[#This Row],[Critical Facilities Score (Normalized, Unweighted)]]*$R$3</f>
        <v>0</v>
      </c>
      <c r="U1783">
        <f>_xlfn.XLOOKUP(FME_Ranking1[[#This Row],[FME ID]],FME_Input[FME_ID],FME_Input[LWC])</f>
        <v>0</v>
      </c>
      <c r="V1783" s="178">
        <f>(FME_Ranking1[[#This Row],[LWC Raw]]/$U$2)*100</f>
        <v>0</v>
      </c>
      <c r="W1783" s="178">
        <f>FME_Ranking1[[#This Row],[LWC Score (Normalized, Unweighted)]]*$U$3</f>
        <v>0</v>
      </c>
      <c r="X1783" s="246">
        <f>_xlfn.XLOOKUP(FME_Ranking1[[#This Row],[FME ID]],FME_Input[FME_ID],FME_Input[ROADCLS])</f>
        <v>0</v>
      </c>
      <c r="Y1783" s="230">
        <f>(FME_Ranking1[[#This Row],[Closures Raw]]/$X$2)*100</f>
        <v>0</v>
      </c>
      <c r="Z1783" s="180">
        <f>FME_Ranking1[[#This Row],[Closures Score (Normalized, Unweighted)]]*$X$3</f>
        <v>0</v>
      </c>
      <c r="AA1783" s="253">
        <f>_xlfn.XLOOKUP(FME_Ranking1[[#This Row],[FME ID]],FME_Input[FME_ID],FME_Input[ROAD_MILES100])</f>
        <v>0.55425107479095459</v>
      </c>
      <c r="AB1783" s="178">
        <f>(FME_Ranking1[[#This Row],[Miles Raw]]/$AA$2)*100</f>
        <v>7.2874075375295262E-3</v>
      </c>
      <c r="AC1783" s="178">
        <f>FME_Ranking1[[#This Row],[Miles Score (Normalized, Unweighted)]]*$AA$3</f>
        <v>7.2874075375295271E-4</v>
      </c>
      <c r="AD1783" s="255">
        <f>_xlfn.XLOOKUP(FME_Ranking1[[#This Row],[FME ID]],FME_Input[FME_ID],FME_Input[FARMACRE100])</f>
        <v>17.127590179443359</v>
      </c>
      <c r="AE1783" s="230">
        <f>(FME_Ranking1[[#This Row],[Ag Land Raw]]/$AD$2)*100</f>
        <v>7.0626514727961448E-4</v>
      </c>
      <c r="AF1783" s="231">
        <f>FME_Ranking1[[#This Row],[Ag Land Score (Normalized, Unweighted)]]*$AD$3</f>
        <v>3.5313257363980725E-5</v>
      </c>
      <c r="AG178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6.1290606259451113E-3</v>
      </c>
      <c r="AH1783" s="406">
        <f t="shared" si="27"/>
        <v>1810</v>
      </c>
      <c r="AI178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6.1290606259451113E-3</v>
      </c>
      <c r="AJ1783" s="257">
        <f>FME_Ranking1[[#This Row],[Addition check]]-FME_Ranking1[[#This Row],[Weighted Score Based on Normalized Reported Factors]]</f>
        <v>0</v>
      </c>
      <c r="AK1783" s="178">
        <f>_xlfn.RANK.EQ(AI1783,$AI$6:$AI$2341,0)+COUNTIF($AI$6:AI1783,AI1783)-1</f>
        <v>1810</v>
      </c>
    </row>
    <row r="1784" spans="1:37" x14ac:dyDescent="0.25">
      <c r="A1784" t="s">
        <v>3266</v>
      </c>
      <c r="B1784">
        <f>_xlfn.XLOOKUP(FME_Ranking1[[#This Row],[FME ID]],FME_Input[FME_ID],FME_Input[RFPG_NUM])</f>
        <v>1</v>
      </c>
      <c r="C1784" t="str">
        <f>_xlfn.XLOOKUP(FME_Ranking1[[#This Row],[FME ID]],FME_Input[FME_ID],FME_Input[FME_NAME])</f>
        <v>Playa No. 7 Project Planning (City of Amarillo)</v>
      </c>
      <c r="D1784" t="str">
        <f>_xlfn.XLOOKUP(FME_Ranking1[[#This Row],[FME ID]],FME_Input[FME_ID],FME_Input[DESCR])</f>
        <v>Evaluate project to quantify benefits, evaluate impacts and begin design. Proposed improvements include excavating 100,000 CY, add new 3,000 GPM pumping station withsuction line, and add new force main. Project identified from 2019 Amarillo DMP.</v>
      </c>
      <c r="E1784" s="256">
        <f>_xlfn.XLOOKUP(FME_Ranking1[[#This Row],[FME ID]],FME_Input[FME_ID],FME_Input[FME_COST])</f>
        <v>250000</v>
      </c>
      <c r="F1784" t="str">
        <f>_xlfn.XLOOKUP(FME_Ranking1[[#This Row],[FME ID]],FME_Input[FME_ID],FME_Input[EMER_NEED])</f>
        <v>No</v>
      </c>
      <c r="G1784">
        <f>IF(FME_Ranking!F1784="Yes",100,0)</f>
        <v>0</v>
      </c>
      <c r="H1784">
        <f>FME_Ranking1[[#This Row],[Emergency Need Score (Normalized, Unweighted)]]*$F$3</f>
        <v>0</v>
      </c>
      <c r="I1784" s="246">
        <f>_xlfn.XLOOKUP(FME_Ranking1[[#This Row],[FME ID]],FME_Input[FME_ID],FME_Input[STRUCT_100])</f>
        <v>31</v>
      </c>
      <c r="J1784" s="178">
        <f>(FME_Ranking1[[#This Row],[Structures 100 Raw]]/I$2)*100</f>
        <v>1.6600265604249667E-2</v>
      </c>
      <c r="K1784" s="178">
        <f>FME_Ranking1[[#This Row],[Structures 100  Score (Normalized, Unweighted)]]*$I$3</f>
        <v>2.4900398406374502E-3</v>
      </c>
      <c r="L1784" s="246">
        <f>_xlfn.XLOOKUP(FME_Ranking1[[#This Row],[FME ID]],FME_Input[FME_ID],FME_Input[RES_STRUCT100])</f>
        <v>21</v>
      </c>
      <c r="M1784" s="230">
        <f>(FME_Ranking1[[#This Row],[Res Structures Raw]]/L$2)*100</f>
        <v>1.4874417418651103E-2</v>
      </c>
      <c r="N1784" s="180">
        <f>FME_Ranking1[[#This Row],[Res Structures Score (Normalized, Unweighted)]]*$L$3</f>
        <v>1.4874417418651103E-3</v>
      </c>
      <c r="O1784" s="244">
        <f>_xlfn.XLOOKUP(FME_Ranking1[[#This Row],[FME ID]],FME_Input[FME_ID],FME_Input[POP100])</f>
        <v>81</v>
      </c>
      <c r="P1784" s="178">
        <f>(FME_Ranking1[[#This Row],[Pop Raw]]/$O$2)*100</f>
        <v>8.2924002710898261E-3</v>
      </c>
      <c r="Q1784" s="178">
        <f>FME_Ranking1[[#This Row],[Pop Score (Normalized, Unweighted)]]*$O$3</f>
        <v>1.243860040663474E-3</v>
      </c>
      <c r="R1784" s="137">
        <f>_xlfn.XLOOKUP(FME_Ranking1[[#This Row],[FME ID]],FME_Input[FME_ID],FME_Input[CRITFAC100])</f>
        <v>0</v>
      </c>
      <c r="S1784" s="230">
        <f>(FME_Ranking1[[#This Row],[Critical Facilities Raw]]/$R$2)*100</f>
        <v>0</v>
      </c>
      <c r="T1784" s="180">
        <f>FME_Ranking1[[#This Row],[Critical Facilities Score (Normalized, Unweighted)]]*$R$3</f>
        <v>0</v>
      </c>
      <c r="U1784">
        <f>_xlfn.XLOOKUP(FME_Ranking1[[#This Row],[FME ID]],FME_Input[FME_ID],FME_Input[LWC])</f>
        <v>0</v>
      </c>
      <c r="V1784" s="178">
        <f>(FME_Ranking1[[#This Row],[LWC Raw]]/$U$2)*100</f>
        <v>0</v>
      </c>
      <c r="W1784" s="178">
        <f>FME_Ranking1[[#This Row],[LWC Score (Normalized, Unweighted)]]*$U$3</f>
        <v>0</v>
      </c>
      <c r="X1784" s="246">
        <f>_xlfn.XLOOKUP(FME_Ranking1[[#This Row],[FME ID]],FME_Input[FME_ID],FME_Input[ROADCLS])</f>
        <v>0</v>
      </c>
      <c r="Y1784" s="230">
        <f>(FME_Ranking1[[#This Row],[Closures Raw]]/$X$2)*100</f>
        <v>0</v>
      </c>
      <c r="Z1784" s="180">
        <f>FME_Ranking1[[#This Row],[Closures Score (Normalized, Unweighted)]]*$X$3</f>
        <v>0</v>
      </c>
      <c r="AA1784" s="253">
        <f>_xlfn.XLOOKUP(FME_Ranking1[[#This Row],[FME ID]],FME_Input[FME_ID],FME_Input[ROAD_MILES100])</f>
        <v>2.1458451747894292</v>
      </c>
      <c r="AB1784" s="178">
        <f>(FME_Ranking1[[#This Row],[Miles Raw]]/$AA$2)*100</f>
        <v>2.8214015294476175E-2</v>
      </c>
      <c r="AC1784" s="178">
        <f>FME_Ranking1[[#This Row],[Miles Score (Normalized, Unweighted)]]*$AA$3</f>
        <v>2.8214015294476175E-3</v>
      </c>
      <c r="AD1784" s="255">
        <f>_xlfn.XLOOKUP(FME_Ranking1[[#This Row],[FME ID]],FME_Input[FME_ID],FME_Input[FARMACRE100])</f>
        <v>19.12336540222168</v>
      </c>
      <c r="AE1784" s="230">
        <f>(FME_Ranking1[[#This Row],[Ag Land Raw]]/$AD$2)*100</f>
        <v>7.8856198337184447E-4</v>
      </c>
      <c r="AF1784" s="231">
        <f>FME_Ranking1[[#This Row],[Ag Land Score (Normalized, Unweighted)]]*$AD$3</f>
        <v>3.9428099168592225E-5</v>
      </c>
      <c r="AG178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8.0821712517822452E-3</v>
      </c>
      <c r="AH1784" s="406">
        <f t="shared" si="27"/>
        <v>1784</v>
      </c>
      <c r="AI178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8.0821712517822452E-3</v>
      </c>
      <c r="AJ1784" s="257">
        <f>FME_Ranking1[[#This Row],[Addition check]]-FME_Ranking1[[#This Row],[Weighted Score Based on Normalized Reported Factors]]</f>
        <v>0</v>
      </c>
      <c r="AK1784" s="178">
        <f>_xlfn.RANK.EQ(AI1784,$AI$6:$AI$2341,0)+COUNTIF($AI$6:AI1784,AI1784)-1</f>
        <v>1784</v>
      </c>
    </row>
    <row r="1785" spans="1:37" x14ac:dyDescent="0.25">
      <c r="A1785" t="s">
        <v>6880</v>
      </c>
      <c r="B1785">
        <f>_xlfn.XLOOKUP(FME_Ranking1[[#This Row],[FME ID]],FME_Input[FME_ID],FME_Input[RFPG_NUM])</f>
        <v>7</v>
      </c>
      <c r="C1785" t="str">
        <f>_xlfn.XLOOKUP(FME_Ranking1[[#This Row],[FME ID]],FME_Input[FME_ID],FME_Input[FME_NAME])</f>
        <v>City of Spur DMP</v>
      </c>
      <c r="D1785" t="str">
        <f>_xlfn.XLOOKUP(FME_Ranking1[[#This Row],[FME ID]],FME_Input[FME_ID],FME_Input[DESCR])</f>
        <v>Emulate the City of Spur storm infrastructure. Determine level of service, recommend improvements.</v>
      </c>
      <c r="E1785" s="256">
        <f>_xlfn.XLOOKUP(FME_Ranking1[[#This Row],[FME ID]],FME_Input[FME_ID],FME_Input[FME_COST])</f>
        <v>250000</v>
      </c>
      <c r="F1785" t="str">
        <f>_xlfn.XLOOKUP(FME_Ranking1[[#This Row],[FME ID]],FME_Input[FME_ID],FME_Input[EMER_NEED])</f>
        <v>No</v>
      </c>
      <c r="G1785">
        <f>IF(FME_Ranking!F1785="Yes",100,0)</f>
        <v>0</v>
      </c>
      <c r="H1785">
        <f>FME_Ranking1[[#This Row],[Emergency Need Score (Normalized, Unweighted)]]*$F$3</f>
        <v>0</v>
      </c>
      <c r="I1785" s="246">
        <f>_xlfn.XLOOKUP(FME_Ranking1[[#This Row],[FME ID]],FME_Input[FME_ID],FME_Input[STRUCT_100])</f>
        <v>57</v>
      </c>
      <c r="J1785" s="178">
        <f>(FME_Ranking1[[#This Row],[Structures 100 Raw]]/I$2)*100</f>
        <v>3.0523069014265519E-2</v>
      </c>
      <c r="K1785" s="178">
        <f>FME_Ranking1[[#This Row],[Structures 100  Score (Normalized, Unweighted)]]*$I$3</f>
        <v>4.5784603521398281E-3</v>
      </c>
      <c r="L1785" s="246">
        <f>_xlfn.XLOOKUP(FME_Ranking1[[#This Row],[FME ID]],FME_Input[FME_ID],FME_Input[RES_STRUCT100])</f>
        <v>0</v>
      </c>
      <c r="M1785" s="230">
        <f>(FME_Ranking1[[#This Row],[Res Structures Raw]]/L$2)*100</f>
        <v>0</v>
      </c>
      <c r="N1785" s="180">
        <f>FME_Ranking1[[#This Row],[Res Structures Score (Normalized, Unweighted)]]*$L$3</f>
        <v>0</v>
      </c>
      <c r="O1785" s="244">
        <f>_xlfn.XLOOKUP(FME_Ranking1[[#This Row],[FME ID]],FME_Input[FME_ID],FME_Input[POP100])</f>
        <v>37</v>
      </c>
      <c r="P1785" s="178">
        <f>(FME_Ranking1[[#This Row],[Pop Raw]]/$O$2)*100</f>
        <v>3.7878865435842413E-3</v>
      </c>
      <c r="Q1785" s="178">
        <f>FME_Ranking1[[#This Row],[Pop Score (Normalized, Unweighted)]]*$O$3</f>
        <v>5.6818298153763619E-4</v>
      </c>
      <c r="R1785" s="137">
        <f>_xlfn.XLOOKUP(FME_Ranking1[[#This Row],[FME ID]],FME_Input[FME_ID],FME_Input[CRITFAC100])</f>
        <v>0</v>
      </c>
      <c r="S1785" s="230">
        <f>(FME_Ranking1[[#This Row],[Critical Facilities Raw]]/$R$2)*100</f>
        <v>0</v>
      </c>
      <c r="T1785" s="180">
        <f>FME_Ranking1[[#This Row],[Critical Facilities Score (Normalized, Unweighted)]]*$R$3</f>
        <v>0</v>
      </c>
      <c r="U1785">
        <f>_xlfn.XLOOKUP(FME_Ranking1[[#This Row],[FME ID]],FME_Input[FME_ID],FME_Input[LWC])</f>
        <v>0</v>
      </c>
      <c r="V1785" s="178">
        <f>(FME_Ranking1[[#This Row],[LWC Raw]]/$U$2)*100</f>
        <v>0</v>
      </c>
      <c r="W1785" s="178">
        <f>FME_Ranking1[[#This Row],[LWC Score (Normalized, Unweighted)]]*$U$3</f>
        <v>0</v>
      </c>
      <c r="X1785" s="246">
        <f>_xlfn.XLOOKUP(FME_Ranking1[[#This Row],[FME ID]],FME_Input[FME_ID],FME_Input[ROADCLS])</f>
        <v>0</v>
      </c>
      <c r="Y1785" s="230">
        <f>(FME_Ranking1[[#This Row],[Closures Raw]]/$X$2)*100</f>
        <v>0</v>
      </c>
      <c r="Z1785" s="180">
        <f>FME_Ranking1[[#This Row],[Closures Score (Normalized, Unweighted)]]*$X$3</f>
        <v>0</v>
      </c>
      <c r="AA1785" s="253">
        <f>_xlfn.XLOOKUP(FME_Ranking1[[#This Row],[FME ID]],FME_Input[FME_ID],FME_Input[ROAD_MILES100])</f>
        <v>3.0450596809387211</v>
      </c>
      <c r="AB1785" s="178">
        <f>(FME_Ranking1[[#This Row],[Miles Raw]]/$AA$2)*100</f>
        <v>4.0037073233407182E-2</v>
      </c>
      <c r="AC1785" s="178">
        <f>FME_Ranking1[[#This Row],[Miles Score (Normalized, Unweighted)]]*$AA$3</f>
        <v>4.0037073233407184E-3</v>
      </c>
      <c r="AD1785" s="255">
        <f>_xlfn.XLOOKUP(FME_Ranking1[[#This Row],[FME ID]],FME_Input[FME_ID],FME_Input[FARMACRE100])</f>
        <v>6.7907199263572693E-3</v>
      </c>
      <c r="AE1785" s="230">
        <f>(FME_Ranking1[[#This Row],[Ag Land Raw]]/$AD$2)*100</f>
        <v>2.8001889108016949E-7</v>
      </c>
      <c r="AF1785" s="231">
        <f>FME_Ranking1[[#This Row],[Ag Land Score (Normalized, Unweighted)]]*$AD$3</f>
        <v>1.4000944554008475E-8</v>
      </c>
      <c r="AG178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9.1503646579627375E-3</v>
      </c>
      <c r="AH1785" s="406">
        <f t="shared" si="27"/>
        <v>1764</v>
      </c>
      <c r="AI178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9.1503646579627375E-3</v>
      </c>
      <c r="AJ1785" s="257">
        <f>FME_Ranking1[[#This Row],[Addition check]]-FME_Ranking1[[#This Row],[Weighted Score Based on Normalized Reported Factors]]</f>
        <v>0</v>
      </c>
      <c r="AK1785" s="178">
        <f>_xlfn.RANK.EQ(AI1785,$AI$6:$AI$2341,0)+COUNTIF($AI$6:AI1785,AI1785)-1</f>
        <v>1764</v>
      </c>
    </row>
    <row r="1786" spans="1:37" x14ac:dyDescent="0.25">
      <c r="A1786" t="s">
        <v>7076</v>
      </c>
      <c r="B1786">
        <f>_xlfn.XLOOKUP(FME_Ranking1[[#This Row],[FME ID]],FME_Input[FME_ID],FME_Input[RFPG_NUM])</f>
        <v>7</v>
      </c>
      <c r="C1786" t="str">
        <f>_xlfn.XLOOKUP(FME_Ranking1[[#This Row],[FME ID]],FME_Input[FME_ID],FME_Input[FME_NAME])</f>
        <v>Town of Rule DMP</v>
      </c>
      <c r="D1786" t="str">
        <f>_xlfn.XLOOKUP(FME_Ranking1[[#This Row],[FME ID]],FME_Input[FME_ID],FME_Input[DESCR])</f>
        <v>Evaluate town to identify future projects, analyze roads/stream crossing for emergency response vehicles to high hazard areas</v>
      </c>
      <c r="E1786" s="256">
        <f>_xlfn.XLOOKUP(FME_Ranking1[[#This Row],[FME ID]],FME_Input[FME_ID],FME_Input[FME_COST])</f>
        <v>250000</v>
      </c>
      <c r="F1786" t="str">
        <f>_xlfn.XLOOKUP(FME_Ranking1[[#This Row],[FME ID]],FME_Input[FME_ID],FME_Input[EMER_NEED])</f>
        <v>No</v>
      </c>
      <c r="G1786">
        <f>IF(FME_Ranking!F1786="Yes",100,0)</f>
        <v>0</v>
      </c>
      <c r="H1786">
        <f>FME_Ranking1[[#This Row],[Emergency Need Score (Normalized, Unweighted)]]*$F$3</f>
        <v>0</v>
      </c>
      <c r="I1786" s="246">
        <f>_xlfn.XLOOKUP(FME_Ranking1[[#This Row],[FME ID]],FME_Input[FME_ID],FME_Input[STRUCT_100])</f>
        <v>33</v>
      </c>
      <c r="J1786" s="178">
        <f>(FME_Ranking1[[#This Row],[Structures 100 Raw]]/I$2)*100</f>
        <v>1.7671250481943197E-2</v>
      </c>
      <c r="K1786" s="178">
        <f>FME_Ranking1[[#This Row],[Structures 100  Score (Normalized, Unweighted)]]*$I$3</f>
        <v>2.6506875722914795E-3</v>
      </c>
      <c r="L1786" s="246">
        <f>_xlfn.XLOOKUP(FME_Ranking1[[#This Row],[FME ID]],FME_Input[FME_ID],FME_Input[RES_STRUCT100])</f>
        <v>25</v>
      </c>
      <c r="M1786" s="230">
        <f>(FME_Ranking1[[#This Row],[Res Structures Raw]]/L$2)*100</f>
        <v>1.7707639784108456E-2</v>
      </c>
      <c r="N1786" s="180">
        <f>FME_Ranking1[[#This Row],[Res Structures Score (Normalized, Unweighted)]]*$L$3</f>
        <v>1.7707639784108457E-3</v>
      </c>
      <c r="O1786" s="244">
        <f>_xlfn.XLOOKUP(FME_Ranking1[[#This Row],[FME ID]],FME_Input[FME_ID],FME_Input[POP100])</f>
        <v>47</v>
      </c>
      <c r="P1786" s="178">
        <f>(FME_Ranking1[[#This Row],[Pop Raw]]/$O$2)*100</f>
        <v>4.811639663471875E-3</v>
      </c>
      <c r="Q1786" s="178">
        <f>FME_Ranking1[[#This Row],[Pop Score (Normalized, Unweighted)]]*$O$3</f>
        <v>7.2174594952078121E-4</v>
      </c>
      <c r="R1786" s="137">
        <f>_xlfn.XLOOKUP(FME_Ranking1[[#This Row],[FME ID]],FME_Input[FME_ID],FME_Input[CRITFAC100])</f>
        <v>0</v>
      </c>
      <c r="S1786" s="230">
        <f>(FME_Ranking1[[#This Row],[Critical Facilities Raw]]/$R$2)*100</f>
        <v>0</v>
      </c>
      <c r="T1786" s="180">
        <f>FME_Ranking1[[#This Row],[Critical Facilities Score (Normalized, Unweighted)]]*$R$3</f>
        <v>0</v>
      </c>
      <c r="U1786">
        <f>_xlfn.XLOOKUP(FME_Ranking1[[#This Row],[FME ID]],FME_Input[FME_ID],FME_Input[LWC])</f>
        <v>0</v>
      </c>
      <c r="V1786" s="178">
        <f>(FME_Ranking1[[#This Row],[LWC Raw]]/$U$2)*100</f>
        <v>0</v>
      </c>
      <c r="W1786" s="178">
        <f>FME_Ranking1[[#This Row],[LWC Score (Normalized, Unweighted)]]*$U$3</f>
        <v>0</v>
      </c>
      <c r="X1786" s="246">
        <f>_xlfn.XLOOKUP(FME_Ranking1[[#This Row],[FME ID]],FME_Input[FME_ID],FME_Input[ROADCLS])</f>
        <v>0</v>
      </c>
      <c r="Y1786" s="230">
        <f>(FME_Ranking1[[#This Row],[Closures Raw]]/$X$2)*100</f>
        <v>0</v>
      </c>
      <c r="Z1786" s="180">
        <f>FME_Ranking1[[#This Row],[Closures Score (Normalized, Unweighted)]]*$X$3</f>
        <v>0</v>
      </c>
      <c r="AA1786" s="253">
        <f>_xlfn.XLOOKUP(FME_Ranking1[[#This Row],[FME ID]],FME_Input[FME_ID],FME_Input[ROAD_MILES100])</f>
        <v>1.7382849454879761</v>
      </c>
      <c r="AB1786" s="178">
        <f>(FME_Ranking1[[#This Row],[Miles Raw]]/$AA$2)*100</f>
        <v>2.2855329272750587E-2</v>
      </c>
      <c r="AC1786" s="178">
        <f>FME_Ranking1[[#This Row],[Miles Score (Normalized, Unweighted)]]*$AA$3</f>
        <v>2.2855329272750587E-3</v>
      </c>
      <c r="AD1786" s="255">
        <f>_xlfn.XLOOKUP(FME_Ranking1[[#This Row],[FME ID]],FME_Input[FME_ID],FME_Input[FARMACRE100])</f>
        <v>0.9413105845451355</v>
      </c>
      <c r="AE1786" s="230">
        <f>(FME_Ranking1[[#This Row],[Ag Land Raw]]/$AD$2)*100</f>
        <v>3.8815434726336757E-5</v>
      </c>
      <c r="AF1786" s="231">
        <f>FME_Ranking1[[#This Row],[Ag Land Score (Normalized, Unweighted)]]*$AD$3</f>
        <v>1.9407717363168378E-6</v>
      </c>
      <c r="AG178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7.430671199234482E-3</v>
      </c>
      <c r="AH1786" s="406">
        <f t="shared" si="27"/>
        <v>1792</v>
      </c>
      <c r="AI178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7.430671199234482E-3</v>
      </c>
      <c r="AJ1786" s="257">
        <f>FME_Ranking1[[#This Row],[Addition check]]-FME_Ranking1[[#This Row],[Weighted Score Based on Normalized Reported Factors]]</f>
        <v>0</v>
      </c>
      <c r="AK1786" s="178">
        <f>_xlfn.RANK.EQ(AI1786,$AI$6:$AI$2341,0)+COUNTIF($AI$6:AI1786,AI1786)-1</f>
        <v>1792</v>
      </c>
    </row>
    <row r="1787" spans="1:37" x14ac:dyDescent="0.25">
      <c r="A1787" t="s">
        <v>7339</v>
      </c>
      <c r="B1787">
        <f>_xlfn.XLOOKUP(FME_Ranking1[[#This Row],[FME ID]],FME_Input[FME_ID],FME_Input[RFPG_NUM])</f>
        <v>7</v>
      </c>
      <c r="C1787" t="str">
        <f>_xlfn.XLOOKUP(FME_Ranking1[[#This Row],[FME ID]],FME_Input[FME_ID],FME_Input[FME_NAME])</f>
        <v>Town of Rule Stream Restoration Program</v>
      </c>
      <c r="D1787" t="str">
        <f>_xlfn.XLOOKUP(FME_Ranking1[[#This Row],[FME ID]],FME_Input[FME_ID],FME_Input[DESCR])</f>
        <v>Implement stream restoration / channelization program to ensure adequate drainage / diversion of stormwater.</v>
      </c>
      <c r="E1787" s="256">
        <f>_xlfn.XLOOKUP(FME_Ranking1[[#This Row],[FME ID]],FME_Input[FME_ID],FME_Input[FME_COST])</f>
        <v>250000</v>
      </c>
      <c r="F1787" t="str">
        <f>_xlfn.XLOOKUP(FME_Ranking1[[#This Row],[FME ID]],FME_Input[FME_ID],FME_Input[EMER_NEED])</f>
        <v>No</v>
      </c>
      <c r="G1787">
        <f>IF(FME_Ranking!F1787="Yes",100,0)</f>
        <v>0</v>
      </c>
      <c r="H1787">
        <f>FME_Ranking1[[#This Row],[Emergency Need Score (Normalized, Unweighted)]]*$F$3</f>
        <v>0</v>
      </c>
      <c r="I1787" s="246">
        <f>_xlfn.XLOOKUP(FME_Ranking1[[#This Row],[FME ID]],FME_Input[FME_ID],FME_Input[STRUCT_100])</f>
        <v>33</v>
      </c>
      <c r="J1787" s="178">
        <f>(FME_Ranking1[[#This Row],[Structures 100 Raw]]/I$2)*100</f>
        <v>1.7671250481943197E-2</v>
      </c>
      <c r="K1787" s="178">
        <f>FME_Ranking1[[#This Row],[Structures 100  Score (Normalized, Unweighted)]]*$I$3</f>
        <v>2.6506875722914795E-3</v>
      </c>
      <c r="L1787" s="246">
        <f>_xlfn.XLOOKUP(FME_Ranking1[[#This Row],[FME ID]],FME_Input[FME_ID],FME_Input[RES_STRUCT100])</f>
        <v>25</v>
      </c>
      <c r="M1787" s="230">
        <f>(FME_Ranking1[[#This Row],[Res Structures Raw]]/L$2)*100</f>
        <v>1.7707639784108456E-2</v>
      </c>
      <c r="N1787" s="180">
        <f>FME_Ranking1[[#This Row],[Res Structures Score (Normalized, Unweighted)]]*$L$3</f>
        <v>1.7707639784108457E-3</v>
      </c>
      <c r="O1787" s="244">
        <f>_xlfn.XLOOKUP(FME_Ranking1[[#This Row],[FME ID]],FME_Input[FME_ID],FME_Input[POP100])</f>
        <v>47</v>
      </c>
      <c r="P1787" s="178">
        <f>(FME_Ranking1[[#This Row],[Pop Raw]]/$O$2)*100</f>
        <v>4.811639663471875E-3</v>
      </c>
      <c r="Q1787" s="178">
        <f>FME_Ranking1[[#This Row],[Pop Score (Normalized, Unweighted)]]*$O$3</f>
        <v>7.2174594952078121E-4</v>
      </c>
      <c r="R1787" s="137">
        <f>_xlfn.XLOOKUP(FME_Ranking1[[#This Row],[FME ID]],FME_Input[FME_ID],FME_Input[CRITFAC100])</f>
        <v>0</v>
      </c>
      <c r="S1787" s="230">
        <f>(FME_Ranking1[[#This Row],[Critical Facilities Raw]]/$R$2)*100</f>
        <v>0</v>
      </c>
      <c r="T1787" s="180">
        <f>FME_Ranking1[[#This Row],[Critical Facilities Score (Normalized, Unweighted)]]*$R$3</f>
        <v>0</v>
      </c>
      <c r="U1787">
        <f>_xlfn.XLOOKUP(FME_Ranking1[[#This Row],[FME ID]],FME_Input[FME_ID],FME_Input[LWC])</f>
        <v>0</v>
      </c>
      <c r="V1787" s="178">
        <f>(FME_Ranking1[[#This Row],[LWC Raw]]/$U$2)*100</f>
        <v>0</v>
      </c>
      <c r="W1787" s="178">
        <f>FME_Ranking1[[#This Row],[LWC Score (Normalized, Unweighted)]]*$U$3</f>
        <v>0</v>
      </c>
      <c r="X1787" s="246">
        <f>_xlfn.XLOOKUP(FME_Ranking1[[#This Row],[FME ID]],FME_Input[FME_ID],FME_Input[ROADCLS])</f>
        <v>0</v>
      </c>
      <c r="Y1787" s="230">
        <f>(FME_Ranking1[[#This Row],[Closures Raw]]/$X$2)*100</f>
        <v>0</v>
      </c>
      <c r="Z1787" s="180">
        <f>FME_Ranking1[[#This Row],[Closures Score (Normalized, Unweighted)]]*$X$3</f>
        <v>0</v>
      </c>
      <c r="AA1787" s="253">
        <f>_xlfn.XLOOKUP(FME_Ranking1[[#This Row],[FME ID]],FME_Input[FME_ID],FME_Input[ROAD_MILES100])</f>
        <v>1.7382849454879761</v>
      </c>
      <c r="AB1787" s="178">
        <f>(FME_Ranking1[[#This Row],[Miles Raw]]/$AA$2)*100</f>
        <v>2.2855329272750587E-2</v>
      </c>
      <c r="AC1787" s="178">
        <f>FME_Ranking1[[#This Row],[Miles Score (Normalized, Unweighted)]]*$AA$3</f>
        <v>2.2855329272750587E-3</v>
      </c>
      <c r="AD1787" s="255">
        <f>_xlfn.XLOOKUP(FME_Ranking1[[#This Row],[FME ID]],FME_Input[FME_ID],FME_Input[FARMACRE100])</f>
        <v>0.9413105845451355</v>
      </c>
      <c r="AE1787" s="230">
        <f>(FME_Ranking1[[#This Row],[Ag Land Raw]]/$AD$2)*100</f>
        <v>3.8815434726336757E-5</v>
      </c>
      <c r="AF1787" s="231">
        <f>FME_Ranking1[[#This Row],[Ag Land Score (Normalized, Unweighted)]]*$AD$3</f>
        <v>1.9407717363168378E-6</v>
      </c>
      <c r="AG178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7.430671199234482E-3</v>
      </c>
      <c r="AH1787" s="406">
        <f t="shared" si="27"/>
        <v>1792</v>
      </c>
      <c r="AI178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7.430671199234482E-3</v>
      </c>
      <c r="AJ1787" s="257">
        <f>FME_Ranking1[[#This Row],[Addition check]]-FME_Ranking1[[#This Row],[Weighted Score Based on Normalized Reported Factors]]</f>
        <v>0</v>
      </c>
      <c r="AK1787" s="178">
        <f>_xlfn.RANK.EQ(AI1787,$AI$6:$AI$2341,0)+COUNTIF($AI$6:AI1787,AI1787)-1</f>
        <v>1793</v>
      </c>
    </row>
    <row r="1788" spans="1:37" x14ac:dyDescent="0.25">
      <c r="A1788" t="s">
        <v>1727</v>
      </c>
      <c r="B1788">
        <f>_xlfn.XLOOKUP(FME_Ranking1[[#This Row],[FME ID]],FME_Input[FME_ID],FME_Input[RFPG_NUM])</f>
        <v>6</v>
      </c>
      <c r="C1788" t="str">
        <f>_xlfn.XLOOKUP(FME_Ranking1[[#This Row],[FME ID]],FME_Input[FME_ID],FME_Input[FME_NAME])</f>
        <v>City of Prairie View  Master Drainage Plan</v>
      </c>
      <c r="D1788" t="str">
        <f>_xlfn.XLOOKUP(FME_Ranking1[[#This Row],[FME ID]],FME_Input[FME_ID],FME_Input[DESCR])</f>
        <v>Study to develop Master Drainage Plan using future and existing land use and flood/storm water drainage needs including Atlas 14 rainfall.</v>
      </c>
      <c r="E1788" s="256">
        <f>_xlfn.XLOOKUP(FME_Ranking1[[#This Row],[FME ID]],FME_Input[FME_ID],FME_Input[FME_COST])</f>
        <v>290000</v>
      </c>
      <c r="F1788" t="str">
        <f>_xlfn.XLOOKUP(FME_Ranking1[[#This Row],[FME ID]],FME_Input[FME_ID],FME_Input[EMER_NEED])</f>
        <v>No</v>
      </c>
      <c r="G1788">
        <f>IF(FME_Ranking!F1788="Yes",100,0)</f>
        <v>0</v>
      </c>
      <c r="H1788">
        <f>FME_Ranking1[[#This Row],[Emergency Need Score (Normalized, Unweighted)]]*$F$3</f>
        <v>0</v>
      </c>
      <c r="I1788" s="246">
        <f>_xlfn.XLOOKUP(FME_Ranking1[[#This Row],[FME ID]],FME_Input[FME_ID],FME_Input[STRUCT_100])</f>
        <v>32</v>
      </c>
      <c r="J1788" s="178">
        <f>(FME_Ranking1[[#This Row],[Structures 100 Raw]]/I$2)*100</f>
        <v>1.7135758043096434E-2</v>
      </c>
      <c r="K1788" s="178">
        <f>FME_Ranking1[[#This Row],[Structures 100  Score (Normalized, Unweighted)]]*$I$3</f>
        <v>2.570363706464465E-3</v>
      </c>
      <c r="L1788" s="246">
        <f>_xlfn.XLOOKUP(FME_Ranking1[[#This Row],[FME ID]],FME_Input[FME_ID],FME_Input[RES_STRUCT100])</f>
        <v>25</v>
      </c>
      <c r="M1788" s="230">
        <f>(FME_Ranking1[[#This Row],[Res Structures Raw]]/L$2)*100</f>
        <v>1.7707639784108456E-2</v>
      </c>
      <c r="N1788" s="180">
        <f>FME_Ranking1[[#This Row],[Res Structures Score (Normalized, Unweighted)]]*$L$3</f>
        <v>1.7707639784108457E-3</v>
      </c>
      <c r="O1788" s="244">
        <f>_xlfn.XLOOKUP(FME_Ranking1[[#This Row],[FME ID]],FME_Input[FME_ID],FME_Input[POP100])</f>
        <v>46</v>
      </c>
      <c r="P1788" s="178">
        <f>(FME_Ranking1[[#This Row],[Pop Raw]]/$O$2)*100</f>
        <v>4.7092643514831112E-3</v>
      </c>
      <c r="Q1788" s="178">
        <f>FME_Ranking1[[#This Row],[Pop Score (Normalized, Unweighted)]]*$O$3</f>
        <v>7.0638965272246665E-4</v>
      </c>
      <c r="R1788" s="137">
        <f>_xlfn.XLOOKUP(FME_Ranking1[[#This Row],[FME ID]],FME_Input[FME_ID],FME_Input[CRITFAC100])</f>
        <v>0</v>
      </c>
      <c r="S1788" s="230">
        <f>(FME_Ranking1[[#This Row],[Critical Facilities Raw]]/$R$2)*100</f>
        <v>0</v>
      </c>
      <c r="T1788" s="180">
        <f>FME_Ranking1[[#This Row],[Critical Facilities Score (Normalized, Unweighted)]]*$R$3</f>
        <v>0</v>
      </c>
      <c r="U1788">
        <f>_xlfn.XLOOKUP(FME_Ranking1[[#This Row],[FME ID]],FME_Input[FME_ID],FME_Input[LWC])</f>
        <v>0</v>
      </c>
      <c r="V1788" s="178">
        <f>(FME_Ranking1[[#This Row],[LWC Raw]]/$U$2)*100</f>
        <v>0</v>
      </c>
      <c r="W1788" s="178">
        <f>FME_Ranking1[[#This Row],[LWC Score (Normalized, Unweighted)]]*$U$3</f>
        <v>0</v>
      </c>
      <c r="X1788" s="246">
        <f>_xlfn.XLOOKUP(FME_Ranking1[[#This Row],[FME ID]],FME_Input[FME_ID],FME_Input[ROADCLS])</f>
        <v>0</v>
      </c>
      <c r="Y1788" s="230">
        <f>(FME_Ranking1[[#This Row],[Closures Raw]]/$X$2)*100</f>
        <v>0</v>
      </c>
      <c r="Z1788" s="180">
        <f>FME_Ranking1[[#This Row],[Closures Score (Normalized, Unweighted)]]*$X$3</f>
        <v>0</v>
      </c>
      <c r="AA1788" s="253">
        <f>_xlfn.XLOOKUP(FME_Ranking1[[#This Row],[FME ID]],FME_Input[FME_ID],FME_Input[ROAD_MILES100])</f>
        <v>1.654621958732605</v>
      </c>
      <c r="AB1788" s="178">
        <f>(FME_Ranking1[[#This Row],[Miles Raw]]/$AA$2)*100</f>
        <v>2.1755311053528768E-2</v>
      </c>
      <c r="AC1788" s="178">
        <f>FME_Ranking1[[#This Row],[Miles Score (Normalized, Unweighted)]]*$AA$3</f>
        <v>2.1755311053528767E-3</v>
      </c>
      <c r="AD1788" s="255">
        <f>_xlfn.XLOOKUP(FME_Ranking1[[#This Row],[FME ID]],FME_Input[FME_ID],FME_Input[FARMACRE100])</f>
        <v>15.272134780883791</v>
      </c>
      <c r="AE1788" s="230">
        <f>(FME_Ranking1[[#This Row],[Ag Land Raw]]/$AD$2)*100</f>
        <v>6.2975447259595516E-4</v>
      </c>
      <c r="AF1788" s="231">
        <f>FME_Ranking1[[#This Row],[Ag Land Score (Normalized, Unweighted)]]*$AD$3</f>
        <v>3.1487723629797758E-5</v>
      </c>
      <c r="AG178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7.2545361665804524E-3</v>
      </c>
      <c r="AH1788" s="406">
        <f t="shared" si="27"/>
        <v>1794</v>
      </c>
      <c r="AI178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7.2545361665804524E-3</v>
      </c>
      <c r="AJ1788" s="257">
        <f>FME_Ranking1[[#This Row],[Addition check]]-FME_Ranking1[[#This Row],[Weighted Score Based on Normalized Reported Factors]]</f>
        <v>0</v>
      </c>
      <c r="AK1788" s="178">
        <f>_xlfn.RANK.EQ(AI1788,$AI$6:$AI$2341,0)+COUNTIF($AI$6:AI1788,AI1788)-1</f>
        <v>1794</v>
      </c>
    </row>
    <row r="1789" spans="1:37" x14ac:dyDescent="0.25">
      <c r="A1789" t="s">
        <v>10187</v>
      </c>
      <c r="B1789">
        <f>_xlfn.XLOOKUP(FME_Ranking1[[#This Row],[FME ID]],FME_Input[FME_ID],FME_Input[RFPG_NUM])</f>
        <v>13</v>
      </c>
      <c r="C1789" t="str">
        <f>_xlfn.XLOOKUP(FME_Ranking1[[#This Row],[FME ID]],FME_Input[FME_ID],FME_Input[FME_NAME])</f>
        <v>Improvements to Drainage Connectivity along Railroad</v>
      </c>
      <c r="D1789" t="str">
        <f>_xlfn.XLOOKUP(FME_Ranking1[[#This Row],[FME ID]],FME_Input[FME_ID],FME_Input[DESCR])</f>
        <v>Improvement to underground drainage system to increase capacity and improve conveyance on railroad under-crossings and on sections of Highway 44 to improve stormwater drainage from north to south</v>
      </c>
      <c r="E1789" s="256">
        <f>_xlfn.XLOOKUP(FME_Ranking1[[#This Row],[FME ID]],FME_Input[FME_ID],FME_Input[FME_COST])</f>
        <v>250000</v>
      </c>
      <c r="F1789" t="str">
        <f>_xlfn.XLOOKUP(FME_Ranking1[[#This Row],[FME ID]],FME_Input[FME_ID],FME_Input[EMER_NEED])</f>
        <v>Yes</v>
      </c>
      <c r="G1789">
        <f>IF(FME_Ranking!F1789="Yes",100,0)</f>
        <v>100</v>
      </c>
      <c r="H1789">
        <f>FME_Ranking1[[#This Row],[Emergency Need Score (Normalized, Unweighted)]]*$F$3</f>
        <v>0</v>
      </c>
      <c r="I1789" s="246">
        <f>_xlfn.XLOOKUP(FME_Ranking1[[#This Row],[FME ID]],FME_Input[FME_ID],FME_Input[STRUCT_100])</f>
        <v>2</v>
      </c>
      <c r="J1789" s="178">
        <f>(FME_Ranking1[[#This Row],[Structures 100 Raw]]/I$2)*100</f>
        <v>1.0709848776935271E-3</v>
      </c>
      <c r="K1789" s="178">
        <f>FME_Ranking1[[#This Row],[Structures 100  Score (Normalized, Unweighted)]]*$I$3</f>
        <v>1.6064773165402907E-4</v>
      </c>
      <c r="L1789" s="246">
        <f>_xlfn.XLOOKUP(FME_Ranking1[[#This Row],[FME ID]],FME_Input[FME_ID],FME_Input[RES_STRUCT100])</f>
        <v>0</v>
      </c>
      <c r="M1789" s="230">
        <f>(FME_Ranking1[[#This Row],[Res Structures Raw]]/L$2)*100</f>
        <v>0</v>
      </c>
      <c r="N1789" s="180">
        <f>FME_Ranking1[[#This Row],[Res Structures Score (Normalized, Unweighted)]]*$L$3</f>
        <v>0</v>
      </c>
      <c r="O1789" s="244">
        <f>_xlfn.XLOOKUP(FME_Ranking1[[#This Row],[FME ID]],FME_Input[FME_ID],FME_Input[POP100])</f>
        <v>3</v>
      </c>
      <c r="P1789" s="178">
        <f>(FME_Ranking1[[#This Row],[Pop Raw]]/$O$2)*100</f>
        <v>3.0712593596628988E-4</v>
      </c>
      <c r="Q1789" s="178">
        <f>FME_Ranking1[[#This Row],[Pop Score (Normalized, Unweighted)]]*$O$3</f>
        <v>4.6068890394943479E-5</v>
      </c>
      <c r="R1789" s="137">
        <f>_xlfn.XLOOKUP(FME_Ranking1[[#This Row],[FME ID]],FME_Input[FME_ID],FME_Input[CRITFAC100])</f>
        <v>0</v>
      </c>
      <c r="S1789" s="230">
        <f>(FME_Ranking1[[#This Row],[Critical Facilities Raw]]/$R$2)*100</f>
        <v>0</v>
      </c>
      <c r="T1789" s="180">
        <f>FME_Ranking1[[#This Row],[Critical Facilities Score (Normalized, Unweighted)]]*$R$3</f>
        <v>0</v>
      </c>
      <c r="U1789">
        <f>_xlfn.XLOOKUP(FME_Ranking1[[#This Row],[FME ID]],FME_Input[FME_ID],FME_Input[LWC])</f>
        <v>0</v>
      </c>
      <c r="V1789" s="178">
        <f>(FME_Ranking1[[#This Row],[LWC Raw]]/$U$2)*100</f>
        <v>0</v>
      </c>
      <c r="W1789" s="178">
        <f>FME_Ranking1[[#This Row],[LWC Score (Normalized, Unweighted)]]*$U$3</f>
        <v>0</v>
      </c>
      <c r="X1789" s="246">
        <f>_xlfn.XLOOKUP(FME_Ranking1[[#This Row],[FME ID]],FME_Input[FME_ID],FME_Input[ROADCLS])</f>
        <v>9</v>
      </c>
      <c r="Y1789" s="230">
        <f>(FME_Ranking1[[#This Row],[Closures Raw]]/$X$2)*100</f>
        <v>9.462727368310378E-2</v>
      </c>
      <c r="Z1789" s="180">
        <f>FME_Ranking1[[#This Row],[Closures Score (Normalized, Unweighted)]]*$X$3</f>
        <v>4.7313636841551897E-3</v>
      </c>
      <c r="AA1789" s="253">
        <f>_xlfn.XLOOKUP(FME_Ranking1[[#This Row],[FME ID]],FME_Input[FME_ID],FME_Input[ROAD_MILES100])</f>
        <v>2.201654195785522</v>
      </c>
      <c r="AB1789" s="178">
        <f>(FME_Ranking1[[#This Row],[Miles Raw]]/$AA$2)*100</f>
        <v>2.8947803822396423E-2</v>
      </c>
      <c r="AC1789" s="178">
        <f>FME_Ranking1[[#This Row],[Miles Score (Normalized, Unweighted)]]*$AA$3</f>
        <v>2.8947803822396423E-3</v>
      </c>
      <c r="AD1789" s="255">
        <f>_xlfn.XLOOKUP(FME_Ranking1[[#This Row],[FME ID]],FME_Input[FME_ID],FME_Input[FARMACRE100])</f>
        <v>0.83927750587463379</v>
      </c>
      <c r="AE1789" s="230">
        <f>(FME_Ranking1[[#This Row],[Ag Land Raw]]/$AD$2)*100</f>
        <v>3.4608047313418379E-5</v>
      </c>
      <c r="AF1789" s="231">
        <f>FME_Ranking1[[#This Row],[Ag Land Score (Normalized, Unweighted)]]*$AD$3</f>
        <v>1.7304023656709191E-6</v>
      </c>
      <c r="AG178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7.8345910908094746E-3</v>
      </c>
      <c r="AH1789" s="406">
        <f t="shared" si="27"/>
        <v>1790</v>
      </c>
      <c r="AI178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7.8345910908094746E-3</v>
      </c>
      <c r="AJ1789" s="257">
        <f>FME_Ranking1[[#This Row],[Addition check]]-FME_Ranking1[[#This Row],[Weighted Score Based on Normalized Reported Factors]]</f>
        <v>0</v>
      </c>
      <c r="AK1789" s="178">
        <f>_xlfn.RANK.EQ(AI1789,$AI$6:$AI$2341,0)+COUNTIF($AI$6:AI1789,AI1789)-1</f>
        <v>1790</v>
      </c>
    </row>
    <row r="1790" spans="1:37" x14ac:dyDescent="0.25">
      <c r="A1790" t="s">
        <v>7805</v>
      </c>
      <c r="B1790">
        <f>_xlfn.XLOOKUP(FME_Ranking1[[#This Row],[FME ID]],FME_Input[FME_ID],FME_Input[RFPG_NUM])</f>
        <v>8</v>
      </c>
      <c r="C1790" t="str">
        <f>_xlfn.XLOOKUP(FME_Ranking1[[#This Row],[FME ID]],FME_Input[FME_ID],FME_Input[FME_NAME])</f>
        <v>Loop 340 Berm &amp; Frontage Road Improvements</v>
      </c>
      <c r="D1790" t="str">
        <f>_xlfn.XLOOKUP(FME_Ranking1[[#This Row],[FME ID]],FME_Input[FME_ID],FME_Input[DESCR])</f>
        <v>Infrastructure improvements to lessen the impact of flood events on the intersection.</v>
      </c>
      <c r="E1790" s="256">
        <f>_xlfn.XLOOKUP(FME_Ranking1[[#This Row],[FME ID]],FME_Input[FME_ID],FME_Input[FME_COST])</f>
        <v>100000</v>
      </c>
      <c r="F1790" t="str">
        <f>_xlfn.XLOOKUP(FME_Ranking1[[#This Row],[FME ID]],FME_Input[FME_ID],FME_Input[EMER_NEED])</f>
        <v>No</v>
      </c>
      <c r="G1790">
        <f>IF(FME_Ranking!F1790="Yes",100,0)</f>
        <v>0</v>
      </c>
      <c r="H1790">
        <f>FME_Ranking1[[#This Row],[Emergency Need Score (Normalized, Unweighted)]]*$F$3</f>
        <v>0</v>
      </c>
      <c r="I1790" s="246">
        <f>_xlfn.XLOOKUP(FME_Ranking1[[#This Row],[FME ID]],FME_Input[FME_ID],FME_Input[STRUCT_100])</f>
        <v>24</v>
      </c>
      <c r="J1790" s="178">
        <f>(FME_Ranking1[[#This Row],[Structures 100 Raw]]/I$2)*100</f>
        <v>1.2851818532322323E-2</v>
      </c>
      <c r="K1790" s="178">
        <f>FME_Ranking1[[#This Row],[Structures 100  Score (Normalized, Unweighted)]]*$I$3</f>
        <v>1.9277727798483483E-3</v>
      </c>
      <c r="L1790" s="246">
        <f>_xlfn.XLOOKUP(FME_Ranking1[[#This Row],[FME ID]],FME_Input[FME_ID],FME_Input[RES_STRUCT100])</f>
        <v>8</v>
      </c>
      <c r="M1790" s="230">
        <f>(FME_Ranking1[[#This Row],[Res Structures Raw]]/L$2)*100</f>
        <v>5.666444730914706E-3</v>
      </c>
      <c r="N1790" s="180">
        <f>FME_Ranking1[[#This Row],[Res Structures Score (Normalized, Unweighted)]]*$L$3</f>
        <v>5.6664447309147067E-4</v>
      </c>
      <c r="O1790" s="244">
        <f>_xlfn.XLOOKUP(FME_Ranking1[[#This Row],[FME ID]],FME_Input[FME_ID],FME_Input[POP100])</f>
        <v>138</v>
      </c>
      <c r="P1790" s="178">
        <f>(FME_Ranking1[[#This Row],[Pop Raw]]/$O$2)*100</f>
        <v>1.4127793054449334E-2</v>
      </c>
      <c r="Q1790" s="178">
        <f>FME_Ranking1[[#This Row],[Pop Score (Normalized, Unweighted)]]*$O$3</f>
        <v>2.1191689581673999E-3</v>
      </c>
      <c r="R1790" s="137">
        <f>_xlfn.XLOOKUP(FME_Ranking1[[#This Row],[FME ID]],FME_Input[FME_ID],FME_Input[CRITFAC100])</f>
        <v>0</v>
      </c>
      <c r="S1790" s="230">
        <f>(FME_Ranking1[[#This Row],[Critical Facilities Raw]]/$R$2)*100</f>
        <v>0</v>
      </c>
      <c r="T1790" s="180">
        <f>FME_Ranking1[[#This Row],[Critical Facilities Score (Normalized, Unweighted)]]*$R$3</f>
        <v>0</v>
      </c>
      <c r="U1790">
        <f>_xlfn.XLOOKUP(FME_Ranking1[[#This Row],[FME ID]],FME_Input[FME_ID],FME_Input[LWC])</f>
        <v>0</v>
      </c>
      <c r="V1790" s="178">
        <f>(FME_Ranking1[[#This Row],[LWC Raw]]/$U$2)*100</f>
        <v>0</v>
      </c>
      <c r="W1790" s="178">
        <f>FME_Ranking1[[#This Row],[LWC Score (Normalized, Unweighted)]]*$U$3</f>
        <v>0</v>
      </c>
      <c r="X1790" s="246">
        <f>_xlfn.XLOOKUP(FME_Ranking1[[#This Row],[FME ID]],FME_Input[FME_ID],FME_Input[ROADCLS])</f>
        <v>0</v>
      </c>
      <c r="Y1790" s="230">
        <f>(FME_Ranking1[[#This Row],[Closures Raw]]/$X$2)*100</f>
        <v>0</v>
      </c>
      <c r="Z1790" s="180">
        <f>FME_Ranking1[[#This Row],[Closures Score (Normalized, Unweighted)]]*$X$3</f>
        <v>0</v>
      </c>
      <c r="AA1790" s="253">
        <f>_xlfn.XLOOKUP(FME_Ranking1[[#This Row],[FME ID]],FME_Input[FME_ID],FME_Input[ROAD_MILES100])</f>
        <v>0.85000002384185791</v>
      </c>
      <c r="AB1790" s="178">
        <f>(FME_Ranking1[[#This Row],[Miles Raw]]/$AA$2)*100</f>
        <v>1.1175975766906215E-2</v>
      </c>
      <c r="AC1790" s="178">
        <f>FME_Ranking1[[#This Row],[Miles Score (Normalized, Unweighted)]]*$AA$3</f>
        <v>1.1175975766906216E-3</v>
      </c>
      <c r="AD1790" s="255">
        <f>_xlfn.XLOOKUP(FME_Ranking1[[#This Row],[FME ID]],FME_Input[FME_ID],FME_Input[FARMACRE100])</f>
        <v>151.80000305175781</v>
      </c>
      <c r="AE1790" s="230">
        <f>(FME_Ranking1[[#This Row],[Ag Land Raw]]/$AD$2)*100</f>
        <v>6.2595525925807725E-3</v>
      </c>
      <c r="AF1790" s="231">
        <f>FME_Ranking1[[#This Row],[Ag Land Score (Normalized, Unweighted)]]*$AD$3</f>
        <v>3.1297762962903867E-4</v>
      </c>
      <c r="AG179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6.0441614174268788E-3</v>
      </c>
      <c r="AH1790" s="406">
        <f t="shared" si="27"/>
        <v>1813</v>
      </c>
      <c r="AI179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6.0441614174268788E-3</v>
      </c>
      <c r="AJ1790" s="257">
        <f>FME_Ranking1[[#This Row],[Addition check]]-FME_Ranking1[[#This Row],[Weighted Score Based on Normalized Reported Factors]]</f>
        <v>0</v>
      </c>
      <c r="AK1790" s="178">
        <f>_xlfn.RANK.EQ(AI1790,$AI$6:$AI$2341,0)+COUNTIF($AI$6:AI1790,AI1790)-1</f>
        <v>1813</v>
      </c>
    </row>
    <row r="1791" spans="1:37" x14ac:dyDescent="0.25">
      <c r="A1791" t="s">
        <v>9864</v>
      </c>
      <c r="B1791">
        <f>_xlfn.XLOOKUP(FME_Ranking1[[#This Row],[FME ID]],FME_Input[FME_ID],FME_Input[RFPG_NUM])</f>
        <v>12</v>
      </c>
      <c r="C1791" t="str">
        <f>_xlfn.XLOOKUP(FME_Ranking1[[#This Row],[FME ID]],FME_Input[FME_ID],FME_Input[FME_NAME])</f>
        <v>Culebra Creek RSWF</v>
      </c>
      <c r="D1791" t="str">
        <f>_xlfn.XLOOKUP(FME_Ranking1[[#This Row],[FME ID]],FME_Input[FME_ID],FME_Input[DESCR])</f>
        <v>Engineering study to evaluate the Culebra Creek RSWF under the revised Green &amp; Ampt hydrology.</v>
      </c>
      <c r="E1791" s="256">
        <f>_xlfn.XLOOKUP(FME_Ranking1[[#This Row],[FME ID]],FME_Input[FME_ID],FME_Input[FME_COST])</f>
        <v>50000</v>
      </c>
      <c r="F1791" t="str">
        <f>_xlfn.XLOOKUP(FME_Ranking1[[#This Row],[FME ID]],FME_Input[FME_ID],FME_Input[EMER_NEED])</f>
        <v>Yes</v>
      </c>
      <c r="G1791">
        <f>IF(FME_Ranking!F1791="Yes",100,0)</f>
        <v>100</v>
      </c>
      <c r="H1791">
        <f>FME_Ranking1[[#This Row],[Emergency Need Score (Normalized, Unweighted)]]*$F$3</f>
        <v>0</v>
      </c>
      <c r="I1791" s="246">
        <f>_xlfn.XLOOKUP(FME_Ranking1[[#This Row],[FME ID]],FME_Input[FME_ID],FME_Input[STRUCT_100])</f>
        <v>1</v>
      </c>
      <c r="J1791" s="178">
        <f>(FME_Ranking1[[#This Row],[Structures 100 Raw]]/I$2)*100</f>
        <v>5.3549243884676355E-4</v>
      </c>
      <c r="K1791" s="178">
        <f>FME_Ranking1[[#This Row],[Structures 100  Score (Normalized, Unweighted)]]*$I$3</f>
        <v>8.0323865827014533E-5</v>
      </c>
      <c r="L1791" s="246">
        <f>_xlfn.XLOOKUP(FME_Ranking1[[#This Row],[FME ID]],FME_Input[FME_ID],FME_Input[RES_STRUCT100])</f>
        <v>0</v>
      </c>
      <c r="M1791" s="230">
        <f>(FME_Ranking1[[#This Row],[Res Structures Raw]]/L$2)*100</f>
        <v>0</v>
      </c>
      <c r="N1791" s="180">
        <f>FME_Ranking1[[#This Row],[Res Structures Score (Normalized, Unweighted)]]*$L$3</f>
        <v>0</v>
      </c>
      <c r="O1791" s="244">
        <f>_xlfn.XLOOKUP(FME_Ranking1[[#This Row],[FME ID]],FME_Input[FME_ID],FME_Input[POP100])</f>
        <v>2</v>
      </c>
      <c r="P1791" s="178">
        <f>(FME_Ranking1[[#This Row],[Pop Raw]]/$O$2)*100</f>
        <v>2.0475062397752657E-4</v>
      </c>
      <c r="Q1791" s="178">
        <f>FME_Ranking1[[#This Row],[Pop Score (Normalized, Unweighted)]]*$O$3</f>
        <v>3.0712593596628984E-5</v>
      </c>
      <c r="R1791" s="137">
        <f>_xlfn.XLOOKUP(FME_Ranking1[[#This Row],[FME ID]],FME_Input[FME_ID],FME_Input[CRITFAC100])</f>
        <v>0</v>
      </c>
      <c r="S1791" s="230">
        <f>(FME_Ranking1[[#This Row],[Critical Facilities Raw]]/$R$2)*100</f>
        <v>0</v>
      </c>
      <c r="T1791" s="180">
        <f>FME_Ranking1[[#This Row],[Critical Facilities Score (Normalized, Unweighted)]]*$R$3</f>
        <v>0</v>
      </c>
      <c r="U1791">
        <f>_xlfn.XLOOKUP(FME_Ranking1[[#This Row],[FME ID]],FME_Input[FME_ID],FME_Input[LWC])</f>
        <v>0</v>
      </c>
      <c r="V1791" s="178">
        <f>(FME_Ranking1[[#This Row],[LWC Raw]]/$U$2)*100</f>
        <v>0</v>
      </c>
      <c r="W1791" s="178">
        <f>FME_Ranking1[[#This Row],[LWC Score (Normalized, Unweighted)]]*$U$3</f>
        <v>0</v>
      </c>
      <c r="X1791" s="246">
        <f>_xlfn.XLOOKUP(FME_Ranking1[[#This Row],[FME ID]],FME_Input[FME_ID],FME_Input[ROADCLS])</f>
        <v>9</v>
      </c>
      <c r="Y1791" s="230">
        <f>(FME_Ranking1[[#This Row],[Closures Raw]]/$X$2)*100</f>
        <v>9.462727368310378E-2</v>
      </c>
      <c r="Z1791" s="180">
        <f>FME_Ranking1[[#This Row],[Closures Score (Normalized, Unweighted)]]*$X$3</f>
        <v>4.7313636841551897E-3</v>
      </c>
      <c r="AA1791" s="253">
        <f>_xlfn.XLOOKUP(FME_Ranking1[[#This Row],[FME ID]],FME_Input[FME_ID],FME_Input[ROAD_MILES100])</f>
        <v>0.5</v>
      </c>
      <c r="AB1791" s="178">
        <f>(FME_Ranking1[[#This Row],[Miles Raw]]/$AA$2)*100</f>
        <v>6.5741032078991445E-3</v>
      </c>
      <c r="AC1791" s="178">
        <f>FME_Ranking1[[#This Row],[Miles Score (Normalized, Unweighted)]]*$AA$3</f>
        <v>6.5741032078991447E-4</v>
      </c>
      <c r="AD1791" s="255">
        <f>_xlfn.XLOOKUP(FME_Ranking1[[#This Row],[FME ID]],FME_Input[FME_ID],FME_Input[FARMACRE100])</f>
        <v>0.20268599689006811</v>
      </c>
      <c r="AE1791" s="230">
        <f>(FME_Ranking1[[#This Row],[Ag Land Raw]]/$AD$2)*100</f>
        <v>8.357863187133531E-6</v>
      </c>
      <c r="AF1791" s="231">
        <f>FME_Ranking1[[#This Row],[Ag Land Score (Normalized, Unweighted)]]*$AD$3</f>
        <v>4.1789315935667659E-7</v>
      </c>
      <c r="AG179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5.5002283575281037E-3</v>
      </c>
      <c r="AH1791" s="406">
        <f t="shared" si="27"/>
        <v>1826</v>
      </c>
      <c r="AI179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5.5002283575281037E-3</v>
      </c>
      <c r="AJ1791" s="257">
        <f>FME_Ranking1[[#This Row],[Addition check]]-FME_Ranking1[[#This Row],[Weighted Score Based on Normalized Reported Factors]]</f>
        <v>0</v>
      </c>
      <c r="AK1791" s="178">
        <f>_xlfn.RANK.EQ(AI1791,$AI$6:$AI$2341,0)+COUNTIF($AI$6:AI1791,AI1791)-1</f>
        <v>1826</v>
      </c>
    </row>
    <row r="1792" spans="1:37" x14ac:dyDescent="0.25">
      <c r="A1792" t="s">
        <v>124</v>
      </c>
      <c r="B1792">
        <f>_xlfn.XLOOKUP(FME_Ranking1[[#This Row],[FME ID]],FME_Input[FME_ID],FME_Input[RFPG_NUM])</f>
        <v>10</v>
      </c>
      <c r="C1792" t="str">
        <f>_xlfn.XLOOKUP(FME_Ranking1[[#This Row],[FME ID]],FME_Input[FME_ID],FME_Input[FME_NAME])</f>
        <v>FM 812  at Little Alum Creek</v>
      </c>
      <c r="D1792" t="str">
        <f>_xlfn.XLOOKUP(FME_Ranking1[[#This Row],[FME ID]],FME_Input[FME_ID],FME_Input[DESCR])</f>
        <v xml:space="preserve">200-ft by 35-ft bridge, 2200 LF of channelization </v>
      </c>
      <c r="E1792" s="256">
        <f>_xlfn.XLOOKUP(FME_Ranking1[[#This Row],[FME ID]],FME_Input[FME_ID],FME_Input[FME_COST])</f>
        <v>100000</v>
      </c>
      <c r="F1792" t="str">
        <f>_xlfn.XLOOKUP(FME_Ranking1[[#This Row],[FME ID]],FME_Input[FME_ID],FME_Input[EMER_NEED])</f>
        <v>No</v>
      </c>
      <c r="G1792">
        <f>IF(FME_Ranking!F1792="Yes",100,0)</f>
        <v>0</v>
      </c>
      <c r="H1792">
        <f>FME_Ranking1[[#This Row],[Emergency Need Score (Normalized, Unweighted)]]*$F$3</f>
        <v>0</v>
      </c>
      <c r="I1792" s="246">
        <f>_xlfn.XLOOKUP(FME_Ranking1[[#This Row],[FME ID]],FME_Input[FME_ID],FME_Input[STRUCT_100])</f>
        <v>25</v>
      </c>
      <c r="J1792" s="178">
        <f>(FME_Ranking1[[#This Row],[Structures 100 Raw]]/I$2)*100</f>
        <v>1.3387310971169086E-2</v>
      </c>
      <c r="K1792" s="178">
        <f>FME_Ranking1[[#This Row],[Structures 100  Score (Normalized, Unweighted)]]*$I$3</f>
        <v>2.0080966456753626E-3</v>
      </c>
      <c r="L1792" s="246">
        <f>_xlfn.XLOOKUP(FME_Ranking1[[#This Row],[FME ID]],FME_Input[FME_ID],FME_Input[RES_STRUCT100])</f>
        <v>23</v>
      </c>
      <c r="M1792" s="230">
        <f>(FME_Ranking1[[#This Row],[Res Structures Raw]]/L$2)*100</f>
        <v>1.6291028601379778E-2</v>
      </c>
      <c r="N1792" s="180">
        <f>FME_Ranking1[[#This Row],[Res Structures Score (Normalized, Unweighted)]]*$L$3</f>
        <v>1.6291028601379779E-3</v>
      </c>
      <c r="O1792" s="244">
        <f>_xlfn.XLOOKUP(FME_Ranking1[[#This Row],[FME ID]],FME_Input[FME_ID],FME_Input[POP100])</f>
        <v>69</v>
      </c>
      <c r="P1792" s="178">
        <f>(FME_Ranking1[[#This Row],[Pop Raw]]/$O$2)*100</f>
        <v>7.0638965272246668E-3</v>
      </c>
      <c r="Q1792" s="178">
        <f>FME_Ranking1[[#This Row],[Pop Score (Normalized, Unweighted)]]*$O$3</f>
        <v>1.0595844790836999E-3</v>
      </c>
      <c r="R1792" s="137">
        <f>_xlfn.XLOOKUP(FME_Ranking1[[#This Row],[FME ID]],FME_Input[FME_ID],FME_Input[CRITFAC100])</f>
        <v>0</v>
      </c>
      <c r="S1792" s="230">
        <f>(FME_Ranking1[[#This Row],[Critical Facilities Raw]]/$R$2)*100</f>
        <v>0</v>
      </c>
      <c r="T1792" s="180">
        <f>FME_Ranking1[[#This Row],[Critical Facilities Score (Normalized, Unweighted)]]*$R$3</f>
        <v>0</v>
      </c>
      <c r="U1792">
        <f>_xlfn.XLOOKUP(FME_Ranking1[[#This Row],[FME ID]],FME_Input[FME_ID],FME_Input[LWC])</f>
        <v>0</v>
      </c>
      <c r="V1792" s="178">
        <f>(FME_Ranking1[[#This Row],[LWC Raw]]/$U$2)*100</f>
        <v>0</v>
      </c>
      <c r="W1792" s="178">
        <f>FME_Ranking1[[#This Row],[LWC Score (Normalized, Unweighted)]]*$U$3</f>
        <v>0</v>
      </c>
      <c r="X1792" s="246">
        <f>_xlfn.XLOOKUP(FME_Ranking1[[#This Row],[FME ID]],FME_Input[FME_ID],FME_Input[ROADCLS])</f>
        <v>0</v>
      </c>
      <c r="Y1792" s="230">
        <f>(FME_Ranking1[[#This Row],[Closures Raw]]/$X$2)*100</f>
        <v>0</v>
      </c>
      <c r="Z1792" s="180">
        <f>FME_Ranking1[[#This Row],[Closures Score (Normalized, Unweighted)]]*$X$3</f>
        <v>0</v>
      </c>
      <c r="AA1792" s="253">
        <f>_xlfn.XLOOKUP(FME_Ranking1[[#This Row],[FME ID]],FME_Input[FME_ID],FME_Input[ROAD_MILES100])</f>
        <v>0.30714529752731318</v>
      </c>
      <c r="AB1792" s="178">
        <f>(FME_Ranking1[[#This Row],[Miles Raw]]/$AA$2)*100</f>
        <v>4.0384097715308936E-3</v>
      </c>
      <c r="AC1792" s="178">
        <f>FME_Ranking1[[#This Row],[Miles Score (Normalized, Unweighted)]]*$AA$3</f>
        <v>4.0384097715308938E-4</v>
      </c>
      <c r="AD1792" s="255">
        <f>_xlfn.XLOOKUP(FME_Ranking1[[#This Row],[FME ID]],FME_Input[FME_ID],FME_Input[FARMACRE100])</f>
        <v>59.98016357421875</v>
      </c>
      <c r="AE1792" s="230">
        <f>(FME_Ranking1[[#This Row],[Ag Land Raw]]/$AD$2)*100</f>
        <v>2.4733134443772481E-3</v>
      </c>
      <c r="AF1792" s="231">
        <f>FME_Ranking1[[#This Row],[Ag Land Score (Normalized, Unweighted)]]*$AD$3</f>
        <v>1.236656722188624E-4</v>
      </c>
      <c r="AG179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5.2242906342689919E-3</v>
      </c>
      <c r="AH1792" s="406">
        <f t="shared" si="27"/>
        <v>1830</v>
      </c>
      <c r="AI179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5.2242906342689919E-3</v>
      </c>
      <c r="AJ1792" s="257">
        <f>FME_Ranking1[[#This Row],[Addition check]]-FME_Ranking1[[#This Row],[Weighted Score Based on Normalized Reported Factors]]</f>
        <v>0</v>
      </c>
      <c r="AK1792" s="178">
        <f>_xlfn.RANK.EQ(AI1792,$AI$6:$AI$2341,0)+COUNTIF($AI$6:AI1792,AI1792)-1</f>
        <v>1830</v>
      </c>
    </row>
    <row r="1793" spans="1:37" x14ac:dyDescent="0.25">
      <c r="A1793" t="s">
        <v>9456</v>
      </c>
      <c r="B1793">
        <f>_xlfn.XLOOKUP(FME_Ranking1[[#This Row],[FME ID]],FME_Input[FME_ID],FME_Input[RFPG_NUM])</f>
        <v>12</v>
      </c>
      <c r="C1793" t="str">
        <f>_xlfn.XLOOKUP(FME_Ranking1[[#This Row],[FME ID]],FME_Input[FME_ID],FME_Input[FME_NAME])</f>
        <v>Woodlawn Lawn Lake Option 2</v>
      </c>
      <c r="D1793" t="str">
        <f>_xlfn.XLOOKUP(FME_Ranking1[[#This Row],[FME ID]],FME_Input[FME_ID],FME_Input[DESCR])</f>
        <v>Detention, Storm drain improvements, Culvert Improvments, Roadway Improvements.</v>
      </c>
      <c r="E1793" s="256">
        <f>_xlfn.XLOOKUP(FME_Ranking1[[#This Row],[FME ID]],FME_Input[FME_ID],FME_Input[FME_COST])</f>
        <v>6288547</v>
      </c>
      <c r="F1793" t="str">
        <f>_xlfn.XLOOKUP(FME_Ranking1[[#This Row],[FME ID]],FME_Input[FME_ID],FME_Input[EMER_NEED])</f>
        <v>No</v>
      </c>
      <c r="G1793">
        <f>IF(FME_Ranking!F1793="Yes",100,0)</f>
        <v>0</v>
      </c>
      <c r="H1793">
        <f>FME_Ranking1[[#This Row],[Emergency Need Score (Normalized, Unweighted)]]*$F$3</f>
        <v>0</v>
      </c>
      <c r="I1793" s="246">
        <f>_xlfn.XLOOKUP(FME_Ranking1[[#This Row],[FME ID]],FME_Input[FME_ID],FME_Input[STRUCT_100])</f>
        <v>8</v>
      </c>
      <c r="J1793" s="178">
        <f>(FME_Ranking1[[#This Row],[Structures 100 Raw]]/I$2)*100</f>
        <v>4.2839395107741084E-3</v>
      </c>
      <c r="K1793" s="178">
        <f>FME_Ranking1[[#This Row],[Structures 100  Score (Normalized, Unweighted)]]*$I$3</f>
        <v>6.4259092661611626E-4</v>
      </c>
      <c r="L1793" s="246">
        <f>_xlfn.XLOOKUP(FME_Ranking1[[#This Row],[FME ID]],FME_Input[FME_ID],FME_Input[RES_STRUCT100])</f>
        <v>8</v>
      </c>
      <c r="M1793" s="230">
        <f>(FME_Ranking1[[#This Row],[Res Structures Raw]]/L$2)*100</f>
        <v>5.666444730914706E-3</v>
      </c>
      <c r="N1793" s="180">
        <f>FME_Ranking1[[#This Row],[Res Structures Score (Normalized, Unweighted)]]*$L$3</f>
        <v>5.6664447309147067E-4</v>
      </c>
      <c r="O1793" s="244">
        <f>_xlfn.XLOOKUP(FME_Ranking1[[#This Row],[FME ID]],FME_Input[FME_ID],FME_Input[POP100])</f>
        <v>94</v>
      </c>
      <c r="P1793" s="178">
        <f>(FME_Ranking1[[#This Row],[Pop Raw]]/$O$2)*100</f>
        <v>9.6232793269437501E-3</v>
      </c>
      <c r="Q1793" s="178">
        <f>FME_Ranking1[[#This Row],[Pop Score (Normalized, Unweighted)]]*$O$3</f>
        <v>1.4434918990415624E-3</v>
      </c>
      <c r="R1793" s="137">
        <f>_xlfn.XLOOKUP(FME_Ranking1[[#This Row],[FME ID]],FME_Input[FME_ID],FME_Input[CRITFAC100])</f>
        <v>0</v>
      </c>
      <c r="S1793" s="230">
        <f>(FME_Ranking1[[#This Row],[Critical Facilities Raw]]/$R$2)*100</f>
        <v>0</v>
      </c>
      <c r="T1793" s="180">
        <f>FME_Ranking1[[#This Row],[Critical Facilities Score (Normalized, Unweighted)]]*$R$3</f>
        <v>0</v>
      </c>
      <c r="U1793">
        <f>_xlfn.XLOOKUP(FME_Ranking1[[#This Row],[FME ID]],FME_Input[FME_ID],FME_Input[LWC])</f>
        <v>0</v>
      </c>
      <c r="V1793" s="178">
        <f>(FME_Ranking1[[#This Row],[LWC Raw]]/$U$2)*100</f>
        <v>0</v>
      </c>
      <c r="W1793" s="178">
        <f>FME_Ranking1[[#This Row],[LWC Score (Normalized, Unweighted)]]*$U$3</f>
        <v>0</v>
      </c>
      <c r="X1793" s="246">
        <f>_xlfn.XLOOKUP(FME_Ranking1[[#This Row],[FME ID]],FME_Input[FME_ID],FME_Input[ROADCLS])</f>
        <v>4</v>
      </c>
      <c r="Y1793" s="230">
        <f>(FME_Ranking1[[#This Row],[Closures Raw]]/$X$2)*100</f>
        <v>4.2056566081379455E-2</v>
      </c>
      <c r="Z1793" s="180">
        <f>FME_Ranking1[[#This Row],[Closures Score (Normalized, Unweighted)]]*$X$3</f>
        <v>2.1028283040689729E-3</v>
      </c>
      <c r="AA1793" s="253">
        <f>_xlfn.XLOOKUP(FME_Ranking1[[#This Row],[FME ID]],FME_Input[FME_ID],FME_Input[ROAD_MILES100])</f>
        <v>0.14000000059604639</v>
      </c>
      <c r="AB1793" s="178">
        <f>(FME_Ranking1[[#This Row],[Miles Raw]]/$AA$2)*100</f>
        <v>1.8407489060487015E-3</v>
      </c>
      <c r="AC1793" s="178">
        <f>FME_Ranking1[[#This Row],[Miles Score (Normalized, Unweighted)]]*$AA$3</f>
        <v>1.8407489060487015E-4</v>
      </c>
      <c r="AD1793" s="255">
        <f>_xlfn.XLOOKUP(FME_Ranking1[[#This Row],[FME ID]],FME_Input[FME_ID],FME_Input[FARMACRE100])</f>
        <v>0</v>
      </c>
      <c r="AE1793" s="230">
        <f>(FME_Ranking1[[#This Row],[Ag Land Raw]]/$AD$2)*100</f>
        <v>0</v>
      </c>
      <c r="AF1793" s="231">
        <f>FME_Ranking1[[#This Row],[Ag Land Score (Normalized, Unweighted)]]*$AD$3</f>
        <v>0</v>
      </c>
      <c r="AG179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4.9396304934229921E-3</v>
      </c>
      <c r="AH1793" s="406">
        <f t="shared" si="27"/>
        <v>1833</v>
      </c>
      <c r="AI179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4.9396304934229921E-3</v>
      </c>
      <c r="AJ1793" s="257">
        <f>FME_Ranking1[[#This Row],[Addition check]]-FME_Ranking1[[#This Row],[Weighted Score Based on Normalized Reported Factors]]</f>
        <v>0</v>
      </c>
      <c r="AK1793" s="178">
        <f>_xlfn.RANK.EQ(AI1793,$AI$6:$AI$2341,0)+COUNTIF($AI$6:AI1793,AI1793)-1</f>
        <v>1833</v>
      </c>
    </row>
    <row r="1794" spans="1:37" x14ac:dyDescent="0.25">
      <c r="A1794" t="s">
        <v>9462</v>
      </c>
      <c r="B1794">
        <f>_xlfn.XLOOKUP(FME_Ranking1[[#This Row],[FME ID]],FME_Input[FME_ID],FME_Input[RFPG_NUM])</f>
        <v>12</v>
      </c>
      <c r="C1794" t="str">
        <f>_xlfn.XLOOKUP(FME_Ranking1[[#This Row],[FME ID]],FME_Input[FME_ID],FME_Input[FME_NAME])</f>
        <v>Woodlawn Lawn Lake Option 1(Phase 1-3)</v>
      </c>
      <c r="D1794" t="str">
        <f>_xlfn.XLOOKUP(FME_Ranking1[[#This Row],[FME ID]],FME_Input[FME_ID],FME_Input[DESCR])</f>
        <v>Detention, Storm drain improvements, Culvert Improvments, Roadway Improvements.</v>
      </c>
      <c r="E1794" s="256">
        <f>_xlfn.XLOOKUP(FME_Ranking1[[#This Row],[FME ID]],FME_Input[FME_ID],FME_Input[FME_COST])</f>
        <v>11272772</v>
      </c>
      <c r="F1794" t="str">
        <f>_xlfn.XLOOKUP(FME_Ranking1[[#This Row],[FME ID]],FME_Input[FME_ID],FME_Input[EMER_NEED])</f>
        <v>No</v>
      </c>
      <c r="G1794">
        <f>IF(FME_Ranking!F1794="Yes",100,0)</f>
        <v>0</v>
      </c>
      <c r="H1794">
        <f>FME_Ranking1[[#This Row],[Emergency Need Score (Normalized, Unweighted)]]*$F$3</f>
        <v>0</v>
      </c>
      <c r="I1794" s="246">
        <f>_xlfn.XLOOKUP(FME_Ranking1[[#This Row],[FME ID]],FME_Input[FME_ID],FME_Input[STRUCT_100])</f>
        <v>8</v>
      </c>
      <c r="J1794" s="178">
        <f>(FME_Ranking1[[#This Row],[Structures 100 Raw]]/I$2)*100</f>
        <v>4.2839395107741084E-3</v>
      </c>
      <c r="K1794" s="178">
        <f>FME_Ranking1[[#This Row],[Structures 100  Score (Normalized, Unweighted)]]*$I$3</f>
        <v>6.4259092661611626E-4</v>
      </c>
      <c r="L1794" s="246">
        <f>_xlfn.XLOOKUP(FME_Ranking1[[#This Row],[FME ID]],FME_Input[FME_ID],FME_Input[RES_STRUCT100])</f>
        <v>8</v>
      </c>
      <c r="M1794" s="230">
        <f>(FME_Ranking1[[#This Row],[Res Structures Raw]]/L$2)*100</f>
        <v>5.666444730914706E-3</v>
      </c>
      <c r="N1794" s="180">
        <f>FME_Ranking1[[#This Row],[Res Structures Score (Normalized, Unweighted)]]*$L$3</f>
        <v>5.6664447309147067E-4</v>
      </c>
      <c r="O1794" s="244">
        <f>_xlfn.XLOOKUP(FME_Ranking1[[#This Row],[FME ID]],FME_Input[FME_ID],FME_Input[POP100])</f>
        <v>94</v>
      </c>
      <c r="P1794" s="178">
        <f>(FME_Ranking1[[#This Row],[Pop Raw]]/$O$2)*100</f>
        <v>9.6232793269437501E-3</v>
      </c>
      <c r="Q1794" s="178">
        <f>FME_Ranking1[[#This Row],[Pop Score (Normalized, Unweighted)]]*$O$3</f>
        <v>1.4434918990415624E-3</v>
      </c>
      <c r="R1794" s="137">
        <f>_xlfn.XLOOKUP(FME_Ranking1[[#This Row],[FME ID]],FME_Input[FME_ID],FME_Input[CRITFAC100])</f>
        <v>0</v>
      </c>
      <c r="S1794" s="230">
        <f>(FME_Ranking1[[#This Row],[Critical Facilities Raw]]/$R$2)*100</f>
        <v>0</v>
      </c>
      <c r="T1794" s="180">
        <f>FME_Ranking1[[#This Row],[Critical Facilities Score (Normalized, Unweighted)]]*$R$3</f>
        <v>0</v>
      </c>
      <c r="U1794">
        <f>_xlfn.XLOOKUP(FME_Ranking1[[#This Row],[FME ID]],FME_Input[FME_ID],FME_Input[LWC])</f>
        <v>0</v>
      </c>
      <c r="V1794" s="178">
        <f>(FME_Ranking1[[#This Row],[LWC Raw]]/$U$2)*100</f>
        <v>0</v>
      </c>
      <c r="W1794" s="178">
        <f>FME_Ranking1[[#This Row],[LWC Score (Normalized, Unweighted)]]*$U$3</f>
        <v>0</v>
      </c>
      <c r="X1794" s="246">
        <f>_xlfn.XLOOKUP(FME_Ranking1[[#This Row],[FME ID]],FME_Input[FME_ID],FME_Input[ROADCLS])</f>
        <v>4</v>
      </c>
      <c r="Y1794" s="230">
        <f>(FME_Ranking1[[#This Row],[Closures Raw]]/$X$2)*100</f>
        <v>4.2056566081379455E-2</v>
      </c>
      <c r="Z1794" s="180">
        <f>FME_Ranking1[[#This Row],[Closures Score (Normalized, Unweighted)]]*$X$3</f>
        <v>2.1028283040689729E-3</v>
      </c>
      <c r="AA1794" s="253">
        <f>_xlfn.XLOOKUP(FME_Ranking1[[#This Row],[FME ID]],FME_Input[FME_ID],FME_Input[ROAD_MILES100])</f>
        <v>0.14000000059604639</v>
      </c>
      <c r="AB1794" s="178">
        <f>(FME_Ranking1[[#This Row],[Miles Raw]]/$AA$2)*100</f>
        <v>1.8407489060487015E-3</v>
      </c>
      <c r="AC1794" s="178">
        <f>FME_Ranking1[[#This Row],[Miles Score (Normalized, Unweighted)]]*$AA$3</f>
        <v>1.8407489060487015E-4</v>
      </c>
      <c r="AD1794" s="255">
        <f>_xlfn.XLOOKUP(FME_Ranking1[[#This Row],[FME ID]],FME_Input[FME_ID],FME_Input[FARMACRE100])</f>
        <v>0</v>
      </c>
      <c r="AE1794" s="230">
        <f>(FME_Ranking1[[#This Row],[Ag Land Raw]]/$AD$2)*100</f>
        <v>0</v>
      </c>
      <c r="AF1794" s="231">
        <f>FME_Ranking1[[#This Row],[Ag Land Score (Normalized, Unweighted)]]*$AD$3</f>
        <v>0</v>
      </c>
      <c r="AG179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4.9396304934229921E-3</v>
      </c>
      <c r="AH1794" s="406">
        <f t="shared" si="27"/>
        <v>1833</v>
      </c>
      <c r="AI179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4.9396304934229921E-3</v>
      </c>
      <c r="AJ1794" s="257">
        <f>FME_Ranking1[[#This Row],[Addition check]]-FME_Ranking1[[#This Row],[Weighted Score Based on Normalized Reported Factors]]</f>
        <v>0</v>
      </c>
      <c r="AK1794" s="178">
        <f>_xlfn.RANK.EQ(AI1794,$AI$6:$AI$2341,0)+COUNTIF($AI$6:AI1794,AI1794)-1</f>
        <v>1834</v>
      </c>
    </row>
    <row r="1795" spans="1:37" x14ac:dyDescent="0.25">
      <c r="A1795" t="s">
        <v>10102</v>
      </c>
      <c r="B1795">
        <f>_xlfn.XLOOKUP(FME_Ranking1[[#This Row],[FME ID]],FME_Input[FME_ID],FME_Input[RFPG_NUM])</f>
        <v>13</v>
      </c>
      <c r="C1795" t="str">
        <f>_xlfn.XLOOKUP(FME_Ranking1[[#This Row],[FME ID]],FME_Input[FME_ID],FME_Input[FME_NAME])</f>
        <v>Colorado Street Drainage Improvements- FH#1</v>
      </c>
      <c r="D1795" t="str">
        <f>_xlfn.XLOOKUP(FME_Ranking1[[#This Row],[FME ID]],FME_Input[FME_ID],FME_Input[DESCR])</f>
        <v>Install series of underground storm water trunk lines and drop structures along Garcia Street and Colorado Street before outfalling in to trapezoidal channel on S. Puente Street.</v>
      </c>
      <c r="E1795" s="256">
        <f>_xlfn.XLOOKUP(FME_Ranking1[[#This Row],[FME ID]],FME_Input[FME_ID],FME_Input[FME_COST])</f>
        <v>571000</v>
      </c>
      <c r="F1795" t="str">
        <f>_xlfn.XLOOKUP(FME_Ranking1[[#This Row],[FME ID]],FME_Input[FME_ID],FME_Input[EMER_NEED])</f>
        <v>Yes</v>
      </c>
      <c r="G1795">
        <f>IF(FME_Ranking!F1795="Yes",100,0)</f>
        <v>100</v>
      </c>
      <c r="H1795">
        <f>FME_Ranking1[[#This Row],[Emergency Need Score (Normalized, Unweighted)]]*$F$3</f>
        <v>0</v>
      </c>
      <c r="I1795" s="246">
        <f>_xlfn.XLOOKUP(FME_Ranking1[[#This Row],[FME ID]],FME_Input[FME_ID],FME_Input[STRUCT_100])</f>
        <v>0</v>
      </c>
      <c r="J1795" s="178">
        <f>(FME_Ranking1[[#This Row],[Structures 100 Raw]]/I$2)*100</f>
        <v>0</v>
      </c>
      <c r="K1795" s="178">
        <f>FME_Ranking1[[#This Row],[Structures 100  Score (Normalized, Unweighted)]]*$I$3</f>
        <v>0</v>
      </c>
      <c r="L1795" s="246">
        <f>_xlfn.XLOOKUP(FME_Ranking1[[#This Row],[FME ID]],FME_Input[FME_ID],FME_Input[RES_STRUCT100])</f>
        <v>0</v>
      </c>
      <c r="M1795" s="230">
        <f>(FME_Ranking1[[#This Row],[Res Structures Raw]]/L$2)*100</f>
        <v>0</v>
      </c>
      <c r="N1795" s="180">
        <f>FME_Ranking1[[#This Row],[Res Structures Score (Normalized, Unweighted)]]*$L$3</f>
        <v>0</v>
      </c>
      <c r="O1795" s="244">
        <f>_xlfn.XLOOKUP(FME_Ranking1[[#This Row],[FME ID]],FME_Input[FME_ID],FME_Input[POP100])</f>
        <v>0</v>
      </c>
      <c r="P1795" s="178">
        <f>(FME_Ranking1[[#This Row],[Pop Raw]]/$O$2)*100</f>
        <v>0</v>
      </c>
      <c r="Q1795" s="178">
        <f>FME_Ranking1[[#This Row],[Pop Score (Normalized, Unweighted)]]*$O$3</f>
        <v>0</v>
      </c>
      <c r="R1795" s="137">
        <f>_xlfn.XLOOKUP(FME_Ranking1[[#This Row],[FME ID]],FME_Input[FME_ID],FME_Input[CRITFAC100])</f>
        <v>0</v>
      </c>
      <c r="S1795" s="230">
        <f>(FME_Ranking1[[#This Row],[Critical Facilities Raw]]/$R$2)*100</f>
        <v>0</v>
      </c>
      <c r="T1795" s="180">
        <f>FME_Ranking1[[#This Row],[Critical Facilities Score (Normalized, Unweighted)]]*$R$3</f>
        <v>0</v>
      </c>
      <c r="U1795">
        <f>_xlfn.XLOOKUP(FME_Ranking1[[#This Row],[FME ID]],FME_Input[FME_ID],FME_Input[LWC])</f>
        <v>0</v>
      </c>
      <c r="V1795" s="178">
        <f>(FME_Ranking1[[#This Row],[LWC Raw]]/$U$2)*100</f>
        <v>0</v>
      </c>
      <c r="W1795" s="178">
        <f>FME_Ranking1[[#This Row],[LWC Score (Normalized, Unweighted)]]*$U$3</f>
        <v>0</v>
      </c>
      <c r="X1795" s="246">
        <f>_xlfn.XLOOKUP(FME_Ranking1[[#This Row],[FME ID]],FME_Input[FME_ID],FME_Input[ROADCLS])</f>
        <v>9</v>
      </c>
      <c r="Y1795" s="230">
        <f>(FME_Ranking1[[#This Row],[Closures Raw]]/$X$2)*100</f>
        <v>9.462727368310378E-2</v>
      </c>
      <c r="Z1795" s="180">
        <f>FME_Ranking1[[#This Row],[Closures Score (Normalized, Unweighted)]]*$X$3</f>
        <v>4.7313636841551897E-3</v>
      </c>
      <c r="AA1795" s="253">
        <f>_xlfn.XLOOKUP(FME_Ranking1[[#This Row],[FME ID]],FME_Input[FME_ID],FME_Input[ROAD_MILES100])</f>
        <v>4.8568490892648697E-2</v>
      </c>
      <c r="AB1795" s="178">
        <f>(FME_Ranking1[[#This Row],[Miles Raw]]/$AA$2)*100</f>
        <v>6.3858854356036441E-4</v>
      </c>
      <c r="AC1795" s="178">
        <f>FME_Ranking1[[#This Row],[Miles Score (Normalized, Unweighted)]]*$AA$3</f>
        <v>6.3858854356036449E-5</v>
      </c>
      <c r="AD1795" s="255">
        <f>_xlfn.XLOOKUP(FME_Ranking1[[#This Row],[FME ID]],FME_Input[FME_ID],FME_Input[FARMACRE100])</f>
        <v>0</v>
      </c>
      <c r="AE1795" s="230">
        <f>(FME_Ranking1[[#This Row],[Ag Land Raw]]/$AD$2)*100</f>
        <v>0</v>
      </c>
      <c r="AF1795" s="231">
        <f>FME_Ranking1[[#This Row],[Ag Land Score (Normalized, Unweighted)]]*$AD$3</f>
        <v>0</v>
      </c>
      <c r="AG179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4.7952225385112261E-3</v>
      </c>
      <c r="AH1795" s="406">
        <f t="shared" si="27"/>
        <v>1839</v>
      </c>
      <c r="AI179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4.7952225385112261E-3</v>
      </c>
      <c r="AJ1795" s="257">
        <f>FME_Ranking1[[#This Row],[Addition check]]-FME_Ranking1[[#This Row],[Weighted Score Based on Normalized Reported Factors]]</f>
        <v>0</v>
      </c>
      <c r="AK1795" s="178">
        <f>_xlfn.RANK.EQ(AI1795,$AI$6:$AI$2341,0)+COUNTIF($AI$6:AI1795,AI1795)-1</f>
        <v>1839</v>
      </c>
    </row>
    <row r="1796" spans="1:37" x14ac:dyDescent="0.25">
      <c r="A1796" t="s">
        <v>11249</v>
      </c>
      <c r="B1796">
        <f>_xlfn.XLOOKUP(FME_Ranking1[[#This Row],[FME ID]],FME_Input[FME_ID],FME_Input[RFPG_NUM])</f>
        <v>15</v>
      </c>
      <c r="C1796" t="str">
        <f>_xlfn.XLOOKUP(FME_Ranking1[[#This Row],[FME ID]],FME_Input[FME_ID],FME_Input[FME_NAME])</f>
        <v>Precinct 4 MDP - Risk Area F at Texas Rd. &amp; Cesar Chavez Rd.</v>
      </c>
      <c r="D1796" t="str">
        <f>_xlfn.XLOOKUP(FME_Ranking1[[#This Row],[FME ID]],FME_Input[FME_ID],FME_Input[DESCR])</f>
        <v>Channel Improvements with approximately 0.6 miles of proposed improvements. Grate Inlets and Proposed Storm Drain with grate inlets in sag spaced along every 500’ tying into a 42’’ RCP along Cesar Chavez Road starting at just south of Texas Rd to t</v>
      </c>
      <c r="E1796" s="256">
        <f>_xlfn.XLOOKUP(FME_Ranking1[[#This Row],[FME ID]],FME_Input[FME_ID],FME_Input[FME_COST])</f>
        <v>1188000</v>
      </c>
      <c r="F1796" t="str">
        <f>_xlfn.XLOOKUP(FME_Ranking1[[#This Row],[FME ID]],FME_Input[FME_ID],FME_Input[EMER_NEED])</f>
        <v>Yes</v>
      </c>
      <c r="G1796">
        <f>IF(FME_Ranking!F1796="Yes",100,0)</f>
        <v>100</v>
      </c>
      <c r="H1796">
        <f>FME_Ranking1[[#This Row],[Emergency Need Score (Normalized, Unweighted)]]*$F$3</f>
        <v>0</v>
      </c>
      <c r="I1796" s="246">
        <f>_xlfn.XLOOKUP(FME_Ranking1[[#This Row],[FME ID]],FME_Input[FME_ID],FME_Input[STRUCT_100])</f>
        <v>0</v>
      </c>
      <c r="J1796" s="178">
        <f>(FME_Ranking1[[#This Row],[Structures 100 Raw]]/I$2)*100</f>
        <v>0</v>
      </c>
      <c r="K1796" s="178">
        <f>FME_Ranking1[[#This Row],[Structures 100  Score (Normalized, Unweighted)]]*$I$3</f>
        <v>0</v>
      </c>
      <c r="L1796" s="246">
        <f>_xlfn.XLOOKUP(FME_Ranking1[[#This Row],[FME ID]],FME_Input[FME_ID],FME_Input[RES_STRUCT100])</f>
        <v>33</v>
      </c>
      <c r="M1796" s="230">
        <f>(FME_Ranking1[[#This Row],[Res Structures Raw]]/L$2)*100</f>
        <v>2.3374084515023163E-2</v>
      </c>
      <c r="N1796" s="180">
        <f>FME_Ranking1[[#This Row],[Res Structures Score (Normalized, Unweighted)]]*$L$3</f>
        <v>2.3374084515023165E-3</v>
      </c>
      <c r="O1796" s="244">
        <f>_xlfn.XLOOKUP(FME_Ranking1[[#This Row],[FME ID]],FME_Input[FME_ID],FME_Input[POP100])</f>
        <v>155</v>
      </c>
      <c r="P1796" s="178">
        <f>(FME_Ranking1[[#This Row],[Pop Raw]]/$O$2)*100</f>
        <v>1.5868173358258308E-2</v>
      </c>
      <c r="Q1796" s="178">
        <f>FME_Ranking1[[#This Row],[Pop Score (Normalized, Unweighted)]]*$O$3</f>
        <v>2.3802260037387459E-3</v>
      </c>
      <c r="R1796" s="137">
        <f>_xlfn.XLOOKUP(FME_Ranking1[[#This Row],[FME ID]],FME_Input[FME_ID],FME_Input[CRITFAC100])</f>
        <v>0</v>
      </c>
      <c r="S1796" s="230">
        <f>(FME_Ranking1[[#This Row],[Critical Facilities Raw]]/$R$2)*100</f>
        <v>0</v>
      </c>
      <c r="T1796" s="180">
        <f>FME_Ranking1[[#This Row],[Critical Facilities Score (Normalized, Unweighted)]]*$R$3</f>
        <v>0</v>
      </c>
      <c r="U1796">
        <f>_xlfn.XLOOKUP(FME_Ranking1[[#This Row],[FME ID]],FME_Input[FME_ID],FME_Input[LWC])</f>
        <v>0</v>
      </c>
      <c r="V1796" s="178">
        <f>(FME_Ranking1[[#This Row],[LWC Raw]]/$U$2)*100</f>
        <v>0</v>
      </c>
      <c r="W1796" s="178">
        <f>FME_Ranking1[[#This Row],[LWC Score (Normalized, Unweighted)]]*$U$3</f>
        <v>0</v>
      </c>
      <c r="X1796" s="246">
        <f>_xlfn.XLOOKUP(FME_Ranking1[[#This Row],[FME ID]],FME_Input[FME_ID],FME_Input[ROADCLS])</f>
        <v>0</v>
      </c>
      <c r="Y1796" s="230">
        <f>(FME_Ranking1[[#This Row],[Closures Raw]]/$X$2)*100</f>
        <v>0</v>
      </c>
      <c r="Z1796" s="180">
        <f>FME_Ranking1[[#This Row],[Closures Score (Normalized, Unweighted)]]*$X$3</f>
        <v>0</v>
      </c>
      <c r="AA1796" s="253">
        <f>_xlfn.XLOOKUP(FME_Ranking1[[#This Row],[FME ID]],FME_Input[FME_ID],FME_Input[ROAD_MILES100])</f>
        <v>3.256139993667603</v>
      </c>
      <c r="AB1796" s="178">
        <f>(FME_Ranking1[[#This Row],[Miles Raw]]/$AA$2)*100</f>
        <v>4.2812400755477778E-2</v>
      </c>
      <c r="AC1796" s="178">
        <f>FME_Ranking1[[#This Row],[Miles Score (Normalized, Unweighted)]]*$AA$3</f>
        <v>4.2812400755477776E-3</v>
      </c>
      <c r="AD1796" s="255">
        <f>_xlfn.XLOOKUP(FME_Ranking1[[#This Row],[FME ID]],FME_Input[FME_ID],FME_Input[FARMACRE100])</f>
        <v>0</v>
      </c>
      <c r="AE1796" s="230">
        <f>(FME_Ranking1[[#This Row],[Ag Land Raw]]/$AD$2)*100</f>
        <v>0</v>
      </c>
      <c r="AF1796" s="231">
        <f>FME_Ranking1[[#This Row],[Ag Land Score (Normalized, Unweighted)]]*$AD$3</f>
        <v>0</v>
      </c>
      <c r="AG179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8.9988745307888404E-3</v>
      </c>
      <c r="AH1796" s="406">
        <f t="shared" si="27"/>
        <v>1766</v>
      </c>
      <c r="AI179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8.9988745307888404E-3</v>
      </c>
      <c r="AJ1796" s="257">
        <f>FME_Ranking1[[#This Row],[Addition check]]-FME_Ranking1[[#This Row],[Weighted Score Based on Normalized Reported Factors]]</f>
        <v>0</v>
      </c>
      <c r="AK1796" s="178">
        <f>_xlfn.RANK.EQ(AI1796,$AI$6:$AI$2341,0)+COUNTIF($AI$6:AI1796,AI1796)-1</f>
        <v>1766</v>
      </c>
    </row>
    <row r="1797" spans="1:37" x14ac:dyDescent="0.25">
      <c r="A1797" t="s">
        <v>372</v>
      </c>
      <c r="B1797">
        <f>_xlfn.XLOOKUP(FME_Ranking1[[#This Row],[FME ID]],FME_Input[FME_ID],FME_Input[RFPG_NUM])</f>
        <v>10</v>
      </c>
      <c r="C1797" t="str">
        <f>_xlfn.XLOOKUP(FME_Ranking1[[#This Row],[FME ID]],FME_Input[FME_ID],FME_Input[FME_NAME])</f>
        <v>Land Purchase for New EMS/Fire/Police Building</v>
      </c>
      <c r="D1797" t="str">
        <f>_xlfn.XLOOKUP(FME_Ranking1[[#This Row],[FME ID]],FME_Input[FME_ID],FME_Input[DESCR])</f>
        <v xml:space="preserve">Purchase land; design/construct hardened EMS/Fire/Police facility_x000D_
</v>
      </c>
      <c r="E1797" s="256">
        <f>_xlfn.XLOOKUP(FME_Ranking1[[#This Row],[FME ID]],FME_Input[FME_ID],FME_Input[FME_COST])</f>
        <v>100000</v>
      </c>
      <c r="F1797" t="str">
        <f>_xlfn.XLOOKUP(FME_Ranking1[[#This Row],[FME ID]],FME_Input[FME_ID],FME_Input[EMER_NEED])</f>
        <v>No</v>
      </c>
      <c r="G1797">
        <f>IF(FME_Ranking!F1797="Yes",100,0)</f>
        <v>0</v>
      </c>
      <c r="H1797">
        <f>FME_Ranking1[[#This Row],[Emergency Need Score (Normalized, Unweighted)]]*$F$3</f>
        <v>0</v>
      </c>
      <c r="I1797" s="246">
        <f>_xlfn.XLOOKUP(FME_Ranking1[[#This Row],[FME ID]],FME_Input[FME_ID],FME_Input[STRUCT_100])</f>
        <v>28</v>
      </c>
      <c r="J1797" s="178">
        <f>(FME_Ranking1[[#This Row],[Structures 100 Raw]]/I$2)*100</f>
        <v>1.4993788287709378E-2</v>
      </c>
      <c r="K1797" s="178">
        <f>FME_Ranking1[[#This Row],[Structures 100  Score (Normalized, Unweighted)]]*$I$3</f>
        <v>2.2490682431564068E-3</v>
      </c>
      <c r="L1797" s="246">
        <f>_xlfn.XLOOKUP(FME_Ranking1[[#This Row],[FME ID]],FME_Input[FME_ID],FME_Input[RES_STRUCT100])</f>
        <v>17</v>
      </c>
      <c r="M1797" s="230">
        <f>(FME_Ranking1[[#This Row],[Res Structures Raw]]/L$2)*100</f>
        <v>1.2041195053193749E-2</v>
      </c>
      <c r="N1797" s="180">
        <f>FME_Ranking1[[#This Row],[Res Structures Score (Normalized, Unweighted)]]*$L$3</f>
        <v>1.2041195053193749E-3</v>
      </c>
      <c r="O1797" s="244">
        <f>_xlfn.XLOOKUP(FME_Ranking1[[#This Row],[FME ID]],FME_Input[FME_ID],FME_Input[POP100])</f>
        <v>77</v>
      </c>
      <c r="P1797" s="178">
        <f>(FME_Ranking1[[#This Row],[Pop Raw]]/$O$2)*100</f>
        <v>7.8828990231347741E-3</v>
      </c>
      <c r="Q1797" s="178">
        <f>FME_Ranking1[[#This Row],[Pop Score (Normalized, Unweighted)]]*$O$3</f>
        <v>1.1824348534702162E-3</v>
      </c>
      <c r="R1797" s="137">
        <f>_xlfn.XLOOKUP(FME_Ranking1[[#This Row],[FME ID]],FME_Input[FME_ID],FME_Input[CRITFAC100])</f>
        <v>0</v>
      </c>
      <c r="S1797" s="230">
        <f>(FME_Ranking1[[#This Row],[Critical Facilities Raw]]/$R$2)*100</f>
        <v>0</v>
      </c>
      <c r="T1797" s="180">
        <f>FME_Ranking1[[#This Row],[Critical Facilities Score (Normalized, Unweighted)]]*$R$3</f>
        <v>0</v>
      </c>
      <c r="U1797">
        <f>_xlfn.XLOOKUP(FME_Ranking1[[#This Row],[FME ID]],FME_Input[FME_ID],FME_Input[LWC])</f>
        <v>0</v>
      </c>
      <c r="V1797" s="178">
        <f>(FME_Ranking1[[#This Row],[LWC Raw]]/$U$2)*100</f>
        <v>0</v>
      </c>
      <c r="W1797" s="178">
        <f>FME_Ranking1[[#This Row],[LWC Score (Normalized, Unweighted)]]*$U$3</f>
        <v>0</v>
      </c>
      <c r="X1797" s="246">
        <f>_xlfn.XLOOKUP(FME_Ranking1[[#This Row],[FME ID]],FME_Input[FME_ID],FME_Input[ROADCLS])</f>
        <v>0</v>
      </c>
      <c r="Y1797" s="230">
        <f>(FME_Ranking1[[#This Row],[Closures Raw]]/$X$2)*100</f>
        <v>0</v>
      </c>
      <c r="Z1797" s="180">
        <f>FME_Ranking1[[#This Row],[Closures Score (Normalized, Unweighted)]]*$X$3</f>
        <v>0</v>
      </c>
      <c r="AA1797" s="253">
        <f>_xlfn.XLOOKUP(FME_Ranking1[[#This Row],[FME ID]],FME_Input[FME_ID],FME_Input[ROAD_MILES100])</f>
        <v>0.42465221881866461</v>
      </c>
      <c r="AB1797" s="178">
        <f>(FME_Ranking1[[#This Row],[Miles Raw]]/$AA$2)*100</f>
        <v>5.5834150279545445E-3</v>
      </c>
      <c r="AC1797" s="178">
        <f>FME_Ranking1[[#This Row],[Miles Score (Normalized, Unweighted)]]*$AA$3</f>
        <v>5.5834150279545443E-4</v>
      </c>
      <c r="AD1797" s="255">
        <f>_xlfn.XLOOKUP(FME_Ranking1[[#This Row],[FME ID]],FME_Input[FME_ID],FME_Input[FARMACRE100])</f>
        <v>27.728059768676761</v>
      </c>
      <c r="AE1797" s="230">
        <f>(FME_Ranking1[[#This Row],[Ag Land Raw]]/$AD$2)*100</f>
        <v>1.1433810600983739E-3</v>
      </c>
      <c r="AF1797" s="231">
        <f>FME_Ranking1[[#This Row],[Ag Land Score (Normalized, Unweighted)]]*$AD$3</f>
        <v>5.7169053004918699E-5</v>
      </c>
      <c r="AG179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5.2511331577463705E-3</v>
      </c>
      <c r="AH1797" s="406">
        <f t="shared" si="27"/>
        <v>1828</v>
      </c>
      <c r="AI179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5.2511331577463705E-3</v>
      </c>
      <c r="AJ1797" s="257">
        <f>FME_Ranking1[[#This Row],[Addition check]]-FME_Ranking1[[#This Row],[Weighted Score Based on Normalized Reported Factors]]</f>
        <v>0</v>
      </c>
      <c r="AK1797" s="178">
        <f>_xlfn.RANK.EQ(AI1797,$AI$6:$AI$2341,0)+COUNTIF($AI$6:AI1797,AI1797)-1</f>
        <v>1828</v>
      </c>
    </row>
    <row r="1798" spans="1:37" x14ac:dyDescent="0.25">
      <c r="A1798" t="s">
        <v>403</v>
      </c>
      <c r="B1798">
        <f>_xlfn.XLOOKUP(FME_Ranking1[[#This Row],[FME ID]],FME_Input[FME_ID],FME_Input[RFPG_NUM])</f>
        <v>10</v>
      </c>
      <c r="C1798" t="str">
        <f>_xlfn.XLOOKUP(FME_Ranking1[[#This Row],[FME ID]],FME_Input[FME_ID],FME_Input[FME_NAME])</f>
        <v>City-wide Drainage Master Plan</v>
      </c>
      <c r="D1798" t="str">
        <f>_xlfn.XLOOKUP(FME_Ranking1[[#This Row],[FME ID]],FME_Input[FME_ID],FME_Input[DESCR])</f>
        <v xml:space="preserve">Develop a drainage master plan with a focus on identifying flood reduction projects for local drainage issues. </v>
      </c>
      <c r="E1798" s="256">
        <f>_xlfn.XLOOKUP(FME_Ranking1[[#This Row],[FME ID]],FME_Input[FME_ID],FME_Input[FME_COST])</f>
        <v>250000</v>
      </c>
      <c r="F1798" t="str">
        <f>_xlfn.XLOOKUP(FME_Ranking1[[#This Row],[FME ID]],FME_Input[FME_ID],FME_Input[EMER_NEED])</f>
        <v>No</v>
      </c>
      <c r="G1798">
        <f>IF(FME_Ranking!F1798="Yes",100,0)</f>
        <v>0</v>
      </c>
      <c r="H1798">
        <f>FME_Ranking1[[#This Row],[Emergency Need Score (Normalized, Unweighted)]]*$F$3</f>
        <v>0</v>
      </c>
      <c r="I1798" s="246">
        <f>_xlfn.XLOOKUP(FME_Ranking1[[#This Row],[FME ID]],FME_Input[FME_ID],FME_Input[STRUCT_100])</f>
        <v>28</v>
      </c>
      <c r="J1798" s="178">
        <f>(FME_Ranking1[[#This Row],[Structures 100 Raw]]/I$2)*100</f>
        <v>1.4993788287709378E-2</v>
      </c>
      <c r="K1798" s="178">
        <f>FME_Ranking1[[#This Row],[Structures 100  Score (Normalized, Unweighted)]]*$I$3</f>
        <v>2.2490682431564068E-3</v>
      </c>
      <c r="L1798" s="246">
        <f>_xlfn.XLOOKUP(FME_Ranking1[[#This Row],[FME ID]],FME_Input[FME_ID],FME_Input[RES_STRUCT100])</f>
        <v>17</v>
      </c>
      <c r="M1798" s="230">
        <f>(FME_Ranking1[[#This Row],[Res Structures Raw]]/L$2)*100</f>
        <v>1.2041195053193749E-2</v>
      </c>
      <c r="N1798" s="180">
        <f>FME_Ranking1[[#This Row],[Res Structures Score (Normalized, Unweighted)]]*$L$3</f>
        <v>1.2041195053193749E-3</v>
      </c>
      <c r="O1798" s="244">
        <f>_xlfn.XLOOKUP(FME_Ranking1[[#This Row],[FME ID]],FME_Input[FME_ID],FME_Input[POP100])</f>
        <v>77</v>
      </c>
      <c r="P1798" s="178">
        <f>(FME_Ranking1[[#This Row],[Pop Raw]]/$O$2)*100</f>
        <v>7.8828990231347741E-3</v>
      </c>
      <c r="Q1798" s="178">
        <f>FME_Ranking1[[#This Row],[Pop Score (Normalized, Unweighted)]]*$O$3</f>
        <v>1.1824348534702162E-3</v>
      </c>
      <c r="R1798" s="137">
        <f>_xlfn.XLOOKUP(FME_Ranking1[[#This Row],[FME ID]],FME_Input[FME_ID],FME_Input[CRITFAC100])</f>
        <v>0</v>
      </c>
      <c r="S1798" s="230">
        <f>(FME_Ranking1[[#This Row],[Critical Facilities Raw]]/$R$2)*100</f>
        <v>0</v>
      </c>
      <c r="T1798" s="180">
        <f>FME_Ranking1[[#This Row],[Critical Facilities Score (Normalized, Unweighted)]]*$R$3</f>
        <v>0</v>
      </c>
      <c r="U1798">
        <f>_xlfn.XLOOKUP(FME_Ranking1[[#This Row],[FME ID]],FME_Input[FME_ID],FME_Input[LWC])</f>
        <v>0</v>
      </c>
      <c r="V1798" s="178">
        <f>(FME_Ranking1[[#This Row],[LWC Raw]]/$U$2)*100</f>
        <v>0</v>
      </c>
      <c r="W1798" s="178">
        <f>FME_Ranking1[[#This Row],[LWC Score (Normalized, Unweighted)]]*$U$3</f>
        <v>0</v>
      </c>
      <c r="X1798" s="246">
        <f>_xlfn.XLOOKUP(FME_Ranking1[[#This Row],[FME ID]],FME_Input[FME_ID],FME_Input[ROADCLS])</f>
        <v>0</v>
      </c>
      <c r="Y1798" s="230">
        <f>(FME_Ranking1[[#This Row],[Closures Raw]]/$X$2)*100</f>
        <v>0</v>
      </c>
      <c r="Z1798" s="180">
        <f>FME_Ranking1[[#This Row],[Closures Score (Normalized, Unweighted)]]*$X$3</f>
        <v>0</v>
      </c>
      <c r="AA1798" s="253">
        <f>_xlfn.XLOOKUP(FME_Ranking1[[#This Row],[FME ID]],FME_Input[FME_ID],FME_Input[ROAD_MILES100])</f>
        <v>0.42465221881866461</v>
      </c>
      <c r="AB1798" s="178">
        <f>(FME_Ranking1[[#This Row],[Miles Raw]]/$AA$2)*100</f>
        <v>5.5834150279545445E-3</v>
      </c>
      <c r="AC1798" s="178">
        <f>FME_Ranking1[[#This Row],[Miles Score (Normalized, Unweighted)]]*$AA$3</f>
        <v>5.5834150279545443E-4</v>
      </c>
      <c r="AD1798" s="255">
        <f>_xlfn.XLOOKUP(FME_Ranking1[[#This Row],[FME ID]],FME_Input[FME_ID],FME_Input[FARMACRE100])</f>
        <v>27.728059768676761</v>
      </c>
      <c r="AE1798" s="230">
        <f>(FME_Ranking1[[#This Row],[Ag Land Raw]]/$AD$2)*100</f>
        <v>1.1433810600983739E-3</v>
      </c>
      <c r="AF1798" s="231">
        <f>FME_Ranking1[[#This Row],[Ag Land Score (Normalized, Unweighted)]]*$AD$3</f>
        <v>5.7169053004918699E-5</v>
      </c>
      <c r="AG179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5.2511331577463705E-3</v>
      </c>
      <c r="AH1798" s="406">
        <f t="shared" ref="AH1798:AH1861" si="28">_xlfn.RANK.EQ(AG1798,$AG$6:$AG$2341,0)</f>
        <v>1828</v>
      </c>
      <c r="AI179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5.2511331577463705E-3</v>
      </c>
      <c r="AJ1798" s="257">
        <f>FME_Ranking1[[#This Row],[Addition check]]-FME_Ranking1[[#This Row],[Weighted Score Based on Normalized Reported Factors]]</f>
        <v>0</v>
      </c>
      <c r="AK1798" s="178">
        <f>_xlfn.RANK.EQ(AI1798,$AI$6:$AI$2341,0)+COUNTIF($AI$6:AI1798,AI1798)-1</f>
        <v>1829</v>
      </c>
    </row>
    <row r="1799" spans="1:37" x14ac:dyDescent="0.25">
      <c r="A1799" t="s">
        <v>307</v>
      </c>
      <c r="B1799">
        <f>_xlfn.XLOOKUP(FME_Ranking1[[#This Row],[FME ID]],FME_Input[FME_ID],FME_Input[RFPG_NUM])</f>
        <v>10</v>
      </c>
      <c r="C1799" t="str">
        <f>_xlfn.XLOOKUP(FME_Ranking1[[#This Row],[FME ID]],FME_Input[FME_ID],FME_Input[FME_NAME])</f>
        <v>Trailmoor near Llano Hwy</v>
      </c>
      <c r="D1799" t="str">
        <f>_xlfn.XLOOKUP(FME_Ranking1[[#This Row],[FME ID]],FME_Input[FME_ID],FME_Input[DESCR])</f>
        <v>Add stormwater system throughout watershed</v>
      </c>
      <c r="E1799" s="256">
        <f>_xlfn.XLOOKUP(FME_Ranking1[[#This Row],[FME ID]],FME_Input[FME_ID],FME_Input[FME_COST])</f>
        <v>250000</v>
      </c>
      <c r="F1799" t="str">
        <f>_xlfn.XLOOKUP(FME_Ranking1[[#This Row],[FME ID]],FME_Input[FME_ID],FME_Input[EMER_NEED])</f>
        <v>No</v>
      </c>
      <c r="G1799">
        <f>IF(FME_Ranking!F1799="Yes",100,0)</f>
        <v>0</v>
      </c>
      <c r="H1799">
        <f>FME_Ranking1[[#This Row],[Emergency Need Score (Normalized, Unweighted)]]*$F$3</f>
        <v>0</v>
      </c>
      <c r="I1799" s="246">
        <f>_xlfn.XLOOKUP(FME_Ranking1[[#This Row],[FME ID]],FME_Input[FME_ID],FME_Input[STRUCT_100])</f>
        <v>11</v>
      </c>
      <c r="J1799" s="178">
        <f>(FME_Ranking1[[#This Row],[Structures 100 Raw]]/I$2)*100</f>
        <v>5.8904168273143983E-3</v>
      </c>
      <c r="K1799" s="178">
        <f>FME_Ranking1[[#This Row],[Structures 100  Score (Normalized, Unweighted)]]*$I$3</f>
        <v>8.8356252409715972E-4</v>
      </c>
      <c r="L1799" s="246">
        <f>_xlfn.XLOOKUP(FME_Ranking1[[#This Row],[FME ID]],FME_Input[FME_ID],FME_Input[RES_STRUCT100])</f>
        <v>7</v>
      </c>
      <c r="M1799" s="230">
        <f>(FME_Ranking1[[#This Row],[Res Structures Raw]]/L$2)*100</f>
        <v>4.9581391395503681E-3</v>
      </c>
      <c r="N1799" s="180">
        <f>FME_Ranking1[[#This Row],[Res Structures Score (Normalized, Unweighted)]]*$L$3</f>
        <v>4.9581391395503687E-4</v>
      </c>
      <c r="O1799" s="244">
        <f>_xlfn.XLOOKUP(FME_Ranking1[[#This Row],[FME ID]],FME_Input[FME_ID],FME_Input[POP100])</f>
        <v>213</v>
      </c>
      <c r="P1799" s="178">
        <f>(FME_Ranking1[[#This Row],[Pop Raw]]/$O$2)*100</f>
        <v>2.1805941453606578E-2</v>
      </c>
      <c r="Q1799" s="178">
        <f>FME_Ranking1[[#This Row],[Pop Score (Normalized, Unweighted)]]*$O$3</f>
        <v>3.2708912180409865E-3</v>
      </c>
      <c r="R1799" s="137">
        <f>_xlfn.XLOOKUP(FME_Ranking1[[#This Row],[FME ID]],FME_Input[FME_ID],FME_Input[CRITFAC100])</f>
        <v>0</v>
      </c>
      <c r="S1799" s="230">
        <f>(FME_Ranking1[[#This Row],[Critical Facilities Raw]]/$R$2)*100</f>
        <v>0</v>
      </c>
      <c r="T1799" s="180">
        <f>FME_Ranking1[[#This Row],[Critical Facilities Score (Normalized, Unweighted)]]*$R$3</f>
        <v>0</v>
      </c>
      <c r="U1799">
        <f>_xlfn.XLOOKUP(FME_Ranking1[[#This Row],[FME ID]],FME_Input[FME_ID],FME_Input[LWC])</f>
        <v>0</v>
      </c>
      <c r="V1799" s="178">
        <f>(FME_Ranking1[[#This Row],[LWC Raw]]/$U$2)*100</f>
        <v>0</v>
      </c>
      <c r="W1799" s="178">
        <f>FME_Ranking1[[#This Row],[LWC Score (Normalized, Unweighted)]]*$U$3</f>
        <v>0</v>
      </c>
      <c r="X1799" s="246">
        <f>_xlfn.XLOOKUP(FME_Ranking1[[#This Row],[FME ID]],FME_Input[FME_ID],FME_Input[ROADCLS])</f>
        <v>0</v>
      </c>
      <c r="Y1799" s="230">
        <f>(FME_Ranking1[[#This Row],[Closures Raw]]/$X$2)*100</f>
        <v>0</v>
      </c>
      <c r="Z1799" s="180">
        <f>FME_Ranking1[[#This Row],[Closures Score (Normalized, Unweighted)]]*$X$3</f>
        <v>0</v>
      </c>
      <c r="AA1799" s="253">
        <f>_xlfn.XLOOKUP(FME_Ranking1[[#This Row],[FME ID]],FME_Input[FME_ID],FME_Input[ROAD_MILES100])</f>
        <v>0</v>
      </c>
      <c r="AB1799" s="178">
        <f>(FME_Ranking1[[#This Row],[Miles Raw]]/$AA$2)*100</f>
        <v>0</v>
      </c>
      <c r="AC1799" s="178">
        <f>FME_Ranking1[[#This Row],[Miles Score (Normalized, Unweighted)]]*$AA$3</f>
        <v>0</v>
      </c>
      <c r="AD1799" s="255">
        <f>_xlfn.XLOOKUP(FME_Ranking1[[#This Row],[FME ID]],FME_Input[FME_ID],FME_Input[FARMACRE100])</f>
        <v>11.50526714324951</v>
      </c>
      <c r="AE1799" s="230">
        <f>(FME_Ranking1[[#This Row],[Ag Land Raw]]/$AD$2)*100</f>
        <v>4.74425713616795E-4</v>
      </c>
      <c r="AF1799" s="231">
        <f>FME_Ranking1[[#This Row],[Ag Land Score (Normalized, Unweighted)]]*$AD$3</f>
        <v>2.3721285680839752E-5</v>
      </c>
      <c r="AG179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4.6739889417740229E-3</v>
      </c>
      <c r="AH1799" s="406">
        <f t="shared" si="28"/>
        <v>1842</v>
      </c>
      <c r="AI179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4.6739889417740229E-3</v>
      </c>
      <c r="AJ1799" s="257">
        <f>FME_Ranking1[[#This Row],[Addition check]]-FME_Ranking1[[#This Row],[Weighted Score Based on Normalized Reported Factors]]</f>
        <v>0</v>
      </c>
      <c r="AK1799" s="178">
        <f>_xlfn.RANK.EQ(AI1799,$AI$6:$AI$2341,0)+COUNTIF($AI$6:AI1799,AI1799)-1</f>
        <v>1842</v>
      </c>
    </row>
    <row r="1800" spans="1:37" x14ac:dyDescent="0.25">
      <c r="A1800" t="s">
        <v>6300</v>
      </c>
      <c r="B1800">
        <f>_xlfn.XLOOKUP(FME_Ranking1[[#This Row],[FME ID]],FME_Input[FME_ID],FME_Input[RFPG_NUM])</f>
        <v>5</v>
      </c>
      <c r="C1800" t="str">
        <f>_xlfn.XLOOKUP(FME_Ranking1[[#This Row],[FME ID]],FME_Input[FME_ID],FME_Input[FME_NAME])</f>
        <v>Rodair Lateral 5 Detention Pond Excavation</v>
      </c>
      <c r="D1800" t="str">
        <f>_xlfn.XLOOKUP(FME_Ranking1[[#This Row],[FME ID]],FME_Input[FME_ID],FME_Input[DESCR])</f>
        <v>H&amp;H study to identify additional detention required to expand existing level of service</v>
      </c>
      <c r="E1800" s="256">
        <f>_xlfn.XLOOKUP(FME_Ranking1[[#This Row],[FME ID]],FME_Input[FME_ID],FME_Input[FME_COST])</f>
        <v>100000</v>
      </c>
      <c r="F1800" t="str">
        <f>_xlfn.XLOOKUP(FME_Ranking1[[#This Row],[FME ID]],FME_Input[FME_ID],FME_Input[EMER_NEED])</f>
        <v>Yes</v>
      </c>
      <c r="G1800">
        <f>IF(FME_Ranking!F1800="Yes",100,0)</f>
        <v>100</v>
      </c>
      <c r="H1800">
        <f>FME_Ranking1[[#This Row],[Emergency Need Score (Normalized, Unweighted)]]*$F$3</f>
        <v>0</v>
      </c>
      <c r="I1800" s="246">
        <f>_xlfn.XLOOKUP(FME_Ranking1[[#This Row],[FME ID]],FME_Input[FME_ID],FME_Input[STRUCT_100])</f>
        <v>29</v>
      </c>
      <c r="J1800" s="178">
        <f>(FME_Ranking1[[#This Row],[Structures 100 Raw]]/I$2)*100</f>
        <v>1.5529280726556141E-2</v>
      </c>
      <c r="K1800" s="178">
        <f>FME_Ranking1[[#This Row],[Structures 100  Score (Normalized, Unweighted)]]*$I$3</f>
        <v>2.3293921089834213E-3</v>
      </c>
      <c r="L1800" s="246">
        <f>_xlfn.XLOOKUP(FME_Ranking1[[#This Row],[FME ID]],FME_Input[FME_ID],FME_Input[RES_STRUCT100])</f>
        <v>3</v>
      </c>
      <c r="M1800" s="230">
        <f>(FME_Ranking1[[#This Row],[Res Structures Raw]]/L$2)*100</f>
        <v>2.1249167740930146E-3</v>
      </c>
      <c r="N1800" s="180">
        <f>FME_Ranking1[[#This Row],[Res Structures Score (Normalized, Unweighted)]]*$L$3</f>
        <v>2.1249167740930149E-4</v>
      </c>
      <c r="O1800" s="244">
        <f>_xlfn.XLOOKUP(FME_Ranking1[[#This Row],[FME ID]],FME_Input[FME_ID],FME_Input[POP100])</f>
        <v>138</v>
      </c>
      <c r="P1800" s="178">
        <f>(FME_Ranking1[[#This Row],[Pop Raw]]/$O$2)*100</f>
        <v>1.4127793054449334E-2</v>
      </c>
      <c r="Q1800" s="178">
        <f>FME_Ranking1[[#This Row],[Pop Score (Normalized, Unweighted)]]*$O$3</f>
        <v>2.1191689581673999E-3</v>
      </c>
      <c r="R1800" s="137">
        <f>_xlfn.XLOOKUP(FME_Ranking1[[#This Row],[FME ID]],FME_Input[FME_ID],FME_Input[CRITFAC100])</f>
        <v>0</v>
      </c>
      <c r="S1800" s="230">
        <f>(FME_Ranking1[[#This Row],[Critical Facilities Raw]]/$R$2)*100</f>
        <v>0</v>
      </c>
      <c r="T1800" s="180">
        <f>FME_Ranking1[[#This Row],[Critical Facilities Score (Normalized, Unweighted)]]*$R$3</f>
        <v>0</v>
      </c>
      <c r="U1800">
        <f>_xlfn.XLOOKUP(FME_Ranking1[[#This Row],[FME ID]],FME_Input[FME_ID],FME_Input[LWC])</f>
        <v>0</v>
      </c>
      <c r="V1800" s="178">
        <f>(FME_Ranking1[[#This Row],[LWC Raw]]/$U$2)*100</f>
        <v>0</v>
      </c>
      <c r="W1800" s="178">
        <f>FME_Ranking1[[#This Row],[LWC Score (Normalized, Unweighted)]]*$U$3</f>
        <v>0</v>
      </c>
      <c r="X1800" s="246">
        <f>_xlfn.XLOOKUP(FME_Ranking1[[#This Row],[FME ID]],FME_Input[FME_ID],FME_Input[ROADCLS])</f>
        <v>0</v>
      </c>
      <c r="Y1800" s="230">
        <f>(FME_Ranking1[[#This Row],[Closures Raw]]/$X$2)*100</f>
        <v>0</v>
      </c>
      <c r="Z1800" s="180">
        <f>FME_Ranking1[[#This Row],[Closures Score (Normalized, Unweighted)]]*$X$3</f>
        <v>0</v>
      </c>
      <c r="AA1800" s="253">
        <f>_xlfn.XLOOKUP(FME_Ranking1[[#This Row],[FME ID]],FME_Input[FME_ID],FME_Input[ROAD_MILES100])</f>
        <v>1.2208811044692991</v>
      </c>
      <c r="AB1800" s="178">
        <f>(FME_Ranking1[[#This Row],[Miles Raw]]/$AA$2)*100</f>
        <v>1.6052396770710138E-2</v>
      </c>
      <c r="AC1800" s="178">
        <f>FME_Ranking1[[#This Row],[Miles Score (Normalized, Unweighted)]]*$AA$3</f>
        <v>1.6052396770710139E-3</v>
      </c>
      <c r="AD1800" s="255">
        <f>_xlfn.XLOOKUP(FME_Ranking1[[#This Row],[FME ID]],FME_Input[FME_ID],FME_Input[FARMACRE100])</f>
        <v>6.1195540428161621</v>
      </c>
      <c r="AE1800" s="230">
        <f>(FME_Ranking1[[#This Row],[Ag Land Raw]]/$AD$2)*100</f>
        <v>2.5234301451948808E-4</v>
      </c>
      <c r="AF1800" s="231">
        <f>FME_Ranking1[[#This Row],[Ag Land Score (Normalized, Unweighted)]]*$AD$3</f>
        <v>1.2617150725974404E-5</v>
      </c>
      <c r="AG180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6.2789095723571105E-3</v>
      </c>
      <c r="AH1800" s="406">
        <f t="shared" si="28"/>
        <v>1809</v>
      </c>
      <c r="AI180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6.2789095723571105E-3</v>
      </c>
      <c r="AJ1800" s="257">
        <f>FME_Ranking1[[#This Row],[Addition check]]-FME_Ranking1[[#This Row],[Weighted Score Based on Normalized Reported Factors]]</f>
        <v>0</v>
      </c>
      <c r="AK1800" s="178">
        <f>_xlfn.RANK.EQ(AI1800,$AI$6:$AI$2341,0)+COUNTIF($AI$6:AI1800,AI1800)-1</f>
        <v>1809</v>
      </c>
    </row>
    <row r="1801" spans="1:37" x14ac:dyDescent="0.25">
      <c r="A1801" t="s">
        <v>11117</v>
      </c>
      <c r="B1801">
        <f>_xlfn.XLOOKUP(FME_Ranking1[[#This Row],[FME ID]],FME_Input[FME_ID],FME_Input[RFPG_NUM])</f>
        <v>15</v>
      </c>
      <c r="C1801" t="str">
        <f>_xlfn.XLOOKUP(FME_Ranking1[[#This Row],[FME ID]],FME_Input[FME_ID],FME_Input[FME_NAME])</f>
        <v>City of Brownsville Action #24</v>
      </c>
      <c r="D1801" t="str">
        <f>_xlfn.XLOOKUP(FME_Ranking1[[#This Row],[FME ID]],FME_Input[FME_ID],FME_Input[DESCR])</f>
        <v>Improve drainage and replace or upgrade gutters at City Plaza buildings</v>
      </c>
      <c r="E1801" s="256">
        <f>_xlfn.XLOOKUP(FME_Ranking1[[#This Row],[FME ID]],FME_Input[FME_ID],FME_Input[FME_COST])</f>
        <v>19800</v>
      </c>
      <c r="F1801" t="str">
        <f>_xlfn.XLOOKUP(FME_Ranking1[[#This Row],[FME ID]],FME_Input[FME_ID],FME_Input[EMER_NEED])</f>
        <v>Yes</v>
      </c>
      <c r="G1801">
        <f>IF(FME_Ranking!F1801="Yes",100,0)</f>
        <v>100</v>
      </c>
      <c r="H1801">
        <f>FME_Ranking1[[#This Row],[Emergency Need Score (Normalized, Unweighted)]]*$F$3</f>
        <v>0</v>
      </c>
      <c r="I1801" s="246">
        <f>_xlfn.XLOOKUP(FME_Ranking1[[#This Row],[FME ID]],FME_Input[FME_ID],FME_Input[STRUCT_100])</f>
        <v>0</v>
      </c>
      <c r="J1801" s="178">
        <f>(FME_Ranking1[[#This Row],[Structures 100 Raw]]/I$2)*100</f>
        <v>0</v>
      </c>
      <c r="K1801" s="178">
        <f>FME_Ranking1[[#This Row],[Structures 100  Score (Normalized, Unweighted)]]*$I$3</f>
        <v>0</v>
      </c>
      <c r="L1801" s="246">
        <f>_xlfn.XLOOKUP(FME_Ranking1[[#This Row],[FME ID]],FME_Input[FME_ID],FME_Input[RES_STRUCT100])</f>
        <v>21</v>
      </c>
      <c r="M1801" s="230">
        <f>(FME_Ranking1[[#This Row],[Res Structures Raw]]/L$2)*100</f>
        <v>1.4874417418651103E-2</v>
      </c>
      <c r="N1801" s="180">
        <f>FME_Ranking1[[#This Row],[Res Structures Score (Normalized, Unweighted)]]*$L$3</f>
        <v>1.4874417418651103E-3</v>
      </c>
      <c r="O1801" s="244">
        <f>_xlfn.XLOOKUP(FME_Ranking1[[#This Row],[FME ID]],FME_Input[FME_ID],FME_Input[POP100])</f>
        <v>198</v>
      </c>
      <c r="P1801" s="178">
        <f>(FME_Ranking1[[#This Row],[Pop Raw]]/$O$2)*100</f>
        <v>2.027031177377513E-2</v>
      </c>
      <c r="Q1801" s="178">
        <f>FME_Ranking1[[#This Row],[Pop Score (Normalized, Unweighted)]]*$O$3</f>
        <v>3.0405467660662693E-3</v>
      </c>
      <c r="R1801" s="137">
        <f>_xlfn.XLOOKUP(FME_Ranking1[[#This Row],[FME ID]],FME_Input[FME_ID],FME_Input[CRITFAC100])</f>
        <v>0</v>
      </c>
      <c r="S1801" s="230">
        <f>(FME_Ranking1[[#This Row],[Critical Facilities Raw]]/$R$2)*100</f>
        <v>0</v>
      </c>
      <c r="T1801" s="180">
        <f>FME_Ranking1[[#This Row],[Critical Facilities Score (Normalized, Unweighted)]]*$R$3</f>
        <v>0</v>
      </c>
      <c r="U1801">
        <f>_xlfn.XLOOKUP(FME_Ranking1[[#This Row],[FME ID]],FME_Input[FME_ID],FME_Input[LWC])</f>
        <v>0</v>
      </c>
      <c r="V1801" s="178">
        <f>(FME_Ranking1[[#This Row],[LWC Raw]]/$U$2)*100</f>
        <v>0</v>
      </c>
      <c r="W1801" s="178">
        <f>FME_Ranking1[[#This Row],[LWC Score (Normalized, Unweighted)]]*$U$3</f>
        <v>0</v>
      </c>
      <c r="X1801" s="246">
        <f>_xlfn.XLOOKUP(FME_Ranking1[[#This Row],[FME ID]],FME_Input[FME_ID],FME_Input[ROADCLS])</f>
        <v>0</v>
      </c>
      <c r="Y1801" s="230">
        <f>(FME_Ranking1[[#This Row],[Closures Raw]]/$X$2)*100</f>
        <v>0</v>
      </c>
      <c r="Z1801" s="180">
        <f>FME_Ranking1[[#This Row],[Closures Score (Normalized, Unweighted)]]*$X$3</f>
        <v>0</v>
      </c>
      <c r="AA1801" s="253">
        <f>_xlfn.XLOOKUP(FME_Ranking1[[#This Row],[FME ID]],FME_Input[FME_ID],FME_Input[ROAD_MILES100])</f>
        <v>2.2694399356842041</v>
      </c>
      <c r="AB1801" s="178">
        <f>(FME_Ranking1[[#This Row],[Miles Raw]]/$AA$2)*100</f>
        <v>2.9839064722631908E-2</v>
      </c>
      <c r="AC1801" s="178">
        <f>FME_Ranking1[[#This Row],[Miles Score (Normalized, Unweighted)]]*$AA$3</f>
        <v>2.9839064722631909E-3</v>
      </c>
      <c r="AD1801" s="255">
        <f>_xlfn.XLOOKUP(FME_Ranking1[[#This Row],[FME ID]],FME_Input[FME_ID],FME_Input[FARMACRE100])</f>
        <v>0</v>
      </c>
      <c r="AE1801" s="230">
        <f>(FME_Ranking1[[#This Row],[Ag Land Raw]]/$AD$2)*100</f>
        <v>0</v>
      </c>
      <c r="AF1801" s="231">
        <f>FME_Ranking1[[#This Row],[Ag Land Score (Normalized, Unweighted)]]*$AD$3</f>
        <v>0</v>
      </c>
      <c r="AG180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7.5118949801945703E-3</v>
      </c>
      <c r="AH1801" s="406">
        <f t="shared" si="28"/>
        <v>1791</v>
      </c>
      <c r="AI180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7.5118949801945703E-3</v>
      </c>
      <c r="AJ1801" s="257">
        <f>FME_Ranking1[[#This Row],[Addition check]]-FME_Ranking1[[#This Row],[Weighted Score Based on Normalized Reported Factors]]</f>
        <v>0</v>
      </c>
      <c r="AK1801" s="178">
        <f>_xlfn.RANK.EQ(AI1801,$AI$6:$AI$2341,0)+COUNTIF($AI$6:AI1801,AI1801)-1</f>
        <v>1791</v>
      </c>
    </row>
    <row r="1802" spans="1:37" x14ac:dyDescent="0.25">
      <c r="A1802" t="s">
        <v>1769</v>
      </c>
      <c r="B1802">
        <f>_xlfn.XLOOKUP(FME_Ranking1[[#This Row],[FME ID]],FME_Input[FME_ID],FME_Input[RFPG_NUM])</f>
        <v>6</v>
      </c>
      <c r="C1802" t="str">
        <f>_xlfn.XLOOKUP(FME_Ranking1[[#This Row],[FME ID]],FME_Input[FME_ID],FME_Input[FME_NAME])</f>
        <v>City of Spring Valley Village Master Drainage Plan</v>
      </c>
      <c r="D1802" t="str">
        <f>_xlfn.XLOOKUP(FME_Ranking1[[#This Row],[FME ID]],FME_Input[FME_ID],FME_Input[DESCR])</f>
        <v>Study to develop Master Drainage Plan using future and existing land use and flood/storm water drainage needs including Atlas 14 rainfall.</v>
      </c>
      <c r="E1802" s="256">
        <f>_xlfn.XLOOKUP(FME_Ranking1[[#This Row],[FME ID]],FME_Input[FME_ID],FME_Input[FME_COST])</f>
        <v>160000</v>
      </c>
      <c r="F1802" t="str">
        <f>_xlfn.XLOOKUP(FME_Ranking1[[#This Row],[FME ID]],FME_Input[FME_ID],FME_Input[EMER_NEED])</f>
        <v>Yes</v>
      </c>
      <c r="G1802">
        <f>IF(FME_Ranking!F1802="Yes",100,0)</f>
        <v>100</v>
      </c>
      <c r="H1802">
        <f>FME_Ranking1[[#This Row],[Emergency Need Score (Normalized, Unweighted)]]*$F$3</f>
        <v>0</v>
      </c>
      <c r="I1802" s="246">
        <f>_xlfn.XLOOKUP(FME_Ranking1[[#This Row],[FME ID]],FME_Input[FME_ID],FME_Input[STRUCT_100])</f>
        <v>22</v>
      </c>
      <c r="J1802" s="178">
        <f>(FME_Ranking1[[#This Row],[Structures 100 Raw]]/I$2)*100</f>
        <v>1.1780833654628797E-2</v>
      </c>
      <c r="K1802" s="178">
        <f>FME_Ranking1[[#This Row],[Structures 100  Score (Normalized, Unweighted)]]*$I$3</f>
        <v>1.7671250481943194E-3</v>
      </c>
      <c r="L1802" s="246">
        <f>_xlfn.XLOOKUP(FME_Ranking1[[#This Row],[FME ID]],FME_Input[FME_ID],FME_Input[RES_STRUCT100])</f>
        <v>22</v>
      </c>
      <c r="M1802" s="230">
        <f>(FME_Ranking1[[#This Row],[Res Structures Raw]]/L$2)*100</f>
        <v>1.5582723010015441E-2</v>
      </c>
      <c r="N1802" s="180">
        <f>FME_Ranking1[[#This Row],[Res Structures Score (Normalized, Unweighted)]]*$L$3</f>
        <v>1.5582723010015443E-3</v>
      </c>
      <c r="O1802" s="244">
        <f>_xlfn.XLOOKUP(FME_Ranking1[[#This Row],[FME ID]],FME_Input[FME_ID],FME_Input[POP100])</f>
        <v>70</v>
      </c>
      <c r="P1802" s="178">
        <f>(FME_Ranking1[[#This Row],[Pop Raw]]/$O$2)*100</f>
        <v>7.1662718392134306E-3</v>
      </c>
      <c r="Q1802" s="178">
        <f>FME_Ranking1[[#This Row],[Pop Score (Normalized, Unweighted)]]*$O$3</f>
        <v>1.0749407758820146E-3</v>
      </c>
      <c r="R1802" s="137">
        <f>_xlfn.XLOOKUP(FME_Ranking1[[#This Row],[FME ID]],FME_Input[FME_ID],FME_Input[CRITFAC100])</f>
        <v>0</v>
      </c>
      <c r="S1802" s="230">
        <f>(FME_Ranking1[[#This Row],[Critical Facilities Raw]]/$R$2)*100</f>
        <v>0</v>
      </c>
      <c r="T1802" s="180">
        <f>FME_Ranking1[[#This Row],[Critical Facilities Score (Normalized, Unweighted)]]*$R$3</f>
        <v>0</v>
      </c>
      <c r="U1802">
        <f>_xlfn.XLOOKUP(FME_Ranking1[[#This Row],[FME ID]],FME_Input[FME_ID],FME_Input[LWC])</f>
        <v>0</v>
      </c>
      <c r="V1802" s="178">
        <f>(FME_Ranking1[[#This Row],[LWC Raw]]/$U$2)*100</f>
        <v>0</v>
      </c>
      <c r="W1802" s="178">
        <f>FME_Ranking1[[#This Row],[LWC Score (Normalized, Unweighted)]]*$U$3</f>
        <v>0</v>
      </c>
      <c r="X1802" s="246">
        <f>_xlfn.XLOOKUP(FME_Ranking1[[#This Row],[FME ID]],FME_Input[FME_ID],FME_Input[ROADCLS])</f>
        <v>0</v>
      </c>
      <c r="Y1802" s="230">
        <f>(FME_Ranking1[[#This Row],[Closures Raw]]/$X$2)*100</f>
        <v>0</v>
      </c>
      <c r="Z1802" s="180">
        <f>FME_Ranking1[[#This Row],[Closures Score (Normalized, Unweighted)]]*$X$3</f>
        <v>0</v>
      </c>
      <c r="AA1802" s="253">
        <f>_xlfn.XLOOKUP(FME_Ranking1[[#This Row],[FME ID]],FME_Input[FME_ID],FME_Input[ROAD_MILES100])</f>
        <v>0.5600513219833374</v>
      </c>
      <c r="AB1802" s="178">
        <f>(FME_Ranking1[[#This Row],[Miles Raw]]/$AA$2)*100</f>
        <v>7.3636703848776299E-3</v>
      </c>
      <c r="AC1802" s="178">
        <f>FME_Ranking1[[#This Row],[Miles Score (Normalized, Unweighted)]]*$AA$3</f>
        <v>7.3636703848776303E-4</v>
      </c>
      <c r="AD1802" s="255">
        <f>_xlfn.XLOOKUP(FME_Ranking1[[#This Row],[FME ID]],FME_Input[FME_ID],FME_Input[FARMACRE100])</f>
        <v>0</v>
      </c>
      <c r="AE1802" s="230">
        <f>(FME_Ranking1[[#This Row],[Ag Land Raw]]/$AD$2)*100</f>
        <v>0</v>
      </c>
      <c r="AF1802" s="231">
        <f>FME_Ranking1[[#This Row],[Ag Land Score (Normalized, Unweighted)]]*$AD$3</f>
        <v>0</v>
      </c>
      <c r="AG180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5.136705163565642E-3</v>
      </c>
      <c r="AH1802" s="406">
        <f t="shared" si="28"/>
        <v>1831</v>
      </c>
      <c r="AI180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5.136705163565642E-3</v>
      </c>
      <c r="AJ1802" s="257">
        <f>FME_Ranking1[[#This Row],[Addition check]]-FME_Ranking1[[#This Row],[Weighted Score Based on Normalized Reported Factors]]</f>
        <v>0</v>
      </c>
      <c r="AK1802" s="178">
        <f>_xlfn.RANK.EQ(AI1802,$AI$6:$AI$2341,0)+COUNTIF($AI$6:AI1802,AI1802)-1</f>
        <v>1831</v>
      </c>
    </row>
    <row r="1803" spans="1:37" x14ac:dyDescent="0.25">
      <c r="A1803" t="s">
        <v>7709</v>
      </c>
      <c r="B1803">
        <f>_xlfn.XLOOKUP(FME_Ranking1[[#This Row],[FME ID]],FME_Input[FME_ID],FME_Input[RFPG_NUM])</f>
        <v>8</v>
      </c>
      <c r="C1803" t="str">
        <f>_xlfn.XLOOKUP(FME_Ranking1[[#This Row],[FME ID]],FME_Input[FME_ID],FME_Input[FME_NAME])</f>
        <v>Burton Creek Trib C Improvements</v>
      </c>
      <c r="D1803" t="str">
        <f>_xlfn.XLOOKUP(FME_Ranking1[[#This Row],[FME ID]],FME_Input[FME_ID],FME_Input[DESCR])</f>
        <v>2-9'x5' box culverts are needed to replace the existing culverts in order to convey the 50-year storm event per the TxDOT design requirement. Channel widening and re-grading may be necessary to mitigate any adverse impacts. Detailed design for the 100-y*</v>
      </c>
      <c r="E1803" s="256">
        <f>_xlfn.XLOOKUP(FME_Ranking1[[#This Row],[FME ID]],FME_Input[FME_ID],FME_Input[FME_COST])</f>
        <v>100000</v>
      </c>
      <c r="F1803" t="str">
        <f>_xlfn.XLOOKUP(FME_Ranking1[[#This Row],[FME ID]],FME_Input[FME_ID],FME_Input[EMER_NEED])</f>
        <v>No</v>
      </c>
      <c r="G1803">
        <f>IF(FME_Ranking!F1803="Yes",100,0)</f>
        <v>0</v>
      </c>
      <c r="H1803">
        <f>FME_Ranking1[[#This Row],[Emergency Need Score (Normalized, Unweighted)]]*$F$3</f>
        <v>0</v>
      </c>
      <c r="I1803" s="246">
        <f>_xlfn.XLOOKUP(FME_Ranking1[[#This Row],[FME ID]],FME_Input[FME_ID],FME_Input[STRUCT_100])</f>
        <v>20</v>
      </c>
      <c r="J1803" s="178">
        <f>(FME_Ranking1[[#This Row],[Structures 100 Raw]]/I$2)*100</f>
        <v>1.0709848776935269E-2</v>
      </c>
      <c r="K1803" s="178">
        <f>FME_Ranking1[[#This Row],[Structures 100  Score (Normalized, Unweighted)]]*$I$3</f>
        <v>1.6064773165402903E-3</v>
      </c>
      <c r="L1803" s="246">
        <f>_xlfn.XLOOKUP(FME_Ranking1[[#This Row],[FME ID]],FME_Input[FME_ID],FME_Input[RES_STRUCT100])</f>
        <v>20</v>
      </c>
      <c r="M1803" s="230">
        <f>(FME_Ranking1[[#This Row],[Res Structures Raw]]/L$2)*100</f>
        <v>1.4166111827286764E-2</v>
      </c>
      <c r="N1803" s="180">
        <f>FME_Ranking1[[#This Row],[Res Structures Score (Normalized, Unweighted)]]*$L$3</f>
        <v>1.4166111827286765E-3</v>
      </c>
      <c r="O1803" s="244">
        <f>_xlfn.XLOOKUP(FME_Ranking1[[#This Row],[FME ID]],FME_Input[FME_ID],FME_Input[POP100])</f>
        <v>49</v>
      </c>
      <c r="P1803" s="178">
        <f>(FME_Ranking1[[#This Row],[Pop Raw]]/$O$2)*100</f>
        <v>5.016390287449401E-3</v>
      </c>
      <c r="Q1803" s="178">
        <f>FME_Ranking1[[#This Row],[Pop Score (Normalized, Unweighted)]]*$O$3</f>
        <v>7.5245854311741011E-4</v>
      </c>
      <c r="R1803" s="137">
        <f>_xlfn.XLOOKUP(FME_Ranking1[[#This Row],[FME ID]],FME_Input[FME_ID],FME_Input[CRITFAC100])</f>
        <v>0</v>
      </c>
      <c r="S1803" s="230">
        <f>(FME_Ranking1[[#This Row],[Critical Facilities Raw]]/$R$2)*100</f>
        <v>0</v>
      </c>
      <c r="T1803" s="180">
        <f>FME_Ranking1[[#This Row],[Critical Facilities Score (Normalized, Unweighted)]]*$R$3</f>
        <v>0</v>
      </c>
      <c r="U1803">
        <f>_xlfn.XLOOKUP(FME_Ranking1[[#This Row],[FME ID]],FME_Input[FME_ID],FME_Input[LWC])</f>
        <v>0</v>
      </c>
      <c r="V1803" s="178">
        <f>(FME_Ranking1[[#This Row],[LWC Raw]]/$U$2)*100</f>
        <v>0</v>
      </c>
      <c r="W1803" s="178">
        <f>FME_Ranking1[[#This Row],[LWC Score (Normalized, Unweighted)]]*$U$3</f>
        <v>0</v>
      </c>
      <c r="X1803" s="246">
        <f>_xlfn.XLOOKUP(FME_Ranking1[[#This Row],[FME ID]],FME_Input[FME_ID],FME_Input[ROADCLS])</f>
        <v>1</v>
      </c>
      <c r="Y1803" s="230">
        <f>(FME_Ranking1[[#This Row],[Closures Raw]]/$X$2)*100</f>
        <v>1.0514141520344864E-2</v>
      </c>
      <c r="Z1803" s="180">
        <f>FME_Ranking1[[#This Row],[Closures Score (Normalized, Unweighted)]]*$X$3</f>
        <v>5.2570707601724321E-4</v>
      </c>
      <c r="AA1803" s="253">
        <f>_xlfn.XLOOKUP(FME_Ranking1[[#This Row],[FME ID]],FME_Input[FME_ID],FME_Input[ROAD_MILES100])</f>
        <v>0.1636819988489151</v>
      </c>
      <c r="AB1803" s="178">
        <f>(FME_Ranking1[[#This Row],[Miles Raw]]/$AA$2)*100</f>
        <v>2.1521247074159935E-3</v>
      </c>
      <c r="AC1803" s="178">
        <f>FME_Ranking1[[#This Row],[Miles Score (Normalized, Unweighted)]]*$AA$3</f>
        <v>2.1521247074159935E-4</v>
      </c>
      <c r="AD1803" s="255">
        <f>_xlfn.XLOOKUP(FME_Ranking1[[#This Row],[FME ID]],FME_Input[FME_ID],FME_Input[FARMACRE100])</f>
        <v>0</v>
      </c>
      <c r="AE1803" s="230">
        <f>(FME_Ranking1[[#This Row],[Ag Land Raw]]/$AD$2)*100</f>
        <v>0</v>
      </c>
      <c r="AF1803" s="231">
        <f>FME_Ranking1[[#This Row],[Ag Land Score (Normalized, Unweighted)]]*$AD$3</f>
        <v>0</v>
      </c>
      <c r="AG180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4.5164665891452198E-3</v>
      </c>
      <c r="AH1803" s="406">
        <f t="shared" si="28"/>
        <v>1846</v>
      </c>
      <c r="AI180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4.5164665891452198E-3</v>
      </c>
      <c r="AJ1803" s="257">
        <f>FME_Ranking1[[#This Row],[Addition check]]-FME_Ranking1[[#This Row],[Weighted Score Based on Normalized Reported Factors]]</f>
        <v>0</v>
      </c>
      <c r="AK1803" s="178">
        <f>_xlfn.RANK.EQ(AI1803,$AI$6:$AI$2341,0)+COUNTIF($AI$6:AI1803,AI1803)-1</f>
        <v>1846</v>
      </c>
    </row>
    <row r="1804" spans="1:37" x14ac:dyDescent="0.25">
      <c r="A1804" t="s">
        <v>11369</v>
      </c>
      <c r="B1804">
        <f>_xlfn.XLOOKUP(FME_Ranking1[[#This Row],[FME ID]],FME_Input[FME_ID],FME_Input[RFPG_NUM])</f>
        <v>15</v>
      </c>
      <c r="C1804" t="str">
        <f>_xlfn.XLOOKUP(FME_Ranking1[[#This Row],[FME ID]],FME_Input[FME_ID],FME_Input[FME_NAME])</f>
        <v>Kenedy County</v>
      </c>
      <c r="D1804" t="str">
        <f>_xlfn.XLOOKUP(FME_Ranking1[[#This Row],[FME ID]],FME_Input[FME_ID],FME_Input[DESCR])</f>
        <v>Develop Flood risk maps for the county of Kenedy and develop CIP</v>
      </c>
      <c r="E1804" s="256">
        <f>_xlfn.XLOOKUP(FME_Ranking1[[#This Row],[FME ID]],FME_Input[FME_ID],FME_Input[FME_COST])</f>
        <v>250000</v>
      </c>
      <c r="F1804" t="str">
        <f>_xlfn.XLOOKUP(FME_Ranking1[[#This Row],[FME ID]],FME_Input[FME_ID],FME_Input[EMER_NEED])</f>
        <v>Yes</v>
      </c>
      <c r="G1804">
        <f>IF(FME_Ranking!F1804="Yes",100,0)</f>
        <v>100</v>
      </c>
      <c r="H1804">
        <f>FME_Ranking1[[#This Row],[Emergency Need Score (Normalized, Unweighted)]]*$F$3</f>
        <v>0</v>
      </c>
      <c r="I1804" s="246">
        <f>_xlfn.XLOOKUP(FME_Ranking1[[#This Row],[FME ID]],FME_Input[FME_ID],FME_Input[STRUCT_100])</f>
        <v>0</v>
      </c>
      <c r="J1804" s="178">
        <f>(FME_Ranking1[[#This Row],[Structures 100 Raw]]/I$2)*100</f>
        <v>0</v>
      </c>
      <c r="K1804" s="178">
        <f>FME_Ranking1[[#This Row],[Structures 100  Score (Normalized, Unweighted)]]*$I$3</f>
        <v>0</v>
      </c>
      <c r="L1804" s="246">
        <f>_xlfn.XLOOKUP(FME_Ranking1[[#This Row],[FME ID]],FME_Input[FME_ID],FME_Input[RES_STRUCT100])</f>
        <v>46</v>
      </c>
      <c r="M1804" s="230">
        <f>(FME_Ranking1[[#This Row],[Res Structures Raw]]/L$2)*100</f>
        <v>3.2582057202759557E-2</v>
      </c>
      <c r="N1804" s="180">
        <f>FME_Ranking1[[#This Row],[Res Structures Score (Normalized, Unweighted)]]*$L$3</f>
        <v>3.2582057202759558E-3</v>
      </c>
      <c r="O1804" s="244">
        <f>_xlfn.XLOOKUP(FME_Ranking1[[#This Row],[FME ID]],FME_Input[FME_ID],FME_Input[POP100])</f>
        <v>56</v>
      </c>
      <c r="P1804" s="178">
        <f>(FME_Ranking1[[#This Row],[Pop Raw]]/$O$2)*100</f>
        <v>5.7330174713707436E-3</v>
      </c>
      <c r="Q1804" s="178">
        <f>FME_Ranking1[[#This Row],[Pop Score (Normalized, Unweighted)]]*$O$3</f>
        <v>8.5995262070561157E-4</v>
      </c>
      <c r="R1804" s="137">
        <f>_xlfn.XLOOKUP(FME_Ranking1[[#This Row],[FME ID]],FME_Input[FME_ID],FME_Input[CRITFAC100])</f>
        <v>0</v>
      </c>
      <c r="S1804" s="230">
        <f>(FME_Ranking1[[#This Row],[Critical Facilities Raw]]/$R$2)*100</f>
        <v>0</v>
      </c>
      <c r="T1804" s="180">
        <f>FME_Ranking1[[#This Row],[Critical Facilities Score (Normalized, Unweighted)]]*$R$3</f>
        <v>0</v>
      </c>
      <c r="U1804">
        <f>_xlfn.XLOOKUP(FME_Ranking1[[#This Row],[FME ID]],FME_Input[FME_ID],FME_Input[LWC])</f>
        <v>0</v>
      </c>
      <c r="V1804" s="178">
        <f>(FME_Ranking1[[#This Row],[LWC Raw]]/$U$2)*100</f>
        <v>0</v>
      </c>
      <c r="W1804" s="178">
        <f>FME_Ranking1[[#This Row],[LWC Score (Normalized, Unweighted)]]*$U$3</f>
        <v>0</v>
      </c>
      <c r="X1804" s="246">
        <f>_xlfn.XLOOKUP(FME_Ranking1[[#This Row],[FME ID]],FME_Input[FME_ID],FME_Input[ROADCLS])</f>
        <v>0</v>
      </c>
      <c r="Y1804" s="230">
        <f>(FME_Ranking1[[#This Row],[Closures Raw]]/$X$2)*100</f>
        <v>0</v>
      </c>
      <c r="Z1804" s="180">
        <f>FME_Ranking1[[#This Row],[Closures Score (Normalized, Unweighted)]]*$X$3</f>
        <v>0</v>
      </c>
      <c r="AA1804" s="253">
        <f>_xlfn.XLOOKUP(FME_Ranking1[[#This Row],[FME ID]],FME_Input[FME_ID],FME_Input[ROAD_MILES100])</f>
        <v>318.36199951171881</v>
      </c>
      <c r="AB1804" s="178">
        <f>(FME_Ranking1[[#This Row],[Miles Raw]]/$AA$2)*100</f>
        <v>4.1858892845263531</v>
      </c>
      <c r="AC1804" s="178">
        <f>FME_Ranking1[[#This Row],[Miles Score (Normalized, Unweighted)]]*$AA$3</f>
        <v>0.41858892845263534</v>
      </c>
      <c r="AD1804" s="255">
        <f>_xlfn.XLOOKUP(FME_Ranking1[[#This Row],[FME ID]],FME_Input[FME_ID],FME_Input[FARMACRE100])</f>
        <v>0</v>
      </c>
      <c r="AE1804" s="230">
        <f>(FME_Ranking1[[#This Row],[Ag Land Raw]]/$AD$2)*100</f>
        <v>0</v>
      </c>
      <c r="AF1804" s="231">
        <f>FME_Ranking1[[#This Row],[Ag Land Score (Normalized, Unweighted)]]*$AD$3</f>
        <v>0</v>
      </c>
      <c r="AG180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0.4227070867936169</v>
      </c>
      <c r="AH1804" s="406">
        <f t="shared" si="28"/>
        <v>506</v>
      </c>
      <c r="AI180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0.4227070867936169</v>
      </c>
      <c r="AJ1804" s="257">
        <f>FME_Ranking1[[#This Row],[Addition check]]-FME_Ranking1[[#This Row],[Weighted Score Based on Normalized Reported Factors]]</f>
        <v>0</v>
      </c>
      <c r="AK1804" s="178">
        <f>_xlfn.RANK.EQ(AI1804,$AI$6:$AI$2341,0)+COUNTIF($AI$6:AI1804,AI1804)-1</f>
        <v>506</v>
      </c>
    </row>
    <row r="1805" spans="1:37" x14ac:dyDescent="0.25">
      <c r="A1805" t="s">
        <v>1647</v>
      </c>
      <c r="B1805">
        <f>_xlfn.XLOOKUP(FME_Ranking1[[#This Row],[FME ID]],FME_Input[FME_ID],FME_Input[RFPG_NUM])</f>
        <v>6</v>
      </c>
      <c r="C1805" t="str">
        <f>_xlfn.XLOOKUP(FME_Ranking1[[#This Row],[FME ID]],FME_Input[FME_ID],FME_Input[FME_NAME])</f>
        <v>City of Magnolia  Master Drainage Plan</v>
      </c>
      <c r="D1805" t="str">
        <f>_xlfn.XLOOKUP(FME_Ranking1[[#This Row],[FME ID]],FME_Input[FME_ID],FME_Input[DESCR])</f>
        <v>Study to develop Master Drainage Plan using future and existing land use and flood/storm water drainage needs including Atlas 14 rainfall.</v>
      </c>
      <c r="E1805" s="256">
        <f>_xlfn.XLOOKUP(FME_Ranking1[[#This Row],[FME ID]],FME_Input[FME_ID],FME_Input[FME_COST])</f>
        <v>210000</v>
      </c>
      <c r="F1805" t="str">
        <f>_xlfn.XLOOKUP(FME_Ranking1[[#This Row],[FME ID]],FME_Input[FME_ID],FME_Input[EMER_NEED])</f>
        <v>No</v>
      </c>
      <c r="G1805">
        <f>IF(FME_Ranking!F1805="Yes",100,0)</f>
        <v>0</v>
      </c>
      <c r="H1805">
        <f>FME_Ranking1[[#This Row],[Emergency Need Score (Normalized, Unweighted)]]*$F$3</f>
        <v>0</v>
      </c>
      <c r="I1805" s="246">
        <f>_xlfn.XLOOKUP(FME_Ranking1[[#This Row],[FME ID]],FME_Input[FME_ID],FME_Input[STRUCT_100])</f>
        <v>23</v>
      </c>
      <c r="J1805" s="178">
        <f>(FME_Ranking1[[#This Row],[Structures 100 Raw]]/I$2)*100</f>
        <v>1.231632609347556E-2</v>
      </c>
      <c r="K1805" s="178">
        <f>FME_Ranking1[[#This Row],[Structures 100  Score (Normalized, Unweighted)]]*$I$3</f>
        <v>1.8474489140213339E-3</v>
      </c>
      <c r="L1805" s="246">
        <f>_xlfn.XLOOKUP(FME_Ranking1[[#This Row],[FME ID]],FME_Input[FME_ID],FME_Input[RES_STRUCT100])</f>
        <v>19</v>
      </c>
      <c r="M1805" s="230">
        <f>(FME_Ranking1[[#This Row],[Res Structures Raw]]/L$2)*100</f>
        <v>1.3457806235922425E-2</v>
      </c>
      <c r="N1805" s="180">
        <f>FME_Ranking1[[#This Row],[Res Structures Score (Normalized, Unweighted)]]*$L$3</f>
        <v>1.3457806235922425E-3</v>
      </c>
      <c r="O1805" s="244">
        <f>_xlfn.XLOOKUP(FME_Ranking1[[#This Row],[FME ID]],FME_Input[FME_ID],FME_Input[POP100])</f>
        <v>60</v>
      </c>
      <c r="P1805" s="178">
        <f>(FME_Ranking1[[#This Row],[Pop Raw]]/$O$2)*100</f>
        <v>6.1425187193257964E-3</v>
      </c>
      <c r="Q1805" s="178">
        <f>FME_Ranking1[[#This Row],[Pop Score (Normalized, Unweighted)]]*$O$3</f>
        <v>9.2137780789886947E-4</v>
      </c>
      <c r="R1805" s="137">
        <f>_xlfn.XLOOKUP(FME_Ranking1[[#This Row],[FME ID]],FME_Input[FME_ID],FME_Input[CRITFAC100])</f>
        <v>0</v>
      </c>
      <c r="S1805" s="230">
        <f>(FME_Ranking1[[#This Row],[Critical Facilities Raw]]/$R$2)*100</f>
        <v>0</v>
      </c>
      <c r="T1805" s="180">
        <f>FME_Ranking1[[#This Row],[Critical Facilities Score (Normalized, Unweighted)]]*$R$3</f>
        <v>0</v>
      </c>
      <c r="U1805">
        <f>_xlfn.XLOOKUP(FME_Ranking1[[#This Row],[FME ID]],FME_Input[FME_ID],FME_Input[LWC])</f>
        <v>0</v>
      </c>
      <c r="V1805" s="178">
        <f>(FME_Ranking1[[#This Row],[LWC Raw]]/$U$2)*100</f>
        <v>0</v>
      </c>
      <c r="W1805" s="178">
        <f>FME_Ranking1[[#This Row],[LWC Score (Normalized, Unweighted)]]*$U$3</f>
        <v>0</v>
      </c>
      <c r="X1805" s="246">
        <f>_xlfn.XLOOKUP(FME_Ranking1[[#This Row],[FME ID]],FME_Input[FME_ID],FME_Input[ROADCLS])</f>
        <v>0</v>
      </c>
      <c r="Y1805" s="230">
        <f>(FME_Ranking1[[#This Row],[Closures Raw]]/$X$2)*100</f>
        <v>0</v>
      </c>
      <c r="Z1805" s="180">
        <f>FME_Ranking1[[#This Row],[Closures Score (Normalized, Unweighted)]]*$X$3</f>
        <v>0</v>
      </c>
      <c r="AA1805" s="253">
        <f>_xlfn.XLOOKUP(FME_Ranking1[[#This Row],[FME ID]],FME_Input[FME_ID],FME_Input[ROAD_MILES100])</f>
        <v>0.56698477268218994</v>
      </c>
      <c r="AB1805" s="178">
        <f>(FME_Ranking1[[#This Row],[Miles Raw]]/$AA$2)*100</f>
        <v>7.4548328258399041E-3</v>
      </c>
      <c r="AC1805" s="178">
        <f>FME_Ranking1[[#This Row],[Miles Score (Normalized, Unweighted)]]*$AA$3</f>
        <v>7.4548328258399041E-4</v>
      </c>
      <c r="AD1805" s="255">
        <f>_xlfn.XLOOKUP(FME_Ranking1[[#This Row],[FME ID]],FME_Input[FME_ID],FME_Input[FARMACRE100])</f>
        <v>0.42519298195838928</v>
      </c>
      <c r="AE1805" s="230">
        <f>(FME_Ranking1[[#This Row],[Ag Land Raw]]/$AD$2)*100</f>
        <v>1.7533055198011512E-5</v>
      </c>
      <c r="AF1805" s="231">
        <f>FME_Ranking1[[#This Row],[Ag Land Score (Normalized, Unweighted)]]*$AD$3</f>
        <v>8.7665275990057565E-7</v>
      </c>
      <c r="AG180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4.8609672808563372E-3</v>
      </c>
      <c r="AH1805" s="406">
        <f t="shared" si="28"/>
        <v>1837</v>
      </c>
      <c r="AI180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4.8609672808563372E-3</v>
      </c>
      <c r="AJ1805" s="257">
        <f>FME_Ranking1[[#This Row],[Addition check]]-FME_Ranking1[[#This Row],[Weighted Score Based on Normalized Reported Factors]]</f>
        <v>0</v>
      </c>
      <c r="AK1805" s="178">
        <f>_xlfn.RANK.EQ(AI1805,$AI$6:$AI$2341,0)+COUNTIF($AI$6:AI1805,AI1805)-1</f>
        <v>1837</v>
      </c>
    </row>
    <row r="1806" spans="1:37" x14ac:dyDescent="0.25">
      <c r="A1806" t="s">
        <v>6553</v>
      </c>
      <c r="B1806">
        <f>_xlfn.XLOOKUP(FME_Ranking1[[#This Row],[FME ID]],FME_Input[FME_ID],FME_Input[RFPG_NUM])</f>
        <v>7</v>
      </c>
      <c r="C1806" t="str">
        <f>_xlfn.XLOOKUP(FME_Ranking1[[#This Row],[FME ID]],FME_Input[FME_ID],FME_Input[FME_NAME])</f>
        <v>Borden County Initial FEMA Mapping</v>
      </c>
      <c r="D1806" t="str">
        <f>_xlfn.XLOOKUP(FME_Ranking1[[#This Row],[FME ID]],FME_Input[FME_ID],FME_Input[DESCR])</f>
        <v>Create FEMA Mapping in previously unmapped areas</v>
      </c>
      <c r="E1806" s="256">
        <f>_xlfn.XLOOKUP(FME_Ranking1[[#This Row],[FME ID]],FME_Input[FME_ID],FME_Input[FME_COST])</f>
        <v>882000</v>
      </c>
      <c r="F1806" t="str">
        <f>_xlfn.XLOOKUP(FME_Ranking1[[#This Row],[FME ID]],FME_Input[FME_ID],FME_Input[EMER_NEED])</f>
        <v>No</v>
      </c>
      <c r="G1806">
        <f>IF(FME_Ranking!F1806="Yes",100,0)</f>
        <v>0</v>
      </c>
      <c r="H1806">
        <f>FME_Ranking1[[#This Row],[Emergency Need Score (Normalized, Unweighted)]]*$F$3</f>
        <v>0</v>
      </c>
      <c r="I1806" s="246">
        <f>_xlfn.XLOOKUP(FME_Ranking1[[#This Row],[FME ID]],FME_Input[FME_ID],FME_Input[STRUCT_100])</f>
        <v>10</v>
      </c>
      <c r="J1806" s="178">
        <f>(FME_Ranking1[[#This Row],[Structures 100 Raw]]/I$2)*100</f>
        <v>5.3549243884676344E-3</v>
      </c>
      <c r="K1806" s="178">
        <f>FME_Ranking1[[#This Row],[Structures 100  Score (Normalized, Unweighted)]]*$I$3</f>
        <v>8.0323865827014516E-4</v>
      </c>
      <c r="L1806" s="246">
        <f>_xlfn.XLOOKUP(FME_Ranking1[[#This Row],[FME ID]],FME_Input[FME_ID],FME_Input[RES_STRUCT100])</f>
        <v>0</v>
      </c>
      <c r="M1806" s="230">
        <f>(FME_Ranking1[[#This Row],[Res Structures Raw]]/L$2)*100</f>
        <v>0</v>
      </c>
      <c r="N1806" s="180">
        <f>FME_Ranking1[[#This Row],[Res Structures Score (Normalized, Unweighted)]]*$L$3</f>
        <v>0</v>
      </c>
      <c r="O1806" s="244">
        <f>_xlfn.XLOOKUP(FME_Ranking1[[#This Row],[FME ID]],FME_Input[FME_ID],FME_Input[POP100])</f>
        <v>1</v>
      </c>
      <c r="P1806" s="178">
        <f>(FME_Ranking1[[#This Row],[Pop Raw]]/$O$2)*100</f>
        <v>1.0237531198876328E-4</v>
      </c>
      <c r="Q1806" s="178">
        <f>FME_Ranking1[[#This Row],[Pop Score (Normalized, Unweighted)]]*$O$3</f>
        <v>1.5356296798314492E-5</v>
      </c>
      <c r="R1806" s="137">
        <f>_xlfn.XLOOKUP(FME_Ranking1[[#This Row],[FME ID]],FME_Input[FME_ID],FME_Input[CRITFAC100])</f>
        <v>0</v>
      </c>
      <c r="S1806" s="230">
        <f>(FME_Ranking1[[#This Row],[Critical Facilities Raw]]/$R$2)*100</f>
        <v>0</v>
      </c>
      <c r="T1806" s="180">
        <f>FME_Ranking1[[#This Row],[Critical Facilities Score (Normalized, Unweighted)]]*$R$3</f>
        <v>0</v>
      </c>
      <c r="U1806">
        <f>_xlfn.XLOOKUP(FME_Ranking1[[#This Row],[FME ID]],FME_Input[FME_ID],FME_Input[LWC])</f>
        <v>0</v>
      </c>
      <c r="V1806" s="178">
        <f>(FME_Ranking1[[#This Row],[LWC Raw]]/$U$2)*100</f>
        <v>0</v>
      </c>
      <c r="W1806" s="178">
        <f>FME_Ranking1[[#This Row],[LWC Score (Normalized, Unweighted)]]*$U$3</f>
        <v>0</v>
      </c>
      <c r="X1806" s="246">
        <f>_xlfn.XLOOKUP(FME_Ranking1[[#This Row],[FME ID]],FME_Input[FME_ID],FME_Input[ROADCLS])</f>
        <v>0</v>
      </c>
      <c r="Y1806" s="230">
        <f>(FME_Ranking1[[#This Row],[Closures Raw]]/$X$2)*100</f>
        <v>0</v>
      </c>
      <c r="Z1806" s="180">
        <f>FME_Ranking1[[#This Row],[Closures Score (Normalized, Unweighted)]]*$X$3</f>
        <v>0</v>
      </c>
      <c r="AA1806" s="253">
        <f>_xlfn.XLOOKUP(FME_Ranking1[[#This Row],[FME ID]],FME_Input[FME_ID],FME_Input[ROAD_MILES100])</f>
        <v>4.8243813514709473</v>
      </c>
      <c r="AB1806" s="178">
        <f>(FME_Ranking1[[#This Row],[Miles Raw]]/$AA$2)*100</f>
        <v>6.343196183766793E-2</v>
      </c>
      <c r="AC1806" s="178">
        <f>FME_Ranking1[[#This Row],[Miles Score (Normalized, Unweighted)]]*$AA$3</f>
        <v>6.3431961837667932E-3</v>
      </c>
      <c r="AD1806" s="255">
        <f>_xlfn.XLOOKUP(FME_Ranking1[[#This Row],[FME ID]],FME_Input[FME_ID],FME_Input[FARMACRE100])</f>
        <v>1591.717895507812</v>
      </c>
      <c r="AE1806" s="230">
        <f>(FME_Ranking1[[#This Row],[Ag Land Raw]]/$AD$2)*100</f>
        <v>6.5635320679710368E-2</v>
      </c>
      <c r="AF1806" s="231">
        <f>FME_Ranking1[[#This Row],[Ag Land Score (Normalized, Unweighted)]]*$AD$3</f>
        <v>3.2817660339855186E-3</v>
      </c>
      <c r="AG180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1.0443557172820771E-2</v>
      </c>
      <c r="AH1806" s="406">
        <f t="shared" si="28"/>
        <v>1750</v>
      </c>
      <c r="AI180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1.0443557172820771E-2</v>
      </c>
      <c r="AJ1806" s="257">
        <f>FME_Ranking1[[#This Row],[Addition check]]-FME_Ranking1[[#This Row],[Weighted Score Based on Normalized Reported Factors]]</f>
        <v>0</v>
      </c>
      <c r="AK1806" s="178">
        <f>_xlfn.RANK.EQ(AI1806,$AI$6:$AI$2341,0)+COUNTIF($AI$6:AI1806,AI1806)-1</f>
        <v>1750</v>
      </c>
    </row>
    <row r="1807" spans="1:37" x14ac:dyDescent="0.25">
      <c r="A1807" t="s">
        <v>6561</v>
      </c>
      <c r="B1807">
        <f>_xlfn.XLOOKUP(FME_Ranking1[[#This Row],[FME ID]],FME_Input[FME_ID],FME_Input[RFPG_NUM])</f>
        <v>7</v>
      </c>
      <c r="C1807" t="str">
        <f>_xlfn.XLOOKUP(FME_Ranking1[[#This Row],[FME ID]],FME_Input[FME_ID],FME_Input[FME_NAME])</f>
        <v>Borden County GIS Development</v>
      </c>
      <c r="D1807" t="str">
        <f>_xlfn.XLOOKUP(FME_Ranking1[[#This Row],[FME ID]],FME_Input[FME_ID],FME_Input[DESCR])</f>
        <v>Develop a GIS inventory of stormwater infrastructure</v>
      </c>
      <c r="E1807" s="256">
        <f>_xlfn.XLOOKUP(FME_Ranking1[[#This Row],[FME ID]],FME_Input[FME_ID],FME_Input[FME_COST])</f>
        <v>100000</v>
      </c>
      <c r="F1807" t="str">
        <f>_xlfn.XLOOKUP(FME_Ranking1[[#This Row],[FME ID]],FME_Input[FME_ID],FME_Input[EMER_NEED])</f>
        <v>No</v>
      </c>
      <c r="G1807">
        <f>IF(FME_Ranking!F1807="Yes",100,0)</f>
        <v>0</v>
      </c>
      <c r="H1807">
        <f>FME_Ranking1[[#This Row],[Emergency Need Score (Normalized, Unweighted)]]*$F$3</f>
        <v>0</v>
      </c>
      <c r="I1807" s="246">
        <f>_xlfn.XLOOKUP(FME_Ranking1[[#This Row],[FME ID]],FME_Input[FME_ID],FME_Input[STRUCT_100])</f>
        <v>10</v>
      </c>
      <c r="J1807" s="178">
        <f>(FME_Ranking1[[#This Row],[Structures 100 Raw]]/I$2)*100</f>
        <v>5.3549243884676344E-3</v>
      </c>
      <c r="K1807" s="178">
        <f>FME_Ranking1[[#This Row],[Structures 100  Score (Normalized, Unweighted)]]*$I$3</f>
        <v>8.0323865827014516E-4</v>
      </c>
      <c r="L1807" s="246">
        <f>_xlfn.XLOOKUP(FME_Ranking1[[#This Row],[FME ID]],FME_Input[FME_ID],FME_Input[RES_STRUCT100])</f>
        <v>0</v>
      </c>
      <c r="M1807" s="230">
        <f>(FME_Ranking1[[#This Row],[Res Structures Raw]]/L$2)*100</f>
        <v>0</v>
      </c>
      <c r="N1807" s="180">
        <f>FME_Ranking1[[#This Row],[Res Structures Score (Normalized, Unweighted)]]*$L$3</f>
        <v>0</v>
      </c>
      <c r="O1807" s="244">
        <f>_xlfn.XLOOKUP(FME_Ranking1[[#This Row],[FME ID]],FME_Input[FME_ID],FME_Input[POP100])</f>
        <v>1</v>
      </c>
      <c r="P1807" s="178">
        <f>(FME_Ranking1[[#This Row],[Pop Raw]]/$O$2)*100</f>
        <v>1.0237531198876328E-4</v>
      </c>
      <c r="Q1807" s="178">
        <f>FME_Ranking1[[#This Row],[Pop Score (Normalized, Unweighted)]]*$O$3</f>
        <v>1.5356296798314492E-5</v>
      </c>
      <c r="R1807" s="137">
        <f>_xlfn.XLOOKUP(FME_Ranking1[[#This Row],[FME ID]],FME_Input[FME_ID],FME_Input[CRITFAC100])</f>
        <v>0</v>
      </c>
      <c r="S1807" s="230">
        <f>(FME_Ranking1[[#This Row],[Critical Facilities Raw]]/$R$2)*100</f>
        <v>0</v>
      </c>
      <c r="T1807" s="180">
        <f>FME_Ranking1[[#This Row],[Critical Facilities Score (Normalized, Unweighted)]]*$R$3</f>
        <v>0</v>
      </c>
      <c r="U1807">
        <f>_xlfn.XLOOKUP(FME_Ranking1[[#This Row],[FME ID]],FME_Input[FME_ID],FME_Input[LWC])</f>
        <v>0</v>
      </c>
      <c r="V1807" s="178">
        <f>(FME_Ranking1[[#This Row],[LWC Raw]]/$U$2)*100</f>
        <v>0</v>
      </c>
      <c r="W1807" s="178">
        <f>FME_Ranking1[[#This Row],[LWC Score (Normalized, Unweighted)]]*$U$3</f>
        <v>0</v>
      </c>
      <c r="X1807" s="246">
        <f>_xlfn.XLOOKUP(FME_Ranking1[[#This Row],[FME ID]],FME_Input[FME_ID],FME_Input[ROADCLS])</f>
        <v>0</v>
      </c>
      <c r="Y1807" s="230">
        <f>(FME_Ranking1[[#This Row],[Closures Raw]]/$X$2)*100</f>
        <v>0</v>
      </c>
      <c r="Z1807" s="180">
        <f>FME_Ranking1[[#This Row],[Closures Score (Normalized, Unweighted)]]*$X$3</f>
        <v>0</v>
      </c>
      <c r="AA1807" s="253">
        <f>_xlfn.XLOOKUP(FME_Ranking1[[#This Row],[FME ID]],FME_Input[FME_ID],FME_Input[ROAD_MILES100])</f>
        <v>4.8243813514709473</v>
      </c>
      <c r="AB1807" s="178">
        <f>(FME_Ranking1[[#This Row],[Miles Raw]]/$AA$2)*100</f>
        <v>6.343196183766793E-2</v>
      </c>
      <c r="AC1807" s="178">
        <f>FME_Ranking1[[#This Row],[Miles Score (Normalized, Unweighted)]]*$AA$3</f>
        <v>6.3431961837667932E-3</v>
      </c>
      <c r="AD1807" s="255">
        <f>_xlfn.XLOOKUP(FME_Ranking1[[#This Row],[FME ID]],FME_Input[FME_ID],FME_Input[FARMACRE100])</f>
        <v>1591.717895507812</v>
      </c>
      <c r="AE1807" s="230">
        <f>(FME_Ranking1[[#This Row],[Ag Land Raw]]/$AD$2)*100</f>
        <v>6.5635320679710368E-2</v>
      </c>
      <c r="AF1807" s="231">
        <f>FME_Ranking1[[#This Row],[Ag Land Score (Normalized, Unweighted)]]*$AD$3</f>
        <v>3.2817660339855186E-3</v>
      </c>
      <c r="AG180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1.0443557172820771E-2</v>
      </c>
      <c r="AH1807" s="406">
        <f t="shared" si="28"/>
        <v>1750</v>
      </c>
      <c r="AI180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1.0443557172820771E-2</v>
      </c>
      <c r="AJ1807" s="257">
        <f>FME_Ranking1[[#This Row],[Addition check]]-FME_Ranking1[[#This Row],[Weighted Score Based on Normalized Reported Factors]]</f>
        <v>0</v>
      </c>
      <c r="AK1807" s="178">
        <f>_xlfn.RANK.EQ(AI1807,$AI$6:$AI$2341,0)+COUNTIF($AI$6:AI1807,AI1807)-1</f>
        <v>1751</v>
      </c>
    </row>
    <row r="1808" spans="1:37" x14ac:dyDescent="0.25">
      <c r="A1808" t="s">
        <v>7123</v>
      </c>
      <c r="B1808">
        <f>_xlfn.XLOOKUP(FME_Ranking1[[#This Row],[FME ID]],FME_Input[FME_ID],FME_Input[RFPG_NUM])</f>
        <v>7</v>
      </c>
      <c r="C1808" t="str">
        <f>_xlfn.XLOOKUP(FME_Ranking1[[#This Row],[FME ID]],FME_Input[FME_ID],FME_Input[FME_NAME])</f>
        <v>Borden County DCM</v>
      </c>
      <c r="D1808" t="str">
        <f>_xlfn.XLOOKUP(FME_Ranking1[[#This Row],[FME ID]],FME_Input[FME_ID],FME_Input[DESCR])</f>
        <v>Consider stormwater criteria for infrastructure and floodplain ordinances to avoid new exposure to flood hazards.</v>
      </c>
      <c r="E1808" s="256">
        <f>_xlfn.XLOOKUP(FME_Ranking1[[#This Row],[FME ID]],FME_Input[FME_ID],FME_Input[FME_COST])</f>
        <v>100000</v>
      </c>
      <c r="F1808" t="str">
        <f>_xlfn.XLOOKUP(FME_Ranking1[[#This Row],[FME ID]],FME_Input[FME_ID],FME_Input[EMER_NEED])</f>
        <v>No</v>
      </c>
      <c r="G1808">
        <f>IF(FME_Ranking!F1808="Yes",100,0)</f>
        <v>0</v>
      </c>
      <c r="H1808">
        <f>FME_Ranking1[[#This Row],[Emergency Need Score (Normalized, Unweighted)]]*$F$3</f>
        <v>0</v>
      </c>
      <c r="I1808" s="246">
        <f>_xlfn.XLOOKUP(FME_Ranking1[[#This Row],[FME ID]],FME_Input[FME_ID],FME_Input[STRUCT_100])</f>
        <v>10</v>
      </c>
      <c r="J1808" s="178">
        <f>(FME_Ranking1[[#This Row],[Structures 100 Raw]]/I$2)*100</f>
        <v>5.3549243884676344E-3</v>
      </c>
      <c r="K1808" s="178">
        <f>FME_Ranking1[[#This Row],[Structures 100  Score (Normalized, Unweighted)]]*$I$3</f>
        <v>8.0323865827014516E-4</v>
      </c>
      <c r="L1808" s="246">
        <f>_xlfn.XLOOKUP(FME_Ranking1[[#This Row],[FME ID]],FME_Input[FME_ID],FME_Input[RES_STRUCT100])</f>
        <v>0</v>
      </c>
      <c r="M1808" s="230">
        <f>(FME_Ranking1[[#This Row],[Res Structures Raw]]/L$2)*100</f>
        <v>0</v>
      </c>
      <c r="N1808" s="180">
        <f>FME_Ranking1[[#This Row],[Res Structures Score (Normalized, Unweighted)]]*$L$3</f>
        <v>0</v>
      </c>
      <c r="O1808" s="244">
        <f>_xlfn.XLOOKUP(FME_Ranking1[[#This Row],[FME ID]],FME_Input[FME_ID],FME_Input[POP100])</f>
        <v>1</v>
      </c>
      <c r="P1808" s="178">
        <f>(FME_Ranking1[[#This Row],[Pop Raw]]/$O$2)*100</f>
        <v>1.0237531198876328E-4</v>
      </c>
      <c r="Q1808" s="178">
        <f>FME_Ranking1[[#This Row],[Pop Score (Normalized, Unweighted)]]*$O$3</f>
        <v>1.5356296798314492E-5</v>
      </c>
      <c r="R1808" s="137">
        <f>_xlfn.XLOOKUP(FME_Ranking1[[#This Row],[FME ID]],FME_Input[FME_ID],FME_Input[CRITFAC100])</f>
        <v>0</v>
      </c>
      <c r="S1808" s="230">
        <f>(FME_Ranking1[[#This Row],[Critical Facilities Raw]]/$R$2)*100</f>
        <v>0</v>
      </c>
      <c r="T1808" s="180">
        <f>FME_Ranking1[[#This Row],[Critical Facilities Score (Normalized, Unweighted)]]*$R$3</f>
        <v>0</v>
      </c>
      <c r="U1808">
        <f>_xlfn.XLOOKUP(FME_Ranking1[[#This Row],[FME ID]],FME_Input[FME_ID],FME_Input[LWC])</f>
        <v>0</v>
      </c>
      <c r="V1808" s="178">
        <f>(FME_Ranking1[[#This Row],[LWC Raw]]/$U$2)*100</f>
        <v>0</v>
      </c>
      <c r="W1808" s="178">
        <f>FME_Ranking1[[#This Row],[LWC Score (Normalized, Unweighted)]]*$U$3</f>
        <v>0</v>
      </c>
      <c r="X1808" s="246">
        <f>_xlfn.XLOOKUP(FME_Ranking1[[#This Row],[FME ID]],FME_Input[FME_ID],FME_Input[ROADCLS])</f>
        <v>0</v>
      </c>
      <c r="Y1808" s="230">
        <f>(FME_Ranking1[[#This Row],[Closures Raw]]/$X$2)*100</f>
        <v>0</v>
      </c>
      <c r="Z1808" s="180">
        <f>FME_Ranking1[[#This Row],[Closures Score (Normalized, Unweighted)]]*$X$3</f>
        <v>0</v>
      </c>
      <c r="AA1808" s="253">
        <f>_xlfn.XLOOKUP(FME_Ranking1[[#This Row],[FME ID]],FME_Input[FME_ID],FME_Input[ROAD_MILES100])</f>
        <v>4.8243813514709473</v>
      </c>
      <c r="AB1808" s="178">
        <f>(FME_Ranking1[[#This Row],[Miles Raw]]/$AA$2)*100</f>
        <v>6.343196183766793E-2</v>
      </c>
      <c r="AC1808" s="178">
        <f>FME_Ranking1[[#This Row],[Miles Score (Normalized, Unweighted)]]*$AA$3</f>
        <v>6.3431961837667932E-3</v>
      </c>
      <c r="AD1808" s="255">
        <f>_xlfn.XLOOKUP(FME_Ranking1[[#This Row],[FME ID]],FME_Input[FME_ID],FME_Input[FARMACRE100])</f>
        <v>1591.717895507812</v>
      </c>
      <c r="AE1808" s="230">
        <f>(FME_Ranking1[[#This Row],[Ag Land Raw]]/$AD$2)*100</f>
        <v>6.5635320679710368E-2</v>
      </c>
      <c r="AF1808" s="231">
        <f>FME_Ranking1[[#This Row],[Ag Land Score (Normalized, Unweighted)]]*$AD$3</f>
        <v>3.2817660339855186E-3</v>
      </c>
      <c r="AG180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1.0443557172820771E-2</v>
      </c>
      <c r="AH1808" s="406">
        <f t="shared" si="28"/>
        <v>1750</v>
      </c>
      <c r="AI180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1.0443557172820771E-2</v>
      </c>
      <c r="AJ1808" s="257">
        <f>FME_Ranking1[[#This Row],[Addition check]]-FME_Ranking1[[#This Row],[Weighted Score Based on Normalized Reported Factors]]</f>
        <v>0</v>
      </c>
      <c r="AK1808" s="178">
        <f>_xlfn.RANK.EQ(AI1808,$AI$6:$AI$2341,0)+COUNTIF($AI$6:AI1808,AI1808)-1</f>
        <v>1752</v>
      </c>
    </row>
    <row r="1809" spans="1:37" x14ac:dyDescent="0.25">
      <c r="A1809" t="s">
        <v>5590</v>
      </c>
      <c r="B1809">
        <f>_xlfn.XLOOKUP(FME_Ranking1[[#This Row],[FME ID]],FME_Input[FME_ID],FME_Input[RFPG_NUM])</f>
        <v>4</v>
      </c>
      <c r="C1809" t="str">
        <f>_xlfn.XLOOKUP(FME_Ranking1[[#This Row],[FME ID]],FME_Input[FME_ID],FME_Input[FME_NAME])</f>
        <v>Scottsville Drainage Master Plan</v>
      </c>
      <c r="D1809" t="str">
        <f>_xlfn.XLOOKUP(FME_Ranking1[[#This Row],[FME ID]],FME_Input[FME_ID],FME_Input[DESCR])</f>
        <v>Perform study of existing culverts and drainage capabilities in town. Identify upgrades to drainage infrastructure capacity where needed.</v>
      </c>
      <c r="E1809" s="256">
        <f>_xlfn.XLOOKUP(FME_Ranking1[[#This Row],[FME ID]],FME_Input[FME_ID],FME_Input[FME_COST])</f>
        <v>300000</v>
      </c>
      <c r="F1809" t="str">
        <f>_xlfn.XLOOKUP(FME_Ranking1[[#This Row],[FME ID]],FME_Input[FME_ID],FME_Input[EMER_NEED])</f>
        <v>No</v>
      </c>
      <c r="G1809">
        <f>IF(FME_Ranking!F1809="Yes",100,0)</f>
        <v>0</v>
      </c>
      <c r="H1809">
        <f>FME_Ranking1[[#This Row],[Emergency Need Score (Normalized, Unweighted)]]*$F$3</f>
        <v>0</v>
      </c>
      <c r="I1809" s="246">
        <f>_xlfn.XLOOKUP(FME_Ranking1[[#This Row],[FME ID]],FME_Input[FME_ID],FME_Input[STRUCT_100])</f>
        <v>22</v>
      </c>
      <c r="J1809" s="178">
        <f>(FME_Ranking1[[#This Row],[Structures 100 Raw]]/I$2)*100</f>
        <v>1.1780833654628797E-2</v>
      </c>
      <c r="K1809" s="178">
        <f>FME_Ranking1[[#This Row],[Structures 100  Score (Normalized, Unweighted)]]*$I$3</f>
        <v>1.7671250481943194E-3</v>
      </c>
      <c r="L1809" s="246">
        <f>_xlfn.XLOOKUP(FME_Ranking1[[#This Row],[FME ID]],FME_Input[FME_ID],FME_Input[RES_STRUCT100])</f>
        <v>20</v>
      </c>
      <c r="M1809" s="230">
        <f>(FME_Ranking1[[#This Row],[Res Structures Raw]]/L$2)*100</f>
        <v>1.4166111827286764E-2</v>
      </c>
      <c r="N1809" s="180">
        <f>FME_Ranking1[[#This Row],[Res Structures Score (Normalized, Unweighted)]]*$L$3</f>
        <v>1.4166111827286765E-3</v>
      </c>
      <c r="O1809" s="244">
        <f>_xlfn.XLOOKUP(FME_Ranking1[[#This Row],[FME ID]],FME_Input[FME_ID],FME_Input[POP100])</f>
        <v>48</v>
      </c>
      <c r="P1809" s="178">
        <f>(FME_Ranking1[[#This Row],[Pop Raw]]/$O$2)*100</f>
        <v>4.914014975460638E-3</v>
      </c>
      <c r="Q1809" s="178">
        <f>FME_Ranking1[[#This Row],[Pop Score (Normalized, Unweighted)]]*$O$3</f>
        <v>7.3710224631909566E-4</v>
      </c>
      <c r="R1809" s="137">
        <f>_xlfn.XLOOKUP(FME_Ranking1[[#This Row],[FME ID]],FME_Input[FME_ID],FME_Input[CRITFAC100])</f>
        <v>0</v>
      </c>
      <c r="S1809" s="230">
        <f>(FME_Ranking1[[#This Row],[Critical Facilities Raw]]/$R$2)*100</f>
        <v>0</v>
      </c>
      <c r="T1809" s="180">
        <f>FME_Ranking1[[#This Row],[Critical Facilities Score (Normalized, Unweighted)]]*$R$3</f>
        <v>0</v>
      </c>
      <c r="U1809">
        <f>_xlfn.XLOOKUP(FME_Ranking1[[#This Row],[FME ID]],FME_Input[FME_ID],FME_Input[LWC])</f>
        <v>0</v>
      </c>
      <c r="V1809" s="178">
        <f>(FME_Ranking1[[#This Row],[LWC Raw]]/$U$2)*100</f>
        <v>0</v>
      </c>
      <c r="W1809" s="178">
        <f>FME_Ranking1[[#This Row],[LWC Score (Normalized, Unweighted)]]*$U$3</f>
        <v>0</v>
      </c>
      <c r="X1809" s="246">
        <f>_xlfn.XLOOKUP(FME_Ranking1[[#This Row],[FME ID]],FME_Input[FME_ID],FME_Input[ROADCLS])</f>
        <v>0</v>
      </c>
      <c r="Y1809" s="230">
        <f>(FME_Ranking1[[#This Row],[Closures Raw]]/$X$2)*100</f>
        <v>0</v>
      </c>
      <c r="Z1809" s="180">
        <f>FME_Ranking1[[#This Row],[Closures Score (Normalized, Unweighted)]]*$X$3</f>
        <v>0</v>
      </c>
      <c r="AA1809" s="253">
        <f>_xlfn.XLOOKUP(FME_Ranking1[[#This Row],[FME ID]],FME_Input[FME_ID],FME_Input[ROAD_MILES100])</f>
        <v>3.0066639184951779E-2</v>
      </c>
      <c r="AB1809" s="178">
        <f>(FME_Ranking1[[#This Row],[Miles Raw]]/$AA$2)*100</f>
        <v>3.9532237823307527E-4</v>
      </c>
      <c r="AC1809" s="178">
        <f>FME_Ranking1[[#This Row],[Miles Score (Normalized, Unweighted)]]*$AA$3</f>
        <v>3.9532237823307529E-5</v>
      </c>
      <c r="AD1809" s="255">
        <f>_xlfn.XLOOKUP(FME_Ranking1[[#This Row],[FME ID]],FME_Input[FME_ID],FME_Input[FARMACRE100])</f>
        <v>72.136672973632813</v>
      </c>
      <c r="AE1809" s="230">
        <f>(FME_Ranking1[[#This Row],[Ag Land Raw]]/$AD$2)*100</f>
        <v>2.9745934733499063E-3</v>
      </c>
      <c r="AF1809" s="231">
        <f>FME_Ranking1[[#This Row],[Ag Land Score (Normalized, Unweighted)]]*$AD$3</f>
        <v>1.4872967366749533E-4</v>
      </c>
      <c r="AG180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4.109100388732894E-3</v>
      </c>
      <c r="AH1809" s="406">
        <f t="shared" si="28"/>
        <v>1856</v>
      </c>
      <c r="AI180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4.109100388732894E-3</v>
      </c>
      <c r="AJ1809" s="257">
        <f>FME_Ranking1[[#This Row],[Addition check]]-FME_Ranking1[[#This Row],[Weighted Score Based on Normalized Reported Factors]]</f>
        <v>0</v>
      </c>
      <c r="AK1809" s="178">
        <f>_xlfn.RANK.EQ(AI1809,$AI$6:$AI$2341,0)+COUNTIF($AI$6:AI1809,AI1809)-1</f>
        <v>1856</v>
      </c>
    </row>
    <row r="1810" spans="1:37" x14ac:dyDescent="0.25">
      <c r="A1810" t="s">
        <v>4888</v>
      </c>
      <c r="B1810">
        <f>_xlfn.XLOOKUP(FME_Ranking1[[#This Row],[FME ID]],FME_Input[FME_ID],FME_Input[RFPG_NUM])</f>
        <v>3</v>
      </c>
      <c r="C1810" t="str">
        <f>_xlfn.XLOOKUP(FME_Ranking1[[#This Row],[FME ID]],FME_Input[FME_ID],FME_Input[FME_NAME])</f>
        <v>Hunterwood Stream Stabilization Project</v>
      </c>
      <c r="D1810" t="str">
        <f>_xlfn.XLOOKUP(FME_Ranking1[[#This Row],[FME ID]],FME_Input[FME_ID],FME_Input[DESCR])</f>
        <v>Installation and maintenance of gabion walls to mitigate stream bank erosion during extreme flood events</v>
      </c>
      <c r="E1810" s="256">
        <f>_xlfn.XLOOKUP(FME_Ranking1[[#This Row],[FME ID]],FME_Input[FME_ID],FME_Input[FME_COST])</f>
        <v>100000</v>
      </c>
      <c r="F1810" t="str">
        <f>_xlfn.XLOOKUP(FME_Ranking1[[#This Row],[FME ID]],FME_Input[FME_ID],FME_Input[EMER_NEED])</f>
        <v>No</v>
      </c>
      <c r="G1810">
        <f>IF(FME_Ranking!F1810="Yes",100,0)</f>
        <v>0</v>
      </c>
      <c r="H1810">
        <f>FME_Ranking1[[#This Row],[Emergency Need Score (Normalized, Unweighted)]]*$F$3</f>
        <v>0</v>
      </c>
      <c r="I1810" s="246">
        <f>_xlfn.XLOOKUP(FME_Ranking1[[#This Row],[FME ID]],FME_Input[FME_ID],FME_Input[STRUCT_100])</f>
        <v>20</v>
      </c>
      <c r="J1810" s="178">
        <f>(FME_Ranking1[[#This Row],[Structures 100 Raw]]/I$2)*100</f>
        <v>1.0709848776935269E-2</v>
      </c>
      <c r="K1810" s="178">
        <f>FME_Ranking1[[#This Row],[Structures 100  Score (Normalized, Unweighted)]]*$I$3</f>
        <v>1.6064773165402903E-3</v>
      </c>
      <c r="L1810" s="246">
        <f>_xlfn.XLOOKUP(FME_Ranking1[[#This Row],[FME ID]],FME_Input[FME_ID],FME_Input[RES_STRUCT100])</f>
        <v>19</v>
      </c>
      <c r="M1810" s="230">
        <f>(FME_Ranking1[[#This Row],[Res Structures Raw]]/L$2)*100</f>
        <v>1.3457806235922425E-2</v>
      </c>
      <c r="N1810" s="180">
        <f>FME_Ranking1[[#This Row],[Res Structures Score (Normalized, Unweighted)]]*$L$3</f>
        <v>1.3457806235922425E-3</v>
      </c>
      <c r="O1810" s="244">
        <f>_xlfn.XLOOKUP(FME_Ranking1[[#This Row],[FME ID]],FME_Input[FME_ID],FME_Input[POP100])</f>
        <v>67</v>
      </c>
      <c r="P1810" s="178">
        <f>(FME_Ranking1[[#This Row],[Pop Raw]]/$O$2)*100</f>
        <v>6.8591459032471399E-3</v>
      </c>
      <c r="Q1810" s="178">
        <f>FME_Ranking1[[#This Row],[Pop Score (Normalized, Unweighted)]]*$O$3</f>
        <v>1.028871885487071E-3</v>
      </c>
      <c r="R1810" s="137">
        <f>_xlfn.XLOOKUP(FME_Ranking1[[#This Row],[FME ID]],FME_Input[FME_ID],FME_Input[CRITFAC100])</f>
        <v>0</v>
      </c>
      <c r="S1810" s="230">
        <f>(FME_Ranking1[[#This Row],[Critical Facilities Raw]]/$R$2)*100</f>
        <v>0</v>
      </c>
      <c r="T1810" s="180">
        <f>FME_Ranking1[[#This Row],[Critical Facilities Score (Normalized, Unweighted)]]*$R$3</f>
        <v>0</v>
      </c>
      <c r="U1810">
        <f>_xlfn.XLOOKUP(FME_Ranking1[[#This Row],[FME ID]],FME_Input[FME_ID],FME_Input[LWC])</f>
        <v>0</v>
      </c>
      <c r="V1810" s="178">
        <f>(FME_Ranking1[[#This Row],[LWC Raw]]/$U$2)*100</f>
        <v>0</v>
      </c>
      <c r="W1810" s="178">
        <f>FME_Ranking1[[#This Row],[LWC Score (Normalized, Unweighted)]]*$U$3</f>
        <v>0</v>
      </c>
      <c r="X1810" s="246">
        <f>_xlfn.XLOOKUP(FME_Ranking1[[#This Row],[FME ID]],FME_Input[FME_ID],FME_Input[ROADCLS])</f>
        <v>0</v>
      </c>
      <c r="Y1810" s="230">
        <f>(FME_Ranking1[[#This Row],[Closures Raw]]/$X$2)*100</f>
        <v>0</v>
      </c>
      <c r="Z1810" s="180">
        <f>FME_Ranking1[[#This Row],[Closures Score (Normalized, Unweighted)]]*$X$3</f>
        <v>0</v>
      </c>
      <c r="AA1810" s="253">
        <f>_xlfn.XLOOKUP(FME_Ranking1[[#This Row],[FME ID]],FME_Input[FME_ID],FME_Input[ROAD_MILES100])</f>
        <v>1.233116984367371</v>
      </c>
      <c r="AB1810" s="178">
        <f>(FME_Ranking1[[#This Row],[Miles Raw]]/$AA$2)*100</f>
        <v>1.6213276645288904E-2</v>
      </c>
      <c r="AC1810" s="178">
        <f>FME_Ranking1[[#This Row],[Miles Score (Normalized, Unweighted)]]*$AA$3</f>
        <v>1.6213276645288906E-3</v>
      </c>
      <c r="AD1810" s="255">
        <f>_xlfn.XLOOKUP(FME_Ranking1[[#This Row],[FME ID]],FME_Input[FME_ID],FME_Input[FARMACRE100])</f>
        <v>26.16399002075195</v>
      </c>
      <c r="AE1810" s="230">
        <f>(FME_Ranking1[[#This Row],[Ag Land Raw]]/$AD$2)*100</f>
        <v>1.0788858252579519E-3</v>
      </c>
      <c r="AF1810" s="231">
        <f>FME_Ranking1[[#This Row],[Ag Land Score (Normalized, Unweighted)]]*$AD$3</f>
        <v>5.39442912628976E-5</v>
      </c>
      <c r="AG181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5.6564017814113923E-3</v>
      </c>
      <c r="AH1810" s="406">
        <f t="shared" si="28"/>
        <v>1820</v>
      </c>
      <c r="AI181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5.6564017814113923E-3</v>
      </c>
      <c r="AJ1810" s="257">
        <f>FME_Ranking1[[#This Row],[Addition check]]-FME_Ranking1[[#This Row],[Weighted Score Based on Normalized Reported Factors]]</f>
        <v>0</v>
      </c>
      <c r="AK1810" s="178">
        <f>_xlfn.RANK.EQ(AI1810,$AI$6:$AI$2341,0)+COUNTIF($AI$6:AI1810,AI1810)-1</f>
        <v>1820</v>
      </c>
    </row>
    <row r="1811" spans="1:37" x14ac:dyDescent="0.25">
      <c r="A1811" t="s">
        <v>9581</v>
      </c>
      <c r="B1811">
        <f>_xlfn.XLOOKUP(FME_Ranking1[[#This Row],[FME ID]],FME_Input[FME_ID],FME_Input[RFPG_NUM])</f>
        <v>12</v>
      </c>
      <c r="C1811" t="str">
        <f>_xlfn.XLOOKUP(FME_Ranking1[[#This Row],[FME ID]],FME_Input[FME_ID],FME_Input[FME_NAME])</f>
        <v>Upper Martinez Creek Improvements</v>
      </c>
      <c r="D1811" t="str">
        <f>_xlfn.XLOOKUP(FME_Ranking1[[#This Row],[FME ID]],FME_Input[FME_ID],FME_Input[DESCR])</f>
        <v>Improvements to already channelized section of Martinez Creek (Cibolo Watershed) from Montgomery Dr to Walzem Rd and bridge improvements at Gibbs Sprawl Road</v>
      </c>
      <c r="E1811" s="256">
        <f>_xlfn.XLOOKUP(FME_Ranking1[[#This Row],[FME ID]],FME_Input[FME_ID],FME_Input[FME_COST])</f>
        <v>4100856</v>
      </c>
      <c r="F1811" t="str">
        <f>_xlfn.XLOOKUP(FME_Ranking1[[#This Row],[FME ID]],FME_Input[FME_ID],FME_Input[EMER_NEED])</f>
        <v>No</v>
      </c>
      <c r="G1811">
        <f>IF(FME_Ranking!F1811="Yes",100,0)</f>
        <v>0</v>
      </c>
      <c r="H1811">
        <f>FME_Ranking1[[#This Row],[Emergency Need Score (Normalized, Unweighted)]]*$F$3</f>
        <v>0</v>
      </c>
      <c r="I1811" s="246">
        <f>_xlfn.XLOOKUP(FME_Ranking1[[#This Row],[FME ID]],FME_Input[FME_ID],FME_Input[STRUCT_100])</f>
        <v>18</v>
      </c>
      <c r="J1811" s="178">
        <f>(FME_Ranking1[[#This Row],[Structures 100 Raw]]/I$2)*100</f>
        <v>9.6388638992417428E-3</v>
      </c>
      <c r="K1811" s="178">
        <f>FME_Ranking1[[#This Row],[Structures 100  Score (Normalized, Unweighted)]]*$I$3</f>
        <v>1.4458295848862614E-3</v>
      </c>
      <c r="L1811" s="246">
        <f>_xlfn.XLOOKUP(FME_Ranking1[[#This Row],[FME ID]],FME_Input[FME_ID],FME_Input[RES_STRUCT100])</f>
        <v>18</v>
      </c>
      <c r="M1811" s="230">
        <f>(FME_Ranking1[[#This Row],[Res Structures Raw]]/L$2)*100</f>
        <v>1.2749500644558088E-2</v>
      </c>
      <c r="N1811" s="180">
        <f>FME_Ranking1[[#This Row],[Res Structures Score (Normalized, Unweighted)]]*$L$3</f>
        <v>1.2749500644558089E-3</v>
      </c>
      <c r="O1811" s="244">
        <f>_xlfn.XLOOKUP(FME_Ranking1[[#This Row],[FME ID]],FME_Input[FME_ID],FME_Input[POP100])</f>
        <v>51</v>
      </c>
      <c r="P1811" s="178">
        <f>(FME_Ranking1[[#This Row],[Pop Raw]]/$O$2)*100</f>
        <v>5.2211409114269278E-3</v>
      </c>
      <c r="Q1811" s="178">
        <f>FME_Ranking1[[#This Row],[Pop Score (Normalized, Unweighted)]]*$O$3</f>
        <v>7.8317113671403911E-4</v>
      </c>
      <c r="R1811" s="137">
        <f>_xlfn.XLOOKUP(FME_Ranking1[[#This Row],[FME ID]],FME_Input[FME_ID],FME_Input[CRITFAC100])</f>
        <v>0</v>
      </c>
      <c r="S1811" s="230">
        <f>(FME_Ranking1[[#This Row],[Critical Facilities Raw]]/$R$2)*100</f>
        <v>0</v>
      </c>
      <c r="T1811" s="180">
        <f>FME_Ranking1[[#This Row],[Critical Facilities Score (Normalized, Unweighted)]]*$R$3</f>
        <v>0</v>
      </c>
      <c r="U1811">
        <f>_xlfn.XLOOKUP(FME_Ranking1[[#This Row],[FME ID]],FME_Input[FME_ID],FME_Input[LWC])</f>
        <v>0</v>
      </c>
      <c r="V1811" s="178">
        <f>(FME_Ranking1[[#This Row],[LWC Raw]]/$U$2)*100</f>
        <v>0</v>
      </c>
      <c r="W1811" s="178">
        <f>FME_Ranking1[[#This Row],[LWC Score (Normalized, Unweighted)]]*$U$3</f>
        <v>0</v>
      </c>
      <c r="X1811" s="246">
        <f>_xlfn.XLOOKUP(FME_Ranking1[[#This Row],[FME ID]],FME_Input[FME_ID],FME_Input[ROADCLS])</f>
        <v>1</v>
      </c>
      <c r="Y1811" s="230">
        <f>(FME_Ranking1[[#This Row],[Closures Raw]]/$X$2)*100</f>
        <v>1.0514141520344864E-2</v>
      </c>
      <c r="Z1811" s="180">
        <f>FME_Ranking1[[#This Row],[Closures Score (Normalized, Unweighted)]]*$X$3</f>
        <v>5.2570707601724321E-4</v>
      </c>
      <c r="AA1811" s="253">
        <f>_xlfn.XLOOKUP(FME_Ranking1[[#This Row],[FME ID]],FME_Input[FME_ID],FME_Input[ROAD_MILES100])</f>
        <v>4.0000001899898052E-3</v>
      </c>
      <c r="AB1811" s="178">
        <f>(FME_Ranking1[[#This Row],[Miles Raw]]/$AA$2)*100</f>
        <v>5.2592828161218334E-5</v>
      </c>
      <c r="AC1811" s="178">
        <f>FME_Ranking1[[#This Row],[Miles Score (Normalized, Unweighted)]]*$AA$3</f>
        <v>5.2592828161218339E-6</v>
      </c>
      <c r="AD1811" s="255">
        <f>_xlfn.XLOOKUP(FME_Ranking1[[#This Row],[FME ID]],FME_Input[FME_ID],FME_Input[FARMACRE100])</f>
        <v>0</v>
      </c>
      <c r="AE1811" s="230">
        <f>(FME_Ranking1[[#This Row],[Ag Land Raw]]/$AD$2)*100</f>
        <v>0</v>
      </c>
      <c r="AF1811" s="231">
        <f>FME_Ranking1[[#This Row],[Ag Land Score (Normalized, Unweighted)]]*$AD$3</f>
        <v>0</v>
      </c>
      <c r="AG181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4.0349171448894744E-3</v>
      </c>
      <c r="AH1811" s="406">
        <f t="shared" si="28"/>
        <v>1861</v>
      </c>
      <c r="AI181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4.0349171448894744E-3</v>
      </c>
      <c r="AJ1811" s="257">
        <f>FME_Ranking1[[#This Row],[Addition check]]-FME_Ranking1[[#This Row],[Weighted Score Based on Normalized Reported Factors]]</f>
        <v>0</v>
      </c>
      <c r="AK1811" s="178">
        <f>_xlfn.RANK.EQ(AI1811,$AI$6:$AI$2341,0)+COUNTIF($AI$6:AI1811,AI1811)-1</f>
        <v>1861</v>
      </c>
    </row>
    <row r="1812" spans="1:37" x14ac:dyDescent="0.25">
      <c r="A1812" t="s">
        <v>6966</v>
      </c>
      <c r="B1812">
        <f>_xlfn.XLOOKUP(FME_Ranking1[[#This Row],[FME ID]],FME_Input[FME_ID],FME_Input[RFPG_NUM])</f>
        <v>7</v>
      </c>
      <c r="C1812" t="str">
        <f>_xlfn.XLOOKUP(FME_Ranking1[[#This Row],[FME ID]],FME_Input[FME_ID],FME_Input[FME_NAME])</f>
        <v>Town of Rochester DMP</v>
      </c>
      <c r="D1812" t="str">
        <f>_xlfn.XLOOKUP(FME_Ranking1[[#This Row],[FME ID]],FME_Input[FME_ID],FME_Input[DESCR])</f>
        <v>Evaluate town to identify future projects, analyze roads/stream crossing for emergency response vehicles to high hazard areas</v>
      </c>
      <c r="E1812" s="256">
        <f>_xlfn.XLOOKUP(FME_Ranking1[[#This Row],[FME ID]],FME_Input[FME_ID],FME_Input[FME_COST])</f>
        <v>250000</v>
      </c>
      <c r="F1812" t="str">
        <f>_xlfn.XLOOKUP(FME_Ranking1[[#This Row],[FME ID]],FME_Input[FME_ID],FME_Input[EMER_NEED])</f>
        <v>No</v>
      </c>
      <c r="G1812">
        <f>IF(FME_Ranking!F1812="Yes",100,0)</f>
        <v>0</v>
      </c>
      <c r="H1812">
        <f>FME_Ranking1[[#This Row],[Emergency Need Score (Normalized, Unweighted)]]*$F$3</f>
        <v>0</v>
      </c>
      <c r="I1812" s="246">
        <f>_xlfn.XLOOKUP(FME_Ranking1[[#This Row],[FME ID]],FME_Input[FME_ID],FME_Input[STRUCT_100])</f>
        <v>27</v>
      </c>
      <c r="J1812" s="178">
        <f>(FME_Ranking1[[#This Row],[Structures 100 Raw]]/I$2)*100</f>
        <v>1.4458295848862615E-2</v>
      </c>
      <c r="K1812" s="178">
        <f>FME_Ranking1[[#This Row],[Structures 100  Score (Normalized, Unweighted)]]*$I$3</f>
        <v>2.1687443773293924E-3</v>
      </c>
      <c r="L1812" s="246">
        <f>_xlfn.XLOOKUP(FME_Ranking1[[#This Row],[FME ID]],FME_Input[FME_ID],FME_Input[RES_STRUCT100])</f>
        <v>20</v>
      </c>
      <c r="M1812" s="230">
        <f>(FME_Ranking1[[#This Row],[Res Structures Raw]]/L$2)*100</f>
        <v>1.4166111827286764E-2</v>
      </c>
      <c r="N1812" s="180">
        <f>FME_Ranking1[[#This Row],[Res Structures Score (Normalized, Unweighted)]]*$L$3</f>
        <v>1.4166111827286765E-3</v>
      </c>
      <c r="O1812" s="244">
        <f>_xlfn.XLOOKUP(FME_Ranking1[[#This Row],[FME ID]],FME_Input[FME_ID],FME_Input[POP100])</f>
        <v>26</v>
      </c>
      <c r="P1812" s="178">
        <f>(FME_Ranking1[[#This Row],[Pop Raw]]/$O$2)*100</f>
        <v>2.6617581117078454E-3</v>
      </c>
      <c r="Q1812" s="178">
        <f>FME_Ranking1[[#This Row],[Pop Score (Normalized, Unweighted)]]*$O$3</f>
        <v>3.9926371675617678E-4</v>
      </c>
      <c r="R1812" s="137">
        <f>_xlfn.XLOOKUP(FME_Ranking1[[#This Row],[FME ID]],FME_Input[FME_ID],FME_Input[CRITFAC100])</f>
        <v>0</v>
      </c>
      <c r="S1812" s="230">
        <f>(FME_Ranking1[[#This Row],[Critical Facilities Raw]]/$R$2)*100</f>
        <v>0</v>
      </c>
      <c r="T1812" s="180">
        <f>FME_Ranking1[[#This Row],[Critical Facilities Score (Normalized, Unweighted)]]*$R$3</f>
        <v>0</v>
      </c>
      <c r="U1812">
        <f>_xlfn.XLOOKUP(FME_Ranking1[[#This Row],[FME ID]],FME_Input[FME_ID],FME_Input[LWC])</f>
        <v>0</v>
      </c>
      <c r="V1812" s="178">
        <f>(FME_Ranking1[[#This Row],[LWC Raw]]/$U$2)*100</f>
        <v>0</v>
      </c>
      <c r="W1812" s="178">
        <f>FME_Ranking1[[#This Row],[LWC Score (Normalized, Unweighted)]]*$U$3</f>
        <v>0</v>
      </c>
      <c r="X1812" s="246">
        <f>_xlfn.XLOOKUP(FME_Ranking1[[#This Row],[FME ID]],FME_Input[FME_ID],FME_Input[ROADCLS])</f>
        <v>0</v>
      </c>
      <c r="Y1812" s="230">
        <f>(FME_Ranking1[[#This Row],[Closures Raw]]/$X$2)*100</f>
        <v>0</v>
      </c>
      <c r="Z1812" s="180">
        <f>FME_Ranking1[[#This Row],[Closures Score (Normalized, Unweighted)]]*$X$3</f>
        <v>0</v>
      </c>
      <c r="AA1812" s="253">
        <f>_xlfn.XLOOKUP(FME_Ranking1[[#This Row],[FME ID]],FME_Input[FME_ID],FME_Input[ROAD_MILES100])</f>
        <v>1.251298308372498</v>
      </c>
      <c r="AB1812" s="178">
        <f>(FME_Ranking1[[#This Row],[Miles Raw]]/$AA$2)*100</f>
        <v>1.6452328446220823E-2</v>
      </c>
      <c r="AC1812" s="178">
        <f>FME_Ranking1[[#This Row],[Miles Score (Normalized, Unweighted)]]*$AA$3</f>
        <v>1.6452328446220823E-3</v>
      </c>
      <c r="AD1812" s="255">
        <f>_xlfn.XLOOKUP(FME_Ranking1[[#This Row],[FME ID]],FME_Input[FME_ID],FME_Input[FARMACRE100])</f>
        <v>4.5785374641418457</v>
      </c>
      <c r="AE1812" s="230">
        <f>(FME_Ranking1[[#This Row],[Ag Land Raw]]/$AD$2)*100</f>
        <v>1.8879838918135921E-4</v>
      </c>
      <c r="AF1812" s="231">
        <f>FME_Ranking1[[#This Row],[Ag Land Score (Normalized, Unweighted)]]*$AD$3</f>
        <v>9.4399194590679604E-6</v>
      </c>
      <c r="AG181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5.6392920408953953E-3</v>
      </c>
      <c r="AH1812" s="406">
        <f t="shared" si="28"/>
        <v>1821</v>
      </c>
      <c r="AI181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5.6392920408953953E-3</v>
      </c>
      <c r="AJ1812" s="257">
        <f>FME_Ranking1[[#This Row],[Addition check]]-FME_Ranking1[[#This Row],[Weighted Score Based on Normalized Reported Factors]]</f>
        <v>0</v>
      </c>
      <c r="AK1812" s="178">
        <f>_xlfn.RANK.EQ(AI1812,$AI$6:$AI$2341,0)+COUNTIF($AI$6:AI1812,AI1812)-1</f>
        <v>1821</v>
      </c>
    </row>
    <row r="1813" spans="1:37" x14ac:dyDescent="0.25">
      <c r="A1813" t="s">
        <v>7348</v>
      </c>
      <c r="B1813">
        <f>_xlfn.XLOOKUP(FME_Ranking1[[#This Row],[FME ID]],FME_Input[FME_ID],FME_Input[RFPG_NUM])</f>
        <v>7</v>
      </c>
      <c r="C1813" t="str">
        <f>_xlfn.XLOOKUP(FME_Ranking1[[#This Row],[FME ID]],FME_Input[FME_ID],FME_Input[FME_NAME])</f>
        <v>Town of Rochester Relocate Critical Facilities High Hazard</v>
      </c>
      <c r="D1813" t="str">
        <f>_xlfn.XLOOKUP(FME_Ranking1[[#This Row],[FME ID]],FME_Input[FME_ID],FME_Input[DESCR])</f>
        <v>Raise electrical components of sewage lift stations above the Base Flood Elevation (BFE).</v>
      </c>
      <c r="E1813" s="256">
        <f>_xlfn.XLOOKUP(FME_Ranking1[[#This Row],[FME ID]],FME_Input[FME_ID],FME_Input[FME_COST])</f>
        <v>100000</v>
      </c>
      <c r="F1813" t="str">
        <f>_xlfn.XLOOKUP(FME_Ranking1[[#This Row],[FME ID]],FME_Input[FME_ID],FME_Input[EMER_NEED])</f>
        <v>No</v>
      </c>
      <c r="G1813">
        <f>IF(FME_Ranking!F1813="Yes",100,0)</f>
        <v>0</v>
      </c>
      <c r="H1813">
        <f>FME_Ranking1[[#This Row],[Emergency Need Score (Normalized, Unweighted)]]*$F$3</f>
        <v>0</v>
      </c>
      <c r="I1813" s="246">
        <f>_xlfn.XLOOKUP(FME_Ranking1[[#This Row],[FME ID]],FME_Input[FME_ID],FME_Input[STRUCT_100])</f>
        <v>27</v>
      </c>
      <c r="J1813" s="178">
        <f>(FME_Ranking1[[#This Row],[Structures 100 Raw]]/I$2)*100</f>
        <v>1.4458295848862615E-2</v>
      </c>
      <c r="K1813" s="178">
        <f>FME_Ranking1[[#This Row],[Structures 100  Score (Normalized, Unweighted)]]*$I$3</f>
        <v>2.1687443773293924E-3</v>
      </c>
      <c r="L1813" s="246">
        <f>_xlfn.XLOOKUP(FME_Ranking1[[#This Row],[FME ID]],FME_Input[FME_ID],FME_Input[RES_STRUCT100])</f>
        <v>20</v>
      </c>
      <c r="M1813" s="230">
        <f>(FME_Ranking1[[#This Row],[Res Structures Raw]]/L$2)*100</f>
        <v>1.4166111827286764E-2</v>
      </c>
      <c r="N1813" s="180">
        <f>FME_Ranking1[[#This Row],[Res Structures Score (Normalized, Unweighted)]]*$L$3</f>
        <v>1.4166111827286765E-3</v>
      </c>
      <c r="O1813" s="244">
        <f>_xlfn.XLOOKUP(FME_Ranking1[[#This Row],[FME ID]],FME_Input[FME_ID],FME_Input[POP100])</f>
        <v>26</v>
      </c>
      <c r="P1813" s="178">
        <f>(FME_Ranking1[[#This Row],[Pop Raw]]/$O$2)*100</f>
        <v>2.6617581117078454E-3</v>
      </c>
      <c r="Q1813" s="178">
        <f>FME_Ranking1[[#This Row],[Pop Score (Normalized, Unweighted)]]*$O$3</f>
        <v>3.9926371675617678E-4</v>
      </c>
      <c r="R1813" s="137">
        <f>_xlfn.XLOOKUP(FME_Ranking1[[#This Row],[FME ID]],FME_Input[FME_ID],FME_Input[CRITFAC100])</f>
        <v>0</v>
      </c>
      <c r="S1813" s="230">
        <f>(FME_Ranking1[[#This Row],[Critical Facilities Raw]]/$R$2)*100</f>
        <v>0</v>
      </c>
      <c r="T1813" s="180">
        <f>FME_Ranking1[[#This Row],[Critical Facilities Score (Normalized, Unweighted)]]*$R$3</f>
        <v>0</v>
      </c>
      <c r="U1813">
        <f>_xlfn.XLOOKUP(FME_Ranking1[[#This Row],[FME ID]],FME_Input[FME_ID],FME_Input[LWC])</f>
        <v>0</v>
      </c>
      <c r="V1813" s="178">
        <f>(FME_Ranking1[[#This Row],[LWC Raw]]/$U$2)*100</f>
        <v>0</v>
      </c>
      <c r="W1813" s="178">
        <f>FME_Ranking1[[#This Row],[LWC Score (Normalized, Unweighted)]]*$U$3</f>
        <v>0</v>
      </c>
      <c r="X1813" s="246">
        <f>_xlfn.XLOOKUP(FME_Ranking1[[#This Row],[FME ID]],FME_Input[FME_ID],FME_Input[ROADCLS])</f>
        <v>0</v>
      </c>
      <c r="Y1813" s="230">
        <f>(FME_Ranking1[[#This Row],[Closures Raw]]/$X$2)*100</f>
        <v>0</v>
      </c>
      <c r="Z1813" s="180">
        <f>FME_Ranking1[[#This Row],[Closures Score (Normalized, Unweighted)]]*$X$3</f>
        <v>0</v>
      </c>
      <c r="AA1813" s="253">
        <f>_xlfn.XLOOKUP(FME_Ranking1[[#This Row],[FME ID]],FME_Input[FME_ID],FME_Input[ROAD_MILES100])</f>
        <v>1.251298308372498</v>
      </c>
      <c r="AB1813" s="178">
        <f>(FME_Ranking1[[#This Row],[Miles Raw]]/$AA$2)*100</f>
        <v>1.6452328446220823E-2</v>
      </c>
      <c r="AC1813" s="178">
        <f>FME_Ranking1[[#This Row],[Miles Score (Normalized, Unweighted)]]*$AA$3</f>
        <v>1.6452328446220823E-3</v>
      </c>
      <c r="AD1813" s="255">
        <f>_xlfn.XLOOKUP(FME_Ranking1[[#This Row],[FME ID]],FME_Input[FME_ID],FME_Input[FARMACRE100])</f>
        <v>4.5785374641418457</v>
      </c>
      <c r="AE1813" s="230">
        <f>(FME_Ranking1[[#This Row],[Ag Land Raw]]/$AD$2)*100</f>
        <v>1.8879838918135921E-4</v>
      </c>
      <c r="AF1813" s="231">
        <f>FME_Ranking1[[#This Row],[Ag Land Score (Normalized, Unweighted)]]*$AD$3</f>
        <v>9.4399194590679604E-6</v>
      </c>
      <c r="AG181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5.6392920408953953E-3</v>
      </c>
      <c r="AH1813" s="406">
        <f t="shared" si="28"/>
        <v>1821</v>
      </c>
      <c r="AI181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5.6392920408953953E-3</v>
      </c>
      <c r="AJ1813" s="257">
        <f>FME_Ranking1[[#This Row],[Addition check]]-FME_Ranking1[[#This Row],[Weighted Score Based on Normalized Reported Factors]]</f>
        <v>0</v>
      </c>
      <c r="AK1813" s="178">
        <f>_xlfn.RANK.EQ(AI1813,$AI$6:$AI$2341,0)+COUNTIF($AI$6:AI1813,AI1813)-1</f>
        <v>1822</v>
      </c>
    </row>
    <row r="1814" spans="1:37" x14ac:dyDescent="0.25">
      <c r="A1814" t="s">
        <v>1717</v>
      </c>
      <c r="B1814">
        <f>_xlfn.XLOOKUP(FME_Ranking1[[#This Row],[FME ID]],FME_Input[FME_ID],FME_Input[RFPG_NUM])</f>
        <v>6</v>
      </c>
      <c r="C1814" t="str">
        <f>_xlfn.XLOOKUP(FME_Ranking1[[#This Row],[FME ID]],FME_Input[FME_ID],FME_Input[FME_NAME])</f>
        <v>City of Plantersville  Master Drainage Plan</v>
      </c>
      <c r="D1814" t="str">
        <f>_xlfn.XLOOKUP(FME_Ranking1[[#This Row],[FME ID]],FME_Input[FME_ID],FME_Input[DESCR])</f>
        <v>Study to develop Master Drainage Plan using future and existing land use and flood/storm water drainage needs including Atlas 14 rainfall.</v>
      </c>
      <c r="E1814" s="256">
        <f>_xlfn.XLOOKUP(FME_Ranking1[[#This Row],[FME ID]],FME_Input[FME_ID],FME_Input[FME_COST])</f>
        <v>190000</v>
      </c>
      <c r="F1814" t="str">
        <f>_xlfn.XLOOKUP(FME_Ranking1[[#This Row],[FME ID]],FME_Input[FME_ID],FME_Input[EMER_NEED])</f>
        <v>No</v>
      </c>
      <c r="G1814">
        <f>IF(FME_Ranking!F1814="Yes",100,0)</f>
        <v>0</v>
      </c>
      <c r="H1814">
        <f>FME_Ranking1[[#This Row],[Emergency Need Score (Normalized, Unweighted)]]*$F$3</f>
        <v>0</v>
      </c>
      <c r="I1814" s="246">
        <f>_xlfn.XLOOKUP(FME_Ranking1[[#This Row],[FME ID]],FME_Input[FME_ID],FME_Input[STRUCT_100])</f>
        <v>28</v>
      </c>
      <c r="J1814" s="178">
        <f>(FME_Ranking1[[#This Row],[Structures 100 Raw]]/I$2)*100</f>
        <v>1.4993788287709378E-2</v>
      </c>
      <c r="K1814" s="178">
        <f>FME_Ranking1[[#This Row],[Structures 100  Score (Normalized, Unweighted)]]*$I$3</f>
        <v>2.2490682431564068E-3</v>
      </c>
      <c r="L1814" s="246">
        <f>_xlfn.XLOOKUP(FME_Ranking1[[#This Row],[FME ID]],FME_Input[FME_ID],FME_Input[RES_STRUCT100])</f>
        <v>16</v>
      </c>
      <c r="M1814" s="230">
        <f>(FME_Ranking1[[#This Row],[Res Structures Raw]]/L$2)*100</f>
        <v>1.1332889461829412E-2</v>
      </c>
      <c r="N1814" s="180">
        <f>FME_Ranking1[[#This Row],[Res Structures Score (Normalized, Unweighted)]]*$L$3</f>
        <v>1.1332889461829413E-3</v>
      </c>
      <c r="O1814" s="244">
        <f>_xlfn.XLOOKUP(FME_Ranking1[[#This Row],[FME ID]],FME_Input[FME_ID],FME_Input[POP100])</f>
        <v>34</v>
      </c>
      <c r="P1814" s="178">
        <f>(FME_Ranking1[[#This Row],[Pop Raw]]/$O$2)*100</f>
        <v>3.4807606076179519E-3</v>
      </c>
      <c r="Q1814" s="178">
        <f>FME_Ranking1[[#This Row],[Pop Score (Normalized, Unweighted)]]*$O$3</f>
        <v>5.2211409114269274E-4</v>
      </c>
      <c r="R1814" s="137">
        <f>_xlfn.XLOOKUP(FME_Ranking1[[#This Row],[FME ID]],FME_Input[FME_ID],FME_Input[CRITFAC100])</f>
        <v>0</v>
      </c>
      <c r="S1814" s="230">
        <f>(FME_Ranking1[[#This Row],[Critical Facilities Raw]]/$R$2)*100</f>
        <v>0</v>
      </c>
      <c r="T1814" s="180">
        <f>FME_Ranking1[[#This Row],[Critical Facilities Score (Normalized, Unweighted)]]*$R$3</f>
        <v>0</v>
      </c>
      <c r="U1814">
        <f>_xlfn.XLOOKUP(FME_Ranking1[[#This Row],[FME ID]],FME_Input[FME_ID],FME_Input[LWC])</f>
        <v>0</v>
      </c>
      <c r="V1814" s="178">
        <f>(FME_Ranking1[[#This Row],[LWC Raw]]/$U$2)*100</f>
        <v>0</v>
      </c>
      <c r="W1814" s="178">
        <f>FME_Ranking1[[#This Row],[LWC Score (Normalized, Unweighted)]]*$U$3</f>
        <v>0</v>
      </c>
      <c r="X1814" s="246">
        <f>_xlfn.XLOOKUP(FME_Ranking1[[#This Row],[FME ID]],FME_Input[FME_ID],FME_Input[ROADCLS])</f>
        <v>0</v>
      </c>
      <c r="Y1814" s="230">
        <f>(FME_Ranking1[[#This Row],[Closures Raw]]/$X$2)*100</f>
        <v>0</v>
      </c>
      <c r="Z1814" s="180">
        <f>FME_Ranking1[[#This Row],[Closures Score (Normalized, Unweighted)]]*$X$3</f>
        <v>0</v>
      </c>
      <c r="AA1814" s="253">
        <f>_xlfn.XLOOKUP(FME_Ranking1[[#This Row],[FME ID]],FME_Input[FME_ID],FME_Input[ROAD_MILES100])</f>
        <v>0.60393863916397095</v>
      </c>
      <c r="AB1814" s="178">
        <f>(FME_Ranking1[[#This Row],[Miles Raw]]/$AA$2)*100</f>
        <v>7.9407098902042113E-3</v>
      </c>
      <c r="AC1814" s="178">
        <f>FME_Ranking1[[#This Row],[Miles Score (Normalized, Unweighted)]]*$AA$3</f>
        <v>7.9407098902042113E-4</v>
      </c>
      <c r="AD1814" s="255">
        <f>_xlfn.XLOOKUP(FME_Ranking1[[#This Row],[FME ID]],FME_Input[FME_ID],FME_Input[FARMACRE100])</f>
        <v>0.94245058298110962</v>
      </c>
      <c r="AE1814" s="230">
        <f>(FME_Ranking1[[#This Row],[Ag Land Raw]]/$AD$2)*100</f>
        <v>3.8862443158629125E-5</v>
      </c>
      <c r="AF1814" s="231">
        <f>FME_Ranking1[[#This Row],[Ag Land Score (Normalized, Unweighted)]]*$AD$3</f>
        <v>1.9431221579314562E-6</v>
      </c>
      <c r="AG181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4.7004853916603933E-3</v>
      </c>
      <c r="AH1814" s="406">
        <f t="shared" si="28"/>
        <v>1841</v>
      </c>
      <c r="AI181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4.7004853916603933E-3</v>
      </c>
      <c r="AJ1814" s="257">
        <f>FME_Ranking1[[#This Row],[Addition check]]-FME_Ranking1[[#This Row],[Weighted Score Based on Normalized Reported Factors]]</f>
        <v>0</v>
      </c>
      <c r="AK1814" s="178">
        <f>_xlfn.RANK.EQ(AI1814,$AI$6:$AI$2341,0)+COUNTIF($AI$6:AI1814,AI1814)-1</f>
        <v>1841</v>
      </c>
    </row>
    <row r="1815" spans="1:37" x14ac:dyDescent="0.25">
      <c r="A1815" t="s">
        <v>7659</v>
      </c>
      <c r="B1815">
        <f>_xlfn.XLOOKUP(FME_Ranking1[[#This Row],[FME ID]],FME_Input[FME_ID],FME_Input[RFPG_NUM])</f>
        <v>8</v>
      </c>
      <c r="C1815" t="str">
        <f>_xlfn.XLOOKUP(FME_Ranking1[[#This Row],[FME ID]],FME_Input[FME_ID],FME_Input[FME_NAME])</f>
        <v>Brushy Creek Flood Study Extension</v>
      </c>
      <c r="D1815" t="str">
        <f>_xlfn.XLOOKUP(FME_Ranking1[[#This Row],[FME ID]],FME_Input[FME_ID],FME_Input[DESCR])</f>
        <v>Expansion of previous study to improve characterization of flood risk.</v>
      </c>
      <c r="E1815" s="256">
        <f>_xlfn.XLOOKUP(FME_Ranking1[[#This Row],[FME ID]],FME_Input[FME_ID],FME_Input[FME_COST])</f>
        <v>92000</v>
      </c>
      <c r="F1815" t="str">
        <f>_xlfn.XLOOKUP(FME_Ranking1[[#This Row],[FME ID]],FME_Input[FME_ID],FME_Input[EMER_NEED])</f>
        <v>No</v>
      </c>
      <c r="G1815">
        <f>IF(FME_Ranking!F1815="Yes",100,0)</f>
        <v>0</v>
      </c>
      <c r="H1815">
        <f>FME_Ranking1[[#This Row],[Emergency Need Score (Normalized, Unweighted)]]*$F$3</f>
        <v>0</v>
      </c>
      <c r="I1815" s="246">
        <f>_xlfn.XLOOKUP(FME_Ranking1[[#This Row],[FME ID]],FME_Input[FME_ID],FME_Input[STRUCT_100])</f>
        <v>7</v>
      </c>
      <c r="J1815" s="178">
        <f>(FME_Ranking1[[#This Row],[Structures 100 Raw]]/I$2)*100</f>
        <v>3.7484470719273445E-3</v>
      </c>
      <c r="K1815" s="178">
        <f>FME_Ranking1[[#This Row],[Structures 100  Score (Normalized, Unweighted)]]*$I$3</f>
        <v>5.622670607891017E-4</v>
      </c>
      <c r="L1815" s="246">
        <f>_xlfn.XLOOKUP(FME_Ranking1[[#This Row],[FME ID]],FME_Input[FME_ID],FME_Input[RES_STRUCT100])</f>
        <v>7</v>
      </c>
      <c r="M1815" s="230">
        <f>(FME_Ranking1[[#This Row],[Res Structures Raw]]/L$2)*100</f>
        <v>4.9581391395503681E-3</v>
      </c>
      <c r="N1815" s="180">
        <f>FME_Ranking1[[#This Row],[Res Structures Score (Normalized, Unweighted)]]*$L$3</f>
        <v>4.9581391395503687E-4</v>
      </c>
      <c r="O1815" s="244">
        <f>_xlfn.XLOOKUP(FME_Ranking1[[#This Row],[FME ID]],FME_Input[FME_ID],FME_Input[POP100])</f>
        <v>5</v>
      </c>
      <c r="P1815" s="178">
        <f>(FME_Ranking1[[#This Row],[Pop Raw]]/$O$2)*100</f>
        <v>5.1187655994381644E-4</v>
      </c>
      <c r="Q1815" s="178">
        <f>FME_Ranking1[[#This Row],[Pop Score (Normalized, Unweighted)]]*$O$3</f>
        <v>7.6781483991572469E-5</v>
      </c>
      <c r="R1815" s="137">
        <f>_xlfn.XLOOKUP(FME_Ranking1[[#This Row],[FME ID]],FME_Input[FME_ID],FME_Input[CRITFAC100])</f>
        <v>0</v>
      </c>
      <c r="S1815" s="230">
        <f>(FME_Ranking1[[#This Row],[Critical Facilities Raw]]/$R$2)*100</f>
        <v>0</v>
      </c>
      <c r="T1815" s="180">
        <f>FME_Ranking1[[#This Row],[Critical Facilities Score (Normalized, Unweighted)]]*$R$3</f>
        <v>0</v>
      </c>
      <c r="U1815">
        <f>_xlfn.XLOOKUP(FME_Ranking1[[#This Row],[FME ID]],FME_Input[FME_ID],FME_Input[LWC])</f>
        <v>0</v>
      </c>
      <c r="V1815" s="178">
        <f>(FME_Ranking1[[#This Row],[LWC Raw]]/$U$2)*100</f>
        <v>0</v>
      </c>
      <c r="W1815" s="178">
        <f>FME_Ranking1[[#This Row],[LWC Score (Normalized, Unweighted)]]*$U$3</f>
        <v>0</v>
      </c>
      <c r="X1815" s="246">
        <f>_xlfn.XLOOKUP(FME_Ranking1[[#This Row],[FME ID]],FME_Input[FME_ID],FME_Input[ROADCLS])</f>
        <v>4</v>
      </c>
      <c r="Y1815" s="230">
        <f>(FME_Ranking1[[#This Row],[Closures Raw]]/$X$2)*100</f>
        <v>4.2056566081379455E-2</v>
      </c>
      <c r="Z1815" s="180">
        <f>FME_Ranking1[[#This Row],[Closures Score (Normalized, Unweighted)]]*$X$3</f>
        <v>2.1028283040689729E-3</v>
      </c>
      <c r="AA1815" s="253">
        <f>_xlfn.XLOOKUP(FME_Ranking1[[#This Row],[FME ID]],FME_Input[FME_ID],FME_Input[ROAD_MILES100])</f>
        <v>0.20082800090312961</v>
      </c>
      <c r="AB1815" s="178">
        <f>(FME_Ranking1[[#This Row],[Miles Raw]]/$AA$2)*100</f>
        <v>2.6405280099464734E-3</v>
      </c>
      <c r="AC1815" s="178">
        <f>FME_Ranking1[[#This Row],[Miles Score (Normalized, Unweighted)]]*$AA$3</f>
        <v>2.6405280099464737E-4</v>
      </c>
      <c r="AD1815" s="255">
        <f>_xlfn.XLOOKUP(FME_Ranking1[[#This Row],[FME ID]],FME_Input[FME_ID],FME_Input[FARMACRE100])</f>
        <v>323.59100341796881</v>
      </c>
      <c r="AE1815" s="230">
        <f>(FME_Ranking1[[#This Row],[Ag Land Raw]]/$AD$2)*100</f>
        <v>1.334344442463636E-2</v>
      </c>
      <c r="AF1815" s="231">
        <f>FME_Ranking1[[#This Row],[Ag Land Score (Normalized, Unweighted)]]*$AD$3</f>
        <v>6.6717222123181808E-4</v>
      </c>
      <c r="AG181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4.1689157850311491E-3</v>
      </c>
      <c r="AH1815" s="406">
        <f t="shared" si="28"/>
        <v>1855</v>
      </c>
      <c r="AI181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4.1689157850311491E-3</v>
      </c>
      <c r="AJ1815" s="257">
        <f>FME_Ranking1[[#This Row],[Addition check]]-FME_Ranking1[[#This Row],[Weighted Score Based on Normalized Reported Factors]]</f>
        <v>0</v>
      </c>
      <c r="AK1815" s="178">
        <f>_xlfn.RANK.EQ(AI1815,$AI$6:$AI$2341,0)+COUNTIF($AI$6:AI1815,AI1815)-1</f>
        <v>1855</v>
      </c>
    </row>
    <row r="1816" spans="1:37" x14ac:dyDescent="0.25">
      <c r="A1816" t="s">
        <v>7397</v>
      </c>
      <c r="B1816">
        <f>_xlfn.XLOOKUP(FME_Ranking1[[#This Row],[FME ID]],FME_Input[FME_ID],FME_Input[RFPG_NUM])</f>
        <v>7</v>
      </c>
      <c r="C1816" t="str">
        <f>_xlfn.XLOOKUP(FME_Ranking1[[#This Row],[FME ID]],FME_Input[FME_ID],FME_Input[FME_NAME])</f>
        <v>CRP Grass Flood Area</v>
      </c>
      <c r="D1816" t="str">
        <f>_xlfn.XLOOKUP(FME_Ranking1[[#This Row],[FME ID]],FME_Input[FME_ID],FME_Input[DESCR])</f>
        <v>Grass Program causes road to flood</v>
      </c>
      <c r="E1816" s="256">
        <f>_xlfn.XLOOKUP(FME_Ranking1[[#This Row],[FME ID]],FME_Input[FME_ID],FME_Input[FME_COST])</f>
        <v>100000</v>
      </c>
      <c r="F1816" t="str">
        <f>_xlfn.XLOOKUP(FME_Ranking1[[#This Row],[FME ID]],FME_Input[FME_ID],FME_Input[EMER_NEED])</f>
        <v>No</v>
      </c>
      <c r="G1816">
        <f>IF(FME_Ranking!F1816="Yes",100,0)</f>
        <v>0</v>
      </c>
      <c r="H1816">
        <f>FME_Ranking1[[#This Row],[Emergency Need Score (Normalized, Unweighted)]]*$F$3</f>
        <v>0</v>
      </c>
      <c r="I1816" s="246">
        <f>_xlfn.XLOOKUP(FME_Ranking1[[#This Row],[FME ID]],FME_Input[FME_ID],FME_Input[STRUCT_100])</f>
        <v>12</v>
      </c>
      <c r="J1816" s="178">
        <f>(FME_Ranking1[[#This Row],[Structures 100 Raw]]/I$2)*100</f>
        <v>6.4259092661611613E-3</v>
      </c>
      <c r="K1816" s="178">
        <f>FME_Ranking1[[#This Row],[Structures 100  Score (Normalized, Unweighted)]]*$I$3</f>
        <v>9.6388638992417417E-4</v>
      </c>
      <c r="L1816" s="246">
        <f>_xlfn.XLOOKUP(FME_Ranking1[[#This Row],[FME ID]],FME_Input[FME_ID],FME_Input[RES_STRUCT100])</f>
        <v>8</v>
      </c>
      <c r="M1816" s="230">
        <f>(FME_Ranking1[[#This Row],[Res Structures Raw]]/L$2)*100</f>
        <v>5.666444730914706E-3</v>
      </c>
      <c r="N1816" s="180">
        <f>FME_Ranking1[[#This Row],[Res Structures Score (Normalized, Unweighted)]]*$L$3</f>
        <v>5.6664447309147067E-4</v>
      </c>
      <c r="O1816" s="244">
        <f>_xlfn.XLOOKUP(FME_Ranking1[[#This Row],[FME ID]],FME_Input[FME_ID],FME_Input[POP100])</f>
        <v>24</v>
      </c>
      <c r="P1816" s="178">
        <f>(FME_Ranking1[[#This Row],[Pop Raw]]/$O$2)*100</f>
        <v>2.457007487730319E-3</v>
      </c>
      <c r="Q1816" s="178">
        <f>FME_Ranking1[[#This Row],[Pop Score (Normalized, Unweighted)]]*$O$3</f>
        <v>3.6855112315954783E-4</v>
      </c>
      <c r="R1816" s="137">
        <f>_xlfn.XLOOKUP(FME_Ranking1[[#This Row],[FME ID]],FME_Input[FME_ID],FME_Input[CRITFAC100])</f>
        <v>0</v>
      </c>
      <c r="S1816" s="230">
        <f>(FME_Ranking1[[#This Row],[Critical Facilities Raw]]/$R$2)*100</f>
        <v>0</v>
      </c>
      <c r="T1816" s="180">
        <f>FME_Ranking1[[#This Row],[Critical Facilities Score (Normalized, Unweighted)]]*$R$3</f>
        <v>0</v>
      </c>
      <c r="U1816">
        <f>_xlfn.XLOOKUP(FME_Ranking1[[#This Row],[FME ID]],FME_Input[FME_ID],FME_Input[LWC])</f>
        <v>0</v>
      </c>
      <c r="V1816" s="178">
        <f>(FME_Ranking1[[#This Row],[LWC Raw]]/$U$2)*100</f>
        <v>0</v>
      </c>
      <c r="W1816" s="178">
        <f>FME_Ranking1[[#This Row],[LWC Score (Normalized, Unweighted)]]*$U$3</f>
        <v>0</v>
      </c>
      <c r="X1816" s="246">
        <f>_xlfn.XLOOKUP(FME_Ranking1[[#This Row],[FME ID]],FME_Input[FME_ID],FME_Input[ROADCLS])</f>
        <v>0</v>
      </c>
      <c r="Y1816" s="230">
        <f>(FME_Ranking1[[#This Row],[Closures Raw]]/$X$2)*100</f>
        <v>0</v>
      </c>
      <c r="Z1816" s="180">
        <f>FME_Ranking1[[#This Row],[Closures Score (Normalized, Unweighted)]]*$X$3</f>
        <v>0</v>
      </c>
      <c r="AA1816" s="253">
        <f>_xlfn.XLOOKUP(FME_Ranking1[[#This Row],[FME ID]],FME_Input[FME_ID],FME_Input[ROAD_MILES100])</f>
        <v>15.329948425292971</v>
      </c>
      <c r="AB1816" s="178">
        <f>(FME_Ranking1[[#This Row],[Miles Raw]]/$AA$2)*100</f>
        <v>0.20156132623929393</v>
      </c>
      <c r="AC1816" s="178">
        <f>FME_Ranking1[[#This Row],[Miles Score (Normalized, Unweighted)]]*$AA$3</f>
        <v>2.0156132623929394E-2</v>
      </c>
      <c r="AD1816" s="255">
        <f>_xlfn.XLOOKUP(FME_Ranking1[[#This Row],[FME ID]],FME_Input[FME_ID],FME_Input[FARMACRE100])</f>
        <v>927.40093994140625</v>
      </c>
      <c r="AE1816" s="230">
        <f>(FME_Ranking1[[#This Row],[Ag Land Raw]]/$AD$2)*100</f>
        <v>3.8241863249454347E-2</v>
      </c>
      <c r="AF1816" s="231">
        <f>FME_Ranking1[[#This Row],[Ag Land Score (Normalized, Unweighted)]]*$AD$3</f>
        <v>1.9120931624727175E-3</v>
      </c>
      <c r="AG181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2.3967307772577304E-2</v>
      </c>
      <c r="AH1816" s="406">
        <f t="shared" si="28"/>
        <v>1530</v>
      </c>
      <c r="AI181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2.3967307772577304E-2</v>
      </c>
      <c r="AJ1816" s="257">
        <f>FME_Ranking1[[#This Row],[Addition check]]-FME_Ranking1[[#This Row],[Weighted Score Based on Normalized Reported Factors]]</f>
        <v>0</v>
      </c>
      <c r="AK1816" s="178">
        <f>_xlfn.RANK.EQ(AI1816,$AI$6:$AI$2341,0)+COUNTIF($AI$6:AI1816,AI1816)-1</f>
        <v>1530</v>
      </c>
    </row>
    <row r="1817" spans="1:37" x14ac:dyDescent="0.25">
      <c r="A1817" t="s">
        <v>3166</v>
      </c>
      <c r="B1817">
        <f>_xlfn.XLOOKUP(FME_Ranking1[[#This Row],[FME ID]],FME_Input[FME_ID],FME_Input[RFPG_NUM])</f>
        <v>1</v>
      </c>
      <c r="C1817" t="str">
        <f>_xlfn.XLOOKUP(FME_Ranking1[[#This Row],[FME ID]],FME_Input[FME_ID],FME_Input[FME_NAME])</f>
        <v>Lakeside City City Drainage Master Plan</v>
      </c>
      <c r="D1817" t="str">
        <f>_xlfn.XLOOKUP(FME_Ranking1[[#This Row],[FME ID]],FME_Input[FME_ID],FME_Input[DESCR])</f>
        <v>Perform H&amp;H modeling, develop conceptual alternatives and OPCC, and rank projects; selected based on HMAPs and the needs analysis</v>
      </c>
      <c r="E1817" s="256">
        <f>_xlfn.XLOOKUP(FME_Ranking1[[#This Row],[FME ID]],FME_Input[FME_ID],FME_Input[FME_COST])</f>
        <v>250000</v>
      </c>
      <c r="F1817" t="str">
        <f>_xlfn.XLOOKUP(FME_Ranking1[[#This Row],[FME ID]],FME_Input[FME_ID],FME_Input[EMER_NEED])</f>
        <v>No</v>
      </c>
      <c r="G1817">
        <f>IF(FME_Ranking!F1817="Yes",100,0)</f>
        <v>0</v>
      </c>
      <c r="H1817">
        <f>FME_Ranking1[[#This Row],[Emergency Need Score (Normalized, Unweighted)]]*$F$3</f>
        <v>0</v>
      </c>
      <c r="I1817" s="246">
        <f>_xlfn.XLOOKUP(FME_Ranking1[[#This Row],[FME ID]],FME_Input[FME_ID],FME_Input[STRUCT_100])</f>
        <v>22</v>
      </c>
      <c r="J1817" s="178">
        <f>(FME_Ranking1[[#This Row],[Structures 100 Raw]]/I$2)*100</f>
        <v>1.1780833654628797E-2</v>
      </c>
      <c r="K1817" s="178">
        <f>FME_Ranking1[[#This Row],[Structures 100  Score (Normalized, Unweighted)]]*$I$3</f>
        <v>1.7671250481943194E-3</v>
      </c>
      <c r="L1817" s="246">
        <f>_xlfn.XLOOKUP(FME_Ranking1[[#This Row],[FME ID]],FME_Input[FME_ID],FME_Input[RES_STRUCT100])</f>
        <v>19</v>
      </c>
      <c r="M1817" s="230">
        <f>(FME_Ranking1[[#This Row],[Res Structures Raw]]/L$2)*100</f>
        <v>1.3457806235922425E-2</v>
      </c>
      <c r="N1817" s="180">
        <f>FME_Ranking1[[#This Row],[Res Structures Score (Normalized, Unweighted)]]*$L$3</f>
        <v>1.3457806235922425E-3</v>
      </c>
      <c r="O1817" s="244">
        <f>_xlfn.XLOOKUP(FME_Ranking1[[#This Row],[FME ID]],FME_Input[FME_ID],FME_Input[POP100])</f>
        <v>39</v>
      </c>
      <c r="P1817" s="178">
        <f>(FME_Ranking1[[#This Row],[Pop Raw]]/$O$2)*100</f>
        <v>3.9926371675617685E-3</v>
      </c>
      <c r="Q1817" s="178">
        <f>FME_Ranking1[[#This Row],[Pop Score (Normalized, Unweighted)]]*$O$3</f>
        <v>5.988955751342653E-4</v>
      </c>
      <c r="R1817" s="137">
        <f>_xlfn.XLOOKUP(FME_Ranking1[[#This Row],[FME ID]],FME_Input[FME_ID],FME_Input[CRITFAC100])</f>
        <v>0</v>
      </c>
      <c r="S1817" s="230">
        <f>(FME_Ranking1[[#This Row],[Critical Facilities Raw]]/$R$2)*100</f>
        <v>0</v>
      </c>
      <c r="T1817" s="180">
        <f>FME_Ranking1[[#This Row],[Critical Facilities Score (Normalized, Unweighted)]]*$R$3</f>
        <v>0</v>
      </c>
      <c r="U1817">
        <f>_xlfn.XLOOKUP(FME_Ranking1[[#This Row],[FME ID]],FME_Input[FME_ID],FME_Input[LWC])</f>
        <v>0</v>
      </c>
      <c r="V1817" s="178">
        <f>(FME_Ranking1[[#This Row],[LWC Raw]]/$U$2)*100</f>
        <v>0</v>
      </c>
      <c r="W1817" s="178">
        <f>FME_Ranking1[[#This Row],[LWC Score (Normalized, Unweighted)]]*$U$3</f>
        <v>0</v>
      </c>
      <c r="X1817" s="246">
        <f>_xlfn.XLOOKUP(FME_Ranking1[[#This Row],[FME ID]],FME_Input[FME_ID],FME_Input[ROADCLS])</f>
        <v>0</v>
      </c>
      <c r="Y1817" s="230">
        <f>(FME_Ranking1[[#This Row],[Closures Raw]]/$X$2)*100</f>
        <v>0</v>
      </c>
      <c r="Z1817" s="180">
        <f>FME_Ranking1[[#This Row],[Closures Score (Normalized, Unweighted)]]*$X$3</f>
        <v>0</v>
      </c>
      <c r="AA1817" s="253">
        <f>_xlfn.XLOOKUP(FME_Ranking1[[#This Row],[FME ID]],FME_Input[FME_ID],FME_Input[ROAD_MILES100])</f>
        <v>5.394740030169487E-3</v>
      </c>
      <c r="AB1817" s="178">
        <f>(FME_Ranking1[[#This Row],[Miles Raw]]/$AA$2)*100</f>
        <v>7.0931155476238304E-5</v>
      </c>
      <c r="AC1817" s="178">
        <f>FME_Ranking1[[#This Row],[Miles Score (Normalized, Unweighted)]]*$AA$3</f>
        <v>7.0931155476238309E-6</v>
      </c>
      <c r="AD1817" s="255">
        <f>_xlfn.XLOOKUP(FME_Ranking1[[#This Row],[FME ID]],FME_Input[FME_ID],FME_Input[FARMACRE100])</f>
        <v>3.1278660297393799</v>
      </c>
      <c r="AE1817" s="230">
        <f>(FME_Ranking1[[#This Row],[Ag Land Raw]]/$AD$2)*100</f>
        <v>1.2897919316262981E-4</v>
      </c>
      <c r="AF1817" s="231">
        <f>FME_Ranking1[[#This Row],[Ag Land Score (Normalized, Unweighted)]]*$AD$3</f>
        <v>6.4489596581314913E-6</v>
      </c>
      <c r="AG181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3.7253433221265827E-3</v>
      </c>
      <c r="AH1817" s="406">
        <f t="shared" si="28"/>
        <v>1867</v>
      </c>
      <c r="AI181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3.7253433221265827E-3</v>
      </c>
      <c r="AJ1817" s="257">
        <f>FME_Ranking1[[#This Row],[Addition check]]-FME_Ranking1[[#This Row],[Weighted Score Based on Normalized Reported Factors]]</f>
        <v>0</v>
      </c>
      <c r="AK1817" s="178">
        <f>_xlfn.RANK.EQ(AI1817,$AI$6:$AI$2341,0)+COUNTIF($AI$6:AI1817,AI1817)-1</f>
        <v>1867</v>
      </c>
    </row>
    <row r="1818" spans="1:37" x14ac:dyDescent="0.25">
      <c r="A1818" t="s">
        <v>1663</v>
      </c>
      <c r="B1818">
        <f>_xlfn.XLOOKUP(FME_Ranking1[[#This Row],[FME ID]],FME_Input[FME_ID],FME_Input[RFPG_NUM])</f>
        <v>6</v>
      </c>
      <c r="C1818" t="str">
        <f>_xlfn.XLOOKUP(FME_Ranking1[[#This Row],[FME ID]],FME_Input[FME_ID],FME_Input[FME_NAME])</f>
        <v>City of Mont Belvieu  Master Drainage Plan</v>
      </c>
      <c r="D1818" t="str">
        <f>_xlfn.XLOOKUP(FME_Ranking1[[#This Row],[FME ID]],FME_Input[FME_ID],FME_Input[DESCR])</f>
        <v>Study to develop Master Drainage Plan using future and existing land use and flood/storm water drainage needs including Atlas 14 rainfall.</v>
      </c>
      <c r="E1818" s="256">
        <f>_xlfn.XLOOKUP(FME_Ranking1[[#This Row],[FME ID]],FME_Input[FME_ID],FME_Input[FME_COST])</f>
        <v>390000</v>
      </c>
      <c r="F1818" t="str">
        <f>_xlfn.XLOOKUP(FME_Ranking1[[#This Row],[FME ID]],FME_Input[FME_ID],FME_Input[EMER_NEED])</f>
        <v>No</v>
      </c>
      <c r="G1818">
        <f>IF(FME_Ranking!F1818="Yes",100,0)</f>
        <v>0</v>
      </c>
      <c r="H1818">
        <f>FME_Ranking1[[#This Row],[Emergency Need Score (Normalized, Unweighted)]]*$F$3</f>
        <v>0</v>
      </c>
      <c r="I1818" s="246">
        <f>_xlfn.XLOOKUP(FME_Ranking1[[#This Row],[FME ID]],FME_Input[FME_ID],FME_Input[STRUCT_100])</f>
        <v>30</v>
      </c>
      <c r="J1818" s="178">
        <f>(FME_Ranking1[[#This Row],[Structures 100 Raw]]/I$2)*100</f>
        <v>1.6064773165402904E-2</v>
      </c>
      <c r="K1818" s="178">
        <f>FME_Ranking1[[#This Row],[Structures 100  Score (Normalized, Unweighted)]]*$I$3</f>
        <v>2.4097159748104357E-3</v>
      </c>
      <c r="L1818" s="246">
        <f>_xlfn.XLOOKUP(FME_Ranking1[[#This Row],[FME ID]],FME_Input[FME_ID],FME_Input[RES_STRUCT100])</f>
        <v>11</v>
      </c>
      <c r="M1818" s="230">
        <f>(FME_Ranking1[[#This Row],[Res Structures Raw]]/L$2)*100</f>
        <v>7.7913615050077207E-3</v>
      </c>
      <c r="N1818" s="180">
        <f>FME_Ranking1[[#This Row],[Res Structures Score (Normalized, Unweighted)]]*$L$3</f>
        <v>7.7913615050077215E-4</v>
      </c>
      <c r="O1818" s="244">
        <f>_xlfn.XLOOKUP(FME_Ranking1[[#This Row],[FME ID]],FME_Input[FME_ID],FME_Input[POP100])</f>
        <v>30</v>
      </c>
      <c r="P1818" s="178">
        <f>(FME_Ranking1[[#This Row],[Pop Raw]]/$O$2)*100</f>
        <v>3.0712593596628982E-3</v>
      </c>
      <c r="Q1818" s="178">
        <f>FME_Ranking1[[#This Row],[Pop Score (Normalized, Unweighted)]]*$O$3</f>
        <v>4.6068890394943473E-4</v>
      </c>
      <c r="R1818" s="137">
        <f>_xlfn.XLOOKUP(FME_Ranking1[[#This Row],[FME ID]],FME_Input[FME_ID],FME_Input[CRITFAC100])</f>
        <v>0</v>
      </c>
      <c r="S1818" s="230">
        <f>(FME_Ranking1[[#This Row],[Critical Facilities Raw]]/$R$2)*100</f>
        <v>0</v>
      </c>
      <c r="T1818" s="180">
        <f>FME_Ranking1[[#This Row],[Critical Facilities Score (Normalized, Unweighted)]]*$R$3</f>
        <v>0</v>
      </c>
      <c r="U1818">
        <f>_xlfn.XLOOKUP(FME_Ranking1[[#This Row],[FME ID]],FME_Input[FME_ID],FME_Input[LWC])</f>
        <v>0</v>
      </c>
      <c r="V1818" s="178">
        <f>(FME_Ranking1[[#This Row],[LWC Raw]]/$U$2)*100</f>
        <v>0</v>
      </c>
      <c r="W1818" s="178">
        <f>FME_Ranking1[[#This Row],[LWC Score (Normalized, Unweighted)]]*$U$3</f>
        <v>0</v>
      </c>
      <c r="X1818" s="246">
        <f>_xlfn.XLOOKUP(FME_Ranking1[[#This Row],[FME ID]],FME_Input[FME_ID],FME_Input[ROADCLS])</f>
        <v>0</v>
      </c>
      <c r="Y1818" s="230">
        <f>(FME_Ranking1[[#This Row],[Closures Raw]]/$X$2)*100</f>
        <v>0</v>
      </c>
      <c r="Z1818" s="180">
        <f>FME_Ranking1[[#This Row],[Closures Score (Normalized, Unweighted)]]*$X$3</f>
        <v>0</v>
      </c>
      <c r="AA1818" s="253">
        <f>_xlfn.XLOOKUP(FME_Ranking1[[#This Row],[FME ID]],FME_Input[FME_ID],FME_Input[ROAD_MILES100])</f>
        <v>1.5434155464172361</v>
      </c>
      <c r="AB1818" s="178">
        <f>(FME_Ranking1[[#This Row],[Miles Raw]]/$AA$2)*100</f>
        <v>2.0293146189645925E-2</v>
      </c>
      <c r="AC1818" s="178">
        <f>FME_Ranking1[[#This Row],[Miles Score (Normalized, Unweighted)]]*$AA$3</f>
        <v>2.0293146189645926E-3</v>
      </c>
      <c r="AD1818" s="255">
        <f>_xlfn.XLOOKUP(FME_Ranking1[[#This Row],[FME ID]],FME_Input[FME_ID],FME_Input[FARMACRE100])</f>
        <v>5.0982732772827148</v>
      </c>
      <c r="AE1818" s="230">
        <f>(FME_Ranking1[[#This Row],[Ag Land Raw]]/$AD$2)*100</f>
        <v>2.1022996751600358E-4</v>
      </c>
      <c r="AF1818" s="231">
        <f>FME_Ranking1[[#This Row],[Ag Land Score (Normalized, Unweighted)]]*$AD$3</f>
        <v>1.0511498375800179E-5</v>
      </c>
      <c r="AG181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5.6893671466010359E-3</v>
      </c>
      <c r="AH1818" s="406">
        <f t="shared" si="28"/>
        <v>1819</v>
      </c>
      <c r="AI181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5.6893671466010359E-3</v>
      </c>
      <c r="AJ1818" s="257">
        <f>FME_Ranking1[[#This Row],[Addition check]]-FME_Ranking1[[#This Row],[Weighted Score Based on Normalized Reported Factors]]</f>
        <v>0</v>
      </c>
      <c r="AK1818" s="178">
        <f>_xlfn.RANK.EQ(AI1818,$AI$6:$AI$2341,0)+COUNTIF($AI$6:AI1818,AI1818)-1</f>
        <v>1819</v>
      </c>
    </row>
    <row r="1819" spans="1:37" x14ac:dyDescent="0.25">
      <c r="A1819" t="s">
        <v>1669</v>
      </c>
      <c r="B1819">
        <f>_xlfn.XLOOKUP(FME_Ranking1[[#This Row],[FME ID]],FME_Input[FME_ID],FME_Input[RFPG_NUM])</f>
        <v>6</v>
      </c>
      <c r="C1819" t="str">
        <f>_xlfn.XLOOKUP(FME_Ranking1[[#This Row],[FME ID]],FME_Input[FME_ID],FME_Input[FME_NAME])</f>
        <v>City of Montgomery  Master Drainage Plan</v>
      </c>
      <c r="D1819" t="str">
        <f>_xlfn.XLOOKUP(FME_Ranking1[[#This Row],[FME ID]],FME_Input[FME_ID],FME_Input[DESCR])</f>
        <v>Study to develop Master Drainage Plan using future and existing land use and flood/storm water drainage needs including Atlas 14 rainfall.</v>
      </c>
      <c r="E1819" s="256">
        <f>_xlfn.XLOOKUP(FME_Ranking1[[#This Row],[FME ID]],FME_Input[FME_ID],FME_Input[FME_COST])</f>
        <v>250000</v>
      </c>
      <c r="F1819" t="str">
        <f>_xlfn.XLOOKUP(FME_Ranking1[[#This Row],[FME ID]],FME_Input[FME_ID],FME_Input[EMER_NEED])</f>
        <v>No</v>
      </c>
      <c r="G1819">
        <f>IF(FME_Ranking!F1819="Yes",100,0)</f>
        <v>0</v>
      </c>
      <c r="H1819">
        <f>FME_Ranking1[[#This Row],[Emergency Need Score (Normalized, Unweighted)]]*$F$3</f>
        <v>0</v>
      </c>
      <c r="I1819" s="246">
        <f>_xlfn.XLOOKUP(FME_Ranking1[[#This Row],[FME ID]],FME_Input[FME_ID],FME_Input[STRUCT_100])</f>
        <v>27</v>
      </c>
      <c r="J1819" s="178">
        <f>(FME_Ranking1[[#This Row],[Structures 100 Raw]]/I$2)*100</f>
        <v>1.4458295848862615E-2</v>
      </c>
      <c r="K1819" s="178">
        <f>FME_Ranking1[[#This Row],[Structures 100  Score (Normalized, Unweighted)]]*$I$3</f>
        <v>2.1687443773293924E-3</v>
      </c>
      <c r="L1819" s="246">
        <f>_xlfn.XLOOKUP(FME_Ranking1[[#This Row],[FME ID]],FME_Input[FME_ID],FME_Input[RES_STRUCT100])</f>
        <v>18</v>
      </c>
      <c r="M1819" s="230">
        <f>(FME_Ranking1[[#This Row],[Res Structures Raw]]/L$2)*100</f>
        <v>1.2749500644558088E-2</v>
      </c>
      <c r="N1819" s="180">
        <f>FME_Ranking1[[#This Row],[Res Structures Score (Normalized, Unweighted)]]*$L$3</f>
        <v>1.2749500644558089E-3</v>
      </c>
      <c r="O1819" s="244">
        <f>_xlfn.XLOOKUP(FME_Ranking1[[#This Row],[FME ID]],FME_Input[FME_ID],FME_Input[POP100])</f>
        <v>11</v>
      </c>
      <c r="P1819" s="178">
        <f>(FME_Ranking1[[#This Row],[Pop Raw]]/$O$2)*100</f>
        <v>1.1261284318763961E-3</v>
      </c>
      <c r="Q1819" s="178">
        <f>FME_Ranking1[[#This Row],[Pop Score (Normalized, Unweighted)]]*$O$3</f>
        <v>1.6891926478145941E-4</v>
      </c>
      <c r="R1819" s="137">
        <f>_xlfn.XLOOKUP(FME_Ranking1[[#This Row],[FME ID]],FME_Input[FME_ID],FME_Input[CRITFAC100])</f>
        <v>0</v>
      </c>
      <c r="S1819" s="230">
        <f>(FME_Ranking1[[#This Row],[Critical Facilities Raw]]/$R$2)*100</f>
        <v>0</v>
      </c>
      <c r="T1819" s="180">
        <f>FME_Ranking1[[#This Row],[Critical Facilities Score (Normalized, Unweighted)]]*$R$3</f>
        <v>0</v>
      </c>
      <c r="U1819">
        <f>_xlfn.XLOOKUP(FME_Ranking1[[#This Row],[FME ID]],FME_Input[FME_ID],FME_Input[LWC])</f>
        <v>0</v>
      </c>
      <c r="V1819" s="178">
        <f>(FME_Ranking1[[#This Row],[LWC Raw]]/$U$2)*100</f>
        <v>0</v>
      </c>
      <c r="W1819" s="178">
        <f>FME_Ranking1[[#This Row],[LWC Score (Normalized, Unweighted)]]*$U$3</f>
        <v>0</v>
      </c>
      <c r="X1819" s="246">
        <f>_xlfn.XLOOKUP(FME_Ranking1[[#This Row],[FME ID]],FME_Input[FME_ID],FME_Input[ROADCLS])</f>
        <v>0</v>
      </c>
      <c r="Y1819" s="230">
        <f>(FME_Ranking1[[#This Row],[Closures Raw]]/$X$2)*100</f>
        <v>0</v>
      </c>
      <c r="Z1819" s="180">
        <f>FME_Ranking1[[#This Row],[Closures Score (Normalized, Unweighted)]]*$X$3</f>
        <v>0</v>
      </c>
      <c r="AA1819" s="253">
        <f>_xlfn.XLOOKUP(FME_Ranking1[[#This Row],[FME ID]],FME_Input[FME_ID],FME_Input[ROAD_MILES100])</f>
        <v>0.86196702718734741</v>
      </c>
      <c r="AB1819" s="178">
        <f>(FME_Ranking1[[#This Row],[Miles Raw]]/$AA$2)*100</f>
        <v>1.133332039707126E-2</v>
      </c>
      <c r="AC1819" s="178">
        <f>FME_Ranking1[[#This Row],[Miles Score (Normalized, Unweighted)]]*$AA$3</f>
        <v>1.1333320397071262E-3</v>
      </c>
      <c r="AD1819" s="255">
        <f>_xlfn.XLOOKUP(FME_Ranking1[[#This Row],[FME ID]],FME_Input[FME_ID],FME_Input[FARMACRE100])</f>
        <v>2.7234022617340088</v>
      </c>
      <c r="AE1819" s="230">
        <f>(FME_Ranking1[[#This Row],[Ag Land Raw]]/$AD$2)*100</f>
        <v>1.1230091795363802E-4</v>
      </c>
      <c r="AF1819" s="231">
        <f>FME_Ranking1[[#This Row],[Ag Land Score (Normalized, Unweighted)]]*$AD$3</f>
        <v>5.6150458976819017E-6</v>
      </c>
      <c r="AG181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4.7515607921714683E-3</v>
      </c>
      <c r="AH1819" s="406">
        <f t="shared" si="28"/>
        <v>1840</v>
      </c>
      <c r="AI181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4.7515607921714683E-3</v>
      </c>
      <c r="AJ1819" s="257">
        <f>FME_Ranking1[[#This Row],[Addition check]]-FME_Ranking1[[#This Row],[Weighted Score Based on Normalized Reported Factors]]</f>
        <v>0</v>
      </c>
      <c r="AK1819" s="178">
        <f>_xlfn.RANK.EQ(AI1819,$AI$6:$AI$2341,0)+COUNTIF($AI$6:AI1819,AI1819)-1</f>
        <v>1840</v>
      </c>
    </row>
    <row r="1820" spans="1:37" x14ac:dyDescent="0.25">
      <c r="A1820" t="s">
        <v>8915</v>
      </c>
      <c r="B1820">
        <f>_xlfn.XLOOKUP(FME_Ranking1[[#This Row],[FME ID]],FME_Input[FME_ID],FME_Input[RFPG_NUM])</f>
        <v>11</v>
      </c>
      <c r="C1820" t="str">
        <f>_xlfn.XLOOKUP(FME_Ranking1[[#This Row],[FME ID]],FME_Input[FME_ID],FME_Input[FME_NAME])</f>
        <v>City of Wimberley River Road Reconstruction Project Planning</v>
      </c>
      <c r="D1820" t="str">
        <f>_xlfn.XLOOKUP(FME_Ranking1[[#This Row],[FME ID]],FME_Input[FME_ID],FME_Input[DESCR])</f>
        <v>Project planning for proposed project to reconstruct roadway along Blanco River</v>
      </c>
      <c r="E1820" s="256">
        <f>_xlfn.XLOOKUP(FME_Ranking1[[#This Row],[FME ID]],FME_Input[FME_ID],FME_Input[FME_COST])</f>
        <v>100000</v>
      </c>
      <c r="F1820" t="str">
        <f>_xlfn.XLOOKUP(FME_Ranking1[[#This Row],[FME ID]],FME_Input[FME_ID],FME_Input[EMER_NEED])</f>
        <v>No</v>
      </c>
      <c r="G1820">
        <f>IF(FME_Ranking!F1820="Yes",100,0)</f>
        <v>0</v>
      </c>
      <c r="H1820">
        <f>FME_Ranking1[[#This Row],[Emergency Need Score (Normalized, Unweighted)]]*$F$3</f>
        <v>0</v>
      </c>
      <c r="I1820" s="246">
        <f>_xlfn.XLOOKUP(FME_Ranking1[[#This Row],[FME ID]],FME_Input[FME_ID],FME_Input[STRUCT_100])</f>
        <v>23</v>
      </c>
      <c r="J1820" s="178">
        <f>(FME_Ranking1[[#This Row],[Structures 100 Raw]]/I$2)*100</f>
        <v>1.231632609347556E-2</v>
      </c>
      <c r="K1820" s="178">
        <f>FME_Ranking1[[#This Row],[Structures 100  Score (Normalized, Unweighted)]]*$I$3</f>
        <v>1.8474489140213339E-3</v>
      </c>
      <c r="L1820" s="246">
        <f>_xlfn.XLOOKUP(FME_Ranking1[[#This Row],[FME ID]],FME_Input[FME_ID],FME_Input[RES_STRUCT100])</f>
        <v>16</v>
      </c>
      <c r="M1820" s="230">
        <f>(FME_Ranking1[[#This Row],[Res Structures Raw]]/L$2)*100</f>
        <v>1.1332889461829412E-2</v>
      </c>
      <c r="N1820" s="180">
        <f>FME_Ranking1[[#This Row],[Res Structures Score (Normalized, Unweighted)]]*$L$3</f>
        <v>1.1332889461829413E-3</v>
      </c>
      <c r="O1820" s="244">
        <f>_xlfn.XLOOKUP(FME_Ranking1[[#This Row],[FME ID]],FME_Input[FME_ID],FME_Input[POP100])</f>
        <v>41</v>
      </c>
      <c r="P1820" s="178">
        <f>(FME_Ranking1[[#This Row],[Pop Raw]]/$O$2)*100</f>
        <v>4.1973877915392954E-3</v>
      </c>
      <c r="Q1820" s="178">
        <f>FME_Ranking1[[#This Row],[Pop Score (Normalized, Unweighted)]]*$O$3</f>
        <v>6.2960816873089431E-4</v>
      </c>
      <c r="R1820" s="137">
        <f>_xlfn.XLOOKUP(FME_Ranking1[[#This Row],[FME ID]],FME_Input[FME_ID],FME_Input[CRITFAC100])</f>
        <v>0</v>
      </c>
      <c r="S1820" s="230">
        <f>(FME_Ranking1[[#This Row],[Critical Facilities Raw]]/$R$2)*100</f>
        <v>0</v>
      </c>
      <c r="T1820" s="180">
        <f>FME_Ranking1[[#This Row],[Critical Facilities Score (Normalized, Unweighted)]]*$R$3</f>
        <v>0</v>
      </c>
      <c r="U1820">
        <f>_xlfn.XLOOKUP(FME_Ranking1[[#This Row],[FME ID]],FME_Input[FME_ID],FME_Input[LWC])</f>
        <v>0</v>
      </c>
      <c r="V1820" s="178">
        <f>(FME_Ranking1[[#This Row],[LWC Raw]]/$U$2)*100</f>
        <v>0</v>
      </c>
      <c r="W1820" s="178">
        <f>FME_Ranking1[[#This Row],[LWC Score (Normalized, Unweighted)]]*$U$3</f>
        <v>0</v>
      </c>
      <c r="X1820" s="246">
        <f>_xlfn.XLOOKUP(FME_Ranking1[[#This Row],[FME ID]],FME_Input[FME_ID],FME_Input[ROADCLS])</f>
        <v>0</v>
      </c>
      <c r="Y1820" s="230">
        <f>(FME_Ranking1[[#This Row],[Closures Raw]]/$X$2)*100</f>
        <v>0</v>
      </c>
      <c r="Z1820" s="180">
        <f>FME_Ranking1[[#This Row],[Closures Score (Normalized, Unweighted)]]*$X$3</f>
        <v>0</v>
      </c>
      <c r="AA1820" s="253">
        <f>_xlfn.XLOOKUP(FME_Ranking1[[#This Row],[FME ID]],FME_Input[FME_ID],FME_Input[ROAD_MILES100])</f>
        <v>1.50711989402771</v>
      </c>
      <c r="AB1820" s="178">
        <f>(FME_Ranking1[[#This Row],[Miles Raw]]/$AA$2)*100</f>
        <v>1.9815923460032372E-2</v>
      </c>
      <c r="AC1820" s="178">
        <f>FME_Ranking1[[#This Row],[Miles Score (Normalized, Unweighted)]]*$AA$3</f>
        <v>1.9815923460032372E-3</v>
      </c>
      <c r="AD1820" s="255">
        <f>_xlfn.XLOOKUP(FME_Ranking1[[#This Row],[FME ID]],FME_Input[FME_ID],FME_Input[FARMACRE100])</f>
        <v>3.7756583690643311</v>
      </c>
      <c r="AE1820" s="230">
        <f>(FME_Ranking1[[#This Row],[Ag Land Raw]]/$AD$2)*100</f>
        <v>1.5569124939159381E-4</v>
      </c>
      <c r="AF1820" s="231">
        <f>FME_Ranking1[[#This Row],[Ag Land Score (Normalized, Unweighted)]]*$AD$3</f>
        <v>7.7845624695796917E-6</v>
      </c>
      <c r="AG182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5.5997229374079869E-3</v>
      </c>
      <c r="AH1820" s="406">
        <f t="shared" si="28"/>
        <v>1825</v>
      </c>
      <c r="AI182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5.5997229374079869E-3</v>
      </c>
      <c r="AJ1820" s="257">
        <f>FME_Ranking1[[#This Row],[Addition check]]-FME_Ranking1[[#This Row],[Weighted Score Based on Normalized Reported Factors]]</f>
        <v>0</v>
      </c>
      <c r="AK1820" s="178">
        <f>_xlfn.RANK.EQ(AI1820,$AI$6:$AI$2341,0)+COUNTIF($AI$6:AI1820,AI1820)-1</f>
        <v>1825</v>
      </c>
    </row>
    <row r="1821" spans="1:37" x14ac:dyDescent="0.25">
      <c r="A1821" t="s">
        <v>9512</v>
      </c>
      <c r="B1821">
        <f>_xlfn.XLOOKUP(FME_Ranking1[[#This Row],[FME ID]],FME_Input[FME_ID],FME_Input[RFPG_NUM])</f>
        <v>12</v>
      </c>
      <c r="C1821" t="str">
        <f>_xlfn.XLOOKUP(FME_Ranking1[[#This Row],[FME ID]],FME_Input[FME_ID],FME_Input[FME_NAME])</f>
        <v>Damage Center 38-Olmos Creek Lower Reach Near Montview</v>
      </c>
      <c r="D1821" t="str">
        <f>_xlfn.XLOOKUP(FME_Ranking1[[#This Row],[FME ID]],FME_Input[FME_ID],FME_Input[DESCR])</f>
        <v>Flooding  occurs  on  the  left  overbank  and  begins just upstream of Montview. A total of 10 lots are impacted by the 100-year storm event and the depth of flooding  ranges between  0.10  and  0.15  feet.Flood depths are less than 0.5 feet; therefore</v>
      </c>
      <c r="E1821" s="256">
        <f>_xlfn.XLOOKUP(FME_Ranking1[[#This Row],[FME ID]],FME_Input[FME_ID],FME_Input[FME_COST])</f>
        <v>623497</v>
      </c>
      <c r="F1821" t="str">
        <f>_xlfn.XLOOKUP(FME_Ranking1[[#This Row],[FME ID]],FME_Input[FME_ID],FME_Input[EMER_NEED])</f>
        <v>No</v>
      </c>
      <c r="G1821">
        <f>IF(FME_Ranking!F1821="Yes",100,0)</f>
        <v>0</v>
      </c>
      <c r="H1821">
        <f>FME_Ranking1[[#This Row],[Emergency Need Score (Normalized, Unweighted)]]*$F$3</f>
        <v>0</v>
      </c>
      <c r="I1821" s="246">
        <f>_xlfn.XLOOKUP(FME_Ranking1[[#This Row],[FME ID]],FME_Input[FME_ID],FME_Input[STRUCT_100])</f>
        <v>8</v>
      </c>
      <c r="J1821" s="178">
        <f>(FME_Ranking1[[#This Row],[Structures 100 Raw]]/I$2)*100</f>
        <v>4.2839395107741084E-3</v>
      </c>
      <c r="K1821" s="178">
        <f>FME_Ranking1[[#This Row],[Structures 100  Score (Normalized, Unweighted)]]*$I$3</f>
        <v>6.4259092661611626E-4</v>
      </c>
      <c r="L1821" s="246">
        <f>_xlfn.XLOOKUP(FME_Ranking1[[#This Row],[FME ID]],FME_Input[FME_ID],FME_Input[RES_STRUCT100])</f>
        <v>8</v>
      </c>
      <c r="M1821" s="230">
        <f>(FME_Ranking1[[#This Row],[Res Structures Raw]]/L$2)*100</f>
        <v>5.666444730914706E-3</v>
      </c>
      <c r="N1821" s="180">
        <f>FME_Ranking1[[#This Row],[Res Structures Score (Normalized, Unweighted)]]*$L$3</f>
        <v>5.6664447309147067E-4</v>
      </c>
      <c r="O1821" s="244">
        <f>_xlfn.XLOOKUP(FME_Ranking1[[#This Row],[FME ID]],FME_Input[FME_ID],FME_Input[POP100])</f>
        <v>51</v>
      </c>
      <c r="P1821" s="178">
        <f>(FME_Ranking1[[#This Row],[Pop Raw]]/$O$2)*100</f>
        <v>5.2211409114269278E-3</v>
      </c>
      <c r="Q1821" s="178">
        <f>FME_Ranking1[[#This Row],[Pop Score (Normalized, Unweighted)]]*$O$3</f>
        <v>7.8317113671403911E-4</v>
      </c>
      <c r="R1821" s="137">
        <f>_xlfn.XLOOKUP(FME_Ranking1[[#This Row],[FME ID]],FME_Input[FME_ID],FME_Input[CRITFAC100])</f>
        <v>0</v>
      </c>
      <c r="S1821" s="230">
        <f>(FME_Ranking1[[#This Row],[Critical Facilities Raw]]/$R$2)*100</f>
        <v>0</v>
      </c>
      <c r="T1821" s="180">
        <f>FME_Ranking1[[#This Row],[Critical Facilities Score (Normalized, Unweighted)]]*$R$3</f>
        <v>0</v>
      </c>
      <c r="U1821">
        <f>_xlfn.XLOOKUP(FME_Ranking1[[#This Row],[FME ID]],FME_Input[FME_ID],FME_Input[LWC])</f>
        <v>0</v>
      </c>
      <c r="V1821" s="178">
        <f>(FME_Ranking1[[#This Row],[LWC Raw]]/$U$2)*100</f>
        <v>0</v>
      </c>
      <c r="W1821" s="178">
        <f>FME_Ranking1[[#This Row],[LWC Score (Normalized, Unweighted)]]*$U$3</f>
        <v>0</v>
      </c>
      <c r="X1821" s="246">
        <f>_xlfn.XLOOKUP(FME_Ranking1[[#This Row],[FME ID]],FME_Input[FME_ID],FME_Input[ROADCLS])</f>
        <v>3</v>
      </c>
      <c r="Y1821" s="230">
        <f>(FME_Ranking1[[#This Row],[Closures Raw]]/$X$2)*100</f>
        <v>3.1542424561034593E-2</v>
      </c>
      <c r="Z1821" s="180">
        <f>FME_Ranking1[[#This Row],[Closures Score (Normalized, Unweighted)]]*$X$3</f>
        <v>1.5771212280517297E-3</v>
      </c>
      <c r="AA1821" s="253">
        <f>_xlfn.XLOOKUP(FME_Ranking1[[#This Row],[FME ID]],FME_Input[FME_ID],FME_Input[ROAD_MILES100])</f>
        <v>0.38899999856948853</v>
      </c>
      <c r="AB1821" s="178">
        <f>(FME_Ranking1[[#This Row],[Miles Raw]]/$AA$2)*100</f>
        <v>5.1146522769368744E-3</v>
      </c>
      <c r="AC1821" s="178">
        <f>FME_Ranking1[[#This Row],[Miles Score (Normalized, Unweighted)]]*$AA$3</f>
        <v>5.1146522769368748E-4</v>
      </c>
      <c r="AD1821" s="255">
        <f>_xlfn.XLOOKUP(FME_Ranking1[[#This Row],[FME ID]],FME_Input[FME_ID],FME_Input[FARMACRE100])</f>
        <v>0</v>
      </c>
      <c r="AE1821" s="230">
        <f>(FME_Ranking1[[#This Row],[Ag Land Raw]]/$AD$2)*100</f>
        <v>0</v>
      </c>
      <c r="AF1821" s="231">
        <f>FME_Ranking1[[#This Row],[Ag Land Score (Normalized, Unweighted)]]*$AD$3</f>
        <v>0</v>
      </c>
      <c r="AG182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4.0809929921670433E-3</v>
      </c>
      <c r="AH1821" s="406">
        <f t="shared" si="28"/>
        <v>1857</v>
      </c>
      <c r="AI182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4.0809929921670433E-3</v>
      </c>
      <c r="AJ1821" s="257">
        <f>FME_Ranking1[[#This Row],[Addition check]]-FME_Ranking1[[#This Row],[Weighted Score Based on Normalized Reported Factors]]</f>
        <v>0</v>
      </c>
      <c r="AK1821" s="178">
        <f>_xlfn.RANK.EQ(AI1821,$AI$6:$AI$2341,0)+COUNTIF($AI$6:AI1821,AI1821)-1</f>
        <v>1857</v>
      </c>
    </row>
    <row r="1822" spans="1:37" x14ac:dyDescent="0.25">
      <c r="A1822" t="s">
        <v>11263</v>
      </c>
      <c r="B1822">
        <f>_xlfn.XLOOKUP(FME_Ranking1[[#This Row],[FME ID]],FME_Input[FME_ID],FME_Input[RFPG_NUM])</f>
        <v>15</v>
      </c>
      <c r="C1822" t="str">
        <f>_xlfn.XLOOKUP(FME_Ranking1[[#This Row],[FME ID]],FME_Input[FME_ID],FME_Input[FME_NAME])</f>
        <v>Precinct 4 MDP - Risk Area J at SH107 &amp; FM 907</v>
      </c>
      <c r="D1822" t="str">
        <f>_xlfn.XLOOKUP(FME_Ranking1[[#This Row],[FME ID]],FME_Input[FME_ID],FME_Input[DESCR])</f>
        <v>Channel Improvements (Widening &amp; Regrading) to Existing HCDD1 “Y” drain with approximately 0.75 miles of proposed channel improvements beginning at Fresno Dr. and ending at E Curry Rd. Proposed Drainage Grate Inlets approximately 3,800’ of storm dr</v>
      </c>
      <c r="E1822" s="256">
        <f>_xlfn.XLOOKUP(FME_Ranking1[[#This Row],[FME ID]],FME_Input[FME_ID],FME_Input[FME_COST])</f>
        <v>541200</v>
      </c>
      <c r="F1822" t="str">
        <f>_xlfn.XLOOKUP(FME_Ranking1[[#This Row],[FME ID]],FME_Input[FME_ID],FME_Input[EMER_NEED])</f>
        <v>Yes</v>
      </c>
      <c r="G1822">
        <f>IF(FME_Ranking!F1822="Yes",100,0)</f>
        <v>100</v>
      </c>
      <c r="H1822">
        <f>FME_Ranking1[[#This Row],[Emergency Need Score (Normalized, Unweighted)]]*$F$3</f>
        <v>0</v>
      </c>
      <c r="I1822" s="246">
        <f>_xlfn.XLOOKUP(FME_Ranking1[[#This Row],[FME ID]],FME_Input[FME_ID],FME_Input[STRUCT_100])</f>
        <v>0</v>
      </c>
      <c r="J1822" s="178">
        <f>(FME_Ranking1[[#This Row],[Structures 100 Raw]]/I$2)*100</f>
        <v>0</v>
      </c>
      <c r="K1822" s="178">
        <f>FME_Ranking1[[#This Row],[Structures 100  Score (Normalized, Unweighted)]]*$I$3</f>
        <v>0</v>
      </c>
      <c r="L1822" s="246">
        <f>_xlfn.XLOOKUP(FME_Ranking1[[#This Row],[FME ID]],FME_Input[FME_ID],FME_Input[RES_STRUCT100])</f>
        <v>19</v>
      </c>
      <c r="M1822" s="230">
        <f>(FME_Ranking1[[#This Row],[Res Structures Raw]]/L$2)*100</f>
        <v>1.3457806235922425E-2</v>
      </c>
      <c r="N1822" s="180">
        <f>FME_Ranking1[[#This Row],[Res Structures Score (Normalized, Unweighted)]]*$L$3</f>
        <v>1.3457806235922425E-3</v>
      </c>
      <c r="O1822" s="244">
        <f>_xlfn.XLOOKUP(FME_Ranking1[[#This Row],[FME ID]],FME_Input[FME_ID],FME_Input[POP100])</f>
        <v>144</v>
      </c>
      <c r="P1822" s="178">
        <f>(FME_Ranking1[[#This Row],[Pop Raw]]/$O$2)*100</f>
        <v>1.4742044926381911E-2</v>
      </c>
      <c r="Q1822" s="178">
        <f>FME_Ranking1[[#This Row],[Pop Score (Normalized, Unweighted)]]*$O$3</f>
        <v>2.2113067389572865E-3</v>
      </c>
      <c r="R1822" s="137">
        <f>_xlfn.XLOOKUP(FME_Ranking1[[#This Row],[FME ID]],FME_Input[FME_ID],FME_Input[CRITFAC100])</f>
        <v>0</v>
      </c>
      <c r="S1822" s="230">
        <f>(FME_Ranking1[[#This Row],[Critical Facilities Raw]]/$R$2)*100</f>
        <v>0</v>
      </c>
      <c r="T1822" s="180">
        <f>FME_Ranking1[[#This Row],[Critical Facilities Score (Normalized, Unweighted)]]*$R$3</f>
        <v>0</v>
      </c>
      <c r="U1822">
        <f>_xlfn.XLOOKUP(FME_Ranking1[[#This Row],[FME ID]],FME_Input[FME_ID],FME_Input[LWC])</f>
        <v>0</v>
      </c>
      <c r="V1822" s="178">
        <f>(FME_Ranking1[[#This Row],[LWC Raw]]/$U$2)*100</f>
        <v>0</v>
      </c>
      <c r="W1822" s="178">
        <f>FME_Ranking1[[#This Row],[LWC Score (Normalized, Unweighted)]]*$U$3</f>
        <v>0</v>
      </c>
      <c r="X1822" s="246">
        <f>_xlfn.XLOOKUP(FME_Ranking1[[#This Row],[FME ID]],FME_Input[FME_ID],FME_Input[ROADCLS])</f>
        <v>0</v>
      </c>
      <c r="Y1822" s="230">
        <f>(FME_Ranking1[[#This Row],[Closures Raw]]/$X$2)*100</f>
        <v>0</v>
      </c>
      <c r="Z1822" s="180">
        <f>FME_Ranking1[[#This Row],[Closures Score (Normalized, Unweighted)]]*$X$3</f>
        <v>0</v>
      </c>
      <c r="AA1822" s="253">
        <f>_xlfn.XLOOKUP(FME_Ranking1[[#This Row],[FME ID]],FME_Input[FME_ID],FME_Input[ROAD_MILES100])</f>
        <v>3.7775299549102779</v>
      </c>
      <c r="AB1822" s="178">
        <f>(FME_Ranking1[[#This Row],[Miles Raw]]/$AA$2)*100</f>
        <v>4.9667743589021533E-2</v>
      </c>
      <c r="AC1822" s="178">
        <f>FME_Ranking1[[#This Row],[Miles Score (Normalized, Unweighted)]]*$AA$3</f>
        <v>4.9667743589021538E-3</v>
      </c>
      <c r="AD1822" s="255">
        <f>_xlfn.XLOOKUP(FME_Ranking1[[#This Row],[FME ID]],FME_Input[FME_ID],FME_Input[FARMACRE100])</f>
        <v>0</v>
      </c>
      <c r="AE1822" s="230">
        <f>(FME_Ranking1[[#This Row],[Ag Land Raw]]/$AD$2)*100</f>
        <v>0</v>
      </c>
      <c r="AF1822" s="231">
        <f>FME_Ranking1[[#This Row],[Ag Land Score (Normalized, Unweighted)]]*$AD$3</f>
        <v>0</v>
      </c>
      <c r="AG182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8.5238617214516837E-3</v>
      </c>
      <c r="AH1822" s="406">
        <f t="shared" si="28"/>
        <v>1776</v>
      </c>
      <c r="AI182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8.5238617214516837E-3</v>
      </c>
      <c r="AJ1822" s="257">
        <f>FME_Ranking1[[#This Row],[Addition check]]-FME_Ranking1[[#This Row],[Weighted Score Based on Normalized Reported Factors]]</f>
        <v>0</v>
      </c>
      <c r="AK1822" s="178">
        <f>_xlfn.RANK.EQ(AI1822,$AI$6:$AI$2341,0)+COUNTIF($AI$6:AI1822,AI1822)-1</f>
        <v>1776</v>
      </c>
    </row>
    <row r="1823" spans="1:37" x14ac:dyDescent="0.25">
      <c r="A1823" t="s">
        <v>5595</v>
      </c>
      <c r="B1823">
        <f>_xlfn.XLOOKUP(FME_Ranking1[[#This Row],[FME ID]],FME_Input[FME_ID],FME_Input[RFPG_NUM])</f>
        <v>4</v>
      </c>
      <c r="C1823" t="str">
        <f>_xlfn.XLOOKUP(FME_Ranking1[[#This Row],[FME ID]],FME_Input[FME_ID],FME_Input[FME_NAME])</f>
        <v>City of Edgewood Stormwater Drain and Culvert Improvement Study</v>
      </c>
      <c r="D1823" t="str">
        <f>_xlfn.XLOOKUP(FME_Ranking1[[#This Row],[FME ID]],FME_Input[FME_ID],FME_Input[DESCR])</f>
        <v>Feasibility study to install and upgrade undersized stormwater drains and culverts</v>
      </c>
      <c r="E1823" s="256">
        <f>_xlfn.XLOOKUP(FME_Ranking1[[#This Row],[FME ID]],FME_Input[FME_ID],FME_Input[FME_COST])</f>
        <v>100000</v>
      </c>
      <c r="F1823" t="str">
        <f>_xlfn.XLOOKUP(FME_Ranking1[[#This Row],[FME ID]],FME_Input[FME_ID],FME_Input[EMER_NEED])</f>
        <v>No</v>
      </c>
      <c r="G1823">
        <f>IF(FME_Ranking!F1823="Yes",100,0)</f>
        <v>0</v>
      </c>
      <c r="H1823">
        <f>FME_Ranking1[[#This Row],[Emergency Need Score (Normalized, Unweighted)]]*$F$3</f>
        <v>0</v>
      </c>
      <c r="I1823" s="246">
        <f>_xlfn.XLOOKUP(FME_Ranking1[[#This Row],[FME ID]],FME_Input[FME_ID],FME_Input[STRUCT_100])</f>
        <v>27</v>
      </c>
      <c r="J1823" s="178">
        <f>(FME_Ranking1[[#This Row],[Structures 100 Raw]]/I$2)*100</f>
        <v>1.4458295848862615E-2</v>
      </c>
      <c r="K1823" s="178">
        <f>FME_Ranking1[[#This Row],[Structures 100  Score (Normalized, Unweighted)]]*$I$3</f>
        <v>2.1687443773293924E-3</v>
      </c>
      <c r="L1823" s="246">
        <f>_xlfn.XLOOKUP(FME_Ranking1[[#This Row],[FME ID]],FME_Input[FME_ID],FME_Input[RES_STRUCT100])</f>
        <v>11</v>
      </c>
      <c r="M1823" s="230">
        <f>(FME_Ranking1[[#This Row],[Res Structures Raw]]/L$2)*100</f>
        <v>7.7913615050077207E-3</v>
      </c>
      <c r="N1823" s="180">
        <f>FME_Ranking1[[#This Row],[Res Structures Score (Normalized, Unweighted)]]*$L$3</f>
        <v>7.7913615050077215E-4</v>
      </c>
      <c r="O1823" s="244">
        <f>_xlfn.XLOOKUP(FME_Ranking1[[#This Row],[FME ID]],FME_Input[FME_ID],FME_Input[POP100])</f>
        <v>32</v>
      </c>
      <c r="P1823" s="178">
        <f>(FME_Ranking1[[#This Row],[Pop Raw]]/$O$2)*100</f>
        <v>3.2760099836404251E-3</v>
      </c>
      <c r="Q1823" s="178">
        <f>FME_Ranking1[[#This Row],[Pop Score (Normalized, Unweighted)]]*$O$3</f>
        <v>4.9140149754606374E-4</v>
      </c>
      <c r="R1823" s="137">
        <f>_xlfn.XLOOKUP(FME_Ranking1[[#This Row],[FME ID]],FME_Input[FME_ID],FME_Input[CRITFAC100])</f>
        <v>0</v>
      </c>
      <c r="S1823" s="230">
        <f>(FME_Ranking1[[#This Row],[Critical Facilities Raw]]/$R$2)*100</f>
        <v>0</v>
      </c>
      <c r="T1823" s="180">
        <f>FME_Ranking1[[#This Row],[Critical Facilities Score (Normalized, Unweighted)]]*$R$3</f>
        <v>0</v>
      </c>
      <c r="U1823">
        <f>_xlfn.XLOOKUP(FME_Ranking1[[#This Row],[FME ID]],FME_Input[FME_ID],FME_Input[LWC])</f>
        <v>0</v>
      </c>
      <c r="V1823" s="178">
        <f>(FME_Ranking1[[#This Row],[LWC Raw]]/$U$2)*100</f>
        <v>0</v>
      </c>
      <c r="W1823" s="178">
        <f>FME_Ranking1[[#This Row],[LWC Score (Normalized, Unweighted)]]*$U$3</f>
        <v>0</v>
      </c>
      <c r="X1823" s="246">
        <f>_xlfn.XLOOKUP(FME_Ranking1[[#This Row],[FME ID]],FME_Input[FME_ID],FME_Input[ROADCLS])</f>
        <v>0</v>
      </c>
      <c r="Y1823" s="230">
        <f>(FME_Ranking1[[#This Row],[Closures Raw]]/$X$2)*100</f>
        <v>0</v>
      </c>
      <c r="Z1823" s="180">
        <f>FME_Ranking1[[#This Row],[Closures Score (Normalized, Unweighted)]]*$X$3</f>
        <v>0</v>
      </c>
      <c r="AA1823" s="253">
        <f>_xlfn.XLOOKUP(FME_Ranking1[[#This Row],[FME ID]],FME_Input[FME_ID],FME_Input[ROAD_MILES100])</f>
        <v>0.89066332578659058</v>
      </c>
      <c r="AB1823" s="178">
        <f>(FME_Ranking1[[#This Row],[Miles Raw]]/$AA$2)*100</f>
        <v>1.1710625254423492E-2</v>
      </c>
      <c r="AC1823" s="178">
        <f>FME_Ranking1[[#This Row],[Miles Score (Normalized, Unweighted)]]*$AA$3</f>
        <v>1.1710625254423492E-3</v>
      </c>
      <c r="AD1823" s="255">
        <f>_xlfn.XLOOKUP(FME_Ranking1[[#This Row],[FME ID]],FME_Input[FME_ID],FME_Input[FARMACRE100])</f>
        <v>28.89719200134277</v>
      </c>
      <c r="AE1823" s="230">
        <f>(FME_Ranking1[[#This Row],[Ag Land Raw]]/$AD$2)*100</f>
        <v>1.1915908397487672E-3</v>
      </c>
      <c r="AF1823" s="231">
        <f>FME_Ranking1[[#This Row],[Ag Land Score (Normalized, Unweighted)]]*$AD$3</f>
        <v>5.9579541987438362E-5</v>
      </c>
      <c r="AG182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4.6699240928060153E-3</v>
      </c>
      <c r="AH1823" s="406">
        <f t="shared" si="28"/>
        <v>1843</v>
      </c>
      <c r="AI182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4.6699240928060153E-3</v>
      </c>
      <c r="AJ1823" s="257">
        <f>FME_Ranking1[[#This Row],[Addition check]]-FME_Ranking1[[#This Row],[Weighted Score Based on Normalized Reported Factors]]</f>
        <v>0</v>
      </c>
      <c r="AK1823" s="178">
        <f>_xlfn.RANK.EQ(AI1823,$AI$6:$AI$2341,0)+COUNTIF($AI$6:AI1823,AI1823)-1</f>
        <v>1843</v>
      </c>
    </row>
    <row r="1824" spans="1:37" x14ac:dyDescent="0.25">
      <c r="A1824" t="s">
        <v>5604</v>
      </c>
      <c r="B1824">
        <f>_xlfn.XLOOKUP(FME_Ranking1[[#This Row],[FME ID]],FME_Input[FME_ID],FME_Input[RFPG_NUM])</f>
        <v>4</v>
      </c>
      <c r="C1824" t="str">
        <f>_xlfn.XLOOKUP(FME_Ranking1[[#This Row],[FME ID]],FME_Input[FME_ID],FME_Input[FME_NAME])</f>
        <v>City of Edgewood Stormwater Detention Study</v>
      </c>
      <c r="D1824" t="str">
        <f>_xlfn.XLOOKUP(FME_Ranking1[[#This Row],[FME ID]],FME_Input[FME_ID],FME_Input[DESCR])</f>
        <v>Feasibility study to increase drainage capacity; add stormwater detention and / or retention basins as deemed necessary to reduce flood risk upstream of Edgewood City Dami</v>
      </c>
      <c r="E1824" s="256">
        <f>_xlfn.XLOOKUP(FME_Ranking1[[#This Row],[FME ID]],FME_Input[FME_ID],FME_Input[FME_COST])</f>
        <v>100000</v>
      </c>
      <c r="F1824" t="str">
        <f>_xlfn.XLOOKUP(FME_Ranking1[[#This Row],[FME ID]],FME_Input[FME_ID],FME_Input[EMER_NEED])</f>
        <v>No</v>
      </c>
      <c r="G1824">
        <f>IF(FME_Ranking!F1824="Yes",100,0)</f>
        <v>0</v>
      </c>
      <c r="H1824">
        <f>FME_Ranking1[[#This Row],[Emergency Need Score (Normalized, Unweighted)]]*$F$3</f>
        <v>0</v>
      </c>
      <c r="I1824" s="246">
        <f>_xlfn.XLOOKUP(FME_Ranking1[[#This Row],[FME ID]],FME_Input[FME_ID],FME_Input[STRUCT_100])</f>
        <v>27</v>
      </c>
      <c r="J1824" s="178">
        <f>(FME_Ranking1[[#This Row],[Structures 100 Raw]]/I$2)*100</f>
        <v>1.4458295848862615E-2</v>
      </c>
      <c r="K1824" s="178">
        <f>FME_Ranking1[[#This Row],[Structures 100  Score (Normalized, Unweighted)]]*$I$3</f>
        <v>2.1687443773293924E-3</v>
      </c>
      <c r="L1824" s="246">
        <f>_xlfn.XLOOKUP(FME_Ranking1[[#This Row],[FME ID]],FME_Input[FME_ID],FME_Input[RES_STRUCT100])</f>
        <v>11</v>
      </c>
      <c r="M1824" s="230">
        <f>(FME_Ranking1[[#This Row],[Res Structures Raw]]/L$2)*100</f>
        <v>7.7913615050077207E-3</v>
      </c>
      <c r="N1824" s="180">
        <f>FME_Ranking1[[#This Row],[Res Structures Score (Normalized, Unweighted)]]*$L$3</f>
        <v>7.7913615050077215E-4</v>
      </c>
      <c r="O1824" s="244">
        <f>_xlfn.XLOOKUP(FME_Ranking1[[#This Row],[FME ID]],FME_Input[FME_ID],FME_Input[POP100])</f>
        <v>32</v>
      </c>
      <c r="P1824" s="178">
        <f>(FME_Ranking1[[#This Row],[Pop Raw]]/$O$2)*100</f>
        <v>3.2760099836404251E-3</v>
      </c>
      <c r="Q1824" s="178">
        <f>FME_Ranking1[[#This Row],[Pop Score (Normalized, Unweighted)]]*$O$3</f>
        <v>4.9140149754606374E-4</v>
      </c>
      <c r="R1824" s="137">
        <f>_xlfn.XLOOKUP(FME_Ranking1[[#This Row],[FME ID]],FME_Input[FME_ID],FME_Input[CRITFAC100])</f>
        <v>0</v>
      </c>
      <c r="S1824" s="230">
        <f>(FME_Ranking1[[#This Row],[Critical Facilities Raw]]/$R$2)*100</f>
        <v>0</v>
      </c>
      <c r="T1824" s="180">
        <f>FME_Ranking1[[#This Row],[Critical Facilities Score (Normalized, Unweighted)]]*$R$3</f>
        <v>0</v>
      </c>
      <c r="U1824">
        <f>_xlfn.XLOOKUP(FME_Ranking1[[#This Row],[FME ID]],FME_Input[FME_ID],FME_Input[LWC])</f>
        <v>0</v>
      </c>
      <c r="V1824" s="178">
        <f>(FME_Ranking1[[#This Row],[LWC Raw]]/$U$2)*100</f>
        <v>0</v>
      </c>
      <c r="W1824" s="178">
        <f>FME_Ranking1[[#This Row],[LWC Score (Normalized, Unweighted)]]*$U$3</f>
        <v>0</v>
      </c>
      <c r="X1824" s="246">
        <f>_xlfn.XLOOKUP(FME_Ranking1[[#This Row],[FME ID]],FME_Input[FME_ID],FME_Input[ROADCLS])</f>
        <v>0</v>
      </c>
      <c r="Y1824" s="230">
        <f>(FME_Ranking1[[#This Row],[Closures Raw]]/$X$2)*100</f>
        <v>0</v>
      </c>
      <c r="Z1824" s="180">
        <f>FME_Ranking1[[#This Row],[Closures Score (Normalized, Unweighted)]]*$X$3</f>
        <v>0</v>
      </c>
      <c r="AA1824" s="253">
        <f>_xlfn.XLOOKUP(FME_Ranking1[[#This Row],[FME ID]],FME_Input[FME_ID],FME_Input[ROAD_MILES100])</f>
        <v>0.89066332578659058</v>
      </c>
      <c r="AB1824" s="178">
        <f>(FME_Ranking1[[#This Row],[Miles Raw]]/$AA$2)*100</f>
        <v>1.1710625254423492E-2</v>
      </c>
      <c r="AC1824" s="178">
        <f>FME_Ranking1[[#This Row],[Miles Score (Normalized, Unweighted)]]*$AA$3</f>
        <v>1.1710625254423492E-3</v>
      </c>
      <c r="AD1824" s="255">
        <f>_xlfn.XLOOKUP(FME_Ranking1[[#This Row],[FME ID]],FME_Input[FME_ID],FME_Input[FARMACRE100])</f>
        <v>28.89719200134277</v>
      </c>
      <c r="AE1824" s="230">
        <f>(FME_Ranking1[[#This Row],[Ag Land Raw]]/$AD$2)*100</f>
        <v>1.1915908397487672E-3</v>
      </c>
      <c r="AF1824" s="231">
        <f>FME_Ranking1[[#This Row],[Ag Land Score (Normalized, Unweighted)]]*$AD$3</f>
        <v>5.9579541987438362E-5</v>
      </c>
      <c r="AG182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4.6699240928060153E-3</v>
      </c>
      <c r="AH1824" s="406">
        <f t="shared" si="28"/>
        <v>1843</v>
      </c>
      <c r="AI182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4.6699240928060153E-3</v>
      </c>
      <c r="AJ1824" s="257">
        <f>FME_Ranking1[[#This Row],[Addition check]]-FME_Ranking1[[#This Row],[Weighted Score Based on Normalized Reported Factors]]</f>
        <v>0</v>
      </c>
      <c r="AK1824" s="178">
        <f>_xlfn.RANK.EQ(AI1824,$AI$6:$AI$2341,0)+COUNTIF($AI$6:AI1824,AI1824)-1</f>
        <v>1844</v>
      </c>
    </row>
    <row r="1825" spans="1:37" x14ac:dyDescent="0.25">
      <c r="A1825" t="s">
        <v>7742</v>
      </c>
      <c r="B1825">
        <f>_xlfn.XLOOKUP(FME_Ranking1[[#This Row],[FME ID]],FME_Input[FME_ID],FME_Input[RFPG_NUM])</f>
        <v>8</v>
      </c>
      <c r="C1825" t="str">
        <f>_xlfn.XLOOKUP(FME_Ranking1[[#This Row],[FME ID]],FME_Input[FME_ID],FME_Input[FME_NAME])</f>
        <v>Peach Creek Flood Study</v>
      </c>
      <c r="D1825" t="str">
        <f>_xlfn.XLOOKUP(FME_Ranking1[[#This Row],[FME ID]],FME_Input[FME_ID],FME_Input[DESCR])</f>
        <v>Study to determine flood risk across the watershed.</v>
      </c>
      <c r="E1825" s="256">
        <f>_xlfn.XLOOKUP(FME_Ranking1[[#This Row],[FME ID]],FME_Input[FME_ID],FME_Input[FME_COST])</f>
        <v>84000</v>
      </c>
      <c r="F1825" t="str">
        <f>_xlfn.XLOOKUP(FME_Ranking1[[#This Row],[FME ID]],FME_Input[FME_ID],FME_Input[EMER_NEED])</f>
        <v>No</v>
      </c>
      <c r="G1825">
        <f>IF(FME_Ranking!F1825="Yes",100,0)</f>
        <v>0</v>
      </c>
      <c r="H1825">
        <f>FME_Ranking1[[#This Row],[Emergency Need Score (Normalized, Unweighted)]]*$F$3</f>
        <v>0</v>
      </c>
      <c r="I1825" s="246">
        <f>_xlfn.XLOOKUP(FME_Ranking1[[#This Row],[FME ID]],FME_Input[FME_ID],FME_Input[STRUCT_100])</f>
        <v>15</v>
      </c>
      <c r="J1825" s="178">
        <f>(FME_Ranking1[[#This Row],[Structures 100 Raw]]/I$2)*100</f>
        <v>8.0323865827014521E-3</v>
      </c>
      <c r="K1825" s="178">
        <f>FME_Ranking1[[#This Row],[Structures 100  Score (Normalized, Unweighted)]]*$I$3</f>
        <v>1.2048579874052179E-3</v>
      </c>
      <c r="L1825" s="246">
        <f>_xlfn.XLOOKUP(FME_Ranking1[[#This Row],[FME ID]],FME_Input[FME_ID],FME_Input[RES_STRUCT100])</f>
        <v>13</v>
      </c>
      <c r="M1825" s="230">
        <f>(FME_Ranking1[[#This Row],[Res Structures Raw]]/L$2)*100</f>
        <v>9.2079726877363974E-3</v>
      </c>
      <c r="N1825" s="180">
        <f>FME_Ranking1[[#This Row],[Res Structures Score (Normalized, Unweighted)]]*$L$3</f>
        <v>9.2079726877363974E-4</v>
      </c>
      <c r="O1825" s="244">
        <f>_xlfn.XLOOKUP(FME_Ranking1[[#This Row],[FME ID]],FME_Input[FME_ID],FME_Input[POP100])</f>
        <v>2</v>
      </c>
      <c r="P1825" s="178">
        <f>(FME_Ranking1[[#This Row],[Pop Raw]]/$O$2)*100</f>
        <v>2.0475062397752657E-4</v>
      </c>
      <c r="Q1825" s="178">
        <f>FME_Ranking1[[#This Row],[Pop Score (Normalized, Unweighted)]]*$O$3</f>
        <v>3.0712593596628984E-5</v>
      </c>
      <c r="R1825" s="137">
        <f>_xlfn.XLOOKUP(FME_Ranking1[[#This Row],[FME ID]],FME_Input[FME_ID],FME_Input[CRITFAC100])</f>
        <v>0</v>
      </c>
      <c r="S1825" s="230">
        <f>(FME_Ranking1[[#This Row],[Critical Facilities Raw]]/$R$2)*100</f>
        <v>0</v>
      </c>
      <c r="T1825" s="180">
        <f>FME_Ranking1[[#This Row],[Critical Facilities Score (Normalized, Unweighted)]]*$R$3</f>
        <v>0</v>
      </c>
      <c r="U1825">
        <f>_xlfn.XLOOKUP(FME_Ranking1[[#This Row],[FME ID]],FME_Input[FME_ID],FME_Input[LWC])</f>
        <v>0</v>
      </c>
      <c r="V1825" s="178">
        <f>(FME_Ranking1[[#This Row],[LWC Raw]]/$U$2)*100</f>
        <v>0</v>
      </c>
      <c r="W1825" s="178">
        <f>FME_Ranking1[[#This Row],[LWC Score (Normalized, Unweighted)]]*$U$3</f>
        <v>0</v>
      </c>
      <c r="X1825" s="246">
        <f>_xlfn.XLOOKUP(FME_Ranking1[[#This Row],[FME ID]],FME_Input[FME_ID],FME_Input[ROADCLS])</f>
        <v>2</v>
      </c>
      <c r="Y1825" s="230">
        <f>(FME_Ranking1[[#This Row],[Closures Raw]]/$X$2)*100</f>
        <v>2.1028283040689728E-2</v>
      </c>
      <c r="Z1825" s="180">
        <f>FME_Ranking1[[#This Row],[Closures Score (Normalized, Unweighted)]]*$X$3</f>
        <v>1.0514141520344864E-3</v>
      </c>
      <c r="AA1825" s="253">
        <f>_xlfn.XLOOKUP(FME_Ranking1[[#This Row],[FME ID]],FME_Input[FME_ID],FME_Input[ROAD_MILES100])</f>
        <v>0.20029899477958679</v>
      </c>
      <c r="AB1825" s="178">
        <f>(FME_Ranking1[[#This Row],[Miles Raw]]/$AA$2)*100</f>
        <v>2.6335725282389112E-3</v>
      </c>
      <c r="AC1825" s="178">
        <f>FME_Ranking1[[#This Row],[Miles Score (Normalized, Unweighted)]]*$AA$3</f>
        <v>2.6335725282389114E-4</v>
      </c>
      <c r="AD1825" s="255">
        <f>_xlfn.XLOOKUP(FME_Ranking1[[#This Row],[FME ID]],FME_Input[FME_ID],FME_Input[FARMACRE100])</f>
        <v>105.5350036621094</v>
      </c>
      <c r="AE1825" s="230">
        <f>(FME_Ranking1[[#This Row],[Ag Land Raw]]/$AD$2)*100</f>
        <v>4.3517911231921334E-3</v>
      </c>
      <c r="AF1825" s="231">
        <f>FME_Ranking1[[#This Row],[Ag Land Score (Normalized, Unweighted)]]*$AD$3</f>
        <v>2.1758955615960667E-4</v>
      </c>
      <c r="AG182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3.6887288107934702E-3</v>
      </c>
      <c r="AH1825" s="406">
        <f t="shared" si="28"/>
        <v>1874</v>
      </c>
      <c r="AI182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3.6887288107934702E-3</v>
      </c>
      <c r="AJ1825" s="257">
        <f>FME_Ranking1[[#This Row],[Addition check]]-FME_Ranking1[[#This Row],[Weighted Score Based on Normalized Reported Factors]]</f>
        <v>0</v>
      </c>
      <c r="AK1825" s="178">
        <f>_xlfn.RANK.EQ(AI1825,$AI$6:$AI$2341,0)+COUNTIF($AI$6:AI1825,AI1825)-1</f>
        <v>1874</v>
      </c>
    </row>
    <row r="1826" spans="1:37" x14ac:dyDescent="0.25">
      <c r="A1826" t="s">
        <v>1078</v>
      </c>
      <c r="B1826">
        <f>_xlfn.XLOOKUP(FME_Ranking1[[#This Row],[FME ID]],FME_Input[FME_ID],FME_Input[RFPG_NUM])</f>
        <v>6</v>
      </c>
      <c r="C1826" t="str">
        <f>_xlfn.XLOOKUP(FME_Ranking1[[#This Row],[FME ID]],FME_Input[FME_ID],FME_Input[FME_NAME])</f>
        <v>Property Protection, Structural Project</v>
      </c>
      <c r="D1826" t="str">
        <f>_xlfn.XLOOKUP(FME_Ranking1[[#This Row],[FME ID]],FME_Input[FME_ID],FME_Input[DESCR])</f>
        <v>Generate base flood elevation data for flood map revisions. Use floodplain study to identify future mitigation activities to improve water ways and flood carrying capacities. Area to include approximately 4 miles of floodway in New Waverly.</v>
      </c>
      <c r="E1826" s="256">
        <f>_xlfn.XLOOKUP(FME_Ranking1[[#This Row],[FME ID]],FME_Input[FME_ID],FME_Input[FME_COST])</f>
        <v>2500000</v>
      </c>
      <c r="F1826" t="str">
        <f>_xlfn.XLOOKUP(FME_Ranking1[[#This Row],[FME ID]],FME_Input[FME_ID],FME_Input[EMER_NEED])</f>
        <v>No</v>
      </c>
      <c r="G1826">
        <f>IF(FME_Ranking!F1826="Yes",100,0)</f>
        <v>0</v>
      </c>
      <c r="H1826">
        <f>FME_Ranking1[[#This Row],[Emergency Need Score (Normalized, Unweighted)]]*$F$3</f>
        <v>0</v>
      </c>
      <c r="I1826" s="246">
        <f>_xlfn.XLOOKUP(FME_Ranking1[[#This Row],[FME ID]],FME_Input[FME_ID],FME_Input[STRUCT_100])</f>
        <v>23</v>
      </c>
      <c r="J1826" s="178">
        <f>(FME_Ranking1[[#This Row],[Structures 100 Raw]]/I$2)*100</f>
        <v>1.231632609347556E-2</v>
      </c>
      <c r="K1826" s="178">
        <f>FME_Ranking1[[#This Row],[Structures 100  Score (Normalized, Unweighted)]]*$I$3</f>
        <v>1.8474489140213339E-3</v>
      </c>
      <c r="L1826" s="246">
        <f>_xlfn.XLOOKUP(FME_Ranking1[[#This Row],[FME ID]],FME_Input[FME_ID],FME_Input[RES_STRUCT100])</f>
        <v>18</v>
      </c>
      <c r="M1826" s="230">
        <f>(FME_Ranking1[[#This Row],[Res Structures Raw]]/L$2)*100</f>
        <v>1.2749500644558088E-2</v>
      </c>
      <c r="N1826" s="180">
        <f>FME_Ranking1[[#This Row],[Res Structures Score (Normalized, Unweighted)]]*$L$3</f>
        <v>1.2749500644558089E-3</v>
      </c>
      <c r="O1826" s="244">
        <f>_xlfn.XLOOKUP(FME_Ranking1[[#This Row],[FME ID]],FME_Input[FME_ID],FME_Input[POP100])</f>
        <v>19</v>
      </c>
      <c r="P1826" s="178">
        <f>(FME_Ranking1[[#This Row],[Pop Raw]]/$O$2)*100</f>
        <v>1.9451309277865023E-3</v>
      </c>
      <c r="Q1826" s="178">
        <f>FME_Ranking1[[#This Row],[Pop Score (Normalized, Unweighted)]]*$O$3</f>
        <v>2.9176963916797532E-4</v>
      </c>
      <c r="R1826" s="137">
        <f>_xlfn.XLOOKUP(FME_Ranking1[[#This Row],[FME ID]],FME_Input[FME_ID],FME_Input[CRITFAC100])</f>
        <v>0</v>
      </c>
      <c r="S1826" s="230">
        <f>(FME_Ranking1[[#This Row],[Critical Facilities Raw]]/$R$2)*100</f>
        <v>0</v>
      </c>
      <c r="T1826" s="180">
        <f>FME_Ranking1[[#This Row],[Critical Facilities Score (Normalized, Unweighted)]]*$R$3</f>
        <v>0</v>
      </c>
      <c r="U1826">
        <f>_xlfn.XLOOKUP(FME_Ranking1[[#This Row],[FME ID]],FME_Input[FME_ID],FME_Input[LWC])</f>
        <v>0</v>
      </c>
      <c r="V1826" s="178">
        <f>(FME_Ranking1[[#This Row],[LWC Raw]]/$U$2)*100</f>
        <v>0</v>
      </c>
      <c r="W1826" s="178">
        <f>FME_Ranking1[[#This Row],[LWC Score (Normalized, Unweighted)]]*$U$3</f>
        <v>0</v>
      </c>
      <c r="X1826" s="246">
        <f>_xlfn.XLOOKUP(FME_Ranking1[[#This Row],[FME ID]],FME_Input[FME_ID],FME_Input[ROADCLS])</f>
        <v>0</v>
      </c>
      <c r="Y1826" s="230">
        <f>(FME_Ranking1[[#This Row],[Closures Raw]]/$X$2)*100</f>
        <v>0</v>
      </c>
      <c r="Z1826" s="180">
        <f>FME_Ranking1[[#This Row],[Closures Score (Normalized, Unweighted)]]*$X$3</f>
        <v>0</v>
      </c>
      <c r="AA1826" s="253">
        <f>_xlfn.XLOOKUP(FME_Ranking1[[#This Row],[FME ID]],FME_Input[FME_ID],FME_Input[ROAD_MILES100])</f>
        <v>0.47710961103439331</v>
      </c>
      <c r="AB1826" s="178">
        <f>(FME_Ranking1[[#This Row],[Miles Raw]]/$AA$2)*100</f>
        <v>6.2731356488414372E-3</v>
      </c>
      <c r="AC1826" s="178">
        <f>FME_Ranking1[[#This Row],[Miles Score (Normalized, Unweighted)]]*$AA$3</f>
        <v>6.273135648841438E-4</v>
      </c>
      <c r="AD1826" s="255">
        <f>_xlfn.XLOOKUP(FME_Ranking1[[#This Row],[FME ID]],FME_Input[FME_ID],FME_Input[FARMACRE100])</f>
        <v>0.88808619976043701</v>
      </c>
      <c r="AE1826" s="230">
        <f>(FME_Ranking1[[#This Row],[Ag Land Raw]]/$AD$2)*100</f>
        <v>3.6620699356970649E-5</v>
      </c>
      <c r="AF1826" s="231">
        <f>FME_Ranking1[[#This Row],[Ag Land Score (Normalized, Unweighted)]]*$AD$3</f>
        <v>1.8310349678485324E-6</v>
      </c>
      <c r="AG182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4.0433132174971104E-3</v>
      </c>
      <c r="AH1826" s="406">
        <f t="shared" si="28"/>
        <v>1858</v>
      </c>
      <c r="AI182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4.0433132174971104E-3</v>
      </c>
      <c r="AJ1826" s="257">
        <f>FME_Ranking1[[#This Row],[Addition check]]-FME_Ranking1[[#This Row],[Weighted Score Based on Normalized Reported Factors]]</f>
        <v>0</v>
      </c>
      <c r="AK1826" s="178">
        <f>_xlfn.RANK.EQ(AI1826,$AI$6:$AI$2341,0)+COUNTIF($AI$6:AI1826,AI1826)-1</f>
        <v>1858</v>
      </c>
    </row>
    <row r="1827" spans="1:37" x14ac:dyDescent="0.25">
      <c r="A1827" t="s">
        <v>1111</v>
      </c>
      <c r="B1827">
        <f>_xlfn.XLOOKUP(FME_Ranking1[[#This Row],[FME ID]],FME_Input[FME_ID],FME_Input[RFPG_NUM])</f>
        <v>6</v>
      </c>
      <c r="C1827" t="str">
        <f>_xlfn.XLOOKUP(FME_Ranking1[[#This Row],[FME ID]],FME_Input[FME_ID],FME_Input[FME_NAME])</f>
        <v>Remedy Data Deficiency in City of New Waverly</v>
      </c>
      <c r="D1827" t="str">
        <f>_xlfn.XLOOKUP(FME_Ranking1[[#This Row],[FME ID]],FME_Input[FME_ID],FME_Input[DESCR])</f>
        <v>Conduct a proper risk assessment of the dams residents suspect are causing upstream flooding, and determine all potential inundation areas.</v>
      </c>
      <c r="E1827" s="256">
        <f>_xlfn.XLOOKUP(FME_Ranking1[[#This Row],[FME ID]],FME_Input[FME_ID],FME_Input[FME_COST])</f>
        <v>100000</v>
      </c>
      <c r="F1827" t="str">
        <f>_xlfn.XLOOKUP(FME_Ranking1[[#This Row],[FME ID]],FME_Input[FME_ID],FME_Input[EMER_NEED])</f>
        <v>No</v>
      </c>
      <c r="G1827">
        <f>IF(FME_Ranking!F1827="Yes",100,0)</f>
        <v>0</v>
      </c>
      <c r="H1827">
        <f>FME_Ranking1[[#This Row],[Emergency Need Score (Normalized, Unweighted)]]*$F$3</f>
        <v>0</v>
      </c>
      <c r="I1827" s="246">
        <f>_xlfn.XLOOKUP(FME_Ranking1[[#This Row],[FME ID]],FME_Input[FME_ID],FME_Input[STRUCT_100])</f>
        <v>23</v>
      </c>
      <c r="J1827" s="178">
        <f>(FME_Ranking1[[#This Row],[Structures 100 Raw]]/I$2)*100</f>
        <v>1.231632609347556E-2</v>
      </c>
      <c r="K1827" s="178">
        <f>FME_Ranking1[[#This Row],[Structures 100  Score (Normalized, Unweighted)]]*$I$3</f>
        <v>1.8474489140213339E-3</v>
      </c>
      <c r="L1827" s="246">
        <f>_xlfn.XLOOKUP(FME_Ranking1[[#This Row],[FME ID]],FME_Input[FME_ID],FME_Input[RES_STRUCT100])</f>
        <v>18</v>
      </c>
      <c r="M1827" s="230">
        <f>(FME_Ranking1[[#This Row],[Res Structures Raw]]/L$2)*100</f>
        <v>1.2749500644558088E-2</v>
      </c>
      <c r="N1827" s="180">
        <f>FME_Ranking1[[#This Row],[Res Structures Score (Normalized, Unweighted)]]*$L$3</f>
        <v>1.2749500644558089E-3</v>
      </c>
      <c r="O1827" s="244">
        <f>_xlfn.XLOOKUP(FME_Ranking1[[#This Row],[FME ID]],FME_Input[FME_ID],FME_Input[POP100])</f>
        <v>19</v>
      </c>
      <c r="P1827" s="178">
        <f>(FME_Ranking1[[#This Row],[Pop Raw]]/$O$2)*100</f>
        <v>1.9451309277865023E-3</v>
      </c>
      <c r="Q1827" s="178">
        <f>FME_Ranking1[[#This Row],[Pop Score (Normalized, Unweighted)]]*$O$3</f>
        <v>2.9176963916797532E-4</v>
      </c>
      <c r="R1827" s="137">
        <f>_xlfn.XLOOKUP(FME_Ranking1[[#This Row],[FME ID]],FME_Input[FME_ID],FME_Input[CRITFAC100])</f>
        <v>0</v>
      </c>
      <c r="S1827" s="230">
        <f>(FME_Ranking1[[#This Row],[Critical Facilities Raw]]/$R$2)*100</f>
        <v>0</v>
      </c>
      <c r="T1827" s="180">
        <f>FME_Ranking1[[#This Row],[Critical Facilities Score (Normalized, Unweighted)]]*$R$3</f>
        <v>0</v>
      </c>
      <c r="U1827">
        <f>_xlfn.XLOOKUP(FME_Ranking1[[#This Row],[FME ID]],FME_Input[FME_ID],FME_Input[LWC])</f>
        <v>0</v>
      </c>
      <c r="V1827" s="178">
        <f>(FME_Ranking1[[#This Row],[LWC Raw]]/$U$2)*100</f>
        <v>0</v>
      </c>
      <c r="W1827" s="178">
        <f>FME_Ranking1[[#This Row],[LWC Score (Normalized, Unweighted)]]*$U$3</f>
        <v>0</v>
      </c>
      <c r="X1827" s="246">
        <f>_xlfn.XLOOKUP(FME_Ranking1[[#This Row],[FME ID]],FME_Input[FME_ID],FME_Input[ROADCLS])</f>
        <v>0</v>
      </c>
      <c r="Y1827" s="230">
        <f>(FME_Ranking1[[#This Row],[Closures Raw]]/$X$2)*100</f>
        <v>0</v>
      </c>
      <c r="Z1827" s="180">
        <f>FME_Ranking1[[#This Row],[Closures Score (Normalized, Unweighted)]]*$X$3</f>
        <v>0</v>
      </c>
      <c r="AA1827" s="253">
        <f>_xlfn.XLOOKUP(FME_Ranking1[[#This Row],[FME ID]],FME_Input[FME_ID],FME_Input[ROAD_MILES100])</f>
        <v>0.47710961103439331</v>
      </c>
      <c r="AB1827" s="178">
        <f>(FME_Ranking1[[#This Row],[Miles Raw]]/$AA$2)*100</f>
        <v>6.2731356488414372E-3</v>
      </c>
      <c r="AC1827" s="178">
        <f>FME_Ranking1[[#This Row],[Miles Score (Normalized, Unweighted)]]*$AA$3</f>
        <v>6.273135648841438E-4</v>
      </c>
      <c r="AD1827" s="255">
        <f>_xlfn.XLOOKUP(FME_Ranking1[[#This Row],[FME ID]],FME_Input[FME_ID],FME_Input[FARMACRE100])</f>
        <v>0.88808619976043701</v>
      </c>
      <c r="AE1827" s="230">
        <f>(FME_Ranking1[[#This Row],[Ag Land Raw]]/$AD$2)*100</f>
        <v>3.6620699356970649E-5</v>
      </c>
      <c r="AF1827" s="231">
        <f>FME_Ranking1[[#This Row],[Ag Land Score (Normalized, Unweighted)]]*$AD$3</f>
        <v>1.8310349678485324E-6</v>
      </c>
      <c r="AG182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4.0433132174971104E-3</v>
      </c>
      <c r="AH1827" s="406">
        <f t="shared" si="28"/>
        <v>1858</v>
      </c>
      <c r="AI182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4.0433132174971104E-3</v>
      </c>
      <c r="AJ1827" s="257">
        <f>FME_Ranking1[[#This Row],[Addition check]]-FME_Ranking1[[#This Row],[Weighted Score Based on Normalized Reported Factors]]</f>
        <v>0</v>
      </c>
      <c r="AK1827" s="178">
        <f>_xlfn.RANK.EQ(AI1827,$AI$6:$AI$2341,0)+COUNTIF($AI$6:AI1827,AI1827)-1</f>
        <v>1859</v>
      </c>
    </row>
    <row r="1828" spans="1:37" x14ac:dyDescent="0.25">
      <c r="A1828" t="s">
        <v>1684</v>
      </c>
      <c r="B1828">
        <f>_xlfn.XLOOKUP(FME_Ranking1[[#This Row],[FME ID]],FME_Input[FME_ID],FME_Input[RFPG_NUM])</f>
        <v>6</v>
      </c>
      <c r="C1828" t="str">
        <f>_xlfn.XLOOKUP(FME_Ranking1[[#This Row],[FME ID]],FME_Input[FME_ID],FME_Input[FME_NAME])</f>
        <v>City of New Waverly  Master Drainage Plan</v>
      </c>
      <c r="D1828" t="str">
        <f>_xlfn.XLOOKUP(FME_Ranking1[[#This Row],[FME ID]],FME_Input[FME_ID],FME_Input[DESCR])</f>
        <v>Study to develop Master Drainage Plan using future and existing land use and flood/storm water drainage needs including Atlas 14 rainfall.</v>
      </c>
      <c r="E1828" s="256">
        <f>_xlfn.XLOOKUP(FME_Ranking1[[#This Row],[FME ID]],FME_Input[FME_ID],FME_Input[FME_COST])</f>
        <v>190000</v>
      </c>
      <c r="F1828" t="str">
        <f>_xlfn.XLOOKUP(FME_Ranking1[[#This Row],[FME ID]],FME_Input[FME_ID],FME_Input[EMER_NEED])</f>
        <v>No</v>
      </c>
      <c r="G1828">
        <f>IF(FME_Ranking!F1828="Yes",100,0)</f>
        <v>0</v>
      </c>
      <c r="H1828">
        <f>FME_Ranking1[[#This Row],[Emergency Need Score (Normalized, Unweighted)]]*$F$3</f>
        <v>0</v>
      </c>
      <c r="I1828" s="246">
        <f>_xlfn.XLOOKUP(FME_Ranking1[[#This Row],[FME ID]],FME_Input[FME_ID],FME_Input[STRUCT_100])</f>
        <v>23</v>
      </c>
      <c r="J1828" s="178">
        <f>(FME_Ranking1[[#This Row],[Structures 100 Raw]]/I$2)*100</f>
        <v>1.231632609347556E-2</v>
      </c>
      <c r="K1828" s="178">
        <f>FME_Ranking1[[#This Row],[Structures 100  Score (Normalized, Unweighted)]]*$I$3</f>
        <v>1.8474489140213339E-3</v>
      </c>
      <c r="L1828" s="246">
        <f>_xlfn.XLOOKUP(FME_Ranking1[[#This Row],[FME ID]],FME_Input[FME_ID],FME_Input[RES_STRUCT100])</f>
        <v>18</v>
      </c>
      <c r="M1828" s="230">
        <f>(FME_Ranking1[[#This Row],[Res Structures Raw]]/L$2)*100</f>
        <v>1.2749500644558088E-2</v>
      </c>
      <c r="N1828" s="180">
        <f>FME_Ranking1[[#This Row],[Res Structures Score (Normalized, Unweighted)]]*$L$3</f>
        <v>1.2749500644558089E-3</v>
      </c>
      <c r="O1828" s="244">
        <f>_xlfn.XLOOKUP(FME_Ranking1[[#This Row],[FME ID]],FME_Input[FME_ID],FME_Input[POP100])</f>
        <v>19</v>
      </c>
      <c r="P1828" s="178">
        <f>(FME_Ranking1[[#This Row],[Pop Raw]]/$O$2)*100</f>
        <v>1.9451309277865023E-3</v>
      </c>
      <c r="Q1828" s="178">
        <f>FME_Ranking1[[#This Row],[Pop Score (Normalized, Unweighted)]]*$O$3</f>
        <v>2.9176963916797532E-4</v>
      </c>
      <c r="R1828" s="137">
        <f>_xlfn.XLOOKUP(FME_Ranking1[[#This Row],[FME ID]],FME_Input[FME_ID],FME_Input[CRITFAC100])</f>
        <v>0</v>
      </c>
      <c r="S1828" s="230">
        <f>(FME_Ranking1[[#This Row],[Critical Facilities Raw]]/$R$2)*100</f>
        <v>0</v>
      </c>
      <c r="T1828" s="180">
        <f>FME_Ranking1[[#This Row],[Critical Facilities Score (Normalized, Unweighted)]]*$R$3</f>
        <v>0</v>
      </c>
      <c r="U1828">
        <f>_xlfn.XLOOKUP(FME_Ranking1[[#This Row],[FME ID]],FME_Input[FME_ID],FME_Input[LWC])</f>
        <v>0</v>
      </c>
      <c r="V1828" s="178">
        <f>(FME_Ranking1[[#This Row],[LWC Raw]]/$U$2)*100</f>
        <v>0</v>
      </c>
      <c r="W1828" s="178">
        <f>FME_Ranking1[[#This Row],[LWC Score (Normalized, Unweighted)]]*$U$3</f>
        <v>0</v>
      </c>
      <c r="X1828" s="246">
        <f>_xlfn.XLOOKUP(FME_Ranking1[[#This Row],[FME ID]],FME_Input[FME_ID],FME_Input[ROADCLS])</f>
        <v>0</v>
      </c>
      <c r="Y1828" s="230">
        <f>(FME_Ranking1[[#This Row],[Closures Raw]]/$X$2)*100</f>
        <v>0</v>
      </c>
      <c r="Z1828" s="180">
        <f>FME_Ranking1[[#This Row],[Closures Score (Normalized, Unweighted)]]*$X$3</f>
        <v>0</v>
      </c>
      <c r="AA1828" s="253">
        <f>_xlfn.XLOOKUP(FME_Ranking1[[#This Row],[FME ID]],FME_Input[FME_ID],FME_Input[ROAD_MILES100])</f>
        <v>0.47710961103439331</v>
      </c>
      <c r="AB1828" s="178">
        <f>(FME_Ranking1[[#This Row],[Miles Raw]]/$AA$2)*100</f>
        <v>6.2731356488414372E-3</v>
      </c>
      <c r="AC1828" s="178">
        <f>FME_Ranking1[[#This Row],[Miles Score (Normalized, Unweighted)]]*$AA$3</f>
        <v>6.273135648841438E-4</v>
      </c>
      <c r="AD1828" s="255">
        <f>_xlfn.XLOOKUP(FME_Ranking1[[#This Row],[FME ID]],FME_Input[FME_ID],FME_Input[FARMACRE100])</f>
        <v>0.88808619976043701</v>
      </c>
      <c r="AE1828" s="230">
        <f>(FME_Ranking1[[#This Row],[Ag Land Raw]]/$AD$2)*100</f>
        <v>3.6620699356970649E-5</v>
      </c>
      <c r="AF1828" s="231">
        <f>FME_Ranking1[[#This Row],[Ag Land Score (Normalized, Unweighted)]]*$AD$3</f>
        <v>1.8310349678485324E-6</v>
      </c>
      <c r="AG182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4.0433132174971104E-3</v>
      </c>
      <c r="AH1828" s="406">
        <f t="shared" si="28"/>
        <v>1858</v>
      </c>
      <c r="AI182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4.0433132174971104E-3</v>
      </c>
      <c r="AJ1828" s="257">
        <f>FME_Ranking1[[#This Row],[Addition check]]-FME_Ranking1[[#This Row],[Weighted Score Based on Normalized Reported Factors]]</f>
        <v>0</v>
      </c>
      <c r="AK1828" s="178">
        <f>_xlfn.RANK.EQ(AI1828,$AI$6:$AI$2341,0)+COUNTIF($AI$6:AI1828,AI1828)-1</f>
        <v>1860</v>
      </c>
    </row>
    <row r="1829" spans="1:37" x14ac:dyDescent="0.25">
      <c r="A1829" t="s">
        <v>10403</v>
      </c>
      <c r="B1829">
        <f>_xlfn.XLOOKUP(FME_Ranking1[[#This Row],[FME ID]],FME_Input[FME_ID],FME_Input[RFPG_NUM])</f>
        <v>13</v>
      </c>
      <c r="C1829" t="str">
        <f>_xlfn.XLOOKUP(FME_Ranking1[[#This Row],[FME ID]],FME_Input[FME_ID],FME_Input[FME_NAME])</f>
        <v>Upper Tule Storm Drain System</v>
      </c>
      <c r="D1829" t="str">
        <f>_xlfn.XLOOKUP(FME_Ranking1[[#This Row],[FME ID]],FME_Input[FME_ID],FME_Input[DESCR])</f>
        <v>Install storm drainage system with capacity to reduce current flooding and capacity for future development.</v>
      </c>
      <c r="E1829" s="256">
        <f>_xlfn.XLOOKUP(FME_Ranking1[[#This Row],[FME ID]],FME_Input[FME_ID],FME_Input[FME_COST])</f>
        <v>2000000</v>
      </c>
      <c r="F1829" t="str">
        <f>_xlfn.XLOOKUP(FME_Ranking1[[#This Row],[FME ID]],FME_Input[FME_ID],FME_Input[EMER_NEED])</f>
        <v>Yes</v>
      </c>
      <c r="G1829">
        <f>IF(FME_Ranking!F1829="Yes",100,0)</f>
        <v>100</v>
      </c>
      <c r="H1829">
        <f>FME_Ranking1[[#This Row],[Emergency Need Score (Normalized, Unweighted)]]*$F$3</f>
        <v>0</v>
      </c>
      <c r="I1829" s="246">
        <f>_xlfn.XLOOKUP(FME_Ranking1[[#This Row],[FME ID]],FME_Input[FME_ID],FME_Input[STRUCT_100])</f>
        <v>5</v>
      </c>
      <c r="J1829" s="178">
        <f>(FME_Ranking1[[#This Row],[Structures 100 Raw]]/I$2)*100</f>
        <v>2.6774621942338172E-3</v>
      </c>
      <c r="K1829" s="178">
        <f>FME_Ranking1[[#This Row],[Structures 100  Score (Normalized, Unweighted)]]*$I$3</f>
        <v>4.0161932913507258E-4</v>
      </c>
      <c r="L1829" s="246">
        <f>_xlfn.XLOOKUP(FME_Ranking1[[#This Row],[FME ID]],FME_Input[FME_ID],FME_Input[RES_STRUCT100])</f>
        <v>3</v>
      </c>
      <c r="M1829" s="230">
        <f>(FME_Ranking1[[#This Row],[Res Structures Raw]]/L$2)*100</f>
        <v>2.1249167740930146E-3</v>
      </c>
      <c r="N1829" s="180">
        <f>FME_Ranking1[[#This Row],[Res Structures Score (Normalized, Unweighted)]]*$L$3</f>
        <v>2.1249167740930149E-4</v>
      </c>
      <c r="O1829" s="244">
        <f>_xlfn.XLOOKUP(FME_Ranking1[[#This Row],[FME ID]],FME_Input[FME_ID],FME_Input[POP100])</f>
        <v>9</v>
      </c>
      <c r="P1829" s="178">
        <f>(FME_Ranking1[[#This Row],[Pop Raw]]/$O$2)*100</f>
        <v>9.2137780789886947E-4</v>
      </c>
      <c r="Q1829" s="178">
        <f>FME_Ranking1[[#This Row],[Pop Score (Normalized, Unweighted)]]*$O$3</f>
        <v>1.3820667118483041E-4</v>
      </c>
      <c r="R1829" s="137">
        <f>_xlfn.XLOOKUP(FME_Ranking1[[#This Row],[FME ID]],FME_Input[FME_ID],FME_Input[CRITFAC100])</f>
        <v>0</v>
      </c>
      <c r="S1829" s="230">
        <f>(FME_Ranking1[[#This Row],[Critical Facilities Raw]]/$R$2)*100</f>
        <v>0</v>
      </c>
      <c r="T1829" s="180">
        <f>FME_Ranking1[[#This Row],[Critical Facilities Score (Normalized, Unweighted)]]*$R$3</f>
        <v>0</v>
      </c>
      <c r="U1829">
        <f>_xlfn.XLOOKUP(FME_Ranking1[[#This Row],[FME ID]],FME_Input[FME_ID],FME_Input[LWC])</f>
        <v>0</v>
      </c>
      <c r="V1829" s="178">
        <f>(FME_Ranking1[[#This Row],[LWC Raw]]/$U$2)*100</f>
        <v>0</v>
      </c>
      <c r="W1829" s="178">
        <f>FME_Ranking1[[#This Row],[LWC Score (Normalized, Unweighted)]]*$U$3</f>
        <v>0</v>
      </c>
      <c r="X1829" s="246">
        <f>_xlfn.XLOOKUP(FME_Ranking1[[#This Row],[FME ID]],FME_Input[FME_ID],FME_Input[ROADCLS])</f>
        <v>5</v>
      </c>
      <c r="Y1829" s="230">
        <f>(FME_Ranking1[[#This Row],[Closures Raw]]/$X$2)*100</f>
        <v>5.2570707601724324E-2</v>
      </c>
      <c r="Z1829" s="180">
        <f>FME_Ranking1[[#This Row],[Closures Score (Normalized, Unweighted)]]*$X$3</f>
        <v>2.6285353800862164E-3</v>
      </c>
      <c r="AA1829" s="253">
        <f>_xlfn.XLOOKUP(FME_Ranking1[[#This Row],[FME ID]],FME_Input[FME_ID],FME_Input[ROAD_MILES100])</f>
        <v>0.25053974986076349</v>
      </c>
      <c r="AB1829" s="178">
        <f>(FME_Ranking1[[#This Row],[Miles Raw]]/$AA$2)*100</f>
        <v>3.2941483465317892E-3</v>
      </c>
      <c r="AC1829" s="178">
        <f>FME_Ranking1[[#This Row],[Miles Score (Normalized, Unweighted)]]*$AA$3</f>
        <v>3.2941483465317892E-4</v>
      </c>
      <c r="AD1829" s="255">
        <f>_xlfn.XLOOKUP(FME_Ranking1[[#This Row],[FME ID]],FME_Input[FME_ID],FME_Input[FARMACRE100])</f>
        <v>0.69241458177566528</v>
      </c>
      <c r="AE1829" s="230">
        <f>(FME_Ranking1[[#This Row],[Ag Land Raw]]/$AD$2)*100</f>
        <v>2.8552077755998492E-5</v>
      </c>
      <c r="AF1829" s="231">
        <f>FME_Ranking1[[#This Row],[Ag Land Score (Normalized, Unweighted)]]*$AD$3</f>
        <v>1.4276038877999247E-6</v>
      </c>
      <c r="AG182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3.7116954963563997E-3</v>
      </c>
      <c r="AH1829" s="406">
        <f t="shared" si="28"/>
        <v>1873</v>
      </c>
      <c r="AI182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3.7116954963563997E-3</v>
      </c>
      <c r="AJ1829" s="257">
        <f>FME_Ranking1[[#This Row],[Addition check]]-FME_Ranking1[[#This Row],[Weighted Score Based on Normalized Reported Factors]]</f>
        <v>0</v>
      </c>
      <c r="AK1829" s="178">
        <f>_xlfn.RANK.EQ(AI1829,$AI$6:$AI$2341,0)+COUNTIF($AI$6:AI1829,AI1829)-1</f>
        <v>1873</v>
      </c>
    </row>
    <row r="1830" spans="1:37" x14ac:dyDescent="0.25">
      <c r="A1830" t="s">
        <v>7801</v>
      </c>
      <c r="B1830">
        <f>_xlfn.XLOOKUP(FME_Ranking1[[#This Row],[FME ID]],FME_Input[FME_ID],FME_Input[RFPG_NUM])</f>
        <v>8</v>
      </c>
      <c r="C1830" t="str">
        <f>_xlfn.XLOOKUP(FME_Ranking1[[#This Row],[FME ID]],FME_Input[FME_ID],FME_Input[FME_NAME])</f>
        <v>New Road to Homan Avenue Channel Improvements</v>
      </c>
      <c r="D1830" t="str">
        <f>_xlfn.XLOOKUP(FME_Ranking1[[#This Row],[FME ID]],FME_Input[FME_ID],FME_Input[DESCR])</f>
        <v>Channel improvements to increase the conveyance capacity of the roadside ditch.</v>
      </c>
      <c r="E1830" s="256">
        <f>_xlfn.XLOOKUP(FME_Ranking1[[#This Row],[FME ID]],FME_Input[FME_ID],FME_Input[FME_COST])</f>
        <v>300000</v>
      </c>
      <c r="F1830" t="str">
        <f>_xlfn.XLOOKUP(FME_Ranking1[[#This Row],[FME ID]],FME_Input[FME_ID],FME_Input[EMER_NEED])</f>
        <v>No</v>
      </c>
      <c r="G1830">
        <f>IF(FME_Ranking!F1830="Yes",100,0)</f>
        <v>0</v>
      </c>
      <c r="H1830">
        <f>FME_Ranking1[[#This Row],[Emergency Need Score (Normalized, Unweighted)]]*$F$3</f>
        <v>0</v>
      </c>
      <c r="I1830" s="246">
        <f>_xlfn.XLOOKUP(FME_Ranking1[[#This Row],[FME ID]],FME_Input[FME_ID],FME_Input[STRUCT_100])</f>
        <v>17</v>
      </c>
      <c r="J1830" s="178">
        <f>(FME_Ranking1[[#This Row],[Structures 100 Raw]]/I$2)*100</f>
        <v>9.1033714603949798E-3</v>
      </c>
      <c r="K1830" s="178">
        <f>FME_Ranking1[[#This Row],[Structures 100  Score (Normalized, Unweighted)]]*$I$3</f>
        <v>1.365505719059247E-3</v>
      </c>
      <c r="L1830" s="246">
        <f>_xlfn.XLOOKUP(FME_Ranking1[[#This Row],[FME ID]],FME_Input[FME_ID],FME_Input[RES_STRUCT100])</f>
        <v>8</v>
      </c>
      <c r="M1830" s="230">
        <f>(FME_Ranking1[[#This Row],[Res Structures Raw]]/L$2)*100</f>
        <v>5.666444730914706E-3</v>
      </c>
      <c r="N1830" s="180">
        <f>FME_Ranking1[[#This Row],[Res Structures Score (Normalized, Unweighted)]]*$L$3</f>
        <v>5.6664447309147067E-4</v>
      </c>
      <c r="O1830" s="244">
        <f>_xlfn.XLOOKUP(FME_Ranking1[[#This Row],[FME ID]],FME_Input[FME_ID],FME_Input[POP100])</f>
        <v>93</v>
      </c>
      <c r="P1830" s="178">
        <f>(FME_Ranking1[[#This Row],[Pop Raw]]/$O$2)*100</f>
        <v>9.5209040149549853E-3</v>
      </c>
      <c r="Q1830" s="178">
        <f>FME_Ranking1[[#This Row],[Pop Score (Normalized, Unweighted)]]*$O$3</f>
        <v>1.4281356022432478E-3</v>
      </c>
      <c r="R1830" s="137">
        <f>_xlfn.XLOOKUP(FME_Ranking1[[#This Row],[FME ID]],FME_Input[FME_ID],FME_Input[CRITFAC100])</f>
        <v>0</v>
      </c>
      <c r="S1830" s="230">
        <f>(FME_Ranking1[[#This Row],[Critical Facilities Raw]]/$R$2)*100</f>
        <v>0</v>
      </c>
      <c r="T1830" s="180">
        <f>FME_Ranking1[[#This Row],[Critical Facilities Score (Normalized, Unweighted)]]*$R$3</f>
        <v>0</v>
      </c>
      <c r="U1830">
        <f>_xlfn.XLOOKUP(FME_Ranking1[[#This Row],[FME ID]],FME_Input[FME_ID],FME_Input[LWC])</f>
        <v>0</v>
      </c>
      <c r="V1830" s="178">
        <f>(FME_Ranking1[[#This Row],[LWC Raw]]/$U$2)*100</f>
        <v>0</v>
      </c>
      <c r="W1830" s="178">
        <f>FME_Ranking1[[#This Row],[LWC Score (Normalized, Unweighted)]]*$U$3</f>
        <v>0</v>
      </c>
      <c r="X1830" s="246">
        <f>_xlfn.XLOOKUP(FME_Ranking1[[#This Row],[FME ID]],FME_Input[FME_ID],FME_Input[ROADCLS])</f>
        <v>0</v>
      </c>
      <c r="Y1830" s="230">
        <f>(FME_Ranking1[[#This Row],[Closures Raw]]/$X$2)*100</f>
        <v>0</v>
      </c>
      <c r="Z1830" s="180">
        <f>FME_Ranking1[[#This Row],[Closures Score (Normalized, Unweighted)]]*$X$3</f>
        <v>0</v>
      </c>
      <c r="AA1830" s="253">
        <f>_xlfn.XLOOKUP(FME_Ranking1[[#This Row],[FME ID]],FME_Input[FME_ID],FME_Input[ROAD_MILES100])</f>
        <v>1.720000028610229</v>
      </c>
      <c r="AB1830" s="178">
        <f>(FME_Ranking1[[#This Row],[Miles Raw]]/$AA$2)*100</f>
        <v>2.2614915411346252E-2</v>
      </c>
      <c r="AC1830" s="178">
        <f>FME_Ranking1[[#This Row],[Miles Score (Normalized, Unweighted)]]*$AA$3</f>
        <v>2.2614915411346254E-3</v>
      </c>
      <c r="AD1830" s="255">
        <f>_xlfn.XLOOKUP(FME_Ranking1[[#This Row],[FME ID]],FME_Input[FME_ID],FME_Input[FARMACRE100])</f>
        <v>0</v>
      </c>
      <c r="AE1830" s="230">
        <f>(FME_Ranking1[[#This Row],[Ag Land Raw]]/$AD$2)*100</f>
        <v>0</v>
      </c>
      <c r="AF1830" s="231">
        <f>FME_Ranking1[[#This Row],[Ag Land Score (Normalized, Unweighted)]]*$AD$3</f>
        <v>0</v>
      </c>
      <c r="AG183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5.6217773355285907E-3</v>
      </c>
      <c r="AH1830" s="406">
        <f t="shared" si="28"/>
        <v>1823</v>
      </c>
      <c r="AI183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5.6217773355285907E-3</v>
      </c>
      <c r="AJ1830" s="257">
        <f>FME_Ranking1[[#This Row],[Addition check]]-FME_Ranking1[[#This Row],[Weighted Score Based on Normalized Reported Factors]]</f>
        <v>0</v>
      </c>
      <c r="AK1830" s="178">
        <f>_xlfn.RANK.EQ(AI1830,$AI$6:$AI$2341,0)+COUNTIF($AI$6:AI1830,AI1830)-1</f>
        <v>1823</v>
      </c>
    </row>
    <row r="1831" spans="1:37" x14ac:dyDescent="0.25">
      <c r="A1831" t="s">
        <v>10471</v>
      </c>
      <c r="B1831">
        <f>_xlfn.XLOOKUP(FME_Ranking1[[#This Row],[FME ID]],FME_Input[FME_ID],FME_Input[RFPG_NUM])</f>
        <v>13</v>
      </c>
      <c r="C1831" t="str">
        <f>_xlfn.XLOOKUP(FME_Ranking1[[#This Row],[FME ID]],FME_Input[FME_ID],FME_Input[FME_NAME])</f>
        <v>Stormwater Master Plan #9 - Bayshore Court Outfall</v>
      </c>
      <c r="D1831" t="str">
        <f>_xlfn.XLOOKUP(FME_Ranking1[[#This Row],[FME ID]],FME_Input[FME_ID],FME_Input[DESCR])</f>
        <v>Positive drainage from stormwater ditch to bay to be improved by site and channel regrading and installation of RCP to provide direct outfalls for low lying areas to the bay.</v>
      </c>
      <c r="E1831" s="256">
        <f>_xlfn.XLOOKUP(FME_Ranking1[[#This Row],[FME ID]],FME_Input[FME_ID],FME_Input[FME_COST])</f>
        <v>14000</v>
      </c>
      <c r="F1831" t="str">
        <f>_xlfn.XLOOKUP(FME_Ranking1[[#This Row],[FME ID]],FME_Input[FME_ID],FME_Input[EMER_NEED])</f>
        <v>Yes</v>
      </c>
      <c r="G1831">
        <f>IF(FME_Ranking!F1831="Yes",100,0)</f>
        <v>100</v>
      </c>
      <c r="H1831">
        <f>FME_Ranking1[[#This Row],[Emergency Need Score (Normalized, Unweighted)]]*$F$3</f>
        <v>0</v>
      </c>
      <c r="I1831" s="246">
        <f>_xlfn.XLOOKUP(FME_Ranking1[[#This Row],[FME ID]],FME_Input[FME_ID],FME_Input[STRUCT_100])</f>
        <v>13</v>
      </c>
      <c r="J1831" s="178">
        <f>(FME_Ranking1[[#This Row],[Structures 100 Raw]]/I$2)*100</f>
        <v>6.961401705007926E-3</v>
      </c>
      <c r="K1831" s="178">
        <f>FME_Ranking1[[#This Row],[Structures 100  Score (Normalized, Unweighted)]]*$I$3</f>
        <v>1.0442102557511889E-3</v>
      </c>
      <c r="L1831" s="246">
        <f>_xlfn.XLOOKUP(FME_Ranking1[[#This Row],[FME ID]],FME_Input[FME_ID],FME_Input[RES_STRUCT100])</f>
        <v>13</v>
      </c>
      <c r="M1831" s="230">
        <f>(FME_Ranking1[[#This Row],[Res Structures Raw]]/L$2)*100</f>
        <v>9.2079726877363974E-3</v>
      </c>
      <c r="N1831" s="180">
        <f>FME_Ranking1[[#This Row],[Res Structures Score (Normalized, Unweighted)]]*$L$3</f>
        <v>9.2079726877363974E-4</v>
      </c>
      <c r="O1831" s="244">
        <f>_xlfn.XLOOKUP(FME_Ranking1[[#This Row],[FME ID]],FME_Input[FME_ID],FME_Input[POP100])</f>
        <v>22</v>
      </c>
      <c r="P1831" s="178">
        <f>(FME_Ranking1[[#This Row],[Pop Raw]]/$O$2)*100</f>
        <v>2.2522568637527922E-3</v>
      </c>
      <c r="Q1831" s="178">
        <f>FME_Ranking1[[#This Row],[Pop Score (Normalized, Unweighted)]]*$O$3</f>
        <v>3.3783852956291883E-4</v>
      </c>
      <c r="R1831" s="137">
        <f>_xlfn.XLOOKUP(FME_Ranking1[[#This Row],[FME ID]],FME_Input[FME_ID],FME_Input[CRITFAC100])</f>
        <v>0</v>
      </c>
      <c r="S1831" s="230">
        <f>(FME_Ranking1[[#This Row],[Critical Facilities Raw]]/$R$2)*100</f>
        <v>0</v>
      </c>
      <c r="T1831" s="180">
        <f>FME_Ranking1[[#This Row],[Critical Facilities Score (Normalized, Unweighted)]]*$R$3</f>
        <v>0</v>
      </c>
      <c r="U1831">
        <f>_xlfn.XLOOKUP(FME_Ranking1[[#This Row],[FME ID]],FME_Input[FME_ID],FME_Input[LWC])</f>
        <v>0</v>
      </c>
      <c r="V1831" s="178">
        <f>(FME_Ranking1[[#This Row],[LWC Raw]]/$U$2)*100</f>
        <v>0</v>
      </c>
      <c r="W1831" s="178">
        <f>FME_Ranking1[[#This Row],[LWC Score (Normalized, Unweighted)]]*$U$3</f>
        <v>0</v>
      </c>
      <c r="X1831" s="246">
        <f>_xlfn.XLOOKUP(FME_Ranking1[[#This Row],[FME ID]],FME_Input[FME_ID],FME_Input[ROADCLS])</f>
        <v>2</v>
      </c>
      <c r="Y1831" s="230">
        <f>(FME_Ranking1[[#This Row],[Closures Raw]]/$X$2)*100</f>
        <v>2.1028283040689728E-2</v>
      </c>
      <c r="Z1831" s="180">
        <f>FME_Ranking1[[#This Row],[Closures Score (Normalized, Unweighted)]]*$X$3</f>
        <v>1.0514141520344864E-3</v>
      </c>
      <c r="AA1831" s="253">
        <f>_xlfn.XLOOKUP(FME_Ranking1[[#This Row],[FME ID]],FME_Input[FME_ID],FME_Input[ROAD_MILES100])</f>
        <v>0.1028803884983063</v>
      </c>
      <c r="AB1831" s="178">
        <f>(FME_Ranking1[[#This Row],[Miles Raw]]/$AA$2)*100</f>
        <v>1.3526925841132514E-3</v>
      </c>
      <c r="AC1831" s="178">
        <f>FME_Ranking1[[#This Row],[Miles Score (Normalized, Unweighted)]]*$AA$3</f>
        <v>1.3526925841132514E-4</v>
      </c>
      <c r="AD1831" s="255">
        <f>_xlfn.XLOOKUP(FME_Ranking1[[#This Row],[FME ID]],FME_Input[FME_ID],FME_Input[FARMACRE100])</f>
        <v>0</v>
      </c>
      <c r="AE1831" s="230">
        <f>(FME_Ranking1[[#This Row],[Ag Land Raw]]/$AD$2)*100</f>
        <v>0</v>
      </c>
      <c r="AF1831" s="231">
        <f>FME_Ranking1[[#This Row],[Ag Land Score (Normalized, Unweighted)]]*$AD$3</f>
        <v>0</v>
      </c>
      <c r="AG183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3.4895294645335586E-3</v>
      </c>
      <c r="AH1831" s="406">
        <f t="shared" si="28"/>
        <v>1882</v>
      </c>
      <c r="AI183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3.4895294645335586E-3</v>
      </c>
      <c r="AJ1831" s="257">
        <f>FME_Ranking1[[#This Row],[Addition check]]-FME_Ranking1[[#This Row],[Weighted Score Based on Normalized Reported Factors]]</f>
        <v>0</v>
      </c>
      <c r="AK1831" s="178">
        <f>_xlfn.RANK.EQ(AI1831,$AI$6:$AI$2341,0)+COUNTIF($AI$6:AI1831,AI1831)-1</f>
        <v>1882</v>
      </c>
    </row>
    <row r="1832" spans="1:37" x14ac:dyDescent="0.25">
      <c r="A1832" t="s">
        <v>11332</v>
      </c>
      <c r="B1832">
        <f>_xlfn.XLOOKUP(FME_Ranking1[[#This Row],[FME ID]],FME_Input[FME_ID],FME_Input[RFPG_NUM])</f>
        <v>15</v>
      </c>
      <c r="C1832" t="str">
        <f>_xlfn.XLOOKUP(FME_Ranking1[[#This Row],[FME ID]],FME_Input[FME_ID],FME_Input[FME_NAME])</f>
        <v>Bayview Action #6</v>
      </c>
      <c r="D1832" t="str">
        <f>_xlfn.XLOOKUP(FME_Ranking1[[#This Row],[FME ID]],FME_Input[FME_ID],FME_Input[DESCR])</f>
        <v>Upgrade three roadway bridges and one footbridge including structural improvements and stabilization to reduce damages caused by flooding and high winds</v>
      </c>
      <c r="E1832" s="256">
        <f>_xlfn.XLOOKUP(FME_Ranking1[[#This Row],[FME ID]],FME_Input[FME_ID],FME_Input[FME_COST])</f>
        <v>369600</v>
      </c>
      <c r="F1832" t="str">
        <f>_xlfn.XLOOKUP(FME_Ranking1[[#This Row],[FME ID]],FME_Input[FME_ID],FME_Input[EMER_NEED])</f>
        <v>Yes</v>
      </c>
      <c r="G1832">
        <f>IF(FME_Ranking!F1832="Yes",100,0)</f>
        <v>100</v>
      </c>
      <c r="H1832">
        <f>FME_Ranking1[[#This Row],[Emergency Need Score (Normalized, Unweighted)]]*$F$3</f>
        <v>0</v>
      </c>
      <c r="I1832" s="246">
        <f>_xlfn.XLOOKUP(FME_Ranking1[[#This Row],[FME ID]],FME_Input[FME_ID],FME_Input[STRUCT_100])</f>
        <v>0</v>
      </c>
      <c r="J1832" s="178">
        <f>(FME_Ranking1[[#This Row],[Structures 100 Raw]]/I$2)*100</f>
        <v>0</v>
      </c>
      <c r="K1832" s="178">
        <f>FME_Ranking1[[#This Row],[Structures 100  Score (Normalized, Unweighted)]]*$I$3</f>
        <v>0</v>
      </c>
      <c r="L1832" s="246">
        <f>_xlfn.XLOOKUP(FME_Ranking1[[#This Row],[FME ID]],FME_Input[FME_ID],FME_Input[RES_STRUCT100])</f>
        <v>29</v>
      </c>
      <c r="M1832" s="230">
        <f>(FME_Ranking1[[#This Row],[Res Structures Raw]]/L$2)*100</f>
        <v>2.0540862149565808E-2</v>
      </c>
      <c r="N1832" s="180">
        <f>FME_Ranking1[[#This Row],[Res Structures Score (Normalized, Unweighted)]]*$L$3</f>
        <v>2.0540862149565809E-3</v>
      </c>
      <c r="O1832" s="244">
        <f>_xlfn.XLOOKUP(FME_Ranking1[[#This Row],[FME ID]],FME_Input[FME_ID],FME_Input[POP100])</f>
        <v>84</v>
      </c>
      <c r="P1832" s="178">
        <f>(FME_Ranking1[[#This Row],[Pop Raw]]/$O$2)*100</f>
        <v>8.599526207056115E-3</v>
      </c>
      <c r="Q1832" s="178">
        <f>FME_Ranking1[[#This Row],[Pop Score (Normalized, Unweighted)]]*$O$3</f>
        <v>1.2899289310584173E-3</v>
      </c>
      <c r="R1832" s="137">
        <f>_xlfn.XLOOKUP(FME_Ranking1[[#This Row],[FME ID]],FME_Input[FME_ID],FME_Input[CRITFAC100])</f>
        <v>0</v>
      </c>
      <c r="S1832" s="230">
        <f>(FME_Ranking1[[#This Row],[Critical Facilities Raw]]/$R$2)*100</f>
        <v>0</v>
      </c>
      <c r="T1832" s="180">
        <f>FME_Ranking1[[#This Row],[Critical Facilities Score (Normalized, Unweighted)]]*$R$3</f>
        <v>0</v>
      </c>
      <c r="U1832">
        <f>_xlfn.XLOOKUP(FME_Ranking1[[#This Row],[FME ID]],FME_Input[FME_ID],FME_Input[LWC])</f>
        <v>0</v>
      </c>
      <c r="V1832" s="178">
        <f>(FME_Ranking1[[#This Row],[LWC Raw]]/$U$2)*100</f>
        <v>0</v>
      </c>
      <c r="W1832" s="178">
        <f>FME_Ranking1[[#This Row],[LWC Score (Normalized, Unweighted)]]*$U$3</f>
        <v>0</v>
      </c>
      <c r="X1832" s="246">
        <f>_xlfn.XLOOKUP(FME_Ranking1[[#This Row],[FME ID]],FME_Input[FME_ID],FME_Input[ROADCLS])</f>
        <v>0</v>
      </c>
      <c r="Y1832" s="230">
        <f>(FME_Ranking1[[#This Row],[Closures Raw]]/$X$2)*100</f>
        <v>0</v>
      </c>
      <c r="Z1832" s="180">
        <f>FME_Ranking1[[#This Row],[Closures Score (Normalized, Unweighted)]]*$X$3</f>
        <v>0</v>
      </c>
      <c r="AA1832" s="253">
        <f>_xlfn.XLOOKUP(FME_Ranking1[[#This Row],[FME ID]],FME_Input[FME_ID],FME_Input[ROAD_MILES100])</f>
        <v>4.5637202262878418</v>
      </c>
      <c r="AB1832" s="178">
        <f>(FME_Ranking1[[#This Row],[Miles Raw]]/$AA$2)*100</f>
        <v>6.0004735559186222E-2</v>
      </c>
      <c r="AC1832" s="178">
        <f>FME_Ranking1[[#This Row],[Miles Score (Normalized, Unweighted)]]*$AA$3</f>
        <v>6.0004735559186229E-3</v>
      </c>
      <c r="AD1832" s="255">
        <f>_xlfn.XLOOKUP(FME_Ranking1[[#This Row],[FME ID]],FME_Input[FME_ID],FME_Input[FARMACRE100])</f>
        <v>0</v>
      </c>
      <c r="AE1832" s="230">
        <f>(FME_Ranking1[[#This Row],[Ag Land Raw]]/$AD$2)*100</f>
        <v>0</v>
      </c>
      <c r="AF1832" s="231">
        <f>FME_Ranking1[[#This Row],[Ag Land Score (Normalized, Unweighted)]]*$AD$3</f>
        <v>0</v>
      </c>
      <c r="AG183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9.3444887019336204E-3</v>
      </c>
      <c r="AH1832" s="406">
        <f t="shared" si="28"/>
        <v>1761</v>
      </c>
      <c r="AI183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9.3444887019336204E-3</v>
      </c>
      <c r="AJ1832" s="257">
        <f>FME_Ranking1[[#This Row],[Addition check]]-FME_Ranking1[[#This Row],[Weighted Score Based on Normalized Reported Factors]]</f>
        <v>0</v>
      </c>
      <c r="AK1832" s="178">
        <f>_xlfn.RANK.EQ(AI1832,$AI$6:$AI$2341,0)+COUNTIF($AI$6:AI1832,AI1832)-1</f>
        <v>1761</v>
      </c>
    </row>
    <row r="1833" spans="1:37" x14ac:dyDescent="0.25">
      <c r="A1833" t="s">
        <v>7329</v>
      </c>
      <c r="B1833">
        <f>_xlfn.XLOOKUP(FME_Ranking1[[#This Row],[FME ID]],FME_Input[FME_ID],FME_Input[RFPG_NUM])</f>
        <v>7</v>
      </c>
      <c r="C1833" t="str">
        <f>_xlfn.XLOOKUP(FME_Ranking1[[#This Row],[FME ID]],FME_Input[FME_ID],FME_Input[FME_NAME])</f>
        <v>Town of Throckmorton Relocate Critical Facilities High Hazard</v>
      </c>
      <c r="D1833" t="str">
        <f>_xlfn.XLOOKUP(FME_Ranking1[[#This Row],[FME ID]],FME_Input[FME_ID],FME_Input[DESCR])</f>
        <v>Relocate critical facilities out of high hazard areas.</v>
      </c>
      <c r="E1833" s="256">
        <f>_xlfn.XLOOKUP(FME_Ranking1[[#This Row],[FME ID]],FME_Input[FME_ID],FME_Input[FME_COST])</f>
        <v>100000</v>
      </c>
      <c r="F1833" t="str">
        <f>_xlfn.XLOOKUP(FME_Ranking1[[#This Row],[FME ID]],FME_Input[FME_ID],FME_Input[EMER_NEED])</f>
        <v>No</v>
      </c>
      <c r="G1833">
        <f>IF(FME_Ranking!F1833="Yes",100,0)</f>
        <v>0</v>
      </c>
      <c r="H1833">
        <f>FME_Ranking1[[#This Row],[Emergency Need Score (Normalized, Unweighted)]]*$F$3</f>
        <v>0</v>
      </c>
      <c r="I1833" s="246">
        <f>_xlfn.XLOOKUP(FME_Ranking1[[#This Row],[FME ID]],FME_Input[FME_ID],FME_Input[STRUCT_100])</f>
        <v>26</v>
      </c>
      <c r="J1833" s="178">
        <f>(FME_Ranking1[[#This Row],[Structures 100 Raw]]/I$2)*100</f>
        <v>1.3922803410015852E-2</v>
      </c>
      <c r="K1833" s="178">
        <f>FME_Ranking1[[#This Row],[Structures 100  Score (Normalized, Unweighted)]]*$I$3</f>
        <v>2.0884205115023779E-3</v>
      </c>
      <c r="L1833" s="246">
        <f>_xlfn.XLOOKUP(FME_Ranking1[[#This Row],[FME ID]],FME_Input[FME_ID],FME_Input[RES_STRUCT100])</f>
        <v>11</v>
      </c>
      <c r="M1833" s="230">
        <f>(FME_Ranking1[[#This Row],[Res Structures Raw]]/L$2)*100</f>
        <v>7.7913615050077207E-3</v>
      </c>
      <c r="N1833" s="180">
        <f>FME_Ranking1[[#This Row],[Res Structures Score (Normalized, Unweighted)]]*$L$3</f>
        <v>7.7913615050077215E-4</v>
      </c>
      <c r="O1833" s="244">
        <f>_xlfn.XLOOKUP(FME_Ranking1[[#This Row],[FME ID]],FME_Input[FME_ID],FME_Input[POP100])</f>
        <v>27</v>
      </c>
      <c r="P1833" s="178">
        <f>(FME_Ranking1[[#This Row],[Pop Raw]]/$O$2)*100</f>
        <v>2.7641334236966088E-3</v>
      </c>
      <c r="Q1833" s="178">
        <f>FME_Ranking1[[#This Row],[Pop Score (Normalized, Unweighted)]]*$O$3</f>
        <v>4.1462001355449134E-4</v>
      </c>
      <c r="R1833" s="137">
        <f>_xlfn.XLOOKUP(FME_Ranking1[[#This Row],[FME ID]],FME_Input[FME_ID],FME_Input[CRITFAC100])</f>
        <v>0</v>
      </c>
      <c r="S1833" s="230">
        <f>(FME_Ranking1[[#This Row],[Critical Facilities Raw]]/$R$2)*100</f>
        <v>0</v>
      </c>
      <c r="T1833" s="180">
        <f>FME_Ranking1[[#This Row],[Critical Facilities Score (Normalized, Unweighted)]]*$R$3</f>
        <v>0</v>
      </c>
      <c r="U1833">
        <f>_xlfn.XLOOKUP(FME_Ranking1[[#This Row],[FME ID]],FME_Input[FME_ID],FME_Input[LWC])</f>
        <v>0</v>
      </c>
      <c r="V1833" s="178">
        <f>(FME_Ranking1[[#This Row],[LWC Raw]]/$U$2)*100</f>
        <v>0</v>
      </c>
      <c r="W1833" s="178">
        <f>FME_Ranking1[[#This Row],[LWC Score (Normalized, Unweighted)]]*$U$3</f>
        <v>0</v>
      </c>
      <c r="X1833" s="246">
        <f>_xlfn.XLOOKUP(FME_Ranking1[[#This Row],[FME ID]],FME_Input[FME_ID],FME_Input[ROADCLS])</f>
        <v>0</v>
      </c>
      <c r="Y1833" s="230">
        <f>(FME_Ranking1[[#This Row],[Closures Raw]]/$X$2)*100</f>
        <v>0</v>
      </c>
      <c r="Z1833" s="180">
        <f>FME_Ranking1[[#This Row],[Closures Score (Normalized, Unweighted)]]*$X$3</f>
        <v>0</v>
      </c>
      <c r="AA1833" s="253">
        <f>_xlfn.XLOOKUP(FME_Ranking1[[#This Row],[FME ID]],FME_Input[FME_ID],FME_Input[ROAD_MILES100])</f>
        <v>1.8285388946533201</v>
      </c>
      <c r="AB1833" s="178">
        <f>(FME_Ranking1[[#This Row],[Miles Raw]]/$AA$2)*100</f>
        <v>2.4042006826217495E-2</v>
      </c>
      <c r="AC1833" s="178">
        <f>FME_Ranking1[[#This Row],[Miles Score (Normalized, Unweighted)]]*$AA$3</f>
        <v>2.4042006826217495E-3</v>
      </c>
      <c r="AD1833" s="255">
        <f>_xlfn.XLOOKUP(FME_Ranking1[[#This Row],[FME ID]],FME_Input[FME_ID],FME_Input[FARMACRE100])</f>
        <v>27.279176712036129</v>
      </c>
      <c r="AE1833" s="230">
        <f>(FME_Ranking1[[#This Row],[Ag Land Raw]]/$AD$2)*100</f>
        <v>1.1248711322691734E-3</v>
      </c>
      <c r="AF1833" s="231">
        <f>FME_Ranking1[[#This Row],[Ag Land Score (Normalized, Unweighted)]]*$AD$3</f>
        <v>5.6243556613458677E-5</v>
      </c>
      <c r="AG183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5.7426209147928495E-3</v>
      </c>
      <c r="AH1833" s="406">
        <f t="shared" si="28"/>
        <v>1818</v>
      </c>
      <c r="AI183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5.7426209147928495E-3</v>
      </c>
      <c r="AJ1833" s="257">
        <f>FME_Ranking1[[#This Row],[Addition check]]-FME_Ranking1[[#This Row],[Weighted Score Based on Normalized Reported Factors]]</f>
        <v>0</v>
      </c>
      <c r="AK1833" s="178">
        <f>_xlfn.RANK.EQ(AI1833,$AI$6:$AI$2341,0)+COUNTIF($AI$6:AI1833,AI1833)-1</f>
        <v>1818</v>
      </c>
    </row>
    <row r="1834" spans="1:37" x14ac:dyDescent="0.25">
      <c r="A1834" t="s">
        <v>9813</v>
      </c>
      <c r="B1834">
        <f>_xlfn.XLOOKUP(FME_Ranking1[[#This Row],[FME ID]],FME_Input[FME_ID],FME_Input[RFPG_NUM])</f>
        <v>12</v>
      </c>
      <c r="C1834" t="str">
        <f>_xlfn.XLOOKUP(FME_Ranking1[[#This Row],[FME ID]],FME_Input[FME_ID],FME_Input[FME_NAME])</f>
        <v>Trumbo Rd at Palo Blanco Creek (DC-MRP)</v>
      </c>
      <c r="D1834" t="str">
        <f>_xlfn.XLOOKUP(FME_Ranking1[[#This Row],[FME ID]],FME_Input[FME_ID],FME_Input[DESCR])</f>
        <v>Upgrades to Trumbo Rd and Loop 1604 crossings at Palo Blanco Creek with channel work.</v>
      </c>
      <c r="E1834" s="256">
        <f>_xlfn.XLOOKUP(FME_Ranking1[[#This Row],[FME ID]],FME_Input[FME_ID],FME_Input[FME_COST])</f>
        <v>100000</v>
      </c>
      <c r="F1834" t="str">
        <f>_xlfn.XLOOKUP(FME_Ranking1[[#This Row],[FME ID]],FME_Input[FME_ID],FME_Input[EMER_NEED])</f>
        <v>Yes</v>
      </c>
      <c r="G1834">
        <f>IF(FME_Ranking!F1834="Yes",100,0)</f>
        <v>100</v>
      </c>
      <c r="H1834">
        <f>FME_Ranking1[[#This Row],[Emergency Need Score (Normalized, Unweighted)]]*$F$3</f>
        <v>0</v>
      </c>
      <c r="I1834" s="246">
        <f>_xlfn.XLOOKUP(FME_Ranking1[[#This Row],[FME ID]],FME_Input[FME_ID],FME_Input[STRUCT_100])</f>
        <v>13</v>
      </c>
      <c r="J1834" s="178">
        <f>(FME_Ranking1[[#This Row],[Structures 100 Raw]]/I$2)*100</f>
        <v>6.961401705007926E-3</v>
      </c>
      <c r="K1834" s="178">
        <f>FME_Ranking1[[#This Row],[Structures 100  Score (Normalized, Unweighted)]]*$I$3</f>
        <v>1.0442102557511889E-3</v>
      </c>
      <c r="L1834" s="246">
        <f>_xlfn.XLOOKUP(FME_Ranking1[[#This Row],[FME ID]],FME_Input[FME_ID],FME_Input[RES_STRUCT100])</f>
        <v>9</v>
      </c>
      <c r="M1834" s="230">
        <f>(FME_Ranking1[[#This Row],[Res Structures Raw]]/L$2)*100</f>
        <v>6.3747503222790439E-3</v>
      </c>
      <c r="N1834" s="180">
        <f>FME_Ranking1[[#This Row],[Res Structures Score (Normalized, Unweighted)]]*$L$3</f>
        <v>6.3747503222790446E-4</v>
      </c>
      <c r="O1834" s="244">
        <f>_xlfn.XLOOKUP(FME_Ranking1[[#This Row],[FME ID]],FME_Input[FME_ID],FME_Input[POP100])</f>
        <v>39</v>
      </c>
      <c r="P1834" s="178">
        <f>(FME_Ranking1[[#This Row],[Pop Raw]]/$O$2)*100</f>
        <v>3.9926371675617685E-3</v>
      </c>
      <c r="Q1834" s="178">
        <f>FME_Ranking1[[#This Row],[Pop Score (Normalized, Unweighted)]]*$O$3</f>
        <v>5.988955751342653E-4</v>
      </c>
      <c r="R1834" s="137">
        <f>_xlfn.XLOOKUP(FME_Ranking1[[#This Row],[FME ID]],FME_Input[FME_ID],FME_Input[CRITFAC100])</f>
        <v>0</v>
      </c>
      <c r="S1834" s="230">
        <f>(FME_Ranking1[[#This Row],[Critical Facilities Raw]]/$R$2)*100</f>
        <v>0</v>
      </c>
      <c r="T1834" s="180">
        <f>FME_Ranking1[[#This Row],[Critical Facilities Score (Normalized, Unweighted)]]*$R$3</f>
        <v>0</v>
      </c>
      <c r="U1834">
        <f>_xlfn.XLOOKUP(FME_Ranking1[[#This Row],[FME ID]],FME_Input[FME_ID],FME_Input[LWC])</f>
        <v>0</v>
      </c>
      <c r="V1834" s="178">
        <f>(FME_Ranking1[[#This Row],[LWC Raw]]/$U$2)*100</f>
        <v>0</v>
      </c>
      <c r="W1834" s="178">
        <f>FME_Ranking1[[#This Row],[LWC Score (Normalized, Unweighted)]]*$U$3</f>
        <v>0</v>
      </c>
      <c r="X1834" s="246">
        <f>_xlfn.XLOOKUP(FME_Ranking1[[#This Row],[FME ID]],FME_Input[FME_ID],FME_Input[ROADCLS])</f>
        <v>2</v>
      </c>
      <c r="Y1834" s="230">
        <f>(FME_Ranking1[[#This Row],[Closures Raw]]/$X$2)*100</f>
        <v>2.1028283040689728E-2</v>
      </c>
      <c r="Z1834" s="180">
        <f>FME_Ranking1[[#This Row],[Closures Score (Normalized, Unweighted)]]*$X$3</f>
        <v>1.0514141520344864E-3</v>
      </c>
      <c r="AA1834" s="253">
        <f>_xlfn.XLOOKUP(FME_Ranking1[[#This Row],[FME ID]],FME_Input[FME_ID],FME_Input[ROAD_MILES100])</f>
        <v>0.34999999403953552</v>
      </c>
      <c r="AB1834" s="178">
        <f>(FME_Ranking1[[#This Row],[Miles Raw]]/$AA$2)*100</f>
        <v>4.6018721671599837E-3</v>
      </c>
      <c r="AC1834" s="178">
        <f>FME_Ranking1[[#This Row],[Miles Score (Normalized, Unweighted)]]*$AA$3</f>
        <v>4.6018721671599837E-4</v>
      </c>
      <c r="AD1834" s="255">
        <f>_xlfn.XLOOKUP(FME_Ranking1[[#This Row],[FME ID]],FME_Input[FME_ID],FME_Input[FARMACRE100])</f>
        <v>0.27402400970458979</v>
      </c>
      <c r="AE1834" s="230">
        <f>(FME_Ranking1[[#This Row],[Ag Land Raw]]/$AD$2)*100</f>
        <v>1.1299523490726844E-5</v>
      </c>
      <c r="AF1834" s="231">
        <f>FME_Ranking1[[#This Row],[Ag Land Score (Normalized, Unweighted)]]*$AD$3</f>
        <v>5.6497617453634228E-7</v>
      </c>
      <c r="AG183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3.7927472080383795E-3</v>
      </c>
      <c r="AH1834" s="406">
        <f t="shared" si="28"/>
        <v>1864</v>
      </c>
      <c r="AI183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3.7927472080383795E-3</v>
      </c>
      <c r="AJ1834" s="257">
        <f>FME_Ranking1[[#This Row],[Addition check]]-FME_Ranking1[[#This Row],[Weighted Score Based on Normalized Reported Factors]]</f>
        <v>0</v>
      </c>
      <c r="AK1834" s="178">
        <f>_xlfn.RANK.EQ(AI1834,$AI$6:$AI$2341,0)+COUNTIF($AI$6:AI1834,AI1834)-1</f>
        <v>1864</v>
      </c>
    </row>
    <row r="1835" spans="1:37" x14ac:dyDescent="0.25">
      <c r="A1835" t="s">
        <v>10131</v>
      </c>
      <c r="B1835">
        <f>_xlfn.XLOOKUP(FME_Ranking1[[#This Row],[FME ID]],FME_Input[FME_ID],FME_Input[RFPG_NUM])</f>
        <v>13</v>
      </c>
      <c r="C1835" t="str">
        <f>_xlfn.XLOOKUP(FME_Ranking1[[#This Row],[FME ID]],FME_Input[FME_ID],FME_Input[FME_NAME])</f>
        <v>Jourdanton Drainage Improvements and Detention/Retention Ponds</v>
      </c>
      <c r="D1835" t="str">
        <f>_xlfn.XLOOKUP(FME_Ranking1[[#This Row],[FME ID]],FME_Input[FME_ID],FME_Input[DESCR])</f>
        <v>Multiple detention ponds, drainage channel, box culverts improvements near Main St and Terrel Ave, Jourdanton</v>
      </c>
      <c r="E1835" s="256">
        <f>_xlfn.XLOOKUP(FME_Ranking1[[#This Row],[FME ID]],FME_Input[FME_ID],FME_Input[FME_COST])</f>
        <v>226000</v>
      </c>
      <c r="F1835" t="str">
        <f>_xlfn.XLOOKUP(FME_Ranking1[[#This Row],[FME ID]],FME_Input[FME_ID],FME_Input[EMER_NEED])</f>
        <v>Yes</v>
      </c>
      <c r="G1835">
        <f>IF(FME_Ranking!F1835="Yes",100,0)</f>
        <v>100</v>
      </c>
      <c r="H1835">
        <f>FME_Ranking1[[#This Row],[Emergency Need Score (Normalized, Unweighted)]]*$F$3</f>
        <v>0</v>
      </c>
      <c r="I1835" s="246">
        <f>_xlfn.XLOOKUP(FME_Ranking1[[#This Row],[FME ID]],FME_Input[FME_ID],FME_Input[STRUCT_100])</f>
        <v>3</v>
      </c>
      <c r="J1835" s="178">
        <f>(FME_Ranking1[[#This Row],[Structures 100 Raw]]/I$2)*100</f>
        <v>1.6064773165402903E-3</v>
      </c>
      <c r="K1835" s="178">
        <f>FME_Ranking1[[#This Row],[Structures 100  Score (Normalized, Unweighted)]]*$I$3</f>
        <v>2.4097159748104354E-4</v>
      </c>
      <c r="L1835" s="246">
        <f>_xlfn.XLOOKUP(FME_Ranking1[[#This Row],[FME ID]],FME_Input[FME_ID],FME_Input[RES_STRUCT100])</f>
        <v>3</v>
      </c>
      <c r="M1835" s="230">
        <f>(FME_Ranking1[[#This Row],[Res Structures Raw]]/L$2)*100</f>
        <v>2.1249167740930146E-3</v>
      </c>
      <c r="N1835" s="180">
        <f>FME_Ranking1[[#This Row],[Res Structures Score (Normalized, Unweighted)]]*$L$3</f>
        <v>2.1249167740930149E-4</v>
      </c>
      <c r="O1835" s="244">
        <f>_xlfn.XLOOKUP(FME_Ranking1[[#This Row],[FME ID]],FME_Input[FME_ID],FME_Input[POP100])</f>
        <v>7</v>
      </c>
      <c r="P1835" s="178">
        <f>(FME_Ranking1[[#This Row],[Pop Raw]]/$O$2)*100</f>
        <v>7.1662718392134295E-4</v>
      </c>
      <c r="Q1835" s="178">
        <f>FME_Ranking1[[#This Row],[Pop Score (Normalized, Unweighted)]]*$O$3</f>
        <v>1.0749407758820145E-4</v>
      </c>
      <c r="R1835" s="137">
        <f>_xlfn.XLOOKUP(FME_Ranking1[[#This Row],[FME ID]],FME_Input[FME_ID],FME_Input[CRITFAC100])</f>
        <v>0</v>
      </c>
      <c r="S1835" s="230">
        <f>(FME_Ranking1[[#This Row],[Critical Facilities Raw]]/$R$2)*100</f>
        <v>0</v>
      </c>
      <c r="T1835" s="180">
        <f>FME_Ranking1[[#This Row],[Critical Facilities Score (Normalized, Unweighted)]]*$R$3</f>
        <v>0</v>
      </c>
      <c r="U1835">
        <f>_xlfn.XLOOKUP(FME_Ranking1[[#This Row],[FME ID]],FME_Input[FME_ID],FME_Input[LWC])</f>
        <v>0</v>
      </c>
      <c r="V1835" s="178">
        <f>(FME_Ranking1[[#This Row],[LWC Raw]]/$U$2)*100</f>
        <v>0</v>
      </c>
      <c r="W1835" s="178">
        <f>FME_Ranking1[[#This Row],[LWC Score (Normalized, Unweighted)]]*$U$3</f>
        <v>0</v>
      </c>
      <c r="X1835" s="246">
        <f>_xlfn.XLOOKUP(FME_Ranking1[[#This Row],[FME ID]],FME_Input[FME_ID],FME_Input[ROADCLS])</f>
        <v>5</v>
      </c>
      <c r="Y1835" s="230">
        <f>(FME_Ranking1[[#This Row],[Closures Raw]]/$X$2)*100</f>
        <v>5.2570707601724324E-2</v>
      </c>
      <c r="Z1835" s="180">
        <f>FME_Ranking1[[#This Row],[Closures Score (Normalized, Unweighted)]]*$X$3</f>
        <v>2.6285353800862164E-3</v>
      </c>
      <c r="AA1835" s="253">
        <f>_xlfn.XLOOKUP(FME_Ranking1[[#This Row],[FME ID]],FME_Input[FME_ID],FME_Input[ROAD_MILES100])</f>
        <v>0.1763397008180618</v>
      </c>
      <c r="AB1835" s="178">
        <f>(FME_Ranking1[[#This Row],[Miles Raw]]/$AA$2)*100</f>
        <v>2.3185507856559907E-3</v>
      </c>
      <c r="AC1835" s="178">
        <f>FME_Ranking1[[#This Row],[Miles Score (Normalized, Unweighted)]]*$AA$3</f>
        <v>2.3185507856559909E-4</v>
      </c>
      <c r="AD1835" s="255">
        <f>_xlfn.XLOOKUP(FME_Ranking1[[#This Row],[FME ID]],FME_Input[FME_ID],FME_Input[FARMACRE100])</f>
        <v>0.14675737917423251</v>
      </c>
      <c r="AE1835" s="230">
        <f>(FME_Ranking1[[#This Row],[Ag Land Raw]]/$AD$2)*100</f>
        <v>6.051617357196022E-6</v>
      </c>
      <c r="AF1835" s="231">
        <f>FME_Ranking1[[#This Row],[Ag Land Score (Normalized, Unweighted)]]*$AD$3</f>
        <v>3.0258086785980114E-7</v>
      </c>
      <c r="AG183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3.4216503919982212E-3</v>
      </c>
      <c r="AH1835" s="406">
        <f t="shared" si="28"/>
        <v>1883</v>
      </c>
      <c r="AI183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3.4216503919982212E-3</v>
      </c>
      <c r="AJ1835" s="257">
        <f>FME_Ranking1[[#This Row],[Addition check]]-FME_Ranking1[[#This Row],[Weighted Score Based on Normalized Reported Factors]]</f>
        <v>0</v>
      </c>
      <c r="AK1835" s="178">
        <f>_xlfn.RANK.EQ(AI1835,$AI$6:$AI$2341,0)+COUNTIF($AI$6:AI1835,AI1835)-1</f>
        <v>1883</v>
      </c>
    </row>
    <row r="1836" spans="1:37" x14ac:dyDescent="0.25">
      <c r="A1836" t="s">
        <v>10341</v>
      </c>
      <c r="B1836">
        <f>_xlfn.XLOOKUP(FME_Ranking1[[#This Row],[FME ID]],FME_Input[FME_ID],FME_Input[RFPG_NUM])</f>
        <v>13</v>
      </c>
      <c r="C1836" t="str">
        <f>_xlfn.XLOOKUP(FME_Ranking1[[#This Row],[FME ID]],FME_Input[FME_ID],FME_Input[FME_NAME])</f>
        <v>Drainage Improvements &amp; Ditch Extension for Outfall Channel - Lateral AS</v>
      </c>
      <c r="D1836" t="str">
        <f>_xlfn.XLOOKUP(FME_Ranking1[[#This Row],[FME ID]],FME_Input[FME_ID],FME_Input[DESCR])</f>
        <v>Reduce flooding in northern residential area of Gregory. Project includes drainage easement acquisition and excavation, culvert installation at FM 3284, CR 106, and FM 136, excavation of Main Lateral AS, armoring of ditch sections prone to erosion.</v>
      </c>
      <c r="E1836" s="256">
        <f>_xlfn.XLOOKUP(FME_Ranking1[[#This Row],[FME ID]],FME_Input[FME_ID],FME_Input[FME_COST])</f>
        <v>871000</v>
      </c>
      <c r="F1836" t="str">
        <f>_xlfn.XLOOKUP(FME_Ranking1[[#This Row],[FME ID]],FME_Input[FME_ID],FME_Input[EMER_NEED])</f>
        <v>Yes</v>
      </c>
      <c r="G1836">
        <f>IF(FME_Ranking!F1836="Yes",100,0)</f>
        <v>100</v>
      </c>
      <c r="H1836">
        <f>FME_Ranking1[[#This Row],[Emergency Need Score (Normalized, Unweighted)]]*$F$3</f>
        <v>0</v>
      </c>
      <c r="I1836" s="246">
        <f>_xlfn.XLOOKUP(FME_Ranking1[[#This Row],[FME ID]],FME_Input[FME_ID],FME_Input[STRUCT_100])</f>
        <v>0</v>
      </c>
      <c r="J1836" s="178">
        <f>(FME_Ranking1[[#This Row],[Structures 100 Raw]]/I$2)*100</f>
        <v>0</v>
      </c>
      <c r="K1836" s="178">
        <f>FME_Ranking1[[#This Row],[Structures 100  Score (Normalized, Unweighted)]]*$I$3</f>
        <v>0</v>
      </c>
      <c r="L1836" s="246">
        <f>_xlfn.XLOOKUP(FME_Ranking1[[#This Row],[FME ID]],FME_Input[FME_ID],FME_Input[RES_STRUCT100])</f>
        <v>0</v>
      </c>
      <c r="M1836" s="230">
        <f>(FME_Ranking1[[#This Row],[Res Structures Raw]]/L$2)*100</f>
        <v>0</v>
      </c>
      <c r="N1836" s="180">
        <f>FME_Ranking1[[#This Row],[Res Structures Score (Normalized, Unweighted)]]*$L$3</f>
        <v>0</v>
      </c>
      <c r="O1836" s="244">
        <f>_xlfn.XLOOKUP(FME_Ranking1[[#This Row],[FME ID]],FME_Input[FME_ID],FME_Input[POP100])</f>
        <v>0</v>
      </c>
      <c r="P1836" s="178">
        <f>(FME_Ranking1[[#This Row],[Pop Raw]]/$O$2)*100</f>
        <v>0</v>
      </c>
      <c r="Q1836" s="178">
        <f>FME_Ranking1[[#This Row],[Pop Score (Normalized, Unweighted)]]*$O$3</f>
        <v>0</v>
      </c>
      <c r="R1836" s="137">
        <f>_xlfn.XLOOKUP(FME_Ranking1[[#This Row],[FME ID]],FME_Input[FME_ID],FME_Input[CRITFAC100])</f>
        <v>0</v>
      </c>
      <c r="S1836" s="230">
        <f>(FME_Ranking1[[#This Row],[Critical Facilities Raw]]/$R$2)*100</f>
        <v>0</v>
      </c>
      <c r="T1836" s="180">
        <f>FME_Ranking1[[#This Row],[Critical Facilities Score (Normalized, Unweighted)]]*$R$3</f>
        <v>0</v>
      </c>
      <c r="U1836">
        <f>_xlfn.XLOOKUP(FME_Ranking1[[#This Row],[FME ID]],FME_Input[FME_ID],FME_Input[LWC])</f>
        <v>0</v>
      </c>
      <c r="V1836" s="178">
        <f>(FME_Ranking1[[#This Row],[LWC Raw]]/$U$2)*100</f>
        <v>0</v>
      </c>
      <c r="W1836" s="178">
        <f>FME_Ranking1[[#This Row],[LWC Score (Normalized, Unweighted)]]*$U$3</f>
        <v>0</v>
      </c>
      <c r="X1836" s="246">
        <f>_xlfn.XLOOKUP(FME_Ranking1[[#This Row],[FME ID]],FME_Input[FME_ID],FME_Input[ROADCLS])</f>
        <v>6</v>
      </c>
      <c r="Y1836" s="230">
        <f>(FME_Ranking1[[#This Row],[Closures Raw]]/$X$2)*100</f>
        <v>6.3084849122069186E-2</v>
      </c>
      <c r="Z1836" s="180">
        <f>FME_Ranking1[[#This Row],[Closures Score (Normalized, Unweighted)]]*$X$3</f>
        <v>3.1542424561034595E-3</v>
      </c>
      <c r="AA1836" s="253">
        <f>_xlfn.XLOOKUP(FME_Ranking1[[#This Row],[FME ID]],FME_Input[FME_ID],FME_Input[ROAD_MILES100])</f>
        <v>0.44659000635147089</v>
      </c>
      <c r="AB1836" s="178">
        <f>(FME_Ranking1[[#This Row],[Miles Raw]]/$AA$2)*100</f>
        <v>5.8718575867418082E-3</v>
      </c>
      <c r="AC1836" s="178">
        <f>FME_Ranking1[[#This Row],[Miles Score (Normalized, Unweighted)]]*$AA$3</f>
        <v>5.8718575867418082E-4</v>
      </c>
      <c r="AD1836" s="255">
        <f>_xlfn.XLOOKUP(FME_Ranking1[[#This Row],[FME ID]],FME_Input[FME_ID],FME_Input[FARMACRE100])</f>
        <v>4.9456520080566406</v>
      </c>
      <c r="AE1836" s="230">
        <f>(FME_Ranking1[[#This Row],[Ag Land Raw]]/$AD$2)*100</f>
        <v>2.0393654958279507E-4</v>
      </c>
      <c r="AF1836" s="231">
        <f>FME_Ranking1[[#This Row],[Ag Land Score (Normalized, Unweighted)]]*$AD$3</f>
        <v>1.0196827479139754E-5</v>
      </c>
      <c r="AG183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3.7516250422567799E-3</v>
      </c>
      <c r="AH1836" s="406">
        <f t="shared" si="28"/>
        <v>1866</v>
      </c>
      <c r="AI183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3.7516250422567799E-3</v>
      </c>
      <c r="AJ1836" s="257">
        <f>FME_Ranking1[[#This Row],[Addition check]]-FME_Ranking1[[#This Row],[Weighted Score Based on Normalized Reported Factors]]</f>
        <v>0</v>
      </c>
      <c r="AK1836" s="178">
        <f>_xlfn.RANK.EQ(AI1836,$AI$6:$AI$2341,0)+COUNTIF($AI$6:AI1836,AI1836)-1</f>
        <v>1866</v>
      </c>
    </row>
    <row r="1837" spans="1:37" x14ac:dyDescent="0.25">
      <c r="A1837" t="s">
        <v>8459</v>
      </c>
      <c r="B1837">
        <f>_xlfn.XLOOKUP(FME_Ranking1[[#This Row],[FME ID]],FME_Input[FME_ID],FME_Input[RFPG_NUM])</f>
        <v>10</v>
      </c>
      <c r="C1837" t="str">
        <f>_xlfn.XLOOKUP(FME_Ranking1[[#This Row],[FME ID]],FME_Input[FME_ID],FME_Input[FME_NAME])</f>
        <v>Lake Travis/Cross Street Area Buyout Project Planning</v>
      </c>
      <c r="D1837" t="str">
        <f>_xlfn.XLOOKUP(FME_Ranking1[[#This Row],[FME ID]],FME_Input[FME_ID],FME_Input[DESCR])</f>
        <v>Project planning for acquisition of property located in floodplain of Lake Travis and Cross St Area, or other mitigation actions. Develop technical data required for FMP.</v>
      </c>
      <c r="E1837" s="256">
        <f>_xlfn.XLOOKUP(FME_Ranking1[[#This Row],[FME ID]],FME_Input[FME_ID],FME_Input[FME_COST])</f>
        <v>100000</v>
      </c>
      <c r="F1837" t="str">
        <f>_xlfn.XLOOKUP(FME_Ranking1[[#This Row],[FME ID]],FME_Input[FME_ID],FME_Input[EMER_NEED])</f>
        <v>No</v>
      </c>
      <c r="G1837">
        <f>IF(FME_Ranking!F1837="Yes",100,0)</f>
        <v>0</v>
      </c>
      <c r="H1837">
        <f>FME_Ranking1[[#This Row],[Emergency Need Score (Normalized, Unweighted)]]*$F$3</f>
        <v>0</v>
      </c>
      <c r="I1837" s="246">
        <f>_xlfn.XLOOKUP(FME_Ranking1[[#This Row],[FME ID]],FME_Input[FME_ID],FME_Input[STRUCT_100])</f>
        <v>18</v>
      </c>
      <c r="J1837" s="178">
        <f>(FME_Ranking1[[#This Row],[Structures 100 Raw]]/I$2)*100</f>
        <v>9.6388638992417428E-3</v>
      </c>
      <c r="K1837" s="178">
        <f>FME_Ranking1[[#This Row],[Structures 100  Score (Normalized, Unweighted)]]*$I$3</f>
        <v>1.4458295848862614E-3</v>
      </c>
      <c r="L1837" s="246">
        <f>_xlfn.XLOOKUP(FME_Ranking1[[#This Row],[FME ID]],FME_Input[FME_ID],FME_Input[RES_STRUCT100])</f>
        <v>18</v>
      </c>
      <c r="M1837" s="230">
        <f>(FME_Ranking1[[#This Row],[Res Structures Raw]]/L$2)*100</f>
        <v>1.2749500644558088E-2</v>
      </c>
      <c r="N1837" s="180">
        <f>FME_Ranking1[[#This Row],[Res Structures Score (Normalized, Unweighted)]]*$L$3</f>
        <v>1.2749500644558089E-3</v>
      </c>
      <c r="O1837" s="244">
        <f>_xlfn.XLOOKUP(FME_Ranking1[[#This Row],[FME ID]],FME_Input[FME_ID],FME_Input[POP100])</f>
        <v>27</v>
      </c>
      <c r="P1837" s="178">
        <f>(FME_Ranking1[[#This Row],[Pop Raw]]/$O$2)*100</f>
        <v>2.7641334236966088E-3</v>
      </c>
      <c r="Q1837" s="178">
        <f>FME_Ranking1[[#This Row],[Pop Score (Normalized, Unweighted)]]*$O$3</f>
        <v>4.1462001355449134E-4</v>
      </c>
      <c r="R1837" s="137">
        <f>_xlfn.XLOOKUP(FME_Ranking1[[#This Row],[FME ID]],FME_Input[FME_ID],FME_Input[CRITFAC100])</f>
        <v>0</v>
      </c>
      <c r="S1837" s="230">
        <f>(FME_Ranking1[[#This Row],[Critical Facilities Raw]]/$R$2)*100</f>
        <v>0</v>
      </c>
      <c r="T1837" s="180">
        <f>FME_Ranking1[[#This Row],[Critical Facilities Score (Normalized, Unweighted)]]*$R$3</f>
        <v>0</v>
      </c>
      <c r="U1837">
        <f>_xlfn.XLOOKUP(FME_Ranking1[[#This Row],[FME ID]],FME_Input[FME_ID],FME_Input[LWC])</f>
        <v>0</v>
      </c>
      <c r="V1837" s="178">
        <f>(FME_Ranking1[[#This Row],[LWC Raw]]/$U$2)*100</f>
        <v>0</v>
      </c>
      <c r="W1837" s="178">
        <f>FME_Ranking1[[#This Row],[LWC Score (Normalized, Unweighted)]]*$U$3</f>
        <v>0</v>
      </c>
      <c r="X1837" s="246">
        <f>_xlfn.XLOOKUP(FME_Ranking1[[#This Row],[FME ID]],FME_Input[FME_ID],FME_Input[ROADCLS])</f>
        <v>0</v>
      </c>
      <c r="Y1837" s="230">
        <f>(FME_Ranking1[[#This Row],[Closures Raw]]/$X$2)*100</f>
        <v>0</v>
      </c>
      <c r="Z1837" s="180">
        <f>FME_Ranking1[[#This Row],[Closures Score (Normalized, Unweighted)]]*$X$3</f>
        <v>0</v>
      </c>
      <c r="AA1837" s="253">
        <f>_xlfn.XLOOKUP(FME_Ranking1[[#This Row],[FME ID]],FME_Input[FME_ID],FME_Input[ROAD_MILES100])</f>
        <v>0.42453712224960333</v>
      </c>
      <c r="AB1837" s="178">
        <f>(FME_Ranking1[[#This Row],[Miles Raw]]/$AA$2)*100</f>
        <v>5.5819017145067769E-3</v>
      </c>
      <c r="AC1837" s="178">
        <f>FME_Ranking1[[#This Row],[Miles Score (Normalized, Unweighted)]]*$AA$3</f>
        <v>5.5819017145067773E-4</v>
      </c>
      <c r="AD1837" s="255">
        <f>_xlfn.XLOOKUP(FME_Ranking1[[#This Row],[FME ID]],FME_Input[FME_ID],FME_Input[FARMACRE100])</f>
        <v>12.70980167388916</v>
      </c>
      <c r="AE1837" s="230">
        <f>(FME_Ranking1[[#This Row],[Ag Land Raw]]/$AD$2)*100</f>
        <v>5.2409532555710366E-4</v>
      </c>
      <c r="AF1837" s="231">
        <f>FME_Ranking1[[#This Row],[Ag Land Score (Normalized, Unweighted)]]*$AD$3</f>
        <v>2.6204766277855183E-5</v>
      </c>
      <c r="AG183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3.7197946006250946E-3</v>
      </c>
      <c r="AH1837" s="406">
        <f t="shared" si="28"/>
        <v>1870</v>
      </c>
      <c r="AI183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3.7197946006250946E-3</v>
      </c>
      <c r="AJ1837" s="257">
        <f>FME_Ranking1[[#This Row],[Addition check]]-FME_Ranking1[[#This Row],[Weighted Score Based on Normalized Reported Factors]]</f>
        <v>0</v>
      </c>
      <c r="AK1837" s="178">
        <f>_xlfn.RANK.EQ(AI1837,$AI$6:$AI$2341,0)+COUNTIF($AI$6:AI1837,AI1837)-1</f>
        <v>1870</v>
      </c>
    </row>
    <row r="1838" spans="1:37" x14ac:dyDescent="0.25">
      <c r="A1838" t="s">
        <v>11067</v>
      </c>
      <c r="B1838">
        <f>_xlfn.XLOOKUP(FME_Ranking1[[#This Row],[FME ID]],FME_Input[FME_ID],FME_Input[RFPG_NUM])</f>
        <v>15</v>
      </c>
      <c r="C1838" t="str">
        <f>_xlfn.XLOOKUP(FME_Ranking1[[#This Row],[FME ID]],FME_Input[FME_ID],FME_Input[FME_NAME])</f>
        <v>Risk Area 12 Fox Borough Drive</v>
      </c>
      <c r="D1838" t="str">
        <f>_xlfn.XLOOKUP(FME_Ranking1[[#This Row],[FME ID]],FME_Input[FME_ID],FME_Input[DESCR])</f>
        <v>Project includes bypassing flow from inlet at Point Loma Drive and North Point Drive to the detention pond with 1 - 8’x4’ RCB and Installing additional curb inlets on N. Point Drive and Silver Oak Circle.</v>
      </c>
      <c r="E1838" s="256">
        <f>_xlfn.XLOOKUP(FME_Ranking1[[#This Row],[FME ID]],FME_Input[FME_ID],FME_Input[FME_COST])</f>
        <v>177870</v>
      </c>
      <c r="F1838" t="str">
        <f>_xlfn.XLOOKUP(FME_Ranking1[[#This Row],[FME ID]],FME_Input[FME_ID],FME_Input[EMER_NEED])</f>
        <v>Yes</v>
      </c>
      <c r="G1838">
        <f>IF(FME_Ranking!F1838="Yes",100,0)</f>
        <v>100</v>
      </c>
      <c r="H1838">
        <f>FME_Ranking1[[#This Row],[Emergency Need Score (Normalized, Unweighted)]]*$F$3</f>
        <v>0</v>
      </c>
      <c r="I1838" s="246">
        <f>_xlfn.XLOOKUP(FME_Ranking1[[#This Row],[FME ID]],FME_Input[FME_ID],FME_Input[STRUCT_100])</f>
        <v>0</v>
      </c>
      <c r="J1838" s="178">
        <f>(FME_Ranking1[[#This Row],[Structures 100 Raw]]/I$2)*100</f>
        <v>0</v>
      </c>
      <c r="K1838" s="178">
        <f>FME_Ranking1[[#This Row],[Structures 100  Score (Normalized, Unweighted)]]*$I$3</f>
        <v>0</v>
      </c>
      <c r="L1838" s="246">
        <f>_xlfn.XLOOKUP(FME_Ranking1[[#This Row],[FME ID]],FME_Input[FME_ID],FME_Input[RES_STRUCT100])</f>
        <v>24</v>
      </c>
      <c r="M1838" s="230">
        <f>(FME_Ranking1[[#This Row],[Res Structures Raw]]/L$2)*100</f>
        <v>1.6999334192744117E-2</v>
      </c>
      <c r="N1838" s="180">
        <f>FME_Ranking1[[#This Row],[Res Structures Score (Normalized, Unweighted)]]*$L$3</f>
        <v>1.6999334192744119E-3</v>
      </c>
      <c r="O1838" s="244">
        <f>_xlfn.XLOOKUP(FME_Ranking1[[#This Row],[FME ID]],FME_Input[FME_ID],FME_Input[POP100])</f>
        <v>95</v>
      </c>
      <c r="P1838" s="178">
        <f>(FME_Ranking1[[#This Row],[Pop Raw]]/$O$2)*100</f>
        <v>9.7256546389325113E-3</v>
      </c>
      <c r="Q1838" s="178">
        <f>FME_Ranking1[[#This Row],[Pop Score (Normalized, Unweighted)]]*$O$3</f>
        <v>1.4588481958398767E-3</v>
      </c>
      <c r="R1838" s="137">
        <f>_xlfn.XLOOKUP(FME_Ranking1[[#This Row],[FME ID]],FME_Input[FME_ID],FME_Input[CRITFAC100])</f>
        <v>0</v>
      </c>
      <c r="S1838" s="230">
        <f>(FME_Ranking1[[#This Row],[Critical Facilities Raw]]/$R$2)*100</f>
        <v>0</v>
      </c>
      <c r="T1838" s="180">
        <f>FME_Ranking1[[#This Row],[Critical Facilities Score (Normalized, Unweighted)]]*$R$3</f>
        <v>0</v>
      </c>
      <c r="U1838">
        <f>_xlfn.XLOOKUP(FME_Ranking1[[#This Row],[FME ID]],FME_Input[FME_ID],FME_Input[LWC])</f>
        <v>0</v>
      </c>
      <c r="V1838" s="178">
        <f>(FME_Ranking1[[#This Row],[LWC Raw]]/$U$2)*100</f>
        <v>0</v>
      </c>
      <c r="W1838" s="178">
        <f>FME_Ranking1[[#This Row],[LWC Score (Normalized, Unweighted)]]*$U$3</f>
        <v>0</v>
      </c>
      <c r="X1838" s="246">
        <f>_xlfn.XLOOKUP(FME_Ranking1[[#This Row],[FME ID]],FME_Input[FME_ID],FME_Input[ROADCLS])</f>
        <v>0</v>
      </c>
      <c r="Y1838" s="230">
        <f>(FME_Ranking1[[#This Row],[Closures Raw]]/$X$2)*100</f>
        <v>0</v>
      </c>
      <c r="Z1838" s="180">
        <f>FME_Ranking1[[#This Row],[Closures Score (Normalized, Unweighted)]]*$X$3</f>
        <v>0</v>
      </c>
      <c r="AA1838" s="253">
        <f>_xlfn.XLOOKUP(FME_Ranking1[[#This Row],[FME ID]],FME_Input[FME_ID],FME_Input[ROAD_MILES100])</f>
        <v>0.39124000072479248</v>
      </c>
      <c r="AB1838" s="178">
        <f>(FME_Ranking1[[#This Row],[Miles Raw]]/$AA$2)*100</f>
        <v>5.1441042876466444E-3</v>
      </c>
      <c r="AC1838" s="178">
        <f>FME_Ranking1[[#This Row],[Miles Score (Normalized, Unweighted)]]*$AA$3</f>
        <v>5.1441042876466448E-4</v>
      </c>
      <c r="AD1838" s="255">
        <f>_xlfn.XLOOKUP(FME_Ranking1[[#This Row],[FME ID]],FME_Input[FME_ID],FME_Input[FARMACRE100])</f>
        <v>0</v>
      </c>
      <c r="AE1838" s="230">
        <f>(FME_Ranking1[[#This Row],[Ag Land Raw]]/$AD$2)*100</f>
        <v>0</v>
      </c>
      <c r="AF1838" s="231">
        <f>FME_Ranking1[[#This Row],[Ag Land Score (Normalized, Unweighted)]]*$AD$3</f>
        <v>0</v>
      </c>
      <c r="AG183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3.673192043878953E-3</v>
      </c>
      <c r="AH1838" s="406">
        <f t="shared" si="28"/>
        <v>1875</v>
      </c>
      <c r="AI183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3.673192043878953E-3</v>
      </c>
      <c r="AJ1838" s="257">
        <f>FME_Ranking1[[#This Row],[Addition check]]-FME_Ranking1[[#This Row],[Weighted Score Based on Normalized Reported Factors]]</f>
        <v>0</v>
      </c>
      <c r="AK1838" s="178">
        <f>_xlfn.RANK.EQ(AI1838,$AI$6:$AI$2341,0)+COUNTIF($AI$6:AI1838,AI1838)-1</f>
        <v>1875</v>
      </c>
    </row>
    <row r="1839" spans="1:37" x14ac:dyDescent="0.25">
      <c r="A1839" t="s">
        <v>10119</v>
      </c>
      <c r="B1839">
        <f>_xlfn.XLOOKUP(FME_Ranking1[[#This Row],[FME ID]],FME_Input[FME_ID],FME_Input[RFPG_NUM])</f>
        <v>13</v>
      </c>
      <c r="C1839" t="str">
        <f>_xlfn.XLOOKUP(FME_Ranking1[[#This Row],[FME ID]],FME_Input[FME_ID],FME_Input[FME_NAME])</f>
        <v>Westview Apartment Detention Pond Underground Drainage- FH#6</v>
      </c>
      <c r="D1839" t="str">
        <f>_xlfn.XLOOKUP(FME_Ranking1[[#This Row],[FME ID]],FME_Input[FME_ID],FME_Input[DESCR])</f>
        <v>Install series of underground storm water trunk lines and drop structures in the alley running along Colorado Street before tying in to the proposed drainage on Garcia Street.</v>
      </c>
      <c r="E1839" s="256">
        <f>_xlfn.XLOOKUP(FME_Ranking1[[#This Row],[FME ID]],FME_Input[FME_ID],FME_Input[FME_COST])</f>
        <v>233000</v>
      </c>
      <c r="F1839" t="str">
        <f>_xlfn.XLOOKUP(FME_Ranking1[[#This Row],[FME ID]],FME_Input[FME_ID],FME_Input[EMER_NEED])</f>
        <v>Yes</v>
      </c>
      <c r="G1839">
        <f>IF(FME_Ranking!F1839="Yes",100,0)</f>
        <v>100</v>
      </c>
      <c r="H1839">
        <f>FME_Ranking1[[#This Row],[Emergency Need Score (Normalized, Unweighted)]]*$F$3</f>
        <v>0</v>
      </c>
      <c r="I1839" s="246">
        <f>_xlfn.XLOOKUP(FME_Ranking1[[#This Row],[FME ID]],FME_Input[FME_ID],FME_Input[STRUCT_100])</f>
        <v>0</v>
      </c>
      <c r="J1839" s="178">
        <f>(FME_Ranking1[[#This Row],[Structures 100 Raw]]/I$2)*100</f>
        <v>0</v>
      </c>
      <c r="K1839" s="178">
        <f>FME_Ranking1[[#This Row],[Structures 100  Score (Normalized, Unweighted)]]*$I$3</f>
        <v>0</v>
      </c>
      <c r="L1839" s="246">
        <f>_xlfn.XLOOKUP(FME_Ranking1[[#This Row],[FME ID]],FME_Input[FME_ID],FME_Input[RES_STRUCT100])</f>
        <v>0</v>
      </c>
      <c r="M1839" s="230">
        <f>(FME_Ranking1[[#This Row],[Res Structures Raw]]/L$2)*100</f>
        <v>0</v>
      </c>
      <c r="N1839" s="180">
        <f>FME_Ranking1[[#This Row],[Res Structures Score (Normalized, Unweighted)]]*$L$3</f>
        <v>0</v>
      </c>
      <c r="O1839" s="244">
        <f>_xlfn.XLOOKUP(FME_Ranking1[[#This Row],[FME ID]],FME_Input[FME_ID],FME_Input[POP100])</f>
        <v>0</v>
      </c>
      <c r="P1839" s="178">
        <f>(FME_Ranking1[[#This Row],[Pop Raw]]/$O$2)*100</f>
        <v>0</v>
      </c>
      <c r="Q1839" s="178">
        <f>FME_Ranking1[[#This Row],[Pop Score (Normalized, Unweighted)]]*$O$3</f>
        <v>0</v>
      </c>
      <c r="R1839" s="137">
        <f>_xlfn.XLOOKUP(FME_Ranking1[[#This Row],[FME ID]],FME_Input[FME_ID],FME_Input[CRITFAC100])</f>
        <v>0</v>
      </c>
      <c r="S1839" s="230">
        <f>(FME_Ranking1[[#This Row],[Critical Facilities Raw]]/$R$2)*100</f>
        <v>0</v>
      </c>
      <c r="T1839" s="180">
        <f>FME_Ranking1[[#This Row],[Critical Facilities Score (Normalized, Unweighted)]]*$R$3</f>
        <v>0</v>
      </c>
      <c r="U1839">
        <f>_xlfn.XLOOKUP(FME_Ranking1[[#This Row],[FME ID]],FME_Input[FME_ID],FME_Input[LWC])</f>
        <v>0</v>
      </c>
      <c r="V1839" s="178">
        <f>(FME_Ranking1[[#This Row],[LWC Raw]]/$U$2)*100</f>
        <v>0</v>
      </c>
      <c r="W1839" s="178">
        <f>FME_Ranking1[[#This Row],[LWC Score (Normalized, Unweighted)]]*$U$3</f>
        <v>0</v>
      </c>
      <c r="X1839" s="246">
        <f>_xlfn.XLOOKUP(FME_Ranking1[[#This Row],[FME ID]],FME_Input[FME_ID],FME_Input[ROADCLS])</f>
        <v>6</v>
      </c>
      <c r="Y1839" s="230">
        <f>(FME_Ranking1[[#This Row],[Closures Raw]]/$X$2)*100</f>
        <v>6.3084849122069186E-2</v>
      </c>
      <c r="Z1839" s="180">
        <f>FME_Ranking1[[#This Row],[Closures Score (Normalized, Unweighted)]]*$X$3</f>
        <v>3.1542424561034595E-3</v>
      </c>
      <c r="AA1839" s="253">
        <f>_xlfn.XLOOKUP(FME_Ranking1[[#This Row],[FME ID]],FME_Input[FME_ID],FME_Input[ROAD_MILES100])</f>
        <v>0.17813000082969671</v>
      </c>
      <c r="AB1839" s="178">
        <f>(FME_Ranking1[[#This Row],[Miles Raw]]/$AA$2)*100</f>
        <v>2.3420900197551726E-3</v>
      </c>
      <c r="AC1839" s="178">
        <f>FME_Ranking1[[#This Row],[Miles Score (Normalized, Unweighted)]]*$AA$3</f>
        <v>2.3420900197551728E-4</v>
      </c>
      <c r="AD1839" s="255">
        <f>_xlfn.XLOOKUP(FME_Ranking1[[#This Row],[FME ID]],FME_Input[FME_ID],FME_Input[FARMACRE100])</f>
        <v>0</v>
      </c>
      <c r="AE1839" s="230">
        <f>(FME_Ranking1[[#This Row],[Ag Land Raw]]/$AD$2)*100</f>
        <v>0</v>
      </c>
      <c r="AF1839" s="231">
        <f>FME_Ranking1[[#This Row],[Ag Land Score (Normalized, Unweighted)]]*$AD$3</f>
        <v>0</v>
      </c>
      <c r="AG183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3.3884514580789769E-3</v>
      </c>
      <c r="AH1839" s="406">
        <f t="shared" si="28"/>
        <v>1884</v>
      </c>
      <c r="AI183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3.3884514580789769E-3</v>
      </c>
      <c r="AJ1839" s="257">
        <f>FME_Ranking1[[#This Row],[Addition check]]-FME_Ranking1[[#This Row],[Weighted Score Based on Normalized Reported Factors]]</f>
        <v>0</v>
      </c>
      <c r="AK1839" s="178">
        <f>_xlfn.RANK.EQ(AI1839,$AI$6:$AI$2341,0)+COUNTIF($AI$6:AI1839,AI1839)-1</f>
        <v>1884</v>
      </c>
    </row>
    <row r="1840" spans="1:37" x14ac:dyDescent="0.25">
      <c r="A1840" t="s">
        <v>10204</v>
      </c>
      <c r="B1840">
        <f>_xlfn.XLOOKUP(FME_Ranking1[[#This Row],[FME ID]],FME_Input[FME_ID],FME_Input[RFPG_NUM])</f>
        <v>13</v>
      </c>
      <c r="C1840" t="str">
        <f>_xlfn.XLOOKUP(FME_Ranking1[[#This Row],[FME ID]],FME_Input[FME_ID],FME_Input[FME_NAME])</f>
        <v>Burnt Boot Creek Drainage Improvement Project</v>
      </c>
      <c r="D1840" t="str">
        <f>_xlfn.XLOOKUP(FME_Ranking1[[#This Row],[FME ID]],FME_Input[FME_ID],FME_Input[DESCR])</f>
        <v xml:space="preserve">Two-phase project to improve drainage at Burnt Boot Creek in Devine, TX. </v>
      </c>
      <c r="E1840" s="256">
        <f>_xlfn.XLOOKUP(FME_Ranking1[[#This Row],[FME ID]],FME_Input[FME_ID],FME_Input[FME_COST])</f>
        <v>506000</v>
      </c>
      <c r="F1840" t="str">
        <f>_xlfn.XLOOKUP(FME_Ranking1[[#This Row],[FME ID]],FME_Input[FME_ID],FME_Input[EMER_NEED])</f>
        <v>Yes</v>
      </c>
      <c r="G1840">
        <f>IF(FME_Ranking!F1840="Yes",100,0)</f>
        <v>100</v>
      </c>
      <c r="H1840">
        <f>FME_Ranking1[[#This Row],[Emergency Need Score (Normalized, Unweighted)]]*$F$3</f>
        <v>0</v>
      </c>
      <c r="I1840" s="246">
        <f>_xlfn.XLOOKUP(FME_Ranking1[[#This Row],[FME ID]],FME_Input[FME_ID],FME_Input[STRUCT_100])</f>
        <v>0</v>
      </c>
      <c r="J1840" s="178">
        <f>(FME_Ranking1[[#This Row],[Structures 100 Raw]]/I$2)*100</f>
        <v>0</v>
      </c>
      <c r="K1840" s="178">
        <f>FME_Ranking1[[#This Row],[Structures 100  Score (Normalized, Unweighted)]]*$I$3</f>
        <v>0</v>
      </c>
      <c r="L1840" s="246">
        <f>_xlfn.XLOOKUP(FME_Ranking1[[#This Row],[FME ID]],FME_Input[FME_ID],FME_Input[RES_STRUCT100])</f>
        <v>0</v>
      </c>
      <c r="M1840" s="230">
        <f>(FME_Ranking1[[#This Row],[Res Structures Raw]]/L$2)*100</f>
        <v>0</v>
      </c>
      <c r="N1840" s="180">
        <f>FME_Ranking1[[#This Row],[Res Structures Score (Normalized, Unweighted)]]*$L$3</f>
        <v>0</v>
      </c>
      <c r="O1840" s="244">
        <f>_xlfn.XLOOKUP(FME_Ranking1[[#This Row],[FME ID]],FME_Input[FME_ID],FME_Input[POP100])</f>
        <v>0</v>
      </c>
      <c r="P1840" s="178">
        <f>(FME_Ranking1[[#This Row],[Pop Raw]]/$O$2)*100</f>
        <v>0</v>
      </c>
      <c r="Q1840" s="178">
        <f>FME_Ranking1[[#This Row],[Pop Score (Normalized, Unweighted)]]*$O$3</f>
        <v>0</v>
      </c>
      <c r="R1840" s="137">
        <f>_xlfn.XLOOKUP(FME_Ranking1[[#This Row],[FME ID]],FME_Input[FME_ID],FME_Input[CRITFAC100])</f>
        <v>0</v>
      </c>
      <c r="S1840" s="230">
        <f>(FME_Ranking1[[#This Row],[Critical Facilities Raw]]/$R$2)*100</f>
        <v>0</v>
      </c>
      <c r="T1840" s="180">
        <f>FME_Ranking1[[#This Row],[Critical Facilities Score (Normalized, Unweighted)]]*$R$3</f>
        <v>0</v>
      </c>
      <c r="U1840">
        <f>_xlfn.XLOOKUP(FME_Ranking1[[#This Row],[FME ID]],FME_Input[FME_ID],FME_Input[LWC])</f>
        <v>0</v>
      </c>
      <c r="V1840" s="178">
        <f>(FME_Ranking1[[#This Row],[LWC Raw]]/$U$2)*100</f>
        <v>0</v>
      </c>
      <c r="W1840" s="178">
        <f>FME_Ranking1[[#This Row],[LWC Score (Normalized, Unweighted)]]*$U$3</f>
        <v>0</v>
      </c>
      <c r="X1840" s="246">
        <f>_xlfn.XLOOKUP(FME_Ranking1[[#This Row],[FME ID]],FME_Input[FME_ID],FME_Input[ROADCLS])</f>
        <v>6</v>
      </c>
      <c r="Y1840" s="230">
        <f>(FME_Ranking1[[#This Row],[Closures Raw]]/$X$2)*100</f>
        <v>6.3084849122069186E-2</v>
      </c>
      <c r="Z1840" s="180">
        <f>FME_Ranking1[[#This Row],[Closures Score (Normalized, Unweighted)]]*$X$3</f>
        <v>3.1542424561034595E-3</v>
      </c>
      <c r="AA1840" s="253">
        <f>_xlfn.XLOOKUP(FME_Ranking1[[#This Row],[FME ID]],FME_Input[FME_ID],FME_Input[ROAD_MILES100])</f>
        <v>0.1015837863087654</v>
      </c>
      <c r="AB1840" s="178">
        <f>(FME_Ranking1[[#This Row],[Miles Raw]]/$AA$2)*100</f>
        <v>1.3356445908859916E-3</v>
      </c>
      <c r="AC1840" s="178">
        <f>FME_Ranking1[[#This Row],[Miles Score (Normalized, Unweighted)]]*$AA$3</f>
        <v>1.3356445908859916E-4</v>
      </c>
      <c r="AD1840" s="255">
        <f>_xlfn.XLOOKUP(FME_Ranking1[[#This Row],[FME ID]],FME_Input[FME_ID],FME_Input[FARMACRE100])</f>
        <v>0</v>
      </c>
      <c r="AE1840" s="230">
        <f>(FME_Ranking1[[#This Row],[Ag Land Raw]]/$AD$2)*100</f>
        <v>0</v>
      </c>
      <c r="AF1840" s="231">
        <f>FME_Ranking1[[#This Row],[Ag Land Score (Normalized, Unweighted)]]*$AD$3</f>
        <v>0</v>
      </c>
      <c r="AG184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3.2878069151920587E-3</v>
      </c>
      <c r="AH1840" s="406">
        <f t="shared" si="28"/>
        <v>1888</v>
      </c>
      <c r="AI184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3.2878069151920587E-3</v>
      </c>
      <c r="AJ1840" s="257">
        <f>FME_Ranking1[[#This Row],[Addition check]]-FME_Ranking1[[#This Row],[Weighted Score Based on Normalized Reported Factors]]</f>
        <v>0</v>
      </c>
      <c r="AK1840" s="178">
        <f>_xlfn.RANK.EQ(AI1840,$AI$6:$AI$2341,0)+COUNTIF($AI$6:AI1840,AI1840)-1</f>
        <v>1888</v>
      </c>
    </row>
    <row r="1841" spans="1:37" x14ac:dyDescent="0.25">
      <c r="A1841" t="s">
        <v>7136</v>
      </c>
      <c r="B1841">
        <f>_xlfn.XLOOKUP(FME_Ranking1[[#This Row],[FME ID]],FME_Input[FME_ID],FME_Input[RFPG_NUM])</f>
        <v>7</v>
      </c>
      <c r="C1841" t="str">
        <f>_xlfn.XLOOKUP(FME_Ranking1[[#This Row],[FME ID]],FME_Input[FME_ID],FME_Input[FME_NAME])</f>
        <v>City of Baird Buyout Program</v>
      </c>
      <c r="D1841" t="str">
        <f>_xlfn.XLOOKUP(FME_Ranking1[[#This Row],[FME ID]],FME_Input[FME_ID],FME_Input[DESCR])</f>
        <v>Develop a land acquisition program in flood hazard areas.</v>
      </c>
      <c r="E1841" s="256">
        <f>_xlfn.XLOOKUP(FME_Ranking1[[#This Row],[FME ID]],FME_Input[FME_ID],FME_Input[FME_COST])</f>
        <v>1000000</v>
      </c>
      <c r="F1841" t="str">
        <f>_xlfn.XLOOKUP(FME_Ranking1[[#This Row],[FME ID]],FME_Input[FME_ID],FME_Input[EMER_NEED])</f>
        <v>No</v>
      </c>
      <c r="G1841">
        <f>IF(FME_Ranking!F1841="Yes",100,0)</f>
        <v>0</v>
      </c>
      <c r="H1841">
        <f>FME_Ranking1[[#This Row],[Emergency Need Score (Normalized, Unweighted)]]*$F$3</f>
        <v>0</v>
      </c>
      <c r="I1841" s="246">
        <f>_xlfn.XLOOKUP(FME_Ranking1[[#This Row],[FME ID]],FME_Input[FME_ID],FME_Input[STRUCT_100])</f>
        <v>21</v>
      </c>
      <c r="J1841" s="178">
        <f>(FME_Ranking1[[#This Row],[Structures 100 Raw]]/I$2)*100</f>
        <v>1.1245341215782032E-2</v>
      </c>
      <c r="K1841" s="178">
        <f>FME_Ranking1[[#This Row],[Structures 100  Score (Normalized, Unweighted)]]*$I$3</f>
        <v>1.6868011823673048E-3</v>
      </c>
      <c r="L1841" s="246">
        <f>_xlfn.XLOOKUP(FME_Ranking1[[#This Row],[FME ID]],FME_Input[FME_ID],FME_Input[RES_STRUCT100])</f>
        <v>12</v>
      </c>
      <c r="M1841" s="230">
        <f>(FME_Ranking1[[#This Row],[Res Structures Raw]]/L$2)*100</f>
        <v>8.4996670963720586E-3</v>
      </c>
      <c r="N1841" s="180">
        <f>FME_Ranking1[[#This Row],[Res Structures Score (Normalized, Unweighted)]]*$L$3</f>
        <v>8.4996670963720595E-4</v>
      </c>
      <c r="O1841" s="244">
        <f>_xlfn.XLOOKUP(FME_Ranking1[[#This Row],[FME ID]],FME_Input[FME_ID],FME_Input[POP100])</f>
        <v>39</v>
      </c>
      <c r="P1841" s="178">
        <f>(FME_Ranking1[[#This Row],[Pop Raw]]/$O$2)*100</f>
        <v>3.9926371675617685E-3</v>
      </c>
      <c r="Q1841" s="178">
        <f>FME_Ranking1[[#This Row],[Pop Score (Normalized, Unweighted)]]*$O$3</f>
        <v>5.988955751342653E-4</v>
      </c>
      <c r="R1841" s="137">
        <f>_xlfn.XLOOKUP(FME_Ranking1[[#This Row],[FME ID]],FME_Input[FME_ID],FME_Input[CRITFAC100])</f>
        <v>0</v>
      </c>
      <c r="S1841" s="230">
        <f>(FME_Ranking1[[#This Row],[Critical Facilities Raw]]/$R$2)*100</f>
        <v>0</v>
      </c>
      <c r="T1841" s="180">
        <f>FME_Ranking1[[#This Row],[Critical Facilities Score (Normalized, Unweighted)]]*$R$3</f>
        <v>0</v>
      </c>
      <c r="U1841">
        <f>_xlfn.XLOOKUP(FME_Ranking1[[#This Row],[FME ID]],FME_Input[FME_ID],FME_Input[LWC])</f>
        <v>0</v>
      </c>
      <c r="V1841" s="178">
        <f>(FME_Ranking1[[#This Row],[LWC Raw]]/$U$2)*100</f>
        <v>0</v>
      </c>
      <c r="W1841" s="178">
        <f>FME_Ranking1[[#This Row],[LWC Score (Normalized, Unweighted)]]*$U$3</f>
        <v>0</v>
      </c>
      <c r="X1841" s="246">
        <f>_xlfn.XLOOKUP(FME_Ranking1[[#This Row],[FME ID]],FME_Input[FME_ID],FME_Input[ROADCLS])</f>
        <v>0</v>
      </c>
      <c r="Y1841" s="230">
        <f>(FME_Ranking1[[#This Row],[Closures Raw]]/$X$2)*100</f>
        <v>0</v>
      </c>
      <c r="Z1841" s="180">
        <f>FME_Ranking1[[#This Row],[Closures Score (Normalized, Unweighted)]]*$X$3</f>
        <v>0</v>
      </c>
      <c r="AA1841" s="253">
        <f>_xlfn.XLOOKUP(FME_Ranking1[[#This Row],[FME ID]],FME_Input[FME_ID],FME_Input[ROAD_MILES100])</f>
        <v>5.1416993141174316</v>
      </c>
      <c r="AB1841" s="178">
        <f>(FME_Ranking1[[#This Row],[Miles Raw]]/$AA$2)*100</f>
        <v>6.7604123909984479E-2</v>
      </c>
      <c r="AC1841" s="178">
        <f>FME_Ranking1[[#This Row],[Miles Score (Normalized, Unweighted)]]*$AA$3</f>
        <v>6.7604123909984484E-3</v>
      </c>
      <c r="AD1841" s="255">
        <f>_xlfn.XLOOKUP(FME_Ranking1[[#This Row],[FME ID]],FME_Input[FME_ID],FME_Input[FARMACRE100])</f>
        <v>0</v>
      </c>
      <c r="AE1841" s="230">
        <f>(FME_Ranking1[[#This Row],[Ag Land Raw]]/$AD$2)*100</f>
        <v>0</v>
      </c>
      <c r="AF1841" s="231">
        <f>FME_Ranking1[[#This Row],[Ag Land Score (Normalized, Unweighted)]]*$AD$3</f>
        <v>0</v>
      </c>
      <c r="AG184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9.8960758581372252E-3</v>
      </c>
      <c r="AH1841" s="406">
        <f t="shared" si="28"/>
        <v>1754</v>
      </c>
      <c r="AI184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9.8960758581372252E-3</v>
      </c>
      <c r="AJ1841" s="257">
        <f>FME_Ranking1[[#This Row],[Addition check]]-FME_Ranking1[[#This Row],[Weighted Score Based on Normalized Reported Factors]]</f>
        <v>0</v>
      </c>
      <c r="AK1841" s="178">
        <f>_xlfn.RANK.EQ(AI1841,$AI$6:$AI$2341,0)+COUNTIF($AI$6:AI1841,AI1841)-1</f>
        <v>1754</v>
      </c>
    </row>
    <row r="1842" spans="1:37" x14ac:dyDescent="0.25">
      <c r="A1842" t="s">
        <v>7142</v>
      </c>
      <c r="B1842">
        <f>_xlfn.XLOOKUP(FME_Ranking1[[#This Row],[FME ID]],FME_Input[FME_ID],FME_Input[RFPG_NUM])</f>
        <v>7</v>
      </c>
      <c r="C1842" t="str">
        <f>_xlfn.XLOOKUP(FME_Ranking1[[#This Row],[FME ID]],FME_Input[FME_ID],FME_Input[FME_NAME])</f>
        <v>City of Baird Higher Standards Program</v>
      </c>
      <c r="D1842" t="str">
        <f>_xlfn.XLOOKUP(FME_Ranking1[[#This Row],[FME ID]],FME_Input[FME_ID],FME_Input[DESCR])</f>
        <v>Adopt higher standards for new construction, increase freeboard requirements for structures in the SFHA; adopt a “no-rise” in BFE in the 100-year floodplain.  Update local flood ordinance to prohibit granting of variance in SFHA; Include “cumulativ</v>
      </c>
      <c r="E1842" s="256">
        <f>_xlfn.XLOOKUP(FME_Ranking1[[#This Row],[FME ID]],FME_Input[FME_ID],FME_Input[FME_COST])</f>
        <v>25000</v>
      </c>
      <c r="F1842" t="str">
        <f>_xlfn.XLOOKUP(FME_Ranking1[[#This Row],[FME ID]],FME_Input[FME_ID],FME_Input[EMER_NEED])</f>
        <v>No</v>
      </c>
      <c r="G1842">
        <f>IF(FME_Ranking!F1842="Yes",100,0)</f>
        <v>0</v>
      </c>
      <c r="H1842">
        <f>FME_Ranking1[[#This Row],[Emergency Need Score (Normalized, Unweighted)]]*$F$3</f>
        <v>0</v>
      </c>
      <c r="I1842" s="246">
        <f>_xlfn.XLOOKUP(FME_Ranking1[[#This Row],[FME ID]],FME_Input[FME_ID],FME_Input[STRUCT_100])</f>
        <v>21</v>
      </c>
      <c r="J1842" s="178">
        <f>(FME_Ranking1[[#This Row],[Structures 100 Raw]]/I$2)*100</f>
        <v>1.1245341215782032E-2</v>
      </c>
      <c r="K1842" s="178">
        <f>FME_Ranking1[[#This Row],[Structures 100  Score (Normalized, Unweighted)]]*$I$3</f>
        <v>1.6868011823673048E-3</v>
      </c>
      <c r="L1842" s="246">
        <f>_xlfn.XLOOKUP(FME_Ranking1[[#This Row],[FME ID]],FME_Input[FME_ID],FME_Input[RES_STRUCT100])</f>
        <v>12</v>
      </c>
      <c r="M1842" s="230">
        <f>(FME_Ranking1[[#This Row],[Res Structures Raw]]/L$2)*100</f>
        <v>8.4996670963720586E-3</v>
      </c>
      <c r="N1842" s="180">
        <f>FME_Ranking1[[#This Row],[Res Structures Score (Normalized, Unweighted)]]*$L$3</f>
        <v>8.4996670963720595E-4</v>
      </c>
      <c r="O1842" s="244">
        <f>_xlfn.XLOOKUP(FME_Ranking1[[#This Row],[FME ID]],FME_Input[FME_ID],FME_Input[POP100])</f>
        <v>39</v>
      </c>
      <c r="P1842" s="178">
        <f>(FME_Ranking1[[#This Row],[Pop Raw]]/$O$2)*100</f>
        <v>3.9926371675617685E-3</v>
      </c>
      <c r="Q1842" s="178">
        <f>FME_Ranking1[[#This Row],[Pop Score (Normalized, Unweighted)]]*$O$3</f>
        <v>5.988955751342653E-4</v>
      </c>
      <c r="R1842" s="137">
        <f>_xlfn.XLOOKUP(FME_Ranking1[[#This Row],[FME ID]],FME_Input[FME_ID],FME_Input[CRITFAC100])</f>
        <v>0</v>
      </c>
      <c r="S1842" s="230">
        <f>(FME_Ranking1[[#This Row],[Critical Facilities Raw]]/$R$2)*100</f>
        <v>0</v>
      </c>
      <c r="T1842" s="180">
        <f>FME_Ranking1[[#This Row],[Critical Facilities Score (Normalized, Unweighted)]]*$R$3</f>
        <v>0</v>
      </c>
      <c r="U1842">
        <f>_xlfn.XLOOKUP(FME_Ranking1[[#This Row],[FME ID]],FME_Input[FME_ID],FME_Input[LWC])</f>
        <v>0</v>
      </c>
      <c r="V1842" s="178">
        <f>(FME_Ranking1[[#This Row],[LWC Raw]]/$U$2)*100</f>
        <v>0</v>
      </c>
      <c r="W1842" s="178">
        <f>FME_Ranking1[[#This Row],[LWC Score (Normalized, Unweighted)]]*$U$3</f>
        <v>0</v>
      </c>
      <c r="X1842" s="246">
        <f>_xlfn.XLOOKUP(FME_Ranking1[[#This Row],[FME ID]],FME_Input[FME_ID],FME_Input[ROADCLS])</f>
        <v>0</v>
      </c>
      <c r="Y1842" s="230">
        <f>(FME_Ranking1[[#This Row],[Closures Raw]]/$X$2)*100</f>
        <v>0</v>
      </c>
      <c r="Z1842" s="180">
        <f>FME_Ranking1[[#This Row],[Closures Score (Normalized, Unweighted)]]*$X$3</f>
        <v>0</v>
      </c>
      <c r="AA1842" s="253">
        <f>_xlfn.XLOOKUP(FME_Ranking1[[#This Row],[FME ID]],FME_Input[FME_ID],FME_Input[ROAD_MILES100])</f>
        <v>5.1416993141174316</v>
      </c>
      <c r="AB1842" s="178">
        <f>(FME_Ranking1[[#This Row],[Miles Raw]]/$AA$2)*100</f>
        <v>6.7604123909984479E-2</v>
      </c>
      <c r="AC1842" s="178">
        <f>FME_Ranking1[[#This Row],[Miles Score (Normalized, Unweighted)]]*$AA$3</f>
        <v>6.7604123909984484E-3</v>
      </c>
      <c r="AD1842" s="255">
        <f>_xlfn.XLOOKUP(FME_Ranking1[[#This Row],[FME ID]],FME_Input[FME_ID],FME_Input[FARMACRE100])</f>
        <v>0</v>
      </c>
      <c r="AE1842" s="230">
        <f>(FME_Ranking1[[#This Row],[Ag Land Raw]]/$AD$2)*100</f>
        <v>0</v>
      </c>
      <c r="AF1842" s="231">
        <f>FME_Ranking1[[#This Row],[Ag Land Score (Normalized, Unweighted)]]*$AD$3</f>
        <v>0</v>
      </c>
      <c r="AG184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9.8960758581372252E-3</v>
      </c>
      <c r="AH1842" s="406">
        <f t="shared" si="28"/>
        <v>1754</v>
      </c>
      <c r="AI184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9.8960758581372252E-3</v>
      </c>
      <c r="AJ1842" s="257">
        <f>FME_Ranking1[[#This Row],[Addition check]]-FME_Ranking1[[#This Row],[Weighted Score Based on Normalized Reported Factors]]</f>
        <v>0</v>
      </c>
      <c r="AK1842" s="178">
        <f>_xlfn.RANK.EQ(AI1842,$AI$6:$AI$2341,0)+COUNTIF($AI$6:AI1842,AI1842)-1</f>
        <v>1755</v>
      </c>
    </row>
    <row r="1843" spans="1:37" x14ac:dyDescent="0.25">
      <c r="A1843" t="s">
        <v>142</v>
      </c>
      <c r="B1843">
        <f>_xlfn.XLOOKUP(FME_Ranking1[[#This Row],[FME ID]],FME_Input[FME_ID],FME_Input[RFPG_NUM])</f>
        <v>10</v>
      </c>
      <c r="C1843" t="str">
        <f>_xlfn.XLOOKUP(FME_Ranking1[[#This Row],[FME ID]],FME_Input[FME_ID],FME_Input[FME_NAME])</f>
        <v>Taylor Lane Drainage Improvements</v>
      </c>
      <c r="D1843" t="str">
        <f>_xlfn.XLOOKUP(FME_Ranking1[[#This Row],[FME ID]],FME_Input[FME_ID],FME_Input[DESCR])</f>
        <v>Upgrade to stormwater drainage system in the northeastern part of the city; capacity of existing drainage infrastructure in this area is insufficient as per current city drainage requirements</v>
      </c>
      <c r="E1843" s="256">
        <f>_xlfn.XLOOKUP(FME_Ranking1[[#This Row],[FME ID]],FME_Input[FME_ID],FME_Input[FME_COST])</f>
        <v>100000</v>
      </c>
      <c r="F1843" t="str">
        <f>_xlfn.XLOOKUP(FME_Ranking1[[#This Row],[FME ID]],FME_Input[FME_ID],FME_Input[EMER_NEED])</f>
        <v>No</v>
      </c>
      <c r="G1843">
        <f>IF(FME_Ranking!F1843="Yes",100,0)</f>
        <v>0</v>
      </c>
      <c r="H1843">
        <f>FME_Ranking1[[#This Row],[Emergency Need Score (Normalized, Unweighted)]]*$F$3</f>
        <v>0</v>
      </c>
      <c r="I1843" s="246">
        <f>_xlfn.XLOOKUP(FME_Ranking1[[#This Row],[FME ID]],FME_Input[FME_ID],FME_Input[STRUCT_100])</f>
        <v>14</v>
      </c>
      <c r="J1843" s="178">
        <f>(FME_Ranking1[[#This Row],[Structures 100 Raw]]/I$2)*100</f>
        <v>7.4968941438546891E-3</v>
      </c>
      <c r="K1843" s="178">
        <f>FME_Ranking1[[#This Row],[Structures 100  Score (Normalized, Unweighted)]]*$I$3</f>
        <v>1.1245341215782034E-3</v>
      </c>
      <c r="L1843" s="246">
        <f>_xlfn.XLOOKUP(FME_Ranking1[[#This Row],[FME ID]],FME_Input[FME_ID],FME_Input[RES_STRUCT100])</f>
        <v>14</v>
      </c>
      <c r="M1843" s="230">
        <f>(FME_Ranking1[[#This Row],[Res Structures Raw]]/L$2)*100</f>
        <v>9.9162782791007362E-3</v>
      </c>
      <c r="N1843" s="180">
        <f>FME_Ranking1[[#This Row],[Res Structures Score (Normalized, Unweighted)]]*$L$3</f>
        <v>9.9162782791007375E-4</v>
      </c>
      <c r="O1843" s="244">
        <f>_xlfn.XLOOKUP(FME_Ranking1[[#This Row],[FME ID]],FME_Input[FME_ID],FME_Input[POP100])</f>
        <v>50</v>
      </c>
      <c r="P1843" s="178">
        <f>(FME_Ranking1[[#This Row],[Pop Raw]]/$O$2)*100</f>
        <v>5.118765599438164E-3</v>
      </c>
      <c r="Q1843" s="178">
        <f>FME_Ranking1[[#This Row],[Pop Score (Normalized, Unweighted)]]*$O$3</f>
        <v>7.6781483991572455E-4</v>
      </c>
      <c r="R1843" s="137">
        <f>_xlfn.XLOOKUP(FME_Ranking1[[#This Row],[FME ID]],FME_Input[FME_ID],FME_Input[CRITFAC100])</f>
        <v>0</v>
      </c>
      <c r="S1843" s="230">
        <f>(FME_Ranking1[[#This Row],[Critical Facilities Raw]]/$R$2)*100</f>
        <v>0</v>
      </c>
      <c r="T1843" s="180">
        <f>FME_Ranking1[[#This Row],[Critical Facilities Score (Normalized, Unweighted)]]*$R$3</f>
        <v>0</v>
      </c>
      <c r="U1843">
        <f>_xlfn.XLOOKUP(FME_Ranking1[[#This Row],[FME ID]],FME_Input[FME_ID],FME_Input[LWC])</f>
        <v>0</v>
      </c>
      <c r="V1843" s="178">
        <f>(FME_Ranking1[[#This Row],[LWC Raw]]/$U$2)*100</f>
        <v>0</v>
      </c>
      <c r="W1843" s="178">
        <f>FME_Ranking1[[#This Row],[LWC Score (Normalized, Unweighted)]]*$U$3</f>
        <v>0</v>
      </c>
      <c r="X1843" s="246">
        <f>_xlfn.XLOOKUP(FME_Ranking1[[#This Row],[FME ID]],FME_Input[FME_ID],FME_Input[ROADCLS])</f>
        <v>0</v>
      </c>
      <c r="Y1843" s="230">
        <f>(FME_Ranking1[[#This Row],[Closures Raw]]/$X$2)*100</f>
        <v>0</v>
      </c>
      <c r="Z1843" s="180">
        <f>FME_Ranking1[[#This Row],[Closures Score (Normalized, Unweighted)]]*$X$3</f>
        <v>0</v>
      </c>
      <c r="AA1843" s="253">
        <f>_xlfn.XLOOKUP(FME_Ranking1[[#This Row],[FME ID]],FME_Input[FME_ID],FME_Input[ROAD_MILES100])</f>
        <v>0.18110325932502749</v>
      </c>
      <c r="AB1843" s="178">
        <f>(FME_Ranking1[[#This Row],[Miles Raw]]/$AA$2)*100</f>
        <v>2.3811830361793076E-3</v>
      </c>
      <c r="AC1843" s="178">
        <f>FME_Ranking1[[#This Row],[Miles Score (Normalized, Unweighted)]]*$AA$3</f>
        <v>2.3811830361793076E-4</v>
      </c>
      <c r="AD1843" s="255">
        <f>_xlfn.XLOOKUP(FME_Ranking1[[#This Row],[FME ID]],FME_Input[FME_ID],FME_Input[FARMACRE100])</f>
        <v>111.6944274902344</v>
      </c>
      <c r="AE1843" s="230">
        <f>(FME_Ranking1[[#This Row],[Ag Land Raw]]/$AD$2)*100</f>
        <v>4.6057781891805163E-3</v>
      </c>
      <c r="AF1843" s="231">
        <f>FME_Ranking1[[#This Row],[Ag Land Score (Normalized, Unweighted)]]*$AD$3</f>
        <v>2.3028890945902582E-4</v>
      </c>
      <c r="AG184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3.3523840024809581E-3</v>
      </c>
      <c r="AH1843" s="406">
        <f t="shared" si="28"/>
        <v>1886</v>
      </c>
      <c r="AI184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3.3523840024809581E-3</v>
      </c>
      <c r="AJ1843" s="257">
        <f>FME_Ranking1[[#This Row],[Addition check]]-FME_Ranking1[[#This Row],[Weighted Score Based on Normalized Reported Factors]]</f>
        <v>0</v>
      </c>
      <c r="AK1843" s="178">
        <f>_xlfn.RANK.EQ(AI1843,$AI$6:$AI$2341,0)+COUNTIF($AI$6:AI1843,AI1843)-1</f>
        <v>1886</v>
      </c>
    </row>
    <row r="1844" spans="1:37" x14ac:dyDescent="0.25">
      <c r="A1844" t="s">
        <v>11144</v>
      </c>
      <c r="B1844">
        <f>_xlfn.XLOOKUP(FME_Ranking1[[#This Row],[FME ID]],FME_Input[FME_ID],FME_Input[RFPG_NUM])</f>
        <v>15</v>
      </c>
      <c r="C1844" t="str">
        <f>_xlfn.XLOOKUP(FME_Ranking1[[#This Row],[FME ID]],FME_Input[FME_ID],FME_Input[FME_NAME])</f>
        <v>Laguna Vista Action #10</v>
      </c>
      <c r="D1844" t="str">
        <f>_xlfn.XLOOKUP(FME_Ranking1[[#This Row],[FME ID]],FME_Input[FME_ID],FME_Input[DESCR])</f>
        <v>Drainage Improvements: Harden and reinforce head wall along the Laguna Madre bay off Beach Boulevard</v>
      </c>
      <c r="E1844" s="256">
        <f>_xlfn.XLOOKUP(FME_Ranking1[[#This Row],[FME ID]],FME_Input[FME_ID],FME_Input[FME_COST])</f>
        <v>924000</v>
      </c>
      <c r="F1844" t="str">
        <f>_xlfn.XLOOKUP(FME_Ranking1[[#This Row],[FME ID]],FME_Input[FME_ID],FME_Input[EMER_NEED])</f>
        <v>Yes</v>
      </c>
      <c r="G1844">
        <f>IF(FME_Ranking!F1844="Yes",100,0)</f>
        <v>100</v>
      </c>
      <c r="H1844">
        <f>FME_Ranking1[[#This Row],[Emergency Need Score (Normalized, Unweighted)]]*$F$3</f>
        <v>0</v>
      </c>
      <c r="I1844" s="246">
        <f>_xlfn.XLOOKUP(FME_Ranking1[[#This Row],[FME ID]],FME_Input[FME_ID],FME_Input[STRUCT_100])</f>
        <v>0</v>
      </c>
      <c r="J1844" s="178">
        <f>(FME_Ranking1[[#This Row],[Structures 100 Raw]]/I$2)*100</f>
        <v>0</v>
      </c>
      <c r="K1844" s="178">
        <f>FME_Ranking1[[#This Row],[Structures 100  Score (Normalized, Unweighted)]]*$I$3</f>
        <v>0</v>
      </c>
      <c r="L1844" s="246">
        <f>_xlfn.XLOOKUP(FME_Ranking1[[#This Row],[FME ID]],FME_Input[FME_ID],FME_Input[RES_STRUCT100])</f>
        <v>25</v>
      </c>
      <c r="M1844" s="230">
        <f>(FME_Ranking1[[#This Row],[Res Structures Raw]]/L$2)*100</f>
        <v>1.7707639784108456E-2</v>
      </c>
      <c r="N1844" s="180">
        <f>FME_Ranking1[[#This Row],[Res Structures Score (Normalized, Unweighted)]]*$L$3</f>
        <v>1.7707639784108457E-3</v>
      </c>
      <c r="O1844" s="244">
        <f>_xlfn.XLOOKUP(FME_Ranking1[[#This Row],[FME ID]],FME_Input[FME_ID],FME_Input[POP100])</f>
        <v>83</v>
      </c>
      <c r="P1844" s="178">
        <f>(FME_Ranking1[[#This Row],[Pop Raw]]/$O$2)*100</f>
        <v>8.497150895067352E-3</v>
      </c>
      <c r="Q1844" s="178">
        <f>FME_Ranking1[[#This Row],[Pop Score (Normalized, Unweighted)]]*$O$3</f>
        <v>1.2745726342601028E-3</v>
      </c>
      <c r="R1844" s="137">
        <f>_xlfn.XLOOKUP(FME_Ranking1[[#This Row],[FME ID]],FME_Input[FME_ID],FME_Input[CRITFAC100])</f>
        <v>0</v>
      </c>
      <c r="S1844" s="230">
        <f>(FME_Ranking1[[#This Row],[Critical Facilities Raw]]/$R$2)*100</f>
        <v>0</v>
      </c>
      <c r="T1844" s="180">
        <f>FME_Ranking1[[#This Row],[Critical Facilities Score (Normalized, Unweighted)]]*$R$3</f>
        <v>0</v>
      </c>
      <c r="U1844">
        <f>_xlfn.XLOOKUP(FME_Ranking1[[#This Row],[FME ID]],FME_Input[FME_ID],FME_Input[LWC])</f>
        <v>0</v>
      </c>
      <c r="V1844" s="178">
        <f>(FME_Ranking1[[#This Row],[LWC Raw]]/$U$2)*100</f>
        <v>0</v>
      </c>
      <c r="W1844" s="178">
        <f>FME_Ranking1[[#This Row],[LWC Score (Normalized, Unweighted)]]*$U$3</f>
        <v>0</v>
      </c>
      <c r="X1844" s="246">
        <f>_xlfn.XLOOKUP(FME_Ranking1[[#This Row],[FME ID]],FME_Input[FME_ID],FME_Input[ROADCLS])</f>
        <v>0</v>
      </c>
      <c r="Y1844" s="230">
        <f>(FME_Ranking1[[#This Row],[Closures Raw]]/$X$2)*100</f>
        <v>0</v>
      </c>
      <c r="Z1844" s="180">
        <f>FME_Ranking1[[#This Row],[Closures Score (Normalized, Unweighted)]]*$X$3</f>
        <v>0</v>
      </c>
      <c r="AA1844" s="253">
        <f>_xlfn.XLOOKUP(FME_Ranking1[[#This Row],[FME ID]],FME_Input[FME_ID],FME_Input[ROAD_MILES100])</f>
        <v>0.45812198519706732</v>
      </c>
      <c r="AB1844" s="178">
        <f>(FME_Ranking1[[#This Row],[Miles Raw]]/$AA$2)*100</f>
        <v>6.0234824249863293E-3</v>
      </c>
      <c r="AC1844" s="178">
        <f>FME_Ranking1[[#This Row],[Miles Score (Normalized, Unweighted)]]*$AA$3</f>
        <v>6.0234824249863299E-4</v>
      </c>
      <c r="AD1844" s="255">
        <f>_xlfn.XLOOKUP(FME_Ranking1[[#This Row],[FME ID]],FME_Input[FME_ID],FME_Input[FARMACRE100])</f>
        <v>0</v>
      </c>
      <c r="AE1844" s="230">
        <f>(FME_Ranking1[[#This Row],[Ag Land Raw]]/$AD$2)*100</f>
        <v>0</v>
      </c>
      <c r="AF1844" s="231">
        <f>FME_Ranking1[[#This Row],[Ag Land Score (Normalized, Unweighted)]]*$AD$3</f>
        <v>0</v>
      </c>
      <c r="AG184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3.6476848551695818E-3</v>
      </c>
      <c r="AH1844" s="406">
        <f t="shared" si="28"/>
        <v>1876</v>
      </c>
      <c r="AI184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3.6476848551695818E-3</v>
      </c>
      <c r="AJ1844" s="257">
        <f>FME_Ranking1[[#This Row],[Addition check]]-FME_Ranking1[[#This Row],[Weighted Score Based on Normalized Reported Factors]]</f>
        <v>0</v>
      </c>
      <c r="AK1844" s="178">
        <f>_xlfn.RANK.EQ(AI1844,$AI$6:$AI$2341,0)+COUNTIF($AI$6:AI1844,AI1844)-1</f>
        <v>1876</v>
      </c>
    </row>
    <row r="1845" spans="1:37" x14ac:dyDescent="0.25">
      <c r="A1845" t="s">
        <v>1775</v>
      </c>
      <c r="B1845">
        <f>_xlfn.XLOOKUP(FME_Ranking1[[#This Row],[FME ID]],FME_Input[FME_ID],FME_Input[RFPG_NUM])</f>
        <v>6</v>
      </c>
      <c r="C1845" t="str">
        <f>_xlfn.XLOOKUP(FME_Ranking1[[#This Row],[FME ID]],FME_Input[FME_ID],FME_Input[FME_NAME])</f>
        <v>City of Stagecoach Master Drainage Plan</v>
      </c>
      <c r="D1845" t="str">
        <f>_xlfn.XLOOKUP(FME_Ranking1[[#This Row],[FME ID]],FME_Input[FME_ID],FME_Input[DESCR])</f>
        <v>Study to develop Master Drainage Plan using future and existing land use and flood/storm water drainage needs including Atlas 14 rainfall.</v>
      </c>
      <c r="E1845" s="256">
        <f>_xlfn.XLOOKUP(FME_Ranking1[[#This Row],[FME ID]],FME_Input[FME_ID],FME_Input[FME_COST])</f>
        <v>160000</v>
      </c>
      <c r="F1845" t="str">
        <f>_xlfn.XLOOKUP(FME_Ranking1[[#This Row],[FME ID]],FME_Input[FME_ID],FME_Input[EMER_NEED])</f>
        <v>No</v>
      </c>
      <c r="G1845">
        <f>IF(FME_Ranking!F1845="Yes",100,0)</f>
        <v>0</v>
      </c>
      <c r="H1845">
        <f>FME_Ranking1[[#This Row],[Emergency Need Score (Normalized, Unweighted)]]*$F$3</f>
        <v>0</v>
      </c>
      <c r="I1845" s="246">
        <f>_xlfn.XLOOKUP(FME_Ranking1[[#This Row],[FME ID]],FME_Input[FME_ID],FME_Input[STRUCT_100])</f>
        <v>18</v>
      </c>
      <c r="J1845" s="178">
        <f>(FME_Ranking1[[#This Row],[Structures 100 Raw]]/I$2)*100</f>
        <v>9.6388638992417428E-3</v>
      </c>
      <c r="K1845" s="178">
        <f>FME_Ranking1[[#This Row],[Structures 100  Score (Normalized, Unweighted)]]*$I$3</f>
        <v>1.4458295848862614E-3</v>
      </c>
      <c r="L1845" s="246">
        <f>_xlfn.XLOOKUP(FME_Ranking1[[#This Row],[FME ID]],FME_Input[FME_ID],FME_Input[RES_STRUCT100])</f>
        <v>16</v>
      </c>
      <c r="M1845" s="230">
        <f>(FME_Ranking1[[#This Row],[Res Structures Raw]]/L$2)*100</f>
        <v>1.1332889461829412E-2</v>
      </c>
      <c r="N1845" s="180">
        <f>FME_Ranking1[[#This Row],[Res Structures Score (Normalized, Unweighted)]]*$L$3</f>
        <v>1.1332889461829413E-3</v>
      </c>
      <c r="O1845" s="244">
        <f>_xlfn.XLOOKUP(FME_Ranking1[[#This Row],[FME ID]],FME_Input[FME_ID],FME_Input[POP100])</f>
        <v>28</v>
      </c>
      <c r="P1845" s="178">
        <f>(FME_Ranking1[[#This Row],[Pop Raw]]/$O$2)*100</f>
        <v>2.8665087356853718E-3</v>
      </c>
      <c r="Q1845" s="178">
        <f>FME_Ranking1[[#This Row],[Pop Score (Normalized, Unweighted)]]*$O$3</f>
        <v>4.2997631035280578E-4</v>
      </c>
      <c r="R1845" s="137">
        <f>_xlfn.XLOOKUP(FME_Ranking1[[#This Row],[FME ID]],FME_Input[FME_ID],FME_Input[CRITFAC100])</f>
        <v>0</v>
      </c>
      <c r="S1845" s="230">
        <f>(FME_Ranking1[[#This Row],[Critical Facilities Raw]]/$R$2)*100</f>
        <v>0</v>
      </c>
      <c r="T1845" s="180">
        <f>FME_Ranking1[[#This Row],[Critical Facilities Score (Normalized, Unweighted)]]*$R$3</f>
        <v>0</v>
      </c>
      <c r="U1845">
        <f>_xlfn.XLOOKUP(FME_Ranking1[[#This Row],[FME ID]],FME_Input[FME_ID],FME_Input[LWC])</f>
        <v>0</v>
      </c>
      <c r="V1845" s="178">
        <f>(FME_Ranking1[[#This Row],[LWC Raw]]/$U$2)*100</f>
        <v>0</v>
      </c>
      <c r="W1845" s="178">
        <f>FME_Ranking1[[#This Row],[LWC Score (Normalized, Unweighted)]]*$U$3</f>
        <v>0</v>
      </c>
      <c r="X1845" s="246">
        <f>_xlfn.XLOOKUP(FME_Ranking1[[#This Row],[FME ID]],FME_Input[FME_ID],FME_Input[ROADCLS])</f>
        <v>0</v>
      </c>
      <c r="Y1845" s="230">
        <f>(FME_Ranking1[[#This Row],[Closures Raw]]/$X$2)*100</f>
        <v>0</v>
      </c>
      <c r="Z1845" s="180">
        <f>FME_Ranking1[[#This Row],[Closures Score (Normalized, Unweighted)]]*$X$3</f>
        <v>0</v>
      </c>
      <c r="AA1845" s="253">
        <f>_xlfn.XLOOKUP(FME_Ranking1[[#This Row],[FME ID]],FME_Input[FME_ID],FME_Input[ROAD_MILES100])</f>
        <v>0.76369726657867432</v>
      </c>
      <c r="AB1845" s="178">
        <f>(FME_Ranking1[[#This Row],[Miles Raw]]/$AA$2)*100</f>
        <v>1.0041249300157342E-2</v>
      </c>
      <c r="AC1845" s="178">
        <f>FME_Ranking1[[#This Row],[Miles Score (Normalized, Unweighted)]]*$AA$3</f>
        <v>1.0041249300157342E-3</v>
      </c>
      <c r="AD1845" s="255">
        <f>_xlfn.XLOOKUP(FME_Ranking1[[#This Row],[FME ID]],FME_Input[FME_ID],FME_Input[FARMACRE100])</f>
        <v>6.1692199669778347E-3</v>
      </c>
      <c r="AE1845" s="230">
        <f>(FME_Ranking1[[#This Row],[Ag Land Raw]]/$AD$2)*100</f>
        <v>2.5439101490222272E-7</v>
      </c>
      <c r="AF1845" s="231">
        <f>FME_Ranking1[[#This Row],[Ag Land Score (Normalized, Unweighted)]]*$AD$3</f>
        <v>1.2719550745111137E-8</v>
      </c>
      <c r="AG184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4.013232490988488E-3</v>
      </c>
      <c r="AH1845" s="406">
        <f t="shared" si="28"/>
        <v>1862</v>
      </c>
      <c r="AI184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4.013232490988488E-3</v>
      </c>
      <c r="AJ1845" s="257">
        <f>FME_Ranking1[[#This Row],[Addition check]]-FME_Ranking1[[#This Row],[Weighted Score Based on Normalized Reported Factors]]</f>
        <v>0</v>
      </c>
      <c r="AK1845" s="178">
        <f>_xlfn.RANK.EQ(AI1845,$AI$6:$AI$2341,0)+COUNTIF($AI$6:AI1845,AI1845)-1</f>
        <v>1862</v>
      </c>
    </row>
    <row r="1846" spans="1:37" x14ac:dyDescent="0.25">
      <c r="A1846" t="s">
        <v>5161</v>
      </c>
      <c r="B1846">
        <f>_xlfn.XLOOKUP(FME_Ranking1[[#This Row],[FME ID]],FME_Input[FME_ID],FME_Input[RFPG_NUM])</f>
        <v>3</v>
      </c>
      <c r="C1846" t="str">
        <f>_xlfn.XLOOKUP(FME_Ranking1[[#This Row],[FME ID]],FME_Input[FME_ID],FME_Input[FME_NAME])</f>
        <v>Hurst Creek Watershed Study</v>
      </c>
      <c r="D1846" t="str">
        <f>_xlfn.XLOOKUP(FME_Ranking1[[#This Row],[FME ID]],FME_Input[FME_ID],FME_Input[DESCR])</f>
        <v>Study to improve knowledge of flood risks and facilitate the analysis of proposed developments within or adjacent to the floodplain.</v>
      </c>
      <c r="E1846" s="256">
        <f>_xlfn.XLOOKUP(FME_Ranking1[[#This Row],[FME ID]],FME_Input[FME_ID],FME_Input[FME_COST])</f>
        <v>50000</v>
      </c>
      <c r="F1846" t="str">
        <f>_xlfn.XLOOKUP(FME_Ranking1[[#This Row],[FME ID]],FME_Input[FME_ID],FME_Input[EMER_NEED])</f>
        <v>No</v>
      </c>
      <c r="G1846">
        <f>IF(FME_Ranking!F1846="Yes",100,0)</f>
        <v>0</v>
      </c>
      <c r="H1846">
        <f>FME_Ranking1[[#This Row],[Emergency Need Score (Normalized, Unweighted)]]*$F$3</f>
        <v>0</v>
      </c>
      <c r="I1846" s="246">
        <f>_xlfn.XLOOKUP(FME_Ranking1[[#This Row],[FME ID]],FME_Input[FME_ID],FME_Input[STRUCT_100])</f>
        <v>14</v>
      </c>
      <c r="J1846" s="178">
        <f>(FME_Ranking1[[#This Row],[Structures 100 Raw]]/I$2)*100</f>
        <v>7.4968941438546891E-3</v>
      </c>
      <c r="K1846" s="178">
        <f>FME_Ranking1[[#This Row],[Structures 100  Score (Normalized, Unweighted)]]*$I$3</f>
        <v>1.1245341215782034E-3</v>
      </c>
      <c r="L1846" s="246">
        <f>_xlfn.XLOOKUP(FME_Ranking1[[#This Row],[FME ID]],FME_Input[FME_ID],FME_Input[RES_STRUCT100])</f>
        <v>14</v>
      </c>
      <c r="M1846" s="230">
        <f>(FME_Ranking1[[#This Row],[Res Structures Raw]]/L$2)*100</f>
        <v>9.9162782791007362E-3</v>
      </c>
      <c r="N1846" s="180">
        <f>FME_Ranking1[[#This Row],[Res Structures Score (Normalized, Unweighted)]]*$L$3</f>
        <v>9.9162782791007375E-4</v>
      </c>
      <c r="O1846" s="244">
        <f>_xlfn.XLOOKUP(FME_Ranking1[[#This Row],[FME ID]],FME_Input[FME_ID],FME_Input[POP100])</f>
        <v>57</v>
      </c>
      <c r="P1846" s="178">
        <f>(FME_Ranking1[[#This Row],[Pop Raw]]/$O$2)*100</f>
        <v>5.8353927833595075E-3</v>
      </c>
      <c r="Q1846" s="178">
        <f>FME_Ranking1[[#This Row],[Pop Score (Normalized, Unweighted)]]*$O$3</f>
        <v>8.7530891750392612E-4</v>
      </c>
      <c r="R1846" s="137">
        <f>_xlfn.XLOOKUP(FME_Ranking1[[#This Row],[FME ID]],FME_Input[FME_ID],FME_Input[CRITFAC100])</f>
        <v>0</v>
      </c>
      <c r="S1846" s="230">
        <f>(FME_Ranking1[[#This Row],[Critical Facilities Raw]]/$R$2)*100</f>
        <v>0</v>
      </c>
      <c r="T1846" s="180">
        <f>FME_Ranking1[[#This Row],[Critical Facilities Score (Normalized, Unweighted)]]*$R$3</f>
        <v>0</v>
      </c>
      <c r="U1846">
        <f>_xlfn.XLOOKUP(FME_Ranking1[[#This Row],[FME ID]],FME_Input[FME_ID],FME_Input[LWC])</f>
        <v>0</v>
      </c>
      <c r="V1846" s="178">
        <f>(FME_Ranking1[[#This Row],[LWC Raw]]/$U$2)*100</f>
        <v>0</v>
      </c>
      <c r="W1846" s="178">
        <f>FME_Ranking1[[#This Row],[LWC Score (Normalized, Unweighted)]]*$U$3</f>
        <v>0</v>
      </c>
      <c r="X1846" s="246">
        <f>_xlfn.XLOOKUP(FME_Ranking1[[#This Row],[FME ID]],FME_Input[FME_ID],FME_Input[ROADCLS])</f>
        <v>0</v>
      </c>
      <c r="Y1846" s="230">
        <f>(FME_Ranking1[[#This Row],[Closures Raw]]/$X$2)*100</f>
        <v>0</v>
      </c>
      <c r="Z1846" s="180">
        <f>FME_Ranking1[[#This Row],[Closures Score (Normalized, Unweighted)]]*$X$3</f>
        <v>0</v>
      </c>
      <c r="AA1846" s="253">
        <f>_xlfn.XLOOKUP(FME_Ranking1[[#This Row],[FME ID]],FME_Input[FME_ID],FME_Input[ROAD_MILES100])</f>
        <v>0.28080299496650701</v>
      </c>
      <c r="AB1846" s="178">
        <f>(FME_Ranking1[[#This Row],[Miles Raw]]/$AA$2)*100</f>
        <v>3.6920557399940019E-3</v>
      </c>
      <c r="AC1846" s="178">
        <f>FME_Ranking1[[#This Row],[Miles Score (Normalized, Unweighted)]]*$AA$3</f>
        <v>3.692055739994002E-4</v>
      </c>
      <c r="AD1846" s="255">
        <f>_xlfn.XLOOKUP(FME_Ranking1[[#This Row],[FME ID]],FME_Input[FME_ID],FME_Input[FARMACRE100])</f>
        <v>5.622654914855957</v>
      </c>
      <c r="AE1846" s="230">
        <f>(FME_Ranking1[[#This Row],[Ag Land Raw]]/$AD$2)*100</f>
        <v>2.3185311885318884E-4</v>
      </c>
      <c r="AF1846" s="231">
        <f>FME_Ranking1[[#This Row],[Ag Land Score (Normalized, Unweighted)]]*$AD$3</f>
        <v>1.1592655942659442E-5</v>
      </c>
      <c r="AG184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3.3722690969342629E-3</v>
      </c>
      <c r="AH1846" s="406">
        <f t="shared" si="28"/>
        <v>1885</v>
      </c>
      <c r="AI184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3.3722690969342629E-3</v>
      </c>
      <c r="AJ1846" s="257">
        <f>FME_Ranking1[[#This Row],[Addition check]]-FME_Ranking1[[#This Row],[Weighted Score Based on Normalized Reported Factors]]</f>
        <v>0</v>
      </c>
      <c r="AK1846" s="178">
        <f>_xlfn.RANK.EQ(AI1846,$AI$6:$AI$2341,0)+COUNTIF($AI$6:AI1846,AI1846)-1</f>
        <v>1885</v>
      </c>
    </row>
    <row r="1847" spans="1:37" x14ac:dyDescent="0.25">
      <c r="A1847" t="s">
        <v>11348</v>
      </c>
      <c r="B1847">
        <f>_xlfn.XLOOKUP(FME_Ranking1[[#This Row],[FME ID]],FME_Input[FME_ID],FME_Input[RFPG_NUM])</f>
        <v>15</v>
      </c>
      <c r="C1847" t="str">
        <f>_xlfn.XLOOKUP(FME_Ranking1[[#This Row],[FME ID]],FME_Input[FME_ID],FME_Input[FME_NAME])</f>
        <v>City of La Grulla</v>
      </c>
      <c r="D1847" t="str">
        <f>_xlfn.XLOOKUP(FME_Ranking1[[#This Row],[FME ID]],FME_Input[FME_ID],FME_Input[DESCR])</f>
        <v>Develop Flood risk maps for the city of La Grulla and develop CIP</v>
      </c>
      <c r="E1847" s="256">
        <f>_xlfn.XLOOKUP(FME_Ranking1[[#This Row],[FME ID]],FME_Input[FME_ID],FME_Input[FME_COST])</f>
        <v>250000</v>
      </c>
      <c r="F1847" t="str">
        <f>_xlfn.XLOOKUP(FME_Ranking1[[#This Row],[FME ID]],FME_Input[FME_ID],FME_Input[EMER_NEED])</f>
        <v>Yes</v>
      </c>
      <c r="G1847">
        <f>IF(FME_Ranking!F1847="Yes",100,0)</f>
        <v>100</v>
      </c>
      <c r="H1847">
        <f>FME_Ranking1[[#This Row],[Emergency Need Score (Normalized, Unweighted)]]*$F$3</f>
        <v>0</v>
      </c>
      <c r="I1847" s="246">
        <f>_xlfn.XLOOKUP(FME_Ranking1[[#This Row],[FME ID]],FME_Input[FME_ID],FME_Input[STRUCT_100])</f>
        <v>0</v>
      </c>
      <c r="J1847" s="178">
        <f>(FME_Ranking1[[#This Row],[Structures 100 Raw]]/I$2)*100</f>
        <v>0</v>
      </c>
      <c r="K1847" s="178">
        <f>FME_Ranking1[[#This Row],[Structures 100  Score (Normalized, Unweighted)]]*$I$3</f>
        <v>0</v>
      </c>
      <c r="L1847" s="246">
        <f>_xlfn.XLOOKUP(FME_Ranking1[[#This Row],[FME ID]],FME_Input[FME_ID],FME_Input[RES_STRUCT100])</f>
        <v>28</v>
      </c>
      <c r="M1847" s="230">
        <f>(FME_Ranking1[[#This Row],[Res Structures Raw]]/L$2)*100</f>
        <v>1.9832556558201472E-2</v>
      </c>
      <c r="N1847" s="180">
        <f>FME_Ranking1[[#This Row],[Res Structures Score (Normalized, Unweighted)]]*$L$3</f>
        <v>1.9832556558201475E-3</v>
      </c>
      <c r="O1847" s="244">
        <f>_xlfn.XLOOKUP(FME_Ranking1[[#This Row],[FME ID]],FME_Input[FME_ID],FME_Input[POP100])</f>
        <v>65</v>
      </c>
      <c r="P1847" s="178">
        <f>(FME_Ranking1[[#This Row],[Pop Raw]]/$O$2)*100</f>
        <v>6.6543952792696131E-3</v>
      </c>
      <c r="Q1847" s="178">
        <f>FME_Ranking1[[#This Row],[Pop Score (Normalized, Unweighted)]]*$O$3</f>
        <v>9.9815929189044192E-4</v>
      </c>
      <c r="R1847" s="137">
        <f>_xlfn.XLOOKUP(FME_Ranking1[[#This Row],[FME ID]],FME_Input[FME_ID],FME_Input[CRITFAC100])</f>
        <v>0</v>
      </c>
      <c r="S1847" s="230">
        <f>(FME_Ranking1[[#This Row],[Critical Facilities Raw]]/$R$2)*100</f>
        <v>0</v>
      </c>
      <c r="T1847" s="180">
        <f>FME_Ranking1[[#This Row],[Critical Facilities Score (Normalized, Unweighted)]]*$R$3</f>
        <v>0</v>
      </c>
      <c r="U1847">
        <f>_xlfn.XLOOKUP(FME_Ranking1[[#This Row],[FME ID]],FME_Input[FME_ID],FME_Input[LWC])</f>
        <v>0</v>
      </c>
      <c r="V1847" s="178">
        <f>(FME_Ranking1[[#This Row],[LWC Raw]]/$U$2)*100</f>
        <v>0</v>
      </c>
      <c r="W1847" s="178">
        <f>FME_Ranking1[[#This Row],[LWC Score (Normalized, Unweighted)]]*$U$3</f>
        <v>0</v>
      </c>
      <c r="X1847" s="246">
        <f>_xlfn.XLOOKUP(FME_Ranking1[[#This Row],[FME ID]],FME_Input[FME_ID],FME_Input[ROADCLS])</f>
        <v>0</v>
      </c>
      <c r="Y1847" s="230">
        <f>(FME_Ranking1[[#This Row],[Closures Raw]]/$X$2)*100</f>
        <v>0</v>
      </c>
      <c r="Z1847" s="180">
        <f>FME_Ranking1[[#This Row],[Closures Score (Normalized, Unweighted)]]*$X$3</f>
        <v>0</v>
      </c>
      <c r="AA1847" s="253">
        <f>_xlfn.XLOOKUP(FME_Ranking1[[#This Row],[FME ID]],FME_Input[FME_ID],FME_Input[ROAD_MILES100])</f>
        <v>3.161639928817749</v>
      </c>
      <c r="AB1847" s="178">
        <f>(FME_Ranking1[[#This Row],[Miles Raw]]/$AA$2)*100</f>
        <v>4.1569894396525572E-2</v>
      </c>
      <c r="AC1847" s="178">
        <f>FME_Ranking1[[#This Row],[Miles Score (Normalized, Unweighted)]]*$AA$3</f>
        <v>4.1569894396525572E-3</v>
      </c>
      <c r="AD1847" s="255">
        <f>_xlfn.XLOOKUP(FME_Ranking1[[#This Row],[FME ID]],FME_Input[FME_ID],FME_Input[FARMACRE100])</f>
        <v>0</v>
      </c>
      <c r="AE1847" s="230">
        <f>(FME_Ranking1[[#This Row],[Ag Land Raw]]/$AD$2)*100</f>
        <v>0</v>
      </c>
      <c r="AF1847" s="231">
        <f>FME_Ranking1[[#This Row],[Ag Land Score (Normalized, Unweighted)]]*$AD$3</f>
        <v>0</v>
      </c>
      <c r="AG184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7.1384043873631469E-3</v>
      </c>
      <c r="AH1847" s="406">
        <f t="shared" si="28"/>
        <v>1795</v>
      </c>
      <c r="AI184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7.1384043873631469E-3</v>
      </c>
      <c r="AJ1847" s="257">
        <f>FME_Ranking1[[#This Row],[Addition check]]-FME_Ranking1[[#This Row],[Weighted Score Based on Normalized Reported Factors]]</f>
        <v>0</v>
      </c>
      <c r="AK1847" s="178">
        <f>_xlfn.RANK.EQ(AI1847,$AI$6:$AI$2341,0)+COUNTIF($AI$6:AI1847,AI1847)-1</f>
        <v>1795</v>
      </c>
    </row>
    <row r="1848" spans="1:37" x14ac:dyDescent="0.25">
      <c r="A1848" t="s">
        <v>9135</v>
      </c>
      <c r="B1848">
        <f>_xlfn.XLOOKUP(FME_Ranking1[[#This Row],[FME ID]],FME_Input[FME_ID],FME_Input[RFPG_NUM])</f>
        <v>12</v>
      </c>
      <c r="C1848" t="str">
        <f>_xlfn.XLOOKUP(FME_Ranking1[[#This Row],[FME ID]],FME_Input[FME_ID],FME_Input[FME_NAME])</f>
        <v>Study the San Antonio River, Ojo de Agua Creek  and its tributaries</v>
      </c>
      <c r="D1848" t="str">
        <f>_xlfn.XLOOKUP(FME_Ranking1[[#This Row],[FME ID]],FME_Input[FME_ID],FME_Input[DESCR])</f>
        <v>Install steam gauges and develop a study to identify solutions to flooding. Implement engineering findings to reduce and mitigate risks.</v>
      </c>
      <c r="E1848" s="256">
        <f>_xlfn.XLOOKUP(FME_Ranking1[[#This Row],[FME ID]],FME_Input[FME_ID],FME_Input[FME_COST])</f>
        <v>250000</v>
      </c>
      <c r="F1848" t="str">
        <f>_xlfn.XLOOKUP(FME_Ranking1[[#This Row],[FME ID]],FME_Input[FME_ID],FME_Input[EMER_NEED])</f>
        <v>No</v>
      </c>
      <c r="G1848">
        <f>IF(FME_Ranking!F1848="Yes",100,0)</f>
        <v>0</v>
      </c>
      <c r="H1848">
        <f>FME_Ranking1[[#This Row],[Emergency Need Score (Normalized, Unweighted)]]*$F$3</f>
        <v>0</v>
      </c>
      <c r="I1848" s="246">
        <f>_xlfn.XLOOKUP(FME_Ranking1[[#This Row],[FME ID]],FME_Input[FME_ID],FME_Input[STRUCT_100])</f>
        <v>4</v>
      </c>
      <c r="J1848" s="178">
        <f>(FME_Ranking1[[#This Row],[Structures 100 Raw]]/I$2)*100</f>
        <v>2.1419697553870542E-3</v>
      </c>
      <c r="K1848" s="178">
        <f>FME_Ranking1[[#This Row],[Structures 100  Score (Normalized, Unweighted)]]*$I$3</f>
        <v>3.2129546330805813E-4</v>
      </c>
      <c r="L1848" s="246">
        <f>_xlfn.XLOOKUP(FME_Ranking1[[#This Row],[FME ID]],FME_Input[FME_ID],FME_Input[RES_STRUCT100])</f>
        <v>3</v>
      </c>
      <c r="M1848" s="230">
        <f>(FME_Ranking1[[#This Row],[Res Structures Raw]]/L$2)*100</f>
        <v>2.1249167740930146E-3</v>
      </c>
      <c r="N1848" s="180">
        <f>FME_Ranking1[[#This Row],[Res Structures Score (Normalized, Unweighted)]]*$L$3</f>
        <v>2.1249167740930149E-4</v>
      </c>
      <c r="O1848" s="244">
        <f>_xlfn.XLOOKUP(FME_Ranking1[[#This Row],[FME ID]],FME_Input[FME_ID],FME_Input[POP100])</f>
        <v>14</v>
      </c>
      <c r="P1848" s="178">
        <f>(FME_Ranking1[[#This Row],[Pop Raw]]/$O$2)*100</f>
        <v>1.4332543678426859E-3</v>
      </c>
      <c r="Q1848" s="178">
        <f>FME_Ranking1[[#This Row],[Pop Score (Normalized, Unweighted)]]*$O$3</f>
        <v>2.1498815517640289E-4</v>
      </c>
      <c r="R1848" s="137">
        <f>_xlfn.XLOOKUP(FME_Ranking1[[#This Row],[FME ID]],FME_Input[FME_ID],FME_Input[CRITFAC100])</f>
        <v>0</v>
      </c>
      <c r="S1848" s="230">
        <f>(FME_Ranking1[[#This Row],[Critical Facilities Raw]]/$R$2)*100</f>
        <v>0</v>
      </c>
      <c r="T1848" s="180">
        <f>FME_Ranking1[[#This Row],[Critical Facilities Score (Normalized, Unweighted)]]*$R$3</f>
        <v>0</v>
      </c>
      <c r="U1848">
        <f>_xlfn.XLOOKUP(FME_Ranking1[[#This Row],[FME ID]],FME_Input[FME_ID],FME_Input[LWC])</f>
        <v>0</v>
      </c>
      <c r="V1848" s="178">
        <f>(FME_Ranking1[[#This Row],[LWC Raw]]/$U$2)*100</f>
        <v>0</v>
      </c>
      <c r="W1848" s="178">
        <f>FME_Ranking1[[#This Row],[LWC Score (Normalized, Unweighted)]]*$U$3</f>
        <v>0</v>
      </c>
      <c r="X1848" s="246">
        <f>_xlfn.XLOOKUP(FME_Ranking1[[#This Row],[FME ID]],FME_Input[FME_ID],FME_Input[ROADCLS])</f>
        <v>4</v>
      </c>
      <c r="Y1848" s="230">
        <f>(FME_Ranking1[[#This Row],[Closures Raw]]/$X$2)*100</f>
        <v>4.2056566081379455E-2</v>
      </c>
      <c r="Z1848" s="180">
        <f>FME_Ranking1[[#This Row],[Closures Score (Normalized, Unweighted)]]*$X$3</f>
        <v>2.1028283040689729E-3</v>
      </c>
      <c r="AA1848" s="253">
        <f>_xlfn.XLOOKUP(FME_Ranking1[[#This Row],[FME ID]],FME_Input[FME_ID],FME_Input[ROAD_MILES100])</f>
        <v>0.1169999986886978</v>
      </c>
      <c r="AB1848" s="178">
        <f>(FME_Ranking1[[#This Row],[Miles Raw]]/$AA$2)*100</f>
        <v>1.5383401334071276E-3</v>
      </c>
      <c r="AC1848" s="178">
        <f>FME_Ranking1[[#This Row],[Miles Score (Normalized, Unweighted)]]*$AA$3</f>
        <v>1.5383401334071278E-4</v>
      </c>
      <c r="AD1848" s="255">
        <f>_xlfn.XLOOKUP(FME_Ranking1[[#This Row],[FME ID]],FME_Input[FME_ID],FME_Input[FARMACRE100])</f>
        <v>1.163869976997375</v>
      </c>
      <c r="AE1848" s="230">
        <f>(FME_Ranking1[[#This Row],[Ag Land Raw]]/$AD$2)*100</f>
        <v>4.7992787783125684E-5</v>
      </c>
      <c r="AF1848" s="231">
        <f>FME_Ranking1[[#This Row],[Ag Land Score (Normalized, Unweighted)]]*$AD$3</f>
        <v>2.3996393891562843E-6</v>
      </c>
      <c r="AG184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3.0078372526926044E-3</v>
      </c>
      <c r="AH1848" s="406">
        <f t="shared" si="28"/>
        <v>1901</v>
      </c>
      <c r="AI184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3.0078372526926044E-3</v>
      </c>
      <c r="AJ1848" s="257">
        <f>FME_Ranking1[[#This Row],[Addition check]]-FME_Ranking1[[#This Row],[Weighted Score Based on Normalized Reported Factors]]</f>
        <v>0</v>
      </c>
      <c r="AK1848" s="178">
        <f>_xlfn.RANK.EQ(AI1848,$AI$6:$AI$2341,0)+COUNTIF($AI$6:AI1848,AI1848)-1</f>
        <v>1901</v>
      </c>
    </row>
    <row r="1849" spans="1:37" x14ac:dyDescent="0.25">
      <c r="A1849" t="s">
        <v>9422</v>
      </c>
      <c r="B1849">
        <f>_xlfn.XLOOKUP(FME_Ranking1[[#This Row],[FME ID]],FME_Input[FME_ID],FME_Input[RFPG_NUM])</f>
        <v>12</v>
      </c>
      <c r="C1849" t="str">
        <f>_xlfn.XLOOKUP(FME_Ranking1[[#This Row],[FME ID]],FME_Input[FME_ID],FME_Input[FME_NAME])</f>
        <v>Inventory of residences in floodplain</v>
      </c>
      <c r="D1849" t="str">
        <f>_xlfn.XLOOKUP(FME_Ranking1[[#This Row],[FME ID]],FME_Input[FME_ID],FME_Input[DESCR])</f>
        <v>Identify residential structures that are located in flood zones or high hazard areas and develop plan and implement a program for floodproofing or acquistion.</v>
      </c>
      <c r="E1849" s="256">
        <f>_xlfn.XLOOKUP(FME_Ranking1[[#This Row],[FME ID]],FME_Input[FME_ID],FME_Input[FME_COST])</f>
        <v>50000</v>
      </c>
      <c r="F1849" t="str">
        <f>_xlfn.XLOOKUP(FME_Ranking1[[#This Row],[FME ID]],FME_Input[FME_ID],FME_Input[EMER_NEED])</f>
        <v>No</v>
      </c>
      <c r="G1849">
        <f>IF(FME_Ranking!F1849="Yes",100,0)</f>
        <v>0</v>
      </c>
      <c r="H1849">
        <f>FME_Ranking1[[#This Row],[Emergency Need Score (Normalized, Unweighted)]]*$F$3</f>
        <v>0</v>
      </c>
      <c r="I1849" s="246">
        <f>_xlfn.XLOOKUP(FME_Ranking1[[#This Row],[FME ID]],FME_Input[FME_ID],FME_Input[STRUCT_100])</f>
        <v>4</v>
      </c>
      <c r="J1849" s="178">
        <f>(FME_Ranking1[[#This Row],[Structures 100 Raw]]/I$2)*100</f>
        <v>2.1419697553870542E-3</v>
      </c>
      <c r="K1849" s="178">
        <f>FME_Ranking1[[#This Row],[Structures 100  Score (Normalized, Unweighted)]]*$I$3</f>
        <v>3.2129546330805813E-4</v>
      </c>
      <c r="L1849" s="246">
        <f>_xlfn.XLOOKUP(FME_Ranking1[[#This Row],[FME ID]],FME_Input[FME_ID],FME_Input[RES_STRUCT100])</f>
        <v>3</v>
      </c>
      <c r="M1849" s="230">
        <f>(FME_Ranking1[[#This Row],[Res Structures Raw]]/L$2)*100</f>
        <v>2.1249167740930146E-3</v>
      </c>
      <c r="N1849" s="180">
        <f>FME_Ranking1[[#This Row],[Res Structures Score (Normalized, Unweighted)]]*$L$3</f>
        <v>2.1249167740930149E-4</v>
      </c>
      <c r="O1849" s="244">
        <f>_xlfn.XLOOKUP(FME_Ranking1[[#This Row],[FME ID]],FME_Input[FME_ID],FME_Input[POP100])</f>
        <v>14</v>
      </c>
      <c r="P1849" s="178">
        <f>(FME_Ranking1[[#This Row],[Pop Raw]]/$O$2)*100</f>
        <v>1.4332543678426859E-3</v>
      </c>
      <c r="Q1849" s="178">
        <f>FME_Ranking1[[#This Row],[Pop Score (Normalized, Unweighted)]]*$O$3</f>
        <v>2.1498815517640289E-4</v>
      </c>
      <c r="R1849" s="137">
        <f>_xlfn.XLOOKUP(FME_Ranking1[[#This Row],[FME ID]],FME_Input[FME_ID],FME_Input[CRITFAC100])</f>
        <v>0</v>
      </c>
      <c r="S1849" s="230">
        <f>(FME_Ranking1[[#This Row],[Critical Facilities Raw]]/$R$2)*100</f>
        <v>0</v>
      </c>
      <c r="T1849" s="180">
        <f>FME_Ranking1[[#This Row],[Critical Facilities Score (Normalized, Unweighted)]]*$R$3</f>
        <v>0</v>
      </c>
      <c r="U1849">
        <f>_xlfn.XLOOKUP(FME_Ranking1[[#This Row],[FME ID]],FME_Input[FME_ID],FME_Input[LWC])</f>
        <v>0</v>
      </c>
      <c r="V1849" s="178">
        <f>(FME_Ranking1[[#This Row],[LWC Raw]]/$U$2)*100</f>
        <v>0</v>
      </c>
      <c r="W1849" s="178">
        <f>FME_Ranking1[[#This Row],[LWC Score (Normalized, Unweighted)]]*$U$3</f>
        <v>0</v>
      </c>
      <c r="X1849" s="246">
        <f>_xlfn.XLOOKUP(FME_Ranking1[[#This Row],[FME ID]],FME_Input[FME_ID],FME_Input[ROADCLS])</f>
        <v>4</v>
      </c>
      <c r="Y1849" s="230">
        <f>(FME_Ranking1[[#This Row],[Closures Raw]]/$X$2)*100</f>
        <v>4.2056566081379455E-2</v>
      </c>
      <c r="Z1849" s="180">
        <f>FME_Ranking1[[#This Row],[Closures Score (Normalized, Unweighted)]]*$X$3</f>
        <v>2.1028283040689729E-3</v>
      </c>
      <c r="AA1849" s="253">
        <f>_xlfn.XLOOKUP(FME_Ranking1[[#This Row],[FME ID]],FME_Input[FME_ID],FME_Input[ROAD_MILES100])</f>
        <v>0.1169999986886978</v>
      </c>
      <c r="AB1849" s="178">
        <f>(FME_Ranking1[[#This Row],[Miles Raw]]/$AA$2)*100</f>
        <v>1.5383401334071276E-3</v>
      </c>
      <c r="AC1849" s="178">
        <f>FME_Ranking1[[#This Row],[Miles Score (Normalized, Unweighted)]]*$AA$3</f>
        <v>1.5383401334071278E-4</v>
      </c>
      <c r="AD1849" s="255">
        <f>_xlfn.XLOOKUP(FME_Ranking1[[#This Row],[FME ID]],FME_Input[FME_ID],FME_Input[FARMACRE100])</f>
        <v>1.163869976997375</v>
      </c>
      <c r="AE1849" s="230">
        <f>(FME_Ranking1[[#This Row],[Ag Land Raw]]/$AD$2)*100</f>
        <v>4.7992787783125684E-5</v>
      </c>
      <c r="AF1849" s="231">
        <f>FME_Ranking1[[#This Row],[Ag Land Score (Normalized, Unweighted)]]*$AD$3</f>
        <v>2.3996393891562843E-6</v>
      </c>
      <c r="AG184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3.0078372526926044E-3</v>
      </c>
      <c r="AH1849" s="406">
        <f t="shared" si="28"/>
        <v>1901</v>
      </c>
      <c r="AI184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3.0078372526926044E-3</v>
      </c>
      <c r="AJ1849" s="257">
        <f>FME_Ranking1[[#This Row],[Addition check]]-FME_Ranking1[[#This Row],[Weighted Score Based on Normalized Reported Factors]]</f>
        <v>0</v>
      </c>
      <c r="AK1849" s="178">
        <f>_xlfn.RANK.EQ(AI1849,$AI$6:$AI$2341,0)+COUNTIF($AI$6:AI1849,AI1849)-1</f>
        <v>1902</v>
      </c>
    </row>
    <row r="1850" spans="1:37" x14ac:dyDescent="0.25">
      <c r="A1850" t="s">
        <v>3313</v>
      </c>
      <c r="B1850">
        <f>_xlfn.XLOOKUP(FME_Ranking1[[#This Row],[FME ID]],FME_Input[FME_ID],FME_Input[RFPG_NUM])</f>
        <v>1</v>
      </c>
      <c r="C1850" t="str">
        <f>_xlfn.XLOOKUP(FME_Ranking1[[#This Row],[FME ID]],FME_Input[FME_ID],FME_Input[FME_NAME])</f>
        <v>McDonald Lake Project Planning - Wesley, Tripp/Van Winkle Storm Sewer (City of Amarillo)</v>
      </c>
      <c r="D1850" t="str">
        <f>_xlfn.XLOOKUP(FME_Ranking1[[#This Row],[FME ID]],FME_Input[FME_ID],FME_Input[DESCR])</f>
        <v>Evaluate project to quantify benefits, evaluate impacts and begin design. Improvements to McDonald Lake Study Area - Wesley, Tripp/Van Winkle Storm Sewer. Project identified from 2019 Amarillo DMP.</v>
      </c>
      <c r="E1850" s="256">
        <f>_xlfn.XLOOKUP(FME_Ranking1[[#This Row],[FME ID]],FME_Input[FME_ID],FME_Input[FME_COST])</f>
        <v>250000</v>
      </c>
      <c r="F1850" t="str">
        <f>_xlfn.XLOOKUP(FME_Ranking1[[#This Row],[FME ID]],FME_Input[FME_ID],FME_Input[EMER_NEED])</f>
        <v>No</v>
      </c>
      <c r="G1850">
        <f>IF(FME_Ranking!F1850="Yes",100,0)</f>
        <v>0</v>
      </c>
      <c r="H1850">
        <f>FME_Ranking1[[#This Row],[Emergency Need Score (Normalized, Unweighted)]]*$F$3</f>
        <v>0</v>
      </c>
      <c r="I1850" s="246">
        <f>_xlfn.XLOOKUP(FME_Ranking1[[#This Row],[FME ID]],FME_Input[FME_ID],FME_Input[STRUCT_100])</f>
        <v>13</v>
      </c>
      <c r="J1850" s="178">
        <f>(FME_Ranking1[[#This Row],[Structures 100 Raw]]/I$2)*100</f>
        <v>6.961401705007926E-3</v>
      </c>
      <c r="K1850" s="178">
        <f>FME_Ranking1[[#This Row],[Structures 100  Score (Normalized, Unweighted)]]*$I$3</f>
        <v>1.0442102557511889E-3</v>
      </c>
      <c r="L1850" s="246">
        <f>_xlfn.XLOOKUP(FME_Ranking1[[#This Row],[FME ID]],FME_Input[FME_ID],FME_Input[RES_STRUCT100])</f>
        <v>11</v>
      </c>
      <c r="M1850" s="230">
        <f>(FME_Ranking1[[#This Row],[Res Structures Raw]]/L$2)*100</f>
        <v>7.7913615050077207E-3</v>
      </c>
      <c r="N1850" s="180">
        <f>FME_Ranking1[[#This Row],[Res Structures Score (Normalized, Unweighted)]]*$L$3</f>
        <v>7.7913615050077215E-4</v>
      </c>
      <c r="O1850" s="244">
        <f>_xlfn.XLOOKUP(FME_Ranking1[[#This Row],[FME ID]],FME_Input[FME_ID],FME_Input[POP100])</f>
        <v>66</v>
      </c>
      <c r="P1850" s="178">
        <f>(FME_Ranking1[[#This Row],[Pop Raw]]/$O$2)*100</f>
        <v>6.7567705912583769E-3</v>
      </c>
      <c r="Q1850" s="178">
        <f>FME_Ranking1[[#This Row],[Pop Score (Normalized, Unweighted)]]*$O$3</f>
        <v>1.0135155886887566E-3</v>
      </c>
      <c r="R1850" s="137">
        <f>_xlfn.XLOOKUP(FME_Ranking1[[#This Row],[FME ID]],FME_Input[FME_ID],FME_Input[CRITFAC100])</f>
        <v>0</v>
      </c>
      <c r="S1850" s="230">
        <f>(FME_Ranking1[[#This Row],[Critical Facilities Raw]]/$R$2)*100</f>
        <v>0</v>
      </c>
      <c r="T1850" s="180">
        <f>FME_Ranking1[[#This Row],[Critical Facilities Score (Normalized, Unweighted)]]*$R$3</f>
        <v>0</v>
      </c>
      <c r="U1850">
        <f>_xlfn.XLOOKUP(FME_Ranking1[[#This Row],[FME ID]],FME_Input[FME_ID],FME_Input[LWC])</f>
        <v>0</v>
      </c>
      <c r="V1850" s="178">
        <f>(FME_Ranking1[[#This Row],[LWC Raw]]/$U$2)*100</f>
        <v>0</v>
      </c>
      <c r="W1850" s="178">
        <f>FME_Ranking1[[#This Row],[LWC Score (Normalized, Unweighted)]]*$U$3</f>
        <v>0</v>
      </c>
      <c r="X1850" s="246">
        <f>_xlfn.XLOOKUP(FME_Ranking1[[#This Row],[FME ID]],FME_Input[FME_ID],FME_Input[ROADCLS])</f>
        <v>0</v>
      </c>
      <c r="Y1850" s="230">
        <f>(FME_Ranking1[[#This Row],[Closures Raw]]/$X$2)*100</f>
        <v>0</v>
      </c>
      <c r="Z1850" s="180">
        <f>FME_Ranking1[[#This Row],[Closures Score (Normalized, Unweighted)]]*$X$3</f>
        <v>0</v>
      </c>
      <c r="AA1850" s="253">
        <f>_xlfn.XLOOKUP(FME_Ranking1[[#This Row],[FME ID]],FME_Input[FME_ID],FME_Input[ROAD_MILES100])</f>
        <v>4.3597102165222168</v>
      </c>
      <c r="AB1850" s="178">
        <f>(FME_Ranking1[[#This Row],[Miles Raw]]/$AA$2)*100</f>
        <v>5.732236983989876E-2</v>
      </c>
      <c r="AC1850" s="178">
        <f>FME_Ranking1[[#This Row],[Miles Score (Normalized, Unweighted)]]*$AA$3</f>
        <v>5.7322369839898765E-3</v>
      </c>
      <c r="AD1850" s="255">
        <f>_xlfn.XLOOKUP(FME_Ranking1[[#This Row],[FME ID]],FME_Input[FME_ID],FME_Input[FARMACRE100])</f>
        <v>1.0178037881851201</v>
      </c>
      <c r="AE1850" s="230">
        <f>(FME_Ranking1[[#This Row],[Ag Land Raw]]/$AD$2)*100</f>
        <v>4.1969672022341411E-5</v>
      </c>
      <c r="AF1850" s="231">
        <f>FME_Ranking1[[#This Row],[Ag Land Score (Normalized, Unweighted)]]*$AD$3</f>
        <v>2.0984836011170706E-6</v>
      </c>
      <c r="AG185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8.57119746253171E-3</v>
      </c>
      <c r="AH1850" s="406">
        <f t="shared" si="28"/>
        <v>1772</v>
      </c>
      <c r="AI185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8.57119746253171E-3</v>
      </c>
      <c r="AJ1850" s="257">
        <f>FME_Ranking1[[#This Row],[Addition check]]-FME_Ranking1[[#This Row],[Weighted Score Based on Normalized Reported Factors]]</f>
        <v>0</v>
      </c>
      <c r="AK1850" s="178">
        <f>_xlfn.RANK.EQ(AI1850,$AI$6:$AI$2341,0)+COUNTIF($AI$6:AI1850,AI1850)-1</f>
        <v>1772</v>
      </c>
    </row>
    <row r="1851" spans="1:37" x14ac:dyDescent="0.25">
      <c r="A1851" t="s">
        <v>3317</v>
      </c>
      <c r="B1851">
        <f>_xlfn.XLOOKUP(FME_Ranking1[[#This Row],[FME ID]],FME_Input[FME_ID],FME_Input[RFPG_NUM])</f>
        <v>1</v>
      </c>
      <c r="C1851" t="str">
        <f>_xlfn.XLOOKUP(FME_Ranking1[[#This Row],[FME ID]],FME_Input[FME_ID],FME_Input[FME_NAME])</f>
        <v>McDonald Lake Project Planning - Walmart/ Lowes Storm Sewer (City of Amarillo)</v>
      </c>
      <c r="D1851" t="str">
        <f>_xlfn.XLOOKUP(FME_Ranking1[[#This Row],[FME ID]],FME_Input[FME_ID],FME_Input[DESCR])</f>
        <v>Evaluate project to quantify benefits, evaluate impacts and begin design. Improvements to McDonald Lake Study Area - Walmart/ Lowes Storm Sewer. Project identified from 2019 Amarillo DMP.</v>
      </c>
      <c r="E1851" s="256">
        <f>_xlfn.XLOOKUP(FME_Ranking1[[#This Row],[FME ID]],FME_Input[FME_ID],FME_Input[FME_COST])</f>
        <v>250000</v>
      </c>
      <c r="F1851" t="str">
        <f>_xlfn.XLOOKUP(FME_Ranking1[[#This Row],[FME ID]],FME_Input[FME_ID],FME_Input[EMER_NEED])</f>
        <v>No</v>
      </c>
      <c r="G1851">
        <f>IF(FME_Ranking!F1851="Yes",100,0)</f>
        <v>0</v>
      </c>
      <c r="H1851">
        <f>FME_Ranking1[[#This Row],[Emergency Need Score (Normalized, Unweighted)]]*$F$3</f>
        <v>0</v>
      </c>
      <c r="I1851" s="246">
        <f>_xlfn.XLOOKUP(FME_Ranking1[[#This Row],[FME ID]],FME_Input[FME_ID],FME_Input[STRUCT_100])</f>
        <v>13</v>
      </c>
      <c r="J1851" s="178">
        <f>(FME_Ranking1[[#This Row],[Structures 100 Raw]]/I$2)*100</f>
        <v>6.961401705007926E-3</v>
      </c>
      <c r="K1851" s="178">
        <f>FME_Ranking1[[#This Row],[Structures 100  Score (Normalized, Unweighted)]]*$I$3</f>
        <v>1.0442102557511889E-3</v>
      </c>
      <c r="L1851" s="246">
        <f>_xlfn.XLOOKUP(FME_Ranking1[[#This Row],[FME ID]],FME_Input[FME_ID],FME_Input[RES_STRUCT100])</f>
        <v>11</v>
      </c>
      <c r="M1851" s="230">
        <f>(FME_Ranking1[[#This Row],[Res Structures Raw]]/L$2)*100</f>
        <v>7.7913615050077207E-3</v>
      </c>
      <c r="N1851" s="180">
        <f>FME_Ranking1[[#This Row],[Res Structures Score (Normalized, Unweighted)]]*$L$3</f>
        <v>7.7913615050077215E-4</v>
      </c>
      <c r="O1851" s="244">
        <f>_xlfn.XLOOKUP(FME_Ranking1[[#This Row],[FME ID]],FME_Input[FME_ID],FME_Input[POP100])</f>
        <v>66</v>
      </c>
      <c r="P1851" s="178">
        <f>(FME_Ranking1[[#This Row],[Pop Raw]]/$O$2)*100</f>
        <v>6.7567705912583769E-3</v>
      </c>
      <c r="Q1851" s="178">
        <f>FME_Ranking1[[#This Row],[Pop Score (Normalized, Unweighted)]]*$O$3</f>
        <v>1.0135155886887566E-3</v>
      </c>
      <c r="R1851" s="137">
        <f>_xlfn.XLOOKUP(FME_Ranking1[[#This Row],[FME ID]],FME_Input[FME_ID],FME_Input[CRITFAC100])</f>
        <v>0</v>
      </c>
      <c r="S1851" s="230">
        <f>(FME_Ranking1[[#This Row],[Critical Facilities Raw]]/$R$2)*100</f>
        <v>0</v>
      </c>
      <c r="T1851" s="180">
        <f>FME_Ranking1[[#This Row],[Critical Facilities Score (Normalized, Unweighted)]]*$R$3</f>
        <v>0</v>
      </c>
      <c r="U1851">
        <f>_xlfn.XLOOKUP(FME_Ranking1[[#This Row],[FME ID]],FME_Input[FME_ID],FME_Input[LWC])</f>
        <v>0</v>
      </c>
      <c r="V1851" s="178">
        <f>(FME_Ranking1[[#This Row],[LWC Raw]]/$U$2)*100</f>
        <v>0</v>
      </c>
      <c r="W1851" s="178">
        <f>FME_Ranking1[[#This Row],[LWC Score (Normalized, Unweighted)]]*$U$3</f>
        <v>0</v>
      </c>
      <c r="X1851" s="246">
        <f>_xlfn.XLOOKUP(FME_Ranking1[[#This Row],[FME ID]],FME_Input[FME_ID],FME_Input[ROADCLS])</f>
        <v>0</v>
      </c>
      <c r="Y1851" s="230">
        <f>(FME_Ranking1[[#This Row],[Closures Raw]]/$X$2)*100</f>
        <v>0</v>
      </c>
      <c r="Z1851" s="180">
        <f>FME_Ranking1[[#This Row],[Closures Score (Normalized, Unweighted)]]*$X$3</f>
        <v>0</v>
      </c>
      <c r="AA1851" s="253">
        <f>_xlfn.XLOOKUP(FME_Ranking1[[#This Row],[FME ID]],FME_Input[FME_ID],FME_Input[ROAD_MILES100])</f>
        <v>4.3597102165222168</v>
      </c>
      <c r="AB1851" s="178">
        <f>(FME_Ranking1[[#This Row],[Miles Raw]]/$AA$2)*100</f>
        <v>5.732236983989876E-2</v>
      </c>
      <c r="AC1851" s="178">
        <f>FME_Ranking1[[#This Row],[Miles Score (Normalized, Unweighted)]]*$AA$3</f>
        <v>5.7322369839898765E-3</v>
      </c>
      <c r="AD1851" s="255">
        <f>_xlfn.XLOOKUP(FME_Ranking1[[#This Row],[FME ID]],FME_Input[FME_ID],FME_Input[FARMACRE100])</f>
        <v>1.0178037881851201</v>
      </c>
      <c r="AE1851" s="230">
        <f>(FME_Ranking1[[#This Row],[Ag Land Raw]]/$AD$2)*100</f>
        <v>4.1969672022341411E-5</v>
      </c>
      <c r="AF1851" s="231">
        <f>FME_Ranking1[[#This Row],[Ag Land Score (Normalized, Unweighted)]]*$AD$3</f>
        <v>2.0984836011170706E-6</v>
      </c>
      <c r="AG185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8.57119746253171E-3</v>
      </c>
      <c r="AH1851" s="406">
        <f t="shared" si="28"/>
        <v>1772</v>
      </c>
      <c r="AI185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8.57119746253171E-3</v>
      </c>
      <c r="AJ1851" s="257">
        <f>FME_Ranking1[[#This Row],[Addition check]]-FME_Ranking1[[#This Row],[Weighted Score Based on Normalized Reported Factors]]</f>
        <v>0</v>
      </c>
      <c r="AK1851" s="178">
        <f>_xlfn.RANK.EQ(AI1851,$AI$6:$AI$2341,0)+COUNTIF($AI$6:AI1851,AI1851)-1</f>
        <v>1773</v>
      </c>
    </row>
    <row r="1852" spans="1:37" x14ac:dyDescent="0.25">
      <c r="A1852" t="s">
        <v>3349</v>
      </c>
      <c r="B1852">
        <f>_xlfn.XLOOKUP(FME_Ranking1[[#This Row],[FME ID]],FME_Input[FME_ID],FME_Input[RFPG_NUM])</f>
        <v>1</v>
      </c>
      <c r="C1852" t="str">
        <f>_xlfn.XLOOKUP(FME_Ranking1[[#This Row],[FME ID]],FME_Input[FME_ID],FME_Input[FME_NAME])</f>
        <v>McDonald Lake Project Planning - Coulter Street Storm Sewer (City of Amarillo)</v>
      </c>
      <c r="D1852" t="str">
        <f>_xlfn.XLOOKUP(FME_Ranking1[[#This Row],[FME ID]],FME_Input[FME_ID],FME_Input[DESCR])</f>
        <v>Evaluate project to quantify benefits, evaluate impacts and begin design. Improvements include adding 36" RCP parallel to several pipes, adding 6 new RCP, and replacing the 72" RCP with a 84" RCP. Project identified from 2019 Amarillo DMP.</v>
      </c>
      <c r="E1852" s="256">
        <f>_xlfn.XLOOKUP(FME_Ranking1[[#This Row],[FME ID]],FME_Input[FME_ID],FME_Input[FME_COST])</f>
        <v>250000</v>
      </c>
      <c r="F1852" t="str">
        <f>_xlfn.XLOOKUP(FME_Ranking1[[#This Row],[FME ID]],FME_Input[FME_ID],FME_Input[EMER_NEED])</f>
        <v>No</v>
      </c>
      <c r="G1852">
        <f>IF(FME_Ranking!F1852="Yes",100,0)</f>
        <v>0</v>
      </c>
      <c r="H1852">
        <f>FME_Ranking1[[#This Row],[Emergency Need Score (Normalized, Unweighted)]]*$F$3</f>
        <v>0</v>
      </c>
      <c r="I1852" s="246">
        <f>_xlfn.XLOOKUP(FME_Ranking1[[#This Row],[FME ID]],FME_Input[FME_ID],FME_Input[STRUCT_100])</f>
        <v>13</v>
      </c>
      <c r="J1852" s="178">
        <f>(FME_Ranking1[[#This Row],[Structures 100 Raw]]/I$2)*100</f>
        <v>6.961401705007926E-3</v>
      </c>
      <c r="K1852" s="178">
        <f>FME_Ranking1[[#This Row],[Structures 100  Score (Normalized, Unweighted)]]*$I$3</f>
        <v>1.0442102557511889E-3</v>
      </c>
      <c r="L1852" s="246">
        <f>_xlfn.XLOOKUP(FME_Ranking1[[#This Row],[FME ID]],FME_Input[FME_ID],FME_Input[RES_STRUCT100])</f>
        <v>11</v>
      </c>
      <c r="M1852" s="230">
        <f>(FME_Ranking1[[#This Row],[Res Structures Raw]]/L$2)*100</f>
        <v>7.7913615050077207E-3</v>
      </c>
      <c r="N1852" s="180">
        <f>FME_Ranking1[[#This Row],[Res Structures Score (Normalized, Unweighted)]]*$L$3</f>
        <v>7.7913615050077215E-4</v>
      </c>
      <c r="O1852" s="244">
        <f>_xlfn.XLOOKUP(FME_Ranking1[[#This Row],[FME ID]],FME_Input[FME_ID],FME_Input[POP100])</f>
        <v>66</v>
      </c>
      <c r="P1852" s="178">
        <f>(FME_Ranking1[[#This Row],[Pop Raw]]/$O$2)*100</f>
        <v>6.7567705912583769E-3</v>
      </c>
      <c r="Q1852" s="178">
        <f>FME_Ranking1[[#This Row],[Pop Score (Normalized, Unweighted)]]*$O$3</f>
        <v>1.0135155886887566E-3</v>
      </c>
      <c r="R1852" s="137">
        <f>_xlfn.XLOOKUP(FME_Ranking1[[#This Row],[FME ID]],FME_Input[FME_ID],FME_Input[CRITFAC100])</f>
        <v>0</v>
      </c>
      <c r="S1852" s="230">
        <f>(FME_Ranking1[[#This Row],[Critical Facilities Raw]]/$R$2)*100</f>
        <v>0</v>
      </c>
      <c r="T1852" s="180">
        <f>FME_Ranking1[[#This Row],[Critical Facilities Score (Normalized, Unweighted)]]*$R$3</f>
        <v>0</v>
      </c>
      <c r="U1852">
        <f>_xlfn.XLOOKUP(FME_Ranking1[[#This Row],[FME ID]],FME_Input[FME_ID],FME_Input[LWC])</f>
        <v>0</v>
      </c>
      <c r="V1852" s="178">
        <f>(FME_Ranking1[[#This Row],[LWC Raw]]/$U$2)*100</f>
        <v>0</v>
      </c>
      <c r="W1852" s="178">
        <f>FME_Ranking1[[#This Row],[LWC Score (Normalized, Unweighted)]]*$U$3</f>
        <v>0</v>
      </c>
      <c r="X1852" s="246">
        <f>_xlfn.XLOOKUP(FME_Ranking1[[#This Row],[FME ID]],FME_Input[FME_ID],FME_Input[ROADCLS])</f>
        <v>0</v>
      </c>
      <c r="Y1852" s="230">
        <f>(FME_Ranking1[[#This Row],[Closures Raw]]/$X$2)*100</f>
        <v>0</v>
      </c>
      <c r="Z1852" s="180">
        <f>FME_Ranking1[[#This Row],[Closures Score (Normalized, Unweighted)]]*$X$3</f>
        <v>0</v>
      </c>
      <c r="AA1852" s="253">
        <f>_xlfn.XLOOKUP(FME_Ranking1[[#This Row],[FME ID]],FME_Input[FME_ID],FME_Input[ROAD_MILES100])</f>
        <v>4.3597102165222168</v>
      </c>
      <c r="AB1852" s="178">
        <f>(FME_Ranking1[[#This Row],[Miles Raw]]/$AA$2)*100</f>
        <v>5.732236983989876E-2</v>
      </c>
      <c r="AC1852" s="178">
        <f>FME_Ranking1[[#This Row],[Miles Score (Normalized, Unweighted)]]*$AA$3</f>
        <v>5.7322369839898765E-3</v>
      </c>
      <c r="AD1852" s="255">
        <f>_xlfn.XLOOKUP(FME_Ranking1[[#This Row],[FME ID]],FME_Input[FME_ID],FME_Input[FARMACRE100])</f>
        <v>1.0178037881851201</v>
      </c>
      <c r="AE1852" s="230">
        <f>(FME_Ranking1[[#This Row],[Ag Land Raw]]/$AD$2)*100</f>
        <v>4.1969672022341411E-5</v>
      </c>
      <c r="AF1852" s="231">
        <f>FME_Ranking1[[#This Row],[Ag Land Score (Normalized, Unweighted)]]*$AD$3</f>
        <v>2.0984836011170706E-6</v>
      </c>
      <c r="AG185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8.57119746253171E-3</v>
      </c>
      <c r="AH1852" s="406">
        <f t="shared" si="28"/>
        <v>1772</v>
      </c>
      <c r="AI185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8.57119746253171E-3</v>
      </c>
      <c r="AJ1852" s="257">
        <f>FME_Ranking1[[#This Row],[Addition check]]-FME_Ranking1[[#This Row],[Weighted Score Based on Normalized Reported Factors]]</f>
        <v>0</v>
      </c>
      <c r="AK1852" s="178">
        <f>_xlfn.RANK.EQ(AI1852,$AI$6:$AI$2341,0)+COUNTIF($AI$6:AI1852,AI1852)-1</f>
        <v>1774</v>
      </c>
    </row>
    <row r="1853" spans="1:37" x14ac:dyDescent="0.25">
      <c r="A1853" t="s">
        <v>3379</v>
      </c>
      <c r="B1853">
        <f>_xlfn.XLOOKUP(FME_Ranking1[[#This Row],[FME ID]],FME_Input[FME_ID],FME_Input[RFPG_NUM])</f>
        <v>1</v>
      </c>
      <c r="C1853" t="str">
        <f>_xlfn.XLOOKUP(FME_Ranking1[[#This Row],[FME ID]],FME_Input[FME_ID],FME_Input[FME_NAME])</f>
        <v>McDonald Lake Watershed Study (City of Amarillo)</v>
      </c>
      <c r="D1853" t="str">
        <f>_xlfn.XLOOKUP(FME_Ranking1[[#This Row],[FME ID]],FME_Input[FME_ID],FME_Input[DESCR])</f>
        <v>Perform H&amp;H modeling, develop conceptual alternatives and OPCC, and rank projects. Marked as high priority in 2019 Amarillo DMP</v>
      </c>
      <c r="E1853" s="256">
        <f>_xlfn.XLOOKUP(FME_Ranking1[[#This Row],[FME ID]],FME_Input[FME_ID],FME_Input[FME_COST])</f>
        <v>282000</v>
      </c>
      <c r="F1853" t="str">
        <f>_xlfn.XLOOKUP(FME_Ranking1[[#This Row],[FME ID]],FME_Input[FME_ID],FME_Input[EMER_NEED])</f>
        <v>No</v>
      </c>
      <c r="G1853">
        <f>IF(FME_Ranking!F1853="Yes",100,0)</f>
        <v>0</v>
      </c>
      <c r="H1853">
        <f>FME_Ranking1[[#This Row],[Emergency Need Score (Normalized, Unweighted)]]*$F$3</f>
        <v>0</v>
      </c>
      <c r="I1853" s="246">
        <f>_xlfn.XLOOKUP(FME_Ranking1[[#This Row],[FME ID]],FME_Input[FME_ID],FME_Input[STRUCT_100])</f>
        <v>13</v>
      </c>
      <c r="J1853" s="178">
        <f>(FME_Ranking1[[#This Row],[Structures 100 Raw]]/I$2)*100</f>
        <v>6.961401705007926E-3</v>
      </c>
      <c r="K1853" s="178">
        <f>FME_Ranking1[[#This Row],[Structures 100  Score (Normalized, Unweighted)]]*$I$3</f>
        <v>1.0442102557511889E-3</v>
      </c>
      <c r="L1853" s="246">
        <f>_xlfn.XLOOKUP(FME_Ranking1[[#This Row],[FME ID]],FME_Input[FME_ID],FME_Input[RES_STRUCT100])</f>
        <v>11</v>
      </c>
      <c r="M1853" s="230">
        <f>(FME_Ranking1[[#This Row],[Res Structures Raw]]/L$2)*100</f>
        <v>7.7913615050077207E-3</v>
      </c>
      <c r="N1853" s="180">
        <f>FME_Ranking1[[#This Row],[Res Structures Score (Normalized, Unweighted)]]*$L$3</f>
        <v>7.7913615050077215E-4</v>
      </c>
      <c r="O1853" s="244">
        <f>_xlfn.XLOOKUP(FME_Ranking1[[#This Row],[FME ID]],FME_Input[FME_ID],FME_Input[POP100])</f>
        <v>66</v>
      </c>
      <c r="P1853" s="178">
        <f>(FME_Ranking1[[#This Row],[Pop Raw]]/$O$2)*100</f>
        <v>6.7567705912583769E-3</v>
      </c>
      <c r="Q1853" s="178">
        <f>FME_Ranking1[[#This Row],[Pop Score (Normalized, Unweighted)]]*$O$3</f>
        <v>1.0135155886887566E-3</v>
      </c>
      <c r="R1853" s="137">
        <f>_xlfn.XLOOKUP(FME_Ranking1[[#This Row],[FME ID]],FME_Input[FME_ID],FME_Input[CRITFAC100])</f>
        <v>0</v>
      </c>
      <c r="S1853" s="230">
        <f>(FME_Ranking1[[#This Row],[Critical Facilities Raw]]/$R$2)*100</f>
        <v>0</v>
      </c>
      <c r="T1853" s="180">
        <f>FME_Ranking1[[#This Row],[Critical Facilities Score (Normalized, Unweighted)]]*$R$3</f>
        <v>0</v>
      </c>
      <c r="U1853">
        <f>_xlfn.XLOOKUP(FME_Ranking1[[#This Row],[FME ID]],FME_Input[FME_ID],FME_Input[LWC])</f>
        <v>0</v>
      </c>
      <c r="V1853" s="178">
        <f>(FME_Ranking1[[#This Row],[LWC Raw]]/$U$2)*100</f>
        <v>0</v>
      </c>
      <c r="W1853" s="178">
        <f>FME_Ranking1[[#This Row],[LWC Score (Normalized, Unweighted)]]*$U$3</f>
        <v>0</v>
      </c>
      <c r="X1853" s="246">
        <f>_xlfn.XLOOKUP(FME_Ranking1[[#This Row],[FME ID]],FME_Input[FME_ID],FME_Input[ROADCLS])</f>
        <v>0</v>
      </c>
      <c r="Y1853" s="230">
        <f>(FME_Ranking1[[#This Row],[Closures Raw]]/$X$2)*100</f>
        <v>0</v>
      </c>
      <c r="Z1853" s="180">
        <f>FME_Ranking1[[#This Row],[Closures Score (Normalized, Unweighted)]]*$X$3</f>
        <v>0</v>
      </c>
      <c r="AA1853" s="253">
        <f>_xlfn.XLOOKUP(FME_Ranking1[[#This Row],[FME ID]],FME_Input[FME_ID],FME_Input[ROAD_MILES100])</f>
        <v>4.3597249984741211</v>
      </c>
      <c r="AB1853" s="178">
        <f>(FME_Ranking1[[#This Row],[Miles Raw]]/$AA$2)*100</f>
        <v>5.7322564196053631E-2</v>
      </c>
      <c r="AC1853" s="178">
        <f>FME_Ranking1[[#This Row],[Miles Score (Normalized, Unweighted)]]*$AA$3</f>
        <v>5.7322564196053633E-3</v>
      </c>
      <c r="AD1853" s="255">
        <f>_xlfn.XLOOKUP(FME_Ranking1[[#This Row],[FME ID]],FME_Input[FME_ID],FME_Input[FARMACRE100])</f>
        <v>1.0178037881851201</v>
      </c>
      <c r="AE1853" s="230">
        <f>(FME_Ranking1[[#This Row],[Ag Land Raw]]/$AD$2)*100</f>
        <v>4.1969672022341411E-5</v>
      </c>
      <c r="AF1853" s="231">
        <f>FME_Ranking1[[#This Row],[Ag Land Score (Normalized, Unweighted)]]*$AD$3</f>
        <v>2.0984836011170706E-6</v>
      </c>
      <c r="AG185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8.5712168981471985E-3</v>
      </c>
      <c r="AH1853" s="406">
        <f t="shared" si="28"/>
        <v>1771</v>
      </c>
      <c r="AI185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8.5712168981471985E-3</v>
      </c>
      <c r="AJ1853" s="257">
        <f>FME_Ranking1[[#This Row],[Addition check]]-FME_Ranking1[[#This Row],[Weighted Score Based on Normalized Reported Factors]]</f>
        <v>0</v>
      </c>
      <c r="AK1853" s="178">
        <f>_xlfn.RANK.EQ(AI1853,$AI$6:$AI$2341,0)+COUNTIF($AI$6:AI1853,AI1853)-1</f>
        <v>1771</v>
      </c>
    </row>
    <row r="1854" spans="1:37" x14ac:dyDescent="0.25">
      <c r="A1854" t="s">
        <v>8512</v>
      </c>
      <c r="B1854">
        <f>_xlfn.XLOOKUP(FME_Ranking1[[#This Row],[FME ID]],FME_Input[FME_ID],FME_Input[RFPG_NUM])</f>
        <v>10</v>
      </c>
      <c r="C1854" t="str">
        <f>_xlfn.XLOOKUP(FME_Ranking1[[#This Row],[FME ID]],FME_Input[FME_ID],FME_Input[FME_NAME])</f>
        <v>Louise Internal Drainage Master Plan</v>
      </c>
      <c r="D1854" t="str">
        <f>_xlfn.XLOOKUP(FME_Ranking1[[#This Row],[FME ID]],FME_Input[FME_ID],FME_Input[DESCR])</f>
        <v>Drainage System Improvements</v>
      </c>
      <c r="E1854" s="256">
        <f>_xlfn.XLOOKUP(FME_Ranking1[[#This Row],[FME ID]],FME_Input[FME_ID],FME_Input[FME_COST])</f>
        <v>400000</v>
      </c>
      <c r="F1854" t="str">
        <f>_xlfn.XLOOKUP(FME_Ranking1[[#This Row],[FME ID]],FME_Input[FME_ID],FME_Input[EMER_NEED])</f>
        <v>No</v>
      </c>
      <c r="G1854">
        <f>IF(FME_Ranking!F1854="Yes",100,0)</f>
        <v>0</v>
      </c>
      <c r="H1854">
        <f>FME_Ranking1[[#This Row],[Emergency Need Score (Normalized, Unweighted)]]*$F$3</f>
        <v>0</v>
      </c>
      <c r="I1854" s="246">
        <f>_xlfn.XLOOKUP(FME_Ranking1[[#This Row],[FME ID]],FME_Input[FME_ID],FME_Input[STRUCT_100])</f>
        <v>20</v>
      </c>
      <c r="J1854" s="178">
        <f>(FME_Ranking1[[#This Row],[Structures 100 Raw]]/I$2)*100</f>
        <v>1.0709848776935269E-2</v>
      </c>
      <c r="K1854" s="178">
        <f>FME_Ranking1[[#This Row],[Structures 100  Score (Normalized, Unweighted)]]*$I$3</f>
        <v>1.6064773165402903E-3</v>
      </c>
      <c r="L1854" s="246">
        <f>_xlfn.XLOOKUP(FME_Ranking1[[#This Row],[FME ID]],FME_Input[FME_ID],FME_Input[RES_STRUCT100])</f>
        <v>12</v>
      </c>
      <c r="M1854" s="230">
        <f>(FME_Ranking1[[#This Row],[Res Structures Raw]]/L$2)*100</f>
        <v>8.4996670963720586E-3</v>
      </c>
      <c r="N1854" s="180">
        <f>FME_Ranking1[[#This Row],[Res Structures Score (Normalized, Unweighted)]]*$L$3</f>
        <v>8.4996670963720595E-4</v>
      </c>
      <c r="O1854" s="244">
        <f>_xlfn.XLOOKUP(FME_Ranking1[[#This Row],[FME ID]],FME_Input[FME_ID],FME_Input[POP100])</f>
        <v>21</v>
      </c>
      <c r="P1854" s="178">
        <f>(FME_Ranking1[[#This Row],[Pop Raw]]/$O$2)*100</f>
        <v>2.1498815517640288E-3</v>
      </c>
      <c r="Q1854" s="178">
        <f>FME_Ranking1[[#This Row],[Pop Score (Normalized, Unweighted)]]*$O$3</f>
        <v>3.2248223276460432E-4</v>
      </c>
      <c r="R1854" s="137">
        <f>_xlfn.XLOOKUP(FME_Ranking1[[#This Row],[FME ID]],FME_Input[FME_ID],FME_Input[CRITFAC100])</f>
        <v>0</v>
      </c>
      <c r="S1854" s="230">
        <f>(FME_Ranking1[[#This Row],[Critical Facilities Raw]]/$R$2)*100</f>
        <v>0</v>
      </c>
      <c r="T1854" s="180">
        <f>FME_Ranking1[[#This Row],[Critical Facilities Score (Normalized, Unweighted)]]*$R$3</f>
        <v>0</v>
      </c>
      <c r="U1854">
        <f>_xlfn.XLOOKUP(FME_Ranking1[[#This Row],[FME ID]],FME_Input[FME_ID],FME_Input[LWC])</f>
        <v>0</v>
      </c>
      <c r="V1854" s="178">
        <f>(FME_Ranking1[[#This Row],[LWC Raw]]/$U$2)*100</f>
        <v>0</v>
      </c>
      <c r="W1854" s="178">
        <f>FME_Ranking1[[#This Row],[LWC Score (Normalized, Unweighted)]]*$U$3</f>
        <v>0</v>
      </c>
      <c r="X1854" s="246">
        <f>_xlfn.XLOOKUP(FME_Ranking1[[#This Row],[FME ID]],FME_Input[FME_ID],FME_Input[ROADCLS])</f>
        <v>0</v>
      </c>
      <c r="Y1854" s="230">
        <f>(FME_Ranking1[[#This Row],[Closures Raw]]/$X$2)*100</f>
        <v>0</v>
      </c>
      <c r="Z1854" s="180">
        <f>FME_Ranking1[[#This Row],[Closures Score (Normalized, Unweighted)]]*$X$3</f>
        <v>0</v>
      </c>
      <c r="AA1854" s="253">
        <f>_xlfn.XLOOKUP(FME_Ranking1[[#This Row],[FME ID]],FME_Input[FME_ID],FME_Input[ROAD_MILES100])</f>
        <v>8.5914433002471924E-2</v>
      </c>
      <c r="AB1854" s="178">
        <f>(FME_Ranking1[[#This Row],[Miles Raw]]/$AA$2)*100</f>
        <v>1.1296206992127736E-3</v>
      </c>
      <c r="AC1854" s="178">
        <f>FME_Ranking1[[#This Row],[Miles Score (Normalized, Unweighted)]]*$AA$3</f>
        <v>1.1296206992127737E-4</v>
      </c>
      <c r="AD1854" s="255">
        <f>_xlfn.XLOOKUP(FME_Ranking1[[#This Row],[FME ID]],FME_Input[FME_ID],FME_Input[FARMACRE100])</f>
        <v>16.18515586853027</v>
      </c>
      <c r="AE1854" s="230">
        <f>(FME_Ranking1[[#This Row],[Ag Land Raw]]/$AD$2)*100</f>
        <v>6.6740337510822856E-4</v>
      </c>
      <c r="AF1854" s="231">
        <f>FME_Ranking1[[#This Row],[Ag Land Score (Normalized, Unweighted)]]*$AD$3</f>
        <v>3.3370168755411426E-5</v>
      </c>
      <c r="AG185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2.9252584976187895E-3</v>
      </c>
      <c r="AH1854" s="406">
        <f t="shared" si="28"/>
        <v>1909</v>
      </c>
      <c r="AI185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2.9252584976187895E-3</v>
      </c>
      <c r="AJ1854" s="257">
        <f>FME_Ranking1[[#This Row],[Addition check]]-FME_Ranking1[[#This Row],[Weighted Score Based on Normalized Reported Factors]]</f>
        <v>0</v>
      </c>
      <c r="AK1854" s="178">
        <f>_xlfn.RANK.EQ(AI1854,$AI$6:$AI$2341,0)+COUNTIF($AI$6:AI1854,AI1854)-1</f>
        <v>1909</v>
      </c>
    </row>
    <row r="1855" spans="1:37" x14ac:dyDescent="0.25">
      <c r="A1855" t="s">
        <v>11175</v>
      </c>
      <c r="B1855">
        <f>_xlfn.XLOOKUP(FME_Ranking1[[#This Row],[FME ID]],FME_Input[FME_ID],FME_Input[RFPG_NUM])</f>
        <v>15</v>
      </c>
      <c r="C1855" t="str">
        <f>_xlfn.XLOOKUP(FME_Ranking1[[#This Row],[FME ID]],FME_Input[FME_ID],FME_Input[FME_NAME])</f>
        <v>Laguna Vista Action #8</v>
      </c>
      <c r="D1855" t="str">
        <f>_xlfn.XLOOKUP(FME_Ranking1[[#This Row],[FME ID]],FME_Input[FME_ID],FME_Input[DESCR])</f>
        <v>Drainage Improvements: Upgrade the drainage system on Holley Beach to increase capacity and reduce risk of flooding</v>
      </c>
      <c r="E1855" s="256">
        <f>_xlfn.XLOOKUP(FME_Ranking1[[#This Row],[FME ID]],FME_Input[FME_ID],FME_Input[FME_COST])</f>
        <v>369600</v>
      </c>
      <c r="F1855" t="str">
        <f>_xlfn.XLOOKUP(FME_Ranking1[[#This Row],[FME ID]],FME_Input[FME_ID],FME_Input[EMER_NEED])</f>
        <v>Yes</v>
      </c>
      <c r="G1855">
        <f>IF(FME_Ranking!F1855="Yes",100,0)</f>
        <v>100</v>
      </c>
      <c r="H1855">
        <f>FME_Ranking1[[#This Row],[Emergency Need Score (Normalized, Unweighted)]]*$F$3</f>
        <v>0</v>
      </c>
      <c r="I1855" s="246">
        <f>_xlfn.XLOOKUP(FME_Ranking1[[#This Row],[FME ID]],FME_Input[FME_ID],FME_Input[STRUCT_100])</f>
        <v>0</v>
      </c>
      <c r="J1855" s="178">
        <f>(FME_Ranking1[[#This Row],[Structures 100 Raw]]/I$2)*100</f>
        <v>0</v>
      </c>
      <c r="K1855" s="178">
        <f>FME_Ranking1[[#This Row],[Structures 100  Score (Normalized, Unweighted)]]*$I$3</f>
        <v>0</v>
      </c>
      <c r="L1855" s="246">
        <f>_xlfn.XLOOKUP(FME_Ranking1[[#This Row],[FME ID]],FME_Input[FME_ID],FME_Input[RES_STRUCT100])</f>
        <v>21</v>
      </c>
      <c r="M1855" s="230">
        <f>(FME_Ranking1[[#This Row],[Res Structures Raw]]/L$2)*100</f>
        <v>1.4874417418651103E-2</v>
      </c>
      <c r="N1855" s="180">
        <f>FME_Ranking1[[#This Row],[Res Structures Score (Normalized, Unweighted)]]*$L$3</f>
        <v>1.4874417418651103E-3</v>
      </c>
      <c r="O1855" s="244">
        <f>_xlfn.XLOOKUP(FME_Ranking1[[#This Row],[FME ID]],FME_Input[FME_ID],FME_Input[POP100])</f>
        <v>86</v>
      </c>
      <c r="P1855" s="178">
        <f>(FME_Ranking1[[#This Row],[Pop Raw]]/$O$2)*100</f>
        <v>8.8042768310336427E-3</v>
      </c>
      <c r="Q1855" s="178">
        <f>FME_Ranking1[[#This Row],[Pop Score (Normalized, Unweighted)]]*$O$3</f>
        <v>1.3206415246550464E-3</v>
      </c>
      <c r="R1855" s="137">
        <f>_xlfn.XLOOKUP(FME_Ranking1[[#This Row],[FME ID]],FME_Input[FME_ID],FME_Input[CRITFAC100])</f>
        <v>0</v>
      </c>
      <c r="S1855" s="230">
        <f>(FME_Ranking1[[#This Row],[Critical Facilities Raw]]/$R$2)*100</f>
        <v>0</v>
      </c>
      <c r="T1855" s="180">
        <f>FME_Ranking1[[#This Row],[Critical Facilities Score (Normalized, Unweighted)]]*$R$3</f>
        <v>0</v>
      </c>
      <c r="U1855">
        <f>_xlfn.XLOOKUP(FME_Ranking1[[#This Row],[FME ID]],FME_Input[FME_ID],FME_Input[LWC])</f>
        <v>0</v>
      </c>
      <c r="V1855" s="178">
        <f>(FME_Ranking1[[#This Row],[LWC Raw]]/$U$2)*100</f>
        <v>0</v>
      </c>
      <c r="W1855" s="178">
        <f>FME_Ranking1[[#This Row],[LWC Score (Normalized, Unweighted)]]*$U$3</f>
        <v>0</v>
      </c>
      <c r="X1855" s="246">
        <f>_xlfn.XLOOKUP(FME_Ranking1[[#This Row],[FME ID]],FME_Input[FME_ID],FME_Input[ROADCLS])</f>
        <v>0</v>
      </c>
      <c r="Y1855" s="230">
        <f>(FME_Ranking1[[#This Row],[Closures Raw]]/$X$2)*100</f>
        <v>0</v>
      </c>
      <c r="Z1855" s="180">
        <f>FME_Ranking1[[#This Row],[Closures Score (Normalized, Unweighted)]]*$X$3</f>
        <v>0</v>
      </c>
      <c r="AA1855" s="253">
        <f>_xlfn.XLOOKUP(FME_Ranking1[[#This Row],[FME ID]],FME_Input[FME_ID],FME_Input[ROAD_MILES100])</f>
        <v>2.360430002212524</v>
      </c>
      <c r="AB1855" s="178">
        <f>(FME_Ranking1[[#This Row],[Miles Raw]]/$AA$2)*100</f>
        <v>3.1035420899133477E-2</v>
      </c>
      <c r="AC1855" s="178">
        <f>FME_Ranking1[[#This Row],[Miles Score (Normalized, Unweighted)]]*$AA$3</f>
        <v>3.103542089913348E-3</v>
      </c>
      <c r="AD1855" s="255">
        <f>_xlfn.XLOOKUP(FME_Ranking1[[#This Row],[FME ID]],FME_Input[FME_ID],FME_Input[FARMACRE100])</f>
        <v>0</v>
      </c>
      <c r="AE1855" s="230">
        <f>(FME_Ranking1[[#This Row],[Ag Land Raw]]/$AD$2)*100</f>
        <v>0</v>
      </c>
      <c r="AF1855" s="231">
        <f>FME_Ranking1[[#This Row],[Ag Land Score (Normalized, Unweighted)]]*$AD$3</f>
        <v>0</v>
      </c>
      <c r="AG185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5.9116253564335045E-3</v>
      </c>
      <c r="AH1855" s="406">
        <f t="shared" si="28"/>
        <v>1817</v>
      </c>
      <c r="AI185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5.9116253564335045E-3</v>
      </c>
      <c r="AJ1855" s="257">
        <f>FME_Ranking1[[#This Row],[Addition check]]-FME_Ranking1[[#This Row],[Weighted Score Based on Normalized Reported Factors]]</f>
        <v>0</v>
      </c>
      <c r="AK1855" s="178">
        <f>_xlfn.RANK.EQ(AI1855,$AI$6:$AI$2341,0)+COUNTIF($AI$6:AI1855,AI1855)-1</f>
        <v>1817</v>
      </c>
    </row>
    <row r="1856" spans="1:37" x14ac:dyDescent="0.25">
      <c r="A1856" t="s">
        <v>3106</v>
      </c>
      <c r="B1856">
        <f>_xlfn.XLOOKUP(FME_Ranking1[[#This Row],[FME ID]],FME_Input[FME_ID],FME_Input[RFPG_NUM])</f>
        <v>1</v>
      </c>
      <c r="C1856" t="str">
        <f>_xlfn.XLOOKUP(FME_Ranking1[[#This Row],[FME ID]],FME_Input[FME_ID],FME_Input[FME_NAME])</f>
        <v>Lefors City Drainage Master Plan</v>
      </c>
      <c r="D1856" t="str">
        <f>_xlfn.XLOOKUP(FME_Ranking1[[#This Row],[FME ID]],FME_Input[FME_ID],FME_Input[DESCR])</f>
        <v xml:space="preserve">Perform H&amp;H modeling, develop conceptual alternatives and OPCC, and rank projects; selected based on survey responses reporting issues with rivers, creeks, tributaries, and functioning floodplains </v>
      </c>
      <c r="E1856" s="256">
        <f>_xlfn.XLOOKUP(FME_Ranking1[[#This Row],[FME ID]],FME_Input[FME_ID],FME_Input[FME_COST])</f>
        <v>250000</v>
      </c>
      <c r="F1856" t="str">
        <f>_xlfn.XLOOKUP(FME_Ranking1[[#This Row],[FME ID]],FME_Input[FME_ID],FME_Input[EMER_NEED])</f>
        <v>No</v>
      </c>
      <c r="G1856">
        <f>IF(FME_Ranking!F1856="Yes",100,0)</f>
        <v>0</v>
      </c>
      <c r="H1856">
        <f>FME_Ranking1[[#This Row],[Emergency Need Score (Normalized, Unweighted)]]*$F$3</f>
        <v>0</v>
      </c>
      <c r="I1856" s="246">
        <f>_xlfn.XLOOKUP(FME_Ranking1[[#This Row],[FME ID]],FME_Input[FME_ID],FME_Input[STRUCT_100])</f>
        <v>18</v>
      </c>
      <c r="J1856" s="178">
        <f>(FME_Ranking1[[#This Row],[Structures 100 Raw]]/I$2)*100</f>
        <v>9.6388638992417428E-3</v>
      </c>
      <c r="K1856" s="178">
        <f>FME_Ranking1[[#This Row],[Structures 100  Score (Normalized, Unweighted)]]*$I$3</f>
        <v>1.4458295848862614E-3</v>
      </c>
      <c r="L1856" s="246">
        <f>_xlfn.XLOOKUP(FME_Ranking1[[#This Row],[FME ID]],FME_Input[FME_ID],FME_Input[RES_STRUCT100])</f>
        <v>13</v>
      </c>
      <c r="M1856" s="230">
        <f>(FME_Ranking1[[#This Row],[Res Structures Raw]]/L$2)*100</f>
        <v>9.2079726877363974E-3</v>
      </c>
      <c r="N1856" s="180">
        <f>FME_Ranking1[[#This Row],[Res Structures Score (Normalized, Unweighted)]]*$L$3</f>
        <v>9.2079726877363974E-4</v>
      </c>
      <c r="O1856" s="244">
        <f>_xlfn.XLOOKUP(FME_Ranking1[[#This Row],[FME ID]],FME_Input[FME_ID],FME_Input[POP100])</f>
        <v>28</v>
      </c>
      <c r="P1856" s="178">
        <f>(FME_Ranking1[[#This Row],[Pop Raw]]/$O$2)*100</f>
        <v>2.8665087356853718E-3</v>
      </c>
      <c r="Q1856" s="178">
        <f>FME_Ranking1[[#This Row],[Pop Score (Normalized, Unweighted)]]*$O$3</f>
        <v>4.2997631035280578E-4</v>
      </c>
      <c r="R1856" s="137">
        <f>_xlfn.XLOOKUP(FME_Ranking1[[#This Row],[FME ID]],FME_Input[FME_ID],FME_Input[CRITFAC100])</f>
        <v>0</v>
      </c>
      <c r="S1856" s="230">
        <f>(FME_Ranking1[[#This Row],[Critical Facilities Raw]]/$R$2)*100</f>
        <v>0</v>
      </c>
      <c r="T1856" s="180">
        <f>FME_Ranking1[[#This Row],[Critical Facilities Score (Normalized, Unweighted)]]*$R$3</f>
        <v>0</v>
      </c>
      <c r="U1856">
        <f>_xlfn.XLOOKUP(FME_Ranking1[[#This Row],[FME ID]],FME_Input[FME_ID],FME_Input[LWC])</f>
        <v>0</v>
      </c>
      <c r="V1856" s="178">
        <f>(FME_Ranking1[[#This Row],[LWC Raw]]/$U$2)*100</f>
        <v>0</v>
      </c>
      <c r="W1856" s="178">
        <f>FME_Ranking1[[#This Row],[LWC Score (Normalized, Unweighted)]]*$U$3</f>
        <v>0</v>
      </c>
      <c r="X1856" s="246">
        <f>_xlfn.XLOOKUP(FME_Ranking1[[#This Row],[FME ID]],FME_Input[FME_ID],FME_Input[ROADCLS])</f>
        <v>0</v>
      </c>
      <c r="Y1856" s="230">
        <f>(FME_Ranking1[[#This Row],[Closures Raw]]/$X$2)*100</f>
        <v>0</v>
      </c>
      <c r="Z1856" s="180">
        <f>FME_Ranking1[[#This Row],[Closures Score (Normalized, Unweighted)]]*$X$3</f>
        <v>0</v>
      </c>
      <c r="AA1856" s="253">
        <f>_xlfn.XLOOKUP(FME_Ranking1[[#This Row],[FME ID]],FME_Input[FME_ID],FME_Input[ROAD_MILES100])</f>
        <v>0.70289880037307739</v>
      </c>
      <c r="AB1856" s="178">
        <f>(FME_Ranking1[[#This Row],[Miles Raw]]/$AA$2)*100</f>
        <v>9.2418585167222175E-3</v>
      </c>
      <c r="AC1856" s="178">
        <f>FME_Ranking1[[#This Row],[Miles Score (Normalized, Unweighted)]]*$AA$3</f>
        <v>9.2418585167222179E-4</v>
      </c>
      <c r="AD1856" s="255">
        <f>_xlfn.XLOOKUP(FME_Ranking1[[#This Row],[FME ID]],FME_Input[FME_ID],FME_Input[FARMACRE100])</f>
        <v>0.83949416875839233</v>
      </c>
      <c r="AE1856" s="230">
        <f>(FME_Ranking1[[#This Row],[Ag Land Raw]]/$AD$2)*100</f>
        <v>3.4616981520852383E-5</v>
      </c>
      <c r="AF1856" s="231">
        <f>FME_Ranking1[[#This Row],[Ag Land Score (Normalized, Unweighted)]]*$AD$3</f>
        <v>1.7308490760426193E-6</v>
      </c>
      <c r="AG185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3.7225198647609713E-3</v>
      </c>
      <c r="AH1856" s="406">
        <f t="shared" si="28"/>
        <v>1868</v>
      </c>
      <c r="AI185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3.7225198647609713E-3</v>
      </c>
      <c r="AJ1856" s="257">
        <f>FME_Ranking1[[#This Row],[Addition check]]-FME_Ranking1[[#This Row],[Weighted Score Based on Normalized Reported Factors]]</f>
        <v>0</v>
      </c>
      <c r="AK1856" s="178">
        <f>_xlfn.RANK.EQ(AI1856,$AI$6:$AI$2341,0)+COUNTIF($AI$6:AI1856,AI1856)-1</f>
        <v>1868</v>
      </c>
    </row>
    <row r="1857" spans="1:37" x14ac:dyDescent="0.25">
      <c r="A1857" t="s">
        <v>3187</v>
      </c>
      <c r="B1857">
        <f>_xlfn.XLOOKUP(FME_Ranking1[[#This Row],[FME ID]],FME_Input[FME_ID],FME_Input[RFPG_NUM])</f>
        <v>1</v>
      </c>
      <c r="C1857" t="str">
        <f>_xlfn.XLOOKUP(FME_Ranking1[[#This Row],[FME ID]],FME_Input[FME_ID],FME_Input[FME_NAME])</f>
        <v>City of Lefors GIS Development</v>
      </c>
      <c r="D1857" t="str">
        <f>_xlfn.XLOOKUP(FME_Ranking1[[#This Row],[FME ID]],FME_Input[FME_ID],FME_Input[DESCR])</f>
        <v>Develop GIS inventory and condition assessment for flood infrastructure; selected based on survey response</v>
      </c>
      <c r="E1857" s="256">
        <f>_xlfn.XLOOKUP(FME_Ranking1[[#This Row],[FME ID]],FME_Input[FME_ID],FME_Input[FME_COST])</f>
        <v>50000</v>
      </c>
      <c r="F1857" t="str">
        <f>_xlfn.XLOOKUP(FME_Ranking1[[#This Row],[FME ID]],FME_Input[FME_ID],FME_Input[EMER_NEED])</f>
        <v>No</v>
      </c>
      <c r="G1857">
        <f>IF(FME_Ranking!F1857="Yes",100,0)</f>
        <v>0</v>
      </c>
      <c r="H1857">
        <f>FME_Ranking1[[#This Row],[Emergency Need Score (Normalized, Unweighted)]]*$F$3</f>
        <v>0</v>
      </c>
      <c r="I1857" s="246">
        <f>_xlfn.XLOOKUP(FME_Ranking1[[#This Row],[FME ID]],FME_Input[FME_ID],FME_Input[STRUCT_100])</f>
        <v>18</v>
      </c>
      <c r="J1857" s="178">
        <f>(FME_Ranking1[[#This Row],[Structures 100 Raw]]/I$2)*100</f>
        <v>9.6388638992417428E-3</v>
      </c>
      <c r="K1857" s="178">
        <f>FME_Ranking1[[#This Row],[Structures 100  Score (Normalized, Unweighted)]]*$I$3</f>
        <v>1.4458295848862614E-3</v>
      </c>
      <c r="L1857" s="246">
        <f>_xlfn.XLOOKUP(FME_Ranking1[[#This Row],[FME ID]],FME_Input[FME_ID],FME_Input[RES_STRUCT100])</f>
        <v>13</v>
      </c>
      <c r="M1857" s="230">
        <f>(FME_Ranking1[[#This Row],[Res Structures Raw]]/L$2)*100</f>
        <v>9.2079726877363974E-3</v>
      </c>
      <c r="N1857" s="180">
        <f>FME_Ranking1[[#This Row],[Res Structures Score (Normalized, Unweighted)]]*$L$3</f>
        <v>9.2079726877363974E-4</v>
      </c>
      <c r="O1857" s="244">
        <f>_xlfn.XLOOKUP(FME_Ranking1[[#This Row],[FME ID]],FME_Input[FME_ID],FME_Input[POP100])</f>
        <v>28</v>
      </c>
      <c r="P1857" s="178">
        <f>(FME_Ranking1[[#This Row],[Pop Raw]]/$O$2)*100</f>
        <v>2.8665087356853718E-3</v>
      </c>
      <c r="Q1857" s="178">
        <f>FME_Ranking1[[#This Row],[Pop Score (Normalized, Unweighted)]]*$O$3</f>
        <v>4.2997631035280578E-4</v>
      </c>
      <c r="R1857" s="137">
        <f>_xlfn.XLOOKUP(FME_Ranking1[[#This Row],[FME ID]],FME_Input[FME_ID],FME_Input[CRITFAC100])</f>
        <v>0</v>
      </c>
      <c r="S1857" s="230">
        <f>(FME_Ranking1[[#This Row],[Critical Facilities Raw]]/$R$2)*100</f>
        <v>0</v>
      </c>
      <c r="T1857" s="180">
        <f>FME_Ranking1[[#This Row],[Critical Facilities Score (Normalized, Unweighted)]]*$R$3</f>
        <v>0</v>
      </c>
      <c r="U1857">
        <f>_xlfn.XLOOKUP(FME_Ranking1[[#This Row],[FME ID]],FME_Input[FME_ID],FME_Input[LWC])</f>
        <v>0</v>
      </c>
      <c r="V1857" s="178">
        <f>(FME_Ranking1[[#This Row],[LWC Raw]]/$U$2)*100</f>
        <v>0</v>
      </c>
      <c r="W1857" s="178">
        <f>FME_Ranking1[[#This Row],[LWC Score (Normalized, Unweighted)]]*$U$3</f>
        <v>0</v>
      </c>
      <c r="X1857" s="246">
        <f>_xlfn.XLOOKUP(FME_Ranking1[[#This Row],[FME ID]],FME_Input[FME_ID],FME_Input[ROADCLS])</f>
        <v>0</v>
      </c>
      <c r="Y1857" s="230">
        <f>(FME_Ranking1[[#This Row],[Closures Raw]]/$X$2)*100</f>
        <v>0</v>
      </c>
      <c r="Z1857" s="180">
        <f>FME_Ranking1[[#This Row],[Closures Score (Normalized, Unweighted)]]*$X$3</f>
        <v>0</v>
      </c>
      <c r="AA1857" s="253">
        <f>_xlfn.XLOOKUP(FME_Ranking1[[#This Row],[FME ID]],FME_Input[FME_ID],FME_Input[ROAD_MILES100])</f>
        <v>0.70289880037307739</v>
      </c>
      <c r="AB1857" s="178">
        <f>(FME_Ranking1[[#This Row],[Miles Raw]]/$AA$2)*100</f>
        <v>9.2418585167222175E-3</v>
      </c>
      <c r="AC1857" s="178">
        <f>FME_Ranking1[[#This Row],[Miles Score (Normalized, Unweighted)]]*$AA$3</f>
        <v>9.2418585167222179E-4</v>
      </c>
      <c r="AD1857" s="255">
        <f>_xlfn.XLOOKUP(FME_Ranking1[[#This Row],[FME ID]],FME_Input[FME_ID],FME_Input[FARMACRE100])</f>
        <v>0.83949416875839233</v>
      </c>
      <c r="AE1857" s="230">
        <f>(FME_Ranking1[[#This Row],[Ag Land Raw]]/$AD$2)*100</f>
        <v>3.4616981520852383E-5</v>
      </c>
      <c r="AF1857" s="231">
        <f>FME_Ranking1[[#This Row],[Ag Land Score (Normalized, Unweighted)]]*$AD$3</f>
        <v>1.7308490760426193E-6</v>
      </c>
      <c r="AG185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3.7225198647609713E-3</v>
      </c>
      <c r="AH1857" s="406">
        <f t="shared" si="28"/>
        <v>1868</v>
      </c>
      <c r="AI185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3.7225198647609713E-3</v>
      </c>
      <c r="AJ1857" s="257">
        <f>FME_Ranking1[[#This Row],[Addition check]]-FME_Ranking1[[#This Row],[Weighted Score Based on Normalized Reported Factors]]</f>
        <v>0</v>
      </c>
      <c r="AK1857" s="178">
        <f>_xlfn.RANK.EQ(AI1857,$AI$6:$AI$2341,0)+COUNTIF($AI$6:AI1857,AI1857)-1</f>
        <v>1869</v>
      </c>
    </row>
    <row r="1858" spans="1:37" x14ac:dyDescent="0.25">
      <c r="A1858" t="s">
        <v>432</v>
      </c>
      <c r="B1858">
        <f>_xlfn.XLOOKUP(FME_Ranking1[[#This Row],[FME ID]],FME_Input[FME_ID],FME_Input[RFPG_NUM])</f>
        <v>10</v>
      </c>
      <c r="C1858" t="str">
        <f>_xlfn.XLOOKUP(FME_Ranking1[[#This Row],[FME ID]],FME_Input[FME_ID],FME_Input[FME_NAME])</f>
        <v>South Polk Street Study</v>
      </c>
      <c r="D1858" t="str">
        <f>_xlfn.XLOOKUP(FME_Ranking1[[#This Row],[FME ID]],FME_Input[FME_ID],FME_Input[DESCR])</f>
        <v>Flooding study of South east side of the City of Giddings between South Polk Street and Madison.</v>
      </c>
      <c r="E1858" s="256">
        <f>_xlfn.XLOOKUP(FME_Ranking1[[#This Row],[FME ID]],FME_Input[FME_ID],FME_Input[FME_COST])</f>
        <v>150000</v>
      </c>
      <c r="F1858" t="str">
        <f>_xlfn.XLOOKUP(FME_Ranking1[[#This Row],[FME ID]],FME_Input[FME_ID],FME_Input[EMER_NEED])</f>
        <v>No</v>
      </c>
      <c r="G1858">
        <f>IF(FME_Ranking!F1858="Yes",100,0)</f>
        <v>0</v>
      </c>
      <c r="H1858">
        <f>FME_Ranking1[[#This Row],[Emergency Need Score (Normalized, Unweighted)]]*$F$3</f>
        <v>0</v>
      </c>
      <c r="I1858" s="246">
        <f>_xlfn.XLOOKUP(FME_Ranking1[[#This Row],[FME ID]],FME_Input[FME_ID],FME_Input[STRUCT_100])</f>
        <v>17</v>
      </c>
      <c r="J1858" s="178">
        <f>(FME_Ranking1[[#This Row],[Structures 100 Raw]]/I$2)*100</f>
        <v>9.1033714603949798E-3</v>
      </c>
      <c r="K1858" s="178">
        <f>FME_Ranking1[[#This Row],[Structures 100  Score (Normalized, Unweighted)]]*$I$3</f>
        <v>1.365505719059247E-3</v>
      </c>
      <c r="L1858" s="246">
        <f>_xlfn.XLOOKUP(FME_Ranking1[[#This Row],[FME ID]],FME_Input[FME_ID],FME_Input[RES_STRUCT100])</f>
        <v>15</v>
      </c>
      <c r="M1858" s="230">
        <f>(FME_Ranking1[[#This Row],[Res Structures Raw]]/L$2)*100</f>
        <v>1.0624583870465073E-2</v>
      </c>
      <c r="N1858" s="180">
        <f>FME_Ranking1[[#This Row],[Res Structures Score (Normalized, Unweighted)]]*$L$3</f>
        <v>1.0624583870465073E-3</v>
      </c>
      <c r="O1858" s="244">
        <f>_xlfn.XLOOKUP(FME_Ranking1[[#This Row],[FME ID]],FME_Input[FME_ID],FME_Input[POP100])</f>
        <v>24</v>
      </c>
      <c r="P1858" s="178">
        <f>(FME_Ranking1[[#This Row],[Pop Raw]]/$O$2)*100</f>
        <v>2.457007487730319E-3</v>
      </c>
      <c r="Q1858" s="178">
        <f>FME_Ranking1[[#This Row],[Pop Score (Normalized, Unweighted)]]*$O$3</f>
        <v>3.6855112315954783E-4</v>
      </c>
      <c r="R1858" s="137">
        <f>_xlfn.XLOOKUP(FME_Ranking1[[#This Row],[FME ID]],FME_Input[FME_ID],FME_Input[CRITFAC100])</f>
        <v>0</v>
      </c>
      <c r="S1858" s="230">
        <f>(FME_Ranking1[[#This Row],[Critical Facilities Raw]]/$R$2)*100</f>
        <v>0</v>
      </c>
      <c r="T1858" s="180">
        <f>FME_Ranking1[[#This Row],[Critical Facilities Score (Normalized, Unweighted)]]*$R$3</f>
        <v>0</v>
      </c>
      <c r="U1858">
        <f>_xlfn.XLOOKUP(FME_Ranking1[[#This Row],[FME ID]],FME_Input[FME_ID],FME_Input[LWC])</f>
        <v>0</v>
      </c>
      <c r="V1858" s="178">
        <f>(FME_Ranking1[[#This Row],[LWC Raw]]/$U$2)*100</f>
        <v>0</v>
      </c>
      <c r="W1858" s="178">
        <f>FME_Ranking1[[#This Row],[LWC Score (Normalized, Unweighted)]]*$U$3</f>
        <v>0</v>
      </c>
      <c r="X1858" s="246">
        <f>_xlfn.XLOOKUP(FME_Ranking1[[#This Row],[FME ID]],FME_Input[FME_ID],FME_Input[ROADCLS])</f>
        <v>0</v>
      </c>
      <c r="Y1858" s="230">
        <f>(FME_Ranking1[[#This Row],[Closures Raw]]/$X$2)*100</f>
        <v>0</v>
      </c>
      <c r="Z1858" s="180">
        <f>FME_Ranking1[[#This Row],[Closures Score (Normalized, Unweighted)]]*$X$3</f>
        <v>0</v>
      </c>
      <c r="AA1858" s="253">
        <f>_xlfn.XLOOKUP(FME_Ranking1[[#This Row],[FME ID]],FME_Input[FME_ID],FME_Input[ROAD_MILES100])</f>
        <v>0.31765195727348328</v>
      </c>
      <c r="AB1858" s="178">
        <f>(FME_Ranking1[[#This Row],[Miles Raw]]/$AA$2)*100</f>
        <v>4.1765535026140966E-3</v>
      </c>
      <c r="AC1858" s="178">
        <f>FME_Ranking1[[#This Row],[Miles Score (Normalized, Unweighted)]]*$AA$3</f>
        <v>4.1765535026140968E-4</v>
      </c>
      <c r="AD1858" s="255">
        <f>_xlfn.XLOOKUP(FME_Ranking1[[#This Row],[FME ID]],FME_Input[FME_ID],FME_Input[FARMACRE100])</f>
        <v>0</v>
      </c>
      <c r="AE1858" s="230">
        <f>(FME_Ranking1[[#This Row],[Ag Land Raw]]/$AD$2)*100</f>
        <v>0</v>
      </c>
      <c r="AF1858" s="231">
        <f>FME_Ranking1[[#This Row],[Ag Land Score (Normalized, Unweighted)]]*$AD$3</f>
        <v>0</v>
      </c>
      <c r="AG185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3.2141705795267119E-3</v>
      </c>
      <c r="AH1858" s="406">
        <f t="shared" si="28"/>
        <v>1891</v>
      </c>
      <c r="AI185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3.2141705795267119E-3</v>
      </c>
      <c r="AJ1858" s="257">
        <f>FME_Ranking1[[#This Row],[Addition check]]-FME_Ranking1[[#This Row],[Weighted Score Based on Normalized Reported Factors]]</f>
        <v>0</v>
      </c>
      <c r="AK1858" s="178">
        <f>_xlfn.RANK.EQ(AI1858,$AI$6:$AI$2341,0)+COUNTIF($AI$6:AI1858,AI1858)-1</f>
        <v>1891</v>
      </c>
    </row>
    <row r="1859" spans="1:37" x14ac:dyDescent="0.25">
      <c r="A1859" t="s">
        <v>7069</v>
      </c>
      <c r="B1859">
        <f>_xlfn.XLOOKUP(FME_Ranking1[[#This Row],[FME ID]],FME_Input[FME_ID],FME_Input[RFPG_NUM])</f>
        <v>7</v>
      </c>
      <c r="C1859" t="str">
        <f>_xlfn.XLOOKUP(FME_Ranking1[[#This Row],[FME ID]],FME_Input[FME_ID],FME_Input[FME_NAME])</f>
        <v>Town of Buffalo Gap DMP</v>
      </c>
      <c r="D1859" t="str">
        <f>_xlfn.XLOOKUP(FME_Ranking1[[#This Row],[FME ID]],FME_Input[FME_ID],FME_Input[DESCR])</f>
        <v>Evaluate town to identify future projects, analyze roads/stream crossing for emergency response vehicles to high hazard areas. Evaluate areas with repetitive losses. Recommend mitigation needs.</v>
      </c>
      <c r="E1859" s="256">
        <f>_xlfn.XLOOKUP(FME_Ranking1[[#This Row],[FME ID]],FME_Input[FME_ID],FME_Input[FME_COST])</f>
        <v>250000</v>
      </c>
      <c r="F1859" t="str">
        <f>_xlfn.XLOOKUP(FME_Ranking1[[#This Row],[FME ID]],FME_Input[FME_ID],FME_Input[EMER_NEED])</f>
        <v>No</v>
      </c>
      <c r="G1859">
        <f>IF(FME_Ranking!F1859="Yes",100,0)</f>
        <v>0</v>
      </c>
      <c r="H1859">
        <f>FME_Ranking1[[#This Row],[Emergency Need Score (Normalized, Unweighted)]]*$F$3</f>
        <v>0</v>
      </c>
      <c r="I1859" s="246">
        <f>_xlfn.XLOOKUP(FME_Ranking1[[#This Row],[FME ID]],FME_Input[FME_ID],FME_Input[STRUCT_100])</f>
        <v>18</v>
      </c>
      <c r="J1859" s="178">
        <f>(FME_Ranking1[[#This Row],[Structures 100 Raw]]/I$2)*100</f>
        <v>9.6388638992417428E-3</v>
      </c>
      <c r="K1859" s="178">
        <f>FME_Ranking1[[#This Row],[Structures 100  Score (Normalized, Unweighted)]]*$I$3</f>
        <v>1.4458295848862614E-3</v>
      </c>
      <c r="L1859" s="246">
        <f>_xlfn.XLOOKUP(FME_Ranking1[[#This Row],[FME ID]],FME_Input[FME_ID],FME_Input[RES_STRUCT100])</f>
        <v>15</v>
      </c>
      <c r="M1859" s="230">
        <f>(FME_Ranking1[[#This Row],[Res Structures Raw]]/L$2)*100</f>
        <v>1.0624583870465073E-2</v>
      </c>
      <c r="N1859" s="180">
        <f>FME_Ranking1[[#This Row],[Res Structures Score (Normalized, Unweighted)]]*$L$3</f>
        <v>1.0624583870465073E-3</v>
      </c>
      <c r="O1859" s="244">
        <f>_xlfn.XLOOKUP(FME_Ranking1[[#This Row],[FME ID]],FME_Input[FME_ID],FME_Input[POP100])</f>
        <v>16</v>
      </c>
      <c r="P1859" s="178">
        <f>(FME_Ranking1[[#This Row],[Pop Raw]]/$O$2)*100</f>
        <v>1.6380049918202125E-3</v>
      </c>
      <c r="Q1859" s="178">
        <f>FME_Ranking1[[#This Row],[Pop Score (Normalized, Unweighted)]]*$O$3</f>
        <v>2.4570074877303187E-4</v>
      </c>
      <c r="R1859" s="137">
        <f>_xlfn.XLOOKUP(FME_Ranking1[[#This Row],[FME ID]],FME_Input[FME_ID],FME_Input[CRITFAC100])</f>
        <v>0</v>
      </c>
      <c r="S1859" s="230">
        <f>(FME_Ranking1[[#This Row],[Critical Facilities Raw]]/$R$2)*100</f>
        <v>0</v>
      </c>
      <c r="T1859" s="180">
        <f>FME_Ranking1[[#This Row],[Critical Facilities Score (Normalized, Unweighted)]]*$R$3</f>
        <v>0</v>
      </c>
      <c r="U1859">
        <f>_xlfn.XLOOKUP(FME_Ranking1[[#This Row],[FME ID]],FME_Input[FME_ID],FME_Input[LWC])</f>
        <v>0</v>
      </c>
      <c r="V1859" s="178">
        <f>(FME_Ranking1[[#This Row],[LWC Raw]]/$U$2)*100</f>
        <v>0</v>
      </c>
      <c r="W1859" s="178">
        <f>FME_Ranking1[[#This Row],[LWC Score (Normalized, Unweighted)]]*$U$3</f>
        <v>0</v>
      </c>
      <c r="X1859" s="246">
        <f>_xlfn.XLOOKUP(FME_Ranking1[[#This Row],[FME ID]],FME_Input[FME_ID],FME_Input[ROADCLS])</f>
        <v>0</v>
      </c>
      <c r="Y1859" s="230">
        <f>(FME_Ranking1[[#This Row],[Closures Raw]]/$X$2)*100</f>
        <v>0</v>
      </c>
      <c r="Z1859" s="180">
        <f>FME_Ranking1[[#This Row],[Closures Score (Normalized, Unweighted)]]*$X$3</f>
        <v>0</v>
      </c>
      <c r="AA1859" s="253">
        <f>_xlfn.XLOOKUP(FME_Ranking1[[#This Row],[FME ID]],FME_Input[FME_ID],FME_Input[ROAD_MILES100])</f>
        <v>1.45664393901825</v>
      </c>
      <c r="AB1859" s="178">
        <f>(FME_Ranking1[[#This Row],[Miles Raw]]/$AA$2)*100</f>
        <v>1.9152255184533448E-2</v>
      </c>
      <c r="AC1859" s="178">
        <f>FME_Ranking1[[#This Row],[Miles Score (Normalized, Unweighted)]]*$AA$3</f>
        <v>1.9152255184533449E-3</v>
      </c>
      <c r="AD1859" s="255">
        <f>_xlfn.XLOOKUP(FME_Ranking1[[#This Row],[FME ID]],FME_Input[FME_ID],FME_Input[FARMACRE100])</f>
        <v>0.2748100757598877</v>
      </c>
      <c r="AE1859" s="230">
        <f>(FME_Ranking1[[#This Row],[Ag Land Raw]]/$AD$2)*100</f>
        <v>1.1331937336019732E-5</v>
      </c>
      <c r="AF1859" s="231">
        <f>FME_Ranking1[[#This Row],[Ag Land Score (Normalized, Unweighted)]]*$AD$3</f>
        <v>5.6659686680098661E-7</v>
      </c>
      <c r="AG185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4.6697808360259465E-3</v>
      </c>
      <c r="AH1859" s="406">
        <f t="shared" si="28"/>
        <v>1845</v>
      </c>
      <c r="AI185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4.6697808360259465E-3</v>
      </c>
      <c r="AJ1859" s="257">
        <f>FME_Ranking1[[#This Row],[Addition check]]-FME_Ranking1[[#This Row],[Weighted Score Based on Normalized Reported Factors]]</f>
        <v>0</v>
      </c>
      <c r="AK1859" s="178">
        <f>_xlfn.RANK.EQ(AI1859,$AI$6:$AI$2341,0)+COUNTIF($AI$6:AI1859,AI1859)-1</f>
        <v>1845</v>
      </c>
    </row>
    <row r="1860" spans="1:37" x14ac:dyDescent="0.25">
      <c r="A1860" t="s">
        <v>9363</v>
      </c>
      <c r="B1860">
        <f>_xlfn.XLOOKUP(FME_Ranking1[[#This Row],[FME ID]],FME_Input[FME_ID],FME_Input[RFPG_NUM])</f>
        <v>12</v>
      </c>
      <c r="C1860" t="str">
        <f>_xlfn.XLOOKUP(FME_Ranking1[[#This Row],[FME ID]],FME_Input[FME_ID],FME_Input[FME_NAME])</f>
        <v>Update flood information and policies</v>
      </c>
      <c r="D1860" t="str">
        <f>_xlfn.XLOOKUP(FME_Ranking1[[#This Row],[FME ID]],FME_Input[FME_ID],FME_Input[DESCR])</f>
        <v>Identify and compile information on flood hazard areas and residential property in flood zones, establish and implement a volunteer acquisition / elevation program based on FEMA protocol in association with SARA studies, and review permitting process bas</v>
      </c>
      <c r="E1860" s="256">
        <f>_xlfn.XLOOKUP(FME_Ranking1[[#This Row],[FME ID]],FME_Input[FME_ID],FME_Input[FME_COST])</f>
        <v>100000</v>
      </c>
      <c r="F1860" t="str">
        <f>_xlfn.XLOOKUP(FME_Ranking1[[#This Row],[FME ID]],FME_Input[FME_ID],FME_Input[EMER_NEED])</f>
        <v>No</v>
      </c>
      <c r="G1860">
        <f>IF(FME_Ranking!F1860="Yes",100,0)</f>
        <v>0</v>
      </c>
      <c r="H1860">
        <f>FME_Ranking1[[#This Row],[Emergency Need Score (Normalized, Unweighted)]]*$F$3</f>
        <v>0</v>
      </c>
      <c r="I1860" s="246">
        <f>_xlfn.XLOOKUP(FME_Ranking1[[#This Row],[FME ID]],FME_Input[FME_ID],FME_Input[STRUCT_100])</f>
        <v>4</v>
      </c>
      <c r="J1860" s="178">
        <f>(FME_Ranking1[[#This Row],[Structures 100 Raw]]/I$2)*100</f>
        <v>2.1419697553870542E-3</v>
      </c>
      <c r="K1860" s="178">
        <f>FME_Ranking1[[#This Row],[Structures 100  Score (Normalized, Unweighted)]]*$I$3</f>
        <v>3.2129546330805813E-4</v>
      </c>
      <c r="L1860" s="246">
        <f>_xlfn.XLOOKUP(FME_Ranking1[[#This Row],[FME ID]],FME_Input[FME_ID],FME_Input[RES_STRUCT100])</f>
        <v>1</v>
      </c>
      <c r="M1860" s="230">
        <f>(FME_Ranking1[[#This Row],[Res Structures Raw]]/L$2)*100</f>
        <v>7.0830559136433825E-4</v>
      </c>
      <c r="N1860" s="180">
        <f>FME_Ranking1[[#This Row],[Res Structures Score (Normalized, Unweighted)]]*$L$3</f>
        <v>7.0830559136433833E-5</v>
      </c>
      <c r="O1860" s="244">
        <f>_xlfn.XLOOKUP(FME_Ranking1[[#This Row],[FME ID]],FME_Input[FME_ID],FME_Input[POP100])</f>
        <v>14</v>
      </c>
      <c r="P1860" s="178">
        <f>(FME_Ranking1[[#This Row],[Pop Raw]]/$O$2)*100</f>
        <v>1.4332543678426859E-3</v>
      </c>
      <c r="Q1860" s="178">
        <f>FME_Ranking1[[#This Row],[Pop Score (Normalized, Unweighted)]]*$O$3</f>
        <v>2.1498815517640289E-4</v>
      </c>
      <c r="R1860" s="137">
        <f>_xlfn.XLOOKUP(FME_Ranking1[[#This Row],[FME ID]],FME_Input[FME_ID],FME_Input[CRITFAC100])</f>
        <v>0</v>
      </c>
      <c r="S1860" s="230">
        <f>(FME_Ranking1[[#This Row],[Critical Facilities Raw]]/$R$2)*100</f>
        <v>0</v>
      </c>
      <c r="T1860" s="180">
        <f>FME_Ranking1[[#This Row],[Critical Facilities Score (Normalized, Unweighted)]]*$R$3</f>
        <v>0</v>
      </c>
      <c r="U1860">
        <f>_xlfn.XLOOKUP(FME_Ranking1[[#This Row],[FME ID]],FME_Input[FME_ID],FME_Input[LWC])</f>
        <v>0</v>
      </c>
      <c r="V1860" s="178">
        <f>(FME_Ranking1[[#This Row],[LWC Raw]]/$U$2)*100</f>
        <v>0</v>
      </c>
      <c r="W1860" s="178">
        <f>FME_Ranking1[[#This Row],[LWC Score (Normalized, Unweighted)]]*$U$3</f>
        <v>0</v>
      </c>
      <c r="X1860" s="246">
        <f>_xlfn.XLOOKUP(FME_Ranking1[[#This Row],[FME ID]],FME_Input[FME_ID],FME_Input[ROADCLS])</f>
        <v>4</v>
      </c>
      <c r="Y1860" s="230">
        <f>(FME_Ranking1[[#This Row],[Closures Raw]]/$X$2)*100</f>
        <v>4.2056566081379455E-2</v>
      </c>
      <c r="Z1860" s="180">
        <f>FME_Ranking1[[#This Row],[Closures Score (Normalized, Unweighted)]]*$X$3</f>
        <v>2.1028283040689729E-3</v>
      </c>
      <c r="AA1860" s="253">
        <f>_xlfn.XLOOKUP(FME_Ranking1[[#This Row],[FME ID]],FME_Input[FME_ID],FME_Input[ROAD_MILES100])</f>
        <v>0.116907998919487</v>
      </c>
      <c r="AB1860" s="178">
        <f>(FME_Ranking1[[#This Row],[Miles Raw]]/$AA$2)*100</f>
        <v>1.5371305014513384E-3</v>
      </c>
      <c r="AC1860" s="178">
        <f>FME_Ranking1[[#This Row],[Miles Score (Normalized, Unweighted)]]*$AA$3</f>
        <v>1.5371305014513385E-4</v>
      </c>
      <c r="AD1860" s="255">
        <f>_xlfn.XLOOKUP(FME_Ranking1[[#This Row],[FME ID]],FME_Input[FME_ID],FME_Input[FARMACRE100])</f>
        <v>1.163869976997375</v>
      </c>
      <c r="AE1860" s="230">
        <f>(FME_Ranking1[[#This Row],[Ag Land Raw]]/$AD$2)*100</f>
        <v>4.7992787783125684E-5</v>
      </c>
      <c r="AF1860" s="231">
        <f>FME_Ranking1[[#This Row],[Ag Land Score (Normalized, Unweighted)]]*$AD$3</f>
        <v>2.3996393891562843E-6</v>
      </c>
      <c r="AG186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2.8660551712241578E-3</v>
      </c>
      <c r="AH1860" s="406">
        <f t="shared" si="28"/>
        <v>1912</v>
      </c>
      <c r="AI186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2.8660551712241578E-3</v>
      </c>
      <c r="AJ1860" s="257">
        <f>FME_Ranking1[[#This Row],[Addition check]]-FME_Ranking1[[#This Row],[Weighted Score Based on Normalized Reported Factors]]</f>
        <v>0</v>
      </c>
      <c r="AK1860" s="178">
        <f>_xlfn.RANK.EQ(AI1860,$AI$6:$AI$2341,0)+COUNTIF($AI$6:AI1860,AI1860)-1</f>
        <v>1912</v>
      </c>
    </row>
    <row r="1861" spans="1:37" x14ac:dyDescent="0.25">
      <c r="A1861" t="s">
        <v>3214</v>
      </c>
      <c r="B1861">
        <f>_xlfn.XLOOKUP(FME_Ranking1[[#This Row],[FME ID]],FME_Input[FME_ID],FME_Input[RFPG_NUM])</f>
        <v>1</v>
      </c>
      <c r="C1861" t="str">
        <f>_xlfn.XLOOKUP(FME_Ranking1[[#This Row],[FME ID]],FME_Input[FME_ID],FME_Input[FME_NAME])</f>
        <v>Comanche Drainage Channel (City of Amarillo)</v>
      </c>
      <c r="D1861" t="str">
        <f>_xlfn.XLOOKUP(FME_Ranking1[[#This Row],[FME ID]],FME_Input[FME_ID],FME_Input[DESCR])</f>
        <v>Evaluate project to quantify benefits, evaluate impacts and begin design. Improvements to Comanche Drainage Channel. Project identified from 2019 Amarillo DMP.</v>
      </c>
      <c r="E1861" s="256">
        <f>_xlfn.XLOOKUP(FME_Ranking1[[#This Row],[FME ID]],FME_Input[FME_ID],FME_Input[FME_COST])</f>
        <v>250000</v>
      </c>
      <c r="F1861" t="str">
        <f>_xlfn.XLOOKUP(FME_Ranking1[[#This Row],[FME ID]],FME_Input[FME_ID],FME_Input[EMER_NEED])</f>
        <v>No</v>
      </c>
      <c r="G1861">
        <f>IF(FME_Ranking!F1861="Yes",100,0)</f>
        <v>0</v>
      </c>
      <c r="H1861">
        <f>FME_Ranking1[[#This Row],[Emergency Need Score (Normalized, Unweighted)]]*$F$3</f>
        <v>0</v>
      </c>
      <c r="I1861" s="246">
        <f>_xlfn.XLOOKUP(FME_Ranking1[[#This Row],[FME ID]],FME_Input[FME_ID],FME_Input[STRUCT_100])</f>
        <v>14</v>
      </c>
      <c r="J1861" s="178">
        <f>(FME_Ranking1[[#This Row],[Structures 100 Raw]]/I$2)*100</f>
        <v>7.4968941438546891E-3</v>
      </c>
      <c r="K1861" s="178">
        <f>FME_Ranking1[[#This Row],[Structures 100  Score (Normalized, Unweighted)]]*$I$3</f>
        <v>1.1245341215782034E-3</v>
      </c>
      <c r="L1861" s="246">
        <f>_xlfn.XLOOKUP(FME_Ranking1[[#This Row],[FME ID]],FME_Input[FME_ID],FME_Input[RES_STRUCT100])</f>
        <v>8</v>
      </c>
      <c r="M1861" s="230">
        <f>(FME_Ranking1[[#This Row],[Res Structures Raw]]/L$2)*100</f>
        <v>5.666444730914706E-3</v>
      </c>
      <c r="N1861" s="180">
        <f>FME_Ranking1[[#This Row],[Res Structures Score (Normalized, Unweighted)]]*$L$3</f>
        <v>5.6664447309147067E-4</v>
      </c>
      <c r="O1861" s="244">
        <f>_xlfn.XLOOKUP(FME_Ranking1[[#This Row],[FME ID]],FME_Input[FME_ID],FME_Input[POP100])</f>
        <v>35</v>
      </c>
      <c r="P1861" s="178">
        <f>(FME_Ranking1[[#This Row],[Pop Raw]]/$O$2)*100</f>
        <v>3.5831359196067153E-3</v>
      </c>
      <c r="Q1861" s="178">
        <f>FME_Ranking1[[#This Row],[Pop Score (Normalized, Unweighted)]]*$O$3</f>
        <v>5.374703879410073E-4</v>
      </c>
      <c r="R1861" s="137">
        <f>_xlfn.XLOOKUP(FME_Ranking1[[#This Row],[FME ID]],FME_Input[FME_ID],FME_Input[CRITFAC100])</f>
        <v>0</v>
      </c>
      <c r="S1861" s="230">
        <f>(FME_Ranking1[[#This Row],[Critical Facilities Raw]]/$R$2)*100</f>
        <v>0</v>
      </c>
      <c r="T1861" s="180">
        <f>FME_Ranking1[[#This Row],[Critical Facilities Score (Normalized, Unweighted)]]*$R$3</f>
        <v>0</v>
      </c>
      <c r="U1861">
        <f>_xlfn.XLOOKUP(FME_Ranking1[[#This Row],[FME ID]],FME_Input[FME_ID],FME_Input[LWC])</f>
        <v>0</v>
      </c>
      <c r="V1861" s="178">
        <f>(FME_Ranking1[[#This Row],[LWC Raw]]/$U$2)*100</f>
        <v>0</v>
      </c>
      <c r="W1861" s="178">
        <f>FME_Ranking1[[#This Row],[LWC Score (Normalized, Unweighted)]]*$U$3</f>
        <v>0</v>
      </c>
      <c r="X1861" s="246">
        <f>_xlfn.XLOOKUP(FME_Ranking1[[#This Row],[FME ID]],FME_Input[FME_ID],FME_Input[ROADCLS])</f>
        <v>0</v>
      </c>
      <c r="Y1861" s="230">
        <f>(FME_Ranking1[[#This Row],[Closures Raw]]/$X$2)*100</f>
        <v>0</v>
      </c>
      <c r="Z1861" s="180">
        <f>FME_Ranking1[[#This Row],[Closures Score (Normalized, Unweighted)]]*$X$3</f>
        <v>0</v>
      </c>
      <c r="AA1861" s="253">
        <f>_xlfn.XLOOKUP(FME_Ranking1[[#This Row],[FME ID]],FME_Input[FME_ID],FME_Input[ROAD_MILES100])</f>
        <v>4.2094821929931641</v>
      </c>
      <c r="AB1861" s="178">
        <f>(FME_Ranking1[[#This Row],[Miles Raw]]/$AA$2)*100</f>
        <v>5.5347140777101372E-2</v>
      </c>
      <c r="AC1861" s="178">
        <f>FME_Ranking1[[#This Row],[Miles Score (Normalized, Unweighted)]]*$AA$3</f>
        <v>5.5347140777101374E-3</v>
      </c>
      <c r="AD1861" s="255">
        <f>_xlfn.XLOOKUP(FME_Ranking1[[#This Row],[FME ID]],FME_Input[FME_ID],FME_Input[FARMACRE100])</f>
        <v>223.88591003417969</v>
      </c>
      <c r="AE1861" s="230">
        <f>(FME_Ranking1[[#This Row],[Ag Land Raw]]/$AD$2)*100</f>
        <v>9.2320527037072879E-3</v>
      </c>
      <c r="AF1861" s="231">
        <f>FME_Ranking1[[#This Row],[Ag Land Score (Normalized, Unweighted)]]*$AD$3</f>
        <v>4.6160263518536441E-4</v>
      </c>
      <c r="AG186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8.2249656955061829E-3</v>
      </c>
      <c r="AH1861" s="406">
        <f t="shared" si="28"/>
        <v>1781</v>
      </c>
      <c r="AI186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8.2249656955061829E-3</v>
      </c>
      <c r="AJ1861" s="257">
        <f>FME_Ranking1[[#This Row],[Addition check]]-FME_Ranking1[[#This Row],[Weighted Score Based on Normalized Reported Factors]]</f>
        <v>0</v>
      </c>
      <c r="AK1861" s="178">
        <f>_xlfn.RANK.EQ(AI1861,$AI$6:$AI$2341,0)+COUNTIF($AI$6:AI1861,AI1861)-1</f>
        <v>1781</v>
      </c>
    </row>
    <row r="1862" spans="1:37" x14ac:dyDescent="0.25">
      <c r="A1862" t="s">
        <v>3246</v>
      </c>
      <c r="B1862">
        <f>_xlfn.XLOOKUP(FME_Ranking1[[#This Row],[FME ID]],FME_Input[FME_ID],FME_Input[RFPG_NUM])</f>
        <v>1</v>
      </c>
      <c r="C1862" t="str">
        <f>_xlfn.XLOOKUP(FME_Ranking1[[#This Row],[FME ID]],FME_Input[FME_ID],FME_Input[FME_NAME])</f>
        <v>SE 34th/ Grand at Comanche Golf Course Channel (City of Amarillo)</v>
      </c>
      <c r="D1862" t="str">
        <f>_xlfn.XLOOKUP(FME_Ranking1[[#This Row],[FME ID]],FME_Input[FME_ID],FME_Input[DESCR])</f>
        <v>Evaluate project to quantify benefits, evaluate impacts and begin design. Improvements to SE 34th/ Grand at Comanche Golf Course Channel. Project identified from 2019 Amarillo DMP.</v>
      </c>
      <c r="E1862" s="256">
        <f>_xlfn.XLOOKUP(FME_Ranking1[[#This Row],[FME ID]],FME_Input[FME_ID],FME_Input[FME_COST])</f>
        <v>250000</v>
      </c>
      <c r="F1862" t="str">
        <f>_xlfn.XLOOKUP(FME_Ranking1[[#This Row],[FME ID]],FME_Input[FME_ID],FME_Input[EMER_NEED])</f>
        <v>No</v>
      </c>
      <c r="G1862">
        <f>IF(FME_Ranking!F1862="Yes",100,0)</f>
        <v>0</v>
      </c>
      <c r="H1862">
        <f>FME_Ranking1[[#This Row],[Emergency Need Score (Normalized, Unweighted)]]*$F$3</f>
        <v>0</v>
      </c>
      <c r="I1862" s="246">
        <f>_xlfn.XLOOKUP(FME_Ranking1[[#This Row],[FME ID]],FME_Input[FME_ID],FME_Input[STRUCT_100])</f>
        <v>14</v>
      </c>
      <c r="J1862" s="178">
        <f>(FME_Ranking1[[#This Row],[Structures 100 Raw]]/I$2)*100</f>
        <v>7.4968941438546891E-3</v>
      </c>
      <c r="K1862" s="178">
        <f>FME_Ranking1[[#This Row],[Structures 100  Score (Normalized, Unweighted)]]*$I$3</f>
        <v>1.1245341215782034E-3</v>
      </c>
      <c r="L1862" s="246">
        <f>_xlfn.XLOOKUP(FME_Ranking1[[#This Row],[FME ID]],FME_Input[FME_ID],FME_Input[RES_STRUCT100])</f>
        <v>8</v>
      </c>
      <c r="M1862" s="230">
        <f>(FME_Ranking1[[#This Row],[Res Structures Raw]]/L$2)*100</f>
        <v>5.666444730914706E-3</v>
      </c>
      <c r="N1862" s="180">
        <f>FME_Ranking1[[#This Row],[Res Structures Score (Normalized, Unweighted)]]*$L$3</f>
        <v>5.6664447309147067E-4</v>
      </c>
      <c r="O1862" s="244">
        <f>_xlfn.XLOOKUP(FME_Ranking1[[#This Row],[FME ID]],FME_Input[FME_ID],FME_Input[POP100])</f>
        <v>35</v>
      </c>
      <c r="P1862" s="178">
        <f>(FME_Ranking1[[#This Row],[Pop Raw]]/$O$2)*100</f>
        <v>3.5831359196067153E-3</v>
      </c>
      <c r="Q1862" s="178">
        <f>FME_Ranking1[[#This Row],[Pop Score (Normalized, Unweighted)]]*$O$3</f>
        <v>5.374703879410073E-4</v>
      </c>
      <c r="R1862" s="137">
        <f>_xlfn.XLOOKUP(FME_Ranking1[[#This Row],[FME ID]],FME_Input[FME_ID],FME_Input[CRITFAC100])</f>
        <v>0</v>
      </c>
      <c r="S1862" s="230">
        <f>(FME_Ranking1[[#This Row],[Critical Facilities Raw]]/$R$2)*100</f>
        <v>0</v>
      </c>
      <c r="T1862" s="180">
        <f>FME_Ranking1[[#This Row],[Critical Facilities Score (Normalized, Unweighted)]]*$R$3</f>
        <v>0</v>
      </c>
      <c r="U1862">
        <f>_xlfn.XLOOKUP(FME_Ranking1[[#This Row],[FME ID]],FME_Input[FME_ID],FME_Input[LWC])</f>
        <v>0</v>
      </c>
      <c r="V1862" s="178">
        <f>(FME_Ranking1[[#This Row],[LWC Raw]]/$U$2)*100</f>
        <v>0</v>
      </c>
      <c r="W1862" s="178">
        <f>FME_Ranking1[[#This Row],[LWC Score (Normalized, Unweighted)]]*$U$3</f>
        <v>0</v>
      </c>
      <c r="X1862" s="246">
        <f>_xlfn.XLOOKUP(FME_Ranking1[[#This Row],[FME ID]],FME_Input[FME_ID],FME_Input[ROADCLS])</f>
        <v>0</v>
      </c>
      <c r="Y1862" s="230">
        <f>(FME_Ranking1[[#This Row],[Closures Raw]]/$X$2)*100</f>
        <v>0</v>
      </c>
      <c r="Z1862" s="180">
        <f>FME_Ranking1[[#This Row],[Closures Score (Normalized, Unweighted)]]*$X$3</f>
        <v>0</v>
      </c>
      <c r="AA1862" s="253">
        <f>_xlfn.XLOOKUP(FME_Ranking1[[#This Row],[FME ID]],FME_Input[FME_ID],FME_Input[ROAD_MILES100])</f>
        <v>4.2094821929931641</v>
      </c>
      <c r="AB1862" s="178">
        <f>(FME_Ranking1[[#This Row],[Miles Raw]]/$AA$2)*100</f>
        <v>5.5347140777101372E-2</v>
      </c>
      <c r="AC1862" s="178">
        <f>FME_Ranking1[[#This Row],[Miles Score (Normalized, Unweighted)]]*$AA$3</f>
        <v>5.5347140777101374E-3</v>
      </c>
      <c r="AD1862" s="255">
        <f>_xlfn.XLOOKUP(FME_Ranking1[[#This Row],[FME ID]],FME_Input[FME_ID],FME_Input[FARMACRE100])</f>
        <v>223.88591003417969</v>
      </c>
      <c r="AE1862" s="230">
        <f>(FME_Ranking1[[#This Row],[Ag Land Raw]]/$AD$2)*100</f>
        <v>9.2320527037072879E-3</v>
      </c>
      <c r="AF1862" s="231">
        <f>FME_Ranking1[[#This Row],[Ag Land Score (Normalized, Unweighted)]]*$AD$3</f>
        <v>4.6160263518536441E-4</v>
      </c>
      <c r="AG186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8.2249656955061829E-3</v>
      </c>
      <c r="AH1862" s="406">
        <f t="shared" ref="AH1862:AH1925" si="29">_xlfn.RANK.EQ(AG1862,$AG$6:$AG$2341,0)</f>
        <v>1781</v>
      </c>
      <c r="AI186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8.2249656955061829E-3</v>
      </c>
      <c r="AJ1862" s="257">
        <f>FME_Ranking1[[#This Row],[Addition check]]-FME_Ranking1[[#This Row],[Weighted Score Based on Normalized Reported Factors]]</f>
        <v>0</v>
      </c>
      <c r="AK1862" s="178">
        <f>_xlfn.RANK.EQ(AI1862,$AI$6:$AI$2341,0)+COUNTIF($AI$6:AI1862,AI1862)-1</f>
        <v>1782</v>
      </c>
    </row>
    <row r="1863" spans="1:37" x14ac:dyDescent="0.25">
      <c r="A1863" t="s">
        <v>3340</v>
      </c>
      <c r="B1863">
        <f>_xlfn.XLOOKUP(FME_Ranking1[[#This Row],[FME ID]],FME_Input[FME_ID],FME_Input[RFPG_NUM])</f>
        <v>1</v>
      </c>
      <c r="C1863" t="str">
        <f>_xlfn.XLOOKUP(FME_Ranking1[[#This Row],[FME ID]],FME_Input[FME_ID],FME_Input[FME_NAME])</f>
        <v>Gooch Lake Project Planning - 27th Ave/RR Storm Sewer (City of Amarillo)</v>
      </c>
      <c r="D1863" t="str">
        <f>_xlfn.XLOOKUP(FME_Ranking1[[#This Row],[FME ID]],FME_Input[FME_ID],FME_Input[DESCR])</f>
        <v>Evaluate project to quantify benefits, evaluate impacts and begin design. Improvements include adding inlets, a 24" RCP lateral, and a manhole. Project identified from 2019 Amarillo DMP.</v>
      </c>
      <c r="E1863" s="256">
        <f>_xlfn.XLOOKUP(FME_Ranking1[[#This Row],[FME ID]],FME_Input[FME_ID],FME_Input[FME_COST])</f>
        <v>250000</v>
      </c>
      <c r="F1863" t="str">
        <f>_xlfn.XLOOKUP(FME_Ranking1[[#This Row],[FME ID]],FME_Input[FME_ID],FME_Input[EMER_NEED])</f>
        <v>No</v>
      </c>
      <c r="G1863">
        <f>IF(FME_Ranking!F1863="Yes",100,0)</f>
        <v>0</v>
      </c>
      <c r="H1863">
        <f>FME_Ranking1[[#This Row],[Emergency Need Score (Normalized, Unweighted)]]*$F$3</f>
        <v>0</v>
      </c>
      <c r="I1863" s="246">
        <f>_xlfn.XLOOKUP(FME_Ranking1[[#This Row],[FME ID]],FME_Input[FME_ID],FME_Input[STRUCT_100])</f>
        <v>14</v>
      </c>
      <c r="J1863" s="178">
        <f>(FME_Ranking1[[#This Row],[Structures 100 Raw]]/I$2)*100</f>
        <v>7.4968941438546891E-3</v>
      </c>
      <c r="K1863" s="178">
        <f>FME_Ranking1[[#This Row],[Structures 100  Score (Normalized, Unweighted)]]*$I$3</f>
        <v>1.1245341215782034E-3</v>
      </c>
      <c r="L1863" s="246">
        <f>_xlfn.XLOOKUP(FME_Ranking1[[#This Row],[FME ID]],FME_Input[FME_ID],FME_Input[RES_STRUCT100])</f>
        <v>8</v>
      </c>
      <c r="M1863" s="230">
        <f>(FME_Ranking1[[#This Row],[Res Structures Raw]]/L$2)*100</f>
        <v>5.666444730914706E-3</v>
      </c>
      <c r="N1863" s="180">
        <f>FME_Ranking1[[#This Row],[Res Structures Score (Normalized, Unweighted)]]*$L$3</f>
        <v>5.6664447309147067E-4</v>
      </c>
      <c r="O1863" s="244">
        <f>_xlfn.XLOOKUP(FME_Ranking1[[#This Row],[FME ID]],FME_Input[FME_ID],FME_Input[POP100])</f>
        <v>35</v>
      </c>
      <c r="P1863" s="178">
        <f>(FME_Ranking1[[#This Row],[Pop Raw]]/$O$2)*100</f>
        <v>3.5831359196067153E-3</v>
      </c>
      <c r="Q1863" s="178">
        <f>FME_Ranking1[[#This Row],[Pop Score (Normalized, Unweighted)]]*$O$3</f>
        <v>5.374703879410073E-4</v>
      </c>
      <c r="R1863" s="137">
        <f>_xlfn.XLOOKUP(FME_Ranking1[[#This Row],[FME ID]],FME_Input[FME_ID],FME_Input[CRITFAC100])</f>
        <v>0</v>
      </c>
      <c r="S1863" s="230">
        <f>(FME_Ranking1[[#This Row],[Critical Facilities Raw]]/$R$2)*100</f>
        <v>0</v>
      </c>
      <c r="T1863" s="180">
        <f>FME_Ranking1[[#This Row],[Critical Facilities Score (Normalized, Unweighted)]]*$R$3</f>
        <v>0</v>
      </c>
      <c r="U1863">
        <f>_xlfn.XLOOKUP(FME_Ranking1[[#This Row],[FME ID]],FME_Input[FME_ID],FME_Input[LWC])</f>
        <v>0</v>
      </c>
      <c r="V1863" s="178">
        <f>(FME_Ranking1[[#This Row],[LWC Raw]]/$U$2)*100</f>
        <v>0</v>
      </c>
      <c r="W1863" s="178">
        <f>FME_Ranking1[[#This Row],[LWC Score (Normalized, Unweighted)]]*$U$3</f>
        <v>0</v>
      </c>
      <c r="X1863" s="246">
        <f>_xlfn.XLOOKUP(FME_Ranking1[[#This Row],[FME ID]],FME_Input[FME_ID],FME_Input[ROADCLS])</f>
        <v>0</v>
      </c>
      <c r="Y1863" s="230">
        <f>(FME_Ranking1[[#This Row],[Closures Raw]]/$X$2)*100</f>
        <v>0</v>
      </c>
      <c r="Z1863" s="180">
        <f>FME_Ranking1[[#This Row],[Closures Score (Normalized, Unweighted)]]*$X$3</f>
        <v>0</v>
      </c>
      <c r="AA1863" s="253">
        <f>_xlfn.XLOOKUP(FME_Ranking1[[#This Row],[FME ID]],FME_Input[FME_ID],FME_Input[ROAD_MILES100])</f>
        <v>4.2094821929931641</v>
      </c>
      <c r="AB1863" s="178">
        <f>(FME_Ranking1[[#This Row],[Miles Raw]]/$AA$2)*100</f>
        <v>5.5347140777101372E-2</v>
      </c>
      <c r="AC1863" s="178">
        <f>FME_Ranking1[[#This Row],[Miles Score (Normalized, Unweighted)]]*$AA$3</f>
        <v>5.5347140777101374E-3</v>
      </c>
      <c r="AD1863" s="255">
        <f>_xlfn.XLOOKUP(FME_Ranking1[[#This Row],[FME ID]],FME_Input[FME_ID],FME_Input[FARMACRE100])</f>
        <v>223.88591003417969</v>
      </c>
      <c r="AE1863" s="230">
        <f>(FME_Ranking1[[#This Row],[Ag Land Raw]]/$AD$2)*100</f>
        <v>9.2320527037072879E-3</v>
      </c>
      <c r="AF1863" s="231">
        <f>FME_Ranking1[[#This Row],[Ag Land Score (Normalized, Unweighted)]]*$AD$3</f>
        <v>4.6160263518536441E-4</v>
      </c>
      <c r="AG186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8.2249656955061829E-3</v>
      </c>
      <c r="AH1863" s="406">
        <f t="shared" si="29"/>
        <v>1781</v>
      </c>
      <c r="AI186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8.2249656955061829E-3</v>
      </c>
      <c r="AJ1863" s="257">
        <f>FME_Ranking1[[#This Row],[Addition check]]-FME_Ranking1[[#This Row],[Weighted Score Based on Normalized Reported Factors]]</f>
        <v>0</v>
      </c>
      <c r="AK1863" s="178">
        <f>_xlfn.RANK.EQ(AI1863,$AI$6:$AI$2341,0)+COUNTIF($AI$6:AI1863,AI1863)-1</f>
        <v>1783</v>
      </c>
    </row>
    <row r="1864" spans="1:37" x14ac:dyDescent="0.25">
      <c r="A1864" t="s">
        <v>3675</v>
      </c>
      <c r="B1864">
        <f>_xlfn.XLOOKUP(FME_Ranking1[[#This Row],[FME ID]],FME_Input[FME_ID],FME_Input[RFPG_NUM])</f>
        <v>2</v>
      </c>
      <c r="C1864" t="str">
        <f>_xlfn.XLOOKUP(FME_Ranking1[[#This Row],[FME ID]],FME_Input[FME_ID],FME_Input[FME_NAME])</f>
        <v>New Boston Unnamed Stream 1</v>
      </c>
      <c r="D1864" t="str">
        <f>_xlfn.XLOOKUP(FME_Ranking1[[#This Row],[FME ID]],FME_Input[FME_ID],FME_Input[DESCR])</f>
        <v>Debris, Vegetation Removal, and Channelization</v>
      </c>
      <c r="E1864" s="256">
        <f>_xlfn.XLOOKUP(FME_Ranking1[[#This Row],[FME ID]],FME_Input[FME_ID],FME_Input[FME_COST])</f>
        <v>250000</v>
      </c>
      <c r="F1864" t="str">
        <f>_xlfn.XLOOKUP(FME_Ranking1[[#This Row],[FME ID]],FME_Input[FME_ID],FME_Input[EMER_NEED])</f>
        <v>No</v>
      </c>
      <c r="G1864">
        <f>IF(FME_Ranking!F1864="Yes",100,0)</f>
        <v>0</v>
      </c>
      <c r="H1864">
        <f>FME_Ranking1[[#This Row],[Emergency Need Score (Normalized, Unweighted)]]*$F$3</f>
        <v>0</v>
      </c>
      <c r="I1864" s="246">
        <f>_xlfn.XLOOKUP(FME_Ranking1[[#This Row],[FME ID]],FME_Input[FME_ID],FME_Input[STRUCT_100])</f>
        <v>22</v>
      </c>
      <c r="J1864" s="178">
        <f>(FME_Ranking1[[#This Row],[Structures 100 Raw]]/I$2)*100</f>
        <v>1.1780833654628797E-2</v>
      </c>
      <c r="K1864" s="178">
        <f>FME_Ranking1[[#This Row],[Structures 100  Score (Normalized, Unweighted)]]*$I$3</f>
        <v>1.7671250481943194E-3</v>
      </c>
      <c r="L1864" s="246">
        <f>_xlfn.XLOOKUP(FME_Ranking1[[#This Row],[FME ID]],FME_Input[FME_ID],FME_Input[RES_STRUCT100])</f>
        <v>8</v>
      </c>
      <c r="M1864" s="230">
        <f>(FME_Ranking1[[#This Row],[Res Structures Raw]]/L$2)*100</f>
        <v>5.666444730914706E-3</v>
      </c>
      <c r="N1864" s="180">
        <f>FME_Ranking1[[#This Row],[Res Structures Score (Normalized, Unweighted)]]*$L$3</f>
        <v>5.6664447309147067E-4</v>
      </c>
      <c r="O1864" s="244">
        <f>_xlfn.XLOOKUP(FME_Ranking1[[#This Row],[FME ID]],FME_Input[FME_ID],FME_Input[POP100])</f>
        <v>22</v>
      </c>
      <c r="P1864" s="178">
        <f>(FME_Ranking1[[#This Row],[Pop Raw]]/$O$2)*100</f>
        <v>2.2522568637527922E-3</v>
      </c>
      <c r="Q1864" s="178">
        <f>FME_Ranking1[[#This Row],[Pop Score (Normalized, Unweighted)]]*$O$3</f>
        <v>3.3783852956291883E-4</v>
      </c>
      <c r="R1864" s="137">
        <f>_xlfn.XLOOKUP(FME_Ranking1[[#This Row],[FME ID]],FME_Input[FME_ID],FME_Input[CRITFAC100])</f>
        <v>0</v>
      </c>
      <c r="S1864" s="230">
        <f>(FME_Ranking1[[#This Row],[Critical Facilities Raw]]/$R$2)*100</f>
        <v>0</v>
      </c>
      <c r="T1864" s="180">
        <f>FME_Ranking1[[#This Row],[Critical Facilities Score (Normalized, Unweighted)]]*$R$3</f>
        <v>0</v>
      </c>
      <c r="U1864">
        <f>_xlfn.XLOOKUP(FME_Ranking1[[#This Row],[FME ID]],FME_Input[FME_ID],FME_Input[LWC])</f>
        <v>0</v>
      </c>
      <c r="V1864" s="178">
        <f>(FME_Ranking1[[#This Row],[LWC Raw]]/$U$2)*100</f>
        <v>0</v>
      </c>
      <c r="W1864" s="178">
        <f>FME_Ranking1[[#This Row],[LWC Score (Normalized, Unweighted)]]*$U$3</f>
        <v>0</v>
      </c>
      <c r="X1864" s="246">
        <f>_xlfn.XLOOKUP(FME_Ranking1[[#This Row],[FME ID]],FME_Input[FME_ID],FME_Input[ROADCLS])</f>
        <v>0</v>
      </c>
      <c r="Y1864" s="230">
        <f>(FME_Ranking1[[#This Row],[Closures Raw]]/$X$2)*100</f>
        <v>0</v>
      </c>
      <c r="Z1864" s="180">
        <f>FME_Ranking1[[#This Row],[Closures Score (Normalized, Unweighted)]]*$X$3</f>
        <v>0</v>
      </c>
      <c r="AA1864" s="253">
        <f>_xlfn.XLOOKUP(FME_Ranking1[[#This Row],[FME ID]],FME_Input[FME_ID],FME_Input[ROAD_MILES100])</f>
        <v>2.2302877902984619</v>
      </c>
      <c r="AB1864" s="178">
        <f>(FME_Ranking1[[#This Row],[Miles Raw]]/$AA$2)*100</f>
        <v>2.9324284233478826E-2</v>
      </c>
      <c r="AC1864" s="178">
        <f>FME_Ranking1[[#This Row],[Miles Score (Normalized, Unweighted)]]*$AA$3</f>
        <v>2.9324284233478827E-3</v>
      </c>
      <c r="AD1864" s="255">
        <f>_xlfn.XLOOKUP(FME_Ranking1[[#This Row],[FME ID]],FME_Input[FME_ID],FME_Input[FARMACRE100])</f>
        <v>4.6280093193054199</v>
      </c>
      <c r="AE1864" s="230">
        <f>(FME_Ranking1[[#This Row],[Ag Land Raw]]/$AD$2)*100</f>
        <v>1.9083838702736285E-4</v>
      </c>
      <c r="AF1864" s="231">
        <f>FME_Ranking1[[#This Row],[Ag Land Score (Normalized, Unweighted)]]*$AD$3</f>
        <v>9.541919351368143E-6</v>
      </c>
      <c r="AG186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5.61357839354796E-3</v>
      </c>
      <c r="AH1864" s="406">
        <f t="shared" si="29"/>
        <v>1824</v>
      </c>
      <c r="AI186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5.61357839354796E-3</v>
      </c>
      <c r="AJ1864" s="257">
        <f>FME_Ranking1[[#This Row],[Addition check]]-FME_Ranking1[[#This Row],[Weighted Score Based on Normalized Reported Factors]]</f>
        <v>0</v>
      </c>
      <c r="AK1864" s="178">
        <f>_xlfn.RANK.EQ(AI1864,$AI$6:$AI$2341,0)+COUNTIF($AI$6:AI1864,AI1864)-1</f>
        <v>1824</v>
      </c>
    </row>
    <row r="1865" spans="1:37" x14ac:dyDescent="0.25">
      <c r="A1865" t="s">
        <v>11070</v>
      </c>
      <c r="B1865">
        <f>_xlfn.XLOOKUP(FME_Ranking1[[#This Row],[FME ID]],FME_Input[FME_ID],FME_Input[RFPG_NUM])</f>
        <v>15</v>
      </c>
      <c r="C1865" t="str">
        <f>_xlfn.XLOOKUP(FME_Ranking1[[#This Row],[FME ID]],FME_Input[FME_ID],FME_Input[FME_NAME])</f>
        <v>Risk Area 11 Rancho Escondido</v>
      </c>
      <c r="D1865" t="str">
        <f>_xlfn.XLOOKUP(FME_Ranking1[[#This Row],[FME ID]],FME_Input[FME_ID],FME_Input[DESCR])</f>
        <v>Project includes constructing 10'x2' U-shaped channel from Flores Drive to just south of Microtel Inn Suites, replacing existing culvert under Mazza Drive with 1-8'x4 RCB, and installing curb inlet at cul-de-sac on Nancy Drive.</v>
      </c>
      <c r="E1865" s="256">
        <f>_xlfn.XLOOKUP(FME_Ranking1[[#This Row],[FME ID]],FME_Input[FME_ID],FME_Input[FME_COST])</f>
        <v>136785</v>
      </c>
      <c r="F1865" t="str">
        <f>_xlfn.XLOOKUP(FME_Ranking1[[#This Row],[FME ID]],FME_Input[FME_ID],FME_Input[EMER_NEED])</f>
        <v>Yes</v>
      </c>
      <c r="G1865">
        <f>IF(FME_Ranking!F1865="Yes",100,0)</f>
        <v>100</v>
      </c>
      <c r="H1865">
        <f>FME_Ranking1[[#This Row],[Emergency Need Score (Normalized, Unweighted)]]*$F$3</f>
        <v>0</v>
      </c>
      <c r="I1865" s="246">
        <f>_xlfn.XLOOKUP(FME_Ranking1[[#This Row],[FME ID]],FME_Input[FME_ID],FME_Input[STRUCT_100])</f>
        <v>0</v>
      </c>
      <c r="J1865" s="178">
        <f>(FME_Ranking1[[#This Row],[Structures 100 Raw]]/I$2)*100</f>
        <v>0</v>
      </c>
      <c r="K1865" s="178">
        <f>FME_Ranking1[[#This Row],[Structures 100  Score (Normalized, Unweighted)]]*$I$3</f>
        <v>0</v>
      </c>
      <c r="L1865" s="246">
        <f>_xlfn.XLOOKUP(FME_Ranking1[[#This Row],[FME ID]],FME_Input[FME_ID],FME_Input[RES_STRUCT100])</f>
        <v>16</v>
      </c>
      <c r="M1865" s="230">
        <f>(FME_Ranking1[[#This Row],[Res Structures Raw]]/L$2)*100</f>
        <v>1.1332889461829412E-2</v>
      </c>
      <c r="N1865" s="180">
        <f>FME_Ranking1[[#This Row],[Res Structures Score (Normalized, Unweighted)]]*$L$3</f>
        <v>1.1332889461829413E-3</v>
      </c>
      <c r="O1865" s="244">
        <f>_xlfn.XLOOKUP(FME_Ranking1[[#This Row],[FME ID]],FME_Input[FME_ID],FME_Input[POP100])</f>
        <v>100</v>
      </c>
      <c r="P1865" s="178">
        <f>(FME_Ranking1[[#This Row],[Pop Raw]]/$O$2)*100</f>
        <v>1.0237531198876328E-2</v>
      </c>
      <c r="Q1865" s="178">
        <f>FME_Ranking1[[#This Row],[Pop Score (Normalized, Unweighted)]]*$O$3</f>
        <v>1.5356296798314491E-3</v>
      </c>
      <c r="R1865" s="137">
        <f>_xlfn.XLOOKUP(FME_Ranking1[[#This Row],[FME ID]],FME_Input[FME_ID],FME_Input[CRITFAC100])</f>
        <v>0</v>
      </c>
      <c r="S1865" s="230">
        <f>(FME_Ranking1[[#This Row],[Critical Facilities Raw]]/$R$2)*100</f>
        <v>0</v>
      </c>
      <c r="T1865" s="180">
        <f>FME_Ranking1[[#This Row],[Critical Facilities Score (Normalized, Unweighted)]]*$R$3</f>
        <v>0</v>
      </c>
      <c r="U1865">
        <f>_xlfn.XLOOKUP(FME_Ranking1[[#This Row],[FME ID]],FME_Input[FME_ID],FME_Input[LWC])</f>
        <v>0</v>
      </c>
      <c r="V1865" s="178">
        <f>(FME_Ranking1[[#This Row],[LWC Raw]]/$U$2)*100</f>
        <v>0</v>
      </c>
      <c r="W1865" s="178">
        <f>FME_Ranking1[[#This Row],[LWC Score (Normalized, Unweighted)]]*$U$3</f>
        <v>0</v>
      </c>
      <c r="X1865" s="246">
        <f>_xlfn.XLOOKUP(FME_Ranking1[[#This Row],[FME ID]],FME_Input[FME_ID],FME_Input[ROADCLS])</f>
        <v>0</v>
      </c>
      <c r="Y1865" s="230">
        <f>(FME_Ranking1[[#This Row],[Closures Raw]]/$X$2)*100</f>
        <v>0</v>
      </c>
      <c r="Z1865" s="180">
        <f>FME_Ranking1[[#This Row],[Closures Score (Normalized, Unweighted)]]*$X$3</f>
        <v>0</v>
      </c>
      <c r="AA1865" s="253">
        <f>_xlfn.XLOOKUP(FME_Ranking1[[#This Row],[FME ID]],FME_Input[FME_ID],FME_Input[ROAD_MILES100])</f>
        <v>0.24021400511264801</v>
      </c>
      <c r="AB1865" s="178">
        <f>(FME_Ranking1[[#This Row],[Miles Raw]]/$AA$2)*100</f>
        <v>3.1583833231867216E-3</v>
      </c>
      <c r="AC1865" s="178">
        <f>FME_Ranking1[[#This Row],[Miles Score (Normalized, Unweighted)]]*$AA$3</f>
        <v>3.1583833231867218E-4</v>
      </c>
      <c r="AD1865" s="255">
        <f>_xlfn.XLOOKUP(FME_Ranking1[[#This Row],[FME ID]],FME_Input[FME_ID],FME_Input[FARMACRE100])</f>
        <v>0</v>
      </c>
      <c r="AE1865" s="230">
        <f>(FME_Ranking1[[#This Row],[Ag Land Raw]]/$AD$2)*100</f>
        <v>0</v>
      </c>
      <c r="AF1865" s="231">
        <f>FME_Ranking1[[#This Row],[Ag Land Score (Normalized, Unweighted)]]*$AD$3</f>
        <v>0</v>
      </c>
      <c r="AG186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2.9847569583330629E-3</v>
      </c>
      <c r="AH1865" s="406">
        <f t="shared" si="29"/>
        <v>1906</v>
      </c>
      <c r="AI186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2.9847569583330629E-3</v>
      </c>
      <c r="AJ1865" s="257">
        <f>FME_Ranking1[[#This Row],[Addition check]]-FME_Ranking1[[#This Row],[Weighted Score Based on Normalized Reported Factors]]</f>
        <v>0</v>
      </c>
      <c r="AK1865" s="178">
        <f>_xlfn.RANK.EQ(AI1865,$AI$6:$AI$2341,0)+COUNTIF($AI$6:AI1865,AI1865)-1</f>
        <v>1906</v>
      </c>
    </row>
    <row r="1866" spans="1:37" x14ac:dyDescent="0.25">
      <c r="A1866" t="s">
        <v>10473</v>
      </c>
      <c r="B1866">
        <f>_xlfn.XLOOKUP(FME_Ranking1[[#This Row],[FME ID]],FME_Input[FME_ID],FME_Input[RFPG_NUM])</f>
        <v>13</v>
      </c>
      <c r="C1866" t="str">
        <f>_xlfn.XLOOKUP(FME_Ranking1[[#This Row],[FME ID]],FME_Input[FME_ID],FME_Input[FME_NAME])</f>
        <v>FM1356 Channel Improvements</v>
      </c>
      <c r="D1866" t="str">
        <f>_xlfn.XLOOKUP(FME_Ranking1[[#This Row],[FME ID]],FME_Input[FME_ID],FME_Input[DESCR])</f>
        <v>Increase the capacity of the channel just north of Paulson Falls. This is one of the main entrances to the naval air station.</v>
      </c>
      <c r="E1866" s="256">
        <f>_xlfn.XLOOKUP(FME_Ranking1[[#This Row],[FME ID]],FME_Input[FME_ID],FME_Input[FME_COST])</f>
        <v>100000</v>
      </c>
      <c r="F1866" t="str">
        <f>_xlfn.XLOOKUP(FME_Ranking1[[#This Row],[FME ID]],FME_Input[FME_ID],FME_Input[EMER_NEED])</f>
        <v>Yes</v>
      </c>
      <c r="G1866">
        <f>IF(FME_Ranking!F1866="Yes",100,0)</f>
        <v>100</v>
      </c>
      <c r="H1866">
        <f>FME_Ranking1[[#This Row],[Emergency Need Score (Normalized, Unweighted)]]*$F$3</f>
        <v>0</v>
      </c>
      <c r="I1866" s="246">
        <f>_xlfn.XLOOKUP(FME_Ranking1[[#This Row],[FME ID]],FME_Input[FME_ID],FME_Input[STRUCT_100])</f>
        <v>0</v>
      </c>
      <c r="J1866" s="178">
        <f>(FME_Ranking1[[#This Row],[Structures 100 Raw]]/I$2)*100</f>
        <v>0</v>
      </c>
      <c r="K1866" s="178">
        <f>FME_Ranking1[[#This Row],[Structures 100  Score (Normalized, Unweighted)]]*$I$3</f>
        <v>0</v>
      </c>
      <c r="L1866" s="246">
        <f>_xlfn.XLOOKUP(FME_Ranking1[[#This Row],[FME ID]],FME_Input[FME_ID],FME_Input[RES_STRUCT100])</f>
        <v>0</v>
      </c>
      <c r="M1866" s="230">
        <f>(FME_Ranking1[[#This Row],[Res Structures Raw]]/L$2)*100</f>
        <v>0</v>
      </c>
      <c r="N1866" s="180">
        <f>FME_Ranking1[[#This Row],[Res Structures Score (Normalized, Unweighted)]]*$L$3</f>
        <v>0</v>
      </c>
      <c r="O1866" s="244">
        <f>_xlfn.XLOOKUP(FME_Ranking1[[#This Row],[FME ID]],FME_Input[FME_ID],FME_Input[POP100])</f>
        <v>0</v>
      </c>
      <c r="P1866" s="178">
        <f>(FME_Ranking1[[#This Row],[Pop Raw]]/$O$2)*100</f>
        <v>0</v>
      </c>
      <c r="Q1866" s="178">
        <f>FME_Ranking1[[#This Row],[Pop Score (Normalized, Unweighted)]]*$O$3</f>
        <v>0</v>
      </c>
      <c r="R1866" s="137">
        <f>_xlfn.XLOOKUP(FME_Ranking1[[#This Row],[FME ID]],FME_Input[FME_ID],FME_Input[CRITFAC100])</f>
        <v>0</v>
      </c>
      <c r="S1866" s="230">
        <f>(FME_Ranking1[[#This Row],[Critical Facilities Raw]]/$R$2)*100</f>
        <v>0</v>
      </c>
      <c r="T1866" s="180">
        <f>FME_Ranking1[[#This Row],[Critical Facilities Score (Normalized, Unweighted)]]*$R$3</f>
        <v>0</v>
      </c>
      <c r="U1866">
        <f>_xlfn.XLOOKUP(FME_Ranking1[[#This Row],[FME ID]],FME_Input[FME_ID],FME_Input[LWC])</f>
        <v>0</v>
      </c>
      <c r="V1866" s="178">
        <f>(FME_Ranking1[[#This Row],[LWC Raw]]/$U$2)*100</f>
        <v>0</v>
      </c>
      <c r="W1866" s="178">
        <f>FME_Ranking1[[#This Row],[LWC Score (Normalized, Unweighted)]]*$U$3</f>
        <v>0</v>
      </c>
      <c r="X1866" s="246">
        <f>_xlfn.XLOOKUP(FME_Ranking1[[#This Row],[FME ID]],FME_Input[FME_ID],FME_Input[ROADCLS])</f>
        <v>5</v>
      </c>
      <c r="Y1866" s="230">
        <f>(FME_Ranking1[[#This Row],[Closures Raw]]/$X$2)*100</f>
        <v>5.2570707601724324E-2</v>
      </c>
      <c r="Z1866" s="180">
        <f>FME_Ranking1[[#This Row],[Closures Score (Normalized, Unweighted)]]*$X$3</f>
        <v>2.6285353800862164E-3</v>
      </c>
      <c r="AA1866" s="253">
        <f>_xlfn.XLOOKUP(FME_Ranking1[[#This Row],[FME ID]],FME_Input[FME_ID],FME_Input[ROAD_MILES100])</f>
        <v>1.5657957643270489E-2</v>
      </c>
      <c r="AB1866" s="178">
        <f>(FME_Ranking1[[#This Row],[Miles Raw]]/$AA$2)*100</f>
        <v>2.0587405914354693E-4</v>
      </c>
      <c r="AC1866" s="178">
        <f>FME_Ranking1[[#This Row],[Miles Score (Normalized, Unweighted)]]*$AA$3</f>
        <v>2.0587405914354695E-5</v>
      </c>
      <c r="AD1866" s="255">
        <f>_xlfn.XLOOKUP(FME_Ranking1[[#This Row],[FME ID]],FME_Input[FME_ID],FME_Input[FARMACRE100])</f>
        <v>0.9344322681427002</v>
      </c>
      <c r="AE1866" s="230">
        <f>(FME_Ranking1[[#This Row],[Ag Land Raw]]/$AD$2)*100</f>
        <v>3.8531803748709076E-5</v>
      </c>
      <c r="AF1866" s="231">
        <f>FME_Ranking1[[#This Row],[Ag Land Score (Normalized, Unweighted)]]*$AD$3</f>
        <v>1.9265901874354537E-6</v>
      </c>
      <c r="AG186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2.6510493761880065E-3</v>
      </c>
      <c r="AH1866" s="406">
        <f t="shared" si="29"/>
        <v>1924</v>
      </c>
      <c r="AI186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2.6510493761880065E-3</v>
      </c>
      <c r="AJ1866" s="257">
        <f>FME_Ranking1[[#This Row],[Addition check]]-FME_Ranking1[[#This Row],[Weighted Score Based on Normalized Reported Factors]]</f>
        <v>0</v>
      </c>
      <c r="AK1866" s="178">
        <f>_xlfn.RANK.EQ(AI1866,$AI$6:$AI$2341,0)+COUNTIF($AI$6:AI1866,AI1866)-1</f>
        <v>1924</v>
      </c>
    </row>
    <row r="1867" spans="1:37" x14ac:dyDescent="0.25">
      <c r="A1867" t="s">
        <v>10676</v>
      </c>
      <c r="B1867">
        <f>_xlfn.XLOOKUP(FME_Ranking1[[#This Row],[FME ID]],FME_Input[FME_ID],FME_Input[RFPG_NUM])</f>
        <v>13</v>
      </c>
      <c r="C1867" t="str">
        <f>_xlfn.XLOOKUP(FME_Ranking1[[#This Row],[FME ID]],FME_Input[FME_ID],FME_Input[FME_NAME])</f>
        <v>Morgan Avenue &amp; Mooney Avenue Drainage Improvements</v>
      </c>
      <c r="D1867" t="str">
        <f>_xlfn.XLOOKUP(FME_Ranking1[[#This Row],[FME ID]],FME_Input[FME_ID],FME_Input[DESCR])</f>
        <v>2,500 LF of improved channels and below ground concrete boxes. The project would also include easement acquisition and the crossing of both SH 361 and the UP Railroad and concrete outfall. Addresses the flood prone Mooney-Morgan area.</v>
      </c>
      <c r="E1867" s="256">
        <f>_xlfn.XLOOKUP(FME_Ranking1[[#This Row],[FME ID]],FME_Input[FME_ID],FME_Input[FME_COST])</f>
        <v>525000</v>
      </c>
      <c r="F1867" t="str">
        <f>_xlfn.XLOOKUP(FME_Ranking1[[#This Row],[FME ID]],FME_Input[FME_ID],FME_Input[EMER_NEED])</f>
        <v>Yes</v>
      </c>
      <c r="G1867">
        <f>IF(FME_Ranking!F1867="Yes",100,0)</f>
        <v>100</v>
      </c>
      <c r="H1867">
        <f>FME_Ranking1[[#This Row],[Emergency Need Score (Normalized, Unweighted)]]*$F$3</f>
        <v>0</v>
      </c>
      <c r="I1867" s="246">
        <f>_xlfn.XLOOKUP(FME_Ranking1[[#This Row],[FME ID]],FME_Input[FME_ID],FME_Input[STRUCT_100])</f>
        <v>0</v>
      </c>
      <c r="J1867" s="178">
        <f>(FME_Ranking1[[#This Row],[Structures 100 Raw]]/I$2)*100</f>
        <v>0</v>
      </c>
      <c r="K1867" s="178">
        <f>FME_Ranking1[[#This Row],[Structures 100  Score (Normalized, Unweighted)]]*$I$3</f>
        <v>0</v>
      </c>
      <c r="L1867" s="246">
        <f>_xlfn.XLOOKUP(FME_Ranking1[[#This Row],[FME ID]],FME_Input[FME_ID],FME_Input[RES_STRUCT100])</f>
        <v>0</v>
      </c>
      <c r="M1867" s="230">
        <f>(FME_Ranking1[[#This Row],[Res Structures Raw]]/L$2)*100</f>
        <v>0</v>
      </c>
      <c r="N1867" s="180">
        <f>FME_Ranking1[[#This Row],[Res Structures Score (Normalized, Unweighted)]]*$L$3</f>
        <v>0</v>
      </c>
      <c r="O1867" s="244">
        <f>_xlfn.XLOOKUP(FME_Ranking1[[#This Row],[FME ID]],FME_Input[FME_ID],FME_Input[POP100])</f>
        <v>0</v>
      </c>
      <c r="P1867" s="178">
        <f>(FME_Ranking1[[#This Row],[Pop Raw]]/$O$2)*100</f>
        <v>0</v>
      </c>
      <c r="Q1867" s="178">
        <f>FME_Ranking1[[#This Row],[Pop Score (Normalized, Unweighted)]]*$O$3</f>
        <v>0</v>
      </c>
      <c r="R1867" s="137">
        <f>_xlfn.XLOOKUP(FME_Ranking1[[#This Row],[FME ID]],FME_Input[FME_ID],FME_Input[CRITFAC100])</f>
        <v>0</v>
      </c>
      <c r="S1867" s="230">
        <f>(FME_Ranking1[[#This Row],[Critical Facilities Raw]]/$R$2)*100</f>
        <v>0</v>
      </c>
      <c r="T1867" s="180">
        <f>FME_Ranking1[[#This Row],[Critical Facilities Score (Normalized, Unweighted)]]*$R$3</f>
        <v>0</v>
      </c>
      <c r="U1867">
        <f>_xlfn.XLOOKUP(FME_Ranking1[[#This Row],[FME ID]],FME_Input[FME_ID],FME_Input[LWC])</f>
        <v>0</v>
      </c>
      <c r="V1867" s="178">
        <f>(FME_Ranking1[[#This Row],[LWC Raw]]/$U$2)*100</f>
        <v>0</v>
      </c>
      <c r="W1867" s="178">
        <f>FME_Ranking1[[#This Row],[LWC Score (Normalized, Unweighted)]]*$U$3</f>
        <v>0</v>
      </c>
      <c r="X1867" s="246">
        <f>_xlfn.XLOOKUP(FME_Ranking1[[#This Row],[FME ID]],FME_Input[FME_ID],FME_Input[ROADCLS])</f>
        <v>5</v>
      </c>
      <c r="Y1867" s="230">
        <f>(FME_Ranking1[[#This Row],[Closures Raw]]/$X$2)*100</f>
        <v>5.2570707601724324E-2</v>
      </c>
      <c r="Z1867" s="180">
        <f>FME_Ranking1[[#This Row],[Closures Score (Normalized, Unweighted)]]*$X$3</f>
        <v>2.6285353800862164E-3</v>
      </c>
      <c r="AA1867" s="253">
        <f>_xlfn.XLOOKUP(FME_Ranking1[[#This Row],[FME ID]],FME_Input[FME_ID],FME_Input[ROAD_MILES100])</f>
        <v>0.1424390971660614</v>
      </c>
      <c r="AB1867" s="178">
        <f>(FME_Ranking1[[#This Row],[Miles Raw]]/$AA$2)*100</f>
        <v>1.8728186512193244E-3</v>
      </c>
      <c r="AC1867" s="178">
        <f>FME_Ranking1[[#This Row],[Miles Score (Normalized, Unweighted)]]*$AA$3</f>
        <v>1.8728186512193245E-4</v>
      </c>
      <c r="AD1867" s="255">
        <f>_xlfn.XLOOKUP(FME_Ranking1[[#This Row],[FME ID]],FME_Input[FME_ID],FME_Input[FARMACRE100])</f>
        <v>8.332923986017704E-3</v>
      </c>
      <c r="AE1867" s="230">
        <f>(FME_Ranking1[[#This Row],[Ag Land Raw]]/$AD$2)*100</f>
        <v>3.4361248281840286E-7</v>
      </c>
      <c r="AF1867" s="231">
        <f>FME_Ranking1[[#This Row],[Ag Land Score (Normalized, Unweighted)]]*$AD$3</f>
        <v>1.7180624140920143E-8</v>
      </c>
      <c r="AG186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2.8158344258322897E-3</v>
      </c>
      <c r="AH1867" s="406">
        <f t="shared" si="29"/>
        <v>1919</v>
      </c>
      <c r="AI186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2.8158344258322897E-3</v>
      </c>
      <c r="AJ1867" s="257">
        <f>FME_Ranking1[[#This Row],[Addition check]]-FME_Ranking1[[#This Row],[Weighted Score Based on Normalized Reported Factors]]</f>
        <v>0</v>
      </c>
      <c r="AK1867" s="178">
        <f>_xlfn.RANK.EQ(AI1867,$AI$6:$AI$2341,0)+COUNTIF($AI$6:AI1867,AI1867)-1</f>
        <v>1919</v>
      </c>
    </row>
    <row r="1868" spans="1:37" x14ac:dyDescent="0.25">
      <c r="A1868" t="s">
        <v>6372</v>
      </c>
      <c r="B1868">
        <f>_xlfn.XLOOKUP(FME_Ranking1[[#This Row],[FME ID]],FME_Input[FME_ID],FME_Input[RFPG_NUM])</f>
        <v>5</v>
      </c>
      <c r="C1868" t="str">
        <f>_xlfn.XLOOKUP(FME_Ranking1[[#This Row],[FME ID]],FME_Input[FME_ID],FME_Input[FME_NAME])</f>
        <v>City of Lumberton Drainage Chance Cut Off Concrete Lining</v>
      </c>
      <c r="D1868" t="str">
        <f>_xlfn.XLOOKUP(FME_Ranking1[[#This Row],[FME ID]],FME_Input[FME_ID],FME_Input[DESCR])</f>
        <v>H&amp;H Study to identify alternatives for improving existing drainage of Chance Cut Off</v>
      </c>
      <c r="E1868" s="256">
        <f>_xlfn.XLOOKUP(FME_Ranking1[[#This Row],[FME ID]],FME_Input[FME_ID],FME_Input[FME_COST])</f>
        <v>50000</v>
      </c>
      <c r="F1868" t="str">
        <f>_xlfn.XLOOKUP(FME_Ranking1[[#This Row],[FME ID]],FME_Input[FME_ID],FME_Input[EMER_NEED])</f>
        <v>Yes</v>
      </c>
      <c r="G1868">
        <f>IF(FME_Ranking!F1868="Yes",100,0)</f>
        <v>100</v>
      </c>
      <c r="H1868">
        <f>FME_Ranking1[[#This Row],[Emergency Need Score (Normalized, Unweighted)]]*$F$3</f>
        <v>0</v>
      </c>
      <c r="I1868" s="246">
        <f>_xlfn.XLOOKUP(FME_Ranking1[[#This Row],[FME ID]],FME_Input[FME_ID],FME_Input[STRUCT_100])</f>
        <v>10</v>
      </c>
      <c r="J1868" s="178">
        <f>(FME_Ranking1[[#This Row],[Structures 100 Raw]]/I$2)*100</f>
        <v>5.3549243884676344E-3</v>
      </c>
      <c r="K1868" s="178">
        <f>FME_Ranking1[[#This Row],[Structures 100  Score (Normalized, Unweighted)]]*$I$3</f>
        <v>8.0323865827014516E-4</v>
      </c>
      <c r="L1868" s="246">
        <f>_xlfn.XLOOKUP(FME_Ranking1[[#This Row],[FME ID]],FME_Input[FME_ID],FME_Input[RES_STRUCT100])</f>
        <v>10</v>
      </c>
      <c r="M1868" s="230">
        <f>(FME_Ranking1[[#This Row],[Res Structures Raw]]/L$2)*100</f>
        <v>7.0830559136433819E-3</v>
      </c>
      <c r="N1868" s="180">
        <f>FME_Ranking1[[#This Row],[Res Structures Score (Normalized, Unweighted)]]*$L$3</f>
        <v>7.0830559136433825E-4</v>
      </c>
      <c r="O1868" s="244">
        <f>_xlfn.XLOOKUP(FME_Ranking1[[#This Row],[FME ID]],FME_Input[FME_ID],FME_Input[POP100])</f>
        <v>71</v>
      </c>
      <c r="P1868" s="178">
        <f>(FME_Ranking1[[#This Row],[Pop Raw]]/$O$2)*100</f>
        <v>7.2686471512021936E-3</v>
      </c>
      <c r="Q1868" s="178">
        <f>FME_Ranking1[[#This Row],[Pop Score (Normalized, Unweighted)]]*$O$3</f>
        <v>1.090297072680329E-3</v>
      </c>
      <c r="R1868" s="137">
        <f>_xlfn.XLOOKUP(FME_Ranking1[[#This Row],[FME ID]],FME_Input[FME_ID],FME_Input[CRITFAC100])</f>
        <v>0</v>
      </c>
      <c r="S1868" s="230">
        <f>(FME_Ranking1[[#This Row],[Critical Facilities Raw]]/$R$2)*100</f>
        <v>0</v>
      </c>
      <c r="T1868" s="180">
        <f>FME_Ranking1[[#This Row],[Critical Facilities Score (Normalized, Unweighted)]]*$R$3</f>
        <v>0</v>
      </c>
      <c r="U1868">
        <f>_xlfn.XLOOKUP(FME_Ranking1[[#This Row],[FME ID]],FME_Input[FME_ID],FME_Input[LWC])</f>
        <v>0</v>
      </c>
      <c r="V1868" s="178">
        <f>(FME_Ranking1[[#This Row],[LWC Raw]]/$U$2)*100</f>
        <v>0</v>
      </c>
      <c r="W1868" s="178">
        <f>FME_Ranking1[[#This Row],[LWC Score (Normalized, Unweighted)]]*$U$3</f>
        <v>0</v>
      </c>
      <c r="X1868" s="246">
        <f>_xlfn.XLOOKUP(FME_Ranking1[[#This Row],[FME ID]],FME_Input[FME_ID],FME_Input[ROADCLS])</f>
        <v>0</v>
      </c>
      <c r="Y1868" s="230">
        <f>(FME_Ranking1[[#This Row],[Closures Raw]]/$X$2)*100</f>
        <v>0</v>
      </c>
      <c r="Z1868" s="180">
        <f>FME_Ranking1[[#This Row],[Closures Score (Normalized, Unweighted)]]*$X$3</f>
        <v>0</v>
      </c>
      <c r="AA1868" s="253">
        <f>_xlfn.XLOOKUP(FME_Ranking1[[#This Row],[FME ID]],FME_Input[FME_ID],FME_Input[ROAD_MILES100])</f>
        <v>0.27109244465827942</v>
      </c>
      <c r="AB1868" s="178">
        <f>(FME_Ranking1[[#This Row],[Miles Raw]]/$AA$2)*100</f>
        <v>3.5643794201304321E-3</v>
      </c>
      <c r="AC1868" s="178">
        <f>FME_Ranking1[[#This Row],[Miles Score (Normalized, Unweighted)]]*$AA$3</f>
        <v>3.5643794201304323E-4</v>
      </c>
      <c r="AD1868" s="255">
        <f>_xlfn.XLOOKUP(FME_Ranking1[[#This Row],[FME ID]],FME_Input[FME_ID],FME_Input[FARMACRE100])</f>
        <v>0.5100894570350647</v>
      </c>
      <c r="AE1868" s="230">
        <f>(FME_Ranking1[[#This Row],[Ag Land Raw]]/$AD$2)*100</f>
        <v>2.1033805790789704E-5</v>
      </c>
      <c r="AF1868" s="231">
        <f>FME_Ranking1[[#This Row],[Ag Land Score (Normalized, Unweighted)]]*$AD$3</f>
        <v>1.0516902895394853E-6</v>
      </c>
      <c r="AG186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2.9593309546173956E-3</v>
      </c>
      <c r="AH1868" s="406">
        <f t="shared" si="29"/>
        <v>1908</v>
      </c>
      <c r="AI186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2.9593309546173956E-3</v>
      </c>
      <c r="AJ1868" s="257">
        <f>FME_Ranking1[[#This Row],[Addition check]]-FME_Ranking1[[#This Row],[Weighted Score Based on Normalized Reported Factors]]</f>
        <v>0</v>
      </c>
      <c r="AK1868" s="178">
        <f>_xlfn.RANK.EQ(AI1868,$AI$6:$AI$2341,0)+COUNTIF($AI$6:AI1868,AI1868)-1</f>
        <v>1908</v>
      </c>
    </row>
    <row r="1869" spans="1:37" x14ac:dyDescent="0.25">
      <c r="A1869" t="s">
        <v>10459</v>
      </c>
      <c r="B1869">
        <f>_xlfn.XLOOKUP(FME_Ranking1[[#This Row],[FME ID]],FME_Input[FME_ID],FME_Input[RFPG_NUM])</f>
        <v>13</v>
      </c>
      <c r="C1869" t="str">
        <f>_xlfn.XLOOKUP(FME_Ranking1[[#This Row],[FME ID]],FME_Input[FME_ID],FME_Input[FME_NAME])</f>
        <v>Stormwater Master Plan #6 - Live Oak/Ebony and Woodhaven Improvements and Outfall</v>
      </c>
      <c r="D1869" t="str">
        <f>_xlfn.XLOOKUP(FME_Ranking1[[#This Row],[FME ID]],FME_Input[FME_ID],FME_Input[DESCR])</f>
        <v>Ponding to be reduced by minor regrading, installation of new standpipes with low flow outlets, and implementation of sediment filters around existing inlets. Installation of RCB along Live Oak St. and RCP along Woodhaven Dr. and Ebony Dr. to be included.</v>
      </c>
      <c r="E1869" s="256">
        <f>_xlfn.XLOOKUP(FME_Ranking1[[#This Row],[FME ID]],FME_Input[FME_ID],FME_Input[FME_COST])</f>
        <v>44000</v>
      </c>
      <c r="F1869" t="str">
        <f>_xlfn.XLOOKUP(FME_Ranking1[[#This Row],[FME ID]],FME_Input[FME_ID],FME_Input[EMER_NEED])</f>
        <v>Yes</v>
      </c>
      <c r="G1869">
        <f>IF(FME_Ranking!F1869="Yes",100,0)</f>
        <v>100</v>
      </c>
      <c r="H1869">
        <f>FME_Ranking1[[#This Row],[Emergency Need Score (Normalized, Unweighted)]]*$F$3</f>
        <v>0</v>
      </c>
      <c r="I1869" s="246">
        <f>_xlfn.XLOOKUP(FME_Ranking1[[#This Row],[FME ID]],FME_Input[FME_ID],FME_Input[STRUCT_100])</f>
        <v>5</v>
      </c>
      <c r="J1869" s="178">
        <f>(FME_Ranking1[[#This Row],[Structures 100 Raw]]/I$2)*100</f>
        <v>2.6774621942338172E-3</v>
      </c>
      <c r="K1869" s="178">
        <f>FME_Ranking1[[#This Row],[Structures 100  Score (Normalized, Unweighted)]]*$I$3</f>
        <v>4.0161932913507258E-4</v>
      </c>
      <c r="L1869" s="246">
        <f>_xlfn.XLOOKUP(FME_Ranking1[[#This Row],[FME ID]],FME_Input[FME_ID],FME_Input[RES_STRUCT100])</f>
        <v>5</v>
      </c>
      <c r="M1869" s="230">
        <f>(FME_Ranking1[[#This Row],[Res Structures Raw]]/L$2)*100</f>
        <v>3.5415279568216909E-3</v>
      </c>
      <c r="N1869" s="180">
        <f>FME_Ranking1[[#This Row],[Res Structures Score (Normalized, Unweighted)]]*$L$3</f>
        <v>3.5415279568216913E-4</v>
      </c>
      <c r="O1869" s="244">
        <f>_xlfn.XLOOKUP(FME_Ranking1[[#This Row],[FME ID]],FME_Input[FME_ID],FME_Input[POP100])</f>
        <v>15</v>
      </c>
      <c r="P1869" s="178">
        <f>(FME_Ranking1[[#This Row],[Pop Raw]]/$O$2)*100</f>
        <v>1.5356296798314491E-3</v>
      </c>
      <c r="Q1869" s="178">
        <f>FME_Ranking1[[#This Row],[Pop Score (Normalized, Unweighted)]]*$O$3</f>
        <v>2.3034445197471737E-4</v>
      </c>
      <c r="R1869" s="137">
        <f>_xlfn.XLOOKUP(FME_Ranking1[[#This Row],[FME ID]],FME_Input[FME_ID],FME_Input[CRITFAC100])</f>
        <v>0</v>
      </c>
      <c r="S1869" s="230">
        <f>(FME_Ranking1[[#This Row],[Critical Facilities Raw]]/$R$2)*100</f>
        <v>0</v>
      </c>
      <c r="T1869" s="180">
        <f>FME_Ranking1[[#This Row],[Critical Facilities Score (Normalized, Unweighted)]]*$R$3</f>
        <v>0</v>
      </c>
      <c r="U1869">
        <f>_xlfn.XLOOKUP(FME_Ranking1[[#This Row],[FME ID]],FME_Input[FME_ID],FME_Input[LWC])</f>
        <v>0</v>
      </c>
      <c r="V1869" s="178">
        <f>(FME_Ranking1[[#This Row],[LWC Raw]]/$U$2)*100</f>
        <v>0</v>
      </c>
      <c r="W1869" s="178">
        <f>FME_Ranking1[[#This Row],[LWC Score (Normalized, Unweighted)]]*$U$3</f>
        <v>0</v>
      </c>
      <c r="X1869" s="246">
        <f>_xlfn.XLOOKUP(FME_Ranking1[[#This Row],[FME ID]],FME_Input[FME_ID],FME_Input[ROADCLS])</f>
        <v>3</v>
      </c>
      <c r="Y1869" s="230">
        <f>(FME_Ranking1[[#This Row],[Closures Raw]]/$X$2)*100</f>
        <v>3.1542424561034593E-2</v>
      </c>
      <c r="Z1869" s="180">
        <f>FME_Ranking1[[#This Row],[Closures Score (Normalized, Unweighted)]]*$X$3</f>
        <v>1.5771212280517297E-3</v>
      </c>
      <c r="AA1869" s="253">
        <f>_xlfn.XLOOKUP(FME_Ranking1[[#This Row],[FME ID]],FME_Input[FME_ID],FME_Input[ROAD_MILES100])</f>
        <v>0.11037275940179821</v>
      </c>
      <c r="AB1869" s="178">
        <f>(FME_Ranking1[[#This Row],[Miles Raw]]/$AA$2)*100</f>
        <v>1.4512038232960842E-3</v>
      </c>
      <c r="AC1869" s="178">
        <f>FME_Ranking1[[#This Row],[Miles Score (Normalized, Unweighted)]]*$AA$3</f>
        <v>1.4512038232960842E-4</v>
      </c>
      <c r="AD1869" s="255">
        <f>_xlfn.XLOOKUP(FME_Ranking1[[#This Row],[FME ID]],FME_Input[FME_ID],FME_Input[FARMACRE100])</f>
        <v>0</v>
      </c>
      <c r="AE1869" s="230">
        <f>(FME_Ranking1[[#This Row],[Ag Land Raw]]/$AD$2)*100</f>
        <v>0</v>
      </c>
      <c r="AF1869" s="231">
        <f>FME_Ranking1[[#This Row],[Ag Land Score (Normalized, Unweighted)]]*$AD$3</f>
        <v>0</v>
      </c>
      <c r="AG186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2.7083581871732969E-3</v>
      </c>
      <c r="AH1869" s="406">
        <f t="shared" si="29"/>
        <v>1920</v>
      </c>
      <c r="AI186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2.7083581871732969E-3</v>
      </c>
      <c r="AJ1869" s="257">
        <f>FME_Ranking1[[#This Row],[Addition check]]-FME_Ranking1[[#This Row],[Weighted Score Based on Normalized Reported Factors]]</f>
        <v>0</v>
      </c>
      <c r="AK1869" s="178">
        <f>_xlfn.RANK.EQ(AI1869,$AI$6:$AI$2341,0)+COUNTIF($AI$6:AI1869,AI1869)-1</f>
        <v>1920</v>
      </c>
    </row>
    <row r="1870" spans="1:37" x14ac:dyDescent="0.25">
      <c r="A1870" t="s">
        <v>6916</v>
      </c>
      <c r="B1870">
        <f>_xlfn.XLOOKUP(FME_Ranking1[[#This Row],[FME ID]],FME_Input[FME_ID],FME_Input[RFPG_NUM])</f>
        <v>7</v>
      </c>
      <c r="C1870" t="str">
        <f>_xlfn.XLOOKUP(FME_Ranking1[[#This Row],[FME ID]],FME_Input[FME_ID],FME_Input[FME_NAME])</f>
        <v>City of Tahoka DMP</v>
      </c>
      <c r="D1870" t="str">
        <f>_xlfn.XLOOKUP(FME_Ranking1[[#This Row],[FME ID]],FME_Input[FME_ID],FME_Input[DESCR])</f>
        <v>Evaluate City of Tahoka for a Storm Water Master Plan, flood ordinances, and policies.</v>
      </c>
      <c r="E1870" s="256">
        <f>_xlfn.XLOOKUP(FME_Ranking1[[#This Row],[FME ID]],FME_Input[FME_ID],FME_Input[FME_COST])</f>
        <v>250000</v>
      </c>
      <c r="F1870" t="str">
        <f>_xlfn.XLOOKUP(FME_Ranking1[[#This Row],[FME ID]],FME_Input[FME_ID],FME_Input[EMER_NEED])</f>
        <v>No</v>
      </c>
      <c r="G1870">
        <f>IF(FME_Ranking!F1870="Yes",100,0)</f>
        <v>0</v>
      </c>
      <c r="H1870">
        <f>FME_Ranking1[[#This Row],[Emergency Need Score (Normalized, Unweighted)]]*$F$3</f>
        <v>0</v>
      </c>
      <c r="I1870" s="246">
        <f>_xlfn.XLOOKUP(FME_Ranking1[[#This Row],[FME ID]],FME_Input[FME_ID],FME_Input[STRUCT_100])</f>
        <v>17</v>
      </c>
      <c r="J1870" s="178">
        <f>(FME_Ranking1[[#This Row],[Structures 100 Raw]]/I$2)*100</f>
        <v>9.1033714603949798E-3</v>
      </c>
      <c r="K1870" s="178">
        <f>FME_Ranking1[[#This Row],[Structures 100  Score (Normalized, Unweighted)]]*$I$3</f>
        <v>1.365505719059247E-3</v>
      </c>
      <c r="L1870" s="246">
        <f>_xlfn.XLOOKUP(FME_Ranking1[[#This Row],[FME ID]],FME_Input[FME_ID],FME_Input[RES_STRUCT100])</f>
        <v>11</v>
      </c>
      <c r="M1870" s="230">
        <f>(FME_Ranking1[[#This Row],[Res Structures Raw]]/L$2)*100</f>
        <v>7.7913615050077207E-3</v>
      </c>
      <c r="N1870" s="180">
        <f>FME_Ranking1[[#This Row],[Res Structures Score (Normalized, Unweighted)]]*$L$3</f>
        <v>7.7913615050077215E-4</v>
      </c>
      <c r="O1870" s="244">
        <f>_xlfn.XLOOKUP(FME_Ranking1[[#This Row],[FME ID]],FME_Input[FME_ID],FME_Input[POP100])</f>
        <v>26</v>
      </c>
      <c r="P1870" s="178">
        <f>(FME_Ranking1[[#This Row],[Pop Raw]]/$O$2)*100</f>
        <v>2.6617581117078454E-3</v>
      </c>
      <c r="Q1870" s="178">
        <f>FME_Ranking1[[#This Row],[Pop Score (Normalized, Unweighted)]]*$O$3</f>
        <v>3.9926371675617678E-4</v>
      </c>
      <c r="R1870" s="137">
        <f>_xlfn.XLOOKUP(FME_Ranking1[[#This Row],[FME ID]],FME_Input[FME_ID],FME_Input[CRITFAC100])</f>
        <v>0</v>
      </c>
      <c r="S1870" s="230">
        <f>(FME_Ranking1[[#This Row],[Critical Facilities Raw]]/$R$2)*100</f>
        <v>0</v>
      </c>
      <c r="T1870" s="180">
        <f>FME_Ranking1[[#This Row],[Critical Facilities Score (Normalized, Unweighted)]]*$R$3</f>
        <v>0</v>
      </c>
      <c r="U1870">
        <f>_xlfn.XLOOKUP(FME_Ranking1[[#This Row],[FME ID]],FME_Input[FME_ID],FME_Input[LWC])</f>
        <v>0</v>
      </c>
      <c r="V1870" s="178">
        <f>(FME_Ranking1[[#This Row],[LWC Raw]]/$U$2)*100</f>
        <v>0</v>
      </c>
      <c r="W1870" s="178">
        <f>FME_Ranking1[[#This Row],[LWC Score (Normalized, Unweighted)]]*$U$3</f>
        <v>0</v>
      </c>
      <c r="X1870" s="246">
        <f>_xlfn.XLOOKUP(FME_Ranking1[[#This Row],[FME ID]],FME_Input[FME_ID],FME_Input[ROADCLS])</f>
        <v>0</v>
      </c>
      <c r="Y1870" s="230">
        <f>(FME_Ranking1[[#This Row],[Closures Raw]]/$X$2)*100</f>
        <v>0</v>
      </c>
      <c r="Z1870" s="180">
        <f>FME_Ranking1[[#This Row],[Closures Score (Normalized, Unweighted)]]*$X$3</f>
        <v>0</v>
      </c>
      <c r="AA1870" s="253">
        <f>_xlfn.XLOOKUP(FME_Ranking1[[#This Row],[FME ID]],FME_Input[FME_ID],FME_Input[ROAD_MILES100])</f>
        <v>8.0582828521728516</v>
      </c>
      <c r="AB1870" s="178">
        <f>(FME_Ranking1[[#This Row],[Miles Raw]]/$AA$2)*100</f>
        <v>0.10595196629725644</v>
      </c>
      <c r="AC1870" s="178">
        <f>FME_Ranking1[[#This Row],[Miles Score (Normalized, Unweighted)]]*$AA$3</f>
        <v>1.0595196629725644E-2</v>
      </c>
      <c r="AD1870" s="255">
        <f>_xlfn.XLOOKUP(FME_Ranking1[[#This Row],[FME ID]],FME_Input[FME_ID],FME_Input[FARMACRE100])</f>
        <v>0.29518780112266541</v>
      </c>
      <c r="AE1870" s="230">
        <f>(FME_Ranking1[[#This Row],[Ag Land Raw]]/$AD$2)*100</f>
        <v>1.2172223509017917E-5</v>
      </c>
      <c r="AF1870" s="231">
        <f>FME_Ranking1[[#This Row],[Ag Land Score (Normalized, Unweighted)]]*$AD$3</f>
        <v>6.0861117545089594E-7</v>
      </c>
      <c r="AG187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1.3139710827217292E-2</v>
      </c>
      <c r="AH1870" s="406">
        <f t="shared" si="29"/>
        <v>1663</v>
      </c>
      <c r="AI187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1.3139710827217292E-2</v>
      </c>
      <c r="AJ1870" s="257">
        <f>FME_Ranking1[[#This Row],[Addition check]]-FME_Ranking1[[#This Row],[Weighted Score Based on Normalized Reported Factors]]</f>
        <v>0</v>
      </c>
      <c r="AK1870" s="178">
        <f>_xlfn.RANK.EQ(AI1870,$AI$6:$AI$2341,0)+COUNTIF($AI$6:AI1870,AI1870)-1</f>
        <v>1663</v>
      </c>
    </row>
    <row r="1871" spans="1:37" x14ac:dyDescent="0.25">
      <c r="A1871" t="s">
        <v>8341</v>
      </c>
      <c r="B1871">
        <f>_xlfn.XLOOKUP(FME_Ranking1[[#This Row],[FME ID]],FME_Input[FME_ID],FME_Input[RFPG_NUM])</f>
        <v>9</v>
      </c>
      <c r="C1871" t="str">
        <f>_xlfn.XLOOKUP(FME_Ranking1[[#This Row],[FME ID]],FME_Input[FME_ID],FME_Input[FME_NAME])</f>
        <v>Butler Farms Bridge</v>
      </c>
      <c r="D1871" t="str">
        <f>_xlfn.XLOOKUP(FME_Ranking1[[#This Row],[FME ID]],FME_Input[FME_ID],FME_Input[DESCR])</f>
        <v>Provide access to Butler Farms subdivision through construction of a bridge structure on Foster Road as well as construction of a secondary access to the subdivision</v>
      </c>
      <c r="E1871" s="256">
        <f>_xlfn.XLOOKUP(FME_Ranking1[[#This Row],[FME ID]],FME_Input[FME_ID],FME_Input[FME_COST])</f>
        <v>25000</v>
      </c>
      <c r="F1871" t="str">
        <f>_xlfn.XLOOKUP(FME_Ranking1[[#This Row],[FME ID]],FME_Input[FME_ID],FME_Input[EMER_NEED])</f>
        <v>No</v>
      </c>
      <c r="G1871">
        <f>IF(FME_Ranking!F1871="Yes",100,0)</f>
        <v>0</v>
      </c>
      <c r="H1871">
        <f>FME_Ranking1[[#This Row],[Emergency Need Score (Normalized, Unweighted)]]*$F$3</f>
        <v>0</v>
      </c>
      <c r="I1871" s="246">
        <f>_xlfn.XLOOKUP(FME_Ranking1[[#This Row],[FME ID]],FME_Input[FME_ID],FME_Input[STRUCT_100])</f>
        <v>24</v>
      </c>
      <c r="J1871" s="178">
        <f>(FME_Ranking1[[#This Row],[Structures 100 Raw]]/I$2)*100</f>
        <v>1.2851818532322323E-2</v>
      </c>
      <c r="K1871" s="178">
        <f>FME_Ranking1[[#This Row],[Structures 100  Score (Normalized, Unweighted)]]*$I$3</f>
        <v>1.9277727798483483E-3</v>
      </c>
      <c r="L1871" s="246">
        <f>_xlfn.XLOOKUP(FME_Ranking1[[#This Row],[FME ID]],FME_Input[FME_ID],FME_Input[RES_STRUCT100])</f>
        <v>8</v>
      </c>
      <c r="M1871" s="230">
        <f>(FME_Ranking1[[#This Row],[Res Structures Raw]]/L$2)*100</f>
        <v>5.666444730914706E-3</v>
      </c>
      <c r="N1871" s="180">
        <f>FME_Ranking1[[#This Row],[Res Structures Score (Normalized, Unweighted)]]*$L$3</f>
        <v>5.6664447309147067E-4</v>
      </c>
      <c r="O1871" s="244">
        <f>_xlfn.XLOOKUP(FME_Ranking1[[#This Row],[FME ID]],FME_Input[FME_ID],FME_Input[POP100])</f>
        <v>0</v>
      </c>
      <c r="P1871" s="178">
        <f>(FME_Ranking1[[#This Row],[Pop Raw]]/$O$2)*100</f>
        <v>0</v>
      </c>
      <c r="Q1871" s="178">
        <f>FME_Ranking1[[#This Row],[Pop Score (Normalized, Unweighted)]]*$O$3</f>
        <v>0</v>
      </c>
      <c r="R1871" s="137">
        <f>_xlfn.XLOOKUP(FME_Ranking1[[#This Row],[FME ID]],FME_Input[FME_ID],FME_Input[CRITFAC100])</f>
        <v>0</v>
      </c>
      <c r="S1871" s="230">
        <f>(FME_Ranking1[[#This Row],[Critical Facilities Raw]]/$R$2)*100</f>
        <v>0</v>
      </c>
      <c r="T1871" s="180">
        <f>FME_Ranking1[[#This Row],[Critical Facilities Score (Normalized, Unweighted)]]*$R$3</f>
        <v>0</v>
      </c>
      <c r="U1871">
        <f>_xlfn.XLOOKUP(FME_Ranking1[[#This Row],[FME ID]],FME_Input[FME_ID],FME_Input[LWC])</f>
        <v>0</v>
      </c>
      <c r="V1871" s="178">
        <f>(FME_Ranking1[[#This Row],[LWC Raw]]/$U$2)*100</f>
        <v>0</v>
      </c>
      <c r="W1871" s="178">
        <f>FME_Ranking1[[#This Row],[LWC Score (Normalized, Unweighted)]]*$U$3</f>
        <v>0</v>
      </c>
      <c r="X1871" s="246">
        <f>_xlfn.XLOOKUP(FME_Ranking1[[#This Row],[FME ID]],FME_Input[FME_ID],FME_Input[ROADCLS])</f>
        <v>0</v>
      </c>
      <c r="Y1871" s="230">
        <f>(FME_Ranking1[[#This Row],[Closures Raw]]/$X$2)*100</f>
        <v>0</v>
      </c>
      <c r="Z1871" s="180">
        <f>FME_Ranking1[[#This Row],[Closures Score (Normalized, Unweighted)]]*$X$3</f>
        <v>0</v>
      </c>
      <c r="AA1871" s="253">
        <f>_xlfn.XLOOKUP(FME_Ranking1[[#This Row],[FME ID]],FME_Input[FME_ID],FME_Input[ROAD_MILES100])</f>
        <v>0</v>
      </c>
      <c r="AB1871" s="178">
        <f>(FME_Ranking1[[#This Row],[Miles Raw]]/$AA$2)*100</f>
        <v>0</v>
      </c>
      <c r="AC1871" s="178">
        <f>FME_Ranking1[[#This Row],[Miles Score (Normalized, Unweighted)]]*$AA$3</f>
        <v>0</v>
      </c>
      <c r="AD1871" s="255">
        <f>_xlfn.XLOOKUP(FME_Ranking1[[#This Row],[FME ID]],FME_Input[FME_ID],FME_Input[FARMACRE100])</f>
        <v>4.6554327011108398</v>
      </c>
      <c r="AE1871" s="230">
        <f>(FME_Ranking1[[#This Row],[Ag Land Raw]]/$AD$2)*100</f>
        <v>1.9196920453214852E-4</v>
      </c>
      <c r="AF1871" s="231">
        <f>FME_Ranking1[[#This Row],[Ag Land Score (Normalized, Unweighted)]]*$AD$3</f>
        <v>9.598460226607426E-6</v>
      </c>
      <c r="AG187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2.5040157131664261E-3</v>
      </c>
      <c r="AH1871" s="406">
        <f t="shared" si="29"/>
        <v>1928</v>
      </c>
      <c r="AI187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2.5040157131664261E-3</v>
      </c>
      <c r="AJ1871" s="257">
        <f>FME_Ranking1[[#This Row],[Addition check]]-FME_Ranking1[[#This Row],[Weighted Score Based on Normalized Reported Factors]]</f>
        <v>0</v>
      </c>
      <c r="AK1871" s="178">
        <f>_xlfn.RANK.EQ(AI1871,$AI$6:$AI$2341,0)+COUNTIF($AI$6:AI1871,AI1871)-1</f>
        <v>1928</v>
      </c>
    </row>
    <row r="1872" spans="1:37" x14ac:dyDescent="0.25">
      <c r="A1872" t="s">
        <v>11158</v>
      </c>
      <c r="B1872">
        <f>_xlfn.XLOOKUP(FME_Ranking1[[#This Row],[FME ID]],FME_Input[FME_ID],FME_Input[RFPG_NUM])</f>
        <v>15</v>
      </c>
      <c r="C1872" t="str">
        <f>_xlfn.XLOOKUP(FME_Ranking1[[#This Row],[FME ID]],FME_Input[FME_ID],FME_Input[FME_NAME])</f>
        <v>Laguna Vista Action #3</v>
      </c>
      <c r="D1872" t="str">
        <f>_xlfn.XLOOKUP(FME_Ranking1[[#This Row],[FME ID]],FME_Input[FME_ID],FME_Input[DESCR])</f>
        <v>Drainage improvements Basin “D”: Install upgraded drainage system west side of State Highway 510 for 80 acre residential area. Current system is inadequate to carry storm water runoff.</v>
      </c>
      <c r="E1872" s="256">
        <f>_xlfn.XLOOKUP(FME_Ranking1[[#This Row],[FME ID]],FME_Input[FME_ID],FME_Input[FME_COST])</f>
        <v>924000</v>
      </c>
      <c r="F1872" t="str">
        <f>_xlfn.XLOOKUP(FME_Ranking1[[#This Row],[FME ID]],FME_Input[FME_ID],FME_Input[EMER_NEED])</f>
        <v>Yes</v>
      </c>
      <c r="G1872">
        <f>IF(FME_Ranking!F1872="Yes",100,0)</f>
        <v>100</v>
      </c>
      <c r="H1872">
        <f>FME_Ranking1[[#This Row],[Emergency Need Score (Normalized, Unweighted)]]*$F$3</f>
        <v>0</v>
      </c>
      <c r="I1872" s="246">
        <f>_xlfn.XLOOKUP(FME_Ranking1[[#This Row],[FME ID]],FME_Input[FME_ID],FME_Input[STRUCT_100])</f>
        <v>0</v>
      </c>
      <c r="J1872" s="178">
        <f>(FME_Ranking1[[#This Row],[Structures 100 Raw]]/I$2)*100</f>
        <v>0</v>
      </c>
      <c r="K1872" s="178">
        <f>FME_Ranking1[[#This Row],[Structures 100  Score (Normalized, Unweighted)]]*$I$3</f>
        <v>0</v>
      </c>
      <c r="L1872" s="246">
        <f>_xlfn.XLOOKUP(FME_Ranking1[[#This Row],[FME ID]],FME_Input[FME_ID],FME_Input[RES_STRUCT100])</f>
        <v>21</v>
      </c>
      <c r="M1872" s="230">
        <f>(FME_Ranking1[[#This Row],[Res Structures Raw]]/L$2)*100</f>
        <v>1.4874417418651103E-2</v>
      </c>
      <c r="N1872" s="180">
        <f>FME_Ranking1[[#This Row],[Res Structures Score (Normalized, Unweighted)]]*$L$3</f>
        <v>1.4874417418651103E-3</v>
      </c>
      <c r="O1872" s="244">
        <f>_xlfn.XLOOKUP(FME_Ranking1[[#This Row],[FME ID]],FME_Input[FME_ID],FME_Input[POP100])</f>
        <v>65</v>
      </c>
      <c r="P1872" s="178">
        <f>(FME_Ranking1[[#This Row],[Pop Raw]]/$O$2)*100</f>
        <v>6.6543952792696131E-3</v>
      </c>
      <c r="Q1872" s="178">
        <f>FME_Ranking1[[#This Row],[Pop Score (Normalized, Unweighted)]]*$O$3</f>
        <v>9.9815929189044192E-4</v>
      </c>
      <c r="R1872" s="137">
        <f>_xlfn.XLOOKUP(FME_Ranking1[[#This Row],[FME ID]],FME_Input[FME_ID],FME_Input[CRITFAC100])</f>
        <v>0</v>
      </c>
      <c r="S1872" s="230">
        <f>(FME_Ranking1[[#This Row],[Critical Facilities Raw]]/$R$2)*100</f>
        <v>0</v>
      </c>
      <c r="T1872" s="180">
        <f>FME_Ranking1[[#This Row],[Critical Facilities Score (Normalized, Unweighted)]]*$R$3</f>
        <v>0</v>
      </c>
      <c r="U1872">
        <f>_xlfn.XLOOKUP(FME_Ranking1[[#This Row],[FME ID]],FME_Input[FME_ID],FME_Input[LWC])</f>
        <v>0</v>
      </c>
      <c r="V1872" s="178">
        <f>(FME_Ranking1[[#This Row],[LWC Raw]]/$U$2)*100</f>
        <v>0</v>
      </c>
      <c r="W1872" s="178">
        <f>FME_Ranking1[[#This Row],[LWC Score (Normalized, Unweighted)]]*$U$3</f>
        <v>0</v>
      </c>
      <c r="X1872" s="246">
        <f>_xlfn.XLOOKUP(FME_Ranking1[[#This Row],[FME ID]],FME_Input[FME_ID],FME_Input[ROADCLS])</f>
        <v>0</v>
      </c>
      <c r="Y1872" s="230">
        <f>(FME_Ranking1[[#This Row],[Closures Raw]]/$X$2)*100</f>
        <v>0</v>
      </c>
      <c r="Z1872" s="180">
        <f>FME_Ranking1[[#This Row],[Closures Score (Normalized, Unweighted)]]*$X$3</f>
        <v>0</v>
      </c>
      <c r="AA1872" s="253">
        <f>_xlfn.XLOOKUP(FME_Ranking1[[#This Row],[FME ID]],FME_Input[FME_ID],FME_Input[ROAD_MILES100])</f>
        <v>0.45812198519706732</v>
      </c>
      <c r="AB1872" s="178">
        <f>(FME_Ranking1[[#This Row],[Miles Raw]]/$AA$2)*100</f>
        <v>6.0234824249863293E-3</v>
      </c>
      <c r="AC1872" s="178">
        <f>FME_Ranking1[[#This Row],[Miles Score (Normalized, Unweighted)]]*$AA$3</f>
        <v>6.0234824249863299E-4</v>
      </c>
      <c r="AD1872" s="255">
        <f>_xlfn.XLOOKUP(FME_Ranking1[[#This Row],[FME ID]],FME_Input[FME_ID],FME_Input[FARMACRE100])</f>
        <v>0</v>
      </c>
      <c r="AE1872" s="230">
        <f>(FME_Ranking1[[#This Row],[Ag Land Raw]]/$AD$2)*100</f>
        <v>0</v>
      </c>
      <c r="AF1872" s="231">
        <f>FME_Ranking1[[#This Row],[Ag Land Score (Normalized, Unweighted)]]*$AD$3</f>
        <v>0</v>
      </c>
      <c r="AG187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3.0879492762541853E-3</v>
      </c>
      <c r="AH1872" s="406">
        <f t="shared" si="29"/>
        <v>1900</v>
      </c>
      <c r="AI187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3.0879492762541853E-3</v>
      </c>
      <c r="AJ1872" s="257">
        <f>FME_Ranking1[[#This Row],[Addition check]]-FME_Ranking1[[#This Row],[Weighted Score Based on Normalized Reported Factors]]</f>
        <v>0</v>
      </c>
      <c r="AK1872" s="178">
        <f>_xlfn.RANK.EQ(AI1872,$AI$6:$AI$2341,0)+COUNTIF($AI$6:AI1872,AI1872)-1</f>
        <v>1900</v>
      </c>
    </row>
    <row r="1873" spans="1:37" x14ac:dyDescent="0.25">
      <c r="A1873" t="s">
        <v>7030</v>
      </c>
      <c r="B1873">
        <f>_xlfn.XLOOKUP(FME_Ranking1[[#This Row],[FME ID]],FME_Input[FME_ID],FME_Input[RFPG_NUM])</f>
        <v>7</v>
      </c>
      <c r="C1873" t="str">
        <f>_xlfn.XLOOKUP(FME_Ranking1[[#This Row],[FME ID]],FME_Input[FME_ID],FME_Input[FME_NAME])</f>
        <v>City of Moran DMP</v>
      </c>
      <c r="D1873" t="str">
        <f>_xlfn.XLOOKUP(FME_Ranking1[[#This Row],[FME ID]],FME_Input[FME_ID],FME_Input[DESCR])</f>
        <v>Evaluate city to identify future projects, analyze roads/stream crossing for emergency response vehicles to high hazard areas</v>
      </c>
      <c r="E1873" s="256">
        <f>_xlfn.XLOOKUP(FME_Ranking1[[#This Row],[FME ID]],FME_Input[FME_ID],FME_Input[FME_COST])</f>
        <v>250000</v>
      </c>
      <c r="F1873" t="str">
        <f>_xlfn.XLOOKUP(FME_Ranking1[[#This Row],[FME ID]],FME_Input[FME_ID],FME_Input[EMER_NEED])</f>
        <v>No</v>
      </c>
      <c r="G1873">
        <f>IF(FME_Ranking!F1873="Yes",100,0)</f>
        <v>0</v>
      </c>
      <c r="H1873">
        <f>FME_Ranking1[[#This Row],[Emergency Need Score (Normalized, Unweighted)]]*$F$3</f>
        <v>0</v>
      </c>
      <c r="I1873" s="246">
        <f>_xlfn.XLOOKUP(FME_Ranking1[[#This Row],[FME ID]],FME_Input[FME_ID],FME_Input[STRUCT_100])</f>
        <v>18</v>
      </c>
      <c r="J1873" s="178">
        <f>(FME_Ranking1[[#This Row],[Structures 100 Raw]]/I$2)*100</f>
        <v>9.6388638992417428E-3</v>
      </c>
      <c r="K1873" s="178">
        <f>FME_Ranking1[[#This Row],[Structures 100  Score (Normalized, Unweighted)]]*$I$3</f>
        <v>1.4458295848862614E-3</v>
      </c>
      <c r="L1873" s="246">
        <f>_xlfn.XLOOKUP(FME_Ranking1[[#This Row],[FME ID]],FME_Input[FME_ID],FME_Input[RES_STRUCT100])</f>
        <v>11</v>
      </c>
      <c r="M1873" s="230">
        <f>(FME_Ranking1[[#This Row],[Res Structures Raw]]/L$2)*100</f>
        <v>7.7913615050077207E-3</v>
      </c>
      <c r="N1873" s="180">
        <f>FME_Ranking1[[#This Row],[Res Structures Score (Normalized, Unweighted)]]*$L$3</f>
        <v>7.7913615050077215E-4</v>
      </c>
      <c r="O1873" s="244">
        <f>_xlfn.XLOOKUP(FME_Ranking1[[#This Row],[FME ID]],FME_Input[FME_ID],FME_Input[POP100])</f>
        <v>16</v>
      </c>
      <c r="P1873" s="178">
        <f>(FME_Ranking1[[#This Row],[Pop Raw]]/$O$2)*100</f>
        <v>1.6380049918202125E-3</v>
      </c>
      <c r="Q1873" s="178">
        <f>FME_Ranking1[[#This Row],[Pop Score (Normalized, Unweighted)]]*$O$3</f>
        <v>2.4570074877303187E-4</v>
      </c>
      <c r="R1873" s="137">
        <f>_xlfn.XLOOKUP(FME_Ranking1[[#This Row],[FME ID]],FME_Input[FME_ID],FME_Input[CRITFAC100])</f>
        <v>0</v>
      </c>
      <c r="S1873" s="230">
        <f>(FME_Ranking1[[#This Row],[Critical Facilities Raw]]/$R$2)*100</f>
        <v>0</v>
      </c>
      <c r="T1873" s="180">
        <f>FME_Ranking1[[#This Row],[Critical Facilities Score (Normalized, Unweighted)]]*$R$3</f>
        <v>0</v>
      </c>
      <c r="U1873">
        <f>_xlfn.XLOOKUP(FME_Ranking1[[#This Row],[FME ID]],FME_Input[FME_ID],FME_Input[LWC])</f>
        <v>0</v>
      </c>
      <c r="V1873" s="178">
        <f>(FME_Ranking1[[#This Row],[LWC Raw]]/$U$2)*100</f>
        <v>0</v>
      </c>
      <c r="W1873" s="178">
        <f>FME_Ranking1[[#This Row],[LWC Score (Normalized, Unweighted)]]*$U$3</f>
        <v>0</v>
      </c>
      <c r="X1873" s="246">
        <f>_xlfn.XLOOKUP(FME_Ranking1[[#This Row],[FME ID]],FME_Input[FME_ID],FME_Input[ROADCLS])</f>
        <v>0</v>
      </c>
      <c r="Y1873" s="230">
        <f>(FME_Ranking1[[#This Row],[Closures Raw]]/$X$2)*100</f>
        <v>0</v>
      </c>
      <c r="Z1873" s="180">
        <f>FME_Ranking1[[#This Row],[Closures Score (Normalized, Unweighted)]]*$X$3</f>
        <v>0</v>
      </c>
      <c r="AA1873" s="253">
        <f>_xlfn.XLOOKUP(FME_Ranking1[[#This Row],[FME ID]],FME_Input[FME_ID],FME_Input[ROAD_MILES100])</f>
        <v>0.87748998403549194</v>
      </c>
      <c r="AB1873" s="178">
        <f>(FME_Ranking1[[#This Row],[Miles Raw]]/$AA$2)*100</f>
        <v>1.1537419437894193E-2</v>
      </c>
      <c r="AC1873" s="178">
        <f>FME_Ranking1[[#This Row],[Miles Score (Normalized, Unweighted)]]*$AA$3</f>
        <v>1.1537419437894195E-3</v>
      </c>
      <c r="AD1873" s="255">
        <f>_xlfn.XLOOKUP(FME_Ranking1[[#This Row],[FME ID]],FME_Input[FME_ID],FME_Input[FARMACRE100])</f>
        <v>0</v>
      </c>
      <c r="AE1873" s="230">
        <f>(FME_Ranking1[[#This Row],[Ag Land Raw]]/$AD$2)*100</f>
        <v>0</v>
      </c>
      <c r="AF1873" s="231">
        <f>FME_Ranking1[[#This Row],[Ag Land Score (Normalized, Unweighted)]]*$AD$3</f>
        <v>0</v>
      </c>
      <c r="AG187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3.6244084279494848E-3</v>
      </c>
      <c r="AH1873" s="406">
        <f t="shared" si="29"/>
        <v>1879</v>
      </c>
      <c r="AI187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3.6244084279494848E-3</v>
      </c>
      <c r="AJ1873" s="257">
        <f>FME_Ranking1[[#This Row],[Addition check]]-FME_Ranking1[[#This Row],[Weighted Score Based on Normalized Reported Factors]]</f>
        <v>0</v>
      </c>
      <c r="AK1873" s="178">
        <f>_xlfn.RANK.EQ(AI1873,$AI$6:$AI$2341,0)+COUNTIF($AI$6:AI1873,AI1873)-1</f>
        <v>1879</v>
      </c>
    </row>
    <row r="1874" spans="1:37" x14ac:dyDescent="0.25">
      <c r="A1874" t="s">
        <v>7343</v>
      </c>
      <c r="B1874">
        <f>_xlfn.XLOOKUP(FME_Ranking1[[#This Row],[FME ID]],FME_Input[FME_ID],FME_Input[RFPG_NUM])</f>
        <v>7</v>
      </c>
      <c r="C1874" t="str">
        <f>_xlfn.XLOOKUP(FME_Ranking1[[#This Row],[FME ID]],FME_Input[FME_ID],FME_Input[FME_NAME])</f>
        <v>City of Moran Floodproof Sewage Plant Program</v>
      </c>
      <c r="D1874" t="str">
        <f>_xlfn.XLOOKUP(FME_Ranking1[[#This Row],[FME ID]],FME_Input[FME_ID],FME_Input[DESCR])</f>
        <v>Flood-proof sewage treatment plants in flood hazard / low-lying areas.</v>
      </c>
      <c r="E1874" s="256">
        <f>_xlfn.XLOOKUP(FME_Ranking1[[#This Row],[FME ID]],FME_Input[FME_ID],FME_Input[FME_COST])</f>
        <v>100000</v>
      </c>
      <c r="F1874" t="str">
        <f>_xlfn.XLOOKUP(FME_Ranking1[[#This Row],[FME ID]],FME_Input[FME_ID],FME_Input[EMER_NEED])</f>
        <v>No</v>
      </c>
      <c r="G1874">
        <f>IF(FME_Ranking!F1874="Yes",100,0)</f>
        <v>0</v>
      </c>
      <c r="H1874">
        <f>FME_Ranking1[[#This Row],[Emergency Need Score (Normalized, Unweighted)]]*$F$3</f>
        <v>0</v>
      </c>
      <c r="I1874" s="246">
        <f>_xlfn.XLOOKUP(FME_Ranking1[[#This Row],[FME ID]],FME_Input[FME_ID],FME_Input[STRUCT_100])</f>
        <v>18</v>
      </c>
      <c r="J1874" s="178">
        <f>(FME_Ranking1[[#This Row],[Structures 100 Raw]]/I$2)*100</f>
        <v>9.6388638992417428E-3</v>
      </c>
      <c r="K1874" s="178">
        <f>FME_Ranking1[[#This Row],[Structures 100  Score (Normalized, Unweighted)]]*$I$3</f>
        <v>1.4458295848862614E-3</v>
      </c>
      <c r="L1874" s="246">
        <f>_xlfn.XLOOKUP(FME_Ranking1[[#This Row],[FME ID]],FME_Input[FME_ID],FME_Input[RES_STRUCT100])</f>
        <v>11</v>
      </c>
      <c r="M1874" s="230">
        <f>(FME_Ranking1[[#This Row],[Res Structures Raw]]/L$2)*100</f>
        <v>7.7913615050077207E-3</v>
      </c>
      <c r="N1874" s="180">
        <f>FME_Ranking1[[#This Row],[Res Structures Score (Normalized, Unweighted)]]*$L$3</f>
        <v>7.7913615050077215E-4</v>
      </c>
      <c r="O1874" s="244">
        <f>_xlfn.XLOOKUP(FME_Ranking1[[#This Row],[FME ID]],FME_Input[FME_ID],FME_Input[POP100])</f>
        <v>16</v>
      </c>
      <c r="P1874" s="178">
        <f>(FME_Ranking1[[#This Row],[Pop Raw]]/$O$2)*100</f>
        <v>1.6380049918202125E-3</v>
      </c>
      <c r="Q1874" s="178">
        <f>FME_Ranking1[[#This Row],[Pop Score (Normalized, Unweighted)]]*$O$3</f>
        <v>2.4570074877303187E-4</v>
      </c>
      <c r="R1874" s="137">
        <f>_xlfn.XLOOKUP(FME_Ranking1[[#This Row],[FME ID]],FME_Input[FME_ID],FME_Input[CRITFAC100])</f>
        <v>0</v>
      </c>
      <c r="S1874" s="230">
        <f>(FME_Ranking1[[#This Row],[Critical Facilities Raw]]/$R$2)*100</f>
        <v>0</v>
      </c>
      <c r="T1874" s="180">
        <f>FME_Ranking1[[#This Row],[Critical Facilities Score (Normalized, Unweighted)]]*$R$3</f>
        <v>0</v>
      </c>
      <c r="U1874">
        <f>_xlfn.XLOOKUP(FME_Ranking1[[#This Row],[FME ID]],FME_Input[FME_ID],FME_Input[LWC])</f>
        <v>0</v>
      </c>
      <c r="V1874" s="178">
        <f>(FME_Ranking1[[#This Row],[LWC Raw]]/$U$2)*100</f>
        <v>0</v>
      </c>
      <c r="W1874" s="178">
        <f>FME_Ranking1[[#This Row],[LWC Score (Normalized, Unweighted)]]*$U$3</f>
        <v>0</v>
      </c>
      <c r="X1874" s="246">
        <f>_xlfn.XLOOKUP(FME_Ranking1[[#This Row],[FME ID]],FME_Input[FME_ID],FME_Input[ROADCLS])</f>
        <v>0</v>
      </c>
      <c r="Y1874" s="230">
        <f>(FME_Ranking1[[#This Row],[Closures Raw]]/$X$2)*100</f>
        <v>0</v>
      </c>
      <c r="Z1874" s="180">
        <f>FME_Ranking1[[#This Row],[Closures Score (Normalized, Unweighted)]]*$X$3</f>
        <v>0</v>
      </c>
      <c r="AA1874" s="253">
        <f>_xlfn.XLOOKUP(FME_Ranking1[[#This Row],[FME ID]],FME_Input[FME_ID],FME_Input[ROAD_MILES100])</f>
        <v>0.87748998403549194</v>
      </c>
      <c r="AB1874" s="178">
        <f>(FME_Ranking1[[#This Row],[Miles Raw]]/$AA$2)*100</f>
        <v>1.1537419437894193E-2</v>
      </c>
      <c r="AC1874" s="178">
        <f>FME_Ranking1[[#This Row],[Miles Score (Normalized, Unweighted)]]*$AA$3</f>
        <v>1.1537419437894195E-3</v>
      </c>
      <c r="AD1874" s="255">
        <f>_xlfn.XLOOKUP(FME_Ranking1[[#This Row],[FME ID]],FME_Input[FME_ID],FME_Input[FARMACRE100])</f>
        <v>0</v>
      </c>
      <c r="AE1874" s="230">
        <f>(FME_Ranking1[[#This Row],[Ag Land Raw]]/$AD$2)*100</f>
        <v>0</v>
      </c>
      <c r="AF1874" s="231">
        <f>FME_Ranking1[[#This Row],[Ag Land Score (Normalized, Unweighted)]]*$AD$3</f>
        <v>0</v>
      </c>
      <c r="AG187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3.6244084279494848E-3</v>
      </c>
      <c r="AH1874" s="406">
        <f t="shared" si="29"/>
        <v>1879</v>
      </c>
      <c r="AI187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3.6244084279494848E-3</v>
      </c>
      <c r="AJ1874" s="257">
        <f>FME_Ranking1[[#This Row],[Addition check]]-FME_Ranking1[[#This Row],[Weighted Score Based on Normalized Reported Factors]]</f>
        <v>0</v>
      </c>
      <c r="AK1874" s="178">
        <f>_xlfn.RANK.EQ(AI1874,$AI$6:$AI$2341,0)+COUNTIF($AI$6:AI1874,AI1874)-1</f>
        <v>1880</v>
      </c>
    </row>
    <row r="1875" spans="1:37" x14ac:dyDescent="0.25">
      <c r="A1875" t="s">
        <v>7345</v>
      </c>
      <c r="B1875">
        <f>_xlfn.XLOOKUP(FME_Ranking1[[#This Row],[FME ID]],FME_Input[FME_ID],FME_Input[RFPG_NUM])</f>
        <v>7</v>
      </c>
      <c r="C1875" t="str">
        <f>_xlfn.XLOOKUP(FME_Ranking1[[#This Row],[FME ID]],FME_Input[FME_ID],FME_Input[FME_NAME])</f>
        <v>City of Moran New Ordinance - Detention</v>
      </c>
      <c r="D1875" t="str">
        <f>_xlfn.XLOOKUP(FME_Ranking1[[#This Row],[FME ID]],FME_Input[FME_ID],FME_Input[DESCR])</f>
        <v>Adopt on-site detention basin program. Detained water to be considered for fire fighting.</v>
      </c>
      <c r="E1875" s="256">
        <f>_xlfn.XLOOKUP(FME_Ranking1[[#This Row],[FME ID]],FME_Input[FME_ID],FME_Input[FME_COST])</f>
        <v>100000</v>
      </c>
      <c r="F1875" t="str">
        <f>_xlfn.XLOOKUP(FME_Ranking1[[#This Row],[FME ID]],FME_Input[FME_ID],FME_Input[EMER_NEED])</f>
        <v>No</v>
      </c>
      <c r="G1875">
        <f>IF(FME_Ranking!F1875="Yes",100,0)</f>
        <v>0</v>
      </c>
      <c r="H1875">
        <f>FME_Ranking1[[#This Row],[Emergency Need Score (Normalized, Unweighted)]]*$F$3</f>
        <v>0</v>
      </c>
      <c r="I1875" s="246">
        <f>_xlfn.XLOOKUP(FME_Ranking1[[#This Row],[FME ID]],FME_Input[FME_ID],FME_Input[STRUCT_100])</f>
        <v>18</v>
      </c>
      <c r="J1875" s="178">
        <f>(FME_Ranking1[[#This Row],[Structures 100 Raw]]/I$2)*100</f>
        <v>9.6388638992417428E-3</v>
      </c>
      <c r="K1875" s="178">
        <f>FME_Ranking1[[#This Row],[Structures 100  Score (Normalized, Unweighted)]]*$I$3</f>
        <v>1.4458295848862614E-3</v>
      </c>
      <c r="L1875" s="246">
        <f>_xlfn.XLOOKUP(FME_Ranking1[[#This Row],[FME ID]],FME_Input[FME_ID],FME_Input[RES_STRUCT100])</f>
        <v>11</v>
      </c>
      <c r="M1875" s="230">
        <f>(FME_Ranking1[[#This Row],[Res Structures Raw]]/L$2)*100</f>
        <v>7.7913615050077207E-3</v>
      </c>
      <c r="N1875" s="180">
        <f>FME_Ranking1[[#This Row],[Res Structures Score (Normalized, Unweighted)]]*$L$3</f>
        <v>7.7913615050077215E-4</v>
      </c>
      <c r="O1875" s="244">
        <f>_xlfn.XLOOKUP(FME_Ranking1[[#This Row],[FME ID]],FME_Input[FME_ID],FME_Input[POP100])</f>
        <v>16</v>
      </c>
      <c r="P1875" s="178">
        <f>(FME_Ranking1[[#This Row],[Pop Raw]]/$O$2)*100</f>
        <v>1.6380049918202125E-3</v>
      </c>
      <c r="Q1875" s="178">
        <f>FME_Ranking1[[#This Row],[Pop Score (Normalized, Unweighted)]]*$O$3</f>
        <v>2.4570074877303187E-4</v>
      </c>
      <c r="R1875" s="137">
        <f>_xlfn.XLOOKUP(FME_Ranking1[[#This Row],[FME ID]],FME_Input[FME_ID],FME_Input[CRITFAC100])</f>
        <v>0</v>
      </c>
      <c r="S1875" s="230">
        <f>(FME_Ranking1[[#This Row],[Critical Facilities Raw]]/$R$2)*100</f>
        <v>0</v>
      </c>
      <c r="T1875" s="180">
        <f>FME_Ranking1[[#This Row],[Critical Facilities Score (Normalized, Unweighted)]]*$R$3</f>
        <v>0</v>
      </c>
      <c r="U1875">
        <f>_xlfn.XLOOKUP(FME_Ranking1[[#This Row],[FME ID]],FME_Input[FME_ID],FME_Input[LWC])</f>
        <v>0</v>
      </c>
      <c r="V1875" s="178">
        <f>(FME_Ranking1[[#This Row],[LWC Raw]]/$U$2)*100</f>
        <v>0</v>
      </c>
      <c r="W1875" s="178">
        <f>FME_Ranking1[[#This Row],[LWC Score (Normalized, Unweighted)]]*$U$3</f>
        <v>0</v>
      </c>
      <c r="X1875" s="246">
        <f>_xlfn.XLOOKUP(FME_Ranking1[[#This Row],[FME ID]],FME_Input[FME_ID],FME_Input[ROADCLS])</f>
        <v>0</v>
      </c>
      <c r="Y1875" s="230">
        <f>(FME_Ranking1[[#This Row],[Closures Raw]]/$X$2)*100</f>
        <v>0</v>
      </c>
      <c r="Z1875" s="180">
        <f>FME_Ranking1[[#This Row],[Closures Score (Normalized, Unweighted)]]*$X$3</f>
        <v>0</v>
      </c>
      <c r="AA1875" s="253">
        <f>_xlfn.XLOOKUP(FME_Ranking1[[#This Row],[FME ID]],FME_Input[FME_ID],FME_Input[ROAD_MILES100])</f>
        <v>0.87748998403549194</v>
      </c>
      <c r="AB1875" s="178">
        <f>(FME_Ranking1[[#This Row],[Miles Raw]]/$AA$2)*100</f>
        <v>1.1537419437894193E-2</v>
      </c>
      <c r="AC1875" s="178">
        <f>FME_Ranking1[[#This Row],[Miles Score (Normalized, Unweighted)]]*$AA$3</f>
        <v>1.1537419437894195E-3</v>
      </c>
      <c r="AD1875" s="255">
        <f>_xlfn.XLOOKUP(FME_Ranking1[[#This Row],[FME ID]],FME_Input[FME_ID],FME_Input[FARMACRE100])</f>
        <v>0</v>
      </c>
      <c r="AE1875" s="230">
        <f>(FME_Ranking1[[#This Row],[Ag Land Raw]]/$AD$2)*100</f>
        <v>0</v>
      </c>
      <c r="AF1875" s="231">
        <f>FME_Ranking1[[#This Row],[Ag Land Score (Normalized, Unweighted)]]*$AD$3</f>
        <v>0</v>
      </c>
      <c r="AG187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3.6244084279494848E-3</v>
      </c>
      <c r="AH1875" s="406">
        <f t="shared" si="29"/>
        <v>1879</v>
      </c>
      <c r="AI187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3.6244084279494848E-3</v>
      </c>
      <c r="AJ1875" s="257">
        <f>FME_Ranking1[[#This Row],[Addition check]]-FME_Ranking1[[#This Row],[Weighted Score Based on Normalized Reported Factors]]</f>
        <v>0</v>
      </c>
      <c r="AK1875" s="178">
        <f>_xlfn.RANK.EQ(AI1875,$AI$6:$AI$2341,0)+COUNTIF($AI$6:AI1875,AI1875)-1</f>
        <v>1881</v>
      </c>
    </row>
    <row r="1876" spans="1:37" x14ac:dyDescent="0.25">
      <c r="A1876" t="s">
        <v>3419</v>
      </c>
      <c r="B1876">
        <f>_xlfn.XLOOKUP(FME_Ranking1[[#This Row],[FME ID]],FME_Input[FME_ID],FME_Input[RFPG_NUM])</f>
        <v>1</v>
      </c>
      <c r="C1876" t="str">
        <f>_xlfn.XLOOKUP(FME_Ranking1[[#This Row],[FME ID]],FME_Input[FME_ID],FME_Input[FME_NAME])</f>
        <v>Bivins Lake Dam Evaluation (City of Amarillo)</v>
      </c>
      <c r="D1876" t="str">
        <f>_xlfn.XLOOKUP(FME_Ranking1[[#This Row],[FME ID]],FME_Input[FME_ID],FME_Input[DESCR])</f>
        <v>Evaluate Bivins Lake and dam to determine potential modifications to enhance flood control function; selected based on USACE report and stakeholder feedback</v>
      </c>
      <c r="E1876" s="256">
        <f>_xlfn.XLOOKUP(FME_Ranking1[[#This Row],[FME ID]],FME_Input[FME_ID],FME_Input[FME_COST])</f>
        <v>250000</v>
      </c>
      <c r="F1876" t="str">
        <f>_xlfn.XLOOKUP(FME_Ranking1[[#This Row],[FME ID]],FME_Input[FME_ID],FME_Input[EMER_NEED])</f>
        <v>No</v>
      </c>
      <c r="G1876">
        <f>IF(FME_Ranking!F1876="Yes",100,0)</f>
        <v>0</v>
      </c>
      <c r="H1876">
        <f>FME_Ranking1[[#This Row],[Emergency Need Score (Normalized, Unweighted)]]*$F$3</f>
        <v>0</v>
      </c>
      <c r="I1876" s="246">
        <f>_xlfn.XLOOKUP(FME_Ranking1[[#This Row],[FME ID]],FME_Input[FME_ID],FME_Input[STRUCT_100])</f>
        <v>2</v>
      </c>
      <c r="J1876" s="178">
        <f>(FME_Ranking1[[#This Row],[Structures 100 Raw]]/I$2)*100</f>
        <v>1.0709848776935271E-3</v>
      </c>
      <c r="K1876" s="178">
        <f>FME_Ranking1[[#This Row],[Structures 100  Score (Normalized, Unweighted)]]*$I$3</f>
        <v>1.6064773165402907E-4</v>
      </c>
      <c r="L1876" s="246">
        <f>_xlfn.XLOOKUP(FME_Ranking1[[#This Row],[FME ID]],FME_Input[FME_ID],FME_Input[RES_STRUCT100])</f>
        <v>1</v>
      </c>
      <c r="M1876" s="230">
        <f>(FME_Ranking1[[#This Row],[Res Structures Raw]]/L$2)*100</f>
        <v>7.0830559136433825E-4</v>
      </c>
      <c r="N1876" s="180">
        <f>FME_Ranking1[[#This Row],[Res Structures Score (Normalized, Unweighted)]]*$L$3</f>
        <v>7.0830559136433833E-5</v>
      </c>
      <c r="O1876" s="244">
        <f>_xlfn.XLOOKUP(FME_Ranking1[[#This Row],[FME ID]],FME_Input[FME_ID],FME_Input[POP100])</f>
        <v>5</v>
      </c>
      <c r="P1876" s="178">
        <f>(FME_Ranking1[[#This Row],[Pop Raw]]/$O$2)*100</f>
        <v>5.1187655994381644E-4</v>
      </c>
      <c r="Q1876" s="178">
        <f>FME_Ranking1[[#This Row],[Pop Score (Normalized, Unweighted)]]*$O$3</f>
        <v>7.6781483991572469E-5</v>
      </c>
      <c r="R1876" s="137">
        <f>_xlfn.XLOOKUP(FME_Ranking1[[#This Row],[FME ID]],FME_Input[FME_ID],FME_Input[CRITFAC100])</f>
        <v>0</v>
      </c>
      <c r="S1876" s="230">
        <f>(FME_Ranking1[[#This Row],[Critical Facilities Raw]]/$R$2)*100</f>
        <v>0</v>
      </c>
      <c r="T1876" s="180">
        <f>FME_Ranking1[[#This Row],[Critical Facilities Score (Normalized, Unweighted)]]*$R$3</f>
        <v>0</v>
      </c>
      <c r="U1876">
        <f>_xlfn.XLOOKUP(FME_Ranking1[[#This Row],[FME ID]],FME_Input[FME_ID],FME_Input[LWC])</f>
        <v>0</v>
      </c>
      <c r="V1876" s="178">
        <f>(FME_Ranking1[[#This Row],[LWC Raw]]/$U$2)*100</f>
        <v>0</v>
      </c>
      <c r="W1876" s="178">
        <f>FME_Ranking1[[#This Row],[LWC Score (Normalized, Unweighted)]]*$U$3</f>
        <v>0</v>
      </c>
      <c r="X1876" s="246">
        <f>_xlfn.XLOOKUP(FME_Ranking1[[#This Row],[FME ID]],FME_Input[FME_ID],FME_Input[ROADCLS])</f>
        <v>0</v>
      </c>
      <c r="Y1876" s="230">
        <f>(FME_Ranking1[[#This Row],[Closures Raw]]/$X$2)*100</f>
        <v>0</v>
      </c>
      <c r="Z1876" s="180">
        <f>FME_Ranking1[[#This Row],[Closures Score (Normalized, Unweighted)]]*$X$3</f>
        <v>0</v>
      </c>
      <c r="AA1876" s="253">
        <f>_xlfn.XLOOKUP(FME_Ranking1[[#This Row],[FME ID]],FME_Input[FME_ID],FME_Input[ROAD_MILES100])</f>
        <v>1.82133424282074</v>
      </c>
      <c r="AB1876" s="178">
        <f>(FME_Ranking1[[#This Row],[Miles Raw]]/$AA$2)*100</f>
        <v>2.3947278576768771E-2</v>
      </c>
      <c r="AC1876" s="178">
        <f>FME_Ranking1[[#This Row],[Miles Score (Normalized, Unweighted)]]*$AA$3</f>
        <v>2.3947278576768771E-3</v>
      </c>
      <c r="AD1876" s="255">
        <f>_xlfn.XLOOKUP(FME_Ranking1[[#This Row],[FME ID]],FME_Input[FME_ID],FME_Input[FARMACRE100])</f>
        <v>1041.488647460938</v>
      </c>
      <c r="AE1876" s="230">
        <f>(FME_Ranking1[[#This Row],[Ag Land Raw]]/$AD$2)*100</f>
        <v>4.2946329593516207E-2</v>
      </c>
      <c r="AF1876" s="231">
        <f>FME_Ranking1[[#This Row],[Ag Land Score (Normalized, Unweighted)]]*$AD$3</f>
        <v>2.1473164796758106E-3</v>
      </c>
      <c r="AG187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4.8503041121347231E-3</v>
      </c>
      <c r="AH1876" s="406">
        <f t="shared" si="29"/>
        <v>1838</v>
      </c>
      <c r="AI187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4.8503041121347231E-3</v>
      </c>
      <c r="AJ1876" s="257">
        <f>FME_Ranking1[[#This Row],[Addition check]]-FME_Ranking1[[#This Row],[Weighted Score Based on Normalized Reported Factors]]</f>
        <v>0</v>
      </c>
      <c r="AK1876" s="178">
        <f>_xlfn.RANK.EQ(AI1876,$AI$6:$AI$2341,0)+COUNTIF($AI$6:AI1876,AI1876)-1</f>
        <v>1838</v>
      </c>
    </row>
    <row r="1877" spans="1:37" x14ac:dyDescent="0.25">
      <c r="A1877" t="s">
        <v>11178</v>
      </c>
      <c r="B1877">
        <f>_xlfn.XLOOKUP(FME_Ranking1[[#This Row],[FME ID]],FME_Input[FME_ID],FME_Input[RFPG_NUM])</f>
        <v>15</v>
      </c>
      <c r="C1877" t="str">
        <f>_xlfn.XLOOKUP(FME_Ranking1[[#This Row],[FME ID]],FME_Input[FME_ID],FME_Input[FME_NAME])</f>
        <v>Laguna Vista Action #9</v>
      </c>
      <c r="D1877" t="str">
        <f>_xlfn.XLOOKUP(FME_Ranking1[[#This Row],[FME ID]],FME_Input[FME_ID],FME_Input[DESCR])</f>
        <v>Drainage Improvements: Upgrade and harden drainage structure on Town-owed marina to increase capacity and reduce risk of damages</v>
      </c>
      <c r="E1877" s="256">
        <f>_xlfn.XLOOKUP(FME_Ranking1[[#This Row],[FME ID]],FME_Input[FME_ID],FME_Input[FME_COST])</f>
        <v>554400</v>
      </c>
      <c r="F1877" t="str">
        <f>_xlfn.XLOOKUP(FME_Ranking1[[#This Row],[FME ID]],FME_Input[FME_ID],FME_Input[EMER_NEED])</f>
        <v>Yes</v>
      </c>
      <c r="G1877">
        <f>IF(FME_Ranking!F1877="Yes",100,0)</f>
        <v>100</v>
      </c>
      <c r="H1877">
        <f>FME_Ranking1[[#This Row],[Emergency Need Score (Normalized, Unweighted)]]*$F$3</f>
        <v>0</v>
      </c>
      <c r="I1877" s="246">
        <f>_xlfn.XLOOKUP(FME_Ranking1[[#This Row],[FME ID]],FME_Input[FME_ID],FME_Input[STRUCT_100])</f>
        <v>0</v>
      </c>
      <c r="J1877" s="178">
        <f>(FME_Ranking1[[#This Row],[Structures 100 Raw]]/I$2)*100</f>
        <v>0</v>
      </c>
      <c r="K1877" s="178">
        <f>FME_Ranking1[[#This Row],[Structures 100  Score (Normalized, Unweighted)]]*$I$3</f>
        <v>0</v>
      </c>
      <c r="L1877" s="246">
        <f>_xlfn.XLOOKUP(FME_Ranking1[[#This Row],[FME ID]],FME_Input[FME_ID],FME_Input[RES_STRUCT100])</f>
        <v>18</v>
      </c>
      <c r="M1877" s="230">
        <f>(FME_Ranking1[[#This Row],[Res Structures Raw]]/L$2)*100</f>
        <v>1.2749500644558088E-2</v>
      </c>
      <c r="N1877" s="180">
        <f>FME_Ranking1[[#This Row],[Res Structures Score (Normalized, Unweighted)]]*$L$3</f>
        <v>1.2749500644558089E-3</v>
      </c>
      <c r="O1877" s="244">
        <f>_xlfn.XLOOKUP(FME_Ranking1[[#This Row],[FME ID]],FME_Input[FME_ID],FME_Input[POP100])</f>
        <v>76</v>
      </c>
      <c r="P1877" s="178">
        <f>(FME_Ranking1[[#This Row],[Pop Raw]]/$O$2)*100</f>
        <v>7.7805237111460094E-3</v>
      </c>
      <c r="Q1877" s="178">
        <f>FME_Ranking1[[#This Row],[Pop Score (Normalized, Unweighted)]]*$O$3</f>
        <v>1.1670785566719013E-3</v>
      </c>
      <c r="R1877" s="137">
        <f>_xlfn.XLOOKUP(FME_Ranking1[[#This Row],[FME ID]],FME_Input[FME_ID],FME_Input[CRITFAC100])</f>
        <v>0</v>
      </c>
      <c r="S1877" s="230">
        <f>(FME_Ranking1[[#This Row],[Critical Facilities Raw]]/$R$2)*100</f>
        <v>0</v>
      </c>
      <c r="T1877" s="180">
        <f>FME_Ranking1[[#This Row],[Critical Facilities Score (Normalized, Unweighted)]]*$R$3</f>
        <v>0</v>
      </c>
      <c r="U1877">
        <f>_xlfn.XLOOKUP(FME_Ranking1[[#This Row],[FME ID]],FME_Input[FME_ID],FME_Input[LWC])</f>
        <v>0</v>
      </c>
      <c r="V1877" s="178">
        <f>(FME_Ranking1[[#This Row],[LWC Raw]]/$U$2)*100</f>
        <v>0</v>
      </c>
      <c r="W1877" s="178">
        <f>FME_Ranking1[[#This Row],[LWC Score (Normalized, Unweighted)]]*$U$3</f>
        <v>0</v>
      </c>
      <c r="X1877" s="246">
        <f>_xlfn.XLOOKUP(FME_Ranking1[[#This Row],[FME ID]],FME_Input[FME_ID],FME_Input[ROADCLS])</f>
        <v>0</v>
      </c>
      <c r="Y1877" s="230">
        <f>(FME_Ranking1[[#This Row],[Closures Raw]]/$X$2)*100</f>
        <v>0</v>
      </c>
      <c r="Z1877" s="180">
        <f>FME_Ranking1[[#This Row],[Closures Score (Normalized, Unweighted)]]*$X$3</f>
        <v>0</v>
      </c>
      <c r="AA1877" s="253">
        <f>_xlfn.XLOOKUP(FME_Ranking1[[#This Row],[FME ID]],FME_Input[FME_ID],FME_Input[ROAD_MILES100])</f>
        <v>0.51114499568939209</v>
      </c>
      <c r="AB1877" s="178">
        <f>(FME_Ranking1[[#This Row],[Miles Raw]]/$AA$2)*100</f>
        <v>6.7206399117264544E-3</v>
      </c>
      <c r="AC1877" s="178">
        <f>FME_Ranking1[[#This Row],[Miles Score (Normalized, Unweighted)]]*$AA$3</f>
        <v>6.7206399117264546E-4</v>
      </c>
      <c r="AD1877" s="255">
        <f>_xlfn.XLOOKUP(FME_Ranking1[[#This Row],[FME ID]],FME_Input[FME_ID],FME_Input[FARMACRE100])</f>
        <v>0</v>
      </c>
      <c r="AE1877" s="230">
        <f>(FME_Ranking1[[#This Row],[Ag Land Raw]]/$AD$2)*100</f>
        <v>0</v>
      </c>
      <c r="AF1877" s="231">
        <f>FME_Ranking1[[#This Row],[Ag Land Score (Normalized, Unweighted)]]*$AD$3</f>
        <v>0</v>
      </c>
      <c r="AG187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3.1140926123003555E-3</v>
      </c>
      <c r="AH1877" s="406">
        <f t="shared" si="29"/>
        <v>1896</v>
      </c>
      <c r="AI187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3.1140926123003555E-3</v>
      </c>
      <c r="AJ1877" s="257">
        <f>FME_Ranking1[[#This Row],[Addition check]]-FME_Ranking1[[#This Row],[Weighted Score Based on Normalized Reported Factors]]</f>
        <v>0</v>
      </c>
      <c r="AK1877" s="178">
        <f>_xlfn.RANK.EQ(AI1877,$AI$6:$AI$2341,0)+COUNTIF($AI$6:AI1877,AI1877)-1</f>
        <v>1896</v>
      </c>
    </row>
    <row r="1878" spans="1:37" x14ac:dyDescent="0.25">
      <c r="A1878" t="s">
        <v>1240</v>
      </c>
      <c r="B1878">
        <f>_xlfn.XLOOKUP(FME_Ranking1[[#This Row],[FME ID]],FME_Input[FME_ID],FME_Input[RFPG_NUM])</f>
        <v>6</v>
      </c>
      <c r="C1878" t="str">
        <f>_xlfn.XLOOKUP(FME_Ranking1[[#This Row],[FME ID]],FME_Input[FME_ID],FME_Input[FME_NAME])</f>
        <v>City of Todd Mission Reduction of Floodplain Area Roads and Drainage Upgrade</v>
      </c>
      <c r="D1878" t="str">
        <f>_xlfn.XLOOKUP(FME_Ranking1[[#This Row],[FME ID]],FME_Input[FME_ID],FME_Input[DESCR])</f>
        <v>Analysis of potential upgrades to be made to floodplain-area roads and drainage to reduce flood risk.</v>
      </c>
      <c r="E1878" s="256">
        <f>_xlfn.XLOOKUP(FME_Ranking1[[#This Row],[FME ID]],FME_Input[FME_ID],FME_Input[FME_COST])</f>
        <v>220000</v>
      </c>
      <c r="F1878" t="str">
        <f>_xlfn.XLOOKUP(FME_Ranking1[[#This Row],[FME ID]],FME_Input[FME_ID],FME_Input[EMER_NEED])</f>
        <v>No</v>
      </c>
      <c r="G1878">
        <f>IF(FME_Ranking!F1878="Yes",100,0)</f>
        <v>0</v>
      </c>
      <c r="H1878">
        <f>FME_Ranking1[[#This Row],[Emergency Need Score (Normalized, Unweighted)]]*$F$3</f>
        <v>0</v>
      </c>
      <c r="I1878" s="246">
        <f>_xlfn.XLOOKUP(FME_Ranking1[[#This Row],[FME ID]],FME_Input[FME_ID],FME_Input[STRUCT_100])</f>
        <v>17</v>
      </c>
      <c r="J1878" s="178">
        <f>(FME_Ranking1[[#This Row],[Structures 100 Raw]]/I$2)*100</f>
        <v>9.1033714603949798E-3</v>
      </c>
      <c r="K1878" s="178">
        <f>FME_Ranking1[[#This Row],[Structures 100  Score (Normalized, Unweighted)]]*$I$3</f>
        <v>1.365505719059247E-3</v>
      </c>
      <c r="L1878" s="246">
        <f>_xlfn.XLOOKUP(FME_Ranking1[[#This Row],[FME ID]],FME_Input[FME_ID],FME_Input[RES_STRUCT100])</f>
        <v>11</v>
      </c>
      <c r="M1878" s="230">
        <f>(FME_Ranking1[[#This Row],[Res Structures Raw]]/L$2)*100</f>
        <v>7.7913615050077207E-3</v>
      </c>
      <c r="N1878" s="180">
        <f>FME_Ranking1[[#This Row],[Res Structures Score (Normalized, Unweighted)]]*$L$3</f>
        <v>7.7913615050077215E-4</v>
      </c>
      <c r="O1878" s="244">
        <f>_xlfn.XLOOKUP(FME_Ranking1[[#This Row],[FME ID]],FME_Input[FME_ID],FME_Input[POP100])</f>
        <v>19</v>
      </c>
      <c r="P1878" s="178">
        <f>(FME_Ranking1[[#This Row],[Pop Raw]]/$O$2)*100</f>
        <v>1.9451309277865023E-3</v>
      </c>
      <c r="Q1878" s="178">
        <f>FME_Ranking1[[#This Row],[Pop Score (Normalized, Unweighted)]]*$O$3</f>
        <v>2.9176963916797532E-4</v>
      </c>
      <c r="R1878" s="137">
        <f>_xlfn.XLOOKUP(FME_Ranking1[[#This Row],[FME ID]],FME_Input[FME_ID],FME_Input[CRITFAC100])</f>
        <v>0</v>
      </c>
      <c r="S1878" s="230">
        <f>(FME_Ranking1[[#This Row],[Critical Facilities Raw]]/$R$2)*100</f>
        <v>0</v>
      </c>
      <c r="T1878" s="180">
        <f>FME_Ranking1[[#This Row],[Critical Facilities Score (Normalized, Unweighted)]]*$R$3</f>
        <v>0</v>
      </c>
      <c r="U1878">
        <f>_xlfn.XLOOKUP(FME_Ranking1[[#This Row],[FME ID]],FME_Input[FME_ID],FME_Input[LWC])</f>
        <v>0</v>
      </c>
      <c r="V1878" s="178">
        <f>(FME_Ranking1[[#This Row],[LWC Raw]]/$U$2)*100</f>
        <v>0</v>
      </c>
      <c r="W1878" s="178">
        <f>FME_Ranking1[[#This Row],[LWC Score (Normalized, Unweighted)]]*$U$3</f>
        <v>0</v>
      </c>
      <c r="X1878" s="246">
        <f>_xlfn.XLOOKUP(FME_Ranking1[[#This Row],[FME ID]],FME_Input[FME_ID],FME_Input[ROADCLS])</f>
        <v>0</v>
      </c>
      <c r="Y1878" s="230">
        <f>(FME_Ranking1[[#This Row],[Closures Raw]]/$X$2)*100</f>
        <v>0</v>
      </c>
      <c r="Z1878" s="180">
        <f>FME_Ranking1[[#This Row],[Closures Score (Normalized, Unweighted)]]*$X$3</f>
        <v>0</v>
      </c>
      <c r="AA1878" s="253">
        <f>_xlfn.XLOOKUP(FME_Ranking1[[#This Row],[FME ID]],FME_Input[FME_ID],FME_Input[ROAD_MILES100])</f>
        <v>0</v>
      </c>
      <c r="AB1878" s="178">
        <f>(FME_Ranking1[[#This Row],[Miles Raw]]/$AA$2)*100</f>
        <v>0</v>
      </c>
      <c r="AC1878" s="178">
        <f>FME_Ranking1[[#This Row],[Miles Score (Normalized, Unweighted)]]*$AA$3</f>
        <v>0</v>
      </c>
      <c r="AD1878" s="255">
        <f>_xlfn.XLOOKUP(FME_Ranking1[[#This Row],[FME ID]],FME_Input[FME_ID],FME_Input[FARMACRE100])</f>
        <v>1.1160120964050291</v>
      </c>
      <c r="AE1878" s="230">
        <f>(FME_Ranking1[[#This Row],[Ag Land Raw]]/$AD$2)*100</f>
        <v>4.6019343023476378E-5</v>
      </c>
      <c r="AF1878" s="231">
        <f>FME_Ranking1[[#This Row],[Ag Land Score (Normalized, Unweighted)]]*$AD$3</f>
        <v>2.3009671511738192E-6</v>
      </c>
      <c r="AG187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2.4387124758791685E-3</v>
      </c>
      <c r="AH1878" s="406">
        <f t="shared" si="29"/>
        <v>1931</v>
      </c>
      <c r="AI187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2.4387124758791685E-3</v>
      </c>
      <c r="AJ1878" s="257">
        <f>FME_Ranking1[[#This Row],[Addition check]]-FME_Ranking1[[#This Row],[Weighted Score Based on Normalized Reported Factors]]</f>
        <v>0</v>
      </c>
      <c r="AK1878" s="178">
        <f>_xlfn.RANK.EQ(AI1878,$AI$6:$AI$2341,0)+COUNTIF($AI$6:AI1878,AI1878)-1</f>
        <v>1931</v>
      </c>
    </row>
    <row r="1879" spans="1:37" x14ac:dyDescent="0.25">
      <c r="A1879" t="s">
        <v>1795</v>
      </c>
      <c r="B1879">
        <f>_xlfn.XLOOKUP(FME_Ranking1[[#This Row],[FME ID]],FME_Input[FME_ID],FME_Input[RFPG_NUM])</f>
        <v>6</v>
      </c>
      <c r="C1879" t="str">
        <f>_xlfn.XLOOKUP(FME_Ranking1[[#This Row],[FME ID]],FME_Input[FME_ID],FME_Input[FME_NAME])</f>
        <v>City of Todd Mission Master Drainage Plan</v>
      </c>
      <c r="D1879" t="str">
        <f>_xlfn.XLOOKUP(FME_Ranking1[[#This Row],[FME ID]],FME_Input[FME_ID],FME_Input[DESCR])</f>
        <v>Study to develop Master Drainage Plan using future and existing land use and flood/storm water drainage needs including Atlas 14 rainfall.</v>
      </c>
      <c r="E1879" s="256">
        <f>_xlfn.XLOOKUP(FME_Ranking1[[#This Row],[FME ID]],FME_Input[FME_ID],FME_Input[FME_COST])</f>
        <v>190000</v>
      </c>
      <c r="F1879" t="str">
        <f>_xlfn.XLOOKUP(FME_Ranking1[[#This Row],[FME ID]],FME_Input[FME_ID],FME_Input[EMER_NEED])</f>
        <v>No</v>
      </c>
      <c r="G1879">
        <f>IF(FME_Ranking!F1879="Yes",100,0)</f>
        <v>0</v>
      </c>
      <c r="H1879">
        <f>FME_Ranking1[[#This Row],[Emergency Need Score (Normalized, Unweighted)]]*$F$3</f>
        <v>0</v>
      </c>
      <c r="I1879" s="246">
        <f>_xlfn.XLOOKUP(FME_Ranking1[[#This Row],[FME ID]],FME_Input[FME_ID],FME_Input[STRUCT_100])</f>
        <v>17</v>
      </c>
      <c r="J1879" s="178">
        <f>(FME_Ranking1[[#This Row],[Structures 100 Raw]]/I$2)*100</f>
        <v>9.1033714603949798E-3</v>
      </c>
      <c r="K1879" s="178">
        <f>FME_Ranking1[[#This Row],[Structures 100  Score (Normalized, Unweighted)]]*$I$3</f>
        <v>1.365505719059247E-3</v>
      </c>
      <c r="L1879" s="246">
        <f>_xlfn.XLOOKUP(FME_Ranking1[[#This Row],[FME ID]],FME_Input[FME_ID],FME_Input[RES_STRUCT100])</f>
        <v>11</v>
      </c>
      <c r="M1879" s="230">
        <f>(FME_Ranking1[[#This Row],[Res Structures Raw]]/L$2)*100</f>
        <v>7.7913615050077207E-3</v>
      </c>
      <c r="N1879" s="180">
        <f>FME_Ranking1[[#This Row],[Res Structures Score (Normalized, Unweighted)]]*$L$3</f>
        <v>7.7913615050077215E-4</v>
      </c>
      <c r="O1879" s="244">
        <f>_xlfn.XLOOKUP(FME_Ranking1[[#This Row],[FME ID]],FME_Input[FME_ID],FME_Input[POP100])</f>
        <v>19</v>
      </c>
      <c r="P1879" s="178">
        <f>(FME_Ranking1[[#This Row],[Pop Raw]]/$O$2)*100</f>
        <v>1.9451309277865023E-3</v>
      </c>
      <c r="Q1879" s="178">
        <f>FME_Ranking1[[#This Row],[Pop Score (Normalized, Unweighted)]]*$O$3</f>
        <v>2.9176963916797532E-4</v>
      </c>
      <c r="R1879" s="137">
        <f>_xlfn.XLOOKUP(FME_Ranking1[[#This Row],[FME ID]],FME_Input[FME_ID],FME_Input[CRITFAC100])</f>
        <v>0</v>
      </c>
      <c r="S1879" s="230">
        <f>(FME_Ranking1[[#This Row],[Critical Facilities Raw]]/$R$2)*100</f>
        <v>0</v>
      </c>
      <c r="T1879" s="180">
        <f>FME_Ranking1[[#This Row],[Critical Facilities Score (Normalized, Unweighted)]]*$R$3</f>
        <v>0</v>
      </c>
      <c r="U1879">
        <f>_xlfn.XLOOKUP(FME_Ranking1[[#This Row],[FME ID]],FME_Input[FME_ID],FME_Input[LWC])</f>
        <v>0</v>
      </c>
      <c r="V1879" s="178">
        <f>(FME_Ranking1[[#This Row],[LWC Raw]]/$U$2)*100</f>
        <v>0</v>
      </c>
      <c r="W1879" s="178">
        <f>FME_Ranking1[[#This Row],[LWC Score (Normalized, Unweighted)]]*$U$3</f>
        <v>0</v>
      </c>
      <c r="X1879" s="246">
        <f>_xlfn.XLOOKUP(FME_Ranking1[[#This Row],[FME ID]],FME_Input[FME_ID],FME_Input[ROADCLS])</f>
        <v>0</v>
      </c>
      <c r="Y1879" s="230">
        <f>(FME_Ranking1[[#This Row],[Closures Raw]]/$X$2)*100</f>
        <v>0</v>
      </c>
      <c r="Z1879" s="180">
        <f>FME_Ranking1[[#This Row],[Closures Score (Normalized, Unweighted)]]*$X$3</f>
        <v>0</v>
      </c>
      <c r="AA1879" s="253">
        <f>_xlfn.XLOOKUP(FME_Ranking1[[#This Row],[FME ID]],FME_Input[FME_ID],FME_Input[ROAD_MILES100])</f>
        <v>0</v>
      </c>
      <c r="AB1879" s="178">
        <f>(FME_Ranking1[[#This Row],[Miles Raw]]/$AA$2)*100</f>
        <v>0</v>
      </c>
      <c r="AC1879" s="178">
        <f>FME_Ranking1[[#This Row],[Miles Score (Normalized, Unweighted)]]*$AA$3</f>
        <v>0</v>
      </c>
      <c r="AD1879" s="255">
        <f>_xlfn.XLOOKUP(FME_Ranking1[[#This Row],[FME ID]],FME_Input[FME_ID],FME_Input[FARMACRE100])</f>
        <v>1.1160120964050291</v>
      </c>
      <c r="AE1879" s="230">
        <f>(FME_Ranking1[[#This Row],[Ag Land Raw]]/$AD$2)*100</f>
        <v>4.6019343023476378E-5</v>
      </c>
      <c r="AF1879" s="231">
        <f>FME_Ranking1[[#This Row],[Ag Land Score (Normalized, Unweighted)]]*$AD$3</f>
        <v>2.3009671511738192E-6</v>
      </c>
      <c r="AG187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2.4387124758791685E-3</v>
      </c>
      <c r="AH1879" s="406">
        <f t="shared" si="29"/>
        <v>1931</v>
      </c>
      <c r="AI187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2.4387124758791685E-3</v>
      </c>
      <c r="AJ1879" s="257">
        <f>FME_Ranking1[[#This Row],[Addition check]]-FME_Ranking1[[#This Row],[Weighted Score Based on Normalized Reported Factors]]</f>
        <v>0</v>
      </c>
      <c r="AK1879" s="178">
        <f>_xlfn.RANK.EQ(AI1879,$AI$6:$AI$2341,0)+COUNTIF($AI$6:AI1879,AI1879)-1</f>
        <v>1932</v>
      </c>
    </row>
    <row r="1880" spans="1:37" x14ac:dyDescent="0.25">
      <c r="A1880" t="s">
        <v>11453</v>
      </c>
      <c r="B1880">
        <f>_xlfn.XLOOKUP(FME_Ranking1[[#This Row],[FME ID]],FME_Input[FME_ID],FME_Input[RFPG_NUM])</f>
        <v>15</v>
      </c>
      <c r="C1880" t="str">
        <f>_xlfn.XLOOKUP(FME_Ranking1[[#This Row],[FME ID]],FME_Input[FME_ID],FME_Input[FME_NAME])</f>
        <v>Risk Area 4  Bibb &amp; Misty Willow storm drain</v>
      </c>
      <c r="D1880" t="str">
        <f>_xlfn.XLOOKUP(FME_Ranking1[[#This Row],[FME ID]],FME_Input[FME_ID],FME_Input[DESCR])</f>
        <v xml:space="preserve"> Project includes installing 6'x4' RCB along Misty Willow Drive from N Bibb Avenue to existing channel between N Bibb Avenue and Timber Valley and installing curb inlets on N Bibb Avenue and Misty Willow Drive.</v>
      </c>
      <c r="E1880" s="256">
        <f>_xlfn.XLOOKUP(FME_Ranking1[[#This Row],[FME ID]],FME_Input[FME_ID],FME_Input[FME_COST])</f>
        <v>47520</v>
      </c>
      <c r="F1880" t="str">
        <f>_xlfn.XLOOKUP(FME_Ranking1[[#This Row],[FME ID]],FME_Input[FME_ID],FME_Input[EMER_NEED])</f>
        <v>Yes</v>
      </c>
      <c r="G1880">
        <f>IF(FME_Ranking!F1880="Yes",100,0)</f>
        <v>100</v>
      </c>
      <c r="H1880">
        <f>FME_Ranking1[[#This Row],[Emergency Need Score (Normalized, Unweighted)]]*$F$3</f>
        <v>0</v>
      </c>
      <c r="I1880" s="246">
        <f>_xlfn.XLOOKUP(FME_Ranking1[[#This Row],[FME ID]],FME_Input[FME_ID],FME_Input[STRUCT_100])</f>
        <v>0</v>
      </c>
      <c r="J1880" s="178">
        <f>(FME_Ranking1[[#This Row],[Structures 100 Raw]]/I$2)*100</f>
        <v>0</v>
      </c>
      <c r="K1880" s="178">
        <f>FME_Ranking1[[#This Row],[Structures 100  Score (Normalized, Unweighted)]]*$I$3</f>
        <v>0</v>
      </c>
      <c r="L1880" s="246">
        <f>_xlfn.XLOOKUP(FME_Ranking1[[#This Row],[FME ID]],FME_Input[FME_ID],FME_Input[RES_STRUCT100])</f>
        <v>17</v>
      </c>
      <c r="M1880" s="230">
        <f>(FME_Ranking1[[#This Row],[Res Structures Raw]]/L$2)*100</f>
        <v>1.2041195053193749E-2</v>
      </c>
      <c r="N1880" s="180">
        <f>FME_Ranking1[[#This Row],[Res Structures Score (Normalized, Unweighted)]]*$L$3</f>
        <v>1.2041195053193749E-3</v>
      </c>
      <c r="O1880" s="244">
        <f>_xlfn.XLOOKUP(FME_Ranking1[[#This Row],[FME ID]],FME_Input[FME_ID],FME_Input[POP100])</f>
        <v>79</v>
      </c>
      <c r="P1880" s="178">
        <f>(FME_Ranking1[[#This Row],[Pop Raw]]/$O$2)*100</f>
        <v>8.0876496471122983E-3</v>
      </c>
      <c r="Q1880" s="178">
        <f>FME_Ranking1[[#This Row],[Pop Score (Normalized, Unweighted)]]*$O$3</f>
        <v>1.2131474470668446E-3</v>
      </c>
      <c r="R1880" s="137">
        <f>_xlfn.XLOOKUP(FME_Ranking1[[#This Row],[FME ID]],FME_Input[FME_ID],FME_Input[CRITFAC100])</f>
        <v>0</v>
      </c>
      <c r="S1880" s="230">
        <f>(FME_Ranking1[[#This Row],[Critical Facilities Raw]]/$R$2)*100</f>
        <v>0</v>
      </c>
      <c r="T1880" s="180">
        <f>FME_Ranking1[[#This Row],[Critical Facilities Score (Normalized, Unweighted)]]*$R$3</f>
        <v>0</v>
      </c>
      <c r="U1880">
        <f>_xlfn.XLOOKUP(FME_Ranking1[[#This Row],[FME ID]],FME_Input[FME_ID],FME_Input[LWC])</f>
        <v>0</v>
      </c>
      <c r="V1880" s="178">
        <f>(FME_Ranking1[[#This Row],[LWC Raw]]/$U$2)*100</f>
        <v>0</v>
      </c>
      <c r="W1880" s="178">
        <f>FME_Ranking1[[#This Row],[LWC Score (Normalized, Unweighted)]]*$U$3</f>
        <v>0</v>
      </c>
      <c r="X1880" s="246">
        <f>_xlfn.XLOOKUP(FME_Ranking1[[#This Row],[FME ID]],FME_Input[FME_ID],FME_Input[ROADCLS])</f>
        <v>0</v>
      </c>
      <c r="Y1880" s="230">
        <f>(FME_Ranking1[[#This Row],[Closures Raw]]/$X$2)*100</f>
        <v>0</v>
      </c>
      <c r="Z1880" s="180">
        <f>FME_Ranking1[[#This Row],[Closures Score (Normalized, Unweighted)]]*$X$3</f>
        <v>0</v>
      </c>
      <c r="AA1880" s="253">
        <f>_xlfn.XLOOKUP(FME_Ranking1[[#This Row],[FME ID]],FME_Input[FME_ID],FME_Input[ROAD_MILES100])</f>
        <v>0.55751597881317139</v>
      </c>
      <c r="AB1880" s="178">
        <f>(FME_Ranking1[[#This Row],[Miles Raw]]/$AA$2)*100</f>
        <v>7.3303351695414029E-3</v>
      </c>
      <c r="AC1880" s="178">
        <f>FME_Ranking1[[#This Row],[Miles Score (Normalized, Unweighted)]]*$AA$3</f>
        <v>7.3303351695414032E-4</v>
      </c>
      <c r="AD1880" s="255">
        <f>_xlfn.XLOOKUP(FME_Ranking1[[#This Row],[FME ID]],FME_Input[FME_ID],FME_Input[FARMACRE100])</f>
        <v>0</v>
      </c>
      <c r="AE1880" s="230">
        <f>(FME_Ranking1[[#This Row],[Ag Land Raw]]/$AD$2)*100</f>
        <v>0</v>
      </c>
      <c r="AF1880" s="231">
        <f>FME_Ranking1[[#This Row],[Ag Land Score (Normalized, Unweighted)]]*$AD$3</f>
        <v>0</v>
      </c>
      <c r="AG188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3.15030046934036E-3</v>
      </c>
      <c r="AH1880" s="406">
        <f t="shared" si="29"/>
        <v>1894</v>
      </c>
      <c r="AI188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3.15030046934036E-3</v>
      </c>
      <c r="AJ1880" s="257">
        <f>FME_Ranking1[[#This Row],[Addition check]]-FME_Ranking1[[#This Row],[Weighted Score Based on Normalized Reported Factors]]</f>
        <v>0</v>
      </c>
      <c r="AK1880" s="178">
        <f>_xlfn.RANK.EQ(AI1880,$AI$6:$AI$2341,0)+COUNTIF($AI$6:AI1880,AI1880)-1</f>
        <v>1894</v>
      </c>
    </row>
    <row r="1881" spans="1:37" x14ac:dyDescent="0.25">
      <c r="A1881" t="s">
        <v>11343</v>
      </c>
      <c r="B1881">
        <f>_xlfn.XLOOKUP(FME_Ranking1[[#This Row],[FME ID]],FME_Input[FME_ID],FME_Input[RFPG_NUM])</f>
        <v>15</v>
      </c>
      <c r="C1881" t="str">
        <f>_xlfn.XLOOKUP(FME_Ranking1[[#This Row],[FME ID]],FME_Input[FME_ID],FME_Input[FME_NAME])</f>
        <v>City of El Cenizo</v>
      </c>
      <c r="D1881" t="str">
        <f>_xlfn.XLOOKUP(FME_Ranking1[[#This Row],[FME ID]],FME_Input[FME_ID],FME_Input[DESCR])</f>
        <v>Develop Flood risk maps for the city of El Cenizo and develop CIP</v>
      </c>
      <c r="E1881" s="256">
        <f>_xlfn.XLOOKUP(FME_Ranking1[[#This Row],[FME ID]],FME_Input[FME_ID],FME_Input[FME_COST])</f>
        <v>250000</v>
      </c>
      <c r="F1881" t="str">
        <f>_xlfn.XLOOKUP(FME_Ranking1[[#This Row],[FME ID]],FME_Input[FME_ID],FME_Input[EMER_NEED])</f>
        <v>Yes</v>
      </c>
      <c r="G1881">
        <f>IF(FME_Ranking!F1881="Yes",100,0)</f>
        <v>100</v>
      </c>
      <c r="H1881">
        <f>FME_Ranking1[[#This Row],[Emergency Need Score (Normalized, Unweighted)]]*$F$3</f>
        <v>0</v>
      </c>
      <c r="I1881" s="246">
        <f>_xlfn.XLOOKUP(FME_Ranking1[[#This Row],[FME ID]],FME_Input[FME_ID],FME_Input[STRUCT_100])</f>
        <v>0</v>
      </c>
      <c r="J1881" s="178">
        <f>(FME_Ranking1[[#This Row],[Structures 100 Raw]]/I$2)*100</f>
        <v>0</v>
      </c>
      <c r="K1881" s="178">
        <f>FME_Ranking1[[#This Row],[Structures 100  Score (Normalized, Unweighted)]]*$I$3</f>
        <v>0</v>
      </c>
      <c r="L1881" s="246">
        <f>_xlfn.XLOOKUP(FME_Ranking1[[#This Row],[FME ID]],FME_Input[FME_ID],FME_Input[RES_STRUCT100])</f>
        <v>16</v>
      </c>
      <c r="M1881" s="230">
        <f>(FME_Ranking1[[#This Row],[Res Structures Raw]]/L$2)*100</f>
        <v>1.1332889461829412E-2</v>
      </c>
      <c r="N1881" s="180">
        <f>FME_Ranking1[[#This Row],[Res Structures Score (Normalized, Unweighted)]]*$L$3</f>
        <v>1.1332889461829413E-3</v>
      </c>
      <c r="O1881" s="244">
        <f>_xlfn.XLOOKUP(FME_Ranking1[[#This Row],[FME ID]],FME_Input[FME_ID],FME_Input[POP100])</f>
        <v>83</v>
      </c>
      <c r="P1881" s="178">
        <f>(FME_Ranking1[[#This Row],[Pop Raw]]/$O$2)*100</f>
        <v>8.497150895067352E-3</v>
      </c>
      <c r="Q1881" s="178">
        <f>FME_Ranking1[[#This Row],[Pop Score (Normalized, Unweighted)]]*$O$3</f>
        <v>1.2745726342601028E-3</v>
      </c>
      <c r="R1881" s="137">
        <f>_xlfn.XLOOKUP(FME_Ranking1[[#This Row],[FME ID]],FME_Input[FME_ID],FME_Input[CRITFAC100])</f>
        <v>0</v>
      </c>
      <c r="S1881" s="230">
        <f>(FME_Ranking1[[#This Row],[Critical Facilities Raw]]/$R$2)*100</f>
        <v>0</v>
      </c>
      <c r="T1881" s="180">
        <f>FME_Ranking1[[#This Row],[Critical Facilities Score (Normalized, Unweighted)]]*$R$3</f>
        <v>0</v>
      </c>
      <c r="U1881">
        <f>_xlfn.XLOOKUP(FME_Ranking1[[#This Row],[FME ID]],FME_Input[FME_ID],FME_Input[LWC])</f>
        <v>0</v>
      </c>
      <c r="V1881" s="178">
        <f>(FME_Ranking1[[#This Row],[LWC Raw]]/$U$2)*100</f>
        <v>0</v>
      </c>
      <c r="W1881" s="178">
        <f>FME_Ranking1[[#This Row],[LWC Score (Normalized, Unweighted)]]*$U$3</f>
        <v>0</v>
      </c>
      <c r="X1881" s="246">
        <f>_xlfn.XLOOKUP(FME_Ranking1[[#This Row],[FME ID]],FME_Input[FME_ID],FME_Input[ROADCLS])</f>
        <v>0</v>
      </c>
      <c r="Y1881" s="230">
        <f>(FME_Ranking1[[#This Row],[Closures Raw]]/$X$2)*100</f>
        <v>0</v>
      </c>
      <c r="Z1881" s="180">
        <f>FME_Ranking1[[#This Row],[Closures Score (Normalized, Unweighted)]]*$X$3</f>
        <v>0</v>
      </c>
      <c r="AA1881" s="253">
        <f>_xlfn.XLOOKUP(FME_Ranking1[[#This Row],[FME ID]],FME_Input[FME_ID],FME_Input[ROAD_MILES100])</f>
        <v>1.1154700517654419</v>
      </c>
      <c r="AB1881" s="178">
        <f>(FME_Ranking1[[#This Row],[Miles Raw]]/$AA$2)*100</f>
        <v>1.4666430491253234E-2</v>
      </c>
      <c r="AC1881" s="178">
        <f>FME_Ranking1[[#This Row],[Miles Score (Normalized, Unweighted)]]*$AA$3</f>
        <v>1.4666430491253235E-3</v>
      </c>
      <c r="AD1881" s="255">
        <f>_xlfn.XLOOKUP(FME_Ranking1[[#This Row],[FME ID]],FME_Input[FME_ID],FME_Input[FARMACRE100])</f>
        <v>0</v>
      </c>
      <c r="AE1881" s="230">
        <f>(FME_Ranking1[[#This Row],[Ag Land Raw]]/$AD$2)*100</f>
        <v>0</v>
      </c>
      <c r="AF1881" s="231">
        <f>FME_Ranking1[[#This Row],[Ag Land Score (Normalized, Unweighted)]]*$AD$3</f>
        <v>0</v>
      </c>
      <c r="AG188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3.8745046295683679E-3</v>
      </c>
      <c r="AH1881" s="406">
        <f t="shared" si="29"/>
        <v>1863</v>
      </c>
      <c r="AI188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3.8745046295683679E-3</v>
      </c>
      <c r="AJ1881" s="257">
        <f>FME_Ranking1[[#This Row],[Addition check]]-FME_Ranking1[[#This Row],[Weighted Score Based on Normalized Reported Factors]]</f>
        <v>0</v>
      </c>
      <c r="AK1881" s="178">
        <f>_xlfn.RANK.EQ(AI1881,$AI$6:$AI$2341,0)+COUNTIF($AI$6:AI1881,AI1881)-1</f>
        <v>1863</v>
      </c>
    </row>
    <row r="1882" spans="1:37" x14ac:dyDescent="0.25">
      <c r="A1882" t="s">
        <v>406</v>
      </c>
      <c r="B1882">
        <f>_xlfn.XLOOKUP(FME_Ranking1[[#This Row],[FME ID]],FME_Input[FME_ID],FME_Input[RFPG_NUM])</f>
        <v>10</v>
      </c>
      <c r="C1882" t="str">
        <f>_xlfn.XLOOKUP(FME_Ranking1[[#This Row],[FME ID]],FME_Input[FME_ID],FME_Input[FME_NAME])</f>
        <v>City-wide Drainage Master Plan</v>
      </c>
      <c r="D1882" t="str">
        <f>_xlfn.XLOOKUP(FME_Ranking1[[#This Row],[FME ID]],FME_Input[FME_ID],FME_Input[DESCR])</f>
        <v xml:space="preserve">Develop a drainage master plan with a focus on local drainage issues using Atlas 14 rainfall </v>
      </c>
      <c r="E1882" s="256">
        <f>_xlfn.XLOOKUP(FME_Ranking1[[#This Row],[FME ID]],FME_Input[FME_ID],FME_Input[FME_COST])</f>
        <v>250000</v>
      </c>
      <c r="F1882" t="str">
        <f>_xlfn.XLOOKUP(FME_Ranking1[[#This Row],[FME ID]],FME_Input[FME_ID],FME_Input[EMER_NEED])</f>
        <v>No</v>
      </c>
      <c r="G1882">
        <f>IF(FME_Ranking!F1882="Yes",100,0)</f>
        <v>0</v>
      </c>
      <c r="H1882">
        <f>FME_Ranking1[[#This Row],[Emergency Need Score (Normalized, Unweighted)]]*$F$3</f>
        <v>0</v>
      </c>
      <c r="I1882" s="246">
        <f>_xlfn.XLOOKUP(FME_Ranking1[[#This Row],[FME ID]],FME_Input[FME_ID],FME_Input[STRUCT_100])</f>
        <v>17</v>
      </c>
      <c r="J1882" s="178">
        <f>(FME_Ranking1[[#This Row],[Structures 100 Raw]]/I$2)*100</f>
        <v>9.1033714603949798E-3</v>
      </c>
      <c r="K1882" s="178">
        <f>FME_Ranking1[[#This Row],[Structures 100  Score (Normalized, Unweighted)]]*$I$3</f>
        <v>1.365505719059247E-3</v>
      </c>
      <c r="L1882" s="246">
        <f>_xlfn.XLOOKUP(FME_Ranking1[[#This Row],[FME ID]],FME_Input[FME_ID],FME_Input[RES_STRUCT100])</f>
        <v>7</v>
      </c>
      <c r="M1882" s="230">
        <f>(FME_Ranking1[[#This Row],[Res Structures Raw]]/L$2)*100</f>
        <v>4.9581391395503681E-3</v>
      </c>
      <c r="N1882" s="180">
        <f>FME_Ranking1[[#This Row],[Res Structures Score (Normalized, Unweighted)]]*$L$3</f>
        <v>4.9581391395503687E-4</v>
      </c>
      <c r="O1882" s="244">
        <f>_xlfn.XLOOKUP(FME_Ranking1[[#This Row],[FME ID]],FME_Input[FME_ID],FME_Input[POP100])</f>
        <v>17</v>
      </c>
      <c r="P1882" s="178">
        <f>(FME_Ranking1[[#This Row],[Pop Raw]]/$O$2)*100</f>
        <v>1.7403803038089759E-3</v>
      </c>
      <c r="Q1882" s="178">
        <f>FME_Ranking1[[#This Row],[Pop Score (Normalized, Unweighted)]]*$O$3</f>
        <v>2.6105704557134637E-4</v>
      </c>
      <c r="R1882" s="137">
        <f>_xlfn.XLOOKUP(FME_Ranking1[[#This Row],[FME ID]],FME_Input[FME_ID],FME_Input[CRITFAC100])</f>
        <v>0</v>
      </c>
      <c r="S1882" s="230">
        <f>(FME_Ranking1[[#This Row],[Critical Facilities Raw]]/$R$2)*100</f>
        <v>0</v>
      </c>
      <c r="T1882" s="180">
        <f>FME_Ranking1[[#This Row],[Critical Facilities Score (Normalized, Unweighted)]]*$R$3</f>
        <v>0</v>
      </c>
      <c r="U1882">
        <f>_xlfn.XLOOKUP(FME_Ranking1[[#This Row],[FME ID]],FME_Input[FME_ID],FME_Input[LWC])</f>
        <v>0</v>
      </c>
      <c r="V1882" s="178">
        <f>(FME_Ranking1[[#This Row],[LWC Raw]]/$U$2)*100</f>
        <v>0</v>
      </c>
      <c r="W1882" s="178">
        <f>FME_Ranking1[[#This Row],[LWC Score (Normalized, Unweighted)]]*$U$3</f>
        <v>0</v>
      </c>
      <c r="X1882" s="246">
        <f>_xlfn.XLOOKUP(FME_Ranking1[[#This Row],[FME ID]],FME_Input[FME_ID],FME_Input[ROADCLS])</f>
        <v>0</v>
      </c>
      <c r="Y1882" s="230">
        <f>(FME_Ranking1[[#This Row],[Closures Raw]]/$X$2)*100</f>
        <v>0</v>
      </c>
      <c r="Z1882" s="180">
        <f>FME_Ranking1[[#This Row],[Closures Score (Normalized, Unweighted)]]*$X$3</f>
        <v>0</v>
      </c>
      <c r="AA1882" s="253">
        <f>_xlfn.XLOOKUP(FME_Ranking1[[#This Row],[FME ID]],FME_Input[FME_ID],FME_Input[ROAD_MILES100])</f>
        <v>1.0524430274963379</v>
      </c>
      <c r="AB1882" s="178">
        <f>(FME_Ranking1[[#This Row],[Miles Raw]]/$AA$2)*100</f>
        <v>1.3837738166389526E-2</v>
      </c>
      <c r="AC1882" s="178">
        <f>FME_Ranking1[[#This Row],[Miles Score (Normalized, Unweighted)]]*$AA$3</f>
        <v>1.3837738166389527E-3</v>
      </c>
      <c r="AD1882" s="255">
        <f>_xlfn.XLOOKUP(FME_Ranking1[[#This Row],[FME ID]],FME_Input[FME_ID],FME_Input[FARMACRE100])</f>
        <v>133.90068054199219</v>
      </c>
      <c r="AE1882" s="230">
        <f>(FME_Ranking1[[#This Row],[Ag Land Raw]]/$AD$2)*100</f>
        <v>5.5214646586612924E-3</v>
      </c>
      <c r="AF1882" s="231">
        <f>FME_Ranking1[[#This Row],[Ag Land Score (Normalized, Unweighted)]]*$AD$3</f>
        <v>2.7607323293306465E-4</v>
      </c>
      <c r="AG188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3.7822237281576478E-3</v>
      </c>
      <c r="AH1882" s="406">
        <f t="shared" si="29"/>
        <v>1865</v>
      </c>
      <c r="AI188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3.7822237281576478E-3</v>
      </c>
      <c r="AJ1882" s="257">
        <f>FME_Ranking1[[#This Row],[Addition check]]-FME_Ranking1[[#This Row],[Weighted Score Based on Normalized Reported Factors]]</f>
        <v>0</v>
      </c>
      <c r="AK1882" s="178">
        <f>_xlfn.RANK.EQ(AI1882,$AI$6:$AI$2341,0)+COUNTIF($AI$6:AI1882,AI1882)-1</f>
        <v>1865</v>
      </c>
    </row>
    <row r="1883" spans="1:37" x14ac:dyDescent="0.25">
      <c r="A1883" t="s">
        <v>10193</v>
      </c>
      <c r="B1883">
        <f>_xlfn.XLOOKUP(FME_Ranking1[[#This Row],[FME ID]],FME_Input[FME_ID],FME_Input[RFPG_NUM])</f>
        <v>13</v>
      </c>
      <c r="C1883" t="str">
        <f>_xlfn.XLOOKUP(FME_Ranking1[[#This Row],[FME ID]],FME_Input[FME_ID],FME_Input[FME_NAME])</f>
        <v>Improvements to San Diego Levee Outfall System</v>
      </c>
      <c r="D1883" t="str">
        <f>_xlfn.XLOOKUP(FME_Ranking1[[#This Row],[FME ID]],FME_Input[FME_ID],FME_Input[DESCR])</f>
        <v>Improvements to outfall structures and appurtenances along San Diego Levee System</v>
      </c>
      <c r="E1883" s="256">
        <f>_xlfn.XLOOKUP(FME_Ranking1[[#This Row],[FME ID]],FME_Input[FME_ID],FME_Input[FME_COST])</f>
        <v>250000</v>
      </c>
      <c r="F1883" t="str">
        <f>_xlfn.XLOOKUP(FME_Ranking1[[#This Row],[FME ID]],FME_Input[FME_ID],FME_Input[EMER_NEED])</f>
        <v>Yes</v>
      </c>
      <c r="G1883">
        <f>IF(FME_Ranking!F1883="Yes",100,0)</f>
        <v>100</v>
      </c>
      <c r="H1883">
        <f>FME_Ranking1[[#This Row],[Emergency Need Score (Normalized, Unweighted)]]*$F$3</f>
        <v>0</v>
      </c>
      <c r="I1883" s="246">
        <f>_xlfn.XLOOKUP(FME_Ranking1[[#This Row],[FME ID]],FME_Input[FME_ID],FME_Input[STRUCT_100])</f>
        <v>2</v>
      </c>
      <c r="J1883" s="178">
        <f>(FME_Ranking1[[#This Row],[Structures 100 Raw]]/I$2)*100</f>
        <v>1.0709848776935271E-3</v>
      </c>
      <c r="K1883" s="178">
        <f>FME_Ranking1[[#This Row],[Structures 100  Score (Normalized, Unweighted)]]*$I$3</f>
        <v>1.6064773165402907E-4</v>
      </c>
      <c r="L1883" s="246">
        <f>_xlfn.XLOOKUP(FME_Ranking1[[#This Row],[FME ID]],FME_Input[FME_ID],FME_Input[RES_STRUCT100])</f>
        <v>1</v>
      </c>
      <c r="M1883" s="230">
        <f>(FME_Ranking1[[#This Row],[Res Structures Raw]]/L$2)*100</f>
        <v>7.0830559136433825E-4</v>
      </c>
      <c r="N1883" s="180">
        <f>FME_Ranking1[[#This Row],[Res Structures Score (Normalized, Unweighted)]]*$L$3</f>
        <v>7.0830559136433833E-5</v>
      </c>
      <c r="O1883" s="244">
        <f>_xlfn.XLOOKUP(FME_Ranking1[[#This Row],[FME ID]],FME_Input[FME_ID],FME_Input[POP100])</f>
        <v>2</v>
      </c>
      <c r="P1883" s="178">
        <f>(FME_Ranking1[[#This Row],[Pop Raw]]/$O$2)*100</f>
        <v>2.0475062397752657E-4</v>
      </c>
      <c r="Q1883" s="178">
        <f>FME_Ranking1[[#This Row],[Pop Score (Normalized, Unweighted)]]*$O$3</f>
        <v>3.0712593596628984E-5</v>
      </c>
      <c r="R1883" s="137">
        <f>_xlfn.XLOOKUP(FME_Ranking1[[#This Row],[FME ID]],FME_Input[FME_ID],FME_Input[CRITFAC100])</f>
        <v>0</v>
      </c>
      <c r="S1883" s="230">
        <f>(FME_Ranking1[[#This Row],[Critical Facilities Raw]]/$R$2)*100</f>
        <v>0</v>
      </c>
      <c r="T1883" s="180">
        <f>FME_Ranking1[[#This Row],[Critical Facilities Score (Normalized, Unweighted)]]*$R$3</f>
        <v>0</v>
      </c>
      <c r="U1883">
        <f>_xlfn.XLOOKUP(FME_Ranking1[[#This Row],[FME ID]],FME_Input[FME_ID],FME_Input[LWC])</f>
        <v>0</v>
      </c>
      <c r="V1883" s="178">
        <f>(FME_Ranking1[[#This Row],[LWC Raw]]/$U$2)*100</f>
        <v>0</v>
      </c>
      <c r="W1883" s="178">
        <f>FME_Ranking1[[#This Row],[LWC Score (Normalized, Unweighted)]]*$U$3</f>
        <v>0</v>
      </c>
      <c r="X1883" s="246">
        <f>_xlfn.XLOOKUP(FME_Ranking1[[#This Row],[FME ID]],FME_Input[FME_ID],FME_Input[ROADCLS])</f>
        <v>4</v>
      </c>
      <c r="Y1883" s="230">
        <f>(FME_Ranking1[[#This Row],[Closures Raw]]/$X$2)*100</f>
        <v>4.2056566081379455E-2</v>
      </c>
      <c r="Z1883" s="180">
        <f>FME_Ranking1[[#This Row],[Closures Score (Normalized, Unweighted)]]*$X$3</f>
        <v>2.1028283040689729E-3</v>
      </c>
      <c r="AA1883" s="253">
        <f>_xlfn.XLOOKUP(FME_Ranking1[[#This Row],[FME ID]],FME_Input[FME_ID],FME_Input[ROAD_MILES100])</f>
        <v>0.1487686634063721</v>
      </c>
      <c r="AB1883" s="178">
        <f>(FME_Ranking1[[#This Row],[Miles Raw]]/$AA$2)*100</f>
        <v>1.9560410946693977E-3</v>
      </c>
      <c r="AC1883" s="178">
        <f>FME_Ranking1[[#This Row],[Miles Score (Normalized, Unweighted)]]*$AA$3</f>
        <v>1.9560410946693979E-4</v>
      </c>
      <c r="AD1883" s="255">
        <f>_xlfn.XLOOKUP(FME_Ranking1[[#This Row],[FME ID]],FME_Input[FME_ID],FME_Input[FARMACRE100])</f>
        <v>0.60355603694915771</v>
      </c>
      <c r="AE1883" s="230">
        <f>(FME_Ranking1[[#This Row],[Ag Land Raw]]/$AD$2)*100</f>
        <v>2.4887949142957074E-5</v>
      </c>
      <c r="AF1883" s="231">
        <f>FME_Ranking1[[#This Row],[Ag Land Score (Normalized, Unweighted)]]*$AD$3</f>
        <v>1.2443974571478537E-6</v>
      </c>
      <c r="AG188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2.5618676953801526E-3</v>
      </c>
      <c r="AH1883" s="406">
        <f t="shared" si="29"/>
        <v>1927</v>
      </c>
      <c r="AI188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2.5618676953801526E-3</v>
      </c>
      <c r="AJ1883" s="257">
        <f>FME_Ranking1[[#This Row],[Addition check]]-FME_Ranking1[[#This Row],[Weighted Score Based on Normalized Reported Factors]]</f>
        <v>0</v>
      </c>
      <c r="AK1883" s="178">
        <f>_xlfn.RANK.EQ(AI1883,$AI$6:$AI$2341,0)+COUNTIF($AI$6:AI1883,AI1883)-1</f>
        <v>1927</v>
      </c>
    </row>
    <row r="1884" spans="1:37" x14ac:dyDescent="0.25">
      <c r="A1884" t="s">
        <v>6413</v>
      </c>
      <c r="B1884">
        <f>_xlfn.XLOOKUP(FME_Ranking1[[#This Row],[FME ID]],FME_Input[FME_ID],FME_Input[RFPG_NUM])</f>
        <v>5</v>
      </c>
      <c r="C1884" t="str">
        <f>_xlfn.XLOOKUP(FME_Ranking1[[#This Row],[FME ID]],FME_Input[FME_ID],FME_Input[FME_NAME])</f>
        <v>Hardin County Black Creek Detention Pond</v>
      </c>
      <c r="D1884" t="str">
        <f>_xlfn.XLOOKUP(FME_Ranking1[[#This Row],[FME ID]],FME_Input[FME_ID],FME_Input[DESCR])</f>
        <v xml:space="preserve">H&amp;H Study to develop alternatives for detention at Black Creek. </v>
      </c>
      <c r="E1884" s="256">
        <f>_xlfn.XLOOKUP(FME_Ranking1[[#This Row],[FME ID]],FME_Input[FME_ID],FME_Input[FME_COST])</f>
        <v>150000</v>
      </c>
      <c r="F1884" t="str">
        <f>_xlfn.XLOOKUP(FME_Ranking1[[#This Row],[FME ID]],FME_Input[FME_ID],FME_Input[EMER_NEED])</f>
        <v>Yes</v>
      </c>
      <c r="G1884">
        <f>IF(FME_Ranking!F1884="Yes",100,0)</f>
        <v>100</v>
      </c>
      <c r="H1884">
        <f>FME_Ranking1[[#This Row],[Emergency Need Score (Normalized, Unweighted)]]*$F$3</f>
        <v>0</v>
      </c>
      <c r="I1884" s="246">
        <f>_xlfn.XLOOKUP(FME_Ranking1[[#This Row],[FME ID]],FME_Input[FME_ID],FME_Input[STRUCT_100])</f>
        <v>23</v>
      </c>
      <c r="J1884" s="178">
        <f>(FME_Ranking1[[#This Row],[Structures 100 Raw]]/I$2)*100</f>
        <v>1.231632609347556E-2</v>
      </c>
      <c r="K1884" s="178">
        <f>FME_Ranking1[[#This Row],[Structures 100  Score (Normalized, Unweighted)]]*$I$3</f>
        <v>1.8474489140213339E-3</v>
      </c>
      <c r="L1884" s="246">
        <f>_xlfn.XLOOKUP(FME_Ranking1[[#This Row],[FME ID]],FME_Input[FME_ID],FME_Input[RES_STRUCT100])</f>
        <v>3</v>
      </c>
      <c r="M1884" s="230">
        <f>(FME_Ranking1[[#This Row],[Res Structures Raw]]/L$2)*100</f>
        <v>2.1249167740930146E-3</v>
      </c>
      <c r="N1884" s="180">
        <f>FME_Ranking1[[#This Row],[Res Structures Score (Normalized, Unweighted)]]*$L$3</f>
        <v>2.1249167740930149E-4</v>
      </c>
      <c r="O1884" s="244">
        <f>_xlfn.XLOOKUP(FME_Ranking1[[#This Row],[FME ID]],FME_Input[FME_ID],FME_Input[POP100])</f>
        <v>17</v>
      </c>
      <c r="P1884" s="178">
        <f>(FME_Ranking1[[#This Row],[Pop Raw]]/$O$2)*100</f>
        <v>1.7403803038089759E-3</v>
      </c>
      <c r="Q1884" s="178">
        <f>FME_Ranking1[[#This Row],[Pop Score (Normalized, Unweighted)]]*$O$3</f>
        <v>2.6105704557134637E-4</v>
      </c>
      <c r="R1884" s="137">
        <f>_xlfn.XLOOKUP(FME_Ranking1[[#This Row],[FME ID]],FME_Input[FME_ID],FME_Input[CRITFAC100])</f>
        <v>0</v>
      </c>
      <c r="S1884" s="230">
        <f>(FME_Ranking1[[#This Row],[Critical Facilities Raw]]/$R$2)*100</f>
        <v>0</v>
      </c>
      <c r="T1884" s="180">
        <f>FME_Ranking1[[#This Row],[Critical Facilities Score (Normalized, Unweighted)]]*$R$3</f>
        <v>0</v>
      </c>
      <c r="U1884">
        <f>_xlfn.XLOOKUP(FME_Ranking1[[#This Row],[FME ID]],FME_Input[FME_ID],FME_Input[LWC])</f>
        <v>0</v>
      </c>
      <c r="V1884" s="178">
        <f>(FME_Ranking1[[#This Row],[LWC Raw]]/$U$2)*100</f>
        <v>0</v>
      </c>
      <c r="W1884" s="178">
        <f>FME_Ranking1[[#This Row],[LWC Score (Normalized, Unweighted)]]*$U$3</f>
        <v>0</v>
      </c>
      <c r="X1884" s="246">
        <f>_xlfn.XLOOKUP(FME_Ranking1[[#This Row],[FME ID]],FME_Input[FME_ID],FME_Input[ROADCLS])</f>
        <v>0</v>
      </c>
      <c r="Y1884" s="230">
        <f>(FME_Ranking1[[#This Row],[Closures Raw]]/$X$2)*100</f>
        <v>0</v>
      </c>
      <c r="Z1884" s="180">
        <f>FME_Ranking1[[#This Row],[Closures Score (Normalized, Unweighted)]]*$X$3</f>
        <v>0</v>
      </c>
      <c r="AA1884" s="253">
        <f>_xlfn.XLOOKUP(FME_Ranking1[[#This Row],[FME ID]],FME_Input[FME_ID],FME_Input[ROAD_MILES100])</f>
        <v>7.6511960029602051</v>
      </c>
      <c r="AB1884" s="178">
        <f>(FME_Ranking1[[#This Row],[Miles Raw]]/$AA$2)*100</f>
        <v>0.10059950437465159</v>
      </c>
      <c r="AC1884" s="178">
        <f>FME_Ranking1[[#This Row],[Miles Score (Normalized, Unweighted)]]*$AA$3</f>
        <v>1.0059950437465159E-2</v>
      </c>
      <c r="AD1884" s="255">
        <f>_xlfn.XLOOKUP(FME_Ranking1[[#This Row],[FME ID]],FME_Input[FME_ID],FME_Input[FARMACRE100])</f>
        <v>14.945268630981451</v>
      </c>
      <c r="AE1884" s="230">
        <f>(FME_Ranking1[[#This Row],[Ag Land Raw]]/$AD$2)*100</f>
        <v>6.1627597579150869E-4</v>
      </c>
      <c r="AF1884" s="231">
        <f>FME_Ranking1[[#This Row],[Ag Land Score (Normalized, Unweighted)]]*$AD$3</f>
        <v>3.0813798789575437E-5</v>
      </c>
      <c r="AG188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1.2411761873256717E-2</v>
      </c>
      <c r="AH1884" s="406">
        <f t="shared" si="29"/>
        <v>1690</v>
      </c>
      <c r="AI188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1.2411761873256717E-2</v>
      </c>
      <c r="AJ1884" s="257">
        <f>FME_Ranking1[[#This Row],[Addition check]]-FME_Ranking1[[#This Row],[Weighted Score Based on Normalized Reported Factors]]</f>
        <v>0</v>
      </c>
      <c r="AK1884" s="178">
        <f>_xlfn.RANK.EQ(AI1884,$AI$6:$AI$2341,0)+COUNTIF($AI$6:AI1884,AI1884)-1</f>
        <v>1690</v>
      </c>
    </row>
    <row r="1885" spans="1:37" x14ac:dyDescent="0.25">
      <c r="A1885" t="s">
        <v>8750</v>
      </c>
      <c r="B1885">
        <f>_xlfn.XLOOKUP(FME_Ranking1[[#This Row],[FME ID]],FME_Input[FME_ID],FME_Input[RFPG_NUM])</f>
        <v>11</v>
      </c>
      <c r="C1885" t="str">
        <f>_xlfn.XLOOKUP(FME_Ranking1[[#This Row],[FME ID]],FME_Input[FME_ID],FME_Input[FME_NAME])</f>
        <v>City of New Braunfels South Guadalupe Tributary Watershed Project Planning</v>
      </c>
      <c r="D1885" t="str">
        <f>_xlfn.XLOOKUP(FME_Ranking1[[#This Row],[FME ID]],FME_Input[FME_ID],FME_Input[DESCR])</f>
        <v>Study to analyze drainage conveyance and flooding issues within the South Guadalupe River tributary area (Mesquite/Eastman/Oleander/Walnut Heights) and project planning for solutions within project area.</v>
      </c>
      <c r="E1885" s="256">
        <f>_xlfn.XLOOKUP(FME_Ranking1[[#This Row],[FME ID]],FME_Input[FME_ID],FME_Input[FME_COST])</f>
        <v>168000</v>
      </c>
      <c r="F1885" t="str">
        <f>_xlfn.XLOOKUP(FME_Ranking1[[#This Row],[FME ID]],FME_Input[FME_ID],FME_Input[EMER_NEED])</f>
        <v>No</v>
      </c>
      <c r="G1885">
        <f>IF(FME_Ranking!F1885="Yes",100,0)</f>
        <v>0</v>
      </c>
      <c r="H1885">
        <f>FME_Ranking1[[#This Row],[Emergency Need Score (Normalized, Unweighted)]]*$F$3</f>
        <v>0</v>
      </c>
      <c r="I1885" s="246">
        <f>_xlfn.XLOOKUP(FME_Ranking1[[#This Row],[FME ID]],FME_Input[FME_ID],FME_Input[STRUCT_100])</f>
        <v>12</v>
      </c>
      <c r="J1885" s="178">
        <f>(FME_Ranking1[[#This Row],[Structures 100 Raw]]/I$2)*100</f>
        <v>6.4259092661611613E-3</v>
      </c>
      <c r="K1885" s="178">
        <f>FME_Ranking1[[#This Row],[Structures 100  Score (Normalized, Unweighted)]]*$I$3</f>
        <v>9.6388638992417417E-4</v>
      </c>
      <c r="L1885" s="246">
        <f>_xlfn.XLOOKUP(FME_Ranking1[[#This Row],[FME ID]],FME_Input[FME_ID],FME_Input[RES_STRUCT100])</f>
        <v>12</v>
      </c>
      <c r="M1885" s="230">
        <f>(FME_Ranking1[[#This Row],[Res Structures Raw]]/L$2)*100</f>
        <v>8.4996670963720586E-3</v>
      </c>
      <c r="N1885" s="180">
        <f>FME_Ranking1[[#This Row],[Res Structures Score (Normalized, Unweighted)]]*$L$3</f>
        <v>8.4996670963720595E-4</v>
      </c>
      <c r="O1885" s="244">
        <f>_xlfn.XLOOKUP(FME_Ranking1[[#This Row],[FME ID]],FME_Input[FME_ID],FME_Input[POP100])</f>
        <v>35</v>
      </c>
      <c r="P1885" s="178">
        <f>(FME_Ranking1[[#This Row],[Pop Raw]]/$O$2)*100</f>
        <v>3.5831359196067153E-3</v>
      </c>
      <c r="Q1885" s="178">
        <f>FME_Ranking1[[#This Row],[Pop Score (Normalized, Unweighted)]]*$O$3</f>
        <v>5.374703879410073E-4</v>
      </c>
      <c r="R1885" s="137">
        <f>_xlfn.XLOOKUP(FME_Ranking1[[#This Row],[FME ID]],FME_Input[FME_ID],FME_Input[CRITFAC100])</f>
        <v>0</v>
      </c>
      <c r="S1885" s="230">
        <f>(FME_Ranking1[[#This Row],[Critical Facilities Raw]]/$R$2)*100</f>
        <v>0</v>
      </c>
      <c r="T1885" s="180">
        <f>FME_Ranking1[[#This Row],[Critical Facilities Score (Normalized, Unweighted)]]*$R$3</f>
        <v>0</v>
      </c>
      <c r="U1885">
        <f>_xlfn.XLOOKUP(FME_Ranking1[[#This Row],[FME ID]],FME_Input[FME_ID],FME_Input[LWC])</f>
        <v>0</v>
      </c>
      <c r="V1885" s="178">
        <f>(FME_Ranking1[[#This Row],[LWC Raw]]/$U$2)*100</f>
        <v>0</v>
      </c>
      <c r="W1885" s="178">
        <f>FME_Ranking1[[#This Row],[LWC Score (Normalized, Unweighted)]]*$U$3</f>
        <v>0</v>
      </c>
      <c r="X1885" s="246">
        <f>_xlfn.XLOOKUP(FME_Ranking1[[#This Row],[FME ID]],FME_Input[FME_ID],FME_Input[ROADCLS])</f>
        <v>0</v>
      </c>
      <c r="Y1885" s="230">
        <f>(FME_Ranking1[[#This Row],[Closures Raw]]/$X$2)*100</f>
        <v>0</v>
      </c>
      <c r="Z1885" s="180">
        <f>FME_Ranking1[[#This Row],[Closures Score (Normalized, Unweighted)]]*$X$3</f>
        <v>0</v>
      </c>
      <c r="AA1885" s="253">
        <f>_xlfn.XLOOKUP(FME_Ranking1[[#This Row],[FME ID]],FME_Input[FME_ID],FME_Input[ROAD_MILES100])</f>
        <v>0.19742986559867859</v>
      </c>
      <c r="AB1885" s="178">
        <f>(FME_Ranking1[[#This Row],[Miles Raw]]/$AA$2)*100</f>
        <v>2.5958486255347395E-3</v>
      </c>
      <c r="AC1885" s="178">
        <f>FME_Ranking1[[#This Row],[Miles Score (Normalized, Unweighted)]]*$AA$3</f>
        <v>2.5958486255347395E-4</v>
      </c>
      <c r="AD1885" s="255">
        <f>_xlfn.XLOOKUP(FME_Ranking1[[#This Row],[FME ID]],FME_Input[FME_ID],FME_Input[FARMACRE100])</f>
        <v>0</v>
      </c>
      <c r="AE1885" s="230">
        <f>(FME_Ranking1[[#This Row],[Ag Land Raw]]/$AD$2)*100</f>
        <v>0</v>
      </c>
      <c r="AF1885" s="231">
        <f>FME_Ranking1[[#This Row],[Ag Land Score (Normalized, Unweighted)]]*$AD$3</f>
        <v>0</v>
      </c>
      <c r="AG188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2.6109083500558614E-3</v>
      </c>
      <c r="AH1885" s="406">
        <f t="shared" si="29"/>
        <v>1926</v>
      </c>
      <c r="AI188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2.6109083500558614E-3</v>
      </c>
      <c r="AJ1885" s="257">
        <f>FME_Ranking1[[#This Row],[Addition check]]-FME_Ranking1[[#This Row],[Weighted Score Based on Normalized Reported Factors]]</f>
        <v>0</v>
      </c>
      <c r="AK1885" s="178">
        <f>_xlfn.RANK.EQ(AI1885,$AI$6:$AI$2341,0)+COUNTIF($AI$6:AI1885,AI1885)-1</f>
        <v>1926</v>
      </c>
    </row>
    <row r="1886" spans="1:37" x14ac:dyDescent="0.25">
      <c r="A1886" t="s">
        <v>4530</v>
      </c>
      <c r="B1886">
        <f>_xlfn.XLOOKUP(FME_Ranking1[[#This Row],[FME ID]],FME_Input[FME_ID],FME_Input[RFPG_NUM])</f>
        <v>3</v>
      </c>
      <c r="C1886" t="str">
        <f>_xlfn.XLOOKUP(FME_Ranking1[[#This Row],[FME ID]],FME_Input[FME_ID],FME_Input[FME_NAME])</f>
        <v>FM 2114 Automated Flood Gate Feasibility Assessment</v>
      </c>
      <c r="D1886" t="str">
        <f>_xlfn.XLOOKUP(FME_Ranking1[[#This Row],[FME ID]],FME_Input[FME_ID],FME_Input[DESCR])</f>
        <v>Evaluate installation of an automated flood gate that prevents traffic flow on FM 2114 within the flood-prone area during flooding events.</v>
      </c>
      <c r="E1886" s="256">
        <f>_xlfn.XLOOKUP(FME_Ranking1[[#This Row],[FME ID]],FME_Input[FME_ID],FME_Input[FME_COST])</f>
        <v>30000</v>
      </c>
      <c r="F1886" t="str">
        <f>_xlfn.XLOOKUP(FME_Ranking1[[#This Row],[FME ID]],FME_Input[FME_ID],FME_Input[EMER_NEED])</f>
        <v>No</v>
      </c>
      <c r="G1886">
        <f>IF(FME_Ranking!F1886="Yes",100,0)</f>
        <v>0</v>
      </c>
      <c r="H1886">
        <f>FME_Ranking1[[#This Row],[Emergency Need Score (Normalized, Unweighted)]]*$F$3</f>
        <v>0</v>
      </c>
      <c r="I1886" s="246">
        <f>_xlfn.XLOOKUP(FME_Ranking1[[#This Row],[FME ID]],FME_Input[FME_ID],FME_Input[STRUCT_100])</f>
        <v>3</v>
      </c>
      <c r="J1886" s="178">
        <f>(FME_Ranking1[[#This Row],[Structures 100 Raw]]/I$2)*100</f>
        <v>1.6064773165402903E-3</v>
      </c>
      <c r="K1886" s="178">
        <f>FME_Ranking1[[#This Row],[Structures 100  Score (Normalized, Unweighted)]]*$I$3</f>
        <v>2.4097159748104354E-4</v>
      </c>
      <c r="L1886" s="246">
        <f>_xlfn.XLOOKUP(FME_Ranking1[[#This Row],[FME ID]],FME_Input[FME_ID],FME_Input[RES_STRUCT100])</f>
        <v>2</v>
      </c>
      <c r="M1886" s="230">
        <f>(FME_Ranking1[[#This Row],[Res Structures Raw]]/L$2)*100</f>
        <v>1.4166111827286765E-3</v>
      </c>
      <c r="N1886" s="180">
        <f>FME_Ranking1[[#This Row],[Res Structures Score (Normalized, Unweighted)]]*$L$3</f>
        <v>1.4166111827286767E-4</v>
      </c>
      <c r="O1886" s="244">
        <f>_xlfn.XLOOKUP(FME_Ranking1[[#This Row],[FME ID]],FME_Input[FME_ID],FME_Input[POP100])</f>
        <v>0</v>
      </c>
      <c r="P1886" s="178">
        <f>(FME_Ranking1[[#This Row],[Pop Raw]]/$O$2)*100</f>
        <v>0</v>
      </c>
      <c r="Q1886" s="178">
        <f>FME_Ranking1[[#This Row],[Pop Score (Normalized, Unweighted)]]*$O$3</f>
        <v>0</v>
      </c>
      <c r="R1886" s="137">
        <f>_xlfn.XLOOKUP(FME_Ranking1[[#This Row],[FME ID]],FME_Input[FME_ID],FME_Input[CRITFAC100])</f>
        <v>0</v>
      </c>
      <c r="S1886" s="230">
        <f>(FME_Ranking1[[#This Row],[Critical Facilities Raw]]/$R$2)*100</f>
        <v>0</v>
      </c>
      <c r="T1886" s="180">
        <f>FME_Ranking1[[#This Row],[Critical Facilities Score (Normalized, Unweighted)]]*$R$3</f>
        <v>0</v>
      </c>
      <c r="U1886">
        <f>_xlfn.XLOOKUP(FME_Ranking1[[#This Row],[FME ID]],FME_Input[FME_ID],FME_Input[LWC])</f>
        <v>0</v>
      </c>
      <c r="V1886" s="178">
        <f>(FME_Ranking1[[#This Row],[LWC Raw]]/$U$2)*100</f>
        <v>0</v>
      </c>
      <c r="W1886" s="178">
        <f>FME_Ranking1[[#This Row],[LWC Score (Normalized, Unweighted)]]*$U$3</f>
        <v>0</v>
      </c>
      <c r="X1886" s="246">
        <f>_xlfn.XLOOKUP(FME_Ranking1[[#This Row],[FME ID]],FME_Input[FME_ID],FME_Input[ROADCLS])</f>
        <v>0</v>
      </c>
      <c r="Y1886" s="230">
        <f>(FME_Ranking1[[#This Row],[Closures Raw]]/$X$2)*100</f>
        <v>0</v>
      </c>
      <c r="Z1886" s="180">
        <f>FME_Ranking1[[#This Row],[Closures Score (Normalized, Unweighted)]]*$X$3</f>
        <v>0</v>
      </c>
      <c r="AA1886" s="253">
        <f>_xlfn.XLOOKUP(FME_Ranking1[[#This Row],[FME ID]],FME_Input[FME_ID],FME_Input[ROAD_MILES100])</f>
        <v>1.0641410350799561</v>
      </c>
      <c r="AB1886" s="178">
        <f>(FME_Ranking1[[#This Row],[Miles Raw]]/$AA$2)*100</f>
        <v>1.3991545984752512E-2</v>
      </c>
      <c r="AC1886" s="178">
        <f>FME_Ranking1[[#This Row],[Miles Score (Normalized, Unweighted)]]*$AA$3</f>
        <v>1.3991545984752512E-3</v>
      </c>
      <c r="AD1886" s="255">
        <f>_xlfn.XLOOKUP(FME_Ranking1[[#This Row],[FME ID]],FME_Input[FME_ID],FME_Input[FARMACRE100])</f>
        <v>938.84552001953125</v>
      </c>
      <c r="AE1886" s="230">
        <f>(FME_Ranking1[[#This Row],[Ag Land Raw]]/$AD$2)*100</f>
        <v>3.8713786500171279E-2</v>
      </c>
      <c r="AF1886" s="231">
        <f>FME_Ranking1[[#This Row],[Ag Land Score (Normalized, Unweighted)]]*$AD$3</f>
        <v>1.9356893250085641E-3</v>
      </c>
      <c r="AG188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3.7174766392377265E-3</v>
      </c>
      <c r="AH1886" s="406">
        <f t="shared" si="29"/>
        <v>1872</v>
      </c>
      <c r="AI188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3.7174766392377265E-3</v>
      </c>
      <c r="AJ1886" s="257">
        <f>FME_Ranking1[[#This Row],[Addition check]]-FME_Ranking1[[#This Row],[Weighted Score Based on Normalized Reported Factors]]</f>
        <v>0</v>
      </c>
      <c r="AK1886" s="178">
        <f>_xlfn.RANK.EQ(AI1886,$AI$6:$AI$2341,0)+COUNTIF($AI$6:AI1886,AI1886)-1</f>
        <v>1872</v>
      </c>
    </row>
    <row r="1887" spans="1:37" x14ac:dyDescent="0.25">
      <c r="A1887" t="s">
        <v>7456</v>
      </c>
      <c r="B1887">
        <f>_xlfn.XLOOKUP(FME_Ranking1[[#This Row],[FME ID]],FME_Input[FME_ID],FME_Input[RFPG_NUM])</f>
        <v>8</v>
      </c>
      <c r="C1887" t="str">
        <f>_xlfn.XLOOKUP(FME_Ranking1[[#This Row],[FME ID]],FME_Input[FME_ID],FME_Input[FME_NAME])</f>
        <v>Low Water Crossing Monitoring &amp; Mitigation</v>
      </c>
      <c r="D1887" t="str">
        <f>_xlfn.XLOOKUP(FME_Ranking1[[#This Row],[FME ID]],FME_Input[FME_ID],FME_Input[DESCR])</f>
        <v>Install automated warning devices or elevate 2 low water crossings on CR 305.</v>
      </c>
      <c r="E1887" s="256">
        <f>_xlfn.XLOOKUP(FME_Ranking1[[#This Row],[FME ID]],FME_Input[FME_ID],FME_Input[FME_COST])</f>
        <v>217000</v>
      </c>
      <c r="F1887" t="str">
        <f>_xlfn.XLOOKUP(FME_Ranking1[[#This Row],[FME ID]],FME_Input[FME_ID],FME_Input[EMER_NEED])</f>
        <v>No</v>
      </c>
      <c r="G1887">
        <f>IF(FME_Ranking!F1887="Yes",100,0)</f>
        <v>0</v>
      </c>
      <c r="H1887">
        <f>FME_Ranking1[[#This Row],[Emergency Need Score (Normalized, Unweighted)]]*$F$3</f>
        <v>0</v>
      </c>
      <c r="I1887" s="246">
        <f>_xlfn.XLOOKUP(FME_Ranking1[[#This Row],[FME ID]],FME_Input[FME_ID],FME_Input[STRUCT_100])</f>
        <v>1</v>
      </c>
      <c r="J1887" s="178">
        <f>(FME_Ranking1[[#This Row],[Structures 100 Raw]]/I$2)*100</f>
        <v>5.3549243884676355E-4</v>
      </c>
      <c r="K1887" s="178">
        <f>FME_Ranking1[[#This Row],[Structures 100  Score (Normalized, Unweighted)]]*$I$3</f>
        <v>8.0323865827014533E-5</v>
      </c>
      <c r="L1887" s="246">
        <f>_xlfn.XLOOKUP(FME_Ranking1[[#This Row],[FME ID]],FME_Input[FME_ID],FME_Input[RES_STRUCT100])</f>
        <v>0</v>
      </c>
      <c r="M1887" s="230">
        <f>(FME_Ranking1[[#This Row],[Res Structures Raw]]/L$2)*100</f>
        <v>0</v>
      </c>
      <c r="N1887" s="180">
        <f>FME_Ranking1[[#This Row],[Res Structures Score (Normalized, Unweighted)]]*$L$3</f>
        <v>0</v>
      </c>
      <c r="O1887" s="244">
        <f>_xlfn.XLOOKUP(FME_Ranking1[[#This Row],[FME ID]],FME_Input[FME_ID],FME_Input[POP100])</f>
        <v>2</v>
      </c>
      <c r="P1887" s="178">
        <f>(FME_Ranking1[[#This Row],[Pop Raw]]/$O$2)*100</f>
        <v>2.0475062397752657E-4</v>
      </c>
      <c r="Q1887" s="178">
        <f>FME_Ranking1[[#This Row],[Pop Score (Normalized, Unweighted)]]*$O$3</f>
        <v>3.0712593596628984E-5</v>
      </c>
      <c r="R1887" s="137">
        <f>_xlfn.XLOOKUP(FME_Ranking1[[#This Row],[FME ID]],FME_Input[FME_ID],FME_Input[CRITFAC100])</f>
        <v>0</v>
      </c>
      <c r="S1887" s="230">
        <f>(FME_Ranking1[[#This Row],[Critical Facilities Raw]]/$R$2)*100</f>
        <v>0</v>
      </c>
      <c r="T1887" s="180">
        <f>FME_Ranking1[[#This Row],[Critical Facilities Score (Normalized, Unweighted)]]*$R$3</f>
        <v>0</v>
      </c>
      <c r="U1887">
        <f>_xlfn.XLOOKUP(FME_Ranking1[[#This Row],[FME ID]],FME_Input[FME_ID],FME_Input[LWC])</f>
        <v>0</v>
      </c>
      <c r="V1887" s="178">
        <f>(FME_Ranking1[[#This Row],[LWC Raw]]/$U$2)*100</f>
        <v>0</v>
      </c>
      <c r="W1887" s="178">
        <f>FME_Ranking1[[#This Row],[LWC Score (Normalized, Unweighted)]]*$U$3</f>
        <v>0</v>
      </c>
      <c r="X1887" s="246">
        <f>_xlfn.XLOOKUP(FME_Ranking1[[#This Row],[FME ID]],FME_Input[FME_ID],FME_Input[ROADCLS])</f>
        <v>4</v>
      </c>
      <c r="Y1887" s="230">
        <f>(FME_Ranking1[[#This Row],[Closures Raw]]/$X$2)*100</f>
        <v>4.2056566081379455E-2</v>
      </c>
      <c r="Z1887" s="180">
        <f>FME_Ranking1[[#This Row],[Closures Score (Normalized, Unweighted)]]*$X$3</f>
        <v>2.1028283040689729E-3</v>
      </c>
      <c r="AA1887" s="253">
        <f>_xlfn.XLOOKUP(FME_Ranking1[[#This Row],[FME ID]],FME_Input[FME_ID],FME_Input[ROAD_MILES100])</f>
        <v>1.977929949760437</v>
      </c>
      <c r="AB1887" s="178">
        <f>(FME_Ranking1[[#This Row],[Miles Raw]]/$AA$2)*100</f>
        <v>2.6006231255439764E-2</v>
      </c>
      <c r="AC1887" s="178">
        <f>FME_Ranking1[[#This Row],[Miles Score (Normalized, Unweighted)]]*$AA$3</f>
        <v>2.6006231255439765E-3</v>
      </c>
      <c r="AD1887" s="255">
        <f>_xlfn.XLOOKUP(FME_Ranking1[[#This Row],[FME ID]],FME_Input[FME_ID],FME_Input[FARMACRE100])</f>
        <v>44.903499603271477</v>
      </c>
      <c r="AE1887" s="230">
        <f>(FME_Ranking1[[#This Row],[Ag Land Raw]]/$AD$2)*100</f>
        <v>1.8516193129572726E-3</v>
      </c>
      <c r="AF1887" s="231">
        <f>FME_Ranking1[[#This Row],[Ag Land Score (Normalized, Unweighted)]]*$AD$3</f>
        <v>9.258096564786363E-5</v>
      </c>
      <c r="AG188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4.9070688546844566E-3</v>
      </c>
      <c r="AH1887" s="406">
        <f t="shared" si="29"/>
        <v>1835</v>
      </c>
      <c r="AI188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4.9070688546844566E-3</v>
      </c>
      <c r="AJ1887" s="257">
        <f>FME_Ranking1[[#This Row],[Addition check]]-FME_Ranking1[[#This Row],[Weighted Score Based on Normalized Reported Factors]]</f>
        <v>0</v>
      </c>
      <c r="AK1887" s="178">
        <f>_xlfn.RANK.EQ(AI1887,$AI$6:$AI$2341,0)+COUNTIF($AI$6:AI1887,AI1887)-1</f>
        <v>1835</v>
      </c>
    </row>
    <row r="1888" spans="1:37" x14ac:dyDescent="0.25">
      <c r="A1888" t="s">
        <v>7466</v>
      </c>
      <c r="B1888">
        <f>_xlfn.XLOOKUP(FME_Ranking1[[#This Row],[FME ID]],FME_Input[FME_ID],FME_Input[RFPG_NUM])</f>
        <v>8</v>
      </c>
      <c r="C1888" t="str">
        <f>_xlfn.XLOOKUP(FME_Ranking1[[#This Row],[FME ID]],FME_Input[FME_ID],FME_Input[FME_NAME])</f>
        <v>Lift Station Floodproofing</v>
      </c>
      <c r="D1888" t="str">
        <f>_xlfn.XLOOKUP(FME_Ranking1[[#This Row],[FME ID]],FME_Input[FME_ID],FME_Input[DESCR])</f>
        <v>Flood proof city lift stations or improve culverts to lessen flood risk.</v>
      </c>
      <c r="E1888" s="256">
        <f>_xlfn.XLOOKUP(FME_Ranking1[[#This Row],[FME ID]],FME_Input[FME_ID],FME_Input[FME_COST])</f>
        <v>217000</v>
      </c>
      <c r="F1888" t="str">
        <f>_xlfn.XLOOKUP(FME_Ranking1[[#This Row],[FME ID]],FME_Input[FME_ID],FME_Input[EMER_NEED])</f>
        <v>No</v>
      </c>
      <c r="G1888">
        <f>IF(FME_Ranking!F1888="Yes",100,0)</f>
        <v>0</v>
      </c>
      <c r="H1888">
        <f>FME_Ranking1[[#This Row],[Emergency Need Score (Normalized, Unweighted)]]*$F$3</f>
        <v>0</v>
      </c>
      <c r="I1888" s="246">
        <f>_xlfn.XLOOKUP(FME_Ranking1[[#This Row],[FME ID]],FME_Input[FME_ID],FME_Input[STRUCT_100])</f>
        <v>1</v>
      </c>
      <c r="J1888" s="178">
        <f>(FME_Ranking1[[#This Row],[Structures 100 Raw]]/I$2)*100</f>
        <v>5.3549243884676355E-4</v>
      </c>
      <c r="K1888" s="178">
        <f>FME_Ranking1[[#This Row],[Structures 100  Score (Normalized, Unweighted)]]*$I$3</f>
        <v>8.0323865827014533E-5</v>
      </c>
      <c r="L1888" s="246">
        <f>_xlfn.XLOOKUP(FME_Ranking1[[#This Row],[FME ID]],FME_Input[FME_ID],FME_Input[RES_STRUCT100])</f>
        <v>0</v>
      </c>
      <c r="M1888" s="230">
        <f>(FME_Ranking1[[#This Row],[Res Structures Raw]]/L$2)*100</f>
        <v>0</v>
      </c>
      <c r="N1888" s="180">
        <f>FME_Ranking1[[#This Row],[Res Structures Score (Normalized, Unweighted)]]*$L$3</f>
        <v>0</v>
      </c>
      <c r="O1888" s="244">
        <f>_xlfn.XLOOKUP(FME_Ranking1[[#This Row],[FME ID]],FME_Input[FME_ID],FME_Input[POP100])</f>
        <v>2</v>
      </c>
      <c r="P1888" s="178">
        <f>(FME_Ranking1[[#This Row],[Pop Raw]]/$O$2)*100</f>
        <v>2.0475062397752657E-4</v>
      </c>
      <c r="Q1888" s="178">
        <f>FME_Ranking1[[#This Row],[Pop Score (Normalized, Unweighted)]]*$O$3</f>
        <v>3.0712593596628984E-5</v>
      </c>
      <c r="R1888" s="137">
        <f>_xlfn.XLOOKUP(FME_Ranking1[[#This Row],[FME ID]],FME_Input[FME_ID],FME_Input[CRITFAC100])</f>
        <v>0</v>
      </c>
      <c r="S1888" s="230">
        <f>(FME_Ranking1[[#This Row],[Critical Facilities Raw]]/$R$2)*100</f>
        <v>0</v>
      </c>
      <c r="T1888" s="180">
        <f>FME_Ranking1[[#This Row],[Critical Facilities Score (Normalized, Unweighted)]]*$R$3</f>
        <v>0</v>
      </c>
      <c r="U1888">
        <f>_xlfn.XLOOKUP(FME_Ranking1[[#This Row],[FME ID]],FME_Input[FME_ID],FME_Input[LWC])</f>
        <v>0</v>
      </c>
      <c r="V1888" s="178">
        <f>(FME_Ranking1[[#This Row],[LWC Raw]]/$U$2)*100</f>
        <v>0</v>
      </c>
      <c r="W1888" s="178">
        <f>FME_Ranking1[[#This Row],[LWC Score (Normalized, Unweighted)]]*$U$3</f>
        <v>0</v>
      </c>
      <c r="X1888" s="246">
        <f>_xlfn.XLOOKUP(FME_Ranking1[[#This Row],[FME ID]],FME_Input[FME_ID],FME_Input[ROADCLS])</f>
        <v>4</v>
      </c>
      <c r="Y1888" s="230">
        <f>(FME_Ranking1[[#This Row],[Closures Raw]]/$X$2)*100</f>
        <v>4.2056566081379455E-2</v>
      </c>
      <c r="Z1888" s="180">
        <f>FME_Ranking1[[#This Row],[Closures Score (Normalized, Unweighted)]]*$X$3</f>
        <v>2.1028283040689729E-3</v>
      </c>
      <c r="AA1888" s="253">
        <f>_xlfn.XLOOKUP(FME_Ranking1[[#This Row],[FME ID]],FME_Input[FME_ID],FME_Input[ROAD_MILES100])</f>
        <v>1.977929949760437</v>
      </c>
      <c r="AB1888" s="178">
        <f>(FME_Ranking1[[#This Row],[Miles Raw]]/$AA$2)*100</f>
        <v>2.6006231255439764E-2</v>
      </c>
      <c r="AC1888" s="178">
        <f>FME_Ranking1[[#This Row],[Miles Score (Normalized, Unweighted)]]*$AA$3</f>
        <v>2.6006231255439765E-3</v>
      </c>
      <c r="AD1888" s="255">
        <f>_xlfn.XLOOKUP(FME_Ranking1[[#This Row],[FME ID]],FME_Input[FME_ID],FME_Input[FARMACRE100])</f>
        <v>44.903499603271477</v>
      </c>
      <c r="AE1888" s="230">
        <f>(FME_Ranking1[[#This Row],[Ag Land Raw]]/$AD$2)*100</f>
        <v>1.8516193129572726E-3</v>
      </c>
      <c r="AF1888" s="231">
        <f>FME_Ranking1[[#This Row],[Ag Land Score (Normalized, Unweighted)]]*$AD$3</f>
        <v>9.258096564786363E-5</v>
      </c>
      <c r="AG188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4.9070688546844566E-3</v>
      </c>
      <c r="AH1888" s="406">
        <f t="shared" si="29"/>
        <v>1835</v>
      </c>
      <c r="AI188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4.9070688546844566E-3</v>
      </c>
      <c r="AJ1888" s="257">
        <f>FME_Ranking1[[#This Row],[Addition check]]-FME_Ranking1[[#This Row],[Weighted Score Based on Normalized Reported Factors]]</f>
        <v>0</v>
      </c>
      <c r="AK1888" s="178">
        <f>_xlfn.RANK.EQ(AI1888,$AI$6:$AI$2341,0)+COUNTIF($AI$6:AI1888,AI1888)-1</f>
        <v>1836</v>
      </c>
    </row>
    <row r="1889" spans="1:37" x14ac:dyDescent="0.25">
      <c r="A1889" t="s">
        <v>215</v>
      </c>
      <c r="B1889">
        <f>_xlfn.XLOOKUP(FME_Ranking1[[#This Row],[FME ID]],FME_Input[FME_ID],FME_Input[RFPG_NUM])</f>
        <v>10</v>
      </c>
      <c r="C1889" t="str">
        <f>_xlfn.XLOOKUP(FME_Ranking1[[#This Row],[FME ID]],FME_Input[FME_ID],FME_Input[FME_NAME])</f>
        <v>Whitman Branch Bypass; Oak Ridge Drive Creek</v>
      </c>
      <c r="D1889" t="str">
        <f>_xlfn.XLOOKUP(FME_Ranking1[[#This Row],[FME ID]],FME_Input[FME_ID],FME_Input[DESCR])</f>
        <v xml:space="preserve">This project is installing a 50-foot wide by 5-foot deep bypass channel to the east along Oak Ridge Drive Creek to increase water capacity and minimize flooding. </v>
      </c>
      <c r="E1889" s="256">
        <f>_xlfn.XLOOKUP(FME_Ranking1[[#This Row],[FME ID]],FME_Input[FME_ID],FME_Input[FME_COST])</f>
        <v>100000</v>
      </c>
      <c r="F1889" t="str">
        <f>_xlfn.XLOOKUP(FME_Ranking1[[#This Row],[FME ID]],FME_Input[FME_ID],FME_Input[EMER_NEED])</f>
        <v>No</v>
      </c>
      <c r="G1889">
        <f>IF(FME_Ranking!F1889="Yes",100,0)</f>
        <v>0</v>
      </c>
      <c r="H1889">
        <f>FME_Ranking1[[#This Row],[Emergency Need Score (Normalized, Unweighted)]]*$F$3</f>
        <v>0</v>
      </c>
      <c r="I1889" s="246">
        <f>_xlfn.XLOOKUP(FME_Ranking1[[#This Row],[FME ID]],FME_Input[FME_ID],FME_Input[STRUCT_100])</f>
        <v>5</v>
      </c>
      <c r="J1889" s="178">
        <f>(FME_Ranking1[[#This Row],[Structures 100 Raw]]/I$2)*100</f>
        <v>2.6774621942338172E-3</v>
      </c>
      <c r="K1889" s="178">
        <f>FME_Ranking1[[#This Row],[Structures 100  Score (Normalized, Unweighted)]]*$I$3</f>
        <v>4.0161932913507258E-4</v>
      </c>
      <c r="L1889" s="246">
        <f>_xlfn.XLOOKUP(FME_Ranking1[[#This Row],[FME ID]],FME_Input[FME_ID],FME_Input[RES_STRUCT100])</f>
        <v>0</v>
      </c>
      <c r="M1889" s="230">
        <f>(FME_Ranking1[[#This Row],[Res Structures Raw]]/L$2)*100</f>
        <v>0</v>
      </c>
      <c r="N1889" s="180">
        <f>FME_Ranking1[[#This Row],[Res Structures Score (Normalized, Unweighted)]]*$L$3</f>
        <v>0</v>
      </c>
      <c r="O1889" s="244">
        <f>_xlfn.XLOOKUP(FME_Ranking1[[#This Row],[FME ID]],FME_Input[FME_ID],FME_Input[POP100])</f>
        <v>107</v>
      </c>
      <c r="P1889" s="178">
        <f>(FME_Ranking1[[#This Row],[Pop Raw]]/$O$2)*100</f>
        <v>1.0954158382797671E-2</v>
      </c>
      <c r="Q1889" s="178">
        <f>FME_Ranking1[[#This Row],[Pop Score (Normalized, Unweighted)]]*$O$3</f>
        <v>1.6431237574196505E-3</v>
      </c>
      <c r="R1889" s="137">
        <f>_xlfn.XLOOKUP(FME_Ranking1[[#This Row],[FME ID]],FME_Input[FME_ID],FME_Input[CRITFAC100])</f>
        <v>0</v>
      </c>
      <c r="S1889" s="230">
        <f>(FME_Ranking1[[#This Row],[Critical Facilities Raw]]/$R$2)*100</f>
        <v>0</v>
      </c>
      <c r="T1889" s="180">
        <f>FME_Ranking1[[#This Row],[Critical Facilities Score (Normalized, Unweighted)]]*$R$3</f>
        <v>0</v>
      </c>
      <c r="U1889">
        <f>_xlfn.XLOOKUP(FME_Ranking1[[#This Row],[FME ID]],FME_Input[FME_ID],FME_Input[LWC])</f>
        <v>0</v>
      </c>
      <c r="V1889" s="178">
        <f>(FME_Ranking1[[#This Row],[LWC Raw]]/$U$2)*100</f>
        <v>0</v>
      </c>
      <c r="W1889" s="178">
        <f>FME_Ranking1[[#This Row],[LWC Score (Normalized, Unweighted)]]*$U$3</f>
        <v>0</v>
      </c>
      <c r="X1889" s="246">
        <f>_xlfn.XLOOKUP(FME_Ranking1[[#This Row],[FME ID]],FME_Input[FME_ID],FME_Input[ROADCLS])</f>
        <v>0</v>
      </c>
      <c r="Y1889" s="230">
        <f>(FME_Ranking1[[#This Row],[Closures Raw]]/$X$2)*100</f>
        <v>0</v>
      </c>
      <c r="Z1889" s="180">
        <f>FME_Ranking1[[#This Row],[Closures Score (Normalized, Unweighted)]]*$X$3</f>
        <v>0</v>
      </c>
      <c r="AA1889" s="253">
        <f>_xlfn.XLOOKUP(FME_Ranking1[[#This Row],[FME ID]],FME_Input[FME_ID],FME_Input[ROAD_MILES100])</f>
        <v>0.289040207862854</v>
      </c>
      <c r="AB1889" s="178">
        <f>(FME_Ranking1[[#This Row],[Miles Raw]]/$AA$2)*100</f>
        <v>3.8003603154460482E-3</v>
      </c>
      <c r="AC1889" s="178">
        <f>FME_Ranking1[[#This Row],[Miles Score (Normalized, Unweighted)]]*$AA$3</f>
        <v>3.8003603154460486E-4</v>
      </c>
      <c r="AD1889" s="255">
        <f>_xlfn.XLOOKUP(FME_Ranking1[[#This Row],[FME ID]],FME_Input[FME_ID],FME_Input[FARMACRE100])</f>
        <v>126.35650634765619</v>
      </c>
      <c r="AE1889" s="230">
        <f>(FME_Ranking1[[#This Row],[Ag Land Raw]]/$AD$2)*100</f>
        <v>5.2103766864104901E-3</v>
      </c>
      <c r="AF1889" s="231">
        <f>FME_Ranking1[[#This Row],[Ag Land Score (Normalized, Unweighted)]]*$AD$3</f>
        <v>2.6051883432052451E-4</v>
      </c>
      <c r="AG188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2.6852979524198523E-3</v>
      </c>
      <c r="AH1889" s="406">
        <f t="shared" si="29"/>
        <v>1921</v>
      </c>
      <c r="AI188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2.6852979524198523E-3</v>
      </c>
      <c r="AJ1889" s="257">
        <f>FME_Ranking1[[#This Row],[Addition check]]-FME_Ranking1[[#This Row],[Weighted Score Based on Normalized Reported Factors]]</f>
        <v>0</v>
      </c>
      <c r="AK1889" s="178">
        <f>_xlfn.RANK.EQ(AI1889,$AI$6:$AI$2341,0)+COUNTIF($AI$6:AI1889,AI1889)-1</f>
        <v>1921</v>
      </c>
    </row>
    <row r="1890" spans="1:37" x14ac:dyDescent="0.25">
      <c r="A1890" t="s">
        <v>4579</v>
      </c>
      <c r="B1890">
        <f>_xlfn.XLOOKUP(FME_Ranking1[[#This Row],[FME ID]],FME_Input[FME_ID],FME_Input[RFPG_NUM])</f>
        <v>3</v>
      </c>
      <c r="C1890" t="str">
        <f>_xlfn.XLOOKUP(FME_Ranking1[[#This Row],[FME ID]],FME_Input[FME_ID],FME_Input[FME_NAME])</f>
        <v xml:space="preserve">County Rd 2331 Re-Routing </v>
      </c>
      <c r="D1890" t="str">
        <f>_xlfn.XLOOKUP(FME_Ranking1[[#This Row],[FME ID]],FME_Input[FME_ID],FME_Input[DESCR])</f>
        <v>Evaluate alternatives to re-route County Rd 2331 to area not prone to flooding</v>
      </c>
      <c r="E1890" s="256">
        <f>_xlfn.XLOOKUP(FME_Ranking1[[#This Row],[FME ID]],FME_Input[FME_ID],FME_Input[FME_COST])</f>
        <v>100000</v>
      </c>
      <c r="F1890" t="str">
        <f>_xlfn.XLOOKUP(FME_Ranking1[[#This Row],[FME ID]],FME_Input[FME_ID],FME_Input[EMER_NEED])</f>
        <v>No</v>
      </c>
      <c r="G1890">
        <f>IF(FME_Ranking!F1890="Yes",100,0)</f>
        <v>0</v>
      </c>
      <c r="H1890">
        <f>FME_Ranking1[[#This Row],[Emergency Need Score (Normalized, Unweighted)]]*$F$3</f>
        <v>0</v>
      </c>
      <c r="I1890" s="246">
        <f>_xlfn.XLOOKUP(FME_Ranking1[[#This Row],[FME ID]],FME_Input[FME_ID],FME_Input[STRUCT_100])</f>
        <v>15</v>
      </c>
      <c r="J1890" s="178">
        <f>(FME_Ranking1[[#This Row],[Structures 100 Raw]]/I$2)*100</f>
        <v>8.0323865827014521E-3</v>
      </c>
      <c r="K1890" s="178">
        <f>FME_Ranking1[[#This Row],[Structures 100  Score (Normalized, Unweighted)]]*$I$3</f>
        <v>1.2048579874052179E-3</v>
      </c>
      <c r="L1890" s="246">
        <f>_xlfn.XLOOKUP(FME_Ranking1[[#This Row],[FME ID]],FME_Input[FME_ID],FME_Input[RES_STRUCT100])</f>
        <v>9</v>
      </c>
      <c r="M1890" s="230">
        <f>(FME_Ranking1[[#This Row],[Res Structures Raw]]/L$2)*100</f>
        <v>6.3747503222790439E-3</v>
      </c>
      <c r="N1890" s="180">
        <f>FME_Ranking1[[#This Row],[Res Structures Score (Normalized, Unweighted)]]*$L$3</f>
        <v>6.3747503222790446E-4</v>
      </c>
      <c r="O1890" s="244">
        <f>_xlfn.XLOOKUP(FME_Ranking1[[#This Row],[FME ID]],FME_Input[FME_ID],FME_Input[POP100])</f>
        <v>4</v>
      </c>
      <c r="P1890" s="178">
        <f>(FME_Ranking1[[#This Row],[Pop Raw]]/$O$2)*100</f>
        <v>4.0950124795505313E-4</v>
      </c>
      <c r="Q1890" s="178">
        <f>FME_Ranking1[[#This Row],[Pop Score (Normalized, Unweighted)]]*$O$3</f>
        <v>6.1425187193257967E-5</v>
      </c>
      <c r="R1890" s="137">
        <f>_xlfn.XLOOKUP(FME_Ranking1[[#This Row],[FME ID]],FME_Input[FME_ID],FME_Input[CRITFAC100])</f>
        <v>0</v>
      </c>
      <c r="S1890" s="230">
        <f>(FME_Ranking1[[#This Row],[Critical Facilities Raw]]/$R$2)*100</f>
        <v>0</v>
      </c>
      <c r="T1890" s="180">
        <f>FME_Ranking1[[#This Row],[Critical Facilities Score (Normalized, Unweighted)]]*$R$3</f>
        <v>0</v>
      </c>
      <c r="U1890">
        <f>_xlfn.XLOOKUP(FME_Ranking1[[#This Row],[FME ID]],FME_Input[FME_ID],FME_Input[LWC])</f>
        <v>0</v>
      </c>
      <c r="V1890" s="178">
        <f>(FME_Ranking1[[#This Row],[LWC Raw]]/$U$2)*100</f>
        <v>0</v>
      </c>
      <c r="W1890" s="178">
        <f>FME_Ranking1[[#This Row],[LWC Score (Normalized, Unweighted)]]*$U$3</f>
        <v>0</v>
      </c>
      <c r="X1890" s="246">
        <f>_xlfn.XLOOKUP(FME_Ranking1[[#This Row],[FME ID]],FME_Input[FME_ID],FME_Input[ROADCLS])</f>
        <v>0</v>
      </c>
      <c r="Y1890" s="230">
        <f>(FME_Ranking1[[#This Row],[Closures Raw]]/$X$2)*100</f>
        <v>0</v>
      </c>
      <c r="Z1890" s="180">
        <f>FME_Ranking1[[#This Row],[Closures Score (Normalized, Unweighted)]]*$X$3</f>
        <v>0</v>
      </c>
      <c r="AA1890" s="253">
        <f>_xlfn.XLOOKUP(FME_Ranking1[[#This Row],[FME ID]],FME_Input[FME_ID],FME_Input[ROAD_MILES100])</f>
        <v>3.5776751041412349</v>
      </c>
      <c r="AB1890" s="178">
        <f>(FME_Ranking1[[#This Row],[Miles Raw]]/$AA$2)*100</f>
        <v>4.7040010757911595E-2</v>
      </c>
      <c r="AC1890" s="178">
        <f>FME_Ranking1[[#This Row],[Miles Score (Normalized, Unweighted)]]*$AA$3</f>
        <v>4.70400107579116E-3</v>
      </c>
      <c r="AD1890" s="255">
        <f>_xlfn.XLOOKUP(FME_Ranking1[[#This Row],[FME ID]],FME_Input[FME_ID],FME_Input[FARMACRE100])</f>
        <v>176.21319580078119</v>
      </c>
      <c r="AE1890" s="230">
        <f>(FME_Ranking1[[#This Row],[Ag Land Raw]]/$AD$2)*100</f>
        <v>7.2662433758030852E-3</v>
      </c>
      <c r="AF1890" s="231">
        <f>FME_Ranking1[[#This Row],[Ag Land Score (Normalized, Unweighted)]]*$AD$3</f>
        <v>3.6331216879015429E-4</v>
      </c>
      <c r="AG189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6.9710714514076939E-3</v>
      </c>
      <c r="AH1890" s="406">
        <f t="shared" si="29"/>
        <v>1800</v>
      </c>
      <c r="AI189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6.9710714514076939E-3</v>
      </c>
      <c r="AJ1890" s="257">
        <f>FME_Ranking1[[#This Row],[Addition check]]-FME_Ranking1[[#This Row],[Weighted Score Based on Normalized Reported Factors]]</f>
        <v>0</v>
      </c>
      <c r="AK1890" s="178">
        <f>_xlfn.RANK.EQ(AI1890,$AI$6:$AI$2341,0)+COUNTIF($AI$6:AI1890,AI1890)-1</f>
        <v>1800</v>
      </c>
    </row>
    <row r="1891" spans="1:37" x14ac:dyDescent="0.25">
      <c r="A1891" t="s">
        <v>10105</v>
      </c>
      <c r="B1891">
        <f>_xlfn.XLOOKUP(FME_Ranking1[[#This Row],[FME ID]],FME_Input[FME_ID],FME_Input[RFPG_NUM])</f>
        <v>13</v>
      </c>
      <c r="C1891" t="str">
        <f>_xlfn.XLOOKUP(FME_Ranking1[[#This Row],[FME ID]],FME_Input[FME_ID],FME_Input[FME_NAME])</f>
        <v>Trinity Street &amp; N Cherry Street Drainage Improvements- FH#2</v>
      </c>
      <c r="D1891" t="str">
        <f>_xlfn.XLOOKUP(FME_Ranking1[[#This Row],[FME ID]],FME_Input[FME_ID],FME_Input[DESCR])</f>
        <v>Install series of underground storm water trunk lines and drop structures along N Cherry street tying in to the existing 2-8'x7' concrete boxes on W San Antonio Street.</v>
      </c>
      <c r="E1891" s="256">
        <f>_xlfn.XLOOKUP(FME_Ranking1[[#This Row],[FME ID]],FME_Input[FME_ID],FME_Input[FME_COST])</f>
        <v>1218000</v>
      </c>
      <c r="F1891" t="str">
        <f>_xlfn.XLOOKUP(FME_Ranking1[[#This Row],[FME ID]],FME_Input[FME_ID],FME_Input[EMER_NEED])</f>
        <v>Yes</v>
      </c>
      <c r="G1891">
        <f>IF(FME_Ranking!F1891="Yes",100,0)</f>
        <v>100</v>
      </c>
      <c r="H1891">
        <f>FME_Ranking1[[#This Row],[Emergency Need Score (Normalized, Unweighted)]]*$F$3</f>
        <v>0</v>
      </c>
      <c r="I1891" s="246">
        <f>_xlfn.XLOOKUP(FME_Ranking1[[#This Row],[FME ID]],FME_Input[FME_ID],FME_Input[STRUCT_100])</f>
        <v>1</v>
      </c>
      <c r="J1891" s="178">
        <f>(FME_Ranking1[[#This Row],[Structures 100 Raw]]/I$2)*100</f>
        <v>5.3549243884676355E-4</v>
      </c>
      <c r="K1891" s="178">
        <f>FME_Ranking1[[#This Row],[Structures 100  Score (Normalized, Unweighted)]]*$I$3</f>
        <v>8.0323865827014533E-5</v>
      </c>
      <c r="L1891" s="246">
        <f>_xlfn.XLOOKUP(FME_Ranking1[[#This Row],[FME ID]],FME_Input[FME_ID],FME_Input[RES_STRUCT100])</f>
        <v>0</v>
      </c>
      <c r="M1891" s="230">
        <f>(FME_Ranking1[[#This Row],[Res Structures Raw]]/L$2)*100</f>
        <v>0</v>
      </c>
      <c r="N1891" s="180">
        <f>FME_Ranking1[[#This Row],[Res Structures Score (Normalized, Unweighted)]]*$L$3</f>
        <v>0</v>
      </c>
      <c r="O1891" s="244">
        <f>_xlfn.XLOOKUP(FME_Ranking1[[#This Row],[FME ID]],FME_Input[FME_ID],FME_Input[POP100])</f>
        <v>3</v>
      </c>
      <c r="P1891" s="178">
        <f>(FME_Ranking1[[#This Row],[Pop Raw]]/$O$2)*100</f>
        <v>3.0712593596628988E-4</v>
      </c>
      <c r="Q1891" s="178">
        <f>FME_Ranking1[[#This Row],[Pop Score (Normalized, Unweighted)]]*$O$3</f>
        <v>4.6068890394943479E-5</v>
      </c>
      <c r="R1891" s="137">
        <f>_xlfn.XLOOKUP(FME_Ranking1[[#This Row],[FME ID]],FME_Input[FME_ID],FME_Input[CRITFAC100])</f>
        <v>0</v>
      </c>
      <c r="S1891" s="230">
        <f>(FME_Ranking1[[#This Row],[Critical Facilities Raw]]/$R$2)*100</f>
        <v>0</v>
      </c>
      <c r="T1891" s="180">
        <f>FME_Ranking1[[#This Row],[Critical Facilities Score (Normalized, Unweighted)]]*$R$3</f>
        <v>0</v>
      </c>
      <c r="U1891">
        <f>_xlfn.XLOOKUP(FME_Ranking1[[#This Row],[FME ID]],FME_Input[FME_ID],FME_Input[LWC])</f>
        <v>0</v>
      </c>
      <c r="V1891" s="178">
        <f>(FME_Ranking1[[#This Row],[LWC Raw]]/$U$2)*100</f>
        <v>0</v>
      </c>
      <c r="W1891" s="178">
        <f>FME_Ranking1[[#This Row],[LWC Score (Normalized, Unweighted)]]*$U$3</f>
        <v>0</v>
      </c>
      <c r="X1891" s="246">
        <f>_xlfn.XLOOKUP(FME_Ranking1[[#This Row],[FME ID]],FME_Input[FME_ID],FME_Input[ROADCLS])</f>
        <v>4</v>
      </c>
      <c r="Y1891" s="230">
        <f>(FME_Ranking1[[#This Row],[Closures Raw]]/$X$2)*100</f>
        <v>4.2056566081379455E-2</v>
      </c>
      <c r="Z1891" s="180">
        <f>FME_Ranking1[[#This Row],[Closures Score (Normalized, Unweighted)]]*$X$3</f>
        <v>2.1028283040689729E-3</v>
      </c>
      <c r="AA1891" s="253">
        <f>_xlfn.XLOOKUP(FME_Ranking1[[#This Row],[FME ID]],FME_Input[FME_ID],FME_Input[ROAD_MILES100])</f>
        <v>4.056946188211441E-2</v>
      </c>
      <c r="AB1891" s="178">
        <f>(FME_Ranking1[[#This Row],[Miles Raw]]/$AA$2)*100</f>
        <v>5.3341565900390079E-4</v>
      </c>
      <c r="AC1891" s="178">
        <f>FME_Ranking1[[#This Row],[Miles Score (Normalized, Unweighted)]]*$AA$3</f>
        <v>5.3341565900390082E-5</v>
      </c>
      <c r="AD1891" s="255">
        <f>_xlfn.XLOOKUP(FME_Ranking1[[#This Row],[FME ID]],FME_Input[FME_ID],FME_Input[FARMACRE100])</f>
        <v>0</v>
      </c>
      <c r="AE1891" s="230">
        <f>(FME_Ranking1[[#This Row],[Ag Land Raw]]/$AD$2)*100</f>
        <v>0</v>
      </c>
      <c r="AF1891" s="231">
        <f>FME_Ranking1[[#This Row],[Ag Land Score (Normalized, Unweighted)]]*$AD$3</f>
        <v>0</v>
      </c>
      <c r="AG189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2.2825626261913212E-3</v>
      </c>
      <c r="AH1891" s="406">
        <f t="shared" si="29"/>
        <v>1939</v>
      </c>
      <c r="AI189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2.2825626261913212E-3</v>
      </c>
      <c r="AJ1891" s="257">
        <f>FME_Ranking1[[#This Row],[Addition check]]-FME_Ranking1[[#This Row],[Weighted Score Based on Normalized Reported Factors]]</f>
        <v>0</v>
      </c>
      <c r="AK1891" s="178">
        <f>_xlfn.RANK.EQ(AI1891,$AI$6:$AI$2341,0)+COUNTIF($AI$6:AI1891,AI1891)-1</f>
        <v>1939</v>
      </c>
    </row>
    <row r="1892" spans="1:37" x14ac:dyDescent="0.25">
      <c r="A1892" t="s">
        <v>10468</v>
      </c>
      <c r="B1892">
        <f>_xlfn.XLOOKUP(FME_Ranking1[[#This Row],[FME ID]],FME_Input[FME_ID],FME_Input[RFPG_NUM])</f>
        <v>13</v>
      </c>
      <c r="C1892" t="str">
        <f>_xlfn.XLOOKUP(FME_Ranking1[[#This Row],[FME ID]],FME_Input[FME_ID],FME_Input[FME_NAME])</f>
        <v>Stormwater Master Plan #8 - Bayshore East Outfall</v>
      </c>
      <c r="D1892" t="str">
        <f>_xlfn.XLOOKUP(FME_Ranking1[[#This Row],[FME ID]],FME_Input[FME_ID],FME_Input[DESCR])</f>
        <v>Positive drainage from stormwater ditch to bay to be improved by site and channel regrading and installation of RCP to provide direct outfalls for low lying areas to the bay.</v>
      </c>
      <c r="E1892" s="256">
        <f>_xlfn.XLOOKUP(FME_Ranking1[[#This Row],[FME ID]],FME_Input[FME_ID],FME_Input[FME_COST])</f>
        <v>14000</v>
      </c>
      <c r="F1892" t="str">
        <f>_xlfn.XLOOKUP(FME_Ranking1[[#This Row],[FME ID]],FME_Input[FME_ID],FME_Input[EMER_NEED])</f>
        <v>Yes</v>
      </c>
      <c r="G1892">
        <f>IF(FME_Ranking!F1892="Yes",100,0)</f>
        <v>100</v>
      </c>
      <c r="H1892">
        <f>FME_Ranking1[[#This Row],[Emergency Need Score (Normalized, Unweighted)]]*$F$3</f>
        <v>0</v>
      </c>
      <c r="I1892" s="246">
        <f>_xlfn.XLOOKUP(FME_Ranking1[[#This Row],[FME ID]],FME_Input[FME_ID],FME_Input[STRUCT_100])</f>
        <v>9</v>
      </c>
      <c r="J1892" s="178">
        <f>(FME_Ranking1[[#This Row],[Structures 100 Raw]]/I$2)*100</f>
        <v>4.8194319496208714E-3</v>
      </c>
      <c r="K1892" s="178">
        <f>FME_Ranking1[[#This Row],[Structures 100  Score (Normalized, Unweighted)]]*$I$3</f>
        <v>7.2291479244313071E-4</v>
      </c>
      <c r="L1892" s="246">
        <f>_xlfn.XLOOKUP(FME_Ranking1[[#This Row],[FME ID]],FME_Input[FME_ID],FME_Input[RES_STRUCT100])</f>
        <v>9</v>
      </c>
      <c r="M1892" s="230">
        <f>(FME_Ranking1[[#This Row],[Res Structures Raw]]/L$2)*100</f>
        <v>6.3747503222790439E-3</v>
      </c>
      <c r="N1892" s="180">
        <f>FME_Ranking1[[#This Row],[Res Structures Score (Normalized, Unweighted)]]*$L$3</f>
        <v>6.3747503222790446E-4</v>
      </c>
      <c r="O1892" s="244">
        <f>_xlfn.XLOOKUP(FME_Ranking1[[#This Row],[FME ID]],FME_Input[FME_ID],FME_Input[POP100])</f>
        <v>20</v>
      </c>
      <c r="P1892" s="178">
        <f>(FME_Ranking1[[#This Row],[Pop Raw]]/$O$2)*100</f>
        <v>2.0475062397752658E-3</v>
      </c>
      <c r="Q1892" s="178">
        <f>FME_Ranking1[[#This Row],[Pop Score (Normalized, Unweighted)]]*$O$3</f>
        <v>3.0712593596628988E-4</v>
      </c>
      <c r="R1892" s="137">
        <f>_xlfn.XLOOKUP(FME_Ranking1[[#This Row],[FME ID]],FME_Input[FME_ID],FME_Input[CRITFAC100])</f>
        <v>0</v>
      </c>
      <c r="S1892" s="230">
        <f>(FME_Ranking1[[#This Row],[Critical Facilities Raw]]/$R$2)*100</f>
        <v>0</v>
      </c>
      <c r="T1892" s="180">
        <f>FME_Ranking1[[#This Row],[Critical Facilities Score (Normalized, Unweighted)]]*$R$3</f>
        <v>0</v>
      </c>
      <c r="U1892">
        <f>_xlfn.XLOOKUP(FME_Ranking1[[#This Row],[FME ID]],FME_Input[FME_ID],FME_Input[LWC])</f>
        <v>0</v>
      </c>
      <c r="V1892" s="178">
        <f>(FME_Ranking1[[#This Row],[LWC Raw]]/$U$2)*100</f>
        <v>0</v>
      </c>
      <c r="W1892" s="178">
        <f>FME_Ranking1[[#This Row],[LWC Score (Normalized, Unweighted)]]*$U$3</f>
        <v>0</v>
      </c>
      <c r="X1892" s="246">
        <f>_xlfn.XLOOKUP(FME_Ranking1[[#This Row],[FME ID]],FME_Input[FME_ID],FME_Input[ROADCLS])</f>
        <v>1</v>
      </c>
      <c r="Y1892" s="230">
        <f>(FME_Ranking1[[#This Row],[Closures Raw]]/$X$2)*100</f>
        <v>1.0514141520344864E-2</v>
      </c>
      <c r="Z1892" s="180">
        <f>FME_Ranking1[[#This Row],[Closures Score (Normalized, Unweighted)]]*$X$3</f>
        <v>5.2570707601724321E-4</v>
      </c>
      <c r="AA1892" s="253">
        <f>_xlfn.XLOOKUP(FME_Ranking1[[#This Row],[FME ID]],FME_Input[FME_ID],FME_Input[ROAD_MILES100])</f>
        <v>0.1082091853022575</v>
      </c>
      <c r="AB1892" s="178">
        <f>(FME_Ranking1[[#This Row],[Miles Raw]]/$AA$2)*100</f>
        <v>1.422756704439448E-3</v>
      </c>
      <c r="AC1892" s="178">
        <f>FME_Ranking1[[#This Row],[Miles Score (Normalized, Unweighted)]]*$AA$3</f>
        <v>1.422756704439448E-4</v>
      </c>
      <c r="AD1892" s="255">
        <f>_xlfn.XLOOKUP(FME_Ranking1[[#This Row],[FME ID]],FME_Input[FME_ID],FME_Input[FARMACRE100])</f>
        <v>0</v>
      </c>
      <c r="AE1892" s="230">
        <f>(FME_Ranking1[[#This Row],[Ag Land Raw]]/$AD$2)*100</f>
        <v>0</v>
      </c>
      <c r="AF1892" s="231">
        <f>FME_Ranking1[[#This Row],[Ag Land Score (Normalized, Unweighted)]]*$AD$3</f>
        <v>0</v>
      </c>
      <c r="AG189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2.3354985070985126E-3</v>
      </c>
      <c r="AH1892" s="406">
        <f t="shared" si="29"/>
        <v>1935</v>
      </c>
      <c r="AI189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2.3354985070985126E-3</v>
      </c>
      <c r="AJ1892" s="257">
        <f>FME_Ranking1[[#This Row],[Addition check]]-FME_Ranking1[[#This Row],[Weighted Score Based on Normalized Reported Factors]]</f>
        <v>0</v>
      </c>
      <c r="AK1892" s="178">
        <f>_xlfn.RANK.EQ(AI1892,$AI$6:$AI$2341,0)+COUNTIF($AI$6:AI1892,AI1892)-1</f>
        <v>1935</v>
      </c>
    </row>
    <row r="1893" spans="1:37" x14ac:dyDescent="0.25">
      <c r="A1893" t="s">
        <v>4543</v>
      </c>
      <c r="B1893">
        <f>_xlfn.XLOOKUP(FME_Ranking1[[#This Row],[FME ID]],FME_Input[FME_ID],FME_Input[RFPG_NUM])</f>
        <v>3</v>
      </c>
      <c r="C1893" t="str">
        <f>_xlfn.XLOOKUP(FME_Ranking1[[#This Row],[FME ID]],FME_Input[FME_ID],FME_Input[FME_NAME])</f>
        <v>Grapeland Critical Facilities Floodproofing Assessment</v>
      </c>
      <c r="D1893" t="str">
        <f>_xlfn.XLOOKUP(FME_Ranking1[[#This Row],[FME ID]],FME_Input[FME_ID],FME_Input[DESCR])</f>
        <v>Assess flood proofing critical facilities to the 500-year flood that are located in flood-prone areas of the city in Region 3</v>
      </c>
      <c r="E1893" s="256">
        <f>_xlfn.XLOOKUP(FME_Ranking1[[#This Row],[FME ID]],FME_Input[FME_ID],FME_Input[FME_COST])</f>
        <v>150000</v>
      </c>
      <c r="F1893" t="str">
        <f>_xlfn.XLOOKUP(FME_Ranking1[[#This Row],[FME ID]],FME_Input[FME_ID],FME_Input[EMER_NEED])</f>
        <v>No</v>
      </c>
      <c r="G1893">
        <f>IF(FME_Ranking!F1893="Yes",100,0)</f>
        <v>0</v>
      </c>
      <c r="H1893">
        <f>FME_Ranking1[[#This Row],[Emergency Need Score (Normalized, Unweighted)]]*$F$3</f>
        <v>0</v>
      </c>
      <c r="I1893" s="246">
        <f>_xlfn.XLOOKUP(FME_Ranking1[[#This Row],[FME ID]],FME_Input[FME_ID],FME_Input[STRUCT_100])</f>
        <v>14</v>
      </c>
      <c r="J1893" s="178">
        <f>(FME_Ranking1[[#This Row],[Structures 100 Raw]]/I$2)*100</f>
        <v>7.4968941438546891E-3</v>
      </c>
      <c r="K1893" s="178">
        <f>FME_Ranking1[[#This Row],[Structures 100  Score (Normalized, Unweighted)]]*$I$3</f>
        <v>1.1245341215782034E-3</v>
      </c>
      <c r="L1893" s="246">
        <f>_xlfn.XLOOKUP(FME_Ranking1[[#This Row],[FME ID]],FME_Input[FME_ID],FME_Input[RES_STRUCT100])</f>
        <v>13</v>
      </c>
      <c r="M1893" s="230">
        <f>(FME_Ranking1[[#This Row],[Res Structures Raw]]/L$2)*100</f>
        <v>9.2079726877363974E-3</v>
      </c>
      <c r="N1893" s="180">
        <f>FME_Ranking1[[#This Row],[Res Structures Score (Normalized, Unweighted)]]*$L$3</f>
        <v>9.2079726877363974E-4</v>
      </c>
      <c r="O1893" s="244">
        <f>_xlfn.XLOOKUP(FME_Ranking1[[#This Row],[FME ID]],FME_Input[FME_ID],FME_Input[POP100])</f>
        <v>8</v>
      </c>
      <c r="P1893" s="178">
        <f>(FME_Ranking1[[#This Row],[Pop Raw]]/$O$2)*100</f>
        <v>8.1900249591010626E-4</v>
      </c>
      <c r="Q1893" s="178">
        <f>FME_Ranking1[[#This Row],[Pop Score (Normalized, Unweighted)]]*$O$3</f>
        <v>1.2285037438651593E-4</v>
      </c>
      <c r="R1893" s="137">
        <f>_xlfn.XLOOKUP(FME_Ranking1[[#This Row],[FME ID]],FME_Input[FME_ID],FME_Input[CRITFAC100])</f>
        <v>0</v>
      </c>
      <c r="S1893" s="230">
        <f>(FME_Ranking1[[#This Row],[Critical Facilities Raw]]/$R$2)*100</f>
        <v>0</v>
      </c>
      <c r="T1893" s="180">
        <f>FME_Ranking1[[#This Row],[Critical Facilities Score (Normalized, Unweighted)]]*$R$3</f>
        <v>0</v>
      </c>
      <c r="U1893">
        <f>_xlfn.XLOOKUP(FME_Ranking1[[#This Row],[FME ID]],FME_Input[FME_ID],FME_Input[LWC])</f>
        <v>0</v>
      </c>
      <c r="V1893" s="178">
        <f>(FME_Ranking1[[#This Row],[LWC Raw]]/$U$2)*100</f>
        <v>0</v>
      </c>
      <c r="W1893" s="178">
        <f>FME_Ranking1[[#This Row],[LWC Score (Normalized, Unweighted)]]*$U$3</f>
        <v>0</v>
      </c>
      <c r="X1893" s="246">
        <f>_xlfn.XLOOKUP(FME_Ranking1[[#This Row],[FME ID]],FME_Input[FME_ID],FME_Input[ROADCLS])</f>
        <v>0</v>
      </c>
      <c r="Y1893" s="230">
        <f>(FME_Ranking1[[#This Row],[Closures Raw]]/$X$2)*100</f>
        <v>0</v>
      </c>
      <c r="Z1893" s="180">
        <f>FME_Ranking1[[#This Row],[Closures Score (Normalized, Unweighted)]]*$X$3</f>
        <v>0</v>
      </c>
      <c r="AA1893" s="253">
        <f>_xlfn.XLOOKUP(FME_Ranking1[[#This Row],[FME ID]],FME_Input[FME_ID],FME_Input[ROAD_MILES100])</f>
        <v>3.3357091248035431E-2</v>
      </c>
      <c r="AB1893" s="178">
        <f>(FME_Ranking1[[#This Row],[Miles Raw]]/$AA$2)*100</f>
        <v>4.3858592115978844E-4</v>
      </c>
      <c r="AC1893" s="178">
        <f>FME_Ranking1[[#This Row],[Miles Score (Normalized, Unweighted)]]*$AA$3</f>
        <v>4.3858592115978846E-5</v>
      </c>
      <c r="AD1893" s="255">
        <f>_xlfn.XLOOKUP(FME_Ranking1[[#This Row],[FME ID]],FME_Input[FME_ID],FME_Input[FARMACRE100])</f>
        <v>3.1482338905334468</v>
      </c>
      <c r="AE1893" s="230">
        <f>(FME_Ranking1[[#This Row],[Ag Land Raw]]/$AD$2)*100</f>
        <v>1.2981907256497314E-4</v>
      </c>
      <c r="AF1893" s="231">
        <f>FME_Ranking1[[#This Row],[Ag Land Score (Normalized, Unweighted)]]*$AD$3</f>
        <v>6.4909536282486576E-6</v>
      </c>
      <c r="AG189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2.2185313104825864E-3</v>
      </c>
      <c r="AH1893" s="406">
        <f t="shared" si="29"/>
        <v>1942</v>
      </c>
      <c r="AI189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2.2185313104825864E-3</v>
      </c>
      <c r="AJ1893" s="257">
        <f>FME_Ranking1[[#This Row],[Addition check]]-FME_Ranking1[[#This Row],[Weighted Score Based on Normalized Reported Factors]]</f>
        <v>0</v>
      </c>
      <c r="AK1893" s="178">
        <f>_xlfn.RANK.EQ(AI1893,$AI$6:$AI$2341,0)+COUNTIF($AI$6:AI1893,AI1893)-1</f>
        <v>1942</v>
      </c>
    </row>
    <row r="1894" spans="1:37" x14ac:dyDescent="0.25">
      <c r="A1894" t="s">
        <v>10286</v>
      </c>
      <c r="B1894">
        <f>_xlfn.XLOOKUP(FME_Ranking1[[#This Row],[FME ID]],FME_Input[FME_ID],FME_Input[RFPG_NUM])</f>
        <v>13</v>
      </c>
      <c r="C1894" t="str">
        <f>_xlfn.XLOOKUP(FME_Ranking1[[#This Row],[FME ID]],FME_Input[FME_ID],FME_Input[FME_NAME])</f>
        <v>Ave A 4th Street Extension</v>
      </c>
      <c r="D1894" t="str">
        <f>_xlfn.XLOOKUP(FME_Ranking1[[#This Row],[FME ID]],FME_Input[FME_ID],FME_Input[DESCR])</f>
        <v>Secure drainage ROWs along Ave. A near 4th to South of 6th St. Design underground and/or open channel system improve drainage. This section of Avenue A has is often inundated by heavy rains due to poor drainage, cutting off access to area residences.</v>
      </c>
      <c r="E1894" s="256">
        <f>_xlfn.XLOOKUP(FME_Ranking1[[#This Row],[FME ID]],FME_Input[FME_ID],FME_Input[FME_COST])</f>
        <v>750000</v>
      </c>
      <c r="F1894" t="str">
        <f>_xlfn.XLOOKUP(FME_Ranking1[[#This Row],[FME ID]],FME_Input[FME_ID],FME_Input[EMER_NEED])</f>
        <v>Yes</v>
      </c>
      <c r="G1894">
        <f>IF(FME_Ranking!F1894="Yes",100,0)</f>
        <v>100</v>
      </c>
      <c r="H1894">
        <f>FME_Ranking1[[#This Row],[Emergency Need Score (Normalized, Unweighted)]]*$F$3</f>
        <v>0</v>
      </c>
      <c r="I1894" s="246">
        <f>_xlfn.XLOOKUP(FME_Ranking1[[#This Row],[FME ID]],FME_Input[FME_ID],FME_Input[STRUCT_100])</f>
        <v>4</v>
      </c>
      <c r="J1894" s="178">
        <f>(FME_Ranking1[[#This Row],[Structures 100 Raw]]/I$2)*100</f>
        <v>2.1419697553870542E-3</v>
      </c>
      <c r="K1894" s="178">
        <f>FME_Ranking1[[#This Row],[Structures 100  Score (Normalized, Unweighted)]]*$I$3</f>
        <v>3.2129546330805813E-4</v>
      </c>
      <c r="L1894" s="246">
        <f>_xlfn.XLOOKUP(FME_Ranking1[[#This Row],[FME ID]],FME_Input[FME_ID],FME_Input[RES_STRUCT100])</f>
        <v>3</v>
      </c>
      <c r="M1894" s="230">
        <f>(FME_Ranking1[[#This Row],[Res Structures Raw]]/L$2)*100</f>
        <v>2.1249167740930146E-3</v>
      </c>
      <c r="N1894" s="180">
        <f>FME_Ranking1[[#This Row],[Res Structures Score (Normalized, Unweighted)]]*$L$3</f>
        <v>2.1249167740930149E-4</v>
      </c>
      <c r="O1894" s="244">
        <f>_xlfn.XLOOKUP(FME_Ranking1[[#This Row],[FME ID]],FME_Input[FME_ID],FME_Input[POP100])</f>
        <v>4</v>
      </c>
      <c r="P1894" s="178">
        <f>(FME_Ranking1[[#This Row],[Pop Raw]]/$O$2)*100</f>
        <v>4.0950124795505313E-4</v>
      </c>
      <c r="Q1894" s="178">
        <f>FME_Ranking1[[#This Row],[Pop Score (Normalized, Unweighted)]]*$O$3</f>
        <v>6.1425187193257967E-5</v>
      </c>
      <c r="R1894" s="137">
        <f>_xlfn.XLOOKUP(FME_Ranking1[[#This Row],[FME ID]],FME_Input[FME_ID],FME_Input[CRITFAC100])</f>
        <v>0</v>
      </c>
      <c r="S1894" s="230">
        <f>(FME_Ranking1[[#This Row],[Critical Facilities Raw]]/$R$2)*100</f>
        <v>0</v>
      </c>
      <c r="T1894" s="180">
        <f>FME_Ranking1[[#This Row],[Critical Facilities Score (Normalized, Unweighted)]]*$R$3</f>
        <v>0</v>
      </c>
      <c r="U1894">
        <f>_xlfn.XLOOKUP(FME_Ranking1[[#This Row],[FME ID]],FME_Input[FME_ID],FME_Input[LWC])</f>
        <v>0</v>
      </c>
      <c r="V1894" s="178">
        <f>(FME_Ranking1[[#This Row],[LWC Raw]]/$U$2)*100</f>
        <v>0</v>
      </c>
      <c r="W1894" s="178">
        <f>FME_Ranking1[[#This Row],[LWC Score (Normalized, Unweighted)]]*$U$3</f>
        <v>0</v>
      </c>
      <c r="X1894" s="246">
        <f>_xlfn.XLOOKUP(FME_Ranking1[[#This Row],[FME ID]],FME_Input[FME_ID],FME_Input[ROADCLS])</f>
        <v>3</v>
      </c>
      <c r="Y1894" s="230">
        <f>(FME_Ranking1[[#This Row],[Closures Raw]]/$X$2)*100</f>
        <v>3.1542424561034593E-2</v>
      </c>
      <c r="Z1894" s="180">
        <f>FME_Ranking1[[#This Row],[Closures Score (Normalized, Unweighted)]]*$X$3</f>
        <v>1.5771212280517297E-3</v>
      </c>
      <c r="AA1894" s="253">
        <f>_xlfn.XLOOKUP(FME_Ranking1[[#This Row],[FME ID]],FME_Input[FME_ID],FME_Input[ROAD_MILES100])</f>
        <v>0.11033552885055541</v>
      </c>
      <c r="AB1894" s="178">
        <f>(FME_Ranking1[[#This Row],[Miles Raw]]/$AA$2)*100</f>
        <v>1.4507143083233697E-3</v>
      </c>
      <c r="AC1894" s="178">
        <f>FME_Ranking1[[#This Row],[Miles Score (Normalized, Unweighted)]]*$AA$3</f>
        <v>1.4507143083233699E-4</v>
      </c>
      <c r="AD1894" s="255">
        <f>_xlfn.XLOOKUP(FME_Ranking1[[#This Row],[FME ID]],FME_Input[FME_ID],FME_Input[FARMACRE100])</f>
        <v>0.2097935080528259</v>
      </c>
      <c r="AE1894" s="230">
        <f>(FME_Ranking1[[#This Row],[Ag Land Raw]]/$AD$2)*100</f>
        <v>8.6509451306857202E-6</v>
      </c>
      <c r="AF1894" s="231">
        <f>FME_Ranking1[[#This Row],[Ag Land Score (Normalized, Unweighted)]]*$AD$3</f>
        <v>4.3254725653428603E-7</v>
      </c>
      <c r="AG189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2.3178375340512187E-3</v>
      </c>
      <c r="AH1894" s="406">
        <f t="shared" si="29"/>
        <v>1936</v>
      </c>
      <c r="AI189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2.3178375340512187E-3</v>
      </c>
      <c r="AJ1894" s="257">
        <f>FME_Ranking1[[#This Row],[Addition check]]-FME_Ranking1[[#This Row],[Weighted Score Based on Normalized Reported Factors]]</f>
        <v>0</v>
      </c>
      <c r="AK1894" s="178">
        <f>_xlfn.RANK.EQ(AI1894,$AI$6:$AI$2341,0)+COUNTIF($AI$6:AI1894,AI1894)-1</f>
        <v>1936</v>
      </c>
    </row>
    <row r="1895" spans="1:37" x14ac:dyDescent="0.25">
      <c r="A1895" t="s">
        <v>9305</v>
      </c>
      <c r="B1895">
        <f>_xlfn.XLOOKUP(FME_Ranking1[[#This Row],[FME ID]],FME_Input[FME_ID],FME_Input[RFPG_NUM])</f>
        <v>12</v>
      </c>
      <c r="C1895" t="str">
        <f>_xlfn.XLOOKUP(FME_Ranking1[[#This Row],[FME ID]],FME_Input[FME_ID],FME_Input[FME_NAME])</f>
        <v>Damage Center 43-Olmos Creek Middle Reach near DeZavala</v>
      </c>
      <c r="D1895" t="str">
        <f>_xlfn.XLOOKUP(FME_Ranking1[[#This Row],[FME ID]],FME_Input[FME_ID],FME_Input[DESCR])</f>
        <v>The  depth  of flooding for the 100-year event ranges between 0.10 and 3.82 feet, therefore, buyouts  do  not appear  to  be  a  practical solution</v>
      </c>
      <c r="E1895" s="256">
        <f>_xlfn.XLOOKUP(FME_Ranking1[[#This Row],[FME ID]],FME_Input[FME_ID],FME_Input[FME_COST])</f>
        <v>8878636</v>
      </c>
      <c r="F1895" t="str">
        <f>_xlfn.XLOOKUP(FME_Ranking1[[#This Row],[FME ID]],FME_Input[FME_ID],FME_Input[EMER_NEED])</f>
        <v>No</v>
      </c>
      <c r="G1895">
        <f>IF(FME_Ranking!F1895="Yes",100,0)</f>
        <v>0</v>
      </c>
      <c r="H1895">
        <f>FME_Ranking1[[#This Row],[Emergency Need Score (Normalized, Unweighted)]]*$F$3</f>
        <v>0</v>
      </c>
      <c r="I1895" s="246">
        <f>_xlfn.XLOOKUP(FME_Ranking1[[#This Row],[FME ID]],FME_Input[FME_ID],FME_Input[STRUCT_100])</f>
        <v>9</v>
      </c>
      <c r="J1895" s="178">
        <f>(FME_Ranking1[[#This Row],[Structures 100 Raw]]/I$2)*100</f>
        <v>4.8194319496208714E-3</v>
      </c>
      <c r="K1895" s="178">
        <f>FME_Ranking1[[#This Row],[Structures 100  Score (Normalized, Unweighted)]]*$I$3</f>
        <v>7.2291479244313071E-4</v>
      </c>
      <c r="L1895" s="246">
        <f>_xlfn.XLOOKUP(FME_Ranking1[[#This Row],[FME ID]],FME_Input[FME_ID],FME_Input[RES_STRUCT100])</f>
        <v>9</v>
      </c>
      <c r="M1895" s="230">
        <f>(FME_Ranking1[[#This Row],[Res Structures Raw]]/L$2)*100</f>
        <v>6.3747503222790439E-3</v>
      </c>
      <c r="N1895" s="180">
        <f>FME_Ranking1[[#This Row],[Res Structures Score (Normalized, Unweighted)]]*$L$3</f>
        <v>6.3747503222790446E-4</v>
      </c>
      <c r="O1895" s="244">
        <f>_xlfn.XLOOKUP(FME_Ranking1[[#This Row],[FME ID]],FME_Input[FME_ID],FME_Input[POP100])</f>
        <v>18</v>
      </c>
      <c r="P1895" s="178">
        <f>(FME_Ranking1[[#This Row],[Pop Raw]]/$O$2)*100</f>
        <v>1.8427556157977389E-3</v>
      </c>
      <c r="Q1895" s="178">
        <f>FME_Ranking1[[#This Row],[Pop Score (Normalized, Unweighted)]]*$O$3</f>
        <v>2.7641334236966082E-4</v>
      </c>
      <c r="R1895" s="137">
        <f>_xlfn.XLOOKUP(FME_Ranking1[[#This Row],[FME ID]],FME_Input[FME_ID],FME_Input[CRITFAC100])</f>
        <v>0</v>
      </c>
      <c r="S1895" s="230">
        <f>(FME_Ranking1[[#This Row],[Critical Facilities Raw]]/$R$2)*100</f>
        <v>0</v>
      </c>
      <c r="T1895" s="180">
        <f>FME_Ranking1[[#This Row],[Critical Facilities Score (Normalized, Unweighted)]]*$R$3</f>
        <v>0</v>
      </c>
      <c r="U1895">
        <f>_xlfn.XLOOKUP(FME_Ranking1[[#This Row],[FME ID]],FME_Input[FME_ID],FME_Input[LWC])</f>
        <v>0</v>
      </c>
      <c r="V1895" s="178">
        <f>(FME_Ranking1[[#This Row],[LWC Raw]]/$U$2)*100</f>
        <v>0</v>
      </c>
      <c r="W1895" s="178">
        <f>FME_Ranking1[[#This Row],[LWC Score (Normalized, Unweighted)]]*$U$3</f>
        <v>0</v>
      </c>
      <c r="X1895" s="246">
        <f>_xlfn.XLOOKUP(FME_Ranking1[[#This Row],[FME ID]],FME_Input[FME_ID],FME_Input[ROADCLS])</f>
        <v>1</v>
      </c>
      <c r="Y1895" s="230">
        <f>(FME_Ranking1[[#This Row],[Closures Raw]]/$X$2)*100</f>
        <v>1.0514141520344864E-2</v>
      </c>
      <c r="Z1895" s="180">
        <f>FME_Ranking1[[#This Row],[Closures Score (Normalized, Unweighted)]]*$X$3</f>
        <v>5.2570707601724321E-4</v>
      </c>
      <c r="AA1895" s="253">
        <f>_xlfn.XLOOKUP(FME_Ranking1[[#This Row],[FME ID]],FME_Input[FME_ID],FME_Input[ROAD_MILES100])</f>
        <v>7.2999998927116394E-2</v>
      </c>
      <c r="AB1895" s="178">
        <f>(FME_Ranking1[[#This Row],[Miles Raw]]/$AA$2)*100</f>
        <v>9.5981905424678002E-4</v>
      </c>
      <c r="AC1895" s="178">
        <f>FME_Ranking1[[#This Row],[Miles Score (Normalized, Unweighted)]]*$AA$3</f>
        <v>9.598190542467801E-5</v>
      </c>
      <c r="AD1895" s="255">
        <f>_xlfn.XLOOKUP(FME_Ranking1[[#This Row],[FME ID]],FME_Input[FME_ID],FME_Input[FARMACRE100])</f>
        <v>0</v>
      </c>
      <c r="AE1895" s="230">
        <f>(FME_Ranking1[[#This Row],[Ag Land Raw]]/$AD$2)*100</f>
        <v>0</v>
      </c>
      <c r="AF1895" s="231">
        <f>FME_Ranking1[[#This Row],[Ag Land Score (Normalized, Unweighted)]]*$AD$3</f>
        <v>0</v>
      </c>
      <c r="AG189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2.2584921484826172E-3</v>
      </c>
      <c r="AH1895" s="406">
        <f t="shared" si="29"/>
        <v>1940</v>
      </c>
      <c r="AI189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2.2584921484826172E-3</v>
      </c>
      <c r="AJ1895" s="257">
        <f>FME_Ranking1[[#This Row],[Addition check]]-FME_Ranking1[[#This Row],[Weighted Score Based on Normalized Reported Factors]]</f>
        <v>0</v>
      </c>
      <c r="AK1895" s="178">
        <f>_xlfn.RANK.EQ(AI1895,$AI$6:$AI$2341,0)+COUNTIF($AI$6:AI1895,AI1895)-1</f>
        <v>1940</v>
      </c>
    </row>
    <row r="1896" spans="1:37" x14ac:dyDescent="0.25">
      <c r="A1896" t="s">
        <v>1744</v>
      </c>
      <c r="B1896">
        <f>_xlfn.XLOOKUP(FME_Ranking1[[#This Row],[FME ID]],FME_Input[FME_ID],FME_Input[RFPG_NUM])</f>
        <v>6</v>
      </c>
      <c r="C1896" t="str">
        <f>_xlfn.XLOOKUP(FME_Ranking1[[#This Row],[FME ID]],FME_Input[FME_ID],FME_Input[FME_NAME])</f>
        <v>City of Shenandoah  Master Drainage Plan</v>
      </c>
      <c r="D1896" t="str">
        <f>_xlfn.XLOOKUP(FME_Ranking1[[#This Row],[FME ID]],FME_Input[FME_ID],FME_Input[DESCR])</f>
        <v>Study to develop Master Drainage Plan using future and existing land use and flood/storm water drainage needs including Atlas 14 rainfall.</v>
      </c>
      <c r="E1896" s="256">
        <f>_xlfn.XLOOKUP(FME_Ranking1[[#This Row],[FME ID]],FME_Input[FME_ID],FME_Input[FME_COST])</f>
        <v>190000</v>
      </c>
      <c r="F1896" t="str">
        <f>_xlfn.XLOOKUP(FME_Ranking1[[#This Row],[FME ID]],FME_Input[FME_ID],FME_Input[EMER_NEED])</f>
        <v>Yes</v>
      </c>
      <c r="G1896">
        <f>IF(FME_Ranking!F1896="Yes",100,0)</f>
        <v>100</v>
      </c>
      <c r="H1896">
        <f>FME_Ranking1[[#This Row],[Emergency Need Score (Normalized, Unweighted)]]*$F$3</f>
        <v>0</v>
      </c>
      <c r="I1896" s="246">
        <f>_xlfn.XLOOKUP(FME_Ranking1[[#This Row],[FME ID]],FME_Input[FME_ID],FME_Input[STRUCT_100])</f>
        <v>10</v>
      </c>
      <c r="J1896" s="178">
        <f>(FME_Ranking1[[#This Row],[Structures 100 Raw]]/I$2)*100</f>
        <v>5.3549243884676344E-3</v>
      </c>
      <c r="K1896" s="178">
        <f>FME_Ranking1[[#This Row],[Structures 100  Score (Normalized, Unweighted)]]*$I$3</f>
        <v>8.0323865827014516E-4</v>
      </c>
      <c r="L1896" s="246">
        <f>_xlfn.XLOOKUP(FME_Ranking1[[#This Row],[FME ID]],FME_Input[FME_ID],FME_Input[RES_STRUCT100])</f>
        <v>9</v>
      </c>
      <c r="M1896" s="230">
        <f>(FME_Ranking1[[#This Row],[Res Structures Raw]]/L$2)*100</f>
        <v>6.3747503222790439E-3</v>
      </c>
      <c r="N1896" s="180">
        <f>FME_Ranking1[[#This Row],[Res Structures Score (Normalized, Unweighted)]]*$L$3</f>
        <v>6.3747503222790446E-4</v>
      </c>
      <c r="O1896" s="244">
        <f>_xlfn.XLOOKUP(FME_Ranking1[[#This Row],[FME ID]],FME_Input[FME_ID],FME_Input[POP100])</f>
        <v>45</v>
      </c>
      <c r="P1896" s="178">
        <f>(FME_Ranking1[[#This Row],[Pop Raw]]/$O$2)*100</f>
        <v>4.6068890394943482E-3</v>
      </c>
      <c r="Q1896" s="178">
        <f>FME_Ranking1[[#This Row],[Pop Score (Normalized, Unweighted)]]*$O$3</f>
        <v>6.9103335592415221E-4</v>
      </c>
      <c r="R1896" s="137">
        <f>_xlfn.XLOOKUP(FME_Ranking1[[#This Row],[FME ID]],FME_Input[FME_ID],FME_Input[CRITFAC100])</f>
        <v>0</v>
      </c>
      <c r="S1896" s="230">
        <f>(FME_Ranking1[[#This Row],[Critical Facilities Raw]]/$R$2)*100</f>
        <v>0</v>
      </c>
      <c r="T1896" s="180">
        <f>FME_Ranking1[[#This Row],[Critical Facilities Score (Normalized, Unweighted)]]*$R$3</f>
        <v>0</v>
      </c>
      <c r="U1896">
        <f>_xlfn.XLOOKUP(FME_Ranking1[[#This Row],[FME ID]],FME_Input[FME_ID],FME_Input[LWC])</f>
        <v>0</v>
      </c>
      <c r="V1896" s="178">
        <f>(FME_Ranking1[[#This Row],[LWC Raw]]/$U$2)*100</f>
        <v>0</v>
      </c>
      <c r="W1896" s="178">
        <f>FME_Ranking1[[#This Row],[LWC Score (Normalized, Unweighted)]]*$U$3</f>
        <v>0</v>
      </c>
      <c r="X1896" s="246">
        <f>_xlfn.XLOOKUP(FME_Ranking1[[#This Row],[FME ID]],FME_Input[FME_ID],FME_Input[ROADCLS])</f>
        <v>0</v>
      </c>
      <c r="Y1896" s="230">
        <f>(FME_Ranking1[[#This Row],[Closures Raw]]/$X$2)*100</f>
        <v>0</v>
      </c>
      <c r="Z1896" s="180">
        <f>FME_Ranking1[[#This Row],[Closures Score (Normalized, Unweighted)]]*$X$3</f>
        <v>0</v>
      </c>
      <c r="AA1896" s="253">
        <f>_xlfn.XLOOKUP(FME_Ranking1[[#This Row],[FME ID]],FME_Input[FME_ID],FME_Input[ROAD_MILES100])</f>
        <v>1.523672975599766E-2</v>
      </c>
      <c r="AB1896" s="178">
        <f>(FME_Ranking1[[#This Row],[Miles Raw]]/$AA$2)*100</f>
        <v>2.0033566793359314E-4</v>
      </c>
      <c r="AC1896" s="178">
        <f>FME_Ranking1[[#This Row],[Miles Score (Normalized, Unweighted)]]*$AA$3</f>
        <v>2.0033566793359317E-5</v>
      </c>
      <c r="AD1896" s="255">
        <f>_xlfn.XLOOKUP(FME_Ranking1[[#This Row],[FME ID]],FME_Input[FME_ID],FME_Input[FARMACRE100])</f>
        <v>0.25589761137962341</v>
      </c>
      <c r="AE1896" s="230">
        <f>(FME_Ranking1[[#This Row],[Ag Land Raw]]/$AD$2)*100</f>
        <v>1.0552071966694207E-5</v>
      </c>
      <c r="AF1896" s="231">
        <f>FME_Ranking1[[#This Row],[Ag Land Score (Normalized, Unweighted)]]*$AD$3</f>
        <v>5.2760359833471043E-7</v>
      </c>
      <c r="AG189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2.1523082168138957E-3</v>
      </c>
      <c r="AH1896" s="406">
        <f t="shared" si="29"/>
        <v>1948</v>
      </c>
      <c r="AI189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2.1523082168138957E-3</v>
      </c>
      <c r="AJ1896" s="257">
        <f>FME_Ranking1[[#This Row],[Addition check]]-FME_Ranking1[[#This Row],[Weighted Score Based on Normalized Reported Factors]]</f>
        <v>0</v>
      </c>
      <c r="AK1896" s="178">
        <f>_xlfn.RANK.EQ(AI1896,$AI$6:$AI$2341,0)+COUNTIF($AI$6:AI1896,AI1896)-1</f>
        <v>1948</v>
      </c>
    </row>
    <row r="1897" spans="1:37" x14ac:dyDescent="0.25">
      <c r="A1897" t="s">
        <v>3627</v>
      </c>
      <c r="B1897">
        <f>_xlfn.XLOOKUP(FME_Ranking1[[#This Row],[FME ID]],FME_Input[FME_ID],FME_Input[RFPG_NUM])</f>
        <v>2</v>
      </c>
      <c r="C1897" t="str">
        <f>_xlfn.XLOOKUP(FME_Ranking1[[#This Row],[FME ID]],FME_Input[FME_ID],FME_Input[FME_NAME])</f>
        <v>City of Ector Property Buyout</v>
      </c>
      <c r="D1897" t="str">
        <f>_xlfn.XLOOKUP(FME_Ranking1[[#This Row],[FME ID]],FME_Input[FME_ID],FME_Input[DESCR])</f>
        <v>Acquire flood-prone properties for use as park areas.</v>
      </c>
      <c r="E1897" s="256">
        <f>_xlfn.XLOOKUP(FME_Ranking1[[#This Row],[FME ID]],FME_Input[FME_ID],FME_Input[FME_COST])</f>
        <v>250000</v>
      </c>
      <c r="F1897" t="str">
        <f>_xlfn.XLOOKUP(FME_Ranking1[[#This Row],[FME ID]],FME_Input[FME_ID],FME_Input[EMER_NEED])</f>
        <v>No</v>
      </c>
      <c r="G1897">
        <f>IF(FME_Ranking!F1897="Yes",100,0)</f>
        <v>0</v>
      </c>
      <c r="H1897">
        <f>FME_Ranking1[[#This Row],[Emergency Need Score (Normalized, Unweighted)]]*$F$3</f>
        <v>0</v>
      </c>
      <c r="I1897" s="246">
        <f>_xlfn.XLOOKUP(FME_Ranking1[[#This Row],[FME ID]],FME_Input[FME_ID],FME_Input[STRUCT_100])</f>
        <v>15</v>
      </c>
      <c r="J1897" s="178">
        <f>(FME_Ranking1[[#This Row],[Structures 100 Raw]]/I$2)*100</f>
        <v>8.0323865827014521E-3</v>
      </c>
      <c r="K1897" s="178">
        <f>FME_Ranking1[[#This Row],[Structures 100  Score (Normalized, Unweighted)]]*$I$3</f>
        <v>1.2048579874052179E-3</v>
      </c>
      <c r="L1897" s="246">
        <f>_xlfn.XLOOKUP(FME_Ranking1[[#This Row],[FME ID]],FME_Input[FME_ID],FME_Input[RES_STRUCT100])</f>
        <v>10</v>
      </c>
      <c r="M1897" s="230">
        <f>(FME_Ranking1[[#This Row],[Res Structures Raw]]/L$2)*100</f>
        <v>7.0830559136433819E-3</v>
      </c>
      <c r="N1897" s="180">
        <f>FME_Ranking1[[#This Row],[Res Structures Score (Normalized, Unweighted)]]*$L$3</f>
        <v>7.0830559136433825E-4</v>
      </c>
      <c r="O1897" s="244">
        <f>_xlfn.XLOOKUP(FME_Ranking1[[#This Row],[FME ID]],FME_Input[FME_ID],FME_Input[POP100])</f>
        <v>14</v>
      </c>
      <c r="P1897" s="178">
        <f>(FME_Ranking1[[#This Row],[Pop Raw]]/$O$2)*100</f>
        <v>1.4332543678426859E-3</v>
      </c>
      <c r="Q1897" s="178">
        <f>FME_Ranking1[[#This Row],[Pop Score (Normalized, Unweighted)]]*$O$3</f>
        <v>2.1498815517640289E-4</v>
      </c>
      <c r="R1897" s="137">
        <f>_xlfn.XLOOKUP(FME_Ranking1[[#This Row],[FME ID]],FME_Input[FME_ID],FME_Input[CRITFAC100])</f>
        <v>0</v>
      </c>
      <c r="S1897" s="230">
        <f>(FME_Ranking1[[#This Row],[Critical Facilities Raw]]/$R$2)*100</f>
        <v>0</v>
      </c>
      <c r="T1897" s="180">
        <f>FME_Ranking1[[#This Row],[Critical Facilities Score (Normalized, Unweighted)]]*$R$3</f>
        <v>0</v>
      </c>
      <c r="U1897">
        <f>_xlfn.XLOOKUP(FME_Ranking1[[#This Row],[FME ID]],FME_Input[FME_ID],FME_Input[LWC])</f>
        <v>0</v>
      </c>
      <c r="V1897" s="178">
        <f>(FME_Ranking1[[#This Row],[LWC Raw]]/$U$2)*100</f>
        <v>0</v>
      </c>
      <c r="W1897" s="178">
        <f>FME_Ranking1[[#This Row],[LWC Score (Normalized, Unweighted)]]*$U$3</f>
        <v>0</v>
      </c>
      <c r="X1897" s="246">
        <f>_xlfn.XLOOKUP(FME_Ranking1[[#This Row],[FME ID]],FME_Input[FME_ID],FME_Input[ROADCLS])</f>
        <v>0</v>
      </c>
      <c r="Y1897" s="230">
        <f>(FME_Ranking1[[#This Row],[Closures Raw]]/$X$2)*100</f>
        <v>0</v>
      </c>
      <c r="Z1897" s="180">
        <f>FME_Ranking1[[#This Row],[Closures Score (Normalized, Unweighted)]]*$X$3</f>
        <v>0</v>
      </c>
      <c r="AA1897" s="253">
        <f>_xlfn.XLOOKUP(FME_Ranking1[[#This Row],[FME ID]],FME_Input[FME_ID],FME_Input[ROAD_MILES100])</f>
        <v>0.80608063936233521</v>
      </c>
      <c r="AB1897" s="178">
        <f>(FME_Ranking1[[#This Row],[Miles Raw]]/$AA$2)*100</f>
        <v>1.0598514634114643E-2</v>
      </c>
      <c r="AC1897" s="178">
        <f>FME_Ranking1[[#This Row],[Miles Score (Normalized, Unweighted)]]*$AA$3</f>
        <v>1.0598514634114643E-3</v>
      </c>
      <c r="AD1897" s="255">
        <f>_xlfn.XLOOKUP(FME_Ranking1[[#This Row],[FME ID]],FME_Input[FME_ID],FME_Input[FARMACRE100])</f>
        <v>1.8332957029342649</v>
      </c>
      <c r="AE1897" s="230">
        <f>(FME_Ranking1[[#This Row],[Ag Land Raw]]/$AD$2)*100</f>
        <v>7.5596908034031049E-5</v>
      </c>
      <c r="AF1897" s="231">
        <f>FME_Ranking1[[#This Row],[Ag Land Score (Normalized, Unweighted)]]*$AD$3</f>
        <v>3.7798454017015526E-6</v>
      </c>
      <c r="AG189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3.1917830427591245E-3</v>
      </c>
      <c r="AH1897" s="406">
        <f t="shared" si="29"/>
        <v>1892</v>
      </c>
      <c r="AI189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3.1917830427591245E-3</v>
      </c>
      <c r="AJ1897" s="257">
        <f>FME_Ranking1[[#This Row],[Addition check]]-FME_Ranking1[[#This Row],[Weighted Score Based on Normalized Reported Factors]]</f>
        <v>0</v>
      </c>
      <c r="AK1897" s="178">
        <f>_xlfn.RANK.EQ(AI1897,$AI$6:$AI$2341,0)+COUNTIF($AI$6:AI1897,AI1897)-1</f>
        <v>1892</v>
      </c>
    </row>
    <row r="1898" spans="1:37" x14ac:dyDescent="0.25">
      <c r="A1898" t="s">
        <v>10816</v>
      </c>
      <c r="B1898">
        <f>_xlfn.XLOOKUP(FME_Ranking1[[#This Row],[FME ID]],FME_Input[FME_ID],FME_Input[RFPG_NUM])</f>
        <v>13</v>
      </c>
      <c r="C1898" t="str">
        <f>_xlfn.XLOOKUP(FME_Ranking1[[#This Row],[FME ID]],FME_Input[FME_ID],FME_Input[FME_NAME])</f>
        <v>Pipeline between Choke Canyon Reservoir and Lake Corpus Christi</v>
      </c>
      <c r="D1898" t="str">
        <f>_xlfn.XLOOKUP(FME_Ranking1[[#This Row],[FME ID]],FME_Input[FME_ID],FME_Input[DESCR])</f>
        <v>A 2001 study showed that losses in the natural streams between CCR and LCC could possibly be prevented by a transmission pipeline. The pipeline can also provide flood mitigation benefits with a two-way operation via pumping.</v>
      </c>
      <c r="E1898" s="256">
        <f>_xlfn.XLOOKUP(FME_Ranking1[[#This Row],[FME ID]],FME_Input[FME_ID],FME_Input[FME_COST])</f>
        <v>40739000</v>
      </c>
      <c r="F1898" t="str">
        <f>_xlfn.XLOOKUP(FME_Ranking1[[#This Row],[FME ID]],FME_Input[FME_ID],FME_Input[EMER_NEED])</f>
        <v>Yes</v>
      </c>
      <c r="G1898">
        <f>IF(FME_Ranking!F1898="Yes",100,0)</f>
        <v>100</v>
      </c>
      <c r="H1898">
        <f>FME_Ranking1[[#This Row],[Emergency Need Score (Normalized, Unweighted)]]*$F$3</f>
        <v>0</v>
      </c>
      <c r="I1898" s="246">
        <f>_xlfn.XLOOKUP(FME_Ranking1[[#This Row],[FME ID]],FME_Input[FME_ID],FME_Input[STRUCT_100])</f>
        <v>2</v>
      </c>
      <c r="J1898" s="178">
        <f>(FME_Ranking1[[#This Row],[Structures 100 Raw]]/I$2)*100</f>
        <v>1.0709848776935271E-3</v>
      </c>
      <c r="K1898" s="178">
        <f>FME_Ranking1[[#This Row],[Structures 100  Score (Normalized, Unweighted)]]*$I$3</f>
        <v>1.6064773165402907E-4</v>
      </c>
      <c r="L1898" s="246">
        <f>_xlfn.XLOOKUP(FME_Ranking1[[#This Row],[FME ID]],FME_Input[FME_ID],FME_Input[RES_STRUCT100])</f>
        <v>0</v>
      </c>
      <c r="M1898" s="230">
        <f>(FME_Ranking1[[#This Row],[Res Structures Raw]]/L$2)*100</f>
        <v>0</v>
      </c>
      <c r="N1898" s="180">
        <f>FME_Ranking1[[#This Row],[Res Structures Score (Normalized, Unweighted)]]*$L$3</f>
        <v>0</v>
      </c>
      <c r="O1898" s="244">
        <f>_xlfn.XLOOKUP(FME_Ranking1[[#This Row],[FME ID]],FME_Input[FME_ID],FME_Input[POP100])</f>
        <v>24</v>
      </c>
      <c r="P1898" s="178">
        <f>(FME_Ranking1[[#This Row],[Pop Raw]]/$O$2)*100</f>
        <v>2.457007487730319E-3</v>
      </c>
      <c r="Q1898" s="178">
        <f>FME_Ranking1[[#This Row],[Pop Score (Normalized, Unweighted)]]*$O$3</f>
        <v>3.6855112315954783E-4</v>
      </c>
      <c r="R1898" s="137">
        <f>_xlfn.XLOOKUP(FME_Ranking1[[#This Row],[FME ID]],FME_Input[FME_ID],FME_Input[CRITFAC100])</f>
        <v>0</v>
      </c>
      <c r="S1898" s="230">
        <f>(FME_Ranking1[[#This Row],[Critical Facilities Raw]]/$R$2)*100</f>
        <v>0</v>
      </c>
      <c r="T1898" s="180">
        <f>FME_Ranking1[[#This Row],[Critical Facilities Score (Normalized, Unweighted)]]*$R$3</f>
        <v>0</v>
      </c>
      <c r="U1898">
        <f>_xlfn.XLOOKUP(FME_Ranking1[[#This Row],[FME ID]],FME_Input[FME_ID],FME_Input[LWC])</f>
        <v>0</v>
      </c>
      <c r="V1898" s="178">
        <f>(FME_Ranking1[[#This Row],[LWC Raw]]/$U$2)*100</f>
        <v>0</v>
      </c>
      <c r="W1898" s="178">
        <f>FME_Ranking1[[#This Row],[LWC Score (Normalized, Unweighted)]]*$U$3</f>
        <v>0</v>
      </c>
      <c r="X1898" s="246">
        <f>_xlfn.XLOOKUP(FME_Ranking1[[#This Row],[FME ID]],FME_Input[FME_ID],FME_Input[ROADCLS])</f>
        <v>3</v>
      </c>
      <c r="Y1898" s="230">
        <f>(FME_Ranking1[[#This Row],[Closures Raw]]/$X$2)*100</f>
        <v>3.1542424561034593E-2</v>
      </c>
      <c r="Z1898" s="180">
        <f>FME_Ranking1[[#This Row],[Closures Score (Normalized, Unweighted)]]*$X$3</f>
        <v>1.5771212280517297E-3</v>
      </c>
      <c r="AA1898" s="253">
        <f>_xlfn.XLOOKUP(FME_Ranking1[[#This Row],[FME ID]],FME_Input[FME_ID],FME_Input[ROAD_MILES100])</f>
        <v>0.42753133177757258</v>
      </c>
      <c r="AB1898" s="178">
        <f>(FME_Ranking1[[#This Row],[Miles Raw]]/$AA$2)*100</f>
        <v>5.6212701994326668E-3</v>
      </c>
      <c r="AC1898" s="178">
        <f>FME_Ranking1[[#This Row],[Miles Score (Normalized, Unweighted)]]*$AA$3</f>
        <v>5.621270199432667E-4</v>
      </c>
      <c r="AD1898" s="255">
        <f>_xlfn.XLOOKUP(FME_Ranking1[[#This Row],[FME ID]],FME_Input[FME_ID],FME_Input[FARMACRE100])</f>
        <v>1.3750708103179929</v>
      </c>
      <c r="AE1898" s="230">
        <f>(FME_Ranking1[[#This Row],[Ag Land Raw]]/$AD$2)*100</f>
        <v>5.6701764707958392E-5</v>
      </c>
      <c r="AF1898" s="231">
        <f>FME_Ranking1[[#This Row],[Ag Land Score (Normalized, Unweighted)]]*$AD$3</f>
        <v>2.8350882353979199E-6</v>
      </c>
      <c r="AG189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2.6712821910439711E-3</v>
      </c>
      <c r="AH1898" s="406">
        <f t="shared" si="29"/>
        <v>1923</v>
      </c>
      <c r="AI189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2.6712821910439711E-3</v>
      </c>
      <c r="AJ1898" s="257">
        <f>FME_Ranking1[[#This Row],[Addition check]]-FME_Ranking1[[#This Row],[Weighted Score Based on Normalized Reported Factors]]</f>
        <v>0</v>
      </c>
      <c r="AK1898" s="178">
        <f>_xlfn.RANK.EQ(AI1898,$AI$6:$AI$2341,0)+COUNTIF($AI$6:AI1898,AI1898)-1</f>
        <v>1923</v>
      </c>
    </row>
    <row r="1899" spans="1:37" x14ac:dyDescent="0.25">
      <c r="A1899" t="s">
        <v>10756</v>
      </c>
      <c r="B1899">
        <f>_xlfn.XLOOKUP(FME_Ranking1[[#This Row],[FME ID]],FME_Input[FME_ID],FME_Input[RFPG_NUM])</f>
        <v>13</v>
      </c>
      <c r="C1899" t="str">
        <f>_xlfn.XLOOKUP(FME_Ranking1[[#This Row],[FME ID]],FME_Input[FME_ID],FME_Input[FME_NAME])</f>
        <v>Channel Outfall Drainage Improvement Project</v>
      </c>
      <c r="D1899" t="str">
        <f>_xlfn.XLOOKUP(FME_Ranking1[[#This Row],[FME ID]],FME_Input[FME_ID],FME_Input[DESCR])</f>
        <v>Improving outfall structures to Chiltipin Creek</v>
      </c>
      <c r="E1899" s="256">
        <f>_xlfn.XLOOKUP(FME_Ranking1[[#This Row],[FME ID]],FME_Input[FME_ID],FME_Input[FME_COST])</f>
        <v>150000</v>
      </c>
      <c r="F1899" t="str">
        <f>_xlfn.XLOOKUP(FME_Ranking1[[#This Row],[FME ID]],FME_Input[FME_ID],FME_Input[EMER_NEED])</f>
        <v>Yes</v>
      </c>
      <c r="G1899">
        <f>IF(FME_Ranking!F1899="Yes",100,0)</f>
        <v>100</v>
      </c>
      <c r="H1899">
        <f>FME_Ranking1[[#This Row],[Emergency Need Score (Normalized, Unweighted)]]*$F$3</f>
        <v>0</v>
      </c>
      <c r="I1899" s="246">
        <f>_xlfn.XLOOKUP(FME_Ranking1[[#This Row],[FME ID]],FME_Input[FME_ID],FME_Input[STRUCT_100])</f>
        <v>0</v>
      </c>
      <c r="J1899" s="178">
        <f>(FME_Ranking1[[#This Row],[Structures 100 Raw]]/I$2)*100</f>
        <v>0</v>
      </c>
      <c r="K1899" s="178">
        <f>FME_Ranking1[[#This Row],[Structures 100  Score (Normalized, Unweighted)]]*$I$3</f>
        <v>0</v>
      </c>
      <c r="L1899" s="246">
        <f>_xlfn.XLOOKUP(FME_Ranking1[[#This Row],[FME ID]],FME_Input[FME_ID],FME_Input[RES_STRUCT100])</f>
        <v>0</v>
      </c>
      <c r="M1899" s="230">
        <f>(FME_Ranking1[[#This Row],[Res Structures Raw]]/L$2)*100</f>
        <v>0</v>
      </c>
      <c r="N1899" s="180">
        <f>FME_Ranking1[[#This Row],[Res Structures Score (Normalized, Unweighted)]]*$L$3</f>
        <v>0</v>
      </c>
      <c r="O1899" s="244">
        <f>_xlfn.XLOOKUP(FME_Ranking1[[#This Row],[FME ID]],FME_Input[FME_ID],FME_Input[POP100])</f>
        <v>0</v>
      </c>
      <c r="P1899" s="178">
        <f>(FME_Ranking1[[#This Row],[Pop Raw]]/$O$2)*100</f>
        <v>0</v>
      </c>
      <c r="Q1899" s="178">
        <f>FME_Ranking1[[#This Row],[Pop Score (Normalized, Unweighted)]]*$O$3</f>
        <v>0</v>
      </c>
      <c r="R1899" s="137">
        <f>_xlfn.XLOOKUP(FME_Ranking1[[#This Row],[FME ID]],FME_Input[FME_ID],FME_Input[CRITFAC100])</f>
        <v>0</v>
      </c>
      <c r="S1899" s="230">
        <f>(FME_Ranking1[[#This Row],[Critical Facilities Raw]]/$R$2)*100</f>
        <v>0</v>
      </c>
      <c r="T1899" s="180">
        <f>FME_Ranking1[[#This Row],[Critical Facilities Score (Normalized, Unweighted)]]*$R$3</f>
        <v>0</v>
      </c>
      <c r="U1899">
        <f>_xlfn.XLOOKUP(FME_Ranking1[[#This Row],[FME ID]],FME_Input[FME_ID],FME_Input[LWC])</f>
        <v>0</v>
      </c>
      <c r="V1899" s="178">
        <f>(FME_Ranking1[[#This Row],[LWC Raw]]/$U$2)*100</f>
        <v>0</v>
      </c>
      <c r="W1899" s="178">
        <f>FME_Ranking1[[#This Row],[LWC Score (Normalized, Unweighted)]]*$U$3</f>
        <v>0</v>
      </c>
      <c r="X1899" s="246">
        <f>_xlfn.XLOOKUP(FME_Ranking1[[#This Row],[FME ID]],FME_Input[FME_ID],FME_Input[ROADCLS])</f>
        <v>4</v>
      </c>
      <c r="Y1899" s="230">
        <f>(FME_Ranking1[[#This Row],[Closures Raw]]/$X$2)*100</f>
        <v>4.2056566081379455E-2</v>
      </c>
      <c r="Z1899" s="180">
        <f>FME_Ranking1[[#This Row],[Closures Score (Normalized, Unweighted)]]*$X$3</f>
        <v>2.1028283040689729E-3</v>
      </c>
      <c r="AA1899" s="253">
        <f>_xlfn.XLOOKUP(FME_Ranking1[[#This Row],[FME ID]],FME_Input[FME_ID],FME_Input[ROAD_MILES100])</f>
        <v>7.9472266137599945E-2</v>
      </c>
      <c r="AB1899" s="178">
        <f>(FME_Ranking1[[#This Row],[Miles Raw]]/$AA$2)*100</f>
        <v>1.0449177595084206E-3</v>
      </c>
      <c r="AC1899" s="178">
        <f>FME_Ranking1[[#This Row],[Miles Score (Normalized, Unweighted)]]*$AA$3</f>
        <v>1.0449177595084206E-4</v>
      </c>
      <c r="AD1899" s="255">
        <f>_xlfn.XLOOKUP(FME_Ranking1[[#This Row],[FME ID]],FME_Input[FME_ID],FME_Input[FARMACRE100])</f>
        <v>0</v>
      </c>
      <c r="AE1899" s="230">
        <f>(FME_Ranking1[[#This Row],[Ag Land Raw]]/$AD$2)*100</f>
        <v>0</v>
      </c>
      <c r="AF1899" s="231">
        <f>FME_Ranking1[[#This Row],[Ag Land Score (Normalized, Unweighted)]]*$AD$3</f>
        <v>0</v>
      </c>
      <c r="AG189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2.207320080019815E-3</v>
      </c>
      <c r="AH1899" s="406">
        <f t="shared" si="29"/>
        <v>1944</v>
      </c>
      <c r="AI189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2.207320080019815E-3</v>
      </c>
      <c r="AJ1899" s="257">
        <f>FME_Ranking1[[#This Row],[Addition check]]-FME_Ranking1[[#This Row],[Weighted Score Based on Normalized Reported Factors]]</f>
        <v>0</v>
      </c>
      <c r="AK1899" s="178">
        <f>_xlfn.RANK.EQ(AI1899,$AI$6:$AI$2341,0)+COUNTIF($AI$6:AI1899,AI1899)-1</f>
        <v>1944</v>
      </c>
    </row>
    <row r="1900" spans="1:37" x14ac:dyDescent="0.25">
      <c r="A1900" t="s">
        <v>4586</v>
      </c>
      <c r="B1900">
        <f>_xlfn.XLOOKUP(FME_Ranking1[[#This Row],[FME ID]],FME_Input[FME_ID],FME_Input[RFPG_NUM])</f>
        <v>3</v>
      </c>
      <c r="C1900" t="str">
        <f>_xlfn.XLOOKUP(FME_Ranking1[[#This Row],[FME ID]],FME_Input[FME_ID],FME_Input[FME_NAME])</f>
        <v>Seven Oaks Drainage Ditches</v>
      </c>
      <c r="D1900" t="str">
        <f>_xlfn.XLOOKUP(FME_Ranking1[[#This Row],[FME ID]],FME_Input[FME_ID],FME_Input[DESCR])</f>
        <v>Evaluate drainage ditch along city streets Camp Rd, Pickens Loop, Franklin Rd, Austin Street, and Hunt Street</v>
      </c>
      <c r="E1900" s="256">
        <f>_xlfn.XLOOKUP(FME_Ranking1[[#This Row],[FME ID]],FME_Input[FME_ID],FME_Input[FME_COST])</f>
        <v>100000</v>
      </c>
      <c r="F1900" t="str">
        <f>_xlfn.XLOOKUP(FME_Ranking1[[#This Row],[FME ID]],FME_Input[FME_ID],FME_Input[EMER_NEED])</f>
        <v>No</v>
      </c>
      <c r="G1900">
        <f>IF(FME_Ranking!F1900="Yes",100,0)</f>
        <v>0</v>
      </c>
      <c r="H1900">
        <f>FME_Ranking1[[#This Row],[Emergency Need Score (Normalized, Unweighted)]]*$F$3</f>
        <v>0</v>
      </c>
      <c r="I1900" s="246">
        <f>_xlfn.XLOOKUP(FME_Ranking1[[#This Row],[FME ID]],FME_Input[FME_ID],FME_Input[STRUCT_100])</f>
        <v>6</v>
      </c>
      <c r="J1900" s="178">
        <f>(FME_Ranking1[[#This Row],[Structures 100 Raw]]/I$2)*100</f>
        <v>3.2129546330805807E-3</v>
      </c>
      <c r="K1900" s="178">
        <f>FME_Ranking1[[#This Row],[Structures 100  Score (Normalized, Unweighted)]]*$I$3</f>
        <v>4.8194319496208709E-4</v>
      </c>
      <c r="L1900" s="246">
        <f>_xlfn.XLOOKUP(FME_Ranking1[[#This Row],[FME ID]],FME_Input[FME_ID],FME_Input[RES_STRUCT100])</f>
        <v>4</v>
      </c>
      <c r="M1900" s="230">
        <f>(FME_Ranking1[[#This Row],[Res Structures Raw]]/L$2)*100</f>
        <v>2.833222365457353E-3</v>
      </c>
      <c r="N1900" s="180">
        <f>FME_Ranking1[[#This Row],[Res Structures Score (Normalized, Unweighted)]]*$L$3</f>
        <v>2.8332223654573533E-4</v>
      </c>
      <c r="O1900" s="244">
        <f>_xlfn.XLOOKUP(FME_Ranking1[[#This Row],[FME ID]],FME_Input[FME_ID],FME_Input[POP100])</f>
        <v>10</v>
      </c>
      <c r="P1900" s="178">
        <f>(FME_Ranking1[[#This Row],[Pop Raw]]/$O$2)*100</f>
        <v>1.0237531198876329E-3</v>
      </c>
      <c r="Q1900" s="178">
        <f>FME_Ranking1[[#This Row],[Pop Score (Normalized, Unweighted)]]*$O$3</f>
        <v>1.5356296798314494E-4</v>
      </c>
      <c r="R1900" s="137">
        <f>_xlfn.XLOOKUP(FME_Ranking1[[#This Row],[FME ID]],FME_Input[FME_ID],FME_Input[CRITFAC100])</f>
        <v>0</v>
      </c>
      <c r="S1900" s="230">
        <f>(FME_Ranking1[[#This Row],[Critical Facilities Raw]]/$R$2)*100</f>
        <v>0</v>
      </c>
      <c r="T1900" s="180">
        <f>FME_Ranking1[[#This Row],[Critical Facilities Score (Normalized, Unweighted)]]*$R$3</f>
        <v>0</v>
      </c>
      <c r="U1900">
        <f>_xlfn.XLOOKUP(FME_Ranking1[[#This Row],[FME ID]],FME_Input[FME_ID],FME_Input[LWC])</f>
        <v>0</v>
      </c>
      <c r="V1900" s="178">
        <f>(FME_Ranking1[[#This Row],[LWC Raw]]/$U$2)*100</f>
        <v>0</v>
      </c>
      <c r="W1900" s="178">
        <f>FME_Ranking1[[#This Row],[LWC Score (Normalized, Unweighted)]]*$U$3</f>
        <v>0</v>
      </c>
      <c r="X1900" s="246">
        <f>_xlfn.XLOOKUP(FME_Ranking1[[#This Row],[FME ID]],FME_Input[FME_ID],FME_Input[ROADCLS])</f>
        <v>0</v>
      </c>
      <c r="Y1900" s="230">
        <f>(FME_Ranking1[[#This Row],[Closures Raw]]/$X$2)*100</f>
        <v>0</v>
      </c>
      <c r="Z1900" s="180">
        <f>FME_Ranking1[[#This Row],[Closures Score (Normalized, Unweighted)]]*$X$3</f>
        <v>0</v>
      </c>
      <c r="AA1900" s="253">
        <f>_xlfn.XLOOKUP(FME_Ranking1[[#This Row],[FME ID]],FME_Input[FME_ID],FME_Input[ROAD_MILES100])</f>
        <v>0.63418930768966675</v>
      </c>
      <c r="AB1900" s="178">
        <f>(FME_Ranking1[[#This Row],[Miles Raw]]/$AA$2)*100</f>
        <v>8.3384519241959509E-3</v>
      </c>
      <c r="AC1900" s="178">
        <f>FME_Ranking1[[#This Row],[Miles Score (Normalized, Unweighted)]]*$AA$3</f>
        <v>8.3384519241959517E-4</v>
      </c>
      <c r="AD1900" s="255">
        <f>_xlfn.XLOOKUP(FME_Ranking1[[#This Row],[FME ID]],FME_Input[FME_ID],FME_Input[FARMACRE100])</f>
        <v>551.82147216796875</v>
      </c>
      <c r="AE1900" s="230">
        <f>(FME_Ranking1[[#This Row],[Ag Land Raw]]/$AD$2)*100</f>
        <v>2.2754647281350956E-2</v>
      </c>
      <c r="AF1900" s="231">
        <f>FME_Ranking1[[#This Row],[Ag Land Score (Normalized, Unweighted)]]*$AD$3</f>
        <v>1.1377323640675478E-3</v>
      </c>
      <c r="AG190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2.8904059559781104E-3</v>
      </c>
      <c r="AH1900" s="406">
        <f t="shared" si="29"/>
        <v>1910</v>
      </c>
      <c r="AI190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2.8904059559781104E-3</v>
      </c>
      <c r="AJ1900" s="257">
        <f>FME_Ranking1[[#This Row],[Addition check]]-FME_Ranking1[[#This Row],[Weighted Score Based on Normalized Reported Factors]]</f>
        <v>0</v>
      </c>
      <c r="AK1900" s="178">
        <f>_xlfn.RANK.EQ(AI1900,$AI$6:$AI$2341,0)+COUNTIF($AI$6:AI1900,AI1900)-1</f>
        <v>1910</v>
      </c>
    </row>
    <row r="1901" spans="1:37" x14ac:dyDescent="0.25">
      <c r="A1901" t="s">
        <v>4605</v>
      </c>
      <c r="B1901">
        <f>_xlfn.XLOOKUP(FME_Ranking1[[#This Row],[FME ID]],FME_Input[FME_ID],FME_Input[RFPG_NUM])</f>
        <v>3</v>
      </c>
      <c r="C1901" t="str">
        <f>_xlfn.XLOOKUP(FME_Ranking1[[#This Row],[FME ID]],FME_Input[FME_ID],FME_Input[FME_NAME])</f>
        <v>Seven Oaks Culvert Installation</v>
      </c>
      <c r="D1901" t="str">
        <f>_xlfn.XLOOKUP(FME_Ranking1[[#This Row],[FME ID]],FME_Input[FME_ID],FME_Input[DESCR])</f>
        <v>Evaluate alternatives to install multiple new culverts under Camp Rd, Pickens Loop, and Franklin Rd</v>
      </c>
      <c r="E1901" s="256">
        <f>_xlfn.XLOOKUP(FME_Ranking1[[#This Row],[FME ID]],FME_Input[FME_ID],FME_Input[FME_COST])</f>
        <v>100000</v>
      </c>
      <c r="F1901" t="str">
        <f>_xlfn.XLOOKUP(FME_Ranking1[[#This Row],[FME ID]],FME_Input[FME_ID],FME_Input[EMER_NEED])</f>
        <v>No</v>
      </c>
      <c r="G1901">
        <f>IF(FME_Ranking!F1901="Yes",100,0)</f>
        <v>0</v>
      </c>
      <c r="H1901">
        <f>FME_Ranking1[[#This Row],[Emergency Need Score (Normalized, Unweighted)]]*$F$3</f>
        <v>0</v>
      </c>
      <c r="I1901" s="246">
        <f>_xlfn.XLOOKUP(FME_Ranking1[[#This Row],[FME ID]],FME_Input[FME_ID],FME_Input[STRUCT_100])</f>
        <v>6</v>
      </c>
      <c r="J1901" s="178">
        <f>(FME_Ranking1[[#This Row],[Structures 100 Raw]]/I$2)*100</f>
        <v>3.2129546330805807E-3</v>
      </c>
      <c r="K1901" s="178">
        <f>FME_Ranking1[[#This Row],[Structures 100  Score (Normalized, Unweighted)]]*$I$3</f>
        <v>4.8194319496208709E-4</v>
      </c>
      <c r="L1901" s="246">
        <f>_xlfn.XLOOKUP(FME_Ranking1[[#This Row],[FME ID]],FME_Input[FME_ID],FME_Input[RES_STRUCT100])</f>
        <v>4</v>
      </c>
      <c r="M1901" s="230">
        <f>(FME_Ranking1[[#This Row],[Res Structures Raw]]/L$2)*100</f>
        <v>2.833222365457353E-3</v>
      </c>
      <c r="N1901" s="180">
        <f>FME_Ranking1[[#This Row],[Res Structures Score (Normalized, Unweighted)]]*$L$3</f>
        <v>2.8332223654573533E-4</v>
      </c>
      <c r="O1901" s="244">
        <f>_xlfn.XLOOKUP(FME_Ranking1[[#This Row],[FME ID]],FME_Input[FME_ID],FME_Input[POP100])</f>
        <v>10</v>
      </c>
      <c r="P1901" s="178">
        <f>(FME_Ranking1[[#This Row],[Pop Raw]]/$O$2)*100</f>
        <v>1.0237531198876329E-3</v>
      </c>
      <c r="Q1901" s="178">
        <f>FME_Ranking1[[#This Row],[Pop Score (Normalized, Unweighted)]]*$O$3</f>
        <v>1.5356296798314494E-4</v>
      </c>
      <c r="R1901" s="137">
        <f>_xlfn.XLOOKUP(FME_Ranking1[[#This Row],[FME ID]],FME_Input[FME_ID],FME_Input[CRITFAC100])</f>
        <v>0</v>
      </c>
      <c r="S1901" s="230">
        <f>(FME_Ranking1[[#This Row],[Critical Facilities Raw]]/$R$2)*100</f>
        <v>0</v>
      </c>
      <c r="T1901" s="180">
        <f>FME_Ranking1[[#This Row],[Critical Facilities Score (Normalized, Unweighted)]]*$R$3</f>
        <v>0</v>
      </c>
      <c r="U1901">
        <f>_xlfn.XLOOKUP(FME_Ranking1[[#This Row],[FME ID]],FME_Input[FME_ID],FME_Input[LWC])</f>
        <v>0</v>
      </c>
      <c r="V1901" s="178">
        <f>(FME_Ranking1[[#This Row],[LWC Raw]]/$U$2)*100</f>
        <v>0</v>
      </c>
      <c r="W1901" s="178">
        <f>FME_Ranking1[[#This Row],[LWC Score (Normalized, Unweighted)]]*$U$3</f>
        <v>0</v>
      </c>
      <c r="X1901" s="246">
        <f>_xlfn.XLOOKUP(FME_Ranking1[[#This Row],[FME ID]],FME_Input[FME_ID],FME_Input[ROADCLS])</f>
        <v>0</v>
      </c>
      <c r="Y1901" s="230">
        <f>(FME_Ranking1[[#This Row],[Closures Raw]]/$X$2)*100</f>
        <v>0</v>
      </c>
      <c r="Z1901" s="180">
        <f>FME_Ranking1[[#This Row],[Closures Score (Normalized, Unweighted)]]*$X$3</f>
        <v>0</v>
      </c>
      <c r="AA1901" s="253">
        <f>_xlfn.XLOOKUP(FME_Ranking1[[#This Row],[FME ID]],FME_Input[FME_ID],FME_Input[ROAD_MILES100])</f>
        <v>0.63418930768966675</v>
      </c>
      <c r="AB1901" s="178">
        <f>(FME_Ranking1[[#This Row],[Miles Raw]]/$AA$2)*100</f>
        <v>8.3384519241959509E-3</v>
      </c>
      <c r="AC1901" s="178">
        <f>FME_Ranking1[[#This Row],[Miles Score (Normalized, Unweighted)]]*$AA$3</f>
        <v>8.3384519241959517E-4</v>
      </c>
      <c r="AD1901" s="255">
        <f>_xlfn.XLOOKUP(FME_Ranking1[[#This Row],[FME ID]],FME_Input[FME_ID],FME_Input[FARMACRE100])</f>
        <v>551.82147216796875</v>
      </c>
      <c r="AE1901" s="230">
        <f>(FME_Ranking1[[#This Row],[Ag Land Raw]]/$AD$2)*100</f>
        <v>2.2754647281350956E-2</v>
      </c>
      <c r="AF1901" s="231">
        <f>FME_Ranking1[[#This Row],[Ag Land Score (Normalized, Unweighted)]]*$AD$3</f>
        <v>1.1377323640675478E-3</v>
      </c>
      <c r="AG190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2.8904059559781104E-3</v>
      </c>
      <c r="AH1901" s="406">
        <f t="shared" si="29"/>
        <v>1910</v>
      </c>
      <c r="AI190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2.8904059559781104E-3</v>
      </c>
      <c r="AJ1901" s="257">
        <f>FME_Ranking1[[#This Row],[Addition check]]-FME_Ranking1[[#This Row],[Weighted Score Based on Normalized Reported Factors]]</f>
        <v>0</v>
      </c>
      <c r="AK1901" s="178">
        <f>_xlfn.RANK.EQ(AI1901,$AI$6:$AI$2341,0)+COUNTIF($AI$6:AI1901,AI1901)-1</f>
        <v>1911</v>
      </c>
    </row>
    <row r="1902" spans="1:37" x14ac:dyDescent="0.25">
      <c r="A1902" t="s">
        <v>2030</v>
      </c>
      <c r="B1902">
        <f>_xlfn.XLOOKUP(FME_Ranking1[[#This Row],[FME ID]],FME_Input[FME_ID],FME_Input[RFPG_NUM])</f>
        <v>6</v>
      </c>
      <c r="C1902" t="str">
        <f>_xlfn.XLOOKUP(FME_Ranking1[[#This Row],[FME ID]],FME_Input[FME_ID],FME_Input[FME_NAME])</f>
        <v>Greens Bayou - Planning, Right-of-Way Acquisition, Design and Construction of Channel Conveyance Improvements along P138-01-01</v>
      </c>
      <c r="D1902" t="str">
        <f>_xlfn.XLOOKUP(FME_Ranking1[[#This Row],[FME ID]],FME_Input[FME_ID],FME_Input[DESCR])</f>
        <v>Study to develop a Benefit Cost Analysis needed for this project to become a FMP. Potential federal funded project, the risk of flooding could be reduced for approximately 100 structures in a pre-Atlas 1% rainfall event.</v>
      </c>
      <c r="E1902" s="256">
        <f>_xlfn.XLOOKUP(FME_Ranking1[[#This Row],[FME ID]],FME_Input[FME_ID],FME_Input[FME_COST])</f>
        <v>30000</v>
      </c>
      <c r="F1902" t="str">
        <f>_xlfn.XLOOKUP(FME_Ranking1[[#This Row],[FME ID]],FME_Input[FME_ID],FME_Input[EMER_NEED])</f>
        <v>No</v>
      </c>
      <c r="G1902">
        <f>IF(FME_Ranking!F1902="Yes",100,0)</f>
        <v>0</v>
      </c>
      <c r="H1902">
        <f>FME_Ranking1[[#This Row],[Emergency Need Score (Normalized, Unweighted)]]*$F$3</f>
        <v>0</v>
      </c>
      <c r="I1902" s="246">
        <f>_xlfn.XLOOKUP(FME_Ranking1[[#This Row],[FME ID]],FME_Input[FME_ID],FME_Input[STRUCT_100])</f>
        <v>7</v>
      </c>
      <c r="J1902" s="178">
        <f>(FME_Ranking1[[#This Row],[Structures 100 Raw]]/I$2)*100</f>
        <v>3.7484470719273445E-3</v>
      </c>
      <c r="K1902" s="178">
        <f>FME_Ranking1[[#This Row],[Structures 100  Score (Normalized, Unweighted)]]*$I$3</f>
        <v>5.622670607891017E-4</v>
      </c>
      <c r="L1902" s="246">
        <f>_xlfn.XLOOKUP(FME_Ranking1[[#This Row],[FME ID]],FME_Input[FME_ID],FME_Input[RES_STRUCT100])</f>
        <v>5</v>
      </c>
      <c r="M1902" s="230">
        <f>(FME_Ranking1[[#This Row],[Res Structures Raw]]/L$2)*100</f>
        <v>3.5415279568216909E-3</v>
      </c>
      <c r="N1902" s="180">
        <f>FME_Ranking1[[#This Row],[Res Structures Score (Normalized, Unweighted)]]*$L$3</f>
        <v>3.5415279568216913E-4</v>
      </c>
      <c r="O1902" s="244">
        <f>_xlfn.XLOOKUP(FME_Ranking1[[#This Row],[FME ID]],FME_Input[FME_ID],FME_Input[POP100])</f>
        <v>74</v>
      </c>
      <c r="P1902" s="178">
        <f>(FME_Ranking1[[#This Row],[Pop Raw]]/$O$2)*100</f>
        <v>7.5757730871684826E-3</v>
      </c>
      <c r="Q1902" s="178">
        <f>FME_Ranking1[[#This Row],[Pop Score (Normalized, Unweighted)]]*$O$3</f>
        <v>1.1363659630752724E-3</v>
      </c>
      <c r="R1902" s="137">
        <f>_xlfn.XLOOKUP(FME_Ranking1[[#This Row],[FME ID]],FME_Input[FME_ID],FME_Input[CRITFAC100])</f>
        <v>0</v>
      </c>
      <c r="S1902" s="230">
        <f>(FME_Ranking1[[#This Row],[Critical Facilities Raw]]/$R$2)*100</f>
        <v>0</v>
      </c>
      <c r="T1902" s="180">
        <f>FME_Ranking1[[#This Row],[Critical Facilities Score (Normalized, Unweighted)]]*$R$3</f>
        <v>0</v>
      </c>
      <c r="U1902">
        <f>_xlfn.XLOOKUP(FME_Ranking1[[#This Row],[FME ID]],FME_Input[FME_ID],FME_Input[LWC])</f>
        <v>0</v>
      </c>
      <c r="V1902" s="178">
        <f>(FME_Ranking1[[#This Row],[LWC Raw]]/$U$2)*100</f>
        <v>0</v>
      </c>
      <c r="W1902" s="178">
        <f>FME_Ranking1[[#This Row],[LWC Score (Normalized, Unweighted)]]*$U$3</f>
        <v>0</v>
      </c>
      <c r="X1902" s="246">
        <f>_xlfn.XLOOKUP(FME_Ranking1[[#This Row],[FME ID]],FME_Input[FME_ID],FME_Input[ROADCLS])</f>
        <v>0</v>
      </c>
      <c r="Y1902" s="230">
        <f>(FME_Ranking1[[#This Row],[Closures Raw]]/$X$2)*100</f>
        <v>0</v>
      </c>
      <c r="Z1902" s="180">
        <f>FME_Ranking1[[#This Row],[Closures Score (Normalized, Unweighted)]]*$X$3</f>
        <v>0</v>
      </c>
      <c r="AA1902" s="253">
        <f>_xlfn.XLOOKUP(FME_Ranking1[[#This Row],[FME ID]],FME_Input[FME_ID],FME_Input[ROAD_MILES100])</f>
        <v>2.0733300596475601E-2</v>
      </c>
      <c r="AB1902" s="178">
        <f>(FME_Ranking1[[#This Row],[Miles Raw]]/$AA$2)*100</f>
        <v>2.7260571592325502E-4</v>
      </c>
      <c r="AC1902" s="178">
        <f>FME_Ranking1[[#This Row],[Miles Score (Normalized, Unweighted)]]*$AA$3</f>
        <v>2.7260571592325504E-5</v>
      </c>
      <c r="AD1902" s="255">
        <f>_xlfn.XLOOKUP(FME_Ranking1[[#This Row],[FME ID]],FME_Input[FME_ID],FME_Input[FARMACRE100])</f>
        <v>0</v>
      </c>
      <c r="AE1902" s="230">
        <f>(FME_Ranking1[[#This Row],[Ag Land Raw]]/$AD$2)*100</f>
        <v>0</v>
      </c>
      <c r="AF1902" s="231">
        <f>FME_Ranking1[[#This Row],[Ag Land Score (Normalized, Unweighted)]]*$AD$3</f>
        <v>0</v>
      </c>
      <c r="AG190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2.0800463911388686E-3</v>
      </c>
      <c r="AH1902" s="406">
        <f t="shared" si="29"/>
        <v>1954</v>
      </c>
      <c r="AI190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2.0800463911388686E-3</v>
      </c>
      <c r="AJ1902" s="257">
        <f>FME_Ranking1[[#This Row],[Addition check]]-FME_Ranking1[[#This Row],[Weighted Score Based on Normalized Reported Factors]]</f>
        <v>0</v>
      </c>
      <c r="AK1902" s="178">
        <f>_xlfn.RANK.EQ(AI1902,$AI$6:$AI$2341,0)+COUNTIF($AI$6:AI1902,AI1902)-1</f>
        <v>1954</v>
      </c>
    </row>
    <row r="1903" spans="1:37" x14ac:dyDescent="0.25">
      <c r="A1903" t="s">
        <v>78</v>
      </c>
      <c r="B1903">
        <f>_xlfn.XLOOKUP(FME_Ranking1[[#This Row],[FME ID]],FME_Input[FME_ID],FME_Input[RFPG_NUM])</f>
        <v>10</v>
      </c>
      <c r="C1903" t="str">
        <f>_xlfn.XLOOKUP(FME_Ranking1[[#This Row],[FME ID]],FME_Input[FME_ID],FME_Input[FME_NAME])</f>
        <v>Pecan Shores Subdivision</v>
      </c>
      <c r="D1903" t="str">
        <f>_xlfn.XLOOKUP(FME_Ranking1[[#This Row],[FME ID]],FME_Input[FME_ID],FME_Input[DESCR])</f>
        <v>Voluntary buyout of homes in 100-year FP (48 homes)</v>
      </c>
      <c r="E1903" s="256">
        <f>_xlfn.XLOOKUP(FME_Ranking1[[#This Row],[FME ID]],FME_Input[FME_ID],FME_Input[FME_COST])</f>
        <v>150000</v>
      </c>
      <c r="F1903" t="str">
        <f>_xlfn.XLOOKUP(FME_Ranking1[[#This Row],[FME ID]],FME_Input[FME_ID],FME_Input[EMER_NEED])</f>
        <v>No</v>
      </c>
      <c r="G1903">
        <f>IF(FME_Ranking!F1903="Yes",100,0)</f>
        <v>0</v>
      </c>
      <c r="H1903">
        <f>FME_Ranking1[[#This Row],[Emergency Need Score (Normalized, Unweighted)]]*$F$3</f>
        <v>0</v>
      </c>
      <c r="I1903" s="246">
        <f>_xlfn.XLOOKUP(FME_Ranking1[[#This Row],[FME ID]],FME_Input[FME_ID],FME_Input[STRUCT_100])</f>
        <v>12</v>
      </c>
      <c r="J1903" s="178">
        <f>(FME_Ranking1[[#This Row],[Structures 100 Raw]]/I$2)*100</f>
        <v>6.4259092661611613E-3</v>
      </c>
      <c r="K1903" s="178">
        <f>FME_Ranking1[[#This Row],[Structures 100  Score (Normalized, Unweighted)]]*$I$3</f>
        <v>9.6388638992417417E-4</v>
      </c>
      <c r="L1903" s="246">
        <f>_xlfn.XLOOKUP(FME_Ranking1[[#This Row],[FME ID]],FME_Input[FME_ID],FME_Input[RES_STRUCT100])</f>
        <v>10</v>
      </c>
      <c r="M1903" s="230">
        <f>(FME_Ranking1[[#This Row],[Res Structures Raw]]/L$2)*100</f>
        <v>7.0830559136433819E-3</v>
      </c>
      <c r="N1903" s="180">
        <f>FME_Ranking1[[#This Row],[Res Structures Score (Normalized, Unweighted)]]*$L$3</f>
        <v>7.0830559136433825E-4</v>
      </c>
      <c r="O1903" s="244">
        <f>_xlfn.XLOOKUP(FME_Ranking1[[#This Row],[FME ID]],FME_Input[FME_ID],FME_Input[POP100])</f>
        <v>22</v>
      </c>
      <c r="P1903" s="178">
        <f>(FME_Ranking1[[#This Row],[Pop Raw]]/$O$2)*100</f>
        <v>2.2522568637527922E-3</v>
      </c>
      <c r="Q1903" s="178">
        <f>FME_Ranking1[[#This Row],[Pop Score (Normalized, Unweighted)]]*$O$3</f>
        <v>3.3783852956291883E-4</v>
      </c>
      <c r="R1903" s="137">
        <f>_xlfn.XLOOKUP(FME_Ranking1[[#This Row],[FME ID]],FME_Input[FME_ID],FME_Input[CRITFAC100])</f>
        <v>0</v>
      </c>
      <c r="S1903" s="230">
        <f>(FME_Ranking1[[#This Row],[Critical Facilities Raw]]/$R$2)*100</f>
        <v>0</v>
      </c>
      <c r="T1903" s="180">
        <f>FME_Ranking1[[#This Row],[Critical Facilities Score (Normalized, Unweighted)]]*$R$3</f>
        <v>0</v>
      </c>
      <c r="U1903">
        <f>_xlfn.XLOOKUP(FME_Ranking1[[#This Row],[FME ID]],FME_Input[FME_ID],FME_Input[LWC])</f>
        <v>0</v>
      </c>
      <c r="V1903" s="178">
        <f>(FME_Ranking1[[#This Row],[LWC Raw]]/$U$2)*100</f>
        <v>0</v>
      </c>
      <c r="W1903" s="178">
        <f>FME_Ranking1[[#This Row],[LWC Score (Normalized, Unweighted)]]*$U$3</f>
        <v>0</v>
      </c>
      <c r="X1903" s="246">
        <f>_xlfn.XLOOKUP(FME_Ranking1[[#This Row],[FME ID]],FME_Input[FME_ID],FME_Input[ROADCLS])</f>
        <v>0</v>
      </c>
      <c r="Y1903" s="230">
        <f>(FME_Ranking1[[#This Row],[Closures Raw]]/$X$2)*100</f>
        <v>0</v>
      </c>
      <c r="Z1903" s="180">
        <f>FME_Ranking1[[#This Row],[Closures Score (Normalized, Unweighted)]]*$X$3</f>
        <v>0</v>
      </c>
      <c r="AA1903" s="253">
        <f>_xlfn.XLOOKUP(FME_Ranking1[[#This Row],[FME ID]],FME_Input[FME_ID],FME_Input[ROAD_MILES100])</f>
        <v>0.43060538172721857</v>
      </c>
      <c r="AB1903" s="178">
        <f>(FME_Ranking1[[#This Row],[Miles Raw]]/$AA$2)*100</f>
        <v>5.6616884427030867E-3</v>
      </c>
      <c r="AC1903" s="178">
        <f>FME_Ranking1[[#This Row],[Miles Score (Normalized, Unweighted)]]*$AA$3</f>
        <v>5.6616884427030864E-4</v>
      </c>
      <c r="AD1903" s="255">
        <f>_xlfn.XLOOKUP(FME_Ranking1[[#This Row],[FME ID]],FME_Input[FME_ID],FME_Input[FARMACRE100])</f>
        <v>17.67850303649902</v>
      </c>
      <c r="AE1903" s="230">
        <f>(FME_Ranking1[[#This Row],[Ag Land Raw]]/$AD$2)*100</f>
        <v>7.2898232734115286E-4</v>
      </c>
      <c r="AF1903" s="231">
        <f>FME_Ranking1[[#This Row],[Ag Land Score (Normalized, Unweighted)]]*$AD$3</f>
        <v>3.6449116367057642E-5</v>
      </c>
      <c r="AG190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2.6126484714887976E-3</v>
      </c>
      <c r="AH1903" s="406">
        <f t="shared" si="29"/>
        <v>1925</v>
      </c>
      <c r="AI190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2.6126484714887976E-3</v>
      </c>
      <c r="AJ1903" s="257">
        <f>FME_Ranking1[[#This Row],[Addition check]]-FME_Ranking1[[#This Row],[Weighted Score Based on Normalized Reported Factors]]</f>
        <v>0</v>
      </c>
      <c r="AK1903" s="178">
        <f>_xlfn.RANK.EQ(AI1903,$AI$6:$AI$2341,0)+COUNTIF($AI$6:AI1903,AI1903)-1</f>
        <v>1925</v>
      </c>
    </row>
    <row r="1904" spans="1:37" x14ac:dyDescent="0.25">
      <c r="A1904" t="s">
        <v>1231</v>
      </c>
      <c r="B1904">
        <f>_xlfn.XLOOKUP(FME_Ranking1[[#This Row],[FME ID]],FME_Input[FME_ID],FME_Input[RFPG_NUM])</f>
        <v>6</v>
      </c>
      <c r="C1904" t="str">
        <f>_xlfn.XLOOKUP(FME_Ranking1[[#This Row],[FME ID]],FME_Input[FME_ID],FME_Input[FME_NAME])</f>
        <v>Southwood Forest Subdivision and Forgotten Forest Subdivision Evaluation</v>
      </c>
      <c r="D1904" t="str">
        <f>_xlfn.XLOOKUP(FME_Ranking1[[#This Row],[FME ID]],FME_Input[FME_ID],FME_Input[DESCR])</f>
        <v>Study to develop a community-wide drainage system in Southwood Forest Subdivision and Forgotten Forest Subdivision.</v>
      </c>
      <c r="E1904" s="256">
        <f>_xlfn.XLOOKUP(FME_Ranking1[[#This Row],[FME ID]],FME_Input[FME_ID],FME_Input[FME_COST])</f>
        <v>110000</v>
      </c>
      <c r="F1904" t="str">
        <f>_xlfn.XLOOKUP(FME_Ranking1[[#This Row],[FME ID]],FME_Input[FME_ID],FME_Input[EMER_NEED])</f>
        <v>No</v>
      </c>
      <c r="G1904">
        <f>IF(FME_Ranking!F1904="Yes",100,0)</f>
        <v>0</v>
      </c>
      <c r="H1904">
        <f>FME_Ranking1[[#This Row],[Emergency Need Score (Normalized, Unweighted)]]*$F$3</f>
        <v>0</v>
      </c>
      <c r="I1904" s="246">
        <f>_xlfn.XLOOKUP(FME_Ranking1[[#This Row],[FME ID]],FME_Input[FME_ID],FME_Input[STRUCT_100])</f>
        <v>13</v>
      </c>
      <c r="J1904" s="178">
        <f>(FME_Ranking1[[#This Row],[Structures 100 Raw]]/I$2)*100</f>
        <v>6.961401705007926E-3</v>
      </c>
      <c r="K1904" s="178">
        <f>FME_Ranking1[[#This Row],[Structures 100  Score (Normalized, Unweighted)]]*$I$3</f>
        <v>1.0442102557511889E-3</v>
      </c>
      <c r="L1904" s="246">
        <f>_xlfn.XLOOKUP(FME_Ranking1[[#This Row],[FME ID]],FME_Input[FME_ID],FME_Input[RES_STRUCT100])</f>
        <v>13</v>
      </c>
      <c r="M1904" s="230">
        <f>(FME_Ranking1[[#This Row],[Res Structures Raw]]/L$2)*100</f>
        <v>9.2079726877363974E-3</v>
      </c>
      <c r="N1904" s="180">
        <f>FME_Ranking1[[#This Row],[Res Structures Score (Normalized, Unweighted)]]*$L$3</f>
        <v>9.2079726877363974E-4</v>
      </c>
      <c r="O1904" s="244">
        <f>_xlfn.XLOOKUP(FME_Ranking1[[#This Row],[FME ID]],FME_Input[FME_ID],FME_Input[POP100])</f>
        <v>5</v>
      </c>
      <c r="P1904" s="178">
        <f>(FME_Ranking1[[#This Row],[Pop Raw]]/$O$2)*100</f>
        <v>5.1187655994381644E-4</v>
      </c>
      <c r="Q1904" s="178">
        <f>FME_Ranking1[[#This Row],[Pop Score (Normalized, Unweighted)]]*$O$3</f>
        <v>7.6781483991572469E-5</v>
      </c>
      <c r="R1904" s="137">
        <f>_xlfn.XLOOKUP(FME_Ranking1[[#This Row],[FME ID]],FME_Input[FME_ID],FME_Input[CRITFAC100])</f>
        <v>0</v>
      </c>
      <c r="S1904" s="230">
        <f>(FME_Ranking1[[#This Row],[Critical Facilities Raw]]/$R$2)*100</f>
        <v>0</v>
      </c>
      <c r="T1904" s="180">
        <f>FME_Ranking1[[#This Row],[Critical Facilities Score (Normalized, Unweighted)]]*$R$3</f>
        <v>0</v>
      </c>
      <c r="U1904">
        <f>_xlfn.XLOOKUP(FME_Ranking1[[#This Row],[FME ID]],FME_Input[FME_ID],FME_Input[LWC])</f>
        <v>0</v>
      </c>
      <c r="V1904" s="178">
        <f>(FME_Ranking1[[#This Row],[LWC Raw]]/$U$2)*100</f>
        <v>0</v>
      </c>
      <c r="W1904" s="178">
        <f>FME_Ranking1[[#This Row],[LWC Score (Normalized, Unweighted)]]*$U$3</f>
        <v>0</v>
      </c>
      <c r="X1904" s="246">
        <f>_xlfn.XLOOKUP(FME_Ranking1[[#This Row],[FME ID]],FME_Input[FME_ID],FME_Input[ROADCLS])</f>
        <v>0</v>
      </c>
      <c r="Y1904" s="230">
        <f>(FME_Ranking1[[#This Row],[Closures Raw]]/$X$2)*100</f>
        <v>0</v>
      </c>
      <c r="Z1904" s="180">
        <f>FME_Ranking1[[#This Row],[Closures Score (Normalized, Unweighted)]]*$X$3</f>
        <v>0</v>
      </c>
      <c r="AA1904" s="253">
        <f>_xlfn.XLOOKUP(FME_Ranking1[[#This Row],[FME ID]],FME_Input[FME_ID],FME_Input[ROAD_MILES100])</f>
        <v>0</v>
      </c>
      <c r="AB1904" s="178">
        <f>(FME_Ranking1[[#This Row],[Miles Raw]]/$AA$2)*100</f>
        <v>0</v>
      </c>
      <c r="AC1904" s="178">
        <f>FME_Ranking1[[#This Row],[Miles Score (Normalized, Unweighted)]]*$AA$3</f>
        <v>0</v>
      </c>
      <c r="AD1904" s="255">
        <f>_xlfn.XLOOKUP(FME_Ranking1[[#This Row],[FME ID]],FME_Input[FME_ID],FME_Input[FARMACRE100])</f>
        <v>0</v>
      </c>
      <c r="AE1904" s="230">
        <f>(FME_Ranking1[[#This Row],[Ag Land Raw]]/$AD$2)*100</f>
        <v>0</v>
      </c>
      <c r="AF1904" s="231">
        <f>FME_Ranking1[[#This Row],[Ag Land Score (Normalized, Unweighted)]]*$AD$3</f>
        <v>0</v>
      </c>
      <c r="AG190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2.0417890085164011E-3</v>
      </c>
      <c r="AH1904" s="406">
        <f t="shared" si="29"/>
        <v>1956</v>
      </c>
      <c r="AI190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2.0417890085164011E-3</v>
      </c>
      <c r="AJ1904" s="257">
        <f>FME_Ranking1[[#This Row],[Addition check]]-FME_Ranking1[[#This Row],[Weighted Score Based on Normalized Reported Factors]]</f>
        <v>0</v>
      </c>
      <c r="AK1904" s="178">
        <f>_xlfn.RANK.EQ(AI1904,$AI$6:$AI$2341,0)+COUNTIF($AI$6:AI1904,AI1904)-1</f>
        <v>1956</v>
      </c>
    </row>
    <row r="1905" spans="1:37" x14ac:dyDescent="0.25">
      <c r="A1905" t="s">
        <v>11051</v>
      </c>
      <c r="B1905">
        <f>_xlfn.XLOOKUP(FME_Ranking1[[#This Row],[FME ID]],FME_Input[FME_ID],FME_Input[RFPG_NUM])</f>
        <v>15</v>
      </c>
      <c r="C1905" t="str">
        <f>_xlfn.XLOOKUP(FME_Ranking1[[#This Row],[FME ID]],FME_Input[FME_ID],FME_Input[FME_NAME])</f>
        <v>Risk Area 5 Debona Drive</v>
      </c>
      <c r="D1905" t="str">
        <f>_xlfn.XLOOKUP(FME_Ranking1[[#This Row],[FME ID]],FME_Input[FME_ID],FME_Input[DESCR])</f>
        <v>Project includes constructing a 5' deep trapezoidal channel approximately 30 feet wide with 3:1 side slopes and a 5' concrete pilot channel, replacing Juarez Street culvert with 8'x4' box culvert, and realigning existing channel to provide additional dis</v>
      </c>
      <c r="E1905" s="256">
        <f>_xlfn.XLOOKUP(FME_Ranking1[[#This Row],[FME ID]],FME_Input[FME_ID],FME_Input[FME_COST])</f>
        <v>53955</v>
      </c>
      <c r="F1905" t="str">
        <f>_xlfn.XLOOKUP(FME_Ranking1[[#This Row],[FME ID]],FME_Input[FME_ID],FME_Input[EMER_NEED])</f>
        <v>Yes</v>
      </c>
      <c r="G1905">
        <f>IF(FME_Ranking!F1905="Yes",100,0)</f>
        <v>100</v>
      </c>
      <c r="H1905">
        <f>FME_Ranking1[[#This Row],[Emergency Need Score (Normalized, Unweighted)]]*$F$3</f>
        <v>0</v>
      </c>
      <c r="I1905" s="246">
        <f>_xlfn.XLOOKUP(FME_Ranking1[[#This Row],[FME ID]],FME_Input[FME_ID],FME_Input[STRUCT_100])</f>
        <v>0</v>
      </c>
      <c r="J1905" s="178">
        <f>(FME_Ranking1[[#This Row],[Structures 100 Raw]]/I$2)*100</f>
        <v>0</v>
      </c>
      <c r="K1905" s="178">
        <f>FME_Ranking1[[#This Row],[Structures 100  Score (Normalized, Unweighted)]]*$I$3</f>
        <v>0</v>
      </c>
      <c r="L1905" s="246">
        <f>_xlfn.XLOOKUP(FME_Ranking1[[#This Row],[FME ID]],FME_Input[FME_ID],FME_Input[RES_STRUCT100])</f>
        <v>3</v>
      </c>
      <c r="M1905" s="230">
        <f>(FME_Ranking1[[#This Row],[Res Structures Raw]]/L$2)*100</f>
        <v>2.1249167740930146E-3</v>
      </c>
      <c r="N1905" s="180">
        <f>FME_Ranking1[[#This Row],[Res Structures Score (Normalized, Unweighted)]]*$L$3</f>
        <v>2.1249167740930149E-4</v>
      </c>
      <c r="O1905" s="244">
        <f>_xlfn.XLOOKUP(FME_Ranking1[[#This Row],[FME ID]],FME_Input[FME_ID],FME_Input[POP100])</f>
        <v>118</v>
      </c>
      <c r="P1905" s="178">
        <f>(FME_Ranking1[[#This Row],[Pop Raw]]/$O$2)*100</f>
        <v>1.2080286814674069E-2</v>
      </c>
      <c r="Q1905" s="178">
        <f>FME_Ranking1[[#This Row],[Pop Score (Normalized, Unweighted)]]*$O$3</f>
        <v>1.8120430222011103E-3</v>
      </c>
      <c r="R1905" s="137">
        <f>_xlfn.XLOOKUP(FME_Ranking1[[#This Row],[FME ID]],FME_Input[FME_ID],FME_Input[CRITFAC100])</f>
        <v>0</v>
      </c>
      <c r="S1905" s="230">
        <f>(FME_Ranking1[[#This Row],[Critical Facilities Raw]]/$R$2)*100</f>
        <v>0</v>
      </c>
      <c r="T1905" s="180">
        <f>FME_Ranking1[[#This Row],[Critical Facilities Score (Normalized, Unweighted)]]*$R$3</f>
        <v>0</v>
      </c>
      <c r="U1905">
        <f>_xlfn.XLOOKUP(FME_Ranking1[[#This Row],[FME ID]],FME_Input[FME_ID],FME_Input[LWC])</f>
        <v>0</v>
      </c>
      <c r="V1905" s="178">
        <f>(FME_Ranking1[[#This Row],[LWC Raw]]/$U$2)*100</f>
        <v>0</v>
      </c>
      <c r="W1905" s="178">
        <f>FME_Ranking1[[#This Row],[LWC Score (Normalized, Unweighted)]]*$U$3</f>
        <v>0</v>
      </c>
      <c r="X1905" s="246">
        <f>_xlfn.XLOOKUP(FME_Ranking1[[#This Row],[FME ID]],FME_Input[FME_ID],FME_Input[ROADCLS])</f>
        <v>0</v>
      </c>
      <c r="Y1905" s="230">
        <f>(FME_Ranking1[[#This Row],[Closures Raw]]/$X$2)*100</f>
        <v>0</v>
      </c>
      <c r="Z1905" s="180">
        <f>FME_Ranking1[[#This Row],[Closures Score (Normalized, Unweighted)]]*$X$3</f>
        <v>0</v>
      </c>
      <c r="AA1905" s="253">
        <f>_xlfn.XLOOKUP(FME_Ranking1[[#This Row],[FME ID]],FME_Input[FME_ID],FME_Input[ROAD_MILES100])</f>
        <v>1.759130001068115</v>
      </c>
      <c r="AB1905" s="178">
        <f>(FME_Ranking1[[#This Row],[Miles Raw]]/$AA$2)*100</f>
        <v>2.312940436626704E-2</v>
      </c>
      <c r="AC1905" s="178">
        <f>FME_Ranking1[[#This Row],[Miles Score (Normalized, Unweighted)]]*$AA$3</f>
        <v>2.3129404366267043E-3</v>
      </c>
      <c r="AD1905" s="255">
        <f>_xlfn.XLOOKUP(FME_Ranking1[[#This Row],[FME ID]],FME_Input[FME_ID],FME_Input[FARMACRE100])</f>
        <v>0</v>
      </c>
      <c r="AE1905" s="230">
        <f>(FME_Ranking1[[#This Row],[Ag Land Raw]]/$AD$2)*100</f>
        <v>0</v>
      </c>
      <c r="AF1905" s="231">
        <f>FME_Ranking1[[#This Row],[Ag Land Score (Normalized, Unweighted)]]*$AD$3</f>
        <v>0</v>
      </c>
      <c r="AG190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4.3374751362371157E-3</v>
      </c>
      <c r="AH1905" s="406">
        <f t="shared" si="29"/>
        <v>1848</v>
      </c>
      <c r="AI190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4.3374751362371157E-3</v>
      </c>
      <c r="AJ1905" s="257">
        <f>FME_Ranking1[[#This Row],[Addition check]]-FME_Ranking1[[#This Row],[Weighted Score Based on Normalized Reported Factors]]</f>
        <v>0</v>
      </c>
      <c r="AK1905" s="178">
        <f>_xlfn.RANK.EQ(AI1905,$AI$6:$AI$2341,0)+COUNTIF($AI$6:AI1905,AI1905)-1</f>
        <v>1848</v>
      </c>
    </row>
    <row r="1906" spans="1:37" x14ac:dyDescent="0.25">
      <c r="A1906" t="s">
        <v>9699</v>
      </c>
      <c r="B1906">
        <f>_xlfn.XLOOKUP(FME_Ranking1[[#This Row],[FME ID]],FME_Input[FME_ID],FME_Input[RFPG_NUM])</f>
        <v>12</v>
      </c>
      <c r="C1906" t="str">
        <f>_xlfn.XLOOKUP(FME_Ranking1[[#This Row],[FME ID]],FME_Input[FME_ID],FME_Input[FME_NAME])</f>
        <v>La Vernia Issue # 2 and # 3 (City Park/ La Vernia ISD)</v>
      </c>
      <c r="D1906" t="str">
        <f>_xlfn.XLOOKUP(FME_Ranking1[[#This Row],[FME ID]],FME_Input[FME_ID],FME_Input[DESCR])</f>
        <v>Study to assess 6’-wide concrete-bottom channel/sidewalk with earthen sides (graded 5:1) be constructed through this area to better define the flow path. Gauge boards on San Antonio Road.  Aquire 25'-wide drainage easements.</v>
      </c>
      <c r="E1906" s="256">
        <f>_xlfn.XLOOKUP(FME_Ranking1[[#This Row],[FME ID]],FME_Input[FME_ID],FME_Input[FME_COST])</f>
        <v>150000</v>
      </c>
      <c r="F1906" t="str">
        <f>_xlfn.XLOOKUP(FME_Ranking1[[#This Row],[FME ID]],FME_Input[FME_ID],FME_Input[EMER_NEED])</f>
        <v>Yes</v>
      </c>
      <c r="G1906">
        <f>IF(FME_Ranking!F1906="Yes",100,0)</f>
        <v>100</v>
      </c>
      <c r="H1906">
        <f>FME_Ranking1[[#This Row],[Emergency Need Score (Normalized, Unweighted)]]*$F$3</f>
        <v>0</v>
      </c>
      <c r="I1906" s="246">
        <f>_xlfn.XLOOKUP(FME_Ranking1[[#This Row],[FME ID]],FME_Input[FME_ID],FME_Input[STRUCT_100])</f>
        <v>2</v>
      </c>
      <c r="J1906" s="178">
        <f>(FME_Ranking1[[#This Row],[Structures 100 Raw]]/I$2)*100</f>
        <v>1.0709848776935271E-3</v>
      </c>
      <c r="K1906" s="178">
        <f>FME_Ranking1[[#This Row],[Structures 100  Score (Normalized, Unweighted)]]*$I$3</f>
        <v>1.6064773165402907E-4</v>
      </c>
      <c r="L1906" s="246">
        <f>_xlfn.XLOOKUP(FME_Ranking1[[#This Row],[FME ID]],FME_Input[FME_ID],FME_Input[RES_STRUCT100])</f>
        <v>1</v>
      </c>
      <c r="M1906" s="230">
        <f>(FME_Ranking1[[#This Row],[Res Structures Raw]]/L$2)*100</f>
        <v>7.0830559136433825E-4</v>
      </c>
      <c r="N1906" s="180">
        <f>FME_Ranking1[[#This Row],[Res Structures Score (Normalized, Unweighted)]]*$L$3</f>
        <v>7.0830559136433833E-5</v>
      </c>
      <c r="O1906" s="244">
        <f>_xlfn.XLOOKUP(FME_Ranking1[[#This Row],[FME ID]],FME_Input[FME_ID],FME_Input[POP100])</f>
        <v>14</v>
      </c>
      <c r="P1906" s="178">
        <f>(FME_Ranking1[[#This Row],[Pop Raw]]/$O$2)*100</f>
        <v>1.4332543678426859E-3</v>
      </c>
      <c r="Q1906" s="178">
        <f>FME_Ranking1[[#This Row],[Pop Score (Normalized, Unweighted)]]*$O$3</f>
        <v>2.1498815517640289E-4</v>
      </c>
      <c r="R1906" s="137">
        <f>_xlfn.XLOOKUP(FME_Ranking1[[#This Row],[FME ID]],FME_Input[FME_ID],FME_Input[CRITFAC100])</f>
        <v>0</v>
      </c>
      <c r="S1906" s="230">
        <f>(FME_Ranking1[[#This Row],[Critical Facilities Raw]]/$R$2)*100</f>
        <v>0</v>
      </c>
      <c r="T1906" s="180">
        <f>FME_Ranking1[[#This Row],[Critical Facilities Score (Normalized, Unweighted)]]*$R$3</f>
        <v>0</v>
      </c>
      <c r="U1906">
        <f>_xlfn.XLOOKUP(FME_Ranking1[[#This Row],[FME ID]],FME_Input[FME_ID],FME_Input[LWC])</f>
        <v>0</v>
      </c>
      <c r="V1906" s="178">
        <f>(FME_Ranking1[[#This Row],[LWC Raw]]/$U$2)*100</f>
        <v>0</v>
      </c>
      <c r="W1906" s="178">
        <f>FME_Ranking1[[#This Row],[LWC Score (Normalized, Unweighted)]]*$U$3</f>
        <v>0</v>
      </c>
      <c r="X1906" s="246">
        <f>_xlfn.XLOOKUP(FME_Ranking1[[#This Row],[FME ID]],FME_Input[FME_ID],FME_Input[ROADCLS])</f>
        <v>3</v>
      </c>
      <c r="Y1906" s="230">
        <f>(FME_Ranking1[[#This Row],[Closures Raw]]/$X$2)*100</f>
        <v>3.1542424561034593E-2</v>
      </c>
      <c r="Z1906" s="180">
        <f>FME_Ranking1[[#This Row],[Closures Score (Normalized, Unweighted)]]*$X$3</f>
        <v>1.5771212280517297E-3</v>
      </c>
      <c r="AA1906" s="253">
        <f>_xlfn.XLOOKUP(FME_Ranking1[[#This Row],[FME ID]],FME_Input[FME_ID],FME_Input[ROAD_MILES100])</f>
        <v>0.31000000238418579</v>
      </c>
      <c r="AB1906" s="178">
        <f>(FME_Ranking1[[#This Row],[Miles Raw]]/$AA$2)*100</f>
        <v>4.0759440202452367E-3</v>
      </c>
      <c r="AC1906" s="178">
        <f>FME_Ranking1[[#This Row],[Miles Score (Normalized, Unweighted)]]*$AA$3</f>
        <v>4.075944020245237E-4</v>
      </c>
      <c r="AD1906" s="255">
        <f>_xlfn.XLOOKUP(FME_Ranking1[[#This Row],[FME ID]],FME_Input[FME_ID],FME_Input[FARMACRE100])</f>
        <v>0</v>
      </c>
      <c r="AE1906" s="230">
        <f>(FME_Ranking1[[#This Row],[Ag Land Raw]]/$AD$2)*100</f>
        <v>0</v>
      </c>
      <c r="AF1906" s="231">
        <f>FME_Ranking1[[#This Row],[Ag Land Score (Normalized, Unweighted)]]*$AD$3</f>
        <v>0</v>
      </c>
      <c r="AG190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2.4311820760431193E-3</v>
      </c>
      <c r="AH1906" s="406">
        <f t="shared" si="29"/>
        <v>1933</v>
      </c>
      <c r="AI190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2.4311820760431193E-3</v>
      </c>
      <c r="AJ1906" s="257">
        <f>FME_Ranking1[[#This Row],[Addition check]]-FME_Ranking1[[#This Row],[Weighted Score Based on Normalized Reported Factors]]</f>
        <v>0</v>
      </c>
      <c r="AK1906" s="178">
        <f>_xlfn.RANK.EQ(AI1906,$AI$6:$AI$2341,0)+COUNTIF($AI$6:AI1906,AI1906)-1</f>
        <v>1933</v>
      </c>
    </row>
    <row r="1907" spans="1:37" x14ac:dyDescent="0.25">
      <c r="A1907" t="s">
        <v>9826</v>
      </c>
      <c r="B1907">
        <f>_xlfn.XLOOKUP(FME_Ranking1[[#This Row],[FME ID]],FME_Input[FME_ID],FME_Input[RFPG_NUM])</f>
        <v>12</v>
      </c>
      <c r="C1907" t="str">
        <f>_xlfn.XLOOKUP(FME_Ranking1[[#This Row],[FME ID]],FME_Input[FME_ID],FME_Input[FME_NAME])</f>
        <v>Additional flood proof at wastewater treatment plant</v>
      </c>
      <c r="D1907" t="str">
        <f>_xlfn.XLOOKUP(FME_Ranking1[[#This Row],[FME ID]],FME_Input[FME_ID],FME_Input[DESCR])</f>
        <v>Study to evaluate removing the WWTP from flood and erosion risk</v>
      </c>
      <c r="E1907" s="256">
        <f>_xlfn.XLOOKUP(FME_Ranking1[[#This Row],[FME ID]],FME_Input[FME_ID],FME_Input[FME_COST])</f>
        <v>150000</v>
      </c>
      <c r="F1907" t="str">
        <f>_xlfn.XLOOKUP(FME_Ranking1[[#This Row],[FME ID]],FME_Input[FME_ID],FME_Input[EMER_NEED])</f>
        <v>Yes</v>
      </c>
      <c r="G1907">
        <f>IF(FME_Ranking!F1907="Yes",100,0)</f>
        <v>100</v>
      </c>
      <c r="H1907">
        <f>FME_Ranking1[[#This Row],[Emergency Need Score (Normalized, Unweighted)]]*$F$3</f>
        <v>0</v>
      </c>
      <c r="I1907" s="246">
        <f>_xlfn.XLOOKUP(FME_Ranking1[[#This Row],[FME ID]],FME_Input[FME_ID],FME_Input[STRUCT_100])</f>
        <v>5</v>
      </c>
      <c r="J1907" s="178">
        <f>(FME_Ranking1[[#This Row],[Structures 100 Raw]]/I$2)*100</f>
        <v>2.6774621942338172E-3</v>
      </c>
      <c r="K1907" s="178">
        <f>FME_Ranking1[[#This Row],[Structures 100  Score (Normalized, Unweighted)]]*$I$3</f>
        <v>4.0161932913507258E-4</v>
      </c>
      <c r="L1907" s="246">
        <f>_xlfn.XLOOKUP(FME_Ranking1[[#This Row],[FME ID]],FME_Input[FME_ID],FME_Input[RES_STRUCT100])</f>
        <v>5</v>
      </c>
      <c r="M1907" s="230">
        <f>(FME_Ranking1[[#This Row],[Res Structures Raw]]/L$2)*100</f>
        <v>3.5415279568216909E-3</v>
      </c>
      <c r="N1907" s="180">
        <f>FME_Ranking1[[#This Row],[Res Structures Score (Normalized, Unweighted)]]*$L$3</f>
        <v>3.5415279568216913E-4</v>
      </c>
      <c r="O1907" s="244">
        <f>_xlfn.XLOOKUP(FME_Ranking1[[#This Row],[FME ID]],FME_Input[FME_ID],FME_Input[POP100])</f>
        <v>9</v>
      </c>
      <c r="P1907" s="178">
        <f>(FME_Ranking1[[#This Row],[Pop Raw]]/$O$2)*100</f>
        <v>9.2137780789886947E-4</v>
      </c>
      <c r="Q1907" s="178">
        <f>FME_Ranking1[[#This Row],[Pop Score (Normalized, Unweighted)]]*$O$3</f>
        <v>1.3820667118483041E-4</v>
      </c>
      <c r="R1907" s="137">
        <f>_xlfn.XLOOKUP(FME_Ranking1[[#This Row],[FME ID]],FME_Input[FME_ID],FME_Input[CRITFAC100])</f>
        <v>0</v>
      </c>
      <c r="S1907" s="230">
        <f>(FME_Ranking1[[#This Row],[Critical Facilities Raw]]/$R$2)*100</f>
        <v>0</v>
      </c>
      <c r="T1907" s="180">
        <f>FME_Ranking1[[#This Row],[Critical Facilities Score (Normalized, Unweighted)]]*$R$3</f>
        <v>0</v>
      </c>
      <c r="U1907">
        <f>_xlfn.XLOOKUP(FME_Ranking1[[#This Row],[FME ID]],FME_Input[FME_ID],FME_Input[LWC])</f>
        <v>0</v>
      </c>
      <c r="V1907" s="178">
        <f>(FME_Ranking1[[#This Row],[LWC Raw]]/$U$2)*100</f>
        <v>0</v>
      </c>
      <c r="W1907" s="178">
        <f>FME_Ranking1[[#This Row],[LWC Score (Normalized, Unweighted)]]*$U$3</f>
        <v>0</v>
      </c>
      <c r="X1907" s="246">
        <f>_xlfn.XLOOKUP(FME_Ranking1[[#This Row],[FME ID]],FME_Input[FME_ID],FME_Input[ROADCLS])</f>
        <v>2</v>
      </c>
      <c r="Y1907" s="230">
        <f>(FME_Ranking1[[#This Row],[Closures Raw]]/$X$2)*100</f>
        <v>2.1028283040689728E-2</v>
      </c>
      <c r="Z1907" s="180">
        <f>FME_Ranking1[[#This Row],[Closures Score (Normalized, Unweighted)]]*$X$3</f>
        <v>1.0514141520344864E-3</v>
      </c>
      <c r="AA1907" s="253">
        <f>_xlfn.XLOOKUP(FME_Ranking1[[#This Row],[FME ID]],FME_Input[FME_ID],FME_Input[ROAD_MILES100])</f>
        <v>0.14000000059604639</v>
      </c>
      <c r="AB1907" s="178">
        <f>(FME_Ranking1[[#This Row],[Miles Raw]]/$AA$2)*100</f>
        <v>1.8407489060487015E-3</v>
      </c>
      <c r="AC1907" s="178">
        <f>FME_Ranking1[[#This Row],[Miles Score (Normalized, Unweighted)]]*$AA$3</f>
        <v>1.8407489060487015E-4</v>
      </c>
      <c r="AD1907" s="255">
        <f>_xlfn.XLOOKUP(FME_Ranking1[[#This Row],[FME ID]],FME_Input[FME_ID],FME_Input[FARMACRE100])</f>
        <v>2.0121901035308838</v>
      </c>
      <c r="AE1907" s="230">
        <f>(FME_Ranking1[[#This Row],[Ag Land Raw]]/$AD$2)*100</f>
        <v>8.2973712293191328E-5</v>
      </c>
      <c r="AF1907" s="231">
        <f>FME_Ranking1[[#This Row],[Ag Land Score (Normalized, Unweighted)]]*$AD$3</f>
        <v>4.1486856146595662E-6</v>
      </c>
      <c r="AG190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2.1336165242560883E-3</v>
      </c>
      <c r="AH1907" s="406">
        <f t="shared" si="29"/>
        <v>1949</v>
      </c>
      <c r="AI190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2.1336165242560883E-3</v>
      </c>
      <c r="AJ1907" s="257">
        <f>FME_Ranking1[[#This Row],[Addition check]]-FME_Ranking1[[#This Row],[Weighted Score Based on Normalized Reported Factors]]</f>
        <v>0</v>
      </c>
      <c r="AK1907" s="178">
        <f>_xlfn.RANK.EQ(AI1907,$AI$6:$AI$2341,0)+COUNTIF($AI$6:AI1907,AI1907)-1</f>
        <v>1949</v>
      </c>
    </row>
    <row r="1908" spans="1:37" x14ac:dyDescent="0.25">
      <c r="A1908" t="s">
        <v>10368</v>
      </c>
      <c r="B1908">
        <f>_xlfn.XLOOKUP(FME_Ranking1[[#This Row],[FME ID]],FME_Input[FME_ID],FME_Input[RFPG_NUM])</f>
        <v>13</v>
      </c>
      <c r="C1908" t="str">
        <f>_xlfn.XLOOKUP(FME_Ranking1[[#This Row],[FME ID]],FME_Input[FME_ID],FME_Input[FME_NAME])</f>
        <v>Oso Creek Channel Bottom Rectification and Green Infrastructure</v>
      </c>
      <c r="D1908" t="str">
        <f>_xlfn.XLOOKUP(FME_Ranking1[[#This Row],[FME ID]],FME_Input[FME_ID],FME_Input[DESCR])</f>
        <v>Planning and Design for Oso Creek and it's contributing channels to remove channel bottom irregularities, study inclusion of green infrastructure BMPS, improve conveyance and capacity, implement soil stabilization near infrastructure, remove debris.</v>
      </c>
      <c r="E1908" s="256">
        <f>_xlfn.XLOOKUP(FME_Ranking1[[#This Row],[FME ID]],FME_Input[FME_ID],FME_Input[FME_COST])</f>
        <v>4751000</v>
      </c>
      <c r="F1908" t="str">
        <f>_xlfn.XLOOKUP(FME_Ranking1[[#This Row],[FME ID]],FME_Input[FME_ID],FME_Input[EMER_NEED])</f>
        <v>Yes</v>
      </c>
      <c r="G1908">
        <f>IF(FME_Ranking!F1908="Yes",100,0)</f>
        <v>100</v>
      </c>
      <c r="H1908">
        <f>FME_Ranking1[[#This Row],[Emergency Need Score (Normalized, Unweighted)]]*$F$3</f>
        <v>0</v>
      </c>
      <c r="I1908" s="246">
        <f>_xlfn.XLOOKUP(FME_Ranking1[[#This Row],[FME ID]],FME_Input[FME_ID],FME_Input[STRUCT_100])</f>
        <v>3</v>
      </c>
      <c r="J1908" s="178">
        <f>(FME_Ranking1[[#This Row],[Structures 100 Raw]]/I$2)*100</f>
        <v>1.6064773165402903E-3</v>
      </c>
      <c r="K1908" s="178">
        <f>FME_Ranking1[[#This Row],[Structures 100  Score (Normalized, Unweighted)]]*$I$3</f>
        <v>2.4097159748104354E-4</v>
      </c>
      <c r="L1908" s="246">
        <f>_xlfn.XLOOKUP(FME_Ranking1[[#This Row],[FME ID]],FME_Input[FME_ID],FME_Input[RES_STRUCT100])</f>
        <v>1</v>
      </c>
      <c r="M1908" s="230">
        <f>(FME_Ranking1[[#This Row],[Res Structures Raw]]/L$2)*100</f>
        <v>7.0830559136433825E-4</v>
      </c>
      <c r="N1908" s="180">
        <f>FME_Ranking1[[#This Row],[Res Structures Score (Normalized, Unweighted)]]*$L$3</f>
        <v>7.0830559136433833E-5</v>
      </c>
      <c r="O1908" s="244">
        <f>_xlfn.XLOOKUP(FME_Ranking1[[#This Row],[FME ID]],FME_Input[FME_ID],FME_Input[POP100])</f>
        <v>2</v>
      </c>
      <c r="P1908" s="178">
        <f>(FME_Ranking1[[#This Row],[Pop Raw]]/$O$2)*100</f>
        <v>2.0475062397752657E-4</v>
      </c>
      <c r="Q1908" s="178">
        <f>FME_Ranking1[[#This Row],[Pop Score (Normalized, Unweighted)]]*$O$3</f>
        <v>3.0712593596628984E-5</v>
      </c>
      <c r="R1908" s="137">
        <f>_xlfn.XLOOKUP(FME_Ranking1[[#This Row],[FME ID]],FME_Input[FME_ID],FME_Input[CRITFAC100])</f>
        <v>0</v>
      </c>
      <c r="S1908" s="230">
        <f>(FME_Ranking1[[#This Row],[Critical Facilities Raw]]/$R$2)*100</f>
        <v>0</v>
      </c>
      <c r="T1908" s="180">
        <f>FME_Ranking1[[#This Row],[Critical Facilities Score (Normalized, Unweighted)]]*$R$3</f>
        <v>0</v>
      </c>
      <c r="U1908">
        <f>_xlfn.XLOOKUP(FME_Ranking1[[#This Row],[FME ID]],FME_Input[FME_ID],FME_Input[LWC])</f>
        <v>0</v>
      </c>
      <c r="V1908" s="178">
        <f>(FME_Ranking1[[#This Row],[LWC Raw]]/$U$2)*100</f>
        <v>0</v>
      </c>
      <c r="W1908" s="178">
        <f>FME_Ranking1[[#This Row],[LWC Score (Normalized, Unweighted)]]*$U$3</f>
        <v>0</v>
      </c>
      <c r="X1908" s="246">
        <f>_xlfn.XLOOKUP(FME_Ranking1[[#This Row],[FME ID]],FME_Input[FME_ID],FME_Input[ROADCLS])</f>
        <v>3</v>
      </c>
      <c r="Y1908" s="230">
        <f>(FME_Ranking1[[#This Row],[Closures Raw]]/$X$2)*100</f>
        <v>3.1542424561034593E-2</v>
      </c>
      <c r="Z1908" s="180">
        <f>FME_Ranking1[[#This Row],[Closures Score (Normalized, Unweighted)]]*$X$3</f>
        <v>1.5771212280517297E-3</v>
      </c>
      <c r="AA1908" s="253">
        <f>_xlfn.XLOOKUP(FME_Ranking1[[#This Row],[FME ID]],FME_Input[FME_ID],FME_Input[ROAD_MILES100])</f>
        <v>0.22305437922477719</v>
      </c>
      <c r="AB1908" s="178">
        <f>(FME_Ranking1[[#This Row],[Miles Raw]]/$AA$2)*100</f>
        <v>2.9327650199951201E-3</v>
      </c>
      <c r="AC1908" s="178">
        <f>FME_Ranking1[[#This Row],[Miles Score (Normalized, Unweighted)]]*$AA$3</f>
        <v>2.9327650199951203E-4</v>
      </c>
      <c r="AD1908" s="255">
        <f>_xlfn.XLOOKUP(FME_Ranking1[[#This Row],[FME ID]],FME_Input[FME_ID],FME_Input[FARMACRE100])</f>
        <v>1.4039207696914671</v>
      </c>
      <c r="AE1908" s="230">
        <f>(FME_Ranking1[[#This Row],[Ag Land Raw]]/$AD$2)*100</f>
        <v>5.7891407885570892E-5</v>
      </c>
      <c r="AF1908" s="231">
        <f>FME_Ranking1[[#This Row],[Ag Land Score (Normalized, Unweighted)]]*$AD$3</f>
        <v>2.8945703942785448E-6</v>
      </c>
      <c r="AG190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2.2158070506596269E-3</v>
      </c>
      <c r="AH1908" s="406">
        <f t="shared" si="29"/>
        <v>1943</v>
      </c>
      <c r="AI190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2.2158070506596269E-3</v>
      </c>
      <c r="AJ1908" s="257">
        <f>FME_Ranking1[[#This Row],[Addition check]]-FME_Ranking1[[#This Row],[Weighted Score Based on Normalized Reported Factors]]</f>
        <v>0</v>
      </c>
      <c r="AK1908" s="178">
        <f>_xlfn.RANK.EQ(AI1908,$AI$6:$AI$2341,0)+COUNTIF($AI$6:AI1908,AI1908)-1</f>
        <v>1943</v>
      </c>
    </row>
    <row r="1909" spans="1:37" x14ac:dyDescent="0.25">
      <c r="A1909" t="s">
        <v>9840</v>
      </c>
      <c r="B1909">
        <f>_xlfn.XLOOKUP(FME_Ranking1[[#This Row],[FME ID]],FME_Input[FME_ID],FME_Input[RFPG_NUM])</f>
        <v>12</v>
      </c>
      <c r="C1909" t="str">
        <f>_xlfn.XLOOKUP(FME_Ranking1[[#This Row],[FME ID]],FME_Input[FME_ID],FME_Input[FME_NAME])</f>
        <v>Damage Center 1: Project 1A, 1B, 1C</v>
      </c>
      <c r="D1909" t="str">
        <f>_xlfn.XLOOKUP(FME_Ranking1[[#This Row],[FME ID]],FME_Input[FME_ID],FME_Input[DESCR])</f>
        <v>Detention upstream of Lost Springs Hollow along with some channel work. Upgrade Hwy 181 crossing at Lodi Branch and channelization (contingent of Project 1A).</v>
      </c>
      <c r="E1909" s="256">
        <f>_xlfn.XLOOKUP(FME_Ranking1[[#This Row],[FME ID]],FME_Input[FME_ID],FME_Input[FME_COST])</f>
        <v>150000</v>
      </c>
      <c r="F1909" t="str">
        <f>_xlfn.XLOOKUP(FME_Ranking1[[#This Row],[FME ID]],FME_Input[FME_ID],FME_Input[EMER_NEED])</f>
        <v>Yes</v>
      </c>
      <c r="G1909">
        <f>IF(FME_Ranking!F1909="Yes",100,0)</f>
        <v>100</v>
      </c>
      <c r="H1909">
        <f>FME_Ranking1[[#This Row],[Emergency Need Score (Normalized, Unweighted)]]*$F$3</f>
        <v>0</v>
      </c>
      <c r="I1909" s="246">
        <f>_xlfn.XLOOKUP(FME_Ranking1[[#This Row],[FME ID]],FME_Input[FME_ID],FME_Input[STRUCT_100])</f>
        <v>7</v>
      </c>
      <c r="J1909" s="178">
        <f>(FME_Ranking1[[#This Row],[Structures 100 Raw]]/I$2)*100</f>
        <v>3.7484470719273445E-3</v>
      </c>
      <c r="K1909" s="178">
        <f>FME_Ranking1[[#This Row],[Structures 100  Score (Normalized, Unweighted)]]*$I$3</f>
        <v>5.622670607891017E-4</v>
      </c>
      <c r="L1909" s="246">
        <f>_xlfn.XLOOKUP(FME_Ranking1[[#This Row],[FME ID]],FME_Input[FME_ID],FME_Input[RES_STRUCT100])</f>
        <v>2</v>
      </c>
      <c r="M1909" s="230">
        <f>(FME_Ranking1[[#This Row],[Res Structures Raw]]/L$2)*100</f>
        <v>1.4166111827286765E-3</v>
      </c>
      <c r="N1909" s="180">
        <f>FME_Ranking1[[#This Row],[Res Structures Score (Normalized, Unweighted)]]*$L$3</f>
        <v>1.4166111827286767E-4</v>
      </c>
      <c r="O1909" s="244">
        <f>_xlfn.XLOOKUP(FME_Ranking1[[#This Row],[FME ID]],FME_Input[FME_ID],FME_Input[POP100])</f>
        <v>9</v>
      </c>
      <c r="P1909" s="178">
        <f>(FME_Ranking1[[#This Row],[Pop Raw]]/$O$2)*100</f>
        <v>9.2137780789886947E-4</v>
      </c>
      <c r="Q1909" s="178">
        <f>FME_Ranking1[[#This Row],[Pop Score (Normalized, Unweighted)]]*$O$3</f>
        <v>1.3820667118483041E-4</v>
      </c>
      <c r="R1909" s="137">
        <f>_xlfn.XLOOKUP(FME_Ranking1[[#This Row],[FME ID]],FME_Input[FME_ID],FME_Input[CRITFAC100])</f>
        <v>0</v>
      </c>
      <c r="S1909" s="230">
        <f>(FME_Ranking1[[#This Row],[Critical Facilities Raw]]/$R$2)*100</f>
        <v>0</v>
      </c>
      <c r="T1909" s="180">
        <f>FME_Ranking1[[#This Row],[Critical Facilities Score (Normalized, Unweighted)]]*$R$3</f>
        <v>0</v>
      </c>
      <c r="U1909">
        <f>_xlfn.XLOOKUP(FME_Ranking1[[#This Row],[FME ID]],FME_Input[FME_ID],FME_Input[LWC])</f>
        <v>0</v>
      </c>
      <c r="V1909" s="178">
        <f>(FME_Ranking1[[#This Row],[LWC Raw]]/$U$2)*100</f>
        <v>0</v>
      </c>
      <c r="W1909" s="178">
        <f>FME_Ranking1[[#This Row],[LWC Score (Normalized, Unweighted)]]*$U$3</f>
        <v>0</v>
      </c>
      <c r="X1909" s="246">
        <f>_xlfn.XLOOKUP(FME_Ranking1[[#This Row],[FME ID]],FME_Input[FME_ID],FME_Input[ROADCLS])</f>
        <v>2</v>
      </c>
      <c r="Y1909" s="230">
        <f>(FME_Ranking1[[#This Row],[Closures Raw]]/$X$2)*100</f>
        <v>2.1028283040689728E-2</v>
      </c>
      <c r="Z1909" s="180">
        <f>FME_Ranking1[[#This Row],[Closures Score (Normalized, Unweighted)]]*$X$3</f>
        <v>1.0514141520344864E-3</v>
      </c>
      <c r="AA1909" s="253">
        <f>_xlfn.XLOOKUP(FME_Ranking1[[#This Row],[FME ID]],FME_Input[FME_ID],FME_Input[ROAD_MILES100])</f>
        <v>0.15000000596046451</v>
      </c>
      <c r="AB1909" s="178">
        <f>(FME_Ranking1[[#This Row],[Miles Raw]]/$AA$2)*100</f>
        <v>1.9722310407391608E-3</v>
      </c>
      <c r="AC1909" s="178">
        <f>FME_Ranking1[[#This Row],[Miles Score (Normalized, Unweighted)]]*$AA$3</f>
        <v>1.972231040739161E-4</v>
      </c>
      <c r="AD1909" s="255">
        <f>_xlfn.XLOOKUP(FME_Ranking1[[#This Row],[FME ID]],FME_Input[FME_ID],FME_Input[FARMACRE100])</f>
        <v>0.73880898952484131</v>
      </c>
      <c r="AE1909" s="230">
        <f>(FME_Ranking1[[#This Row],[Ag Land Raw]]/$AD$2)*100</f>
        <v>3.0465175446837048E-5</v>
      </c>
      <c r="AF1909" s="231">
        <f>FME_Ranking1[[#This Row],[Ag Land Score (Normalized, Unweighted)]]*$AD$3</f>
        <v>1.5232587723418526E-6</v>
      </c>
      <c r="AG190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2.0922953651275442E-3</v>
      </c>
      <c r="AH1909" s="406">
        <f t="shared" si="29"/>
        <v>1951</v>
      </c>
      <c r="AI190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2.0922953651275442E-3</v>
      </c>
      <c r="AJ1909" s="257">
        <f>FME_Ranking1[[#This Row],[Addition check]]-FME_Ranking1[[#This Row],[Weighted Score Based on Normalized Reported Factors]]</f>
        <v>0</v>
      </c>
      <c r="AK1909" s="178">
        <f>_xlfn.RANK.EQ(AI1909,$AI$6:$AI$2341,0)+COUNTIF($AI$6:AI1909,AI1909)-1</f>
        <v>1951</v>
      </c>
    </row>
    <row r="1910" spans="1:37" x14ac:dyDescent="0.25">
      <c r="A1910" t="s">
        <v>273</v>
      </c>
      <c r="B1910">
        <f>_xlfn.XLOOKUP(FME_Ranking1[[#This Row],[FME ID]],FME_Input[FME_ID],FME_Input[RFPG_NUM])</f>
        <v>10</v>
      </c>
      <c r="C1910" t="str">
        <f>_xlfn.XLOOKUP(FME_Ranking1[[#This Row],[FME ID]],FME_Input[FME_ID],FME_Input[FME_NAME])</f>
        <v>Lump Rd, Hilltop Rd, FM 2919 N</v>
      </c>
      <c r="D1910" t="str">
        <f>_xlfn.XLOOKUP(FME_Ranking1[[#This Row],[FME ID]],FME_Input[FME_ID],FME_Input[DESCR])</f>
        <v>Feasibility study of LWCs</v>
      </c>
      <c r="E1910" s="256">
        <f>_xlfn.XLOOKUP(FME_Ranking1[[#This Row],[FME ID]],FME_Input[FME_ID],FME_Input[FME_COST])</f>
        <v>100000</v>
      </c>
      <c r="F1910" t="str">
        <f>_xlfn.XLOOKUP(FME_Ranking1[[#This Row],[FME ID]],FME_Input[FME_ID],FME_Input[EMER_NEED])</f>
        <v>No</v>
      </c>
      <c r="G1910">
        <f>IF(FME_Ranking!F1910="Yes",100,0)</f>
        <v>0</v>
      </c>
      <c r="H1910">
        <f>FME_Ranking1[[#This Row],[Emergency Need Score (Normalized, Unweighted)]]*$F$3</f>
        <v>0</v>
      </c>
      <c r="I1910" s="246">
        <f>_xlfn.XLOOKUP(FME_Ranking1[[#This Row],[FME ID]],FME_Input[FME_ID],FME_Input[STRUCT_100])</f>
        <v>11</v>
      </c>
      <c r="J1910" s="178">
        <f>(FME_Ranking1[[#This Row],[Structures 100 Raw]]/I$2)*100</f>
        <v>5.8904168273143983E-3</v>
      </c>
      <c r="K1910" s="178">
        <f>FME_Ranking1[[#This Row],[Structures 100  Score (Normalized, Unweighted)]]*$I$3</f>
        <v>8.8356252409715972E-4</v>
      </c>
      <c r="L1910" s="246">
        <f>_xlfn.XLOOKUP(FME_Ranking1[[#This Row],[FME ID]],FME_Input[FME_ID],FME_Input[RES_STRUCT100])</f>
        <v>9</v>
      </c>
      <c r="M1910" s="230">
        <f>(FME_Ranking1[[#This Row],[Res Structures Raw]]/L$2)*100</f>
        <v>6.3747503222790439E-3</v>
      </c>
      <c r="N1910" s="180">
        <f>FME_Ranking1[[#This Row],[Res Structures Score (Normalized, Unweighted)]]*$L$3</f>
        <v>6.3747503222790446E-4</v>
      </c>
      <c r="O1910" s="244">
        <f>_xlfn.XLOOKUP(FME_Ranking1[[#This Row],[FME ID]],FME_Input[FME_ID],FME_Input[POP100])</f>
        <v>14</v>
      </c>
      <c r="P1910" s="178">
        <f>(FME_Ranking1[[#This Row],[Pop Raw]]/$O$2)*100</f>
        <v>1.4332543678426859E-3</v>
      </c>
      <c r="Q1910" s="178">
        <f>FME_Ranking1[[#This Row],[Pop Score (Normalized, Unweighted)]]*$O$3</f>
        <v>2.1498815517640289E-4</v>
      </c>
      <c r="R1910" s="137">
        <f>_xlfn.XLOOKUP(FME_Ranking1[[#This Row],[FME ID]],FME_Input[FME_ID],FME_Input[CRITFAC100])</f>
        <v>0</v>
      </c>
      <c r="S1910" s="230">
        <f>(FME_Ranking1[[#This Row],[Critical Facilities Raw]]/$R$2)*100</f>
        <v>0</v>
      </c>
      <c r="T1910" s="180">
        <f>FME_Ranking1[[#This Row],[Critical Facilities Score (Normalized, Unweighted)]]*$R$3</f>
        <v>0</v>
      </c>
      <c r="U1910">
        <f>_xlfn.XLOOKUP(FME_Ranking1[[#This Row],[FME ID]],FME_Input[FME_ID],FME_Input[LWC])</f>
        <v>0</v>
      </c>
      <c r="V1910" s="178">
        <f>(FME_Ranking1[[#This Row],[LWC Raw]]/$U$2)*100</f>
        <v>0</v>
      </c>
      <c r="W1910" s="178">
        <f>FME_Ranking1[[#This Row],[LWC Score (Normalized, Unweighted)]]*$U$3</f>
        <v>0</v>
      </c>
      <c r="X1910" s="246">
        <f>_xlfn.XLOOKUP(FME_Ranking1[[#This Row],[FME ID]],FME_Input[FME_ID],FME_Input[ROADCLS])</f>
        <v>0</v>
      </c>
      <c r="Y1910" s="230">
        <f>(FME_Ranking1[[#This Row],[Closures Raw]]/$X$2)*100</f>
        <v>0</v>
      </c>
      <c r="Z1910" s="180">
        <f>FME_Ranking1[[#This Row],[Closures Score (Normalized, Unweighted)]]*$X$3</f>
        <v>0</v>
      </c>
      <c r="AA1910" s="253">
        <f>_xlfn.XLOOKUP(FME_Ranking1[[#This Row],[FME ID]],FME_Input[FME_ID],FME_Input[ROAD_MILES100])</f>
        <v>0.84983170032501221</v>
      </c>
      <c r="AB1910" s="178">
        <f>(FME_Ranking1[[#This Row],[Miles Raw]]/$AA$2)*100</f>
        <v>1.1173762614562094E-2</v>
      </c>
      <c r="AC1910" s="178">
        <f>FME_Ranking1[[#This Row],[Miles Score (Normalized, Unweighted)]]*$AA$3</f>
        <v>1.1173762614562096E-3</v>
      </c>
      <c r="AD1910" s="255">
        <f>_xlfn.XLOOKUP(FME_Ranking1[[#This Row],[FME ID]],FME_Input[FME_ID],FME_Input[FARMACRE100])</f>
        <v>69.410835266113281</v>
      </c>
      <c r="AE1910" s="230">
        <f>(FME_Ranking1[[#This Row],[Ag Land Raw]]/$AD$2)*100</f>
        <v>2.8621921285143554E-3</v>
      </c>
      <c r="AF1910" s="231">
        <f>FME_Ranking1[[#This Row],[Ag Land Score (Normalized, Unweighted)]]*$AD$3</f>
        <v>1.4310960642571776E-4</v>
      </c>
      <c r="AG191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2.996511579383394E-3</v>
      </c>
      <c r="AH1910" s="406">
        <f t="shared" si="29"/>
        <v>1904</v>
      </c>
      <c r="AI191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2.996511579383394E-3</v>
      </c>
      <c r="AJ1910" s="257">
        <f>FME_Ranking1[[#This Row],[Addition check]]-FME_Ranking1[[#This Row],[Weighted Score Based on Normalized Reported Factors]]</f>
        <v>0</v>
      </c>
      <c r="AK1910" s="178">
        <f>_xlfn.RANK.EQ(AI1910,$AI$6:$AI$2341,0)+COUNTIF($AI$6:AI1910,AI1910)-1</f>
        <v>1904</v>
      </c>
    </row>
    <row r="1911" spans="1:37" x14ac:dyDescent="0.25">
      <c r="A1911" t="s">
        <v>280</v>
      </c>
      <c r="B1911">
        <f>_xlfn.XLOOKUP(FME_Ranking1[[#This Row],[FME ID]],FME_Input[FME_ID],FME_Input[RFPG_NUM])</f>
        <v>10</v>
      </c>
      <c r="C1911" t="str">
        <f>_xlfn.XLOOKUP(FME_Ranking1[[#This Row],[FME ID]],FME_Input[FME_ID],FME_Input[FME_NAME])</f>
        <v>Drainage Improvements to Crawford Outlet Right-of-Way</v>
      </c>
      <c r="D1911" t="str">
        <f>_xlfn.XLOOKUP(FME_Ranking1[[#This Row],[FME ID]],FME_Input[FME_ID],FME_Input[DESCR])</f>
        <v>Drainage Improvements to Crawford Outlet Right-of-Way</v>
      </c>
      <c r="E1911" s="256">
        <f>_xlfn.XLOOKUP(FME_Ranking1[[#This Row],[FME ID]],FME_Input[FME_ID],FME_Input[FME_COST])</f>
        <v>50000</v>
      </c>
      <c r="F1911" t="str">
        <f>_xlfn.XLOOKUP(FME_Ranking1[[#This Row],[FME ID]],FME_Input[FME_ID],FME_Input[EMER_NEED])</f>
        <v>No</v>
      </c>
      <c r="G1911">
        <f>IF(FME_Ranking!F1911="Yes",100,0)</f>
        <v>0</v>
      </c>
      <c r="H1911">
        <f>FME_Ranking1[[#This Row],[Emergency Need Score (Normalized, Unweighted)]]*$F$3</f>
        <v>0</v>
      </c>
      <c r="I1911" s="246">
        <f>_xlfn.XLOOKUP(FME_Ranking1[[#This Row],[FME ID]],FME_Input[FME_ID],FME_Input[STRUCT_100])</f>
        <v>11</v>
      </c>
      <c r="J1911" s="178">
        <f>(FME_Ranking1[[#This Row],[Structures 100 Raw]]/I$2)*100</f>
        <v>5.8904168273143983E-3</v>
      </c>
      <c r="K1911" s="178">
        <f>FME_Ranking1[[#This Row],[Structures 100  Score (Normalized, Unweighted)]]*$I$3</f>
        <v>8.8356252409715972E-4</v>
      </c>
      <c r="L1911" s="246">
        <f>_xlfn.XLOOKUP(FME_Ranking1[[#This Row],[FME ID]],FME_Input[FME_ID],FME_Input[RES_STRUCT100])</f>
        <v>9</v>
      </c>
      <c r="M1911" s="230">
        <f>(FME_Ranking1[[#This Row],[Res Structures Raw]]/L$2)*100</f>
        <v>6.3747503222790439E-3</v>
      </c>
      <c r="N1911" s="180">
        <f>FME_Ranking1[[#This Row],[Res Structures Score (Normalized, Unweighted)]]*$L$3</f>
        <v>6.3747503222790446E-4</v>
      </c>
      <c r="O1911" s="244">
        <f>_xlfn.XLOOKUP(FME_Ranking1[[#This Row],[FME ID]],FME_Input[FME_ID],FME_Input[POP100])</f>
        <v>14</v>
      </c>
      <c r="P1911" s="178">
        <f>(FME_Ranking1[[#This Row],[Pop Raw]]/$O$2)*100</f>
        <v>1.4332543678426859E-3</v>
      </c>
      <c r="Q1911" s="178">
        <f>FME_Ranking1[[#This Row],[Pop Score (Normalized, Unweighted)]]*$O$3</f>
        <v>2.1498815517640289E-4</v>
      </c>
      <c r="R1911" s="137">
        <f>_xlfn.XLOOKUP(FME_Ranking1[[#This Row],[FME ID]],FME_Input[FME_ID],FME_Input[CRITFAC100])</f>
        <v>0</v>
      </c>
      <c r="S1911" s="230">
        <f>(FME_Ranking1[[#This Row],[Critical Facilities Raw]]/$R$2)*100</f>
        <v>0</v>
      </c>
      <c r="T1911" s="180">
        <f>FME_Ranking1[[#This Row],[Critical Facilities Score (Normalized, Unweighted)]]*$R$3</f>
        <v>0</v>
      </c>
      <c r="U1911">
        <f>_xlfn.XLOOKUP(FME_Ranking1[[#This Row],[FME ID]],FME_Input[FME_ID],FME_Input[LWC])</f>
        <v>0</v>
      </c>
      <c r="V1911" s="178">
        <f>(FME_Ranking1[[#This Row],[LWC Raw]]/$U$2)*100</f>
        <v>0</v>
      </c>
      <c r="W1911" s="178">
        <f>FME_Ranking1[[#This Row],[LWC Score (Normalized, Unweighted)]]*$U$3</f>
        <v>0</v>
      </c>
      <c r="X1911" s="246">
        <f>_xlfn.XLOOKUP(FME_Ranking1[[#This Row],[FME ID]],FME_Input[FME_ID],FME_Input[ROADCLS])</f>
        <v>0</v>
      </c>
      <c r="Y1911" s="230">
        <f>(FME_Ranking1[[#This Row],[Closures Raw]]/$X$2)*100</f>
        <v>0</v>
      </c>
      <c r="Z1911" s="180">
        <f>FME_Ranking1[[#This Row],[Closures Score (Normalized, Unweighted)]]*$X$3</f>
        <v>0</v>
      </c>
      <c r="AA1911" s="253">
        <f>_xlfn.XLOOKUP(FME_Ranking1[[#This Row],[FME ID]],FME_Input[FME_ID],FME_Input[ROAD_MILES100])</f>
        <v>0.84983170032501221</v>
      </c>
      <c r="AB1911" s="178">
        <f>(FME_Ranking1[[#This Row],[Miles Raw]]/$AA$2)*100</f>
        <v>1.1173762614562094E-2</v>
      </c>
      <c r="AC1911" s="178">
        <f>FME_Ranking1[[#This Row],[Miles Score (Normalized, Unweighted)]]*$AA$3</f>
        <v>1.1173762614562096E-3</v>
      </c>
      <c r="AD1911" s="255">
        <f>_xlfn.XLOOKUP(FME_Ranking1[[#This Row],[FME ID]],FME_Input[FME_ID],FME_Input[FARMACRE100])</f>
        <v>69.410835266113281</v>
      </c>
      <c r="AE1911" s="230">
        <f>(FME_Ranking1[[#This Row],[Ag Land Raw]]/$AD$2)*100</f>
        <v>2.8621921285143554E-3</v>
      </c>
      <c r="AF1911" s="231">
        <f>FME_Ranking1[[#This Row],[Ag Land Score (Normalized, Unweighted)]]*$AD$3</f>
        <v>1.4310960642571776E-4</v>
      </c>
      <c r="AG191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2.996511579383394E-3</v>
      </c>
      <c r="AH1911" s="406">
        <f t="shared" si="29"/>
        <v>1904</v>
      </c>
      <c r="AI191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2.996511579383394E-3</v>
      </c>
      <c r="AJ1911" s="257">
        <f>FME_Ranking1[[#This Row],[Addition check]]-FME_Ranking1[[#This Row],[Weighted Score Based on Normalized Reported Factors]]</f>
        <v>0</v>
      </c>
      <c r="AK1911" s="178">
        <f>_xlfn.RANK.EQ(AI1911,$AI$6:$AI$2341,0)+COUNTIF($AI$6:AI1911,AI1911)-1</f>
        <v>1905</v>
      </c>
    </row>
    <row r="1912" spans="1:37" x14ac:dyDescent="0.25">
      <c r="A1912" t="s">
        <v>6978</v>
      </c>
      <c r="B1912">
        <f>_xlfn.XLOOKUP(FME_Ranking1[[#This Row],[FME ID]],FME_Input[FME_ID],FME_Input[RFPG_NUM])</f>
        <v>7</v>
      </c>
      <c r="C1912" t="str">
        <f>_xlfn.XLOOKUP(FME_Ranking1[[#This Row],[FME ID]],FME_Input[FME_ID],FME_Input[FME_NAME])</f>
        <v>City of Amherst DMP</v>
      </c>
      <c r="D1912" t="str">
        <f>_xlfn.XLOOKUP(FME_Ranking1[[#This Row],[FME ID]],FME_Input[FME_ID],FME_Input[DESCR])</f>
        <v>Evaluate City of Amherst for a Storm Water Master Plan.</v>
      </c>
      <c r="E1912" s="256">
        <f>_xlfn.XLOOKUP(FME_Ranking1[[#This Row],[FME ID]],FME_Input[FME_ID],FME_Input[FME_COST])</f>
        <v>250000</v>
      </c>
      <c r="F1912" t="str">
        <f>_xlfn.XLOOKUP(FME_Ranking1[[#This Row],[FME ID]],FME_Input[FME_ID],FME_Input[EMER_NEED])</f>
        <v>No</v>
      </c>
      <c r="G1912">
        <f>IF(FME_Ranking!F1912="Yes",100,0)</f>
        <v>0</v>
      </c>
      <c r="H1912">
        <f>FME_Ranking1[[#This Row],[Emergency Need Score (Normalized, Unweighted)]]*$F$3</f>
        <v>0</v>
      </c>
      <c r="I1912" s="246">
        <f>_xlfn.XLOOKUP(FME_Ranking1[[#This Row],[FME ID]],FME_Input[FME_ID],FME_Input[STRUCT_100])</f>
        <v>13</v>
      </c>
      <c r="J1912" s="178">
        <f>(FME_Ranking1[[#This Row],[Structures 100 Raw]]/I$2)*100</f>
        <v>6.961401705007926E-3</v>
      </c>
      <c r="K1912" s="178">
        <f>FME_Ranking1[[#This Row],[Structures 100  Score (Normalized, Unweighted)]]*$I$3</f>
        <v>1.0442102557511889E-3</v>
      </c>
      <c r="L1912" s="246">
        <f>_xlfn.XLOOKUP(FME_Ranking1[[#This Row],[FME ID]],FME_Input[FME_ID],FME_Input[RES_STRUCT100])</f>
        <v>10</v>
      </c>
      <c r="M1912" s="230">
        <f>(FME_Ranking1[[#This Row],[Res Structures Raw]]/L$2)*100</f>
        <v>7.0830559136433819E-3</v>
      </c>
      <c r="N1912" s="180">
        <f>FME_Ranking1[[#This Row],[Res Structures Score (Normalized, Unweighted)]]*$L$3</f>
        <v>7.0830559136433825E-4</v>
      </c>
      <c r="O1912" s="244">
        <f>_xlfn.XLOOKUP(FME_Ranking1[[#This Row],[FME ID]],FME_Input[FME_ID],FME_Input[POP100])</f>
        <v>6</v>
      </c>
      <c r="P1912" s="178">
        <f>(FME_Ranking1[[#This Row],[Pop Raw]]/$O$2)*100</f>
        <v>6.1425187193257975E-4</v>
      </c>
      <c r="Q1912" s="178">
        <f>FME_Ranking1[[#This Row],[Pop Score (Normalized, Unweighted)]]*$O$3</f>
        <v>9.2137780789886957E-5</v>
      </c>
      <c r="R1912" s="137">
        <f>_xlfn.XLOOKUP(FME_Ranking1[[#This Row],[FME ID]],FME_Input[FME_ID],FME_Input[CRITFAC100])</f>
        <v>0</v>
      </c>
      <c r="S1912" s="230">
        <f>(FME_Ranking1[[#This Row],[Critical Facilities Raw]]/$R$2)*100</f>
        <v>0</v>
      </c>
      <c r="T1912" s="180">
        <f>FME_Ranking1[[#This Row],[Critical Facilities Score (Normalized, Unweighted)]]*$R$3</f>
        <v>0</v>
      </c>
      <c r="U1912">
        <f>_xlfn.XLOOKUP(FME_Ranking1[[#This Row],[FME ID]],FME_Input[FME_ID],FME_Input[LWC])</f>
        <v>0</v>
      </c>
      <c r="V1912" s="178">
        <f>(FME_Ranking1[[#This Row],[LWC Raw]]/$U$2)*100</f>
        <v>0</v>
      </c>
      <c r="W1912" s="178">
        <f>FME_Ranking1[[#This Row],[LWC Score (Normalized, Unweighted)]]*$U$3</f>
        <v>0</v>
      </c>
      <c r="X1912" s="246">
        <f>_xlfn.XLOOKUP(FME_Ranking1[[#This Row],[FME ID]],FME_Input[FME_ID],FME_Input[ROADCLS])</f>
        <v>0</v>
      </c>
      <c r="Y1912" s="230">
        <f>(FME_Ranking1[[#This Row],[Closures Raw]]/$X$2)*100</f>
        <v>0</v>
      </c>
      <c r="Z1912" s="180">
        <f>FME_Ranking1[[#This Row],[Closures Score (Normalized, Unweighted)]]*$X$3</f>
        <v>0</v>
      </c>
      <c r="AA1912" s="253">
        <f>_xlfn.XLOOKUP(FME_Ranking1[[#This Row],[FME ID]],FME_Input[FME_ID],FME_Input[ROAD_MILES100])</f>
        <v>3.094444751739502</v>
      </c>
      <c r="AB1912" s="178">
        <f>(FME_Ranking1[[#This Row],[Miles Raw]]/$AA$2)*100</f>
        <v>4.0686398338154663E-2</v>
      </c>
      <c r="AC1912" s="178">
        <f>FME_Ranking1[[#This Row],[Miles Score (Normalized, Unweighted)]]*$AA$3</f>
        <v>4.0686398338154661E-3</v>
      </c>
      <c r="AD1912" s="255">
        <f>_xlfn.XLOOKUP(FME_Ranking1[[#This Row],[FME ID]],FME_Input[FME_ID],FME_Input[FARMACRE100])</f>
        <v>13.94162559509277</v>
      </c>
      <c r="AE1912" s="230">
        <f>(FME_Ranking1[[#This Row],[Ag Land Raw]]/$AD$2)*100</f>
        <v>5.7489022980321248E-4</v>
      </c>
      <c r="AF1912" s="231">
        <f>FME_Ranking1[[#This Row],[Ag Land Score (Normalized, Unweighted)]]*$AD$3</f>
        <v>2.8744511490160625E-5</v>
      </c>
      <c r="AG191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5.9420379732110411E-3</v>
      </c>
      <c r="AH1912" s="406">
        <f t="shared" si="29"/>
        <v>1816</v>
      </c>
      <c r="AI191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5.9420379732110411E-3</v>
      </c>
      <c r="AJ1912" s="257">
        <f>FME_Ranking1[[#This Row],[Addition check]]-FME_Ranking1[[#This Row],[Weighted Score Based on Normalized Reported Factors]]</f>
        <v>0</v>
      </c>
      <c r="AK1912" s="178">
        <f>_xlfn.RANK.EQ(AI1912,$AI$6:$AI$2341,0)+COUNTIF($AI$6:AI1912,AI1912)-1</f>
        <v>1816</v>
      </c>
    </row>
    <row r="1913" spans="1:37" x14ac:dyDescent="0.25">
      <c r="A1913" t="s">
        <v>8968</v>
      </c>
      <c r="B1913">
        <f>_xlfn.XLOOKUP(FME_Ranking1[[#This Row],[FME ID]],FME_Input[FME_ID],FME_Input[RFPG_NUM])</f>
        <v>11</v>
      </c>
      <c r="C1913" t="str">
        <f>_xlfn.XLOOKUP(FME_Ranking1[[#This Row],[FME ID]],FME_Input[FME_ID],FME_Input[FME_NAME])</f>
        <v>Gillespie County Low Water Crossing Improvements Project Planning</v>
      </c>
      <c r="D1913" t="str">
        <f>_xlfn.XLOOKUP(FME_Ranking1[[#This Row],[FME ID]],FME_Input[FME_ID],FME_Input[DESCR])</f>
        <v>Project planning to place automatic warning signs at 35 documented low water crossings in the county</v>
      </c>
      <c r="E1913" s="256">
        <f>_xlfn.XLOOKUP(FME_Ranking1[[#This Row],[FME ID]],FME_Input[FME_ID],FME_Input[FME_COST])</f>
        <v>50000</v>
      </c>
      <c r="F1913" t="str">
        <f>_xlfn.XLOOKUP(FME_Ranking1[[#This Row],[FME ID]],FME_Input[FME_ID],FME_Input[EMER_NEED])</f>
        <v>No</v>
      </c>
      <c r="G1913">
        <f>IF(FME_Ranking!F1913="Yes",100,0)</f>
        <v>0</v>
      </c>
      <c r="H1913">
        <f>FME_Ranking1[[#This Row],[Emergency Need Score (Normalized, Unweighted)]]*$F$3</f>
        <v>0</v>
      </c>
      <c r="I1913" s="246">
        <f>_xlfn.XLOOKUP(FME_Ranking1[[#This Row],[FME ID]],FME_Input[FME_ID],FME_Input[STRUCT_100])</f>
        <v>8</v>
      </c>
      <c r="J1913" s="178">
        <f>(FME_Ranking1[[#This Row],[Structures 100 Raw]]/I$2)*100</f>
        <v>4.2839395107741084E-3</v>
      </c>
      <c r="K1913" s="178">
        <f>FME_Ranking1[[#This Row],[Structures 100  Score (Normalized, Unweighted)]]*$I$3</f>
        <v>6.4259092661611626E-4</v>
      </c>
      <c r="L1913" s="246">
        <f>_xlfn.XLOOKUP(FME_Ranking1[[#This Row],[FME ID]],FME_Input[FME_ID],FME_Input[RES_STRUCT100])</f>
        <v>2</v>
      </c>
      <c r="M1913" s="230">
        <f>(FME_Ranking1[[#This Row],[Res Structures Raw]]/L$2)*100</f>
        <v>1.4166111827286765E-3</v>
      </c>
      <c r="N1913" s="180">
        <f>FME_Ranking1[[#This Row],[Res Structures Score (Normalized, Unweighted)]]*$L$3</f>
        <v>1.4166111827286767E-4</v>
      </c>
      <c r="O1913" s="244">
        <f>_xlfn.XLOOKUP(FME_Ranking1[[#This Row],[FME ID]],FME_Input[FME_ID],FME_Input[POP100])</f>
        <v>22</v>
      </c>
      <c r="P1913" s="178">
        <f>(FME_Ranking1[[#This Row],[Pop Raw]]/$O$2)*100</f>
        <v>2.2522568637527922E-3</v>
      </c>
      <c r="Q1913" s="178">
        <f>FME_Ranking1[[#This Row],[Pop Score (Normalized, Unweighted)]]*$O$3</f>
        <v>3.3783852956291883E-4</v>
      </c>
      <c r="R1913" s="137">
        <f>_xlfn.XLOOKUP(FME_Ranking1[[#This Row],[FME ID]],FME_Input[FME_ID],FME_Input[CRITFAC100])</f>
        <v>0</v>
      </c>
      <c r="S1913" s="230">
        <f>(FME_Ranking1[[#This Row],[Critical Facilities Raw]]/$R$2)*100</f>
        <v>0</v>
      </c>
      <c r="T1913" s="180">
        <f>FME_Ranking1[[#This Row],[Critical Facilities Score (Normalized, Unweighted)]]*$R$3</f>
        <v>0</v>
      </c>
      <c r="U1913">
        <f>_xlfn.XLOOKUP(FME_Ranking1[[#This Row],[FME ID]],FME_Input[FME_ID],FME_Input[LWC])</f>
        <v>0</v>
      </c>
      <c r="V1913" s="178">
        <f>(FME_Ranking1[[#This Row],[LWC Raw]]/$U$2)*100</f>
        <v>0</v>
      </c>
      <c r="W1913" s="178">
        <f>FME_Ranking1[[#This Row],[LWC Score (Normalized, Unweighted)]]*$U$3</f>
        <v>0</v>
      </c>
      <c r="X1913" s="246">
        <f>_xlfn.XLOOKUP(FME_Ranking1[[#This Row],[FME ID]],FME_Input[FME_ID],FME_Input[ROADCLS])</f>
        <v>0</v>
      </c>
      <c r="Y1913" s="230">
        <f>(FME_Ranking1[[#This Row],[Closures Raw]]/$X$2)*100</f>
        <v>0</v>
      </c>
      <c r="Z1913" s="180">
        <f>FME_Ranking1[[#This Row],[Closures Score (Normalized, Unweighted)]]*$X$3</f>
        <v>0</v>
      </c>
      <c r="AA1913" s="253">
        <f>_xlfn.XLOOKUP(FME_Ranking1[[#This Row],[FME ID]],FME_Input[FME_ID],FME_Input[ROAD_MILES100])</f>
        <v>0.11621143668889999</v>
      </c>
      <c r="AB1913" s="178">
        <f>(FME_Ranking1[[#This Row],[Miles Raw]]/$AA$2)*100</f>
        <v>1.5279719574621314E-3</v>
      </c>
      <c r="AC1913" s="178">
        <f>FME_Ranking1[[#This Row],[Miles Score (Normalized, Unweighted)]]*$AA$3</f>
        <v>1.5279719574621316E-4</v>
      </c>
      <c r="AD1913" s="255">
        <f>_xlfn.XLOOKUP(FME_Ranking1[[#This Row],[FME ID]],FME_Input[FME_ID],FME_Input[FARMACRE100])</f>
        <v>347.87081909179688</v>
      </c>
      <c r="AE1913" s="230">
        <f>(FME_Ranking1[[#This Row],[Ag Land Raw]]/$AD$2)*100</f>
        <v>1.434463533434059E-2</v>
      </c>
      <c r="AF1913" s="231">
        <f>FME_Ranking1[[#This Row],[Ag Land Score (Normalized, Unweighted)]]*$AD$3</f>
        <v>7.1723176671702952E-4</v>
      </c>
      <c r="AG191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1.9921195369151457E-3</v>
      </c>
      <c r="AH1913" s="406">
        <f t="shared" si="29"/>
        <v>1959</v>
      </c>
      <c r="AI191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1.9921195369151457E-3</v>
      </c>
      <c r="AJ1913" s="257">
        <f>FME_Ranking1[[#This Row],[Addition check]]-FME_Ranking1[[#This Row],[Weighted Score Based on Normalized Reported Factors]]</f>
        <v>0</v>
      </c>
      <c r="AK1913" s="178">
        <f>_xlfn.RANK.EQ(AI1913,$AI$6:$AI$2341,0)+COUNTIF($AI$6:AI1913,AI1913)-1</f>
        <v>1959</v>
      </c>
    </row>
    <row r="1914" spans="1:37" x14ac:dyDescent="0.25">
      <c r="A1914" t="s">
        <v>8762</v>
      </c>
      <c r="B1914">
        <f>_xlfn.XLOOKUP(FME_Ranking1[[#This Row],[FME ID]],FME_Input[FME_ID],FME_Input[RFPG_NUM])</f>
        <v>11</v>
      </c>
      <c r="C1914" t="str">
        <f>_xlfn.XLOOKUP(FME_Ranking1[[#This Row],[FME ID]],FME_Input[FME_ID],FME_Input[FME_NAME])</f>
        <v>City of Nixon Voluntary Buyout Program Project Planning</v>
      </c>
      <c r="D1914" t="str">
        <f>_xlfn.XLOOKUP(FME_Ranking1[[#This Row],[FME ID]],FME_Input[FME_ID],FME_Input[DESCR])</f>
        <v>Project planning to develop and implement a program to buyout NFIP repetitive loss properties.</v>
      </c>
      <c r="E1914" s="256">
        <f>_xlfn.XLOOKUP(FME_Ranking1[[#This Row],[FME ID]],FME_Input[FME_ID],FME_Input[FME_COST])</f>
        <v>150000</v>
      </c>
      <c r="F1914" t="str">
        <f>_xlfn.XLOOKUP(FME_Ranking1[[#This Row],[FME ID]],FME_Input[FME_ID],FME_Input[EMER_NEED])</f>
        <v>No</v>
      </c>
      <c r="G1914">
        <f>IF(FME_Ranking!F1914="Yes",100,0)</f>
        <v>0</v>
      </c>
      <c r="H1914">
        <f>FME_Ranking1[[#This Row],[Emergency Need Score (Normalized, Unweighted)]]*$F$3</f>
        <v>0</v>
      </c>
      <c r="I1914" s="246">
        <f>_xlfn.XLOOKUP(FME_Ranking1[[#This Row],[FME ID]],FME_Input[FME_ID],FME_Input[STRUCT_100])</f>
        <v>13</v>
      </c>
      <c r="J1914" s="178">
        <f>(FME_Ranking1[[#This Row],[Structures 100 Raw]]/I$2)*100</f>
        <v>6.961401705007926E-3</v>
      </c>
      <c r="K1914" s="178">
        <f>FME_Ranking1[[#This Row],[Structures 100  Score (Normalized, Unweighted)]]*$I$3</f>
        <v>1.0442102557511889E-3</v>
      </c>
      <c r="L1914" s="246">
        <f>_xlfn.XLOOKUP(FME_Ranking1[[#This Row],[FME ID]],FME_Input[FME_ID],FME_Input[RES_STRUCT100])</f>
        <v>6</v>
      </c>
      <c r="M1914" s="230">
        <f>(FME_Ranking1[[#This Row],[Res Structures Raw]]/L$2)*100</f>
        <v>4.2498335481860293E-3</v>
      </c>
      <c r="N1914" s="180">
        <f>FME_Ranking1[[#This Row],[Res Structures Score (Normalized, Unweighted)]]*$L$3</f>
        <v>4.2498335481860297E-4</v>
      </c>
      <c r="O1914" s="244">
        <f>_xlfn.XLOOKUP(FME_Ranking1[[#This Row],[FME ID]],FME_Input[FME_ID],FME_Input[POP100])</f>
        <v>22</v>
      </c>
      <c r="P1914" s="178">
        <f>(FME_Ranking1[[#This Row],[Pop Raw]]/$O$2)*100</f>
        <v>2.2522568637527922E-3</v>
      </c>
      <c r="Q1914" s="178">
        <f>FME_Ranking1[[#This Row],[Pop Score (Normalized, Unweighted)]]*$O$3</f>
        <v>3.3783852956291883E-4</v>
      </c>
      <c r="R1914" s="137">
        <f>_xlfn.XLOOKUP(FME_Ranking1[[#This Row],[FME ID]],FME_Input[FME_ID],FME_Input[CRITFAC100])</f>
        <v>0</v>
      </c>
      <c r="S1914" s="230">
        <f>(FME_Ranking1[[#This Row],[Critical Facilities Raw]]/$R$2)*100</f>
        <v>0</v>
      </c>
      <c r="T1914" s="180">
        <f>FME_Ranking1[[#This Row],[Critical Facilities Score (Normalized, Unweighted)]]*$R$3</f>
        <v>0</v>
      </c>
      <c r="U1914">
        <f>_xlfn.XLOOKUP(FME_Ranking1[[#This Row],[FME ID]],FME_Input[FME_ID],FME_Input[LWC])</f>
        <v>0</v>
      </c>
      <c r="V1914" s="178">
        <f>(FME_Ranking1[[#This Row],[LWC Raw]]/$U$2)*100</f>
        <v>0</v>
      </c>
      <c r="W1914" s="178">
        <f>FME_Ranking1[[#This Row],[LWC Score (Normalized, Unweighted)]]*$U$3</f>
        <v>0</v>
      </c>
      <c r="X1914" s="246">
        <f>_xlfn.XLOOKUP(FME_Ranking1[[#This Row],[FME ID]],FME_Input[FME_ID],FME_Input[ROADCLS])</f>
        <v>0</v>
      </c>
      <c r="Y1914" s="230">
        <f>(FME_Ranking1[[#This Row],[Closures Raw]]/$X$2)*100</f>
        <v>0</v>
      </c>
      <c r="Z1914" s="180">
        <f>FME_Ranking1[[#This Row],[Closures Score (Normalized, Unweighted)]]*$X$3</f>
        <v>0</v>
      </c>
      <c r="AA1914" s="253">
        <f>_xlfn.XLOOKUP(FME_Ranking1[[#This Row],[FME ID]],FME_Input[FME_ID],FME_Input[ROAD_MILES100])</f>
        <v>0.1017749384045601</v>
      </c>
      <c r="AB1914" s="178">
        <f>(FME_Ranking1[[#This Row],[Miles Raw]]/$AA$2)*100</f>
        <v>1.3381578980983127E-3</v>
      </c>
      <c r="AC1914" s="178">
        <f>FME_Ranking1[[#This Row],[Miles Score (Normalized, Unweighted)]]*$AA$3</f>
        <v>1.3381578980983127E-4</v>
      </c>
      <c r="AD1914" s="255">
        <f>_xlfn.XLOOKUP(FME_Ranking1[[#This Row],[FME ID]],FME_Input[FME_ID],FME_Input[FARMACRE100])</f>
        <v>6.2200150489807129</v>
      </c>
      <c r="AE1914" s="230">
        <f>(FME_Ranking1[[#This Row],[Ag Land Raw]]/$AD$2)*100</f>
        <v>2.5648557669964944E-4</v>
      </c>
      <c r="AF1914" s="231">
        <f>FME_Ranking1[[#This Row],[Ag Land Score (Normalized, Unweighted)]]*$AD$3</f>
        <v>1.2824278834982472E-5</v>
      </c>
      <c r="AG191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1.9536722087775244E-3</v>
      </c>
      <c r="AH1914" s="406">
        <f t="shared" si="29"/>
        <v>1961</v>
      </c>
      <c r="AI191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1.9536722087775244E-3</v>
      </c>
      <c r="AJ1914" s="257">
        <f>FME_Ranking1[[#This Row],[Addition check]]-FME_Ranking1[[#This Row],[Weighted Score Based on Normalized Reported Factors]]</f>
        <v>0</v>
      </c>
      <c r="AK1914" s="178">
        <f>_xlfn.RANK.EQ(AI1914,$AI$6:$AI$2341,0)+COUNTIF($AI$6:AI1914,AI1914)-1</f>
        <v>1961</v>
      </c>
    </row>
    <row r="1915" spans="1:37" x14ac:dyDescent="0.25">
      <c r="A1915" t="s">
        <v>4492</v>
      </c>
      <c r="B1915">
        <f>_xlfn.XLOOKUP(FME_Ranking1[[#This Row],[FME ID]],FME_Input[FME_ID],FME_Input[RFPG_NUM])</f>
        <v>3</v>
      </c>
      <c r="C1915" t="str">
        <f>_xlfn.XLOOKUP(FME_Ranking1[[#This Row],[FME ID]],FME_Input[FME_ID],FME_Input[FME_NAME])</f>
        <v xml:space="preserve">Garner Rd, Chiesa Rd, and Wayne Way Storm Drain System Improvements </v>
      </c>
      <c r="D1915" t="str">
        <f>_xlfn.XLOOKUP(FME_Ranking1[[#This Row],[FME ID]],FME_Input[FME_ID],FME_Input[DESCR])</f>
        <v>Evaluation of storm drain system redirection and improvements at Garner Rd, Chiesa Rd, and Wayne Way</v>
      </c>
      <c r="E1915" s="256">
        <f>_xlfn.XLOOKUP(FME_Ranking1[[#This Row],[FME ID]],FME_Input[FME_ID],FME_Input[FME_COST])</f>
        <v>1100000</v>
      </c>
      <c r="F1915" t="str">
        <f>_xlfn.XLOOKUP(FME_Ranking1[[#This Row],[FME ID]],FME_Input[FME_ID],FME_Input[EMER_NEED])</f>
        <v>No</v>
      </c>
      <c r="G1915">
        <f>IF(FME_Ranking!F1915="Yes",100,0)</f>
        <v>0</v>
      </c>
      <c r="H1915">
        <f>FME_Ranking1[[#This Row],[Emergency Need Score (Normalized, Unweighted)]]*$F$3</f>
        <v>0</v>
      </c>
      <c r="I1915" s="246">
        <f>_xlfn.XLOOKUP(FME_Ranking1[[#This Row],[FME ID]],FME_Input[FME_ID],FME_Input[STRUCT_100])</f>
        <v>13</v>
      </c>
      <c r="J1915" s="178">
        <f>(FME_Ranking1[[#This Row],[Structures 100 Raw]]/I$2)*100</f>
        <v>6.961401705007926E-3</v>
      </c>
      <c r="K1915" s="178">
        <f>FME_Ranking1[[#This Row],[Structures 100  Score (Normalized, Unweighted)]]*$I$3</f>
        <v>1.0442102557511889E-3</v>
      </c>
      <c r="L1915" s="246">
        <f>_xlfn.XLOOKUP(FME_Ranking1[[#This Row],[FME ID]],FME_Input[FME_ID],FME_Input[RES_STRUCT100])</f>
        <v>6</v>
      </c>
      <c r="M1915" s="230">
        <f>(FME_Ranking1[[#This Row],[Res Structures Raw]]/L$2)*100</f>
        <v>4.2498335481860293E-3</v>
      </c>
      <c r="N1915" s="180">
        <f>FME_Ranking1[[#This Row],[Res Structures Score (Normalized, Unweighted)]]*$L$3</f>
        <v>4.2498335481860297E-4</v>
      </c>
      <c r="O1915" s="244">
        <f>_xlfn.XLOOKUP(FME_Ranking1[[#This Row],[FME ID]],FME_Input[FME_ID],FME_Input[POP100])</f>
        <v>20</v>
      </c>
      <c r="P1915" s="178">
        <f>(FME_Ranking1[[#This Row],[Pop Raw]]/$O$2)*100</f>
        <v>2.0475062397752658E-3</v>
      </c>
      <c r="Q1915" s="178">
        <f>FME_Ranking1[[#This Row],[Pop Score (Normalized, Unweighted)]]*$O$3</f>
        <v>3.0712593596628988E-4</v>
      </c>
      <c r="R1915" s="137">
        <f>_xlfn.XLOOKUP(FME_Ranking1[[#This Row],[FME ID]],FME_Input[FME_ID],FME_Input[CRITFAC100])</f>
        <v>0</v>
      </c>
      <c r="S1915" s="230">
        <f>(FME_Ranking1[[#This Row],[Critical Facilities Raw]]/$R$2)*100</f>
        <v>0</v>
      </c>
      <c r="T1915" s="180">
        <f>FME_Ranking1[[#This Row],[Critical Facilities Score (Normalized, Unweighted)]]*$R$3</f>
        <v>0</v>
      </c>
      <c r="U1915">
        <f>_xlfn.XLOOKUP(FME_Ranking1[[#This Row],[FME ID]],FME_Input[FME_ID],FME_Input[LWC])</f>
        <v>0</v>
      </c>
      <c r="V1915" s="178">
        <f>(FME_Ranking1[[#This Row],[LWC Raw]]/$U$2)*100</f>
        <v>0</v>
      </c>
      <c r="W1915" s="178">
        <f>FME_Ranking1[[#This Row],[LWC Score (Normalized, Unweighted)]]*$U$3</f>
        <v>0</v>
      </c>
      <c r="X1915" s="246">
        <f>_xlfn.XLOOKUP(FME_Ranking1[[#This Row],[FME ID]],FME_Input[FME_ID],FME_Input[ROADCLS])</f>
        <v>0</v>
      </c>
      <c r="Y1915" s="230">
        <f>(FME_Ranking1[[#This Row],[Closures Raw]]/$X$2)*100</f>
        <v>0</v>
      </c>
      <c r="Z1915" s="180">
        <f>FME_Ranking1[[#This Row],[Closures Score (Normalized, Unweighted)]]*$X$3</f>
        <v>0</v>
      </c>
      <c r="AA1915" s="253">
        <f>_xlfn.XLOOKUP(FME_Ranking1[[#This Row],[FME ID]],FME_Input[FME_ID],FME_Input[ROAD_MILES100])</f>
        <v>4.0403990745544434</v>
      </c>
      <c r="AB1915" s="178">
        <f>(FME_Ranking1[[#This Row],[Miles Raw]]/$AA$2)*100</f>
        <v>5.3124001034442203E-2</v>
      </c>
      <c r="AC1915" s="178">
        <f>FME_Ranking1[[#This Row],[Miles Score (Normalized, Unweighted)]]*$AA$3</f>
        <v>5.3124001034442203E-3</v>
      </c>
      <c r="AD1915" s="255">
        <f>_xlfn.XLOOKUP(FME_Ranking1[[#This Row],[FME ID]],FME_Input[FME_ID],FME_Input[FARMACRE100])</f>
        <v>19.60569953918457</v>
      </c>
      <c r="AE1915" s="230">
        <f>(FME_Ranking1[[#This Row],[Ag Land Raw]]/$AD$2)*100</f>
        <v>8.0845128400965039E-4</v>
      </c>
      <c r="AF1915" s="231">
        <f>FME_Ranking1[[#This Row],[Ag Land Score (Normalized, Unweighted)]]*$AD$3</f>
        <v>4.0422564200482524E-5</v>
      </c>
      <c r="AG191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7.1291422141807849E-3</v>
      </c>
      <c r="AH1915" s="406">
        <f t="shared" si="29"/>
        <v>1796</v>
      </c>
      <c r="AI191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7.1291422141807849E-3</v>
      </c>
      <c r="AJ1915" s="257">
        <f>FME_Ranking1[[#This Row],[Addition check]]-FME_Ranking1[[#This Row],[Weighted Score Based on Normalized Reported Factors]]</f>
        <v>0</v>
      </c>
      <c r="AK1915" s="178">
        <f>_xlfn.RANK.EQ(AI1915,$AI$6:$AI$2341,0)+COUNTIF($AI$6:AI1915,AI1915)-1</f>
        <v>1796</v>
      </c>
    </row>
    <row r="1916" spans="1:37" x14ac:dyDescent="0.25">
      <c r="A1916" t="s">
        <v>6843</v>
      </c>
      <c r="B1916">
        <f>_xlfn.XLOOKUP(FME_Ranking1[[#This Row],[FME ID]],FME_Input[FME_ID],FME_Input[RFPG_NUM])</f>
        <v>7</v>
      </c>
      <c r="C1916" t="str">
        <f>_xlfn.XLOOKUP(FME_Ranking1[[#This Row],[FME ID]],FME_Input[FME_ID],FME_Input[FME_NAME])</f>
        <v>Archer County GIS Development</v>
      </c>
      <c r="D1916" t="str">
        <f>_xlfn.XLOOKUP(FME_Ranking1[[#This Row],[FME ID]],FME_Input[FME_ID],FME_Input[DESCR])</f>
        <v>Develop a GIS inventory of stormwater infrastructure</v>
      </c>
      <c r="E1916" s="256">
        <f>_xlfn.XLOOKUP(FME_Ranking1[[#This Row],[FME ID]],FME_Input[FME_ID],FME_Input[FME_COST])</f>
        <v>100000</v>
      </c>
      <c r="F1916" t="str">
        <f>_xlfn.XLOOKUP(FME_Ranking1[[#This Row],[FME ID]],FME_Input[FME_ID],FME_Input[EMER_NEED])</f>
        <v>No</v>
      </c>
      <c r="G1916">
        <f>IF(FME_Ranking!F1916="Yes",100,0)</f>
        <v>0</v>
      </c>
      <c r="H1916">
        <f>FME_Ranking1[[#This Row],[Emergency Need Score (Normalized, Unweighted)]]*$F$3</f>
        <v>0</v>
      </c>
      <c r="I1916" s="246">
        <f>_xlfn.XLOOKUP(FME_Ranking1[[#This Row],[FME ID]],FME_Input[FME_ID],FME_Input[STRUCT_100])</f>
        <v>0</v>
      </c>
      <c r="J1916" s="178">
        <f>(FME_Ranking1[[#This Row],[Structures 100 Raw]]/I$2)*100</f>
        <v>0</v>
      </c>
      <c r="K1916" s="178">
        <f>FME_Ranking1[[#This Row],[Structures 100  Score (Normalized, Unweighted)]]*$I$3</f>
        <v>0</v>
      </c>
      <c r="L1916" s="246">
        <f>_xlfn.XLOOKUP(FME_Ranking1[[#This Row],[FME ID]],FME_Input[FME_ID],FME_Input[RES_STRUCT100])</f>
        <v>0</v>
      </c>
      <c r="M1916" s="230">
        <f>(FME_Ranking1[[#This Row],[Res Structures Raw]]/L$2)*100</f>
        <v>0</v>
      </c>
      <c r="N1916" s="180">
        <f>FME_Ranking1[[#This Row],[Res Structures Score (Normalized, Unweighted)]]*$L$3</f>
        <v>0</v>
      </c>
      <c r="O1916" s="244">
        <f>_xlfn.XLOOKUP(FME_Ranking1[[#This Row],[FME ID]],FME_Input[FME_ID],FME_Input[POP100])</f>
        <v>0</v>
      </c>
      <c r="P1916" s="178">
        <f>(FME_Ranking1[[#This Row],[Pop Raw]]/$O$2)*100</f>
        <v>0</v>
      </c>
      <c r="Q1916" s="178">
        <f>FME_Ranking1[[#This Row],[Pop Score (Normalized, Unweighted)]]*$O$3</f>
        <v>0</v>
      </c>
      <c r="R1916" s="137">
        <f>_xlfn.XLOOKUP(FME_Ranking1[[#This Row],[FME ID]],FME_Input[FME_ID],FME_Input[CRITFAC100])</f>
        <v>0</v>
      </c>
      <c r="S1916" s="230">
        <f>(FME_Ranking1[[#This Row],[Critical Facilities Raw]]/$R$2)*100</f>
        <v>0</v>
      </c>
      <c r="T1916" s="180">
        <f>FME_Ranking1[[#This Row],[Critical Facilities Score (Normalized, Unweighted)]]*$R$3</f>
        <v>0</v>
      </c>
      <c r="U1916">
        <f>_xlfn.XLOOKUP(FME_Ranking1[[#This Row],[FME ID]],FME_Input[FME_ID],FME_Input[LWC])</f>
        <v>0</v>
      </c>
      <c r="V1916" s="178">
        <f>(FME_Ranking1[[#This Row],[LWC Raw]]/$U$2)*100</f>
        <v>0</v>
      </c>
      <c r="W1916" s="178">
        <f>FME_Ranking1[[#This Row],[LWC Score (Normalized, Unweighted)]]*$U$3</f>
        <v>0</v>
      </c>
      <c r="X1916" s="246">
        <f>_xlfn.XLOOKUP(FME_Ranking1[[#This Row],[FME ID]],FME_Input[FME_ID],FME_Input[ROADCLS])</f>
        <v>0</v>
      </c>
      <c r="Y1916" s="230">
        <f>(FME_Ranking1[[#This Row],[Closures Raw]]/$X$2)*100</f>
        <v>0</v>
      </c>
      <c r="Z1916" s="180">
        <f>FME_Ranking1[[#This Row],[Closures Score (Normalized, Unweighted)]]*$X$3</f>
        <v>0</v>
      </c>
      <c r="AA1916" s="253">
        <f>_xlfn.XLOOKUP(FME_Ranking1[[#This Row],[FME ID]],FME_Input[FME_ID],FME_Input[ROAD_MILES100])</f>
        <v>1.9176123142242429</v>
      </c>
      <c r="AB1916" s="178">
        <f>(FME_Ranking1[[#This Row],[Miles Raw]]/$AA$2)*100</f>
        <v>2.5213162532896998E-2</v>
      </c>
      <c r="AC1916" s="178">
        <f>FME_Ranking1[[#This Row],[Miles Score (Normalized, Unweighted)]]*$AA$3</f>
        <v>2.5213162532897E-3</v>
      </c>
      <c r="AD1916" s="255">
        <f>_xlfn.XLOOKUP(FME_Ranking1[[#This Row],[FME ID]],FME_Input[FME_ID],FME_Input[FARMACRE100])</f>
        <v>877.84844970703125</v>
      </c>
      <c r="AE1916" s="230">
        <f>(FME_Ranking1[[#This Row],[Ag Land Raw]]/$AD$2)*100</f>
        <v>3.6198540374094076E-2</v>
      </c>
      <c r="AF1916" s="231">
        <f>FME_Ranking1[[#This Row],[Ag Land Score (Normalized, Unweighted)]]*$AD$3</f>
        <v>1.8099270187047038E-3</v>
      </c>
      <c r="AG191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4.3312432719944038E-3</v>
      </c>
      <c r="AH1916" s="406">
        <f t="shared" si="29"/>
        <v>1849</v>
      </c>
      <c r="AI191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4.3312432719944038E-3</v>
      </c>
      <c r="AJ1916" s="257">
        <f>FME_Ranking1[[#This Row],[Addition check]]-FME_Ranking1[[#This Row],[Weighted Score Based on Normalized Reported Factors]]</f>
        <v>0</v>
      </c>
      <c r="AK1916" s="178">
        <f>_xlfn.RANK.EQ(AI1916,$AI$6:$AI$2341,0)+COUNTIF($AI$6:AI1916,AI1916)-1</f>
        <v>1849</v>
      </c>
    </row>
    <row r="1917" spans="1:37" x14ac:dyDescent="0.25">
      <c r="A1917" t="s">
        <v>7111</v>
      </c>
      <c r="B1917">
        <f>_xlfn.XLOOKUP(FME_Ranking1[[#This Row],[FME ID]],FME_Input[FME_ID],FME_Input[RFPG_NUM])</f>
        <v>7</v>
      </c>
      <c r="C1917" t="str">
        <f>_xlfn.XLOOKUP(FME_Ranking1[[#This Row],[FME ID]],FME_Input[FME_ID],FME_Input[FME_NAME])</f>
        <v>Archer County DCM</v>
      </c>
      <c r="D1917" t="str">
        <f>_xlfn.XLOOKUP(FME_Ranking1[[#This Row],[FME ID]],FME_Input[FME_ID],FME_Input[DESCR])</f>
        <v>Consider stormwater criteria for infrastructure and floodplain ordinances to avoid new exposure to flood hazards.</v>
      </c>
      <c r="E1917" s="256">
        <f>_xlfn.XLOOKUP(FME_Ranking1[[#This Row],[FME ID]],FME_Input[FME_ID],FME_Input[FME_COST])</f>
        <v>100000</v>
      </c>
      <c r="F1917" t="str">
        <f>_xlfn.XLOOKUP(FME_Ranking1[[#This Row],[FME ID]],FME_Input[FME_ID],FME_Input[EMER_NEED])</f>
        <v>No</v>
      </c>
      <c r="G1917">
        <f>IF(FME_Ranking!F1917="Yes",100,0)</f>
        <v>0</v>
      </c>
      <c r="H1917">
        <f>FME_Ranking1[[#This Row],[Emergency Need Score (Normalized, Unweighted)]]*$F$3</f>
        <v>0</v>
      </c>
      <c r="I1917" s="246">
        <f>_xlfn.XLOOKUP(FME_Ranking1[[#This Row],[FME ID]],FME_Input[FME_ID],FME_Input[STRUCT_100])</f>
        <v>0</v>
      </c>
      <c r="J1917" s="178">
        <f>(FME_Ranking1[[#This Row],[Structures 100 Raw]]/I$2)*100</f>
        <v>0</v>
      </c>
      <c r="K1917" s="178">
        <f>FME_Ranking1[[#This Row],[Structures 100  Score (Normalized, Unweighted)]]*$I$3</f>
        <v>0</v>
      </c>
      <c r="L1917" s="246">
        <f>_xlfn.XLOOKUP(FME_Ranking1[[#This Row],[FME ID]],FME_Input[FME_ID],FME_Input[RES_STRUCT100])</f>
        <v>0</v>
      </c>
      <c r="M1917" s="230">
        <f>(FME_Ranking1[[#This Row],[Res Structures Raw]]/L$2)*100</f>
        <v>0</v>
      </c>
      <c r="N1917" s="180">
        <f>FME_Ranking1[[#This Row],[Res Structures Score (Normalized, Unweighted)]]*$L$3</f>
        <v>0</v>
      </c>
      <c r="O1917" s="244">
        <f>_xlfn.XLOOKUP(FME_Ranking1[[#This Row],[FME ID]],FME_Input[FME_ID],FME_Input[POP100])</f>
        <v>0</v>
      </c>
      <c r="P1917" s="178">
        <f>(FME_Ranking1[[#This Row],[Pop Raw]]/$O$2)*100</f>
        <v>0</v>
      </c>
      <c r="Q1917" s="178">
        <f>FME_Ranking1[[#This Row],[Pop Score (Normalized, Unweighted)]]*$O$3</f>
        <v>0</v>
      </c>
      <c r="R1917" s="137">
        <f>_xlfn.XLOOKUP(FME_Ranking1[[#This Row],[FME ID]],FME_Input[FME_ID],FME_Input[CRITFAC100])</f>
        <v>0</v>
      </c>
      <c r="S1917" s="230">
        <f>(FME_Ranking1[[#This Row],[Critical Facilities Raw]]/$R$2)*100</f>
        <v>0</v>
      </c>
      <c r="T1917" s="180">
        <f>FME_Ranking1[[#This Row],[Critical Facilities Score (Normalized, Unweighted)]]*$R$3</f>
        <v>0</v>
      </c>
      <c r="U1917">
        <f>_xlfn.XLOOKUP(FME_Ranking1[[#This Row],[FME ID]],FME_Input[FME_ID],FME_Input[LWC])</f>
        <v>0</v>
      </c>
      <c r="V1917" s="178">
        <f>(FME_Ranking1[[#This Row],[LWC Raw]]/$U$2)*100</f>
        <v>0</v>
      </c>
      <c r="W1917" s="178">
        <f>FME_Ranking1[[#This Row],[LWC Score (Normalized, Unweighted)]]*$U$3</f>
        <v>0</v>
      </c>
      <c r="X1917" s="246">
        <f>_xlfn.XLOOKUP(FME_Ranking1[[#This Row],[FME ID]],FME_Input[FME_ID],FME_Input[ROADCLS])</f>
        <v>0</v>
      </c>
      <c r="Y1917" s="230">
        <f>(FME_Ranking1[[#This Row],[Closures Raw]]/$X$2)*100</f>
        <v>0</v>
      </c>
      <c r="Z1917" s="180">
        <f>FME_Ranking1[[#This Row],[Closures Score (Normalized, Unweighted)]]*$X$3</f>
        <v>0</v>
      </c>
      <c r="AA1917" s="253">
        <f>_xlfn.XLOOKUP(FME_Ranking1[[#This Row],[FME ID]],FME_Input[FME_ID],FME_Input[ROAD_MILES100])</f>
        <v>1.9176123142242429</v>
      </c>
      <c r="AB1917" s="178">
        <f>(FME_Ranking1[[#This Row],[Miles Raw]]/$AA$2)*100</f>
        <v>2.5213162532896998E-2</v>
      </c>
      <c r="AC1917" s="178">
        <f>FME_Ranking1[[#This Row],[Miles Score (Normalized, Unweighted)]]*$AA$3</f>
        <v>2.5213162532897E-3</v>
      </c>
      <c r="AD1917" s="255">
        <f>_xlfn.XLOOKUP(FME_Ranking1[[#This Row],[FME ID]],FME_Input[FME_ID],FME_Input[FARMACRE100])</f>
        <v>877.84844970703125</v>
      </c>
      <c r="AE1917" s="230">
        <f>(FME_Ranking1[[#This Row],[Ag Land Raw]]/$AD$2)*100</f>
        <v>3.6198540374094076E-2</v>
      </c>
      <c r="AF1917" s="231">
        <f>FME_Ranking1[[#This Row],[Ag Land Score (Normalized, Unweighted)]]*$AD$3</f>
        <v>1.8099270187047038E-3</v>
      </c>
      <c r="AG191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4.3312432719944038E-3</v>
      </c>
      <c r="AH1917" s="406">
        <f t="shared" si="29"/>
        <v>1849</v>
      </c>
      <c r="AI191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4.3312432719944038E-3</v>
      </c>
      <c r="AJ1917" s="257">
        <f>FME_Ranking1[[#This Row],[Addition check]]-FME_Ranking1[[#This Row],[Weighted Score Based on Normalized Reported Factors]]</f>
        <v>0</v>
      </c>
      <c r="AK1917" s="178">
        <f>_xlfn.RANK.EQ(AI1917,$AI$6:$AI$2341,0)+COUNTIF($AI$6:AI1917,AI1917)-1</f>
        <v>1850</v>
      </c>
    </row>
    <row r="1918" spans="1:37" x14ac:dyDescent="0.25">
      <c r="A1918" t="s">
        <v>7115</v>
      </c>
      <c r="B1918">
        <f>_xlfn.XLOOKUP(FME_Ranking1[[#This Row],[FME ID]],FME_Input[FME_ID],FME_Input[RFPG_NUM])</f>
        <v>7</v>
      </c>
      <c r="C1918" t="str">
        <f>_xlfn.XLOOKUP(FME_Ranking1[[#This Row],[FME ID]],FME_Input[FME_ID],FME_Input[FME_NAME])</f>
        <v>Archer County Relocate Critical Facilities High Hazard</v>
      </c>
      <c r="D1918" t="str">
        <f>_xlfn.XLOOKUP(FME_Ranking1[[#This Row],[FME ID]],FME_Input[FME_ID],FME_Input[DESCR])</f>
        <v>Relocate critical facilities out of high hazard areas.</v>
      </c>
      <c r="E1918" s="256">
        <f>_xlfn.XLOOKUP(FME_Ranking1[[#This Row],[FME ID]],FME_Input[FME_ID],FME_Input[FME_COST])</f>
        <v>2000000</v>
      </c>
      <c r="F1918" t="str">
        <f>_xlfn.XLOOKUP(FME_Ranking1[[#This Row],[FME ID]],FME_Input[FME_ID],FME_Input[EMER_NEED])</f>
        <v>No</v>
      </c>
      <c r="G1918">
        <f>IF(FME_Ranking!F1918="Yes",100,0)</f>
        <v>0</v>
      </c>
      <c r="H1918">
        <f>FME_Ranking1[[#This Row],[Emergency Need Score (Normalized, Unweighted)]]*$F$3</f>
        <v>0</v>
      </c>
      <c r="I1918" s="246">
        <f>_xlfn.XLOOKUP(FME_Ranking1[[#This Row],[FME ID]],FME_Input[FME_ID],FME_Input[STRUCT_100])</f>
        <v>0</v>
      </c>
      <c r="J1918" s="178">
        <f>(FME_Ranking1[[#This Row],[Structures 100 Raw]]/I$2)*100</f>
        <v>0</v>
      </c>
      <c r="K1918" s="178">
        <f>FME_Ranking1[[#This Row],[Structures 100  Score (Normalized, Unweighted)]]*$I$3</f>
        <v>0</v>
      </c>
      <c r="L1918" s="246">
        <f>_xlfn.XLOOKUP(FME_Ranking1[[#This Row],[FME ID]],FME_Input[FME_ID],FME_Input[RES_STRUCT100])</f>
        <v>0</v>
      </c>
      <c r="M1918" s="230">
        <f>(FME_Ranking1[[#This Row],[Res Structures Raw]]/L$2)*100</f>
        <v>0</v>
      </c>
      <c r="N1918" s="180">
        <f>FME_Ranking1[[#This Row],[Res Structures Score (Normalized, Unweighted)]]*$L$3</f>
        <v>0</v>
      </c>
      <c r="O1918" s="244">
        <f>_xlfn.XLOOKUP(FME_Ranking1[[#This Row],[FME ID]],FME_Input[FME_ID],FME_Input[POP100])</f>
        <v>0</v>
      </c>
      <c r="P1918" s="178">
        <f>(FME_Ranking1[[#This Row],[Pop Raw]]/$O$2)*100</f>
        <v>0</v>
      </c>
      <c r="Q1918" s="178">
        <f>FME_Ranking1[[#This Row],[Pop Score (Normalized, Unweighted)]]*$O$3</f>
        <v>0</v>
      </c>
      <c r="R1918" s="137">
        <f>_xlfn.XLOOKUP(FME_Ranking1[[#This Row],[FME ID]],FME_Input[FME_ID],FME_Input[CRITFAC100])</f>
        <v>0</v>
      </c>
      <c r="S1918" s="230">
        <f>(FME_Ranking1[[#This Row],[Critical Facilities Raw]]/$R$2)*100</f>
        <v>0</v>
      </c>
      <c r="T1918" s="180">
        <f>FME_Ranking1[[#This Row],[Critical Facilities Score (Normalized, Unweighted)]]*$R$3</f>
        <v>0</v>
      </c>
      <c r="U1918">
        <f>_xlfn.XLOOKUP(FME_Ranking1[[#This Row],[FME ID]],FME_Input[FME_ID],FME_Input[LWC])</f>
        <v>0</v>
      </c>
      <c r="V1918" s="178">
        <f>(FME_Ranking1[[#This Row],[LWC Raw]]/$U$2)*100</f>
        <v>0</v>
      </c>
      <c r="W1918" s="178">
        <f>FME_Ranking1[[#This Row],[LWC Score (Normalized, Unweighted)]]*$U$3</f>
        <v>0</v>
      </c>
      <c r="X1918" s="246">
        <f>_xlfn.XLOOKUP(FME_Ranking1[[#This Row],[FME ID]],FME_Input[FME_ID],FME_Input[ROADCLS])</f>
        <v>0</v>
      </c>
      <c r="Y1918" s="230">
        <f>(FME_Ranking1[[#This Row],[Closures Raw]]/$X$2)*100</f>
        <v>0</v>
      </c>
      <c r="Z1918" s="180">
        <f>FME_Ranking1[[#This Row],[Closures Score (Normalized, Unweighted)]]*$X$3</f>
        <v>0</v>
      </c>
      <c r="AA1918" s="253">
        <f>_xlfn.XLOOKUP(FME_Ranking1[[#This Row],[FME ID]],FME_Input[FME_ID],FME_Input[ROAD_MILES100])</f>
        <v>1.9176123142242429</v>
      </c>
      <c r="AB1918" s="178">
        <f>(FME_Ranking1[[#This Row],[Miles Raw]]/$AA$2)*100</f>
        <v>2.5213162532896998E-2</v>
      </c>
      <c r="AC1918" s="178">
        <f>FME_Ranking1[[#This Row],[Miles Score (Normalized, Unweighted)]]*$AA$3</f>
        <v>2.5213162532897E-3</v>
      </c>
      <c r="AD1918" s="255">
        <f>_xlfn.XLOOKUP(FME_Ranking1[[#This Row],[FME ID]],FME_Input[FME_ID],FME_Input[FARMACRE100])</f>
        <v>877.84844970703125</v>
      </c>
      <c r="AE1918" s="230">
        <f>(FME_Ranking1[[#This Row],[Ag Land Raw]]/$AD$2)*100</f>
        <v>3.6198540374094076E-2</v>
      </c>
      <c r="AF1918" s="231">
        <f>FME_Ranking1[[#This Row],[Ag Land Score (Normalized, Unweighted)]]*$AD$3</f>
        <v>1.8099270187047038E-3</v>
      </c>
      <c r="AG191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4.3312432719944038E-3</v>
      </c>
      <c r="AH1918" s="406">
        <f t="shared" si="29"/>
        <v>1849</v>
      </c>
      <c r="AI191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4.3312432719944038E-3</v>
      </c>
      <c r="AJ1918" s="257">
        <f>FME_Ranking1[[#This Row],[Addition check]]-FME_Ranking1[[#This Row],[Weighted Score Based on Normalized Reported Factors]]</f>
        <v>0</v>
      </c>
      <c r="AK1918" s="178">
        <f>_xlfn.RANK.EQ(AI1918,$AI$6:$AI$2341,0)+COUNTIF($AI$6:AI1918,AI1918)-1</f>
        <v>1851</v>
      </c>
    </row>
    <row r="1919" spans="1:37" x14ac:dyDescent="0.25">
      <c r="A1919" t="s">
        <v>9124</v>
      </c>
      <c r="B1919">
        <f>_xlfn.XLOOKUP(FME_Ranking1[[#This Row],[FME ID]],FME_Input[FME_ID],FME_Input[RFPG_NUM])</f>
        <v>11</v>
      </c>
      <c r="C1919" t="str">
        <f>_xlfn.XLOOKUP(FME_Ranking1[[#This Row],[FME ID]],FME_Input[FME_ID],FME_Input[FME_NAME])</f>
        <v>City of Kerrville Coronado Drive and Junction Highway Drainage Improvements</v>
      </c>
      <c r="D1919" t="str">
        <f>_xlfn.XLOOKUP(FME_Ranking1[[#This Row],[FME ID]],FME_Input[FME_ID],FME_Input[DESCR])</f>
        <v>Develop required technical data for FMP. Project planning for street and drainage improvement project.</v>
      </c>
      <c r="E1919" s="256">
        <f>_xlfn.XLOOKUP(FME_Ranking1[[#This Row],[FME ID]],FME_Input[FME_ID],FME_Input[FME_COST])</f>
        <v>15000</v>
      </c>
      <c r="F1919" t="str">
        <f>_xlfn.XLOOKUP(FME_Ranking1[[#This Row],[FME ID]],FME_Input[FME_ID],FME_Input[EMER_NEED])</f>
        <v>No</v>
      </c>
      <c r="G1919">
        <f>IF(FME_Ranking!F1919="Yes",100,0)</f>
        <v>0</v>
      </c>
      <c r="H1919">
        <f>FME_Ranking1[[#This Row],[Emergency Need Score (Normalized, Unweighted)]]*$F$3</f>
        <v>0</v>
      </c>
      <c r="I1919" s="246">
        <f>_xlfn.XLOOKUP(FME_Ranking1[[#This Row],[FME ID]],FME_Input[FME_ID],FME_Input[STRUCT_100])</f>
        <v>9</v>
      </c>
      <c r="J1919" s="178">
        <f>(FME_Ranking1[[#This Row],[Structures 100 Raw]]/I$2)*100</f>
        <v>4.8194319496208714E-3</v>
      </c>
      <c r="K1919" s="178">
        <f>FME_Ranking1[[#This Row],[Structures 100  Score (Normalized, Unweighted)]]*$I$3</f>
        <v>7.2291479244313071E-4</v>
      </c>
      <c r="L1919" s="246">
        <f>_xlfn.XLOOKUP(FME_Ranking1[[#This Row],[FME ID]],FME_Input[FME_ID],FME_Input[RES_STRUCT100])</f>
        <v>0</v>
      </c>
      <c r="M1919" s="230">
        <f>(FME_Ranking1[[#This Row],[Res Structures Raw]]/L$2)*100</f>
        <v>0</v>
      </c>
      <c r="N1919" s="180">
        <f>FME_Ranking1[[#This Row],[Res Structures Score (Normalized, Unweighted)]]*$L$3</f>
        <v>0</v>
      </c>
      <c r="O1919" s="244">
        <f>_xlfn.XLOOKUP(FME_Ranking1[[#This Row],[FME ID]],FME_Input[FME_ID],FME_Input[POP100])</f>
        <v>70</v>
      </c>
      <c r="P1919" s="178">
        <f>(FME_Ranking1[[#This Row],[Pop Raw]]/$O$2)*100</f>
        <v>7.1662718392134306E-3</v>
      </c>
      <c r="Q1919" s="178">
        <f>FME_Ranking1[[#This Row],[Pop Score (Normalized, Unweighted)]]*$O$3</f>
        <v>1.0749407758820146E-3</v>
      </c>
      <c r="R1919" s="137">
        <f>_xlfn.XLOOKUP(FME_Ranking1[[#This Row],[FME ID]],FME_Input[FME_ID],FME_Input[CRITFAC100])</f>
        <v>0</v>
      </c>
      <c r="S1919" s="230">
        <f>(FME_Ranking1[[#This Row],[Critical Facilities Raw]]/$R$2)*100</f>
        <v>0</v>
      </c>
      <c r="T1919" s="180">
        <f>FME_Ranking1[[#This Row],[Critical Facilities Score (Normalized, Unweighted)]]*$R$3</f>
        <v>0</v>
      </c>
      <c r="U1919">
        <f>_xlfn.XLOOKUP(FME_Ranking1[[#This Row],[FME ID]],FME_Input[FME_ID],FME_Input[LWC])</f>
        <v>0</v>
      </c>
      <c r="V1919" s="178">
        <f>(FME_Ranking1[[#This Row],[LWC Raw]]/$U$2)*100</f>
        <v>0</v>
      </c>
      <c r="W1919" s="178">
        <f>FME_Ranking1[[#This Row],[LWC Score (Normalized, Unweighted)]]*$U$3</f>
        <v>0</v>
      </c>
      <c r="X1919" s="246">
        <f>_xlfn.XLOOKUP(FME_Ranking1[[#This Row],[FME ID]],FME_Input[FME_ID],FME_Input[ROADCLS])</f>
        <v>0</v>
      </c>
      <c r="Y1919" s="230">
        <f>(FME_Ranking1[[#This Row],[Closures Raw]]/$X$2)*100</f>
        <v>0</v>
      </c>
      <c r="Z1919" s="180">
        <f>FME_Ranking1[[#This Row],[Closures Score (Normalized, Unweighted)]]*$X$3</f>
        <v>0</v>
      </c>
      <c r="AA1919" s="253">
        <f>_xlfn.XLOOKUP(FME_Ranking1[[#This Row],[FME ID]],FME_Input[FME_ID],FME_Input[ROAD_MILES100])</f>
        <v>0.1497164964675903</v>
      </c>
      <c r="AB1919" s="178">
        <f>(FME_Ranking1[[#This Row],[Miles Raw]]/$AA$2)*100</f>
        <v>1.9685033994060125E-3</v>
      </c>
      <c r="AC1919" s="178">
        <f>FME_Ranking1[[#This Row],[Miles Score (Normalized, Unweighted)]]*$AA$3</f>
        <v>1.9685033994060126E-4</v>
      </c>
      <c r="AD1919" s="255">
        <f>_xlfn.XLOOKUP(FME_Ranking1[[#This Row],[FME ID]],FME_Input[FME_ID],FME_Input[FARMACRE100])</f>
        <v>0</v>
      </c>
      <c r="AE1919" s="230">
        <f>(FME_Ranking1[[#This Row],[Ag Land Raw]]/$AD$2)*100</f>
        <v>0</v>
      </c>
      <c r="AF1919" s="231">
        <f>FME_Ranking1[[#This Row],[Ag Land Score (Normalized, Unweighted)]]*$AD$3</f>
        <v>0</v>
      </c>
      <c r="AG191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1.9947059082657467E-3</v>
      </c>
      <c r="AH1919" s="406">
        <f t="shared" si="29"/>
        <v>1958</v>
      </c>
      <c r="AI191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1.9947059082657467E-3</v>
      </c>
      <c r="AJ1919" s="257">
        <f>FME_Ranking1[[#This Row],[Addition check]]-FME_Ranking1[[#This Row],[Weighted Score Based on Normalized Reported Factors]]</f>
        <v>0</v>
      </c>
      <c r="AK1919" s="178">
        <f>_xlfn.RANK.EQ(AI1919,$AI$6:$AI$2341,0)+COUNTIF($AI$6:AI1919,AI1919)-1</f>
        <v>1958</v>
      </c>
    </row>
    <row r="1920" spans="1:37" x14ac:dyDescent="0.25">
      <c r="A1920" t="s">
        <v>1622</v>
      </c>
      <c r="B1920">
        <f>_xlfn.XLOOKUP(FME_Ranking1[[#This Row],[FME ID]],FME_Input[FME_ID],FME_Input[RFPG_NUM])</f>
        <v>6</v>
      </c>
      <c r="C1920" t="str">
        <f>_xlfn.XLOOKUP(FME_Ranking1[[#This Row],[FME ID]],FME_Input[FME_ID],FME_Input[FME_NAME])</f>
        <v>City of Jacinto City Master Drainage Plan</v>
      </c>
      <c r="D1920" t="str">
        <f>_xlfn.XLOOKUP(FME_Ranking1[[#This Row],[FME ID]],FME_Input[FME_ID],FME_Input[DESCR])</f>
        <v>Study to develop Master Drainage Plan using future and existing land use and flood/storm water drainage needs including Atlas 14 rainfall.</v>
      </c>
      <c r="E1920" s="256">
        <f>_xlfn.XLOOKUP(FME_Ranking1[[#This Row],[FME ID]],FME_Input[FME_ID],FME_Input[FME_COST])</f>
        <v>180000</v>
      </c>
      <c r="F1920" t="str">
        <f>_xlfn.XLOOKUP(FME_Ranking1[[#This Row],[FME ID]],FME_Input[FME_ID],FME_Input[EMER_NEED])</f>
        <v>No</v>
      </c>
      <c r="G1920">
        <f>IF(FME_Ranking!F1920="Yes",100,0)</f>
        <v>0</v>
      </c>
      <c r="H1920">
        <f>FME_Ranking1[[#This Row],[Emergency Need Score (Normalized, Unweighted)]]*$F$3</f>
        <v>0</v>
      </c>
      <c r="I1920" s="246">
        <f>_xlfn.XLOOKUP(FME_Ranking1[[#This Row],[FME ID]],FME_Input[FME_ID],FME_Input[STRUCT_100])</f>
        <v>10</v>
      </c>
      <c r="J1920" s="178">
        <f>(FME_Ranking1[[#This Row],[Structures 100 Raw]]/I$2)*100</f>
        <v>5.3549243884676344E-3</v>
      </c>
      <c r="K1920" s="178">
        <f>FME_Ranking1[[#This Row],[Structures 100  Score (Normalized, Unweighted)]]*$I$3</f>
        <v>8.0323865827014516E-4</v>
      </c>
      <c r="L1920" s="246">
        <f>_xlfn.XLOOKUP(FME_Ranking1[[#This Row],[FME ID]],FME_Input[FME_ID],FME_Input[RES_STRUCT100])</f>
        <v>5</v>
      </c>
      <c r="M1920" s="230">
        <f>(FME_Ranking1[[#This Row],[Res Structures Raw]]/L$2)*100</f>
        <v>3.5415279568216909E-3</v>
      </c>
      <c r="N1920" s="180">
        <f>FME_Ranking1[[#This Row],[Res Structures Score (Normalized, Unweighted)]]*$L$3</f>
        <v>3.5415279568216913E-4</v>
      </c>
      <c r="O1920" s="244">
        <f>_xlfn.XLOOKUP(FME_Ranking1[[#This Row],[FME ID]],FME_Input[FME_ID],FME_Input[POP100])</f>
        <v>41</v>
      </c>
      <c r="P1920" s="178">
        <f>(FME_Ranking1[[#This Row],[Pop Raw]]/$O$2)*100</f>
        <v>4.1973877915392954E-3</v>
      </c>
      <c r="Q1920" s="178">
        <f>FME_Ranking1[[#This Row],[Pop Score (Normalized, Unweighted)]]*$O$3</f>
        <v>6.2960816873089431E-4</v>
      </c>
      <c r="R1920" s="137">
        <f>_xlfn.XLOOKUP(FME_Ranking1[[#This Row],[FME ID]],FME_Input[FME_ID],FME_Input[CRITFAC100])</f>
        <v>0</v>
      </c>
      <c r="S1920" s="230">
        <f>(FME_Ranking1[[#This Row],[Critical Facilities Raw]]/$R$2)*100</f>
        <v>0</v>
      </c>
      <c r="T1920" s="180">
        <f>FME_Ranking1[[#This Row],[Critical Facilities Score (Normalized, Unweighted)]]*$R$3</f>
        <v>0</v>
      </c>
      <c r="U1920">
        <f>_xlfn.XLOOKUP(FME_Ranking1[[#This Row],[FME ID]],FME_Input[FME_ID],FME_Input[LWC])</f>
        <v>0</v>
      </c>
      <c r="V1920" s="178">
        <f>(FME_Ranking1[[#This Row],[LWC Raw]]/$U$2)*100</f>
        <v>0</v>
      </c>
      <c r="W1920" s="178">
        <f>FME_Ranking1[[#This Row],[LWC Score (Normalized, Unweighted)]]*$U$3</f>
        <v>0</v>
      </c>
      <c r="X1920" s="246">
        <f>_xlfn.XLOOKUP(FME_Ranking1[[#This Row],[FME ID]],FME_Input[FME_ID],FME_Input[ROADCLS])</f>
        <v>0</v>
      </c>
      <c r="Y1920" s="230">
        <f>(FME_Ranking1[[#This Row],[Closures Raw]]/$X$2)*100</f>
        <v>0</v>
      </c>
      <c r="Z1920" s="180">
        <f>FME_Ranking1[[#This Row],[Closures Score (Normalized, Unweighted)]]*$X$3</f>
        <v>0</v>
      </c>
      <c r="AA1920" s="253">
        <f>_xlfn.XLOOKUP(FME_Ranking1[[#This Row],[FME ID]],FME_Input[FME_ID],FME_Input[ROAD_MILES100])</f>
        <v>0.13381420075893399</v>
      </c>
      <c r="AB1920" s="178">
        <f>(FME_Ranking1[[#This Row],[Miles Raw]]/$AA$2)*100</f>
        <v>1.7594167329435364E-3</v>
      </c>
      <c r="AC1920" s="178">
        <f>FME_Ranking1[[#This Row],[Miles Score (Normalized, Unweighted)]]*$AA$3</f>
        <v>1.7594167329435364E-4</v>
      </c>
      <c r="AD1920" s="255">
        <f>_xlfn.XLOOKUP(FME_Ranking1[[#This Row],[FME ID]],FME_Input[FME_ID],FME_Input[FARMACRE100])</f>
        <v>0</v>
      </c>
      <c r="AE1920" s="230">
        <f>(FME_Ranking1[[#This Row],[Ag Land Raw]]/$AD$2)*100</f>
        <v>0</v>
      </c>
      <c r="AF1920" s="231">
        <f>FME_Ranking1[[#This Row],[Ag Land Score (Normalized, Unweighted)]]*$AD$3</f>
        <v>0</v>
      </c>
      <c r="AG192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1.9629412959775621E-3</v>
      </c>
      <c r="AH1920" s="406">
        <f t="shared" si="29"/>
        <v>1960</v>
      </c>
      <c r="AI192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1.9629412959775621E-3</v>
      </c>
      <c r="AJ1920" s="257">
        <f>FME_Ranking1[[#This Row],[Addition check]]-FME_Ranking1[[#This Row],[Weighted Score Based on Normalized Reported Factors]]</f>
        <v>0</v>
      </c>
      <c r="AK1920" s="178">
        <f>_xlfn.RANK.EQ(AI1920,$AI$6:$AI$2341,0)+COUNTIF($AI$6:AI1920,AI1920)-1</f>
        <v>1960</v>
      </c>
    </row>
    <row r="1921" spans="1:37" x14ac:dyDescent="0.25">
      <c r="A1921" t="s">
        <v>7079</v>
      </c>
      <c r="B1921">
        <f>_xlfn.XLOOKUP(FME_Ranking1[[#This Row],[FME ID]],FME_Input[FME_ID],FME_Input[RFPG_NUM])</f>
        <v>7</v>
      </c>
      <c r="C1921" t="str">
        <f>_xlfn.XLOOKUP(FME_Ranking1[[#This Row],[FME ID]],FME_Input[FME_ID],FME_Input[FME_NAME])</f>
        <v>City of Newcastle DMP</v>
      </c>
      <c r="D1921" t="str">
        <f>_xlfn.XLOOKUP(FME_Ranking1[[#This Row],[FME ID]],FME_Input[FME_ID],FME_Input[DESCR])</f>
        <v>Evaluate city to identify future projects, analyze roads/stream crossing for emergency response vehicles to high hazard areas. Determine locations for additional detention/retention basins.</v>
      </c>
      <c r="E1921" s="256">
        <f>_xlfn.XLOOKUP(FME_Ranking1[[#This Row],[FME ID]],FME_Input[FME_ID],FME_Input[FME_COST])</f>
        <v>250000</v>
      </c>
      <c r="F1921" t="str">
        <f>_xlfn.XLOOKUP(FME_Ranking1[[#This Row],[FME ID]],FME_Input[FME_ID],FME_Input[EMER_NEED])</f>
        <v>No</v>
      </c>
      <c r="G1921">
        <f>IF(FME_Ranking!F1921="Yes",100,0)</f>
        <v>0</v>
      </c>
      <c r="H1921">
        <f>FME_Ranking1[[#This Row],[Emergency Need Score (Normalized, Unweighted)]]*$F$3</f>
        <v>0</v>
      </c>
      <c r="I1921" s="246">
        <f>_xlfn.XLOOKUP(FME_Ranking1[[#This Row],[FME ID]],FME_Input[FME_ID],FME_Input[STRUCT_100])</f>
        <v>11</v>
      </c>
      <c r="J1921" s="178">
        <f>(FME_Ranking1[[#This Row],[Structures 100 Raw]]/I$2)*100</f>
        <v>5.8904168273143983E-3</v>
      </c>
      <c r="K1921" s="178">
        <f>FME_Ranking1[[#This Row],[Structures 100  Score (Normalized, Unweighted)]]*$I$3</f>
        <v>8.8356252409715972E-4</v>
      </c>
      <c r="L1921" s="246">
        <f>_xlfn.XLOOKUP(FME_Ranking1[[#This Row],[FME ID]],FME_Input[FME_ID],FME_Input[RES_STRUCT100])</f>
        <v>9</v>
      </c>
      <c r="M1921" s="230">
        <f>(FME_Ranking1[[#This Row],[Res Structures Raw]]/L$2)*100</f>
        <v>6.3747503222790439E-3</v>
      </c>
      <c r="N1921" s="180">
        <f>FME_Ranking1[[#This Row],[Res Structures Score (Normalized, Unweighted)]]*$L$3</f>
        <v>6.3747503222790446E-4</v>
      </c>
      <c r="O1921" s="244">
        <f>_xlfn.XLOOKUP(FME_Ranking1[[#This Row],[FME ID]],FME_Input[FME_ID],FME_Input[POP100])</f>
        <v>11</v>
      </c>
      <c r="P1921" s="178">
        <f>(FME_Ranking1[[#This Row],[Pop Raw]]/$O$2)*100</f>
        <v>1.1261284318763961E-3</v>
      </c>
      <c r="Q1921" s="178">
        <f>FME_Ranking1[[#This Row],[Pop Score (Normalized, Unweighted)]]*$O$3</f>
        <v>1.6891926478145941E-4</v>
      </c>
      <c r="R1921" s="137">
        <f>_xlfn.XLOOKUP(FME_Ranking1[[#This Row],[FME ID]],FME_Input[FME_ID],FME_Input[CRITFAC100])</f>
        <v>0</v>
      </c>
      <c r="S1921" s="230">
        <f>(FME_Ranking1[[#This Row],[Critical Facilities Raw]]/$R$2)*100</f>
        <v>0</v>
      </c>
      <c r="T1921" s="180">
        <f>FME_Ranking1[[#This Row],[Critical Facilities Score (Normalized, Unweighted)]]*$R$3</f>
        <v>0</v>
      </c>
      <c r="U1921">
        <f>_xlfn.XLOOKUP(FME_Ranking1[[#This Row],[FME ID]],FME_Input[FME_ID],FME_Input[LWC])</f>
        <v>0</v>
      </c>
      <c r="V1921" s="178">
        <f>(FME_Ranking1[[#This Row],[LWC Raw]]/$U$2)*100</f>
        <v>0</v>
      </c>
      <c r="W1921" s="178">
        <f>FME_Ranking1[[#This Row],[LWC Score (Normalized, Unweighted)]]*$U$3</f>
        <v>0</v>
      </c>
      <c r="X1921" s="246">
        <f>_xlfn.XLOOKUP(FME_Ranking1[[#This Row],[FME ID]],FME_Input[FME_ID],FME_Input[ROADCLS])</f>
        <v>0</v>
      </c>
      <c r="Y1921" s="230">
        <f>(FME_Ranking1[[#This Row],[Closures Raw]]/$X$2)*100</f>
        <v>0</v>
      </c>
      <c r="Z1921" s="180">
        <f>FME_Ranking1[[#This Row],[Closures Score (Normalized, Unweighted)]]*$X$3</f>
        <v>0</v>
      </c>
      <c r="AA1921" s="253">
        <f>_xlfn.XLOOKUP(FME_Ranking1[[#This Row],[FME ID]],FME_Input[FME_ID],FME_Input[ROAD_MILES100])</f>
        <v>0.81076306104660034</v>
      </c>
      <c r="AB1921" s="178">
        <f>(FME_Ranking1[[#This Row],[Miles Raw]]/$AA$2)*100</f>
        <v>1.066008008094517E-2</v>
      </c>
      <c r="AC1921" s="178">
        <f>FME_Ranking1[[#This Row],[Miles Score (Normalized, Unweighted)]]*$AA$3</f>
        <v>1.066008008094517E-3</v>
      </c>
      <c r="AD1921" s="255">
        <f>_xlfn.XLOOKUP(FME_Ranking1[[#This Row],[FME ID]],FME_Input[FME_ID],FME_Input[FARMACRE100])</f>
        <v>35.683235168457031</v>
      </c>
      <c r="AE1921" s="230">
        <f>(FME_Ranking1[[#This Row],[Ag Land Raw]]/$AD$2)*100</f>
        <v>1.471416882213285E-3</v>
      </c>
      <c r="AF1921" s="231">
        <f>FME_Ranking1[[#This Row],[Ag Land Score (Normalized, Unweighted)]]*$AD$3</f>
        <v>7.3570844110664249E-5</v>
      </c>
      <c r="AG192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2.8295356733117052E-3</v>
      </c>
      <c r="AH1921" s="406">
        <f t="shared" si="29"/>
        <v>1918</v>
      </c>
      <c r="AI192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2.8295356733117052E-3</v>
      </c>
      <c r="AJ1921" s="257">
        <f>FME_Ranking1[[#This Row],[Addition check]]-FME_Ranking1[[#This Row],[Weighted Score Based on Normalized Reported Factors]]</f>
        <v>0</v>
      </c>
      <c r="AK1921" s="178">
        <f>_xlfn.RANK.EQ(AI1921,$AI$6:$AI$2341,0)+COUNTIF($AI$6:AI1921,AI1921)-1</f>
        <v>1918</v>
      </c>
    </row>
    <row r="1922" spans="1:37" x14ac:dyDescent="0.25">
      <c r="A1922" t="s">
        <v>10773</v>
      </c>
      <c r="B1922">
        <f>_xlfn.XLOOKUP(FME_Ranking1[[#This Row],[FME ID]],FME_Input[FME_ID],FME_Input[RFPG_NUM])</f>
        <v>13</v>
      </c>
      <c r="C1922" t="str">
        <f>_xlfn.XLOOKUP(FME_Ranking1[[#This Row],[FME ID]],FME_Input[FME_ID],FME_Input[FME_NAME])</f>
        <v>Aransas County Drainage Improvements - Southeast 35 - Project 2</v>
      </c>
      <c r="D1922" t="str">
        <f>_xlfn.XLOOKUP(FME_Ranking1[[#This Row],[FME ID]],FME_Input[FME_ID],FME_Input[DESCR])</f>
        <v>Aransas County Texas Multi-Jurisdictional Hazard Mitigation Action Plan - Action #25: Precinct 1/1A - Southeast 35 - Project 2. Reduce flood risk to buildings and infrastructure by making improvements to the County drainage system</v>
      </c>
      <c r="E1922" s="256">
        <f>_xlfn.XLOOKUP(FME_Ranking1[[#This Row],[FME ID]],FME_Input[FME_ID],FME_Input[FME_COST])</f>
        <v>27000</v>
      </c>
      <c r="F1922" t="str">
        <f>_xlfn.XLOOKUP(FME_Ranking1[[#This Row],[FME ID]],FME_Input[FME_ID],FME_Input[EMER_NEED])</f>
        <v>Yes</v>
      </c>
      <c r="G1922">
        <f>IF(FME_Ranking!F1922="Yes",100,0)</f>
        <v>100</v>
      </c>
      <c r="H1922">
        <f>FME_Ranking1[[#This Row],[Emergency Need Score (Normalized, Unweighted)]]*$F$3</f>
        <v>0</v>
      </c>
      <c r="I1922" s="246">
        <f>_xlfn.XLOOKUP(FME_Ranking1[[#This Row],[FME ID]],FME_Input[FME_ID],FME_Input[STRUCT_100])</f>
        <v>1</v>
      </c>
      <c r="J1922" s="178">
        <f>(FME_Ranking1[[#This Row],[Structures 100 Raw]]/I$2)*100</f>
        <v>5.3549243884676355E-4</v>
      </c>
      <c r="K1922" s="178">
        <f>FME_Ranking1[[#This Row],[Structures 100  Score (Normalized, Unweighted)]]*$I$3</f>
        <v>8.0323865827014533E-5</v>
      </c>
      <c r="L1922" s="246">
        <f>_xlfn.XLOOKUP(FME_Ranking1[[#This Row],[FME ID]],FME_Input[FME_ID],FME_Input[RES_STRUCT100])</f>
        <v>1</v>
      </c>
      <c r="M1922" s="230">
        <f>(FME_Ranking1[[#This Row],[Res Structures Raw]]/L$2)*100</f>
        <v>7.0830559136433825E-4</v>
      </c>
      <c r="N1922" s="180">
        <f>FME_Ranking1[[#This Row],[Res Structures Score (Normalized, Unweighted)]]*$L$3</f>
        <v>7.0830559136433833E-5</v>
      </c>
      <c r="O1922" s="244">
        <f>_xlfn.XLOOKUP(FME_Ranking1[[#This Row],[FME ID]],FME_Input[FME_ID],FME_Input[POP100])</f>
        <v>1</v>
      </c>
      <c r="P1922" s="178">
        <f>(FME_Ranking1[[#This Row],[Pop Raw]]/$O$2)*100</f>
        <v>1.0237531198876328E-4</v>
      </c>
      <c r="Q1922" s="178">
        <f>FME_Ranking1[[#This Row],[Pop Score (Normalized, Unweighted)]]*$O$3</f>
        <v>1.5356296798314492E-5</v>
      </c>
      <c r="R1922" s="137">
        <f>_xlfn.XLOOKUP(FME_Ranking1[[#This Row],[FME ID]],FME_Input[FME_ID],FME_Input[CRITFAC100])</f>
        <v>0</v>
      </c>
      <c r="S1922" s="230">
        <f>(FME_Ranking1[[#This Row],[Critical Facilities Raw]]/$R$2)*100</f>
        <v>0</v>
      </c>
      <c r="T1922" s="180">
        <f>FME_Ranking1[[#This Row],[Critical Facilities Score (Normalized, Unweighted)]]*$R$3</f>
        <v>0</v>
      </c>
      <c r="U1922">
        <f>_xlfn.XLOOKUP(FME_Ranking1[[#This Row],[FME ID]],FME_Input[FME_ID],FME_Input[LWC])</f>
        <v>0</v>
      </c>
      <c r="V1922" s="178">
        <f>(FME_Ranking1[[#This Row],[LWC Raw]]/$U$2)*100</f>
        <v>0</v>
      </c>
      <c r="W1922" s="178">
        <f>FME_Ranking1[[#This Row],[LWC Score (Normalized, Unweighted)]]*$U$3</f>
        <v>0</v>
      </c>
      <c r="X1922" s="246">
        <f>_xlfn.XLOOKUP(FME_Ranking1[[#This Row],[FME ID]],FME_Input[FME_ID],FME_Input[ROADCLS])</f>
        <v>3</v>
      </c>
      <c r="Y1922" s="230">
        <f>(FME_Ranking1[[#This Row],[Closures Raw]]/$X$2)*100</f>
        <v>3.1542424561034593E-2</v>
      </c>
      <c r="Z1922" s="180">
        <f>FME_Ranking1[[#This Row],[Closures Score (Normalized, Unweighted)]]*$X$3</f>
        <v>1.5771212280517297E-3</v>
      </c>
      <c r="AA1922" s="253">
        <f>_xlfn.XLOOKUP(FME_Ranking1[[#This Row],[FME ID]],FME_Input[FME_ID],FME_Input[ROAD_MILES100])</f>
        <v>0.712638258934021</v>
      </c>
      <c r="AB1922" s="178">
        <f>(FME_Ranking1[[#This Row],[Miles Raw]]/$AA$2)*100</f>
        <v>9.3699149282596168E-3</v>
      </c>
      <c r="AC1922" s="178">
        <f>FME_Ranking1[[#This Row],[Miles Score (Normalized, Unweighted)]]*$AA$3</f>
        <v>9.3699149282596176E-4</v>
      </c>
      <c r="AD1922" s="255">
        <f>_xlfn.XLOOKUP(FME_Ranking1[[#This Row],[FME ID]],FME_Input[FME_ID],FME_Input[FARMACRE100])</f>
        <v>0.65379792451858521</v>
      </c>
      <c r="AE1922" s="230">
        <f>(FME_Ranking1[[#This Row],[Ag Land Raw]]/$AD$2)*100</f>
        <v>2.6959699678325193E-5</v>
      </c>
      <c r="AF1922" s="231">
        <f>FME_Ranking1[[#This Row],[Ag Land Score (Normalized, Unweighted)]]*$AD$3</f>
        <v>1.3479849839162598E-6</v>
      </c>
      <c r="AG192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2.6819714276233707E-3</v>
      </c>
      <c r="AH1922" s="406">
        <f t="shared" si="29"/>
        <v>1922</v>
      </c>
      <c r="AI192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2.6819714276233707E-3</v>
      </c>
      <c r="AJ1922" s="257">
        <f>FME_Ranking1[[#This Row],[Addition check]]-FME_Ranking1[[#This Row],[Weighted Score Based on Normalized Reported Factors]]</f>
        <v>0</v>
      </c>
      <c r="AK1922" s="178">
        <f>_xlfn.RANK.EQ(AI1922,$AI$6:$AI$2341,0)+COUNTIF($AI$6:AI1922,AI1922)-1</f>
        <v>1922</v>
      </c>
    </row>
    <row r="1923" spans="1:37" x14ac:dyDescent="0.25">
      <c r="A1923" t="s">
        <v>10108</v>
      </c>
      <c r="B1923">
        <f>_xlfn.XLOOKUP(FME_Ranking1[[#This Row],[FME ID]],FME_Input[FME_ID],FME_Input[RFPG_NUM])</f>
        <v>13</v>
      </c>
      <c r="C1923" t="str">
        <f>_xlfn.XLOOKUP(FME_Ranking1[[#This Row],[FME ID]],FME_Input[FME_ID],FME_Input[FME_NAME])</f>
        <v>W Comal St &amp; FM 1581 Drainage Channel- FH#3</v>
      </c>
      <c r="D1923" t="str">
        <f>_xlfn.XLOOKUP(FME_Ranking1[[#This Row],[FME ID]],FME_Input[FME_ID],FME_Input[DESCR])</f>
        <v>Install trapezoidal concrete channel and upsize existing culverts at the crossing on W Comal Street and W San Antonio street at FM1581 intersections.</v>
      </c>
      <c r="E1923" s="256">
        <f>_xlfn.XLOOKUP(FME_Ranking1[[#This Row],[FME ID]],FME_Input[FME_ID],FME_Input[FME_COST])</f>
        <v>86000</v>
      </c>
      <c r="F1923" t="str">
        <f>_xlfn.XLOOKUP(FME_Ranking1[[#This Row],[FME ID]],FME_Input[FME_ID],FME_Input[EMER_NEED])</f>
        <v>Yes</v>
      </c>
      <c r="G1923">
        <f>IF(FME_Ranking!F1923="Yes",100,0)</f>
        <v>100</v>
      </c>
      <c r="H1923">
        <f>FME_Ranking1[[#This Row],[Emergency Need Score (Normalized, Unweighted)]]*$F$3</f>
        <v>0</v>
      </c>
      <c r="I1923" s="246">
        <f>_xlfn.XLOOKUP(FME_Ranking1[[#This Row],[FME ID]],FME_Input[FME_ID],FME_Input[STRUCT_100])</f>
        <v>1</v>
      </c>
      <c r="J1923" s="178">
        <f>(FME_Ranking1[[#This Row],[Structures 100 Raw]]/I$2)*100</f>
        <v>5.3549243884676355E-4</v>
      </c>
      <c r="K1923" s="178">
        <f>FME_Ranking1[[#This Row],[Structures 100  Score (Normalized, Unweighted)]]*$I$3</f>
        <v>8.0323865827014533E-5</v>
      </c>
      <c r="L1923" s="246">
        <f>_xlfn.XLOOKUP(FME_Ranking1[[#This Row],[FME ID]],FME_Input[FME_ID],FME_Input[RES_STRUCT100])</f>
        <v>0</v>
      </c>
      <c r="M1923" s="230">
        <f>(FME_Ranking1[[#This Row],[Res Structures Raw]]/L$2)*100</f>
        <v>0</v>
      </c>
      <c r="N1923" s="180">
        <f>FME_Ranking1[[#This Row],[Res Structures Score (Normalized, Unweighted)]]*$L$3</f>
        <v>0</v>
      </c>
      <c r="O1923" s="244">
        <f>_xlfn.XLOOKUP(FME_Ranking1[[#This Row],[FME ID]],FME_Input[FME_ID],FME_Input[POP100])</f>
        <v>4</v>
      </c>
      <c r="P1923" s="178">
        <f>(FME_Ranking1[[#This Row],[Pop Raw]]/$O$2)*100</f>
        <v>4.0950124795505313E-4</v>
      </c>
      <c r="Q1923" s="178">
        <f>FME_Ranking1[[#This Row],[Pop Score (Normalized, Unweighted)]]*$O$3</f>
        <v>6.1425187193257967E-5</v>
      </c>
      <c r="R1923" s="137">
        <f>_xlfn.XLOOKUP(FME_Ranking1[[#This Row],[FME ID]],FME_Input[FME_ID],FME_Input[CRITFAC100])</f>
        <v>0</v>
      </c>
      <c r="S1923" s="230">
        <f>(FME_Ranking1[[#This Row],[Critical Facilities Raw]]/$R$2)*100</f>
        <v>0</v>
      </c>
      <c r="T1923" s="180">
        <f>FME_Ranking1[[#This Row],[Critical Facilities Score (Normalized, Unweighted)]]*$R$3</f>
        <v>0</v>
      </c>
      <c r="U1923">
        <f>_xlfn.XLOOKUP(FME_Ranking1[[#This Row],[FME ID]],FME_Input[FME_ID],FME_Input[LWC])</f>
        <v>0</v>
      </c>
      <c r="V1923" s="178">
        <f>(FME_Ranking1[[#This Row],[LWC Raw]]/$U$2)*100</f>
        <v>0</v>
      </c>
      <c r="W1923" s="178">
        <f>FME_Ranking1[[#This Row],[LWC Score (Normalized, Unweighted)]]*$U$3</f>
        <v>0</v>
      </c>
      <c r="X1923" s="246">
        <f>_xlfn.XLOOKUP(FME_Ranking1[[#This Row],[FME ID]],FME_Input[FME_ID],FME_Input[ROADCLS])</f>
        <v>3</v>
      </c>
      <c r="Y1923" s="230">
        <f>(FME_Ranking1[[#This Row],[Closures Raw]]/$X$2)*100</f>
        <v>3.1542424561034593E-2</v>
      </c>
      <c r="Z1923" s="180">
        <f>FME_Ranking1[[#This Row],[Closures Score (Normalized, Unweighted)]]*$X$3</f>
        <v>1.5771212280517297E-3</v>
      </c>
      <c r="AA1923" s="253">
        <f>_xlfn.XLOOKUP(FME_Ranking1[[#This Row],[FME ID]],FME_Input[FME_ID],FME_Input[ROAD_MILES100])</f>
        <v>9.2374108731746674E-2</v>
      </c>
      <c r="AB1923" s="178">
        <f>(FME_Ranking1[[#This Row],[Miles Raw]]/$AA$2)*100</f>
        <v>1.2145538490804003E-3</v>
      </c>
      <c r="AC1923" s="178">
        <f>FME_Ranking1[[#This Row],[Miles Score (Normalized, Unweighted)]]*$AA$3</f>
        <v>1.2145538490804003E-4</v>
      </c>
      <c r="AD1923" s="255">
        <f>_xlfn.XLOOKUP(FME_Ranking1[[#This Row],[FME ID]],FME_Input[FME_ID],FME_Input[FARMACRE100])</f>
        <v>0</v>
      </c>
      <c r="AE1923" s="230">
        <f>(FME_Ranking1[[#This Row],[Ag Land Raw]]/$AD$2)*100</f>
        <v>0</v>
      </c>
      <c r="AF1923" s="231">
        <f>FME_Ranking1[[#This Row],[Ag Land Score (Normalized, Unweighted)]]*$AD$3</f>
        <v>0</v>
      </c>
      <c r="AG192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1.8403256659800422E-3</v>
      </c>
      <c r="AH1923" s="406">
        <f t="shared" si="29"/>
        <v>1965</v>
      </c>
      <c r="AI192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1.8403256659800422E-3</v>
      </c>
      <c r="AJ1923" s="257">
        <f>FME_Ranking1[[#This Row],[Addition check]]-FME_Ranking1[[#This Row],[Weighted Score Based on Normalized Reported Factors]]</f>
        <v>0</v>
      </c>
      <c r="AK1923" s="178">
        <f>_xlfn.RANK.EQ(AI1923,$AI$6:$AI$2341,0)+COUNTIF($AI$6:AI1923,AI1923)-1</f>
        <v>1965</v>
      </c>
    </row>
    <row r="1924" spans="1:37" x14ac:dyDescent="0.25">
      <c r="A1924" t="s">
        <v>4911</v>
      </c>
      <c r="B1924">
        <f>_xlfn.XLOOKUP(FME_Ranking1[[#This Row],[FME ID]],FME_Input[FME_ID],FME_Input[RFPG_NUM])</f>
        <v>3</v>
      </c>
      <c r="C1924" t="str">
        <f>_xlfn.XLOOKUP(FME_Ranking1[[#This Row],[FME ID]],FME_Input[FME_ID],FME_Input[FME_NAME])</f>
        <v>Stuart Branch Stabilization</v>
      </c>
      <c r="D1924" t="str">
        <f>_xlfn.XLOOKUP(FME_Ranking1[[#This Row],[FME ID]],FME_Input[FME_ID],FME_Input[DESCR])</f>
        <v>Evaluate from 460 feet north of Sanctuary Drive and 350 feet northeast of Nature Court cul-de-sac to Joe Pool Lake (future with development); Estimated construction cost of $349,700</v>
      </c>
      <c r="E1924" s="256">
        <f>_xlfn.XLOOKUP(FME_Ranking1[[#This Row],[FME ID]],FME_Input[FME_ID],FME_Input[FME_COST])</f>
        <v>250000</v>
      </c>
      <c r="F1924" t="str">
        <f>_xlfn.XLOOKUP(FME_Ranking1[[#This Row],[FME ID]],FME_Input[FME_ID],FME_Input[EMER_NEED])</f>
        <v>No</v>
      </c>
      <c r="G1924">
        <f>IF(FME_Ranking!F1924="Yes",100,0)</f>
        <v>0</v>
      </c>
      <c r="H1924">
        <f>FME_Ranking1[[#This Row],[Emergency Need Score (Normalized, Unweighted)]]*$F$3</f>
        <v>0</v>
      </c>
      <c r="I1924" s="246">
        <f>_xlfn.XLOOKUP(FME_Ranking1[[#This Row],[FME ID]],FME_Input[FME_ID],FME_Input[STRUCT_100])</f>
        <v>9</v>
      </c>
      <c r="J1924" s="178">
        <f>(FME_Ranking1[[#This Row],[Structures 100 Raw]]/I$2)*100</f>
        <v>4.8194319496208714E-3</v>
      </c>
      <c r="K1924" s="178">
        <f>FME_Ranking1[[#This Row],[Structures 100  Score (Normalized, Unweighted)]]*$I$3</f>
        <v>7.2291479244313071E-4</v>
      </c>
      <c r="L1924" s="246">
        <f>_xlfn.XLOOKUP(FME_Ranking1[[#This Row],[FME ID]],FME_Input[FME_ID],FME_Input[RES_STRUCT100])</f>
        <v>7</v>
      </c>
      <c r="M1924" s="230">
        <f>(FME_Ranking1[[#This Row],[Res Structures Raw]]/L$2)*100</f>
        <v>4.9581391395503681E-3</v>
      </c>
      <c r="N1924" s="180">
        <f>FME_Ranking1[[#This Row],[Res Structures Score (Normalized, Unweighted)]]*$L$3</f>
        <v>4.9581391395503687E-4</v>
      </c>
      <c r="O1924" s="244">
        <f>_xlfn.XLOOKUP(FME_Ranking1[[#This Row],[FME ID]],FME_Input[FME_ID],FME_Input[POP100])</f>
        <v>27</v>
      </c>
      <c r="P1924" s="178">
        <f>(FME_Ranking1[[#This Row],[Pop Raw]]/$O$2)*100</f>
        <v>2.7641334236966088E-3</v>
      </c>
      <c r="Q1924" s="178">
        <f>FME_Ranking1[[#This Row],[Pop Score (Normalized, Unweighted)]]*$O$3</f>
        <v>4.1462001355449134E-4</v>
      </c>
      <c r="R1924" s="137">
        <f>_xlfn.XLOOKUP(FME_Ranking1[[#This Row],[FME ID]],FME_Input[FME_ID],FME_Input[CRITFAC100])</f>
        <v>0</v>
      </c>
      <c r="S1924" s="230">
        <f>(FME_Ranking1[[#This Row],[Critical Facilities Raw]]/$R$2)*100</f>
        <v>0</v>
      </c>
      <c r="T1924" s="180">
        <f>FME_Ranking1[[#This Row],[Critical Facilities Score (Normalized, Unweighted)]]*$R$3</f>
        <v>0</v>
      </c>
      <c r="U1924">
        <f>_xlfn.XLOOKUP(FME_Ranking1[[#This Row],[FME ID]],FME_Input[FME_ID],FME_Input[LWC])</f>
        <v>0</v>
      </c>
      <c r="V1924" s="178">
        <f>(FME_Ranking1[[#This Row],[LWC Raw]]/$U$2)*100</f>
        <v>0</v>
      </c>
      <c r="W1924" s="178">
        <f>FME_Ranking1[[#This Row],[LWC Score (Normalized, Unweighted)]]*$U$3</f>
        <v>0</v>
      </c>
      <c r="X1924" s="246">
        <f>_xlfn.XLOOKUP(FME_Ranking1[[#This Row],[FME ID]],FME_Input[FME_ID],FME_Input[ROADCLS])</f>
        <v>0</v>
      </c>
      <c r="Y1924" s="230">
        <f>(FME_Ranking1[[#This Row],[Closures Raw]]/$X$2)*100</f>
        <v>0</v>
      </c>
      <c r="Z1924" s="180">
        <f>FME_Ranking1[[#This Row],[Closures Score (Normalized, Unweighted)]]*$X$3</f>
        <v>0</v>
      </c>
      <c r="AA1924" s="253">
        <f>_xlfn.XLOOKUP(FME_Ranking1[[#This Row],[FME ID]],FME_Input[FME_ID],FME_Input[ROAD_MILES100])</f>
        <v>0.56593281030654907</v>
      </c>
      <c r="AB1924" s="178">
        <f>(FME_Ranking1[[#This Row],[Miles Raw]]/$AA$2)*100</f>
        <v>7.4410014073833242E-3</v>
      </c>
      <c r="AC1924" s="178">
        <f>FME_Ranking1[[#This Row],[Miles Score (Normalized, Unweighted)]]*$AA$3</f>
        <v>7.4410014073833248E-4</v>
      </c>
      <c r="AD1924" s="255">
        <f>_xlfn.XLOOKUP(FME_Ranking1[[#This Row],[FME ID]],FME_Input[FME_ID],FME_Input[FARMACRE100])</f>
        <v>20.519559860229489</v>
      </c>
      <c r="AE1924" s="230">
        <f>(FME_Ranking1[[#This Row],[Ag Land Raw]]/$AD$2)*100</f>
        <v>8.4613479275044397E-4</v>
      </c>
      <c r="AF1924" s="231">
        <f>FME_Ranking1[[#This Row],[Ag Land Score (Normalized, Unweighted)]]*$AD$3</f>
        <v>4.23067396375222E-5</v>
      </c>
      <c r="AG192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2.4197556003285135E-3</v>
      </c>
      <c r="AH1924" s="406">
        <f t="shared" si="29"/>
        <v>1934</v>
      </c>
      <c r="AI192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2.4197556003285135E-3</v>
      </c>
      <c r="AJ1924" s="257">
        <f>FME_Ranking1[[#This Row],[Addition check]]-FME_Ranking1[[#This Row],[Weighted Score Based on Normalized Reported Factors]]</f>
        <v>0</v>
      </c>
      <c r="AK1924" s="178">
        <f>_xlfn.RANK.EQ(AI1924,$AI$6:$AI$2341,0)+COUNTIF($AI$6:AI1924,AI1924)-1</f>
        <v>1934</v>
      </c>
    </row>
    <row r="1925" spans="1:37" x14ac:dyDescent="0.25">
      <c r="A1925" t="s">
        <v>4897</v>
      </c>
      <c r="B1925">
        <f>_xlfn.XLOOKUP(FME_Ranking1[[#This Row],[FME ID]],FME_Input[FME_ID],FME_Input[RFPG_NUM])</f>
        <v>3</v>
      </c>
      <c r="C1925" t="str">
        <f>_xlfn.XLOOKUP(FME_Ranking1[[#This Row],[FME ID]],FME_Input[FME_ID],FME_Input[FME_NAME])</f>
        <v xml:space="preserve">Chipmunk Rd Culverts Replacement </v>
      </c>
      <c r="D1925" t="str">
        <f>_xlfn.XLOOKUP(FME_Ranking1[[#This Row],[FME ID]],FME_Input[FME_ID],FME_Input[DESCR])</f>
        <v>Evaluate alternatives to replace Chipmunk Rd culverts with a bridge</v>
      </c>
      <c r="E1925" s="256">
        <f>_xlfn.XLOOKUP(FME_Ranking1[[#This Row],[FME ID]],FME_Input[FME_ID],FME_Input[FME_COST])</f>
        <v>500000</v>
      </c>
      <c r="F1925" t="str">
        <f>_xlfn.XLOOKUP(FME_Ranking1[[#This Row],[FME ID]],FME_Input[FME_ID],FME_Input[EMER_NEED])</f>
        <v>No</v>
      </c>
      <c r="G1925">
        <f>IF(FME_Ranking!F1925="Yes",100,0)</f>
        <v>0</v>
      </c>
      <c r="H1925">
        <f>FME_Ranking1[[#This Row],[Emergency Need Score (Normalized, Unweighted)]]*$F$3</f>
        <v>0</v>
      </c>
      <c r="I1925" s="246">
        <f>_xlfn.XLOOKUP(FME_Ranking1[[#This Row],[FME ID]],FME_Input[FME_ID],FME_Input[STRUCT_100])</f>
        <v>8</v>
      </c>
      <c r="J1925" s="178">
        <f>(FME_Ranking1[[#This Row],[Structures 100 Raw]]/I$2)*100</f>
        <v>4.2839395107741084E-3</v>
      </c>
      <c r="K1925" s="178">
        <f>FME_Ranking1[[#This Row],[Structures 100  Score (Normalized, Unweighted)]]*$I$3</f>
        <v>6.4259092661611626E-4</v>
      </c>
      <c r="L1925" s="246">
        <f>_xlfn.XLOOKUP(FME_Ranking1[[#This Row],[FME ID]],FME_Input[FME_ID],FME_Input[RES_STRUCT100])</f>
        <v>8</v>
      </c>
      <c r="M1925" s="230">
        <f>(FME_Ranking1[[#This Row],[Res Structures Raw]]/L$2)*100</f>
        <v>5.666444730914706E-3</v>
      </c>
      <c r="N1925" s="180">
        <f>FME_Ranking1[[#This Row],[Res Structures Score (Normalized, Unweighted)]]*$L$3</f>
        <v>5.6664447309147067E-4</v>
      </c>
      <c r="O1925" s="244">
        <f>_xlfn.XLOOKUP(FME_Ranking1[[#This Row],[FME ID]],FME_Input[FME_ID],FME_Input[POP100])</f>
        <v>7</v>
      </c>
      <c r="P1925" s="178">
        <f>(FME_Ranking1[[#This Row],[Pop Raw]]/$O$2)*100</f>
        <v>7.1662718392134295E-4</v>
      </c>
      <c r="Q1925" s="178">
        <f>FME_Ranking1[[#This Row],[Pop Score (Normalized, Unweighted)]]*$O$3</f>
        <v>1.0749407758820145E-4</v>
      </c>
      <c r="R1925" s="137">
        <f>_xlfn.XLOOKUP(FME_Ranking1[[#This Row],[FME ID]],FME_Input[FME_ID],FME_Input[CRITFAC100])</f>
        <v>0</v>
      </c>
      <c r="S1925" s="230">
        <f>(FME_Ranking1[[#This Row],[Critical Facilities Raw]]/$R$2)*100</f>
        <v>0</v>
      </c>
      <c r="T1925" s="180">
        <f>FME_Ranking1[[#This Row],[Critical Facilities Score (Normalized, Unweighted)]]*$R$3</f>
        <v>0</v>
      </c>
      <c r="U1925">
        <f>_xlfn.XLOOKUP(FME_Ranking1[[#This Row],[FME ID]],FME_Input[FME_ID],FME_Input[LWC])</f>
        <v>0</v>
      </c>
      <c r="V1925" s="178">
        <f>(FME_Ranking1[[#This Row],[LWC Raw]]/$U$2)*100</f>
        <v>0</v>
      </c>
      <c r="W1925" s="178">
        <f>FME_Ranking1[[#This Row],[LWC Score (Normalized, Unweighted)]]*$U$3</f>
        <v>0</v>
      </c>
      <c r="X1925" s="246">
        <f>_xlfn.XLOOKUP(FME_Ranking1[[#This Row],[FME ID]],FME_Input[FME_ID],FME_Input[ROADCLS])</f>
        <v>0</v>
      </c>
      <c r="Y1925" s="230">
        <f>(FME_Ranking1[[#This Row],[Closures Raw]]/$X$2)*100</f>
        <v>0</v>
      </c>
      <c r="Z1925" s="180">
        <f>FME_Ranking1[[#This Row],[Closures Score (Normalized, Unweighted)]]*$X$3</f>
        <v>0</v>
      </c>
      <c r="AA1925" s="253">
        <f>_xlfn.XLOOKUP(FME_Ranking1[[#This Row],[FME ID]],FME_Input[FME_ID],FME_Input[ROAD_MILES100])</f>
        <v>0.35280910134315491</v>
      </c>
      <c r="AB1925" s="178">
        <f>(FME_Ranking1[[#This Row],[Miles Raw]]/$AA$2)*100</f>
        <v>4.6388068898320974E-3</v>
      </c>
      <c r="AC1925" s="178">
        <f>FME_Ranking1[[#This Row],[Miles Score (Normalized, Unweighted)]]*$AA$3</f>
        <v>4.6388068898320974E-4</v>
      </c>
      <c r="AD1925" s="255">
        <f>_xlfn.XLOOKUP(FME_Ranking1[[#This Row],[FME ID]],FME_Input[FME_ID],FME_Input[FARMACRE100])</f>
        <v>150.4855041503906</v>
      </c>
      <c r="AE1925" s="230">
        <f>(FME_Ranking1[[#This Row],[Ag Land Raw]]/$AD$2)*100</f>
        <v>6.20534854224757E-3</v>
      </c>
      <c r="AF1925" s="231">
        <f>FME_Ranking1[[#This Row],[Ag Land Score (Normalized, Unweighted)]]*$AD$3</f>
        <v>3.1026742711237854E-4</v>
      </c>
      <c r="AG192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2.0908775933913765E-3</v>
      </c>
      <c r="AH1925" s="406">
        <f t="shared" si="29"/>
        <v>1952</v>
      </c>
      <c r="AI192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2.0908775933913765E-3</v>
      </c>
      <c r="AJ1925" s="257">
        <f>FME_Ranking1[[#This Row],[Addition check]]-FME_Ranking1[[#This Row],[Weighted Score Based on Normalized Reported Factors]]</f>
        <v>0</v>
      </c>
      <c r="AK1925" s="178">
        <f>_xlfn.RANK.EQ(AI1925,$AI$6:$AI$2341,0)+COUNTIF($AI$6:AI1925,AI1925)-1</f>
        <v>1952</v>
      </c>
    </row>
    <row r="1926" spans="1:37" x14ac:dyDescent="0.25">
      <c r="A1926" t="s">
        <v>10334</v>
      </c>
      <c r="B1926">
        <f>_xlfn.XLOOKUP(FME_Ranking1[[#This Row],[FME ID]],FME_Input[FME_ID],FME_Input[RFPG_NUM])</f>
        <v>13</v>
      </c>
      <c r="C1926" t="str">
        <f>_xlfn.XLOOKUP(FME_Ranking1[[#This Row],[FME ID]],FME_Input[FME_ID],FME_Input[FME_NAME])</f>
        <v>Drainage Improvements to Outfall Channel - Lateral AN</v>
      </c>
      <c r="D1926" t="str">
        <f>_xlfn.XLOOKUP(FME_Ranking1[[#This Row],[FME ID]],FME_Input[FME_ID],FME_Input[DESCR])</f>
        <v>Reduce flooding in NE part of Taft. The project will widen and deepen the Main Lateral AN; replace bridge crossings at FM 631, CR 102, CR 77, and CR 81; and armor the ditch section between FM 693 and CR 102 to improve runoff through this section of ditch.</v>
      </c>
      <c r="E1926" s="256">
        <f>_xlfn.XLOOKUP(FME_Ranking1[[#This Row],[FME ID]],FME_Input[FME_ID],FME_Input[FME_COST])</f>
        <v>760000</v>
      </c>
      <c r="F1926" t="str">
        <f>_xlfn.XLOOKUP(FME_Ranking1[[#This Row],[FME ID]],FME_Input[FME_ID],FME_Input[EMER_NEED])</f>
        <v>Yes</v>
      </c>
      <c r="G1926">
        <f>IF(FME_Ranking!F1926="Yes",100,0)</f>
        <v>100</v>
      </c>
      <c r="H1926">
        <f>FME_Ranking1[[#This Row],[Emergency Need Score (Normalized, Unweighted)]]*$F$3</f>
        <v>0</v>
      </c>
      <c r="I1926" s="246">
        <f>_xlfn.XLOOKUP(FME_Ranking1[[#This Row],[FME ID]],FME_Input[FME_ID],FME_Input[STRUCT_100])</f>
        <v>0</v>
      </c>
      <c r="J1926" s="178">
        <f>(FME_Ranking1[[#This Row],[Structures 100 Raw]]/I$2)*100</f>
        <v>0</v>
      </c>
      <c r="K1926" s="178">
        <f>FME_Ranking1[[#This Row],[Structures 100  Score (Normalized, Unweighted)]]*$I$3</f>
        <v>0</v>
      </c>
      <c r="L1926" s="246">
        <f>_xlfn.XLOOKUP(FME_Ranking1[[#This Row],[FME ID]],FME_Input[FME_ID],FME_Input[RES_STRUCT100])</f>
        <v>0</v>
      </c>
      <c r="M1926" s="230">
        <f>(FME_Ranking1[[#This Row],[Res Structures Raw]]/L$2)*100</f>
        <v>0</v>
      </c>
      <c r="N1926" s="180">
        <f>FME_Ranking1[[#This Row],[Res Structures Score (Normalized, Unweighted)]]*$L$3</f>
        <v>0</v>
      </c>
      <c r="O1926" s="244">
        <f>_xlfn.XLOOKUP(FME_Ranking1[[#This Row],[FME ID]],FME_Input[FME_ID],FME_Input[POP100])</f>
        <v>0</v>
      </c>
      <c r="P1926" s="178">
        <f>(FME_Ranking1[[#This Row],[Pop Raw]]/$O$2)*100</f>
        <v>0</v>
      </c>
      <c r="Q1926" s="178">
        <f>FME_Ranking1[[#This Row],[Pop Score (Normalized, Unweighted)]]*$O$3</f>
        <v>0</v>
      </c>
      <c r="R1926" s="137">
        <f>_xlfn.XLOOKUP(FME_Ranking1[[#This Row],[FME ID]],FME_Input[FME_ID],FME_Input[CRITFAC100])</f>
        <v>0</v>
      </c>
      <c r="S1926" s="230">
        <f>(FME_Ranking1[[#This Row],[Critical Facilities Raw]]/$R$2)*100</f>
        <v>0</v>
      </c>
      <c r="T1926" s="180">
        <f>FME_Ranking1[[#This Row],[Critical Facilities Score (Normalized, Unweighted)]]*$R$3</f>
        <v>0</v>
      </c>
      <c r="U1926">
        <f>_xlfn.XLOOKUP(FME_Ranking1[[#This Row],[FME ID]],FME_Input[FME_ID],FME_Input[LWC])</f>
        <v>0</v>
      </c>
      <c r="V1926" s="178">
        <f>(FME_Ranking1[[#This Row],[LWC Raw]]/$U$2)*100</f>
        <v>0</v>
      </c>
      <c r="W1926" s="178">
        <f>FME_Ranking1[[#This Row],[LWC Score (Normalized, Unweighted)]]*$U$3</f>
        <v>0</v>
      </c>
      <c r="X1926" s="246">
        <f>_xlfn.XLOOKUP(FME_Ranking1[[#This Row],[FME ID]],FME_Input[FME_ID],FME_Input[ROADCLS])</f>
        <v>3</v>
      </c>
      <c r="Y1926" s="230">
        <f>(FME_Ranking1[[#This Row],[Closures Raw]]/$X$2)*100</f>
        <v>3.1542424561034593E-2</v>
      </c>
      <c r="Z1926" s="180">
        <f>FME_Ranking1[[#This Row],[Closures Score (Normalized, Unweighted)]]*$X$3</f>
        <v>1.5771212280517297E-3</v>
      </c>
      <c r="AA1926" s="253">
        <f>_xlfn.XLOOKUP(FME_Ranking1[[#This Row],[FME ID]],FME_Input[FME_ID],FME_Input[ROAD_MILES100])</f>
        <v>6.6698931157588959E-2</v>
      </c>
      <c r="AB1926" s="178">
        <f>(FME_Ranking1[[#This Row],[Miles Raw]]/$AA$2)*100</f>
        <v>8.769713145730996E-4</v>
      </c>
      <c r="AC1926" s="178">
        <f>FME_Ranking1[[#This Row],[Miles Score (Normalized, Unweighted)]]*$AA$3</f>
        <v>8.769713145730996E-5</v>
      </c>
      <c r="AD1926" s="255">
        <f>_xlfn.XLOOKUP(FME_Ranking1[[#This Row],[FME ID]],FME_Input[FME_ID],FME_Input[FARMACRE100])</f>
        <v>22.5116081237793</v>
      </c>
      <c r="AE1926" s="230">
        <f>(FME_Ranking1[[#This Row],[Ag Land Raw]]/$AD$2)*100</f>
        <v>9.28277945727837E-4</v>
      </c>
      <c r="AF1926" s="231">
        <f>FME_Ranking1[[#This Row],[Ag Land Score (Normalized, Unweighted)]]*$AD$3</f>
        <v>4.6413897286391853E-5</v>
      </c>
      <c r="AG192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1.7112322567954315E-3</v>
      </c>
      <c r="AH1926" s="406">
        <f t="shared" ref="AH1926:AH1989" si="30">_xlfn.RANK.EQ(AG1926,$AG$6:$AG$2341,0)</f>
        <v>1974</v>
      </c>
      <c r="AI192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1.7112322567954315E-3</v>
      </c>
      <c r="AJ1926" s="257">
        <f>FME_Ranking1[[#This Row],[Addition check]]-FME_Ranking1[[#This Row],[Weighted Score Based on Normalized Reported Factors]]</f>
        <v>0</v>
      </c>
      <c r="AK1926" s="178">
        <f>_xlfn.RANK.EQ(AI1926,$AI$6:$AI$2341,0)+COUNTIF($AI$6:AI1926,AI1926)-1</f>
        <v>1974</v>
      </c>
    </row>
    <row r="1927" spans="1:37" x14ac:dyDescent="0.25">
      <c r="A1927" t="s">
        <v>8903</v>
      </c>
      <c r="B1927">
        <f>_xlfn.XLOOKUP(FME_Ranking1[[#This Row],[FME ID]],FME_Input[FME_ID],FME_Input[RFPG_NUM])</f>
        <v>11</v>
      </c>
      <c r="C1927" t="str">
        <f>_xlfn.XLOOKUP(FME_Ranking1[[#This Row],[FME ID]],FME_Input[FME_ID],FME_Input[FME_NAME])</f>
        <v>City of Wimberley Leveritt’s Loop Low Water Crossing Project Planning</v>
      </c>
      <c r="D1927" t="str">
        <f>_xlfn.XLOOKUP(FME_Ranking1[[#This Row],[FME ID]],FME_Input[FME_ID],FME_Input[DESCR])</f>
        <v>Project planning for proposed project to replace low water crossing at Leveritt’s Loop</v>
      </c>
      <c r="E1927" s="256">
        <f>_xlfn.XLOOKUP(FME_Ranking1[[#This Row],[FME ID]],FME_Input[FME_ID],FME_Input[FME_COST])</f>
        <v>100000</v>
      </c>
      <c r="F1927" t="str">
        <f>_xlfn.XLOOKUP(FME_Ranking1[[#This Row],[FME ID]],FME_Input[FME_ID],FME_Input[EMER_NEED])</f>
        <v>No</v>
      </c>
      <c r="G1927">
        <f>IF(FME_Ranking!F1927="Yes",100,0)</f>
        <v>0</v>
      </c>
      <c r="H1927">
        <f>FME_Ranking1[[#This Row],[Emergency Need Score (Normalized, Unweighted)]]*$F$3</f>
        <v>0</v>
      </c>
      <c r="I1927" s="246">
        <f>_xlfn.XLOOKUP(FME_Ranking1[[#This Row],[FME ID]],FME_Input[FME_ID],FME_Input[STRUCT_100])</f>
        <v>9</v>
      </c>
      <c r="J1927" s="178">
        <f>(FME_Ranking1[[#This Row],[Structures 100 Raw]]/I$2)*100</f>
        <v>4.8194319496208714E-3</v>
      </c>
      <c r="K1927" s="178">
        <f>FME_Ranking1[[#This Row],[Structures 100  Score (Normalized, Unweighted)]]*$I$3</f>
        <v>7.2291479244313071E-4</v>
      </c>
      <c r="L1927" s="246">
        <f>_xlfn.XLOOKUP(FME_Ranking1[[#This Row],[FME ID]],FME_Input[FME_ID],FME_Input[RES_STRUCT100])</f>
        <v>9</v>
      </c>
      <c r="M1927" s="230">
        <f>(FME_Ranking1[[#This Row],[Res Structures Raw]]/L$2)*100</f>
        <v>6.3747503222790439E-3</v>
      </c>
      <c r="N1927" s="180">
        <f>FME_Ranking1[[#This Row],[Res Structures Score (Normalized, Unweighted)]]*$L$3</f>
        <v>6.3747503222790446E-4</v>
      </c>
      <c r="O1927" s="244">
        <f>_xlfn.XLOOKUP(FME_Ranking1[[#This Row],[FME ID]],FME_Input[FME_ID],FME_Input[POP100])</f>
        <v>16</v>
      </c>
      <c r="P1927" s="178">
        <f>(FME_Ranking1[[#This Row],[Pop Raw]]/$O$2)*100</f>
        <v>1.6380049918202125E-3</v>
      </c>
      <c r="Q1927" s="178">
        <f>FME_Ranking1[[#This Row],[Pop Score (Normalized, Unweighted)]]*$O$3</f>
        <v>2.4570074877303187E-4</v>
      </c>
      <c r="R1927" s="137">
        <f>_xlfn.XLOOKUP(FME_Ranking1[[#This Row],[FME ID]],FME_Input[FME_ID],FME_Input[CRITFAC100])</f>
        <v>0</v>
      </c>
      <c r="S1927" s="230">
        <f>(FME_Ranking1[[#This Row],[Critical Facilities Raw]]/$R$2)*100</f>
        <v>0</v>
      </c>
      <c r="T1927" s="180">
        <f>FME_Ranking1[[#This Row],[Critical Facilities Score (Normalized, Unweighted)]]*$R$3</f>
        <v>0</v>
      </c>
      <c r="U1927">
        <f>_xlfn.XLOOKUP(FME_Ranking1[[#This Row],[FME ID]],FME_Input[FME_ID],FME_Input[LWC])</f>
        <v>0</v>
      </c>
      <c r="V1927" s="178">
        <f>(FME_Ranking1[[#This Row],[LWC Raw]]/$U$2)*100</f>
        <v>0</v>
      </c>
      <c r="W1927" s="178">
        <f>FME_Ranking1[[#This Row],[LWC Score (Normalized, Unweighted)]]*$U$3</f>
        <v>0</v>
      </c>
      <c r="X1927" s="246">
        <f>_xlfn.XLOOKUP(FME_Ranking1[[#This Row],[FME ID]],FME_Input[FME_ID],FME_Input[ROADCLS])</f>
        <v>0</v>
      </c>
      <c r="Y1927" s="230">
        <f>(FME_Ranking1[[#This Row],[Closures Raw]]/$X$2)*100</f>
        <v>0</v>
      </c>
      <c r="Z1927" s="180">
        <f>FME_Ranking1[[#This Row],[Closures Score (Normalized, Unweighted)]]*$X$3</f>
        <v>0</v>
      </c>
      <c r="AA1927" s="253">
        <f>_xlfn.XLOOKUP(FME_Ranking1[[#This Row],[FME ID]],FME_Input[FME_ID],FME_Input[ROAD_MILES100])</f>
        <v>0.19731563329696661</v>
      </c>
      <c r="AB1927" s="178">
        <f>(FME_Ranking1[[#This Row],[Miles Raw]]/$AA$2)*100</f>
        <v>2.5943466756524788E-3</v>
      </c>
      <c r="AC1927" s="178">
        <f>FME_Ranking1[[#This Row],[Miles Score (Normalized, Unweighted)]]*$AA$3</f>
        <v>2.5943466756524788E-4</v>
      </c>
      <c r="AD1927" s="255">
        <f>_xlfn.XLOOKUP(FME_Ranking1[[#This Row],[FME ID]],FME_Input[FME_ID],FME_Input[FARMACRE100])</f>
        <v>0</v>
      </c>
      <c r="AE1927" s="230">
        <f>(FME_Ranking1[[#This Row],[Ag Land Raw]]/$AD$2)*100</f>
        <v>0</v>
      </c>
      <c r="AF1927" s="231">
        <f>FME_Ranking1[[#This Row],[Ag Land Score (Normalized, Unweighted)]]*$AD$3</f>
        <v>0</v>
      </c>
      <c r="AG192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1.8655252410093148E-3</v>
      </c>
      <c r="AH1927" s="406">
        <f t="shared" si="30"/>
        <v>1964</v>
      </c>
      <c r="AI192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1.8655252410093148E-3</v>
      </c>
      <c r="AJ1927" s="257">
        <f>FME_Ranking1[[#This Row],[Addition check]]-FME_Ranking1[[#This Row],[Weighted Score Based on Normalized Reported Factors]]</f>
        <v>0</v>
      </c>
      <c r="AK1927" s="178">
        <f>_xlfn.RANK.EQ(AI1927,$AI$6:$AI$2341,0)+COUNTIF($AI$6:AI1927,AI1927)-1</f>
        <v>1964</v>
      </c>
    </row>
    <row r="1928" spans="1:37" x14ac:dyDescent="0.25">
      <c r="A1928" t="s">
        <v>10673</v>
      </c>
      <c r="B1928">
        <f>_xlfn.XLOOKUP(FME_Ranking1[[#This Row],[FME ID]],FME_Input[FME_ID],FME_Input[RFPG_NUM])</f>
        <v>13</v>
      </c>
      <c r="C1928" t="str">
        <f>_xlfn.XLOOKUP(FME_Ranking1[[#This Row],[FME ID]],FME_Input[FME_ID],FME_Input[FME_NAME])</f>
        <v>Drainage Improvements - FM 1069 to McCampbell Slough</v>
      </c>
      <c r="D1928" t="str">
        <f>_xlfn.XLOOKUP(FME_Ranking1[[#This Row],[FME ID]],FME_Input[FME_ID],FME_Input[DESCR])</f>
        <v>Easement Acquisition and the design and construction of 10,000 LF of drainage channels along FM 1069 and from Morgan Lane and Mooney Lane to McCampbell Slough. Addresses the flood prone Mooney-Vickery area.</v>
      </c>
      <c r="E1928" s="256">
        <f>_xlfn.XLOOKUP(FME_Ranking1[[#This Row],[FME ID]],FME_Input[FME_ID],FME_Input[FME_COST])</f>
        <v>113000</v>
      </c>
      <c r="F1928" t="str">
        <f>_xlfn.XLOOKUP(FME_Ranking1[[#This Row],[FME ID]],FME_Input[FME_ID],FME_Input[EMER_NEED])</f>
        <v>Yes</v>
      </c>
      <c r="G1928">
        <f>IF(FME_Ranking!F1928="Yes",100,0)</f>
        <v>100</v>
      </c>
      <c r="H1928">
        <f>FME_Ranking1[[#This Row],[Emergency Need Score (Normalized, Unweighted)]]*$F$3</f>
        <v>0</v>
      </c>
      <c r="I1928" s="246">
        <f>_xlfn.XLOOKUP(FME_Ranking1[[#This Row],[FME ID]],FME_Input[FME_ID],FME_Input[STRUCT_100])</f>
        <v>0</v>
      </c>
      <c r="J1928" s="178">
        <f>(FME_Ranking1[[#This Row],[Structures 100 Raw]]/I$2)*100</f>
        <v>0</v>
      </c>
      <c r="K1928" s="178">
        <f>FME_Ranking1[[#This Row],[Structures 100  Score (Normalized, Unweighted)]]*$I$3</f>
        <v>0</v>
      </c>
      <c r="L1928" s="246">
        <f>_xlfn.XLOOKUP(FME_Ranking1[[#This Row],[FME ID]],FME_Input[FME_ID],FME_Input[RES_STRUCT100])</f>
        <v>0</v>
      </c>
      <c r="M1928" s="230">
        <f>(FME_Ranking1[[#This Row],[Res Structures Raw]]/L$2)*100</f>
        <v>0</v>
      </c>
      <c r="N1928" s="180">
        <f>FME_Ranking1[[#This Row],[Res Structures Score (Normalized, Unweighted)]]*$L$3</f>
        <v>0</v>
      </c>
      <c r="O1928" s="244">
        <f>_xlfn.XLOOKUP(FME_Ranking1[[#This Row],[FME ID]],FME_Input[FME_ID],FME_Input[POP100])</f>
        <v>0</v>
      </c>
      <c r="P1928" s="178">
        <f>(FME_Ranking1[[#This Row],[Pop Raw]]/$O$2)*100</f>
        <v>0</v>
      </c>
      <c r="Q1928" s="178">
        <f>FME_Ranking1[[#This Row],[Pop Score (Normalized, Unweighted)]]*$O$3</f>
        <v>0</v>
      </c>
      <c r="R1928" s="137">
        <f>_xlfn.XLOOKUP(FME_Ranking1[[#This Row],[FME ID]],FME_Input[FME_ID],FME_Input[CRITFAC100])</f>
        <v>0</v>
      </c>
      <c r="S1928" s="230">
        <f>(FME_Ranking1[[#This Row],[Critical Facilities Raw]]/$R$2)*100</f>
        <v>0</v>
      </c>
      <c r="T1928" s="180">
        <f>FME_Ranking1[[#This Row],[Critical Facilities Score (Normalized, Unweighted)]]*$R$3</f>
        <v>0</v>
      </c>
      <c r="U1928">
        <f>_xlfn.XLOOKUP(FME_Ranking1[[#This Row],[FME ID]],FME_Input[FME_ID],FME_Input[LWC])</f>
        <v>0</v>
      </c>
      <c r="V1928" s="178">
        <f>(FME_Ranking1[[#This Row],[LWC Raw]]/$U$2)*100</f>
        <v>0</v>
      </c>
      <c r="W1928" s="178">
        <f>FME_Ranking1[[#This Row],[LWC Score (Normalized, Unweighted)]]*$U$3</f>
        <v>0</v>
      </c>
      <c r="X1928" s="246">
        <f>_xlfn.XLOOKUP(FME_Ranking1[[#This Row],[FME ID]],FME_Input[FME_ID],FME_Input[ROADCLS])</f>
        <v>3</v>
      </c>
      <c r="Y1928" s="230">
        <f>(FME_Ranking1[[#This Row],[Closures Raw]]/$X$2)*100</f>
        <v>3.1542424561034593E-2</v>
      </c>
      <c r="Z1928" s="180">
        <f>FME_Ranking1[[#This Row],[Closures Score (Normalized, Unweighted)]]*$X$3</f>
        <v>1.5771212280517297E-3</v>
      </c>
      <c r="AA1928" s="253">
        <f>_xlfn.XLOOKUP(FME_Ranking1[[#This Row],[FME ID]],FME_Input[FME_ID],FME_Input[ROAD_MILES100])</f>
        <v>0.2662627100944519</v>
      </c>
      <c r="AB1928" s="178">
        <f>(FME_Ranking1[[#This Row],[Miles Raw]]/$AA$2)*100</f>
        <v>3.500877073151712E-3</v>
      </c>
      <c r="AC1928" s="178">
        <f>FME_Ranking1[[#This Row],[Miles Score (Normalized, Unweighted)]]*$AA$3</f>
        <v>3.5008770731517123E-4</v>
      </c>
      <c r="AD1928" s="255">
        <f>_xlfn.XLOOKUP(FME_Ranking1[[#This Row],[FME ID]],FME_Input[FME_ID],FME_Input[FARMACRE100])</f>
        <v>0.34242609143257141</v>
      </c>
      <c r="AE1928" s="230">
        <f>(FME_Ranking1[[#This Row],[Ag Land Raw]]/$AD$2)*100</f>
        <v>1.4120119139017586E-5</v>
      </c>
      <c r="AF1928" s="231">
        <f>FME_Ranking1[[#This Row],[Ag Land Score (Normalized, Unweighted)]]*$AD$3</f>
        <v>7.0600595695087929E-7</v>
      </c>
      <c r="AG192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1.927914941323852E-3</v>
      </c>
      <c r="AH1928" s="406">
        <f t="shared" si="30"/>
        <v>1963</v>
      </c>
      <c r="AI192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1.927914941323852E-3</v>
      </c>
      <c r="AJ1928" s="257">
        <f>FME_Ranking1[[#This Row],[Addition check]]-FME_Ranking1[[#This Row],[Weighted Score Based on Normalized Reported Factors]]</f>
        <v>0</v>
      </c>
      <c r="AK1928" s="178">
        <f>_xlfn.RANK.EQ(AI1928,$AI$6:$AI$2341,0)+COUNTIF($AI$6:AI1928,AI1928)-1</f>
        <v>1963</v>
      </c>
    </row>
    <row r="1929" spans="1:37" x14ac:dyDescent="0.25">
      <c r="A1929" t="s">
        <v>10310</v>
      </c>
      <c r="B1929">
        <f>_xlfn.XLOOKUP(FME_Ranking1[[#This Row],[FME ID]],FME_Input[FME_ID],FME_Input[RFPG_NUM])</f>
        <v>13</v>
      </c>
      <c r="C1929" t="str">
        <f>_xlfn.XLOOKUP(FME_Ranking1[[#This Row],[FME ID]],FME_Input[FME_ID],FME_Input[FME_NAME])</f>
        <v>Airport Rd - Recurring Flooding &amp; Project Location</v>
      </c>
      <c r="D1929" t="str">
        <f>_xlfn.XLOOKUP(FME_Ranking1[[#This Row],[FME ID]],FME_Input[FME_ID],FME_Input[DESCR])</f>
        <v>Improved drainage to reduce disruptions due to flooding in the vicinity of the Live Oak County Airport.  The area surrounding the airport is subject to flood inundation, thereby cutting off access to the airport and also on the future runway extension.</v>
      </c>
      <c r="E1929" s="256">
        <f>_xlfn.XLOOKUP(FME_Ranking1[[#This Row],[FME ID]],FME_Input[FME_ID],FME_Input[FME_COST])</f>
        <v>13000</v>
      </c>
      <c r="F1929" t="str">
        <f>_xlfn.XLOOKUP(FME_Ranking1[[#This Row],[FME ID]],FME_Input[FME_ID],FME_Input[EMER_NEED])</f>
        <v>Yes</v>
      </c>
      <c r="G1929">
        <f>IF(FME_Ranking!F1929="Yes",100,0)</f>
        <v>100</v>
      </c>
      <c r="H1929">
        <f>FME_Ranking1[[#This Row],[Emergency Need Score (Normalized, Unweighted)]]*$F$3</f>
        <v>0</v>
      </c>
      <c r="I1929" s="246">
        <f>_xlfn.XLOOKUP(FME_Ranking1[[#This Row],[FME ID]],FME_Input[FME_ID],FME_Input[STRUCT_100])</f>
        <v>0</v>
      </c>
      <c r="J1929" s="178">
        <f>(FME_Ranking1[[#This Row],[Structures 100 Raw]]/I$2)*100</f>
        <v>0</v>
      </c>
      <c r="K1929" s="178">
        <f>FME_Ranking1[[#This Row],[Structures 100  Score (Normalized, Unweighted)]]*$I$3</f>
        <v>0</v>
      </c>
      <c r="L1929" s="246">
        <f>_xlfn.XLOOKUP(FME_Ranking1[[#This Row],[FME ID]],FME_Input[FME_ID],FME_Input[RES_STRUCT100])</f>
        <v>0</v>
      </c>
      <c r="M1929" s="230">
        <f>(FME_Ranking1[[#This Row],[Res Structures Raw]]/L$2)*100</f>
        <v>0</v>
      </c>
      <c r="N1929" s="180">
        <f>FME_Ranking1[[#This Row],[Res Structures Score (Normalized, Unweighted)]]*$L$3</f>
        <v>0</v>
      </c>
      <c r="O1929" s="244">
        <f>_xlfn.XLOOKUP(FME_Ranking1[[#This Row],[FME ID]],FME_Input[FME_ID],FME_Input[POP100])</f>
        <v>0</v>
      </c>
      <c r="P1929" s="178">
        <f>(FME_Ranking1[[#This Row],[Pop Raw]]/$O$2)*100</f>
        <v>0</v>
      </c>
      <c r="Q1929" s="178">
        <f>FME_Ranking1[[#This Row],[Pop Score (Normalized, Unweighted)]]*$O$3</f>
        <v>0</v>
      </c>
      <c r="R1929" s="137">
        <f>_xlfn.XLOOKUP(FME_Ranking1[[#This Row],[FME ID]],FME_Input[FME_ID],FME_Input[CRITFAC100])</f>
        <v>0</v>
      </c>
      <c r="S1929" s="230">
        <f>(FME_Ranking1[[#This Row],[Critical Facilities Raw]]/$R$2)*100</f>
        <v>0</v>
      </c>
      <c r="T1929" s="180">
        <f>FME_Ranking1[[#This Row],[Critical Facilities Score (Normalized, Unweighted)]]*$R$3</f>
        <v>0</v>
      </c>
      <c r="U1929">
        <f>_xlfn.XLOOKUP(FME_Ranking1[[#This Row],[FME ID]],FME_Input[FME_ID],FME_Input[LWC])</f>
        <v>0</v>
      </c>
      <c r="V1929" s="178">
        <f>(FME_Ranking1[[#This Row],[LWC Raw]]/$U$2)*100</f>
        <v>0</v>
      </c>
      <c r="W1929" s="178">
        <f>FME_Ranking1[[#This Row],[LWC Score (Normalized, Unweighted)]]*$U$3</f>
        <v>0</v>
      </c>
      <c r="X1929" s="246">
        <f>_xlfn.XLOOKUP(FME_Ranking1[[#This Row],[FME ID]],FME_Input[FME_ID],FME_Input[ROADCLS])</f>
        <v>3</v>
      </c>
      <c r="Y1929" s="230">
        <f>(FME_Ranking1[[#This Row],[Closures Raw]]/$X$2)*100</f>
        <v>3.1542424561034593E-2</v>
      </c>
      <c r="Z1929" s="180">
        <f>FME_Ranking1[[#This Row],[Closures Score (Normalized, Unweighted)]]*$X$3</f>
        <v>1.5771212280517297E-3</v>
      </c>
      <c r="AA1929" s="253">
        <f>_xlfn.XLOOKUP(FME_Ranking1[[#This Row],[FME ID]],FME_Input[FME_ID],FME_Input[ROAD_MILES100])</f>
        <v>0.40890258550643921</v>
      </c>
      <c r="AB1929" s="178">
        <f>(FME_Ranking1[[#This Row],[Miles Raw]]/$AA$2)*100</f>
        <v>5.3763355981922729E-3</v>
      </c>
      <c r="AC1929" s="178">
        <f>FME_Ranking1[[#This Row],[Miles Score (Normalized, Unweighted)]]*$AA$3</f>
        <v>5.3763355981922736E-4</v>
      </c>
      <c r="AD1929" s="255">
        <f>_xlfn.XLOOKUP(FME_Ranking1[[#This Row],[FME ID]],FME_Input[FME_ID],FME_Input[FARMACRE100])</f>
        <v>0.104252852499485</v>
      </c>
      <c r="AE1929" s="230">
        <f>(FME_Ranking1[[#This Row],[Ag Land Raw]]/$AD$2)*100</f>
        <v>4.2989209487999123E-6</v>
      </c>
      <c r="AF1929" s="231">
        <f>FME_Ranking1[[#This Row],[Ag Land Score (Normalized, Unweighted)]]*$AD$3</f>
        <v>2.1494604743999562E-7</v>
      </c>
      <c r="AG192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2.1149697339183974E-3</v>
      </c>
      <c r="AH1929" s="406">
        <f t="shared" si="30"/>
        <v>1950</v>
      </c>
      <c r="AI192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2.1149697339183974E-3</v>
      </c>
      <c r="AJ1929" s="257">
        <f>FME_Ranking1[[#This Row],[Addition check]]-FME_Ranking1[[#This Row],[Weighted Score Based on Normalized Reported Factors]]</f>
        <v>0</v>
      </c>
      <c r="AK1929" s="178">
        <f>_xlfn.RANK.EQ(AI1929,$AI$6:$AI$2341,0)+COUNTIF($AI$6:AI1929,AI1929)-1</f>
        <v>1950</v>
      </c>
    </row>
    <row r="1930" spans="1:37" x14ac:dyDescent="0.25">
      <c r="A1930" t="s">
        <v>166</v>
      </c>
      <c r="B1930">
        <f>_xlfn.XLOOKUP(FME_Ranking1[[#This Row],[FME ID]],FME_Input[FME_ID],FME_Input[RFPG_NUM])</f>
        <v>10</v>
      </c>
      <c r="C1930" t="str">
        <f>_xlfn.XLOOKUP(FME_Ranking1[[#This Row],[FME ID]],FME_Input[FME_ID],FME_Input[FME_NAME])</f>
        <v>CR 332 Drainage Improvements</v>
      </c>
      <c r="D1930" t="str">
        <f>_xlfn.XLOOKUP(FME_Ranking1[[#This Row],[FME ID]],FME_Input[FME_ID],FME_Input[DESCR])</f>
        <v>Implement drainage improvement program along CR 332</v>
      </c>
      <c r="E1930" s="256">
        <f>_xlfn.XLOOKUP(FME_Ranking1[[#This Row],[FME ID]],FME_Input[FME_ID],FME_Input[FME_COST])</f>
        <v>50000</v>
      </c>
      <c r="F1930" t="str">
        <f>_xlfn.XLOOKUP(FME_Ranking1[[#This Row],[FME ID]],FME_Input[FME_ID],FME_Input[EMER_NEED])</f>
        <v>No</v>
      </c>
      <c r="G1930">
        <f>IF(FME_Ranking!F1930="Yes",100,0)</f>
        <v>0</v>
      </c>
      <c r="H1930">
        <f>FME_Ranking1[[#This Row],[Emergency Need Score (Normalized, Unweighted)]]*$F$3</f>
        <v>0</v>
      </c>
      <c r="I1930" s="246">
        <f>_xlfn.XLOOKUP(FME_Ranking1[[#This Row],[FME ID]],FME_Input[FME_ID],FME_Input[STRUCT_100])</f>
        <v>9</v>
      </c>
      <c r="J1930" s="178">
        <f>(FME_Ranking1[[#This Row],[Structures 100 Raw]]/I$2)*100</f>
        <v>4.8194319496208714E-3</v>
      </c>
      <c r="K1930" s="178">
        <f>FME_Ranking1[[#This Row],[Structures 100  Score (Normalized, Unweighted)]]*$I$3</f>
        <v>7.2291479244313071E-4</v>
      </c>
      <c r="L1930" s="246">
        <f>_xlfn.XLOOKUP(FME_Ranking1[[#This Row],[FME ID]],FME_Input[FME_ID],FME_Input[RES_STRUCT100])</f>
        <v>8</v>
      </c>
      <c r="M1930" s="230">
        <f>(FME_Ranking1[[#This Row],[Res Structures Raw]]/L$2)*100</f>
        <v>5.666444730914706E-3</v>
      </c>
      <c r="N1930" s="180">
        <f>FME_Ranking1[[#This Row],[Res Structures Score (Normalized, Unweighted)]]*$L$3</f>
        <v>5.6664447309147067E-4</v>
      </c>
      <c r="O1930" s="244">
        <f>_xlfn.XLOOKUP(FME_Ranking1[[#This Row],[FME ID]],FME_Input[FME_ID],FME_Input[POP100])</f>
        <v>16</v>
      </c>
      <c r="P1930" s="178">
        <f>(FME_Ranking1[[#This Row],[Pop Raw]]/$O$2)*100</f>
        <v>1.6380049918202125E-3</v>
      </c>
      <c r="Q1930" s="178">
        <f>FME_Ranking1[[#This Row],[Pop Score (Normalized, Unweighted)]]*$O$3</f>
        <v>2.4570074877303187E-4</v>
      </c>
      <c r="R1930" s="137">
        <f>_xlfn.XLOOKUP(FME_Ranking1[[#This Row],[FME ID]],FME_Input[FME_ID],FME_Input[CRITFAC100])</f>
        <v>0</v>
      </c>
      <c r="S1930" s="230">
        <f>(FME_Ranking1[[#This Row],[Critical Facilities Raw]]/$R$2)*100</f>
        <v>0</v>
      </c>
      <c r="T1930" s="180">
        <f>FME_Ranking1[[#This Row],[Critical Facilities Score (Normalized, Unweighted)]]*$R$3</f>
        <v>0</v>
      </c>
      <c r="U1930">
        <f>_xlfn.XLOOKUP(FME_Ranking1[[#This Row],[FME ID]],FME_Input[FME_ID],FME_Input[LWC])</f>
        <v>0</v>
      </c>
      <c r="V1930" s="178">
        <f>(FME_Ranking1[[#This Row],[LWC Raw]]/$U$2)*100</f>
        <v>0</v>
      </c>
      <c r="W1930" s="178">
        <f>FME_Ranking1[[#This Row],[LWC Score (Normalized, Unweighted)]]*$U$3</f>
        <v>0</v>
      </c>
      <c r="X1930" s="246">
        <f>_xlfn.XLOOKUP(FME_Ranking1[[#This Row],[FME ID]],FME_Input[FME_ID],FME_Input[ROADCLS])</f>
        <v>0</v>
      </c>
      <c r="Y1930" s="230">
        <f>(FME_Ranking1[[#This Row],[Closures Raw]]/$X$2)*100</f>
        <v>0</v>
      </c>
      <c r="Z1930" s="180">
        <f>FME_Ranking1[[#This Row],[Closures Score (Normalized, Unweighted)]]*$X$3</f>
        <v>0</v>
      </c>
      <c r="AA1930" s="253">
        <f>_xlfn.XLOOKUP(FME_Ranking1[[#This Row],[FME ID]],FME_Input[FME_ID],FME_Input[ROAD_MILES100])</f>
        <v>2.8921599388122559</v>
      </c>
      <c r="AB1930" s="178">
        <f>(FME_Ranking1[[#This Row],[Miles Raw]]/$AA$2)*100</f>
        <v>3.8026715863006093E-2</v>
      </c>
      <c r="AC1930" s="178">
        <f>FME_Ranking1[[#This Row],[Miles Score (Normalized, Unweighted)]]*$AA$3</f>
        <v>3.8026715863006093E-3</v>
      </c>
      <c r="AD1930" s="255">
        <f>_xlfn.XLOOKUP(FME_Ranking1[[#This Row],[FME ID]],FME_Input[FME_ID],FME_Input[FARMACRE100])</f>
        <v>14.67249011993408</v>
      </c>
      <c r="AE1930" s="230">
        <f>(FME_Ranking1[[#This Row],[Ag Land Raw]]/$AD$2)*100</f>
        <v>6.0502781108992629E-4</v>
      </c>
      <c r="AF1930" s="231">
        <f>FME_Ranking1[[#This Row],[Ag Land Score (Normalized, Unweighted)]]*$AD$3</f>
        <v>3.0251390554496315E-5</v>
      </c>
      <c r="AG193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5.3681829911627387E-3</v>
      </c>
      <c r="AH1930" s="406">
        <f t="shared" si="30"/>
        <v>1827</v>
      </c>
      <c r="AI193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5.3681829911627387E-3</v>
      </c>
      <c r="AJ1930" s="257">
        <f>FME_Ranking1[[#This Row],[Addition check]]-FME_Ranking1[[#This Row],[Weighted Score Based on Normalized Reported Factors]]</f>
        <v>0</v>
      </c>
      <c r="AK1930" s="178">
        <f>_xlfn.RANK.EQ(AI1930,$AI$6:$AI$2341,0)+COUNTIF($AI$6:AI1930,AI1930)-1</f>
        <v>1827</v>
      </c>
    </row>
    <row r="1931" spans="1:37" x14ac:dyDescent="0.25">
      <c r="A1931" t="s">
        <v>3381</v>
      </c>
      <c r="B1931">
        <f>_xlfn.XLOOKUP(FME_Ranking1[[#This Row],[FME ID]],FME_Input[FME_ID],FME_Input[RFPG_NUM])</f>
        <v>1</v>
      </c>
      <c r="C1931" t="str">
        <f>_xlfn.XLOOKUP(FME_Ranking1[[#This Row],[FME ID]],FME_Input[FME_ID],FME_Input[FME_NAME])</f>
        <v>Playa 8 Watershed Study (City of Amarillo)</v>
      </c>
      <c r="D1931" t="str">
        <f>_xlfn.XLOOKUP(FME_Ranking1[[#This Row],[FME ID]],FME_Input[FME_ID],FME_Input[DESCR])</f>
        <v>Perform H&amp;H modeling, develop conceptual alternatives and OPCC, and rank projects. Marked as high priority in 2019 Amarillo DMP</v>
      </c>
      <c r="E1931" s="256">
        <f>_xlfn.XLOOKUP(FME_Ranking1[[#This Row],[FME ID]],FME_Input[FME_ID],FME_Input[FME_COST])</f>
        <v>284000</v>
      </c>
      <c r="F1931" t="str">
        <f>_xlfn.XLOOKUP(FME_Ranking1[[#This Row],[FME ID]],FME_Input[FME_ID],FME_Input[EMER_NEED])</f>
        <v>No</v>
      </c>
      <c r="G1931">
        <f>IF(FME_Ranking!F1931="Yes",100,0)</f>
        <v>0</v>
      </c>
      <c r="H1931">
        <f>FME_Ranking1[[#This Row],[Emergency Need Score (Normalized, Unweighted)]]*$F$3</f>
        <v>0</v>
      </c>
      <c r="I1931" s="246">
        <f>_xlfn.XLOOKUP(FME_Ranking1[[#This Row],[FME ID]],FME_Input[FME_ID],FME_Input[STRUCT_100])</f>
        <v>7</v>
      </c>
      <c r="J1931" s="178">
        <f>(FME_Ranking1[[#This Row],[Structures 100 Raw]]/I$2)*100</f>
        <v>3.7484470719273445E-3</v>
      </c>
      <c r="K1931" s="178">
        <f>FME_Ranking1[[#This Row],[Structures 100  Score (Normalized, Unweighted)]]*$I$3</f>
        <v>5.622670607891017E-4</v>
      </c>
      <c r="L1931" s="246">
        <f>_xlfn.XLOOKUP(FME_Ranking1[[#This Row],[FME ID]],FME_Input[FME_ID],FME_Input[RES_STRUCT100])</f>
        <v>5</v>
      </c>
      <c r="M1931" s="230">
        <f>(FME_Ranking1[[#This Row],[Res Structures Raw]]/L$2)*100</f>
        <v>3.5415279568216909E-3</v>
      </c>
      <c r="N1931" s="180">
        <f>FME_Ranking1[[#This Row],[Res Structures Score (Normalized, Unweighted)]]*$L$3</f>
        <v>3.5415279568216913E-4</v>
      </c>
      <c r="O1931" s="244">
        <f>_xlfn.XLOOKUP(FME_Ranking1[[#This Row],[FME ID]],FME_Input[FME_ID],FME_Input[POP100])</f>
        <v>35</v>
      </c>
      <c r="P1931" s="178">
        <f>(FME_Ranking1[[#This Row],[Pop Raw]]/$O$2)*100</f>
        <v>3.5831359196067153E-3</v>
      </c>
      <c r="Q1931" s="178">
        <f>FME_Ranking1[[#This Row],[Pop Score (Normalized, Unweighted)]]*$O$3</f>
        <v>5.374703879410073E-4</v>
      </c>
      <c r="R1931" s="137">
        <f>_xlfn.XLOOKUP(FME_Ranking1[[#This Row],[FME ID]],FME_Input[FME_ID],FME_Input[CRITFAC100])</f>
        <v>0</v>
      </c>
      <c r="S1931" s="230">
        <f>(FME_Ranking1[[#This Row],[Critical Facilities Raw]]/$R$2)*100</f>
        <v>0</v>
      </c>
      <c r="T1931" s="180">
        <f>FME_Ranking1[[#This Row],[Critical Facilities Score (Normalized, Unweighted)]]*$R$3</f>
        <v>0</v>
      </c>
      <c r="U1931">
        <f>_xlfn.XLOOKUP(FME_Ranking1[[#This Row],[FME ID]],FME_Input[FME_ID],FME_Input[LWC])</f>
        <v>0</v>
      </c>
      <c r="V1931" s="178">
        <f>(FME_Ranking1[[#This Row],[LWC Raw]]/$U$2)*100</f>
        <v>0</v>
      </c>
      <c r="W1931" s="178">
        <f>FME_Ranking1[[#This Row],[LWC Score (Normalized, Unweighted)]]*$U$3</f>
        <v>0</v>
      </c>
      <c r="X1931" s="246">
        <f>_xlfn.XLOOKUP(FME_Ranking1[[#This Row],[FME ID]],FME_Input[FME_ID],FME_Input[ROADCLS])</f>
        <v>0</v>
      </c>
      <c r="Y1931" s="230">
        <f>(FME_Ranking1[[#This Row],[Closures Raw]]/$X$2)*100</f>
        <v>0</v>
      </c>
      <c r="Z1931" s="180">
        <f>FME_Ranking1[[#This Row],[Closures Score (Normalized, Unweighted)]]*$X$3</f>
        <v>0</v>
      </c>
      <c r="AA1931" s="253">
        <f>_xlfn.XLOOKUP(FME_Ranking1[[#This Row],[FME ID]],FME_Input[FME_ID],FME_Input[ROAD_MILES100])</f>
        <v>1.1790826320648189</v>
      </c>
      <c r="AB1931" s="178">
        <f>(FME_Ranking1[[#This Row],[Miles Raw]]/$AA$2)*100</f>
        <v>1.5502821827670987E-2</v>
      </c>
      <c r="AC1931" s="178">
        <f>FME_Ranking1[[#This Row],[Miles Score (Normalized, Unweighted)]]*$AA$3</f>
        <v>1.5502821827670988E-3</v>
      </c>
      <c r="AD1931" s="255">
        <f>_xlfn.XLOOKUP(FME_Ranking1[[#This Row],[FME ID]],FME_Input[FME_ID],FME_Input[FARMACRE100])</f>
        <v>53.919952392578118</v>
      </c>
      <c r="AE1931" s="230">
        <f>(FME_Ranking1[[#This Row],[Ag Land Raw]]/$AD$2)*100</f>
        <v>2.2234174638041016E-3</v>
      </c>
      <c r="AF1931" s="231">
        <f>FME_Ranking1[[#This Row],[Ag Land Score (Normalized, Unweighted)]]*$AD$3</f>
        <v>1.1117087319020509E-4</v>
      </c>
      <c r="AG193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3.1153433003695817E-3</v>
      </c>
      <c r="AH1931" s="406">
        <f t="shared" si="30"/>
        <v>1895</v>
      </c>
      <c r="AI193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3.1153433003695817E-3</v>
      </c>
      <c r="AJ1931" s="257">
        <f>FME_Ranking1[[#This Row],[Addition check]]-FME_Ranking1[[#This Row],[Weighted Score Based on Normalized Reported Factors]]</f>
        <v>0</v>
      </c>
      <c r="AK1931" s="178">
        <f>_xlfn.RANK.EQ(AI1931,$AI$6:$AI$2341,0)+COUNTIF($AI$6:AI1931,AI1931)-1</f>
        <v>1895</v>
      </c>
    </row>
    <row r="1932" spans="1:37" x14ac:dyDescent="0.25">
      <c r="A1932" t="s">
        <v>6257</v>
      </c>
      <c r="B1932">
        <f>_xlfn.XLOOKUP(FME_Ranking1[[#This Row],[FME ID]],FME_Input[FME_ID],FME_Input[RFPG_NUM])</f>
        <v>5</v>
      </c>
      <c r="C1932" t="str">
        <f>_xlfn.XLOOKUP(FME_Ranking1[[#This Row],[FME ID]],FME_Input[FME_ID],FME_Input[FME_NAME])</f>
        <v>Grannis Upgrade Pumping Equipment</v>
      </c>
      <c r="D1932" t="str">
        <f>_xlfn.XLOOKUP(FME_Ranking1[[#This Row],[FME ID]],FME_Input[FME_ID],FME_Input[DESCR])</f>
        <v xml:space="preserve">H&amp;H study to size pump upgrades and improve existing level of service. </v>
      </c>
      <c r="E1932" s="256">
        <f>_xlfn.XLOOKUP(FME_Ranking1[[#This Row],[FME ID]],FME_Input[FME_ID],FME_Input[FME_COST])</f>
        <v>100000</v>
      </c>
      <c r="F1932" t="str">
        <f>_xlfn.XLOOKUP(FME_Ranking1[[#This Row],[FME ID]],FME_Input[FME_ID],FME_Input[EMER_NEED])</f>
        <v>Yes</v>
      </c>
      <c r="G1932">
        <f>IF(FME_Ranking!F1932="Yes",100,0)</f>
        <v>100</v>
      </c>
      <c r="H1932">
        <f>FME_Ranking1[[#This Row],[Emergency Need Score (Normalized, Unweighted)]]*$F$3</f>
        <v>0</v>
      </c>
      <c r="I1932" s="246">
        <f>_xlfn.XLOOKUP(FME_Ranking1[[#This Row],[FME ID]],FME_Input[FME_ID],FME_Input[STRUCT_100])</f>
        <v>1</v>
      </c>
      <c r="J1932" s="178">
        <f>(FME_Ranking1[[#This Row],[Structures 100 Raw]]/I$2)*100</f>
        <v>5.3549243884676355E-4</v>
      </c>
      <c r="K1932" s="178">
        <f>FME_Ranking1[[#This Row],[Structures 100  Score (Normalized, Unweighted)]]*$I$3</f>
        <v>8.0323865827014533E-5</v>
      </c>
      <c r="L1932" s="246">
        <f>_xlfn.XLOOKUP(FME_Ranking1[[#This Row],[FME ID]],FME_Input[FME_ID],FME_Input[RES_STRUCT100])</f>
        <v>0</v>
      </c>
      <c r="M1932" s="230">
        <f>(FME_Ranking1[[#This Row],[Res Structures Raw]]/L$2)*100</f>
        <v>0</v>
      </c>
      <c r="N1932" s="180">
        <f>FME_Ranking1[[#This Row],[Res Structures Score (Normalized, Unweighted)]]*$L$3</f>
        <v>0</v>
      </c>
      <c r="O1932" s="244">
        <f>_xlfn.XLOOKUP(FME_Ranking1[[#This Row],[FME ID]],FME_Input[FME_ID],FME_Input[POP100])</f>
        <v>95</v>
      </c>
      <c r="P1932" s="178">
        <f>(FME_Ranking1[[#This Row],[Pop Raw]]/$O$2)*100</f>
        <v>9.7256546389325113E-3</v>
      </c>
      <c r="Q1932" s="178">
        <f>FME_Ranking1[[#This Row],[Pop Score (Normalized, Unweighted)]]*$O$3</f>
        <v>1.4588481958398767E-3</v>
      </c>
      <c r="R1932" s="137">
        <f>_xlfn.XLOOKUP(FME_Ranking1[[#This Row],[FME ID]],FME_Input[FME_ID],FME_Input[CRITFAC100])</f>
        <v>0</v>
      </c>
      <c r="S1932" s="230">
        <f>(FME_Ranking1[[#This Row],[Critical Facilities Raw]]/$R$2)*100</f>
        <v>0</v>
      </c>
      <c r="T1932" s="180">
        <f>FME_Ranking1[[#This Row],[Critical Facilities Score (Normalized, Unweighted)]]*$R$3</f>
        <v>0</v>
      </c>
      <c r="U1932">
        <f>_xlfn.XLOOKUP(FME_Ranking1[[#This Row],[FME ID]],FME_Input[FME_ID],FME_Input[LWC])</f>
        <v>0</v>
      </c>
      <c r="V1932" s="178">
        <f>(FME_Ranking1[[#This Row],[LWC Raw]]/$U$2)*100</f>
        <v>0</v>
      </c>
      <c r="W1932" s="178">
        <f>FME_Ranking1[[#This Row],[LWC Score (Normalized, Unweighted)]]*$U$3</f>
        <v>0</v>
      </c>
      <c r="X1932" s="246">
        <f>_xlfn.XLOOKUP(FME_Ranking1[[#This Row],[FME ID]],FME_Input[FME_ID],FME_Input[ROADCLS])</f>
        <v>0</v>
      </c>
      <c r="Y1932" s="230">
        <f>(FME_Ranking1[[#This Row],[Closures Raw]]/$X$2)*100</f>
        <v>0</v>
      </c>
      <c r="Z1932" s="180">
        <f>FME_Ranking1[[#This Row],[Closures Score (Normalized, Unweighted)]]*$X$3</f>
        <v>0</v>
      </c>
      <c r="AA1932" s="253">
        <f>_xlfn.XLOOKUP(FME_Ranking1[[#This Row],[FME ID]],FME_Input[FME_ID],FME_Input[ROAD_MILES100])</f>
        <v>4.7617871314287193E-2</v>
      </c>
      <c r="AB1932" s="178">
        <f>(FME_Ranking1[[#This Row],[Miles Raw]]/$AA$2)*100</f>
        <v>6.2608960112116817E-4</v>
      </c>
      <c r="AC1932" s="178">
        <f>FME_Ranking1[[#This Row],[Miles Score (Normalized, Unweighted)]]*$AA$3</f>
        <v>6.2608960112116825E-5</v>
      </c>
      <c r="AD1932" s="255">
        <f>_xlfn.XLOOKUP(FME_Ranking1[[#This Row],[FME ID]],FME_Input[FME_ID],FME_Input[FARMACRE100])</f>
        <v>0.2223948389291763</v>
      </c>
      <c r="AE1932" s="230">
        <f>(FME_Ranking1[[#This Row],[Ag Land Raw]]/$AD$2)*100</f>
        <v>9.1705676061222518E-6</v>
      </c>
      <c r="AF1932" s="231">
        <f>FME_Ranking1[[#This Row],[Ag Land Score (Normalized, Unweighted)]]*$AD$3</f>
        <v>4.5852838030611259E-7</v>
      </c>
      <c r="AG193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1.602239550159314E-3</v>
      </c>
      <c r="AH1932" s="406">
        <f t="shared" si="30"/>
        <v>1977</v>
      </c>
      <c r="AI193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1.602239550159314E-3</v>
      </c>
      <c r="AJ1932" s="257">
        <f>FME_Ranking1[[#This Row],[Addition check]]-FME_Ranking1[[#This Row],[Weighted Score Based on Normalized Reported Factors]]</f>
        <v>0</v>
      </c>
      <c r="AK1932" s="178">
        <f>_xlfn.RANK.EQ(AI1932,$AI$6:$AI$2341,0)+COUNTIF($AI$6:AI1932,AI1932)-1</f>
        <v>1977</v>
      </c>
    </row>
    <row r="1933" spans="1:37" x14ac:dyDescent="0.25">
      <c r="A1933" t="s">
        <v>7383</v>
      </c>
      <c r="B1933">
        <f>_xlfn.XLOOKUP(FME_Ranking1[[#This Row],[FME ID]],FME_Input[FME_ID],FME_Input[RFPG_NUM])</f>
        <v>7</v>
      </c>
      <c r="C1933" t="str">
        <f>_xlfn.XLOOKUP(FME_Ranking1[[#This Row],[FME ID]],FME_Input[FME_ID],FME_Input[FME_NAME])</f>
        <v>Idalou Playa Lake Improvements</v>
      </c>
      <c r="D1933" t="str">
        <f>_xlfn.XLOOKUP(FME_Ranking1[[#This Row],[FME ID]],FME_Input[FME_ID],FME_Input[DESCR])</f>
        <v>Establish native grass buffers around Playa Lakes to filter out soil and contaminants from flooding; replenish dry Playa Lakes to ensure protection of aquifers and mitigate declining water tables due to drought</v>
      </c>
      <c r="E1933" s="256">
        <f>_xlfn.XLOOKUP(FME_Ranking1[[#This Row],[FME ID]],FME_Input[FME_ID],FME_Input[FME_COST])</f>
        <v>100000</v>
      </c>
      <c r="F1933" t="str">
        <f>_xlfn.XLOOKUP(FME_Ranking1[[#This Row],[FME ID]],FME_Input[FME_ID],FME_Input[EMER_NEED])</f>
        <v>No</v>
      </c>
      <c r="G1933">
        <f>IF(FME_Ranking!F1933="Yes",100,0)</f>
        <v>0</v>
      </c>
      <c r="H1933">
        <f>FME_Ranking1[[#This Row],[Emergency Need Score (Normalized, Unweighted)]]*$F$3</f>
        <v>0</v>
      </c>
      <c r="I1933" s="246">
        <f>_xlfn.XLOOKUP(FME_Ranking1[[#This Row],[FME ID]],FME_Input[FME_ID],FME_Input[STRUCT_100])</f>
        <v>12</v>
      </c>
      <c r="J1933" s="178">
        <f>(FME_Ranking1[[#This Row],[Structures 100 Raw]]/I$2)*100</f>
        <v>6.4259092661611613E-3</v>
      </c>
      <c r="K1933" s="178">
        <f>FME_Ranking1[[#This Row],[Structures 100  Score (Normalized, Unweighted)]]*$I$3</f>
        <v>9.6388638992417417E-4</v>
      </c>
      <c r="L1933" s="246">
        <f>_xlfn.XLOOKUP(FME_Ranking1[[#This Row],[FME ID]],FME_Input[FME_ID],FME_Input[RES_STRUCT100])</f>
        <v>2</v>
      </c>
      <c r="M1933" s="230">
        <f>(FME_Ranking1[[#This Row],[Res Structures Raw]]/L$2)*100</f>
        <v>1.4166111827286765E-3</v>
      </c>
      <c r="N1933" s="180">
        <f>FME_Ranking1[[#This Row],[Res Structures Score (Normalized, Unweighted)]]*$L$3</f>
        <v>1.4166111827286767E-4</v>
      </c>
      <c r="O1933" s="244">
        <f>_xlfn.XLOOKUP(FME_Ranking1[[#This Row],[FME ID]],FME_Input[FME_ID],FME_Input[POP100])</f>
        <v>11</v>
      </c>
      <c r="P1933" s="178">
        <f>(FME_Ranking1[[#This Row],[Pop Raw]]/$O$2)*100</f>
        <v>1.1261284318763961E-3</v>
      </c>
      <c r="Q1933" s="178">
        <f>FME_Ranking1[[#This Row],[Pop Score (Normalized, Unweighted)]]*$O$3</f>
        <v>1.6891926478145941E-4</v>
      </c>
      <c r="R1933" s="137">
        <f>_xlfn.XLOOKUP(FME_Ranking1[[#This Row],[FME ID]],FME_Input[FME_ID],FME_Input[CRITFAC100])</f>
        <v>0</v>
      </c>
      <c r="S1933" s="230">
        <f>(FME_Ranking1[[#This Row],[Critical Facilities Raw]]/$R$2)*100</f>
        <v>0</v>
      </c>
      <c r="T1933" s="180">
        <f>FME_Ranking1[[#This Row],[Critical Facilities Score (Normalized, Unweighted)]]*$R$3</f>
        <v>0</v>
      </c>
      <c r="U1933">
        <f>_xlfn.XLOOKUP(FME_Ranking1[[#This Row],[FME ID]],FME_Input[FME_ID],FME_Input[LWC])</f>
        <v>0</v>
      </c>
      <c r="V1933" s="178">
        <f>(FME_Ranking1[[#This Row],[LWC Raw]]/$U$2)*100</f>
        <v>0</v>
      </c>
      <c r="W1933" s="178">
        <f>FME_Ranking1[[#This Row],[LWC Score (Normalized, Unweighted)]]*$U$3</f>
        <v>0</v>
      </c>
      <c r="X1933" s="246">
        <f>_xlfn.XLOOKUP(FME_Ranking1[[#This Row],[FME ID]],FME_Input[FME_ID],FME_Input[ROADCLS])</f>
        <v>0</v>
      </c>
      <c r="Y1933" s="230">
        <f>(FME_Ranking1[[#This Row],[Closures Raw]]/$X$2)*100</f>
        <v>0</v>
      </c>
      <c r="Z1933" s="180">
        <f>FME_Ranking1[[#This Row],[Closures Score (Normalized, Unweighted)]]*$X$3</f>
        <v>0</v>
      </c>
      <c r="AA1933" s="253">
        <f>_xlfn.XLOOKUP(FME_Ranking1[[#This Row],[FME ID]],FME_Input[FME_ID],FME_Input[ROAD_MILES100])</f>
        <v>0.17670358717441559</v>
      </c>
      <c r="AB1933" s="178">
        <f>(FME_Ranking1[[#This Row],[Miles Raw]]/$AA$2)*100</f>
        <v>2.3233352385812235E-3</v>
      </c>
      <c r="AC1933" s="178">
        <f>FME_Ranking1[[#This Row],[Miles Score (Normalized, Unweighted)]]*$AA$3</f>
        <v>2.3233352385812237E-4</v>
      </c>
      <c r="AD1933" s="255">
        <f>_xlfn.XLOOKUP(FME_Ranking1[[#This Row],[FME ID]],FME_Input[FME_ID],FME_Input[FARMACRE100])</f>
        <v>118.6619338989258</v>
      </c>
      <c r="AE1933" s="230">
        <f>(FME_Ranking1[[#This Row],[Ag Land Raw]]/$AD$2)*100</f>
        <v>4.8930869634068045E-3</v>
      </c>
      <c r="AF1933" s="231">
        <f>FME_Ranking1[[#This Row],[Ag Land Score (Normalized, Unweighted)]]*$AD$3</f>
        <v>2.4465434817034023E-4</v>
      </c>
      <c r="AG193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1.7514546450069638E-3</v>
      </c>
      <c r="AH1933" s="406">
        <f t="shared" si="30"/>
        <v>1973</v>
      </c>
      <c r="AI193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1.7514546450069638E-3</v>
      </c>
      <c r="AJ1933" s="257">
        <f>FME_Ranking1[[#This Row],[Addition check]]-FME_Ranking1[[#This Row],[Weighted Score Based on Normalized Reported Factors]]</f>
        <v>0</v>
      </c>
      <c r="AK1933" s="178">
        <f>_xlfn.RANK.EQ(AI1933,$AI$6:$AI$2341,0)+COUNTIF($AI$6:AI1933,AI1933)-1</f>
        <v>1973</v>
      </c>
    </row>
    <row r="1934" spans="1:37" x14ac:dyDescent="0.25">
      <c r="A1934" t="s">
        <v>3703</v>
      </c>
      <c r="B1934">
        <f>_xlfn.XLOOKUP(FME_Ranking1[[#This Row],[FME ID]],FME_Input[FME_ID],FME_Input[RFPG_NUM])</f>
        <v>2</v>
      </c>
      <c r="C1934" t="str">
        <f>_xlfn.XLOOKUP(FME_Ranking1[[#This Row],[FME ID]],FME_Input[FME_ID],FME_Input[FME_NAME])</f>
        <v>Stream WC-1</v>
      </c>
      <c r="D1934" t="str">
        <f>_xlfn.XLOOKUP(FME_Ranking1[[#This Row],[FME ID]],FME_Input[FME_ID],FME_Input[DESCR])</f>
        <v>Street flooding near McKnight and Jonathan Street. Storm drain system evaluation and development of alternatives to increase community access for 40-50 houses.</v>
      </c>
      <c r="E1934" s="256">
        <f>_xlfn.XLOOKUP(FME_Ranking1[[#This Row],[FME ID]],FME_Input[FME_ID],FME_Input[FME_COST])</f>
        <v>250000</v>
      </c>
      <c r="F1934" t="str">
        <f>_xlfn.XLOOKUP(FME_Ranking1[[#This Row],[FME ID]],FME_Input[FME_ID],FME_Input[EMER_NEED])</f>
        <v>No</v>
      </c>
      <c r="G1934">
        <f>IF(FME_Ranking!F1934="Yes",100,0)</f>
        <v>0</v>
      </c>
      <c r="H1934">
        <f>FME_Ranking1[[#This Row],[Emergency Need Score (Normalized, Unweighted)]]*$F$3</f>
        <v>0</v>
      </c>
      <c r="I1934" s="246">
        <f>_xlfn.XLOOKUP(FME_Ranking1[[#This Row],[FME ID]],FME_Input[FME_ID],FME_Input[STRUCT_100])</f>
        <v>8</v>
      </c>
      <c r="J1934" s="178">
        <f>(FME_Ranking1[[#This Row],[Structures 100 Raw]]/I$2)*100</f>
        <v>4.2839395107741084E-3</v>
      </c>
      <c r="K1934" s="178">
        <f>FME_Ranking1[[#This Row],[Structures 100  Score (Normalized, Unweighted)]]*$I$3</f>
        <v>6.4259092661611626E-4</v>
      </c>
      <c r="L1934" s="246">
        <f>_xlfn.XLOOKUP(FME_Ranking1[[#This Row],[FME ID]],FME_Input[FME_ID],FME_Input[RES_STRUCT100])</f>
        <v>4</v>
      </c>
      <c r="M1934" s="230">
        <f>(FME_Ranking1[[#This Row],[Res Structures Raw]]/L$2)*100</f>
        <v>2.833222365457353E-3</v>
      </c>
      <c r="N1934" s="180">
        <f>FME_Ranking1[[#This Row],[Res Structures Score (Normalized, Unweighted)]]*$L$3</f>
        <v>2.8332223654573533E-4</v>
      </c>
      <c r="O1934" s="244">
        <f>_xlfn.XLOOKUP(FME_Ranking1[[#This Row],[FME ID]],FME_Input[FME_ID],FME_Input[POP100])</f>
        <v>37</v>
      </c>
      <c r="P1934" s="178">
        <f>(FME_Ranking1[[#This Row],[Pop Raw]]/$O$2)*100</f>
        <v>3.7878865435842413E-3</v>
      </c>
      <c r="Q1934" s="178">
        <f>FME_Ranking1[[#This Row],[Pop Score (Normalized, Unweighted)]]*$O$3</f>
        <v>5.6818298153763619E-4</v>
      </c>
      <c r="R1934" s="137">
        <f>_xlfn.XLOOKUP(FME_Ranking1[[#This Row],[FME ID]],FME_Input[FME_ID],FME_Input[CRITFAC100])</f>
        <v>0</v>
      </c>
      <c r="S1934" s="230">
        <f>(FME_Ranking1[[#This Row],[Critical Facilities Raw]]/$R$2)*100</f>
        <v>0</v>
      </c>
      <c r="T1934" s="180">
        <f>FME_Ranking1[[#This Row],[Critical Facilities Score (Normalized, Unweighted)]]*$R$3</f>
        <v>0</v>
      </c>
      <c r="U1934">
        <f>_xlfn.XLOOKUP(FME_Ranking1[[#This Row],[FME ID]],FME_Input[FME_ID],FME_Input[LWC])</f>
        <v>0</v>
      </c>
      <c r="V1934" s="178">
        <f>(FME_Ranking1[[#This Row],[LWC Raw]]/$U$2)*100</f>
        <v>0</v>
      </c>
      <c r="W1934" s="178">
        <f>FME_Ranking1[[#This Row],[LWC Score (Normalized, Unweighted)]]*$U$3</f>
        <v>0</v>
      </c>
      <c r="X1934" s="246">
        <f>_xlfn.XLOOKUP(FME_Ranking1[[#This Row],[FME ID]],FME_Input[FME_ID],FME_Input[ROADCLS])</f>
        <v>0</v>
      </c>
      <c r="Y1934" s="230">
        <f>(FME_Ranking1[[#This Row],[Closures Raw]]/$X$2)*100</f>
        <v>0</v>
      </c>
      <c r="Z1934" s="180">
        <f>FME_Ranking1[[#This Row],[Closures Score (Normalized, Unweighted)]]*$X$3</f>
        <v>0</v>
      </c>
      <c r="AA1934" s="253">
        <f>_xlfn.XLOOKUP(FME_Ranking1[[#This Row],[FME ID]],FME_Input[FME_ID],FME_Input[ROAD_MILES100])</f>
        <v>0.52353817224502563</v>
      </c>
      <c r="AB1934" s="178">
        <f>(FME_Ranking1[[#This Row],[Miles Raw]]/$AA$2)*100</f>
        <v>6.8835879552273556E-3</v>
      </c>
      <c r="AC1934" s="178">
        <f>FME_Ranking1[[#This Row],[Miles Score (Normalized, Unweighted)]]*$AA$3</f>
        <v>6.883587955227356E-4</v>
      </c>
      <c r="AD1934" s="255">
        <f>_xlfn.XLOOKUP(FME_Ranking1[[#This Row],[FME ID]],FME_Input[FME_ID],FME_Input[FARMACRE100])</f>
        <v>4.3112959861755371</v>
      </c>
      <c r="AE1934" s="230">
        <f>(FME_Ranking1[[#This Row],[Ag Land Raw]]/$AD$2)*100</f>
        <v>1.7777854693749073E-4</v>
      </c>
      <c r="AF1934" s="231">
        <f>FME_Ranking1[[#This Row],[Ag Land Score (Normalized, Unweighted)]]*$AD$3</f>
        <v>8.8889273468745366E-6</v>
      </c>
      <c r="AG193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2.1913438675690978E-3</v>
      </c>
      <c r="AH1934" s="406">
        <f t="shared" si="30"/>
        <v>1947</v>
      </c>
      <c r="AI193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2.1913438675690978E-3</v>
      </c>
      <c r="AJ1934" s="257">
        <f>FME_Ranking1[[#This Row],[Addition check]]-FME_Ranking1[[#This Row],[Weighted Score Based on Normalized Reported Factors]]</f>
        <v>0</v>
      </c>
      <c r="AK1934" s="178">
        <f>_xlfn.RANK.EQ(AI1934,$AI$6:$AI$2341,0)+COUNTIF($AI$6:AI1934,AI1934)-1</f>
        <v>1947</v>
      </c>
    </row>
    <row r="1935" spans="1:37" x14ac:dyDescent="0.25">
      <c r="A1935" t="s">
        <v>9618</v>
      </c>
      <c r="B1935">
        <f>_xlfn.XLOOKUP(FME_Ranking1[[#This Row],[FME ID]],FME_Input[FME_ID],FME_Input[RFPG_NUM])</f>
        <v>12</v>
      </c>
      <c r="C1935" t="str">
        <f>_xlfn.XLOOKUP(FME_Ranking1[[#This Row],[FME ID]],FME_Input[FME_ID],FME_Input[FME_NAME])</f>
        <v>Goliad Damage Center A</v>
      </c>
      <c r="D1935" t="str">
        <f>_xlfn.XLOOKUP(FME_Ranking1[[#This Row],[FME ID]],FME_Input[FME_ID],FME_Input[DESCR])</f>
        <v>Vegetated swales along Bungalow Ave and N San Patricio St</v>
      </c>
      <c r="E1935" s="256">
        <f>_xlfn.XLOOKUP(FME_Ranking1[[#This Row],[FME ID]],FME_Input[FME_ID],FME_Input[FME_COST])</f>
        <v>50000</v>
      </c>
      <c r="F1935" t="str">
        <f>_xlfn.XLOOKUP(FME_Ranking1[[#This Row],[FME ID]],FME_Input[FME_ID],FME_Input[EMER_NEED])</f>
        <v>No</v>
      </c>
      <c r="G1935">
        <f>IF(FME_Ranking!F1935="Yes",100,0)</f>
        <v>0</v>
      </c>
      <c r="H1935">
        <f>FME_Ranking1[[#This Row],[Emergency Need Score (Normalized, Unweighted)]]*$F$3</f>
        <v>0</v>
      </c>
      <c r="I1935" s="246">
        <f>_xlfn.XLOOKUP(FME_Ranking1[[#This Row],[FME ID]],FME_Input[FME_ID],FME_Input[STRUCT_100])</f>
        <v>3</v>
      </c>
      <c r="J1935" s="178">
        <f>(FME_Ranking1[[#This Row],[Structures 100 Raw]]/I$2)*100</f>
        <v>1.6064773165402903E-3</v>
      </c>
      <c r="K1935" s="178">
        <f>FME_Ranking1[[#This Row],[Structures 100  Score (Normalized, Unweighted)]]*$I$3</f>
        <v>2.4097159748104354E-4</v>
      </c>
      <c r="L1935" s="246">
        <f>_xlfn.XLOOKUP(FME_Ranking1[[#This Row],[FME ID]],FME_Input[FME_ID],FME_Input[RES_STRUCT100])</f>
        <v>2</v>
      </c>
      <c r="M1935" s="230">
        <f>(FME_Ranking1[[#This Row],[Res Structures Raw]]/L$2)*100</f>
        <v>1.4166111827286765E-3</v>
      </c>
      <c r="N1935" s="180">
        <f>FME_Ranking1[[#This Row],[Res Structures Score (Normalized, Unweighted)]]*$L$3</f>
        <v>1.4166111827286767E-4</v>
      </c>
      <c r="O1935" s="244">
        <f>_xlfn.XLOOKUP(FME_Ranking1[[#This Row],[FME ID]],FME_Input[FME_ID],FME_Input[POP100])</f>
        <v>4</v>
      </c>
      <c r="P1935" s="178">
        <f>(FME_Ranking1[[#This Row],[Pop Raw]]/$O$2)*100</f>
        <v>4.0950124795505313E-4</v>
      </c>
      <c r="Q1935" s="178">
        <f>FME_Ranking1[[#This Row],[Pop Score (Normalized, Unweighted)]]*$O$3</f>
        <v>6.1425187193257967E-5</v>
      </c>
      <c r="R1935" s="137">
        <f>_xlfn.XLOOKUP(FME_Ranking1[[#This Row],[FME ID]],FME_Input[FME_ID],FME_Input[CRITFAC100])</f>
        <v>0</v>
      </c>
      <c r="S1935" s="230">
        <f>(FME_Ranking1[[#This Row],[Critical Facilities Raw]]/$R$2)*100</f>
        <v>0</v>
      </c>
      <c r="T1935" s="180">
        <f>FME_Ranking1[[#This Row],[Critical Facilities Score (Normalized, Unweighted)]]*$R$3</f>
        <v>0</v>
      </c>
      <c r="U1935">
        <f>_xlfn.XLOOKUP(FME_Ranking1[[#This Row],[FME ID]],FME_Input[FME_ID],FME_Input[LWC])</f>
        <v>0</v>
      </c>
      <c r="V1935" s="178">
        <f>(FME_Ranking1[[#This Row],[LWC Raw]]/$U$2)*100</f>
        <v>0</v>
      </c>
      <c r="W1935" s="178">
        <f>FME_Ranking1[[#This Row],[LWC Score (Normalized, Unweighted)]]*$U$3</f>
        <v>0</v>
      </c>
      <c r="X1935" s="246">
        <f>_xlfn.XLOOKUP(FME_Ranking1[[#This Row],[FME ID]],FME_Input[FME_ID],FME_Input[ROADCLS])</f>
        <v>2</v>
      </c>
      <c r="Y1935" s="230">
        <f>(FME_Ranking1[[#This Row],[Closures Raw]]/$X$2)*100</f>
        <v>2.1028283040689728E-2</v>
      </c>
      <c r="Z1935" s="180">
        <f>FME_Ranking1[[#This Row],[Closures Score (Normalized, Unweighted)]]*$X$3</f>
        <v>1.0514141520344864E-3</v>
      </c>
      <c r="AA1935" s="253">
        <f>_xlfn.XLOOKUP(FME_Ranking1[[#This Row],[FME ID]],FME_Input[FME_ID],FME_Input[ROAD_MILES100])</f>
        <v>5.000000074505806E-2</v>
      </c>
      <c r="AB1935" s="178">
        <f>(FME_Ranking1[[#This Row],[Miles Raw]]/$AA$2)*100</f>
        <v>6.5741033058609158E-4</v>
      </c>
      <c r="AC1935" s="178">
        <f>FME_Ranking1[[#This Row],[Miles Score (Normalized, Unweighted)]]*$AA$3</f>
        <v>6.5741033058609161E-5</v>
      </c>
      <c r="AD1935" s="255">
        <f>_xlfn.XLOOKUP(FME_Ranking1[[#This Row],[FME ID]],FME_Input[FME_ID],FME_Input[FARMACRE100])</f>
        <v>0</v>
      </c>
      <c r="AE1935" s="230">
        <f>(FME_Ranking1[[#This Row],[Ag Land Raw]]/$AD$2)*100</f>
        <v>0</v>
      </c>
      <c r="AF1935" s="231">
        <f>FME_Ranking1[[#This Row],[Ag Land Score (Normalized, Unweighted)]]*$AD$3</f>
        <v>0</v>
      </c>
      <c r="AG193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1.5612130880402648E-3</v>
      </c>
      <c r="AH1935" s="406">
        <f t="shared" si="30"/>
        <v>1979</v>
      </c>
      <c r="AI193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1.5612130880402648E-3</v>
      </c>
      <c r="AJ1935" s="257">
        <f>FME_Ranking1[[#This Row],[Addition check]]-FME_Ranking1[[#This Row],[Weighted Score Based on Normalized Reported Factors]]</f>
        <v>0</v>
      </c>
      <c r="AK1935" s="178">
        <f>_xlfn.RANK.EQ(AI1935,$AI$6:$AI$2341,0)+COUNTIF($AI$6:AI1935,AI1935)-1</f>
        <v>1979</v>
      </c>
    </row>
    <row r="1936" spans="1:37" x14ac:dyDescent="0.25">
      <c r="A1936" t="s">
        <v>9319</v>
      </c>
      <c r="B1936">
        <f>_xlfn.XLOOKUP(FME_Ranking1[[#This Row],[FME ID]],FME_Input[FME_ID],FME_Input[RFPG_NUM])</f>
        <v>12</v>
      </c>
      <c r="C1936" t="str">
        <f>_xlfn.XLOOKUP(FME_Ranking1[[#This Row],[FME ID]],FME_Input[FME_ID],FME_Input[FME_NAME])</f>
        <v>Cibolo Creek Tributary 19 Mapping Improvements</v>
      </c>
      <c r="D1936" t="str">
        <f>_xlfn.XLOOKUP(FME_Ranking1[[#This Row],[FME ID]],FME_Input[FME_ID],FME_Input[DESCR])</f>
        <v>Alternative Anylsis and Project recommendation</v>
      </c>
      <c r="E1936" s="256">
        <f>_xlfn.XLOOKUP(FME_Ranking1[[#This Row],[FME ID]],FME_Input[FME_ID],FME_Input[FME_COST])</f>
        <v>100000</v>
      </c>
      <c r="F1936" t="str">
        <f>_xlfn.XLOOKUP(FME_Ranking1[[#This Row],[FME ID]],FME_Input[FME_ID],FME_Input[EMER_NEED])</f>
        <v>No</v>
      </c>
      <c r="G1936">
        <f>IF(FME_Ranking!F1936="Yes",100,0)</f>
        <v>0</v>
      </c>
      <c r="H1936">
        <f>FME_Ranking1[[#This Row],[Emergency Need Score (Normalized, Unweighted)]]*$F$3</f>
        <v>0</v>
      </c>
      <c r="I1936" s="246">
        <f>_xlfn.XLOOKUP(FME_Ranking1[[#This Row],[FME ID]],FME_Input[FME_ID],FME_Input[STRUCT_100])</f>
        <v>6</v>
      </c>
      <c r="J1936" s="178">
        <f>(FME_Ranking1[[#This Row],[Structures 100 Raw]]/I$2)*100</f>
        <v>3.2129546330805807E-3</v>
      </c>
      <c r="K1936" s="178">
        <f>FME_Ranking1[[#This Row],[Structures 100  Score (Normalized, Unweighted)]]*$I$3</f>
        <v>4.8194319496208709E-4</v>
      </c>
      <c r="L1936" s="246">
        <f>_xlfn.XLOOKUP(FME_Ranking1[[#This Row],[FME ID]],FME_Input[FME_ID],FME_Input[RES_STRUCT100])</f>
        <v>6</v>
      </c>
      <c r="M1936" s="230">
        <f>(FME_Ranking1[[#This Row],[Res Structures Raw]]/L$2)*100</f>
        <v>4.2498335481860293E-3</v>
      </c>
      <c r="N1936" s="180">
        <f>FME_Ranking1[[#This Row],[Res Structures Score (Normalized, Unweighted)]]*$L$3</f>
        <v>4.2498335481860297E-4</v>
      </c>
      <c r="O1936" s="244">
        <f>_xlfn.XLOOKUP(FME_Ranking1[[#This Row],[FME ID]],FME_Input[FME_ID],FME_Input[POP100])</f>
        <v>4</v>
      </c>
      <c r="P1936" s="178">
        <f>(FME_Ranking1[[#This Row],[Pop Raw]]/$O$2)*100</f>
        <v>4.0950124795505313E-4</v>
      </c>
      <c r="Q1936" s="178">
        <f>FME_Ranking1[[#This Row],[Pop Score (Normalized, Unweighted)]]*$O$3</f>
        <v>6.1425187193257967E-5</v>
      </c>
      <c r="R1936" s="137">
        <f>_xlfn.XLOOKUP(FME_Ranking1[[#This Row],[FME ID]],FME_Input[FME_ID],FME_Input[CRITFAC100])</f>
        <v>0</v>
      </c>
      <c r="S1936" s="230">
        <f>(FME_Ranking1[[#This Row],[Critical Facilities Raw]]/$R$2)*100</f>
        <v>0</v>
      </c>
      <c r="T1936" s="180">
        <f>FME_Ranking1[[#This Row],[Critical Facilities Score (Normalized, Unweighted)]]*$R$3</f>
        <v>0</v>
      </c>
      <c r="U1936">
        <f>_xlfn.XLOOKUP(FME_Ranking1[[#This Row],[FME ID]],FME_Input[FME_ID],FME_Input[LWC])</f>
        <v>0</v>
      </c>
      <c r="V1936" s="178">
        <f>(FME_Ranking1[[#This Row],[LWC Raw]]/$U$2)*100</f>
        <v>0</v>
      </c>
      <c r="W1936" s="178">
        <f>FME_Ranking1[[#This Row],[LWC Score (Normalized, Unweighted)]]*$U$3</f>
        <v>0</v>
      </c>
      <c r="X1936" s="246">
        <f>_xlfn.XLOOKUP(FME_Ranking1[[#This Row],[FME ID]],FME_Input[FME_ID],FME_Input[ROADCLS])</f>
        <v>1</v>
      </c>
      <c r="Y1936" s="230">
        <f>(FME_Ranking1[[#This Row],[Closures Raw]]/$X$2)*100</f>
        <v>1.0514141520344864E-2</v>
      </c>
      <c r="Z1936" s="180">
        <f>FME_Ranking1[[#This Row],[Closures Score (Normalized, Unweighted)]]*$X$3</f>
        <v>5.2570707601724321E-4</v>
      </c>
      <c r="AA1936" s="253">
        <f>_xlfn.XLOOKUP(FME_Ranking1[[#This Row],[FME ID]],FME_Input[FME_ID],FME_Input[ROAD_MILES100])</f>
        <v>0.12999999523162839</v>
      </c>
      <c r="AB1936" s="178">
        <f>(FME_Ranking1[[#This Row],[Miles Raw]]/$AA$2)*100</f>
        <v>1.7092667713582434E-3</v>
      </c>
      <c r="AC1936" s="178">
        <f>FME_Ranking1[[#This Row],[Miles Score (Normalized, Unweighted)]]*$AA$3</f>
        <v>1.7092667713582436E-4</v>
      </c>
      <c r="AD1936" s="255">
        <f>_xlfn.XLOOKUP(FME_Ranking1[[#This Row],[FME ID]],FME_Input[FME_ID],FME_Input[FARMACRE100])</f>
        <v>0</v>
      </c>
      <c r="AE1936" s="230">
        <f>(FME_Ranking1[[#This Row],[Ag Land Raw]]/$AD$2)*100</f>
        <v>0</v>
      </c>
      <c r="AF1936" s="231">
        <f>FME_Ranking1[[#This Row],[Ag Land Score (Normalized, Unweighted)]]*$AD$3</f>
        <v>0</v>
      </c>
      <c r="AG193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1.6649854901270157E-3</v>
      </c>
      <c r="AH1936" s="406">
        <f t="shared" si="30"/>
        <v>1976</v>
      </c>
      <c r="AI193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1.6649854901270157E-3</v>
      </c>
      <c r="AJ1936" s="257">
        <f>FME_Ranking1[[#This Row],[Addition check]]-FME_Ranking1[[#This Row],[Weighted Score Based on Normalized Reported Factors]]</f>
        <v>0</v>
      </c>
      <c r="AK1936" s="178">
        <f>_xlfn.RANK.EQ(AI1936,$AI$6:$AI$2341,0)+COUNTIF($AI$6:AI1936,AI1936)-1</f>
        <v>1976</v>
      </c>
    </row>
    <row r="1937" spans="1:37" x14ac:dyDescent="0.25">
      <c r="A1937" t="s">
        <v>3682</v>
      </c>
      <c r="B1937">
        <f>_xlfn.XLOOKUP(FME_Ranking1[[#This Row],[FME ID]],FME_Input[FME_ID],FME_Input[RFPG_NUM])</f>
        <v>2</v>
      </c>
      <c r="C1937" t="str">
        <f>_xlfn.XLOOKUP(FME_Ranking1[[#This Row],[FME ID]],FME_Input[FME_ID],FME_Input[FME_NAME])</f>
        <v>New Boston Unnamed Stream 2</v>
      </c>
      <c r="D1937" t="str">
        <f>_xlfn.XLOOKUP(FME_Ranking1[[#This Row],[FME ID]],FME_Input[FME_ID],FME_Input[DESCR])</f>
        <v>Debris, Vegetation Removal, and Channelization</v>
      </c>
      <c r="E1937" s="256">
        <f>_xlfn.XLOOKUP(FME_Ranking1[[#This Row],[FME ID]],FME_Input[FME_ID],FME_Input[FME_COST])</f>
        <v>250000</v>
      </c>
      <c r="F1937" t="str">
        <f>_xlfn.XLOOKUP(FME_Ranking1[[#This Row],[FME ID]],FME_Input[FME_ID],FME_Input[EMER_NEED])</f>
        <v>No</v>
      </c>
      <c r="G1937">
        <f>IF(FME_Ranking!F1937="Yes",100,0)</f>
        <v>0</v>
      </c>
      <c r="H1937">
        <f>FME_Ranking1[[#This Row],[Emergency Need Score (Normalized, Unweighted)]]*$F$3</f>
        <v>0</v>
      </c>
      <c r="I1937" s="246">
        <f>_xlfn.XLOOKUP(FME_Ranking1[[#This Row],[FME ID]],FME_Input[FME_ID],FME_Input[STRUCT_100])</f>
        <v>8</v>
      </c>
      <c r="J1937" s="178">
        <f>(FME_Ranking1[[#This Row],[Structures 100 Raw]]/I$2)*100</f>
        <v>4.2839395107741084E-3</v>
      </c>
      <c r="K1937" s="178">
        <f>FME_Ranking1[[#This Row],[Structures 100  Score (Normalized, Unweighted)]]*$I$3</f>
        <v>6.4259092661611626E-4</v>
      </c>
      <c r="L1937" s="246">
        <f>_xlfn.XLOOKUP(FME_Ranking1[[#This Row],[FME ID]],FME_Input[FME_ID],FME_Input[RES_STRUCT100])</f>
        <v>7</v>
      </c>
      <c r="M1937" s="230">
        <f>(FME_Ranking1[[#This Row],[Res Structures Raw]]/L$2)*100</f>
        <v>4.9581391395503681E-3</v>
      </c>
      <c r="N1937" s="180">
        <f>FME_Ranking1[[#This Row],[Res Structures Score (Normalized, Unweighted)]]*$L$3</f>
        <v>4.9581391395503687E-4</v>
      </c>
      <c r="O1937" s="244">
        <f>_xlfn.XLOOKUP(FME_Ranking1[[#This Row],[FME ID]],FME_Input[FME_ID],FME_Input[POP100])</f>
        <v>21</v>
      </c>
      <c r="P1937" s="178">
        <f>(FME_Ranking1[[#This Row],[Pop Raw]]/$O$2)*100</f>
        <v>2.1498815517640288E-3</v>
      </c>
      <c r="Q1937" s="178">
        <f>FME_Ranking1[[#This Row],[Pop Score (Normalized, Unweighted)]]*$O$3</f>
        <v>3.2248223276460432E-4</v>
      </c>
      <c r="R1937" s="137">
        <f>_xlfn.XLOOKUP(FME_Ranking1[[#This Row],[FME ID]],FME_Input[FME_ID],FME_Input[CRITFAC100])</f>
        <v>0</v>
      </c>
      <c r="S1937" s="230">
        <f>(FME_Ranking1[[#This Row],[Critical Facilities Raw]]/$R$2)*100</f>
        <v>0</v>
      </c>
      <c r="T1937" s="180">
        <f>FME_Ranking1[[#This Row],[Critical Facilities Score (Normalized, Unweighted)]]*$R$3</f>
        <v>0</v>
      </c>
      <c r="U1937">
        <f>_xlfn.XLOOKUP(FME_Ranking1[[#This Row],[FME ID]],FME_Input[FME_ID],FME_Input[LWC])</f>
        <v>0</v>
      </c>
      <c r="V1937" s="178">
        <f>(FME_Ranking1[[#This Row],[LWC Raw]]/$U$2)*100</f>
        <v>0</v>
      </c>
      <c r="W1937" s="178">
        <f>FME_Ranking1[[#This Row],[LWC Score (Normalized, Unweighted)]]*$U$3</f>
        <v>0</v>
      </c>
      <c r="X1937" s="246">
        <f>_xlfn.XLOOKUP(FME_Ranking1[[#This Row],[FME ID]],FME_Input[FME_ID],FME_Input[ROADCLS])</f>
        <v>0</v>
      </c>
      <c r="Y1937" s="230">
        <f>(FME_Ranking1[[#This Row],[Closures Raw]]/$X$2)*100</f>
        <v>0</v>
      </c>
      <c r="Z1937" s="180">
        <f>FME_Ranking1[[#This Row],[Closures Score (Normalized, Unweighted)]]*$X$3</f>
        <v>0</v>
      </c>
      <c r="AA1937" s="253">
        <f>_xlfn.XLOOKUP(FME_Ranking1[[#This Row],[FME ID]],FME_Input[FME_ID],FME_Input[ROAD_MILES100])</f>
        <v>0.63614654541015625</v>
      </c>
      <c r="AB1937" s="178">
        <f>(FME_Ranking1[[#This Row],[Miles Raw]]/$AA$2)*100</f>
        <v>8.3641860897497346E-3</v>
      </c>
      <c r="AC1937" s="178">
        <f>FME_Ranking1[[#This Row],[Miles Score (Normalized, Unweighted)]]*$AA$3</f>
        <v>8.3641860897497354E-4</v>
      </c>
      <c r="AD1937" s="255">
        <f>_xlfn.XLOOKUP(FME_Ranking1[[#This Row],[FME ID]],FME_Input[FME_ID],FME_Input[FARMACRE100])</f>
        <v>8.6034096777439117E-2</v>
      </c>
      <c r="AE1937" s="230">
        <f>(FME_Ranking1[[#This Row],[Ag Land Raw]]/$AD$2)*100</f>
        <v>3.5476610191499469E-6</v>
      </c>
      <c r="AF1937" s="231">
        <f>FME_Ranking1[[#This Row],[Ag Land Score (Normalized, Unweighted)]]*$AD$3</f>
        <v>1.7738305095749736E-7</v>
      </c>
      <c r="AG193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2.2974830653616882E-3</v>
      </c>
      <c r="AH1937" s="406">
        <f t="shared" si="30"/>
        <v>1938</v>
      </c>
      <c r="AI193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2.2974830653616882E-3</v>
      </c>
      <c r="AJ1937" s="257">
        <f>FME_Ranking1[[#This Row],[Addition check]]-FME_Ranking1[[#This Row],[Weighted Score Based on Normalized Reported Factors]]</f>
        <v>0</v>
      </c>
      <c r="AK1937" s="178">
        <f>_xlfn.RANK.EQ(AI1937,$AI$6:$AI$2341,0)+COUNTIF($AI$6:AI1937,AI1937)-1</f>
        <v>1938</v>
      </c>
    </row>
    <row r="1938" spans="1:37" x14ac:dyDescent="0.25">
      <c r="A1938" t="s">
        <v>10753</v>
      </c>
      <c r="B1938">
        <f>_xlfn.XLOOKUP(FME_Ranking1[[#This Row],[FME ID]],FME_Input[FME_ID],FME_Input[RFPG_NUM])</f>
        <v>13</v>
      </c>
      <c r="C1938" t="str">
        <f>_xlfn.XLOOKUP(FME_Ranking1[[#This Row],[FME ID]],FME_Input[FME_ID],FME_Input[FME_NAME])</f>
        <v>Improvements to Doyle Drainage Basin</v>
      </c>
      <c r="D1938" t="str">
        <f>_xlfn.XLOOKUP(FME_Ranking1[[#This Row],[FME ID]],FME_Input[FME_ID],FME_Input[DESCR])</f>
        <v>Improvement to outfall into Nueces bay;  increase conveyance capacity of ditches.</v>
      </c>
      <c r="E1938" s="256">
        <f>_xlfn.XLOOKUP(FME_Ranking1[[#This Row],[FME ID]],FME_Input[FME_ID],FME_Input[FME_COST])</f>
        <v>100000</v>
      </c>
      <c r="F1938" t="str">
        <f>_xlfn.XLOOKUP(FME_Ranking1[[#This Row],[FME ID]],FME_Input[FME_ID],FME_Input[EMER_NEED])</f>
        <v>Yes</v>
      </c>
      <c r="G1938">
        <f>IF(FME_Ranking!F1938="Yes",100,0)</f>
        <v>100</v>
      </c>
      <c r="H1938">
        <f>FME_Ranking1[[#This Row],[Emergency Need Score (Normalized, Unweighted)]]*$F$3</f>
        <v>0</v>
      </c>
      <c r="I1938" s="246">
        <f>_xlfn.XLOOKUP(FME_Ranking1[[#This Row],[FME ID]],FME_Input[FME_ID],FME_Input[STRUCT_100])</f>
        <v>5</v>
      </c>
      <c r="J1938" s="178">
        <f>(FME_Ranking1[[#This Row],[Structures 100 Raw]]/I$2)*100</f>
        <v>2.6774621942338172E-3</v>
      </c>
      <c r="K1938" s="178">
        <f>FME_Ranking1[[#This Row],[Structures 100  Score (Normalized, Unweighted)]]*$I$3</f>
        <v>4.0161932913507258E-4</v>
      </c>
      <c r="L1938" s="246">
        <f>_xlfn.XLOOKUP(FME_Ranking1[[#This Row],[FME ID]],FME_Input[FME_ID],FME_Input[RES_STRUCT100])</f>
        <v>5</v>
      </c>
      <c r="M1938" s="230">
        <f>(FME_Ranking1[[#This Row],[Res Structures Raw]]/L$2)*100</f>
        <v>3.5415279568216909E-3</v>
      </c>
      <c r="N1938" s="180">
        <f>FME_Ranking1[[#This Row],[Res Structures Score (Normalized, Unweighted)]]*$L$3</f>
        <v>3.5415279568216913E-4</v>
      </c>
      <c r="O1938" s="244">
        <f>_xlfn.XLOOKUP(FME_Ranking1[[#This Row],[FME ID]],FME_Input[FME_ID],FME_Input[POP100])</f>
        <v>10</v>
      </c>
      <c r="P1938" s="178">
        <f>(FME_Ranking1[[#This Row],[Pop Raw]]/$O$2)*100</f>
        <v>1.0237531198876329E-3</v>
      </c>
      <c r="Q1938" s="178">
        <f>FME_Ranking1[[#This Row],[Pop Score (Normalized, Unweighted)]]*$O$3</f>
        <v>1.5356296798314494E-4</v>
      </c>
      <c r="R1938" s="137">
        <f>_xlfn.XLOOKUP(FME_Ranking1[[#This Row],[FME ID]],FME_Input[FME_ID],FME_Input[CRITFAC100])</f>
        <v>0</v>
      </c>
      <c r="S1938" s="230">
        <f>(FME_Ranking1[[#This Row],[Critical Facilities Raw]]/$R$2)*100</f>
        <v>0</v>
      </c>
      <c r="T1938" s="180">
        <f>FME_Ranking1[[#This Row],[Critical Facilities Score (Normalized, Unweighted)]]*$R$3</f>
        <v>0</v>
      </c>
      <c r="U1938">
        <f>_xlfn.XLOOKUP(FME_Ranking1[[#This Row],[FME ID]],FME_Input[FME_ID],FME_Input[LWC])</f>
        <v>0</v>
      </c>
      <c r="V1938" s="178">
        <f>(FME_Ranking1[[#This Row],[LWC Raw]]/$U$2)*100</f>
        <v>0</v>
      </c>
      <c r="W1938" s="178">
        <f>FME_Ranking1[[#This Row],[LWC Score (Normalized, Unweighted)]]*$U$3</f>
        <v>0</v>
      </c>
      <c r="X1938" s="246">
        <f>_xlfn.XLOOKUP(FME_Ranking1[[#This Row],[FME ID]],FME_Input[FME_ID],FME_Input[ROADCLS])</f>
        <v>1</v>
      </c>
      <c r="Y1938" s="230">
        <f>(FME_Ranking1[[#This Row],[Closures Raw]]/$X$2)*100</f>
        <v>1.0514141520344864E-2</v>
      </c>
      <c r="Z1938" s="180">
        <f>FME_Ranking1[[#This Row],[Closures Score (Normalized, Unweighted)]]*$X$3</f>
        <v>5.2570707601724321E-4</v>
      </c>
      <c r="AA1938" s="253">
        <f>_xlfn.XLOOKUP(FME_Ranking1[[#This Row],[FME ID]],FME_Input[FME_ID],FME_Input[ROAD_MILES100])</f>
        <v>3.7344682961702347E-2</v>
      </c>
      <c r="AB1938" s="178">
        <f>(FME_Ranking1[[#This Row],[Miles Raw]]/$AA$2)*100</f>
        <v>4.9101560011300793E-4</v>
      </c>
      <c r="AC1938" s="178">
        <f>FME_Ranking1[[#This Row],[Miles Score (Normalized, Unweighted)]]*$AA$3</f>
        <v>4.9101560011300797E-5</v>
      </c>
      <c r="AD1938" s="255">
        <f>_xlfn.XLOOKUP(FME_Ranking1[[#This Row],[FME ID]],FME_Input[FME_ID],FME_Input[FARMACRE100])</f>
        <v>1.50908287614584E-2</v>
      </c>
      <c r="AE1938" s="230">
        <f>(FME_Ranking1[[#This Row],[Ag Land Raw]]/$AD$2)*100</f>
        <v>6.2227822397191699E-7</v>
      </c>
      <c r="AF1938" s="231">
        <f>FME_Ranking1[[#This Row],[Ag Land Score (Normalized, Unweighted)]]*$AD$3</f>
        <v>3.1113911198595852E-8</v>
      </c>
      <c r="AG193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1.484174842740129E-3</v>
      </c>
      <c r="AH1938" s="406">
        <f t="shared" si="30"/>
        <v>1986</v>
      </c>
      <c r="AI193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1.484174842740129E-3</v>
      </c>
      <c r="AJ1938" s="257">
        <f>FME_Ranking1[[#This Row],[Addition check]]-FME_Ranking1[[#This Row],[Weighted Score Based on Normalized Reported Factors]]</f>
        <v>0</v>
      </c>
      <c r="AK1938" s="178">
        <f>_xlfn.RANK.EQ(AI1938,$AI$6:$AI$2341,0)+COUNTIF($AI$6:AI1938,AI1938)-1</f>
        <v>1986</v>
      </c>
    </row>
    <row r="1939" spans="1:37" x14ac:dyDescent="0.25">
      <c r="A1939" t="s">
        <v>382</v>
      </c>
      <c r="B1939">
        <f>_xlfn.XLOOKUP(FME_Ranking1[[#This Row],[FME ID]],FME_Input[FME_ID],FME_Input[RFPG_NUM])</f>
        <v>10</v>
      </c>
      <c r="C1939" t="str">
        <f>_xlfn.XLOOKUP(FME_Ranking1[[#This Row],[FME ID]],FME_Input[FME_ID],FME_Input[FME_NAME])</f>
        <v>County Road 480</v>
      </c>
      <c r="D1939" t="str">
        <f>_xlfn.XLOOKUP(FME_Ranking1[[#This Row],[FME ID]],FME_Input[FME_ID],FME_Input[DESCR])</f>
        <v xml:space="preserve">Strengthen County Road 480 with development of headwall_x000D_
</v>
      </c>
      <c r="E1939" s="256">
        <f>_xlfn.XLOOKUP(FME_Ranking1[[#This Row],[FME ID]],FME_Input[FME_ID],FME_Input[FME_COST])</f>
        <v>100000</v>
      </c>
      <c r="F1939" t="str">
        <f>_xlfn.XLOOKUP(FME_Ranking1[[#This Row],[FME ID]],FME_Input[FME_ID],FME_Input[EMER_NEED])</f>
        <v>No</v>
      </c>
      <c r="G1939">
        <f>IF(FME_Ranking!F1939="Yes",100,0)</f>
        <v>0</v>
      </c>
      <c r="H1939">
        <f>FME_Ranking1[[#This Row],[Emergency Need Score (Normalized, Unweighted)]]*$F$3</f>
        <v>0</v>
      </c>
      <c r="I1939" s="246">
        <f>_xlfn.XLOOKUP(FME_Ranking1[[#This Row],[FME ID]],FME_Input[FME_ID],FME_Input[STRUCT_100])</f>
        <v>10</v>
      </c>
      <c r="J1939" s="178">
        <f>(FME_Ranking1[[#This Row],[Structures 100 Raw]]/I$2)*100</f>
        <v>5.3549243884676344E-3</v>
      </c>
      <c r="K1939" s="178">
        <f>FME_Ranking1[[#This Row],[Structures 100  Score (Normalized, Unweighted)]]*$I$3</f>
        <v>8.0323865827014516E-4</v>
      </c>
      <c r="L1939" s="246">
        <f>_xlfn.XLOOKUP(FME_Ranking1[[#This Row],[FME ID]],FME_Input[FME_ID],FME_Input[RES_STRUCT100])</f>
        <v>5</v>
      </c>
      <c r="M1939" s="230">
        <f>(FME_Ranking1[[#This Row],[Res Structures Raw]]/L$2)*100</f>
        <v>3.5415279568216909E-3</v>
      </c>
      <c r="N1939" s="180">
        <f>FME_Ranking1[[#This Row],[Res Structures Score (Normalized, Unweighted)]]*$L$3</f>
        <v>3.5415279568216913E-4</v>
      </c>
      <c r="O1939" s="244">
        <f>_xlfn.XLOOKUP(FME_Ranking1[[#This Row],[FME ID]],FME_Input[FME_ID],FME_Input[POP100])</f>
        <v>16</v>
      </c>
      <c r="P1939" s="178">
        <f>(FME_Ranking1[[#This Row],[Pop Raw]]/$O$2)*100</f>
        <v>1.6380049918202125E-3</v>
      </c>
      <c r="Q1939" s="178">
        <f>FME_Ranking1[[#This Row],[Pop Score (Normalized, Unweighted)]]*$O$3</f>
        <v>2.4570074877303187E-4</v>
      </c>
      <c r="R1939" s="137">
        <f>_xlfn.XLOOKUP(FME_Ranking1[[#This Row],[FME ID]],FME_Input[FME_ID],FME_Input[CRITFAC100])</f>
        <v>0</v>
      </c>
      <c r="S1939" s="230">
        <f>(FME_Ranking1[[#This Row],[Critical Facilities Raw]]/$R$2)*100</f>
        <v>0</v>
      </c>
      <c r="T1939" s="180">
        <f>FME_Ranking1[[#This Row],[Critical Facilities Score (Normalized, Unweighted)]]*$R$3</f>
        <v>0</v>
      </c>
      <c r="U1939">
        <f>_xlfn.XLOOKUP(FME_Ranking1[[#This Row],[FME ID]],FME_Input[FME_ID],FME_Input[LWC])</f>
        <v>0</v>
      </c>
      <c r="V1939" s="178">
        <f>(FME_Ranking1[[#This Row],[LWC Raw]]/$U$2)*100</f>
        <v>0</v>
      </c>
      <c r="W1939" s="178">
        <f>FME_Ranking1[[#This Row],[LWC Score (Normalized, Unweighted)]]*$U$3</f>
        <v>0</v>
      </c>
      <c r="X1939" s="246">
        <f>_xlfn.XLOOKUP(FME_Ranking1[[#This Row],[FME ID]],FME_Input[FME_ID],FME_Input[ROADCLS])</f>
        <v>0</v>
      </c>
      <c r="Y1939" s="230">
        <f>(FME_Ranking1[[#This Row],[Closures Raw]]/$X$2)*100</f>
        <v>0</v>
      </c>
      <c r="Z1939" s="180">
        <f>FME_Ranking1[[#This Row],[Closures Score (Normalized, Unweighted)]]*$X$3</f>
        <v>0</v>
      </c>
      <c r="AA1939" s="253">
        <f>_xlfn.XLOOKUP(FME_Ranking1[[#This Row],[FME ID]],FME_Input[FME_ID],FME_Input[ROAD_MILES100])</f>
        <v>0.61210036277770996</v>
      </c>
      <c r="AB1939" s="178">
        <f>(FME_Ranking1[[#This Row],[Miles Raw]]/$AA$2)*100</f>
        <v>8.0480219169863469E-3</v>
      </c>
      <c r="AC1939" s="178">
        <f>FME_Ranking1[[#This Row],[Miles Score (Normalized, Unweighted)]]*$AA$3</f>
        <v>8.0480219169863469E-4</v>
      </c>
      <c r="AD1939" s="255">
        <f>_xlfn.XLOOKUP(FME_Ranking1[[#This Row],[FME ID]],FME_Input[FME_ID],FME_Input[FARMACRE100])</f>
        <v>14.560830116271971</v>
      </c>
      <c r="AE1939" s="230">
        <f>(FME_Ranking1[[#This Row],[Ag Land Raw]]/$AD$2)*100</f>
        <v>6.0042345238531919E-4</v>
      </c>
      <c r="AF1939" s="231">
        <f>FME_Ranking1[[#This Row],[Ag Land Score (Normalized, Unweighted)]]*$AD$3</f>
        <v>3.002117261926596E-5</v>
      </c>
      <c r="AG193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2.2379155670432466E-3</v>
      </c>
      <c r="AH1939" s="406">
        <f t="shared" si="30"/>
        <v>1941</v>
      </c>
      <c r="AI193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2.2379155670432466E-3</v>
      </c>
      <c r="AJ1939" s="257">
        <f>FME_Ranking1[[#This Row],[Addition check]]-FME_Ranking1[[#This Row],[Weighted Score Based on Normalized Reported Factors]]</f>
        <v>0</v>
      </c>
      <c r="AK1939" s="178">
        <f>_xlfn.RANK.EQ(AI1939,$AI$6:$AI$2341,0)+COUNTIF($AI$6:AI1939,AI1939)-1</f>
        <v>1941</v>
      </c>
    </row>
    <row r="1940" spans="1:37" x14ac:dyDescent="0.25">
      <c r="A1940" t="s">
        <v>7015</v>
      </c>
      <c r="B1940">
        <f>_xlfn.XLOOKUP(FME_Ranking1[[#This Row],[FME ID]],FME_Input[FME_ID],FME_Input[RFPG_NUM])</f>
        <v>7</v>
      </c>
      <c r="C1940" t="str">
        <f>_xlfn.XLOOKUP(FME_Ranking1[[#This Row],[FME ID]],FME_Input[FME_ID],FME_Input[FME_NAME])</f>
        <v>Town of Woodson DMP</v>
      </c>
      <c r="D1940" t="str">
        <f>_xlfn.XLOOKUP(FME_Ranking1[[#This Row],[FME ID]],FME_Input[FME_ID],FME_Input[DESCR])</f>
        <v>Evaluate town to identify future projects, analyze roads/stream crossing for emergency response vehicles to high hazard areas</v>
      </c>
      <c r="E1940" s="256">
        <f>_xlfn.XLOOKUP(FME_Ranking1[[#This Row],[FME ID]],FME_Input[FME_ID],FME_Input[FME_COST])</f>
        <v>250000</v>
      </c>
      <c r="F1940" t="str">
        <f>_xlfn.XLOOKUP(FME_Ranking1[[#This Row],[FME ID]],FME_Input[FME_ID],FME_Input[EMER_NEED])</f>
        <v>No</v>
      </c>
      <c r="G1940">
        <f>IF(FME_Ranking!F1940="Yes",100,0)</f>
        <v>0</v>
      </c>
      <c r="H1940">
        <f>FME_Ranking1[[#This Row],[Emergency Need Score (Normalized, Unweighted)]]*$F$3</f>
        <v>0</v>
      </c>
      <c r="I1940" s="246">
        <f>_xlfn.XLOOKUP(FME_Ranking1[[#This Row],[FME ID]],FME_Input[FME_ID],FME_Input[STRUCT_100])</f>
        <v>10</v>
      </c>
      <c r="J1940" s="178">
        <f>(FME_Ranking1[[#This Row],[Structures 100 Raw]]/I$2)*100</f>
        <v>5.3549243884676344E-3</v>
      </c>
      <c r="K1940" s="178">
        <f>FME_Ranking1[[#This Row],[Structures 100  Score (Normalized, Unweighted)]]*$I$3</f>
        <v>8.0323865827014516E-4</v>
      </c>
      <c r="L1940" s="246">
        <f>_xlfn.XLOOKUP(FME_Ranking1[[#This Row],[FME ID]],FME_Input[FME_ID],FME_Input[RES_STRUCT100])</f>
        <v>3</v>
      </c>
      <c r="M1940" s="230">
        <f>(FME_Ranking1[[#This Row],[Res Structures Raw]]/L$2)*100</f>
        <v>2.1249167740930146E-3</v>
      </c>
      <c r="N1940" s="180">
        <f>FME_Ranking1[[#This Row],[Res Structures Score (Normalized, Unweighted)]]*$L$3</f>
        <v>2.1249167740930149E-4</v>
      </c>
      <c r="O1940" s="244">
        <f>_xlfn.XLOOKUP(FME_Ranking1[[#This Row],[FME ID]],FME_Input[FME_ID],FME_Input[POP100])</f>
        <v>25</v>
      </c>
      <c r="P1940" s="178">
        <f>(FME_Ranking1[[#This Row],[Pop Raw]]/$O$2)*100</f>
        <v>2.559382799719082E-3</v>
      </c>
      <c r="Q1940" s="178">
        <f>FME_Ranking1[[#This Row],[Pop Score (Normalized, Unweighted)]]*$O$3</f>
        <v>3.8390741995786228E-4</v>
      </c>
      <c r="R1940" s="137">
        <f>_xlfn.XLOOKUP(FME_Ranking1[[#This Row],[FME ID]],FME_Input[FME_ID],FME_Input[CRITFAC100])</f>
        <v>0</v>
      </c>
      <c r="S1940" s="230">
        <f>(FME_Ranking1[[#This Row],[Critical Facilities Raw]]/$R$2)*100</f>
        <v>0</v>
      </c>
      <c r="T1940" s="180">
        <f>FME_Ranking1[[#This Row],[Critical Facilities Score (Normalized, Unweighted)]]*$R$3</f>
        <v>0</v>
      </c>
      <c r="U1940">
        <f>_xlfn.XLOOKUP(FME_Ranking1[[#This Row],[FME ID]],FME_Input[FME_ID],FME_Input[LWC])</f>
        <v>0</v>
      </c>
      <c r="V1940" s="178">
        <f>(FME_Ranking1[[#This Row],[LWC Raw]]/$U$2)*100</f>
        <v>0</v>
      </c>
      <c r="W1940" s="178">
        <f>FME_Ranking1[[#This Row],[LWC Score (Normalized, Unweighted)]]*$U$3</f>
        <v>0</v>
      </c>
      <c r="X1940" s="246">
        <f>_xlfn.XLOOKUP(FME_Ranking1[[#This Row],[FME ID]],FME_Input[FME_ID],FME_Input[ROADCLS])</f>
        <v>0</v>
      </c>
      <c r="Y1940" s="230">
        <f>(FME_Ranking1[[#This Row],[Closures Raw]]/$X$2)*100</f>
        <v>0</v>
      </c>
      <c r="Z1940" s="180">
        <f>FME_Ranking1[[#This Row],[Closures Score (Normalized, Unweighted)]]*$X$3</f>
        <v>0</v>
      </c>
      <c r="AA1940" s="253">
        <f>_xlfn.XLOOKUP(FME_Ranking1[[#This Row],[FME ID]],FME_Input[FME_ID],FME_Input[ROAD_MILES100])</f>
        <v>0.29962942004203802</v>
      </c>
      <c r="AB1940" s="178">
        <f>(FME_Ranking1[[#This Row],[Miles Raw]]/$AA$2)*100</f>
        <v>3.9395894629586448E-3</v>
      </c>
      <c r="AC1940" s="178">
        <f>FME_Ranking1[[#This Row],[Miles Score (Normalized, Unweighted)]]*$AA$3</f>
        <v>3.939589462958645E-4</v>
      </c>
      <c r="AD1940" s="255">
        <f>_xlfn.XLOOKUP(FME_Ranking1[[#This Row],[FME ID]],FME_Input[FME_ID],FME_Input[FARMACRE100])</f>
        <v>5.1623783111572266</v>
      </c>
      <c r="AE1940" s="230">
        <f>(FME_Ranking1[[#This Row],[Ag Land Raw]]/$AD$2)*100</f>
        <v>2.1287337214656783E-4</v>
      </c>
      <c r="AF1940" s="231">
        <f>FME_Ranking1[[#This Row],[Ag Land Score (Normalized, Unweighted)]]*$AD$3</f>
        <v>1.0643668607328392E-5</v>
      </c>
      <c r="AG194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1.8042403705405021E-3</v>
      </c>
      <c r="AH1940" s="406">
        <f t="shared" si="30"/>
        <v>1967</v>
      </c>
      <c r="AI194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1.8042403705405021E-3</v>
      </c>
      <c r="AJ1940" s="257">
        <f>FME_Ranking1[[#This Row],[Addition check]]-FME_Ranking1[[#This Row],[Weighted Score Based on Normalized Reported Factors]]</f>
        <v>0</v>
      </c>
      <c r="AK1940" s="178">
        <f>_xlfn.RANK.EQ(AI1940,$AI$6:$AI$2341,0)+COUNTIF($AI$6:AI1940,AI1940)-1</f>
        <v>1967</v>
      </c>
    </row>
    <row r="1941" spans="1:37" x14ac:dyDescent="0.25">
      <c r="A1941" t="s">
        <v>7341</v>
      </c>
      <c r="B1941">
        <f>_xlfn.XLOOKUP(FME_Ranking1[[#This Row],[FME ID]],FME_Input[FME_ID],FME_Input[RFPG_NUM])</f>
        <v>7</v>
      </c>
      <c r="C1941" t="str">
        <f>_xlfn.XLOOKUP(FME_Ranking1[[#This Row],[FME ID]],FME_Input[FME_ID],FME_Input[FME_NAME])</f>
        <v>Town of Woodson Stream Restoration Program</v>
      </c>
      <c r="D1941" t="str">
        <f>_xlfn.XLOOKUP(FME_Ranking1[[#This Row],[FME ID]],FME_Input[FME_ID],FME_Input[DESCR])</f>
        <v>Implement stream restoration / channelization program to ensure adequate drainage / diversion of stormwater.</v>
      </c>
      <c r="E1941" s="256">
        <f>_xlfn.XLOOKUP(FME_Ranking1[[#This Row],[FME ID]],FME_Input[FME_ID],FME_Input[FME_COST])</f>
        <v>250000</v>
      </c>
      <c r="F1941" t="str">
        <f>_xlfn.XLOOKUP(FME_Ranking1[[#This Row],[FME ID]],FME_Input[FME_ID],FME_Input[EMER_NEED])</f>
        <v>No</v>
      </c>
      <c r="G1941">
        <f>IF(FME_Ranking!F1941="Yes",100,0)</f>
        <v>0</v>
      </c>
      <c r="H1941">
        <f>FME_Ranking1[[#This Row],[Emergency Need Score (Normalized, Unweighted)]]*$F$3</f>
        <v>0</v>
      </c>
      <c r="I1941" s="246">
        <f>_xlfn.XLOOKUP(FME_Ranking1[[#This Row],[FME ID]],FME_Input[FME_ID],FME_Input[STRUCT_100])</f>
        <v>10</v>
      </c>
      <c r="J1941" s="178">
        <f>(FME_Ranking1[[#This Row],[Structures 100 Raw]]/I$2)*100</f>
        <v>5.3549243884676344E-3</v>
      </c>
      <c r="K1941" s="178">
        <f>FME_Ranking1[[#This Row],[Structures 100  Score (Normalized, Unweighted)]]*$I$3</f>
        <v>8.0323865827014516E-4</v>
      </c>
      <c r="L1941" s="246">
        <f>_xlfn.XLOOKUP(FME_Ranking1[[#This Row],[FME ID]],FME_Input[FME_ID],FME_Input[RES_STRUCT100])</f>
        <v>3</v>
      </c>
      <c r="M1941" s="230">
        <f>(FME_Ranking1[[#This Row],[Res Structures Raw]]/L$2)*100</f>
        <v>2.1249167740930146E-3</v>
      </c>
      <c r="N1941" s="180">
        <f>FME_Ranking1[[#This Row],[Res Structures Score (Normalized, Unweighted)]]*$L$3</f>
        <v>2.1249167740930149E-4</v>
      </c>
      <c r="O1941" s="244">
        <f>_xlfn.XLOOKUP(FME_Ranking1[[#This Row],[FME ID]],FME_Input[FME_ID],FME_Input[POP100])</f>
        <v>25</v>
      </c>
      <c r="P1941" s="178">
        <f>(FME_Ranking1[[#This Row],[Pop Raw]]/$O$2)*100</f>
        <v>2.559382799719082E-3</v>
      </c>
      <c r="Q1941" s="178">
        <f>FME_Ranking1[[#This Row],[Pop Score (Normalized, Unweighted)]]*$O$3</f>
        <v>3.8390741995786228E-4</v>
      </c>
      <c r="R1941" s="137">
        <f>_xlfn.XLOOKUP(FME_Ranking1[[#This Row],[FME ID]],FME_Input[FME_ID],FME_Input[CRITFAC100])</f>
        <v>0</v>
      </c>
      <c r="S1941" s="230">
        <f>(FME_Ranking1[[#This Row],[Critical Facilities Raw]]/$R$2)*100</f>
        <v>0</v>
      </c>
      <c r="T1941" s="180">
        <f>FME_Ranking1[[#This Row],[Critical Facilities Score (Normalized, Unweighted)]]*$R$3</f>
        <v>0</v>
      </c>
      <c r="U1941">
        <f>_xlfn.XLOOKUP(FME_Ranking1[[#This Row],[FME ID]],FME_Input[FME_ID],FME_Input[LWC])</f>
        <v>0</v>
      </c>
      <c r="V1941" s="178">
        <f>(FME_Ranking1[[#This Row],[LWC Raw]]/$U$2)*100</f>
        <v>0</v>
      </c>
      <c r="W1941" s="178">
        <f>FME_Ranking1[[#This Row],[LWC Score (Normalized, Unweighted)]]*$U$3</f>
        <v>0</v>
      </c>
      <c r="X1941" s="246">
        <f>_xlfn.XLOOKUP(FME_Ranking1[[#This Row],[FME ID]],FME_Input[FME_ID],FME_Input[ROADCLS])</f>
        <v>0</v>
      </c>
      <c r="Y1941" s="230">
        <f>(FME_Ranking1[[#This Row],[Closures Raw]]/$X$2)*100</f>
        <v>0</v>
      </c>
      <c r="Z1941" s="180">
        <f>FME_Ranking1[[#This Row],[Closures Score (Normalized, Unweighted)]]*$X$3</f>
        <v>0</v>
      </c>
      <c r="AA1941" s="253">
        <f>_xlfn.XLOOKUP(FME_Ranking1[[#This Row],[FME ID]],FME_Input[FME_ID],FME_Input[ROAD_MILES100])</f>
        <v>0.29962942004203802</v>
      </c>
      <c r="AB1941" s="178">
        <f>(FME_Ranking1[[#This Row],[Miles Raw]]/$AA$2)*100</f>
        <v>3.9395894629586448E-3</v>
      </c>
      <c r="AC1941" s="178">
        <f>FME_Ranking1[[#This Row],[Miles Score (Normalized, Unweighted)]]*$AA$3</f>
        <v>3.939589462958645E-4</v>
      </c>
      <c r="AD1941" s="255">
        <f>_xlfn.XLOOKUP(FME_Ranking1[[#This Row],[FME ID]],FME_Input[FME_ID],FME_Input[FARMACRE100])</f>
        <v>5.1623783111572266</v>
      </c>
      <c r="AE1941" s="230">
        <f>(FME_Ranking1[[#This Row],[Ag Land Raw]]/$AD$2)*100</f>
        <v>2.1287337214656783E-4</v>
      </c>
      <c r="AF1941" s="231">
        <f>FME_Ranking1[[#This Row],[Ag Land Score (Normalized, Unweighted)]]*$AD$3</f>
        <v>1.0643668607328392E-5</v>
      </c>
      <c r="AG194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1.8042403705405021E-3</v>
      </c>
      <c r="AH1941" s="406">
        <f t="shared" si="30"/>
        <v>1967</v>
      </c>
      <c r="AI194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1.8042403705405021E-3</v>
      </c>
      <c r="AJ1941" s="257">
        <f>FME_Ranking1[[#This Row],[Addition check]]-FME_Ranking1[[#This Row],[Weighted Score Based on Normalized Reported Factors]]</f>
        <v>0</v>
      </c>
      <c r="AK1941" s="178">
        <f>_xlfn.RANK.EQ(AI1941,$AI$6:$AI$2341,0)+COUNTIF($AI$6:AI1941,AI1941)-1</f>
        <v>1968</v>
      </c>
    </row>
    <row r="1942" spans="1:37" x14ac:dyDescent="0.25">
      <c r="A1942" t="s">
        <v>410</v>
      </c>
      <c r="B1942">
        <f>_xlfn.XLOOKUP(FME_Ranking1[[#This Row],[FME ID]],FME_Input[FME_ID],FME_Input[RFPG_NUM])</f>
        <v>10</v>
      </c>
      <c r="C1942" t="str">
        <f>_xlfn.XLOOKUP(FME_Ranking1[[#This Row],[FME ID]],FME_Input[FME_ID],FME_Input[FME_NAME])</f>
        <v>Various Streets - Install Flood Early Warning System</v>
      </c>
      <c r="D1942" t="str">
        <f>_xlfn.XLOOKUP(FME_Ranking1[[#This Row],[FME ID]],FME_Input[FME_ID],FME_Input[DESCR])</f>
        <v>Detection warnings at low water crossings across the county</v>
      </c>
      <c r="E1942" s="256">
        <f>_xlfn.XLOOKUP(FME_Ranking1[[#This Row],[FME ID]],FME_Input[FME_ID],FME_Input[FME_COST])</f>
        <v>15000</v>
      </c>
      <c r="F1942" t="str">
        <f>_xlfn.XLOOKUP(FME_Ranking1[[#This Row],[FME ID]],FME_Input[FME_ID],FME_Input[EMER_NEED])</f>
        <v>No</v>
      </c>
      <c r="G1942">
        <f>IF(FME_Ranking!F1942="Yes",100,0)</f>
        <v>0</v>
      </c>
      <c r="H1942">
        <f>FME_Ranking1[[#This Row],[Emergency Need Score (Normalized, Unweighted)]]*$F$3</f>
        <v>0</v>
      </c>
      <c r="I1942" s="246">
        <f>_xlfn.XLOOKUP(FME_Ranking1[[#This Row],[FME ID]],FME_Input[FME_ID],FME_Input[STRUCT_100])</f>
        <v>1</v>
      </c>
      <c r="J1942" s="178">
        <f>(FME_Ranking1[[#This Row],[Structures 100 Raw]]/I$2)*100</f>
        <v>5.3549243884676355E-4</v>
      </c>
      <c r="K1942" s="178">
        <f>FME_Ranking1[[#This Row],[Structures 100  Score (Normalized, Unweighted)]]*$I$3</f>
        <v>8.0323865827014533E-5</v>
      </c>
      <c r="L1942" s="246">
        <f>_xlfn.XLOOKUP(FME_Ranking1[[#This Row],[FME ID]],FME_Input[FME_ID],FME_Input[RES_STRUCT100])</f>
        <v>0</v>
      </c>
      <c r="M1942" s="230">
        <f>(FME_Ranking1[[#This Row],[Res Structures Raw]]/L$2)*100</f>
        <v>0</v>
      </c>
      <c r="N1942" s="180">
        <f>FME_Ranking1[[#This Row],[Res Structures Score (Normalized, Unweighted)]]*$L$3</f>
        <v>0</v>
      </c>
      <c r="O1942" s="244">
        <f>_xlfn.XLOOKUP(FME_Ranking1[[#This Row],[FME ID]],FME_Input[FME_ID],FME_Input[POP100])</f>
        <v>0</v>
      </c>
      <c r="P1942" s="178">
        <f>(FME_Ranking1[[#This Row],[Pop Raw]]/$O$2)*100</f>
        <v>0</v>
      </c>
      <c r="Q1942" s="178">
        <f>FME_Ranking1[[#This Row],[Pop Score (Normalized, Unweighted)]]*$O$3</f>
        <v>0</v>
      </c>
      <c r="R1942" s="137">
        <f>_xlfn.XLOOKUP(FME_Ranking1[[#This Row],[FME ID]],FME_Input[FME_ID],FME_Input[CRITFAC100])</f>
        <v>0</v>
      </c>
      <c r="S1942" s="230">
        <f>(FME_Ranking1[[#This Row],[Critical Facilities Raw]]/$R$2)*100</f>
        <v>0</v>
      </c>
      <c r="T1942" s="180">
        <f>FME_Ranking1[[#This Row],[Critical Facilities Score (Normalized, Unweighted)]]*$R$3</f>
        <v>0</v>
      </c>
      <c r="U1942">
        <f>_xlfn.XLOOKUP(FME_Ranking1[[#This Row],[FME ID]],FME_Input[FME_ID],FME_Input[LWC])</f>
        <v>0</v>
      </c>
      <c r="V1942" s="178">
        <f>(FME_Ranking1[[#This Row],[LWC Raw]]/$U$2)*100</f>
        <v>0</v>
      </c>
      <c r="W1942" s="178">
        <f>FME_Ranking1[[#This Row],[LWC Score (Normalized, Unweighted)]]*$U$3</f>
        <v>0</v>
      </c>
      <c r="X1942" s="246">
        <f>_xlfn.XLOOKUP(FME_Ranking1[[#This Row],[FME ID]],FME_Input[FME_ID],FME_Input[ROADCLS])</f>
        <v>0</v>
      </c>
      <c r="Y1942" s="230">
        <f>(FME_Ranking1[[#This Row],[Closures Raw]]/$X$2)*100</f>
        <v>0</v>
      </c>
      <c r="Z1942" s="180">
        <f>FME_Ranking1[[#This Row],[Closures Score (Normalized, Unweighted)]]*$X$3</f>
        <v>0</v>
      </c>
      <c r="AA1942" s="253">
        <f>_xlfn.XLOOKUP(FME_Ranking1[[#This Row],[FME ID]],FME_Input[FME_ID],FME_Input[ROAD_MILES100])</f>
        <v>0</v>
      </c>
      <c r="AB1942" s="178">
        <f>(FME_Ranking1[[#This Row],[Miles Raw]]/$AA$2)*100</f>
        <v>0</v>
      </c>
      <c r="AC1942" s="178">
        <f>FME_Ranking1[[#This Row],[Miles Score (Normalized, Unweighted)]]*$AA$3</f>
        <v>0</v>
      </c>
      <c r="AD1942" s="255">
        <f>_xlfn.XLOOKUP(FME_Ranking1[[#This Row],[FME ID]],FME_Input[FME_ID],FME_Input[FARMACRE100])</f>
        <v>637.3353271484375</v>
      </c>
      <c r="AE1942" s="230">
        <f>(FME_Ranking1[[#This Row],[Ag Land Raw]]/$AD$2)*100</f>
        <v>2.6280855857658169E-2</v>
      </c>
      <c r="AF1942" s="231">
        <f>FME_Ranking1[[#This Row],[Ag Land Score (Normalized, Unweighted)]]*$AD$3</f>
        <v>1.3140427928829085E-3</v>
      </c>
      <c r="AG194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1.3943666587099229E-3</v>
      </c>
      <c r="AH1942" s="406">
        <f t="shared" si="30"/>
        <v>1990</v>
      </c>
      <c r="AI194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1.3943666587099229E-3</v>
      </c>
      <c r="AJ1942" s="257">
        <f>FME_Ranking1[[#This Row],[Addition check]]-FME_Ranking1[[#This Row],[Weighted Score Based on Normalized Reported Factors]]</f>
        <v>0</v>
      </c>
      <c r="AK1942" s="178">
        <f>_xlfn.RANK.EQ(AI1942,$AI$6:$AI$2341,0)+COUNTIF($AI$6:AI1942,AI1942)-1</f>
        <v>1990</v>
      </c>
    </row>
    <row r="1943" spans="1:37" x14ac:dyDescent="0.25">
      <c r="A1943" t="s">
        <v>8820</v>
      </c>
      <c r="B1943">
        <f>_xlfn.XLOOKUP(FME_Ranking1[[#This Row],[FME ID]],FME_Input[FME_ID],FME_Input[RFPG_NUM])</f>
        <v>11</v>
      </c>
      <c r="C1943" t="str">
        <f>_xlfn.XLOOKUP(FME_Ranking1[[#This Row],[FME ID]],FME_Input[FME_ID],FME_Input[FME_NAME])</f>
        <v>City of Seguin Sewage Treatment Plant Floodproofing Project Planning</v>
      </c>
      <c r="D1943" t="str">
        <f>_xlfn.XLOOKUP(FME_Ranking1[[#This Row],[FME ID]],FME_Input[FME_ID],FME_Input[DESCR])</f>
        <v>Project planning for proposed project to flood-proof sewage treatment plants in flood hazard / low-lying areas.</v>
      </c>
      <c r="E1943" s="256">
        <f>_xlfn.XLOOKUP(FME_Ranking1[[#This Row],[FME ID]],FME_Input[FME_ID],FME_Input[FME_COST])</f>
        <v>100000</v>
      </c>
      <c r="F1943" t="str">
        <f>_xlfn.XLOOKUP(FME_Ranking1[[#This Row],[FME ID]],FME_Input[FME_ID],FME_Input[EMER_NEED])</f>
        <v>No</v>
      </c>
      <c r="G1943">
        <f>IF(FME_Ranking!F1943="Yes",100,0)</f>
        <v>0</v>
      </c>
      <c r="H1943">
        <f>FME_Ranking1[[#This Row],[Emergency Need Score (Normalized, Unweighted)]]*$F$3</f>
        <v>0</v>
      </c>
      <c r="I1943" s="246">
        <f>_xlfn.XLOOKUP(FME_Ranking1[[#This Row],[FME ID]],FME_Input[FME_ID],FME_Input[STRUCT_100])</f>
        <v>8</v>
      </c>
      <c r="J1943" s="178">
        <f>(FME_Ranking1[[#This Row],[Structures 100 Raw]]/I$2)*100</f>
        <v>4.2839395107741084E-3</v>
      </c>
      <c r="K1943" s="178">
        <f>FME_Ranking1[[#This Row],[Structures 100  Score (Normalized, Unweighted)]]*$I$3</f>
        <v>6.4259092661611626E-4</v>
      </c>
      <c r="L1943" s="246">
        <f>_xlfn.XLOOKUP(FME_Ranking1[[#This Row],[FME ID]],FME_Input[FME_ID],FME_Input[RES_STRUCT100])</f>
        <v>0</v>
      </c>
      <c r="M1943" s="230">
        <f>(FME_Ranking1[[#This Row],[Res Structures Raw]]/L$2)*100</f>
        <v>0</v>
      </c>
      <c r="N1943" s="180">
        <f>FME_Ranking1[[#This Row],[Res Structures Score (Normalized, Unweighted)]]*$L$3</f>
        <v>0</v>
      </c>
      <c r="O1943" s="244">
        <f>_xlfn.XLOOKUP(FME_Ranking1[[#This Row],[FME ID]],FME_Input[FME_ID],FME_Input[POP100])</f>
        <v>48</v>
      </c>
      <c r="P1943" s="178">
        <f>(FME_Ranking1[[#This Row],[Pop Raw]]/$O$2)*100</f>
        <v>4.914014975460638E-3</v>
      </c>
      <c r="Q1943" s="178">
        <f>FME_Ranking1[[#This Row],[Pop Score (Normalized, Unweighted)]]*$O$3</f>
        <v>7.3710224631909566E-4</v>
      </c>
      <c r="R1943" s="137">
        <f>_xlfn.XLOOKUP(FME_Ranking1[[#This Row],[FME ID]],FME_Input[FME_ID],FME_Input[CRITFAC100])</f>
        <v>0</v>
      </c>
      <c r="S1943" s="230">
        <f>(FME_Ranking1[[#This Row],[Critical Facilities Raw]]/$R$2)*100</f>
        <v>0</v>
      </c>
      <c r="T1943" s="180">
        <f>FME_Ranking1[[#This Row],[Critical Facilities Score (Normalized, Unweighted)]]*$R$3</f>
        <v>0</v>
      </c>
      <c r="U1943">
        <f>_xlfn.XLOOKUP(FME_Ranking1[[#This Row],[FME ID]],FME_Input[FME_ID],FME_Input[LWC])</f>
        <v>0</v>
      </c>
      <c r="V1943" s="178">
        <f>(FME_Ranking1[[#This Row],[LWC Raw]]/$U$2)*100</f>
        <v>0</v>
      </c>
      <c r="W1943" s="178">
        <f>FME_Ranking1[[#This Row],[LWC Score (Normalized, Unweighted)]]*$U$3</f>
        <v>0</v>
      </c>
      <c r="X1943" s="246">
        <f>_xlfn.XLOOKUP(FME_Ranking1[[#This Row],[FME ID]],FME_Input[FME_ID],FME_Input[ROADCLS])</f>
        <v>0</v>
      </c>
      <c r="Y1943" s="230">
        <f>(FME_Ranking1[[#This Row],[Closures Raw]]/$X$2)*100</f>
        <v>0</v>
      </c>
      <c r="Z1943" s="180">
        <f>FME_Ranking1[[#This Row],[Closures Score (Normalized, Unweighted)]]*$X$3</f>
        <v>0</v>
      </c>
      <c r="AA1943" s="253">
        <f>_xlfn.XLOOKUP(FME_Ranking1[[#This Row],[FME ID]],FME_Input[FME_ID],FME_Input[ROAD_MILES100])</f>
        <v>0.15665628015995031</v>
      </c>
      <c r="AB1943" s="178">
        <f>(FME_Ranking1[[#This Row],[Miles Raw]]/$AA$2)*100</f>
        <v>2.0597491078741532E-3</v>
      </c>
      <c r="AC1943" s="178">
        <f>FME_Ranking1[[#This Row],[Miles Score (Normalized, Unweighted)]]*$AA$3</f>
        <v>2.0597491078741534E-4</v>
      </c>
      <c r="AD1943" s="255">
        <f>_xlfn.XLOOKUP(FME_Ranking1[[#This Row],[FME ID]],FME_Input[FME_ID],FME_Input[FARMACRE100])</f>
        <v>0</v>
      </c>
      <c r="AE1943" s="230">
        <f>(FME_Ranking1[[#This Row],[Ag Land Raw]]/$AD$2)*100</f>
        <v>0</v>
      </c>
      <c r="AF1943" s="231">
        <f>FME_Ranking1[[#This Row],[Ag Land Score (Normalized, Unweighted)]]*$AD$3</f>
        <v>0</v>
      </c>
      <c r="AG194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1.5856680837226273E-3</v>
      </c>
      <c r="AH1943" s="406">
        <f t="shared" si="30"/>
        <v>1978</v>
      </c>
      <c r="AI194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1.5856680837226273E-3</v>
      </c>
      <c r="AJ1943" s="257">
        <f>FME_Ranking1[[#This Row],[Addition check]]-FME_Ranking1[[#This Row],[Weighted Score Based on Normalized Reported Factors]]</f>
        <v>0</v>
      </c>
      <c r="AK1943" s="178">
        <f>_xlfn.RANK.EQ(AI1943,$AI$6:$AI$2341,0)+COUNTIF($AI$6:AI1943,AI1943)-1</f>
        <v>1978</v>
      </c>
    </row>
    <row r="1944" spans="1:37" x14ac:dyDescent="0.25">
      <c r="A1944" t="s">
        <v>520</v>
      </c>
      <c r="B1944">
        <f>_xlfn.XLOOKUP(FME_Ranking1[[#This Row],[FME ID]],FME_Input[FME_ID],FME_Input[RFPG_NUM])</f>
        <v>10</v>
      </c>
      <c r="C1944" t="str">
        <f>_xlfn.XLOOKUP(FME_Ranking1[[#This Row],[FME ID]],FME_Input[FME_ID],FME_Input[FME_NAME])</f>
        <v>Citywide Drainage Study</v>
      </c>
      <c r="D1944" t="str">
        <f>_xlfn.XLOOKUP(FME_Ranking1[[#This Row],[FME ID]],FME_Input[FME_ID],FME_Input[DESCR])</f>
        <v>Complete engineering studies and determine project designs for stormwater flood prevention</v>
      </c>
      <c r="E1944" s="256">
        <f>_xlfn.XLOOKUP(FME_Ranking1[[#This Row],[FME ID]],FME_Input[FME_ID],FME_Input[FME_COST])</f>
        <v>250000</v>
      </c>
      <c r="F1944" t="str">
        <f>_xlfn.XLOOKUP(FME_Ranking1[[#This Row],[FME ID]],FME_Input[FME_ID],FME_Input[EMER_NEED])</f>
        <v>No</v>
      </c>
      <c r="G1944">
        <f>IF(FME_Ranking!F1944="Yes",100,0)</f>
        <v>0</v>
      </c>
      <c r="H1944">
        <f>FME_Ranking1[[#This Row],[Emergency Need Score (Normalized, Unweighted)]]*$F$3</f>
        <v>0</v>
      </c>
      <c r="I1944" s="246">
        <f>_xlfn.XLOOKUP(FME_Ranking1[[#This Row],[FME ID]],FME_Input[FME_ID],FME_Input[STRUCT_100])</f>
        <v>8</v>
      </c>
      <c r="J1944" s="178">
        <f>(FME_Ranking1[[#This Row],[Structures 100 Raw]]/I$2)*100</f>
        <v>4.2839395107741084E-3</v>
      </c>
      <c r="K1944" s="178">
        <f>FME_Ranking1[[#This Row],[Structures 100  Score (Normalized, Unweighted)]]*$I$3</f>
        <v>6.4259092661611626E-4</v>
      </c>
      <c r="L1944" s="246">
        <f>_xlfn.XLOOKUP(FME_Ranking1[[#This Row],[FME ID]],FME_Input[FME_ID],FME_Input[RES_STRUCT100])</f>
        <v>8</v>
      </c>
      <c r="M1944" s="230">
        <f>(FME_Ranking1[[#This Row],[Res Structures Raw]]/L$2)*100</f>
        <v>5.666444730914706E-3</v>
      </c>
      <c r="N1944" s="180">
        <f>FME_Ranking1[[#This Row],[Res Structures Score (Normalized, Unweighted)]]*$L$3</f>
        <v>5.6664447309147067E-4</v>
      </c>
      <c r="O1944" s="244">
        <f>_xlfn.XLOOKUP(FME_Ranking1[[#This Row],[FME ID]],FME_Input[FME_ID],FME_Input[POP100])</f>
        <v>10</v>
      </c>
      <c r="P1944" s="178">
        <f>(FME_Ranking1[[#This Row],[Pop Raw]]/$O$2)*100</f>
        <v>1.0237531198876329E-3</v>
      </c>
      <c r="Q1944" s="178">
        <f>FME_Ranking1[[#This Row],[Pop Score (Normalized, Unweighted)]]*$O$3</f>
        <v>1.5356296798314494E-4</v>
      </c>
      <c r="R1944" s="137">
        <f>_xlfn.XLOOKUP(FME_Ranking1[[#This Row],[FME ID]],FME_Input[FME_ID],FME_Input[CRITFAC100])</f>
        <v>0</v>
      </c>
      <c r="S1944" s="230">
        <f>(FME_Ranking1[[#This Row],[Critical Facilities Raw]]/$R$2)*100</f>
        <v>0</v>
      </c>
      <c r="T1944" s="180">
        <f>FME_Ranking1[[#This Row],[Critical Facilities Score (Normalized, Unweighted)]]*$R$3</f>
        <v>0</v>
      </c>
      <c r="U1944">
        <f>_xlfn.XLOOKUP(FME_Ranking1[[#This Row],[FME ID]],FME_Input[FME_ID],FME_Input[LWC])</f>
        <v>0</v>
      </c>
      <c r="V1944" s="178">
        <f>(FME_Ranking1[[#This Row],[LWC Raw]]/$U$2)*100</f>
        <v>0</v>
      </c>
      <c r="W1944" s="178">
        <f>FME_Ranking1[[#This Row],[LWC Score (Normalized, Unweighted)]]*$U$3</f>
        <v>0</v>
      </c>
      <c r="X1944" s="246">
        <f>_xlfn.XLOOKUP(FME_Ranking1[[#This Row],[FME ID]],FME_Input[FME_ID],FME_Input[ROADCLS])</f>
        <v>0</v>
      </c>
      <c r="Y1944" s="230">
        <f>(FME_Ranking1[[#This Row],[Closures Raw]]/$X$2)*100</f>
        <v>0</v>
      </c>
      <c r="Z1944" s="180">
        <f>FME_Ranking1[[#This Row],[Closures Score (Normalized, Unweighted)]]*$X$3</f>
        <v>0</v>
      </c>
      <c r="AA1944" s="253">
        <f>_xlfn.XLOOKUP(FME_Ranking1[[#This Row],[FME ID]],FME_Input[FME_ID],FME_Input[ROAD_MILES100])</f>
        <v>0.1030193418264389</v>
      </c>
      <c r="AB1944" s="178">
        <f>(FME_Ranking1[[#This Row],[Miles Raw]]/$AA$2)*100</f>
        <v>1.3545195711537009E-3</v>
      </c>
      <c r="AC1944" s="178">
        <f>FME_Ranking1[[#This Row],[Miles Score (Normalized, Unweighted)]]*$AA$3</f>
        <v>1.3545195711537009E-4</v>
      </c>
      <c r="AD1944" s="255">
        <f>_xlfn.XLOOKUP(FME_Ranking1[[#This Row],[FME ID]],FME_Input[FME_ID],FME_Input[FARMACRE100])</f>
        <v>4.9766864776611328</v>
      </c>
      <c r="AE1944" s="230">
        <f>(FME_Ranking1[[#This Row],[Ag Land Raw]]/$AD$2)*100</f>
        <v>2.0521627218336665E-4</v>
      </c>
      <c r="AF1944" s="231">
        <f>FME_Ranking1[[#This Row],[Ag Land Score (Normalized, Unweighted)]]*$AD$3</f>
        <v>1.0260813609168332E-5</v>
      </c>
      <c r="AG194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1.5085111384152701E-3</v>
      </c>
      <c r="AH1944" s="406">
        <f t="shared" si="30"/>
        <v>1984</v>
      </c>
      <c r="AI194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1.5085111384152701E-3</v>
      </c>
      <c r="AJ1944" s="257">
        <f>FME_Ranking1[[#This Row],[Addition check]]-FME_Ranking1[[#This Row],[Weighted Score Based on Normalized Reported Factors]]</f>
        <v>0</v>
      </c>
      <c r="AK1944" s="178">
        <f>_xlfn.RANK.EQ(AI1944,$AI$6:$AI$2341,0)+COUNTIF($AI$6:AI1944,AI1944)-1</f>
        <v>1984</v>
      </c>
    </row>
    <row r="1945" spans="1:37" x14ac:dyDescent="0.25">
      <c r="A1945" t="s">
        <v>10122</v>
      </c>
      <c r="B1945">
        <f>_xlfn.XLOOKUP(FME_Ranking1[[#This Row],[FME ID]],FME_Input[FME_ID],FME_Input[RFPG_NUM])</f>
        <v>13</v>
      </c>
      <c r="C1945" t="str">
        <f>_xlfn.XLOOKUP(FME_Ranking1[[#This Row],[FME ID]],FME_Input[FME_ID],FME_Input[FME_NAME])</f>
        <v>S Roosevelt Street and E Haynes Avenue Drainage- FH#7</v>
      </c>
      <c r="D1945" t="str">
        <f>_xlfn.XLOOKUP(FME_Ranking1[[#This Row],[FME ID]],FME_Input[FME_ID],FME_Input[DESCR])</f>
        <v>Install series of underground storm water lines and drop structures along S Roosevelt Street and E Carter Street acquiring drainage easement of 27000 SF south west of S Roosevelt Street tying in to the existing earthen channel on S Oak Street.</v>
      </c>
      <c r="E1945" s="256">
        <f>_xlfn.XLOOKUP(FME_Ranking1[[#This Row],[FME ID]],FME_Input[FME_ID],FME_Input[FME_COST])</f>
        <v>764000</v>
      </c>
      <c r="F1945" t="str">
        <f>_xlfn.XLOOKUP(FME_Ranking1[[#This Row],[FME ID]],FME_Input[FME_ID],FME_Input[EMER_NEED])</f>
        <v>Yes</v>
      </c>
      <c r="G1945">
        <f>IF(FME_Ranking!F1945="Yes",100,0)</f>
        <v>100</v>
      </c>
      <c r="H1945">
        <f>FME_Ranking1[[#This Row],[Emergency Need Score (Normalized, Unweighted)]]*$F$3</f>
        <v>0</v>
      </c>
      <c r="I1945" s="246">
        <f>_xlfn.XLOOKUP(FME_Ranking1[[#This Row],[FME ID]],FME_Input[FME_ID],FME_Input[STRUCT_100])</f>
        <v>2</v>
      </c>
      <c r="J1945" s="178">
        <f>(FME_Ranking1[[#This Row],[Structures 100 Raw]]/I$2)*100</f>
        <v>1.0709848776935271E-3</v>
      </c>
      <c r="K1945" s="178">
        <f>FME_Ranking1[[#This Row],[Structures 100  Score (Normalized, Unweighted)]]*$I$3</f>
        <v>1.6064773165402907E-4</v>
      </c>
      <c r="L1945" s="246">
        <f>_xlfn.XLOOKUP(FME_Ranking1[[#This Row],[FME ID]],FME_Input[FME_ID],FME_Input[RES_STRUCT100])</f>
        <v>2</v>
      </c>
      <c r="M1945" s="230">
        <f>(FME_Ranking1[[#This Row],[Res Structures Raw]]/L$2)*100</f>
        <v>1.4166111827286765E-3</v>
      </c>
      <c r="N1945" s="180">
        <f>FME_Ranking1[[#This Row],[Res Structures Score (Normalized, Unweighted)]]*$L$3</f>
        <v>1.4166111827286767E-4</v>
      </c>
      <c r="O1945" s="244">
        <f>_xlfn.XLOOKUP(FME_Ranking1[[#This Row],[FME ID]],FME_Input[FME_ID],FME_Input[POP100])</f>
        <v>1</v>
      </c>
      <c r="P1945" s="178">
        <f>(FME_Ranking1[[#This Row],[Pop Raw]]/$O$2)*100</f>
        <v>1.0237531198876328E-4</v>
      </c>
      <c r="Q1945" s="178">
        <f>FME_Ranking1[[#This Row],[Pop Score (Normalized, Unweighted)]]*$O$3</f>
        <v>1.5356296798314492E-5</v>
      </c>
      <c r="R1945" s="137">
        <f>_xlfn.XLOOKUP(FME_Ranking1[[#This Row],[FME ID]],FME_Input[FME_ID],FME_Input[CRITFAC100])</f>
        <v>0</v>
      </c>
      <c r="S1945" s="230">
        <f>(FME_Ranking1[[#This Row],[Critical Facilities Raw]]/$R$2)*100</f>
        <v>0</v>
      </c>
      <c r="T1945" s="180">
        <f>FME_Ranking1[[#This Row],[Critical Facilities Score (Normalized, Unweighted)]]*$R$3</f>
        <v>0</v>
      </c>
      <c r="U1945">
        <f>_xlfn.XLOOKUP(FME_Ranking1[[#This Row],[FME ID]],FME_Input[FME_ID],FME_Input[LWC])</f>
        <v>0</v>
      </c>
      <c r="V1945" s="178">
        <f>(FME_Ranking1[[#This Row],[LWC Raw]]/$U$2)*100</f>
        <v>0</v>
      </c>
      <c r="W1945" s="178">
        <f>FME_Ranking1[[#This Row],[LWC Score (Normalized, Unweighted)]]*$U$3</f>
        <v>0</v>
      </c>
      <c r="X1945" s="246">
        <f>_xlfn.XLOOKUP(FME_Ranking1[[#This Row],[FME ID]],FME_Input[FME_ID],FME_Input[ROADCLS])</f>
        <v>2</v>
      </c>
      <c r="Y1945" s="230">
        <f>(FME_Ranking1[[#This Row],[Closures Raw]]/$X$2)*100</f>
        <v>2.1028283040689728E-2</v>
      </c>
      <c r="Z1945" s="180">
        <f>FME_Ranking1[[#This Row],[Closures Score (Normalized, Unweighted)]]*$X$3</f>
        <v>1.0514141520344864E-3</v>
      </c>
      <c r="AA1945" s="253">
        <f>_xlfn.XLOOKUP(FME_Ranking1[[#This Row],[FME ID]],FME_Input[FME_ID],FME_Input[ROAD_MILES100])</f>
        <v>4.3037571012973792E-2</v>
      </c>
      <c r="AB1945" s="178">
        <f>(FME_Ranking1[[#This Row],[Miles Raw]]/$AA$2)*100</f>
        <v>5.6586686731315656E-4</v>
      </c>
      <c r="AC1945" s="178">
        <f>FME_Ranking1[[#This Row],[Miles Score (Normalized, Unweighted)]]*$AA$3</f>
        <v>5.6586686731315656E-5</v>
      </c>
      <c r="AD1945" s="255">
        <f>_xlfn.XLOOKUP(FME_Ranking1[[#This Row],[FME ID]],FME_Input[FME_ID],FME_Input[FARMACRE100])</f>
        <v>1.277129530906677</v>
      </c>
      <c r="AE1945" s="230">
        <f>(FME_Ranking1[[#This Row],[Ag Land Raw]]/$AD$2)*100</f>
        <v>5.2663104779534354E-5</v>
      </c>
      <c r="AF1945" s="231">
        <f>FME_Ranking1[[#This Row],[Ag Land Score (Normalized, Unweighted)]]*$AD$3</f>
        <v>2.633155238976718E-6</v>
      </c>
      <c r="AG194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1.42829914072999E-3</v>
      </c>
      <c r="AH1945" s="406">
        <f t="shared" si="30"/>
        <v>1989</v>
      </c>
      <c r="AI194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1.42829914072999E-3</v>
      </c>
      <c r="AJ1945" s="257">
        <f>FME_Ranking1[[#This Row],[Addition check]]-FME_Ranking1[[#This Row],[Weighted Score Based on Normalized Reported Factors]]</f>
        <v>0</v>
      </c>
      <c r="AK1945" s="178">
        <f>_xlfn.RANK.EQ(AI1945,$AI$6:$AI$2341,0)+COUNTIF($AI$6:AI1945,AI1945)-1</f>
        <v>1989</v>
      </c>
    </row>
    <row r="1946" spans="1:37" x14ac:dyDescent="0.25">
      <c r="A1946" t="s">
        <v>4245</v>
      </c>
      <c r="B1946">
        <f>_xlfn.XLOOKUP(FME_Ranking1[[#This Row],[FME ID]],FME_Input[FME_ID],FME_Input[RFPG_NUM])</f>
        <v>3</v>
      </c>
      <c r="C1946" t="str">
        <f>_xlfn.XLOOKUP(FME_Ranking1[[#This Row],[FME ID]],FME_Input[FME_ID],FME_Input[FME_NAME])</f>
        <v>Town of Dish DMP</v>
      </c>
      <c r="D1946" t="str">
        <f>_xlfn.XLOOKUP(FME_Ranking1[[#This Row],[FME ID]],FME_Input[FME_ID],FME_Input[DESCR])</f>
        <v>Evaluate City and identify future projects.</v>
      </c>
      <c r="E1946" s="256">
        <f>_xlfn.XLOOKUP(FME_Ranking1[[#This Row],[FME ID]],FME_Input[FME_ID],FME_Input[FME_COST])</f>
        <v>250000</v>
      </c>
      <c r="F1946" t="str">
        <f>_xlfn.XLOOKUP(FME_Ranking1[[#This Row],[FME ID]],FME_Input[FME_ID],FME_Input[EMER_NEED])</f>
        <v>No</v>
      </c>
      <c r="G1946">
        <f>IF(FME_Ranking!F1946="Yes",100,0)</f>
        <v>0</v>
      </c>
      <c r="H1946">
        <f>FME_Ranking1[[#This Row],[Emergency Need Score (Normalized, Unweighted)]]*$F$3</f>
        <v>0</v>
      </c>
      <c r="I1946" s="246">
        <f>_xlfn.XLOOKUP(FME_Ranking1[[#This Row],[FME ID]],FME_Input[FME_ID],FME_Input[STRUCT_100])</f>
        <v>8</v>
      </c>
      <c r="J1946" s="178">
        <f>(FME_Ranking1[[#This Row],[Structures 100 Raw]]/I$2)*100</f>
        <v>4.2839395107741084E-3</v>
      </c>
      <c r="K1946" s="178">
        <f>FME_Ranking1[[#This Row],[Structures 100  Score (Normalized, Unweighted)]]*$I$3</f>
        <v>6.4259092661611626E-4</v>
      </c>
      <c r="L1946" s="246">
        <f>_xlfn.XLOOKUP(FME_Ranking1[[#This Row],[FME ID]],FME_Input[FME_ID],FME_Input[RES_STRUCT100])</f>
        <v>2</v>
      </c>
      <c r="M1946" s="230">
        <f>(FME_Ranking1[[#This Row],[Res Structures Raw]]/L$2)*100</f>
        <v>1.4166111827286765E-3</v>
      </c>
      <c r="N1946" s="180">
        <f>FME_Ranking1[[#This Row],[Res Structures Score (Normalized, Unweighted)]]*$L$3</f>
        <v>1.4166111827286767E-4</v>
      </c>
      <c r="O1946" s="244">
        <f>_xlfn.XLOOKUP(FME_Ranking1[[#This Row],[FME ID]],FME_Input[FME_ID],FME_Input[POP100])</f>
        <v>13</v>
      </c>
      <c r="P1946" s="178">
        <f>(FME_Ranking1[[#This Row],[Pop Raw]]/$O$2)*100</f>
        <v>1.3308790558539227E-3</v>
      </c>
      <c r="Q1946" s="178">
        <f>FME_Ranking1[[#This Row],[Pop Score (Normalized, Unweighted)]]*$O$3</f>
        <v>1.9963185837808839E-4</v>
      </c>
      <c r="R1946" s="137">
        <f>_xlfn.XLOOKUP(FME_Ranking1[[#This Row],[FME ID]],FME_Input[FME_ID],FME_Input[CRITFAC100])</f>
        <v>0</v>
      </c>
      <c r="S1946" s="230">
        <f>(FME_Ranking1[[#This Row],[Critical Facilities Raw]]/$R$2)*100</f>
        <v>0</v>
      </c>
      <c r="T1946" s="180">
        <f>FME_Ranking1[[#This Row],[Critical Facilities Score (Normalized, Unweighted)]]*$R$3</f>
        <v>0</v>
      </c>
      <c r="U1946">
        <f>_xlfn.XLOOKUP(FME_Ranking1[[#This Row],[FME ID]],FME_Input[FME_ID],FME_Input[LWC])</f>
        <v>0</v>
      </c>
      <c r="V1946" s="178">
        <f>(FME_Ranking1[[#This Row],[LWC Raw]]/$U$2)*100</f>
        <v>0</v>
      </c>
      <c r="W1946" s="178">
        <f>FME_Ranking1[[#This Row],[LWC Score (Normalized, Unweighted)]]*$U$3</f>
        <v>0</v>
      </c>
      <c r="X1946" s="246">
        <f>_xlfn.XLOOKUP(FME_Ranking1[[#This Row],[FME ID]],FME_Input[FME_ID],FME_Input[ROADCLS])</f>
        <v>0</v>
      </c>
      <c r="Y1946" s="230">
        <f>(FME_Ranking1[[#This Row],[Closures Raw]]/$X$2)*100</f>
        <v>0</v>
      </c>
      <c r="Z1946" s="180">
        <f>FME_Ranking1[[#This Row],[Closures Score (Normalized, Unweighted)]]*$X$3</f>
        <v>0</v>
      </c>
      <c r="AA1946" s="253">
        <f>_xlfn.XLOOKUP(FME_Ranking1[[#This Row],[FME ID]],FME_Input[FME_ID],FME_Input[ROAD_MILES100])</f>
        <v>0.13871780037879941</v>
      </c>
      <c r="AB1946" s="178">
        <f>(FME_Ranking1[[#This Row],[Miles Raw]]/$AA$2)*100</f>
        <v>1.8238902729259567E-3</v>
      </c>
      <c r="AC1946" s="178">
        <f>FME_Ranking1[[#This Row],[Miles Score (Normalized, Unweighted)]]*$AA$3</f>
        <v>1.8238902729259568E-4</v>
      </c>
      <c r="AD1946" s="255">
        <f>_xlfn.XLOOKUP(FME_Ranking1[[#This Row],[FME ID]],FME_Input[FME_ID],FME_Input[FARMACRE100])</f>
        <v>180.85670471191409</v>
      </c>
      <c r="AE1946" s="230">
        <f>(FME_Ranking1[[#This Row],[Ag Land Raw]]/$AD$2)*100</f>
        <v>7.457720896613433E-3</v>
      </c>
      <c r="AF1946" s="231">
        <f>FME_Ranking1[[#This Row],[Ag Land Score (Normalized, Unweighted)]]*$AD$3</f>
        <v>3.7288604483067168E-4</v>
      </c>
      <c r="AG194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1.5391589753903398E-3</v>
      </c>
      <c r="AH1946" s="406">
        <f t="shared" si="30"/>
        <v>1983</v>
      </c>
      <c r="AI194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1.5391589753903398E-3</v>
      </c>
      <c r="AJ1946" s="257">
        <f>FME_Ranking1[[#This Row],[Addition check]]-FME_Ranking1[[#This Row],[Weighted Score Based on Normalized Reported Factors]]</f>
        <v>0</v>
      </c>
      <c r="AK1946" s="178">
        <f>_xlfn.RANK.EQ(AI1946,$AI$6:$AI$2341,0)+COUNTIF($AI$6:AI1946,AI1946)-1</f>
        <v>1983</v>
      </c>
    </row>
    <row r="1947" spans="1:37" x14ac:dyDescent="0.25">
      <c r="A1947" t="s">
        <v>9761</v>
      </c>
      <c r="B1947">
        <f>_xlfn.XLOOKUP(FME_Ranking1[[#This Row],[FME ID]],FME_Input[FME_ID],FME_Input[RFPG_NUM])</f>
        <v>12</v>
      </c>
      <c r="C1947" t="str">
        <f>_xlfn.XLOOKUP(FME_Ranking1[[#This Row],[FME ID]],FME_Input[FME_ID],FME_Input[FME_NAME])</f>
        <v>Bandera WWTP Study</v>
      </c>
      <c r="D1947" t="str">
        <f>_xlfn.XLOOKUP(FME_Ranking1[[#This Row],[FME ID]],FME_Input[FME_ID],FME_Input[DESCR])</f>
        <v>Wastewater treatment plant is in 100 yr floodplain. Study to find solutions.</v>
      </c>
      <c r="E1947" s="256">
        <f>_xlfn.XLOOKUP(FME_Ranking1[[#This Row],[FME ID]],FME_Input[FME_ID],FME_Input[FME_COST])</f>
        <v>150000</v>
      </c>
      <c r="F1947" t="str">
        <f>_xlfn.XLOOKUP(FME_Ranking1[[#This Row],[FME ID]],FME_Input[FME_ID],FME_Input[EMER_NEED])</f>
        <v>Yes</v>
      </c>
      <c r="G1947">
        <f>IF(FME_Ranking!F1947="Yes",100,0)</f>
        <v>100</v>
      </c>
      <c r="H1947">
        <f>FME_Ranking1[[#This Row],[Emergency Need Score (Normalized, Unweighted)]]*$F$3</f>
        <v>0</v>
      </c>
      <c r="I1947" s="246">
        <f>_xlfn.XLOOKUP(FME_Ranking1[[#This Row],[FME ID]],FME_Input[FME_ID],FME_Input[STRUCT_100])</f>
        <v>2</v>
      </c>
      <c r="J1947" s="178">
        <f>(FME_Ranking1[[#This Row],[Structures 100 Raw]]/I$2)*100</f>
        <v>1.0709848776935271E-3</v>
      </c>
      <c r="K1947" s="178">
        <f>FME_Ranking1[[#This Row],[Structures 100  Score (Normalized, Unweighted)]]*$I$3</f>
        <v>1.6064773165402907E-4</v>
      </c>
      <c r="L1947" s="246">
        <f>_xlfn.XLOOKUP(FME_Ranking1[[#This Row],[FME ID]],FME_Input[FME_ID],FME_Input[RES_STRUCT100])</f>
        <v>2</v>
      </c>
      <c r="M1947" s="230">
        <f>(FME_Ranking1[[#This Row],[Res Structures Raw]]/L$2)*100</f>
        <v>1.4166111827286765E-3</v>
      </c>
      <c r="N1947" s="180">
        <f>FME_Ranking1[[#This Row],[Res Structures Score (Normalized, Unweighted)]]*$L$3</f>
        <v>1.4166111827286767E-4</v>
      </c>
      <c r="O1947" s="244">
        <f>_xlfn.XLOOKUP(FME_Ranking1[[#This Row],[FME ID]],FME_Input[FME_ID],FME_Input[POP100])</f>
        <v>0</v>
      </c>
      <c r="P1947" s="178">
        <f>(FME_Ranking1[[#This Row],[Pop Raw]]/$O$2)*100</f>
        <v>0</v>
      </c>
      <c r="Q1947" s="178">
        <f>FME_Ranking1[[#This Row],[Pop Score (Normalized, Unweighted)]]*$O$3</f>
        <v>0</v>
      </c>
      <c r="R1947" s="137">
        <f>_xlfn.XLOOKUP(FME_Ranking1[[#This Row],[FME ID]],FME_Input[FME_ID],FME_Input[CRITFAC100])</f>
        <v>0</v>
      </c>
      <c r="S1947" s="230">
        <f>(FME_Ranking1[[#This Row],[Critical Facilities Raw]]/$R$2)*100</f>
        <v>0</v>
      </c>
      <c r="T1947" s="180">
        <f>FME_Ranking1[[#This Row],[Critical Facilities Score (Normalized, Unweighted)]]*$R$3</f>
        <v>0</v>
      </c>
      <c r="U1947">
        <f>_xlfn.XLOOKUP(FME_Ranking1[[#This Row],[FME ID]],FME_Input[FME_ID],FME_Input[LWC])</f>
        <v>0</v>
      </c>
      <c r="V1947" s="178">
        <f>(FME_Ranking1[[#This Row],[LWC Raw]]/$U$2)*100</f>
        <v>0</v>
      </c>
      <c r="W1947" s="178">
        <f>FME_Ranking1[[#This Row],[LWC Score (Normalized, Unweighted)]]*$U$3</f>
        <v>0</v>
      </c>
      <c r="X1947" s="246">
        <f>_xlfn.XLOOKUP(FME_Ranking1[[#This Row],[FME ID]],FME_Input[FME_ID],FME_Input[ROADCLS])</f>
        <v>2</v>
      </c>
      <c r="Y1947" s="230">
        <f>(FME_Ranking1[[#This Row],[Closures Raw]]/$X$2)*100</f>
        <v>2.1028283040689728E-2</v>
      </c>
      <c r="Z1947" s="180">
        <f>FME_Ranking1[[#This Row],[Closures Score (Normalized, Unweighted)]]*$X$3</f>
        <v>1.0514141520344864E-3</v>
      </c>
      <c r="AA1947" s="253">
        <f>_xlfn.XLOOKUP(FME_Ranking1[[#This Row],[FME ID]],FME_Input[FME_ID],FME_Input[ROAD_MILES100])</f>
        <v>9.9999997764825821E-3</v>
      </c>
      <c r="AB1947" s="178">
        <f>(FME_Ranking1[[#This Row],[Miles Raw]]/$AA$2)*100</f>
        <v>1.3148206121912974E-4</v>
      </c>
      <c r="AC1947" s="178">
        <f>FME_Ranking1[[#This Row],[Miles Score (Normalized, Unweighted)]]*$AA$3</f>
        <v>1.3148206121912975E-5</v>
      </c>
      <c r="AD1947" s="255">
        <f>_xlfn.XLOOKUP(FME_Ranking1[[#This Row],[FME ID]],FME_Input[FME_ID],FME_Input[FARMACRE100])</f>
        <v>0.79224199056625366</v>
      </c>
      <c r="AE1947" s="230">
        <f>(FME_Ranking1[[#This Row],[Ag Land Raw]]/$AD$2)*100</f>
        <v>3.2668513216758601E-5</v>
      </c>
      <c r="AF1947" s="231">
        <f>FME_Ranking1[[#This Row],[Ag Land Score (Normalized, Unweighted)]]*$AD$3</f>
        <v>1.6334256608379301E-6</v>
      </c>
      <c r="AG194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1.368504633744134E-3</v>
      </c>
      <c r="AH1947" s="406">
        <f t="shared" si="30"/>
        <v>1993</v>
      </c>
      <c r="AI194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1.368504633744134E-3</v>
      </c>
      <c r="AJ1947" s="257">
        <f>FME_Ranking1[[#This Row],[Addition check]]-FME_Ranking1[[#This Row],[Weighted Score Based on Normalized Reported Factors]]</f>
        <v>0</v>
      </c>
      <c r="AK1947" s="178">
        <f>_xlfn.RANK.EQ(AI1947,$AI$6:$AI$2341,0)+COUNTIF($AI$6:AI1947,AI1947)-1</f>
        <v>1993</v>
      </c>
    </row>
    <row r="1948" spans="1:37" x14ac:dyDescent="0.25">
      <c r="A1948" t="s">
        <v>11064</v>
      </c>
      <c r="B1948">
        <f>_xlfn.XLOOKUP(FME_Ranking1[[#This Row],[FME ID]],FME_Input[FME_ID],FME_Input[RFPG_NUM])</f>
        <v>15</v>
      </c>
      <c r="C1948" t="str">
        <f>_xlfn.XLOOKUP(FME_Ranking1[[#This Row],[FME ID]],FME_Input[FME_ID],FME_Input[FME_NAME])</f>
        <v>Risk Area 13 Celle De Los Santos neighborhood. Additional culvert under irrigation canal.</v>
      </c>
      <c r="D1948" t="str">
        <f>_xlfn.XLOOKUP(FME_Ranking1[[#This Row],[FME ID]],FME_Input[FME_ID],FME_Input[DESCR])</f>
        <v>Project includes upgrading existing culvert crossing irrigation canal from 2-6'x4' RCB to 4-6'x4' RCB.</v>
      </c>
      <c r="E1948" s="256">
        <f>_xlfn.XLOOKUP(FME_Ranking1[[#This Row],[FME ID]],FME_Input[FME_ID],FME_Input[FME_COST])</f>
        <v>27225</v>
      </c>
      <c r="F1948" t="str">
        <f>_xlfn.XLOOKUP(FME_Ranking1[[#This Row],[FME ID]],FME_Input[FME_ID],FME_Input[EMER_NEED])</f>
        <v>Yes</v>
      </c>
      <c r="G1948">
        <f>IF(FME_Ranking!F1948="Yes",100,0)</f>
        <v>100</v>
      </c>
      <c r="H1948">
        <f>FME_Ranking1[[#This Row],[Emergency Need Score (Normalized, Unweighted)]]*$F$3</f>
        <v>0</v>
      </c>
      <c r="I1948" s="246">
        <f>_xlfn.XLOOKUP(FME_Ranking1[[#This Row],[FME ID]],FME_Input[FME_ID],FME_Input[STRUCT_100])</f>
        <v>0</v>
      </c>
      <c r="J1948" s="178">
        <f>(FME_Ranking1[[#This Row],[Structures 100 Raw]]/I$2)*100</f>
        <v>0</v>
      </c>
      <c r="K1948" s="178">
        <f>FME_Ranking1[[#This Row],[Structures 100  Score (Normalized, Unweighted)]]*$I$3</f>
        <v>0</v>
      </c>
      <c r="L1948" s="246">
        <f>_xlfn.XLOOKUP(FME_Ranking1[[#This Row],[FME ID]],FME_Input[FME_ID],FME_Input[RES_STRUCT100])</f>
        <v>8</v>
      </c>
      <c r="M1948" s="230">
        <f>(FME_Ranking1[[#This Row],[Res Structures Raw]]/L$2)*100</f>
        <v>5.666444730914706E-3</v>
      </c>
      <c r="N1948" s="180">
        <f>FME_Ranking1[[#This Row],[Res Structures Score (Normalized, Unweighted)]]*$L$3</f>
        <v>5.6664447309147067E-4</v>
      </c>
      <c r="O1948" s="244">
        <f>_xlfn.XLOOKUP(FME_Ranking1[[#This Row],[FME ID]],FME_Input[FME_ID],FME_Input[POP100])</f>
        <v>50</v>
      </c>
      <c r="P1948" s="178">
        <f>(FME_Ranking1[[#This Row],[Pop Raw]]/$O$2)*100</f>
        <v>5.118765599438164E-3</v>
      </c>
      <c r="Q1948" s="178">
        <f>FME_Ranking1[[#This Row],[Pop Score (Normalized, Unweighted)]]*$O$3</f>
        <v>7.6781483991572455E-4</v>
      </c>
      <c r="R1948" s="137">
        <f>_xlfn.XLOOKUP(FME_Ranking1[[#This Row],[FME ID]],FME_Input[FME_ID],FME_Input[CRITFAC100])</f>
        <v>0</v>
      </c>
      <c r="S1948" s="230">
        <f>(FME_Ranking1[[#This Row],[Critical Facilities Raw]]/$R$2)*100</f>
        <v>0</v>
      </c>
      <c r="T1948" s="180">
        <f>FME_Ranking1[[#This Row],[Critical Facilities Score (Normalized, Unweighted)]]*$R$3</f>
        <v>0</v>
      </c>
      <c r="U1948">
        <f>_xlfn.XLOOKUP(FME_Ranking1[[#This Row],[FME ID]],FME_Input[FME_ID],FME_Input[LWC])</f>
        <v>0</v>
      </c>
      <c r="V1948" s="178">
        <f>(FME_Ranking1[[#This Row],[LWC Raw]]/$U$2)*100</f>
        <v>0</v>
      </c>
      <c r="W1948" s="178">
        <f>FME_Ranking1[[#This Row],[LWC Score (Normalized, Unweighted)]]*$U$3</f>
        <v>0</v>
      </c>
      <c r="X1948" s="246">
        <f>_xlfn.XLOOKUP(FME_Ranking1[[#This Row],[FME ID]],FME_Input[FME_ID],FME_Input[ROADCLS])</f>
        <v>0</v>
      </c>
      <c r="Y1948" s="230">
        <f>(FME_Ranking1[[#This Row],[Closures Raw]]/$X$2)*100</f>
        <v>0</v>
      </c>
      <c r="Z1948" s="180">
        <f>FME_Ranking1[[#This Row],[Closures Score (Normalized, Unweighted)]]*$X$3</f>
        <v>0</v>
      </c>
      <c r="AA1948" s="253">
        <f>_xlfn.XLOOKUP(FME_Ranking1[[#This Row],[FME ID]],FME_Input[FME_ID],FME_Input[ROAD_MILES100])</f>
        <v>0.25771498680114752</v>
      </c>
      <c r="AB1948" s="178">
        <f>(FME_Ranking1[[#This Row],[Miles Raw]]/$AA$2)*100</f>
        <v>3.3884898429062194E-3</v>
      </c>
      <c r="AC1948" s="178">
        <f>FME_Ranking1[[#This Row],[Miles Score (Normalized, Unweighted)]]*$AA$3</f>
        <v>3.3884898429062198E-4</v>
      </c>
      <c r="AD1948" s="255">
        <f>_xlfn.XLOOKUP(FME_Ranking1[[#This Row],[FME ID]],FME_Input[FME_ID],FME_Input[FARMACRE100])</f>
        <v>0</v>
      </c>
      <c r="AE1948" s="230">
        <f>(FME_Ranking1[[#This Row],[Ag Land Raw]]/$AD$2)*100</f>
        <v>0</v>
      </c>
      <c r="AF1948" s="231">
        <f>FME_Ranking1[[#This Row],[Ag Land Score (Normalized, Unweighted)]]*$AD$3</f>
        <v>0</v>
      </c>
      <c r="AG194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1.6733082972978173E-3</v>
      </c>
      <c r="AH1948" s="406">
        <f t="shared" si="30"/>
        <v>1975</v>
      </c>
      <c r="AI194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1.6733082972978173E-3</v>
      </c>
      <c r="AJ1948" s="257">
        <f>FME_Ranking1[[#This Row],[Addition check]]-FME_Ranking1[[#This Row],[Weighted Score Based on Normalized Reported Factors]]</f>
        <v>0</v>
      </c>
      <c r="AK1948" s="178">
        <f>_xlfn.RANK.EQ(AI1948,$AI$6:$AI$2341,0)+COUNTIF($AI$6:AI1948,AI1948)-1</f>
        <v>1975</v>
      </c>
    </row>
    <row r="1949" spans="1:37" x14ac:dyDescent="0.25">
      <c r="A1949" t="s">
        <v>6339</v>
      </c>
      <c r="B1949">
        <f>_xlfn.XLOOKUP(FME_Ranking1[[#This Row],[FME ID]],FME_Input[FME_ID],FME_Input[RFPG_NUM])</f>
        <v>5</v>
      </c>
      <c r="C1949" t="str">
        <f>_xlfn.XLOOKUP(FME_Ranking1[[#This Row],[FME ID]],FME_Input[FME_ID],FME_Input[FME_NAME])</f>
        <v>Stadium Upgrade Pumping Equipment</v>
      </c>
      <c r="D1949" t="str">
        <f>_xlfn.XLOOKUP(FME_Ranking1[[#This Row],[FME ID]],FME_Input[FME_ID],FME_Input[DESCR])</f>
        <v xml:space="preserve">H&amp;H study to size pump upgrades and improve existing level of service. </v>
      </c>
      <c r="E1949" s="256">
        <f>_xlfn.XLOOKUP(FME_Ranking1[[#This Row],[FME ID]],FME_Input[FME_ID],FME_Input[FME_COST])</f>
        <v>100000</v>
      </c>
      <c r="F1949" t="str">
        <f>_xlfn.XLOOKUP(FME_Ranking1[[#This Row],[FME ID]],FME_Input[FME_ID],FME_Input[EMER_NEED])</f>
        <v>Yes</v>
      </c>
      <c r="G1949">
        <f>IF(FME_Ranking!F1949="Yes",100,0)</f>
        <v>100</v>
      </c>
      <c r="H1949">
        <f>FME_Ranking1[[#This Row],[Emergency Need Score (Normalized, Unweighted)]]*$F$3</f>
        <v>0</v>
      </c>
      <c r="I1949" s="246">
        <f>_xlfn.XLOOKUP(FME_Ranking1[[#This Row],[FME ID]],FME_Input[FME_ID],FME_Input[STRUCT_100])</f>
        <v>6</v>
      </c>
      <c r="J1949" s="178">
        <f>(FME_Ranking1[[#This Row],[Structures 100 Raw]]/I$2)*100</f>
        <v>3.2129546330805807E-3</v>
      </c>
      <c r="K1949" s="178">
        <f>FME_Ranking1[[#This Row],[Structures 100  Score (Normalized, Unweighted)]]*$I$3</f>
        <v>4.8194319496208709E-4</v>
      </c>
      <c r="L1949" s="246">
        <f>_xlfn.XLOOKUP(FME_Ranking1[[#This Row],[FME ID]],FME_Input[FME_ID],FME_Input[RES_STRUCT100])</f>
        <v>6</v>
      </c>
      <c r="M1949" s="230">
        <f>(FME_Ranking1[[#This Row],[Res Structures Raw]]/L$2)*100</f>
        <v>4.2498335481860293E-3</v>
      </c>
      <c r="N1949" s="180">
        <f>FME_Ranking1[[#This Row],[Res Structures Score (Normalized, Unweighted)]]*$L$3</f>
        <v>4.2498335481860297E-4</v>
      </c>
      <c r="O1949" s="244">
        <f>_xlfn.XLOOKUP(FME_Ranking1[[#This Row],[FME ID]],FME_Input[FME_ID],FME_Input[POP100])</f>
        <v>27</v>
      </c>
      <c r="P1949" s="178">
        <f>(FME_Ranking1[[#This Row],[Pop Raw]]/$O$2)*100</f>
        <v>2.7641334236966088E-3</v>
      </c>
      <c r="Q1949" s="178">
        <f>FME_Ranking1[[#This Row],[Pop Score (Normalized, Unweighted)]]*$O$3</f>
        <v>4.1462001355449134E-4</v>
      </c>
      <c r="R1949" s="137">
        <f>_xlfn.XLOOKUP(FME_Ranking1[[#This Row],[FME ID]],FME_Input[FME_ID],FME_Input[CRITFAC100])</f>
        <v>0</v>
      </c>
      <c r="S1949" s="230">
        <f>(FME_Ranking1[[#This Row],[Critical Facilities Raw]]/$R$2)*100</f>
        <v>0</v>
      </c>
      <c r="T1949" s="180">
        <f>FME_Ranking1[[#This Row],[Critical Facilities Score (Normalized, Unweighted)]]*$R$3</f>
        <v>0</v>
      </c>
      <c r="U1949">
        <f>_xlfn.XLOOKUP(FME_Ranking1[[#This Row],[FME ID]],FME_Input[FME_ID],FME_Input[LWC])</f>
        <v>0</v>
      </c>
      <c r="V1949" s="178">
        <f>(FME_Ranking1[[#This Row],[LWC Raw]]/$U$2)*100</f>
        <v>0</v>
      </c>
      <c r="W1949" s="178">
        <f>FME_Ranking1[[#This Row],[LWC Score (Normalized, Unweighted)]]*$U$3</f>
        <v>0</v>
      </c>
      <c r="X1949" s="246">
        <f>_xlfn.XLOOKUP(FME_Ranking1[[#This Row],[FME ID]],FME_Input[FME_ID],FME_Input[ROADCLS])</f>
        <v>0</v>
      </c>
      <c r="Y1949" s="230">
        <f>(FME_Ranking1[[#This Row],[Closures Raw]]/$X$2)*100</f>
        <v>0</v>
      </c>
      <c r="Z1949" s="180">
        <f>FME_Ranking1[[#This Row],[Closures Score (Normalized, Unweighted)]]*$X$3</f>
        <v>0</v>
      </c>
      <c r="AA1949" s="253">
        <f>_xlfn.XLOOKUP(FME_Ranking1[[#This Row],[FME ID]],FME_Input[FME_ID],FME_Input[ROAD_MILES100])</f>
        <v>0.11524564027786249</v>
      </c>
      <c r="AB1949" s="178">
        <f>(FME_Ranking1[[#This Row],[Miles Raw]]/$AA$2)*100</f>
        <v>1.5152734668941734E-3</v>
      </c>
      <c r="AC1949" s="178">
        <f>FME_Ranking1[[#This Row],[Miles Score (Normalized, Unweighted)]]*$AA$3</f>
        <v>1.5152734668941734E-4</v>
      </c>
      <c r="AD1949" s="255">
        <f>_xlfn.XLOOKUP(FME_Ranking1[[#This Row],[FME ID]],FME_Input[FME_ID],FME_Input[FARMACRE100])</f>
        <v>0</v>
      </c>
      <c r="AE1949" s="230">
        <f>(FME_Ranking1[[#This Row],[Ag Land Raw]]/$AD$2)*100</f>
        <v>0</v>
      </c>
      <c r="AF1949" s="231">
        <f>FME_Ranking1[[#This Row],[Ag Land Score (Normalized, Unweighted)]]*$AD$3</f>
        <v>0</v>
      </c>
      <c r="AG194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1.4730739100245987E-3</v>
      </c>
      <c r="AH1949" s="406">
        <f t="shared" si="30"/>
        <v>1987</v>
      </c>
      <c r="AI194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1.4730739100245987E-3</v>
      </c>
      <c r="AJ1949" s="257">
        <f>FME_Ranking1[[#This Row],[Addition check]]-FME_Ranking1[[#This Row],[Weighted Score Based on Normalized Reported Factors]]</f>
        <v>0</v>
      </c>
      <c r="AK1949" s="178">
        <f>_xlfn.RANK.EQ(AI1949,$AI$6:$AI$2341,0)+COUNTIF($AI$6:AI1949,AI1949)-1</f>
        <v>1987</v>
      </c>
    </row>
    <row r="1950" spans="1:37" x14ac:dyDescent="0.25">
      <c r="A1950" t="s">
        <v>8082</v>
      </c>
      <c r="B1950">
        <f>_xlfn.XLOOKUP(FME_Ranking1[[#This Row],[FME ID]],FME_Input[FME_ID],FME_Input[RFPG_NUM])</f>
        <v>9</v>
      </c>
      <c r="C1950" t="str">
        <f>_xlfn.XLOOKUP(FME_Ranking1[[#This Row],[FME ID]],FME_Input[FME_ID],FME_Input[FME_NAME])</f>
        <v>Town of Loraine Drainway Project Planning</v>
      </c>
      <c r="D1950" t="str">
        <f>_xlfn.XLOOKUP(FME_Ranking1[[#This Row],[FME ID]],FME_Input[FME_ID],FME_Input[DESCR])</f>
        <v>Identify scope of drainways project to remove soil caused by runoff in roadside ditches. Evaluate and study size and number of culverts to minimize drainage projects.</v>
      </c>
      <c r="E1950" s="256">
        <f>_xlfn.XLOOKUP(FME_Ranking1[[#This Row],[FME ID]],FME_Input[FME_ID],FME_Input[FME_COST])</f>
        <v>25000</v>
      </c>
      <c r="F1950" t="str">
        <f>_xlfn.XLOOKUP(FME_Ranking1[[#This Row],[FME ID]],FME_Input[FME_ID],FME_Input[EMER_NEED])</f>
        <v>No</v>
      </c>
      <c r="G1950">
        <f>IF(FME_Ranking!F1950="Yes",100,0)</f>
        <v>0</v>
      </c>
      <c r="H1950">
        <f>FME_Ranking1[[#This Row],[Emergency Need Score (Normalized, Unweighted)]]*$F$3</f>
        <v>0</v>
      </c>
      <c r="I1950" s="246">
        <f>_xlfn.XLOOKUP(FME_Ranking1[[#This Row],[FME ID]],FME_Input[FME_ID],FME_Input[STRUCT_100])</f>
        <v>9</v>
      </c>
      <c r="J1950" s="178">
        <f>(FME_Ranking1[[#This Row],[Structures 100 Raw]]/I$2)*100</f>
        <v>4.8194319496208714E-3</v>
      </c>
      <c r="K1950" s="178">
        <f>FME_Ranking1[[#This Row],[Structures 100  Score (Normalized, Unweighted)]]*$I$3</f>
        <v>7.2291479244313071E-4</v>
      </c>
      <c r="L1950" s="246">
        <f>_xlfn.XLOOKUP(FME_Ranking1[[#This Row],[FME ID]],FME_Input[FME_ID],FME_Input[RES_STRUCT100])</f>
        <v>7</v>
      </c>
      <c r="M1950" s="230">
        <f>(FME_Ranking1[[#This Row],[Res Structures Raw]]/L$2)*100</f>
        <v>4.9581391395503681E-3</v>
      </c>
      <c r="N1950" s="180">
        <f>FME_Ranking1[[#This Row],[Res Structures Score (Normalized, Unweighted)]]*$L$3</f>
        <v>4.9581391395503687E-4</v>
      </c>
      <c r="O1950" s="244">
        <f>_xlfn.XLOOKUP(FME_Ranking1[[#This Row],[FME ID]],FME_Input[FME_ID],FME_Input[POP100])</f>
        <v>6</v>
      </c>
      <c r="P1950" s="178">
        <f>(FME_Ranking1[[#This Row],[Pop Raw]]/$O$2)*100</f>
        <v>6.1425187193257975E-4</v>
      </c>
      <c r="Q1950" s="178">
        <f>FME_Ranking1[[#This Row],[Pop Score (Normalized, Unweighted)]]*$O$3</f>
        <v>9.2137780789886957E-5</v>
      </c>
      <c r="R1950" s="137">
        <f>_xlfn.XLOOKUP(FME_Ranking1[[#This Row],[FME ID]],FME_Input[FME_ID],FME_Input[CRITFAC100])</f>
        <v>0</v>
      </c>
      <c r="S1950" s="230">
        <f>(FME_Ranking1[[#This Row],[Critical Facilities Raw]]/$R$2)*100</f>
        <v>0</v>
      </c>
      <c r="T1950" s="180">
        <f>FME_Ranking1[[#This Row],[Critical Facilities Score (Normalized, Unweighted)]]*$R$3</f>
        <v>0</v>
      </c>
      <c r="U1950">
        <f>_xlfn.XLOOKUP(FME_Ranking1[[#This Row],[FME ID]],FME_Input[FME_ID],FME_Input[LWC])</f>
        <v>0</v>
      </c>
      <c r="V1950" s="178">
        <f>(FME_Ranking1[[#This Row],[LWC Raw]]/$U$2)*100</f>
        <v>0</v>
      </c>
      <c r="W1950" s="178">
        <f>FME_Ranking1[[#This Row],[LWC Score (Normalized, Unweighted)]]*$U$3</f>
        <v>0</v>
      </c>
      <c r="X1950" s="246">
        <f>_xlfn.XLOOKUP(FME_Ranking1[[#This Row],[FME ID]],FME_Input[FME_ID],FME_Input[ROADCLS])</f>
        <v>0</v>
      </c>
      <c r="Y1950" s="230">
        <f>(FME_Ranking1[[#This Row],[Closures Raw]]/$X$2)*100</f>
        <v>0</v>
      </c>
      <c r="Z1950" s="180">
        <f>FME_Ranking1[[#This Row],[Closures Score (Normalized, Unweighted)]]*$X$3</f>
        <v>0</v>
      </c>
      <c r="AA1950" s="253">
        <f>_xlfn.XLOOKUP(FME_Ranking1[[#This Row],[FME ID]],FME_Input[FME_ID],FME_Input[ROAD_MILES100])</f>
        <v>5.3939247131347656</v>
      </c>
      <c r="AB1950" s="178">
        <f>(FME_Ranking1[[#This Row],[Miles Raw]]/$AA$2)*100</f>
        <v>7.0920435519571473E-2</v>
      </c>
      <c r="AC1950" s="178">
        <f>FME_Ranking1[[#This Row],[Miles Score (Normalized, Unweighted)]]*$AA$3</f>
        <v>7.0920435519571477E-3</v>
      </c>
      <c r="AD1950" s="255">
        <f>_xlfn.XLOOKUP(FME_Ranking1[[#This Row],[FME ID]],FME_Input[FME_ID],FME_Input[FARMACRE100])</f>
        <v>1.7300339937210081</v>
      </c>
      <c r="AE1950" s="230">
        <f>(FME_Ranking1[[#This Row],[Ag Land Raw]]/$AD$2)*100</f>
        <v>7.1338857397498608E-5</v>
      </c>
      <c r="AF1950" s="231">
        <f>FME_Ranking1[[#This Row],[Ag Land Score (Normalized, Unweighted)]]*$AD$3</f>
        <v>3.5669428698749305E-6</v>
      </c>
      <c r="AG195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8.4064769820150764E-3</v>
      </c>
      <c r="AH1950" s="406">
        <f t="shared" si="30"/>
        <v>1778</v>
      </c>
      <c r="AI195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8.4064769820150764E-3</v>
      </c>
      <c r="AJ1950" s="257">
        <f>FME_Ranking1[[#This Row],[Addition check]]-FME_Ranking1[[#This Row],[Weighted Score Based on Normalized Reported Factors]]</f>
        <v>0</v>
      </c>
      <c r="AK1950" s="178">
        <f>_xlfn.RANK.EQ(AI1950,$AI$6:$AI$2341,0)+COUNTIF($AI$6:AI1950,AI1950)-1</f>
        <v>1778</v>
      </c>
    </row>
    <row r="1951" spans="1:37" x14ac:dyDescent="0.25">
      <c r="A1951" t="s">
        <v>10564</v>
      </c>
      <c r="B1951">
        <f>_xlfn.XLOOKUP(FME_Ranking1[[#This Row],[FME ID]],FME_Input[FME_ID],FME_Input[RFPG_NUM])</f>
        <v>13</v>
      </c>
      <c r="C1951" t="str">
        <f>_xlfn.XLOOKUP(FME_Ranking1[[#This Row],[FME ID]],FME_Input[FME_ID],FME_Input[FME_NAME])</f>
        <v>Conn Brown Harbor Bulkhead Improvements</v>
      </c>
      <c r="D1951" t="str">
        <f>_xlfn.XLOOKUP(FME_Ranking1[[#This Row],[FME ID]],FME_Input[FME_ID],FME_Input[DESCR])</f>
        <v>Install bulkheads at Conn Brown Harbor to protect new and existing buildings and infrastructure.</v>
      </c>
      <c r="E1951" s="256">
        <f>_xlfn.XLOOKUP(FME_Ranking1[[#This Row],[FME ID]],FME_Input[FME_ID],FME_Input[FME_COST])</f>
        <v>164000</v>
      </c>
      <c r="F1951" t="str">
        <f>_xlfn.XLOOKUP(FME_Ranking1[[#This Row],[FME ID]],FME_Input[FME_ID],FME_Input[EMER_NEED])</f>
        <v>Yes</v>
      </c>
      <c r="G1951">
        <f>IF(FME_Ranking!F1951="Yes",100,0)</f>
        <v>100</v>
      </c>
      <c r="H1951">
        <f>FME_Ranking1[[#This Row],[Emergency Need Score (Normalized, Unweighted)]]*$F$3</f>
        <v>0</v>
      </c>
      <c r="I1951" s="246">
        <f>_xlfn.XLOOKUP(FME_Ranking1[[#This Row],[FME ID]],FME_Input[FME_ID],FME_Input[STRUCT_100])</f>
        <v>6</v>
      </c>
      <c r="J1951" s="178">
        <f>(FME_Ranking1[[#This Row],[Structures 100 Raw]]/I$2)*100</f>
        <v>3.2129546330805807E-3</v>
      </c>
      <c r="K1951" s="178">
        <f>FME_Ranking1[[#This Row],[Structures 100  Score (Normalized, Unweighted)]]*$I$3</f>
        <v>4.8194319496208709E-4</v>
      </c>
      <c r="L1951" s="246">
        <f>_xlfn.XLOOKUP(FME_Ranking1[[#This Row],[FME ID]],FME_Input[FME_ID],FME_Input[RES_STRUCT100])</f>
        <v>0</v>
      </c>
      <c r="M1951" s="230">
        <f>(FME_Ranking1[[#This Row],[Res Structures Raw]]/L$2)*100</f>
        <v>0</v>
      </c>
      <c r="N1951" s="180">
        <f>FME_Ranking1[[#This Row],[Res Structures Score (Normalized, Unweighted)]]*$L$3</f>
        <v>0</v>
      </c>
      <c r="O1951" s="244">
        <f>_xlfn.XLOOKUP(FME_Ranking1[[#This Row],[FME ID]],FME_Input[FME_ID],FME_Input[POP100])</f>
        <v>52</v>
      </c>
      <c r="P1951" s="178">
        <f>(FME_Ranking1[[#This Row],[Pop Raw]]/$O$2)*100</f>
        <v>5.3235162234156908E-3</v>
      </c>
      <c r="Q1951" s="178">
        <f>FME_Ranking1[[#This Row],[Pop Score (Normalized, Unweighted)]]*$O$3</f>
        <v>7.9852743351235356E-4</v>
      </c>
      <c r="R1951" s="137">
        <f>_xlfn.XLOOKUP(FME_Ranking1[[#This Row],[FME ID]],FME_Input[FME_ID],FME_Input[CRITFAC100])</f>
        <v>0</v>
      </c>
      <c r="S1951" s="230">
        <f>(FME_Ranking1[[#This Row],[Critical Facilities Raw]]/$R$2)*100</f>
        <v>0</v>
      </c>
      <c r="T1951" s="180">
        <f>FME_Ranking1[[#This Row],[Critical Facilities Score (Normalized, Unweighted)]]*$R$3</f>
        <v>0</v>
      </c>
      <c r="U1951">
        <f>_xlfn.XLOOKUP(FME_Ranking1[[#This Row],[FME ID]],FME_Input[FME_ID],FME_Input[LWC])</f>
        <v>0</v>
      </c>
      <c r="V1951" s="178">
        <f>(FME_Ranking1[[#This Row],[LWC Raw]]/$U$2)*100</f>
        <v>0</v>
      </c>
      <c r="W1951" s="178">
        <f>FME_Ranking1[[#This Row],[LWC Score (Normalized, Unweighted)]]*$U$3</f>
        <v>0</v>
      </c>
      <c r="X1951" s="246">
        <f>_xlfn.XLOOKUP(FME_Ranking1[[#This Row],[FME ID]],FME_Input[FME_ID],FME_Input[ROADCLS])</f>
        <v>0</v>
      </c>
      <c r="Y1951" s="230">
        <f>(FME_Ranking1[[#This Row],[Closures Raw]]/$X$2)*100</f>
        <v>0</v>
      </c>
      <c r="Z1951" s="180">
        <f>FME_Ranking1[[#This Row],[Closures Score (Normalized, Unweighted)]]*$X$3</f>
        <v>0</v>
      </c>
      <c r="AA1951" s="253">
        <f>_xlfn.XLOOKUP(FME_Ranking1[[#This Row],[FME ID]],FME_Input[FME_ID],FME_Input[ROAD_MILES100])</f>
        <v>2.511000074446201E-2</v>
      </c>
      <c r="AB1951" s="178">
        <f>(FME_Ranking1[[#This Row],[Miles Raw]]/$AA$2)*100</f>
        <v>3.3015147288903521E-4</v>
      </c>
      <c r="AC1951" s="178">
        <f>FME_Ranking1[[#This Row],[Miles Score (Normalized, Unweighted)]]*$AA$3</f>
        <v>3.3015147288903521E-5</v>
      </c>
      <c r="AD1951" s="255">
        <f>_xlfn.XLOOKUP(FME_Ranking1[[#This Row],[FME ID]],FME_Input[FME_ID],FME_Input[FARMACRE100])</f>
        <v>0</v>
      </c>
      <c r="AE1951" s="230">
        <f>(FME_Ranking1[[#This Row],[Ag Land Raw]]/$AD$2)*100</f>
        <v>0</v>
      </c>
      <c r="AF1951" s="231">
        <f>FME_Ranking1[[#This Row],[Ag Land Score (Normalized, Unweighted)]]*$AD$3</f>
        <v>0</v>
      </c>
      <c r="AG195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1.3134857757633441E-3</v>
      </c>
      <c r="AH1951" s="406">
        <f t="shared" si="30"/>
        <v>1999</v>
      </c>
      <c r="AI195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1.3134857757633441E-3</v>
      </c>
      <c r="AJ1951" s="257">
        <f>FME_Ranking1[[#This Row],[Addition check]]-FME_Ranking1[[#This Row],[Weighted Score Based on Normalized Reported Factors]]</f>
        <v>0</v>
      </c>
      <c r="AK1951" s="178">
        <f>_xlfn.RANK.EQ(AI1951,$AI$6:$AI$2341,0)+COUNTIF($AI$6:AI1951,AI1951)-1</f>
        <v>1999</v>
      </c>
    </row>
    <row r="1952" spans="1:37" x14ac:dyDescent="0.25">
      <c r="A1952" t="s">
        <v>10445</v>
      </c>
      <c r="B1952">
        <f>_xlfn.XLOOKUP(FME_Ranking1[[#This Row],[FME ID]],FME_Input[FME_ID],FME_Input[RFPG_NUM])</f>
        <v>13</v>
      </c>
      <c r="C1952" t="str">
        <f>_xlfn.XLOOKUP(FME_Ranking1[[#This Row],[FME ID]],FME_Input[FME_ID],FME_Input[FME_NAME])</f>
        <v>Stormwater Master Plan #2 - North of Parkview between Sunset and Woodhaven Outfall Pipe</v>
      </c>
      <c r="D1952" t="str">
        <f>_xlfn.XLOOKUP(FME_Ranking1[[#This Row],[FME ID]],FME_Input[FME_ID],FME_Input[DESCR])</f>
        <v>Positive drainage to Parkview Place to be improved by minor site regrading, grate inlet installation, and installation of RCP along Woodhaven Drive. Improvement to be connected to existing storm pipe via junction box.</v>
      </c>
      <c r="E1952" s="256">
        <f>_xlfn.XLOOKUP(FME_Ranking1[[#This Row],[FME ID]],FME_Input[FME_ID],FME_Input[FME_COST])</f>
        <v>7000</v>
      </c>
      <c r="F1952" t="str">
        <f>_xlfn.XLOOKUP(FME_Ranking1[[#This Row],[FME ID]],FME_Input[FME_ID],FME_Input[EMER_NEED])</f>
        <v>Yes</v>
      </c>
      <c r="G1952">
        <f>IF(FME_Ranking!F1952="Yes",100,0)</f>
        <v>100</v>
      </c>
      <c r="H1952">
        <f>FME_Ranking1[[#This Row],[Emergency Need Score (Normalized, Unweighted)]]*$F$3</f>
        <v>0</v>
      </c>
      <c r="I1952" s="246">
        <f>_xlfn.XLOOKUP(FME_Ranking1[[#This Row],[FME ID]],FME_Input[FME_ID],FME_Input[STRUCT_100])</f>
        <v>1</v>
      </c>
      <c r="J1952" s="178">
        <f>(FME_Ranking1[[#This Row],[Structures 100 Raw]]/I$2)*100</f>
        <v>5.3549243884676355E-4</v>
      </c>
      <c r="K1952" s="178">
        <f>FME_Ranking1[[#This Row],[Structures 100  Score (Normalized, Unweighted)]]*$I$3</f>
        <v>8.0323865827014533E-5</v>
      </c>
      <c r="L1952" s="246">
        <f>_xlfn.XLOOKUP(FME_Ranking1[[#This Row],[FME ID]],FME_Input[FME_ID],FME_Input[RES_STRUCT100])</f>
        <v>1</v>
      </c>
      <c r="M1952" s="230">
        <f>(FME_Ranking1[[#This Row],[Res Structures Raw]]/L$2)*100</f>
        <v>7.0830559136433825E-4</v>
      </c>
      <c r="N1952" s="180">
        <f>FME_Ranking1[[#This Row],[Res Structures Score (Normalized, Unweighted)]]*$L$3</f>
        <v>7.0830559136433833E-5</v>
      </c>
      <c r="O1952" s="244">
        <f>_xlfn.XLOOKUP(FME_Ranking1[[#This Row],[FME ID]],FME_Input[FME_ID],FME_Input[POP100])</f>
        <v>4</v>
      </c>
      <c r="P1952" s="178">
        <f>(FME_Ranking1[[#This Row],[Pop Raw]]/$O$2)*100</f>
        <v>4.0950124795505313E-4</v>
      </c>
      <c r="Q1952" s="178">
        <f>FME_Ranking1[[#This Row],[Pop Score (Normalized, Unweighted)]]*$O$3</f>
        <v>6.1425187193257967E-5</v>
      </c>
      <c r="R1952" s="137">
        <f>_xlfn.XLOOKUP(FME_Ranking1[[#This Row],[FME ID]],FME_Input[FME_ID],FME_Input[CRITFAC100])</f>
        <v>0</v>
      </c>
      <c r="S1952" s="230">
        <f>(FME_Ranking1[[#This Row],[Critical Facilities Raw]]/$R$2)*100</f>
        <v>0</v>
      </c>
      <c r="T1952" s="180">
        <f>FME_Ranking1[[#This Row],[Critical Facilities Score (Normalized, Unweighted)]]*$R$3</f>
        <v>0</v>
      </c>
      <c r="U1952">
        <f>_xlfn.XLOOKUP(FME_Ranking1[[#This Row],[FME ID]],FME_Input[FME_ID],FME_Input[LWC])</f>
        <v>0</v>
      </c>
      <c r="V1952" s="178">
        <f>(FME_Ranking1[[#This Row],[LWC Raw]]/$U$2)*100</f>
        <v>0</v>
      </c>
      <c r="W1952" s="178">
        <f>FME_Ranking1[[#This Row],[LWC Score (Normalized, Unweighted)]]*$U$3</f>
        <v>0</v>
      </c>
      <c r="X1952" s="246">
        <f>_xlfn.XLOOKUP(FME_Ranking1[[#This Row],[FME ID]],FME_Input[FME_ID],FME_Input[ROADCLS])</f>
        <v>2</v>
      </c>
      <c r="Y1952" s="230">
        <f>(FME_Ranking1[[#This Row],[Closures Raw]]/$X$2)*100</f>
        <v>2.1028283040689728E-2</v>
      </c>
      <c r="Z1952" s="180">
        <f>FME_Ranking1[[#This Row],[Closures Score (Normalized, Unweighted)]]*$X$3</f>
        <v>1.0514141520344864E-3</v>
      </c>
      <c r="AA1952" s="253">
        <f>_xlfn.XLOOKUP(FME_Ranking1[[#This Row],[FME ID]],FME_Input[FME_ID],FME_Input[ROAD_MILES100])</f>
        <v>7.2400003671646118E-2</v>
      </c>
      <c r="AB1952" s="178">
        <f>(FME_Ranking1[[#This Row],[Miles Raw]]/$AA$2)*100</f>
        <v>9.5193019277935707E-4</v>
      </c>
      <c r="AC1952" s="178">
        <f>FME_Ranking1[[#This Row],[Miles Score (Normalized, Unweighted)]]*$AA$3</f>
        <v>9.5193019277935715E-5</v>
      </c>
      <c r="AD1952" s="255">
        <f>_xlfn.XLOOKUP(FME_Ranking1[[#This Row],[FME ID]],FME_Input[FME_ID],FME_Input[FARMACRE100])</f>
        <v>0</v>
      </c>
      <c r="AE1952" s="230">
        <f>(FME_Ranking1[[#This Row],[Ag Land Raw]]/$AD$2)*100</f>
        <v>0</v>
      </c>
      <c r="AF1952" s="231">
        <f>FME_Ranking1[[#This Row],[Ag Land Score (Normalized, Unweighted)]]*$AD$3</f>
        <v>0</v>
      </c>
      <c r="AG195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1.3591867834691284E-3</v>
      </c>
      <c r="AH1952" s="406">
        <f t="shared" si="30"/>
        <v>1994</v>
      </c>
      <c r="AI195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1.3591867834691284E-3</v>
      </c>
      <c r="AJ1952" s="257">
        <f>FME_Ranking1[[#This Row],[Addition check]]-FME_Ranking1[[#This Row],[Weighted Score Based on Normalized Reported Factors]]</f>
        <v>0</v>
      </c>
      <c r="AK1952" s="178">
        <f>_xlfn.RANK.EQ(AI1952,$AI$6:$AI$2341,0)+COUNTIF($AI$6:AI1952,AI1952)-1</f>
        <v>1994</v>
      </c>
    </row>
    <row r="1953" spans="1:37" x14ac:dyDescent="0.25">
      <c r="A1953" t="s">
        <v>10462</v>
      </c>
      <c r="B1953">
        <f>_xlfn.XLOOKUP(FME_Ranking1[[#This Row],[FME ID]],FME_Input[FME_ID],FME_Input[RFPG_NUM])</f>
        <v>13</v>
      </c>
      <c r="C1953" t="str">
        <f>_xlfn.XLOOKUP(FME_Ranking1[[#This Row],[FME ID]],FME_Input[FME_ID],FME_Input[FME_NAME])</f>
        <v>Stormwater Master Plan #7 - Bayshore East Channel and Culvert Improvements</v>
      </c>
      <c r="D1953" t="str">
        <f>_xlfn.XLOOKUP(FME_Ranking1[[#This Row],[FME ID]],FME_Input[FME_ID],FME_Input[DESCR])</f>
        <v>Positive drainage from stormwater ditch to bay to be improved by site and channel regrading and installation of RCP to provide direct outfalls for low lying areas to the bay.</v>
      </c>
      <c r="E1953" s="256">
        <f>_xlfn.XLOOKUP(FME_Ranking1[[#This Row],[FME ID]],FME_Input[FME_ID],FME_Input[FME_COST])</f>
        <v>47000</v>
      </c>
      <c r="F1953" t="str">
        <f>_xlfn.XLOOKUP(FME_Ranking1[[#This Row],[FME ID]],FME_Input[FME_ID],FME_Input[EMER_NEED])</f>
        <v>Yes</v>
      </c>
      <c r="G1953">
        <f>IF(FME_Ranking!F1953="Yes",100,0)</f>
        <v>100</v>
      </c>
      <c r="H1953">
        <f>FME_Ranking1[[#This Row],[Emergency Need Score (Normalized, Unweighted)]]*$F$3</f>
        <v>0</v>
      </c>
      <c r="I1953" s="246">
        <f>_xlfn.XLOOKUP(FME_Ranking1[[#This Row],[FME ID]],FME_Input[FME_ID],FME_Input[STRUCT_100])</f>
        <v>4</v>
      </c>
      <c r="J1953" s="178">
        <f>(FME_Ranking1[[#This Row],[Structures 100 Raw]]/I$2)*100</f>
        <v>2.1419697553870542E-3</v>
      </c>
      <c r="K1953" s="178">
        <f>FME_Ranking1[[#This Row],[Structures 100  Score (Normalized, Unweighted)]]*$I$3</f>
        <v>3.2129546330805813E-4</v>
      </c>
      <c r="L1953" s="246">
        <f>_xlfn.XLOOKUP(FME_Ranking1[[#This Row],[FME ID]],FME_Input[FME_ID],FME_Input[RES_STRUCT100])</f>
        <v>4</v>
      </c>
      <c r="M1953" s="230">
        <f>(FME_Ranking1[[#This Row],[Res Structures Raw]]/L$2)*100</f>
        <v>2.833222365457353E-3</v>
      </c>
      <c r="N1953" s="180">
        <f>FME_Ranking1[[#This Row],[Res Structures Score (Normalized, Unweighted)]]*$L$3</f>
        <v>2.8332223654573533E-4</v>
      </c>
      <c r="O1953" s="244">
        <f>_xlfn.XLOOKUP(FME_Ranking1[[#This Row],[FME ID]],FME_Input[FME_ID],FME_Input[POP100])</f>
        <v>7</v>
      </c>
      <c r="P1953" s="178">
        <f>(FME_Ranking1[[#This Row],[Pop Raw]]/$O$2)*100</f>
        <v>7.1662718392134295E-4</v>
      </c>
      <c r="Q1953" s="178">
        <f>FME_Ranking1[[#This Row],[Pop Score (Normalized, Unweighted)]]*$O$3</f>
        <v>1.0749407758820145E-4</v>
      </c>
      <c r="R1953" s="137">
        <f>_xlfn.XLOOKUP(FME_Ranking1[[#This Row],[FME ID]],FME_Input[FME_ID],FME_Input[CRITFAC100])</f>
        <v>0</v>
      </c>
      <c r="S1953" s="230">
        <f>(FME_Ranking1[[#This Row],[Critical Facilities Raw]]/$R$2)*100</f>
        <v>0</v>
      </c>
      <c r="T1953" s="180">
        <f>FME_Ranking1[[#This Row],[Critical Facilities Score (Normalized, Unweighted)]]*$R$3</f>
        <v>0</v>
      </c>
      <c r="U1953">
        <f>_xlfn.XLOOKUP(FME_Ranking1[[#This Row],[FME ID]],FME_Input[FME_ID],FME_Input[LWC])</f>
        <v>0</v>
      </c>
      <c r="V1953" s="178">
        <f>(FME_Ranking1[[#This Row],[LWC Raw]]/$U$2)*100</f>
        <v>0</v>
      </c>
      <c r="W1953" s="178">
        <f>FME_Ranking1[[#This Row],[LWC Score (Normalized, Unweighted)]]*$U$3</f>
        <v>0</v>
      </c>
      <c r="X1953" s="246">
        <f>_xlfn.XLOOKUP(FME_Ranking1[[#This Row],[FME ID]],FME_Input[FME_ID],FME_Input[ROADCLS])</f>
        <v>1</v>
      </c>
      <c r="Y1953" s="230">
        <f>(FME_Ranking1[[#This Row],[Closures Raw]]/$X$2)*100</f>
        <v>1.0514141520344864E-2</v>
      </c>
      <c r="Z1953" s="180">
        <f>FME_Ranking1[[#This Row],[Closures Score (Normalized, Unweighted)]]*$X$3</f>
        <v>5.2570707601724321E-4</v>
      </c>
      <c r="AA1953" s="253">
        <f>_xlfn.XLOOKUP(FME_Ranking1[[#This Row],[FME ID]],FME_Input[FME_ID],FME_Input[ROAD_MILES100])</f>
        <v>6.0680937021970749E-2</v>
      </c>
      <c r="AB1953" s="178">
        <f>(FME_Ranking1[[#This Row],[Miles Raw]]/$AA$2)*100</f>
        <v>7.9784548546892769E-4</v>
      </c>
      <c r="AC1953" s="178">
        <f>FME_Ranking1[[#This Row],[Miles Score (Normalized, Unweighted)]]*$AA$3</f>
        <v>7.9784548546892771E-5</v>
      </c>
      <c r="AD1953" s="255">
        <f>_xlfn.XLOOKUP(FME_Ranking1[[#This Row],[FME ID]],FME_Input[FME_ID],FME_Input[FARMACRE100])</f>
        <v>0</v>
      </c>
      <c r="AE1953" s="230">
        <f>(FME_Ranking1[[#This Row],[Ag Land Raw]]/$AD$2)*100</f>
        <v>0</v>
      </c>
      <c r="AF1953" s="231">
        <f>FME_Ranking1[[#This Row],[Ag Land Score (Normalized, Unweighted)]]*$AD$3</f>
        <v>0</v>
      </c>
      <c r="AG195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1.3176034020061309E-3</v>
      </c>
      <c r="AH1953" s="406">
        <f t="shared" si="30"/>
        <v>1998</v>
      </c>
      <c r="AI195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1.3176034020061309E-3</v>
      </c>
      <c r="AJ1953" s="257">
        <f>FME_Ranking1[[#This Row],[Addition check]]-FME_Ranking1[[#This Row],[Weighted Score Based on Normalized Reported Factors]]</f>
        <v>0</v>
      </c>
      <c r="AK1953" s="178">
        <f>_xlfn.RANK.EQ(AI1953,$AI$6:$AI$2341,0)+COUNTIF($AI$6:AI1953,AI1953)-1</f>
        <v>1998</v>
      </c>
    </row>
    <row r="1954" spans="1:37" x14ac:dyDescent="0.25">
      <c r="A1954" t="s">
        <v>3287</v>
      </c>
      <c r="B1954">
        <f>_xlfn.XLOOKUP(FME_Ranking1[[#This Row],[FME ID]],FME_Input[FME_ID],FME_Input[RFPG_NUM])</f>
        <v>1</v>
      </c>
      <c r="C1954" t="str">
        <f>_xlfn.XLOOKUP(FME_Ranking1[[#This Row],[FME ID]],FME_Input[FME_ID],FME_Input[FME_NAME])</f>
        <v>Playa No. 34 Project Planning (City of Amarillo)</v>
      </c>
      <c r="D1954" t="str">
        <f>_xlfn.XLOOKUP(FME_Ranking1[[#This Row],[FME ID]],FME_Input[FME_ID],FME_Input[DESCR])</f>
        <v>Evaluate project to quantify benefits, evaluate impacts and begin design. Improvements include adding an outfall channel. Project identified from 2019 Amarillo DMP.</v>
      </c>
      <c r="E1954" s="256">
        <f>_xlfn.XLOOKUP(FME_Ranking1[[#This Row],[FME ID]],FME_Input[FME_ID],FME_Input[FME_COST])</f>
        <v>250000</v>
      </c>
      <c r="F1954" t="str">
        <f>_xlfn.XLOOKUP(FME_Ranking1[[#This Row],[FME ID]],FME_Input[FME_ID],FME_Input[EMER_NEED])</f>
        <v>No</v>
      </c>
      <c r="G1954">
        <f>IF(FME_Ranking!F1954="Yes",100,0)</f>
        <v>0</v>
      </c>
      <c r="H1954">
        <f>FME_Ranking1[[#This Row],[Emergency Need Score (Normalized, Unweighted)]]*$F$3</f>
        <v>0</v>
      </c>
      <c r="I1954" s="246">
        <f>_xlfn.XLOOKUP(FME_Ranking1[[#This Row],[FME ID]],FME_Input[FME_ID],FME_Input[STRUCT_100])</f>
        <v>5</v>
      </c>
      <c r="J1954" s="178">
        <f>(FME_Ranking1[[#This Row],[Structures 100 Raw]]/I$2)*100</f>
        <v>2.6774621942338172E-3</v>
      </c>
      <c r="K1954" s="178">
        <f>FME_Ranking1[[#This Row],[Structures 100  Score (Normalized, Unweighted)]]*$I$3</f>
        <v>4.0161932913507258E-4</v>
      </c>
      <c r="L1954" s="246">
        <f>_xlfn.XLOOKUP(FME_Ranking1[[#This Row],[FME ID]],FME_Input[FME_ID],FME_Input[RES_STRUCT100])</f>
        <v>5</v>
      </c>
      <c r="M1954" s="230">
        <f>(FME_Ranking1[[#This Row],[Res Structures Raw]]/L$2)*100</f>
        <v>3.5415279568216909E-3</v>
      </c>
      <c r="N1954" s="180">
        <f>FME_Ranking1[[#This Row],[Res Structures Score (Normalized, Unweighted)]]*$L$3</f>
        <v>3.5415279568216913E-4</v>
      </c>
      <c r="O1954" s="244">
        <f>_xlfn.XLOOKUP(FME_Ranking1[[#This Row],[FME ID]],FME_Input[FME_ID],FME_Input[POP100])</f>
        <v>13</v>
      </c>
      <c r="P1954" s="178">
        <f>(FME_Ranking1[[#This Row],[Pop Raw]]/$O$2)*100</f>
        <v>1.3308790558539227E-3</v>
      </c>
      <c r="Q1954" s="178">
        <f>FME_Ranking1[[#This Row],[Pop Score (Normalized, Unweighted)]]*$O$3</f>
        <v>1.9963185837808839E-4</v>
      </c>
      <c r="R1954" s="137">
        <f>_xlfn.XLOOKUP(FME_Ranking1[[#This Row],[FME ID]],FME_Input[FME_ID],FME_Input[CRITFAC100])</f>
        <v>0</v>
      </c>
      <c r="S1954" s="230">
        <f>(FME_Ranking1[[#This Row],[Critical Facilities Raw]]/$R$2)*100</f>
        <v>0</v>
      </c>
      <c r="T1954" s="180">
        <f>FME_Ranking1[[#This Row],[Critical Facilities Score (Normalized, Unweighted)]]*$R$3</f>
        <v>0</v>
      </c>
      <c r="U1954">
        <f>_xlfn.XLOOKUP(FME_Ranking1[[#This Row],[FME ID]],FME_Input[FME_ID],FME_Input[LWC])</f>
        <v>0</v>
      </c>
      <c r="V1954" s="178">
        <f>(FME_Ranking1[[#This Row],[LWC Raw]]/$U$2)*100</f>
        <v>0</v>
      </c>
      <c r="W1954" s="178">
        <f>FME_Ranking1[[#This Row],[LWC Score (Normalized, Unweighted)]]*$U$3</f>
        <v>0</v>
      </c>
      <c r="X1954" s="246">
        <f>_xlfn.XLOOKUP(FME_Ranking1[[#This Row],[FME ID]],FME_Input[FME_ID],FME_Input[ROADCLS])</f>
        <v>0</v>
      </c>
      <c r="Y1954" s="230">
        <f>(FME_Ranking1[[#This Row],[Closures Raw]]/$X$2)*100</f>
        <v>0</v>
      </c>
      <c r="Z1954" s="180">
        <f>FME_Ranking1[[#This Row],[Closures Score (Normalized, Unweighted)]]*$X$3</f>
        <v>0</v>
      </c>
      <c r="AA1954" s="253">
        <f>_xlfn.XLOOKUP(FME_Ranking1[[#This Row],[FME ID]],FME_Input[FME_ID],FME_Input[ROAD_MILES100])</f>
        <v>1.5875774621963501</v>
      </c>
      <c r="AB1954" s="178">
        <f>(FME_Ranking1[[#This Row],[Miles Raw]]/$AA$2)*100</f>
        <v>2.0873796174026817E-2</v>
      </c>
      <c r="AC1954" s="178">
        <f>FME_Ranking1[[#This Row],[Miles Score (Normalized, Unweighted)]]*$AA$3</f>
        <v>2.0873796174026818E-3</v>
      </c>
      <c r="AD1954" s="255">
        <f>_xlfn.XLOOKUP(FME_Ranking1[[#This Row],[FME ID]],FME_Input[FME_ID],FME_Input[FARMACRE100])</f>
        <v>133.69395446777341</v>
      </c>
      <c r="AE1954" s="230">
        <f>(FME_Ranking1[[#This Row],[Ag Land Raw]]/$AD$2)*100</f>
        <v>5.5129402007705434E-3</v>
      </c>
      <c r="AF1954" s="231">
        <f>FME_Ranking1[[#This Row],[Ag Land Score (Normalized, Unweighted)]]*$AD$3</f>
        <v>2.756470100385272E-4</v>
      </c>
      <c r="AG195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3.318430610636539E-3</v>
      </c>
      <c r="AH1954" s="406">
        <f t="shared" si="30"/>
        <v>1887</v>
      </c>
      <c r="AI195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3.318430610636539E-3</v>
      </c>
      <c r="AJ1954" s="257">
        <f>FME_Ranking1[[#This Row],[Addition check]]-FME_Ranking1[[#This Row],[Weighted Score Based on Normalized Reported Factors]]</f>
        <v>0</v>
      </c>
      <c r="AK1954" s="178">
        <f>_xlfn.RANK.EQ(AI1954,$AI$6:$AI$2341,0)+COUNTIF($AI$6:AI1954,AI1954)-1</f>
        <v>1887</v>
      </c>
    </row>
    <row r="1955" spans="1:37" x14ac:dyDescent="0.25">
      <c r="A1955" t="s">
        <v>10407</v>
      </c>
      <c r="B1955">
        <f>_xlfn.XLOOKUP(FME_Ranking1[[#This Row],[FME ID]],FME_Input[FME_ID],FME_Input[RFPG_NUM])</f>
        <v>13</v>
      </c>
      <c r="C1955" t="str">
        <f>_xlfn.XLOOKUP(FME_Ranking1[[#This Row],[FME ID]],FME_Input[FME_ID],FME_Input[FME_NAME])</f>
        <v>601 Racine Street Easement &amp; Outfall Project</v>
      </c>
      <c r="D1955" t="str">
        <f>_xlfn.XLOOKUP(FME_Ranking1[[#This Row],[FME ID]],FME_Input[FME_ID],FME_Input[DESCR])</f>
        <v>Acquire drainage easements in natural wetlands and construct new outfalls.</v>
      </c>
      <c r="E1955" s="256">
        <f>_xlfn.XLOOKUP(FME_Ranking1[[#This Row],[FME ID]],FME_Input[FME_ID],FME_Input[FME_COST])</f>
        <v>75000</v>
      </c>
      <c r="F1955" t="str">
        <f>_xlfn.XLOOKUP(FME_Ranking1[[#This Row],[FME ID]],FME_Input[FME_ID],FME_Input[EMER_NEED])</f>
        <v>Yes</v>
      </c>
      <c r="G1955">
        <f>IF(FME_Ranking!F1955="Yes",100,0)</f>
        <v>100</v>
      </c>
      <c r="H1955">
        <f>FME_Ranking1[[#This Row],[Emergency Need Score (Normalized, Unweighted)]]*$F$3</f>
        <v>0</v>
      </c>
      <c r="I1955" s="246">
        <f>_xlfn.XLOOKUP(FME_Ranking1[[#This Row],[FME ID]],FME_Input[FME_ID],FME_Input[STRUCT_100])</f>
        <v>1</v>
      </c>
      <c r="J1955" s="178">
        <f>(FME_Ranking1[[#This Row],[Structures 100 Raw]]/I$2)*100</f>
        <v>5.3549243884676355E-4</v>
      </c>
      <c r="K1955" s="178">
        <f>FME_Ranking1[[#This Row],[Structures 100  Score (Normalized, Unweighted)]]*$I$3</f>
        <v>8.0323865827014533E-5</v>
      </c>
      <c r="L1955" s="246">
        <f>_xlfn.XLOOKUP(FME_Ranking1[[#This Row],[FME ID]],FME_Input[FME_ID],FME_Input[RES_STRUCT100])</f>
        <v>1</v>
      </c>
      <c r="M1955" s="230">
        <f>(FME_Ranking1[[#This Row],[Res Structures Raw]]/L$2)*100</f>
        <v>7.0830559136433825E-4</v>
      </c>
      <c r="N1955" s="180">
        <f>FME_Ranking1[[#This Row],[Res Structures Score (Normalized, Unweighted)]]*$L$3</f>
        <v>7.0830559136433833E-5</v>
      </c>
      <c r="O1955" s="244">
        <f>_xlfn.XLOOKUP(FME_Ranking1[[#This Row],[FME ID]],FME_Input[FME_ID],FME_Input[POP100])</f>
        <v>0</v>
      </c>
      <c r="P1955" s="178">
        <f>(FME_Ranking1[[#This Row],[Pop Raw]]/$O$2)*100</f>
        <v>0</v>
      </c>
      <c r="Q1955" s="178">
        <f>FME_Ranking1[[#This Row],[Pop Score (Normalized, Unweighted)]]*$O$3</f>
        <v>0</v>
      </c>
      <c r="R1955" s="137">
        <f>_xlfn.XLOOKUP(FME_Ranking1[[#This Row],[FME ID]],FME_Input[FME_ID],FME_Input[CRITFAC100])</f>
        <v>0</v>
      </c>
      <c r="S1955" s="230">
        <f>(FME_Ranking1[[#This Row],[Critical Facilities Raw]]/$R$2)*100</f>
        <v>0</v>
      </c>
      <c r="T1955" s="180">
        <f>FME_Ranking1[[#This Row],[Critical Facilities Score (Normalized, Unweighted)]]*$R$3</f>
        <v>0</v>
      </c>
      <c r="U1955">
        <f>_xlfn.XLOOKUP(FME_Ranking1[[#This Row],[FME ID]],FME_Input[FME_ID],FME_Input[LWC])</f>
        <v>0</v>
      </c>
      <c r="V1955" s="178">
        <f>(FME_Ranking1[[#This Row],[LWC Raw]]/$U$2)*100</f>
        <v>0</v>
      </c>
      <c r="W1955" s="178">
        <f>FME_Ranking1[[#This Row],[LWC Score (Normalized, Unweighted)]]*$U$3</f>
        <v>0</v>
      </c>
      <c r="X1955" s="246">
        <f>_xlfn.XLOOKUP(FME_Ranking1[[#This Row],[FME ID]],FME_Input[FME_ID],FME_Input[ROADCLS])</f>
        <v>2</v>
      </c>
      <c r="Y1955" s="230">
        <f>(FME_Ranking1[[#This Row],[Closures Raw]]/$X$2)*100</f>
        <v>2.1028283040689728E-2</v>
      </c>
      <c r="Z1955" s="180">
        <f>FME_Ranking1[[#This Row],[Closures Score (Normalized, Unweighted)]]*$X$3</f>
        <v>1.0514141520344864E-3</v>
      </c>
      <c r="AA1955" s="253">
        <f>_xlfn.XLOOKUP(FME_Ranking1[[#This Row],[FME ID]],FME_Input[FME_ID],FME_Input[ROAD_MILES100])</f>
        <v>3.4788183867931373E-2</v>
      </c>
      <c r="AB1955" s="178">
        <f>(FME_Ranking1[[#This Row],[Miles Raw]]/$AA$2)*100</f>
        <v>4.5740222232630584E-4</v>
      </c>
      <c r="AC1955" s="178">
        <f>FME_Ranking1[[#This Row],[Miles Score (Normalized, Unweighted)]]*$AA$3</f>
        <v>4.5740222232630585E-5</v>
      </c>
      <c r="AD1955" s="255">
        <f>_xlfn.XLOOKUP(FME_Ranking1[[#This Row],[FME ID]],FME_Input[FME_ID],FME_Input[FARMACRE100])</f>
        <v>0</v>
      </c>
      <c r="AE1955" s="230">
        <f>(FME_Ranking1[[#This Row],[Ag Land Raw]]/$AD$2)*100</f>
        <v>0</v>
      </c>
      <c r="AF1955" s="231">
        <f>FME_Ranking1[[#This Row],[Ag Land Score (Normalized, Unweighted)]]*$AD$3</f>
        <v>0</v>
      </c>
      <c r="AG195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1.2483087992305655E-3</v>
      </c>
      <c r="AH1955" s="406">
        <f t="shared" si="30"/>
        <v>2003</v>
      </c>
      <c r="AI195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1.2483087992305655E-3</v>
      </c>
      <c r="AJ1955" s="257">
        <f>FME_Ranking1[[#This Row],[Addition check]]-FME_Ranking1[[#This Row],[Weighted Score Based on Normalized Reported Factors]]</f>
        <v>0</v>
      </c>
      <c r="AK1955" s="178">
        <f>_xlfn.RANK.EQ(AI1955,$AI$6:$AI$2341,0)+COUNTIF($AI$6:AI1955,AI1955)-1</f>
        <v>2003</v>
      </c>
    </row>
    <row r="1956" spans="1:37" x14ac:dyDescent="0.25">
      <c r="A1956" t="s">
        <v>3323</v>
      </c>
      <c r="B1956">
        <f>_xlfn.XLOOKUP(FME_Ranking1[[#This Row],[FME ID]],FME_Input[FME_ID],FME_Input[RFPG_NUM])</f>
        <v>1</v>
      </c>
      <c r="C1956" t="str">
        <f>_xlfn.XLOOKUP(FME_Ranking1[[#This Row],[FME ID]],FME_Input[FME_ID],FME_Input[FME_NAME])</f>
        <v>Playa No. 7 Coulter/Loop 335 Storm Sewer (City of Amarillo)</v>
      </c>
      <c r="D1956" t="str">
        <f>_xlfn.XLOOKUP(FME_Ranking1[[#This Row],[FME ID]],FME_Input[FME_ID],FME_Input[DESCR])</f>
        <v>Evaluate project to quantify benefits, evaluate impacts and begin design. Improvements to Playa No. 7 Coulter/Loop 335 Storm Sewer. System takes flow from Playa watersheds 11 and 14 and outflows to Playa 7. Project identified from 2019 Amarillo DMP.</v>
      </c>
      <c r="E1956" s="256">
        <f>_xlfn.XLOOKUP(FME_Ranking1[[#This Row],[FME ID]],FME_Input[FME_ID],FME_Input[FME_COST])</f>
        <v>250000</v>
      </c>
      <c r="F1956" t="str">
        <f>_xlfn.XLOOKUP(FME_Ranking1[[#This Row],[FME ID]],FME_Input[FME_ID],FME_Input[EMER_NEED])</f>
        <v>No</v>
      </c>
      <c r="G1956">
        <f>IF(FME_Ranking!F1956="Yes",100,0)</f>
        <v>0</v>
      </c>
      <c r="H1956">
        <f>FME_Ranking1[[#This Row],[Emergency Need Score (Normalized, Unweighted)]]*$F$3</f>
        <v>0</v>
      </c>
      <c r="I1956" s="246">
        <f>_xlfn.XLOOKUP(FME_Ranking1[[#This Row],[FME ID]],FME_Input[FME_ID],FME_Input[STRUCT_100])</f>
        <v>6</v>
      </c>
      <c r="J1956" s="178">
        <f>(FME_Ranking1[[#This Row],[Structures 100 Raw]]/I$2)*100</f>
        <v>3.2129546330805807E-3</v>
      </c>
      <c r="K1956" s="178">
        <f>FME_Ranking1[[#This Row],[Structures 100  Score (Normalized, Unweighted)]]*$I$3</f>
        <v>4.8194319496208709E-4</v>
      </c>
      <c r="L1956" s="246">
        <f>_xlfn.XLOOKUP(FME_Ranking1[[#This Row],[FME ID]],FME_Input[FME_ID],FME_Input[RES_STRUCT100])</f>
        <v>5</v>
      </c>
      <c r="M1956" s="230">
        <f>(FME_Ranking1[[#This Row],[Res Structures Raw]]/L$2)*100</f>
        <v>3.5415279568216909E-3</v>
      </c>
      <c r="N1956" s="180">
        <f>FME_Ranking1[[#This Row],[Res Structures Score (Normalized, Unweighted)]]*$L$3</f>
        <v>3.5415279568216913E-4</v>
      </c>
      <c r="O1956" s="244">
        <f>_xlfn.XLOOKUP(FME_Ranking1[[#This Row],[FME ID]],FME_Input[FME_ID],FME_Input[POP100])</f>
        <v>16</v>
      </c>
      <c r="P1956" s="178">
        <f>(FME_Ranking1[[#This Row],[Pop Raw]]/$O$2)*100</f>
        <v>1.6380049918202125E-3</v>
      </c>
      <c r="Q1956" s="178">
        <f>FME_Ranking1[[#This Row],[Pop Score (Normalized, Unweighted)]]*$O$3</f>
        <v>2.4570074877303187E-4</v>
      </c>
      <c r="R1956" s="137">
        <f>_xlfn.XLOOKUP(FME_Ranking1[[#This Row],[FME ID]],FME_Input[FME_ID],FME_Input[CRITFAC100])</f>
        <v>0</v>
      </c>
      <c r="S1956" s="230">
        <f>(FME_Ranking1[[#This Row],[Critical Facilities Raw]]/$R$2)*100</f>
        <v>0</v>
      </c>
      <c r="T1956" s="180">
        <f>FME_Ranking1[[#This Row],[Critical Facilities Score (Normalized, Unweighted)]]*$R$3</f>
        <v>0</v>
      </c>
      <c r="U1956">
        <f>_xlfn.XLOOKUP(FME_Ranking1[[#This Row],[FME ID]],FME_Input[FME_ID],FME_Input[LWC])</f>
        <v>0</v>
      </c>
      <c r="V1956" s="178">
        <f>(FME_Ranking1[[#This Row],[LWC Raw]]/$U$2)*100</f>
        <v>0</v>
      </c>
      <c r="W1956" s="178">
        <f>FME_Ranking1[[#This Row],[LWC Score (Normalized, Unweighted)]]*$U$3</f>
        <v>0</v>
      </c>
      <c r="X1956" s="246">
        <f>_xlfn.XLOOKUP(FME_Ranking1[[#This Row],[FME ID]],FME_Input[FME_ID],FME_Input[ROADCLS])</f>
        <v>0</v>
      </c>
      <c r="Y1956" s="230">
        <f>(FME_Ranking1[[#This Row],[Closures Raw]]/$X$2)*100</f>
        <v>0</v>
      </c>
      <c r="Z1956" s="180">
        <f>FME_Ranking1[[#This Row],[Closures Score (Normalized, Unweighted)]]*$X$3</f>
        <v>0</v>
      </c>
      <c r="AA1956" s="253">
        <f>_xlfn.XLOOKUP(FME_Ranking1[[#This Row],[FME ID]],FME_Input[FME_ID],FME_Input[ROAD_MILES100])</f>
        <v>4.1147832870483398</v>
      </c>
      <c r="AB1956" s="178">
        <f>(FME_Ranking1[[#This Row],[Miles Raw]]/$AA$2)*100</f>
        <v>5.4102020014388554E-2</v>
      </c>
      <c r="AC1956" s="178">
        <f>FME_Ranking1[[#This Row],[Miles Score (Normalized, Unweighted)]]*$AA$3</f>
        <v>5.4102020014388554E-3</v>
      </c>
      <c r="AD1956" s="255">
        <f>_xlfn.XLOOKUP(FME_Ranking1[[#This Row],[FME ID]],FME_Input[FME_ID],FME_Input[FARMACRE100])</f>
        <v>57.414852142333977</v>
      </c>
      <c r="AE1956" s="230">
        <f>(FME_Ranking1[[#This Row],[Ag Land Raw]]/$AD$2)*100</f>
        <v>2.367531484552409E-3</v>
      </c>
      <c r="AF1956" s="231">
        <f>FME_Ranking1[[#This Row],[Ag Land Score (Normalized, Unweighted)]]*$AD$3</f>
        <v>1.1837657422762046E-4</v>
      </c>
      <c r="AG195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6.6103753150837637E-3</v>
      </c>
      <c r="AH1956" s="406">
        <f t="shared" si="30"/>
        <v>1807</v>
      </c>
      <c r="AI195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6.6103753150837637E-3</v>
      </c>
      <c r="AJ1956" s="257">
        <f>FME_Ranking1[[#This Row],[Addition check]]-FME_Ranking1[[#This Row],[Weighted Score Based on Normalized Reported Factors]]</f>
        <v>0</v>
      </c>
      <c r="AK1956" s="178">
        <f>_xlfn.RANK.EQ(AI1956,$AI$6:$AI$2341,0)+COUNTIF($AI$6:AI1956,AI1956)-1</f>
        <v>1807</v>
      </c>
    </row>
    <row r="1957" spans="1:37" x14ac:dyDescent="0.25">
      <c r="A1957" t="s">
        <v>107</v>
      </c>
      <c r="B1957">
        <f>_xlfn.XLOOKUP(FME_Ranking1[[#This Row],[FME ID]],FME_Input[FME_ID],FME_Input[RFPG_NUM])</f>
        <v>10</v>
      </c>
      <c r="C1957" t="str">
        <f>_xlfn.XLOOKUP(FME_Ranking1[[#This Row],[FME ID]],FME_Input[FME_ID],FME_Input[FME_NAME])</f>
        <v>Patterson Rd &amp; Barton's Creek</v>
      </c>
      <c r="D1957" t="str">
        <f>_xlfn.XLOOKUP(FME_Ranking1[[#This Row],[FME ID]],FME_Input[FME_ID],FME_Input[DESCR])</f>
        <v>Wooden Bridge Upgrade, Box-culvert bridge</v>
      </c>
      <c r="E1957" s="256">
        <f>_xlfn.XLOOKUP(FME_Ranking1[[#This Row],[FME ID]],FME_Input[FME_ID],FME_Input[FME_COST])</f>
        <v>100000</v>
      </c>
      <c r="F1957" t="str">
        <f>_xlfn.XLOOKUP(FME_Ranking1[[#This Row],[FME ID]],FME_Input[FME_ID],FME_Input[EMER_NEED])</f>
        <v>No</v>
      </c>
      <c r="G1957">
        <f>IF(FME_Ranking!F1957="Yes",100,0)</f>
        <v>0</v>
      </c>
      <c r="H1957">
        <f>FME_Ranking1[[#This Row],[Emergency Need Score (Normalized, Unweighted)]]*$F$3</f>
        <v>0</v>
      </c>
      <c r="I1957" s="246">
        <f>_xlfn.XLOOKUP(FME_Ranking1[[#This Row],[FME ID]],FME_Input[FME_ID],FME_Input[STRUCT_100])</f>
        <v>1</v>
      </c>
      <c r="J1957" s="178">
        <f>(FME_Ranking1[[#This Row],[Structures 100 Raw]]/I$2)*100</f>
        <v>5.3549243884676355E-4</v>
      </c>
      <c r="K1957" s="178">
        <f>FME_Ranking1[[#This Row],[Structures 100  Score (Normalized, Unweighted)]]*$I$3</f>
        <v>8.0323865827014533E-5</v>
      </c>
      <c r="L1957" s="246">
        <f>_xlfn.XLOOKUP(FME_Ranking1[[#This Row],[FME ID]],FME_Input[FME_ID],FME_Input[RES_STRUCT100])</f>
        <v>1</v>
      </c>
      <c r="M1957" s="230">
        <f>(FME_Ranking1[[#This Row],[Res Structures Raw]]/L$2)*100</f>
        <v>7.0830559136433825E-4</v>
      </c>
      <c r="N1957" s="180">
        <f>FME_Ranking1[[#This Row],[Res Structures Score (Normalized, Unweighted)]]*$L$3</f>
        <v>7.0830559136433833E-5</v>
      </c>
      <c r="O1957" s="244">
        <f>_xlfn.XLOOKUP(FME_Ranking1[[#This Row],[FME ID]],FME_Input[FME_ID],FME_Input[POP100])</f>
        <v>3</v>
      </c>
      <c r="P1957" s="178">
        <f>(FME_Ranking1[[#This Row],[Pop Raw]]/$O$2)*100</f>
        <v>3.0712593596628988E-4</v>
      </c>
      <c r="Q1957" s="178">
        <f>FME_Ranking1[[#This Row],[Pop Score (Normalized, Unweighted)]]*$O$3</f>
        <v>4.6068890394943479E-5</v>
      </c>
      <c r="R1957" s="137">
        <f>_xlfn.XLOOKUP(FME_Ranking1[[#This Row],[FME ID]],FME_Input[FME_ID],FME_Input[CRITFAC100])</f>
        <v>0</v>
      </c>
      <c r="S1957" s="230">
        <f>(FME_Ranking1[[#This Row],[Critical Facilities Raw]]/$R$2)*100</f>
        <v>0</v>
      </c>
      <c r="T1957" s="180">
        <f>FME_Ranking1[[#This Row],[Critical Facilities Score (Normalized, Unweighted)]]*$R$3</f>
        <v>0</v>
      </c>
      <c r="U1957">
        <f>_xlfn.XLOOKUP(FME_Ranking1[[#This Row],[FME ID]],FME_Input[FME_ID],FME_Input[LWC])</f>
        <v>0</v>
      </c>
      <c r="V1957" s="178">
        <f>(FME_Ranking1[[#This Row],[LWC Raw]]/$U$2)*100</f>
        <v>0</v>
      </c>
      <c r="W1957" s="178">
        <f>FME_Ranking1[[#This Row],[LWC Score (Normalized, Unweighted)]]*$U$3</f>
        <v>0</v>
      </c>
      <c r="X1957" s="246">
        <f>_xlfn.XLOOKUP(FME_Ranking1[[#This Row],[FME ID]],FME_Input[FME_ID],FME_Input[ROADCLS])</f>
        <v>0</v>
      </c>
      <c r="Y1957" s="230">
        <f>(FME_Ranking1[[#This Row],[Closures Raw]]/$X$2)*100</f>
        <v>0</v>
      </c>
      <c r="Z1957" s="180">
        <f>FME_Ranking1[[#This Row],[Closures Score (Normalized, Unweighted)]]*$X$3</f>
        <v>0</v>
      </c>
      <c r="AA1957" s="253">
        <f>_xlfn.XLOOKUP(FME_Ranking1[[#This Row],[FME ID]],FME_Input[FME_ID],FME_Input[ROAD_MILES100])</f>
        <v>0.1119736656546593</v>
      </c>
      <c r="AB1957" s="178">
        <f>(FME_Ranking1[[#This Row],[Miles Raw]]/$AA$2)*100</f>
        <v>1.472252869161044E-3</v>
      </c>
      <c r="AC1957" s="178">
        <f>FME_Ranking1[[#This Row],[Miles Score (Normalized, Unweighted)]]*$AA$3</f>
        <v>1.4722528691610441E-4</v>
      </c>
      <c r="AD1957" s="255">
        <f>_xlfn.XLOOKUP(FME_Ranking1[[#This Row],[FME ID]],FME_Input[FME_ID],FME_Input[FARMACRE100])</f>
        <v>479.77142333984381</v>
      </c>
      <c r="AE1957" s="230">
        <f>(FME_Ranking1[[#This Row],[Ag Land Raw]]/$AD$2)*100</f>
        <v>1.9783625799988488E-2</v>
      </c>
      <c r="AF1957" s="231">
        <f>FME_Ranking1[[#This Row],[Ag Land Score (Normalized, Unweighted)]]*$AD$3</f>
        <v>9.8918128999942443E-4</v>
      </c>
      <c r="AG195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1.3336298922739208E-3</v>
      </c>
      <c r="AH1957" s="406">
        <f t="shared" si="30"/>
        <v>1996</v>
      </c>
      <c r="AI195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1.3336298922739208E-3</v>
      </c>
      <c r="AJ1957" s="257">
        <f>FME_Ranking1[[#This Row],[Addition check]]-FME_Ranking1[[#This Row],[Weighted Score Based on Normalized Reported Factors]]</f>
        <v>0</v>
      </c>
      <c r="AK1957" s="178">
        <f>_xlfn.RANK.EQ(AI1957,$AI$6:$AI$2341,0)+COUNTIF($AI$6:AI1957,AI1957)-1</f>
        <v>1996</v>
      </c>
    </row>
    <row r="1958" spans="1:37" x14ac:dyDescent="0.25">
      <c r="A1958" t="s">
        <v>9758</v>
      </c>
      <c r="B1958">
        <f>_xlfn.XLOOKUP(FME_Ranking1[[#This Row],[FME ID]],FME_Input[FME_ID],FME_Input[RFPG_NUM])</f>
        <v>12</v>
      </c>
      <c r="C1958" t="str">
        <f>_xlfn.XLOOKUP(FME_Ranking1[[#This Row],[FME ID]],FME_Input[FME_ID],FME_Input[FME_NAME])</f>
        <v>Bandera Lower Mason Creek and Bandera Creek at State Highway 16</v>
      </c>
      <c r="D1958" t="str">
        <f>_xlfn.XLOOKUP(FME_Ranking1[[#This Row],[FME ID]],FME_Input[FME_ID],FME_Input[DESCR])</f>
        <v>Lower Mason Creek and Bandera Creek contribute to flooding at SH 16. Study to upgrade road.</v>
      </c>
      <c r="E1958" s="256">
        <f>_xlfn.XLOOKUP(FME_Ranking1[[#This Row],[FME ID]],FME_Input[FME_ID],FME_Input[FME_COST])</f>
        <v>50000</v>
      </c>
      <c r="F1958" t="str">
        <f>_xlfn.XLOOKUP(FME_Ranking1[[#This Row],[FME ID]],FME_Input[FME_ID],FME_Input[EMER_NEED])</f>
        <v>Yes</v>
      </c>
      <c r="G1958">
        <f>IF(FME_Ranking!F1958="Yes",100,0)</f>
        <v>100</v>
      </c>
      <c r="H1958">
        <f>FME_Ranking1[[#This Row],[Emergency Need Score (Normalized, Unweighted)]]*$F$3</f>
        <v>0</v>
      </c>
      <c r="I1958" s="246">
        <f>_xlfn.XLOOKUP(FME_Ranking1[[#This Row],[FME ID]],FME_Input[FME_ID],FME_Input[STRUCT_100])</f>
        <v>4</v>
      </c>
      <c r="J1958" s="178">
        <f>(FME_Ranking1[[#This Row],[Structures 100 Raw]]/I$2)*100</f>
        <v>2.1419697553870542E-3</v>
      </c>
      <c r="K1958" s="178">
        <f>FME_Ranking1[[#This Row],[Structures 100  Score (Normalized, Unweighted)]]*$I$3</f>
        <v>3.2129546330805813E-4</v>
      </c>
      <c r="L1958" s="246">
        <f>_xlfn.XLOOKUP(FME_Ranking1[[#This Row],[FME ID]],FME_Input[FME_ID],FME_Input[RES_STRUCT100])</f>
        <v>4</v>
      </c>
      <c r="M1958" s="230">
        <f>(FME_Ranking1[[#This Row],[Res Structures Raw]]/L$2)*100</f>
        <v>2.833222365457353E-3</v>
      </c>
      <c r="N1958" s="180">
        <f>FME_Ranking1[[#This Row],[Res Structures Score (Normalized, Unweighted)]]*$L$3</f>
        <v>2.8332223654573533E-4</v>
      </c>
      <c r="O1958" s="244">
        <f>_xlfn.XLOOKUP(FME_Ranking1[[#This Row],[FME ID]],FME_Input[FME_ID],FME_Input[POP100])</f>
        <v>3</v>
      </c>
      <c r="P1958" s="178">
        <f>(FME_Ranking1[[#This Row],[Pop Raw]]/$O$2)*100</f>
        <v>3.0712593596628988E-4</v>
      </c>
      <c r="Q1958" s="178">
        <f>FME_Ranking1[[#This Row],[Pop Score (Normalized, Unweighted)]]*$O$3</f>
        <v>4.6068890394943479E-5</v>
      </c>
      <c r="R1958" s="137">
        <f>_xlfn.XLOOKUP(FME_Ranking1[[#This Row],[FME ID]],FME_Input[FME_ID],FME_Input[CRITFAC100])</f>
        <v>0</v>
      </c>
      <c r="S1958" s="230">
        <f>(FME_Ranking1[[#This Row],[Critical Facilities Raw]]/$R$2)*100</f>
        <v>0</v>
      </c>
      <c r="T1958" s="180">
        <f>FME_Ranking1[[#This Row],[Critical Facilities Score (Normalized, Unweighted)]]*$R$3</f>
        <v>0</v>
      </c>
      <c r="U1958">
        <f>_xlfn.XLOOKUP(FME_Ranking1[[#This Row],[FME ID]],FME_Input[FME_ID],FME_Input[LWC])</f>
        <v>0</v>
      </c>
      <c r="V1958" s="178">
        <f>(FME_Ranking1[[#This Row],[LWC Raw]]/$U$2)*100</f>
        <v>0</v>
      </c>
      <c r="W1958" s="178">
        <f>FME_Ranking1[[#This Row],[LWC Score (Normalized, Unweighted)]]*$U$3</f>
        <v>0</v>
      </c>
      <c r="X1958" s="246">
        <f>_xlfn.XLOOKUP(FME_Ranking1[[#This Row],[FME ID]],FME_Input[FME_ID],FME_Input[ROADCLS])</f>
        <v>1</v>
      </c>
      <c r="Y1958" s="230">
        <f>(FME_Ranking1[[#This Row],[Closures Raw]]/$X$2)*100</f>
        <v>1.0514141520344864E-2</v>
      </c>
      <c r="Z1958" s="180">
        <f>FME_Ranking1[[#This Row],[Closures Score (Normalized, Unweighted)]]*$X$3</f>
        <v>5.2570707601724321E-4</v>
      </c>
      <c r="AA1958" s="253">
        <f>_xlfn.XLOOKUP(FME_Ranking1[[#This Row],[FME ID]],FME_Input[FME_ID],FME_Input[ROAD_MILES100])</f>
        <v>0.15000000596046451</v>
      </c>
      <c r="AB1958" s="178">
        <f>(FME_Ranking1[[#This Row],[Miles Raw]]/$AA$2)*100</f>
        <v>1.9722310407391608E-3</v>
      </c>
      <c r="AC1958" s="178">
        <f>FME_Ranking1[[#This Row],[Miles Score (Normalized, Unweighted)]]*$AA$3</f>
        <v>1.972231040739161E-4</v>
      </c>
      <c r="AD1958" s="255">
        <f>_xlfn.XLOOKUP(FME_Ranking1[[#This Row],[FME ID]],FME_Input[FME_ID],FME_Input[FARMACRE100])</f>
        <v>0</v>
      </c>
      <c r="AE1958" s="230">
        <f>(FME_Ranking1[[#This Row],[Ag Land Raw]]/$AD$2)*100</f>
        <v>0</v>
      </c>
      <c r="AF1958" s="231">
        <f>FME_Ranking1[[#This Row],[Ag Land Score (Normalized, Unweighted)]]*$AD$3</f>
        <v>0</v>
      </c>
      <c r="AG195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1.3736167703398963E-3</v>
      </c>
      <c r="AH1958" s="406">
        <f t="shared" si="30"/>
        <v>1992</v>
      </c>
      <c r="AI195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1.3736167703398963E-3</v>
      </c>
      <c r="AJ1958" s="257">
        <f>FME_Ranking1[[#This Row],[Addition check]]-FME_Ranking1[[#This Row],[Weighted Score Based on Normalized Reported Factors]]</f>
        <v>0</v>
      </c>
      <c r="AK1958" s="178">
        <f>_xlfn.RANK.EQ(AI1958,$AI$6:$AI$2341,0)+COUNTIF($AI$6:AI1958,AI1958)-1</f>
        <v>1992</v>
      </c>
    </row>
    <row r="1959" spans="1:37" x14ac:dyDescent="0.25">
      <c r="A1959" t="s">
        <v>9747</v>
      </c>
      <c r="B1959">
        <f>_xlfn.XLOOKUP(FME_Ranking1[[#This Row],[FME ID]],FME_Input[FME_ID],FME_Input[RFPG_NUM])</f>
        <v>12</v>
      </c>
      <c r="C1959" t="str">
        <f>_xlfn.XLOOKUP(FME_Ranking1[[#This Row],[FME ID]],FME_Input[FME_ID],FME_Input[FME_NAME])</f>
        <v>Bandera FM 2107 Study</v>
      </c>
      <c r="D1959" t="str">
        <f>_xlfn.XLOOKUP(FME_Ranking1[[#This Row],[FME ID]],FME_Input[FME_ID],FME_Input[DESCR])</f>
        <v xml:space="preserve">FM 2107 is the only path for residents to access community lifelines.FM 2107 is the only path for residents to access community lifelines. Study to upgrade road. 
</v>
      </c>
      <c r="E1959" s="256">
        <f>_xlfn.XLOOKUP(FME_Ranking1[[#This Row],[FME ID]],FME_Input[FME_ID],FME_Input[FME_COST])</f>
        <v>300000</v>
      </c>
      <c r="F1959" t="str">
        <f>_xlfn.XLOOKUP(FME_Ranking1[[#This Row],[FME ID]],FME_Input[FME_ID],FME_Input[EMER_NEED])</f>
        <v>Yes</v>
      </c>
      <c r="G1959">
        <f>IF(FME_Ranking!F1959="Yes",100,0)</f>
        <v>100</v>
      </c>
      <c r="H1959">
        <f>FME_Ranking1[[#This Row],[Emergency Need Score (Normalized, Unweighted)]]*$F$3</f>
        <v>0</v>
      </c>
      <c r="I1959" s="246">
        <f>_xlfn.XLOOKUP(FME_Ranking1[[#This Row],[FME ID]],FME_Input[FME_ID],FME_Input[STRUCT_100])</f>
        <v>1</v>
      </c>
      <c r="J1959" s="178">
        <f>(FME_Ranking1[[#This Row],[Structures 100 Raw]]/I$2)*100</f>
        <v>5.3549243884676355E-4</v>
      </c>
      <c r="K1959" s="178">
        <f>FME_Ranking1[[#This Row],[Structures 100  Score (Normalized, Unweighted)]]*$I$3</f>
        <v>8.0323865827014533E-5</v>
      </c>
      <c r="L1959" s="246">
        <f>_xlfn.XLOOKUP(FME_Ranking1[[#This Row],[FME ID]],FME_Input[FME_ID],FME_Input[RES_STRUCT100])</f>
        <v>0</v>
      </c>
      <c r="M1959" s="230">
        <f>(FME_Ranking1[[#This Row],[Res Structures Raw]]/L$2)*100</f>
        <v>0</v>
      </c>
      <c r="N1959" s="180">
        <f>FME_Ranking1[[#This Row],[Res Structures Score (Normalized, Unweighted)]]*$L$3</f>
        <v>0</v>
      </c>
      <c r="O1959" s="244">
        <f>_xlfn.XLOOKUP(FME_Ranking1[[#This Row],[FME ID]],FME_Input[FME_ID],FME_Input[POP100])</f>
        <v>2</v>
      </c>
      <c r="P1959" s="178">
        <f>(FME_Ranking1[[#This Row],[Pop Raw]]/$O$2)*100</f>
        <v>2.0475062397752657E-4</v>
      </c>
      <c r="Q1959" s="178">
        <f>FME_Ranking1[[#This Row],[Pop Score (Normalized, Unweighted)]]*$O$3</f>
        <v>3.0712593596628984E-5</v>
      </c>
      <c r="R1959" s="137">
        <f>_xlfn.XLOOKUP(FME_Ranking1[[#This Row],[FME ID]],FME_Input[FME_ID],FME_Input[CRITFAC100])</f>
        <v>0</v>
      </c>
      <c r="S1959" s="230">
        <f>(FME_Ranking1[[#This Row],[Critical Facilities Raw]]/$R$2)*100</f>
        <v>0</v>
      </c>
      <c r="T1959" s="180">
        <f>FME_Ranking1[[#This Row],[Critical Facilities Score (Normalized, Unweighted)]]*$R$3</f>
        <v>0</v>
      </c>
      <c r="U1959">
        <f>_xlfn.XLOOKUP(FME_Ranking1[[#This Row],[FME ID]],FME_Input[FME_ID],FME_Input[LWC])</f>
        <v>0</v>
      </c>
      <c r="V1959" s="178">
        <f>(FME_Ranking1[[#This Row],[LWC Raw]]/$U$2)*100</f>
        <v>0</v>
      </c>
      <c r="W1959" s="178">
        <f>FME_Ranking1[[#This Row],[LWC Score (Normalized, Unweighted)]]*$U$3</f>
        <v>0</v>
      </c>
      <c r="X1959" s="246">
        <f>_xlfn.XLOOKUP(FME_Ranking1[[#This Row],[FME ID]],FME_Input[FME_ID],FME_Input[ROADCLS])</f>
        <v>2</v>
      </c>
      <c r="Y1959" s="230">
        <f>(FME_Ranking1[[#This Row],[Closures Raw]]/$X$2)*100</f>
        <v>2.1028283040689728E-2</v>
      </c>
      <c r="Z1959" s="180">
        <f>FME_Ranking1[[#This Row],[Closures Score (Normalized, Unweighted)]]*$X$3</f>
        <v>1.0514141520344864E-3</v>
      </c>
      <c r="AA1959" s="253">
        <f>_xlfn.XLOOKUP(FME_Ranking1[[#This Row],[FME ID]],FME_Input[FME_ID],FME_Input[ROAD_MILES100])</f>
        <v>0.60000002384185791</v>
      </c>
      <c r="AB1959" s="178">
        <f>(FME_Ranking1[[#This Row],[Miles Raw]]/$AA$2)*100</f>
        <v>7.8889241629566415E-3</v>
      </c>
      <c r="AC1959" s="178">
        <f>FME_Ranking1[[#This Row],[Miles Score (Normalized, Unweighted)]]*$AA$3</f>
        <v>7.888924162956642E-4</v>
      </c>
      <c r="AD1959" s="255">
        <f>_xlfn.XLOOKUP(FME_Ranking1[[#This Row],[FME ID]],FME_Input[FME_ID],FME_Input[FARMACRE100])</f>
        <v>0.469868004322052</v>
      </c>
      <c r="AE1959" s="230">
        <f>(FME_Ranking1[[#This Row],[Ag Land Raw]]/$AD$2)*100</f>
        <v>1.9375253132386525E-5</v>
      </c>
      <c r="AF1959" s="231">
        <f>FME_Ranking1[[#This Row],[Ag Land Score (Normalized, Unweighted)]]*$AD$3</f>
        <v>9.6876265661932635E-7</v>
      </c>
      <c r="AG195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1.9523117904104135E-3</v>
      </c>
      <c r="AH1959" s="406">
        <f t="shared" si="30"/>
        <v>1962</v>
      </c>
      <c r="AI195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1.9523117904104135E-3</v>
      </c>
      <c r="AJ1959" s="257">
        <f>FME_Ranking1[[#This Row],[Addition check]]-FME_Ranking1[[#This Row],[Weighted Score Based on Normalized Reported Factors]]</f>
        <v>0</v>
      </c>
      <c r="AK1959" s="178">
        <f>_xlfn.RANK.EQ(AI1959,$AI$6:$AI$2341,0)+COUNTIF($AI$6:AI1959,AI1959)-1</f>
        <v>1962</v>
      </c>
    </row>
    <row r="1960" spans="1:37" x14ac:dyDescent="0.25">
      <c r="A1960" t="s">
        <v>8089</v>
      </c>
      <c r="B1960">
        <f>_xlfn.XLOOKUP(FME_Ranking1[[#This Row],[FME ID]],FME_Input[FME_ID],FME_Input[RFPG_NUM])</f>
        <v>9</v>
      </c>
      <c r="C1960" t="str">
        <f>_xlfn.XLOOKUP(FME_Ranking1[[#This Row],[FME ID]],FME_Input[FME_ID],FME_Input[FME_NAME])</f>
        <v>City of Blackwell Storm Drain and Culvert Improvements Study</v>
      </c>
      <c r="D1960" t="str">
        <f>_xlfn.XLOOKUP(FME_Ranking1[[#This Row],[FME ID]],FME_Input[FME_ID],FME_Input[DESCR])</f>
        <v>Proposed project planning for upgrading undersized stormwater drains and culverts.</v>
      </c>
      <c r="E1960" s="256">
        <f>_xlfn.XLOOKUP(FME_Ranking1[[#This Row],[FME ID]],FME_Input[FME_ID],FME_Input[FME_COST])</f>
        <v>300000</v>
      </c>
      <c r="F1960" t="str">
        <f>_xlfn.XLOOKUP(FME_Ranking1[[#This Row],[FME ID]],FME_Input[FME_ID],FME_Input[EMER_NEED])</f>
        <v>No</v>
      </c>
      <c r="G1960">
        <f>IF(FME_Ranking!F1960="Yes",100,0)</f>
        <v>0</v>
      </c>
      <c r="H1960">
        <f>FME_Ranking1[[#This Row],[Emergency Need Score (Normalized, Unweighted)]]*$F$3</f>
        <v>0</v>
      </c>
      <c r="I1960" s="246">
        <f>_xlfn.XLOOKUP(FME_Ranking1[[#This Row],[FME ID]],FME_Input[FME_ID],FME_Input[STRUCT_100])</f>
        <v>9</v>
      </c>
      <c r="J1960" s="178">
        <f>(FME_Ranking1[[#This Row],[Structures 100 Raw]]/I$2)*100</f>
        <v>4.8194319496208714E-3</v>
      </c>
      <c r="K1960" s="178">
        <f>FME_Ranking1[[#This Row],[Structures 100  Score (Normalized, Unweighted)]]*$I$3</f>
        <v>7.2291479244313071E-4</v>
      </c>
      <c r="L1960" s="246">
        <f>_xlfn.XLOOKUP(FME_Ranking1[[#This Row],[FME ID]],FME_Input[FME_ID],FME_Input[RES_STRUCT100])</f>
        <v>3</v>
      </c>
      <c r="M1960" s="230">
        <f>(FME_Ranking1[[#This Row],[Res Structures Raw]]/L$2)*100</f>
        <v>2.1249167740930146E-3</v>
      </c>
      <c r="N1960" s="180">
        <f>FME_Ranking1[[#This Row],[Res Structures Score (Normalized, Unweighted)]]*$L$3</f>
        <v>2.1249167740930149E-4</v>
      </c>
      <c r="O1960" s="244">
        <f>_xlfn.XLOOKUP(FME_Ranking1[[#This Row],[FME ID]],FME_Input[FME_ID],FME_Input[POP100])</f>
        <v>14</v>
      </c>
      <c r="P1960" s="178">
        <f>(FME_Ranking1[[#This Row],[Pop Raw]]/$O$2)*100</f>
        <v>1.4332543678426859E-3</v>
      </c>
      <c r="Q1960" s="178">
        <f>FME_Ranking1[[#This Row],[Pop Score (Normalized, Unweighted)]]*$O$3</f>
        <v>2.1498815517640289E-4</v>
      </c>
      <c r="R1960" s="137">
        <f>_xlfn.XLOOKUP(FME_Ranking1[[#This Row],[FME ID]],FME_Input[FME_ID],FME_Input[CRITFAC100])</f>
        <v>0</v>
      </c>
      <c r="S1960" s="230">
        <f>(FME_Ranking1[[#This Row],[Critical Facilities Raw]]/$R$2)*100</f>
        <v>0</v>
      </c>
      <c r="T1960" s="180">
        <f>FME_Ranking1[[#This Row],[Critical Facilities Score (Normalized, Unweighted)]]*$R$3</f>
        <v>0</v>
      </c>
      <c r="U1960">
        <f>_xlfn.XLOOKUP(FME_Ranking1[[#This Row],[FME ID]],FME_Input[FME_ID],FME_Input[LWC])</f>
        <v>0</v>
      </c>
      <c r="V1960" s="178">
        <f>(FME_Ranking1[[#This Row],[LWC Raw]]/$U$2)*100</f>
        <v>0</v>
      </c>
      <c r="W1960" s="178">
        <f>FME_Ranking1[[#This Row],[LWC Score (Normalized, Unweighted)]]*$U$3</f>
        <v>0</v>
      </c>
      <c r="X1960" s="246">
        <f>_xlfn.XLOOKUP(FME_Ranking1[[#This Row],[FME ID]],FME_Input[FME_ID],FME_Input[ROADCLS])</f>
        <v>0</v>
      </c>
      <c r="Y1960" s="230">
        <f>(FME_Ranking1[[#This Row],[Closures Raw]]/$X$2)*100</f>
        <v>0</v>
      </c>
      <c r="Z1960" s="180">
        <f>FME_Ranking1[[#This Row],[Closures Score (Normalized, Unweighted)]]*$X$3</f>
        <v>0</v>
      </c>
      <c r="AA1960" s="253">
        <f>_xlfn.XLOOKUP(FME_Ranking1[[#This Row],[FME ID]],FME_Input[FME_ID],FME_Input[ROAD_MILES100])</f>
        <v>0.48034238815307623</v>
      </c>
      <c r="AB1960" s="178">
        <f>(FME_Ranking1[[#This Row],[Miles Raw]]/$AA$2)*100</f>
        <v>6.3156408696941483E-3</v>
      </c>
      <c r="AC1960" s="178">
        <f>FME_Ranking1[[#This Row],[Miles Score (Normalized, Unweighted)]]*$AA$3</f>
        <v>6.3156408696941489E-4</v>
      </c>
      <c r="AD1960" s="255">
        <f>_xlfn.XLOOKUP(FME_Ranking1[[#This Row],[FME ID]],FME_Input[FME_ID],FME_Input[FARMACRE100])</f>
        <v>7.0710085332393646E-2</v>
      </c>
      <c r="AE1960" s="230">
        <f>(FME_Ranking1[[#This Row],[Ag Land Raw]]/$AD$2)*100</f>
        <v>2.9157673851500424E-6</v>
      </c>
      <c r="AF1960" s="231">
        <f>FME_Ranking1[[#This Row],[Ag Land Score (Normalized, Unweighted)]]*$AD$3</f>
        <v>1.4578836925750214E-7</v>
      </c>
      <c r="AG196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1.7821045003675075E-3</v>
      </c>
      <c r="AH1960" s="406">
        <f t="shared" si="30"/>
        <v>1969</v>
      </c>
      <c r="AI196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1.7821045003675075E-3</v>
      </c>
      <c r="AJ1960" s="257">
        <f>FME_Ranking1[[#This Row],[Addition check]]-FME_Ranking1[[#This Row],[Weighted Score Based on Normalized Reported Factors]]</f>
        <v>0</v>
      </c>
      <c r="AK1960" s="178">
        <f>_xlfn.RANK.EQ(AI1960,$AI$6:$AI$2341,0)+COUNTIF($AI$6:AI1960,AI1960)-1</f>
        <v>1969</v>
      </c>
    </row>
    <row r="1961" spans="1:37" x14ac:dyDescent="0.25">
      <c r="A1961" t="s">
        <v>9822</v>
      </c>
      <c r="B1961">
        <f>_xlfn.XLOOKUP(FME_Ranking1[[#This Row],[FME ID]],FME_Input[FME_ID],FME_Input[RFPG_NUM])</f>
        <v>12</v>
      </c>
      <c r="C1961" t="str">
        <f>_xlfn.XLOOKUP(FME_Ranking1[[#This Row],[FME ID]],FME_Input[FME_ID],FME_Input[FME_NAME])</f>
        <v>Karnes Damage Center H</v>
      </c>
      <c r="D1961" t="str">
        <f>_xlfn.XLOOKUP(FME_Ranking1[[#This Row],[FME ID]],FME_Input[FME_ID],FME_Input[DESCR])</f>
        <v>Raise bridge on Hwy 181/5th in Kenedy</v>
      </c>
      <c r="E1961" s="256">
        <f>_xlfn.XLOOKUP(FME_Ranking1[[#This Row],[FME ID]],FME_Input[FME_ID],FME_Input[FME_COST])</f>
        <v>150000</v>
      </c>
      <c r="F1961" t="str">
        <f>_xlfn.XLOOKUP(FME_Ranking1[[#This Row],[FME ID]],FME_Input[FME_ID],FME_Input[EMER_NEED])</f>
        <v>Yes</v>
      </c>
      <c r="G1961">
        <f>IF(FME_Ranking!F1961="Yes",100,0)</f>
        <v>100</v>
      </c>
      <c r="H1961">
        <f>FME_Ranking1[[#This Row],[Emergency Need Score (Normalized, Unweighted)]]*$F$3</f>
        <v>0</v>
      </c>
      <c r="I1961" s="246">
        <f>_xlfn.XLOOKUP(FME_Ranking1[[#This Row],[FME ID]],FME_Input[FME_ID],FME_Input[STRUCT_100])</f>
        <v>1</v>
      </c>
      <c r="J1961" s="178">
        <f>(FME_Ranking1[[#This Row],[Structures 100 Raw]]/I$2)*100</f>
        <v>5.3549243884676355E-4</v>
      </c>
      <c r="K1961" s="178">
        <f>FME_Ranking1[[#This Row],[Structures 100  Score (Normalized, Unweighted)]]*$I$3</f>
        <v>8.0323865827014533E-5</v>
      </c>
      <c r="L1961" s="246">
        <f>_xlfn.XLOOKUP(FME_Ranking1[[#This Row],[FME ID]],FME_Input[FME_ID],FME_Input[RES_STRUCT100])</f>
        <v>0</v>
      </c>
      <c r="M1961" s="230">
        <f>(FME_Ranking1[[#This Row],[Res Structures Raw]]/L$2)*100</f>
        <v>0</v>
      </c>
      <c r="N1961" s="180">
        <f>FME_Ranking1[[#This Row],[Res Structures Score (Normalized, Unweighted)]]*$L$3</f>
        <v>0</v>
      </c>
      <c r="O1961" s="244">
        <f>_xlfn.XLOOKUP(FME_Ranking1[[#This Row],[FME ID]],FME_Input[FME_ID],FME_Input[POP100])</f>
        <v>1</v>
      </c>
      <c r="P1961" s="178">
        <f>(FME_Ranking1[[#This Row],[Pop Raw]]/$O$2)*100</f>
        <v>1.0237531198876328E-4</v>
      </c>
      <c r="Q1961" s="178">
        <f>FME_Ranking1[[#This Row],[Pop Score (Normalized, Unweighted)]]*$O$3</f>
        <v>1.5356296798314492E-5</v>
      </c>
      <c r="R1961" s="137">
        <f>_xlfn.XLOOKUP(FME_Ranking1[[#This Row],[FME ID]],FME_Input[FME_ID],FME_Input[CRITFAC100])</f>
        <v>0</v>
      </c>
      <c r="S1961" s="230">
        <f>(FME_Ranking1[[#This Row],[Critical Facilities Raw]]/$R$2)*100</f>
        <v>0</v>
      </c>
      <c r="T1961" s="180">
        <f>FME_Ranking1[[#This Row],[Critical Facilities Score (Normalized, Unweighted)]]*$R$3</f>
        <v>0</v>
      </c>
      <c r="U1961">
        <f>_xlfn.XLOOKUP(FME_Ranking1[[#This Row],[FME ID]],FME_Input[FME_ID],FME_Input[LWC])</f>
        <v>0</v>
      </c>
      <c r="V1961" s="178">
        <f>(FME_Ranking1[[#This Row],[LWC Raw]]/$U$2)*100</f>
        <v>0</v>
      </c>
      <c r="W1961" s="178">
        <f>FME_Ranking1[[#This Row],[LWC Score (Normalized, Unweighted)]]*$U$3</f>
        <v>0</v>
      </c>
      <c r="X1961" s="246">
        <f>_xlfn.XLOOKUP(FME_Ranking1[[#This Row],[FME ID]],FME_Input[FME_ID],FME_Input[ROADCLS])</f>
        <v>2</v>
      </c>
      <c r="Y1961" s="230">
        <f>(FME_Ranking1[[#This Row],[Closures Raw]]/$X$2)*100</f>
        <v>2.1028283040689728E-2</v>
      </c>
      <c r="Z1961" s="180">
        <f>FME_Ranking1[[#This Row],[Closures Score (Normalized, Unweighted)]]*$X$3</f>
        <v>1.0514141520344864E-3</v>
      </c>
      <c r="AA1961" s="253">
        <f>_xlfn.XLOOKUP(FME_Ranking1[[#This Row],[FME ID]],FME_Input[FME_ID],FME_Input[ROAD_MILES100])</f>
        <v>9.0000003576278687E-2</v>
      </c>
      <c r="AB1961" s="178">
        <f>(FME_Ranking1[[#This Row],[Miles Raw]]/$AA$2)*100</f>
        <v>1.1833386244434964E-3</v>
      </c>
      <c r="AC1961" s="178">
        <f>FME_Ranking1[[#This Row],[Miles Score (Normalized, Unweighted)]]*$AA$3</f>
        <v>1.1833386244434964E-4</v>
      </c>
      <c r="AD1961" s="255">
        <f>_xlfn.XLOOKUP(FME_Ranking1[[#This Row],[FME ID]],FME_Input[FME_ID],FME_Input[FARMACRE100])</f>
        <v>4.3053001165390008E-2</v>
      </c>
      <c r="AE1961" s="230">
        <f>(FME_Ranking1[[#This Row],[Ag Land Raw]]/$AD$2)*100</f>
        <v>1.7753130411421253E-6</v>
      </c>
      <c r="AF1961" s="231">
        <f>FME_Ranking1[[#This Row],[Ag Land Score (Normalized, Unweighted)]]*$AD$3</f>
        <v>8.876565205710627E-8</v>
      </c>
      <c r="AG196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1.2655169427562222E-3</v>
      </c>
      <c r="AH1961" s="406">
        <f t="shared" si="30"/>
        <v>2001</v>
      </c>
      <c r="AI196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1.2655169427562222E-3</v>
      </c>
      <c r="AJ1961" s="257">
        <f>FME_Ranking1[[#This Row],[Addition check]]-FME_Ranking1[[#This Row],[Weighted Score Based on Normalized Reported Factors]]</f>
        <v>0</v>
      </c>
      <c r="AK1961" s="178">
        <f>_xlfn.RANK.EQ(AI1961,$AI$6:$AI$2341,0)+COUNTIF($AI$6:AI1961,AI1961)-1</f>
        <v>2001</v>
      </c>
    </row>
    <row r="1962" spans="1:37" x14ac:dyDescent="0.25">
      <c r="A1962" t="s">
        <v>2597</v>
      </c>
      <c r="B1962">
        <f>_xlfn.XLOOKUP(FME_Ranking1[[#This Row],[FME ID]],FME_Input[FME_ID],FME_Input[RFPG_NUM])</f>
        <v>1</v>
      </c>
      <c r="C1962" t="str">
        <f>_xlfn.XLOOKUP(FME_Ranking1[[#This Row],[FME ID]],FME_Input[FME_ID],FME_Input[FME_NAME])</f>
        <v>Lakeview City Drainage Master Plan</v>
      </c>
      <c r="D1962" t="str">
        <f>_xlfn.XLOOKUP(FME_Ranking1[[#This Row],[FME ID]],FME_Input[FME_ID],FME_Input[DESCR])</f>
        <v xml:space="preserve">Perform H&amp;H modeling, develop conceptual alternatives and OPCC, and rank projects; selected based on the needs analysis </v>
      </c>
      <c r="E1962" s="256">
        <f>_xlfn.XLOOKUP(FME_Ranking1[[#This Row],[FME ID]],FME_Input[FME_ID],FME_Input[FME_COST])</f>
        <v>250000</v>
      </c>
      <c r="F1962" t="str">
        <f>_xlfn.XLOOKUP(FME_Ranking1[[#This Row],[FME ID]],FME_Input[FME_ID],FME_Input[EMER_NEED])</f>
        <v>No</v>
      </c>
      <c r="G1962">
        <f>IF(FME_Ranking!F1962="Yes",100,0)</f>
        <v>0</v>
      </c>
      <c r="H1962">
        <f>FME_Ranking1[[#This Row],[Emergency Need Score (Normalized, Unweighted)]]*$F$3</f>
        <v>0</v>
      </c>
      <c r="I1962" s="246">
        <f>_xlfn.XLOOKUP(FME_Ranking1[[#This Row],[FME ID]],FME_Input[FME_ID],FME_Input[STRUCT_100])</f>
        <v>10</v>
      </c>
      <c r="J1962" s="178">
        <f>(FME_Ranking1[[#This Row],[Structures 100 Raw]]/I$2)*100</f>
        <v>5.3549243884676344E-3</v>
      </c>
      <c r="K1962" s="178">
        <f>FME_Ranking1[[#This Row],[Structures 100  Score (Normalized, Unweighted)]]*$I$3</f>
        <v>8.0323865827014516E-4</v>
      </c>
      <c r="L1962" s="246">
        <f>_xlfn.XLOOKUP(FME_Ranking1[[#This Row],[FME ID]],FME_Input[FME_ID],FME_Input[RES_STRUCT100])</f>
        <v>3</v>
      </c>
      <c r="M1962" s="230">
        <f>(FME_Ranking1[[#This Row],[Res Structures Raw]]/L$2)*100</f>
        <v>2.1249167740930146E-3</v>
      </c>
      <c r="N1962" s="180">
        <f>FME_Ranking1[[#This Row],[Res Structures Score (Normalized, Unweighted)]]*$L$3</f>
        <v>2.1249167740930149E-4</v>
      </c>
      <c r="O1962" s="244">
        <f>_xlfn.XLOOKUP(FME_Ranking1[[#This Row],[FME ID]],FME_Input[FME_ID],FME_Input[POP100])</f>
        <v>7</v>
      </c>
      <c r="P1962" s="178">
        <f>(FME_Ranking1[[#This Row],[Pop Raw]]/$O$2)*100</f>
        <v>7.1662718392134295E-4</v>
      </c>
      <c r="Q1962" s="178">
        <f>FME_Ranking1[[#This Row],[Pop Score (Normalized, Unweighted)]]*$O$3</f>
        <v>1.0749407758820145E-4</v>
      </c>
      <c r="R1962" s="137">
        <f>_xlfn.XLOOKUP(FME_Ranking1[[#This Row],[FME ID]],FME_Input[FME_ID],FME_Input[CRITFAC100])</f>
        <v>0</v>
      </c>
      <c r="S1962" s="230">
        <f>(FME_Ranking1[[#This Row],[Critical Facilities Raw]]/$R$2)*100</f>
        <v>0</v>
      </c>
      <c r="T1962" s="180">
        <f>FME_Ranking1[[#This Row],[Critical Facilities Score (Normalized, Unweighted)]]*$R$3</f>
        <v>0</v>
      </c>
      <c r="U1962">
        <f>_xlfn.XLOOKUP(FME_Ranking1[[#This Row],[FME ID]],FME_Input[FME_ID],FME_Input[LWC])</f>
        <v>0</v>
      </c>
      <c r="V1962" s="178">
        <f>(FME_Ranking1[[#This Row],[LWC Raw]]/$U$2)*100</f>
        <v>0</v>
      </c>
      <c r="W1962" s="178">
        <f>FME_Ranking1[[#This Row],[LWC Score (Normalized, Unweighted)]]*$U$3</f>
        <v>0</v>
      </c>
      <c r="X1962" s="246">
        <f>_xlfn.XLOOKUP(FME_Ranking1[[#This Row],[FME ID]],FME_Input[FME_ID],FME_Input[ROADCLS])</f>
        <v>0</v>
      </c>
      <c r="Y1962" s="230">
        <f>(FME_Ranking1[[#This Row],[Closures Raw]]/$X$2)*100</f>
        <v>0</v>
      </c>
      <c r="Z1962" s="180">
        <f>FME_Ranking1[[#This Row],[Closures Score (Normalized, Unweighted)]]*$X$3</f>
        <v>0</v>
      </c>
      <c r="AA1962" s="253">
        <f>_xlfn.XLOOKUP(FME_Ranking1[[#This Row],[FME ID]],FME_Input[FME_ID],FME_Input[ROAD_MILES100])</f>
        <v>0.81056851148605347</v>
      </c>
      <c r="AB1962" s="178">
        <f>(FME_Ranking1[[#This Row],[Miles Raw]]/$AA$2)*100</f>
        <v>1.0657522103164998E-2</v>
      </c>
      <c r="AC1962" s="178">
        <f>FME_Ranking1[[#This Row],[Miles Score (Normalized, Unweighted)]]*$AA$3</f>
        <v>1.0657522103164998E-3</v>
      </c>
      <c r="AD1962" s="255">
        <f>_xlfn.XLOOKUP(FME_Ranking1[[#This Row],[FME ID]],FME_Input[FME_ID],FME_Input[FARMACRE100])</f>
        <v>2.4817047119140621</v>
      </c>
      <c r="AE1962" s="230">
        <f>(FME_Ranking1[[#This Row],[Ag Land Raw]]/$AD$2)*100</f>
        <v>1.0233439295903693E-4</v>
      </c>
      <c r="AF1962" s="231">
        <f>FME_Ranking1[[#This Row],[Ag Land Score (Normalized, Unweighted)]]*$AD$3</f>
        <v>5.1167196479518468E-6</v>
      </c>
      <c r="AG196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2.1940933432320997E-3</v>
      </c>
      <c r="AH1962" s="406">
        <f t="shared" si="30"/>
        <v>1946</v>
      </c>
      <c r="AI196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2.1940933432320997E-3</v>
      </c>
      <c r="AJ1962" s="257">
        <f>FME_Ranking1[[#This Row],[Addition check]]-FME_Ranking1[[#This Row],[Weighted Score Based on Normalized Reported Factors]]</f>
        <v>0</v>
      </c>
      <c r="AK1962" s="178">
        <f>_xlfn.RANK.EQ(AI1962,$AI$6:$AI$2341,0)+COUNTIF($AI$6:AI1962,AI1962)-1</f>
        <v>1946</v>
      </c>
    </row>
    <row r="1963" spans="1:37" x14ac:dyDescent="0.25">
      <c r="A1963" t="s">
        <v>10791</v>
      </c>
      <c r="B1963">
        <f>_xlfn.XLOOKUP(FME_Ranking1[[#This Row],[FME ID]],FME_Input[FME_ID],FME_Input[RFPG_NUM])</f>
        <v>13</v>
      </c>
      <c r="C1963" t="str">
        <f>_xlfn.XLOOKUP(FME_Ranking1[[#This Row],[FME ID]],FME_Input[FME_ID],FME_Input[FME_NAME])</f>
        <v>Nueces Off-Channel Reservoir near Lake Corpus Christi</v>
      </c>
      <c r="D1963" t="str">
        <f>_xlfn.XLOOKUP(FME_Ranking1[[#This Row],[FME ID]],FME_Input[FME_ID],FME_Input[DESCR])</f>
        <v>The Nueces OCR at the proposed location could be operated to capture water that would otherwise spill from LCC while still maintaining freshwater inflows to the Nueces Bay and Estuary (B&amp;E) and could potentially reduce flood events downstream of LCC.</v>
      </c>
      <c r="E1963" s="256">
        <f>_xlfn.XLOOKUP(FME_Ranking1[[#This Row],[FME ID]],FME_Input[FME_ID],FME_Input[FME_COST])</f>
        <v>65673000</v>
      </c>
      <c r="F1963" t="str">
        <f>_xlfn.XLOOKUP(FME_Ranking1[[#This Row],[FME ID]],FME_Input[FME_ID],FME_Input[EMER_NEED])</f>
        <v>Yes</v>
      </c>
      <c r="G1963">
        <f>IF(FME_Ranking!F1963="Yes",100,0)</f>
        <v>100</v>
      </c>
      <c r="H1963">
        <f>FME_Ranking1[[#This Row],[Emergency Need Score (Normalized, Unweighted)]]*$F$3</f>
        <v>0</v>
      </c>
      <c r="I1963" s="246">
        <f>_xlfn.XLOOKUP(FME_Ranking1[[#This Row],[FME ID]],FME_Input[FME_ID],FME_Input[STRUCT_100])</f>
        <v>0</v>
      </c>
      <c r="J1963" s="178">
        <f>(FME_Ranking1[[#This Row],[Structures 100 Raw]]/I$2)*100</f>
        <v>0</v>
      </c>
      <c r="K1963" s="178">
        <f>FME_Ranking1[[#This Row],[Structures 100  Score (Normalized, Unweighted)]]*$I$3</f>
        <v>0</v>
      </c>
      <c r="L1963" s="246">
        <f>_xlfn.XLOOKUP(FME_Ranking1[[#This Row],[FME ID]],FME_Input[FME_ID],FME_Input[RES_STRUCT100])</f>
        <v>0</v>
      </c>
      <c r="M1963" s="230">
        <f>(FME_Ranking1[[#This Row],[Res Structures Raw]]/L$2)*100</f>
        <v>0</v>
      </c>
      <c r="N1963" s="180">
        <f>FME_Ranking1[[#This Row],[Res Structures Score (Normalized, Unweighted)]]*$L$3</f>
        <v>0</v>
      </c>
      <c r="O1963" s="244">
        <f>_xlfn.XLOOKUP(FME_Ranking1[[#This Row],[FME ID]],FME_Input[FME_ID],FME_Input[POP100])</f>
        <v>0</v>
      </c>
      <c r="P1963" s="178">
        <f>(FME_Ranking1[[#This Row],[Pop Raw]]/$O$2)*100</f>
        <v>0</v>
      </c>
      <c r="Q1963" s="178">
        <f>FME_Ranking1[[#This Row],[Pop Score (Normalized, Unweighted)]]*$O$3</f>
        <v>0</v>
      </c>
      <c r="R1963" s="137">
        <f>_xlfn.XLOOKUP(FME_Ranking1[[#This Row],[FME ID]],FME_Input[FME_ID],FME_Input[CRITFAC100])</f>
        <v>0</v>
      </c>
      <c r="S1963" s="230">
        <f>(FME_Ranking1[[#This Row],[Critical Facilities Raw]]/$R$2)*100</f>
        <v>0</v>
      </c>
      <c r="T1963" s="180">
        <f>FME_Ranking1[[#This Row],[Critical Facilities Score (Normalized, Unweighted)]]*$R$3</f>
        <v>0</v>
      </c>
      <c r="U1963">
        <f>_xlfn.XLOOKUP(FME_Ranking1[[#This Row],[FME ID]],FME_Input[FME_ID],FME_Input[LWC])</f>
        <v>0</v>
      </c>
      <c r="V1963" s="178">
        <f>(FME_Ranking1[[#This Row],[LWC Raw]]/$U$2)*100</f>
        <v>0</v>
      </c>
      <c r="W1963" s="178">
        <f>FME_Ranking1[[#This Row],[LWC Score (Normalized, Unweighted)]]*$U$3</f>
        <v>0</v>
      </c>
      <c r="X1963" s="246">
        <f>_xlfn.XLOOKUP(FME_Ranking1[[#This Row],[FME ID]],FME_Input[FME_ID],FME_Input[ROADCLS])</f>
        <v>2</v>
      </c>
      <c r="Y1963" s="230">
        <f>(FME_Ranking1[[#This Row],[Closures Raw]]/$X$2)*100</f>
        <v>2.1028283040689728E-2</v>
      </c>
      <c r="Z1963" s="180">
        <f>FME_Ranking1[[#This Row],[Closures Score (Normalized, Unweighted)]]*$X$3</f>
        <v>1.0514141520344864E-3</v>
      </c>
      <c r="AA1963" s="253">
        <f>_xlfn.XLOOKUP(FME_Ranking1[[#This Row],[FME ID]],FME_Input[FME_ID],FME_Input[ROAD_MILES100])</f>
        <v>7.951914519071579E-2</v>
      </c>
      <c r="AB1963" s="178">
        <f>(FME_Ranking1[[#This Row],[Miles Raw]]/$AA$2)*100</f>
        <v>1.045534134975365E-3</v>
      </c>
      <c r="AC1963" s="178">
        <f>FME_Ranking1[[#This Row],[Miles Score (Normalized, Unweighted)]]*$AA$3</f>
        <v>1.045534134975365E-4</v>
      </c>
      <c r="AD1963" s="255">
        <f>_xlfn.XLOOKUP(FME_Ranking1[[#This Row],[FME ID]],FME_Input[FME_ID],FME_Input[FARMACRE100])</f>
        <v>8.0388402938842773</v>
      </c>
      <c r="AE1963" s="230">
        <f>(FME_Ranking1[[#This Row],[Ag Land Raw]]/$AD$2)*100</f>
        <v>3.3148578782155313E-4</v>
      </c>
      <c r="AF1963" s="231">
        <f>FME_Ranking1[[#This Row],[Ag Land Score (Normalized, Unweighted)]]*$AD$3</f>
        <v>1.6574289391077658E-5</v>
      </c>
      <c r="AG196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1.1725418549231004E-3</v>
      </c>
      <c r="AH1963" s="406">
        <f t="shared" si="30"/>
        <v>2013</v>
      </c>
      <c r="AI196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1.1725418549231004E-3</v>
      </c>
      <c r="AJ1963" s="257">
        <f>FME_Ranking1[[#This Row],[Addition check]]-FME_Ranking1[[#This Row],[Weighted Score Based on Normalized Reported Factors]]</f>
        <v>0</v>
      </c>
      <c r="AK1963" s="178">
        <f>_xlfn.RANK.EQ(AI1963,$AI$6:$AI$2341,0)+COUNTIF($AI$6:AI1963,AI1963)-1</f>
        <v>2013</v>
      </c>
    </row>
    <row r="1964" spans="1:37" x14ac:dyDescent="0.25">
      <c r="A1964" t="s">
        <v>8641</v>
      </c>
      <c r="B1964">
        <f>_xlfn.XLOOKUP(FME_Ranking1[[#This Row],[FME ID]],FME_Input[FME_ID],FME_Input[RFPG_NUM])</f>
        <v>11</v>
      </c>
      <c r="C1964" t="str">
        <f>_xlfn.XLOOKUP(FME_Ranking1[[#This Row],[FME ID]],FME_Input[FME_ID],FME_Input[FME_NAME])</f>
        <v>City of Garden Ridge Drainage Improvements Project Planning</v>
      </c>
      <c r="D1964" t="str">
        <f>_xlfn.XLOOKUP(FME_Ranking1[[#This Row],[FME ID]],FME_Input[FME_ID],FME_Input[DESCR])</f>
        <v>Project planning to complete final phase of drainage infrastructure upgrades.</v>
      </c>
      <c r="E1964" s="256">
        <f>_xlfn.XLOOKUP(FME_Ranking1[[#This Row],[FME ID]],FME_Input[FME_ID],FME_Input[FME_COST])</f>
        <v>100000</v>
      </c>
      <c r="F1964" t="str">
        <f>_xlfn.XLOOKUP(FME_Ranking1[[#This Row],[FME ID]],FME_Input[FME_ID],FME_Input[EMER_NEED])</f>
        <v>No</v>
      </c>
      <c r="G1964">
        <f>IF(FME_Ranking!F1964="Yes",100,0)</f>
        <v>0</v>
      </c>
      <c r="H1964">
        <f>FME_Ranking1[[#This Row],[Emergency Need Score (Normalized, Unweighted)]]*$F$3</f>
        <v>0</v>
      </c>
      <c r="I1964" s="246">
        <f>_xlfn.XLOOKUP(FME_Ranking1[[#This Row],[FME ID]],FME_Input[FME_ID],FME_Input[STRUCT_100])</f>
        <v>9</v>
      </c>
      <c r="J1964" s="178">
        <f>(FME_Ranking1[[#This Row],[Structures 100 Raw]]/I$2)*100</f>
        <v>4.8194319496208714E-3</v>
      </c>
      <c r="K1964" s="178">
        <f>FME_Ranking1[[#This Row],[Structures 100  Score (Normalized, Unweighted)]]*$I$3</f>
        <v>7.2291479244313071E-4</v>
      </c>
      <c r="L1964" s="246">
        <f>_xlfn.XLOOKUP(FME_Ranking1[[#This Row],[FME ID]],FME_Input[FME_ID],FME_Input[RES_STRUCT100])</f>
        <v>0</v>
      </c>
      <c r="M1964" s="230">
        <f>(FME_Ranking1[[#This Row],[Res Structures Raw]]/L$2)*100</f>
        <v>0</v>
      </c>
      <c r="N1964" s="180">
        <f>FME_Ranking1[[#This Row],[Res Structures Score (Normalized, Unweighted)]]*$L$3</f>
        <v>0</v>
      </c>
      <c r="O1964" s="244">
        <f>_xlfn.XLOOKUP(FME_Ranking1[[#This Row],[FME ID]],FME_Input[FME_ID],FME_Input[POP100])</f>
        <v>20</v>
      </c>
      <c r="P1964" s="178">
        <f>(FME_Ranking1[[#This Row],[Pop Raw]]/$O$2)*100</f>
        <v>2.0475062397752658E-3</v>
      </c>
      <c r="Q1964" s="178">
        <f>FME_Ranking1[[#This Row],[Pop Score (Normalized, Unweighted)]]*$O$3</f>
        <v>3.0712593596628988E-4</v>
      </c>
      <c r="R1964" s="137">
        <f>_xlfn.XLOOKUP(FME_Ranking1[[#This Row],[FME ID]],FME_Input[FME_ID],FME_Input[CRITFAC100])</f>
        <v>0</v>
      </c>
      <c r="S1964" s="230">
        <f>(FME_Ranking1[[#This Row],[Critical Facilities Raw]]/$R$2)*100</f>
        <v>0</v>
      </c>
      <c r="T1964" s="180">
        <f>FME_Ranking1[[#This Row],[Critical Facilities Score (Normalized, Unweighted)]]*$R$3</f>
        <v>0</v>
      </c>
      <c r="U1964">
        <f>_xlfn.XLOOKUP(FME_Ranking1[[#This Row],[FME ID]],FME_Input[FME_ID],FME_Input[LWC])</f>
        <v>0</v>
      </c>
      <c r="V1964" s="178">
        <f>(FME_Ranking1[[#This Row],[LWC Raw]]/$U$2)*100</f>
        <v>0</v>
      </c>
      <c r="W1964" s="178">
        <f>FME_Ranking1[[#This Row],[LWC Score (Normalized, Unweighted)]]*$U$3</f>
        <v>0</v>
      </c>
      <c r="X1964" s="246">
        <f>_xlfn.XLOOKUP(FME_Ranking1[[#This Row],[FME ID]],FME_Input[FME_ID],FME_Input[ROADCLS])</f>
        <v>0</v>
      </c>
      <c r="Y1964" s="230">
        <f>(FME_Ranking1[[#This Row],[Closures Raw]]/$X$2)*100</f>
        <v>0</v>
      </c>
      <c r="Z1964" s="180">
        <f>FME_Ranking1[[#This Row],[Closures Score (Normalized, Unweighted)]]*$X$3</f>
        <v>0</v>
      </c>
      <c r="AA1964" s="253">
        <f>_xlfn.XLOOKUP(FME_Ranking1[[#This Row],[FME ID]],FME_Input[FME_ID],FME_Input[ROAD_MILES100])</f>
        <v>0</v>
      </c>
      <c r="AB1964" s="178">
        <f>(FME_Ranking1[[#This Row],[Miles Raw]]/$AA$2)*100</f>
        <v>0</v>
      </c>
      <c r="AC1964" s="178">
        <f>FME_Ranking1[[#This Row],[Miles Score (Normalized, Unweighted)]]*$AA$3</f>
        <v>0</v>
      </c>
      <c r="AD1964" s="255">
        <f>_xlfn.XLOOKUP(FME_Ranking1[[#This Row],[FME ID]],FME_Input[FME_ID],FME_Input[FARMACRE100])</f>
        <v>18.362251281738281</v>
      </c>
      <c r="AE1964" s="230">
        <f>(FME_Ranking1[[#This Row],[Ag Land Raw]]/$AD$2)*100</f>
        <v>7.5717704417327749E-4</v>
      </c>
      <c r="AF1964" s="231">
        <f>FME_Ranking1[[#This Row],[Ag Land Score (Normalized, Unweighted)]]*$AD$3</f>
        <v>3.7858852208663876E-5</v>
      </c>
      <c r="AG196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1.0678995806180844E-3</v>
      </c>
      <c r="AH1964" s="406">
        <f t="shared" si="30"/>
        <v>2019</v>
      </c>
      <c r="AI196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1.0678995806180844E-3</v>
      </c>
      <c r="AJ1964" s="257">
        <f>FME_Ranking1[[#This Row],[Addition check]]-FME_Ranking1[[#This Row],[Weighted Score Based on Normalized Reported Factors]]</f>
        <v>0</v>
      </c>
      <c r="AK1964" s="178">
        <f>_xlfn.RANK.EQ(AI1964,$AI$6:$AI$2341,0)+COUNTIF($AI$6:AI1964,AI1964)-1</f>
        <v>2019</v>
      </c>
    </row>
    <row r="1965" spans="1:37" x14ac:dyDescent="0.25">
      <c r="A1965" t="s">
        <v>10850</v>
      </c>
      <c r="B1965">
        <f>_xlfn.XLOOKUP(FME_Ranking1[[#This Row],[FME ID]],FME_Input[FME_ID],FME_Input[RFPG_NUM])</f>
        <v>13</v>
      </c>
      <c r="C1965" t="str">
        <f>_xlfn.XLOOKUP(FME_Ranking1[[#This Row],[FME ID]],FME_Input[FME_ID],FME_Input[FME_NAME])</f>
        <v>Petronilla Drainage Improvements Feasibility Study</v>
      </c>
      <c r="D1965" t="str">
        <f>_xlfn.XLOOKUP(FME_Ranking1[[#This Row],[FME ID]],FME_Input[FME_ID],FME_Input[DESCR])</f>
        <v>Petronilla Drainage Improvements Feasibility Study</v>
      </c>
      <c r="E1965" s="256">
        <f>_xlfn.XLOOKUP(FME_Ranking1[[#This Row],[FME ID]],FME_Input[FME_ID],FME_Input[FME_COST])</f>
        <v>100000</v>
      </c>
      <c r="F1965" t="str">
        <f>_xlfn.XLOOKUP(FME_Ranking1[[#This Row],[FME ID]],FME_Input[FME_ID],FME_Input[EMER_NEED])</f>
        <v>Yes</v>
      </c>
      <c r="G1965">
        <f>IF(FME_Ranking!F1965="Yes",100,0)</f>
        <v>100</v>
      </c>
      <c r="H1965">
        <f>FME_Ranking1[[#This Row],[Emergency Need Score (Normalized, Unweighted)]]*$F$3</f>
        <v>0</v>
      </c>
      <c r="I1965" s="246">
        <f>_xlfn.XLOOKUP(FME_Ranking1[[#This Row],[FME ID]],FME_Input[FME_ID],FME_Input[STRUCT_100])</f>
        <v>0</v>
      </c>
      <c r="J1965" s="178">
        <f>(FME_Ranking1[[#This Row],[Structures 100 Raw]]/I$2)*100</f>
        <v>0</v>
      </c>
      <c r="K1965" s="178">
        <f>FME_Ranking1[[#This Row],[Structures 100  Score (Normalized, Unweighted)]]*$I$3</f>
        <v>0</v>
      </c>
      <c r="L1965" s="246">
        <f>_xlfn.XLOOKUP(FME_Ranking1[[#This Row],[FME ID]],FME_Input[FME_ID],FME_Input[RES_STRUCT100])</f>
        <v>0</v>
      </c>
      <c r="M1965" s="230">
        <f>(FME_Ranking1[[#This Row],[Res Structures Raw]]/L$2)*100</f>
        <v>0</v>
      </c>
      <c r="N1965" s="180">
        <f>FME_Ranking1[[#This Row],[Res Structures Score (Normalized, Unweighted)]]*$L$3</f>
        <v>0</v>
      </c>
      <c r="O1965" s="244">
        <f>_xlfn.XLOOKUP(FME_Ranking1[[#This Row],[FME ID]],FME_Input[FME_ID],FME_Input[POP100])</f>
        <v>0</v>
      </c>
      <c r="P1965" s="178">
        <f>(FME_Ranking1[[#This Row],[Pop Raw]]/$O$2)*100</f>
        <v>0</v>
      </c>
      <c r="Q1965" s="178">
        <f>FME_Ranking1[[#This Row],[Pop Score (Normalized, Unweighted)]]*$O$3</f>
        <v>0</v>
      </c>
      <c r="R1965" s="137">
        <f>_xlfn.XLOOKUP(FME_Ranking1[[#This Row],[FME ID]],FME_Input[FME_ID],FME_Input[CRITFAC100])</f>
        <v>0</v>
      </c>
      <c r="S1965" s="230">
        <f>(FME_Ranking1[[#This Row],[Critical Facilities Raw]]/$R$2)*100</f>
        <v>0</v>
      </c>
      <c r="T1965" s="180">
        <f>FME_Ranking1[[#This Row],[Critical Facilities Score (Normalized, Unweighted)]]*$R$3</f>
        <v>0</v>
      </c>
      <c r="U1965">
        <f>_xlfn.XLOOKUP(FME_Ranking1[[#This Row],[FME ID]],FME_Input[FME_ID],FME_Input[LWC])</f>
        <v>0</v>
      </c>
      <c r="V1965" s="178">
        <f>(FME_Ranking1[[#This Row],[LWC Raw]]/$U$2)*100</f>
        <v>0</v>
      </c>
      <c r="W1965" s="178">
        <f>FME_Ranking1[[#This Row],[LWC Score (Normalized, Unweighted)]]*$U$3</f>
        <v>0</v>
      </c>
      <c r="X1965" s="246">
        <f>_xlfn.XLOOKUP(FME_Ranking1[[#This Row],[FME ID]],FME_Input[FME_ID],FME_Input[ROADCLS])</f>
        <v>2</v>
      </c>
      <c r="Y1965" s="230">
        <f>(FME_Ranking1[[#This Row],[Closures Raw]]/$X$2)*100</f>
        <v>2.1028283040689728E-2</v>
      </c>
      <c r="Z1965" s="180">
        <f>FME_Ranking1[[#This Row],[Closures Score (Normalized, Unweighted)]]*$X$3</f>
        <v>1.0514141520344864E-3</v>
      </c>
      <c r="AA1965" s="253">
        <f>_xlfn.XLOOKUP(FME_Ranking1[[#This Row],[FME ID]],FME_Input[FME_ID],FME_Input[ROAD_MILES100])</f>
        <v>0.1723700016736984</v>
      </c>
      <c r="AB1965" s="178">
        <f>(FME_Ranking1[[#This Row],[Miles Raw]]/$AA$2)*100</f>
        <v>2.2663563618972827E-3</v>
      </c>
      <c r="AC1965" s="178">
        <f>FME_Ranking1[[#This Row],[Miles Score (Normalized, Unweighted)]]*$AA$3</f>
        <v>2.2663563618972827E-4</v>
      </c>
      <c r="AD1965" s="255">
        <f>_xlfn.XLOOKUP(FME_Ranking1[[#This Row],[FME ID]],FME_Input[FME_ID],FME_Input[FARMACRE100])</f>
        <v>3.0913093090057369</v>
      </c>
      <c r="AE1965" s="230">
        <f>(FME_Ranking1[[#This Row],[Ag Land Raw]]/$AD$2)*100</f>
        <v>1.2747175764586961E-4</v>
      </c>
      <c r="AF1965" s="231">
        <f>FME_Ranking1[[#This Row],[Ag Land Score (Normalized, Unweighted)]]*$AD$3</f>
        <v>6.373587882293481E-6</v>
      </c>
      <c r="AG196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1.2844233761065082E-3</v>
      </c>
      <c r="AH1965" s="406">
        <f t="shared" si="30"/>
        <v>2000</v>
      </c>
      <c r="AI196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1.2844233761065082E-3</v>
      </c>
      <c r="AJ1965" s="257">
        <f>FME_Ranking1[[#This Row],[Addition check]]-FME_Ranking1[[#This Row],[Weighted Score Based on Normalized Reported Factors]]</f>
        <v>0</v>
      </c>
      <c r="AK1965" s="178">
        <f>_xlfn.RANK.EQ(AI1965,$AI$6:$AI$2341,0)+COUNTIF($AI$6:AI1965,AI1965)-1</f>
        <v>2000</v>
      </c>
    </row>
    <row r="1966" spans="1:37" x14ac:dyDescent="0.25">
      <c r="A1966" t="s">
        <v>5198</v>
      </c>
      <c r="B1966">
        <f>_xlfn.XLOOKUP(FME_Ranking1[[#This Row],[FME ID]],FME_Input[FME_ID],FME_Input[RFPG_NUM])</f>
        <v>3</v>
      </c>
      <c r="C1966" t="str">
        <f>_xlfn.XLOOKUP(FME_Ranking1[[#This Row],[FME ID]],FME_Input[FME_ID],FME_Input[FME_NAME])</f>
        <v>Ricketts Branch at Camp Wisdom Road</v>
      </c>
      <c r="D1966" t="str">
        <f>_xlfn.XLOOKUP(FME_Ranking1[[#This Row],[FME ID]],FME_Input[FME_ID],FME_Input[DESCR])</f>
        <v>Evaluate bridge improvements for Camp Wisdom Road over Ricketts Branch (2 structures)</v>
      </c>
      <c r="E1966" s="256">
        <f>_xlfn.XLOOKUP(FME_Ranking1[[#This Row],[FME ID]],FME_Input[FME_ID],FME_Input[FME_COST])</f>
        <v>250000</v>
      </c>
      <c r="F1966" t="str">
        <f>_xlfn.XLOOKUP(FME_Ranking1[[#This Row],[FME ID]],FME_Input[FME_ID],FME_Input[EMER_NEED])</f>
        <v>No</v>
      </c>
      <c r="G1966">
        <f>IF(FME_Ranking!F1966="Yes",100,0)</f>
        <v>0</v>
      </c>
      <c r="H1966">
        <f>FME_Ranking1[[#This Row],[Emergency Need Score (Normalized, Unweighted)]]*$F$3</f>
        <v>0</v>
      </c>
      <c r="I1966" s="246">
        <f>_xlfn.XLOOKUP(FME_Ranking1[[#This Row],[FME ID]],FME_Input[FME_ID],FME_Input[STRUCT_100])</f>
        <v>5</v>
      </c>
      <c r="J1966" s="178">
        <f>(FME_Ranking1[[#This Row],[Structures 100 Raw]]/I$2)*100</f>
        <v>2.6774621942338172E-3</v>
      </c>
      <c r="K1966" s="178">
        <f>FME_Ranking1[[#This Row],[Structures 100  Score (Normalized, Unweighted)]]*$I$3</f>
        <v>4.0161932913507258E-4</v>
      </c>
      <c r="L1966" s="246">
        <f>_xlfn.XLOOKUP(FME_Ranking1[[#This Row],[FME ID]],FME_Input[FME_ID],FME_Input[RES_STRUCT100])</f>
        <v>5</v>
      </c>
      <c r="M1966" s="230">
        <f>(FME_Ranking1[[#This Row],[Res Structures Raw]]/L$2)*100</f>
        <v>3.5415279568216909E-3</v>
      </c>
      <c r="N1966" s="180">
        <f>FME_Ranking1[[#This Row],[Res Structures Score (Normalized, Unweighted)]]*$L$3</f>
        <v>3.5415279568216913E-4</v>
      </c>
      <c r="O1966" s="244">
        <f>_xlfn.XLOOKUP(FME_Ranking1[[#This Row],[FME ID]],FME_Input[FME_ID],FME_Input[POP100])</f>
        <v>19</v>
      </c>
      <c r="P1966" s="178">
        <f>(FME_Ranking1[[#This Row],[Pop Raw]]/$O$2)*100</f>
        <v>1.9451309277865023E-3</v>
      </c>
      <c r="Q1966" s="178">
        <f>FME_Ranking1[[#This Row],[Pop Score (Normalized, Unweighted)]]*$O$3</f>
        <v>2.9176963916797532E-4</v>
      </c>
      <c r="R1966" s="137">
        <f>_xlfn.XLOOKUP(FME_Ranking1[[#This Row],[FME ID]],FME_Input[FME_ID],FME_Input[CRITFAC100])</f>
        <v>0</v>
      </c>
      <c r="S1966" s="230">
        <f>(FME_Ranking1[[#This Row],[Critical Facilities Raw]]/$R$2)*100</f>
        <v>0</v>
      </c>
      <c r="T1966" s="180">
        <f>FME_Ranking1[[#This Row],[Critical Facilities Score (Normalized, Unweighted)]]*$R$3</f>
        <v>0</v>
      </c>
      <c r="U1966">
        <f>_xlfn.XLOOKUP(FME_Ranking1[[#This Row],[FME ID]],FME_Input[FME_ID],FME_Input[LWC])</f>
        <v>0</v>
      </c>
      <c r="V1966" s="178">
        <f>(FME_Ranking1[[#This Row],[LWC Raw]]/$U$2)*100</f>
        <v>0</v>
      </c>
      <c r="W1966" s="178">
        <f>FME_Ranking1[[#This Row],[LWC Score (Normalized, Unweighted)]]*$U$3</f>
        <v>0</v>
      </c>
      <c r="X1966" s="246">
        <f>_xlfn.XLOOKUP(FME_Ranking1[[#This Row],[FME ID]],FME_Input[FME_ID],FME_Input[ROADCLS])</f>
        <v>0</v>
      </c>
      <c r="Y1966" s="230">
        <f>(FME_Ranking1[[#This Row],[Closures Raw]]/$X$2)*100</f>
        <v>0</v>
      </c>
      <c r="Z1966" s="180">
        <f>FME_Ranking1[[#This Row],[Closures Score (Normalized, Unweighted)]]*$X$3</f>
        <v>0</v>
      </c>
      <c r="AA1966" s="253">
        <f>_xlfn.XLOOKUP(FME_Ranking1[[#This Row],[FME ID]],FME_Input[FME_ID],FME_Input[ROAD_MILES100])</f>
        <v>0.54393601417541504</v>
      </c>
      <c r="AB1966" s="178">
        <f>(FME_Ranking1[[#This Row],[Miles Raw]]/$AA$2)*100</f>
        <v>7.1517829913649413E-3</v>
      </c>
      <c r="AC1966" s="178">
        <f>FME_Ranking1[[#This Row],[Miles Score (Normalized, Unweighted)]]*$AA$3</f>
        <v>7.1517829913649413E-4</v>
      </c>
      <c r="AD1966" s="255">
        <f>_xlfn.XLOOKUP(FME_Ranking1[[#This Row],[FME ID]],FME_Input[FME_ID],FME_Input[FARMACRE100])</f>
        <v>2.2548758983612061</v>
      </c>
      <c r="AE1966" s="230">
        <f>(FME_Ranking1[[#This Row],[Ag Land Raw]]/$AD$2)*100</f>
        <v>9.2980988088137875E-5</v>
      </c>
      <c r="AF1966" s="231">
        <f>FME_Ranking1[[#This Row],[Ag Land Score (Normalized, Unweighted)]]*$AD$3</f>
        <v>4.6490494044068942E-6</v>
      </c>
      <c r="AG196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1.767369112526118E-3</v>
      </c>
      <c r="AH1966" s="406">
        <f t="shared" si="30"/>
        <v>1970</v>
      </c>
      <c r="AI196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1.767369112526118E-3</v>
      </c>
      <c r="AJ1966" s="257">
        <f>FME_Ranking1[[#This Row],[Addition check]]-FME_Ranking1[[#This Row],[Weighted Score Based on Normalized Reported Factors]]</f>
        <v>0</v>
      </c>
      <c r="AK1966" s="178">
        <f>_xlfn.RANK.EQ(AI1966,$AI$6:$AI$2341,0)+COUNTIF($AI$6:AI1966,AI1966)-1</f>
        <v>1970</v>
      </c>
    </row>
    <row r="1967" spans="1:37" x14ac:dyDescent="0.25">
      <c r="A1967" t="s">
        <v>5204</v>
      </c>
      <c r="B1967">
        <f>_xlfn.XLOOKUP(FME_Ranking1[[#This Row],[FME ID]],FME_Input[FME_ID],FME_Input[RFPG_NUM])</f>
        <v>3</v>
      </c>
      <c r="C1967" t="str">
        <f>_xlfn.XLOOKUP(FME_Ranking1[[#This Row],[FME ID]],FME_Input[FME_ID],FME_Input[FME_NAME])</f>
        <v>Ricketts Branch at IH 35E Service</v>
      </c>
      <c r="D1967" t="str">
        <f>_xlfn.XLOOKUP(FME_Ranking1[[#This Row],[FME ID]],FME_Input[FME_ID],FME_Input[DESCR])</f>
        <v>Evaluate bridge improvements for IH 35E over Ricketts Branch</v>
      </c>
      <c r="E1967" s="256">
        <f>_xlfn.XLOOKUP(FME_Ranking1[[#This Row],[FME ID]],FME_Input[FME_ID],FME_Input[FME_COST])</f>
        <v>250000</v>
      </c>
      <c r="F1967" t="str">
        <f>_xlfn.XLOOKUP(FME_Ranking1[[#This Row],[FME ID]],FME_Input[FME_ID],FME_Input[EMER_NEED])</f>
        <v>No</v>
      </c>
      <c r="G1967">
        <f>IF(FME_Ranking!F1967="Yes",100,0)</f>
        <v>0</v>
      </c>
      <c r="H1967">
        <f>FME_Ranking1[[#This Row],[Emergency Need Score (Normalized, Unweighted)]]*$F$3</f>
        <v>0</v>
      </c>
      <c r="I1967" s="246">
        <f>_xlfn.XLOOKUP(FME_Ranking1[[#This Row],[FME ID]],FME_Input[FME_ID],FME_Input[STRUCT_100])</f>
        <v>5</v>
      </c>
      <c r="J1967" s="178">
        <f>(FME_Ranking1[[#This Row],[Structures 100 Raw]]/I$2)*100</f>
        <v>2.6774621942338172E-3</v>
      </c>
      <c r="K1967" s="178">
        <f>FME_Ranking1[[#This Row],[Structures 100  Score (Normalized, Unweighted)]]*$I$3</f>
        <v>4.0161932913507258E-4</v>
      </c>
      <c r="L1967" s="246">
        <f>_xlfn.XLOOKUP(FME_Ranking1[[#This Row],[FME ID]],FME_Input[FME_ID],FME_Input[RES_STRUCT100])</f>
        <v>5</v>
      </c>
      <c r="M1967" s="230">
        <f>(FME_Ranking1[[#This Row],[Res Structures Raw]]/L$2)*100</f>
        <v>3.5415279568216909E-3</v>
      </c>
      <c r="N1967" s="180">
        <f>FME_Ranking1[[#This Row],[Res Structures Score (Normalized, Unweighted)]]*$L$3</f>
        <v>3.5415279568216913E-4</v>
      </c>
      <c r="O1967" s="244">
        <f>_xlfn.XLOOKUP(FME_Ranking1[[#This Row],[FME ID]],FME_Input[FME_ID],FME_Input[POP100])</f>
        <v>19</v>
      </c>
      <c r="P1967" s="178">
        <f>(FME_Ranking1[[#This Row],[Pop Raw]]/$O$2)*100</f>
        <v>1.9451309277865023E-3</v>
      </c>
      <c r="Q1967" s="178">
        <f>FME_Ranking1[[#This Row],[Pop Score (Normalized, Unweighted)]]*$O$3</f>
        <v>2.9176963916797532E-4</v>
      </c>
      <c r="R1967" s="137">
        <f>_xlfn.XLOOKUP(FME_Ranking1[[#This Row],[FME ID]],FME_Input[FME_ID],FME_Input[CRITFAC100])</f>
        <v>0</v>
      </c>
      <c r="S1967" s="230">
        <f>(FME_Ranking1[[#This Row],[Critical Facilities Raw]]/$R$2)*100</f>
        <v>0</v>
      </c>
      <c r="T1967" s="180">
        <f>FME_Ranking1[[#This Row],[Critical Facilities Score (Normalized, Unweighted)]]*$R$3</f>
        <v>0</v>
      </c>
      <c r="U1967">
        <f>_xlfn.XLOOKUP(FME_Ranking1[[#This Row],[FME ID]],FME_Input[FME_ID],FME_Input[LWC])</f>
        <v>0</v>
      </c>
      <c r="V1967" s="178">
        <f>(FME_Ranking1[[#This Row],[LWC Raw]]/$U$2)*100</f>
        <v>0</v>
      </c>
      <c r="W1967" s="178">
        <f>FME_Ranking1[[#This Row],[LWC Score (Normalized, Unweighted)]]*$U$3</f>
        <v>0</v>
      </c>
      <c r="X1967" s="246">
        <f>_xlfn.XLOOKUP(FME_Ranking1[[#This Row],[FME ID]],FME_Input[FME_ID],FME_Input[ROADCLS])</f>
        <v>0</v>
      </c>
      <c r="Y1967" s="230">
        <f>(FME_Ranking1[[#This Row],[Closures Raw]]/$X$2)*100</f>
        <v>0</v>
      </c>
      <c r="Z1967" s="180">
        <f>FME_Ranking1[[#This Row],[Closures Score (Normalized, Unweighted)]]*$X$3</f>
        <v>0</v>
      </c>
      <c r="AA1967" s="253">
        <f>_xlfn.XLOOKUP(FME_Ranking1[[#This Row],[FME ID]],FME_Input[FME_ID],FME_Input[ROAD_MILES100])</f>
        <v>0.54393601417541504</v>
      </c>
      <c r="AB1967" s="178">
        <f>(FME_Ranking1[[#This Row],[Miles Raw]]/$AA$2)*100</f>
        <v>7.1517829913649413E-3</v>
      </c>
      <c r="AC1967" s="178">
        <f>FME_Ranking1[[#This Row],[Miles Score (Normalized, Unweighted)]]*$AA$3</f>
        <v>7.1517829913649413E-4</v>
      </c>
      <c r="AD1967" s="255">
        <f>_xlfn.XLOOKUP(FME_Ranking1[[#This Row],[FME ID]],FME_Input[FME_ID],FME_Input[FARMACRE100])</f>
        <v>2.2548758983612061</v>
      </c>
      <c r="AE1967" s="230">
        <f>(FME_Ranking1[[#This Row],[Ag Land Raw]]/$AD$2)*100</f>
        <v>9.2980988088137875E-5</v>
      </c>
      <c r="AF1967" s="231">
        <f>FME_Ranking1[[#This Row],[Ag Land Score (Normalized, Unweighted)]]*$AD$3</f>
        <v>4.6490494044068942E-6</v>
      </c>
      <c r="AG196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1.767369112526118E-3</v>
      </c>
      <c r="AH1967" s="406">
        <f t="shared" si="30"/>
        <v>1970</v>
      </c>
      <c r="AI196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1.767369112526118E-3</v>
      </c>
      <c r="AJ1967" s="257">
        <f>FME_Ranking1[[#This Row],[Addition check]]-FME_Ranking1[[#This Row],[Weighted Score Based on Normalized Reported Factors]]</f>
        <v>0</v>
      </c>
      <c r="AK1967" s="178">
        <f>_xlfn.RANK.EQ(AI1967,$AI$6:$AI$2341,0)+COUNTIF($AI$6:AI1967,AI1967)-1</f>
        <v>1971</v>
      </c>
    </row>
    <row r="1968" spans="1:37" x14ac:dyDescent="0.25">
      <c r="A1968" t="s">
        <v>10437</v>
      </c>
      <c r="B1968">
        <f>_xlfn.XLOOKUP(FME_Ranking1[[#This Row],[FME ID]],FME_Input[FME_ID],FME_Input[RFPG_NUM])</f>
        <v>13</v>
      </c>
      <c r="C1968" t="str">
        <f>_xlfn.XLOOKUP(FME_Ranking1[[#This Row],[FME ID]],FME_Input[FME_ID],FME_Input[FME_NAME])</f>
        <v>Bee Road Drainage Improvements</v>
      </c>
      <c r="D1968" t="str">
        <f>_xlfn.XLOOKUP(FME_Ranking1[[#This Row],[FME ID]],FME_Input[FME_ID],FME_Input[DESCR])</f>
        <v>Construct drainage channel from Hwy 35 Bypass to Port Bay. Easements needed from three property owners</v>
      </c>
      <c r="E1968" s="256">
        <f>_xlfn.XLOOKUP(FME_Ranking1[[#This Row],[FME ID]],FME_Input[FME_ID],FME_Input[FME_COST])</f>
        <v>225000</v>
      </c>
      <c r="F1968" t="str">
        <f>_xlfn.XLOOKUP(FME_Ranking1[[#This Row],[FME ID]],FME_Input[FME_ID],FME_Input[EMER_NEED])</f>
        <v>Yes</v>
      </c>
      <c r="G1968">
        <f>IF(FME_Ranking!F1968="Yes",100,0)</f>
        <v>100</v>
      </c>
      <c r="H1968">
        <f>FME_Ranking1[[#This Row],[Emergency Need Score (Normalized, Unweighted)]]*$F$3</f>
        <v>0</v>
      </c>
      <c r="I1968" s="246">
        <f>_xlfn.XLOOKUP(FME_Ranking1[[#This Row],[FME ID]],FME_Input[FME_ID],FME_Input[STRUCT_100])</f>
        <v>0</v>
      </c>
      <c r="J1968" s="178">
        <f>(FME_Ranking1[[#This Row],[Structures 100 Raw]]/I$2)*100</f>
        <v>0</v>
      </c>
      <c r="K1968" s="178">
        <f>FME_Ranking1[[#This Row],[Structures 100  Score (Normalized, Unweighted)]]*$I$3</f>
        <v>0</v>
      </c>
      <c r="L1968" s="246">
        <f>_xlfn.XLOOKUP(FME_Ranking1[[#This Row],[FME ID]],FME_Input[FME_ID],FME_Input[RES_STRUCT100])</f>
        <v>0</v>
      </c>
      <c r="M1968" s="230">
        <f>(FME_Ranking1[[#This Row],[Res Structures Raw]]/L$2)*100</f>
        <v>0</v>
      </c>
      <c r="N1968" s="180">
        <f>FME_Ranking1[[#This Row],[Res Structures Score (Normalized, Unweighted)]]*$L$3</f>
        <v>0</v>
      </c>
      <c r="O1968" s="244">
        <f>_xlfn.XLOOKUP(FME_Ranking1[[#This Row],[FME ID]],FME_Input[FME_ID],FME_Input[POP100])</f>
        <v>0</v>
      </c>
      <c r="P1968" s="178">
        <f>(FME_Ranking1[[#This Row],[Pop Raw]]/$O$2)*100</f>
        <v>0</v>
      </c>
      <c r="Q1968" s="178">
        <f>FME_Ranking1[[#This Row],[Pop Score (Normalized, Unweighted)]]*$O$3</f>
        <v>0</v>
      </c>
      <c r="R1968" s="137">
        <f>_xlfn.XLOOKUP(FME_Ranking1[[#This Row],[FME ID]],FME_Input[FME_ID],FME_Input[CRITFAC100])</f>
        <v>0</v>
      </c>
      <c r="S1968" s="230">
        <f>(FME_Ranking1[[#This Row],[Critical Facilities Raw]]/$R$2)*100</f>
        <v>0</v>
      </c>
      <c r="T1968" s="180">
        <f>FME_Ranking1[[#This Row],[Critical Facilities Score (Normalized, Unweighted)]]*$R$3</f>
        <v>0</v>
      </c>
      <c r="U1968">
        <f>_xlfn.XLOOKUP(FME_Ranking1[[#This Row],[FME ID]],FME_Input[FME_ID],FME_Input[LWC])</f>
        <v>0</v>
      </c>
      <c r="V1968" s="178">
        <f>(FME_Ranking1[[#This Row],[LWC Raw]]/$U$2)*100</f>
        <v>0</v>
      </c>
      <c r="W1968" s="178">
        <f>FME_Ranking1[[#This Row],[LWC Score (Normalized, Unweighted)]]*$U$3</f>
        <v>0</v>
      </c>
      <c r="X1968" s="246">
        <f>_xlfn.XLOOKUP(FME_Ranking1[[#This Row],[FME ID]],FME_Input[FME_ID],FME_Input[ROADCLS])</f>
        <v>2</v>
      </c>
      <c r="Y1968" s="230">
        <f>(FME_Ranking1[[#This Row],[Closures Raw]]/$X$2)*100</f>
        <v>2.1028283040689728E-2</v>
      </c>
      <c r="Z1968" s="180">
        <f>FME_Ranking1[[#This Row],[Closures Score (Normalized, Unweighted)]]*$X$3</f>
        <v>1.0514141520344864E-3</v>
      </c>
      <c r="AA1968" s="253">
        <f>_xlfn.XLOOKUP(FME_Ranking1[[#This Row],[FME ID]],FME_Input[FME_ID],FME_Input[ROAD_MILES100])</f>
        <v>2.3668399080634121E-2</v>
      </c>
      <c r="AB1968" s="178">
        <f>(FME_Ranking1[[#This Row],[Miles Raw]]/$AA$2)*100</f>
        <v>3.1119699664366784E-4</v>
      </c>
      <c r="AC1968" s="178">
        <f>FME_Ranking1[[#This Row],[Miles Score (Normalized, Unweighted)]]*$AA$3</f>
        <v>3.1119699664366786E-5</v>
      </c>
      <c r="AD1968" s="255">
        <f>_xlfn.XLOOKUP(FME_Ranking1[[#This Row],[FME ID]],FME_Input[FME_ID],FME_Input[FARMACRE100])</f>
        <v>0.34917458891868591</v>
      </c>
      <c r="AE1968" s="230">
        <f>(FME_Ranking1[[#This Row],[Ag Land Raw]]/$AD$2)*100</f>
        <v>1.4398396965671052E-5</v>
      </c>
      <c r="AF1968" s="231">
        <f>FME_Ranking1[[#This Row],[Ag Land Score (Normalized, Unweighted)]]*$AD$3</f>
        <v>7.1991984828355263E-7</v>
      </c>
      <c r="AG196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1.0832537715471369E-3</v>
      </c>
      <c r="AH1968" s="406">
        <f t="shared" si="30"/>
        <v>2018</v>
      </c>
      <c r="AI196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1.0832537715471369E-3</v>
      </c>
      <c r="AJ1968" s="257">
        <f>FME_Ranking1[[#This Row],[Addition check]]-FME_Ranking1[[#This Row],[Weighted Score Based on Normalized Reported Factors]]</f>
        <v>0</v>
      </c>
      <c r="AK1968" s="178">
        <f>_xlfn.RANK.EQ(AI1968,$AI$6:$AI$2341,0)+COUNTIF($AI$6:AI1968,AI1968)-1</f>
        <v>2018</v>
      </c>
    </row>
    <row r="1969" spans="1:37" x14ac:dyDescent="0.25">
      <c r="A1969" t="s">
        <v>9182</v>
      </c>
      <c r="B1969">
        <f>_xlfn.XLOOKUP(FME_Ranking1[[#This Row],[FME ID]],FME_Input[FME_ID],FME_Input[RFPG_NUM])</f>
        <v>12</v>
      </c>
      <c r="C1969" t="str">
        <f>_xlfn.XLOOKUP(FME_Ranking1[[#This Row],[FME ID]],FME_Input[FME_ID],FME_Input[FME_NAME])</f>
        <v>Rolling Acres Trail LWC Flow-activated Sensors</v>
      </c>
      <c r="D1969" t="str">
        <f>_xlfn.XLOOKUP(FME_Ranking1[[#This Row],[FME ID]],FME_Input[FME_ID],FME_Input[DESCR])</f>
        <v>Add flow-activated sensors and automated drop-down arms to close off a road when the water has surpassed the road.</v>
      </c>
      <c r="E1969" s="256">
        <f>_xlfn.XLOOKUP(FME_Ranking1[[#This Row],[FME ID]],FME_Input[FME_ID],FME_Input[FME_COST])</f>
        <v>359585</v>
      </c>
      <c r="F1969" t="str">
        <f>_xlfn.XLOOKUP(FME_Ranking1[[#This Row],[FME ID]],FME_Input[FME_ID],FME_Input[EMER_NEED])</f>
        <v>No</v>
      </c>
      <c r="G1969">
        <f>IF(FME_Ranking!F1969="Yes",100,0)</f>
        <v>0</v>
      </c>
      <c r="H1969">
        <f>FME_Ranking1[[#This Row],[Emergency Need Score (Normalized, Unweighted)]]*$F$3</f>
        <v>0</v>
      </c>
      <c r="I1969" s="246">
        <f>_xlfn.XLOOKUP(FME_Ranking1[[#This Row],[FME ID]],FME_Input[FME_ID],FME_Input[STRUCT_100])</f>
        <v>0</v>
      </c>
      <c r="J1969" s="178">
        <f>(FME_Ranking1[[#This Row],[Structures 100 Raw]]/I$2)*100</f>
        <v>0</v>
      </c>
      <c r="K1969" s="178">
        <f>FME_Ranking1[[#This Row],[Structures 100  Score (Normalized, Unweighted)]]*$I$3</f>
        <v>0</v>
      </c>
      <c r="L1969" s="246">
        <f>_xlfn.XLOOKUP(FME_Ranking1[[#This Row],[FME ID]],FME_Input[FME_ID],FME_Input[RES_STRUCT100])</f>
        <v>0</v>
      </c>
      <c r="M1969" s="230">
        <f>(FME_Ranking1[[#This Row],[Res Structures Raw]]/L$2)*100</f>
        <v>0</v>
      </c>
      <c r="N1969" s="180">
        <f>FME_Ranking1[[#This Row],[Res Structures Score (Normalized, Unweighted)]]*$L$3</f>
        <v>0</v>
      </c>
      <c r="O1969" s="244">
        <f>_xlfn.XLOOKUP(FME_Ranking1[[#This Row],[FME ID]],FME_Input[FME_ID],FME_Input[POP100])</f>
        <v>0</v>
      </c>
      <c r="P1969" s="178">
        <f>(FME_Ranking1[[#This Row],[Pop Raw]]/$O$2)*100</f>
        <v>0</v>
      </c>
      <c r="Q1969" s="178">
        <f>FME_Ranking1[[#This Row],[Pop Score (Normalized, Unweighted)]]*$O$3</f>
        <v>0</v>
      </c>
      <c r="R1969" s="137">
        <f>_xlfn.XLOOKUP(FME_Ranking1[[#This Row],[FME ID]],FME_Input[FME_ID],FME_Input[CRITFAC100])</f>
        <v>0</v>
      </c>
      <c r="S1969" s="230">
        <f>(FME_Ranking1[[#This Row],[Critical Facilities Raw]]/$R$2)*100</f>
        <v>0</v>
      </c>
      <c r="T1969" s="180">
        <f>FME_Ranking1[[#This Row],[Critical Facilities Score (Normalized, Unweighted)]]*$R$3</f>
        <v>0</v>
      </c>
      <c r="U1969">
        <f>_xlfn.XLOOKUP(FME_Ranking1[[#This Row],[FME ID]],FME_Input[FME_ID],FME_Input[LWC])</f>
        <v>0</v>
      </c>
      <c r="V1969" s="178">
        <f>(FME_Ranking1[[#This Row],[LWC Raw]]/$U$2)*100</f>
        <v>0</v>
      </c>
      <c r="W1969" s="178">
        <f>FME_Ranking1[[#This Row],[LWC Score (Normalized, Unweighted)]]*$U$3</f>
        <v>0</v>
      </c>
      <c r="X1969" s="246">
        <f>_xlfn.XLOOKUP(FME_Ranking1[[#This Row],[FME ID]],FME_Input[FME_ID],FME_Input[ROADCLS])</f>
        <v>2</v>
      </c>
      <c r="Y1969" s="230">
        <f>(FME_Ranking1[[#This Row],[Closures Raw]]/$X$2)*100</f>
        <v>2.1028283040689728E-2</v>
      </c>
      <c r="Z1969" s="180">
        <f>FME_Ranking1[[#This Row],[Closures Score (Normalized, Unweighted)]]*$X$3</f>
        <v>1.0514141520344864E-3</v>
      </c>
      <c r="AA1969" s="253">
        <f>_xlfn.XLOOKUP(FME_Ranking1[[#This Row],[FME ID]],FME_Input[FME_ID],FME_Input[ROAD_MILES100])</f>
        <v>0.28999999165534968</v>
      </c>
      <c r="AB1969" s="178">
        <f>(FME_Ranking1[[#This Row],[Miles Raw]]/$AA$2)*100</f>
        <v>3.8129797508643188E-3</v>
      </c>
      <c r="AC1969" s="178">
        <f>FME_Ranking1[[#This Row],[Miles Score (Normalized, Unweighted)]]*$AA$3</f>
        <v>3.812979750864319E-4</v>
      </c>
      <c r="AD1969" s="255">
        <f>_xlfn.XLOOKUP(FME_Ranking1[[#This Row],[FME ID]],FME_Input[FME_ID],FME_Input[FARMACRE100])</f>
        <v>0</v>
      </c>
      <c r="AE1969" s="230">
        <f>(FME_Ranking1[[#This Row],[Ag Land Raw]]/$AD$2)*100</f>
        <v>0</v>
      </c>
      <c r="AF1969" s="231">
        <f>FME_Ranking1[[#This Row],[Ag Land Score (Normalized, Unweighted)]]*$AD$3</f>
        <v>0</v>
      </c>
      <c r="AG196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1.4327121271209184E-3</v>
      </c>
      <c r="AH1969" s="406">
        <f t="shared" si="30"/>
        <v>1988</v>
      </c>
      <c r="AI196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1.4327121271209184E-3</v>
      </c>
      <c r="AJ1969" s="257">
        <f>FME_Ranking1[[#This Row],[Addition check]]-FME_Ranking1[[#This Row],[Weighted Score Based on Normalized Reported Factors]]</f>
        <v>0</v>
      </c>
      <c r="AK1969" s="178">
        <f>_xlfn.RANK.EQ(AI1969,$AI$6:$AI$2341,0)+COUNTIF($AI$6:AI1969,AI1969)-1</f>
        <v>1988</v>
      </c>
    </row>
    <row r="1970" spans="1:37" x14ac:dyDescent="0.25">
      <c r="A1970" t="s">
        <v>9229</v>
      </c>
      <c r="B1970">
        <f>_xlfn.XLOOKUP(FME_Ranking1[[#This Row],[FME ID]],FME_Input[FME_ID],FME_Input[RFPG_NUM])</f>
        <v>12</v>
      </c>
      <c r="C1970" t="str">
        <f>_xlfn.XLOOKUP(FME_Ranking1[[#This Row],[FME ID]],FME_Input[FME_ID],FME_Input[FME_NAME])</f>
        <v>Karnes County Damage Centers Karnes B</v>
      </c>
      <c r="D1970" t="str">
        <f>_xlfn.XLOOKUP(FME_Ranking1[[#This Row],[FME ID]],FME_Input[FME_ID],FME_Input[DESCR])</f>
        <v>Multiple structures at risk Within Marcelinas Creek at US 181</v>
      </c>
      <c r="E1970" s="256">
        <f>_xlfn.XLOOKUP(FME_Ranking1[[#This Row],[FME ID]],FME_Input[FME_ID],FME_Input[FME_COST])</f>
        <v>4243043</v>
      </c>
      <c r="F1970" t="str">
        <f>_xlfn.XLOOKUP(FME_Ranking1[[#This Row],[FME ID]],FME_Input[FME_ID],FME_Input[EMER_NEED])</f>
        <v>No</v>
      </c>
      <c r="G1970">
        <f>IF(FME_Ranking!F1970="Yes",100,0)</f>
        <v>0</v>
      </c>
      <c r="H1970">
        <f>FME_Ranking1[[#This Row],[Emergency Need Score (Normalized, Unweighted)]]*$F$3</f>
        <v>0</v>
      </c>
      <c r="I1970" s="246">
        <f>_xlfn.XLOOKUP(FME_Ranking1[[#This Row],[FME ID]],FME_Input[FME_ID],FME_Input[STRUCT_100])</f>
        <v>0</v>
      </c>
      <c r="J1970" s="178">
        <f>(FME_Ranking1[[#This Row],[Structures 100 Raw]]/I$2)*100</f>
        <v>0</v>
      </c>
      <c r="K1970" s="178">
        <f>FME_Ranking1[[#This Row],[Structures 100  Score (Normalized, Unweighted)]]*$I$3</f>
        <v>0</v>
      </c>
      <c r="L1970" s="246">
        <f>_xlfn.XLOOKUP(FME_Ranking1[[#This Row],[FME ID]],FME_Input[FME_ID],FME_Input[RES_STRUCT100])</f>
        <v>0</v>
      </c>
      <c r="M1970" s="230">
        <f>(FME_Ranking1[[#This Row],[Res Structures Raw]]/L$2)*100</f>
        <v>0</v>
      </c>
      <c r="N1970" s="180">
        <f>FME_Ranking1[[#This Row],[Res Structures Score (Normalized, Unweighted)]]*$L$3</f>
        <v>0</v>
      </c>
      <c r="O1970" s="244">
        <f>_xlfn.XLOOKUP(FME_Ranking1[[#This Row],[FME ID]],FME_Input[FME_ID],FME_Input[POP100])</f>
        <v>0</v>
      </c>
      <c r="P1970" s="178">
        <f>(FME_Ranking1[[#This Row],[Pop Raw]]/$O$2)*100</f>
        <v>0</v>
      </c>
      <c r="Q1970" s="178">
        <f>FME_Ranking1[[#This Row],[Pop Score (Normalized, Unweighted)]]*$O$3</f>
        <v>0</v>
      </c>
      <c r="R1970" s="137">
        <f>_xlfn.XLOOKUP(FME_Ranking1[[#This Row],[FME ID]],FME_Input[FME_ID],FME_Input[CRITFAC100])</f>
        <v>0</v>
      </c>
      <c r="S1970" s="230">
        <f>(FME_Ranking1[[#This Row],[Critical Facilities Raw]]/$R$2)*100</f>
        <v>0</v>
      </c>
      <c r="T1970" s="180">
        <f>FME_Ranking1[[#This Row],[Critical Facilities Score (Normalized, Unweighted)]]*$R$3</f>
        <v>0</v>
      </c>
      <c r="U1970">
        <f>_xlfn.XLOOKUP(FME_Ranking1[[#This Row],[FME ID]],FME_Input[FME_ID],FME_Input[LWC])</f>
        <v>0</v>
      </c>
      <c r="V1970" s="178">
        <f>(FME_Ranking1[[#This Row],[LWC Raw]]/$U$2)*100</f>
        <v>0</v>
      </c>
      <c r="W1970" s="178">
        <f>FME_Ranking1[[#This Row],[LWC Score (Normalized, Unweighted)]]*$U$3</f>
        <v>0</v>
      </c>
      <c r="X1970" s="246">
        <f>_xlfn.XLOOKUP(FME_Ranking1[[#This Row],[FME ID]],FME_Input[FME_ID],FME_Input[ROADCLS])</f>
        <v>2</v>
      </c>
      <c r="Y1970" s="230">
        <f>(FME_Ranking1[[#This Row],[Closures Raw]]/$X$2)*100</f>
        <v>2.1028283040689728E-2</v>
      </c>
      <c r="Z1970" s="180">
        <f>FME_Ranking1[[#This Row],[Closures Score (Normalized, Unweighted)]]*$X$3</f>
        <v>1.0514141520344864E-3</v>
      </c>
      <c r="AA1970" s="253">
        <f>_xlfn.XLOOKUP(FME_Ranking1[[#This Row],[FME ID]],FME_Input[FME_ID],FME_Input[ROAD_MILES100])</f>
        <v>0.10999999940395359</v>
      </c>
      <c r="AB1970" s="178">
        <f>(FME_Ranking1[[#This Row],[Miles Raw]]/$AA$2)*100</f>
        <v>1.4463026979008706E-3</v>
      </c>
      <c r="AC1970" s="178">
        <f>FME_Ranking1[[#This Row],[Miles Score (Normalized, Unweighted)]]*$AA$3</f>
        <v>1.4463026979008706E-4</v>
      </c>
      <c r="AD1970" s="255">
        <f>_xlfn.XLOOKUP(FME_Ranking1[[#This Row],[FME ID]],FME_Input[FME_ID],FME_Input[FARMACRE100])</f>
        <v>0</v>
      </c>
      <c r="AE1970" s="230">
        <f>(FME_Ranking1[[#This Row],[Ag Land Raw]]/$AD$2)*100</f>
        <v>0</v>
      </c>
      <c r="AF1970" s="231">
        <f>FME_Ranking1[[#This Row],[Ag Land Score (Normalized, Unweighted)]]*$AD$3</f>
        <v>0</v>
      </c>
      <c r="AG197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1.1960444218245734E-3</v>
      </c>
      <c r="AH1970" s="406">
        <f t="shared" si="30"/>
        <v>2012</v>
      </c>
      <c r="AI197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1.1960444218245734E-3</v>
      </c>
      <c r="AJ1970" s="257">
        <f>FME_Ranking1[[#This Row],[Addition check]]-FME_Ranking1[[#This Row],[Weighted Score Based on Normalized Reported Factors]]</f>
        <v>0</v>
      </c>
      <c r="AK1970" s="178">
        <f>_xlfn.RANK.EQ(AI1970,$AI$6:$AI$2341,0)+COUNTIF($AI$6:AI1970,AI1970)-1</f>
        <v>2012</v>
      </c>
    </row>
    <row r="1971" spans="1:37" x14ac:dyDescent="0.25">
      <c r="A1971" t="s">
        <v>9646</v>
      </c>
      <c r="B1971">
        <f>_xlfn.XLOOKUP(FME_Ranking1[[#This Row],[FME ID]],FME_Input[FME_ID],FME_Input[RFPG_NUM])</f>
        <v>12</v>
      </c>
      <c r="C1971" t="str">
        <f>_xlfn.XLOOKUP(FME_Ranking1[[#This Row],[FME ID]],FME_Input[FME_ID],FME_Input[FME_NAME])</f>
        <v>Culvert improvement on Hatch St in Tivoli</v>
      </c>
      <c r="D1971" t="str">
        <f>_xlfn.XLOOKUP(FME_Ranking1[[#This Row],[FME ID]],FME_Input[FME_ID],FME_Input[DESCR])</f>
        <v>The bridge on Hatch Street in Tivoli was replaced with a culvert which drains slow and causes the water to breach the levee. Study to find alternatives to determine solutions for this drainage issue.</v>
      </c>
      <c r="E1971" s="256">
        <f>_xlfn.XLOOKUP(FME_Ranking1[[#This Row],[FME ID]],FME_Input[FME_ID],FME_Input[FME_COST])</f>
        <v>150000</v>
      </c>
      <c r="F1971" t="str">
        <f>_xlfn.XLOOKUP(FME_Ranking1[[#This Row],[FME ID]],FME_Input[FME_ID],FME_Input[EMER_NEED])</f>
        <v>No</v>
      </c>
      <c r="G1971">
        <f>IF(FME_Ranking!F1971="Yes",100,0)</f>
        <v>0</v>
      </c>
      <c r="H1971">
        <f>FME_Ranking1[[#This Row],[Emergency Need Score (Normalized, Unweighted)]]*$F$3</f>
        <v>0</v>
      </c>
      <c r="I1971" s="246">
        <f>_xlfn.XLOOKUP(FME_Ranking1[[#This Row],[FME ID]],FME_Input[FME_ID],FME_Input[STRUCT_100])</f>
        <v>0</v>
      </c>
      <c r="J1971" s="178">
        <f>(FME_Ranking1[[#This Row],[Structures 100 Raw]]/I$2)*100</f>
        <v>0</v>
      </c>
      <c r="K1971" s="178">
        <f>FME_Ranking1[[#This Row],[Structures 100  Score (Normalized, Unweighted)]]*$I$3</f>
        <v>0</v>
      </c>
      <c r="L1971" s="246">
        <f>_xlfn.XLOOKUP(FME_Ranking1[[#This Row],[FME ID]],FME_Input[FME_ID],FME_Input[RES_STRUCT100])</f>
        <v>0</v>
      </c>
      <c r="M1971" s="230">
        <f>(FME_Ranking1[[#This Row],[Res Structures Raw]]/L$2)*100</f>
        <v>0</v>
      </c>
      <c r="N1971" s="180">
        <f>FME_Ranking1[[#This Row],[Res Structures Score (Normalized, Unweighted)]]*$L$3</f>
        <v>0</v>
      </c>
      <c r="O1971" s="244">
        <f>_xlfn.XLOOKUP(FME_Ranking1[[#This Row],[FME ID]],FME_Input[FME_ID],FME_Input[POP100])</f>
        <v>0</v>
      </c>
      <c r="P1971" s="178">
        <f>(FME_Ranking1[[#This Row],[Pop Raw]]/$O$2)*100</f>
        <v>0</v>
      </c>
      <c r="Q1971" s="178">
        <f>FME_Ranking1[[#This Row],[Pop Score (Normalized, Unweighted)]]*$O$3</f>
        <v>0</v>
      </c>
      <c r="R1971" s="137">
        <f>_xlfn.XLOOKUP(FME_Ranking1[[#This Row],[FME ID]],FME_Input[FME_ID],FME_Input[CRITFAC100])</f>
        <v>0</v>
      </c>
      <c r="S1971" s="230">
        <f>(FME_Ranking1[[#This Row],[Critical Facilities Raw]]/$R$2)*100</f>
        <v>0</v>
      </c>
      <c r="T1971" s="180">
        <f>FME_Ranking1[[#This Row],[Critical Facilities Score (Normalized, Unweighted)]]*$R$3</f>
        <v>0</v>
      </c>
      <c r="U1971">
        <f>_xlfn.XLOOKUP(FME_Ranking1[[#This Row],[FME ID]],FME_Input[FME_ID],FME_Input[LWC])</f>
        <v>0</v>
      </c>
      <c r="V1971" s="178">
        <f>(FME_Ranking1[[#This Row],[LWC Raw]]/$U$2)*100</f>
        <v>0</v>
      </c>
      <c r="W1971" s="178">
        <f>FME_Ranking1[[#This Row],[LWC Score (Normalized, Unweighted)]]*$U$3</f>
        <v>0</v>
      </c>
      <c r="X1971" s="246">
        <f>_xlfn.XLOOKUP(FME_Ranking1[[#This Row],[FME ID]],FME_Input[FME_ID],FME_Input[ROADCLS])</f>
        <v>2</v>
      </c>
      <c r="Y1971" s="230">
        <f>(FME_Ranking1[[#This Row],[Closures Raw]]/$X$2)*100</f>
        <v>2.1028283040689728E-2</v>
      </c>
      <c r="Z1971" s="180">
        <f>FME_Ranking1[[#This Row],[Closures Score (Normalized, Unweighted)]]*$X$3</f>
        <v>1.0514141520344864E-3</v>
      </c>
      <c r="AA1971" s="253">
        <f>_xlfn.XLOOKUP(FME_Ranking1[[#This Row],[FME ID]],FME_Input[FME_ID],FME_Input[ROAD_MILES100])</f>
        <v>0</v>
      </c>
      <c r="AB1971" s="178">
        <f>(FME_Ranking1[[#This Row],[Miles Raw]]/$AA$2)*100</f>
        <v>0</v>
      </c>
      <c r="AC1971" s="178">
        <f>FME_Ranking1[[#This Row],[Miles Score (Normalized, Unweighted)]]*$AA$3</f>
        <v>0</v>
      </c>
      <c r="AD1971" s="255">
        <f>_xlfn.XLOOKUP(FME_Ranking1[[#This Row],[FME ID]],FME_Input[FME_ID],FME_Input[FARMACRE100])</f>
        <v>0</v>
      </c>
      <c r="AE1971" s="230">
        <f>(FME_Ranking1[[#This Row],[Ag Land Raw]]/$AD$2)*100</f>
        <v>0</v>
      </c>
      <c r="AF1971" s="231">
        <f>FME_Ranking1[[#This Row],[Ag Land Score (Normalized, Unweighted)]]*$AD$3</f>
        <v>0</v>
      </c>
      <c r="AG197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1.0514141520344864E-3</v>
      </c>
      <c r="AH1971" s="406">
        <f t="shared" si="30"/>
        <v>2022</v>
      </c>
      <c r="AI197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1.0514141520344864E-3</v>
      </c>
      <c r="AJ1971" s="257">
        <f>FME_Ranking1[[#This Row],[Addition check]]-FME_Ranking1[[#This Row],[Weighted Score Based on Normalized Reported Factors]]</f>
        <v>0</v>
      </c>
      <c r="AK1971" s="178">
        <f>_xlfn.RANK.EQ(AI1971,$AI$6:$AI$2341,0)+COUNTIF($AI$6:AI1971,AI1971)-1</f>
        <v>2022</v>
      </c>
    </row>
    <row r="1972" spans="1:37" x14ac:dyDescent="0.25">
      <c r="A1972" t="s">
        <v>9657</v>
      </c>
      <c r="B1972">
        <f>_xlfn.XLOOKUP(FME_Ranking1[[#This Row],[FME ID]],FME_Input[FME_ID],FME_Input[RFPG_NUM])</f>
        <v>12</v>
      </c>
      <c r="C1972" t="str">
        <f>_xlfn.XLOOKUP(FME_Ranking1[[#This Row],[FME ID]],FME_Input[FME_ID],FME_Input[FME_NAME])</f>
        <v>Culvert Improvement on Highway 239 in Tivoli</v>
      </c>
      <c r="D1972" t="str">
        <f>_xlfn.XLOOKUP(FME_Ranking1[[#This Row],[FME ID]],FME_Input[FME_ID],FME_Input[DESCR])</f>
        <v>Culverts on Highway 239 in Tivoli are too small causing water to get in houses. Study to find alternatives to determine solutions for this drainage issue.</v>
      </c>
      <c r="E1972" s="256">
        <f>_xlfn.XLOOKUP(FME_Ranking1[[#This Row],[FME ID]],FME_Input[FME_ID],FME_Input[FME_COST])</f>
        <v>150000</v>
      </c>
      <c r="F1972" t="str">
        <f>_xlfn.XLOOKUP(FME_Ranking1[[#This Row],[FME ID]],FME_Input[FME_ID],FME_Input[EMER_NEED])</f>
        <v>No</v>
      </c>
      <c r="G1972">
        <f>IF(FME_Ranking!F1972="Yes",100,0)</f>
        <v>0</v>
      </c>
      <c r="H1972">
        <f>FME_Ranking1[[#This Row],[Emergency Need Score (Normalized, Unweighted)]]*$F$3</f>
        <v>0</v>
      </c>
      <c r="I1972" s="246">
        <f>_xlfn.XLOOKUP(FME_Ranking1[[#This Row],[FME ID]],FME_Input[FME_ID],FME_Input[STRUCT_100])</f>
        <v>0</v>
      </c>
      <c r="J1972" s="178">
        <f>(FME_Ranking1[[#This Row],[Structures 100 Raw]]/I$2)*100</f>
        <v>0</v>
      </c>
      <c r="K1972" s="178">
        <f>FME_Ranking1[[#This Row],[Structures 100  Score (Normalized, Unweighted)]]*$I$3</f>
        <v>0</v>
      </c>
      <c r="L1972" s="246">
        <f>_xlfn.XLOOKUP(FME_Ranking1[[#This Row],[FME ID]],FME_Input[FME_ID],FME_Input[RES_STRUCT100])</f>
        <v>0</v>
      </c>
      <c r="M1972" s="230">
        <f>(FME_Ranking1[[#This Row],[Res Structures Raw]]/L$2)*100</f>
        <v>0</v>
      </c>
      <c r="N1972" s="180">
        <f>FME_Ranking1[[#This Row],[Res Structures Score (Normalized, Unweighted)]]*$L$3</f>
        <v>0</v>
      </c>
      <c r="O1972" s="244">
        <f>_xlfn.XLOOKUP(FME_Ranking1[[#This Row],[FME ID]],FME_Input[FME_ID],FME_Input[POP100])</f>
        <v>0</v>
      </c>
      <c r="P1972" s="178">
        <f>(FME_Ranking1[[#This Row],[Pop Raw]]/$O$2)*100</f>
        <v>0</v>
      </c>
      <c r="Q1972" s="178">
        <f>FME_Ranking1[[#This Row],[Pop Score (Normalized, Unweighted)]]*$O$3</f>
        <v>0</v>
      </c>
      <c r="R1972" s="137">
        <f>_xlfn.XLOOKUP(FME_Ranking1[[#This Row],[FME ID]],FME_Input[FME_ID],FME_Input[CRITFAC100])</f>
        <v>0</v>
      </c>
      <c r="S1972" s="230">
        <f>(FME_Ranking1[[#This Row],[Critical Facilities Raw]]/$R$2)*100</f>
        <v>0</v>
      </c>
      <c r="T1972" s="180">
        <f>FME_Ranking1[[#This Row],[Critical Facilities Score (Normalized, Unweighted)]]*$R$3</f>
        <v>0</v>
      </c>
      <c r="U1972">
        <f>_xlfn.XLOOKUP(FME_Ranking1[[#This Row],[FME ID]],FME_Input[FME_ID],FME_Input[LWC])</f>
        <v>0</v>
      </c>
      <c r="V1972" s="178">
        <f>(FME_Ranking1[[#This Row],[LWC Raw]]/$U$2)*100</f>
        <v>0</v>
      </c>
      <c r="W1972" s="178">
        <f>FME_Ranking1[[#This Row],[LWC Score (Normalized, Unweighted)]]*$U$3</f>
        <v>0</v>
      </c>
      <c r="X1972" s="246">
        <f>_xlfn.XLOOKUP(FME_Ranking1[[#This Row],[FME ID]],FME_Input[FME_ID],FME_Input[ROADCLS])</f>
        <v>2</v>
      </c>
      <c r="Y1972" s="230">
        <f>(FME_Ranking1[[#This Row],[Closures Raw]]/$X$2)*100</f>
        <v>2.1028283040689728E-2</v>
      </c>
      <c r="Z1972" s="180">
        <f>FME_Ranking1[[#This Row],[Closures Score (Normalized, Unweighted)]]*$X$3</f>
        <v>1.0514141520344864E-3</v>
      </c>
      <c r="AA1972" s="253">
        <f>_xlfn.XLOOKUP(FME_Ranking1[[#This Row],[FME ID]],FME_Input[FME_ID],FME_Input[ROAD_MILES100])</f>
        <v>9.9999997764825821E-3</v>
      </c>
      <c r="AB1972" s="178">
        <f>(FME_Ranking1[[#This Row],[Miles Raw]]/$AA$2)*100</f>
        <v>1.3148206121912974E-4</v>
      </c>
      <c r="AC1972" s="178">
        <f>FME_Ranking1[[#This Row],[Miles Score (Normalized, Unweighted)]]*$AA$3</f>
        <v>1.3148206121912975E-5</v>
      </c>
      <c r="AD1972" s="255">
        <f>_xlfn.XLOOKUP(FME_Ranking1[[#This Row],[FME ID]],FME_Input[FME_ID],FME_Input[FARMACRE100])</f>
        <v>0</v>
      </c>
      <c r="AE1972" s="230">
        <f>(FME_Ranking1[[#This Row],[Ag Land Raw]]/$AD$2)*100</f>
        <v>0</v>
      </c>
      <c r="AF1972" s="231">
        <f>FME_Ranking1[[#This Row],[Ag Land Score (Normalized, Unweighted)]]*$AD$3</f>
        <v>0</v>
      </c>
      <c r="AG197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1.0645623581563993E-3</v>
      </c>
      <c r="AH1972" s="406">
        <f t="shared" si="30"/>
        <v>2020</v>
      </c>
      <c r="AI197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1.0645623581563993E-3</v>
      </c>
      <c r="AJ1972" s="257">
        <f>FME_Ranking1[[#This Row],[Addition check]]-FME_Ranking1[[#This Row],[Weighted Score Based on Normalized Reported Factors]]</f>
        <v>0</v>
      </c>
      <c r="AK1972" s="178">
        <f>_xlfn.RANK.EQ(AI1972,$AI$6:$AI$2341,0)+COUNTIF($AI$6:AI1972,AI1972)-1</f>
        <v>2020</v>
      </c>
    </row>
    <row r="1973" spans="1:37" x14ac:dyDescent="0.25">
      <c r="A1973" t="s">
        <v>9768</v>
      </c>
      <c r="B1973">
        <f>_xlfn.XLOOKUP(FME_Ranking1[[#This Row],[FME ID]],FME_Input[FME_ID],FME_Input[RFPG_NUM])</f>
        <v>12</v>
      </c>
      <c r="C1973" t="str">
        <f>_xlfn.XLOOKUP(FME_Ranking1[[#This Row],[FME ID]],FME_Input[FME_ID],FME_Input[FME_NAME])</f>
        <v>Bandera 470 and Indian Creek Study</v>
      </c>
      <c r="D1973" t="str">
        <f>_xlfn.XLOOKUP(FME_Ranking1[[#This Row],[FME ID]],FME_Input[FME_ID],FME_Input[DESCR])</f>
        <v>Blocks public access to lifelines in Bandera. Study to upgrade road.</v>
      </c>
      <c r="E1973" s="256">
        <f>_xlfn.XLOOKUP(FME_Ranking1[[#This Row],[FME ID]],FME_Input[FME_ID],FME_Input[FME_COST])</f>
        <v>50000</v>
      </c>
      <c r="F1973" t="str">
        <f>_xlfn.XLOOKUP(FME_Ranking1[[#This Row],[FME ID]],FME_Input[FME_ID],FME_Input[EMER_NEED])</f>
        <v>Yes</v>
      </c>
      <c r="G1973">
        <f>IF(FME_Ranking!F1973="Yes",100,0)</f>
        <v>100</v>
      </c>
      <c r="H1973">
        <f>FME_Ranking1[[#This Row],[Emergency Need Score (Normalized, Unweighted)]]*$F$3</f>
        <v>0</v>
      </c>
      <c r="I1973" s="246">
        <f>_xlfn.XLOOKUP(FME_Ranking1[[#This Row],[FME ID]],FME_Input[FME_ID],FME_Input[STRUCT_100])</f>
        <v>0</v>
      </c>
      <c r="J1973" s="178">
        <f>(FME_Ranking1[[#This Row],[Structures 100 Raw]]/I$2)*100</f>
        <v>0</v>
      </c>
      <c r="K1973" s="178">
        <f>FME_Ranking1[[#This Row],[Structures 100  Score (Normalized, Unweighted)]]*$I$3</f>
        <v>0</v>
      </c>
      <c r="L1973" s="246">
        <f>_xlfn.XLOOKUP(FME_Ranking1[[#This Row],[FME ID]],FME_Input[FME_ID],FME_Input[RES_STRUCT100])</f>
        <v>0</v>
      </c>
      <c r="M1973" s="230">
        <f>(FME_Ranking1[[#This Row],[Res Structures Raw]]/L$2)*100</f>
        <v>0</v>
      </c>
      <c r="N1973" s="180">
        <f>FME_Ranking1[[#This Row],[Res Structures Score (Normalized, Unweighted)]]*$L$3</f>
        <v>0</v>
      </c>
      <c r="O1973" s="244">
        <f>_xlfn.XLOOKUP(FME_Ranking1[[#This Row],[FME ID]],FME_Input[FME_ID],FME_Input[POP100])</f>
        <v>0</v>
      </c>
      <c r="P1973" s="178">
        <f>(FME_Ranking1[[#This Row],[Pop Raw]]/$O$2)*100</f>
        <v>0</v>
      </c>
      <c r="Q1973" s="178">
        <f>FME_Ranking1[[#This Row],[Pop Score (Normalized, Unweighted)]]*$O$3</f>
        <v>0</v>
      </c>
      <c r="R1973" s="137">
        <f>_xlfn.XLOOKUP(FME_Ranking1[[#This Row],[FME ID]],FME_Input[FME_ID],FME_Input[CRITFAC100])</f>
        <v>0</v>
      </c>
      <c r="S1973" s="230">
        <f>(FME_Ranking1[[#This Row],[Critical Facilities Raw]]/$R$2)*100</f>
        <v>0</v>
      </c>
      <c r="T1973" s="180">
        <f>FME_Ranking1[[#This Row],[Critical Facilities Score (Normalized, Unweighted)]]*$R$3</f>
        <v>0</v>
      </c>
      <c r="U1973">
        <f>_xlfn.XLOOKUP(FME_Ranking1[[#This Row],[FME ID]],FME_Input[FME_ID],FME_Input[LWC])</f>
        <v>0</v>
      </c>
      <c r="V1973" s="178">
        <f>(FME_Ranking1[[#This Row],[LWC Raw]]/$U$2)*100</f>
        <v>0</v>
      </c>
      <c r="W1973" s="178">
        <f>FME_Ranking1[[#This Row],[LWC Score (Normalized, Unweighted)]]*$U$3</f>
        <v>0</v>
      </c>
      <c r="X1973" s="246">
        <f>_xlfn.XLOOKUP(FME_Ranking1[[#This Row],[FME ID]],FME_Input[FME_ID],FME_Input[ROADCLS])</f>
        <v>2</v>
      </c>
      <c r="Y1973" s="230">
        <f>(FME_Ranking1[[#This Row],[Closures Raw]]/$X$2)*100</f>
        <v>2.1028283040689728E-2</v>
      </c>
      <c r="Z1973" s="180">
        <f>FME_Ranking1[[#This Row],[Closures Score (Normalized, Unweighted)]]*$X$3</f>
        <v>1.0514141520344864E-3</v>
      </c>
      <c r="AA1973" s="253">
        <f>_xlfn.XLOOKUP(FME_Ranking1[[#This Row],[FME ID]],FME_Input[FME_ID],FME_Input[ROAD_MILES100])</f>
        <v>0.15000000596046451</v>
      </c>
      <c r="AB1973" s="178">
        <f>(FME_Ranking1[[#This Row],[Miles Raw]]/$AA$2)*100</f>
        <v>1.9722310407391608E-3</v>
      </c>
      <c r="AC1973" s="178">
        <f>FME_Ranking1[[#This Row],[Miles Score (Normalized, Unweighted)]]*$AA$3</f>
        <v>1.972231040739161E-4</v>
      </c>
      <c r="AD1973" s="255">
        <f>_xlfn.XLOOKUP(FME_Ranking1[[#This Row],[FME ID]],FME_Input[FME_ID],FME_Input[FARMACRE100])</f>
        <v>0</v>
      </c>
      <c r="AE1973" s="230">
        <f>(FME_Ranking1[[#This Row],[Ag Land Raw]]/$AD$2)*100</f>
        <v>0</v>
      </c>
      <c r="AF1973" s="231">
        <f>FME_Ranking1[[#This Row],[Ag Land Score (Normalized, Unweighted)]]*$AD$3</f>
        <v>0</v>
      </c>
      <c r="AG197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1.2486372561084026E-3</v>
      </c>
      <c r="AH1973" s="406">
        <f t="shared" si="30"/>
        <v>2002</v>
      </c>
      <c r="AI197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1.2486372561084026E-3</v>
      </c>
      <c r="AJ1973" s="257">
        <f>FME_Ranking1[[#This Row],[Addition check]]-FME_Ranking1[[#This Row],[Weighted Score Based on Normalized Reported Factors]]</f>
        <v>0</v>
      </c>
      <c r="AK1973" s="178">
        <f>_xlfn.RANK.EQ(AI1973,$AI$6:$AI$2341,0)+COUNTIF($AI$6:AI1973,AI1973)-1</f>
        <v>2002</v>
      </c>
    </row>
    <row r="1974" spans="1:37" x14ac:dyDescent="0.25">
      <c r="A1974" t="s">
        <v>10125</v>
      </c>
      <c r="B1974">
        <f>_xlfn.XLOOKUP(FME_Ranking1[[#This Row],[FME ID]],FME_Input[FME_ID],FME_Input[RFPG_NUM])</f>
        <v>13</v>
      </c>
      <c r="C1974" t="str">
        <f>_xlfn.XLOOKUP(FME_Ranking1[[#This Row],[FME ID]],FME_Input[FME_ID],FME_Input[FME_NAME])</f>
        <v>N Roosevelt Street and Chapparal Road Drainage- FH#8</v>
      </c>
      <c r="D1974" t="str">
        <f>_xlfn.XLOOKUP(FME_Ranking1[[#This Row],[FME ID]],FME_Input[FME_ID],FME_Input[DESCR])</f>
        <v>Install series of underground storm water lines and drop structures on N Roosevelt Street acquiring drainage easement of 12500 SF north of intersection of S Roosevelt Street and Chapparal Road outfalling to existing earthen swale on Nail Road(CR2015).</v>
      </c>
      <c r="E1974" s="256">
        <f>_xlfn.XLOOKUP(FME_Ranking1[[#This Row],[FME ID]],FME_Input[FME_ID],FME_Input[FME_COST])</f>
        <v>749000</v>
      </c>
      <c r="F1974" t="str">
        <f>_xlfn.XLOOKUP(FME_Ranking1[[#This Row],[FME ID]],FME_Input[FME_ID],FME_Input[EMER_NEED])</f>
        <v>Yes</v>
      </c>
      <c r="G1974">
        <f>IF(FME_Ranking!F1974="Yes",100,0)</f>
        <v>100</v>
      </c>
      <c r="H1974">
        <f>FME_Ranking1[[#This Row],[Emergency Need Score (Normalized, Unweighted)]]*$F$3</f>
        <v>0</v>
      </c>
      <c r="I1974" s="246">
        <f>_xlfn.XLOOKUP(FME_Ranking1[[#This Row],[FME ID]],FME_Input[FME_ID],FME_Input[STRUCT_100])</f>
        <v>0</v>
      </c>
      <c r="J1974" s="178">
        <f>(FME_Ranking1[[#This Row],[Structures 100 Raw]]/I$2)*100</f>
        <v>0</v>
      </c>
      <c r="K1974" s="178">
        <f>FME_Ranking1[[#This Row],[Structures 100  Score (Normalized, Unweighted)]]*$I$3</f>
        <v>0</v>
      </c>
      <c r="L1974" s="246">
        <f>_xlfn.XLOOKUP(FME_Ranking1[[#This Row],[FME ID]],FME_Input[FME_ID],FME_Input[RES_STRUCT100])</f>
        <v>0</v>
      </c>
      <c r="M1974" s="230">
        <f>(FME_Ranking1[[#This Row],[Res Structures Raw]]/L$2)*100</f>
        <v>0</v>
      </c>
      <c r="N1974" s="180">
        <f>FME_Ranking1[[#This Row],[Res Structures Score (Normalized, Unweighted)]]*$L$3</f>
        <v>0</v>
      </c>
      <c r="O1974" s="244">
        <f>_xlfn.XLOOKUP(FME_Ranking1[[#This Row],[FME ID]],FME_Input[FME_ID],FME_Input[POP100])</f>
        <v>0</v>
      </c>
      <c r="P1974" s="178">
        <f>(FME_Ranking1[[#This Row],[Pop Raw]]/$O$2)*100</f>
        <v>0</v>
      </c>
      <c r="Q1974" s="178">
        <f>FME_Ranking1[[#This Row],[Pop Score (Normalized, Unweighted)]]*$O$3</f>
        <v>0</v>
      </c>
      <c r="R1974" s="137">
        <f>_xlfn.XLOOKUP(FME_Ranking1[[#This Row],[FME ID]],FME_Input[FME_ID],FME_Input[CRITFAC100])</f>
        <v>0</v>
      </c>
      <c r="S1974" s="230">
        <f>(FME_Ranking1[[#This Row],[Critical Facilities Raw]]/$R$2)*100</f>
        <v>0</v>
      </c>
      <c r="T1974" s="180">
        <f>FME_Ranking1[[#This Row],[Critical Facilities Score (Normalized, Unweighted)]]*$R$3</f>
        <v>0</v>
      </c>
      <c r="U1974">
        <f>_xlfn.XLOOKUP(FME_Ranking1[[#This Row],[FME ID]],FME_Input[FME_ID],FME_Input[LWC])</f>
        <v>0</v>
      </c>
      <c r="V1974" s="178">
        <f>(FME_Ranking1[[#This Row],[LWC Raw]]/$U$2)*100</f>
        <v>0</v>
      </c>
      <c r="W1974" s="178">
        <f>FME_Ranking1[[#This Row],[LWC Score (Normalized, Unweighted)]]*$U$3</f>
        <v>0</v>
      </c>
      <c r="X1974" s="246">
        <f>_xlfn.XLOOKUP(FME_Ranking1[[#This Row],[FME ID]],FME_Input[FME_ID],FME_Input[ROADCLS])</f>
        <v>2</v>
      </c>
      <c r="Y1974" s="230">
        <f>(FME_Ranking1[[#This Row],[Closures Raw]]/$X$2)*100</f>
        <v>2.1028283040689728E-2</v>
      </c>
      <c r="Z1974" s="180">
        <f>FME_Ranking1[[#This Row],[Closures Score (Normalized, Unweighted)]]*$X$3</f>
        <v>1.0514141520344864E-3</v>
      </c>
      <c r="AA1974" s="253">
        <f>_xlfn.XLOOKUP(FME_Ranking1[[#This Row],[FME ID]],FME_Input[FME_ID],FME_Input[ROAD_MILES100])</f>
        <v>7.6520003378391266E-2</v>
      </c>
      <c r="AB1974" s="178">
        <f>(FME_Ranking1[[#This Row],[Miles Raw]]/$AA$2)*100</f>
        <v>1.0061007993566707E-3</v>
      </c>
      <c r="AC1974" s="178">
        <f>FME_Ranking1[[#This Row],[Miles Score (Normalized, Unweighted)]]*$AA$3</f>
        <v>1.0061007993566708E-4</v>
      </c>
      <c r="AD1974" s="255">
        <f>_xlfn.XLOOKUP(FME_Ranking1[[#This Row],[FME ID]],FME_Input[FME_ID],FME_Input[FARMACRE100])</f>
        <v>0</v>
      </c>
      <c r="AE1974" s="230">
        <f>(FME_Ranking1[[#This Row],[Ag Land Raw]]/$AD$2)*100</f>
        <v>0</v>
      </c>
      <c r="AF1974" s="231">
        <f>FME_Ranking1[[#This Row],[Ag Land Score (Normalized, Unweighted)]]*$AD$3</f>
        <v>0</v>
      </c>
      <c r="AG197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1.1520242319701536E-3</v>
      </c>
      <c r="AH1974" s="406">
        <f t="shared" si="30"/>
        <v>2014</v>
      </c>
      <c r="AI197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1.1520242319701536E-3</v>
      </c>
      <c r="AJ1974" s="257">
        <f>FME_Ranking1[[#This Row],[Addition check]]-FME_Ranking1[[#This Row],[Weighted Score Based on Normalized Reported Factors]]</f>
        <v>0</v>
      </c>
      <c r="AK1974" s="178">
        <f>_xlfn.RANK.EQ(AI1974,$AI$6:$AI$2341,0)+COUNTIF($AI$6:AI1974,AI1974)-1</f>
        <v>2014</v>
      </c>
    </row>
    <row r="1975" spans="1:37" x14ac:dyDescent="0.25">
      <c r="A1975" t="s">
        <v>10268</v>
      </c>
      <c r="B1975">
        <f>_xlfn.XLOOKUP(FME_Ranking1[[#This Row],[FME ID]],FME_Input[FME_ID],FME_Input[RFPG_NUM])</f>
        <v>13</v>
      </c>
      <c r="C1975" t="str">
        <f>_xlfn.XLOOKUP(FME_Ranking1[[#This Row],[FME ID]],FME_Input[FME_ID],FME_Input[FME_NAME])</f>
        <v>Easement Outfall Loop 70 &amp; Shell Ridge Rd</v>
      </c>
      <c r="D1975" t="str">
        <f>_xlfn.XLOOKUP(FME_Ranking1[[#This Row],[FME ID]],FME_Input[FME_ID],FME_Input[DESCR])</f>
        <v>Purchase Drainage easement and construct outfall ditch south of Church St.</v>
      </c>
      <c r="E1975" s="256">
        <f>_xlfn.XLOOKUP(FME_Ranking1[[#This Row],[FME ID]],FME_Input[FME_ID],FME_Input[FME_COST])</f>
        <v>250000</v>
      </c>
      <c r="F1975" t="str">
        <f>_xlfn.XLOOKUP(FME_Ranking1[[#This Row],[FME ID]],FME_Input[FME_ID],FME_Input[EMER_NEED])</f>
        <v>Yes</v>
      </c>
      <c r="G1975">
        <f>IF(FME_Ranking!F1975="Yes",100,0)</f>
        <v>100</v>
      </c>
      <c r="H1975">
        <f>FME_Ranking1[[#This Row],[Emergency Need Score (Normalized, Unweighted)]]*$F$3</f>
        <v>0</v>
      </c>
      <c r="I1975" s="246">
        <f>_xlfn.XLOOKUP(FME_Ranking1[[#This Row],[FME ID]],FME_Input[FME_ID],FME_Input[STRUCT_100])</f>
        <v>0</v>
      </c>
      <c r="J1975" s="178">
        <f>(FME_Ranking1[[#This Row],[Structures 100 Raw]]/I$2)*100</f>
        <v>0</v>
      </c>
      <c r="K1975" s="178">
        <f>FME_Ranking1[[#This Row],[Structures 100  Score (Normalized, Unweighted)]]*$I$3</f>
        <v>0</v>
      </c>
      <c r="L1975" s="246">
        <f>_xlfn.XLOOKUP(FME_Ranking1[[#This Row],[FME ID]],FME_Input[FME_ID],FME_Input[RES_STRUCT100])</f>
        <v>0</v>
      </c>
      <c r="M1975" s="230">
        <f>(FME_Ranking1[[#This Row],[Res Structures Raw]]/L$2)*100</f>
        <v>0</v>
      </c>
      <c r="N1975" s="180">
        <f>FME_Ranking1[[#This Row],[Res Structures Score (Normalized, Unweighted)]]*$L$3</f>
        <v>0</v>
      </c>
      <c r="O1975" s="244">
        <f>_xlfn.XLOOKUP(FME_Ranking1[[#This Row],[FME ID]],FME_Input[FME_ID],FME_Input[POP100])</f>
        <v>0</v>
      </c>
      <c r="P1975" s="178">
        <f>(FME_Ranking1[[#This Row],[Pop Raw]]/$O$2)*100</f>
        <v>0</v>
      </c>
      <c r="Q1975" s="178">
        <f>FME_Ranking1[[#This Row],[Pop Score (Normalized, Unweighted)]]*$O$3</f>
        <v>0</v>
      </c>
      <c r="R1975" s="137">
        <f>_xlfn.XLOOKUP(FME_Ranking1[[#This Row],[FME ID]],FME_Input[FME_ID],FME_Input[CRITFAC100])</f>
        <v>0</v>
      </c>
      <c r="S1975" s="230">
        <f>(FME_Ranking1[[#This Row],[Critical Facilities Raw]]/$R$2)*100</f>
        <v>0</v>
      </c>
      <c r="T1975" s="180">
        <f>FME_Ranking1[[#This Row],[Critical Facilities Score (Normalized, Unweighted)]]*$R$3</f>
        <v>0</v>
      </c>
      <c r="U1975">
        <f>_xlfn.XLOOKUP(FME_Ranking1[[#This Row],[FME ID]],FME_Input[FME_ID],FME_Input[LWC])</f>
        <v>0</v>
      </c>
      <c r="V1975" s="178">
        <f>(FME_Ranking1[[#This Row],[LWC Raw]]/$U$2)*100</f>
        <v>0</v>
      </c>
      <c r="W1975" s="178">
        <f>FME_Ranking1[[#This Row],[LWC Score (Normalized, Unweighted)]]*$U$3</f>
        <v>0</v>
      </c>
      <c r="X1975" s="246">
        <f>_xlfn.XLOOKUP(FME_Ranking1[[#This Row],[FME ID]],FME_Input[FME_ID],FME_Input[ROADCLS])</f>
        <v>2</v>
      </c>
      <c r="Y1975" s="230">
        <f>(FME_Ranking1[[#This Row],[Closures Raw]]/$X$2)*100</f>
        <v>2.1028283040689728E-2</v>
      </c>
      <c r="Z1975" s="180">
        <f>FME_Ranking1[[#This Row],[Closures Score (Normalized, Unweighted)]]*$X$3</f>
        <v>1.0514141520344864E-3</v>
      </c>
      <c r="AA1975" s="253">
        <f>_xlfn.XLOOKUP(FME_Ranking1[[#This Row],[FME ID]],FME_Input[FME_ID],FME_Input[ROAD_MILES100])</f>
        <v>3.992239385843277E-2</v>
      </c>
      <c r="AB1975" s="178">
        <f>(FME_Ranking1[[#This Row],[Miles Raw]]/$AA$2)*100</f>
        <v>5.2490787506347201E-4</v>
      </c>
      <c r="AC1975" s="178">
        <f>FME_Ranking1[[#This Row],[Miles Score (Normalized, Unweighted)]]*$AA$3</f>
        <v>5.2490787506347202E-5</v>
      </c>
      <c r="AD1975" s="255">
        <f>_xlfn.XLOOKUP(FME_Ranking1[[#This Row],[FME ID]],FME_Input[FME_ID],FME_Input[FARMACRE100])</f>
        <v>0</v>
      </c>
      <c r="AE1975" s="230">
        <f>(FME_Ranking1[[#This Row],[Ag Land Raw]]/$AD$2)*100</f>
        <v>0</v>
      </c>
      <c r="AF1975" s="231">
        <f>FME_Ranking1[[#This Row],[Ag Land Score (Normalized, Unweighted)]]*$AD$3</f>
        <v>0</v>
      </c>
      <c r="AG197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1.1039049395408335E-3</v>
      </c>
      <c r="AH1975" s="406">
        <f t="shared" si="30"/>
        <v>2017</v>
      </c>
      <c r="AI197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1.1039049395408335E-3</v>
      </c>
      <c r="AJ1975" s="257">
        <f>FME_Ranking1[[#This Row],[Addition check]]-FME_Ranking1[[#This Row],[Weighted Score Based on Normalized Reported Factors]]</f>
        <v>0</v>
      </c>
      <c r="AK1975" s="178">
        <f>_xlfn.RANK.EQ(AI1975,$AI$6:$AI$2341,0)+COUNTIF($AI$6:AI1975,AI1975)-1</f>
        <v>2017</v>
      </c>
    </row>
    <row r="1976" spans="1:37" x14ac:dyDescent="0.25">
      <c r="A1976" t="s">
        <v>10365</v>
      </c>
      <c r="B1976">
        <f>_xlfn.XLOOKUP(FME_Ranking1[[#This Row],[FME ID]],FME_Input[FME_ID],FME_Input[RFPG_NUM])</f>
        <v>13</v>
      </c>
      <c r="C1976" t="str">
        <f>_xlfn.XLOOKUP(FME_Ranking1[[#This Row],[FME ID]],FME_Input[FME_ID],FME_Input[FME_NAME])</f>
        <v>Modify Pump Station Outfalls</v>
      </c>
      <c r="D1976" t="str">
        <f>_xlfn.XLOOKUP(FME_Ranking1[[#This Row],[FME ID]],FME_Input[FME_ID],FME_Input[DESCR])</f>
        <v>Modify outfalls of pump station that pump into Aransas Bay at Murray, Morgan, Lamar, Corpus Christi and 1st St. Raise outfall so above sea level to reduce backwater effect on the system.</v>
      </c>
      <c r="E1976" s="256">
        <f>_xlfn.XLOOKUP(FME_Ranking1[[#This Row],[FME ID]],FME_Input[FME_ID],FME_Input[FME_COST])</f>
        <v>327000</v>
      </c>
      <c r="F1976" t="str">
        <f>_xlfn.XLOOKUP(FME_Ranking1[[#This Row],[FME ID]],FME_Input[FME_ID],FME_Input[EMER_NEED])</f>
        <v>Yes</v>
      </c>
      <c r="G1976">
        <f>IF(FME_Ranking!F1976="Yes",100,0)</f>
        <v>100</v>
      </c>
      <c r="H1976">
        <f>FME_Ranking1[[#This Row],[Emergency Need Score (Normalized, Unweighted)]]*$F$3</f>
        <v>0</v>
      </c>
      <c r="I1976" s="246">
        <f>_xlfn.XLOOKUP(FME_Ranking1[[#This Row],[FME ID]],FME_Input[FME_ID],FME_Input[STRUCT_100])</f>
        <v>0</v>
      </c>
      <c r="J1976" s="178">
        <f>(FME_Ranking1[[#This Row],[Structures 100 Raw]]/I$2)*100</f>
        <v>0</v>
      </c>
      <c r="K1976" s="178">
        <f>FME_Ranking1[[#This Row],[Structures 100  Score (Normalized, Unweighted)]]*$I$3</f>
        <v>0</v>
      </c>
      <c r="L1976" s="246">
        <f>_xlfn.XLOOKUP(FME_Ranking1[[#This Row],[FME ID]],FME_Input[FME_ID],FME_Input[RES_STRUCT100])</f>
        <v>0</v>
      </c>
      <c r="M1976" s="230">
        <f>(FME_Ranking1[[#This Row],[Res Structures Raw]]/L$2)*100</f>
        <v>0</v>
      </c>
      <c r="N1976" s="180">
        <f>FME_Ranking1[[#This Row],[Res Structures Score (Normalized, Unweighted)]]*$L$3</f>
        <v>0</v>
      </c>
      <c r="O1976" s="244">
        <f>_xlfn.XLOOKUP(FME_Ranking1[[#This Row],[FME ID]],FME_Input[FME_ID],FME_Input[POP100])</f>
        <v>0</v>
      </c>
      <c r="P1976" s="178">
        <f>(FME_Ranking1[[#This Row],[Pop Raw]]/$O$2)*100</f>
        <v>0</v>
      </c>
      <c r="Q1976" s="178">
        <f>FME_Ranking1[[#This Row],[Pop Score (Normalized, Unweighted)]]*$O$3</f>
        <v>0</v>
      </c>
      <c r="R1976" s="137">
        <f>_xlfn.XLOOKUP(FME_Ranking1[[#This Row],[FME ID]],FME_Input[FME_ID],FME_Input[CRITFAC100])</f>
        <v>0</v>
      </c>
      <c r="S1976" s="230">
        <f>(FME_Ranking1[[#This Row],[Critical Facilities Raw]]/$R$2)*100</f>
        <v>0</v>
      </c>
      <c r="T1976" s="180">
        <f>FME_Ranking1[[#This Row],[Critical Facilities Score (Normalized, Unweighted)]]*$R$3</f>
        <v>0</v>
      </c>
      <c r="U1976">
        <f>_xlfn.XLOOKUP(FME_Ranking1[[#This Row],[FME ID]],FME_Input[FME_ID],FME_Input[LWC])</f>
        <v>0</v>
      </c>
      <c r="V1976" s="178">
        <f>(FME_Ranking1[[#This Row],[LWC Raw]]/$U$2)*100</f>
        <v>0</v>
      </c>
      <c r="W1976" s="178">
        <f>FME_Ranking1[[#This Row],[LWC Score (Normalized, Unweighted)]]*$U$3</f>
        <v>0</v>
      </c>
      <c r="X1976" s="246">
        <f>_xlfn.XLOOKUP(FME_Ranking1[[#This Row],[FME ID]],FME_Input[FME_ID],FME_Input[ROADCLS])</f>
        <v>2</v>
      </c>
      <c r="Y1976" s="230">
        <f>(FME_Ranking1[[#This Row],[Closures Raw]]/$X$2)*100</f>
        <v>2.1028283040689728E-2</v>
      </c>
      <c r="Z1976" s="180">
        <f>FME_Ranking1[[#This Row],[Closures Score (Normalized, Unweighted)]]*$X$3</f>
        <v>1.0514141520344864E-3</v>
      </c>
      <c r="AA1976" s="253">
        <f>_xlfn.XLOOKUP(FME_Ranking1[[#This Row],[FME ID]],FME_Input[FME_ID],FME_Input[ROAD_MILES100])</f>
        <v>6.7757922224700451E-3</v>
      </c>
      <c r="AB1976" s="178">
        <f>(FME_Ranking1[[#This Row],[Miles Raw]]/$AA$2)*100</f>
        <v>8.9089514771596796E-5</v>
      </c>
      <c r="AC1976" s="178">
        <f>FME_Ranking1[[#This Row],[Miles Score (Normalized, Unweighted)]]*$AA$3</f>
        <v>8.9089514771596799E-6</v>
      </c>
      <c r="AD1976" s="255">
        <f>_xlfn.XLOOKUP(FME_Ranking1[[#This Row],[FME ID]],FME_Input[FME_ID],FME_Input[FARMACRE100])</f>
        <v>0</v>
      </c>
      <c r="AE1976" s="230">
        <f>(FME_Ranking1[[#This Row],[Ag Land Raw]]/$AD$2)*100</f>
        <v>0</v>
      </c>
      <c r="AF1976" s="231">
        <f>FME_Ranking1[[#This Row],[Ag Land Score (Normalized, Unweighted)]]*$AD$3</f>
        <v>0</v>
      </c>
      <c r="AG197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1.060323103511646E-3</v>
      </c>
      <c r="AH1976" s="406">
        <f t="shared" si="30"/>
        <v>2021</v>
      </c>
      <c r="AI197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1.060323103511646E-3</v>
      </c>
      <c r="AJ1976" s="257">
        <f>FME_Ranking1[[#This Row],[Addition check]]-FME_Ranking1[[#This Row],[Weighted Score Based on Normalized Reported Factors]]</f>
        <v>0</v>
      </c>
      <c r="AK1976" s="178">
        <f>_xlfn.RANK.EQ(AI1976,$AI$6:$AI$2341,0)+COUNTIF($AI$6:AI1976,AI1976)-1</f>
        <v>2021</v>
      </c>
    </row>
    <row r="1977" spans="1:37" x14ac:dyDescent="0.25">
      <c r="A1977" t="s">
        <v>10415</v>
      </c>
      <c r="B1977">
        <f>_xlfn.XLOOKUP(FME_Ranking1[[#This Row],[FME ID]],FME_Input[FME_ID],FME_Input[RFPG_NUM])</f>
        <v>13</v>
      </c>
      <c r="C1977" t="str">
        <f>_xlfn.XLOOKUP(FME_Ranking1[[#This Row],[FME ID]],FME_Input[FME_ID],FME_Input[FME_NAME])</f>
        <v>Holiday Beach East Drainage System Improvement</v>
      </c>
      <c r="D1977" t="str">
        <f>_xlfn.XLOOKUP(FME_Ranking1[[#This Row],[FME ID]],FME_Input[FME_ID],FME_Input[DESCR])</f>
        <v>Construct outfall east to Aransas Wildlife Refuge and construct outfall west to HWY 35 Bypass. Construct culvert under Hwy 35 Bypass. Improve drainage channel from Hwy 35 Bypass to Copano Bay.</v>
      </c>
      <c r="E1977" s="256">
        <f>_xlfn.XLOOKUP(FME_Ranking1[[#This Row],[FME ID]],FME_Input[FME_ID],FME_Input[FME_COST])</f>
        <v>300000</v>
      </c>
      <c r="F1977" t="str">
        <f>_xlfn.XLOOKUP(FME_Ranking1[[#This Row],[FME ID]],FME_Input[FME_ID],FME_Input[EMER_NEED])</f>
        <v>Yes</v>
      </c>
      <c r="G1977">
        <f>IF(FME_Ranking!F1977="Yes",100,0)</f>
        <v>100</v>
      </c>
      <c r="H1977">
        <f>FME_Ranking1[[#This Row],[Emergency Need Score (Normalized, Unweighted)]]*$F$3</f>
        <v>0</v>
      </c>
      <c r="I1977" s="246">
        <f>_xlfn.XLOOKUP(FME_Ranking1[[#This Row],[FME ID]],FME_Input[FME_ID],FME_Input[STRUCT_100])</f>
        <v>0</v>
      </c>
      <c r="J1977" s="178">
        <f>(FME_Ranking1[[#This Row],[Structures 100 Raw]]/I$2)*100</f>
        <v>0</v>
      </c>
      <c r="K1977" s="178">
        <f>FME_Ranking1[[#This Row],[Structures 100  Score (Normalized, Unweighted)]]*$I$3</f>
        <v>0</v>
      </c>
      <c r="L1977" s="246">
        <f>_xlfn.XLOOKUP(FME_Ranking1[[#This Row],[FME ID]],FME_Input[FME_ID],FME_Input[RES_STRUCT100])</f>
        <v>0</v>
      </c>
      <c r="M1977" s="230">
        <f>(FME_Ranking1[[#This Row],[Res Structures Raw]]/L$2)*100</f>
        <v>0</v>
      </c>
      <c r="N1977" s="180">
        <f>FME_Ranking1[[#This Row],[Res Structures Score (Normalized, Unweighted)]]*$L$3</f>
        <v>0</v>
      </c>
      <c r="O1977" s="244">
        <f>_xlfn.XLOOKUP(FME_Ranking1[[#This Row],[FME ID]],FME_Input[FME_ID],FME_Input[POP100])</f>
        <v>0</v>
      </c>
      <c r="P1977" s="178">
        <f>(FME_Ranking1[[#This Row],[Pop Raw]]/$O$2)*100</f>
        <v>0</v>
      </c>
      <c r="Q1977" s="178">
        <f>FME_Ranking1[[#This Row],[Pop Score (Normalized, Unweighted)]]*$O$3</f>
        <v>0</v>
      </c>
      <c r="R1977" s="137">
        <f>_xlfn.XLOOKUP(FME_Ranking1[[#This Row],[FME ID]],FME_Input[FME_ID],FME_Input[CRITFAC100])</f>
        <v>0</v>
      </c>
      <c r="S1977" s="230">
        <f>(FME_Ranking1[[#This Row],[Critical Facilities Raw]]/$R$2)*100</f>
        <v>0</v>
      </c>
      <c r="T1977" s="180">
        <f>FME_Ranking1[[#This Row],[Critical Facilities Score (Normalized, Unweighted)]]*$R$3</f>
        <v>0</v>
      </c>
      <c r="U1977">
        <f>_xlfn.XLOOKUP(FME_Ranking1[[#This Row],[FME ID]],FME_Input[FME_ID],FME_Input[LWC])</f>
        <v>0</v>
      </c>
      <c r="V1977" s="178">
        <f>(FME_Ranking1[[#This Row],[LWC Raw]]/$U$2)*100</f>
        <v>0</v>
      </c>
      <c r="W1977" s="178">
        <f>FME_Ranking1[[#This Row],[LWC Score (Normalized, Unweighted)]]*$U$3</f>
        <v>0</v>
      </c>
      <c r="X1977" s="246">
        <f>_xlfn.XLOOKUP(FME_Ranking1[[#This Row],[FME ID]],FME_Input[FME_ID],FME_Input[ROADCLS])</f>
        <v>2</v>
      </c>
      <c r="Y1977" s="230">
        <f>(FME_Ranking1[[#This Row],[Closures Raw]]/$X$2)*100</f>
        <v>2.1028283040689728E-2</v>
      </c>
      <c r="Z1977" s="180">
        <f>FME_Ranking1[[#This Row],[Closures Score (Normalized, Unweighted)]]*$X$3</f>
        <v>1.0514141520344864E-3</v>
      </c>
      <c r="AA1977" s="253">
        <f>_xlfn.XLOOKUP(FME_Ranking1[[#This Row],[FME ID]],FME_Input[FME_ID],FME_Input[ROAD_MILES100])</f>
        <v>0.13283999264240259</v>
      </c>
      <c r="AB1977" s="178">
        <f>(FME_Ranking1[[#This Row],[Miles Raw]]/$AA$2)*100</f>
        <v>1.7466076435354351E-3</v>
      </c>
      <c r="AC1977" s="178">
        <f>FME_Ranking1[[#This Row],[Miles Score (Normalized, Unweighted)]]*$AA$3</f>
        <v>1.7466076435354352E-4</v>
      </c>
      <c r="AD1977" s="255">
        <f>_xlfn.XLOOKUP(FME_Ranking1[[#This Row],[FME ID]],FME_Input[FME_ID],FME_Input[FARMACRE100])</f>
        <v>0</v>
      </c>
      <c r="AE1977" s="230">
        <f>(FME_Ranking1[[#This Row],[Ag Land Raw]]/$AD$2)*100</f>
        <v>0</v>
      </c>
      <c r="AF1977" s="231">
        <f>FME_Ranking1[[#This Row],[Ag Land Score (Normalized, Unweighted)]]*$AD$3</f>
        <v>0</v>
      </c>
      <c r="AG197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1.2260749163880299E-3</v>
      </c>
      <c r="AH1977" s="406">
        <f t="shared" si="30"/>
        <v>2005</v>
      </c>
      <c r="AI197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1.2260749163880299E-3</v>
      </c>
      <c r="AJ1977" s="257">
        <f>FME_Ranking1[[#This Row],[Addition check]]-FME_Ranking1[[#This Row],[Weighted Score Based on Normalized Reported Factors]]</f>
        <v>0</v>
      </c>
      <c r="AK1977" s="178">
        <f>_xlfn.RANK.EQ(AI1977,$AI$6:$AI$2341,0)+COUNTIF($AI$6:AI1977,AI1977)-1</f>
        <v>2005</v>
      </c>
    </row>
    <row r="1978" spans="1:37" x14ac:dyDescent="0.25">
      <c r="A1978" t="s">
        <v>11139</v>
      </c>
      <c r="B1978">
        <f>_xlfn.XLOOKUP(FME_Ranking1[[#This Row],[FME ID]],FME_Input[FME_ID],FME_Input[RFPG_NUM])</f>
        <v>15</v>
      </c>
      <c r="C1978" t="str">
        <f>_xlfn.XLOOKUP(FME_Ranking1[[#This Row],[FME ID]],FME_Input[FME_ID],FME_Input[FME_NAME])</f>
        <v>Indian Lake Action #18</v>
      </c>
      <c r="D1978" t="str">
        <f>_xlfn.XLOOKUP(FME_Ranking1[[#This Row],[FME ID]],FME_Input[FME_ID],FME_Input[DESCR])</f>
        <v>Harden critical facilities, to include the Town Hall/Police Station, to reduce or eliminate wind, hail, and flood damage and ensure continuity of emergency services</v>
      </c>
      <c r="E1978" s="256">
        <f>_xlfn.XLOOKUP(FME_Ranking1[[#This Row],[FME ID]],FME_Input[FME_ID],FME_Input[FME_COST])</f>
        <v>27720</v>
      </c>
      <c r="F1978" t="str">
        <f>_xlfn.XLOOKUP(FME_Ranking1[[#This Row],[FME ID]],FME_Input[FME_ID],FME_Input[EMER_NEED])</f>
        <v>Yes</v>
      </c>
      <c r="G1978">
        <f>IF(FME_Ranking!F1978="Yes",100,0)</f>
        <v>100</v>
      </c>
      <c r="H1978">
        <f>FME_Ranking1[[#This Row],[Emergency Need Score (Normalized, Unweighted)]]*$F$3</f>
        <v>0</v>
      </c>
      <c r="I1978" s="246">
        <f>_xlfn.XLOOKUP(FME_Ranking1[[#This Row],[FME ID]],FME_Input[FME_ID],FME_Input[STRUCT_100])</f>
        <v>0</v>
      </c>
      <c r="J1978" s="178">
        <f>(FME_Ranking1[[#This Row],[Structures 100 Raw]]/I$2)*100</f>
        <v>0</v>
      </c>
      <c r="K1978" s="178">
        <f>FME_Ranking1[[#This Row],[Structures 100  Score (Normalized, Unweighted)]]*$I$3</f>
        <v>0</v>
      </c>
      <c r="L1978" s="246">
        <f>_xlfn.XLOOKUP(FME_Ranking1[[#This Row],[FME ID]],FME_Input[FME_ID],FME_Input[RES_STRUCT100])</f>
        <v>9</v>
      </c>
      <c r="M1978" s="230">
        <f>(FME_Ranking1[[#This Row],[Res Structures Raw]]/L$2)*100</f>
        <v>6.3747503222790439E-3</v>
      </c>
      <c r="N1978" s="180">
        <f>FME_Ranking1[[#This Row],[Res Structures Score (Normalized, Unweighted)]]*$L$3</f>
        <v>6.3747503222790446E-4</v>
      </c>
      <c r="O1978" s="244">
        <f>_xlfn.XLOOKUP(FME_Ranking1[[#This Row],[FME ID]],FME_Input[FME_ID],FME_Input[POP100])</f>
        <v>25</v>
      </c>
      <c r="P1978" s="178">
        <f>(FME_Ranking1[[#This Row],[Pop Raw]]/$O$2)*100</f>
        <v>2.559382799719082E-3</v>
      </c>
      <c r="Q1978" s="178">
        <f>FME_Ranking1[[#This Row],[Pop Score (Normalized, Unweighted)]]*$O$3</f>
        <v>3.8390741995786228E-4</v>
      </c>
      <c r="R1978" s="137">
        <f>_xlfn.XLOOKUP(FME_Ranking1[[#This Row],[FME ID]],FME_Input[FME_ID],FME_Input[CRITFAC100])</f>
        <v>0</v>
      </c>
      <c r="S1978" s="230">
        <f>(FME_Ranking1[[#This Row],[Critical Facilities Raw]]/$R$2)*100</f>
        <v>0</v>
      </c>
      <c r="T1978" s="180">
        <f>FME_Ranking1[[#This Row],[Critical Facilities Score (Normalized, Unweighted)]]*$R$3</f>
        <v>0</v>
      </c>
      <c r="U1978">
        <f>_xlfn.XLOOKUP(FME_Ranking1[[#This Row],[FME ID]],FME_Input[FME_ID],FME_Input[LWC])</f>
        <v>0</v>
      </c>
      <c r="V1978" s="178">
        <f>(FME_Ranking1[[#This Row],[LWC Raw]]/$U$2)*100</f>
        <v>0</v>
      </c>
      <c r="W1978" s="178">
        <f>FME_Ranking1[[#This Row],[LWC Score (Normalized, Unweighted)]]*$U$3</f>
        <v>0</v>
      </c>
      <c r="X1978" s="246">
        <f>_xlfn.XLOOKUP(FME_Ranking1[[#This Row],[FME ID]],FME_Input[FME_ID],FME_Input[ROADCLS])</f>
        <v>0</v>
      </c>
      <c r="Y1978" s="230">
        <f>(FME_Ranking1[[#This Row],[Closures Raw]]/$X$2)*100</f>
        <v>0</v>
      </c>
      <c r="Z1978" s="180">
        <f>FME_Ranking1[[#This Row],[Closures Score (Normalized, Unweighted)]]*$X$3</f>
        <v>0</v>
      </c>
      <c r="AA1978" s="253">
        <f>_xlfn.XLOOKUP(FME_Ranking1[[#This Row],[FME ID]],FME_Input[FME_ID],FME_Input[ROAD_MILES100])</f>
        <v>0.15513500571250921</v>
      </c>
      <c r="AB1978" s="178">
        <f>(FME_Ranking1[[#This Row],[Miles Raw]]/$AA$2)*100</f>
        <v>2.0397470774241181E-3</v>
      </c>
      <c r="AC1978" s="178">
        <f>FME_Ranking1[[#This Row],[Miles Score (Normalized, Unweighted)]]*$AA$3</f>
        <v>2.0397470774241182E-4</v>
      </c>
      <c r="AD1978" s="255">
        <f>_xlfn.XLOOKUP(FME_Ranking1[[#This Row],[FME ID]],FME_Input[FME_ID],FME_Input[FARMACRE100])</f>
        <v>0</v>
      </c>
      <c r="AE1978" s="230">
        <f>(FME_Ranking1[[#This Row],[Ag Land Raw]]/$AD$2)*100</f>
        <v>0</v>
      </c>
      <c r="AF1978" s="231">
        <f>FME_Ranking1[[#This Row],[Ag Land Score (Normalized, Unweighted)]]*$AD$3</f>
        <v>0</v>
      </c>
      <c r="AG197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1.2253571599281784E-3</v>
      </c>
      <c r="AH1978" s="406">
        <f t="shared" si="30"/>
        <v>2006</v>
      </c>
      <c r="AI197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1.2253571599281784E-3</v>
      </c>
      <c r="AJ1978" s="257">
        <f>FME_Ranking1[[#This Row],[Addition check]]-FME_Ranking1[[#This Row],[Weighted Score Based on Normalized Reported Factors]]</f>
        <v>0</v>
      </c>
      <c r="AK1978" s="178">
        <f>_xlfn.RANK.EQ(AI1978,$AI$6:$AI$2341,0)+COUNTIF($AI$6:AI1978,AI1978)-1</f>
        <v>2006</v>
      </c>
    </row>
    <row r="1979" spans="1:37" x14ac:dyDescent="0.25">
      <c r="A1979" t="s">
        <v>9423</v>
      </c>
      <c r="B1979">
        <f>_xlfn.XLOOKUP(FME_Ranking1[[#This Row],[FME ID]],FME_Input[FME_ID],FME_Input[RFPG_NUM])</f>
        <v>12</v>
      </c>
      <c r="C1979" t="str">
        <f>_xlfn.XLOOKUP(FME_Ranking1[[#This Row],[FME ID]],FME_Input[FME_ID],FME_Input[FME_NAME])</f>
        <v>French Creek RSWF</v>
      </c>
      <c r="D1979" t="str">
        <f>_xlfn.XLOOKUP(FME_Ranking1[[#This Row],[FME ID]],FME_Input[FME_ID],FME_Input[DESCR])</f>
        <v>An on-channel RSWF provides approximately 150 acre-feet of storag</v>
      </c>
      <c r="E1979" s="256">
        <f>_xlfn.XLOOKUP(FME_Ranking1[[#This Row],[FME ID]],FME_Input[FME_ID],FME_Input[FME_COST])</f>
        <v>19117088</v>
      </c>
      <c r="F1979" t="str">
        <f>_xlfn.XLOOKUP(FME_Ranking1[[#This Row],[FME ID]],FME_Input[FME_ID],FME_Input[EMER_NEED])</f>
        <v>No</v>
      </c>
      <c r="G1979">
        <f>IF(FME_Ranking!F1979="Yes",100,0)</f>
        <v>0</v>
      </c>
      <c r="H1979">
        <f>FME_Ranking1[[#This Row],[Emergency Need Score (Normalized, Unweighted)]]*$F$3</f>
        <v>0</v>
      </c>
      <c r="I1979" s="246">
        <f>_xlfn.XLOOKUP(FME_Ranking1[[#This Row],[FME ID]],FME_Input[FME_ID],FME_Input[STRUCT_100])</f>
        <v>4</v>
      </c>
      <c r="J1979" s="178">
        <f>(FME_Ranking1[[#This Row],[Structures 100 Raw]]/I$2)*100</f>
        <v>2.1419697553870542E-3</v>
      </c>
      <c r="K1979" s="178">
        <f>FME_Ranking1[[#This Row],[Structures 100  Score (Normalized, Unweighted)]]*$I$3</f>
        <v>3.2129546330805813E-4</v>
      </c>
      <c r="L1979" s="246">
        <f>_xlfn.XLOOKUP(FME_Ranking1[[#This Row],[FME ID]],FME_Input[FME_ID],FME_Input[RES_STRUCT100])</f>
        <v>0</v>
      </c>
      <c r="M1979" s="230">
        <f>(FME_Ranking1[[#This Row],[Res Structures Raw]]/L$2)*100</f>
        <v>0</v>
      </c>
      <c r="N1979" s="180">
        <f>FME_Ranking1[[#This Row],[Res Structures Score (Normalized, Unweighted)]]*$L$3</f>
        <v>0</v>
      </c>
      <c r="O1979" s="244">
        <f>_xlfn.XLOOKUP(FME_Ranking1[[#This Row],[FME ID]],FME_Input[FME_ID],FME_Input[POP100])</f>
        <v>11</v>
      </c>
      <c r="P1979" s="178">
        <f>(FME_Ranking1[[#This Row],[Pop Raw]]/$O$2)*100</f>
        <v>1.1261284318763961E-3</v>
      </c>
      <c r="Q1979" s="178">
        <f>FME_Ranking1[[#This Row],[Pop Score (Normalized, Unweighted)]]*$O$3</f>
        <v>1.6891926478145941E-4</v>
      </c>
      <c r="R1979" s="137">
        <f>_xlfn.XLOOKUP(FME_Ranking1[[#This Row],[FME ID]],FME_Input[FME_ID],FME_Input[CRITFAC100])</f>
        <v>0</v>
      </c>
      <c r="S1979" s="230">
        <f>(FME_Ranking1[[#This Row],[Critical Facilities Raw]]/$R$2)*100</f>
        <v>0</v>
      </c>
      <c r="T1979" s="180">
        <f>FME_Ranking1[[#This Row],[Critical Facilities Score (Normalized, Unweighted)]]*$R$3</f>
        <v>0</v>
      </c>
      <c r="U1979">
        <f>_xlfn.XLOOKUP(FME_Ranking1[[#This Row],[FME ID]],FME_Input[FME_ID],FME_Input[LWC])</f>
        <v>0</v>
      </c>
      <c r="V1979" s="178">
        <f>(FME_Ranking1[[#This Row],[LWC Raw]]/$U$2)*100</f>
        <v>0</v>
      </c>
      <c r="W1979" s="178">
        <f>FME_Ranking1[[#This Row],[LWC Score (Normalized, Unweighted)]]*$U$3</f>
        <v>0</v>
      </c>
      <c r="X1979" s="246">
        <f>_xlfn.XLOOKUP(FME_Ranking1[[#This Row],[FME ID]],FME_Input[FME_ID],FME_Input[ROADCLS])</f>
        <v>1</v>
      </c>
      <c r="Y1979" s="230">
        <f>(FME_Ranking1[[#This Row],[Closures Raw]]/$X$2)*100</f>
        <v>1.0514141520344864E-2</v>
      </c>
      <c r="Z1979" s="180">
        <f>FME_Ranking1[[#This Row],[Closures Score (Normalized, Unweighted)]]*$X$3</f>
        <v>5.2570707601724321E-4</v>
      </c>
      <c r="AA1979" s="253">
        <f>_xlfn.XLOOKUP(FME_Ranking1[[#This Row],[FME ID]],FME_Input[FME_ID],FME_Input[ROAD_MILES100])</f>
        <v>0.25</v>
      </c>
      <c r="AB1979" s="178">
        <f>(FME_Ranking1[[#This Row],[Miles Raw]]/$AA$2)*100</f>
        <v>3.2870516039495722E-3</v>
      </c>
      <c r="AC1979" s="178">
        <f>FME_Ranking1[[#This Row],[Miles Score (Normalized, Unweighted)]]*$AA$3</f>
        <v>3.2870516039495724E-4</v>
      </c>
      <c r="AD1979" s="255">
        <f>_xlfn.XLOOKUP(FME_Ranking1[[#This Row],[FME ID]],FME_Input[FME_ID],FME_Input[FARMACRE100])</f>
        <v>0</v>
      </c>
      <c r="AE1979" s="230">
        <f>(FME_Ranking1[[#This Row],[Ag Land Raw]]/$AD$2)*100</f>
        <v>0</v>
      </c>
      <c r="AF1979" s="231">
        <f>FME_Ranking1[[#This Row],[Ag Land Score (Normalized, Unweighted)]]*$AD$3</f>
        <v>0</v>
      </c>
      <c r="AG197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1.3446269645017179E-3</v>
      </c>
      <c r="AH1979" s="406">
        <f t="shared" si="30"/>
        <v>1995</v>
      </c>
      <c r="AI197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1.3446269645017179E-3</v>
      </c>
      <c r="AJ1979" s="257">
        <f>FME_Ranking1[[#This Row],[Addition check]]-FME_Ranking1[[#This Row],[Weighted Score Based on Normalized Reported Factors]]</f>
        <v>0</v>
      </c>
      <c r="AK1979" s="178">
        <f>_xlfn.RANK.EQ(AI1979,$AI$6:$AI$2341,0)+COUNTIF($AI$6:AI1979,AI1979)-1</f>
        <v>1995</v>
      </c>
    </row>
    <row r="1980" spans="1:37" x14ac:dyDescent="0.25">
      <c r="A1980" t="s">
        <v>10705</v>
      </c>
      <c r="B1980">
        <f>_xlfn.XLOOKUP(FME_Ranking1[[#This Row],[FME ID]],FME_Input[FME_ID],FME_Input[RFPG_NUM])</f>
        <v>13</v>
      </c>
      <c r="C1980" t="str">
        <f>_xlfn.XLOOKUP(FME_Ranking1[[#This Row],[FME ID]],FME_Input[FME_ID],FME_Input[FME_NAME])</f>
        <v>Kinney St. Pump Station Inlet Modifications</v>
      </c>
      <c r="D1980" t="str">
        <f>_xlfn.XLOOKUP(FME_Ranking1[[#This Row],[FME ID]],FME_Input[FME_ID],FME_Input[DESCR])</f>
        <v>It is recommended that modifications be made to increase the size and capacity of the inlet to the Kinney Street Pump Station.</v>
      </c>
      <c r="E1980" s="256">
        <f>_xlfn.XLOOKUP(FME_Ranking1[[#This Row],[FME ID]],FME_Input[FME_ID],FME_Input[FME_COST])</f>
        <v>117000</v>
      </c>
      <c r="F1980" t="str">
        <f>_xlfn.XLOOKUP(FME_Ranking1[[#This Row],[FME ID]],FME_Input[FME_ID],FME_Input[EMER_NEED])</f>
        <v>Yes</v>
      </c>
      <c r="G1980">
        <f>IF(FME_Ranking!F1980="Yes",100,0)</f>
        <v>100</v>
      </c>
      <c r="H1980">
        <f>FME_Ranking1[[#This Row],[Emergency Need Score (Normalized, Unweighted)]]*$F$3</f>
        <v>0</v>
      </c>
      <c r="I1980" s="246">
        <f>_xlfn.XLOOKUP(FME_Ranking1[[#This Row],[FME ID]],FME_Input[FME_ID],FME_Input[STRUCT_100])</f>
        <v>2</v>
      </c>
      <c r="J1980" s="178">
        <f>(FME_Ranking1[[#This Row],[Structures 100 Raw]]/I$2)*100</f>
        <v>1.0709848776935271E-3</v>
      </c>
      <c r="K1980" s="178">
        <f>FME_Ranking1[[#This Row],[Structures 100  Score (Normalized, Unweighted)]]*$I$3</f>
        <v>1.6064773165402907E-4</v>
      </c>
      <c r="L1980" s="246">
        <f>_xlfn.XLOOKUP(FME_Ranking1[[#This Row],[FME ID]],FME_Input[FME_ID],FME_Input[RES_STRUCT100])</f>
        <v>0</v>
      </c>
      <c r="M1980" s="230">
        <f>(FME_Ranking1[[#This Row],[Res Structures Raw]]/L$2)*100</f>
        <v>0</v>
      </c>
      <c r="N1980" s="180">
        <f>FME_Ranking1[[#This Row],[Res Structures Score (Normalized, Unweighted)]]*$L$3</f>
        <v>0</v>
      </c>
      <c r="O1980" s="244">
        <f>_xlfn.XLOOKUP(FME_Ranking1[[#This Row],[FME ID]],FME_Input[FME_ID],FME_Input[POP100])</f>
        <v>55</v>
      </c>
      <c r="P1980" s="178">
        <f>(FME_Ranking1[[#This Row],[Pop Raw]]/$O$2)*100</f>
        <v>5.6306421593819806E-3</v>
      </c>
      <c r="Q1980" s="178">
        <f>FME_Ranking1[[#This Row],[Pop Score (Normalized, Unweighted)]]*$O$3</f>
        <v>8.4459632390729712E-4</v>
      </c>
      <c r="R1980" s="137">
        <f>_xlfn.XLOOKUP(FME_Ranking1[[#This Row],[FME ID]],FME_Input[FME_ID],FME_Input[CRITFAC100])</f>
        <v>0</v>
      </c>
      <c r="S1980" s="230">
        <f>(FME_Ranking1[[#This Row],[Critical Facilities Raw]]/$R$2)*100</f>
        <v>0</v>
      </c>
      <c r="T1980" s="180">
        <f>FME_Ranking1[[#This Row],[Critical Facilities Score (Normalized, Unweighted)]]*$R$3</f>
        <v>0</v>
      </c>
      <c r="U1980">
        <f>_xlfn.XLOOKUP(FME_Ranking1[[#This Row],[FME ID]],FME_Input[FME_ID],FME_Input[LWC])</f>
        <v>0</v>
      </c>
      <c r="V1980" s="178">
        <f>(FME_Ranking1[[#This Row],[LWC Raw]]/$U$2)*100</f>
        <v>0</v>
      </c>
      <c r="W1980" s="178">
        <f>FME_Ranking1[[#This Row],[LWC Score (Normalized, Unweighted)]]*$U$3</f>
        <v>0</v>
      </c>
      <c r="X1980" s="246">
        <f>_xlfn.XLOOKUP(FME_Ranking1[[#This Row],[FME ID]],FME_Input[FME_ID],FME_Input[ROADCLS])</f>
        <v>0</v>
      </c>
      <c r="Y1980" s="230">
        <f>(FME_Ranking1[[#This Row],[Closures Raw]]/$X$2)*100</f>
        <v>0</v>
      </c>
      <c r="Z1980" s="180">
        <f>FME_Ranking1[[#This Row],[Closures Score (Normalized, Unweighted)]]*$X$3</f>
        <v>0</v>
      </c>
      <c r="AA1980" s="253">
        <f>_xlfn.XLOOKUP(FME_Ranking1[[#This Row],[FME ID]],FME_Input[FME_ID],FME_Input[ROAD_MILES100])</f>
        <v>0</v>
      </c>
      <c r="AB1980" s="178">
        <f>(FME_Ranking1[[#This Row],[Miles Raw]]/$AA$2)*100</f>
        <v>0</v>
      </c>
      <c r="AC1980" s="178">
        <f>FME_Ranking1[[#This Row],[Miles Score (Normalized, Unweighted)]]*$AA$3</f>
        <v>0</v>
      </c>
      <c r="AD1980" s="255">
        <f>_xlfn.XLOOKUP(FME_Ranking1[[#This Row],[FME ID]],FME_Input[FME_ID],FME_Input[FARMACRE100])</f>
        <v>0</v>
      </c>
      <c r="AE1980" s="230">
        <f>(FME_Ranking1[[#This Row],[Ag Land Raw]]/$AD$2)*100</f>
        <v>0</v>
      </c>
      <c r="AF1980" s="231">
        <f>FME_Ranking1[[#This Row],[Ag Land Score (Normalized, Unweighted)]]*$AD$3</f>
        <v>0</v>
      </c>
      <c r="AG198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1.0052440555613261E-3</v>
      </c>
      <c r="AH1980" s="406">
        <f t="shared" si="30"/>
        <v>2024</v>
      </c>
      <c r="AI198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1.0052440555613261E-3</v>
      </c>
      <c r="AJ1980" s="257">
        <f>FME_Ranking1[[#This Row],[Addition check]]-FME_Ranking1[[#This Row],[Weighted Score Based on Normalized Reported Factors]]</f>
        <v>0</v>
      </c>
      <c r="AK1980" s="178">
        <f>_xlfn.RANK.EQ(AI1980,$AI$6:$AI$2341,0)+COUNTIF($AI$6:AI1980,AI1980)-1</f>
        <v>2024</v>
      </c>
    </row>
    <row r="1981" spans="1:37" x14ac:dyDescent="0.25">
      <c r="A1981" t="s">
        <v>3158</v>
      </c>
      <c r="B1981">
        <f>_xlfn.XLOOKUP(FME_Ranking1[[#This Row],[FME ID]],FME_Input[FME_ID],FME_Input[RFPG_NUM])</f>
        <v>1</v>
      </c>
      <c r="C1981" t="str">
        <f>_xlfn.XLOOKUP(FME_Ranking1[[#This Row],[FME ID]],FME_Input[FME_ID],FME_Input[FME_NAME])</f>
        <v>Electra City Drainage Master Plan</v>
      </c>
      <c r="D1981" t="str">
        <f>_xlfn.XLOOKUP(FME_Ranking1[[#This Row],[FME ID]],FME_Input[FME_ID],FME_Input[DESCR])</f>
        <v xml:space="preserve">Perform H&amp;H modeling, develop conceptual alternatives and OPCC, and rank projects; selected based on the needs analysis </v>
      </c>
      <c r="E1981" s="256">
        <f>_xlfn.XLOOKUP(FME_Ranking1[[#This Row],[FME ID]],FME_Input[FME_ID],FME_Input[FME_COST])</f>
        <v>250000</v>
      </c>
      <c r="F1981" t="str">
        <f>_xlfn.XLOOKUP(FME_Ranking1[[#This Row],[FME ID]],FME_Input[FME_ID],FME_Input[EMER_NEED])</f>
        <v>No</v>
      </c>
      <c r="G1981">
        <f>IF(FME_Ranking!F1981="Yes",100,0)</f>
        <v>0</v>
      </c>
      <c r="H1981">
        <f>FME_Ranking1[[#This Row],[Emergency Need Score (Normalized, Unweighted)]]*$F$3</f>
        <v>0</v>
      </c>
      <c r="I1981" s="246">
        <f>_xlfn.XLOOKUP(FME_Ranking1[[#This Row],[FME ID]],FME_Input[FME_ID],FME_Input[STRUCT_100])</f>
        <v>7</v>
      </c>
      <c r="J1981" s="178">
        <f>(FME_Ranking1[[#This Row],[Structures 100 Raw]]/I$2)*100</f>
        <v>3.7484470719273445E-3</v>
      </c>
      <c r="K1981" s="178">
        <f>FME_Ranking1[[#This Row],[Structures 100  Score (Normalized, Unweighted)]]*$I$3</f>
        <v>5.622670607891017E-4</v>
      </c>
      <c r="L1981" s="246">
        <f>_xlfn.XLOOKUP(FME_Ranking1[[#This Row],[FME ID]],FME_Input[FME_ID],FME_Input[RES_STRUCT100])</f>
        <v>2</v>
      </c>
      <c r="M1981" s="230">
        <f>(FME_Ranking1[[#This Row],[Res Structures Raw]]/L$2)*100</f>
        <v>1.4166111827286765E-3</v>
      </c>
      <c r="N1981" s="180">
        <f>FME_Ranking1[[#This Row],[Res Structures Score (Normalized, Unweighted)]]*$L$3</f>
        <v>1.4166111827286767E-4</v>
      </c>
      <c r="O1981" s="244">
        <f>_xlfn.XLOOKUP(FME_Ranking1[[#This Row],[FME ID]],FME_Input[FME_ID],FME_Input[POP100])</f>
        <v>17</v>
      </c>
      <c r="P1981" s="178">
        <f>(FME_Ranking1[[#This Row],[Pop Raw]]/$O$2)*100</f>
        <v>1.7403803038089759E-3</v>
      </c>
      <c r="Q1981" s="178">
        <f>FME_Ranking1[[#This Row],[Pop Score (Normalized, Unweighted)]]*$O$3</f>
        <v>2.6105704557134637E-4</v>
      </c>
      <c r="R1981" s="137">
        <f>_xlfn.XLOOKUP(FME_Ranking1[[#This Row],[FME ID]],FME_Input[FME_ID],FME_Input[CRITFAC100])</f>
        <v>0</v>
      </c>
      <c r="S1981" s="230">
        <f>(FME_Ranking1[[#This Row],[Critical Facilities Raw]]/$R$2)*100</f>
        <v>0</v>
      </c>
      <c r="T1981" s="180">
        <f>FME_Ranking1[[#This Row],[Critical Facilities Score (Normalized, Unweighted)]]*$R$3</f>
        <v>0</v>
      </c>
      <c r="U1981">
        <f>_xlfn.XLOOKUP(FME_Ranking1[[#This Row],[FME ID]],FME_Input[FME_ID],FME_Input[LWC])</f>
        <v>0</v>
      </c>
      <c r="V1981" s="178">
        <f>(FME_Ranking1[[#This Row],[LWC Raw]]/$U$2)*100</f>
        <v>0</v>
      </c>
      <c r="W1981" s="178">
        <f>FME_Ranking1[[#This Row],[LWC Score (Normalized, Unweighted)]]*$U$3</f>
        <v>0</v>
      </c>
      <c r="X1981" s="246">
        <f>_xlfn.XLOOKUP(FME_Ranking1[[#This Row],[FME ID]],FME_Input[FME_ID],FME_Input[ROADCLS])</f>
        <v>0</v>
      </c>
      <c r="Y1981" s="230">
        <f>(FME_Ranking1[[#This Row],[Closures Raw]]/$X$2)*100</f>
        <v>0</v>
      </c>
      <c r="Z1981" s="180">
        <f>FME_Ranking1[[#This Row],[Closures Score (Normalized, Unweighted)]]*$X$3</f>
        <v>0</v>
      </c>
      <c r="AA1981" s="253">
        <f>_xlfn.XLOOKUP(FME_Ranking1[[#This Row],[FME ID]],FME_Input[FME_ID],FME_Input[ROAD_MILES100])</f>
        <v>1.732789039611816</v>
      </c>
      <c r="AB1981" s="178">
        <f>(FME_Ranking1[[#This Row],[Miles Raw]]/$AA$2)*100</f>
        <v>2.2783067967849034E-2</v>
      </c>
      <c r="AC1981" s="178">
        <f>FME_Ranking1[[#This Row],[Miles Score (Normalized, Unweighted)]]*$AA$3</f>
        <v>2.2783067967849036E-3</v>
      </c>
      <c r="AD1981" s="255">
        <f>_xlfn.XLOOKUP(FME_Ranking1[[#This Row],[FME ID]],FME_Input[FME_ID],FME_Input[FARMACRE100])</f>
        <v>13.39342021942139</v>
      </c>
      <c r="AE1981" s="230">
        <f>(FME_Ranking1[[#This Row],[Ag Land Raw]]/$AD$2)*100</f>
        <v>5.5228469415391154E-4</v>
      </c>
      <c r="AF1981" s="231">
        <f>FME_Ranking1[[#This Row],[Ag Land Score (Normalized, Unweighted)]]*$AD$3</f>
        <v>2.7614234707695577E-5</v>
      </c>
      <c r="AG198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3.2709062561259148E-3</v>
      </c>
      <c r="AH1981" s="406">
        <f t="shared" si="30"/>
        <v>1889</v>
      </c>
      <c r="AI198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3.2709062561259148E-3</v>
      </c>
      <c r="AJ1981" s="257">
        <f>FME_Ranking1[[#This Row],[Addition check]]-FME_Ranking1[[#This Row],[Weighted Score Based on Normalized Reported Factors]]</f>
        <v>0</v>
      </c>
      <c r="AK1981" s="178">
        <f>_xlfn.RANK.EQ(AI1981,$AI$6:$AI$2341,0)+COUNTIF($AI$6:AI1981,AI1981)-1</f>
        <v>1889</v>
      </c>
    </row>
    <row r="1982" spans="1:37" x14ac:dyDescent="0.25">
      <c r="A1982" t="s">
        <v>2614</v>
      </c>
      <c r="B1982">
        <f>_xlfn.XLOOKUP(FME_Ranking1[[#This Row],[FME ID]],FME_Input[FME_ID],FME_Input[RFPG_NUM])</f>
        <v>1</v>
      </c>
      <c r="C1982" t="str">
        <f>_xlfn.XLOOKUP(FME_Ranking1[[#This Row],[FME ID]],FME_Input[FME_ID],FME_Input[FME_NAME])</f>
        <v>Canadian City Drainage Master Plan</v>
      </c>
      <c r="D1982" t="str">
        <f>_xlfn.XLOOKUP(FME_Ranking1[[#This Row],[FME ID]],FME_Input[FME_ID],FME_Input[DESCR])</f>
        <v xml:space="preserve">Perform H&amp;H modeling, develop conceptual alternatives and OPCC, and rank projects; selected based on HMAPs </v>
      </c>
      <c r="E1982" s="256">
        <f>_xlfn.XLOOKUP(FME_Ranking1[[#This Row],[FME ID]],FME_Input[FME_ID],FME_Input[FME_COST])</f>
        <v>250000</v>
      </c>
      <c r="F1982" t="str">
        <f>_xlfn.XLOOKUP(FME_Ranking1[[#This Row],[FME ID]],FME_Input[FME_ID],FME_Input[EMER_NEED])</f>
        <v>No</v>
      </c>
      <c r="G1982">
        <f>IF(FME_Ranking!F1982="Yes",100,0)</f>
        <v>0</v>
      </c>
      <c r="H1982">
        <f>FME_Ranking1[[#This Row],[Emergency Need Score (Normalized, Unweighted)]]*$F$3</f>
        <v>0</v>
      </c>
      <c r="I1982" s="246">
        <f>_xlfn.XLOOKUP(FME_Ranking1[[#This Row],[FME ID]],FME_Input[FME_ID],FME_Input[STRUCT_100])</f>
        <v>10</v>
      </c>
      <c r="J1982" s="178">
        <f>(FME_Ranking1[[#This Row],[Structures 100 Raw]]/I$2)*100</f>
        <v>5.3549243884676344E-3</v>
      </c>
      <c r="K1982" s="178">
        <f>FME_Ranking1[[#This Row],[Structures 100  Score (Normalized, Unweighted)]]*$I$3</f>
        <v>8.0323865827014516E-4</v>
      </c>
      <c r="L1982" s="246">
        <f>_xlfn.XLOOKUP(FME_Ranking1[[#This Row],[FME ID]],FME_Input[FME_ID],FME_Input[RES_STRUCT100])</f>
        <v>0</v>
      </c>
      <c r="M1982" s="230">
        <f>(FME_Ranking1[[#This Row],[Res Structures Raw]]/L$2)*100</f>
        <v>0</v>
      </c>
      <c r="N1982" s="180">
        <f>FME_Ranking1[[#This Row],[Res Structures Score (Normalized, Unweighted)]]*$L$3</f>
        <v>0</v>
      </c>
      <c r="O1982" s="244">
        <f>_xlfn.XLOOKUP(FME_Ranking1[[#This Row],[FME ID]],FME_Input[FME_ID],FME_Input[POP100])</f>
        <v>12</v>
      </c>
      <c r="P1982" s="178">
        <f>(FME_Ranking1[[#This Row],[Pop Raw]]/$O$2)*100</f>
        <v>1.2285037438651595E-3</v>
      </c>
      <c r="Q1982" s="178">
        <f>FME_Ranking1[[#This Row],[Pop Score (Normalized, Unweighted)]]*$O$3</f>
        <v>1.8427556157977391E-4</v>
      </c>
      <c r="R1982" s="137">
        <f>_xlfn.XLOOKUP(FME_Ranking1[[#This Row],[FME ID]],FME_Input[FME_ID],FME_Input[CRITFAC100])</f>
        <v>0</v>
      </c>
      <c r="S1982" s="230">
        <f>(FME_Ranking1[[#This Row],[Critical Facilities Raw]]/$R$2)*100</f>
        <v>0</v>
      </c>
      <c r="T1982" s="180">
        <f>FME_Ranking1[[#This Row],[Critical Facilities Score (Normalized, Unweighted)]]*$R$3</f>
        <v>0</v>
      </c>
      <c r="U1982">
        <f>_xlfn.XLOOKUP(FME_Ranking1[[#This Row],[FME ID]],FME_Input[FME_ID],FME_Input[LWC])</f>
        <v>0</v>
      </c>
      <c r="V1982" s="178">
        <f>(FME_Ranking1[[#This Row],[LWC Raw]]/$U$2)*100</f>
        <v>0</v>
      </c>
      <c r="W1982" s="178">
        <f>FME_Ranking1[[#This Row],[LWC Score (Normalized, Unweighted)]]*$U$3</f>
        <v>0</v>
      </c>
      <c r="X1982" s="246">
        <f>_xlfn.XLOOKUP(FME_Ranking1[[#This Row],[FME ID]],FME_Input[FME_ID],FME_Input[ROADCLS])</f>
        <v>0</v>
      </c>
      <c r="Y1982" s="230">
        <f>(FME_Ranking1[[#This Row],[Closures Raw]]/$X$2)*100</f>
        <v>0</v>
      </c>
      <c r="Z1982" s="180">
        <f>FME_Ranking1[[#This Row],[Closures Score (Normalized, Unweighted)]]*$X$3</f>
        <v>0</v>
      </c>
      <c r="AA1982" s="253">
        <f>_xlfn.XLOOKUP(FME_Ranking1[[#This Row],[FME ID]],FME_Input[FME_ID],FME_Input[ROAD_MILES100])</f>
        <v>0.25539010763168329</v>
      </c>
      <c r="AB1982" s="178">
        <f>(FME_Ranking1[[#This Row],[Miles Raw]]/$AA$2)*100</f>
        <v>3.3579218516943139E-3</v>
      </c>
      <c r="AC1982" s="178">
        <f>FME_Ranking1[[#This Row],[Miles Score (Normalized, Unweighted)]]*$AA$3</f>
        <v>3.357921851694314E-4</v>
      </c>
      <c r="AD1982" s="255">
        <f>_xlfn.XLOOKUP(FME_Ranking1[[#This Row],[FME ID]],FME_Input[FME_ID],FME_Input[FARMACRE100])</f>
        <v>1.103107810020447</v>
      </c>
      <c r="AE1982" s="230">
        <f>(FME_Ranking1[[#This Row],[Ag Land Raw]]/$AD$2)*100</f>
        <v>4.5487228019061823E-5</v>
      </c>
      <c r="AF1982" s="231">
        <f>FME_Ranking1[[#This Row],[Ag Land Score (Normalized, Unweighted)]]*$AD$3</f>
        <v>2.2743614009530911E-6</v>
      </c>
      <c r="AG198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1.3255807664203036E-3</v>
      </c>
      <c r="AH1982" s="406">
        <f t="shared" si="30"/>
        <v>1997</v>
      </c>
      <c r="AI198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1.3255807664203036E-3</v>
      </c>
      <c r="AJ1982" s="257">
        <f>FME_Ranking1[[#This Row],[Addition check]]-FME_Ranking1[[#This Row],[Weighted Score Based on Normalized Reported Factors]]</f>
        <v>0</v>
      </c>
      <c r="AK1982" s="178">
        <f>_xlfn.RANK.EQ(AI1982,$AI$6:$AI$2341,0)+COUNTIF($AI$6:AI1982,AI1982)-1</f>
        <v>1997</v>
      </c>
    </row>
    <row r="1983" spans="1:37" x14ac:dyDescent="0.25">
      <c r="A1983" t="s">
        <v>6277</v>
      </c>
      <c r="B1983">
        <f>_xlfn.XLOOKUP(FME_Ranking1[[#This Row],[FME ID]],FME_Input[FME_ID],FME_Input[RFPG_NUM])</f>
        <v>5</v>
      </c>
      <c r="C1983" t="str">
        <f>_xlfn.XLOOKUP(FME_Ranking1[[#This Row],[FME ID]],FME_Input[FME_ID],FME_Input[FME_NAME])</f>
        <v>Upper Johns Gulley Upgrade Drainage Channel</v>
      </c>
      <c r="D1983" t="str">
        <f>_xlfn.XLOOKUP(FME_Ranking1[[#This Row],[FME ID]],FME_Input[FME_ID],FME_Input[DESCR])</f>
        <v>H&amp;H study to identify alternatives for Upper Johns Gulley drainage improvements</v>
      </c>
      <c r="E1983" s="256">
        <f>_xlfn.XLOOKUP(FME_Ranking1[[#This Row],[FME ID]],FME_Input[FME_ID],FME_Input[FME_COST])</f>
        <v>100000</v>
      </c>
      <c r="F1983" t="str">
        <f>_xlfn.XLOOKUP(FME_Ranking1[[#This Row],[FME ID]],FME_Input[FME_ID],FME_Input[EMER_NEED])</f>
        <v>Yes</v>
      </c>
      <c r="G1983">
        <f>IF(FME_Ranking!F1983="Yes",100,0)</f>
        <v>100</v>
      </c>
      <c r="H1983">
        <f>FME_Ranking1[[#This Row],[Emergency Need Score (Normalized, Unweighted)]]*$F$3</f>
        <v>0</v>
      </c>
      <c r="I1983" s="246">
        <f>_xlfn.XLOOKUP(FME_Ranking1[[#This Row],[FME ID]],FME_Input[FME_ID],FME_Input[STRUCT_100])</f>
        <v>0</v>
      </c>
      <c r="J1983" s="178">
        <f>(FME_Ranking1[[#This Row],[Structures 100 Raw]]/I$2)*100</f>
        <v>0</v>
      </c>
      <c r="K1983" s="178">
        <f>FME_Ranking1[[#This Row],[Structures 100  Score (Normalized, Unweighted)]]*$I$3</f>
        <v>0</v>
      </c>
      <c r="L1983" s="246">
        <f>_xlfn.XLOOKUP(FME_Ranking1[[#This Row],[FME ID]],FME_Input[FME_ID],FME_Input[RES_STRUCT100])</f>
        <v>0</v>
      </c>
      <c r="M1983" s="230">
        <f>(FME_Ranking1[[#This Row],[Res Structures Raw]]/L$2)*100</f>
        <v>0</v>
      </c>
      <c r="N1983" s="180">
        <f>FME_Ranking1[[#This Row],[Res Structures Score (Normalized, Unweighted)]]*$L$3</f>
        <v>0</v>
      </c>
      <c r="O1983" s="244">
        <f>_xlfn.XLOOKUP(FME_Ranking1[[#This Row],[FME ID]],FME_Input[FME_ID],FME_Input[POP100])</f>
        <v>0</v>
      </c>
      <c r="P1983" s="178">
        <f>(FME_Ranking1[[#This Row],[Pop Raw]]/$O$2)*100</f>
        <v>0</v>
      </c>
      <c r="Q1983" s="178">
        <f>FME_Ranking1[[#This Row],[Pop Score (Normalized, Unweighted)]]*$O$3</f>
        <v>0</v>
      </c>
      <c r="R1983" s="137">
        <f>_xlfn.XLOOKUP(FME_Ranking1[[#This Row],[FME ID]],FME_Input[FME_ID],FME_Input[CRITFAC100])</f>
        <v>0</v>
      </c>
      <c r="S1983" s="230">
        <f>(FME_Ranking1[[#This Row],[Critical Facilities Raw]]/$R$2)*100</f>
        <v>0</v>
      </c>
      <c r="T1983" s="180">
        <f>FME_Ranking1[[#This Row],[Critical Facilities Score (Normalized, Unweighted)]]*$R$3</f>
        <v>0</v>
      </c>
      <c r="U1983">
        <f>_xlfn.XLOOKUP(FME_Ranking1[[#This Row],[FME ID]],FME_Input[FME_ID],FME_Input[LWC])</f>
        <v>0</v>
      </c>
      <c r="V1983" s="178">
        <f>(FME_Ranking1[[#This Row],[LWC Raw]]/$U$2)*100</f>
        <v>0</v>
      </c>
      <c r="W1983" s="178">
        <f>FME_Ranking1[[#This Row],[LWC Score (Normalized, Unweighted)]]*$U$3</f>
        <v>0</v>
      </c>
      <c r="X1983" s="246">
        <f>_xlfn.XLOOKUP(FME_Ranking1[[#This Row],[FME ID]],FME_Input[FME_ID],FME_Input[ROADCLS])</f>
        <v>0</v>
      </c>
      <c r="Y1983" s="230">
        <f>(FME_Ranking1[[#This Row],[Closures Raw]]/$X$2)*100</f>
        <v>0</v>
      </c>
      <c r="Z1983" s="180">
        <f>FME_Ranking1[[#This Row],[Closures Score (Normalized, Unweighted)]]*$X$3</f>
        <v>0</v>
      </c>
      <c r="AA1983" s="253">
        <f>_xlfn.XLOOKUP(FME_Ranking1[[#This Row],[FME ID]],FME_Input[FME_ID],FME_Input[ROAD_MILES100])</f>
        <v>1.1369032859802251</v>
      </c>
      <c r="AB1983" s="178">
        <f>(FME_Ranking1[[#This Row],[Miles Raw]]/$AA$2)*100</f>
        <v>1.4948239078867352E-2</v>
      </c>
      <c r="AC1983" s="178">
        <f>FME_Ranking1[[#This Row],[Miles Score (Normalized, Unweighted)]]*$AA$3</f>
        <v>1.4948239078867354E-3</v>
      </c>
      <c r="AD1983" s="255">
        <f>_xlfn.XLOOKUP(FME_Ranking1[[#This Row],[FME ID]],FME_Input[FME_ID],FME_Input[FARMACRE100])</f>
        <v>477.0875244140625</v>
      </c>
      <c r="AE1983" s="230">
        <f>(FME_Ranking1[[#This Row],[Ag Land Raw]]/$AD$2)*100</f>
        <v>1.9672953822772711E-2</v>
      </c>
      <c r="AF1983" s="231">
        <f>FME_Ranking1[[#This Row],[Ag Land Score (Normalized, Unweighted)]]*$AD$3</f>
        <v>9.8364769113863551E-4</v>
      </c>
      <c r="AG198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2.4784715990253709E-3</v>
      </c>
      <c r="AH1983" s="406">
        <f t="shared" si="30"/>
        <v>1929</v>
      </c>
      <c r="AI198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2.4784715990253709E-3</v>
      </c>
      <c r="AJ1983" s="257">
        <f>FME_Ranking1[[#This Row],[Addition check]]-FME_Ranking1[[#This Row],[Weighted Score Based on Normalized Reported Factors]]</f>
        <v>0</v>
      </c>
      <c r="AK1983" s="178">
        <f>_xlfn.RANK.EQ(AI1983,$AI$6:$AI$2341,0)+COUNTIF($AI$6:AI1983,AI1983)-1</f>
        <v>1929</v>
      </c>
    </row>
    <row r="1984" spans="1:37" x14ac:dyDescent="0.25">
      <c r="A1984" t="s">
        <v>10272</v>
      </c>
      <c r="B1984">
        <f>_xlfn.XLOOKUP(FME_Ranking1[[#This Row],[FME ID]],FME_Input[FME_ID],FME_Input[RFPG_NUM])</f>
        <v>13</v>
      </c>
      <c r="C1984" t="str">
        <f>_xlfn.XLOOKUP(FME_Ranking1[[#This Row],[FME ID]],FME_Input[FME_ID],FME_Input[FME_NAME])</f>
        <v>Rockport County Club Lakes</v>
      </c>
      <c r="D1984" t="str">
        <f>_xlfn.XLOOKUP(FME_Ranking1[[#This Row],[FME ID]],FME_Input[FME_ID],FME_Input[DESCR])</f>
        <v>RCC Lakes - Upgrade drainage system and increase the capacity of the lakes within the Rockport County Club</v>
      </c>
      <c r="E1984" s="256">
        <f>_xlfn.XLOOKUP(FME_Ranking1[[#This Row],[FME ID]],FME_Input[FME_ID],FME_Input[FME_COST])</f>
        <v>62000</v>
      </c>
      <c r="F1984" t="str">
        <f>_xlfn.XLOOKUP(FME_Ranking1[[#This Row],[FME ID]],FME_Input[FME_ID],FME_Input[EMER_NEED])</f>
        <v>Yes</v>
      </c>
      <c r="G1984">
        <f>IF(FME_Ranking!F1984="Yes",100,0)</f>
        <v>100</v>
      </c>
      <c r="H1984">
        <f>FME_Ranking1[[#This Row],[Emergency Need Score (Normalized, Unweighted)]]*$F$3</f>
        <v>0</v>
      </c>
      <c r="I1984" s="246">
        <f>_xlfn.XLOOKUP(FME_Ranking1[[#This Row],[FME ID]],FME_Input[FME_ID],FME_Input[STRUCT_100])</f>
        <v>2</v>
      </c>
      <c r="J1984" s="178">
        <f>(FME_Ranking1[[#This Row],[Structures 100 Raw]]/I$2)*100</f>
        <v>1.0709848776935271E-3</v>
      </c>
      <c r="K1984" s="178">
        <f>FME_Ranking1[[#This Row],[Structures 100  Score (Normalized, Unweighted)]]*$I$3</f>
        <v>1.6064773165402907E-4</v>
      </c>
      <c r="L1984" s="246">
        <f>_xlfn.XLOOKUP(FME_Ranking1[[#This Row],[FME ID]],FME_Input[FME_ID],FME_Input[RES_STRUCT100])</f>
        <v>2</v>
      </c>
      <c r="M1984" s="230">
        <f>(FME_Ranking1[[#This Row],[Res Structures Raw]]/L$2)*100</f>
        <v>1.4166111827286765E-3</v>
      </c>
      <c r="N1984" s="180">
        <f>FME_Ranking1[[#This Row],[Res Structures Score (Normalized, Unweighted)]]*$L$3</f>
        <v>1.4166111827286767E-4</v>
      </c>
      <c r="O1984" s="244">
        <f>_xlfn.XLOOKUP(FME_Ranking1[[#This Row],[FME ID]],FME_Input[FME_ID],FME_Input[POP100])</f>
        <v>7</v>
      </c>
      <c r="P1984" s="178">
        <f>(FME_Ranking1[[#This Row],[Pop Raw]]/$O$2)*100</f>
        <v>7.1662718392134295E-4</v>
      </c>
      <c r="Q1984" s="178">
        <f>FME_Ranking1[[#This Row],[Pop Score (Normalized, Unweighted)]]*$O$3</f>
        <v>1.0749407758820145E-4</v>
      </c>
      <c r="R1984" s="137">
        <f>_xlfn.XLOOKUP(FME_Ranking1[[#This Row],[FME ID]],FME_Input[FME_ID],FME_Input[CRITFAC100])</f>
        <v>0</v>
      </c>
      <c r="S1984" s="230">
        <f>(FME_Ranking1[[#This Row],[Critical Facilities Raw]]/$R$2)*100</f>
        <v>0</v>
      </c>
      <c r="T1984" s="180">
        <f>FME_Ranking1[[#This Row],[Critical Facilities Score (Normalized, Unweighted)]]*$R$3</f>
        <v>0</v>
      </c>
      <c r="U1984">
        <f>_xlfn.XLOOKUP(FME_Ranking1[[#This Row],[FME ID]],FME_Input[FME_ID],FME_Input[LWC])</f>
        <v>0</v>
      </c>
      <c r="V1984" s="178">
        <f>(FME_Ranking1[[#This Row],[LWC Raw]]/$U$2)*100</f>
        <v>0</v>
      </c>
      <c r="W1984" s="178">
        <f>FME_Ranking1[[#This Row],[LWC Score (Normalized, Unweighted)]]*$U$3</f>
        <v>0</v>
      </c>
      <c r="X1984" s="246">
        <f>_xlfn.XLOOKUP(FME_Ranking1[[#This Row],[FME ID]],FME_Input[FME_ID],FME_Input[ROADCLS])</f>
        <v>1</v>
      </c>
      <c r="Y1984" s="230">
        <f>(FME_Ranking1[[#This Row],[Closures Raw]]/$X$2)*100</f>
        <v>1.0514141520344864E-2</v>
      </c>
      <c r="Z1984" s="180">
        <f>FME_Ranking1[[#This Row],[Closures Score (Normalized, Unweighted)]]*$X$3</f>
        <v>5.2570707601724321E-4</v>
      </c>
      <c r="AA1984" s="253">
        <f>_xlfn.XLOOKUP(FME_Ranking1[[#This Row],[FME ID]],FME_Input[FME_ID],FME_Input[ROAD_MILES100])</f>
        <v>0</v>
      </c>
      <c r="AB1984" s="178">
        <f>(FME_Ranking1[[#This Row],[Miles Raw]]/$AA$2)*100</f>
        <v>0</v>
      </c>
      <c r="AC1984" s="178">
        <f>FME_Ranking1[[#This Row],[Miles Score (Normalized, Unweighted)]]*$AA$3</f>
        <v>0</v>
      </c>
      <c r="AD1984" s="255">
        <f>_xlfn.XLOOKUP(FME_Ranking1[[#This Row],[FME ID]],FME_Input[FME_ID],FME_Input[FARMACRE100])</f>
        <v>0</v>
      </c>
      <c r="AE1984" s="230">
        <f>(FME_Ranking1[[#This Row],[Ag Land Raw]]/$AD$2)*100</f>
        <v>0</v>
      </c>
      <c r="AF1984" s="231">
        <f>FME_Ranking1[[#This Row],[Ag Land Score (Normalized, Unweighted)]]*$AD$3</f>
        <v>0</v>
      </c>
      <c r="AG198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9.3551000353234138E-4</v>
      </c>
      <c r="AH1984" s="406">
        <f t="shared" si="30"/>
        <v>2029</v>
      </c>
      <c r="AI198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9.3551000353234138E-4</v>
      </c>
      <c r="AJ1984" s="257">
        <f>FME_Ranking1[[#This Row],[Addition check]]-FME_Ranking1[[#This Row],[Weighted Score Based on Normalized Reported Factors]]</f>
        <v>0</v>
      </c>
      <c r="AK1984" s="178">
        <f>_xlfn.RANK.EQ(AI1984,$AI$6:$AI$2341,0)+COUNTIF($AI$6:AI1984,AI1984)-1</f>
        <v>2029</v>
      </c>
    </row>
    <row r="1985" spans="1:37" x14ac:dyDescent="0.25">
      <c r="A1985" t="s">
        <v>9501</v>
      </c>
      <c r="B1985">
        <f>_xlfn.XLOOKUP(FME_Ranking1[[#This Row],[FME ID]],FME_Input[FME_ID],FME_Input[RFPG_NUM])</f>
        <v>12</v>
      </c>
      <c r="C1985" t="str">
        <f>_xlfn.XLOOKUP(FME_Ranking1[[#This Row],[FME ID]],FME_Input[FME_ID],FME_Input[FME_NAME])</f>
        <v>Damage Center 44-San Antonio River  Near Center Road</v>
      </c>
      <c r="D1985" t="str">
        <f>_xlfn.XLOOKUP(FME_Ranking1[[#This Row],[FME ID]],FME_Input[FME_ID],FME_Input[DESCR])</f>
        <v>This  area  consists  of large agricultural lots. Buyouts appear to be the best option since the  entire damage center is  in  the floodplain. The  area  can be converted to a recreational  water  park area  or  pavilions  to  encourage  biking</v>
      </c>
      <c r="E1985" s="256">
        <f>_xlfn.XLOOKUP(FME_Ranking1[[#This Row],[FME ID]],FME_Input[FME_ID],FME_Input[FME_COST])</f>
        <v>7618557</v>
      </c>
      <c r="F1985" t="str">
        <f>_xlfn.XLOOKUP(FME_Ranking1[[#This Row],[FME ID]],FME_Input[FME_ID],FME_Input[EMER_NEED])</f>
        <v>Yes</v>
      </c>
      <c r="G1985">
        <f>IF(FME_Ranking!F1985="Yes",100,0)</f>
        <v>100</v>
      </c>
      <c r="H1985">
        <f>FME_Ranking1[[#This Row],[Emergency Need Score (Normalized, Unweighted)]]*$F$3</f>
        <v>0</v>
      </c>
      <c r="I1985" s="246">
        <f>_xlfn.XLOOKUP(FME_Ranking1[[#This Row],[FME ID]],FME_Input[FME_ID],FME_Input[STRUCT_100])</f>
        <v>7</v>
      </c>
      <c r="J1985" s="178">
        <f>(FME_Ranking1[[#This Row],[Structures 100 Raw]]/I$2)*100</f>
        <v>3.7484470719273445E-3</v>
      </c>
      <c r="K1985" s="178">
        <f>FME_Ranking1[[#This Row],[Structures 100  Score (Normalized, Unweighted)]]*$I$3</f>
        <v>5.622670607891017E-4</v>
      </c>
      <c r="L1985" s="246">
        <f>_xlfn.XLOOKUP(FME_Ranking1[[#This Row],[FME ID]],FME_Input[FME_ID],FME_Input[RES_STRUCT100])</f>
        <v>4</v>
      </c>
      <c r="M1985" s="230">
        <f>(FME_Ranking1[[#This Row],[Res Structures Raw]]/L$2)*100</f>
        <v>2.833222365457353E-3</v>
      </c>
      <c r="N1985" s="180">
        <f>FME_Ranking1[[#This Row],[Res Structures Score (Normalized, Unweighted)]]*$L$3</f>
        <v>2.8332223654573533E-4</v>
      </c>
      <c r="O1985" s="244">
        <f>_xlfn.XLOOKUP(FME_Ranking1[[#This Row],[FME ID]],FME_Input[FME_ID],FME_Input[POP100])</f>
        <v>3</v>
      </c>
      <c r="P1985" s="178">
        <f>(FME_Ranking1[[#This Row],[Pop Raw]]/$O$2)*100</f>
        <v>3.0712593596628988E-4</v>
      </c>
      <c r="Q1985" s="178">
        <f>FME_Ranking1[[#This Row],[Pop Score (Normalized, Unweighted)]]*$O$3</f>
        <v>4.6068890394943479E-5</v>
      </c>
      <c r="R1985" s="137">
        <f>_xlfn.XLOOKUP(FME_Ranking1[[#This Row],[FME ID]],FME_Input[FME_ID],FME_Input[CRITFAC100])</f>
        <v>0</v>
      </c>
      <c r="S1985" s="230">
        <f>(FME_Ranking1[[#This Row],[Critical Facilities Raw]]/$R$2)*100</f>
        <v>0</v>
      </c>
      <c r="T1985" s="180">
        <f>FME_Ranking1[[#This Row],[Critical Facilities Score (Normalized, Unweighted)]]*$R$3</f>
        <v>0</v>
      </c>
      <c r="U1985">
        <f>_xlfn.XLOOKUP(FME_Ranking1[[#This Row],[FME ID]],FME_Input[FME_ID],FME_Input[LWC])</f>
        <v>0</v>
      </c>
      <c r="V1985" s="178">
        <f>(FME_Ranking1[[#This Row],[LWC Raw]]/$U$2)*100</f>
        <v>0</v>
      </c>
      <c r="W1985" s="178">
        <f>FME_Ranking1[[#This Row],[LWC Score (Normalized, Unweighted)]]*$U$3</f>
        <v>0</v>
      </c>
      <c r="X1985" s="246">
        <f>_xlfn.XLOOKUP(FME_Ranking1[[#This Row],[FME ID]],FME_Input[FME_ID],FME_Input[ROADCLS])</f>
        <v>0</v>
      </c>
      <c r="Y1985" s="230">
        <f>(FME_Ranking1[[#This Row],[Closures Raw]]/$X$2)*100</f>
        <v>0</v>
      </c>
      <c r="Z1985" s="180">
        <f>FME_Ranking1[[#This Row],[Closures Score (Normalized, Unweighted)]]*$X$3</f>
        <v>0</v>
      </c>
      <c r="AA1985" s="253">
        <f>_xlfn.XLOOKUP(FME_Ranking1[[#This Row],[FME ID]],FME_Input[FME_ID],FME_Input[ROAD_MILES100])</f>
        <v>0</v>
      </c>
      <c r="AB1985" s="178">
        <f>(FME_Ranking1[[#This Row],[Miles Raw]]/$AA$2)*100</f>
        <v>0</v>
      </c>
      <c r="AC1985" s="178">
        <f>FME_Ranking1[[#This Row],[Miles Score (Normalized, Unweighted)]]*$AA$3</f>
        <v>0</v>
      </c>
      <c r="AD1985" s="255">
        <f>_xlfn.XLOOKUP(FME_Ranking1[[#This Row],[FME ID]],FME_Input[FME_ID],FME_Input[FARMACRE100])</f>
        <v>10.35099983215332</v>
      </c>
      <c r="AE1985" s="230">
        <f>(FME_Ranking1[[#This Row],[Ag Land Raw]]/$AD$2)*100</f>
        <v>4.268288967890648E-4</v>
      </c>
      <c r="AF1985" s="231">
        <f>FME_Ranking1[[#This Row],[Ag Land Score (Normalized, Unweighted)]]*$AD$3</f>
        <v>2.1341444839453241E-5</v>
      </c>
      <c r="AG198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9.1299963256923371E-4</v>
      </c>
      <c r="AH1985" s="406">
        <f t="shared" si="30"/>
        <v>2033</v>
      </c>
      <c r="AI198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9.1299963256923371E-4</v>
      </c>
      <c r="AJ1985" s="257">
        <f>FME_Ranking1[[#This Row],[Addition check]]-FME_Ranking1[[#This Row],[Weighted Score Based on Normalized Reported Factors]]</f>
        <v>0</v>
      </c>
      <c r="AK1985" s="178">
        <f>_xlfn.RANK.EQ(AI1985,$AI$6:$AI$2341,0)+COUNTIF($AI$6:AI1985,AI1985)-1</f>
        <v>2033</v>
      </c>
    </row>
    <row r="1986" spans="1:37" x14ac:dyDescent="0.25">
      <c r="A1986" t="s">
        <v>3261</v>
      </c>
      <c r="B1986">
        <f>_xlfn.XLOOKUP(FME_Ranking1[[#This Row],[FME ID]],FME_Input[FME_ID],FME_Input[RFPG_NUM])</f>
        <v>1</v>
      </c>
      <c r="C1986" t="str">
        <f>_xlfn.XLOOKUP(FME_Ranking1[[#This Row],[FME ID]],FME_Input[FME_ID],FME_Input[FME_NAME])</f>
        <v>Playa No. 14 Project Planning - Diamond Horseshoe Lake (City of Amarillo)</v>
      </c>
      <c r="D1986" t="str">
        <f>_xlfn.XLOOKUP(FME_Ranking1[[#This Row],[FME ID]],FME_Input[FME_ID],FME_Input[DESCR])</f>
        <v>Evaluate project to quantify benefits, evaluate impacts and begin design. Proposed improvement include new 750 GMP pumping station with 8" suction line, and new 8" force main. Project identified from 2019 Amarillo DMP.</v>
      </c>
      <c r="E1986" s="256">
        <f>_xlfn.XLOOKUP(FME_Ranking1[[#This Row],[FME ID]],FME_Input[FME_ID],FME_Input[FME_COST])</f>
        <v>250000</v>
      </c>
      <c r="F1986" t="str">
        <f>_xlfn.XLOOKUP(FME_Ranking1[[#This Row],[FME ID]],FME_Input[FME_ID],FME_Input[EMER_NEED])</f>
        <v>No</v>
      </c>
      <c r="G1986">
        <f>IF(FME_Ranking!F1986="Yes",100,0)</f>
        <v>0</v>
      </c>
      <c r="H1986">
        <f>FME_Ranking1[[#This Row],[Emergency Need Score (Normalized, Unweighted)]]*$F$3</f>
        <v>0</v>
      </c>
      <c r="I1986" s="246">
        <f>_xlfn.XLOOKUP(FME_Ranking1[[#This Row],[FME ID]],FME_Input[FME_ID],FME_Input[STRUCT_100])</f>
        <v>5</v>
      </c>
      <c r="J1986" s="178">
        <f>(FME_Ranking1[[#This Row],[Structures 100 Raw]]/I$2)*100</f>
        <v>2.6774621942338172E-3</v>
      </c>
      <c r="K1986" s="178">
        <f>FME_Ranking1[[#This Row],[Structures 100  Score (Normalized, Unweighted)]]*$I$3</f>
        <v>4.0161932913507258E-4</v>
      </c>
      <c r="L1986" s="246">
        <f>_xlfn.XLOOKUP(FME_Ranking1[[#This Row],[FME ID]],FME_Input[FME_ID],FME_Input[RES_STRUCT100])</f>
        <v>4</v>
      </c>
      <c r="M1986" s="230">
        <f>(FME_Ranking1[[#This Row],[Res Structures Raw]]/L$2)*100</f>
        <v>2.833222365457353E-3</v>
      </c>
      <c r="N1986" s="180">
        <f>FME_Ranking1[[#This Row],[Res Structures Score (Normalized, Unweighted)]]*$L$3</f>
        <v>2.8332223654573533E-4</v>
      </c>
      <c r="O1986" s="244">
        <f>_xlfn.XLOOKUP(FME_Ranking1[[#This Row],[FME ID]],FME_Input[FME_ID],FME_Input[POP100])</f>
        <v>12</v>
      </c>
      <c r="P1986" s="178">
        <f>(FME_Ranking1[[#This Row],[Pop Raw]]/$O$2)*100</f>
        <v>1.2285037438651595E-3</v>
      </c>
      <c r="Q1986" s="178">
        <f>FME_Ranking1[[#This Row],[Pop Score (Normalized, Unweighted)]]*$O$3</f>
        <v>1.8427556157977391E-4</v>
      </c>
      <c r="R1986" s="137">
        <f>_xlfn.XLOOKUP(FME_Ranking1[[#This Row],[FME ID]],FME_Input[FME_ID],FME_Input[CRITFAC100])</f>
        <v>0</v>
      </c>
      <c r="S1986" s="230">
        <f>(FME_Ranking1[[#This Row],[Critical Facilities Raw]]/$R$2)*100</f>
        <v>0</v>
      </c>
      <c r="T1986" s="180">
        <f>FME_Ranking1[[#This Row],[Critical Facilities Score (Normalized, Unweighted)]]*$R$3</f>
        <v>0</v>
      </c>
      <c r="U1986">
        <f>_xlfn.XLOOKUP(FME_Ranking1[[#This Row],[FME ID]],FME_Input[FME_ID],FME_Input[LWC])</f>
        <v>0</v>
      </c>
      <c r="V1986" s="178">
        <f>(FME_Ranking1[[#This Row],[LWC Raw]]/$U$2)*100</f>
        <v>0</v>
      </c>
      <c r="W1986" s="178">
        <f>FME_Ranking1[[#This Row],[LWC Score (Normalized, Unweighted)]]*$U$3</f>
        <v>0</v>
      </c>
      <c r="X1986" s="246">
        <f>_xlfn.XLOOKUP(FME_Ranking1[[#This Row],[FME ID]],FME_Input[FME_ID],FME_Input[ROADCLS])</f>
        <v>0</v>
      </c>
      <c r="Y1986" s="230">
        <f>(FME_Ranking1[[#This Row],[Closures Raw]]/$X$2)*100</f>
        <v>0</v>
      </c>
      <c r="Z1986" s="180">
        <f>FME_Ranking1[[#This Row],[Closures Score (Normalized, Unweighted)]]*$X$3</f>
        <v>0</v>
      </c>
      <c r="AA1986" s="253">
        <f>_xlfn.XLOOKUP(FME_Ranking1[[#This Row],[FME ID]],FME_Input[FME_ID],FME_Input[ROAD_MILES100])</f>
        <v>2.097519159317017</v>
      </c>
      <c r="AB1986" s="178">
        <f>(FME_Ranking1[[#This Row],[Miles Raw]]/$AA$2)*100</f>
        <v>2.7578614867791836E-2</v>
      </c>
      <c r="AC1986" s="178">
        <f>FME_Ranking1[[#This Row],[Miles Score (Normalized, Unweighted)]]*$AA$3</f>
        <v>2.7578614867791837E-3</v>
      </c>
      <c r="AD1986" s="255">
        <f>_xlfn.XLOOKUP(FME_Ranking1[[#This Row],[FME ID]],FME_Input[FME_ID],FME_Input[FARMACRE100])</f>
        <v>0</v>
      </c>
      <c r="AE1986" s="230">
        <f>(FME_Ranking1[[#This Row],[Ag Land Raw]]/$AD$2)*100</f>
        <v>0</v>
      </c>
      <c r="AF1986" s="231">
        <f>FME_Ranking1[[#This Row],[Ag Land Score (Normalized, Unweighted)]]*$AD$3</f>
        <v>0</v>
      </c>
      <c r="AG198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3.6270786140397654E-3</v>
      </c>
      <c r="AH1986" s="406">
        <f t="shared" si="30"/>
        <v>1877</v>
      </c>
      <c r="AI198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3.6270786140397654E-3</v>
      </c>
      <c r="AJ1986" s="257">
        <f>FME_Ranking1[[#This Row],[Addition check]]-FME_Ranking1[[#This Row],[Weighted Score Based on Normalized Reported Factors]]</f>
        <v>0</v>
      </c>
      <c r="AK1986" s="178">
        <f>_xlfn.RANK.EQ(AI1986,$AI$6:$AI$2341,0)+COUNTIF($AI$6:AI1986,AI1986)-1</f>
        <v>1877</v>
      </c>
    </row>
    <row r="1987" spans="1:37" x14ac:dyDescent="0.25">
      <c r="A1987" t="s">
        <v>3396</v>
      </c>
      <c r="B1987">
        <f>_xlfn.XLOOKUP(FME_Ranking1[[#This Row],[FME ID]],FME_Input[FME_ID],FME_Input[RFPG_NUM])</f>
        <v>1</v>
      </c>
      <c r="C1987" t="str">
        <f>_xlfn.XLOOKUP(FME_Ranking1[[#This Row],[FME ID]],FME_Input[FME_ID],FME_Input[FME_NAME])</f>
        <v>Diamond Horseshoe Lake Watershed Study (City of Amarillo)</v>
      </c>
      <c r="D1987" t="str">
        <f>_xlfn.XLOOKUP(FME_Ranking1[[#This Row],[FME ID]],FME_Input[FME_ID],FME_Input[DESCR])</f>
        <v>Perform H&amp;H modeling, develop conceptual alternatives and OPCC, and rank projects. Marked as high priority in 2019 Amarillo DMP</v>
      </c>
      <c r="E1987" s="256">
        <f>_xlfn.XLOOKUP(FME_Ranking1[[#This Row],[FME ID]],FME_Input[FME_ID],FME_Input[FME_COST])</f>
        <v>247000</v>
      </c>
      <c r="F1987" t="str">
        <f>_xlfn.XLOOKUP(FME_Ranking1[[#This Row],[FME ID]],FME_Input[FME_ID],FME_Input[EMER_NEED])</f>
        <v>No</v>
      </c>
      <c r="G1987">
        <f>IF(FME_Ranking!F1987="Yes",100,0)</f>
        <v>0</v>
      </c>
      <c r="H1987">
        <f>FME_Ranking1[[#This Row],[Emergency Need Score (Normalized, Unweighted)]]*$F$3</f>
        <v>0</v>
      </c>
      <c r="I1987" s="246">
        <f>_xlfn.XLOOKUP(FME_Ranking1[[#This Row],[FME ID]],FME_Input[FME_ID],FME_Input[STRUCT_100])</f>
        <v>5</v>
      </c>
      <c r="J1987" s="178">
        <f>(FME_Ranking1[[#This Row],[Structures 100 Raw]]/I$2)*100</f>
        <v>2.6774621942338172E-3</v>
      </c>
      <c r="K1987" s="178">
        <f>FME_Ranking1[[#This Row],[Structures 100  Score (Normalized, Unweighted)]]*$I$3</f>
        <v>4.0161932913507258E-4</v>
      </c>
      <c r="L1987" s="246">
        <f>_xlfn.XLOOKUP(FME_Ranking1[[#This Row],[FME ID]],FME_Input[FME_ID],FME_Input[RES_STRUCT100])</f>
        <v>4</v>
      </c>
      <c r="M1987" s="230">
        <f>(FME_Ranking1[[#This Row],[Res Structures Raw]]/L$2)*100</f>
        <v>2.833222365457353E-3</v>
      </c>
      <c r="N1987" s="180">
        <f>FME_Ranking1[[#This Row],[Res Structures Score (Normalized, Unweighted)]]*$L$3</f>
        <v>2.8332223654573533E-4</v>
      </c>
      <c r="O1987" s="244">
        <f>_xlfn.XLOOKUP(FME_Ranking1[[#This Row],[FME ID]],FME_Input[FME_ID],FME_Input[POP100])</f>
        <v>12</v>
      </c>
      <c r="P1987" s="178">
        <f>(FME_Ranking1[[#This Row],[Pop Raw]]/$O$2)*100</f>
        <v>1.2285037438651595E-3</v>
      </c>
      <c r="Q1987" s="178">
        <f>FME_Ranking1[[#This Row],[Pop Score (Normalized, Unweighted)]]*$O$3</f>
        <v>1.8427556157977391E-4</v>
      </c>
      <c r="R1987" s="137">
        <f>_xlfn.XLOOKUP(FME_Ranking1[[#This Row],[FME ID]],FME_Input[FME_ID],FME_Input[CRITFAC100])</f>
        <v>0</v>
      </c>
      <c r="S1987" s="230">
        <f>(FME_Ranking1[[#This Row],[Critical Facilities Raw]]/$R$2)*100</f>
        <v>0</v>
      </c>
      <c r="T1987" s="180">
        <f>FME_Ranking1[[#This Row],[Critical Facilities Score (Normalized, Unweighted)]]*$R$3</f>
        <v>0</v>
      </c>
      <c r="U1987">
        <f>_xlfn.XLOOKUP(FME_Ranking1[[#This Row],[FME ID]],FME_Input[FME_ID],FME_Input[LWC])</f>
        <v>0</v>
      </c>
      <c r="V1987" s="178">
        <f>(FME_Ranking1[[#This Row],[LWC Raw]]/$U$2)*100</f>
        <v>0</v>
      </c>
      <c r="W1987" s="178">
        <f>FME_Ranking1[[#This Row],[LWC Score (Normalized, Unweighted)]]*$U$3</f>
        <v>0</v>
      </c>
      <c r="X1987" s="246">
        <f>_xlfn.XLOOKUP(FME_Ranking1[[#This Row],[FME ID]],FME_Input[FME_ID],FME_Input[ROADCLS])</f>
        <v>0</v>
      </c>
      <c r="Y1987" s="230">
        <f>(FME_Ranking1[[#This Row],[Closures Raw]]/$X$2)*100</f>
        <v>0</v>
      </c>
      <c r="Z1987" s="180">
        <f>FME_Ranking1[[#This Row],[Closures Score (Normalized, Unweighted)]]*$X$3</f>
        <v>0</v>
      </c>
      <c r="AA1987" s="253">
        <f>_xlfn.XLOOKUP(FME_Ranking1[[#This Row],[FME ID]],FME_Input[FME_ID],FME_Input[ROAD_MILES100])</f>
        <v>2.0975136756896968</v>
      </c>
      <c r="AB1987" s="178">
        <f>(FME_Ranking1[[#This Row],[Miles Raw]]/$AA$2)*100</f>
        <v>2.757854276792792E-2</v>
      </c>
      <c r="AC1987" s="178">
        <f>FME_Ranking1[[#This Row],[Miles Score (Normalized, Unweighted)]]*$AA$3</f>
        <v>2.7578542767927924E-3</v>
      </c>
      <c r="AD1987" s="255">
        <f>_xlfn.XLOOKUP(FME_Ranking1[[#This Row],[FME ID]],FME_Input[FME_ID],FME_Input[FARMACRE100])</f>
        <v>0</v>
      </c>
      <c r="AE1987" s="230">
        <f>(FME_Ranking1[[#This Row],[Ag Land Raw]]/$AD$2)*100</f>
        <v>0</v>
      </c>
      <c r="AF1987" s="231">
        <f>FME_Ranking1[[#This Row],[Ag Land Score (Normalized, Unweighted)]]*$AD$3</f>
        <v>0</v>
      </c>
      <c r="AG198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3.627071404053374E-3</v>
      </c>
      <c r="AH1987" s="406">
        <f t="shared" si="30"/>
        <v>1878</v>
      </c>
      <c r="AI198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3.627071404053374E-3</v>
      </c>
      <c r="AJ1987" s="257">
        <f>FME_Ranking1[[#This Row],[Addition check]]-FME_Ranking1[[#This Row],[Weighted Score Based on Normalized Reported Factors]]</f>
        <v>0</v>
      </c>
      <c r="AK1987" s="178">
        <f>_xlfn.RANK.EQ(AI1987,$AI$6:$AI$2341,0)+COUNTIF($AI$6:AI1987,AI1987)-1</f>
        <v>1878</v>
      </c>
    </row>
    <row r="1988" spans="1:37" x14ac:dyDescent="0.25">
      <c r="A1988" t="s">
        <v>9509</v>
      </c>
      <c r="B1988">
        <f>_xlfn.XLOOKUP(FME_Ranking1[[#This Row],[FME ID]],FME_Input[FME_ID],FME_Input[RFPG_NUM])</f>
        <v>12</v>
      </c>
      <c r="C1988" t="str">
        <f>_xlfn.XLOOKUP(FME_Ranking1[[#This Row],[FME ID]],FME_Input[FME_ID],FME_Input[FME_NAME])</f>
        <v>Damage Center 39-Olmos Creek and Olmos Creek East Channel</v>
      </c>
      <c r="D1988" t="str">
        <f>_xlfn.XLOOKUP(FME_Ranking1[[#This Row],[FME ID]],FME_Input[FME_ID],FME_Input[DESCR])</f>
        <v>Antonian  High School  is  just  downstream  of  this damage center. There  are  a  total  of  eight  parcels  that  are  flooded  by  the 100-year storm event. Flood-proofing appears to be a practical approach for these properties</v>
      </c>
      <c r="E1988" s="256">
        <f>_xlfn.XLOOKUP(FME_Ranking1[[#This Row],[FME ID]],FME_Input[FME_ID],FME_Input[FME_COST])</f>
        <v>601643</v>
      </c>
      <c r="F1988" t="str">
        <f>_xlfn.XLOOKUP(FME_Ranking1[[#This Row],[FME ID]],FME_Input[FME_ID],FME_Input[EMER_NEED])</f>
        <v>Yes</v>
      </c>
      <c r="G1988">
        <f>IF(FME_Ranking!F1988="Yes",100,0)</f>
        <v>100</v>
      </c>
      <c r="H1988">
        <f>FME_Ranking1[[#This Row],[Emergency Need Score (Normalized, Unweighted)]]*$F$3</f>
        <v>0</v>
      </c>
      <c r="I1988" s="246">
        <f>_xlfn.XLOOKUP(FME_Ranking1[[#This Row],[FME ID]],FME_Input[FME_ID],FME_Input[STRUCT_100])</f>
        <v>6</v>
      </c>
      <c r="J1988" s="178">
        <f>(FME_Ranking1[[#This Row],[Structures 100 Raw]]/I$2)*100</f>
        <v>3.2129546330805807E-3</v>
      </c>
      <c r="K1988" s="178">
        <f>FME_Ranking1[[#This Row],[Structures 100  Score (Normalized, Unweighted)]]*$I$3</f>
        <v>4.8194319496208709E-4</v>
      </c>
      <c r="L1988" s="246">
        <f>_xlfn.XLOOKUP(FME_Ranking1[[#This Row],[FME ID]],FME_Input[FME_ID],FME_Input[RES_STRUCT100])</f>
        <v>4</v>
      </c>
      <c r="M1988" s="230">
        <f>(FME_Ranking1[[#This Row],[Res Structures Raw]]/L$2)*100</f>
        <v>2.833222365457353E-3</v>
      </c>
      <c r="N1988" s="180">
        <f>FME_Ranking1[[#This Row],[Res Structures Score (Normalized, Unweighted)]]*$L$3</f>
        <v>2.8332223654573533E-4</v>
      </c>
      <c r="O1988" s="244">
        <f>_xlfn.XLOOKUP(FME_Ranking1[[#This Row],[FME ID]],FME_Input[FME_ID],FME_Input[POP100])</f>
        <v>5</v>
      </c>
      <c r="P1988" s="178">
        <f>(FME_Ranking1[[#This Row],[Pop Raw]]/$O$2)*100</f>
        <v>5.1187655994381644E-4</v>
      </c>
      <c r="Q1988" s="178">
        <f>FME_Ranking1[[#This Row],[Pop Score (Normalized, Unweighted)]]*$O$3</f>
        <v>7.6781483991572469E-5</v>
      </c>
      <c r="R1988" s="137">
        <f>_xlfn.XLOOKUP(FME_Ranking1[[#This Row],[FME ID]],FME_Input[FME_ID],FME_Input[CRITFAC100])</f>
        <v>0</v>
      </c>
      <c r="S1988" s="230">
        <f>(FME_Ranking1[[#This Row],[Critical Facilities Raw]]/$R$2)*100</f>
        <v>0</v>
      </c>
      <c r="T1988" s="180">
        <f>FME_Ranking1[[#This Row],[Critical Facilities Score (Normalized, Unweighted)]]*$R$3</f>
        <v>0</v>
      </c>
      <c r="U1988">
        <f>_xlfn.XLOOKUP(FME_Ranking1[[#This Row],[FME ID]],FME_Input[FME_ID],FME_Input[LWC])</f>
        <v>0</v>
      </c>
      <c r="V1988" s="178">
        <f>(FME_Ranking1[[#This Row],[LWC Raw]]/$U$2)*100</f>
        <v>0</v>
      </c>
      <c r="W1988" s="178">
        <f>FME_Ranking1[[#This Row],[LWC Score (Normalized, Unweighted)]]*$U$3</f>
        <v>0</v>
      </c>
      <c r="X1988" s="246">
        <f>_xlfn.XLOOKUP(FME_Ranking1[[#This Row],[FME ID]],FME_Input[FME_ID],FME_Input[ROADCLS])</f>
        <v>0</v>
      </c>
      <c r="Y1988" s="230">
        <f>(FME_Ranking1[[#This Row],[Closures Raw]]/$X$2)*100</f>
        <v>0</v>
      </c>
      <c r="Z1988" s="180">
        <f>FME_Ranking1[[#This Row],[Closures Score (Normalized, Unweighted)]]*$X$3</f>
        <v>0</v>
      </c>
      <c r="AA1988" s="253">
        <f>_xlfn.XLOOKUP(FME_Ranking1[[#This Row],[FME ID]],FME_Input[FME_ID],FME_Input[ROAD_MILES100])</f>
        <v>1.39999995008111E-3</v>
      </c>
      <c r="AB1988" s="178">
        <f>(FME_Ranking1[[#This Row],[Miles Raw]]/$AA$2)*100</f>
        <v>1.8407488325773734E-5</v>
      </c>
      <c r="AC1988" s="178">
        <f>FME_Ranking1[[#This Row],[Miles Score (Normalized, Unweighted)]]*$AA$3</f>
        <v>1.8407488325773734E-6</v>
      </c>
      <c r="AD1988" s="255">
        <f>_xlfn.XLOOKUP(FME_Ranking1[[#This Row],[FME ID]],FME_Input[FME_ID],FME_Input[FARMACRE100])</f>
        <v>0</v>
      </c>
      <c r="AE1988" s="230">
        <f>(FME_Ranking1[[#This Row],[Ag Land Raw]]/$AD$2)*100</f>
        <v>0</v>
      </c>
      <c r="AF1988" s="231">
        <f>FME_Ranking1[[#This Row],[Ag Land Score (Normalized, Unweighted)]]*$AD$3</f>
        <v>0</v>
      </c>
      <c r="AG198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8.4388766433197222E-4</v>
      </c>
      <c r="AH1988" s="406">
        <f t="shared" si="30"/>
        <v>2039</v>
      </c>
      <c r="AI198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8.4388766433197222E-4</v>
      </c>
      <c r="AJ1988" s="257">
        <f>FME_Ranking1[[#This Row],[Addition check]]-FME_Ranking1[[#This Row],[Weighted Score Based on Normalized Reported Factors]]</f>
        <v>0</v>
      </c>
      <c r="AK1988" s="178">
        <f>_xlfn.RANK.EQ(AI1988,$AI$6:$AI$2341,0)+COUNTIF($AI$6:AI1988,AI1988)-1</f>
        <v>2039</v>
      </c>
    </row>
    <row r="1989" spans="1:37" x14ac:dyDescent="0.25">
      <c r="A1989" t="s">
        <v>5615</v>
      </c>
      <c r="B1989">
        <f>_xlfn.XLOOKUP(FME_Ranking1[[#This Row],[FME ID]],FME_Input[FME_ID],FME_Input[RFPG_NUM])</f>
        <v>4</v>
      </c>
      <c r="C1989" t="str">
        <f>_xlfn.XLOOKUP(FME_Ranking1[[#This Row],[FME ID]],FME_Input[FME_ID],FME_Input[FME_NAME])</f>
        <v>City of Fruitvale Drainage Infrastructure Improvement Study</v>
      </c>
      <c r="D1989" t="str">
        <f>_xlfn.XLOOKUP(FME_Ranking1[[#This Row],[FME ID]],FME_Input[FME_ID],FME_Input[DESCR])</f>
        <v>Feasibility study to evaluate access and road conditions for response vehicles. Develop and implement options to improve access and/or add redundant access routes in high risk areas.</v>
      </c>
      <c r="E1989" s="256">
        <f>_xlfn.XLOOKUP(FME_Ranking1[[#This Row],[FME ID]],FME_Input[FME_ID],FME_Input[FME_COST])</f>
        <v>200000</v>
      </c>
      <c r="F1989" t="str">
        <f>_xlfn.XLOOKUP(FME_Ranking1[[#This Row],[FME ID]],FME_Input[FME_ID],FME_Input[EMER_NEED])</f>
        <v>No</v>
      </c>
      <c r="G1989">
        <f>IF(FME_Ranking!F1989="Yes",100,0)</f>
        <v>0</v>
      </c>
      <c r="H1989">
        <f>FME_Ranking1[[#This Row],[Emergency Need Score (Normalized, Unweighted)]]*$F$3</f>
        <v>0</v>
      </c>
      <c r="I1989" s="246">
        <f>_xlfn.XLOOKUP(FME_Ranking1[[#This Row],[FME ID]],FME_Input[FME_ID],FME_Input[STRUCT_100])</f>
        <v>4</v>
      </c>
      <c r="J1989" s="178">
        <f>(FME_Ranking1[[#This Row],[Structures 100 Raw]]/I$2)*100</f>
        <v>2.1419697553870542E-3</v>
      </c>
      <c r="K1989" s="178">
        <f>FME_Ranking1[[#This Row],[Structures 100  Score (Normalized, Unweighted)]]*$I$3</f>
        <v>3.2129546330805813E-4</v>
      </c>
      <c r="L1989" s="246">
        <f>_xlfn.XLOOKUP(FME_Ranking1[[#This Row],[FME ID]],FME_Input[FME_ID],FME_Input[RES_STRUCT100])</f>
        <v>1</v>
      </c>
      <c r="M1989" s="230">
        <f>(FME_Ranking1[[#This Row],[Res Structures Raw]]/L$2)*100</f>
        <v>7.0830559136433825E-4</v>
      </c>
      <c r="N1989" s="180">
        <f>FME_Ranking1[[#This Row],[Res Structures Score (Normalized, Unweighted)]]*$L$3</f>
        <v>7.0830559136433833E-5</v>
      </c>
      <c r="O1989" s="244">
        <f>_xlfn.XLOOKUP(FME_Ranking1[[#This Row],[FME ID]],FME_Input[FME_ID],FME_Input[POP100])</f>
        <v>12</v>
      </c>
      <c r="P1989" s="178">
        <f>(FME_Ranking1[[#This Row],[Pop Raw]]/$O$2)*100</f>
        <v>1.2285037438651595E-3</v>
      </c>
      <c r="Q1989" s="178">
        <f>FME_Ranking1[[#This Row],[Pop Score (Normalized, Unweighted)]]*$O$3</f>
        <v>1.8427556157977391E-4</v>
      </c>
      <c r="R1989" s="137">
        <f>_xlfn.XLOOKUP(FME_Ranking1[[#This Row],[FME ID]],FME_Input[FME_ID],FME_Input[CRITFAC100])</f>
        <v>0</v>
      </c>
      <c r="S1989" s="230">
        <f>(FME_Ranking1[[#This Row],[Critical Facilities Raw]]/$R$2)*100</f>
        <v>0</v>
      </c>
      <c r="T1989" s="180">
        <f>FME_Ranking1[[#This Row],[Critical Facilities Score (Normalized, Unweighted)]]*$R$3</f>
        <v>0</v>
      </c>
      <c r="U1989">
        <f>_xlfn.XLOOKUP(FME_Ranking1[[#This Row],[FME ID]],FME_Input[FME_ID],FME_Input[LWC])</f>
        <v>0</v>
      </c>
      <c r="V1989" s="178">
        <f>(FME_Ranking1[[#This Row],[LWC Raw]]/$U$2)*100</f>
        <v>0</v>
      </c>
      <c r="W1989" s="178">
        <f>FME_Ranking1[[#This Row],[LWC Score (Normalized, Unweighted)]]*$U$3</f>
        <v>0</v>
      </c>
      <c r="X1989" s="246">
        <f>_xlfn.XLOOKUP(FME_Ranking1[[#This Row],[FME ID]],FME_Input[FME_ID],FME_Input[ROADCLS])</f>
        <v>0</v>
      </c>
      <c r="Y1989" s="230">
        <f>(FME_Ranking1[[#This Row],[Closures Raw]]/$X$2)*100</f>
        <v>0</v>
      </c>
      <c r="Z1989" s="180">
        <f>FME_Ranking1[[#This Row],[Closures Score (Normalized, Unweighted)]]*$X$3</f>
        <v>0</v>
      </c>
      <c r="AA1989" s="253">
        <f>_xlfn.XLOOKUP(FME_Ranking1[[#This Row],[FME ID]],FME_Input[FME_ID],FME_Input[ROAD_MILES100])</f>
        <v>1.7285463809967041</v>
      </c>
      <c r="AB1989" s="178">
        <f>(FME_Ranking1[[#This Row],[Miles Raw]]/$AA$2)*100</f>
        <v>2.2727284616625779E-2</v>
      </c>
      <c r="AC1989" s="178">
        <f>FME_Ranking1[[#This Row],[Miles Score (Normalized, Unweighted)]]*$AA$3</f>
        <v>2.2727284616625779E-3</v>
      </c>
      <c r="AD1989" s="255">
        <f>_xlfn.XLOOKUP(FME_Ranking1[[#This Row],[FME ID]],FME_Input[FME_ID],FME_Input[FARMACRE100])</f>
        <v>126.89296722412109</v>
      </c>
      <c r="AE1989" s="230">
        <f>(FME_Ranking1[[#This Row],[Ag Land Raw]]/$AD$2)*100</f>
        <v>5.2324979314868104E-3</v>
      </c>
      <c r="AF1989" s="231">
        <f>FME_Ranking1[[#This Row],[Ag Land Score (Normalized, Unweighted)]]*$AD$3</f>
        <v>2.6162489657434055E-4</v>
      </c>
      <c r="AG198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3.1107549422611843E-3</v>
      </c>
      <c r="AH1989" s="406">
        <f t="shared" si="30"/>
        <v>1897</v>
      </c>
      <c r="AI198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3.1107549422611843E-3</v>
      </c>
      <c r="AJ1989" s="257">
        <f>FME_Ranking1[[#This Row],[Addition check]]-FME_Ranking1[[#This Row],[Weighted Score Based on Normalized Reported Factors]]</f>
        <v>0</v>
      </c>
      <c r="AK1989" s="178">
        <f>_xlfn.RANK.EQ(AI1989,$AI$6:$AI$2341,0)+COUNTIF($AI$6:AI1989,AI1989)-1</f>
        <v>1897</v>
      </c>
    </row>
    <row r="1990" spans="1:37" x14ac:dyDescent="0.25">
      <c r="A1990" t="s">
        <v>5492</v>
      </c>
      <c r="B1990">
        <f>_xlfn.XLOOKUP(FME_Ranking1[[#This Row],[FME ID]],FME_Input[FME_ID],FME_Input[RFPG_NUM])</f>
        <v>4</v>
      </c>
      <c r="C1990" t="str">
        <f>_xlfn.XLOOKUP(FME_Ranking1[[#This Row],[FME ID]],FME_Input[FME_ID],FME_Input[FME_NAME])</f>
        <v>San Augustine County Flood Hazard Mapping</v>
      </c>
      <c r="D1990" t="str">
        <f>_xlfn.XLOOKUP(FME_Ranking1[[#This Row],[FME ID]],FME_Input[FME_ID],FME_Input[DESCR])</f>
        <v>Complete a detailed study within the county extent to delineate an updated flood hazard area, which can be used for regulatory purposes.</v>
      </c>
      <c r="E1990" s="256">
        <f>_xlfn.XLOOKUP(FME_Ranking1[[#This Row],[FME ID]],FME_Input[FME_ID],FME_Input[FME_COST])</f>
        <v>100000</v>
      </c>
      <c r="F1990" t="str">
        <f>_xlfn.XLOOKUP(FME_Ranking1[[#This Row],[FME ID]],FME_Input[FME_ID],FME_Input[EMER_NEED])</f>
        <v>Yes</v>
      </c>
      <c r="G1990">
        <f>IF(FME_Ranking!F1990="Yes",100,0)</f>
        <v>100</v>
      </c>
      <c r="H1990">
        <f>FME_Ranking1[[#This Row],[Emergency Need Score (Normalized, Unweighted)]]*$F$3</f>
        <v>0</v>
      </c>
      <c r="I1990" s="246">
        <f>_xlfn.XLOOKUP(FME_Ranking1[[#This Row],[FME ID]],FME_Input[FME_ID],FME_Input[STRUCT_100])</f>
        <v>1</v>
      </c>
      <c r="J1990" s="178">
        <f>(FME_Ranking1[[#This Row],[Structures 100 Raw]]/I$2)*100</f>
        <v>5.3549243884676355E-4</v>
      </c>
      <c r="K1990" s="178">
        <f>FME_Ranking1[[#This Row],[Structures 100  Score (Normalized, Unweighted)]]*$I$3</f>
        <v>8.0323865827014533E-5</v>
      </c>
      <c r="L1990" s="246">
        <f>_xlfn.XLOOKUP(FME_Ranking1[[#This Row],[FME ID]],FME_Input[FME_ID],FME_Input[RES_STRUCT100])</f>
        <v>0</v>
      </c>
      <c r="M1990" s="230">
        <f>(FME_Ranking1[[#This Row],[Res Structures Raw]]/L$2)*100</f>
        <v>0</v>
      </c>
      <c r="N1990" s="180">
        <f>FME_Ranking1[[#This Row],[Res Structures Score (Normalized, Unweighted)]]*$L$3</f>
        <v>0</v>
      </c>
      <c r="O1990" s="244">
        <f>_xlfn.XLOOKUP(FME_Ranking1[[#This Row],[FME ID]],FME_Input[FME_ID],FME_Input[POP100])</f>
        <v>0</v>
      </c>
      <c r="P1990" s="178">
        <f>(FME_Ranking1[[#This Row],[Pop Raw]]/$O$2)*100</f>
        <v>0</v>
      </c>
      <c r="Q1990" s="178">
        <f>FME_Ranking1[[#This Row],[Pop Score (Normalized, Unweighted)]]*$O$3</f>
        <v>0</v>
      </c>
      <c r="R1990" s="137">
        <f>_xlfn.XLOOKUP(FME_Ranking1[[#This Row],[FME ID]],FME_Input[FME_ID],FME_Input[CRITFAC100])</f>
        <v>0</v>
      </c>
      <c r="S1990" s="230">
        <f>(FME_Ranking1[[#This Row],[Critical Facilities Raw]]/$R$2)*100</f>
        <v>0</v>
      </c>
      <c r="T1990" s="180">
        <f>FME_Ranking1[[#This Row],[Critical Facilities Score (Normalized, Unweighted)]]*$R$3</f>
        <v>0</v>
      </c>
      <c r="U1990">
        <f>_xlfn.XLOOKUP(FME_Ranking1[[#This Row],[FME ID]],FME_Input[FME_ID],FME_Input[LWC])</f>
        <v>0</v>
      </c>
      <c r="V1990" s="178">
        <f>(FME_Ranking1[[#This Row],[LWC Raw]]/$U$2)*100</f>
        <v>0</v>
      </c>
      <c r="W1990" s="178">
        <f>FME_Ranking1[[#This Row],[LWC Score (Normalized, Unweighted)]]*$U$3</f>
        <v>0</v>
      </c>
      <c r="X1990" s="246">
        <f>_xlfn.XLOOKUP(FME_Ranking1[[#This Row],[FME ID]],FME_Input[FME_ID],FME_Input[ROADCLS])</f>
        <v>0</v>
      </c>
      <c r="Y1990" s="230">
        <f>(FME_Ranking1[[#This Row],[Closures Raw]]/$X$2)*100</f>
        <v>0</v>
      </c>
      <c r="Z1990" s="180">
        <f>FME_Ranking1[[#This Row],[Closures Score (Normalized, Unweighted)]]*$X$3</f>
        <v>0</v>
      </c>
      <c r="AA1990" s="253">
        <f>_xlfn.XLOOKUP(FME_Ranking1[[#This Row],[FME ID]],FME_Input[FME_ID],FME_Input[ROAD_MILES100])</f>
        <v>1.7511260509490969</v>
      </c>
      <c r="AB1990" s="178">
        <f>(FME_Ranking1[[#This Row],[Miles Raw]]/$AA$2)*100</f>
        <v>2.3024166777960438E-2</v>
      </c>
      <c r="AC1990" s="178">
        <f>FME_Ranking1[[#This Row],[Miles Score (Normalized, Unweighted)]]*$AA$3</f>
        <v>2.302416677796044E-3</v>
      </c>
      <c r="AD1990" s="255">
        <f>_xlfn.XLOOKUP(FME_Ranking1[[#This Row],[FME ID]],FME_Input[FME_ID],FME_Input[FARMACRE100])</f>
        <v>345.5302734375</v>
      </c>
      <c r="AE1990" s="230">
        <f>(FME_Ranking1[[#This Row],[Ag Land Raw]]/$AD$2)*100</f>
        <v>1.4248121709018643E-2</v>
      </c>
      <c r="AF1990" s="231">
        <f>FME_Ranking1[[#This Row],[Ag Land Score (Normalized, Unweighted)]]*$AD$3</f>
        <v>7.124060854509322E-4</v>
      </c>
      <c r="AG199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3.0951466290739908E-3</v>
      </c>
      <c r="AH1990" s="406">
        <f t="shared" ref="AH1990:AH2053" si="31">_xlfn.RANK.EQ(AG1990,$AG$6:$AG$2341,0)</f>
        <v>1898</v>
      </c>
      <c r="AI199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3.0951466290739908E-3</v>
      </c>
      <c r="AJ1990" s="257">
        <f>FME_Ranking1[[#This Row],[Addition check]]-FME_Ranking1[[#This Row],[Weighted Score Based on Normalized Reported Factors]]</f>
        <v>0</v>
      </c>
      <c r="AK1990" s="178">
        <f>_xlfn.RANK.EQ(AI1990,$AI$6:$AI$2341,0)+COUNTIF($AI$6:AI1990,AI1990)-1</f>
        <v>1898</v>
      </c>
    </row>
    <row r="1991" spans="1:37" x14ac:dyDescent="0.25">
      <c r="A1991" t="s">
        <v>5499</v>
      </c>
      <c r="B1991">
        <f>_xlfn.XLOOKUP(FME_Ranking1[[#This Row],[FME ID]],FME_Input[FME_ID],FME_Input[RFPG_NUM])</f>
        <v>4</v>
      </c>
      <c r="C1991" t="str">
        <f>_xlfn.XLOOKUP(FME_Ranking1[[#This Row],[FME ID]],FME_Input[FME_ID],FME_Input[FME_NAME])</f>
        <v>San Augustine County Drainage Master Plan</v>
      </c>
      <c r="D1991" t="str">
        <f>_xlfn.XLOOKUP(FME_Ranking1[[#This Row],[FME ID]],FME_Input[FME_ID],FME_Input[DESCR])</f>
        <v>Perform H&amp;H modeling to identify and define flood risk, develop conceptual alternatives to reduce flood risk, develop OPCC for conceptual alternatives, and rank projects. Conceptual alternatives should evaluate feasibility of nature based solutions.</v>
      </c>
      <c r="E1991" s="256">
        <f>_xlfn.XLOOKUP(FME_Ranking1[[#This Row],[FME ID]],FME_Input[FME_ID],FME_Input[FME_COST])</f>
        <v>50000</v>
      </c>
      <c r="F1991" t="str">
        <f>_xlfn.XLOOKUP(FME_Ranking1[[#This Row],[FME ID]],FME_Input[FME_ID],FME_Input[EMER_NEED])</f>
        <v>Yes</v>
      </c>
      <c r="G1991">
        <f>IF(FME_Ranking!F1991="Yes",100,0)</f>
        <v>100</v>
      </c>
      <c r="H1991">
        <f>FME_Ranking1[[#This Row],[Emergency Need Score (Normalized, Unweighted)]]*$F$3</f>
        <v>0</v>
      </c>
      <c r="I1991" s="246">
        <f>_xlfn.XLOOKUP(FME_Ranking1[[#This Row],[FME ID]],FME_Input[FME_ID],FME_Input[STRUCT_100])</f>
        <v>1</v>
      </c>
      <c r="J1991" s="178">
        <f>(FME_Ranking1[[#This Row],[Structures 100 Raw]]/I$2)*100</f>
        <v>5.3549243884676355E-4</v>
      </c>
      <c r="K1991" s="178">
        <f>FME_Ranking1[[#This Row],[Structures 100  Score (Normalized, Unweighted)]]*$I$3</f>
        <v>8.0323865827014533E-5</v>
      </c>
      <c r="L1991" s="246">
        <f>_xlfn.XLOOKUP(FME_Ranking1[[#This Row],[FME ID]],FME_Input[FME_ID],FME_Input[RES_STRUCT100])</f>
        <v>0</v>
      </c>
      <c r="M1991" s="230">
        <f>(FME_Ranking1[[#This Row],[Res Structures Raw]]/L$2)*100</f>
        <v>0</v>
      </c>
      <c r="N1991" s="180">
        <f>FME_Ranking1[[#This Row],[Res Structures Score (Normalized, Unweighted)]]*$L$3</f>
        <v>0</v>
      </c>
      <c r="O1991" s="244">
        <f>_xlfn.XLOOKUP(FME_Ranking1[[#This Row],[FME ID]],FME_Input[FME_ID],FME_Input[POP100])</f>
        <v>0</v>
      </c>
      <c r="P1991" s="178">
        <f>(FME_Ranking1[[#This Row],[Pop Raw]]/$O$2)*100</f>
        <v>0</v>
      </c>
      <c r="Q1991" s="178">
        <f>FME_Ranking1[[#This Row],[Pop Score (Normalized, Unweighted)]]*$O$3</f>
        <v>0</v>
      </c>
      <c r="R1991" s="137">
        <f>_xlfn.XLOOKUP(FME_Ranking1[[#This Row],[FME ID]],FME_Input[FME_ID],FME_Input[CRITFAC100])</f>
        <v>0</v>
      </c>
      <c r="S1991" s="230">
        <f>(FME_Ranking1[[#This Row],[Critical Facilities Raw]]/$R$2)*100</f>
        <v>0</v>
      </c>
      <c r="T1991" s="180">
        <f>FME_Ranking1[[#This Row],[Critical Facilities Score (Normalized, Unweighted)]]*$R$3</f>
        <v>0</v>
      </c>
      <c r="U1991">
        <f>_xlfn.XLOOKUP(FME_Ranking1[[#This Row],[FME ID]],FME_Input[FME_ID],FME_Input[LWC])</f>
        <v>0</v>
      </c>
      <c r="V1991" s="178">
        <f>(FME_Ranking1[[#This Row],[LWC Raw]]/$U$2)*100</f>
        <v>0</v>
      </c>
      <c r="W1991" s="178">
        <f>FME_Ranking1[[#This Row],[LWC Score (Normalized, Unweighted)]]*$U$3</f>
        <v>0</v>
      </c>
      <c r="X1991" s="246">
        <f>_xlfn.XLOOKUP(FME_Ranking1[[#This Row],[FME ID]],FME_Input[FME_ID],FME_Input[ROADCLS])</f>
        <v>0</v>
      </c>
      <c r="Y1991" s="230">
        <f>(FME_Ranking1[[#This Row],[Closures Raw]]/$X$2)*100</f>
        <v>0</v>
      </c>
      <c r="Z1991" s="180">
        <f>FME_Ranking1[[#This Row],[Closures Score (Normalized, Unweighted)]]*$X$3</f>
        <v>0</v>
      </c>
      <c r="AA1991" s="253">
        <f>_xlfn.XLOOKUP(FME_Ranking1[[#This Row],[FME ID]],FME_Input[FME_ID],FME_Input[ROAD_MILES100])</f>
        <v>1.7511260509490969</v>
      </c>
      <c r="AB1991" s="178">
        <f>(FME_Ranking1[[#This Row],[Miles Raw]]/$AA$2)*100</f>
        <v>2.3024166777960438E-2</v>
      </c>
      <c r="AC1991" s="178">
        <f>FME_Ranking1[[#This Row],[Miles Score (Normalized, Unweighted)]]*$AA$3</f>
        <v>2.302416677796044E-3</v>
      </c>
      <c r="AD1991" s="255">
        <f>_xlfn.XLOOKUP(FME_Ranking1[[#This Row],[FME ID]],FME_Input[FME_ID],FME_Input[FARMACRE100])</f>
        <v>345.5302734375</v>
      </c>
      <c r="AE1991" s="230">
        <f>(FME_Ranking1[[#This Row],[Ag Land Raw]]/$AD$2)*100</f>
        <v>1.4248121709018643E-2</v>
      </c>
      <c r="AF1991" s="231">
        <f>FME_Ranking1[[#This Row],[Ag Land Score (Normalized, Unweighted)]]*$AD$3</f>
        <v>7.124060854509322E-4</v>
      </c>
      <c r="AG199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3.0951466290739908E-3</v>
      </c>
      <c r="AH1991" s="406">
        <f t="shared" si="31"/>
        <v>1898</v>
      </c>
      <c r="AI199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3.0951466290739908E-3</v>
      </c>
      <c r="AJ1991" s="257">
        <f>FME_Ranking1[[#This Row],[Addition check]]-FME_Ranking1[[#This Row],[Weighted Score Based on Normalized Reported Factors]]</f>
        <v>0</v>
      </c>
      <c r="AK1991" s="178">
        <f>_xlfn.RANK.EQ(AI1991,$AI$6:$AI$2341,0)+COUNTIF($AI$6:AI1991,AI1991)-1</f>
        <v>1899</v>
      </c>
    </row>
    <row r="1992" spans="1:37" x14ac:dyDescent="0.25">
      <c r="A1992" t="s">
        <v>4719</v>
      </c>
      <c r="B1992">
        <f>_xlfn.XLOOKUP(FME_Ranking1[[#This Row],[FME ID]],FME_Input[FME_ID],FME_Input[RFPG_NUM])</f>
        <v>3</v>
      </c>
      <c r="C1992" t="str">
        <f>_xlfn.XLOOKUP(FME_Ranking1[[#This Row],[FME ID]],FME_Input[FME_ID],FME_Input[FME_NAME])</f>
        <v>Bowles St &amp; Hensley Drive</v>
      </c>
      <c r="D1992" t="str">
        <f>_xlfn.XLOOKUP(FME_Ranking1[[#This Row],[FME ID]],FME_Input[FME_ID],FME_Input[DESCR])</f>
        <v>Study update - Storm Drain Improvements; Estimated construction cost of $1,295,700</v>
      </c>
      <c r="E1992" s="256">
        <f>_xlfn.XLOOKUP(FME_Ranking1[[#This Row],[FME ID]],FME_Input[FME_ID],FME_Input[FME_COST])</f>
        <v>250000</v>
      </c>
      <c r="F1992" t="str">
        <f>_xlfn.XLOOKUP(FME_Ranking1[[#This Row],[FME ID]],FME_Input[FME_ID],FME_Input[EMER_NEED])</f>
        <v>No</v>
      </c>
      <c r="G1992">
        <f>IF(FME_Ranking!F1992="Yes",100,0)</f>
        <v>0</v>
      </c>
      <c r="H1992">
        <f>FME_Ranking1[[#This Row],[Emergency Need Score (Normalized, Unweighted)]]*$F$3</f>
        <v>0</v>
      </c>
      <c r="I1992" s="246">
        <f>_xlfn.XLOOKUP(FME_Ranking1[[#This Row],[FME ID]],FME_Input[FME_ID],FME_Input[STRUCT_100])</f>
        <v>5</v>
      </c>
      <c r="J1992" s="178">
        <f>(FME_Ranking1[[#This Row],[Structures 100 Raw]]/I$2)*100</f>
        <v>2.6774621942338172E-3</v>
      </c>
      <c r="K1992" s="178">
        <f>FME_Ranking1[[#This Row],[Structures 100  Score (Normalized, Unweighted)]]*$I$3</f>
        <v>4.0161932913507258E-4</v>
      </c>
      <c r="L1992" s="246">
        <f>_xlfn.XLOOKUP(FME_Ranking1[[#This Row],[FME ID]],FME_Input[FME_ID],FME_Input[RES_STRUCT100])</f>
        <v>5</v>
      </c>
      <c r="M1992" s="230">
        <f>(FME_Ranking1[[#This Row],[Res Structures Raw]]/L$2)*100</f>
        <v>3.5415279568216909E-3</v>
      </c>
      <c r="N1992" s="180">
        <f>FME_Ranking1[[#This Row],[Res Structures Score (Normalized, Unweighted)]]*$L$3</f>
        <v>3.5415279568216913E-4</v>
      </c>
      <c r="O1992" s="244">
        <f>_xlfn.XLOOKUP(FME_Ranking1[[#This Row],[FME ID]],FME_Input[FME_ID],FME_Input[POP100])</f>
        <v>0</v>
      </c>
      <c r="P1992" s="178">
        <f>(FME_Ranking1[[#This Row],[Pop Raw]]/$O$2)*100</f>
        <v>0</v>
      </c>
      <c r="Q1992" s="178">
        <f>FME_Ranking1[[#This Row],[Pop Score (Normalized, Unweighted)]]*$O$3</f>
        <v>0</v>
      </c>
      <c r="R1992" s="137">
        <f>_xlfn.XLOOKUP(FME_Ranking1[[#This Row],[FME ID]],FME_Input[FME_ID],FME_Input[CRITFAC100])</f>
        <v>0</v>
      </c>
      <c r="S1992" s="230">
        <f>(FME_Ranking1[[#This Row],[Critical Facilities Raw]]/$R$2)*100</f>
        <v>0</v>
      </c>
      <c r="T1992" s="180">
        <f>FME_Ranking1[[#This Row],[Critical Facilities Score (Normalized, Unweighted)]]*$R$3</f>
        <v>0</v>
      </c>
      <c r="U1992">
        <f>_xlfn.XLOOKUP(FME_Ranking1[[#This Row],[FME ID]],FME_Input[FME_ID],FME_Input[LWC])</f>
        <v>0</v>
      </c>
      <c r="V1992" s="178">
        <f>(FME_Ranking1[[#This Row],[LWC Raw]]/$U$2)*100</f>
        <v>0</v>
      </c>
      <c r="W1992" s="178">
        <f>FME_Ranking1[[#This Row],[LWC Score (Normalized, Unweighted)]]*$U$3</f>
        <v>0</v>
      </c>
      <c r="X1992" s="246">
        <f>_xlfn.XLOOKUP(FME_Ranking1[[#This Row],[FME ID]],FME_Input[FME_ID],FME_Input[ROADCLS])</f>
        <v>0</v>
      </c>
      <c r="Y1992" s="230">
        <f>(FME_Ranking1[[#This Row],[Closures Raw]]/$X$2)*100</f>
        <v>0</v>
      </c>
      <c r="Z1992" s="180">
        <f>FME_Ranking1[[#This Row],[Closures Score (Normalized, Unweighted)]]*$X$3</f>
        <v>0</v>
      </c>
      <c r="AA1992" s="253">
        <f>_xlfn.XLOOKUP(FME_Ranking1[[#This Row],[FME ID]],FME_Input[FME_ID],FME_Input[ROAD_MILES100])</f>
        <v>0.99285262823104858</v>
      </c>
      <c r="AB1992" s="178">
        <f>(FME_Ranking1[[#This Row],[Miles Raw]]/$AA$2)*100</f>
        <v>1.3054231296449666E-2</v>
      </c>
      <c r="AC1992" s="178">
        <f>FME_Ranking1[[#This Row],[Miles Score (Normalized, Unweighted)]]*$AA$3</f>
        <v>1.3054231296449666E-3</v>
      </c>
      <c r="AD1992" s="255">
        <f>_xlfn.XLOOKUP(FME_Ranking1[[#This Row],[FME ID]],FME_Input[FME_ID],FME_Input[FARMACRE100])</f>
        <v>9.6170654296875</v>
      </c>
      <c r="AE1992" s="230">
        <f>(FME_Ranking1[[#This Row],[Ag Land Raw]]/$AD$2)*100</f>
        <v>3.9656472749143484E-4</v>
      </c>
      <c r="AF1992" s="231">
        <f>FME_Ranking1[[#This Row],[Ag Land Score (Normalized, Unweighted)]]*$AD$3</f>
        <v>1.9828236374571745E-5</v>
      </c>
      <c r="AG199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2.0810234908367801E-3</v>
      </c>
      <c r="AH1992" s="406">
        <f t="shared" si="31"/>
        <v>1953</v>
      </c>
      <c r="AI199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2.0810234908367801E-3</v>
      </c>
      <c r="AJ1992" s="257">
        <f>FME_Ranking1[[#This Row],[Addition check]]-FME_Ranking1[[#This Row],[Weighted Score Based on Normalized Reported Factors]]</f>
        <v>0</v>
      </c>
      <c r="AK1992" s="178">
        <f>_xlfn.RANK.EQ(AI1992,$AI$6:$AI$2341,0)+COUNTIF($AI$6:AI1992,AI1992)-1</f>
        <v>1953</v>
      </c>
    </row>
    <row r="1993" spans="1:37" x14ac:dyDescent="0.25">
      <c r="A1993" t="s">
        <v>7862</v>
      </c>
      <c r="B1993">
        <f>_xlfn.XLOOKUP(FME_Ranking1[[#This Row],[FME ID]],FME_Input[FME_ID],FME_Input[RFPG_NUM])</f>
        <v>9</v>
      </c>
      <c r="C1993" t="str">
        <f>_xlfn.XLOOKUP(FME_Ranking1[[#This Row],[FME ID]],FME_Input[FME_ID],FME_Input[FME_NAME])</f>
        <v>San Angelo Street Flooding 12</v>
      </c>
      <c r="D1993" t="str">
        <f>_xlfn.XLOOKUP(FME_Ranking1[[#This Row],[FME ID]],FME_Input[FME_ID],FME_Input[DESCR])</f>
        <v>Excessive street flow, street flooding Amarillo St at 39th, Goliad</v>
      </c>
      <c r="E1993" s="256">
        <f>_xlfn.XLOOKUP(FME_Ranking1[[#This Row],[FME ID]],FME_Input[FME_ID],FME_Input[FME_COST])</f>
        <v>25000</v>
      </c>
      <c r="F1993" t="str">
        <f>_xlfn.XLOOKUP(FME_Ranking1[[#This Row],[FME ID]],FME_Input[FME_ID],FME_Input[EMER_NEED])</f>
        <v>Yes</v>
      </c>
      <c r="G1993">
        <f>IF(FME_Ranking!F1993="Yes",100,0)</f>
        <v>100</v>
      </c>
      <c r="H1993">
        <f>FME_Ranking1[[#This Row],[Emergency Need Score (Normalized, Unweighted)]]*$F$3</f>
        <v>0</v>
      </c>
      <c r="I1993" s="246">
        <f>_xlfn.XLOOKUP(FME_Ranking1[[#This Row],[FME ID]],FME_Input[FME_ID],FME_Input[STRUCT_100])</f>
        <v>4</v>
      </c>
      <c r="J1993" s="178">
        <f>(FME_Ranking1[[#This Row],[Structures 100 Raw]]/I$2)*100</f>
        <v>2.1419697553870542E-3</v>
      </c>
      <c r="K1993" s="178">
        <f>FME_Ranking1[[#This Row],[Structures 100  Score (Normalized, Unweighted)]]*$I$3</f>
        <v>3.2129546330805813E-4</v>
      </c>
      <c r="L1993" s="246">
        <f>_xlfn.XLOOKUP(FME_Ranking1[[#This Row],[FME ID]],FME_Input[FME_ID],FME_Input[RES_STRUCT100])</f>
        <v>4</v>
      </c>
      <c r="M1993" s="230">
        <f>(FME_Ranking1[[#This Row],[Res Structures Raw]]/L$2)*100</f>
        <v>2.833222365457353E-3</v>
      </c>
      <c r="N1993" s="180">
        <f>FME_Ranking1[[#This Row],[Res Structures Score (Normalized, Unweighted)]]*$L$3</f>
        <v>2.8332223654573533E-4</v>
      </c>
      <c r="O1993" s="244">
        <f>_xlfn.XLOOKUP(FME_Ranking1[[#This Row],[FME ID]],FME_Input[FME_ID],FME_Input[POP100])</f>
        <v>11</v>
      </c>
      <c r="P1993" s="178">
        <f>(FME_Ranking1[[#This Row],[Pop Raw]]/$O$2)*100</f>
        <v>1.1261284318763961E-3</v>
      </c>
      <c r="Q1993" s="178">
        <f>FME_Ranking1[[#This Row],[Pop Score (Normalized, Unweighted)]]*$O$3</f>
        <v>1.6891926478145941E-4</v>
      </c>
      <c r="R1993" s="137">
        <f>_xlfn.XLOOKUP(FME_Ranking1[[#This Row],[FME ID]],FME_Input[FME_ID],FME_Input[CRITFAC100])</f>
        <v>0</v>
      </c>
      <c r="S1993" s="230">
        <f>(FME_Ranking1[[#This Row],[Critical Facilities Raw]]/$R$2)*100</f>
        <v>0</v>
      </c>
      <c r="T1993" s="180">
        <f>FME_Ranking1[[#This Row],[Critical Facilities Score (Normalized, Unweighted)]]*$R$3</f>
        <v>0</v>
      </c>
      <c r="U1993">
        <f>_xlfn.XLOOKUP(FME_Ranking1[[#This Row],[FME ID]],FME_Input[FME_ID],FME_Input[LWC])</f>
        <v>0</v>
      </c>
      <c r="V1993" s="178">
        <f>(FME_Ranking1[[#This Row],[LWC Raw]]/$U$2)*100</f>
        <v>0</v>
      </c>
      <c r="W1993" s="178">
        <f>FME_Ranking1[[#This Row],[LWC Score (Normalized, Unweighted)]]*$U$3</f>
        <v>0</v>
      </c>
      <c r="X1993" s="246">
        <f>_xlfn.XLOOKUP(FME_Ranking1[[#This Row],[FME ID]],FME_Input[FME_ID],FME_Input[ROADCLS])</f>
        <v>0</v>
      </c>
      <c r="Y1993" s="230">
        <f>(FME_Ranking1[[#This Row],[Closures Raw]]/$X$2)*100</f>
        <v>0</v>
      </c>
      <c r="Z1993" s="180">
        <f>FME_Ranking1[[#This Row],[Closures Score (Normalized, Unweighted)]]*$X$3</f>
        <v>0</v>
      </c>
      <c r="AA1993" s="253">
        <f>_xlfn.XLOOKUP(FME_Ranking1[[#This Row],[FME ID]],FME_Input[FME_ID],FME_Input[ROAD_MILES100])</f>
        <v>5.1898255944252007E-2</v>
      </c>
      <c r="AB1993" s="178">
        <f>(FME_Ranking1[[#This Row],[Miles Raw]]/$AA$2)*100</f>
        <v>6.8236898177495597E-4</v>
      </c>
      <c r="AC1993" s="178">
        <f>FME_Ranking1[[#This Row],[Miles Score (Normalized, Unweighted)]]*$AA$3</f>
        <v>6.8236898177495597E-5</v>
      </c>
      <c r="AD1993" s="255">
        <f>_xlfn.XLOOKUP(FME_Ranking1[[#This Row],[FME ID]],FME_Input[FME_ID],FME_Input[FARMACRE100])</f>
        <v>0</v>
      </c>
      <c r="AE1993" s="230">
        <f>(FME_Ranking1[[#This Row],[Ag Land Raw]]/$AD$2)*100</f>
        <v>0</v>
      </c>
      <c r="AF1993" s="231">
        <f>FME_Ranking1[[#This Row],[Ag Land Score (Normalized, Unweighted)]]*$AD$3</f>
        <v>0</v>
      </c>
      <c r="AG199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8.4177386281274842E-4</v>
      </c>
      <c r="AH1993" s="406">
        <f t="shared" si="31"/>
        <v>2040</v>
      </c>
      <c r="AI199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8.4177386281274842E-4</v>
      </c>
      <c r="AJ1993" s="257">
        <f>FME_Ranking1[[#This Row],[Addition check]]-FME_Ranking1[[#This Row],[Weighted Score Based on Normalized Reported Factors]]</f>
        <v>0</v>
      </c>
      <c r="AK1993" s="178">
        <f>_xlfn.RANK.EQ(AI1993,$AI$6:$AI$2341,0)+COUNTIF($AI$6:AI1993,AI1993)-1</f>
        <v>2040</v>
      </c>
    </row>
    <row r="1994" spans="1:37" x14ac:dyDescent="0.25">
      <c r="A1994" t="s">
        <v>6083</v>
      </c>
      <c r="B1994">
        <f>_xlfn.XLOOKUP(FME_Ranking1[[#This Row],[FME ID]],FME_Input[FME_ID],FME_Input[RFPG_NUM])</f>
        <v>5</v>
      </c>
      <c r="C1994" t="str">
        <f>_xlfn.XLOOKUP(FME_Ranking1[[#This Row],[FME ID]],FME_Input[FME_ID],FME_Input[FME_NAME])</f>
        <v>Preliminary Engineering of Gibsonville Street and Porterville Road Bridges Improvements</v>
      </c>
      <c r="D1994" t="str">
        <f>_xlfn.XLOOKUP(FME_Ranking1[[#This Row],[FME ID]],FME_Input[FME_ID],FME_Input[DESCR])</f>
        <v>Evaluate alternatives to raise bridges on Gibsonville St. and Porterville Road to increase flow of creek under.</v>
      </c>
      <c r="E1994" s="256">
        <f>_xlfn.XLOOKUP(FME_Ranking1[[#This Row],[FME ID]],FME_Input[FME_ID],FME_Input[FME_COST])</f>
        <v>650000</v>
      </c>
      <c r="F1994" t="str">
        <f>_xlfn.XLOOKUP(FME_Ranking1[[#This Row],[FME ID]],FME_Input[FME_ID],FME_Input[EMER_NEED])</f>
        <v>No</v>
      </c>
      <c r="G1994">
        <f>IF(FME_Ranking!F1994="Yes",100,0)</f>
        <v>0</v>
      </c>
      <c r="H1994">
        <f>FME_Ranking1[[#This Row],[Emergency Need Score (Normalized, Unweighted)]]*$F$3</f>
        <v>0</v>
      </c>
      <c r="I1994" s="246">
        <f>_xlfn.XLOOKUP(FME_Ranking1[[#This Row],[FME ID]],FME_Input[FME_ID],FME_Input[STRUCT_100])</f>
        <v>6</v>
      </c>
      <c r="J1994" s="178">
        <f>(FME_Ranking1[[#This Row],[Structures 100 Raw]]/I$2)*100</f>
        <v>3.2129546330805807E-3</v>
      </c>
      <c r="K1994" s="178">
        <f>FME_Ranking1[[#This Row],[Structures 100  Score (Normalized, Unweighted)]]*$I$3</f>
        <v>4.8194319496208709E-4</v>
      </c>
      <c r="L1994" s="246">
        <f>_xlfn.XLOOKUP(FME_Ranking1[[#This Row],[FME ID]],FME_Input[FME_ID],FME_Input[RES_STRUCT100])</f>
        <v>4</v>
      </c>
      <c r="M1994" s="230">
        <f>(FME_Ranking1[[#This Row],[Res Structures Raw]]/L$2)*100</f>
        <v>2.833222365457353E-3</v>
      </c>
      <c r="N1994" s="180">
        <f>FME_Ranking1[[#This Row],[Res Structures Score (Normalized, Unweighted)]]*$L$3</f>
        <v>2.8332223654573533E-4</v>
      </c>
      <c r="O1994" s="244">
        <f>_xlfn.XLOOKUP(FME_Ranking1[[#This Row],[FME ID]],FME_Input[FME_ID],FME_Input[POP100])</f>
        <v>0</v>
      </c>
      <c r="P1994" s="178">
        <f>(FME_Ranking1[[#This Row],[Pop Raw]]/$O$2)*100</f>
        <v>0</v>
      </c>
      <c r="Q1994" s="178">
        <f>FME_Ranking1[[#This Row],[Pop Score (Normalized, Unweighted)]]*$O$3</f>
        <v>0</v>
      </c>
      <c r="R1994" s="137">
        <f>_xlfn.XLOOKUP(FME_Ranking1[[#This Row],[FME ID]],FME_Input[FME_ID],FME_Input[CRITFAC100])</f>
        <v>0</v>
      </c>
      <c r="S1994" s="230">
        <f>(FME_Ranking1[[#This Row],[Critical Facilities Raw]]/$R$2)*100</f>
        <v>0</v>
      </c>
      <c r="T1994" s="180">
        <f>FME_Ranking1[[#This Row],[Critical Facilities Score (Normalized, Unweighted)]]*$R$3</f>
        <v>0</v>
      </c>
      <c r="U1994">
        <f>_xlfn.XLOOKUP(FME_Ranking1[[#This Row],[FME ID]],FME_Input[FME_ID],FME_Input[LWC])</f>
        <v>0</v>
      </c>
      <c r="V1994" s="178">
        <f>(FME_Ranking1[[#This Row],[LWC Raw]]/$U$2)*100</f>
        <v>0</v>
      </c>
      <c r="W1994" s="178">
        <f>FME_Ranking1[[#This Row],[LWC Score (Normalized, Unweighted)]]*$U$3</f>
        <v>0</v>
      </c>
      <c r="X1994" s="246">
        <f>_xlfn.XLOOKUP(FME_Ranking1[[#This Row],[FME ID]],FME_Input[FME_ID],FME_Input[ROADCLS])</f>
        <v>0</v>
      </c>
      <c r="Y1994" s="230">
        <f>(FME_Ranking1[[#This Row],[Closures Raw]]/$X$2)*100</f>
        <v>0</v>
      </c>
      <c r="Z1994" s="180">
        <f>FME_Ranking1[[#This Row],[Closures Score (Normalized, Unweighted)]]*$X$3</f>
        <v>0</v>
      </c>
      <c r="AA1994" s="253">
        <f>_xlfn.XLOOKUP(FME_Ranking1[[#This Row],[FME ID]],FME_Input[FME_ID],FME_Input[ROAD_MILES100])</f>
        <v>2.6304819583892818</v>
      </c>
      <c r="AB1994" s="178">
        <f>(FME_Ranking1[[#This Row],[Miles Raw]]/$AA$2)*100</f>
        <v>3.4586119761935603E-2</v>
      </c>
      <c r="AC1994" s="178">
        <f>FME_Ranking1[[#This Row],[Miles Score (Normalized, Unweighted)]]*$AA$3</f>
        <v>3.4586119761935603E-3</v>
      </c>
      <c r="AD1994" s="255">
        <f>_xlfn.XLOOKUP(FME_Ranking1[[#This Row],[FME ID]],FME_Input[FME_ID],FME_Input[FARMACRE100])</f>
        <v>3.6042098999023442</v>
      </c>
      <c r="AE1994" s="230">
        <f>(FME_Ranking1[[#This Row],[Ag Land Raw]]/$AD$2)*100</f>
        <v>1.4862148201305822E-4</v>
      </c>
      <c r="AF1994" s="231">
        <f>FME_Ranking1[[#This Row],[Ag Land Score (Normalized, Unweighted)]]*$AD$3</f>
        <v>7.4310741006529112E-6</v>
      </c>
      <c r="AG199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4.2313084818020362E-3</v>
      </c>
      <c r="AH1994" s="406">
        <f t="shared" si="31"/>
        <v>1852</v>
      </c>
      <c r="AI199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4.2313084818020362E-3</v>
      </c>
      <c r="AJ1994" s="257">
        <f>FME_Ranking1[[#This Row],[Addition check]]-FME_Ranking1[[#This Row],[Weighted Score Based on Normalized Reported Factors]]</f>
        <v>0</v>
      </c>
      <c r="AK1994" s="178">
        <f>_xlfn.RANK.EQ(AI1994,$AI$6:$AI$2341,0)+COUNTIF($AI$6:AI1994,AI1994)-1</f>
        <v>1852</v>
      </c>
    </row>
    <row r="1995" spans="1:37" x14ac:dyDescent="0.25">
      <c r="A1995" t="s">
        <v>1861</v>
      </c>
      <c r="B1995">
        <f>_xlfn.XLOOKUP(FME_Ranking1[[#This Row],[FME ID]],FME_Input[FME_ID],FME_Input[RFPG_NUM])</f>
        <v>6</v>
      </c>
      <c r="C1995" t="str">
        <f>_xlfn.XLOOKUP(FME_Ranking1[[#This Row],[FME ID]],FME_Input[FME_ID],FME_Input[FME_NAME])</f>
        <v>Arcadian Gardens Subdivision Drainage Improvements</v>
      </c>
      <c r="D1995" t="str">
        <f>_xlfn.XLOOKUP(FME_Ranking1[[#This Row],[FME ID]],FME_Input[FME_ID],FME_Input[DESCR])</f>
        <v>Study to develop a Cost Benefit Analysis and elevate the project to a FMP. To achieve this goal, the key features of improvments are to rehabilitate roadside swales, build new storm sewers and improve the outfall drainage conditions.</v>
      </c>
      <c r="E1995" s="256">
        <f>_xlfn.XLOOKUP(FME_Ranking1[[#This Row],[FME ID]],FME_Input[FME_ID],FME_Input[FME_COST])</f>
        <v>30000</v>
      </c>
      <c r="F1995" t="str">
        <f>_xlfn.XLOOKUP(FME_Ranking1[[#This Row],[FME ID]],FME_Input[FME_ID],FME_Input[EMER_NEED])</f>
        <v>No</v>
      </c>
      <c r="G1995">
        <f>IF(FME_Ranking!F1995="Yes",100,0)</f>
        <v>0</v>
      </c>
      <c r="H1995">
        <f>FME_Ranking1[[#This Row],[Emergency Need Score (Normalized, Unweighted)]]*$F$3</f>
        <v>0</v>
      </c>
      <c r="I1995" s="246">
        <f>_xlfn.XLOOKUP(FME_Ranking1[[#This Row],[FME ID]],FME_Input[FME_ID],FME_Input[STRUCT_100])</f>
        <v>5</v>
      </c>
      <c r="J1995" s="178">
        <f>(FME_Ranking1[[#This Row],[Structures 100 Raw]]/I$2)*100</f>
        <v>2.6774621942338172E-3</v>
      </c>
      <c r="K1995" s="178">
        <f>FME_Ranking1[[#This Row],[Structures 100  Score (Normalized, Unweighted)]]*$I$3</f>
        <v>4.0161932913507258E-4</v>
      </c>
      <c r="L1995" s="246">
        <f>_xlfn.XLOOKUP(FME_Ranking1[[#This Row],[FME ID]],FME_Input[FME_ID],FME_Input[RES_STRUCT100])</f>
        <v>4</v>
      </c>
      <c r="M1995" s="230">
        <f>(FME_Ranking1[[#This Row],[Res Structures Raw]]/L$2)*100</f>
        <v>2.833222365457353E-3</v>
      </c>
      <c r="N1995" s="180">
        <f>FME_Ranking1[[#This Row],[Res Structures Score (Normalized, Unweighted)]]*$L$3</f>
        <v>2.8332223654573533E-4</v>
      </c>
      <c r="O1995" s="244">
        <f>_xlfn.XLOOKUP(FME_Ranking1[[#This Row],[FME ID]],FME_Input[FME_ID],FME_Input[POP100])</f>
        <v>5</v>
      </c>
      <c r="P1995" s="178">
        <f>(FME_Ranking1[[#This Row],[Pop Raw]]/$O$2)*100</f>
        <v>5.1187655994381644E-4</v>
      </c>
      <c r="Q1995" s="178">
        <f>FME_Ranking1[[#This Row],[Pop Score (Normalized, Unweighted)]]*$O$3</f>
        <v>7.6781483991572469E-5</v>
      </c>
      <c r="R1995" s="137">
        <f>_xlfn.XLOOKUP(FME_Ranking1[[#This Row],[FME ID]],FME_Input[FME_ID],FME_Input[CRITFAC100])</f>
        <v>0</v>
      </c>
      <c r="S1995" s="230">
        <f>(FME_Ranking1[[#This Row],[Critical Facilities Raw]]/$R$2)*100</f>
        <v>0</v>
      </c>
      <c r="T1995" s="180">
        <f>FME_Ranking1[[#This Row],[Critical Facilities Score (Normalized, Unweighted)]]*$R$3</f>
        <v>0</v>
      </c>
      <c r="U1995">
        <f>_xlfn.XLOOKUP(FME_Ranking1[[#This Row],[FME ID]],FME_Input[FME_ID],FME_Input[LWC])</f>
        <v>0</v>
      </c>
      <c r="V1995" s="178">
        <f>(FME_Ranking1[[#This Row],[LWC Raw]]/$U$2)*100</f>
        <v>0</v>
      </c>
      <c r="W1995" s="178">
        <f>FME_Ranking1[[#This Row],[LWC Score (Normalized, Unweighted)]]*$U$3</f>
        <v>0</v>
      </c>
      <c r="X1995" s="246">
        <f>_xlfn.XLOOKUP(FME_Ranking1[[#This Row],[FME ID]],FME_Input[FME_ID],FME_Input[ROADCLS])</f>
        <v>0</v>
      </c>
      <c r="Y1995" s="230">
        <f>(FME_Ranking1[[#This Row],[Closures Raw]]/$X$2)*100</f>
        <v>0</v>
      </c>
      <c r="Z1995" s="180">
        <f>FME_Ranking1[[#This Row],[Closures Score (Normalized, Unweighted)]]*$X$3</f>
        <v>0</v>
      </c>
      <c r="AA1995" s="253">
        <f>_xlfn.XLOOKUP(FME_Ranking1[[#This Row],[FME ID]],FME_Input[FME_ID],FME_Input[ROAD_MILES100])</f>
        <v>1.1843349784612661E-2</v>
      </c>
      <c r="AB1995" s="178">
        <f>(FME_Ranking1[[#This Row],[Miles Raw]]/$AA$2)*100</f>
        <v>1.5571880762258746E-4</v>
      </c>
      <c r="AC1995" s="178">
        <f>FME_Ranking1[[#This Row],[Miles Score (Normalized, Unweighted)]]*$AA$3</f>
        <v>1.5571880762258747E-5</v>
      </c>
      <c r="AD1995" s="255">
        <f>_xlfn.XLOOKUP(FME_Ranking1[[#This Row],[FME ID]],FME_Input[FME_ID],FME_Input[FARMACRE100])</f>
        <v>0</v>
      </c>
      <c r="AE1995" s="230">
        <f>(FME_Ranking1[[#This Row],[Ag Land Raw]]/$AD$2)*100</f>
        <v>0</v>
      </c>
      <c r="AF1995" s="231">
        <f>FME_Ranking1[[#This Row],[Ag Land Score (Normalized, Unweighted)]]*$AD$3</f>
        <v>0</v>
      </c>
      <c r="AG199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7.7729493043463905E-4</v>
      </c>
      <c r="AH1995" s="406">
        <f t="shared" si="31"/>
        <v>2046</v>
      </c>
      <c r="AI199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7.7729493043463905E-4</v>
      </c>
      <c r="AJ1995" s="257">
        <f>FME_Ranking1[[#This Row],[Addition check]]-FME_Ranking1[[#This Row],[Weighted Score Based on Normalized Reported Factors]]</f>
        <v>0</v>
      </c>
      <c r="AK1995" s="178">
        <f>_xlfn.RANK.EQ(AI1995,$AI$6:$AI$2341,0)+COUNTIF($AI$6:AI1995,AI1995)-1</f>
        <v>2046</v>
      </c>
    </row>
    <row r="1996" spans="1:37" x14ac:dyDescent="0.25">
      <c r="A1996" t="s">
        <v>6365</v>
      </c>
      <c r="B1996">
        <f>_xlfn.XLOOKUP(FME_Ranking1[[#This Row],[FME ID]],FME_Input[FME_ID],FME_Input[RFPG_NUM])</f>
        <v>5</v>
      </c>
      <c r="C1996" t="str">
        <f>_xlfn.XLOOKUP(FME_Ranking1[[#This Row],[FME ID]],FME_Input[FME_ID],FME_Input[FME_NAME])</f>
        <v>City of Lumberton Adler Ditch Drainage Improvements</v>
      </c>
      <c r="D1996" t="str">
        <f>_xlfn.XLOOKUP(FME_Ranking1[[#This Row],[FME ID]],FME_Input[FME_ID],FME_Input[DESCR])</f>
        <v>H&amp;H Study to identify alternatives for improving existing drainage of Adler Ditch</v>
      </c>
      <c r="E1996" s="256">
        <f>_xlfn.XLOOKUP(FME_Ranking1[[#This Row],[FME ID]],FME_Input[FME_ID],FME_Input[FME_COST])</f>
        <v>100000</v>
      </c>
      <c r="F1996" t="str">
        <f>_xlfn.XLOOKUP(FME_Ranking1[[#This Row],[FME ID]],FME_Input[FME_ID],FME_Input[EMER_NEED])</f>
        <v>Yes</v>
      </c>
      <c r="G1996">
        <f>IF(FME_Ranking!F1996="Yes",100,0)</f>
        <v>100</v>
      </c>
      <c r="H1996">
        <f>FME_Ranking1[[#This Row],[Emergency Need Score (Normalized, Unweighted)]]*$F$3</f>
        <v>0</v>
      </c>
      <c r="I1996" s="246">
        <f>_xlfn.XLOOKUP(FME_Ranking1[[#This Row],[FME ID]],FME_Input[FME_ID],FME_Input[STRUCT_100])</f>
        <v>2</v>
      </c>
      <c r="J1996" s="178">
        <f>(FME_Ranking1[[#This Row],[Structures 100 Raw]]/I$2)*100</f>
        <v>1.0709848776935271E-3</v>
      </c>
      <c r="K1996" s="178">
        <f>FME_Ranking1[[#This Row],[Structures 100  Score (Normalized, Unweighted)]]*$I$3</f>
        <v>1.6064773165402907E-4</v>
      </c>
      <c r="L1996" s="246">
        <f>_xlfn.XLOOKUP(FME_Ranking1[[#This Row],[FME ID]],FME_Input[FME_ID],FME_Input[RES_STRUCT100])</f>
        <v>2</v>
      </c>
      <c r="M1996" s="230">
        <f>(FME_Ranking1[[#This Row],[Res Structures Raw]]/L$2)*100</f>
        <v>1.4166111827286765E-3</v>
      </c>
      <c r="N1996" s="180">
        <f>FME_Ranking1[[#This Row],[Res Structures Score (Normalized, Unweighted)]]*$L$3</f>
        <v>1.4166111827286767E-4</v>
      </c>
      <c r="O1996" s="244">
        <f>_xlfn.XLOOKUP(FME_Ranking1[[#This Row],[FME ID]],FME_Input[FME_ID],FME_Input[POP100])</f>
        <v>27</v>
      </c>
      <c r="P1996" s="178">
        <f>(FME_Ranking1[[#This Row],[Pop Raw]]/$O$2)*100</f>
        <v>2.7641334236966088E-3</v>
      </c>
      <c r="Q1996" s="178">
        <f>FME_Ranking1[[#This Row],[Pop Score (Normalized, Unweighted)]]*$O$3</f>
        <v>4.1462001355449134E-4</v>
      </c>
      <c r="R1996" s="137">
        <f>_xlfn.XLOOKUP(FME_Ranking1[[#This Row],[FME ID]],FME_Input[FME_ID],FME_Input[CRITFAC100])</f>
        <v>0</v>
      </c>
      <c r="S1996" s="230">
        <f>(FME_Ranking1[[#This Row],[Critical Facilities Raw]]/$R$2)*100</f>
        <v>0</v>
      </c>
      <c r="T1996" s="180">
        <f>FME_Ranking1[[#This Row],[Critical Facilities Score (Normalized, Unweighted)]]*$R$3</f>
        <v>0</v>
      </c>
      <c r="U1996">
        <f>_xlfn.XLOOKUP(FME_Ranking1[[#This Row],[FME ID]],FME_Input[FME_ID],FME_Input[LWC])</f>
        <v>0</v>
      </c>
      <c r="V1996" s="178">
        <f>(FME_Ranking1[[#This Row],[LWC Raw]]/$U$2)*100</f>
        <v>0</v>
      </c>
      <c r="W1996" s="178">
        <f>FME_Ranking1[[#This Row],[LWC Score (Normalized, Unweighted)]]*$U$3</f>
        <v>0</v>
      </c>
      <c r="X1996" s="246">
        <f>_xlfn.XLOOKUP(FME_Ranking1[[#This Row],[FME ID]],FME_Input[FME_ID],FME_Input[ROADCLS])</f>
        <v>0</v>
      </c>
      <c r="Y1996" s="230">
        <f>(FME_Ranking1[[#This Row],[Closures Raw]]/$X$2)*100</f>
        <v>0</v>
      </c>
      <c r="Z1996" s="180">
        <f>FME_Ranking1[[#This Row],[Closures Score (Normalized, Unweighted)]]*$X$3</f>
        <v>0</v>
      </c>
      <c r="AA1996" s="253">
        <f>_xlfn.XLOOKUP(FME_Ranking1[[#This Row],[FME ID]],FME_Input[FME_ID],FME_Input[ROAD_MILES100])</f>
        <v>0</v>
      </c>
      <c r="AB1996" s="178">
        <f>(FME_Ranking1[[#This Row],[Miles Raw]]/$AA$2)*100</f>
        <v>0</v>
      </c>
      <c r="AC1996" s="178">
        <f>FME_Ranking1[[#This Row],[Miles Score (Normalized, Unweighted)]]*$AA$3</f>
        <v>0</v>
      </c>
      <c r="AD1996" s="255">
        <f>_xlfn.XLOOKUP(FME_Ranking1[[#This Row],[FME ID]],FME_Input[FME_ID],FME_Input[FARMACRE100])</f>
        <v>17.750997543334961</v>
      </c>
      <c r="AE1996" s="230">
        <f>(FME_Ranking1[[#This Row],[Ag Land Raw]]/$AD$2)*100</f>
        <v>7.3197167628113969E-4</v>
      </c>
      <c r="AF1996" s="231">
        <f>FME_Ranking1[[#This Row],[Ag Land Score (Normalized, Unweighted)]]*$AD$3</f>
        <v>3.6598583814056985E-5</v>
      </c>
      <c r="AG199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7.5352744729544508E-4</v>
      </c>
      <c r="AH1996" s="406">
        <f t="shared" si="31"/>
        <v>2048</v>
      </c>
      <c r="AI199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7.5352744729544508E-4</v>
      </c>
      <c r="AJ1996" s="257">
        <f>FME_Ranking1[[#This Row],[Addition check]]-FME_Ranking1[[#This Row],[Weighted Score Based on Normalized Reported Factors]]</f>
        <v>0</v>
      </c>
      <c r="AK1996" s="178">
        <f>_xlfn.RANK.EQ(AI1996,$AI$6:$AI$2341,0)+COUNTIF($AI$6:AI1996,AI1996)-1</f>
        <v>2048</v>
      </c>
    </row>
    <row r="1997" spans="1:37" x14ac:dyDescent="0.25">
      <c r="A1997" t="s">
        <v>7009</v>
      </c>
      <c r="B1997">
        <f>_xlfn.XLOOKUP(FME_Ranking1[[#This Row],[FME ID]],FME_Input[FME_ID],FME_Input[RFPG_NUM])</f>
        <v>7</v>
      </c>
      <c r="C1997" t="str">
        <f>_xlfn.XLOOKUP(FME_Ranking1[[#This Row],[FME ID]],FME_Input[FME_ID],FME_Input[FME_NAME])</f>
        <v>City of Tye DMP</v>
      </c>
      <c r="D1997" t="str">
        <f>_xlfn.XLOOKUP(FME_Ranking1[[#This Row],[FME ID]],FME_Input[FME_ID],FME_Input[DESCR])</f>
        <v>Evaluate city to identify future projects, analyze roads/stream crossing for emergency response vehicles to high hazard areas</v>
      </c>
      <c r="E1997" s="256">
        <f>_xlfn.XLOOKUP(FME_Ranking1[[#This Row],[FME ID]],FME_Input[FME_ID],FME_Input[FME_COST])</f>
        <v>250000</v>
      </c>
      <c r="F1997" t="str">
        <f>_xlfn.XLOOKUP(FME_Ranking1[[#This Row],[FME ID]],FME_Input[FME_ID],FME_Input[EMER_NEED])</f>
        <v>No</v>
      </c>
      <c r="G1997">
        <f>IF(FME_Ranking!F1997="Yes",100,0)</f>
        <v>0</v>
      </c>
      <c r="H1997">
        <f>FME_Ranking1[[#This Row],[Emergency Need Score (Normalized, Unweighted)]]*$F$3</f>
        <v>0</v>
      </c>
      <c r="I1997" s="246">
        <f>_xlfn.XLOOKUP(FME_Ranking1[[#This Row],[FME ID]],FME_Input[FME_ID],FME_Input[STRUCT_100])</f>
        <v>5</v>
      </c>
      <c r="J1997" s="178">
        <f>(FME_Ranking1[[#This Row],[Structures 100 Raw]]/I$2)*100</f>
        <v>2.6774621942338172E-3</v>
      </c>
      <c r="K1997" s="178">
        <f>FME_Ranking1[[#This Row],[Structures 100  Score (Normalized, Unweighted)]]*$I$3</f>
        <v>4.0161932913507258E-4</v>
      </c>
      <c r="L1997" s="246">
        <f>_xlfn.XLOOKUP(FME_Ranking1[[#This Row],[FME ID]],FME_Input[FME_ID],FME_Input[RES_STRUCT100])</f>
        <v>2</v>
      </c>
      <c r="M1997" s="230">
        <f>(FME_Ranking1[[#This Row],[Res Structures Raw]]/L$2)*100</f>
        <v>1.4166111827286765E-3</v>
      </c>
      <c r="N1997" s="180">
        <f>FME_Ranking1[[#This Row],[Res Structures Score (Normalized, Unweighted)]]*$L$3</f>
        <v>1.4166111827286767E-4</v>
      </c>
      <c r="O1997" s="244">
        <f>_xlfn.XLOOKUP(FME_Ranking1[[#This Row],[FME ID]],FME_Input[FME_ID],FME_Input[POP100])</f>
        <v>5</v>
      </c>
      <c r="P1997" s="178">
        <f>(FME_Ranking1[[#This Row],[Pop Raw]]/$O$2)*100</f>
        <v>5.1187655994381644E-4</v>
      </c>
      <c r="Q1997" s="178">
        <f>FME_Ranking1[[#This Row],[Pop Score (Normalized, Unweighted)]]*$O$3</f>
        <v>7.6781483991572469E-5</v>
      </c>
      <c r="R1997" s="137">
        <f>_xlfn.XLOOKUP(FME_Ranking1[[#This Row],[FME ID]],FME_Input[FME_ID],FME_Input[CRITFAC100])</f>
        <v>0</v>
      </c>
      <c r="S1997" s="230">
        <f>(FME_Ranking1[[#This Row],[Critical Facilities Raw]]/$R$2)*100</f>
        <v>0</v>
      </c>
      <c r="T1997" s="180">
        <f>FME_Ranking1[[#This Row],[Critical Facilities Score (Normalized, Unweighted)]]*$R$3</f>
        <v>0</v>
      </c>
      <c r="U1997">
        <f>_xlfn.XLOOKUP(FME_Ranking1[[#This Row],[FME ID]],FME_Input[FME_ID],FME_Input[LWC])</f>
        <v>0</v>
      </c>
      <c r="V1997" s="178">
        <f>(FME_Ranking1[[#This Row],[LWC Raw]]/$U$2)*100</f>
        <v>0</v>
      </c>
      <c r="W1997" s="178">
        <f>FME_Ranking1[[#This Row],[LWC Score (Normalized, Unweighted)]]*$U$3</f>
        <v>0</v>
      </c>
      <c r="X1997" s="246">
        <f>_xlfn.XLOOKUP(FME_Ranking1[[#This Row],[FME ID]],FME_Input[FME_ID],FME_Input[ROADCLS])</f>
        <v>0</v>
      </c>
      <c r="Y1997" s="230">
        <f>(FME_Ranking1[[#This Row],[Closures Raw]]/$X$2)*100</f>
        <v>0</v>
      </c>
      <c r="Z1997" s="180">
        <f>FME_Ranking1[[#This Row],[Closures Score (Normalized, Unweighted)]]*$X$3</f>
        <v>0</v>
      </c>
      <c r="AA1997" s="253">
        <f>_xlfn.XLOOKUP(FME_Ranking1[[#This Row],[FME ID]],FME_Input[FME_ID],FME_Input[ROAD_MILES100])</f>
        <v>0.60840398073196411</v>
      </c>
      <c r="AB1997" s="178">
        <f>(FME_Ranking1[[#This Row],[Miles Raw]]/$AA$2)*100</f>
        <v>7.9994211228572292E-3</v>
      </c>
      <c r="AC1997" s="178">
        <f>FME_Ranking1[[#This Row],[Miles Score (Normalized, Unweighted)]]*$AA$3</f>
        <v>7.9994211228572292E-4</v>
      </c>
      <c r="AD1997" s="255">
        <f>_xlfn.XLOOKUP(FME_Ranking1[[#This Row],[FME ID]],FME_Input[FME_ID],FME_Input[FARMACRE100])</f>
        <v>62.876399993896477</v>
      </c>
      <c r="AE1997" s="230">
        <f>(FME_Ranking1[[#This Row],[Ag Land Raw]]/$AD$2)*100</f>
        <v>2.5927412693117387E-3</v>
      </c>
      <c r="AF1997" s="231">
        <f>FME_Ranking1[[#This Row],[Ag Land Score (Normalized, Unweighted)]]*$AD$3</f>
        <v>1.2963706346558694E-4</v>
      </c>
      <c r="AG199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1.5496411071508225E-3</v>
      </c>
      <c r="AH1997" s="406">
        <f t="shared" si="31"/>
        <v>1980</v>
      </c>
      <c r="AI199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1.5496411071508225E-3</v>
      </c>
      <c r="AJ1997" s="257">
        <f>FME_Ranking1[[#This Row],[Addition check]]-FME_Ranking1[[#This Row],[Weighted Score Based on Normalized Reported Factors]]</f>
        <v>0</v>
      </c>
      <c r="AK1997" s="178">
        <f>_xlfn.RANK.EQ(AI1997,$AI$6:$AI$2341,0)+COUNTIF($AI$6:AI1997,AI1997)-1</f>
        <v>1980</v>
      </c>
    </row>
    <row r="1998" spans="1:37" x14ac:dyDescent="0.25">
      <c r="A1998" t="s">
        <v>7294</v>
      </c>
      <c r="B1998">
        <f>_xlfn.XLOOKUP(FME_Ranking1[[#This Row],[FME ID]],FME_Input[FME_ID],FME_Input[RFPG_NUM])</f>
        <v>7</v>
      </c>
      <c r="C1998" t="str">
        <f>_xlfn.XLOOKUP(FME_Ranking1[[#This Row],[FME ID]],FME_Input[FME_ID],FME_Input[FME_NAME])</f>
        <v>City of Tye Floodplain Open Space Program</v>
      </c>
      <c r="D1998" t="str">
        <f>_xlfn.XLOOKUP(FME_Ranking1[[#This Row],[FME ID]],FME_Input[FME_ID],FME_Input[DESCR])</f>
        <v>Acquire and preserve open spaces adjacent to floodplain areas. Protect floodplains in their natural state.</v>
      </c>
      <c r="E1998" s="256">
        <f>_xlfn.XLOOKUP(FME_Ranking1[[#This Row],[FME ID]],FME_Input[FME_ID],FME_Input[FME_COST])</f>
        <v>500000</v>
      </c>
      <c r="F1998" t="str">
        <f>_xlfn.XLOOKUP(FME_Ranking1[[#This Row],[FME ID]],FME_Input[FME_ID],FME_Input[EMER_NEED])</f>
        <v>No</v>
      </c>
      <c r="G1998">
        <f>IF(FME_Ranking!F1998="Yes",100,0)</f>
        <v>0</v>
      </c>
      <c r="H1998">
        <f>FME_Ranking1[[#This Row],[Emergency Need Score (Normalized, Unweighted)]]*$F$3</f>
        <v>0</v>
      </c>
      <c r="I1998" s="246">
        <f>_xlfn.XLOOKUP(FME_Ranking1[[#This Row],[FME ID]],FME_Input[FME_ID],FME_Input[STRUCT_100])</f>
        <v>5</v>
      </c>
      <c r="J1998" s="178">
        <f>(FME_Ranking1[[#This Row],[Structures 100 Raw]]/I$2)*100</f>
        <v>2.6774621942338172E-3</v>
      </c>
      <c r="K1998" s="178">
        <f>FME_Ranking1[[#This Row],[Structures 100  Score (Normalized, Unweighted)]]*$I$3</f>
        <v>4.0161932913507258E-4</v>
      </c>
      <c r="L1998" s="246">
        <f>_xlfn.XLOOKUP(FME_Ranking1[[#This Row],[FME ID]],FME_Input[FME_ID],FME_Input[RES_STRUCT100])</f>
        <v>2</v>
      </c>
      <c r="M1998" s="230">
        <f>(FME_Ranking1[[#This Row],[Res Structures Raw]]/L$2)*100</f>
        <v>1.4166111827286765E-3</v>
      </c>
      <c r="N1998" s="180">
        <f>FME_Ranking1[[#This Row],[Res Structures Score (Normalized, Unweighted)]]*$L$3</f>
        <v>1.4166111827286767E-4</v>
      </c>
      <c r="O1998" s="244">
        <f>_xlfn.XLOOKUP(FME_Ranking1[[#This Row],[FME ID]],FME_Input[FME_ID],FME_Input[POP100])</f>
        <v>5</v>
      </c>
      <c r="P1998" s="178">
        <f>(FME_Ranking1[[#This Row],[Pop Raw]]/$O$2)*100</f>
        <v>5.1187655994381644E-4</v>
      </c>
      <c r="Q1998" s="178">
        <f>FME_Ranking1[[#This Row],[Pop Score (Normalized, Unweighted)]]*$O$3</f>
        <v>7.6781483991572469E-5</v>
      </c>
      <c r="R1998" s="137">
        <f>_xlfn.XLOOKUP(FME_Ranking1[[#This Row],[FME ID]],FME_Input[FME_ID],FME_Input[CRITFAC100])</f>
        <v>0</v>
      </c>
      <c r="S1998" s="230">
        <f>(FME_Ranking1[[#This Row],[Critical Facilities Raw]]/$R$2)*100</f>
        <v>0</v>
      </c>
      <c r="T1998" s="180">
        <f>FME_Ranking1[[#This Row],[Critical Facilities Score (Normalized, Unweighted)]]*$R$3</f>
        <v>0</v>
      </c>
      <c r="U1998">
        <f>_xlfn.XLOOKUP(FME_Ranking1[[#This Row],[FME ID]],FME_Input[FME_ID],FME_Input[LWC])</f>
        <v>0</v>
      </c>
      <c r="V1998" s="178">
        <f>(FME_Ranking1[[#This Row],[LWC Raw]]/$U$2)*100</f>
        <v>0</v>
      </c>
      <c r="W1998" s="178">
        <f>FME_Ranking1[[#This Row],[LWC Score (Normalized, Unweighted)]]*$U$3</f>
        <v>0</v>
      </c>
      <c r="X1998" s="246">
        <f>_xlfn.XLOOKUP(FME_Ranking1[[#This Row],[FME ID]],FME_Input[FME_ID],FME_Input[ROADCLS])</f>
        <v>0</v>
      </c>
      <c r="Y1998" s="230">
        <f>(FME_Ranking1[[#This Row],[Closures Raw]]/$X$2)*100</f>
        <v>0</v>
      </c>
      <c r="Z1998" s="180">
        <f>FME_Ranking1[[#This Row],[Closures Score (Normalized, Unweighted)]]*$X$3</f>
        <v>0</v>
      </c>
      <c r="AA1998" s="253">
        <f>_xlfn.XLOOKUP(FME_Ranking1[[#This Row],[FME ID]],FME_Input[FME_ID],FME_Input[ROAD_MILES100])</f>
        <v>0.60840398073196411</v>
      </c>
      <c r="AB1998" s="178">
        <f>(FME_Ranking1[[#This Row],[Miles Raw]]/$AA$2)*100</f>
        <v>7.9994211228572292E-3</v>
      </c>
      <c r="AC1998" s="178">
        <f>FME_Ranking1[[#This Row],[Miles Score (Normalized, Unweighted)]]*$AA$3</f>
        <v>7.9994211228572292E-4</v>
      </c>
      <c r="AD1998" s="255">
        <f>_xlfn.XLOOKUP(FME_Ranking1[[#This Row],[FME ID]],FME_Input[FME_ID],FME_Input[FARMACRE100])</f>
        <v>62.876399993896477</v>
      </c>
      <c r="AE1998" s="230">
        <f>(FME_Ranking1[[#This Row],[Ag Land Raw]]/$AD$2)*100</f>
        <v>2.5927412693117387E-3</v>
      </c>
      <c r="AF1998" s="231">
        <f>FME_Ranking1[[#This Row],[Ag Land Score (Normalized, Unweighted)]]*$AD$3</f>
        <v>1.2963706346558694E-4</v>
      </c>
      <c r="AG199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1.5496411071508225E-3</v>
      </c>
      <c r="AH1998" s="406">
        <f t="shared" si="31"/>
        <v>1980</v>
      </c>
      <c r="AI199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1.5496411071508225E-3</v>
      </c>
      <c r="AJ1998" s="257">
        <f>FME_Ranking1[[#This Row],[Addition check]]-FME_Ranking1[[#This Row],[Weighted Score Based on Normalized Reported Factors]]</f>
        <v>0</v>
      </c>
      <c r="AK1998" s="178">
        <f>_xlfn.RANK.EQ(AI1998,$AI$6:$AI$2341,0)+COUNTIF($AI$6:AI1998,AI1998)-1</f>
        <v>1981</v>
      </c>
    </row>
    <row r="1999" spans="1:37" x14ac:dyDescent="0.25">
      <c r="A1999" t="s">
        <v>7296</v>
      </c>
      <c r="B1999">
        <f>_xlfn.XLOOKUP(FME_Ranking1[[#This Row],[FME ID]],FME_Input[FME_ID],FME_Input[RFPG_NUM])</f>
        <v>7</v>
      </c>
      <c r="C1999" t="str">
        <f>_xlfn.XLOOKUP(FME_Ranking1[[#This Row],[FME ID]],FME_Input[FME_ID],FME_Input[FME_NAME])</f>
        <v>City of Tye Buyout Program</v>
      </c>
      <c r="D1999" t="str">
        <f>_xlfn.XLOOKUP(FME_Ranking1[[#This Row],[FME ID]],FME_Input[FME_ID],FME_Input[DESCR])</f>
        <v>Develop a land acquisition program in flood hazard areas.</v>
      </c>
      <c r="E1999" s="256">
        <f>_xlfn.XLOOKUP(FME_Ranking1[[#This Row],[FME ID]],FME_Input[FME_ID],FME_Input[FME_COST])</f>
        <v>500000</v>
      </c>
      <c r="F1999" t="str">
        <f>_xlfn.XLOOKUP(FME_Ranking1[[#This Row],[FME ID]],FME_Input[FME_ID],FME_Input[EMER_NEED])</f>
        <v>No</v>
      </c>
      <c r="G1999">
        <f>IF(FME_Ranking!F1999="Yes",100,0)</f>
        <v>0</v>
      </c>
      <c r="H1999">
        <f>FME_Ranking1[[#This Row],[Emergency Need Score (Normalized, Unweighted)]]*$F$3</f>
        <v>0</v>
      </c>
      <c r="I1999" s="246">
        <f>_xlfn.XLOOKUP(FME_Ranking1[[#This Row],[FME ID]],FME_Input[FME_ID],FME_Input[STRUCT_100])</f>
        <v>5</v>
      </c>
      <c r="J1999" s="178">
        <f>(FME_Ranking1[[#This Row],[Structures 100 Raw]]/I$2)*100</f>
        <v>2.6774621942338172E-3</v>
      </c>
      <c r="K1999" s="178">
        <f>FME_Ranking1[[#This Row],[Structures 100  Score (Normalized, Unweighted)]]*$I$3</f>
        <v>4.0161932913507258E-4</v>
      </c>
      <c r="L1999" s="246">
        <f>_xlfn.XLOOKUP(FME_Ranking1[[#This Row],[FME ID]],FME_Input[FME_ID],FME_Input[RES_STRUCT100])</f>
        <v>2</v>
      </c>
      <c r="M1999" s="230">
        <f>(FME_Ranking1[[#This Row],[Res Structures Raw]]/L$2)*100</f>
        <v>1.4166111827286765E-3</v>
      </c>
      <c r="N1999" s="180">
        <f>FME_Ranking1[[#This Row],[Res Structures Score (Normalized, Unweighted)]]*$L$3</f>
        <v>1.4166111827286767E-4</v>
      </c>
      <c r="O1999" s="244">
        <f>_xlfn.XLOOKUP(FME_Ranking1[[#This Row],[FME ID]],FME_Input[FME_ID],FME_Input[POP100])</f>
        <v>5</v>
      </c>
      <c r="P1999" s="178">
        <f>(FME_Ranking1[[#This Row],[Pop Raw]]/$O$2)*100</f>
        <v>5.1187655994381644E-4</v>
      </c>
      <c r="Q1999" s="178">
        <f>FME_Ranking1[[#This Row],[Pop Score (Normalized, Unweighted)]]*$O$3</f>
        <v>7.6781483991572469E-5</v>
      </c>
      <c r="R1999" s="137">
        <f>_xlfn.XLOOKUP(FME_Ranking1[[#This Row],[FME ID]],FME_Input[FME_ID],FME_Input[CRITFAC100])</f>
        <v>0</v>
      </c>
      <c r="S1999" s="230">
        <f>(FME_Ranking1[[#This Row],[Critical Facilities Raw]]/$R$2)*100</f>
        <v>0</v>
      </c>
      <c r="T1999" s="180">
        <f>FME_Ranking1[[#This Row],[Critical Facilities Score (Normalized, Unweighted)]]*$R$3</f>
        <v>0</v>
      </c>
      <c r="U1999">
        <f>_xlfn.XLOOKUP(FME_Ranking1[[#This Row],[FME ID]],FME_Input[FME_ID],FME_Input[LWC])</f>
        <v>0</v>
      </c>
      <c r="V1999" s="178">
        <f>(FME_Ranking1[[#This Row],[LWC Raw]]/$U$2)*100</f>
        <v>0</v>
      </c>
      <c r="W1999" s="178">
        <f>FME_Ranking1[[#This Row],[LWC Score (Normalized, Unweighted)]]*$U$3</f>
        <v>0</v>
      </c>
      <c r="X1999" s="246">
        <f>_xlfn.XLOOKUP(FME_Ranking1[[#This Row],[FME ID]],FME_Input[FME_ID],FME_Input[ROADCLS])</f>
        <v>0</v>
      </c>
      <c r="Y1999" s="230">
        <f>(FME_Ranking1[[#This Row],[Closures Raw]]/$X$2)*100</f>
        <v>0</v>
      </c>
      <c r="Z1999" s="180">
        <f>FME_Ranking1[[#This Row],[Closures Score (Normalized, Unweighted)]]*$X$3</f>
        <v>0</v>
      </c>
      <c r="AA1999" s="253">
        <f>_xlfn.XLOOKUP(FME_Ranking1[[#This Row],[FME ID]],FME_Input[FME_ID],FME_Input[ROAD_MILES100])</f>
        <v>0.60840398073196411</v>
      </c>
      <c r="AB1999" s="178">
        <f>(FME_Ranking1[[#This Row],[Miles Raw]]/$AA$2)*100</f>
        <v>7.9994211228572292E-3</v>
      </c>
      <c r="AC1999" s="178">
        <f>FME_Ranking1[[#This Row],[Miles Score (Normalized, Unweighted)]]*$AA$3</f>
        <v>7.9994211228572292E-4</v>
      </c>
      <c r="AD1999" s="255">
        <f>_xlfn.XLOOKUP(FME_Ranking1[[#This Row],[FME ID]],FME_Input[FME_ID],FME_Input[FARMACRE100])</f>
        <v>62.876399993896477</v>
      </c>
      <c r="AE1999" s="230">
        <f>(FME_Ranking1[[#This Row],[Ag Land Raw]]/$AD$2)*100</f>
        <v>2.5927412693117387E-3</v>
      </c>
      <c r="AF1999" s="231">
        <f>FME_Ranking1[[#This Row],[Ag Land Score (Normalized, Unweighted)]]*$AD$3</f>
        <v>1.2963706346558694E-4</v>
      </c>
      <c r="AG199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1.5496411071508225E-3</v>
      </c>
      <c r="AH1999" s="406">
        <f t="shared" si="31"/>
        <v>1980</v>
      </c>
      <c r="AI199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1.5496411071508225E-3</v>
      </c>
      <c r="AJ1999" s="257">
        <f>FME_Ranking1[[#This Row],[Addition check]]-FME_Ranking1[[#This Row],[Weighted Score Based on Normalized Reported Factors]]</f>
        <v>0</v>
      </c>
      <c r="AK1999" s="178">
        <f>_xlfn.RANK.EQ(AI1999,$AI$6:$AI$2341,0)+COUNTIF($AI$6:AI1999,AI1999)-1</f>
        <v>1982</v>
      </c>
    </row>
    <row r="2000" spans="1:37" x14ac:dyDescent="0.25">
      <c r="A2000" t="s">
        <v>10382</v>
      </c>
      <c r="B2000">
        <f>_xlfn.XLOOKUP(FME_Ranking1[[#This Row],[FME ID]],FME_Input[FME_ID],FME_Input[RFPG_NUM])</f>
        <v>13</v>
      </c>
      <c r="C2000" t="str">
        <f>_xlfn.XLOOKUP(FME_Ranking1[[#This Row],[FME ID]],FME_Input[FME_ID],FME_Input[FME_NAME])</f>
        <v>Greenwood WWTP Flood Mitigation and Emergency Generator</v>
      </c>
      <c r="D2000" t="str">
        <f>_xlfn.XLOOKUP(FME_Ranking1[[#This Row],[FME ID]],FME_Input[FME_ID],FME_Input[DESCR])</f>
        <v>Greenwood Wastewater Treatment Plant improvements include site grading, piping, floodway improvements, plant structure flood walls, new effluent pump station, and two electrical generators. Scope includes design and construction.</v>
      </c>
      <c r="E2000" s="256">
        <f>_xlfn.XLOOKUP(FME_Ranking1[[#This Row],[FME ID]],FME_Input[FME_ID],FME_Input[FME_COST])</f>
        <v>2126000</v>
      </c>
      <c r="F2000" t="str">
        <f>_xlfn.XLOOKUP(FME_Ranking1[[#This Row],[FME ID]],FME_Input[FME_ID],FME_Input[EMER_NEED])</f>
        <v>Yes</v>
      </c>
      <c r="G2000">
        <f>IF(FME_Ranking!F2000="Yes",100,0)</f>
        <v>100</v>
      </c>
      <c r="H2000">
        <f>FME_Ranking1[[#This Row],[Emergency Need Score (Normalized, Unweighted)]]*$F$3</f>
        <v>0</v>
      </c>
      <c r="I2000" s="246">
        <f>_xlfn.XLOOKUP(FME_Ranking1[[#This Row],[FME ID]],FME_Input[FME_ID],FME_Input[STRUCT_100])</f>
        <v>7</v>
      </c>
      <c r="J2000" s="178">
        <f>(FME_Ranking1[[#This Row],[Structures 100 Raw]]/I$2)*100</f>
        <v>3.7484470719273445E-3</v>
      </c>
      <c r="K2000" s="178">
        <f>FME_Ranking1[[#This Row],[Structures 100  Score (Normalized, Unweighted)]]*$I$3</f>
        <v>5.622670607891017E-4</v>
      </c>
      <c r="L2000" s="246">
        <f>_xlfn.XLOOKUP(FME_Ranking1[[#This Row],[FME ID]],FME_Input[FME_ID],FME_Input[RES_STRUCT100])</f>
        <v>0</v>
      </c>
      <c r="M2000" s="230">
        <f>(FME_Ranking1[[#This Row],[Res Structures Raw]]/L$2)*100</f>
        <v>0</v>
      </c>
      <c r="N2000" s="180">
        <f>FME_Ranking1[[#This Row],[Res Structures Score (Normalized, Unweighted)]]*$L$3</f>
        <v>0</v>
      </c>
      <c r="O2000" s="244">
        <f>_xlfn.XLOOKUP(FME_Ranking1[[#This Row],[FME ID]],FME_Input[FME_ID],FME_Input[POP100])</f>
        <v>12</v>
      </c>
      <c r="P2000" s="178">
        <f>(FME_Ranking1[[#This Row],[Pop Raw]]/$O$2)*100</f>
        <v>1.2285037438651595E-3</v>
      </c>
      <c r="Q2000" s="178">
        <f>FME_Ranking1[[#This Row],[Pop Score (Normalized, Unweighted)]]*$O$3</f>
        <v>1.8427556157977391E-4</v>
      </c>
      <c r="R2000" s="137">
        <f>_xlfn.XLOOKUP(FME_Ranking1[[#This Row],[FME ID]],FME_Input[FME_ID],FME_Input[CRITFAC100])</f>
        <v>0</v>
      </c>
      <c r="S2000" s="230">
        <f>(FME_Ranking1[[#This Row],[Critical Facilities Raw]]/$R$2)*100</f>
        <v>0</v>
      </c>
      <c r="T2000" s="180">
        <f>FME_Ranking1[[#This Row],[Critical Facilities Score (Normalized, Unweighted)]]*$R$3</f>
        <v>0</v>
      </c>
      <c r="U2000">
        <f>_xlfn.XLOOKUP(FME_Ranking1[[#This Row],[FME ID]],FME_Input[FME_ID],FME_Input[LWC])</f>
        <v>0</v>
      </c>
      <c r="V2000" s="178">
        <f>(FME_Ranking1[[#This Row],[LWC Raw]]/$U$2)*100</f>
        <v>0</v>
      </c>
      <c r="W2000" s="178">
        <f>FME_Ranking1[[#This Row],[LWC Score (Normalized, Unweighted)]]*$U$3</f>
        <v>0</v>
      </c>
      <c r="X2000" s="246">
        <f>_xlfn.XLOOKUP(FME_Ranking1[[#This Row],[FME ID]],FME_Input[FME_ID],FME_Input[ROADCLS])</f>
        <v>0</v>
      </c>
      <c r="Y2000" s="230">
        <f>(FME_Ranking1[[#This Row],[Closures Raw]]/$X$2)*100</f>
        <v>0</v>
      </c>
      <c r="Z2000" s="180">
        <f>FME_Ranking1[[#This Row],[Closures Score (Normalized, Unweighted)]]*$X$3</f>
        <v>0</v>
      </c>
      <c r="AA2000" s="253">
        <f>_xlfn.XLOOKUP(FME_Ranking1[[#This Row],[FME ID]],FME_Input[FME_ID],FME_Input[ROAD_MILES100])</f>
        <v>0</v>
      </c>
      <c r="AB2000" s="178">
        <f>(FME_Ranking1[[#This Row],[Miles Raw]]/$AA$2)*100</f>
        <v>0</v>
      </c>
      <c r="AC2000" s="178">
        <f>FME_Ranking1[[#This Row],[Miles Score (Normalized, Unweighted)]]*$AA$3</f>
        <v>0</v>
      </c>
      <c r="AD2000" s="255">
        <f>_xlfn.XLOOKUP(FME_Ranking1[[#This Row],[FME ID]],FME_Input[FME_ID],FME_Input[FARMACRE100])</f>
        <v>5.6839932221919298E-4</v>
      </c>
      <c r="AE2000" s="230">
        <f>(FME_Ranking1[[#This Row],[Ag Land Raw]]/$AD$2)*100</f>
        <v>2.3438243606656524E-8</v>
      </c>
      <c r="AF2000" s="231">
        <f>FME_Ranking1[[#This Row],[Ag Land Score (Normalized, Unweighted)]]*$AD$3</f>
        <v>1.1719121803328262E-9</v>
      </c>
      <c r="AG200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7.4654379428105598E-4</v>
      </c>
      <c r="AH2000" s="406">
        <f t="shared" si="31"/>
        <v>2049</v>
      </c>
      <c r="AI200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7.4654379428105598E-4</v>
      </c>
      <c r="AJ2000" s="257">
        <f>FME_Ranking1[[#This Row],[Addition check]]-FME_Ranking1[[#This Row],[Weighted Score Based on Normalized Reported Factors]]</f>
        <v>0</v>
      </c>
      <c r="AK2000" s="178">
        <f>_xlfn.RANK.EQ(AI2000,$AI$6:$AI$2341,0)+COUNTIF($AI$6:AI2000,AI2000)-1</f>
        <v>2049</v>
      </c>
    </row>
    <row r="2001" spans="1:37" x14ac:dyDescent="0.25">
      <c r="A2001" t="s">
        <v>3133</v>
      </c>
      <c r="B2001">
        <f>_xlfn.XLOOKUP(FME_Ranking1[[#This Row],[FME ID]],FME_Input[FME_ID],FME_Input[RFPG_NUM])</f>
        <v>1</v>
      </c>
      <c r="C2001" t="str">
        <f>_xlfn.XLOOKUP(FME_Ranking1[[#This Row],[FME ID]],FME_Input[FME_ID],FME_Input[FME_NAME])</f>
        <v>Nocona City Drainage Master Plan</v>
      </c>
      <c r="D2001" t="str">
        <f>_xlfn.XLOOKUP(FME_Ranking1[[#This Row],[FME ID]],FME_Input[FME_ID],FME_Input[DESCR])</f>
        <v xml:space="preserve">Perform H&amp;H modeling, develop conceptual alternatives and OPCC, and rank projects; selected based on survey responses </v>
      </c>
      <c r="E2001" s="256">
        <f>_xlfn.XLOOKUP(FME_Ranking1[[#This Row],[FME ID]],FME_Input[FME_ID],FME_Input[FME_COST])</f>
        <v>250000</v>
      </c>
      <c r="F2001" t="str">
        <f>_xlfn.XLOOKUP(FME_Ranking1[[#This Row],[FME ID]],FME_Input[FME_ID],FME_Input[EMER_NEED])</f>
        <v>No</v>
      </c>
      <c r="G2001">
        <f>IF(FME_Ranking!F2001="Yes",100,0)</f>
        <v>0</v>
      </c>
      <c r="H2001">
        <f>FME_Ranking1[[#This Row],[Emergency Need Score (Normalized, Unweighted)]]*$F$3</f>
        <v>0</v>
      </c>
      <c r="I2001" s="246">
        <f>_xlfn.XLOOKUP(FME_Ranking1[[#This Row],[FME ID]],FME_Input[FME_ID],FME_Input[STRUCT_100])</f>
        <v>3</v>
      </c>
      <c r="J2001" s="178">
        <f>(FME_Ranking1[[#This Row],[Structures 100 Raw]]/I$2)*100</f>
        <v>1.6064773165402903E-3</v>
      </c>
      <c r="K2001" s="178">
        <f>FME_Ranking1[[#This Row],[Structures 100  Score (Normalized, Unweighted)]]*$I$3</f>
        <v>2.4097159748104354E-4</v>
      </c>
      <c r="L2001" s="246">
        <f>_xlfn.XLOOKUP(FME_Ranking1[[#This Row],[FME ID]],FME_Input[FME_ID],FME_Input[RES_STRUCT100])</f>
        <v>1</v>
      </c>
      <c r="M2001" s="230">
        <f>(FME_Ranking1[[#This Row],[Res Structures Raw]]/L$2)*100</f>
        <v>7.0830559136433825E-4</v>
      </c>
      <c r="N2001" s="180">
        <f>FME_Ranking1[[#This Row],[Res Structures Score (Normalized, Unweighted)]]*$L$3</f>
        <v>7.0830559136433833E-5</v>
      </c>
      <c r="O2001" s="244">
        <f>_xlfn.XLOOKUP(FME_Ranking1[[#This Row],[FME ID]],FME_Input[FME_ID],FME_Input[POP100])</f>
        <v>26</v>
      </c>
      <c r="P2001" s="178">
        <f>(FME_Ranking1[[#This Row],[Pop Raw]]/$O$2)*100</f>
        <v>2.6617581117078454E-3</v>
      </c>
      <c r="Q2001" s="178">
        <f>FME_Ranking1[[#This Row],[Pop Score (Normalized, Unweighted)]]*$O$3</f>
        <v>3.9926371675617678E-4</v>
      </c>
      <c r="R2001" s="137">
        <f>_xlfn.XLOOKUP(FME_Ranking1[[#This Row],[FME ID]],FME_Input[FME_ID],FME_Input[CRITFAC100])</f>
        <v>0</v>
      </c>
      <c r="S2001" s="230">
        <f>(FME_Ranking1[[#This Row],[Critical Facilities Raw]]/$R$2)*100</f>
        <v>0</v>
      </c>
      <c r="T2001" s="180">
        <f>FME_Ranking1[[#This Row],[Critical Facilities Score (Normalized, Unweighted)]]*$R$3</f>
        <v>0</v>
      </c>
      <c r="U2001">
        <f>_xlfn.XLOOKUP(FME_Ranking1[[#This Row],[FME ID]],FME_Input[FME_ID],FME_Input[LWC])</f>
        <v>0</v>
      </c>
      <c r="V2001" s="178">
        <f>(FME_Ranking1[[#This Row],[LWC Raw]]/$U$2)*100</f>
        <v>0</v>
      </c>
      <c r="W2001" s="178">
        <f>FME_Ranking1[[#This Row],[LWC Score (Normalized, Unweighted)]]*$U$3</f>
        <v>0</v>
      </c>
      <c r="X2001" s="246">
        <f>_xlfn.XLOOKUP(FME_Ranking1[[#This Row],[FME ID]],FME_Input[FME_ID],FME_Input[ROADCLS])</f>
        <v>0</v>
      </c>
      <c r="Y2001" s="230">
        <f>(FME_Ranking1[[#This Row],[Closures Raw]]/$X$2)*100</f>
        <v>0</v>
      </c>
      <c r="Z2001" s="180">
        <f>FME_Ranking1[[#This Row],[Closures Score (Normalized, Unweighted)]]*$X$3</f>
        <v>0</v>
      </c>
      <c r="AA2001" s="253">
        <f>_xlfn.XLOOKUP(FME_Ranking1[[#This Row],[FME ID]],FME_Input[FME_ID],FME_Input[ROAD_MILES100])</f>
        <v>3.5906299017369751E-3</v>
      </c>
      <c r="AB2001" s="178">
        <f>(FME_Ranking1[[#This Row],[Miles Raw]]/$AA$2)*100</f>
        <v>4.7210343110775276E-5</v>
      </c>
      <c r="AC2001" s="178">
        <f>FME_Ranking1[[#This Row],[Miles Score (Normalized, Unweighted)]]*$AA$3</f>
        <v>4.7210343110775279E-6</v>
      </c>
      <c r="AD2001" s="255">
        <f>_xlfn.XLOOKUP(FME_Ranking1[[#This Row],[FME ID]],FME_Input[FME_ID],FME_Input[FARMACRE100])</f>
        <v>0.83247047662734985</v>
      </c>
      <c r="AE2001" s="230">
        <f>(FME_Ranking1[[#This Row],[Ag Land Raw]]/$AD$2)*100</f>
        <v>3.432735589895193E-5</v>
      </c>
      <c r="AF2001" s="231">
        <f>FME_Ranking1[[#This Row],[Ag Land Score (Normalized, Unweighted)]]*$AD$3</f>
        <v>1.7163677949475966E-6</v>
      </c>
      <c r="AG200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7.1750327547967919E-4</v>
      </c>
      <c r="AH2001" s="406">
        <f t="shared" si="31"/>
        <v>2056</v>
      </c>
      <c r="AI200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7.1750327547967919E-4</v>
      </c>
      <c r="AJ2001" s="257">
        <f>FME_Ranking1[[#This Row],[Addition check]]-FME_Ranking1[[#This Row],[Weighted Score Based on Normalized Reported Factors]]</f>
        <v>0</v>
      </c>
      <c r="AK2001" s="178">
        <f>_xlfn.RANK.EQ(AI2001,$AI$6:$AI$2341,0)+COUNTIF($AI$6:AI2001,AI2001)-1</f>
        <v>2056</v>
      </c>
    </row>
    <row r="2002" spans="1:37" x14ac:dyDescent="0.25">
      <c r="A2002" t="s">
        <v>72</v>
      </c>
      <c r="B2002">
        <f>_xlfn.XLOOKUP(FME_Ranking1[[#This Row],[FME ID]],FME_Input[FME_ID],FME_Input[RFPG_NUM])</f>
        <v>10</v>
      </c>
      <c r="C2002" t="str">
        <f>_xlfn.XLOOKUP(FME_Ranking1[[#This Row],[FME ID]],FME_Input[FME_ID],FME_Input[FME_NAME])</f>
        <v>Old McDade Rd in Precinct 4 near Norwood Rd</v>
      </c>
      <c r="D2002" t="str">
        <f>_xlfn.XLOOKUP(FME_Ranking1[[#This Row],[FME ID]],FME_Input[FME_ID],FME_Input[DESCR])</f>
        <v>Box culvert replacement</v>
      </c>
      <c r="E2002" s="256">
        <f>_xlfn.XLOOKUP(FME_Ranking1[[#This Row],[FME ID]],FME_Input[FME_ID],FME_Input[FME_COST])</f>
        <v>100000</v>
      </c>
      <c r="F2002" t="str">
        <f>_xlfn.XLOOKUP(FME_Ranking1[[#This Row],[FME ID]],FME_Input[FME_ID],FME_Input[EMER_NEED])</f>
        <v>No</v>
      </c>
      <c r="G2002">
        <f>IF(FME_Ranking!F2002="Yes",100,0)</f>
        <v>0</v>
      </c>
      <c r="H2002">
        <f>FME_Ranking1[[#This Row],[Emergency Need Score (Normalized, Unweighted)]]*$F$3</f>
        <v>0</v>
      </c>
      <c r="I2002" s="246">
        <f>_xlfn.XLOOKUP(FME_Ranking1[[#This Row],[FME ID]],FME_Input[FME_ID],FME_Input[STRUCT_100])</f>
        <v>4</v>
      </c>
      <c r="J2002" s="178">
        <f>(FME_Ranking1[[#This Row],[Structures 100 Raw]]/I$2)*100</f>
        <v>2.1419697553870542E-3</v>
      </c>
      <c r="K2002" s="178">
        <f>FME_Ranking1[[#This Row],[Structures 100  Score (Normalized, Unweighted)]]*$I$3</f>
        <v>3.2129546330805813E-4</v>
      </c>
      <c r="L2002" s="246">
        <f>_xlfn.XLOOKUP(FME_Ranking1[[#This Row],[FME ID]],FME_Input[FME_ID],FME_Input[RES_STRUCT100])</f>
        <v>4</v>
      </c>
      <c r="M2002" s="230">
        <f>(FME_Ranking1[[#This Row],[Res Structures Raw]]/L$2)*100</f>
        <v>2.833222365457353E-3</v>
      </c>
      <c r="N2002" s="180">
        <f>FME_Ranking1[[#This Row],[Res Structures Score (Normalized, Unweighted)]]*$L$3</f>
        <v>2.8332223654573533E-4</v>
      </c>
      <c r="O2002" s="244">
        <f>_xlfn.XLOOKUP(FME_Ranking1[[#This Row],[FME ID]],FME_Input[FME_ID],FME_Input[POP100])</f>
        <v>6</v>
      </c>
      <c r="P2002" s="178">
        <f>(FME_Ranking1[[#This Row],[Pop Raw]]/$O$2)*100</f>
        <v>6.1425187193257975E-4</v>
      </c>
      <c r="Q2002" s="178">
        <f>FME_Ranking1[[#This Row],[Pop Score (Normalized, Unweighted)]]*$O$3</f>
        <v>9.2137780789886957E-5</v>
      </c>
      <c r="R2002" s="137">
        <f>_xlfn.XLOOKUP(FME_Ranking1[[#This Row],[FME ID]],FME_Input[FME_ID],FME_Input[CRITFAC100])</f>
        <v>0</v>
      </c>
      <c r="S2002" s="230">
        <f>(FME_Ranking1[[#This Row],[Critical Facilities Raw]]/$R$2)*100</f>
        <v>0</v>
      </c>
      <c r="T2002" s="180">
        <f>FME_Ranking1[[#This Row],[Critical Facilities Score (Normalized, Unweighted)]]*$R$3</f>
        <v>0</v>
      </c>
      <c r="U2002">
        <f>_xlfn.XLOOKUP(FME_Ranking1[[#This Row],[FME ID]],FME_Input[FME_ID],FME_Input[LWC])</f>
        <v>0</v>
      </c>
      <c r="V2002" s="178">
        <f>(FME_Ranking1[[#This Row],[LWC Raw]]/$U$2)*100</f>
        <v>0</v>
      </c>
      <c r="W2002" s="178">
        <f>FME_Ranking1[[#This Row],[LWC Score (Normalized, Unweighted)]]*$U$3</f>
        <v>0</v>
      </c>
      <c r="X2002" s="246">
        <f>_xlfn.XLOOKUP(FME_Ranking1[[#This Row],[FME ID]],FME_Input[FME_ID],FME_Input[ROADCLS])</f>
        <v>0</v>
      </c>
      <c r="Y2002" s="230">
        <f>(FME_Ranking1[[#This Row],[Closures Raw]]/$X$2)*100</f>
        <v>0</v>
      </c>
      <c r="Z2002" s="180">
        <f>FME_Ranking1[[#This Row],[Closures Score (Normalized, Unweighted)]]*$X$3</f>
        <v>0</v>
      </c>
      <c r="AA2002" s="253">
        <f>_xlfn.XLOOKUP(FME_Ranking1[[#This Row],[FME ID]],FME_Input[FME_ID],FME_Input[ROAD_MILES100])</f>
        <v>0.1197429448366165</v>
      </c>
      <c r="AB2002" s="178">
        <f>(FME_Ranking1[[#This Row],[Miles Raw]]/$AA$2)*100</f>
        <v>1.5744049555473816E-3</v>
      </c>
      <c r="AC2002" s="178">
        <f>FME_Ranking1[[#This Row],[Miles Score (Normalized, Unweighted)]]*$AA$3</f>
        <v>1.5744049555473818E-4</v>
      </c>
      <c r="AD2002" s="255">
        <f>_xlfn.XLOOKUP(FME_Ranking1[[#This Row],[FME ID]],FME_Input[FME_ID],FME_Input[FARMACRE100])</f>
        <v>4.9547691345214844</v>
      </c>
      <c r="AE2002" s="230">
        <f>(FME_Ranking1[[#This Row],[Ag Land Raw]]/$AD$2)*100</f>
        <v>2.0431249906535496E-4</v>
      </c>
      <c r="AF2002" s="231">
        <f>FME_Ranking1[[#This Row],[Ag Land Score (Normalized, Unweighted)]]*$AD$3</f>
        <v>1.0215624953267748E-5</v>
      </c>
      <c r="AG200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8.6441160115168631E-4</v>
      </c>
      <c r="AH2002" s="406">
        <f t="shared" si="31"/>
        <v>2037</v>
      </c>
      <c r="AI200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8.6441160115168631E-4</v>
      </c>
      <c r="AJ2002" s="257">
        <f>FME_Ranking1[[#This Row],[Addition check]]-FME_Ranking1[[#This Row],[Weighted Score Based on Normalized Reported Factors]]</f>
        <v>0</v>
      </c>
      <c r="AK2002" s="178">
        <f>_xlfn.RANK.EQ(AI2002,$AI$6:$AI$2341,0)+COUNTIF($AI$6:AI2002,AI2002)-1</f>
        <v>2037</v>
      </c>
    </row>
    <row r="2003" spans="1:37" x14ac:dyDescent="0.25">
      <c r="A2003" t="s">
        <v>8891</v>
      </c>
      <c r="B2003">
        <f>_xlfn.XLOOKUP(FME_Ranking1[[#This Row],[FME ID]],FME_Input[FME_ID],FME_Input[RFPG_NUM])</f>
        <v>11</v>
      </c>
      <c r="C2003" t="str">
        <f>_xlfn.XLOOKUP(FME_Ranking1[[#This Row],[FME ID]],FME_Input[FME_ID],FME_Input[FME_NAME])</f>
        <v>City of Wimberley Flite Acres Road Low Water Crossing Project Planning</v>
      </c>
      <c r="D2003" t="str">
        <f>_xlfn.XLOOKUP(FME_Ranking1[[#This Row],[FME ID]],FME_Input[FME_ID],FME_Input[DESCR])</f>
        <v>Project planning for proposed project to replace low water crossing at Flite Acres Road</v>
      </c>
      <c r="E2003" s="256">
        <f>_xlfn.XLOOKUP(FME_Ranking1[[#This Row],[FME ID]],FME_Input[FME_ID],FME_Input[FME_COST])</f>
        <v>100000</v>
      </c>
      <c r="F2003" t="str">
        <f>_xlfn.XLOOKUP(FME_Ranking1[[#This Row],[FME ID]],FME_Input[FME_ID],FME_Input[EMER_NEED])</f>
        <v>No</v>
      </c>
      <c r="G2003">
        <f>IF(FME_Ranking!F2003="Yes",100,0)</f>
        <v>0</v>
      </c>
      <c r="H2003">
        <f>FME_Ranking1[[#This Row],[Emergency Need Score (Normalized, Unweighted)]]*$F$3</f>
        <v>0</v>
      </c>
      <c r="I2003" s="246">
        <f>_xlfn.XLOOKUP(FME_Ranking1[[#This Row],[FME ID]],FME_Input[FME_ID],FME_Input[STRUCT_100])</f>
        <v>4</v>
      </c>
      <c r="J2003" s="178">
        <f>(FME_Ranking1[[#This Row],[Structures 100 Raw]]/I$2)*100</f>
        <v>2.1419697553870542E-3</v>
      </c>
      <c r="K2003" s="178">
        <f>FME_Ranking1[[#This Row],[Structures 100  Score (Normalized, Unweighted)]]*$I$3</f>
        <v>3.2129546330805813E-4</v>
      </c>
      <c r="L2003" s="246">
        <f>_xlfn.XLOOKUP(FME_Ranking1[[#This Row],[FME ID]],FME_Input[FME_ID],FME_Input[RES_STRUCT100])</f>
        <v>3</v>
      </c>
      <c r="M2003" s="230">
        <f>(FME_Ranking1[[#This Row],[Res Structures Raw]]/L$2)*100</f>
        <v>2.1249167740930146E-3</v>
      </c>
      <c r="N2003" s="180">
        <f>FME_Ranking1[[#This Row],[Res Structures Score (Normalized, Unweighted)]]*$L$3</f>
        <v>2.1249167740930149E-4</v>
      </c>
      <c r="O2003" s="244">
        <f>_xlfn.XLOOKUP(FME_Ranking1[[#This Row],[FME ID]],FME_Input[FME_ID],FME_Input[POP100])</f>
        <v>11</v>
      </c>
      <c r="P2003" s="178">
        <f>(FME_Ranking1[[#This Row],[Pop Raw]]/$O$2)*100</f>
        <v>1.1261284318763961E-3</v>
      </c>
      <c r="Q2003" s="178">
        <f>FME_Ranking1[[#This Row],[Pop Score (Normalized, Unweighted)]]*$O$3</f>
        <v>1.6891926478145941E-4</v>
      </c>
      <c r="R2003" s="137">
        <f>_xlfn.XLOOKUP(FME_Ranking1[[#This Row],[FME ID]],FME_Input[FME_ID],FME_Input[CRITFAC100])</f>
        <v>0</v>
      </c>
      <c r="S2003" s="230">
        <f>(FME_Ranking1[[#This Row],[Critical Facilities Raw]]/$R$2)*100</f>
        <v>0</v>
      </c>
      <c r="T2003" s="180">
        <f>FME_Ranking1[[#This Row],[Critical Facilities Score (Normalized, Unweighted)]]*$R$3</f>
        <v>0</v>
      </c>
      <c r="U2003">
        <f>_xlfn.XLOOKUP(FME_Ranking1[[#This Row],[FME ID]],FME_Input[FME_ID],FME_Input[LWC])</f>
        <v>0</v>
      </c>
      <c r="V2003" s="178">
        <f>(FME_Ranking1[[#This Row],[LWC Raw]]/$U$2)*100</f>
        <v>0</v>
      </c>
      <c r="W2003" s="178">
        <f>FME_Ranking1[[#This Row],[LWC Score (Normalized, Unweighted)]]*$U$3</f>
        <v>0</v>
      </c>
      <c r="X2003" s="246">
        <f>_xlfn.XLOOKUP(FME_Ranking1[[#This Row],[FME ID]],FME_Input[FME_ID],FME_Input[ROADCLS])</f>
        <v>0</v>
      </c>
      <c r="Y2003" s="230">
        <f>(FME_Ranking1[[#This Row],[Closures Raw]]/$X$2)*100</f>
        <v>0</v>
      </c>
      <c r="Z2003" s="180">
        <f>FME_Ranking1[[#This Row],[Closures Score (Normalized, Unweighted)]]*$X$3</f>
        <v>0</v>
      </c>
      <c r="AA2003" s="253">
        <f>_xlfn.XLOOKUP(FME_Ranking1[[#This Row],[FME ID]],FME_Input[FME_ID],FME_Input[ROAD_MILES100])</f>
        <v>0.5214734673500061</v>
      </c>
      <c r="AB2003" s="178">
        <f>(FME_Ranking1[[#This Row],[Miles Raw]]/$AA$2)*100</f>
        <v>6.8564407890799308E-3</v>
      </c>
      <c r="AC2003" s="178">
        <f>FME_Ranking1[[#This Row],[Miles Score (Normalized, Unweighted)]]*$AA$3</f>
        <v>6.8564407890799311E-4</v>
      </c>
      <c r="AD2003" s="255">
        <f>_xlfn.XLOOKUP(FME_Ranking1[[#This Row],[FME ID]],FME_Input[FME_ID],FME_Input[FARMACRE100])</f>
        <v>0</v>
      </c>
      <c r="AE2003" s="230">
        <f>(FME_Ranking1[[#This Row],[Ag Land Raw]]/$AD$2)*100</f>
        <v>0</v>
      </c>
      <c r="AF2003" s="231">
        <f>FME_Ranking1[[#This Row],[Ag Land Score (Normalized, Unweighted)]]*$AD$3</f>
        <v>0</v>
      </c>
      <c r="AG200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1.388350484406812E-3</v>
      </c>
      <c r="AH2003" s="406">
        <f t="shared" si="31"/>
        <v>1991</v>
      </c>
      <c r="AI200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1.388350484406812E-3</v>
      </c>
      <c r="AJ2003" s="257">
        <f>FME_Ranking1[[#This Row],[Addition check]]-FME_Ranking1[[#This Row],[Weighted Score Based on Normalized Reported Factors]]</f>
        <v>0</v>
      </c>
      <c r="AK2003" s="178">
        <f>_xlfn.RANK.EQ(AI2003,$AI$6:$AI$2341,0)+COUNTIF($AI$6:AI2003,AI2003)-1</f>
        <v>1991</v>
      </c>
    </row>
    <row r="2004" spans="1:37" x14ac:dyDescent="0.25">
      <c r="A2004" t="s">
        <v>4917</v>
      </c>
      <c r="B2004">
        <f>_xlfn.XLOOKUP(FME_Ranking1[[#This Row],[FME ID]],FME_Input[FME_ID],FME_Input[RFPG_NUM])</f>
        <v>3</v>
      </c>
      <c r="C2004" t="str">
        <f>_xlfn.XLOOKUP(FME_Ranking1[[#This Row],[FME ID]],FME_Input[FME_ID],FME_Input[FME_NAME])</f>
        <v>Swadley Branch Stabilization</v>
      </c>
      <c r="D2004" t="str">
        <f>_xlfn.XLOOKUP(FME_Ranking1[[#This Row],[FME ID]],FME_Input[FME_ID],FME_Input[DESCR])</f>
        <v>Evaluate from 2200 feet south of Koscher Drive to Joe Pool Lake (future with development); Estimated construction cost of $286,800</v>
      </c>
      <c r="E2004" s="256">
        <f>_xlfn.XLOOKUP(FME_Ranking1[[#This Row],[FME ID]],FME_Input[FME_ID],FME_Input[FME_COST])</f>
        <v>250000</v>
      </c>
      <c r="F2004" t="str">
        <f>_xlfn.XLOOKUP(FME_Ranking1[[#This Row],[FME ID]],FME_Input[FME_ID],FME_Input[EMER_NEED])</f>
        <v>No</v>
      </c>
      <c r="G2004">
        <f>IF(FME_Ranking!F2004="Yes",100,0)</f>
        <v>0</v>
      </c>
      <c r="H2004">
        <f>FME_Ranking1[[#This Row],[Emergency Need Score (Normalized, Unweighted)]]*$F$3</f>
        <v>0</v>
      </c>
      <c r="I2004" s="246">
        <f>_xlfn.XLOOKUP(FME_Ranking1[[#This Row],[FME ID]],FME_Input[FME_ID],FME_Input[STRUCT_100])</f>
        <v>3</v>
      </c>
      <c r="J2004" s="178">
        <f>(FME_Ranking1[[#This Row],[Structures 100 Raw]]/I$2)*100</f>
        <v>1.6064773165402903E-3</v>
      </c>
      <c r="K2004" s="178">
        <f>FME_Ranking1[[#This Row],[Structures 100  Score (Normalized, Unweighted)]]*$I$3</f>
        <v>2.4097159748104354E-4</v>
      </c>
      <c r="L2004" s="246">
        <f>_xlfn.XLOOKUP(FME_Ranking1[[#This Row],[FME ID]],FME_Input[FME_ID],FME_Input[RES_STRUCT100])</f>
        <v>2</v>
      </c>
      <c r="M2004" s="230">
        <f>(FME_Ranking1[[#This Row],[Res Structures Raw]]/L$2)*100</f>
        <v>1.4166111827286765E-3</v>
      </c>
      <c r="N2004" s="180">
        <f>FME_Ranking1[[#This Row],[Res Structures Score (Normalized, Unweighted)]]*$L$3</f>
        <v>1.4166111827286767E-4</v>
      </c>
      <c r="O2004" s="244">
        <f>_xlfn.XLOOKUP(FME_Ranking1[[#This Row],[FME ID]],FME_Input[FME_ID],FME_Input[POP100])</f>
        <v>4</v>
      </c>
      <c r="P2004" s="178">
        <f>(FME_Ranking1[[#This Row],[Pop Raw]]/$O$2)*100</f>
        <v>4.0950124795505313E-4</v>
      </c>
      <c r="Q2004" s="178">
        <f>FME_Ranking1[[#This Row],[Pop Score (Normalized, Unweighted)]]*$O$3</f>
        <v>6.1425187193257967E-5</v>
      </c>
      <c r="R2004" s="137">
        <f>_xlfn.XLOOKUP(FME_Ranking1[[#This Row],[FME ID]],FME_Input[FME_ID],FME_Input[CRITFAC100])</f>
        <v>0</v>
      </c>
      <c r="S2004" s="230">
        <f>(FME_Ranking1[[#This Row],[Critical Facilities Raw]]/$R$2)*100</f>
        <v>0</v>
      </c>
      <c r="T2004" s="180">
        <f>FME_Ranking1[[#This Row],[Critical Facilities Score (Normalized, Unweighted)]]*$R$3</f>
        <v>0</v>
      </c>
      <c r="U2004">
        <f>_xlfn.XLOOKUP(FME_Ranking1[[#This Row],[FME ID]],FME_Input[FME_ID],FME_Input[LWC])</f>
        <v>0</v>
      </c>
      <c r="V2004" s="178">
        <f>(FME_Ranking1[[#This Row],[LWC Raw]]/$U$2)*100</f>
        <v>0</v>
      </c>
      <c r="W2004" s="178">
        <f>FME_Ranking1[[#This Row],[LWC Score (Normalized, Unweighted)]]*$U$3</f>
        <v>0</v>
      </c>
      <c r="X2004" s="246">
        <f>_xlfn.XLOOKUP(FME_Ranking1[[#This Row],[FME ID]],FME_Input[FME_ID],FME_Input[ROADCLS])</f>
        <v>0</v>
      </c>
      <c r="Y2004" s="230">
        <f>(FME_Ranking1[[#This Row],[Closures Raw]]/$X$2)*100</f>
        <v>0</v>
      </c>
      <c r="Z2004" s="180">
        <f>FME_Ranking1[[#This Row],[Closures Score (Normalized, Unweighted)]]*$X$3</f>
        <v>0</v>
      </c>
      <c r="AA2004" s="253">
        <f>_xlfn.XLOOKUP(FME_Ranking1[[#This Row],[FME ID]],FME_Input[FME_ID],FME_Input[ROAD_MILES100])</f>
        <v>2.8876729309558868E-2</v>
      </c>
      <c r="AB2004" s="178">
        <f>(FME_Ranking1[[#This Row],[Miles Raw]]/$AA$2)*100</f>
        <v>3.7967719757521241E-4</v>
      </c>
      <c r="AC2004" s="178">
        <f>FME_Ranking1[[#This Row],[Miles Score (Normalized, Unweighted)]]*$AA$3</f>
        <v>3.7967719757521241E-5</v>
      </c>
      <c r="AD2004" s="255">
        <f>_xlfn.XLOOKUP(FME_Ranking1[[#This Row],[FME ID]],FME_Input[FME_ID],FME_Input[FARMACRE100])</f>
        <v>123.614501953125</v>
      </c>
      <c r="AE2004" s="230">
        <f>(FME_Ranking1[[#This Row],[Ag Land Raw]]/$AD$2)*100</f>
        <v>5.0973086997728127E-3</v>
      </c>
      <c r="AF2004" s="231">
        <f>FME_Ranking1[[#This Row],[Ag Land Score (Normalized, Unweighted)]]*$AD$3</f>
        <v>2.5486543498864065E-4</v>
      </c>
      <c r="AG200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7.3689105769333106E-4</v>
      </c>
      <c r="AH2004" s="406">
        <f t="shared" si="31"/>
        <v>2051</v>
      </c>
      <c r="AI200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7.3689105769333106E-4</v>
      </c>
      <c r="AJ2004" s="257">
        <f>FME_Ranking1[[#This Row],[Addition check]]-FME_Ranking1[[#This Row],[Weighted Score Based on Normalized Reported Factors]]</f>
        <v>0</v>
      </c>
      <c r="AK2004" s="178">
        <f>_xlfn.RANK.EQ(AI2004,$AI$6:$AI$2341,0)+COUNTIF($AI$6:AI2004,AI2004)-1</f>
        <v>2051</v>
      </c>
    </row>
    <row r="2005" spans="1:37" x14ac:dyDescent="0.25">
      <c r="A2005" t="s">
        <v>4922</v>
      </c>
      <c r="B2005">
        <f>_xlfn.XLOOKUP(FME_Ranking1[[#This Row],[FME ID]],FME_Input[FME_ID],FME_Input[RFPG_NUM])</f>
        <v>3</v>
      </c>
      <c r="C2005" t="str">
        <f>_xlfn.XLOOKUP(FME_Ranking1[[#This Row],[FME ID]],FME_Input[FME_ID],FME_Input[FME_NAME])</f>
        <v>Tarrell Creek Stabilization</v>
      </c>
      <c r="D2005" t="str">
        <f>_xlfn.XLOOKUP(FME_Ranking1[[#This Row],[FME ID]],FME_Input[FME_ID],FME_Input[DESCR])</f>
        <v>Evaluate from a Stream Point 2420 feet south of South Periwinkle Court cul-de-sac and 800 feet east of South Periwinkle Court cul-de-sac to Joe Pool Lake (future with development); Estimated construction cost of $747,200</v>
      </c>
      <c r="E2005" s="256">
        <f>_xlfn.XLOOKUP(FME_Ranking1[[#This Row],[FME ID]],FME_Input[FME_ID],FME_Input[FME_COST])</f>
        <v>250000</v>
      </c>
      <c r="F2005" t="str">
        <f>_xlfn.XLOOKUP(FME_Ranking1[[#This Row],[FME ID]],FME_Input[FME_ID],FME_Input[EMER_NEED])</f>
        <v>No</v>
      </c>
      <c r="G2005">
        <f>IF(FME_Ranking!F2005="Yes",100,0)</f>
        <v>0</v>
      </c>
      <c r="H2005">
        <f>FME_Ranking1[[#This Row],[Emergency Need Score (Normalized, Unweighted)]]*$F$3</f>
        <v>0</v>
      </c>
      <c r="I2005" s="246">
        <f>_xlfn.XLOOKUP(FME_Ranking1[[#This Row],[FME ID]],FME_Input[FME_ID],FME_Input[STRUCT_100])</f>
        <v>3</v>
      </c>
      <c r="J2005" s="178">
        <f>(FME_Ranking1[[#This Row],[Structures 100 Raw]]/I$2)*100</f>
        <v>1.6064773165402903E-3</v>
      </c>
      <c r="K2005" s="178">
        <f>FME_Ranking1[[#This Row],[Structures 100  Score (Normalized, Unweighted)]]*$I$3</f>
        <v>2.4097159748104354E-4</v>
      </c>
      <c r="L2005" s="246">
        <f>_xlfn.XLOOKUP(FME_Ranking1[[#This Row],[FME ID]],FME_Input[FME_ID],FME_Input[RES_STRUCT100])</f>
        <v>2</v>
      </c>
      <c r="M2005" s="230">
        <f>(FME_Ranking1[[#This Row],[Res Structures Raw]]/L$2)*100</f>
        <v>1.4166111827286765E-3</v>
      </c>
      <c r="N2005" s="180">
        <f>FME_Ranking1[[#This Row],[Res Structures Score (Normalized, Unweighted)]]*$L$3</f>
        <v>1.4166111827286767E-4</v>
      </c>
      <c r="O2005" s="244">
        <f>_xlfn.XLOOKUP(FME_Ranking1[[#This Row],[FME ID]],FME_Input[FME_ID],FME_Input[POP100])</f>
        <v>4</v>
      </c>
      <c r="P2005" s="178">
        <f>(FME_Ranking1[[#This Row],[Pop Raw]]/$O$2)*100</f>
        <v>4.0950124795505313E-4</v>
      </c>
      <c r="Q2005" s="178">
        <f>FME_Ranking1[[#This Row],[Pop Score (Normalized, Unweighted)]]*$O$3</f>
        <v>6.1425187193257967E-5</v>
      </c>
      <c r="R2005" s="137">
        <f>_xlfn.XLOOKUP(FME_Ranking1[[#This Row],[FME ID]],FME_Input[FME_ID],FME_Input[CRITFAC100])</f>
        <v>0</v>
      </c>
      <c r="S2005" s="230">
        <f>(FME_Ranking1[[#This Row],[Critical Facilities Raw]]/$R$2)*100</f>
        <v>0</v>
      </c>
      <c r="T2005" s="180">
        <f>FME_Ranking1[[#This Row],[Critical Facilities Score (Normalized, Unweighted)]]*$R$3</f>
        <v>0</v>
      </c>
      <c r="U2005">
        <f>_xlfn.XLOOKUP(FME_Ranking1[[#This Row],[FME ID]],FME_Input[FME_ID],FME_Input[LWC])</f>
        <v>0</v>
      </c>
      <c r="V2005" s="178">
        <f>(FME_Ranking1[[#This Row],[LWC Raw]]/$U$2)*100</f>
        <v>0</v>
      </c>
      <c r="W2005" s="178">
        <f>FME_Ranking1[[#This Row],[LWC Score (Normalized, Unweighted)]]*$U$3</f>
        <v>0</v>
      </c>
      <c r="X2005" s="246">
        <f>_xlfn.XLOOKUP(FME_Ranking1[[#This Row],[FME ID]],FME_Input[FME_ID],FME_Input[ROADCLS])</f>
        <v>0</v>
      </c>
      <c r="Y2005" s="230">
        <f>(FME_Ranking1[[#This Row],[Closures Raw]]/$X$2)*100</f>
        <v>0</v>
      </c>
      <c r="Z2005" s="180">
        <f>FME_Ranking1[[#This Row],[Closures Score (Normalized, Unweighted)]]*$X$3</f>
        <v>0</v>
      </c>
      <c r="AA2005" s="253">
        <f>_xlfn.XLOOKUP(FME_Ranking1[[#This Row],[FME ID]],FME_Input[FME_ID],FME_Input[ROAD_MILES100])</f>
        <v>2.8876729309558868E-2</v>
      </c>
      <c r="AB2005" s="178">
        <f>(FME_Ranking1[[#This Row],[Miles Raw]]/$AA$2)*100</f>
        <v>3.7967719757521241E-4</v>
      </c>
      <c r="AC2005" s="178">
        <f>FME_Ranking1[[#This Row],[Miles Score (Normalized, Unweighted)]]*$AA$3</f>
        <v>3.7967719757521241E-5</v>
      </c>
      <c r="AD2005" s="255">
        <f>_xlfn.XLOOKUP(FME_Ranking1[[#This Row],[FME ID]],FME_Input[FME_ID],FME_Input[FARMACRE100])</f>
        <v>123.614501953125</v>
      </c>
      <c r="AE2005" s="230">
        <f>(FME_Ranking1[[#This Row],[Ag Land Raw]]/$AD$2)*100</f>
        <v>5.0973086997728127E-3</v>
      </c>
      <c r="AF2005" s="231">
        <f>FME_Ranking1[[#This Row],[Ag Land Score (Normalized, Unweighted)]]*$AD$3</f>
        <v>2.5486543498864065E-4</v>
      </c>
      <c r="AG200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7.3689105769333106E-4</v>
      </c>
      <c r="AH2005" s="406">
        <f t="shared" si="31"/>
        <v>2051</v>
      </c>
      <c r="AI200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7.3689105769333106E-4</v>
      </c>
      <c r="AJ2005" s="257">
        <f>FME_Ranking1[[#This Row],[Addition check]]-FME_Ranking1[[#This Row],[Weighted Score Based on Normalized Reported Factors]]</f>
        <v>0</v>
      </c>
      <c r="AK2005" s="178">
        <f>_xlfn.RANK.EQ(AI2005,$AI$6:$AI$2341,0)+COUNTIF($AI$6:AI2005,AI2005)-1</f>
        <v>2052</v>
      </c>
    </row>
    <row r="2006" spans="1:37" x14ac:dyDescent="0.25">
      <c r="A2006" t="s">
        <v>4925</v>
      </c>
      <c r="B2006">
        <f>_xlfn.XLOOKUP(FME_Ranking1[[#This Row],[FME ID]],FME_Input[FME_ID],FME_Input[RFPG_NUM])</f>
        <v>3</v>
      </c>
      <c r="C2006" t="str">
        <f>_xlfn.XLOOKUP(FME_Ranking1[[#This Row],[FME ID]],FME_Input[FME_ID],FME_Input[FME_NAME])</f>
        <v>Mills Branch Stabilization</v>
      </c>
      <c r="D2006" t="str">
        <f>_xlfn.XLOOKUP(FME_Ranking1[[#This Row],[FME ID]],FME_Input[FME_ID],FME_Input[DESCR])</f>
        <v>Evaluate from 880 feet south of South Periwinkle Court cul-de-sac to Joe Pool Lake (future with development); Estimated construction cost of $599,300</v>
      </c>
      <c r="E2006" s="256">
        <f>_xlfn.XLOOKUP(FME_Ranking1[[#This Row],[FME ID]],FME_Input[FME_ID],FME_Input[FME_COST])</f>
        <v>250000</v>
      </c>
      <c r="F2006" t="str">
        <f>_xlfn.XLOOKUP(FME_Ranking1[[#This Row],[FME ID]],FME_Input[FME_ID],FME_Input[EMER_NEED])</f>
        <v>No</v>
      </c>
      <c r="G2006">
        <f>IF(FME_Ranking!F2006="Yes",100,0)</f>
        <v>0</v>
      </c>
      <c r="H2006">
        <f>FME_Ranking1[[#This Row],[Emergency Need Score (Normalized, Unweighted)]]*$F$3</f>
        <v>0</v>
      </c>
      <c r="I2006" s="246">
        <f>_xlfn.XLOOKUP(FME_Ranking1[[#This Row],[FME ID]],FME_Input[FME_ID],FME_Input[STRUCT_100])</f>
        <v>3</v>
      </c>
      <c r="J2006" s="178">
        <f>(FME_Ranking1[[#This Row],[Structures 100 Raw]]/I$2)*100</f>
        <v>1.6064773165402903E-3</v>
      </c>
      <c r="K2006" s="178">
        <f>FME_Ranking1[[#This Row],[Structures 100  Score (Normalized, Unweighted)]]*$I$3</f>
        <v>2.4097159748104354E-4</v>
      </c>
      <c r="L2006" s="246">
        <f>_xlfn.XLOOKUP(FME_Ranking1[[#This Row],[FME ID]],FME_Input[FME_ID],FME_Input[RES_STRUCT100])</f>
        <v>2</v>
      </c>
      <c r="M2006" s="230">
        <f>(FME_Ranking1[[#This Row],[Res Structures Raw]]/L$2)*100</f>
        <v>1.4166111827286765E-3</v>
      </c>
      <c r="N2006" s="180">
        <f>FME_Ranking1[[#This Row],[Res Structures Score (Normalized, Unweighted)]]*$L$3</f>
        <v>1.4166111827286767E-4</v>
      </c>
      <c r="O2006" s="244">
        <f>_xlfn.XLOOKUP(FME_Ranking1[[#This Row],[FME ID]],FME_Input[FME_ID],FME_Input[POP100])</f>
        <v>4</v>
      </c>
      <c r="P2006" s="178">
        <f>(FME_Ranking1[[#This Row],[Pop Raw]]/$O$2)*100</f>
        <v>4.0950124795505313E-4</v>
      </c>
      <c r="Q2006" s="178">
        <f>FME_Ranking1[[#This Row],[Pop Score (Normalized, Unweighted)]]*$O$3</f>
        <v>6.1425187193257967E-5</v>
      </c>
      <c r="R2006" s="137">
        <f>_xlfn.XLOOKUP(FME_Ranking1[[#This Row],[FME ID]],FME_Input[FME_ID],FME_Input[CRITFAC100])</f>
        <v>0</v>
      </c>
      <c r="S2006" s="230">
        <f>(FME_Ranking1[[#This Row],[Critical Facilities Raw]]/$R$2)*100</f>
        <v>0</v>
      </c>
      <c r="T2006" s="180">
        <f>FME_Ranking1[[#This Row],[Critical Facilities Score (Normalized, Unweighted)]]*$R$3</f>
        <v>0</v>
      </c>
      <c r="U2006">
        <f>_xlfn.XLOOKUP(FME_Ranking1[[#This Row],[FME ID]],FME_Input[FME_ID],FME_Input[LWC])</f>
        <v>0</v>
      </c>
      <c r="V2006" s="178">
        <f>(FME_Ranking1[[#This Row],[LWC Raw]]/$U$2)*100</f>
        <v>0</v>
      </c>
      <c r="W2006" s="178">
        <f>FME_Ranking1[[#This Row],[LWC Score (Normalized, Unweighted)]]*$U$3</f>
        <v>0</v>
      </c>
      <c r="X2006" s="246">
        <f>_xlfn.XLOOKUP(FME_Ranking1[[#This Row],[FME ID]],FME_Input[FME_ID],FME_Input[ROADCLS])</f>
        <v>0</v>
      </c>
      <c r="Y2006" s="230">
        <f>(FME_Ranking1[[#This Row],[Closures Raw]]/$X$2)*100</f>
        <v>0</v>
      </c>
      <c r="Z2006" s="180">
        <f>FME_Ranking1[[#This Row],[Closures Score (Normalized, Unweighted)]]*$X$3</f>
        <v>0</v>
      </c>
      <c r="AA2006" s="253">
        <f>_xlfn.XLOOKUP(FME_Ranking1[[#This Row],[FME ID]],FME_Input[FME_ID],FME_Input[ROAD_MILES100])</f>
        <v>2.8876729309558868E-2</v>
      </c>
      <c r="AB2006" s="178">
        <f>(FME_Ranking1[[#This Row],[Miles Raw]]/$AA$2)*100</f>
        <v>3.7967719757521241E-4</v>
      </c>
      <c r="AC2006" s="178">
        <f>FME_Ranking1[[#This Row],[Miles Score (Normalized, Unweighted)]]*$AA$3</f>
        <v>3.7967719757521241E-5</v>
      </c>
      <c r="AD2006" s="255">
        <f>_xlfn.XLOOKUP(FME_Ranking1[[#This Row],[FME ID]],FME_Input[FME_ID],FME_Input[FARMACRE100])</f>
        <v>123.614501953125</v>
      </c>
      <c r="AE2006" s="230">
        <f>(FME_Ranking1[[#This Row],[Ag Land Raw]]/$AD$2)*100</f>
        <v>5.0973086997728127E-3</v>
      </c>
      <c r="AF2006" s="231">
        <f>FME_Ranking1[[#This Row],[Ag Land Score (Normalized, Unweighted)]]*$AD$3</f>
        <v>2.5486543498864065E-4</v>
      </c>
      <c r="AG200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7.3689105769333106E-4</v>
      </c>
      <c r="AH2006" s="406">
        <f t="shared" si="31"/>
        <v>2051</v>
      </c>
      <c r="AI200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7.3689105769333106E-4</v>
      </c>
      <c r="AJ2006" s="257">
        <f>FME_Ranking1[[#This Row],[Addition check]]-FME_Ranking1[[#This Row],[Weighted Score Based on Normalized Reported Factors]]</f>
        <v>0</v>
      </c>
      <c r="AK2006" s="178">
        <f>_xlfn.RANK.EQ(AI2006,$AI$6:$AI$2341,0)+COUNTIF($AI$6:AI2006,AI2006)-1</f>
        <v>2053</v>
      </c>
    </row>
    <row r="2007" spans="1:37" x14ac:dyDescent="0.25">
      <c r="A2007" t="s">
        <v>63</v>
      </c>
      <c r="B2007">
        <f>_xlfn.XLOOKUP(FME_Ranking1[[#This Row],[FME ID]],FME_Input[FME_ID],FME_Input[RFPG_NUM])</f>
        <v>10</v>
      </c>
      <c r="C2007" t="str">
        <f>_xlfn.XLOOKUP(FME_Ranking1[[#This Row],[FME ID]],FME_Input[FME_ID],FME_Input[FME_NAME])</f>
        <v>Gotier Trace Low Water Crossing</v>
      </c>
      <c r="D2007" t="str">
        <f>_xlfn.XLOOKUP(FME_Ranking1[[#This Row],[FME ID]],FME_Input[FME_ID],FME_Input[DESCR])</f>
        <v>Replace LWCs with box culverts</v>
      </c>
      <c r="E2007" s="256">
        <f>_xlfn.XLOOKUP(FME_Ranking1[[#This Row],[FME ID]],FME_Input[FME_ID],FME_Input[FME_COST])</f>
        <v>100000</v>
      </c>
      <c r="F2007" t="str">
        <f>_xlfn.XLOOKUP(FME_Ranking1[[#This Row],[FME ID]],FME_Input[FME_ID],FME_Input[EMER_NEED])</f>
        <v>No</v>
      </c>
      <c r="G2007">
        <f>IF(FME_Ranking!F2007="Yes",100,0)</f>
        <v>0</v>
      </c>
      <c r="H2007">
        <f>FME_Ranking1[[#This Row],[Emergency Need Score (Normalized, Unweighted)]]*$F$3</f>
        <v>0</v>
      </c>
      <c r="I2007" s="246">
        <f>_xlfn.XLOOKUP(FME_Ranking1[[#This Row],[FME ID]],FME_Input[FME_ID],FME_Input[STRUCT_100])</f>
        <v>2</v>
      </c>
      <c r="J2007" s="178">
        <f>(FME_Ranking1[[#This Row],[Structures 100 Raw]]/I$2)*100</f>
        <v>1.0709848776935271E-3</v>
      </c>
      <c r="K2007" s="178">
        <f>FME_Ranking1[[#This Row],[Structures 100  Score (Normalized, Unweighted)]]*$I$3</f>
        <v>1.6064773165402907E-4</v>
      </c>
      <c r="L2007" s="246">
        <f>_xlfn.XLOOKUP(FME_Ranking1[[#This Row],[FME ID]],FME_Input[FME_ID],FME_Input[RES_STRUCT100])</f>
        <v>2</v>
      </c>
      <c r="M2007" s="230">
        <f>(FME_Ranking1[[#This Row],[Res Structures Raw]]/L$2)*100</f>
        <v>1.4166111827286765E-3</v>
      </c>
      <c r="N2007" s="180">
        <f>FME_Ranking1[[#This Row],[Res Structures Score (Normalized, Unweighted)]]*$L$3</f>
        <v>1.4166111827286767E-4</v>
      </c>
      <c r="O2007" s="244">
        <f>_xlfn.XLOOKUP(FME_Ranking1[[#This Row],[FME ID]],FME_Input[FME_ID],FME_Input[POP100])</f>
        <v>3</v>
      </c>
      <c r="P2007" s="178">
        <f>(FME_Ranking1[[#This Row],[Pop Raw]]/$O$2)*100</f>
        <v>3.0712593596628988E-4</v>
      </c>
      <c r="Q2007" s="178">
        <f>FME_Ranking1[[#This Row],[Pop Score (Normalized, Unweighted)]]*$O$3</f>
        <v>4.6068890394943479E-5</v>
      </c>
      <c r="R2007" s="137">
        <f>_xlfn.XLOOKUP(FME_Ranking1[[#This Row],[FME ID]],FME_Input[FME_ID],FME_Input[CRITFAC100])</f>
        <v>0</v>
      </c>
      <c r="S2007" s="230">
        <f>(FME_Ranking1[[#This Row],[Critical Facilities Raw]]/$R$2)*100</f>
        <v>0</v>
      </c>
      <c r="T2007" s="180">
        <f>FME_Ranking1[[#This Row],[Critical Facilities Score (Normalized, Unweighted)]]*$R$3</f>
        <v>0</v>
      </c>
      <c r="U2007">
        <f>_xlfn.XLOOKUP(FME_Ranking1[[#This Row],[FME ID]],FME_Input[FME_ID],FME_Input[LWC])</f>
        <v>0</v>
      </c>
      <c r="V2007" s="178">
        <f>(FME_Ranking1[[#This Row],[LWC Raw]]/$U$2)*100</f>
        <v>0</v>
      </c>
      <c r="W2007" s="178">
        <f>FME_Ranking1[[#This Row],[LWC Score (Normalized, Unweighted)]]*$U$3</f>
        <v>0</v>
      </c>
      <c r="X2007" s="246">
        <f>_xlfn.XLOOKUP(FME_Ranking1[[#This Row],[FME ID]],FME_Input[FME_ID],FME_Input[ROADCLS])</f>
        <v>0</v>
      </c>
      <c r="Y2007" s="230">
        <f>(FME_Ranking1[[#This Row],[Closures Raw]]/$X$2)*100</f>
        <v>0</v>
      </c>
      <c r="Z2007" s="180">
        <f>FME_Ranking1[[#This Row],[Closures Score (Normalized, Unweighted)]]*$X$3</f>
        <v>0</v>
      </c>
      <c r="AA2007" s="253">
        <f>_xlfn.XLOOKUP(FME_Ranking1[[#This Row],[FME ID]],FME_Input[FME_ID],FME_Input[ROAD_MILES100])</f>
        <v>1.3419240713119509</v>
      </c>
      <c r="AB2007" s="178">
        <f>(FME_Ranking1[[#This Row],[Miles Raw]]/$AA$2)*100</f>
        <v>1.7643894683937952E-2</v>
      </c>
      <c r="AC2007" s="178">
        <f>FME_Ranking1[[#This Row],[Miles Score (Normalized, Unweighted)]]*$AA$3</f>
        <v>1.7643894683937952E-3</v>
      </c>
      <c r="AD2007" s="255">
        <f>_xlfn.XLOOKUP(FME_Ranking1[[#This Row],[FME ID]],FME_Input[FME_ID],FME_Input[FARMACRE100])</f>
        <v>162.9137878417969</v>
      </c>
      <c r="AE2007" s="230">
        <f>(FME_Ranking1[[#This Row],[Ag Land Raw]]/$AD$2)*100</f>
        <v>6.7178353264233685E-3</v>
      </c>
      <c r="AF2007" s="231">
        <f>FME_Ranking1[[#This Row],[Ag Land Score (Normalized, Unweighted)]]*$AD$3</f>
        <v>3.3589176632116847E-4</v>
      </c>
      <c r="AG200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2.4486589750368037E-3</v>
      </c>
      <c r="AH2007" s="406">
        <f t="shared" si="31"/>
        <v>1930</v>
      </c>
      <c r="AI200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2.4486589750368037E-3</v>
      </c>
      <c r="AJ2007" s="257">
        <f>FME_Ranking1[[#This Row],[Addition check]]-FME_Ranking1[[#This Row],[Weighted Score Based on Normalized Reported Factors]]</f>
        <v>0</v>
      </c>
      <c r="AK2007" s="178">
        <f>_xlfn.RANK.EQ(AI2007,$AI$6:$AI$2341,0)+COUNTIF($AI$6:AI2007,AI2007)-1</f>
        <v>1930</v>
      </c>
    </row>
    <row r="2008" spans="1:37" x14ac:dyDescent="0.25">
      <c r="A2008" t="s">
        <v>6362</v>
      </c>
      <c r="B2008">
        <f>_xlfn.XLOOKUP(FME_Ranking1[[#This Row],[FME ID]],FME_Input[FME_ID],FME_Input[RFPG_NUM])</f>
        <v>5</v>
      </c>
      <c r="C2008" t="str">
        <f>_xlfn.XLOOKUP(FME_Ranking1[[#This Row],[FME ID]],FME_Input[FME_ID],FME_Input[FME_NAME])</f>
        <v>Tyrrell Park Detention</v>
      </c>
      <c r="D2008" t="str">
        <f>_xlfn.XLOOKUP(FME_Ranking1[[#This Row],[FME ID]],FME_Input[FME_ID],FME_Input[DESCR])</f>
        <v>Install a detention pond in the vicinity of Tyrrell Park Rd. within the city of Beaumont.</v>
      </c>
      <c r="E2008" s="256">
        <f>_xlfn.XLOOKUP(FME_Ranking1[[#This Row],[FME ID]],FME_Input[FME_ID],FME_Input[FME_COST])</f>
        <v>500000</v>
      </c>
      <c r="F2008" t="str">
        <f>_xlfn.XLOOKUP(FME_Ranking1[[#This Row],[FME ID]],FME_Input[FME_ID],FME_Input[EMER_NEED])</f>
        <v>Yes</v>
      </c>
      <c r="G2008">
        <f>IF(FME_Ranking!F2008="Yes",100,0)</f>
        <v>100</v>
      </c>
      <c r="H2008">
        <f>FME_Ranking1[[#This Row],[Emergency Need Score (Normalized, Unweighted)]]*$F$3</f>
        <v>0</v>
      </c>
      <c r="I2008" s="246">
        <f>_xlfn.XLOOKUP(FME_Ranking1[[#This Row],[FME ID]],FME_Input[FME_ID],FME_Input[STRUCT_100])</f>
        <v>1</v>
      </c>
      <c r="J2008" s="178">
        <f>(FME_Ranking1[[#This Row],[Structures 100 Raw]]/I$2)*100</f>
        <v>5.3549243884676355E-4</v>
      </c>
      <c r="K2008" s="178">
        <f>FME_Ranking1[[#This Row],[Structures 100  Score (Normalized, Unweighted)]]*$I$3</f>
        <v>8.0323865827014533E-5</v>
      </c>
      <c r="L2008" s="246">
        <f>_xlfn.XLOOKUP(FME_Ranking1[[#This Row],[FME ID]],FME_Input[FME_ID],FME_Input[RES_STRUCT100])</f>
        <v>1</v>
      </c>
      <c r="M2008" s="230">
        <f>(FME_Ranking1[[#This Row],[Res Structures Raw]]/L$2)*100</f>
        <v>7.0830559136433825E-4</v>
      </c>
      <c r="N2008" s="180">
        <f>FME_Ranking1[[#This Row],[Res Structures Score (Normalized, Unweighted)]]*$L$3</f>
        <v>7.0830559136433833E-5</v>
      </c>
      <c r="O2008" s="244">
        <f>_xlfn.XLOOKUP(FME_Ranking1[[#This Row],[FME ID]],FME_Input[FME_ID],FME_Input[POP100])</f>
        <v>0</v>
      </c>
      <c r="P2008" s="178">
        <f>(FME_Ranking1[[#This Row],[Pop Raw]]/$O$2)*100</f>
        <v>0</v>
      </c>
      <c r="Q2008" s="178">
        <f>FME_Ranking1[[#This Row],[Pop Score (Normalized, Unweighted)]]*$O$3</f>
        <v>0</v>
      </c>
      <c r="R2008" s="137">
        <f>_xlfn.XLOOKUP(FME_Ranking1[[#This Row],[FME ID]],FME_Input[FME_ID],FME_Input[CRITFAC100])</f>
        <v>0</v>
      </c>
      <c r="S2008" s="230">
        <f>(FME_Ranking1[[#This Row],[Critical Facilities Raw]]/$R$2)*100</f>
        <v>0</v>
      </c>
      <c r="T2008" s="180">
        <f>FME_Ranking1[[#This Row],[Critical Facilities Score (Normalized, Unweighted)]]*$R$3</f>
        <v>0</v>
      </c>
      <c r="U2008">
        <f>_xlfn.XLOOKUP(FME_Ranking1[[#This Row],[FME ID]],FME_Input[FME_ID],FME_Input[LWC])</f>
        <v>0</v>
      </c>
      <c r="V2008" s="178">
        <f>(FME_Ranking1[[#This Row],[LWC Raw]]/$U$2)*100</f>
        <v>0</v>
      </c>
      <c r="W2008" s="178">
        <f>FME_Ranking1[[#This Row],[LWC Score (Normalized, Unweighted)]]*$U$3</f>
        <v>0</v>
      </c>
      <c r="X2008" s="246">
        <f>_xlfn.XLOOKUP(FME_Ranking1[[#This Row],[FME ID]],FME_Input[FME_ID],FME_Input[ROADCLS])</f>
        <v>0</v>
      </c>
      <c r="Y2008" s="230">
        <f>(FME_Ranking1[[#This Row],[Closures Raw]]/$X$2)*100</f>
        <v>0</v>
      </c>
      <c r="Z2008" s="180">
        <f>FME_Ranking1[[#This Row],[Closures Score (Normalized, Unweighted)]]*$X$3</f>
        <v>0</v>
      </c>
      <c r="AA2008" s="253">
        <f>_xlfn.XLOOKUP(FME_Ranking1[[#This Row],[FME ID]],FME_Input[FME_ID],FME_Input[ROAD_MILES100])</f>
        <v>1.92546558380127</v>
      </c>
      <c r="AB2008" s="178">
        <f>(FME_Ranking1[[#This Row],[Miles Raw]]/$AA$2)*100</f>
        <v>2.5316418942334658E-2</v>
      </c>
      <c r="AC2008" s="178">
        <f>FME_Ranking1[[#This Row],[Miles Score (Normalized, Unweighted)]]*$AA$3</f>
        <v>2.5316418942334662E-3</v>
      </c>
      <c r="AD2008" s="255">
        <f>_xlfn.XLOOKUP(FME_Ranking1[[#This Row],[FME ID]],FME_Input[FME_ID],FME_Input[FARMACRE100])</f>
        <v>258.322265625</v>
      </c>
      <c r="AE2008" s="230">
        <f>(FME_Ranking1[[#This Row],[Ag Land Raw]]/$AD$2)*100</f>
        <v>1.0652053853799864E-2</v>
      </c>
      <c r="AF2008" s="231">
        <f>FME_Ranking1[[#This Row],[Ag Land Score (Normalized, Unweighted)]]*$AD$3</f>
        <v>5.3260269268999322E-4</v>
      </c>
      <c r="AG200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3.2153990118869076E-3</v>
      </c>
      <c r="AH2008" s="406">
        <f t="shared" si="31"/>
        <v>1890</v>
      </c>
      <c r="AI200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3.2153990118869076E-3</v>
      </c>
      <c r="AJ2008" s="257">
        <f>FME_Ranking1[[#This Row],[Addition check]]-FME_Ranking1[[#This Row],[Weighted Score Based on Normalized Reported Factors]]</f>
        <v>0</v>
      </c>
      <c r="AK2008" s="178">
        <f>_xlfn.RANK.EQ(AI2008,$AI$6:$AI$2341,0)+COUNTIF($AI$6:AI2008,AI2008)-1</f>
        <v>1890</v>
      </c>
    </row>
    <row r="2009" spans="1:37" x14ac:dyDescent="0.25">
      <c r="A2009" t="s">
        <v>6631</v>
      </c>
      <c r="B2009">
        <f>_xlfn.XLOOKUP(FME_Ranking1[[#This Row],[FME ID]],FME_Input[FME_ID],FME_Input[RFPG_NUM])</f>
        <v>7</v>
      </c>
      <c r="C2009" t="str">
        <f>_xlfn.XLOOKUP(FME_Ranking1[[#This Row],[FME ID]],FME_Input[FME_ID],FME_Input[FME_NAME])</f>
        <v>Mitchell County DMP</v>
      </c>
      <c r="D2009" t="str">
        <f>_xlfn.XLOOKUP(FME_Ranking1[[#This Row],[FME ID]],FME_Input[FME_ID],FME_Input[DESCR])</f>
        <v>Evaluate county to identify future projects, analyze roads/stream crossing for emergency response vehicles to high hazard areas</v>
      </c>
      <c r="E2009" s="256">
        <f>_xlfn.XLOOKUP(FME_Ranking1[[#This Row],[FME ID]],FME_Input[FME_ID],FME_Input[FME_COST])</f>
        <v>500000</v>
      </c>
      <c r="F2009" t="str">
        <f>_xlfn.XLOOKUP(FME_Ranking1[[#This Row],[FME ID]],FME_Input[FME_ID],FME_Input[EMER_NEED])</f>
        <v>No</v>
      </c>
      <c r="G2009">
        <f>IF(FME_Ranking!F2009="Yes",100,0)</f>
        <v>0</v>
      </c>
      <c r="H2009">
        <f>FME_Ranking1[[#This Row],[Emergency Need Score (Normalized, Unweighted)]]*$F$3</f>
        <v>0</v>
      </c>
      <c r="I2009" s="246">
        <f>_xlfn.XLOOKUP(FME_Ranking1[[#This Row],[FME ID]],FME_Input[FME_ID],FME_Input[STRUCT_100])</f>
        <v>1</v>
      </c>
      <c r="J2009" s="178">
        <f>(FME_Ranking1[[#This Row],[Structures 100 Raw]]/I$2)*100</f>
        <v>5.3549243884676355E-4</v>
      </c>
      <c r="K2009" s="178">
        <f>FME_Ranking1[[#This Row],[Structures 100  Score (Normalized, Unweighted)]]*$I$3</f>
        <v>8.0323865827014533E-5</v>
      </c>
      <c r="L2009" s="246">
        <f>_xlfn.XLOOKUP(FME_Ranking1[[#This Row],[FME ID]],FME_Input[FME_ID],FME_Input[RES_STRUCT100])</f>
        <v>1</v>
      </c>
      <c r="M2009" s="230">
        <f>(FME_Ranking1[[#This Row],[Res Structures Raw]]/L$2)*100</f>
        <v>7.0830559136433825E-4</v>
      </c>
      <c r="N2009" s="180">
        <f>FME_Ranking1[[#This Row],[Res Structures Score (Normalized, Unweighted)]]*$L$3</f>
        <v>7.0830559136433833E-5</v>
      </c>
      <c r="O2009" s="244">
        <f>_xlfn.XLOOKUP(FME_Ranking1[[#This Row],[FME ID]],FME_Input[FME_ID],FME_Input[POP100])</f>
        <v>0</v>
      </c>
      <c r="P2009" s="178">
        <f>(FME_Ranking1[[#This Row],[Pop Raw]]/$O$2)*100</f>
        <v>0</v>
      </c>
      <c r="Q2009" s="178">
        <f>FME_Ranking1[[#This Row],[Pop Score (Normalized, Unweighted)]]*$O$3</f>
        <v>0</v>
      </c>
      <c r="R2009" s="137">
        <f>_xlfn.XLOOKUP(FME_Ranking1[[#This Row],[FME ID]],FME_Input[FME_ID],FME_Input[CRITFAC100])</f>
        <v>0</v>
      </c>
      <c r="S2009" s="230">
        <f>(FME_Ranking1[[#This Row],[Critical Facilities Raw]]/$R$2)*100</f>
        <v>0</v>
      </c>
      <c r="T2009" s="180">
        <f>FME_Ranking1[[#This Row],[Critical Facilities Score (Normalized, Unweighted)]]*$R$3</f>
        <v>0</v>
      </c>
      <c r="U2009">
        <f>_xlfn.XLOOKUP(FME_Ranking1[[#This Row],[FME ID]],FME_Input[FME_ID],FME_Input[LWC])</f>
        <v>0</v>
      </c>
      <c r="V2009" s="178">
        <f>(FME_Ranking1[[#This Row],[LWC Raw]]/$U$2)*100</f>
        <v>0</v>
      </c>
      <c r="W2009" s="178">
        <f>FME_Ranking1[[#This Row],[LWC Score (Normalized, Unweighted)]]*$U$3</f>
        <v>0</v>
      </c>
      <c r="X2009" s="246">
        <f>_xlfn.XLOOKUP(FME_Ranking1[[#This Row],[FME ID]],FME_Input[FME_ID],FME_Input[ROADCLS])</f>
        <v>0</v>
      </c>
      <c r="Y2009" s="230">
        <f>(FME_Ranking1[[#This Row],[Closures Raw]]/$X$2)*100</f>
        <v>0</v>
      </c>
      <c r="Z2009" s="180">
        <f>FME_Ranking1[[#This Row],[Closures Score (Normalized, Unweighted)]]*$X$3</f>
        <v>0</v>
      </c>
      <c r="AA2009" s="253">
        <f>_xlfn.XLOOKUP(FME_Ranking1[[#This Row],[FME ID]],FME_Input[FME_ID],FME_Input[ROAD_MILES100])</f>
        <v>1.6472316980361941</v>
      </c>
      <c r="AB2009" s="178">
        <f>(FME_Ranking1[[#This Row],[Miles Raw]]/$AA$2)*100</f>
        <v>2.1658142380425797E-2</v>
      </c>
      <c r="AC2009" s="178">
        <f>FME_Ranking1[[#This Row],[Miles Score (Normalized, Unweighted)]]*$AA$3</f>
        <v>2.1658142380425799E-3</v>
      </c>
      <c r="AD2009" s="255">
        <f>_xlfn.XLOOKUP(FME_Ranking1[[#This Row],[FME ID]],FME_Input[FME_ID],FME_Input[FARMACRE100])</f>
        <v>257.33038330078119</v>
      </c>
      <c r="AE2009" s="230">
        <f>(FME_Ranking1[[#This Row],[Ag Land Raw]]/$AD$2)*100</f>
        <v>1.0611153066913964E-2</v>
      </c>
      <c r="AF2009" s="231">
        <f>FME_Ranking1[[#This Row],[Ag Land Score (Normalized, Unweighted)]]*$AD$3</f>
        <v>5.3055765334569826E-4</v>
      </c>
      <c r="AG200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2.8475263163517265E-3</v>
      </c>
      <c r="AH2009" s="406">
        <f t="shared" si="31"/>
        <v>1914</v>
      </c>
      <c r="AI200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2.8475263163517265E-3</v>
      </c>
      <c r="AJ2009" s="257">
        <f>FME_Ranking1[[#This Row],[Addition check]]-FME_Ranking1[[#This Row],[Weighted Score Based on Normalized Reported Factors]]</f>
        <v>0</v>
      </c>
      <c r="AK2009" s="178">
        <f>_xlfn.RANK.EQ(AI2009,$AI$6:$AI$2341,0)+COUNTIF($AI$6:AI2009,AI2009)-1</f>
        <v>1914</v>
      </c>
    </row>
    <row r="2010" spans="1:37" x14ac:dyDescent="0.25">
      <c r="A2010" t="s">
        <v>6639</v>
      </c>
      <c r="B2010">
        <f>_xlfn.XLOOKUP(FME_Ranking1[[#This Row],[FME ID]],FME_Input[FME_ID],FME_Input[RFPG_NUM])</f>
        <v>7</v>
      </c>
      <c r="C2010" t="str">
        <f>_xlfn.XLOOKUP(FME_Ranking1[[#This Row],[FME ID]],FME_Input[FME_ID],FME_Input[FME_NAME])</f>
        <v>Mitchell County GIS Development</v>
      </c>
      <c r="D2010" t="str">
        <f>_xlfn.XLOOKUP(FME_Ranking1[[#This Row],[FME ID]],FME_Input[FME_ID],FME_Input[DESCR])</f>
        <v>Develop a GIS inventory of stormwater infrastructure</v>
      </c>
      <c r="E2010" s="256">
        <f>_xlfn.XLOOKUP(FME_Ranking1[[#This Row],[FME ID]],FME_Input[FME_ID],FME_Input[FME_COST])</f>
        <v>100000</v>
      </c>
      <c r="F2010" t="str">
        <f>_xlfn.XLOOKUP(FME_Ranking1[[#This Row],[FME ID]],FME_Input[FME_ID],FME_Input[EMER_NEED])</f>
        <v>No</v>
      </c>
      <c r="G2010">
        <f>IF(FME_Ranking!F2010="Yes",100,0)</f>
        <v>0</v>
      </c>
      <c r="H2010">
        <f>FME_Ranking1[[#This Row],[Emergency Need Score (Normalized, Unweighted)]]*$F$3</f>
        <v>0</v>
      </c>
      <c r="I2010" s="246">
        <f>_xlfn.XLOOKUP(FME_Ranking1[[#This Row],[FME ID]],FME_Input[FME_ID],FME_Input[STRUCT_100])</f>
        <v>1</v>
      </c>
      <c r="J2010" s="178">
        <f>(FME_Ranking1[[#This Row],[Structures 100 Raw]]/I$2)*100</f>
        <v>5.3549243884676355E-4</v>
      </c>
      <c r="K2010" s="178">
        <f>FME_Ranking1[[#This Row],[Structures 100  Score (Normalized, Unweighted)]]*$I$3</f>
        <v>8.0323865827014533E-5</v>
      </c>
      <c r="L2010" s="246">
        <f>_xlfn.XLOOKUP(FME_Ranking1[[#This Row],[FME ID]],FME_Input[FME_ID],FME_Input[RES_STRUCT100])</f>
        <v>1</v>
      </c>
      <c r="M2010" s="230">
        <f>(FME_Ranking1[[#This Row],[Res Structures Raw]]/L$2)*100</f>
        <v>7.0830559136433825E-4</v>
      </c>
      <c r="N2010" s="180">
        <f>FME_Ranking1[[#This Row],[Res Structures Score (Normalized, Unweighted)]]*$L$3</f>
        <v>7.0830559136433833E-5</v>
      </c>
      <c r="O2010" s="244">
        <f>_xlfn.XLOOKUP(FME_Ranking1[[#This Row],[FME ID]],FME_Input[FME_ID],FME_Input[POP100])</f>
        <v>0</v>
      </c>
      <c r="P2010" s="178">
        <f>(FME_Ranking1[[#This Row],[Pop Raw]]/$O$2)*100</f>
        <v>0</v>
      </c>
      <c r="Q2010" s="178">
        <f>FME_Ranking1[[#This Row],[Pop Score (Normalized, Unweighted)]]*$O$3</f>
        <v>0</v>
      </c>
      <c r="R2010" s="137">
        <f>_xlfn.XLOOKUP(FME_Ranking1[[#This Row],[FME ID]],FME_Input[FME_ID],FME_Input[CRITFAC100])</f>
        <v>0</v>
      </c>
      <c r="S2010" s="230">
        <f>(FME_Ranking1[[#This Row],[Critical Facilities Raw]]/$R$2)*100</f>
        <v>0</v>
      </c>
      <c r="T2010" s="180">
        <f>FME_Ranking1[[#This Row],[Critical Facilities Score (Normalized, Unweighted)]]*$R$3</f>
        <v>0</v>
      </c>
      <c r="U2010">
        <f>_xlfn.XLOOKUP(FME_Ranking1[[#This Row],[FME ID]],FME_Input[FME_ID],FME_Input[LWC])</f>
        <v>0</v>
      </c>
      <c r="V2010" s="178">
        <f>(FME_Ranking1[[#This Row],[LWC Raw]]/$U$2)*100</f>
        <v>0</v>
      </c>
      <c r="W2010" s="178">
        <f>FME_Ranking1[[#This Row],[LWC Score (Normalized, Unweighted)]]*$U$3</f>
        <v>0</v>
      </c>
      <c r="X2010" s="246">
        <f>_xlfn.XLOOKUP(FME_Ranking1[[#This Row],[FME ID]],FME_Input[FME_ID],FME_Input[ROADCLS])</f>
        <v>0</v>
      </c>
      <c r="Y2010" s="230">
        <f>(FME_Ranking1[[#This Row],[Closures Raw]]/$X$2)*100</f>
        <v>0</v>
      </c>
      <c r="Z2010" s="180">
        <f>FME_Ranking1[[#This Row],[Closures Score (Normalized, Unweighted)]]*$X$3</f>
        <v>0</v>
      </c>
      <c r="AA2010" s="253">
        <f>_xlfn.XLOOKUP(FME_Ranking1[[#This Row],[FME ID]],FME_Input[FME_ID],FME_Input[ROAD_MILES100])</f>
        <v>1.6472316980361941</v>
      </c>
      <c r="AB2010" s="178">
        <f>(FME_Ranking1[[#This Row],[Miles Raw]]/$AA$2)*100</f>
        <v>2.1658142380425797E-2</v>
      </c>
      <c r="AC2010" s="178">
        <f>FME_Ranking1[[#This Row],[Miles Score (Normalized, Unweighted)]]*$AA$3</f>
        <v>2.1658142380425799E-3</v>
      </c>
      <c r="AD2010" s="255">
        <f>_xlfn.XLOOKUP(FME_Ranking1[[#This Row],[FME ID]],FME_Input[FME_ID],FME_Input[FARMACRE100])</f>
        <v>257.33038330078119</v>
      </c>
      <c r="AE2010" s="230">
        <f>(FME_Ranking1[[#This Row],[Ag Land Raw]]/$AD$2)*100</f>
        <v>1.0611153066913964E-2</v>
      </c>
      <c r="AF2010" s="231">
        <f>FME_Ranking1[[#This Row],[Ag Land Score (Normalized, Unweighted)]]*$AD$3</f>
        <v>5.3055765334569826E-4</v>
      </c>
      <c r="AG201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2.8475263163517265E-3</v>
      </c>
      <c r="AH2010" s="406">
        <f t="shared" si="31"/>
        <v>1914</v>
      </c>
      <c r="AI201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2.8475263163517265E-3</v>
      </c>
      <c r="AJ2010" s="257">
        <f>FME_Ranking1[[#This Row],[Addition check]]-FME_Ranking1[[#This Row],[Weighted Score Based on Normalized Reported Factors]]</f>
        <v>0</v>
      </c>
      <c r="AK2010" s="178">
        <f>_xlfn.RANK.EQ(AI2010,$AI$6:$AI$2341,0)+COUNTIF($AI$6:AI2010,AI2010)-1</f>
        <v>1915</v>
      </c>
    </row>
    <row r="2011" spans="1:37" x14ac:dyDescent="0.25">
      <c r="A2011" t="s">
        <v>7205</v>
      </c>
      <c r="B2011">
        <f>_xlfn.XLOOKUP(FME_Ranking1[[#This Row],[FME ID]],FME_Input[FME_ID],FME_Input[RFPG_NUM])</f>
        <v>7</v>
      </c>
      <c r="C2011" t="str">
        <f>_xlfn.XLOOKUP(FME_Ranking1[[#This Row],[FME ID]],FME_Input[FME_ID],FME_Input[FME_NAME])</f>
        <v>Mitchell County DCM</v>
      </c>
      <c r="D2011" t="str">
        <f>_xlfn.XLOOKUP(FME_Ranking1[[#This Row],[FME ID]],FME_Input[FME_ID],FME_Input[DESCR])</f>
        <v>Consider stormwater criteria for infrastructure and floodplain ordinances to avoid new exposure to flood hazards.</v>
      </c>
      <c r="E2011" s="256">
        <f>_xlfn.XLOOKUP(FME_Ranking1[[#This Row],[FME ID]],FME_Input[FME_ID],FME_Input[FME_COST])</f>
        <v>100000</v>
      </c>
      <c r="F2011" t="str">
        <f>_xlfn.XLOOKUP(FME_Ranking1[[#This Row],[FME ID]],FME_Input[FME_ID],FME_Input[EMER_NEED])</f>
        <v>No</v>
      </c>
      <c r="G2011">
        <f>IF(FME_Ranking!F2011="Yes",100,0)</f>
        <v>0</v>
      </c>
      <c r="H2011">
        <f>FME_Ranking1[[#This Row],[Emergency Need Score (Normalized, Unweighted)]]*$F$3</f>
        <v>0</v>
      </c>
      <c r="I2011" s="246">
        <f>_xlfn.XLOOKUP(FME_Ranking1[[#This Row],[FME ID]],FME_Input[FME_ID],FME_Input[STRUCT_100])</f>
        <v>1</v>
      </c>
      <c r="J2011" s="178">
        <f>(FME_Ranking1[[#This Row],[Structures 100 Raw]]/I$2)*100</f>
        <v>5.3549243884676355E-4</v>
      </c>
      <c r="K2011" s="178">
        <f>FME_Ranking1[[#This Row],[Structures 100  Score (Normalized, Unweighted)]]*$I$3</f>
        <v>8.0323865827014533E-5</v>
      </c>
      <c r="L2011" s="246">
        <f>_xlfn.XLOOKUP(FME_Ranking1[[#This Row],[FME ID]],FME_Input[FME_ID],FME_Input[RES_STRUCT100])</f>
        <v>1</v>
      </c>
      <c r="M2011" s="230">
        <f>(FME_Ranking1[[#This Row],[Res Structures Raw]]/L$2)*100</f>
        <v>7.0830559136433825E-4</v>
      </c>
      <c r="N2011" s="180">
        <f>FME_Ranking1[[#This Row],[Res Structures Score (Normalized, Unweighted)]]*$L$3</f>
        <v>7.0830559136433833E-5</v>
      </c>
      <c r="O2011" s="244">
        <f>_xlfn.XLOOKUP(FME_Ranking1[[#This Row],[FME ID]],FME_Input[FME_ID],FME_Input[POP100])</f>
        <v>0</v>
      </c>
      <c r="P2011" s="178">
        <f>(FME_Ranking1[[#This Row],[Pop Raw]]/$O$2)*100</f>
        <v>0</v>
      </c>
      <c r="Q2011" s="178">
        <f>FME_Ranking1[[#This Row],[Pop Score (Normalized, Unweighted)]]*$O$3</f>
        <v>0</v>
      </c>
      <c r="R2011" s="137">
        <f>_xlfn.XLOOKUP(FME_Ranking1[[#This Row],[FME ID]],FME_Input[FME_ID],FME_Input[CRITFAC100])</f>
        <v>0</v>
      </c>
      <c r="S2011" s="230">
        <f>(FME_Ranking1[[#This Row],[Critical Facilities Raw]]/$R$2)*100</f>
        <v>0</v>
      </c>
      <c r="T2011" s="180">
        <f>FME_Ranking1[[#This Row],[Critical Facilities Score (Normalized, Unweighted)]]*$R$3</f>
        <v>0</v>
      </c>
      <c r="U2011">
        <f>_xlfn.XLOOKUP(FME_Ranking1[[#This Row],[FME ID]],FME_Input[FME_ID],FME_Input[LWC])</f>
        <v>0</v>
      </c>
      <c r="V2011" s="178">
        <f>(FME_Ranking1[[#This Row],[LWC Raw]]/$U$2)*100</f>
        <v>0</v>
      </c>
      <c r="W2011" s="178">
        <f>FME_Ranking1[[#This Row],[LWC Score (Normalized, Unweighted)]]*$U$3</f>
        <v>0</v>
      </c>
      <c r="X2011" s="246">
        <f>_xlfn.XLOOKUP(FME_Ranking1[[#This Row],[FME ID]],FME_Input[FME_ID],FME_Input[ROADCLS])</f>
        <v>0</v>
      </c>
      <c r="Y2011" s="230">
        <f>(FME_Ranking1[[#This Row],[Closures Raw]]/$X$2)*100</f>
        <v>0</v>
      </c>
      <c r="Z2011" s="180">
        <f>FME_Ranking1[[#This Row],[Closures Score (Normalized, Unweighted)]]*$X$3</f>
        <v>0</v>
      </c>
      <c r="AA2011" s="253">
        <f>_xlfn.XLOOKUP(FME_Ranking1[[#This Row],[FME ID]],FME_Input[FME_ID],FME_Input[ROAD_MILES100])</f>
        <v>1.6472316980361941</v>
      </c>
      <c r="AB2011" s="178">
        <f>(FME_Ranking1[[#This Row],[Miles Raw]]/$AA$2)*100</f>
        <v>2.1658142380425797E-2</v>
      </c>
      <c r="AC2011" s="178">
        <f>FME_Ranking1[[#This Row],[Miles Score (Normalized, Unweighted)]]*$AA$3</f>
        <v>2.1658142380425799E-3</v>
      </c>
      <c r="AD2011" s="255">
        <f>_xlfn.XLOOKUP(FME_Ranking1[[#This Row],[FME ID]],FME_Input[FME_ID],FME_Input[FARMACRE100])</f>
        <v>257.33038330078119</v>
      </c>
      <c r="AE2011" s="230">
        <f>(FME_Ranking1[[#This Row],[Ag Land Raw]]/$AD$2)*100</f>
        <v>1.0611153066913964E-2</v>
      </c>
      <c r="AF2011" s="231">
        <f>FME_Ranking1[[#This Row],[Ag Land Score (Normalized, Unweighted)]]*$AD$3</f>
        <v>5.3055765334569826E-4</v>
      </c>
      <c r="AG201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2.8475263163517265E-3</v>
      </c>
      <c r="AH2011" s="406">
        <f t="shared" si="31"/>
        <v>1914</v>
      </c>
      <c r="AI201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2.8475263163517265E-3</v>
      </c>
      <c r="AJ2011" s="257">
        <f>FME_Ranking1[[#This Row],[Addition check]]-FME_Ranking1[[#This Row],[Weighted Score Based on Normalized Reported Factors]]</f>
        <v>0</v>
      </c>
      <c r="AK2011" s="178">
        <f>_xlfn.RANK.EQ(AI2011,$AI$6:$AI$2341,0)+COUNTIF($AI$6:AI2011,AI2011)-1</f>
        <v>1916</v>
      </c>
    </row>
    <row r="2012" spans="1:37" x14ac:dyDescent="0.25">
      <c r="A2012" t="s">
        <v>7422</v>
      </c>
      <c r="B2012">
        <f>_xlfn.XLOOKUP(FME_Ranking1[[#This Row],[FME ID]],FME_Input[FME_ID],FME_Input[RFPG_NUM])</f>
        <v>7</v>
      </c>
      <c r="C2012" t="str">
        <f>_xlfn.XLOOKUP(FME_Ranking1[[#This Row],[FME ID]],FME_Input[FME_ID],FME_Input[FME_NAME])</f>
        <v>Mitchell County Update FEMA Mapping</v>
      </c>
      <c r="D2012" t="str">
        <f>_xlfn.XLOOKUP(FME_Ranking1[[#This Row],[FME ID]],FME_Input[FME_ID],FME_Input[DESCR])</f>
        <v>Update existing FEMA mapping</v>
      </c>
      <c r="E2012" s="256">
        <f>_xlfn.XLOOKUP(FME_Ranking1[[#This Row],[FME ID]],FME_Input[FME_ID],FME_Input[FME_COST])</f>
        <v>926000</v>
      </c>
      <c r="F2012" t="str">
        <f>_xlfn.XLOOKUP(FME_Ranking1[[#This Row],[FME ID]],FME_Input[FME_ID],FME_Input[EMER_NEED])</f>
        <v>No</v>
      </c>
      <c r="G2012">
        <f>IF(FME_Ranking!F2012="Yes",100,0)</f>
        <v>0</v>
      </c>
      <c r="H2012">
        <f>FME_Ranking1[[#This Row],[Emergency Need Score (Normalized, Unweighted)]]*$F$3</f>
        <v>0</v>
      </c>
      <c r="I2012" s="246">
        <f>_xlfn.XLOOKUP(FME_Ranking1[[#This Row],[FME ID]],FME_Input[FME_ID],FME_Input[STRUCT_100])</f>
        <v>1</v>
      </c>
      <c r="J2012" s="178">
        <f>(FME_Ranking1[[#This Row],[Structures 100 Raw]]/I$2)*100</f>
        <v>5.3549243884676355E-4</v>
      </c>
      <c r="K2012" s="178">
        <f>FME_Ranking1[[#This Row],[Structures 100  Score (Normalized, Unweighted)]]*$I$3</f>
        <v>8.0323865827014533E-5</v>
      </c>
      <c r="L2012" s="246">
        <f>_xlfn.XLOOKUP(FME_Ranking1[[#This Row],[FME ID]],FME_Input[FME_ID],FME_Input[RES_STRUCT100])</f>
        <v>1</v>
      </c>
      <c r="M2012" s="230">
        <f>(FME_Ranking1[[#This Row],[Res Structures Raw]]/L$2)*100</f>
        <v>7.0830559136433825E-4</v>
      </c>
      <c r="N2012" s="180">
        <f>FME_Ranking1[[#This Row],[Res Structures Score (Normalized, Unweighted)]]*$L$3</f>
        <v>7.0830559136433833E-5</v>
      </c>
      <c r="O2012" s="244">
        <f>_xlfn.XLOOKUP(FME_Ranking1[[#This Row],[FME ID]],FME_Input[FME_ID],FME_Input[POP100])</f>
        <v>0</v>
      </c>
      <c r="P2012" s="178">
        <f>(FME_Ranking1[[#This Row],[Pop Raw]]/$O$2)*100</f>
        <v>0</v>
      </c>
      <c r="Q2012" s="178">
        <f>FME_Ranking1[[#This Row],[Pop Score (Normalized, Unweighted)]]*$O$3</f>
        <v>0</v>
      </c>
      <c r="R2012" s="137">
        <f>_xlfn.XLOOKUP(FME_Ranking1[[#This Row],[FME ID]],FME_Input[FME_ID],FME_Input[CRITFAC100])</f>
        <v>0</v>
      </c>
      <c r="S2012" s="230">
        <f>(FME_Ranking1[[#This Row],[Critical Facilities Raw]]/$R$2)*100</f>
        <v>0</v>
      </c>
      <c r="T2012" s="180">
        <f>FME_Ranking1[[#This Row],[Critical Facilities Score (Normalized, Unweighted)]]*$R$3</f>
        <v>0</v>
      </c>
      <c r="U2012">
        <f>_xlfn.XLOOKUP(FME_Ranking1[[#This Row],[FME ID]],FME_Input[FME_ID],FME_Input[LWC])</f>
        <v>0</v>
      </c>
      <c r="V2012" s="178">
        <f>(FME_Ranking1[[#This Row],[LWC Raw]]/$U$2)*100</f>
        <v>0</v>
      </c>
      <c r="W2012" s="178">
        <f>FME_Ranking1[[#This Row],[LWC Score (Normalized, Unweighted)]]*$U$3</f>
        <v>0</v>
      </c>
      <c r="X2012" s="246">
        <f>_xlfn.XLOOKUP(FME_Ranking1[[#This Row],[FME ID]],FME_Input[FME_ID],FME_Input[ROADCLS])</f>
        <v>0</v>
      </c>
      <c r="Y2012" s="230">
        <f>(FME_Ranking1[[#This Row],[Closures Raw]]/$X$2)*100</f>
        <v>0</v>
      </c>
      <c r="Z2012" s="180">
        <f>FME_Ranking1[[#This Row],[Closures Score (Normalized, Unweighted)]]*$X$3</f>
        <v>0</v>
      </c>
      <c r="AA2012" s="253">
        <f>_xlfn.XLOOKUP(FME_Ranking1[[#This Row],[FME ID]],FME_Input[FME_ID],FME_Input[ROAD_MILES100])</f>
        <v>1.6472316980361941</v>
      </c>
      <c r="AB2012" s="178">
        <f>(FME_Ranking1[[#This Row],[Miles Raw]]/$AA$2)*100</f>
        <v>2.1658142380425797E-2</v>
      </c>
      <c r="AC2012" s="178">
        <f>FME_Ranking1[[#This Row],[Miles Score (Normalized, Unweighted)]]*$AA$3</f>
        <v>2.1658142380425799E-3</v>
      </c>
      <c r="AD2012" s="255">
        <f>_xlfn.XLOOKUP(FME_Ranking1[[#This Row],[FME ID]],FME_Input[FME_ID],FME_Input[FARMACRE100])</f>
        <v>257.33038330078119</v>
      </c>
      <c r="AE2012" s="230">
        <f>(FME_Ranking1[[#This Row],[Ag Land Raw]]/$AD$2)*100</f>
        <v>1.0611153066913964E-2</v>
      </c>
      <c r="AF2012" s="231">
        <f>FME_Ranking1[[#This Row],[Ag Land Score (Normalized, Unweighted)]]*$AD$3</f>
        <v>5.3055765334569826E-4</v>
      </c>
      <c r="AG201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2.8475263163517265E-3</v>
      </c>
      <c r="AH2012" s="406">
        <f t="shared" si="31"/>
        <v>1914</v>
      </c>
      <c r="AI201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2.8475263163517265E-3</v>
      </c>
      <c r="AJ2012" s="257">
        <f>FME_Ranking1[[#This Row],[Addition check]]-FME_Ranking1[[#This Row],[Weighted Score Based on Normalized Reported Factors]]</f>
        <v>0</v>
      </c>
      <c r="AK2012" s="178">
        <f>_xlfn.RANK.EQ(AI2012,$AI$6:$AI$2341,0)+COUNTIF($AI$6:AI2012,AI2012)-1</f>
        <v>1917</v>
      </c>
    </row>
    <row r="2013" spans="1:37" x14ac:dyDescent="0.25">
      <c r="A2013" t="s">
        <v>8483</v>
      </c>
      <c r="B2013">
        <f>_xlfn.XLOOKUP(FME_Ranking1[[#This Row],[FME ID]],FME_Input[FME_ID],FME_Input[RFPG_NUM])</f>
        <v>10</v>
      </c>
      <c r="C2013" t="str">
        <f>_xlfn.XLOOKUP(FME_Ranking1[[#This Row],[FME ID]],FME_Input[FME_ID],FME_Input[FME_NAME])</f>
        <v>Creek St at Barons Creek LWC Upgrade Project Planning</v>
      </c>
      <c r="D2013" t="str">
        <f>_xlfn.XLOOKUP(FME_Ranking1[[#This Row],[FME ID]],FME_Input[FME_ID],FME_Input[DESCR])</f>
        <v>Project planning to upgrade LWC. Develop technical data required for FMP.</v>
      </c>
      <c r="E2013" s="256">
        <f>_xlfn.XLOOKUP(FME_Ranking1[[#This Row],[FME ID]],FME_Input[FME_ID],FME_Input[FME_COST])</f>
        <v>50000</v>
      </c>
      <c r="F2013" t="str">
        <f>_xlfn.XLOOKUP(FME_Ranking1[[#This Row],[FME ID]],FME_Input[FME_ID],FME_Input[EMER_NEED])</f>
        <v>No</v>
      </c>
      <c r="G2013">
        <f>IF(FME_Ranking!F2013="Yes",100,0)</f>
        <v>0</v>
      </c>
      <c r="H2013">
        <f>FME_Ranking1[[#This Row],[Emergency Need Score (Normalized, Unweighted)]]*$F$3</f>
        <v>0</v>
      </c>
      <c r="I2013" s="246">
        <f>_xlfn.XLOOKUP(FME_Ranking1[[#This Row],[FME ID]],FME_Input[FME_ID],FME_Input[STRUCT_100])</f>
        <v>4</v>
      </c>
      <c r="J2013" s="178">
        <f>(FME_Ranking1[[#This Row],[Structures 100 Raw]]/I$2)*100</f>
        <v>2.1419697553870542E-3</v>
      </c>
      <c r="K2013" s="178">
        <f>FME_Ranking1[[#This Row],[Structures 100  Score (Normalized, Unweighted)]]*$I$3</f>
        <v>3.2129546330805813E-4</v>
      </c>
      <c r="L2013" s="246">
        <f>_xlfn.XLOOKUP(FME_Ranking1[[#This Row],[FME ID]],FME_Input[FME_ID],FME_Input[RES_STRUCT100])</f>
        <v>4</v>
      </c>
      <c r="M2013" s="230">
        <f>(FME_Ranking1[[#This Row],[Res Structures Raw]]/L$2)*100</f>
        <v>2.833222365457353E-3</v>
      </c>
      <c r="N2013" s="180">
        <f>FME_Ranking1[[#This Row],[Res Structures Score (Normalized, Unweighted)]]*$L$3</f>
        <v>2.8332223654573533E-4</v>
      </c>
      <c r="O2013" s="244">
        <f>_xlfn.XLOOKUP(FME_Ranking1[[#This Row],[FME ID]],FME_Input[FME_ID],FME_Input[POP100])</f>
        <v>5</v>
      </c>
      <c r="P2013" s="178">
        <f>(FME_Ranking1[[#This Row],[Pop Raw]]/$O$2)*100</f>
        <v>5.1187655994381644E-4</v>
      </c>
      <c r="Q2013" s="178">
        <f>FME_Ranking1[[#This Row],[Pop Score (Normalized, Unweighted)]]*$O$3</f>
        <v>7.6781483991572469E-5</v>
      </c>
      <c r="R2013" s="137">
        <f>_xlfn.XLOOKUP(FME_Ranking1[[#This Row],[FME ID]],FME_Input[FME_ID],FME_Input[CRITFAC100])</f>
        <v>0</v>
      </c>
      <c r="S2013" s="230">
        <f>(FME_Ranking1[[#This Row],[Critical Facilities Raw]]/$R$2)*100</f>
        <v>0</v>
      </c>
      <c r="T2013" s="180">
        <f>FME_Ranking1[[#This Row],[Critical Facilities Score (Normalized, Unweighted)]]*$R$3</f>
        <v>0</v>
      </c>
      <c r="U2013">
        <f>_xlfn.XLOOKUP(FME_Ranking1[[#This Row],[FME ID]],FME_Input[FME_ID],FME_Input[LWC])</f>
        <v>0</v>
      </c>
      <c r="V2013" s="178">
        <f>(FME_Ranking1[[#This Row],[LWC Raw]]/$U$2)*100</f>
        <v>0</v>
      </c>
      <c r="W2013" s="178">
        <f>FME_Ranking1[[#This Row],[LWC Score (Normalized, Unweighted)]]*$U$3</f>
        <v>0</v>
      </c>
      <c r="X2013" s="246">
        <f>_xlfn.XLOOKUP(FME_Ranking1[[#This Row],[FME ID]],FME_Input[FME_ID],FME_Input[ROADCLS])</f>
        <v>0</v>
      </c>
      <c r="Y2013" s="230">
        <f>(FME_Ranking1[[#This Row],[Closures Raw]]/$X$2)*100</f>
        <v>0</v>
      </c>
      <c r="Z2013" s="180">
        <f>FME_Ranking1[[#This Row],[Closures Score (Normalized, Unweighted)]]*$X$3</f>
        <v>0</v>
      </c>
      <c r="AA2013" s="253">
        <f>_xlfn.XLOOKUP(FME_Ranking1[[#This Row],[FME ID]],FME_Input[FME_ID],FME_Input[ROAD_MILES100])</f>
        <v>0</v>
      </c>
      <c r="AB2013" s="178">
        <f>(FME_Ranking1[[#This Row],[Miles Raw]]/$AA$2)*100</f>
        <v>0</v>
      </c>
      <c r="AC2013" s="178">
        <f>FME_Ranking1[[#This Row],[Miles Score (Normalized, Unweighted)]]*$AA$3</f>
        <v>0</v>
      </c>
      <c r="AD2013" s="255">
        <f>_xlfn.XLOOKUP(FME_Ranking1[[#This Row],[FME ID]],FME_Input[FME_ID],FME_Input[FARMACRE100])</f>
        <v>0</v>
      </c>
      <c r="AE2013" s="230">
        <f>(FME_Ranking1[[#This Row],[Ag Land Raw]]/$AD$2)*100</f>
        <v>0</v>
      </c>
      <c r="AF2013" s="231">
        <f>FME_Ranking1[[#This Row],[Ag Land Score (Normalized, Unweighted)]]*$AD$3</f>
        <v>0</v>
      </c>
      <c r="AG201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6.8139918384536586E-4</v>
      </c>
      <c r="AH2013" s="406">
        <f t="shared" si="31"/>
        <v>2061</v>
      </c>
      <c r="AI201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6.8139918384536586E-4</v>
      </c>
      <c r="AJ2013" s="257">
        <f>FME_Ranking1[[#This Row],[Addition check]]-FME_Ranking1[[#This Row],[Weighted Score Based on Normalized Reported Factors]]</f>
        <v>0</v>
      </c>
      <c r="AK2013" s="178">
        <f>_xlfn.RANK.EQ(AI2013,$AI$6:$AI$2341,0)+COUNTIF($AI$6:AI2013,AI2013)-1</f>
        <v>2061</v>
      </c>
    </row>
    <row r="2014" spans="1:37" x14ac:dyDescent="0.25">
      <c r="A2014" t="s">
        <v>9753</v>
      </c>
      <c r="B2014">
        <f>_xlfn.XLOOKUP(FME_Ranking1[[#This Row],[FME ID]],FME_Input[FME_ID],FME_Input[RFPG_NUM])</f>
        <v>12</v>
      </c>
      <c r="C2014" t="str">
        <f>_xlfn.XLOOKUP(FME_Ranking1[[#This Row],[FME ID]],FME_Input[FME_ID],FME_Input[FME_NAME])</f>
        <v>Bandera Patterson Street Study</v>
      </c>
      <c r="D2014" t="str">
        <f>_xlfn.XLOOKUP(FME_Ranking1[[#This Row],[FME ID]],FME_Input[FME_ID],FME_Input[DESCR])</f>
        <v>Impairs travel for citizens to reach community lifeline services. Study to upgrade road.</v>
      </c>
      <c r="E2014" s="256">
        <f>_xlfn.XLOOKUP(FME_Ranking1[[#This Row],[FME ID]],FME_Input[FME_ID],FME_Input[FME_COST])</f>
        <v>50000</v>
      </c>
      <c r="F2014" t="str">
        <f>_xlfn.XLOOKUP(FME_Ranking1[[#This Row],[FME ID]],FME_Input[FME_ID],FME_Input[EMER_NEED])</f>
        <v>Yes</v>
      </c>
      <c r="G2014">
        <f>IF(FME_Ranking!F2014="Yes",100,0)</f>
        <v>100</v>
      </c>
      <c r="H2014">
        <f>FME_Ranking1[[#This Row],[Emergency Need Score (Normalized, Unweighted)]]*$F$3</f>
        <v>0</v>
      </c>
      <c r="I2014" s="246">
        <f>_xlfn.XLOOKUP(FME_Ranking1[[#This Row],[FME ID]],FME_Input[FME_ID],FME_Input[STRUCT_100])</f>
        <v>1</v>
      </c>
      <c r="J2014" s="178">
        <f>(FME_Ranking1[[#This Row],[Structures 100 Raw]]/I$2)*100</f>
        <v>5.3549243884676355E-4</v>
      </c>
      <c r="K2014" s="178">
        <f>FME_Ranking1[[#This Row],[Structures 100  Score (Normalized, Unweighted)]]*$I$3</f>
        <v>8.0323865827014533E-5</v>
      </c>
      <c r="L2014" s="246">
        <f>_xlfn.XLOOKUP(FME_Ranking1[[#This Row],[FME ID]],FME_Input[FME_ID],FME_Input[RES_STRUCT100])</f>
        <v>1</v>
      </c>
      <c r="M2014" s="230">
        <f>(FME_Ranking1[[#This Row],[Res Structures Raw]]/L$2)*100</f>
        <v>7.0830559136433825E-4</v>
      </c>
      <c r="N2014" s="180">
        <f>FME_Ranking1[[#This Row],[Res Structures Score (Normalized, Unweighted)]]*$L$3</f>
        <v>7.0830559136433833E-5</v>
      </c>
      <c r="O2014" s="244">
        <f>_xlfn.XLOOKUP(FME_Ranking1[[#This Row],[FME ID]],FME_Input[FME_ID],FME_Input[POP100])</f>
        <v>0</v>
      </c>
      <c r="P2014" s="178">
        <f>(FME_Ranking1[[#This Row],[Pop Raw]]/$O$2)*100</f>
        <v>0</v>
      </c>
      <c r="Q2014" s="178">
        <f>FME_Ranking1[[#This Row],[Pop Score (Normalized, Unweighted)]]*$O$3</f>
        <v>0</v>
      </c>
      <c r="R2014" s="137">
        <f>_xlfn.XLOOKUP(FME_Ranking1[[#This Row],[FME ID]],FME_Input[FME_ID],FME_Input[CRITFAC100])</f>
        <v>0</v>
      </c>
      <c r="S2014" s="230">
        <f>(FME_Ranking1[[#This Row],[Critical Facilities Raw]]/$R$2)*100</f>
        <v>0</v>
      </c>
      <c r="T2014" s="180">
        <f>FME_Ranking1[[#This Row],[Critical Facilities Score (Normalized, Unweighted)]]*$R$3</f>
        <v>0</v>
      </c>
      <c r="U2014">
        <f>_xlfn.XLOOKUP(FME_Ranking1[[#This Row],[FME ID]],FME_Input[FME_ID],FME_Input[LWC])</f>
        <v>0</v>
      </c>
      <c r="V2014" s="178">
        <f>(FME_Ranking1[[#This Row],[LWC Raw]]/$U$2)*100</f>
        <v>0</v>
      </c>
      <c r="W2014" s="178">
        <f>FME_Ranking1[[#This Row],[LWC Score (Normalized, Unweighted)]]*$U$3</f>
        <v>0</v>
      </c>
      <c r="X2014" s="246">
        <f>_xlfn.XLOOKUP(FME_Ranking1[[#This Row],[FME ID]],FME_Input[FME_ID],FME_Input[ROADCLS])</f>
        <v>1</v>
      </c>
      <c r="Y2014" s="230">
        <f>(FME_Ranking1[[#This Row],[Closures Raw]]/$X$2)*100</f>
        <v>1.0514141520344864E-2</v>
      </c>
      <c r="Z2014" s="180">
        <f>FME_Ranking1[[#This Row],[Closures Score (Normalized, Unweighted)]]*$X$3</f>
        <v>5.2570707601724321E-4</v>
      </c>
      <c r="AA2014" s="253">
        <f>_xlfn.XLOOKUP(FME_Ranking1[[#This Row],[FME ID]],FME_Input[FME_ID],FME_Input[ROAD_MILES100])</f>
        <v>0.15000000596046451</v>
      </c>
      <c r="AB2014" s="178">
        <f>(FME_Ranking1[[#This Row],[Miles Raw]]/$AA$2)*100</f>
        <v>1.9722310407391608E-3</v>
      </c>
      <c r="AC2014" s="178">
        <f>FME_Ranking1[[#This Row],[Miles Score (Normalized, Unweighted)]]*$AA$3</f>
        <v>1.972231040739161E-4</v>
      </c>
      <c r="AD2014" s="255">
        <f>_xlfn.XLOOKUP(FME_Ranking1[[#This Row],[FME ID]],FME_Input[FME_ID],FME_Input[FARMACRE100])</f>
        <v>0.2197050005197525</v>
      </c>
      <c r="AE2014" s="230">
        <f>(FME_Ranking1[[#This Row],[Ag Land Raw]]/$AD$2)*100</f>
        <v>9.0596507111891766E-6</v>
      </c>
      <c r="AF2014" s="231">
        <f>FME_Ranking1[[#This Row],[Ag Land Score (Normalized, Unweighted)]]*$AD$3</f>
        <v>4.5298253555945886E-7</v>
      </c>
      <c r="AG201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8.7453758759016716E-4</v>
      </c>
      <c r="AH2014" s="406">
        <f t="shared" si="31"/>
        <v>2036</v>
      </c>
      <c r="AI201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8.7453758759016716E-4</v>
      </c>
      <c r="AJ2014" s="257">
        <f>FME_Ranking1[[#This Row],[Addition check]]-FME_Ranking1[[#This Row],[Weighted Score Based on Normalized Reported Factors]]</f>
        <v>0</v>
      </c>
      <c r="AK2014" s="178">
        <f>_xlfn.RANK.EQ(AI2014,$AI$6:$AI$2341,0)+COUNTIF($AI$6:AI2014,AI2014)-1</f>
        <v>2036</v>
      </c>
    </row>
    <row r="2015" spans="1:37" x14ac:dyDescent="0.25">
      <c r="A2015" t="s">
        <v>5173</v>
      </c>
      <c r="B2015">
        <f>_xlfn.XLOOKUP(FME_Ranking1[[#This Row],[FME ID]],FME_Input[FME_ID],FME_Input[RFPG_NUM])</f>
        <v>3</v>
      </c>
      <c r="C2015" t="str">
        <f>_xlfn.XLOOKUP(FME_Ranking1[[#This Row],[FME ID]],FME_Input[FME_ID],FME_Input[FME_NAME])</f>
        <v>City of Cockrell Hill DMP</v>
      </c>
      <c r="D2015" t="str">
        <f>_xlfn.XLOOKUP(FME_Ranking1[[#This Row],[FME ID]],FME_Input[FME_ID],FME_Input[DESCR])</f>
        <v>Evaluate City and identify future projects.</v>
      </c>
      <c r="E2015" s="256">
        <f>_xlfn.XLOOKUP(FME_Ranking1[[#This Row],[FME ID]],FME_Input[FME_ID],FME_Input[FME_COST])</f>
        <v>250000</v>
      </c>
      <c r="F2015" t="str">
        <f>_xlfn.XLOOKUP(FME_Ranking1[[#This Row],[FME ID]],FME_Input[FME_ID],FME_Input[EMER_NEED])</f>
        <v>No</v>
      </c>
      <c r="G2015">
        <f>IF(FME_Ranking!F2015="Yes",100,0)</f>
        <v>0</v>
      </c>
      <c r="H2015">
        <f>FME_Ranking1[[#This Row],[Emergency Need Score (Normalized, Unweighted)]]*$F$3</f>
        <v>0</v>
      </c>
      <c r="I2015" s="246">
        <f>_xlfn.XLOOKUP(FME_Ranking1[[#This Row],[FME ID]],FME_Input[FME_ID],FME_Input[STRUCT_100])</f>
        <v>3</v>
      </c>
      <c r="J2015" s="178">
        <f>(FME_Ranking1[[#This Row],[Structures 100 Raw]]/I$2)*100</f>
        <v>1.6064773165402903E-3</v>
      </c>
      <c r="K2015" s="178">
        <f>FME_Ranking1[[#This Row],[Structures 100  Score (Normalized, Unweighted)]]*$I$3</f>
        <v>2.4097159748104354E-4</v>
      </c>
      <c r="L2015" s="246">
        <f>_xlfn.XLOOKUP(FME_Ranking1[[#This Row],[FME ID]],FME_Input[FME_ID],FME_Input[RES_STRUCT100])</f>
        <v>3</v>
      </c>
      <c r="M2015" s="230">
        <f>(FME_Ranking1[[#This Row],[Res Structures Raw]]/L$2)*100</f>
        <v>2.1249167740930146E-3</v>
      </c>
      <c r="N2015" s="180">
        <f>FME_Ranking1[[#This Row],[Res Structures Score (Normalized, Unweighted)]]*$L$3</f>
        <v>2.1249167740930149E-4</v>
      </c>
      <c r="O2015" s="244">
        <f>_xlfn.XLOOKUP(FME_Ranking1[[#This Row],[FME ID]],FME_Input[FME_ID],FME_Input[POP100])</f>
        <v>12</v>
      </c>
      <c r="P2015" s="178">
        <f>(FME_Ranking1[[#This Row],[Pop Raw]]/$O$2)*100</f>
        <v>1.2285037438651595E-3</v>
      </c>
      <c r="Q2015" s="178">
        <f>FME_Ranking1[[#This Row],[Pop Score (Normalized, Unweighted)]]*$O$3</f>
        <v>1.8427556157977391E-4</v>
      </c>
      <c r="R2015" s="137">
        <f>_xlfn.XLOOKUP(FME_Ranking1[[#This Row],[FME ID]],FME_Input[FME_ID],FME_Input[CRITFAC100])</f>
        <v>0</v>
      </c>
      <c r="S2015" s="230">
        <f>(FME_Ranking1[[#This Row],[Critical Facilities Raw]]/$R$2)*100</f>
        <v>0</v>
      </c>
      <c r="T2015" s="180">
        <f>FME_Ranking1[[#This Row],[Critical Facilities Score (Normalized, Unweighted)]]*$R$3</f>
        <v>0</v>
      </c>
      <c r="U2015">
        <f>_xlfn.XLOOKUP(FME_Ranking1[[#This Row],[FME ID]],FME_Input[FME_ID],FME_Input[LWC])</f>
        <v>0</v>
      </c>
      <c r="V2015" s="178">
        <f>(FME_Ranking1[[#This Row],[LWC Raw]]/$U$2)*100</f>
        <v>0</v>
      </c>
      <c r="W2015" s="178">
        <f>FME_Ranking1[[#This Row],[LWC Score (Normalized, Unweighted)]]*$U$3</f>
        <v>0</v>
      </c>
      <c r="X2015" s="246">
        <f>_xlfn.XLOOKUP(FME_Ranking1[[#This Row],[FME ID]],FME_Input[FME_ID],FME_Input[ROADCLS])</f>
        <v>0</v>
      </c>
      <c r="Y2015" s="230">
        <f>(FME_Ranking1[[#This Row],[Closures Raw]]/$X$2)*100</f>
        <v>0</v>
      </c>
      <c r="Z2015" s="180">
        <f>FME_Ranking1[[#This Row],[Closures Score (Normalized, Unweighted)]]*$X$3</f>
        <v>0</v>
      </c>
      <c r="AA2015" s="253">
        <f>_xlfn.XLOOKUP(FME_Ranking1[[#This Row],[FME ID]],FME_Input[FME_ID],FME_Input[ROAD_MILES100])</f>
        <v>0</v>
      </c>
      <c r="AB2015" s="178">
        <f>(FME_Ranking1[[#This Row],[Miles Raw]]/$AA$2)*100</f>
        <v>0</v>
      </c>
      <c r="AC2015" s="178">
        <f>FME_Ranking1[[#This Row],[Miles Score (Normalized, Unweighted)]]*$AA$3</f>
        <v>0</v>
      </c>
      <c r="AD2015" s="255">
        <f>_xlfn.XLOOKUP(FME_Ranking1[[#This Row],[FME ID]],FME_Input[FME_ID],FME_Input[FARMACRE100])</f>
        <v>0</v>
      </c>
      <c r="AE2015" s="230">
        <f>(FME_Ranking1[[#This Row],[Ag Land Raw]]/$AD$2)*100</f>
        <v>0</v>
      </c>
      <c r="AF2015" s="231">
        <f>FME_Ranking1[[#This Row],[Ag Land Score (Normalized, Unweighted)]]*$AD$3</f>
        <v>0</v>
      </c>
      <c r="AG201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6.3773883647011897E-4</v>
      </c>
      <c r="AH2015" s="406">
        <f t="shared" si="31"/>
        <v>2064</v>
      </c>
      <c r="AI201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6.3773883647011897E-4</v>
      </c>
      <c r="AJ2015" s="257">
        <f>FME_Ranking1[[#This Row],[Addition check]]-FME_Ranking1[[#This Row],[Weighted Score Based on Normalized Reported Factors]]</f>
        <v>0</v>
      </c>
      <c r="AK2015" s="178">
        <f>_xlfn.RANK.EQ(AI2015,$AI$6:$AI$2341,0)+COUNTIF($AI$6:AI2015,AI2015)-1</f>
        <v>2064</v>
      </c>
    </row>
    <row r="2016" spans="1:37" x14ac:dyDescent="0.25">
      <c r="A2016" t="s">
        <v>11039</v>
      </c>
      <c r="B2016">
        <f>_xlfn.XLOOKUP(FME_Ranking1[[#This Row],[FME ID]],FME_Input[FME_ID],FME_Input[RFPG_NUM])</f>
        <v>15</v>
      </c>
      <c r="C2016" t="str">
        <f>_xlfn.XLOOKUP(FME_Ranking1[[#This Row],[FME ID]],FME_Input[FME_ID],FME_Input[FME_NAME])</f>
        <v>Risk Area 6 Trib 2 bypass &amp; detention at Eagle Pass High School fields</v>
      </c>
      <c r="D2016" t="str">
        <f>_xlfn.XLOOKUP(FME_Ranking1[[#This Row],[FME ID]],FME_Input[FME_ID],FME_Input[DESCR])</f>
        <v>Project includes bypassing flow from Golfcrest Drive to the detention pond with 1-6’x4’, RCB Modifying outfall structure from 2-5’x3’ RCB to 1-5’x3’ RCB, and Lowering existing baseball field by 3 ft to provide an additional 30 ac-ft of storag</v>
      </c>
      <c r="E2016" s="256">
        <f>_xlfn.XLOOKUP(FME_Ranking1[[#This Row],[FME ID]],FME_Input[FME_ID],FME_Input[FME_COST])</f>
        <v>143550</v>
      </c>
      <c r="F2016" t="str">
        <f>_xlfn.XLOOKUP(FME_Ranking1[[#This Row],[FME ID]],FME_Input[FME_ID],FME_Input[EMER_NEED])</f>
        <v>Yes</v>
      </c>
      <c r="G2016">
        <f>IF(FME_Ranking!F2016="Yes",100,0)</f>
        <v>100</v>
      </c>
      <c r="H2016">
        <f>FME_Ranking1[[#This Row],[Emergency Need Score (Normalized, Unweighted)]]*$F$3</f>
        <v>0</v>
      </c>
      <c r="I2016" s="246">
        <f>_xlfn.XLOOKUP(FME_Ranking1[[#This Row],[FME ID]],FME_Input[FME_ID],FME_Input[STRUCT_100])</f>
        <v>0</v>
      </c>
      <c r="J2016" s="178">
        <f>(FME_Ranking1[[#This Row],[Structures 100 Raw]]/I$2)*100</f>
        <v>0</v>
      </c>
      <c r="K2016" s="178">
        <f>FME_Ranking1[[#This Row],[Structures 100  Score (Normalized, Unweighted)]]*$I$3</f>
        <v>0</v>
      </c>
      <c r="L2016" s="246">
        <f>_xlfn.XLOOKUP(FME_Ranking1[[#This Row],[FME ID]],FME_Input[FME_ID],FME_Input[RES_STRUCT100])</f>
        <v>5</v>
      </c>
      <c r="M2016" s="230">
        <f>(FME_Ranking1[[#This Row],[Res Structures Raw]]/L$2)*100</f>
        <v>3.5415279568216909E-3</v>
      </c>
      <c r="N2016" s="180">
        <f>FME_Ranking1[[#This Row],[Res Structures Score (Normalized, Unweighted)]]*$L$3</f>
        <v>3.5415279568216913E-4</v>
      </c>
      <c r="O2016" s="244">
        <f>_xlfn.XLOOKUP(FME_Ranking1[[#This Row],[FME ID]],FME_Input[FME_ID],FME_Input[POP100])</f>
        <v>18</v>
      </c>
      <c r="P2016" s="178">
        <f>(FME_Ranking1[[#This Row],[Pop Raw]]/$O$2)*100</f>
        <v>1.8427556157977389E-3</v>
      </c>
      <c r="Q2016" s="178">
        <f>FME_Ranking1[[#This Row],[Pop Score (Normalized, Unweighted)]]*$O$3</f>
        <v>2.7641334236966082E-4</v>
      </c>
      <c r="R2016" s="137">
        <f>_xlfn.XLOOKUP(FME_Ranking1[[#This Row],[FME ID]],FME_Input[FME_ID],FME_Input[CRITFAC100])</f>
        <v>0</v>
      </c>
      <c r="S2016" s="230">
        <f>(FME_Ranking1[[#This Row],[Critical Facilities Raw]]/$R$2)*100</f>
        <v>0</v>
      </c>
      <c r="T2016" s="180">
        <f>FME_Ranking1[[#This Row],[Critical Facilities Score (Normalized, Unweighted)]]*$R$3</f>
        <v>0</v>
      </c>
      <c r="U2016">
        <f>_xlfn.XLOOKUP(FME_Ranking1[[#This Row],[FME ID]],FME_Input[FME_ID],FME_Input[LWC])</f>
        <v>0</v>
      </c>
      <c r="V2016" s="178">
        <f>(FME_Ranking1[[#This Row],[LWC Raw]]/$U$2)*100</f>
        <v>0</v>
      </c>
      <c r="W2016" s="178">
        <f>FME_Ranking1[[#This Row],[LWC Score (Normalized, Unweighted)]]*$U$3</f>
        <v>0</v>
      </c>
      <c r="X2016" s="246">
        <f>_xlfn.XLOOKUP(FME_Ranking1[[#This Row],[FME ID]],FME_Input[FME_ID],FME_Input[ROADCLS])</f>
        <v>0</v>
      </c>
      <c r="Y2016" s="230">
        <f>(FME_Ranking1[[#This Row],[Closures Raw]]/$X$2)*100</f>
        <v>0</v>
      </c>
      <c r="Z2016" s="180">
        <f>FME_Ranking1[[#This Row],[Closures Score (Normalized, Unweighted)]]*$X$3</f>
        <v>0</v>
      </c>
      <c r="AA2016" s="253">
        <f>_xlfn.XLOOKUP(FME_Ranking1[[#This Row],[FME ID]],FME_Input[FME_ID],FME_Input[ROAD_MILES100])</f>
        <v>1.0997200012207029</v>
      </c>
      <c r="AB2016" s="178">
        <f>(FME_Ranking1[[#This Row],[Miles Raw]]/$AA$2)*100</f>
        <v>1.4459345575631749E-2</v>
      </c>
      <c r="AC2016" s="178">
        <f>FME_Ranking1[[#This Row],[Miles Score (Normalized, Unweighted)]]*$AA$3</f>
        <v>1.4459345575631749E-3</v>
      </c>
      <c r="AD2016" s="255">
        <f>_xlfn.XLOOKUP(FME_Ranking1[[#This Row],[FME ID]],FME_Input[FME_ID],FME_Input[FARMACRE100])</f>
        <v>0</v>
      </c>
      <c r="AE2016" s="230">
        <f>(FME_Ranking1[[#This Row],[Ag Land Raw]]/$AD$2)*100</f>
        <v>0</v>
      </c>
      <c r="AF2016" s="231">
        <f>FME_Ranking1[[#This Row],[Ag Land Score (Normalized, Unweighted)]]*$AD$3</f>
        <v>0</v>
      </c>
      <c r="AG201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2.0765006956150051E-3</v>
      </c>
      <c r="AH2016" s="406">
        <f t="shared" si="31"/>
        <v>1955</v>
      </c>
      <c r="AI201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2.0765006956150051E-3</v>
      </c>
      <c r="AJ2016" s="257">
        <f>FME_Ranking1[[#This Row],[Addition check]]-FME_Ranking1[[#This Row],[Weighted Score Based on Normalized Reported Factors]]</f>
        <v>0</v>
      </c>
      <c r="AK2016" s="178">
        <f>_xlfn.RANK.EQ(AI2016,$AI$6:$AI$2341,0)+COUNTIF($AI$6:AI2016,AI2016)-1</f>
        <v>1955</v>
      </c>
    </row>
    <row r="2017" spans="1:37" x14ac:dyDescent="0.25">
      <c r="A2017" t="s">
        <v>11135</v>
      </c>
      <c r="B2017">
        <f>_xlfn.XLOOKUP(FME_Ranking1[[#This Row],[FME ID]],FME_Input[FME_ID],FME_Input[RFPG_NUM])</f>
        <v>15</v>
      </c>
      <c r="C2017" t="str">
        <f>_xlfn.XLOOKUP(FME_Ranking1[[#This Row],[FME ID]],FME_Input[FME_ID],FME_Input[FME_NAME])</f>
        <v>Indian Lake Action #17</v>
      </c>
      <c r="D2017" t="str">
        <f>_xlfn.XLOOKUP(FME_Ranking1[[#This Row],[FME ID]],FME_Input[FME_ID],FME_Input[DESCR])</f>
        <v>Upgrade shoulders and provide turnouts along Henderson Road to support evacuation route</v>
      </c>
      <c r="E2017" s="256">
        <f>_xlfn.XLOOKUP(FME_Ranking1[[#This Row],[FME ID]],FME_Input[FME_ID],FME_Input[FME_COST])</f>
        <v>9240</v>
      </c>
      <c r="F2017" t="str">
        <f>_xlfn.XLOOKUP(FME_Ranking1[[#This Row],[FME ID]],FME_Input[FME_ID],FME_Input[EMER_NEED])</f>
        <v>Yes</v>
      </c>
      <c r="G2017">
        <f>IF(FME_Ranking!F2017="Yes",100,0)</f>
        <v>100</v>
      </c>
      <c r="H2017">
        <f>FME_Ranking1[[#This Row],[Emergency Need Score (Normalized, Unweighted)]]*$F$3</f>
        <v>0</v>
      </c>
      <c r="I2017" s="246">
        <f>_xlfn.XLOOKUP(FME_Ranking1[[#This Row],[FME ID]],FME_Input[FME_ID],FME_Input[STRUCT_100])</f>
        <v>0</v>
      </c>
      <c r="J2017" s="178">
        <f>(FME_Ranking1[[#This Row],[Structures 100 Raw]]/I$2)*100</f>
        <v>0</v>
      </c>
      <c r="K2017" s="178">
        <f>FME_Ranking1[[#This Row],[Structures 100  Score (Normalized, Unweighted)]]*$I$3</f>
        <v>0</v>
      </c>
      <c r="L2017" s="246">
        <f>_xlfn.XLOOKUP(FME_Ranking1[[#This Row],[FME ID]],FME_Input[FME_ID],FME_Input[RES_STRUCT100])</f>
        <v>5</v>
      </c>
      <c r="M2017" s="230">
        <f>(FME_Ranking1[[#This Row],[Res Structures Raw]]/L$2)*100</f>
        <v>3.5415279568216909E-3</v>
      </c>
      <c r="N2017" s="180">
        <f>FME_Ranking1[[#This Row],[Res Structures Score (Normalized, Unweighted)]]*$L$3</f>
        <v>3.5415279568216913E-4</v>
      </c>
      <c r="O2017" s="244">
        <f>_xlfn.XLOOKUP(FME_Ranking1[[#This Row],[FME ID]],FME_Input[FME_ID],FME_Input[POP100])</f>
        <v>18</v>
      </c>
      <c r="P2017" s="178">
        <f>(FME_Ranking1[[#This Row],[Pop Raw]]/$O$2)*100</f>
        <v>1.8427556157977389E-3</v>
      </c>
      <c r="Q2017" s="178">
        <f>FME_Ranking1[[#This Row],[Pop Score (Normalized, Unweighted)]]*$O$3</f>
        <v>2.7641334236966082E-4</v>
      </c>
      <c r="R2017" s="137">
        <f>_xlfn.XLOOKUP(FME_Ranking1[[#This Row],[FME ID]],FME_Input[FME_ID],FME_Input[CRITFAC100])</f>
        <v>0</v>
      </c>
      <c r="S2017" s="230">
        <f>(FME_Ranking1[[#This Row],[Critical Facilities Raw]]/$R$2)*100</f>
        <v>0</v>
      </c>
      <c r="T2017" s="180">
        <f>FME_Ranking1[[#This Row],[Critical Facilities Score (Normalized, Unweighted)]]*$R$3</f>
        <v>0</v>
      </c>
      <c r="U2017">
        <f>_xlfn.XLOOKUP(FME_Ranking1[[#This Row],[FME ID]],FME_Input[FME_ID],FME_Input[LWC])</f>
        <v>0</v>
      </c>
      <c r="V2017" s="178">
        <f>(FME_Ranking1[[#This Row],[LWC Raw]]/$U$2)*100</f>
        <v>0</v>
      </c>
      <c r="W2017" s="178">
        <f>FME_Ranking1[[#This Row],[LWC Score (Normalized, Unweighted)]]*$U$3</f>
        <v>0</v>
      </c>
      <c r="X2017" s="246">
        <f>_xlfn.XLOOKUP(FME_Ranking1[[#This Row],[FME ID]],FME_Input[FME_ID],FME_Input[ROADCLS])</f>
        <v>0</v>
      </c>
      <c r="Y2017" s="230">
        <f>(FME_Ranking1[[#This Row],[Closures Raw]]/$X$2)*100</f>
        <v>0</v>
      </c>
      <c r="Z2017" s="180">
        <f>FME_Ranking1[[#This Row],[Closures Score (Normalized, Unweighted)]]*$X$3</f>
        <v>0</v>
      </c>
      <c r="AA2017" s="253">
        <f>_xlfn.XLOOKUP(FME_Ranking1[[#This Row],[FME ID]],FME_Input[FME_ID],FME_Input[ROAD_MILES100])</f>
        <v>0.28176799416542048</v>
      </c>
      <c r="AB2017" s="178">
        <f>(FME_Ranking1[[#This Row],[Miles Raw]]/$AA$2)*100</f>
        <v>3.7047437486523961E-3</v>
      </c>
      <c r="AC2017" s="178">
        <f>FME_Ranking1[[#This Row],[Miles Score (Normalized, Unweighted)]]*$AA$3</f>
        <v>3.7047437486523963E-4</v>
      </c>
      <c r="AD2017" s="255">
        <f>_xlfn.XLOOKUP(FME_Ranking1[[#This Row],[FME ID]],FME_Input[FME_ID],FME_Input[FARMACRE100])</f>
        <v>0</v>
      </c>
      <c r="AE2017" s="230">
        <f>(FME_Ranking1[[#This Row],[Ag Land Raw]]/$AD$2)*100</f>
        <v>0</v>
      </c>
      <c r="AF2017" s="231">
        <f>FME_Ranking1[[#This Row],[Ag Land Score (Normalized, Unweighted)]]*$AD$3</f>
        <v>0</v>
      </c>
      <c r="AG201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1.0010405129170694E-3</v>
      </c>
      <c r="AH2017" s="406">
        <f t="shared" si="31"/>
        <v>2026</v>
      </c>
      <c r="AI201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1.0010405129170694E-3</v>
      </c>
      <c r="AJ2017" s="257">
        <f>FME_Ranking1[[#This Row],[Addition check]]-FME_Ranking1[[#This Row],[Weighted Score Based on Normalized Reported Factors]]</f>
        <v>0</v>
      </c>
      <c r="AK2017" s="178">
        <f>_xlfn.RANK.EQ(AI2017,$AI$6:$AI$2341,0)+COUNTIF($AI$6:AI2017,AI2017)-1</f>
        <v>2026</v>
      </c>
    </row>
    <row r="2018" spans="1:37" x14ac:dyDescent="0.25">
      <c r="A2018" t="s">
        <v>9007</v>
      </c>
      <c r="B2018">
        <f>_xlfn.XLOOKUP(FME_Ranking1[[#This Row],[FME ID]],FME_Input[FME_ID],FME_Input[RFPG_NUM])</f>
        <v>11</v>
      </c>
      <c r="C2018" t="str">
        <f>_xlfn.XLOOKUP(FME_Ranking1[[#This Row],[FME ID]],FME_Input[FME_ID],FME_Input[FME_NAME])</f>
        <v>Hays County Drainage Project Planning (Willow Springs Creek between Hunter Rd and the Railroad)</v>
      </c>
      <c r="D2018" t="str">
        <f>_xlfn.XLOOKUP(FME_Ranking1[[#This Row],[FME ID]],FME_Input[FME_ID],FME_Input[DESCR])</f>
        <v>Project planning for detention project to reduce flood damages along Willow Springs Creek from Hunter Road to the railroad.</v>
      </c>
      <c r="E2018" s="256">
        <f>_xlfn.XLOOKUP(FME_Ranking1[[#This Row],[FME ID]],FME_Input[FME_ID],FME_Input[FME_COST])</f>
        <v>1200000</v>
      </c>
      <c r="F2018" t="str">
        <f>_xlfn.XLOOKUP(FME_Ranking1[[#This Row],[FME ID]],FME_Input[FME_ID],FME_Input[EMER_NEED])</f>
        <v>No</v>
      </c>
      <c r="G2018">
        <f>IF(FME_Ranking!F2018="Yes",100,0)</f>
        <v>0</v>
      </c>
      <c r="H2018">
        <f>FME_Ranking1[[#This Row],[Emergency Need Score (Normalized, Unweighted)]]*$F$3</f>
        <v>0</v>
      </c>
      <c r="I2018" s="246">
        <f>_xlfn.XLOOKUP(FME_Ranking1[[#This Row],[FME ID]],FME_Input[FME_ID],FME_Input[STRUCT_100])</f>
        <v>3</v>
      </c>
      <c r="J2018" s="178">
        <f>(FME_Ranking1[[#This Row],[Structures 100 Raw]]/I$2)*100</f>
        <v>1.6064773165402903E-3</v>
      </c>
      <c r="K2018" s="178">
        <f>FME_Ranking1[[#This Row],[Structures 100  Score (Normalized, Unweighted)]]*$I$3</f>
        <v>2.4097159748104354E-4</v>
      </c>
      <c r="L2018" s="246">
        <f>_xlfn.XLOOKUP(FME_Ranking1[[#This Row],[FME ID]],FME_Input[FME_ID],FME_Input[RES_STRUCT100])</f>
        <v>3</v>
      </c>
      <c r="M2018" s="230">
        <f>(FME_Ranking1[[#This Row],[Res Structures Raw]]/L$2)*100</f>
        <v>2.1249167740930146E-3</v>
      </c>
      <c r="N2018" s="180">
        <f>FME_Ranking1[[#This Row],[Res Structures Score (Normalized, Unweighted)]]*$L$3</f>
        <v>2.1249167740930149E-4</v>
      </c>
      <c r="O2018" s="244">
        <f>_xlfn.XLOOKUP(FME_Ranking1[[#This Row],[FME ID]],FME_Input[FME_ID],FME_Input[POP100])</f>
        <v>8</v>
      </c>
      <c r="P2018" s="178">
        <f>(FME_Ranking1[[#This Row],[Pop Raw]]/$O$2)*100</f>
        <v>8.1900249591010626E-4</v>
      </c>
      <c r="Q2018" s="178">
        <f>FME_Ranking1[[#This Row],[Pop Score (Normalized, Unweighted)]]*$O$3</f>
        <v>1.2285037438651593E-4</v>
      </c>
      <c r="R2018" s="137">
        <f>_xlfn.XLOOKUP(FME_Ranking1[[#This Row],[FME ID]],FME_Input[FME_ID],FME_Input[CRITFAC100])</f>
        <v>0</v>
      </c>
      <c r="S2018" s="230">
        <f>(FME_Ranking1[[#This Row],[Critical Facilities Raw]]/$R$2)*100</f>
        <v>0</v>
      </c>
      <c r="T2018" s="180">
        <f>FME_Ranking1[[#This Row],[Critical Facilities Score (Normalized, Unweighted)]]*$R$3</f>
        <v>0</v>
      </c>
      <c r="U2018">
        <f>_xlfn.XLOOKUP(FME_Ranking1[[#This Row],[FME ID]],FME_Input[FME_ID],FME_Input[LWC])</f>
        <v>0</v>
      </c>
      <c r="V2018" s="178">
        <f>(FME_Ranking1[[#This Row],[LWC Raw]]/$U$2)*100</f>
        <v>0</v>
      </c>
      <c r="W2018" s="178">
        <f>FME_Ranking1[[#This Row],[LWC Score (Normalized, Unweighted)]]*$U$3</f>
        <v>0</v>
      </c>
      <c r="X2018" s="246">
        <f>_xlfn.XLOOKUP(FME_Ranking1[[#This Row],[FME ID]],FME_Input[FME_ID],FME_Input[ROADCLS])</f>
        <v>0</v>
      </c>
      <c r="Y2018" s="230">
        <f>(FME_Ranking1[[#This Row],[Closures Raw]]/$X$2)*100</f>
        <v>0</v>
      </c>
      <c r="Z2018" s="180">
        <f>FME_Ranking1[[#This Row],[Closures Score (Normalized, Unweighted)]]*$X$3</f>
        <v>0</v>
      </c>
      <c r="AA2018" s="253">
        <f>_xlfn.XLOOKUP(FME_Ranking1[[#This Row],[FME ID]],FME_Input[FME_ID],FME_Input[ROAD_MILES100])</f>
        <v>9.5864497125148773E-2</v>
      </c>
      <c r="AB2018" s="178">
        <f>(FME_Ranking1[[#This Row],[Miles Raw]]/$AA$2)*100</f>
        <v>1.2604461961481577E-3</v>
      </c>
      <c r="AC2018" s="178">
        <f>FME_Ranking1[[#This Row],[Miles Score (Normalized, Unweighted)]]*$AA$3</f>
        <v>1.2604461961481577E-4</v>
      </c>
      <c r="AD2018" s="255">
        <f>_xlfn.XLOOKUP(FME_Ranking1[[#This Row],[FME ID]],FME_Input[FME_ID],FME_Input[FARMACRE100])</f>
        <v>8.1003408432006836</v>
      </c>
      <c r="AE2018" s="230">
        <f>(FME_Ranking1[[#This Row],[Ag Land Raw]]/$AD$2)*100</f>
        <v>3.3402179516792585E-4</v>
      </c>
      <c r="AF2018" s="231">
        <f>FME_Ranking1[[#This Row],[Ag Land Score (Normalized, Unweighted)]]*$AD$3</f>
        <v>1.6701089758396294E-5</v>
      </c>
      <c r="AG201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7.1905935865007305E-4</v>
      </c>
      <c r="AH2018" s="406">
        <f t="shared" si="31"/>
        <v>2055</v>
      </c>
      <c r="AI201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7.1905935865007305E-4</v>
      </c>
      <c r="AJ2018" s="257">
        <f>FME_Ranking1[[#This Row],[Addition check]]-FME_Ranking1[[#This Row],[Weighted Score Based on Normalized Reported Factors]]</f>
        <v>0</v>
      </c>
      <c r="AK2018" s="178">
        <f>_xlfn.RANK.EQ(AI2018,$AI$6:$AI$2341,0)+COUNTIF($AI$6:AI2018,AI2018)-1</f>
        <v>2055</v>
      </c>
    </row>
    <row r="2019" spans="1:37" x14ac:dyDescent="0.25">
      <c r="A2019" t="s">
        <v>4572</v>
      </c>
      <c r="B2019">
        <f>_xlfn.XLOOKUP(FME_Ranking1[[#This Row],[FME ID]],FME_Input[FME_ID],FME_Input[RFPG_NUM])</f>
        <v>3</v>
      </c>
      <c r="C2019" t="str">
        <f>_xlfn.XLOOKUP(FME_Ranking1[[#This Row],[FME ID]],FME_Input[FME_ID],FME_Input[FME_NAME])</f>
        <v>Liberty County Culverts Upgrades</v>
      </c>
      <c r="D2019" t="str">
        <f>_xlfn.XLOOKUP(FME_Ranking1[[#This Row],[FME ID]],FME_Input[FME_ID],FME_Input[DESCR])</f>
        <v>Evaluate alternatives to reduce flooding by increasing size of culverts to 24 inches on County Rd 2361, 2362, 2363, and 2364 and CR 2358</v>
      </c>
      <c r="E2019" s="256">
        <f>_xlfn.XLOOKUP(FME_Ranking1[[#This Row],[FME ID]],FME_Input[FME_ID],FME_Input[FME_COST])</f>
        <v>100000</v>
      </c>
      <c r="F2019" t="str">
        <f>_xlfn.XLOOKUP(FME_Ranking1[[#This Row],[FME ID]],FME_Input[FME_ID],FME_Input[EMER_NEED])</f>
        <v>No</v>
      </c>
      <c r="G2019">
        <f>IF(FME_Ranking!F2019="Yes",100,0)</f>
        <v>0</v>
      </c>
      <c r="H2019">
        <f>FME_Ranking1[[#This Row],[Emergency Need Score (Normalized, Unweighted)]]*$F$3</f>
        <v>0</v>
      </c>
      <c r="I2019" s="246">
        <f>_xlfn.XLOOKUP(FME_Ranking1[[#This Row],[FME ID]],FME_Input[FME_ID],FME_Input[STRUCT_100])</f>
        <v>0</v>
      </c>
      <c r="J2019" s="178">
        <f>(FME_Ranking1[[#This Row],[Structures 100 Raw]]/I$2)*100</f>
        <v>0</v>
      </c>
      <c r="K2019" s="178">
        <f>FME_Ranking1[[#This Row],[Structures 100  Score (Normalized, Unweighted)]]*$I$3</f>
        <v>0</v>
      </c>
      <c r="L2019" s="246">
        <f>_xlfn.XLOOKUP(FME_Ranking1[[#This Row],[FME ID]],FME_Input[FME_ID],FME_Input[RES_STRUCT100])</f>
        <v>0</v>
      </c>
      <c r="M2019" s="230">
        <f>(FME_Ranking1[[#This Row],[Res Structures Raw]]/L$2)*100</f>
        <v>0</v>
      </c>
      <c r="N2019" s="180">
        <f>FME_Ranking1[[#This Row],[Res Structures Score (Normalized, Unweighted)]]*$L$3</f>
        <v>0</v>
      </c>
      <c r="O2019" s="244">
        <f>_xlfn.XLOOKUP(FME_Ranking1[[#This Row],[FME ID]],FME_Input[FME_ID],FME_Input[POP100])</f>
        <v>0</v>
      </c>
      <c r="P2019" s="178">
        <f>(FME_Ranking1[[#This Row],[Pop Raw]]/$O$2)*100</f>
        <v>0</v>
      </c>
      <c r="Q2019" s="178">
        <f>FME_Ranking1[[#This Row],[Pop Score (Normalized, Unweighted)]]*$O$3</f>
        <v>0</v>
      </c>
      <c r="R2019" s="137">
        <f>_xlfn.XLOOKUP(FME_Ranking1[[#This Row],[FME ID]],FME_Input[FME_ID],FME_Input[CRITFAC100])</f>
        <v>0</v>
      </c>
      <c r="S2019" s="230">
        <f>(FME_Ranking1[[#This Row],[Critical Facilities Raw]]/$R$2)*100</f>
        <v>0</v>
      </c>
      <c r="T2019" s="180">
        <f>FME_Ranking1[[#This Row],[Critical Facilities Score (Normalized, Unweighted)]]*$R$3</f>
        <v>0</v>
      </c>
      <c r="U2019">
        <f>_xlfn.XLOOKUP(FME_Ranking1[[#This Row],[FME ID]],FME_Input[FME_ID],FME_Input[LWC])</f>
        <v>0</v>
      </c>
      <c r="V2019" s="178">
        <f>(FME_Ranking1[[#This Row],[LWC Raw]]/$U$2)*100</f>
        <v>0</v>
      </c>
      <c r="W2019" s="178">
        <f>FME_Ranking1[[#This Row],[LWC Score (Normalized, Unweighted)]]*$U$3</f>
        <v>0</v>
      </c>
      <c r="X2019" s="246">
        <f>_xlfn.XLOOKUP(FME_Ranking1[[#This Row],[FME ID]],FME_Input[FME_ID],FME_Input[ROADCLS])</f>
        <v>0</v>
      </c>
      <c r="Y2019" s="230">
        <f>(FME_Ranking1[[#This Row],[Closures Raw]]/$X$2)*100</f>
        <v>0</v>
      </c>
      <c r="Z2019" s="180">
        <f>FME_Ranking1[[#This Row],[Closures Score (Normalized, Unweighted)]]*$X$3</f>
        <v>0</v>
      </c>
      <c r="AA2019" s="253">
        <f>_xlfn.XLOOKUP(FME_Ranking1[[#This Row],[FME ID]],FME_Input[FME_ID],FME_Input[ROAD_MILES100])</f>
        <v>0.46990731358528143</v>
      </c>
      <c r="AB2019" s="178">
        <f>(FME_Ranking1[[#This Row],[Miles Raw]]/$AA$2)*100</f>
        <v>6.1784383553125351E-3</v>
      </c>
      <c r="AC2019" s="178">
        <f>FME_Ranking1[[#This Row],[Miles Score (Normalized, Unweighted)]]*$AA$3</f>
        <v>6.1784383553125353E-4</v>
      </c>
      <c r="AD2019" s="255">
        <f>_xlfn.XLOOKUP(FME_Ranking1[[#This Row],[FME ID]],FME_Input[FME_ID],FME_Input[FARMACRE100])</f>
        <v>286.83929443359381</v>
      </c>
      <c r="AE2019" s="230">
        <f>(FME_Ranking1[[#This Row],[Ag Land Raw]]/$AD$2)*100</f>
        <v>1.1827968465281599E-2</v>
      </c>
      <c r="AF2019" s="231">
        <f>FME_Ranking1[[#This Row],[Ag Land Score (Normalized, Unweighted)]]*$AD$3</f>
        <v>5.9139842326407996E-4</v>
      </c>
      <c r="AG201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1.2092422587953334E-3</v>
      </c>
      <c r="AH2019" s="406">
        <f t="shared" si="31"/>
        <v>2011</v>
      </c>
      <c r="AI201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1.2092422587953334E-3</v>
      </c>
      <c r="AJ2019" s="257">
        <f>FME_Ranking1[[#This Row],[Addition check]]-FME_Ranking1[[#This Row],[Weighted Score Based on Normalized Reported Factors]]</f>
        <v>0</v>
      </c>
      <c r="AK2019" s="178">
        <f>_xlfn.RANK.EQ(AI2019,$AI$6:$AI$2341,0)+COUNTIF($AI$6:AI2019,AI2019)-1</f>
        <v>2011</v>
      </c>
    </row>
    <row r="2020" spans="1:37" x14ac:dyDescent="0.25">
      <c r="A2020" t="s">
        <v>11111</v>
      </c>
      <c r="B2020">
        <f>_xlfn.XLOOKUP(FME_Ranking1[[#This Row],[FME ID]],FME_Input[FME_ID],FME_Input[RFPG_NUM])</f>
        <v>15</v>
      </c>
      <c r="C2020" t="str">
        <f>_xlfn.XLOOKUP(FME_Ranking1[[#This Row],[FME ID]],FME_Input[FME_ID],FME_Input[FME_NAME])</f>
        <v>Canton and Dillon</v>
      </c>
      <c r="D2020" t="str">
        <f>_xlfn.XLOOKUP(FME_Ranking1[[#This Row],[FME ID]],FME_Input[FME_ID],FME_Input[DESCR])</f>
        <v>Local Drainage Improvements-Along Canton Road and adjacent neighborhoods</v>
      </c>
      <c r="E2020" s="256">
        <f>_xlfn.XLOOKUP(FME_Ranking1[[#This Row],[FME ID]],FME_Input[FME_ID],FME_Input[FME_COST])</f>
        <v>454050</v>
      </c>
      <c r="F2020" t="str">
        <f>_xlfn.XLOOKUP(FME_Ranking1[[#This Row],[FME ID]],FME_Input[FME_ID],FME_Input[EMER_NEED])</f>
        <v>Yes</v>
      </c>
      <c r="G2020">
        <f>IF(FME_Ranking!F2020="Yes",100,0)</f>
        <v>100</v>
      </c>
      <c r="H2020">
        <f>FME_Ranking1[[#This Row],[Emergency Need Score (Normalized, Unweighted)]]*$F$3</f>
        <v>0</v>
      </c>
      <c r="I2020" s="246">
        <f>_xlfn.XLOOKUP(FME_Ranking1[[#This Row],[FME ID]],FME_Input[FME_ID],FME_Input[STRUCT_100])</f>
        <v>0</v>
      </c>
      <c r="J2020" s="178">
        <f>(FME_Ranking1[[#This Row],[Structures 100 Raw]]/I$2)*100</f>
        <v>0</v>
      </c>
      <c r="K2020" s="178">
        <f>FME_Ranking1[[#This Row],[Structures 100  Score (Normalized, Unweighted)]]*$I$3</f>
        <v>0</v>
      </c>
      <c r="L2020" s="246">
        <f>_xlfn.XLOOKUP(FME_Ranking1[[#This Row],[FME ID]],FME_Input[FME_ID],FME_Input[RES_STRUCT100])</f>
        <v>5</v>
      </c>
      <c r="M2020" s="230">
        <f>(FME_Ranking1[[#This Row],[Res Structures Raw]]/L$2)*100</f>
        <v>3.5415279568216909E-3</v>
      </c>
      <c r="N2020" s="180">
        <f>FME_Ranking1[[#This Row],[Res Structures Score (Normalized, Unweighted)]]*$L$3</f>
        <v>3.5415279568216913E-4</v>
      </c>
      <c r="O2020" s="244">
        <f>_xlfn.XLOOKUP(FME_Ranking1[[#This Row],[FME ID]],FME_Input[FME_ID],FME_Input[POP100])</f>
        <v>13</v>
      </c>
      <c r="P2020" s="178">
        <f>(FME_Ranking1[[#This Row],[Pop Raw]]/$O$2)*100</f>
        <v>1.3308790558539227E-3</v>
      </c>
      <c r="Q2020" s="178">
        <f>FME_Ranking1[[#This Row],[Pop Score (Normalized, Unweighted)]]*$O$3</f>
        <v>1.9963185837808839E-4</v>
      </c>
      <c r="R2020" s="137">
        <f>_xlfn.XLOOKUP(FME_Ranking1[[#This Row],[FME ID]],FME_Input[FME_ID],FME_Input[CRITFAC100])</f>
        <v>0</v>
      </c>
      <c r="S2020" s="230">
        <f>(FME_Ranking1[[#This Row],[Critical Facilities Raw]]/$R$2)*100</f>
        <v>0</v>
      </c>
      <c r="T2020" s="180">
        <f>FME_Ranking1[[#This Row],[Critical Facilities Score (Normalized, Unweighted)]]*$R$3</f>
        <v>0</v>
      </c>
      <c r="U2020">
        <f>_xlfn.XLOOKUP(FME_Ranking1[[#This Row],[FME ID]],FME_Input[FME_ID],FME_Input[LWC])</f>
        <v>0</v>
      </c>
      <c r="V2020" s="178">
        <f>(FME_Ranking1[[#This Row],[LWC Raw]]/$U$2)*100</f>
        <v>0</v>
      </c>
      <c r="W2020" s="178">
        <f>FME_Ranking1[[#This Row],[LWC Score (Normalized, Unweighted)]]*$U$3</f>
        <v>0</v>
      </c>
      <c r="X2020" s="246">
        <f>_xlfn.XLOOKUP(FME_Ranking1[[#This Row],[FME ID]],FME_Input[FME_ID],FME_Input[ROADCLS])</f>
        <v>0</v>
      </c>
      <c r="Y2020" s="230">
        <f>(FME_Ranking1[[#This Row],[Closures Raw]]/$X$2)*100</f>
        <v>0</v>
      </c>
      <c r="Z2020" s="180">
        <f>FME_Ranking1[[#This Row],[Closures Score (Normalized, Unweighted)]]*$X$3</f>
        <v>0</v>
      </c>
      <c r="AA2020" s="253">
        <f>_xlfn.XLOOKUP(FME_Ranking1[[#This Row],[FME ID]],FME_Input[FME_ID],FME_Input[ROAD_MILES100])</f>
        <v>8.2773399353027344</v>
      </c>
      <c r="AB2020" s="178">
        <f>(FME_Ranking1[[#This Row],[Miles Raw]]/$AA$2)*100</f>
        <v>0.10883217404309081</v>
      </c>
      <c r="AC2020" s="178">
        <f>FME_Ranking1[[#This Row],[Miles Score (Normalized, Unweighted)]]*$AA$3</f>
        <v>1.0883217404309082E-2</v>
      </c>
      <c r="AD2020" s="255">
        <f>_xlfn.XLOOKUP(FME_Ranking1[[#This Row],[FME ID]],FME_Input[FME_ID],FME_Input[FARMACRE100])</f>
        <v>0</v>
      </c>
      <c r="AE2020" s="230">
        <f>(FME_Ranking1[[#This Row],[Ag Land Raw]]/$AD$2)*100</f>
        <v>0</v>
      </c>
      <c r="AF2020" s="231">
        <f>FME_Ranking1[[#This Row],[Ag Land Score (Normalized, Unweighted)]]*$AD$3</f>
        <v>0</v>
      </c>
      <c r="AG202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1.1437002058369339E-2</v>
      </c>
      <c r="AH2020" s="406">
        <f t="shared" si="31"/>
        <v>1742</v>
      </c>
      <c r="AI202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1.1437002058369339E-2</v>
      </c>
      <c r="AJ2020" s="257">
        <f>FME_Ranking1[[#This Row],[Addition check]]-FME_Ranking1[[#This Row],[Weighted Score Based on Normalized Reported Factors]]</f>
        <v>0</v>
      </c>
      <c r="AK2020" s="178">
        <f>_xlfn.RANK.EQ(AI2020,$AI$6:$AI$2341,0)+COUNTIF($AI$6:AI2020,AI2020)-1</f>
        <v>1742</v>
      </c>
    </row>
    <row r="2021" spans="1:37" x14ac:dyDescent="0.25">
      <c r="A2021" t="s">
        <v>11114</v>
      </c>
      <c r="B2021">
        <f>_xlfn.XLOOKUP(FME_Ranking1[[#This Row],[FME ID]],FME_Input[FME_ID],FME_Input[RFPG_NUM])</f>
        <v>15</v>
      </c>
      <c r="C2021" t="str">
        <f>_xlfn.XLOOKUP(FME_Ranking1[[#This Row],[FME ID]],FME_Input[FME_ID],FME_Input[FME_NAME])</f>
        <v>FM 1925 and Mile 4</v>
      </c>
      <c r="D2021" t="str">
        <f>_xlfn.XLOOKUP(FME_Ranking1[[#This Row],[FME ID]],FME_Input[FME_ID],FME_Input[DESCR])</f>
        <v>Local Drainage Improvements-Along Bernal Court</v>
      </c>
      <c r="E2021" s="256">
        <f>_xlfn.XLOOKUP(FME_Ranking1[[#This Row],[FME ID]],FME_Input[FME_ID],FME_Input[FME_COST])</f>
        <v>143550</v>
      </c>
      <c r="F2021" t="str">
        <f>_xlfn.XLOOKUP(FME_Ranking1[[#This Row],[FME ID]],FME_Input[FME_ID],FME_Input[EMER_NEED])</f>
        <v>Yes</v>
      </c>
      <c r="G2021">
        <f>IF(FME_Ranking!F2021="Yes",100,0)</f>
        <v>100</v>
      </c>
      <c r="H2021">
        <f>FME_Ranking1[[#This Row],[Emergency Need Score (Normalized, Unweighted)]]*$F$3</f>
        <v>0</v>
      </c>
      <c r="I2021" s="246">
        <f>_xlfn.XLOOKUP(FME_Ranking1[[#This Row],[FME ID]],FME_Input[FME_ID],FME_Input[STRUCT_100])</f>
        <v>0</v>
      </c>
      <c r="J2021" s="178">
        <f>(FME_Ranking1[[#This Row],[Structures 100 Raw]]/I$2)*100</f>
        <v>0</v>
      </c>
      <c r="K2021" s="178">
        <f>FME_Ranking1[[#This Row],[Structures 100  Score (Normalized, Unweighted)]]*$I$3</f>
        <v>0</v>
      </c>
      <c r="L2021" s="246">
        <f>_xlfn.XLOOKUP(FME_Ranking1[[#This Row],[FME ID]],FME_Input[FME_ID],FME_Input[RES_STRUCT100])</f>
        <v>5</v>
      </c>
      <c r="M2021" s="230">
        <f>(FME_Ranking1[[#This Row],[Res Structures Raw]]/L$2)*100</f>
        <v>3.5415279568216909E-3</v>
      </c>
      <c r="N2021" s="180">
        <f>FME_Ranking1[[#This Row],[Res Structures Score (Normalized, Unweighted)]]*$L$3</f>
        <v>3.5415279568216913E-4</v>
      </c>
      <c r="O2021" s="244">
        <f>_xlfn.XLOOKUP(FME_Ranking1[[#This Row],[FME ID]],FME_Input[FME_ID],FME_Input[POP100])</f>
        <v>12</v>
      </c>
      <c r="P2021" s="178">
        <f>(FME_Ranking1[[#This Row],[Pop Raw]]/$O$2)*100</f>
        <v>1.2285037438651595E-3</v>
      </c>
      <c r="Q2021" s="178">
        <f>FME_Ranking1[[#This Row],[Pop Score (Normalized, Unweighted)]]*$O$3</f>
        <v>1.8427556157977391E-4</v>
      </c>
      <c r="R2021" s="137">
        <f>_xlfn.XLOOKUP(FME_Ranking1[[#This Row],[FME ID]],FME_Input[FME_ID],FME_Input[CRITFAC100])</f>
        <v>0</v>
      </c>
      <c r="S2021" s="230">
        <f>(FME_Ranking1[[#This Row],[Critical Facilities Raw]]/$R$2)*100</f>
        <v>0</v>
      </c>
      <c r="T2021" s="180">
        <f>FME_Ranking1[[#This Row],[Critical Facilities Score (Normalized, Unweighted)]]*$R$3</f>
        <v>0</v>
      </c>
      <c r="U2021">
        <f>_xlfn.XLOOKUP(FME_Ranking1[[#This Row],[FME ID]],FME_Input[FME_ID],FME_Input[LWC])</f>
        <v>0</v>
      </c>
      <c r="V2021" s="178">
        <f>(FME_Ranking1[[#This Row],[LWC Raw]]/$U$2)*100</f>
        <v>0</v>
      </c>
      <c r="W2021" s="178">
        <f>FME_Ranking1[[#This Row],[LWC Score (Normalized, Unweighted)]]*$U$3</f>
        <v>0</v>
      </c>
      <c r="X2021" s="246">
        <f>_xlfn.XLOOKUP(FME_Ranking1[[#This Row],[FME ID]],FME_Input[FME_ID],FME_Input[ROADCLS])</f>
        <v>0</v>
      </c>
      <c r="Y2021" s="230">
        <f>(FME_Ranking1[[#This Row],[Closures Raw]]/$X$2)*100</f>
        <v>0</v>
      </c>
      <c r="Z2021" s="180">
        <f>FME_Ranking1[[#This Row],[Closures Score (Normalized, Unweighted)]]*$X$3</f>
        <v>0</v>
      </c>
      <c r="AA2021" s="253">
        <f>_xlfn.XLOOKUP(FME_Ranking1[[#This Row],[FME ID]],FME_Input[FME_ID],FME_Input[ROAD_MILES100])</f>
        <v>0</v>
      </c>
      <c r="AB2021" s="178">
        <f>(FME_Ranking1[[#This Row],[Miles Raw]]/$AA$2)*100</f>
        <v>0</v>
      </c>
      <c r="AC2021" s="178">
        <f>FME_Ranking1[[#This Row],[Miles Score (Normalized, Unweighted)]]*$AA$3</f>
        <v>0</v>
      </c>
      <c r="AD2021" s="255">
        <f>_xlfn.XLOOKUP(FME_Ranking1[[#This Row],[FME ID]],FME_Input[FME_ID],FME_Input[FARMACRE100])</f>
        <v>0</v>
      </c>
      <c r="AE2021" s="230">
        <f>(FME_Ranking1[[#This Row],[Ag Land Raw]]/$AD$2)*100</f>
        <v>0</v>
      </c>
      <c r="AF2021" s="231">
        <f>FME_Ranking1[[#This Row],[Ag Land Score (Normalized, Unweighted)]]*$AD$3</f>
        <v>0</v>
      </c>
      <c r="AG202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5.3842835726194299E-4</v>
      </c>
      <c r="AH2021" s="406">
        <f t="shared" si="31"/>
        <v>2091</v>
      </c>
      <c r="AI202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5.3842835726194299E-4</v>
      </c>
      <c r="AJ2021" s="257">
        <f>FME_Ranking1[[#This Row],[Addition check]]-FME_Ranking1[[#This Row],[Weighted Score Based on Normalized Reported Factors]]</f>
        <v>0</v>
      </c>
      <c r="AK2021" s="178">
        <f>_xlfn.RANK.EQ(AI2021,$AI$6:$AI$2341,0)+COUNTIF($AI$6:AI2021,AI2021)-1</f>
        <v>2091</v>
      </c>
    </row>
    <row r="2022" spans="1:37" x14ac:dyDescent="0.25">
      <c r="A2022" t="s">
        <v>3092</v>
      </c>
      <c r="B2022">
        <f>_xlfn.XLOOKUP(FME_Ranking1[[#This Row],[FME ID]],FME_Input[FME_ID],FME_Input[RFPG_NUM])</f>
        <v>1</v>
      </c>
      <c r="C2022" t="str">
        <f>_xlfn.XLOOKUP(FME_Ranking1[[#This Row],[FME ID]],FME_Input[FME_ID],FME_Input[FME_NAME])</f>
        <v>Holliday City Drainage Master Plan</v>
      </c>
      <c r="D2022" t="str">
        <f>_xlfn.XLOOKUP(FME_Ranking1[[#This Row],[FME ID]],FME_Input[FME_ID],FME_Input[DESCR])</f>
        <v xml:space="preserve">Perform H&amp;H modeling, develop conceptual alternatives and OPCC, and rank projects; selected based on HMAPs and the needs analysis </v>
      </c>
      <c r="E2022" s="256">
        <f>_xlfn.XLOOKUP(FME_Ranking1[[#This Row],[FME ID]],FME_Input[FME_ID],FME_Input[FME_COST])</f>
        <v>250000</v>
      </c>
      <c r="F2022" t="str">
        <f>_xlfn.XLOOKUP(FME_Ranking1[[#This Row],[FME ID]],FME_Input[FME_ID],FME_Input[EMER_NEED])</f>
        <v>No</v>
      </c>
      <c r="G2022">
        <f>IF(FME_Ranking!F2022="Yes",100,0)</f>
        <v>0</v>
      </c>
      <c r="H2022">
        <f>FME_Ranking1[[#This Row],[Emergency Need Score (Normalized, Unweighted)]]*$F$3</f>
        <v>0</v>
      </c>
      <c r="I2022" s="246">
        <f>_xlfn.XLOOKUP(FME_Ranking1[[#This Row],[FME ID]],FME_Input[FME_ID],FME_Input[STRUCT_100])</f>
        <v>4</v>
      </c>
      <c r="J2022" s="178">
        <f>(FME_Ranking1[[#This Row],[Structures 100 Raw]]/I$2)*100</f>
        <v>2.1419697553870542E-3</v>
      </c>
      <c r="K2022" s="178">
        <f>FME_Ranking1[[#This Row],[Structures 100  Score (Normalized, Unweighted)]]*$I$3</f>
        <v>3.2129546330805813E-4</v>
      </c>
      <c r="L2022" s="246">
        <f>_xlfn.XLOOKUP(FME_Ranking1[[#This Row],[FME ID]],FME_Input[FME_ID],FME_Input[RES_STRUCT100])</f>
        <v>2</v>
      </c>
      <c r="M2022" s="230">
        <f>(FME_Ranking1[[#This Row],[Res Structures Raw]]/L$2)*100</f>
        <v>1.4166111827286765E-3</v>
      </c>
      <c r="N2022" s="180">
        <f>FME_Ranking1[[#This Row],[Res Structures Score (Normalized, Unweighted)]]*$L$3</f>
        <v>1.4166111827286767E-4</v>
      </c>
      <c r="O2022" s="244">
        <f>_xlfn.XLOOKUP(FME_Ranking1[[#This Row],[FME ID]],FME_Input[FME_ID],FME_Input[POP100])</f>
        <v>4</v>
      </c>
      <c r="P2022" s="178">
        <f>(FME_Ranking1[[#This Row],[Pop Raw]]/$O$2)*100</f>
        <v>4.0950124795505313E-4</v>
      </c>
      <c r="Q2022" s="178">
        <f>FME_Ranking1[[#This Row],[Pop Score (Normalized, Unweighted)]]*$O$3</f>
        <v>6.1425187193257967E-5</v>
      </c>
      <c r="R2022" s="137">
        <f>_xlfn.XLOOKUP(FME_Ranking1[[#This Row],[FME ID]],FME_Input[FME_ID],FME_Input[CRITFAC100])</f>
        <v>0</v>
      </c>
      <c r="S2022" s="230">
        <f>(FME_Ranking1[[#This Row],[Critical Facilities Raw]]/$R$2)*100</f>
        <v>0</v>
      </c>
      <c r="T2022" s="180">
        <f>FME_Ranking1[[#This Row],[Critical Facilities Score (Normalized, Unweighted)]]*$R$3</f>
        <v>0</v>
      </c>
      <c r="U2022">
        <f>_xlfn.XLOOKUP(FME_Ranking1[[#This Row],[FME ID]],FME_Input[FME_ID],FME_Input[LWC])</f>
        <v>0</v>
      </c>
      <c r="V2022" s="178">
        <f>(FME_Ranking1[[#This Row],[LWC Raw]]/$U$2)*100</f>
        <v>0</v>
      </c>
      <c r="W2022" s="178">
        <f>FME_Ranking1[[#This Row],[LWC Score (Normalized, Unweighted)]]*$U$3</f>
        <v>0</v>
      </c>
      <c r="X2022" s="246">
        <f>_xlfn.XLOOKUP(FME_Ranking1[[#This Row],[FME ID]],FME_Input[FME_ID],FME_Input[ROADCLS])</f>
        <v>0</v>
      </c>
      <c r="Y2022" s="230">
        <f>(FME_Ranking1[[#This Row],[Closures Raw]]/$X$2)*100</f>
        <v>0</v>
      </c>
      <c r="Z2022" s="180">
        <f>FME_Ranking1[[#This Row],[Closures Score (Normalized, Unweighted)]]*$X$3</f>
        <v>0</v>
      </c>
      <c r="AA2022" s="253">
        <f>_xlfn.XLOOKUP(FME_Ranking1[[#This Row],[FME ID]],FME_Input[FME_ID],FME_Input[ROAD_MILES100])</f>
        <v>0.93591701984405518</v>
      </c>
      <c r="AB2022" s="178">
        <f>(FME_Ranking1[[#This Row],[Miles Raw]]/$AA$2)*100</f>
        <v>1.2305630164968421E-2</v>
      </c>
      <c r="AC2022" s="178">
        <f>FME_Ranking1[[#This Row],[Miles Score (Normalized, Unweighted)]]*$AA$3</f>
        <v>1.2305630164968421E-3</v>
      </c>
      <c r="AD2022" s="255">
        <f>_xlfn.XLOOKUP(FME_Ranking1[[#This Row],[FME ID]],FME_Input[FME_ID],FME_Input[FARMACRE100])</f>
        <v>5.2117390632629386</v>
      </c>
      <c r="AE2022" s="230">
        <f>(FME_Ranking1[[#This Row],[Ag Land Raw]]/$AD$2)*100</f>
        <v>2.1490878859981846E-4</v>
      </c>
      <c r="AF2022" s="231">
        <f>FME_Ranking1[[#This Row],[Ag Land Score (Normalized, Unweighted)]]*$AD$3</f>
        <v>1.0745439429990923E-5</v>
      </c>
      <c r="AG202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1.7656902247010168E-3</v>
      </c>
      <c r="AH2022" s="406">
        <f t="shared" si="31"/>
        <v>1972</v>
      </c>
      <c r="AI202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1.7656902247010168E-3</v>
      </c>
      <c r="AJ2022" s="257">
        <f>FME_Ranking1[[#This Row],[Addition check]]-FME_Ranking1[[#This Row],[Weighted Score Based on Normalized Reported Factors]]</f>
        <v>0</v>
      </c>
      <c r="AK2022" s="178">
        <f>_xlfn.RANK.EQ(AI2022,$AI$6:$AI$2341,0)+COUNTIF($AI$6:AI2022,AI2022)-1</f>
        <v>1972</v>
      </c>
    </row>
    <row r="2023" spans="1:37" x14ac:dyDescent="0.25">
      <c r="A2023" t="s">
        <v>10330</v>
      </c>
      <c r="B2023">
        <f>_xlfn.XLOOKUP(FME_Ranking1[[#This Row],[FME ID]],FME_Input[FME_ID],FME_Input[RFPG_NUM])</f>
        <v>13</v>
      </c>
      <c r="C2023" t="str">
        <f>_xlfn.XLOOKUP(FME_Ranking1[[#This Row],[FME ID]],FME_Input[FME_ID],FME_Input[FME_NAME])</f>
        <v>Humble Channel Drainage Improvements &amp; Ditch Extension</v>
      </c>
      <c r="D2023" t="str">
        <f>_xlfn.XLOOKUP(FME_Ranking1[[#This Row],[FME ID]],FME_Input[FME_ID],FME_Input[DESCR])</f>
        <v xml:space="preserve">Reduce flooding in the residential area of Ingleside located to the east of Emory Bellard Dr. via improvements to Humble Channel Outfall, installation of crossings at Emory Ballard Dr., acquisition of easements, and excavation of new drainage ditches. </v>
      </c>
      <c r="E2023" s="256">
        <f>_xlfn.XLOOKUP(FME_Ranking1[[#This Row],[FME ID]],FME_Input[FME_ID],FME_Input[FME_COST])</f>
        <v>281000</v>
      </c>
      <c r="F2023" t="str">
        <f>_xlfn.XLOOKUP(FME_Ranking1[[#This Row],[FME ID]],FME_Input[FME_ID],FME_Input[EMER_NEED])</f>
        <v>Yes</v>
      </c>
      <c r="G2023">
        <f>IF(FME_Ranking!F2023="Yes",100,0)</f>
        <v>100</v>
      </c>
      <c r="H2023">
        <f>FME_Ranking1[[#This Row],[Emergency Need Score (Normalized, Unweighted)]]*$F$3</f>
        <v>0</v>
      </c>
      <c r="I2023" s="246">
        <f>_xlfn.XLOOKUP(FME_Ranking1[[#This Row],[FME ID]],FME_Input[FME_ID],FME_Input[STRUCT_100])</f>
        <v>0</v>
      </c>
      <c r="J2023" s="178">
        <f>(FME_Ranking1[[#This Row],[Structures 100 Raw]]/I$2)*100</f>
        <v>0</v>
      </c>
      <c r="K2023" s="178">
        <f>FME_Ranking1[[#This Row],[Structures 100  Score (Normalized, Unweighted)]]*$I$3</f>
        <v>0</v>
      </c>
      <c r="L2023" s="246">
        <f>_xlfn.XLOOKUP(FME_Ranking1[[#This Row],[FME ID]],FME_Input[FME_ID],FME_Input[RES_STRUCT100])</f>
        <v>0</v>
      </c>
      <c r="M2023" s="230">
        <f>(FME_Ranking1[[#This Row],[Res Structures Raw]]/L$2)*100</f>
        <v>0</v>
      </c>
      <c r="N2023" s="180">
        <f>FME_Ranking1[[#This Row],[Res Structures Score (Normalized, Unweighted)]]*$L$3</f>
        <v>0</v>
      </c>
      <c r="O2023" s="244">
        <f>_xlfn.XLOOKUP(FME_Ranking1[[#This Row],[FME ID]],FME_Input[FME_ID],FME_Input[POP100])</f>
        <v>0</v>
      </c>
      <c r="P2023" s="178">
        <f>(FME_Ranking1[[#This Row],[Pop Raw]]/$O$2)*100</f>
        <v>0</v>
      </c>
      <c r="Q2023" s="178">
        <f>FME_Ranking1[[#This Row],[Pop Score (Normalized, Unweighted)]]*$O$3</f>
        <v>0</v>
      </c>
      <c r="R2023" s="137">
        <f>_xlfn.XLOOKUP(FME_Ranking1[[#This Row],[FME ID]],FME_Input[FME_ID],FME_Input[CRITFAC100])</f>
        <v>0</v>
      </c>
      <c r="S2023" s="230">
        <f>(FME_Ranking1[[#This Row],[Critical Facilities Raw]]/$R$2)*100</f>
        <v>0</v>
      </c>
      <c r="T2023" s="180">
        <f>FME_Ranking1[[#This Row],[Critical Facilities Score (Normalized, Unweighted)]]*$R$3</f>
        <v>0</v>
      </c>
      <c r="U2023">
        <f>_xlfn.XLOOKUP(FME_Ranking1[[#This Row],[FME ID]],FME_Input[FME_ID],FME_Input[LWC])</f>
        <v>0</v>
      </c>
      <c r="V2023" s="178">
        <f>(FME_Ranking1[[#This Row],[LWC Raw]]/$U$2)*100</f>
        <v>0</v>
      </c>
      <c r="W2023" s="178">
        <f>FME_Ranking1[[#This Row],[LWC Score (Normalized, Unweighted)]]*$U$3</f>
        <v>0</v>
      </c>
      <c r="X2023" s="246">
        <f>_xlfn.XLOOKUP(FME_Ranking1[[#This Row],[FME ID]],FME_Input[FME_ID],FME_Input[ROADCLS])</f>
        <v>1</v>
      </c>
      <c r="Y2023" s="230">
        <f>(FME_Ranking1[[#This Row],[Closures Raw]]/$X$2)*100</f>
        <v>1.0514141520344864E-2</v>
      </c>
      <c r="Z2023" s="180">
        <f>FME_Ranking1[[#This Row],[Closures Score (Normalized, Unweighted)]]*$X$3</f>
        <v>5.2570707601724321E-4</v>
      </c>
      <c r="AA2023" s="253">
        <f>_xlfn.XLOOKUP(FME_Ranking1[[#This Row],[FME ID]],FME_Input[FME_ID],FME_Input[ROAD_MILES100])</f>
        <v>0.2487500011920929</v>
      </c>
      <c r="AB2023" s="178">
        <f>(FME_Ranking1[[#This Row],[Miles Raw]]/$AA$2)*100</f>
        <v>3.2706163616037084E-3</v>
      </c>
      <c r="AC2023" s="178">
        <f>FME_Ranking1[[#This Row],[Miles Score (Normalized, Unweighted)]]*$AA$3</f>
        <v>3.2706163616037087E-4</v>
      </c>
      <c r="AD2023" s="255">
        <f>_xlfn.XLOOKUP(FME_Ranking1[[#This Row],[FME ID]],FME_Input[FME_ID],FME_Input[FARMACRE100])</f>
        <v>3.2830879688262939</v>
      </c>
      <c r="AE2023" s="230">
        <f>(FME_Ranking1[[#This Row],[Ag Land Raw]]/$AD$2)*100</f>
        <v>1.3537985107899114E-4</v>
      </c>
      <c r="AF2023" s="231">
        <f>FME_Ranking1[[#This Row],[Ag Land Score (Normalized, Unweighted)]]*$AD$3</f>
        <v>6.7689925539495573E-6</v>
      </c>
      <c r="AG202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8.5953770473156364E-4</v>
      </c>
      <c r="AH2023" s="406">
        <f t="shared" si="31"/>
        <v>2038</v>
      </c>
      <c r="AI202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8.5953770473156364E-4</v>
      </c>
      <c r="AJ2023" s="257">
        <f>FME_Ranking1[[#This Row],[Addition check]]-FME_Ranking1[[#This Row],[Weighted Score Based on Normalized Reported Factors]]</f>
        <v>0</v>
      </c>
      <c r="AK2023" s="178">
        <f>_xlfn.RANK.EQ(AI2023,$AI$6:$AI$2341,0)+COUNTIF($AI$6:AI2023,AI2023)-1</f>
        <v>2038</v>
      </c>
    </row>
    <row r="2024" spans="1:37" x14ac:dyDescent="0.25">
      <c r="A2024" t="s">
        <v>7514</v>
      </c>
      <c r="B2024">
        <f>_xlfn.XLOOKUP(FME_Ranking1[[#This Row],[FME ID]],FME_Input[FME_ID],FME_Input[RFPG_NUM])</f>
        <v>8</v>
      </c>
      <c r="C2024" t="str">
        <f>_xlfn.XLOOKUP(FME_Ranking1[[#This Row],[FME ID]],FME_Input[FME_ID],FME_Input[FME_NAME])</f>
        <v>Sienna North Levee System Drainage</v>
      </c>
      <c r="D2024" t="str">
        <f>_xlfn.XLOOKUP(FME_Ranking1[[#This Row],[FME ID]],FME_Input[FME_ID],FME_Input[DESCR])</f>
        <v>Design of channel improvements to mitigate flow caused by increased development.</v>
      </c>
      <c r="E2024" s="256">
        <f>_xlfn.XLOOKUP(FME_Ranking1[[#This Row],[FME ID]],FME_Input[FME_ID],FME_Input[FME_COST])</f>
        <v>236000</v>
      </c>
      <c r="F2024" t="str">
        <f>_xlfn.XLOOKUP(FME_Ranking1[[#This Row],[FME ID]],FME_Input[FME_ID],FME_Input[EMER_NEED])</f>
        <v>No</v>
      </c>
      <c r="G2024">
        <f>IF(FME_Ranking!F2024="Yes",100,0)</f>
        <v>0</v>
      </c>
      <c r="H2024">
        <f>FME_Ranking1[[#This Row],[Emergency Need Score (Normalized, Unweighted)]]*$F$3</f>
        <v>0</v>
      </c>
      <c r="I2024" s="246">
        <f>_xlfn.XLOOKUP(FME_Ranking1[[#This Row],[FME ID]],FME_Input[FME_ID],FME_Input[STRUCT_100])</f>
        <v>0</v>
      </c>
      <c r="J2024" s="178">
        <f>(FME_Ranking1[[#This Row],[Structures 100 Raw]]/I$2)*100</f>
        <v>0</v>
      </c>
      <c r="K2024" s="178">
        <f>FME_Ranking1[[#This Row],[Structures 100  Score (Normalized, Unweighted)]]*$I$3</f>
        <v>0</v>
      </c>
      <c r="L2024" s="246">
        <f>_xlfn.XLOOKUP(FME_Ranking1[[#This Row],[FME ID]],FME_Input[FME_ID],FME_Input[RES_STRUCT100])</f>
        <v>0</v>
      </c>
      <c r="M2024" s="230">
        <f>(FME_Ranking1[[#This Row],[Res Structures Raw]]/L$2)*100</f>
        <v>0</v>
      </c>
      <c r="N2024" s="180">
        <f>FME_Ranking1[[#This Row],[Res Structures Score (Normalized, Unweighted)]]*$L$3</f>
        <v>0</v>
      </c>
      <c r="O2024" s="244">
        <f>_xlfn.XLOOKUP(FME_Ranking1[[#This Row],[FME ID]],FME_Input[FME_ID],FME_Input[POP100])</f>
        <v>0</v>
      </c>
      <c r="P2024" s="178">
        <f>(FME_Ranking1[[#This Row],[Pop Raw]]/$O$2)*100</f>
        <v>0</v>
      </c>
      <c r="Q2024" s="178">
        <f>FME_Ranking1[[#This Row],[Pop Score (Normalized, Unweighted)]]*$O$3</f>
        <v>0</v>
      </c>
      <c r="R2024" s="137">
        <f>_xlfn.XLOOKUP(FME_Ranking1[[#This Row],[FME ID]],FME_Input[FME_ID],FME_Input[CRITFAC100])</f>
        <v>0</v>
      </c>
      <c r="S2024" s="230">
        <f>(FME_Ranking1[[#This Row],[Critical Facilities Raw]]/$R$2)*100</f>
        <v>0</v>
      </c>
      <c r="T2024" s="180">
        <f>FME_Ranking1[[#This Row],[Critical Facilities Score (Normalized, Unweighted)]]*$R$3</f>
        <v>0</v>
      </c>
      <c r="U2024">
        <f>_xlfn.XLOOKUP(FME_Ranking1[[#This Row],[FME ID]],FME_Input[FME_ID],FME_Input[LWC])</f>
        <v>0</v>
      </c>
      <c r="V2024" s="178">
        <f>(FME_Ranking1[[#This Row],[LWC Raw]]/$U$2)*100</f>
        <v>0</v>
      </c>
      <c r="W2024" s="178">
        <f>FME_Ranking1[[#This Row],[LWC Score (Normalized, Unweighted)]]*$U$3</f>
        <v>0</v>
      </c>
      <c r="X2024" s="246">
        <f>_xlfn.XLOOKUP(FME_Ranking1[[#This Row],[FME ID]],FME_Input[FME_ID],FME_Input[ROADCLS])</f>
        <v>1</v>
      </c>
      <c r="Y2024" s="230">
        <f>(FME_Ranking1[[#This Row],[Closures Raw]]/$X$2)*100</f>
        <v>1.0514141520344864E-2</v>
      </c>
      <c r="Z2024" s="180">
        <f>FME_Ranking1[[#This Row],[Closures Score (Normalized, Unweighted)]]*$X$3</f>
        <v>5.2570707601724321E-4</v>
      </c>
      <c r="AA2024" s="253">
        <f>_xlfn.XLOOKUP(FME_Ranking1[[#This Row],[FME ID]],FME_Input[FME_ID],FME_Input[ROAD_MILES100])</f>
        <v>0</v>
      </c>
      <c r="AB2024" s="178">
        <f>(FME_Ranking1[[#This Row],[Miles Raw]]/$AA$2)*100</f>
        <v>0</v>
      </c>
      <c r="AC2024" s="178">
        <f>FME_Ranking1[[#This Row],[Miles Score (Normalized, Unweighted)]]*$AA$3</f>
        <v>0</v>
      </c>
      <c r="AD2024" s="255">
        <f>_xlfn.XLOOKUP(FME_Ranking1[[#This Row],[FME ID]],FME_Input[FME_ID],FME_Input[FARMACRE100])</f>
        <v>1.6785299777984619</v>
      </c>
      <c r="AE2024" s="230">
        <f>(FME_Ranking1[[#This Row],[Ag Land Raw]]/$AD$2)*100</f>
        <v>6.9215062338770112E-5</v>
      </c>
      <c r="AF2024" s="231">
        <f>FME_Ranking1[[#This Row],[Ag Land Score (Normalized, Unweighted)]]*$AD$3</f>
        <v>3.4607531169385059E-6</v>
      </c>
      <c r="AG202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5.2916782913418176E-4</v>
      </c>
      <c r="AH2024" s="406">
        <f t="shared" si="31"/>
        <v>2097</v>
      </c>
      <c r="AI202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5.2916782913418176E-4</v>
      </c>
      <c r="AJ2024" s="257">
        <f>FME_Ranking1[[#This Row],[Addition check]]-FME_Ranking1[[#This Row],[Weighted Score Based on Normalized Reported Factors]]</f>
        <v>0</v>
      </c>
      <c r="AK2024" s="178">
        <f>_xlfn.RANK.EQ(AI2024,$AI$6:$AI$2341,0)+COUNTIF($AI$6:AI2024,AI2024)-1</f>
        <v>2097</v>
      </c>
    </row>
    <row r="2025" spans="1:37" x14ac:dyDescent="0.25">
      <c r="A2025" t="s">
        <v>10692</v>
      </c>
      <c r="B2025">
        <f>_xlfn.XLOOKUP(FME_Ranking1[[#This Row],[FME ID]],FME_Input[FME_ID],FME_Input[RFPG_NUM])</f>
        <v>13</v>
      </c>
      <c r="C2025" t="str">
        <f>_xlfn.XLOOKUP(FME_Ranking1[[#This Row],[FME ID]],FME_Input[FME_ID],FME_Input[FME_NAME])</f>
        <v>Outfall No. 2</v>
      </c>
      <c r="D2025" t="str">
        <f>_xlfn.XLOOKUP(FME_Ranking1[[#This Row],[FME ID]],FME_Input[FME_ID],FME_Input[DESCR])</f>
        <v>Hazard mitigation drainage improvements for the City of Port Aransas. Outfall 2 is a trapezoidal channel and goes northwest from SH 361 to an existing basin. Outfall is approximately 5.7 miles SSW of Aransas along SH 361.</v>
      </c>
      <c r="E2025" s="256">
        <f>_xlfn.XLOOKUP(FME_Ranking1[[#This Row],[FME ID]],FME_Input[FME_ID],FME_Input[FME_COST])</f>
        <v>48000</v>
      </c>
      <c r="F2025" t="str">
        <f>_xlfn.XLOOKUP(FME_Ranking1[[#This Row],[FME ID]],FME_Input[FME_ID],FME_Input[EMER_NEED])</f>
        <v>Yes</v>
      </c>
      <c r="G2025">
        <f>IF(FME_Ranking!F2025="Yes",100,0)</f>
        <v>100</v>
      </c>
      <c r="H2025">
        <f>FME_Ranking1[[#This Row],[Emergency Need Score (Normalized, Unweighted)]]*$F$3</f>
        <v>0</v>
      </c>
      <c r="I2025" s="246">
        <f>_xlfn.XLOOKUP(FME_Ranking1[[#This Row],[FME ID]],FME_Input[FME_ID],FME_Input[STRUCT_100])</f>
        <v>0</v>
      </c>
      <c r="J2025" s="178">
        <f>(FME_Ranking1[[#This Row],[Structures 100 Raw]]/I$2)*100</f>
        <v>0</v>
      </c>
      <c r="K2025" s="178">
        <f>FME_Ranking1[[#This Row],[Structures 100  Score (Normalized, Unweighted)]]*$I$3</f>
        <v>0</v>
      </c>
      <c r="L2025" s="246">
        <f>_xlfn.XLOOKUP(FME_Ranking1[[#This Row],[FME ID]],FME_Input[FME_ID],FME_Input[RES_STRUCT100])</f>
        <v>0</v>
      </c>
      <c r="M2025" s="230">
        <f>(FME_Ranking1[[#This Row],[Res Structures Raw]]/L$2)*100</f>
        <v>0</v>
      </c>
      <c r="N2025" s="180">
        <f>FME_Ranking1[[#This Row],[Res Structures Score (Normalized, Unweighted)]]*$L$3</f>
        <v>0</v>
      </c>
      <c r="O2025" s="244">
        <f>_xlfn.XLOOKUP(FME_Ranking1[[#This Row],[FME ID]],FME_Input[FME_ID],FME_Input[POP100])</f>
        <v>0</v>
      </c>
      <c r="P2025" s="178">
        <f>(FME_Ranking1[[#This Row],[Pop Raw]]/$O$2)*100</f>
        <v>0</v>
      </c>
      <c r="Q2025" s="178">
        <f>FME_Ranking1[[#This Row],[Pop Score (Normalized, Unweighted)]]*$O$3</f>
        <v>0</v>
      </c>
      <c r="R2025" s="137">
        <f>_xlfn.XLOOKUP(FME_Ranking1[[#This Row],[FME ID]],FME_Input[FME_ID],FME_Input[CRITFAC100])</f>
        <v>0</v>
      </c>
      <c r="S2025" s="230">
        <f>(FME_Ranking1[[#This Row],[Critical Facilities Raw]]/$R$2)*100</f>
        <v>0</v>
      </c>
      <c r="T2025" s="180">
        <f>FME_Ranking1[[#This Row],[Critical Facilities Score (Normalized, Unweighted)]]*$R$3</f>
        <v>0</v>
      </c>
      <c r="U2025">
        <f>_xlfn.XLOOKUP(FME_Ranking1[[#This Row],[FME ID]],FME_Input[FME_ID],FME_Input[LWC])</f>
        <v>0</v>
      </c>
      <c r="V2025" s="178">
        <f>(FME_Ranking1[[#This Row],[LWC Raw]]/$U$2)*100</f>
        <v>0</v>
      </c>
      <c r="W2025" s="178">
        <f>FME_Ranking1[[#This Row],[LWC Score (Normalized, Unweighted)]]*$U$3</f>
        <v>0</v>
      </c>
      <c r="X2025" s="246">
        <f>_xlfn.XLOOKUP(FME_Ranking1[[#This Row],[FME ID]],FME_Input[FME_ID],FME_Input[ROADCLS])</f>
        <v>1</v>
      </c>
      <c r="Y2025" s="230">
        <f>(FME_Ranking1[[#This Row],[Closures Raw]]/$X$2)*100</f>
        <v>1.0514141520344864E-2</v>
      </c>
      <c r="Z2025" s="180">
        <f>FME_Ranking1[[#This Row],[Closures Score (Normalized, Unweighted)]]*$X$3</f>
        <v>5.2570707601724321E-4</v>
      </c>
      <c r="AA2025" s="253">
        <f>_xlfn.XLOOKUP(FME_Ranking1[[#This Row],[FME ID]],FME_Input[FME_ID],FME_Input[ROAD_MILES100])</f>
        <v>0.38072812557220459</v>
      </c>
      <c r="AB2025" s="178">
        <f>(FME_Ranking1[[#This Row],[Miles Raw]]/$AA$2)*100</f>
        <v>5.005891983323317E-3</v>
      </c>
      <c r="AC2025" s="178">
        <f>FME_Ranking1[[#This Row],[Miles Score (Normalized, Unweighted)]]*$AA$3</f>
        <v>5.0058919833233175E-4</v>
      </c>
      <c r="AD2025" s="255">
        <f>_xlfn.XLOOKUP(FME_Ranking1[[#This Row],[FME ID]],FME_Input[FME_ID],FME_Input[FARMACRE100])</f>
        <v>0.94851970672607422</v>
      </c>
      <c r="AE2025" s="230">
        <f>(FME_Ranking1[[#This Row],[Ag Land Raw]]/$AD$2)*100</f>
        <v>3.911270665341663E-5</v>
      </c>
      <c r="AF2025" s="231">
        <f>FME_Ranking1[[#This Row],[Ag Land Score (Normalized, Unweighted)]]*$AD$3</f>
        <v>1.9556353326708317E-6</v>
      </c>
      <c r="AG202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1.028251909682246E-3</v>
      </c>
      <c r="AH2025" s="406">
        <f t="shared" si="31"/>
        <v>2023</v>
      </c>
      <c r="AI202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1.028251909682246E-3</v>
      </c>
      <c r="AJ2025" s="257">
        <f>FME_Ranking1[[#This Row],[Addition check]]-FME_Ranking1[[#This Row],[Weighted Score Based on Normalized Reported Factors]]</f>
        <v>0</v>
      </c>
      <c r="AK2025" s="178">
        <f>_xlfn.RANK.EQ(AI2025,$AI$6:$AI$2341,0)+COUNTIF($AI$6:AI2025,AI2025)-1</f>
        <v>2023</v>
      </c>
    </row>
    <row r="2026" spans="1:37" x14ac:dyDescent="0.25">
      <c r="A2026" t="s">
        <v>10490</v>
      </c>
      <c r="B2026">
        <f>_xlfn.XLOOKUP(FME_Ranking1[[#This Row],[FME ID]],FME_Input[FME_ID],FME_Input[RFPG_NUM])</f>
        <v>13</v>
      </c>
      <c r="C2026" t="str">
        <f>_xlfn.XLOOKUP(FME_Ranking1[[#This Row],[FME ID]],FME_Input[FME_ID],FME_Input[FME_NAME])</f>
        <v>Lang Road Drainage Ditch and Outfall</v>
      </c>
      <c r="D2026" t="str">
        <f>_xlfn.XLOOKUP(FME_Ranking1[[#This Row],[FME ID]],FME_Input[FME_ID],FME_Input[DESCR])</f>
        <v>This is the location of a future project a drainage ditch is needed to alleviate flooding created by increased development. The ditch would run south from Lang Road to the bay.</v>
      </c>
      <c r="E2026" s="256">
        <f>_xlfn.XLOOKUP(FME_Ranking1[[#This Row],[FME ID]],FME_Input[FME_ID],FME_Input[FME_COST])</f>
        <v>100000</v>
      </c>
      <c r="F2026" t="str">
        <f>_xlfn.XLOOKUP(FME_Ranking1[[#This Row],[FME ID]],FME_Input[FME_ID],FME_Input[EMER_NEED])</f>
        <v>Yes</v>
      </c>
      <c r="G2026">
        <f>IF(FME_Ranking!F2026="Yes",100,0)</f>
        <v>100</v>
      </c>
      <c r="H2026">
        <f>FME_Ranking1[[#This Row],[Emergency Need Score (Normalized, Unweighted)]]*$F$3</f>
        <v>0</v>
      </c>
      <c r="I2026" s="246">
        <f>_xlfn.XLOOKUP(FME_Ranking1[[#This Row],[FME ID]],FME_Input[FME_ID],FME_Input[STRUCT_100])</f>
        <v>0</v>
      </c>
      <c r="J2026" s="178">
        <f>(FME_Ranking1[[#This Row],[Structures 100 Raw]]/I$2)*100</f>
        <v>0</v>
      </c>
      <c r="K2026" s="178">
        <f>FME_Ranking1[[#This Row],[Structures 100  Score (Normalized, Unweighted)]]*$I$3</f>
        <v>0</v>
      </c>
      <c r="L2026" s="246">
        <f>_xlfn.XLOOKUP(FME_Ranking1[[#This Row],[FME ID]],FME_Input[FME_ID],FME_Input[RES_STRUCT100])</f>
        <v>0</v>
      </c>
      <c r="M2026" s="230">
        <f>(FME_Ranking1[[#This Row],[Res Structures Raw]]/L$2)*100</f>
        <v>0</v>
      </c>
      <c r="N2026" s="180">
        <f>FME_Ranking1[[#This Row],[Res Structures Score (Normalized, Unweighted)]]*$L$3</f>
        <v>0</v>
      </c>
      <c r="O2026" s="244">
        <f>_xlfn.XLOOKUP(FME_Ranking1[[#This Row],[FME ID]],FME_Input[FME_ID],FME_Input[POP100])</f>
        <v>0</v>
      </c>
      <c r="P2026" s="178">
        <f>(FME_Ranking1[[#This Row],[Pop Raw]]/$O$2)*100</f>
        <v>0</v>
      </c>
      <c r="Q2026" s="178">
        <f>FME_Ranking1[[#This Row],[Pop Score (Normalized, Unweighted)]]*$O$3</f>
        <v>0</v>
      </c>
      <c r="R2026" s="137">
        <f>_xlfn.XLOOKUP(FME_Ranking1[[#This Row],[FME ID]],FME_Input[FME_ID],FME_Input[CRITFAC100])</f>
        <v>0</v>
      </c>
      <c r="S2026" s="230">
        <f>(FME_Ranking1[[#This Row],[Critical Facilities Raw]]/$R$2)*100</f>
        <v>0</v>
      </c>
      <c r="T2026" s="180">
        <f>FME_Ranking1[[#This Row],[Critical Facilities Score (Normalized, Unweighted)]]*$R$3</f>
        <v>0</v>
      </c>
      <c r="U2026">
        <f>_xlfn.XLOOKUP(FME_Ranking1[[#This Row],[FME ID]],FME_Input[FME_ID],FME_Input[LWC])</f>
        <v>0</v>
      </c>
      <c r="V2026" s="178">
        <f>(FME_Ranking1[[#This Row],[LWC Raw]]/$U$2)*100</f>
        <v>0</v>
      </c>
      <c r="W2026" s="178">
        <f>FME_Ranking1[[#This Row],[LWC Score (Normalized, Unweighted)]]*$U$3</f>
        <v>0</v>
      </c>
      <c r="X2026" s="246">
        <f>_xlfn.XLOOKUP(FME_Ranking1[[#This Row],[FME ID]],FME_Input[FME_ID],FME_Input[ROADCLS])</f>
        <v>1</v>
      </c>
      <c r="Y2026" s="230">
        <f>(FME_Ranking1[[#This Row],[Closures Raw]]/$X$2)*100</f>
        <v>1.0514141520344864E-2</v>
      </c>
      <c r="Z2026" s="180">
        <f>FME_Ranking1[[#This Row],[Closures Score (Normalized, Unweighted)]]*$X$3</f>
        <v>5.2570707601724321E-4</v>
      </c>
      <c r="AA2026" s="253">
        <f>_xlfn.XLOOKUP(FME_Ranking1[[#This Row],[FME ID]],FME_Input[FME_ID],FME_Input[ROAD_MILES100])</f>
        <v>1.8146226182579991E-2</v>
      </c>
      <c r="AB2026" s="178">
        <f>(FME_Ranking1[[#This Row],[Miles Raw]]/$AA$2)*100</f>
        <v>2.3859032751632513E-4</v>
      </c>
      <c r="AC2026" s="178">
        <f>FME_Ranking1[[#This Row],[Miles Score (Normalized, Unweighted)]]*$AA$3</f>
        <v>2.3859032751632515E-5</v>
      </c>
      <c r="AD2026" s="255">
        <f>_xlfn.XLOOKUP(FME_Ranking1[[#This Row],[FME ID]],FME_Input[FME_ID],FME_Input[FARMACRE100])</f>
        <v>0.53704178333282471</v>
      </c>
      <c r="AE2026" s="230">
        <f>(FME_Ranking1[[#This Row],[Ag Land Raw]]/$AD$2)*100</f>
        <v>2.2145199075121214E-5</v>
      </c>
      <c r="AF2026" s="231">
        <f>FME_Ranking1[[#This Row],[Ag Land Score (Normalized, Unweighted)]]*$AD$3</f>
        <v>1.1072599537560608E-6</v>
      </c>
      <c r="AG202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5.5067336872263186E-4</v>
      </c>
      <c r="AH2026" s="406">
        <f t="shared" si="31"/>
        <v>2086</v>
      </c>
      <c r="AI202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5.5067336872263186E-4</v>
      </c>
      <c r="AJ2026" s="257">
        <f>FME_Ranking1[[#This Row],[Addition check]]-FME_Ranking1[[#This Row],[Weighted Score Based on Normalized Reported Factors]]</f>
        <v>0</v>
      </c>
      <c r="AK2026" s="178">
        <f>_xlfn.RANK.EQ(AI2026,$AI$6:$AI$2341,0)+COUNTIF($AI$6:AI2026,AI2026)-1</f>
        <v>2086</v>
      </c>
    </row>
    <row r="2027" spans="1:37" x14ac:dyDescent="0.25">
      <c r="A2027" t="s">
        <v>9741</v>
      </c>
      <c r="B2027">
        <f>_xlfn.XLOOKUP(FME_Ranking1[[#This Row],[FME ID]],FME_Input[FME_ID],FME_Input[RFPG_NUM])</f>
        <v>12</v>
      </c>
      <c r="C2027" t="str">
        <f>_xlfn.XLOOKUP(FME_Ranking1[[#This Row],[FME ID]],FME_Input[FME_ID],FME_Input[FME_NAME])</f>
        <v>Bandera English Crossing Study</v>
      </c>
      <c r="D2027" t="str">
        <f>_xlfn.XLOOKUP(FME_Ranking1[[#This Row],[FME ID]],FME_Input[FME_ID],FME_Input[DESCR])</f>
        <v>This low water crossing can sometimes remain flooded for months. Study to upgrade road.</v>
      </c>
      <c r="E2027" s="256">
        <f>_xlfn.XLOOKUP(FME_Ranking1[[#This Row],[FME ID]],FME_Input[FME_ID],FME_Input[FME_COST])</f>
        <v>100000</v>
      </c>
      <c r="F2027" t="str">
        <f>_xlfn.XLOOKUP(FME_Ranking1[[#This Row],[FME ID]],FME_Input[FME_ID],FME_Input[EMER_NEED])</f>
        <v>Yes</v>
      </c>
      <c r="G2027">
        <f>IF(FME_Ranking!F2027="Yes",100,0)</f>
        <v>100</v>
      </c>
      <c r="H2027">
        <f>FME_Ranking1[[#This Row],[Emergency Need Score (Normalized, Unweighted)]]*$F$3</f>
        <v>0</v>
      </c>
      <c r="I2027" s="246">
        <f>_xlfn.XLOOKUP(FME_Ranking1[[#This Row],[FME ID]],FME_Input[FME_ID],FME_Input[STRUCT_100])</f>
        <v>0</v>
      </c>
      <c r="J2027" s="178">
        <f>(FME_Ranking1[[#This Row],[Structures 100 Raw]]/I$2)*100</f>
        <v>0</v>
      </c>
      <c r="K2027" s="178">
        <f>FME_Ranking1[[#This Row],[Structures 100  Score (Normalized, Unweighted)]]*$I$3</f>
        <v>0</v>
      </c>
      <c r="L2027" s="246">
        <f>_xlfn.XLOOKUP(FME_Ranking1[[#This Row],[FME ID]],FME_Input[FME_ID],FME_Input[RES_STRUCT100])</f>
        <v>0</v>
      </c>
      <c r="M2027" s="230">
        <f>(FME_Ranking1[[#This Row],[Res Structures Raw]]/L$2)*100</f>
        <v>0</v>
      </c>
      <c r="N2027" s="180">
        <f>FME_Ranking1[[#This Row],[Res Structures Score (Normalized, Unweighted)]]*$L$3</f>
        <v>0</v>
      </c>
      <c r="O2027" s="244">
        <f>_xlfn.XLOOKUP(FME_Ranking1[[#This Row],[FME ID]],FME_Input[FME_ID],FME_Input[POP100])</f>
        <v>0</v>
      </c>
      <c r="P2027" s="178">
        <f>(FME_Ranking1[[#This Row],[Pop Raw]]/$O$2)*100</f>
        <v>0</v>
      </c>
      <c r="Q2027" s="178">
        <f>FME_Ranking1[[#This Row],[Pop Score (Normalized, Unweighted)]]*$O$3</f>
        <v>0</v>
      </c>
      <c r="R2027" s="137">
        <f>_xlfn.XLOOKUP(FME_Ranking1[[#This Row],[FME ID]],FME_Input[FME_ID],FME_Input[CRITFAC100])</f>
        <v>0</v>
      </c>
      <c r="S2027" s="230">
        <f>(FME_Ranking1[[#This Row],[Critical Facilities Raw]]/$R$2)*100</f>
        <v>0</v>
      </c>
      <c r="T2027" s="180">
        <f>FME_Ranking1[[#This Row],[Critical Facilities Score (Normalized, Unweighted)]]*$R$3</f>
        <v>0</v>
      </c>
      <c r="U2027">
        <f>_xlfn.XLOOKUP(FME_Ranking1[[#This Row],[FME ID]],FME_Input[FME_ID],FME_Input[LWC])</f>
        <v>0</v>
      </c>
      <c r="V2027" s="178">
        <f>(FME_Ranking1[[#This Row],[LWC Raw]]/$U$2)*100</f>
        <v>0</v>
      </c>
      <c r="W2027" s="178">
        <f>FME_Ranking1[[#This Row],[LWC Score (Normalized, Unweighted)]]*$U$3</f>
        <v>0</v>
      </c>
      <c r="X2027" s="246">
        <f>_xlfn.XLOOKUP(FME_Ranking1[[#This Row],[FME ID]],FME_Input[FME_ID],FME_Input[ROADCLS])</f>
        <v>1</v>
      </c>
      <c r="Y2027" s="230">
        <f>(FME_Ranking1[[#This Row],[Closures Raw]]/$X$2)*100</f>
        <v>1.0514141520344864E-2</v>
      </c>
      <c r="Z2027" s="180">
        <f>FME_Ranking1[[#This Row],[Closures Score (Normalized, Unweighted)]]*$X$3</f>
        <v>5.2570707601724321E-4</v>
      </c>
      <c r="AA2027" s="253">
        <f>_xlfn.XLOOKUP(FME_Ranking1[[#This Row],[FME ID]],FME_Input[FME_ID],FME_Input[ROAD_MILES100])</f>
        <v>0.34999999403953552</v>
      </c>
      <c r="AB2027" s="178">
        <f>(FME_Ranking1[[#This Row],[Miles Raw]]/$AA$2)*100</f>
        <v>4.6018721671599837E-3</v>
      </c>
      <c r="AC2027" s="178">
        <f>FME_Ranking1[[#This Row],[Miles Score (Normalized, Unweighted)]]*$AA$3</f>
        <v>4.6018721671599837E-4</v>
      </c>
      <c r="AD2027" s="255">
        <f>_xlfn.XLOOKUP(FME_Ranking1[[#This Row],[FME ID]],FME_Input[FME_ID],FME_Input[FARMACRE100])</f>
        <v>0.44479000568389893</v>
      </c>
      <c r="AE2027" s="230">
        <f>(FME_Ranking1[[#This Row],[Ag Land Raw]]/$AD$2)*100</f>
        <v>1.8341148730302518E-5</v>
      </c>
      <c r="AF2027" s="231">
        <f>FME_Ranking1[[#This Row],[Ag Land Score (Normalized, Unweighted)]]*$AD$3</f>
        <v>9.1705743651512589E-7</v>
      </c>
      <c r="AG202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9.8681135016975667E-4</v>
      </c>
      <c r="AH2027" s="406">
        <f t="shared" si="31"/>
        <v>2027</v>
      </c>
      <c r="AI202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9.8681135016975667E-4</v>
      </c>
      <c r="AJ2027" s="257">
        <f>FME_Ranking1[[#This Row],[Addition check]]-FME_Ranking1[[#This Row],[Weighted Score Based on Normalized Reported Factors]]</f>
        <v>0</v>
      </c>
      <c r="AK2027" s="178">
        <f>_xlfn.RANK.EQ(AI2027,$AI$6:$AI$2341,0)+COUNTIF($AI$6:AI2027,AI2027)-1</f>
        <v>2027</v>
      </c>
    </row>
    <row r="2028" spans="1:37" x14ac:dyDescent="0.25">
      <c r="A2028" t="s">
        <v>7637</v>
      </c>
      <c r="B2028">
        <f>_xlfn.XLOOKUP(FME_Ranking1[[#This Row],[FME ID]],FME_Input[FME_ID],FME_Input[RFPG_NUM])</f>
        <v>8</v>
      </c>
      <c r="C2028" t="str">
        <f>_xlfn.XLOOKUP(FME_Ranking1[[#This Row],[FME ID]],FME_Input[FME_ID],FME_Input[FME_NAME])</f>
        <v>New Territory Inlet Replacements</v>
      </c>
      <c r="D2028" t="str">
        <f>_xlfn.XLOOKUP(FME_Ranking1[[#This Row],[FME ID]],FME_Input[FME_ID],FME_Input[DESCR])</f>
        <v>Update storm water inlets.</v>
      </c>
      <c r="E2028" s="256">
        <f>_xlfn.XLOOKUP(FME_Ranking1[[#This Row],[FME ID]],FME_Input[FME_ID],FME_Input[FME_COST])</f>
        <v>92000</v>
      </c>
      <c r="F2028" t="str">
        <f>_xlfn.XLOOKUP(FME_Ranking1[[#This Row],[FME ID]],FME_Input[FME_ID],FME_Input[EMER_NEED])</f>
        <v>No</v>
      </c>
      <c r="G2028">
        <f>IF(FME_Ranking!F2028="Yes",100,0)</f>
        <v>0</v>
      </c>
      <c r="H2028">
        <f>FME_Ranking1[[#This Row],[Emergency Need Score (Normalized, Unweighted)]]*$F$3</f>
        <v>0</v>
      </c>
      <c r="I2028" s="246">
        <f>_xlfn.XLOOKUP(FME_Ranking1[[#This Row],[FME ID]],FME_Input[FME_ID],FME_Input[STRUCT_100])</f>
        <v>0</v>
      </c>
      <c r="J2028" s="178">
        <f>(FME_Ranking1[[#This Row],[Structures 100 Raw]]/I$2)*100</f>
        <v>0</v>
      </c>
      <c r="K2028" s="178">
        <f>FME_Ranking1[[#This Row],[Structures 100  Score (Normalized, Unweighted)]]*$I$3</f>
        <v>0</v>
      </c>
      <c r="L2028" s="246">
        <f>_xlfn.XLOOKUP(FME_Ranking1[[#This Row],[FME ID]],FME_Input[FME_ID],FME_Input[RES_STRUCT100])</f>
        <v>0</v>
      </c>
      <c r="M2028" s="230">
        <f>(FME_Ranking1[[#This Row],[Res Structures Raw]]/L$2)*100</f>
        <v>0</v>
      </c>
      <c r="N2028" s="180">
        <f>FME_Ranking1[[#This Row],[Res Structures Score (Normalized, Unweighted)]]*$L$3</f>
        <v>0</v>
      </c>
      <c r="O2028" s="244">
        <f>_xlfn.XLOOKUP(FME_Ranking1[[#This Row],[FME ID]],FME_Input[FME_ID],FME_Input[POP100])</f>
        <v>0</v>
      </c>
      <c r="P2028" s="178">
        <f>(FME_Ranking1[[#This Row],[Pop Raw]]/$O$2)*100</f>
        <v>0</v>
      </c>
      <c r="Q2028" s="178">
        <f>FME_Ranking1[[#This Row],[Pop Score (Normalized, Unweighted)]]*$O$3</f>
        <v>0</v>
      </c>
      <c r="R2028" s="137">
        <f>_xlfn.XLOOKUP(FME_Ranking1[[#This Row],[FME ID]],FME_Input[FME_ID],FME_Input[CRITFAC100])</f>
        <v>0</v>
      </c>
      <c r="S2028" s="230">
        <f>(FME_Ranking1[[#This Row],[Critical Facilities Raw]]/$R$2)*100</f>
        <v>0</v>
      </c>
      <c r="T2028" s="180">
        <f>FME_Ranking1[[#This Row],[Critical Facilities Score (Normalized, Unweighted)]]*$R$3</f>
        <v>0</v>
      </c>
      <c r="U2028">
        <f>_xlfn.XLOOKUP(FME_Ranking1[[#This Row],[FME ID]],FME_Input[FME_ID],FME_Input[LWC])</f>
        <v>0</v>
      </c>
      <c r="V2028" s="178">
        <f>(FME_Ranking1[[#This Row],[LWC Raw]]/$U$2)*100</f>
        <v>0</v>
      </c>
      <c r="W2028" s="178">
        <f>FME_Ranking1[[#This Row],[LWC Score (Normalized, Unweighted)]]*$U$3</f>
        <v>0</v>
      </c>
      <c r="X2028" s="246">
        <f>_xlfn.XLOOKUP(FME_Ranking1[[#This Row],[FME ID]],FME_Input[FME_ID],FME_Input[ROADCLS])</f>
        <v>1</v>
      </c>
      <c r="Y2028" s="230">
        <f>(FME_Ranking1[[#This Row],[Closures Raw]]/$X$2)*100</f>
        <v>1.0514141520344864E-2</v>
      </c>
      <c r="Z2028" s="180">
        <f>FME_Ranking1[[#This Row],[Closures Score (Normalized, Unweighted)]]*$X$3</f>
        <v>5.2570707601724321E-4</v>
      </c>
      <c r="AA2028" s="253">
        <f>_xlfn.XLOOKUP(FME_Ranking1[[#This Row],[FME ID]],FME_Input[FME_ID],FME_Input[ROAD_MILES100])</f>
        <v>4.2680199258029461E-3</v>
      </c>
      <c r="AB2028" s="178">
        <f>(FME_Ranking1[[#This Row],[Miles Raw]]/$AA$2)*100</f>
        <v>5.6116806971197231E-5</v>
      </c>
      <c r="AC2028" s="178">
        <f>FME_Ranking1[[#This Row],[Miles Score (Normalized, Unweighted)]]*$AA$3</f>
        <v>5.6116806971197236E-6</v>
      </c>
      <c r="AD2028" s="255">
        <f>_xlfn.XLOOKUP(FME_Ranking1[[#This Row],[FME ID]],FME_Input[FME_ID],FME_Input[FARMACRE100])</f>
        <v>0.38306799530982971</v>
      </c>
      <c r="AE2028" s="230">
        <f>(FME_Ranking1[[#This Row],[Ag Land Raw]]/$AD$2)*100</f>
        <v>1.5796009321283063E-5</v>
      </c>
      <c r="AF2028" s="231">
        <f>FME_Ranking1[[#This Row],[Ag Land Score (Normalized, Unweighted)]]*$AD$3</f>
        <v>7.8980046606415326E-7</v>
      </c>
      <c r="AG202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5.3210855718042712E-4</v>
      </c>
      <c r="AH2028" s="406">
        <f t="shared" si="31"/>
        <v>2095</v>
      </c>
      <c r="AI202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5.3210855718042712E-4</v>
      </c>
      <c r="AJ2028" s="257">
        <f>FME_Ranking1[[#This Row],[Addition check]]-FME_Ranking1[[#This Row],[Weighted Score Based on Normalized Reported Factors]]</f>
        <v>0</v>
      </c>
      <c r="AK2028" s="178">
        <f>_xlfn.RANK.EQ(AI2028,$AI$6:$AI$2341,0)+COUNTIF($AI$6:AI2028,AI2028)-1</f>
        <v>2095</v>
      </c>
    </row>
    <row r="2029" spans="1:37" x14ac:dyDescent="0.25">
      <c r="A2029" t="s">
        <v>10808</v>
      </c>
      <c r="B2029">
        <f>_xlfn.XLOOKUP(FME_Ranking1[[#This Row],[FME ID]],FME_Input[FME_ID],FME_Input[RFPG_NUM])</f>
        <v>13</v>
      </c>
      <c r="C2029" t="str">
        <f>_xlfn.XLOOKUP(FME_Ranking1[[#This Row],[FME ID]],FME_Input[FME_ID],FME_Input[FME_NAME])</f>
        <v>Diversion from the Nueces River to Choke Canyon</v>
      </c>
      <c r="D2029" t="str">
        <f>_xlfn.XLOOKUP(FME_Ranking1[[#This Row],[FME ID]],FME_Input[FME_ID],FME_Input[DESCR])</f>
        <v>Rent large, high capacity mobile diesel pumps to pump water from Nueces River to Choke Canyon during flood events.</v>
      </c>
      <c r="E2029" s="256">
        <f>_xlfn.XLOOKUP(FME_Ranking1[[#This Row],[FME ID]],FME_Input[FME_ID],FME_Input[FME_COST])</f>
        <v>11702000</v>
      </c>
      <c r="F2029" t="str">
        <f>_xlfn.XLOOKUP(FME_Ranking1[[#This Row],[FME ID]],FME_Input[FME_ID],FME_Input[EMER_NEED])</f>
        <v>Yes</v>
      </c>
      <c r="G2029">
        <f>IF(FME_Ranking!F2029="Yes",100,0)</f>
        <v>100</v>
      </c>
      <c r="H2029">
        <f>FME_Ranking1[[#This Row],[Emergency Need Score (Normalized, Unweighted)]]*$F$3</f>
        <v>0</v>
      </c>
      <c r="I2029" s="246">
        <f>_xlfn.XLOOKUP(FME_Ranking1[[#This Row],[FME ID]],FME_Input[FME_ID],FME_Input[STRUCT_100])</f>
        <v>0</v>
      </c>
      <c r="J2029" s="178">
        <f>(FME_Ranking1[[#This Row],[Structures 100 Raw]]/I$2)*100</f>
        <v>0</v>
      </c>
      <c r="K2029" s="178">
        <f>FME_Ranking1[[#This Row],[Structures 100  Score (Normalized, Unweighted)]]*$I$3</f>
        <v>0</v>
      </c>
      <c r="L2029" s="246">
        <f>_xlfn.XLOOKUP(FME_Ranking1[[#This Row],[FME ID]],FME_Input[FME_ID],FME_Input[RES_STRUCT100])</f>
        <v>0</v>
      </c>
      <c r="M2029" s="230">
        <f>(FME_Ranking1[[#This Row],[Res Structures Raw]]/L$2)*100</f>
        <v>0</v>
      </c>
      <c r="N2029" s="180">
        <f>FME_Ranking1[[#This Row],[Res Structures Score (Normalized, Unweighted)]]*$L$3</f>
        <v>0</v>
      </c>
      <c r="O2029" s="244">
        <f>_xlfn.XLOOKUP(FME_Ranking1[[#This Row],[FME ID]],FME_Input[FME_ID],FME_Input[POP100])</f>
        <v>0</v>
      </c>
      <c r="P2029" s="178">
        <f>(FME_Ranking1[[#This Row],[Pop Raw]]/$O$2)*100</f>
        <v>0</v>
      </c>
      <c r="Q2029" s="178">
        <f>FME_Ranking1[[#This Row],[Pop Score (Normalized, Unweighted)]]*$O$3</f>
        <v>0</v>
      </c>
      <c r="R2029" s="137">
        <f>_xlfn.XLOOKUP(FME_Ranking1[[#This Row],[FME ID]],FME_Input[FME_ID],FME_Input[CRITFAC100])</f>
        <v>0</v>
      </c>
      <c r="S2029" s="230">
        <f>(FME_Ranking1[[#This Row],[Critical Facilities Raw]]/$R$2)*100</f>
        <v>0</v>
      </c>
      <c r="T2029" s="180">
        <f>FME_Ranking1[[#This Row],[Critical Facilities Score (Normalized, Unweighted)]]*$R$3</f>
        <v>0</v>
      </c>
      <c r="U2029">
        <f>_xlfn.XLOOKUP(FME_Ranking1[[#This Row],[FME ID]],FME_Input[FME_ID],FME_Input[LWC])</f>
        <v>0</v>
      </c>
      <c r="V2029" s="178">
        <f>(FME_Ranking1[[#This Row],[LWC Raw]]/$U$2)*100</f>
        <v>0</v>
      </c>
      <c r="W2029" s="178">
        <f>FME_Ranking1[[#This Row],[LWC Score (Normalized, Unweighted)]]*$U$3</f>
        <v>0</v>
      </c>
      <c r="X2029" s="246">
        <f>_xlfn.XLOOKUP(FME_Ranking1[[#This Row],[FME ID]],FME_Input[FME_ID],FME_Input[ROADCLS])</f>
        <v>1</v>
      </c>
      <c r="Y2029" s="230">
        <f>(FME_Ranking1[[#This Row],[Closures Raw]]/$X$2)*100</f>
        <v>1.0514141520344864E-2</v>
      </c>
      <c r="Z2029" s="180">
        <f>FME_Ranking1[[#This Row],[Closures Score (Normalized, Unweighted)]]*$X$3</f>
        <v>5.2570707601724321E-4</v>
      </c>
      <c r="AA2029" s="253">
        <f>_xlfn.XLOOKUP(FME_Ranking1[[#This Row],[FME ID]],FME_Input[FME_ID],FME_Input[ROAD_MILES100])</f>
        <v>2.3811958730220791E-2</v>
      </c>
      <c r="AB2029" s="178">
        <f>(FME_Ranking1[[#This Row],[Miles Raw]]/$AA$2)*100</f>
        <v>3.1308454854941307E-4</v>
      </c>
      <c r="AC2029" s="178">
        <f>FME_Ranking1[[#This Row],[Miles Score (Normalized, Unweighted)]]*$AA$3</f>
        <v>3.1308454854941309E-5</v>
      </c>
      <c r="AD2029" s="255">
        <f>_xlfn.XLOOKUP(FME_Ranking1[[#This Row],[FME ID]],FME_Input[FME_ID],FME_Input[FARMACRE100])</f>
        <v>0.32503122091293329</v>
      </c>
      <c r="AE2029" s="230">
        <f>(FME_Ranking1[[#This Row],[Ag Land Raw]]/$AD$2)*100</f>
        <v>1.3402832546989766E-5</v>
      </c>
      <c r="AF2029" s="231">
        <f>FME_Ranking1[[#This Row],[Ag Land Score (Normalized, Unweighted)]]*$AD$3</f>
        <v>6.701416273494884E-7</v>
      </c>
      <c r="AG202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5.5768567249953407E-4</v>
      </c>
      <c r="AH2029" s="406">
        <f t="shared" si="31"/>
        <v>2080</v>
      </c>
      <c r="AI202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5.5768567249953407E-4</v>
      </c>
      <c r="AJ2029" s="257">
        <f>FME_Ranking1[[#This Row],[Addition check]]-FME_Ranking1[[#This Row],[Weighted Score Based on Normalized Reported Factors]]</f>
        <v>0</v>
      </c>
      <c r="AK2029" s="178">
        <f>_xlfn.RANK.EQ(AI2029,$AI$6:$AI$2341,0)+COUNTIF($AI$6:AI2029,AI2029)-1</f>
        <v>2080</v>
      </c>
    </row>
    <row r="2030" spans="1:37" x14ac:dyDescent="0.25">
      <c r="A2030" t="s">
        <v>10434</v>
      </c>
      <c r="B2030">
        <f>_xlfn.XLOOKUP(FME_Ranking1[[#This Row],[FME ID]],FME_Input[FME_ID],FME_Input[RFPG_NUM])</f>
        <v>13</v>
      </c>
      <c r="C2030" t="str">
        <f>_xlfn.XLOOKUP(FME_Ranking1[[#This Row],[FME ID]],FME_Input[FME_ID],FME_Input[FME_NAME])</f>
        <v>Mack Road Drainage Improvements</v>
      </c>
      <c r="D2030" t="str">
        <f>_xlfn.XLOOKUP(FME_Ranking1[[#This Row],[FME ID]],FME_Input[FME_ID],FME_Input[DESCR])</f>
        <v>Construct drainage channel from Hwy 35 Bypass to Port Bay. Easements needed from three property owners.</v>
      </c>
      <c r="E2030" s="256">
        <f>_xlfn.XLOOKUP(FME_Ranking1[[#This Row],[FME ID]],FME_Input[FME_ID],FME_Input[FME_COST])</f>
        <v>300000</v>
      </c>
      <c r="F2030" t="str">
        <f>_xlfn.XLOOKUP(FME_Ranking1[[#This Row],[FME ID]],FME_Input[FME_ID],FME_Input[EMER_NEED])</f>
        <v>Yes</v>
      </c>
      <c r="G2030">
        <f>IF(FME_Ranking!F2030="Yes",100,0)</f>
        <v>100</v>
      </c>
      <c r="H2030">
        <f>FME_Ranking1[[#This Row],[Emergency Need Score (Normalized, Unweighted)]]*$F$3</f>
        <v>0</v>
      </c>
      <c r="I2030" s="246">
        <f>_xlfn.XLOOKUP(FME_Ranking1[[#This Row],[FME ID]],FME_Input[FME_ID],FME_Input[STRUCT_100])</f>
        <v>0</v>
      </c>
      <c r="J2030" s="178">
        <f>(FME_Ranking1[[#This Row],[Structures 100 Raw]]/I$2)*100</f>
        <v>0</v>
      </c>
      <c r="K2030" s="178">
        <f>FME_Ranking1[[#This Row],[Structures 100  Score (Normalized, Unweighted)]]*$I$3</f>
        <v>0</v>
      </c>
      <c r="L2030" s="246">
        <f>_xlfn.XLOOKUP(FME_Ranking1[[#This Row],[FME ID]],FME_Input[FME_ID],FME_Input[RES_STRUCT100])</f>
        <v>0</v>
      </c>
      <c r="M2030" s="230">
        <f>(FME_Ranking1[[#This Row],[Res Structures Raw]]/L$2)*100</f>
        <v>0</v>
      </c>
      <c r="N2030" s="180">
        <f>FME_Ranking1[[#This Row],[Res Structures Score (Normalized, Unweighted)]]*$L$3</f>
        <v>0</v>
      </c>
      <c r="O2030" s="244">
        <f>_xlfn.XLOOKUP(FME_Ranking1[[#This Row],[FME ID]],FME_Input[FME_ID],FME_Input[POP100])</f>
        <v>0</v>
      </c>
      <c r="P2030" s="178">
        <f>(FME_Ranking1[[#This Row],[Pop Raw]]/$O$2)*100</f>
        <v>0</v>
      </c>
      <c r="Q2030" s="178">
        <f>FME_Ranking1[[#This Row],[Pop Score (Normalized, Unweighted)]]*$O$3</f>
        <v>0</v>
      </c>
      <c r="R2030" s="137">
        <f>_xlfn.XLOOKUP(FME_Ranking1[[#This Row],[FME ID]],FME_Input[FME_ID],FME_Input[CRITFAC100])</f>
        <v>0</v>
      </c>
      <c r="S2030" s="230">
        <f>(FME_Ranking1[[#This Row],[Critical Facilities Raw]]/$R$2)*100</f>
        <v>0</v>
      </c>
      <c r="T2030" s="180">
        <f>FME_Ranking1[[#This Row],[Critical Facilities Score (Normalized, Unweighted)]]*$R$3</f>
        <v>0</v>
      </c>
      <c r="U2030">
        <f>_xlfn.XLOOKUP(FME_Ranking1[[#This Row],[FME ID]],FME_Input[FME_ID],FME_Input[LWC])</f>
        <v>0</v>
      </c>
      <c r="V2030" s="178">
        <f>(FME_Ranking1[[#This Row],[LWC Raw]]/$U$2)*100</f>
        <v>0</v>
      </c>
      <c r="W2030" s="178">
        <f>FME_Ranking1[[#This Row],[LWC Score (Normalized, Unweighted)]]*$U$3</f>
        <v>0</v>
      </c>
      <c r="X2030" s="246">
        <f>_xlfn.XLOOKUP(FME_Ranking1[[#This Row],[FME ID]],FME_Input[FME_ID],FME_Input[ROADCLS])</f>
        <v>1</v>
      </c>
      <c r="Y2030" s="230">
        <f>(FME_Ranking1[[#This Row],[Closures Raw]]/$X$2)*100</f>
        <v>1.0514141520344864E-2</v>
      </c>
      <c r="Z2030" s="180">
        <f>FME_Ranking1[[#This Row],[Closures Score (Normalized, Unweighted)]]*$X$3</f>
        <v>5.2570707601724321E-4</v>
      </c>
      <c r="AA2030" s="253">
        <f>_xlfn.XLOOKUP(FME_Ranking1[[#This Row],[FME ID]],FME_Input[FME_ID],FME_Input[ROAD_MILES100])</f>
        <v>1.5308805741369721E-2</v>
      </c>
      <c r="AB2030" s="178">
        <f>(FME_Ranking1[[#This Row],[Miles Raw]]/$AA$2)*100</f>
        <v>2.0128333786688705E-4</v>
      </c>
      <c r="AC2030" s="178">
        <f>FME_Ranking1[[#This Row],[Miles Score (Normalized, Unweighted)]]*$AA$3</f>
        <v>2.0128333786688706E-5</v>
      </c>
      <c r="AD2030" s="255">
        <f>_xlfn.XLOOKUP(FME_Ranking1[[#This Row],[FME ID]],FME_Input[FME_ID],FME_Input[FARMACRE100])</f>
        <v>0.21307460963726041</v>
      </c>
      <c r="AE2030" s="230">
        <f>(FME_Ranking1[[#This Row],[Ag Land Raw]]/$AD$2)*100</f>
        <v>8.7862430721644508E-6</v>
      </c>
      <c r="AF2030" s="231">
        <f>FME_Ranking1[[#This Row],[Ag Land Score (Normalized, Unweighted)]]*$AD$3</f>
        <v>4.3931215360822255E-7</v>
      </c>
      <c r="AG203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5.4627472195754021E-4</v>
      </c>
      <c r="AH2030" s="406">
        <f t="shared" si="31"/>
        <v>2088</v>
      </c>
      <c r="AI203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5.4627472195754021E-4</v>
      </c>
      <c r="AJ2030" s="257">
        <f>FME_Ranking1[[#This Row],[Addition check]]-FME_Ranking1[[#This Row],[Weighted Score Based on Normalized Reported Factors]]</f>
        <v>0</v>
      </c>
      <c r="AK2030" s="178">
        <f>_xlfn.RANK.EQ(AI2030,$AI$6:$AI$2341,0)+COUNTIF($AI$6:AI2030,AI2030)-1</f>
        <v>2088</v>
      </c>
    </row>
    <row r="2031" spans="1:37" x14ac:dyDescent="0.25">
      <c r="A2031" t="s">
        <v>10428</v>
      </c>
      <c r="B2031">
        <f>_xlfn.XLOOKUP(FME_Ranking1[[#This Row],[FME ID]],FME_Input[FME_ID],FME_Input[RFPG_NUM])</f>
        <v>13</v>
      </c>
      <c r="C2031" t="str">
        <f>_xlfn.XLOOKUP(FME_Ranking1[[#This Row],[FME ID]],FME_Input[FME_ID],FME_Input[FME_NAME])</f>
        <v>Mohawk Ave Drainage Improvements</v>
      </c>
      <c r="D2031" t="str">
        <f>_xlfn.XLOOKUP(FME_Ranking1[[#This Row],[FME ID]],FME_Input[FME_ID],FME_Input[DESCR])</f>
        <v>Construct drainage channel to connect existing ponds (supported by property owner)</v>
      </c>
      <c r="E2031" s="256">
        <f>_xlfn.XLOOKUP(FME_Ranking1[[#This Row],[FME ID]],FME_Input[FME_ID],FME_Input[FME_COST])</f>
        <v>300000</v>
      </c>
      <c r="F2031" t="str">
        <f>_xlfn.XLOOKUP(FME_Ranking1[[#This Row],[FME ID]],FME_Input[FME_ID],FME_Input[EMER_NEED])</f>
        <v>Yes</v>
      </c>
      <c r="G2031">
        <f>IF(FME_Ranking!F2031="Yes",100,0)</f>
        <v>100</v>
      </c>
      <c r="H2031">
        <f>FME_Ranking1[[#This Row],[Emergency Need Score (Normalized, Unweighted)]]*$F$3</f>
        <v>0</v>
      </c>
      <c r="I2031" s="246">
        <f>_xlfn.XLOOKUP(FME_Ranking1[[#This Row],[FME ID]],FME_Input[FME_ID],FME_Input[STRUCT_100])</f>
        <v>0</v>
      </c>
      <c r="J2031" s="178">
        <f>(FME_Ranking1[[#This Row],[Structures 100 Raw]]/I$2)*100</f>
        <v>0</v>
      </c>
      <c r="K2031" s="178">
        <f>FME_Ranking1[[#This Row],[Structures 100  Score (Normalized, Unweighted)]]*$I$3</f>
        <v>0</v>
      </c>
      <c r="L2031" s="246">
        <f>_xlfn.XLOOKUP(FME_Ranking1[[#This Row],[FME ID]],FME_Input[FME_ID],FME_Input[RES_STRUCT100])</f>
        <v>0</v>
      </c>
      <c r="M2031" s="230">
        <f>(FME_Ranking1[[#This Row],[Res Structures Raw]]/L$2)*100</f>
        <v>0</v>
      </c>
      <c r="N2031" s="180">
        <f>FME_Ranking1[[#This Row],[Res Structures Score (Normalized, Unweighted)]]*$L$3</f>
        <v>0</v>
      </c>
      <c r="O2031" s="244">
        <f>_xlfn.XLOOKUP(FME_Ranking1[[#This Row],[FME ID]],FME_Input[FME_ID],FME_Input[POP100])</f>
        <v>0</v>
      </c>
      <c r="P2031" s="178">
        <f>(FME_Ranking1[[#This Row],[Pop Raw]]/$O$2)*100</f>
        <v>0</v>
      </c>
      <c r="Q2031" s="178">
        <f>FME_Ranking1[[#This Row],[Pop Score (Normalized, Unweighted)]]*$O$3</f>
        <v>0</v>
      </c>
      <c r="R2031" s="137">
        <f>_xlfn.XLOOKUP(FME_Ranking1[[#This Row],[FME ID]],FME_Input[FME_ID],FME_Input[CRITFAC100])</f>
        <v>0</v>
      </c>
      <c r="S2031" s="230">
        <f>(FME_Ranking1[[#This Row],[Critical Facilities Raw]]/$R$2)*100</f>
        <v>0</v>
      </c>
      <c r="T2031" s="180">
        <f>FME_Ranking1[[#This Row],[Critical Facilities Score (Normalized, Unweighted)]]*$R$3</f>
        <v>0</v>
      </c>
      <c r="U2031">
        <f>_xlfn.XLOOKUP(FME_Ranking1[[#This Row],[FME ID]],FME_Input[FME_ID],FME_Input[LWC])</f>
        <v>0</v>
      </c>
      <c r="V2031" s="178">
        <f>(FME_Ranking1[[#This Row],[LWC Raw]]/$U$2)*100</f>
        <v>0</v>
      </c>
      <c r="W2031" s="178">
        <f>FME_Ranking1[[#This Row],[LWC Score (Normalized, Unweighted)]]*$U$3</f>
        <v>0</v>
      </c>
      <c r="X2031" s="246">
        <f>_xlfn.XLOOKUP(FME_Ranking1[[#This Row],[FME ID]],FME_Input[FME_ID],FME_Input[ROADCLS])</f>
        <v>1</v>
      </c>
      <c r="Y2031" s="230">
        <f>(FME_Ranking1[[#This Row],[Closures Raw]]/$X$2)*100</f>
        <v>1.0514141520344864E-2</v>
      </c>
      <c r="Z2031" s="180">
        <f>FME_Ranking1[[#This Row],[Closures Score (Normalized, Unweighted)]]*$X$3</f>
        <v>5.2570707601724321E-4</v>
      </c>
      <c r="AA2031" s="253">
        <f>_xlfn.XLOOKUP(FME_Ranking1[[#This Row],[FME ID]],FME_Input[FME_ID],FME_Input[ROAD_MILES100])</f>
        <v>1.8530463799834251E-2</v>
      </c>
      <c r="AB2031" s="178">
        <f>(FME_Ranking1[[#This Row],[Miles Raw]]/$AA$2)*100</f>
        <v>2.4364236302069865E-4</v>
      </c>
      <c r="AC2031" s="178">
        <f>FME_Ranking1[[#This Row],[Miles Score (Normalized, Unweighted)]]*$AA$3</f>
        <v>2.4364236302069867E-5</v>
      </c>
      <c r="AD2031" s="255">
        <f>_xlfn.XLOOKUP(FME_Ranking1[[#This Row],[FME ID]],FME_Input[FME_ID],FME_Input[FARMACRE100])</f>
        <v>0.19834247231483459</v>
      </c>
      <c r="AE2031" s="230">
        <f>(FME_Ranking1[[#This Row],[Ag Land Raw]]/$AD$2)*100</f>
        <v>8.1787556774546885E-6</v>
      </c>
      <c r="AF2031" s="231">
        <f>FME_Ranking1[[#This Row],[Ag Land Score (Normalized, Unweighted)]]*$AD$3</f>
        <v>4.0893778387273443E-7</v>
      </c>
      <c r="AG203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5.5048025010318578E-4</v>
      </c>
      <c r="AH2031" s="406">
        <f t="shared" si="31"/>
        <v>2087</v>
      </c>
      <c r="AI203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5.5048025010318578E-4</v>
      </c>
      <c r="AJ2031" s="257">
        <f>FME_Ranking1[[#This Row],[Addition check]]-FME_Ranking1[[#This Row],[Weighted Score Based on Normalized Reported Factors]]</f>
        <v>0</v>
      </c>
      <c r="AK2031" s="178">
        <f>_xlfn.RANK.EQ(AI2031,$AI$6:$AI$2341,0)+COUNTIF($AI$6:AI2031,AI2031)-1</f>
        <v>2087</v>
      </c>
    </row>
    <row r="2032" spans="1:37" x14ac:dyDescent="0.25">
      <c r="A2032" t="s">
        <v>9184</v>
      </c>
      <c r="B2032">
        <f>_xlfn.XLOOKUP(FME_Ranking1[[#This Row],[FME ID]],FME_Input[FME_ID],FME_Input[RFPG_NUM])</f>
        <v>12</v>
      </c>
      <c r="C2032" t="str">
        <f>_xlfn.XLOOKUP(FME_Ranking1[[#This Row],[FME ID]],FME_Input[FME_ID],FME_Input[FME_NAME])</f>
        <v>Karnes Hwy at Escondido Creek</v>
      </c>
      <c r="D2032" t="str">
        <f>_xlfn.XLOOKUP(FME_Ranking1[[#This Row],[FME ID]],FME_Input[FME_ID],FME_Input[DESCR])</f>
        <v>Raise bridge on Hwy and channel expansion on 181/5th in Kenedy</v>
      </c>
      <c r="E2032" s="256">
        <f>_xlfn.XLOOKUP(FME_Ranking1[[#This Row],[FME ID]],FME_Input[FME_ID],FME_Input[FME_COST])</f>
        <v>417398</v>
      </c>
      <c r="F2032" t="str">
        <f>_xlfn.XLOOKUP(FME_Ranking1[[#This Row],[FME ID]],FME_Input[FME_ID],FME_Input[EMER_NEED])</f>
        <v>No</v>
      </c>
      <c r="G2032">
        <f>IF(FME_Ranking!F2032="Yes",100,0)</f>
        <v>0</v>
      </c>
      <c r="H2032">
        <f>FME_Ranking1[[#This Row],[Emergency Need Score (Normalized, Unweighted)]]*$F$3</f>
        <v>0</v>
      </c>
      <c r="I2032" s="246">
        <f>_xlfn.XLOOKUP(FME_Ranking1[[#This Row],[FME ID]],FME_Input[FME_ID],FME_Input[STRUCT_100])</f>
        <v>0</v>
      </c>
      <c r="J2032" s="178">
        <f>(FME_Ranking1[[#This Row],[Structures 100 Raw]]/I$2)*100</f>
        <v>0</v>
      </c>
      <c r="K2032" s="178">
        <f>FME_Ranking1[[#This Row],[Structures 100  Score (Normalized, Unweighted)]]*$I$3</f>
        <v>0</v>
      </c>
      <c r="L2032" s="246">
        <f>_xlfn.XLOOKUP(FME_Ranking1[[#This Row],[FME ID]],FME_Input[FME_ID],FME_Input[RES_STRUCT100])</f>
        <v>0</v>
      </c>
      <c r="M2032" s="230">
        <f>(FME_Ranking1[[#This Row],[Res Structures Raw]]/L$2)*100</f>
        <v>0</v>
      </c>
      <c r="N2032" s="180">
        <f>FME_Ranking1[[#This Row],[Res Structures Score (Normalized, Unweighted)]]*$L$3</f>
        <v>0</v>
      </c>
      <c r="O2032" s="244">
        <f>_xlfn.XLOOKUP(FME_Ranking1[[#This Row],[FME ID]],FME_Input[FME_ID],FME_Input[POP100])</f>
        <v>0</v>
      </c>
      <c r="P2032" s="178">
        <f>(FME_Ranking1[[#This Row],[Pop Raw]]/$O$2)*100</f>
        <v>0</v>
      </c>
      <c r="Q2032" s="178">
        <f>FME_Ranking1[[#This Row],[Pop Score (Normalized, Unweighted)]]*$O$3</f>
        <v>0</v>
      </c>
      <c r="R2032" s="137">
        <f>_xlfn.XLOOKUP(FME_Ranking1[[#This Row],[FME ID]],FME_Input[FME_ID],FME_Input[CRITFAC100])</f>
        <v>0</v>
      </c>
      <c r="S2032" s="230">
        <f>(FME_Ranking1[[#This Row],[Critical Facilities Raw]]/$R$2)*100</f>
        <v>0</v>
      </c>
      <c r="T2032" s="180">
        <f>FME_Ranking1[[#This Row],[Critical Facilities Score (Normalized, Unweighted)]]*$R$3</f>
        <v>0</v>
      </c>
      <c r="U2032">
        <f>_xlfn.XLOOKUP(FME_Ranking1[[#This Row],[FME ID]],FME_Input[FME_ID],FME_Input[LWC])</f>
        <v>0</v>
      </c>
      <c r="V2032" s="178">
        <f>(FME_Ranking1[[#This Row],[LWC Raw]]/$U$2)*100</f>
        <v>0</v>
      </c>
      <c r="W2032" s="178">
        <f>FME_Ranking1[[#This Row],[LWC Score (Normalized, Unweighted)]]*$U$3</f>
        <v>0</v>
      </c>
      <c r="X2032" s="246">
        <f>_xlfn.XLOOKUP(FME_Ranking1[[#This Row],[FME ID]],FME_Input[FME_ID],FME_Input[ROADCLS])</f>
        <v>1</v>
      </c>
      <c r="Y2032" s="230">
        <f>(FME_Ranking1[[#This Row],[Closures Raw]]/$X$2)*100</f>
        <v>1.0514141520344864E-2</v>
      </c>
      <c r="Z2032" s="180">
        <f>FME_Ranking1[[#This Row],[Closures Score (Normalized, Unweighted)]]*$X$3</f>
        <v>5.2570707601724321E-4</v>
      </c>
      <c r="AA2032" s="253">
        <f>_xlfn.XLOOKUP(FME_Ranking1[[#This Row],[FME ID]],FME_Input[FME_ID],FME_Input[ROAD_MILES100])</f>
        <v>7.0000000298023224E-2</v>
      </c>
      <c r="AB2032" s="178">
        <f>(FME_Ranking1[[#This Row],[Miles Raw]]/$AA$2)*100</f>
        <v>9.2037445302435106E-4</v>
      </c>
      <c r="AC2032" s="178">
        <f>FME_Ranking1[[#This Row],[Miles Score (Normalized, Unweighted)]]*$AA$3</f>
        <v>9.2037445302435117E-5</v>
      </c>
      <c r="AD2032" s="255">
        <f>_xlfn.XLOOKUP(FME_Ranking1[[#This Row],[FME ID]],FME_Input[FME_ID],FME_Input[FARMACRE100])</f>
        <v>0.16335199773311609</v>
      </c>
      <c r="AE2032" s="230">
        <f>(FME_Ranking1[[#This Row],[Ag Land Raw]]/$AD$2)*100</f>
        <v>6.7359051406931768E-6</v>
      </c>
      <c r="AF2032" s="231">
        <f>FME_Ranking1[[#This Row],[Ag Land Score (Normalized, Unweighted)]]*$AD$3</f>
        <v>3.3679525703465884E-7</v>
      </c>
      <c r="AG203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6.1808131657671301E-4</v>
      </c>
      <c r="AH2032" s="406">
        <f t="shared" si="31"/>
        <v>2066</v>
      </c>
      <c r="AI203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6.1808131657671301E-4</v>
      </c>
      <c r="AJ2032" s="257">
        <f>FME_Ranking1[[#This Row],[Addition check]]-FME_Ranking1[[#This Row],[Weighted Score Based on Normalized Reported Factors]]</f>
        <v>0</v>
      </c>
      <c r="AK2032" s="178">
        <f>_xlfn.RANK.EQ(AI2032,$AI$6:$AI$2341,0)+COUNTIF($AI$6:AI2032,AI2032)-1</f>
        <v>2066</v>
      </c>
    </row>
    <row r="2033" spans="1:37" x14ac:dyDescent="0.25">
      <c r="A2033" t="s">
        <v>9850</v>
      </c>
      <c r="B2033">
        <f>_xlfn.XLOOKUP(FME_Ranking1[[#This Row],[FME ID]],FME_Input[FME_ID],FME_Input[RFPG_NUM])</f>
        <v>12</v>
      </c>
      <c r="C2033" t="str">
        <f>_xlfn.XLOOKUP(FME_Ranking1[[#This Row],[FME ID]],FME_Input[FME_ID],FME_Input[FME_NAME])</f>
        <v>Nichols Creek Stabilization</v>
      </c>
      <c r="D2033" t="str">
        <f>_xlfn.XLOOKUP(FME_Ranking1[[#This Row],[FME ID]],FME_Input[FME_ID],FME_Input[DESCR])</f>
        <v>Restoration of Nichols Creek to improve stream function including conveyance of flow and sediment.</v>
      </c>
      <c r="E2033" s="256">
        <f>_xlfn.XLOOKUP(FME_Ranking1[[#This Row],[FME ID]],FME_Input[FME_ID],FME_Input[FME_COST])</f>
        <v>1000000</v>
      </c>
      <c r="F2033" t="str">
        <f>_xlfn.XLOOKUP(FME_Ranking1[[#This Row],[FME ID]],FME_Input[FME_ID],FME_Input[EMER_NEED])</f>
        <v>No</v>
      </c>
      <c r="G2033">
        <f>IF(FME_Ranking!F2033="Yes",100,0)</f>
        <v>0</v>
      </c>
      <c r="H2033">
        <f>FME_Ranking1[[#This Row],[Emergency Need Score (Normalized, Unweighted)]]*$F$3</f>
        <v>0</v>
      </c>
      <c r="I2033" s="246">
        <f>_xlfn.XLOOKUP(FME_Ranking1[[#This Row],[FME ID]],FME_Input[FME_ID],FME_Input[STRUCT_100])</f>
        <v>0</v>
      </c>
      <c r="J2033" s="178">
        <f>(FME_Ranking1[[#This Row],[Structures 100 Raw]]/I$2)*100</f>
        <v>0</v>
      </c>
      <c r="K2033" s="178">
        <f>FME_Ranking1[[#This Row],[Structures 100  Score (Normalized, Unweighted)]]*$I$3</f>
        <v>0</v>
      </c>
      <c r="L2033" s="246">
        <f>_xlfn.XLOOKUP(FME_Ranking1[[#This Row],[FME ID]],FME_Input[FME_ID],FME_Input[RES_STRUCT100])</f>
        <v>0</v>
      </c>
      <c r="M2033" s="230">
        <f>(FME_Ranking1[[#This Row],[Res Structures Raw]]/L$2)*100</f>
        <v>0</v>
      </c>
      <c r="N2033" s="180">
        <f>FME_Ranking1[[#This Row],[Res Structures Score (Normalized, Unweighted)]]*$L$3</f>
        <v>0</v>
      </c>
      <c r="O2033" s="244">
        <f>_xlfn.XLOOKUP(FME_Ranking1[[#This Row],[FME ID]],FME_Input[FME_ID],FME_Input[POP100])</f>
        <v>0</v>
      </c>
      <c r="P2033" s="178">
        <f>(FME_Ranking1[[#This Row],[Pop Raw]]/$O$2)*100</f>
        <v>0</v>
      </c>
      <c r="Q2033" s="178">
        <f>FME_Ranking1[[#This Row],[Pop Score (Normalized, Unweighted)]]*$O$3</f>
        <v>0</v>
      </c>
      <c r="R2033" s="137">
        <f>_xlfn.XLOOKUP(FME_Ranking1[[#This Row],[FME ID]],FME_Input[FME_ID],FME_Input[CRITFAC100])</f>
        <v>0</v>
      </c>
      <c r="S2033" s="230">
        <f>(FME_Ranking1[[#This Row],[Critical Facilities Raw]]/$R$2)*100</f>
        <v>0</v>
      </c>
      <c r="T2033" s="180">
        <f>FME_Ranking1[[#This Row],[Critical Facilities Score (Normalized, Unweighted)]]*$R$3</f>
        <v>0</v>
      </c>
      <c r="U2033">
        <f>_xlfn.XLOOKUP(FME_Ranking1[[#This Row],[FME ID]],FME_Input[FME_ID],FME_Input[LWC])</f>
        <v>0</v>
      </c>
      <c r="V2033" s="178">
        <f>(FME_Ranking1[[#This Row],[LWC Raw]]/$U$2)*100</f>
        <v>0</v>
      </c>
      <c r="W2033" s="178">
        <f>FME_Ranking1[[#This Row],[LWC Score (Normalized, Unweighted)]]*$U$3</f>
        <v>0</v>
      </c>
      <c r="X2033" s="246">
        <f>_xlfn.XLOOKUP(FME_Ranking1[[#This Row],[FME ID]],FME_Input[FME_ID],FME_Input[ROADCLS])</f>
        <v>1</v>
      </c>
      <c r="Y2033" s="230">
        <f>(FME_Ranking1[[#This Row],[Closures Raw]]/$X$2)*100</f>
        <v>1.0514141520344864E-2</v>
      </c>
      <c r="Z2033" s="180">
        <f>FME_Ranking1[[#This Row],[Closures Score (Normalized, Unweighted)]]*$X$3</f>
        <v>5.2570707601724321E-4</v>
      </c>
      <c r="AA2033" s="253">
        <f>_xlfn.XLOOKUP(FME_Ranking1[[#This Row],[FME ID]],FME_Input[FME_ID],FME_Input[ROAD_MILES100])</f>
        <v>9.9999997764825821E-3</v>
      </c>
      <c r="AB2033" s="178">
        <f>(FME_Ranking1[[#This Row],[Miles Raw]]/$AA$2)*100</f>
        <v>1.3148206121912974E-4</v>
      </c>
      <c r="AC2033" s="178">
        <f>FME_Ranking1[[#This Row],[Miles Score (Normalized, Unweighted)]]*$AA$3</f>
        <v>1.3148206121912975E-5</v>
      </c>
      <c r="AD2033" s="255">
        <f>_xlfn.XLOOKUP(FME_Ranking1[[#This Row],[FME ID]],FME_Input[FME_ID],FME_Input[FARMACRE100])</f>
        <v>0.10149999707937241</v>
      </c>
      <c r="AE2033" s="230">
        <f>(FME_Ranking1[[#This Row],[Ag Land Raw]]/$AD$2)*100</f>
        <v>4.1854055144419141E-6</v>
      </c>
      <c r="AF2033" s="231">
        <f>FME_Ranking1[[#This Row],[Ag Land Score (Normalized, Unweighted)]]*$AD$3</f>
        <v>2.0927027572209571E-7</v>
      </c>
      <c r="AG203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5.3906455241487829E-4</v>
      </c>
      <c r="AH2033" s="406">
        <f t="shared" si="31"/>
        <v>2089</v>
      </c>
      <c r="AI203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5.3906455241487829E-4</v>
      </c>
      <c r="AJ2033" s="257">
        <f>FME_Ranking1[[#This Row],[Addition check]]-FME_Ranking1[[#This Row],[Weighted Score Based on Normalized Reported Factors]]</f>
        <v>0</v>
      </c>
      <c r="AK2033" s="178">
        <f>_xlfn.RANK.EQ(AI2033,$AI$6:$AI$2341,0)+COUNTIF($AI$6:AI2033,AI2033)-1</f>
        <v>2089</v>
      </c>
    </row>
    <row r="2034" spans="1:37" x14ac:dyDescent="0.25">
      <c r="A2034" t="s">
        <v>9794</v>
      </c>
      <c r="B2034">
        <f>_xlfn.XLOOKUP(FME_Ranking1[[#This Row],[FME ID]],FME_Input[FME_ID],FME_Input[RFPG_NUM])</f>
        <v>12</v>
      </c>
      <c r="C2034" t="str">
        <f>_xlfn.XLOOKUP(FME_Ranking1[[#This Row],[FME ID]],FME_Input[FME_ID],FME_Input[FME_NAME])</f>
        <v>Garcia Creek Channel Stabilization</v>
      </c>
      <c r="D2034" t="str">
        <f>_xlfn.XLOOKUP(FME_Ranking1[[#This Row],[FME ID]],FME_Input[FME_ID],FME_Input[DESCR])</f>
        <v>Preliminary Engineering to identify stabilization methods and sizing.</v>
      </c>
      <c r="E2034" s="256">
        <f>_xlfn.XLOOKUP(FME_Ranking1[[#This Row],[FME ID]],FME_Input[FME_ID],FME_Input[FME_COST])</f>
        <v>50000</v>
      </c>
      <c r="F2034" t="str">
        <f>_xlfn.XLOOKUP(FME_Ranking1[[#This Row],[FME ID]],FME_Input[FME_ID],FME_Input[EMER_NEED])</f>
        <v>No</v>
      </c>
      <c r="G2034">
        <f>IF(FME_Ranking!F2034="Yes",100,0)</f>
        <v>0</v>
      </c>
      <c r="H2034">
        <f>FME_Ranking1[[#This Row],[Emergency Need Score (Normalized, Unweighted)]]*$F$3</f>
        <v>0</v>
      </c>
      <c r="I2034" s="246">
        <f>_xlfn.XLOOKUP(FME_Ranking1[[#This Row],[FME ID]],FME_Input[FME_ID],FME_Input[STRUCT_100])</f>
        <v>0</v>
      </c>
      <c r="J2034" s="178">
        <f>(FME_Ranking1[[#This Row],[Structures 100 Raw]]/I$2)*100</f>
        <v>0</v>
      </c>
      <c r="K2034" s="178">
        <f>FME_Ranking1[[#This Row],[Structures 100  Score (Normalized, Unweighted)]]*$I$3</f>
        <v>0</v>
      </c>
      <c r="L2034" s="246">
        <f>_xlfn.XLOOKUP(FME_Ranking1[[#This Row],[FME ID]],FME_Input[FME_ID],FME_Input[RES_STRUCT100])</f>
        <v>0</v>
      </c>
      <c r="M2034" s="230">
        <f>(FME_Ranking1[[#This Row],[Res Structures Raw]]/L$2)*100</f>
        <v>0</v>
      </c>
      <c r="N2034" s="180">
        <f>FME_Ranking1[[#This Row],[Res Structures Score (Normalized, Unweighted)]]*$L$3</f>
        <v>0</v>
      </c>
      <c r="O2034" s="244">
        <f>_xlfn.XLOOKUP(FME_Ranking1[[#This Row],[FME ID]],FME_Input[FME_ID],FME_Input[POP100])</f>
        <v>0</v>
      </c>
      <c r="P2034" s="178">
        <f>(FME_Ranking1[[#This Row],[Pop Raw]]/$O$2)*100</f>
        <v>0</v>
      </c>
      <c r="Q2034" s="178">
        <f>FME_Ranking1[[#This Row],[Pop Score (Normalized, Unweighted)]]*$O$3</f>
        <v>0</v>
      </c>
      <c r="R2034" s="137">
        <f>_xlfn.XLOOKUP(FME_Ranking1[[#This Row],[FME ID]],FME_Input[FME_ID],FME_Input[CRITFAC100])</f>
        <v>0</v>
      </c>
      <c r="S2034" s="230">
        <f>(FME_Ranking1[[#This Row],[Critical Facilities Raw]]/$R$2)*100</f>
        <v>0</v>
      </c>
      <c r="T2034" s="180">
        <f>FME_Ranking1[[#This Row],[Critical Facilities Score (Normalized, Unweighted)]]*$R$3</f>
        <v>0</v>
      </c>
      <c r="U2034">
        <f>_xlfn.XLOOKUP(FME_Ranking1[[#This Row],[FME ID]],FME_Input[FME_ID],FME_Input[LWC])</f>
        <v>0</v>
      </c>
      <c r="V2034" s="178">
        <f>(FME_Ranking1[[#This Row],[LWC Raw]]/$U$2)*100</f>
        <v>0</v>
      </c>
      <c r="W2034" s="178">
        <f>FME_Ranking1[[#This Row],[LWC Score (Normalized, Unweighted)]]*$U$3</f>
        <v>0</v>
      </c>
      <c r="X2034" s="246">
        <f>_xlfn.XLOOKUP(FME_Ranking1[[#This Row],[FME ID]],FME_Input[FME_ID],FME_Input[ROADCLS])</f>
        <v>1</v>
      </c>
      <c r="Y2034" s="230">
        <f>(FME_Ranking1[[#This Row],[Closures Raw]]/$X$2)*100</f>
        <v>1.0514141520344864E-2</v>
      </c>
      <c r="Z2034" s="180">
        <f>FME_Ranking1[[#This Row],[Closures Score (Normalized, Unweighted)]]*$X$3</f>
        <v>5.2570707601724321E-4</v>
      </c>
      <c r="AA2034" s="253">
        <f>_xlfn.XLOOKUP(FME_Ranking1[[#This Row],[FME ID]],FME_Input[FME_ID],FME_Input[ROAD_MILES100])</f>
        <v>5.9999998658895493E-2</v>
      </c>
      <c r="AB2034" s="178">
        <f>(FME_Ranking1[[#This Row],[Miles Raw]]/$AA$2)*100</f>
        <v>7.8889236731477844E-4</v>
      </c>
      <c r="AC2034" s="178">
        <f>FME_Ranking1[[#This Row],[Miles Score (Normalized, Unweighted)]]*$AA$3</f>
        <v>7.8889236731477855E-5</v>
      </c>
      <c r="AD2034" s="255">
        <f>_xlfn.XLOOKUP(FME_Ranking1[[#This Row],[FME ID]],FME_Input[FME_ID],FME_Input[FARMACRE100])</f>
        <v>9.2391997575759888E-2</v>
      </c>
      <c r="AE2034" s="230">
        <f>(FME_Ranking1[[#This Row],[Ag Land Raw]]/$AD$2)*100</f>
        <v>3.8098323869063145E-6</v>
      </c>
      <c r="AF2034" s="231">
        <f>FME_Ranking1[[#This Row],[Ag Land Score (Normalized, Unweighted)]]*$AD$3</f>
        <v>1.9049161934531575E-7</v>
      </c>
      <c r="AG203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6.0478680436806636E-4</v>
      </c>
      <c r="AH2034" s="406">
        <f t="shared" si="31"/>
        <v>2070</v>
      </c>
      <c r="AI203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6.0478680436806636E-4</v>
      </c>
      <c r="AJ2034" s="257">
        <f>FME_Ranking1[[#This Row],[Addition check]]-FME_Ranking1[[#This Row],[Weighted Score Based on Normalized Reported Factors]]</f>
        <v>0</v>
      </c>
      <c r="AK2034" s="178">
        <f>_xlfn.RANK.EQ(AI2034,$AI$6:$AI$2341,0)+COUNTIF($AI$6:AI2034,AI2034)-1</f>
        <v>2070</v>
      </c>
    </row>
    <row r="2035" spans="1:37" x14ac:dyDescent="0.25">
      <c r="A2035" t="s">
        <v>10410</v>
      </c>
      <c r="B2035">
        <f>_xlfn.XLOOKUP(FME_Ranking1[[#This Row],[FME ID]],FME_Input[FME_ID],FME_Input[RFPG_NUM])</f>
        <v>13</v>
      </c>
      <c r="C2035" t="str">
        <f>_xlfn.XLOOKUP(FME_Ranking1[[#This Row],[FME ID]],FME_Input[FME_ID],FME_Input[FME_NAME])</f>
        <v>Club Lake Drainage Channel</v>
      </c>
      <c r="D2035" t="str">
        <f>_xlfn.XLOOKUP(FME_Ranking1[[#This Row],[FME ID]],FME_Input[FME_ID],FME_Input[DESCR])</f>
        <v>Construct drainage channel from Club Lake to FM 1069. Most easements have been acquired; still negotiating with one property owner and condemnation likely required for another property</v>
      </c>
      <c r="E2035" s="256">
        <f>_xlfn.XLOOKUP(FME_Ranking1[[#This Row],[FME ID]],FME_Input[FME_ID],FME_Input[FME_COST])</f>
        <v>300000</v>
      </c>
      <c r="F2035" t="str">
        <f>_xlfn.XLOOKUP(FME_Ranking1[[#This Row],[FME ID]],FME_Input[FME_ID],FME_Input[EMER_NEED])</f>
        <v>Yes</v>
      </c>
      <c r="G2035">
        <f>IF(FME_Ranking!F2035="Yes",100,0)</f>
        <v>100</v>
      </c>
      <c r="H2035">
        <f>FME_Ranking1[[#This Row],[Emergency Need Score (Normalized, Unweighted)]]*$F$3</f>
        <v>0</v>
      </c>
      <c r="I2035" s="246">
        <f>_xlfn.XLOOKUP(FME_Ranking1[[#This Row],[FME ID]],FME_Input[FME_ID],FME_Input[STRUCT_100])</f>
        <v>0</v>
      </c>
      <c r="J2035" s="178">
        <f>(FME_Ranking1[[#This Row],[Structures 100 Raw]]/I$2)*100</f>
        <v>0</v>
      </c>
      <c r="K2035" s="178">
        <f>FME_Ranking1[[#This Row],[Structures 100  Score (Normalized, Unweighted)]]*$I$3</f>
        <v>0</v>
      </c>
      <c r="L2035" s="246">
        <f>_xlfn.XLOOKUP(FME_Ranking1[[#This Row],[FME ID]],FME_Input[FME_ID],FME_Input[RES_STRUCT100])</f>
        <v>0</v>
      </c>
      <c r="M2035" s="230">
        <f>(FME_Ranking1[[#This Row],[Res Structures Raw]]/L$2)*100</f>
        <v>0</v>
      </c>
      <c r="N2035" s="180">
        <f>FME_Ranking1[[#This Row],[Res Structures Score (Normalized, Unweighted)]]*$L$3</f>
        <v>0</v>
      </c>
      <c r="O2035" s="244">
        <f>_xlfn.XLOOKUP(FME_Ranking1[[#This Row],[FME ID]],FME_Input[FME_ID],FME_Input[POP100])</f>
        <v>0</v>
      </c>
      <c r="P2035" s="178">
        <f>(FME_Ranking1[[#This Row],[Pop Raw]]/$O$2)*100</f>
        <v>0</v>
      </c>
      <c r="Q2035" s="178">
        <f>FME_Ranking1[[#This Row],[Pop Score (Normalized, Unweighted)]]*$O$3</f>
        <v>0</v>
      </c>
      <c r="R2035" s="137">
        <f>_xlfn.XLOOKUP(FME_Ranking1[[#This Row],[FME ID]],FME_Input[FME_ID],FME_Input[CRITFAC100])</f>
        <v>0</v>
      </c>
      <c r="S2035" s="230">
        <f>(FME_Ranking1[[#This Row],[Critical Facilities Raw]]/$R$2)*100</f>
        <v>0</v>
      </c>
      <c r="T2035" s="180">
        <f>FME_Ranking1[[#This Row],[Critical Facilities Score (Normalized, Unweighted)]]*$R$3</f>
        <v>0</v>
      </c>
      <c r="U2035">
        <f>_xlfn.XLOOKUP(FME_Ranking1[[#This Row],[FME ID]],FME_Input[FME_ID],FME_Input[LWC])</f>
        <v>0</v>
      </c>
      <c r="V2035" s="178">
        <f>(FME_Ranking1[[#This Row],[LWC Raw]]/$U$2)*100</f>
        <v>0</v>
      </c>
      <c r="W2035" s="178">
        <f>FME_Ranking1[[#This Row],[LWC Score (Normalized, Unweighted)]]*$U$3</f>
        <v>0</v>
      </c>
      <c r="X2035" s="246">
        <f>_xlfn.XLOOKUP(FME_Ranking1[[#This Row],[FME ID]],FME_Input[FME_ID],FME_Input[ROADCLS])</f>
        <v>1</v>
      </c>
      <c r="Y2035" s="230">
        <f>(FME_Ranking1[[#This Row],[Closures Raw]]/$X$2)*100</f>
        <v>1.0514141520344864E-2</v>
      </c>
      <c r="Z2035" s="180">
        <f>FME_Ranking1[[#This Row],[Closures Score (Normalized, Unweighted)]]*$X$3</f>
        <v>5.2570707601724321E-4</v>
      </c>
      <c r="AA2035" s="253">
        <f>_xlfn.XLOOKUP(FME_Ranking1[[#This Row],[FME ID]],FME_Input[FME_ID],FME_Input[ROAD_MILES100])</f>
        <v>4.9897907301783562E-3</v>
      </c>
      <c r="AB2035" s="178">
        <f>(FME_Ranking1[[#This Row],[Miles Raw]]/$AA$2)*100</f>
        <v>6.5606798492021887E-5</v>
      </c>
      <c r="AC2035" s="178">
        <f>FME_Ranking1[[#This Row],[Miles Score (Normalized, Unweighted)]]*$AA$3</f>
        <v>6.5606798492021891E-6</v>
      </c>
      <c r="AD2035" s="255">
        <f>_xlfn.XLOOKUP(FME_Ranking1[[#This Row],[FME ID]],FME_Input[FME_ID],FME_Input[FARMACRE100])</f>
        <v>8.9495845139026642E-2</v>
      </c>
      <c r="AE2035" s="230">
        <f>(FME_Ranking1[[#This Row],[Ag Land Raw]]/$AD$2)*100</f>
        <v>3.6904080250525038E-6</v>
      </c>
      <c r="AF2035" s="231">
        <f>FME_Ranking1[[#This Row],[Ag Land Score (Normalized, Unweighted)]]*$AD$3</f>
        <v>1.8452040125262521E-7</v>
      </c>
      <c r="AG203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5.3245227626769805E-4</v>
      </c>
      <c r="AH2035" s="406">
        <f t="shared" si="31"/>
        <v>2094</v>
      </c>
      <c r="AI203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5.3245227626769805E-4</v>
      </c>
      <c r="AJ2035" s="257">
        <f>FME_Ranking1[[#This Row],[Addition check]]-FME_Ranking1[[#This Row],[Weighted Score Based on Normalized Reported Factors]]</f>
        <v>0</v>
      </c>
      <c r="AK2035" s="178">
        <f>_xlfn.RANK.EQ(AI2035,$AI$6:$AI$2341,0)+COUNTIF($AI$6:AI2035,AI2035)-1</f>
        <v>2094</v>
      </c>
    </row>
    <row r="2036" spans="1:37" x14ac:dyDescent="0.25">
      <c r="A2036" t="s">
        <v>10243</v>
      </c>
      <c r="B2036">
        <f>_xlfn.XLOOKUP(FME_Ranking1[[#This Row],[FME ID]],FME_Input[FME_ID],FME_Input[RFPG_NUM])</f>
        <v>13</v>
      </c>
      <c r="C2036" t="str">
        <f>_xlfn.XLOOKUP(FME_Ranking1[[#This Row],[FME ID]],FME_Input[FME_ID],FME_Input[FME_NAME])</f>
        <v>William's Drive Drainage Improvements Phase 2 - Lexington to Ennis Joslin</v>
      </c>
      <c r="D2036" t="str">
        <f>_xlfn.XLOOKUP(FME_Ranking1[[#This Row],[FME ID]],FME_Input[FME_ID],FME_Input[DESCR])</f>
        <v>Study to determine appropriate alternatives to increase capacity of existing William's Ditch from Lexington Road to Ennis Joslin Road.</v>
      </c>
      <c r="E2036" s="256">
        <f>_xlfn.XLOOKUP(FME_Ranking1[[#This Row],[FME ID]],FME_Input[FME_ID],FME_Input[FME_COST])</f>
        <v>138000</v>
      </c>
      <c r="F2036" t="str">
        <f>_xlfn.XLOOKUP(FME_Ranking1[[#This Row],[FME ID]],FME_Input[FME_ID],FME_Input[EMER_NEED])</f>
        <v>Yes</v>
      </c>
      <c r="G2036">
        <f>IF(FME_Ranking!F2036="Yes",100,0)</f>
        <v>100</v>
      </c>
      <c r="H2036">
        <f>FME_Ranking1[[#This Row],[Emergency Need Score (Normalized, Unweighted)]]*$F$3</f>
        <v>0</v>
      </c>
      <c r="I2036" s="246">
        <f>_xlfn.XLOOKUP(FME_Ranking1[[#This Row],[FME ID]],FME_Input[FME_ID],FME_Input[STRUCT_100])</f>
        <v>0</v>
      </c>
      <c r="J2036" s="178">
        <f>(FME_Ranking1[[#This Row],[Structures 100 Raw]]/I$2)*100</f>
        <v>0</v>
      </c>
      <c r="K2036" s="178">
        <f>FME_Ranking1[[#This Row],[Structures 100  Score (Normalized, Unweighted)]]*$I$3</f>
        <v>0</v>
      </c>
      <c r="L2036" s="246">
        <f>_xlfn.XLOOKUP(FME_Ranking1[[#This Row],[FME ID]],FME_Input[FME_ID],FME_Input[RES_STRUCT100])</f>
        <v>0</v>
      </c>
      <c r="M2036" s="230">
        <f>(FME_Ranking1[[#This Row],[Res Structures Raw]]/L$2)*100</f>
        <v>0</v>
      </c>
      <c r="N2036" s="180">
        <f>FME_Ranking1[[#This Row],[Res Structures Score (Normalized, Unweighted)]]*$L$3</f>
        <v>0</v>
      </c>
      <c r="O2036" s="244">
        <f>_xlfn.XLOOKUP(FME_Ranking1[[#This Row],[FME ID]],FME_Input[FME_ID],FME_Input[POP100])</f>
        <v>0</v>
      </c>
      <c r="P2036" s="178">
        <f>(FME_Ranking1[[#This Row],[Pop Raw]]/$O$2)*100</f>
        <v>0</v>
      </c>
      <c r="Q2036" s="178">
        <f>FME_Ranking1[[#This Row],[Pop Score (Normalized, Unweighted)]]*$O$3</f>
        <v>0</v>
      </c>
      <c r="R2036" s="137">
        <f>_xlfn.XLOOKUP(FME_Ranking1[[#This Row],[FME ID]],FME_Input[FME_ID],FME_Input[CRITFAC100])</f>
        <v>0</v>
      </c>
      <c r="S2036" s="230">
        <f>(FME_Ranking1[[#This Row],[Critical Facilities Raw]]/$R$2)*100</f>
        <v>0</v>
      </c>
      <c r="T2036" s="180">
        <f>FME_Ranking1[[#This Row],[Critical Facilities Score (Normalized, Unweighted)]]*$R$3</f>
        <v>0</v>
      </c>
      <c r="U2036">
        <f>_xlfn.XLOOKUP(FME_Ranking1[[#This Row],[FME ID]],FME_Input[FME_ID],FME_Input[LWC])</f>
        <v>0</v>
      </c>
      <c r="V2036" s="178">
        <f>(FME_Ranking1[[#This Row],[LWC Raw]]/$U$2)*100</f>
        <v>0</v>
      </c>
      <c r="W2036" s="178">
        <f>FME_Ranking1[[#This Row],[LWC Score (Normalized, Unweighted)]]*$U$3</f>
        <v>0</v>
      </c>
      <c r="X2036" s="246">
        <f>_xlfn.XLOOKUP(FME_Ranking1[[#This Row],[FME ID]],FME_Input[FME_ID],FME_Input[ROADCLS])</f>
        <v>1</v>
      </c>
      <c r="Y2036" s="230">
        <f>(FME_Ranking1[[#This Row],[Closures Raw]]/$X$2)*100</f>
        <v>1.0514141520344864E-2</v>
      </c>
      <c r="Z2036" s="180">
        <f>FME_Ranking1[[#This Row],[Closures Score (Normalized, Unweighted)]]*$X$3</f>
        <v>5.2570707601724321E-4</v>
      </c>
      <c r="AA2036" s="253">
        <f>_xlfn.XLOOKUP(FME_Ranking1[[#This Row],[FME ID]],FME_Input[FME_ID],FME_Input[ROAD_MILES100])</f>
        <v>7.5747394002974033E-3</v>
      </c>
      <c r="AB2036" s="178">
        <f>(FME_Ranking1[[#This Row],[Miles Raw]]/$AA$2)*100</f>
        <v>9.9594237180990406E-5</v>
      </c>
      <c r="AC2036" s="178">
        <f>FME_Ranking1[[#This Row],[Miles Score (Normalized, Unweighted)]]*$AA$3</f>
        <v>9.9594237180990416E-6</v>
      </c>
      <c r="AD2036" s="255">
        <f>_xlfn.XLOOKUP(FME_Ranking1[[#This Row],[FME ID]],FME_Input[FME_ID],FME_Input[FARMACRE100])</f>
        <v>4.5623686164617538E-2</v>
      </c>
      <c r="AE2036" s="230">
        <f>(FME_Ranking1[[#This Row],[Ag Land Raw]]/$AD$2)*100</f>
        <v>1.8813165828293853E-6</v>
      </c>
      <c r="AF2036" s="231">
        <f>FME_Ranking1[[#This Row],[Ag Land Score (Normalized, Unweighted)]]*$AD$3</f>
        <v>9.4065829141469277E-8</v>
      </c>
      <c r="AG203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5.3576056556448373E-4</v>
      </c>
      <c r="AH2036" s="406">
        <f t="shared" si="31"/>
        <v>2092</v>
      </c>
      <c r="AI203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5.3576056556448373E-4</v>
      </c>
      <c r="AJ2036" s="257">
        <f>FME_Ranking1[[#This Row],[Addition check]]-FME_Ranking1[[#This Row],[Weighted Score Based on Normalized Reported Factors]]</f>
        <v>0</v>
      </c>
      <c r="AK2036" s="178">
        <f>_xlfn.RANK.EQ(AI2036,$AI$6:$AI$2341,0)+COUNTIF($AI$6:AI2036,AI2036)-1</f>
        <v>2092</v>
      </c>
    </row>
    <row r="2037" spans="1:37" x14ac:dyDescent="0.25">
      <c r="A2037" t="s">
        <v>10252</v>
      </c>
      <c r="B2037">
        <f>_xlfn.XLOOKUP(FME_Ranking1[[#This Row],[FME ID]],FME_Input[FME_ID],FME_Input[RFPG_NUM])</f>
        <v>13</v>
      </c>
      <c r="C2037" t="str">
        <f>_xlfn.XLOOKUP(FME_Ranking1[[#This Row],[FME ID]],FME_Input[FME_ID],FME_Input[FME_NAME])</f>
        <v>William's Drive Drainage Improvements Phase 3 - Rodd Field to Lexington</v>
      </c>
      <c r="D2037" t="str">
        <f>_xlfn.XLOOKUP(FME_Ranking1[[#This Row],[FME ID]],FME_Input[FME_ID],FME_Input[DESCR])</f>
        <v>Study to determine appropriate alternatives to increase capacity of existing William's Ditch from Rodd Field Road to Lexington Road, as well as to acquire Right of Way (ROW) at William's Drive to implement these drainage improvements.</v>
      </c>
      <c r="E2037" s="256">
        <f>_xlfn.XLOOKUP(FME_Ranking1[[#This Row],[FME ID]],FME_Input[FME_ID],FME_Input[FME_COST])</f>
        <v>293000</v>
      </c>
      <c r="F2037" t="str">
        <f>_xlfn.XLOOKUP(FME_Ranking1[[#This Row],[FME ID]],FME_Input[FME_ID],FME_Input[EMER_NEED])</f>
        <v>Yes</v>
      </c>
      <c r="G2037">
        <f>IF(FME_Ranking!F2037="Yes",100,0)</f>
        <v>100</v>
      </c>
      <c r="H2037">
        <f>FME_Ranking1[[#This Row],[Emergency Need Score (Normalized, Unweighted)]]*$F$3</f>
        <v>0</v>
      </c>
      <c r="I2037" s="246">
        <f>_xlfn.XLOOKUP(FME_Ranking1[[#This Row],[FME ID]],FME_Input[FME_ID],FME_Input[STRUCT_100])</f>
        <v>0</v>
      </c>
      <c r="J2037" s="178">
        <f>(FME_Ranking1[[#This Row],[Structures 100 Raw]]/I$2)*100</f>
        <v>0</v>
      </c>
      <c r="K2037" s="178">
        <f>FME_Ranking1[[#This Row],[Structures 100  Score (Normalized, Unweighted)]]*$I$3</f>
        <v>0</v>
      </c>
      <c r="L2037" s="246">
        <f>_xlfn.XLOOKUP(FME_Ranking1[[#This Row],[FME ID]],FME_Input[FME_ID],FME_Input[RES_STRUCT100])</f>
        <v>0</v>
      </c>
      <c r="M2037" s="230">
        <f>(FME_Ranking1[[#This Row],[Res Structures Raw]]/L$2)*100</f>
        <v>0</v>
      </c>
      <c r="N2037" s="180">
        <f>FME_Ranking1[[#This Row],[Res Structures Score (Normalized, Unweighted)]]*$L$3</f>
        <v>0</v>
      </c>
      <c r="O2037" s="244">
        <f>_xlfn.XLOOKUP(FME_Ranking1[[#This Row],[FME ID]],FME_Input[FME_ID],FME_Input[POP100])</f>
        <v>0</v>
      </c>
      <c r="P2037" s="178">
        <f>(FME_Ranking1[[#This Row],[Pop Raw]]/$O$2)*100</f>
        <v>0</v>
      </c>
      <c r="Q2037" s="178">
        <f>FME_Ranking1[[#This Row],[Pop Score (Normalized, Unweighted)]]*$O$3</f>
        <v>0</v>
      </c>
      <c r="R2037" s="137">
        <f>_xlfn.XLOOKUP(FME_Ranking1[[#This Row],[FME ID]],FME_Input[FME_ID],FME_Input[CRITFAC100])</f>
        <v>0</v>
      </c>
      <c r="S2037" s="230">
        <f>(FME_Ranking1[[#This Row],[Critical Facilities Raw]]/$R$2)*100</f>
        <v>0</v>
      </c>
      <c r="T2037" s="180">
        <f>FME_Ranking1[[#This Row],[Critical Facilities Score (Normalized, Unweighted)]]*$R$3</f>
        <v>0</v>
      </c>
      <c r="U2037">
        <f>_xlfn.XLOOKUP(FME_Ranking1[[#This Row],[FME ID]],FME_Input[FME_ID],FME_Input[LWC])</f>
        <v>0</v>
      </c>
      <c r="V2037" s="178">
        <f>(FME_Ranking1[[#This Row],[LWC Raw]]/$U$2)*100</f>
        <v>0</v>
      </c>
      <c r="W2037" s="178">
        <f>FME_Ranking1[[#This Row],[LWC Score (Normalized, Unweighted)]]*$U$3</f>
        <v>0</v>
      </c>
      <c r="X2037" s="246">
        <f>_xlfn.XLOOKUP(FME_Ranking1[[#This Row],[FME ID]],FME_Input[FME_ID],FME_Input[ROADCLS])</f>
        <v>1</v>
      </c>
      <c r="Y2037" s="230">
        <f>(FME_Ranking1[[#This Row],[Closures Raw]]/$X$2)*100</f>
        <v>1.0514141520344864E-2</v>
      </c>
      <c r="Z2037" s="180">
        <f>FME_Ranking1[[#This Row],[Closures Score (Normalized, Unweighted)]]*$X$3</f>
        <v>5.2570707601724321E-4</v>
      </c>
      <c r="AA2037" s="253">
        <f>_xlfn.XLOOKUP(FME_Ranking1[[#This Row],[FME ID]],FME_Input[FME_ID],FME_Input[ROAD_MILES100])</f>
        <v>7.5723878107964993E-3</v>
      </c>
      <c r="AB2037" s="178">
        <f>(FME_Ranking1[[#This Row],[Miles Raw]]/$AA$2)*100</f>
        <v>9.9563317996827284E-5</v>
      </c>
      <c r="AC2037" s="178">
        <f>FME_Ranking1[[#This Row],[Miles Score (Normalized, Unweighted)]]*$AA$3</f>
        <v>9.9563317996827294E-6</v>
      </c>
      <c r="AD2037" s="255">
        <f>_xlfn.XLOOKUP(FME_Ranking1[[#This Row],[FME ID]],FME_Input[FME_ID],FME_Input[FARMACRE100])</f>
        <v>3.3136580139398568E-2</v>
      </c>
      <c r="AE2037" s="230">
        <f>(FME_Ranking1[[#This Row],[Ag Land Raw]]/$AD$2)*100</f>
        <v>1.3664042289255472E-6</v>
      </c>
      <c r="AF2037" s="231">
        <f>FME_Ranking1[[#This Row],[Ag Land Score (Normalized, Unweighted)]]*$AD$3</f>
        <v>6.8320211446277364E-8</v>
      </c>
      <c r="AG203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5.357317280283723E-4</v>
      </c>
      <c r="AH2037" s="406">
        <f t="shared" si="31"/>
        <v>2093</v>
      </c>
      <c r="AI203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5.357317280283723E-4</v>
      </c>
      <c r="AJ2037" s="257">
        <f>FME_Ranking1[[#This Row],[Addition check]]-FME_Ranking1[[#This Row],[Weighted Score Based on Normalized Reported Factors]]</f>
        <v>0</v>
      </c>
      <c r="AK2037" s="178">
        <f>_xlfn.RANK.EQ(AI2037,$AI$6:$AI$2341,0)+COUNTIF($AI$6:AI2037,AI2037)-1</f>
        <v>2093</v>
      </c>
    </row>
    <row r="2038" spans="1:37" x14ac:dyDescent="0.25">
      <c r="A2038" t="s">
        <v>9222</v>
      </c>
      <c r="B2038">
        <f>_xlfn.XLOOKUP(FME_Ranking1[[#This Row],[FME ID]],FME_Input[FME_ID],FME_Input[RFPG_NUM])</f>
        <v>12</v>
      </c>
      <c r="C2038" t="str">
        <f>_xlfn.XLOOKUP(FME_Ranking1[[#This Row],[FME ID]],FME_Input[FME_ID],FME_Input[FME_NAME])</f>
        <v>Karnes County Damage Centers Karnes A</v>
      </c>
      <c r="D2038" t="str">
        <f>_xlfn.XLOOKUP(FME_Ranking1[[#This Row],[FME ID]],FME_Input[FME_ID],FME_Input[DESCR])</f>
        <v>Multiple structures at risk Within San Antonio River at US 181</v>
      </c>
      <c r="E2038" s="256">
        <f>_xlfn.XLOOKUP(FME_Ranking1[[#This Row],[FME ID]],FME_Input[FME_ID],FME_Input[FME_COST])</f>
        <v>4243043</v>
      </c>
      <c r="F2038" t="str">
        <f>_xlfn.XLOOKUP(FME_Ranking1[[#This Row],[FME ID]],FME_Input[FME_ID],FME_Input[EMER_NEED])</f>
        <v>No</v>
      </c>
      <c r="G2038">
        <f>IF(FME_Ranking!F2038="Yes",100,0)</f>
        <v>0</v>
      </c>
      <c r="H2038">
        <f>FME_Ranking1[[#This Row],[Emergency Need Score (Normalized, Unweighted)]]*$F$3</f>
        <v>0</v>
      </c>
      <c r="I2038" s="246">
        <f>_xlfn.XLOOKUP(FME_Ranking1[[#This Row],[FME ID]],FME_Input[FME_ID],FME_Input[STRUCT_100])</f>
        <v>0</v>
      </c>
      <c r="J2038" s="178">
        <f>(FME_Ranking1[[#This Row],[Structures 100 Raw]]/I$2)*100</f>
        <v>0</v>
      </c>
      <c r="K2038" s="178">
        <f>FME_Ranking1[[#This Row],[Structures 100  Score (Normalized, Unweighted)]]*$I$3</f>
        <v>0</v>
      </c>
      <c r="L2038" s="246">
        <f>_xlfn.XLOOKUP(FME_Ranking1[[#This Row],[FME ID]],FME_Input[FME_ID],FME_Input[RES_STRUCT100])</f>
        <v>0</v>
      </c>
      <c r="M2038" s="230">
        <f>(FME_Ranking1[[#This Row],[Res Structures Raw]]/L$2)*100</f>
        <v>0</v>
      </c>
      <c r="N2038" s="180">
        <f>FME_Ranking1[[#This Row],[Res Structures Score (Normalized, Unweighted)]]*$L$3</f>
        <v>0</v>
      </c>
      <c r="O2038" s="244">
        <f>_xlfn.XLOOKUP(FME_Ranking1[[#This Row],[FME ID]],FME_Input[FME_ID],FME_Input[POP100])</f>
        <v>0</v>
      </c>
      <c r="P2038" s="178">
        <f>(FME_Ranking1[[#This Row],[Pop Raw]]/$O$2)*100</f>
        <v>0</v>
      </c>
      <c r="Q2038" s="178">
        <f>FME_Ranking1[[#This Row],[Pop Score (Normalized, Unweighted)]]*$O$3</f>
        <v>0</v>
      </c>
      <c r="R2038" s="137">
        <f>_xlfn.XLOOKUP(FME_Ranking1[[#This Row],[FME ID]],FME_Input[FME_ID],FME_Input[CRITFAC100])</f>
        <v>0</v>
      </c>
      <c r="S2038" s="230">
        <f>(FME_Ranking1[[#This Row],[Critical Facilities Raw]]/$R$2)*100</f>
        <v>0</v>
      </c>
      <c r="T2038" s="180">
        <f>FME_Ranking1[[#This Row],[Critical Facilities Score (Normalized, Unweighted)]]*$R$3</f>
        <v>0</v>
      </c>
      <c r="U2038">
        <f>_xlfn.XLOOKUP(FME_Ranking1[[#This Row],[FME ID]],FME_Input[FME_ID],FME_Input[LWC])</f>
        <v>0</v>
      </c>
      <c r="V2038" s="178">
        <f>(FME_Ranking1[[#This Row],[LWC Raw]]/$U$2)*100</f>
        <v>0</v>
      </c>
      <c r="W2038" s="178">
        <f>FME_Ranking1[[#This Row],[LWC Score (Normalized, Unweighted)]]*$U$3</f>
        <v>0</v>
      </c>
      <c r="X2038" s="246">
        <f>_xlfn.XLOOKUP(FME_Ranking1[[#This Row],[FME ID]],FME_Input[FME_ID],FME_Input[ROADCLS])</f>
        <v>1</v>
      </c>
      <c r="Y2038" s="230">
        <f>(FME_Ranking1[[#This Row],[Closures Raw]]/$X$2)*100</f>
        <v>1.0514141520344864E-2</v>
      </c>
      <c r="Z2038" s="180">
        <f>FME_Ranking1[[#This Row],[Closures Score (Normalized, Unweighted)]]*$X$3</f>
        <v>5.2570707601724321E-4</v>
      </c>
      <c r="AA2038" s="253">
        <f>_xlfn.XLOOKUP(FME_Ranking1[[#This Row],[FME ID]],FME_Input[FME_ID],FME_Input[ROAD_MILES100])</f>
        <v>2.999999932944775E-2</v>
      </c>
      <c r="AB2038" s="178">
        <f>(FME_Ranking1[[#This Row],[Miles Raw]]/$AA$2)*100</f>
        <v>3.9444618365738928E-4</v>
      </c>
      <c r="AC2038" s="178">
        <f>FME_Ranking1[[#This Row],[Miles Score (Normalized, Unweighted)]]*$AA$3</f>
        <v>3.9444618365738928E-5</v>
      </c>
      <c r="AD2038" s="255">
        <f>_xlfn.XLOOKUP(FME_Ranking1[[#This Row],[FME ID]],FME_Input[FME_ID],FME_Input[FARMACRE100])</f>
        <v>0</v>
      </c>
      <c r="AE2038" s="230">
        <f>(FME_Ranking1[[#This Row],[Ag Land Raw]]/$AD$2)*100</f>
        <v>0</v>
      </c>
      <c r="AF2038" s="231">
        <f>FME_Ranking1[[#This Row],[Ag Land Score (Normalized, Unweighted)]]*$AD$3</f>
        <v>0</v>
      </c>
      <c r="AG203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5.6515169438298217E-4</v>
      </c>
      <c r="AH2038" s="406">
        <f t="shared" si="31"/>
        <v>2076</v>
      </c>
      <c r="AI203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5.6515169438298217E-4</v>
      </c>
      <c r="AJ2038" s="257">
        <f>FME_Ranking1[[#This Row],[Addition check]]-FME_Ranking1[[#This Row],[Weighted Score Based on Normalized Reported Factors]]</f>
        <v>0</v>
      </c>
      <c r="AK2038" s="178">
        <f>_xlfn.RANK.EQ(AI2038,$AI$6:$AI$2341,0)+COUNTIF($AI$6:AI2038,AI2038)-1</f>
        <v>2076</v>
      </c>
    </row>
    <row r="2039" spans="1:37" x14ac:dyDescent="0.25">
      <c r="A2039" t="s">
        <v>9240</v>
      </c>
      <c r="B2039">
        <f>_xlfn.XLOOKUP(FME_Ranking1[[#This Row],[FME ID]],FME_Input[FME_ID],FME_Input[RFPG_NUM])</f>
        <v>12</v>
      </c>
      <c r="C2039" t="str">
        <f>_xlfn.XLOOKUP(FME_Ranking1[[#This Row],[FME ID]],FME_Input[FME_ID],FME_Input[FME_NAME])</f>
        <v>Antonio Drive Drainage Improvements</v>
      </c>
      <c r="D2039" t="str">
        <f>_xlfn.XLOOKUP(FME_Ranking1[[#This Row],[FME ID]],FME_Input[FME_ID],FME_Input[DESCR])</f>
        <v>Bridge at Los Reyes Creek and Antonio Dr</v>
      </c>
      <c r="E2039" s="256">
        <f>_xlfn.XLOOKUP(FME_Ranking1[[#This Row],[FME ID]],FME_Input[FME_ID],FME_Input[FME_COST])</f>
        <v>3466811</v>
      </c>
      <c r="F2039" t="str">
        <f>_xlfn.XLOOKUP(FME_Ranking1[[#This Row],[FME ID]],FME_Input[FME_ID],FME_Input[EMER_NEED])</f>
        <v>No</v>
      </c>
      <c r="G2039">
        <f>IF(FME_Ranking!F2039="Yes",100,0)</f>
        <v>0</v>
      </c>
      <c r="H2039">
        <f>FME_Ranking1[[#This Row],[Emergency Need Score (Normalized, Unweighted)]]*$F$3</f>
        <v>0</v>
      </c>
      <c r="I2039" s="246">
        <f>_xlfn.XLOOKUP(FME_Ranking1[[#This Row],[FME ID]],FME_Input[FME_ID],FME_Input[STRUCT_100])</f>
        <v>0</v>
      </c>
      <c r="J2039" s="178">
        <f>(FME_Ranking1[[#This Row],[Structures 100 Raw]]/I$2)*100</f>
        <v>0</v>
      </c>
      <c r="K2039" s="178">
        <f>FME_Ranking1[[#This Row],[Structures 100  Score (Normalized, Unweighted)]]*$I$3</f>
        <v>0</v>
      </c>
      <c r="L2039" s="246">
        <f>_xlfn.XLOOKUP(FME_Ranking1[[#This Row],[FME ID]],FME_Input[FME_ID],FME_Input[RES_STRUCT100])</f>
        <v>0</v>
      </c>
      <c r="M2039" s="230">
        <f>(FME_Ranking1[[#This Row],[Res Structures Raw]]/L$2)*100</f>
        <v>0</v>
      </c>
      <c r="N2039" s="180">
        <f>FME_Ranking1[[#This Row],[Res Structures Score (Normalized, Unweighted)]]*$L$3</f>
        <v>0</v>
      </c>
      <c r="O2039" s="244">
        <f>_xlfn.XLOOKUP(FME_Ranking1[[#This Row],[FME ID]],FME_Input[FME_ID],FME_Input[POP100])</f>
        <v>0</v>
      </c>
      <c r="P2039" s="178">
        <f>(FME_Ranking1[[#This Row],[Pop Raw]]/$O$2)*100</f>
        <v>0</v>
      </c>
      <c r="Q2039" s="178">
        <f>FME_Ranking1[[#This Row],[Pop Score (Normalized, Unweighted)]]*$O$3</f>
        <v>0</v>
      </c>
      <c r="R2039" s="137">
        <f>_xlfn.XLOOKUP(FME_Ranking1[[#This Row],[FME ID]],FME_Input[FME_ID],FME_Input[CRITFAC100])</f>
        <v>0</v>
      </c>
      <c r="S2039" s="230">
        <f>(FME_Ranking1[[#This Row],[Critical Facilities Raw]]/$R$2)*100</f>
        <v>0</v>
      </c>
      <c r="T2039" s="180">
        <f>FME_Ranking1[[#This Row],[Critical Facilities Score (Normalized, Unweighted)]]*$R$3</f>
        <v>0</v>
      </c>
      <c r="U2039">
        <f>_xlfn.XLOOKUP(FME_Ranking1[[#This Row],[FME ID]],FME_Input[FME_ID],FME_Input[LWC])</f>
        <v>0</v>
      </c>
      <c r="V2039" s="178">
        <f>(FME_Ranking1[[#This Row],[LWC Raw]]/$U$2)*100</f>
        <v>0</v>
      </c>
      <c r="W2039" s="178">
        <f>FME_Ranking1[[#This Row],[LWC Score (Normalized, Unweighted)]]*$U$3</f>
        <v>0</v>
      </c>
      <c r="X2039" s="246">
        <f>_xlfn.XLOOKUP(FME_Ranking1[[#This Row],[FME ID]],FME_Input[FME_ID],FME_Input[ROADCLS])</f>
        <v>1</v>
      </c>
      <c r="Y2039" s="230">
        <f>(FME_Ranking1[[#This Row],[Closures Raw]]/$X$2)*100</f>
        <v>1.0514141520344864E-2</v>
      </c>
      <c r="Z2039" s="180">
        <f>FME_Ranking1[[#This Row],[Closures Score (Normalized, Unweighted)]]*$X$3</f>
        <v>5.2570707601724321E-4</v>
      </c>
      <c r="AA2039" s="253">
        <f>_xlfn.XLOOKUP(FME_Ranking1[[#This Row],[FME ID]],FME_Input[FME_ID],FME_Input[ROAD_MILES100])</f>
        <v>2.999999932944775E-2</v>
      </c>
      <c r="AB2039" s="178">
        <f>(FME_Ranking1[[#This Row],[Miles Raw]]/$AA$2)*100</f>
        <v>3.9444618365738928E-4</v>
      </c>
      <c r="AC2039" s="178">
        <f>FME_Ranking1[[#This Row],[Miles Score (Normalized, Unweighted)]]*$AA$3</f>
        <v>3.9444618365738928E-5</v>
      </c>
      <c r="AD2039" s="255">
        <f>_xlfn.XLOOKUP(FME_Ranking1[[#This Row],[FME ID]],FME_Input[FME_ID],FME_Input[FARMACRE100])</f>
        <v>0</v>
      </c>
      <c r="AE2039" s="230">
        <f>(FME_Ranking1[[#This Row],[Ag Land Raw]]/$AD$2)*100</f>
        <v>0</v>
      </c>
      <c r="AF2039" s="231">
        <f>FME_Ranking1[[#This Row],[Ag Land Score (Normalized, Unweighted)]]*$AD$3</f>
        <v>0</v>
      </c>
      <c r="AG203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5.6515169438298217E-4</v>
      </c>
      <c r="AH2039" s="406">
        <f t="shared" si="31"/>
        <v>2076</v>
      </c>
      <c r="AI203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5.6515169438298217E-4</v>
      </c>
      <c r="AJ2039" s="257">
        <f>FME_Ranking1[[#This Row],[Addition check]]-FME_Ranking1[[#This Row],[Weighted Score Based on Normalized Reported Factors]]</f>
        <v>0</v>
      </c>
      <c r="AK2039" s="178">
        <f>_xlfn.RANK.EQ(AI2039,$AI$6:$AI$2341,0)+COUNTIF($AI$6:AI2039,AI2039)-1</f>
        <v>2077</v>
      </c>
    </row>
    <row r="2040" spans="1:37" x14ac:dyDescent="0.25">
      <c r="A2040" t="s">
        <v>9388</v>
      </c>
      <c r="B2040">
        <f>_xlfn.XLOOKUP(FME_Ranking1[[#This Row],[FME ID]],FME_Input[FME_ID],FME_Input[RFPG_NUM])</f>
        <v>12</v>
      </c>
      <c r="C2040" t="str">
        <f>_xlfn.XLOOKUP(FME_Ranking1[[#This Row],[FME ID]],FME_Input[FME_ID],FME_Input[FME_NAME])</f>
        <v>D/O Center A (Old Pearsall road at Medio Creek )</v>
      </c>
      <c r="D2040" t="str">
        <f>_xlfn.XLOOKUP(FME_Ranking1[[#This Row],[FME ID]],FME_Input[FME_ID],FME_Input[DESCR])</f>
        <v>Old Pearsall Rd overtopping at Medio Creek Bridge and backwater conditions created from  RailRoad Bridge DS Old pearsall rd</v>
      </c>
      <c r="E2040" s="256">
        <f>_xlfn.XLOOKUP(FME_Ranking1[[#This Row],[FME ID]],FME_Input[FME_ID],FME_Input[FME_COST])</f>
        <v>20530360</v>
      </c>
      <c r="F2040" t="str">
        <f>_xlfn.XLOOKUP(FME_Ranking1[[#This Row],[FME ID]],FME_Input[FME_ID],FME_Input[EMER_NEED])</f>
        <v>No</v>
      </c>
      <c r="G2040">
        <f>IF(FME_Ranking!F2040="Yes",100,0)</f>
        <v>0</v>
      </c>
      <c r="H2040">
        <f>FME_Ranking1[[#This Row],[Emergency Need Score (Normalized, Unweighted)]]*$F$3</f>
        <v>0</v>
      </c>
      <c r="I2040" s="246">
        <f>_xlfn.XLOOKUP(FME_Ranking1[[#This Row],[FME ID]],FME_Input[FME_ID],FME_Input[STRUCT_100])</f>
        <v>0</v>
      </c>
      <c r="J2040" s="178">
        <f>(FME_Ranking1[[#This Row],[Structures 100 Raw]]/I$2)*100</f>
        <v>0</v>
      </c>
      <c r="K2040" s="178">
        <f>FME_Ranking1[[#This Row],[Structures 100  Score (Normalized, Unweighted)]]*$I$3</f>
        <v>0</v>
      </c>
      <c r="L2040" s="246">
        <f>_xlfn.XLOOKUP(FME_Ranking1[[#This Row],[FME ID]],FME_Input[FME_ID],FME_Input[RES_STRUCT100])</f>
        <v>0</v>
      </c>
      <c r="M2040" s="230">
        <f>(FME_Ranking1[[#This Row],[Res Structures Raw]]/L$2)*100</f>
        <v>0</v>
      </c>
      <c r="N2040" s="180">
        <f>FME_Ranking1[[#This Row],[Res Structures Score (Normalized, Unweighted)]]*$L$3</f>
        <v>0</v>
      </c>
      <c r="O2040" s="244">
        <f>_xlfn.XLOOKUP(FME_Ranking1[[#This Row],[FME ID]],FME_Input[FME_ID],FME_Input[POP100])</f>
        <v>0</v>
      </c>
      <c r="P2040" s="178">
        <f>(FME_Ranking1[[#This Row],[Pop Raw]]/$O$2)*100</f>
        <v>0</v>
      </c>
      <c r="Q2040" s="178">
        <f>FME_Ranking1[[#This Row],[Pop Score (Normalized, Unweighted)]]*$O$3</f>
        <v>0</v>
      </c>
      <c r="R2040" s="137">
        <f>_xlfn.XLOOKUP(FME_Ranking1[[#This Row],[FME ID]],FME_Input[FME_ID],FME_Input[CRITFAC100])</f>
        <v>0</v>
      </c>
      <c r="S2040" s="230">
        <f>(FME_Ranking1[[#This Row],[Critical Facilities Raw]]/$R$2)*100</f>
        <v>0</v>
      </c>
      <c r="T2040" s="180">
        <f>FME_Ranking1[[#This Row],[Critical Facilities Score (Normalized, Unweighted)]]*$R$3</f>
        <v>0</v>
      </c>
      <c r="U2040">
        <f>_xlfn.XLOOKUP(FME_Ranking1[[#This Row],[FME ID]],FME_Input[FME_ID],FME_Input[LWC])</f>
        <v>0</v>
      </c>
      <c r="V2040" s="178">
        <f>(FME_Ranking1[[#This Row],[LWC Raw]]/$U$2)*100</f>
        <v>0</v>
      </c>
      <c r="W2040" s="178">
        <f>FME_Ranking1[[#This Row],[LWC Score (Normalized, Unweighted)]]*$U$3</f>
        <v>0</v>
      </c>
      <c r="X2040" s="246">
        <f>_xlfn.XLOOKUP(FME_Ranking1[[#This Row],[FME ID]],FME_Input[FME_ID],FME_Input[ROADCLS])</f>
        <v>1</v>
      </c>
      <c r="Y2040" s="230">
        <f>(FME_Ranking1[[#This Row],[Closures Raw]]/$X$2)*100</f>
        <v>1.0514141520344864E-2</v>
      </c>
      <c r="Z2040" s="180">
        <f>FME_Ranking1[[#This Row],[Closures Score (Normalized, Unweighted)]]*$X$3</f>
        <v>5.2570707601724321E-4</v>
      </c>
      <c r="AA2040" s="253">
        <f>_xlfn.XLOOKUP(FME_Ranking1[[#This Row],[FME ID]],FME_Input[FME_ID],FME_Input[ROAD_MILES100])</f>
        <v>0.10999999940395359</v>
      </c>
      <c r="AB2040" s="178">
        <f>(FME_Ranking1[[#This Row],[Miles Raw]]/$AA$2)*100</f>
        <v>1.4463026979008706E-3</v>
      </c>
      <c r="AC2040" s="178">
        <f>FME_Ranking1[[#This Row],[Miles Score (Normalized, Unweighted)]]*$AA$3</f>
        <v>1.4463026979008706E-4</v>
      </c>
      <c r="AD2040" s="255">
        <f>_xlfn.XLOOKUP(FME_Ranking1[[#This Row],[FME ID]],FME_Input[FME_ID],FME_Input[FARMACRE100])</f>
        <v>0</v>
      </c>
      <c r="AE2040" s="230">
        <f>(FME_Ranking1[[#This Row],[Ag Land Raw]]/$AD$2)*100</f>
        <v>0</v>
      </c>
      <c r="AF2040" s="231">
        <f>FME_Ranking1[[#This Row],[Ag Land Score (Normalized, Unweighted)]]*$AD$3</f>
        <v>0</v>
      </c>
      <c r="AG204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6.7033734580733027E-4</v>
      </c>
      <c r="AH2040" s="406">
        <f t="shared" si="31"/>
        <v>2062</v>
      </c>
      <c r="AI204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6.7033734580733027E-4</v>
      </c>
      <c r="AJ2040" s="257">
        <f>FME_Ranking1[[#This Row],[Addition check]]-FME_Ranking1[[#This Row],[Weighted Score Based on Normalized Reported Factors]]</f>
        <v>0</v>
      </c>
      <c r="AK2040" s="178">
        <f>_xlfn.RANK.EQ(AI2040,$AI$6:$AI$2341,0)+COUNTIF($AI$6:AI2040,AI2040)-1</f>
        <v>2062</v>
      </c>
    </row>
    <row r="2041" spans="1:37" x14ac:dyDescent="0.25">
      <c r="A2041" t="s">
        <v>9393</v>
      </c>
      <c r="B2041">
        <f>_xlfn.XLOOKUP(FME_Ranking1[[#This Row],[FME ID]],FME_Input[FME_ID],FME_Input[RFPG_NUM])</f>
        <v>12</v>
      </c>
      <c r="C2041" t="str">
        <f>_xlfn.XLOOKUP(FME_Ranking1[[#This Row],[FME ID]],FME_Input[FME_ID],FME_Input[FME_NAME])</f>
        <v>Damage Center 1 Project2A – Improved crossing at U.S. Highway 181</v>
      </c>
      <c r="D2041" t="str">
        <f>_xlfn.XLOOKUP(FME_Ranking1[[#This Row],[FME ID]],FME_Input[FME_ID],FME_Input[DESCR])</f>
        <v>Creek crossing improvements on HWY 181. Ponding upstream to an elevation that inundates adjacent homes.</v>
      </c>
      <c r="E2041" s="256">
        <f>_xlfn.XLOOKUP(FME_Ranking1[[#This Row],[FME ID]],FME_Input[FME_ID],FME_Input[FME_COST])</f>
        <v>1928035</v>
      </c>
      <c r="F2041" t="str">
        <f>_xlfn.XLOOKUP(FME_Ranking1[[#This Row],[FME ID]],FME_Input[FME_ID],FME_Input[EMER_NEED])</f>
        <v>No</v>
      </c>
      <c r="G2041">
        <f>IF(FME_Ranking!F2041="Yes",100,0)</f>
        <v>0</v>
      </c>
      <c r="H2041">
        <f>FME_Ranking1[[#This Row],[Emergency Need Score (Normalized, Unweighted)]]*$F$3</f>
        <v>0</v>
      </c>
      <c r="I2041" s="246">
        <f>_xlfn.XLOOKUP(FME_Ranking1[[#This Row],[FME ID]],FME_Input[FME_ID],FME_Input[STRUCT_100])</f>
        <v>0</v>
      </c>
      <c r="J2041" s="178">
        <f>(FME_Ranking1[[#This Row],[Structures 100 Raw]]/I$2)*100</f>
        <v>0</v>
      </c>
      <c r="K2041" s="178">
        <f>FME_Ranking1[[#This Row],[Structures 100  Score (Normalized, Unweighted)]]*$I$3</f>
        <v>0</v>
      </c>
      <c r="L2041" s="246">
        <f>_xlfn.XLOOKUP(FME_Ranking1[[#This Row],[FME ID]],FME_Input[FME_ID],FME_Input[RES_STRUCT100])</f>
        <v>0</v>
      </c>
      <c r="M2041" s="230">
        <f>(FME_Ranking1[[#This Row],[Res Structures Raw]]/L$2)*100</f>
        <v>0</v>
      </c>
      <c r="N2041" s="180">
        <f>FME_Ranking1[[#This Row],[Res Structures Score (Normalized, Unweighted)]]*$L$3</f>
        <v>0</v>
      </c>
      <c r="O2041" s="244">
        <f>_xlfn.XLOOKUP(FME_Ranking1[[#This Row],[FME ID]],FME_Input[FME_ID],FME_Input[POP100])</f>
        <v>0</v>
      </c>
      <c r="P2041" s="178">
        <f>(FME_Ranking1[[#This Row],[Pop Raw]]/$O$2)*100</f>
        <v>0</v>
      </c>
      <c r="Q2041" s="178">
        <f>FME_Ranking1[[#This Row],[Pop Score (Normalized, Unweighted)]]*$O$3</f>
        <v>0</v>
      </c>
      <c r="R2041" s="137">
        <f>_xlfn.XLOOKUP(FME_Ranking1[[#This Row],[FME ID]],FME_Input[FME_ID],FME_Input[CRITFAC100])</f>
        <v>0</v>
      </c>
      <c r="S2041" s="230">
        <f>(FME_Ranking1[[#This Row],[Critical Facilities Raw]]/$R$2)*100</f>
        <v>0</v>
      </c>
      <c r="T2041" s="180">
        <f>FME_Ranking1[[#This Row],[Critical Facilities Score (Normalized, Unweighted)]]*$R$3</f>
        <v>0</v>
      </c>
      <c r="U2041">
        <f>_xlfn.XLOOKUP(FME_Ranking1[[#This Row],[FME ID]],FME_Input[FME_ID],FME_Input[LWC])</f>
        <v>0</v>
      </c>
      <c r="V2041" s="178">
        <f>(FME_Ranking1[[#This Row],[LWC Raw]]/$U$2)*100</f>
        <v>0</v>
      </c>
      <c r="W2041" s="178">
        <f>FME_Ranking1[[#This Row],[LWC Score (Normalized, Unweighted)]]*$U$3</f>
        <v>0</v>
      </c>
      <c r="X2041" s="246">
        <f>_xlfn.XLOOKUP(FME_Ranking1[[#This Row],[FME ID]],FME_Input[FME_ID],FME_Input[ROADCLS])</f>
        <v>1</v>
      </c>
      <c r="Y2041" s="230">
        <f>(FME_Ranking1[[#This Row],[Closures Raw]]/$X$2)*100</f>
        <v>1.0514141520344864E-2</v>
      </c>
      <c r="Z2041" s="180">
        <f>FME_Ranking1[[#This Row],[Closures Score (Normalized, Unweighted)]]*$X$3</f>
        <v>5.2570707601724321E-4</v>
      </c>
      <c r="AA2041" s="253">
        <f>_xlfn.XLOOKUP(FME_Ranking1[[#This Row],[FME ID]],FME_Input[FME_ID],FME_Input[ROAD_MILES100])</f>
        <v>1.9999999552965161E-2</v>
      </c>
      <c r="AB2041" s="178">
        <f>(FME_Ranking1[[#This Row],[Miles Raw]]/$AA$2)*100</f>
        <v>2.6296412243825943E-4</v>
      </c>
      <c r="AC2041" s="178">
        <f>FME_Ranking1[[#This Row],[Miles Score (Normalized, Unweighted)]]*$AA$3</f>
        <v>2.6296412243825943E-5</v>
      </c>
      <c r="AD2041" s="255">
        <f>_xlfn.XLOOKUP(FME_Ranking1[[#This Row],[FME ID]],FME_Input[FME_ID],FME_Input[FARMACRE100])</f>
        <v>0</v>
      </c>
      <c r="AE2041" s="230">
        <f>(FME_Ranking1[[#This Row],[Ag Land Raw]]/$AD$2)*100</f>
        <v>0</v>
      </c>
      <c r="AF2041" s="231">
        <f>FME_Ranking1[[#This Row],[Ag Land Score (Normalized, Unweighted)]]*$AD$3</f>
        <v>0</v>
      </c>
      <c r="AG204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5.5200348826106918E-4</v>
      </c>
      <c r="AH2041" s="406">
        <f t="shared" si="31"/>
        <v>2083</v>
      </c>
      <c r="AI204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5.5200348826106918E-4</v>
      </c>
      <c r="AJ2041" s="257">
        <f>FME_Ranking1[[#This Row],[Addition check]]-FME_Ranking1[[#This Row],[Weighted Score Based on Normalized Reported Factors]]</f>
        <v>0</v>
      </c>
      <c r="AK2041" s="178">
        <f>_xlfn.RANK.EQ(AI2041,$AI$6:$AI$2341,0)+COUNTIF($AI$6:AI2041,AI2041)-1</f>
        <v>2083</v>
      </c>
    </row>
    <row r="2042" spans="1:37" x14ac:dyDescent="0.25">
      <c r="A2042" t="s">
        <v>9396</v>
      </c>
      <c r="B2042">
        <f>_xlfn.XLOOKUP(FME_Ranking1[[#This Row],[FME ID]],FME_Input[FME_ID],FME_Input[RFPG_NUM])</f>
        <v>12</v>
      </c>
      <c r="C2042" t="str">
        <f>_xlfn.XLOOKUP(FME_Ranking1[[#This Row],[FME ID]],FME_Input[FME_ID],FME_Input[FME_NAME])</f>
        <v>Damage Center 2-Project 1 Culvert Improvements at Menchaca</v>
      </c>
      <c r="D2042" t="str">
        <f>_xlfn.XLOOKUP(FME_Ranking1[[#This Row],[FME ID]],FME_Input[FME_ID],FME_Input[DESCR])</f>
        <v>Significant overtopping at one 3' x 5' box culvert. Improving this culvert would provide emergency access to the areas of Poth west of Poth Creek</v>
      </c>
      <c r="E2042" s="256">
        <f>_xlfn.XLOOKUP(FME_Ranking1[[#This Row],[FME ID]],FME_Input[FME_ID],FME_Input[FME_COST])</f>
        <v>276877</v>
      </c>
      <c r="F2042" t="str">
        <f>_xlfn.XLOOKUP(FME_Ranking1[[#This Row],[FME ID]],FME_Input[FME_ID],FME_Input[EMER_NEED])</f>
        <v>No</v>
      </c>
      <c r="G2042">
        <f>IF(FME_Ranking!F2042="Yes",100,0)</f>
        <v>0</v>
      </c>
      <c r="H2042">
        <f>FME_Ranking1[[#This Row],[Emergency Need Score (Normalized, Unweighted)]]*$F$3</f>
        <v>0</v>
      </c>
      <c r="I2042" s="246">
        <f>_xlfn.XLOOKUP(FME_Ranking1[[#This Row],[FME ID]],FME_Input[FME_ID],FME_Input[STRUCT_100])</f>
        <v>0</v>
      </c>
      <c r="J2042" s="178">
        <f>(FME_Ranking1[[#This Row],[Structures 100 Raw]]/I$2)*100</f>
        <v>0</v>
      </c>
      <c r="K2042" s="178">
        <f>FME_Ranking1[[#This Row],[Structures 100  Score (Normalized, Unweighted)]]*$I$3</f>
        <v>0</v>
      </c>
      <c r="L2042" s="246">
        <f>_xlfn.XLOOKUP(FME_Ranking1[[#This Row],[FME ID]],FME_Input[FME_ID],FME_Input[RES_STRUCT100])</f>
        <v>0</v>
      </c>
      <c r="M2042" s="230">
        <f>(FME_Ranking1[[#This Row],[Res Structures Raw]]/L$2)*100</f>
        <v>0</v>
      </c>
      <c r="N2042" s="180">
        <f>FME_Ranking1[[#This Row],[Res Structures Score (Normalized, Unweighted)]]*$L$3</f>
        <v>0</v>
      </c>
      <c r="O2042" s="244">
        <f>_xlfn.XLOOKUP(FME_Ranking1[[#This Row],[FME ID]],FME_Input[FME_ID],FME_Input[POP100])</f>
        <v>0</v>
      </c>
      <c r="P2042" s="178">
        <f>(FME_Ranking1[[#This Row],[Pop Raw]]/$O$2)*100</f>
        <v>0</v>
      </c>
      <c r="Q2042" s="178">
        <f>FME_Ranking1[[#This Row],[Pop Score (Normalized, Unweighted)]]*$O$3</f>
        <v>0</v>
      </c>
      <c r="R2042" s="137">
        <f>_xlfn.XLOOKUP(FME_Ranking1[[#This Row],[FME ID]],FME_Input[FME_ID],FME_Input[CRITFAC100])</f>
        <v>0</v>
      </c>
      <c r="S2042" s="230">
        <f>(FME_Ranking1[[#This Row],[Critical Facilities Raw]]/$R$2)*100</f>
        <v>0</v>
      </c>
      <c r="T2042" s="180">
        <f>FME_Ranking1[[#This Row],[Critical Facilities Score (Normalized, Unweighted)]]*$R$3</f>
        <v>0</v>
      </c>
      <c r="U2042">
        <f>_xlfn.XLOOKUP(FME_Ranking1[[#This Row],[FME ID]],FME_Input[FME_ID],FME_Input[LWC])</f>
        <v>0</v>
      </c>
      <c r="V2042" s="178">
        <f>(FME_Ranking1[[#This Row],[LWC Raw]]/$U$2)*100</f>
        <v>0</v>
      </c>
      <c r="W2042" s="178">
        <f>FME_Ranking1[[#This Row],[LWC Score (Normalized, Unweighted)]]*$U$3</f>
        <v>0</v>
      </c>
      <c r="X2042" s="246">
        <f>_xlfn.XLOOKUP(FME_Ranking1[[#This Row],[FME ID]],FME_Input[FME_ID],FME_Input[ROADCLS])</f>
        <v>1</v>
      </c>
      <c r="Y2042" s="230">
        <f>(FME_Ranking1[[#This Row],[Closures Raw]]/$X$2)*100</f>
        <v>1.0514141520344864E-2</v>
      </c>
      <c r="Z2042" s="180">
        <f>FME_Ranking1[[#This Row],[Closures Score (Normalized, Unweighted)]]*$X$3</f>
        <v>5.2570707601724321E-4</v>
      </c>
      <c r="AA2042" s="253">
        <f>_xlfn.XLOOKUP(FME_Ranking1[[#This Row],[FME ID]],FME_Input[FME_ID],FME_Input[ROAD_MILES100])</f>
        <v>1.9999999552965161E-2</v>
      </c>
      <c r="AB2042" s="178">
        <f>(FME_Ranking1[[#This Row],[Miles Raw]]/$AA$2)*100</f>
        <v>2.6296412243825943E-4</v>
      </c>
      <c r="AC2042" s="178">
        <f>FME_Ranking1[[#This Row],[Miles Score (Normalized, Unweighted)]]*$AA$3</f>
        <v>2.6296412243825943E-5</v>
      </c>
      <c r="AD2042" s="255">
        <f>_xlfn.XLOOKUP(FME_Ranking1[[#This Row],[FME ID]],FME_Input[FME_ID],FME_Input[FARMACRE100])</f>
        <v>0</v>
      </c>
      <c r="AE2042" s="230">
        <f>(FME_Ranking1[[#This Row],[Ag Land Raw]]/$AD$2)*100</f>
        <v>0</v>
      </c>
      <c r="AF2042" s="231">
        <f>FME_Ranking1[[#This Row],[Ag Land Score (Normalized, Unweighted)]]*$AD$3</f>
        <v>0</v>
      </c>
      <c r="AG204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5.5200348826106918E-4</v>
      </c>
      <c r="AH2042" s="406">
        <f t="shared" si="31"/>
        <v>2083</v>
      </c>
      <c r="AI204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5.5200348826106918E-4</v>
      </c>
      <c r="AJ2042" s="257">
        <f>FME_Ranking1[[#This Row],[Addition check]]-FME_Ranking1[[#This Row],[Weighted Score Based on Normalized Reported Factors]]</f>
        <v>0</v>
      </c>
      <c r="AK2042" s="178">
        <f>_xlfn.RANK.EQ(AI2042,$AI$6:$AI$2341,0)+COUNTIF($AI$6:AI2042,AI2042)-1</f>
        <v>2084</v>
      </c>
    </row>
    <row r="2043" spans="1:37" x14ac:dyDescent="0.25">
      <c r="A2043" t="s">
        <v>9410</v>
      </c>
      <c r="B2043">
        <f>_xlfn.XLOOKUP(FME_Ranking1[[#This Row],[FME ID]],FME_Input[FME_ID],FME_Input[RFPG_NUM])</f>
        <v>12</v>
      </c>
      <c r="C2043" t="str">
        <f>_xlfn.XLOOKUP(FME_Ranking1[[#This Row],[FME ID]],FME_Input[FME_ID],FME_Input[FME_NAME])</f>
        <v>Parrigin Road Drainage Improvements</v>
      </c>
      <c r="D2043" t="str">
        <f>_xlfn.XLOOKUP(FME_Ranking1[[#This Row],[FME ID]],FME_Input[FME_ID],FME_Input[DESCR])</f>
        <v>Parrigin Road low water crossing at Helotes Creek Tributary A floods frequently, limiting access for nearby residences</v>
      </c>
      <c r="E2043" s="256">
        <f>_xlfn.XLOOKUP(FME_Ranking1[[#This Row],[FME ID]],FME_Input[FME_ID],FME_Input[FME_COST])</f>
        <v>1271228</v>
      </c>
      <c r="F2043" t="str">
        <f>_xlfn.XLOOKUP(FME_Ranking1[[#This Row],[FME ID]],FME_Input[FME_ID],FME_Input[EMER_NEED])</f>
        <v>No</v>
      </c>
      <c r="G2043">
        <f>IF(FME_Ranking!F2043="Yes",100,0)</f>
        <v>0</v>
      </c>
      <c r="H2043">
        <f>FME_Ranking1[[#This Row],[Emergency Need Score (Normalized, Unweighted)]]*$F$3</f>
        <v>0</v>
      </c>
      <c r="I2043" s="246">
        <f>_xlfn.XLOOKUP(FME_Ranking1[[#This Row],[FME ID]],FME_Input[FME_ID],FME_Input[STRUCT_100])</f>
        <v>0</v>
      </c>
      <c r="J2043" s="178">
        <f>(FME_Ranking1[[#This Row],[Structures 100 Raw]]/I$2)*100</f>
        <v>0</v>
      </c>
      <c r="K2043" s="178">
        <f>FME_Ranking1[[#This Row],[Structures 100  Score (Normalized, Unweighted)]]*$I$3</f>
        <v>0</v>
      </c>
      <c r="L2043" s="246">
        <f>_xlfn.XLOOKUP(FME_Ranking1[[#This Row],[FME ID]],FME_Input[FME_ID],FME_Input[RES_STRUCT100])</f>
        <v>0</v>
      </c>
      <c r="M2043" s="230">
        <f>(FME_Ranking1[[#This Row],[Res Structures Raw]]/L$2)*100</f>
        <v>0</v>
      </c>
      <c r="N2043" s="180">
        <f>FME_Ranking1[[#This Row],[Res Structures Score (Normalized, Unweighted)]]*$L$3</f>
        <v>0</v>
      </c>
      <c r="O2043" s="244">
        <f>_xlfn.XLOOKUP(FME_Ranking1[[#This Row],[FME ID]],FME_Input[FME_ID],FME_Input[POP100])</f>
        <v>0</v>
      </c>
      <c r="P2043" s="178">
        <f>(FME_Ranking1[[#This Row],[Pop Raw]]/$O$2)*100</f>
        <v>0</v>
      </c>
      <c r="Q2043" s="178">
        <f>FME_Ranking1[[#This Row],[Pop Score (Normalized, Unweighted)]]*$O$3</f>
        <v>0</v>
      </c>
      <c r="R2043" s="137">
        <f>_xlfn.XLOOKUP(FME_Ranking1[[#This Row],[FME ID]],FME_Input[FME_ID],FME_Input[CRITFAC100])</f>
        <v>0</v>
      </c>
      <c r="S2043" s="230">
        <f>(FME_Ranking1[[#This Row],[Critical Facilities Raw]]/$R$2)*100</f>
        <v>0</v>
      </c>
      <c r="T2043" s="180">
        <f>FME_Ranking1[[#This Row],[Critical Facilities Score (Normalized, Unweighted)]]*$R$3</f>
        <v>0</v>
      </c>
      <c r="U2043">
        <f>_xlfn.XLOOKUP(FME_Ranking1[[#This Row],[FME ID]],FME_Input[FME_ID],FME_Input[LWC])</f>
        <v>0</v>
      </c>
      <c r="V2043" s="178">
        <f>(FME_Ranking1[[#This Row],[LWC Raw]]/$U$2)*100</f>
        <v>0</v>
      </c>
      <c r="W2043" s="178">
        <f>FME_Ranking1[[#This Row],[LWC Score (Normalized, Unweighted)]]*$U$3</f>
        <v>0</v>
      </c>
      <c r="X2043" s="246">
        <f>_xlfn.XLOOKUP(FME_Ranking1[[#This Row],[FME ID]],FME_Input[FME_ID],FME_Input[ROADCLS])</f>
        <v>1</v>
      </c>
      <c r="Y2043" s="230">
        <f>(FME_Ranking1[[#This Row],[Closures Raw]]/$X$2)*100</f>
        <v>1.0514141520344864E-2</v>
      </c>
      <c r="Z2043" s="180">
        <f>FME_Ranking1[[#This Row],[Closures Score (Normalized, Unweighted)]]*$X$3</f>
        <v>5.2570707601724321E-4</v>
      </c>
      <c r="AA2043" s="253">
        <f>_xlfn.XLOOKUP(FME_Ranking1[[#This Row],[FME ID]],FME_Input[FME_ID],FME_Input[ROAD_MILES100])</f>
        <v>1.9999999552965161E-2</v>
      </c>
      <c r="AB2043" s="178">
        <f>(FME_Ranking1[[#This Row],[Miles Raw]]/$AA$2)*100</f>
        <v>2.6296412243825943E-4</v>
      </c>
      <c r="AC2043" s="178">
        <f>FME_Ranking1[[#This Row],[Miles Score (Normalized, Unweighted)]]*$AA$3</f>
        <v>2.6296412243825943E-5</v>
      </c>
      <c r="AD2043" s="255">
        <f>_xlfn.XLOOKUP(FME_Ranking1[[#This Row],[FME ID]],FME_Input[FME_ID],FME_Input[FARMACRE100])</f>
        <v>0</v>
      </c>
      <c r="AE2043" s="230">
        <f>(FME_Ranking1[[#This Row],[Ag Land Raw]]/$AD$2)*100</f>
        <v>0</v>
      </c>
      <c r="AF2043" s="231">
        <f>FME_Ranking1[[#This Row],[Ag Land Score (Normalized, Unweighted)]]*$AD$3</f>
        <v>0</v>
      </c>
      <c r="AG204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5.5200348826106918E-4</v>
      </c>
      <c r="AH2043" s="406">
        <f t="shared" si="31"/>
        <v>2083</v>
      </c>
      <c r="AI204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5.5200348826106918E-4</v>
      </c>
      <c r="AJ2043" s="257">
        <f>FME_Ranking1[[#This Row],[Addition check]]-FME_Ranking1[[#This Row],[Weighted Score Based on Normalized Reported Factors]]</f>
        <v>0</v>
      </c>
      <c r="AK2043" s="178">
        <f>_xlfn.RANK.EQ(AI2043,$AI$6:$AI$2341,0)+COUNTIF($AI$6:AI2043,AI2043)-1</f>
        <v>2085</v>
      </c>
    </row>
    <row r="2044" spans="1:37" x14ac:dyDescent="0.25">
      <c r="A2044" t="s">
        <v>9543</v>
      </c>
      <c r="B2044">
        <f>_xlfn.XLOOKUP(FME_Ranking1[[#This Row],[FME ID]],FME_Input[FME_ID],FME_Input[RFPG_NUM])</f>
        <v>12</v>
      </c>
      <c r="C2044" t="str">
        <f>_xlfn.XLOOKUP(FME_Ranking1[[#This Row],[FME ID]],FME_Input[FME_ID],FME_Input[FME_NAME])</f>
        <v>Damage Center 32-Six Mile Creek</v>
      </c>
      <c r="D2044" t="str">
        <f>_xlfn.XLOOKUP(FME_Ranking1[[#This Row],[FME ID]],FME_Input[FME_ID],FME_Input[DESCR])</f>
        <v>the proposed pond would have a direct impact on the flow in Normoyle  Ditch,  it  is  recommended  that  the  required  drainage  structures be r.eanalyzed</v>
      </c>
      <c r="E2044" s="256">
        <f>_xlfn.XLOOKUP(FME_Ranking1[[#This Row],[FME ID]],FME_Input[FME_ID],FME_Input[FME_COST])</f>
        <v>20127908</v>
      </c>
      <c r="F2044" t="str">
        <f>_xlfn.XLOOKUP(FME_Ranking1[[#This Row],[FME ID]],FME_Input[FME_ID],FME_Input[EMER_NEED])</f>
        <v>Yes</v>
      </c>
      <c r="G2044">
        <f>IF(FME_Ranking!F2044="Yes",100,0)</f>
        <v>100</v>
      </c>
      <c r="H2044">
        <f>FME_Ranking1[[#This Row],[Emergency Need Score (Normalized, Unweighted)]]*$F$3</f>
        <v>0</v>
      </c>
      <c r="I2044" s="246">
        <f>_xlfn.XLOOKUP(FME_Ranking1[[#This Row],[FME ID]],FME_Input[FME_ID],FME_Input[STRUCT_100])</f>
        <v>0</v>
      </c>
      <c r="J2044" s="178">
        <f>(FME_Ranking1[[#This Row],[Structures 100 Raw]]/I$2)*100</f>
        <v>0</v>
      </c>
      <c r="K2044" s="178">
        <f>FME_Ranking1[[#This Row],[Structures 100  Score (Normalized, Unweighted)]]*$I$3</f>
        <v>0</v>
      </c>
      <c r="L2044" s="246">
        <f>_xlfn.XLOOKUP(FME_Ranking1[[#This Row],[FME ID]],FME_Input[FME_ID],FME_Input[RES_STRUCT100])</f>
        <v>0</v>
      </c>
      <c r="M2044" s="230">
        <f>(FME_Ranking1[[#This Row],[Res Structures Raw]]/L$2)*100</f>
        <v>0</v>
      </c>
      <c r="N2044" s="180">
        <f>FME_Ranking1[[#This Row],[Res Structures Score (Normalized, Unweighted)]]*$L$3</f>
        <v>0</v>
      </c>
      <c r="O2044" s="244">
        <f>_xlfn.XLOOKUP(FME_Ranking1[[#This Row],[FME ID]],FME_Input[FME_ID],FME_Input[POP100])</f>
        <v>0</v>
      </c>
      <c r="P2044" s="178">
        <f>(FME_Ranking1[[#This Row],[Pop Raw]]/$O$2)*100</f>
        <v>0</v>
      </c>
      <c r="Q2044" s="178">
        <f>FME_Ranking1[[#This Row],[Pop Score (Normalized, Unweighted)]]*$O$3</f>
        <v>0</v>
      </c>
      <c r="R2044" s="137">
        <f>_xlfn.XLOOKUP(FME_Ranking1[[#This Row],[FME ID]],FME_Input[FME_ID],FME_Input[CRITFAC100])</f>
        <v>0</v>
      </c>
      <c r="S2044" s="230">
        <f>(FME_Ranking1[[#This Row],[Critical Facilities Raw]]/$R$2)*100</f>
        <v>0</v>
      </c>
      <c r="T2044" s="180">
        <f>FME_Ranking1[[#This Row],[Critical Facilities Score (Normalized, Unweighted)]]*$R$3</f>
        <v>0</v>
      </c>
      <c r="U2044">
        <f>_xlfn.XLOOKUP(FME_Ranking1[[#This Row],[FME ID]],FME_Input[FME_ID],FME_Input[LWC])</f>
        <v>0</v>
      </c>
      <c r="V2044" s="178">
        <f>(FME_Ranking1[[#This Row],[LWC Raw]]/$U$2)*100</f>
        <v>0</v>
      </c>
      <c r="W2044" s="178">
        <f>FME_Ranking1[[#This Row],[LWC Score (Normalized, Unweighted)]]*$U$3</f>
        <v>0</v>
      </c>
      <c r="X2044" s="246">
        <f>_xlfn.XLOOKUP(FME_Ranking1[[#This Row],[FME ID]],FME_Input[FME_ID],FME_Input[ROADCLS])</f>
        <v>1</v>
      </c>
      <c r="Y2044" s="230">
        <f>(FME_Ranking1[[#This Row],[Closures Raw]]/$X$2)*100</f>
        <v>1.0514141520344864E-2</v>
      </c>
      <c r="Z2044" s="180">
        <f>FME_Ranking1[[#This Row],[Closures Score (Normalized, Unweighted)]]*$X$3</f>
        <v>5.2570707601724321E-4</v>
      </c>
      <c r="AA2044" s="253">
        <f>_xlfn.XLOOKUP(FME_Ranking1[[#This Row],[FME ID]],FME_Input[FME_ID],FME_Input[ROAD_MILES100])</f>
        <v>0.15000000596046451</v>
      </c>
      <c r="AB2044" s="178">
        <f>(FME_Ranking1[[#This Row],[Miles Raw]]/$AA$2)*100</f>
        <v>1.9722310407391608E-3</v>
      </c>
      <c r="AC2044" s="178">
        <f>FME_Ranking1[[#This Row],[Miles Score (Normalized, Unweighted)]]*$AA$3</f>
        <v>1.972231040739161E-4</v>
      </c>
      <c r="AD2044" s="255">
        <f>_xlfn.XLOOKUP(FME_Ranking1[[#This Row],[FME ID]],FME_Input[FME_ID],FME_Input[FARMACRE100])</f>
        <v>0</v>
      </c>
      <c r="AE2044" s="230">
        <f>(FME_Ranking1[[#This Row],[Ag Land Raw]]/$AD$2)*100</f>
        <v>0</v>
      </c>
      <c r="AF2044" s="231">
        <f>FME_Ranking1[[#This Row],[Ag Land Score (Normalized, Unweighted)]]*$AD$3</f>
        <v>0</v>
      </c>
      <c r="AG204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7.2293018009115932E-4</v>
      </c>
      <c r="AH2044" s="406">
        <f t="shared" si="31"/>
        <v>2054</v>
      </c>
      <c r="AI204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7.2293018009115932E-4</v>
      </c>
      <c r="AJ2044" s="257">
        <f>FME_Ranking1[[#This Row],[Addition check]]-FME_Ranking1[[#This Row],[Weighted Score Based on Normalized Reported Factors]]</f>
        <v>0</v>
      </c>
      <c r="AK2044" s="178">
        <f>_xlfn.RANK.EQ(AI2044,$AI$6:$AI$2341,0)+COUNTIF($AI$6:AI2044,AI2044)-1</f>
        <v>2054</v>
      </c>
    </row>
    <row r="2045" spans="1:37" x14ac:dyDescent="0.25">
      <c r="A2045" t="s">
        <v>9549</v>
      </c>
      <c r="B2045">
        <f>_xlfn.XLOOKUP(FME_Ranking1[[#This Row],[FME ID]],FME_Input[FME_ID],FME_Input[RFPG_NUM])</f>
        <v>12</v>
      </c>
      <c r="C2045" t="str">
        <f>_xlfn.XLOOKUP(FME_Ranking1[[#This Row],[FME ID]],FME_Input[FME_ID],FME_Input[FME_NAME])</f>
        <v>LWC at Ammann Rd and Post Oak Creek</v>
      </c>
      <c r="D2045" t="str">
        <f>_xlfn.XLOOKUP(FME_Ranking1[[#This Row],[FME ID]],FME_Input[FME_ID],FME_Input[DESCR])</f>
        <v>Improve the low water crossing at Ammann Road and Post Oak Creek</v>
      </c>
      <c r="E2045" s="256">
        <f>_xlfn.XLOOKUP(FME_Ranking1[[#This Row],[FME ID]],FME_Input[FME_ID],FME_Input[FME_COST])</f>
        <v>100000</v>
      </c>
      <c r="F2045" t="str">
        <f>_xlfn.XLOOKUP(FME_Ranking1[[#This Row],[FME ID]],FME_Input[FME_ID],FME_Input[EMER_NEED])</f>
        <v>No</v>
      </c>
      <c r="G2045">
        <f>IF(FME_Ranking!F2045="Yes",100,0)</f>
        <v>0</v>
      </c>
      <c r="H2045">
        <f>FME_Ranking1[[#This Row],[Emergency Need Score (Normalized, Unweighted)]]*$F$3</f>
        <v>0</v>
      </c>
      <c r="I2045" s="246">
        <f>_xlfn.XLOOKUP(FME_Ranking1[[#This Row],[FME ID]],FME_Input[FME_ID],FME_Input[STRUCT_100])</f>
        <v>0</v>
      </c>
      <c r="J2045" s="178">
        <f>(FME_Ranking1[[#This Row],[Structures 100 Raw]]/I$2)*100</f>
        <v>0</v>
      </c>
      <c r="K2045" s="178">
        <f>FME_Ranking1[[#This Row],[Structures 100  Score (Normalized, Unweighted)]]*$I$3</f>
        <v>0</v>
      </c>
      <c r="L2045" s="246">
        <f>_xlfn.XLOOKUP(FME_Ranking1[[#This Row],[FME ID]],FME_Input[FME_ID],FME_Input[RES_STRUCT100])</f>
        <v>0</v>
      </c>
      <c r="M2045" s="230">
        <f>(FME_Ranking1[[#This Row],[Res Structures Raw]]/L$2)*100</f>
        <v>0</v>
      </c>
      <c r="N2045" s="180">
        <f>FME_Ranking1[[#This Row],[Res Structures Score (Normalized, Unweighted)]]*$L$3</f>
        <v>0</v>
      </c>
      <c r="O2045" s="244">
        <f>_xlfn.XLOOKUP(FME_Ranking1[[#This Row],[FME ID]],FME_Input[FME_ID],FME_Input[POP100])</f>
        <v>0</v>
      </c>
      <c r="P2045" s="178">
        <f>(FME_Ranking1[[#This Row],[Pop Raw]]/$O$2)*100</f>
        <v>0</v>
      </c>
      <c r="Q2045" s="178">
        <f>FME_Ranking1[[#This Row],[Pop Score (Normalized, Unweighted)]]*$O$3</f>
        <v>0</v>
      </c>
      <c r="R2045" s="137">
        <f>_xlfn.XLOOKUP(FME_Ranking1[[#This Row],[FME ID]],FME_Input[FME_ID],FME_Input[CRITFAC100])</f>
        <v>0</v>
      </c>
      <c r="S2045" s="230">
        <f>(FME_Ranking1[[#This Row],[Critical Facilities Raw]]/$R$2)*100</f>
        <v>0</v>
      </c>
      <c r="T2045" s="180">
        <f>FME_Ranking1[[#This Row],[Critical Facilities Score (Normalized, Unweighted)]]*$R$3</f>
        <v>0</v>
      </c>
      <c r="U2045">
        <f>_xlfn.XLOOKUP(FME_Ranking1[[#This Row],[FME ID]],FME_Input[FME_ID],FME_Input[LWC])</f>
        <v>0</v>
      </c>
      <c r="V2045" s="178">
        <f>(FME_Ranking1[[#This Row],[LWC Raw]]/$U$2)*100</f>
        <v>0</v>
      </c>
      <c r="W2045" s="178">
        <f>FME_Ranking1[[#This Row],[LWC Score (Normalized, Unweighted)]]*$U$3</f>
        <v>0</v>
      </c>
      <c r="X2045" s="246">
        <f>_xlfn.XLOOKUP(FME_Ranking1[[#This Row],[FME ID]],FME_Input[FME_ID],FME_Input[ROADCLS])</f>
        <v>1</v>
      </c>
      <c r="Y2045" s="230">
        <f>(FME_Ranking1[[#This Row],[Closures Raw]]/$X$2)*100</f>
        <v>1.0514141520344864E-2</v>
      </c>
      <c r="Z2045" s="180">
        <f>FME_Ranking1[[#This Row],[Closures Score (Normalized, Unweighted)]]*$X$3</f>
        <v>5.2570707601724321E-4</v>
      </c>
      <c r="AA2045" s="253">
        <f>_xlfn.XLOOKUP(FME_Ranking1[[#This Row],[FME ID]],FME_Input[FME_ID],FME_Input[ROAD_MILES100])</f>
        <v>3.9999999105930328E-2</v>
      </c>
      <c r="AB2045" s="178">
        <f>(FME_Ranking1[[#This Row],[Miles Raw]]/$AA$2)*100</f>
        <v>5.2592824487651896E-4</v>
      </c>
      <c r="AC2045" s="178">
        <f>FME_Ranking1[[#This Row],[Miles Score (Normalized, Unweighted)]]*$AA$3</f>
        <v>5.2592824487651899E-5</v>
      </c>
      <c r="AD2045" s="255">
        <f>_xlfn.XLOOKUP(FME_Ranking1[[#This Row],[FME ID]],FME_Input[FME_ID],FME_Input[FARMACRE100])</f>
        <v>0</v>
      </c>
      <c r="AE2045" s="230">
        <f>(FME_Ranking1[[#This Row],[Ag Land Raw]]/$AD$2)*100</f>
        <v>0</v>
      </c>
      <c r="AF2045" s="231">
        <f>FME_Ranking1[[#This Row],[Ag Land Score (Normalized, Unweighted)]]*$AD$3</f>
        <v>0</v>
      </c>
      <c r="AG204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5.7829990050489515E-4</v>
      </c>
      <c r="AH2045" s="406">
        <f t="shared" si="31"/>
        <v>2072</v>
      </c>
      <c r="AI204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5.7829990050489515E-4</v>
      </c>
      <c r="AJ2045" s="257">
        <f>FME_Ranking1[[#This Row],[Addition check]]-FME_Ranking1[[#This Row],[Weighted Score Based on Normalized Reported Factors]]</f>
        <v>0</v>
      </c>
      <c r="AK2045" s="178">
        <f>_xlfn.RANK.EQ(AI2045,$AI$6:$AI$2341,0)+COUNTIF($AI$6:AI2045,AI2045)-1</f>
        <v>2072</v>
      </c>
    </row>
    <row r="2046" spans="1:37" x14ac:dyDescent="0.25">
      <c r="A2046" t="s">
        <v>9591</v>
      </c>
      <c r="B2046">
        <f>_xlfn.XLOOKUP(FME_Ranking1[[#This Row],[FME ID]],FME_Input[FME_ID],FME_Input[RFPG_NUM])</f>
        <v>12</v>
      </c>
      <c r="C2046" t="str">
        <f>_xlfn.XLOOKUP(FME_Ranking1[[#This Row],[FME ID]],FME_Input[FME_ID],FME_Input[FME_NAME])</f>
        <v>Recommend for Wilson Roadways - Project 5 - CR 108 &amp; Mariana Creek</v>
      </c>
      <c r="D2046" t="str">
        <f>_xlfn.XLOOKUP(FME_Ranking1[[#This Row],[FME ID]],FME_Input[FME_ID],FME_Input[DESCR])</f>
        <v>Upgrade crossing so that it provides a safe evacuation route during large storm events.</v>
      </c>
      <c r="E2046" s="256">
        <f>_xlfn.XLOOKUP(FME_Ranking1[[#This Row],[FME ID]],FME_Input[FME_ID],FME_Input[FME_COST])</f>
        <v>100000</v>
      </c>
      <c r="F2046" t="str">
        <f>_xlfn.XLOOKUP(FME_Ranking1[[#This Row],[FME ID]],FME_Input[FME_ID],FME_Input[EMER_NEED])</f>
        <v>Yes</v>
      </c>
      <c r="G2046">
        <f>IF(FME_Ranking!F2046="Yes",100,0)</f>
        <v>100</v>
      </c>
      <c r="H2046">
        <f>FME_Ranking1[[#This Row],[Emergency Need Score (Normalized, Unweighted)]]*$F$3</f>
        <v>0</v>
      </c>
      <c r="I2046" s="246">
        <f>_xlfn.XLOOKUP(FME_Ranking1[[#This Row],[FME ID]],FME_Input[FME_ID],FME_Input[STRUCT_100])</f>
        <v>0</v>
      </c>
      <c r="J2046" s="178">
        <f>(FME_Ranking1[[#This Row],[Structures 100 Raw]]/I$2)*100</f>
        <v>0</v>
      </c>
      <c r="K2046" s="178">
        <f>FME_Ranking1[[#This Row],[Structures 100  Score (Normalized, Unweighted)]]*$I$3</f>
        <v>0</v>
      </c>
      <c r="L2046" s="246">
        <f>_xlfn.XLOOKUP(FME_Ranking1[[#This Row],[FME ID]],FME_Input[FME_ID],FME_Input[RES_STRUCT100])</f>
        <v>0</v>
      </c>
      <c r="M2046" s="230">
        <f>(FME_Ranking1[[#This Row],[Res Structures Raw]]/L$2)*100</f>
        <v>0</v>
      </c>
      <c r="N2046" s="180">
        <f>FME_Ranking1[[#This Row],[Res Structures Score (Normalized, Unweighted)]]*$L$3</f>
        <v>0</v>
      </c>
      <c r="O2046" s="244">
        <f>_xlfn.XLOOKUP(FME_Ranking1[[#This Row],[FME ID]],FME_Input[FME_ID],FME_Input[POP100])</f>
        <v>0</v>
      </c>
      <c r="P2046" s="178">
        <f>(FME_Ranking1[[#This Row],[Pop Raw]]/$O$2)*100</f>
        <v>0</v>
      </c>
      <c r="Q2046" s="178">
        <f>FME_Ranking1[[#This Row],[Pop Score (Normalized, Unweighted)]]*$O$3</f>
        <v>0</v>
      </c>
      <c r="R2046" s="137">
        <f>_xlfn.XLOOKUP(FME_Ranking1[[#This Row],[FME ID]],FME_Input[FME_ID],FME_Input[CRITFAC100])</f>
        <v>0</v>
      </c>
      <c r="S2046" s="230">
        <f>(FME_Ranking1[[#This Row],[Critical Facilities Raw]]/$R$2)*100</f>
        <v>0</v>
      </c>
      <c r="T2046" s="180">
        <f>FME_Ranking1[[#This Row],[Critical Facilities Score (Normalized, Unweighted)]]*$R$3</f>
        <v>0</v>
      </c>
      <c r="U2046">
        <f>_xlfn.XLOOKUP(FME_Ranking1[[#This Row],[FME ID]],FME_Input[FME_ID],FME_Input[LWC])</f>
        <v>0</v>
      </c>
      <c r="V2046" s="178">
        <f>(FME_Ranking1[[#This Row],[LWC Raw]]/$U$2)*100</f>
        <v>0</v>
      </c>
      <c r="W2046" s="178">
        <f>FME_Ranking1[[#This Row],[LWC Score (Normalized, Unweighted)]]*$U$3</f>
        <v>0</v>
      </c>
      <c r="X2046" s="246">
        <f>_xlfn.XLOOKUP(FME_Ranking1[[#This Row],[FME ID]],FME_Input[FME_ID],FME_Input[ROADCLS])</f>
        <v>1</v>
      </c>
      <c r="Y2046" s="230">
        <f>(FME_Ranking1[[#This Row],[Closures Raw]]/$X$2)*100</f>
        <v>1.0514141520344864E-2</v>
      </c>
      <c r="Z2046" s="180">
        <f>FME_Ranking1[[#This Row],[Closures Score (Normalized, Unweighted)]]*$X$3</f>
        <v>5.2570707601724321E-4</v>
      </c>
      <c r="AA2046" s="253">
        <f>_xlfn.XLOOKUP(FME_Ranking1[[#This Row],[FME ID]],FME_Input[FME_ID],FME_Input[ROAD_MILES100])</f>
        <v>9.9999997764825821E-3</v>
      </c>
      <c r="AB2046" s="178">
        <f>(FME_Ranking1[[#This Row],[Miles Raw]]/$AA$2)*100</f>
        <v>1.3148206121912974E-4</v>
      </c>
      <c r="AC2046" s="178">
        <f>FME_Ranking1[[#This Row],[Miles Score (Normalized, Unweighted)]]*$AA$3</f>
        <v>1.3148206121912975E-5</v>
      </c>
      <c r="AD2046" s="255">
        <f>_xlfn.XLOOKUP(FME_Ranking1[[#This Row],[FME ID]],FME_Input[FME_ID],FME_Input[FARMACRE100])</f>
        <v>0</v>
      </c>
      <c r="AE2046" s="230">
        <f>(FME_Ranking1[[#This Row],[Ag Land Raw]]/$AD$2)*100</f>
        <v>0</v>
      </c>
      <c r="AF2046" s="231">
        <f>FME_Ranking1[[#This Row],[Ag Land Score (Normalized, Unweighted)]]*$AD$3</f>
        <v>0</v>
      </c>
      <c r="AG204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5.388552821391562E-4</v>
      </c>
      <c r="AH2046" s="406">
        <f t="shared" si="31"/>
        <v>2090</v>
      </c>
      <c r="AI204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5.388552821391562E-4</v>
      </c>
      <c r="AJ2046" s="257">
        <f>FME_Ranking1[[#This Row],[Addition check]]-FME_Ranking1[[#This Row],[Weighted Score Based on Normalized Reported Factors]]</f>
        <v>0</v>
      </c>
      <c r="AK2046" s="178">
        <f>_xlfn.RANK.EQ(AI2046,$AI$6:$AI$2341,0)+COUNTIF($AI$6:AI2046,AI2046)-1</f>
        <v>2090</v>
      </c>
    </row>
    <row r="2047" spans="1:37" x14ac:dyDescent="0.25">
      <c r="A2047" t="s">
        <v>9594</v>
      </c>
      <c r="B2047">
        <f>_xlfn.XLOOKUP(FME_Ranking1[[#This Row],[FME ID]],FME_Input[FME_ID],FME_Input[RFPG_NUM])</f>
        <v>12</v>
      </c>
      <c r="C2047" t="str">
        <f>_xlfn.XLOOKUP(FME_Ranking1[[#This Row],[FME ID]],FME_Input[FME_ID],FME_Input[FME_NAME])</f>
        <v>Erosion at CR 401 and Cibolo Creek</v>
      </c>
      <c r="D2047" t="str">
        <f>_xlfn.XLOOKUP(FME_Ranking1[[#This Row],[FME ID]],FME_Input[FME_ID],FME_Input[DESCR])</f>
        <v>Phase I: Engineering study of design solutions to erosion of CR 401 at Cibolo Creek.Phase II: Implementation of stabilization project to address stream incision and erosion CR 401 at Cibolo Creek.</v>
      </c>
      <c r="E2047" s="256">
        <f>_xlfn.XLOOKUP(FME_Ranking1[[#This Row],[FME ID]],FME_Input[FME_ID],FME_Input[FME_COST])</f>
        <v>100000</v>
      </c>
      <c r="F2047" t="str">
        <f>_xlfn.XLOOKUP(FME_Ranking1[[#This Row],[FME ID]],FME_Input[FME_ID],FME_Input[EMER_NEED])</f>
        <v>Yes</v>
      </c>
      <c r="G2047">
        <f>IF(FME_Ranking!F2047="Yes",100,0)</f>
        <v>100</v>
      </c>
      <c r="H2047">
        <f>FME_Ranking1[[#This Row],[Emergency Need Score (Normalized, Unweighted)]]*$F$3</f>
        <v>0</v>
      </c>
      <c r="I2047" s="246">
        <f>_xlfn.XLOOKUP(FME_Ranking1[[#This Row],[FME ID]],FME_Input[FME_ID],FME_Input[STRUCT_100])</f>
        <v>0</v>
      </c>
      <c r="J2047" s="178">
        <f>(FME_Ranking1[[#This Row],[Structures 100 Raw]]/I$2)*100</f>
        <v>0</v>
      </c>
      <c r="K2047" s="178">
        <f>FME_Ranking1[[#This Row],[Structures 100  Score (Normalized, Unweighted)]]*$I$3</f>
        <v>0</v>
      </c>
      <c r="L2047" s="246">
        <f>_xlfn.XLOOKUP(FME_Ranking1[[#This Row],[FME ID]],FME_Input[FME_ID],FME_Input[RES_STRUCT100])</f>
        <v>0</v>
      </c>
      <c r="M2047" s="230">
        <f>(FME_Ranking1[[#This Row],[Res Structures Raw]]/L$2)*100</f>
        <v>0</v>
      </c>
      <c r="N2047" s="180">
        <f>FME_Ranking1[[#This Row],[Res Structures Score (Normalized, Unweighted)]]*$L$3</f>
        <v>0</v>
      </c>
      <c r="O2047" s="244">
        <f>_xlfn.XLOOKUP(FME_Ranking1[[#This Row],[FME ID]],FME_Input[FME_ID],FME_Input[POP100])</f>
        <v>0</v>
      </c>
      <c r="P2047" s="178">
        <f>(FME_Ranking1[[#This Row],[Pop Raw]]/$O$2)*100</f>
        <v>0</v>
      </c>
      <c r="Q2047" s="178">
        <f>FME_Ranking1[[#This Row],[Pop Score (Normalized, Unweighted)]]*$O$3</f>
        <v>0</v>
      </c>
      <c r="R2047" s="137">
        <f>_xlfn.XLOOKUP(FME_Ranking1[[#This Row],[FME ID]],FME_Input[FME_ID],FME_Input[CRITFAC100])</f>
        <v>0</v>
      </c>
      <c r="S2047" s="230">
        <f>(FME_Ranking1[[#This Row],[Critical Facilities Raw]]/$R$2)*100</f>
        <v>0</v>
      </c>
      <c r="T2047" s="180">
        <f>FME_Ranking1[[#This Row],[Critical Facilities Score (Normalized, Unweighted)]]*$R$3</f>
        <v>0</v>
      </c>
      <c r="U2047">
        <f>_xlfn.XLOOKUP(FME_Ranking1[[#This Row],[FME ID]],FME_Input[FME_ID],FME_Input[LWC])</f>
        <v>0</v>
      </c>
      <c r="V2047" s="178">
        <f>(FME_Ranking1[[#This Row],[LWC Raw]]/$U$2)*100</f>
        <v>0</v>
      </c>
      <c r="W2047" s="178">
        <f>FME_Ranking1[[#This Row],[LWC Score (Normalized, Unweighted)]]*$U$3</f>
        <v>0</v>
      </c>
      <c r="X2047" s="246">
        <f>_xlfn.XLOOKUP(FME_Ranking1[[#This Row],[FME ID]],FME_Input[FME_ID],FME_Input[ROADCLS])</f>
        <v>1</v>
      </c>
      <c r="Y2047" s="230">
        <f>(FME_Ranking1[[#This Row],[Closures Raw]]/$X$2)*100</f>
        <v>1.0514141520344864E-2</v>
      </c>
      <c r="Z2047" s="180">
        <f>FME_Ranking1[[#This Row],[Closures Score (Normalized, Unweighted)]]*$X$3</f>
        <v>5.2570707601724321E-4</v>
      </c>
      <c r="AA2047" s="253">
        <f>_xlfn.XLOOKUP(FME_Ranking1[[#This Row],[FME ID]],FME_Input[FME_ID],FME_Input[ROAD_MILES100])</f>
        <v>7.0000000298023224E-2</v>
      </c>
      <c r="AB2047" s="178">
        <f>(FME_Ranking1[[#This Row],[Miles Raw]]/$AA$2)*100</f>
        <v>9.2037445302435106E-4</v>
      </c>
      <c r="AC2047" s="178">
        <f>FME_Ranking1[[#This Row],[Miles Score (Normalized, Unweighted)]]*$AA$3</f>
        <v>9.2037445302435117E-5</v>
      </c>
      <c r="AD2047" s="255">
        <f>_xlfn.XLOOKUP(FME_Ranking1[[#This Row],[FME ID]],FME_Input[FME_ID],FME_Input[FARMACRE100])</f>
        <v>0</v>
      </c>
      <c r="AE2047" s="230">
        <f>(FME_Ranking1[[#This Row],[Ag Land Raw]]/$AD$2)*100</f>
        <v>0</v>
      </c>
      <c r="AF2047" s="231">
        <f>FME_Ranking1[[#This Row],[Ag Land Score (Normalized, Unweighted)]]*$AD$3</f>
        <v>0</v>
      </c>
      <c r="AG204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6.1774452131967833E-4</v>
      </c>
      <c r="AH2047" s="406">
        <f t="shared" si="31"/>
        <v>2067</v>
      </c>
      <c r="AI204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6.1774452131967833E-4</v>
      </c>
      <c r="AJ2047" s="257">
        <f>FME_Ranking1[[#This Row],[Addition check]]-FME_Ranking1[[#This Row],[Weighted Score Based on Normalized Reported Factors]]</f>
        <v>0</v>
      </c>
      <c r="AK2047" s="178">
        <f>_xlfn.RANK.EQ(AI2047,$AI$6:$AI$2341,0)+COUNTIF($AI$6:AI2047,AI2047)-1</f>
        <v>2067</v>
      </c>
    </row>
    <row r="2048" spans="1:37" x14ac:dyDescent="0.25">
      <c r="A2048" t="s">
        <v>9684</v>
      </c>
      <c r="B2048">
        <f>_xlfn.XLOOKUP(FME_Ranking1[[#This Row],[FME ID]],FME_Input[FME_ID],FME_Input[RFPG_NUM])</f>
        <v>12</v>
      </c>
      <c r="C2048" t="str">
        <f>_xlfn.XLOOKUP(FME_Ranking1[[#This Row],[FME ID]],FME_Input[FME_ID],FME_Input[FME_NAME])</f>
        <v>Recommend for Wilson Roadways-Project 3-CR 122 &amp; Mariana Creek</v>
      </c>
      <c r="D2048" t="str">
        <f>_xlfn.XLOOKUP(FME_Ranking1[[#This Row],[FME ID]],FME_Input[FME_ID],FME_Input[DESCR])</f>
        <v>Upgrade crossing so that it provides a safe evacuation route during large storm events.</v>
      </c>
      <c r="E2048" s="256">
        <f>_xlfn.XLOOKUP(FME_Ranking1[[#This Row],[FME ID]],FME_Input[FME_ID],FME_Input[FME_COST])</f>
        <v>100000</v>
      </c>
      <c r="F2048" t="str">
        <f>_xlfn.XLOOKUP(FME_Ranking1[[#This Row],[FME ID]],FME_Input[FME_ID],FME_Input[EMER_NEED])</f>
        <v>Yes</v>
      </c>
      <c r="G2048">
        <f>IF(FME_Ranking!F2048="Yes",100,0)</f>
        <v>100</v>
      </c>
      <c r="H2048">
        <f>FME_Ranking1[[#This Row],[Emergency Need Score (Normalized, Unweighted)]]*$F$3</f>
        <v>0</v>
      </c>
      <c r="I2048" s="246">
        <f>_xlfn.XLOOKUP(FME_Ranking1[[#This Row],[FME ID]],FME_Input[FME_ID],FME_Input[STRUCT_100])</f>
        <v>0</v>
      </c>
      <c r="J2048" s="178">
        <f>(FME_Ranking1[[#This Row],[Structures 100 Raw]]/I$2)*100</f>
        <v>0</v>
      </c>
      <c r="K2048" s="178">
        <f>FME_Ranking1[[#This Row],[Structures 100  Score (Normalized, Unweighted)]]*$I$3</f>
        <v>0</v>
      </c>
      <c r="L2048" s="246">
        <f>_xlfn.XLOOKUP(FME_Ranking1[[#This Row],[FME ID]],FME_Input[FME_ID],FME_Input[RES_STRUCT100])</f>
        <v>0</v>
      </c>
      <c r="M2048" s="230">
        <f>(FME_Ranking1[[#This Row],[Res Structures Raw]]/L$2)*100</f>
        <v>0</v>
      </c>
      <c r="N2048" s="180">
        <f>FME_Ranking1[[#This Row],[Res Structures Score (Normalized, Unweighted)]]*$L$3</f>
        <v>0</v>
      </c>
      <c r="O2048" s="244">
        <f>_xlfn.XLOOKUP(FME_Ranking1[[#This Row],[FME ID]],FME_Input[FME_ID],FME_Input[POP100])</f>
        <v>0</v>
      </c>
      <c r="P2048" s="178">
        <f>(FME_Ranking1[[#This Row],[Pop Raw]]/$O$2)*100</f>
        <v>0</v>
      </c>
      <c r="Q2048" s="178">
        <f>FME_Ranking1[[#This Row],[Pop Score (Normalized, Unweighted)]]*$O$3</f>
        <v>0</v>
      </c>
      <c r="R2048" s="137">
        <f>_xlfn.XLOOKUP(FME_Ranking1[[#This Row],[FME ID]],FME_Input[FME_ID],FME_Input[CRITFAC100])</f>
        <v>0</v>
      </c>
      <c r="S2048" s="230">
        <f>(FME_Ranking1[[#This Row],[Critical Facilities Raw]]/$R$2)*100</f>
        <v>0</v>
      </c>
      <c r="T2048" s="180">
        <f>FME_Ranking1[[#This Row],[Critical Facilities Score (Normalized, Unweighted)]]*$R$3</f>
        <v>0</v>
      </c>
      <c r="U2048">
        <f>_xlfn.XLOOKUP(FME_Ranking1[[#This Row],[FME ID]],FME_Input[FME_ID],FME_Input[LWC])</f>
        <v>0</v>
      </c>
      <c r="V2048" s="178">
        <f>(FME_Ranking1[[#This Row],[LWC Raw]]/$U$2)*100</f>
        <v>0</v>
      </c>
      <c r="W2048" s="178">
        <f>FME_Ranking1[[#This Row],[LWC Score (Normalized, Unweighted)]]*$U$3</f>
        <v>0</v>
      </c>
      <c r="X2048" s="246">
        <f>_xlfn.XLOOKUP(FME_Ranking1[[#This Row],[FME ID]],FME_Input[FME_ID],FME_Input[ROADCLS])</f>
        <v>1</v>
      </c>
      <c r="Y2048" s="230">
        <f>(FME_Ranking1[[#This Row],[Closures Raw]]/$X$2)*100</f>
        <v>1.0514141520344864E-2</v>
      </c>
      <c r="Z2048" s="180">
        <f>FME_Ranking1[[#This Row],[Closures Score (Normalized, Unweighted)]]*$X$3</f>
        <v>5.2570707601724321E-4</v>
      </c>
      <c r="AA2048" s="253">
        <f>_xlfn.XLOOKUP(FME_Ranking1[[#This Row],[FME ID]],FME_Input[FME_ID],FME_Input[ROAD_MILES100])</f>
        <v>0.119999997317791</v>
      </c>
      <c r="AB2048" s="178">
        <f>(FME_Ranking1[[#This Row],[Miles Raw]]/$AA$2)*100</f>
        <v>1.5777847346295571E-3</v>
      </c>
      <c r="AC2048" s="178">
        <f>FME_Ranking1[[#This Row],[Miles Score (Normalized, Unweighted)]]*$AA$3</f>
        <v>1.5777847346295571E-4</v>
      </c>
      <c r="AD2048" s="255">
        <f>_xlfn.XLOOKUP(FME_Ranking1[[#This Row],[FME ID]],FME_Input[FME_ID],FME_Input[FARMACRE100])</f>
        <v>0</v>
      </c>
      <c r="AE2048" s="230">
        <f>(FME_Ranking1[[#This Row],[Ag Land Raw]]/$AD$2)*100</f>
        <v>0</v>
      </c>
      <c r="AF2048" s="231">
        <f>FME_Ranking1[[#This Row],[Ag Land Score (Normalized, Unweighted)]]*$AD$3</f>
        <v>0</v>
      </c>
      <c r="AG204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6.8348554948019892E-4</v>
      </c>
      <c r="AH2048" s="406">
        <f t="shared" si="31"/>
        <v>2060</v>
      </c>
      <c r="AI204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6.8348554948019892E-4</v>
      </c>
      <c r="AJ2048" s="257">
        <f>FME_Ranking1[[#This Row],[Addition check]]-FME_Ranking1[[#This Row],[Weighted Score Based on Normalized Reported Factors]]</f>
        <v>0</v>
      </c>
      <c r="AK2048" s="178">
        <f>_xlfn.RANK.EQ(AI2048,$AI$6:$AI$2341,0)+COUNTIF($AI$6:AI2048,AI2048)-1</f>
        <v>2060</v>
      </c>
    </row>
    <row r="2049" spans="1:37" x14ac:dyDescent="0.25">
      <c r="A2049" t="s">
        <v>9736</v>
      </c>
      <c r="B2049">
        <f>_xlfn.XLOOKUP(FME_Ranking1[[#This Row],[FME ID]],FME_Input[FME_ID],FME_Input[RFPG_NUM])</f>
        <v>12</v>
      </c>
      <c r="C2049" t="str">
        <f>_xlfn.XLOOKUP(FME_Ranking1[[#This Row],[FME ID]],FME_Input[FME_ID],FME_Input[FME_NAME])</f>
        <v>Bandera State Highway 173 Study</v>
      </c>
      <c r="D2049" t="str">
        <f>_xlfn.XLOOKUP(FME_Ranking1[[#This Row],[FME ID]],FME_Input[FME_ID],FME_Input[DESCR])</f>
        <v>Prevents access to citizens from the city. Study to upgrade crossing.</v>
      </c>
      <c r="E2049" s="256">
        <f>_xlfn.XLOOKUP(FME_Ranking1[[#This Row],[FME ID]],FME_Input[FME_ID],FME_Input[FME_COST])</f>
        <v>150000</v>
      </c>
      <c r="F2049" t="str">
        <f>_xlfn.XLOOKUP(FME_Ranking1[[#This Row],[FME ID]],FME_Input[FME_ID],FME_Input[EMER_NEED])</f>
        <v>Yes</v>
      </c>
      <c r="G2049">
        <f>IF(FME_Ranking!F2049="Yes",100,0)</f>
        <v>100</v>
      </c>
      <c r="H2049">
        <f>FME_Ranking1[[#This Row],[Emergency Need Score (Normalized, Unweighted)]]*$F$3</f>
        <v>0</v>
      </c>
      <c r="I2049" s="246">
        <f>_xlfn.XLOOKUP(FME_Ranking1[[#This Row],[FME ID]],FME_Input[FME_ID],FME_Input[STRUCT_100])</f>
        <v>0</v>
      </c>
      <c r="J2049" s="178">
        <f>(FME_Ranking1[[#This Row],[Structures 100 Raw]]/I$2)*100</f>
        <v>0</v>
      </c>
      <c r="K2049" s="178">
        <f>FME_Ranking1[[#This Row],[Structures 100  Score (Normalized, Unweighted)]]*$I$3</f>
        <v>0</v>
      </c>
      <c r="L2049" s="246">
        <f>_xlfn.XLOOKUP(FME_Ranking1[[#This Row],[FME ID]],FME_Input[FME_ID],FME_Input[RES_STRUCT100])</f>
        <v>0</v>
      </c>
      <c r="M2049" s="230">
        <f>(FME_Ranking1[[#This Row],[Res Structures Raw]]/L$2)*100</f>
        <v>0</v>
      </c>
      <c r="N2049" s="180">
        <f>FME_Ranking1[[#This Row],[Res Structures Score (Normalized, Unweighted)]]*$L$3</f>
        <v>0</v>
      </c>
      <c r="O2049" s="244">
        <f>_xlfn.XLOOKUP(FME_Ranking1[[#This Row],[FME ID]],FME_Input[FME_ID],FME_Input[POP100])</f>
        <v>0</v>
      </c>
      <c r="P2049" s="178">
        <f>(FME_Ranking1[[#This Row],[Pop Raw]]/$O$2)*100</f>
        <v>0</v>
      </c>
      <c r="Q2049" s="178">
        <f>FME_Ranking1[[#This Row],[Pop Score (Normalized, Unweighted)]]*$O$3</f>
        <v>0</v>
      </c>
      <c r="R2049" s="137">
        <f>_xlfn.XLOOKUP(FME_Ranking1[[#This Row],[FME ID]],FME_Input[FME_ID],FME_Input[CRITFAC100])</f>
        <v>0</v>
      </c>
      <c r="S2049" s="230">
        <f>(FME_Ranking1[[#This Row],[Critical Facilities Raw]]/$R$2)*100</f>
        <v>0</v>
      </c>
      <c r="T2049" s="180">
        <f>FME_Ranking1[[#This Row],[Critical Facilities Score (Normalized, Unweighted)]]*$R$3</f>
        <v>0</v>
      </c>
      <c r="U2049">
        <f>_xlfn.XLOOKUP(FME_Ranking1[[#This Row],[FME ID]],FME_Input[FME_ID],FME_Input[LWC])</f>
        <v>0</v>
      </c>
      <c r="V2049" s="178">
        <f>(FME_Ranking1[[#This Row],[LWC Raw]]/$U$2)*100</f>
        <v>0</v>
      </c>
      <c r="W2049" s="178">
        <f>FME_Ranking1[[#This Row],[LWC Score (Normalized, Unweighted)]]*$U$3</f>
        <v>0</v>
      </c>
      <c r="X2049" s="246">
        <f>_xlfn.XLOOKUP(FME_Ranking1[[#This Row],[FME ID]],FME_Input[FME_ID],FME_Input[ROADCLS])</f>
        <v>1</v>
      </c>
      <c r="Y2049" s="230">
        <f>(FME_Ranking1[[#This Row],[Closures Raw]]/$X$2)*100</f>
        <v>1.0514141520344864E-2</v>
      </c>
      <c r="Z2049" s="180">
        <f>FME_Ranking1[[#This Row],[Closures Score (Normalized, Unweighted)]]*$X$3</f>
        <v>5.2570707601724321E-4</v>
      </c>
      <c r="AA2049" s="253">
        <f>_xlfn.XLOOKUP(FME_Ranking1[[#This Row],[FME ID]],FME_Input[FME_ID],FME_Input[ROAD_MILES100])</f>
        <v>3.9999999105930328E-2</v>
      </c>
      <c r="AB2049" s="178">
        <f>(FME_Ranking1[[#This Row],[Miles Raw]]/$AA$2)*100</f>
        <v>5.2592824487651896E-4</v>
      </c>
      <c r="AC2049" s="178">
        <f>FME_Ranking1[[#This Row],[Miles Score (Normalized, Unweighted)]]*$AA$3</f>
        <v>5.2592824487651899E-5</v>
      </c>
      <c r="AD2049" s="255">
        <f>_xlfn.XLOOKUP(FME_Ranking1[[#This Row],[FME ID]],FME_Input[FME_ID],FME_Input[FARMACRE100])</f>
        <v>0</v>
      </c>
      <c r="AE2049" s="230">
        <f>(FME_Ranking1[[#This Row],[Ag Land Raw]]/$AD$2)*100</f>
        <v>0</v>
      </c>
      <c r="AF2049" s="231">
        <f>FME_Ranking1[[#This Row],[Ag Land Score (Normalized, Unweighted)]]*$AD$3</f>
        <v>0</v>
      </c>
      <c r="AG204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5.7829990050489515E-4</v>
      </c>
      <c r="AH2049" s="406">
        <f t="shared" si="31"/>
        <v>2072</v>
      </c>
      <c r="AI204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5.7829990050489515E-4</v>
      </c>
      <c r="AJ2049" s="257">
        <f>FME_Ranking1[[#This Row],[Addition check]]-FME_Ranking1[[#This Row],[Weighted Score Based on Normalized Reported Factors]]</f>
        <v>0</v>
      </c>
      <c r="AK2049" s="178">
        <f>_xlfn.RANK.EQ(AI2049,$AI$6:$AI$2341,0)+COUNTIF($AI$6:AI2049,AI2049)-1</f>
        <v>2073</v>
      </c>
    </row>
    <row r="2050" spans="1:37" x14ac:dyDescent="0.25">
      <c r="A2050" t="s">
        <v>9771</v>
      </c>
      <c r="B2050">
        <f>_xlfn.XLOOKUP(FME_Ranking1[[#This Row],[FME ID]],FME_Input[FME_ID],FME_Input[RFPG_NUM])</f>
        <v>12</v>
      </c>
      <c r="C2050" t="str">
        <f>_xlfn.XLOOKUP(FME_Ranking1[[#This Row],[FME ID]],FME_Input[FME_ID],FME_Input[FME_NAME])</f>
        <v>Bandera 470 and Medina River Study</v>
      </c>
      <c r="D2050" t="str">
        <f>_xlfn.XLOOKUP(FME_Ranking1[[#This Row],[FME ID]],FME_Input[FME_ID],FME_Input[DESCR])</f>
        <v>Blocks people of Tarpley from EMS and other lifelines in the city of Bandera. Study to upgrade road.</v>
      </c>
      <c r="E2050" s="256">
        <f>_xlfn.XLOOKUP(FME_Ranking1[[#This Row],[FME ID]],FME_Input[FME_ID],FME_Input[FME_COST])</f>
        <v>50000</v>
      </c>
      <c r="F2050" t="str">
        <f>_xlfn.XLOOKUP(FME_Ranking1[[#This Row],[FME ID]],FME_Input[FME_ID],FME_Input[EMER_NEED])</f>
        <v>Yes</v>
      </c>
      <c r="G2050">
        <f>IF(FME_Ranking!F2050="Yes",100,0)</f>
        <v>100</v>
      </c>
      <c r="H2050">
        <f>FME_Ranking1[[#This Row],[Emergency Need Score (Normalized, Unweighted)]]*$F$3</f>
        <v>0</v>
      </c>
      <c r="I2050" s="246">
        <f>_xlfn.XLOOKUP(FME_Ranking1[[#This Row],[FME ID]],FME_Input[FME_ID],FME_Input[STRUCT_100])</f>
        <v>0</v>
      </c>
      <c r="J2050" s="178">
        <f>(FME_Ranking1[[#This Row],[Structures 100 Raw]]/I$2)*100</f>
        <v>0</v>
      </c>
      <c r="K2050" s="178">
        <f>FME_Ranking1[[#This Row],[Structures 100  Score (Normalized, Unweighted)]]*$I$3</f>
        <v>0</v>
      </c>
      <c r="L2050" s="246">
        <f>_xlfn.XLOOKUP(FME_Ranking1[[#This Row],[FME ID]],FME_Input[FME_ID],FME_Input[RES_STRUCT100])</f>
        <v>0</v>
      </c>
      <c r="M2050" s="230">
        <f>(FME_Ranking1[[#This Row],[Res Structures Raw]]/L$2)*100</f>
        <v>0</v>
      </c>
      <c r="N2050" s="180">
        <f>FME_Ranking1[[#This Row],[Res Structures Score (Normalized, Unweighted)]]*$L$3</f>
        <v>0</v>
      </c>
      <c r="O2050" s="244">
        <f>_xlfn.XLOOKUP(FME_Ranking1[[#This Row],[FME ID]],FME_Input[FME_ID],FME_Input[POP100])</f>
        <v>0</v>
      </c>
      <c r="P2050" s="178">
        <f>(FME_Ranking1[[#This Row],[Pop Raw]]/$O$2)*100</f>
        <v>0</v>
      </c>
      <c r="Q2050" s="178">
        <f>FME_Ranking1[[#This Row],[Pop Score (Normalized, Unweighted)]]*$O$3</f>
        <v>0</v>
      </c>
      <c r="R2050" s="137">
        <f>_xlfn.XLOOKUP(FME_Ranking1[[#This Row],[FME ID]],FME_Input[FME_ID],FME_Input[CRITFAC100])</f>
        <v>0</v>
      </c>
      <c r="S2050" s="230">
        <f>(FME_Ranking1[[#This Row],[Critical Facilities Raw]]/$R$2)*100</f>
        <v>0</v>
      </c>
      <c r="T2050" s="180">
        <f>FME_Ranking1[[#This Row],[Critical Facilities Score (Normalized, Unweighted)]]*$R$3</f>
        <v>0</v>
      </c>
      <c r="U2050">
        <f>_xlfn.XLOOKUP(FME_Ranking1[[#This Row],[FME ID]],FME_Input[FME_ID],FME_Input[LWC])</f>
        <v>0</v>
      </c>
      <c r="V2050" s="178">
        <f>(FME_Ranking1[[#This Row],[LWC Raw]]/$U$2)*100</f>
        <v>0</v>
      </c>
      <c r="W2050" s="178">
        <f>FME_Ranking1[[#This Row],[LWC Score (Normalized, Unweighted)]]*$U$3</f>
        <v>0</v>
      </c>
      <c r="X2050" s="246">
        <f>_xlfn.XLOOKUP(FME_Ranking1[[#This Row],[FME ID]],FME_Input[FME_ID],FME_Input[ROADCLS])</f>
        <v>1</v>
      </c>
      <c r="Y2050" s="230">
        <f>(FME_Ranking1[[#This Row],[Closures Raw]]/$X$2)*100</f>
        <v>1.0514141520344864E-2</v>
      </c>
      <c r="Z2050" s="180">
        <f>FME_Ranking1[[#This Row],[Closures Score (Normalized, Unweighted)]]*$X$3</f>
        <v>5.2570707601724321E-4</v>
      </c>
      <c r="AA2050" s="253">
        <f>_xlfn.XLOOKUP(FME_Ranking1[[#This Row],[FME ID]],FME_Input[FME_ID],FME_Input[ROAD_MILES100])</f>
        <v>0.4699999988079071</v>
      </c>
      <c r="AB2050" s="178">
        <f>(FME_Ranking1[[#This Row],[Miles Raw]]/$AA$2)*100</f>
        <v>6.1796569997513125E-3</v>
      </c>
      <c r="AC2050" s="178">
        <f>FME_Ranking1[[#This Row],[Miles Score (Normalized, Unweighted)]]*$AA$3</f>
        <v>6.1796569997513129E-4</v>
      </c>
      <c r="AD2050" s="255">
        <f>_xlfn.XLOOKUP(FME_Ranking1[[#This Row],[FME ID]],FME_Input[FME_ID],FME_Input[FARMACRE100])</f>
        <v>0</v>
      </c>
      <c r="AE2050" s="230">
        <f>(FME_Ranking1[[#This Row],[Ag Land Raw]]/$AD$2)*100</f>
        <v>0</v>
      </c>
      <c r="AF2050" s="231">
        <f>FME_Ranking1[[#This Row],[Ag Land Score (Normalized, Unweighted)]]*$AD$3</f>
        <v>0</v>
      </c>
      <c r="AG205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1.1436727759923746E-3</v>
      </c>
      <c r="AH2050" s="406">
        <f t="shared" si="31"/>
        <v>2016</v>
      </c>
      <c r="AI205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1.1436727759923746E-3</v>
      </c>
      <c r="AJ2050" s="257">
        <f>FME_Ranking1[[#This Row],[Addition check]]-FME_Ranking1[[#This Row],[Weighted Score Based on Normalized Reported Factors]]</f>
        <v>0</v>
      </c>
      <c r="AK2050" s="178">
        <f>_xlfn.RANK.EQ(AI2050,$AI$6:$AI$2341,0)+COUNTIF($AI$6:AI2050,AI2050)-1</f>
        <v>2016</v>
      </c>
    </row>
    <row r="2051" spans="1:37" x14ac:dyDescent="0.25">
      <c r="A2051" t="s">
        <v>9829</v>
      </c>
      <c r="B2051">
        <f>_xlfn.XLOOKUP(FME_Ranking1[[#This Row],[FME ID]],FME_Input[FME_ID],FME_Input[RFPG_NUM])</f>
        <v>12</v>
      </c>
      <c r="C2051" t="str">
        <f>_xlfn.XLOOKUP(FME_Ranking1[[#This Row],[FME ID]],FME_Input[FME_ID],FME_Input[FME_NAME])</f>
        <v>Recommend for Wilson Roadways - Project 7 - CR 119 &amp; Mariana Creek</v>
      </c>
      <c r="D2051" t="str">
        <f>_xlfn.XLOOKUP(FME_Ranking1[[#This Row],[FME ID]],FME_Input[FME_ID],FME_Input[DESCR])</f>
        <v>Study: Upgrade bridge so that it provides a safe evacuation route during large storm events.</v>
      </c>
      <c r="E2051" s="256">
        <f>_xlfn.XLOOKUP(FME_Ranking1[[#This Row],[FME ID]],FME_Input[FME_ID],FME_Input[FME_COST])</f>
        <v>100000</v>
      </c>
      <c r="F2051" t="str">
        <f>_xlfn.XLOOKUP(FME_Ranking1[[#This Row],[FME ID]],FME_Input[FME_ID],FME_Input[EMER_NEED])</f>
        <v>Yes</v>
      </c>
      <c r="G2051">
        <f>IF(FME_Ranking!F2051="Yes",100,0)</f>
        <v>100</v>
      </c>
      <c r="H2051">
        <f>FME_Ranking1[[#This Row],[Emergency Need Score (Normalized, Unweighted)]]*$F$3</f>
        <v>0</v>
      </c>
      <c r="I2051" s="246">
        <f>_xlfn.XLOOKUP(FME_Ranking1[[#This Row],[FME ID]],FME_Input[FME_ID],FME_Input[STRUCT_100])</f>
        <v>0</v>
      </c>
      <c r="J2051" s="178">
        <f>(FME_Ranking1[[#This Row],[Structures 100 Raw]]/I$2)*100</f>
        <v>0</v>
      </c>
      <c r="K2051" s="178">
        <f>FME_Ranking1[[#This Row],[Structures 100  Score (Normalized, Unweighted)]]*$I$3</f>
        <v>0</v>
      </c>
      <c r="L2051" s="246">
        <f>_xlfn.XLOOKUP(FME_Ranking1[[#This Row],[FME ID]],FME_Input[FME_ID],FME_Input[RES_STRUCT100])</f>
        <v>0</v>
      </c>
      <c r="M2051" s="230">
        <f>(FME_Ranking1[[#This Row],[Res Structures Raw]]/L$2)*100</f>
        <v>0</v>
      </c>
      <c r="N2051" s="180">
        <f>FME_Ranking1[[#This Row],[Res Structures Score (Normalized, Unweighted)]]*$L$3</f>
        <v>0</v>
      </c>
      <c r="O2051" s="244">
        <f>_xlfn.XLOOKUP(FME_Ranking1[[#This Row],[FME ID]],FME_Input[FME_ID],FME_Input[POP100])</f>
        <v>0</v>
      </c>
      <c r="P2051" s="178">
        <f>(FME_Ranking1[[#This Row],[Pop Raw]]/$O$2)*100</f>
        <v>0</v>
      </c>
      <c r="Q2051" s="178">
        <f>FME_Ranking1[[#This Row],[Pop Score (Normalized, Unweighted)]]*$O$3</f>
        <v>0</v>
      </c>
      <c r="R2051" s="137">
        <f>_xlfn.XLOOKUP(FME_Ranking1[[#This Row],[FME ID]],FME_Input[FME_ID],FME_Input[CRITFAC100])</f>
        <v>0</v>
      </c>
      <c r="S2051" s="230">
        <f>(FME_Ranking1[[#This Row],[Critical Facilities Raw]]/$R$2)*100</f>
        <v>0</v>
      </c>
      <c r="T2051" s="180">
        <f>FME_Ranking1[[#This Row],[Critical Facilities Score (Normalized, Unweighted)]]*$R$3</f>
        <v>0</v>
      </c>
      <c r="U2051">
        <f>_xlfn.XLOOKUP(FME_Ranking1[[#This Row],[FME ID]],FME_Input[FME_ID],FME_Input[LWC])</f>
        <v>0</v>
      </c>
      <c r="V2051" s="178">
        <f>(FME_Ranking1[[#This Row],[LWC Raw]]/$U$2)*100</f>
        <v>0</v>
      </c>
      <c r="W2051" s="178">
        <f>FME_Ranking1[[#This Row],[LWC Score (Normalized, Unweighted)]]*$U$3</f>
        <v>0</v>
      </c>
      <c r="X2051" s="246">
        <f>_xlfn.XLOOKUP(FME_Ranking1[[#This Row],[FME ID]],FME_Input[FME_ID],FME_Input[ROADCLS])</f>
        <v>1</v>
      </c>
      <c r="Y2051" s="230">
        <f>(FME_Ranking1[[#This Row],[Closures Raw]]/$X$2)*100</f>
        <v>1.0514141520344864E-2</v>
      </c>
      <c r="Z2051" s="180">
        <f>FME_Ranking1[[#This Row],[Closures Score (Normalized, Unweighted)]]*$X$3</f>
        <v>5.2570707601724321E-4</v>
      </c>
      <c r="AA2051" s="253">
        <f>_xlfn.XLOOKUP(FME_Ranking1[[#This Row],[FME ID]],FME_Input[FME_ID],FME_Input[ROAD_MILES100])</f>
        <v>3.9999999105930328E-2</v>
      </c>
      <c r="AB2051" s="178">
        <f>(FME_Ranking1[[#This Row],[Miles Raw]]/$AA$2)*100</f>
        <v>5.2592824487651896E-4</v>
      </c>
      <c r="AC2051" s="178">
        <f>FME_Ranking1[[#This Row],[Miles Score (Normalized, Unweighted)]]*$AA$3</f>
        <v>5.2592824487651899E-5</v>
      </c>
      <c r="AD2051" s="255">
        <f>_xlfn.XLOOKUP(FME_Ranking1[[#This Row],[FME ID]],FME_Input[FME_ID],FME_Input[FARMACRE100])</f>
        <v>0</v>
      </c>
      <c r="AE2051" s="230">
        <f>(FME_Ranking1[[#This Row],[Ag Land Raw]]/$AD$2)*100</f>
        <v>0</v>
      </c>
      <c r="AF2051" s="231">
        <f>FME_Ranking1[[#This Row],[Ag Land Score (Normalized, Unweighted)]]*$AD$3</f>
        <v>0</v>
      </c>
      <c r="AG205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5.7829990050489515E-4</v>
      </c>
      <c r="AH2051" s="406">
        <f t="shared" si="31"/>
        <v>2072</v>
      </c>
      <c r="AI205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5.7829990050489515E-4</v>
      </c>
      <c r="AJ2051" s="257">
        <f>FME_Ranking1[[#This Row],[Addition check]]-FME_Ranking1[[#This Row],[Weighted Score Based on Normalized Reported Factors]]</f>
        <v>0</v>
      </c>
      <c r="AK2051" s="178">
        <f>_xlfn.RANK.EQ(AI2051,$AI$6:$AI$2341,0)+COUNTIF($AI$6:AI2051,AI2051)-1</f>
        <v>2074</v>
      </c>
    </row>
    <row r="2052" spans="1:37" x14ac:dyDescent="0.25">
      <c r="A2052" t="s">
        <v>9870</v>
      </c>
      <c r="B2052">
        <f>_xlfn.XLOOKUP(FME_Ranking1[[#This Row],[FME ID]],FME_Input[FME_ID],FME_Input[RFPG_NUM])</f>
        <v>12</v>
      </c>
      <c r="C2052" t="str">
        <f>_xlfn.XLOOKUP(FME_Ranking1[[#This Row],[FME ID]],FME_Input[FME_ID],FME_Input[FME_NAME])</f>
        <v>Gass Road at Culebra Creek Tributary D</v>
      </c>
      <c r="D2052" t="str">
        <f>_xlfn.XLOOKUP(FME_Ranking1[[#This Row],[FME ID]],FME_Input[FME_ID],FME_Input[DESCR])</f>
        <v>Engineering study to assess the removal of Gass Road from the 100-Yr flood plain at Culebra Creek Tributary D for 100-Yr accessibility and driver safety at the crossing.</v>
      </c>
      <c r="E2052" s="256">
        <f>_xlfn.XLOOKUP(FME_Ranking1[[#This Row],[FME ID]],FME_Input[FME_ID],FME_Input[FME_COST])</f>
        <v>100000</v>
      </c>
      <c r="F2052" t="str">
        <f>_xlfn.XLOOKUP(FME_Ranking1[[#This Row],[FME ID]],FME_Input[FME_ID],FME_Input[EMER_NEED])</f>
        <v>No</v>
      </c>
      <c r="G2052">
        <f>IF(FME_Ranking!F2052="Yes",100,0)</f>
        <v>0</v>
      </c>
      <c r="H2052">
        <f>FME_Ranking1[[#This Row],[Emergency Need Score (Normalized, Unweighted)]]*$F$3</f>
        <v>0</v>
      </c>
      <c r="I2052" s="246">
        <f>_xlfn.XLOOKUP(FME_Ranking1[[#This Row],[FME ID]],FME_Input[FME_ID],FME_Input[STRUCT_100])</f>
        <v>0</v>
      </c>
      <c r="J2052" s="178">
        <f>(FME_Ranking1[[#This Row],[Structures 100 Raw]]/I$2)*100</f>
        <v>0</v>
      </c>
      <c r="K2052" s="178">
        <f>FME_Ranking1[[#This Row],[Structures 100  Score (Normalized, Unweighted)]]*$I$3</f>
        <v>0</v>
      </c>
      <c r="L2052" s="246">
        <f>_xlfn.XLOOKUP(FME_Ranking1[[#This Row],[FME ID]],FME_Input[FME_ID],FME_Input[RES_STRUCT100])</f>
        <v>0</v>
      </c>
      <c r="M2052" s="230">
        <f>(FME_Ranking1[[#This Row],[Res Structures Raw]]/L$2)*100</f>
        <v>0</v>
      </c>
      <c r="N2052" s="180">
        <f>FME_Ranking1[[#This Row],[Res Structures Score (Normalized, Unweighted)]]*$L$3</f>
        <v>0</v>
      </c>
      <c r="O2052" s="244">
        <f>_xlfn.XLOOKUP(FME_Ranking1[[#This Row],[FME ID]],FME_Input[FME_ID],FME_Input[POP100])</f>
        <v>0</v>
      </c>
      <c r="P2052" s="178">
        <f>(FME_Ranking1[[#This Row],[Pop Raw]]/$O$2)*100</f>
        <v>0</v>
      </c>
      <c r="Q2052" s="178">
        <f>FME_Ranking1[[#This Row],[Pop Score (Normalized, Unweighted)]]*$O$3</f>
        <v>0</v>
      </c>
      <c r="R2052" s="137">
        <f>_xlfn.XLOOKUP(FME_Ranking1[[#This Row],[FME ID]],FME_Input[FME_ID],FME_Input[CRITFAC100])</f>
        <v>0</v>
      </c>
      <c r="S2052" s="230">
        <f>(FME_Ranking1[[#This Row],[Critical Facilities Raw]]/$R$2)*100</f>
        <v>0</v>
      </c>
      <c r="T2052" s="180">
        <f>FME_Ranking1[[#This Row],[Critical Facilities Score (Normalized, Unweighted)]]*$R$3</f>
        <v>0</v>
      </c>
      <c r="U2052">
        <f>_xlfn.XLOOKUP(FME_Ranking1[[#This Row],[FME ID]],FME_Input[FME_ID],FME_Input[LWC])</f>
        <v>0</v>
      </c>
      <c r="V2052" s="178">
        <f>(FME_Ranking1[[#This Row],[LWC Raw]]/$U$2)*100</f>
        <v>0</v>
      </c>
      <c r="W2052" s="178">
        <f>FME_Ranking1[[#This Row],[LWC Score (Normalized, Unweighted)]]*$U$3</f>
        <v>0</v>
      </c>
      <c r="X2052" s="246">
        <f>_xlfn.XLOOKUP(FME_Ranking1[[#This Row],[FME ID]],FME_Input[FME_ID],FME_Input[ROADCLS])</f>
        <v>1</v>
      </c>
      <c r="Y2052" s="230">
        <f>(FME_Ranking1[[#This Row],[Closures Raw]]/$X$2)*100</f>
        <v>1.0514141520344864E-2</v>
      </c>
      <c r="Z2052" s="180">
        <f>FME_Ranking1[[#This Row],[Closures Score (Normalized, Unweighted)]]*$X$3</f>
        <v>5.2570707601724321E-4</v>
      </c>
      <c r="AA2052" s="253">
        <f>_xlfn.XLOOKUP(FME_Ranking1[[#This Row],[FME ID]],FME_Input[FME_ID],FME_Input[ROAD_MILES100])</f>
        <v>3.9999999105930328E-2</v>
      </c>
      <c r="AB2052" s="178">
        <f>(FME_Ranking1[[#This Row],[Miles Raw]]/$AA$2)*100</f>
        <v>5.2592824487651896E-4</v>
      </c>
      <c r="AC2052" s="178">
        <f>FME_Ranking1[[#This Row],[Miles Score (Normalized, Unweighted)]]*$AA$3</f>
        <v>5.2592824487651899E-5</v>
      </c>
      <c r="AD2052" s="255">
        <f>_xlfn.XLOOKUP(FME_Ranking1[[#This Row],[FME ID]],FME_Input[FME_ID],FME_Input[FARMACRE100])</f>
        <v>0</v>
      </c>
      <c r="AE2052" s="230">
        <f>(FME_Ranking1[[#This Row],[Ag Land Raw]]/$AD$2)*100</f>
        <v>0</v>
      </c>
      <c r="AF2052" s="231">
        <f>FME_Ranking1[[#This Row],[Ag Land Score (Normalized, Unweighted)]]*$AD$3</f>
        <v>0</v>
      </c>
      <c r="AG205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5.7829990050489515E-4</v>
      </c>
      <c r="AH2052" s="406">
        <f t="shared" si="31"/>
        <v>2072</v>
      </c>
      <c r="AI205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5.7829990050489515E-4</v>
      </c>
      <c r="AJ2052" s="257">
        <f>FME_Ranking1[[#This Row],[Addition check]]-FME_Ranking1[[#This Row],[Weighted Score Based on Normalized Reported Factors]]</f>
        <v>0</v>
      </c>
      <c r="AK2052" s="178">
        <f>_xlfn.RANK.EQ(AI2052,$AI$6:$AI$2341,0)+COUNTIF($AI$6:AI2052,AI2052)-1</f>
        <v>2075</v>
      </c>
    </row>
    <row r="2053" spans="1:37" x14ac:dyDescent="0.25">
      <c r="A2053" t="s">
        <v>10056</v>
      </c>
      <c r="B2053">
        <f>_xlfn.XLOOKUP(FME_Ranking1[[#This Row],[FME ID]],FME_Input[FME_ID],FME_Input[RFPG_NUM])</f>
        <v>13</v>
      </c>
      <c r="C2053" t="str">
        <f>_xlfn.XLOOKUP(FME_Ranking1[[#This Row],[FME ID]],FME_Input[FME_ID],FME_Input[FME_NAME])</f>
        <v>Gilliam Rd Drainage Improvements- FH#9</v>
      </c>
      <c r="D2053" t="str">
        <f>_xlfn.XLOOKUP(FME_Ranking1[[#This Row],[FME ID]],FME_Input[FME_ID],FME_Input[DESCR])</f>
        <v>Install series of underground storm water lines and drop structures along Loma Vista Closed street and Gilliam road near Sewer Treatment Plant tying in to the existing Channel on FM1581.</v>
      </c>
      <c r="E2053" s="256">
        <f>_xlfn.XLOOKUP(FME_Ranking1[[#This Row],[FME ID]],FME_Input[FME_ID],FME_Input[FME_COST])</f>
        <v>279000</v>
      </c>
      <c r="F2053" t="str">
        <f>_xlfn.XLOOKUP(FME_Ranking1[[#This Row],[FME ID]],FME_Input[FME_ID],FME_Input[EMER_NEED])</f>
        <v>Yes</v>
      </c>
      <c r="G2053">
        <f>IF(FME_Ranking!F2053="Yes",100,0)</f>
        <v>100</v>
      </c>
      <c r="H2053">
        <f>FME_Ranking1[[#This Row],[Emergency Need Score (Normalized, Unweighted)]]*$F$3</f>
        <v>0</v>
      </c>
      <c r="I2053" s="246">
        <f>_xlfn.XLOOKUP(FME_Ranking1[[#This Row],[FME ID]],FME_Input[FME_ID],FME_Input[STRUCT_100])</f>
        <v>0</v>
      </c>
      <c r="J2053" s="178">
        <f>(FME_Ranking1[[#This Row],[Structures 100 Raw]]/I$2)*100</f>
        <v>0</v>
      </c>
      <c r="K2053" s="178">
        <f>FME_Ranking1[[#This Row],[Structures 100  Score (Normalized, Unweighted)]]*$I$3</f>
        <v>0</v>
      </c>
      <c r="L2053" s="246">
        <f>_xlfn.XLOOKUP(FME_Ranking1[[#This Row],[FME ID]],FME_Input[FME_ID],FME_Input[RES_STRUCT100])</f>
        <v>0</v>
      </c>
      <c r="M2053" s="230">
        <f>(FME_Ranking1[[#This Row],[Res Structures Raw]]/L$2)*100</f>
        <v>0</v>
      </c>
      <c r="N2053" s="180">
        <f>FME_Ranking1[[#This Row],[Res Structures Score (Normalized, Unweighted)]]*$L$3</f>
        <v>0</v>
      </c>
      <c r="O2053" s="244">
        <f>_xlfn.XLOOKUP(FME_Ranking1[[#This Row],[FME ID]],FME_Input[FME_ID],FME_Input[POP100])</f>
        <v>0</v>
      </c>
      <c r="P2053" s="178">
        <f>(FME_Ranking1[[#This Row],[Pop Raw]]/$O$2)*100</f>
        <v>0</v>
      </c>
      <c r="Q2053" s="178">
        <f>FME_Ranking1[[#This Row],[Pop Score (Normalized, Unweighted)]]*$O$3</f>
        <v>0</v>
      </c>
      <c r="R2053" s="137">
        <f>_xlfn.XLOOKUP(FME_Ranking1[[#This Row],[FME ID]],FME_Input[FME_ID],FME_Input[CRITFAC100])</f>
        <v>0</v>
      </c>
      <c r="S2053" s="230">
        <f>(FME_Ranking1[[#This Row],[Critical Facilities Raw]]/$R$2)*100</f>
        <v>0</v>
      </c>
      <c r="T2053" s="180">
        <f>FME_Ranking1[[#This Row],[Critical Facilities Score (Normalized, Unweighted)]]*$R$3</f>
        <v>0</v>
      </c>
      <c r="U2053">
        <f>_xlfn.XLOOKUP(FME_Ranking1[[#This Row],[FME ID]],FME_Input[FME_ID],FME_Input[LWC])</f>
        <v>0</v>
      </c>
      <c r="V2053" s="178">
        <f>(FME_Ranking1[[#This Row],[LWC Raw]]/$U$2)*100</f>
        <v>0</v>
      </c>
      <c r="W2053" s="178">
        <f>FME_Ranking1[[#This Row],[LWC Score (Normalized, Unweighted)]]*$U$3</f>
        <v>0</v>
      </c>
      <c r="X2053" s="246">
        <f>_xlfn.XLOOKUP(FME_Ranking1[[#This Row],[FME ID]],FME_Input[FME_ID],FME_Input[ROADCLS])</f>
        <v>1</v>
      </c>
      <c r="Y2053" s="230">
        <f>(FME_Ranking1[[#This Row],[Closures Raw]]/$X$2)*100</f>
        <v>1.0514141520344864E-2</v>
      </c>
      <c r="Z2053" s="180">
        <f>FME_Ranking1[[#This Row],[Closures Score (Normalized, Unweighted)]]*$X$3</f>
        <v>5.2570707601724321E-4</v>
      </c>
      <c r="AA2053" s="253">
        <f>_xlfn.XLOOKUP(FME_Ranking1[[#This Row],[FME ID]],FME_Input[FME_ID],FME_Input[ROAD_MILES100])</f>
        <v>9.366336464881897E-2</v>
      </c>
      <c r="AB2053" s="178">
        <f>(FME_Ranking1[[#This Row],[Miles Raw]]/$AA$2)*100</f>
        <v>1.2315052520008561E-3</v>
      </c>
      <c r="AC2053" s="178">
        <f>FME_Ranking1[[#This Row],[Miles Score (Normalized, Unweighted)]]*$AA$3</f>
        <v>1.2315052520008561E-4</v>
      </c>
      <c r="AD2053" s="255">
        <f>_xlfn.XLOOKUP(FME_Ranking1[[#This Row],[FME ID]],FME_Input[FME_ID],FME_Input[FARMACRE100])</f>
        <v>0</v>
      </c>
      <c r="AE2053" s="230">
        <f>(FME_Ranking1[[#This Row],[Ag Land Raw]]/$AD$2)*100</f>
        <v>0</v>
      </c>
      <c r="AF2053" s="231">
        <f>FME_Ranking1[[#This Row],[Ag Land Score (Normalized, Unweighted)]]*$AD$3</f>
        <v>0</v>
      </c>
      <c r="AG205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6.4885760121732882E-4</v>
      </c>
      <c r="AH2053" s="406">
        <f t="shared" si="31"/>
        <v>2063</v>
      </c>
      <c r="AI205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6.4885760121732882E-4</v>
      </c>
      <c r="AJ2053" s="257">
        <f>FME_Ranking1[[#This Row],[Addition check]]-FME_Ranking1[[#This Row],[Weighted Score Based on Normalized Reported Factors]]</f>
        <v>0</v>
      </c>
      <c r="AK2053" s="178">
        <f>_xlfn.RANK.EQ(AI2053,$AI$6:$AI$2341,0)+COUNTIF($AI$6:AI2053,AI2053)-1</f>
        <v>2063</v>
      </c>
    </row>
    <row r="2054" spans="1:37" x14ac:dyDescent="0.25">
      <c r="A2054" t="s">
        <v>10111</v>
      </c>
      <c r="B2054">
        <f>_xlfn.XLOOKUP(FME_Ranking1[[#This Row],[FME ID]],FME_Input[FME_ID],FME_Input[RFPG_NUM])</f>
        <v>13</v>
      </c>
      <c r="C2054" t="str">
        <f>_xlfn.XLOOKUP(FME_Ranking1[[#This Row],[FME ID]],FME_Input[FME_ID],FME_Input[FME_NAME])</f>
        <v>W Pena St and N Mulberry St Drainage Improvements- FH#4</v>
      </c>
      <c r="D2054" t="str">
        <f>_xlfn.XLOOKUP(FME_Ranking1[[#This Row],[FME ID]],FME_Input[FME_ID],FME_Input[DESCR])</f>
        <v>Install series of underground storm water trunk lines and drop structures along Pena street and N Willow street tying into the existing 10'x4' concrete boxes on N Mulberry Street.</v>
      </c>
      <c r="E2054" s="256">
        <f>_xlfn.XLOOKUP(FME_Ranking1[[#This Row],[FME ID]],FME_Input[FME_ID],FME_Input[FME_COST])</f>
        <v>529000</v>
      </c>
      <c r="F2054" t="str">
        <f>_xlfn.XLOOKUP(FME_Ranking1[[#This Row],[FME ID]],FME_Input[FME_ID],FME_Input[EMER_NEED])</f>
        <v>Yes</v>
      </c>
      <c r="G2054">
        <f>IF(FME_Ranking!F2054="Yes",100,0)</f>
        <v>100</v>
      </c>
      <c r="H2054">
        <f>FME_Ranking1[[#This Row],[Emergency Need Score (Normalized, Unweighted)]]*$F$3</f>
        <v>0</v>
      </c>
      <c r="I2054" s="246">
        <f>_xlfn.XLOOKUP(FME_Ranking1[[#This Row],[FME ID]],FME_Input[FME_ID],FME_Input[STRUCT_100])</f>
        <v>0</v>
      </c>
      <c r="J2054" s="178">
        <f>(FME_Ranking1[[#This Row],[Structures 100 Raw]]/I$2)*100</f>
        <v>0</v>
      </c>
      <c r="K2054" s="178">
        <f>FME_Ranking1[[#This Row],[Structures 100  Score (Normalized, Unweighted)]]*$I$3</f>
        <v>0</v>
      </c>
      <c r="L2054" s="246">
        <f>_xlfn.XLOOKUP(FME_Ranking1[[#This Row],[FME ID]],FME_Input[FME_ID],FME_Input[RES_STRUCT100])</f>
        <v>0</v>
      </c>
      <c r="M2054" s="230">
        <f>(FME_Ranking1[[#This Row],[Res Structures Raw]]/L$2)*100</f>
        <v>0</v>
      </c>
      <c r="N2054" s="180">
        <f>FME_Ranking1[[#This Row],[Res Structures Score (Normalized, Unweighted)]]*$L$3</f>
        <v>0</v>
      </c>
      <c r="O2054" s="244">
        <f>_xlfn.XLOOKUP(FME_Ranking1[[#This Row],[FME ID]],FME_Input[FME_ID],FME_Input[POP100])</f>
        <v>0</v>
      </c>
      <c r="P2054" s="178">
        <f>(FME_Ranking1[[#This Row],[Pop Raw]]/$O$2)*100</f>
        <v>0</v>
      </c>
      <c r="Q2054" s="178">
        <f>FME_Ranking1[[#This Row],[Pop Score (Normalized, Unweighted)]]*$O$3</f>
        <v>0</v>
      </c>
      <c r="R2054" s="137">
        <f>_xlfn.XLOOKUP(FME_Ranking1[[#This Row],[FME ID]],FME_Input[FME_ID],FME_Input[CRITFAC100])</f>
        <v>0</v>
      </c>
      <c r="S2054" s="230">
        <f>(FME_Ranking1[[#This Row],[Critical Facilities Raw]]/$R$2)*100</f>
        <v>0</v>
      </c>
      <c r="T2054" s="180">
        <f>FME_Ranking1[[#This Row],[Critical Facilities Score (Normalized, Unweighted)]]*$R$3</f>
        <v>0</v>
      </c>
      <c r="U2054">
        <f>_xlfn.XLOOKUP(FME_Ranking1[[#This Row],[FME ID]],FME_Input[FME_ID],FME_Input[LWC])</f>
        <v>0</v>
      </c>
      <c r="V2054" s="178">
        <f>(FME_Ranking1[[#This Row],[LWC Raw]]/$U$2)*100</f>
        <v>0</v>
      </c>
      <c r="W2054" s="178">
        <f>FME_Ranking1[[#This Row],[LWC Score (Normalized, Unweighted)]]*$U$3</f>
        <v>0</v>
      </c>
      <c r="X2054" s="246">
        <f>_xlfn.XLOOKUP(FME_Ranking1[[#This Row],[FME ID]],FME_Input[FME_ID],FME_Input[ROADCLS])</f>
        <v>1</v>
      </c>
      <c r="Y2054" s="230">
        <f>(FME_Ranking1[[#This Row],[Closures Raw]]/$X$2)*100</f>
        <v>1.0514141520344864E-2</v>
      </c>
      <c r="Z2054" s="180">
        <f>FME_Ranking1[[#This Row],[Closures Score (Normalized, Unweighted)]]*$X$3</f>
        <v>5.2570707601724321E-4</v>
      </c>
      <c r="AA2054" s="253">
        <f>_xlfn.XLOOKUP(FME_Ranking1[[#This Row],[FME ID]],FME_Input[FME_ID],FME_Input[ROAD_MILES100])</f>
        <v>2.1449999883770939E-2</v>
      </c>
      <c r="AB2054" s="178">
        <f>(FME_Ranking1[[#This Row],[Miles Raw]]/$AA$2)*100</f>
        <v>2.820290260906696E-4</v>
      </c>
      <c r="AC2054" s="178">
        <f>FME_Ranking1[[#This Row],[Miles Score (Normalized, Unweighted)]]*$AA$3</f>
        <v>2.8202902609066962E-5</v>
      </c>
      <c r="AD2054" s="255">
        <f>_xlfn.XLOOKUP(FME_Ranking1[[#This Row],[FME ID]],FME_Input[FME_ID],FME_Input[FARMACRE100])</f>
        <v>0</v>
      </c>
      <c r="AE2054" s="230">
        <f>(FME_Ranking1[[#This Row],[Ag Land Raw]]/$AD$2)*100</f>
        <v>0</v>
      </c>
      <c r="AF2054" s="231">
        <f>FME_Ranking1[[#This Row],[Ag Land Score (Normalized, Unweighted)]]*$AD$3</f>
        <v>0</v>
      </c>
      <c r="AG205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5.539099786263102E-4</v>
      </c>
      <c r="AH2054" s="406">
        <f t="shared" ref="AH2054:AH2117" si="32">_xlfn.RANK.EQ(AG2054,$AG$6:$AG$2341,0)</f>
        <v>2082</v>
      </c>
      <c r="AI205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5.539099786263102E-4</v>
      </c>
      <c r="AJ2054" s="257">
        <f>FME_Ranking1[[#This Row],[Addition check]]-FME_Ranking1[[#This Row],[Weighted Score Based on Normalized Reported Factors]]</f>
        <v>0</v>
      </c>
      <c r="AK2054" s="178">
        <f>_xlfn.RANK.EQ(AI2054,$AI$6:$AI$2341,0)+COUNTIF($AI$6:AI2054,AI2054)-1</f>
        <v>2082</v>
      </c>
    </row>
    <row r="2055" spans="1:37" x14ac:dyDescent="0.25">
      <c r="A2055" t="s">
        <v>10431</v>
      </c>
      <c r="B2055">
        <f>_xlfn.XLOOKUP(FME_Ranking1[[#This Row],[FME ID]],FME_Input[FME_ID],FME_Input[RFPG_NUM])</f>
        <v>13</v>
      </c>
      <c r="C2055" t="str">
        <f>_xlfn.XLOOKUP(FME_Ranking1[[#This Row],[FME ID]],FME_Input[FME_ID],FME_Input[FME_NAME])</f>
        <v>Nell Road Drainage Improvements</v>
      </c>
      <c r="D2055" t="str">
        <f>_xlfn.XLOOKUP(FME_Ranking1[[#This Row],[FME ID]],FME_Input[FME_ID],FME_Input[DESCR])</f>
        <v>Construct drainage channel from Nell Road to outfall (route undefined).</v>
      </c>
      <c r="E2055" s="256">
        <f>_xlfn.XLOOKUP(FME_Ranking1[[#This Row],[FME ID]],FME_Input[FME_ID],FME_Input[FME_COST])</f>
        <v>150000</v>
      </c>
      <c r="F2055" t="str">
        <f>_xlfn.XLOOKUP(FME_Ranking1[[#This Row],[FME ID]],FME_Input[FME_ID],FME_Input[EMER_NEED])</f>
        <v>Yes</v>
      </c>
      <c r="G2055">
        <f>IF(FME_Ranking!F2055="Yes",100,0)</f>
        <v>100</v>
      </c>
      <c r="H2055">
        <f>FME_Ranking1[[#This Row],[Emergency Need Score (Normalized, Unweighted)]]*$F$3</f>
        <v>0</v>
      </c>
      <c r="I2055" s="246">
        <f>_xlfn.XLOOKUP(FME_Ranking1[[#This Row],[FME ID]],FME_Input[FME_ID],FME_Input[STRUCT_100])</f>
        <v>0</v>
      </c>
      <c r="J2055" s="178">
        <f>(FME_Ranking1[[#This Row],[Structures 100 Raw]]/I$2)*100</f>
        <v>0</v>
      </c>
      <c r="K2055" s="178">
        <f>FME_Ranking1[[#This Row],[Structures 100  Score (Normalized, Unweighted)]]*$I$3</f>
        <v>0</v>
      </c>
      <c r="L2055" s="246">
        <f>_xlfn.XLOOKUP(FME_Ranking1[[#This Row],[FME ID]],FME_Input[FME_ID],FME_Input[RES_STRUCT100])</f>
        <v>0</v>
      </c>
      <c r="M2055" s="230">
        <f>(FME_Ranking1[[#This Row],[Res Structures Raw]]/L$2)*100</f>
        <v>0</v>
      </c>
      <c r="N2055" s="180">
        <f>FME_Ranking1[[#This Row],[Res Structures Score (Normalized, Unweighted)]]*$L$3</f>
        <v>0</v>
      </c>
      <c r="O2055" s="244">
        <f>_xlfn.XLOOKUP(FME_Ranking1[[#This Row],[FME ID]],FME_Input[FME_ID],FME_Input[POP100])</f>
        <v>0</v>
      </c>
      <c r="P2055" s="178">
        <f>(FME_Ranking1[[#This Row],[Pop Raw]]/$O$2)*100</f>
        <v>0</v>
      </c>
      <c r="Q2055" s="178">
        <f>FME_Ranking1[[#This Row],[Pop Score (Normalized, Unweighted)]]*$O$3</f>
        <v>0</v>
      </c>
      <c r="R2055" s="137">
        <f>_xlfn.XLOOKUP(FME_Ranking1[[#This Row],[FME ID]],FME_Input[FME_ID],FME_Input[CRITFAC100])</f>
        <v>0</v>
      </c>
      <c r="S2055" s="230">
        <f>(FME_Ranking1[[#This Row],[Critical Facilities Raw]]/$R$2)*100</f>
        <v>0</v>
      </c>
      <c r="T2055" s="180">
        <f>FME_Ranking1[[#This Row],[Critical Facilities Score (Normalized, Unweighted)]]*$R$3</f>
        <v>0</v>
      </c>
      <c r="U2055">
        <f>_xlfn.XLOOKUP(FME_Ranking1[[#This Row],[FME ID]],FME_Input[FME_ID],FME_Input[LWC])</f>
        <v>0</v>
      </c>
      <c r="V2055" s="178">
        <f>(FME_Ranking1[[#This Row],[LWC Raw]]/$U$2)*100</f>
        <v>0</v>
      </c>
      <c r="W2055" s="178">
        <f>FME_Ranking1[[#This Row],[LWC Score (Normalized, Unweighted)]]*$U$3</f>
        <v>0</v>
      </c>
      <c r="X2055" s="246">
        <f>_xlfn.XLOOKUP(FME_Ranking1[[#This Row],[FME ID]],FME_Input[FME_ID],FME_Input[ROADCLS])</f>
        <v>1</v>
      </c>
      <c r="Y2055" s="230">
        <f>(FME_Ranking1[[#This Row],[Closures Raw]]/$X$2)*100</f>
        <v>1.0514141520344864E-2</v>
      </c>
      <c r="Z2055" s="180">
        <f>FME_Ranking1[[#This Row],[Closures Score (Normalized, Unweighted)]]*$X$3</f>
        <v>5.2570707601724321E-4</v>
      </c>
      <c r="AA2055" s="253">
        <f>_xlfn.XLOOKUP(FME_Ranking1[[#This Row],[FME ID]],FME_Input[FME_ID],FME_Input[ROAD_MILES100])</f>
        <v>2.350999973714352E-2</v>
      </c>
      <c r="AB2055" s="178">
        <f>(FME_Ranking1[[#This Row],[Miles Raw]]/$AA$2)*100</f>
        <v>3.0911432937932653E-4</v>
      </c>
      <c r="AC2055" s="178">
        <f>FME_Ranking1[[#This Row],[Miles Score (Normalized, Unweighted)]]*$AA$3</f>
        <v>3.0911432937932652E-5</v>
      </c>
      <c r="AD2055" s="255">
        <f>_xlfn.XLOOKUP(FME_Ranking1[[#This Row],[FME ID]],FME_Input[FME_ID],FME_Input[FARMACRE100])</f>
        <v>0</v>
      </c>
      <c r="AE2055" s="230">
        <f>(FME_Ranking1[[#This Row],[Ag Land Raw]]/$AD$2)*100</f>
        <v>0</v>
      </c>
      <c r="AF2055" s="231">
        <f>FME_Ranking1[[#This Row],[Ag Land Score (Normalized, Unweighted)]]*$AD$3</f>
        <v>0</v>
      </c>
      <c r="AG205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5.566185089551759E-4</v>
      </c>
      <c r="AH2055" s="406">
        <f t="shared" si="32"/>
        <v>2081</v>
      </c>
      <c r="AI205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5.566185089551759E-4</v>
      </c>
      <c r="AJ2055" s="257">
        <f>FME_Ranking1[[#This Row],[Addition check]]-FME_Ranking1[[#This Row],[Weighted Score Based on Normalized Reported Factors]]</f>
        <v>0</v>
      </c>
      <c r="AK2055" s="178">
        <f>_xlfn.RANK.EQ(AI2055,$AI$6:$AI$2341,0)+COUNTIF($AI$6:AI2055,AI2055)-1</f>
        <v>2081</v>
      </c>
    </row>
    <row r="2056" spans="1:37" x14ac:dyDescent="0.25">
      <c r="A2056" t="s">
        <v>10534</v>
      </c>
      <c r="B2056">
        <f>_xlfn.XLOOKUP(FME_Ranking1[[#This Row],[FME ID]],FME_Input[FME_ID],FME_Input[RFPG_NUM])</f>
        <v>13</v>
      </c>
      <c r="C2056" t="str">
        <f>_xlfn.XLOOKUP(FME_Ranking1[[#This Row],[FME ID]],FME_Input[FME_ID],FME_Input[FME_NAME])</f>
        <v>Silver Creek Bridge</v>
      </c>
      <c r="D2056" t="str">
        <f>_xlfn.XLOOKUP(FME_Ranking1[[#This Row],[FME ID]],FME_Input[FME_ID],FME_Input[DESCR])</f>
        <v>COASTAL BEND MITIGATION ACTION PLAN - BE - 03 Silver Creek Rd. Build a 26 ft. wide by 100 ft. long bridge 100. The low water crossing at Silver Creek Rd., across silver creek, floods during and after heavy rains, trapping approximately 30 residents.</v>
      </c>
      <c r="E2056" s="256">
        <f>_xlfn.XLOOKUP(FME_Ranking1[[#This Row],[FME ID]],FME_Input[FME_ID],FME_Input[FME_COST])</f>
        <v>47000</v>
      </c>
      <c r="F2056" t="str">
        <f>_xlfn.XLOOKUP(FME_Ranking1[[#This Row],[FME ID]],FME_Input[FME_ID],FME_Input[EMER_NEED])</f>
        <v>Yes</v>
      </c>
      <c r="G2056">
        <f>IF(FME_Ranking!F2056="Yes",100,0)</f>
        <v>100</v>
      </c>
      <c r="H2056">
        <f>FME_Ranking1[[#This Row],[Emergency Need Score (Normalized, Unweighted)]]*$F$3</f>
        <v>0</v>
      </c>
      <c r="I2056" s="246">
        <f>_xlfn.XLOOKUP(FME_Ranking1[[#This Row],[FME ID]],FME_Input[FME_ID],FME_Input[STRUCT_100])</f>
        <v>0</v>
      </c>
      <c r="J2056" s="178">
        <f>(FME_Ranking1[[#This Row],[Structures 100 Raw]]/I$2)*100</f>
        <v>0</v>
      </c>
      <c r="K2056" s="178">
        <f>FME_Ranking1[[#This Row],[Structures 100  Score (Normalized, Unweighted)]]*$I$3</f>
        <v>0</v>
      </c>
      <c r="L2056" s="246">
        <f>_xlfn.XLOOKUP(FME_Ranking1[[#This Row],[FME ID]],FME_Input[FME_ID],FME_Input[RES_STRUCT100])</f>
        <v>0</v>
      </c>
      <c r="M2056" s="230">
        <f>(FME_Ranking1[[#This Row],[Res Structures Raw]]/L$2)*100</f>
        <v>0</v>
      </c>
      <c r="N2056" s="180">
        <f>FME_Ranking1[[#This Row],[Res Structures Score (Normalized, Unweighted)]]*$L$3</f>
        <v>0</v>
      </c>
      <c r="O2056" s="244">
        <f>_xlfn.XLOOKUP(FME_Ranking1[[#This Row],[FME ID]],FME_Input[FME_ID],FME_Input[POP100])</f>
        <v>0</v>
      </c>
      <c r="P2056" s="178">
        <f>(FME_Ranking1[[#This Row],[Pop Raw]]/$O$2)*100</f>
        <v>0</v>
      </c>
      <c r="Q2056" s="178">
        <f>FME_Ranking1[[#This Row],[Pop Score (Normalized, Unweighted)]]*$O$3</f>
        <v>0</v>
      </c>
      <c r="R2056" s="137">
        <f>_xlfn.XLOOKUP(FME_Ranking1[[#This Row],[FME ID]],FME_Input[FME_ID],FME_Input[CRITFAC100])</f>
        <v>0</v>
      </c>
      <c r="S2056" s="230">
        <f>(FME_Ranking1[[#This Row],[Critical Facilities Raw]]/$R$2)*100</f>
        <v>0</v>
      </c>
      <c r="T2056" s="180">
        <f>FME_Ranking1[[#This Row],[Critical Facilities Score (Normalized, Unweighted)]]*$R$3</f>
        <v>0</v>
      </c>
      <c r="U2056">
        <f>_xlfn.XLOOKUP(FME_Ranking1[[#This Row],[FME ID]],FME_Input[FME_ID],FME_Input[LWC])</f>
        <v>0</v>
      </c>
      <c r="V2056" s="178">
        <f>(FME_Ranking1[[#This Row],[LWC Raw]]/$U$2)*100</f>
        <v>0</v>
      </c>
      <c r="W2056" s="178">
        <f>FME_Ranking1[[#This Row],[LWC Score (Normalized, Unweighted)]]*$U$3</f>
        <v>0</v>
      </c>
      <c r="X2056" s="246">
        <f>_xlfn.XLOOKUP(FME_Ranking1[[#This Row],[FME ID]],FME_Input[FME_ID],FME_Input[ROADCLS])</f>
        <v>1</v>
      </c>
      <c r="Y2056" s="230">
        <f>(FME_Ranking1[[#This Row],[Closures Raw]]/$X$2)*100</f>
        <v>1.0514141520344864E-2</v>
      </c>
      <c r="Z2056" s="180">
        <f>FME_Ranking1[[#This Row],[Closures Score (Normalized, Unweighted)]]*$X$3</f>
        <v>5.2570707601724321E-4</v>
      </c>
      <c r="AA2056" s="253">
        <f>_xlfn.XLOOKUP(FME_Ranking1[[#This Row],[FME ID]],FME_Input[FME_ID],FME_Input[ROAD_MILES100])</f>
        <v>2.6502387598156929E-2</v>
      </c>
      <c r="AB2056" s="178">
        <f>(FME_Ranking1[[#This Row],[Miles Raw]]/$AA$2)*100</f>
        <v>3.4845886265205992E-4</v>
      </c>
      <c r="AC2056" s="178">
        <f>FME_Ranking1[[#This Row],[Miles Score (Normalized, Unweighted)]]*$AA$3</f>
        <v>3.4845886265205995E-5</v>
      </c>
      <c r="AD2056" s="255">
        <f>_xlfn.XLOOKUP(FME_Ranking1[[#This Row],[FME ID]],FME_Input[FME_ID],FME_Input[FARMACRE100])</f>
        <v>0</v>
      </c>
      <c r="AE2056" s="230">
        <f>(FME_Ranking1[[#This Row],[Ag Land Raw]]/$AD$2)*100</f>
        <v>0</v>
      </c>
      <c r="AF2056" s="231">
        <f>FME_Ranking1[[#This Row],[Ag Land Score (Normalized, Unweighted)]]*$AD$3</f>
        <v>0</v>
      </c>
      <c r="AG205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5.6055296228244922E-4</v>
      </c>
      <c r="AH2056" s="406">
        <f t="shared" si="32"/>
        <v>2079</v>
      </c>
      <c r="AI205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5.6055296228244922E-4</v>
      </c>
      <c r="AJ2056" s="257">
        <f>FME_Ranking1[[#This Row],[Addition check]]-FME_Ranking1[[#This Row],[Weighted Score Based on Normalized Reported Factors]]</f>
        <v>0</v>
      </c>
      <c r="AK2056" s="178">
        <f>_xlfn.RANK.EQ(AI2056,$AI$6:$AI$2341,0)+COUNTIF($AI$6:AI2056,AI2056)-1</f>
        <v>2079</v>
      </c>
    </row>
    <row r="2057" spans="1:37" x14ac:dyDescent="0.25">
      <c r="A2057" t="s">
        <v>4688</v>
      </c>
      <c r="B2057">
        <f>_xlfn.XLOOKUP(FME_Ranking1[[#This Row],[FME ID]],FME_Input[FME_ID],FME_Input[RFPG_NUM])</f>
        <v>3</v>
      </c>
      <c r="C2057" t="str">
        <f>_xlfn.XLOOKUP(FME_Ranking1[[#This Row],[FME ID]],FME_Input[FME_ID],FME_Input[FME_NAME])</f>
        <v>East Pioneer Parkway &amp; SE 14th St</v>
      </c>
      <c r="D2057" t="str">
        <f>_xlfn.XLOOKUP(FME_Ranking1[[#This Row],[FME ID]],FME_Input[FME_ID],FME_Input[DESCR])</f>
        <v>Study update - Storm Drain Improvements; Estimated construction cost of $3,742,700</v>
      </c>
      <c r="E2057" s="256">
        <f>_xlfn.XLOOKUP(FME_Ranking1[[#This Row],[FME ID]],FME_Input[FME_ID],FME_Input[FME_COST])</f>
        <v>250000</v>
      </c>
      <c r="F2057" t="str">
        <f>_xlfn.XLOOKUP(FME_Ranking1[[#This Row],[FME ID]],FME_Input[FME_ID],FME_Input[EMER_NEED])</f>
        <v>No</v>
      </c>
      <c r="G2057">
        <f>IF(FME_Ranking!F2057="Yes",100,0)</f>
        <v>0</v>
      </c>
      <c r="H2057">
        <f>FME_Ranking1[[#This Row],[Emergency Need Score (Normalized, Unweighted)]]*$F$3</f>
        <v>0</v>
      </c>
      <c r="I2057" s="246">
        <f>_xlfn.XLOOKUP(FME_Ranking1[[#This Row],[FME ID]],FME_Input[FME_ID],FME_Input[STRUCT_100])</f>
        <v>3</v>
      </c>
      <c r="J2057" s="178">
        <f>(FME_Ranking1[[#This Row],[Structures 100 Raw]]/I$2)*100</f>
        <v>1.6064773165402903E-3</v>
      </c>
      <c r="K2057" s="178">
        <f>FME_Ranking1[[#This Row],[Structures 100  Score (Normalized, Unweighted)]]*$I$3</f>
        <v>2.4097159748104354E-4</v>
      </c>
      <c r="L2057" s="246">
        <f>_xlfn.XLOOKUP(FME_Ranking1[[#This Row],[FME ID]],FME_Input[FME_ID],FME_Input[RES_STRUCT100])</f>
        <v>3</v>
      </c>
      <c r="M2057" s="230">
        <f>(FME_Ranking1[[#This Row],[Res Structures Raw]]/L$2)*100</f>
        <v>2.1249167740930146E-3</v>
      </c>
      <c r="N2057" s="180">
        <f>FME_Ranking1[[#This Row],[Res Structures Score (Normalized, Unweighted)]]*$L$3</f>
        <v>2.1249167740930149E-4</v>
      </c>
      <c r="O2057" s="244">
        <f>_xlfn.XLOOKUP(FME_Ranking1[[#This Row],[FME ID]],FME_Input[FME_ID],FME_Input[POP100])</f>
        <v>0</v>
      </c>
      <c r="P2057" s="178">
        <f>(FME_Ranking1[[#This Row],[Pop Raw]]/$O$2)*100</f>
        <v>0</v>
      </c>
      <c r="Q2057" s="178">
        <f>FME_Ranking1[[#This Row],[Pop Score (Normalized, Unweighted)]]*$O$3</f>
        <v>0</v>
      </c>
      <c r="R2057" s="137">
        <f>_xlfn.XLOOKUP(FME_Ranking1[[#This Row],[FME ID]],FME_Input[FME_ID],FME_Input[CRITFAC100])</f>
        <v>0</v>
      </c>
      <c r="S2057" s="230">
        <f>(FME_Ranking1[[#This Row],[Critical Facilities Raw]]/$R$2)*100</f>
        <v>0</v>
      </c>
      <c r="T2057" s="180">
        <f>FME_Ranking1[[#This Row],[Critical Facilities Score (Normalized, Unweighted)]]*$R$3</f>
        <v>0</v>
      </c>
      <c r="U2057">
        <f>_xlfn.XLOOKUP(FME_Ranking1[[#This Row],[FME ID]],FME_Input[FME_ID],FME_Input[LWC])</f>
        <v>0</v>
      </c>
      <c r="V2057" s="178">
        <f>(FME_Ranking1[[#This Row],[LWC Raw]]/$U$2)*100</f>
        <v>0</v>
      </c>
      <c r="W2057" s="178">
        <f>FME_Ranking1[[#This Row],[LWC Score (Normalized, Unweighted)]]*$U$3</f>
        <v>0</v>
      </c>
      <c r="X2057" s="246">
        <f>_xlfn.XLOOKUP(FME_Ranking1[[#This Row],[FME ID]],FME_Input[FME_ID],FME_Input[ROADCLS])</f>
        <v>0</v>
      </c>
      <c r="Y2057" s="230">
        <f>(FME_Ranking1[[#This Row],[Closures Raw]]/$X$2)*100</f>
        <v>0</v>
      </c>
      <c r="Z2057" s="180">
        <f>FME_Ranking1[[#This Row],[Closures Score (Normalized, Unweighted)]]*$X$3</f>
        <v>0</v>
      </c>
      <c r="AA2057" s="253">
        <f>_xlfn.XLOOKUP(FME_Ranking1[[#This Row],[FME ID]],FME_Input[FME_ID],FME_Input[ROAD_MILES100])</f>
        <v>0.538338303565979</v>
      </c>
      <c r="AB2057" s="178">
        <f>(FME_Ranking1[[#This Row],[Miles Raw]]/$AA$2)*100</f>
        <v>7.0781831368161713E-3</v>
      </c>
      <c r="AC2057" s="178">
        <f>FME_Ranking1[[#This Row],[Miles Score (Normalized, Unweighted)]]*$AA$3</f>
        <v>7.0781831368161717E-4</v>
      </c>
      <c r="AD2057" s="255">
        <f>_xlfn.XLOOKUP(FME_Ranking1[[#This Row],[FME ID]],FME_Input[FME_ID],FME_Input[FARMACRE100])</f>
        <v>27.619979858398441</v>
      </c>
      <c r="AE2057" s="230">
        <f>(FME_Ranking1[[#This Row],[Ag Land Raw]]/$AD$2)*100</f>
        <v>1.1389243284186132E-3</v>
      </c>
      <c r="AF2057" s="231">
        <f>FME_Ranking1[[#This Row],[Ag Land Score (Normalized, Unweighted)]]*$AD$3</f>
        <v>5.6946216420930662E-5</v>
      </c>
      <c r="AG205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1.2182278049928928E-3</v>
      </c>
      <c r="AH2057" s="406">
        <f t="shared" si="32"/>
        <v>2007</v>
      </c>
      <c r="AI205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1.2182278049928928E-3</v>
      </c>
      <c r="AJ2057" s="257">
        <f>FME_Ranking1[[#This Row],[Addition check]]-FME_Ranking1[[#This Row],[Weighted Score Based on Normalized Reported Factors]]</f>
        <v>0</v>
      </c>
      <c r="AK2057" s="178">
        <f>_xlfn.RANK.EQ(AI2057,$AI$6:$AI$2341,0)+COUNTIF($AI$6:AI2057,AI2057)-1</f>
        <v>2007</v>
      </c>
    </row>
    <row r="2058" spans="1:37" x14ac:dyDescent="0.25">
      <c r="A2058" t="s">
        <v>4735</v>
      </c>
      <c r="B2058">
        <f>_xlfn.XLOOKUP(FME_Ranking1[[#This Row],[FME ID]],FME_Input[FME_ID],FME_Input[RFPG_NUM])</f>
        <v>3</v>
      </c>
      <c r="C2058" t="str">
        <f>_xlfn.XLOOKUP(FME_Ranking1[[#This Row],[FME ID]],FME_Input[FME_ID],FME_Input[FME_NAME])</f>
        <v>East Marshall Drive &amp; Avenue C, East Coral &amp; SE 14th Street and in SE 14th Street &amp; Bogarte Drive</v>
      </c>
      <c r="D2058" t="str">
        <f>_xlfn.XLOOKUP(FME_Ranking1[[#This Row],[FME ID]],FME_Input[FME_ID],FME_Input[DESCR])</f>
        <v>Study update - Storm Drain Improvements; Estimated construction cost of $6,399,100</v>
      </c>
      <c r="E2058" s="256">
        <f>_xlfn.XLOOKUP(FME_Ranking1[[#This Row],[FME ID]],FME_Input[FME_ID],FME_Input[FME_COST])</f>
        <v>320000</v>
      </c>
      <c r="F2058" t="str">
        <f>_xlfn.XLOOKUP(FME_Ranking1[[#This Row],[FME ID]],FME_Input[FME_ID],FME_Input[EMER_NEED])</f>
        <v>No</v>
      </c>
      <c r="G2058">
        <f>IF(FME_Ranking!F2058="Yes",100,0)</f>
        <v>0</v>
      </c>
      <c r="H2058">
        <f>FME_Ranking1[[#This Row],[Emergency Need Score (Normalized, Unweighted)]]*$F$3</f>
        <v>0</v>
      </c>
      <c r="I2058" s="246">
        <f>_xlfn.XLOOKUP(FME_Ranking1[[#This Row],[FME ID]],FME_Input[FME_ID],FME_Input[STRUCT_100])</f>
        <v>3</v>
      </c>
      <c r="J2058" s="178">
        <f>(FME_Ranking1[[#This Row],[Structures 100 Raw]]/I$2)*100</f>
        <v>1.6064773165402903E-3</v>
      </c>
      <c r="K2058" s="178">
        <f>FME_Ranking1[[#This Row],[Structures 100  Score (Normalized, Unweighted)]]*$I$3</f>
        <v>2.4097159748104354E-4</v>
      </c>
      <c r="L2058" s="246">
        <f>_xlfn.XLOOKUP(FME_Ranking1[[#This Row],[FME ID]],FME_Input[FME_ID],FME_Input[RES_STRUCT100])</f>
        <v>3</v>
      </c>
      <c r="M2058" s="230">
        <f>(FME_Ranking1[[#This Row],[Res Structures Raw]]/L$2)*100</f>
        <v>2.1249167740930146E-3</v>
      </c>
      <c r="N2058" s="180">
        <f>FME_Ranking1[[#This Row],[Res Structures Score (Normalized, Unweighted)]]*$L$3</f>
        <v>2.1249167740930149E-4</v>
      </c>
      <c r="O2058" s="244">
        <f>_xlfn.XLOOKUP(FME_Ranking1[[#This Row],[FME ID]],FME_Input[FME_ID],FME_Input[POP100])</f>
        <v>0</v>
      </c>
      <c r="P2058" s="178">
        <f>(FME_Ranking1[[#This Row],[Pop Raw]]/$O$2)*100</f>
        <v>0</v>
      </c>
      <c r="Q2058" s="178">
        <f>FME_Ranking1[[#This Row],[Pop Score (Normalized, Unweighted)]]*$O$3</f>
        <v>0</v>
      </c>
      <c r="R2058" s="137">
        <f>_xlfn.XLOOKUP(FME_Ranking1[[#This Row],[FME ID]],FME_Input[FME_ID],FME_Input[CRITFAC100])</f>
        <v>0</v>
      </c>
      <c r="S2058" s="230">
        <f>(FME_Ranking1[[#This Row],[Critical Facilities Raw]]/$R$2)*100</f>
        <v>0</v>
      </c>
      <c r="T2058" s="180">
        <f>FME_Ranking1[[#This Row],[Critical Facilities Score (Normalized, Unweighted)]]*$R$3</f>
        <v>0</v>
      </c>
      <c r="U2058">
        <f>_xlfn.XLOOKUP(FME_Ranking1[[#This Row],[FME ID]],FME_Input[FME_ID],FME_Input[LWC])</f>
        <v>0</v>
      </c>
      <c r="V2058" s="178">
        <f>(FME_Ranking1[[#This Row],[LWC Raw]]/$U$2)*100</f>
        <v>0</v>
      </c>
      <c r="W2058" s="178">
        <f>FME_Ranking1[[#This Row],[LWC Score (Normalized, Unweighted)]]*$U$3</f>
        <v>0</v>
      </c>
      <c r="X2058" s="246">
        <f>_xlfn.XLOOKUP(FME_Ranking1[[#This Row],[FME ID]],FME_Input[FME_ID],FME_Input[ROADCLS])</f>
        <v>0</v>
      </c>
      <c r="Y2058" s="230">
        <f>(FME_Ranking1[[#This Row],[Closures Raw]]/$X$2)*100</f>
        <v>0</v>
      </c>
      <c r="Z2058" s="180">
        <f>FME_Ranking1[[#This Row],[Closures Score (Normalized, Unweighted)]]*$X$3</f>
        <v>0</v>
      </c>
      <c r="AA2058" s="253">
        <f>_xlfn.XLOOKUP(FME_Ranking1[[#This Row],[FME ID]],FME_Input[FME_ID],FME_Input[ROAD_MILES100])</f>
        <v>0.538338303565979</v>
      </c>
      <c r="AB2058" s="178">
        <f>(FME_Ranking1[[#This Row],[Miles Raw]]/$AA$2)*100</f>
        <v>7.0781831368161713E-3</v>
      </c>
      <c r="AC2058" s="178">
        <f>FME_Ranking1[[#This Row],[Miles Score (Normalized, Unweighted)]]*$AA$3</f>
        <v>7.0781831368161717E-4</v>
      </c>
      <c r="AD2058" s="255">
        <f>_xlfn.XLOOKUP(FME_Ranking1[[#This Row],[FME ID]],FME_Input[FME_ID],FME_Input[FARMACRE100])</f>
        <v>27.619979858398441</v>
      </c>
      <c r="AE2058" s="230">
        <f>(FME_Ranking1[[#This Row],[Ag Land Raw]]/$AD$2)*100</f>
        <v>1.1389243284186132E-3</v>
      </c>
      <c r="AF2058" s="231">
        <f>FME_Ranking1[[#This Row],[Ag Land Score (Normalized, Unweighted)]]*$AD$3</f>
        <v>5.6946216420930662E-5</v>
      </c>
      <c r="AG205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1.2182278049928928E-3</v>
      </c>
      <c r="AH2058" s="406">
        <f t="shared" si="32"/>
        <v>2007</v>
      </c>
      <c r="AI205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1.2182278049928928E-3</v>
      </c>
      <c r="AJ2058" s="257">
        <f>FME_Ranking1[[#This Row],[Addition check]]-FME_Ranking1[[#This Row],[Weighted Score Based on Normalized Reported Factors]]</f>
        <v>0</v>
      </c>
      <c r="AK2058" s="178">
        <f>_xlfn.RANK.EQ(AI2058,$AI$6:$AI$2341,0)+COUNTIF($AI$6:AI2058,AI2058)-1</f>
        <v>2008</v>
      </c>
    </row>
    <row r="2059" spans="1:37" x14ac:dyDescent="0.25">
      <c r="A2059" t="s">
        <v>4738</v>
      </c>
      <c r="B2059">
        <f>_xlfn.XLOOKUP(FME_Ranking1[[#This Row],[FME ID]],FME_Input[FME_ID],FME_Input[RFPG_NUM])</f>
        <v>3</v>
      </c>
      <c r="C2059" t="str">
        <f>_xlfn.XLOOKUP(FME_Ranking1[[#This Row],[FME ID]],FME_Input[FME_ID],FME_Input[FME_NAME])</f>
        <v>Lakeview Drive &amp; SE 14th Street</v>
      </c>
      <c r="D2059" t="str">
        <f>_xlfn.XLOOKUP(FME_Ranking1[[#This Row],[FME ID]],FME_Input[FME_ID],FME_Input[DESCR])</f>
        <v>Study update - Storm Drain Improvements; Estimated construction cost of $3,570,700</v>
      </c>
      <c r="E2059" s="256">
        <f>_xlfn.XLOOKUP(FME_Ranking1[[#This Row],[FME ID]],FME_Input[FME_ID],FME_Input[FME_COST])</f>
        <v>250000</v>
      </c>
      <c r="F2059" t="str">
        <f>_xlfn.XLOOKUP(FME_Ranking1[[#This Row],[FME ID]],FME_Input[FME_ID],FME_Input[EMER_NEED])</f>
        <v>No</v>
      </c>
      <c r="G2059">
        <f>IF(FME_Ranking!F2059="Yes",100,0)</f>
        <v>0</v>
      </c>
      <c r="H2059">
        <f>FME_Ranking1[[#This Row],[Emergency Need Score (Normalized, Unweighted)]]*$F$3</f>
        <v>0</v>
      </c>
      <c r="I2059" s="246">
        <f>_xlfn.XLOOKUP(FME_Ranking1[[#This Row],[FME ID]],FME_Input[FME_ID],FME_Input[STRUCT_100])</f>
        <v>3</v>
      </c>
      <c r="J2059" s="178">
        <f>(FME_Ranking1[[#This Row],[Structures 100 Raw]]/I$2)*100</f>
        <v>1.6064773165402903E-3</v>
      </c>
      <c r="K2059" s="178">
        <f>FME_Ranking1[[#This Row],[Structures 100  Score (Normalized, Unweighted)]]*$I$3</f>
        <v>2.4097159748104354E-4</v>
      </c>
      <c r="L2059" s="246">
        <f>_xlfn.XLOOKUP(FME_Ranking1[[#This Row],[FME ID]],FME_Input[FME_ID],FME_Input[RES_STRUCT100])</f>
        <v>3</v>
      </c>
      <c r="M2059" s="230">
        <f>(FME_Ranking1[[#This Row],[Res Structures Raw]]/L$2)*100</f>
        <v>2.1249167740930146E-3</v>
      </c>
      <c r="N2059" s="180">
        <f>FME_Ranking1[[#This Row],[Res Structures Score (Normalized, Unweighted)]]*$L$3</f>
        <v>2.1249167740930149E-4</v>
      </c>
      <c r="O2059" s="244">
        <f>_xlfn.XLOOKUP(FME_Ranking1[[#This Row],[FME ID]],FME_Input[FME_ID],FME_Input[POP100])</f>
        <v>0</v>
      </c>
      <c r="P2059" s="178">
        <f>(FME_Ranking1[[#This Row],[Pop Raw]]/$O$2)*100</f>
        <v>0</v>
      </c>
      <c r="Q2059" s="178">
        <f>FME_Ranking1[[#This Row],[Pop Score (Normalized, Unweighted)]]*$O$3</f>
        <v>0</v>
      </c>
      <c r="R2059" s="137">
        <f>_xlfn.XLOOKUP(FME_Ranking1[[#This Row],[FME ID]],FME_Input[FME_ID],FME_Input[CRITFAC100])</f>
        <v>0</v>
      </c>
      <c r="S2059" s="230">
        <f>(FME_Ranking1[[#This Row],[Critical Facilities Raw]]/$R$2)*100</f>
        <v>0</v>
      </c>
      <c r="T2059" s="180">
        <f>FME_Ranking1[[#This Row],[Critical Facilities Score (Normalized, Unweighted)]]*$R$3</f>
        <v>0</v>
      </c>
      <c r="U2059">
        <f>_xlfn.XLOOKUP(FME_Ranking1[[#This Row],[FME ID]],FME_Input[FME_ID],FME_Input[LWC])</f>
        <v>0</v>
      </c>
      <c r="V2059" s="178">
        <f>(FME_Ranking1[[#This Row],[LWC Raw]]/$U$2)*100</f>
        <v>0</v>
      </c>
      <c r="W2059" s="178">
        <f>FME_Ranking1[[#This Row],[LWC Score (Normalized, Unweighted)]]*$U$3</f>
        <v>0</v>
      </c>
      <c r="X2059" s="246">
        <f>_xlfn.XLOOKUP(FME_Ranking1[[#This Row],[FME ID]],FME_Input[FME_ID],FME_Input[ROADCLS])</f>
        <v>0</v>
      </c>
      <c r="Y2059" s="230">
        <f>(FME_Ranking1[[#This Row],[Closures Raw]]/$X$2)*100</f>
        <v>0</v>
      </c>
      <c r="Z2059" s="180">
        <f>FME_Ranking1[[#This Row],[Closures Score (Normalized, Unweighted)]]*$X$3</f>
        <v>0</v>
      </c>
      <c r="AA2059" s="253">
        <f>_xlfn.XLOOKUP(FME_Ranking1[[#This Row],[FME ID]],FME_Input[FME_ID],FME_Input[ROAD_MILES100])</f>
        <v>0.538338303565979</v>
      </c>
      <c r="AB2059" s="178">
        <f>(FME_Ranking1[[#This Row],[Miles Raw]]/$AA$2)*100</f>
        <v>7.0781831368161713E-3</v>
      </c>
      <c r="AC2059" s="178">
        <f>FME_Ranking1[[#This Row],[Miles Score (Normalized, Unweighted)]]*$AA$3</f>
        <v>7.0781831368161717E-4</v>
      </c>
      <c r="AD2059" s="255">
        <f>_xlfn.XLOOKUP(FME_Ranking1[[#This Row],[FME ID]],FME_Input[FME_ID],FME_Input[FARMACRE100])</f>
        <v>27.619979858398441</v>
      </c>
      <c r="AE2059" s="230">
        <f>(FME_Ranking1[[#This Row],[Ag Land Raw]]/$AD$2)*100</f>
        <v>1.1389243284186132E-3</v>
      </c>
      <c r="AF2059" s="231">
        <f>FME_Ranking1[[#This Row],[Ag Land Score (Normalized, Unweighted)]]*$AD$3</f>
        <v>5.6946216420930662E-5</v>
      </c>
      <c r="AG205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1.2182278049928928E-3</v>
      </c>
      <c r="AH2059" s="406">
        <f t="shared" si="32"/>
        <v>2007</v>
      </c>
      <c r="AI205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1.2182278049928928E-3</v>
      </c>
      <c r="AJ2059" s="257">
        <f>FME_Ranking1[[#This Row],[Addition check]]-FME_Ranking1[[#This Row],[Weighted Score Based on Normalized Reported Factors]]</f>
        <v>0</v>
      </c>
      <c r="AK2059" s="178">
        <f>_xlfn.RANK.EQ(AI2059,$AI$6:$AI$2341,0)+COUNTIF($AI$6:AI2059,AI2059)-1</f>
        <v>2009</v>
      </c>
    </row>
    <row r="2060" spans="1:37" x14ac:dyDescent="0.25">
      <c r="A2060" t="s">
        <v>5400</v>
      </c>
      <c r="B2060">
        <f>_xlfn.XLOOKUP(FME_Ranking1[[#This Row],[FME ID]],FME_Input[FME_ID],FME_Input[RFPG_NUM])</f>
        <v>3</v>
      </c>
      <c r="C2060" t="str">
        <f>_xlfn.XLOOKUP(FME_Ranking1[[#This Row],[FME ID]],FME_Input[FME_ID],FME_Input[FME_NAME])</f>
        <v>East Grand Prairie Rd &amp; 14th Street from Austin to Ditch South of Skyline</v>
      </c>
      <c r="D2060" t="str">
        <f>_xlfn.XLOOKUP(FME_Ranking1[[#This Row],[FME ID]],FME_Input[FME_ID],FME_Input[DESCR])</f>
        <v>Study update - Storm Drain Improvements; Estimated construction cost of $8,549,300</v>
      </c>
      <c r="E2060" s="256">
        <f>_xlfn.XLOOKUP(FME_Ranking1[[#This Row],[FME ID]],FME_Input[FME_ID],FME_Input[FME_COST])</f>
        <v>427000</v>
      </c>
      <c r="F2060" t="str">
        <f>_xlfn.XLOOKUP(FME_Ranking1[[#This Row],[FME ID]],FME_Input[FME_ID],FME_Input[EMER_NEED])</f>
        <v>No</v>
      </c>
      <c r="G2060">
        <f>IF(FME_Ranking!F2060="Yes",100,0)</f>
        <v>0</v>
      </c>
      <c r="H2060">
        <f>FME_Ranking1[[#This Row],[Emergency Need Score (Normalized, Unweighted)]]*$F$3</f>
        <v>0</v>
      </c>
      <c r="I2060" s="246">
        <f>_xlfn.XLOOKUP(FME_Ranking1[[#This Row],[FME ID]],FME_Input[FME_ID],FME_Input[STRUCT_100])</f>
        <v>3</v>
      </c>
      <c r="J2060" s="178">
        <f>(FME_Ranking1[[#This Row],[Structures 100 Raw]]/I$2)*100</f>
        <v>1.6064773165402903E-3</v>
      </c>
      <c r="K2060" s="178">
        <f>FME_Ranking1[[#This Row],[Structures 100  Score (Normalized, Unweighted)]]*$I$3</f>
        <v>2.4097159748104354E-4</v>
      </c>
      <c r="L2060" s="246">
        <f>_xlfn.XLOOKUP(FME_Ranking1[[#This Row],[FME ID]],FME_Input[FME_ID],FME_Input[RES_STRUCT100])</f>
        <v>3</v>
      </c>
      <c r="M2060" s="230">
        <f>(FME_Ranking1[[#This Row],[Res Structures Raw]]/L$2)*100</f>
        <v>2.1249167740930146E-3</v>
      </c>
      <c r="N2060" s="180">
        <f>FME_Ranking1[[#This Row],[Res Structures Score (Normalized, Unweighted)]]*$L$3</f>
        <v>2.1249167740930149E-4</v>
      </c>
      <c r="O2060" s="244">
        <f>_xlfn.XLOOKUP(FME_Ranking1[[#This Row],[FME ID]],FME_Input[FME_ID],FME_Input[POP100])</f>
        <v>0</v>
      </c>
      <c r="P2060" s="178">
        <f>(FME_Ranking1[[#This Row],[Pop Raw]]/$O$2)*100</f>
        <v>0</v>
      </c>
      <c r="Q2060" s="178">
        <f>FME_Ranking1[[#This Row],[Pop Score (Normalized, Unweighted)]]*$O$3</f>
        <v>0</v>
      </c>
      <c r="R2060" s="137">
        <f>_xlfn.XLOOKUP(FME_Ranking1[[#This Row],[FME ID]],FME_Input[FME_ID],FME_Input[CRITFAC100])</f>
        <v>0</v>
      </c>
      <c r="S2060" s="230">
        <f>(FME_Ranking1[[#This Row],[Critical Facilities Raw]]/$R$2)*100</f>
        <v>0</v>
      </c>
      <c r="T2060" s="180">
        <f>FME_Ranking1[[#This Row],[Critical Facilities Score (Normalized, Unweighted)]]*$R$3</f>
        <v>0</v>
      </c>
      <c r="U2060">
        <f>_xlfn.XLOOKUP(FME_Ranking1[[#This Row],[FME ID]],FME_Input[FME_ID],FME_Input[LWC])</f>
        <v>0</v>
      </c>
      <c r="V2060" s="178">
        <f>(FME_Ranking1[[#This Row],[LWC Raw]]/$U$2)*100</f>
        <v>0</v>
      </c>
      <c r="W2060" s="178">
        <f>FME_Ranking1[[#This Row],[LWC Score (Normalized, Unweighted)]]*$U$3</f>
        <v>0</v>
      </c>
      <c r="X2060" s="246">
        <f>_xlfn.XLOOKUP(FME_Ranking1[[#This Row],[FME ID]],FME_Input[FME_ID],FME_Input[ROADCLS])</f>
        <v>0</v>
      </c>
      <c r="Y2060" s="230">
        <f>(FME_Ranking1[[#This Row],[Closures Raw]]/$X$2)*100</f>
        <v>0</v>
      </c>
      <c r="Z2060" s="180">
        <f>FME_Ranking1[[#This Row],[Closures Score (Normalized, Unweighted)]]*$X$3</f>
        <v>0</v>
      </c>
      <c r="AA2060" s="253">
        <f>_xlfn.XLOOKUP(FME_Ranking1[[#This Row],[FME ID]],FME_Input[FME_ID],FME_Input[ROAD_MILES100])</f>
        <v>0.538338303565979</v>
      </c>
      <c r="AB2060" s="178">
        <f>(FME_Ranking1[[#This Row],[Miles Raw]]/$AA$2)*100</f>
        <v>7.0781831368161713E-3</v>
      </c>
      <c r="AC2060" s="178">
        <f>FME_Ranking1[[#This Row],[Miles Score (Normalized, Unweighted)]]*$AA$3</f>
        <v>7.0781831368161717E-4</v>
      </c>
      <c r="AD2060" s="255">
        <f>_xlfn.XLOOKUP(FME_Ranking1[[#This Row],[FME ID]],FME_Input[FME_ID],FME_Input[FARMACRE100])</f>
        <v>27.619979858398441</v>
      </c>
      <c r="AE2060" s="230">
        <f>(FME_Ranking1[[#This Row],[Ag Land Raw]]/$AD$2)*100</f>
        <v>1.1389243284186132E-3</v>
      </c>
      <c r="AF2060" s="231">
        <f>FME_Ranking1[[#This Row],[Ag Land Score (Normalized, Unweighted)]]*$AD$3</f>
        <v>5.6946216420930662E-5</v>
      </c>
      <c r="AG206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1.2182278049928928E-3</v>
      </c>
      <c r="AH2060" s="406">
        <f t="shared" si="32"/>
        <v>2007</v>
      </c>
      <c r="AI206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1.2182278049928928E-3</v>
      </c>
      <c r="AJ2060" s="257">
        <f>FME_Ranking1[[#This Row],[Addition check]]-FME_Ranking1[[#This Row],[Weighted Score Based on Normalized Reported Factors]]</f>
        <v>0</v>
      </c>
      <c r="AK2060" s="178">
        <f>_xlfn.RANK.EQ(AI2060,$AI$6:$AI$2341,0)+COUNTIF($AI$6:AI2060,AI2060)-1</f>
        <v>2010</v>
      </c>
    </row>
    <row r="2061" spans="1:37" x14ac:dyDescent="0.25">
      <c r="A2061" t="s">
        <v>7104</v>
      </c>
      <c r="B2061">
        <f>_xlfn.XLOOKUP(FME_Ranking1[[#This Row],[FME ID]],FME_Input[FME_ID],FME_Input[RFPG_NUM])</f>
        <v>7</v>
      </c>
      <c r="C2061" t="str">
        <f>_xlfn.XLOOKUP(FME_Ranking1[[#This Row],[FME ID]],FME_Input[FME_ID],FME_Input[FME_NAME])</f>
        <v>City of Lubbock 34th St CIP</v>
      </c>
      <c r="D2061" t="str">
        <f>_xlfn.XLOOKUP(FME_Ranking1[[#This Row],[FME ID]],FME_Input[FME_ID],FME_Input[DESCR])</f>
        <v>Balancing culverts, an elevated roadway and a drainage system parallel to the road between Upland and Milwaukee.</v>
      </c>
      <c r="E2061" s="256">
        <f>_xlfn.XLOOKUP(FME_Ranking1[[#This Row],[FME ID]],FME_Input[FME_ID],FME_Input[FME_COST])</f>
        <v>100000</v>
      </c>
      <c r="F2061" t="str">
        <f>_xlfn.XLOOKUP(FME_Ranking1[[#This Row],[FME ID]],FME_Input[FME_ID],FME_Input[EMER_NEED])</f>
        <v>No</v>
      </c>
      <c r="G2061">
        <f>IF(FME_Ranking!F2061="Yes",100,0)</f>
        <v>0</v>
      </c>
      <c r="H2061">
        <f>FME_Ranking1[[#This Row],[Emergency Need Score (Normalized, Unweighted)]]*$F$3</f>
        <v>0</v>
      </c>
      <c r="I2061" s="246">
        <f>_xlfn.XLOOKUP(FME_Ranking1[[#This Row],[FME ID]],FME_Input[FME_ID],FME_Input[STRUCT_100])</f>
        <v>3</v>
      </c>
      <c r="J2061" s="178">
        <f>(FME_Ranking1[[#This Row],[Structures 100 Raw]]/I$2)*100</f>
        <v>1.6064773165402903E-3</v>
      </c>
      <c r="K2061" s="178">
        <f>FME_Ranking1[[#This Row],[Structures 100  Score (Normalized, Unweighted)]]*$I$3</f>
        <v>2.4097159748104354E-4</v>
      </c>
      <c r="L2061" s="246">
        <f>_xlfn.XLOOKUP(FME_Ranking1[[#This Row],[FME ID]],FME_Input[FME_ID],FME_Input[RES_STRUCT100])</f>
        <v>3</v>
      </c>
      <c r="M2061" s="230">
        <f>(FME_Ranking1[[#This Row],[Res Structures Raw]]/L$2)*100</f>
        <v>2.1249167740930146E-3</v>
      </c>
      <c r="N2061" s="180">
        <f>FME_Ranking1[[#This Row],[Res Structures Score (Normalized, Unweighted)]]*$L$3</f>
        <v>2.1249167740930149E-4</v>
      </c>
      <c r="O2061" s="244">
        <f>_xlfn.XLOOKUP(FME_Ranking1[[#This Row],[FME ID]],FME_Input[FME_ID],FME_Input[POP100])</f>
        <v>3</v>
      </c>
      <c r="P2061" s="178">
        <f>(FME_Ranking1[[#This Row],[Pop Raw]]/$O$2)*100</f>
        <v>3.0712593596628988E-4</v>
      </c>
      <c r="Q2061" s="178">
        <f>FME_Ranking1[[#This Row],[Pop Score (Normalized, Unweighted)]]*$O$3</f>
        <v>4.6068890394943479E-5</v>
      </c>
      <c r="R2061" s="137">
        <f>_xlfn.XLOOKUP(FME_Ranking1[[#This Row],[FME ID]],FME_Input[FME_ID],FME_Input[CRITFAC100])</f>
        <v>0</v>
      </c>
      <c r="S2061" s="230">
        <f>(FME_Ranking1[[#This Row],[Critical Facilities Raw]]/$R$2)*100</f>
        <v>0</v>
      </c>
      <c r="T2061" s="180">
        <f>FME_Ranking1[[#This Row],[Critical Facilities Score (Normalized, Unweighted)]]*$R$3</f>
        <v>0</v>
      </c>
      <c r="U2061">
        <f>_xlfn.XLOOKUP(FME_Ranking1[[#This Row],[FME ID]],FME_Input[FME_ID],FME_Input[LWC])</f>
        <v>0</v>
      </c>
      <c r="V2061" s="178">
        <f>(FME_Ranking1[[#This Row],[LWC Raw]]/$U$2)*100</f>
        <v>0</v>
      </c>
      <c r="W2061" s="178">
        <f>FME_Ranking1[[#This Row],[LWC Score (Normalized, Unweighted)]]*$U$3</f>
        <v>0</v>
      </c>
      <c r="X2061" s="246">
        <f>_xlfn.XLOOKUP(FME_Ranking1[[#This Row],[FME ID]],FME_Input[FME_ID],FME_Input[ROADCLS])</f>
        <v>0</v>
      </c>
      <c r="Y2061" s="230">
        <f>(FME_Ranking1[[#This Row],[Closures Raw]]/$X$2)*100</f>
        <v>0</v>
      </c>
      <c r="Z2061" s="180">
        <f>FME_Ranking1[[#This Row],[Closures Score (Normalized, Unweighted)]]*$X$3</f>
        <v>0</v>
      </c>
      <c r="AA2061" s="253">
        <f>_xlfn.XLOOKUP(FME_Ranking1[[#This Row],[FME ID]],FME_Input[FME_ID],FME_Input[ROAD_MILES100])</f>
        <v>0.25622019171714783</v>
      </c>
      <c r="AB2061" s="178">
        <f>(FME_Ranking1[[#This Row],[Miles Raw]]/$AA$2)*100</f>
        <v>3.3688359685924707E-3</v>
      </c>
      <c r="AC2061" s="178">
        <f>FME_Ranking1[[#This Row],[Miles Score (Normalized, Unweighted)]]*$AA$3</f>
        <v>3.3688359685924709E-4</v>
      </c>
      <c r="AD2061" s="255">
        <f>_xlfn.XLOOKUP(FME_Ranking1[[#This Row],[FME ID]],FME_Input[FME_ID],FME_Input[FARMACRE100])</f>
        <v>0</v>
      </c>
      <c r="AE2061" s="230">
        <f>(FME_Ranking1[[#This Row],[Ag Land Raw]]/$AD$2)*100</f>
        <v>0</v>
      </c>
      <c r="AF2061" s="231">
        <f>FME_Ranking1[[#This Row],[Ag Land Score (Normalized, Unweighted)]]*$AD$3</f>
        <v>0</v>
      </c>
      <c r="AG206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8.364157621445356E-4</v>
      </c>
      <c r="AH2061" s="406">
        <f t="shared" si="32"/>
        <v>2041</v>
      </c>
      <c r="AI206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8.364157621445356E-4</v>
      </c>
      <c r="AJ2061" s="257">
        <f>FME_Ranking1[[#This Row],[Addition check]]-FME_Ranking1[[#This Row],[Weighted Score Based on Normalized Reported Factors]]</f>
        <v>0</v>
      </c>
      <c r="AK2061" s="178">
        <f>_xlfn.RANK.EQ(AI2061,$AI$6:$AI$2341,0)+COUNTIF($AI$6:AI2061,AI2061)-1</f>
        <v>2041</v>
      </c>
    </row>
    <row r="2062" spans="1:37" x14ac:dyDescent="0.25">
      <c r="A2062" t="s">
        <v>1516</v>
      </c>
      <c r="B2062">
        <f>_xlfn.XLOOKUP(FME_Ranking1[[#This Row],[FME ID]],FME_Input[FME_ID],FME_Input[RFPG_NUM])</f>
        <v>6</v>
      </c>
      <c r="C2062" t="str">
        <f>_xlfn.XLOOKUP(FME_Ranking1[[#This Row],[FME ID]],FME_Input[FME_ID],FME_Input[FME_NAME])</f>
        <v>City of Beach City  Master Drainage Plan</v>
      </c>
      <c r="D2062" t="str">
        <f>_xlfn.XLOOKUP(FME_Ranking1[[#This Row],[FME ID]],FME_Input[FME_ID],FME_Input[DESCR])</f>
        <v>Study to develop Master Drainage Plan using future and existing land use and flood/storm water drainage needs including Atlas 14 rainfall.</v>
      </c>
      <c r="E2062" s="256">
        <f>_xlfn.XLOOKUP(FME_Ranking1[[#This Row],[FME ID]],FME_Input[FME_ID],FME_Input[FME_COST])</f>
        <v>240000</v>
      </c>
      <c r="F2062" t="str">
        <f>_xlfn.XLOOKUP(FME_Ranking1[[#This Row],[FME ID]],FME_Input[FME_ID],FME_Input[EMER_NEED])</f>
        <v>Yes</v>
      </c>
      <c r="G2062">
        <f>IF(FME_Ranking!F2062="Yes",100,0)</f>
        <v>100</v>
      </c>
      <c r="H2062">
        <f>FME_Ranking1[[#This Row],[Emergency Need Score (Normalized, Unweighted)]]*$F$3</f>
        <v>0</v>
      </c>
      <c r="I2062" s="246">
        <f>_xlfn.XLOOKUP(FME_Ranking1[[#This Row],[FME ID]],FME_Input[FME_ID],FME_Input[STRUCT_100])</f>
        <v>3</v>
      </c>
      <c r="J2062" s="178">
        <f>(FME_Ranking1[[#This Row],[Structures 100 Raw]]/I$2)*100</f>
        <v>1.6064773165402903E-3</v>
      </c>
      <c r="K2062" s="178">
        <f>FME_Ranking1[[#This Row],[Structures 100  Score (Normalized, Unweighted)]]*$I$3</f>
        <v>2.4097159748104354E-4</v>
      </c>
      <c r="L2062" s="246">
        <f>_xlfn.XLOOKUP(FME_Ranking1[[#This Row],[FME ID]],FME_Input[FME_ID],FME_Input[RES_STRUCT100])</f>
        <v>2</v>
      </c>
      <c r="M2062" s="230">
        <f>(FME_Ranking1[[#This Row],[Res Structures Raw]]/L$2)*100</f>
        <v>1.4166111827286765E-3</v>
      </c>
      <c r="N2062" s="180">
        <f>FME_Ranking1[[#This Row],[Res Structures Score (Normalized, Unweighted)]]*$L$3</f>
        <v>1.4166111827286767E-4</v>
      </c>
      <c r="O2062" s="244">
        <f>_xlfn.XLOOKUP(FME_Ranking1[[#This Row],[FME ID]],FME_Input[FME_ID],FME_Input[POP100])</f>
        <v>6</v>
      </c>
      <c r="P2062" s="178">
        <f>(FME_Ranking1[[#This Row],[Pop Raw]]/$O$2)*100</f>
        <v>6.1425187193257975E-4</v>
      </c>
      <c r="Q2062" s="178">
        <f>FME_Ranking1[[#This Row],[Pop Score (Normalized, Unweighted)]]*$O$3</f>
        <v>9.2137780789886957E-5</v>
      </c>
      <c r="R2062" s="137">
        <f>_xlfn.XLOOKUP(FME_Ranking1[[#This Row],[FME ID]],FME_Input[FME_ID],FME_Input[CRITFAC100])</f>
        <v>0</v>
      </c>
      <c r="S2062" s="230">
        <f>(FME_Ranking1[[#This Row],[Critical Facilities Raw]]/$R$2)*100</f>
        <v>0</v>
      </c>
      <c r="T2062" s="180">
        <f>FME_Ranking1[[#This Row],[Critical Facilities Score (Normalized, Unweighted)]]*$R$3</f>
        <v>0</v>
      </c>
      <c r="U2062">
        <f>_xlfn.XLOOKUP(FME_Ranking1[[#This Row],[FME ID]],FME_Input[FME_ID],FME_Input[LWC])</f>
        <v>0</v>
      </c>
      <c r="V2062" s="178">
        <f>(FME_Ranking1[[#This Row],[LWC Raw]]/$U$2)*100</f>
        <v>0</v>
      </c>
      <c r="W2062" s="178">
        <f>FME_Ranking1[[#This Row],[LWC Score (Normalized, Unweighted)]]*$U$3</f>
        <v>0</v>
      </c>
      <c r="X2062" s="246">
        <f>_xlfn.XLOOKUP(FME_Ranking1[[#This Row],[FME ID]],FME_Input[FME_ID],FME_Input[ROADCLS])</f>
        <v>0</v>
      </c>
      <c r="Y2062" s="230">
        <f>(FME_Ranking1[[#This Row],[Closures Raw]]/$X$2)*100</f>
        <v>0</v>
      </c>
      <c r="Z2062" s="180">
        <f>FME_Ranking1[[#This Row],[Closures Score (Normalized, Unweighted)]]*$X$3</f>
        <v>0</v>
      </c>
      <c r="AA2062" s="253">
        <f>_xlfn.XLOOKUP(FME_Ranking1[[#This Row],[FME ID]],FME_Input[FME_ID],FME_Input[ROAD_MILES100])</f>
        <v>0.19233196973800659</v>
      </c>
      <c r="AB2062" s="178">
        <f>(FME_Ranking1[[#This Row],[Miles Raw]]/$AA$2)*100</f>
        <v>2.5288204384723806E-3</v>
      </c>
      <c r="AC2062" s="178">
        <f>FME_Ranking1[[#This Row],[Miles Score (Normalized, Unweighted)]]*$AA$3</f>
        <v>2.5288204384723808E-4</v>
      </c>
      <c r="AD2062" s="255">
        <f>_xlfn.XLOOKUP(FME_Ranking1[[#This Row],[FME ID]],FME_Input[FME_ID],FME_Input[FARMACRE100])</f>
        <v>4.7168741226196289</v>
      </c>
      <c r="AE2062" s="230">
        <f>(FME_Ranking1[[#This Row],[Ag Land Raw]]/$AD$2)*100</f>
        <v>1.9450277371242094E-4</v>
      </c>
      <c r="AF2062" s="231">
        <f>FME_Ranking1[[#This Row],[Ag Land Score (Normalized, Unweighted)]]*$AD$3</f>
        <v>9.7251386856210478E-6</v>
      </c>
      <c r="AG206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7.3737767907665732E-4</v>
      </c>
      <c r="AH2062" s="406">
        <f t="shared" si="32"/>
        <v>2050</v>
      </c>
      <c r="AI206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7.3737767907665732E-4</v>
      </c>
      <c r="AJ2062" s="257">
        <f>FME_Ranking1[[#This Row],[Addition check]]-FME_Ranking1[[#This Row],[Weighted Score Based on Normalized Reported Factors]]</f>
        <v>0</v>
      </c>
      <c r="AK2062" s="178">
        <f>_xlfn.RANK.EQ(AI2062,$AI$6:$AI$2341,0)+COUNTIF($AI$6:AI2062,AI2062)-1</f>
        <v>2050</v>
      </c>
    </row>
    <row r="2063" spans="1:37" x14ac:dyDescent="0.25">
      <c r="A2063" t="s">
        <v>5657</v>
      </c>
      <c r="B2063">
        <f>_xlfn.XLOOKUP(FME_Ranking1[[#This Row],[FME ID]],FME_Input[FME_ID],FME_Input[RFPG_NUM])</f>
        <v>4</v>
      </c>
      <c r="C2063" t="str">
        <f>_xlfn.XLOOKUP(FME_Ranking1[[#This Row],[FME ID]],FME_Input[FME_ID],FME_Input[FME_NAME])</f>
        <v>Lone Oak - Dam Inundation Study</v>
      </c>
      <c r="D2063" t="str">
        <f>_xlfn.XLOOKUP(FME_Ranking1[[#This Row],[FME ID]],FME_Input[FME_ID],FME_Input[DESCR])</f>
        <v xml:space="preserve">Dam inundation study, safety study, and inventory of mitigation activities to implement for the county dams. </v>
      </c>
      <c r="E2063" s="256">
        <f>_xlfn.XLOOKUP(FME_Ranking1[[#This Row],[FME ID]],FME_Input[FME_ID],FME_Input[FME_COST])</f>
        <v>500000</v>
      </c>
      <c r="F2063" t="str">
        <f>_xlfn.XLOOKUP(FME_Ranking1[[#This Row],[FME ID]],FME_Input[FME_ID],FME_Input[EMER_NEED])</f>
        <v>Yes</v>
      </c>
      <c r="G2063">
        <f>IF(FME_Ranking!F2063="Yes",100,0)</f>
        <v>100</v>
      </c>
      <c r="H2063">
        <f>FME_Ranking1[[#This Row],[Emergency Need Score (Normalized, Unweighted)]]*$F$3</f>
        <v>0</v>
      </c>
      <c r="I2063" s="246">
        <f>_xlfn.XLOOKUP(FME_Ranking1[[#This Row],[FME ID]],FME_Input[FME_ID],FME_Input[STRUCT_100])</f>
        <v>3</v>
      </c>
      <c r="J2063" s="178">
        <f>(FME_Ranking1[[#This Row],[Structures 100 Raw]]/I$2)*100</f>
        <v>1.6064773165402903E-3</v>
      </c>
      <c r="K2063" s="178">
        <f>FME_Ranking1[[#This Row],[Structures 100  Score (Normalized, Unweighted)]]*$I$3</f>
        <v>2.4097159748104354E-4</v>
      </c>
      <c r="L2063" s="246">
        <f>_xlfn.XLOOKUP(FME_Ranking1[[#This Row],[FME ID]],FME_Input[FME_ID],FME_Input[RES_STRUCT100])</f>
        <v>2</v>
      </c>
      <c r="M2063" s="230">
        <f>(FME_Ranking1[[#This Row],[Res Structures Raw]]/L$2)*100</f>
        <v>1.4166111827286765E-3</v>
      </c>
      <c r="N2063" s="180">
        <f>FME_Ranking1[[#This Row],[Res Structures Score (Normalized, Unweighted)]]*$L$3</f>
        <v>1.4166111827286767E-4</v>
      </c>
      <c r="O2063" s="244">
        <f>_xlfn.XLOOKUP(FME_Ranking1[[#This Row],[FME ID]],FME_Input[FME_ID],FME_Input[POP100])</f>
        <v>2</v>
      </c>
      <c r="P2063" s="178">
        <f>(FME_Ranking1[[#This Row],[Pop Raw]]/$O$2)*100</f>
        <v>2.0475062397752657E-4</v>
      </c>
      <c r="Q2063" s="178">
        <f>FME_Ranking1[[#This Row],[Pop Score (Normalized, Unweighted)]]*$O$3</f>
        <v>3.0712593596628984E-5</v>
      </c>
      <c r="R2063" s="137">
        <f>_xlfn.XLOOKUP(FME_Ranking1[[#This Row],[FME ID]],FME_Input[FME_ID],FME_Input[CRITFAC100])</f>
        <v>0</v>
      </c>
      <c r="S2063" s="230">
        <f>(FME_Ranking1[[#This Row],[Critical Facilities Raw]]/$R$2)*100</f>
        <v>0</v>
      </c>
      <c r="T2063" s="180">
        <f>FME_Ranking1[[#This Row],[Critical Facilities Score (Normalized, Unweighted)]]*$R$3</f>
        <v>0</v>
      </c>
      <c r="U2063">
        <f>_xlfn.XLOOKUP(FME_Ranking1[[#This Row],[FME ID]],FME_Input[FME_ID],FME_Input[LWC])</f>
        <v>0</v>
      </c>
      <c r="V2063" s="178">
        <f>(FME_Ranking1[[#This Row],[LWC Raw]]/$U$2)*100</f>
        <v>0</v>
      </c>
      <c r="W2063" s="178">
        <f>FME_Ranking1[[#This Row],[LWC Score (Normalized, Unweighted)]]*$U$3</f>
        <v>0</v>
      </c>
      <c r="X2063" s="246">
        <f>_xlfn.XLOOKUP(FME_Ranking1[[#This Row],[FME ID]],FME_Input[FME_ID],FME_Input[ROADCLS])</f>
        <v>0</v>
      </c>
      <c r="Y2063" s="230">
        <f>(FME_Ranking1[[#This Row],[Closures Raw]]/$X$2)*100</f>
        <v>0</v>
      </c>
      <c r="Z2063" s="180">
        <f>FME_Ranking1[[#This Row],[Closures Score (Normalized, Unweighted)]]*$X$3</f>
        <v>0</v>
      </c>
      <c r="AA2063" s="253">
        <f>_xlfn.XLOOKUP(FME_Ranking1[[#This Row],[FME ID]],FME_Input[FME_ID],FME_Input[ROAD_MILES100])</f>
        <v>1.8961000023409719E-4</v>
      </c>
      <c r="AB2063" s="178">
        <f>(FME_Ranking1[[#This Row],[Miles Raw]]/$AA$2)*100</f>
        <v>2.493031421577472E-6</v>
      </c>
      <c r="AC2063" s="178">
        <f>FME_Ranking1[[#This Row],[Miles Score (Normalized, Unweighted)]]*$AA$3</f>
        <v>2.4930314215774719E-7</v>
      </c>
      <c r="AD2063" s="255">
        <f>_xlfn.XLOOKUP(FME_Ranking1[[#This Row],[FME ID]],FME_Input[FME_ID],FME_Input[FARMACRE100])</f>
        <v>30.463380813598629</v>
      </c>
      <c r="AE2063" s="230">
        <f>(FME_Ranking1[[#This Row],[Ag Land Raw]]/$AD$2)*100</f>
        <v>1.2561734553162025E-3</v>
      </c>
      <c r="AF2063" s="231">
        <f>FME_Ranking1[[#This Row],[Ag Land Score (Normalized, Unweighted)]]*$AD$3</f>
        <v>6.2808672765810128E-5</v>
      </c>
      <c r="AG206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4.7640328525850814E-4</v>
      </c>
      <c r="AH2063" s="406">
        <f t="shared" si="32"/>
        <v>2100</v>
      </c>
      <c r="AI206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4.7640328525850814E-4</v>
      </c>
      <c r="AJ2063" s="257">
        <f>FME_Ranking1[[#This Row],[Addition check]]-FME_Ranking1[[#This Row],[Weighted Score Based on Normalized Reported Factors]]</f>
        <v>0</v>
      </c>
      <c r="AK2063" s="178">
        <f>_xlfn.RANK.EQ(AI2063,$AI$6:$AI$2341,0)+COUNTIF($AI$6:AI2063,AI2063)-1</f>
        <v>2100</v>
      </c>
    </row>
    <row r="2064" spans="1:37" x14ac:dyDescent="0.25">
      <c r="A2064" t="s">
        <v>2999</v>
      </c>
      <c r="B2064">
        <f>_xlfn.XLOOKUP(FME_Ranking1[[#This Row],[FME ID]],FME_Input[FME_ID],FME_Input[RFPG_NUM])</f>
        <v>1</v>
      </c>
      <c r="C2064" t="str">
        <f>_xlfn.XLOOKUP(FME_Ranking1[[#This Row],[FME ID]],FME_Input[FME_ID],FME_Input[FME_NAME])</f>
        <v>Hale County FIS</v>
      </c>
      <c r="D2064" t="str">
        <f>_xlfn.XLOOKUP(FME_Ranking1[[#This Row],[FME ID]],FME_Input[FME_ID],FME_Input[DESCR])</f>
        <v>Update flood insurance study for the county and develop regulatory mapping</v>
      </c>
      <c r="E2064" s="256">
        <f>_xlfn.XLOOKUP(FME_Ranking1[[#This Row],[FME ID]],FME_Input[FME_ID],FME_Input[FME_COST])</f>
        <v>1076000</v>
      </c>
      <c r="F2064" t="str">
        <f>_xlfn.XLOOKUP(FME_Ranking1[[#This Row],[FME ID]],FME_Input[FME_ID],FME_Input[EMER_NEED])</f>
        <v>No</v>
      </c>
      <c r="G2064">
        <f>IF(FME_Ranking!F2064="Yes",100,0)</f>
        <v>0</v>
      </c>
      <c r="H2064">
        <f>FME_Ranking1[[#This Row],[Emergency Need Score (Normalized, Unweighted)]]*$F$3</f>
        <v>0</v>
      </c>
      <c r="I2064" s="246">
        <f>_xlfn.XLOOKUP(FME_Ranking1[[#This Row],[FME ID]],FME_Input[FME_ID],FME_Input[STRUCT_100])</f>
        <v>0</v>
      </c>
      <c r="J2064" s="178">
        <f>(FME_Ranking1[[#This Row],[Structures 100 Raw]]/I$2)*100</f>
        <v>0</v>
      </c>
      <c r="K2064" s="178">
        <f>FME_Ranking1[[#This Row],[Structures 100  Score (Normalized, Unweighted)]]*$I$3</f>
        <v>0</v>
      </c>
      <c r="L2064" s="246">
        <f>_xlfn.XLOOKUP(FME_Ranking1[[#This Row],[FME ID]],FME_Input[FME_ID],FME_Input[RES_STRUCT100])</f>
        <v>0</v>
      </c>
      <c r="M2064" s="230">
        <f>(FME_Ranking1[[#This Row],[Res Structures Raw]]/L$2)*100</f>
        <v>0</v>
      </c>
      <c r="N2064" s="180">
        <f>FME_Ranking1[[#This Row],[Res Structures Score (Normalized, Unweighted)]]*$L$3</f>
        <v>0</v>
      </c>
      <c r="O2064" s="244">
        <f>_xlfn.XLOOKUP(FME_Ranking1[[#This Row],[FME ID]],FME_Input[FME_ID],FME_Input[POP100])</f>
        <v>0</v>
      </c>
      <c r="P2064" s="178">
        <f>(FME_Ranking1[[#This Row],[Pop Raw]]/$O$2)*100</f>
        <v>0</v>
      </c>
      <c r="Q2064" s="178">
        <f>FME_Ranking1[[#This Row],[Pop Score (Normalized, Unweighted)]]*$O$3</f>
        <v>0</v>
      </c>
      <c r="R2064" s="137">
        <f>_xlfn.XLOOKUP(FME_Ranking1[[#This Row],[FME ID]],FME_Input[FME_ID],FME_Input[CRITFAC100])</f>
        <v>0</v>
      </c>
      <c r="S2064" s="230">
        <f>(FME_Ranking1[[#This Row],[Critical Facilities Raw]]/$R$2)*100</f>
        <v>0</v>
      </c>
      <c r="T2064" s="180">
        <f>FME_Ranking1[[#This Row],[Critical Facilities Score (Normalized, Unweighted)]]*$R$3</f>
        <v>0</v>
      </c>
      <c r="U2064">
        <f>_xlfn.XLOOKUP(FME_Ranking1[[#This Row],[FME ID]],FME_Input[FME_ID],FME_Input[LWC])</f>
        <v>0</v>
      </c>
      <c r="V2064" s="178">
        <f>(FME_Ranking1[[#This Row],[LWC Raw]]/$U$2)*100</f>
        <v>0</v>
      </c>
      <c r="W2064" s="178">
        <f>FME_Ranking1[[#This Row],[LWC Score (Normalized, Unweighted)]]*$U$3</f>
        <v>0</v>
      </c>
      <c r="X2064" s="246">
        <f>_xlfn.XLOOKUP(FME_Ranking1[[#This Row],[FME ID]],FME_Input[FME_ID],FME_Input[ROADCLS])</f>
        <v>0</v>
      </c>
      <c r="Y2064" s="230">
        <f>(FME_Ranking1[[#This Row],[Closures Raw]]/$X$2)*100</f>
        <v>0</v>
      </c>
      <c r="Z2064" s="180">
        <f>FME_Ranking1[[#This Row],[Closures Score (Normalized, Unweighted)]]*$X$3</f>
        <v>0</v>
      </c>
      <c r="AA2064" s="253">
        <f>_xlfn.XLOOKUP(FME_Ranking1[[#This Row],[FME ID]],FME_Input[FME_ID],FME_Input[ROAD_MILES100])</f>
        <v>2.468757152557373</v>
      </c>
      <c r="AB2064" s="178">
        <f>(FME_Ranking1[[#This Row],[Miles Raw]]/$AA$2)*100</f>
        <v>3.2459728632302766E-2</v>
      </c>
      <c r="AC2064" s="178">
        <f>FME_Ranking1[[#This Row],[Miles Score (Normalized, Unweighted)]]*$AA$3</f>
        <v>3.2459728632302769E-3</v>
      </c>
      <c r="AD2064" s="255">
        <f>_xlfn.XLOOKUP(FME_Ranking1[[#This Row],[FME ID]],FME_Input[FME_ID],FME_Input[FARMACRE100])</f>
        <v>228.8638610839844</v>
      </c>
      <c r="AE2064" s="230">
        <f>(FME_Ranking1[[#This Row],[Ag Land Raw]]/$AD$2)*100</f>
        <v>9.4373211211849928E-3</v>
      </c>
      <c r="AF2064" s="231">
        <f>FME_Ranking1[[#This Row],[Ag Land Score (Normalized, Unweighted)]]*$AD$3</f>
        <v>4.7186605605924967E-4</v>
      </c>
      <c r="AG206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3.7178389192895267E-3</v>
      </c>
      <c r="AH2064" s="406">
        <f t="shared" si="32"/>
        <v>1871</v>
      </c>
      <c r="AI206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3.7178389192895267E-3</v>
      </c>
      <c r="AJ2064" s="257">
        <f>FME_Ranking1[[#This Row],[Addition check]]-FME_Ranking1[[#This Row],[Weighted Score Based on Normalized Reported Factors]]</f>
        <v>0</v>
      </c>
      <c r="AK2064" s="178">
        <f>_xlfn.RANK.EQ(AI2064,$AI$6:$AI$2341,0)+COUNTIF($AI$6:AI2064,AI2064)-1</f>
        <v>1871</v>
      </c>
    </row>
    <row r="2065" spans="1:37" x14ac:dyDescent="0.25">
      <c r="A2065" t="s">
        <v>802</v>
      </c>
      <c r="B2065">
        <f>_xlfn.XLOOKUP(FME_Ranking1[[#This Row],[FME ID]],FME_Input[FME_ID],FME_Input[RFPG_NUM])</f>
        <v>6</v>
      </c>
      <c r="C2065" t="str">
        <f>_xlfn.XLOOKUP(FME_Ranking1[[#This Row],[FME ID]],FME_Input[FME_ID],FME_Input[FME_NAME])</f>
        <v>Williamsburg Subdivision Drainage Assessment</v>
      </c>
      <c r="D2065" t="str">
        <f>_xlfn.XLOOKUP(FME_Ranking1[[#This Row],[FME ID]],FME_Input[FME_ID],FME_Input[DESCR])</f>
        <v xml:space="preserve">Further study of a flood risk reduction project in the Williamsburg Subdivision which includes additional detail for the design of a required weir structure. </v>
      </c>
      <c r="E2065" s="256">
        <f>_xlfn.XLOOKUP(FME_Ranking1[[#This Row],[FME ID]],FME_Input[FME_ID],FME_Input[FME_COST])</f>
        <v>1260000</v>
      </c>
      <c r="F2065" t="str">
        <f>_xlfn.XLOOKUP(FME_Ranking1[[#This Row],[FME ID]],FME_Input[FME_ID],FME_Input[EMER_NEED])</f>
        <v>No</v>
      </c>
      <c r="G2065">
        <f>IF(FME_Ranking!F2065="Yes",100,0)</f>
        <v>0</v>
      </c>
      <c r="H2065">
        <f>FME_Ranking1[[#This Row],[Emergency Need Score (Normalized, Unweighted)]]*$F$3</f>
        <v>0</v>
      </c>
      <c r="I2065" s="246">
        <f>_xlfn.XLOOKUP(FME_Ranking1[[#This Row],[FME ID]],FME_Input[FME_ID],FME_Input[STRUCT_100])</f>
        <v>2</v>
      </c>
      <c r="J2065" s="178">
        <f>(FME_Ranking1[[#This Row],[Structures 100 Raw]]/I$2)*100</f>
        <v>1.0709848776935271E-3</v>
      </c>
      <c r="K2065" s="178">
        <f>FME_Ranking1[[#This Row],[Structures 100  Score (Normalized, Unweighted)]]*$I$3</f>
        <v>1.6064773165402907E-4</v>
      </c>
      <c r="L2065" s="246">
        <f>_xlfn.XLOOKUP(FME_Ranking1[[#This Row],[FME ID]],FME_Input[FME_ID],FME_Input[RES_STRUCT100])</f>
        <v>2</v>
      </c>
      <c r="M2065" s="230">
        <f>(FME_Ranking1[[#This Row],[Res Structures Raw]]/L$2)*100</f>
        <v>1.4166111827286765E-3</v>
      </c>
      <c r="N2065" s="180">
        <f>FME_Ranking1[[#This Row],[Res Structures Score (Normalized, Unweighted)]]*$L$3</f>
        <v>1.4166111827286767E-4</v>
      </c>
      <c r="O2065" s="244">
        <f>_xlfn.XLOOKUP(FME_Ranking1[[#This Row],[FME ID]],FME_Input[FME_ID],FME_Input[POP100])</f>
        <v>8</v>
      </c>
      <c r="P2065" s="178">
        <f>(FME_Ranking1[[#This Row],[Pop Raw]]/$O$2)*100</f>
        <v>8.1900249591010626E-4</v>
      </c>
      <c r="Q2065" s="178">
        <f>FME_Ranking1[[#This Row],[Pop Score (Normalized, Unweighted)]]*$O$3</f>
        <v>1.2285037438651593E-4</v>
      </c>
      <c r="R2065" s="137">
        <f>_xlfn.XLOOKUP(FME_Ranking1[[#This Row],[FME ID]],FME_Input[FME_ID],FME_Input[CRITFAC100])</f>
        <v>0</v>
      </c>
      <c r="S2065" s="230">
        <f>(FME_Ranking1[[#This Row],[Critical Facilities Raw]]/$R$2)*100</f>
        <v>0</v>
      </c>
      <c r="T2065" s="180">
        <f>FME_Ranking1[[#This Row],[Critical Facilities Score (Normalized, Unweighted)]]*$R$3</f>
        <v>0</v>
      </c>
      <c r="U2065">
        <f>_xlfn.XLOOKUP(FME_Ranking1[[#This Row],[FME ID]],FME_Input[FME_ID],FME_Input[LWC])</f>
        <v>0</v>
      </c>
      <c r="V2065" s="178">
        <f>(FME_Ranking1[[#This Row],[LWC Raw]]/$U$2)*100</f>
        <v>0</v>
      </c>
      <c r="W2065" s="178">
        <f>FME_Ranking1[[#This Row],[LWC Score (Normalized, Unweighted)]]*$U$3</f>
        <v>0</v>
      </c>
      <c r="X2065" s="246">
        <f>_xlfn.XLOOKUP(FME_Ranking1[[#This Row],[FME ID]],FME_Input[FME_ID],FME_Input[ROADCLS])</f>
        <v>0</v>
      </c>
      <c r="Y2065" s="230">
        <f>(FME_Ranking1[[#This Row],[Closures Raw]]/$X$2)*100</f>
        <v>0</v>
      </c>
      <c r="Z2065" s="180">
        <f>FME_Ranking1[[#This Row],[Closures Score (Normalized, Unweighted)]]*$X$3</f>
        <v>0</v>
      </c>
      <c r="AA2065" s="253">
        <f>_xlfn.XLOOKUP(FME_Ranking1[[#This Row],[FME ID]],FME_Input[FME_ID],FME_Input[ROAD_MILES100])</f>
        <v>0.61346447467803955</v>
      </c>
      <c r="AB2065" s="178">
        <f>(FME_Ranking1[[#This Row],[Miles Raw]]/$AA$2)*100</f>
        <v>8.0659575418261277E-3</v>
      </c>
      <c r="AC2065" s="178">
        <f>FME_Ranking1[[#This Row],[Miles Score (Normalized, Unweighted)]]*$AA$3</f>
        <v>8.0659575418261286E-4</v>
      </c>
      <c r="AD2065" s="255">
        <f>_xlfn.XLOOKUP(FME_Ranking1[[#This Row],[FME ID]],FME_Input[FME_ID],FME_Input[FARMACRE100])</f>
        <v>6.5943312644958496</v>
      </c>
      <c r="AE2065" s="230">
        <f>(FME_Ranking1[[#This Row],[Ag Land Raw]]/$AD$2)*100</f>
        <v>2.719207017995739E-4</v>
      </c>
      <c r="AF2065" s="231">
        <f>FME_Ranking1[[#This Row],[Ag Land Score (Normalized, Unweighted)]]*$AD$3</f>
        <v>1.3596035089978696E-5</v>
      </c>
      <c r="AG206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1.2453510135860041E-3</v>
      </c>
      <c r="AH2065" s="406">
        <f t="shared" si="32"/>
        <v>2004</v>
      </c>
      <c r="AI206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1.2453510135860041E-3</v>
      </c>
      <c r="AJ2065" s="257">
        <f>FME_Ranking1[[#This Row],[Addition check]]-FME_Ranking1[[#This Row],[Weighted Score Based on Normalized Reported Factors]]</f>
        <v>0</v>
      </c>
      <c r="AK2065" s="178">
        <f>_xlfn.RANK.EQ(AI2065,$AI$6:$AI$2341,0)+COUNTIF($AI$6:AI2065,AI2065)-1</f>
        <v>2004</v>
      </c>
    </row>
    <row r="2066" spans="1:37" x14ac:dyDescent="0.25">
      <c r="A2066" t="s">
        <v>9003</v>
      </c>
      <c r="B2066">
        <f>_xlfn.XLOOKUP(FME_Ranking1[[#This Row],[FME ID]],FME_Input[FME_ID],FME_Input[RFPG_NUM])</f>
        <v>11</v>
      </c>
      <c r="C2066" t="str">
        <f>_xlfn.XLOOKUP(FME_Ranking1[[#This Row],[FME ID]],FME_Input[FME_ID],FME_Input[FME_NAME])</f>
        <v>Hays County Drainage Project Planning (Willow Springs Creek between McCarty Lane and Hunter Road)</v>
      </c>
      <c r="D2066" t="str">
        <f>_xlfn.XLOOKUP(FME_Ranking1[[#This Row],[FME ID]],FME_Input[FME_ID],FME_Input[DESCR])</f>
        <v>Project planning for channel improvement and/or property acquisition project to reduce flood damages along Willow Springs Creek from McCarty Lane to Hunter Road.</v>
      </c>
      <c r="E2066" s="256">
        <f>_xlfn.XLOOKUP(FME_Ranking1[[#This Row],[FME ID]],FME_Input[FME_ID],FME_Input[FME_COST])</f>
        <v>800000</v>
      </c>
      <c r="F2066" t="str">
        <f>_xlfn.XLOOKUP(FME_Ranking1[[#This Row],[FME ID]],FME_Input[FME_ID],FME_Input[EMER_NEED])</f>
        <v>No</v>
      </c>
      <c r="G2066">
        <f>IF(FME_Ranking!F2066="Yes",100,0)</f>
        <v>0</v>
      </c>
      <c r="H2066">
        <f>FME_Ranking1[[#This Row],[Emergency Need Score (Normalized, Unweighted)]]*$F$3</f>
        <v>0</v>
      </c>
      <c r="I2066" s="246">
        <f>_xlfn.XLOOKUP(FME_Ranking1[[#This Row],[FME ID]],FME_Input[FME_ID],FME_Input[STRUCT_100])</f>
        <v>4</v>
      </c>
      <c r="J2066" s="178">
        <f>(FME_Ranking1[[#This Row],[Structures 100 Raw]]/I$2)*100</f>
        <v>2.1419697553870542E-3</v>
      </c>
      <c r="K2066" s="178">
        <f>FME_Ranking1[[#This Row],[Structures 100  Score (Normalized, Unweighted)]]*$I$3</f>
        <v>3.2129546330805813E-4</v>
      </c>
      <c r="L2066" s="246">
        <f>_xlfn.XLOOKUP(FME_Ranking1[[#This Row],[FME ID]],FME_Input[FME_ID],FME_Input[RES_STRUCT100])</f>
        <v>1</v>
      </c>
      <c r="M2066" s="230">
        <f>(FME_Ranking1[[#This Row],[Res Structures Raw]]/L$2)*100</f>
        <v>7.0830559136433825E-4</v>
      </c>
      <c r="N2066" s="180">
        <f>FME_Ranking1[[#This Row],[Res Structures Score (Normalized, Unweighted)]]*$L$3</f>
        <v>7.0830559136433833E-5</v>
      </c>
      <c r="O2066" s="244">
        <f>_xlfn.XLOOKUP(FME_Ranking1[[#This Row],[FME ID]],FME_Input[FME_ID],FME_Input[POP100])</f>
        <v>3</v>
      </c>
      <c r="P2066" s="178">
        <f>(FME_Ranking1[[#This Row],[Pop Raw]]/$O$2)*100</f>
        <v>3.0712593596628988E-4</v>
      </c>
      <c r="Q2066" s="178">
        <f>FME_Ranking1[[#This Row],[Pop Score (Normalized, Unweighted)]]*$O$3</f>
        <v>4.6068890394943479E-5</v>
      </c>
      <c r="R2066" s="137">
        <f>_xlfn.XLOOKUP(FME_Ranking1[[#This Row],[FME ID]],FME_Input[FME_ID],FME_Input[CRITFAC100])</f>
        <v>0</v>
      </c>
      <c r="S2066" s="230">
        <f>(FME_Ranking1[[#This Row],[Critical Facilities Raw]]/$R$2)*100</f>
        <v>0</v>
      </c>
      <c r="T2066" s="180">
        <f>FME_Ranking1[[#This Row],[Critical Facilities Score (Normalized, Unweighted)]]*$R$3</f>
        <v>0</v>
      </c>
      <c r="U2066">
        <f>_xlfn.XLOOKUP(FME_Ranking1[[#This Row],[FME ID]],FME_Input[FME_ID],FME_Input[LWC])</f>
        <v>0</v>
      </c>
      <c r="V2066" s="178">
        <f>(FME_Ranking1[[#This Row],[LWC Raw]]/$U$2)*100</f>
        <v>0</v>
      </c>
      <c r="W2066" s="178">
        <f>FME_Ranking1[[#This Row],[LWC Score (Normalized, Unweighted)]]*$U$3</f>
        <v>0</v>
      </c>
      <c r="X2066" s="246">
        <f>_xlfn.XLOOKUP(FME_Ranking1[[#This Row],[FME ID]],FME_Input[FME_ID],FME_Input[ROADCLS])</f>
        <v>0</v>
      </c>
      <c r="Y2066" s="230">
        <f>(FME_Ranking1[[#This Row],[Closures Raw]]/$X$2)*100</f>
        <v>0</v>
      </c>
      <c r="Z2066" s="180">
        <f>FME_Ranking1[[#This Row],[Closures Score (Normalized, Unweighted)]]*$X$3</f>
        <v>0</v>
      </c>
      <c r="AA2066" s="253">
        <f>_xlfn.XLOOKUP(FME_Ranking1[[#This Row],[FME ID]],FME_Input[FME_ID],FME_Input[ROAD_MILES100])</f>
        <v>0</v>
      </c>
      <c r="AB2066" s="178">
        <f>(FME_Ranking1[[#This Row],[Miles Raw]]/$AA$2)*100</f>
        <v>0</v>
      </c>
      <c r="AC2066" s="178">
        <f>FME_Ranking1[[#This Row],[Miles Score (Normalized, Unweighted)]]*$AA$3</f>
        <v>0</v>
      </c>
      <c r="AD2066" s="255">
        <f>_xlfn.XLOOKUP(FME_Ranking1[[#This Row],[FME ID]],FME_Input[FME_ID],FME_Input[FARMACRE100])</f>
        <v>0</v>
      </c>
      <c r="AE2066" s="230">
        <f>(FME_Ranking1[[#This Row],[Ag Land Raw]]/$AD$2)*100</f>
        <v>0</v>
      </c>
      <c r="AF2066" s="231">
        <f>FME_Ranking1[[#This Row],[Ag Land Score (Normalized, Unweighted)]]*$AD$3</f>
        <v>0</v>
      </c>
      <c r="AG206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4.3819491283943548E-4</v>
      </c>
      <c r="AH2066" s="406">
        <f t="shared" si="32"/>
        <v>2102</v>
      </c>
      <c r="AI206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4.3819491283943548E-4</v>
      </c>
      <c r="AJ2066" s="257">
        <f>FME_Ranking1[[#This Row],[Addition check]]-FME_Ranking1[[#This Row],[Weighted Score Based on Normalized Reported Factors]]</f>
        <v>0</v>
      </c>
      <c r="AK2066" s="178">
        <f>_xlfn.RANK.EQ(AI2066,$AI$6:$AI$2341,0)+COUNTIF($AI$6:AI2066,AI2066)-1</f>
        <v>2102</v>
      </c>
    </row>
    <row r="2067" spans="1:37" x14ac:dyDescent="0.25">
      <c r="A2067" t="s">
        <v>103</v>
      </c>
      <c r="B2067">
        <f>_xlfn.XLOOKUP(FME_Ranking1[[#This Row],[FME ID]],FME_Input[FME_ID],FME_Input[RFPG_NUM])</f>
        <v>10</v>
      </c>
      <c r="C2067" t="str">
        <f>_xlfn.XLOOKUP(FME_Ranking1[[#This Row],[FME ID]],FME_Input[FME_ID],FME_Input[FME_NAME])</f>
        <v>Friendship Rd &amp; Turner Creek A and B</v>
      </c>
      <c r="D2067" t="str">
        <f>_xlfn.XLOOKUP(FME_Ranking1[[#This Row],[FME ID]],FME_Input[FME_ID],FME_Input[DESCR])</f>
        <v>LWC to Culvert, Cast-in-place multi-box (3) culvert-bridge</v>
      </c>
      <c r="E2067" s="256">
        <f>_xlfn.XLOOKUP(FME_Ranking1[[#This Row],[FME ID]],FME_Input[FME_ID],FME_Input[FME_COST])</f>
        <v>100000</v>
      </c>
      <c r="F2067" t="str">
        <f>_xlfn.XLOOKUP(FME_Ranking1[[#This Row],[FME ID]],FME_Input[FME_ID],FME_Input[EMER_NEED])</f>
        <v>No</v>
      </c>
      <c r="G2067">
        <f>IF(FME_Ranking!F2067="Yes",100,0)</f>
        <v>0</v>
      </c>
      <c r="H2067">
        <f>FME_Ranking1[[#This Row],[Emergency Need Score (Normalized, Unweighted)]]*$F$3</f>
        <v>0</v>
      </c>
      <c r="I2067" s="246">
        <f>_xlfn.XLOOKUP(FME_Ranking1[[#This Row],[FME ID]],FME_Input[FME_ID],FME_Input[STRUCT_100])</f>
        <v>0</v>
      </c>
      <c r="J2067" s="178">
        <f>(FME_Ranking1[[#This Row],[Structures 100 Raw]]/I$2)*100</f>
        <v>0</v>
      </c>
      <c r="K2067" s="178">
        <f>FME_Ranking1[[#This Row],[Structures 100  Score (Normalized, Unweighted)]]*$I$3</f>
        <v>0</v>
      </c>
      <c r="L2067" s="246">
        <f>_xlfn.XLOOKUP(FME_Ranking1[[#This Row],[FME ID]],FME_Input[FME_ID],FME_Input[RES_STRUCT100])</f>
        <v>0</v>
      </c>
      <c r="M2067" s="230">
        <f>(FME_Ranking1[[#This Row],[Res Structures Raw]]/L$2)*100</f>
        <v>0</v>
      </c>
      <c r="N2067" s="180">
        <f>FME_Ranking1[[#This Row],[Res Structures Score (Normalized, Unweighted)]]*$L$3</f>
        <v>0</v>
      </c>
      <c r="O2067" s="244">
        <f>_xlfn.XLOOKUP(FME_Ranking1[[#This Row],[FME ID]],FME_Input[FME_ID],FME_Input[POP100])</f>
        <v>0</v>
      </c>
      <c r="P2067" s="178">
        <f>(FME_Ranking1[[#This Row],[Pop Raw]]/$O$2)*100</f>
        <v>0</v>
      </c>
      <c r="Q2067" s="178">
        <f>FME_Ranking1[[#This Row],[Pop Score (Normalized, Unweighted)]]*$O$3</f>
        <v>0</v>
      </c>
      <c r="R2067" s="137">
        <f>_xlfn.XLOOKUP(FME_Ranking1[[#This Row],[FME ID]],FME_Input[FME_ID],FME_Input[CRITFAC100])</f>
        <v>0</v>
      </c>
      <c r="S2067" s="230">
        <f>(FME_Ranking1[[#This Row],[Critical Facilities Raw]]/$R$2)*100</f>
        <v>0</v>
      </c>
      <c r="T2067" s="180">
        <f>FME_Ranking1[[#This Row],[Critical Facilities Score (Normalized, Unweighted)]]*$R$3</f>
        <v>0</v>
      </c>
      <c r="U2067">
        <f>_xlfn.XLOOKUP(FME_Ranking1[[#This Row],[FME ID]],FME_Input[FME_ID],FME_Input[LWC])</f>
        <v>0</v>
      </c>
      <c r="V2067" s="178">
        <f>(FME_Ranking1[[#This Row],[LWC Raw]]/$U$2)*100</f>
        <v>0</v>
      </c>
      <c r="W2067" s="178">
        <f>FME_Ranking1[[#This Row],[LWC Score (Normalized, Unweighted)]]*$U$3</f>
        <v>0</v>
      </c>
      <c r="X2067" s="246">
        <f>_xlfn.XLOOKUP(FME_Ranking1[[#This Row],[FME ID]],FME_Input[FME_ID],FME_Input[ROADCLS])</f>
        <v>0</v>
      </c>
      <c r="Y2067" s="230">
        <f>(FME_Ranking1[[#This Row],[Closures Raw]]/$X$2)*100</f>
        <v>0</v>
      </c>
      <c r="Z2067" s="180">
        <f>FME_Ranking1[[#This Row],[Closures Score (Normalized, Unweighted)]]*$X$3</f>
        <v>0</v>
      </c>
      <c r="AA2067" s="253">
        <f>_xlfn.XLOOKUP(FME_Ranking1[[#This Row],[FME ID]],FME_Input[FME_ID],FME_Input[ROAD_MILES100])</f>
        <v>0.14289143681526181</v>
      </c>
      <c r="AB2067" s="178">
        <f>(FME_Ranking1[[#This Row],[Miles Raw]]/$AA$2)*100</f>
        <v>1.878766106297061E-3</v>
      </c>
      <c r="AC2067" s="178">
        <f>FME_Ranking1[[#This Row],[Miles Score (Normalized, Unweighted)]]*$AA$3</f>
        <v>1.878766106297061E-4</v>
      </c>
      <c r="AD2067" s="255">
        <f>_xlfn.XLOOKUP(FME_Ranking1[[#This Row],[FME ID]],FME_Input[FME_ID],FME_Input[FARMACRE100])</f>
        <v>209.3227844238281</v>
      </c>
      <c r="AE2067" s="230">
        <f>(FME_Ranking1[[#This Row],[Ag Land Raw]]/$AD$2)*100</f>
        <v>8.6315345954219112E-3</v>
      </c>
      <c r="AF2067" s="231">
        <f>FME_Ranking1[[#This Row],[Ag Land Score (Normalized, Unweighted)]]*$AD$3</f>
        <v>4.3157672977109558E-4</v>
      </c>
      <c r="AG206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6.1945334040080168E-4</v>
      </c>
      <c r="AH2067" s="406">
        <f t="shared" si="32"/>
        <v>2065</v>
      </c>
      <c r="AI206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6.1945334040080168E-4</v>
      </c>
      <c r="AJ2067" s="257">
        <f>FME_Ranking1[[#This Row],[Addition check]]-FME_Ranking1[[#This Row],[Weighted Score Based on Normalized Reported Factors]]</f>
        <v>0</v>
      </c>
      <c r="AK2067" s="178">
        <f>_xlfn.RANK.EQ(AI2067,$AI$6:$AI$2341,0)+COUNTIF($AI$6:AI2067,AI2067)-1</f>
        <v>2065</v>
      </c>
    </row>
    <row r="2068" spans="1:37" x14ac:dyDescent="0.25">
      <c r="A2068" t="s">
        <v>2624</v>
      </c>
      <c r="B2068">
        <f>_xlfn.XLOOKUP(FME_Ranking1[[#This Row],[FME ID]],FME_Input[FME_ID],FME_Input[RFPG_NUM])</f>
        <v>1</v>
      </c>
      <c r="C2068" t="str">
        <f>_xlfn.XLOOKUP(FME_Ranking1[[#This Row],[FME ID]],FME_Input[FME_ID],FME_Input[FME_NAME])</f>
        <v>Tulia City Drainage Master Plan</v>
      </c>
      <c r="D2068" t="str">
        <f>_xlfn.XLOOKUP(FME_Ranking1[[#This Row],[FME ID]],FME_Input[FME_ID],FME_Input[DESCR])</f>
        <v xml:space="preserve">Perform H&amp;H modeling, develop conceptual alternatives and OPCC, and rank projects; selected based on survey responses </v>
      </c>
      <c r="E2068" s="256">
        <f>_xlfn.XLOOKUP(FME_Ranking1[[#This Row],[FME ID]],FME_Input[FME_ID],FME_Input[FME_COST])</f>
        <v>250000</v>
      </c>
      <c r="F2068" t="str">
        <f>_xlfn.XLOOKUP(FME_Ranking1[[#This Row],[FME ID]],FME_Input[FME_ID],FME_Input[EMER_NEED])</f>
        <v>No</v>
      </c>
      <c r="G2068">
        <f>IF(FME_Ranking!F2068="Yes",100,0)</f>
        <v>0</v>
      </c>
      <c r="H2068">
        <f>FME_Ranking1[[#This Row],[Emergency Need Score (Normalized, Unweighted)]]*$F$3</f>
        <v>0</v>
      </c>
      <c r="I2068" s="246">
        <f>_xlfn.XLOOKUP(FME_Ranking1[[#This Row],[FME ID]],FME_Input[FME_ID],FME_Input[STRUCT_100])</f>
        <v>5</v>
      </c>
      <c r="J2068" s="178">
        <f>(FME_Ranking1[[#This Row],[Structures 100 Raw]]/I$2)*100</f>
        <v>2.6774621942338172E-3</v>
      </c>
      <c r="K2068" s="178">
        <f>FME_Ranking1[[#This Row],[Structures 100  Score (Normalized, Unweighted)]]*$I$3</f>
        <v>4.0161932913507258E-4</v>
      </c>
      <c r="L2068" s="246">
        <f>_xlfn.XLOOKUP(FME_Ranking1[[#This Row],[FME ID]],FME_Input[FME_ID],FME_Input[RES_STRUCT100])</f>
        <v>0</v>
      </c>
      <c r="M2068" s="230">
        <f>(FME_Ranking1[[#This Row],[Res Structures Raw]]/L$2)*100</f>
        <v>0</v>
      </c>
      <c r="N2068" s="180">
        <f>FME_Ranking1[[#This Row],[Res Structures Score (Normalized, Unweighted)]]*$L$3</f>
        <v>0</v>
      </c>
      <c r="O2068" s="244">
        <f>_xlfn.XLOOKUP(FME_Ranking1[[#This Row],[FME ID]],FME_Input[FME_ID],FME_Input[POP100])</f>
        <v>0</v>
      </c>
      <c r="P2068" s="178">
        <f>(FME_Ranking1[[#This Row],[Pop Raw]]/$O$2)*100</f>
        <v>0</v>
      </c>
      <c r="Q2068" s="178">
        <f>FME_Ranking1[[#This Row],[Pop Score (Normalized, Unweighted)]]*$O$3</f>
        <v>0</v>
      </c>
      <c r="R2068" s="137">
        <f>_xlfn.XLOOKUP(FME_Ranking1[[#This Row],[FME ID]],FME_Input[FME_ID],FME_Input[CRITFAC100])</f>
        <v>0</v>
      </c>
      <c r="S2068" s="230">
        <f>(FME_Ranking1[[#This Row],[Critical Facilities Raw]]/$R$2)*100</f>
        <v>0</v>
      </c>
      <c r="T2068" s="180">
        <f>FME_Ranking1[[#This Row],[Critical Facilities Score (Normalized, Unweighted)]]*$R$3</f>
        <v>0</v>
      </c>
      <c r="U2068">
        <f>_xlfn.XLOOKUP(FME_Ranking1[[#This Row],[FME ID]],FME_Input[FME_ID],FME_Input[LWC])</f>
        <v>0</v>
      </c>
      <c r="V2068" s="178">
        <f>(FME_Ranking1[[#This Row],[LWC Raw]]/$U$2)*100</f>
        <v>0</v>
      </c>
      <c r="W2068" s="178">
        <f>FME_Ranking1[[#This Row],[LWC Score (Normalized, Unweighted)]]*$U$3</f>
        <v>0</v>
      </c>
      <c r="X2068" s="246">
        <f>_xlfn.XLOOKUP(FME_Ranking1[[#This Row],[FME ID]],FME_Input[FME_ID],FME_Input[ROADCLS])</f>
        <v>0</v>
      </c>
      <c r="Y2068" s="230">
        <f>(FME_Ranking1[[#This Row],[Closures Raw]]/$X$2)*100</f>
        <v>0</v>
      </c>
      <c r="Z2068" s="180">
        <f>FME_Ranking1[[#This Row],[Closures Score (Normalized, Unweighted)]]*$X$3</f>
        <v>0</v>
      </c>
      <c r="AA2068" s="253">
        <f>_xlfn.XLOOKUP(FME_Ranking1[[#This Row],[FME ID]],FME_Input[FME_ID],FME_Input[ROAD_MILES100])</f>
        <v>4.5832433700561523</v>
      </c>
      <c r="AB2068" s="178">
        <f>(FME_Ranking1[[#This Row],[Miles Raw]]/$AA$2)*100</f>
        <v>6.0261429883337277E-2</v>
      </c>
      <c r="AC2068" s="178">
        <f>FME_Ranking1[[#This Row],[Miles Score (Normalized, Unweighted)]]*$AA$3</f>
        <v>6.0261429883337282E-3</v>
      </c>
      <c r="AD2068" s="255">
        <f>_xlfn.XLOOKUP(FME_Ranking1[[#This Row],[FME ID]],FME_Input[FME_ID],FME_Input[FARMACRE100])</f>
        <v>10.72031784057617</v>
      </c>
      <c r="AE2068" s="230">
        <f>(FME_Ranking1[[#This Row],[Ag Land Raw]]/$AD$2)*100</f>
        <v>4.4205791820299594E-4</v>
      </c>
      <c r="AF2068" s="231">
        <f>FME_Ranking1[[#This Row],[Ag Land Score (Normalized, Unweighted)]]*$AD$3</f>
        <v>2.2102895910149798E-5</v>
      </c>
      <c r="AG206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6.4498652133789499E-3</v>
      </c>
      <c r="AH2068" s="406">
        <f t="shared" si="32"/>
        <v>1808</v>
      </c>
      <c r="AI206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6.4498652133789499E-3</v>
      </c>
      <c r="AJ2068" s="257">
        <f>FME_Ranking1[[#This Row],[Addition check]]-FME_Ranking1[[#This Row],[Weighted Score Based on Normalized Reported Factors]]</f>
        <v>0</v>
      </c>
      <c r="AK2068" s="178">
        <f>_xlfn.RANK.EQ(AI2068,$AI$6:$AI$2341,0)+COUNTIF($AI$6:AI2068,AI2068)-1</f>
        <v>1808</v>
      </c>
    </row>
    <row r="2069" spans="1:37" x14ac:dyDescent="0.25">
      <c r="A2069" t="s">
        <v>6045</v>
      </c>
      <c r="B2069">
        <f>_xlfn.XLOOKUP(FME_Ranking1[[#This Row],[FME ID]],FME_Input[FME_ID],FME_Input[RFPG_NUM])</f>
        <v>5</v>
      </c>
      <c r="C2069" t="str">
        <f>_xlfn.XLOOKUP(FME_Ranking1[[#This Row],[FME ID]],FME_Input[FME_ID],FME_Input[FME_NAME])</f>
        <v>City of Coffee City Flood-prone Roadway and Infrastructure Evaluation</v>
      </c>
      <c r="D2069" t="str">
        <f>_xlfn.XLOOKUP(FME_Ranking1[[#This Row],[FME ID]],FME_Input[FME_ID],FME_Input[DESCR])</f>
        <v>Locate roadways and properties prone to flooding due to heavy rainfall</v>
      </c>
      <c r="E2069" s="256">
        <f>_xlfn.XLOOKUP(FME_Ranking1[[#This Row],[FME ID]],FME_Input[FME_ID],FME_Input[FME_COST])</f>
        <v>25000</v>
      </c>
      <c r="F2069" t="str">
        <f>_xlfn.XLOOKUP(FME_Ranking1[[#This Row],[FME ID]],FME_Input[FME_ID],FME_Input[EMER_NEED])</f>
        <v>No</v>
      </c>
      <c r="G2069">
        <f>IF(FME_Ranking!F2069="Yes",100,0)</f>
        <v>0</v>
      </c>
      <c r="H2069">
        <f>FME_Ranking1[[#This Row],[Emergency Need Score (Normalized, Unweighted)]]*$F$3</f>
        <v>0</v>
      </c>
      <c r="I2069" s="246">
        <f>_xlfn.XLOOKUP(FME_Ranking1[[#This Row],[FME ID]],FME_Input[FME_ID],FME_Input[STRUCT_100])</f>
        <v>4</v>
      </c>
      <c r="J2069" s="178">
        <f>(FME_Ranking1[[#This Row],[Structures 100 Raw]]/I$2)*100</f>
        <v>2.1419697553870542E-3</v>
      </c>
      <c r="K2069" s="178">
        <f>FME_Ranking1[[#This Row],[Structures 100  Score (Normalized, Unweighted)]]*$I$3</f>
        <v>3.2129546330805813E-4</v>
      </c>
      <c r="L2069" s="246">
        <f>_xlfn.XLOOKUP(FME_Ranking1[[#This Row],[FME ID]],FME_Input[FME_ID],FME_Input[RES_STRUCT100])</f>
        <v>0</v>
      </c>
      <c r="M2069" s="230">
        <f>(FME_Ranking1[[#This Row],[Res Structures Raw]]/L$2)*100</f>
        <v>0</v>
      </c>
      <c r="N2069" s="180">
        <f>FME_Ranking1[[#This Row],[Res Structures Score (Normalized, Unweighted)]]*$L$3</f>
        <v>0</v>
      </c>
      <c r="O2069" s="244">
        <f>_xlfn.XLOOKUP(FME_Ranking1[[#This Row],[FME ID]],FME_Input[FME_ID],FME_Input[POP100])</f>
        <v>6</v>
      </c>
      <c r="P2069" s="178">
        <f>(FME_Ranking1[[#This Row],[Pop Raw]]/$O$2)*100</f>
        <v>6.1425187193257975E-4</v>
      </c>
      <c r="Q2069" s="178">
        <f>FME_Ranking1[[#This Row],[Pop Score (Normalized, Unweighted)]]*$O$3</f>
        <v>9.2137780789886957E-5</v>
      </c>
      <c r="R2069" s="137">
        <f>_xlfn.XLOOKUP(FME_Ranking1[[#This Row],[FME ID]],FME_Input[FME_ID],FME_Input[CRITFAC100])</f>
        <v>0</v>
      </c>
      <c r="S2069" s="230">
        <f>(FME_Ranking1[[#This Row],[Critical Facilities Raw]]/$R$2)*100</f>
        <v>0</v>
      </c>
      <c r="T2069" s="180">
        <f>FME_Ranking1[[#This Row],[Critical Facilities Score (Normalized, Unweighted)]]*$R$3</f>
        <v>0</v>
      </c>
      <c r="U2069">
        <f>_xlfn.XLOOKUP(FME_Ranking1[[#This Row],[FME ID]],FME_Input[FME_ID],FME_Input[LWC])</f>
        <v>0</v>
      </c>
      <c r="V2069" s="178">
        <f>(FME_Ranking1[[#This Row],[LWC Raw]]/$U$2)*100</f>
        <v>0</v>
      </c>
      <c r="W2069" s="178">
        <f>FME_Ranking1[[#This Row],[LWC Score (Normalized, Unweighted)]]*$U$3</f>
        <v>0</v>
      </c>
      <c r="X2069" s="246">
        <f>_xlfn.XLOOKUP(FME_Ranking1[[#This Row],[FME ID]],FME_Input[FME_ID],FME_Input[ROADCLS])</f>
        <v>0</v>
      </c>
      <c r="Y2069" s="230">
        <f>(FME_Ranking1[[#This Row],[Closures Raw]]/$X$2)*100</f>
        <v>0</v>
      </c>
      <c r="Z2069" s="180">
        <f>FME_Ranking1[[#This Row],[Closures Score (Normalized, Unweighted)]]*$X$3</f>
        <v>0</v>
      </c>
      <c r="AA2069" s="253">
        <f>_xlfn.XLOOKUP(FME_Ranking1[[#This Row],[FME ID]],FME_Input[FME_ID],FME_Input[ROAD_MILES100])</f>
        <v>1.068112254142761</v>
      </c>
      <c r="AB2069" s="178">
        <f>(FME_Ranking1[[#This Row],[Miles Raw]]/$AA$2)*100</f>
        <v>1.4043760392712623E-2</v>
      </c>
      <c r="AC2069" s="178">
        <f>FME_Ranking1[[#This Row],[Miles Score (Normalized, Unweighted)]]*$AA$3</f>
        <v>1.4043760392712624E-3</v>
      </c>
      <c r="AD2069" s="255">
        <f>_xlfn.XLOOKUP(FME_Ranking1[[#This Row],[FME ID]],FME_Input[FME_ID],FME_Input[FARMACRE100])</f>
        <v>2.7699470520019531</v>
      </c>
      <c r="AE2069" s="230">
        <f>(FME_Ranking1[[#This Row],[Ag Land Raw]]/$AD$2)*100</f>
        <v>1.1422021674636268E-4</v>
      </c>
      <c r="AF2069" s="231">
        <f>FME_Ranking1[[#This Row],[Ag Land Score (Normalized, Unweighted)]]*$AD$3</f>
        <v>5.711010837318134E-6</v>
      </c>
      <c r="AG206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1.8235202942065256E-3</v>
      </c>
      <c r="AH2069" s="406">
        <f t="shared" si="32"/>
        <v>1966</v>
      </c>
      <c r="AI206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1.8235202942065256E-3</v>
      </c>
      <c r="AJ2069" s="257">
        <f>FME_Ranking1[[#This Row],[Addition check]]-FME_Ranking1[[#This Row],[Weighted Score Based on Normalized Reported Factors]]</f>
        <v>0</v>
      </c>
      <c r="AK2069" s="178">
        <f>_xlfn.RANK.EQ(AI2069,$AI$6:$AI$2341,0)+COUNTIF($AI$6:AI2069,AI2069)-1</f>
        <v>1966</v>
      </c>
    </row>
    <row r="2070" spans="1:37" x14ac:dyDescent="0.25">
      <c r="A2070" t="s">
        <v>7036</v>
      </c>
      <c r="B2070">
        <f>_xlfn.XLOOKUP(FME_Ranking1[[#This Row],[FME ID]],FME_Input[FME_ID],FME_Input[RFPG_NUM])</f>
        <v>7</v>
      </c>
      <c r="C2070" t="str">
        <f>_xlfn.XLOOKUP(FME_Ranking1[[#This Row],[FME ID]],FME_Input[FME_ID],FME_Input[FME_NAME])</f>
        <v>City of Wilson DMP</v>
      </c>
      <c r="D2070" t="str">
        <f>_xlfn.XLOOKUP(FME_Ranking1[[#This Row],[FME ID]],FME_Input[FME_ID],FME_Input[DESCR])</f>
        <v>Evaluate City of Wilson for a Storm Water Master Plan, flood ordinances, and policies.</v>
      </c>
      <c r="E2070" s="256">
        <f>_xlfn.XLOOKUP(FME_Ranking1[[#This Row],[FME ID]],FME_Input[FME_ID],FME_Input[FME_COST])</f>
        <v>250000</v>
      </c>
      <c r="F2070" t="str">
        <f>_xlfn.XLOOKUP(FME_Ranking1[[#This Row],[FME ID]],FME_Input[FME_ID],FME_Input[EMER_NEED])</f>
        <v>No</v>
      </c>
      <c r="G2070">
        <f>IF(FME_Ranking!F2070="Yes",100,0)</f>
        <v>0</v>
      </c>
      <c r="H2070">
        <f>FME_Ranking1[[#This Row],[Emergency Need Score (Normalized, Unweighted)]]*$F$3</f>
        <v>0</v>
      </c>
      <c r="I2070" s="246">
        <f>_xlfn.XLOOKUP(FME_Ranking1[[#This Row],[FME ID]],FME_Input[FME_ID],FME_Input[STRUCT_100])</f>
        <v>2</v>
      </c>
      <c r="J2070" s="178">
        <f>(FME_Ranking1[[#This Row],[Structures 100 Raw]]/I$2)*100</f>
        <v>1.0709848776935271E-3</v>
      </c>
      <c r="K2070" s="178">
        <f>FME_Ranking1[[#This Row],[Structures 100  Score (Normalized, Unweighted)]]*$I$3</f>
        <v>1.6064773165402907E-4</v>
      </c>
      <c r="L2070" s="246">
        <f>_xlfn.XLOOKUP(FME_Ranking1[[#This Row],[FME ID]],FME_Input[FME_ID],FME_Input[RES_STRUCT100])</f>
        <v>1</v>
      </c>
      <c r="M2070" s="230">
        <f>(FME_Ranking1[[#This Row],[Res Structures Raw]]/L$2)*100</f>
        <v>7.0830559136433825E-4</v>
      </c>
      <c r="N2070" s="180">
        <f>FME_Ranking1[[#This Row],[Res Structures Score (Normalized, Unweighted)]]*$L$3</f>
        <v>7.0830559136433833E-5</v>
      </c>
      <c r="O2070" s="244">
        <f>_xlfn.XLOOKUP(FME_Ranking1[[#This Row],[FME ID]],FME_Input[FME_ID],FME_Input[POP100])</f>
        <v>9</v>
      </c>
      <c r="P2070" s="178">
        <f>(FME_Ranking1[[#This Row],[Pop Raw]]/$O$2)*100</f>
        <v>9.2137780789886947E-4</v>
      </c>
      <c r="Q2070" s="178">
        <f>FME_Ranking1[[#This Row],[Pop Score (Normalized, Unweighted)]]*$O$3</f>
        <v>1.3820667118483041E-4</v>
      </c>
      <c r="R2070" s="137">
        <f>_xlfn.XLOOKUP(FME_Ranking1[[#This Row],[FME ID]],FME_Input[FME_ID],FME_Input[CRITFAC100])</f>
        <v>0</v>
      </c>
      <c r="S2070" s="230">
        <f>(FME_Ranking1[[#This Row],[Critical Facilities Raw]]/$R$2)*100</f>
        <v>0</v>
      </c>
      <c r="T2070" s="180">
        <f>FME_Ranking1[[#This Row],[Critical Facilities Score (Normalized, Unweighted)]]*$R$3</f>
        <v>0</v>
      </c>
      <c r="U2070">
        <f>_xlfn.XLOOKUP(FME_Ranking1[[#This Row],[FME ID]],FME_Input[FME_ID],FME_Input[LWC])</f>
        <v>0</v>
      </c>
      <c r="V2070" s="178">
        <f>(FME_Ranking1[[#This Row],[LWC Raw]]/$U$2)*100</f>
        <v>0</v>
      </c>
      <c r="W2070" s="178">
        <f>FME_Ranking1[[#This Row],[LWC Score (Normalized, Unweighted)]]*$U$3</f>
        <v>0</v>
      </c>
      <c r="X2070" s="246">
        <f>_xlfn.XLOOKUP(FME_Ranking1[[#This Row],[FME ID]],FME_Input[FME_ID],FME_Input[ROADCLS])</f>
        <v>0</v>
      </c>
      <c r="Y2070" s="230">
        <f>(FME_Ranking1[[#This Row],[Closures Raw]]/$X$2)*100</f>
        <v>0</v>
      </c>
      <c r="Z2070" s="180">
        <f>FME_Ranking1[[#This Row],[Closures Score (Normalized, Unweighted)]]*$X$3</f>
        <v>0</v>
      </c>
      <c r="AA2070" s="253">
        <f>_xlfn.XLOOKUP(FME_Ranking1[[#This Row],[FME ID]],FME_Input[FME_ID],FME_Input[ROAD_MILES100])</f>
        <v>0.28316882252693182</v>
      </c>
      <c r="AB2070" s="178">
        <f>(FME_Ranking1[[#This Row],[Miles Raw]]/$AA$2)*100</f>
        <v>3.7231621291026521E-3</v>
      </c>
      <c r="AC2070" s="178">
        <f>FME_Ranking1[[#This Row],[Miles Score (Normalized, Unweighted)]]*$AA$3</f>
        <v>3.7231621291026524E-4</v>
      </c>
      <c r="AD2070" s="255">
        <f>_xlfn.XLOOKUP(FME_Ranking1[[#This Row],[FME ID]],FME_Input[FME_ID],FME_Input[FARMACRE100])</f>
        <v>17.024627685546879</v>
      </c>
      <c r="AE2070" s="230">
        <f>(FME_Ranking1[[#This Row],[Ag Land Raw]]/$AD$2)*100</f>
        <v>7.0201943494330751E-4</v>
      </c>
      <c r="AF2070" s="231">
        <f>FME_Ranking1[[#This Row],[Ag Land Score (Normalized, Unweighted)]]*$AD$3</f>
        <v>3.510097174716538E-5</v>
      </c>
      <c r="AG207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7.7710214663272398E-4</v>
      </c>
      <c r="AH2070" s="406">
        <f t="shared" si="32"/>
        <v>2047</v>
      </c>
      <c r="AI207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7.7710214663272398E-4</v>
      </c>
      <c r="AJ2070" s="257">
        <f>FME_Ranking1[[#This Row],[Addition check]]-FME_Ranking1[[#This Row],[Weighted Score Based on Normalized Reported Factors]]</f>
        <v>0</v>
      </c>
      <c r="AK2070" s="178">
        <f>_xlfn.RANK.EQ(AI2070,$AI$6:$AI$2341,0)+COUNTIF($AI$6:AI2070,AI2070)-1</f>
        <v>2047</v>
      </c>
    </row>
    <row r="2071" spans="1:37" x14ac:dyDescent="0.25">
      <c r="A2071" t="s">
        <v>1985</v>
      </c>
      <c r="B2071">
        <f>_xlfn.XLOOKUP(FME_Ranking1[[#This Row],[FME ID]],FME_Input[FME_ID],FME_Input[RFPG_NUM])</f>
        <v>6</v>
      </c>
      <c r="C2071" t="str">
        <f>_xlfn.XLOOKUP(FME_Ranking1[[#This Row],[FME ID]],FME_Input[FME_ID],FME_Input[FME_NAME])</f>
        <v>Warren Lake and Dam Retrofit</v>
      </c>
      <c r="D2071" t="str">
        <f>_xlfn.XLOOKUP(FME_Ranking1[[#This Row],[FME ID]],FME_Input[FME_ID],FME_Input[DESCR])</f>
        <v>Further study of Retrofit dam to improve detention of flood &amp; storm water runoff, new 137.3 ac wetlands complex added of storage capacity &amp; conversion of fields to tallgrass prairies to add approximately 856 ac-ft of total storage during rainfall events.</v>
      </c>
      <c r="E2071" s="256">
        <f>_xlfn.XLOOKUP(FME_Ranking1[[#This Row],[FME ID]],FME_Input[FME_ID],FME_Input[FME_COST])</f>
        <v>30000</v>
      </c>
      <c r="F2071" t="str">
        <f>_xlfn.XLOOKUP(FME_Ranking1[[#This Row],[FME ID]],FME_Input[FME_ID],FME_Input[EMER_NEED])</f>
        <v>No</v>
      </c>
      <c r="G2071">
        <f>IF(FME_Ranking!F2071="Yes",100,0)</f>
        <v>0</v>
      </c>
      <c r="H2071">
        <f>FME_Ranking1[[#This Row],[Emergency Need Score (Normalized, Unweighted)]]*$F$3</f>
        <v>0</v>
      </c>
      <c r="I2071" s="246">
        <f>_xlfn.XLOOKUP(FME_Ranking1[[#This Row],[FME ID]],FME_Input[FME_ID],FME_Input[STRUCT_100])</f>
        <v>0</v>
      </c>
      <c r="J2071" s="178">
        <f>(FME_Ranking1[[#This Row],[Structures 100 Raw]]/I$2)*100</f>
        <v>0</v>
      </c>
      <c r="K2071" s="178">
        <f>FME_Ranking1[[#This Row],[Structures 100  Score (Normalized, Unweighted)]]*$I$3</f>
        <v>0</v>
      </c>
      <c r="L2071" s="246">
        <f>_xlfn.XLOOKUP(FME_Ranking1[[#This Row],[FME ID]],FME_Input[FME_ID],FME_Input[RES_STRUCT100])</f>
        <v>0</v>
      </c>
      <c r="M2071" s="230">
        <f>(FME_Ranking1[[#This Row],[Res Structures Raw]]/L$2)*100</f>
        <v>0</v>
      </c>
      <c r="N2071" s="180">
        <f>FME_Ranking1[[#This Row],[Res Structures Score (Normalized, Unweighted)]]*$L$3</f>
        <v>0</v>
      </c>
      <c r="O2071" s="244">
        <f>_xlfn.XLOOKUP(FME_Ranking1[[#This Row],[FME ID]],FME_Input[FME_ID],FME_Input[POP100])</f>
        <v>0</v>
      </c>
      <c r="P2071" s="178">
        <f>(FME_Ranking1[[#This Row],[Pop Raw]]/$O$2)*100</f>
        <v>0</v>
      </c>
      <c r="Q2071" s="178">
        <f>FME_Ranking1[[#This Row],[Pop Score (Normalized, Unweighted)]]*$O$3</f>
        <v>0</v>
      </c>
      <c r="R2071" s="137">
        <f>_xlfn.XLOOKUP(FME_Ranking1[[#This Row],[FME ID]],FME_Input[FME_ID],FME_Input[CRITFAC100])</f>
        <v>0</v>
      </c>
      <c r="S2071" s="230">
        <f>(FME_Ranking1[[#This Row],[Critical Facilities Raw]]/$R$2)*100</f>
        <v>0</v>
      </c>
      <c r="T2071" s="180">
        <f>FME_Ranking1[[#This Row],[Critical Facilities Score (Normalized, Unweighted)]]*$R$3</f>
        <v>0</v>
      </c>
      <c r="U2071">
        <f>_xlfn.XLOOKUP(FME_Ranking1[[#This Row],[FME ID]],FME_Input[FME_ID],FME_Input[LWC])</f>
        <v>0</v>
      </c>
      <c r="V2071" s="178">
        <f>(FME_Ranking1[[#This Row],[LWC Raw]]/$U$2)*100</f>
        <v>0</v>
      </c>
      <c r="W2071" s="178">
        <f>FME_Ranking1[[#This Row],[LWC Score (Normalized, Unweighted)]]*$U$3</f>
        <v>0</v>
      </c>
      <c r="X2071" s="246">
        <f>_xlfn.XLOOKUP(FME_Ranking1[[#This Row],[FME ID]],FME_Input[FME_ID],FME_Input[ROADCLS])</f>
        <v>0</v>
      </c>
      <c r="Y2071" s="230">
        <f>(FME_Ranking1[[#This Row],[Closures Raw]]/$X$2)*100</f>
        <v>0</v>
      </c>
      <c r="Z2071" s="180">
        <f>FME_Ranking1[[#This Row],[Closures Score (Normalized, Unweighted)]]*$X$3</f>
        <v>0</v>
      </c>
      <c r="AA2071" s="253">
        <f>_xlfn.XLOOKUP(FME_Ranking1[[#This Row],[FME ID]],FME_Input[FME_ID],FME_Input[ROAD_MILES100])</f>
        <v>0</v>
      </c>
      <c r="AB2071" s="178">
        <f>(FME_Ranking1[[#This Row],[Miles Raw]]/$AA$2)*100</f>
        <v>0</v>
      </c>
      <c r="AC2071" s="178">
        <f>FME_Ranking1[[#This Row],[Miles Score (Normalized, Unweighted)]]*$AA$3</f>
        <v>0</v>
      </c>
      <c r="AD2071" s="255">
        <f>_xlfn.XLOOKUP(FME_Ranking1[[#This Row],[FME ID]],FME_Input[FME_ID],FME_Input[FARMACRE100])</f>
        <v>183.19024658203119</v>
      </c>
      <c r="AE2071" s="230">
        <f>(FME_Ranking1[[#This Row],[Ag Land Raw]]/$AD$2)*100</f>
        <v>7.5539457172282718E-3</v>
      </c>
      <c r="AF2071" s="231">
        <f>FME_Ranking1[[#This Row],[Ag Land Score (Normalized, Unweighted)]]*$AD$3</f>
        <v>3.7769728586141361E-4</v>
      </c>
      <c r="AG207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3.7769728586141361E-4</v>
      </c>
      <c r="AH2071" s="406">
        <f t="shared" si="32"/>
        <v>2106</v>
      </c>
      <c r="AI207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3.7769728586141361E-4</v>
      </c>
      <c r="AJ2071" s="257">
        <f>FME_Ranking1[[#This Row],[Addition check]]-FME_Ranking1[[#This Row],[Weighted Score Based on Normalized Reported Factors]]</f>
        <v>0</v>
      </c>
      <c r="AK2071" s="178">
        <f>_xlfn.RANK.EQ(AI2071,$AI$6:$AI$2341,0)+COUNTIF($AI$6:AI2071,AI2071)-1</f>
        <v>2106</v>
      </c>
    </row>
    <row r="2072" spans="1:37" x14ac:dyDescent="0.25">
      <c r="A2072" t="s">
        <v>8957</v>
      </c>
      <c r="B2072">
        <f>_xlfn.XLOOKUP(FME_Ranking1[[#This Row],[FME ID]],FME_Input[FME_ID],FME_Input[RFPG_NUM])</f>
        <v>11</v>
      </c>
      <c r="C2072" t="str">
        <f>_xlfn.XLOOKUP(FME_Ranking1[[#This Row],[FME ID]],FME_Input[FME_ID],FME_Input[FME_NAME])</f>
        <v>City of Cuero WWTP Floodproofing Project Planning</v>
      </c>
      <c r="D2072" t="str">
        <f>_xlfn.XLOOKUP(FME_Ranking1[[#This Row],[FME ID]],FME_Input[FME_ID],FME_Input[DESCR])</f>
        <v>Project planning to floodproof/retrofit older components of the Cuero Wastewater Treatment Plant subject to flooding.</v>
      </c>
      <c r="E2072" s="256">
        <f>_xlfn.XLOOKUP(FME_Ranking1[[#This Row],[FME ID]],FME_Input[FME_ID],FME_Input[FME_COST])</f>
        <v>100000</v>
      </c>
      <c r="F2072" t="str">
        <f>_xlfn.XLOOKUP(FME_Ranking1[[#This Row],[FME ID]],FME_Input[FME_ID],FME_Input[EMER_NEED])</f>
        <v>No</v>
      </c>
      <c r="G2072">
        <f>IF(FME_Ranking!F2072="Yes",100,0)</f>
        <v>0</v>
      </c>
      <c r="H2072">
        <f>FME_Ranking1[[#This Row],[Emergency Need Score (Normalized, Unweighted)]]*$F$3</f>
        <v>0</v>
      </c>
      <c r="I2072" s="246">
        <f>_xlfn.XLOOKUP(FME_Ranking1[[#This Row],[FME ID]],FME_Input[FME_ID],FME_Input[STRUCT_100])</f>
        <v>4</v>
      </c>
      <c r="J2072" s="178">
        <f>(FME_Ranking1[[#This Row],[Structures 100 Raw]]/I$2)*100</f>
        <v>2.1419697553870542E-3</v>
      </c>
      <c r="K2072" s="178">
        <f>FME_Ranking1[[#This Row],[Structures 100  Score (Normalized, Unweighted)]]*$I$3</f>
        <v>3.2129546330805813E-4</v>
      </c>
      <c r="L2072" s="246">
        <f>_xlfn.XLOOKUP(FME_Ranking1[[#This Row],[FME ID]],FME_Input[FME_ID],FME_Input[RES_STRUCT100])</f>
        <v>0</v>
      </c>
      <c r="M2072" s="230">
        <f>(FME_Ranking1[[#This Row],[Res Structures Raw]]/L$2)*100</f>
        <v>0</v>
      </c>
      <c r="N2072" s="180">
        <f>FME_Ranking1[[#This Row],[Res Structures Score (Normalized, Unweighted)]]*$L$3</f>
        <v>0</v>
      </c>
      <c r="O2072" s="244">
        <f>_xlfn.XLOOKUP(FME_Ranking1[[#This Row],[FME ID]],FME_Input[FME_ID],FME_Input[POP100])</f>
        <v>2</v>
      </c>
      <c r="P2072" s="178">
        <f>(FME_Ranking1[[#This Row],[Pop Raw]]/$O$2)*100</f>
        <v>2.0475062397752657E-4</v>
      </c>
      <c r="Q2072" s="178">
        <f>FME_Ranking1[[#This Row],[Pop Score (Normalized, Unweighted)]]*$O$3</f>
        <v>3.0712593596628984E-5</v>
      </c>
      <c r="R2072" s="137">
        <f>_xlfn.XLOOKUP(FME_Ranking1[[#This Row],[FME ID]],FME_Input[FME_ID],FME_Input[CRITFAC100])</f>
        <v>0</v>
      </c>
      <c r="S2072" s="230">
        <f>(FME_Ranking1[[#This Row],[Critical Facilities Raw]]/$R$2)*100</f>
        <v>0</v>
      </c>
      <c r="T2072" s="180">
        <f>FME_Ranking1[[#This Row],[Critical Facilities Score (Normalized, Unweighted)]]*$R$3</f>
        <v>0</v>
      </c>
      <c r="U2072">
        <f>_xlfn.XLOOKUP(FME_Ranking1[[#This Row],[FME ID]],FME_Input[FME_ID],FME_Input[LWC])</f>
        <v>0</v>
      </c>
      <c r="V2072" s="178">
        <f>(FME_Ranking1[[#This Row],[LWC Raw]]/$U$2)*100</f>
        <v>0</v>
      </c>
      <c r="W2072" s="178">
        <f>FME_Ranking1[[#This Row],[LWC Score (Normalized, Unweighted)]]*$U$3</f>
        <v>0</v>
      </c>
      <c r="X2072" s="246">
        <f>_xlfn.XLOOKUP(FME_Ranking1[[#This Row],[FME ID]],FME_Input[FME_ID],FME_Input[ROADCLS])</f>
        <v>0</v>
      </c>
      <c r="Y2072" s="230">
        <f>(FME_Ranking1[[#This Row],[Closures Raw]]/$X$2)*100</f>
        <v>0</v>
      </c>
      <c r="Z2072" s="180">
        <f>FME_Ranking1[[#This Row],[Closures Score (Normalized, Unweighted)]]*$X$3</f>
        <v>0</v>
      </c>
      <c r="AA2072" s="253">
        <f>_xlfn.XLOOKUP(FME_Ranking1[[#This Row],[FME ID]],FME_Input[FME_ID],FME_Input[ROAD_MILES100])</f>
        <v>0</v>
      </c>
      <c r="AB2072" s="178">
        <f>(FME_Ranking1[[#This Row],[Miles Raw]]/$AA$2)*100</f>
        <v>0</v>
      </c>
      <c r="AC2072" s="178">
        <f>FME_Ranking1[[#This Row],[Miles Score (Normalized, Unweighted)]]*$AA$3</f>
        <v>0</v>
      </c>
      <c r="AD2072" s="255">
        <f>_xlfn.XLOOKUP(FME_Ranking1[[#This Row],[FME ID]],FME_Input[FME_ID],FME_Input[FARMACRE100])</f>
        <v>2.464673757553101</v>
      </c>
      <c r="AE2072" s="230">
        <f>(FME_Ranking1[[#This Row],[Ag Land Raw]]/$AD$2)*100</f>
        <v>1.0163211264032092E-4</v>
      </c>
      <c r="AF2072" s="231">
        <f>FME_Ranking1[[#This Row],[Ag Land Score (Normalized, Unweighted)]]*$AD$3</f>
        <v>5.0816056320160461E-6</v>
      </c>
      <c r="AG207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3.5708966253670318E-4</v>
      </c>
      <c r="AH2072" s="406">
        <f t="shared" si="32"/>
        <v>2107</v>
      </c>
      <c r="AI207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3.5708966253670318E-4</v>
      </c>
      <c r="AJ2072" s="257">
        <f>FME_Ranking1[[#This Row],[Addition check]]-FME_Ranking1[[#This Row],[Weighted Score Based on Normalized Reported Factors]]</f>
        <v>0</v>
      </c>
      <c r="AK2072" s="178">
        <f>_xlfn.RANK.EQ(AI2072,$AI$6:$AI$2341,0)+COUNTIF($AI$6:AI2072,AI2072)-1</f>
        <v>2107</v>
      </c>
    </row>
    <row r="2073" spans="1:37" x14ac:dyDescent="0.25">
      <c r="A2073" t="s">
        <v>7093</v>
      </c>
      <c r="B2073">
        <f>_xlfn.XLOOKUP(FME_Ranking1[[#This Row],[FME ID]],FME_Input[FME_ID],FME_Input[RFPG_NUM])</f>
        <v>7</v>
      </c>
      <c r="C2073" t="str">
        <f>_xlfn.XLOOKUP(FME_Ranking1[[#This Row],[FME ID]],FME_Input[FME_ID],FME_Input[FME_NAME])</f>
        <v>City of Abilene Operations of Lake Abilene</v>
      </c>
      <c r="D2073" t="str">
        <f>_xlfn.XLOOKUP(FME_Ranking1[[#This Row],[FME ID]],FME_Input[FME_ID],FME_Input[DESCR])</f>
        <v>Increase available flood storage in the reservoir</v>
      </c>
      <c r="E2073" s="256">
        <f>_xlfn.XLOOKUP(FME_Ranking1[[#This Row],[FME ID]],FME_Input[FME_ID],FME_Input[FME_COST])</f>
        <v>200000</v>
      </c>
      <c r="F2073" t="str">
        <f>_xlfn.XLOOKUP(FME_Ranking1[[#This Row],[FME ID]],FME_Input[FME_ID],FME_Input[EMER_NEED])</f>
        <v>No</v>
      </c>
      <c r="G2073">
        <f>IF(FME_Ranking!F2073="Yes",100,0)</f>
        <v>0</v>
      </c>
      <c r="H2073">
        <f>FME_Ranking1[[#This Row],[Emergency Need Score (Normalized, Unweighted)]]*$F$3</f>
        <v>0</v>
      </c>
      <c r="I2073" s="246">
        <f>_xlfn.XLOOKUP(FME_Ranking1[[#This Row],[FME ID]],FME_Input[FME_ID],FME_Input[STRUCT_100])</f>
        <v>3</v>
      </c>
      <c r="J2073" s="178">
        <f>(FME_Ranking1[[#This Row],[Structures 100 Raw]]/I$2)*100</f>
        <v>1.6064773165402903E-3</v>
      </c>
      <c r="K2073" s="178">
        <f>FME_Ranking1[[#This Row],[Structures 100  Score (Normalized, Unweighted)]]*$I$3</f>
        <v>2.4097159748104354E-4</v>
      </c>
      <c r="L2073" s="246">
        <f>_xlfn.XLOOKUP(FME_Ranking1[[#This Row],[FME ID]],FME_Input[FME_ID],FME_Input[RES_STRUCT100])</f>
        <v>0</v>
      </c>
      <c r="M2073" s="230">
        <f>(FME_Ranking1[[#This Row],[Res Structures Raw]]/L$2)*100</f>
        <v>0</v>
      </c>
      <c r="N2073" s="180">
        <f>FME_Ranking1[[#This Row],[Res Structures Score (Normalized, Unweighted)]]*$L$3</f>
        <v>0</v>
      </c>
      <c r="O2073" s="244">
        <f>_xlfn.XLOOKUP(FME_Ranking1[[#This Row],[FME ID]],FME_Input[FME_ID],FME_Input[POP100])</f>
        <v>6</v>
      </c>
      <c r="P2073" s="178">
        <f>(FME_Ranking1[[#This Row],[Pop Raw]]/$O$2)*100</f>
        <v>6.1425187193257975E-4</v>
      </c>
      <c r="Q2073" s="178">
        <f>FME_Ranking1[[#This Row],[Pop Score (Normalized, Unweighted)]]*$O$3</f>
        <v>9.2137780789886957E-5</v>
      </c>
      <c r="R2073" s="137">
        <f>_xlfn.XLOOKUP(FME_Ranking1[[#This Row],[FME ID]],FME_Input[FME_ID],FME_Input[CRITFAC100])</f>
        <v>0</v>
      </c>
      <c r="S2073" s="230">
        <f>(FME_Ranking1[[#This Row],[Critical Facilities Raw]]/$R$2)*100</f>
        <v>0</v>
      </c>
      <c r="T2073" s="180">
        <f>FME_Ranking1[[#This Row],[Critical Facilities Score (Normalized, Unweighted)]]*$R$3</f>
        <v>0</v>
      </c>
      <c r="U2073">
        <f>_xlfn.XLOOKUP(FME_Ranking1[[#This Row],[FME ID]],FME_Input[FME_ID],FME_Input[LWC])</f>
        <v>0</v>
      </c>
      <c r="V2073" s="178">
        <f>(FME_Ranking1[[#This Row],[LWC Raw]]/$U$2)*100</f>
        <v>0</v>
      </c>
      <c r="W2073" s="178">
        <f>FME_Ranking1[[#This Row],[LWC Score (Normalized, Unweighted)]]*$U$3</f>
        <v>0</v>
      </c>
      <c r="X2073" s="246">
        <f>_xlfn.XLOOKUP(FME_Ranking1[[#This Row],[FME ID]],FME_Input[FME_ID],FME_Input[ROADCLS])</f>
        <v>0</v>
      </c>
      <c r="Y2073" s="230">
        <f>(FME_Ranking1[[#This Row],[Closures Raw]]/$X$2)*100</f>
        <v>0</v>
      </c>
      <c r="Z2073" s="180">
        <f>FME_Ranking1[[#This Row],[Closures Score (Normalized, Unweighted)]]*$X$3</f>
        <v>0</v>
      </c>
      <c r="AA2073" s="253">
        <f>_xlfn.XLOOKUP(FME_Ranking1[[#This Row],[FME ID]],FME_Input[FME_ID],FME_Input[ROAD_MILES100])</f>
        <v>0.26547333598136902</v>
      </c>
      <c r="AB2073" s="178">
        <f>(FME_Ranking1[[#This Row],[Miles Raw]]/$AA$2)*100</f>
        <v>3.4904982193736112E-3</v>
      </c>
      <c r="AC2073" s="178">
        <f>FME_Ranking1[[#This Row],[Miles Score (Normalized, Unweighted)]]*$AA$3</f>
        <v>3.4904982193736115E-4</v>
      </c>
      <c r="AD2073" s="255">
        <f>_xlfn.XLOOKUP(FME_Ranking1[[#This Row],[FME ID]],FME_Input[FME_ID],FME_Input[FARMACRE100])</f>
        <v>10.95880603790283</v>
      </c>
      <c r="AE2073" s="230">
        <f>(FME_Ranking1[[#This Row],[Ag Land Raw]]/$AD$2)*100</f>
        <v>4.5189210386745214E-4</v>
      </c>
      <c r="AF2073" s="231">
        <f>FME_Ranking1[[#This Row],[Ag Land Score (Normalized, Unweighted)]]*$AD$3</f>
        <v>2.259460519337261E-5</v>
      </c>
      <c r="AG207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7.0475380540166433E-4</v>
      </c>
      <c r="AH2073" s="406">
        <f t="shared" si="32"/>
        <v>2058</v>
      </c>
      <c r="AI207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7.0475380540166433E-4</v>
      </c>
      <c r="AJ2073" s="257">
        <f>FME_Ranking1[[#This Row],[Addition check]]-FME_Ranking1[[#This Row],[Weighted Score Based on Normalized Reported Factors]]</f>
        <v>0</v>
      </c>
      <c r="AK2073" s="178">
        <f>_xlfn.RANK.EQ(AI2073,$AI$6:$AI$2341,0)+COUNTIF($AI$6:AI2073,AI2073)-1</f>
        <v>2058</v>
      </c>
    </row>
    <row r="2074" spans="1:37" x14ac:dyDescent="0.25">
      <c r="A2074" t="s">
        <v>3595</v>
      </c>
      <c r="B2074">
        <f>_xlfn.XLOOKUP(FME_Ranking1[[#This Row],[FME ID]],FME_Input[FME_ID],FME_Input[RFPG_NUM])</f>
        <v>2</v>
      </c>
      <c r="C2074" t="str">
        <f>_xlfn.XLOOKUP(FME_Ranking1[[#This Row],[FME ID]],FME_Input[FME_ID],FME_Input[FME_NAME])</f>
        <v>De Kalb Stormwater Drainage</v>
      </c>
      <c r="D2074" t="str">
        <f>_xlfn.XLOOKUP(FME_Ranking1[[#This Row],[FME ID]],FME_Input[FME_ID],FME_Input[DESCR])</f>
        <v>Citywide evaluation of flooding impacts on streets and drainage structures</v>
      </c>
      <c r="E2074" s="256">
        <f>_xlfn.XLOOKUP(FME_Ranking1[[#This Row],[FME ID]],FME_Input[FME_ID],FME_Input[FME_COST])</f>
        <v>250000</v>
      </c>
      <c r="F2074" t="str">
        <f>_xlfn.XLOOKUP(FME_Ranking1[[#This Row],[FME ID]],FME_Input[FME_ID],FME_Input[EMER_NEED])</f>
        <v>No</v>
      </c>
      <c r="G2074">
        <f>IF(FME_Ranking!F2074="Yes",100,0)</f>
        <v>0</v>
      </c>
      <c r="H2074">
        <f>FME_Ranking1[[#This Row],[Emergency Need Score (Normalized, Unweighted)]]*$F$3</f>
        <v>0</v>
      </c>
      <c r="I2074" s="246">
        <f>_xlfn.XLOOKUP(FME_Ranking1[[#This Row],[FME ID]],FME_Input[FME_ID],FME_Input[STRUCT_100])</f>
        <v>2</v>
      </c>
      <c r="J2074" s="178">
        <f>(FME_Ranking1[[#This Row],[Structures 100 Raw]]/I$2)*100</f>
        <v>1.0709848776935271E-3</v>
      </c>
      <c r="K2074" s="178">
        <f>FME_Ranking1[[#This Row],[Structures 100  Score (Normalized, Unweighted)]]*$I$3</f>
        <v>1.6064773165402907E-4</v>
      </c>
      <c r="L2074" s="246">
        <f>_xlfn.XLOOKUP(FME_Ranking1[[#This Row],[FME ID]],FME_Input[FME_ID],FME_Input[RES_STRUCT100])</f>
        <v>2</v>
      </c>
      <c r="M2074" s="230">
        <f>(FME_Ranking1[[#This Row],[Res Structures Raw]]/L$2)*100</f>
        <v>1.4166111827286765E-3</v>
      </c>
      <c r="N2074" s="180">
        <f>FME_Ranking1[[#This Row],[Res Structures Score (Normalized, Unweighted)]]*$L$3</f>
        <v>1.4166111827286767E-4</v>
      </c>
      <c r="O2074" s="244">
        <f>_xlfn.XLOOKUP(FME_Ranking1[[#This Row],[FME ID]],FME_Input[FME_ID],FME_Input[POP100])</f>
        <v>3</v>
      </c>
      <c r="P2074" s="178">
        <f>(FME_Ranking1[[#This Row],[Pop Raw]]/$O$2)*100</f>
        <v>3.0712593596628988E-4</v>
      </c>
      <c r="Q2074" s="178">
        <f>FME_Ranking1[[#This Row],[Pop Score (Normalized, Unweighted)]]*$O$3</f>
        <v>4.6068890394943479E-5</v>
      </c>
      <c r="R2074" s="137">
        <f>_xlfn.XLOOKUP(FME_Ranking1[[#This Row],[FME ID]],FME_Input[FME_ID],FME_Input[CRITFAC100])</f>
        <v>0</v>
      </c>
      <c r="S2074" s="230">
        <f>(FME_Ranking1[[#This Row],[Critical Facilities Raw]]/$R$2)*100</f>
        <v>0</v>
      </c>
      <c r="T2074" s="180">
        <f>FME_Ranking1[[#This Row],[Critical Facilities Score (Normalized, Unweighted)]]*$R$3</f>
        <v>0</v>
      </c>
      <c r="U2074">
        <f>_xlfn.XLOOKUP(FME_Ranking1[[#This Row],[FME ID]],FME_Input[FME_ID],FME_Input[LWC])</f>
        <v>0</v>
      </c>
      <c r="V2074" s="178">
        <f>(FME_Ranking1[[#This Row],[LWC Raw]]/$U$2)*100</f>
        <v>0</v>
      </c>
      <c r="W2074" s="178">
        <f>FME_Ranking1[[#This Row],[LWC Score (Normalized, Unweighted)]]*$U$3</f>
        <v>0</v>
      </c>
      <c r="X2074" s="246">
        <f>_xlfn.XLOOKUP(FME_Ranking1[[#This Row],[FME ID]],FME_Input[FME_ID],FME_Input[ROADCLS])</f>
        <v>0</v>
      </c>
      <c r="Y2074" s="230">
        <f>(FME_Ranking1[[#This Row],[Closures Raw]]/$X$2)*100</f>
        <v>0</v>
      </c>
      <c r="Z2074" s="180">
        <f>FME_Ranking1[[#This Row],[Closures Score (Normalized, Unweighted)]]*$X$3</f>
        <v>0</v>
      </c>
      <c r="AA2074" s="253">
        <f>_xlfn.XLOOKUP(FME_Ranking1[[#This Row],[FME ID]],FME_Input[FME_ID],FME_Input[ROAD_MILES100])</f>
        <v>0.25686758756637568</v>
      </c>
      <c r="AB2074" s="178">
        <f>(FME_Ranking1[[#This Row],[Miles Raw]]/$AA$2)*100</f>
        <v>3.3773480628508492E-3</v>
      </c>
      <c r="AC2074" s="178">
        <f>FME_Ranking1[[#This Row],[Miles Score (Normalized, Unweighted)]]*$AA$3</f>
        <v>3.3773480628508494E-4</v>
      </c>
      <c r="AD2074" s="255">
        <f>_xlfn.XLOOKUP(FME_Ranking1[[#This Row],[FME ID]],FME_Input[FME_ID],FME_Input[FARMACRE100])</f>
        <v>0.2307346314191818</v>
      </c>
      <c r="AE2074" s="230">
        <f>(FME_Ranking1[[#This Row],[Ag Land Raw]]/$AD$2)*100</f>
        <v>9.5144633152982269E-6</v>
      </c>
      <c r="AF2074" s="231">
        <f>FME_Ranking1[[#This Row],[Ag Land Score (Normalized, Unweighted)]]*$AD$3</f>
        <v>4.7572316576491138E-7</v>
      </c>
      <c r="AG207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6.8658826977268999E-4</v>
      </c>
      <c r="AH2074" s="406">
        <f t="shared" si="32"/>
        <v>2059</v>
      </c>
      <c r="AI207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6.8658826977268999E-4</v>
      </c>
      <c r="AJ2074" s="257">
        <f>FME_Ranking1[[#This Row],[Addition check]]-FME_Ranking1[[#This Row],[Weighted Score Based on Normalized Reported Factors]]</f>
        <v>0</v>
      </c>
      <c r="AK2074" s="178">
        <f>_xlfn.RANK.EQ(AI2074,$AI$6:$AI$2341,0)+COUNTIF($AI$6:AI2074,AI2074)-1</f>
        <v>2059</v>
      </c>
    </row>
    <row r="2075" spans="1:37" x14ac:dyDescent="0.25">
      <c r="A2075" t="s">
        <v>10710</v>
      </c>
      <c r="B2075">
        <f>_xlfn.XLOOKUP(FME_Ranking1[[#This Row],[FME ID]],FME_Input[FME_ID],FME_Input[RFPG_NUM])</f>
        <v>13</v>
      </c>
      <c r="C2075" t="str">
        <f>_xlfn.XLOOKUP(FME_Ranking1[[#This Row],[FME ID]],FME_Input[FME_ID],FME_Input[FME_NAME])</f>
        <v>Power St. Pump Station Improvements</v>
      </c>
      <c r="D2075" t="str">
        <f>_xlfn.XLOOKUP(FME_Ranking1[[#This Row],[FME ID]],FME_Input[FME_ID],FME_Input[DESCR])</f>
        <v>Improvements to the inlet of Power Street Power Station will improve upstream drainage hydraulics throughout the basin. It is proposed to widen the inlet as much as possible to reduce headloss at the Power Station Inlet.</v>
      </c>
      <c r="E2075" s="256">
        <f>_xlfn.XLOOKUP(FME_Ranking1[[#This Row],[FME ID]],FME_Input[FME_ID],FME_Input[FME_COST])</f>
        <v>201000</v>
      </c>
      <c r="F2075" t="str">
        <f>_xlfn.XLOOKUP(FME_Ranking1[[#This Row],[FME ID]],FME_Input[FME_ID],FME_Input[EMER_NEED])</f>
        <v>Yes</v>
      </c>
      <c r="G2075">
        <f>IF(FME_Ranking!F2075="Yes",100,0)</f>
        <v>100</v>
      </c>
      <c r="H2075">
        <f>FME_Ranking1[[#This Row],[Emergency Need Score (Normalized, Unweighted)]]*$F$3</f>
        <v>0</v>
      </c>
      <c r="I2075" s="246">
        <f>_xlfn.XLOOKUP(FME_Ranking1[[#This Row],[FME ID]],FME_Input[FME_ID],FME_Input[STRUCT_100])</f>
        <v>1</v>
      </c>
      <c r="J2075" s="178">
        <f>(FME_Ranking1[[#This Row],[Structures 100 Raw]]/I$2)*100</f>
        <v>5.3549243884676355E-4</v>
      </c>
      <c r="K2075" s="178">
        <f>FME_Ranking1[[#This Row],[Structures 100  Score (Normalized, Unweighted)]]*$I$3</f>
        <v>8.0323865827014533E-5</v>
      </c>
      <c r="L2075" s="246">
        <f>_xlfn.XLOOKUP(FME_Ranking1[[#This Row],[FME ID]],FME_Input[FME_ID],FME_Input[RES_STRUCT100])</f>
        <v>0</v>
      </c>
      <c r="M2075" s="230">
        <f>(FME_Ranking1[[#This Row],[Res Structures Raw]]/L$2)*100</f>
        <v>0</v>
      </c>
      <c r="N2075" s="180">
        <f>FME_Ranking1[[#This Row],[Res Structures Score (Normalized, Unweighted)]]*$L$3</f>
        <v>0</v>
      </c>
      <c r="O2075" s="244">
        <f>_xlfn.XLOOKUP(FME_Ranking1[[#This Row],[FME ID]],FME_Input[FME_ID],FME_Input[POP100])</f>
        <v>17</v>
      </c>
      <c r="P2075" s="178">
        <f>(FME_Ranking1[[#This Row],[Pop Raw]]/$O$2)*100</f>
        <v>1.7403803038089759E-3</v>
      </c>
      <c r="Q2075" s="178">
        <f>FME_Ranking1[[#This Row],[Pop Score (Normalized, Unweighted)]]*$O$3</f>
        <v>2.6105704557134637E-4</v>
      </c>
      <c r="R2075" s="137">
        <f>_xlfn.XLOOKUP(FME_Ranking1[[#This Row],[FME ID]],FME_Input[FME_ID],FME_Input[CRITFAC100])</f>
        <v>0</v>
      </c>
      <c r="S2075" s="230">
        <f>(FME_Ranking1[[#This Row],[Critical Facilities Raw]]/$R$2)*100</f>
        <v>0</v>
      </c>
      <c r="T2075" s="180">
        <f>FME_Ranking1[[#This Row],[Critical Facilities Score (Normalized, Unweighted)]]*$R$3</f>
        <v>0</v>
      </c>
      <c r="U2075">
        <f>_xlfn.XLOOKUP(FME_Ranking1[[#This Row],[FME ID]],FME_Input[FME_ID],FME_Input[LWC])</f>
        <v>0</v>
      </c>
      <c r="V2075" s="178">
        <f>(FME_Ranking1[[#This Row],[LWC Raw]]/$U$2)*100</f>
        <v>0</v>
      </c>
      <c r="W2075" s="178">
        <f>FME_Ranking1[[#This Row],[LWC Score (Normalized, Unweighted)]]*$U$3</f>
        <v>0</v>
      </c>
      <c r="X2075" s="246">
        <f>_xlfn.XLOOKUP(FME_Ranking1[[#This Row],[FME ID]],FME_Input[FME_ID],FME_Input[ROADCLS])</f>
        <v>0</v>
      </c>
      <c r="Y2075" s="230">
        <f>(FME_Ranking1[[#This Row],[Closures Raw]]/$X$2)*100</f>
        <v>0</v>
      </c>
      <c r="Z2075" s="180">
        <f>FME_Ranking1[[#This Row],[Closures Score (Normalized, Unweighted)]]*$X$3</f>
        <v>0</v>
      </c>
      <c r="AA2075" s="253">
        <f>_xlfn.XLOOKUP(FME_Ranking1[[#This Row],[FME ID]],FME_Input[FME_ID],FME_Input[ROAD_MILES100])</f>
        <v>0</v>
      </c>
      <c r="AB2075" s="178">
        <f>(FME_Ranking1[[#This Row],[Miles Raw]]/$AA$2)*100</f>
        <v>0</v>
      </c>
      <c r="AC2075" s="178">
        <f>FME_Ranking1[[#This Row],[Miles Score (Normalized, Unweighted)]]*$AA$3</f>
        <v>0</v>
      </c>
      <c r="AD2075" s="255">
        <f>_xlfn.XLOOKUP(FME_Ranking1[[#This Row],[FME ID]],FME_Input[FME_ID],FME_Input[FARMACRE100])</f>
        <v>0</v>
      </c>
      <c r="AE2075" s="230">
        <f>(FME_Ranking1[[#This Row],[Ag Land Raw]]/$AD$2)*100</f>
        <v>0</v>
      </c>
      <c r="AF2075" s="231">
        <f>FME_Ranking1[[#This Row],[Ag Land Score (Normalized, Unweighted)]]*$AD$3</f>
        <v>0</v>
      </c>
      <c r="AG207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3.4138091139836093E-4</v>
      </c>
      <c r="AH2075" s="406">
        <f t="shared" si="32"/>
        <v>2110</v>
      </c>
      <c r="AI207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3.4138091139836093E-4</v>
      </c>
      <c r="AJ2075" s="257">
        <f>FME_Ranking1[[#This Row],[Addition check]]-FME_Ranking1[[#This Row],[Weighted Score Based on Normalized Reported Factors]]</f>
        <v>0</v>
      </c>
      <c r="AK2075" s="178">
        <f>_xlfn.RANK.EQ(AI2075,$AI$6:$AI$2341,0)+COUNTIF($AI$6:AI2075,AI2075)-1</f>
        <v>2110</v>
      </c>
    </row>
    <row r="2076" spans="1:37" x14ac:dyDescent="0.25">
      <c r="A2076" t="s">
        <v>538</v>
      </c>
      <c r="B2076">
        <f>_xlfn.XLOOKUP(FME_Ranking1[[#This Row],[FME ID]],FME_Input[FME_ID],FME_Input[RFPG_NUM])</f>
        <v>10</v>
      </c>
      <c r="C2076" t="str">
        <f>_xlfn.XLOOKUP(FME_Ranking1[[#This Row],[FME ID]],FME_Input[FME_ID],FME_Input[FME_NAME])</f>
        <v>East Reed Park Road Flooding</v>
      </c>
      <c r="D2076" t="str">
        <f>_xlfn.XLOOKUP(FME_Ranking1[[#This Row],[FME ID]],FME_Input[FME_ID],FME_Input[DESCR])</f>
        <v>Low water crossing upgrade for one of the most commonly closed low water crossings in Jonestown. The city has to section off road when it floods.</v>
      </c>
      <c r="E2076" s="256">
        <f>_xlfn.XLOOKUP(FME_Ranking1[[#This Row],[FME ID]],FME_Input[FME_ID],FME_Input[FME_COST])</f>
        <v>100000</v>
      </c>
      <c r="F2076" t="str">
        <f>_xlfn.XLOOKUP(FME_Ranking1[[#This Row],[FME ID]],FME_Input[FME_ID],FME_Input[EMER_NEED])</f>
        <v>No</v>
      </c>
      <c r="G2076">
        <f>IF(FME_Ranking!F2076="Yes",100,0)</f>
        <v>0</v>
      </c>
      <c r="H2076">
        <f>FME_Ranking1[[#This Row],[Emergency Need Score (Normalized, Unweighted)]]*$F$3</f>
        <v>0</v>
      </c>
      <c r="I2076" s="246">
        <f>_xlfn.XLOOKUP(FME_Ranking1[[#This Row],[FME ID]],FME_Input[FME_ID],FME_Input[STRUCT_100])</f>
        <v>2</v>
      </c>
      <c r="J2076" s="178">
        <f>(FME_Ranking1[[#This Row],[Structures 100 Raw]]/I$2)*100</f>
        <v>1.0709848776935271E-3</v>
      </c>
      <c r="K2076" s="178">
        <f>FME_Ranking1[[#This Row],[Structures 100  Score (Normalized, Unweighted)]]*$I$3</f>
        <v>1.6064773165402907E-4</v>
      </c>
      <c r="L2076" s="246">
        <f>_xlfn.XLOOKUP(FME_Ranking1[[#This Row],[FME ID]],FME_Input[FME_ID],FME_Input[RES_STRUCT100])</f>
        <v>1</v>
      </c>
      <c r="M2076" s="230">
        <f>(FME_Ranking1[[#This Row],[Res Structures Raw]]/L$2)*100</f>
        <v>7.0830559136433825E-4</v>
      </c>
      <c r="N2076" s="180">
        <f>FME_Ranking1[[#This Row],[Res Structures Score (Normalized, Unweighted)]]*$L$3</f>
        <v>7.0830559136433833E-5</v>
      </c>
      <c r="O2076" s="244">
        <f>_xlfn.XLOOKUP(FME_Ranking1[[#This Row],[FME ID]],FME_Input[FME_ID],FME_Input[POP100])</f>
        <v>1</v>
      </c>
      <c r="P2076" s="178">
        <f>(FME_Ranking1[[#This Row],[Pop Raw]]/$O$2)*100</f>
        <v>1.0237531198876328E-4</v>
      </c>
      <c r="Q2076" s="178">
        <f>FME_Ranking1[[#This Row],[Pop Score (Normalized, Unweighted)]]*$O$3</f>
        <v>1.5356296798314492E-5</v>
      </c>
      <c r="R2076" s="137">
        <f>_xlfn.XLOOKUP(FME_Ranking1[[#This Row],[FME ID]],FME_Input[FME_ID],FME_Input[CRITFAC100])</f>
        <v>0</v>
      </c>
      <c r="S2076" s="230">
        <f>(FME_Ranking1[[#This Row],[Critical Facilities Raw]]/$R$2)*100</f>
        <v>0</v>
      </c>
      <c r="T2076" s="180">
        <f>FME_Ranking1[[#This Row],[Critical Facilities Score (Normalized, Unweighted)]]*$R$3</f>
        <v>0</v>
      </c>
      <c r="U2076">
        <f>_xlfn.XLOOKUP(FME_Ranking1[[#This Row],[FME ID]],FME_Input[FME_ID],FME_Input[LWC])</f>
        <v>0</v>
      </c>
      <c r="V2076" s="178">
        <f>(FME_Ranking1[[#This Row],[LWC Raw]]/$U$2)*100</f>
        <v>0</v>
      </c>
      <c r="W2076" s="178">
        <f>FME_Ranking1[[#This Row],[LWC Score (Normalized, Unweighted)]]*$U$3</f>
        <v>0</v>
      </c>
      <c r="X2076" s="246">
        <f>_xlfn.XLOOKUP(FME_Ranking1[[#This Row],[FME ID]],FME_Input[FME_ID],FME_Input[ROADCLS])</f>
        <v>0</v>
      </c>
      <c r="Y2076" s="230">
        <f>(FME_Ranking1[[#This Row],[Closures Raw]]/$X$2)*100</f>
        <v>0</v>
      </c>
      <c r="Z2076" s="180">
        <f>FME_Ranking1[[#This Row],[Closures Score (Normalized, Unweighted)]]*$X$3</f>
        <v>0</v>
      </c>
      <c r="AA2076" s="253">
        <f>_xlfn.XLOOKUP(FME_Ranking1[[#This Row],[FME ID]],FME_Input[FME_ID],FME_Input[ROAD_MILES100])</f>
        <v>0.14512637257575989</v>
      </c>
      <c r="AB2076" s="178">
        <f>(FME_Ranking1[[#This Row],[Miles Raw]]/$AA$2)*100</f>
        <v>1.9081515030021389E-3</v>
      </c>
      <c r="AC2076" s="178">
        <f>FME_Ranking1[[#This Row],[Miles Score (Normalized, Unweighted)]]*$AA$3</f>
        <v>1.9081515030021389E-4</v>
      </c>
      <c r="AD2076" s="255">
        <f>_xlfn.XLOOKUP(FME_Ranking1[[#This Row],[FME ID]],FME_Input[FME_ID],FME_Input[FARMACRE100])</f>
        <v>44.672351837158203</v>
      </c>
      <c r="AE2076" s="230">
        <f>(FME_Ranking1[[#This Row],[Ag Land Raw]]/$AD$2)*100</f>
        <v>1.8420878138165893E-3</v>
      </c>
      <c r="AF2076" s="231">
        <f>FME_Ranking1[[#This Row],[Ag Land Score (Normalized, Unweighted)]]*$AD$3</f>
        <v>9.2104390690829472E-5</v>
      </c>
      <c r="AG207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5.2975412857982074E-4</v>
      </c>
      <c r="AH2076" s="406">
        <f t="shared" si="32"/>
        <v>2096</v>
      </c>
      <c r="AI207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5.2975412857982074E-4</v>
      </c>
      <c r="AJ2076" s="257">
        <f>FME_Ranking1[[#This Row],[Addition check]]-FME_Ranking1[[#This Row],[Weighted Score Based on Normalized Reported Factors]]</f>
        <v>0</v>
      </c>
      <c r="AK2076" s="178">
        <f>_xlfn.RANK.EQ(AI2076,$AI$6:$AI$2341,0)+COUNTIF($AI$6:AI2076,AI2076)-1</f>
        <v>2096</v>
      </c>
    </row>
    <row r="2077" spans="1:37" x14ac:dyDescent="0.25">
      <c r="A2077" t="s">
        <v>6994</v>
      </c>
      <c r="B2077">
        <f>_xlfn.XLOOKUP(FME_Ranking1[[#This Row],[FME ID]],FME_Input[FME_ID],FME_Input[RFPG_NUM])</f>
        <v>7</v>
      </c>
      <c r="C2077" t="str">
        <f>_xlfn.XLOOKUP(FME_Ranking1[[#This Row],[FME ID]],FME_Input[FME_ID],FME_Input[FME_NAME])</f>
        <v>City of Springlake DMP</v>
      </c>
      <c r="D2077" t="str">
        <f>_xlfn.XLOOKUP(FME_Ranking1[[#This Row],[FME ID]],FME_Input[FME_ID],FME_Input[DESCR])</f>
        <v>Evaluate City of Springlake for a Storm Water Master Plan, flood ordinances, and policies.</v>
      </c>
      <c r="E2077" s="256">
        <f>_xlfn.XLOOKUP(FME_Ranking1[[#This Row],[FME ID]],FME_Input[FME_ID],FME_Input[FME_COST])</f>
        <v>250000</v>
      </c>
      <c r="F2077" t="str">
        <f>_xlfn.XLOOKUP(FME_Ranking1[[#This Row],[FME ID]],FME_Input[FME_ID],FME_Input[EMER_NEED])</f>
        <v>No</v>
      </c>
      <c r="G2077">
        <f>IF(FME_Ranking!F2077="Yes",100,0)</f>
        <v>0</v>
      </c>
      <c r="H2077">
        <f>FME_Ranking1[[#This Row],[Emergency Need Score (Normalized, Unweighted)]]*$F$3</f>
        <v>0</v>
      </c>
      <c r="I2077" s="246">
        <f>_xlfn.XLOOKUP(FME_Ranking1[[#This Row],[FME ID]],FME_Input[FME_ID],FME_Input[STRUCT_100])</f>
        <v>2</v>
      </c>
      <c r="J2077" s="178">
        <f>(FME_Ranking1[[#This Row],[Structures 100 Raw]]/I$2)*100</f>
        <v>1.0709848776935271E-3</v>
      </c>
      <c r="K2077" s="178">
        <f>FME_Ranking1[[#This Row],[Structures 100  Score (Normalized, Unweighted)]]*$I$3</f>
        <v>1.6064773165402907E-4</v>
      </c>
      <c r="L2077" s="246">
        <f>_xlfn.XLOOKUP(FME_Ranking1[[#This Row],[FME ID]],FME_Input[FME_ID],FME_Input[RES_STRUCT100])</f>
        <v>2</v>
      </c>
      <c r="M2077" s="230">
        <f>(FME_Ranking1[[#This Row],[Res Structures Raw]]/L$2)*100</f>
        <v>1.4166111827286765E-3</v>
      </c>
      <c r="N2077" s="180">
        <f>FME_Ranking1[[#This Row],[Res Structures Score (Normalized, Unweighted)]]*$L$3</f>
        <v>1.4166111827286767E-4</v>
      </c>
      <c r="O2077" s="244">
        <f>_xlfn.XLOOKUP(FME_Ranking1[[#This Row],[FME ID]],FME_Input[FME_ID],FME_Input[POP100])</f>
        <v>2</v>
      </c>
      <c r="P2077" s="178">
        <f>(FME_Ranking1[[#This Row],[Pop Raw]]/$O$2)*100</f>
        <v>2.0475062397752657E-4</v>
      </c>
      <c r="Q2077" s="178">
        <f>FME_Ranking1[[#This Row],[Pop Score (Normalized, Unweighted)]]*$O$3</f>
        <v>3.0712593596628984E-5</v>
      </c>
      <c r="R2077" s="137">
        <f>_xlfn.XLOOKUP(FME_Ranking1[[#This Row],[FME ID]],FME_Input[FME_ID],FME_Input[CRITFAC100])</f>
        <v>0</v>
      </c>
      <c r="S2077" s="230">
        <f>(FME_Ranking1[[#This Row],[Critical Facilities Raw]]/$R$2)*100</f>
        <v>0</v>
      </c>
      <c r="T2077" s="180">
        <f>FME_Ranking1[[#This Row],[Critical Facilities Score (Normalized, Unweighted)]]*$R$3</f>
        <v>0</v>
      </c>
      <c r="U2077">
        <f>_xlfn.XLOOKUP(FME_Ranking1[[#This Row],[FME ID]],FME_Input[FME_ID],FME_Input[LWC])</f>
        <v>0</v>
      </c>
      <c r="V2077" s="178">
        <f>(FME_Ranking1[[#This Row],[LWC Raw]]/$U$2)*100</f>
        <v>0</v>
      </c>
      <c r="W2077" s="178">
        <f>FME_Ranking1[[#This Row],[LWC Score (Normalized, Unweighted)]]*$U$3</f>
        <v>0</v>
      </c>
      <c r="X2077" s="246">
        <f>_xlfn.XLOOKUP(FME_Ranking1[[#This Row],[FME ID]],FME_Input[FME_ID],FME_Input[ROADCLS])</f>
        <v>0</v>
      </c>
      <c r="Y2077" s="230">
        <f>(FME_Ranking1[[#This Row],[Closures Raw]]/$X$2)*100</f>
        <v>0</v>
      </c>
      <c r="Z2077" s="180">
        <f>FME_Ranking1[[#This Row],[Closures Score (Normalized, Unweighted)]]*$X$3</f>
        <v>0</v>
      </c>
      <c r="AA2077" s="253">
        <f>_xlfn.XLOOKUP(FME_Ranking1[[#This Row],[FME ID]],FME_Input[FME_ID],FME_Input[ROAD_MILES100])</f>
        <v>4.1478231549263E-2</v>
      </c>
      <c r="AB2077" s="178">
        <f>(FME_Ranking1[[#This Row],[Miles Raw]]/$AA$2)*100</f>
        <v>5.4536435017198679E-4</v>
      </c>
      <c r="AC2077" s="178">
        <f>FME_Ranking1[[#This Row],[Miles Score (Normalized, Unweighted)]]*$AA$3</f>
        <v>5.4536435017198683E-5</v>
      </c>
      <c r="AD2077" s="255">
        <f>_xlfn.XLOOKUP(FME_Ranking1[[#This Row],[FME ID]],FME_Input[FME_ID],FME_Input[FARMACRE100])</f>
        <v>2.522120475769043</v>
      </c>
      <c r="AE2077" s="230">
        <f>(FME_Ranking1[[#This Row],[Ag Land Raw]]/$AD$2)*100</f>
        <v>1.0400095813910032E-4</v>
      </c>
      <c r="AF2077" s="231">
        <f>FME_Ranking1[[#This Row],[Ag Land Score (Normalized, Unweighted)]]*$AD$3</f>
        <v>5.2000479069550162E-6</v>
      </c>
      <c r="AG207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3.927579264476794E-4</v>
      </c>
      <c r="AH2077" s="406">
        <f t="shared" si="32"/>
        <v>2105</v>
      </c>
      <c r="AI207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3.927579264476794E-4</v>
      </c>
      <c r="AJ2077" s="257">
        <f>FME_Ranking1[[#This Row],[Addition check]]-FME_Ranking1[[#This Row],[Weighted Score Based on Normalized Reported Factors]]</f>
        <v>0</v>
      </c>
      <c r="AK2077" s="178">
        <f>_xlfn.RANK.EQ(AI2077,$AI$6:$AI$2341,0)+COUNTIF($AI$6:AI2077,AI2077)-1</f>
        <v>2105</v>
      </c>
    </row>
    <row r="2078" spans="1:37" x14ac:dyDescent="0.25">
      <c r="A2078" t="s">
        <v>837</v>
      </c>
      <c r="B2078">
        <f>_xlfn.XLOOKUP(FME_Ranking1[[#This Row],[FME ID]],FME_Input[FME_ID],FME_Input[RFPG_NUM])</f>
        <v>6</v>
      </c>
      <c r="C2078" t="str">
        <f>_xlfn.XLOOKUP(FME_Ranking1[[#This Row],[FME ID]],FME_Input[FME_ID],FME_Input[FME_NAME])</f>
        <v>Gum Gully Rd, W Stroker Rd, Wigwam Ln, and Related Infrastructure Drainage Improvements</v>
      </c>
      <c r="D2078" t="str">
        <f>_xlfn.XLOOKUP(FME_Ranking1[[#This Row],[FME ID]],FME_Input[FME_ID],FME_Input[DESCR])</f>
        <v>Further study as report recommendation (2019) indicates that regional drainage improvements to the streams must be studied and implemented before Harris County can obtain a benefit from roadway drainage improvements.</v>
      </c>
      <c r="E2078" s="256">
        <f>_xlfn.XLOOKUP(FME_Ranking1[[#This Row],[FME ID]],FME_Input[FME_ID],FME_Input[FME_COST])</f>
        <v>130000</v>
      </c>
      <c r="F2078" t="str">
        <f>_xlfn.XLOOKUP(FME_Ranking1[[#This Row],[FME ID]],FME_Input[FME_ID],FME_Input[EMER_NEED])</f>
        <v>No</v>
      </c>
      <c r="G2078">
        <f>IF(FME_Ranking!F2078="Yes",100,0)</f>
        <v>0</v>
      </c>
      <c r="H2078">
        <f>FME_Ranking1[[#This Row],[Emergency Need Score (Normalized, Unweighted)]]*$F$3</f>
        <v>0</v>
      </c>
      <c r="I2078" s="246">
        <f>_xlfn.XLOOKUP(FME_Ranking1[[#This Row],[FME ID]],FME_Input[FME_ID],FME_Input[STRUCT_100])</f>
        <v>3</v>
      </c>
      <c r="J2078" s="178">
        <f>(FME_Ranking1[[#This Row],[Structures 100 Raw]]/I$2)*100</f>
        <v>1.6064773165402903E-3</v>
      </c>
      <c r="K2078" s="178">
        <f>FME_Ranking1[[#This Row],[Structures 100  Score (Normalized, Unweighted)]]*$I$3</f>
        <v>2.4097159748104354E-4</v>
      </c>
      <c r="L2078" s="246">
        <f>_xlfn.XLOOKUP(FME_Ranking1[[#This Row],[FME ID]],FME_Input[FME_ID],FME_Input[RES_STRUCT100])</f>
        <v>0</v>
      </c>
      <c r="M2078" s="230">
        <f>(FME_Ranking1[[#This Row],[Res Structures Raw]]/L$2)*100</f>
        <v>0</v>
      </c>
      <c r="N2078" s="180">
        <f>FME_Ranking1[[#This Row],[Res Structures Score (Normalized, Unweighted)]]*$L$3</f>
        <v>0</v>
      </c>
      <c r="O2078" s="244">
        <f>_xlfn.XLOOKUP(FME_Ranking1[[#This Row],[FME ID]],FME_Input[FME_ID],FME_Input[POP100])</f>
        <v>6</v>
      </c>
      <c r="P2078" s="178">
        <f>(FME_Ranking1[[#This Row],[Pop Raw]]/$O$2)*100</f>
        <v>6.1425187193257975E-4</v>
      </c>
      <c r="Q2078" s="178">
        <f>FME_Ranking1[[#This Row],[Pop Score (Normalized, Unweighted)]]*$O$3</f>
        <v>9.2137780789886957E-5</v>
      </c>
      <c r="R2078" s="137">
        <f>_xlfn.XLOOKUP(FME_Ranking1[[#This Row],[FME ID]],FME_Input[FME_ID],FME_Input[CRITFAC100])</f>
        <v>0</v>
      </c>
      <c r="S2078" s="230">
        <f>(FME_Ranking1[[#This Row],[Critical Facilities Raw]]/$R$2)*100</f>
        <v>0</v>
      </c>
      <c r="T2078" s="180">
        <f>FME_Ranking1[[#This Row],[Critical Facilities Score (Normalized, Unweighted)]]*$R$3</f>
        <v>0</v>
      </c>
      <c r="U2078">
        <f>_xlfn.XLOOKUP(FME_Ranking1[[#This Row],[FME ID]],FME_Input[FME_ID],FME_Input[LWC])</f>
        <v>0</v>
      </c>
      <c r="V2078" s="178">
        <f>(FME_Ranking1[[#This Row],[LWC Raw]]/$U$2)*100</f>
        <v>0</v>
      </c>
      <c r="W2078" s="178">
        <f>FME_Ranking1[[#This Row],[LWC Score (Normalized, Unweighted)]]*$U$3</f>
        <v>0</v>
      </c>
      <c r="X2078" s="246">
        <f>_xlfn.XLOOKUP(FME_Ranking1[[#This Row],[FME ID]],FME_Input[FME_ID],FME_Input[ROADCLS])</f>
        <v>0</v>
      </c>
      <c r="Y2078" s="230">
        <f>(FME_Ranking1[[#This Row],[Closures Raw]]/$X$2)*100</f>
        <v>0</v>
      </c>
      <c r="Z2078" s="180">
        <f>FME_Ranking1[[#This Row],[Closures Score (Normalized, Unweighted)]]*$X$3</f>
        <v>0</v>
      </c>
      <c r="AA2078" s="253">
        <f>_xlfn.XLOOKUP(FME_Ranking1[[#This Row],[FME ID]],FME_Input[FME_ID],FME_Input[ROAD_MILES100])</f>
        <v>5.500473827123642E-2</v>
      </c>
      <c r="AB2078" s="178">
        <f>(FME_Ranking1[[#This Row],[Miles Raw]]/$AA$2)*100</f>
        <v>7.232136526371764E-4</v>
      </c>
      <c r="AC2078" s="178">
        <f>FME_Ranking1[[#This Row],[Miles Score (Normalized, Unweighted)]]*$AA$3</f>
        <v>7.2321365263717643E-5</v>
      </c>
      <c r="AD2078" s="255">
        <f>_xlfn.XLOOKUP(FME_Ranking1[[#This Row],[FME ID]],FME_Input[FME_ID],FME_Input[FARMACRE100])</f>
        <v>0</v>
      </c>
      <c r="AE2078" s="230">
        <f>(FME_Ranking1[[#This Row],[Ag Land Raw]]/$AD$2)*100</f>
        <v>0</v>
      </c>
      <c r="AF2078" s="231">
        <f>FME_Ranking1[[#This Row],[Ag Land Score (Normalized, Unweighted)]]*$AD$3</f>
        <v>0</v>
      </c>
      <c r="AG207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4.054307435346481E-4</v>
      </c>
      <c r="AH2078" s="406">
        <f t="shared" si="32"/>
        <v>2103</v>
      </c>
      <c r="AI207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4.054307435346481E-4</v>
      </c>
      <c r="AJ2078" s="257">
        <f>FME_Ranking1[[#This Row],[Addition check]]-FME_Ranking1[[#This Row],[Weighted Score Based on Normalized Reported Factors]]</f>
        <v>0</v>
      </c>
      <c r="AK2078" s="178">
        <f>_xlfn.RANK.EQ(AI2078,$AI$6:$AI$2341,0)+COUNTIF($AI$6:AI2078,AI2078)-1</f>
        <v>2103</v>
      </c>
    </row>
    <row r="2079" spans="1:37" x14ac:dyDescent="0.25">
      <c r="A2079" t="s">
        <v>3394</v>
      </c>
      <c r="B2079">
        <f>_xlfn.XLOOKUP(FME_Ranking1[[#This Row],[FME ID]],FME_Input[FME_ID],FME_Input[RFPG_NUM])</f>
        <v>1</v>
      </c>
      <c r="C2079" t="str">
        <f>_xlfn.XLOOKUP(FME_Ranking1[[#This Row],[FME ID]],FME_Input[FME_ID],FME_Input[FME_NAME])</f>
        <v>Playa 11 Watershed Study (City of Amarillo)</v>
      </c>
      <c r="D2079" t="str">
        <f>_xlfn.XLOOKUP(FME_Ranking1[[#This Row],[FME ID]],FME_Input[FME_ID],FME_Input[DESCR])</f>
        <v>Perform H&amp;H modeling, develop conceptual alternatives and OPCC, and rank projects. Marked as high priority in 2019 Amarillo DMP</v>
      </c>
      <c r="E2079" s="256">
        <f>_xlfn.XLOOKUP(FME_Ranking1[[#This Row],[FME ID]],FME_Input[FME_ID],FME_Input[FME_COST])</f>
        <v>424000</v>
      </c>
      <c r="F2079" t="str">
        <f>_xlfn.XLOOKUP(FME_Ranking1[[#This Row],[FME ID]],FME_Input[FME_ID],FME_Input[EMER_NEED])</f>
        <v>No</v>
      </c>
      <c r="G2079">
        <f>IF(FME_Ranking!F2079="Yes",100,0)</f>
        <v>0</v>
      </c>
      <c r="H2079">
        <f>FME_Ranking1[[#This Row],[Emergency Need Score (Normalized, Unweighted)]]*$F$3</f>
        <v>0</v>
      </c>
      <c r="I2079" s="246">
        <f>_xlfn.XLOOKUP(FME_Ranking1[[#This Row],[FME ID]],FME_Input[FME_ID],FME_Input[STRUCT_100])</f>
        <v>1</v>
      </c>
      <c r="J2079" s="178">
        <f>(FME_Ranking1[[#This Row],[Structures 100 Raw]]/I$2)*100</f>
        <v>5.3549243884676355E-4</v>
      </c>
      <c r="K2079" s="178">
        <f>FME_Ranking1[[#This Row],[Structures 100  Score (Normalized, Unweighted)]]*$I$3</f>
        <v>8.0323865827014533E-5</v>
      </c>
      <c r="L2079" s="246">
        <f>_xlfn.XLOOKUP(FME_Ranking1[[#This Row],[FME ID]],FME_Input[FME_ID],FME_Input[RES_STRUCT100])</f>
        <v>1</v>
      </c>
      <c r="M2079" s="230">
        <f>(FME_Ranking1[[#This Row],[Res Structures Raw]]/L$2)*100</f>
        <v>7.0830559136433825E-4</v>
      </c>
      <c r="N2079" s="180">
        <f>FME_Ranking1[[#This Row],[Res Structures Score (Normalized, Unweighted)]]*$L$3</f>
        <v>7.0830559136433833E-5</v>
      </c>
      <c r="O2079" s="244">
        <f>_xlfn.XLOOKUP(FME_Ranking1[[#This Row],[FME ID]],FME_Input[FME_ID],FME_Input[POP100])</f>
        <v>4</v>
      </c>
      <c r="P2079" s="178">
        <f>(FME_Ranking1[[#This Row],[Pop Raw]]/$O$2)*100</f>
        <v>4.0950124795505313E-4</v>
      </c>
      <c r="Q2079" s="178">
        <f>FME_Ranking1[[#This Row],[Pop Score (Normalized, Unweighted)]]*$O$3</f>
        <v>6.1425187193257967E-5</v>
      </c>
      <c r="R2079" s="137">
        <f>_xlfn.XLOOKUP(FME_Ranking1[[#This Row],[FME ID]],FME_Input[FME_ID],FME_Input[CRITFAC100])</f>
        <v>0</v>
      </c>
      <c r="S2079" s="230">
        <f>(FME_Ranking1[[#This Row],[Critical Facilities Raw]]/$R$2)*100</f>
        <v>0</v>
      </c>
      <c r="T2079" s="180">
        <f>FME_Ranking1[[#This Row],[Critical Facilities Score (Normalized, Unweighted)]]*$R$3</f>
        <v>0</v>
      </c>
      <c r="U2079">
        <f>_xlfn.XLOOKUP(FME_Ranking1[[#This Row],[FME ID]],FME_Input[FME_ID],FME_Input[LWC])</f>
        <v>0</v>
      </c>
      <c r="V2079" s="178">
        <f>(FME_Ranking1[[#This Row],[LWC Raw]]/$U$2)*100</f>
        <v>0</v>
      </c>
      <c r="W2079" s="178">
        <f>FME_Ranking1[[#This Row],[LWC Score (Normalized, Unweighted)]]*$U$3</f>
        <v>0</v>
      </c>
      <c r="X2079" s="246">
        <f>_xlfn.XLOOKUP(FME_Ranking1[[#This Row],[FME ID]],FME_Input[FME_ID],FME_Input[ROADCLS])</f>
        <v>0</v>
      </c>
      <c r="Y2079" s="230">
        <f>(FME_Ranking1[[#This Row],[Closures Raw]]/$X$2)*100</f>
        <v>0</v>
      </c>
      <c r="Z2079" s="180">
        <f>FME_Ranking1[[#This Row],[Closures Score (Normalized, Unweighted)]]*$X$3</f>
        <v>0</v>
      </c>
      <c r="AA2079" s="253">
        <f>_xlfn.XLOOKUP(FME_Ranking1[[#This Row],[FME ID]],FME_Input[FME_ID],FME_Input[ROAD_MILES100])</f>
        <v>2.017269611358643</v>
      </c>
      <c r="AB2079" s="178">
        <f>(FME_Ranking1[[#This Row],[Miles Raw]]/$AA$2)*100</f>
        <v>2.6523477246460633E-2</v>
      </c>
      <c r="AC2079" s="178">
        <f>FME_Ranking1[[#This Row],[Miles Score (Normalized, Unweighted)]]*$AA$3</f>
        <v>2.6523477246460634E-3</v>
      </c>
      <c r="AD2079" s="255">
        <f>_xlfn.XLOOKUP(FME_Ranking1[[#This Row],[FME ID]],FME_Input[FME_ID],FME_Input[FARMACRE100])</f>
        <v>57.414852142333977</v>
      </c>
      <c r="AE2079" s="230">
        <f>(FME_Ranking1[[#This Row],[Ag Land Raw]]/$AD$2)*100</f>
        <v>2.367531484552409E-3</v>
      </c>
      <c r="AF2079" s="231">
        <f>FME_Ranking1[[#This Row],[Ag Land Score (Normalized, Unweighted)]]*$AD$3</f>
        <v>1.1837657422762046E-4</v>
      </c>
      <c r="AG207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2.9833039110303905E-3</v>
      </c>
      <c r="AH2079" s="406">
        <f t="shared" si="32"/>
        <v>1907</v>
      </c>
      <c r="AI207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2.9833039110303905E-3</v>
      </c>
      <c r="AJ2079" s="257">
        <f>FME_Ranking1[[#This Row],[Addition check]]-FME_Ranking1[[#This Row],[Weighted Score Based on Normalized Reported Factors]]</f>
        <v>0</v>
      </c>
      <c r="AK2079" s="178">
        <f>_xlfn.RANK.EQ(AI2079,$AI$6:$AI$2341,0)+COUNTIF($AI$6:AI2079,AI2079)-1</f>
        <v>1907</v>
      </c>
    </row>
    <row r="2080" spans="1:37" x14ac:dyDescent="0.25">
      <c r="A2080" t="s">
        <v>6577</v>
      </c>
      <c r="B2080">
        <f>_xlfn.XLOOKUP(FME_Ranking1[[#This Row],[FME ID]],FME_Input[FME_ID],FME_Input[RFPG_NUM])</f>
        <v>7</v>
      </c>
      <c r="C2080" t="str">
        <f>_xlfn.XLOOKUP(FME_Ranking1[[#This Row],[FME ID]],FME_Input[FME_ID],FME_Input[FME_NAME])</f>
        <v>Dawson County GIS Development</v>
      </c>
      <c r="D2080" t="str">
        <f>_xlfn.XLOOKUP(FME_Ranking1[[#This Row],[FME ID]],FME_Input[FME_ID],FME_Input[DESCR])</f>
        <v>Develop a GIS inventory of stormwater infrastructure</v>
      </c>
      <c r="E2080" s="256">
        <f>_xlfn.XLOOKUP(FME_Ranking1[[#This Row],[FME ID]],FME_Input[FME_ID],FME_Input[FME_COST])</f>
        <v>100000</v>
      </c>
      <c r="F2080" t="str">
        <f>_xlfn.XLOOKUP(FME_Ranking1[[#This Row],[FME ID]],FME_Input[FME_ID],FME_Input[EMER_NEED])</f>
        <v>No</v>
      </c>
      <c r="G2080">
        <f>IF(FME_Ranking!F2080="Yes",100,0)</f>
        <v>0</v>
      </c>
      <c r="H2080">
        <f>FME_Ranking1[[#This Row],[Emergency Need Score (Normalized, Unweighted)]]*$F$3</f>
        <v>0</v>
      </c>
      <c r="I2080" s="246">
        <f>_xlfn.XLOOKUP(FME_Ranking1[[#This Row],[FME ID]],FME_Input[FME_ID],FME_Input[STRUCT_100])</f>
        <v>0</v>
      </c>
      <c r="J2080" s="178">
        <f>(FME_Ranking1[[#This Row],[Structures 100 Raw]]/I$2)*100</f>
        <v>0</v>
      </c>
      <c r="K2080" s="178">
        <f>FME_Ranking1[[#This Row],[Structures 100  Score (Normalized, Unweighted)]]*$I$3</f>
        <v>0</v>
      </c>
      <c r="L2080" s="246">
        <f>_xlfn.XLOOKUP(FME_Ranking1[[#This Row],[FME ID]],FME_Input[FME_ID],FME_Input[RES_STRUCT100])</f>
        <v>0</v>
      </c>
      <c r="M2080" s="230">
        <f>(FME_Ranking1[[#This Row],[Res Structures Raw]]/L$2)*100</f>
        <v>0</v>
      </c>
      <c r="N2080" s="180">
        <f>FME_Ranking1[[#This Row],[Res Structures Score (Normalized, Unweighted)]]*$L$3</f>
        <v>0</v>
      </c>
      <c r="O2080" s="244">
        <f>_xlfn.XLOOKUP(FME_Ranking1[[#This Row],[FME ID]],FME_Input[FME_ID],FME_Input[POP100])</f>
        <v>0</v>
      </c>
      <c r="P2080" s="178">
        <f>(FME_Ranking1[[#This Row],[Pop Raw]]/$O$2)*100</f>
        <v>0</v>
      </c>
      <c r="Q2080" s="178">
        <f>FME_Ranking1[[#This Row],[Pop Score (Normalized, Unweighted)]]*$O$3</f>
        <v>0</v>
      </c>
      <c r="R2080" s="137">
        <f>_xlfn.XLOOKUP(FME_Ranking1[[#This Row],[FME ID]],FME_Input[FME_ID],FME_Input[CRITFAC100])</f>
        <v>0</v>
      </c>
      <c r="S2080" s="230">
        <f>(FME_Ranking1[[#This Row],[Critical Facilities Raw]]/$R$2)*100</f>
        <v>0</v>
      </c>
      <c r="T2080" s="180">
        <f>FME_Ranking1[[#This Row],[Critical Facilities Score (Normalized, Unweighted)]]*$R$3</f>
        <v>0</v>
      </c>
      <c r="U2080">
        <f>_xlfn.XLOOKUP(FME_Ranking1[[#This Row],[FME ID]],FME_Input[FME_ID],FME_Input[LWC])</f>
        <v>0</v>
      </c>
      <c r="V2080" s="178">
        <f>(FME_Ranking1[[#This Row],[LWC Raw]]/$U$2)*100</f>
        <v>0</v>
      </c>
      <c r="W2080" s="178">
        <f>FME_Ranking1[[#This Row],[LWC Score (Normalized, Unweighted)]]*$U$3</f>
        <v>0</v>
      </c>
      <c r="X2080" s="246">
        <f>_xlfn.XLOOKUP(FME_Ranking1[[#This Row],[FME ID]],FME_Input[FME_ID],FME_Input[ROADCLS])</f>
        <v>0</v>
      </c>
      <c r="Y2080" s="230">
        <f>(FME_Ranking1[[#This Row],[Closures Raw]]/$X$2)*100</f>
        <v>0</v>
      </c>
      <c r="Z2080" s="180">
        <f>FME_Ranking1[[#This Row],[Closures Score (Normalized, Unweighted)]]*$X$3</f>
        <v>0</v>
      </c>
      <c r="AA2080" s="253">
        <f>_xlfn.XLOOKUP(FME_Ranking1[[#This Row],[FME ID]],FME_Input[FME_ID],FME_Input[ROAD_MILES100])</f>
        <v>2.9531834125518799</v>
      </c>
      <c r="AB2080" s="178">
        <f>(FME_Ranking1[[#This Row],[Miles Raw]]/$AA$2)*100</f>
        <v>3.8829065091943712E-2</v>
      </c>
      <c r="AC2080" s="178">
        <f>FME_Ranking1[[#This Row],[Miles Score (Normalized, Unweighted)]]*$AA$3</f>
        <v>3.8829065091943713E-3</v>
      </c>
      <c r="AD2080" s="255">
        <f>_xlfn.XLOOKUP(FME_Ranking1[[#This Row],[FME ID]],FME_Input[FME_ID],FME_Input[FARMACRE100])</f>
        <v>158.498046875</v>
      </c>
      <c r="AE2080" s="230">
        <f>(FME_Ranking1[[#This Row],[Ag Land Raw]]/$AD$2)*100</f>
        <v>6.5357499360333944E-3</v>
      </c>
      <c r="AF2080" s="231">
        <f>FME_Ranking1[[#This Row],[Ag Land Score (Normalized, Unweighted)]]*$AD$3</f>
        <v>3.2678749680166972E-4</v>
      </c>
      <c r="AG208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4.2096940059960413E-3</v>
      </c>
      <c r="AH2080" s="406">
        <f t="shared" si="32"/>
        <v>1853</v>
      </c>
      <c r="AI208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4.2096940059960413E-3</v>
      </c>
      <c r="AJ2080" s="257">
        <f>FME_Ranking1[[#This Row],[Addition check]]-FME_Ranking1[[#This Row],[Weighted Score Based on Normalized Reported Factors]]</f>
        <v>0</v>
      </c>
      <c r="AK2080" s="178">
        <f>_xlfn.RANK.EQ(AI2080,$AI$6:$AI$2341,0)+COUNTIF($AI$6:AI2080,AI2080)-1</f>
        <v>1853</v>
      </c>
    </row>
    <row r="2081" spans="1:37" x14ac:dyDescent="0.25">
      <c r="A2081" t="s">
        <v>7239</v>
      </c>
      <c r="B2081">
        <f>_xlfn.XLOOKUP(FME_Ranking1[[#This Row],[FME ID]],FME_Input[FME_ID],FME_Input[RFPG_NUM])</f>
        <v>7</v>
      </c>
      <c r="C2081" t="str">
        <f>_xlfn.XLOOKUP(FME_Ranking1[[#This Row],[FME ID]],FME_Input[FME_ID],FME_Input[FME_NAME])</f>
        <v>Dawson County DCM</v>
      </c>
      <c r="D2081" t="str">
        <f>_xlfn.XLOOKUP(FME_Ranking1[[#This Row],[FME ID]],FME_Input[FME_ID],FME_Input[DESCR])</f>
        <v>Consider stormwater criteria for infrastructure and floodplain ordinances to avoid new exposure to flood hazards.</v>
      </c>
      <c r="E2081" s="256">
        <f>_xlfn.XLOOKUP(FME_Ranking1[[#This Row],[FME ID]],FME_Input[FME_ID],FME_Input[FME_COST])</f>
        <v>100000</v>
      </c>
      <c r="F2081" t="str">
        <f>_xlfn.XLOOKUP(FME_Ranking1[[#This Row],[FME ID]],FME_Input[FME_ID],FME_Input[EMER_NEED])</f>
        <v>No</v>
      </c>
      <c r="G2081">
        <f>IF(FME_Ranking!F2081="Yes",100,0)</f>
        <v>0</v>
      </c>
      <c r="H2081">
        <f>FME_Ranking1[[#This Row],[Emergency Need Score (Normalized, Unweighted)]]*$F$3</f>
        <v>0</v>
      </c>
      <c r="I2081" s="246">
        <f>_xlfn.XLOOKUP(FME_Ranking1[[#This Row],[FME ID]],FME_Input[FME_ID],FME_Input[STRUCT_100])</f>
        <v>0</v>
      </c>
      <c r="J2081" s="178">
        <f>(FME_Ranking1[[#This Row],[Structures 100 Raw]]/I$2)*100</f>
        <v>0</v>
      </c>
      <c r="K2081" s="178">
        <f>FME_Ranking1[[#This Row],[Structures 100  Score (Normalized, Unweighted)]]*$I$3</f>
        <v>0</v>
      </c>
      <c r="L2081" s="246">
        <f>_xlfn.XLOOKUP(FME_Ranking1[[#This Row],[FME ID]],FME_Input[FME_ID],FME_Input[RES_STRUCT100])</f>
        <v>0</v>
      </c>
      <c r="M2081" s="230">
        <f>(FME_Ranking1[[#This Row],[Res Structures Raw]]/L$2)*100</f>
        <v>0</v>
      </c>
      <c r="N2081" s="180">
        <f>FME_Ranking1[[#This Row],[Res Structures Score (Normalized, Unweighted)]]*$L$3</f>
        <v>0</v>
      </c>
      <c r="O2081" s="244">
        <f>_xlfn.XLOOKUP(FME_Ranking1[[#This Row],[FME ID]],FME_Input[FME_ID],FME_Input[POP100])</f>
        <v>0</v>
      </c>
      <c r="P2081" s="178">
        <f>(FME_Ranking1[[#This Row],[Pop Raw]]/$O$2)*100</f>
        <v>0</v>
      </c>
      <c r="Q2081" s="178">
        <f>FME_Ranking1[[#This Row],[Pop Score (Normalized, Unweighted)]]*$O$3</f>
        <v>0</v>
      </c>
      <c r="R2081" s="137">
        <f>_xlfn.XLOOKUP(FME_Ranking1[[#This Row],[FME ID]],FME_Input[FME_ID],FME_Input[CRITFAC100])</f>
        <v>0</v>
      </c>
      <c r="S2081" s="230">
        <f>(FME_Ranking1[[#This Row],[Critical Facilities Raw]]/$R$2)*100</f>
        <v>0</v>
      </c>
      <c r="T2081" s="180">
        <f>FME_Ranking1[[#This Row],[Critical Facilities Score (Normalized, Unweighted)]]*$R$3</f>
        <v>0</v>
      </c>
      <c r="U2081">
        <f>_xlfn.XLOOKUP(FME_Ranking1[[#This Row],[FME ID]],FME_Input[FME_ID],FME_Input[LWC])</f>
        <v>0</v>
      </c>
      <c r="V2081" s="178">
        <f>(FME_Ranking1[[#This Row],[LWC Raw]]/$U$2)*100</f>
        <v>0</v>
      </c>
      <c r="W2081" s="178">
        <f>FME_Ranking1[[#This Row],[LWC Score (Normalized, Unweighted)]]*$U$3</f>
        <v>0</v>
      </c>
      <c r="X2081" s="246">
        <f>_xlfn.XLOOKUP(FME_Ranking1[[#This Row],[FME ID]],FME_Input[FME_ID],FME_Input[ROADCLS])</f>
        <v>0</v>
      </c>
      <c r="Y2081" s="230">
        <f>(FME_Ranking1[[#This Row],[Closures Raw]]/$X$2)*100</f>
        <v>0</v>
      </c>
      <c r="Z2081" s="180">
        <f>FME_Ranking1[[#This Row],[Closures Score (Normalized, Unweighted)]]*$X$3</f>
        <v>0</v>
      </c>
      <c r="AA2081" s="253">
        <f>_xlfn.XLOOKUP(FME_Ranking1[[#This Row],[FME ID]],FME_Input[FME_ID],FME_Input[ROAD_MILES100])</f>
        <v>2.9531834125518799</v>
      </c>
      <c r="AB2081" s="178">
        <f>(FME_Ranking1[[#This Row],[Miles Raw]]/$AA$2)*100</f>
        <v>3.8829065091943712E-2</v>
      </c>
      <c r="AC2081" s="178">
        <f>FME_Ranking1[[#This Row],[Miles Score (Normalized, Unweighted)]]*$AA$3</f>
        <v>3.8829065091943713E-3</v>
      </c>
      <c r="AD2081" s="255">
        <f>_xlfn.XLOOKUP(FME_Ranking1[[#This Row],[FME ID]],FME_Input[FME_ID],FME_Input[FARMACRE100])</f>
        <v>158.498046875</v>
      </c>
      <c r="AE2081" s="230">
        <f>(FME_Ranking1[[#This Row],[Ag Land Raw]]/$AD$2)*100</f>
        <v>6.5357499360333944E-3</v>
      </c>
      <c r="AF2081" s="231">
        <f>FME_Ranking1[[#This Row],[Ag Land Score (Normalized, Unweighted)]]*$AD$3</f>
        <v>3.2678749680166972E-4</v>
      </c>
      <c r="AG208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4.2096940059960413E-3</v>
      </c>
      <c r="AH2081" s="406">
        <f t="shared" si="32"/>
        <v>1853</v>
      </c>
      <c r="AI208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4.2096940059960413E-3</v>
      </c>
      <c r="AJ2081" s="257">
        <f>FME_Ranking1[[#This Row],[Addition check]]-FME_Ranking1[[#This Row],[Weighted Score Based on Normalized Reported Factors]]</f>
        <v>0</v>
      </c>
      <c r="AK2081" s="178">
        <f>_xlfn.RANK.EQ(AI2081,$AI$6:$AI$2341,0)+COUNTIF($AI$6:AI2081,AI2081)-1</f>
        <v>1854</v>
      </c>
    </row>
    <row r="2082" spans="1:37" x14ac:dyDescent="0.25">
      <c r="A2082" t="s">
        <v>8451</v>
      </c>
      <c r="B2082">
        <f>_xlfn.XLOOKUP(FME_Ranking1[[#This Row],[FME ID]],FME_Input[FME_ID],FME_Input[RFPG_NUM])</f>
        <v>10</v>
      </c>
      <c r="C2082" t="str">
        <f>_xlfn.XLOOKUP(FME_Ranking1[[#This Row],[FME ID]],FME_Input[FME_ID],FME_Input[FME_NAME])</f>
        <v>La Salle Erosion Control Structure Project Planning</v>
      </c>
      <c r="D2082" t="str">
        <f>_xlfn.XLOOKUP(FME_Ranking1[[#This Row],[FME ID]],FME_Input[FME_ID],FME_Input[DESCR])</f>
        <v>Project planning for project to replace erosion control structure. Develop technical data required for FMP.</v>
      </c>
      <c r="E2082" s="256">
        <f>_xlfn.XLOOKUP(FME_Ranking1[[#This Row],[FME ID]],FME_Input[FME_ID],FME_Input[FME_COST])</f>
        <v>40000</v>
      </c>
      <c r="F2082" t="str">
        <f>_xlfn.XLOOKUP(FME_Ranking1[[#This Row],[FME ID]],FME_Input[FME_ID],FME_Input[EMER_NEED])</f>
        <v>No</v>
      </c>
      <c r="G2082">
        <f>IF(FME_Ranking!F2082="Yes",100,0)</f>
        <v>0</v>
      </c>
      <c r="H2082">
        <f>FME_Ranking1[[#This Row],[Emergency Need Score (Normalized, Unweighted)]]*$F$3</f>
        <v>0</v>
      </c>
      <c r="I2082" s="246">
        <f>_xlfn.XLOOKUP(FME_Ranking1[[#This Row],[FME ID]],FME_Input[FME_ID],FME_Input[STRUCT_100])</f>
        <v>2</v>
      </c>
      <c r="J2082" s="178">
        <f>(FME_Ranking1[[#This Row],[Structures 100 Raw]]/I$2)*100</f>
        <v>1.0709848776935271E-3</v>
      </c>
      <c r="K2082" s="178">
        <f>FME_Ranking1[[#This Row],[Structures 100  Score (Normalized, Unweighted)]]*$I$3</f>
        <v>1.6064773165402907E-4</v>
      </c>
      <c r="L2082" s="246">
        <f>_xlfn.XLOOKUP(FME_Ranking1[[#This Row],[FME ID]],FME_Input[FME_ID],FME_Input[RES_STRUCT100])</f>
        <v>1</v>
      </c>
      <c r="M2082" s="230">
        <f>(FME_Ranking1[[#This Row],[Res Structures Raw]]/L$2)*100</f>
        <v>7.0830559136433825E-4</v>
      </c>
      <c r="N2082" s="180">
        <f>FME_Ranking1[[#This Row],[Res Structures Score (Normalized, Unweighted)]]*$L$3</f>
        <v>7.0830559136433833E-5</v>
      </c>
      <c r="O2082" s="244">
        <f>_xlfn.XLOOKUP(FME_Ranking1[[#This Row],[FME ID]],FME_Input[FME_ID],FME_Input[POP100])</f>
        <v>2</v>
      </c>
      <c r="P2082" s="178">
        <f>(FME_Ranking1[[#This Row],[Pop Raw]]/$O$2)*100</f>
        <v>2.0475062397752657E-4</v>
      </c>
      <c r="Q2082" s="178">
        <f>FME_Ranking1[[#This Row],[Pop Score (Normalized, Unweighted)]]*$O$3</f>
        <v>3.0712593596628984E-5</v>
      </c>
      <c r="R2082" s="137">
        <f>_xlfn.XLOOKUP(FME_Ranking1[[#This Row],[FME ID]],FME_Input[FME_ID],FME_Input[CRITFAC100])</f>
        <v>0</v>
      </c>
      <c r="S2082" s="230">
        <f>(FME_Ranking1[[#This Row],[Critical Facilities Raw]]/$R$2)*100</f>
        <v>0</v>
      </c>
      <c r="T2082" s="180">
        <f>FME_Ranking1[[#This Row],[Critical Facilities Score (Normalized, Unweighted)]]*$R$3</f>
        <v>0</v>
      </c>
      <c r="U2082">
        <f>_xlfn.XLOOKUP(FME_Ranking1[[#This Row],[FME ID]],FME_Input[FME_ID],FME_Input[LWC])</f>
        <v>0</v>
      </c>
      <c r="V2082" s="178">
        <f>(FME_Ranking1[[#This Row],[LWC Raw]]/$U$2)*100</f>
        <v>0</v>
      </c>
      <c r="W2082" s="178">
        <f>FME_Ranking1[[#This Row],[LWC Score (Normalized, Unweighted)]]*$U$3</f>
        <v>0</v>
      </c>
      <c r="X2082" s="246">
        <f>_xlfn.XLOOKUP(FME_Ranking1[[#This Row],[FME ID]],FME_Input[FME_ID],FME_Input[ROADCLS])</f>
        <v>0</v>
      </c>
      <c r="Y2082" s="230">
        <f>(FME_Ranking1[[#This Row],[Closures Raw]]/$X$2)*100</f>
        <v>0</v>
      </c>
      <c r="Z2082" s="180">
        <f>FME_Ranking1[[#This Row],[Closures Score (Normalized, Unweighted)]]*$X$3</f>
        <v>0</v>
      </c>
      <c r="AA2082" s="253">
        <f>_xlfn.XLOOKUP(FME_Ranking1[[#This Row],[FME ID]],FME_Input[FME_ID],FME_Input[ROAD_MILES100])</f>
        <v>9.1390803456306458E-2</v>
      </c>
      <c r="AB2082" s="178">
        <f>(FME_Ranking1[[#This Row],[Miles Raw]]/$AA$2)*100</f>
        <v>1.2016251483491689E-3</v>
      </c>
      <c r="AC2082" s="178">
        <f>FME_Ranking1[[#This Row],[Miles Score (Normalized, Unweighted)]]*$AA$3</f>
        <v>1.2016251483491689E-4</v>
      </c>
      <c r="AD2082" s="255">
        <f>_xlfn.XLOOKUP(FME_Ranking1[[#This Row],[FME ID]],FME_Input[FME_ID],FME_Input[FARMACRE100])</f>
        <v>27.664266586303711</v>
      </c>
      <c r="AE2082" s="230">
        <f>(FME_Ranking1[[#This Row],[Ag Land Raw]]/$AD$2)*100</f>
        <v>1.1407505148277256E-3</v>
      </c>
      <c r="AF2082" s="231">
        <f>FME_Ranking1[[#This Row],[Ag Land Score (Normalized, Unweighted)]]*$AD$3</f>
        <v>5.7037525741386288E-5</v>
      </c>
      <c r="AG208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4.3939092496339505E-4</v>
      </c>
      <c r="AH2082" s="406">
        <f t="shared" si="32"/>
        <v>2101</v>
      </c>
      <c r="AI208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4.3939092496339505E-4</v>
      </c>
      <c r="AJ2082" s="257">
        <f>FME_Ranking1[[#This Row],[Addition check]]-FME_Ranking1[[#This Row],[Weighted Score Based on Normalized Reported Factors]]</f>
        <v>0</v>
      </c>
      <c r="AK2082" s="178">
        <f>_xlfn.RANK.EQ(AI2082,$AI$6:$AI$2341,0)+COUNTIF($AI$6:AI2082,AI2082)-1</f>
        <v>2101</v>
      </c>
    </row>
    <row r="2083" spans="1:37" x14ac:dyDescent="0.25">
      <c r="A2083" t="s">
        <v>222</v>
      </c>
      <c r="B2083">
        <f>_xlfn.XLOOKUP(FME_Ranking1[[#This Row],[FME ID]],FME_Input[FME_ID],FME_Input[RFPG_NUM])</f>
        <v>10</v>
      </c>
      <c r="C2083" t="str">
        <f>_xlfn.XLOOKUP(FME_Ranking1[[#This Row],[FME ID]],FME_Input[FME_ID],FME_Input[FME_NAME])</f>
        <v>Wastewater Treatment Plant Flood Study</v>
      </c>
      <c r="D2083" t="str">
        <f>_xlfn.XLOOKUP(FME_Ranking1[[#This Row],[FME ID]],FME_Input[FME_ID],FME_Input[DESCR])</f>
        <v xml:space="preserve">Flood-prone problem area in need of flood study, indentified on sponsor outreach call. Area also in need of a generator  </v>
      </c>
      <c r="E2083" s="256">
        <f>_xlfn.XLOOKUP(FME_Ranking1[[#This Row],[FME ID]],FME_Input[FME_ID],FME_Input[FME_COST])</f>
        <v>150000</v>
      </c>
      <c r="F2083" t="str">
        <f>_xlfn.XLOOKUP(FME_Ranking1[[#This Row],[FME ID]],FME_Input[FME_ID],FME_Input[EMER_NEED])</f>
        <v>No</v>
      </c>
      <c r="G2083">
        <f>IF(FME_Ranking!F2083="Yes",100,0)</f>
        <v>0</v>
      </c>
      <c r="H2083">
        <f>FME_Ranking1[[#This Row],[Emergency Need Score (Normalized, Unweighted)]]*$F$3</f>
        <v>0</v>
      </c>
      <c r="I2083" s="246">
        <f>_xlfn.XLOOKUP(FME_Ranking1[[#This Row],[FME ID]],FME_Input[FME_ID],FME_Input[STRUCT_100])</f>
        <v>3</v>
      </c>
      <c r="J2083" s="178">
        <f>(FME_Ranking1[[#This Row],[Structures 100 Raw]]/I$2)*100</f>
        <v>1.6064773165402903E-3</v>
      </c>
      <c r="K2083" s="178">
        <f>FME_Ranking1[[#This Row],[Structures 100  Score (Normalized, Unweighted)]]*$I$3</f>
        <v>2.4097159748104354E-4</v>
      </c>
      <c r="L2083" s="246">
        <f>_xlfn.XLOOKUP(FME_Ranking1[[#This Row],[FME ID]],FME_Input[FME_ID],FME_Input[RES_STRUCT100])</f>
        <v>0</v>
      </c>
      <c r="M2083" s="230">
        <f>(FME_Ranking1[[#This Row],[Res Structures Raw]]/L$2)*100</f>
        <v>0</v>
      </c>
      <c r="N2083" s="180">
        <f>FME_Ranking1[[#This Row],[Res Structures Score (Normalized, Unweighted)]]*$L$3</f>
        <v>0</v>
      </c>
      <c r="O2083" s="244">
        <f>_xlfn.XLOOKUP(FME_Ranking1[[#This Row],[FME ID]],FME_Input[FME_ID],FME_Input[POP100])</f>
        <v>3</v>
      </c>
      <c r="P2083" s="178">
        <f>(FME_Ranking1[[#This Row],[Pop Raw]]/$O$2)*100</f>
        <v>3.0712593596628988E-4</v>
      </c>
      <c r="Q2083" s="178">
        <f>FME_Ranking1[[#This Row],[Pop Score (Normalized, Unweighted)]]*$O$3</f>
        <v>4.6068890394943479E-5</v>
      </c>
      <c r="R2083" s="137">
        <f>_xlfn.XLOOKUP(FME_Ranking1[[#This Row],[FME ID]],FME_Input[FME_ID],FME_Input[CRITFAC100])</f>
        <v>0</v>
      </c>
      <c r="S2083" s="230">
        <f>(FME_Ranking1[[#This Row],[Critical Facilities Raw]]/$R$2)*100</f>
        <v>0</v>
      </c>
      <c r="T2083" s="180">
        <f>FME_Ranking1[[#This Row],[Critical Facilities Score (Normalized, Unweighted)]]*$R$3</f>
        <v>0</v>
      </c>
      <c r="U2083">
        <f>_xlfn.XLOOKUP(FME_Ranking1[[#This Row],[FME ID]],FME_Input[FME_ID],FME_Input[LWC])</f>
        <v>0</v>
      </c>
      <c r="V2083" s="178">
        <f>(FME_Ranking1[[#This Row],[LWC Raw]]/$U$2)*100</f>
        <v>0</v>
      </c>
      <c r="W2083" s="178">
        <f>FME_Ranking1[[#This Row],[LWC Score (Normalized, Unweighted)]]*$U$3</f>
        <v>0</v>
      </c>
      <c r="X2083" s="246">
        <f>_xlfn.XLOOKUP(FME_Ranking1[[#This Row],[FME ID]],FME_Input[FME_ID],FME_Input[ROADCLS])</f>
        <v>0</v>
      </c>
      <c r="Y2083" s="230">
        <f>(FME_Ranking1[[#This Row],[Closures Raw]]/$X$2)*100</f>
        <v>0</v>
      </c>
      <c r="Z2083" s="180">
        <f>FME_Ranking1[[#This Row],[Closures Score (Normalized, Unweighted)]]*$X$3</f>
        <v>0</v>
      </c>
      <c r="AA2083" s="253">
        <f>_xlfn.XLOOKUP(FME_Ranking1[[#This Row],[FME ID]],FME_Input[FME_ID],FME_Input[ROAD_MILES100])</f>
        <v>0.15353548526763919</v>
      </c>
      <c r="AB2083" s="178">
        <f>(FME_Ranking1[[#This Row],[Miles Raw]]/$AA$2)*100</f>
        <v>2.0187162524486772E-3</v>
      </c>
      <c r="AC2083" s="178">
        <f>FME_Ranking1[[#This Row],[Miles Score (Normalized, Unweighted)]]*$AA$3</f>
        <v>2.0187162524486774E-4</v>
      </c>
      <c r="AD2083" s="255">
        <f>_xlfn.XLOOKUP(FME_Ranking1[[#This Row],[FME ID]],FME_Input[FME_ID],FME_Input[FARMACRE100])</f>
        <v>11.988968849182131</v>
      </c>
      <c r="AE2083" s="230">
        <f>(FME_Ranking1[[#This Row],[Ag Land Raw]]/$AD$2)*100</f>
        <v>4.9437140667698502E-4</v>
      </c>
      <c r="AF2083" s="231">
        <f>FME_Ranking1[[#This Row],[Ag Land Score (Normalized, Unweighted)]]*$AD$3</f>
        <v>2.4718570333849253E-5</v>
      </c>
      <c r="AG208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5.1363068345470402E-4</v>
      </c>
      <c r="AH2083" s="406">
        <f t="shared" si="32"/>
        <v>2098</v>
      </c>
      <c r="AI208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5.1363068345470402E-4</v>
      </c>
      <c r="AJ2083" s="257">
        <f>FME_Ranking1[[#This Row],[Addition check]]-FME_Ranking1[[#This Row],[Weighted Score Based on Normalized Reported Factors]]</f>
        <v>0</v>
      </c>
      <c r="AK2083" s="178">
        <f>_xlfn.RANK.EQ(AI2083,$AI$6:$AI$2341,0)+COUNTIF($AI$6:AI2083,AI2083)-1</f>
        <v>2098</v>
      </c>
    </row>
    <row r="2084" spans="1:37" x14ac:dyDescent="0.25">
      <c r="A2084" t="s">
        <v>6061</v>
      </c>
      <c r="B2084">
        <f>_xlfn.XLOOKUP(FME_Ranking1[[#This Row],[FME ID]],FME_Input[FME_ID],FME_Input[RFPG_NUM])</f>
        <v>5</v>
      </c>
      <c r="C2084" t="str">
        <f>_xlfn.XLOOKUP(FME_Ranking1[[#This Row],[FME ID]],FME_Input[FME_ID],FME_Input[FME_NAME])</f>
        <v>City of Moore Station Flood-prone Roadway and Infrastructure Evaluation</v>
      </c>
      <c r="D2084" t="str">
        <f>_xlfn.XLOOKUP(FME_Ranking1[[#This Row],[FME ID]],FME_Input[FME_ID],FME_Input[DESCR])</f>
        <v>Locate roadways and properties prone to flooding due to heavy rainfall</v>
      </c>
      <c r="E2084" s="256">
        <f>_xlfn.XLOOKUP(FME_Ranking1[[#This Row],[FME ID]],FME_Input[FME_ID],FME_Input[FME_COST])</f>
        <v>25000</v>
      </c>
      <c r="F2084" t="str">
        <f>_xlfn.XLOOKUP(FME_Ranking1[[#This Row],[FME ID]],FME_Input[FME_ID],FME_Input[EMER_NEED])</f>
        <v>No</v>
      </c>
      <c r="G2084">
        <f>IF(FME_Ranking!F2084="Yes",100,0)</f>
        <v>0</v>
      </c>
      <c r="H2084">
        <f>FME_Ranking1[[#This Row],[Emergency Need Score (Normalized, Unweighted)]]*$F$3</f>
        <v>0</v>
      </c>
      <c r="I2084" s="246">
        <f>_xlfn.XLOOKUP(FME_Ranking1[[#This Row],[FME ID]],FME_Input[FME_ID],FME_Input[STRUCT_100])</f>
        <v>2</v>
      </c>
      <c r="J2084" s="178">
        <f>(FME_Ranking1[[#This Row],[Structures 100 Raw]]/I$2)*100</f>
        <v>1.0709848776935271E-3</v>
      </c>
      <c r="K2084" s="178">
        <f>FME_Ranking1[[#This Row],[Structures 100  Score (Normalized, Unweighted)]]*$I$3</f>
        <v>1.6064773165402907E-4</v>
      </c>
      <c r="L2084" s="246">
        <f>_xlfn.XLOOKUP(FME_Ranking1[[#This Row],[FME ID]],FME_Input[FME_ID],FME_Input[RES_STRUCT100])</f>
        <v>1</v>
      </c>
      <c r="M2084" s="230">
        <f>(FME_Ranking1[[#This Row],[Res Structures Raw]]/L$2)*100</f>
        <v>7.0830559136433825E-4</v>
      </c>
      <c r="N2084" s="180">
        <f>FME_Ranking1[[#This Row],[Res Structures Score (Normalized, Unweighted)]]*$L$3</f>
        <v>7.0830559136433833E-5</v>
      </c>
      <c r="O2084" s="244">
        <f>_xlfn.XLOOKUP(FME_Ranking1[[#This Row],[FME ID]],FME_Input[FME_ID],FME_Input[POP100])</f>
        <v>5</v>
      </c>
      <c r="P2084" s="178">
        <f>(FME_Ranking1[[#This Row],[Pop Raw]]/$O$2)*100</f>
        <v>5.1187655994381644E-4</v>
      </c>
      <c r="Q2084" s="178">
        <f>FME_Ranking1[[#This Row],[Pop Score (Normalized, Unweighted)]]*$O$3</f>
        <v>7.6781483991572469E-5</v>
      </c>
      <c r="R2084" s="137">
        <f>_xlfn.XLOOKUP(FME_Ranking1[[#This Row],[FME ID]],FME_Input[FME_ID],FME_Input[CRITFAC100])</f>
        <v>0</v>
      </c>
      <c r="S2084" s="230">
        <f>(FME_Ranking1[[#This Row],[Critical Facilities Raw]]/$R$2)*100</f>
        <v>0</v>
      </c>
      <c r="T2084" s="180">
        <f>FME_Ranking1[[#This Row],[Critical Facilities Score (Normalized, Unweighted)]]*$R$3</f>
        <v>0</v>
      </c>
      <c r="U2084">
        <f>_xlfn.XLOOKUP(FME_Ranking1[[#This Row],[FME ID]],FME_Input[FME_ID],FME_Input[LWC])</f>
        <v>0</v>
      </c>
      <c r="V2084" s="178">
        <f>(FME_Ranking1[[#This Row],[LWC Raw]]/$U$2)*100</f>
        <v>0</v>
      </c>
      <c r="W2084" s="178">
        <f>FME_Ranking1[[#This Row],[LWC Score (Normalized, Unweighted)]]*$U$3</f>
        <v>0</v>
      </c>
      <c r="X2084" s="246">
        <f>_xlfn.XLOOKUP(FME_Ranking1[[#This Row],[FME ID]],FME_Input[FME_ID],FME_Input[ROADCLS])</f>
        <v>0</v>
      </c>
      <c r="Y2084" s="230">
        <f>(FME_Ranking1[[#This Row],[Closures Raw]]/$X$2)*100</f>
        <v>0</v>
      </c>
      <c r="Z2084" s="180">
        <f>FME_Ranking1[[#This Row],[Closures Score (Normalized, Unweighted)]]*$X$3</f>
        <v>0</v>
      </c>
      <c r="AA2084" s="253">
        <f>_xlfn.XLOOKUP(FME_Ranking1[[#This Row],[FME ID]],FME_Input[FME_ID],FME_Input[ROAD_MILES100])</f>
        <v>0.2185332179069519</v>
      </c>
      <c r="AB2084" s="178">
        <f>(FME_Ranking1[[#This Row],[Miles Raw]]/$AA$2)*100</f>
        <v>2.8733198577492306E-3</v>
      </c>
      <c r="AC2084" s="178">
        <f>FME_Ranking1[[#This Row],[Miles Score (Normalized, Unweighted)]]*$AA$3</f>
        <v>2.8733198577492305E-4</v>
      </c>
      <c r="AD2084" s="255">
        <f>_xlfn.XLOOKUP(FME_Ranking1[[#This Row],[FME ID]],FME_Input[FME_ID],FME_Input[FARMACRE100])</f>
        <v>8.4056183695793152E-2</v>
      </c>
      <c r="AE2084" s="230">
        <f>(FME_Ranking1[[#This Row],[Ag Land Raw]]/$AD$2)*100</f>
        <v>3.4661007377980746E-6</v>
      </c>
      <c r="AF2084" s="231">
        <f>FME_Ranking1[[#This Row],[Ag Land Score (Normalized, Unweighted)]]*$AD$3</f>
        <v>1.7330503688990375E-7</v>
      </c>
      <c r="AG208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5.9576506559384833E-4</v>
      </c>
      <c r="AH2084" s="406">
        <f t="shared" si="32"/>
        <v>2071</v>
      </c>
      <c r="AI208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5.9576506559384833E-4</v>
      </c>
      <c r="AJ2084" s="257">
        <f>FME_Ranking1[[#This Row],[Addition check]]-FME_Ranking1[[#This Row],[Weighted Score Based on Normalized Reported Factors]]</f>
        <v>0</v>
      </c>
      <c r="AK2084" s="178">
        <f>_xlfn.RANK.EQ(AI2084,$AI$6:$AI$2341,0)+COUNTIF($AI$6:AI2084,AI2084)-1</f>
        <v>2071</v>
      </c>
    </row>
    <row r="2085" spans="1:37" x14ac:dyDescent="0.25">
      <c r="A2085" t="s">
        <v>6329</v>
      </c>
      <c r="B2085">
        <f>_xlfn.XLOOKUP(FME_Ranking1[[#This Row],[FME ID]],FME_Input[FME_ID],FME_Input[RFPG_NUM])</f>
        <v>5</v>
      </c>
      <c r="C2085" t="str">
        <f>_xlfn.XLOOKUP(FME_Ranking1[[#This Row],[FME ID]],FME_Input[FME_ID],FME_Input[FME_NAME])</f>
        <v>W. Port Arthur Road Upgrade Pumping Equipment</v>
      </c>
      <c r="D2085" t="str">
        <f>_xlfn.XLOOKUP(FME_Ranking1[[#This Row],[FME ID]],FME_Input[FME_ID],FME_Input[DESCR])</f>
        <v xml:space="preserve">H&amp;H study to size pump upgrades and improve existing level of service. </v>
      </c>
      <c r="E2085" s="256">
        <f>_xlfn.XLOOKUP(FME_Ranking1[[#This Row],[FME ID]],FME_Input[FME_ID],FME_Input[FME_COST])</f>
        <v>100000</v>
      </c>
      <c r="F2085" t="str">
        <f>_xlfn.XLOOKUP(FME_Ranking1[[#This Row],[FME ID]],FME_Input[FME_ID],FME_Input[EMER_NEED])</f>
        <v>Yes</v>
      </c>
      <c r="G2085">
        <f>IF(FME_Ranking!F2085="Yes",100,0)</f>
        <v>100</v>
      </c>
      <c r="H2085">
        <f>FME_Ranking1[[#This Row],[Emergency Need Score (Normalized, Unweighted)]]*$F$3</f>
        <v>0</v>
      </c>
      <c r="I2085" s="246">
        <f>_xlfn.XLOOKUP(FME_Ranking1[[#This Row],[FME ID]],FME_Input[FME_ID],FME_Input[STRUCT_100])</f>
        <v>3</v>
      </c>
      <c r="J2085" s="178">
        <f>(FME_Ranking1[[#This Row],[Structures 100 Raw]]/I$2)*100</f>
        <v>1.6064773165402903E-3</v>
      </c>
      <c r="K2085" s="178">
        <f>FME_Ranking1[[#This Row],[Structures 100  Score (Normalized, Unweighted)]]*$I$3</f>
        <v>2.4097159748104354E-4</v>
      </c>
      <c r="L2085" s="246">
        <f>_xlfn.XLOOKUP(FME_Ranking1[[#This Row],[FME ID]],FME_Input[FME_ID],FME_Input[RES_STRUCT100])</f>
        <v>0</v>
      </c>
      <c r="M2085" s="230">
        <f>(FME_Ranking1[[#This Row],[Res Structures Raw]]/L$2)*100</f>
        <v>0</v>
      </c>
      <c r="N2085" s="180">
        <f>FME_Ranking1[[#This Row],[Res Structures Score (Normalized, Unweighted)]]*$L$3</f>
        <v>0</v>
      </c>
      <c r="O2085" s="244">
        <f>_xlfn.XLOOKUP(FME_Ranking1[[#This Row],[FME ID]],FME_Input[FME_ID],FME_Input[POP100])</f>
        <v>4</v>
      </c>
      <c r="P2085" s="178">
        <f>(FME_Ranking1[[#This Row],[Pop Raw]]/$O$2)*100</f>
        <v>4.0950124795505313E-4</v>
      </c>
      <c r="Q2085" s="178">
        <f>FME_Ranking1[[#This Row],[Pop Score (Normalized, Unweighted)]]*$O$3</f>
        <v>6.1425187193257967E-5</v>
      </c>
      <c r="R2085" s="137">
        <f>_xlfn.XLOOKUP(FME_Ranking1[[#This Row],[FME ID]],FME_Input[FME_ID],FME_Input[CRITFAC100])</f>
        <v>0</v>
      </c>
      <c r="S2085" s="230">
        <f>(FME_Ranking1[[#This Row],[Critical Facilities Raw]]/$R$2)*100</f>
        <v>0</v>
      </c>
      <c r="T2085" s="180">
        <f>FME_Ranking1[[#This Row],[Critical Facilities Score (Normalized, Unweighted)]]*$R$3</f>
        <v>0</v>
      </c>
      <c r="U2085">
        <f>_xlfn.XLOOKUP(FME_Ranking1[[#This Row],[FME ID]],FME_Input[FME_ID],FME_Input[LWC])</f>
        <v>0</v>
      </c>
      <c r="V2085" s="178">
        <f>(FME_Ranking1[[#This Row],[LWC Raw]]/$U$2)*100</f>
        <v>0</v>
      </c>
      <c r="W2085" s="178">
        <f>FME_Ranking1[[#This Row],[LWC Score (Normalized, Unweighted)]]*$U$3</f>
        <v>0</v>
      </c>
      <c r="X2085" s="246">
        <f>_xlfn.XLOOKUP(FME_Ranking1[[#This Row],[FME ID]],FME_Input[FME_ID],FME_Input[ROADCLS])</f>
        <v>0</v>
      </c>
      <c r="Y2085" s="230">
        <f>(FME_Ranking1[[#This Row],[Closures Raw]]/$X$2)*100</f>
        <v>0</v>
      </c>
      <c r="Z2085" s="180">
        <f>FME_Ranking1[[#This Row],[Closures Score (Normalized, Unweighted)]]*$X$3</f>
        <v>0</v>
      </c>
      <c r="AA2085" s="253">
        <f>_xlfn.XLOOKUP(FME_Ranking1[[#This Row],[FME ID]],FME_Input[FME_ID],FME_Input[ROAD_MILES100])</f>
        <v>0</v>
      </c>
      <c r="AB2085" s="178">
        <f>(FME_Ranking1[[#This Row],[Miles Raw]]/$AA$2)*100</f>
        <v>0</v>
      </c>
      <c r="AC2085" s="178">
        <f>FME_Ranking1[[#This Row],[Miles Score (Normalized, Unweighted)]]*$AA$3</f>
        <v>0</v>
      </c>
      <c r="AD2085" s="255">
        <f>_xlfn.XLOOKUP(FME_Ranking1[[#This Row],[FME ID]],FME_Input[FME_ID],FME_Input[FARMACRE100])</f>
        <v>0</v>
      </c>
      <c r="AE2085" s="230">
        <f>(FME_Ranking1[[#This Row],[Ag Land Raw]]/$AD$2)*100</f>
        <v>0</v>
      </c>
      <c r="AF2085" s="231">
        <f>FME_Ranking1[[#This Row],[Ag Land Score (Normalized, Unweighted)]]*$AD$3</f>
        <v>0</v>
      </c>
      <c r="AG208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3.0239678467430152E-4</v>
      </c>
      <c r="AH2085" s="406">
        <f t="shared" si="32"/>
        <v>2113</v>
      </c>
      <c r="AI208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3.0239678467430152E-4</v>
      </c>
      <c r="AJ2085" s="257">
        <f>FME_Ranking1[[#This Row],[Addition check]]-FME_Ranking1[[#This Row],[Weighted Score Based on Normalized Reported Factors]]</f>
        <v>0</v>
      </c>
      <c r="AK2085" s="178">
        <f>_xlfn.RANK.EQ(AI2085,$AI$6:$AI$2341,0)+COUNTIF($AI$6:AI2085,AI2085)-1</f>
        <v>2113</v>
      </c>
    </row>
    <row r="2086" spans="1:37" x14ac:dyDescent="0.25">
      <c r="A2086" t="s">
        <v>57</v>
      </c>
      <c r="B2086">
        <f>_xlfn.XLOOKUP(FME_Ranking1[[#This Row],[FME ID]],FME_Input[FME_ID],FME_Input[RFPG_NUM])</f>
        <v>10</v>
      </c>
      <c r="C2086" t="str">
        <f>_xlfn.XLOOKUP(FME_Ranking1[[#This Row],[FME ID]],FME_Input[FME_ID],FME_Input[FME_NAME])</f>
        <v>Shiloh Road Bridge West of State HWY 304</v>
      </c>
      <c r="D2086" t="str">
        <f>_xlfn.XLOOKUP(FME_Ranking1[[#This Row],[FME ID]],FME_Input[FME_ID],FME_Input[DESCR])</f>
        <v>Upgrade flow capacity</v>
      </c>
      <c r="E2086" s="256">
        <f>_xlfn.XLOOKUP(FME_Ranking1[[#This Row],[FME ID]],FME_Input[FME_ID],FME_Input[FME_COST])</f>
        <v>100000</v>
      </c>
      <c r="F2086" t="str">
        <f>_xlfn.XLOOKUP(FME_Ranking1[[#This Row],[FME ID]],FME_Input[FME_ID],FME_Input[EMER_NEED])</f>
        <v>No</v>
      </c>
      <c r="G2086">
        <f>IF(FME_Ranking!F2086="Yes",100,0)</f>
        <v>0</v>
      </c>
      <c r="H2086">
        <f>FME_Ranking1[[#This Row],[Emergency Need Score (Normalized, Unweighted)]]*$F$3</f>
        <v>0</v>
      </c>
      <c r="I2086" s="246">
        <f>_xlfn.XLOOKUP(FME_Ranking1[[#This Row],[FME ID]],FME_Input[FME_ID],FME_Input[STRUCT_100])</f>
        <v>1</v>
      </c>
      <c r="J2086" s="178">
        <f>(FME_Ranking1[[#This Row],[Structures 100 Raw]]/I$2)*100</f>
        <v>5.3549243884676355E-4</v>
      </c>
      <c r="K2086" s="178">
        <f>FME_Ranking1[[#This Row],[Structures 100  Score (Normalized, Unweighted)]]*$I$3</f>
        <v>8.0323865827014533E-5</v>
      </c>
      <c r="L2086" s="246">
        <f>_xlfn.XLOOKUP(FME_Ranking1[[#This Row],[FME ID]],FME_Input[FME_ID],FME_Input[RES_STRUCT100])</f>
        <v>1</v>
      </c>
      <c r="M2086" s="230">
        <f>(FME_Ranking1[[#This Row],[Res Structures Raw]]/L$2)*100</f>
        <v>7.0830559136433825E-4</v>
      </c>
      <c r="N2086" s="180">
        <f>FME_Ranking1[[#This Row],[Res Structures Score (Normalized, Unweighted)]]*$L$3</f>
        <v>7.0830559136433833E-5</v>
      </c>
      <c r="O2086" s="244">
        <f>_xlfn.XLOOKUP(FME_Ranking1[[#This Row],[FME ID]],FME_Input[FME_ID],FME_Input[POP100])</f>
        <v>2</v>
      </c>
      <c r="P2086" s="178">
        <f>(FME_Ranking1[[#This Row],[Pop Raw]]/$O$2)*100</f>
        <v>2.0475062397752657E-4</v>
      </c>
      <c r="Q2086" s="178">
        <f>FME_Ranking1[[#This Row],[Pop Score (Normalized, Unweighted)]]*$O$3</f>
        <v>3.0712593596628984E-5</v>
      </c>
      <c r="R2086" s="137">
        <f>_xlfn.XLOOKUP(FME_Ranking1[[#This Row],[FME ID]],FME_Input[FME_ID],FME_Input[CRITFAC100])</f>
        <v>0</v>
      </c>
      <c r="S2086" s="230">
        <f>(FME_Ranking1[[#This Row],[Critical Facilities Raw]]/$R$2)*100</f>
        <v>0</v>
      </c>
      <c r="T2086" s="180">
        <f>FME_Ranking1[[#This Row],[Critical Facilities Score (Normalized, Unweighted)]]*$R$3</f>
        <v>0</v>
      </c>
      <c r="U2086">
        <f>_xlfn.XLOOKUP(FME_Ranking1[[#This Row],[FME ID]],FME_Input[FME_ID],FME_Input[LWC])</f>
        <v>0</v>
      </c>
      <c r="V2086" s="178">
        <f>(FME_Ranking1[[#This Row],[LWC Raw]]/$U$2)*100</f>
        <v>0</v>
      </c>
      <c r="W2086" s="178">
        <f>FME_Ranking1[[#This Row],[LWC Score (Normalized, Unweighted)]]*$U$3</f>
        <v>0</v>
      </c>
      <c r="X2086" s="246">
        <f>_xlfn.XLOOKUP(FME_Ranking1[[#This Row],[FME ID]],FME_Input[FME_ID],FME_Input[ROADCLS])</f>
        <v>0</v>
      </c>
      <c r="Y2086" s="230">
        <f>(FME_Ranking1[[#This Row],[Closures Raw]]/$X$2)*100</f>
        <v>0</v>
      </c>
      <c r="Z2086" s="180">
        <f>FME_Ranking1[[#This Row],[Closures Score (Normalized, Unweighted)]]*$X$3</f>
        <v>0</v>
      </c>
      <c r="AA2086" s="253">
        <f>_xlfn.XLOOKUP(FME_Ranking1[[#This Row],[FME ID]],FME_Input[FME_ID],FME_Input[ROAD_MILES100])</f>
        <v>0.14571325480937961</v>
      </c>
      <c r="AB2086" s="178">
        <f>(FME_Ranking1[[#This Row],[Miles Raw]]/$AA$2)*100</f>
        <v>1.9158679517515358E-3</v>
      </c>
      <c r="AC2086" s="178">
        <f>FME_Ranking1[[#This Row],[Miles Score (Normalized, Unweighted)]]*$AA$3</f>
        <v>1.9158679517515358E-4</v>
      </c>
      <c r="AD2086" s="255">
        <f>_xlfn.XLOOKUP(FME_Ranking1[[#This Row],[FME ID]],FME_Input[FME_ID],FME_Input[FARMACRE100])</f>
        <v>56.038875579833977</v>
      </c>
      <c r="AE2086" s="230">
        <f>(FME_Ranking1[[#This Row],[Ag Land Raw]]/$AD$2)*100</f>
        <v>2.3107923706790676E-3</v>
      </c>
      <c r="AF2086" s="231">
        <f>FME_Ranking1[[#This Row],[Ag Land Score (Normalized, Unweighted)]]*$AD$3</f>
        <v>1.1553961853395339E-4</v>
      </c>
      <c r="AG208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4.8899343226918427E-4</v>
      </c>
      <c r="AH2086" s="406">
        <f t="shared" si="32"/>
        <v>2099</v>
      </c>
      <c r="AI208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4.8899343226918427E-4</v>
      </c>
      <c r="AJ2086" s="257">
        <f>FME_Ranking1[[#This Row],[Addition check]]-FME_Ranking1[[#This Row],[Weighted Score Based on Normalized Reported Factors]]</f>
        <v>0</v>
      </c>
      <c r="AK2086" s="178">
        <f>_xlfn.RANK.EQ(AI2086,$AI$6:$AI$2341,0)+COUNTIF($AI$6:AI2086,AI2086)-1</f>
        <v>2099</v>
      </c>
    </row>
    <row r="2087" spans="1:37" x14ac:dyDescent="0.25">
      <c r="A2087" t="s">
        <v>8740</v>
      </c>
      <c r="B2087">
        <f>_xlfn.XLOOKUP(FME_Ranking1[[#This Row],[FME ID]],FME_Input[FME_ID],FME_Input[RFPG_NUM])</f>
        <v>11</v>
      </c>
      <c r="C2087" t="str">
        <f>_xlfn.XLOOKUP(FME_Ranking1[[#This Row],[FME ID]],FME_Input[FME_ID],FME_Input[FME_NAME])</f>
        <v>City of New Braunfels Faust St / Nacogdoches Ave Improvements Project Planning</v>
      </c>
      <c r="D2087" t="str">
        <f>_xlfn.XLOOKUP(FME_Ranking1[[#This Row],[FME ID]],FME_Input[FME_ID],FME_Input[DESCR])</f>
        <v>Study to analyze drainage conveyance and flooding issues within the Faust Street and Nacogdoches Avenue area and project planning for solutions within project area.</v>
      </c>
      <c r="E2087" s="256">
        <f>_xlfn.XLOOKUP(FME_Ranking1[[#This Row],[FME ID]],FME_Input[FME_ID],FME_Input[FME_COST])</f>
        <v>1102000</v>
      </c>
      <c r="F2087" t="str">
        <f>_xlfn.XLOOKUP(FME_Ranking1[[#This Row],[FME ID]],FME_Input[FME_ID],FME_Input[EMER_NEED])</f>
        <v>No</v>
      </c>
      <c r="G2087">
        <f>IF(FME_Ranking!F2087="Yes",100,0)</f>
        <v>0</v>
      </c>
      <c r="H2087">
        <f>FME_Ranking1[[#This Row],[Emergency Need Score (Normalized, Unweighted)]]*$F$3</f>
        <v>0</v>
      </c>
      <c r="I2087" s="246">
        <f>_xlfn.XLOOKUP(FME_Ranking1[[#This Row],[FME ID]],FME_Input[FME_ID],FME_Input[STRUCT_100])</f>
        <v>2</v>
      </c>
      <c r="J2087" s="178">
        <f>(FME_Ranking1[[#This Row],[Structures 100 Raw]]/I$2)*100</f>
        <v>1.0709848776935271E-3</v>
      </c>
      <c r="K2087" s="178">
        <f>FME_Ranking1[[#This Row],[Structures 100  Score (Normalized, Unweighted)]]*$I$3</f>
        <v>1.6064773165402907E-4</v>
      </c>
      <c r="L2087" s="246">
        <f>_xlfn.XLOOKUP(FME_Ranking1[[#This Row],[FME ID]],FME_Input[FME_ID],FME_Input[RES_STRUCT100])</f>
        <v>0</v>
      </c>
      <c r="M2087" s="230">
        <f>(FME_Ranking1[[#This Row],[Res Structures Raw]]/L$2)*100</f>
        <v>0</v>
      </c>
      <c r="N2087" s="180">
        <f>FME_Ranking1[[#This Row],[Res Structures Score (Normalized, Unweighted)]]*$L$3</f>
        <v>0</v>
      </c>
      <c r="O2087" s="244">
        <f>_xlfn.XLOOKUP(FME_Ranking1[[#This Row],[FME ID]],FME_Input[FME_ID],FME_Input[POP100])</f>
        <v>8</v>
      </c>
      <c r="P2087" s="178">
        <f>(FME_Ranking1[[#This Row],[Pop Raw]]/$O$2)*100</f>
        <v>8.1900249591010626E-4</v>
      </c>
      <c r="Q2087" s="178">
        <f>FME_Ranking1[[#This Row],[Pop Score (Normalized, Unweighted)]]*$O$3</f>
        <v>1.2285037438651593E-4</v>
      </c>
      <c r="R2087" s="137">
        <f>_xlfn.XLOOKUP(FME_Ranking1[[#This Row],[FME ID]],FME_Input[FME_ID],FME_Input[CRITFAC100])</f>
        <v>0</v>
      </c>
      <c r="S2087" s="230">
        <f>(FME_Ranking1[[#This Row],[Critical Facilities Raw]]/$R$2)*100</f>
        <v>0</v>
      </c>
      <c r="T2087" s="180">
        <f>FME_Ranking1[[#This Row],[Critical Facilities Score (Normalized, Unweighted)]]*$R$3</f>
        <v>0</v>
      </c>
      <c r="U2087">
        <f>_xlfn.XLOOKUP(FME_Ranking1[[#This Row],[FME ID]],FME_Input[FME_ID],FME_Input[LWC])</f>
        <v>0</v>
      </c>
      <c r="V2087" s="178">
        <f>(FME_Ranking1[[#This Row],[LWC Raw]]/$U$2)*100</f>
        <v>0</v>
      </c>
      <c r="W2087" s="178">
        <f>FME_Ranking1[[#This Row],[LWC Score (Normalized, Unweighted)]]*$U$3</f>
        <v>0</v>
      </c>
      <c r="X2087" s="246">
        <f>_xlfn.XLOOKUP(FME_Ranking1[[#This Row],[FME ID]],FME_Input[FME_ID],FME_Input[ROADCLS])</f>
        <v>0</v>
      </c>
      <c r="Y2087" s="230">
        <f>(FME_Ranking1[[#This Row],[Closures Raw]]/$X$2)*100</f>
        <v>0</v>
      </c>
      <c r="Z2087" s="180">
        <f>FME_Ranking1[[#This Row],[Closures Score (Normalized, Unweighted)]]*$X$3</f>
        <v>0</v>
      </c>
      <c r="AA2087" s="253">
        <f>_xlfn.XLOOKUP(FME_Ranking1[[#This Row],[FME ID]],FME_Input[FME_ID],FME_Input[ROAD_MILES100])</f>
        <v>0</v>
      </c>
      <c r="AB2087" s="178">
        <f>(FME_Ranking1[[#This Row],[Miles Raw]]/$AA$2)*100</f>
        <v>0</v>
      </c>
      <c r="AC2087" s="178">
        <f>FME_Ranking1[[#This Row],[Miles Score (Normalized, Unweighted)]]*$AA$3</f>
        <v>0</v>
      </c>
      <c r="AD2087" s="255">
        <f>_xlfn.XLOOKUP(FME_Ranking1[[#This Row],[FME ID]],FME_Input[FME_ID],FME_Input[FARMACRE100])</f>
        <v>0</v>
      </c>
      <c r="AE2087" s="230">
        <f>(FME_Ranking1[[#This Row],[Ag Land Raw]]/$AD$2)*100</f>
        <v>0</v>
      </c>
      <c r="AF2087" s="231">
        <f>FME_Ranking1[[#This Row],[Ag Land Score (Normalized, Unweighted)]]*$AD$3</f>
        <v>0</v>
      </c>
      <c r="AG208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2.8349810604054503E-4</v>
      </c>
      <c r="AH2087" s="406">
        <f t="shared" si="32"/>
        <v>2116</v>
      </c>
      <c r="AI208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2.8349810604054503E-4</v>
      </c>
      <c r="AJ2087" s="257">
        <f>FME_Ranking1[[#This Row],[Addition check]]-FME_Ranking1[[#This Row],[Weighted Score Based on Normalized Reported Factors]]</f>
        <v>0</v>
      </c>
      <c r="AK2087" s="178">
        <f>_xlfn.RANK.EQ(AI2087,$AI$6:$AI$2341,0)+COUNTIF($AI$6:AI2087,AI2087)-1</f>
        <v>2116</v>
      </c>
    </row>
    <row r="2088" spans="1:37" x14ac:dyDescent="0.25">
      <c r="A2088" t="s">
        <v>3888</v>
      </c>
      <c r="B2088">
        <f>_xlfn.XLOOKUP(FME_Ranking1[[#This Row],[FME ID]],FME_Input[FME_ID],FME_Input[RFPG_NUM])</f>
        <v>3</v>
      </c>
      <c r="C2088" t="str">
        <f>_xlfn.XLOOKUP(FME_Ranking1[[#This Row],[FME ID]],FME_Input[FME_ID],FME_Input[FME_NAME])</f>
        <v xml:space="preserve">Hood County FEMA Mapping </v>
      </c>
      <c r="D2088" t="str">
        <f>_xlfn.XLOOKUP(FME_Ranking1[[#This Row],[FME ID]],FME_Input[FME_ID],FME_Input[DESCR])</f>
        <v>Create FEMA mapping in previously unmapped areas and update existing FEMA maps as needed.</v>
      </c>
      <c r="E2088" s="256">
        <f>_xlfn.XLOOKUP(FME_Ranking1[[#This Row],[FME ID]],FME_Input[FME_ID],FME_Input[FME_COST])</f>
        <v>539000</v>
      </c>
      <c r="F2088" t="str">
        <f>_xlfn.XLOOKUP(FME_Ranking1[[#This Row],[FME ID]],FME_Input[FME_ID],FME_Input[EMER_NEED])</f>
        <v>No</v>
      </c>
      <c r="G2088">
        <f>IF(FME_Ranking!F2088="Yes",100,0)</f>
        <v>0</v>
      </c>
      <c r="H2088">
        <f>FME_Ranking1[[#This Row],[Emergency Need Score (Normalized, Unweighted)]]*$F$3</f>
        <v>0</v>
      </c>
      <c r="I2088" s="246">
        <f>_xlfn.XLOOKUP(FME_Ranking1[[#This Row],[FME ID]],FME_Input[FME_ID],FME_Input[STRUCT_100])</f>
        <v>0</v>
      </c>
      <c r="J2088" s="178">
        <f>(FME_Ranking1[[#This Row],[Structures 100 Raw]]/I$2)*100</f>
        <v>0</v>
      </c>
      <c r="K2088" s="178">
        <f>FME_Ranking1[[#This Row],[Structures 100  Score (Normalized, Unweighted)]]*$I$3</f>
        <v>0</v>
      </c>
      <c r="L2088" s="246">
        <f>_xlfn.XLOOKUP(FME_Ranking1[[#This Row],[FME ID]],FME_Input[FME_ID],FME_Input[RES_STRUCT100])</f>
        <v>0</v>
      </c>
      <c r="M2088" s="230">
        <f>(FME_Ranking1[[#This Row],[Res Structures Raw]]/L$2)*100</f>
        <v>0</v>
      </c>
      <c r="N2088" s="180">
        <f>FME_Ranking1[[#This Row],[Res Structures Score (Normalized, Unweighted)]]*$L$3</f>
        <v>0</v>
      </c>
      <c r="O2088" s="244">
        <f>_xlfn.XLOOKUP(FME_Ranking1[[#This Row],[FME ID]],FME_Input[FME_ID],FME_Input[POP100])</f>
        <v>0</v>
      </c>
      <c r="P2088" s="178">
        <f>(FME_Ranking1[[#This Row],[Pop Raw]]/$O$2)*100</f>
        <v>0</v>
      </c>
      <c r="Q2088" s="178">
        <f>FME_Ranking1[[#This Row],[Pop Score (Normalized, Unweighted)]]*$O$3</f>
        <v>0</v>
      </c>
      <c r="R2088" s="137">
        <f>_xlfn.XLOOKUP(FME_Ranking1[[#This Row],[FME ID]],FME_Input[FME_ID],FME_Input[CRITFAC100])</f>
        <v>0</v>
      </c>
      <c r="S2088" s="230">
        <f>(FME_Ranking1[[#This Row],[Critical Facilities Raw]]/$R$2)*100</f>
        <v>0</v>
      </c>
      <c r="T2088" s="180">
        <f>FME_Ranking1[[#This Row],[Critical Facilities Score (Normalized, Unweighted)]]*$R$3</f>
        <v>0</v>
      </c>
      <c r="U2088">
        <f>_xlfn.XLOOKUP(FME_Ranking1[[#This Row],[FME ID]],FME_Input[FME_ID],FME_Input[LWC])</f>
        <v>0</v>
      </c>
      <c r="V2088" s="178">
        <f>(FME_Ranking1[[#This Row],[LWC Raw]]/$U$2)*100</f>
        <v>0</v>
      </c>
      <c r="W2088" s="178">
        <f>FME_Ranking1[[#This Row],[LWC Score (Normalized, Unweighted)]]*$U$3</f>
        <v>0</v>
      </c>
      <c r="X2088" s="246">
        <f>_xlfn.XLOOKUP(FME_Ranking1[[#This Row],[FME ID]],FME_Input[FME_ID],FME_Input[ROADCLS])</f>
        <v>0</v>
      </c>
      <c r="Y2088" s="230">
        <f>(FME_Ranking1[[#This Row],[Closures Raw]]/$X$2)*100</f>
        <v>0</v>
      </c>
      <c r="Z2088" s="180">
        <f>FME_Ranking1[[#This Row],[Closures Score (Normalized, Unweighted)]]*$X$3</f>
        <v>0</v>
      </c>
      <c r="AA2088" s="253">
        <f>_xlfn.XLOOKUP(FME_Ranking1[[#This Row],[FME ID]],FME_Input[FME_ID],FME_Input[ROAD_MILES100])</f>
        <v>0</v>
      </c>
      <c r="AB2088" s="178">
        <f>(FME_Ranking1[[#This Row],[Miles Raw]]/$AA$2)*100</f>
        <v>0</v>
      </c>
      <c r="AC2088" s="178">
        <f>FME_Ranking1[[#This Row],[Miles Score (Normalized, Unweighted)]]*$AA$3</f>
        <v>0</v>
      </c>
      <c r="AD2088" s="255">
        <f>_xlfn.XLOOKUP(FME_Ranking1[[#This Row],[FME ID]],FME_Input[FME_ID],FME_Input[FARMACRE100])</f>
        <v>136.89039611816409</v>
      </c>
      <c r="AE2088" s="230">
        <f>(FME_Ranking1[[#This Row],[Ag Land Raw]]/$AD$2)*100</f>
        <v>5.6447471455498147E-3</v>
      </c>
      <c r="AF2088" s="231">
        <f>FME_Ranking1[[#This Row],[Ag Land Score (Normalized, Unweighted)]]*$AD$3</f>
        <v>2.8223735727749076E-4</v>
      </c>
      <c r="AG208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2.8223735727749076E-4</v>
      </c>
      <c r="AH2088" s="406">
        <f t="shared" si="32"/>
        <v>2117</v>
      </c>
      <c r="AI208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2.8223735727749076E-4</v>
      </c>
      <c r="AJ2088" s="257">
        <f>FME_Ranking1[[#This Row],[Addition check]]-FME_Ranking1[[#This Row],[Weighted Score Based on Normalized Reported Factors]]</f>
        <v>0</v>
      </c>
      <c r="AK2088" s="178">
        <f>_xlfn.RANK.EQ(AI2088,$AI$6:$AI$2341,0)+COUNTIF($AI$6:AI2088,AI2088)-1</f>
        <v>2117</v>
      </c>
    </row>
    <row r="2089" spans="1:37" x14ac:dyDescent="0.25">
      <c r="A2089" t="s">
        <v>473</v>
      </c>
      <c r="B2089">
        <f>_xlfn.XLOOKUP(FME_Ranking1[[#This Row],[FME ID]],FME_Input[FME_ID],FME_Input[RFPG_NUM])</f>
        <v>10</v>
      </c>
      <c r="C2089" t="str">
        <f>_xlfn.XLOOKUP(FME_Ranking1[[#This Row],[FME ID]],FME_Input[FME_ID],FME_Input[FME_NAME])</f>
        <v>Airport Drainage Improvements</v>
      </c>
      <c r="D2089" t="str">
        <f>_xlfn.XLOOKUP(FME_Ranking1[[#This Row],[FME ID]],FME_Input[FME_ID],FME_Input[DESCR])</f>
        <v xml:space="preserve">Increase drainage for airport property_x000D_
</v>
      </c>
      <c r="E2089" s="256">
        <f>_xlfn.XLOOKUP(FME_Ranking1[[#This Row],[FME ID]],FME_Input[FME_ID],FME_Input[FME_COST])</f>
        <v>100000</v>
      </c>
      <c r="F2089" t="str">
        <f>_xlfn.XLOOKUP(FME_Ranking1[[#This Row],[FME ID]],FME_Input[FME_ID],FME_Input[EMER_NEED])</f>
        <v>No</v>
      </c>
      <c r="G2089">
        <f>IF(FME_Ranking!F2089="Yes",100,0)</f>
        <v>0</v>
      </c>
      <c r="H2089">
        <f>FME_Ranking1[[#This Row],[Emergency Need Score (Normalized, Unweighted)]]*$F$3</f>
        <v>0</v>
      </c>
      <c r="I2089" s="246">
        <f>_xlfn.XLOOKUP(FME_Ranking1[[#This Row],[FME ID]],FME_Input[FME_ID],FME_Input[STRUCT_100])</f>
        <v>3</v>
      </c>
      <c r="J2089" s="178">
        <f>(FME_Ranking1[[#This Row],[Structures 100 Raw]]/I$2)*100</f>
        <v>1.6064773165402903E-3</v>
      </c>
      <c r="K2089" s="178">
        <f>FME_Ranking1[[#This Row],[Structures 100  Score (Normalized, Unweighted)]]*$I$3</f>
        <v>2.4097159748104354E-4</v>
      </c>
      <c r="L2089" s="246">
        <f>_xlfn.XLOOKUP(FME_Ranking1[[#This Row],[FME ID]],FME_Input[FME_ID],FME_Input[RES_STRUCT100])</f>
        <v>0</v>
      </c>
      <c r="M2089" s="230">
        <f>(FME_Ranking1[[#This Row],[Res Structures Raw]]/L$2)*100</f>
        <v>0</v>
      </c>
      <c r="N2089" s="180">
        <f>FME_Ranking1[[#This Row],[Res Structures Score (Normalized, Unweighted)]]*$L$3</f>
        <v>0</v>
      </c>
      <c r="O2089" s="244">
        <f>_xlfn.XLOOKUP(FME_Ranking1[[#This Row],[FME ID]],FME_Input[FME_ID],FME_Input[POP100])</f>
        <v>2</v>
      </c>
      <c r="P2089" s="178">
        <f>(FME_Ranking1[[#This Row],[Pop Raw]]/$O$2)*100</f>
        <v>2.0475062397752657E-4</v>
      </c>
      <c r="Q2089" s="178">
        <f>FME_Ranking1[[#This Row],[Pop Score (Normalized, Unweighted)]]*$O$3</f>
        <v>3.0712593596628984E-5</v>
      </c>
      <c r="R2089" s="137">
        <f>_xlfn.XLOOKUP(FME_Ranking1[[#This Row],[FME ID]],FME_Input[FME_ID],FME_Input[CRITFAC100])</f>
        <v>0</v>
      </c>
      <c r="S2089" s="230">
        <f>(FME_Ranking1[[#This Row],[Critical Facilities Raw]]/$R$2)*100</f>
        <v>0</v>
      </c>
      <c r="T2089" s="180">
        <f>FME_Ranking1[[#This Row],[Critical Facilities Score (Normalized, Unweighted)]]*$R$3</f>
        <v>0</v>
      </c>
      <c r="U2089">
        <f>_xlfn.XLOOKUP(FME_Ranking1[[#This Row],[FME ID]],FME_Input[FME_ID],FME_Input[LWC])</f>
        <v>0</v>
      </c>
      <c r="V2089" s="178">
        <f>(FME_Ranking1[[#This Row],[LWC Raw]]/$U$2)*100</f>
        <v>0</v>
      </c>
      <c r="W2089" s="178">
        <f>FME_Ranking1[[#This Row],[LWC Score (Normalized, Unweighted)]]*$U$3</f>
        <v>0</v>
      </c>
      <c r="X2089" s="246">
        <f>_xlfn.XLOOKUP(FME_Ranking1[[#This Row],[FME ID]],FME_Input[FME_ID],FME_Input[ROADCLS])</f>
        <v>0</v>
      </c>
      <c r="Y2089" s="230">
        <f>(FME_Ranking1[[#This Row],[Closures Raw]]/$X$2)*100</f>
        <v>0</v>
      </c>
      <c r="Z2089" s="180">
        <f>FME_Ranking1[[#This Row],[Closures Score (Normalized, Unweighted)]]*$X$3</f>
        <v>0</v>
      </c>
      <c r="AA2089" s="253">
        <f>_xlfn.XLOOKUP(FME_Ranking1[[#This Row],[FME ID]],FME_Input[FME_ID],FME_Input[ROAD_MILES100])</f>
        <v>0</v>
      </c>
      <c r="AB2089" s="178">
        <f>(FME_Ranking1[[#This Row],[Miles Raw]]/$AA$2)*100</f>
        <v>0</v>
      </c>
      <c r="AC2089" s="178">
        <f>FME_Ranking1[[#This Row],[Miles Score (Normalized, Unweighted)]]*$AA$3</f>
        <v>0</v>
      </c>
      <c r="AD2089" s="255">
        <f>_xlfn.XLOOKUP(FME_Ranking1[[#This Row],[FME ID]],FME_Input[FME_ID],FME_Input[FARMACRE100])</f>
        <v>4.3876667022705078</v>
      </c>
      <c r="AE2089" s="230">
        <f>(FME_Ranking1[[#This Row],[Ag Land Raw]]/$AD$2)*100</f>
        <v>1.8092773339545496E-4</v>
      </c>
      <c r="AF2089" s="231">
        <f>FME_Ranking1[[#This Row],[Ag Land Score (Normalized, Unweighted)]]*$AD$3</f>
        <v>9.0463866697727483E-6</v>
      </c>
      <c r="AG208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2.8073057774744529E-4</v>
      </c>
      <c r="AH2089" s="406">
        <f t="shared" si="32"/>
        <v>2118</v>
      </c>
      <c r="AI208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2.8073057774744529E-4</v>
      </c>
      <c r="AJ2089" s="257">
        <f>FME_Ranking1[[#This Row],[Addition check]]-FME_Ranking1[[#This Row],[Weighted Score Based on Normalized Reported Factors]]</f>
        <v>0</v>
      </c>
      <c r="AK2089" s="178">
        <f>_xlfn.RANK.EQ(AI2089,$AI$6:$AI$2341,0)+COUNTIF($AI$6:AI2089,AI2089)-1</f>
        <v>2118</v>
      </c>
    </row>
    <row r="2090" spans="1:37" x14ac:dyDescent="0.25">
      <c r="A2090" t="s">
        <v>11089</v>
      </c>
      <c r="B2090">
        <f>_xlfn.XLOOKUP(FME_Ranking1[[#This Row],[FME ID]],FME_Input[FME_ID],FME_Input[RFPG_NUM])</f>
        <v>15</v>
      </c>
      <c r="C2090" t="str">
        <f>_xlfn.XLOOKUP(FME_Ranking1[[#This Row],[FME ID]],FME_Input[FME_ID],FME_Input[FME_NAME])</f>
        <v>Mile 2 E &amp; Expy 83</v>
      </c>
      <c r="D2090" t="str">
        <f>_xlfn.XLOOKUP(FME_Ranking1[[#This Row],[FME ID]],FME_Input[FME_ID],FME_Input[DESCR])</f>
        <v>Local Drainage Improvements- North of Interstate 2 and West of Mile 2 1/2</v>
      </c>
      <c r="E2090" s="256">
        <f>_xlfn.XLOOKUP(FME_Ranking1[[#This Row],[FME ID]],FME_Input[FME_ID],FME_Input[FME_COST])</f>
        <v>215250</v>
      </c>
      <c r="F2090" t="str">
        <f>_xlfn.XLOOKUP(FME_Ranking1[[#This Row],[FME ID]],FME_Input[FME_ID],FME_Input[EMER_NEED])</f>
        <v>Yes</v>
      </c>
      <c r="G2090">
        <f>IF(FME_Ranking!F2090="Yes",100,0)</f>
        <v>100</v>
      </c>
      <c r="H2090">
        <f>FME_Ranking1[[#This Row],[Emergency Need Score (Normalized, Unweighted)]]*$F$3</f>
        <v>0</v>
      </c>
      <c r="I2090" s="246">
        <f>_xlfn.XLOOKUP(FME_Ranking1[[#This Row],[FME ID]],FME_Input[FME_ID],FME_Input[STRUCT_100])</f>
        <v>0</v>
      </c>
      <c r="J2090" s="178">
        <f>(FME_Ranking1[[#This Row],[Structures 100 Raw]]/I$2)*100</f>
        <v>0</v>
      </c>
      <c r="K2090" s="178">
        <f>FME_Ranking1[[#This Row],[Structures 100  Score (Normalized, Unweighted)]]*$I$3</f>
        <v>0</v>
      </c>
      <c r="L2090" s="246">
        <f>_xlfn.XLOOKUP(FME_Ranking1[[#This Row],[FME ID]],FME_Input[FME_ID],FME_Input[RES_STRUCT100])</f>
        <v>2</v>
      </c>
      <c r="M2090" s="230">
        <f>(FME_Ranking1[[#This Row],[Res Structures Raw]]/L$2)*100</f>
        <v>1.4166111827286765E-3</v>
      </c>
      <c r="N2090" s="180">
        <f>FME_Ranking1[[#This Row],[Res Structures Score (Normalized, Unweighted)]]*$L$3</f>
        <v>1.4166111827286767E-4</v>
      </c>
      <c r="O2090" s="244">
        <f>_xlfn.XLOOKUP(FME_Ranking1[[#This Row],[FME ID]],FME_Input[FME_ID],FME_Input[POP100])</f>
        <v>9</v>
      </c>
      <c r="P2090" s="178">
        <f>(FME_Ranking1[[#This Row],[Pop Raw]]/$O$2)*100</f>
        <v>9.2137780789886947E-4</v>
      </c>
      <c r="Q2090" s="178">
        <f>FME_Ranking1[[#This Row],[Pop Score (Normalized, Unweighted)]]*$O$3</f>
        <v>1.3820667118483041E-4</v>
      </c>
      <c r="R2090" s="137">
        <f>_xlfn.XLOOKUP(FME_Ranking1[[#This Row],[FME ID]],FME_Input[FME_ID],FME_Input[CRITFAC100])</f>
        <v>0</v>
      </c>
      <c r="S2090" s="230">
        <f>(FME_Ranking1[[#This Row],[Critical Facilities Raw]]/$R$2)*100</f>
        <v>0</v>
      </c>
      <c r="T2090" s="180">
        <f>FME_Ranking1[[#This Row],[Critical Facilities Score (Normalized, Unweighted)]]*$R$3</f>
        <v>0</v>
      </c>
      <c r="U2090">
        <f>_xlfn.XLOOKUP(FME_Ranking1[[#This Row],[FME ID]],FME_Input[FME_ID],FME_Input[LWC])</f>
        <v>0</v>
      </c>
      <c r="V2090" s="178">
        <f>(FME_Ranking1[[#This Row],[LWC Raw]]/$U$2)*100</f>
        <v>0</v>
      </c>
      <c r="W2090" s="178">
        <f>FME_Ranking1[[#This Row],[LWC Score (Normalized, Unweighted)]]*$U$3</f>
        <v>0</v>
      </c>
      <c r="X2090" s="246">
        <f>_xlfn.XLOOKUP(FME_Ranking1[[#This Row],[FME ID]],FME_Input[FME_ID],FME_Input[ROADCLS])</f>
        <v>0</v>
      </c>
      <c r="Y2090" s="230">
        <f>(FME_Ranking1[[#This Row],[Closures Raw]]/$X$2)*100</f>
        <v>0</v>
      </c>
      <c r="Z2090" s="180">
        <f>FME_Ranking1[[#This Row],[Closures Score (Normalized, Unweighted)]]*$X$3</f>
        <v>0</v>
      </c>
      <c r="AA2090" s="253">
        <f>_xlfn.XLOOKUP(FME_Ranking1[[#This Row],[FME ID]],FME_Input[FME_ID],FME_Input[ROAD_MILES100])</f>
        <v>3.6759300231933589</v>
      </c>
      <c r="AB2090" s="178">
        <f>(FME_Ranking1[[#This Row],[Miles Raw]]/$AA$2)*100</f>
        <v>4.8331886714976478E-2</v>
      </c>
      <c r="AC2090" s="178">
        <f>FME_Ranking1[[#This Row],[Miles Score (Normalized, Unweighted)]]*$AA$3</f>
        <v>4.8331886714976478E-3</v>
      </c>
      <c r="AD2090" s="255">
        <f>_xlfn.XLOOKUP(FME_Ranking1[[#This Row],[FME ID]],FME_Input[FME_ID],FME_Input[FARMACRE100])</f>
        <v>0</v>
      </c>
      <c r="AE2090" s="230">
        <f>(FME_Ranking1[[#This Row],[Ag Land Raw]]/$AD$2)*100</f>
        <v>0</v>
      </c>
      <c r="AF2090" s="231">
        <f>FME_Ranking1[[#This Row],[Ag Land Score (Normalized, Unweighted)]]*$AD$3</f>
        <v>0</v>
      </c>
      <c r="AG209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5.1130564609553463E-3</v>
      </c>
      <c r="AH2090" s="406">
        <f t="shared" si="32"/>
        <v>1832</v>
      </c>
      <c r="AI209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5.1130564609553463E-3</v>
      </c>
      <c r="AJ2090" s="257">
        <f>FME_Ranking1[[#This Row],[Addition check]]-FME_Ranking1[[#This Row],[Weighted Score Based on Normalized Reported Factors]]</f>
        <v>0</v>
      </c>
      <c r="AK2090" s="178">
        <f>_xlfn.RANK.EQ(AI2090,$AI$6:$AI$2341,0)+COUNTIF($AI$6:AI2090,AI2090)-1</f>
        <v>1832</v>
      </c>
    </row>
    <row r="2091" spans="1:37" x14ac:dyDescent="0.25">
      <c r="A2091" t="s">
        <v>9170</v>
      </c>
      <c r="B2091">
        <f>_xlfn.XLOOKUP(FME_Ranking1[[#This Row],[FME ID]],FME_Input[FME_ID],FME_Input[RFPG_NUM])</f>
        <v>12</v>
      </c>
      <c r="C2091" t="str">
        <f>_xlfn.XLOOKUP(FME_Ranking1[[#This Row],[FME ID]],FME_Input[FME_ID],FME_Input[FME_NAME])</f>
        <v>7420 Rolling Acres Trail Low Water Crossing</v>
      </c>
      <c r="D2091" t="str">
        <f>_xlfn.XLOOKUP(FME_Ranking1[[#This Row],[FME ID]],FME_Input[FME_ID],FME_Input[DESCR])</f>
        <v>Low Water crossing moves toward home on Meadow Creek Trail. Road Closure gate is deployed at this crossing during large storm events.</v>
      </c>
      <c r="E2091" s="256">
        <f>_xlfn.XLOOKUP(FME_Ranking1[[#This Row],[FME ID]],FME_Input[FME_ID],FME_Input[FME_COST])</f>
        <v>1185000</v>
      </c>
      <c r="F2091" t="str">
        <f>_xlfn.XLOOKUP(FME_Ranking1[[#This Row],[FME ID]],FME_Input[FME_ID],FME_Input[EMER_NEED])</f>
        <v>No</v>
      </c>
      <c r="G2091">
        <f>IF(FME_Ranking!F2091="Yes",100,0)</f>
        <v>0</v>
      </c>
      <c r="H2091">
        <f>FME_Ranking1[[#This Row],[Emergency Need Score (Normalized, Unweighted)]]*$F$3</f>
        <v>0</v>
      </c>
      <c r="I2091" s="246">
        <f>_xlfn.XLOOKUP(FME_Ranking1[[#This Row],[FME ID]],FME_Input[FME_ID],FME_Input[STRUCT_100])</f>
        <v>1</v>
      </c>
      <c r="J2091" s="178">
        <f>(FME_Ranking1[[#This Row],[Structures 100 Raw]]/I$2)*100</f>
        <v>5.3549243884676355E-4</v>
      </c>
      <c r="K2091" s="178">
        <f>FME_Ranking1[[#This Row],[Structures 100  Score (Normalized, Unweighted)]]*$I$3</f>
        <v>8.0323865827014533E-5</v>
      </c>
      <c r="L2091" s="246">
        <f>_xlfn.XLOOKUP(FME_Ranking1[[#This Row],[FME ID]],FME_Input[FME_ID],FME_Input[RES_STRUCT100])</f>
        <v>0</v>
      </c>
      <c r="M2091" s="230">
        <f>(FME_Ranking1[[#This Row],[Res Structures Raw]]/L$2)*100</f>
        <v>0</v>
      </c>
      <c r="N2091" s="180">
        <f>FME_Ranking1[[#This Row],[Res Structures Score (Normalized, Unweighted)]]*$L$3</f>
        <v>0</v>
      </c>
      <c r="O2091" s="244">
        <f>_xlfn.XLOOKUP(FME_Ranking1[[#This Row],[FME ID]],FME_Input[FME_ID],FME_Input[POP100])</f>
        <v>11</v>
      </c>
      <c r="P2091" s="178">
        <f>(FME_Ranking1[[#This Row],[Pop Raw]]/$O$2)*100</f>
        <v>1.1261284318763961E-3</v>
      </c>
      <c r="Q2091" s="178">
        <f>FME_Ranking1[[#This Row],[Pop Score (Normalized, Unweighted)]]*$O$3</f>
        <v>1.6891926478145941E-4</v>
      </c>
      <c r="R2091" s="137">
        <f>_xlfn.XLOOKUP(FME_Ranking1[[#This Row],[FME ID]],FME_Input[FME_ID],FME_Input[CRITFAC100])</f>
        <v>0</v>
      </c>
      <c r="S2091" s="230">
        <f>(FME_Ranking1[[#This Row],[Critical Facilities Raw]]/$R$2)*100</f>
        <v>0</v>
      </c>
      <c r="T2091" s="180">
        <f>FME_Ranking1[[#This Row],[Critical Facilities Score (Normalized, Unweighted)]]*$R$3</f>
        <v>0</v>
      </c>
      <c r="U2091">
        <f>_xlfn.XLOOKUP(FME_Ranking1[[#This Row],[FME ID]],FME_Input[FME_ID],FME_Input[LWC])</f>
        <v>0</v>
      </c>
      <c r="V2091" s="178">
        <f>(FME_Ranking1[[#This Row],[LWC Raw]]/$U$2)*100</f>
        <v>0</v>
      </c>
      <c r="W2091" s="178">
        <f>FME_Ranking1[[#This Row],[LWC Score (Normalized, Unweighted)]]*$U$3</f>
        <v>0</v>
      </c>
      <c r="X2091" s="246">
        <f>_xlfn.XLOOKUP(FME_Ranking1[[#This Row],[FME ID]],FME_Input[FME_ID],FME_Input[ROADCLS])</f>
        <v>0</v>
      </c>
      <c r="Y2091" s="230">
        <f>(FME_Ranking1[[#This Row],[Closures Raw]]/$X$2)*100</f>
        <v>0</v>
      </c>
      <c r="Z2091" s="180">
        <f>FME_Ranking1[[#This Row],[Closures Score (Normalized, Unweighted)]]*$X$3</f>
        <v>0</v>
      </c>
      <c r="AA2091" s="253">
        <f>_xlfn.XLOOKUP(FME_Ranking1[[#This Row],[FME ID]],FME_Input[FME_ID],FME_Input[ROAD_MILES100])</f>
        <v>0</v>
      </c>
      <c r="AB2091" s="178">
        <f>(FME_Ranking1[[#This Row],[Miles Raw]]/$AA$2)*100</f>
        <v>0</v>
      </c>
      <c r="AC2091" s="178">
        <f>FME_Ranking1[[#This Row],[Miles Score (Normalized, Unweighted)]]*$AA$3</f>
        <v>0</v>
      </c>
      <c r="AD2091" s="255">
        <f>_xlfn.XLOOKUP(FME_Ranking1[[#This Row],[FME ID]],FME_Input[FME_ID],FME_Input[FARMACRE100])</f>
        <v>0</v>
      </c>
      <c r="AE2091" s="230">
        <f>(FME_Ranking1[[#This Row],[Ag Land Raw]]/$AD$2)*100</f>
        <v>0</v>
      </c>
      <c r="AF2091" s="231">
        <f>FME_Ranking1[[#This Row],[Ag Land Score (Normalized, Unweighted)]]*$AD$3</f>
        <v>0</v>
      </c>
      <c r="AG209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2.4924313060847392E-4</v>
      </c>
      <c r="AH2091" s="406">
        <f t="shared" si="32"/>
        <v>2121</v>
      </c>
      <c r="AI209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2.4924313060847392E-4</v>
      </c>
      <c r="AJ2091" s="257">
        <f>FME_Ranking1[[#This Row],[Addition check]]-FME_Ranking1[[#This Row],[Weighted Score Based on Normalized Reported Factors]]</f>
        <v>0</v>
      </c>
      <c r="AK2091" s="178">
        <f>_xlfn.RANK.EQ(AI2091,$AI$6:$AI$2341,0)+COUNTIF($AI$6:AI2091,AI2091)-1</f>
        <v>2121</v>
      </c>
    </row>
    <row r="2092" spans="1:37" x14ac:dyDescent="0.25">
      <c r="A2092" t="s">
        <v>11149</v>
      </c>
      <c r="B2092">
        <f>_xlfn.XLOOKUP(FME_Ranking1[[#This Row],[FME ID]],FME_Input[FME_ID],FME_Input[RFPG_NUM])</f>
        <v>15</v>
      </c>
      <c r="C2092" t="str">
        <f>_xlfn.XLOOKUP(FME_Ranking1[[#This Row],[FME ID]],FME_Input[FME_ID],FME_Input[FME_NAME])</f>
        <v>Laguna Vista Action #11</v>
      </c>
      <c r="D2092" t="str">
        <f>_xlfn.XLOOKUP(FME_Ranking1[[#This Row],[FME ID]],FME_Input[FME_ID],FME_Input[DESCR])</f>
        <v>Drainage Improvements: Upgrade 48” drainage pipe located at 1004 Beach Blvd to increase capacity and reduce risk of flood damages</v>
      </c>
      <c r="E2092" s="256">
        <f>_xlfn.XLOOKUP(FME_Ranking1[[#This Row],[FME ID]],FME_Input[FME_ID],FME_Input[FME_COST])</f>
        <v>92400</v>
      </c>
      <c r="F2092" t="str">
        <f>_xlfn.XLOOKUP(FME_Ranking1[[#This Row],[FME ID]],FME_Input[FME_ID],FME_Input[EMER_NEED])</f>
        <v>Yes</v>
      </c>
      <c r="G2092">
        <f>IF(FME_Ranking!F2092="Yes",100,0)</f>
        <v>100</v>
      </c>
      <c r="H2092">
        <f>FME_Ranking1[[#This Row],[Emergency Need Score (Normalized, Unweighted)]]*$F$3</f>
        <v>0</v>
      </c>
      <c r="I2092" s="246">
        <f>_xlfn.XLOOKUP(FME_Ranking1[[#This Row],[FME ID]],FME_Input[FME_ID],FME_Input[STRUCT_100])</f>
        <v>0</v>
      </c>
      <c r="J2092" s="178">
        <f>(FME_Ranking1[[#This Row],[Structures 100 Raw]]/I$2)*100</f>
        <v>0</v>
      </c>
      <c r="K2092" s="178">
        <f>FME_Ranking1[[#This Row],[Structures 100  Score (Normalized, Unweighted)]]*$I$3</f>
        <v>0</v>
      </c>
      <c r="L2092" s="246">
        <f>_xlfn.XLOOKUP(FME_Ranking1[[#This Row],[FME ID]],FME_Input[FME_ID],FME_Input[RES_STRUCT100])</f>
        <v>2</v>
      </c>
      <c r="M2092" s="230">
        <f>(FME_Ranking1[[#This Row],[Res Structures Raw]]/L$2)*100</f>
        <v>1.4166111827286765E-3</v>
      </c>
      <c r="N2092" s="180">
        <f>FME_Ranking1[[#This Row],[Res Structures Score (Normalized, Unweighted)]]*$L$3</f>
        <v>1.4166111827286767E-4</v>
      </c>
      <c r="O2092" s="244">
        <f>_xlfn.XLOOKUP(FME_Ranking1[[#This Row],[FME ID]],FME_Input[FME_ID],FME_Input[POP100])</f>
        <v>7</v>
      </c>
      <c r="P2092" s="178">
        <f>(FME_Ranking1[[#This Row],[Pop Raw]]/$O$2)*100</f>
        <v>7.1662718392134295E-4</v>
      </c>
      <c r="Q2092" s="178">
        <f>FME_Ranking1[[#This Row],[Pop Score (Normalized, Unweighted)]]*$O$3</f>
        <v>1.0749407758820145E-4</v>
      </c>
      <c r="R2092" s="137">
        <f>_xlfn.XLOOKUP(FME_Ranking1[[#This Row],[FME ID]],FME_Input[FME_ID],FME_Input[CRITFAC100])</f>
        <v>0</v>
      </c>
      <c r="S2092" s="230">
        <f>(FME_Ranking1[[#This Row],[Critical Facilities Raw]]/$R$2)*100</f>
        <v>0</v>
      </c>
      <c r="T2092" s="180">
        <f>FME_Ranking1[[#This Row],[Critical Facilities Score (Normalized, Unweighted)]]*$R$3</f>
        <v>0</v>
      </c>
      <c r="U2092">
        <f>_xlfn.XLOOKUP(FME_Ranking1[[#This Row],[FME ID]],FME_Input[FME_ID],FME_Input[LWC])</f>
        <v>0</v>
      </c>
      <c r="V2092" s="178">
        <f>(FME_Ranking1[[#This Row],[LWC Raw]]/$U$2)*100</f>
        <v>0</v>
      </c>
      <c r="W2092" s="178">
        <f>FME_Ranking1[[#This Row],[LWC Score (Normalized, Unweighted)]]*$U$3</f>
        <v>0</v>
      </c>
      <c r="X2092" s="246">
        <f>_xlfn.XLOOKUP(FME_Ranking1[[#This Row],[FME ID]],FME_Input[FME_ID],FME_Input[ROADCLS])</f>
        <v>0</v>
      </c>
      <c r="Y2092" s="230">
        <f>(FME_Ranking1[[#This Row],[Closures Raw]]/$X$2)*100</f>
        <v>0</v>
      </c>
      <c r="Z2092" s="180">
        <f>FME_Ranking1[[#This Row],[Closures Score (Normalized, Unweighted)]]*$X$3</f>
        <v>0</v>
      </c>
      <c r="AA2092" s="253">
        <f>_xlfn.XLOOKUP(FME_Ranking1[[#This Row],[FME ID]],FME_Input[FME_ID],FME_Input[ROAD_MILES100])</f>
        <v>0.35135200619697571</v>
      </c>
      <c r="AB2092" s="178">
        <f>(FME_Ranking1[[#This Row],[Miles Raw]]/$AA$2)*100</f>
        <v>4.6196487020826764E-3</v>
      </c>
      <c r="AC2092" s="178">
        <f>FME_Ranking1[[#This Row],[Miles Score (Normalized, Unweighted)]]*$AA$3</f>
        <v>4.6196487020826768E-4</v>
      </c>
      <c r="AD2092" s="255">
        <f>_xlfn.XLOOKUP(FME_Ranking1[[#This Row],[FME ID]],FME_Input[FME_ID],FME_Input[FARMACRE100])</f>
        <v>0</v>
      </c>
      <c r="AE2092" s="230">
        <f>(FME_Ranking1[[#This Row],[Ag Land Raw]]/$AD$2)*100</f>
        <v>0</v>
      </c>
      <c r="AF2092" s="231">
        <f>FME_Ranking1[[#This Row],[Ag Land Score (Normalized, Unweighted)]]*$AD$3</f>
        <v>0</v>
      </c>
      <c r="AG209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7.1112006606933683E-4</v>
      </c>
      <c r="AH2092" s="406">
        <f t="shared" si="32"/>
        <v>2057</v>
      </c>
      <c r="AI209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7.1112006606933683E-4</v>
      </c>
      <c r="AJ2092" s="257">
        <f>FME_Ranking1[[#This Row],[Addition check]]-FME_Ranking1[[#This Row],[Weighted Score Based on Normalized Reported Factors]]</f>
        <v>0</v>
      </c>
      <c r="AK2092" s="178">
        <f>_xlfn.RANK.EQ(AI2092,$AI$6:$AI$2341,0)+COUNTIF($AI$6:AI2092,AI2092)-1</f>
        <v>2057</v>
      </c>
    </row>
    <row r="2093" spans="1:37" x14ac:dyDescent="0.25">
      <c r="A2093" t="s">
        <v>128</v>
      </c>
      <c r="B2093">
        <f>_xlfn.XLOOKUP(FME_Ranking1[[#This Row],[FME ID]],FME_Input[FME_ID],FME_Input[RFPG_NUM])</f>
        <v>10</v>
      </c>
      <c r="C2093" t="str">
        <f>_xlfn.XLOOKUP(FME_Ranking1[[#This Row],[FME ID]],FME_Input[FME_ID],FME_Input[FME_NAME])</f>
        <v>FM 812 at Alum Creek South</v>
      </c>
      <c r="D2093" t="str">
        <f>_xlfn.XLOOKUP(FME_Ranking1[[#This Row],[FME ID]],FME_Input[FME_ID],FME_Input[DESCR])</f>
        <v>100-ft bridge, 1700 LF of channelization</v>
      </c>
      <c r="E2093" s="256">
        <f>_xlfn.XLOOKUP(FME_Ranking1[[#This Row],[FME ID]],FME_Input[FME_ID],FME_Input[FME_COST])</f>
        <v>100000</v>
      </c>
      <c r="F2093" t="str">
        <f>_xlfn.XLOOKUP(FME_Ranking1[[#This Row],[FME ID]],FME_Input[FME_ID],FME_Input[EMER_NEED])</f>
        <v>No</v>
      </c>
      <c r="G2093">
        <f>IF(FME_Ranking!F2093="Yes",100,0)</f>
        <v>0</v>
      </c>
      <c r="H2093">
        <f>FME_Ranking1[[#This Row],[Emergency Need Score (Normalized, Unweighted)]]*$F$3</f>
        <v>0</v>
      </c>
      <c r="I2093" s="246">
        <f>_xlfn.XLOOKUP(FME_Ranking1[[#This Row],[FME ID]],FME_Input[FME_ID],FME_Input[STRUCT_100])</f>
        <v>1</v>
      </c>
      <c r="J2093" s="178">
        <f>(FME_Ranking1[[#This Row],[Structures 100 Raw]]/I$2)*100</f>
        <v>5.3549243884676355E-4</v>
      </c>
      <c r="K2093" s="178">
        <f>FME_Ranking1[[#This Row],[Structures 100  Score (Normalized, Unweighted)]]*$I$3</f>
        <v>8.0323865827014533E-5</v>
      </c>
      <c r="L2093" s="246">
        <f>_xlfn.XLOOKUP(FME_Ranking1[[#This Row],[FME ID]],FME_Input[FME_ID],FME_Input[RES_STRUCT100])</f>
        <v>1</v>
      </c>
      <c r="M2093" s="230">
        <f>(FME_Ranking1[[#This Row],[Res Structures Raw]]/L$2)*100</f>
        <v>7.0830559136433825E-4</v>
      </c>
      <c r="N2093" s="180">
        <f>FME_Ranking1[[#This Row],[Res Structures Score (Normalized, Unweighted)]]*$L$3</f>
        <v>7.0830559136433833E-5</v>
      </c>
      <c r="O2093" s="244">
        <f>_xlfn.XLOOKUP(FME_Ranking1[[#This Row],[FME ID]],FME_Input[FME_ID],FME_Input[POP100])</f>
        <v>2</v>
      </c>
      <c r="P2093" s="178">
        <f>(FME_Ranking1[[#This Row],[Pop Raw]]/$O$2)*100</f>
        <v>2.0475062397752657E-4</v>
      </c>
      <c r="Q2093" s="178">
        <f>FME_Ranking1[[#This Row],[Pop Score (Normalized, Unweighted)]]*$O$3</f>
        <v>3.0712593596628984E-5</v>
      </c>
      <c r="R2093" s="137">
        <f>_xlfn.XLOOKUP(FME_Ranking1[[#This Row],[FME ID]],FME_Input[FME_ID],FME_Input[CRITFAC100])</f>
        <v>0</v>
      </c>
      <c r="S2093" s="230">
        <f>(FME_Ranking1[[#This Row],[Critical Facilities Raw]]/$R$2)*100</f>
        <v>0</v>
      </c>
      <c r="T2093" s="180">
        <f>FME_Ranking1[[#This Row],[Critical Facilities Score (Normalized, Unweighted)]]*$R$3</f>
        <v>0</v>
      </c>
      <c r="U2093">
        <f>_xlfn.XLOOKUP(FME_Ranking1[[#This Row],[FME ID]],FME_Input[FME_ID],FME_Input[LWC])</f>
        <v>0</v>
      </c>
      <c r="V2093" s="178">
        <f>(FME_Ranking1[[#This Row],[LWC Raw]]/$U$2)*100</f>
        <v>0</v>
      </c>
      <c r="W2093" s="178">
        <f>FME_Ranking1[[#This Row],[LWC Score (Normalized, Unweighted)]]*$U$3</f>
        <v>0</v>
      </c>
      <c r="X2093" s="246">
        <f>_xlfn.XLOOKUP(FME_Ranking1[[#This Row],[FME ID]],FME_Input[FME_ID],FME_Input[ROADCLS])</f>
        <v>0</v>
      </c>
      <c r="Y2093" s="230">
        <f>(FME_Ranking1[[#This Row],[Closures Raw]]/$X$2)*100</f>
        <v>0</v>
      </c>
      <c r="Z2093" s="180">
        <f>FME_Ranking1[[#This Row],[Closures Score (Normalized, Unweighted)]]*$X$3</f>
        <v>0</v>
      </c>
      <c r="AA2093" s="253">
        <f>_xlfn.XLOOKUP(FME_Ranking1[[#This Row],[FME ID]],FME_Input[FME_ID],FME_Input[ROAD_MILES100])</f>
        <v>8.3301864564418793E-2</v>
      </c>
      <c r="AB2093" s="178">
        <f>(FME_Ranking1[[#This Row],[Miles Raw]]/$AA$2)*100</f>
        <v>1.0952701101138512E-3</v>
      </c>
      <c r="AC2093" s="178">
        <f>FME_Ranking1[[#This Row],[Miles Score (Normalized, Unweighted)]]*$AA$3</f>
        <v>1.0952701101138512E-4</v>
      </c>
      <c r="AD2093" s="255">
        <f>_xlfn.XLOOKUP(FME_Ranking1[[#This Row],[FME ID]],FME_Input[FME_ID],FME_Input[FARMACRE100])</f>
        <v>27.890583038330082</v>
      </c>
      <c r="AE2093" s="230">
        <f>(FME_Ranking1[[#This Row],[Ag Land Raw]]/$AD$2)*100</f>
        <v>1.1500827922028606E-3</v>
      </c>
      <c r="AF2093" s="231">
        <f>FME_Ranking1[[#This Row],[Ag Land Score (Normalized, Unweighted)]]*$AD$3</f>
        <v>5.750413961014303E-5</v>
      </c>
      <c r="AG209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3.4889816918160551E-4</v>
      </c>
      <c r="AH2093" s="406">
        <f t="shared" si="32"/>
        <v>2109</v>
      </c>
      <c r="AI209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3.4889816918160551E-4</v>
      </c>
      <c r="AJ2093" s="257">
        <f>FME_Ranking1[[#This Row],[Addition check]]-FME_Ranking1[[#This Row],[Weighted Score Based on Normalized Reported Factors]]</f>
        <v>0</v>
      </c>
      <c r="AK2093" s="178">
        <f>_xlfn.RANK.EQ(AI2093,$AI$6:$AI$2341,0)+COUNTIF($AI$6:AI2093,AI2093)-1</f>
        <v>2109</v>
      </c>
    </row>
    <row r="2094" spans="1:37" x14ac:dyDescent="0.25">
      <c r="A2094" t="s">
        <v>8456</v>
      </c>
      <c r="B2094">
        <f>_xlfn.XLOOKUP(FME_Ranking1[[#This Row],[FME ID]],FME_Input[FME_ID],FME_Input[RFPG_NUM])</f>
        <v>10</v>
      </c>
      <c r="C2094" t="str">
        <f>_xlfn.XLOOKUP(FME_Ranking1[[#This Row],[FME ID]],FME_Input[FME_ID],FME_Input[FME_NAME])</f>
        <v>County Road 106 Erosion Control Structure Project Planning</v>
      </c>
      <c r="D2094" t="str">
        <f>_xlfn.XLOOKUP(FME_Ranking1[[#This Row],[FME ID]],FME_Input[FME_ID],FME_Input[DESCR])</f>
        <v>Project planning for project to replace erosion control structure. Develop technical data required for FMP.</v>
      </c>
      <c r="E2094" s="256">
        <f>_xlfn.XLOOKUP(FME_Ranking1[[#This Row],[FME ID]],FME_Input[FME_ID],FME_Input[FME_COST])</f>
        <v>75000</v>
      </c>
      <c r="F2094" t="str">
        <f>_xlfn.XLOOKUP(FME_Ranking1[[#This Row],[FME ID]],FME_Input[FME_ID],FME_Input[EMER_NEED])</f>
        <v>No</v>
      </c>
      <c r="G2094">
        <f>IF(FME_Ranking!F2094="Yes",100,0)</f>
        <v>0</v>
      </c>
      <c r="H2094">
        <f>FME_Ranking1[[#This Row],[Emergency Need Score (Normalized, Unweighted)]]*$F$3</f>
        <v>0</v>
      </c>
      <c r="I2094" s="246">
        <f>_xlfn.XLOOKUP(FME_Ranking1[[#This Row],[FME ID]],FME_Input[FME_ID],FME_Input[STRUCT_100])</f>
        <v>2</v>
      </c>
      <c r="J2094" s="178">
        <f>(FME_Ranking1[[#This Row],[Structures 100 Raw]]/I$2)*100</f>
        <v>1.0709848776935271E-3</v>
      </c>
      <c r="K2094" s="178">
        <f>FME_Ranking1[[#This Row],[Structures 100  Score (Normalized, Unweighted)]]*$I$3</f>
        <v>1.6064773165402907E-4</v>
      </c>
      <c r="L2094" s="246">
        <f>_xlfn.XLOOKUP(FME_Ranking1[[#This Row],[FME ID]],FME_Input[FME_ID],FME_Input[RES_STRUCT100])</f>
        <v>0</v>
      </c>
      <c r="M2094" s="230">
        <f>(FME_Ranking1[[#This Row],[Res Structures Raw]]/L$2)*100</f>
        <v>0</v>
      </c>
      <c r="N2094" s="180">
        <f>FME_Ranking1[[#This Row],[Res Structures Score (Normalized, Unweighted)]]*$L$3</f>
        <v>0</v>
      </c>
      <c r="O2094" s="244">
        <f>_xlfn.XLOOKUP(FME_Ranking1[[#This Row],[FME ID]],FME_Input[FME_ID],FME_Input[POP100])</f>
        <v>0</v>
      </c>
      <c r="P2094" s="178">
        <f>(FME_Ranking1[[#This Row],[Pop Raw]]/$O$2)*100</f>
        <v>0</v>
      </c>
      <c r="Q2094" s="178">
        <f>FME_Ranking1[[#This Row],[Pop Score (Normalized, Unweighted)]]*$O$3</f>
        <v>0</v>
      </c>
      <c r="R2094" s="137">
        <f>_xlfn.XLOOKUP(FME_Ranking1[[#This Row],[FME ID]],FME_Input[FME_ID],FME_Input[CRITFAC100])</f>
        <v>0</v>
      </c>
      <c r="S2094" s="230">
        <f>(FME_Ranking1[[#This Row],[Critical Facilities Raw]]/$R$2)*100</f>
        <v>0</v>
      </c>
      <c r="T2094" s="180">
        <f>FME_Ranking1[[#This Row],[Critical Facilities Score (Normalized, Unweighted)]]*$R$3</f>
        <v>0</v>
      </c>
      <c r="U2094">
        <f>_xlfn.XLOOKUP(FME_Ranking1[[#This Row],[FME ID]],FME_Input[FME_ID],FME_Input[LWC])</f>
        <v>0</v>
      </c>
      <c r="V2094" s="178">
        <f>(FME_Ranking1[[#This Row],[LWC Raw]]/$U$2)*100</f>
        <v>0</v>
      </c>
      <c r="W2094" s="178">
        <f>FME_Ranking1[[#This Row],[LWC Score (Normalized, Unweighted)]]*$U$3</f>
        <v>0</v>
      </c>
      <c r="X2094" s="246">
        <f>_xlfn.XLOOKUP(FME_Ranking1[[#This Row],[FME ID]],FME_Input[FME_ID],FME_Input[ROADCLS])</f>
        <v>0</v>
      </c>
      <c r="Y2094" s="230">
        <f>(FME_Ranking1[[#This Row],[Closures Raw]]/$X$2)*100</f>
        <v>0</v>
      </c>
      <c r="Z2094" s="180">
        <f>FME_Ranking1[[#This Row],[Closures Score (Normalized, Unweighted)]]*$X$3</f>
        <v>0</v>
      </c>
      <c r="AA2094" s="253">
        <f>_xlfn.XLOOKUP(FME_Ranking1[[#This Row],[FME ID]],FME_Input[FME_ID],FME_Input[ROAD_MILES100])</f>
        <v>0</v>
      </c>
      <c r="AB2094" s="178">
        <f>(FME_Ranking1[[#This Row],[Miles Raw]]/$AA$2)*100</f>
        <v>0</v>
      </c>
      <c r="AC2094" s="178">
        <f>FME_Ranking1[[#This Row],[Miles Score (Normalized, Unweighted)]]*$AA$3</f>
        <v>0</v>
      </c>
      <c r="AD2094" s="255">
        <f>_xlfn.XLOOKUP(FME_Ranking1[[#This Row],[FME ID]],FME_Input[FME_ID],FME_Input[FARMACRE100])</f>
        <v>35.263637542724609</v>
      </c>
      <c r="AE2094" s="230">
        <f>(FME_Ranking1[[#This Row],[Ag Land Raw]]/$AD$2)*100</f>
        <v>1.4541145544583996E-3</v>
      </c>
      <c r="AF2094" s="231">
        <f>FME_Ranking1[[#This Row],[Ag Land Score (Normalized, Unweighted)]]*$AD$3</f>
        <v>7.2705727722919986E-5</v>
      </c>
      <c r="AG209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2.3335345937694905E-4</v>
      </c>
      <c r="AH2094" s="406">
        <f t="shared" si="32"/>
        <v>2123</v>
      </c>
      <c r="AI209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2.3335345937694905E-4</v>
      </c>
      <c r="AJ2094" s="257">
        <f>FME_Ranking1[[#This Row],[Addition check]]-FME_Ranking1[[#This Row],[Weighted Score Based on Normalized Reported Factors]]</f>
        <v>0</v>
      </c>
      <c r="AK2094" s="178">
        <f>_xlfn.RANK.EQ(AI2094,$AI$6:$AI$2341,0)+COUNTIF($AI$6:AI2094,AI2094)-1</f>
        <v>2123</v>
      </c>
    </row>
    <row r="2095" spans="1:37" x14ac:dyDescent="0.25">
      <c r="A2095" t="s">
        <v>11322</v>
      </c>
      <c r="B2095">
        <f>_xlfn.XLOOKUP(FME_Ranking1[[#This Row],[FME ID]],FME_Input[FME_ID],FME_Input[RFPG_NUM])</f>
        <v>15</v>
      </c>
      <c r="C2095" t="str">
        <f>_xlfn.XLOOKUP(FME_Ranking1[[#This Row],[FME ID]],FME_Input[FME_ID],FME_Input[FME_NAME])</f>
        <v>Dimmit County</v>
      </c>
      <c r="D2095" t="str">
        <f>_xlfn.XLOOKUP(FME_Ranking1[[#This Row],[FME ID]],FME_Input[FME_ID],FME_Input[DESCR])</f>
        <v>Develop Flood risk maps for the county of Dimmit and develop CIP</v>
      </c>
      <c r="E2095" s="256">
        <f>_xlfn.XLOOKUP(FME_Ranking1[[#This Row],[FME ID]],FME_Input[FME_ID],FME_Input[FME_COST])</f>
        <v>250000</v>
      </c>
      <c r="F2095" t="str">
        <f>_xlfn.XLOOKUP(FME_Ranking1[[#This Row],[FME ID]],FME_Input[FME_ID],FME_Input[EMER_NEED])</f>
        <v>Yes</v>
      </c>
      <c r="G2095">
        <f>IF(FME_Ranking!F2095="Yes",100,0)</f>
        <v>100</v>
      </c>
      <c r="H2095">
        <f>FME_Ranking1[[#This Row],[Emergency Need Score (Normalized, Unweighted)]]*$F$3</f>
        <v>0</v>
      </c>
      <c r="I2095" s="246">
        <f>_xlfn.XLOOKUP(FME_Ranking1[[#This Row],[FME ID]],FME_Input[FME_ID],FME_Input[STRUCT_100])</f>
        <v>0</v>
      </c>
      <c r="J2095" s="178">
        <f>(FME_Ranking1[[#This Row],[Structures 100 Raw]]/I$2)*100</f>
        <v>0</v>
      </c>
      <c r="K2095" s="178">
        <f>FME_Ranking1[[#This Row],[Structures 100  Score (Normalized, Unweighted)]]*$I$3</f>
        <v>0</v>
      </c>
      <c r="L2095" s="246">
        <f>_xlfn.XLOOKUP(FME_Ranking1[[#This Row],[FME ID]],FME_Input[FME_ID],FME_Input[RES_STRUCT100])</f>
        <v>3</v>
      </c>
      <c r="M2095" s="230">
        <f>(FME_Ranking1[[#This Row],[Res Structures Raw]]/L$2)*100</f>
        <v>2.1249167740930146E-3</v>
      </c>
      <c r="N2095" s="180">
        <f>FME_Ranking1[[#This Row],[Res Structures Score (Normalized, Unweighted)]]*$L$3</f>
        <v>2.1249167740930149E-4</v>
      </c>
      <c r="O2095" s="244">
        <f>_xlfn.XLOOKUP(FME_Ranking1[[#This Row],[FME ID]],FME_Input[FME_ID],FME_Input[POP100])</f>
        <v>1</v>
      </c>
      <c r="P2095" s="178">
        <f>(FME_Ranking1[[#This Row],[Pop Raw]]/$O$2)*100</f>
        <v>1.0237531198876328E-4</v>
      </c>
      <c r="Q2095" s="178">
        <f>FME_Ranking1[[#This Row],[Pop Score (Normalized, Unweighted)]]*$O$3</f>
        <v>1.5356296798314492E-5</v>
      </c>
      <c r="R2095" s="137">
        <f>_xlfn.XLOOKUP(FME_Ranking1[[#This Row],[FME ID]],FME_Input[FME_ID],FME_Input[CRITFAC100])</f>
        <v>0</v>
      </c>
      <c r="S2095" s="230">
        <f>(FME_Ranking1[[#This Row],[Critical Facilities Raw]]/$R$2)*100</f>
        <v>0</v>
      </c>
      <c r="T2095" s="180">
        <f>FME_Ranking1[[#This Row],[Critical Facilities Score (Normalized, Unweighted)]]*$R$3</f>
        <v>0</v>
      </c>
      <c r="U2095">
        <f>_xlfn.XLOOKUP(FME_Ranking1[[#This Row],[FME ID]],FME_Input[FME_ID],FME_Input[LWC])</f>
        <v>0</v>
      </c>
      <c r="V2095" s="178">
        <f>(FME_Ranking1[[#This Row],[LWC Raw]]/$U$2)*100</f>
        <v>0</v>
      </c>
      <c r="W2095" s="178">
        <f>FME_Ranking1[[#This Row],[LWC Score (Normalized, Unweighted)]]*$U$3</f>
        <v>0</v>
      </c>
      <c r="X2095" s="246">
        <f>_xlfn.XLOOKUP(FME_Ranking1[[#This Row],[FME ID]],FME_Input[FME_ID],FME_Input[ROADCLS])</f>
        <v>0</v>
      </c>
      <c r="Y2095" s="230">
        <f>(FME_Ranking1[[#This Row],[Closures Raw]]/$X$2)*100</f>
        <v>0</v>
      </c>
      <c r="Z2095" s="180">
        <f>FME_Ranking1[[#This Row],[Closures Score (Normalized, Unweighted)]]*$X$3</f>
        <v>0</v>
      </c>
      <c r="AA2095" s="253">
        <f>_xlfn.XLOOKUP(FME_Ranking1[[#This Row],[FME ID]],FME_Input[FME_ID],FME_Input[ROAD_MILES100])</f>
        <v>86.835800170898438</v>
      </c>
      <c r="AB2095" s="178">
        <f>(FME_Ranking1[[#This Row],[Miles Raw]]/$AA$2)*100</f>
        <v>1.141735024927985</v>
      </c>
      <c r="AC2095" s="178">
        <f>FME_Ranking1[[#This Row],[Miles Score (Normalized, Unweighted)]]*$AA$3</f>
        <v>0.11417350249279851</v>
      </c>
      <c r="AD2095" s="255">
        <f>_xlfn.XLOOKUP(FME_Ranking1[[#This Row],[FME ID]],FME_Input[FME_ID],FME_Input[FARMACRE100])</f>
        <v>0</v>
      </c>
      <c r="AE2095" s="230">
        <f>(FME_Ranking1[[#This Row],[Ag Land Raw]]/$AD$2)*100</f>
        <v>0</v>
      </c>
      <c r="AF2095" s="231">
        <f>FME_Ranking1[[#This Row],[Ag Land Score (Normalized, Unweighted)]]*$AD$3</f>
        <v>0</v>
      </c>
      <c r="AG209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0.11440135046700613</v>
      </c>
      <c r="AH2095" s="406">
        <f t="shared" si="32"/>
        <v>1003</v>
      </c>
      <c r="AI209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0.11440135046700613</v>
      </c>
      <c r="AJ2095" s="257">
        <f>FME_Ranking1[[#This Row],[Addition check]]-FME_Ranking1[[#This Row],[Weighted Score Based on Normalized Reported Factors]]</f>
        <v>0</v>
      </c>
      <c r="AK2095" s="178">
        <f>_xlfn.RANK.EQ(AI2095,$AI$6:$AI$2341,0)+COUNTIF($AI$6:AI2095,AI2095)-1</f>
        <v>1003</v>
      </c>
    </row>
    <row r="2096" spans="1:37" x14ac:dyDescent="0.25">
      <c r="A2096" t="s">
        <v>5553</v>
      </c>
      <c r="B2096">
        <f>_xlfn.XLOOKUP(FME_Ranking1[[#This Row],[FME ID]],FME_Input[FME_ID],FME_Input[RFPG_NUM])</f>
        <v>4</v>
      </c>
      <c r="C2096" t="str">
        <f>_xlfn.XLOOKUP(FME_Ranking1[[#This Row],[FME ID]],FME_Input[FME_ID],FME_Input[FME_NAME])</f>
        <v>Nevada Drainage Master Plan</v>
      </c>
      <c r="D2096" t="str">
        <f>_xlfn.XLOOKUP(FME_Ranking1[[#This Row],[FME ID]],FME_Input[FME_ID],FME_Input[DESCR])</f>
        <v>Perform study of existing culverts and drainage capabilities in town. Identify upgrades to drainage infrastructure capacity where needed.</v>
      </c>
      <c r="E2096" s="256">
        <f>_xlfn.XLOOKUP(FME_Ranking1[[#This Row],[FME ID]],FME_Input[FME_ID],FME_Input[FME_COST])</f>
        <v>100000</v>
      </c>
      <c r="F2096" t="str">
        <f>_xlfn.XLOOKUP(FME_Ranking1[[#This Row],[FME ID]],FME_Input[FME_ID],FME_Input[EMER_NEED])</f>
        <v>No</v>
      </c>
      <c r="G2096">
        <f>IF(FME_Ranking!F2096="Yes",100,0)</f>
        <v>0</v>
      </c>
      <c r="H2096">
        <f>FME_Ranking1[[#This Row],[Emergency Need Score (Normalized, Unweighted)]]*$F$3</f>
        <v>0</v>
      </c>
      <c r="I2096" s="246">
        <f>_xlfn.XLOOKUP(FME_Ranking1[[#This Row],[FME ID]],FME_Input[FME_ID],FME_Input[STRUCT_100])</f>
        <v>1</v>
      </c>
      <c r="J2096" s="178">
        <f>(FME_Ranking1[[#This Row],[Structures 100 Raw]]/I$2)*100</f>
        <v>5.3549243884676355E-4</v>
      </c>
      <c r="K2096" s="178">
        <f>FME_Ranking1[[#This Row],[Structures 100  Score (Normalized, Unweighted)]]*$I$3</f>
        <v>8.0323865827014533E-5</v>
      </c>
      <c r="L2096" s="246">
        <f>_xlfn.XLOOKUP(FME_Ranking1[[#This Row],[FME ID]],FME_Input[FME_ID],FME_Input[RES_STRUCT100])</f>
        <v>1</v>
      </c>
      <c r="M2096" s="230">
        <f>(FME_Ranking1[[#This Row],[Res Structures Raw]]/L$2)*100</f>
        <v>7.0830559136433825E-4</v>
      </c>
      <c r="N2096" s="180">
        <f>FME_Ranking1[[#This Row],[Res Structures Score (Normalized, Unweighted)]]*$L$3</f>
        <v>7.0830559136433833E-5</v>
      </c>
      <c r="O2096" s="244">
        <f>_xlfn.XLOOKUP(FME_Ranking1[[#This Row],[FME ID]],FME_Input[FME_ID],FME_Input[POP100])</f>
        <v>3</v>
      </c>
      <c r="P2096" s="178">
        <f>(FME_Ranking1[[#This Row],[Pop Raw]]/$O$2)*100</f>
        <v>3.0712593596628988E-4</v>
      </c>
      <c r="Q2096" s="178">
        <f>FME_Ranking1[[#This Row],[Pop Score (Normalized, Unweighted)]]*$O$3</f>
        <v>4.6068890394943479E-5</v>
      </c>
      <c r="R2096" s="137">
        <f>_xlfn.XLOOKUP(FME_Ranking1[[#This Row],[FME ID]],FME_Input[FME_ID],FME_Input[CRITFAC100])</f>
        <v>0</v>
      </c>
      <c r="S2096" s="230">
        <f>(FME_Ranking1[[#This Row],[Critical Facilities Raw]]/$R$2)*100</f>
        <v>0</v>
      </c>
      <c r="T2096" s="180">
        <f>FME_Ranking1[[#This Row],[Critical Facilities Score (Normalized, Unweighted)]]*$R$3</f>
        <v>0</v>
      </c>
      <c r="U2096">
        <f>_xlfn.XLOOKUP(FME_Ranking1[[#This Row],[FME ID]],FME_Input[FME_ID],FME_Input[LWC])</f>
        <v>0</v>
      </c>
      <c r="V2096" s="178">
        <f>(FME_Ranking1[[#This Row],[LWC Raw]]/$U$2)*100</f>
        <v>0</v>
      </c>
      <c r="W2096" s="178">
        <f>FME_Ranking1[[#This Row],[LWC Score (Normalized, Unweighted)]]*$U$3</f>
        <v>0</v>
      </c>
      <c r="X2096" s="246">
        <f>_xlfn.XLOOKUP(FME_Ranking1[[#This Row],[FME ID]],FME_Input[FME_ID],FME_Input[ROADCLS])</f>
        <v>0</v>
      </c>
      <c r="Y2096" s="230">
        <f>(FME_Ranking1[[#This Row],[Closures Raw]]/$X$2)*100</f>
        <v>0</v>
      </c>
      <c r="Z2096" s="180">
        <f>FME_Ranking1[[#This Row],[Closures Score (Normalized, Unweighted)]]*$X$3</f>
        <v>0</v>
      </c>
      <c r="AA2096" s="253">
        <f>_xlfn.XLOOKUP(FME_Ranking1[[#This Row],[FME ID]],FME_Input[FME_ID],FME_Input[ROAD_MILES100])</f>
        <v>0</v>
      </c>
      <c r="AB2096" s="178">
        <f>(FME_Ranking1[[#This Row],[Miles Raw]]/$AA$2)*100</f>
        <v>0</v>
      </c>
      <c r="AC2096" s="178">
        <f>FME_Ranking1[[#This Row],[Miles Score (Normalized, Unweighted)]]*$AA$3</f>
        <v>0</v>
      </c>
      <c r="AD2096" s="255">
        <f>_xlfn.XLOOKUP(FME_Ranking1[[#This Row],[FME ID]],FME_Input[FME_ID],FME_Input[FARMACRE100])</f>
        <v>11.43733978271484</v>
      </c>
      <c r="AE2096" s="230">
        <f>(FME_Ranking1[[#This Row],[Ag Land Raw]]/$AD$2)*100</f>
        <v>4.7162469334542526E-4</v>
      </c>
      <c r="AF2096" s="231">
        <f>FME_Ranking1[[#This Row],[Ag Land Score (Normalized, Unweighted)]]*$AD$3</f>
        <v>2.3581234667271265E-5</v>
      </c>
      <c r="AG209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2.208045500256631E-4</v>
      </c>
      <c r="AH2096" s="406">
        <f t="shared" si="32"/>
        <v>2125</v>
      </c>
      <c r="AI209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2.208045500256631E-4</v>
      </c>
      <c r="AJ2096" s="257">
        <f>FME_Ranking1[[#This Row],[Addition check]]-FME_Ranking1[[#This Row],[Weighted Score Based on Normalized Reported Factors]]</f>
        <v>0</v>
      </c>
      <c r="AK2096" s="178">
        <f>_xlfn.RANK.EQ(AI2096,$AI$6:$AI$2341,0)+COUNTIF($AI$6:AI2096,AI2096)-1</f>
        <v>2125</v>
      </c>
    </row>
    <row r="2097" spans="1:37" x14ac:dyDescent="0.25">
      <c r="A2097" t="s">
        <v>351</v>
      </c>
      <c r="B2097">
        <f>_xlfn.XLOOKUP(FME_Ranking1[[#This Row],[FME ID]],FME_Input[FME_ID],FME_Input[RFPG_NUM])</f>
        <v>10</v>
      </c>
      <c r="C2097" t="str">
        <f>_xlfn.XLOOKUP(FME_Ranking1[[#This Row],[FME ID]],FME_Input[FME_ID],FME_Input[FME_NAME])</f>
        <v>Floodplain/Floodway Audit</v>
      </c>
      <c r="D2097" t="str">
        <f>_xlfn.XLOOKUP(FME_Ranking1[[#This Row],[FME ID]],FME_Input[FME_ID],FME_Input[DESCR])</f>
        <v xml:space="preserve">Floodplain/floodway audit_x000D_
</v>
      </c>
      <c r="E2097" s="256">
        <f>_xlfn.XLOOKUP(FME_Ranking1[[#This Row],[FME ID]],FME_Input[FME_ID],FME_Input[FME_COST])</f>
        <v>50000</v>
      </c>
      <c r="F2097" t="str">
        <f>_xlfn.XLOOKUP(FME_Ranking1[[#This Row],[FME ID]],FME_Input[FME_ID],FME_Input[EMER_NEED])</f>
        <v>No</v>
      </c>
      <c r="G2097">
        <f>IF(FME_Ranking!F2097="Yes",100,0)</f>
        <v>0</v>
      </c>
      <c r="H2097">
        <f>FME_Ranking1[[#This Row],[Emergency Need Score (Normalized, Unweighted)]]*$F$3</f>
        <v>0</v>
      </c>
      <c r="I2097" s="246">
        <f>_xlfn.XLOOKUP(FME_Ranking1[[#This Row],[FME ID]],FME_Input[FME_ID],FME_Input[STRUCT_100])</f>
        <v>1</v>
      </c>
      <c r="J2097" s="178">
        <f>(FME_Ranking1[[#This Row],[Structures 100 Raw]]/I$2)*100</f>
        <v>5.3549243884676355E-4</v>
      </c>
      <c r="K2097" s="178">
        <f>FME_Ranking1[[#This Row],[Structures 100  Score (Normalized, Unweighted)]]*$I$3</f>
        <v>8.0323865827014533E-5</v>
      </c>
      <c r="L2097" s="246">
        <f>_xlfn.XLOOKUP(FME_Ranking1[[#This Row],[FME ID]],FME_Input[FME_ID],FME_Input[RES_STRUCT100])</f>
        <v>1</v>
      </c>
      <c r="M2097" s="230">
        <f>(FME_Ranking1[[#This Row],[Res Structures Raw]]/L$2)*100</f>
        <v>7.0830559136433825E-4</v>
      </c>
      <c r="N2097" s="180">
        <f>FME_Ranking1[[#This Row],[Res Structures Score (Normalized, Unweighted)]]*$L$3</f>
        <v>7.0830559136433833E-5</v>
      </c>
      <c r="O2097" s="244">
        <f>_xlfn.XLOOKUP(FME_Ranking1[[#This Row],[FME ID]],FME_Input[FME_ID],FME_Input[POP100])</f>
        <v>3</v>
      </c>
      <c r="P2097" s="178">
        <f>(FME_Ranking1[[#This Row],[Pop Raw]]/$O$2)*100</f>
        <v>3.0712593596628988E-4</v>
      </c>
      <c r="Q2097" s="178">
        <f>FME_Ranking1[[#This Row],[Pop Score (Normalized, Unweighted)]]*$O$3</f>
        <v>4.6068890394943479E-5</v>
      </c>
      <c r="R2097" s="137">
        <f>_xlfn.XLOOKUP(FME_Ranking1[[#This Row],[FME ID]],FME_Input[FME_ID],FME_Input[CRITFAC100])</f>
        <v>0</v>
      </c>
      <c r="S2097" s="230">
        <f>(FME_Ranking1[[#This Row],[Critical Facilities Raw]]/$R$2)*100</f>
        <v>0</v>
      </c>
      <c r="T2097" s="180">
        <f>FME_Ranking1[[#This Row],[Critical Facilities Score (Normalized, Unweighted)]]*$R$3</f>
        <v>0</v>
      </c>
      <c r="U2097">
        <f>_xlfn.XLOOKUP(FME_Ranking1[[#This Row],[FME ID]],FME_Input[FME_ID],FME_Input[LWC])</f>
        <v>0</v>
      </c>
      <c r="V2097" s="178">
        <f>(FME_Ranking1[[#This Row],[LWC Raw]]/$U$2)*100</f>
        <v>0</v>
      </c>
      <c r="W2097" s="178">
        <f>FME_Ranking1[[#This Row],[LWC Score (Normalized, Unweighted)]]*$U$3</f>
        <v>0</v>
      </c>
      <c r="X2097" s="246">
        <f>_xlfn.XLOOKUP(FME_Ranking1[[#This Row],[FME ID]],FME_Input[FME_ID],FME_Input[ROADCLS])</f>
        <v>0</v>
      </c>
      <c r="Y2097" s="230">
        <f>(FME_Ranking1[[#This Row],[Closures Raw]]/$X$2)*100</f>
        <v>0</v>
      </c>
      <c r="Z2097" s="180">
        <f>FME_Ranking1[[#This Row],[Closures Score (Normalized, Unweighted)]]*$X$3</f>
        <v>0</v>
      </c>
      <c r="AA2097" s="253">
        <f>_xlfn.XLOOKUP(FME_Ranking1[[#This Row],[FME ID]],FME_Input[FME_ID],FME_Input[ROAD_MILES100])</f>
        <v>3.8949351757764823E-2</v>
      </c>
      <c r="AB2097" s="178">
        <f>(FME_Ranking1[[#This Row],[Miles Raw]]/$AA$2)*100</f>
        <v>5.1211411667262776E-4</v>
      </c>
      <c r="AC2097" s="178">
        <f>FME_Ranking1[[#This Row],[Miles Score (Normalized, Unweighted)]]*$AA$3</f>
        <v>5.121141166726278E-5</v>
      </c>
      <c r="AD2097" s="255">
        <f>_xlfn.XLOOKUP(FME_Ranking1[[#This Row],[FME ID]],FME_Input[FME_ID],FME_Input[FARMACRE100])</f>
        <v>4.04803466796875</v>
      </c>
      <c r="AE2097" s="230">
        <f>(FME_Ranking1[[#This Row],[Ag Land Raw]]/$AD$2)*100</f>
        <v>1.6692282866490507E-4</v>
      </c>
      <c r="AF2097" s="231">
        <f>FME_Ranking1[[#This Row],[Ag Land Score (Normalized, Unweighted)]]*$AD$3</f>
        <v>8.3461414332452536E-6</v>
      </c>
      <c r="AG209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2.5678086845889986E-4</v>
      </c>
      <c r="AH2097" s="406">
        <f t="shared" si="32"/>
        <v>2120</v>
      </c>
      <c r="AI209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2.5678086845889986E-4</v>
      </c>
      <c r="AJ2097" s="257">
        <f>FME_Ranking1[[#This Row],[Addition check]]-FME_Ranking1[[#This Row],[Weighted Score Based on Normalized Reported Factors]]</f>
        <v>0</v>
      </c>
      <c r="AK2097" s="178">
        <f>_xlfn.RANK.EQ(AI2097,$AI$6:$AI$2341,0)+COUNTIF($AI$6:AI2097,AI2097)-1</f>
        <v>2120</v>
      </c>
    </row>
    <row r="2098" spans="1:37" x14ac:dyDescent="0.25">
      <c r="A2098" t="s">
        <v>11196</v>
      </c>
      <c r="B2098">
        <f>_xlfn.XLOOKUP(FME_Ranking1[[#This Row],[FME ID]],FME_Input[FME_ID],FME_Input[RFPG_NUM])</f>
        <v>15</v>
      </c>
      <c r="C2098" t="str">
        <f>_xlfn.XLOOKUP(FME_Ranking1[[#This Row],[FME ID]],FME_Input[FME_ID],FME_Input[FME_NAME])</f>
        <v>Primera Action #2</v>
      </c>
      <c r="D2098" t="str">
        <f>_xlfn.XLOOKUP(FME_Ranking1[[#This Row],[FME ID]],FME_Input[FME_ID],FME_Input[DESCR])</f>
        <v>Construct a large retention/detention pond in the northwest part of town to hold water during heavy rain events</v>
      </c>
      <c r="E2098" s="256">
        <f>_xlfn.XLOOKUP(FME_Ranking1[[#This Row],[FME ID]],FME_Input[FME_ID],FME_Input[FME_COST])</f>
        <v>92400</v>
      </c>
      <c r="F2098" t="str">
        <f>_xlfn.XLOOKUP(FME_Ranking1[[#This Row],[FME ID]],FME_Input[FME_ID],FME_Input[EMER_NEED])</f>
        <v>Yes</v>
      </c>
      <c r="G2098">
        <f>IF(FME_Ranking!F2098="Yes",100,0)</f>
        <v>100</v>
      </c>
      <c r="H2098">
        <f>FME_Ranking1[[#This Row],[Emergency Need Score (Normalized, Unweighted)]]*$F$3</f>
        <v>0</v>
      </c>
      <c r="I2098" s="246">
        <f>_xlfn.XLOOKUP(FME_Ranking1[[#This Row],[FME ID]],FME_Input[FME_ID],FME_Input[STRUCT_100])</f>
        <v>0</v>
      </c>
      <c r="J2098" s="178">
        <f>(FME_Ranking1[[#This Row],[Structures 100 Raw]]/I$2)*100</f>
        <v>0</v>
      </c>
      <c r="K2098" s="178">
        <f>FME_Ranking1[[#This Row],[Structures 100  Score (Normalized, Unweighted)]]*$I$3</f>
        <v>0</v>
      </c>
      <c r="L2098" s="246">
        <f>_xlfn.XLOOKUP(FME_Ranking1[[#This Row],[FME ID]],FME_Input[FME_ID],FME_Input[RES_STRUCT100])</f>
        <v>2</v>
      </c>
      <c r="M2098" s="230">
        <f>(FME_Ranking1[[#This Row],[Res Structures Raw]]/L$2)*100</f>
        <v>1.4166111827286765E-3</v>
      </c>
      <c r="N2098" s="180">
        <f>FME_Ranking1[[#This Row],[Res Structures Score (Normalized, Unweighted)]]*$L$3</f>
        <v>1.4166111827286767E-4</v>
      </c>
      <c r="O2098" s="244">
        <f>_xlfn.XLOOKUP(FME_Ranking1[[#This Row],[FME ID]],FME_Input[FME_ID],FME_Input[POP100])</f>
        <v>4</v>
      </c>
      <c r="P2098" s="178">
        <f>(FME_Ranking1[[#This Row],[Pop Raw]]/$O$2)*100</f>
        <v>4.0950124795505313E-4</v>
      </c>
      <c r="Q2098" s="178">
        <f>FME_Ranking1[[#This Row],[Pop Score (Normalized, Unweighted)]]*$O$3</f>
        <v>6.1425187193257967E-5</v>
      </c>
      <c r="R2098" s="137">
        <f>_xlfn.XLOOKUP(FME_Ranking1[[#This Row],[FME ID]],FME_Input[FME_ID],FME_Input[CRITFAC100])</f>
        <v>0</v>
      </c>
      <c r="S2098" s="230">
        <f>(FME_Ranking1[[#This Row],[Critical Facilities Raw]]/$R$2)*100</f>
        <v>0</v>
      </c>
      <c r="T2098" s="180">
        <f>FME_Ranking1[[#This Row],[Critical Facilities Score (Normalized, Unweighted)]]*$R$3</f>
        <v>0</v>
      </c>
      <c r="U2098">
        <f>_xlfn.XLOOKUP(FME_Ranking1[[#This Row],[FME ID]],FME_Input[FME_ID],FME_Input[LWC])</f>
        <v>0</v>
      </c>
      <c r="V2098" s="178">
        <f>(FME_Ranking1[[#This Row],[LWC Raw]]/$U$2)*100</f>
        <v>0</v>
      </c>
      <c r="W2098" s="178">
        <f>FME_Ranking1[[#This Row],[LWC Score (Normalized, Unweighted)]]*$U$3</f>
        <v>0</v>
      </c>
      <c r="X2098" s="246">
        <f>_xlfn.XLOOKUP(FME_Ranking1[[#This Row],[FME ID]],FME_Input[FME_ID],FME_Input[ROADCLS])</f>
        <v>0</v>
      </c>
      <c r="Y2098" s="230">
        <f>(FME_Ranking1[[#This Row],[Closures Raw]]/$X$2)*100</f>
        <v>0</v>
      </c>
      <c r="Z2098" s="180">
        <f>FME_Ranking1[[#This Row],[Closures Score (Normalized, Unweighted)]]*$X$3</f>
        <v>0</v>
      </c>
      <c r="AA2098" s="253">
        <f>_xlfn.XLOOKUP(FME_Ranking1[[#This Row],[FME ID]],FME_Input[FME_ID],FME_Input[ROAD_MILES100])</f>
        <v>0</v>
      </c>
      <c r="AB2098" s="178">
        <f>(FME_Ranking1[[#This Row],[Miles Raw]]/$AA$2)*100</f>
        <v>0</v>
      </c>
      <c r="AC2098" s="178">
        <f>FME_Ranking1[[#This Row],[Miles Score (Normalized, Unweighted)]]*$AA$3</f>
        <v>0</v>
      </c>
      <c r="AD2098" s="255">
        <f>_xlfn.XLOOKUP(FME_Ranking1[[#This Row],[FME ID]],FME_Input[FME_ID],FME_Input[FARMACRE100])</f>
        <v>0</v>
      </c>
      <c r="AE2098" s="230">
        <f>(FME_Ranking1[[#This Row],[Ag Land Raw]]/$AD$2)*100</f>
        <v>0</v>
      </c>
      <c r="AF2098" s="231">
        <f>FME_Ranking1[[#This Row],[Ag Land Score (Normalized, Unweighted)]]*$AD$3</f>
        <v>0</v>
      </c>
      <c r="AG209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2.0308630546612565E-4</v>
      </c>
      <c r="AH2098" s="406">
        <f t="shared" si="32"/>
        <v>2127</v>
      </c>
      <c r="AI209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2.0308630546612565E-4</v>
      </c>
      <c r="AJ2098" s="257">
        <f>FME_Ranking1[[#This Row],[Addition check]]-FME_Ranking1[[#This Row],[Weighted Score Based on Normalized Reported Factors]]</f>
        <v>0</v>
      </c>
      <c r="AK2098" s="178">
        <f>_xlfn.RANK.EQ(AI2098,$AI$6:$AI$2341,0)+COUNTIF($AI$6:AI2098,AI2098)-1</f>
        <v>2127</v>
      </c>
    </row>
    <row r="2099" spans="1:37" x14ac:dyDescent="0.25">
      <c r="A2099" t="s">
        <v>1593</v>
      </c>
      <c r="B2099">
        <f>_xlfn.XLOOKUP(FME_Ranking1[[#This Row],[FME ID]],FME_Input[FME_ID],FME_Input[RFPG_NUM])</f>
        <v>6</v>
      </c>
      <c r="C2099" t="str">
        <f>_xlfn.XLOOKUP(FME_Ranking1[[#This Row],[FME ID]],FME_Input[FME_ID],FME_Input[FME_NAME])</f>
        <v>City of Hilshire Village  Master Drainage Plan</v>
      </c>
      <c r="D2099" t="str">
        <f>_xlfn.XLOOKUP(FME_Ranking1[[#This Row],[FME ID]],FME_Input[FME_ID],FME_Input[DESCR])</f>
        <v>Study to develop Master Drainage Plan using future and existing land use and flood/storm water drainage needs including Atlas 14 rainfall.</v>
      </c>
      <c r="E2099" s="256">
        <f>_xlfn.XLOOKUP(FME_Ranking1[[#This Row],[FME ID]],FME_Input[FME_ID],FME_Input[FME_COST])</f>
        <v>110000</v>
      </c>
      <c r="F2099" t="str">
        <f>_xlfn.XLOOKUP(FME_Ranking1[[#This Row],[FME ID]],FME_Input[FME_ID],FME_Input[EMER_NEED])</f>
        <v>Yes</v>
      </c>
      <c r="G2099">
        <f>IF(FME_Ranking!F2099="Yes",100,0)</f>
        <v>100</v>
      </c>
      <c r="H2099">
        <f>FME_Ranking1[[#This Row],[Emergency Need Score (Normalized, Unweighted)]]*$F$3</f>
        <v>0</v>
      </c>
      <c r="I2099" s="246">
        <f>_xlfn.XLOOKUP(FME_Ranking1[[#This Row],[FME ID]],FME_Input[FME_ID],FME_Input[STRUCT_100])</f>
        <v>1</v>
      </c>
      <c r="J2099" s="178">
        <f>(FME_Ranking1[[#This Row],[Structures 100 Raw]]/I$2)*100</f>
        <v>5.3549243884676355E-4</v>
      </c>
      <c r="K2099" s="178">
        <f>FME_Ranking1[[#This Row],[Structures 100  Score (Normalized, Unweighted)]]*$I$3</f>
        <v>8.0323865827014533E-5</v>
      </c>
      <c r="L2099" s="246">
        <f>_xlfn.XLOOKUP(FME_Ranking1[[#This Row],[FME ID]],FME_Input[FME_ID],FME_Input[RES_STRUCT100])</f>
        <v>1</v>
      </c>
      <c r="M2099" s="230">
        <f>(FME_Ranking1[[#This Row],[Res Structures Raw]]/L$2)*100</f>
        <v>7.0830559136433825E-4</v>
      </c>
      <c r="N2099" s="180">
        <f>FME_Ranking1[[#This Row],[Res Structures Score (Normalized, Unweighted)]]*$L$3</f>
        <v>7.0830559136433833E-5</v>
      </c>
      <c r="O2099" s="244">
        <f>_xlfn.XLOOKUP(FME_Ranking1[[#This Row],[FME ID]],FME_Input[FME_ID],FME_Input[POP100])</f>
        <v>3</v>
      </c>
      <c r="P2099" s="178">
        <f>(FME_Ranking1[[#This Row],[Pop Raw]]/$O$2)*100</f>
        <v>3.0712593596628988E-4</v>
      </c>
      <c r="Q2099" s="178">
        <f>FME_Ranking1[[#This Row],[Pop Score (Normalized, Unweighted)]]*$O$3</f>
        <v>4.6068890394943479E-5</v>
      </c>
      <c r="R2099" s="137">
        <f>_xlfn.XLOOKUP(FME_Ranking1[[#This Row],[FME ID]],FME_Input[FME_ID],FME_Input[CRITFAC100])</f>
        <v>0</v>
      </c>
      <c r="S2099" s="230">
        <f>(FME_Ranking1[[#This Row],[Critical Facilities Raw]]/$R$2)*100</f>
        <v>0</v>
      </c>
      <c r="T2099" s="180">
        <f>FME_Ranking1[[#This Row],[Critical Facilities Score (Normalized, Unweighted)]]*$R$3</f>
        <v>0</v>
      </c>
      <c r="U2099">
        <f>_xlfn.XLOOKUP(FME_Ranking1[[#This Row],[FME ID]],FME_Input[FME_ID],FME_Input[LWC])</f>
        <v>0</v>
      </c>
      <c r="V2099" s="178">
        <f>(FME_Ranking1[[#This Row],[LWC Raw]]/$U$2)*100</f>
        <v>0</v>
      </c>
      <c r="W2099" s="178">
        <f>FME_Ranking1[[#This Row],[LWC Score (Normalized, Unweighted)]]*$U$3</f>
        <v>0</v>
      </c>
      <c r="X2099" s="246">
        <f>_xlfn.XLOOKUP(FME_Ranking1[[#This Row],[FME ID]],FME_Input[FME_ID],FME_Input[ROADCLS])</f>
        <v>0</v>
      </c>
      <c r="Y2099" s="230">
        <f>(FME_Ranking1[[#This Row],[Closures Raw]]/$X$2)*100</f>
        <v>0</v>
      </c>
      <c r="Z2099" s="180">
        <f>FME_Ranking1[[#This Row],[Closures Score (Normalized, Unweighted)]]*$X$3</f>
        <v>0</v>
      </c>
      <c r="AA2099" s="253">
        <f>_xlfn.XLOOKUP(FME_Ranking1[[#This Row],[FME ID]],FME_Input[FME_ID],FME_Input[ROAD_MILES100])</f>
        <v>6.7805200815200806E-3</v>
      </c>
      <c r="AB2099" s="178">
        <f>(FME_Ranking1[[#This Row],[Miles Raw]]/$AA$2)*100</f>
        <v>8.9151677638291468E-5</v>
      </c>
      <c r="AC2099" s="178">
        <f>FME_Ranking1[[#This Row],[Miles Score (Normalized, Unweighted)]]*$AA$3</f>
        <v>8.9151677638291468E-6</v>
      </c>
      <c r="AD2099" s="255">
        <f>_xlfn.XLOOKUP(FME_Ranking1[[#This Row],[FME ID]],FME_Input[FME_ID],FME_Input[FARMACRE100])</f>
        <v>0</v>
      </c>
      <c r="AE2099" s="230">
        <f>(FME_Ranking1[[#This Row],[Ag Land Raw]]/$AD$2)*100</f>
        <v>0</v>
      </c>
      <c r="AF2099" s="231">
        <f>FME_Ranking1[[#This Row],[Ag Land Score (Normalized, Unweighted)]]*$AD$3</f>
        <v>0</v>
      </c>
      <c r="AG209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2.0613848312222096E-4</v>
      </c>
      <c r="AH2099" s="406">
        <f t="shared" si="32"/>
        <v>2126</v>
      </c>
      <c r="AI209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2.0613848312222096E-4</v>
      </c>
      <c r="AJ2099" s="257">
        <f>FME_Ranking1[[#This Row],[Addition check]]-FME_Ranking1[[#This Row],[Weighted Score Based on Normalized Reported Factors]]</f>
        <v>0</v>
      </c>
      <c r="AK2099" s="178">
        <f>_xlfn.RANK.EQ(AI2099,$AI$6:$AI$2341,0)+COUNTIF($AI$6:AI2099,AI2099)-1</f>
        <v>2126</v>
      </c>
    </row>
    <row r="2100" spans="1:37" x14ac:dyDescent="0.25">
      <c r="A2100" t="s">
        <v>4825</v>
      </c>
      <c r="B2100">
        <f>_xlfn.XLOOKUP(FME_Ranking1[[#This Row],[FME ID]],FME_Input[FME_ID],FME_Input[RFPG_NUM])</f>
        <v>3</v>
      </c>
      <c r="C2100" t="str">
        <f>_xlfn.XLOOKUP(FME_Ranking1[[#This Row],[FME ID]],FME_Input[FME_ID],FME_Input[FME_NAME])</f>
        <v>Office Creek Drainage Study</v>
      </c>
      <c r="D2100" t="str">
        <f>_xlfn.XLOOKUP(FME_Ranking1[[#This Row],[FME ID]],FME_Input[FME_ID],FME_Input[DESCR])</f>
        <v>Update Drainage Study and Improvements at Five Star Park</v>
      </c>
      <c r="E2100" s="256">
        <f>_xlfn.XLOOKUP(FME_Ranking1[[#This Row],[FME ID]],FME_Input[FME_ID],FME_Input[FME_COST])</f>
        <v>100000</v>
      </c>
      <c r="F2100" t="str">
        <f>_xlfn.XLOOKUP(FME_Ranking1[[#This Row],[FME ID]],FME_Input[FME_ID],FME_Input[EMER_NEED])</f>
        <v>No</v>
      </c>
      <c r="G2100">
        <f>IF(FME_Ranking!F2100="Yes",100,0)</f>
        <v>0</v>
      </c>
      <c r="H2100">
        <f>FME_Ranking1[[#This Row],[Emergency Need Score (Normalized, Unweighted)]]*$F$3</f>
        <v>0</v>
      </c>
      <c r="I2100" s="246">
        <f>_xlfn.XLOOKUP(FME_Ranking1[[#This Row],[FME ID]],FME_Input[FME_ID],FME_Input[STRUCT_100])</f>
        <v>1</v>
      </c>
      <c r="J2100" s="178">
        <f>(FME_Ranking1[[#This Row],[Structures 100 Raw]]/I$2)*100</f>
        <v>5.3549243884676355E-4</v>
      </c>
      <c r="K2100" s="178">
        <f>FME_Ranking1[[#This Row],[Structures 100  Score (Normalized, Unweighted)]]*$I$3</f>
        <v>8.0323865827014533E-5</v>
      </c>
      <c r="L2100" s="246">
        <f>_xlfn.XLOOKUP(FME_Ranking1[[#This Row],[FME ID]],FME_Input[FME_ID],FME_Input[RES_STRUCT100])</f>
        <v>0</v>
      </c>
      <c r="M2100" s="230">
        <f>(FME_Ranking1[[#This Row],[Res Structures Raw]]/L$2)*100</f>
        <v>0</v>
      </c>
      <c r="N2100" s="180">
        <f>FME_Ranking1[[#This Row],[Res Structures Score (Normalized, Unweighted)]]*$L$3</f>
        <v>0</v>
      </c>
      <c r="O2100" s="244">
        <f>_xlfn.XLOOKUP(FME_Ranking1[[#This Row],[FME ID]],FME_Input[FME_ID],FME_Input[POP100])</f>
        <v>4</v>
      </c>
      <c r="P2100" s="178">
        <f>(FME_Ranking1[[#This Row],[Pop Raw]]/$O$2)*100</f>
        <v>4.0950124795505313E-4</v>
      </c>
      <c r="Q2100" s="178">
        <f>FME_Ranking1[[#This Row],[Pop Score (Normalized, Unweighted)]]*$O$3</f>
        <v>6.1425187193257967E-5</v>
      </c>
      <c r="R2100" s="137">
        <f>_xlfn.XLOOKUP(FME_Ranking1[[#This Row],[FME ID]],FME_Input[FME_ID],FME_Input[CRITFAC100])</f>
        <v>0</v>
      </c>
      <c r="S2100" s="230">
        <f>(FME_Ranking1[[#This Row],[Critical Facilities Raw]]/$R$2)*100</f>
        <v>0</v>
      </c>
      <c r="T2100" s="180">
        <f>FME_Ranking1[[#This Row],[Critical Facilities Score (Normalized, Unweighted)]]*$R$3</f>
        <v>0</v>
      </c>
      <c r="U2100">
        <f>_xlfn.XLOOKUP(FME_Ranking1[[#This Row],[FME ID]],FME_Input[FME_ID],FME_Input[LWC])</f>
        <v>0</v>
      </c>
      <c r="V2100" s="178">
        <f>(FME_Ranking1[[#This Row],[LWC Raw]]/$U$2)*100</f>
        <v>0</v>
      </c>
      <c r="W2100" s="178">
        <f>FME_Ranking1[[#This Row],[LWC Score (Normalized, Unweighted)]]*$U$3</f>
        <v>0</v>
      </c>
      <c r="X2100" s="246">
        <f>_xlfn.XLOOKUP(FME_Ranking1[[#This Row],[FME ID]],FME_Input[FME_ID],FME_Input[ROADCLS])</f>
        <v>0</v>
      </c>
      <c r="Y2100" s="230">
        <f>(FME_Ranking1[[#This Row],[Closures Raw]]/$X$2)*100</f>
        <v>0</v>
      </c>
      <c r="Z2100" s="180">
        <f>FME_Ranking1[[#This Row],[Closures Score (Normalized, Unweighted)]]*$X$3</f>
        <v>0</v>
      </c>
      <c r="AA2100" s="253">
        <f>_xlfn.XLOOKUP(FME_Ranking1[[#This Row],[FME ID]],FME_Input[FME_ID],FME_Input[ROAD_MILES100])</f>
        <v>0.46820390224456793</v>
      </c>
      <c r="AB2100" s="178">
        <f>(FME_Ranking1[[#This Row],[Miles Raw]]/$AA$2)*100</f>
        <v>6.1560415513938222E-3</v>
      </c>
      <c r="AC2100" s="178">
        <f>FME_Ranking1[[#This Row],[Miles Score (Normalized, Unweighted)]]*$AA$3</f>
        <v>6.1560415513938231E-4</v>
      </c>
      <c r="AD2100" s="255">
        <f>_xlfn.XLOOKUP(FME_Ranking1[[#This Row],[FME ID]],FME_Input[FME_ID],FME_Input[FARMACRE100])</f>
        <v>23.481979370117191</v>
      </c>
      <c r="AE2100" s="230">
        <f>(FME_Ranking1[[#This Row],[Ag Land Raw]]/$AD$2)*100</f>
        <v>9.6829171205634708E-4</v>
      </c>
      <c r="AF2100" s="231">
        <f>FME_Ranking1[[#This Row],[Ag Land Score (Normalized, Unweighted)]]*$AD$3</f>
        <v>4.8414585602817358E-5</v>
      </c>
      <c r="AG210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8.0576779376247208E-4</v>
      </c>
      <c r="AH2100" s="406">
        <f t="shared" si="32"/>
        <v>2043</v>
      </c>
      <c r="AI210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8.0576779376247208E-4</v>
      </c>
      <c r="AJ2100" s="257">
        <f>FME_Ranking1[[#This Row],[Addition check]]-FME_Ranking1[[#This Row],[Weighted Score Based on Normalized Reported Factors]]</f>
        <v>0</v>
      </c>
      <c r="AK2100" s="178">
        <f>_xlfn.RANK.EQ(AI2100,$AI$6:$AI$2341,0)+COUNTIF($AI$6:AI2100,AI2100)-1</f>
        <v>2043</v>
      </c>
    </row>
    <row r="2101" spans="1:37" x14ac:dyDescent="0.25">
      <c r="A2101" t="s">
        <v>2677</v>
      </c>
      <c r="B2101">
        <f>_xlfn.XLOOKUP(FME_Ranking1[[#This Row],[FME ID]],FME_Input[FME_ID],FME_Input[RFPG_NUM])</f>
        <v>1</v>
      </c>
      <c r="C2101" t="str">
        <f>_xlfn.XLOOKUP(FME_Ranking1[[#This Row],[FME ID]],FME_Input[FME_ID],FME_Input[FME_NAME])</f>
        <v>Darrouzett City Drainage Master Plan</v>
      </c>
      <c r="D2101" t="str">
        <f>_xlfn.XLOOKUP(FME_Ranking1[[#This Row],[FME ID]],FME_Input[FME_ID],FME_Input[DESCR])</f>
        <v xml:space="preserve">Perform H&amp;H modeling, develop conceptual alternatives and OPCC, and rank projects; selected based on survey responses reporting issues with rivers, creeks, tributaries, and functioning floodplains </v>
      </c>
      <c r="E2101" s="256">
        <f>_xlfn.XLOOKUP(FME_Ranking1[[#This Row],[FME ID]],FME_Input[FME_ID],FME_Input[FME_COST])</f>
        <v>250000</v>
      </c>
      <c r="F2101" t="str">
        <f>_xlfn.XLOOKUP(FME_Ranking1[[#This Row],[FME ID]],FME_Input[FME_ID],FME_Input[EMER_NEED])</f>
        <v>No</v>
      </c>
      <c r="G2101">
        <f>IF(FME_Ranking!F2101="Yes",100,0)</f>
        <v>0</v>
      </c>
      <c r="H2101">
        <f>FME_Ranking1[[#This Row],[Emergency Need Score (Normalized, Unweighted)]]*$F$3</f>
        <v>0</v>
      </c>
      <c r="I2101" s="246">
        <f>_xlfn.XLOOKUP(FME_Ranking1[[#This Row],[FME ID]],FME_Input[FME_ID],FME_Input[STRUCT_100])</f>
        <v>2</v>
      </c>
      <c r="J2101" s="178">
        <f>(FME_Ranking1[[#This Row],[Structures 100 Raw]]/I$2)*100</f>
        <v>1.0709848776935271E-3</v>
      </c>
      <c r="K2101" s="178">
        <f>FME_Ranking1[[#This Row],[Structures 100  Score (Normalized, Unweighted)]]*$I$3</f>
        <v>1.6064773165402907E-4</v>
      </c>
      <c r="L2101" s="246">
        <f>_xlfn.XLOOKUP(FME_Ranking1[[#This Row],[FME ID]],FME_Input[FME_ID],FME_Input[RES_STRUCT100])</f>
        <v>0</v>
      </c>
      <c r="M2101" s="230">
        <f>(FME_Ranking1[[#This Row],[Res Structures Raw]]/L$2)*100</f>
        <v>0</v>
      </c>
      <c r="N2101" s="180">
        <f>FME_Ranking1[[#This Row],[Res Structures Score (Normalized, Unweighted)]]*$L$3</f>
        <v>0</v>
      </c>
      <c r="O2101" s="244">
        <f>_xlfn.XLOOKUP(FME_Ranking1[[#This Row],[FME ID]],FME_Input[FME_ID],FME_Input[POP100])</f>
        <v>1</v>
      </c>
      <c r="P2101" s="178">
        <f>(FME_Ranking1[[#This Row],[Pop Raw]]/$O$2)*100</f>
        <v>1.0237531198876328E-4</v>
      </c>
      <c r="Q2101" s="178">
        <f>FME_Ranking1[[#This Row],[Pop Score (Normalized, Unweighted)]]*$O$3</f>
        <v>1.5356296798314492E-5</v>
      </c>
      <c r="R2101" s="137">
        <f>_xlfn.XLOOKUP(FME_Ranking1[[#This Row],[FME ID]],FME_Input[FME_ID],FME_Input[CRITFAC100])</f>
        <v>0</v>
      </c>
      <c r="S2101" s="230">
        <f>(FME_Ranking1[[#This Row],[Critical Facilities Raw]]/$R$2)*100</f>
        <v>0</v>
      </c>
      <c r="T2101" s="180">
        <f>FME_Ranking1[[#This Row],[Critical Facilities Score (Normalized, Unweighted)]]*$R$3</f>
        <v>0</v>
      </c>
      <c r="U2101">
        <f>_xlfn.XLOOKUP(FME_Ranking1[[#This Row],[FME ID]],FME_Input[FME_ID],FME_Input[LWC])</f>
        <v>0</v>
      </c>
      <c r="V2101" s="178">
        <f>(FME_Ranking1[[#This Row],[LWC Raw]]/$U$2)*100</f>
        <v>0</v>
      </c>
      <c r="W2101" s="178">
        <f>FME_Ranking1[[#This Row],[LWC Score (Normalized, Unweighted)]]*$U$3</f>
        <v>0</v>
      </c>
      <c r="X2101" s="246">
        <f>_xlfn.XLOOKUP(FME_Ranking1[[#This Row],[FME ID]],FME_Input[FME_ID],FME_Input[ROADCLS])</f>
        <v>0</v>
      </c>
      <c r="Y2101" s="230">
        <f>(FME_Ranking1[[#This Row],[Closures Raw]]/$X$2)*100</f>
        <v>0</v>
      </c>
      <c r="Z2101" s="180">
        <f>FME_Ranking1[[#This Row],[Closures Score (Normalized, Unweighted)]]*$X$3</f>
        <v>0</v>
      </c>
      <c r="AA2101" s="253">
        <f>_xlfn.XLOOKUP(FME_Ranking1[[#This Row],[FME ID]],FME_Input[FME_ID],FME_Input[ROAD_MILES100])</f>
        <v>8.372323215007782E-2</v>
      </c>
      <c r="AB2101" s="178">
        <f>(FME_Ranking1[[#This Row],[Miles Raw]]/$AA$2)*100</f>
        <v>1.1008103381070229E-3</v>
      </c>
      <c r="AC2101" s="178">
        <f>FME_Ranking1[[#This Row],[Miles Score (Normalized, Unweighted)]]*$AA$3</f>
        <v>1.1008103381070229E-4</v>
      </c>
      <c r="AD2101" s="255">
        <f>_xlfn.XLOOKUP(FME_Ranking1[[#This Row],[FME ID]],FME_Input[FME_ID],FME_Input[FARMACRE100])</f>
        <v>5.8924627304077148</v>
      </c>
      <c r="AE2101" s="230">
        <f>(FME_Ranking1[[#This Row],[Ag Land Raw]]/$AD$2)*100</f>
        <v>2.4297878537086158E-4</v>
      </c>
      <c r="AF2101" s="231">
        <f>FME_Ranking1[[#This Row],[Ag Land Score (Normalized, Unweighted)]]*$AD$3</f>
        <v>1.214893926854308E-5</v>
      </c>
      <c r="AG210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2.9823400153158891E-4</v>
      </c>
      <c r="AH2101" s="406">
        <f t="shared" si="32"/>
        <v>2114</v>
      </c>
      <c r="AI210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2.9823400153158891E-4</v>
      </c>
      <c r="AJ2101" s="257">
        <f>FME_Ranking1[[#This Row],[Addition check]]-FME_Ranking1[[#This Row],[Weighted Score Based on Normalized Reported Factors]]</f>
        <v>0</v>
      </c>
      <c r="AK2101" s="178">
        <f>_xlfn.RANK.EQ(AI2101,$AI$6:$AI$2341,0)+COUNTIF($AI$6:AI2101,AI2101)-1</f>
        <v>2114</v>
      </c>
    </row>
    <row r="2102" spans="1:37" x14ac:dyDescent="0.25">
      <c r="A2102" t="s">
        <v>8682</v>
      </c>
      <c r="B2102">
        <f>_xlfn.XLOOKUP(FME_Ranking1[[#This Row],[FME ID]],FME_Input[FME_ID],FME_Input[RFPG_NUM])</f>
        <v>11</v>
      </c>
      <c r="C2102" t="str">
        <f>_xlfn.XLOOKUP(FME_Ranking1[[#This Row],[FME ID]],FME_Input[FME_ID],FME_Input[FME_NAME])</f>
        <v>City of Kerrville Harper Street between Culberson Avenue and Lewis Avenue Project Planning</v>
      </c>
      <c r="D2102" t="str">
        <f>_xlfn.XLOOKUP(FME_Ranking1[[#This Row],[FME ID]],FME_Input[FME_ID],FME_Input[DESCR])</f>
        <v>Project planning for proposed storm drain system project to relieve localized flooding and excessive ponding that occurs throughout Harper Street.</v>
      </c>
      <c r="E2102" s="256">
        <f>_xlfn.XLOOKUP(FME_Ranking1[[#This Row],[FME ID]],FME_Input[FME_ID],FME_Input[FME_COST])</f>
        <v>180000</v>
      </c>
      <c r="F2102" t="str">
        <f>_xlfn.XLOOKUP(FME_Ranking1[[#This Row],[FME ID]],FME_Input[FME_ID],FME_Input[EMER_NEED])</f>
        <v>No</v>
      </c>
      <c r="G2102">
        <f>IF(FME_Ranking!F2102="Yes",100,0)</f>
        <v>0</v>
      </c>
      <c r="H2102">
        <f>FME_Ranking1[[#This Row],[Emergency Need Score (Normalized, Unweighted)]]*$F$3</f>
        <v>0</v>
      </c>
      <c r="I2102" s="246">
        <f>_xlfn.XLOOKUP(FME_Ranking1[[#This Row],[FME ID]],FME_Input[FME_ID],FME_Input[STRUCT_100])</f>
        <v>1</v>
      </c>
      <c r="J2102" s="178">
        <f>(FME_Ranking1[[#This Row],[Structures 100 Raw]]/I$2)*100</f>
        <v>5.3549243884676355E-4</v>
      </c>
      <c r="K2102" s="178">
        <f>FME_Ranking1[[#This Row],[Structures 100  Score (Normalized, Unweighted)]]*$I$3</f>
        <v>8.0323865827014533E-5</v>
      </c>
      <c r="L2102" s="246">
        <f>_xlfn.XLOOKUP(FME_Ranking1[[#This Row],[FME ID]],FME_Input[FME_ID],FME_Input[RES_STRUCT100])</f>
        <v>1</v>
      </c>
      <c r="M2102" s="230">
        <f>(FME_Ranking1[[#This Row],[Res Structures Raw]]/L$2)*100</f>
        <v>7.0830559136433825E-4</v>
      </c>
      <c r="N2102" s="180">
        <f>FME_Ranking1[[#This Row],[Res Structures Score (Normalized, Unweighted)]]*$L$3</f>
        <v>7.0830559136433833E-5</v>
      </c>
      <c r="O2102" s="244">
        <f>_xlfn.XLOOKUP(FME_Ranking1[[#This Row],[FME ID]],FME_Input[FME_ID],FME_Input[POP100])</f>
        <v>2</v>
      </c>
      <c r="P2102" s="178">
        <f>(FME_Ranking1[[#This Row],[Pop Raw]]/$O$2)*100</f>
        <v>2.0475062397752657E-4</v>
      </c>
      <c r="Q2102" s="178">
        <f>FME_Ranking1[[#This Row],[Pop Score (Normalized, Unweighted)]]*$O$3</f>
        <v>3.0712593596628984E-5</v>
      </c>
      <c r="R2102" s="137">
        <f>_xlfn.XLOOKUP(FME_Ranking1[[#This Row],[FME ID]],FME_Input[FME_ID],FME_Input[CRITFAC100])</f>
        <v>0</v>
      </c>
      <c r="S2102" s="230">
        <f>(FME_Ranking1[[#This Row],[Critical Facilities Raw]]/$R$2)*100</f>
        <v>0</v>
      </c>
      <c r="T2102" s="180">
        <f>FME_Ranking1[[#This Row],[Critical Facilities Score (Normalized, Unweighted)]]*$R$3</f>
        <v>0</v>
      </c>
      <c r="U2102">
        <f>_xlfn.XLOOKUP(FME_Ranking1[[#This Row],[FME ID]],FME_Input[FME_ID],FME_Input[LWC])</f>
        <v>0</v>
      </c>
      <c r="V2102" s="178">
        <f>(FME_Ranking1[[#This Row],[LWC Raw]]/$U$2)*100</f>
        <v>0</v>
      </c>
      <c r="W2102" s="178">
        <f>FME_Ranking1[[#This Row],[LWC Score (Normalized, Unweighted)]]*$U$3</f>
        <v>0</v>
      </c>
      <c r="X2102" s="246">
        <f>_xlfn.XLOOKUP(FME_Ranking1[[#This Row],[FME ID]],FME_Input[FME_ID],FME_Input[ROADCLS])</f>
        <v>0</v>
      </c>
      <c r="Y2102" s="230">
        <f>(FME_Ranking1[[#This Row],[Closures Raw]]/$X$2)*100</f>
        <v>0</v>
      </c>
      <c r="Z2102" s="180">
        <f>FME_Ranking1[[#This Row],[Closures Score (Normalized, Unweighted)]]*$X$3</f>
        <v>0</v>
      </c>
      <c r="AA2102" s="253">
        <f>_xlfn.XLOOKUP(FME_Ranking1[[#This Row],[FME ID]],FME_Input[FME_ID],FME_Input[ROAD_MILES100])</f>
        <v>0</v>
      </c>
      <c r="AB2102" s="178">
        <f>(FME_Ranking1[[#This Row],[Miles Raw]]/$AA$2)*100</f>
        <v>0</v>
      </c>
      <c r="AC2102" s="178">
        <f>FME_Ranking1[[#This Row],[Miles Score (Normalized, Unweighted)]]*$AA$3</f>
        <v>0</v>
      </c>
      <c r="AD2102" s="255">
        <f>_xlfn.XLOOKUP(FME_Ranking1[[#This Row],[FME ID]],FME_Input[FME_ID],FME_Input[FARMACRE100])</f>
        <v>0</v>
      </c>
      <c r="AE2102" s="230">
        <f>(FME_Ranking1[[#This Row],[Ag Land Raw]]/$AD$2)*100</f>
        <v>0</v>
      </c>
      <c r="AF2102" s="231">
        <f>FME_Ranking1[[#This Row],[Ag Land Score (Normalized, Unweighted)]]*$AD$3</f>
        <v>0</v>
      </c>
      <c r="AG210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1.8186701856007733E-4</v>
      </c>
      <c r="AH2102" s="406">
        <f t="shared" si="32"/>
        <v>2131</v>
      </c>
      <c r="AI210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1.8186701856007733E-4</v>
      </c>
      <c r="AJ2102" s="257">
        <f>FME_Ranking1[[#This Row],[Addition check]]-FME_Ranking1[[#This Row],[Weighted Score Based on Normalized Reported Factors]]</f>
        <v>0</v>
      </c>
      <c r="AK2102" s="178">
        <f>_xlfn.RANK.EQ(AI2102,$AI$6:$AI$2341,0)+COUNTIF($AI$6:AI2102,AI2102)-1</f>
        <v>2131</v>
      </c>
    </row>
    <row r="2103" spans="1:37" x14ac:dyDescent="0.25">
      <c r="A2103" t="s">
        <v>2568</v>
      </c>
      <c r="B2103">
        <f>_xlfn.XLOOKUP(FME_Ranking1[[#This Row],[FME ID]],FME_Input[FME_ID],FME_Input[RFPG_NUM])</f>
        <v>1</v>
      </c>
      <c r="C2103" t="str">
        <f>_xlfn.XLOOKUP(FME_Ranking1[[#This Row],[FME ID]],FME_Input[FME_ID],FME_Input[FME_NAME])</f>
        <v>Quitaque City Drainage Master Plan</v>
      </c>
      <c r="D2103" t="str">
        <f>_xlfn.XLOOKUP(FME_Ranking1[[#This Row],[FME ID]],FME_Input[FME_ID],FME_Input[DESCR])</f>
        <v>Perform H&amp;H modeling, develop conceptual alternatives and OPCC, and rank projects; selected based on the needs analysis</v>
      </c>
      <c r="E2103" s="256">
        <f>_xlfn.XLOOKUP(FME_Ranking1[[#This Row],[FME ID]],FME_Input[FME_ID],FME_Input[FME_COST])</f>
        <v>250000</v>
      </c>
      <c r="F2103" t="str">
        <f>_xlfn.XLOOKUP(FME_Ranking1[[#This Row],[FME ID]],FME_Input[FME_ID],FME_Input[EMER_NEED])</f>
        <v>No</v>
      </c>
      <c r="G2103">
        <f>IF(FME_Ranking!F2103="Yes",100,0)</f>
        <v>0</v>
      </c>
      <c r="H2103">
        <f>FME_Ranking1[[#This Row],[Emergency Need Score (Normalized, Unweighted)]]*$F$3</f>
        <v>0</v>
      </c>
      <c r="I2103" s="246">
        <f>_xlfn.XLOOKUP(FME_Ranking1[[#This Row],[FME ID]],FME_Input[FME_ID],FME_Input[STRUCT_100])</f>
        <v>2</v>
      </c>
      <c r="J2103" s="178">
        <f>(FME_Ranking1[[#This Row],[Structures 100 Raw]]/I$2)*100</f>
        <v>1.0709848776935271E-3</v>
      </c>
      <c r="K2103" s="178">
        <f>FME_Ranking1[[#This Row],[Structures 100  Score (Normalized, Unweighted)]]*$I$3</f>
        <v>1.6064773165402907E-4</v>
      </c>
      <c r="L2103" s="246">
        <f>_xlfn.XLOOKUP(FME_Ranking1[[#This Row],[FME ID]],FME_Input[FME_ID],FME_Input[RES_STRUCT100])</f>
        <v>0</v>
      </c>
      <c r="M2103" s="230">
        <f>(FME_Ranking1[[#This Row],[Res Structures Raw]]/L$2)*100</f>
        <v>0</v>
      </c>
      <c r="N2103" s="180">
        <f>FME_Ranking1[[#This Row],[Res Structures Score (Normalized, Unweighted)]]*$L$3</f>
        <v>0</v>
      </c>
      <c r="O2103" s="244">
        <f>_xlfn.XLOOKUP(FME_Ranking1[[#This Row],[FME ID]],FME_Input[FME_ID],FME_Input[POP100])</f>
        <v>1</v>
      </c>
      <c r="P2103" s="178">
        <f>(FME_Ranking1[[#This Row],[Pop Raw]]/$O$2)*100</f>
        <v>1.0237531198876328E-4</v>
      </c>
      <c r="Q2103" s="178">
        <f>FME_Ranking1[[#This Row],[Pop Score (Normalized, Unweighted)]]*$O$3</f>
        <v>1.5356296798314492E-5</v>
      </c>
      <c r="R2103" s="137">
        <f>_xlfn.XLOOKUP(FME_Ranking1[[#This Row],[FME ID]],FME_Input[FME_ID],FME_Input[CRITFAC100])</f>
        <v>0</v>
      </c>
      <c r="S2103" s="230">
        <f>(FME_Ranking1[[#This Row],[Critical Facilities Raw]]/$R$2)*100</f>
        <v>0</v>
      </c>
      <c r="T2103" s="180">
        <f>FME_Ranking1[[#This Row],[Critical Facilities Score (Normalized, Unweighted)]]*$R$3</f>
        <v>0</v>
      </c>
      <c r="U2103">
        <f>_xlfn.XLOOKUP(FME_Ranking1[[#This Row],[FME ID]],FME_Input[FME_ID],FME_Input[LWC])</f>
        <v>0</v>
      </c>
      <c r="V2103" s="178">
        <f>(FME_Ranking1[[#This Row],[LWC Raw]]/$U$2)*100</f>
        <v>0</v>
      </c>
      <c r="W2103" s="178">
        <f>FME_Ranking1[[#This Row],[LWC Score (Normalized, Unweighted)]]*$U$3</f>
        <v>0</v>
      </c>
      <c r="X2103" s="246">
        <f>_xlfn.XLOOKUP(FME_Ranking1[[#This Row],[FME ID]],FME_Input[FME_ID],FME_Input[ROADCLS])</f>
        <v>0</v>
      </c>
      <c r="Y2103" s="230">
        <f>(FME_Ranking1[[#This Row],[Closures Raw]]/$X$2)*100</f>
        <v>0</v>
      </c>
      <c r="Z2103" s="180">
        <f>FME_Ranking1[[#This Row],[Closures Score (Normalized, Unweighted)]]*$X$3</f>
        <v>0</v>
      </c>
      <c r="AA2103" s="253">
        <f>_xlfn.XLOOKUP(FME_Ranking1[[#This Row],[FME ID]],FME_Input[FME_ID],FME_Input[ROAD_MILES100])</f>
        <v>0.1123924776911736</v>
      </c>
      <c r="AB2103" s="178">
        <f>(FME_Ranking1[[#This Row],[Miles Raw]]/$AA$2)*100</f>
        <v>1.4777594962665547E-3</v>
      </c>
      <c r="AC2103" s="178">
        <f>FME_Ranking1[[#This Row],[Miles Score (Normalized, Unweighted)]]*$AA$3</f>
        <v>1.4777594962665547E-4</v>
      </c>
      <c r="AD2103" s="255">
        <f>_xlfn.XLOOKUP(FME_Ranking1[[#This Row],[FME ID]],FME_Input[FME_ID],FME_Input[FARMACRE100])</f>
        <v>0.2907356321811676</v>
      </c>
      <c r="AE2103" s="230">
        <f>(FME_Ranking1[[#This Row],[Ag Land Raw]]/$AD$2)*100</f>
        <v>1.198863599202124E-5</v>
      </c>
      <c r="AF2103" s="231">
        <f>FME_Ranking1[[#This Row],[Ag Land Score (Normalized, Unweighted)]]*$AD$3</f>
        <v>5.9943179960106207E-7</v>
      </c>
      <c r="AG210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3.243794098786001E-4</v>
      </c>
      <c r="AH2103" s="406">
        <f t="shared" si="32"/>
        <v>2112</v>
      </c>
      <c r="AI210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3.243794098786001E-4</v>
      </c>
      <c r="AJ2103" s="257">
        <f>FME_Ranking1[[#This Row],[Addition check]]-FME_Ranking1[[#This Row],[Weighted Score Based on Normalized Reported Factors]]</f>
        <v>0</v>
      </c>
      <c r="AK2103" s="178">
        <f>_xlfn.RANK.EQ(AI2103,$AI$6:$AI$2341,0)+COUNTIF($AI$6:AI2103,AI2103)-1</f>
        <v>2112</v>
      </c>
    </row>
    <row r="2104" spans="1:37" x14ac:dyDescent="0.25">
      <c r="A2104" t="s">
        <v>7380</v>
      </c>
      <c r="B2104">
        <f>_xlfn.XLOOKUP(FME_Ranking1[[#This Row],[FME ID]],FME_Input[FME_ID],FME_Input[RFPG_NUM])</f>
        <v>7</v>
      </c>
      <c r="C2104" t="str">
        <f>_xlfn.XLOOKUP(FME_Ranking1[[#This Row],[FME ID]],FME_Input[FME_ID],FME_Input[FME_NAME])</f>
        <v>City of Lubbock 4th St &amp; Elkhart CIP</v>
      </c>
      <c r="D2104" t="str">
        <f>_xlfn.XLOOKUP(FME_Ranking1[[#This Row],[FME ID]],FME_Input[FME_ID],FME_Input[DESCR])</f>
        <v>Construct box culverts. Provide excavation to offset increased discharge.  Construct earthen dam in West Wind channel to maintain playa overflow elevation.</v>
      </c>
      <c r="E2104" s="256">
        <f>_xlfn.XLOOKUP(FME_Ranking1[[#This Row],[FME ID]],FME_Input[FME_ID],FME_Input[FME_COST])</f>
        <v>25000</v>
      </c>
      <c r="F2104" t="str">
        <f>_xlfn.XLOOKUP(FME_Ranking1[[#This Row],[FME ID]],FME_Input[FME_ID],FME_Input[EMER_NEED])</f>
        <v>No</v>
      </c>
      <c r="G2104">
        <f>IF(FME_Ranking!F2104="Yes",100,0)</f>
        <v>0</v>
      </c>
      <c r="H2104">
        <f>FME_Ranking1[[#This Row],[Emergency Need Score (Normalized, Unweighted)]]*$F$3</f>
        <v>0</v>
      </c>
      <c r="I2104" s="246">
        <f>_xlfn.XLOOKUP(FME_Ranking1[[#This Row],[FME ID]],FME_Input[FME_ID],FME_Input[STRUCT_100])</f>
        <v>1</v>
      </c>
      <c r="J2104" s="178">
        <f>(FME_Ranking1[[#This Row],[Structures 100 Raw]]/I$2)*100</f>
        <v>5.3549243884676355E-4</v>
      </c>
      <c r="K2104" s="178">
        <f>FME_Ranking1[[#This Row],[Structures 100  Score (Normalized, Unweighted)]]*$I$3</f>
        <v>8.0323865827014533E-5</v>
      </c>
      <c r="L2104" s="246">
        <f>_xlfn.XLOOKUP(FME_Ranking1[[#This Row],[FME ID]],FME_Input[FME_ID],FME_Input[RES_STRUCT100])</f>
        <v>0</v>
      </c>
      <c r="M2104" s="230">
        <f>(FME_Ranking1[[#This Row],[Res Structures Raw]]/L$2)*100</f>
        <v>0</v>
      </c>
      <c r="N2104" s="180">
        <f>FME_Ranking1[[#This Row],[Res Structures Score (Normalized, Unweighted)]]*$L$3</f>
        <v>0</v>
      </c>
      <c r="O2104" s="244">
        <f>_xlfn.XLOOKUP(FME_Ranking1[[#This Row],[FME ID]],FME_Input[FME_ID],FME_Input[POP100])</f>
        <v>6</v>
      </c>
      <c r="P2104" s="178">
        <f>(FME_Ranking1[[#This Row],[Pop Raw]]/$O$2)*100</f>
        <v>6.1425187193257975E-4</v>
      </c>
      <c r="Q2104" s="178">
        <f>FME_Ranking1[[#This Row],[Pop Score (Normalized, Unweighted)]]*$O$3</f>
        <v>9.2137780789886957E-5</v>
      </c>
      <c r="R2104" s="137">
        <f>_xlfn.XLOOKUP(FME_Ranking1[[#This Row],[FME ID]],FME_Input[FME_ID],FME_Input[CRITFAC100])</f>
        <v>0</v>
      </c>
      <c r="S2104" s="230">
        <f>(FME_Ranking1[[#This Row],[Critical Facilities Raw]]/$R$2)*100</f>
        <v>0</v>
      </c>
      <c r="T2104" s="180">
        <f>FME_Ranking1[[#This Row],[Critical Facilities Score (Normalized, Unweighted)]]*$R$3</f>
        <v>0</v>
      </c>
      <c r="U2104">
        <f>_xlfn.XLOOKUP(FME_Ranking1[[#This Row],[FME ID]],FME_Input[FME_ID],FME_Input[LWC])</f>
        <v>0</v>
      </c>
      <c r="V2104" s="178">
        <f>(FME_Ranking1[[#This Row],[LWC Raw]]/$U$2)*100</f>
        <v>0</v>
      </c>
      <c r="W2104" s="178">
        <f>FME_Ranking1[[#This Row],[LWC Score (Normalized, Unweighted)]]*$U$3</f>
        <v>0</v>
      </c>
      <c r="X2104" s="246">
        <f>_xlfn.XLOOKUP(FME_Ranking1[[#This Row],[FME ID]],FME_Input[FME_ID],FME_Input[ROADCLS])</f>
        <v>0</v>
      </c>
      <c r="Y2104" s="230">
        <f>(FME_Ranking1[[#This Row],[Closures Raw]]/$X$2)*100</f>
        <v>0</v>
      </c>
      <c r="Z2104" s="180">
        <f>FME_Ranking1[[#This Row],[Closures Score (Normalized, Unweighted)]]*$X$3</f>
        <v>0</v>
      </c>
      <c r="AA2104" s="253">
        <f>_xlfn.XLOOKUP(FME_Ranking1[[#This Row],[FME ID]],FME_Input[FME_ID],FME_Input[ROAD_MILES100])</f>
        <v>4.0853768587112427E-2</v>
      </c>
      <c r="AB2104" s="178">
        <f>(FME_Ranking1[[#This Row],[Miles Raw]]/$AA$2)*100</f>
        <v>5.3715378224661022E-4</v>
      </c>
      <c r="AC2104" s="178">
        <f>FME_Ranking1[[#This Row],[Miles Score (Normalized, Unweighted)]]*$AA$3</f>
        <v>5.3715378224661026E-5</v>
      </c>
      <c r="AD2104" s="255">
        <f>_xlfn.XLOOKUP(FME_Ranking1[[#This Row],[FME ID]],FME_Input[FME_ID],FME_Input[FARMACRE100])</f>
        <v>0</v>
      </c>
      <c r="AE2104" s="230">
        <f>(FME_Ranking1[[#This Row],[Ag Land Raw]]/$AD$2)*100</f>
        <v>0</v>
      </c>
      <c r="AF2104" s="231">
        <f>FME_Ranking1[[#This Row],[Ag Land Score (Normalized, Unweighted)]]*$AD$3</f>
        <v>0</v>
      </c>
      <c r="AG210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2.2617702484156252E-4</v>
      </c>
      <c r="AH2104" s="406">
        <f t="shared" si="32"/>
        <v>2124</v>
      </c>
      <c r="AI210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2.2617702484156252E-4</v>
      </c>
      <c r="AJ2104" s="257">
        <f>FME_Ranking1[[#This Row],[Addition check]]-FME_Ranking1[[#This Row],[Weighted Score Based on Normalized Reported Factors]]</f>
        <v>0</v>
      </c>
      <c r="AK2104" s="178">
        <f>_xlfn.RANK.EQ(AI2104,$AI$6:$AI$2341,0)+COUNTIF($AI$6:AI2104,AI2104)-1</f>
        <v>2124</v>
      </c>
    </row>
    <row r="2105" spans="1:37" x14ac:dyDescent="0.25">
      <c r="A2105" t="s">
        <v>7374</v>
      </c>
      <c r="B2105">
        <f>_xlfn.XLOOKUP(FME_Ranking1[[#This Row],[FME ID]],FME_Input[FME_ID],FME_Input[RFPG_NUM])</f>
        <v>7</v>
      </c>
      <c r="C2105" t="str">
        <f>_xlfn.XLOOKUP(FME_Ranking1[[#This Row],[FME ID]],FME_Input[FME_ID],FME_Input[FME_NAME])</f>
        <v>City of Abilene Elm Creek Diversion</v>
      </c>
      <c r="D2105" t="str">
        <f>_xlfn.XLOOKUP(FME_Ranking1[[#This Row],[FME ID]],FME_Input[FME_ID],FME_Input[DESCR])</f>
        <v>Upstream detention / bypass on Elm Creek</v>
      </c>
      <c r="E2105" s="256">
        <f>_xlfn.XLOOKUP(FME_Ranking1[[#This Row],[FME ID]],FME_Input[FME_ID],FME_Input[FME_COST])</f>
        <v>7900000</v>
      </c>
      <c r="F2105" t="str">
        <f>_xlfn.XLOOKUP(FME_Ranking1[[#This Row],[FME ID]],FME_Input[FME_ID],FME_Input[EMER_NEED])</f>
        <v>No</v>
      </c>
      <c r="G2105">
        <f>IF(FME_Ranking!F2105="Yes",100,0)</f>
        <v>0</v>
      </c>
      <c r="H2105">
        <f>FME_Ranking1[[#This Row],[Emergency Need Score (Normalized, Unweighted)]]*$F$3</f>
        <v>0</v>
      </c>
      <c r="I2105" s="246">
        <f>_xlfn.XLOOKUP(FME_Ranking1[[#This Row],[FME ID]],FME_Input[FME_ID],FME_Input[STRUCT_100])</f>
        <v>1</v>
      </c>
      <c r="J2105" s="178">
        <f>(FME_Ranking1[[#This Row],[Structures 100 Raw]]/I$2)*100</f>
        <v>5.3549243884676355E-4</v>
      </c>
      <c r="K2105" s="178">
        <f>FME_Ranking1[[#This Row],[Structures 100  Score (Normalized, Unweighted)]]*$I$3</f>
        <v>8.0323865827014533E-5</v>
      </c>
      <c r="L2105" s="246">
        <f>_xlfn.XLOOKUP(FME_Ranking1[[#This Row],[FME ID]],FME_Input[FME_ID],FME_Input[RES_STRUCT100])</f>
        <v>1</v>
      </c>
      <c r="M2105" s="230">
        <f>(FME_Ranking1[[#This Row],[Res Structures Raw]]/L$2)*100</f>
        <v>7.0830559136433825E-4</v>
      </c>
      <c r="N2105" s="180">
        <f>FME_Ranking1[[#This Row],[Res Structures Score (Normalized, Unweighted)]]*$L$3</f>
        <v>7.0830559136433833E-5</v>
      </c>
      <c r="O2105" s="244">
        <f>_xlfn.XLOOKUP(FME_Ranking1[[#This Row],[FME ID]],FME_Input[FME_ID],FME_Input[POP100])</f>
        <v>0</v>
      </c>
      <c r="P2105" s="178">
        <f>(FME_Ranking1[[#This Row],[Pop Raw]]/$O$2)*100</f>
        <v>0</v>
      </c>
      <c r="Q2105" s="178">
        <f>FME_Ranking1[[#This Row],[Pop Score (Normalized, Unweighted)]]*$O$3</f>
        <v>0</v>
      </c>
      <c r="R2105" s="137">
        <f>_xlfn.XLOOKUP(FME_Ranking1[[#This Row],[FME ID]],FME_Input[FME_ID],FME_Input[CRITFAC100])</f>
        <v>0</v>
      </c>
      <c r="S2105" s="230">
        <f>(FME_Ranking1[[#This Row],[Critical Facilities Raw]]/$R$2)*100</f>
        <v>0</v>
      </c>
      <c r="T2105" s="180">
        <f>FME_Ranking1[[#This Row],[Critical Facilities Score (Normalized, Unweighted)]]*$R$3</f>
        <v>0</v>
      </c>
      <c r="U2105">
        <f>_xlfn.XLOOKUP(FME_Ranking1[[#This Row],[FME ID]],FME_Input[FME_ID],FME_Input[LWC])</f>
        <v>0</v>
      </c>
      <c r="V2105" s="178">
        <f>(FME_Ranking1[[#This Row],[LWC Raw]]/$U$2)*100</f>
        <v>0</v>
      </c>
      <c r="W2105" s="178">
        <f>FME_Ranking1[[#This Row],[LWC Score (Normalized, Unweighted)]]*$U$3</f>
        <v>0</v>
      </c>
      <c r="X2105" s="246">
        <f>_xlfn.XLOOKUP(FME_Ranking1[[#This Row],[FME ID]],FME_Input[FME_ID],FME_Input[ROADCLS])</f>
        <v>0</v>
      </c>
      <c r="Y2105" s="230">
        <f>(FME_Ranking1[[#This Row],[Closures Raw]]/$X$2)*100</f>
        <v>0</v>
      </c>
      <c r="Z2105" s="180">
        <f>FME_Ranking1[[#This Row],[Closures Score (Normalized, Unweighted)]]*$X$3</f>
        <v>0</v>
      </c>
      <c r="AA2105" s="253">
        <f>_xlfn.XLOOKUP(FME_Ranking1[[#This Row],[FME ID]],FME_Input[FME_ID],FME_Input[ROAD_MILES100])</f>
        <v>1.022092461585999</v>
      </c>
      <c r="AB2105" s="178">
        <f>(FME_Ranking1[[#This Row],[Miles Raw]]/$AA$2)*100</f>
        <v>1.34386826609641E-2</v>
      </c>
      <c r="AC2105" s="178">
        <f>FME_Ranking1[[#This Row],[Miles Score (Normalized, Unweighted)]]*$AA$3</f>
        <v>1.3438682660964101E-3</v>
      </c>
      <c r="AD2105" s="255">
        <f>_xlfn.XLOOKUP(FME_Ranking1[[#This Row],[FME ID]],FME_Input[FME_ID],FME_Input[FARMACRE100])</f>
        <v>5.1140570640563956</v>
      </c>
      <c r="AE2105" s="230">
        <f>(FME_Ranking1[[#This Row],[Ag Land Raw]]/$AD$2)*100</f>
        <v>2.1088082022637045E-4</v>
      </c>
      <c r="AF2105" s="231">
        <f>FME_Ranking1[[#This Row],[Ag Land Score (Normalized, Unweighted)]]*$AD$3</f>
        <v>1.0544041011318523E-5</v>
      </c>
      <c r="AG210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1.5055667320711772E-3</v>
      </c>
      <c r="AH2105" s="406">
        <f t="shared" si="32"/>
        <v>1985</v>
      </c>
      <c r="AI210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1.5055667320711772E-3</v>
      </c>
      <c r="AJ2105" s="257">
        <f>FME_Ranking1[[#This Row],[Addition check]]-FME_Ranking1[[#This Row],[Weighted Score Based on Normalized Reported Factors]]</f>
        <v>0</v>
      </c>
      <c r="AK2105" s="178">
        <f>_xlfn.RANK.EQ(AI2105,$AI$6:$AI$2341,0)+COUNTIF($AI$6:AI2105,AI2105)-1</f>
        <v>1985</v>
      </c>
    </row>
    <row r="2106" spans="1:37" x14ac:dyDescent="0.25">
      <c r="A2106" t="s">
        <v>3684</v>
      </c>
      <c r="B2106">
        <f>_xlfn.XLOOKUP(FME_Ranking1[[#This Row],[FME ID]],FME_Input[FME_ID],FME_Input[RFPG_NUM])</f>
        <v>2</v>
      </c>
      <c r="C2106" t="str">
        <f>_xlfn.XLOOKUP(FME_Ranking1[[#This Row],[FME ID]],FME_Input[FME_ID],FME_Input[FME_NAME])</f>
        <v>Nash Unnamed Stream 1</v>
      </c>
      <c r="D2106" t="str">
        <f>_xlfn.XLOOKUP(FME_Ranking1[[#This Row],[FME ID]],FME_Input[FME_ID],FME_Input[DESCR])</f>
        <v>Debris, Vegetation Removal, and Channelization</v>
      </c>
      <c r="E2106" s="256">
        <f>_xlfn.XLOOKUP(FME_Ranking1[[#This Row],[FME ID]],FME_Input[FME_ID],FME_Input[FME_COST])</f>
        <v>250000</v>
      </c>
      <c r="F2106" t="str">
        <f>_xlfn.XLOOKUP(FME_Ranking1[[#This Row],[FME ID]],FME_Input[FME_ID],FME_Input[EMER_NEED])</f>
        <v>No</v>
      </c>
      <c r="G2106">
        <f>IF(FME_Ranking!F2106="Yes",100,0)</f>
        <v>0</v>
      </c>
      <c r="H2106">
        <f>FME_Ranking1[[#This Row],[Emergency Need Score (Normalized, Unweighted)]]*$F$3</f>
        <v>0</v>
      </c>
      <c r="I2106" s="246">
        <f>_xlfn.XLOOKUP(FME_Ranking1[[#This Row],[FME ID]],FME_Input[FME_ID],FME_Input[STRUCT_100])</f>
        <v>1</v>
      </c>
      <c r="J2106" s="178">
        <f>(FME_Ranking1[[#This Row],[Structures 100 Raw]]/I$2)*100</f>
        <v>5.3549243884676355E-4</v>
      </c>
      <c r="K2106" s="178">
        <f>FME_Ranking1[[#This Row],[Structures 100  Score (Normalized, Unweighted)]]*$I$3</f>
        <v>8.0323865827014533E-5</v>
      </c>
      <c r="L2106" s="246">
        <f>_xlfn.XLOOKUP(FME_Ranking1[[#This Row],[FME ID]],FME_Input[FME_ID],FME_Input[RES_STRUCT100])</f>
        <v>1</v>
      </c>
      <c r="M2106" s="230">
        <f>(FME_Ranking1[[#This Row],[Res Structures Raw]]/L$2)*100</f>
        <v>7.0830559136433825E-4</v>
      </c>
      <c r="N2106" s="180">
        <f>FME_Ranking1[[#This Row],[Res Structures Score (Normalized, Unweighted)]]*$L$3</f>
        <v>7.0830559136433833E-5</v>
      </c>
      <c r="O2106" s="244">
        <f>_xlfn.XLOOKUP(FME_Ranking1[[#This Row],[FME ID]],FME_Input[FME_ID],FME_Input[POP100])</f>
        <v>0</v>
      </c>
      <c r="P2106" s="178">
        <f>(FME_Ranking1[[#This Row],[Pop Raw]]/$O$2)*100</f>
        <v>0</v>
      </c>
      <c r="Q2106" s="178">
        <f>FME_Ranking1[[#This Row],[Pop Score (Normalized, Unweighted)]]*$O$3</f>
        <v>0</v>
      </c>
      <c r="R2106" s="137">
        <f>_xlfn.XLOOKUP(FME_Ranking1[[#This Row],[FME ID]],FME_Input[FME_ID],FME_Input[CRITFAC100])</f>
        <v>0</v>
      </c>
      <c r="S2106" s="230">
        <f>(FME_Ranking1[[#This Row],[Critical Facilities Raw]]/$R$2)*100</f>
        <v>0</v>
      </c>
      <c r="T2106" s="180">
        <f>FME_Ranking1[[#This Row],[Critical Facilities Score (Normalized, Unweighted)]]*$R$3</f>
        <v>0</v>
      </c>
      <c r="U2106">
        <f>_xlfn.XLOOKUP(FME_Ranking1[[#This Row],[FME ID]],FME_Input[FME_ID],FME_Input[LWC])</f>
        <v>0</v>
      </c>
      <c r="V2106" s="178">
        <f>(FME_Ranking1[[#This Row],[LWC Raw]]/$U$2)*100</f>
        <v>0</v>
      </c>
      <c r="W2106" s="178">
        <f>FME_Ranking1[[#This Row],[LWC Score (Normalized, Unweighted)]]*$U$3</f>
        <v>0</v>
      </c>
      <c r="X2106" s="246">
        <f>_xlfn.XLOOKUP(FME_Ranking1[[#This Row],[FME ID]],FME_Input[FME_ID],FME_Input[ROADCLS])</f>
        <v>0</v>
      </c>
      <c r="Y2106" s="230">
        <f>(FME_Ranking1[[#This Row],[Closures Raw]]/$X$2)*100</f>
        <v>0</v>
      </c>
      <c r="Z2106" s="180">
        <f>FME_Ranking1[[#This Row],[Closures Score (Normalized, Unweighted)]]*$X$3</f>
        <v>0</v>
      </c>
      <c r="AA2106" s="253">
        <f>_xlfn.XLOOKUP(FME_Ranking1[[#This Row],[FME ID]],FME_Input[FME_ID],FME_Input[ROAD_MILES100])</f>
        <v>3.0423251911997799E-2</v>
      </c>
      <c r="AB2106" s="178">
        <f>(FME_Ranking1[[#This Row],[Miles Raw]]/$AA$2)*100</f>
        <v>4.0001119597877702E-4</v>
      </c>
      <c r="AC2106" s="178">
        <f>FME_Ranking1[[#This Row],[Miles Score (Normalized, Unweighted)]]*$AA$3</f>
        <v>4.0001119597877702E-5</v>
      </c>
      <c r="AD2106" s="255">
        <f>_xlfn.XLOOKUP(FME_Ranking1[[#This Row],[FME ID]],FME_Input[FME_ID],FME_Input[FARMACRE100])</f>
        <v>1.800850033760071</v>
      </c>
      <c r="AE2106" s="230">
        <f>(FME_Ranking1[[#This Row],[Ag Land Raw]]/$AD$2)*100</f>
        <v>7.4258993880445059E-5</v>
      </c>
      <c r="AF2106" s="231">
        <f>FME_Ranking1[[#This Row],[Ag Land Score (Normalized, Unweighted)]]*$AD$3</f>
        <v>3.7129496940222529E-6</v>
      </c>
      <c r="AG210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1.948684942553483E-4</v>
      </c>
      <c r="AH2106" s="406">
        <f t="shared" si="32"/>
        <v>2129</v>
      </c>
      <c r="AI210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1.948684942553483E-4</v>
      </c>
      <c r="AJ2106" s="257">
        <f>FME_Ranking1[[#This Row],[Addition check]]-FME_Ranking1[[#This Row],[Weighted Score Based on Normalized Reported Factors]]</f>
        <v>0</v>
      </c>
      <c r="AK2106" s="178">
        <f>_xlfn.RANK.EQ(AI2106,$AI$6:$AI$2341,0)+COUNTIF($AI$6:AI2106,AI2106)-1</f>
        <v>2129</v>
      </c>
    </row>
    <row r="2107" spans="1:37" x14ac:dyDescent="0.25">
      <c r="A2107" t="s">
        <v>3690</v>
      </c>
      <c r="B2107">
        <f>_xlfn.XLOOKUP(FME_Ranking1[[#This Row],[FME ID]],FME_Input[FME_ID],FME_Input[RFPG_NUM])</f>
        <v>2</v>
      </c>
      <c r="C2107" t="str">
        <f>_xlfn.XLOOKUP(FME_Ranking1[[#This Row],[FME ID]],FME_Input[FME_ID],FME_Input[FME_NAME])</f>
        <v>Nash Unnamed Stream 2</v>
      </c>
      <c r="D2107" t="str">
        <f>_xlfn.XLOOKUP(FME_Ranking1[[#This Row],[FME ID]],FME_Input[FME_ID],FME_Input[DESCR])</f>
        <v>Debris, Vegetation Removal, and Channelization</v>
      </c>
      <c r="E2107" s="256">
        <f>_xlfn.XLOOKUP(FME_Ranking1[[#This Row],[FME ID]],FME_Input[FME_ID],FME_Input[FME_COST])</f>
        <v>250000</v>
      </c>
      <c r="F2107" t="str">
        <f>_xlfn.XLOOKUP(FME_Ranking1[[#This Row],[FME ID]],FME_Input[FME_ID],FME_Input[EMER_NEED])</f>
        <v>No</v>
      </c>
      <c r="G2107">
        <f>IF(FME_Ranking!F2107="Yes",100,0)</f>
        <v>0</v>
      </c>
      <c r="H2107">
        <f>FME_Ranking1[[#This Row],[Emergency Need Score (Normalized, Unweighted)]]*$F$3</f>
        <v>0</v>
      </c>
      <c r="I2107" s="246">
        <f>_xlfn.XLOOKUP(FME_Ranking1[[#This Row],[FME ID]],FME_Input[FME_ID],FME_Input[STRUCT_100])</f>
        <v>1</v>
      </c>
      <c r="J2107" s="178">
        <f>(FME_Ranking1[[#This Row],[Structures 100 Raw]]/I$2)*100</f>
        <v>5.3549243884676355E-4</v>
      </c>
      <c r="K2107" s="178">
        <f>FME_Ranking1[[#This Row],[Structures 100  Score (Normalized, Unweighted)]]*$I$3</f>
        <v>8.0323865827014533E-5</v>
      </c>
      <c r="L2107" s="246">
        <f>_xlfn.XLOOKUP(FME_Ranking1[[#This Row],[FME ID]],FME_Input[FME_ID],FME_Input[RES_STRUCT100])</f>
        <v>1</v>
      </c>
      <c r="M2107" s="230">
        <f>(FME_Ranking1[[#This Row],[Res Structures Raw]]/L$2)*100</f>
        <v>7.0830559136433825E-4</v>
      </c>
      <c r="N2107" s="180">
        <f>FME_Ranking1[[#This Row],[Res Structures Score (Normalized, Unweighted)]]*$L$3</f>
        <v>7.0830559136433833E-5</v>
      </c>
      <c r="O2107" s="244">
        <f>_xlfn.XLOOKUP(FME_Ranking1[[#This Row],[FME ID]],FME_Input[FME_ID],FME_Input[POP100])</f>
        <v>0</v>
      </c>
      <c r="P2107" s="178">
        <f>(FME_Ranking1[[#This Row],[Pop Raw]]/$O$2)*100</f>
        <v>0</v>
      </c>
      <c r="Q2107" s="178">
        <f>FME_Ranking1[[#This Row],[Pop Score (Normalized, Unweighted)]]*$O$3</f>
        <v>0</v>
      </c>
      <c r="R2107" s="137">
        <f>_xlfn.XLOOKUP(FME_Ranking1[[#This Row],[FME ID]],FME_Input[FME_ID],FME_Input[CRITFAC100])</f>
        <v>0</v>
      </c>
      <c r="S2107" s="230">
        <f>(FME_Ranking1[[#This Row],[Critical Facilities Raw]]/$R$2)*100</f>
        <v>0</v>
      </c>
      <c r="T2107" s="180">
        <f>FME_Ranking1[[#This Row],[Critical Facilities Score (Normalized, Unweighted)]]*$R$3</f>
        <v>0</v>
      </c>
      <c r="U2107">
        <f>_xlfn.XLOOKUP(FME_Ranking1[[#This Row],[FME ID]],FME_Input[FME_ID],FME_Input[LWC])</f>
        <v>0</v>
      </c>
      <c r="V2107" s="178">
        <f>(FME_Ranking1[[#This Row],[LWC Raw]]/$U$2)*100</f>
        <v>0</v>
      </c>
      <c r="W2107" s="178">
        <f>FME_Ranking1[[#This Row],[LWC Score (Normalized, Unweighted)]]*$U$3</f>
        <v>0</v>
      </c>
      <c r="X2107" s="246">
        <f>_xlfn.XLOOKUP(FME_Ranking1[[#This Row],[FME ID]],FME_Input[FME_ID],FME_Input[ROADCLS])</f>
        <v>0</v>
      </c>
      <c r="Y2107" s="230">
        <f>(FME_Ranking1[[#This Row],[Closures Raw]]/$X$2)*100</f>
        <v>0</v>
      </c>
      <c r="Z2107" s="180">
        <f>FME_Ranking1[[#This Row],[Closures Score (Normalized, Unweighted)]]*$X$3</f>
        <v>0</v>
      </c>
      <c r="AA2107" s="253">
        <f>_xlfn.XLOOKUP(FME_Ranking1[[#This Row],[FME ID]],FME_Input[FME_ID],FME_Input[ROAD_MILES100])</f>
        <v>3.0423251911997799E-2</v>
      </c>
      <c r="AB2107" s="178">
        <f>(FME_Ranking1[[#This Row],[Miles Raw]]/$AA$2)*100</f>
        <v>4.0001119597877702E-4</v>
      </c>
      <c r="AC2107" s="178">
        <f>FME_Ranking1[[#This Row],[Miles Score (Normalized, Unweighted)]]*$AA$3</f>
        <v>4.0001119597877702E-5</v>
      </c>
      <c r="AD2107" s="255">
        <f>_xlfn.XLOOKUP(FME_Ranking1[[#This Row],[FME ID]],FME_Input[FME_ID],FME_Input[FARMACRE100])</f>
        <v>1.800850033760071</v>
      </c>
      <c r="AE2107" s="230">
        <f>(FME_Ranking1[[#This Row],[Ag Land Raw]]/$AD$2)*100</f>
        <v>7.4258993880445059E-5</v>
      </c>
      <c r="AF2107" s="231">
        <f>FME_Ranking1[[#This Row],[Ag Land Score (Normalized, Unweighted)]]*$AD$3</f>
        <v>3.7129496940222529E-6</v>
      </c>
      <c r="AG210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1.948684942553483E-4</v>
      </c>
      <c r="AH2107" s="406">
        <f t="shared" si="32"/>
        <v>2129</v>
      </c>
      <c r="AI210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1.948684942553483E-4</v>
      </c>
      <c r="AJ2107" s="257">
        <f>FME_Ranking1[[#This Row],[Addition check]]-FME_Ranking1[[#This Row],[Weighted Score Based on Normalized Reported Factors]]</f>
        <v>0</v>
      </c>
      <c r="AK2107" s="178">
        <f>_xlfn.RANK.EQ(AI2107,$AI$6:$AI$2341,0)+COUNTIF($AI$6:AI2107,AI2107)-1</f>
        <v>2130</v>
      </c>
    </row>
    <row r="2108" spans="1:37" x14ac:dyDescent="0.25">
      <c r="A2108" t="s">
        <v>6333</v>
      </c>
      <c r="B2108">
        <f>_xlfn.XLOOKUP(FME_Ranking1[[#This Row],[FME ID]],FME_Input[FME_ID],FME_Input[RFPG_NUM])</f>
        <v>5</v>
      </c>
      <c r="C2108" t="str">
        <f>_xlfn.XLOOKUP(FME_Ranking1[[#This Row],[FME ID]],FME_Input[FME_ID],FME_Input[FME_NAME])</f>
        <v>Star Lake Upgrade Pumping Equipment</v>
      </c>
      <c r="D2108" t="str">
        <f>_xlfn.XLOOKUP(FME_Ranking1[[#This Row],[FME ID]],FME_Input[FME_ID],FME_Input[DESCR])</f>
        <v xml:space="preserve">H&amp;H study to size pump upgrades and improve existing level of service. </v>
      </c>
      <c r="E2108" s="256">
        <f>_xlfn.XLOOKUP(FME_Ranking1[[#This Row],[FME ID]],FME_Input[FME_ID],FME_Input[FME_COST])</f>
        <v>100000</v>
      </c>
      <c r="F2108" t="str">
        <f>_xlfn.XLOOKUP(FME_Ranking1[[#This Row],[FME ID]],FME_Input[FME_ID],FME_Input[EMER_NEED])</f>
        <v>Yes</v>
      </c>
      <c r="G2108">
        <f>IF(FME_Ranking!F2108="Yes",100,0)</f>
        <v>100</v>
      </c>
      <c r="H2108">
        <f>FME_Ranking1[[#This Row],[Emergency Need Score (Normalized, Unweighted)]]*$F$3</f>
        <v>0</v>
      </c>
      <c r="I2108" s="246">
        <f>_xlfn.XLOOKUP(FME_Ranking1[[#This Row],[FME ID]],FME_Input[FME_ID],FME_Input[STRUCT_100])</f>
        <v>1</v>
      </c>
      <c r="J2108" s="178">
        <f>(FME_Ranking1[[#This Row],[Structures 100 Raw]]/I$2)*100</f>
        <v>5.3549243884676355E-4</v>
      </c>
      <c r="K2108" s="178">
        <f>FME_Ranking1[[#This Row],[Structures 100  Score (Normalized, Unweighted)]]*$I$3</f>
        <v>8.0323865827014533E-5</v>
      </c>
      <c r="L2108" s="246">
        <f>_xlfn.XLOOKUP(FME_Ranking1[[#This Row],[FME ID]],FME_Input[FME_ID],FME_Input[RES_STRUCT100])</f>
        <v>1</v>
      </c>
      <c r="M2108" s="230">
        <f>(FME_Ranking1[[#This Row],[Res Structures Raw]]/L$2)*100</f>
        <v>7.0830559136433825E-4</v>
      </c>
      <c r="N2108" s="180">
        <f>FME_Ranking1[[#This Row],[Res Structures Score (Normalized, Unweighted)]]*$L$3</f>
        <v>7.0830559136433833E-5</v>
      </c>
      <c r="O2108" s="244">
        <f>_xlfn.XLOOKUP(FME_Ranking1[[#This Row],[FME ID]],FME_Input[FME_ID],FME_Input[POP100])</f>
        <v>0</v>
      </c>
      <c r="P2108" s="178">
        <f>(FME_Ranking1[[#This Row],[Pop Raw]]/$O$2)*100</f>
        <v>0</v>
      </c>
      <c r="Q2108" s="178">
        <f>FME_Ranking1[[#This Row],[Pop Score (Normalized, Unweighted)]]*$O$3</f>
        <v>0</v>
      </c>
      <c r="R2108" s="137">
        <f>_xlfn.XLOOKUP(FME_Ranking1[[#This Row],[FME ID]],FME_Input[FME_ID],FME_Input[CRITFAC100])</f>
        <v>0</v>
      </c>
      <c r="S2108" s="230">
        <f>(FME_Ranking1[[#This Row],[Critical Facilities Raw]]/$R$2)*100</f>
        <v>0</v>
      </c>
      <c r="T2108" s="180">
        <f>FME_Ranking1[[#This Row],[Critical Facilities Score (Normalized, Unweighted)]]*$R$3</f>
        <v>0</v>
      </c>
      <c r="U2108">
        <f>_xlfn.XLOOKUP(FME_Ranking1[[#This Row],[FME ID]],FME_Input[FME_ID],FME_Input[LWC])</f>
        <v>0</v>
      </c>
      <c r="V2108" s="178">
        <f>(FME_Ranking1[[#This Row],[LWC Raw]]/$U$2)*100</f>
        <v>0</v>
      </c>
      <c r="W2108" s="178">
        <f>FME_Ranking1[[#This Row],[LWC Score (Normalized, Unweighted)]]*$U$3</f>
        <v>0</v>
      </c>
      <c r="X2108" s="246">
        <f>_xlfn.XLOOKUP(FME_Ranking1[[#This Row],[FME ID]],FME_Input[FME_ID],FME_Input[ROADCLS])</f>
        <v>0</v>
      </c>
      <c r="Y2108" s="230">
        <f>(FME_Ranking1[[#This Row],[Closures Raw]]/$X$2)*100</f>
        <v>0</v>
      </c>
      <c r="Z2108" s="180">
        <f>FME_Ranking1[[#This Row],[Closures Score (Normalized, Unweighted)]]*$X$3</f>
        <v>0</v>
      </c>
      <c r="AA2108" s="253">
        <f>_xlfn.XLOOKUP(FME_Ranking1[[#This Row],[FME ID]],FME_Input[FME_ID],FME_Input[ROAD_MILES100])</f>
        <v>0</v>
      </c>
      <c r="AB2108" s="178">
        <f>(FME_Ranking1[[#This Row],[Miles Raw]]/$AA$2)*100</f>
        <v>0</v>
      </c>
      <c r="AC2108" s="178">
        <f>FME_Ranking1[[#This Row],[Miles Score (Normalized, Unweighted)]]*$AA$3</f>
        <v>0</v>
      </c>
      <c r="AD2108" s="255">
        <f>_xlfn.XLOOKUP(FME_Ranking1[[#This Row],[FME ID]],FME_Input[FME_ID],FME_Input[FARMACRE100])</f>
        <v>0.30742177367210388</v>
      </c>
      <c r="AE2108" s="230">
        <f>(FME_Ranking1[[#This Row],[Ag Land Raw]]/$AD$2)*100</f>
        <v>1.2676697771533506E-5</v>
      </c>
      <c r="AF2108" s="231">
        <f>FME_Ranking1[[#This Row],[Ag Land Score (Normalized, Unweighted)]]*$AD$3</f>
        <v>6.3383488857667538E-7</v>
      </c>
      <c r="AG210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1.5178825985202502E-4</v>
      </c>
      <c r="AH2108" s="406">
        <f t="shared" si="32"/>
        <v>2135</v>
      </c>
      <c r="AI210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1.5178825985202502E-4</v>
      </c>
      <c r="AJ2108" s="257">
        <f>FME_Ranking1[[#This Row],[Addition check]]-FME_Ranking1[[#This Row],[Weighted Score Based on Normalized Reported Factors]]</f>
        <v>0</v>
      </c>
      <c r="AK2108" s="178">
        <f>_xlfn.RANK.EQ(AI2108,$AI$6:$AI$2341,0)+COUNTIF($AI$6:AI2108,AI2108)-1</f>
        <v>2135</v>
      </c>
    </row>
    <row r="2109" spans="1:37" x14ac:dyDescent="0.25">
      <c r="A2109" t="s">
        <v>7878</v>
      </c>
      <c r="B2109">
        <f>_xlfn.XLOOKUP(FME_Ranking1[[#This Row],[FME ID]],FME_Input[FME_ID],FME_Input[RFPG_NUM])</f>
        <v>9</v>
      </c>
      <c r="C2109" t="str">
        <f>_xlfn.XLOOKUP(FME_Ranking1[[#This Row],[FME ID]],FME_Input[FME_ID],FME_Input[FME_NAME])</f>
        <v>San Angelo Street Flooding 16</v>
      </c>
      <c r="D2109" t="str">
        <f>_xlfn.XLOOKUP(FME_Ranking1[[#This Row],[FME ID]],FME_Input[FME_ID],FME_Input[DESCR])</f>
        <v>Low water crossing, street flooding. Red Bluff Rd. at Lincoln Park Rd</v>
      </c>
      <c r="E2109" s="256">
        <f>_xlfn.XLOOKUP(FME_Ranking1[[#This Row],[FME ID]],FME_Input[FME_ID],FME_Input[FME_COST])</f>
        <v>25000</v>
      </c>
      <c r="F2109" t="str">
        <f>_xlfn.XLOOKUP(FME_Ranking1[[#This Row],[FME ID]],FME_Input[FME_ID],FME_Input[EMER_NEED])</f>
        <v>Yes</v>
      </c>
      <c r="G2109">
        <f>IF(FME_Ranking!F2109="Yes",100,0)</f>
        <v>100</v>
      </c>
      <c r="H2109">
        <f>FME_Ranking1[[#This Row],[Emergency Need Score (Normalized, Unweighted)]]*$F$3</f>
        <v>0</v>
      </c>
      <c r="I2109" s="246">
        <f>_xlfn.XLOOKUP(FME_Ranking1[[#This Row],[FME ID]],FME_Input[FME_ID],FME_Input[STRUCT_100])</f>
        <v>1</v>
      </c>
      <c r="J2109" s="178">
        <f>(FME_Ranking1[[#This Row],[Structures 100 Raw]]/I$2)*100</f>
        <v>5.3549243884676355E-4</v>
      </c>
      <c r="K2109" s="178">
        <f>FME_Ranking1[[#This Row],[Structures 100  Score (Normalized, Unweighted)]]*$I$3</f>
        <v>8.0323865827014533E-5</v>
      </c>
      <c r="L2109" s="246">
        <f>_xlfn.XLOOKUP(FME_Ranking1[[#This Row],[FME ID]],FME_Input[FME_ID],FME_Input[RES_STRUCT100])</f>
        <v>1</v>
      </c>
      <c r="M2109" s="230">
        <f>(FME_Ranking1[[#This Row],[Res Structures Raw]]/L$2)*100</f>
        <v>7.0830559136433825E-4</v>
      </c>
      <c r="N2109" s="180">
        <f>FME_Ranking1[[#This Row],[Res Structures Score (Normalized, Unweighted)]]*$L$3</f>
        <v>7.0830559136433833E-5</v>
      </c>
      <c r="O2109" s="244">
        <f>_xlfn.XLOOKUP(FME_Ranking1[[#This Row],[FME ID]],FME_Input[FME_ID],FME_Input[POP100])</f>
        <v>0</v>
      </c>
      <c r="P2109" s="178">
        <f>(FME_Ranking1[[#This Row],[Pop Raw]]/$O$2)*100</f>
        <v>0</v>
      </c>
      <c r="Q2109" s="178">
        <f>FME_Ranking1[[#This Row],[Pop Score (Normalized, Unweighted)]]*$O$3</f>
        <v>0</v>
      </c>
      <c r="R2109" s="137">
        <f>_xlfn.XLOOKUP(FME_Ranking1[[#This Row],[FME ID]],FME_Input[FME_ID],FME_Input[CRITFAC100])</f>
        <v>0</v>
      </c>
      <c r="S2109" s="230">
        <f>(FME_Ranking1[[#This Row],[Critical Facilities Raw]]/$R$2)*100</f>
        <v>0</v>
      </c>
      <c r="T2109" s="180">
        <f>FME_Ranking1[[#This Row],[Critical Facilities Score (Normalized, Unweighted)]]*$R$3</f>
        <v>0</v>
      </c>
      <c r="U2109">
        <f>_xlfn.XLOOKUP(FME_Ranking1[[#This Row],[FME ID]],FME_Input[FME_ID],FME_Input[LWC])</f>
        <v>0</v>
      </c>
      <c r="V2109" s="178">
        <f>(FME_Ranking1[[#This Row],[LWC Raw]]/$U$2)*100</f>
        <v>0</v>
      </c>
      <c r="W2109" s="178">
        <f>FME_Ranking1[[#This Row],[LWC Score (Normalized, Unweighted)]]*$U$3</f>
        <v>0</v>
      </c>
      <c r="X2109" s="246">
        <f>_xlfn.XLOOKUP(FME_Ranking1[[#This Row],[FME ID]],FME_Input[FME_ID],FME_Input[ROADCLS])</f>
        <v>0</v>
      </c>
      <c r="Y2109" s="230">
        <f>(FME_Ranking1[[#This Row],[Closures Raw]]/$X$2)*100</f>
        <v>0</v>
      </c>
      <c r="Z2109" s="180">
        <f>FME_Ranking1[[#This Row],[Closures Score (Normalized, Unweighted)]]*$X$3</f>
        <v>0</v>
      </c>
      <c r="AA2109" s="253">
        <f>_xlfn.XLOOKUP(FME_Ranking1[[#This Row],[FME ID]],FME_Input[FME_ID],FME_Input[ROAD_MILES100])</f>
        <v>0</v>
      </c>
      <c r="AB2109" s="178">
        <f>(FME_Ranking1[[#This Row],[Miles Raw]]/$AA$2)*100</f>
        <v>0</v>
      </c>
      <c r="AC2109" s="178">
        <f>FME_Ranking1[[#This Row],[Miles Score (Normalized, Unweighted)]]*$AA$3</f>
        <v>0</v>
      </c>
      <c r="AD2109" s="255">
        <f>_xlfn.XLOOKUP(FME_Ranking1[[#This Row],[FME ID]],FME_Input[FME_ID],FME_Input[FARMACRE100])</f>
        <v>0</v>
      </c>
      <c r="AE2109" s="230">
        <f>(FME_Ranking1[[#This Row],[Ag Land Raw]]/$AD$2)*100</f>
        <v>0</v>
      </c>
      <c r="AF2109" s="231">
        <f>FME_Ranking1[[#This Row],[Ag Land Score (Normalized, Unweighted)]]*$AD$3</f>
        <v>0</v>
      </c>
      <c r="AG210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1.5115442496344835E-4</v>
      </c>
      <c r="AH2109" s="406">
        <f t="shared" si="32"/>
        <v>2137</v>
      </c>
      <c r="AI210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1.5115442496344835E-4</v>
      </c>
      <c r="AJ2109" s="257">
        <f>FME_Ranking1[[#This Row],[Addition check]]-FME_Ranking1[[#This Row],[Weighted Score Based on Normalized Reported Factors]]</f>
        <v>0</v>
      </c>
      <c r="AK2109" s="178">
        <f>_xlfn.RANK.EQ(AI2109,$AI$6:$AI$2341,0)+COUNTIF($AI$6:AI2109,AI2109)-1</f>
        <v>2137</v>
      </c>
    </row>
    <row r="2110" spans="1:37" x14ac:dyDescent="0.25">
      <c r="A2110" t="s">
        <v>7506</v>
      </c>
      <c r="B2110">
        <f>_xlfn.XLOOKUP(FME_Ranking1[[#This Row],[FME ID]],FME_Input[FME_ID],FME_Input[RFPG_NUM])</f>
        <v>8</v>
      </c>
      <c r="C2110" t="str">
        <f>_xlfn.XLOOKUP(FME_Ranking1[[#This Row],[FME ID]],FME_Input[FME_ID],FME_Input[FME_NAME])</f>
        <v>Fulshear Lakes Drainage Improvements</v>
      </c>
      <c r="D2110" t="str">
        <f>_xlfn.XLOOKUP(FME_Ranking1[[#This Row],[FME ID]],FME_Input[FME_ID],FME_Input[DESCR])</f>
        <v>Design of drainage infrastructure to mitigate flooding in Fulshear Lake development.</v>
      </c>
      <c r="E2110" s="256">
        <f>_xlfn.XLOOKUP(FME_Ranking1[[#This Row],[FME ID]],FME_Input[FME_ID],FME_Input[FME_COST])</f>
        <v>151000</v>
      </c>
      <c r="F2110" t="str">
        <f>_xlfn.XLOOKUP(FME_Ranking1[[#This Row],[FME ID]],FME_Input[FME_ID],FME_Input[EMER_NEED])</f>
        <v>No</v>
      </c>
      <c r="G2110">
        <f>IF(FME_Ranking!F2110="Yes",100,0)</f>
        <v>0</v>
      </c>
      <c r="H2110">
        <f>FME_Ranking1[[#This Row],[Emergency Need Score (Normalized, Unweighted)]]*$F$3</f>
        <v>0</v>
      </c>
      <c r="I2110" s="246">
        <f>_xlfn.XLOOKUP(FME_Ranking1[[#This Row],[FME ID]],FME_Input[FME_ID],FME_Input[STRUCT_100])</f>
        <v>0</v>
      </c>
      <c r="J2110" s="178">
        <f>(FME_Ranking1[[#This Row],[Structures 100 Raw]]/I$2)*100</f>
        <v>0</v>
      </c>
      <c r="K2110" s="178">
        <f>FME_Ranking1[[#This Row],[Structures 100  Score (Normalized, Unweighted)]]*$I$3</f>
        <v>0</v>
      </c>
      <c r="L2110" s="246">
        <f>_xlfn.XLOOKUP(FME_Ranking1[[#This Row],[FME ID]],FME_Input[FME_ID],FME_Input[RES_STRUCT100])</f>
        <v>0</v>
      </c>
      <c r="M2110" s="230">
        <f>(FME_Ranking1[[#This Row],[Res Structures Raw]]/L$2)*100</f>
        <v>0</v>
      </c>
      <c r="N2110" s="180">
        <f>FME_Ranking1[[#This Row],[Res Structures Score (Normalized, Unweighted)]]*$L$3</f>
        <v>0</v>
      </c>
      <c r="O2110" s="244">
        <f>_xlfn.XLOOKUP(FME_Ranking1[[#This Row],[FME ID]],FME_Input[FME_ID],FME_Input[POP100])</f>
        <v>0</v>
      </c>
      <c r="P2110" s="178">
        <f>(FME_Ranking1[[#This Row],[Pop Raw]]/$O$2)*100</f>
        <v>0</v>
      </c>
      <c r="Q2110" s="178">
        <f>FME_Ranking1[[#This Row],[Pop Score (Normalized, Unweighted)]]*$O$3</f>
        <v>0</v>
      </c>
      <c r="R2110" s="137">
        <f>_xlfn.XLOOKUP(FME_Ranking1[[#This Row],[FME ID]],FME_Input[FME_ID],FME_Input[CRITFAC100])</f>
        <v>0</v>
      </c>
      <c r="S2110" s="230">
        <f>(FME_Ranking1[[#This Row],[Critical Facilities Raw]]/$R$2)*100</f>
        <v>0</v>
      </c>
      <c r="T2110" s="180">
        <f>FME_Ranking1[[#This Row],[Critical Facilities Score (Normalized, Unweighted)]]*$R$3</f>
        <v>0</v>
      </c>
      <c r="U2110">
        <f>_xlfn.XLOOKUP(FME_Ranking1[[#This Row],[FME ID]],FME_Input[FME_ID],FME_Input[LWC])</f>
        <v>0</v>
      </c>
      <c r="V2110" s="178">
        <f>(FME_Ranking1[[#This Row],[LWC Raw]]/$U$2)*100</f>
        <v>0</v>
      </c>
      <c r="W2110" s="178">
        <f>FME_Ranking1[[#This Row],[LWC Score (Normalized, Unweighted)]]*$U$3</f>
        <v>0</v>
      </c>
      <c r="X2110" s="246">
        <f>_xlfn.XLOOKUP(FME_Ranking1[[#This Row],[FME ID]],FME_Input[FME_ID],FME_Input[ROADCLS])</f>
        <v>0</v>
      </c>
      <c r="Y2110" s="230">
        <f>(FME_Ranking1[[#This Row],[Closures Raw]]/$X$2)*100</f>
        <v>0</v>
      </c>
      <c r="Z2110" s="180">
        <f>FME_Ranking1[[#This Row],[Closures Score (Normalized, Unweighted)]]*$X$3</f>
        <v>0</v>
      </c>
      <c r="AA2110" s="253">
        <f>_xlfn.XLOOKUP(FME_Ranking1[[#This Row],[FME ID]],FME_Input[FME_ID],FME_Input[ROAD_MILES100])</f>
        <v>0</v>
      </c>
      <c r="AB2110" s="178">
        <f>(FME_Ranking1[[#This Row],[Miles Raw]]/$AA$2)*100</f>
        <v>0</v>
      </c>
      <c r="AC2110" s="178">
        <f>FME_Ranking1[[#This Row],[Miles Score (Normalized, Unweighted)]]*$AA$3</f>
        <v>0</v>
      </c>
      <c r="AD2110" s="255">
        <f>_xlfn.XLOOKUP(FME_Ranking1[[#This Row],[FME ID]],FME_Input[FME_ID],FME_Input[FARMACRE100])</f>
        <v>68.815200805664063</v>
      </c>
      <c r="AE2110" s="230">
        <f>(FME_Ranking1[[#This Row],[Ag Land Raw]]/$AD$2)*100</f>
        <v>2.8376308297252892E-3</v>
      </c>
      <c r="AF2110" s="231">
        <f>FME_Ranking1[[#This Row],[Ag Land Score (Normalized, Unweighted)]]*$AD$3</f>
        <v>1.4188154148626447E-4</v>
      </c>
      <c r="AG211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1.4188154148626447E-4</v>
      </c>
      <c r="AH2110" s="406">
        <f t="shared" si="32"/>
        <v>2141</v>
      </c>
      <c r="AI211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1.4188154148626447E-4</v>
      </c>
      <c r="AJ2110" s="257">
        <f>FME_Ranking1[[#This Row],[Addition check]]-FME_Ranking1[[#This Row],[Weighted Score Based on Normalized Reported Factors]]</f>
        <v>0</v>
      </c>
      <c r="AK2110" s="178">
        <f>_xlfn.RANK.EQ(AI2110,$AI$6:$AI$2341,0)+COUNTIF($AI$6:AI2110,AI2110)-1</f>
        <v>2141</v>
      </c>
    </row>
    <row r="2111" spans="1:37" x14ac:dyDescent="0.25">
      <c r="A2111" t="s">
        <v>11076</v>
      </c>
      <c r="B2111">
        <f>_xlfn.XLOOKUP(FME_Ranking1[[#This Row],[FME ID]],FME_Input[FME_ID],FME_Input[RFPG_NUM])</f>
        <v>15</v>
      </c>
      <c r="C2111" t="str">
        <f>_xlfn.XLOOKUP(FME_Ranking1[[#This Row],[FME ID]],FME_Input[FME_ID],FME_Input[FME_NAME])</f>
        <v>FM 491 and Mile 3</v>
      </c>
      <c r="D2111" t="str">
        <f>_xlfn.XLOOKUP(FME_Ranking1[[#This Row],[FME ID]],FME_Input[FME_ID],FME_Input[DESCR])</f>
        <v>Local Drainage Improvements- County Road 1771</v>
      </c>
      <c r="E2111" s="256">
        <f>_xlfn.XLOOKUP(FME_Ranking1[[#This Row],[FME ID]],FME_Input[FME_ID],FME_Input[FME_COST])</f>
        <v>60000</v>
      </c>
      <c r="F2111" t="str">
        <f>_xlfn.XLOOKUP(FME_Ranking1[[#This Row],[FME ID]],FME_Input[FME_ID],FME_Input[EMER_NEED])</f>
        <v>Yes</v>
      </c>
      <c r="G2111">
        <f>IF(FME_Ranking!F2111="Yes",100,0)</f>
        <v>100</v>
      </c>
      <c r="H2111">
        <f>FME_Ranking1[[#This Row],[Emergency Need Score (Normalized, Unweighted)]]*$F$3</f>
        <v>0</v>
      </c>
      <c r="I2111" s="246">
        <f>_xlfn.XLOOKUP(FME_Ranking1[[#This Row],[FME ID]],FME_Input[FME_ID],FME_Input[STRUCT_100])</f>
        <v>0</v>
      </c>
      <c r="J2111" s="178">
        <f>(FME_Ranking1[[#This Row],[Structures 100 Raw]]/I$2)*100</f>
        <v>0</v>
      </c>
      <c r="K2111" s="178">
        <f>FME_Ranking1[[#This Row],[Structures 100  Score (Normalized, Unweighted)]]*$I$3</f>
        <v>0</v>
      </c>
      <c r="L2111" s="246">
        <f>_xlfn.XLOOKUP(FME_Ranking1[[#This Row],[FME ID]],FME_Input[FME_ID],FME_Input[RES_STRUCT100])</f>
        <v>2</v>
      </c>
      <c r="M2111" s="230">
        <f>(FME_Ranking1[[#This Row],[Res Structures Raw]]/L$2)*100</f>
        <v>1.4166111827286765E-3</v>
      </c>
      <c r="N2111" s="180">
        <f>FME_Ranking1[[#This Row],[Res Structures Score (Normalized, Unweighted)]]*$L$3</f>
        <v>1.4166111827286767E-4</v>
      </c>
      <c r="O2111" s="244">
        <f>_xlfn.XLOOKUP(FME_Ranking1[[#This Row],[FME ID]],FME_Input[FME_ID],FME_Input[POP100])</f>
        <v>0</v>
      </c>
      <c r="P2111" s="178">
        <f>(FME_Ranking1[[#This Row],[Pop Raw]]/$O$2)*100</f>
        <v>0</v>
      </c>
      <c r="Q2111" s="178">
        <f>FME_Ranking1[[#This Row],[Pop Score (Normalized, Unweighted)]]*$O$3</f>
        <v>0</v>
      </c>
      <c r="R2111" s="137">
        <f>_xlfn.XLOOKUP(FME_Ranking1[[#This Row],[FME ID]],FME_Input[FME_ID],FME_Input[CRITFAC100])</f>
        <v>0</v>
      </c>
      <c r="S2111" s="230">
        <f>(FME_Ranking1[[#This Row],[Critical Facilities Raw]]/$R$2)*100</f>
        <v>0</v>
      </c>
      <c r="T2111" s="180">
        <f>FME_Ranking1[[#This Row],[Critical Facilities Score (Normalized, Unweighted)]]*$R$3</f>
        <v>0</v>
      </c>
      <c r="U2111">
        <f>_xlfn.XLOOKUP(FME_Ranking1[[#This Row],[FME ID]],FME_Input[FME_ID],FME_Input[LWC])</f>
        <v>0</v>
      </c>
      <c r="V2111" s="178">
        <f>(FME_Ranking1[[#This Row],[LWC Raw]]/$U$2)*100</f>
        <v>0</v>
      </c>
      <c r="W2111" s="178">
        <f>FME_Ranking1[[#This Row],[LWC Score (Normalized, Unweighted)]]*$U$3</f>
        <v>0</v>
      </c>
      <c r="X2111" s="246">
        <f>_xlfn.XLOOKUP(FME_Ranking1[[#This Row],[FME ID]],FME_Input[FME_ID],FME_Input[ROADCLS])</f>
        <v>0</v>
      </c>
      <c r="Y2111" s="230">
        <f>(FME_Ranking1[[#This Row],[Closures Raw]]/$X$2)*100</f>
        <v>0</v>
      </c>
      <c r="Z2111" s="180">
        <f>FME_Ranking1[[#This Row],[Closures Score (Normalized, Unweighted)]]*$X$3</f>
        <v>0</v>
      </c>
      <c r="AA2111" s="253">
        <f>_xlfn.XLOOKUP(FME_Ranking1[[#This Row],[FME ID]],FME_Input[FME_ID],FME_Input[ROAD_MILES100])</f>
        <v>2.1752998828887939</v>
      </c>
      <c r="AB2111" s="178">
        <f>(FME_Ranking1[[#This Row],[Miles Raw]]/$AA$2)*100</f>
        <v>2.8601291876483709E-2</v>
      </c>
      <c r="AC2111" s="178">
        <f>FME_Ranking1[[#This Row],[Miles Score (Normalized, Unweighted)]]*$AA$3</f>
        <v>2.8601291876483711E-3</v>
      </c>
      <c r="AD2111" s="255">
        <f>_xlfn.XLOOKUP(FME_Ranking1[[#This Row],[FME ID]],FME_Input[FME_ID],FME_Input[FARMACRE100])</f>
        <v>0</v>
      </c>
      <c r="AE2111" s="230">
        <f>(FME_Ranking1[[#This Row],[Ag Land Raw]]/$AD$2)*100</f>
        <v>0</v>
      </c>
      <c r="AF2111" s="231">
        <f>FME_Ranking1[[#This Row],[Ag Land Score (Normalized, Unweighted)]]*$AD$3</f>
        <v>0</v>
      </c>
      <c r="AG211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3.0017903059212387E-3</v>
      </c>
      <c r="AH2111" s="406">
        <f t="shared" si="32"/>
        <v>1903</v>
      </c>
      <c r="AI211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3.0017903059212387E-3</v>
      </c>
      <c r="AJ2111" s="257">
        <f>FME_Ranking1[[#This Row],[Addition check]]-FME_Ranking1[[#This Row],[Weighted Score Based on Normalized Reported Factors]]</f>
        <v>0</v>
      </c>
      <c r="AK2111" s="178">
        <f>_xlfn.RANK.EQ(AI2111,$AI$6:$AI$2341,0)+COUNTIF($AI$6:AI2111,AI2111)-1</f>
        <v>1903</v>
      </c>
    </row>
    <row r="2112" spans="1:37" x14ac:dyDescent="0.25">
      <c r="A2112" t="s">
        <v>3404</v>
      </c>
      <c r="B2112">
        <f>_xlfn.XLOOKUP(FME_Ranking1[[#This Row],[FME ID]],FME_Input[FME_ID],FME_Input[RFPG_NUM])</f>
        <v>1</v>
      </c>
      <c r="C2112" t="str">
        <f>_xlfn.XLOOKUP(FME_Ranking1[[#This Row],[FME ID]],FME_Input[FME_ID],FME_Input[FME_NAME])</f>
        <v>Playa 35 Watershed Study (City of Amarillo)</v>
      </c>
      <c r="D2112" t="str">
        <f>_xlfn.XLOOKUP(FME_Ranking1[[#This Row],[FME ID]],FME_Input[FME_ID],FME_Input[DESCR])</f>
        <v>Perform H&amp;H modeling, develop conceptual alternatives and OPCC, and rank projects. Marked as high priority in 2019 Amarillo DMP</v>
      </c>
      <c r="E2112" s="256">
        <f>_xlfn.XLOOKUP(FME_Ranking1[[#This Row],[FME ID]],FME_Input[FME_ID],FME_Input[FME_COST])</f>
        <v>420000</v>
      </c>
      <c r="F2112" t="str">
        <f>_xlfn.XLOOKUP(FME_Ranking1[[#This Row],[FME ID]],FME_Input[FME_ID],FME_Input[EMER_NEED])</f>
        <v>No</v>
      </c>
      <c r="G2112">
        <f>IF(FME_Ranking!F2112="Yes",100,0)</f>
        <v>0</v>
      </c>
      <c r="H2112">
        <f>FME_Ranking1[[#This Row],[Emergency Need Score (Normalized, Unweighted)]]*$F$3</f>
        <v>0</v>
      </c>
      <c r="I2112" s="246">
        <f>_xlfn.XLOOKUP(FME_Ranking1[[#This Row],[FME ID]],FME_Input[FME_ID],FME_Input[STRUCT_100])</f>
        <v>0</v>
      </c>
      <c r="J2112" s="178">
        <f>(FME_Ranking1[[#This Row],[Structures 100 Raw]]/I$2)*100</f>
        <v>0</v>
      </c>
      <c r="K2112" s="178">
        <f>FME_Ranking1[[#This Row],[Structures 100  Score (Normalized, Unweighted)]]*$I$3</f>
        <v>0</v>
      </c>
      <c r="L2112" s="246">
        <f>_xlfn.XLOOKUP(FME_Ranking1[[#This Row],[FME ID]],FME_Input[FME_ID],FME_Input[RES_STRUCT100])</f>
        <v>0</v>
      </c>
      <c r="M2112" s="230">
        <f>(FME_Ranking1[[#This Row],[Res Structures Raw]]/L$2)*100</f>
        <v>0</v>
      </c>
      <c r="N2112" s="180">
        <f>FME_Ranking1[[#This Row],[Res Structures Score (Normalized, Unweighted)]]*$L$3</f>
        <v>0</v>
      </c>
      <c r="O2112" s="244">
        <f>_xlfn.XLOOKUP(FME_Ranking1[[#This Row],[FME ID]],FME_Input[FME_ID],FME_Input[POP100])</f>
        <v>0</v>
      </c>
      <c r="P2112" s="178">
        <f>(FME_Ranking1[[#This Row],[Pop Raw]]/$O$2)*100</f>
        <v>0</v>
      </c>
      <c r="Q2112" s="178">
        <f>FME_Ranking1[[#This Row],[Pop Score (Normalized, Unweighted)]]*$O$3</f>
        <v>0</v>
      </c>
      <c r="R2112" s="137">
        <f>_xlfn.XLOOKUP(FME_Ranking1[[#This Row],[FME ID]],FME_Input[FME_ID],FME_Input[CRITFAC100])</f>
        <v>0</v>
      </c>
      <c r="S2112" s="230">
        <f>(FME_Ranking1[[#This Row],[Critical Facilities Raw]]/$R$2)*100</f>
        <v>0</v>
      </c>
      <c r="T2112" s="180">
        <f>FME_Ranking1[[#This Row],[Critical Facilities Score (Normalized, Unweighted)]]*$R$3</f>
        <v>0</v>
      </c>
      <c r="U2112">
        <f>_xlfn.XLOOKUP(FME_Ranking1[[#This Row],[FME ID]],FME_Input[FME_ID],FME_Input[LWC])</f>
        <v>0</v>
      </c>
      <c r="V2112" s="178">
        <f>(FME_Ranking1[[#This Row],[LWC Raw]]/$U$2)*100</f>
        <v>0</v>
      </c>
      <c r="W2112" s="178">
        <f>FME_Ranking1[[#This Row],[LWC Score (Normalized, Unweighted)]]*$U$3</f>
        <v>0</v>
      </c>
      <c r="X2112" s="246">
        <f>_xlfn.XLOOKUP(FME_Ranking1[[#This Row],[FME ID]],FME_Input[FME_ID],FME_Input[ROADCLS])</f>
        <v>0</v>
      </c>
      <c r="Y2112" s="230">
        <f>(FME_Ranking1[[#This Row],[Closures Raw]]/$X$2)*100</f>
        <v>0</v>
      </c>
      <c r="Z2112" s="180">
        <f>FME_Ranking1[[#This Row],[Closures Score (Normalized, Unweighted)]]*$X$3</f>
        <v>0</v>
      </c>
      <c r="AA2112" s="253">
        <f>_xlfn.XLOOKUP(FME_Ranking1[[#This Row],[FME ID]],FME_Input[FME_ID],FME_Input[ROAD_MILES100])</f>
        <v>0.60875356197357178</v>
      </c>
      <c r="AB2112" s="178">
        <f>(FME_Ranking1[[#This Row],[Miles Raw]]/$AA$2)*100</f>
        <v>8.0040174891809774E-3</v>
      </c>
      <c r="AC2112" s="178">
        <f>FME_Ranking1[[#This Row],[Miles Score (Normalized, Unweighted)]]*$AA$3</f>
        <v>8.0040174891809774E-4</v>
      </c>
      <c r="AD2112" s="255">
        <f>_xlfn.XLOOKUP(FME_Ranking1[[#This Row],[FME ID]],FME_Input[FME_ID],FME_Input[FARMACRE100])</f>
        <v>67.76434326171875</v>
      </c>
      <c r="AE2112" s="230">
        <f>(FME_Ranking1[[#This Row],[Ag Land Raw]]/$AD$2)*100</f>
        <v>2.7942981687806572E-3</v>
      </c>
      <c r="AF2112" s="231">
        <f>FME_Ranking1[[#This Row],[Ag Land Score (Normalized, Unweighted)]]*$AD$3</f>
        <v>1.3971490843903286E-4</v>
      </c>
      <c r="AG211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9.401166573571306E-4</v>
      </c>
      <c r="AH2112" s="406">
        <f t="shared" si="32"/>
        <v>2028</v>
      </c>
      <c r="AI211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9.401166573571306E-4</v>
      </c>
      <c r="AJ2112" s="257">
        <f>FME_Ranking1[[#This Row],[Addition check]]-FME_Ranking1[[#This Row],[Weighted Score Based on Normalized Reported Factors]]</f>
        <v>0</v>
      </c>
      <c r="AK2112" s="178">
        <f>_xlfn.RANK.EQ(AI2112,$AI$6:$AI$2341,0)+COUNTIF($AI$6:AI2112,AI2112)-1</f>
        <v>2028</v>
      </c>
    </row>
    <row r="2113" spans="1:37" x14ac:dyDescent="0.25">
      <c r="A2113" t="s">
        <v>10731</v>
      </c>
      <c r="B2113">
        <f>_xlfn.XLOOKUP(FME_Ranking1[[#This Row],[FME ID]],FME_Input[FME_ID],FME_Input[RFPG_NUM])</f>
        <v>13</v>
      </c>
      <c r="C2113" t="str">
        <f>_xlfn.XLOOKUP(FME_Ranking1[[#This Row],[FME ID]],FME_Input[FME_ID],FME_Input[FME_NAME])</f>
        <v>Cove Harbor Bulkhead Construction</v>
      </c>
      <c r="D2113" t="str">
        <f>_xlfn.XLOOKUP(FME_Ranking1[[#This Row],[FME ID]],FME_Input[FME_ID],FME_Input[DESCR])</f>
        <v>Cove Harbor Bulkhead Construction</v>
      </c>
      <c r="E2113" s="256">
        <f>_xlfn.XLOOKUP(FME_Ranking1[[#This Row],[FME ID]],FME_Input[FME_ID],FME_Input[FME_COST])</f>
        <v>2453000</v>
      </c>
      <c r="F2113" t="str">
        <f>_xlfn.XLOOKUP(FME_Ranking1[[#This Row],[FME ID]],FME_Input[FME_ID],FME_Input[EMER_NEED])</f>
        <v>Yes</v>
      </c>
      <c r="G2113">
        <f>IF(FME_Ranking!F2113="Yes",100,0)</f>
        <v>100</v>
      </c>
      <c r="H2113">
        <f>FME_Ranking1[[#This Row],[Emergency Need Score (Normalized, Unweighted)]]*$F$3</f>
        <v>0</v>
      </c>
      <c r="I2113" s="246">
        <f>_xlfn.XLOOKUP(FME_Ranking1[[#This Row],[FME ID]],FME_Input[FME_ID],FME_Input[STRUCT_100])</f>
        <v>1</v>
      </c>
      <c r="J2113" s="178">
        <f>(FME_Ranking1[[#This Row],[Structures 100 Raw]]/I$2)*100</f>
        <v>5.3549243884676355E-4</v>
      </c>
      <c r="K2113" s="178">
        <f>FME_Ranking1[[#This Row],[Structures 100  Score (Normalized, Unweighted)]]*$I$3</f>
        <v>8.0323865827014533E-5</v>
      </c>
      <c r="L2113" s="246">
        <f>_xlfn.XLOOKUP(FME_Ranking1[[#This Row],[FME ID]],FME_Input[FME_ID],FME_Input[RES_STRUCT100])</f>
        <v>0</v>
      </c>
      <c r="M2113" s="230">
        <f>(FME_Ranking1[[#This Row],[Res Structures Raw]]/L$2)*100</f>
        <v>0</v>
      </c>
      <c r="N2113" s="180">
        <f>FME_Ranking1[[#This Row],[Res Structures Score (Normalized, Unweighted)]]*$L$3</f>
        <v>0</v>
      </c>
      <c r="O2113" s="244">
        <f>_xlfn.XLOOKUP(FME_Ranking1[[#This Row],[FME ID]],FME_Input[FME_ID],FME_Input[POP100])</f>
        <v>3</v>
      </c>
      <c r="P2113" s="178">
        <f>(FME_Ranking1[[#This Row],[Pop Raw]]/$O$2)*100</f>
        <v>3.0712593596628988E-4</v>
      </c>
      <c r="Q2113" s="178">
        <f>FME_Ranking1[[#This Row],[Pop Score (Normalized, Unweighted)]]*$O$3</f>
        <v>4.6068890394943479E-5</v>
      </c>
      <c r="R2113" s="137">
        <f>_xlfn.XLOOKUP(FME_Ranking1[[#This Row],[FME ID]],FME_Input[FME_ID],FME_Input[CRITFAC100])</f>
        <v>0</v>
      </c>
      <c r="S2113" s="230">
        <f>(FME_Ranking1[[#This Row],[Critical Facilities Raw]]/$R$2)*100</f>
        <v>0</v>
      </c>
      <c r="T2113" s="180">
        <f>FME_Ranking1[[#This Row],[Critical Facilities Score (Normalized, Unweighted)]]*$R$3</f>
        <v>0</v>
      </c>
      <c r="U2113">
        <f>_xlfn.XLOOKUP(FME_Ranking1[[#This Row],[FME ID]],FME_Input[FME_ID],FME_Input[LWC])</f>
        <v>0</v>
      </c>
      <c r="V2113" s="178">
        <f>(FME_Ranking1[[#This Row],[LWC Raw]]/$U$2)*100</f>
        <v>0</v>
      </c>
      <c r="W2113" s="178">
        <f>FME_Ranking1[[#This Row],[LWC Score (Normalized, Unweighted)]]*$U$3</f>
        <v>0</v>
      </c>
      <c r="X2113" s="246">
        <f>_xlfn.XLOOKUP(FME_Ranking1[[#This Row],[FME ID]],FME_Input[FME_ID],FME_Input[ROADCLS])</f>
        <v>0</v>
      </c>
      <c r="Y2113" s="230">
        <f>(FME_Ranking1[[#This Row],[Closures Raw]]/$X$2)*100</f>
        <v>0</v>
      </c>
      <c r="Z2113" s="180">
        <f>FME_Ranking1[[#This Row],[Closures Score (Normalized, Unweighted)]]*$X$3</f>
        <v>0</v>
      </c>
      <c r="AA2113" s="253">
        <f>_xlfn.XLOOKUP(FME_Ranking1[[#This Row],[FME ID]],FME_Input[FME_ID],FME_Input[ROAD_MILES100])</f>
        <v>0</v>
      </c>
      <c r="AB2113" s="178">
        <f>(FME_Ranking1[[#This Row],[Miles Raw]]/$AA$2)*100</f>
        <v>0</v>
      </c>
      <c r="AC2113" s="178">
        <f>FME_Ranking1[[#This Row],[Miles Score (Normalized, Unweighted)]]*$AA$3</f>
        <v>0</v>
      </c>
      <c r="AD2113" s="255">
        <f>_xlfn.XLOOKUP(FME_Ranking1[[#This Row],[FME ID]],FME_Input[FME_ID],FME_Input[FARMACRE100])</f>
        <v>0</v>
      </c>
      <c r="AE2113" s="230">
        <f>(FME_Ranking1[[#This Row],[Ag Land Raw]]/$AD$2)*100</f>
        <v>0</v>
      </c>
      <c r="AF2113" s="231">
        <f>FME_Ranking1[[#This Row],[Ag Land Score (Normalized, Unweighted)]]*$AD$3</f>
        <v>0</v>
      </c>
      <c r="AG211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1.2639275622195801E-4</v>
      </c>
      <c r="AH2113" s="406">
        <f t="shared" si="32"/>
        <v>2142</v>
      </c>
      <c r="AI211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1.2639275622195801E-4</v>
      </c>
      <c r="AJ2113" s="257">
        <f>FME_Ranking1[[#This Row],[Addition check]]-FME_Ranking1[[#This Row],[Weighted Score Based on Normalized Reported Factors]]</f>
        <v>0</v>
      </c>
      <c r="AK2113" s="178">
        <f>_xlfn.RANK.EQ(AI2113,$AI$6:$AI$2341,0)+COUNTIF($AI$6:AI2113,AI2113)-1</f>
        <v>2142</v>
      </c>
    </row>
    <row r="2114" spans="1:37" x14ac:dyDescent="0.25">
      <c r="A2114" t="s">
        <v>2686</v>
      </c>
      <c r="B2114">
        <f>_xlfn.XLOOKUP(FME_Ranking1[[#This Row],[FME ID]],FME_Input[FME_ID],FME_Input[RFPG_NUM])</f>
        <v>1</v>
      </c>
      <c r="C2114" t="str">
        <f>_xlfn.XLOOKUP(FME_Ranking1[[#This Row],[FME ID]],FME_Input[FME_ID],FME_Input[FME_NAME])</f>
        <v>Spearman City Drainage Master Plan</v>
      </c>
      <c r="D2114" t="str">
        <f>_xlfn.XLOOKUP(FME_Ranking1[[#This Row],[FME ID]],FME_Input[FME_ID],FME_Input[DESCR])</f>
        <v xml:space="preserve">Perform H&amp;H modeling, develop conceptual alternatives and OPCC, and rank projects; selected based on the needs analysis and survey responses reporting issues with rivers, creeks, tributaries, and functioning floodplains </v>
      </c>
      <c r="E2114" s="256">
        <f>_xlfn.XLOOKUP(FME_Ranking1[[#This Row],[FME ID]],FME_Input[FME_ID],FME_Input[FME_COST])</f>
        <v>250000</v>
      </c>
      <c r="F2114" t="str">
        <f>_xlfn.XLOOKUP(FME_Ranking1[[#This Row],[FME ID]],FME_Input[FME_ID],FME_Input[EMER_NEED])</f>
        <v>No</v>
      </c>
      <c r="G2114">
        <f>IF(FME_Ranking!F2114="Yes",100,0)</f>
        <v>0</v>
      </c>
      <c r="H2114">
        <f>FME_Ranking1[[#This Row],[Emergency Need Score (Normalized, Unweighted)]]*$F$3</f>
        <v>0</v>
      </c>
      <c r="I2114" s="246">
        <f>_xlfn.XLOOKUP(FME_Ranking1[[#This Row],[FME ID]],FME_Input[FME_ID],FME_Input[STRUCT_100])</f>
        <v>1</v>
      </c>
      <c r="J2114" s="178">
        <f>(FME_Ranking1[[#This Row],[Structures 100 Raw]]/I$2)*100</f>
        <v>5.3549243884676355E-4</v>
      </c>
      <c r="K2114" s="178">
        <f>FME_Ranking1[[#This Row],[Structures 100  Score (Normalized, Unweighted)]]*$I$3</f>
        <v>8.0323865827014533E-5</v>
      </c>
      <c r="L2114" s="246">
        <f>_xlfn.XLOOKUP(FME_Ranking1[[#This Row],[FME ID]],FME_Input[FME_ID],FME_Input[RES_STRUCT100])</f>
        <v>0</v>
      </c>
      <c r="M2114" s="230">
        <f>(FME_Ranking1[[#This Row],[Res Structures Raw]]/L$2)*100</f>
        <v>0</v>
      </c>
      <c r="N2114" s="180">
        <f>FME_Ranking1[[#This Row],[Res Structures Score (Normalized, Unweighted)]]*$L$3</f>
        <v>0</v>
      </c>
      <c r="O2114" s="244">
        <f>_xlfn.XLOOKUP(FME_Ranking1[[#This Row],[FME ID]],FME_Input[FME_ID],FME_Input[POP100])</f>
        <v>2</v>
      </c>
      <c r="P2114" s="178">
        <f>(FME_Ranking1[[#This Row],[Pop Raw]]/$O$2)*100</f>
        <v>2.0475062397752657E-4</v>
      </c>
      <c r="Q2114" s="178">
        <f>FME_Ranking1[[#This Row],[Pop Score (Normalized, Unweighted)]]*$O$3</f>
        <v>3.0712593596628984E-5</v>
      </c>
      <c r="R2114" s="137">
        <f>_xlfn.XLOOKUP(FME_Ranking1[[#This Row],[FME ID]],FME_Input[FME_ID],FME_Input[CRITFAC100])</f>
        <v>0</v>
      </c>
      <c r="S2114" s="230">
        <f>(FME_Ranking1[[#This Row],[Critical Facilities Raw]]/$R$2)*100</f>
        <v>0</v>
      </c>
      <c r="T2114" s="180">
        <f>FME_Ranking1[[#This Row],[Critical Facilities Score (Normalized, Unweighted)]]*$R$3</f>
        <v>0</v>
      </c>
      <c r="U2114">
        <f>_xlfn.XLOOKUP(FME_Ranking1[[#This Row],[FME ID]],FME_Input[FME_ID],FME_Input[LWC])</f>
        <v>0</v>
      </c>
      <c r="V2114" s="178">
        <f>(FME_Ranking1[[#This Row],[LWC Raw]]/$U$2)*100</f>
        <v>0</v>
      </c>
      <c r="W2114" s="178">
        <f>FME_Ranking1[[#This Row],[LWC Score (Normalized, Unweighted)]]*$U$3</f>
        <v>0</v>
      </c>
      <c r="X2114" s="246">
        <f>_xlfn.XLOOKUP(FME_Ranking1[[#This Row],[FME ID]],FME_Input[FME_ID],FME_Input[ROADCLS])</f>
        <v>0</v>
      </c>
      <c r="Y2114" s="230">
        <f>(FME_Ranking1[[#This Row],[Closures Raw]]/$X$2)*100</f>
        <v>0</v>
      </c>
      <c r="Z2114" s="180">
        <f>FME_Ranking1[[#This Row],[Closures Score (Normalized, Unweighted)]]*$X$3</f>
        <v>0</v>
      </c>
      <c r="AA2114" s="253">
        <f>_xlfn.XLOOKUP(FME_Ranking1[[#This Row],[FME ID]],FME_Input[FME_ID],FME_Input[ROAD_MILES100])</f>
        <v>0.51730287075042725</v>
      </c>
      <c r="AB2114" s="178">
        <f>(FME_Ranking1[[#This Row],[Miles Raw]]/$AA$2)*100</f>
        <v>6.8016049241116398E-3</v>
      </c>
      <c r="AC2114" s="178">
        <f>FME_Ranking1[[#This Row],[Miles Score (Normalized, Unweighted)]]*$AA$3</f>
        <v>6.80160492411164E-4</v>
      </c>
      <c r="AD2114" s="255">
        <f>_xlfn.XLOOKUP(FME_Ranking1[[#This Row],[FME ID]],FME_Input[FME_ID],FME_Input[FARMACRE100])</f>
        <v>1.0040690898895259</v>
      </c>
      <c r="AE2114" s="230">
        <f>(FME_Ranking1[[#This Row],[Ag Land Raw]]/$AD$2)*100</f>
        <v>4.1403314548058698E-5</v>
      </c>
      <c r="AF2114" s="231">
        <f>FME_Ranking1[[#This Row],[Ag Land Score (Normalized, Unweighted)]]*$AD$3</f>
        <v>2.0701657274029348E-6</v>
      </c>
      <c r="AG211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7.9326711756221035E-4</v>
      </c>
      <c r="AH2114" s="406">
        <f t="shared" si="32"/>
        <v>2044</v>
      </c>
      <c r="AI211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7.9326711756221035E-4</v>
      </c>
      <c r="AJ2114" s="257">
        <f>FME_Ranking1[[#This Row],[Addition check]]-FME_Ranking1[[#This Row],[Weighted Score Based on Normalized Reported Factors]]</f>
        <v>0</v>
      </c>
      <c r="AK2114" s="178">
        <f>_xlfn.RANK.EQ(AI2114,$AI$6:$AI$2341,0)+COUNTIF($AI$6:AI2114,AI2114)-1</f>
        <v>2044</v>
      </c>
    </row>
    <row r="2115" spans="1:37" x14ac:dyDescent="0.25">
      <c r="A2115" t="s">
        <v>2778</v>
      </c>
      <c r="B2115">
        <f>_xlfn.XLOOKUP(FME_Ranking1[[#This Row],[FME ID]],FME_Input[FME_ID],FME_Input[RFPG_NUM])</f>
        <v>1</v>
      </c>
      <c r="C2115" t="str">
        <f>_xlfn.XLOOKUP(FME_Ranking1[[#This Row],[FME ID]],FME_Input[FME_ID],FME_Input[FME_NAME])</f>
        <v>City of Spearman GIS Development</v>
      </c>
      <c r="D2115" t="str">
        <f>_xlfn.XLOOKUP(FME_Ranking1[[#This Row],[FME ID]],FME_Input[FME_ID],FME_Input[DESCR])</f>
        <v>Develop GIS inventory and condition assessment for flood infrastructure; selected based on survey response</v>
      </c>
      <c r="E2115" s="256">
        <f>_xlfn.XLOOKUP(FME_Ranking1[[#This Row],[FME ID]],FME_Input[FME_ID],FME_Input[FME_COST])</f>
        <v>50000</v>
      </c>
      <c r="F2115" t="str">
        <f>_xlfn.XLOOKUP(FME_Ranking1[[#This Row],[FME ID]],FME_Input[FME_ID],FME_Input[EMER_NEED])</f>
        <v>No</v>
      </c>
      <c r="G2115">
        <f>IF(FME_Ranking!F2115="Yes",100,0)</f>
        <v>0</v>
      </c>
      <c r="H2115">
        <f>FME_Ranking1[[#This Row],[Emergency Need Score (Normalized, Unweighted)]]*$F$3</f>
        <v>0</v>
      </c>
      <c r="I2115" s="246">
        <f>_xlfn.XLOOKUP(FME_Ranking1[[#This Row],[FME ID]],FME_Input[FME_ID],FME_Input[STRUCT_100])</f>
        <v>1</v>
      </c>
      <c r="J2115" s="178">
        <f>(FME_Ranking1[[#This Row],[Structures 100 Raw]]/I$2)*100</f>
        <v>5.3549243884676355E-4</v>
      </c>
      <c r="K2115" s="178">
        <f>FME_Ranking1[[#This Row],[Structures 100  Score (Normalized, Unweighted)]]*$I$3</f>
        <v>8.0323865827014533E-5</v>
      </c>
      <c r="L2115" s="246">
        <f>_xlfn.XLOOKUP(FME_Ranking1[[#This Row],[FME ID]],FME_Input[FME_ID],FME_Input[RES_STRUCT100])</f>
        <v>0</v>
      </c>
      <c r="M2115" s="230">
        <f>(FME_Ranking1[[#This Row],[Res Structures Raw]]/L$2)*100</f>
        <v>0</v>
      </c>
      <c r="N2115" s="180">
        <f>FME_Ranking1[[#This Row],[Res Structures Score (Normalized, Unweighted)]]*$L$3</f>
        <v>0</v>
      </c>
      <c r="O2115" s="244">
        <f>_xlfn.XLOOKUP(FME_Ranking1[[#This Row],[FME ID]],FME_Input[FME_ID],FME_Input[POP100])</f>
        <v>2</v>
      </c>
      <c r="P2115" s="178">
        <f>(FME_Ranking1[[#This Row],[Pop Raw]]/$O$2)*100</f>
        <v>2.0475062397752657E-4</v>
      </c>
      <c r="Q2115" s="178">
        <f>FME_Ranking1[[#This Row],[Pop Score (Normalized, Unweighted)]]*$O$3</f>
        <v>3.0712593596628984E-5</v>
      </c>
      <c r="R2115" s="137">
        <f>_xlfn.XLOOKUP(FME_Ranking1[[#This Row],[FME ID]],FME_Input[FME_ID],FME_Input[CRITFAC100])</f>
        <v>0</v>
      </c>
      <c r="S2115" s="230">
        <f>(FME_Ranking1[[#This Row],[Critical Facilities Raw]]/$R$2)*100</f>
        <v>0</v>
      </c>
      <c r="T2115" s="180">
        <f>FME_Ranking1[[#This Row],[Critical Facilities Score (Normalized, Unweighted)]]*$R$3</f>
        <v>0</v>
      </c>
      <c r="U2115">
        <f>_xlfn.XLOOKUP(FME_Ranking1[[#This Row],[FME ID]],FME_Input[FME_ID],FME_Input[LWC])</f>
        <v>0</v>
      </c>
      <c r="V2115" s="178">
        <f>(FME_Ranking1[[#This Row],[LWC Raw]]/$U$2)*100</f>
        <v>0</v>
      </c>
      <c r="W2115" s="178">
        <f>FME_Ranking1[[#This Row],[LWC Score (Normalized, Unweighted)]]*$U$3</f>
        <v>0</v>
      </c>
      <c r="X2115" s="246">
        <f>_xlfn.XLOOKUP(FME_Ranking1[[#This Row],[FME ID]],FME_Input[FME_ID],FME_Input[ROADCLS])</f>
        <v>0</v>
      </c>
      <c r="Y2115" s="230">
        <f>(FME_Ranking1[[#This Row],[Closures Raw]]/$X$2)*100</f>
        <v>0</v>
      </c>
      <c r="Z2115" s="180">
        <f>FME_Ranking1[[#This Row],[Closures Score (Normalized, Unweighted)]]*$X$3</f>
        <v>0</v>
      </c>
      <c r="AA2115" s="253">
        <f>_xlfn.XLOOKUP(FME_Ranking1[[#This Row],[FME ID]],FME_Input[FME_ID],FME_Input[ROAD_MILES100])</f>
        <v>0.51730287075042725</v>
      </c>
      <c r="AB2115" s="178">
        <f>(FME_Ranking1[[#This Row],[Miles Raw]]/$AA$2)*100</f>
        <v>6.8016049241116398E-3</v>
      </c>
      <c r="AC2115" s="178">
        <f>FME_Ranking1[[#This Row],[Miles Score (Normalized, Unweighted)]]*$AA$3</f>
        <v>6.80160492411164E-4</v>
      </c>
      <c r="AD2115" s="255">
        <f>_xlfn.XLOOKUP(FME_Ranking1[[#This Row],[FME ID]],FME_Input[FME_ID],FME_Input[FARMACRE100])</f>
        <v>1.0040690898895259</v>
      </c>
      <c r="AE2115" s="230">
        <f>(FME_Ranking1[[#This Row],[Ag Land Raw]]/$AD$2)*100</f>
        <v>4.1403314548058698E-5</v>
      </c>
      <c r="AF2115" s="231">
        <f>FME_Ranking1[[#This Row],[Ag Land Score (Normalized, Unweighted)]]*$AD$3</f>
        <v>2.0701657274029348E-6</v>
      </c>
      <c r="AG211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7.9326711756221035E-4</v>
      </c>
      <c r="AH2115" s="406">
        <f t="shared" si="32"/>
        <v>2044</v>
      </c>
      <c r="AI211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7.9326711756221035E-4</v>
      </c>
      <c r="AJ2115" s="257">
        <f>FME_Ranking1[[#This Row],[Addition check]]-FME_Ranking1[[#This Row],[Weighted Score Based on Normalized Reported Factors]]</f>
        <v>0</v>
      </c>
      <c r="AK2115" s="178">
        <f>_xlfn.RANK.EQ(AI2115,$AI$6:$AI$2341,0)+COUNTIF($AI$6:AI2115,AI2115)-1</f>
        <v>2045</v>
      </c>
    </row>
    <row r="2116" spans="1:37" x14ac:dyDescent="0.25">
      <c r="A2116" t="s">
        <v>9808</v>
      </c>
      <c r="B2116">
        <f>_xlfn.XLOOKUP(FME_Ranking1[[#This Row],[FME ID]],FME_Input[FME_ID],FME_Input[RFPG_NUM])</f>
        <v>12</v>
      </c>
      <c r="C2116" t="str">
        <f>_xlfn.XLOOKUP(FME_Ranking1[[#This Row],[FME ID]],FME_Input[FME_ID],FME_Input[FME_NAME])</f>
        <v xml:space="preserve">Cagnon Rd at Polecat Creek (DC-MRN)
</v>
      </c>
      <c r="D2116" t="str">
        <f>_xlfn.XLOOKUP(FME_Ranking1[[#This Row],[FME ID]],FME_Input[FME_ID],FME_Input[DESCR])</f>
        <v>Replace the existing crossing with an approximately 320-foot long bridge.</v>
      </c>
      <c r="E2116" s="256">
        <f>_xlfn.XLOOKUP(FME_Ranking1[[#This Row],[FME ID]],FME_Input[FME_ID],FME_Input[FME_COST])</f>
        <v>150000</v>
      </c>
      <c r="F2116" t="str">
        <f>_xlfn.XLOOKUP(FME_Ranking1[[#This Row],[FME ID]],FME_Input[FME_ID],FME_Input[EMER_NEED])</f>
        <v>Yes</v>
      </c>
      <c r="G2116">
        <f>IF(FME_Ranking!F2116="Yes",100,0)</f>
        <v>100</v>
      </c>
      <c r="H2116">
        <f>FME_Ranking1[[#This Row],[Emergency Need Score (Normalized, Unweighted)]]*$F$3</f>
        <v>0</v>
      </c>
      <c r="I2116" s="246">
        <f>_xlfn.XLOOKUP(FME_Ranking1[[#This Row],[FME ID]],FME_Input[FME_ID],FME_Input[STRUCT_100])</f>
        <v>1</v>
      </c>
      <c r="J2116" s="178">
        <f>(FME_Ranking1[[#This Row],[Structures 100 Raw]]/I$2)*100</f>
        <v>5.3549243884676355E-4</v>
      </c>
      <c r="K2116" s="178">
        <f>FME_Ranking1[[#This Row],[Structures 100  Score (Normalized, Unweighted)]]*$I$3</f>
        <v>8.0323865827014533E-5</v>
      </c>
      <c r="L2116" s="246">
        <f>_xlfn.XLOOKUP(FME_Ranking1[[#This Row],[FME ID]],FME_Input[FME_ID],FME_Input[RES_STRUCT100])</f>
        <v>0</v>
      </c>
      <c r="M2116" s="230">
        <f>(FME_Ranking1[[#This Row],[Res Structures Raw]]/L$2)*100</f>
        <v>0</v>
      </c>
      <c r="N2116" s="180">
        <f>FME_Ranking1[[#This Row],[Res Structures Score (Normalized, Unweighted)]]*$L$3</f>
        <v>0</v>
      </c>
      <c r="O2116" s="244">
        <f>_xlfn.XLOOKUP(FME_Ranking1[[#This Row],[FME ID]],FME_Input[FME_ID],FME_Input[POP100])</f>
        <v>2</v>
      </c>
      <c r="P2116" s="178">
        <f>(FME_Ranking1[[#This Row],[Pop Raw]]/$O$2)*100</f>
        <v>2.0475062397752657E-4</v>
      </c>
      <c r="Q2116" s="178">
        <f>FME_Ranking1[[#This Row],[Pop Score (Normalized, Unweighted)]]*$O$3</f>
        <v>3.0712593596628984E-5</v>
      </c>
      <c r="R2116" s="137">
        <f>_xlfn.XLOOKUP(FME_Ranking1[[#This Row],[FME ID]],FME_Input[FME_ID],FME_Input[CRITFAC100])</f>
        <v>0</v>
      </c>
      <c r="S2116" s="230">
        <f>(FME_Ranking1[[#This Row],[Critical Facilities Raw]]/$R$2)*100</f>
        <v>0</v>
      </c>
      <c r="T2116" s="180">
        <f>FME_Ranking1[[#This Row],[Critical Facilities Score (Normalized, Unweighted)]]*$R$3</f>
        <v>0</v>
      </c>
      <c r="U2116">
        <f>_xlfn.XLOOKUP(FME_Ranking1[[#This Row],[FME ID]],FME_Input[FME_ID],FME_Input[LWC])</f>
        <v>0</v>
      </c>
      <c r="V2116" s="178">
        <f>(FME_Ranking1[[#This Row],[LWC Raw]]/$U$2)*100</f>
        <v>0</v>
      </c>
      <c r="W2116" s="178">
        <f>FME_Ranking1[[#This Row],[LWC Score (Normalized, Unweighted)]]*$U$3</f>
        <v>0</v>
      </c>
      <c r="X2116" s="246">
        <f>_xlfn.XLOOKUP(FME_Ranking1[[#This Row],[FME ID]],FME_Input[FME_ID],FME_Input[ROADCLS])</f>
        <v>0</v>
      </c>
      <c r="Y2116" s="230">
        <f>(FME_Ranking1[[#This Row],[Closures Raw]]/$X$2)*100</f>
        <v>0</v>
      </c>
      <c r="Z2116" s="180">
        <f>FME_Ranking1[[#This Row],[Closures Score (Normalized, Unweighted)]]*$X$3</f>
        <v>0</v>
      </c>
      <c r="AA2116" s="253">
        <f>_xlfn.XLOOKUP(FME_Ranking1[[#This Row],[FME ID]],FME_Input[FME_ID],FME_Input[ROAD_MILES100])</f>
        <v>0</v>
      </c>
      <c r="AB2116" s="178">
        <f>(FME_Ranking1[[#This Row],[Miles Raw]]/$AA$2)*100</f>
        <v>0</v>
      </c>
      <c r="AC2116" s="178">
        <f>FME_Ranking1[[#This Row],[Miles Score (Normalized, Unweighted)]]*$AA$3</f>
        <v>0</v>
      </c>
      <c r="AD2116" s="255">
        <f>_xlfn.XLOOKUP(FME_Ranking1[[#This Row],[FME ID]],FME_Input[FME_ID],FME_Input[FARMACRE100])</f>
        <v>0</v>
      </c>
      <c r="AE2116" s="230">
        <f>(FME_Ranking1[[#This Row],[Ag Land Raw]]/$AD$2)*100</f>
        <v>0</v>
      </c>
      <c r="AF2116" s="231">
        <f>FME_Ranking1[[#This Row],[Ag Land Score (Normalized, Unweighted)]]*$AD$3</f>
        <v>0</v>
      </c>
      <c r="AG211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1.1103645942364351E-4</v>
      </c>
      <c r="AH2116" s="406">
        <f t="shared" si="32"/>
        <v>2144</v>
      </c>
      <c r="AI211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1.1103645942364351E-4</v>
      </c>
      <c r="AJ2116" s="257">
        <f>FME_Ranking1[[#This Row],[Addition check]]-FME_Ranking1[[#This Row],[Weighted Score Based on Normalized Reported Factors]]</f>
        <v>0</v>
      </c>
      <c r="AK2116" s="178">
        <f>_xlfn.RANK.EQ(AI2116,$AI$6:$AI$2341,0)+COUNTIF($AI$6:AI2116,AI2116)-1</f>
        <v>2144</v>
      </c>
    </row>
    <row r="2117" spans="1:37" x14ac:dyDescent="0.25">
      <c r="A2117" t="s">
        <v>11152</v>
      </c>
      <c r="B2117">
        <f>_xlfn.XLOOKUP(FME_Ranking1[[#This Row],[FME ID]],FME_Input[FME_ID],FME_Input[RFPG_NUM])</f>
        <v>15</v>
      </c>
      <c r="C2117" t="str">
        <f>_xlfn.XLOOKUP(FME_Ranking1[[#This Row],[FME ID]],FME_Input[FME_ID],FME_Input[FME_NAME])</f>
        <v>Laguna Vista Action #12</v>
      </c>
      <c r="D2117" t="str">
        <f>_xlfn.XLOOKUP(FME_Ranking1[[#This Row],[FME ID]],FME_Input[FME_ID],FME_Input[DESCR])</f>
        <v>Drainage Improvements: Relocate and upgrade existing 36” drainage pipe located at 1026 Beach Blvd to increase capacity and reduce risk of flood damages</v>
      </c>
      <c r="E2117" s="256">
        <f>_xlfn.XLOOKUP(FME_Ranking1[[#This Row],[FME ID]],FME_Input[FME_ID],FME_Input[FME_COST])</f>
        <v>92400</v>
      </c>
      <c r="F2117" t="str">
        <f>_xlfn.XLOOKUP(FME_Ranking1[[#This Row],[FME ID]],FME_Input[FME_ID],FME_Input[EMER_NEED])</f>
        <v>Yes</v>
      </c>
      <c r="G2117">
        <f>IF(FME_Ranking!F2117="Yes",100,0)</f>
        <v>100</v>
      </c>
      <c r="H2117">
        <f>FME_Ranking1[[#This Row],[Emergency Need Score (Normalized, Unweighted)]]*$F$3</f>
        <v>0</v>
      </c>
      <c r="I2117" s="246">
        <f>_xlfn.XLOOKUP(FME_Ranking1[[#This Row],[FME ID]],FME_Input[FME_ID],FME_Input[STRUCT_100])</f>
        <v>0</v>
      </c>
      <c r="J2117" s="178">
        <f>(FME_Ranking1[[#This Row],[Structures 100 Raw]]/I$2)*100</f>
        <v>0</v>
      </c>
      <c r="K2117" s="178">
        <f>FME_Ranking1[[#This Row],[Structures 100  Score (Normalized, Unweighted)]]*$I$3</f>
        <v>0</v>
      </c>
      <c r="L2117" s="246">
        <f>_xlfn.XLOOKUP(FME_Ranking1[[#This Row],[FME ID]],FME_Input[FME_ID],FME_Input[RES_STRUCT100])</f>
        <v>1</v>
      </c>
      <c r="M2117" s="230">
        <f>(FME_Ranking1[[#This Row],[Res Structures Raw]]/L$2)*100</f>
        <v>7.0830559136433825E-4</v>
      </c>
      <c r="N2117" s="180">
        <f>FME_Ranking1[[#This Row],[Res Structures Score (Normalized, Unweighted)]]*$L$3</f>
        <v>7.0830559136433833E-5</v>
      </c>
      <c r="O2117" s="244">
        <f>_xlfn.XLOOKUP(FME_Ranking1[[#This Row],[FME ID]],FME_Input[FME_ID],FME_Input[POP100])</f>
        <v>2</v>
      </c>
      <c r="P2117" s="178">
        <f>(FME_Ranking1[[#This Row],[Pop Raw]]/$O$2)*100</f>
        <v>2.0475062397752657E-4</v>
      </c>
      <c r="Q2117" s="178">
        <f>FME_Ranking1[[#This Row],[Pop Score (Normalized, Unweighted)]]*$O$3</f>
        <v>3.0712593596628984E-5</v>
      </c>
      <c r="R2117" s="137">
        <f>_xlfn.XLOOKUP(FME_Ranking1[[#This Row],[FME ID]],FME_Input[FME_ID],FME_Input[CRITFAC100])</f>
        <v>0</v>
      </c>
      <c r="S2117" s="230">
        <f>(FME_Ranking1[[#This Row],[Critical Facilities Raw]]/$R$2)*100</f>
        <v>0</v>
      </c>
      <c r="T2117" s="180">
        <f>FME_Ranking1[[#This Row],[Critical Facilities Score (Normalized, Unweighted)]]*$R$3</f>
        <v>0</v>
      </c>
      <c r="U2117">
        <f>_xlfn.XLOOKUP(FME_Ranking1[[#This Row],[FME ID]],FME_Input[FME_ID],FME_Input[LWC])</f>
        <v>0</v>
      </c>
      <c r="V2117" s="178">
        <f>(FME_Ranking1[[#This Row],[LWC Raw]]/$U$2)*100</f>
        <v>0</v>
      </c>
      <c r="W2117" s="178">
        <f>FME_Ranking1[[#This Row],[LWC Score (Normalized, Unweighted)]]*$U$3</f>
        <v>0</v>
      </c>
      <c r="X2117" s="246">
        <f>_xlfn.XLOOKUP(FME_Ranking1[[#This Row],[FME ID]],FME_Input[FME_ID],FME_Input[ROADCLS])</f>
        <v>0</v>
      </c>
      <c r="Y2117" s="230">
        <f>(FME_Ranking1[[#This Row],[Closures Raw]]/$X$2)*100</f>
        <v>0</v>
      </c>
      <c r="Z2117" s="180">
        <f>FME_Ranking1[[#This Row],[Closures Score (Normalized, Unweighted)]]*$X$3</f>
        <v>0</v>
      </c>
      <c r="AA2117" s="253">
        <f>_xlfn.XLOOKUP(FME_Ranking1[[#This Row],[FME ID]],FME_Input[FME_ID],FME_Input[ROAD_MILES100])</f>
        <v>0.35135200619697571</v>
      </c>
      <c r="AB2117" s="178">
        <f>(FME_Ranking1[[#This Row],[Miles Raw]]/$AA$2)*100</f>
        <v>4.6196487020826764E-3</v>
      </c>
      <c r="AC2117" s="178">
        <f>FME_Ranking1[[#This Row],[Miles Score (Normalized, Unweighted)]]*$AA$3</f>
        <v>4.6196487020826768E-4</v>
      </c>
      <c r="AD2117" s="255">
        <f>_xlfn.XLOOKUP(FME_Ranking1[[#This Row],[FME ID]],FME_Input[FME_ID],FME_Input[FARMACRE100])</f>
        <v>0</v>
      </c>
      <c r="AE2117" s="230">
        <f>(FME_Ranking1[[#This Row],[Ag Land Raw]]/$AD$2)*100</f>
        <v>0</v>
      </c>
      <c r="AF2117" s="231">
        <f>FME_Ranking1[[#This Row],[Ag Land Score (Normalized, Unweighted)]]*$AD$3</f>
        <v>0</v>
      </c>
      <c r="AG211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5.6350802294133048E-4</v>
      </c>
      <c r="AH2117" s="406">
        <f t="shared" si="32"/>
        <v>2078</v>
      </c>
      <c r="AI211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5.6350802294133048E-4</v>
      </c>
      <c r="AJ2117" s="257">
        <f>FME_Ranking1[[#This Row],[Addition check]]-FME_Ranking1[[#This Row],[Weighted Score Based on Normalized Reported Factors]]</f>
        <v>0</v>
      </c>
      <c r="AK2117" s="178">
        <f>_xlfn.RANK.EQ(AI2117,$AI$6:$AI$2341,0)+COUNTIF($AI$6:AI2117,AI2117)-1</f>
        <v>2078</v>
      </c>
    </row>
    <row r="2118" spans="1:37" x14ac:dyDescent="0.25">
      <c r="A2118" t="s">
        <v>10556</v>
      </c>
      <c r="B2118">
        <f>_xlfn.XLOOKUP(FME_Ranking1[[#This Row],[FME ID]],FME_Input[FME_ID],FME_Input[RFPG_NUM])</f>
        <v>13</v>
      </c>
      <c r="C2118" t="str">
        <f>_xlfn.XLOOKUP(FME_Ranking1[[#This Row],[FME ID]],FME_Input[FME_ID],FME_Input[FME_NAME])</f>
        <v>Port Aransas Nature Preserve Stabilization and Restoration</v>
      </c>
      <c r="D2118" t="str">
        <f>_xlfn.XLOOKUP(FME_Ranking1[[#This Row],[FME ID]],FME_Input[FME_ID],FME_Input[DESCR])</f>
        <v>Repair of ship channel revetment breaches on northern Mustang Island; Constructing living shoreline near the ship channel; Rebuilding marsh/wetland habitat; Repair of Charlie’s Pasture bulkhead; and Permitting this site for elevation via dredged material.</v>
      </c>
      <c r="E2118" s="256">
        <f>_xlfn.XLOOKUP(FME_Ranking1[[#This Row],[FME ID]],FME_Input[FME_ID],FME_Input[FME_COST])</f>
        <v>680000</v>
      </c>
      <c r="F2118" t="str">
        <f>_xlfn.XLOOKUP(FME_Ranking1[[#This Row],[FME ID]],FME_Input[FME_ID],FME_Input[EMER_NEED])</f>
        <v>Yes</v>
      </c>
      <c r="G2118">
        <f>IF(FME_Ranking!F2118="Yes",100,0)</f>
        <v>100</v>
      </c>
      <c r="H2118">
        <f>FME_Ranking1[[#This Row],[Emergency Need Score (Normalized, Unweighted)]]*$F$3</f>
        <v>0</v>
      </c>
      <c r="I2118" s="246">
        <f>_xlfn.XLOOKUP(FME_Ranking1[[#This Row],[FME ID]],FME_Input[FME_ID],FME_Input[STRUCT_100])</f>
        <v>1</v>
      </c>
      <c r="J2118" s="178">
        <f>(FME_Ranking1[[#This Row],[Structures 100 Raw]]/I$2)*100</f>
        <v>5.3549243884676355E-4</v>
      </c>
      <c r="K2118" s="178">
        <f>FME_Ranking1[[#This Row],[Structures 100  Score (Normalized, Unweighted)]]*$I$3</f>
        <v>8.0323865827014533E-5</v>
      </c>
      <c r="L2118" s="246">
        <f>_xlfn.XLOOKUP(FME_Ranking1[[#This Row],[FME ID]],FME_Input[FME_ID],FME_Input[RES_STRUCT100])</f>
        <v>0</v>
      </c>
      <c r="M2118" s="230">
        <f>(FME_Ranking1[[#This Row],[Res Structures Raw]]/L$2)*100</f>
        <v>0</v>
      </c>
      <c r="N2118" s="180">
        <f>FME_Ranking1[[#This Row],[Res Structures Score (Normalized, Unweighted)]]*$L$3</f>
        <v>0</v>
      </c>
      <c r="O2118" s="244">
        <f>_xlfn.XLOOKUP(FME_Ranking1[[#This Row],[FME ID]],FME_Input[FME_ID],FME_Input[POP100])</f>
        <v>0</v>
      </c>
      <c r="P2118" s="178">
        <f>(FME_Ranking1[[#This Row],[Pop Raw]]/$O$2)*100</f>
        <v>0</v>
      </c>
      <c r="Q2118" s="178">
        <f>FME_Ranking1[[#This Row],[Pop Score (Normalized, Unweighted)]]*$O$3</f>
        <v>0</v>
      </c>
      <c r="R2118" s="137">
        <f>_xlfn.XLOOKUP(FME_Ranking1[[#This Row],[FME ID]],FME_Input[FME_ID],FME_Input[CRITFAC100])</f>
        <v>0</v>
      </c>
      <c r="S2118" s="230">
        <f>(FME_Ranking1[[#This Row],[Critical Facilities Raw]]/$R$2)*100</f>
        <v>0</v>
      </c>
      <c r="T2118" s="180">
        <f>FME_Ranking1[[#This Row],[Critical Facilities Score (Normalized, Unweighted)]]*$R$3</f>
        <v>0</v>
      </c>
      <c r="U2118">
        <f>_xlfn.XLOOKUP(FME_Ranking1[[#This Row],[FME ID]],FME_Input[FME_ID],FME_Input[LWC])</f>
        <v>0</v>
      </c>
      <c r="V2118" s="178">
        <f>(FME_Ranking1[[#This Row],[LWC Raw]]/$U$2)*100</f>
        <v>0</v>
      </c>
      <c r="W2118" s="178">
        <f>FME_Ranking1[[#This Row],[LWC Score (Normalized, Unweighted)]]*$U$3</f>
        <v>0</v>
      </c>
      <c r="X2118" s="246">
        <f>_xlfn.XLOOKUP(FME_Ranking1[[#This Row],[FME ID]],FME_Input[FME_ID],FME_Input[ROADCLS])</f>
        <v>0</v>
      </c>
      <c r="Y2118" s="230">
        <f>(FME_Ranking1[[#This Row],[Closures Raw]]/$X$2)*100</f>
        <v>0</v>
      </c>
      <c r="Z2118" s="180">
        <f>FME_Ranking1[[#This Row],[Closures Score (Normalized, Unweighted)]]*$X$3</f>
        <v>0</v>
      </c>
      <c r="AA2118" s="253">
        <f>_xlfn.XLOOKUP(FME_Ranking1[[#This Row],[FME ID]],FME_Input[FME_ID],FME_Input[ROAD_MILES100])</f>
        <v>1.6849600076675419</v>
      </c>
      <c r="AB2118" s="178">
        <f>(FME_Ranking1[[#This Row],[Miles Raw]]/$AA$2)*100</f>
        <v>2.2154201983177909E-2</v>
      </c>
      <c r="AC2118" s="178">
        <f>FME_Ranking1[[#This Row],[Miles Score (Normalized, Unweighted)]]*$AA$3</f>
        <v>2.2154201983177911E-3</v>
      </c>
      <c r="AD2118" s="255">
        <f>_xlfn.XLOOKUP(FME_Ranking1[[#This Row],[FME ID]],FME_Input[FME_ID],FME_Input[FARMACRE100])</f>
        <v>1.688041687011719</v>
      </c>
      <c r="AE2118" s="230">
        <f>(FME_Ranking1[[#This Row],[Ag Land Raw]]/$AD$2)*100</f>
        <v>6.9607282647523455E-5</v>
      </c>
      <c r="AF2118" s="231">
        <f>FME_Ranking1[[#This Row],[Ag Land Score (Normalized, Unweighted)]]*$AD$3</f>
        <v>3.4803641323761729E-6</v>
      </c>
      <c r="AG211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2.2992244282771818E-3</v>
      </c>
      <c r="AH2118" s="406">
        <f t="shared" ref="AH2118:AH2181" si="33">_xlfn.RANK.EQ(AG2118,$AG$6:$AG$2341,0)</f>
        <v>1937</v>
      </c>
      <c r="AI211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2.2992244282771818E-3</v>
      </c>
      <c r="AJ2118" s="257">
        <f>FME_Ranking1[[#This Row],[Addition check]]-FME_Ranking1[[#This Row],[Weighted Score Based on Normalized Reported Factors]]</f>
        <v>0</v>
      </c>
      <c r="AK2118" s="178">
        <f>_xlfn.RANK.EQ(AI2118,$AI$6:$AI$2341,0)+COUNTIF($AI$6:AI2118,AI2118)-1</f>
        <v>1937</v>
      </c>
    </row>
    <row r="2119" spans="1:37" x14ac:dyDescent="0.25">
      <c r="A2119" t="s">
        <v>91</v>
      </c>
      <c r="B2119">
        <f>_xlfn.XLOOKUP(FME_Ranking1[[#This Row],[FME ID]],FME_Input[FME_ID],FME_Input[RFPG_NUM])</f>
        <v>10</v>
      </c>
      <c r="C2119" t="str">
        <f>_xlfn.XLOOKUP(FME_Ranking1[[#This Row],[FME ID]],FME_Input[FME_ID],FME_Input[FME_NAME])</f>
        <v>Paffen Rd &amp; Grassy Creek Draw</v>
      </c>
      <c r="D2119" t="str">
        <f>_xlfn.XLOOKUP(FME_Ranking1[[#This Row],[FME ID]],FME_Input[FME_ID],FME_Input[DESCR])</f>
        <v>CMP Upgrade, Cast-in-place multi-box (2) culvert-bridge</v>
      </c>
      <c r="E2119" s="256">
        <f>_xlfn.XLOOKUP(FME_Ranking1[[#This Row],[FME ID]],FME_Input[FME_ID],FME_Input[FME_COST])</f>
        <v>100000</v>
      </c>
      <c r="F2119" t="str">
        <f>_xlfn.XLOOKUP(FME_Ranking1[[#This Row],[FME ID]],FME_Input[FME_ID],FME_Input[EMER_NEED])</f>
        <v>No</v>
      </c>
      <c r="G2119">
        <f>IF(FME_Ranking!F2119="Yes",100,0)</f>
        <v>0</v>
      </c>
      <c r="H2119">
        <f>FME_Ranking1[[#This Row],[Emergency Need Score (Normalized, Unweighted)]]*$F$3</f>
        <v>0</v>
      </c>
      <c r="I2119" s="246">
        <f>_xlfn.XLOOKUP(FME_Ranking1[[#This Row],[FME ID]],FME_Input[FME_ID],FME_Input[STRUCT_100])</f>
        <v>0</v>
      </c>
      <c r="J2119" s="178">
        <f>(FME_Ranking1[[#This Row],[Structures 100 Raw]]/I$2)*100</f>
        <v>0</v>
      </c>
      <c r="K2119" s="178">
        <f>FME_Ranking1[[#This Row],[Structures 100  Score (Normalized, Unweighted)]]*$I$3</f>
        <v>0</v>
      </c>
      <c r="L2119" s="246">
        <f>_xlfn.XLOOKUP(FME_Ranking1[[#This Row],[FME ID]],FME_Input[FME_ID],FME_Input[RES_STRUCT100])</f>
        <v>0</v>
      </c>
      <c r="M2119" s="230">
        <f>(FME_Ranking1[[#This Row],[Res Structures Raw]]/L$2)*100</f>
        <v>0</v>
      </c>
      <c r="N2119" s="180">
        <f>FME_Ranking1[[#This Row],[Res Structures Score (Normalized, Unweighted)]]*$L$3</f>
        <v>0</v>
      </c>
      <c r="O2119" s="244">
        <f>_xlfn.XLOOKUP(FME_Ranking1[[#This Row],[FME ID]],FME_Input[FME_ID],FME_Input[POP100])</f>
        <v>0</v>
      </c>
      <c r="P2119" s="178">
        <f>(FME_Ranking1[[#This Row],[Pop Raw]]/$O$2)*100</f>
        <v>0</v>
      </c>
      <c r="Q2119" s="178">
        <f>FME_Ranking1[[#This Row],[Pop Score (Normalized, Unweighted)]]*$O$3</f>
        <v>0</v>
      </c>
      <c r="R2119" s="137">
        <f>_xlfn.XLOOKUP(FME_Ranking1[[#This Row],[FME ID]],FME_Input[FME_ID],FME_Input[CRITFAC100])</f>
        <v>0</v>
      </c>
      <c r="S2119" s="230">
        <f>(FME_Ranking1[[#This Row],[Critical Facilities Raw]]/$R$2)*100</f>
        <v>0</v>
      </c>
      <c r="T2119" s="180">
        <f>FME_Ranking1[[#This Row],[Critical Facilities Score (Normalized, Unweighted)]]*$R$3</f>
        <v>0</v>
      </c>
      <c r="U2119">
        <f>_xlfn.XLOOKUP(FME_Ranking1[[#This Row],[FME ID]],FME_Input[FME_ID],FME_Input[LWC])</f>
        <v>0</v>
      </c>
      <c r="V2119" s="178">
        <f>(FME_Ranking1[[#This Row],[LWC Raw]]/$U$2)*100</f>
        <v>0</v>
      </c>
      <c r="W2119" s="178">
        <f>FME_Ranking1[[#This Row],[LWC Score (Normalized, Unweighted)]]*$U$3</f>
        <v>0</v>
      </c>
      <c r="X2119" s="246">
        <f>_xlfn.XLOOKUP(FME_Ranking1[[#This Row],[FME ID]],FME_Input[FME_ID],FME_Input[ROADCLS])</f>
        <v>0</v>
      </c>
      <c r="Y2119" s="230">
        <f>(FME_Ranking1[[#This Row],[Closures Raw]]/$X$2)*100</f>
        <v>0</v>
      </c>
      <c r="Z2119" s="180">
        <f>FME_Ranking1[[#This Row],[Closures Score (Normalized, Unweighted)]]*$X$3</f>
        <v>0</v>
      </c>
      <c r="AA2119" s="253">
        <f>_xlfn.XLOOKUP(FME_Ranking1[[#This Row],[FME ID]],FME_Input[FME_ID],FME_Input[ROAD_MILES100])</f>
        <v>5.369202047586441E-2</v>
      </c>
      <c r="AB2119" s="178">
        <f>(FME_Ranking1[[#This Row],[Miles Raw]]/$AA$2)*100</f>
        <v>7.059537680979335E-4</v>
      </c>
      <c r="AC2119" s="178">
        <f>FME_Ranking1[[#This Row],[Miles Score (Normalized, Unweighted)]]*$AA$3</f>
        <v>7.0595376809793353E-5</v>
      </c>
      <c r="AD2119" s="255">
        <f>_xlfn.XLOOKUP(FME_Ranking1[[#This Row],[FME ID]],FME_Input[FME_ID],FME_Input[FARMACRE100])</f>
        <v>39.255584716796882</v>
      </c>
      <c r="AE2119" s="230">
        <f>(FME_Ranking1[[#This Row],[Ag Land Raw]]/$AD$2)*100</f>
        <v>1.6187245859508874E-3</v>
      </c>
      <c r="AF2119" s="231">
        <f>FME_Ranking1[[#This Row],[Ag Land Score (Normalized, Unweighted)]]*$AD$3</f>
        <v>8.093622929754437E-5</v>
      </c>
      <c r="AG211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1.5153160610733771E-4</v>
      </c>
      <c r="AH2119" s="406">
        <f t="shared" si="33"/>
        <v>2136</v>
      </c>
      <c r="AI211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1.5153160610733771E-4</v>
      </c>
      <c r="AJ2119" s="257">
        <f>FME_Ranking1[[#This Row],[Addition check]]-FME_Ranking1[[#This Row],[Weighted Score Based on Normalized Reported Factors]]</f>
        <v>0</v>
      </c>
      <c r="AK2119" s="178">
        <f>_xlfn.RANK.EQ(AI2119,$AI$6:$AI$2341,0)+COUNTIF($AI$6:AI2119,AI2119)-1</f>
        <v>2136</v>
      </c>
    </row>
    <row r="2120" spans="1:37" x14ac:dyDescent="0.25">
      <c r="A2120" t="s">
        <v>8564</v>
      </c>
      <c r="B2120">
        <f>_xlfn.XLOOKUP(FME_Ranking1[[#This Row],[FME ID]],FME_Input[FME_ID],FME_Input[RFPG_NUM])</f>
        <v>11</v>
      </c>
      <c r="C2120" t="str">
        <f>_xlfn.XLOOKUP(FME_Ranking1[[#This Row],[FME ID]],FME_Input[FME_ID],FME_Input[FME_NAME])</f>
        <v>Canyon Regional WA Hays Caldwell Water Treatment Plant Floodwall Project Planning</v>
      </c>
      <c r="D2120" t="str">
        <f>_xlfn.XLOOKUP(FME_Ranking1[[#This Row],[FME ID]],FME_Input[FME_ID],FME_Input[DESCR])</f>
        <v>Project planning for Canyon Regional WA - Hays Caldwell Water Treatment Plant Floodwall Project</v>
      </c>
      <c r="E2120" s="256">
        <f>_xlfn.XLOOKUP(FME_Ranking1[[#This Row],[FME ID]],FME_Input[FME_ID],FME_Input[FME_COST])</f>
        <v>159355</v>
      </c>
      <c r="F2120" t="str">
        <f>_xlfn.XLOOKUP(FME_Ranking1[[#This Row],[FME ID]],FME_Input[FME_ID],FME_Input[EMER_NEED])</f>
        <v>No</v>
      </c>
      <c r="G2120">
        <f>IF(FME_Ranking!F2120="Yes",100,0)</f>
        <v>0</v>
      </c>
      <c r="H2120">
        <f>FME_Ranking1[[#This Row],[Emergency Need Score (Normalized, Unweighted)]]*$F$3</f>
        <v>0</v>
      </c>
      <c r="I2120" s="246">
        <f>_xlfn.XLOOKUP(FME_Ranking1[[#This Row],[FME ID]],FME_Input[FME_ID],FME_Input[STRUCT_100])</f>
        <v>1</v>
      </c>
      <c r="J2120" s="178">
        <f>(FME_Ranking1[[#This Row],[Structures 100 Raw]]/I$2)*100</f>
        <v>5.3549243884676355E-4</v>
      </c>
      <c r="K2120" s="178">
        <f>FME_Ranking1[[#This Row],[Structures 100  Score (Normalized, Unweighted)]]*$I$3</f>
        <v>8.0323865827014533E-5</v>
      </c>
      <c r="L2120" s="246">
        <f>_xlfn.XLOOKUP(FME_Ranking1[[#This Row],[FME ID]],FME_Input[FME_ID],FME_Input[RES_STRUCT100])</f>
        <v>0</v>
      </c>
      <c r="M2120" s="230">
        <f>(FME_Ranking1[[#This Row],[Res Structures Raw]]/L$2)*100</f>
        <v>0</v>
      </c>
      <c r="N2120" s="180">
        <f>FME_Ranking1[[#This Row],[Res Structures Score (Normalized, Unweighted)]]*$L$3</f>
        <v>0</v>
      </c>
      <c r="O2120" s="244">
        <f>_xlfn.XLOOKUP(FME_Ranking1[[#This Row],[FME ID]],FME_Input[FME_ID],FME_Input[POP100])</f>
        <v>0</v>
      </c>
      <c r="P2120" s="178">
        <f>(FME_Ranking1[[#This Row],[Pop Raw]]/$O$2)*100</f>
        <v>0</v>
      </c>
      <c r="Q2120" s="178">
        <f>FME_Ranking1[[#This Row],[Pop Score (Normalized, Unweighted)]]*$O$3</f>
        <v>0</v>
      </c>
      <c r="R2120" s="137">
        <f>_xlfn.XLOOKUP(FME_Ranking1[[#This Row],[FME ID]],FME_Input[FME_ID],FME_Input[CRITFAC100])</f>
        <v>0</v>
      </c>
      <c r="S2120" s="230">
        <f>(FME_Ranking1[[#This Row],[Critical Facilities Raw]]/$R$2)*100</f>
        <v>0</v>
      </c>
      <c r="T2120" s="180">
        <f>FME_Ranking1[[#This Row],[Critical Facilities Score (Normalized, Unweighted)]]*$R$3</f>
        <v>0</v>
      </c>
      <c r="U2120">
        <f>_xlfn.XLOOKUP(FME_Ranking1[[#This Row],[FME ID]],FME_Input[FME_ID],FME_Input[LWC])</f>
        <v>0</v>
      </c>
      <c r="V2120" s="178">
        <f>(FME_Ranking1[[#This Row],[LWC Raw]]/$U$2)*100</f>
        <v>0</v>
      </c>
      <c r="W2120" s="178">
        <f>FME_Ranking1[[#This Row],[LWC Score (Normalized, Unweighted)]]*$U$3</f>
        <v>0</v>
      </c>
      <c r="X2120" s="246">
        <f>_xlfn.XLOOKUP(FME_Ranking1[[#This Row],[FME ID]],FME_Input[FME_ID],FME_Input[ROADCLS])</f>
        <v>0</v>
      </c>
      <c r="Y2120" s="230">
        <f>(FME_Ranking1[[#This Row],[Closures Raw]]/$X$2)*100</f>
        <v>0</v>
      </c>
      <c r="Z2120" s="180">
        <f>FME_Ranking1[[#This Row],[Closures Score (Normalized, Unweighted)]]*$X$3</f>
        <v>0</v>
      </c>
      <c r="AA2120" s="253">
        <f>_xlfn.XLOOKUP(FME_Ranking1[[#This Row],[FME ID]],FME_Input[FME_ID],FME_Input[ROAD_MILES100])</f>
        <v>5.3285818547010422E-2</v>
      </c>
      <c r="AB2120" s="178">
        <f>(FME_Ranking1[[#This Row],[Miles Raw]]/$AA$2)*100</f>
        <v>7.0061294129086587E-4</v>
      </c>
      <c r="AC2120" s="178">
        <f>FME_Ranking1[[#This Row],[Miles Score (Normalized, Unweighted)]]*$AA$3</f>
        <v>7.0061294129086584E-5</v>
      </c>
      <c r="AD2120" s="255">
        <f>_xlfn.XLOOKUP(FME_Ranking1[[#This Row],[FME ID]],FME_Input[FME_ID],FME_Input[FARMACRE100])</f>
        <v>0</v>
      </c>
      <c r="AE2120" s="230">
        <f>(FME_Ranking1[[#This Row],[Ag Land Raw]]/$AD$2)*100</f>
        <v>0</v>
      </c>
      <c r="AF2120" s="231">
        <f>FME_Ranking1[[#This Row],[Ag Land Score (Normalized, Unweighted)]]*$AD$3</f>
        <v>0</v>
      </c>
      <c r="AG212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1.503851599561011E-4</v>
      </c>
      <c r="AH2120" s="406">
        <f t="shared" si="33"/>
        <v>2138</v>
      </c>
      <c r="AI212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1.503851599561011E-4</v>
      </c>
      <c r="AJ2120" s="257">
        <f>FME_Ranking1[[#This Row],[Addition check]]-FME_Ranking1[[#This Row],[Weighted Score Based on Normalized Reported Factors]]</f>
        <v>0</v>
      </c>
      <c r="AK2120" s="178">
        <f>_xlfn.RANK.EQ(AI2120,$AI$6:$AI$2341,0)+COUNTIF($AI$6:AI2120,AI2120)-1</f>
        <v>2138</v>
      </c>
    </row>
    <row r="2121" spans="1:37" x14ac:dyDescent="0.25">
      <c r="A2121" t="s">
        <v>9173</v>
      </c>
      <c r="B2121">
        <f>_xlfn.XLOOKUP(FME_Ranking1[[#This Row],[FME ID]],FME_Input[FME_ID],FME_Input[RFPG_NUM])</f>
        <v>12</v>
      </c>
      <c r="C2121" t="str">
        <f>_xlfn.XLOOKUP(FME_Ranking1[[#This Row],[FME ID]],FME_Input[FME_ID],FME_Input[FME_NAME])</f>
        <v>8402 Battle Intense Low Water Crossing</v>
      </c>
      <c r="D2121" t="str">
        <f>_xlfn.XLOOKUP(FME_Ranking1[[#This Row],[FME ID]],FME_Input[FME_ID],FME_Input[DESCR])</f>
        <v>Battle intense is often shut down in large rain events. Debris collects and damages this low water crossing</v>
      </c>
      <c r="E2121" s="256">
        <f>_xlfn.XLOOKUP(FME_Ranking1[[#This Row],[FME ID]],FME_Input[FME_ID],FME_Input[FME_COST])</f>
        <v>3617820</v>
      </c>
      <c r="F2121" t="str">
        <f>_xlfn.XLOOKUP(FME_Ranking1[[#This Row],[FME ID]],FME_Input[FME_ID],FME_Input[EMER_NEED])</f>
        <v>No</v>
      </c>
      <c r="G2121">
        <f>IF(FME_Ranking!F2121="Yes",100,0)</f>
        <v>0</v>
      </c>
      <c r="H2121">
        <f>FME_Ranking1[[#This Row],[Emergency Need Score (Normalized, Unweighted)]]*$F$3</f>
        <v>0</v>
      </c>
      <c r="I2121" s="246">
        <f>_xlfn.XLOOKUP(FME_Ranking1[[#This Row],[FME ID]],FME_Input[FME_ID],FME_Input[STRUCT_100])</f>
        <v>0</v>
      </c>
      <c r="J2121" s="178">
        <f>(FME_Ranking1[[#This Row],[Structures 100 Raw]]/I$2)*100</f>
        <v>0</v>
      </c>
      <c r="K2121" s="178">
        <f>FME_Ranking1[[#This Row],[Structures 100  Score (Normalized, Unweighted)]]*$I$3</f>
        <v>0</v>
      </c>
      <c r="L2121" s="246">
        <f>_xlfn.XLOOKUP(FME_Ranking1[[#This Row],[FME ID]],FME_Input[FME_ID],FME_Input[RES_STRUCT100])</f>
        <v>1</v>
      </c>
      <c r="M2121" s="230">
        <f>(FME_Ranking1[[#This Row],[Res Structures Raw]]/L$2)*100</f>
        <v>7.0830559136433825E-4</v>
      </c>
      <c r="N2121" s="180">
        <f>FME_Ranking1[[#This Row],[Res Structures Score (Normalized, Unweighted)]]*$L$3</f>
        <v>7.0830559136433833E-5</v>
      </c>
      <c r="O2121" s="244">
        <f>_xlfn.XLOOKUP(FME_Ranking1[[#This Row],[FME ID]],FME_Input[FME_ID],FME_Input[POP100])</f>
        <v>0</v>
      </c>
      <c r="P2121" s="178">
        <f>(FME_Ranking1[[#This Row],[Pop Raw]]/$O$2)*100</f>
        <v>0</v>
      </c>
      <c r="Q2121" s="178">
        <f>FME_Ranking1[[#This Row],[Pop Score (Normalized, Unweighted)]]*$O$3</f>
        <v>0</v>
      </c>
      <c r="R2121" s="137">
        <f>_xlfn.XLOOKUP(FME_Ranking1[[#This Row],[FME ID]],FME_Input[FME_ID],FME_Input[CRITFAC100])</f>
        <v>0</v>
      </c>
      <c r="S2121" s="230">
        <f>(FME_Ranking1[[#This Row],[Critical Facilities Raw]]/$R$2)*100</f>
        <v>0</v>
      </c>
      <c r="T2121" s="180">
        <f>FME_Ranking1[[#This Row],[Critical Facilities Score (Normalized, Unweighted)]]*$R$3</f>
        <v>0</v>
      </c>
      <c r="U2121">
        <f>_xlfn.XLOOKUP(FME_Ranking1[[#This Row],[FME ID]],FME_Input[FME_ID],FME_Input[LWC])</f>
        <v>0</v>
      </c>
      <c r="V2121" s="178">
        <f>(FME_Ranking1[[#This Row],[LWC Raw]]/$U$2)*100</f>
        <v>0</v>
      </c>
      <c r="W2121" s="178">
        <f>FME_Ranking1[[#This Row],[LWC Score (Normalized, Unweighted)]]*$U$3</f>
        <v>0</v>
      </c>
      <c r="X2121" s="246">
        <f>_xlfn.XLOOKUP(FME_Ranking1[[#This Row],[FME ID]],FME_Input[FME_ID],FME_Input[ROADCLS])</f>
        <v>0</v>
      </c>
      <c r="Y2121" s="230">
        <f>(FME_Ranking1[[#This Row],[Closures Raw]]/$X$2)*100</f>
        <v>0</v>
      </c>
      <c r="Z2121" s="180">
        <f>FME_Ranking1[[#This Row],[Closures Score (Normalized, Unweighted)]]*$X$3</f>
        <v>0</v>
      </c>
      <c r="AA2121" s="253">
        <f>_xlfn.XLOOKUP(FME_Ranking1[[#This Row],[FME ID]],FME_Input[FME_ID],FME_Input[ROAD_MILES100])</f>
        <v>0</v>
      </c>
      <c r="AB2121" s="178">
        <f>(FME_Ranking1[[#This Row],[Miles Raw]]/$AA$2)*100</f>
        <v>0</v>
      </c>
      <c r="AC2121" s="178">
        <f>FME_Ranking1[[#This Row],[Miles Score (Normalized, Unweighted)]]*$AA$3</f>
        <v>0</v>
      </c>
      <c r="AD2121" s="255">
        <f>_xlfn.XLOOKUP(FME_Ranking1[[#This Row],[FME ID]],FME_Input[FME_ID],FME_Input[FARMACRE100])</f>
        <v>0</v>
      </c>
      <c r="AE2121" s="230">
        <f>(FME_Ranking1[[#This Row],[Ag Land Raw]]/$AD$2)*100</f>
        <v>0</v>
      </c>
      <c r="AF2121" s="231">
        <f>FME_Ranking1[[#This Row],[Ag Land Score (Normalized, Unweighted)]]*$AD$3</f>
        <v>0</v>
      </c>
      <c r="AG212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7.0830559136433833E-5</v>
      </c>
      <c r="AH2121" s="406">
        <f t="shared" si="33"/>
        <v>2147</v>
      </c>
      <c r="AI212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7.0830559136433833E-5</v>
      </c>
      <c r="AJ2121" s="257">
        <f>FME_Ranking1[[#This Row],[Addition check]]-FME_Ranking1[[#This Row],[Weighted Score Based on Normalized Reported Factors]]</f>
        <v>0</v>
      </c>
      <c r="AK2121" s="178">
        <f>_xlfn.RANK.EQ(AI2121,$AI$6:$AI$2341,0)+COUNTIF($AI$6:AI2121,AI2121)-1</f>
        <v>2147</v>
      </c>
    </row>
    <row r="2122" spans="1:37" x14ac:dyDescent="0.25">
      <c r="A2122" t="s">
        <v>111</v>
      </c>
      <c r="B2122">
        <f>_xlfn.XLOOKUP(FME_Ranking1[[#This Row],[FME ID]],FME_Input[FME_ID],FME_Input[RFPG_NUM])</f>
        <v>10</v>
      </c>
      <c r="C2122" t="str">
        <f>_xlfn.XLOOKUP(FME_Ranking1[[#This Row],[FME ID]],FME_Input[FME_ID],FME_Input[FME_NAME])</f>
        <v>Upper Elgin River Rd &amp; Cotton Creek</v>
      </c>
      <c r="D2122" t="str">
        <f>_xlfn.XLOOKUP(FME_Ranking1[[#This Row],[FME ID]],FME_Input[FME_ID],FME_Input[DESCR])</f>
        <v>LWC to Culvert Cast-in-place multi-box (2) culvert-bridge</v>
      </c>
      <c r="E2122" s="256">
        <f>_xlfn.XLOOKUP(FME_Ranking1[[#This Row],[FME ID]],FME_Input[FME_ID],FME_Input[FME_COST])</f>
        <v>100000</v>
      </c>
      <c r="F2122" t="str">
        <f>_xlfn.XLOOKUP(FME_Ranking1[[#This Row],[FME ID]],FME_Input[FME_ID],FME_Input[EMER_NEED])</f>
        <v>No</v>
      </c>
      <c r="G2122">
        <f>IF(FME_Ranking!F2122="Yes",100,0)</f>
        <v>0</v>
      </c>
      <c r="H2122">
        <f>FME_Ranking1[[#This Row],[Emergency Need Score (Normalized, Unweighted)]]*$F$3</f>
        <v>0</v>
      </c>
      <c r="I2122" s="246">
        <f>_xlfn.XLOOKUP(FME_Ranking1[[#This Row],[FME ID]],FME_Input[FME_ID],FME_Input[STRUCT_100])</f>
        <v>0</v>
      </c>
      <c r="J2122" s="178">
        <f>(FME_Ranking1[[#This Row],[Structures 100 Raw]]/I$2)*100</f>
        <v>0</v>
      </c>
      <c r="K2122" s="178">
        <f>FME_Ranking1[[#This Row],[Structures 100  Score (Normalized, Unweighted)]]*$I$3</f>
        <v>0</v>
      </c>
      <c r="L2122" s="246">
        <f>_xlfn.XLOOKUP(FME_Ranking1[[#This Row],[FME ID]],FME_Input[FME_ID],FME_Input[RES_STRUCT100])</f>
        <v>0</v>
      </c>
      <c r="M2122" s="230">
        <f>(FME_Ranking1[[#This Row],[Res Structures Raw]]/L$2)*100</f>
        <v>0</v>
      </c>
      <c r="N2122" s="180">
        <f>FME_Ranking1[[#This Row],[Res Structures Score (Normalized, Unweighted)]]*$L$3</f>
        <v>0</v>
      </c>
      <c r="O2122" s="244">
        <f>_xlfn.XLOOKUP(FME_Ranking1[[#This Row],[FME ID]],FME_Input[FME_ID],FME_Input[POP100])</f>
        <v>0</v>
      </c>
      <c r="P2122" s="178">
        <f>(FME_Ranking1[[#This Row],[Pop Raw]]/$O$2)*100</f>
        <v>0</v>
      </c>
      <c r="Q2122" s="178">
        <f>FME_Ranking1[[#This Row],[Pop Score (Normalized, Unweighted)]]*$O$3</f>
        <v>0</v>
      </c>
      <c r="R2122" s="137">
        <f>_xlfn.XLOOKUP(FME_Ranking1[[#This Row],[FME ID]],FME_Input[FME_ID],FME_Input[CRITFAC100])</f>
        <v>0</v>
      </c>
      <c r="S2122" s="230">
        <f>(FME_Ranking1[[#This Row],[Critical Facilities Raw]]/$R$2)*100</f>
        <v>0</v>
      </c>
      <c r="T2122" s="180">
        <f>FME_Ranking1[[#This Row],[Critical Facilities Score (Normalized, Unweighted)]]*$R$3</f>
        <v>0</v>
      </c>
      <c r="U2122">
        <f>_xlfn.XLOOKUP(FME_Ranking1[[#This Row],[FME ID]],FME_Input[FME_ID],FME_Input[LWC])</f>
        <v>0</v>
      </c>
      <c r="V2122" s="178">
        <f>(FME_Ranking1[[#This Row],[LWC Raw]]/$U$2)*100</f>
        <v>0</v>
      </c>
      <c r="W2122" s="178">
        <f>FME_Ranking1[[#This Row],[LWC Score (Normalized, Unweighted)]]*$U$3</f>
        <v>0</v>
      </c>
      <c r="X2122" s="246">
        <f>_xlfn.XLOOKUP(FME_Ranking1[[#This Row],[FME ID]],FME_Input[FME_ID],FME_Input[ROADCLS])</f>
        <v>0</v>
      </c>
      <c r="Y2122" s="230">
        <f>(FME_Ranking1[[#This Row],[Closures Raw]]/$X$2)*100</f>
        <v>0</v>
      </c>
      <c r="Z2122" s="180">
        <f>FME_Ranking1[[#This Row],[Closures Score (Normalized, Unweighted)]]*$X$3</f>
        <v>0</v>
      </c>
      <c r="AA2122" s="253">
        <f>_xlfn.XLOOKUP(FME_Ranking1[[#This Row],[FME ID]],FME_Input[FME_ID],FME_Input[ROAD_MILES100])</f>
        <v>5.8850400149822242E-2</v>
      </c>
      <c r="AB2122" s="178">
        <f>(FME_Ranking1[[#This Row],[Miles Raw]]/$AA$2)*100</f>
        <v>7.7377720882218937E-4</v>
      </c>
      <c r="AC2122" s="178">
        <f>FME_Ranking1[[#This Row],[Miles Score (Normalized, Unweighted)]]*$AA$3</f>
        <v>7.7377720882218937E-5</v>
      </c>
      <c r="AD2122" s="255">
        <f>_xlfn.XLOOKUP(FME_Ranking1[[#This Row],[FME ID]],FME_Input[FME_ID],FME_Input[FARMACRE100])</f>
        <v>32.028533935546882</v>
      </c>
      <c r="AE2122" s="230">
        <f>(FME_Ranking1[[#This Row],[Ag Land Raw]]/$AD$2)*100</f>
        <v>1.3207133636516234E-3</v>
      </c>
      <c r="AF2122" s="231">
        <f>FME_Ranking1[[#This Row],[Ag Land Score (Normalized, Unweighted)]]*$AD$3</f>
        <v>6.6035668182581178E-5</v>
      </c>
      <c r="AG212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1.4341338906480013E-4</v>
      </c>
      <c r="AH2122" s="406">
        <f t="shared" si="33"/>
        <v>2140</v>
      </c>
      <c r="AI212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1.4341338906480013E-4</v>
      </c>
      <c r="AJ2122" s="257">
        <f>FME_Ranking1[[#This Row],[Addition check]]-FME_Ranking1[[#This Row],[Weighted Score Based on Normalized Reported Factors]]</f>
        <v>0</v>
      </c>
      <c r="AK2122" s="178">
        <f>_xlfn.RANK.EQ(AI2122,$AI$6:$AI$2341,0)+COUNTIF($AI$6:AI2122,AI2122)-1</f>
        <v>2140</v>
      </c>
    </row>
    <row r="2123" spans="1:37" x14ac:dyDescent="0.25">
      <c r="A2123" t="s">
        <v>226</v>
      </c>
      <c r="B2123">
        <f>_xlfn.XLOOKUP(FME_Ranking1[[#This Row],[FME ID]],FME_Input[FME_ID],FME_Input[RFPG_NUM])</f>
        <v>10</v>
      </c>
      <c r="C2123" t="str">
        <f>_xlfn.XLOOKUP(FME_Ranking1[[#This Row],[FME ID]],FME_Input[FME_ID],FME_Input[FME_NAME])</f>
        <v>Whitman Branch Regional Detention Pond</v>
      </c>
      <c r="D2123" t="str">
        <f>_xlfn.XLOOKUP(FME_Ranking1[[#This Row],[FME ID]],FME_Input[FME_ID],FME_Input[DESCR])</f>
        <v>Regional Detention Pond Along Whitman Branch</v>
      </c>
      <c r="E2123" s="256">
        <f>_xlfn.XLOOKUP(FME_Ranking1[[#This Row],[FME ID]],FME_Input[FME_ID],FME_Input[FME_COST])</f>
        <v>150000</v>
      </c>
      <c r="F2123" t="str">
        <f>_xlfn.XLOOKUP(FME_Ranking1[[#This Row],[FME ID]],FME_Input[FME_ID],FME_Input[EMER_NEED])</f>
        <v>No</v>
      </c>
      <c r="G2123">
        <f>IF(FME_Ranking!F2123="Yes",100,0)</f>
        <v>0</v>
      </c>
      <c r="H2123">
        <f>FME_Ranking1[[#This Row],[Emergency Need Score (Normalized, Unweighted)]]*$F$3</f>
        <v>0</v>
      </c>
      <c r="I2123" s="246">
        <f>_xlfn.XLOOKUP(FME_Ranking1[[#This Row],[FME ID]],FME_Input[FME_ID],FME_Input[STRUCT_100])</f>
        <v>0</v>
      </c>
      <c r="J2123" s="178">
        <f>(FME_Ranking1[[#This Row],[Structures 100 Raw]]/I$2)*100</f>
        <v>0</v>
      </c>
      <c r="K2123" s="178">
        <f>FME_Ranking1[[#This Row],[Structures 100  Score (Normalized, Unweighted)]]*$I$3</f>
        <v>0</v>
      </c>
      <c r="L2123" s="246">
        <f>_xlfn.XLOOKUP(FME_Ranking1[[#This Row],[FME ID]],FME_Input[FME_ID],FME_Input[RES_STRUCT100])</f>
        <v>0</v>
      </c>
      <c r="M2123" s="230">
        <f>(FME_Ranking1[[#This Row],[Res Structures Raw]]/L$2)*100</f>
        <v>0</v>
      </c>
      <c r="N2123" s="180">
        <f>FME_Ranking1[[#This Row],[Res Structures Score (Normalized, Unweighted)]]*$L$3</f>
        <v>0</v>
      </c>
      <c r="O2123" s="244">
        <f>_xlfn.XLOOKUP(FME_Ranking1[[#This Row],[FME ID]],FME_Input[FME_ID],FME_Input[POP100])</f>
        <v>0</v>
      </c>
      <c r="P2123" s="178">
        <f>(FME_Ranking1[[#This Row],[Pop Raw]]/$O$2)*100</f>
        <v>0</v>
      </c>
      <c r="Q2123" s="178">
        <f>FME_Ranking1[[#This Row],[Pop Score (Normalized, Unweighted)]]*$O$3</f>
        <v>0</v>
      </c>
      <c r="R2123" s="137">
        <f>_xlfn.XLOOKUP(FME_Ranking1[[#This Row],[FME ID]],FME_Input[FME_ID],FME_Input[CRITFAC100])</f>
        <v>0</v>
      </c>
      <c r="S2123" s="230">
        <f>(FME_Ranking1[[#This Row],[Critical Facilities Raw]]/$R$2)*100</f>
        <v>0</v>
      </c>
      <c r="T2123" s="180">
        <f>FME_Ranking1[[#This Row],[Critical Facilities Score (Normalized, Unweighted)]]*$R$3</f>
        <v>0</v>
      </c>
      <c r="U2123">
        <f>_xlfn.XLOOKUP(FME_Ranking1[[#This Row],[FME ID]],FME_Input[FME_ID],FME_Input[LWC])</f>
        <v>0</v>
      </c>
      <c r="V2123" s="178">
        <f>(FME_Ranking1[[#This Row],[LWC Raw]]/$U$2)*100</f>
        <v>0</v>
      </c>
      <c r="W2123" s="178">
        <f>FME_Ranking1[[#This Row],[LWC Score (Normalized, Unweighted)]]*$U$3</f>
        <v>0</v>
      </c>
      <c r="X2123" s="246">
        <f>_xlfn.XLOOKUP(FME_Ranking1[[#This Row],[FME ID]],FME_Input[FME_ID],FME_Input[ROADCLS])</f>
        <v>0</v>
      </c>
      <c r="Y2123" s="230">
        <f>(FME_Ranking1[[#This Row],[Closures Raw]]/$X$2)*100</f>
        <v>0</v>
      </c>
      <c r="Z2123" s="180">
        <f>FME_Ranking1[[#This Row],[Closures Score (Normalized, Unweighted)]]*$X$3</f>
        <v>0</v>
      </c>
      <c r="AA2123" s="253">
        <f>_xlfn.XLOOKUP(FME_Ranking1[[#This Row],[FME ID]],FME_Input[FME_ID],FME_Input[ROAD_MILES100])</f>
        <v>0.18301443755626681</v>
      </c>
      <c r="AB2123" s="178">
        <f>(FME_Ranking1[[#This Row],[Miles Raw]]/$AA$2)*100</f>
        <v>2.4063116020610225E-3</v>
      </c>
      <c r="AC2123" s="178">
        <f>FME_Ranking1[[#This Row],[Miles Score (Normalized, Unweighted)]]*$AA$3</f>
        <v>2.4063116020610226E-4</v>
      </c>
      <c r="AD2123" s="255">
        <f>_xlfn.XLOOKUP(FME_Ranking1[[#This Row],[FME ID]],FME_Input[FME_ID],FME_Input[FARMACRE100])</f>
        <v>23.202432632446289</v>
      </c>
      <c r="AE2123" s="230">
        <f>(FME_Ranking1[[#This Row],[Ag Land Raw]]/$AD$2)*100</f>
        <v>9.5676445598680173E-4</v>
      </c>
      <c r="AF2123" s="231">
        <f>FME_Ranking1[[#This Row],[Ag Land Score (Normalized, Unweighted)]]*$AD$3</f>
        <v>4.7838222799340092E-5</v>
      </c>
      <c r="AG212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2.8846938300544232E-4</v>
      </c>
      <c r="AH2123" s="406">
        <f t="shared" si="33"/>
        <v>2115</v>
      </c>
      <c r="AI212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2.8846938300544232E-4</v>
      </c>
      <c r="AJ2123" s="257">
        <f>FME_Ranking1[[#This Row],[Addition check]]-FME_Ranking1[[#This Row],[Weighted Score Based on Normalized Reported Factors]]</f>
        <v>0</v>
      </c>
      <c r="AK2123" s="178">
        <f>_xlfn.RANK.EQ(AI2123,$AI$6:$AI$2341,0)+COUNTIF($AI$6:AI2123,AI2123)-1</f>
        <v>2115</v>
      </c>
    </row>
    <row r="2124" spans="1:37" x14ac:dyDescent="0.25">
      <c r="A2124" t="s">
        <v>5212</v>
      </c>
      <c r="B2124">
        <f>_xlfn.XLOOKUP(FME_Ranking1[[#This Row],[FME ID]],FME_Input[FME_ID],FME_Input[RFPG_NUM])</f>
        <v>3</v>
      </c>
      <c r="C2124" t="str">
        <f>_xlfn.XLOOKUP(FME_Ranking1[[#This Row],[FME ID]],FME_Input[FME_ID],FME_Input[FME_NAME])</f>
        <v>Whites Branch at Langdon Road</v>
      </c>
      <c r="D2124" t="str">
        <f>_xlfn.XLOOKUP(FME_Ranking1[[#This Row],[FME ID]],FME_Input[FME_ID],FME_Input[DESCR])</f>
        <v>Evaluate bridge improvements for Langdon Road over Whites Branch</v>
      </c>
      <c r="E2124" s="256">
        <f>_xlfn.XLOOKUP(FME_Ranking1[[#This Row],[FME ID]],FME_Input[FME_ID],FME_Input[FME_COST])</f>
        <v>250000</v>
      </c>
      <c r="F2124" t="str">
        <f>_xlfn.XLOOKUP(FME_Ranking1[[#This Row],[FME ID]],FME_Input[FME_ID],FME_Input[EMER_NEED])</f>
        <v>No</v>
      </c>
      <c r="G2124">
        <f>IF(FME_Ranking!F2124="Yes",100,0)</f>
        <v>0</v>
      </c>
      <c r="H2124">
        <f>FME_Ranking1[[#This Row],[Emergency Need Score (Normalized, Unweighted)]]*$F$3</f>
        <v>0</v>
      </c>
      <c r="I2124" s="246">
        <f>_xlfn.XLOOKUP(FME_Ranking1[[#This Row],[FME ID]],FME_Input[FME_ID],FME_Input[STRUCT_100])</f>
        <v>0</v>
      </c>
      <c r="J2124" s="178">
        <f>(FME_Ranking1[[#This Row],[Structures 100 Raw]]/I$2)*100</f>
        <v>0</v>
      </c>
      <c r="K2124" s="178">
        <f>FME_Ranking1[[#This Row],[Structures 100  Score (Normalized, Unweighted)]]*$I$3</f>
        <v>0</v>
      </c>
      <c r="L2124" s="246">
        <f>_xlfn.XLOOKUP(FME_Ranking1[[#This Row],[FME ID]],FME_Input[FME_ID],FME_Input[RES_STRUCT100])</f>
        <v>0</v>
      </c>
      <c r="M2124" s="230">
        <f>(FME_Ranking1[[#This Row],[Res Structures Raw]]/L$2)*100</f>
        <v>0</v>
      </c>
      <c r="N2124" s="180">
        <f>FME_Ranking1[[#This Row],[Res Structures Score (Normalized, Unweighted)]]*$L$3</f>
        <v>0</v>
      </c>
      <c r="O2124" s="244">
        <f>_xlfn.XLOOKUP(FME_Ranking1[[#This Row],[FME ID]],FME_Input[FME_ID],FME_Input[POP100])</f>
        <v>0</v>
      </c>
      <c r="P2124" s="178">
        <f>(FME_Ranking1[[#This Row],[Pop Raw]]/$O$2)*100</f>
        <v>0</v>
      </c>
      <c r="Q2124" s="178">
        <f>FME_Ranking1[[#This Row],[Pop Score (Normalized, Unweighted)]]*$O$3</f>
        <v>0</v>
      </c>
      <c r="R2124" s="137">
        <f>_xlfn.XLOOKUP(FME_Ranking1[[#This Row],[FME ID]],FME_Input[FME_ID],FME_Input[CRITFAC100])</f>
        <v>0</v>
      </c>
      <c r="S2124" s="230">
        <f>(FME_Ranking1[[#This Row],[Critical Facilities Raw]]/$R$2)*100</f>
        <v>0</v>
      </c>
      <c r="T2124" s="180">
        <f>FME_Ranking1[[#This Row],[Critical Facilities Score (Normalized, Unweighted)]]*$R$3</f>
        <v>0</v>
      </c>
      <c r="U2124">
        <f>_xlfn.XLOOKUP(FME_Ranking1[[#This Row],[FME ID]],FME_Input[FME_ID],FME_Input[LWC])</f>
        <v>0</v>
      </c>
      <c r="V2124" s="178">
        <f>(FME_Ranking1[[#This Row],[LWC Raw]]/$U$2)*100</f>
        <v>0</v>
      </c>
      <c r="W2124" s="178">
        <f>FME_Ranking1[[#This Row],[LWC Score (Normalized, Unweighted)]]*$U$3</f>
        <v>0</v>
      </c>
      <c r="X2124" s="246">
        <f>_xlfn.XLOOKUP(FME_Ranking1[[#This Row],[FME ID]],FME_Input[FME_ID],FME_Input[ROADCLS])</f>
        <v>0</v>
      </c>
      <c r="Y2124" s="230">
        <f>(FME_Ranking1[[#This Row],[Closures Raw]]/$X$2)*100</f>
        <v>0</v>
      </c>
      <c r="Z2124" s="180">
        <f>FME_Ranking1[[#This Row],[Closures Score (Normalized, Unweighted)]]*$X$3</f>
        <v>0</v>
      </c>
      <c r="AA2124" s="253">
        <f>_xlfn.XLOOKUP(FME_Ranking1[[#This Row],[FME ID]],FME_Input[FME_ID],FME_Input[ROAD_MILES100])</f>
        <v>0.27180489897727972</v>
      </c>
      <c r="AB2124" s="178">
        <f>(FME_Ranking1[[#This Row],[Miles Raw]]/$AA$2)*100</f>
        <v>3.5737469165784746E-3</v>
      </c>
      <c r="AC2124" s="178">
        <f>FME_Ranking1[[#This Row],[Miles Score (Normalized, Unweighted)]]*$AA$3</f>
        <v>3.5737469165784746E-4</v>
      </c>
      <c r="AD2124" s="255">
        <f>_xlfn.XLOOKUP(FME_Ranking1[[#This Row],[FME ID]],FME_Input[FME_ID],FME_Input[FARMACRE100])</f>
        <v>19.327829360961911</v>
      </c>
      <c r="AE2124" s="230">
        <f>(FME_Ranking1[[#This Row],[Ag Land Raw]]/$AD$2)*100</f>
        <v>7.9699316174662593E-4</v>
      </c>
      <c r="AF2124" s="231">
        <f>FME_Ranking1[[#This Row],[Ag Land Score (Normalized, Unweighted)]]*$AD$3</f>
        <v>3.9849658087331297E-5</v>
      </c>
      <c r="AG212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3.9722434974517873E-4</v>
      </c>
      <c r="AH2124" s="406">
        <f t="shared" si="33"/>
        <v>2104</v>
      </c>
      <c r="AI212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3.9722434974517873E-4</v>
      </c>
      <c r="AJ2124" s="257">
        <f>FME_Ranking1[[#This Row],[Addition check]]-FME_Ranking1[[#This Row],[Weighted Score Based on Normalized Reported Factors]]</f>
        <v>0</v>
      </c>
      <c r="AK2124" s="178">
        <f>_xlfn.RANK.EQ(AI2124,$AI$6:$AI$2341,0)+COUNTIF($AI$6:AI2124,AI2124)-1</f>
        <v>2104</v>
      </c>
    </row>
    <row r="2125" spans="1:37" x14ac:dyDescent="0.25">
      <c r="A2125" t="s">
        <v>7043</v>
      </c>
      <c r="B2125">
        <f>_xlfn.XLOOKUP(FME_Ranking1[[#This Row],[FME ID]],FME_Input[FME_ID],FME_Input[RFPG_NUM])</f>
        <v>7</v>
      </c>
      <c r="C2125" t="str">
        <f>_xlfn.XLOOKUP(FME_Ranking1[[#This Row],[FME ID]],FME_Input[FME_ID],FME_Input[FME_NAME])</f>
        <v>City of New Home DMP</v>
      </c>
      <c r="D2125" t="str">
        <f>_xlfn.XLOOKUP(FME_Ranking1[[#This Row],[FME ID]],FME_Input[FME_ID],FME_Input[DESCR])</f>
        <v>Evaluate City of New Home for a Storm Water Master Plan, flood ordinances, and policies.</v>
      </c>
      <c r="E2125" s="256">
        <f>_xlfn.XLOOKUP(FME_Ranking1[[#This Row],[FME ID]],FME_Input[FME_ID],FME_Input[FME_COST])</f>
        <v>250000</v>
      </c>
      <c r="F2125" t="str">
        <f>_xlfn.XLOOKUP(FME_Ranking1[[#This Row],[FME ID]],FME_Input[FME_ID],FME_Input[EMER_NEED])</f>
        <v>No</v>
      </c>
      <c r="G2125">
        <f>IF(FME_Ranking!F2125="Yes",100,0)</f>
        <v>0</v>
      </c>
      <c r="H2125">
        <f>FME_Ranking1[[#This Row],[Emergency Need Score (Normalized, Unweighted)]]*$F$3</f>
        <v>0</v>
      </c>
      <c r="I2125" s="246">
        <f>_xlfn.XLOOKUP(FME_Ranking1[[#This Row],[FME ID]],FME_Input[FME_ID],FME_Input[STRUCT_100])</f>
        <v>0</v>
      </c>
      <c r="J2125" s="178">
        <f>(FME_Ranking1[[#This Row],[Structures 100 Raw]]/I$2)*100</f>
        <v>0</v>
      </c>
      <c r="K2125" s="178">
        <f>FME_Ranking1[[#This Row],[Structures 100  Score (Normalized, Unweighted)]]*$I$3</f>
        <v>0</v>
      </c>
      <c r="L2125" s="246">
        <f>_xlfn.XLOOKUP(FME_Ranking1[[#This Row],[FME ID]],FME_Input[FME_ID],FME_Input[RES_STRUCT100])</f>
        <v>0</v>
      </c>
      <c r="M2125" s="230">
        <f>(FME_Ranking1[[#This Row],[Res Structures Raw]]/L$2)*100</f>
        <v>0</v>
      </c>
      <c r="N2125" s="180">
        <f>FME_Ranking1[[#This Row],[Res Structures Score (Normalized, Unweighted)]]*$L$3</f>
        <v>0</v>
      </c>
      <c r="O2125" s="244">
        <f>_xlfn.XLOOKUP(FME_Ranking1[[#This Row],[FME ID]],FME_Input[FME_ID],FME_Input[POP100])</f>
        <v>0</v>
      </c>
      <c r="P2125" s="178">
        <f>(FME_Ranking1[[#This Row],[Pop Raw]]/$O$2)*100</f>
        <v>0</v>
      </c>
      <c r="Q2125" s="178">
        <f>FME_Ranking1[[#This Row],[Pop Score (Normalized, Unweighted)]]*$O$3</f>
        <v>0</v>
      </c>
      <c r="R2125" s="137">
        <f>_xlfn.XLOOKUP(FME_Ranking1[[#This Row],[FME ID]],FME_Input[FME_ID],FME_Input[CRITFAC100])</f>
        <v>0</v>
      </c>
      <c r="S2125" s="230">
        <f>(FME_Ranking1[[#This Row],[Critical Facilities Raw]]/$R$2)*100</f>
        <v>0</v>
      </c>
      <c r="T2125" s="180">
        <f>FME_Ranking1[[#This Row],[Critical Facilities Score (Normalized, Unweighted)]]*$R$3</f>
        <v>0</v>
      </c>
      <c r="U2125">
        <f>_xlfn.XLOOKUP(FME_Ranking1[[#This Row],[FME ID]],FME_Input[FME_ID],FME_Input[LWC])</f>
        <v>0</v>
      </c>
      <c r="V2125" s="178">
        <f>(FME_Ranking1[[#This Row],[LWC Raw]]/$U$2)*100</f>
        <v>0</v>
      </c>
      <c r="W2125" s="178">
        <f>FME_Ranking1[[#This Row],[LWC Score (Normalized, Unweighted)]]*$U$3</f>
        <v>0</v>
      </c>
      <c r="X2125" s="246">
        <f>_xlfn.XLOOKUP(FME_Ranking1[[#This Row],[FME ID]],FME_Input[FME_ID],FME_Input[ROADCLS])</f>
        <v>0</v>
      </c>
      <c r="Y2125" s="230">
        <f>(FME_Ranking1[[#This Row],[Closures Raw]]/$X$2)*100</f>
        <v>0</v>
      </c>
      <c r="Z2125" s="180">
        <f>FME_Ranking1[[#This Row],[Closures Score (Normalized, Unweighted)]]*$X$3</f>
        <v>0</v>
      </c>
      <c r="AA2125" s="253">
        <f>_xlfn.XLOOKUP(FME_Ranking1[[#This Row],[FME ID]],FME_Input[FME_ID],FME_Input[ROAD_MILES100])</f>
        <v>0</v>
      </c>
      <c r="AB2125" s="178">
        <f>(FME_Ranking1[[#This Row],[Miles Raw]]/$AA$2)*100</f>
        <v>0</v>
      </c>
      <c r="AC2125" s="178">
        <f>FME_Ranking1[[#This Row],[Miles Score (Normalized, Unweighted)]]*$AA$3</f>
        <v>0</v>
      </c>
      <c r="AD2125" s="255">
        <f>_xlfn.XLOOKUP(FME_Ranking1[[#This Row],[FME ID]],FME_Input[FME_ID],FME_Input[FARMACRE100])</f>
        <v>18.511734008789059</v>
      </c>
      <c r="AE2125" s="230">
        <f>(FME_Ranking1[[#This Row],[Ag Land Raw]]/$AD$2)*100</f>
        <v>7.6334104267687241E-4</v>
      </c>
      <c r="AF2125" s="231">
        <f>FME_Ranking1[[#This Row],[Ag Land Score (Normalized, Unweighted)]]*$AD$3</f>
        <v>3.8167052133843624E-5</v>
      </c>
      <c r="AG212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3.8167052133843624E-5</v>
      </c>
      <c r="AH2125" s="406">
        <f t="shared" si="33"/>
        <v>2154</v>
      </c>
      <c r="AI212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3.8167052133843624E-5</v>
      </c>
      <c r="AJ2125" s="257">
        <f>FME_Ranking1[[#This Row],[Addition check]]-FME_Ranking1[[#This Row],[Weighted Score Based on Normalized Reported Factors]]</f>
        <v>0</v>
      </c>
      <c r="AK2125" s="178">
        <f>_xlfn.RANK.EQ(AI2125,$AI$6:$AI$2341,0)+COUNTIF($AI$6:AI2125,AI2125)-1</f>
        <v>2154</v>
      </c>
    </row>
    <row r="2126" spans="1:37" x14ac:dyDescent="0.25">
      <c r="A2126" t="s">
        <v>8632</v>
      </c>
      <c r="B2126">
        <f>_xlfn.XLOOKUP(FME_Ranking1[[#This Row],[FME ID]],FME_Input[FME_ID],FME_Input[RFPG_NUM])</f>
        <v>11</v>
      </c>
      <c r="C2126" t="str">
        <f>_xlfn.XLOOKUP(FME_Ranking1[[#This Row],[FME ID]],FME_Input[FME_ID],FME_Input[FME_NAME])</f>
        <v>City of Flatonia Drainage Project Planning</v>
      </c>
      <c r="D2126" t="str">
        <f>_xlfn.XLOOKUP(FME_Ranking1[[#This Row],[FME ID]],FME_Input[FME_ID],FME_Input[DESCR])</f>
        <v xml:space="preserve">Project planning for proposed project to make culvert and drainage ditch improvements from just south of the Union Pacific Railroad at US 90 to the north side frontage road of I-10.  </v>
      </c>
      <c r="E2126" s="256">
        <f>_xlfn.XLOOKUP(FME_Ranking1[[#This Row],[FME ID]],FME_Input[FME_ID],FME_Input[FME_COST])</f>
        <v>2739000</v>
      </c>
      <c r="F2126" t="str">
        <f>_xlfn.XLOOKUP(FME_Ranking1[[#This Row],[FME ID]],FME_Input[FME_ID],FME_Input[EMER_NEED])</f>
        <v>No</v>
      </c>
      <c r="G2126">
        <f>IF(FME_Ranking!F2126="Yes",100,0)</f>
        <v>0</v>
      </c>
      <c r="H2126">
        <f>FME_Ranking1[[#This Row],[Emergency Need Score (Normalized, Unweighted)]]*$F$3</f>
        <v>0</v>
      </c>
      <c r="I2126" s="246">
        <f>_xlfn.XLOOKUP(FME_Ranking1[[#This Row],[FME ID]],FME_Input[FME_ID],FME_Input[STRUCT_100])</f>
        <v>0</v>
      </c>
      <c r="J2126" s="178">
        <f>(FME_Ranking1[[#This Row],[Structures 100 Raw]]/I$2)*100</f>
        <v>0</v>
      </c>
      <c r="K2126" s="178">
        <f>FME_Ranking1[[#This Row],[Structures 100  Score (Normalized, Unweighted)]]*$I$3</f>
        <v>0</v>
      </c>
      <c r="L2126" s="246">
        <f>_xlfn.XLOOKUP(FME_Ranking1[[#This Row],[FME ID]],FME_Input[FME_ID],FME_Input[RES_STRUCT100])</f>
        <v>0</v>
      </c>
      <c r="M2126" s="230">
        <f>(FME_Ranking1[[#This Row],[Res Structures Raw]]/L$2)*100</f>
        <v>0</v>
      </c>
      <c r="N2126" s="180">
        <f>FME_Ranking1[[#This Row],[Res Structures Score (Normalized, Unweighted)]]*$L$3</f>
        <v>0</v>
      </c>
      <c r="O2126" s="244">
        <f>_xlfn.XLOOKUP(FME_Ranking1[[#This Row],[FME ID]],FME_Input[FME_ID],FME_Input[POP100])</f>
        <v>0</v>
      </c>
      <c r="P2126" s="178">
        <f>(FME_Ranking1[[#This Row],[Pop Raw]]/$O$2)*100</f>
        <v>0</v>
      </c>
      <c r="Q2126" s="178">
        <f>FME_Ranking1[[#This Row],[Pop Score (Normalized, Unweighted)]]*$O$3</f>
        <v>0</v>
      </c>
      <c r="R2126" s="137">
        <f>_xlfn.XLOOKUP(FME_Ranking1[[#This Row],[FME ID]],FME_Input[FME_ID],FME_Input[CRITFAC100])</f>
        <v>0</v>
      </c>
      <c r="S2126" s="230">
        <f>(FME_Ranking1[[#This Row],[Critical Facilities Raw]]/$R$2)*100</f>
        <v>0</v>
      </c>
      <c r="T2126" s="180">
        <f>FME_Ranking1[[#This Row],[Critical Facilities Score (Normalized, Unweighted)]]*$R$3</f>
        <v>0</v>
      </c>
      <c r="U2126">
        <f>_xlfn.XLOOKUP(FME_Ranking1[[#This Row],[FME ID]],FME_Input[FME_ID],FME_Input[LWC])</f>
        <v>0</v>
      </c>
      <c r="V2126" s="178">
        <f>(FME_Ranking1[[#This Row],[LWC Raw]]/$U$2)*100</f>
        <v>0</v>
      </c>
      <c r="W2126" s="178">
        <f>FME_Ranking1[[#This Row],[LWC Score (Normalized, Unweighted)]]*$U$3</f>
        <v>0</v>
      </c>
      <c r="X2126" s="246">
        <f>_xlfn.XLOOKUP(FME_Ranking1[[#This Row],[FME ID]],FME_Input[FME_ID],FME_Input[ROADCLS])</f>
        <v>0</v>
      </c>
      <c r="Y2126" s="230">
        <f>(FME_Ranking1[[#This Row],[Closures Raw]]/$X$2)*100</f>
        <v>0</v>
      </c>
      <c r="Z2126" s="180">
        <f>FME_Ranking1[[#This Row],[Closures Score (Normalized, Unweighted)]]*$X$3</f>
        <v>0</v>
      </c>
      <c r="AA2126" s="253">
        <f>_xlfn.XLOOKUP(FME_Ranking1[[#This Row],[FME ID]],FME_Input[FME_ID],FME_Input[ROAD_MILES100])</f>
        <v>0.10837917774915699</v>
      </c>
      <c r="AB2126" s="178">
        <f>(FME_Ranking1[[#This Row],[Miles Raw]]/$AA$2)*100</f>
        <v>1.4249918002204091E-3</v>
      </c>
      <c r="AC2126" s="178">
        <f>FME_Ranking1[[#This Row],[Miles Score (Normalized, Unweighted)]]*$AA$3</f>
        <v>1.424991800220409E-4</v>
      </c>
      <c r="AD2126" s="255">
        <f>_xlfn.XLOOKUP(FME_Ranking1[[#This Row],[FME ID]],FME_Input[FME_ID],FME_Input[FARMACRE100])</f>
        <v>15.39199066162109</v>
      </c>
      <c r="AE2126" s="230">
        <f>(FME_Ranking1[[#This Row],[Ag Land Raw]]/$AD$2)*100</f>
        <v>6.3469679258226904E-4</v>
      </c>
      <c r="AF2126" s="231">
        <f>FME_Ranking1[[#This Row],[Ag Land Score (Normalized, Unweighted)]]*$AD$3</f>
        <v>3.1734839629113454E-5</v>
      </c>
      <c r="AG212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1.7423401965115435E-4</v>
      </c>
      <c r="AH2126" s="406">
        <f t="shared" si="33"/>
        <v>2132</v>
      </c>
      <c r="AI212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1.7423401965115435E-4</v>
      </c>
      <c r="AJ2126" s="257">
        <f>FME_Ranking1[[#This Row],[Addition check]]-FME_Ranking1[[#This Row],[Weighted Score Based on Normalized Reported Factors]]</f>
        <v>0</v>
      </c>
      <c r="AK2126" s="178">
        <f>_xlfn.RANK.EQ(AI2126,$AI$6:$AI$2341,0)+COUNTIF($AI$6:AI2126,AI2126)-1</f>
        <v>2132</v>
      </c>
    </row>
    <row r="2127" spans="1:37" x14ac:dyDescent="0.25">
      <c r="A2127" t="s">
        <v>421</v>
      </c>
      <c r="B2127">
        <f>_xlfn.XLOOKUP(FME_Ranking1[[#This Row],[FME ID]],FME_Input[FME_ID],FME_Input[RFPG_NUM])</f>
        <v>10</v>
      </c>
      <c r="C2127" t="str">
        <f>_xlfn.XLOOKUP(FME_Ranking1[[#This Row],[FME ID]],FME_Input[FME_ID],FME_Input[FME_NAME])</f>
        <v>Lake Junction Dredging</v>
      </c>
      <c r="D2127" t="str">
        <f>_xlfn.XLOOKUP(FME_Ranking1[[#This Row],[FME ID]],FME_Input[FME_ID],FME_Input[DESCR])</f>
        <v>Dredge Lake Junction</v>
      </c>
      <c r="E2127" s="256">
        <f>_xlfn.XLOOKUP(FME_Ranking1[[#This Row],[FME ID]],FME_Input[FME_ID],FME_Input[FME_COST])</f>
        <v>50000</v>
      </c>
      <c r="F2127" t="str">
        <f>_xlfn.XLOOKUP(FME_Ranking1[[#This Row],[FME ID]],FME_Input[FME_ID],FME_Input[EMER_NEED])</f>
        <v>No</v>
      </c>
      <c r="G2127">
        <f>IF(FME_Ranking!F2127="Yes",100,0)</f>
        <v>0</v>
      </c>
      <c r="H2127">
        <f>FME_Ranking1[[#This Row],[Emergency Need Score (Normalized, Unweighted)]]*$F$3</f>
        <v>0</v>
      </c>
      <c r="I2127" s="246">
        <f>_xlfn.XLOOKUP(FME_Ranking1[[#This Row],[FME ID]],FME_Input[FME_ID],FME_Input[STRUCT_100])</f>
        <v>0</v>
      </c>
      <c r="J2127" s="178">
        <f>(FME_Ranking1[[#This Row],[Structures 100 Raw]]/I$2)*100</f>
        <v>0</v>
      </c>
      <c r="K2127" s="178">
        <f>FME_Ranking1[[#This Row],[Structures 100  Score (Normalized, Unweighted)]]*$I$3</f>
        <v>0</v>
      </c>
      <c r="L2127" s="246">
        <f>_xlfn.XLOOKUP(FME_Ranking1[[#This Row],[FME ID]],FME_Input[FME_ID],FME_Input[RES_STRUCT100])</f>
        <v>0</v>
      </c>
      <c r="M2127" s="230">
        <f>(FME_Ranking1[[#This Row],[Res Structures Raw]]/L$2)*100</f>
        <v>0</v>
      </c>
      <c r="N2127" s="180">
        <f>FME_Ranking1[[#This Row],[Res Structures Score (Normalized, Unweighted)]]*$L$3</f>
        <v>0</v>
      </c>
      <c r="O2127" s="244">
        <f>_xlfn.XLOOKUP(FME_Ranking1[[#This Row],[FME ID]],FME_Input[FME_ID],FME_Input[POP100])</f>
        <v>0</v>
      </c>
      <c r="P2127" s="178">
        <f>(FME_Ranking1[[#This Row],[Pop Raw]]/$O$2)*100</f>
        <v>0</v>
      </c>
      <c r="Q2127" s="178">
        <f>FME_Ranking1[[#This Row],[Pop Score (Normalized, Unweighted)]]*$O$3</f>
        <v>0</v>
      </c>
      <c r="R2127" s="137">
        <f>_xlfn.XLOOKUP(FME_Ranking1[[#This Row],[FME ID]],FME_Input[FME_ID],FME_Input[CRITFAC100])</f>
        <v>0</v>
      </c>
      <c r="S2127" s="230">
        <f>(FME_Ranking1[[#This Row],[Critical Facilities Raw]]/$R$2)*100</f>
        <v>0</v>
      </c>
      <c r="T2127" s="180">
        <f>FME_Ranking1[[#This Row],[Critical Facilities Score (Normalized, Unweighted)]]*$R$3</f>
        <v>0</v>
      </c>
      <c r="U2127">
        <f>_xlfn.XLOOKUP(FME_Ranking1[[#This Row],[FME ID]],FME_Input[FME_ID],FME_Input[LWC])</f>
        <v>0</v>
      </c>
      <c r="V2127" s="178">
        <f>(FME_Ranking1[[#This Row],[LWC Raw]]/$U$2)*100</f>
        <v>0</v>
      </c>
      <c r="W2127" s="178">
        <f>FME_Ranking1[[#This Row],[LWC Score (Normalized, Unweighted)]]*$U$3</f>
        <v>0</v>
      </c>
      <c r="X2127" s="246">
        <f>_xlfn.XLOOKUP(FME_Ranking1[[#This Row],[FME ID]],FME_Input[FME_ID],FME_Input[ROADCLS])</f>
        <v>0</v>
      </c>
      <c r="Y2127" s="230">
        <f>(FME_Ranking1[[#This Row],[Closures Raw]]/$X$2)*100</f>
        <v>0</v>
      </c>
      <c r="Z2127" s="180">
        <f>FME_Ranking1[[#This Row],[Closures Score (Normalized, Unweighted)]]*$X$3</f>
        <v>0</v>
      </c>
      <c r="AA2127" s="253">
        <f>_xlfn.XLOOKUP(FME_Ranking1[[#This Row],[FME ID]],FME_Input[FME_ID],FME_Input[ROAD_MILES100])</f>
        <v>0</v>
      </c>
      <c r="AB2127" s="178">
        <f>(FME_Ranking1[[#This Row],[Miles Raw]]/$AA$2)*100</f>
        <v>0</v>
      </c>
      <c r="AC2127" s="178">
        <f>FME_Ranking1[[#This Row],[Miles Score (Normalized, Unweighted)]]*$AA$3</f>
        <v>0</v>
      </c>
      <c r="AD2127" s="255">
        <f>_xlfn.XLOOKUP(FME_Ranking1[[#This Row],[FME ID]],FME_Input[FME_ID],FME_Input[FARMACRE100])</f>
        <v>14.472498893737789</v>
      </c>
      <c r="AE2127" s="230">
        <f>(FME_Ranking1[[#This Row],[Ag Land Raw]]/$AD$2)*100</f>
        <v>5.9678106818305307E-4</v>
      </c>
      <c r="AF2127" s="231">
        <f>FME_Ranking1[[#This Row],[Ag Land Score (Normalized, Unweighted)]]*$AD$3</f>
        <v>2.9839053409152653E-5</v>
      </c>
      <c r="AG212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2.9839053409152653E-5</v>
      </c>
      <c r="AH2127" s="406">
        <f t="shared" si="33"/>
        <v>2157</v>
      </c>
      <c r="AI212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2.9839053409152653E-5</v>
      </c>
      <c r="AJ2127" s="257">
        <f>FME_Ranking1[[#This Row],[Addition check]]-FME_Ranking1[[#This Row],[Weighted Score Based on Normalized Reported Factors]]</f>
        <v>0</v>
      </c>
      <c r="AK2127" s="178">
        <f>_xlfn.RANK.EQ(AI2127,$AI$6:$AI$2341,0)+COUNTIF($AI$6:AI2127,AI2127)-1</f>
        <v>2157</v>
      </c>
    </row>
    <row r="2128" spans="1:37" x14ac:dyDescent="0.25">
      <c r="A2128" t="s">
        <v>388</v>
      </c>
      <c r="B2128">
        <f>_xlfn.XLOOKUP(FME_Ranking1[[#This Row],[FME ID]],FME_Input[FME_ID],FME_Input[RFPG_NUM])</f>
        <v>10</v>
      </c>
      <c r="C2128" t="str">
        <f>_xlfn.XLOOKUP(FME_Ranking1[[#This Row],[FME ID]],FME_Input[FME_ID],FME_Input[FME_NAME])</f>
        <v>Palmetto Bend Spillway</v>
      </c>
      <c r="D2128" t="str">
        <f>_xlfn.XLOOKUP(FME_Ranking1[[#This Row],[FME ID]],FME_Input[FME_ID],FME_Input[DESCR])</f>
        <v>Emergency Stop Log Deployment System</v>
      </c>
      <c r="E2128" s="256">
        <f>_xlfn.XLOOKUP(FME_Ranking1[[#This Row],[FME ID]],FME_Input[FME_ID],FME_Input[FME_COST])</f>
        <v>250000</v>
      </c>
      <c r="F2128" t="str">
        <f>_xlfn.XLOOKUP(FME_Ranking1[[#This Row],[FME ID]],FME_Input[FME_ID],FME_Input[EMER_NEED])</f>
        <v>No</v>
      </c>
      <c r="G2128">
        <f>IF(FME_Ranking!F2128="Yes",100,0)</f>
        <v>0</v>
      </c>
      <c r="H2128">
        <f>FME_Ranking1[[#This Row],[Emergency Need Score (Normalized, Unweighted)]]*$F$3</f>
        <v>0</v>
      </c>
      <c r="I2128" s="246">
        <f>_xlfn.XLOOKUP(FME_Ranking1[[#This Row],[FME ID]],FME_Input[FME_ID],FME_Input[STRUCT_100])</f>
        <v>0</v>
      </c>
      <c r="J2128" s="178">
        <f>(FME_Ranking1[[#This Row],[Structures 100 Raw]]/I$2)*100</f>
        <v>0</v>
      </c>
      <c r="K2128" s="178">
        <f>FME_Ranking1[[#This Row],[Structures 100  Score (Normalized, Unweighted)]]*$I$3</f>
        <v>0</v>
      </c>
      <c r="L2128" s="246">
        <f>_xlfn.XLOOKUP(FME_Ranking1[[#This Row],[FME ID]],FME_Input[FME_ID],FME_Input[RES_STRUCT100])</f>
        <v>0</v>
      </c>
      <c r="M2128" s="230">
        <f>(FME_Ranking1[[#This Row],[Res Structures Raw]]/L$2)*100</f>
        <v>0</v>
      </c>
      <c r="N2128" s="180">
        <f>FME_Ranking1[[#This Row],[Res Structures Score (Normalized, Unweighted)]]*$L$3</f>
        <v>0</v>
      </c>
      <c r="O2128" s="244">
        <f>_xlfn.XLOOKUP(FME_Ranking1[[#This Row],[FME ID]],FME_Input[FME_ID],FME_Input[POP100])</f>
        <v>0</v>
      </c>
      <c r="P2128" s="178">
        <f>(FME_Ranking1[[#This Row],[Pop Raw]]/$O$2)*100</f>
        <v>0</v>
      </c>
      <c r="Q2128" s="178">
        <f>FME_Ranking1[[#This Row],[Pop Score (Normalized, Unweighted)]]*$O$3</f>
        <v>0</v>
      </c>
      <c r="R2128" s="137">
        <f>_xlfn.XLOOKUP(FME_Ranking1[[#This Row],[FME ID]],FME_Input[FME_ID],FME_Input[CRITFAC100])</f>
        <v>0</v>
      </c>
      <c r="S2128" s="230">
        <f>(FME_Ranking1[[#This Row],[Critical Facilities Raw]]/$R$2)*100</f>
        <v>0</v>
      </c>
      <c r="T2128" s="180">
        <f>FME_Ranking1[[#This Row],[Critical Facilities Score (Normalized, Unweighted)]]*$R$3</f>
        <v>0</v>
      </c>
      <c r="U2128">
        <f>_xlfn.XLOOKUP(FME_Ranking1[[#This Row],[FME ID]],FME_Input[FME_ID],FME_Input[LWC])</f>
        <v>0</v>
      </c>
      <c r="V2128" s="178">
        <f>(FME_Ranking1[[#This Row],[LWC Raw]]/$U$2)*100</f>
        <v>0</v>
      </c>
      <c r="W2128" s="178">
        <f>FME_Ranking1[[#This Row],[LWC Score (Normalized, Unweighted)]]*$U$3</f>
        <v>0</v>
      </c>
      <c r="X2128" s="246">
        <f>_xlfn.XLOOKUP(FME_Ranking1[[#This Row],[FME ID]],FME_Input[FME_ID],FME_Input[ROADCLS])</f>
        <v>0</v>
      </c>
      <c r="Y2128" s="230">
        <f>(FME_Ranking1[[#This Row],[Closures Raw]]/$X$2)*100</f>
        <v>0</v>
      </c>
      <c r="Z2128" s="180">
        <f>FME_Ranking1[[#This Row],[Closures Score (Normalized, Unweighted)]]*$X$3</f>
        <v>0</v>
      </c>
      <c r="AA2128" s="253">
        <f>_xlfn.XLOOKUP(FME_Ranking1[[#This Row],[FME ID]],FME_Input[FME_ID],FME_Input[ROAD_MILES100])</f>
        <v>9.790058434009552E-2</v>
      </c>
      <c r="AB2128" s="178">
        <f>(FME_Ranking1[[#This Row],[Miles Raw]]/$AA$2)*100</f>
        <v>1.2872170911308455E-3</v>
      </c>
      <c r="AC2128" s="178">
        <f>FME_Ranking1[[#This Row],[Miles Score (Normalized, Unweighted)]]*$AA$3</f>
        <v>1.2872170911308457E-4</v>
      </c>
      <c r="AD2128" s="255">
        <f>_xlfn.XLOOKUP(FME_Ranking1[[#This Row],[FME ID]],FME_Input[FME_ID],FME_Input[FARMACRE100])</f>
        <v>13.34261512756348</v>
      </c>
      <c r="AE2128" s="230">
        <f>(FME_Ranking1[[#This Row],[Ag Land Raw]]/$AD$2)*100</f>
        <v>5.5018971959487249E-4</v>
      </c>
      <c r="AF2128" s="231">
        <f>FME_Ranking1[[#This Row],[Ag Land Score (Normalized, Unweighted)]]*$AD$3</f>
        <v>2.7509485979743627E-5</v>
      </c>
      <c r="AG212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1.5623119509282818E-4</v>
      </c>
      <c r="AH2128" s="406">
        <f t="shared" si="33"/>
        <v>2134</v>
      </c>
      <c r="AI212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1.5623119509282818E-4</v>
      </c>
      <c r="AJ2128" s="257">
        <f>FME_Ranking1[[#This Row],[Addition check]]-FME_Ranking1[[#This Row],[Weighted Score Based on Normalized Reported Factors]]</f>
        <v>0</v>
      </c>
      <c r="AK2128" s="178">
        <f>_xlfn.RANK.EQ(AI2128,$AI$6:$AI$2341,0)+COUNTIF($AI$6:AI2128,AI2128)-1</f>
        <v>2134</v>
      </c>
    </row>
    <row r="2129" spans="1:37" x14ac:dyDescent="0.25">
      <c r="A2129" t="s">
        <v>10387</v>
      </c>
      <c r="B2129">
        <f>_xlfn.XLOOKUP(FME_Ranking1[[#This Row],[FME ID]],FME_Input[FME_ID],FME_Input[RFPG_NUM])</f>
        <v>13</v>
      </c>
      <c r="C2129" t="str">
        <f>_xlfn.XLOOKUP(FME_Ranking1[[#This Row],[FME ID]],FME_Input[FME_ID],FME_Input[FME_NAME])</f>
        <v>Wesley Seale Dam Inspection</v>
      </c>
      <c r="D2129" t="str">
        <f>_xlfn.XLOOKUP(FME_Ranking1[[#This Row],[FME ID]],FME_Input[FME_ID],FME_Input[DESCR])</f>
        <v>This project is for the detailed inspection of the Wesley Seale Dam structure and system components.</v>
      </c>
      <c r="E2129" s="256">
        <f>_xlfn.XLOOKUP(FME_Ranking1[[#This Row],[FME ID]],FME_Input[FME_ID],FME_Input[FME_COST])</f>
        <v>375000</v>
      </c>
      <c r="F2129" t="str">
        <f>_xlfn.XLOOKUP(FME_Ranking1[[#This Row],[FME ID]],FME_Input[FME_ID],FME_Input[EMER_NEED])</f>
        <v>Yes</v>
      </c>
      <c r="G2129">
        <f>IF(FME_Ranking!F2129="Yes",100,0)</f>
        <v>100</v>
      </c>
      <c r="H2129">
        <f>FME_Ranking1[[#This Row],[Emergency Need Score (Normalized, Unweighted)]]*$F$3</f>
        <v>0</v>
      </c>
      <c r="I2129" s="246">
        <f>_xlfn.XLOOKUP(FME_Ranking1[[#This Row],[FME ID]],FME_Input[FME_ID],FME_Input[STRUCT_100])</f>
        <v>0</v>
      </c>
      <c r="J2129" s="178">
        <f>(FME_Ranking1[[#This Row],[Structures 100 Raw]]/I$2)*100</f>
        <v>0</v>
      </c>
      <c r="K2129" s="178">
        <f>FME_Ranking1[[#This Row],[Structures 100  Score (Normalized, Unweighted)]]*$I$3</f>
        <v>0</v>
      </c>
      <c r="L2129" s="246">
        <f>_xlfn.XLOOKUP(FME_Ranking1[[#This Row],[FME ID]],FME_Input[FME_ID],FME_Input[RES_STRUCT100])</f>
        <v>0</v>
      </c>
      <c r="M2129" s="230">
        <f>(FME_Ranking1[[#This Row],[Res Structures Raw]]/L$2)*100</f>
        <v>0</v>
      </c>
      <c r="N2129" s="180">
        <f>FME_Ranking1[[#This Row],[Res Structures Score (Normalized, Unweighted)]]*$L$3</f>
        <v>0</v>
      </c>
      <c r="O2129" s="244">
        <f>_xlfn.XLOOKUP(FME_Ranking1[[#This Row],[FME ID]],FME_Input[FME_ID],FME_Input[POP100])</f>
        <v>0</v>
      </c>
      <c r="P2129" s="178">
        <f>(FME_Ranking1[[#This Row],[Pop Raw]]/$O$2)*100</f>
        <v>0</v>
      </c>
      <c r="Q2129" s="178">
        <f>FME_Ranking1[[#This Row],[Pop Score (Normalized, Unweighted)]]*$O$3</f>
        <v>0</v>
      </c>
      <c r="R2129" s="137">
        <f>_xlfn.XLOOKUP(FME_Ranking1[[#This Row],[FME ID]],FME_Input[FME_ID],FME_Input[CRITFAC100])</f>
        <v>0</v>
      </c>
      <c r="S2129" s="230">
        <f>(FME_Ranking1[[#This Row],[Critical Facilities Raw]]/$R$2)*100</f>
        <v>0</v>
      </c>
      <c r="T2129" s="180">
        <f>FME_Ranking1[[#This Row],[Critical Facilities Score (Normalized, Unweighted)]]*$R$3</f>
        <v>0</v>
      </c>
      <c r="U2129">
        <f>_xlfn.XLOOKUP(FME_Ranking1[[#This Row],[FME ID]],FME_Input[FME_ID],FME_Input[LWC])</f>
        <v>0</v>
      </c>
      <c r="V2129" s="178">
        <f>(FME_Ranking1[[#This Row],[LWC Raw]]/$U$2)*100</f>
        <v>0</v>
      </c>
      <c r="W2129" s="178">
        <f>FME_Ranking1[[#This Row],[LWC Score (Normalized, Unweighted)]]*$U$3</f>
        <v>0</v>
      </c>
      <c r="X2129" s="246">
        <f>_xlfn.XLOOKUP(FME_Ranking1[[#This Row],[FME ID]],FME_Input[FME_ID],FME_Input[ROADCLS])</f>
        <v>0</v>
      </c>
      <c r="Y2129" s="230">
        <f>(FME_Ranking1[[#This Row],[Closures Raw]]/$X$2)*100</f>
        <v>0</v>
      </c>
      <c r="Z2129" s="180">
        <f>FME_Ranking1[[#This Row],[Closures Score (Normalized, Unweighted)]]*$X$3</f>
        <v>0</v>
      </c>
      <c r="AA2129" s="253">
        <f>_xlfn.XLOOKUP(FME_Ranking1[[#This Row],[FME ID]],FME_Input[FME_ID],FME_Input[ROAD_MILES100])</f>
        <v>0</v>
      </c>
      <c r="AB2129" s="178">
        <f>(FME_Ranking1[[#This Row],[Miles Raw]]/$AA$2)*100</f>
        <v>0</v>
      </c>
      <c r="AC2129" s="178">
        <f>FME_Ranking1[[#This Row],[Miles Score (Normalized, Unweighted)]]*$AA$3</f>
        <v>0</v>
      </c>
      <c r="AD2129" s="255">
        <f>_xlfn.XLOOKUP(FME_Ranking1[[#This Row],[FME ID]],FME_Input[FME_ID],FME_Input[FARMACRE100])</f>
        <v>10.033175468444821</v>
      </c>
      <c r="AE2129" s="230">
        <f>(FME_Ranking1[[#This Row],[Ag Land Raw]]/$AD$2)*100</f>
        <v>4.1372324277166303E-4</v>
      </c>
      <c r="AF2129" s="231">
        <f>FME_Ranking1[[#This Row],[Ag Land Score (Normalized, Unweighted)]]*$AD$3</f>
        <v>2.0686162138583153E-5</v>
      </c>
      <c r="AG212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2.0686162138583153E-5</v>
      </c>
      <c r="AH2129" s="406">
        <f t="shared" si="33"/>
        <v>2159</v>
      </c>
      <c r="AI212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2.0686162138583153E-5</v>
      </c>
      <c r="AJ2129" s="257">
        <f>FME_Ranking1[[#This Row],[Addition check]]-FME_Ranking1[[#This Row],[Weighted Score Based on Normalized Reported Factors]]</f>
        <v>0</v>
      </c>
      <c r="AK2129" s="178">
        <f>_xlfn.RANK.EQ(AI2129,$AI$6:$AI$2341,0)+COUNTIF($AI$6:AI2129,AI2129)-1</f>
        <v>2159</v>
      </c>
    </row>
    <row r="2130" spans="1:37" x14ac:dyDescent="0.25">
      <c r="A2130" t="s">
        <v>10764</v>
      </c>
      <c r="B2130">
        <f>_xlfn.XLOOKUP(FME_Ranking1[[#This Row],[FME ID]],FME_Input[FME_ID],FME_Input[RFPG_NUM])</f>
        <v>13</v>
      </c>
      <c r="C2130" t="str">
        <f>_xlfn.XLOOKUP(FME_Ranking1[[#This Row],[FME ID]],FME_Input[FME_ID],FME_Input[FME_NAME])</f>
        <v>Expanding Drainage System to Newly Developed Areas</v>
      </c>
      <c r="D2130" t="str">
        <f>_xlfn.XLOOKUP(FME_Ranking1[[#This Row],[FME ID]],FME_Input[FME_ID],FME_Input[DESCR])</f>
        <v>Expanding the citywide drainage system to include the newly developed residential areas</v>
      </c>
      <c r="E2130" s="256">
        <f>_xlfn.XLOOKUP(FME_Ranking1[[#This Row],[FME ID]],FME_Input[FME_ID],FME_Input[FME_COST])</f>
        <v>150000</v>
      </c>
      <c r="F2130" t="str">
        <f>_xlfn.XLOOKUP(FME_Ranking1[[#This Row],[FME ID]],FME_Input[FME_ID],FME_Input[EMER_NEED])</f>
        <v>Yes</v>
      </c>
      <c r="G2130">
        <f>IF(FME_Ranking!F2130="Yes",100,0)</f>
        <v>100</v>
      </c>
      <c r="H2130">
        <f>FME_Ranking1[[#This Row],[Emergency Need Score (Normalized, Unweighted)]]*$F$3</f>
        <v>0</v>
      </c>
      <c r="I2130" s="246">
        <f>_xlfn.XLOOKUP(FME_Ranking1[[#This Row],[FME ID]],FME_Input[FME_ID],FME_Input[STRUCT_100])</f>
        <v>0</v>
      </c>
      <c r="J2130" s="178">
        <f>(FME_Ranking1[[#This Row],[Structures 100 Raw]]/I$2)*100</f>
        <v>0</v>
      </c>
      <c r="K2130" s="178">
        <f>FME_Ranking1[[#This Row],[Structures 100  Score (Normalized, Unweighted)]]*$I$3</f>
        <v>0</v>
      </c>
      <c r="L2130" s="246">
        <f>_xlfn.XLOOKUP(FME_Ranking1[[#This Row],[FME ID]],FME_Input[FME_ID],FME_Input[RES_STRUCT100])</f>
        <v>0</v>
      </c>
      <c r="M2130" s="230">
        <f>(FME_Ranking1[[#This Row],[Res Structures Raw]]/L$2)*100</f>
        <v>0</v>
      </c>
      <c r="N2130" s="180">
        <f>FME_Ranking1[[#This Row],[Res Structures Score (Normalized, Unweighted)]]*$L$3</f>
        <v>0</v>
      </c>
      <c r="O2130" s="244">
        <f>_xlfn.XLOOKUP(FME_Ranking1[[#This Row],[FME ID]],FME_Input[FME_ID],FME_Input[POP100])</f>
        <v>0</v>
      </c>
      <c r="P2130" s="178">
        <f>(FME_Ranking1[[#This Row],[Pop Raw]]/$O$2)*100</f>
        <v>0</v>
      </c>
      <c r="Q2130" s="178">
        <f>FME_Ranking1[[#This Row],[Pop Score (Normalized, Unweighted)]]*$O$3</f>
        <v>0</v>
      </c>
      <c r="R2130" s="137">
        <f>_xlfn.XLOOKUP(FME_Ranking1[[#This Row],[FME ID]],FME_Input[FME_ID],FME_Input[CRITFAC100])</f>
        <v>0</v>
      </c>
      <c r="S2130" s="230">
        <f>(FME_Ranking1[[#This Row],[Critical Facilities Raw]]/$R$2)*100</f>
        <v>0</v>
      </c>
      <c r="T2130" s="180">
        <f>FME_Ranking1[[#This Row],[Critical Facilities Score (Normalized, Unweighted)]]*$R$3</f>
        <v>0</v>
      </c>
      <c r="U2130">
        <f>_xlfn.XLOOKUP(FME_Ranking1[[#This Row],[FME ID]],FME_Input[FME_ID],FME_Input[LWC])</f>
        <v>0</v>
      </c>
      <c r="V2130" s="178">
        <f>(FME_Ranking1[[#This Row],[LWC Raw]]/$U$2)*100</f>
        <v>0</v>
      </c>
      <c r="W2130" s="178">
        <f>FME_Ranking1[[#This Row],[LWC Score (Normalized, Unweighted)]]*$U$3</f>
        <v>0</v>
      </c>
      <c r="X2130" s="246">
        <f>_xlfn.XLOOKUP(FME_Ranking1[[#This Row],[FME ID]],FME_Input[FME_ID],FME_Input[ROADCLS])</f>
        <v>0</v>
      </c>
      <c r="Y2130" s="230">
        <f>(FME_Ranking1[[#This Row],[Closures Raw]]/$X$2)*100</f>
        <v>0</v>
      </c>
      <c r="Z2130" s="180">
        <f>FME_Ranking1[[#This Row],[Closures Score (Normalized, Unweighted)]]*$X$3</f>
        <v>0</v>
      </c>
      <c r="AA2130" s="253">
        <f>_xlfn.XLOOKUP(FME_Ranking1[[#This Row],[FME ID]],FME_Input[FME_ID],FME_Input[ROAD_MILES100])</f>
        <v>0</v>
      </c>
      <c r="AB2130" s="178">
        <f>(FME_Ranking1[[#This Row],[Miles Raw]]/$AA$2)*100</f>
        <v>0</v>
      </c>
      <c r="AC2130" s="178">
        <f>FME_Ranking1[[#This Row],[Miles Score (Normalized, Unweighted)]]*$AA$3</f>
        <v>0</v>
      </c>
      <c r="AD2130" s="255">
        <f>_xlfn.XLOOKUP(FME_Ranking1[[#This Row],[FME ID]],FME_Input[FME_ID],FME_Input[FARMACRE100])</f>
        <v>9.4151277542114258</v>
      </c>
      <c r="AE2130" s="230">
        <f>(FME_Ranking1[[#This Row],[Ag Land Raw]]/$AD$2)*100</f>
        <v>3.882377217295509E-4</v>
      </c>
      <c r="AF2130" s="231">
        <f>FME_Ranking1[[#This Row],[Ag Land Score (Normalized, Unweighted)]]*$AD$3</f>
        <v>1.9411886086477545E-5</v>
      </c>
      <c r="AG213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1.9411886086477545E-5</v>
      </c>
      <c r="AH2130" s="406">
        <f t="shared" si="33"/>
        <v>2160</v>
      </c>
      <c r="AI213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1.9411886086477545E-5</v>
      </c>
      <c r="AJ2130" s="257">
        <f>FME_Ranking1[[#This Row],[Addition check]]-FME_Ranking1[[#This Row],[Weighted Score Based on Normalized Reported Factors]]</f>
        <v>0</v>
      </c>
      <c r="AK2130" s="178">
        <f>_xlfn.RANK.EQ(AI2130,$AI$6:$AI$2341,0)+COUNTIF($AI$6:AI2130,AI2130)-1</f>
        <v>2160</v>
      </c>
    </row>
    <row r="2131" spans="1:37" x14ac:dyDescent="0.25">
      <c r="A2131" t="s">
        <v>10500</v>
      </c>
      <c r="B2131">
        <f>_xlfn.XLOOKUP(FME_Ranking1[[#This Row],[FME ID]],FME_Input[FME_ID],FME_Input[RFPG_NUM])</f>
        <v>13</v>
      </c>
      <c r="C2131" t="str">
        <f>_xlfn.XLOOKUP(FME_Ranking1[[#This Row],[FME ID]],FME_Input[FME_ID],FME_Input[FME_NAME])</f>
        <v xml:space="preserve">County Road 6- North Carreta Creek Drainage Improvements </v>
      </c>
      <c r="D2131" t="str">
        <f>_xlfn.XLOOKUP(FME_Ranking1[[#This Row],[FME ID]],FME_Input[FME_ID],FME_Input[DESCR])</f>
        <v>Restoration project to bring this section of North Carreta creek (located between CR6 and Meadowbrook Road) back to its original elevation as built by USDA Soil Conservation Service in 1960.  Located in Bishop, TX.</v>
      </c>
      <c r="E2131" s="256">
        <f>_xlfn.XLOOKUP(FME_Ranking1[[#This Row],[FME ID]],FME_Input[FME_ID],FME_Input[FME_COST])</f>
        <v>100000</v>
      </c>
      <c r="F2131" t="str">
        <f>_xlfn.XLOOKUP(FME_Ranking1[[#This Row],[FME ID]],FME_Input[FME_ID],FME_Input[EMER_NEED])</f>
        <v>Yes</v>
      </c>
      <c r="G2131">
        <f>IF(FME_Ranking!F2131="Yes",100,0)</f>
        <v>100</v>
      </c>
      <c r="H2131">
        <f>FME_Ranking1[[#This Row],[Emergency Need Score (Normalized, Unweighted)]]*$F$3</f>
        <v>0</v>
      </c>
      <c r="I2131" s="246">
        <f>_xlfn.XLOOKUP(FME_Ranking1[[#This Row],[FME ID]],FME_Input[FME_ID],FME_Input[STRUCT_100])</f>
        <v>0</v>
      </c>
      <c r="J2131" s="178">
        <f>(FME_Ranking1[[#This Row],[Structures 100 Raw]]/I$2)*100</f>
        <v>0</v>
      </c>
      <c r="K2131" s="178">
        <f>FME_Ranking1[[#This Row],[Structures 100  Score (Normalized, Unweighted)]]*$I$3</f>
        <v>0</v>
      </c>
      <c r="L2131" s="246">
        <f>_xlfn.XLOOKUP(FME_Ranking1[[#This Row],[FME ID]],FME_Input[FME_ID],FME_Input[RES_STRUCT100])</f>
        <v>0</v>
      </c>
      <c r="M2131" s="230">
        <f>(FME_Ranking1[[#This Row],[Res Structures Raw]]/L$2)*100</f>
        <v>0</v>
      </c>
      <c r="N2131" s="180">
        <f>FME_Ranking1[[#This Row],[Res Structures Score (Normalized, Unweighted)]]*$L$3</f>
        <v>0</v>
      </c>
      <c r="O2131" s="244">
        <f>_xlfn.XLOOKUP(FME_Ranking1[[#This Row],[FME ID]],FME_Input[FME_ID],FME_Input[POP100])</f>
        <v>0</v>
      </c>
      <c r="P2131" s="178">
        <f>(FME_Ranking1[[#This Row],[Pop Raw]]/$O$2)*100</f>
        <v>0</v>
      </c>
      <c r="Q2131" s="178">
        <f>FME_Ranking1[[#This Row],[Pop Score (Normalized, Unweighted)]]*$O$3</f>
        <v>0</v>
      </c>
      <c r="R2131" s="137">
        <f>_xlfn.XLOOKUP(FME_Ranking1[[#This Row],[FME ID]],FME_Input[FME_ID],FME_Input[CRITFAC100])</f>
        <v>0</v>
      </c>
      <c r="S2131" s="230">
        <f>(FME_Ranking1[[#This Row],[Critical Facilities Raw]]/$R$2)*100</f>
        <v>0</v>
      </c>
      <c r="T2131" s="180">
        <f>FME_Ranking1[[#This Row],[Critical Facilities Score (Normalized, Unweighted)]]*$R$3</f>
        <v>0</v>
      </c>
      <c r="U2131">
        <f>_xlfn.XLOOKUP(FME_Ranking1[[#This Row],[FME ID]],FME_Input[FME_ID],FME_Input[LWC])</f>
        <v>0</v>
      </c>
      <c r="V2131" s="178">
        <f>(FME_Ranking1[[#This Row],[LWC Raw]]/$U$2)*100</f>
        <v>0</v>
      </c>
      <c r="W2131" s="178">
        <f>FME_Ranking1[[#This Row],[LWC Score (Normalized, Unweighted)]]*$U$3</f>
        <v>0</v>
      </c>
      <c r="X2131" s="246">
        <f>_xlfn.XLOOKUP(FME_Ranking1[[#This Row],[FME ID]],FME_Input[FME_ID],FME_Input[ROADCLS])</f>
        <v>0</v>
      </c>
      <c r="Y2131" s="230">
        <f>(FME_Ranking1[[#This Row],[Closures Raw]]/$X$2)*100</f>
        <v>0</v>
      </c>
      <c r="Z2131" s="180">
        <f>FME_Ranking1[[#This Row],[Closures Score (Normalized, Unweighted)]]*$X$3</f>
        <v>0</v>
      </c>
      <c r="AA2131" s="253">
        <f>_xlfn.XLOOKUP(FME_Ranking1[[#This Row],[FME ID]],FME_Input[FME_ID],FME_Input[ROAD_MILES100])</f>
        <v>0</v>
      </c>
      <c r="AB2131" s="178">
        <f>(FME_Ranking1[[#This Row],[Miles Raw]]/$AA$2)*100</f>
        <v>0</v>
      </c>
      <c r="AC2131" s="178">
        <f>FME_Ranking1[[#This Row],[Miles Score (Normalized, Unweighted)]]*$AA$3</f>
        <v>0</v>
      </c>
      <c r="AD2131" s="255">
        <f>_xlfn.XLOOKUP(FME_Ranking1[[#This Row],[FME ID]],FME_Input[FME_ID],FME_Input[FARMACRE100])</f>
        <v>8.8065958023071289</v>
      </c>
      <c r="AE2131" s="230">
        <f>(FME_Ranking1[[#This Row],[Ag Land Raw]]/$AD$2)*100</f>
        <v>3.6314458812854552E-4</v>
      </c>
      <c r="AF2131" s="231">
        <f>FME_Ranking1[[#This Row],[Ag Land Score (Normalized, Unweighted)]]*$AD$3</f>
        <v>1.8157229406427278E-5</v>
      </c>
      <c r="AG213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1.8157229406427278E-5</v>
      </c>
      <c r="AH2131" s="406">
        <f t="shared" si="33"/>
        <v>2162</v>
      </c>
      <c r="AI213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1.8157229406427278E-5</v>
      </c>
      <c r="AJ2131" s="257">
        <f>FME_Ranking1[[#This Row],[Addition check]]-FME_Ranking1[[#This Row],[Weighted Score Based on Normalized Reported Factors]]</f>
        <v>0</v>
      </c>
      <c r="AK2131" s="178">
        <f>_xlfn.RANK.EQ(AI2131,$AI$6:$AI$2341,0)+COUNTIF($AI$6:AI2131,AI2131)-1</f>
        <v>2162</v>
      </c>
    </row>
    <row r="2132" spans="1:37" x14ac:dyDescent="0.25">
      <c r="A2132" t="s">
        <v>398</v>
      </c>
      <c r="B2132">
        <f>_xlfn.XLOOKUP(FME_Ranking1[[#This Row],[FME ID]],FME_Input[FME_ID],FME_Input[RFPG_NUM])</f>
        <v>10</v>
      </c>
      <c r="C2132" t="str">
        <f>_xlfn.XLOOKUP(FME_Ranking1[[#This Row],[FME ID]],FME_Input[FME_ID],FME_Input[FME_NAME])</f>
        <v>Wastewater Treatment Plant Floodproofing</v>
      </c>
      <c r="D2132" t="str">
        <f>_xlfn.XLOOKUP(FME_Ranking1[[#This Row],[FME ID]],FME_Input[FME_ID],FME_Input[DESCR])</f>
        <v xml:space="preserve">Improve wastewater treatement plant to make it more flood resilient and improve treatment capacity and I&amp;I. </v>
      </c>
      <c r="E2132" s="256">
        <f>_xlfn.XLOOKUP(FME_Ranking1[[#This Row],[FME ID]],FME_Input[FME_ID],FME_Input[FME_COST])</f>
        <v>250000</v>
      </c>
      <c r="F2132" t="str">
        <f>_xlfn.XLOOKUP(FME_Ranking1[[#This Row],[FME ID]],FME_Input[FME_ID],FME_Input[EMER_NEED])</f>
        <v>No</v>
      </c>
      <c r="G2132">
        <f>IF(FME_Ranking!F2132="Yes",100,0)</f>
        <v>0</v>
      </c>
      <c r="H2132">
        <f>FME_Ranking1[[#This Row],[Emergency Need Score (Normalized, Unweighted)]]*$F$3</f>
        <v>0</v>
      </c>
      <c r="I2132" s="246">
        <f>_xlfn.XLOOKUP(FME_Ranking1[[#This Row],[FME ID]],FME_Input[FME_ID],FME_Input[STRUCT_100])</f>
        <v>0</v>
      </c>
      <c r="J2132" s="178">
        <f>(FME_Ranking1[[#This Row],[Structures 100 Raw]]/I$2)*100</f>
        <v>0</v>
      </c>
      <c r="K2132" s="178">
        <f>FME_Ranking1[[#This Row],[Structures 100  Score (Normalized, Unweighted)]]*$I$3</f>
        <v>0</v>
      </c>
      <c r="L2132" s="246">
        <f>_xlfn.XLOOKUP(FME_Ranking1[[#This Row],[FME ID]],FME_Input[FME_ID],FME_Input[RES_STRUCT100])</f>
        <v>0</v>
      </c>
      <c r="M2132" s="230">
        <f>(FME_Ranking1[[#This Row],[Res Structures Raw]]/L$2)*100</f>
        <v>0</v>
      </c>
      <c r="N2132" s="180">
        <f>FME_Ranking1[[#This Row],[Res Structures Score (Normalized, Unweighted)]]*$L$3</f>
        <v>0</v>
      </c>
      <c r="O2132" s="244">
        <f>_xlfn.XLOOKUP(FME_Ranking1[[#This Row],[FME ID]],FME_Input[FME_ID],FME_Input[POP100])</f>
        <v>0</v>
      </c>
      <c r="P2132" s="178">
        <f>(FME_Ranking1[[#This Row],[Pop Raw]]/$O$2)*100</f>
        <v>0</v>
      </c>
      <c r="Q2132" s="178">
        <f>FME_Ranking1[[#This Row],[Pop Score (Normalized, Unweighted)]]*$O$3</f>
        <v>0</v>
      </c>
      <c r="R2132" s="137">
        <f>_xlfn.XLOOKUP(FME_Ranking1[[#This Row],[FME ID]],FME_Input[FME_ID],FME_Input[CRITFAC100])</f>
        <v>0</v>
      </c>
      <c r="S2132" s="230">
        <f>(FME_Ranking1[[#This Row],[Critical Facilities Raw]]/$R$2)*100</f>
        <v>0</v>
      </c>
      <c r="T2132" s="180">
        <f>FME_Ranking1[[#This Row],[Critical Facilities Score (Normalized, Unweighted)]]*$R$3</f>
        <v>0</v>
      </c>
      <c r="U2132">
        <f>_xlfn.XLOOKUP(FME_Ranking1[[#This Row],[FME ID]],FME_Input[FME_ID],FME_Input[LWC])</f>
        <v>0</v>
      </c>
      <c r="V2132" s="178">
        <f>(FME_Ranking1[[#This Row],[LWC Raw]]/$U$2)*100</f>
        <v>0</v>
      </c>
      <c r="W2132" s="178">
        <f>FME_Ranking1[[#This Row],[LWC Score (Normalized, Unweighted)]]*$U$3</f>
        <v>0</v>
      </c>
      <c r="X2132" s="246">
        <f>_xlfn.XLOOKUP(FME_Ranking1[[#This Row],[FME ID]],FME_Input[FME_ID],FME_Input[ROADCLS])</f>
        <v>0</v>
      </c>
      <c r="Y2132" s="230">
        <f>(FME_Ranking1[[#This Row],[Closures Raw]]/$X$2)*100</f>
        <v>0</v>
      </c>
      <c r="Z2132" s="180">
        <f>FME_Ranking1[[#This Row],[Closures Score (Normalized, Unweighted)]]*$X$3</f>
        <v>0</v>
      </c>
      <c r="AA2132" s="253">
        <f>_xlfn.XLOOKUP(FME_Ranking1[[#This Row],[FME ID]],FME_Input[FME_ID],FME_Input[ROAD_MILES100])</f>
        <v>0</v>
      </c>
      <c r="AB2132" s="178">
        <f>(FME_Ranking1[[#This Row],[Miles Raw]]/$AA$2)*100</f>
        <v>0</v>
      </c>
      <c r="AC2132" s="178">
        <f>FME_Ranking1[[#This Row],[Miles Score (Normalized, Unweighted)]]*$AA$3</f>
        <v>0</v>
      </c>
      <c r="AD2132" s="255">
        <f>_xlfn.XLOOKUP(FME_Ranking1[[#This Row],[FME ID]],FME_Input[FME_ID],FME_Input[FARMACRE100])</f>
        <v>6.5806221961975098</v>
      </c>
      <c r="AE2132" s="230">
        <f>(FME_Ranking1[[#This Row],[Ag Land Raw]]/$AD$2)*100</f>
        <v>2.7135540119164521E-4</v>
      </c>
      <c r="AF2132" s="231">
        <f>FME_Ranking1[[#This Row],[Ag Land Score (Normalized, Unweighted)]]*$AD$3</f>
        <v>1.3567770059582261E-5</v>
      </c>
      <c r="AG213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1.3567770059582261E-5</v>
      </c>
      <c r="AH2132" s="406">
        <f t="shared" si="33"/>
        <v>2167</v>
      </c>
      <c r="AI213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1.3567770059582261E-5</v>
      </c>
      <c r="AJ2132" s="257">
        <f>FME_Ranking1[[#This Row],[Addition check]]-FME_Ranking1[[#This Row],[Weighted Score Based on Normalized Reported Factors]]</f>
        <v>0</v>
      </c>
      <c r="AK2132" s="178">
        <f>_xlfn.RANK.EQ(AI2132,$AI$6:$AI$2341,0)+COUNTIF($AI$6:AI2132,AI2132)-1</f>
        <v>2167</v>
      </c>
    </row>
    <row r="2133" spans="1:37" x14ac:dyDescent="0.25">
      <c r="A2133" t="s">
        <v>116</v>
      </c>
      <c r="B2133">
        <f>_xlfn.XLOOKUP(FME_Ranking1[[#This Row],[FME ID]],FME_Input[FME_ID],FME_Input[RFPG_NUM])</f>
        <v>10</v>
      </c>
      <c r="C2133" t="str">
        <f>_xlfn.XLOOKUP(FME_Ranking1[[#This Row],[FME ID]],FME_Input[FME_ID],FME_Input[FME_NAME])</f>
        <v>Caldwell Rd &amp; Wet Weather Creek</v>
      </c>
      <c r="D2133" t="str">
        <f>_xlfn.XLOOKUP(FME_Ranking1[[#This Row],[FME ID]],FME_Input[FME_ID],FME_Input[DESCR])</f>
        <v>LWC to Culvert Cast-in-place multi-box (2) culvert-bridge</v>
      </c>
      <c r="E2133" s="256">
        <f>_xlfn.XLOOKUP(FME_Ranking1[[#This Row],[FME ID]],FME_Input[FME_ID],FME_Input[FME_COST])</f>
        <v>100000</v>
      </c>
      <c r="F2133" t="str">
        <f>_xlfn.XLOOKUP(FME_Ranking1[[#This Row],[FME ID]],FME_Input[FME_ID],FME_Input[EMER_NEED])</f>
        <v>No</v>
      </c>
      <c r="G2133">
        <f>IF(FME_Ranking!F2133="Yes",100,0)</f>
        <v>0</v>
      </c>
      <c r="H2133">
        <f>FME_Ranking1[[#This Row],[Emergency Need Score (Normalized, Unweighted)]]*$F$3</f>
        <v>0</v>
      </c>
      <c r="I2133" s="246">
        <f>_xlfn.XLOOKUP(FME_Ranking1[[#This Row],[FME ID]],FME_Input[FME_ID],FME_Input[STRUCT_100])</f>
        <v>0</v>
      </c>
      <c r="J2133" s="178">
        <f>(FME_Ranking1[[#This Row],[Structures 100 Raw]]/I$2)*100</f>
        <v>0</v>
      </c>
      <c r="K2133" s="178">
        <f>FME_Ranking1[[#This Row],[Structures 100  Score (Normalized, Unweighted)]]*$I$3</f>
        <v>0</v>
      </c>
      <c r="L2133" s="246">
        <f>_xlfn.XLOOKUP(FME_Ranking1[[#This Row],[FME ID]],FME_Input[FME_ID],FME_Input[RES_STRUCT100])</f>
        <v>0</v>
      </c>
      <c r="M2133" s="230">
        <f>(FME_Ranking1[[#This Row],[Res Structures Raw]]/L$2)*100</f>
        <v>0</v>
      </c>
      <c r="N2133" s="180">
        <f>FME_Ranking1[[#This Row],[Res Structures Score (Normalized, Unweighted)]]*$L$3</f>
        <v>0</v>
      </c>
      <c r="O2133" s="244">
        <f>_xlfn.XLOOKUP(FME_Ranking1[[#This Row],[FME ID]],FME_Input[FME_ID],FME_Input[POP100])</f>
        <v>0</v>
      </c>
      <c r="P2133" s="178">
        <f>(FME_Ranking1[[#This Row],[Pop Raw]]/$O$2)*100</f>
        <v>0</v>
      </c>
      <c r="Q2133" s="178">
        <f>FME_Ranking1[[#This Row],[Pop Score (Normalized, Unweighted)]]*$O$3</f>
        <v>0</v>
      </c>
      <c r="R2133" s="137">
        <f>_xlfn.XLOOKUP(FME_Ranking1[[#This Row],[FME ID]],FME_Input[FME_ID],FME_Input[CRITFAC100])</f>
        <v>0</v>
      </c>
      <c r="S2133" s="230">
        <f>(FME_Ranking1[[#This Row],[Critical Facilities Raw]]/$R$2)*100</f>
        <v>0</v>
      </c>
      <c r="T2133" s="180">
        <f>FME_Ranking1[[#This Row],[Critical Facilities Score (Normalized, Unweighted)]]*$R$3</f>
        <v>0</v>
      </c>
      <c r="U2133">
        <f>_xlfn.XLOOKUP(FME_Ranking1[[#This Row],[FME ID]],FME_Input[FME_ID],FME_Input[LWC])</f>
        <v>0</v>
      </c>
      <c r="V2133" s="178">
        <f>(FME_Ranking1[[#This Row],[LWC Raw]]/$U$2)*100</f>
        <v>0</v>
      </c>
      <c r="W2133" s="178">
        <f>FME_Ranking1[[#This Row],[LWC Score (Normalized, Unweighted)]]*$U$3</f>
        <v>0</v>
      </c>
      <c r="X2133" s="246">
        <f>_xlfn.XLOOKUP(FME_Ranking1[[#This Row],[FME ID]],FME_Input[FME_ID],FME_Input[ROADCLS])</f>
        <v>0</v>
      </c>
      <c r="Y2133" s="230">
        <f>(FME_Ranking1[[#This Row],[Closures Raw]]/$X$2)*100</f>
        <v>0</v>
      </c>
      <c r="Z2133" s="180">
        <f>FME_Ranking1[[#This Row],[Closures Score (Normalized, Unweighted)]]*$X$3</f>
        <v>0</v>
      </c>
      <c r="AA2133" s="253">
        <f>_xlfn.XLOOKUP(FME_Ranking1[[#This Row],[FME ID]],FME_Input[FME_ID],FME_Input[ROAD_MILES100])</f>
        <v>5.6245230138301849E-2</v>
      </c>
      <c r="AB2133" s="178">
        <f>(FME_Ranking1[[#This Row],[Miles Raw]]/$AA$2)*100</f>
        <v>7.3952389576247175E-4</v>
      </c>
      <c r="AC2133" s="178">
        <f>FME_Ranking1[[#This Row],[Miles Score (Normalized, Unweighted)]]*$AA$3</f>
        <v>7.3952389576247183E-5</v>
      </c>
      <c r="AD2133" s="255">
        <f>_xlfn.XLOOKUP(FME_Ranking1[[#This Row],[FME ID]],FME_Input[FME_ID],FME_Input[FARMACRE100])</f>
        <v>6.5443086624145508</v>
      </c>
      <c r="AE2133" s="230">
        <f>(FME_Ranking1[[#This Row],[Ag Land Raw]]/$AD$2)*100</f>
        <v>2.6985799361610392E-4</v>
      </c>
      <c r="AF2133" s="231">
        <f>FME_Ranking1[[#This Row],[Ag Land Score (Normalized, Unweighted)]]*$AD$3</f>
        <v>1.3492899680805196E-5</v>
      </c>
      <c r="AG213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8.7445289257052379E-5</v>
      </c>
      <c r="AH2133" s="406">
        <f t="shared" si="33"/>
        <v>2145</v>
      </c>
      <c r="AI213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8.7445289257052379E-5</v>
      </c>
      <c r="AJ2133" s="257">
        <f>FME_Ranking1[[#This Row],[Addition check]]-FME_Ranking1[[#This Row],[Weighted Score Based on Normalized Reported Factors]]</f>
        <v>0</v>
      </c>
      <c r="AK2133" s="178">
        <f>_xlfn.RANK.EQ(AI2133,$AI$6:$AI$2341,0)+COUNTIF($AI$6:AI2133,AI2133)-1</f>
        <v>2145</v>
      </c>
    </row>
    <row r="2134" spans="1:37" x14ac:dyDescent="0.25">
      <c r="A2134" t="s">
        <v>139</v>
      </c>
      <c r="B2134">
        <f>_xlfn.XLOOKUP(FME_Ranking1[[#This Row],[FME ID]],FME_Input[FME_ID],FME_Input[RFPG_NUM])</f>
        <v>10</v>
      </c>
      <c r="C2134" t="str">
        <f>_xlfn.XLOOKUP(FME_Ranking1[[#This Row],[FME ID]],FME_Input[FME_ID],FME_Input[FME_NAME])</f>
        <v xml:space="preserve">Alum Creek - Tributary 8, Bowie Drive_x000D_
</v>
      </c>
      <c r="D2134" t="str">
        <f>_xlfn.XLOOKUP(FME_Ranking1[[#This Row],[FME ID]],FME_Input[FME_ID],FME_Input[DESCR])</f>
        <v>Replace CMPs with larger multi-box culvert</v>
      </c>
      <c r="E2134" s="256">
        <f>_xlfn.XLOOKUP(FME_Ranking1[[#This Row],[FME ID]],FME_Input[FME_ID],FME_Input[FME_COST])</f>
        <v>100000</v>
      </c>
      <c r="F2134" t="str">
        <f>_xlfn.XLOOKUP(FME_Ranking1[[#This Row],[FME ID]],FME_Input[FME_ID],FME_Input[EMER_NEED])</f>
        <v>No</v>
      </c>
      <c r="G2134">
        <f>IF(FME_Ranking!F2134="Yes",100,0)</f>
        <v>0</v>
      </c>
      <c r="H2134">
        <f>FME_Ranking1[[#This Row],[Emergency Need Score (Normalized, Unweighted)]]*$F$3</f>
        <v>0</v>
      </c>
      <c r="I2134" s="246">
        <f>_xlfn.XLOOKUP(FME_Ranking1[[#This Row],[FME ID]],FME_Input[FME_ID],FME_Input[STRUCT_100])</f>
        <v>0</v>
      </c>
      <c r="J2134" s="178">
        <f>(FME_Ranking1[[#This Row],[Structures 100 Raw]]/I$2)*100</f>
        <v>0</v>
      </c>
      <c r="K2134" s="178">
        <f>FME_Ranking1[[#This Row],[Structures 100  Score (Normalized, Unweighted)]]*$I$3</f>
        <v>0</v>
      </c>
      <c r="L2134" s="246">
        <f>_xlfn.XLOOKUP(FME_Ranking1[[#This Row],[FME ID]],FME_Input[FME_ID],FME_Input[RES_STRUCT100])</f>
        <v>0</v>
      </c>
      <c r="M2134" s="230">
        <f>(FME_Ranking1[[#This Row],[Res Structures Raw]]/L$2)*100</f>
        <v>0</v>
      </c>
      <c r="N2134" s="180">
        <f>FME_Ranking1[[#This Row],[Res Structures Score (Normalized, Unweighted)]]*$L$3</f>
        <v>0</v>
      </c>
      <c r="O2134" s="244">
        <f>_xlfn.XLOOKUP(FME_Ranking1[[#This Row],[FME ID]],FME_Input[FME_ID],FME_Input[POP100])</f>
        <v>0</v>
      </c>
      <c r="P2134" s="178">
        <f>(FME_Ranking1[[#This Row],[Pop Raw]]/$O$2)*100</f>
        <v>0</v>
      </c>
      <c r="Q2134" s="178">
        <f>FME_Ranking1[[#This Row],[Pop Score (Normalized, Unweighted)]]*$O$3</f>
        <v>0</v>
      </c>
      <c r="R2134" s="137">
        <f>_xlfn.XLOOKUP(FME_Ranking1[[#This Row],[FME ID]],FME_Input[FME_ID],FME_Input[CRITFAC100])</f>
        <v>0</v>
      </c>
      <c r="S2134" s="230">
        <f>(FME_Ranking1[[#This Row],[Critical Facilities Raw]]/$R$2)*100</f>
        <v>0</v>
      </c>
      <c r="T2134" s="180">
        <f>FME_Ranking1[[#This Row],[Critical Facilities Score (Normalized, Unweighted)]]*$R$3</f>
        <v>0</v>
      </c>
      <c r="U2134">
        <f>_xlfn.XLOOKUP(FME_Ranking1[[#This Row],[FME ID]],FME_Input[FME_ID],FME_Input[LWC])</f>
        <v>0</v>
      </c>
      <c r="V2134" s="178">
        <f>(FME_Ranking1[[#This Row],[LWC Raw]]/$U$2)*100</f>
        <v>0</v>
      </c>
      <c r="W2134" s="178">
        <f>FME_Ranking1[[#This Row],[LWC Score (Normalized, Unweighted)]]*$U$3</f>
        <v>0</v>
      </c>
      <c r="X2134" s="246">
        <f>_xlfn.XLOOKUP(FME_Ranking1[[#This Row],[FME ID]],FME_Input[FME_ID],FME_Input[ROADCLS])</f>
        <v>0</v>
      </c>
      <c r="Y2134" s="230">
        <f>(FME_Ranking1[[#This Row],[Closures Raw]]/$X$2)*100</f>
        <v>0</v>
      </c>
      <c r="Z2134" s="180">
        <f>FME_Ranking1[[#This Row],[Closures Score (Normalized, Unweighted)]]*$X$3</f>
        <v>0</v>
      </c>
      <c r="AA2134" s="253">
        <f>_xlfn.XLOOKUP(FME_Ranking1[[#This Row],[FME ID]],FME_Input[FME_ID],FME_Input[ROAD_MILES100])</f>
        <v>1.92900076508522E-2</v>
      </c>
      <c r="AB2134" s="178">
        <f>(FME_Ranking1[[#This Row],[Miles Raw]]/$AA$2)*100</f>
        <v>2.5362900235573297E-4</v>
      </c>
      <c r="AC2134" s="178">
        <f>FME_Ranking1[[#This Row],[Miles Score (Normalized, Unweighted)]]*$AA$3</f>
        <v>2.5362900235573297E-5</v>
      </c>
      <c r="AD2134" s="255">
        <f>_xlfn.XLOOKUP(FME_Ranking1[[#This Row],[FME ID]],FME_Input[FME_ID],FME_Input[FARMACRE100])</f>
        <v>6.0833673477172852</v>
      </c>
      <c r="AE2134" s="230">
        <f>(FME_Ranking1[[#This Row],[Ag Land Raw]]/$AD$2)*100</f>
        <v>2.5085083720348454E-4</v>
      </c>
      <c r="AF2134" s="231">
        <f>FME_Ranking1[[#This Row],[Ag Land Score (Normalized, Unweighted)]]*$AD$3</f>
        <v>1.2542541860174227E-5</v>
      </c>
      <c r="AG213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3.7905442095747526E-5</v>
      </c>
      <c r="AH2134" s="406">
        <f t="shared" si="33"/>
        <v>2155</v>
      </c>
      <c r="AI213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3.7905442095747526E-5</v>
      </c>
      <c r="AJ2134" s="257">
        <f>FME_Ranking1[[#This Row],[Addition check]]-FME_Ranking1[[#This Row],[Weighted Score Based on Normalized Reported Factors]]</f>
        <v>0</v>
      </c>
      <c r="AK2134" s="178">
        <f>_xlfn.RANK.EQ(AI2134,$AI$6:$AI$2341,0)+COUNTIF($AI$6:AI2134,AI2134)-1</f>
        <v>2155</v>
      </c>
    </row>
    <row r="2135" spans="1:37" x14ac:dyDescent="0.25">
      <c r="A2135" t="s">
        <v>3069</v>
      </c>
      <c r="B2135">
        <f>_xlfn.XLOOKUP(FME_Ranking1[[#This Row],[FME ID]],FME_Input[FME_ID],FME_Input[RFPG_NUM])</f>
        <v>1</v>
      </c>
      <c r="C2135" t="str">
        <f>_xlfn.XLOOKUP(FME_Ranking1[[#This Row],[FME ID]],FME_Input[FME_ID],FME_Input[FME_NAME])</f>
        <v>Cashion City Drainage Master Plan</v>
      </c>
      <c r="D2135" t="str">
        <f>_xlfn.XLOOKUP(FME_Ranking1[[#This Row],[FME ID]],FME_Input[FME_ID],FME_Input[DESCR])</f>
        <v xml:space="preserve">Perform H&amp;H modeling, develop conceptual alternatives and OPCC, and rank projects; selected based on the needs analysis </v>
      </c>
      <c r="E2135" s="256">
        <f>_xlfn.XLOOKUP(FME_Ranking1[[#This Row],[FME ID]],FME_Input[FME_ID],FME_Input[FME_COST])</f>
        <v>250000</v>
      </c>
      <c r="F2135" t="str">
        <f>_xlfn.XLOOKUP(FME_Ranking1[[#This Row],[FME ID]],FME_Input[FME_ID],FME_Input[EMER_NEED])</f>
        <v>No</v>
      </c>
      <c r="G2135">
        <f>IF(FME_Ranking!F2135="Yes",100,0)</f>
        <v>0</v>
      </c>
      <c r="H2135">
        <f>FME_Ranking1[[#This Row],[Emergency Need Score (Normalized, Unweighted)]]*$F$3</f>
        <v>0</v>
      </c>
      <c r="I2135" s="246">
        <f>_xlfn.XLOOKUP(FME_Ranking1[[#This Row],[FME ID]],FME_Input[FME_ID],FME_Input[STRUCT_100])</f>
        <v>0</v>
      </c>
      <c r="J2135" s="178">
        <f>(FME_Ranking1[[#This Row],[Structures 100 Raw]]/I$2)*100</f>
        <v>0</v>
      </c>
      <c r="K2135" s="178">
        <f>FME_Ranking1[[#This Row],[Structures 100  Score (Normalized, Unweighted)]]*$I$3</f>
        <v>0</v>
      </c>
      <c r="L2135" s="246">
        <f>_xlfn.XLOOKUP(FME_Ranking1[[#This Row],[FME ID]],FME_Input[FME_ID],FME_Input[RES_STRUCT100])</f>
        <v>0</v>
      </c>
      <c r="M2135" s="230">
        <f>(FME_Ranking1[[#This Row],[Res Structures Raw]]/L$2)*100</f>
        <v>0</v>
      </c>
      <c r="N2135" s="180">
        <f>FME_Ranking1[[#This Row],[Res Structures Score (Normalized, Unweighted)]]*$L$3</f>
        <v>0</v>
      </c>
      <c r="O2135" s="244">
        <f>_xlfn.XLOOKUP(FME_Ranking1[[#This Row],[FME ID]],FME_Input[FME_ID],FME_Input[POP100])</f>
        <v>0</v>
      </c>
      <c r="P2135" s="178">
        <f>(FME_Ranking1[[#This Row],[Pop Raw]]/$O$2)*100</f>
        <v>0</v>
      </c>
      <c r="Q2135" s="178">
        <f>FME_Ranking1[[#This Row],[Pop Score (Normalized, Unweighted)]]*$O$3</f>
        <v>0</v>
      </c>
      <c r="R2135" s="137">
        <f>_xlfn.XLOOKUP(FME_Ranking1[[#This Row],[FME ID]],FME_Input[FME_ID],FME_Input[CRITFAC100])</f>
        <v>0</v>
      </c>
      <c r="S2135" s="230">
        <f>(FME_Ranking1[[#This Row],[Critical Facilities Raw]]/$R$2)*100</f>
        <v>0</v>
      </c>
      <c r="T2135" s="180">
        <f>FME_Ranking1[[#This Row],[Critical Facilities Score (Normalized, Unweighted)]]*$R$3</f>
        <v>0</v>
      </c>
      <c r="U2135">
        <f>_xlfn.XLOOKUP(FME_Ranking1[[#This Row],[FME ID]],FME_Input[FME_ID],FME_Input[LWC])</f>
        <v>0</v>
      </c>
      <c r="V2135" s="178">
        <f>(FME_Ranking1[[#This Row],[LWC Raw]]/$U$2)*100</f>
        <v>0</v>
      </c>
      <c r="W2135" s="178">
        <f>FME_Ranking1[[#This Row],[LWC Score (Normalized, Unweighted)]]*$U$3</f>
        <v>0</v>
      </c>
      <c r="X2135" s="246">
        <f>_xlfn.XLOOKUP(FME_Ranking1[[#This Row],[FME ID]],FME_Input[FME_ID],FME_Input[ROADCLS])</f>
        <v>0</v>
      </c>
      <c r="Y2135" s="230">
        <f>(FME_Ranking1[[#This Row],[Closures Raw]]/$X$2)*100</f>
        <v>0</v>
      </c>
      <c r="Z2135" s="180">
        <f>FME_Ranking1[[#This Row],[Closures Score (Normalized, Unweighted)]]*$X$3</f>
        <v>0</v>
      </c>
      <c r="AA2135" s="253">
        <f>_xlfn.XLOOKUP(FME_Ranking1[[#This Row],[FME ID]],FME_Input[FME_ID],FME_Input[ROAD_MILES100])</f>
        <v>0.24694353342056269</v>
      </c>
      <c r="AB2135" s="178">
        <f>(FME_Ranking1[[#This Row],[Miles Raw]]/$AA$2)*100</f>
        <v>3.2468645504601414E-3</v>
      </c>
      <c r="AC2135" s="178">
        <f>FME_Ranking1[[#This Row],[Miles Score (Normalized, Unweighted)]]*$AA$3</f>
        <v>3.2468645504601414E-4</v>
      </c>
      <c r="AD2135" s="255">
        <f>_xlfn.XLOOKUP(FME_Ranking1[[#This Row],[FME ID]],FME_Input[FME_ID],FME_Input[FARMACRE100])</f>
        <v>5.8499259948730469</v>
      </c>
      <c r="AE2135" s="230">
        <f>(FME_Ranking1[[#This Row],[Ag Land Raw]]/$AD$2)*100</f>
        <v>2.4122476081326542E-4</v>
      </c>
      <c r="AF2135" s="231">
        <f>FME_Ranking1[[#This Row],[Ag Land Score (Normalized, Unweighted)]]*$AD$3</f>
        <v>1.2061238040663271E-5</v>
      </c>
      <c r="AG213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3.3674769308667739E-4</v>
      </c>
      <c r="AH2135" s="406">
        <f t="shared" si="33"/>
        <v>2111</v>
      </c>
      <c r="AI213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3.3674769308667739E-4</v>
      </c>
      <c r="AJ2135" s="257">
        <f>FME_Ranking1[[#This Row],[Addition check]]-FME_Ranking1[[#This Row],[Weighted Score Based on Normalized Reported Factors]]</f>
        <v>0</v>
      </c>
      <c r="AK2135" s="178">
        <f>_xlfn.RANK.EQ(AI2135,$AI$6:$AI$2341,0)+COUNTIF($AI$6:AI2135,AI2135)-1</f>
        <v>2111</v>
      </c>
    </row>
    <row r="2136" spans="1:37" x14ac:dyDescent="0.25">
      <c r="A2136" t="s">
        <v>8178</v>
      </c>
      <c r="B2136">
        <f>_xlfn.XLOOKUP(FME_Ranking1[[#This Row],[FME ID]],FME_Input[FME_ID],FME_Input[RFPG_NUM])</f>
        <v>9</v>
      </c>
      <c r="C2136" t="str">
        <f>_xlfn.XLOOKUP(FME_Ranking1[[#This Row],[FME ID]],FME_Input[FME_ID],FME_Input[FME_NAME])</f>
        <v>Crockett County FEMA Mapping</v>
      </c>
      <c r="D2136" t="str">
        <f>_xlfn.XLOOKUP(FME_Ranking1[[#This Row],[FME ID]],FME_Input[FME_ID],FME_Input[DESCR])</f>
        <v>Update existing FEMA Mapping</v>
      </c>
      <c r="E2136" s="256">
        <f>_xlfn.XLOOKUP(FME_Ranking1[[#This Row],[FME ID]],FME_Input[FME_ID],FME_Input[FME_COST])</f>
        <v>985000</v>
      </c>
      <c r="F2136" t="str">
        <f>_xlfn.XLOOKUP(FME_Ranking1[[#This Row],[FME ID]],FME_Input[FME_ID],FME_Input[EMER_NEED])</f>
        <v>No</v>
      </c>
      <c r="G2136">
        <f>IF(FME_Ranking!F2136="Yes",100,0)</f>
        <v>0</v>
      </c>
      <c r="H2136">
        <f>FME_Ranking1[[#This Row],[Emergency Need Score (Normalized, Unweighted)]]*$F$3</f>
        <v>0</v>
      </c>
      <c r="I2136" s="246">
        <f>_xlfn.XLOOKUP(FME_Ranking1[[#This Row],[FME ID]],FME_Input[FME_ID],FME_Input[STRUCT_100])</f>
        <v>0</v>
      </c>
      <c r="J2136" s="178">
        <f>(FME_Ranking1[[#This Row],[Structures 100 Raw]]/I$2)*100</f>
        <v>0</v>
      </c>
      <c r="K2136" s="178">
        <f>FME_Ranking1[[#This Row],[Structures 100  Score (Normalized, Unweighted)]]*$I$3</f>
        <v>0</v>
      </c>
      <c r="L2136" s="246">
        <f>_xlfn.XLOOKUP(FME_Ranking1[[#This Row],[FME ID]],FME_Input[FME_ID],FME_Input[RES_STRUCT100])</f>
        <v>0</v>
      </c>
      <c r="M2136" s="230">
        <f>(FME_Ranking1[[#This Row],[Res Structures Raw]]/L$2)*100</f>
        <v>0</v>
      </c>
      <c r="N2136" s="180">
        <f>FME_Ranking1[[#This Row],[Res Structures Score (Normalized, Unweighted)]]*$L$3</f>
        <v>0</v>
      </c>
      <c r="O2136" s="244">
        <f>_xlfn.XLOOKUP(FME_Ranking1[[#This Row],[FME ID]],FME_Input[FME_ID],FME_Input[POP100])</f>
        <v>0</v>
      </c>
      <c r="P2136" s="178">
        <f>(FME_Ranking1[[#This Row],[Pop Raw]]/$O$2)*100</f>
        <v>0</v>
      </c>
      <c r="Q2136" s="178">
        <f>FME_Ranking1[[#This Row],[Pop Score (Normalized, Unweighted)]]*$O$3</f>
        <v>0</v>
      </c>
      <c r="R2136" s="137">
        <f>_xlfn.XLOOKUP(FME_Ranking1[[#This Row],[FME ID]],FME_Input[FME_ID],FME_Input[CRITFAC100])</f>
        <v>0</v>
      </c>
      <c r="S2136" s="230">
        <f>(FME_Ranking1[[#This Row],[Critical Facilities Raw]]/$R$2)*100</f>
        <v>0</v>
      </c>
      <c r="T2136" s="180">
        <f>FME_Ranking1[[#This Row],[Critical Facilities Score (Normalized, Unweighted)]]*$R$3</f>
        <v>0</v>
      </c>
      <c r="U2136">
        <f>_xlfn.XLOOKUP(FME_Ranking1[[#This Row],[FME ID]],FME_Input[FME_ID],FME_Input[LWC])</f>
        <v>0</v>
      </c>
      <c r="V2136" s="178">
        <f>(FME_Ranking1[[#This Row],[LWC Raw]]/$U$2)*100</f>
        <v>0</v>
      </c>
      <c r="W2136" s="178">
        <f>FME_Ranking1[[#This Row],[LWC Score (Normalized, Unweighted)]]*$U$3</f>
        <v>0</v>
      </c>
      <c r="X2136" s="246">
        <f>_xlfn.XLOOKUP(FME_Ranking1[[#This Row],[FME ID]],FME_Input[FME_ID],FME_Input[ROADCLS])</f>
        <v>0</v>
      </c>
      <c r="Y2136" s="230">
        <f>(FME_Ranking1[[#This Row],[Closures Raw]]/$X$2)*100</f>
        <v>0</v>
      </c>
      <c r="Z2136" s="180">
        <f>FME_Ranking1[[#This Row],[Closures Score (Normalized, Unweighted)]]*$X$3</f>
        <v>0</v>
      </c>
      <c r="AA2136" s="253">
        <f>_xlfn.XLOOKUP(FME_Ranking1[[#This Row],[FME ID]],FME_Input[FME_ID],FME_Input[ROAD_MILES100])</f>
        <v>0.69559836387634277</v>
      </c>
      <c r="AB2136" s="178">
        <f>(FME_Ranking1[[#This Row],[Miles Raw]]/$AA$2)*100</f>
        <v>9.1458708707377219E-3</v>
      </c>
      <c r="AC2136" s="178">
        <f>FME_Ranking1[[#This Row],[Miles Score (Normalized, Unweighted)]]*$AA$3</f>
        <v>9.1458708707377225E-4</v>
      </c>
      <c r="AD2136" s="255">
        <f>_xlfn.XLOOKUP(FME_Ranking1[[#This Row],[FME ID]],FME_Input[FME_ID],FME_Input[FARMACRE100])</f>
        <v>5.3485140800476074</v>
      </c>
      <c r="AE2136" s="230">
        <f>(FME_Ranking1[[#This Row],[Ag Land Raw]]/$AD$2)*100</f>
        <v>2.2054877801815095E-4</v>
      </c>
      <c r="AF2136" s="231">
        <f>FME_Ranking1[[#This Row],[Ag Land Score (Normalized, Unweighted)]]*$AD$3</f>
        <v>1.1027438900907549E-5</v>
      </c>
      <c r="AG213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9.2561452597467978E-4</v>
      </c>
      <c r="AH2136" s="406">
        <f t="shared" si="33"/>
        <v>2030</v>
      </c>
      <c r="AI213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9.2561452597467978E-4</v>
      </c>
      <c r="AJ2136" s="257">
        <f>FME_Ranking1[[#This Row],[Addition check]]-FME_Ranking1[[#This Row],[Weighted Score Based on Normalized Reported Factors]]</f>
        <v>0</v>
      </c>
      <c r="AK2136" s="178">
        <f>_xlfn.RANK.EQ(AI2136,$AI$6:$AI$2341,0)+COUNTIF($AI$6:AI2136,AI2136)-1</f>
        <v>2030</v>
      </c>
    </row>
    <row r="2137" spans="1:37" x14ac:dyDescent="0.25">
      <c r="A2137" t="s">
        <v>8249</v>
      </c>
      <c r="B2137">
        <f>_xlfn.XLOOKUP(FME_Ranking1[[#This Row],[FME ID]],FME_Input[FME_ID],FME_Input[RFPG_NUM])</f>
        <v>9</v>
      </c>
      <c r="C2137" t="str">
        <f>_xlfn.XLOOKUP(FME_Ranking1[[#This Row],[FME ID]],FME_Input[FME_ID],FME_Input[FME_NAME])</f>
        <v>Crockett County DMP</v>
      </c>
      <c r="D2137" t="str">
        <f>_xlfn.XLOOKUP(FME_Ranking1[[#This Row],[FME ID]],FME_Input[FME_ID],FME_Input[DESCR])</f>
        <v xml:space="preserve">Create Drainage Master Plan, including evaluation of potential mitigation projects. </v>
      </c>
      <c r="E2137" s="256">
        <f>_xlfn.XLOOKUP(FME_Ranking1[[#This Row],[FME ID]],FME_Input[FME_ID],FME_Input[FME_COST])</f>
        <v>500000</v>
      </c>
      <c r="F2137" t="str">
        <f>_xlfn.XLOOKUP(FME_Ranking1[[#This Row],[FME ID]],FME_Input[FME_ID],FME_Input[EMER_NEED])</f>
        <v>No</v>
      </c>
      <c r="G2137">
        <f>IF(FME_Ranking!F2137="Yes",100,0)</f>
        <v>0</v>
      </c>
      <c r="H2137">
        <f>FME_Ranking1[[#This Row],[Emergency Need Score (Normalized, Unweighted)]]*$F$3</f>
        <v>0</v>
      </c>
      <c r="I2137" s="246">
        <f>_xlfn.XLOOKUP(FME_Ranking1[[#This Row],[FME ID]],FME_Input[FME_ID],FME_Input[STRUCT_100])</f>
        <v>0</v>
      </c>
      <c r="J2137" s="178">
        <f>(FME_Ranking1[[#This Row],[Structures 100 Raw]]/I$2)*100</f>
        <v>0</v>
      </c>
      <c r="K2137" s="178">
        <f>FME_Ranking1[[#This Row],[Structures 100  Score (Normalized, Unweighted)]]*$I$3</f>
        <v>0</v>
      </c>
      <c r="L2137" s="246">
        <f>_xlfn.XLOOKUP(FME_Ranking1[[#This Row],[FME ID]],FME_Input[FME_ID],FME_Input[RES_STRUCT100])</f>
        <v>0</v>
      </c>
      <c r="M2137" s="230">
        <f>(FME_Ranking1[[#This Row],[Res Structures Raw]]/L$2)*100</f>
        <v>0</v>
      </c>
      <c r="N2137" s="180">
        <f>FME_Ranking1[[#This Row],[Res Structures Score (Normalized, Unweighted)]]*$L$3</f>
        <v>0</v>
      </c>
      <c r="O2137" s="244">
        <f>_xlfn.XLOOKUP(FME_Ranking1[[#This Row],[FME ID]],FME_Input[FME_ID],FME_Input[POP100])</f>
        <v>0</v>
      </c>
      <c r="P2137" s="178">
        <f>(FME_Ranking1[[#This Row],[Pop Raw]]/$O$2)*100</f>
        <v>0</v>
      </c>
      <c r="Q2137" s="178">
        <f>FME_Ranking1[[#This Row],[Pop Score (Normalized, Unweighted)]]*$O$3</f>
        <v>0</v>
      </c>
      <c r="R2137" s="137">
        <f>_xlfn.XLOOKUP(FME_Ranking1[[#This Row],[FME ID]],FME_Input[FME_ID],FME_Input[CRITFAC100])</f>
        <v>0</v>
      </c>
      <c r="S2137" s="230">
        <f>(FME_Ranking1[[#This Row],[Critical Facilities Raw]]/$R$2)*100</f>
        <v>0</v>
      </c>
      <c r="T2137" s="180">
        <f>FME_Ranking1[[#This Row],[Critical Facilities Score (Normalized, Unweighted)]]*$R$3</f>
        <v>0</v>
      </c>
      <c r="U2137">
        <f>_xlfn.XLOOKUP(FME_Ranking1[[#This Row],[FME ID]],FME_Input[FME_ID],FME_Input[LWC])</f>
        <v>0</v>
      </c>
      <c r="V2137" s="178">
        <f>(FME_Ranking1[[#This Row],[LWC Raw]]/$U$2)*100</f>
        <v>0</v>
      </c>
      <c r="W2137" s="178">
        <f>FME_Ranking1[[#This Row],[LWC Score (Normalized, Unweighted)]]*$U$3</f>
        <v>0</v>
      </c>
      <c r="X2137" s="246">
        <f>_xlfn.XLOOKUP(FME_Ranking1[[#This Row],[FME ID]],FME_Input[FME_ID],FME_Input[ROADCLS])</f>
        <v>0</v>
      </c>
      <c r="Y2137" s="230">
        <f>(FME_Ranking1[[#This Row],[Closures Raw]]/$X$2)*100</f>
        <v>0</v>
      </c>
      <c r="Z2137" s="180">
        <f>FME_Ranking1[[#This Row],[Closures Score (Normalized, Unweighted)]]*$X$3</f>
        <v>0</v>
      </c>
      <c r="AA2137" s="253">
        <f>_xlfn.XLOOKUP(FME_Ranking1[[#This Row],[FME ID]],FME_Input[FME_ID],FME_Input[ROAD_MILES100])</f>
        <v>0.69559836387634277</v>
      </c>
      <c r="AB2137" s="178">
        <f>(FME_Ranking1[[#This Row],[Miles Raw]]/$AA$2)*100</f>
        <v>9.1458708707377219E-3</v>
      </c>
      <c r="AC2137" s="178">
        <f>FME_Ranking1[[#This Row],[Miles Score (Normalized, Unweighted)]]*$AA$3</f>
        <v>9.1458708707377225E-4</v>
      </c>
      <c r="AD2137" s="255">
        <f>_xlfn.XLOOKUP(FME_Ranking1[[#This Row],[FME ID]],FME_Input[FME_ID],FME_Input[FARMACRE100])</f>
        <v>5.3485140800476074</v>
      </c>
      <c r="AE2137" s="230">
        <f>(FME_Ranking1[[#This Row],[Ag Land Raw]]/$AD$2)*100</f>
        <v>2.2054877801815095E-4</v>
      </c>
      <c r="AF2137" s="231">
        <f>FME_Ranking1[[#This Row],[Ag Land Score (Normalized, Unweighted)]]*$AD$3</f>
        <v>1.1027438900907549E-5</v>
      </c>
      <c r="AG213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9.2561452597467978E-4</v>
      </c>
      <c r="AH2137" s="406">
        <f t="shared" si="33"/>
        <v>2030</v>
      </c>
      <c r="AI213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9.2561452597467978E-4</v>
      </c>
      <c r="AJ2137" s="257">
        <f>FME_Ranking1[[#This Row],[Addition check]]-FME_Ranking1[[#This Row],[Weighted Score Based on Normalized Reported Factors]]</f>
        <v>0</v>
      </c>
      <c r="AK2137" s="178">
        <f>_xlfn.RANK.EQ(AI2137,$AI$6:$AI$2341,0)+COUNTIF($AI$6:AI2137,AI2137)-1</f>
        <v>2031</v>
      </c>
    </row>
    <row r="2138" spans="1:37" x14ac:dyDescent="0.25">
      <c r="A2138" t="s">
        <v>8255</v>
      </c>
      <c r="B2138">
        <f>_xlfn.XLOOKUP(FME_Ranking1[[#This Row],[FME ID]],FME_Input[FME_ID],FME_Input[RFPG_NUM])</f>
        <v>9</v>
      </c>
      <c r="C2138" t="str">
        <f>_xlfn.XLOOKUP(FME_Ranking1[[#This Row],[FME ID]],FME_Input[FME_ID],FME_Input[FME_NAME])</f>
        <v>Crockett County GIS Development</v>
      </c>
      <c r="D2138" t="str">
        <f>_xlfn.XLOOKUP(FME_Ranking1[[#This Row],[FME ID]],FME_Input[FME_ID],FME_Input[DESCR])</f>
        <v>Develop a GIS inventory of stormwater infrastructure</v>
      </c>
      <c r="E2138" s="256">
        <f>_xlfn.XLOOKUP(FME_Ranking1[[#This Row],[FME ID]],FME_Input[FME_ID],FME_Input[FME_COST])</f>
        <v>100000</v>
      </c>
      <c r="F2138" t="str">
        <f>_xlfn.XLOOKUP(FME_Ranking1[[#This Row],[FME ID]],FME_Input[FME_ID],FME_Input[EMER_NEED])</f>
        <v>No</v>
      </c>
      <c r="G2138">
        <f>IF(FME_Ranking!F2138="Yes",100,0)</f>
        <v>0</v>
      </c>
      <c r="H2138">
        <f>FME_Ranking1[[#This Row],[Emergency Need Score (Normalized, Unweighted)]]*$F$3</f>
        <v>0</v>
      </c>
      <c r="I2138" s="246">
        <f>_xlfn.XLOOKUP(FME_Ranking1[[#This Row],[FME ID]],FME_Input[FME_ID],FME_Input[STRUCT_100])</f>
        <v>0</v>
      </c>
      <c r="J2138" s="178">
        <f>(FME_Ranking1[[#This Row],[Structures 100 Raw]]/I$2)*100</f>
        <v>0</v>
      </c>
      <c r="K2138" s="178">
        <f>FME_Ranking1[[#This Row],[Structures 100  Score (Normalized, Unweighted)]]*$I$3</f>
        <v>0</v>
      </c>
      <c r="L2138" s="246">
        <f>_xlfn.XLOOKUP(FME_Ranking1[[#This Row],[FME ID]],FME_Input[FME_ID],FME_Input[RES_STRUCT100])</f>
        <v>0</v>
      </c>
      <c r="M2138" s="230">
        <f>(FME_Ranking1[[#This Row],[Res Structures Raw]]/L$2)*100</f>
        <v>0</v>
      </c>
      <c r="N2138" s="180">
        <f>FME_Ranking1[[#This Row],[Res Structures Score (Normalized, Unweighted)]]*$L$3</f>
        <v>0</v>
      </c>
      <c r="O2138" s="244">
        <f>_xlfn.XLOOKUP(FME_Ranking1[[#This Row],[FME ID]],FME_Input[FME_ID],FME_Input[POP100])</f>
        <v>0</v>
      </c>
      <c r="P2138" s="178">
        <f>(FME_Ranking1[[#This Row],[Pop Raw]]/$O$2)*100</f>
        <v>0</v>
      </c>
      <c r="Q2138" s="178">
        <f>FME_Ranking1[[#This Row],[Pop Score (Normalized, Unweighted)]]*$O$3</f>
        <v>0</v>
      </c>
      <c r="R2138" s="137">
        <f>_xlfn.XLOOKUP(FME_Ranking1[[#This Row],[FME ID]],FME_Input[FME_ID],FME_Input[CRITFAC100])</f>
        <v>0</v>
      </c>
      <c r="S2138" s="230">
        <f>(FME_Ranking1[[#This Row],[Critical Facilities Raw]]/$R$2)*100</f>
        <v>0</v>
      </c>
      <c r="T2138" s="180">
        <f>FME_Ranking1[[#This Row],[Critical Facilities Score (Normalized, Unweighted)]]*$R$3</f>
        <v>0</v>
      </c>
      <c r="U2138">
        <f>_xlfn.XLOOKUP(FME_Ranking1[[#This Row],[FME ID]],FME_Input[FME_ID],FME_Input[LWC])</f>
        <v>0</v>
      </c>
      <c r="V2138" s="178">
        <f>(FME_Ranking1[[#This Row],[LWC Raw]]/$U$2)*100</f>
        <v>0</v>
      </c>
      <c r="W2138" s="178">
        <f>FME_Ranking1[[#This Row],[LWC Score (Normalized, Unweighted)]]*$U$3</f>
        <v>0</v>
      </c>
      <c r="X2138" s="246">
        <f>_xlfn.XLOOKUP(FME_Ranking1[[#This Row],[FME ID]],FME_Input[FME_ID],FME_Input[ROADCLS])</f>
        <v>0</v>
      </c>
      <c r="Y2138" s="230">
        <f>(FME_Ranking1[[#This Row],[Closures Raw]]/$X$2)*100</f>
        <v>0</v>
      </c>
      <c r="Z2138" s="180">
        <f>FME_Ranking1[[#This Row],[Closures Score (Normalized, Unweighted)]]*$X$3</f>
        <v>0</v>
      </c>
      <c r="AA2138" s="253">
        <f>_xlfn.XLOOKUP(FME_Ranking1[[#This Row],[FME ID]],FME_Input[FME_ID],FME_Input[ROAD_MILES100])</f>
        <v>0.69559836387634277</v>
      </c>
      <c r="AB2138" s="178">
        <f>(FME_Ranking1[[#This Row],[Miles Raw]]/$AA$2)*100</f>
        <v>9.1458708707377219E-3</v>
      </c>
      <c r="AC2138" s="178">
        <f>FME_Ranking1[[#This Row],[Miles Score (Normalized, Unweighted)]]*$AA$3</f>
        <v>9.1458708707377225E-4</v>
      </c>
      <c r="AD2138" s="255">
        <f>_xlfn.XLOOKUP(FME_Ranking1[[#This Row],[FME ID]],FME_Input[FME_ID],FME_Input[FARMACRE100])</f>
        <v>5.3485140800476074</v>
      </c>
      <c r="AE2138" s="230">
        <f>(FME_Ranking1[[#This Row],[Ag Land Raw]]/$AD$2)*100</f>
        <v>2.2054877801815095E-4</v>
      </c>
      <c r="AF2138" s="231">
        <f>FME_Ranking1[[#This Row],[Ag Land Score (Normalized, Unweighted)]]*$AD$3</f>
        <v>1.1027438900907549E-5</v>
      </c>
      <c r="AG213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9.2561452597467978E-4</v>
      </c>
      <c r="AH2138" s="406">
        <f t="shared" si="33"/>
        <v>2030</v>
      </c>
      <c r="AI213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9.2561452597467978E-4</v>
      </c>
      <c r="AJ2138" s="257">
        <f>FME_Ranking1[[#This Row],[Addition check]]-FME_Ranking1[[#This Row],[Weighted Score Based on Normalized Reported Factors]]</f>
        <v>0</v>
      </c>
      <c r="AK2138" s="178">
        <f>_xlfn.RANK.EQ(AI2138,$AI$6:$AI$2341,0)+COUNTIF($AI$6:AI2138,AI2138)-1</f>
        <v>2032</v>
      </c>
    </row>
    <row r="2139" spans="1:37" x14ac:dyDescent="0.25">
      <c r="A2139" t="s">
        <v>7495</v>
      </c>
      <c r="B2139">
        <f>_xlfn.XLOOKUP(FME_Ranking1[[#This Row],[FME ID]],FME_Input[FME_ID],FME_Input[RFPG_NUM])</f>
        <v>8</v>
      </c>
      <c r="C2139" t="str">
        <f>_xlfn.XLOOKUP(FME_Ranking1[[#This Row],[FME ID]],FME_Input[FME_ID],FME_Input[FME_NAME])</f>
        <v>Sienna South Levee System Drainage</v>
      </c>
      <c r="D2139" t="str">
        <f>_xlfn.XLOOKUP(FME_Ranking1[[#This Row],[FME ID]],FME_Input[FME_ID],FME_Input[DESCR])</f>
        <v>Design of lake and channel modifications to mitigate development in the area.</v>
      </c>
      <c r="E2139" s="256">
        <f>_xlfn.XLOOKUP(FME_Ranking1[[#This Row],[FME ID]],FME_Input[FME_ID],FME_Input[FME_COST])</f>
        <v>320000</v>
      </c>
      <c r="F2139" t="str">
        <f>_xlfn.XLOOKUP(FME_Ranking1[[#This Row],[FME ID]],FME_Input[FME_ID],FME_Input[EMER_NEED])</f>
        <v>No</v>
      </c>
      <c r="G2139">
        <f>IF(FME_Ranking!F2139="Yes",100,0)</f>
        <v>0</v>
      </c>
      <c r="H2139">
        <f>FME_Ranking1[[#This Row],[Emergency Need Score (Normalized, Unweighted)]]*$F$3</f>
        <v>0</v>
      </c>
      <c r="I2139" s="246">
        <f>_xlfn.XLOOKUP(FME_Ranking1[[#This Row],[FME ID]],FME_Input[FME_ID],FME_Input[STRUCT_100])</f>
        <v>0</v>
      </c>
      <c r="J2139" s="178">
        <f>(FME_Ranking1[[#This Row],[Structures 100 Raw]]/I$2)*100</f>
        <v>0</v>
      </c>
      <c r="K2139" s="178">
        <f>FME_Ranking1[[#This Row],[Structures 100  Score (Normalized, Unweighted)]]*$I$3</f>
        <v>0</v>
      </c>
      <c r="L2139" s="246">
        <f>_xlfn.XLOOKUP(FME_Ranking1[[#This Row],[FME ID]],FME_Input[FME_ID],FME_Input[RES_STRUCT100])</f>
        <v>0</v>
      </c>
      <c r="M2139" s="230">
        <f>(FME_Ranking1[[#This Row],[Res Structures Raw]]/L$2)*100</f>
        <v>0</v>
      </c>
      <c r="N2139" s="180">
        <f>FME_Ranking1[[#This Row],[Res Structures Score (Normalized, Unweighted)]]*$L$3</f>
        <v>0</v>
      </c>
      <c r="O2139" s="244">
        <f>_xlfn.XLOOKUP(FME_Ranking1[[#This Row],[FME ID]],FME_Input[FME_ID],FME_Input[POP100])</f>
        <v>0</v>
      </c>
      <c r="P2139" s="178">
        <f>(FME_Ranking1[[#This Row],[Pop Raw]]/$O$2)*100</f>
        <v>0</v>
      </c>
      <c r="Q2139" s="178">
        <f>FME_Ranking1[[#This Row],[Pop Score (Normalized, Unweighted)]]*$O$3</f>
        <v>0</v>
      </c>
      <c r="R2139" s="137">
        <f>_xlfn.XLOOKUP(FME_Ranking1[[#This Row],[FME ID]],FME_Input[FME_ID],FME_Input[CRITFAC100])</f>
        <v>0</v>
      </c>
      <c r="S2139" s="230">
        <f>(FME_Ranking1[[#This Row],[Critical Facilities Raw]]/$R$2)*100</f>
        <v>0</v>
      </c>
      <c r="T2139" s="180">
        <f>FME_Ranking1[[#This Row],[Critical Facilities Score (Normalized, Unweighted)]]*$R$3</f>
        <v>0</v>
      </c>
      <c r="U2139">
        <f>_xlfn.XLOOKUP(FME_Ranking1[[#This Row],[FME ID]],FME_Input[FME_ID],FME_Input[LWC])</f>
        <v>0</v>
      </c>
      <c r="V2139" s="178">
        <f>(FME_Ranking1[[#This Row],[LWC Raw]]/$U$2)*100</f>
        <v>0</v>
      </c>
      <c r="W2139" s="178">
        <f>FME_Ranking1[[#This Row],[LWC Score (Normalized, Unweighted)]]*$U$3</f>
        <v>0</v>
      </c>
      <c r="X2139" s="246">
        <f>_xlfn.XLOOKUP(FME_Ranking1[[#This Row],[FME ID]],FME_Input[FME_ID],FME_Input[ROADCLS])</f>
        <v>0</v>
      </c>
      <c r="Y2139" s="230">
        <f>(FME_Ranking1[[#This Row],[Closures Raw]]/$X$2)*100</f>
        <v>0</v>
      </c>
      <c r="Z2139" s="180">
        <f>FME_Ranking1[[#This Row],[Closures Score (Normalized, Unweighted)]]*$X$3</f>
        <v>0</v>
      </c>
      <c r="AA2139" s="253">
        <f>_xlfn.XLOOKUP(FME_Ranking1[[#This Row],[FME ID]],FME_Input[FME_ID],FME_Input[ROAD_MILES100])</f>
        <v>0</v>
      </c>
      <c r="AB2139" s="178">
        <f>(FME_Ranking1[[#This Row],[Miles Raw]]/$AA$2)*100</f>
        <v>0</v>
      </c>
      <c r="AC2139" s="178">
        <f>FME_Ranking1[[#This Row],[Miles Score (Normalized, Unweighted)]]*$AA$3</f>
        <v>0</v>
      </c>
      <c r="AD2139" s="255">
        <f>_xlfn.XLOOKUP(FME_Ranking1[[#This Row],[FME ID]],FME_Input[FME_ID],FME_Input[FARMACRE100])</f>
        <v>3.634870052337646</v>
      </c>
      <c r="AE2139" s="230">
        <f>(FME_Ranking1[[#This Row],[Ag Land Raw]]/$AD$2)*100</f>
        <v>1.4988576944920457E-4</v>
      </c>
      <c r="AF2139" s="231">
        <f>FME_Ranking1[[#This Row],[Ag Land Score (Normalized, Unweighted)]]*$AD$3</f>
        <v>7.4942884724602287E-6</v>
      </c>
      <c r="AG213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7.4942884724602287E-6</v>
      </c>
      <c r="AH2139" s="406">
        <f t="shared" si="33"/>
        <v>2168</v>
      </c>
      <c r="AI213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7.4942884724602287E-6</v>
      </c>
      <c r="AJ2139" s="257">
        <f>FME_Ranking1[[#This Row],[Addition check]]-FME_Ranking1[[#This Row],[Weighted Score Based on Normalized Reported Factors]]</f>
        <v>0</v>
      </c>
      <c r="AK2139" s="178">
        <f>_xlfn.RANK.EQ(AI2139,$AI$6:$AI$2341,0)+COUNTIF($AI$6:AI2139,AI2139)-1</f>
        <v>2168</v>
      </c>
    </row>
    <row r="2140" spans="1:37" x14ac:dyDescent="0.25">
      <c r="A2140" t="s">
        <v>2728</v>
      </c>
      <c r="B2140">
        <f>_xlfn.XLOOKUP(FME_Ranking1[[#This Row],[FME ID]],FME_Input[FME_ID],FME_Input[RFPG_NUM])</f>
        <v>1</v>
      </c>
      <c r="C2140" t="str">
        <f>_xlfn.XLOOKUP(FME_Ranking1[[#This Row],[FME ID]],FME_Input[FME_ID],FME_Input[FME_NAME])</f>
        <v>White Deer City Drainage Master Plan</v>
      </c>
      <c r="D2140" t="str">
        <f>_xlfn.XLOOKUP(FME_Ranking1[[#This Row],[FME ID]],FME_Input[FME_ID],FME_Input[DESCR])</f>
        <v xml:space="preserve">Perform H&amp;H modeling, develop conceptual alternatives and OPCC, and rank projects; selected based on HMAPs </v>
      </c>
      <c r="E2140" s="256">
        <f>_xlfn.XLOOKUP(FME_Ranking1[[#This Row],[FME ID]],FME_Input[FME_ID],FME_Input[FME_COST])</f>
        <v>250000</v>
      </c>
      <c r="F2140" t="str">
        <f>_xlfn.XLOOKUP(FME_Ranking1[[#This Row],[FME ID]],FME_Input[FME_ID],FME_Input[EMER_NEED])</f>
        <v>No</v>
      </c>
      <c r="G2140">
        <f>IF(FME_Ranking!F2140="Yes",100,0)</f>
        <v>0</v>
      </c>
      <c r="H2140">
        <f>FME_Ranking1[[#This Row],[Emergency Need Score (Normalized, Unweighted)]]*$F$3</f>
        <v>0</v>
      </c>
      <c r="I2140" s="246">
        <f>_xlfn.XLOOKUP(FME_Ranking1[[#This Row],[FME ID]],FME_Input[FME_ID],FME_Input[STRUCT_100])</f>
        <v>0</v>
      </c>
      <c r="J2140" s="178">
        <f>(FME_Ranking1[[#This Row],[Structures 100 Raw]]/I$2)*100</f>
        <v>0</v>
      </c>
      <c r="K2140" s="178">
        <f>FME_Ranking1[[#This Row],[Structures 100  Score (Normalized, Unweighted)]]*$I$3</f>
        <v>0</v>
      </c>
      <c r="L2140" s="246">
        <f>_xlfn.XLOOKUP(FME_Ranking1[[#This Row],[FME ID]],FME_Input[FME_ID],FME_Input[RES_STRUCT100])</f>
        <v>0</v>
      </c>
      <c r="M2140" s="230">
        <f>(FME_Ranking1[[#This Row],[Res Structures Raw]]/L$2)*100</f>
        <v>0</v>
      </c>
      <c r="N2140" s="180">
        <f>FME_Ranking1[[#This Row],[Res Structures Score (Normalized, Unweighted)]]*$L$3</f>
        <v>0</v>
      </c>
      <c r="O2140" s="244">
        <f>_xlfn.XLOOKUP(FME_Ranking1[[#This Row],[FME ID]],FME_Input[FME_ID],FME_Input[POP100])</f>
        <v>0</v>
      </c>
      <c r="P2140" s="178">
        <f>(FME_Ranking1[[#This Row],[Pop Raw]]/$O$2)*100</f>
        <v>0</v>
      </c>
      <c r="Q2140" s="178">
        <f>FME_Ranking1[[#This Row],[Pop Score (Normalized, Unweighted)]]*$O$3</f>
        <v>0</v>
      </c>
      <c r="R2140" s="137">
        <f>_xlfn.XLOOKUP(FME_Ranking1[[#This Row],[FME ID]],FME_Input[FME_ID],FME_Input[CRITFAC100])</f>
        <v>0</v>
      </c>
      <c r="S2140" s="230">
        <f>(FME_Ranking1[[#This Row],[Critical Facilities Raw]]/$R$2)*100</f>
        <v>0</v>
      </c>
      <c r="T2140" s="180">
        <f>FME_Ranking1[[#This Row],[Critical Facilities Score (Normalized, Unweighted)]]*$R$3</f>
        <v>0</v>
      </c>
      <c r="U2140">
        <f>_xlfn.XLOOKUP(FME_Ranking1[[#This Row],[FME ID]],FME_Input[FME_ID],FME_Input[LWC])</f>
        <v>0</v>
      </c>
      <c r="V2140" s="178">
        <f>(FME_Ranking1[[#This Row],[LWC Raw]]/$U$2)*100</f>
        <v>0</v>
      </c>
      <c r="W2140" s="178">
        <f>FME_Ranking1[[#This Row],[LWC Score (Normalized, Unweighted)]]*$U$3</f>
        <v>0</v>
      </c>
      <c r="X2140" s="246">
        <f>_xlfn.XLOOKUP(FME_Ranking1[[#This Row],[FME ID]],FME_Input[FME_ID],FME_Input[ROADCLS])</f>
        <v>0</v>
      </c>
      <c r="Y2140" s="230">
        <f>(FME_Ranking1[[#This Row],[Closures Raw]]/$X$2)*100</f>
        <v>0</v>
      </c>
      <c r="Z2140" s="180">
        <f>FME_Ranking1[[#This Row],[Closures Score (Normalized, Unweighted)]]*$X$3</f>
        <v>0</v>
      </c>
      <c r="AA2140" s="253">
        <f>_xlfn.XLOOKUP(FME_Ranking1[[#This Row],[FME ID]],FME_Input[FME_ID],FME_Input[ROAD_MILES100])</f>
        <v>0</v>
      </c>
      <c r="AB2140" s="178">
        <f>(FME_Ranking1[[#This Row],[Miles Raw]]/$AA$2)*100</f>
        <v>0</v>
      </c>
      <c r="AC2140" s="178">
        <f>FME_Ranking1[[#This Row],[Miles Score (Normalized, Unweighted)]]*$AA$3</f>
        <v>0</v>
      </c>
      <c r="AD2140" s="255">
        <f>_xlfn.XLOOKUP(FME_Ranking1[[#This Row],[FME ID]],FME_Input[FME_ID],FME_Input[FARMACRE100])</f>
        <v>3.071333646774292</v>
      </c>
      <c r="AE2140" s="230">
        <f>(FME_Ranking1[[#This Row],[Ag Land Raw]]/$AD$2)*100</f>
        <v>1.2664805075657048E-4</v>
      </c>
      <c r="AF2140" s="231">
        <f>FME_Ranking1[[#This Row],[Ag Land Score (Normalized, Unweighted)]]*$AD$3</f>
        <v>6.3324025378285243E-6</v>
      </c>
      <c r="AG214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6.3324025378285243E-6</v>
      </c>
      <c r="AH2140" s="406">
        <f t="shared" si="33"/>
        <v>2170</v>
      </c>
      <c r="AI214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6.3324025378285243E-6</v>
      </c>
      <c r="AJ2140" s="257">
        <f>FME_Ranking1[[#This Row],[Addition check]]-FME_Ranking1[[#This Row],[Weighted Score Based on Normalized Reported Factors]]</f>
        <v>0</v>
      </c>
      <c r="AK2140" s="178">
        <f>_xlfn.RANK.EQ(AI2140,$AI$6:$AI$2341,0)+COUNTIF($AI$6:AI2140,AI2140)-1</f>
        <v>2170</v>
      </c>
    </row>
    <row r="2141" spans="1:37" x14ac:dyDescent="0.25">
      <c r="A2141" t="s">
        <v>7414</v>
      </c>
      <c r="B2141">
        <f>_xlfn.XLOOKUP(FME_Ranking1[[#This Row],[FME ID]],FME_Input[FME_ID],FME_Input[RFPG_NUM])</f>
        <v>7</v>
      </c>
      <c r="C2141" t="str">
        <f>_xlfn.XLOOKUP(FME_Ranking1[[#This Row],[FME ID]],FME_Input[FME_ID],FME_Input[FME_NAME])</f>
        <v>Hamlin South Lake Dam Diversion</v>
      </c>
      <c r="D2141" t="str">
        <f>_xlfn.XLOOKUP(FME_Ranking1[[#This Row],[FME ID]],FME_Input[FME_ID],FME_Input[DESCR])</f>
        <v>Divert water to prevent breaching of Hamlin South Lake Dam.</v>
      </c>
      <c r="E2141" s="256">
        <f>_xlfn.XLOOKUP(FME_Ranking1[[#This Row],[FME ID]],FME_Input[FME_ID],FME_Input[FME_COST])</f>
        <v>5000</v>
      </c>
      <c r="F2141" t="str">
        <f>_xlfn.XLOOKUP(FME_Ranking1[[#This Row],[FME ID]],FME_Input[FME_ID],FME_Input[EMER_NEED])</f>
        <v>No</v>
      </c>
      <c r="G2141">
        <f>IF(FME_Ranking!F2141="Yes",100,0)</f>
        <v>0</v>
      </c>
      <c r="H2141">
        <f>FME_Ranking1[[#This Row],[Emergency Need Score (Normalized, Unweighted)]]*$F$3</f>
        <v>0</v>
      </c>
      <c r="I2141" s="246">
        <f>_xlfn.XLOOKUP(FME_Ranking1[[#This Row],[FME ID]],FME_Input[FME_ID],FME_Input[STRUCT_100])</f>
        <v>0</v>
      </c>
      <c r="J2141" s="178">
        <f>(FME_Ranking1[[#This Row],[Structures 100 Raw]]/I$2)*100</f>
        <v>0</v>
      </c>
      <c r="K2141" s="178">
        <f>FME_Ranking1[[#This Row],[Structures 100  Score (Normalized, Unweighted)]]*$I$3</f>
        <v>0</v>
      </c>
      <c r="L2141" s="246">
        <f>_xlfn.XLOOKUP(FME_Ranking1[[#This Row],[FME ID]],FME_Input[FME_ID],FME_Input[RES_STRUCT100])</f>
        <v>0</v>
      </c>
      <c r="M2141" s="230">
        <f>(FME_Ranking1[[#This Row],[Res Structures Raw]]/L$2)*100</f>
        <v>0</v>
      </c>
      <c r="N2141" s="180">
        <f>FME_Ranking1[[#This Row],[Res Structures Score (Normalized, Unweighted)]]*$L$3</f>
        <v>0</v>
      </c>
      <c r="O2141" s="244">
        <f>_xlfn.XLOOKUP(FME_Ranking1[[#This Row],[FME ID]],FME_Input[FME_ID],FME_Input[POP100])</f>
        <v>0</v>
      </c>
      <c r="P2141" s="178">
        <f>(FME_Ranking1[[#This Row],[Pop Raw]]/$O$2)*100</f>
        <v>0</v>
      </c>
      <c r="Q2141" s="178">
        <f>FME_Ranking1[[#This Row],[Pop Score (Normalized, Unweighted)]]*$O$3</f>
        <v>0</v>
      </c>
      <c r="R2141" s="137">
        <f>_xlfn.XLOOKUP(FME_Ranking1[[#This Row],[FME ID]],FME_Input[FME_ID],FME_Input[CRITFAC100])</f>
        <v>0</v>
      </c>
      <c r="S2141" s="230">
        <f>(FME_Ranking1[[#This Row],[Critical Facilities Raw]]/$R$2)*100</f>
        <v>0</v>
      </c>
      <c r="T2141" s="180">
        <f>FME_Ranking1[[#This Row],[Critical Facilities Score (Normalized, Unweighted)]]*$R$3</f>
        <v>0</v>
      </c>
      <c r="U2141">
        <f>_xlfn.XLOOKUP(FME_Ranking1[[#This Row],[FME ID]],FME_Input[FME_ID],FME_Input[LWC])</f>
        <v>0</v>
      </c>
      <c r="V2141" s="178">
        <f>(FME_Ranking1[[#This Row],[LWC Raw]]/$U$2)*100</f>
        <v>0</v>
      </c>
      <c r="W2141" s="178">
        <f>FME_Ranking1[[#This Row],[LWC Score (Normalized, Unweighted)]]*$U$3</f>
        <v>0</v>
      </c>
      <c r="X2141" s="246">
        <f>_xlfn.XLOOKUP(FME_Ranking1[[#This Row],[FME ID]],FME_Input[FME_ID],FME_Input[ROADCLS])</f>
        <v>0</v>
      </c>
      <c r="Y2141" s="230">
        <f>(FME_Ranking1[[#This Row],[Closures Raw]]/$X$2)*100</f>
        <v>0</v>
      </c>
      <c r="Z2141" s="180">
        <f>FME_Ranking1[[#This Row],[Closures Score (Normalized, Unweighted)]]*$X$3</f>
        <v>0</v>
      </c>
      <c r="AA2141" s="253">
        <f>_xlfn.XLOOKUP(FME_Ranking1[[#This Row],[FME ID]],FME_Input[FME_ID],FME_Input[ROAD_MILES100])</f>
        <v>0.46327373385429382</v>
      </c>
      <c r="AB2141" s="178">
        <f>(FME_Ranking1[[#This Row],[Miles Raw]]/$AA$2)*100</f>
        <v>6.0912186797338549E-3</v>
      </c>
      <c r="AC2141" s="178">
        <f>FME_Ranking1[[#This Row],[Miles Score (Normalized, Unweighted)]]*$AA$3</f>
        <v>6.0912186797338556E-4</v>
      </c>
      <c r="AD2141" s="255">
        <f>_xlfn.XLOOKUP(FME_Ranking1[[#This Row],[FME ID]],FME_Input[FME_ID],FME_Input[FARMACRE100])</f>
        <v>2.455453634262085</v>
      </c>
      <c r="AE2141" s="230">
        <f>(FME_Ranking1[[#This Row],[Ag Land Raw]]/$AD$2)*100</f>
        <v>1.0125191602971535E-4</v>
      </c>
      <c r="AF2141" s="231">
        <f>FME_Ranking1[[#This Row],[Ag Land Score (Normalized, Unweighted)]]*$AD$3</f>
        <v>5.0625958014857674E-6</v>
      </c>
      <c r="AG214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6.141844637748713E-4</v>
      </c>
      <c r="AH2141" s="406">
        <f t="shared" si="33"/>
        <v>2068</v>
      </c>
      <c r="AI214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6.141844637748713E-4</v>
      </c>
      <c r="AJ2141" s="257">
        <f>FME_Ranking1[[#This Row],[Addition check]]-FME_Ranking1[[#This Row],[Weighted Score Based on Normalized Reported Factors]]</f>
        <v>0</v>
      </c>
      <c r="AK2141" s="178">
        <f>_xlfn.RANK.EQ(AI2141,$AI$6:$AI$2341,0)+COUNTIF($AI$6:AI2141,AI2141)-1</f>
        <v>2068</v>
      </c>
    </row>
    <row r="2142" spans="1:37" x14ac:dyDescent="0.25">
      <c r="A2142" t="s">
        <v>7419</v>
      </c>
      <c r="B2142">
        <f>_xlfn.XLOOKUP(FME_Ranking1[[#This Row],[FME ID]],FME_Input[FME_ID],FME_Input[RFPG_NUM])</f>
        <v>7</v>
      </c>
      <c r="C2142" t="str">
        <f>_xlfn.XLOOKUP(FME_Ranking1[[#This Row],[FME ID]],FME_Input[FME_ID],FME_Input[FME_NAME])</f>
        <v>Hamlin Dam Improvements</v>
      </c>
      <c r="D2142" t="str">
        <f>_xlfn.XLOOKUP(FME_Ranking1[[#This Row],[FME ID]],FME_Input[FME_ID],FME_Input[DESCR])</f>
        <v>Harden earthen dam at Hamlin South Lake per request of TCEQ.</v>
      </c>
      <c r="E2142" s="256">
        <f>_xlfn.XLOOKUP(FME_Ranking1[[#This Row],[FME ID]],FME_Input[FME_ID],FME_Input[FME_COST])</f>
        <v>100000</v>
      </c>
      <c r="F2142" t="str">
        <f>_xlfn.XLOOKUP(FME_Ranking1[[#This Row],[FME ID]],FME_Input[FME_ID],FME_Input[EMER_NEED])</f>
        <v>No</v>
      </c>
      <c r="G2142">
        <f>IF(FME_Ranking!F2142="Yes",100,0)</f>
        <v>0</v>
      </c>
      <c r="H2142">
        <f>FME_Ranking1[[#This Row],[Emergency Need Score (Normalized, Unweighted)]]*$F$3</f>
        <v>0</v>
      </c>
      <c r="I2142" s="246">
        <f>_xlfn.XLOOKUP(FME_Ranking1[[#This Row],[FME ID]],FME_Input[FME_ID],FME_Input[STRUCT_100])</f>
        <v>0</v>
      </c>
      <c r="J2142" s="178">
        <f>(FME_Ranking1[[#This Row],[Structures 100 Raw]]/I$2)*100</f>
        <v>0</v>
      </c>
      <c r="K2142" s="178">
        <f>FME_Ranking1[[#This Row],[Structures 100  Score (Normalized, Unweighted)]]*$I$3</f>
        <v>0</v>
      </c>
      <c r="L2142" s="246">
        <f>_xlfn.XLOOKUP(FME_Ranking1[[#This Row],[FME ID]],FME_Input[FME_ID],FME_Input[RES_STRUCT100])</f>
        <v>0</v>
      </c>
      <c r="M2142" s="230">
        <f>(FME_Ranking1[[#This Row],[Res Structures Raw]]/L$2)*100</f>
        <v>0</v>
      </c>
      <c r="N2142" s="180">
        <f>FME_Ranking1[[#This Row],[Res Structures Score (Normalized, Unweighted)]]*$L$3</f>
        <v>0</v>
      </c>
      <c r="O2142" s="244">
        <f>_xlfn.XLOOKUP(FME_Ranking1[[#This Row],[FME ID]],FME_Input[FME_ID],FME_Input[POP100])</f>
        <v>0</v>
      </c>
      <c r="P2142" s="178">
        <f>(FME_Ranking1[[#This Row],[Pop Raw]]/$O$2)*100</f>
        <v>0</v>
      </c>
      <c r="Q2142" s="178">
        <f>FME_Ranking1[[#This Row],[Pop Score (Normalized, Unweighted)]]*$O$3</f>
        <v>0</v>
      </c>
      <c r="R2142" s="137">
        <f>_xlfn.XLOOKUP(FME_Ranking1[[#This Row],[FME ID]],FME_Input[FME_ID],FME_Input[CRITFAC100])</f>
        <v>0</v>
      </c>
      <c r="S2142" s="230">
        <f>(FME_Ranking1[[#This Row],[Critical Facilities Raw]]/$R$2)*100</f>
        <v>0</v>
      </c>
      <c r="T2142" s="180">
        <f>FME_Ranking1[[#This Row],[Critical Facilities Score (Normalized, Unweighted)]]*$R$3</f>
        <v>0</v>
      </c>
      <c r="U2142">
        <f>_xlfn.XLOOKUP(FME_Ranking1[[#This Row],[FME ID]],FME_Input[FME_ID],FME_Input[LWC])</f>
        <v>0</v>
      </c>
      <c r="V2142" s="178">
        <f>(FME_Ranking1[[#This Row],[LWC Raw]]/$U$2)*100</f>
        <v>0</v>
      </c>
      <c r="W2142" s="178">
        <f>FME_Ranking1[[#This Row],[LWC Score (Normalized, Unweighted)]]*$U$3</f>
        <v>0</v>
      </c>
      <c r="X2142" s="246">
        <f>_xlfn.XLOOKUP(FME_Ranking1[[#This Row],[FME ID]],FME_Input[FME_ID],FME_Input[ROADCLS])</f>
        <v>0</v>
      </c>
      <c r="Y2142" s="230">
        <f>(FME_Ranking1[[#This Row],[Closures Raw]]/$X$2)*100</f>
        <v>0</v>
      </c>
      <c r="Z2142" s="180">
        <f>FME_Ranking1[[#This Row],[Closures Score (Normalized, Unweighted)]]*$X$3</f>
        <v>0</v>
      </c>
      <c r="AA2142" s="253">
        <f>_xlfn.XLOOKUP(FME_Ranking1[[#This Row],[FME ID]],FME_Input[FME_ID],FME_Input[ROAD_MILES100])</f>
        <v>0.46327373385429382</v>
      </c>
      <c r="AB2142" s="178">
        <f>(FME_Ranking1[[#This Row],[Miles Raw]]/$AA$2)*100</f>
        <v>6.0912186797338549E-3</v>
      </c>
      <c r="AC2142" s="178">
        <f>FME_Ranking1[[#This Row],[Miles Score (Normalized, Unweighted)]]*$AA$3</f>
        <v>6.0912186797338556E-4</v>
      </c>
      <c r="AD2142" s="255">
        <f>_xlfn.XLOOKUP(FME_Ranking1[[#This Row],[FME ID]],FME_Input[FME_ID],FME_Input[FARMACRE100])</f>
        <v>2.455453634262085</v>
      </c>
      <c r="AE2142" s="230">
        <f>(FME_Ranking1[[#This Row],[Ag Land Raw]]/$AD$2)*100</f>
        <v>1.0125191602971535E-4</v>
      </c>
      <c r="AF2142" s="231">
        <f>FME_Ranking1[[#This Row],[Ag Land Score (Normalized, Unweighted)]]*$AD$3</f>
        <v>5.0625958014857674E-6</v>
      </c>
      <c r="AG214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6.141844637748713E-4</v>
      </c>
      <c r="AH2142" s="406">
        <f t="shared" si="33"/>
        <v>2068</v>
      </c>
      <c r="AI214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6.141844637748713E-4</v>
      </c>
      <c r="AJ2142" s="257">
        <f>FME_Ranking1[[#This Row],[Addition check]]-FME_Ranking1[[#This Row],[Weighted Score Based on Normalized Reported Factors]]</f>
        <v>0</v>
      </c>
      <c r="AK2142" s="178">
        <f>_xlfn.RANK.EQ(AI2142,$AI$6:$AI$2341,0)+COUNTIF($AI$6:AI2142,AI2142)-1</f>
        <v>2069</v>
      </c>
    </row>
    <row r="2143" spans="1:37" x14ac:dyDescent="0.25">
      <c r="A2143" t="s">
        <v>6958</v>
      </c>
      <c r="B2143">
        <f>_xlfn.XLOOKUP(FME_Ranking1[[#This Row],[FME ID]],FME_Input[FME_ID],FME_Input[RFPG_NUM])</f>
        <v>7</v>
      </c>
      <c r="C2143" t="str">
        <f>_xlfn.XLOOKUP(FME_Ranking1[[#This Row],[FME ID]],FME_Input[FME_ID],FME_Input[FME_NAME])</f>
        <v>Town of Aspermont DMP</v>
      </c>
      <c r="D2143" t="str">
        <f>_xlfn.XLOOKUP(FME_Ranking1[[#This Row],[FME ID]],FME_Input[FME_ID],FME_Input[DESCR])</f>
        <v>Evaluate town to identify future projects, analyze roads/stream crossing for emergency response vehicles to high hazard areas</v>
      </c>
      <c r="E2143" s="256">
        <f>_xlfn.XLOOKUP(FME_Ranking1[[#This Row],[FME ID]],FME_Input[FME_ID],FME_Input[FME_COST])</f>
        <v>250000</v>
      </c>
      <c r="F2143" t="str">
        <f>_xlfn.XLOOKUP(FME_Ranking1[[#This Row],[FME ID]],FME_Input[FME_ID],FME_Input[EMER_NEED])</f>
        <v>No</v>
      </c>
      <c r="G2143">
        <f>IF(FME_Ranking!F2143="Yes",100,0)</f>
        <v>0</v>
      </c>
      <c r="H2143">
        <f>FME_Ranking1[[#This Row],[Emergency Need Score (Normalized, Unweighted)]]*$F$3</f>
        <v>0</v>
      </c>
      <c r="I2143" s="246">
        <f>_xlfn.XLOOKUP(FME_Ranking1[[#This Row],[FME ID]],FME_Input[FME_ID],FME_Input[STRUCT_100])</f>
        <v>0</v>
      </c>
      <c r="J2143" s="178">
        <f>(FME_Ranking1[[#This Row],[Structures 100 Raw]]/I$2)*100</f>
        <v>0</v>
      </c>
      <c r="K2143" s="178">
        <f>FME_Ranking1[[#This Row],[Structures 100  Score (Normalized, Unweighted)]]*$I$3</f>
        <v>0</v>
      </c>
      <c r="L2143" s="246">
        <f>_xlfn.XLOOKUP(FME_Ranking1[[#This Row],[FME ID]],FME_Input[FME_ID],FME_Input[RES_STRUCT100])</f>
        <v>0</v>
      </c>
      <c r="M2143" s="230">
        <f>(FME_Ranking1[[#This Row],[Res Structures Raw]]/L$2)*100</f>
        <v>0</v>
      </c>
      <c r="N2143" s="180">
        <f>FME_Ranking1[[#This Row],[Res Structures Score (Normalized, Unweighted)]]*$L$3</f>
        <v>0</v>
      </c>
      <c r="O2143" s="244">
        <f>_xlfn.XLOOKUP(FME_Ranking1[[#This Row],[FME ID]],FME_Input[FME_ID],FME_Input[POP100])</f>
        <v>0</v>
      </c>
      <c r="P2143" s="178">
        <f>(FME_Ranking1[[#This Row],[Pop Raw]]/$O$2)*100</f>
        <v>0</v>
      </c>
      <c r="Q2143" s="178">
        <f>FME_Ranking1[[#This Row],[Pop Score (Normalized, Unweighted)]]*$O$3</f>
        <v>0</v>
      </c>
      <c r="R2143" s="137">
        <f>_xlfn.XLOOKUP(FME_Ranking1[[#This Row],[FME ID]],FME_Input[FME_ID],FME_Input[CRITFAC100])</f>
        <v>0</v>
      </c>
      <c r="S2143" s="230">
        <f>(FME_Ranking1[[#This Row],[Critical Facilities Raw]]/$R$2)*100</f>
        <v>0</v>
      </c>
      <c r="T2143" s="180">
        <f>FME_Ranking1[[#This Row],[Critical Facilities Score (Normalized, Unweighted)]]*$R$3</f>
        <v>0</v>
      </c>
      <c r="U2143">
        <f>_xlfn.XLOOKUP(FME_Ranking1[[#This Row],[FME ID]],FME_Input[FME_ID],FME_Input[LWC])</f>
        <v>0</v>
      </c>
      <c r="V2143" s="178">
        <f>(FME_Ranking1[[#This Row],[LWC Raw]]/$U$2)*100</f>
        <v>0</v>
      </c>
      <c r="W2143" s="178">
        <f>FME_Ranking1[[#This Row],[LWC Score (Normalized, Unweighted)]]*$U$3</f>
        <v>0</v>
      </c>
      <c r="X2143" s="246">
        <f>_xlfn.XLOOKUP(FME_Ranking1[[#This Row],[FME ID]],FME_Input[FME_ID],FME_Input[ROADCLS])</f>
        <v>0</v>
      </c>
      <c r="Y2143" s="230">
        <f>(FME_Ranking1[[#This Row],[Closures Raw]]/$X$2)*100</f>
        <v>0</v>
      </c>
      <c r="Z2143" s="180">
        <f>FME_Ranking1[[#This Row],[Closures Score (Normalized, Unweighted)]]*$X$3</f>
        <v>0</v>
      </c>
      <c r="AA2143" s="253">
        <f>_xlfn.XLOOKUP(FME_Ranking1[[#This Row],[FME ID]],FME_Input[FME_ID],FME_Input[ROAD_MILES100])</f>
        <v>0.76035040616989136</v>
      </c>
      <c r="AB2143" s="178">
        <f>(FME_Ranking1[[#This Row],[Miles Raw]]/$AA$2)*100</f>
        <v>9.9972440886578005E-3</v>
      </c>
      <c r="AC2143" s="178">
        <f>FME_Ranking1[[#This Row],[Miles Score (Normalized, Unweighted)]]*$AA$3</f>
        <v>9.9972440886578E-4</v>
      </c>
      <c r="AD2143" s="255">
        <f>_xlfn.XLOOKUP(FME_Ranking1[[#This Row],[FME ID]],FME_Input[FME_ID],FME_Input[FARMACRE100])</f>
        <v>1.9955098628997801</v>
      </c>
      <c r="AE2143" s="230">
        <f>(FME_Ranking1[[#This Row],[Ag Land Raw]]/$AD$2)*100</f>
        <v>8.2285893838723336E-5</v>
      </c>
      <c r="AF2143" s="231">
        <f>FME_Ranking1[[#This Row],[Ag Land Score (Normalized, Unweighted)]]*$AD$3</f>
        <v>4.1142946919361671E-6</v>
      </c>
      <c r="AG214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1.0038387035577162E-3</v>
      </c>
      <c r="AH2143" s="406">
        <f t="shared" si="33"/>
        <v>2025</v>
      </c>
      <c r="AI214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1.0038387035577162E-3</v>
      </c>
      <c r="AJ2143" s="257">
        <f>FME_Ranking1[[#This Row],[Addition check]]-FME_Ranking1[[#This Row],[Weighted Score Based on Normalized Reported Factors]]</f>
        <v>0</v>
      </c>
      <c r="AK2143" s="178">
        <f>_xlfn.RANK.EQ(AI2143,$AI$6:$AI$2341,0)+COUNTIF($AI$6:AI2143,AI2143)-1</f>
        <v>2025</v>
      </c>
    </row>
    <row r="2144" spans="1:37" x14ac:dyDescent="0.25">
      <c r="A2144" t="s">
        <v>9690</v>
      </c>
      <c r="B2144">
        <f>_xlfn.XLOOKUP(FME_Ranking1[[#This Row],[FME ID]],FME_Input[FME_ID],FME_Input[RFPG_NUM])</f>
        <v>12</v>
      </c>
      <c r="C2144" t="str">
        <f>_xlfn.XLOOKUP(FME_Ranking1[[#This Row],[FME ID]],FME_Input[FME_ID],FME_Input[FME_NAME])</f>
        <v>La Vernia Issue # 5 (Hwy 87 crossing and CR 342)</v>
      </c>
      <c r="D2144" t="str">
        <f>_xlfn.XLOOKUP(FME_Ranking1[[#This Row],[FME ID]],FME_Input[FME_ID],FME_Input[DESCR])</f>
        <v>Study to assess city acquiring drainage easements in the area upstream of the Highway 87 crossings, as well as the area between the crossings at Highway 87 and the crossing at CR 342 for the purpose of constructing a channel.</v>
      </c>
      <c r="E2144" s="256">
        <f>_xlfn.XLOOKUP(FME_Ranking1[[#This Row],[FME ID]],FME_Input[FME_ID],FME_Input[FME_COST])</f>
        <v>150000</v>
      </c>
      <c r="F2144" t="str">
        <f>_xlfn.XLOOKUP(FME_Ranking1[[#This Row],[FME ID]],FME_Input[FME_ID],FME_Input[EMER_NEED])</f>
        <v>No</v>
      </c>
      <c r="G2144">
        <f>IF(FME_Ranking!F2144="Yes",100,0)</f>
        <v>0</v>
      </c>
      <c r="H2144">
        <f>FME_Ranking1[[#This Row],[Emergency Need Score (Normalized, Unweighted)]]*$F$3</f>
        <v>0</v>
      </c>
      <c r="I2144" s="246">
        <f>_xlfn.XLOOKUP(FME_Ranking1[[#This Row],[FME ID]],FME_Input[FME_ID],FME_Input[STRUCT_100])</f>
        <v>0</v>
      </c>
      <c r="J2144" s="178">
        <f>(FME_Ranking1[[#This Row],[Structures 100 Raw]]/I$2)*100</f>
        <v>0</v>
      </c>
      <c r="K2144" s="178">
        <f>FME_Ranking1[[#This Row],[Structures 100  Score (Normalized, Unweighted)]]*$I$3</f>
        <v>0</v>
      </c>
      <c r="L2144" s="246">
        <f>_xlfn.XLOOKUP(FME_Ranking1[[#This Row],[FME ID]],FME_Input[FME_ID],FME_Input[RES_STRUCT100])</f>
        <v>0</v>
      </c>
      <c r="M2144" s="230">
        <f>(FME_Ranking1[[#This Row],[Res Structures Raw]]/L$2)*100</f>
        <v>0</v>
      </c>
      <c r="N2144" s="180">
        <f>FME_Ranking1[[#This Row],[Res Structures Score (Normalized, Unweighted)]]*$L$3</f>
        <v>0</v>
      </c>
      <c r="O2144" s="244">
        <f>_xlfn.XLOOKUP(FME_Ranking1[[#This Row],[FME ID]],FME_Input[FME_ID],FME_Input[POP100])</f>
        <v>0</v>
      </c>
      <c r="P2144" s="178">
        <f>(FME_Ranking1[[#This Row],[Pop Raw]]/$O$2)*100</f>
        <v>0</v>
      </c>
      <c r="Q2144" s="178">
        <f>FME_Ranking1[[#This Row],[Pop Score (Normalized, Unweighted)]]*$O$3</f>
        <v>0</v>
      </c>
      <c r="R2144" s="137">
        <f>_xlfn.XLOOKUP(FME_Ranking1[[#This Row],[FME ID]],FME_Input[FME_ID],FME_Input[CRITFAC100])</f>
        <v>0</v>
      </c>
      <c r="S2144" s="230">
        <f>(FME_Ranking1[[#This Row],[Critical Facilities Raw]]/$R$2)*100</f>
        <v>0</v>
      </c>
      <c r="T2144" s="180">
        <f>FME_Ranking1[[#This Row],[Critical Facilities Score (Normalized, Unweighted)]]*$R$3</f>
        <v>0</v>
      </c>
      <c r="U2144">
        <f>_xlfn.XLOOKUP(FME_Ranking1[[#This Row],[FME ID]],FME_Input[FME_ID],FME_Input[LWC])</f>
        <v>0</v>
      </c>
      <c r="V2144" s="178">
        <f>(FME_Ranking1[[#This Row],[LWC Raw]]/$U$2)*100</f>
        <v>0</v>
      </c>
      <c r="W2144" s="178">
        <f>FME_Ranking1[[#This Row],[LWC Score (Normalized, Unweighted)]]*$U$3</f>
        <v>0</v>
      </c>
      <c r="X2144" s="246">
        <f>_xlfn.XLOOKUP(FME_Ranking1[[#This Row],[FME ID]],FME_Input[FME_ID],FME_Input[ROADCLS])</f>
        <v>0</v>
      </c>
      <c r="Y2144" s="230">
        <f>(FME_Ranking1[[#This Row],[Closures Raw]]/$X$2)*100</f>
        <v>0</v>
      </c>
      <c r="Z2144" s="180">
        <f>FME_Ranking1[[#This Row],[Closures Score (Normalized, Unweighted)]]*$X$3</f>
        <v>0</v>
      </c>
      <c r="AA2144" s="253">
        <f>_xlfn.XLOOKUP(FME_Ranking1[[#This Row],[FME ID]],FME_Input[FME_ID],FME_Input[ROAD_MILES100])</f>
        <v>9.9999997764825821E-3</v>
      </c>
      <c r="AB2144" s="178">
        <f>(FME_Ranking1[[#This Row],[Miles Raw]]/$AA$2)*100</f>
        <v>1.3148206121912974E-4</v>
      </c>
      <c r="AC2144" s="178">
        <f>FME_Ranking1[[#This Row],[Miles Score (Normalized, Unweighted)]]*$AA$3</f>
        <v>1.3148206121912975E-5</v>
      </c>
      <c r="AD2144" s="255">
        <f>_xlfn.XLOOKUP(FME_Ranking1[[#This Row],[FME ID]],FME_Input[FME_ID],FME_Input[FARMACRE100])</f>
        <v>1.9913100004196169</v>
      </c>
      <c r="AE2144" s="230">
        <f>(FME_Ranking1[[#This Row],[Ag Land Raw]]/$AD$2)*100</f>
        <v>8.2112710310741285E-5</v>
      </c>
      <c r="AF2144" s="231">
        <f>FME_Ranking1[[#This Row],[Ag Land Score (Normalized, Unweighted)]]*$AD$3</f>
        <v>4.1056355155370641E-6</v>
      </c>
      <c r="AG214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1.725384163745004E-5</v>
      </c>
      <c r="AH2144" s="406">
        <f t="shared" si="33"/>
        <v>2164</v>
      </c>
      <c r="AI214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1.725384163745004E-5</v>
      </c>
      <c r="AJ2144" s="257">
        <f>FME_Ranking1[[#This Row],[Addition check]]-FME_Ranking1[[#This Row],[Weighted Score Based on Normalized Reported Factors]]</f>
        <v>0</v>
      </c>
      <c r="AK2144" s="178">
        <f>_xlfn.RANK.EQ(AI2144,$AI$6:$AI$2341,0)+COUNTIF($AI$6:AI2144,AI2144)-1</f>
        <v>2164</v>
      </c>
    </row>
    <row r="2145" spans="1:37" x14ac:dyDescent="0.25">
      <c r="A2145" t="s">
        <v>10771</v>
      </c>
      <c r="B2145">
        <f>_xlfn.XLOOKUP(FME_Ranking1[[#This Row],[FME ID]],FME_Input[FME_ID],FME_Input[RFPG_NUM])</f>
        <v>13</v>
      </c>
      <c r="C2145" t="str">
        <f>_xlfn.XLOOKUP(FME_Ranking1[[#This Row],[FME ID]],FME_Input[FME_ID],FME_Input[FME_NAME])</f>
        <v>Aransas County Griffith Street Drainage Improvements</v>
      </c>
      <c r="D2145" t="str">
        <f>_xlfn.XLOOKUP(FME_Ranking1[[#This Row],[FME ID]],FME_Input[FME_ID],FME_Input[DESCR])</f>
        <v>Aransas County Griffith Street Drainage Improvements</v>
      </c>
      <c r="E2145" s="256">
        <f>_xlfn.XLOOKUP(FME_Ranking1[[#This Row],[FME ID]],FME_Input[FME_ID],FME_Input[FME_COST])</f>
        <v>97000</v>
      </c>
      <c r="F2145" t="str">
        <f>_xlfn.XLOOKUP(FME_Ranking1[[#This Row],[FME ID]],FME_Input[FME_ID],FME_Input[EMER_NEED])</f>
        <v>Yes</v>
      </c>
      <c r="G2145">
        <f>IF(FME_Ranking!F2145="Yes",100,0)</f>
        <v>100</v>
      </c>
      <c r="H2145">
        <f>FME_Ranking1[[#This Row],[Emergency Need Score (Normalized, Unweighted)]]*$F$3</f>
        <v>0</v>
      </c>
      <c r="I2145" s="246">
        <f>_xlfn.XLOOKUP(FME_Ranking1[[#This Row],[FME ID]],FME_Input[FME_ID],FME_Input[STRUCT_100])</f>
        <v>0</v>
      </c>
      <c r="J2145" s="178">
        <f>(FME_Ranking1[[#This Row],[Structures 100 Raw]]/I$2)*100</f>
        <v>0</v>
      </c>
      <c r="K2145" s="178">
        <f>FME_Ranking1[[#This Row],[Structures 100  Score (Normalized, Unweighted)]]*$I$3</f>
        <v>0</v>
      </c>
      <c r="L2145" s="246">
        <f>_xlfn.XLOOKUP(FME_Ranking1[[#This Row],[FME ID]],FME_Input[FME_ID],FME_Input[RES_STRUCT100])</f>
        <v>0</v>
      </c>
      <c r="M2145" s="230">
        <f>(FME_Ranking1[[#This Row],[Res Structures Raw]]/L$2)*100</f>
        <v>0</v>
      </c>
      <c r="N2145" s="180">
        <f>FME_Ranking1[[#This Row],[Res Structures Score (Normalized, Unweighted)]]*$L$3</f>
        <v>0</v>
      </c>
      <c r="O2145" s="244">
        <f>_xlfn.XLOOKUP(FME_Ranking1[[#This Row],[FME ID]],FME_Input[FME_ID],FME_Input[POP100])</f>
        <v>0</v>
      </c>
      <c r="P2145" s="178">
        <f>(FME_Ranking1[[#This Row],[Pop Raw]]/$O$2)*100</f>
        <v>0</v>
      </c>
      <c r="Q2145" s="178">
        <f>FME_Ranking1[[#This Row],[Pop Score (Normalized, Unweighted)]]*$O$3</f>
        <v>0</v>
      </c>
      <c r="R2145" s="137">
        <f>_xlfn.XLOOKUP(FME_Ranking1[[#This Row],[FME ID]],FME_Input[FME_ID],FME_Input[CRITFAC100])</f>
        <v>0</v>
      </c>
      <c r="S2145" s="230">
        <f>(FME_Ranking1[[#This Row],[Critical Facilities Raw]]/$R$2)*100</f>
        <v>0</v>
      </c>
      <c r="T2145" s="180">
        <f>FME_Ranking1[[#This Row],[Critical Facilities Score (Normalized, Unweighted)]]*$R$3</f>
        <v>0</v>
      </c>
      <c r="U2145">
        <f>_xlfn.XLOOKUP(FME_Ranking1[[#This Row],[FME ID]],FME_Input[FME_ID],FME_Input[LWC])</f>
        <v>0</v>
      </c>
      <c r="V2145" s="178">
        <f>(FME_Ranking1[[#This Row],[LWC Raw]]/$U$2)*100</f>
        <v>0</v>
      </c>
      <c r="W2145" s="178">
        <f>FME_Ranking1[[#This Row],[LWC Score (Normalized, Unweighted)]]*$U$3</f>
        <v>0</v>
      </c>
      <c r="X2145" s="246">
        <f>_xlfn.XLOOKUP(FME_Ranking1[[#This Row],[FME ID]],FME_Input[FME_ID],FME_Input[ROADCLS])</f>
        <v>0</v>
      </c>
      <c r="Y2145" s="230">
        <f>(FME_Ranking1[[#This Row],[Closures Raw]]/$X$2)*100</f>
        <v>0</v>
      </c>
      <c r="Z2145" s="180">
        <f>FME_Ranking1[[#This Row],[Closures Score (Normalized, Unweighted)]]*$X$3</f>
        <v>0</v>
      </c>
      <c r="AA2145" s="253">
        <f>_xlfn.XLOOKUP(FME_Ranking1[[#This Row],[FME ID]],FME_Input[FME_ID],FME_Input[ROAD_MILES100])</f>
        <v>0</v>
      </c>
      <c r="AB2145" s="178">
        <f>(FME_Ranking1[[#This Row],[Miles Raw]]/$AA$2)*100</f>
        <v>0</v>
      </c>
      <c r="AC2145" s="178">
        <f>FME_Ranking1[[#This Row],[Miles Score (Normalized, Unweighted)]]*$AA$3</f>
        <v>0</v>
      </c>
      <c r="AD2145" s="255">
        <f>_xlfn.XLOOKUP(FME_Ranking1[[#This Row],[FME ID]],FME_Input[FME_ID],FME_Input[FARMACRE100])</f>
        <v>1.876488924026489</v>
      </c>
      <c r="AE2145" s="230">
        <f>(FME_Ranking1[[#This Row],[Ag Land Raw]]/$AD$2)*100</f>
        <v>7.7378003117260807E-5</v>
      </c>
      <c r="AF2145" s="231">
        <f>FME_Ranking1[[#This Row],[Ag Land Score (Normalized, Unweighted)]]*$AD$3</f>
        <v>3.8689001558630403E-6</v>
      </c>
      <c r="AG214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3.8689001558630403E-6</v>
      </c>
      <c r="AH2145" s="406">
        <f t="shared" si="33"/>
        <v>2172</v>
      </c>
      <c r="AI214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3.8689001558630403E-6</v>
      </c>
      <c r="AJ2145" s="257">
        <f>FME_Ranking1[[#This Row],[Addition check]]-FME_Ranking1[[#This Row],[Weighted Score Based on Normalized Reported Factors]]</f>
        <v>0</v>
      </c>
      <c r="AK2145" s="178">
        <f>_xlfn.RANK.EQ(AI2145,$AI$6:$AI$2341,0)+COUNTIF($AI$6:AI2145,AI2145)-1</f>
        <v>2172</v>
      </c>
    </row>
    <row r="2146" spans="1:37" x14ac:dyDescent="0.25">
      <c r="A2146" t="s">
        <v>346</v>
      </c>
      <c r="B2146">
        <f>_xlfn.XLOOKUP(FME_Ranking1[[#This Row],[FME ID]],FME_Input[FME_ID],FME_Input[RFPG_NUM])</f>
        <v>10</v>
      </c>
      <c r="C2146" t="str">
        <f>_xlfn.XLOOKUP(FME_Ranking1[[#This Row],[FME ID]],FME_Input[FME_ID],FME_Input[FME_NAME])</f>
        <v>Repair of Little Barton Creek Dam</v>
      </c>
      <c r="D2146" t="str">
        <f>_xlfn.XLOOKUP(FME_Ranking1[[#This Row],[FME ID]],FME_Input[FME_ID],FME_Input[DESCR])</f>
        <v xml:space="preserve">Continue working with FEMA on repair of Little Barton Creek Dam_x000D_
</v>
      </c>
      <c r="E2146" s="256">
        <f>_xlfn.XLOOKUP(FME_Ranking1[[#This Row],[FME ID]],FME_Input[FME_ID],FME_Input[FME_COST])</f>
        <v>100000</v>
      </c>
      <c r="F2146" t="str">
        <f>_xlfn.XLOOKUP(FME_Ranking1[[#This Row],[FME ID]],FME_Input[FME_ID],FME_Input[EMER_NEED])</f>
        <v>No</v>
      </c>
      <c r="G2146">
        <f>IF(FME_Ranking!F2146="Yes",100,0)</f>
        <v>0</v>
      </c>
      <c r="H2146">
        <f>FME_Ranking1[[#This Row],[Emergency Need Score (Normalized, Unweighted)]]*$F$3</f>
        <v>0</v>
      </c>
      <c r="I2146" s="246">
        <f>_xlfn.XLOOKUP(FME_Ranking1[[#This Row],[FME ID]],FME_Input[FME_ID],FME_Input[STRUCT_100])</f>
        <v>0</v>
      </c>
      <c r="J2146" s="178">
        <f>(FME_Ranking1[[#This Row],[Structures 100 Raw]]/I$2)*100</f>
        <v>0</v>
      </c>
      <c r="K2146" s="178">
        <f>FME_Ranking1[[#This Row],[Structures 100  Score (Normalized, Unweighted)]]*$I$3</f>
        <v>0</v>
      </c>
      <c r="L2146" s="246">
        <f>_xlfn.XLOOKUP(FME_Ranking1[[#This Row],[FME ID]],FME_Input[FME_ID],FME_Input[RES_STRUCT100])</f>
        <v>0</v>
      </c>
      <c r="M2146" s="230">
        <f>(FME_Ranking1[[#This Row],[Res Structures Raw]]/L$2)*100</f>
        <v>0</v>
      </c>
      <c r="N2146" s="180">
        <f>FME_Ranking1[[#This Row],[Res Structures Score (Normalized, Unweighted)]]*$L$3</f>
        <v>0</v>
      </c>
      <c r="O2146" s="244">
        <f>_xlfn.XLOOKUP(FME_Ranking1[[#This Row],[FME ID]],FME_Input[FME_ID],FME_Input[POP100])</f>
        <v>0</v>
      </c>
      <c r="P2146" s="178">
        <f>(FME_Ranking1[[#This Row],[Pop Raw]]/$O$2)*100</f>
        <v>0</v>
      </c>
      <c r="Q2146" s="178">
        <f>FME_Ranking1[[#This Row],[Pop Score (Normalized, Unweighted)]]*$O$3</f>
        <v>0</v>
      </c>
      <c r="R2146" s="137">
        <f>_xlfn.XLOOKUP(FME_Ranking1[[#This Row],[FME ID]],FME_Input[FME_ID],FME_Input[CRITFAC100])</f>
        <v>0</v>
      </c>
      <c r="S2146" s="230">
        <f>(FME_Ranking1[[#This Row],[Critical Facilities Raw]]/$R$2)*100</f>
        <v>0</v>
      </c>
      <c r="T2146" s="180">
        <f>FME_Ranking1[[#This Row],[Critical Facilities Score (Normalized, Unweighted)]]*$R$3</f>
        <v>0</v>
      </c>
      <c r="U2146">
        <f>_xlfn.XLOOKUP(FME_Ranking1[[#This Row],[FME ID]],FME_Input[FME_ID],FME_Input[LWC])</f>
        <v>0</v>
      </c>
      <c r="V2146" s="178">
        <f>(FME_Ranking1[[#This Row],[LWC Raw]]/$U$2)*100</f>
        <v>0</v>
      </c>
      <c r="W2146" s="178">
        <f>FME_Ranking1[[#This Row],[LWC Score (Normalized, Unweighted)]]*$U$3</f>
        <v>0</v>
      </c>
      <c r="X2146" s="246">
        <f>_xlfn.XLOOKUP(FME_Ranking1[[#This Row],[FME ID]],FME_Input[FME_ID],FME_Input[ROADCLS])</f>
        <v>0</v>
      </c>
      <c r="Y2146" s="230">
        <f>(FME_Ranking1[[#This Row],[Closures Raw]]/$X$2)*100</f>
        <v>0</v>
      </c>
      <c r="Z2146" s="180">
        <f>FME_Ranking1[[#This Row],[Closures Score (Normalized, Unweighted)]]*$X$3</f>
        <v>0</v>
      </c>
      <c r="AA2146" s="253">
        <f>_xlfn.XLOOKUP(FME_Ranking1[[#This Row],[FME ID]],FME_Input[FME_ID],FME_Input[ROAD_MILES100])</f>
        <v>0</v>
      </c>
      <c r="AB2146" s="178">
        <f>(FME_Ranking1[[#This Row],[Miles Raw]]/$AA$2)*100</f>
        <v>0</v>
      </c>
      <c r="AC2146" s="178">
        <f>FME_Ranking1[[#This Row],[Miles Score (Normalized, Unweighted)]]*$AA$3</f>
        <v>0</v>
      </c>
      <c r="AD2146" s="255">
        <f>_xlfn.XLOOKUP(FME_Ranking1[[#This Row],[FME ID]],FME_Input[FME_ID],FME_Input[FARMACRE100])</f>
        <v>1.657958507537842</v>
      </c>
      <c r="AE2146" s="230">
        <f>(FME_Ranking1[[#This Row],[Ag Land Raw]]/$AD$2)*100</f>
        <v>6.8366786993484665E-5</v>
      </c>
      <c r="AF2146" s="231">
        <f>FME_Ranking1[[#This Row],[Ag Land Score (Normalized, Unweighted)]]*$AD$3</f>
        <v>3.4183393496742334E-6</v>
      </c>
      <c r="AG214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3.4183393496742334E-6</v>
      </c>
      <c r="AH2146" s="406">
        <f t="shared" si="33"/>
        <v>2173</v>
      </c>
      <c r="AI214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3.4183393496742334E-6</v>
      </c>
      <c r="AJ2146" s="257">
        <f>FME_Ranking1[[#This Row],[Addition check]]-FME_Ranking1[[#This Row],[Weighted Score Based on Normalized Reported Factors]]</f>
        <v>0</v>
      </c>
      <c r="AK2146" s="178">
        <f>_xlfn.RANK.EQ(AI2146,$AI$6:$AI$2341,0)+COUNTIF($AI$6:AI2146,AI2146)-1</f>
        <v>2173</v>
      </c>
    </row>
    <row r="2147" spans="1:37" x14ac:dyDescent="0.25">
      <c r="A2147" t="s">
        <v>7749</v>
      </c>
      <c r="B2147">
        <f>_xlfn.XLOOKUP(FME_Ranking1[[#This Row],[FME ID]],FME_Input[FME_ID],FME_Input[RFPG_NUM])</f>
        <v>8</v>
      </c>
      <c r="C2147" t="str">
        <f>_xlfn.XLOOKUP(FME_Ranking1[[#This Row],[FME ID]],FME_Input[FME_ID],FME_Input[FME_NAME])</f>
        <v>LID 2 Watershed Analysis</v>
      </c>
      <c r="D2147" t="str">
        <f>_xlfn.XLOOKUP(FME_Ranking1[[#This Row],[FME ID]],FME_Input[FME_ID],FME_Input[DESCR])</f>
        <v>Complete a drainage study for the Sugar Creek neighborhood to mitigate flooding risk.</v>
      </c>
      <c r="E2147" s="256">
        <f>_xlfn.XLOOKUP(FME_Ranking1[[#This Row],[FME ID]],FME_Input[FME_ID],FME_Input[FME_COST])</f>
        <v>75000</v>
      </c>
      <c r="F2147" t="str">
        <f>_xlfn.XLOOKUP(FME_Ranking1[[#This Row],[FME ID]],FME_Input[FME_ID],FME_Input[EMER_NEED])</f>
        <v>No</v>
      </c>
      <c r="G2147">
        <f>IF(FME_Ranking!F2147="Yes",100,0)</f>
        <v>0</v>
      </c>
      <c r="H2147">
        <f>FME_Ranking1[[#This Row],[Emergency Need Score (Normalized, Unweighted)]]*$F$3</f>
        <v>0</v>
      </c>
      <c r="I2147" s="246">
        <f>_xlfn.XLOOKUP(FME_Ranking1[[#This Row],[FME ID]],FME_Input[FME_ID],FME_Input[STRUCT_100])</f>
        <v>0</v>
      </c>
      <c r="J2147" s="178">
        <f>(FME_Ranking1[[#This Row],[Structures 100 Raw]]/I$2)*100</f>
        <v>0</v>
      </c>
      <c r="K2147" s="178">
        <f>FME_Ranking1[[#This Row],[Structures 100  Score (Normalized, Unweighted)]]*$I$3</f>
        <v>0</v>
      </c>
      <c r="L2147" s="246">
        <f>_xlfn.XLOOKUP(FME_Ranking1[[#This Row],[FME ID]],FME_Input[FME_ID],FME_Input[RES_STRUCT100])</f>
        <v>0</v>
      </c>
      <c r="M2147" s="230">
        <f>(FME_Ranking1[[#This Row],[Res Structures Raw]]/L$2)*100</f>
        <v>0</v>
      </c>
      <c r="N2147" s="180">
        <f>FME_Ranking1[[#This Row],[Res Structures Score (Normalized, Unweighted)]]*$L$3</f>
        <v>0</v>
      </c>
      <c r="O2147" s="244">
        <f>_xlfn.XLOOKUP(FME_Ranking1[[#This Row],[FME ID]],FME_Input[FME_ID],FME_Input[POP100])</f>
        <v>0</v>
      </c>
      <c r="P2147" s="178">
        <f>(FME_Ranking1[[#This Row],[Pop Raw]]/$O$2)*100</f>
        <v>0</v>
      </c>
      <c r="Q2147" s="178">
        <f>FME_Ranking1[[#This Row],[Pop Score (Normalized, Unweighted)]]*$O$3</f>
        <v>0</v>
      </c>
      <c r="R2147" s="137">
        <f>_xlfn.XLOOKUP(FME_Ranking1[[#This Row],[FME ID]],FME_Input[FME_ID],FME_Input[CRITFAC100])</f>
        <v>0</v>
      </c>
      <c r="S2147" s="230">
        <f>(FME_Ranking1[[#This Row],[Critical Facilities Raw]]/$R$2)*100</f>
        <v>0</v>
      </c>
      <c r="T2147" s="180">
        <f>FME_Ranking1[[#This Row],[Critical Facilities Score (Normalized, Unweighted)]]*$R$3</f>
        <v>0</v>
      </c>
      <c r="U2147">
        <f>_xlfn.XLOOKUP(FME_Ranking1[[#This Row],[FME ID]],FME_Input[FME_ID],FME_Input[LWC])</f>
        <v>0</v>
      </c>
      <c r="V2147" s="178">
        <f>(FME_Ranking1[[#This Row],[LWC Raw]]/$U$2)*100</f>
        <v>0</v>
      </c>
      <c r="W2147" s="178">
        <f>FME_Ranking1[[#This Row],[LWC Score (Normalized, Unweighted)]]*$U$3</f>
        <v>0</v>
      </c>
      <c r="X2147" s="246">
        <f>_xlfn.XLOOKUP(FME_Ranking1[[#This Row],[FME ID]],FME_Input[FME_ID],FME_Input[ROADCLS])</f>
        <v>0</v>
      </c>
      <c r="Y2147" s="230">
        <f>(FME_Ranking1[[#This Row],[Closures Raw]]/$X$2)*100</f>
        <v>0</v>
      </c>
      <c r="Z2147" s="180">
        <f>FME_Ranking1[[#This Row],[Closures Score (Normalized, Unweighted)]]*$X$3</f>
        <v>0</v>
      </c>
      <c r="AA2147" s="253">
        <f>_xlfn.XLOOKUP(FME_Ranking1[[#This Row],[FME ID]],FME_Input[FME_ID],FME_Input[ROAD_MILES100])</f>
        <v>0</v>
      </c>
      <c r="AB2147" s="178">
        <f>(FME_Ranking1[[#This Row],[Miles Raw]]/$AA$2)*100</f>
        <v>0</v>
      </c>
      <c r="AC2147" s="178">
        <f>FME_Ranking1[[#This Row],[Miles Score (Normalized, Unweighted)]]*$AA$3</f>
        <v>0</v>
      </c>
      <c r="AD2147" s="255">
        <f>_xlfn.XLOOKUP(FME_Ranking1[[#This Row],[FME ID]],FME_Input[FME_ID],FME_Input[FARMACRE100])</f>
        <v>1.5634200572967529</v>
      </c>
      <c r="AE2147" s="230">
        <f>(FME_Ranking1[[#This Row],[Ag Land Raw]]/$AD$2)*100</f>
        <v>6.4468444507263456E-5</v>
      </c>
      <c r="AF2147" s="231">
        <f>FME_Ranking1[[#This Row],[Ag Land Score (Normalized, Unweighted)]]*$AD$3</f>
        <v>3.223422225363173E-6</v>
      </c>
      <c r="AG214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3.223422225363173E-6</v>
      </c>
      <c r="AH2147" s="406">
        <f t="shared" si="33"/>
        <v>2174</v>
      </c>
      <c r="AI214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3.223422225363173E-6</v>
      </c>
      <c r="AJ2147" s="257">
        <f>FME_Ranking1[[#This Row],[Addition check]]-FME_Ranking1[[#This Row],[Weighted Score Based on Normalized Reported Factors]]</f>
        <v>0</v>
      </c>
      <c r="AK2147" s="178">
        <f>_xlfn.RANK.EQ(AI2147,$AI$6:$AI$2341,0)+COUNTIF($AI$6:AI2147,AI2147)-1</f>
        <v>2174</v>
      </c>
    </row>
    <row r="2148" spans="1:37" x14ac:dyDescent="0.25">
      <c r="A2148" t="s">
        <v>94</v>
      </c>
      <c r="B2148">
        <f>_xlfn.XLOOKUP(FME_Ranking1[[#This Row],[FME ID]],FME_Input[FME_ID],FME_Input[RFPG_NUM])</f>
        <v>10</v>
      </c>
      <c r="C2148" t="str">
        <f>_xlfn.XLOOKUP(FME_Ranking1[[#This Row],[FME ID]],FME_Input[FME_ID],FME_Input[FME_NAME])</f>
        <v>Meduna Rd &amp; Barton Oaks Draw 1</v>
      </c>
      <c r="D2148" t="str">
        <f>_xlfn.XLOOKUP(FME_Ranking1[[#This Row],[FME ID]],FME_Input[FME_ID],FME_Input[DESCR])</f>
        <v>LWC to Culvert, Cast-in-place box culvert-bridge</v>
      </c>
      <c r="E2148" s="256">
        <f>_xlfn.XLOOKUP(FME_Ranking1[[#This Row],[FME ID]],FME_Input[FME_ID],FME_Input[FME_COST])</f>
        <v>100000</v>
      </c>
      <c r="F2148" t="str">
        <f>_xlfn.XLOOKUP(FME_Ranking1[[#This Row],[FME ID]],FME_Input[FME_ID],FME_Input[EMER_NEED])</f>
        <v>No</v>
      </c>
      <c r="G2148">
        <f>IF(FME_Ranking!F2148="Yes",100,0)</f>
        <v>0</v>
      </c>
      <c r="H2148">
        <f>FME_Ranking1[[#This Row],[Emergency Need Score (Normalized, Unweighted)]]*$F$3</f>
        <v>0</v>
      </c>
      <c r="I2148" s="246">
        <f>_xlfn.XLOOKUP(FME_Ranking1[[#This Row],[FME ID]],FME_Input[FME_ID],FME_Input[STRUCT_100])</f>
        <v>0</v>
      </c>
      <c r="J2148" s="178">
        <f>(FME_Ranking1[[#This Row],[Structures 100 Raw]]/I$2)*100</f>
        <v>0</v>
      </c>
      <c r="K2148" s="178">
        <f>FME_Ranking1[[#This Row],[Structures 100  Score (Normalized, Unweighted)]]*$I$3</f>
        <v>0</v>
      </c>
      <c r="L2148" s="246">
        <f>_xlfn.XLOOKUP(FME_Ranking1[[#This Row],[FME ID]],FME_Input[FME_ID],FME_Input[RES_STRUCT100])</f>
        <v>0</v>
      </c>
      <c r="M2148" s="230">
        <f>(FME_Ranking1[[#This Row],[Res Structures Raw]]/L$2)*100</f>
        <v>0</v>
      </c>
      <c r="N2148" s="180">
        <f>FME_Ranking1[[#This Row],[Res Structures Score (Normalized, Unweighted)]]*$L$3</f>
        <v>0</v>
      </c>
      <c r="O2148" s="244">
        <f>_xlfn.XLOOKUP(FME_Ranking1[[#This Row],[FME ID]],FME_Input[FME_ID],FME_Input[POP100])</f>
        <v>0</v>
      </c>
      <c r="P2148" s="178">
        <f>(FME_Ranking1[[#This Row],[Pop Raw]]/$O$2)*100</f>
        <v>0</v>
      </c>
      <c r="Q2148" s="178">
        <f>FME_Ranking1[[#This Row],[Pop Score (Normalized, Unweighted)]]*$O$3</f>
        <v>0</v>
      </c>
      <c r="R2148" s="137">
        <f>_xlfn.XLOOKUP(FME_Ranking1[[#This Row],[FME ID]],FME_Input[FME_ID],FME_Input[CRITFAC100])</f>
        <v>0</v>
      </c>
      <c r="S2148" s="230">
        <f>(FME_Ranking1[[#This Row],[Critical Facilities Raw]]/$R$2)*100</f>
        <v>0</v>
      </c>
      <c r="T2148" s="180">
        <f>FME_Ranking1[[#This Row],[Critical Facilities Score (Normalized, Unweighted)]]*$R$3</f>
        <v>0</v>
      </c>
      <c r="U2148">
        <f>_xlfn.XLOOKUP(FME_Ranking1[[#This Row],[FME ID]],FME_Input[FME_ID],FME_Input[LWC])</f>
        <v>0</v>
      </c>
      <c r="V2148" s="178">
        <f>(FME_Ranking1[[#This Row],[LWC Raw]]/$U$2)*100</f>
        <v>0</v>
      </c>
      <c r="W2148" s="178">
        <f>FME_Ranking1[[#This Row],[LWC Score (Normalized, Unweighted)]]*$U$3</f>
        <v>0</v>
      </c>
      <c r="X2148" s="246">
        <f>_xlfn.XLOOKUP(FME_Ranking1[[#This Row],[FME ID]],FME_Input[FME_ID],FME_Input[ROADCLS])</f>
        <v>0</v>
      </c>
      <c r="Y2148" s="230">
        <f>(FME_Ranking1[[#This Row],[Closures Raw]]/$X$2)*100</f>
        <v>0</v>
      </c>
      <c r="Z2148" s="180">
        <f>FME_Ranking1[[#This Row],[Closures Score (Normalized, Unweighted)]]*$X$3</f>
        <v>0</v>
      </c>
      <c r="AA2148" s="253">
        <f>_xlfn.XLOOKUP(FME_Ranking1[[#This Row],[FME ID]],FME_Input[FME_ID],FME_Input[ROAD_MILES100])</f>
        <v>6.2633715569972992E-2</v>
      </c>
      <c r="AB2148" s="178">
        <f>(FME_Ranking1[[#This Row],[Miles Raw]]/$AA$2)*100</f>
        <v>8.2352102090240407E-4</v>
      </c>
      <c r="AC2148" s="178">
        <f>FME_Ranking1[[#This Row],[Miles Score (Normalized, Unweighted)]]*$AA$3</f>
        <v>8.2352102090240409E-5</v>
      </c>
      <c r="AD2148" s="255">
        <f>_xlfn.XLOOKUP(FME_Ranking1[[#This Row],[FME ID]],FME_Input[FME_ID],FME_Input[FARMACRE100])</f>
        <v>1.547157764434814</v>
      </c>
      <c r="AE2148" s="230">
        <f>(FME_Ranking1[[#This Row],[Ag Land Raw]]/$AD$2)*100</f>
        <v>6.379786034785108E-5</v>
      </c>
      <c r="AF2148" s="231">
        <f>FME_Ranking1[[#This Row],[Ag Land Score (Normalized, Unweighted)]]*$AD$3</f>
        <v>3.1898930173925542E-6</v>
      </c>
      <c r="AG214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8.5541995107632959E-5</v>
      </c>
      <c r="AH2148" s="406">
        <f t="shared" si="33"/>
        <v>2146</v>
      </c>
      <c r="AI214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8.5541995107632959E-5</v>
      </c>
      <c r="AJ2148" s="257">
        <f>FME_Ranking1[[#This Row],[Addition check]]-FME_Ranking1[[#This Row],[Weighted Score Based on Normalized Reported Factors]]</f>
        <v>0</v>
      </c>
      <c r="AK2148" s="178">
        <f>_xlfn.RANK.EQ(AI2148,$AI$6:$AI$2341,0)+COUNTIF($AI$6:AI2148,AI2148)-1</f>
        <v>2146</v>
      </c>
    </row>
    <row r="2149" spans="1:37" x14ac:dyDescent="0.25">
      <c r="A2149" t="s">
        <v>100</v>
      </c>
      <c r="B2149">
        <f>_xlfn.XLOOKUP(FME_Ranking1[[#This Row],[FME ID]],FME_Input[FME_ID],FME_Input[RFPG_NUM])</f>
        <v>10</v>
      </c>
      <c r="C2149" t="str">
        <f>_xlfn.XLOOKUP(FME_Ranking1[[#This Row],[FME ID]],FME_Input[FME_ID],FME_Input[FME_NAME])</f>
        <v>Hall Rd &amp; Young's Branch</v>
      </c>
      <c r="D2149" t="str">
        <f>_xlfn.XLOOKUP(FME_Ranking1[[#This Row],[FME ID]],FME_Input[FME_ID],FME_Input[DESCR])</f>
        <v>Upgrade Box-culvert bridge</v>
      </c>
      <c r="E2149" s="256">
        <f>_xlfn.XLOOKUP(FME_Ranking1[[#This Row],[FME ID]],FME_Input[FME_ID],FME_Input[FME_COST])</f>
        <v>100000</v>
      </c>
      <c r="F2149" t="str">
        <f>_xlfn.XLOOKUP(FME_Ranking1[[#This Row],[FME ID]],FME_Input[FME_ID],FME_Input[EMER_NEED])</f>
        <v>No</v>
      </c>
      <c r="G2149">
        <f>IF(FME_Ranking!F2149="Yes",100,0)</f>
        <v>0</v>
      </c>
      <c r="H2149">
        <f>FME_Ranking1[[#This Row],[Emergency Need Score (Normalized, Unweighted)]]*$F$3</f>
        <v>0</v>
      </c>
      <c r="I2149" s="246">
        <f>_xlfn.XLOOKUP(FME_Ranking1[[#This Row],[FME ID]],FME_Input[FME_ID],FME_Input[STRUCT_100])</f>
        <v>0</v>
      </c>
      <c r="J2149" s="178">
        <f>(FME_Ranking1[[#This Row],[Structures 100 Raw]]/I$2)*100</f>
        <v>0</v>
      </c>
      <c r="K2149" s="178">
        <f>FME_Ranking1[[#This Row],[Structures 100  Score (Normalized, Unweighted)]]*$I$3</f>
        <v>0</v>
      </c>
      <c r="L2149" s="246">
        <f>_xlfn.XLOOKUP(FME_Ranking1[[#This Row],[FME ID]],FME_Input[FME_ID],FME_Input[RES_STRUCT100])</f>
        <v>0</v>
      </c>
      <c r="M2149" s="230">
        <f>(FME_Ranking1[[#This Row],[Res Structures Raw]]/L$2)*100</f>
        <v>0</v>
      </c>
      <c r="N2149" s="180">
        <f>FME_Ranking1[[#This Row],[Res Structures Score (Normalized, Unweighted)]]*$L$3</f>
        <v>0</v>
      </c>
      <c r="O2149" s="244">
        <f>_xlfn.XLOOKUP(FME_Ranking1[[#This Row],[FME ID]],FME_Input[FME_ID],FME_Input[POP100])</f>
        <v>0</v>
      </c>
      <c r="P2149" s="178">
        <f>(FME_Ranking1[[#This Row],[Pop Raw]]/$O$2)*100</f>
        <v>0</v>
      </c>
      <c r="Q2149" s="178">
        <f>FME_Ranking1[[#This Row],[Pop Score (Normalized, Unweighted)]]*$O$3</f>
        <v>0</v>
      </c>
      <c r="R2149" s="137">
        <f>_xlfn.XLOOKUP(FME_Ranking1[[#This Row],[FME ID]],FME_Input[FME_ID],FME_Input[CRITFAC100])</f>
        <v>0</v>
      </c>
      <c r="S2149" s="230">
        <f>(FME_Ranking1[[#This Row],[Critical Facilities Raw]]/$R$2)*100</f>
        <v>0</v>
      </c>
      <c r="T2149" s="180">
        <f>FME_Ranking1[[#This Row],[Critical Facilities Score (Normalized, Unweighted)]]*$R$3</f>
        <v>0</v>
      </c>
      <c r="U2149">
        <f>_xlfn.XLOOKUP(FME_Ranking1[[#This Row],[FME ID]],FME_Input[FME_ID],FME_Input[LWC])</f>
        <v>0</v>
      </c>
      <c r="V2149" s="178">
        <f>(FME_Ranking1[[#This Row],[LWC Raw]]/$U$2)*100</f>
        <v>0</v>
      </c>
      <c r="W2149" s="178">
        <f>FME_Ranking1[[#This Row],[LWC Score (Normalized, Unweighted)]]*$U$3</f>
        <v>0</v>
      </c>
      <c r="X2149" s="246">
        <f>_xlfn.XLOOKUP(FME_Ranking1[[#This Row],[FME ID]],FME_Input[FME_ID],FME_Input[ROADCLS])</f>
        <v>0</v>
      </c>
      <c r="Y2149" s="230">
        <f>(FME_Ranking1[[#This Row],[Closures Raw]]/$X$2)*100</f>
        <v>0</v>
      </c>
      <c r="Z2149" s="180">
        <f>FME_Ranking1[[#This Row],[Closures Score (Normalized, Unweighted)]]*$X$3</f>
        <v>0</v>
      </c>
      <c r="AA2149" s="253">
        <f>_xlfn.XLOOKUP(FME_Ranking1[[#This Row],[FME ID]],FME_Input[FME_ID],FME_Input[ROAD_MILES100])</f>
        <v>4.7016434371471412E-2</v>
      </c>
      <c r="AB2149" s="178">
        <f>(FME_Ranking1[[#This Row],[Miles Raw]]/$AA$2)*100</f>
        <v>6.1818178405093961E-4</v>
      </c>
      <c r="AC2149" s="178">
        <f>FME_Ranking1[[#This Row],[Miles Score (Normalized, Unweighted)]]*$AA$3</f>
        <v>6.1818178405093958E-5</v>
      </c>
      <c r="AD2149" s="255">
        <f>_xlfn.XLOOKUP(FME_Ranking1[[#This Row],[FME ID]],FME_Input[FME_ID],FME_Input[FARMACRE100])</f>
        <v>1.5021897554397581</v>
      </c>
      <c r="AE2149" s="230">
        <f>(FME_Ranking1[[#This Row],[Ag Land Raw]]/$AD$2)*100</f>
        <v>6.1943580956353147E-5</v>
      </c>
      <c r="AF2149" s="231">
        <f>FME_Ranking1[[#This Row],[Ag Land Score (Normalized, Unweighted)]]*$AD$3</f>
        <v>3.0971790478176575E-6</v>
      </c>
      <c r="AG214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6.4915357452911615E-5</v>
      </c>
      <c r="AH2149" s="406">
        <f t="shared" si="33"/>
        <v>2150</v>
      </c>
      <c r="AI214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6.4915357452911615E-5</v>
      </c>
      <c r="AJ2149" s="257">
        <f>FME_Ranking1[[#This Row],[Addition check]]-FME_Ranking1[[#This Row],[Weighted Score Based on Normalized Reported Factors]]</f>
        <v>0</v>
      </c>
      <c r="AK2149" s="178">
        <f>_xlfn.RANK.EQ(AI2149,$AI$6:$AI$2341,0)+COUNTIF($AI$6:AI2149,AI2149)-1</f>
        <v>2150</v>
      </c>
    </row>
    <row r="2150" spans="1:37" x14ac:dyDescent="0.25">
      <c r="A2150" t="s">
        <v>8454</v>
      </c>
      <c r="B2150">
        <f>_xlfn.XLOOKUP(FME_Ranking1[[#This Row],[FME ID]],FME_Input[FME_ID],FME_Input[RFPG_NUM])</f>
        <v>10</v>
      </c>
      <c r="C2150" t="str">
        <f>_xlfn.XLOOKUP(FME_Ranking1[[#This Row],[FME ID]],FME_Input[FME_ID],FME_Input[FME_NAME])</f>
        <v>Goat Trail Erosion Control Structure Project Planning</v>
      </c>
      <c r="D2150" t="str">
        <f>_xlfn.XLOOKUP(FME_Ranking1[[#This Row],[FME ID]],FME_Input[FME_ID],FME_Input[DESCR])</f>
        <v>Project planning for project to replace erosion control structure. Develop technical data required for FMP.</v>
      </c>
      <c r="E2150" s="256">
        <f>_xlfn.XLOOKUP(FME_Ranking1[[#This Row],[FME ID]],FME_Input[FME_ID],FME_Input[FME_COST])</f>
        <v>225000</v>
      </c>
      <c r="F2150" t="str">
        <f>_xlfn.XLOOKUP(FME_Ranking1[[#This Row],[FME ID]],FME_Input[FME_ID],FME_Input[EMER_NEED])</f>
        <v>No</v>
      </c>
      <c r="G2150">
        <f>IF(FME_Ranking!F2150="Yes",100,0)</f>
        <v>0</v>
      </c>
      <c r="H2150">
        <f>FME_Ranking1[[#This Row],[Emergency Need Score (Normalized, Unweighted)]]*$F$3</f>
        <v>0</v>
      </c>
      <c r="I2150" s="246">
        <f>_xlfn.XLOOKUP(FME_Ranking1[[#This Row],[FME ID]],FME_Input[FME_ID],FME_Input[STRUCT_100])</f>
        <v>0</v>
      </c>
      <c r="J2150" s="178">
        <f>(FME_Ranking1[[#This Row],[Structures 100 Raw]]/I$2)*100</f>
        <v>0</v>
      </c>
      <c r="K2150" s="178">
        <f>FME_Ranking1[[#This Row],[Structures 100  Score (Normalized, Unweighted)]]*$I$3</f>
        <v>0</v>
      </c>
      <c r="L2150" s="246">
        <f>_xlfn.XLOOKUP(FME_Ranking1[[#This Row],[FME ID]],FME_Input[FME_ID],FME_Input[RES_STRUCT100])</f>
        <v>0</v>
      </c>
      <c r="M2150" s="230">
        <f>(FME_Ranking1[[#This Row],[Res Structures Raw]]/L$2)*100</f>
        <v>0</v>
      </c>
      <c r="N2150" s="180">
        <f>FME_Ranking1[[#This Row],[Res Structures Score (Normalized, Unweighted)]]*$L$3</f>
        <v>0</v>
      </c>
      <c r="O2150" s="244">
        <f>_xlfn.XLOOKUP(FME_Ranking1[[#This Row],[FME ID]],FME_Input[FME_ID],FME_Input[POP100])</f>
        <v>0</v>
      </c>
      <c r="P2150" s="178">
        <f>(FME_Ranking1[[#This Row],[Pop Raw]]/$O$2)*100</f>
        <v>0</v>
      </c>
      <c r="Q2150" s="178">
        <f>FME_Ranking1[[#This Row],[Pop Score (Normalized, Unweighted)]]*$O$3</f>
        <v>0</v>
      </c>
      <c r="R2150" s="137">
        <f>_xlfn.XLOOKUP(FME_Ranking1[[#This Row],[FME ID]],FME_Input[FME_ID],FME_Input[CRITFAC100])</f>
        <v>0</v>
      </c>
      <c r="S2150" s="230">
        <f>(FME_Ranking1[[#This Row],[Critical Facilities Raw]]/$R$2)*100</f>
        <v>0</v>
      </c>
      <c r="T2150" s="180">
        <f>FME_Ranking1[[#This Row],[Critical Facilities Score (Normalized, Unweighted)]]*$R$3</f>
        <v>0</v>
      </c>
      <c r="U2150">
        <f>_xlfn.XLOOKUP(FME_Ranking1[[#This Row],[FME ID]],FME_Input[FME_ID],FME_Input[LWC])</f>
        <v>0</v>
      </c>
      <c r="V2150" s="178">
        <f>(FME_Ranking1[[#This Row],[LWC Raw]]/$U$2)*100</f>
        <v>0</v>
      </c>
      <c r="W2150" s="178">
        <f>FME_Ranking1[[#This Row],[LWC Score (Normalized, Unweighted)]]*$U$3</f>
        <v>0</v>
      </c>
      <c r="X2150" s="246">
        <f>_xlfn.XLOOKUP(FME_Ranking1[[#This Row],[FME ID]],FME_Input[FME_ID],FME_Input[ROADCLS])</f>
        <v>0</v>
      </c>
      <c r="Y2150" s="230">
        <f>(FME_Ranking1[[#This Row],[Closures Raw]]/$X$2)*100</f>
        <v>0</v>
      </c>
      <c r="Z2150" s="180">
        <f>FME_Ranking1[[#This Row],[Closures Score (Normalized, Unweighted)]]*$X$3</f>
        <v>0</v>
      </c>
      <c r="AA2150" s="253">
        <f>_xlfn.XLOOKUP(FME_Ranking1[[#This Row],[FME ID]],FME_Input[FME_ID],FME_Input[ROAD_MILES100])</f>
        <v>0</v>
      </c>
      <c r="AB2150" s="178">
        <f>(FME_Ranking1[[#This Row],[Miles Raw]]/$AA$2)*100</f>
        <v>0</v>
      </c>
      <c r="AC2150" s="178">
        <f>FME_Ranking1[[#This Row],[Miles Score (Normalized, Unweighted)]]*$AA$3</f>
        <v>0</v>
      </c>
      <c r="AD2150" s="255">
        <f>_xlfn.XLOOKUP(FME_Ranking1[[#This Row],[FME ID]],FME_Input[FME_ID],FME_Input[FARMACRE100])</f>
        <v>1.29563319683075</v>
      </c>
      <c r="AE2150" s="230">
        <f>(FME_Ranking1[[#This Row],[Ag Land Raw]]/$AD$2)*100</f>
        <v>5.3426113130514342E-5</v>
      </c>
      <c r="AF2150" s="231">
        <f>FME_Ranking1[[#This Row],[Ag Land Score (Normalized, Unweighted)]]*$AD$3</f>
        <v>2.6713056565257173E-6</v>
      </c>
      <c r="AG215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2.6713056565257173E-6</v>
      </c>
      <c r="AH2150" s="406">
        <f t="shared" si="33"/>
        <v>2175</v>
      </c>
      <c r="AI215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2.6713056565257173E-6</v>
      </c>
      <c r="AJ2150" s="257">
        <f>FME_Ranking1[[#This Row],[Addition check]]-FME_Ranking1[[#This Row],[Weighted Score Based on Normalized Reported Factors]]</f>
        <v>0</v>
      </c>
      <c r="AK2150" s="178">
        <f>_xlfn.RANK.EQ(AI2150,$AI$6:$AI$2341,0)+COUNTIF($AI$6:AI2150,AI2150)-1</f>
        <v>2175</v>
      </c>
    </row>
    <row r="2151" spans="1:37" x14ac:dyDescent="0.25">
      <c r="A2151" t="s">
        <v>8348</v>
      </c>
      <c r="B2151">
        <f>_xlfn.XLOOKUP(FME_Ranking1[[#This Row],[FME ID]],FME_Input[FME_ID],FME_Input[RFPG_NUM])</f>
        <v>9</v>
      </c>
      <c r="C2151" t="str">
        <f>_xlfn.XLOOKUP(FME_Ranking1[[#This Row],[FME ID]],FME_Input[FME_ID],FME_Input[FME_NAME])</f>
        <v xml:space="preserve">North Fork Red Arroyo Detention </v>
      </c>
      <c r="D2151" t="str">
        <f>_xlfn.XLOOKUP(FME_Ranking1[[#This Row],[FME ID]],FME_Input[FME_ID],FME_Input[DESCR])</f>
        <v>8 ac and 12 ac regional detention basins</v>
      </c>
      <c r="E2151" s="256">
        <f>_xlfn.XLOOKUP(FME_Ranking1[[#This Row],[FME ID]],FME_Input[FME_ID],FME_Input[FME_COST])</f>
        <v>25000</v>
      </c>
      <c r="F2151" t="str">
        <f>_xlfn.XLOOKUP(FME_Ranking1[[#This Row],[FME ID]],FME_Input[FME_ID],FME_Input[EMER_NEED])</f>
        <v>No</v>
      </c>
      <c r="G2151">
        <f>IF(FME_Ranking!F2151="Yes",100,0)</f>
        <v>0</v>
      </c>
      <c r="H2151">
        <f>FME_Ranking1[[#This Row],[Emergency Need Score (Normalized, Unweighted)]]*$F$3</f>
        <v>0</v>
      </c>
      <c r="I2151" s="246">
        <f>_xlfn.XLOOKUP(FME_Ranking1[[#This Row],[FME ID]],FME_Input[FME_ID],FME_Input[STRUCT_100])</f>
        <v>0</v>
      </c>
      <c r="J2151" s="178">
        <f>(FME_Ranking1[[#This Row],[Structures 100 Raw]]/I$2)*100</f>
        <v>0</v>
      </c>
      <c r="K2151" s="178">
        <f>FME_Ranking1[[#This Row],[Structures 100  Score (Normalized, Unweighted)]]*$I$3</f>
        <v>0</v>
      </c>
      <c r="L2151" s="246">
        <f>_xlfn.XLOOKUP(FME_Ranking1[[#This Row],[FME ID]],FME_Input[FME_ID],FME_Input[RES_STRUCT100])</f>
        <v>0</v>
      </c>
      <c r="M2151" s="230">
        <f>(FME_Ranking1[[#This Row],[Res Structures Raw]]/L$2)*100</f>
        <v>0</v>
      </c>
      <c r="N2151" s="180">
        <f>FME_Ranking1[[#This Row],[Res Structures Score (Normalized, Unweighted)]]*$L$3</f>
        <v>0</v>
      </c>
      <c r="O2151" s="244">
        <f>_xlfn.XLOOKUP(FME_Ranking1[[#This Row],[FME ID]],FME_Input[FME_ID],FME_Input[POP100])</f>
        <v>0</v>
      </c>
      <c r="P2151" s="178">
        <f>(FME_Ranking1[[#This Row],[Pop Raw]]/$O$2)*100</f>
        <v>0</v>
      </c>
      <c r="Q2151" s="178">
        <f>FME_Ranking1[[#This Row],[Pop Score (Normalized, Unweighted)]]*$O$3</f>
        <v>0</v>
      </c>
      <c r="R2151" s="137">
        <f>_xlfn.XLOOKUP(FME_Ranking1[[#This Row],[FME ID]],FME_Input[FME_ID],FME_Input[CRITFAC100])</f>
        <v>0</v>
      </c>
      <c r="S2151" s="230">
        <f>(FME_Ranking1[[#This Row],[Critical Facilities Raw]]/$R$2)*100</f>
        <v>0</v>
      </c>
      <c r="T2151" s="180">
        <f>FME_Ranking1[[#This Row],[Critical Facilities Score (Normalized, Unweighted)]]*$R$3</f>
        <v>0</v>
      </c>
      <c r="U2151">
        <f>_xlfn.XLOOKUP(FME_Ranking1[[#This Row],[FME ID]],FME_Input[FME_ID],FME_Input[LWC])</f>
        <v>0</v>
      </c>
      <c r="V2151" s="178">
        <f>(FME_Ranking1[[#This Row],[LWC Raw]]/$U$2)*100</f>
        <v>0</v>
      </c>
      <c r="W2151" s="178">
        <f>FME_Ranking1[[#This Row],[LWC Score (Normalized, Unweighted)]]*$U$3</f>
        <v>0</v>
      </c>
      <c r="X2151" s="246">
        <f>_xlfn.XLOOKUP(FME_Ranking1[[#This Row],[FME ID]],FME_Input[FME_ID],FME_Input[ROADCLS])</f>
        <v>0</v>
      </c>
      <c r="Y2151" s="230">
        <f>(FME_Ranking1[[#This Row],[Closures Raw]]/$X$2)*100</f>
        <v>0</v>
      </c>
      <c r="Z2151" s="180">
        <f>FME_Ranking1[[#This Row],[Closures Score (Normalized, Unweighted)]]*$X$3</f>
        <v>0</v>
      </c>
      <c r="AA2151" s="253">
        <f>_xlfn.XLOOKUP(FME_Ranking1[[#This Row],[FME ID]],FME_Input[FME_ID],FME_Input[ROAD_MILES100])</f>
        <v>0</v>
      </c>
      <c r="AB2151" s="178">
        <f>(FME_Ranking1[[#This Row],[Miles Raw]]/$AA$2)*100</f>
        <v>0</v>
      </c>
      <c r="AC2151" s="178">
        <f>FME_Ranking1[[#This Row],[Miles Score (Normalized, Unweighted)]]*$AA$3</f>
        <v>0</v>
      </c>
      <c r="AD2151" s="255">
        <f>_xlfn.XLOOKUP(FME_Ranking1[[#This Row],[FME ID]],FME_Input[FME_ID],FME_Input[FARMACRE100])</f>
        <v>1.0861918926239009</v>
      </c>
      <c r="AE2151" s="230">
        <f>(FME_Ranking1[[#This Row],[Ag Land Raw]]/$AD$2)*100</f>
        <v>4.4789691309794899E-5</v>
      </c>
      <c r="AF2151" s="231">
        <f>FME_Ranking1[[#This Row],[Ag Land Score (Normalized, Unweighted)]]*$AD$3</f>
        <v>2.2394845654897448E-6</v>
      </c>
      <c r="AG215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2.2394845654897448E-6</v>
      </c>
      <c r="AH2151" s="406">
        <f t="shared" si="33"/>
        <v>2176</v>
      </c>
      <c r="AI215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2.2394845654897448E-6</v>
      </c>
      <c r="AJ2151" s="257">
        <f>FME_Ranking1[[#This Row],[Addition check]]-FME_Ranking1[[#This Row],[Weighted Score Based on Normalized Reported Factors]]</f>
        <v>0</v>
      </c>
      <c r="AK2151" s="178">
        <f>_xlfn.RANK.EQ(AI2151,$AI$6:$AI$2341,0)+COUNTIF($AI$6:AI2151,AI2151)-1</f>
        <v>2176</v>
      </c>
    </row>
    <row r="2152" spans="1:37" x14ac:dyDescent="0.25">
      <c r="A2152" t="s">
        <v>1492</v>
      </c>
      <c r="B2152">
        <f>_xlfn.XLOOKUP(FME_Ranking1[[#This Row],[FME ID]],FME_Input[FME_ID],FME_Input[RFPG_NUM])</f>
        <v>6</v>
      </c>
      <c r="C2152" t="str">
        <f>_xlfn.XLOOKUP(FME_Ranking1[[#This Row],[FME ID]],FME_Input[FME_ID],FME_Input[FME_NAME])</f>
        <v>Barker - T103-00-00</v>
      </c>
      <c r="D2152" t="str">
        <f>_xlfn.XLOOKUP(FME_Ranking1[[#This Row],[FME ID]],FME_Input[FME_ID],FME_Input[DESCR])</f>
        <v>Further study of Flood Risk Reduction need identified through the HCFCD 'Watershed Planning Tool' to determine channel modifications needed to restore/improve channel conveyance including Atlas 14 rainfall.</v>
      </c>
      <c r="E2152" s="256">
        <f>_xlfn.XLOOKUP(FME_Ranking1[[#This Row],[FME ID]],FME_Input[FME_ID],FME_Input[FME_COST])</f>
        <v>100000</v>
      </c>
      <c r="F2152" t="str">
        <f>_xlfn.XLOOKUP(FME_Ranking1[[#This Row],[FME ID]],FME_Input[FME_ID],FME_Input[EMER_NEED])</f>
        <v>No</v>
      </c>
      <c r="G2152">
        <f>IF(FME_Ranking!F2152="Yes",100,0)</f>
        <v>0</v>
      </c>
      <c r="H2152">
        <f>FME_Ranking1[[#This Row],[Emergency Need Score (Normalized, Unweighted)]]*$F$3</f>
        <v>0</v>
      </c>
      <c r="I2152" s="246">
        <f>_xlfn.XLOOKUP(FME_Ranking1[[#This Row],[FME ID]],FME_Input[FME_ID],FME_Input[STRUCT_100])</f>
        <v>0</v>
      </c>
      <c r="J2152" s="178">
        <f>(FME_Ranking1[[#This Row],[Structures 100 Raw]]/I$2)*100</f>
        <v>0</v>
      </c>
      <c r="K2152" s="178">
        <f>FME_Ranking1[[#This Row],[Structures 100  Score (Normalized, Unweighted)]]*$I$3</f>
        <v>0</v>
      </c>
      <c r="L2152" s="246">
        <f>_xlfn.XLOOKUP(FME_Ranking1[[#This Row],[FME ID]],FME_Input[FME_ID],FME_Input[RES_STRUCT100])</f>
        <v>0</v>
      </c>
      <c r="M2152" s="230">
        <f>(FME_Ranking1[[#This Row],[Res Structures Raw]]/L$2)*100</f>
        <v>0</v>
      </c>
      <c r="N2152" s="180">
        <f>FME_Ranking1[[#This Row],[Res Structures Score (Normalized, Unweighted)]]*$L$3</f>
        <v>0</v>
      </c>
      <c r="O2152" s="244">
        <f>_xlfn.XLOOKUP(FME_Ranking1[[#This Row],[FME ID]],FME_Input[FME_ID],FME_Input[POP100])</f>
        <v>0</v>
      </c>
      <c r="P2152" s="178">
        <f>(FME_Ranking1[[#This Row],[Pop Raw]]/$O$2)*100</f>
        <v>0</v>
      </c>
      <c r="Q2152" s="178">
        <f>FME_Ranking1[[#This Row],[Pop Score (Normalized, Unweighted)]]*$O$3</f>
        <v>0</v>
      </c>
      <c r="R2152" s="137">
        <f>_xlfn.XLOOKUP(FME_Ranking1[[#This Row],[FME ID]],FME_Input[FME_ID],FME_Input[CRITFAC100])</f>
        <v>0</v>
      </c>
      <c r="S2152" s="230">
        <f>(FME_Ranking1[[#This Row],[Critical Facilities Raw]]/$R$2)*100</f>
        <v>0</v>
      </c>
      <c r="T2152" s="180">
        <f>FME_Ranking1[[#This Row],[Critical Facilities Score (Normalized, Unweighted)]]*$R$3</f>
        <v>0</v>
      </c>
      <c r="U2152">
        <f>_xlfn.XLOOKUP(FME_Ranking1[[#This Row],[FME ID]],FME_Input[FME_ID],FME_Input[LWC])</f>
        <v>0</v>
      </c>
      <c r="V2152" s="178">
        <f>(FME_Ranking1[[#This Row],[LWC Raw]]/$U$2)*100</f>
        <v>0</v>
      </c>
      <c r="W2152" s="178">
        <f>FME_Ranking1[[#This Row],[LWC Score (Normalized, Unweighted)]]*$U$3</f>
        <v>0</v>
      </c>
      <c r="X2152" s="246">
        <f>_xlfn.XLOOKUP(FME_Ranking1[[#This Row],[FME ID]],FME_Input[FME_ID],FME_Input[ROADCLS])</f>
        <v>0</v>
      </c>
      <c r="Y2152" s="230">
        <f>(FME_Ranking1[[#This Row],[Closures Raw]]/$X$2)*100</f>
        <v>0</v>
      </c>
      <c r="Z2152" s="180">
        <f>FME_Ranking1[[#This Row],[Closures Score (Normalized, Unweighted)]]*$X$3</f>
        <v>0</v>
      </c>
      <c r="AA2152" s="253">
        <f>_xlfn.XLOOKUP(FME_Ranking1[[#This Row],[FME ID]],FME_Input[FME_ID],FME_Input[ROAD_MILES100])</f>
        <v>0.62903547286987305</v>
      </c>
      <c r="AB2152" s="178">
        <f>(FME_Ranking1[[#This Row],[Miles Raw]]/$AA$2)*100</f>
        <v>8.2706882401523754E-3</v>
      </c>
      <c r="AC2152" s="178">
        <f>FME_Ranking1[[#This Row],[Miles Score (Normalized, Unweighted)]]*$AA$3</f>
        <v>8.2706882401523758E-4</v>
      </c>
      <c r="AD2152" s="255">
        <f>_xlfn.XLOOKUP(FME_Ranking1[[#This Row],[FME ID]],FME_Input[FME_ID],FME_Input[FARMACRE100])</f>
        <v>1.0302524566650391</v>
      </c>
      <c r="AE2152" s="230">
        <f>(FME_Ranking1[[#This Row],[Ag Land Raw]]/$AD$2)*100</f>
        <v>4.2482999383942895E-5</v>
      </c>
      <c r="AF2152" s="231">
        <f>FME_Ranking1[[#This Row],[Ag Land Score (Normalized, Unweighted)]]*$AD$3</f>
        <v>2.1241499691971448E-6</v>
      </c>
      <c r="AG215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8.2919297398443474E-4</v>
      </c>
      <c r="AH2152" s="406">
        <f t="shared" si="33"/>
        <v>2042</v>
      </c>
      <c r="AI215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8.2919297398443474E-4</v>
      </c>
      <c r="AJ2152" s="257">
        <f>FME_Ranking1[[#This Row],[Addition check]]-FME_Ranking1[[#This Row],[Weighted Score Based on Normalized Reported Factors]]</f>
        <v>0</v>
      </c>
      <c r="AK2152" s="178">
        <f>_xlfn.RANK.EQ(AI2152,$AI$6:$AI$2341,0)+COUNTIF($AI$6:AI2152,AI2152)-1</f>
        <v>2042</v>
      </c>
    </row>
    <row r="2153" spans="1:37" x14ac:dyDescent="0.25">
      <c r="A2153" t="s">
        <v>9703</v>
      </c>
      <c r="B2153">
        <f>_xlfn.XLOOKUP(FME_Ranking1[[#This Row],[FME ID]],FME_Input[FME_ID],FME_Input[RFPG_NUM])</f>
        <v>12</v>
      </c>
      <c r="C2153" t="str">
        <f>_xlfn.XLOOKUP(FME_Ranking1[[#This Row],[FME ID]],FME_Input[FME_ID],FME_Input[FME_NAME])</f>
        <v>Escondidio Creek WS SCS Site 1, 2, 4 Dam</v>
      </c>
      <c r="D2153" t="str">
        <f>_xlfn.XLOOKUP(FME_Ranking1[[#This Row],[FME ID]],FME_Input[FME_ID],FME_Input[DESCR])</f>
        <v>Rehabilitation of Escondido Creek 1,2, and 4 to ensure passage of the PMF.</v>
      </c>
      <c r="E2153" s="256">
        <f>_xlfn.XLOOKUP(FME_Ranking1[[#This Row],[FME ID]],FME_Input[FME_ID],FME_Input[FME_COST])</f>
        <v>300000</v>
      </c>
      <c r="F2153" t="str">
        <f>_xlfn.XLOOKUP(FME_Ranking1[[#This Row],[FME ID]],FME_Input[FME_ID],FME_Input[EMER_NEED])</f>
        <v>No</v>
      </c>
      <c r="G2153">
        <f>IF(FME_Ranking!F2153="Yes",100,0)</f>
        <v>0</v>
      </c>
      <c r="H2153">
        <f>FME_Ranking1[[#This Row],[Emergency Need Score (Normalized, Unweighted)]]*$F$3</f>
        <v>0</v>
      </c>
      <c r="I2153" s="246">
        <f>_xlfn.XLOOKUP(FME_Ranking1[[#This Row],[FME ID]],FME_Input[FME_ID],FME_Input[STRUCT_100])</f>
        <v>0</v>
      </c>
      <c r="J2153" s="178">
        <f>(FME_Ranking1[[#This Row],[Structures 100 Raw]]/I$2)*100</f>
        <v>0</v>
      </c>
      <c r="K2153" s="178">
        <f>FME_Ranking1[[#This Row],[Structures 100  Score (Normalized, Unweighted)]]*$I$3</f>
        <v>0</v>
      </c>
      <c r="L2153" s="246">
        <f>_xlfn.XLOOKUP(FME_Ranking1[[#This Row],[FME ID]],FME_Input[FME_ID],FME_Input[RES_STRUCT100])</f>
        <v>0</v>
      </c>
      <c r="M2153" s="230">
        <f>(FME_Ranking1[[#This Row],[Res Structures Raw]]/L$2)*100</f>
        <v>0</v>
      </c>
      <c r="N2153" s="180">
        <f>FME_Ranking1[[#This Row],[Res Structures Score (Normalized, Unweighted)]]*$L$3</f>
        <v>0</v>
      </c>
      <c r="O2153" s="244">
        <f>_xlfn.XLOOKUP(FME_Ranking1[[#This Row],[FME ID]],FME_Input[FME_ID],FME_Input[POP100])</f>
        <v>0</v>
      </c>
      <c r="P2153" s="178">
        <f>(FME_Ranking1[[#This Row],[Pop Raw]]/$O$2)*100</f>
        <v>0</v>
      </c>
      <c r="Q2153" s="178">
        <f>FME_Ranking1[[#This Row],[Pop Score (Normalized, Unweighted)]]*$O$3</f>
        <v>0</v>
      </c>
      <c r="R2153" s="137">
        <f>_xlfn.XLOOKUP(FME_Ranking1[[#This Row],[FME ID]],FME_Input[FME_ID],FME_Input[CRITFAC100])</f>
        <v>0</v>
      </c>
      <c r="S2153" s="230">
        <f>(FME_Ranking1[[#This Row],[Critical Facilities Raw]]/$R$2)*100</f>
        <v>0</v>
      </c>
      <c r="T2153" s="180">
        <f>FME_Ranking1[[#This Row],[Critical Facilities Score (Normalized, Unweighted)]]*$R$3</f>
        <v>0</v>
      </c>
      <c r="U2153">
        <f>_xlfn.XLOOKUP(FME_Ranking1[[#This Row],[FME ID]],FME_Input[FME_ID],FME_Input[LWC])</f>
        <v>0</v>
      </c>
      <c r="V2153" s="178">
        <f>(FME_Ranking1[[#This Row],[LWC Raw]]/$U$2)*100</f>
        <v>0</v>
      </c>
      <c r="W2153" s="178">
        <f>FME_Ranking1[[#This Row],[LWC Score (Normalized, Unweighted)]]*$U$3</f>
        <v>0</v>
      </c>
      <c r="X2153" s="246">
        <f>_xlfn.XLOOKUP(FME_Ranking1[[#This Row],[FME ID]],FME_Input[FME_ID],FME_Input[ROADCLS])</f>
        <v>0</v>
      </c>
      <c r="Y2153" s="230">
        <f>(FME_Ranking1[[#This Row],[Closures Raw]]/$X$2)*100</f>
        <v>0</v>
      </c>
      <c r="Z2153" s="180">
        <f>FME_Ranking1[[#This Row],[Closures Score (Normalized, Unweighted)]]*$X$3</f>
        <v>0</v>
      </c>
      <c r="AA2153" s="253">
        <f>_xlfn.XLOOKUP(FME_Ranking1[[#This Row],[FME ID]],FME_Input[FME_ID],FME_Input[ROAD_MILES100])</f>
        <v>0</v>
      </c>
      <c r="AB2153" s="178">
        <f>(FME_Ranking1[[#This Row],[Miles Raw]]/$AA$2)*100</f>
        <v>0</v>
      </c>
      <c r="AC2153" s="178">
        <f>FME_Ranking1[[#This Row],[Miles Score (Normalized, Unweighted)]]*$AA$3</f>
        <v>0</v>
      </c>
      <c r="AD2153" s="255">
        <f>_xlfn.XLOOKUP(FME_Ranking1[[#This Row],[FME ID]],FME_Input[FME_ID],FME_Input[FARMACRE100])</f>
        <v>1.019180059432983</v>
      </c>
      <c r="AE2153" s="230">
        <f>(FME_Ranking1[[#This Row],[Ag Land Raw]]/$AD$2)*100</f>
        <v>4.2026423287719959E-5</v>
      </c>
      <c r="AF2153" s="231">
        <f>FME_Ranking1[[#This Row],[Ag Land Score (Normalized, Unweighted)]]*$AD$3</f>
        <v>2.1013211643859982E-6</v>
      </c>
      <c r="AG215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2.1013211643859982E-6</v>
      </c>
      <c r="AH2153" s="406">
        <f t="shared" si="33"/>
        <v>2177</v>
      </c>
      <c r="AI215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2.1013211643859982E-6</v>
      </c>
      <c r="AJ2153" s="257">
        <f>FME_Ranking1[[#This Row],[Addition check]]-FME_Ranking1[[#This Row],[Weighted Score Based on Normalized Reported Factors]]</f>
        <v>0</v>
      </c>
      <c r="AK2153" s="178">
        <f>_xlfn.RANK.EQ(AI2153,$AI$6:$AI$2341,0)+COUNTIF($AI$6:AI2153,AI2153)-1</f>
        <v>2177</v>
      </c>
    </row>
    <row r="2154" spans="1:37" x14ac:dyDescent="0.25">
      <c r="A2154" t="s">
        <v>8884</v>
      </c>
      <c r="B2154">
        <f>_xlfn.XLOOKUP(FME_Ranking1[[#This Row],[FME ID]],FME_Input[FME_ID],FME_Input[RFPG_NUM])</f>
        <v>11</v>
      </c>
      <c r="C2154" t="str">
        <f>_xlfn.XLOOKUP(FME_Ranking1[[#This Row],[FME ID]],FME_Input[FME_ID],FME_Input[FME_NAME])</f>
        <v>City of Wimberley Little Arkansas at Blanco River Low Water Crossing Project Planning</v>
      </c>
      <c r="D2154" t="str">
        <f>_xlfn.XLOOKUP(FME_Ranking1[[#This Row],[FME ID]],FME_Input[FME_ID],FME_Input[DESCR])</f>
        <v>Project planning for proposed project to replace low water crossing at Little Arkansas at Blanco River</v>
      </c>
      <c r="E2154" s="256">
        <f>_xlfn.XLOOKUP(FME_Ranking1[[#This Row],[FME ID]],FME_Input[FME_ID],FME_Input[FME_COST])</f>
        <v>100000</v>
      </c>
      <c r="F2154" t="str">
        <f>_xlfn.XLOOKUP(FME_Ranking1[[#This Row],[FME ID]],FME_Input[FME_ID],FME_Input[EMER_NEED])</f>
        <v>No</v>
      </c>
      <c r="G2154">
        <f>IF(FME_Ranking!F2154="Yes",100,0)</f>
        <v>0</v>
      </c>
      <c r="H2154">
        <f>FME_Ranking1[[#This Row],[Emergency Need Score (Normalized, Unweighted)]]*$F$3</f>
        <v>0</v>
      </c>
      <c r="I2154" s="246">
        <f>_xlfn.XLOOKUP(FME_Ranking1[[#This Row],[FME ID]],FME_Input[FME_ID],FME_Input[STRUCT_100])</f>
        <v>0</v>
      </c>
      <c r="J2154" s="178">
        <f>(FME_Ranking1[[#This Row],[Structures 100 Raw]]/I$2)*100</f>
        <v>0</v>
      </c>
      <c r="K2154" s="178">
        <f>FME_Ranking1[[#This Row],[Structures 100  Score (Normalized, Unweighted)]]*$I$3</f>
        <v>0</v>
      </c>
      <c r="L2154" s="246">
        <f>_xlfn.XLOOKUP(FME_Ranking1[[#This Row],[FME ID]],FME_Input[FME_ID],FME_Input[RES_STRUCT100])</f>
        <v>0</v>
      </c>
      <c r="M2154" s="230">
        <f>(FME_Ranking1[[#This Row],[Res Structures Raw]]/L$2)*100</f>
        <v>0</v>
      </c>
      <c r="N2154" s="180">
        <f>FME_Ranking1[[#This Row],[Res Structures Score (Normalized, Unweighted)]]*$L$3</f>
        <v>0</v>
      </c>
      <c r="O2154" s="244">
        <f>_xlfn.XLOOKUP(FME_Ranking1[[#This Row],[FME ID]],FME_Input[FME_ID],FME_Input[POP100])</f>
        <v>0</v>
      </c>
      <c r="P2154" s="178">
        <f>(FME_Ranking1[[#This Row],[Pop Raw]]/$O$2)*100</f>
        <v>0</v>
      </c>
      <c r="Q2154" s="178">
        <f>FME_Ranking1[[#This Row],[Pop Score (Normalized, Unweighted)]]*$O$3</f>
        <v>0</v>
      </c>
      <c r="R2154" s="137">
        <f>_xlfn.XLOOKUP(FME_Ranking1[[#This Row],[FME ID]],FME_Input[FME_ID],FME_Input[CRITFAC100])</f>
        <v>0</v>
      </c>
      <c r="S2154" s="230">
        <f>(FME_Ranking1[[#This Row],[Critical Facilities Raw]]/$R$2)*100</f>
        <v>0</v>
      </c>
      <c r="T2154" s="180">
        <f>FME_Ranking1[[#This Row],[Critical Facilities Score (Normalized, Unweighted)]]*$R$3</f>
        <v>0</v>
      </c>
      <c r="U2154">
        <f>_xlfn.XLOOKUP(FME_Ranking1[[#This Row],[FME ID]],FME_Input[FME_ID],FME_Input[LWC])</f>
        <v>0</v>
      </c>
      <c r="V2154" s="178">
        <f>(FME_Ranking1[[#This Row],[LWC Raw]]/$U$2)*100</f>
        <v>0</v>
      </c>
      <c r="W2154" s="178">
        <f>FME_Ranking1[[#This Row],[LWC Score (Normalized, Unweighted)]]*$U$3</f>
        <v>0</v>
      </c>
      <c r="X2154" s="246">
        <f>_xlfn.XLOOKUP(FME_Ranking1[[#This Row],[FME ID]],FME_Input[FME_ID],FME_Input[ROADCLS])</f>
        <v>0</v>
      </c>
      <c r="Y2154" s="230">
        <f>(FME_Ranking1[[#This Row],[Closures Raw]]/$X$2)*100</f>
        <v>0</v>
      </c>
      <c r="Z2154" s="180">
        <f>FME_Ranking1[[#This Row],[Closures Score (Normalized, Unweighted)]]*$X$3</f>
        <v>0</v>
      </c>
      <c r="AA2154" s="253">
        <f>_xlfn.XLOOKUP(FME_Ranking1[[#This Row],[FME ID]],FME_Input[FME_ID],FME_Input[ROAD_MILES100])</f>
        <v>0</v>
      </c>
      <c r="AB2154" s="178">
        <f>(FME_Ranking1[[#This Row],[Miles Raw]]/$AA$2)*100</f>
        <v>0</v>
      </c>
      <c r="AC2154" s="178">
        <f>FME_Ranking1[[#This Row],[Miles Score (Normalized, Unweighted)]]*$AA$3</f>
        <v>0</v>
      </c>
      <c r="AD2154" s="255">
        <f>_xlfn.XLOOKUP(FME_Ranking1[[#This Row],[FME ID]],FME_Input[FME_ID],FME_Input[FARMACRE100])</f>
        <v>0.63248997926712036</v>
      </c>
      <c r="AE2154" s="230">
        <f>(FME_Ranking1[[#This Row],[Ag Land Raw]]/$AD$2)*100</f>
        <v>2.6081055401250319E-5</v>
      </c>
      <c r="AF2154" s="231">
        <f>FME_Ranking1[[#This Row],[Ag Land Score (Normalized, Unweighted)]]*$AD$3</f>
        <v>1.304052770062516E-6</v>
      </c>
      <c r="AG215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1.304052770062516E-6</v>
      </c>
      <c r="AH2154" s="406">
        <f t="shared" si="33"/>
        <v>2179</v>
      </c>
      <c r="AI215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1.304052770062516E-6</v>
      </c>
      <c r="AJ2154" s="257">
        <f>FME_Ranking1[[#This Row],[Addition check]]-FME_Ranking1[[#This Row],[Weighted Score Based on Normalized Reported Factors]]</f>
        <v>0</v>
      </c>
      <c r="AK2154" s="178">
        <f>_xlfn.RANK.EQ(AI2154,$AI$6:$AI$2341,0)+COUNTIF($AI$6:AI2154,AI2154)-1</f>
        <v>2179</v>
      </c>
    </row>
    <row r="2155" spans="1:37" x14ac:dyDescent="0.25">
      <c r="A2155" t="s">
        <v>3061</v>
      </c>
      <c r="B2155">
        <f>_xlfn.XLOOKUP(FME_Ranking1[[#This Row],[FME ID]],FME_Input[FME_ID],FME_Input[RFPG_NUM])</f>
        <v>1</v>
      </c>
      <c r="C2155" t="str">
        <f>_xlfn.XLOOKUP(FME_Ranking1[[#This Row],[FME ID]],FME_Input[FME_ID],FME_Input[FME_NAME])</f>
        <v>Windthorst City Drainage Master Plan</v>
      </c>
      <c r="D2155" t="str">
        <f>_xlfn.XLOOKUP(FME_Ranking1[[#This Row],[FME ID]],FME_Input[FME_ID],FME_Input[DESCR])</f>
        <v xml:space="preserve">Perform H&amp;H modeling, develop conceptual alternatives and OPCC, and rank projects; selected based on HMAPs </v>
      </c>
      <c r="E2155" s="256">
        <f>_xlfn.XLOOKUP(FME_Ranking1[[#This Row],[FME ID]],FME_Input[FME_ID],FME_Input[FME_COST])</f>
        <v>250000</v>
      </c>
      <c r="F2155" t="str">
        <f>_xlfn.XLOOKUP(FME_Ranking1[[#This Row],[FME ID]],FME_Input[FME_ID],FME_Input[EMER_NEED])</f>
        <v>No</v>
      </c>
      <c r="G2155">
        <f>IF(FME_Ranking!F2155="Yes",100,0)</f>
        <v>0</v>
      </c>
      <c r="H2155">
        <f>FME_Ranking1[[#This Row],[Emergency Need Score (Normalized, Unweighted)]]*$F$3</f>
        <v>0</v>
      </c>
      <c r="I2155" s="246">
        <f>_xlfn.XLOOKUP(FME_Ranking1[[#This Row],[FME ID]],FME_Input[FME_ID],FME_Input[STRUCT_100])</f>
        <v>0</v>
      </c>
      <c r="J2155" s="178">
        <f>(FME_Ranking1[[#This Row],[Structures 100 Raw]]/I$2)*100</f>
        <v>0</v>
      </c>
      <c r="K2155" s="178">
        <f>FME_Ranking1[[#This Row],[Structures 100  Score (Normalized, Unweighted)]]*$I$3</f>
        <v>0</v>
      </c>
      <c r="L2155" s="246">
        <f>_xlfn.XLOOKUP(FME_Ranking1[[#This Row],[FME ID]],FME_Input[FME_ID],FME_Input[RES_STRUCT100])</f>
        <v>0</v>
      </c>
      <c r="M2155" s="230">
        <f>(FME_Ranking1[[#This Row],[Res Structures Raw]]/L$2)*100</f>
        <v>0</v>
      </c>
      <c r="N2155" s="180">
        <f>FME_Ranking1[[#This Row],[Res Structures Score (Normalized, Unweighted)]]*$L$3</f>
        <v>0</v>
      </c>
      <c r="O2155" s="244">
        <f>_xlfn.XLOOKUP(FME_Ranking1[[#This Row],[FME ID]],FME_Input[FME_ID],FME_Input[POP100])</f>
        <v>0</v>
      </c>
      <c r="P2155" s="178">
        <f>(FME_Ranking1[[#This Row],[Pop Raw]]/$O$2)*100</f>
        <v>0</v>
      </c>
      <c r="Q2155" s="178">
        <f>FME_Ranking1[[#This Row],[Pop Score (Normalized, Unweighted)]]*$O$3</f>
        <v>0</v>
      </c>
      <c r="R2155" s="137">
        <f>_xlfn.XLOOKUP(FME_Ranking1[[#This Row],[FME ID]],FME_Input[FME_ID],FME_Input[CRITFAC100])</f>
        <v>0</v>
      </c>
      <c r="S2155" s="230">
        <f>(FME_Ranking1[[#This Row],[Critical Facilities Raw]]/$R$2)*100</f>
        <v>0</v>
      </c>
      <c r="T2155" s="180">
        <f>FME_Ranking1[[#This Row],[Critical Facilities Score (Normalized, Unweighted)]]*$R$3</f>
        <v>0</v>
      </c>
      <c r="U2155">
        <f>_xlfn.XLOOKUP(FME_Ranking1[[#This Row],[FME ID]],FME_Input[FME_ID],FME_Input[LWC])</f>
        <v>0</v>
      </c>
      <c r="V2155" s="178">
        <f>(FME_Ranking1[[#This Row],[LWC Raw]]/$U$2)*100</f>
        <v>0</v>
      </c>
      <c r="W2155" s="178">
        <f>FME_Ranking1[[#This Row],[LWC Score (Normalized, Unweighted)]]*$U$3</f>
        <v>0</v>
      </c>
      <c r="X2155" s="246">
        <f>_xlfn.XLOOKUP(FME_Ranking1[[#This Row],[FME ID]],FME_Input[FME_ID],FME_Input[ROADCLS])</f>
        <v>0</v>
      </c>
      <c r="Y2155" s="230">
        <f>(FME_Ranking1[[#This Row],[Closures Raw]]/$X$2)*100</f>
        <v>0</v>
      </c>
      <c r="Z2155" s="180">
        <f>FME_Ranking1[[#This Row],[Closures Score (Normalized, Unweighted)]]*$X$3</f>
        <v>0</v>
      </c>
      <c r="AA2155" s="253">
        <f>_xlfn.XLOOKUP(FME_Ranking1[[#This Row],[FME ID]],FME_Input[FME_ID],FME_Input[ROAD_MILES100])</f>
        <v>0</v>
      </c>
      <c r="AB2155" s="178">
        <f>(FME_Ranking1[[#This Row],[Miles Raw]]/$AA$2)*100</f>
        <v>0</v>
      </c>
      <c r="AC2155" s="178">
        <f>FME_Ranking1[[#This Row],[Miles Score (Normalized, Unweighted)]]*$AA$3</f>
        <v>0</v>
      </c>
      <c r="AD2155" s="255">
        <f>_xlfn.XLOOKUP(FME_Ranking1[[#This Row],[FME ID]],FME_Input[FME_ID],FME_Input[FARMACRE100])</f>
        <v>0.59399408102035522</v>
      </c>
      <c r="AE2155" s="230">
        <f>(FME_Ranking1[[#This Row],[Ag Land Raw]]/$AD$2)*100</f>
        <v>2.4493656884584251E-5</v>
      </c>
      <c r="AF2155" s="231">
        <f>FME_Ranking1[[#This Row],[Ag Land Score (Normalized, Unweighted)]]*$AD$3</f>
        <v>1.2246828442292125E-6</v>
      </c>
      <c r="AG215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1.2246828442292125E-6</v>
      </c>
      <c r="AH2155" s="406">
        <f t="shared" si="33"/>
        <v>2180</v>
      </c>
      <c r="AI215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1.2246828442292125E-6</v>
      </c>
      <c r="AJ2155" s="257">
        <f>FME_Ranking1[[#This Row],[Addition check]]-FME_Ranking1[[#This Row],[Weighted Score Based on Normalized Reported Factors]]</f>
        <v>0</v>
      </c>
      <c r="AK2155" s="178">
        <f>_xlfn.RANK.EQ(AI2155,$AI$6:$AI$2341,0)+COUNTIF($AI$6:AI2155,AI2155)-1</f>
        <v>2180</v>
      </c>
    </row>
    <row r="2156" spans="1:37" x14ac:dyDescent="0.25">
      <c r="A2156" t="s">
        <v>6054</v>
      </c>
      <c r="B2156">
        <f>_xlfn.XLOOKUP(FME_Ranking1[[#This Row],[FME ID]],FME_Input[FME_ID],FME_Input[RFPG_NUM])</f>
        <v>5</v>
      </c>
      <c r="C2156" t="str">
        <f>_xlfn.XLOOKUP(FME_Ranking1[[#This Row],[FME ID]],FME_Input[FME_ID],FME_Input[FME_NAME])</f>
        <v>City of Daisetta Drainage Projects</v>
      </c>
      <c r="D2156" t="str">
        <f>_xlfn.XLOOKUP(FME_Ranking1[[#This Row],[FME ID]],FME_Input[FME_ID],FME_Input[DESCR])</f>
        <v>Evaluate project to quantify benefits, evaluate impacts, and begin design. Project consists of drainage improvements throughout the city to include widening culverts and ditches.</v>
      </c>
      <c r="E2156" s="256">
        <f>_xlfn.XLOOKUP(FME_Ranking1[[#This Row],[FME ID]],FME_Input[FME_ID],FME_Input[FME_COST])</f>
        <v>150000</v>
      </c>
      <c r="F2156" t="str">
        <f>_xlfn.XLOOKUP(FME_Ranking1[[#This Row],[FME ID]],FME_Input[FME_ID],FME_Input[EMER_NEED])</f>
        <v>Yes</v>
      </c>
      <c r="G2156">
        <f>IF(FME_Ranking!F2156="Yes",100,0)</f>
        <v>100</v>
      </c>
      <c r="H2156">
        <f>FME_Ranking1[[#This Row],[Emergency Need Score (Normalized, Unweighted)]]*$F$3</f>
        <v>0</v>
      </c>
      <c r="I2156" s="246">
        <f>_xlfn.XLOOKUP(FME_Ranking1[[#This Row],[FME ID]],FME_Input[FME_ID],FME_Input[STRUCT_100])</f>
        <v>0</v>
      </c>
      <c r="J2156" s="178">
        <f>(FME_Ranking1[[#This Row],[Structures 100 Raw]]/I$2)*100</f>
        <v>0</v>
      </c>
      <c r="K2156" s="178">
        <f>FME_Ranking1[[#This Row],[Structures 100  Score (Normalized, Unweighted)]]*$I$3</f>
        <v>0</v>
      </c>
      <c r="L2156" s="246">
        <f>_xlfn.XLOOKUP(FME_Ranking1[[#This Row],[FME ID]],FME_Input[FME_ID],FME_Input[RES_STRUCT100])</f>
        <v>0</v>
      </c>
      <c r="M2156" s="230">
        <f>(FME_Ranking1[[#This Row],[Res Structures Raw]]/L$2)*100</f>
        <v>0</v>
      </c>
      <c r="N2156" s="180">
        <f>FME_Ranking1[[#This Row],[Res Structures Score (Normalized, Unweighted)]]*$L$3</f>
        <v>0</v>
      </c>
      <c r="O2156" s="244">
        <f>_xlfn.XLOOKUP(FME_Ranking1[[#This Row],[FME ID]],FME_Input[FME_ID],FME_Input[POP100])</f>
        <v>0</v>
      </c>
      <c r="P2156" s="178">
        <f>(FME_Ranking1[[#This Row],[Pop Raw]]/$O$2)*100</f>
        <v>0</v>
      </c>
      <c r="Q2156" s="178">
        <f>FME_Ranking1[[#This Row],[Pop Score (Normalized, Unweighted)]]*$O$3</f>
        <v>0</v>
      </c>
      <c r="R2156" s="137">
        <f>_xlfn.XLOOKUP(FME_Ranking1[[#This Row],[FME ID]],FME_Input[FME_ID],FME_Input[CRITFAC100])</f>
        <v>0</v>
      </c>
      <c r="S2156" s="230">
        <f>(FME_Ranking1[[#This Row],[Critical Facilities Raw]]/$R$2)*100</f>
        <v>0</v>
      </c>
      <c r="T2156" s="180">
        <f>FME_Ranking1[[#This Row],[Critical Facilities Score (Normalized, Unweighted)]]*$R$3</f>
        <v>0</v>
      </c>
      <c r="U2156">
        <f>_xlfn.XLOOKUP(FME_Ranking1[[#This Row],[FME ID]],FME_Input[FME_ID],FME_Input[LWC])</f>
        <v>0</v>
      </c>
      <c r="V2156" s="178">
        <f>(FME_Ranking1[[#This Row],[LWC Raw]]/$U$2)*100</f>
        <v>0</v>
      </c>
      <c r="W2156" s="178">
        <f>FME_Ranking1[[#This Row],[LWC Score (Normalized, Unweighted)]]*$U$3</f>
        <v>0</v>
      </c>
      <c r="X2156" s="246">
        <f>_xlfn.XLOOKUP(FME_Ranking1[[#This Row],[FME ID]],FME_Input[FME_ID],FME_Input[ROADCLS])</f>
        <v>0</v>
      </c>
      <c r="Y2156" s="230">
        <f>(FME_Ranking1[[#This Row],[Closures Raw]]/$X$2)*100</f>
        <v>0</v>
      </c>
      <c r="Z2156" s="180">
        <f>FME_Ranking1[[#This Row],[Closures Score (Normalized, Unweighted)]]*$X$3</f>
        <v>0</v>
      </c>
      <c r="AA2156" s="253">
        <f>_xlfn.XLOOKUP(FME_Ranking1[[#This Row],[FME ID]],FME_Input[FME_ID],FME_Input[ROAD_MILES100])</f>
        <v>0</v>
      </c>
      <c r="AB2156" s="178">
        <f>(FME_Ranking1[[#This Row],[Miles Raw]]/$AA$2)*100</f>
        <v>0</v>
      </c>
      <c r="AC2156" s="178">
        <f>FME_Ranking1[[#This Row],[Miles Score (Normalized, Unweighted)]]*$AA$3</f>
        <v>0</v>
      </c>
      <c r="AD2156" s="255">
        <f>_xlfn.XLOOKUP(FME_Ranking1[[#This Row],[FME ID]],FME_Input[FME_ID],FME_Input[FARMACRE100])</f>
        <v>0.42639347910881042</v>
      </c>
      <c r="AE2156" s="230">
        <f>(FME_Ranking1[[#This Row],[Ag Land Raw]]/$AD$2)*100</f>
        <v>1.7582558326464958E-5</v>
      </c>
      <c r="AF2156" s="231">
        <f>FME_Ranking1[[#This Row],[Ag Land Score (Normalized, Unweighted)]]*$AD$3</f>
        <v>8.7912791632324791E-7</v>
      </c>
      <c r="AG215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8.7912791632324791E-7</v>
      </c>
      <c r="AH2156" s="406">
        <f t="shared" si="33"/>
        <v>2181</v>
      </c>
      <c r="AI215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8.7912791632324791E-7</v>
      </c>
      <c r="AJ2156" s="257">
        <f>FME_Ranking1[[#This Row],[Addition check]]-FME_Ranking1[[#This Row],[Weighted Score Based on Normalized Reported Factors]]</f>
        <v>0</v>
      </c>
      <c r="AK2156" s="178">
        <f>_xlfn.RANK.EQ(AI2156,$AI$6:$AI$2341,0)+COUNTIF($AI$6:AI2156,AI2156)-1</f>
        <v>2181</v>
      </c>
    </row>
    <row r="2157" spans="1:37" x14ac:dyDescent="0.25">
      <c r="A2157" t="s">
        <v>354</v>
      </c>
      <c r="B2157">
        <f>_xlfn.XLOOKUP(FME_Ranking1[[#This Row],[FME ID]],FME_Input[FME_ID],FME_Input[RFPG_NUM])</f>
        <v>10</v>
      </c>
      <c r="C2157" t="str">
        <f>_xlfn.XLOOKUP(FME_Ranking1[[#This Row],[FME ID]],FME_Input[FME_ID],FME_Input[FME_NAME])</f>
        <v>Prepare Evacuation Plan</v>
      </c>
      <c r="D2157" t="str">
        <f>_xlfn.XLOOKUP(FME_Ranking1[[#This Row],[FME ID]],FME_Input[FME_ID],FME_Input[DESCR])</f>
        <v xml:space="preserve">Evacuation plan development_x000D_
</v>
      </c>
      <c r="E2157" s="256">
        <f>_xlfn.XLOOKUP(FME_Ranking1[[#This Row],[FME ID]],FME_Input[FME_ID],FME_Input[FME_COST])</f>
        <v>25000</v>
      </c>
      <c r="F2157" t="str">
        <f>_xlfn.XLOOKUP(FME_Ranking1[[#This Row],[FME ID]],FME_Input[FME_ID],FME_Input[EMER_NEED])</f>
        <v>No</v>
      </c>
      <c r="G2157">
        <f>IF(FME_Ranking!F2157="Yes",100,0)</f>
        <v>0</v>
      </c>
      <c r="H2157">
        <f>FME_Ranking1[[#This Row],[Emergency Need Score (Normalized, Unweighted)]]*$F$3</f>
        <v>0</v>
      </c>
      <c r="I2157" s="246">
        <f>_xlfn.XLOOKUP(FME_Ranking1[[#This Row],[FME ID]],FME_Input[FME_ID],FME_Input[STRUCT_100])</f>
        <v>0</v>
      </c>
      <c r="J2157" s="178">
        <f>(FME_Ranking1[[#This Row],[Structures 100 Raw]]/I$2)*100</f>
        <v>0</v>
      </c>
      <c r="K2157" s="178">
        <f>FME_Ranking1[[#This Row],[Structures 100  Score (Normalized, Unweighted)]]*$I$3</f>
        <v>0</v>
      </c>
      <c r="L2157" s="246">
        <f>_xlfn.XLOOKUP(FME_Ranking1[[#This Row],[FME ID]],FME_Input[FME_ID],FME_Input[RES_STRUCT100])</f>
        <v>0</v>
      </c>
      <c r="M2157" s="230">
        <f>(FME_Ranking1[[#This Row],[Res Structures Raw]]/L$2)*100</f>
        <v>0</v>
      </c>
      <c r="N2157" s="180">
        <f>FME_Ranking1[[#This Row],[Res Structures Score (Normalized, Unweighted)]]*$L$3</f>
        <v>0</v>
      </c>
      <c r="O2157" s="244">
        <f>_xlfn.XLOOKUP(FME_Ranking1[[#This Row],[FME ID]],FME_Input[FME_ID],FME_Input[POP100])</f>
        <v>0</v>
      </c>
      <c r="P2157" s="178">
        <f>(FME_Ranking1[[#This Row],[Pop Raw]]/$O$2)*100</f>
        <v>0</v>
      </c>
      <c r="Q2157" s="178">
        <f>FME_Ranking1[[#This Row],[Pop Score (Normalized, Unweighted)]]*$O$3</f>
        <v>0</v>
      </c>
      <c r="R2157" s="137">
        <f>_xlfn.XLOOKUP(FME_Ranking1[[#This Row],[FME ID]],FME_Input[FME_ID],FME_Input[CRITFAC100])</f>
        <v>0</v>
      </c>
      <c r="S2157" s="230">
        <f>(FME_Ranking1[[#This Row],[Critical Facilities Raw]]/$R$2)*100</f>
        <v>0</v>
      </c>
      <c r="T2157" s="180">
        <f>FME_Ranking1[[#This Row],[Critical Facilities Score (Normalized, Unweighted)]]*$R$3</f>
        <v>0</v>
      </c>
      <c r="U2157">
        <f>_xlfn.XLOOKUP(FME_Ranking1[[#This Row],[FME ID]],FME_Input[FME_ID],FME_Input[LWC])</f>
        <v>0</v>
      </c>
      <c r="V2157" s="178">
        <f>(FME_Ranking1[[#This Row],[LWC Raw]]/$U$2)*100</f>
        <v>0</v>
      </c>
      <c r="W2157" s="178">
        <f>FME_Ranking1[[#This Row],[LWC Score (Normalized, Unweighted)]]*$U$3</f>
        <v>0</v>
      </c>
      <c r="X2157" s="246">
        <f>_xlfn.XLOOKUP(FME_Ranking1[[#This Row],[FME ID]],FME_Input[FME_ID],FME_Input[ROADCLS])</f>
        <v>0</v>
      </c>
      <c r="Y2157" s="230">
        <f>(FME_Ranking1[[#This Row],[Closures Raw]]/$X$2)*100</f>
        <v>0</v>
      </c>
      <c r="Z2157" s="180">
        <f>FME_Ranking1[[#This Row],[Closures Score (Normalized, Unweighted)]]*$X$3</f>
        <v>0</v>
      </c>
      <c r="AA2157" s="253">
        <f>_xlfn.XLOOKUP(FME_Ranking1[[#This Row],[FME ID]],FME_Input[FME_ID],FME_Input[ROAD_MILES100])</f>
        <v>0</v>
      </c>
      <c r="AB2157" s="178">
        <f>(FME_Ranking1[[#This Row],[Miles Raw]]/$AA$2)*100</f>
        <v>0</v>
      </c>
      <c r="AC2157" s="178">
        <f>FME_Ranking1[[#This Row],[Miles Score (Normalized, Unweighted)]]*$AA$3</f>
        <v>0</v>
      </c>
      <c r="AD2157" s="255">
        <f>_xlfn.XLOOKUP(FME_Ranking1[[#This Row],[FME ID]],FME_Input[FME_ID],FME_Input[FARMACRE100])</f>
        <v>0.38037121295928961</v>
      </c>
      <c r="AE2157" s="230">
        <f>(FME_Ranking1[[#This Row],[Ag Land Raw]]/$AD$2)*100</f>
        <v>1.5684806089302933E-5</v>
      </c>
      <c r="AF2157" s="231">
        <f>FME_Ranking1[[#This Row],[Ag Land Score (Normalized, Unweighted)]]*$AD$3</f>
        <v>7.8424030446514669E-7</v>
      </c>
      <c r="AG215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7.8424030446514669E-7</v>
      </c>
      <c r="AH2157" s="406">
        <f t="shared" si="33"/>
        <v>2182</v>
      </c>
      <c r="AI215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7.8424030446514669E-7</v>
      </c>
      <c r="AJ2157" s="257">
        <f>FME_Ranking1[[#This Row],[Addition check]]-FME_Ranking1[[#This Row],[Weighted Score Based on Normalized Reported Factors]]</f>
        <v>0</v>
      </c>
      <c r="AK2157" s="178">
        <f>_xlfn.RANK.EQ(AI2157,$AI$6:$AI$2341,0)+COUNTIF($AI$6:AI2157,AI2157)-1</f>
        <v>2182</v>
      </c>
    </row>
    <row r="2158" spans="1:37" x14ac:dyDescent="0.25">
      <c r="A2158" t="s">
        <v>358</v>
      </c>
      <c r="B2158">
        <f>_xlfn.XLOOKUP(FME_Ranking1[[#This Row],[FME ID]],FME_Input[FME_ID],FME_Input[RFPG_NUM])</f>
        <v>10</v>
      </c>
      <c r="C2158" t="str">
        <f>_xlfn.XLOOKUP(FME_Ranking1[[#This Row],[FME ID]],FME_Input[FME_ID],FME_Input[FME_NAME])</f>
        <v>Flood Proofing Repetitive Loss Structures</v>
      </c>
      <c r="D2158" t="str">
        <f>_xlfn.XLOOKUP(FME_Ranking1[[#This Row],[FME ID]],FME_Input[FME_ID],FME_Input[DESCR])</f>
        <v>Flood-proofing repetitive loss structures identified by FEMA</v>
      </c>
      <c r="E2158" s="256">
        <f>_xlfn.XLOOKUP(FME_Ranking1[[#This Row],[FME ID]],FME_Input[FME_ID],FME_Input[FME_COST])</f>
        <v>50000</v>
      </c>
      <c r="F2158" t="str">
        <f>_xlfn.XLOOKUP(FME_Ranking1[[#This Row],[FME ID]],FME_Input[FME_ID],FME_Input[EMER_NEED])</f>
        <v>No</v>
      </c>
      <c r="G2158">
        <f>IF(FME_Ranking!F2158="Yes",100,0)</f>
        <v>0</v>
      </c>
      <c r="H2158">
        <f>FME_Ranking1[[#This Row],[Emergency Need Score (Normalized, Unweighted)]]*$F$3</f>
        <v>0</v>
      </c>
      <c r="I2158" s="246">
        <f>_xlfn.XLOOKUP(FME_Ranking1[[#This Row],[FME ID]],FME_Input[FME_ID],FME_Input[STRUCT_100])</f>
        <v>0</v>
      </c>
      <c r="J2158" s="178">
        <f>(FME_Ranking1[[#This Row],[Structures 100 Raw]]/I$2)*100</f>
        <v>0</v>
      </c>
      <c r="K2158" s="178">
        <f>FME_Ranking1[[#This Row],[Structures 100  Score (Normalized, Unweighted)]]*$I$3</f>
        <v>0</v>
      </c>
      <c r="L2158" s="246">
        <f>_xlfn.XLOOKUP(FME_Ranking1[[#This Row],[FME ID]],FME_Input[FME_ID],FME_Input[RES_STRUCT100])</f>
        <v>0</v>
      </c>
      <c r="M2158" s="230">
        <f>(FME_Ranking1[[#This Row],[Res Structures Raw]]/L$2)*100</f>
        <v>0</v>
      </c>
      <c r="N2158" s="180">
        <f>FME_Ranking1[[#This Row],[Res Structures Score (Normalized, Unweighted)]]*$L$3</f>
        <v>0</v>
      </c>
      <c r="O2158" s="244">
        <f>_xlfn.XLOOKUP(FME_Ranking1[[#This Row],[FME ID]],FME_Input[FME_ID],FME_Input[POP100])</f>
        <v>0</v>
      </c>
      <c r="P2158" s="178">
        <f>(FME_Ranking1[[#This Row],[Pop Raw]]/$O$2)*100</f>
        <v>0</v>
      </c>
      <c r="Q2158" s="178">
        <f>FME_Ranking1[[#This Row],[Pop Score (Normalized, Unweighted)]]*$O$3</f>
        <v>0</v>
      </c>
      <c r="R2158" s="137">
        <f>_xlfn.XLOOKUP(FME_Ranking1[[#This Row],[FME ID]],FME_Input[FME_ID],FME_Input[CRITFAC100])</f>
        <v>0</v>
      </c>
      <c r="S2158" s="230">
        <f>(FME_Ranking1[[#This Row],[Critical Facilities Raw]]/$R$2)*100</f>
        <v>0</v>
      </c>
      <c r="T2158" s="180">
        <f>FME_Ranking1[[#This Row],[Critical Facilities Score (Normalized, Unweighted)]]*$R$3</f>
        <v>0</v>
      </c>
      <c r="U2158">
        <f>_xlfn.XLOOKUP(FME_Ranking1[[#This Row],[FME ID]],FME_Input[FME_ID],FME_Input[LWC])</f>
        <v>0</v>
      </c>
      <c r="V2158" s="178">
        <f>(FME_Ranking1[[#This Row],[LWC Raw]]/$U$2)*100</f>
        <v>0</v>
      </c>
      <c r="W2158" s="178">
        <f>FME_Ranking1[[#This Row],[LWC Score (Normalized, Unweighted)]]*$U$3</f>
        <v>0</v>
      </c>
      <c r="X2158" s="246">
        <f>_xlfn.XLOOKUP(FME_Ranking1[[#This Row],[FME ID]],FME_Input[FME_ID],FME_Input[ROADCLS])</f>
        <v>0</v>
      </c>
      <c r="Y2158" s="230">
        <f>(FME_Ranking1[[#This Row],[Closures Raw]]/$X$2)*100</f>
        <v>0</v>
      </c>
      <c r="Z2158" s="180">
        <f>FME_Ranking1[[#This Row],[Closures Score (Normalized, Unweighted)]]*$X$3</f>
        <v>0</v>
      </c>
      <c r="AA2158" s="253">
        <f>_xlfn.XLOOKUP(FME_Ranking1[[#This Row],[FME ID]],FME_Input[FME_ID],FME_Input[ROAD_MILES100])</f>
        <v>0</v>
      </c>
      <c r="AB2158" s="178">
        <f>(FME_Ranking1[[#This Row],[Miles Raw]]/$AA$2)*100</f>
        <v>0</v>
      </c>
      <c r="AC2158" s="178">
        <f>FME_Ranking1[[#This Row],[Miles Score (Normalized, Unweighted)]]*$AA$3</f>
        <v>0</v>
      </c>
      <c r="AD2158" s="255">
        <f>_xlfn.XLOOKUP(FME_Ranking1[[#This Row],[FME ID]],FME_Input[FME_ID],FME_Input[FARMACRE100])</f>
        <v>0.38037121295928961</v>
      </c>
      <c r="AE2158" s="230">
        <f>(FME_Ranking1[[#This Row],[Ag Land Raw]]/$AD$2)*100</f>
        <v>1.5684806089302933E-5</v>
      </c>
      <c r="AF2158" s="231">
        <f>FME_Ranking1[[#This Row],[Ag Land Score (Normalized, Unweighted)]]*$AD$3</f>
        <v>7.8424030446514669E-7</v>
      </c>
      <c r="AG215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7.8424030446514669E-7</v>
      </c>
      <c r="AH2158" s="406">
        <f t="shared" si="33"/>
        <v>2182</v>
      </c>
      <c r="AI215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7.8424030446514669E-7</v>
      </c>
      <c r="AJ2158" s="257">
        <f>FME_Ranking1[[#This Row],[Addition check]]-FME_Ranking1[[#This Row],[Weighted Score Based on Normalized Reported Factors]]</f>
        <v>0</v>
      </c>
      <c r="AK2158" s="178">
        <f>_xlfn.RANK.EQ(AI2158,$AI$6:$AI$2341,0)+COUNTIF($AI$6:AI2158,AI2158)-1</f>
        <v>2183</v>
      </c>
    </row>
    <row r="2159" spans="1:37" x14ac:dyDescent="0.25">
      <c r="A2159" t="s">
        <v>9194</v>
      </c>
      <c r="B2159">
        <f>_xlfn.XLOOKUP(FME_Ranking1[[#This Row],[FME ID]],FME_Input[FME_ID],FME_Input[RFPG_NUM])</f>
        <v>12</v>
      </c>
      <c r="C2159" t="str">
        <f>_xlfn.XLOOKUP(FME_Ranking1[[#This Row],[FME ID]],FME_Input[FME_ID],FME_Input[FME_NAME])</f>
        <v>Damage Center 1  Project1 – Detention in East Branch Poth Creek</v>
      </c>
      <c r="D2159" t="str">
        <f>_xlfn.XLOOKUP(FME_Ranking1[[#This Row],[FME ID]],FME_Input[FME_ID],FME_Input[DESCR])</f>
        <v>Storage in this area would reduce downstream flooding and remove existing structures from the FEMA floodplain</v>
      </c>
      <c r="E2159" s="256">
        <f>_xlfn.XLOOKUP(FME_Ranking1[[#This Row],[FME ID]],FME_Input[FME_ID],FME_Input[FME_COST])</f>
        <v>1689053</v>
      </c>
      <c r="F2159" t="str">
        <f>_xlfn.XLOOKUP(FME_Ranking1[[#This Row],[FME ID]],FME_Input[FME_ID],FME_Input[EMER_NEED])</f>
        <v>No</v>
      </c>
      <c r="G2159">
        <f>IF(FME_Ranking!F2159="Yes",100,0)</f>
        <v>0</v>
      </c>
      <c r="H2159">
        <f>FME_Ranking1[[#This Row],[Emergency Need Score (Normalized, Unweighted)]]*$F$3</f>
        <v>0</v>
      </c>
      <c r="I2159" s="246">
        <f>_xlfn.XLOOKUP(FME_Ranking1[[#This Row],[FME ID]],FME_Input[FME_ID],FME_Input[STRUCT_100])</f>
        <v>0</v>
      </c>
      <c r="J2159" s="178">
        <f>(FME_Ranking1[[#This Row],[Structures 100 Raw]]/I$2)*100</f>
        <v>0</v>
      </c>
      <c r="K2159" s="178">
        <f>FME_Ranking1[[#This Row],[Structures 100  Score (Normalized, Unweighted)]]*$I$3</f>
        <v>0</v>
      </c>
      <c r="L2159" s="246">
        <f>_xlfn.XLOOKUP(FME_Ranking1[[#This Row],[FME ID]],FME_Input[FME_ID],FME_Input[RES_STRUCT100])</f>
        <v>0</v>
      </c>
      <c r="M2159" s="230">
        <f>(FME_Ranking1[[#This Row],[Res Structures Raw]]/L$2)*100</f>
        <v>0</v>
      </c>
      <c r="N2159" s="180">
        <f>FME_Ranking1[[#This Row],[Res Structures Score (Normalized, Unweighted)]]*$L$3</f>
        <v>0</v>
      </c>
      <c r="O2159" s="244">
        <f>_xlfn.XLOOKUP(FME_Ranking1[[#This Row],[FME ID]],FME_Input[FME_ID],FME_Input[POP100])</f>
        <v>0</v>
      </c>
      <c r="P2159" s="178">
        <f>(FME_Ranking1[[#This Row],[Pop Raw]]/$O$2)*100</f>
        <v>0</v>
      </c>
      <c r="Q2159" s="178">
        <f>FME_Ranking1[[#This Row],[Pop Score (Normalized, Unweighted)]]*$O$3</f>
        <v>0</v>
      </c>
      <c r="R2159" s="137">
        <f>_xlfn.XLOOKUP(FME_Ranking1[[#This Row],[FME ID]],FME_Input[FME_ID],FME_Input[CRITFAC100])</f>
        <v>0</v>
      </c>
      <c r="S2159" s="230">
        <f>(FME_Ranking1[[#This Row],[Critical Facilities Raw]]/$R$2)*100</f>
        <v>0</v>
      </c>
      <c r="T2159" s="180">
        <f>FME_Ranking1[[#This Row],[Critical Facilities Score (Normalized, Unweighted)]]*$R$3</f>
        <v>0</v>
      </c>
      <c r="U2159">
        <f>_xlfn.XLOOKUP(FME_Ranking1[[#This Row],[FME ID]],FME_Input[FME_ID],FME_Input[LWC])</f>
        <v>0</v>
      </c>
      <c r="V2159" s="178">
        <f>(FME_Ranking1[[#This Row],[LWC Raw]]/$U$2)*100</f>
        <v>0</v>
      </c>
      <c r="W2159" s="178">
        <f>FME_Ranking1[[#This Row],[LWC Score (Normalized, Unweighted)]]*$U$3</f>
        <v>0</v>
      </c>
      <c r="X2159" s="246">
        <f>_xlfn.XLOOKUP(FME_Ranking1[[#This Row],[FME ID]],FME_Input[FME_ID],FME_Input[ROADCLS])</f>
        <v>0</v>
      </c>
      <c r="Y2159" s="230">
        <f>(FME_Ranking1[[#This Row],[Closures Raw]]/$X$2)*100</f>
        <v>0</v>
      </c>
      <c r="Z2159" s="180">
        <f>FME_Ranking1[[#This Row],[Closures Score (Normalized, Unweighted)]]*$X$3</f>
        <v>0</v>
      </c>
      <c r="AA2159" s="253">
        <f>_xlfn.XLOOKUP(FME_Ranking1[[#This Row],[FME ID]],FME_Input[FME_ID],FME_Input[ROAD_MILES100])</f>
        <v>0</v>
      </c>
      <c r="AB2159" s="178">
        <f>(FME_Ranking1[[#This Row],[Miles Raw]]/$AA$2)*100</f>
        <v>0</v>
      </c>
      <c r="AC2159" s="178">
        <f>FME_Ranking1[[#This Row],[Miles Score (Normalized, Unweighted)]]*$AA$3</f>
        <v>0</v>
      </c>
      <c r="AD2159" s="255">
        <f>_xlfn.XLOOKUP(FME_Ranking1[[#This Row],[FME ID]],FME_Input[FME_ID],FME_Input[FARMACRE100])</f>
        <v>0.32421299815177917</v>
      </c>
      <c r="AE2159" s="230">
        <f>(FME_Ranking1[[#This Row],[Ag Land Raw]]/$AD$2)*100</f>
        <v>1.3369092703096981E-5</v>
      </c>
      <c r="AF2159" s="231">
        <f>FME_Ranking1[[#This Row],[Ag Land Score (Normalized, Unweighted)]]*$AD$3</f>
        <v>6.6845463515484907E-7</v>
      </c>
      <c r="AG215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6.6845463515484907E-7</v>
      </c>
      <c r="AH2159" s="406">
        <f t="shared" si="33"/>
        <v>2184</v>
      </c>
      <c r="AI215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6.6845463515484907E-7</v>
      </c>
      <c r="AJ2159" s="257">
        <f>FME_Ranking1[[#This Row],[Addition check]]-FME_Ranking1[[#This Row],[Weighted Score Based on Normalized Reported Factors]]</f>
        <v>0</v>
      </c>
      <c r="AK2159" s="178">
        <f>_xlfn.RANK.EQ(AI2159,$AI$6:$AI$2341,0)+COUNTIF($AI$6:AI2159,AI2159)-1</f>
        <v>2184</v>
      </c>
    </row>
    <row r="2160" spans="1:37" x14ac:dyDescent="0.25">
      <c r="A2160" t="s">
        <v>2659</v>
      </c>
      <c r="B2160">
        <f>_xlfn.XLOOKUP(FME_Ranking1[[#This Row],[FME ID]],FME_Input[FME_ID],FME_Input[RFPG_NUM])</f>
        <v>1</v>
      </c>
      <c r="C2160" t="str">
        <f>_xlfn.XLOOKUP(FME_Ranking1[[#This Row],[FME ID]],FME_Input[FME_ID],FME_Input[FME_NAME])</f>
        <v>Vega City Drainage Master Plan</v>
      </c>
      <c r="D2160" t="str">
        <f>_xlfn.XLOOKUP(FME_Ranking1[[#This Row],[FME ID]],FME_Input[FME_ID],FME_Input[DESCR])</f>
        <v xml:space="preserve">Perform H&amp;H modeling, develop conceptual alternatives and OPCC, and rank projects; selected based on survey responses </v>
      </c>
      <c r="E2160" s="256">
        <f>_xlfn.XLOOKUP(FME_Ranking1[[#This Row],[FME ID]],FME_Input[FME_ID],FME_Input[FME_COST])</f>
        <v>250000</v>
      </c>
      <c r="F2160" t="str">
        <f>_xlfn.XLOOKUP(FME_Ranking1[[#This Row],[FME ID]],FME_Input[FME_ID],FME_Input[EMER_NEED])</f>
        <v>No</v>
      </c>
      <c r="G2160">
        <f>IF(FME_Ranking!F2160="Yes",100,0)</f>
        <v>0</v>
      </c>
      <c r="H2160">
        <f>FME_Ranking1[[#This Row],[Emergency Need Score (Normalized, Unweighted)]]*$F$3</f>
        <v>0</v>
      </c>
      <c r="I2160" s="246">
        <f>_xlfn.XLOOKUP(FME_Ranking1[[#This Row],[FME ID]],FME_Input[FME_ID],FME_Input[STRUCT_100])</f>
        <v>0</v>
      </c>
      <c r="J2160" s="178">
        <f>(FME_Ranking1[[#This Row],[Structures 100 Raw]]/I$2)*100</f>
        <v>0</v>
      </c>
      <c r="K2160" s="178">
        <f>FME_Ranking1[[#This Row],[Structures 100  Score (Normalized, Unweighted)]]*$I$3</f>
        <v>0</v>
      </c>
      <c r="L2160" s="246">
        <f>_xlfn.XLOOKUP(FME_Ranking1[[#This Row],[FME ID]],FME_Input[FME_ID],FME_Input[RES_STRUCT100])</f>
        <v>0</v>
      </c>
      <c r="M2160" s="230">
        <f>(FME_Ranking1[[#This Row],[Res Structures Raw]]/L$2)*100</f>
        <v>0</v>
      </c>
      <c r="N2160" s="180">
        <f>FME_Ranking1[[#This Row],[Res Structures Score (Normalized, Unweighted)]]*$L$3</f>
        <v>0</v>
      </c>
      <c r="O2160" s="244">
        <f>_xlfn.XLOOKUP(FME_Ranking1[[#This Row],[FME ID]],FME_Input[FME_ID],FME_Input[POP100])</f>
        <v>0</v>
      </c>
      <c r="P2160" s="178">
        <f>(FME_Ranking1[[#This Row],[Pop Raw]]/$O$2)*100</f>
        <v>0</v>
      </c>
      <c r="Q2160" s="178">
        <f>FME_Ranking1[[#This Row],[Pop Score (Normalized, Unweighted)]]*$O$3</f>
        <v>0</v>
      </c>
      <c r="R2160" s="137">
        <f>_xlfn.XLOOKUP(FME_Ranking1[[#This Row],[FME ID]],FME_Input[FME_ID],FME_Input[CRITFAC100])</f>
        <v>0</v>
      </c>
      <c r="S2160" s="230">
        <f>(FME_Ranking1[[#This Row],[Critical Facilities Raw]]/$R$2)*100</f>
        <v>0</v>
      </c>
      <c r="T2160" s="180">
        <f>FME_Ranking1[[#This Row],[Critical Facilities Score (Normalized, Unweighted)]]*$R$3</f>
        <v>0</v>
      </c>
      <c r="U2160">
        <f>_xlfn.XLOOKUP(FME_Ranking1[[#This Row],[FME ID]],FME_Input[FME_ID],FME_Input[LWC])</f>
        <v>0</v>
      </c>
      <c r="V2160" s="178">
        <f>(FME_Ranking1[[#This Row],[LWC Raw]]/$U$2)*100</f>
        <v>0</v>
      </c>
      <c r="W2160" s="178">
        <f>FME_Ranking1[[#This Row],[LWC Score (Normalized, Unweighted)]]*$U$3</f>
        <v>0</v>
      </c>
      <c r="X2160" s="246">
        <f>_xlfn.XLOOKUP(FME_Ranking1[[#This Row],[FME ID]],FME_Input[FME_ID],FME_Input[ROADCLS])</f>
        <v>0</v>
      </c>
      <c r="Y2160" s="230">
        <f>(FME_Ranking1[[#This Row],[Closures Raw]]/$X$2)*100</f>
        <v>0</v>
      </c>
      <c r="Z2160" s="180">
        <f>FME_Ranking1[[#This Row],[Closures Score (Normalized, Unweighted)]]*$X$3</f>
        <v>0</v>
      </c>
      <c r="AA2160" s="253">
        <f>_xlfn.XLOOKUP(FME_Ranking1[[#This Row],[FME ID]],FME_Input[FME_ID],FME_Input[ROAD_MILES100])</f>
        <v>0.1094095930457115</v>
      </c>
      <c r="AB2160" s="178">
        <f>(FME_Ranking1[[#This Row],[Miles Raw]]/$AA$2)*100</f>
        <v>1.438539913233504E-3</v>
      </c>
      <c r="AC2160" s="178">
        <f>FME_Ranking1[[#This Row],[Miles Score (Normalized, Unweighted)]]*$AA$3</f>
        <v>1.4385399132335041E-4</v>
      </c>
      <c r="AD2160" s="255">
        <f>_xlfn.XLOOKUP(FME_Ranking1[[#This Row],[FME ID]],FME_Input[FME_ID],FME_Input[FARMACRE100])</f>
        <v>0.28004387021064758</v>
      </c>
      <c r="AE2160" s="230">
        <f>(FME_Ranking1[[#This Row],[Ag Land Raw]]/$AD$2)*100</f>
        <v>1.1547755590068901E-5</v>
      </c>
      <c r="AF2160" s="231">
        <f>FME_Ranking1[[#This Row],[Ag Land Score (Normalized, Unweighted)]]*$AD$3</f>
        <v>5.7738777950344504E-7</v>
      </c>
      <c r="AG216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1.4443137910285386E-4</v>
      </c>
      <c r="AH2160" s="406">
        <f t="shared" si="33"/>
        <v>2139</v>
      </c>
      <c r="AI216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1.4443137910285386E-4</v>
      </c>
      <c r="AJ2160" s="257">
        <f>FME_Ranking1[[#This Row],[Addition check]]-FME_Ranking1[[#This Row],[Weighted Score Based on Normalized Reported Factors]]</f>
        <v>0</v>
      </c>
      <c r="AK2160" s="178">
        <f>_xlfn.RANK.EQ(AI2160,$AI$6:$AI$2341,0)+COUNTIF($AI$6:AI2160,AI2160)-1</f>
        <v>2139</v>
      </c>
    </row>
    <row r="2161" spans="1:37" x14ac:dyDescent="0.25">
      <c r="A2161" t="s">
        <v>6036</v>
      </c>
      <c r="B2161">
        <f>_xlfn.XLOOKUP(FME_Ranking1[[#This Row],[FME ID]],FME_Input[FME_ID],FME_Input[RFPG_NUM])</f>
        <v>5</v>
      </c>
      <c r="C2161" t="str">
        <f>_xlfn.XLOOKUP(FME_Ranking1[[#This Row],[FME ID]],FME_Input[FME_ID],FME_Input[FME_NAME])</f>
        <v xml:space="preserve">City of Arp Master Drainage Plan </v>
      </c>
      <c r="D2161"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2161" s="256">
        <f>_xlfn.XLOOKUP(FME_Ranking1[[#This Row],[FME ID]],FME_Input[FME_ID],FME_Input[FME_COST])</f>
        <v>1300000</v>
      </c>
      <c r="F2161" t="str">
        <f>_xlfn.XLOOKUP(FME_Ranking1[[#This Row],[FME ID]],FME_Input[FME_ID],FME_Input[EMER_NEED])</f>
        <v>No</v>
      </c>
      <c r="G2161">
        <f>IF(FME_Ranking!F2161="Yes",100,0)</f>
        <v>0</v>
      </c>
      <c r="H2161">
        <f>FME_Ranking1[[#This Row],[Emergency Need Score (Normalized, Unweighted)]]*$F$3</f>
        <v>0</v>
      </c>
      <c r="I2161" s="246">
        <f>_xlfn.XLOOKUP(FME_Ranking1[[#This Row],[FME ID]],FME_Input[FME_ID],FME_Input[STRUCT_100])</f>
        <v>0</v>
      </c>
      <c r="J2161" s="178">
        <f>(FME_Ranking1[[#This Row],[Structures 100 Raw]]/I$2)*100</f>
        <v>0</v>
      </c>
      <c r="K2161" s="178">
        <f>FME_Ranking1[[#This Row],[Structures 100  Score (Normalized, Unweighted)]]*$I$3</f>
        <v>0</v>
      </c>
      <c r="L2161" s="246">
        <f>_xlfn.XLOOKUP(FME_Ranking1[[#This Row],[FME ID]],FME_Input[FME_ID],FME_Input[RES_STRUCT100])</f>
        <v>0</v>
      </c>
      <c r="M2161" s="230">
        <f>(FME_Ranking1[[#This Row],[Res Structures Raw]]/L$2)*100</f>
        <v>0</v>
      </c>
      <c r="N2161" s="180">
        <f>FME_Ranking1[[#This Row],[Res Structures Score (Normalized, Unweighted)]]*$L$3</f>
        <v>0</v>
      </c>
      <c r="O2161" s="244">
        <f>_xlfn.XLOOKUP(FME_Ranking1[[#This Row],[FME ID]],FME_Input[FME_ID],FME_Input[POP100])</f>
        <v>0</v>
      </c>
      <c r="P2161" s="178">
        <f>(FME_Ranking1[[#This Row],[Pop Raw]]/$O$2)*100</f>
        <v>0</v>
      </c>
      <c r="Q2161" s="178">
        <f>FME_Ranking1[[#This Row],[Pop Score (Normalized, Unweighted)]]*$O$3</f>
        <v>0</v>
      </c>
      <c r="R2161" s="137">
        <f>_xlfn.XLOOKUP(FME_Ranking1[[#This Row],[FME ID]],FME_Input[FME_ID],FME_Input[CRITFAC100])</f>
        <v>0</v>
      </c>
      <c r="S2161" s="230">
        <f>(FME_Ranking1[[#This Row],[Critical Facilities Raw]]/$R$2)*100</f>
        <v>0</v>
      </c>
      <c r="T2161" s="180">
        <f>FME_Ranking1[[#This Row],[Critical Facilities Score (Normalized, Unweighted)]]*$R$3</f>
        <v>0</v>
      </c>
      <c r="U2161">
        <f>_xlfn.XLOOKUP(FME_Ranking1[[#This Row],[FME ID]],FME_Input[FME_ID],FME_Input[LWC])</f>
        <v>0</v>
      </c>
      <c r="V2161" s="178">
        <f>(FME_Ranking1[[#This Row],[LWC Raw]]/$U$2)*100</f>
        <v>0</v>
      </c>
      <c r="W2161" s="178">
        <f>FME_Ranking1[[#This Row],[LWC Score (Normalized, Unweighted)]]*$U$3</f>
        <v>0</v>
      </c>
      <c r="X2161" s="246">
        <f>_xlfn.XLOOKUP(FME_Ranking1[[#This Row],[FME ID]],FME_Input[FME_ID],FME_Input[ROADCLS])</f>
        <v>0</v>
      </c>
      <c r="Y2161" s="230">
        <f>(FME_Ranking1[[#This Row],[Closures Raw]]/$X$2)*100</f>
        <v>0</v>
      </c>
      <c r="Z2161" s="180">
        <f>FME_Ranking1[[#This Row],[Closures Score (Normalized, Unweighted)]]*$X$3</f>
        <v>0</v>
      </c>
      <c r="AA2161" s="253">
        <f>_xlfn.XLOOKUP(FME_Ranking1[[#This Row],[FME ID]],FME_Input[FME_ID],FME_Input[ROAD_MILES100])</f>
        <v>0</v>
      </c>
      <c r="AB2161" s="178">
        <f>(FME_Ranking1[[#This Row],[Miles Raw]]/$AA$2)*100</f>
        <v>0</v>
      </c>
      <c r="AC2161" s="178">
        <f>FME_Ranking1[[#This Row],[Miles Score (Normalized, Unweighted)]]*$AA$3</f>
        <v>0</v>
      </c>
      <c r="AD2161" s="255">
        <f>_xlfn.XLOOKUP(FME_Ranking1[[#This Row],[FME ID]],FME_Input[FME_ID],FME_Input[FARMACRE100])</f>
        <v>0.2223948389291763</v>
      </c>
      <c r="AE2161" s="230">
        <f>(FME_Ranking1[[#This Row],[Ag Land Raw]]/$AD$2)*100</f>
        <v>9.1705676061222518E-6</v>
      </c>
      <c r="AF2161" s="231">
        <f>FME_Ranking1[[#This Row],[Ag Land Score (Normalized, Unweighted)]]*$AD$3</f>
        <v>4.5852838030611259E-7</v>
      </c>
      <c r="AG216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4.5852838030611259E-7</v>
      </c>
      <c r="AH2161" s="406">
        <f t="shared" si="33"/>
        <v>2185</v>
      </c>
      <c r="AI216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4.5852838030611259E-7</v>
      </c>
      <c r="AJ2161" s="257">
        <f>FME_Ranking1[[#This Row],[Addition check]]-FME_Ranking1[[#This Row],[Weighted Score Based on Normalized Reported Factors]]</f>
        <v>0</v>
      </c>
      <c r="AK2161" s="178">
        <f>_xlfn.RANK.EQ(AI2161,$AI$6:$AI$2341,0)+COUNTIF($AI$6:AI2161,AI2161)-1</f>
        <v>2185</v>
      </c>
    </row>
    <row r="2162" spans="1:37" x14ac:dyDescent="0.25">
      <c r="A2162" t="s">
        <v>8447</v>
      </c>
      <c r="B2162">
        <f>_xlfn.XLOOKUP(FME_Ranking1[[#This Row],[FME ID]],FME_Input[FME_ID],FME_Input[RFPG_NUM])</f>
        <v>10</v>
      </c>
      <c r="C2162" t="str">
        <f>_xlfn.XLOOKUP(FME_Ranking1[[#This Row],[FME ID]],FME_Input[FME_ID],FME_Input[FME_NAME])</f>
        <v>Navidad River - Stem Branch Erosion Control Structure Project Planning</v>
      </c>
      <c r="D2162" t="str">
        <f>_xlfn.XLOOKUP(FME_Ranking1[[#This Row],[FME ID]],FME_Input[FME_ID],FME_Input[DESCR])</f>
        <v>Project planning for project to replace erosion control structure. Develop technical data required for FMP.</v>
      </c>
      <c r="E2162" s="256">
        <f>_xlfn.XLOOKUP(FME_Ranking1[[#This Row],[FME ID]],FME_Input[FME_ID],FME_Input[FME_COST])</f>
        <v>40000</v>
      </c>
      <c r="F2162" t="str">
        <f>_xlfn.XLOOKUP(FME_Ranking1[[#This Row],[FME ID]],FME_Input[FME_ID],FME_Input[EMER_NEED])</f>
        <v>No</v>
      </c>
      <c r="G2162">
        <f>IF(FME_Ranking!F2162="Yes",100,0)</f>
        <v>0</v>
      </c>
      <c r="H2162">
        <f>FME_Ranking1[[#This Row],[Emergency Need Score (Normalized, Unweighted)]]*$F$3</f>
        <v>0</v>
      </c>
      <c r="I2162" s="246">
        <f>_xlfn.XLOOKUP(FME_Ranking1[[#This Row],[FME ID]],FME_Input[FME_ID],FME_Input[STRUCT_100])</f>
        <v>0</v>
      </c>
      <c r="J2162" s="178">
        <f>(FME_Ranking1[[#This Row],[Structures 100 Raw]]/I$2)*100</f>
        <v>0</v>
      </c>
      <c r="K2162" s="178">
        <f>FME_Ranking1[[#This Row],[Structures 100  Score (Normalized, Unweighted)]]*$I$3</f>
        <v>0</v>
      </c>
      <c r="L2162" s="246">
        <f>_xlfn.XLOOKUP(FME_Ranking1[[#This Row],[FME ID]],FME_Input[FME_ID],FME_Input[RES_STRUCT100])</f>
        <v>0</v>
      </c>
      <c r="M2162" s="230">
        <f>(FME_Ranking1[[#This Row],[Res Structures Raw]]/L$2)*100</f>
        <v>0</v>
      </c>
      <c r="N2162" s="180">
        <f>FME_Ranking1[[#This Row],[Res Structures Score (Normalized, Unweighted)]]*$L$3</f>
        <v>0</v>
      </c>
      <c r="O2162" s="244">
        <f>_xlfn.XLOOKUP(FME_Ranking1[[#This Row],[FME ID]],FME_Input[FME_ID],FME_Input[POP100])</f>
        <v>0</v>
      </c>
      <c r="P2162" s="178">
        <f>(FME_Ranking1[[#This Row],[Pop Raw]]/$O$2)*100</f>
        <v>0</v>
      </c>
      <c r="Q2162" s="178">
        <f>FME_Ranking1[[#This Row],[Pop Score (Normalized, Unweighted)]]*$O$3</f>
        <v>0</v>
      </c>
      <c r="R2162" s="137">
        <f>_xlfn.XLOOKUP(FME_Ranking1[[#This Row],[FME ID]],FME_Input[FME_ID],FME_Input[CRITFAC100])</f>
        <v>0</v>
      </c>
      <c r="S2162" s="230">
        <f>(FME_Ranking1[[#This Row],[Critical Facilities Raw]]/$R$2)*100</f>
        <v>0</v>
      </c>
      <c r="T2162" s="180">
        <f>FME_Ranking1[[#This Row],[Critical Facilities Score (Normalized, Unweighted)]]*$R$3</f>
        <v>0</v>
      </c>
      <c r="U2162">
        <f>_xlfn.XLOOKUP(FME_Ranking1[[#This Row],[FME ID]],FME_Input[FME_ID],FME_Input[LWC])</f>
        <v>0</v>
      </c>
      <c r="V2162" s="178">
        <f>(FME_Ranking1[[#This Row],[LWC Raw]]/$U$2)*100</f>
        <v>0</v>
      </c>
      <c r="W2162" s="178">
        <f>FME_Ranking1[[#This Row],[LWC Score (Normalized, Unweighted)]]*$U$3</f>
        <v>0</v>
      </c>
      <c r="X2162" s="246">
        <f>_xlfn.XLOOKUP(FME_Ranking1[[#This Row],[FME ID]],FME_Input[FME_ID],FME_Input[ROADCLS])</f>
        <v>0</v>
      </c>
      <c r="Y2162" s="230">
        <f>(FME_Ranking1[[#This Row],[Closures Raw]]/$X$2)*100</f>
        <v>0</v>
      </c>
      <c r="Z2162" s="180">
        <f>FME_Ranking1[[#This Row],[Closures Score (Normalized, Unweighted)]]*$X$3</f>
        <v>0</v>
      </c>
      <c r="AA2162" s="253">
        <f>_xlfn.XLOOKUP(FME_Ranking1[[#This Row],[FME ID]],FME_Input[FME_ID],FME_Input[ROAD_MILES100])</f>
        <v>0</v>
      </c>
      <c r="AB2162" s="178">
        <f>(FME_Ranking1[[#This Row],[Miles Raw]]/$AA$2)*100</f>
        <v>0</v>
      </c>
      <c r="AC2162" s="178">
        <f>FME_Ranking1[[#This Row],[Miles Score (Normalized, Unweighted)]]*$AA$3</f>
        <v>0</v>
      </c>
      <c r="AD2162" s="255">
        <f>_xlfn.XLOOKUP(FME_Ranking1[[#This Row],[FME ID]],FME_Input[FME_ID],FME_Input[FARMACRE100])</f>
        <v>0.21569156646728521</v>
      </c>
      <c r="AE2162" s="230">
        <f>(FME_Ranking1[[#This Row],[Ag Land Raw]]/$AD$2)*100</f>
        <v>8.8941546570177678E-6</v>
      </c>
      <c r="AF2162" s="231">
        <f>FME_Ranking1[[#This Row],[Ag Land Score (Normalized, Unweighted)]]*$AD$3</f>
        <v>4.4470773285088842E-7</v>
      </c>
      <c r="AG216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4.4470773285088842E-7</v>
      </c>
      <c r="AH2162" s="406">
        <f t="shared" si="33"/>
        <v>2186</v>
      </c>
      <c r="AI216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4.4470773285088842E-7</v>
      </c>
      <c r="AJ2162" s="257">
        <f>FME_Ranking1[[#This Row],[Addition check]]-FME_Ranking1[[#This Row],[Weighted Score Based on Normalized Reported Factors]]</f>
        <v>0</v>
      </c>
      <c r="AK2162" s="178">
        <f>_xlfn.RANK.EQ(AI2162,$AI$6:$AI$2341,0)+COUNTIF($AI$6:AI2162,AI2162)-1</f>
        <v>2186</v>
      </c>
    </row>
    <row r="2163" spans="1:37" x14ac:dyDescent="0.25">
      <c r="A2163" t="s">
        <v>7632</v>
      </c>
      <c r="B2163">
        <f>_xlfn.XLOOKUP(FME_Ranking1[[#This Row],[FME ID]],FME_Input[FME_ID],FME_Input[RFPG_NUM])</f>
        <v>8</v>
      </c>
      <c r="C2163" t="str">
        <f>_xlfn.XLOOKUP(FME_Ranking1[[#This Row],[FME ID]],FME_Input[FME_ID],FME_Input[FME_NAME])</f>
        <v>Telfair Inlet Replacements</v>
      </c>
      <c r="D2163" t="str">
        <f>_xlfn.XLOOKUP(FME_Ranking1[[#This Row],[FME ID]],FME_Input[FME_ID],FME_Input[DESCR])</f>
        <v>Update storm water inlets.</v>
      </c>
      <c r="E2163" s="256">
        <f>_xlfn.XLOOKUP(FME_Ranking1[[#This Row],[FME ID]],FME_Input[FME_ID],FME_Input[FME_COST])</f>
        <v>73000</v>
      </c>
      <c r="F2163" t="str">
        <f>_xlfn.XLOOKUP(FME_Ranking1[[#This Row],[FME ID]],FME_Input[FME_ID],FME_Input[EMER_NEED])</f>
        <v>No</v>
      </c>
      <c r="G2163">
        <f>IF(FME_Ranking!F2163="Yes",100,0)</f>
        <v>0</v>
      </c>
      <c r="H2163">
        <f>FME_Ranking1[[#This Row],[Emergency Need Score (Normalized, Unweighted)]]*$F$3</f>
        <v>0</v>
      </c>
      <c r="I2163" s="246">
        <f>_xlfn.XLOOKUP(FME_Ranking1[[#This Row],[FME ID]],FME_Input[FME_ID],FME_Input[STRUCT_100])</f>
        <v>0</v>
      </c>
      <c r="J2163" s="178">
        <f>(FME_Ranking1[[#This Row],[Structures 100 Raw]]/I$2)*100</f>
        <v>0</v>
      </c>
      <c r="K2163" s="178">
        <f>FME_Ranking1[[#This Row],[Structures 100  Score (Normalized, Unweighted)]]*$I$3</f>
        <v>0</v>
      </c>
      <c r="L2163" s="246">
        <f>_xlfn.XLOOKUP(FME_Ranking1[[#This Row],[FME ID]],FME_Input[FME_ID],FME_Input[RES_STRUCT100])</f>
        <v>0</v>
      </c>
      <c r="M2163" s="230">
        <f>(FME_Ranking1[[#This Row],[Res Structures Raw]]/L$2)*100</f>
        <v>0</v>
      </c>
      <c r="N2163" s="180">
        <f>FME_Ranking1[[#This Row],[Res Structures Score (Normalized, Unweighted)]]*$L$3</f>
        <v>0</v>
      </c>
      <c r="O2163" s="244">
        <f>_xlfn.XLOOKUP(FME_Ranking1[[#This Row],[FME ID]],FME_Input[FME_ID],FME_Input[POP100])</f>
        <v>0</v>
      </c>
      <c r="P2163" s="178">
        <f>(FME_Ranking1[[#This Row],[Pop Raw]]/$O$2)*100</f>
        <v>0</v>
      </c>
      <c r="Q2163" s="178">
        <f>FME_Ranking1[[#This Row],[Pop Score (Normalized, Unweighted)]]*$O$3</f>
        <v>0</v>
      </c>
      <c r="R2163" s="137">
        <f>_xlfn.XLOOKUP(FME_Ranking1[[#This Row],[FME ID]],FME_Input[FME_ID],FME_Input[CRITFAC100])</f>
        <v>0</v>
      </c>
      <c r="S2163" s="230">
        <f>(FME_Ranking1[[#This Row],[Critical Facilities Raw]]/$R$2)*100</f>
        <v>0</v>
      </c>
      <c r="T2163" s="180">
        <f>FME_Ranking1[[#This Row],[Critical Facilities Score (Normalized, Unweighted)]]*$R$3</f>
        <v>0</v>
      </c>
      <c r="U2163">
        <f>_xlfn.XLOOKUP(FME_Ranking1[[#This Row],[FME ID]],FME_Input[FME_ID],FME_Input[LWC])</f>
        <v>0</v>
      </c>
      <c r="V2163" s="178">
        <f>(FME_Ranking1[[#This Row],[LWC Raw]]/$U$2)*100</f>
        <v>0</v>
      </c>
      <c r="W2163" s="178">
        <f>FME_Ranking1[[#This Row],[LWC Score (Normalized, Unweighted)]]*$U$3</f>
        <v>0</v>
      </c>
      <c r="X2163" s="246">
        <f>_xlfn.XLOOKUP(FME_Ranking1[[#This Row],[FME ID]],FME_Input[FME_ID],FME_Input[ROADCLS])</f>
        <v>0</v>
      </c>
      <c r="Y2163" s="230">
        <f>(FME_Ranking1[[#This Row],[Closures Raw]]/$X$2)*100</f>
        <v>0</v>
      </c>
      <c r="Z2163" s="180">
        <f>FME_Ranking1[[#This Row],[Closures Score (Normalized, Unweighted)]]*$X$3</f>
        <v>0</v>
      </c>
      <c r="AA2163" s="253">
        <f>_xlfn.XLOOKUP(FME_Ranking1[[#This Row],[FME ID]],FME_Input[FME_ID],FME_Input[ROAD_MILES100])</f>
        <v>0</v>
      </c>
      <c r="AB2163" s="178">
        <f>(FME_Ranking1[[#This Row],[Miles Raw]]/$AA$2)*100</f>
        <v>0</v>
      </c>
      <c r="AC2163" s="178">
        <f>FME_Ranking1[[#This Row],[Miles Score (Normalized, Unweighted)]]*$AA$3</f>
        <v>0</v>
      </c>
      <c r="AD2163" s="255">
        <f>_xlfn.XLOOKUP(FME_Ranking1[[#This Row],[FME ID]],FME_Input[FME_ID],FME_Input[FARMACRE100])</f>
        <v>0.18576200306415561</v>
      </c>
      <c r="AE2163" s="230">
        <f>(FME_Ranking1[[#This Row],[Ag Land Raw]]/$AD$2)*100</f>
        <v>7.6599934420737004E-6</v>
      </c>
      <c r="AF2163" s="231">
        <f>FME_Ranking1[[#This Row],[Ag Land Score (Normalized, Unweighted)]]*$AD$3</f>
        <v>3.8299967210368504E-7</v>
      </c>
      <c r="AG216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3.8299967210368504E-7</v>
      </c>
      <c r="AH2163" s="406">
        <f t="shared" si="33"/>
        <v>2187</v>
      </c>
      <c r="AI216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3.8299967210368504E-7</v>
      </c>
      <c r="AJ2163" s="257">
        <f>FME_Ranking1[[#This Row],[Addition check]]-FME_Ranking1[[#This Row],[Weighted Score Based on Normalized Reported Factors]]</f>
        <v>0</v>
      </c>
      <c r="AK2163" s="178">
        <f>_xlfn.RANK.EQ(AI2163,$AI$6:$AI$2341,0)+COUNTIF($AI$6:AI2163,AI2163)-1</f>
        <v>2187</v>
      </c>
    </row>
    <row r="2164" spans="1:37" x14ac:dyDescent="0.25">
      <c r="A2164" t="s">
        <v>2606</v>
      </c>
      <c r="B2164">
        <f>_xlfn.XLOOKUP(FME_Ranking1[[#This Row],[FME ID]],FME_Input[FME_ID],FME_Input[RFPG_NUM])</f>
        <v>1</v>
      </c>
      <c r="C2164" t="str">
        <f>_xlfn.XLOOKUP(FME_Ranking1[[#This Row],[FME ID]],FME_Input[FME_ID],FME_Input[FME_NAME])</f>
        <v>Petrolia City Drainage Master Plan</v>
      </c>
      <c r="D2164" t="str">
        <f>_xlfn.XLOOKUP(FME_Ranking1[[#This Row],[FME ID]],FME_Input[FME_ID],FME_Input[DESCR])</f>
        <v xml:space="preserve">Perform H&amp;H modeling, develop conceptual alternatives and OPCC, and rank projects; selected based on the needs analysis </v>
      </c>
      <c r="E2164" s="256">
        <f>_xlfn.XLOOKUP(FME_Ranking1[[#This Row],[FME ID]],FME_Input[FME_ID],FME_Input[FME_COST])</f>
        <v>250000</v>
      </c>
      <c r="F2164" t="str">
        <f>_xlfn.XLOOKUP(FME_Ranking1[[#This Row],[FME ID]],FME_Input[FME_ID],FME_Input[EMER_NEED])</f>
        <v>No</v>
      </c>
      <c r="G2164">
        <f>IF(FME_Ranking!F2164="Yes",100,0)</f>
        <v>0</v>
      </c>
      <c r="H2164">
        <f>FME_Ranking1[[#This Row],[Emergency Need Score (Normalized, Unweighted)]]*$F$3</f>
        <v>0</v>
      </c>
      <c r="I2164" s="246">
        <f>_xlfn.XLOOKUP(FME_Ranking1[[#This Row],[FME ID]],FME_Input[FME_ID],FME_Input[STRUCT_100])</f>
        <v>0</v>
      </c>
      <c r="J2164" s="178">
        <f>(FME_Ranking1[[#This Row],[Structures 100 Raw]]/I$2)*100</f>
        <v>0</v>
      </c>
      <c r="K2164" s="178">
        <f>FME_Ranking1[[#This Row],[Structures 100  Score (Normalized, Unweighted)]]*$I$3</f>
        <v>0</v>
      </c>
      <c r="L2164" s="246">
        <f>_xlfn.XLOOKUP(FME_Ranking1[[#This Row],[FME ID]],FME_Input[FME_ID],FME_Input[RES_STRUCT100])</f>
        <v>0</v>
      </c>
      <c r="M2164" s="230">
        <f>(FME_Ranking1[[#This Row],[Res Structures Raw]]/L$2)*100</f>
        <v>0</v>
      </c>
      <c r="N2164" s="180">
        <f>FME_Ranking1[[#This Row],[Res Structures Score (Normalized, Unweighted)]]*$L$3</f>
        <v>0</v>
      </c>
      <c r="O2164" s="244">
        <f>_xlfn.XLOOKUP(FME_Ranking1[[#This Row],[FME ID]],FME_Input[FME_ID],FME_Input[POP100])</f>
        <v>0</v>
      </c>
      <c r="P2164" s="178">
        <f>(FME_Ranking1[[#This Row],[Pop Raw]]/$O$2)*100</f>
        <v>0</v>
      </c>
      <c r="Q2164" s="178">
        <f>FME_Ranking1[[#This Row],[Pop Score (Normalized, Unweighted)]]*$O$3</f>
        <v>0</v>
      </c>
      <c r="R2164" s="137">
        <f>_xlfn.XLOOKUP(FME_Ranking1[[#This Row],[FME ID]],FME_Input[FME_ID],FME_Input[CRITFAC100])</f>
        <v>0</v>
      </c>
      <c r="S2164" s="230">
        <f>(FME_Ranking1[[#This Row],[Critical Facilities Raw]]/$R$2)*100</f>
        <v>0</v>
      </c>
      <c r="T2164" s="180">
        <f>FME_Ranking1[[#This Row],[Critical Facilities Score (Normalized, Unweighted)]]*$R$3</f>
        <v>0</v>
      </c>
      <c r="U2164">
        <f>_xlfn.XLOOKUP(FME_Ranking1[[#This Row],[FME ID]],FME_Input[FME_ID],FME_Input[LWC])</f>
        <v>0</v>
      </c>
      <c r="V2164" s="178">
        <f>(FME_Ranking1[[#This Row],[LWC Raw]]/$U$2)*100</f>
        <v>0</v>
      </c>
      <c r="W2164" s="178">
        <f>FME_Ranking1[[#This Row],[LWC Score (Normalized, Unweighted)]]*$U$3</f>
        <v>0</v>
      </c>
      <c r="X2164" s="246">
        <f>_xlfn.XLOOKUP(FME_Ranking1[[#This Row],[FME ID]],FME_Input[FME_ID],FME_Input[ROADCLS])</f>
        <v>0</v>
      </c>
      <c r="Y2164" s="230">
        <f>(FME_Ranking1[[#This Row],[Closures Raw]]/$X$2)*100</f>
        <v>0</v>
      </c>
      <c r="Z2164" s="180">
        <f>FME_Ranking1[[#This Row],[Closures Score (Normalized, Unweighted)]]*$X$3</f>
        <v>0</v>
      </c>
      <c r="AA2164" s="253">
        <f>_xlfn.XLOOKUP(FME_Ranking1[[#This Row],[FME ID]],FME_Input[FME_ID],FME_Input[ROAD_MILES100])</f>
        <v>0</v>
      </c>
      <c r="AB2164" s="178">
        <f>(FME_Ranking1[[#This Row],[Miles Raw]]/$AA$2)*100</f>
        <v>0</v>
      </c>
      <c r="AC2164" s="178">
        <f>FME_Ranking1[[#This Row],[Miles Score (Normalized, Unweighted)]]*$AA$3</f>
        <v>0</v>
      </c>
      <c r="AD2164" s="255">
        <f>_xlfn.XLOOKUP(FME_Ranking1[[#This Row],[FME ID]],FME_Input[FME_ID],FME_Input[FARMACRE100])</f>
        <v>0.1770103722810745</v>
      </c>
      <c r="AE2164" s="230">
        <f>(FME_Ranking1[[#This Row],[Ag Land Raw]]/$AD$2)*100</f>
        <v>7.2991153652869263E-6</v>
      </c>
      <c r="AF2164" s="231">
        <f>FME_Ranking1[[#This Row],[Ag Land Score (Normalized, Unweighted)]]*$AD$3</f>
        <v>3.6495576826434634E-7</v>
      </c>
      <c r="AG216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3.6495576826434634E-7</v>
      </c>
      <c r="AH2164" s="406">
        <f t="shared" si="33"/>
        <v>2188</v>
      </c>
      <c r="AI216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3.6495576826434634E-7</v>
      </c>
      <c r="AJ2164" s="257">
        <f>FME_Ranking1[[#This Row],[Addition check]]-FME_Ranking1[[#This Row],[Weighted Score Based on Normalized Reported Factors]]</f>
        <v>0</v>
      </c>
      <c r="AK2164" s="178">
        <f>_xlfn.RANK.EQ(AI2164,$AI$6:$AI$2341,0)+COUNTIF($AI$6:AI2164,AI2164)-1</f>
        <v>2188</v>
      </c>
    </row>
    <row r="2165" spans="1:37" x14ac:dyDescent="0.25">
      <c r="A2165" t="s">
        <v>9791</v>
      </c>
      <c r="B2165">
        <f>_xlfn.XLOOKUP(FME_Ranking1[[#This Row],[FME ID]],FME_Input[FME_ID],FME_Input[RFPG_NUM])</f>
        <v>12</v>
      </c>
      <c r="C2165" t="str">
        <f>_xlfn.XLOOKUP(FME_Ranking1[[#This Row],[FME ID]],FME_Input[FME_ID],FME_Input[FME_NAME])</f>
        <v>Bandera Substation In Floodplain Study</v>
      </c>
      <c r="D2165" t="str">
        <f>_xlfn.XLOOKUP(FME_Ranking1[[#This Row],[FME ID]],FME_Input[FME_ID],FME_Input[DESCR])</f>
        <v>Electrical sub-station  is in 100 yr floodplain. Study to find solutions.</v>
      </c>
      <c r="E2165" s="256">
        <f>_xlfn.XLOOKUP(FME_Ranking1[[#This Row],[FME ID]],FME_Input[FME_ID],FME_Input[FME_COST])</f>
        <v>150000</v>
      </c>
      <c r="F2165" t="str">
        <f>_xlfn.XLOOKUP(FME_Ranking1[[#This Row],[FME ID]],FME_Input[FME_ID],FME_Input[EMER_NEED])</f>
        <v>Yes</v>
      </c>
      <c r="G2165">
        <f>IF(FME_Ranking!F2165="Yes",100,0)</f>
        <v>100</v>
      </c>
      <c r="H2165">
        <f>FME_Ranking1[[#This Row],[Emergency Need Score (Normalized, Unweighted)]]*$F$3</f>
        <v>0</v>
      </c>
      <c r="I2165" s="246">
        <f>_xlfn.XLOOKUP(FME_Ranking1[[#This Row],[FME ID]],FME_Input[FME_ID],FME_Input[STRUCT_100])</f>
        <v>0</v>
      </c>
      <c r="J2165" s="178">
        <f>(FME_Ranking1[[#This Row],[Structures 100 Raw]]/I$2)*100</f>
        <v>0</v>
      </c>
      <c r="K2165" s="178">
        <f>FME_Ranking1[[#This Row],[Structures 100  Score (Normalized, Unweighted)]]*$I$3</f>
        <v>0</v>
      </c>
      <c r="L2165" s="246">
        <f>_xlfn.XLOOKUP(FME_Ranking1[[#This Row],[FME ID]],FME_Input[FME_ID],FME_Input[RES_STRUCT100])</f>
        <v>0</v>
      </c>
      <c r="M2165" s="230">
        <f>(FME_Ranking1[[#This Row],[Res Structures Raw]]/L$2)*100</f>
        <v>0</v>
      </c>
      <c r="N2165" s="180">
        <f>FME_Ranking1[[#This Row],[Res Structures Score (Normalized, Unweighted)]]*$L$3</f>
        <v>0</v>
      </c>
      <c r="O2165" s="244">
        <f>_xlfn.XLOOKUP(FME_Ranking1[[#This Row],[FME ID]],FME_Input[FME_ID],FME_Input[POP100])</f>
        <v>0</v>
      </c>
      <c r="P2165" s="178">
        <f>(FME_Ranking1[[#This Row],[Pop Raw]]/$O$2)*100</f>
        <v>0</v>
      </c>
      <c r="Q2165" s="178">
        <f>FME_Ranking1[[#This Row],[Pop Score (Normalized, Unweighted)]]*$O$3</f>
        <v>0</v>
      </c>
      <c r="R2165" s="137">
        <f>_xlfn.XLOOKUP(FME_Ranking1[[#This Row],[FME ID]],FME_Input[FME_ID],FME_Input[CRITFAC100])</f>
        <v>0</v>
      </c>
      <c r="S2165" s="230">
        <f>(FME_Ranking1[[#This Row],[Critical Facilities Raw]]/$R$2)*100</f>
        <v>0</v>
      </c>
      <c r="T2165" s="180">
        <f>FME_Ranking1[[#This Row],[Critical Facilities Score (Normalized, Unweighted)]]*$R$3</f>
        <v>0</v>
      </c>
      <c r="U2165">
        <f>_xlfn.XLOOKUP(FME_Ranking1[[#This Row],[FME ID]],FME_Input[FME_ID],FME_Input[LWC])</f>
        <v>0</v>
      </c>
      <c r="V2165" s="178">
        <f>(FME_Ranking1[[#This Row],[LWC Raw]]/$U$2)*100</f>
        <v>0</v>
      </c>
      <c r="W2165" s="178">
        <f>FME_Ranking1[[#This Row],[LWC Score (Normalized, Unweighted)]]*$U$3</f>
        <v>0</v>
      </c>
      <c r="X2165" s="246">
        <f>_xlfn.XLOOKUP(FME_Ranking1[[#This Row],[FME ID]],FME_Input[FME_ID],FME_Input[ROADCLS])</f>
        <v>0</v>
      </c>
      <c r="Y2165" s="230">
        <f>(FME_Ranking1[[#This Row],[Closures Raw]]/$X$2)*100</f>
        <v>0</v>
      </c>
      <c r="Z2165" s="180">
        <f>FME_Ranking1[[#This Row],[Closures Score (Normalized, Unweighted)]]*$X$3</f>
        <v>0</v>
      </c>
      <c r="AA2165" s="253">
        <f>_xlfn.XLOOKUP(FME_Ranking1[[#This Row],[FME ID]],FME_Input[FME_ID],FME_Input[ROAD_MILES100])</f>
        <v>0</v>
      </c>
      <c r="AB2165" s="178">
        <f>(FME_Ranking1[[#This Row],[Miles Raw]]/$AA$2)*100</f>
        <v>0</v>
      </c>
      <c r="AC2165" s="178">
        <f>FME_Ranking1[[#This Row],[Miles Score (Normalized, Unweighted)]]*$AA$3</f>
        <v>0</v>
      </c>
      <c r="AD2165" s="255">
        <f>_xlfn.XLOOKUP(FME_Ranking1[[#This Row],[FME ID]],FME_Input[FME_ID],FME_Input[FARMACRE100])</f>
        <v>0.17635899782180789</v>
      </c>
      <c r="AE2165" s="230">
        <f>(FME_Ranking1[[#This Row],[Ag Land Raw]]/$AD$2)*100</f>
        <v>7.2722555984669421E-6</v>
      </c>
      <c r="AF2165" s="231">
        <f>FME_Ranking1[[#This Row],[Ag Land Score (Normalized, Unweighted)]]*$AD$3</f>
        <v>3.636127799233471E-7</v>
      </c>
      <c r="AG216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3.636127799233471E-7</v>
      </c>
      <c r="AH2165" s="406">
        <f t="shared" si="33"/>
        <v>2189</v>
      </c>
      <c r="AI216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3.636127799233471E-7</v>
      </c>
      <c r="AJ2165" s="257">
        <f>FME_Ranking1[[#This Row],[Addition check]]-FME_Ranking1[[#This Row],[Weighted Score Based on Normalized Reported Factors]]</f>
        <v>0</v>
      </c>
      <c r="AK2165" s="178">
        <f>_xlfn.RANK.EQ(AI2165,$AI$6:$AI$2341,0)+COUNTIF($AI$6:AI2165,AI2165)-1</f>
        <v>2189</v>
      </c>
    </row>
    <row r="2166" spans="1:37" x14ac:dyDescent="0.25">
      <c r="A2166" t="s">
        <v>10321</v>
      </c>
      <c r="B2166">
        <f>_xlfn.XLOOKUP(FME_Ranking1[[#This Row],[FME ID]],FME_Input[FME_ID],FME_Input[RFPG_NUM])</f>
        <v>13</v>
      </c>
      <c r="C2166" t="str">
        <f>_xlfn.XLOOKUP(FME_Ranking1[[#This Row],[FME ID]],FME_Input[FME_ID],FME_Input[FME_NAME])</f>
        <v>Drainage improvements at Mission River Park in Refugio</v>
      </c>
      <c r="D2166" t="str">
        <f>_xlfn.XLOOKUP(FME_Ranking1[[#This Row],[FME ID]],FME_Input[FME_ID],FME_Input[DESCR])</f>
        <v>Reduce flooding at Mission River Park in Refugio.</v>
      </c>
      <c r="E2166" s="256">
        <f>_xlfn.XLOOKUP(FME_Ranking1[[#This Row],[FME ID]],FME_Input[FME_ID],FME_Input[FME_COST])</f>
        <v>100000</v>
      </c>
      <c r="F2166" t="str">
        <f>_xlfn.XLOOKUP(FME_Ranking1[[#This Row],[FME ID]],FME_Input[FME_ID],FME_Input[EMER_NEED])</f>
        <v>Yes</v>
      </c>
      <c r="G2166">
        <f>IF(FME_Ranking!F2166="Yes",100,0)</f>
        <v>100</v>
      </c>
      <c r="H2166">
        <f>FME_Ranking1[[#This Row],[Emergency Need Score (Normalized, Unweighted)]]*$F$3</f>
        <v>0</v>
      </c>
      <c r="I2166" s="246">
        <f>_xlfn.XLOOKUP(FME_Ranking1[[#This Row],[FME ID]],FME_Input[FME_ID],FME_Input[STRUCT_100])</f>
        <v>0</v>
      </c>
      <c r="J2166" s="178">
        <f>(FME_Ranking1[[#This Row],[Structures 100 Raw]]/I$2)*100</f>
        <v>0</v>
      </c>
      <c r="K2166" s="178">
        <f>FME_Ranking1[[#This Row],[Structures 100  Score (Normalized, Unweighted)]]*$I$3</f>
        <v>0</v>
      </c>
      <c r="L2166" s="246">
        <f>_xlfn.XLOOKUP(FME_Ranking1[[#This Row],[FME ID]],FME_Input[FME_ID],FME_Input[RES_STRUCT100])</f>
        <v>0</v>
      </c>
      <c r="M2166" s="230">
        <f>(FME_Ranking1[[#This Row],[Res Structures Raw]]/L$2)*100</f>
        <v>0</v>
      </c>
      <c r="N2166" s="180">
        <f>FME_Ranking1[[#This Row],[Res Structures Score (Normalized, Unweighted)]]*$L$3</f>
        <v>0</v>
      </c>
      <c r="O2166" s="244">
        <f>_xlfn.XLOOKUP(FME_Ranking1[[#This Row],[FME ID]],FME_Input[FME_ID],FME_Input[POP100])</f>
        <v>0</v>
      </c>
      <c r="P2166" s="178">
        <f>(FME_Ranking1[[#This Row],[Pop Raw]]/$O$2)*100</f>
        <v>0</v>
      </c>
      <c r="Q2166" s="178">
        <f>FME_Ranking1[[#This Row],[Pop Score (Normalized, Unweighted)]]*$O$3</f>
        <v>0</v>
      </c>
      <c r="R2166" s="137">
        <f>_xlfn.XLOOKUP(FME_Ranking1[[#This Row],[FME ID]],FME_Input[FME_ID],FME_Input[CRITFAC100])</f>
        <v>0</v>
      </c>
      <c r="S2166" s="230">
        <f>(FME_Ranking1[[#This Row],[Critical Facilities Raw]]/$R$2)*100</f>
        <v>0</v>
      </c>
      <c r="T2166" s="180">
        <f>FME_Ranking1[[#This Row],[Critical Facilities Score (Normalized, Unweighted)]]*$R$3</f>
        <v>0</v>
      </c>
      <c r="U2166">
        <f>_xlfn.XLOOKUP(FME_Ranking1[[#This Row],[FME ID]],FME_Input[FME_ID],FME_Input[LWC])</f>
        <v>0</v>
      </c>
      <c r="V2166" s="178">
        <f>(FME_Ranking1[[#This Row],[LWC Raw]]/$U$2)*100</f>
        <v>0</v>
      </c>
      <c r="W2166" s="178">
        <f>FME_Ranking1[[#This Row],[LWC Score (Normalized, Unweighted)]]*$U$3</f>
        <v>0</v>
      </c>
      <c r="X2166" s="246">
        <f>_xlfn.XLOOKUP(FME_Ranking1[[#This Row],[FME ID]],FME_Input[FME_ID],FME_Input[ROADCLS])</f>
        <v>0</v>
      </c>
      <c r="Y2166" s="230">
        <f>(FME_Ranking1[[#This Row],[Closures Raw]]/$X$2)*100</f>
        <v>0</v>
      </c>
      <c r="Z2166" s="180">
        <f>FME_Ranking1[[#This Row],[Closures Score (Normalized, Unweighted)]]*$X$3</f>
        <v>0</v>
      </c>
      <c r="AA2166" s="253">
        <f>_xlfn.XLOOKUP(FME_Ranking1[[#This Row],[FME ID]],FME_Input[FME_ID],FME_Input[ROAD_MILES100])</f>
        <v>0.18140999972820279</v>
      </c>
      <c r="AB2166" s="178">
        <f>(FME_Ranking1[[#This Row],[Miles Raw]]/$AA$2)*100</f>
        <v>2.3852161223163219E-3</v>
      </c>
      <c r="AC2166" s="178">
        <f>FME_Ranking1[[#This Row],[Miles Score (Normalized, Unweighted)]]*$AA$3</f>
        <v>2.385216122316322E-4</v>
      </c>
      <c r="AD2166" s="255">
        <f>_xlfn.XLOOKUP(FME_Ranking1[[#This Row],[FME ID]],FME_Input[FME_ID],FME_Input[FARMACRE100])</f>
        <v>0.155930295586586</v>
      </c>
      <c r="AE2166" s="230">
        <f>(FME_Ranking1[[#This Row],[Ag Land Raw]]/$AD$2)*100</f>
        <v>6.4298673674473172E-6</v>
      </c>
      <c r="AF2166" s="231">
        <f>FME_Ranking1[[#This Row],[Ag Land Score (Normalized, Unweighted)]]*$AD$3</f>
        <v>3.2149336837236589E-7</v>
      </c>
      <c r="AG216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2.3884310560000457E-4</v>
      </c>
      <c r="AH2166" s="406">
        <f t="shared" si="33"/>
        <v>2122</v>
      </c>
      <c r="AI216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2.3884310560000457E-4</v>
      </c>
      <c r="AJ2166" s="257">
        <f>FME_Ranking1[[#This Row],[Addition check]]-FME_Ranking1[[#This Row],[Weighted Score Based on Normalized Reported Factors]]</f>
        <v>0</v>
      </c>
      <c r="AK2166" s="178">
        <f>_xlfn.RANK.EQ(AI2166,$AI$6:$AI$2341,0)+COUNTIF($AI$6:AI2166,AI2166)-1</f>
        <v>2122</v>
      </c>
    </row>
    <row r="2167" spans="1:37" x14ac:dyDescent="0.25">
      <c r="A2167" t="s">
        <v>2633</v>
      </c>
      <c r="B2167">
        <f>_xlfn.XLOOKUP(FME_Ranking1[[#This Row],[FME ID]],FME_Input[FME_ID],FME_Input[RFPG_NUM])</f>
        <v>1</v>
      </c>
      <c r="C2167" t="str">
        <f>_xlfn.XLOOKUP(FME_Ranking1[[#This Row],[FME ID]],FME_Input[FME_ID],FME_Input[FME_NAME])</f>
        <v>Shamrock City Drainage Master Plan</v>
      </c>
      <c r="D2167" t="str">
        <f>_xlfn.XLOOKUP(FME_Ranking1[[#This Row],[FME ID]],FME_Input[FME_ID],FME_Input[DESCR])</f>
        <v xml:space="preserve">Perform H&amp;H modeling, develop conceptual alternatives and OPCC, and rank projects; selected based on the needs analysis and survey responses reporting issues with rivers, creeks, tributaries, and functioning floodplains, wetlands, and playa lakes. </v>
      </c>
      <c r="E2167" s="256">
        <f>_xlfn.XLOOKUP(FME_Ranking1[[#This Row],[FME ID]],FME_Input[FME_ID],FME_Input[FME_COST])</f>
        <v>250000</v>
      </c>
      <c r="F2167" t="str">
        <f>_xlfn.XLOOKUP(FME_Ranking1[[#This Row],[FME ID]],FME_Input[FME_ID],FME_Input[EMER_NEED])</f>
        <v>No</v>
      </c>
      <c r="G2167">
        <f>IF(FME_Ranking!F2167="Yes",100,0)</f>
        <v>0</v>
      </c>
      <c r="H2167">
        <f>FME_Ranking1[[#This Row],[Emergency Need Score (Normalized, Unweighted)]]*$F$3</f>
        <v>0</v>
      </c>
      <c r="I2167" s="246">
        <f>_xlfn.XLOOKUP(FME_Ranking1[[#This Row],[FME ID]],FME_Input[FME_ID],FME_Input[STRUCT_100])</f>
        <v>0</v>
      </c>
      <c r="J2167" s="178">
        <f>(FME_Ranking1[[#This Row],[Structures 100 Raw]]/I$2)*100</f>
        <v>0</v>
      </c>
      <c r="K2167" s="178">
        <f>FME_Ranking1[[#This Row],[Structures 100  Score (Normalized, Unweighted)]]*$I$3</f>
        <v>0</v>
      </c>
      <c r="L2167" s="246">
        <f>_xlfn.XLOOKUP(FME_Ranking1[[#This Row],[FME ID]],FME_Input[FME_ID],FME_Input[RES_STRUCT100])</f>
        <v>0</v>
      </c>
      <c r="M2167" s="230">
        <f>(FME_Ranking1[[#This Row],[Res Structures Raw]]/L$2)*100</f>
        <v>0</v>
      </c>
      <c r="N2167" s="180">
        <f>FME_Ranking1[[#This Row],[Res Structures Score (Normalized, Unweighted)]]*$L$3</f>
        <v>0</v>
      </c>
      <c r="O2167" s="244">
        <f>_xlfn.XLOOKUP(FME_Ranking1[[#This Row],[FME ID]],FME_Input[FME_ID],FME_Input[POP100])</f>
        <v>0</v>
      </c>
      <c r="P2167" s="178">
        <f>(FME_Ranking1[[#This Row],[Pop Raw]]/$O$2)*100</f>
        <v>0</v>
      </c>
      <c r="Q2167" s="178">
        <f>FME_Ranking1[[#This Row],[Pop Score (Normalized, Unweighted)]]*$O$3</f>
        <v>0</v>
      </c>
      <c r="R2167" s="137">
        <f>_xlfn.XLOOKUP(FME_Ranking1[[#This Row],[FME ID]],FME_Input[FME_ID],FME_Input[CRITFAC100])</f>
        <v>0</v>
      </c>
      <c r="S2167" s="230">
        <f>(FME_Ranking1[[#This Row],[Critical Facilities Raw]]/$R$2)*100</f>
        <v>0</v>
      </c>
      <c r="T2167" s="180">
        <f>FME_Ranking1[[#This Row],[Critical Facilities Score (Normalized, Unweighted)]]*$R$3</f>
        <v>0</v>
      </c>
      <c r="U2167">
        <f>_xlfn.XLOOKUP(FME_Ranking1[[#This Row],[FME ID]],FME_Input[FME_ID],FME_Input[LWC])</f>
        <v>0</v>
      </c>
      <c r="V2167" s="178">
        <f>(FME_Ranking1[[#This Row],[LWC Raw]]/$U$2)*100</f>
        <v>0</v>
      </c>
      <c r="W2167" s="178">
        <f>FME_Ranking1[[#This Row],[LWC Score (Normalized, Unweighted)]]*$U$3</f>
        <v>0</v>
      </c>
      <c r="X2167" s="246">
        <f>_xlfn.XLOOKUP(FME_Ranking1[[#This Row],[FME ID]],FME_Input[FME_ID],FME_Input[ROADCLS])</f>
        <v>0</v>
      </c>
      <c r="Y2167" s="230">
        <f>(FME_Ranking1[[#This Row],[Closures Raw]]/$X$2)*100</f>
        <v>0</v>
      </c>
      <c r="Z2167" s="180">
        <f>FME_Ranking1[[#This Row],[Closures Score (Normalized, Unweighted)]]*$X$3</f>
        <v>0</v>
      </c>
      <c r="AA2167" s="253">
        <f>_xlfn.XLOOKUP(FME_Ranking1[[#This Row],[FME ID]],FME_Input[FME_ID],FME_Input[ROAD_MILES100])</f>
        <v>0.68938785791397095</v>
      </c>
      <c r="AB2167" s="178">
        <f>(FME_Ranking1[[#This Row],[Miles Raw]]/$AA$2)*100</f>
        <v>9.0642138563979107E-3</v>
      </c>
      <c r="AC2167" s="178">
        <f>FME_Ranking1[[#This Row],[Miles Score (Normalized, Unweighted)]]*$AA$3</f>
        <v>9.0642138563979107E-4</v>
      </c>
      <c r="AD2167" s="255">
        <f>_xlfn.XLOOKUP(FME_Ranking1[[#This Row],[FME ID]],FME_Input[FME_ID],FME_Input[FARMACRE100])</f>
        <v>0.13874891400337219</v>
      </c>
      <c r="AE2167" s="230">
        <f>(FME_Ranking1[[#This Row],[Ag Land Raw]]/$AD$2)*100</f>
        <v>5.7213841034736265E-6</v>
      </c>
      <c r="AF2167" s="231">
        <f>FME_Ranking1[[#This Row],[Ag Land Score (Normalized, Unweighted)]]*$AD$3</f>
        <v>2.8606920517368135E-7</v>
      </c>
      <c r="AG216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9.0670745484496473E-4</v>
      </c>
      <c r="AH2167" s="406">
        <f t="shared" si="33"/>
        <v>2034</v>
      </c>
      <c r="AI216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9.0670745484496473E-4</v>
      </c>
      <c r="AJ2167" s="257">
        <f>FME_Ranking1[[#This Row],[Addition check]]-FME_Ranking1[[#This Row],[Weighted Score Based on Normalized Reported Factors]]</f>
        <v>0</v>
      </c>
      <c r="AK2167" s="178">
        <f>_xlfn.RANK.EQ(AI2167,$AI$6:$AI$2341,0)+COUNTIF($AI$6:AI2167,AI2167)-1</f>
        <v>2034</v>
      </c>
    </row>
    <row r="2168" spans="1:37" x14ac:dyDescent="0.25">
      <c r="A2168" t="s">
        <v>2762</v>
      </c>
      <c r="B2168">
        <f>_xlfn.XLOOKUP(FME_Ranking1[[#This Row],[FME ID]],FME_Input[FME_ID],FME_Input[RFPG_NUM])</f>
        <v>1</v>
      </c>
      <c r="C2168" t="str">
        <f>_xlfn.XLOOKUP(FME_Ranking1[[#This Row],[FME ID]],FME_Input[FME_ID],FME_Input[FME_NAME])</f>
        <v>City of Shamrock GIS Development</v>
      </c>
      <c r="D2168" t="str">
        <f>_xlfn.XLOOKUP(FME_Ranking1[[#This Row],[FME ID]],FME_Input[FME_ID],FME_Input[DESCR])</f>
        <v>Develop GIS inventory and condition assessment for flood infrastructure; selected based on survey response</v>
      </c>
      <c r="E2168" s="256">
        <f>_xlfn.XLOOKUP(FME_Ranking1[[#This Row],[FME ID]],FME_Input[FME_ID],FME_Input[FME_COST])</f>
        <v>50000</v>
      </c>
      <c r="F2168" t="str">
        <f>_xlfn.XLOOKUP(FME_Ranking1[[#This Row],[FME ID]],FME_Input[FME_ID],FME_Input[EMER_NEED])</f>
        <v>No</v>
      </c>
      <c r="G2168">
        <f>IF(FME_Ranking!F2168="Yes",100,0)</f>
        <v>0</v>
      </c>
      <c r="H2168">
        <f>FME_Ranking1[[#This Row],[Emergency Need Score (Normalized, Unweighted)]]*$F$3</f>
        <v>0</v>
      </c>
      <c r="I2168" s="246">
        <f>_xlfn.XLOOKUP(FME_Ranking1[[#This Row],[FME ID]],FME_Input[FME_ID],FME_Input[STRUCT_100])</f>
        <v>0</v>
      </c>
      <c r="J2168" s="178">
        <f>(FME_Ranking1[[#This Row],[Structures 100 Raw]]/I$2)*100</f>
        <v>0</v>
      </c>
      <c r="K2168" s="178">
        <f>FME_Ranking1[[#This Row],[Structures 100  Score (Normalized, Unweighted)]]*$I$3</f>
        <v>0</v>
      </c>
      <c r="L2168" s="246">
        <f>_xlfn.XLOOKUP(FME_Ranking1[[#This Row],[FME ID]],FME_Input[FME_ID],FME_Input[RES_STRUCT100])</f>
        <v>0</v>
      </c>
      <c r="M2168" s="230">
        <f>(FME_Ranking1[[#This Row],[Res Structures Raw]]/L$2)*100</f>
        <v>0</v>
      </c>
      <c r="N2168" s="180">
        <f>FME_Ranking1[[#This Row],[Res Structures Score (Normalized, Unweighted)]]*$L$3</f>
        <v>0</v>
      </c>
      <c r="O2168" s="244">
        <f>_xlfn.XLOOKUP(FME_Ranking1[[#This Row],[FME ID]],FME_Input[FME_ID],FME_Input[POP100])</f>
        <v>0</v>
      </c>
      <c r="P2168" s="178">
        <f>(FME_Ranking1[[#This Row],[Pop Raw]]/$O$2)*100</f>
        <v>0</v>
      </c>
      <c r="Q2168" s="178">
        <f>FME_Ranking1[[#This Row],[Pop Score (Normalized, Unweighted)]]*$O$3</f>
        <v>0</v>
      </c>
      <c r="R2168" s="137">
        <f>_xlfn.XLOOKUP(FME_Ranking1[[#This Row],[FME ID]],FME_Input[FME_ID],FME_Input[CRITFAC100])</f>
        <v>0</v>
      </c>
      <c r="S2168" s="230">
        <f>(FME_Ranking1[[#This Row],[Critical Facilities Raw]]/$R$2)*100</f>
        <v>0</v>
      </c>
      <c r="T2168" s="180">
        <f>FME_Ranking1[[#This Row],[Critical Facilities Score (Normalized, Unweighted)]]*$R$3</f>
        <v>0</v>
      </c>
      <c r="U2168">
        <f>_xlfn.XLOOKUP(FME_Ranking1[[#This Row],[FME ID]],FME_Input[FME_ID],FME_Input[LWC])</f>
        <v>0</v>
      </c>
      <c r="V2168" s="178">
        <f>(FME_Ranking1[[#This Row],[LWC Raw]]/$U$2)*100</f>
        <v>0</v>
      </c>
      <c r="W2168" s="178">
        <f>FME_Ranking1[[#This Row],[LWC Score (Normalized, Unweighted)]]*$U$3</f>
        <v>0</v>
      </c>
      <c r="X2168" s="246">
        <f>_xlfn.XLOOKUP(FME_Ranking1[[#This Row],[FME ID]],FME_Input[FME_ID],FME_Input[ROADCLS])</f>
        <v>0</v>
      </c>
      <c r="Y2168" s="230">
        <f>(FME_Ranking1[[#This Row],[Closures Raw]]/$X$2)*100</f>
        <v>0</v>
      </c>
      <c r="Z2168" s="180">
        <f>FME_Ranking1[[#This Row],[Closures Score (Normalized, Unweighted)]]*$X$3</f>
        <v>0</v>
      </c>
      <c r="AA2168" s="253">
        <f>_xlfn.XLOOKUP(FME_Ranking1[[#This Row],[FME ID]],FME_Input[FME_ID],FME_Input[ROAD_MILES100])</f>
        <v>0.68938785791397095</v>
      </c>
      <c r="AB2168" s="178">
        <f>(FME_Ranking1[[#This Row],[Miles Raw]]/$AA$2)*100</f>
        <v>9.0642138563979107E-3</v>
      </c>
      <c r="AC2168" s="178">
        <f>FME_Ranking1[[#This Row],[Miles Score (Normalized, Unweighted)]]*$AA$3</f>
        <v>9.0642138563979107E-4</v>
      </c>
      <c r="AD2168" s="255">
        <f>_xlfn.XLOOKUP(FME_Ranking1[[#This Row],[FME ID]],FME_Input[FME_ID],FME_Input[FARMACRE100])</f>
        <v>0.13874891400337219</v>
      </c>
      <c r="AE2168" s="230">
        <f>(FME_Ranking1[[#This Row],[Ag Land Raw]]/$AD$2)*100</f>
        <v>5.7213841034736265E-6</v>
      </c>
      <c r="AF2168" s="231">
        <f>FME_Ranking1[[#This Row],[Ag Land Score (Normalized, Unweighted)]]*$AD$3</f>
        <v>2.8606920517368135E-7</v>
      </c>
      <c r="AG216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9.0670745484496473E-4</v>
      </c>
      <c r="AH2168" s="406">
        <f t="shared" si="33"/>
        <v>2034</v>
      </c>
      <c r="AI216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9.0670745484496473E-4</v>
      </c>
      <c r="AJ2168" s="257">
        <f>FME_Ranking1[[#This Row],[Addition check]]-FME_Ranking1[[#This Row],[Weighted Score Based on Normalized Reported Factors]]</f>
        <v>0</v>
      </c>
      <c r="AK2168" s="178">
        <f>_xlfn.RANK.EQ(AI2168,$AI$6:$AI$2341,0)+COUNTIF($AI$6:AI2168,AI2168)-1</f>
        <v>2035</v>
      </c>
    </row>
    <row r="2169" spans="1:37" x14ac:dyDescent="0.25">
      <c r="A2169" t="s">
        <v>75</v>
      </c>
      <c r="B2169">
        <f>_xlfn.XLOOKUP(FME_Ranking1[[#This Row],[FME ID]],FME_Input[FME_ID],FME_Input[RFPG_NUM])</f>
        <v>10</v>
      </c>
      <c r="C2169" t="str">
        <f>_xlfn.XLOOKUP(FME_Ranking1[[#This Row],[FME ID]],FME_Input[FME_ID],FME_Input[FME_NAME])</f>
        <v>Clear Springs Lake Dam</v>
      </c>
      <c r="D2169" t="str">
        <f>_xlfn.XLOOKUP(FME_Ranking1[[#This Row],[FME ID]],FME_Input[FME_ID],FME_Input[DESCR])</f>
        <v>Design &amp; implement Clear Springs Lake Dam Improvements</v>
      </c>
      <c r="E2169" s="256">
        <f>_xlfn.XLOOKUP(FME_Ranking1[[#This Row],[FME ID]],FME_Input[FME_ID],FME_Input[FME_COST])</f>
        <v>100000</v>
      </c>
      <c r="F2169" t="str">
        <f>_xlfn.XLOOKUP(FME_Ranking1[[#This Row],[FME ID]],FME_Input[FME_ID],FME_Input[EMER_NEED])</f>
        <v>No</v>
      </c>
      <c r="G2169">
        <f>IF(FME_Ranking!F2169="Yes",100,0)</f>
        <v>0</v>
      </c>
      <c r="H2169">
        <f>FME_Ranking1[[#This Row],[Emergency Need Score (Normalized, Unweighted)]]*$F$3</f>
        <v>0</v>
      </c>
      <c r="I2169" s="246">
        <f>_xlfn.XLOOKUP(FME_Ranking1[[#This Row],[FME ID]],FME_Input[FME_ID],FME_Input[STRUCT_100])</f>
        <v>0</v>
      </c>
      <c r="J2169" s="178">
        <f>(FME_Ranking1[[#This Row],[Structures 100 Raw]]/I$2)*100</f>
        <v>0</v>
      </c>
      <c r="K2169" s="178">
        <f>FME_Ranking1[[#This Row],[Structures 100  Score (Normalized, Unweighted)]]*$I$3</f>
        <v>0</v>
      </c>
      <c r="L2169" s="246">
        <f>_xlfn.XLOOKUP(FME_Ranking1[[#This Row],[FME ID]],FME_Input[FME_ID],FME_Input[RES_STRUCT100])</f>
        <v>0</v>
      </c>
      <c r="M2169" s="230">
        <f>(FME_Ranking1[[#This Row],[Res Structures Raw]]/L$2)*100</f>
        <v>0</v>
      </c>
      <c r="N2169" s="180">
        <f>FME_Ranking1[[#This Row],[Res Structures Score (Normalized, Unweighted)]]*$L$3</f>
        <v>0</v>
      </c>
      <c r="O2169" s="244">
        <f>_xlfn.XLOOKUP(FME_Ranking1[[#This Row],[FME ID]],FME_Input[FME_ID],FME_Input[POP100])</f>
        <v>0</v>
      </c>
      <c r="P2169" s="178">
        <f>(FME_Ranking1[[#This Row],[Pop Raw]]/$O$2)*100</f>
        <v>0</v>
      </c>
      <c r="Q2169" s="178">
        <f>FME_Ranking1[[#This Row],[Pop Score (Normalized, Unweighted)]]*$O$3</f>
        <v>0</v>
      </c>
      <c r="R2169" s="137">
        <f>_xlfn.XLOOKUP(FME_Ranking1[[#This Row],[FME ID]],FME_Input[FME_ID],FME_Input[CRITFAC100])</f>
        <v>0</v>
      </c>
      <c r="S2169" s="230">
        <f>(FME_Ranking1[[#This Row],[Critical Facilities Raw]]/$R$2)*100</f>
        <v>0</v>
      </c>
      <c r="T2169" s="180">
        <f>FME_Ranking1[[#This Row],[Critical Facilities Score (Normalized, Unweighted)]]*$R$3</f>
        <v>0</v>
      </c>
      <c r="U2169">
        <f>_xlfn.XLOOKUP(FME_Ranking1[[#This Row],[FME ID]],FME_Input[FME_ID],FME_Input[LWC])</f>
        <v>0</v>
      </c>
      <c r="V2169" s="178">
        <f>(FME_Ranking1[[#This Row],[LWC Raw]]/$U$2)*100</f>
        <v>0</v>
      </c>
      <c r="W2169" s="178">
        <f>FME_Ranking1[[#This Row],[LWC Score (Normalized, Unweighted)]]*$U$3</f>
        <v>0</v>
      </c>
      <c r="X2169" s="246">
        <f>_xlfn.XLOOKUP(FME_Ranking1[[#This Row],[FME ID]],FME_Input[FME_ID],FME_Input[ROADCLS])</f>
        <v>0</v>
      </c>
      <c r="Y2169" s="230">
        <f>(FME_Ranking1[[#This Row],[Closures Raw]]/$X$2)*100</f>
        <v>0</v>
      </c>
      <c r="Z2169" s="180">
        <f>FME_Ranking1[[#This Row],[Closures Score (Normalized, Unweighted)]]*$X$3</f>
        <v>0</v>
      </c>
      <c r="AA2169" s="253">
        <f>_xlfn.XLOOKUP(FME_Ranking1[[#This Row],[FME ID]],FME_Input[FME_ID],FME_Input[ROAD_MILES100])</f>
        <v>0</v>
      </c>
      <c r="AB2169" s="178">
        <f>(FME_Ranking1[[#This Row],[Miles Raw]]/$AA$2)*100</f>
        <v>0</v>
      </c>
      <c r="AC2169" s="178">
        <f>FME_Ranking1[[#This Row],[Miles Score (Normalized, Unweighted)]]*$AA$3</f>
        <v>0</v>
      </c>
      <c r="AD2169" s="255">
        <f>_xlfn.XLOOKUP(FME_Ranking1[[#This Row],[FME ID]],FME_Input[FME_ID],FME_Input[FARMACRE100])</f>
        <v>0.12126574665308</v>
      </c>
      <c r="AE2169" s="230">
        <f>(FME_Ranking1[[#This Row],[Ag Land Raw]]/$AD$2)*100</f>
        <v>5.0004565454107238E-6</v>
      </c>
      <c r="AF2169" s="231">
        <f>FME_Ranking1[[#This Row],[Ag Land Score (Normalized, Unweighted)]]*$AD$3</f>
        <v>2.5002282727053618E-7</v>
      </c>
      <c r="AG216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2.5002282727053618E-7</v>
      </c>
      <c r="AH2169" s="406">
        <f t="shared" si="33"/>
        <v>2190</v>
      </c>
      <c r="AI216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2.5002282727053618E-7</v>
      </c>
      <c r="AJ2169" s="257">
        <f>FME_Ranking1[[#This Row],[Addition check]]-FME_Ranking1[[#This Row],[Weighted Score Based on Normalized Reported Factors]]</f>
        <v>0</v>
      </c>
      <c r="AK2169" s="178">
        <f>_xlfn.RANK.EQ(AI2169,$AI$6:$AI$2341,0)+COUNTIF($AI$6:AI2169,AI2169)-1</f>
        <v>2190</v>
      </c>
    </row>
    <row r="2170" spans="1:37" x14ac:dyDescent="0.25">
      <c r="A2170" t="s">
        <v>194</v>
      </c>
      <c r="B2170">
        <f>_xlfn.XLOOKUP(FME_Ranking1[[#This Row],[FME ID]],FME_Input[FME_ID],FME_Input[RFPG_NUM])</f>
        <v>10</v>
      </c>
      <c r="C2170" t="str">
        <f>_xlfn.XLOOKUP(FME_Ranking1[[#This Row],[FME ID]],FME_Input[FME_ID],FME_Input[FME_NAME])</f>
        <v>CR257 at Pecan Bayou (Tenmile Crossing)</v>
      </c>
      <c r="D2170" t="str">
        <f>_xlfn.XLOOKUP(FME_Ranking1[[#This Row],[FME ID]],FME_Input[FME_ID],FME_Input[DESCR])</f>
        <v>Upgrade CR 257 over Pecan Bayou to higher level of service (per TxDOT HDM)</v>
      </c>
      <c r="E2170" s="256">
        <f>_xlfn.XLOOKUP(FME_Ranking1[[#This Row],[FME ID]],FME_Input[FME_ID],FME_Input[FME_COST])</f>
        <v>100000</v>
      </c>
      <c r="F2170" t="str">
        <f>_xlfn.XLOOKUP(FME_Ranking1[[#This Row],[FME ID]],FME_Input[FME_ID],FME_Input[EMER_NEED])</f>
        <v>No</v>
      </c>
      <c r="G2170">
        <f>IF(FME_Ranking!F2170="Yes",100,0)</f>
        <v>0</v>
      </c>
      <c r="H2170">
        <f>FME_Ranking1[[#This Row],[Emergency Need Score (Normalized, Unweighted)]]*$F$3</f>
        <v>0</v>
      </c>
      <c r="I2170" s="246">
        <f>_xlfn.XLOOKUP(FME_Ranking1[[#This Row],[FME ID]],FME_Input[FME_ID],FME_Input[STRUCT_100])</f>
        <v>0</v>
      </c>
      <c r="J2170" s="178">
        <f>(FME_Ranking1[[#This Row],[Structures 100 Raw]]/I$2)*100</f>
        <v>0</v>
      </c>
      <c r="K2170" s="178">
        <f>FME_Ranking1[[#This Row],[Structures 100  Score (Normalized, Unweighted)]]*$I$3</f>
        <v>0</v>
      </c>
      <c r="L2170" s="246">
        <f>_xlfn.XLOOKUP(FME_Ranking1[[#This Row],[FME ID]],FME_Input[FME_ID],FME_Input[RES_STRUCT100])</f>
        <v>0</v>
      </c>
      <c r="M2170" s="230">
        <f>(FME_Ranking1[[#This Row],[Res Structures Raw]]/L$2)*100</f>
        <v>0</v>
      </c>
      <c r="N2170" s="180">
        <f>FME_Ranking1[[#This Row],[Res Structures Score (Normalized, Unweighted)]]*$L$3</f>
        <v>0</v>
      </c>
      <c r="O2170" s="244">
        <f>_xlfn.XLOOKUP(FME_Ranking1[[#This Row],[FME ID]],FME_Input[FME_ID],FME_Input[POP100])</f>
        <v>0</v>
      </c>
      <c r="P2170" s="178">
        <f>(FME_Ranking1[[#This Row],[Pop Raw]]/$O$2)*100</f>
        <v>0</v>
      </c>
      <c r="Q2170" s="178">
        <f>FME_Ranking1[[#This Row],[Pop Score (Normalized, Unweighted)]]*$O$3</f>
        <v>0</v>
      </c>
      <c r="R2170" s="137">
        <f>_xlfn.XLOOKUP(FME_Ranking1[[#This Row],[FME ID]],FME_Input[FME_ID],FME_Input[CRITFAC100])</f>
        <v>0</v>
      </c>
      <c r="S2170" s="230">
        <f>(FME_Ranking1[[#This Row],[Critical Facilities Raw]]/$R$2)*100</f>
        <v>0</v>
      </c>
      <c r="T2170" s="180">
        <f>FME_Ranking1[[#This Row],[Critical Facilities Score (Normalized, Unweighted)]]*$R$3</f>
        <v>0</v>
      </c>
      <c r="U2170">
        <f>_xlfn.XLOOKUP(FME_Ranking1[[#This Row],[FME ID]],FME_Input[FME_ID],FME_Input[LWC])</f>
        <v>0</v>
      </c>
      <c r="V2170" s="178">
        <f>(FME_Ranking1[[#This Row],[LWC Raw]]/$U$2)*100</f>
        <v>0</v>
      </c>
      <c r="W2170" s="178">
        <f>FME_Ranking1[[#This Row],[LWC Score (Normalized, Unweighted)]]*$U$3</f>
        <v>0</v>
      </c>
      <c r="X2170" s="246">
        <f>_xlfn.XLOOKUP(FME_Ranking1[[#This Row],[FME ID]],FME_Input[FME_ID],FME_Input[ROADCLS])</f>
        <v>0</v>
      </c>
      <c r="Y2170" s="230">
        <f>(FME_Ranking1[[#This Row],[Closures Raw]]/$X$2)*100</f>
        <v>0</v>
      </c>
      <c r="Z2170" s="180">
        <f>FME_Ranking1[[#This Row],[Closures Score (Normalized, Unweighted)]]*$X$3</f>
        <v>0</v>
      </c>
      <c r="AA2170" s="253">
        <f>_xlfn.XLOOKUP(FME_Ranking1[[#This Row],[FME ID]],FME_Input[FME_ID],FME_Input[ROAD_MILES100])</f>
        <v>4.5890498906373978E-2</v>
      </c>
      <c r="AB2170" s="178">
        <f>(FME_Ranking1[[#This Row],[Miles Raw]]/$AA$2)*100</f>
        <v>6.0337775214497076E-4</v>
      </c>
      <c r="AC2170" s="178">
        <f>FME_Ranking1[[#This Row],[Miles Score (Normalized, Unweighted)]]*$AA$3</f>
        <v>6.0337775214497076E-5</v>
      </c>
      <c r="AD2170" s="255">
        <f>_xlfn.XLOOKUP(FME_Ranking1[[#This Row],[FME ID]],FME_Input[FME_ID],FME_Input[FARMACRE100])</f>
        <v>0.10874143242836</v>
      </c>
      <c r="AE2170" s="230">
        <f>(FME_Ranking1[[#This Row],[Ag Land Raw]]/$AD$2)*100</f>
        <v>4.4840098919221056E-6</v>
      </c>
      <c r="AF2170" s="231">
        <f>FME_Ranking1[[#This Row],[Ag Land Score (Normalized, Unweighted)]]*$AD$3</f>
        <v>2.2420049459610529E-7</v>
      </c>
      <c r="AG217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6.0561975709093183E-5</v>
      </c>
      <c r="AH2170" s="406">
        <f t="shared" si="33"/>
        <v>2151</v>
      </c>
      <c r="AI217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6.0561975709093183E-5</v>
      </c>
      <c r="AJ2170" s="257">
        <f>FME_Ranking1[[#This Row],[Addition check]]-FME_Ranking1[[#This Row],[Weighted Score Based on Normalized Reported Factors]]</f>
        <v>0</v>
      </c>
      <c r="AK2170" s="178">
        <f>_xlfn.RANK.EQ(AI2170,$AI$6:$AI$2341,0)+COUNTIF($AI$6:AI2170,AI2170)-1</f>
        <v>2151</v>
      </c>
    </row>
    <row r="2171" spans="1:37" x14ac:dyDescent="0.25">
      <c r="A2171" t="s">
        <v>9407</v>
      </c>
      <c r="B2171">
        <f>_xlfn.XLOOKUP(FME_Ranking1[[#This Row],[FME ID]],FME_Input[FME_ID],FME_Input[RFPG_NUM])</f>
        <v>12</v>
      </c>
      <c r="C2171" t="str">
        <f>_xlfn.XLOOKUP(FME_Ranking1[[#This Row],[FME ID]],FME_Input[FME_ID],FME_Input[FME_NAME])</f>
        <v>Damage Center 2 (South Tributary to Stockdale Creek)</v>
      </c>
      <c r="D2171" t="str">
        <f>_xlfn.XLOOKUP(FME_Ranking1[[#This Row],[FME ID]],FME_Input[FME_ID],FME_Input[DESCR])</f>
        <v>Detention South Tributary to Stockdale Creek near the eastern city limit</v>
      </c>
      <c r="E2171" s="256">
        <f>_xlfn.XLOOKUP(FME_Ranking1[[#This Row],[FME ID]],FME_Input[FME_ID],FME_Input[FME_COST])</f>
        <v>660768</v>
      </c>
      <c r="F2171" t="str">
        <f>_xlfn.XLOOKUP(FME_Ranking1[[#This Row],[FME ID]],FME_Input[FME_ID],FME_Input[EMER_NEED])</f>
        <v>No</v>
      </c>
      <c r="G2171">
        <f>IF(FME_Ranking!F2171="Yes",100,0)</f>
        <v>0</v>
      </c>
      <c r="H2171">
        <f>FME_Ranking1[[#This Row],[Emergency Need Score (Normalized, Unweighted)]]*$F$3</f>
        <v>0</v>
      </c>
      <c r="I2171" s="246">
        <f>_xlfn.XLOOKUP(FME_Ranking1[[#This Row],[FME ID]],FME_Input[FME_ID],FME_Input[STRUCT_100])</f>
        <v>0</v>
      </c>
      <c r="J2171" s="178">
        <f>(FME_Ranking1[[#This Row],[Structures 100 Raw]]/I$2)*100</f>
        <v>0</v>
      </c>
      <c r="K2171" s="178">
        <f>FME_Ranking1[[#This Row],[Structures 100  Score (Normalized, Unweighted)]]*$I$3</f>
        <v>0</v>
      </c>
      <c r="L2171" s="246">
        <f>_xlfn.XLOOKUP(FME_Ranking1[[#This Row],[FME ID]],FME_Input[FME_ID],FME_Input[RES_STRUCT100])</f>
        <v>0</v>
      </c>
      <c r="M2171" s="230">
        <f>(FME_Ranking1[[#This Row],[Res Structures Raw]]/L$2)*100</f>
        <v>0</v>
      </c>
      <c r="N2171" s="180">
        <f>FME_Ranking1[[#This Row],[Res Structures Score (Normalized, Unweighted)]]*$L$3</f>
        <v>0</v>
      </c>
      <c r="O2171" s="244">
        <f>_xlfn.XLOOKUP(FME_Ranking1[[#This Row],[FME ID]],FME_Input[FME_ID],FME_Input[POP100])</f>
        <v>0</v>
      </c>
      <c r="P2171" s="178">
        <f>(FME_Ranking1[[#This Row],[Pop Raw]]/$O$2)*100</f>
        <v>0</v>
      </c>
      <c r="Q2171" s="178">
        <f>FME_Ranking1[[#This Row],[Pop Score (Normalized, Unweighted)]]*$O$3</f>
        <v>0</v>
      </c>
      <c r="R2171" s="137">
        <f>_xlfn.XLOOKUP(FME_Ranking1[[#This Row],[FME ID]],FME_Input[FME_ID],FME_Input[CRITFAC100])</f>
        <v>0</v>
      </c>
      <c r="S2171" s="230">
        <f>(FME_Ranking1[[#This Row],[Critical Facilities Raw]]/$R$2)*100</f>
        <v>0</v>
      </c>
      <c r="T2171" s="180">
        <f>FME_Ranking1[[#This Row],[Critical Facilities Score (Normalized, Unweighted)]]*$R$3</f>
        <v>0</v>
      </c>
      <c r="U2171">
        <f>_xlfn.XLOOKUP(FME_Ranking1[[#This Row],[FME ID]],FME_Input[FME_ID],FME_Input[LWC])</f>
        <v>0</v>
      </c>
      <c r="V2171" s="178">
        <f>(FME_Ranking1[[#This Row],[LWC Raw]]/$U$2)*100</f>
        <v>0</v>
      </c>
      <c r="W2171" s="178">
        <f>FME_Ranking1[[#This Row],[LWC Score (Normalized, Unweighted)]]*$U$3</f>
        <v>0</v>
      </c>
      <c r="X2171" s="246">
        <f>_xlfn.XLOOKUP(FME_Ranking1[[#This Row],[FME ID]],FME_Input[FME_ID],FME_Input[ROADCLS])</f>
        <v>0</v>
      </c>
      <c r="Y2171" s="230">
        <f>(FME_Ranking1[[#This Row],[Closures Raw]]/$X$2)*100</f>
        <v>0</v>
      </c>
      <c r="Z2171" s="180">
        <f>FME_Ranking1[[#This Row],[Closures Score (Normalized, Unweighted)]]*$X$3</f>
        <v>0</v>
      </c>
      <c r="AA2171" s="253">
        <f>_xlfn.XLOOKUP(FME_Ranking1[[#This Row],[FME ID]],FME_Input[FME_ID],FME_Input[ROAD_MILES100])</f>
        <v>0</v>
      </c>
      <c r="AB2171" s="178">
        <f>(FME_Ranking1[[#This Row],[Miles Raw]]/$AA$2)*100</f>
        <v>0</v>
      </c>
      <c r="AC2171" s="178">
        <f>FME_Ranking1[[#This Row],[Miles Score (Normalized, Unweighted)]]*$AA$3</f>
        <v>0</v>
      </c>
      <c r="AD2171" s="255">
        <f>_xlfn.XLOOKUP(FME_Ranking1[[#This Row],[FME ID]],FME_Input[FME_ID],FME_Input[FARMACRE100])</f>
        <v>8.5732996463775635E-2</v>
      </c>
      <c r="AE2171" s="230">
        <f>(FME_Ranking1[[#This Row],[Ag Land Raw]]/$AD$2)*100</f>
        <v>3.5352449900911297E-6</v>
      </c>
      <c r="AF2171" s="231">
        <f>FME_Ranking1[[#This Row],[Ag Land Score (Normalized, Unweighted)]]*$AD$3</f>
        <v>1.7676224950455649E-7</v>
      </c>
      <c r="AG217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1.7676224950455649E-7</v>
      </c>
      <c r="AH2171" s="406">
        <f t="shared" si="33"/>
        <v>2192</v>
      </c>
      <c r="AI217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1.7676224950455649E-7</v>
      </c>
      <c r="AJ2171" s="257">
        <f>FME_Ranking1[[#This Row],[Addition check]]-FME_Ranking1[[#This Row],[Weighted Score Based on Normalized Reported Factors]]</f>
        <v>0</v>
      </c>
      <c r="AK2171" s="178">
        <f>_xlfn.RANK.EQ(AI2171,$AI$6:$AI$2341,0)+COUNTIF($AI$6:AI2171,AI2171)-1</f>
        <v>2192</v>
      </c>
    </row>
    <row r="2172" spans="1:37" x14ac:dyDescent="0.25">
      <c r="A2172" t="s">
        <v>7869</v>
      </c>
      <c r="B2172">
        <f>_xlfn.XLOOKUP(FME_Ranking1[[#This Row],[FME ID]],FME_Input[FME_ID],FME_Input[RFPG_NUM])</f>
        <v>9</v>
      </c>
      <c r="C2172" t="str">
        <f>_xlfn.XLOOKUP(FME_Ranking1[[#This Row],[FME ID]],FME_Input[FME_ID],FME_Input[FME_NAME])</f>
        <v>San Angelo Street Flooding 14</v>
      </c>
      <c r="D2172" t="str">
        <f>_xlfn.XLOOKUP(FME_Ranking1[[#This Row],[FME ID]],FME_Input[FME_ID],FME_Input[DESCR])</f>
        <v>Heavy street flow, street flooding. Robin Hood at Amistad</v>
      </c>
      <c r="E2172" s="256">
        <f>_xlfn.XLOOKUP(FME_Ranking1[[#This Row],[FME ID]],FME_Input[FME_ID],FME_Input[FME_COST])</f>
        <v>25000</v>
      </c>
      <c r="F2172" t="str">
        <f>_xlfn.XLOOKUP(FME_Ranking1[[#This Row],[FME ID]],FME_Input[FME_ID],FME_Input[EMER_NEED])</f>
        <v>Yes</v>
      </c>
      <c r="G2172">
        <f>IF(FME_Ranking!F2172="Yes",100,0)</f>
        <v>100</v>
      </c>
      <c r="H2172">
        <f>FME_Ranking1[[#This Row],[Emergency Need Score (Normalized, Unweighted)]]*$F$3</f>
        <v>0</v>
      </c>
      <c r="I2172" s="246">
        <f>_xlfn.XLOOKUP(FME_Ranking1[[#This Row],[FME ID]],FME_Input[FME_ID],FME_Input[STRUCT_100])</f>
        <v>0</v>
      </c>
      <c r="J2172" s="178">
        <f>(FME_Ranking1[[#This Row],[Structures 100 Raw]]/I$2)*100</f>
        <v>0</v>
      </c>
      <c r="K2172" s="178">
        <f>FME_Ranking1[[#This Row],[Structures 100  Score (Normalized, Unweighted)]]*$I$3</f>
        <v>0</v>
      </c>
      <c r="L2172" s="246">
        <f>_xlfn.XLOOKUP(FME_Ranking1[[#This Row],[FME ID]],FME_Input[FME_ID],FME_Input[RES_STRUCT100])</f>
        <v>0</v>
      </c>
      <c r="M2172" s="230">
        <f>(FME_Ranking1[[#This Row],[Res Structures Raw]]/L$2)*100</f>
        <v>0</v>
      </c>
      <c r="N2172" s="180">
        <f>FME_Ranking1[[#This Row],[Res Structures Score (Normalized, Unweighted)]]*$L$3</f>
        <v>0</v>
      </c>
      <c r="O2172" s="244">
        <f>_xlfn.XLOOKUP(FME_Ranking1[[#This Row],[FME ID]],FME_Input[FME_ID],FME_Input[POP100])</f>
        <v>0</v>
      </c>
      <c r="P2172" s="178">
        <f>(FME_Ranking1[[#This Row],[Pop Raw]]/$O$2)*100</f>
        <v>0</v>
      </c>
      <c r="Q2172" s="178">
        <f>FME_Ranking1[[#This Row],[Pop Score (Normalized, Unweighted)]]*$O$3</f>
        <v>0</v>
      </c>
      <c r="R2172" s="137">
        <f>_xlfn.XLOOKUP(FME_Ranking1[[#This Row],[FME ID]],FME_Input[FME_ID],FME_Input[CRITFAC100])</f>
        <v>0</v>
      </c>
      <c r="S2172" s="230">
        <f>(FME_Ranking1[[#This Row],[Critical Facilities Raw]]/$R$2)*100</f>
        <v>0</v>
      </c>
      <c r="T2172" s="180">
        <f>FME_Ranking1[[#This Row],[Critical Facilities Score (Normalized, Unweighted)]]*$R$3</f>
        <v>0</v>
      </c>
      <c r="U2172">
        <f>_xlfn.XLOOKUP(FME_Ranking1[[#This Row],[FME ID]],FME_Input[FME_ID],FME_Input[LWC])</f>
        <v>0</v>
      </c>
      <c r="V2172" s="178">
        <f>(FME_Ranking1[[#This Row],[LWC Raw]]/$U$2)*100</f>
        <v>0</v>
      </c>
      <c r="W2172" s="178">
        <f>FME_Ranking1[[#This Row],[LWC Score (Normalized, Unweighted)]]*$U$3</f>
        <v>0</v>
      </c>
      <c r="X2172" s="246">
        <f>_xlfn.XLOOKUP(FME_Ranking1[[#This Row],[FME ID]],FME_Input[FME_ID],FME_Input[ROADCLS])</f>
        <v>0</v>
      </c>
      <c r="Y2172" s="230">
        <f>(FME_Ranking1[[#This Row],[Closures Raw]]/$X$2)*100</f>
        <v>0</v>
      </c>
      <c r="Z2172" s="180">
        <f>FME_Ranking1[[#This Row],[Closures Score (Normalized, Unweighted)]]*$X$3</f>
        <v>0</v>
      </c>
      <c r="AA2172" s="253">
        <f>_xlfn.XLOOKUP(FME_Ranking1[[#This Row],[FME ID]],FME_Input[FME_ID],FME_Input[ROAD_MILES100])</f>
        <v>0.20040492713451391</v>
      </c>
      <c r="AB2172" s="178">
        <f>(FME_Ranking1[[#This Row],[Miles Raw]]/$AA$2)*100</f>
        <v>2.6349653487076044E-3</v>
      </c>
      <c r="AC2172" s="178">
        <f>FME_Ranking1[[#This Row],[Miles Score (Normalized, Unweighted)]]*$AA$3</f>
        <v>2.6349653487076047E-4</v>
      </c>
      <c r="AD2172" s="255">
        <f>_xlfn.XLOOKUP(FME_Ranking1[[#This Row],[FME ID]],FME_Input[FME_ID],FME_Input[FARMACRE100])</f>
        <v>6.1550889164209373E-2</v>
      </c>
      <c r="AE2172" s="230">
        <f>(FME_Ranking1[[#This Row],[Ag Land Raw]]/$AD$2)*100</f>
        <v>2.5380831363495622E-6</v>
      </c>
      <c r="AF2172" s="231">
        <f>FME_Ranking1[[#This Row],[Ag Land Score (Normalized, Unweighted)]]*$AD$3</f>
        <v>1.2690415681747811E-7</v>
      </c>
      <c r="AG217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2.6362343902757796E-4</v>
      </c>
      <c r="AH2172" s="406">
        <f t="shared" si="33"/>
        <v>2119</v>
      </c>
      <c r="AI217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2.6362343902757796E-4</v>
      </c>
      <c r="AJ2172" s="257">
        <f>FME_Ranking1[[#This Row],[Addition check]]-FME_Ranking1[[#This Row],[Weighted Score Based on Normalized Reported Factors]]</f>
        <v>0</v>
      </c>
      <c r="AK2172" s="178">
        <f>_xlfn.RANK.EQ(AI2172,$AI$6:$AI$2341,0)+COUNTIF($AI$6:AI2172,AI2172)-1</f>
        <v>2119</v>
      </c>
    </row>
    <row r="2173" spans="1:37" x14ac:dyDescent="0.25">
      <c r="A2173" t="s">
        <v>10304</v>
      </c>
      <c r="B2173">
        <f>_xlfn.XLOOKUP(FME_Ranking1[[#This Row],[FME ID]],FME_Input[FME_ID],FME_Input[RFPG_NUM])</f>
        <v>13</v>
      </c>
      <c r="C2173" t="str">
        <f>_xlfn.XLOOKUP(FME_Ranking1[[#This Row],[FME ID]],FME_Input[FME_ID],FME_Input[FME_NAME])</f>
        <v>Wright Avenue Drainage Improvements</v>
      </c>
      <c r="D2173" t="str">
        <f>_xlfn.XLOOKUP(FME_Ranking1[[#This Row],[FME ID]],FME_Input[FME_ID],FME_Input[DESCR])</f>
        <v>Easement Acquisition and construction of two channels between Wright Ave. and McCampbell Slough; channel widening from the north side of the existing hotel properties to the west and tie-in with McCampbell slough. Addresses Nystrom Property area flooding.</v>
      </c>
      <c r="E2173" s="256">
        <f>_xlfn.XLOOKUP(FME_Ranking1[[#This Row],[FME ID]],FME_Input[FME_ID],FME_Input[FME_COST])</f>
        <v>60000</v>
      </c>
      <c r="F2173" t="str">
        <f>_xlfn.XLOOKUP(FME_Ranking1[[#This Row],[FME ID]],FME_Input[FME_ID],FME_Input[EMER_NEED])</f>
        <v>Yes</v>
      </c>
      <c r="G2173">
        <f>IF(FME_Ranking!F2173="Yes",100,0)</f>
        <v>100</v>
      </c>
      <c r="H2173">
        <f>FME_Ranking1[[#This Row],[Emergency Need Score (Normalized, Unweighted)]]*$F$3</f>
        <v>0</v>
      </c>
      <c r="I2173" s="246">
        <f>_xlfn.XLOOKUP(FME_Ranking1[[#This Row],[FME ID]],FME_Input[FME_ID],FME_Input[STRUCT_100])</f>
        <v>0</v>
      </c>
      <c r="J2173" s="178">
        <f>(FME_Ranking1[[#This Row],[Structures 100 Raw]]/I$2)*100</f>
        <v>0</v>
      </c>
      <c r="K2173" s="178">
        <f>FME_Ranking1[[#This Row],[Structures 100  Score (Normalized, Unweighted)]]*$I$3</f>
        <v>0</v>
      </c>
      <c r="L2173" s="246">
        <f>_xlfn.XLOOKUP(FME_Ranking1[[#This Row],[FME ID]],FME_Input[FME_ID],FME_Input[RES_STRUCT100])</f>
        <v>0</v>
      </c>
      <c r="M2173" s="230">
        <f>(FME_Ranking1[[#This Row],[Res Structures Raw]]/L$2)*100</f>
        <v>0</v>
      </c>
      <c r="N2173" s="180">
        <f>FME_Ranking1[[#This Row],[Res Structures Score (Normalized, Unweighted)]]*$L$3</f>
        <v>0</v>
      </c>
      <c r="O2173" s="244">
        <f>_xlfn.XLOOKUP(FME_Ranking1[[#This Row],[FME ID]],FME_Input[FME_ID],FME_Input[POP100])</f>
        <v>0</v>
      </c>
      <c r="P2173" s="178">
        <f>(FME_Ranking1[[#This Row],[Pop Raw]]/$O$2)*100</f>
        <v>0</v>
      </c>
      <c r="Q2173" s="178">
        <f>FME_Ranking1[[#This Row],[Pop Score (Normalized, Unweighted)]]*$O$3</f>
        <v>0</v>
      </c>
      <c r="R2173" s="137">
        <f>_xlfn.XLOOKUP(FME_Ranking1[[#This Row],[FME ID]],FME_Input[FME_ID],FME_Input[CRITFAC100])</f>
        <v>0</v>
      </c>
      <c r="S2173" s="230">
        <f>(FME_Ranking1[[#This Row],[Critical Facilities Raw]]/$R$2)*100</f>
        <v>0</v>
      </c>
      <c r="T2173" s="180">
        <f>FME_Ranking1[[#This Row],[Critical Facilities Score (Normalized, Unweighted)]]*$R$3</f>
        <v>0</v>
      </c>
      <c r="U2173">
        <f>_xlfn.XLOOKUP(FME_Ranking1[[#This Row],[FME ID]],FME_Input[FME_ID],FME_Input[LWC])</f>
        <v>0</v>
      </c>
      <c r="V2173" s="178">
        <f>(FME_Ranking1[[#This Row],[LWC Raw]]/$U$2)*100</f>
        <v>0</v>
      </c>
      <c r="W2173" s="178">
        <f>FME_Ranking1[[#This Row],[LWC Score (Normalized, Unweighted)]]*$U$3</f>
        <v>0</v>
      </c>
      <c r="X2173" s="246">
        <f>_xlfn.XLOOKUP(FME_Ranking1[[#This Row],[FME ID]],FME_Input[FME_ID],FME_Input[ROADCLS])</f>
        <v>0</v>
      </c>
      <c r="Y2173" s="230">
        <f>(FME_Ranking1[[#This Row],[Closures Raw]]/$X$2)*100</f>
        <v>0</v>
      </c>
      <c r="Z2173" s="180">
        <f>FME_Ranking1[[#This Row],[Closures Score (Normalized, Unweighted)]]*$X$3</f>
        <v>0</v>
      </c>
      <c r="AA2173" s="253">
        <f>_xlfn.XLOOKUP(FME_Ranking1[[#This Row],[FME ID]],FME_Input[FME_ID],FME_Input[ROAD_MILES100])</f>
        <v>0</v>
      </c>
      <c r="AB2173" s="178">
        <f>(FME_Ranking1[[#This Row],[Miles Raw]]/$AA$2)*100</f>
        <v>0</v>
      </c>
      <c r="AC2173" s="178">
        <f>FME_Ranking1[[#This Row],[Miles Score (Normalized, Unweighted)]]*$AA$3</f>
        <v>0</v>
      </c>
      <c r="AD2173" s="255">
        <f>_xlfn.XLOOKUP(FME_Ranking1[[#This Row],[FME ID]],FME_Input[FME_ID],FME_Input[FARMACRE100])</f>
        <v>5.5116262286901467E-2</v>
      </c>
      <c r="AE2173" s="230">
        <f>(FME_Ranking1[[#This Row],[Ag Land Raw]]/$AD$2)*100</f>
        <v>2.2727479285603407E-6</v>
      </c>
      <c r="AF2173" s="231">
        <f>FME_Ranking1[[#This Row],[Ag Land Score (Normalized, Unweighted)]]*$AD$3</f>
        <v>1.1363739642801705E-7</v>
      </c>
      <c r="AG217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1.1363739642801705E-7</v>
      </c>
      <c r="AH2173" s="406">
        <f t="shared" si="33"/>
        <v>2193</v>
      </c>
      <c r="AI217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1.1363739642801705E-7</v>
      </c>
      <c r="AJ2173" s="257">
        <f>FME_Ranking1[[#This Row],[Addition check]]-FME_Ranking1[[#This Row],[Weighted Score Based on Normalized Reported Factors]]</f>
        <v>0</v>
      </c>
      <c r="AK2173" s="178">
        <f>_xlfn.RANK.EQ(AI2173,$AI$6:$AI$2341,0)+COUNTIF($AI$6:AI2173,AI2173)-1</f>
        <v>2193</v>
      </c>
    </row>
    <row r="2174" spans="1:37" x14ac:dyDescent="0.25">
      <c r="A2174" t="s">
        <v>10750</v>
      </c>
      <c r="B2174">
        <f>_xlfn.XLOOKUP(FME_Ranking1[[#This Row],[FME ID]],FME_Input[FME_ID],FME_Input[RFPG_NUM])</f>
        <v>13</v>
      </c>
      <c r="C2174" t="str">
        <f>_xlfn.XLOOKUP(FME_Ranking1[[#This Row],[FME ID]],FME_Input[FME_ID],FME_Input[FME_NAME])</f>
        <v>Expanding Drainage System to Odem HS Area</v>
      </c>
      <c r="D2174" t="str">
        <f>_xlfn.XLOOKUP(FME_Ranking1[[#This Row],[FME ID]],FME_Input[FME_ID],FME_Input[DESCR])</f>
        <v>Expanding and improving drainage network to Odem HS area and constructing a detention basin</v>
      </c>
      <c r="E2174" s="256">
        <f>_xlfn.XLOOKUP(FME_Ranking1[[#This Row],[FME ID]],FME_Input[FME_ID],FME_Input[FME_COST])</f>
        <v>100000</v>
      </c>
      <c r="F2174" t="str">
        <f>_xlfn.XLOOKUP(FME_Ranking1[[#This Row],[FME ID]],FME_Input[FME_ID],FME_Input[EMER_NEED])</f>
        <v>Yes</v>
      </c>
      <c r="G2174">
        <f>IF(FME_Ranking!F2174="Yes",100,0)</f>
        <v>100</v>
      </c>
      <c r="H2174">
        <f>FME_Ranking1[[#This Row],[Emergency Need Score (Normalized, Unweighted)]]*$F$3</f>
        <v>0</v>
      </c>
      <c r="I2174" s="246">
        <f>_xlfn.XLOOKUP(FME_Ranking1[[#This Row],[FME ID]],FME_Input[FME_ID],FME_Input[STRUCT_100])</f>
        <v>0</v>
      </c>
      <c r="J2174" s="178">
        <f>(FME_Ranking1[[#This Row],[Structures 100 Raw]]/I$2)*100</f>
        <v>0</v>
      </c>
      <c r="K2174" s="178">
        <f>FME_Ranking1[[#This Row],[Structures 100  Score (Normalized, Unweighted)]]*$I$3</f>
        <v>0</v>
      </c>
      <c r="L2174" s="246">
        <f>_xlfn.XLOOKUP(FME_Ranking1[[#This Row],[FME ID]],FME_Input[FME_ID],FME_Input[RES_STRUCT100])</f>
        <v>0</v>
      </c>
      <c r="M2174" s="230">
        <f>(FME_Ranking1[[#This Row],[Res Structures Raw]]/L$2)*100</f>
        <v>0</v>
      </c>
      <c r="N2174" s="180">
        <f>FME_Ranking1[[#This Row],[Res Structures Score (Normalized, Unweighted)]]*$L$3</f>
        <v>0</v>
      </c>
      <c r="O2174" s="244">
        <f>_xlfn.XLOOKUP(FME_Ranking1[[#This Row],[FME ID]],FME_Input[FME_ID],FME_Input[POP100])</f>
        <v>0</v>
      </c>
      <c r="P2174" s="178">
        <f>(FME_Ranking1[[#This Row],[Pop Raw]]/$O$2)*100</f>
        <v>0</v>
      </c>
      <c r="Q2174" s="178">
        <f>FME_Ranking1[[#This Row],[Pop Score (Normalized, Unweighted)]]*$O$3</f>
        <v>0</v>
      </c>
      <c r="R2174" s="137">
        <f>_xlfn.XLOOKUP(FME_Ranking1[[#This Row],[FME ID]],FME_Input[FME_ID],FME_Input[CRITFAC100])</f>
        <v>0</v>
      </c>
      <c r="S2174" s="230">
        <f>(FME_Ranking1[[#This Row],[Critical Facilities Raw]]/$R$2)*100</f>
        <v>0</v>
      </c>
      <c r="T2174" s="180">
        <f>FME_Ranking1[[#This Row],[Critical Facilities Score (Normalized, Unweighted)]]*$R$3</f>
        <v>0</v>
      </c>
      <c r="U2174">
        <f>_xlfn.XLOOKUP(FME_Ranking1[[#This Row],[FME ID]],FME_Input[FME_ID],FME_Input[LWC])</f>
        <v>0</v>
      </c>
      <c r="V2174" s="178">
        <f>(FME_Ranking1[[#This Row],[LWC Raw]]/$U$2)*100</f>
        <v>0</v>
      </c>
      <c r="W2174" s="178">
        <f>FME_Ranking1[[#This Row],[LWC Score (Normalized, Unweighted)]]*$U$3</f>
        <v>0</v>
      </c>
      <c r="X2174" s="246">
        <f>_xlfn.XLOOKUP(FME_Ranking1[[#This Row],[FME ID]],FME_Input[FME_ID],FME_Input[ROADCLS])</f>
        <v>0</v>
      </c>
      <c r="Y2174" s="230">
        <f>(FME_Ranking1[[#This Row],[Closures Raw]]/$X$2)*100</f>
        <v>0</v>
      </c>
      <c r="Z2174" s="180">
        <f>FME_Ranking1[[#This Row],[Closures Score (Normalized, Unweighted)]]*$X$3</f>
        <v>0</v>
      </c>
      <c r="AA2174" s="253">
        <f>_xlfn.XLOOKUP(FME_Ranking1[[#This Row],[FME ID]],FME_Input[FME_ID],FME_Input[ROAD_MILES100])</f>
        <v>0</v>
      </c>
      <c r="AB2174" s="178">
        <f>(FME_Ranking1[[#This Row],[Miles Raw]]/$AA$2)*100</f>
        <v>0</v>
      </c>
      <c r="AC2174" s="178">
        <f>FME_Ranking1[[#This Row],[Miles Score (Normalized, Unweighted)]]*$AA$3</f>
        <v>0</v>
      </c>
      <c r="AD2174" s="255">
        <f>_xlfn.XLOOKUP(FME_Ranking1[[#This Row],[FME ID]],FME_Input[FME_ID],FME_Input[FARMACRE100])</f>
        <v>5.2267998456954963E-2</v>
      </c>
      <c r="AE2174" s="230">
        <f>(FME_Ranking1[[#This Row],[Ag Land Raw]]/$AD$2)*100</f>
        <v>2.15529827847689E-6</v>
      </c>
      <c r="AF2174" s="231">
        <f>FME_Ranking1[[#This Row],[Ag Land Score (Normalized, Unweighted)]]*$AD$3</f>
        <v>1.077649139238445E-7</v>
      </c>
      <c r="AG217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1.077649139238445E-7</v>
      </c>
      <c r="AH2174" s="406">
        <f t="shared" si="33"/>
        <v>2194</v>
      </c>
      <c r="AI217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1.077649139238445E-7</v>
      </c>
      <c r="AJ2174" s="257">
        <f>FME_Ranking1[[#This Row],[Addition check]]-FME_Ranking1[[#This Row],[Weighted Score Based on Normalized Reported Factors]]</f>
        <v>0</v>
      </c>
      <c r="AK2174" s="178">
        <f>_xlfn.RANK.EQ(AI2174,$AI$6:$AI$2341,0)+COUNTIF($AI$6:AI2174,AI2174)-1</f>
        <v>2194</v>
      </c>
    </row>
    <row r="2175" spans="1:37" x14ac:dyDescent="0.25">
      <c r="A2175" t="s">
        <v>996</v>
      </c>
      <c r="B2175">
        <f>_xlfn.XLOOKUP(FME_Ranking1[[#This Row],[FME ID]],FME_Input[FME_ID],FME_Input[RFPG_NUM])</f>
        <v>6</v>
      </c>
      <c r="C2175" t="str">
        <f>_xlfn.XLOOKUP(FME_Ranking1[[#This Row],[FME ID]],FME_Input[FME_ID],FME_Input[FME_NAME])</f>
        <v>West Chocolate Bayou (CR 383 Ditch)</v>
      </c>
      <c r="D2175" t="str">
        <f>_xlfn.XLOOKUP(FME_Ranking1[[#This Row],[FME ID]],FME_Input[FME_ID],FME_Input[DESCR])</f>
        <v>Further study including Atlas 14 rainfall incorporation and Benefit Cost Analysis of proposed channel modifications included in the City of Pearland master drainage plan.</v>
      </c>
      <c r="E2175" s="256">
        <f>_xlfn.XLOOKUP(FME_Ranking1[[#This Row],[FME ID]],FME_Input[FME_ID],FME_Input[FME_COST])</f>
        <v>252400</v>
      </c>
      <c r="F2175" t="str">
        <f>_xlfn.XLOOKUP(FME_Ranking1[[#This Row],[FME ID]],FME_Input[FME_ID],FME_Input[EMER_NEED])</f>
        <v>No</v>
      </c>
      <c r="G2175">
        <f>IF(FME_Ranking!F2175="Yes",100,0)</f>
        <v>0</v>
      </c>
      <c r="H2175">
        <f>FME_Ranking1[[#This Row],[Emergency Need Score (Normalized, Unweighted)]]*$F$3</f>
        <v>0</v>
      </c>
      <c r="I2175" s="246">
        <f>_xlfn.XLOOKUP(FME_Ranking1[[#This Row],[FME ID]],FME_Input[FME_ID],FME_Input[STRUCT_100])</f>
        <v>0</v>
      </c>
      <c r="J2175" s="178">
        <f>(FME_Ranking1[[#This Row],[Structures 100 Raw]]/I$2)*100</f>
        <v>0</v>
      </c>
      <c r="K2175" s="178">
        <f>FME_Ranking1[[#This Row],[Structures 100  Score (Normalized, Unweighted)]]*$I$3</f>
        <v>0</v>
      </c>
      <c r="L2175" s="246">
        <f>_xlfn.XLOOKUP(FME_Ranking1[[#This Row],[FME ID]],FME_Input[FME_ID],FME_Input[RES_STRUCT100])</f>
        <v>0</v>
      </c>
      <c r="M2175" s="230">
        <f>(FME_Ranking1[[#This Row],[Res Structures Raw]]/L$2)*100</f>
        <v>0</v>
      </c>
      <c r="N2175" s="180">
        <f>FME_Ranking1[[#This Row],[Res Structures Score (Normalized, Unweighted)]]*$L$3</f>
        <v>0</v>
      </c>
      <c r="O2175" s="244">
        <f>_xlfn.XLOOKUP(FME_Ranking1[[#This Row],[FME ID]],FME_Input[FME_ID],FME_Input[POP100])</f>
        <v>0</v>
      </c>
      <c r="P2175" s="178">
        <f>(FME_Ranking1[[#This Row],[Pop Raw]]/$O$2)*100</f>
        <v>0</v>
      </c>
      <c r="Q2175" s="178">
        <f>FME_Ranking1[[#This Row],[Pop Score (Normalized, Unweighted)]]*$O$3</f>
        <v>0</v>
      </c>
      <c r="R2175" s="137">
        <f>_xlfn.XLOOKUP(FME_Ranking1[[#This Row],[FME ID]],FME_Input[FME_ID],FME_Input[CRITFAC100])</f>
        <v>0</v>
      </c>
      <c r="S2175" s="230">
        <f>(FME_Ranking1[[#This Row],[Critical Facilities Raw]]/$R$2)*100</f>
        <v>0</v>
      </c>
      <c r="T2175" s="180">
        <f>FME_Ranking1[[#This Row],[Critical Facilities Score (Normalized, Unweighted)]]*$R$3</f>
        <v>0</v>
      </c>
      <c r="U2175">
        <f>_xlfn.XLOOKUP(FME_Ranking1[[#This Row],[FME ID]],FME_Input[FME_ID],FME_Input[LWC])</f>
        <v>0</v>
      </c>
      <c r="V2175" s="178">
        <f>(FME_Ranking1[[#This Row],[LWC Raw]]/$U$2)*100</f>
        <v>0</v>
      </c>
      <c r="W2175" s="178">
        <f>FME_Ranking1[[#This Row],[LWC Score (Normalized, Unweighted)]]*$U$3</f>
        <v>0</v>
      </c>
      <c r="X2175" s="246">
        <f>_xlfn.XLOOKUP(FME_Ranking1[[#This Row],[FME ID]],FME_Input[FME_ID],FME_Input[ROADCLS])</f>
        <v>0</v>
      </c>
      <c r="Y2175" s="230">
        <f>(FME_Ranking1[[#This Row],[Closures Raw]]/$X$2)*100</f>
        <v>0</v>
      </c>
      <c r="Z2175" s="180">
        <f>FME_Ranking1[[#This Row],[Closures Score (Normalized, Unweighted)]]*$X$3</f>
        <v>0</v>
      </c>
      <c r="AA2175" s="253">
        <f>_xlfn.XLOOKUP(FME_Ranking1[[#This Row],[FME ID]],FME_Input[FME_ID],FME_Input[ROAD_MILES100])</f>
        <v>1.1529239825904369E-2</v>
      </c>
      <c r="AB2175" s="178">
        <f>(FME_Ranking1[[#This Row],[Miles Raw]]/$AA$2)*100</f>
        <v>1.5158882504823297E-4</v>
      </c>
      <c r="AC2175" s="178">
        <f>FME_Ranking1[[#This Row],[Miles Score (Normalized, Unweighted)]]*$AA$3</f>
        <v>1.5158882504823297E-5</v>
      </c>
      <c r="AD2175" s="255">
        <f>_xlfn.XLOOKUP(FME_Ranking1[[#This Row],[FME ID]],FME_Input[FME_ID],FME_Input[FARMACRE100])</f>
        <v>4.4743560254573822E-2</v>
      </c>
      <c r="AE2175" s="230">
        <f>(FME_Ranking1[[#This Row],[Ag Land Raw]]/$AD$2)*100</f>
        <v>1.8450241301860658E-6</v>
      </c>
      <c r="AF2175" s="231">
        <f>FME_Ranking1[[#This Row],[Ag Land Score (Normalized, Unweighted)]]*$AD$3</f>
        <v>9.2251206509303298E-8</v>
      </c>
      <c r="AG217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1.52511337113326E-5</v>
      </c>
      <c r="AH2175" s="406">
        <f t="shared" si="33"/>
        <v>2166</v>
      </c>
      <c r="AI217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1.52511337113326E-5</v>
      </c>
      <c r="AJ2175" s="257">
        <f>FME_Ranking1[[#This Row],[Addition check]]-FME_Ranking1[[#This Row],[Weighted Score Based on Normalized Reported Factors]]</f>
        <v>0</v>
      </c>
      <c r="AK2175" s="178">
        <f>_xlfn.RANK.EQ(AI2175,$AI$6:$AI$2341,0)+COUNTIF($AI$6:AI2175,AI2175)-1</f>
        <v>2166</v>
      </c>
    </row>
    <row r="2176" spans="1:37" x14ac:dyDescent="0.25">
      <c r="A2176" t="s">
        <v>10781</v>
      </c>
      <c r="B2176">
        <f>_xlfn.XLOOKUP(FME_Ranking1[[#This Row],[FME ID]],FME_Input[FME_ID],FME_Input[RFPG_NUM])</f>
        <v>13</v>
      </c>
      <c r="C2176" t="str">
        <f>_xlfn.XLOOKUP(FME_Ranking1[[#This Row],[FME ID]],FME_Input[FME_ID],FME_Input[FME_NAME])</f>
        <v>Aransas County Drainage Improvements - Project 3</v>
      </c>
      <c r="D2176" t="str">
        <f>_xlfn.XLOOKUP(FME_Ranking1[[#This Row],[FME ID]],FME_Input[FME_ID],FME_Input[DESCR])</f>
        <v>Aransas County Texas Multi-Jurisdictional Hazard Mitigation Action Plan - Action #62: Master Plan - Drainage Improvements - Project 3 - Market St (FM1069) at SH 35 Bypass, Hickory &amp; Steart</v>
      </c>
      <c r="E2176" s="256">
        <f>_xlfn.XLOOKUP(FME_Ranking1[[#This Row],[FME ID]],FME_Input[FME_ID],FME_Input[FME_COST])</f>
        <v>231000</v>
      </c>
      <c r="F2176" t="str">
        <f>_xlfn.XLOOKUP(FME_Ranking1[[#This Row],[FME ID]],FME_Input[FME_ID],FME_Input[EMER_NEED])</f>
        <v>Yes</v>
      </c>
      <c r="G2176">
        <f>IF(FME_Ranking!F2176="Yes",100,0)</f>
        <v>100</v>
      </c>
      <c r="H2176">
        <f>FME_Ranking1[[#This Row],[Emergency Need Score (Normalized, Unweighted)]]*$F$3</f>
        <v>0</v>
      </c>
      <c r="I2176" s="246">
        <f>_xlfn.XLOOKUP(FME_Ranking1[[#This Row],[FME ID]],FME_Input[FME_ID],FME_Input[STRUCT_100])</f>
        <v>0</v>
      </c>
      <c r="J2176" s="178">
        <f>(FME_Ranking1[[#This Row],[Structures 100 Raw]]/I$2)*100</f>
        <v>0</v>
      </c>
      <c r="K2176" s="178">
        <f>FME_Ranking1[[#This Row],[Structures 100  Score (Normalized, Unweighted)]]*$I$3</f>
        <v>0</v>
      </c>
      <c r="L2176" s="246">
        <f>_xlfn.XLOOKUP(FME_Ranking1[[#This Row],[FME ID]],FME_Input[FME_ID],FME_Input[RES_STRUCT100])</f>
        <v>0</v>
      </c>
      <c r="M2176" s="230">
        <f>(FME_Ranking1[[#This Row],[Res Structures Raw]]/L$2)*100</f>
        <v>0</v>
      </c>
      <c r="N2176" s="180">
        <f>FME_Ranking1[[#This Row],[Res Structures Score (Normalized, Unweighted)]]*$L$3</f>
        <v>0</v>
      </c>
      <c r="O2176" s="244">
        <f>_xlfn.XLOOKUP(FME_Ranking1[[#This Row],[FME ID]],FME_Input[FME_ID],FME_Input[POP100])</f>
        <v>0</v>
      </c>
      <c r="P2176" s="178">
        <f>(FME_Ranking1[[#This Row],[Pop Raw]]/$O$2)*100</f>
        <v>0</v>
      </c>
      <c r="Q2176" s="178">
        <f>FME_Ranking1[[#This Row],[Pop Score (Normalized, Unweighted)]]*$O$3</f>
        <v>0</v>
      </c>
      <c r="R2176" s="137">
        <f>_xlfn.XLOOKUP(FME_Ranking1[[#This Row],[FME ID]],FME_Input[FME_ID],FME_Input[CRITFAC100])</f>
        <v>0</v>
      </c>
      <c r="S2176" s="230">
        <f>(FME_Ranking1[[#This Row],[Critical Facilities Raw]]/$R$2)*100</f>
        <v>0</v>
      </c>
      <c r="T2176" s="180">
        <f>FME_Ranking1[[#This Row],[Critical Facilities Score (Normalized, Unweighted)]]*$R$3</f>
        <v>0</v>
      </c>
      <c r="U2176">
        <f>_xlfn.XLOOKUP(FME_Ranking1[[#This Row],[FME ID]],FME_Input[FME_ID],FME_Input[LWC])</f>
        <v>0</v>
      </c>
      <c r="V2176" s="178">
        <f>(FME_Ranking1[[#This Row],[LWC Raw]]/$U$2)*100</f>
        <v>0</v>
      </c>
      <c r="W2176" s="178">
        <f>FME_Ranking1[[#This Row],[LWC Score (Normalized, Unweighted)]]*$U$3</f>
        <v>0</v>
      </c>
      <c r="X2176" s="246">
        <f>_xlfn.XLOOKUP(FME_Ranking1[[#This Row],[FME ID]],FME_Input[FME_ID],FME_Input[ROADCLS])</f>
        <v>0</v>
      </c>
      <c r="Y2176" s="230">
        <f>(FME_Ranking1[[#This Row],[Closures Raw]]/$X$2)*100</f>
        <v>0</v>
      </c>
      <c r="Z2176" s="180">
        <f>FME_Ranking1[[#This Row],[Closures Score (Normalized, Unweighted)]]*$X$3</f>
        <v>0</v>
      </c>
      <c r="AA2176" s="253">
        <f>_xlfn.XLOOKUP(FME_Ranking1[[#This Row],[FME ID]],FME_Input[FME_ID],FME_Input[ROAD_MILES100])</f>
        <v>0</v>
      </c>
      <c r="AB2176" s="178">
        <f>(FME_Ranking1[[#This Row],[Miles Raw]]/$AA$2)*100</f>
        <v>0</v>
      </c>
      <c r="AC2176" s="178">
        <f>FME_Ranking1[[#This Row],[Miles Score (Normalized, Unweighted)]]*$AA$3</f>
        <v>0</v>
      </c>
      <c r="AD2176" s="255">
        <f>_xlfn.XLOOKUP(FME_Ranking1[[#This Row],[FME ID]],FME_Input[FME_ID],FME_Input[FARMACRE100])</f>
        <v>2.4472806602716449E-2</v>
      </c>
      <c r="AE2176" s="230">
        <f>(FME_Ranking1[[#This Row],[Ag Land Raw]]/$AD$2)*100</f>
        <v>1.0091489916869782E-6</v>
      </c>
      <c r="AF2176" s="231">
        <f>FME_Ranking1[[#This Row],[Ag Land Score (Normalized, Unweighted)]]*$AD$3</f>
        <v>5.0457449584348913E-8</v>
      </c>
      <c r="AG217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5.0457449584348913E-8</v>
      </c>
      <c r="AH2176" s="406">
        <f t="shared" si="33"/>
        <v>2195</v>
      </c>
      <c r="AI217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5.0457449584348913E-8</v>
      </c>
      <c r="AJ2176" s="257">
        <f>FME_Ranking1[[#This Row],[Addition check]]-FME_Ranking1[[#This Row],[Weighted Score Based on Normalized Reported Factors]]</f>
        <v>0</v>
      </c>
      <c r="AK2176" s="178">
        <f>_xlfn.RANK.EQ(AI2176,$AI$6:$AI$2341,0)+COUNTIF($AI$6:AI2176,AI2176)-1</f>
        <v>2195</v>
      </c>
    </row>
    <row r="2177" spans="1:37" x14ac:dyDescent="0.25">
      <c r="A2177" t="s">
        <v>6136</v>
      </c>
      <c r="B2177">
        <f>_xlfn.XLOOKUP(FME_Ranking1[[#This Row],[FME ID]],FME_Input[FME_ID],FME_Input[RFPG_NUM])</f>
        <v>5</v>
      </c>
      <c r="C2177" t="str">
        <f>_xlfn.XLOOKUP(FME_Ranking1[[#This Row],[FME ID]],FME_Input[FME_ID],FME_Input[FME_NAME])</f>
        <v>Willie Nerron Road and Gillan Creek Bridge Replacement</v>
      </c>
      <c r="D2177" t="str">
        <f>_xlfn.XLOOKUP(FME_Ranking1[[#This Row],[FME ID]],FME_Input[FME_ID],FME_Input[DESCR])</f>
        <v xml:space="preserve">Evaluate bridge improvements (upgrade bridge and increase channel flow) to current crossing to develop costs, quantify benefits, evaluate impacts, and begin design. </v>
      </c>
      <c r="E2177" s="256">
        <f>_xlfn.XLOOKUP(FME_Ranking1[[#This Row],[FME ID]],FME_Input[FME_ID],FME_Input[FME_COST])</f>
        <v>325000</v>
      </c>
      <c r="F2177" t="str">
        <f>_xlfn.XLOOKUP(FME_Ranking1[[#This Row],[FME ID]],FME_Input[FME_ID],FME_Input[EMER_NEED])</f>
        <v>No</v>
      </c>
      <c r="G2177">
        <f>IF(FME_Ranking!F2177="Yes",100,0)</f>
        <v>0</v>
      </c>
      <c r="H2177">
        <f>FME_Ranking1[[#This Row],[Emergency Need Score (Normalized, Unweighted)]]*$F$3</f>
        <v>0</v>
      </c>
      <c r="I2177" s="246">
        <f>_xlfn.XLOOKUP(FME_Ranking1[[#This Row],[FME ID]],FME_Input[FME_ID],FME_Input[STRUCT_100])</f>
        <v>0</v>
      </c>
      <c r="J2177" s="178">
        <f>(FME_Ranking1[[#This Row],[Structures 100 Raw]]/I$2)*100</f>
        <v>0</v>
      </c>
      <c r="K2177" s="178">
        <f>FME_Ranking1[[#This Row],[Structures 100  Score (Normalized, Unweighted)]]*$I$3</f>
        <v>0</v>
      </c>
      <c r="L2177" s="246">
        <f>_xlfn.XLOOKUP(FME_Ranking1[[#This Row],[FME ID]],FME_Input[FME_ID],FME_Input[RES_STRUCT100])</f>
        <v>0</v>
      </c>
      <c r="M2177" s="230">
        <f>(FME_Ranking1[[#This Row],[Res Structures Raw]]/L$2)*100</f>
        <v>0</v>
      </c>
      <c r="N2177" s="180">
        <f>FME_Ranking1[[#This Row],[Res Structures Score (Normalized, Unweighted)]]*$L$3</f>
        <v>0</v>
      </c>
      <c r="O2177" s="244">
        <f>_xlfn.XLOOKUP(FME_Ranking1[[#This Row],[FME ID]],FME_Input[FME_ID],FME_Input[POP100])</f>
        <v>0</v>
      </c>
      <c r="P2177" s="178">
        <f>(FME_Ranking1[[#This Row],[Pop Raw]]/$O$2)*100</f>
        <v>0</v>
      </c>
      <c r="Q2177" s="178">
        <f>FME_Ranking1[[#This Row],[Pop Score (Normalized, Unweighted)]]*$O$3</f>
        <v>0</v>
      </c>
      <c r="R2177" s="137">
        <f>_xlfn.XLOOKUP(FME_Ranking1[[#This Row],[FME ID]],FME_Input[FME_ID],FME_Input[CRITFAC100])</f>
        <v>0</v>
      </c>
      <c r="S2177" s="230">
        <f>(FME_Ranking1[[#This Row],[Critical Facilities Raw]]/$R$2)*100</f>
        <v>0</v>
      </c>
      <c r="T2177" s="180">
        <f>FME_Ranking1[[#This Row],[Critical Facilities Score (Normalized, Unweighted)]]*$R$3</f>
        <v>0</v>
      </c>
      <c r="U2177">
        <f>_xlfn.XLOOKUP(FME_Ranking1[[#This Row],[FME ID]],FME_Input[FME_ID],FME_Input[LWC])</f>
        <v>0</v>
      </c>
      <c r="V2177" s="178">
        <f>(FME_Ranking1[[#This Row],[LWC Raw]]/$U$2)*100</f>
        <v>0</v>
      </c>
      <c r="W2177" s="178">
        <f>FME_Ranking1[[#This Row],[LWC Score (Normalized, Unweighted)]]*$U$3</f>
        <v>0</v>
      </c>
      <c r="X2177" s="246">
        <f>_xlfn.XLOOKUP(FME_Ranking1[[#This Row],[FME ID]],FME_Input[FME_ID],FME_Input[ROADCLS])</f>
        <v>0</v>
      </c>
      <c r="Y2177" s="230">
        <f>(FME_Ranking1[[#This Row],[Closures Raw]]/$X$2)*100</f>
        <v>0</v>
      </c>
      <c r="Z2177" s="180">
        <f>FME_Ranking1[[#This Row],[Closures Score (Normalized, Unweighted)]]*$X$3</f>
        <v>0</v>
      </c>
      <c r="AA2177" s="253">
        <f>_xlfn.XLOOKUP(FME_Ranking1[[#This Row],[FME ID]],FME_Input[FME_ID],FME_Input[ROAD_MILES100])</f>
        <v>0.1521369069814682</v>
      </c>
      <c r="AB2177" s="178">
        <f>(FME_Ranking1[[#This Row],[Miles Raw]]/$AA$2)*100</f>
        <v>2.0003274564534476E-3</v>
      </c>
      <c r="AC2177" s="178">
        <f>FME_Ranking1[[#This Row],[Miles Score (Normalized, Unweighted)]]*$AA$3</f>
        <v>2.0003274564534478E-4</v>
      </c>
      <c r="AD2177" s="255">
        <f>_xlfn.XLOOKUP(FME_Ranking1[[#This Row],[FME ID]],FME_Input[FME_ID],FME_Input[FARMACRE100])</f>
        <v>1.859432086348534E-2</v>
      </c>
      <c r="AE2177" s="230">
        <f>(FME_Ranking1[[#This Row],[Ag Land Raw]]/$AD$2)*100</f>
        <v>7.6674655486418727E-7</v>
      </c>
      <c r="AF2177" s="231">
        <f>FME_Ranking1[[#This Row],[Ag Land Score (Normalized, Unweighted)]]*$AD$3</f>
        <v>3.8337327743209369E-8</v>
      </c>
      <c r="AG217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2.00071082973088E-4</v>
      </c>
      <c r="AH2177" s="406">
        <f t="shared" si="33"/>
        <v>2128</v>
      </c>
      <c r="AI217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2.00071082973088E-4</v>
      </c>
      <c r="AJ2177" s="257">
        <f>FME_Ranking1[[#This Row],[Addition check]]-FME_Ranking1[[#This Row],[Weighted Score Based on Normalized Reported Factors]]</f>
        <v>0</v>
      </c>
      <c r="AK2177" s="178">
        <f>_xlfn.RANK.EQ(AI2177,$AI$6:$AI$2341,0)+COUNTIF($AI$6:AI2177,AI2177)-1</f>
        <v>2128</v>
      </c>
    </row>
    <row r="2178" spans="1:37" x14ac:dyDescent="0.25">
      <c r="A2178" t="s">
        <v>6343</v>
      </c>
      <c r="B2178">
        <f>_xlfn.XLOOKUP(FME_Ranking1[[#This Row],[FME ID]],FME_Input[FME_ID],FME_Input[RFPG_NUM])</f>
        <v>5</v>
      </c>
      <c r="C2178" t="str">
        <f>_xlfn.XLOOKUP(FME_Ranking1[[#This Row],[FME ID]],FME_Input[FME_ID],FME_Input[FME_NAME])</f>
        <v>DeQueen Additional Pumping Equipment</v>
      </c>
      <c r="D2178" t="str">
        <f>_xlfn.XLOOKUP(FME_Ranking1[[#This Row],[FME ID]],FME_Input[FME_ID],FME_Input[DESCR])</f>
        <v xml:space="preserve">H&amp;H study to size pump upgrades and improve existing level of service. </v>
      </c>
      <c r="E2178" s="256">
        <f>_xlfn.XLOOKUP(FME_Ranking1[[#This Row],[FME ID]],FME_Input[FME_ID],FME_Input[FME_COST])</f>
        <v>100000</v>
      </c>
      <c r="F2178" t="str">
        <f>_xlfn.XLOOKUP(FME_Ranking1[[#This Row],[FME ID]],FME_Input[FME_ID],FME_Input[EMER_NEED])</f>
        <v>Yes</v>
      </c>
      <c r="G2178">
        <f>IF(FME_Ranking!F2178="Yes",100,0)</f>
        <v>100</v>
      </c>
      <c r="H2178">
        <f>FME_Ranking1[[#This Row],[Emergency Need Score (Normalized, Unweighted)]]*$F$3</f>
        <v>0</v>
      </c>
      <c r="I2178" s="246">
        <f>_xlfn.XLOOKUP(FME_Ranking1[[#This Row],[FME ID]],FME_Input[FME_ID],FME_Input[STRUCT_100])</f>
        <v>0</v>
      </c>
      <c r="J2178" s="178">
        <f>(FME_Ranking1[[#This Row],[Structures 100 Raw]]/I$2)*100</f>
        <v>0</v>
      </c>
      <c r="K2178" s="178">
        <f>FME_Ranking1[[#This Row],[Structures 100  Score (Normalized, Unweighted)]]*$I$3</f>
        <v>0</v>
      </c>
      <c r="L2178" s="246">
        <f>_xlfn.XLOOKUP(FME_Ranking1[[#This Row],[FME ID]],FME_Input[FME_ID],FME_Input[RES_STRUCT100])</f>
        <v>0</v>
      </c>
      <c r="M2178" s="230">
        <f>(FME_Ranking1[[#This Row],[Res Structures Raw]]/L$2)*100</f>
        <v>0</v>
      </c>
      <c r="N2178" s="180">
        <f>FME_Ranking1[[#This Row],[Res Structures Score (Normalized, Unweighted)]]*$L$3</f>
        <v>0</v>
      </c>
      <c r="O2178" s="244">
        <f>_xlfn.XLOOKUP(FME_Ranking1[[#This Row],[FME ID]],FME_Input[FME_ID],FME_Input[POP100])</f>
        <v>0</v>
      </c>
      <c r="P2178" s="178">
        <f>(FME_Ranking1[[#This Row],[Pop Raw]]/$O$2)*100</f>
        <v>0</v>
      </c>
      <c r="Q2178" s="178">
        <f>FME_Ranking1[[#This Row],[Pop Score (Normalized, Unweighted)]]*$O$3</f>
        <v>0</v>
      </c>
      <c r="R2178" s="137">
        <f>_xlfn.XLOOKUP(FME_Ranking1[[#This Row],[FME ID]],FME_Input[FME_ID],FME_Input[CRITFAC100])</f>
        <v>0</v>
      </c>
      <c r="S2178" s="230">
        <f>(FME_Ranking1[[#This Row],[Critical Facilities Raw]]/$R$2)*100</f>
        <v>0</v>
      </c>
      <c r="T2178" s="180">
        <f>FME_Ranking1[[#This Row],[Critical Facilities Score (Normalized, Unweighted)]]*$R$3</f>
        <v>0</v>
      </c>
      <c r="U2178">
        <f>_xlfn.XLOOKUP(FME_Ranking1[[#This Row],[FME ID]],FME_Input[FME_ID],FME_Input[LWC])</f>
        <v>0</v>
      </c>
      <c r="V2178" s="178">
        <f>(FME_Ranking1[[#This Row],[LWC Raw]]/$U$2)*100</f>
        <v>0</v>
      </c>
      <c r="W2178" s="178">
        <f>FME_Ranking1[[#This Row],[LWC Score (Normalized, Unweighted)]]*$U$3</f>
        <v>0</v>
      </c>
      <c r="X2178" s="246">
        <f>_xlfn.XLOOKUP(FME_Ranking1[[#This Row],[FME ID]],FME_Input[FME_ID],FME_Input[ROADCLS])</f>
        <v>0</v>
      </c>
      <c r="Y2178" s="230">
        <f>(FME_Ranking1[[#This Row],[Closures Raw]]/$X$2)*100</f>
        <v>0</v>
      </c>
      <c r="Z2178" s="180">
        <f>FME_Ranking1[[#This Row],[Closures Score (Normalized, Unweighted)]]*$X$3</f>
        <v>0</v>
      </c>
      <c r="AA2178" s="253">
        <f>_xlfn.XLOOKUP(FME_Ranking1[[#This Row],[FME ID]],FME_Input[FME_ID],FME_Input[ROAD_MILES100])</f>
        <v>0.26569974422454828</v>
      </c>
      <c r="AB2178" s="178">
        <f>(FME_Ranking1[[#This Row],[Miles Raw]]/$AA$2)*100</f>
        <v>3.49347508168917E-3</v>
      </c>
      <c r="AC2178" s="178">
        <f>FME_Ranking1[[#This Row],[Miles Score (Normalized, Unweighted)]]*$AA$3</f>
        <v>3.4934750816891701E-4</v>
      </c>
      <c r="AD2178" s="255">
        <f>_xlfn.XLOOKUP(FME_Ranking1[[#This Row],[FME ID]],FME_Input[FME_ID],FME_Input[FARMACRE100])</f>
        <v>1.2347600422799591E-2</v>
      </c>
      <c r="AE2178" s="230">
        <f>(FME_Ranking1[[#This Row],[Ag Land Raw]]/$AD$2)*100</f>
        <v>5.0915976735740671E-7</v>
      </c>
      <c r="AF2178" s="231">
        <f>FME_Ranking1[[#This Row],[Ag Land Score (Normalized, Unweighted)]]*$AD$3</f>
        <v>2.5457988367870338E-8</v>
      </c>
      <c r="AG217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3.493729661572849E-4</v>
      </c>
      <c r="AH2178" s="406">
        <f t="shared" si="33"/>
        <v>2108</v>
      </c>
      <c r="AI217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3.493729661572849E-4</v>
      </c>
      <c r="AJ2178" s="257">
        <f>FME_Ranking1[[#This Row],[Addition check]]-FME_Ranking1[[#This Row],[Weighted Score Based on Normalized Reported Factors]]</f>
        <v>0</v>
      </c>
      <c r="AK2178" s="178">
        <f>_xlfn.RANK.EQ(AI2178,$AI$6:$AI$2341,0)+COUNTIF($AI$6:AI2178,AI2178)-1</f>
        <v>2108</v>
      </c>
    </row>
    <row r="2179" spans="1:37" x14ac:dyDescent="0.25">
      <c r="A2179" t="s">
        <v>9660</v>
      </c>
      <c r="B2179">
        <f>_xlfn.XLOOKUP(FME_Ranking1[[#This Row],[FME ID]],FME_Input[FME_ID],FME_Input[RFPG_NUM])</f>
        <v>12</v>
      </c>
      <c r="C2179" t="str">
        <f>_xlfn.XLOOKUP(FME_Ranking1[[#This Row],[FME ID]],FME_Input[FME_ID],FME_Input[FME_NAME])</f>
        <v>Miller Creek on the Smoky Creek Ranch Drainage Improvements</v>
      </c>
      <c r="D2179" t="str">
        <f>_xlfn.XLOOKUP(FME_Ranking1[[#This Row],[FME ID]],FME_Input[FME_ID],FME_Input[DESCR])</f>
        <v>Miller Creek on the Smoky Creek Ranch drains Tivoli and the surrounding area which is washing out property where Indian artifacts were found. Study to find alternatives to determine solutions for this drainage issue.</v>
      </c>
      <c r="E2179" s="256">
        <f>_xlfn.XLOOKUP(FME_Ranking1[[#This Row],[FME ID]],FME_Input[FME_ID],FME_Input[FME_COST])</f>
        <v>150000</v>
      </c>
      <c r="F2179" t="str">
        <f>_xlfn.XLOOKUP(FME_Ranking1[[#This Row],[FME ID]],FME_Input[FME_ID],FME_Input[EMER_NEED])</f>
        <v>No</v>
      </c>
      <c r="G2179">
        <f>IF(FME_Ranking!F2179="Yes",100,0)</f>
        <v>0</v>
      </c>
      <c r="H2179">
        <f>FME_Ranking1[[#This Row],[Emergency Need Score (Normalized, Unweighted)]]*$F$3</f>
        <v>0</v>
      </c>
      <c r="I2179" s="246">
        <f>_xlfn.XLOOKUP(FME_Ranking1[[#This Row],[FME ID]],FME_Input[FME_ID],FME_Input[STRUCT_100])</f>
        <v>0</v>
      </c>
      <c r="J2179" s="178">
        <f>(FME_Ranking1[[#This Row],[Structures 100 Raw]]/I$2)*100</f>
        <v>0</v>
      </c>
      <c r="K2179" s="178">
        <f>FME_Ranking1[[#This Row],[Structures 100  Score (Normalized, Unweighted)]]*$I$3</f>
        <v>0</v>
      </c>
      <c r="L2179" s="246">
        <f>_xlfn.XLOOKUP(FME_Ranking1[[#This Row],[FME ID]],FME_Input[FME_ID],FME_Input[RES_STRUCT100])</f>
        <v>0</v>
      </c>
      <c r="M2179" s="230">
        <f>(FME_Ranking1[[#This Row],[Res Structures Raw]]/L$2)*100</f>
        <v>0</v>
      </c>
      <c r="N2179" s="180">
        <f>FME_Ranking1[[#This Row],[Res Structures Score (Normalized, Unweighted)]]*$L$3</f>
        <v>0</v>
      </c>
      <c r="O2179" s="244">
        <f>_xlfn.XLOOKUP(FME_Ranking1[[#This Row],[FME ID]],FME_Input[FME_ID],FME_Input[POP100])</f>
        <v>0</v>
      </c>
      <c r="P2179" s="178">
        <f>(FME_Ranking1[[#This Row],[Pop Raw]]/$O$2)*100</f>
        <v>0</v>
      </c>
      <c r="Q2179" s="178">
        <f>FME_Ranking1[[#This Row],[Pop Score (Normalized, Unweighted)]]*$O$3</f>
        <v>0</v>
      </c>
      <c r="R2179" s="137">
        <f>_xlfn.XLOOKUP(FME_Ranking1[[#This Row],[FME ID]],FME_Input[FME_ID],FME_Input[CRITFAC100])</f>
        <v>0</v>
      </c>
      <c r="S2179" s="230">
        <f>(FME_Ranking1[[#This Row],[Critical Facilities Raw]]/$R$2)*100</f>
        <v>0</v>
      </c>
      <c r="T2179" s="180">
        <f>FME_Ranking1[[#This Row],[Critical Facilities Score (Normalized, Unweighted)]]*$R$3</f>
        <v>0</v>
      </c>
      <c r="U2179">
        <f>_xlfn.XLOOKUP(FME_Ranking1[[#This Row],[FME ID]],FME_Input[FME_ID],FME_Input[LWC])</f>
        <v>0</v>
      </c>
      <c r="V2179" s="178">
        <f>(FME_Ranking1[[#This Row],[LWC Raw]]/$U$2)*100</f>
        <v>0</v>
      </c>
      <c r="W2179" s="178">
        <f>FME_Ranking1[[#This Row],[LWC Score (Normalized, Unweighted)]]*$U$3</f>
        <v>0</v>
      </c>
      <c r="X2179" s="246">
        <f>_xlfn.XLOOKUP(FME_Ranking1[[#This Row],[FME ID]],FME_Input[FME_ID],FME_Input[ROADCLS])</f>
        <v>0</v>
      </c>
      <c r="Y2179" s="230">
        <f>(FME_Ranking1[[#This Row],[Closures Raw]]/$X$2)*100</f>
        <v>0</v>
      </c>
      <c r="Z2179" s="180">
        <f>FME_Ranking1[[#This Row],[Closures Score (Normalized, Unweighted)]]*$X$3</f>
        <v>0</v>
      </c>
      <c r="AA2179" s="253">
        <f>_xlfn.XLOOKUP(FME_Ranking1[[#This Row],[FME ID]],FME_Input[FME_ID],FME_Input[ROAD_MILES100])</f>
        <v>0</v>
      </c>
      <c r="AB2179" s="178">
        <f>(FME_Ranking1[[#This Row],[Miles Raw]]/$AA$2)*100</f>
        <v>0</v>
      </c>
      <c r="AC2179" s="178">
        <f>FME_Ranking1[[#This Row],[Miles Score (Normalized, Unweighted)]]*$AA$3</f>
        <v>0</v>
      </c>
      <c r="AD2179" s="255">
        <f>_xlfn.XLOOKUP(FME_Ranking1[[#This Row],[FME ID]],FME_Input[FME_ID],FME_Input[FARMACRE100])</f>
        <v>3.0070000793784861E-3</v>
      </c>
      <c r="AE2179" s="230">
        <f>(FME_Ranking1[[#This Row],[Ag Land Raw]]/$AD$2)*100</f>
        <v>1.2399522242661927E-7</v>
      </c>
      <c r="AF2179" s="231">
        <f>FME_Ranking1[[#This Row],[Ag Land Score (Normalized, Unweighted)]]*$AD$3</f>
        <v>6.1997611213309639E-9</v>
      </c>
      <c r="AG217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6.1997611213309639E-9</v>
      </c>
      <c r="AH2179" s="406">
        <f t="shared" si="33"/>
        <v>2196</v>
      </c>
      <c r="AI217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6.1997611213309639E-9</v>
      </c>
      <c r="AJ2179" s="257">
        <f>FME_Ranking1[[#This Row],[Addition check]]-FME_Ranking1[[#This Row],[Weighted Score Based on Normalized Reported Factors]]</f>
        <v>0</v>
      </c>
      <c r="AK2179" s="178">
        <f>_xlfn.RANK.EQ(AI2179,$AI$6:$AI$2341,0)+COUNTIF($AI$6:AI2179,AI2179)-1</f>
        <v>2196</v>
      </c>
    </row>
    <row r="2180" spans="1:37" x14ac:dyDescent="0.25">
      <c r="A2180" t="s">
        <v>296</v>
      </c>
      <c r="B2180">
        <f>_xlfn.XLOOKUP(FME_Ranking1[[#This Row],[FME ID]],FME_Input[FME_ID],FME_Input[RFPG_NUM])</f>
        <v>10</v>
      </c>
      <c r="C2180" t="str">
        <f>_xlfn.XLOOKUP(FME_Ranking1[[#This Row],[FME ID]],FME_Input[FME_ID],FME_Input[FME_NAME])</f>
        <v>South End of Acorn Street</v>
      </c>
      <c r="D2180" t="str">
        <f>_xlfn.XLOOKUP(FME_Ranking1[[#This Row],[FME ID]],FME_Input[FME_ID],FME_Input[DESCR])</f>
        <v>Rollup curb at driveway edge</v>
      </c>
      <c r="E2180" s="256">
        <f>_xlfn.XLOOKUP(FME_Ranking1[[#This Row],[FME ID]],FME_Input[FME_ID],FME_Input[FME_COST])</f>
        <v>50000</v>
      </c>
      <c r="F2180" t="str">
        <f>_xlfn.XLOOKUP(FME_Ranking1[[#This Row],[FME ID]],FME_Input[FME_ID],FME_Input[EMER_NEED])</f>
        <v>No</v>
      </c>
      <c r="G2180">
        <f>IF(FME_Ranking!F2180="Yes",100,0)</f>
        <v>0</v>
      </c>
      <c r="H2180">
        <f>FME_Ranking1[[#This Row],[Emergency Need Score (Normalized, Unweighted)]]*$F$3</f>
        <v>0</v>
      </c>
      <c r="I2180" s="246">
        <f>_xlfn.XLOOKUP(FME_Ranking1[[#This Row],[FME ID]],FME_Input[FME_ID],FME_Input[STRUCT_100])</f>
        <v>0</v>
      </c>
      <c r="J2180" s="178">
        <f>(FME_Ranking1[[#This Row],[Structures 100 Raw]]/I$2)*100</f>
        <v>0</v>
      </c>
      <c r="K2180" s="178">
        <f>FME_Ranking1[[#This Row],[Structures 100  Score (Normalized, Unweighted)]]*$I$3</f>
        <v>0</v>
      </c>
      <c r="L2180" s="246">
        <f>_xlfn.XLOOKUP(FME_Ranking1[[#This Row],[FME ID]],FME_Input[FME_ID],FME_Input[RES_STRUCT100])</f>
        <v>0</v>
      </c>
      <c r="M2180" s="230">
        <f>(FME_Ranking1[[#This Row],[Res Structures Raw]]/L$2)*100</f>
        <v>0</v>
      </c>
      <c r="N2180" s="180">
        <f>FME_Ranking1[[#This Row],[Res Structures Score (Normalized, Unweighted)]]*$L$3</f>
        <v>0</v>
      </c>
      <c r="O2180" s="244">
        <f>_xlfn.XLOOKUP(FME_Ranking1[[#This Row],[FME ID]],FME_Input[FME_ID],FME_Input[POP100])</f>
        <v>0</v>
      </c>
      <c r="P2180" s="178">
        <f>(FME_Ranking1[[#This Row],[Pop Raw]]/$O$2)*100</f>
        <v>0</v>
      </c>
      <c r="Q2180" s="178">
        <f>FME_Ranking1[[#This Row],[Pop Score (Normalized, Unweighted)]]*$O$3</f>
        <v>0</v>
      </c>
      <c r="R2180" s="137">
        <f>_xlfn.XLOOKUP(FME_Ranking1[[#This Row],[FME ID]],FME_Input[FME_ID],FME_Input[CRITFAC100])</f>
        <v>0</v>
      </c>
      <c r="S2180" s="230">
        <f>(FME_Ranking1[[#This Row],[Critical Facilities Raw]]/$R$2)*100</f>
        <v>0</v>
      </c>
      <c r="T2180" s="180">
        <f>FME_Ranking1[[#This Row],[Critical Facilities Score (Normalized, Unweighted)]]*$R$3</f>
        <v>0</v>
      </c>
      <c r="U2180">
        <f>_xlfn.XLOOKUP(FME_Ranking1[[#This Row],[FME ID]],FME_Input[FME_ID],FME_Input[LWC])</f>
        <v>0</v>
      </c>
      <c r="V2180" s="178">
        <f>(FME_Ranking1[[#This Row],[LWC Raw]]/$U$2)*100</f>
        <v>0</v>
      </c>
      <c r="W2180" s="178">
        <f>FME_Ranking1[[#This Row],[LWC Score (Normalized, Unweighted)]]*$U$3</f>
        <v>0</v>
      </c>
      <c r="X2180" s="246">
        <f>_xlfn.XLOOKUP(FME_Ranking1[[#This Row],[FME ID]],FME_Input[FME_ID],FME_Input[ROADCLS])</f>
        <v>0</v>
      </c>
      <c r="Y2180" s="230">
        <f>(FME_Ranking1[[#This Row],[Closures Raw]]/$X$2)*100</f>
        <v>0</v>
      </c>
      <c r="Z2180" s="180">
        <f>FME_Ranking1[[#This Row],[Closures Score (Normalized, Unweighted)]]*$X$3</f>
        <v>0</v>
      </c>
      <c r="AA2180" s="253">
        <f>_xlfn.XLOOKUP(FME_Ranking1[[#This Row],[FME ID]],FME_Input[FME_ID],FME_Input[ROAD_MILES100])</f>
        <v>0</v>
      </c>
      <c r="AB2180" s="178">
        <f>(FME_Ranking1[[#This Row],[Miles Raw]]/$AA$2)*100</f>
        <v>0</v>
      </c>
      <c r="AC2180" s="178">
        <f>FME_Ranking1[[#This Row],[Miles Score (Normalized, Unweighted)]]*$AA$3</f>
        <v>0</v>
      </c>
      <c r="AD2180" s="255">
        <f>_xlfn.XLOOKUP(FME_Ranking1[[#This Row],[FME ID]],FME_Input[FME_ID],FME_Input[FARMACRE100])</f>
        <v>1.9231413025408981E-3</v>
      </c>
      <c r="AE2180" s="230">
        <f>(FME_Ranking1[[#This Row],[Ag Land Raw]]/$AD$2)*100</f>
        <v>7.9301738367650489E-8</v>
      </c>
      <c r="AF2180" s="231">
        <f>FME_Ranking1[[#This Row],[Ag Land Score (Normalized, Unweighted)]]*$AD$3</f>
        <v>3.9650869183825248E-9</v>
      </c>
      <c r="AG218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3.9650869183825248E-9</v>
      </c>
      <c r="AH2180" s="406">
        <f t="shared" si="33"/>
        <v>2197</v>
      </c>
      <c r="AI218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3.9650869183825248E-9</v>
      </c>
      <c r="AJ2180" s="257">
        <f>FME_Ranking1[[#This Row],[Addition check]]-FME_Ranking1[[#This Row],[Weighted Score Based on Normalized Reported Factors]]</f>
        <v>0</v>
      </c>
      <c r="AK2180" s="178">
        <f>_xlfn.RANK.EQ(AI2180,$AI$6:$AI$2341,0)+COUNTIF($AI$6:AI2180,AI2180)-1</f>
        <v>2197</v>
      </c>
    </row>
    <row r="2181" spans="1:37" x14ac:dyDescent="0.25">
      <c r="A2181" t="s">
        <v>2642</v>
      </c>
      <c r="B2181">
        <f>_xlfn.XLOOKUP(FME_Ranking1[[#This Row],[FME ID]],FME_Input[FME_ID],FME_Input[RFPG_NUM])</f>
        <v>1</v>
      </c>
      <c r="C2181" t="str">
        <f>_xlfn.XLOOKUP(FME_Ranking1[[#This Row],[FME ID]],FME_Input[FME_ID],FME_Input[FME_NAME])</f>
        <v>Silverton City Drainage Master Plan</v>
      </c>
      <c r="D2181" t="str">
        <f>_xlfn.XLOOKUP(FME_Ranking1[[#This Row],[FME ID]],FME_Input[FME_ID],FME_Input[DESCR])</f>
        <v>Perform H&amp;H modeling, develop conceptual alternatives and OPCC, and rank projects; selected based on survey responses reporting issues with many natural features</v>
      </c>
      <c r="E2181" s="256">
        <f>_xlfn.XLOOKUP(FME_Ranking1[[#This Row],[FME ID]],FME_Input[FME_ID],FME_Input[FME_COST])</f>
        <v>250000</v>
      </c>
      <c r="F2181" t="str">
        <f>_xlfn.XLOOKUP(FME_Ranking1[[#This Row],[FME ID]],FME_Input[FME_ID],FME_Input[EMER_NEED])</f>
        <v>No</v>
      </c>
      <c r="G2181">
        <f>IF(FME_Ranking!F2181="Yes",100,0)</f>
        <v>0</v>
      </c>
      <c r="H2181">
        <f>FME_Ranking1[[#This Row],[Emergency Need Score (Normalized, Unweighted)]]*$F$3</f>
        <v>0</v>
      </c>
      <c r="I2181" s="246">
        <f>_xlfn.XLOOKUP(FME_Ranking1[[#This Row],[FME ID]],FME_Input[FME_ID],FME_Input[STRUCT_100])</f>
        <v>0</v>
      </c>
      <c r="J2181" s="178">
        <f>(FME_Ranking1[[#This Row],[Structures 100 Raw]]/I$2)*100</f>
        <v>0</v>
      </c>
      <c r="K2181" s="178">
        <f>FME_Ranking1[[#This Row],[Structures 100  Score (Normalized, Unweighted)]]*$I$3</f>
        <v>0</v>
      </c>
      <c r="L2181" s="246">
        <f>_xlfn.XLOOKUP(FME_Ranking1[[#This Row],[FME ID]],FME_Input[FME_ID],FME_Input[RES_STRUCT100])</f>
        <v>0</v>
      </c>
      <c r="M2181" s="230">
        <f>(FME_Ranking1[[#This Row],[Res Structures Raw]]/L$2)*100</f>
        <v>0</v>
      </c>
      <c r="N2181" s="180">
        <f>FME_Ranking1[[#This Row],[Res Structures Score (Normalized, Unweighted)]]*$L$3</f>
        <v>0</v>
      </c>
      <c r="O2181" s="244">
        <f>_xlfn.XLOOKUP(FME_Ranking1[[#This Row],[FME ID]],FME_Input[FME_ID],FME_Input[POP100])</f>
        <v>0</v>
      </c>
      <c r="P2181" s="178">
        <f>(FME_Ranking1[[#This Row],[Pop Raw]]/$O$2)*100</f>
        <v>0</v>
      </c>
      <c r="Q2181" s="178">
        <f>FME_Ranking1[[#This Row],[Pop Score (Normalized, Unweighted)]]*$O$3</f>
        <v>0</v>
      </c>
      <c r="R2181" s="137">
        <f>_xlfn.XLOOKUP(FME_Ranking1[[#This Row],[FME ID]],FME_Input[FME_ID],FME_Input[CRITFAC100])</f>
        <v>0</v>
      </c>
      <c r="S2181" s="230">
        <f>(FME_Ranking1[[#This Row],[Critical Facilities Raw]]/$R$2)*100</f>
        <v>0</v>
      </c>
      <c r="T2181" s="180">
        <f>FME_Ranking1[[#This Row],[Critical Facilities Score (Normalized, Unweighted)]]*$R$3</f>
        <v>0</v>
      </c>
      <c r="U2181">
        <f>_xlfn.XLOOKUP(FME_Ranking1[[#This Row],[FME ID]],FME_Input[FME_ID],FME_Input[LWC])</f>
        <v>0</v>
      </c>
      <c r="V2181" s="178">
        <f>(FME_Ranking1[[#This Row],[LWC Raw]]/$U$2)*100</f>
        <v>0</v>
      </c>
      <c r="W2181" s="178">
        <f>FME_Ranking1[[#This Row],[LWC Score (Normalized, Unweighted)]]*$U$3</f>
        <v>0</v>
      </c>
      <c r="X2181" s="246">
        <f>_xlfn.XLOOKUP(FME_Ranking1[[#This Row],[FME ID]],FME_Input[FME_ID],FME_Input[ROADCLS])</f>
        <v>0</v>
      </c>
      <c r="Y2181" s="230">
        <f>(FME_Ranking1[[#This Row],[Closures Raw]]/$X$2)*100</f>
        <v>0</v>
      </c>
      <c r="Z2181" s="180">
        <f>FME_Ranking1[[#This Row],[Closures Score (Normalized, Unweighted)]]*$X$3</f>
        <v>0</v>
      </c>
      <c r="AA2181" s="253">
        <f>_xlfn.XLOOKUP(FME_Ranking1[[#This Row],[FME ID]],FME_Input[FME_ID],FME_Input[ROAD_MILES100])</f>
        <v>0</v>
      </c>
      <c r="AB2181" s="178">
        <f>(FME_Ranking1[[#This Row],[Miles Raw]]/$AA$2)*100</f>
        <v>0</v>
      </c>
      <c r="AC2181" s="178">
        <f>FME_Ranking1[[#This Row],[Miles Score (Normalized, Unweighted)]]*$AA$3</f>
        <v>0</v>
      </c>
      <c r="AD2181" s="255">
        <f>_xlfn.XLOOKUP(FME_Ranking1[[#This Row],[FME ID]],FME_Input[FME_ID],FME_Input[FARMACRE100])</f>
        <v>0</v>
      </c>
      <c r="AE2181" s="230">
        <f>(FME_Ranking1[[#This Row],[Ag Land Raw]]/$AD$2)*100</f>
        <v>0</v>
      </c>
      <c r="AF2181" s="231">
        <f>FME_Ranking1[[#This Row],[Ag Land Score (Normalized, Unweighted)]]*$AD$3</f>
        <v>0</v>
      </c>
      <c r="AG218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181" s="406">
        <f t="shared" si="33"/>
        <v>2198</v>
      </c>
      <c r="AI218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181" s="257">
        <f>FME_Ranking1[[#This Row],[Addition check]]-FME_Ranking1[[#This Row],[Weighted Score Based on Normalized Reported Factors]]</f>
        <v>0</v>
      </c>
      <c r="AK2181" s="178">
        <f>_xlfn.RANK.EQ(AI2181,$AI$6:$AI$2341,0)+COUNTIF($AI$6:AI2181,AI2181)-1</f>
        <v>2198</v>
      </c>
    </row>
    <row r="2182" spans="1:37" x14ac:dyDescent="0.25">
      <c r="A2182" t="s">
        <v>2668</v>
      </c>
      <c r="B2182">
        <f>_xlfn.XLOOKUP(FME_Ranking1[[#This Row],[FME ID]],FME_Input[FME_ID],FME_Input[RFPG_NUM])</f>
        <v>1</v>
      </c>
      <c r="C2182" t="str">
        <f>_xlfn.XLOOKUP(FME_Ranking1[[#This Row],[FME ID]],FME_Input[FME_ID],FME_Input[FME_NAME])</f>
        <v>Seymour City Drainage Master Plan</v>
      </c>
      <c r="D2182" t="str">
        <f>_xlfn.XLOOKUP(FME_Ranking1[[#This Row],[FME ID]],FME_Input[FME_ID],FME_Input[DESCR])</f>
        <v>Perform H&amp;H modeling, develop conceptual alternatives and OPCC, and rank projects; selected based on survey responses reporting issues with rivers, creeks, tributaries, and functioning floodplains. Only a small portion of the city is within the region.</v>
      </c>
      <c r="E2182" s="256">
        <f>_xlfn.XLOOKUP(FME_Ranking1[[#This Row],[FME ID]],FME_Input[FME_ID],FME_Input[FME_COST])</f>
        <v>250000</v>
      </c>
      <c r="F2182" t="str">
        <f>_xlfn.XLOOKUP(FME_Ranking1[[#This Row],[FME ID]],FME_Input[FME_ID],FME_Input[EMER_NEED])</f>
        <v>No</v>
      </c>
      <c r="G2182">
        <f>IF(FME_Ranking!F2182="Yes",100,0)</f>
        <v>0</v>
      </c>
      <c r="H2182">
        <f>FME_Ranking1[[#This Row],[Emergency Need Score (Normalized, Unweighted)]]*$F$3</f>
        <v>0</v>
      </c>
      <c r="I2182" s="246">
        <f>_xlfn.XLOOKUP(FME_Ranking1[[#This Row],[FME ID]],FME_Input[FME_ID],FME_Input[STRUCT_100])</f>
        <v>0</v>
      </c>
      <c r="J2182" s="178">
        <f>(FME_Ranking1[[#This Row],[Structures 100 Raw]]/I$2)*100</f>
        <v>0</v>
      </c>
      <c r="K2182" s="178">
        <f>FME_Ranking1[[#This Row],[Structures 100  Score (Normalized, Unweighted)]]*$I$3</f>
        <v>0</v>
      </c>
      <c r="L2182" s="246">
        <f>_xlfn.XLOOKUP(FME_Ranking1[[#This Row],[FME ID]],FME_Input[FME_ID],FME_Input[RES_STRUCT100])</f>
        <v>0</v>
      </c>
      <c r="M2182" s="230">
        <f>(FME_Ranking1[[#This Row],[Res Structures Raw]]/L$2)*100</f>
        <v>0</v>
      </c>
      <c r="N2182" s="180">
        <f>FME_Ranking1[[#This Row],[Res Structures Score (Normalized, Unweighted)]]*$L$3</f>
        <v>0</v>
      </c>
      <c r="O2182" s="244">
        <f>_xlfn.XLOOKUP(FME_Ranking1[[#This Row],[FME ID]],FME_Input[FME_ID],FME_Input[POP100])</f>
        <v>0</v>
      </c>
      <c r="P2182" s="178">
        <f>(FME_Ranking1[[#This Row],[Pop Raw]]/$O$2)*100</f>
        <v>0</v>
      </c>
      <c r="Q2182" s="178">
        <f>FME_Ranking1[[#This Row],[Pop Score (Normalized, Unweighted)]]*$O$3</f>
        <v>0</v>
      </c>
      <c r="R2182" s="137">
        <f>_xlfn.XLOOKUP(FME_Ranking1[[#This Row],[FME ID]],FME_Input[FME_ID],FME_Input[CRITFAC100])</f>
        <v>0</v>
      </c>
      <c r="S2182" s="230">
        <f>(FME_Ranking1[[#This Row],[Critical Facilities Raw]]/$R$2)*100</f>
        <v>0</v>
      </c>
      <c r="T2182" s="180">
        <f>FME_Ranking1[[#This Row],[Critical Facilities Score (Normalized, Unweighted)]]*$R$3</f>
        <v>0</v>
      </c>
      <c r="U2182">
        <f>_xlfn.XLOOKUP(FME_Ranking1[[#This Row],[FME ID]],FME_Input[FME_ID],FME_Input[LWC])</f>
        <v>0</v>
      </c>
      <c r="V2182" s="178">
        <f>(FME_Ranking1[[#This Row],[LWC Raw]]/$U$2)*100</f>
        <v>0</v>
      </c>
      <c r="W2182" s="178">
        <f>FME_Ranking1[[#This Row],[LWC Score (Normalized, Unweighted)]]*$U$3</f>
        <v>0</v>
      </c>
      <c r="X2182" s="246">
        <f>_xlfn.XLOOKUP(FME_Ranking1[[#This Row],[FME ID]],FME_Input[FME_ID],FME_Input[ROADCLS])</f>
        <v>0</v>
      </c>
      <c r="Y2182" s="230">
        <f>(FME_Ranking1[[#This Row],[Closures Raw]]/$X$2)*100</f>
        <v>0</v>
      </c>
      <c r="Z2182" s="180">
        <f>FME_Ranking1[[#This Row],[Closures Score (Normalized, Unweighted)]]*$X$3</f>
        <v>0</v>
      </c>
      <c r="AA2182" s="253">
        <f>_xlfn.XLOOKUP(FME_Ranking1[[#This Row],[FME ID]],FME_Input[FME_ID],FME_Input[ROAD_MILES100])</f>
        <v>0</v>
      </c>
      <c r="AB2182" s="178">
        <f>(FME_Ranking1[[#This Row],[Miles Raw]]/$AA$2)*100</f>
        <v>0</v>
      </c>
      <c r="AC2182" s="178">
        <f>FME_Ranking1[[#This Row],[Miles Score (Normalized, Unweighted)]]*$AA$3</f>
        <v>0</v>
      </c>
      <c r="AD2182" s="255">
        <f>_xlfn.XLOOKUP(FME_Ranking1[[#This Row],[FME ID]],FME_Input[FME_ID],FME_Input[FARMACRE100])</f>
        <v>0</v>
      </c>
      <c r="AE2182" s="230">
        <f>(FME_Ranking1[[#This Row],[Ag Land Raw]]/$AD$2)*100</f>
        <v>0</v>
      </c>
      <c r="AF2182" s="231">
        <f>FME_Ranking1[[#This Row],[Ag Land Score (Normalized, Unweighted)]]*$AD$3</f>
        <v>0</v>
      </c>
      <c r="AG218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182" s="406">
        <f t="shared" ref="AH2182:AH2245" si="34">_xlfn.RANK.EQ(AG2182,$AG$6:$AG$2341,0)</f>
        <v>2198</v>
      </c>
      <c r="AI218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182" s="257">
        <f>FME_Ranking1[[#This Row],[Addition check]]-FME_Ranking1[[#This Row],[Weighted Score Based on Normalized Reported Factors]]</f>
        <v>0</v>
      </c>
      <c r="AK2182" s="178">
        <f>_xlfn.RANK.EQ(AI2182,$AI$6:$AI$2341,0)+COUNTIF($AI$6:AI2182,AI2182)-1</f>
        <v>2199</v>
      </c>
    </row>
    <row r="2183" spans="1:37" x14ac:dyDescent="0.25">
      <c r="A2183" t="s">
        <v>2745</v>
      </c>
      <c r="B2183">
        <f>_xlfn.XLOOKUP(FME_Ranking1[[#This Row],[FME ID]],FME_Input[FME_ID],FME_Input[RFPG_NUM])</f>
        <v>1</v>
      </c>
      <c r="C2183" t="str">
        <f>_xlfn.XLOOKUP(FME_Ranking1[[#This Row],[FME ID]],FME_Input[FME_ID],FME_Input[FME_NAME])</f>
        <v>Skelleytown City Drainage Master Plan</v>
      </c>
      <c r="D2183" t="str">
        <f>_xlfn.XLOOKUP(FME_Ranking1[[#This Row],[FME ID]],FME_Input[FME_ID],FME_Input[DESCR])</f>
        <v xml:space="preserve">Perform H&amp;H modeling, develop conceptual alternatives and OPCC, and rank projects; selected based on HMAPs </v>
      </c>
      <c r="E2183" s="256">
        <f>_xlfn.XLOOKUP(FME_Ranking1[[#This Row],[FME ID]],FME_Input[FME_ID],FME_Input[FME_COST])</f>
        <v>250000</v>
      </c>
      <c r="F2183" t="str">
        <f>_xlfn.XLOOKUP(FME_Ranking1[[#This Row],[FME ID]],FME_Input[FME_ID],FME_Input[EMER_NEED])</f>
        <v>No</v>
      </c>
      <c r="G2183">
        <f>IF(FME_Ranking!F2183="Yes",100,0)</f>
        <v>0</v>
      </c>
      <c r="H2183">
        <f>FME_Ranking1[[#This Row],[Emergency Need Score (Normalized, Unweighted)]]*$F$3</f>
        <v>0</v>
      </c>
      <c r="I2183" s="246">
        <f>_xlfn.XLOOKUP(FME_Ranking1[[#This Row],[FME ID]],FME_Input[FME_ID],FME_Input[STRUCT_100])</f>
        <v>0</v>
      </c>
      <c r="J2183" s="178">
        <f>(FME_Ranking1[[#This Row],[Structures 100 Raw]]/I$2)*100</f>
        <v>0</v>
      </c>
      <c r="K2183" s="178">
        <f>FME_Ranking1[[#This Row],[Structures 100  Score (Normalized, Unweighted)]]*$I$3</f>
        <v>0</v>
      </c>
      <c r="L2183" s="246">
        <f>_xlfn.XLOOKUP(FME_Ranking1[[#This Row],[FME ID]],FME_Input[FME_ID],FME_Input[RES_STRUCT100])</f>
        <v>0</v>
      </c>
      <c r="M2183" s="230">
        <f>(FME_Ranking1[[#This Row],[Res Structures Raw]]/L$2)*100</f>
        <v>0</v>
      </c>
      <c r="N2183" s="180">
        <f>FME_Ranking1[[#This Row],[Res Structures Score (Normalized, Unweighted)]]*$L$3</f>
        <v>0</v>
      </c>
      <c r="O2183" s="244">
        <f>_xlfn.XLOOKUP(FME_Ranking1[[#This Row],[FME ID]],FME_Input[FME_ID],FME_Input[POP100])</f>
        <v>0</v>
      </c>
      <c r="P2183" s="178">
        <f>(FME_Ranking1[[#This Row],[Pop Raw]]/$O$2)*100</f>
        <v>0</v>
      </c>
      <c r="Q2183" s="178">
        <f>FME_Ranking1[[#This Row],[Pop Score (Normalized, Unweighted)]]*$O$3</f>
        <v>0</v>
      </c>
      <c r="R2183" s="137">
        <f>_xlfn.XLOOKUP(FME_Ranking1[[#This Row],[FME ID]],FME_Input[FME_ID],FME_Input[CRITFAC100])</f>
        <v>0</v>
      </c>
      <c r="S2183" s="230">
        <f>(FME_Ranking1[[#This Row],[Critical Facilities Raw]]/$R$2)*100</f>
        <v>0</v>
      </c>
      <c r="T2183" s="180">
        <f>FME_Ranking1[[#This Row],[Critical Facilities Score (Normalized, Unweighted)]]*$R$3</f>
        <v>0</v>
      </c>
      <c r="U2183">
        <f>_xlfn.XLOOKUP(FME_Ranking1[[#This Row],[FME ID]],FME_Input[FME_ID],FME_Input[LWC])</f>
        <v>0</v>
      </c>
      <c r="V2183" s="178">
        <f>(FME_Ranking1[[#This Row],[LWC Raw]]/$U$2)*100</f>
        <v>0</v>
      </c>
      <c r="W2183" s="178">
        <f>FME_Ranking1[[#This Row],[LWC Score (Normalized, Unweighted)]]*$U$3</f>
        <v>0</v>
      </c>
      <c r="X2183" s="246">
        <f>_xlfn.XLOOKUP(FME_Ranking1[[#This Row],[FME ID]],FME_Input[FME_ID],FME_Input[ROADCLS])</f>
        <v>0</v>
      </c>
      <c r="Y2183" s="230">
        <f>(FME_Ranking1[[#This Row],[Closures Raw]]/$X$2)*100</f>
        <v>0</v>
      </c>
      <c r="Z2183" s="180">
        <f>FME_Ranking1[[#This Row],[Closures Score (Normalized, Unweighted)]]*$X$3</f>
        <v>0</v>
      </c>
      <c r="AA2183" s="253">
        <f>_xlfn.XLOOKUP(FME_Ranking1[[#This Row],[FME ID]],FME_Input[FME_ID],FME_Input[ROAD_MILES100])</f>
        <v>0</v>
      </c>
      <c r="AB2183" s="178">
        <f>(FME_Ranking1[[#This Row],[Miles Raw]]/$AA$2)*100</f>
        <v>0</v>
      </c>
      <c r="AC2183" s="178">
        <f>FME_Ranking1[[#This Row],[Miles Score (Normalized, Unweighted)]]*$AA$3</f>
        <v>0</v>
      </c>
      <c r="AD2183" s="255">
        <f>_xlfn.XLOOKUP(FME_Ranking1[[#This Row],[FME ID]],FME_Input[FME_ID],FME_Input[FARMACRE100])</f>
        <v>0</v>
      </c>
      <c r="AE2183" s="230">
        <f>(FME_Ranking1[[#This Row],[Ag Land Raw]]/$AD$2)*100</f>
        <v>0</v>
      </c>
      <c r="AF2183" s="231">
        <f>FME_Ranking1[[#This Row],[Ag Land Score (Normalized, Unweighted)]]*$AD$3</f>
        <v>0</v>
      </c>
      <c r="AG218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183" s="406">
        <f t="shared" si="34"/>
        <v>2198</v>
      </c>
      <c r="AI218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183" s="257">
        <f>FME_Ranking1[[#This Row],[Addition check]]-FME_Ranking1[[#This Row],[Weighted Score Based on Normalized Reported Factors]]</f>
        <v>0</v>
      </c>
      <c r="AK2183" s="178">
        <f>_xlfn.RANK.EQ(AI2183,$AI$6:$AI$2341,0)+COUNTIF($AI$6:AI2183,AI2183)-1</f>
        <v>2200</v>
      </c>
    </row>
    <row r="2184" spans="1:37" x14ac:dyDescent="0.25">
      <c r="A2184" t="s">
        <v>2764</v>
      </c>
      <c r="B2184">
        <f>_xlfn.XLOOKUP(FME_Ranking1[[#This Row],[FME ID]],FME_Input[FME_ID],FME_Input[RFPG_NUM])</f>
        <v>1</v>
      </c>
      <c r="C2184" t="str">
        <f>_xlfn.XLOOKUP(FME_Ranking1[[#This Row],[FME ID]],FME_Input[FME_ID],FME_Input[FME_NAME])</f>
        <v>City of Silverton GIS Development</v>
      </c>
      <c r="D2184" t="str">
        <f>_xlfn.XLOOKUP(FME_Ranking1[[#This Row],[FME ID]],FME_Input[FME_ID],FME_Input[DESCR])</f>
        <v>Develop GIS inventory and condition assessment for flood infrastructure; selected based on survey response</v>
      </c>
      <c r="E2184" s="256">
        <f>_xlfn.XLOOKUP(FME_Ranking1[[#This Row],[FME ID]],FME_Input[FME_ID],FME_Input[FME_COST])</f>
        <v>50000</v>
      </c>
      <c r="F2184" t="str">
        <f>_xlfn.XLOOKUP(FME_Ranking1[[#This Row],[FME ID]],FME_Input[FME_ID],FME_Input[EMER_NEED])</f>
        <v>No</v>
      </c>
      <c r="G2184">
        <f>IF(FME_Ranking!F2184="Yes",100,0)</f>
        <v>0</v>
      </c>
      <c r="H2184">
        <f>FME_Ranking1[[#This Row],[Emergency Need Score (Normalized, Unweighted)]]*$F$3</f>
        <v>0</v>
      </c>
      <c r="I2184" s="246">
        <f>_xlfn.XLOOKUP(FME_Ranking1[[#This Row],[FME ID]],FME_Input[FME_ID],FME_Input[STRUCT_100])</f>
        <v>0</v>
      </c>
      <c r="J2184" s="178">
        <f>(FME_Ranking1[[#This Row],[Structures 100 Raw]]/I$2)*100</f>
        <v>0</v>
      </c>
      <c r="K2184" s="178">
        <f>FME_Ranking1[[#This Row],[Structures 100  Score (Normalized, Unweighted)]]*$I$3</f>
        <v>0</v>
      </c>
      <c r="L2184" s="246">
        <f>_xlfn.XLOOKUP(FME_Ranking1[[#This Row],[FME ID]],FME_Input[FME_ID],FME_Input[RES_STRUCT100])</f>
        <v>0</v>
      </c>
      <c r="M2184" s="230">
        <f>(FME_Ranking1[[#This Row],[Res Structures Raw]]/L$2)*100</f>
        <v>0</v>
      </c>
      <c r="N2184" s="180">
        <f>FME_Ranking1[[#This Row],[Res Structures Score (Normalized, Unweighted)]]*$L$3</f>
        <v>0</v>
      </c>
      <c r="O2184" s="244">
        <f>_xlfn.XLOOKUP(FME_Ranking1[[#This Row],[FME ID]],FME_Input[FME_ID],FME_Input[POP100])</f>
        <v>0</v>
      </c>
      <c r="P2184" s="178">
        <f>(FME_Ranking1[[#This Row],[Pop Raw]]/$O$2)*100</f>
        <v>0</v>
      </c>
      <c r="Q2184" s="178">
        <f>FME_Ranking1[[#This Row],[Pop Score (Normalized, Unweighted)]]*$O$3</f>
        <v>0</v>
      </c>
      <c r="R2184" s="137">
        <f>_xlfn.XLOOKUP(FME_Ranking1[[#This Row],[FME ID]],FME_Input[FME_ID],FME_Input[CRITFAC100])</f>
        <v>0</v>
      </c>
      <c r="S2184" s="230">
        <f>(FME_Ranking1[[#This Row],[Critical Facilities Raw]]/$R$2)*100</f>
        <v>0</v>
      </c>
      <c r="T2184" s="180">
        <f>FME_Ranking1[[#This Row],[Critical Facilities Score (Normalized, Unweighted)]]*$R$3</f>
        <v>0</v>
      </c>
      <c r="U2184">
        <f>_xlfn.XLOOKUP(FME_Ranking1[[#This Row],[FME ID]],FME_Input[FME_ID],FME_Input[LWC])</f>
        <v>0</v>
      </c>
      <c r="V2184" s="178">
        <f>(FME_Ranking1[[#This Row],[LWC Raw]]/$U$2)*100</f>
        <v>0</v>
      </c>
      <c r="W2184" s="178">
        <f>FME_Ranking1[[#This Row],[LWC Score (Normalized, Unweighted)]]*$U$3</f>
        <v>0</v>
      </c>
      <c r="X2184" s="246">
        <f>_xlfn.XLOOKUP(FME_Ranking1[[#This Row],[FME ID]],FME_Input[FME_ID],FME_Input[ROADCLS])</f>
        <v>0</v>
      </c>
      <c r="Y2184" s="230">
        <f>(FME_Ranking1[[#This Row],[Closures Raw]]/$X$2)*100</f>
        <v>0</v>
      </c>
      <c r="Z2184" s="180">
        <f>FME_Ranking1[[#This Row],[Closures Score (Normalized, Unweighted)]]*$X$3</f>
        <v>0</v>
      </c>
      <c r="AA2184" s="253">
        <f>_xlfn.XLOOKUP(FME_Ranking1[[#This Row],[FME ID]],FME_Input[FME_ID],FME_Input[ROAD_MILES100])</f>
        <v>0</v>
      </c>
      <c r="AB2184" s="178">
        <f>(FME_Ranking1[[#This Row],[Miles Raw]]/$AA$2)*100</f>
        <v>0</v>
      </c>
      <c r="AC2184" s="178">
        <f>FME_Ranking1[[#This Row],[Miles Score (Normalized, Unweighted)]]*$AA$3</f>
        <v>0</v>
      </c>
      <c r="AD2184" s="255">
        <f>_xlfn.XLOOKUP(FME_Ranking1[[#This Row],[FME ID]],FME_Input[FME_ID],FME_Input[FARMACRE100])</f>
        <v>0</v>
      </c>
      <c r="AE2184" s="230">
        <f>(FME_Ranking1[[#This Row],[Ag Land Raw]]/$AD$2)*100</f>
        <v>0</v>
      </c>
      <c r="AF2184" s="231">
        <f>FME_Ranking1[[#This Row],[Ag Land Score (Normalized, Unweighted)]]*$AD$3</f>
        <v>0</v>
      </c>
      <c r="AG218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184" s="406">
        <f t="shared" si="34"/>
        <v>2198</v>
      </c>
      <c r="AI218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184" s="257">
        <f>FME_Ranking1[[#This Row],[Addition check]]-FME_Ranking1[[#This Row],[Weighted Score Based on Normalized Reported Factors]]</f>
        <v>0</v>
      </c>
      <c r="AK2184" s="178">
        <f>_xlfn.RANK.EQ(AI2184,$AI$6:$AI$2341,0)+COUNTIF($AI$6:AI2184,AI2184)-1</f>
        <v>2201</v>
      </c>
    </row>
    <row r="2185" spans="1:37" x14ac:dyDescent="0.25">
      <c r="A2185" t="s">
        <v>2775</v>
      </c>
      <c r="B2185">
        <f>_xlfn.XLOOKUP(FME_Ranking1[[#This Row],[FME ID]],FME_Input[FME_ID],FME_Input[RFPG_NUM])</f>
        <v>1</v>
      </c>
      <c r="C2185" t="str">
        <f>_xlfn.XLOOKUP(FME_Ranking1[[#This Row],[FME ID]],FME_Input[FME_ID],FME_Input[FME_NAME])</f>
        <v>City of Seymour GIS Development</v>
      </c>
      <c r="D2185" t="str">
        <f>_xlfn.XLOOKUP(FME_Ranking1[[#This Row],[FME ID]],FME_Input[FME_ID],FME_Input[DESCR])</f>
        <v>Develop GIS inventory and condition assessment for flood infrastructure; selected based on survey response. Only a small portion of the city is within the region.</v>
      </c>
      <c r="E2185" s="256">
        <f>_xlfn.XLOOKUP(FME_Ranking1[[#This Row],[FME ID]],FME_Input[FME_ID],FME_Input[FME_COST])</f>
        <v>50000</v>
      </c>
      <c r="F2185" t="str">
        <f>_xlfn.XLOOKUP(FME_Ranking1[[#This Row],[FME ID]],FME_Input[FME_ID],FME_Input[EMER_NEED])</f>
        <v>No</v>
      </c>
      <c r="G2185">
        <f>IF(FME_Ranking!F2185="Yes",100,0)</f>
        <v>0</v>
      </c>
      <c r="H2185">
        <f>FME_Ranking1[[#This Row],[Emergency Need Score (Normalized, Unweighted)]]*$F$3</f>
        <v>0</v>
      </c>
      <c r="I2185" s="246">
        <f>_xlfn.XLOOKUP(FME_Ranking1[[#This Row],[FME ID]],FME_Input[FME_ID],FME_Input[STRUCT_100])</f>
        <v>0</v>
      </c>
      <c r="J2185" s="178">
        <f>(FME_Ranking1[[#This Row],[Structures 100 Raw]]/I$2)*100</f>
        <v>0</v>
      </c>
      <c r="K2185" s="178">
        <f>FME_Ranking1[[#This Row],[Structures 100  Score (Normalized, Unweighted)]]*$I$3</f>
        <v>0</v>
      </c>
      <c r="L2185" s="246">
        <f>_xlfn.XLOOKUP(FME_Ranking1[[#This Row],[FME ID]],FME_Input[FME_ID],FME_Input[RES_STRUCT100])</f>
        <v>0</v>
      </c>
      <c r="M2185" s="230">
        <f>(FME_Ranking1[[#This Row],[Res Structures Raw]]/L$2)*100</f>
        <v>0</v>
      </c>
      <c r="N2185" s="180">
        <f>FME_Ranking1[[#This Row],[Res Structures Score (Normalized, Unweighted)]]*$L$3</f>
        <v>0</v>
      </c>
      <c r="O2185" s="244">
        <f>_xlfn.XLOOKUP(FME_Ranking1[[#This Row],[FME ID]],FME_Input[FME_ID],FME_Input[POP100])</f>
        <v>0</v>
      </c>
      <c r="P2185" s="178">
        <f>(FME_Ranking1[[#This Row],[Pop Raw]]/$O$2)*100</f>
        <v>0</v>
      </c>
      <c r="Q2185" s="178">
        <f>FME_Ranking1[[#This Row],[Pop Score (Normalized, Unweighted)]]*$O$3</f>
        <v>0</v>
      </c>
      <c r="R2185" s="137">
        <f>_xlfn.XLOOKUP(FME_Ranking1[[#This Row],[FME ID]],FME_Input[FME_ID],FME_Input[CRITFAC100])</f>
        <v>0</v>
      </c>
      <c r="S2185" s="230">
        <f>(FME_Ranking1[[#This Row],[Critical Facilities Raw]]/$R$2)*100</f>
        <v>0</v>
      </c>
      <c r="T2185" s="180">
        <f>FME_Ranking1[[#This Row],[Critical Facilities Score (Normalized, Unweighted)]]*$R$3</f>
        <v>0</v>
      </c>
      <c r="U2185">
        <f>_xlfn.XLOOKUP(FME_Ranking1[[#This Row],[FME ID]],FME_Input[FME_ID],FME_Input[LWC])</f>
        <v>0</v>
      </c>
      <c r="V2185" s="178">
        <f>(FME_Ranking1[[#This Row],[LWC Raw]]/$U$2)*100</f>
        <v>0</v>
      </c>
      <c r="W2185" s="178">
        <f>FME_Ranking1[[#This Row],[LWC Score (Normalized, Unweighted)]]*$U$3</f>
        <v>0</v>
      </c>
      <c r="X2185" s="246">
        <f>_xlfn.XLOOKUP(FME_Ranking1[[#This Row],[FME ID]],FME_Input[FME_ID],FME_Input[ROADCLS])</f>
        <v>0</v>
      </c>
      <c r="Y2185" s="230">
        <f>(FME_Ranking1[[#This Row],[Closures Raw]]/$X$2)*100</f>
        <v>0</v>
      </c>
      <c r="Z2185" s="180">
        <f>FME_Ranking1[[#This Row],[Closures Score (Normalized, Unweighted)]]*$X$3</f>
        <v>0</v>
      </c>
      <c r="AA2185" s="253">
        <f>_xlfn.XLOOKUP(FME_Ranking1[[#This Row],[FME ID]],FME_Input[FME_ID],FME_Input[ROAD_MILES100])</f>
        <v>0</v>
      </c>
      <c r="AB2185" s="178">
        <f>(FME_Ranking1[[#This Row],[Miles Raw]]/$AA$2)*100</f>
        <v>0</v>
      </c>
      <c r="AC2185" s="178">
        <f>FME_Ranking1[[#This Row],[Miles Score (Normalized, Unweighted)]]*$AA$3</f>
        <v>0</v>
      </c>
      <c r="AD2185" s="255">
        <f>_xlfn.XLOOKUP(FME_Ranking1[[#This Row],[FME ID]],FME_Input[FME_ID],FME_Input[FARMACRE100])</f>
        <v>0</v>
      </c>
      <c r="AE2185" s="230">
        <f>(FME_Ranking1[[#This Row],[Ag Land Raw]]/$AD$2)*100</f>
        <v>0</v>
      </c>
      <c r="AF2185" s="231">
        <f>FME_Ranking1[[#This Row],[Ag Land Score (Normalized, Unweighted)]]*$AD$3</f>
        <v>0</v>
      </c>
      <c r="AG218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185" s="406">
        <f t="shared" si="34"/>
        <v>2198</v>
      </c>
      <c r="AI218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185" s="257">
        <f>FME_Ranking1[[#This Row],[Addition check]]-FME_Ranking1[[#This Row],[Weighted Score Based on Normalized Reported Factors]]</f>
        <v>0</v>
      </c>
      <c r="AK2185" s="178">
        <f>_xlfn.RANK.EQ(AI2185,$AI$6:$AI$2341,0)+COUNTIF($AI$6:AI2185,AI2185)-1</f>
        <v>2202</v>
      </c>
    </row>
    <row r="2186" spans="1:37" x14ac:dyDescent="0.25">
      <c r="A2186" t="s">
        <v>3147</v>
      </c>
      <c r="B2186">
        <f>_xlfn.XLOOKUP(FME_Ranking1[[#This Row],[FME ID]],FME_Input[FME_ID],FME_Input[RFPG_NUM])</f>
        <v>1</v>
      </c>
      <c r="C2186" t="str">
        <f>_xlfn.XLOOKUP(FME_Ranking1[[#This Row],[FME ID]],FME_Input[FME_ID],FME_Input[FME_NAME])</f>
        <v>Megargel City Drainage Master Plan</v>
      </c>
      <c r="D2186" t="str">
        <f>_xlfn.XLOOKUP(FME_Ranking1[[#This Row],[FME ID]],FME_Input[FME_ID],FME_Input[DESCR])</f>
        <v>Perform H&amp;H modeling, develop conceptual alternatives and OPCC, and rank projects; selected based on HMAPs</v>
      </c>
      <c r="E2186" s="256">
        <f>_xlfn.XLOOKUP(FME_Ranking1[[#This Row],[FME ID]],FME_Input[FME_ID],FME_Input[FME_COST])</f>
        <v>250000</v>
      </c>
      <c r="F2186" t="str">
        <f>_xlfn.XLOOKUP(FME_Ranking1[[#This Row],[FME ID]],FME_Input[FME_ID],FME_Input[EMER_NEED])</f>
        <v>No</v>
      </c>
      <c r="G2186">
        <f>IF(FME_Ranking!F2186="Yes",100,0)</f>
        <v>0</v>
      </c>
      <c r="H2186">
        <f>FME_Ranking1[[#This Row],[Emergency Need Score (Normalized, Unweighted)]]*$F$3</f>
        <v>0</v>
      </c>
      <c r="I2186" s="246">
        <f>_xlfn.XLOOKUP(FME_Ranking1[[#This Row],[FME ID]],FME_Input[FME_ID],FME_Input[STRUCT_100])</f>
        <v>0</v>
      </c>
      <c r="J2186" s="178">
        <f>(FME_Ranking1[[#This Row],[Structures 100 Raw]]/I$2)*100</f>
        <v>0</v>
      </c>
      <c r="K2186" s="178">
        <f>FME_Ranking1[[#This Row],[Structures 100  Score (Normalized, Unweighted)]]*$I$3</f>
        <v>0</v>
      </c>
      <c r="L2186" s="246">
        <f>_xlfn.XLOOKUP(FME_Ranking1[[#This Row],[FME ID]],FME_Input[FME_ID],FME_Input[RES_STRUCT100])</f>
        <v>0</v>
      </c>
      <c r="M2186" s="230">
        <f>(FME_Ranking1[[#This Row],[Res Structures Raw]]/L$2)*100</f>
        <v>0</v>
      </c>
      <c r="N2186" s="180">
        <f>FME_Ranking1[[#This Row],[Res Structures Score (Normalized, Unweighted)]]*$L$3</f>
        <v>0</v>
      </c>
      <c r="O2186" s="244">
        <f>_xlfn.XLOOKUP(FME_Ranking1[[#This Row],[FME ID]],FME_Input[FME_ID],FME_Input[POP100])</f>
        <v>0</v>
      </c>
      <c r="P2186" s="178">
        <f>(FME_Ranking1[[#This Row],[Pop Raw]]/$O$2)*100</f>
        <v>0</v>
      </c>
      <c r="Q2186" s="178">
        <f>FME_Ranking1[[#This Row],[Pop Score (Normalized, Unweighted)]]*$O$3</f>
        <v>0</v>
      </c>
      <c r="R2186" s="137">
        <f>_xlfn.XLOOKUP(FME_Ranking1[[#This Row],[FME ID]],FME_Input[FME_ID],FME_Input[CRITFAC100])</f>
        <v>0</v>
      </c>
      <c r="S2186" s="230">
        <f>(FME_Ranking1[[#This Row],[Critical Facilities Raw]]/$R$2)*100</f>
        <v>0</v>
      </c>
      <c r="T2186" s="180">
        <f>FME_Ranking1[[#This Row],[Critical Facilities Score (Normalized, Unweighted)]]*$R$3</f>
        <v>0</v>
      </c>
      <c r="U2186">
        <f>_xlfn.XLOOKUP(FME_Ranking1[[#This Row],[FME ID]],FME_Input[FME_ID],FME_Input[LWC])</f>
        <v>0</v>
      </c>
      <c r="V2186" s="178">
        <f>(FME_Ranking1[[#This Row],[LWC Raw]]/$U$2)*100</f>
        <v>0</v>
      </c>
      <c r="W2186" s="178">
        <f>FME_Ranking1[[#This Row],[LWC Score (Normalized, Unweighted)]]*$U$3</f>
        <v>0</v>
      </c>
      <c r="X2186" s="246">
        <f>_xlfn.XLOOKUP(FME_Ranking1[[#This Row],[FME ID]],FME_Input[FME_ID],FME_Input[ROADCLS])</f>
        <v>0</v>
      </c>
      <c r="Y2186" s="230">
        <f>(FME_Ranking1[[#This Row],[Closures Raw]]/$X$2)*100</f>
        <v>0</v>
      </c>
      <c r="Z2186" s="180">
        <f>FME_Ranking1[[#This Row],[Closures Score (Normalized, Unweighted)]]*$X$3</f>
        <v>0</v>
      </c>
      <c r="AA2186" s="253">
        <f>_xlfn.XLOOKUP(FME_Ranking1[[#This Row],[FME ID]],FME_Input[FME_ID],FME_Input[ROAD_MILES100])</f>
        <v>0</v>
      </c>
      <c r="AB2186" s="178">
        <f>(FME_Ranking1[[#This Row],[Miles Raw]]/$AA$2)*100</f>
        <v>0</v>
      </c>
      <c r="AC2186" s="178">
        <f>FME_Ranking1[[#This Row],[Miles Score (Normalized, Unweighted)]]*$AA$3</f>
        <v>0</v>
      </c>
      <c r="AD2186" s="255">
        <f>_xlfn.XLOOKUP(FME_Ranking1[[#This Row],[FME ID]],FME_Input[FME_ID],FME_Input[FARMACRE100])</f>
        <v>0</v>
      </c>
      <c r="AE2186" s="230">
        <f>(FME_Ranking1[[#This Row],[Ag Land Raw]]/$AD$2)*100</f>
        <v>0</v>
      </c>
      <c r="AF2186" s="231">
        <f>FME_Ranking1[[#This Row],[Ag Land Score (Normalized, Unweighted)]]*$AD$3</f>
        <v>0</v>
      </c>
      <c r="AG218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186" s="406">
        <f t="shared" si="34"/>
        <v>2198</v>
      </c>
      <c r="AI218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186" s="257">
        <f>FME_Ranking1[[#This Row],[Addition check]]-FME_Ranking1[[#This Row],[Weighted Score Based on Normalized Reported Factors]]</f>
        <v>0</v>
      </c>
      <c r="AK2186" s="178">
        <f>_xlfn.RANK.EQ(AI2186,$AI$6:$AI$2341,0)+COUNTIF($AI$6:AI2186,AI2186)-1</f>
        <v>2203</v>
      </c>
    </row>
    <row r="2187" spans="1:37" x14ac:dyDescent="0.25">
      <c r="A2187" t="s">
        <v>4191</v>
      </c>
      <c r="B2187">
        <f>_xlfn.XLOOKUP(FME_Ranking1[[#This Row],[FME ID]],FME_Input[FME_ID],FME_Input[RFPG_NUM])</f>
        <v>3</v>
      </c>
      <c r="C2187" t="str">
        <f>_xlfn.XLOOKUP(FME_Ranking1[[#This Row],[FME ID]],FME_Input[FME_ID],FME_Input[FME_NAME])</f>
        <v>City of Trinidad DMP</v>
      </c>
      <c r="D2187" t="str">
        <f>_xlfn.XLOOKUP(FME_Ranking1[[#This Row],[FME ID]],FME_Input[FME_ID],FME_Input[DESCR])</f>
        <v>Evaluate City and identify future projects.</v>
      </c>
      <c r="E2187" s="256">
        <f>_xlfn.XLOOKUP(FME_Ranking1[[#This Row],[FME ID]],FME_Input[FME_ID],FME_Input[FME_COST])</f>
        <v>250000</v>
      </c>
      <c r="F2187" t="str">
        <f>_xlfn.XLOOKUP(FME_Ranking1[[#This Row],[FME ID]],FME_Input[FME_ID],FME_Input[EMER_NEED])</f>
        <v>No</v>
      </c>
      <c r="G2187">
        <f>IF(FME_Ranking!F2187="Yes",100,0)</f>
        <v>0</v>
      </c>
      <c r="H2187">
        <f>FME_Ranking1[[#This Row],[Emergency Need Score (Normalized, Unweighted)]]*$F$3</f>
        <v>0</v>
      </c>
      <c r="I2187" s="246">
        <f>_xlfn.XLOOKUP(FME_Ranking1[[#This Row],[FME ID]],FME_Input[FME_ID],FME_Input[STRUCT_100])</f>
        <v>0</v>
      </c>
      <c r="J2187" s="178">
        <f>(FME_Ranking1[[#This Row],[Structures 100 Raw]]/I$2)*100</f>
        <v>0</v>
      </c>
      <c r="K2187" s="178">
        <f>FME_Ranking1[[#This Row],[Structures 100  Score (Normalized, Unweighted)]]*$I$3</f>
        <v>0</v>
      </c>
      <c r="L2187" s="246">
        <f>_xlfn.XLOOKUP(FME_Ranking1[[#This Row],[FME ID]],FME_Input[FME_ID],FME_Input[RES_STRUCT100])</f>
        <v>0</v>
      </c>
      <c r="M2187" s="230">
        <f>(FME_Ranking1[[#This Row],[Res Structures Raw]]/L$2)*100</f>
        <v>0</v>
      </c>
      <c r="N2187" s="180">
        <f>FME_Ranking1[[#This Row],[Res Structures Score (Normalized, Unweighted)]]*$L$3</f>
        <v>0</v>
      </c>
      <c r="O2187" s="244">
        <f>_xlfn.XLOOKUP(FME_Ranking1[[#This Row],[FME ID]],FME_Input[FME_ID],FME_Input[POP100])</f>
        <v>0</v>
      </c>
      <c r="P2187" s="178">
        <f>(FME_Ranking1[[#This Row],[Pop Raw]]/$O$2)*100</f>
        <v>0</v>
      </c>
      <c r="Q2187" s="178">
        <f>FME_Ranking1[[#This Row],[Pop Score (Normalized, Unweighted)]]*$O$3</f>
        <v>0</v>
      </c>
      <c r="R2187" s="137">
        <f>_xlfn.XLOOKUP(FME_Ranking1[[#This Row],[FME ID]],FME_Input[FME_ID],FME_Input[CRITFAC100])</f>
        <v>0</v>
      </c>
      <c r="S2187" s="230">
        <f>(FME_Ranking1[[#This Row],[Critical Facilities Raw]]/$R$2)*100</f>
        <v>0</v>
      </c>
      <c r="T2187" s="180">
        <f>FME_Ranking1[[#This Row],[Critical Facilities Score (Normalized, Unweighted)]]*$R$3</f>
        <v>0</v>
      </c>
      <c r="U2187">
        <f>_xlfn.XLOOKUP(FME_Ranking1[[#This Row],[FME ID]],FME_Input[FME_ID],FME_Input[LWC])</f>
        <v>0</v>
      </c>
      <c r="V2187" s="178">
        <f>(FME_Ranking1[[#This Row],[LWC Raw]]/$U$2)*100</f>
        <v>0</v>
      </c>
      <c r="W2187" s="178">
        <f>FME_Ranking1[[#This Row],[LWC Score (Normalized, Unweighted)]]*$U$3</f>
        <v>0</v>
      </c>
      <c r="X2187" s="246">
        <f>_xlfn.XLOOKUP(FME_Ranking1[[#This Row],[FME ID]],FME_Input[FME_ID],FME_Input[ROADCLS])</f>
        <v>0</v>
      </c>
      <c r="Y2187" s="230">
        <f>(FME_Ranking1[[#This Row],[Closures Raw]]/$X$2)*100</f>
        <v>0</v>
      </c>
      <c r="Z2187" s="180">
        <f>FME_Ranking1[[#This Row],[Closures Score (Normalized, Unweighted)]]*$X$3</f>
        <v>0</v>
      </c>
      <c r="AA2187" s="253">
        <f>_xlfn.XLOOKUP(FME_Ranking1[[#This Row],[FME ID]],FME_Input[FME_ID],FME_Input[ROAD_MILES100])</f>
        <v>3.31398606300354</v>
      </c>
      <c r="AB2187" s="178">
        <f>(FME_Ranking1[[#This Row],[Miles Raw]]/$AA$2)*100</f>
        <v>4.3572972815449258E-2</v>
      </c>
      <c r="AC2187" s="178">
        <f>FME_Ranking1[[#This Row],[Miles Score (Normalized, Unweighted)]]*$AA$3</f>
        <v>4.3572972815449258E-3</v>
      </c>
      <c r="AD2187" s="255">
        <f>_xlfn.XLOOKUP(FME_Ranking1[[#This Row],[FME ID]],FME_Input[FME_ID],FME_Input[FARMACRE100])</f>
        <v>0</v>
      </c>
      <c r="AE2187" s="230">
        <f>(FME_Ranking1[[#This Row],[Ag Land Raw]]/$AD$2)*100</f>
        <v>0</v>
      </c>
      <c r="AF2187" s="231">
        <f>FME_Ranking1[[#This Row],[Ag Land Score (Normalized, Unweighted)]]*$AD$3</f>
        <v>0</v>
      </c>
      <c r="AG218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4.3572972815449258E-3</v>
      </c>
      <c r="AH2187" s="406">
        <f t="shared" si="34"/>
        <v>1847</v>
      </c>
      <c r="AI218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4.3572972815449258E-3</v>
      </c>
      <c r="AJ2187" s="257">
        <f>FME_Ranking1[[#This Row],[Addition check]]-FME_Ranking1[[#This Row],[Weighted Score Based on Normalized Reported Factors]]</f>
        <v>0</v>
      </c>
      <c r="AK2187" s="178">
        <f>_xlfn.RANK.EQ(AI2187,$AI$6:$AI$2341,0)+COUNTIF($AI$6:AI2187,AI2187)-1</f>
        <v>1847</v>
      </c>
    </row>
    <row r="2188" spans="1:37" x14ac:dyDescent="0.25">
      <c r="A2188" t="s">
        <v>4522</v>
      </c>
      <c r="B2188">
        <f>_xlfn.XLOOKUP(FME_Ranking1[[#This Row],[FME ID]],FME_Input[FME_ID],FME_Input[RFPG_NUM])</f>
        <v>3</v>
      </c>
      <c r="C2188" t="str">
        <f>_xlfn.XLOOKUP(FME_Ranking1[[#This Row],[FME ID]],FME_Input[FME_ID],FME_Input[FME_NAME])</f>
        <v xml:space="preserve">Malone Bridge Improvements </v>
      </c>
      <c r="D2188" t="str">
        <f>_xlfn.XLOOKUP(FME_Ranking1[[#This Row],[FME ID]],FME_Input[FME_ID],FME_Input[DESCR])</f>
        <v>Evaluate alternatives to elevate roadways in flood-prone areas through bridge improvements</v>
      </c>
      <c r="E2188" s="256">
        <f>_xlfn.XLOOKUP(FME_Ranking1[[#This Row],[FME ID]],FME_Input[FME_ID],FME_Input[FME_COST])</f>
        <v>275000</v>
      </c>
      <c r="F2188" t="str">
        <f>_xlfn.XLOOKUP(FME_Ranking1[[#This Row],[FME ID]],FME_Input[FME_ID],FME_Input[EMER_NEED])</f>
        <v>No</v>
      </c>
      <c r="G2188">
        <f>IF(FME_Ranking!F2188="Yes",100,0)</f>
        <v>0</v>
      </c>
      <c r="H2188">
        <f>FME_Ranking1[[#This Row],[Emergency Need Score (Normalized, Unweighted)]]*$F$3</f>
        <v>0</v>
      </c>
      <c r="I2188" s="246">
        <f>_xlfn.XLOOKUP(FME_Ranking1[[#This Row],[FME ID]],FME_Input[FME_ID],FME_Input[STRUCT_100])</f>
        <v>0</v>
      </c>
      <c r="J2188" s="178">
        <f>(FME_Ranking1[[#This Row],[Structures 100 Raw]]/I$2)*100</f>
        <v>0</v>
      </c>
      <c r="K2188" s="178">
        <f>FME_Ranking1[[#This Row],[Structures 100  Score (Normalized, Unweighted)]]*$I$3</f>
        <v>0</v>
      </c>
      <c r="L2188" s="246">
        <f>_xlfn.XLOOKUP(FME_Ranking1[[#This Row],[FME ID]],FME_Input[FME_ID],FME_Input[RES_STRUCT100])</f>
        <v>0</v>
      </c>
      <c r="M2188" s="230">
        <f>(FME_Ranking1[[#This Row],[Res Structures Raw]]/L$2)*100</f>
        <v>0</v>
      </c>
      <c r="N2188" s="180">
        <f>FME_Ranking1[[#This Row],[Res Structures Score (Normalized, Unweighted)]]*$L$3</f>
        <v>0</v>
      </c>
      <c r="O2188" s="244">
        <f>_xlfn.XLOOKUP(FME_Ranking1[[#This Row],[FME ID]],FME_Input[FME_ID],FME_Input[POP100])</f>
        <v>0</v>
      </c>
      <c r="P2188" s="178">
        <f>(FME_Ranking1[[#This Row],[Pop Raw]]/$O$2)*100</f>
        <v>0</v>
      </c>
      <c r="Q2188" s="178">
        <f>FME_Ranking1[[#This Row],[Pop Score (Normalized, Unweighted)]]*$O$3</f>
        <v>0</v>
      </c>
      <c r="R2188" s="137">
        <f>_xlfn.XLOOKUP(FME_Ranking1[[#This Row],[FME ID]],FME_Input[FME_ID],FME_Input[CRITFAC100])</f>
        <v>0</v>
      </c>
      <c r="S2188" s="230">
        <f>(FME_Ranking1[[#This Row],[Critical Facilities Raw]]/$R$2)*100</f>
        <v>0</v>
      </c>
      <c r="T2188" s="180">
        <f>FME_Ranking1[[#This Row],[Critical Facilities Score (Normalized, Unweighted)]]*$R$3</f>
        <v>0</v>
      </c>
      <c r="U2188">
        <f>_xlfn.XLOOKUP(FME_Ranking1[[#This Row],[FME ID]],FME_Input[FME_ID],FME_Input[LWC])</f>
        <v>0</v>
      </c>
      <c r="V2188" s="178">
        <f>(FME_Ranking1[[#This Row],[LWC Raw]]/$U$2)*100</f>
        <v>0</v>
      </c>
      <c r="W2188" s="178">
        <f>FME_Ranking1[[#This Row],[LWC Score (Normalized, Unweighted)]]*$U$3</f>
        <v>0</v>
      </c>
      <c r="X2188" s="246">
        <f>_xlfn.XLOOKUP(FME_Ranking1[[#This Row],[FME ID]],FME_Input[FME_ID],FME_Input[ROADCLS])</f>
        <v>0</v>
      </c>
      <c r="Y2188" s="230">
        <f>(FME_Ranking1[[#This Row],[Closures Raw]]/$X$2)*100</f>
        <v>0</v>
      </c>
      <c r="Z2188" s="180">
        <f>FME_Ranking1[[#This Row],[Closures Score (Normalized, Unweighted)]]*$X$3</f>
        <v>0</v>
      </c>
      <c r="AA2188" s="253">
        <f>_xlfn.XLOOKUP(FME_Ranking1[[#This Row],[FME ID]],FME_Input[FME_ID],FME_Input[ROAD_MILES100])</f>
        <v>0</v>
      </c>
      <c r="AB2188" s="178">
        <f>(FME_Ranking1[[#This Row],[Miles Raw]]/$AA$2)*100</f>
        <v>0</v>
      </c>
      <c r="AC2188" s="178">
        <f>FME_Ranking1[[#This Row],[Miles Score (Normalized, Unweighted)]]*$AA$3</f>
        <v>0</v>
      </c>
      <c r="AD2188" s="255">
        <f>_xlfn.XLOOKUP(FME_Ranking1[[#This Row],[FME ID]],FME_Input[FME_ID],FME_Input[FARMACRE100])</f>
        <v>0</v>
      </c>
      <c r="AE2188" s="230">
        <f>(FME_Ranking1[[#This Row],[Ag Land Raw]]/$AD$2)*100</f>
        <v>0</v>
      </c>
      <c r="AF2188" s="231">
        <f>FME_Ranking1[[#This Row],[Ag Land Score (Normalized, Unweighted)]]*$AD$3</f>
        <v>0</v>
      </c>
      <c r="AG218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188" s="406">
        <f t="shared" si="34"/>
        <v>2198</v>
      </c>
      <c r="AI218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188" s="257">
        <f>FME_Ranking1[[#This Row],[Addition check]]-FME_Ranking1[[#This Row],[Weighted Score Based on Normalized Reported Factors]]</f>
        <v>0</v>
      </c>
      <c r="AK2188" s="178">
        <f>_xlfn.RANK.EQ(AI2188,$AI$6:$AI$2341,0)+COUNTIF($AI$6:AI2188,AI2188)-1</f>
        <v>2204</v>
      </c>
    </row>
    <row r="2189" spans="1:37" x14ac:dyDescent="0.25">
      <c r="A2189" t="s">
        <v>5991</v>
      </c>
      <c r="B2189">
        <f>_xlfn.XLOOKUP(FME_Ranking1[[#This Row],[FME ID]],FME_Input[FME_ID],FME_Input[RFPG_NUM])</f>
        <v>5</v>
      </c>
      <c r="C2189" t="str">
        <f>_xlfn.XLOOKUP(FME_Ranking1[[#This Row],[FME ID]],FME_Input[FME_ID],FME_Input[FME_NAME])</f>
        <v>City of Bullard Culvert Upgrades</v>
      </c>
      <c r="D2189" t="str">
        <f>_xlfn.XLOOKUP(FME_Ranking1[[#This Row],[FME ID]],FME_Input[FME_ID],FME_Input[DESCR])</f>
        <v xml:space="preserve">Study to evaluate existing culverts for current condition and identify culverts that need to be upgraded.
</v>
      </c>
      <c r="E2189" s="256">
        <f>_xlfn.XLOOKUP(FME_Ranking1[[#This Row],[FME ID]],FME_Input[FME_ID],FME_Input[FME_COST])</f>
        <v>50000</v>
      </c>
      <c r="F2189" t="str">
        <f>_xlfn.XLOOKUP(FME_Ranking1[[#This Row],[FME ID]],FME_Input[FME_ID],FME_Input[EMER_NEED])</f>
        <v>No</v>
      </c>
      <c r="G2189">
        <f>IF(FME_Ranking!F2189="Yes",100,0)</f>
        <v>0</v>
      </c>
      <c r="H2189">
        <f>FME_Ranking1[[#This Row],[Emergency Need Score (Normalized, Unweighted)]]*$F$3</f>
        <v>0</v>
      </c>
      <c r="I2189" s="246">
        <f>_xlfn.XLOOKUP(FME_Ranking1[[#This Row],[FME ID]],FME_Input[FME_ID],FME_Input[STRUCT_100])</f>
        <v>0</v>
      </c>
      <c r="J2189" s="178">
        <f>(FME_Ranking1[[#This Row],[Structures 100 Raw]]/I$2)*100</f>
        <v>0</v>
      </c>
      <c r="K2189" s="178">
        <f>FME_Ranking1[[#This Row],[Structures 100  Score (Normalized, Unweighted)]]*$I$3</f>
        <v>0</v>
      </c>
      <c r="L2189" s="246">
        <f>_xlfn.XLOOKUP(FME_Ranking1[[#This Row],[FME ID]],FME_Input[FME_ID],FME_Input[RES_STRUCT100])</f>
        <v>0</v>
      </c>
      <c r="M2189" s="230">
        <f>(FME_Ranking1[[#This Row],[Res Structures Raw]]/L$2)*100</f>
        <v>0</v>
      </c>
      <c r="N2189" s="180">
        <f>FME_Ranking1[[#This Row],[Res Structures Score (Normalized, Unweighted)]]*$L$3</f>
        <v>0</v>
      </c>
      <c r="O2189" s="244">
        <f>_xlfn.XLOOKUP(FME_Ranking1[[#This Row],[FME ID]],FME_Input[FME_ID],FME_Input[POP100])</f>
        <v>0</v>
      </c>
      <c r="P2189" s="178">
        <f>(FME_Ranking1[[#This Row],[Pop Raw]]/$O$2)*100</f>
        <v>0</v>
      </c>
      <c r="Q2189" s="178">
        <f>FME_Ranking1[[#This Row],[Pop Score (Normalized, Unweighted)]]*$O$3</f>
        <v>0</v>
      </c>
      <c r="R2189" s="137">
        <f>_xlfn.XLOOKUP(FME_Ranking1[[#This Row],[FME ID]],FME_Input[FME_ID],FME_Input[CRITFAC100])</f>
        <v>0</v>
      </c>
      <c r="S2189" s="230">
        <f>(FME_Ranking1[[#This Row],[Critical Facilities Raw]]/$R$2)*100</f>
        <v>0</v>
      </c>
      <c r="T2189" s="180">
        <f>FME_Ranking1[[#This Row],[Critical Facilities Score (Normalized, Unweighted)]]*$R$3</f>
        <v>0</v>
      </c>
      <c r="U2189">
        <f>_xlfn.XLOOKUP(FME_Ranking1[[#This Row],[FME ID]],FME_Input[FME_ID],FME_Input[LWC])</f>
        <v>0</v>
      </c>
      <c r="V2189" s="178">
        <f>(FME_Ranking1[[#This Row],[LWC Raw]]/$U$2)*100</f>
        <v>0</v>
      </c>
      <c r="W2189" s="178">
        <f>FME_Ranking1[[#This Row],[LWC Score (Normalized, Unweighted)]]*$U$3</f>
        <v>0</v>
      </c>
      <c r="X2189" s="246">
        <f>_xlfn.XLOOKUP(FME_Ranking1[[#This Row],[FME ID]],FME_Input[FME_ID],FME_Input[ROADCLS])</f>
        <v>0</v>
      </c>
      <c r="Y2189" s="230">
        <f>(FME_Ranking1[[#This Row],[Closures Raw]]/$X$2)*100</f>
        <v>0</v>
      </c>
      <c r="Z2189" s="180">
        <f>FME_Ranking1[[#This Row],[Closures Score (Normalized, Unweighted)]]*$X$3</f>
        <v>0</v>
      </c>
      <c r="AA2189" s="253">
        <f>_xlfn.XLOOKUP(FME_Ranking1[[#This Row],[FME ID]],FME_Input[FME_ID],FME_Input[ROAD_MILES100])</f>
        <v>0</v>
      </c>
      <c r="AB2189" s="178">
        <f>(FME_Ranking1[[#This Row],[Miles Raw]]/$AA$2)*100</f>
        <v>0</v>
      </c>
      <c r="AC2189" s="178">
        <f>FME_Ranking1[[#This Row],[Miles Score (Normalized, Unweighted)]]*$AA$3</f>
        <v>0</v>
      </c>
      <c r="AD2189" s="255">
        <f>_xlfn.XLOOKUP(FME_Ranking1[[#This Row],[FME ID]],FME_Input[FME_ID],FME_Input[FARMACRE100])</f>
        <v>0</v>
      </c>
      <c r="AE2189" s="230">
        <f>(FME_Ranking1[[#This Row],[Ag Land Raw]]/$AD$2)*100</f>
        <v>0</v>
      </c>
      <c r="AF2189" s="231">
        <f>FME_Ranking1[[#This Row],[Ag Land Score (Normalized, Unweighted)]]*$AD$3</f>
        <v>0</v>
      </c>
      <c r="AG218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189" s="406">
        <f t="shared" si="34"/>
        <v>2198</v>
      </c>
      <c r="AI218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189" s="257">
        <f>FME_Ranking1[[#This Row],[Addition check]]-FME_Ranking1[[#This Row],[Weighted Score Based on Normalized Reported Factors]]</f>
        <v>0</v>
      </c>
      <c r="AK2189" s="178">
        <f>_xlfn.RANK.EQ(AI2189,$AI$6:$AI$2341,0)+COUNTIF($AI$6:AI2189,AI2189)-1</f>
        <v>2205</v>
      </c>
    </row>
    <row r="2190" spans="1:37" x14ac:dyDescent="0.25">
      <c r="A2190" t="s">
        <v>6191</v>
      </c>
      <c r="B2190">
        <f>_xlfn.XLOOKUP(FME_Ranking1[[#This Row],[FME ID]],FME_Input[FME_ID],FME_Input[RFPG_NUM])</f>
        <v>5</v>
      </c>
      <c r="C2190" t="str">
        <f>_xlfn.XLOOKUP(FME_Ranking1[[#This Row],[FME ID]],FME_Input[FME_ID],FME_Input[FME_NAME])</f>
        <v>City of Athens Master Drainage Plan</v>
      </c>
      <c r="D2190" t="str">
        <f>_xlfn.XLOOKUP(FME_Ranking1[[#This Row],[FME ID]],FME_Input[FME_ID],FME_Input[DESCR])</f>
        <v xml:space="preserve">Perform H&amp;H modeling to identify and define flood risk, develop conceptual alternatives to reduce flood risk, develop OPCC for conceptual alternatives, and rank projects. Conceptual alternatives should evaluate feasibility of nature based solutions. </v>
      </c>
      <c r="E2190" s="256">
        <f>_xlfn.XLOOKUP(FME_Ranking1[[#This Row],[FME ID]],FME_Input[FME_ID],FME_Input[FME_COST])</f>
        <v>31056</v>
      </c>
      <c r="F2190" t="str">
        <f>_xlfn.XLOOKUP(FME_Ranking1[[#This Row],[FME ID]],FME_Input[FME_ID],FME_Input[EMER_NEED])</f>
        <v>No</v>
      </c>
      <c r="G2190">
        <f>IF(FME_Ranking!F2190="Yes",100,0)</f>
        <v>0</v>
      </c>
      <c r="H2190">
        <f>FME_Ranking1[[#This Row],[Emergency Need Score (Normalized, Unweighted)]]*$F$3</f>
        <v>0</v>
      </c>
      <c r="I2190" s="246">
        <f>_xlfn.XLOOKUP(FME_Ranking1[[#This Row],[FME ID]],FME_Input[FME_ID],FME_Input[STRUCT_100])</f>
        <v>0</v>
      </c>
      <c r="J2190" s="178">
        <f>(FME_Ranking1[[#This Row],[Structures 100 Raw]]/I$2)*100</f>
        <v>0</v>
      </c>
      <c r="K2190" s="178">
        <f>FME_Ranking1[[#This Row],[Structures 100  Score (Normalized, Unweighted)]]*$I$3</f>
        <v>0</v>
      </c>
      <c r="L2190" s="246">
        <f>_xlfn.XLOOKUP(FME_Ranking1[[#This Row],[FME ID]],FME_Input[FME_ID],FME_Input[RES_STRUCT100])</f>
        <v>0</v>
      </c>
      <c r="M2190" s="230">
        <f>(FME_Ranking1[[#This Row],[Res Structures Raw]]/L$2)*100</f>
        <v>0</v>
      </c>
      <c r="N2190" s="180">
        <f>FME_Ranking1[[#This Row],[Res Structures Score (Normalized, Unweighted)]]*$L$3</f>
        <v>0</v>
      </c>
      <c r="O2190" s="244">
        <f>_xlfn.XLOOKUP(FME_Ranking1[[#This Row],[FME ID]],FME_Input[FME_ID],FME_Input[POP100])</f>
        <v>0</v>
      </c>
      <c r="P2190" s="178">
        <f>(FME_Ranking1[[#This Row],[Pop Raw]]/$O$2)*100</f>
        <v>0</v>
      </c>
      <c r="Q2190" s="178">
        <f>FME_Ranking1[[#This Row],[Pop Score (Normalized, Unweighted)]]*$O$3</f>
        <v>0</v>
      </c>
      <c r="R2190" s="137">
        <f>_xlfn.XLOOKUP(FME_Ranking1[[#This Row],[FME ID]],FME_Input[FME_ID],FME_Input[CRITFAC100])</f>
        <v>0</v>
      </c>
      <c r="S2190" s="230">
        <f>(FME_Ranking1[[#This Row],[Critical Facilities Raw]]/$R$2)*100</f>
        <v>0</v>
      </c>
      <c r="T2190" s="180">
        <f>FME_Ranking1[[#This Row],[Critical Facilities Score (Normalized, Unweighted)]]*$R$3</f>
        <v>0</v>
      </c>
      <c r="U2190">
        <f>_xlfn.XLOOKUP(FME_Ranking1[[#This Row],[FME ID]],FME_Input[FME_ID],FME_Input[LWC])</f>
        <v>0</v>
      </c>
      <c r="V2190" s="178">
        <f>(FME_Ranking1[[#This Row],[LWC Raw]]/$U$2)*100</f>
        <v>0</v>
      </c>
      <c r="W2190" s="178">
        <f>FME_Ranking1[[#This Row],[LWC Score (Normalized, Unweighted)]]*$U$3</f>
        <v>0</v>
      </c>
      <c r="X2190" s="246">
        <f>_xlfn.XLOOKUP(FME_Ranking1[[#This Row],[FME ID]],FME_Input[FME_ID],FME_Input[ROADCLS])</f>
        <v>0</v>
      </c>
      <c r="Y2190" s="230">
        <f>(FME_Ranking1[[#This Row],[Closures Raw]]/$X$2)*100</f>
        <v>0</v>
      </c>
      <c r="Z2190" s="180">
        <f>FME_Ranking1[[#This Row],[Closures Score (Normalized, Unweighted)]]*$X$3</f>
        <v>0</v>
      </c>
      <c r="AA2190" s="253">
        <f>_xlfn.XLOOKUP(FME_Ranking1[[#This Row],[FME ID]],FME_Input[FME_ID],FME_Input[ROAD_MILES100])</f>
        <v>2.8695700690150261E-2</v>
      </c>
      <c r="AB2190" s="178">
        <f>(FME_Ranking1[[#This Row],[Miles Raw]]/$AA$2)*100</f>
        <v>3.7729699592006105E-4</v>
      </c>
      <c r="AC2190" s="178">
        <f>FME_Ranking1[[#This Row],[Miles Score (Normalized, Unweighted)]]*$AA$3</f>
        <v>3.7729699592006109E-5</v>
      </c>
      <c r="AD2190" s="255">
        <f>_xlfn.XLOOKUP(FME_Ranking1[[#This Row],[FME ID]],FME_Input[FME_ID],FME_Input[FARMACRE100])</f>
        <v>0</v>
      </c>
      <c r="AE2190" s="230">
        <f>(FME_Ranking1[[#This Row],[Ag Land Raw]]/$AD$2)*100</f>
        <v>0</v>
      </c>
      <c r="AF2190" s="231">
        <f>FME_Ranking1[[#This Row],[Ag Land Score (Normalized, Unweighted)]]*$AD$3</f>
        <v>0</v>
      </c>
      <c r="AG219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3.7729699592006109E-5</v>
      </c>
      <c r="AH2190" s="406">
        <f t="shared" si="34"/>
        <v>2156</v>
      </c>
      <c r="AI219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3.7729699592006109E-5</v>
      </c>
      <c r="AJ2190" s="257">
        <f>FME_Ranking1[[#This Row],[Addition check]]-FME_Ranking1[[#This Row],[Weighted Score Based on Normalized Reported Factors]]</f>
        <v>0</v>
      </c>
      <c r="AK2190" s="178">
        <f>_xlfn.RANK.EQ(AI2190,$AI$6:$AI$2341,0)+COUNTIF($AI$6:AI2190,AI2190)-1</f>
        <v>2156</v>
      </c>
    </row>
    <row r="2191" spans="1:37" x14ac:dyDescent="0.25">
      <c r="A2191" t="s">
        <v>6254</v>
      </c>
      <c r="B2191">
        <f>_xlfn.XLOOKUP(FME_Ranking1[[#This Row],[FME ID]],FME_Input[FME_ID],FME_Input[RFPG_NUM])</f>
        <v>5</v>
      </c>
      <c r="C2191" t="str">
        <f>_xlfn.XLOOKUP(FME_Ranking1[[#This Row],[FME ID]],FME_Input[FME_ID],FME_Input[FME_NAME])</f>
        <v>Houston Upgrade Pumping Equipment</v>
      </c>
      <c r="D2191" t="str">
        <f>_xlfn.XLOOKUP(FME_Ranking1[[#This Row],[FME ID]],FME_Input[FME_ID],FME_Input[DESCR])</f>
        <v xml:space="preserve">H&amp;H study to size pump upgrades and improve existing level of service. </v>
      </c>
      <c r="E2191" s="256">
        <f>_xlfn.XLOOKUP(FME_Ranking1[[#This Row],[FME ID]],FME_Input[FME_ID],FME_Input[FME_COST])</f>
        <v>250000</v>
      </c>
      <c r="F2191" t="str">
        <f>_xlfn.XLOOKUP(FME_Ranking1[[#This Row],[FME ID]],FME_Input[FME_ID],FME_Input[EMER_NEED])</f>
        <v>Yes</v>
      </c>
      <c r="G2191">
        <f>IF(FME_Ranking!F2191="Yes",100,0)</f>
        <v>100</v>
      </c>
      <c r="H2191">
        <f>FME_Ranking1[[#This Row],[Emergency Need Score (Normalized, Unweighted)]]*$F$3</f>
        <v>0</v>
      </c>
      <c r="I2191" s="246">
        <f>_xlfn.XLOOKUP(FME_Ranking1[[#This Row],[FME ID]],FME_Input[FME_ID],FME_Input[STRUCT_100])</f>
        <v>0</v>
      </c>
      <c r="J2191" s="178">
        <f>(FME_Ranking1[[#This Row],[Structures 100 Raw]]/I$2)*100</f>
        <v>0</v>
      </c>
      <c r="K2191" s="178">
        <f>FME_Ranking1[[#This Row],[Structures 100  Score (Normalized, Unweighted)]]*$I$3</f>
        <v>0</v>
      </c>
      <c r="L2191" s="246">
        <f>_xlfn.XLOOKUP(FME_Ranking1[[#This Row],[FME ID]],FME_Input[FME_ID],FME_Input[RES_STRUCT100])</f>
        <v>0</v>
      </c>
      <c r="M2191" s="230">
        <f>(FME_Ranking1[[#This Row],[Res Structures Raw]]/L$2)*100</f>
        <v>0</v>
      </c>
      <c r="N2191" s="180">
        <f>FME_Ranking1[[#This Row],[Res Structures Score (Normalized, Unweighted)]]*$L$3</f>
        <v>0</v>
      </c>
      <c r="O2191" s="244">
        <f>_xlfn.XLOOKUP(FME_Ranking1[[#This Row],[FME ID]],FME_Input[FME_ID],FME_Input[POP100])</f>
        <v>0</v>
      </c>
      <c r="P2191" s="178">
        <f>(FME_Ranking1[[#This Row],[Pop Raw]]/$O$2)*100</f>
        <v>0</v>
      </c>
      <c r="Q2191" s="178">
        <f>FME_Ranking1[[#This Row],[Pop Score (Normalized, Unweighted)]]*$O$3</f>
        <v>0</v>
      </c>
      <c r="R2191" s="137">
        <f>_xlfn.XLOOKUP(FME_Ranking1[[#This Row],[FME ID]],FME_Input[FME_ID],FME_Input[CRITFAC100])</f>
        <v>0</v>
      </c>
      <c r="S2191" s="230">
        <f>(FME_Ranking1[[#This Row],[Critical Facilities Raw]]/$R$2)*100</f>
        <v>0</v>
      </c>
      <c r="T2191" s="180">
        <f>FME_Ranking1[[#This Row],[Critical Facilities Score (Normalized, Unweighted)]]*$R$3</f>
        <v>0</v>
      </c>
      <c r="U2191">
        <f>_xlfn.XLOOKUP(FME_Ranking1[[#This Row],[FME ID]],FME_Input[FME_ID],FME_Input[LWC])</f>
        <v>0</v>
      </c>
      <c r="V2191" s="178">
        <f>(FME_Ranking1[[#This Row],[LWC Raw]]/$U$2)*100</f>
        <v>0</v>
      </c>
      <c r="W2191" s="178">
        <f>FME_Ranking1[[#This Row],[LWC Score (Normalized, Unweighted)]]*$U$3</f>
        <v>0</v>
      </c>
      <c r="X2191" s="246">
        <f>_xlfn.XLOOKUP(FME_Ranking1[[#This Row],[FME ID]],FME_Input[FME_ID],FME_Input[ROADCLS])</f>
        <v>0</v>
      </c>
      <c r="Y2191" s="230">
        <f>(FME_Ranking1[[#This Row],[Closures Raw]]/$X$2)*100</f>
        <v>0</v>
      </c>
      <c r="Z2191" s="180">
        <f>FME_Ranking1[[#This Row],[Closures Score (Normalized, Unweighted)]]*$X$3</f>
        <v>0</v>
      </c>
      <c r="AA2191" s="253">
        <f>_xlfn.XLOOKUP(FME_Ranking1[[#This Row],[FME ID]],FME_Input[FME_ID],FME_Input[ROAD_MILES100])</f>
        <v>0</v>
      </c>
      <c r="AB2191" s="178">
        <f>(FME_Ranking1[[#This Row],[Miles Raw]]/$AA$2)*100</f>
        <v>0</v>
      </c>
      <c r="AC2191" s="178">
        <f>FME_Ranking1[[#This Row],[Miles Score (Normalized, Unweighted)]]*$AA$3</f>
        <v>0</v>
      </c>
      <c r="AD2191" s="255">
        <f>_xlfn.XLOOKUP(FME_Ranking1[[#This Row],[FME ID]],FME_Input[FME_ID],FME_Input[FARMACRE100])</f>
        <v>0</v>
      </c>
      <c r="AE2191" s="230">
        <f>(FME_Ranking1[[#This Row],[Ag Land Raw]]/$AD$2)*100</f>
        <v>0</v>
      </c>
      <c r="AF2191" s="231">
        <f>FME_Ranking1[[#This Row],[Ag Land Score (Normalized, Unweighted)]]*$AD$3</f>
        <v>0</v>
      </c>
      <c r="AG219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191" s="406">
        <f t="shared" si="34"/>
        <v>2198</v>
      </c>
      <c r="AI219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191" s="257">
        <f>FME_Ranking1[[#This Row],[Addition check]]-FME_Ranking1[[#This Row],[Weighted Score Based on Normalized Reported Factors]]</f>
        <v>0</v>
      </c>
      <c r="AK2191" s="178">
        <f>_xlfn.RANK.EQ(AI2191,$AI$6:$AI$2341,0)+COUNTIF($AI$6:AI2191,AI2191)-1</f>
        <v>2206</v>
      </c>
    </row>
    <row r="2192" spans="1:37" x14ac:dyDescent="0.25">
      <c r="A2192" t="s">
        <v>6259</v>
      </c>
      <c r="B2192">
        <f>_xlfn.XLOOKUP(FME_Ranking1[[#This Row],[FME ID]],FME_Input[FME_ID],FME_Input[RFPG_NUM])</f>
        <v>5</v>
      </c>
      <c r="C2192" t="str">
        <f>_xlfn.XLOOKUP(FME_Ranking1[[#This Row],[FME ID]],FME_Input[FME_ID],FME_Input[FME_NAME])</f>
        <v>Foley Upgrade Pumping Equipment</v>
      </c>
      <c r="D2192" t="str">
        <f>_xlfn.XLOOKUP(FME_Ranking1[[#This Row],[FME ID]],FME_Input[FME_ID],FME_Input[DESCR])</f>
        <v xml:space="preserve">H&amp;H study to size pump upgrades and improve existing level of service. </v>
      </c>
      <c r="E2192" s="256">
        <f>_xlfn.XLOOKUP(FME_Ranking1[[#This Row],[FME ID]],FME_Input[FME_ID],FME_Input[FME_COST])</f>
        <v>100000</v>
      </c>
      <c r="F2192" t="str">
        <f>_xlfn.XLOOKUP(FME_Ranking1[[#This Row],[FME ID]],FME_Input[FME_ID],FME_Input[EMER_NEED])</f>
        <v>Yes</v>
      </c>
      <c r="G2192">
        <f>IF(FME_Ranking!F2192="Yes",100,0)</f>
        <v>100</v>
      </c>
      <c r="H2192">
        <f>FME_Ranking1[[#This Row],[Emergency Need Score (Normalized, Unweighted)]]*$F$3</f>
        <v>0</v>
      </c>
      <c r="I2192" s="246">
        <f>_xlfn.XLOOKUP(FME_Ranking1[[#This Row],[FME ID]],FME_Input[FME_ID],FME_Input[STRUCT_100])</f>
        <v>0</v>
      </c>
      <c r="J2192" s="178">
        <f>(FME_Ranking1[[#This Row],[Structures 100 Raw]]/I$2)*100</f>
        <v>0</v>
      </c>
      <c r="K2192" s="178">
        <f>FME_Ranking1[[#This Row],[Structures 100  Score (Normalized, Unweighted)]]*$I$3</f>
        <v>0</v>
      </c>
      <c r="L2192" s="246">
        <f>_xlfn.XLOOKUP(FME_Ranking1[[#This Row],[FME ID]],FME_Input[FME_ID],FME_Input[RES_STRUCT100])</f>
        <v>0</v>
      </c>
      <c r="M2192" s="230">
        <f>(FME_Ranking1[[#This Row],[Res Structures Raw]]/L$2)*100</f>
        <v>0</v>
      </c>
      <c r="N2192" s="180">
        <f>FME_Ranking1[[#This Row],[Res Structures Score (Normalized, Unweighted)]]*$L$3</f>
        <v>0</v>
      </c>
      <c r="O2192" s="244">
        <f>_xlfn.XLOOKUP(FME_Ranking1[[#This Row],[FME ID]],FME_Input[FME_ID],FME_Input[POP100])</f>
        <v>0</v>
      </c>
      <c r="P2192" s="178">
        <f>(FME_Ranking1[[#This Row],[Pop Raw]]/$O$2)*100</f>
        <v>0</v>
      </c>
      <c r="Q2192" s="178">
        <f>FME_Ranking1[[#This Row],[Pop Score (Normalized, Unweighted)]]*$O$3</f>
        <v>0</v>
      </c>
      <c r="R2192" s="137">
        <f>_xlfn.XLOOKUP(FME_Ranking1[[#This Row],[FME ID]],FME_Input[FME_ID],FME_Input[CRITFAC100])</f>
        <v>0</v>
      </c>
      <c r="S2192" s="230">
        <f>(FME_Ranking1[[#This Row],[Critical Facilities Raw]]/$R$2)*100</f>
        <v>0</v>
      </c>
      <c r="T2192" s="180">
        <f>FME_Ranking1[[#This Row],[Critical Facilities Score (Normalized, Unweighted)]]*$R$3</f>
        <v>0</v>
      </c>
      <c r="U2192">
        <f>_xlfn.XLOOKUP(FME_Ranking1[[#This Row],[FME ID]],FME_Input[FME_ID],FME_Input[LWC])</f>
        <v>0</v>
      </c>
      <c r="V2192" s="178">
        <f>(FME_Ranking1[[#This Row],[LWC Raw]]/$U$2)*100</f>
        <v>0</v>
      </c>
      <c r="W2192" s="178">
        <f>FME_Ranking1[[#This Row],[LWC Score (Normalized, Unweighted)]]*$U$3</f>
        <v>0</v>
      </c>
      <c r="X2192" s="246">
        <f>_xlfn.XLOOKUP(FME_Ranking1[[#This Row],[FME ID]],FME_Input[FME_ID],FME_Input[ROADCLS])</f>
        <v>0</v>
      </c>
      <c r="Y2192" s="230">
        <f>(FME_Ranking1[[#This Row],[Closures Raw]]/$X$2)*100</f>
        <v>0</v>
      </c>
      <c r="Z2192" s="180">
        <f>FME_Ranking1[[#This Row],[Closures Score (Normalized, Unweighted)]]*$X$3</f>
        <v>0</v>
      </c>
      <c r="AA2192" s="253">
        <f>_xlfn.XLOOKUP(FME_Ranking1[[#This Row],[FME ID]],FME_Input[FME_ID],FME_Input[ROAD_MILES100])</f>
        <v>0</v>
      </c>
      <c r="AB2192" s="178">
        <f>(FME_Ranking1[[#This Row],[Miles Raw]]/$AA$2)*100</f>
        <v>0</v>
      </c>
      <c r="AC2192" s="178">
        <f>FME_Ranking1[[#This Row],[Miles Score (Normalized, Unweighted)]]*$AA$3</f>
        <v>0</v>
      </c>
      <c r="AD2192" s="255">
        <f>_xlfn.XLOOKUP(FME_Ranking1[[#This Row],[FME ID]],FME_Input[FME_ID],FME_Input[FARMACRE100])</f>
        <v>0</v>
      </c>
      <c r="AE2192" s="230">
        <f>(FME_Ranking1[[#This Row],[Ag Land Raw]]/$AD$2)*100</f>
        <v>0</v>
      </c>
      <c r="AF2192" s="231">
        <f>FME_Ranking1[[#This Row],[Ag Land Score (Normalized, Unweighted)]]*$AD$3</f>
        <v>0</v>
      </c>
      <c r="AG219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192" s="406">
        <f t="shared" si="34"/>
        <v>2198</v>
      </c>
      <c r="AI219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192" s="257">
        <f>FME_Ranking1[[#This Row],[Addition check]]-FME_Ranking1[[#This Row],[Weighted Score Based on Normalized Reported Factors]]</f>
        <v>0</v>
      </c>
      <c r="AK2192" s="178">
        <f>_xlfn.RANK.EQ(AI2192,$AI$6:$AI$2341,0)+COUNTIF($AI$6:AI2192,AI2192)-1</f>
        <v>2207</v>
      </c>
    </row>
    <row r="2193" spans="1:37" x14ac:dyDescent="0.25">
      <c r="A2193" t="s">
        <v>6331</v>
      </c>
      <c r="B2193">
        <f>_xlfn.XLOOKUP(FME_Ranking1[[#This Row],[FME ID]],FME_Input[FME_ID],FME_Input[RFPG_NUM])</f>
        <v>5</v>
      </c>
      <c r="C2193" t="str">
        <f>_xlfn.XLOOKUP(FME_Ranking1[[#This Row],[FME ID]],FME_Input[FME_ID],FME_Input[FME_NAME])</f>
        <v>Central - Upgrade Pumping Equipment and Structure</v>
      </c>
      <c r="D2193" t="str">
        <f>_xlfn.XLOOKUP(FME_Ranking1[[#This Row],[FME ID]],FME_Input[FME_ID],FME_Input[DESCR])</f>
        <v xml:space="preserve">H&amp;H study to size pump upgrades and improve existing level of service. </v>
      </c>
      <c r="E2193" s="256">
        <f>_xlfn.XLOOKUP(FME_Ranking1[[#This Row],[FME ID]],FME_Input[FME_ID],FME_Input[FME_COST])</f>
        <v>100000</v>
      </c>
      <c r="F2193" t="str">
        <f>_xlfn.XLOOKUP(FME_Ranking1[[#This Row],[FME ID]],FME_Input[FME_ID],FME_Input[EMER_NEED])</f>
        <v>Yes</v>
      </c>
      <c r="G2193">
        <f>IF(FME_Ranking!F2193="Yes",100,0)</f>
        <v>100</v>
      </c>
      <c r="H2193">
        <f>FME_Ranking1[[#This Row],[Emergency Need Score (Normalized, Unweighted)]]*$F$3</f>
        <v>0</v>
      </c>
      <c r="I2193" s="246">
        <f>_xlfn.XLOOKUP(FME_Ranking1[[#This Row],[FME ID]],FME_Input[FME_ID],FME_Input[STRUCT_100])</f>
        <v>0</v>
      </c>
      <c r="J2193" s="178">
        <f>(FME_Ranking1[[#This Row],[Structures 100 Raw]]/I$2)*100</f>
        <v>0</v>
      </c>
      <c r="K2193" s="178">
        <f>FME_Ranking1[[#This Row],[Structures 100  Score (Normalized, Unweighted)]]*$I$3</f>
        <v>0</v>
      </c>
      <c r="L2193" s="246">
        <f>_xlfn.XLOOKUP(FME_Ranking1[[#This Row],[FME ID]],FME_Input[FME_ID],FME_Input[RES_STRUCT100])</f>
        <v>0</v>
      </c>
      <c r="M2193" s="230">
        <f>(FME_Ranking1[[#This Row],[Res Structures Raw]]/L$2)*100</f>
        <v>0</v>
      </c>
      <c r="N2193" s="180">
        <f>FME_Ranking1[[#This Row],[Res Structures Score (Normalized, Unweighted)]]*$L$3</f>
        <v>0</v>
      </c>
      <c r="O2193" s="244">
        <f>_xlfn.XLOOKUP(FME_Ranking1[[#This Row],[FME ID]],FME_Input[FME_ID],FME_Input[POP100])</f>
        <v>0</v>
      </c>
      <c r="P2193" s="178">
        <f>(FME_Ranking1[[#This Row],[Pop Raw]]/$O$2)*100</f>
        <v>0</v>
      </c>
      <c r="Q2193" s="178">
        <f>FME_Ranking1[[#This Row],[Pop Score (Normalized, Unweighted)]]*$O$3</f>
        <v>0</v>
      </c>
      <c r="R2193" s="137">
        <f>_xlfn.XLOOKUP(FME_Ranking1[[#This Row],[FME ID]],FME_Input[FME_ID],FME_Input[CRITFAC100])</f>
        <v>0</v>
      </c>
      <c r="S2193" s="230">
        <f>(FME_Ranking1[[#This Row],[Critical Facilities Raw]]/$R$2)*100</f>
        <v>0</v>
      </c>
      <c r="T2193" s="180">
        <f>FME_Ranking1[[#This Row],[Critical Facilities Score (Normalized, Unweighted)]]*$R$3</f>
        <v>0</v>
      </c>
      <c r="U2193">
        <f>_xlfn.XLOOKUP(FME_Ranking1[[#This Row],[FME ID]],FME_Input[FME_ID],FME_Input[LWC])</f>
        <v>0</v>
      </c>
      <c r="V2193" s="178">
        <f>(FME_Ranking1[[#This Row],[LWC Raw]]/$U$2)*100</f>
        <v>0</v>
      </c>
      <c r="W2193" s="178">
        <f>FME_Ranking1[[#This Row],[LWC Score (Normalized, Unweighted)]]*$U$3</f>
        <v>0</v>
      </c>
      <c r="X2193" s="246">
        <f>_xlfn.XLOOKUP(FME_Ranking1[[#This Row],[FME ID]],FME_Input[FME_ID],FME_Input[ROADCLS])</f>
        <v>0</v>
      </c>
      <c r="Y2193" s="230">
        <f>(FME_Ranking1[[#This Row],[Closures Raw]]/$X$2)*100</f>
        <v>0</v>
      </c>
      <c r="Z2193" s="180">
        <f>FME_Ranking1[[#This Row],[Closures Score (Normalized, Unweighted)]]*$X$3</f>
        <v>0</v>
      </c>
      <c r="AA2193" s="253">
        <f>_xlfn.XLOOKUP(FME_Ranking1[[#This Row],[FME ID]],FME_Input[FME_ID],FME_Input[ROAD_MILES100])</f>
        <v>0</v>
      </c>
      <c r="AB2193" s="178">
        <f>(FME_Ranking1[[#This Row],[Miles Raw]]/$AA$2)*100</f>
        <v>0</v>
      </c>
      <c r="AC2193" s="178">
        <f>FME_Ranking1[[#This Row],[Miles Score (Normalized, Unweighted)]]*$AA$3</f>
        <v>0</v>
      </c>
      <c r="AD2193" s="255">
        <f>_xlfn.XLOOKUP(FME_Ranking1[[#This Row],[FME ID]],FME_Input[FME_ID],FME_Input[FARMACRE100])</f>
        <v>0</v>
      </c>
      <c r="AE2193" s="230">
        <f>(FME_Ranking1[[#This Row],[Ag Land Raw]]/$AD$2)*100</f>
        <v>0</v>
      </c>
      <c r="AF2193" s="231">
        <f>FME_Ranking1[[#This Row],[Ag Land Score (Normalized, Unweighted)]]*$AD$3</f>
        <v>0</v>
      </c>
      <c r="AG219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193" s="406">
        <f t="shared" si="34"/>
        <v>2198</v>
      </c>
      <c r="AI219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193" s="257">
        <f>FME_Ranking1[[#This Row],[Addition check]]-FME_Ranking1[[#This Row],[Weighted Score Based on Normalized Reported Factors]]</f>
        <v>0</v>
      </c>
      <c r="AK2193" s="178">
        <f>_xlfn.RANK.EQ(AI2193,$AI$6:$AI$2341,0)+COUNTIF($AI$6:AI2193,AI2193)-1</f>
        <v>2208</v>
      </c>
    </row>
    <row r="2194" spans="1:37" x14ac:dyDescent="0.25">
      <c r="A2194" t="s">
        <v>6345</v>
      </c>
      <c r="B2194">
        <f>_xlfn.XLOOKUP(FME_Ranking1[[#This Row],[FME ID]],FME_Input[FME_ID],FME_Input[RFPG_NUM])</f>
        <v>5</v>
      </c>
      <c r="C2194" t="str">
        <f>_xlfn.XLOOKUP(FME_Ranking1[[#This Row],[FME ID]],FME_Input[FME_ID],FME_Input[FME_NAME])</f>
        <v xml:space="preserve">Shreveport Additional Pumping Equipment </v>
      </c>
      <c r="D2194" t="str">
        <f>_xlfn.XLOOKUP(FME_Ranking1[[#This Row],[FME ID]],FME_Input[FME_ID],FME_Input[DESCR])</f>
        <v xml:space="preserve">H&amp;H study to size pump upgrades and improve existing level of service. </v>
      </c>
      <c r="E2194" s="256">
        <f>_xlfn.XLOOKUP(FME_Ranking1[[#This Row],[FME ID]],FME_Input[FME_ID],FME_Input[FME_COST])</f>
        <v>100000</v>
      </c>
      <c r="F2194" t="str">
        <f>_xlfn.XLOOKUP(FME_Ranking1[[#This Row],[FME ID]],FME_Input[FME_ID],FME_Input[EMER_NEED])</f>
        <v>Yes</v>
      </c>
      <c r="G2194">
        <f>IF(FME_Ranking!F2194="Yes",100,0)</f>
        <v>100</v>
      </c>
      <c r="H2194">
        <f>FME_Ranking1[[#This Row],[Emergency Need Score (Normalized, Unweighted)]]*$F$3</f>
        <v>0</v>
      </c>
      <c r="I2194" s="246">
        <f>_xlfn.XLOOKUP(FME_Ranking1[[#This Row],[FME ID]],FME_Input[FME_ID],FME_Input[STRUCT_100])</f>
        <v>0</v>
      </c>
      <c r="J2194" s="178">
        <f>(FME_Ranking1[[#This Row],[Structures 100 Raw]]/I$2)*100</f>
        <v>0</v>
      </c>
      <c r="K2194" s="178">
        <f>FME_Ranking1[[#This Row],[Structures 100  Score (Normalized, Unweighted)]]*$I$3</f>
        <v>0</v>
      </c>
      <c r="L2194" s="246">
        <f>_xlfn.XLOOKUP(FME_Ranking1[[#This Row],[FME ID]],FME_Input[FME_ID],FME_Input[RES_STRUCT100])</f>
        <v>0</v>
      </c>
      <c r="M2194" s="230">
        <f>(FME_Ranking1[[#This Row],[Res Structures Raw]]/L$2)*100</f>
        <v>0</v>
      </c>
      <c r="N2194" s="180">
        <f>FME_Ranking1[[#This Row],[Res Structures Score (Normalized, Unweighted)]]*$L$3</f>
        <v>0</v>
      </c>
      <c r="O2194" s="244">
        <f>_xlfn.XLOOKUP(FME_Ranking1[[#This Row],[FME ID]],FME_Input[FME_ID],FME_Input[POP100])</f>
        <v>0</v>
      </c>
      <c r="P2194" s="178">
        <f>(FME_Ranking1[[#This Row],[Pop Raw]]/$O$2)*100</f>
        <v>0</v>
      </c>
      <c r="Q2194" s="178">
        <f>FME_Ranking1[[#This Row],[Pop Score (Normalized, Unweighted)]]*$O$3</f>
        <v>0</v>
      </c>
      <c r="R2194" s="137">
        <f>_xlfn.XLOOKUP(FME_Ranking1[[#This Row],[FME ID]],FME_Input[FME_ID],FME_Input[CRITFAC100])</f>
        <v>0</v>
      </c>
      <c r="S2194" s="230">
        <f>(FME_Ranking1[[#This Row],[Critical Facilities Raw]]/$R$2)*100</f>
        <v>0</v>
      </c>
      <c r="T2194" s="180">
        <f>FME_Ranking1[[#This Row],[Critical Facilities Score (Normalized, Unweighted)]]*$R$3</f>
        <v>0</v>
      </c>
      <c r="U2194">
        <f>_xlfn.XLOOKUP(FME_Ranking1[[#This Row],[FME ID]],FME_Input[FME_ID],FME_Input[LWC])</f>
        <v>0</v>
      </c>
      <c r="V2194" s="178">
        <f>(FME_Ranking1[[#This Row],[LWC Raw]]/$U$2)*100</f>
        <v>0</v>
      </c>
      <c r="W2194" s="178">
        <f>FME_Ranking1[[#This Row],[LWC Score (Normalized, Unweighted)]]*$U$3</f>
        <v>0</v>
      </c>
      <c r="X2194" s="246">
        <f>_xlfn.XLOOKUP(FME_Ranking1[[#This Row],[FME ID]],FME_Input[FME_ID],FME_Input[ROADCLS])</f>
        <v>0</v>
      </c>
      <c r="Y2194" s="230">
        <f>(FME_Ranking1[[#This Row],[Closures Raw]]/$X$2)*100</f>
        <v>0</v>
      </c>
      <c r="Z2194" s="180">
        <f>FME_Ranking1[[#This Row],[Closures Score (Normalized, Unweighted)]]*$X$3</f>
        <v>0</v>
      </c>
      <c r="AA2194" s="253">
        <f>_xlfn.XLOOKUP(FME_Ranking1[[#This Row],[FME ID]],FME_Input[FME_ID],FME_Input[ROAD_MILES100])</f>
        <v>0</v>
      </c>
      <c r="AB2194" s="178">
        <f>(FME_Ranking1[[#This Row],[Miles Raw]]/$AA$2)*100</f>
        <v>0</v>
      </c>
      <c r="AC2194" s="178">
        <f>FME_Ranking1[[#This Row],[Miles Score (Normalized, Unweighted)]]*$AA$3</f>
        <v>0</v>
      </c>
      <c r="AD2194" s="255">
        <f>_xlfn.XLOOKUP(FME_Ranking1[[#This Row],[FME ID]],FME_Input[FME_ID],FME_Input[FARMACRE100])</f>
        <v>0</v>
      </c>
      <c r="AE2194" s="230">
        <f>(FME_Ranking1[[#This Row],[Ag Land Raw]]/$AD$2)*100</f>
        <v>0</v>
      </c>
      <c r="AF2194" s="231">
        <f>FME_Ranking1[[#This Row],[Ag Land Score (Normalized, Unweighted)]]*$AD$3</f>
        <v>0</v>
      </c>
      <c r="AG219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194" s="406">
        <f t="shared" si="34"/>
        <v>2198</v>
      </c>
      <c r="AI219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194" s="257">
        <f>FME_Ranking1[[#This Row],[Addition check]]-FME_Ranking1[[#This Row],[Weighted Score Based on Normalized Reported Factors]]</f>
        <v>0</v>
      </c>
      <c r="AK2194" s="178">
        <f>_xlfn.RANK.EQ(AI2194,$AI$6:$AI$2341,0)+COUNTIF($AI$6:AI2194,AI2194)-1</f>
        <v>2209</v>
      </c>
    </row>
    <row r="2195" spans="1:37" x14ac:dyDescent="0.25">
      <c r="A2195" t="s">
        <v>813</v>
      </c>
      <c r="B2195">
        <f>_xlfn.XLOOKUP(FME_Ranking1[[#This Row],[FME ID]],FME_Input[FME_ID],FME_Input[RFPG_NUM])</f>
        <v>6</v>
      </c>
      <c r="C2195" t="str">
        <f>_xlfn.XLOOKUP(FME_Ranking1[[#This Row],[FME ID]],FME_Input[FME_ID],FME_Input[FME_NAME])</f>
        <v>Preliminary Drainage &amp; Infrastructure Improvements Happy Hide A Way Subdivison</v>
      </c>
      <c r="D2195" t="str">
        <f>_xlfn.XLOOKUP(FME_Ranking1[[#This Row],[FME ID]],FME_Input[FME_ID],FME_Input[DESCR])</f>
        <v>Additional analysis in the Jackson Bayou watershed, specifically along R102-00-00, is needed to determine the necessary improvements and provide a no impact solution.</v>
      </c>
      <c r="E2195" s="256">
        <f>_xlfn.XLOOKUP(FME_Ranking1[[#This Row],[FME ID]],FME_Input[FME_ID],FME_Input[FME_COST])</f>
        <v>110000</v>
      </c>
      <c r="F2195" t="str">
        <f>_xlfn.XLOOKUP(FME_Ranking1[[#This Row],[FME ID]],FME_Input[FME_ID],FME_Input[EMER_NEED])</f>
        <v>No</v>
      </c>
      <c r="G2195">
        <f>IF(FME_Ranking!F2195="Yes",100,0)</f>
        <v>0</v>
      </c>
      <c r="H2195">
        <f>FME_Ranking1[[#This Row],[Emergency Need Score (Normalized, Unweighted)]]*$F$3</f>
        <v>0</v>
      </c>
      <c r="I2195" s="246">
        <f>_xlfn.XLOOKUP(FME_Ranking1[[#This Row],[FME ID]],FME_Input[FME_ID],FME_Input[STRUCT_100])</f>
        <v>0</v>
      </c>
      <c r="J2195" s="178">
        <f>(FME_Ranking1[[#This Row],[Structures 100 Raw]]/I$2)*100</f>
        <v>0</v>
      </c>
      <c r="K2195" s="178">
        <f>FME_Ranking1[[#This Row],[Structures 100  Score (Normalized, Unweighted)]]*$I$3</f>
        <v>0</v>
      </c>
      <c r="L2195" s="246">
        <f>_xlfn.XLOOKUP(FME_Ranking1[[#This Row],[FME ID]],FME_Input[FME_ID],FME_Input[RES_STRUCT100])</f>
        <v>0</v>
      </c>
      <c r="M2195" s="230">
        <f>(FME_Ranking1[[#This Row],[Res Structures Raw]]/L$2)*100</f>
        <v>0</v>
      </c>
      <c r="N2195" s="180">
        <f>FME_Ranking1[[#This Row],[Res Structures Score (Normalized, Unweighted)]]*$L$3</f>
        <v>0</v>
      </c>
      <c r="O2195" s="244">
        <f>_xlfn.XLOOKUP(FME_Ranking1[[#This Row],[FME ID]],FME_Input[FME_ID],FME_Input[POP100])</f>
        <v>0</v>
      </c>
      <c r="P2195" s="178">
        <f>(FME_Ranking1[[#This Row],[Pop Raw]]/$O$2)*100</f>
        <v>0</v>
      </c>
      <c r="Q2195" s="178">
        <f>FME_Ranking1[[#This Row],[Pop Score (Normalized, Unweighted)]]*$O$3</f>
        <v>0</v>
      </c>
      <c r="R2195" s="137">
        <f>_xlfn.XLOOKUP(FME_Ranking1[[#This Row],[FME ID]],FME_Input[FME_ID],FME_Input[CRITFAC100])</f>
        <v>0</v>
      </c>
      <c r="S2195" s="230">
        <f>(FME_Ranking1[[#This Row],[Critical Facilities Raw]]/$R$2)*100</f>
        <v>0</v>
      </c>
      <c r="T2195" s="180">
        <f>FME_Ranking1[[#This Row],[Critical Facilities Score (Normalized, Unweighted)]]*$R$3</f>
        <v>0</v>
      </c>
      <c r="U2195">
        <f>_xlfn.XLOOKUP(FME_Ranking1[[#This Row],[FME ID]],FME_Input[FME_ID],FME_Input[LWC])</f>
        <v>0</v>
      </c>
      <c r="V2195" s="178">
        <f>(FME_Ranking1[[#This Row],[LWC Raw]]/$U$2)*100</f>
        <v>0</v>
      </c>
      <c r="W2195" s="178">
        <f>FME_Ranking1[[#This Row],[LWC Score (Normalized, Unweighted)]]*$U$3</f>
        <v>0</v>
      </c>
      <c r="X2195" s="246">
        <f>_xlfn.XLOOKUP(FME_Ranking1[[#This Row],[FME ID]],FME_Input[FME_ID],FME_Input[ROADCLS])</f>
        <v>0</v>
      </c>
      <c r="Y2195" s="230">
        <f>(FME_Ranking1[[#This Row],[Closures Raw]]/$X$2)*100</f>
        <v>0</v>
      </c>
      <c r="Z2195" s="180">
        <f>FME_Ranking1[[#This Row],[Closures Score (Normalized, Unweighted)]]*$X$3</f>
        <v>0</v>
      </c>
      <c r="AA2195" s="253">
        <f>_xlfn.XLOOKUP(FME_Ranking1[[#This Row],[FME ID]],FME_Input[FME_ID],FME_Input[ROAD_MILES100])</f>
        <v>0</v>
      </c>
      <c r="AB2195" s="178">
        <f>(FME_Ranking1[[#This Row],[Miles Raw]]/$AA$2)*100</f>
        <v>0</v>
      </c>
      <c r="AC2195" s="178">
        <f>FME_Ranking1[[#This Row],[Miles Score (Normalized, Unweighted)]]*$AA$3</f>
        <v>0</v>
      </c>
      <c r="AD2195" s="255">
        <f>_xlfn.XLOOKUP(FME_Ranking1[[#This Row],[FME ID]],FME_Input[FME_ID],FME_Input[FARMACRE100])</f>
        <v>0</v>
      </c>
      <c r="AE2195" s="230">
        <f>(FME_Ranking1[[#This Row],[Ag Land Raw]]/$AD$2)*100</f>
        <v>0</v>
      </c>
      <c r="AF2195" s="231">
        <f>FME_Ranking1[[#This Row],[Ag Land Score (Normalized, Unweighted)]]*$AD$3</f>
        <v>0</v>
      </c>
      <c r="AG219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195" s="406">
        <f t="shared" si="34"/>
        <v>2198</v>
      </c>
      <c r="AI219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195" s="257">
        <f>FME_Ranking1[[#This Row],[Addition check]]-FME_Ranking1[[#This Row],[Weighted Score Based on Normalized Reported Factors]]</f>
        <v>0</v>
      </c>
      <c r="AK2195" s="178">
        <f>_xlfn.RANK.EQ(AI2195,$AI$6:$AI$2341,0)+COUNTIF($AI$6:AI2195,AI2195)-1</f>
        <v>2210</v>
      </c>
    </row>
    <row r="2196" spans="1:37" x14ac:dyDescent="0.25">
      <c r="A2196" t="s">
        <v>821</v>
      </c>
      <c r="B2196">
        <f>_xlfn.XLOOKUP(FME_Ranking1[[#This Row],[FME ID]],FME_Input[FME_ID],FME_Input[RFPG_NUM])</f>
        <v>6</v>
      </c>
      <c r="C2196" t="str">
        <f>_xlfn.XLOOKUP(FME_Ranking1[[#This Row],[FME ID]],FME_Input[FME_ID],FME_Input[FME_NAME])</f>
        <v>Bridgewater Village &amp; Enclave at Bridgewater Drainage Analysis</v>
      </c>
      <c r="D2196" t="str">
        <f>_xlfn.XLOOKUP(FME_Ranking1[[#This Row],[FME ID]],FME_Input[FME_ID],FME_Input[DESCR])</f>
        <v>Alternative analysis and assessment of additional protection of basin needed during design to control flows for 100-yr event.</v>
      </c>
      <c r="E2196" s="256">
        <f>_xlfn.XLOOKUP(FME_Ranking1[[#This Row],[FME ID]],FME_Input[FME_ID],FME_Input[FME_COST])</f>
        <v>750000</v>
      </c>
      <c r="F2196" t="str">
        <f>_xlfn.XLOOKUP(FME_Ranking1[[#This Row],[FME ID]],FME_Input[FME_ID],FME_Input[EMER_NEED])</f>
        <v>No</v>
      </c>
      <c r="G2196">
        <f>IF(FME_Ranking!F2196="Yes",100,0)</f>
        <v>0</v>
      </c>
      <c r="H2196">
        <f>FME_Ranking1[[#This Row],[Emergency Need Score (Normalized, Unweighted)]]*$F$3</f>
        <v>0</v>
      </c>
      <c r="I2196" s="246">
        <f>_xlfn.XLOOKUP(FME_Ranking1[[#This Row],[FME ID]],FME_Input[FME_ID],FME_Input[STRUCT_100])</f>
        <v>0</v>
      </c>
      <c r="J2196" s="178">
        <f>(FME_Ranking1[[#This Row],[Structures 100 Raw]]/I$2)*100</f>
        <v>0</v>
      </c>
      <c r="K2196" s="178">
        <f>FME_Ranking1[[#This Row],[Structures 100  Score (Normalized, Unweighted)]]*$I$3</f>
        <v>0</v>
      </c>
      <c r="L2196" s="246">
        <f>_xlfn.XLOOKUP(FME_Ranking1[[#This Row],[FME ID]],FME_Input[FME_ID],FME_Input[RES_STRUCT100])</f>
        <v>0</v>
      </c>
      <c r="M2196" s="230">
        <f>(FME_Ranking1[[#This Row],[Res Structures Raw]]/L$2)*100</f>
        <v>0</v>
      </c>
      <c r="N2196" s="180">
        <f>FME_Ranking1[[#This Row],[Res Structures Score (Normalized, Unweighted)]]*$L$3</f>
        <v>0</v>
      </c>
      <c r="O2196" s="244">
        <f>_xlfn.XLOOKUP(FME_Ranking1[[#This Row],[FME ID]],FME_Input[FME_ID],FME_Input[POP100])</f>
        <v>0</v>
      </c>
      <c r="P2196" s="178">
        <f>(FME_Ranking1[[#This Row],[Pop Raw]]/$O$2)*100</f>
        <v>0</v>
      </c>
      <c r="Q2196" s="178">
        <f>FME_Ranking1[[#This Row],[Pop Score (Normalized, Unweighted)]]*$O$3</f>
        <v>0</v>
      </c>
      <c r="R2196" s="137">
        <f>_xlfn.XLOOKUP(FME_Ranking1[[#This Row],[FME ID]],FME_Input[FME_ID],FME_Input[CRITFAC100])</f>
        <v>0</v>
      </c>
      <c r="S2196" s="230">
        <f>(FME_Ranking1[[#This Row],[Critical Facilities Raw]]/$R$2)*100</f>
        <v>0</v>
      </c>
      <c r="T2196" s="180">
        <f>FME_Ranking1[[#This Row],[Critical Facilities Score (Normalized, Unweighted)]]*$R$3</f>
        <v>0</v>
      </c>
      <c r="U2196">
        <f>_xlfn.XLOOKUP(FME_Ranking1[[#This Row],[FME ID]],FME_Input[FME_ID],FME_Input[LWC])</f>
        <v>0</v>
      </c>
      <c r="V2196" s="178">
        <f>(FME_Ranking1[[#This Row],[LWC Raw]]/$U$2)*100</f>
        <v>0</v>
      </c>
      <c r="W2196" s="178">
        <f>FME_Ranking1[[#This Row],[LWC Score (Normalized, Unweighted)]]*$U$3</f>
        <v>0</v>
      </c>
      <c r="X2196" s="246">
        <f>_xlfn.XLOOKUP(FME_Ranking1[[#This Row],[FME ID]],FME_Input[FME_ID],FME_Input[ROADCLS])</f>
        <v>0</v>
      </c>
      <c r="Y2196" s="230">
        <f>(FME_Ranking1[[#This Row],[Closures Raw]]/$X$2)*100</f>
        <v>0</v>
      </c>
      <c r="Z2196" s="180">
        <f>FME_Ranking1[[#This Row],[Closures Score (Normalized, Unweighted)]]*$X$3</f>
        <v>0</v>
      </c>
      <c r="AA2196" s="253">
        <f>_xlfn.XLOOKUP(FME_Ranking1[[#This Row],[FME ID]],FME_Input[FME_ID],FME_Input[ROAD_MILES100])</f>
        <v>5.5250599980354309E-3</v>
      </c>
      <c r="AB2196" s="178">
        <f>(FME_Ranking1[[#This Row],[Miles Raw]]/$AA$2)*100</f>
        <v>7.2644629313839935E-5</v>
      </c>
      <c r="AC2196" s="178">
        <f>FME_Ranking1[[#This Row],[Miles Score (Normalized, Unweighted)]]*$AA$3</f>
        <v>7.2644629313839939E-6</v>
      </c>
      <c r="AD2196" s="255">
        <f>_xlfn.XLOOKUP(FME_Ranking1[[#This Row],[FME ID]],FME_Input[FME_ID],FME_Input[FARMACRE100])</f>
        <v>0</v>
      </c>
      <c r="AE2196" s="230">
        <f>(FME_Ranking1[[#This Row],[Ag Land Raw]]/$AD$2)*100</f>
        <v>0</v>
      </c>
      <c r="AF2196" s="231">
        <f>FME_Ranking1[[#This Row],[Ag Land Score (Normalized, Unweighted)]]*$AD$3</f>
        <v>0</v>
      </c>
      <c r="AG219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7.2644629313839939E-6</v>
      </c>
      <c r="AH2196" s="406">
        <f t="shared" si="34"/>
        <v>2169</v>
      </c>
      <c r="AI219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7.2644629313839939E-6</v>
      </c>
      <c r="AJ2196" s="257">
        <f>FME_Ranking1[[#This Row],[Addition check]]-FME_Ranking1[[#This Row],[Weighted Score Based on Normalized Reported Factors]]</f>
        <v>0</v>
      </c>
      <c r="AK2196" s="178">
        <f>_xlfn.RANK.EQ(AI2196,$AI$6:$AI$2341,0)+COUNTIF($AI$6:AI2196,AI2196)-1</f>
        <v>2169</v>
      </c>
    </row>
    <row r="2197" spans="1:37" x14ac:dyDescent="0.25">
      <c r="A2197" t="s">
        <v>841</v>
      </c>
      <c r="B2197">
        <f>_xlfn.XLOOKUP(FME_Ranking1[[#This Row],[FME ID]],FME_Input[FME_ID],FME_Input[RFPG_NUM])</f>
        <v>6</v>
      </c>
      <c r="C2197" t="str">
        <f>_xlfn.XLOOKUP(FME_Ranking1[[#This Row],[FME ID]],FME_Input[FME_ID],FME_Input[FME_NAME])</f>
        <v>Spanish Cove Subdivision Drainage Assessment</v>
      </c>
      <c r="D2197" t="str">
        <f>_xlfn.XLOOKUP(FME_Ranking1[[#This Row],[FME ID]],FME_Input[FME_ID],FME_Input[DESCR])</f>
        <v xml:space="preserve">Additional analysis needed to confirm no negative effects. It is expected the larger channel can safely convey the increase in flows, but this must be demonstrated during the project design phase. </v>
      </c>
      <c r="E2197" s="256">
        <f>_xlfn.XLOOKUP(FME_Ranking1[[#This Row],[FME ID]],FME_Input[FME_ID],FME_Input[FME_COST])</f>
        <v>150000</v>
      </c>
      <c r="F2197" t="str">
        <f>_xlfn.XLOOKUP(FME_Ranking1[[#This Row],[FME ID]],FME_Input[FME_ID],FME_Input[EMER_NEED])</f>
        <v>No</v>
      </c>
      <c r="G2197">
        <f>IF(FME_Ranking!F2197="Yes",100,0)</f>
        <v>0</v>
      </c>
      <c r="H2197">
        <f>FME_Ranking1[[#This Row],[Emergency Need Score (Normalized, Unweighted)]]*$F$3</f>
        <v>0</v>
      </c>
      <c r="I2197" s="246">
        <f>_xlfn.XLOOKUP(FME_Ranking1[[#This Row],[FME ID]],FME_Input[FME_ID],FME_Input[STRUCT_100])</f>
        <v>0</v>
      </c>
      <c r="J2197" s="178">
        <f>(FME_Ranking1[[#This Row],[Structures 100 Raw]]/I$2)*100</f>
        <v>0</v>
      </c>
      <c r="K2197" s="178">
        <f>FME_Ranking1[[#This Row],[Structures 100  Score (Normalized, Unweighted)]]*$I$3</f>
        <v>0</v>
      </c>
      <c r="L2197" s="246">
        <f>_xlfn.XLOOKUP(FME_Ranking1[[#This Row],[FME ID]],FME_Input[FME_ID],FME_Input[RES_STRUCT100])</f>
        <v>0</v>
      </c>
      <c r="M2197" s="230">
        <f>(FME_Ranking1[[#This Row],[Res Structures Raw]]/L$2)*100</f>
        <v>0</v>
      </c>
      <c r="N2197" s="180">
        <f>FME_Ranking1[[#This Row],[Res Structures Score (Normalized, Unweighted)]]*$L$3</f>
        <v>0</v>
      </c>
      <c r="O2197" s="244">
        <f>_xlfn.XLOOKUP(FME_Ranking1[[#This Row],[FME ID]],FME_Input[FME_ID],FME_Input[POP100])</f>
        <v>0</v>
      </c>
      <c r="P2197" s="178">
        <f>(FME_Ranking1[[#This Row],[Pop Raw]]/$O$2)*100</f>
        <v>0</v>
      </c>
      <c r="Q2197" s="178">
        <f>FME_Ranking1[[#This Row],[Pop Score (Normalized, Unweighted)]]*$O$3</f>
        <v>0</v>
      </c>
      <c r="R2197" s="137">
        <f>_xlfn.XLOOKUP(FME_Ranking1[[#This Row],[FME ID]],FME_Input[FME_ID],FME_Input[CRITFAC100])</f>
        <v>0</v>
      </c>
      <c r="S2197" s="230">
        <f>(FME_Ranking1[[#This Row],[Critical Facilities Raw]]/$R$2)*100</f>
        <v>0</v>
      </c>
      <c r="T2197" s="180">
        <f>FME_Ranking1[[#This Row],[Critical Facilities Score (Normalized, Unweighted)]]*$R$3</f>
        <v>0</v>
      </c>
      <c r="U2197">
        <f>_xlfn.XLOOKUP(FME_Ranking1[[#This Row],[FME ID]],FME_Input[FME_ID],FME_Input[LWC])</f>
        <v>0</v>
      </c>
      <c r="V2197" s="178">
        <f>(FME_Ranking1[[#This Row],[LWC Raw]]/$U$2)*100</f>
        <v>0</v>
      </c>
      <c r="W2197" s="178">
        <f>FME_Ranking1[[#This Row],[LWC Score (Normalized, Unweighted)]]*$U$3</f>
        <v>0</v>
      </c>
      <c r="X2197" s="246">
        <f>_xlfn.XLOOKUP(FME_Ranking1[[#This Row],[FME ID]],FME_Input[FME_ID],FME_Input[ROADCLS])</f>
        <v>0</v>
      </c>
      <c r="Y2197" s="230">
        <f>(FME_Ranking1[[#This Row],[Closures Raw]]/$X$2)*100</f>
        <v>0</v>
      </c>
      <c r="Z2197" s="180">
        <f>FME_Ranking1[[#This Row],[Closures Score (Normalized, Unweighted)]]*$X$3</f>
        <v>0</v>
      </c>
      <c r="AA2197" s="253">
        <f>_xlfn.XLOOKUP(FME_Ranking1[[#This Row],[FME ID]],FME_Input[FME_ID],FME_Input[ROAD_MILES100])</f>
        <v>0</v>
      </c>
      <c r="AB2197" s="178">
        <f>(FME_Ranking1[[#This Row],[Miles Raw]]/$AA$2)*100</f>
        <v>0</v>
      </c>
      <c r="AC2197" s="178">
        <f>FME_Ranking1[[#This Row],[Miles Score (Normalized, Unweighted)]]*$AA$3</f>
        <v>0</v>
      </c>
      <c r="AD2197" s="255">
        <f>_xlfn.XLOOKUP(FME_Ranking1[[#This Row],[FME ID]],FME_Input[FME_ID],FME_Input[FARMACRE100])</f>
        <v>0</v>
      </c>
      <c r="AE2197" s="230">
        <f>(FME_Ranking1[[#This Row],[Ag Land Raw]]/$AD$2)*100</f>
        <v>0</v>
      </c>
      <c r="AF2197" s="231">
        <f>FME_Ranking1[[#This Row],[Ag Land Score (Normalized, Unweighted)]]*$AD$3</f>
        <v>0</v>
      </c>
      <c r="AG219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197" s="406">
        <f t="shared" si="34"/>
        <v>2198</v>
      </c>
      <c r="AI219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197" s="257">
        <f>FME_Ranking1[[#This Row],[Addition check]]-FME_Ranking1[[#This Row],[Weighted Score Based on Normalized Reported Factors]]</f>
        <v>0</v>
      </c>
      <c r="AK2197" s="178">
        <f>_xlfn.RANK.EQ(AI2197,$AI$6:$AI$2341,0)+COUNTIF($AI$6:AI2197,AI2197)-1</f>
        <v>2211</v>
      </c>
    </row>
    <row r="2198" spans="1:37" x14ac:dyDescent="0.25">
      <c r="A2198" t="s">
        <v>908</v>
      </c>
      <c r="B2198">
        <f>_xlfn.XLOOKUP(FME_Ranking1[[#This Row],[FME ID]],FME_Input[FME_ID],FME_Input[RFPG_NUM])</f>
        <v>6</v>
      </c>
      <c r="C2198" t="str">
        <f>_xlfn.XLOOKUP(FME_Ranking1[[#This Row],[FME ID]],FME_Input[FME_ID],FME_Input[FME_NAME])</f>
        <v>City of Bunker Hill Drainage Projects</v>
      </c>
      <c r="D2198" t="str">
        <f>_xlfn.XLOOKUP(FME_Ranking1[[#This Row],[FME ID]],FME_Input[FME_ID],FME_Input[DESCR])</f>
        <v>Further study of proposed localized and regional flood risk reduction projects within the City of Bunker Hill.</v>
      </c>
      <c r="E2198" s="256">
        <f>_xlfn.XLOOKUP(FME_Ranking1[[#This Row],[FME ID]],FME_Input[FME_ID],FME_Input[FME_COST])</f>
        <v>100000</v>
      </c>
      <c r="F2198" t="str">
        <f>_xlfn.XLOOKUP(FME_Ranking1[[#This Row],[FME ID]],FME_Input[FME_ID],FME_Input[EMER_NEED])</f>
        <v>No</v>
      </c>
      <c r="G2198">
        <f>IF(FME_Ranking!F2198="Yes",100,0)</f>
        <v>0</v>
      </c>
      <c r="H2198">
        <f>FME_Ranking1[[#This Row],[Emergency Need Score (Normalized, Unweighted)]]*$F$3</f>
        <v>0</v>
      </c>
      <c r="I2198" s="246">
        <f>_xlfn.XLOOKUP(FME_Ranking1[[#This Row],[FME ID]],FME_Input[FME_ID],FME_Input[STRUCT_100])</f>
        <v>0</v>
      </c>
      <c r="J2198" s="178">
        <f>(FME_Ranking1[[#This Row],[Structures 100 Raw]]/I$2)*100</f>
        <v>0</v>
      </c>
      <c r="K2198" s="178">
        <f>FME_Ranking1[[#This Row],[Structures 100  Score (Normalized, Unweighted)]]*$I$3</f>
        <v>0</v>
      </c>
      <c r="L2198" s="246">
        <f>_xlfn.XLOOKUP(FME_Ranking1[[#This Row],[FME ID]],FME_Input[FME_ID],FME_Input[RES_STRUCT100])</f>
        <v>0</v>
      </c>
      <c r="M2198" s="230">
        <f>(FME_Ranking1[[#This Row],[Res Structures Raw]]/L$2)*100</f>
        <v>0</v>
      </c>
      <c r="N2198" s="180">
        <f>FME_Ranking1[[#This Row],[Res Structures Score (Normalized, Unweighted)]]*$L$3</f>
        <v>0</v>
      </c>
      <c r="O2198" s="244">
        <f>_xlfn.XLOOKUP(FME_Ranking1[[#This Row],[FME ID]],FME_Input[FME_ID],FME_Input[POP100])</f>
        <v>0</v>
      </c>
      <c r="P2198" s="178">
        <f>(FME_Ranking1[[#This Row],[Pop Raw]]/$O$2)*100</f>
        <v>0</v>
      </c>
      <c r="Q2198" s="178">
        <f>FME_Ranking1[[#This Row],[Pop Score (Normalized, Unweighted)]]*$O$3</f>
        <v>0</v>
      </c>
      <c r="R2198" s="137">
        <f>_xlfn.XLOOKUP(FME_Ranking1[[#This Row],[FME ID]],FME_Input[FME_ID],FME_Input[CRITFAC100])</f>
        <v>0</v>
      </c>
      <c r="S2198" s="230">
        <f>(FME_Ranking1[[#This Row],[Critical Facilities Raw]]/$R$2)*100</f>
        <v>0</v>
      </c>
      <c r="T2198" s="180">
        <f>FME_Ranking1[[#This Row],[Critical Facilities Score (Normalized, Unweighted)]]*$R$3</f>
        <v>0</v>
      </c>
      <c r="U2198">
        <f>_xlfn.XLOOKUP(FME_Ranking1[[#This Row],[FME ID]],FME_Input[FME_ID],FME_Input[LWC])</f>
        <v>0</v>
      </c>
      <c r="V2198" s="178">
        <f>(FME_Ranking1[[#This Row],[LWC Raw]]/$U$2)*100</f>
        <v>0</v>
      </c>
      <c r="W2198" s="178">
        <f>FME_Ranking1[[#This Row],[LWC Score (Normalized, Unweighted)]]*$U$3</f>
        <v>0</v>
      </c>
      <c r="X2198" s="246">
        <f>_xlfn.XLOOKUP(FME_Ranking1[[#This Row],[FME ID]],FME_Input[FME_ID],FME_Input[ROADCLS])</f>
        <v>0</v>
      </c>
      <c r="Y2198" s="230">
        <f>(FME_Ranking1[[#This Row],[Closures Raw]]/$X$2)*100</f>
        <v>0</v>
      </c>
      <c r="Z2198" s="180">
        <f>FME_Ranking1[[#This Row],[Closures Score (Normalized, Unweighted)]]*$X$3</f>
        <v>0</v>
      </c>
      <c r="AA2198" s="253">
        <f>_xlfn.XLOOKUP(FME_Ranking1[[#This Row],[FME ID]],FME_Input[FME_ID],FME_Input[ROAD_MILES100])</f>
        <v>0</v>
      </c>
      <c r="AB2198" s="178">
        <f>(FME_Ranking1[[#This Row],[Miles Raw]]/$AA$2)*100</f>
        <v>0</v>
      </c>
      <c r="AC2198" s="178">
        <f>FME_Ranking1[[#This Row],[Miles Score (Normalized, Unweighted)]]*$AA$3</f>
        <v>0</v>
      </c>
      <c r="AD2198" s="255">
        <f>_xlfn.XLOOKUP(FME_Ranking1[[#This Row],[FME ID]],FME_Input[FME_ID],FME_Input[FARMACRE100])</f>
        <v>0</v>
      </c>
      <c r="AE2198" s="230">
        <f>(FME_Ranking1[[#This Row],[Ag Land Raw]]/$AD$2)*100</f>
        <v>0</v>
      </c>
      <c r="AF2198" s="231">
        <f>FME_Ranking1[[#This Row],[Ag Land Score (Normalized, Unweighted)]]*$AD$3</f>
        <v>0</v>
      </c>
      <c r="AG219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198" s="406">
        <f t="shared" si="34"/>
        <v>2198</v>
      </c>
      <c r="AI219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198" s="257">
        <f>FME_Ranking1[[#This Row],[Addition check]]-FME_Ranking1[[#This Row],[Weighted Score Based on Normalized Reported Factors]]</f>
        <v>0</v>
      </c>
      <c r="AK2198" s="178">
        <f>_xlfn.RANK.EQ(AI2198,$AI$6:$AI$2341,0)+COUNTIF($AI$6:AI2198,AI2198)-1</f>
        <v>2212</v>
      </c>
    </row>
    <row r="2199" spans="1:37" x14ac:dyDescent="0.25">
      <c r="A2199" t="s">
        <v>916</v>
      </c>
      <c r="B2199">
        <f>_xlfn.XLOOKUP(FME_Ranking1[[#This Row],[FME ID]],FME_Input[FME_ID],FME_Input[RFPG_NUM])</f>
        <v>6</v>
      </c>
      <c r="C2199" t="str">
        <f>_xlfn.XLOOKUP(FME_Ranking1[[#This Row],[FME ID]],FME_Input[FME_ID],FME_Input[FME_NAME])</f>
        <v>City of Bunker Hill Master Drainage and Stormwater Management Plan</v>
      </c>
      <c r="D2199" t="str">
        <f>_xlfn.XLOOKUP(FME_Ranking1[[#This Row],[FME ID]],FME_Input[FME_ID],FME_Input[DESCR])</f>
        <v>Further study of Master Drainage and Stormwater Management Plan for the City of Bunker Hill to include Atlas 14 rainfall.</v>
      </c>
      <c r="E2199" s="256">
        <f>_xlfn.XLOOKUP(FME_Ranking1[[#This Row],[FME ID]],FME_Input[FME_ID],FME_Input[FME_COST])</f>
        <v>170000</v>
      </c>
      <c r="F2199" t="str">
        <f>_xlfn.XLOOKUP(FME_Ranking1[[#This Row],[FME ID]],FME_Input[FME_ID],FME_Input[EMER_NEED])</f>
        <v>No</v>
      </c>
      <c r="G2199">
        <f>IF(FME_Ranking!F2199="Yes",100,0)</f>
        <v>0</v>
      </c>
      <c r="H2199">
        <f>FME_Ranking1[[#This Row],[Emergency Need Score (Normalized, Unweighted)]]*$F$3</f>
        <v>0</v>
      </c>
      <c r="I2199" s="246">
        <f>_xlfn.XLOOKUP(FME_Ranking1[[#This Row],[FME ID]],FME_Input[FME_ID],FME_Input[STRUCT_100])</f>
        <v>0</v>
      </c>
      <c r="J2199" s="178">
        <f>(FME_Ranking1[[#This Row],[Structures 100 Raw]]/I$2)*100</f>
        <v>0</v>
      </c>
      <c r="K2199" s="178">
        <f>FME_Ranking1[[#This Row],[Structures 100  Score (Normalized, Unweighted)]]*$I$3</f>
        <v>0</v>
      </c>
      <c r="L2199" s="246">
        <f>_xlfn.XLOOKUP(FME_Ranking1[[#This Row],[FME ID]],FME_Input[FME_ID],FME_Input[RES_STRUCT100])</f>
        <v>0</v>
      </c>
      <c r="M2199" s="230">
        <f>(FME_Ranking1[[#This Row],[Res Structures Raw]]/L$2)*100</f>
        <v>0</v>
      </c>
      <c r="N2199" s="180">
        <f>FME_Ranking1[[#This Row],[Res Structures Score (Normalized, Unweighted)]]*$L$3</f>
        <v>0</v>
      </c>
      <c r="O2199" s="244">
        <f>_xlfn.XLOOKUP(FME_Ranking1[[#This Row],[FME ID]],FME_Input[FME_ID],FME_Input[POP100])</f>
        <v>0</v>
      </c>
      <c r="P2199" s="178">
        <f>(FME_Ranking1[[#This Row],[Pop Raw]]/$O$2)*100</f>
        <v>0</v>
      </c>
      <c r="Q2199" s="178">
        <f>FME_Ranking1[[#This Row],[Pop Score (Normalized, Unweighted)]]*$O$3</f>
        <v>0</v>
      </c>
      <c r="R2199" s="137">
        <f>_xlfn.XLOOKUP(FME_Ranking1[[#This Row],[FME ID]],FME_Input[FME_ID],FME_Input[CRITFAC100])</f>
        <v>0</v>
      </c>
      <c r="S2199" s="230">
        <f>(FME_Ranking1[[#This Row],[Critical Facilities Raw]]/$R$2)*100</f>
        <v>0</v>
      </c>
      <c r="T2199" s="180">
        <f>FME_Ranking1[[#This Row],[Critical Facilities Score (Normalized, Unweighted)]]*$R$3</f>
        <v>0</v>
      </c>
      <c r="U2199">
        <f>_xlfn.XLOOKUP(FME_Ranking1[[#This Row],[FME ID]],FME_Input[FME_ID],FME_Input[LWC])</f>
        <v>0</v>
      </c>
      <c r="V2199" s="178">
        <f>(FME_Ranking1[[#This Row],[LWC Raw]]/$U$2)*100</f>
        <v>0</v>
      </c>
      <c r="W2199" s="178">
        <f>FME_Ranking1[[#This Row],[LWC Score (Normalized, Unweighted)]]*$U$3</f>
        <v>0</v>
      </c>
      <c r="X2199" s="246">
        <f>_xlfn.XLOOKUP(FME_Ranking1[[#This Row],[FME ID]],FME_Input[FME_ID],FME_Input[ROADCLS])</f>
        <v>0</v>
      </c>
      <c r="Y2199" s="230">
        <f>(FME_Ranking1[[#This Row],[Closures Raw]]/$X$2)*100</f>
        <v>0</v>
      </c>
      <c r="Z2199" s="180">
        <f>FME_Ranking1[[#This Row],[Closures Score (Normalized, Unweighted)]]*$X$3</f>
        <v>0</v>
      </c>
      <c r="AA2199" s="253">
        <f>_xlfn.XLOOKUP(FME_Ranking1[[#This Row],[FME ID]],FME_Input[FME_ID],FME_Input[ROAD_MILES100])</f>
        <v>0</v>
      </c>
      <c r="AB2199" s="178">
        <f>(FME_Ranking1[[#This Row],[Miles Raw]]/$AA$2)*100</f>
        <v>0</v>
      </c>
      <c r="AC2199" s="178">
        <f>FME_Ranking1[[#This Row],[Miles Score (Normalized, Unweighted)]]*$AA$3</f>
        <v>0</v>
      </c>
      <c r="AD2199" s="255">
        <f>_xlfn.XLOOKUP(FME_Ranking1[[#This Row],[FME ID]],FME_Input[FME_ID],FME_Input[FARMACRE100])</f>
        <v>0</v>
      </c>
      <c r="AE2199" s="230">
        <f>(FME_Ranking1[[#This Row],[Ag Land Raw]]/$AD$2)*100</f>
        <v>0</v>
      </c>
      <c r="AF2199" s="231">
        <f>FME_Ranking1[[#This Row],[Ag Land Score (Normalized, Unweighted)]]*$AD$3</f>
        <v>0</v>
      </c>
      <c r="AG219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199" s="406">
        <f t="shared" si="34"/>
        <v>2198</v>
      </c>
      <c r="AI219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199" s="257">
        <f>FME_Ranking1[[#This Row],[Addition check]]-FME_Ranking1[[#This Row],[Weighted Score Based on Normalized Reported Factors]]</f>
        <v>0</v>
      </c>
      <c r="AK2199" s="178">
        <f>_xlfn.RANK.EQ(AI2199,$AI$6:$AI$2341,0)+COUNTIF($AI$6:AI2199,AI2199)-1</f>
        <v>2213</v>
      </c>
    </row>
    <row r="2200" spans="1:37" x14ac:dyDescent="0.25">
      <c r="A2200" t="s">
        <v>922</v>
      </c>
      <c r="B2200">
        <f>_xlfn.XLOOKUP(FME_Ranking1[[#This Row],[FME ID]],FME_Input[FME_ID],FME_Input[RFPG_NUM])</f>
        <v>6</v>
      </c>
      <c r="C2200" t="str">
        <f>_xlfn.XLOOKUP(FME_Ranking1[[#This Row],[FME ID]],FME_Input[FME_ID],FME_Input[FME_NAME])</f>
        <v>Missouri City Estates Drainage Improvements</v>
      </c>
      <c r="D2200" t="str">
        <f>_xlfn.XLOOKUP(FME_Ranking1[[#This Row],[FME ID]],FME_Input[FME_ID],FME_Input[DESCR])</f>
        <v>Further study of proposed flood risk reduction project that includes drainage improvements to Missouri City Estates.</v>
      </c>
      <c r="E2200" s="256">
        <f>_xlfn.XLOOKUP(FME_Ranking1[[#This Row],[FME ID]],FME_Input[FME_ID],FME_Input[FME_COST])</f>
        <v>100000</v>
      </c>
      <c r="F2200" t="str">
        <f>_xlfn.XLOOKUP(FME_Ranking1[[#This Row],[FME ID]],FME_Input[FME_ID],FME_Input[EMER_NEED])</f>
        <v>No</v>
      </c>
      <c r="G2200">
        <f>IF(FME_Ranking!F2200="Yes",100,0)</f>
        <v>0</v>
      </c>
      <c r="H2200">
        <f>FME_Ranking1[[#This Row],[Emergency Need Score (Normalized, Unweighted)]]*$F$3</f>
        <v>0</v>
      </c>
      <c r="I2200" s="246">
        <f>_xlfn.XLOOKUP(FME_Ranking1[[#This Row],[FME ID]],FME_Input[FME_ID],FME_Input[STRUCT_100])</f>
        <v>0</v>
      </c>
      <c r="J2200" s="178">
        <f>(FME_Ranking1[[#This Row],[Structures 100 Raw]]/I$2)*100</f>
        <v>0</v>
      </c>
      <c r="K2200" s="178">
        <f>FME_Ranking1[[#This Row],[Structures 100  Score (Normalized, Unweighted)]]*$I$3</f>
        <v>0</v>
      </c>
      <c r="L2200" s="246">
        <f>_xlfn.XLOOKUP(FME_Ranking1[[#This Row],[FME ID]],FME_Input[FME_ID],FME_Input[RES_STRUCT100])</f>
        <v>0</v>
      </c>
      <c r="M2200" s="230">
        <f>(FME_Ranking1[[#This Row],[Res Structures Raw]]/L$2)*100</f>
        <v>0</v>
      </c>
      <c r="N2200" s="180">
        <f>FME_Ranking1[[#This Row],[Res Structures Score (Normalized, Unweighted)]]*$L$3</f>
        <v>0</v>
      </c>
      <c r="O2200" s="244">
        <f>_xlfn.XLOOKUP(FME_Ranking1[[#This Row],[FME ID]],FME_Input[FME_ID],FME_Input[POP100])</f>
        <v>0</v>
      </c>
      <c r="P2200" s="178">
        <f>(FME_Ranking1[[#This Row],[Pop Raw]]/$O$2)*100</f>
        <v>0</v>
      </c>
      <c r="Q2200" s="178">
        <f>FME_Ranking1[[#This Row],[Pop Score (Normalized, Unweighted)]]*$O$3</f>
        <v>0</v>
      </c>
      <c r="R2200" s="137">
        <f>_xlfn.XLOOKUP(FME_Ranking1[[#This Row],[FME ID]],FME_Input[FME_ID],FME_Input[CRITFAC100])</f>
        <v>0</v>
      </c>
      <c r="S2200" s="230">
        <f>(FME_Ranking1[[#This Row],[Critical Facilities Raw]]/$R$2)*100</f>
        <v>0</v>
      </c>
      <c r="T2200" s="180">
        <f>FME_Ranking1[[#This Row],[Critical Facilities Score (Normalized, Unweighted)]]*$R$3</f>
        <v>0</v>
      </c>
      <c r="U2200">
        <f>_xlfn.XLOOKUP(FME_Ranking1[[#This Row],[FME ID]],FME_Input[FME_ID],FME_Input[LWC])</f>
        <v>0</v>
      </c>
      <c r="V2200" s="178">
        <f>(FME_Ranking1[[#This Row],[LWC Raw]]/$U$2)*100</f>
        <v>0</v>
      </c>
      <c r="W2200" s="178">
        <f>FME_Ranking1[[#This Row],[LWC Score (Normalized, Unweighted)]]*$U$3</f>
        <v>0</v>
      </c>
      <c r="X2200" s="246">
        <f>_xlfn.XLOOKUP(FME_Ranking1[[#This Row],[FME ID]],FME_Input[FME_ID],FME_Input[ROADCLS])</f>
        <v>0</v>
      </c>
      <c r="Y2200" s="230">
        <f>(FME_Ranking1[[#This Row],[Closures Raw]]/$X$2)*100</f>
        <v>0</v>
      </c>
      <c r="Z2200" s="180">
        <f>FME_Ranking1[[#This Row],[Closures Score (Normalized, Unweighted)]]*$X$3</f>
        <v>0</v>
      </c>
      <c r="AA2200" s="253">
        <f>_xlfn.XLOOKUP(FME_Ranking1[[#This Row],[FME ID]],FME_Input[FME_ID],FME_Input[ROAD_MILES100])</f>
        <v>0</v>
      </c>
      <c r="AB2200" s="178">
        <f>(FME_Ranking1[[#This Row],[Miles Raw]]/$AA$2)*100</f>
        <v>0</v>
      </c>
      <c r="AC2200" s="178">
        <f>FME_Ranking1[[#This Row],[Miles Score (Normalized, Unweighted)]]*$AA$3</f>
        <v>0</v>
      </c>
      <c r="AD2200" s="255">
        <f>_xlfn.XLOOKUP(FME_Ranking1[[#This Row],[FME ID]],FME_Input[FME_ID],FME_Input[FARMACRE100])</f>
        <v>0</v>
      </c>
      <c r="AE2200" s="230">
        <f>(FME_Ranking1[[#This Row],[Ag Land Raw]]/$AD$2)*100</f>
        <v>0</v>
      </c>
      <c r="AF2200" s="231">
        <f>FME_Ranking1[[#This Row],[Ag Land Score (Normalized, Unweighted)]]*$AD$3</f>
        <v>0</v>
      </c>
      <c r="AG220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00" s="406">
        <f t="shared" si="34"/>
        <v>2198</v>
      </c>
      <c r="AI220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00" s="257">
        <f>FME_Ranking1[[#This Row],[Addition check]]-FME_Ranking1[[#This Row],[Weighted Score Based on Normalized Reported Factors]]</f>
        <v>0</v>
      </c>
      <c r="AK2200" s="178">
        <f>_xlfn.RANK.EQ(AI2200,$AI$6:$AI$2341,0)+COUNTIF($AI$6:AI2200,AI2200)-1</f>
        <v>2214</v>
      </c>
    </row>
    <row r="2201" spans="1:37" x14ac:dyDescent="0.25">
      <c r="A2201" t="s">
        <v>1021</v>
      </c>
      <c r="B2201">
        <f>_xlfn.XLOOKUP(FME_Ranking1[[#This Row],[FME ID]],FME_Input[FME_ID],FME_Input[RFPG_NUM])</f>
        <v>6</v>
      </c>
      <c r="C2201" t="str">
        <f>_xlfn.XLOOKUP(FME_Ranking1[[#This Row],[FME ID]],FME_Input[FME_ID],FME_Input[FME_NAME])</f>
        <v>Mary's Creek Upper Segment</v>
      </c>
      <c r="D2201" t="str">
        <f>_xlfn.XLOOKUP(FME_Ranking1[[#This Row],[FME ID]],FME_Input[FME_ID],FME_Input[DESCR])</f>
        <v>Further study including Atlas 14 rainfall incorporation and Benefit Cost Analysis of proposed channel modifications included in the City of Pearland master drainage plan.</v>
      </c>
      <c r="E2201" s="256">
        <f>_xlfn.XLOOKUP(FME_Ranking1[[#This Row],[FME ID]],FME_Input[FME_ID],FME_Input[FME_COST])</f>
        <v>460000</v>
      </c>
      <c r="F2201" t="str">
        <f>_xlfn.XLOOKUP(FME_Ranking1[[#This Row],[FME ID]],FME_Input[FME_ID],FME_Input[EMER_NEED])</f>
        <v>No</v>
      </c>
      <c r="G2201">
        <f>IF(FME_Ranking!F2201="Yes",100,0)</f>
        <v>0</v>
      </c>
      <c r="H2201">
        <f>FME_Ranking1[[#This Row],[Emergency Need Score (Normalized, Unweighted)]]*$F$3</f>
        <v>0</v>
      </c>
      <c r="I2201" s="246">
        <f>_xlfn.XLOOKUP(FME_Ranking1[[#This Row],[FME ID]],FME_Input[FME_ID],FME_Input[STRUCT_100])</f>
        <v>0</v>
      </c>
      <c r="J2201" s="178">
        <f>(FME_Ranking1[[#This Row],[Structures 100 Raw]]/I$2)*100</f>
        <v>0</v>
      </c>
      <c r="K2201" s="178">
        <f>FME_Ranking1[[#This Row],[Structures 100  Score (Normalized, Unweighted)]]*$I$3</f>
        <v>0</v>
      </c>
      <c r="L2201" s="246">
        <f>_xlfn.XLOOKUP(FME_Ranking1[[#This Row],[FME ID]],FME_Input[FME_ID],FME_Input[RES_STRUCT100])</f>
        <v>0</v>
      </c>
      <c r="M2201" s="230">
        <f>(FME_Ranking1[[#This Row],[Res Structures Raw]]/L$2)*100</f>
        <v>0</v>
      </c>
      <c r="N2201" s="180">
        <f>FME_Ranking1[[#This Row],[Res Structures Score (Normalized, Unweighted)]]*$L$3</f>
        <v>0</v>
      </c>
      <c r="O2201" s="244">
        <f>_xlfn.XLOOKUP(FME_Ranking1[[#This Row],[FME ID]],FME_Input[FME_ID],FME_Input[POP100])</f>
        <v>0</v>
      </c>
      <c r="P2201" s="178">
        <f>(FME_Ranking1[[#This Row],[Pop Raw]]/$O$2)*100</f>
        <v>0</v>
      </c>
      <c r="Q2201" s="178">
        <f>FME_Ranking1[[#This Row],[Pop Score (Normalized, Unweighted)]]*$O$3</f>
        <v>0</v>
      </c>
      <c r="R2201" s="137">
        <f>_xlfn.XLOOKUP(FME_Ranking1[[#This Row],[FME ID]],FME_Input[FME_ID],FME_Input[CRITFAC100])</f>
        <v>0</v>
      </c>
      <c r="S2201" s="230">
        <f>(FME_Ranking1[[#This Row],[Critical Facilities Raw]]/$R$2)*100</f>
        <v>0</v>
      </c>
      <c r="T2201" s="180">
        <f>FME_Ranking1[[#This Row],[Critical Facilities Score (Normalized, Unweighted)]]*$R$3</f>
        <v>0</v>
      </c>
      <c r="U2201">
        <f>_xlfn.XLOOKUP(FME_Ranking1[[#This Row],[FME ID]],FME_Input[FME_ID],FME_Input[LWC])</f>
        <v>0</v>
      </c>
      <c r="V2201" s="178">
        <f>(FME_Ranking1[[#This Row],[LWC Raw]]/$U$2)*100</f>
        <v>0</v>
      </c>
      <c r="W2201" s="178">
        <f>FME_Ranking1[[#This Row],[LWC Score (Normalized, Unweighted)]]*$U$3</f>
        <v>0</v>
      </c>
      <c r="X2201" s="246">
        <f>_xlfn.XLOOKUP(FME_Ranking1[[#This Row],[FME ID]],FME_Input[FME_ID],FME_Input[ROADCLS])</f>
        <v>0</v>
      </c>
      <c r="Y2201" s="230">
        <f>(FME_Ranking1[[#This Row],[Closures Raw]]/$X$2)*100</f>
        <v>0</v>
      </c>
      <c r="Z2201" s="180">
        <f>FME_Ranking1[[#This Row],[Closures Score (Normalized, Unweighted)]]*$X$3</f>
        <v>0</v>
      </c>
      <c r="AA2201" s="253">
        <f>_xlfn.XLOOKUP(FME_Ranking1[[#This Row],[FME ID]],FME_Input[FME_ID],FME_Input[ROAD_MILES100])</f>
        <v>0</v>
      </c>
      <c r="AB2201" s="178">
        <f>(FME_Ranking1[[#This Row],[Miles Raw]]/$AA$2)*100</f>
        <v>0</v>
      </c>
      <c r="AC2201" s="178">
        <f>FME_Ranking1[[#This Row],[Miles Score (Normalized, Unweighted)]]*$AA$3</f>
        <v>0</v>
      </c>
      <c r="AD2201" s="255">
        <f>_xlfn.XLOOKUP(FME_Ranking1[[#This Row],[FME ID]],FME_Input[FME_ID],FME_Input[FARMACRE100])</f>
        <v>0</v>
      </c>
      <c r="AE2201" s="230">
        <f>(FME_Ranking1[[#This Row],[Ag Land Raw]]/$AD$2)*100</f>
        <v>0</v>
      </c>
      <c r="AF2201" s="231">
        <f>FME_Ranking1[[#This Row],[Ag Land Score (Normalized, Unweighted)]]*$AD$3</f>
        <v>0</v>
      </c>
      <c r="AG220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01" s="406">
        <f t="shared" si="34"/>
        <v>2198</v>
      </c>
      <c r="AI220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01" s="257">
        <f>FME_Ranking1[[#This Row],[Addition check]]-FME_Ranking1[[#This Row],[Weighted Score Based on Normalized Reported Factors]]</f>
        <v>0</v>
      </c>
      <c r="AK2201" s="178">
        <f>_xlfn.RANK.EQ(AI2201,$AI$6:$AI$2341,0)+COUNTIF($AI$6:AI2201,AI2201)-1</f>
        <v>2215</v>
      </c>
    </row>
    <row r="2202" spans="1:37" x14ac:dyDescent="0.25">
      <c r="A2202" t="s">
        <v>1105</v>
      </c>
      <c r="B2202">
        <f>_xlfn.XLOOKUP(FME_Ranking1[[#This Row],[FME ID]],FME_Input[FME_ID],FME_Input[RFPG_NUM])</f>
        <v>6</v>
      </c>
      <c r="C2202" t="str">
        <f>_xlfn.XLOOKUP(FME_Ranking1[[#This Row],[FME ID]],FME_Input[FME_ID],FME_Input[FME_NAME])</f>
        <v>City of Manvel Gates Loop Subdivision Drainage Improvement</v>
      </c>
      <c r="D2202" t="str">
        <f>_xlfn.XLOOKUP(FME_Ranking1[[#This Row],[FME ID]],FME_Input[FME_ID],FME_Input[DESCR])</f>
        <v>Further study proposed Gates Loop subdivision drainage improvement.</v>
      </c>
      <c r="E2202" s="256">
        <f>_xlfn.XLOOKUP(FME_Ranking1[[#This Row],[FME ID]],FME_Input[FME_ID],FME_Input[FME_COST])</f>
        <v>100000</v>
      </c>
      <c r="F2202" t="str">
        <f>_xlfn.XLOOKUP(FME_Ranking1[[#This Row],[FME ID]],FME_Input[FME_ID],FME_Input[EMER_NEED])</f>
        <v>No</v>
      </c>
      <c r="G2202">
        <f>IF(FME_Ranking!F2202="Yes",100,0)</f>
        <v>0</v>
      </c>
      <c r="H2202">
        <f>FME_Ranking1[[#This Row],[Emergency Need Score (Normalized, Unweighted)]]*$F$3</f>
        <v>0</v>
      </c>
      <c r="I2202" s="246">
        <f>_xlfn.XLOOKUP(FME_Ranking1[[#This Row],[FME ID]],FME_Input[FME_ID],FME_Input[STRUCT_100])</f>
        <v>0</v>
      </c>
      <c r="J2202" s="178">
        <f>(FME_Ranking1[[#This Row],[Structures 100 Raw]]/I$2)*100</f>
        <v>0</v>
      </c>
      <c r="K2202" s="178">
        <f>FME_Ranking1[[#This Row],[Structures 100  Score (Normalized, Unweighted)]]*$I$3</f>
        <v>0</v>
      </c>
      <c r="L2202" s="246">
        <f>_xlfn.XLOOKUP(FME_Ranking1[[#This Row],[FME ID]],FME_Input[FME_ID],FME_Input[RES_STRUCT100])</f>
        <v>0</v>
      </c>
      <c r="M2202" s="230">
        <f>(FME_Ranking1[[#This Row],[Res Structures Raw]]/L$2)*100</f>
        <v>0</v>
      </c>
      <c r="N2202" s="180">
        <f>FME_Ranking1[[#This Row],[Res Structures Score (Normalized, Unweighted)]]*$L$3</f>
        <v>0</v>
      </c>
      <c r="O2202" s="244">
        <f>_xlfn.XLOOKUP(FME_Ranking1[[#This Row],[FME ID]],FME_Input[FME_ID],FME_Input[POP100])</f>
        <v>0</v>
      </c>
      <c r="P2202" s="178">
        <f>(FME_Ranking1[[#This Row],[Pop Raw]]/$O$2)*100</f>
        <v>0</v>
      </c>
      <c r="Q2202" s="178">
        <f>FME_Ranking1[[#This Row],[Pop Score (Normalized, Unweighted)]]*$O$3</f>
        <v>0</v>
      </c>
      <c r="R2202" s="137">
        <f>_xlfn.XLOOKUP(FME_Ranking1[[#This Row],[FME ID]],FME_Input[FME_ID],FME_Input[CRITFAC100])</f>
        <v>0</v>
      </c>
      <c r="S2202" s="230">
        <f>(FME_Ranking1[[#This Row],[Critical Facilities Raw]]/$R$2)*100</f>
        <v>0</v>
      </c>
      <c r="T2202" s="180">
        <f>FME_Ranking1[[#This Row],[Critical Facilities Score (Normalized, Unweighted)]]*$R$3</f>
        <v>0</v>
      </c>
      <c r="U2202">
        <f>_xlfn.XLOOKUP(FME_Ranking1[[#This Row],[FME ID]],FME_Input[FME_ID],FME_Input[LWC])</f>
        <v>0</v>
      </c>
      <c r="V2202" s="178">
        <f>(FME_Ranking1[[#This Row],[LWC Raw]]/$U$2)*100</f>
        <v>0</v>
      </c>
      <c r="W2202" s="178">
        <f>FME_Ranking1[[#This Row],[LWC Score (Normalized, Unweighted)]]*$U$3</f>
        <v>0</v>
      </c>
      <c r="X2202" s="246">
        <f>_xlfn.XLOOKUP(FME_Ranking1[[#This Row],[FME ID]],FME_Input[FME_ID],FME_Input[ROADCLS])</f>
        <v>0</v>
      </c>
      <c r="Y2202" s="230">
        <f>(FME_Ranking1[[#This Row],[Closures Raw]]/$X$2)*100</f>
        <v>0</v>
      </c>
      <c r="Z2202" s="180">
        <f>FME_Ranking1[[#This Row],[Closures Score (Normalized, Unweighted)]]*$X$3</f>
        <v>0</v>
      </c>
      <c r="AA2202" s="253">
        <f>_xlfn.XLOOKUP(FME_Ranking1[[#This Row],[FME ID]],FME_Input[FME_ID],FME_Input[ROAD_MILES100])</f>
        <v>0</v>
      </c>
      <c r="AB2202" s="178">
        <f>(FME_Ranking1[[#This Row],[Miles Raw]]/$AA$2)*100</f>
        <v>0</v>
      </c>
      <c r="AC2202" s="178">
        <f>FME_Ranking1[[#This Row],[Miles Score (Normalized, Unweighted)]]*$AA$3</f>
        <v>0</v>
      </c>
      <c r="AD2202" s="255">
        <f>_xlfn.XLOOKUP(FME_Ranking1[[#This Row],[FME ID]],FME_Input[FME_ID],FME_Input[FARMACRE100])</f>
        <v>0</v>
      </c>
      <c r="AE2202" s="230">
        <f>(FME_Ranking1[[#This Row],[Ag Land Raw]]/$AD$2)*100</f>
        <v>0</v>
      </c>
      <c r="AF2202" s="231">
        <f>FME_Ranking1[[#This Row],[Ag Land Score (Normalized, Unweighted)]]*$AD$3</f>
        <v>0</v>
      </c>
      <c r="AG220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02" s="406">
        <f t="shared" si="34"/>
        <v>2198</v>
      </c>
      <c r="AI220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02" s="257">
        <f>FME_Ranking1[[#This Row],[Addition check]]-FME_Ranking1[[#This Row],[Weighted Score Based on Normalized Reported Factors]]</f>
        <v>0</v>
      </c>
      <c r="AK2202" s="178">
        <f>_xlfn.RANK.EQ(AI2202,$AI$6:$AI$2341,0)+COUNTIF($AI$6:AI2202,AI2202)-1</f>
        <v>2216</v>
      </c>
    </row>
    <row r="2203" spans="1:37" x14ac:dyDescent="0.25">
      <c r="A2203" t="s">
        <v>1308</v>
      </c>
      <c r="B2203">
        <f>_xlfn.XLOOKUP(FME_Ranking1[[#This Row],[FME ID]],FME_Input[FME_ID],FME_Input[RFPG_NUM])</f>
        <v>6</v>
      </c>
      <c r="C2203" t="str">
        <f>_xlfn.XLOOKUP(FME_Ranking1[[#This Row],[FME ID]],FME_Input[FME_ID],FME_Input[FME_NAME])</f>
        <v>City of Stafford Run Creek Detention Pond Construction</v>
      </c>
      <c r="D2203" t="str">
        <f>_xlfn.XLOOKUP(FME_Ranking1[[#This Row],[FME ID]],FME_Input[FME_ID],FME_Input[DESCR])</f>
        <v>Further study of proposed detention ponds immediately downstream of Brand Lane and Independence Park.</v>
      </c>
      <c r="E2203" s="256">
        <f>_xlfn.XLOOKUP(FME_Ranking1[[#This Row],[FME ID]],FME_Input[FME_ID],FME_Input[FME_COST])</f>
        <v>300000</v>
      </c>
      <c r="F2203" t="str">
        <f>_xlfn.XLOOKUP(FME_Ranking1[[#This Row],[FME ID]],FME_Input[FME_ID],FME_Input[EMER_NEED])</f>
        <v>No</v>
      </c>
      <c r="G2203">
        <f>IF(FME_Ranking!F2203="Yes",100,0)</f>
        <v>0</v>
      </c>
      <c r="H2203">
        <f>FME_Ranking1[[#This Row],[Emergency Need Score (Normalized, Unweighted)]]*$F$3</f>
        <v>0</v>
      </c>
      <c r="I2203" s="246">
        <f>_xlfn.XLOOKUP(FME_Ranking1[[#This Row],[FME ID]],FME_Input[FME_ID],FME_Input[STRUCT_100])</f>
        <v>0</v>
      </c>
      <c r="J2203" s="178">
        <f>(FME_Ranking1[[#This Row],[Structures 100 Raw]]/I$2)*100</f>
        <v>0</v>
      </c>
      <c r="K2203" s="178">
        <f>FME_Ranking1[[#This Row],[Structures 100  Score (Normalized, Unweighted)]]*$I$3</f>
        <v>0</v>
      </c>
      <c r="L2203" s="246">
        <f>_xlfn.XLOOKUP(FME_Ranking1[[#This Row],[FME ID]],FME_Input[FME_ID],FME_Input[RES_STRUCT100])</f>
        <v>0</v>
      </c>
      <c r="M2203" s="230">
        <f>(FME_Ranking1[[#This Row],[Res Structures Raw]]/L$2)*100</f>
        <v>0</v>
      </c>
      <c r="N2203" s="180">
        <f>FME_Ranking1[[#This Row],[Res Structures Score (Normalized, Unweighted)]]*$L$3</f>
        <v>0</v>
      </c>
      <c r="O2203" s="244">
        <f>_xlfn.XLOOKUP(FME_Ranking1[[#This Row],[FME ID]],FME_Input[FME_ID],FME_Input[POP100])</f>
        <v>0</v>
      </c>
      <c r="P2203" s="178">
        <f>(FME_Ranking1[[#This Row],[Pop Raw]]/$O$2)*100</f>
        <v>0</v>
      </c>
      <c r="Q2203" s="178">
        <f>FME_Ranking1[[#This Row],[Pop Score (Normalized, Unweighted)]]*$O$3</f>
        <v>0</v>
      </c>
      <c r="R2203" s="137">
        <f>_xlfn.XLOOKUP(FME_Ranking1[[#This Row],[FME ID]],FME_Input[FME_ID],FME_Input[CRITFAC100])</f>
        <v>0</v>
      </c>
      <c r="S2203" s="230">
        <f>(FME_Ranking1[[#This Row],[Critical Facilities Raw]]/$R$2)*100</f>
        <v>0</v>
      </c>
      <c r="T2203" s="180">
        <f>FME_Ranking1[[#This Row],[Critical Facilities Score (Normalized, Unweighted)]]*$R$3</f>
        <v>0</v>
      </c>
      <c r="U2203">
        <f>_xlfn.XLOOKUP(FME_Ranking1[[#This Row],[FME ID]],FME_Input[FME_ID],FME_Input[LWC])</f>
        <v>0</v>
      </c>
      <c r="V2203" s="178">
        <f>(FME_Ranking1[[#This Row],[LWC Raw]]/$U$2)*100</f>
        <v>0</v>
      </c>
      <c r="W2203" s="178">
        <f>FME_Ranking1[[#This Row],[LWC Score (Normalized, Unweighted)]]*$U$3</f>
        <v>0</v>
      </c>
      <c r="X2203" s="246">
        <f>_xlfn.XLOOKUP(FME_Ranking1[[#This Row],[FME ID]],FME_Input[FME_ID],FME_Input[ROADCLS])</f>
        <v>0</v>
      </c>
      <c r="Y2203" s="230">
        <f>(FME_Ranking1[[#This Row],[Closures Raw]]/$X$2)*100</f>
        <v>0</v>
      </c>
      <c r="Z2203" s="180">
        <f>FME_Ranking1[[#This Row],[Closures Score (Normalized, Unweighted)]]*$X$3</f>
        <v>0</v>
      </c>
      <c r="AA2203" s="253">
        <f>_xlfn.XLOOKUP(FME_Ranking1[[#This Row],[FME ID]],FME_Input[FME_ID],FME_Input[ROAD_MILES100])</f>
        <v>0</v>
      </c>
      <c r="AB2203" s="178">
        <f>(FME_Ranking1[[#This Row],[Miles Raw]]/$AA$2)*100</f>
        <v>0</v>
      </c>
      <c r="AC2203" s="178">
        <f>FME_Ranking1[[#This Row],[Miles Score (Normalized, Unweighted)]]*$AA$3</f>
        <v>0</v>
      </c>
      <c r="AD2203" s="255">
        <f>_xlfn.XLOOKUP(FME_Ranking1[[#This Row],[FME ID]],FME_Input[FME_ID],FME_Input[FARMACRE100])</f>
        <v>0</v>
      </c>
      <c r="AE2203" s="230">
        <f>(FME_Ranking1[[#This Row],[Ag Land Raw]]/$AD$2)*100</f>
        <v>0</v>
      </c>
      <c r="AF2203" s="231">
        <f>FME_Ranking1[[#This Row],[Ag Land Score (Normalized, Unweighted)]]*$AD$3</f>
        <v>0</v>
      </c>
      <c r="AG220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03" s="406">
        <f t="shared" si="34"/>
        <v>2198</v>
      </c>
      <c r="AI220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03" s="257">
        <f>FME_Ranking1[[#This Row],[Addition check]]-FME_Ranking1[[#This Row],[Weighted Score Based on Normalized Reported Factors]]</f>
        <v>0</v>
      </c>
      <c r="AK2203" s="178">
        <f>_xlfn.RANK.EQ(AI2203,$AI$6:$AI$2341,0)+COUNTIF($AI$6:AI2203,AI2203)-1</f>
        <v>2217</v>
      </c>
    </row>
    <row r="2204" spans="1:37" x14ac:dyDescent="0.25">
      <c r="A2204" t="s">
        <v>1529</v>
      </c>
      <c r="B2204">
        <f>_xlfn.XLOOKUP(FME_Ranking1[[#This Row],[FME ID]],FME_Input[FME_ID],FME_Input[RFPG_NUM])</f>
        <v>6</v>
      </c>
      <c r="C2204" t="str">
        <f>_xlfn.XLOOKUP(FME_Ranking1[[#This Row],[FME ID]],FME_Input[FME_ID],FME_Input[FME_NAME])</f>
        <v>City of Bunker Hill Village  Master Drainage Plan</v>
      </c>
      <c r="D2204" t="str">
        <f>_xlfn.XLOOKUP(FME_Ranking1[[#This Row],[FME ID]],FME_Input[FME_ID],FME_Input[DESCR])</f>
        <v>Study to develop Master Drainage Plan using future and existing land use and flood/storm water drainage needs including Atlas 14 rainfall.</v>
      </c>
      <c r="E2204" s="256">
        <f>_xlfn.XLOOKUP(FME_Ranking1[[#This Row],[FME ID]],FME_Input[FME_ID],FME_Input[FME_COST])</f>
        <v>170000</v>
      </c>
      <c r="F2204" t="str">
        <f>_xlfn.XLOOKUP(FME_Ranking1[[#This Row],[FME ID]],FME_Input[FME_ID],FME_Input[EMER_NEED])</f>
        <v>No</v>
      </c>
      <c r="G2204">
        <f>IF(FME_Ranking!F2204="Yes",100,0)</f>
        <v>0</v>
      </c>
      <c r="H2204">
        <f>FME_Ranking1[[#This Row],[Emergency Need Score (Normalized, Unweighted)]]*$F$3</f>
        <v>0</v>
      </c>
      <c r="I2204" s="246">
        <f>_xlfn.XLOOKUP(FME_Ranking1[[#This Row],[FME ID]],FME_Input[FME_ID],FME_Input[STRUCT_100])</f>
        <v>0</v>
      </c>
      <c r="J2204" s="178">
        <f>(FME_Ranking1[[#This Row],[Structures 100 Raw]]/I$2)*100</f>
        <v>0</v>
      </c>
      <c r="K2204" s="178">
        <f>FME_Ranking1[[#This Row],[Structures 100  Score (Normalized, Unweighted)]]*$I$3</f>
        <v>0</v>
      </c>
      <c r="L2204" s="246">
        <f>_xlfn.XLOOKUP(FME_Ranking1[[#This Row],[FME ID]],FME_Input[FME_ID],FME_Input[RES_STRUCT100])</f>
        <v>0</v>
      </c>
      <c r="M2204" s="230">
        <f>(FME_Ranking1[[#This Row],[Res Structures Raw]]/L$2)*100</f>
        <v>0</v>
      </c>
      <c r="N2204" s="180">
        <f>FME_Ranking1[[#This Row],[Res Structures Score (Normalized, Unweighted)]]*$L$3</f>
        <v>0</v>
      </c>
      <c r="O2204" s="244">
        <f>_xlfn.XLOOKUP(FME_Ranking1[[#This Row],[FME ID]],FME_Input[FME_ID],FME_Input[POP100])</f>
        <v>0</v>
      </c>
      <c r="P2204" s="178">
        <f>(FME_Ranking1[[#This Row],[Pop Raw]]/$O$2)*100</f>
        <v>0</v>
      </c>
      <c r="Q2204" s="178">
        <f>FME_Ranking1[[#This Row],[Pop Score (Normalized, Unweighted)]]*$O$3</f>
        <v>0</v>
      </c>
      <c r="R2204" s="137">
        <f>_xlfn.XLOOKUP(FME_Ranking1[[#This Row],[FME ID]],FME_Input[FME_ID],FME_Input[CRITFAC100])</f>
        <v>0</v>
      </c>
      <c r="S2204" s="230">
        <f>(FME_Ranking1[[#This Row],[Critical Facilities Raw]]/$R$2)*100</f>
        <v>0</v>
      </c>
      <c r="T2204" s="180">
        <f>FME_Ranking1[[#This Row],[Critical Facilities Score (Normalized, Unweighted)]]*$R$3</f>
        <v>0</v>
      </c>
      <c r="U2204">
        <f>_xlfn.XLOOKUP(FME_Ranking1[[#This Row],[FME ID]],FME_Input[FME_ID],FME_Input[LWC])</f>
        <v>0</v>
      </c>
      <c r="V2204" s="178">
        <f>(FME_Ranking1[[#This Row],[LWC Raw]]/$U$2)*100</f>
        <v>0</v>
      </c>
      <c r="W2204" s="178">
        <f>FME_Ranking1[[#This Row],[LWC Score (Normalized, Unweighted)]]*$U$3</f>
        <v>0</v>
      </c>
      <c r="X2204" s="246">
        <f>_xlfn.XLOOKUP(FME_Ranking1[[#This Row],[FME ID]],FME_Input[FME_ID],FME_Input[ROADCLS])</f>
        <v>0</v>
      </c>
      <c r="Y2204" s="230">
        <f>(FME_Ranking1[[#This Row],[Closures Raw]]/$X$2)*100</f>
        <v>0</v>
      </c>
      <c r="Z2204" s="180">
        <f>FME_Ranking1[[#This Row],[Closures Score (Normalized, Unweighted)]]*$X$3</f>
        <v>0</v>
      </c>
      <c r="AA2204" s="253">
        <f>_xlfn.XLOOKUP(FME_Ranking1[[#This Row],[FME ID]],FME_Input[FME_ID],FME_Input[ROAD_MILES100])</f>
        <v>0</v>
      </c>
      <c r="AB2204" s="178">
        <f>(FME_Ranking1[[#This Row],[Miles Raw]]/$AA$2)*100</f>
        <v>0</v>
      </c>
      <c r="AC2204" s="178">
        <f>FME_Ranking1[[#This Row],[Miles Score (Normalized, Unweighted)]]*$AA$3</f>
        <v>0</v>
      </c>
      <c r="AD2204" s="255">
        <f>_xlfn.XLOOKUP(FME_Ranking1[[#This Row],[FME ID]],FME_Input[FME_ID],FME_Input[FARMACRE100])</f>
        <v>0</v>
      </c>
      <c r="AE2204" s="230">
        <f>(FME_Ranking1[[#This Row],[Ag Land Raw]]/$AD$2)*100</f>
        <v>0</v>
      </c>
      <c r="AF2204" s="231">
        <f>FME_Ranking1[[#This Row],[Ag Land Score (Normalized, Unweighted)]]*$AD$3</f>
        <v>0</v>
      </c>
      <c r="AG220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04" s="406">
        <f t="shared" si="34"/>
        <v>2198</v>
      </c>
      <c r="AI220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04" s="257">
        <f>FME_Ranking1[[#This Row],[Addition check]]-FME_Ranking1[[#This Row],[Weighted Score Based on Normalized Reported Factors]]</f>
        <v>0</v>
      </c>
      <c r="AK2204" s="178">
        <f>_xlfn.RANK.EQ(AI2204,$AI$6:$AI$2341,0)+COUNTIF($AI$6:AI2204,AI2204)-1</f>
        <v>2218</v>
      </c>
    </row>
    <row r="2205" spans="1:37" x14ac:dyDescent="0.25">
      <c r="A2205" t="s">
        <v>1539</v>
      </c>
      <c r="B2205">
        <f>_xlfn.XLOOKUP(FME_Ranking1[[#This Row],[FME ID]],FME_Input[FME_ID],FME_Input[RFPG_NUM])</f>
        <v>6</v>
      </c>
      <c r="C2205" t="str">
        <f>_xlfn.XLOOKUP(FME_Ranking1[[#This Row],[FME ID]],FME_Input[FME_ID],FME_Input[FME_NAME])</f>
        <v>City of Coldspring  Master Drainage Plan</v>
      </c>
      <c r="D2205" t="str">
        <f>_xlfn.XLOOKUP(FME_Ranking1[[#This Row],[FME ID]],FME_Input[FME_ID],FME_Input[DESCR])</f>
        <v>Study to develop Master Drainage Plan using future and existing land use and flood/storm water drainage needs including Atlas 14 rainfall.</v>
      </c>
      <c r="E2205" s="256">
        <f>_xlfn.XLOOKUP(FME_Ranking1[[#This Row],[FME ID]],FME_Input[FME_ID],FME_Input[FME_COST])</f>
        <v>180000</v>
      </c>
      <c r="F2205" t="str">
        <f>_xlfn.XLOOKUP(FME_Ranking1[[#This Row],[FME ID]],FME_Input[FME_ID],FME_Input[EMER_NEED])</f>
        <v>No</v>
      </c>
      <c r="G2205">
        <f>IF(FME_Ranking!F2205="Yes",100,0)</f>
        <v>0</v>
      </c>
      <c r="H2205">
        <f>FME_Ranking1[[#This Row],[Emergency Need Score (Normalized, Unweighted)]]*$F$3</f>
        <v>0</v>
      </c>
      <c r="I2205" s="246">
        <f>_xlfn.XLOOKUP(FME_Ranking1[[#This Row],[FME ID]],FME_Input[FME_ID],FME_Input[STRUCT_100])</f>
        <v>0</v>
      </c>
      <c r="J2205" s="178">
        <f>(FME_Ranking1[[#This Row],[Structures 100 Raw]]/I$2)*100</f>
        <v>0</v>
      </c>
      <c r="K2205" s="178">
        <f>FME_Ranking1[[#This Row],[Structures 100  Score (Normalized, Unweighted)]]*$I$3</f>
        <v>0</v>
      </c>
      <c r="L2205" s="246">
        <f>_xlfn.XLOOKUP(FME_Ranking1[[#This Row],[FME ID]],FME_Input[FME_ID],FME_Input[RES_STRUCT100])</f>
        <v>0</v>
      </c>
      <c r="M2205" s="230">
        <f>(FME_Ranking1[[#This Row],[Res Structures Raw]]/L$2)*100</f>
        <v>0</v>
      </c>
      <c r="N2205" s="180">
        <f>FME_Ranking1[[#This Row],[Res Structures Score (Normalized, Unweighted)]]*$L$3</f>
        <v>0</v>
      </c>
      <c r="O2205" s="244">
        <f>_xlfn.XLOOKUP(FME_Ranking1[[#This Row],[FME ID]],FME_Input[FME_ID],FME_Input[POP100])</f>
        <v>0</v>
      </c>
      <c r="P2205" s="178">
        <f>(FME_Ranking1[[#This Row],[Pop Raw]]/$O$2)*100</f>
        <v>0</v>
      </c>
      <c r="Q2205" s="178">
        <f>FME_Ranking1[[#This Row],[Pop Score (Normalized, Unweighted)]]*$O$3</f>
        <v>0</v>
      </c>
      <c r="R2205" s="137">
        <f>_xlfn.XLOOKUP(FME_Ranking1[[#This Row],[FME ID]],FME_Input[FME_ID],FME_Input[CRITFAC100])</f>
        <v>0</v>
      </c>
      <c r="S2205" s="230">
        <f>(FME_Ranking1[[#This Row],[Critical Facilities Raw]]/$R$2)*100</f>
        <v>0</v>
      </c>
      <c r="T2205" s="180">
        <f>FME_Ranking1[[#This Row],[Critical Facilities Score (Normalized, Unweighted)]]*$R$3</f>
        <v>0</v>
      </c>
      <c r="U2205">
        <f>_xlfn.XLOOKUP(FME_Ranking1[[#This Row],[FME ID]],FME_Input[FME_ID],FME_Input[LWC])</f>
        <v>0</v>
      </c>
      <c r="V2205" s="178">
        <f>(FME_Ranking1[[#This Row],[LWC Raw]]/$U$2)*100</f>
        <v>0</v>
      </c>
      <c r="W2205" s="178">
        <f>FME_Ranking1[[#This Row],[LWC Score (Normalized, Unweighted)]]*$U$3</f>
        <v>0</v>
      </c>
      <c r="X2205" s="246">
        <f>_xlfn.XLOOKUP(FME_Ranking1[[#This Row],[FME ID]],FME_Input[FME_ID],FME_Input[ROADCLS])</f>
        <v>0</v>
      </c>
      <c r="Y2205" s="230">
        <f>(FME_Ranking1[[#This Row],[Closures Raw]]/$X$2)*100</f>
        <v>0</v>
      </c>
      <c r="Z2205" s="180">
        <f>FME_Ranking1[[#This Row],[Closures Score (Normalized, Unweighted)]]*$X$3</f>
        <v>0</v>
      </c>
      <c r="AA2205" s="253">
        <f>_xlfn.XLOOKUP(FME_Ranking1[[#This Row],[FME ID]],FME_Input[FME_ID],FME_Input[ROAD_MILES100])</f>
        <v>0</v>
      </c>
      <c r="AB2205" s="178">
        <f>(FME_Ranking1[[#This Row],[Miles Raw]]/$AA$2)*100</f>
        <v>0</v>
      </c>
      <c r="AC2205" s="178">
        <f>FME_Ranking1[[#This Row],[Miles Score (Normalized, Unweighted)]]*$AA$3</f>
        <v>0</v>
      </c>
      <c r="AD2205" s="255">
        <f>_xlfn.XLOOKUP(FME_Ranking1[[#This Row],[FME ID]],FME_Input[FME_ID],FME_Input[FARMACRE100])</f>
        <v>0</v>
      </c>
      <c r="AE2205" s="230">
        <f>(FME_Ranking1[[#This Row],[Ag Land Raw]]/$AD$2)*100</f>
        <v>0</v>
      </c>
      <c r="AF2205" s="231">
        <f>FME_Ranking1[[#This Row],[Ag Land Score (Normalized, Unweighted)]]*$AD$3</f>
        <v>0</v>
      </c>
      <c r="AG220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05" s="406">
        <f t="shared" si="34"/>
        <v>2198</v>
      </c>
      <c r="AI220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05" s="257">
        <f>FME_Ranking1[[#This Row],[Addition check]]-FME_Ranking1[[#This Row],[Weighted Score Based on Normalized Reported Factors]]</f>
        <v>0</v>
      </c>
      <c r="AK2205" s="178">
        <f>_xlfn.RANK.EQ(AI2205,$AI$6:$AI$2341,0)+COUNTIF($AI$6:AI2205,AI2205)-1</f>
        <v>2219</v>
      </c>
    </row>
    <row r="2206" spans="1:37" x14ac:dyDescent="0.25">
      <c r="A2206" t="s">
        <v>1575</v>
      </c>
      <c r="B2206">
        <f>_xlfn.XLOOKUP(FME_Ranking1[[#This Row],[FME ID]],FME_Input[FME_ID],FME_Input[RFPG_NUM])</f>
        <v>6</v>
      </c>
      <c r="C2206" t="str">
        <f>_xlfn.XLOOKUP(FME_Ranking1[[#This Row],[FME ID]],FME_Input[FME_ID],FME_Input[FME_NAME])</f>
        <v>City of Fulshear  Master Drainage Plan</v>
      </c>
      <c r="D2206" t="str">
        <f>_xlfn.XLOOKUP(FME_Ranking1[[#This Row],[FME ID]],FME_Input[FME_ID],FME_Input[DESCR])</f>
        <v>Study to develop Master Drainage Plan using future and existing land use and flood/storm water drainage needs including Atlas 14 rainfall.</v>
      </c>
      <c r="E2206" s="256">
        <f>_xlfn.XLOOKUP(FME_Ranking1[[#This Row],[FME ID]],FME_Input[FME_ID],FME_Input[FME_COST])</f>
        <v>340000</v>
      </c>
      <c r="F2206" t="str">
        <f>_xlfn.XLOOKUP(FME_Ranking1[[#This Row],[FME ID]],FME_Input[FME_ID],FME_Input[EMER_NEED])</f>
        <v>Yes</v>
      </c>
      <c r="G2206">
        <f>IF(FME_Ranking!F2206="Yes",100,0)</f>
        <v>100</v>
      </c>
      <c r="H2206">
        <f>FME_Ranking1[[#This Row],[Emergency Need Score (Normalized, Unweighted)]]*$F$3</f>
        <v>0</v>
      </c>
      <c r="I2206" s="246">
        <f>_xlfn.XLOOKUP(FME_Ranking1[[#This Row],[FME ID]],FME_Input[FME_ID],FME_Input[STRUCT_100])</f>
        <v>0</v>
      </c>
      <c r="J2206" s="178">
        <f>(FME_Ranking1[[#This Row],[Structures 100 Raw]]/I$2)*100</f>
        <v>0</v>
      </c>
      <c r="K2206" s="178">
        <f>FME_Ranking1[[#This Row],[Structures 100  Score (Normalized, Unweighted)]]*$I$3</f>
        <v>0</v>
      </c>
      <c r="L2206" s="246">
        <f>_xlfn.XLOOKUP(FME_Ranking1[[#This Row],[FME ID]],FME_Input[FME_ID],FME_Input[RES_STRUCT100])</f>
        <v>0</v>
      </c>
      <c r="M2206" s="230">
        <f>(FME_Ranking1[[#This Row],[Res Structures Raw]]/L$2)*100</f>
        <v>0</v>
      </c>
      <c r="N2206" s="180">
        <f>FME_Ranking1[[#This Row],[Res Structures Score (Normalized, Unweighted)]]*$L$3</f>
        <v>0</v>
      </c>
      <c r="O2206" s="244">
        <f>_xlfn.XLOOKUP(FME_Ranking1[[#This Row],[FME ID]],FME_Input[FME_ID],FME_Input[POP100])</f>
        <v>0</v>
      </c>
      <c r="P2206" s="178">
        <f>(FME_Ranking1[[#This Row],[Pop Raw]]/$O$2)*100</f>
        <v>0</v>
      </c>
      <c r="Q2206" s="178">
        <f>FME_Ranking1[[#This Row],[Pop Score (Normalized, Unweighted)]]*$O$3</f>
        <v>0</v>
      </c>
      <c r="R2206" s="137">
        <f>_xlfn.XLOOKUP(FME_Ranking1[[#This Row],[FME ID]],FME_Input[FME_ID],FME_Input[CRITFAC100])</f>
        <v>0</v>
      </c>
      <c r="S2206" s="230">
        <f>(FME_Ranking1[[#This Row],[Critical Facilities Raw]]/$R$2)*100</f>
        <v>0</v>
      </c>
      <c r="T2206" s="180">
        <f>FME_Ranking1[[#This Row],[Critical Facilities Score (Normalized, Unweighted)]]*$R$3</f>
        <v>0</v>
      </c>
      <c r="U2206">
        <f>_xlfn.XLOOKUP(FME_Ranking1[[#This Row],[FME ID]],FME_Input[FME_ID],FME_Input[LWC])</f>
        <v>0</v>
      </c>
      <c r="V2206" s="178">
        <f>(FME_Ranking1[[#This Row],[LWC Raw]]/$U$2)*100</f>
        <v>0</v>
      </c>
      <c r="W2206" s="178">
        <f>FME_Ranking1[[#This Row],[LWC Score (Normalized, Unweighted)]]*$U$3</f>
        <v>0</v>
      </c>
      <c r="X2206" s="246">
        <f>_xlfn.XLOOKUP(FME_Ranking1[[#This Row],[FME ID]],FME_Input[FME_ID],FME_Input[ROADCLS])</f>
        <v>0</v>
      </c>
      <c r="Y2206" s="230">
        <f>(FME_Ranking1[[#This Row],[Closures Raw]]/$X$2)*100</f>
        <v>0</v>
      </c>
      <c r="Z2206" s="180">
        <f>FME_Ranking1[[#This Row],[Closures Score (Normalized, Unweighted)]]*$X$3</f>
        <v>0</v>
      </c>
      <c r="AA2206" s="253">
        <f>_xlfn.XLOOKUP(FME_Ranking1[[#This Row],[FME ID]],FME_Input[FME_ID],FME_Input[ROAD_MILES100])</f>
        <v>0</v>
      </c>
      <c r="AB2206" s="178">
        <f>(FME_Ranking1[[#This Row],[Miles Raw]]/$AA$2)*100</f>
        <v>0</v>
      </c>
      <c r="AC2206" s="178">
        <f>FME_Ranking1[[#This Row],[Miles Score (Normalized, Unweighted)]]*$AA$3</f>
        <v>0</v>
      </c>
      <c r="AD2206" s="255">
        <f>_xlfn.XLOOKUP(FME_Ranking1[[#This Row],[FME ID]],FME_Input[FME_ID],FME_Input[FARMACRE100])</f>
        <v>0</v>
      </c>
      <c r="AE2206" s="230">
        <f>(FME_Ranking1[[#This Row],[Ag Land Raw]]/$AD$2)*100</f>
        <v>0</v>
      </c>
      <c r="AF2206" s="231">
        <f>FME_Ranking1[[#This Row],[Ag Land Score (Normalized, Unweighted)]]*$AD$3</f>
        <v>0</v>
      </c>
      <c r="AG220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06" s="406">
        <f t="shared" si="34"/>
        <v>2198</v>
      </c>
      <c r="AI220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06" s="257">
        <f>FME_Ranking1[[#This Row],[Addition check]]-FME_Ranking1[[#This Row],[Weighted Score Based on Normalized Reported Factors]]</f>
        <v>0</v>
      </c>
      <c r="AK2206" s="178">
        <f>_xlfn.RANK.EQ(AI2206,$AI$6:$AI$2341,0)+COUNTIF($AI$6:AI2206,AI2206)-1</f>
        <v>2220</v>
      </c>
    </row>
    <row r="2207" spans="1:37" x14ac:dyDescent="0.25">
      <c r="A2207" t="s">
        <v>1587</v>
      </c>
      <c r="B2207">
        <f>_xlfn.XLOOKUP(FME_Ranking1[[#This Row],[FME ID]],FME_Input[FME_ID],FME_Input[RFPG_NUM])</f>
        <v>6</v>
      </c>
      <c r="C2207" t="str">
        <f>_xlfn.XLOOKUP(FME_Ranking1[[#This Row],[FME ID]],FME_Input[FME_ID],FME_Input[FME_NAME])</f>
        <v>City of Hedwig Village  Master Drainage Plan</v>
      </c>
      <c r="D2207" t="str">
        <f>_xlfn.XLOOKUP(FME_Ranking1[[#This Row],[FME ID]],FME_Input[FME_ID],FME_Input[DESCR])</f>
        <v>Study to develop Master Drainage Plan using future and existing land use and flood/storm water drainage needs including Atlas 14 rainfall.</v>
      </c>
      <c r="E2207" s="256">
        <f>_xlfn.XLOOKUP(FME_Ranking1[[#This Row],[FME ID]],FME_Input[FME_ID],FME_Input[FME_COST])</f>
        <v>150000</v>
      </c>
      <c r="F2207" t="str">
        <f>_xlfn.XLOOKUP(FME_Ranking1[[#This Row],[FME ID]],FME_Input[FME_ID],FME_Input[EMER_NEED])</f>
        <v>Yes</v>
      </c>
      <c r="G2207">
        <f>IF(FME_Ranking!F2207="Yes",100,0)</f>
        <v>100</v>
      </c>
      <c r="H2207">
        <f>FME_Ranking1[[#This Row],[Emergency Need Score (Normalized, Unweighted)]]*$F$3</f>
        <v>0</v>
      </c>
      <c r="I2207" s="246">
        <f>_xlfn.XLOOKUP(FME_Ranking1[[#This Row],[FME ID]],FME_Input[FME_ID],FME_Input[STRUCT_100])</f>
        <v>0</v>
      </c>
      <c r="J2207" s="178">
        <f>(FME_Ranking1[[#This Row],[Structures 100 Raw]]/I$2)*100</f>
        <v>0</v>
      </c>
      <c r="K2207" s="178">
        <f>FME_Ranking1[[#This Row],[Structures 100  Score (Normalized, Unweighted)]]*$I$3</f>
        <v>0</v>
      </c>
      <c r="L2207" s="246">
        <f>_xlfn.XLOOKUP(FME_Ranking1[[#This Row],[FME ID]],FME_Input[FME_ID],FME_Input[RES_STRUCT100])</f>
        <v>0</v>
      </c>
      <c r="M2207" s="230">
        <f>(FME_Ranking1[[#This Row],[Res Structures Raw]]/L$2)*100</f>
        <v>0</v>
      </c>
      <c r="N2207" s="180">
        <f>FME_Ranking1[[#This Row],[Res Structures Score (Normalized, Unweighted)]]*$L$3</f>
        <v>0</v>
      </c>
      <c r="O2207" s="244">
        <f>_xlfn.XLOOKUP(FME_Ranking1[[#This Row],[FME ID]],FME_Input[FME_ID],FME_Input[POP100])</f>
        <v>0</v>
      </c>
      <c r="P2207" s="178">
        <f>(FME_Ranking1[[#This Row],[Pop Raw]]/$O$2)*100</f>
        <v>0</v>
      </c>
      <c r="Q2207" s="178">
        <f>FME_Ranking1[[#This Row],[Pop Score (Normalized, Unweighted)]]*$O$3</f>
        <v>0</v>
      </c>
      <c r="R2207" s="137">
        <f>_xlfn.XLOOKUP(FME_Ranking1[[#This Row],[FME ID]],FME_Input[FME_ID],FME_Input[CRITFAC100])</f>
        <v>0</v>
      </c>
      <c r="S2207" s="230">
        <f>(FME_Ranking1[[#This Row],[Critical Facilities Raw]]/$R$2)*100</f>
        <v>0</v>
      </c>
      <c r="T2207" s="180">
        <f>FME_Ranking1[[#This Row],[Critical Facilities Score (Normalized, Unweighted)]]*$R$3</f>
        <v>0</v>
      </c>
      <c r="U2207">
        <f>_xlfn.XLOOKUP(FME_Ranking1[[#This Row],[FME ID]],FME_Input[FME_ID],FME_Input[LWC])</f>
        <v>0</v>
      </c>
      <c r="V2207" s="178">
        <f>(FME_Ranking1[[#This Row],[LWC Raw]]/$U$2)*100</f>
        <v>0</v>
      </c>
      <c r="W2207" s="178">
        <f>FME_Ranking1[[#This Row],[LWC Score (Normalized, Unweighted)]]*$U$3</f>
        <v>0</v>
      </c>
      <c r="X2207" s="246">
        <f>_xlfn.XLOOKUP(FME_Ranking1[[#This Row],[FME ID]],FME_Input[FME_ID],FME_Input[ROADCLS])</f>
        <v>0</v>
      </c>
      <c r="Y2207" s="230">
        <f>(FME_Ranking1[[#This Row],[Closures Raw]]/$X$2)*100</f>
        <v>0</v>
      </c>
      <c r="Z2207" s="180">
        <f>FME_Ranking1[[#This Row],[Closures Score (Normalized, Unweighted)]]*$X$3</f>
        <v>0</v>
      </c>
      <c r="AA2207" s="253">
        <f>_xlfn.XLOOKUP(FME_Ranking1[[#This Row],[FME ID]],FME_Input[FME_ID],FME_Input[ROAD_MILES100])</f>
        <v>0</v>
      </c>
      <c r="AB2207" s="178">
        <f>(FME_Ranking1[[#This Row],[Miles Raw]]/$AA$2)*100</f>
        <v>0</v>
      </c>
      <c r="AC2207" s="178">
        <f>FME_Ranking1[[#This Row],[Miles Score (Normalized, Unweighted)]]*$AA$3</f>
        <v>0</v>
      </c>
      <c r="AD2207" s="255">
        <f>_xlfn.XLOOKUP(FME_Ranking1[[#This Row],[FME ID]],FME_Input[FME_ID],FME_Input[FARMACRE100])</f>
        <v>0</v>
      </c>
      <c r="AE2207" s="230">
        <f>(FME_Ranking1[[#This Row],[Ag Land Raw]]/$AD$2)*100</f>
        <v>0</v>
      </c>
      <c r="AF2207" s="231">
        <f>FME_Ranking1[[#This Row],[Ag Land Score (Normalized, Unweighted)]]*$AD$3</f>
        <v>0</v>
      </c>
      <c r="AG220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07" s="406">
        <f t="shared" si="34"/>
        <v>2198</v>
      </c>
      <c r="AI220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07" s="257">
        <f>FME_Ranking1[[#This Row],[Addition check]]-FME_Ranking1[[#This Row],[Weighted Score Based on Normalized Reported Factors]]</f>
        <v>0</v>
      </c>
      <c r="AK2207" s="178">
        <f>_xlfn.RANK.EQ(AI2207,$AI$6:$AI$2341,0)+COUNTIF($AI$6:AI2207,AI2207)-1</f>
        <v>2221</v>
      </c>
    </row>
    <row r="2208" spans="1:37" x14ac:dyDescent="0.25">
      <c r="A2208" t="s">
        <v>1655</v>
      </c>
      <c r="B2208">
        <f>_xlfn.XLOOKUP(FME_Ranking1[[#This Row],[FME ID]],FME_Input[FME_ID],FME_Input[RFPG_NUM])</f>
        <v>6</v>
      </c>
      <c r="C2208" t="str">
        <f>_xlfn.XLOOKUP(FME_Ranking1[[#This Row],[FME ID]],FME_Input[FME_ID],FME_Input[FME_NAME])</f>
        <v>City of Meadows Place  Master Drainage Plan</v>
      </c>
      <c r="D2208" t="str">
        <f>_xlfn.XLOOKUP(FME_Ranking1[[#This Row],[FME ID]],FME_Input[FME_ID],FME_Input[DESCR])</f>
        <v>Study to develop Master Drainage Plan using future and existing land use and flood/storm water drainage needs including Atlas 14 rainfall.</v>
      </c>
      <c r="E2208" s="256">
        <f>_xlfn.XLOOKUP(FME_Ranking1[[#This Row],[FME ID]],FME_Input[FME_ID],FME_Input[FME_COST])</f>
        <v>150000</v>
      </c>
      <c r="F2208" t="str">
        <f>_xlfn.XLOOKUP(FME_Ranking1[[#This Row],[FME ID]],FME_Input[FME_ID],FME_Input[EMER_NEED])</f>
        <v>Yes</v>
      </c>
      <c r="G2208">
        <f>IF(FME_Ranking!F2208="Yes",100,0)</f>
        <v>100</v>
      </c>
      <c r="H2208">
        <f>FME_Ranking1[[#This Row],[Emergency Need Score (Normalized, Unweighted)]]*$F$3</f>
        <v>0</v>
      </c>
      <c r="I2208" s="246">
        <f>_xlfn.XLOOKUP(FME_Ranking1[[#This Row],[FME ID]],FME_Input[FME_ID],FME_Input[STRUCT_100])</f>
        <v>0</v>
      </c>
      <c r="J2208" s="178">
        <f>(FME_Ranking1[[#This Row],[Structures 100 Raw]]/I$2)*100</f>
        <v>0</v>
      </c>
      <c r="K2208" s="178">
        <f>FME_Ranking1[[#This Row],[Structures 100  Score (Normalized, Unweighted)]]*$I$3</f>
        <v>0</v>
      </c>
      <c r="L2208" s="246">
        <f>_xlfn.XLOOKUP(FME_Ranking1[[#This Row],[FME ID]],FME_Input[FME_ID],FME_Input[RES_STRUCT100])</f>
        <v>0</v>
      </c>
      <c r="M2208" s="230">
        <f>(FME_Ranking1[[#This Row],[Res Structures Raw]]/L$2)*100</f>
        <v>0</v>
      </c>
      <c r="N2208" s="180">
        <f>FME_Ranking1[[#This Row],[Res Structures Score (Normalized, Unweighted)]]*$L$3</f>
        <v>0</v>
      </c>
      <c r="O2208" s="244">
        <f>_xlfn.XLOOKUP(FME_Ranking1[[#This Row],[FME ID]],FME_Input[FME_ID],FME_Input[POP100])</f>
        <v>0</v>
      </c>
      <c r="P2208" s="178">
        <f>(FME_Ranking1[[#This Row],[Pop Raw]]/$O$2)*100</f>
        <v>0</v>
      </c>
      <c r="Q2208" s="178">
        <f>FME_Ranking1[[#This Row],[Pop Score (Normalized, Unweighted)]]*$O$3</f>
        <v>0</v>
      </c>
      <c r="R2208" s="137">
        <f>_xlfn.XLOOKUP(FME_Ranking1[[#This Row],[FME ID]],FME_Input[FME_ID],FME_Input[CRITFAC100])</f>
        <v>0</v>
      </c>
      <c r="S2208" s="230">
        <f>(FME_Ranking1[[#This Row],[Critical Facilities Raw]]/$R$2)*100</f>
        <v>0</v>
      </c>
      <c r="T2208" s="180">
        <f>FME_Ranking1[[#This Row],[Critical Facilities Score (Normalized, Unweighted)]]*$R$3</f>
        <v>0</v>
      </c>
      <c r="U2208">
        <f>_xlfn.XLOOKUP(FME_Ranking1[[#This Row],[FME ID]],FME_Input[FME_ID],FME_Input[LWC])</f>
        <v>0</v>
      </c>
      <c r="V2208" s="178">
        <f>(FME_Ranking1[[#This Row],[LWC Raw]]/$U$2)*100</f>
        <v>0</v>
      </c>
      <c r="W2208" s="178">
        <f>FME_Ranking1[[#This Row],[LWC Score (Normalized, Unweighted)]]*$U$3</f>
        <v>0</v>
      </c>
      <c r="X2208" s="246">
        <f>_xlfn.XLOOKUP(FME_Ranking1[[#This Row],[FME ID]],FME_Input[FME_ID],FME_Input[ROADCLS])</f>
        <v>0</v>
      </c>
      <c r="Y2208" s="230">
        <f>(FME_Ranking1[[#This Row],[Closures Raw]]/$X$2)*100</f>
        <v>0</v>
      </c>
      <c r="Z2208" s="180">
        <f>FME_Ranking1[[#This Row],[Closures Score (Normalized, Unweighted)]]*$X$3</f>
        <v>0</v>
      </c>
      <c r="AA2208" s="253">
        <f>_xlfn.XLOOKUP(FME_Ranking1[[#This Row],[FME ID]],FME_Input[FME_ID],FME_Input[ROAD_MILES100])</f>
        <v>1.5144499484449629E-3</v>
      </c>
      <c r="AB2208" s="178">
        <f>(FME_Ranking1[[#This Row],[Miles Raw]]/$AA$2)*100</f>
        <v>1.9912300528549449E-5</v>
      </c>
      <c r="AC2208" s="178">
        <f>FME_Ranking1[[#This Row],[Miles Score (Normalized, Unweighted)]]*$AA$3</f>
        <v>1.9912300528549449E-6</v>
      </c>
      <c r="AD2208" s="255">
        <f>_xlfn.XLOOKUP(FME_Ranking1[[#This Row],[FME ID]],FME_Input[FME_ID],FME_Input[FARMACRE100])</f>
        <v>0</v>
      </c>
      <c r="AE2208" s="230">
        <f>(FME_Ranking1[[#This Row],[Ag Land Raw]]/$AD$2)*100</f>
        <v>0</v>
      </c>
      <c r="AF2208" s="231">
        <f>FME_Ranking1[[#This Row],[Ag Land Score (Normalized, Unweighted)]]*$AD$3</f>
        <v>0</v>
      </c>
      <c r="AG220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1.9912300528549449E-6</v>
      </c>
      <c r="AH2208" s="406">
        <f t="shared" si="34"/>
        <v>2178</v>
      </c>
      <c r="AI220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1.9912300528549449E-6</v>
      </c>
      <c r="AJ2208" s="257">
        <f>FME_Ranking1[[#This Row],[Addition check]]-FME_Ranking1[[#This Row],[Weighted Score Based on Normalized Reported Factors]]</f>
        <v>0</v>
      </c>
      <c r="AK2208" s="178">
        <f>_xlfn.RANK.EQ(AI2208,$AI$6:$AI$2341,0)+COUNTIF($AI$6:AI2208,AI2208)-1</f>
        <v>2178</v>
      </c>
    </row>
    <row r="2209" spans="1:37" x14ac:dyDescent="0.25">
      <c r="A2209" t="s">
        <v>1773</v>
      </c>
      <c r="B2209">
        <f>_xlfn.XLOOKUP(FME_Ranking1[[#This Row],[FME ID]],FME_Input[FME_ID],FME_Input[RFPG_NUM])</f>
        <v>6</v>
      </c>
      <c r="C2209" t="str">
        <f>_xlfn.XLOOKUP(FME_Ranking1[[#This Row],[FME ID]],FME_Input[FME_ID],FME_Input[FME_NAME])</f>
        <v>City of Stafford Master Drainage Plan</v>
      </c>
      <c r="D2209" t="str">
        <f>_xlfn.XLOOKUP(FME_Ranking1[[#This Row],[FME ID]],FME_Input[FME_ID],FME_Input[DESCR])</f>
        <v>Study to develop Master Drainage Plan using future and existing land use and flood/storm water drainage needs including Atlas 14 rainfall.</v>
      </c>
      <c r="E2209" s="256">
        <f>_xlfn.XLOOKUP(FME_Ranking1[[#This Row],[FME ID]],FME_Input[FME_ID],FME_Input[FME_COST])</f>
        <v>280000</v>
      </c>
      <c r="F2209" t="str">
        <f>_xlfn.XLOOKUP(FME_Ranking1[[#This Row],[FME ID]],FME_Input[FME_ID],FME_Input[EMER_NEED])</f>
        <v>Yes</v>
      </c>
      <c r="G2209">
        <f>IF(FME_Ranking!F2209="Yes",100,0)</f>
        <v>100</v>
      </c>
      <c r="H2209">
        <f>FME_Ranking1[[#This Row],[Emergency Need Score (Normalized, Unweighted)]]*$F$3</f>
        <v>0</v>
      </c>
      <c r="I2209" s="246">
        <f>_xlfn.XLOOKUP(FME_Ranking1[[#This Row],[FME ID]],FME_Input[FME_ID],FME_Input[STRUCT_100])</f>
        <v>0</v>
      </c>
      <c r="J2209" s="178">
        <f>(FME_Ranking1[[#This Row],[Structures 100 Raw]]/I$2)*100</f>
        <v>0</v>
      </c>
      <c r="K2209" s="178">
        <f>FME_Ranking1[[#This Row],[Structures 100  Score (Normalized, Unweighted)]]*$I$3</f>
        <v>0</v>
      </c>
      <c r="L2209" s="246">
        <f>_xlfn.XLOOKUP(FME_Ranking1[[#This Row],[FME ID]],FME_Input[FME_ID],FME_Input[RES_STRUCT100])</f>
        <v>0</v>
      </c>
      <c r="M2209" s="230">
        <f>(FME_Ranking1[[#This Row],[Res Structures Raw]]/L$2)*100</f>
        <v>0</v>
      </c>
      <c r="N2209" s="180">
        <f>FME_Ranking1[[#This Row],[Res Structures Score (Normalized, Unweighted)]]*$L$3</f>
        <v>0</v>
      </c>
      <c r="O2209" s="244">
        <f>_xlfn.XLOOKUP(FME_Ranking1[[#This Row],[FME ID]],FME_Input[FME_ID],FME_Input[POP100])</f>
        <v>0</v>
      </c>
      <c r="P2209" s="178">
        <f>(FME_Ranking1[[#This Row],[Pop Raw]]/$O$2)*100</f>
        <v>0</v>
      </c>
      <c r="Q2209" s="178">
        <f>FME_Ranking1[[#This Row],[Pop Score (Normalized, Unweighted)]]*$O$3</f>
        <v>0</v>
      </c>
      <c r="R2209" s="137">
        <f>_xlfn.XLOOKUP(FME_Ranking1[[#This Row],[FME ID]],FME_Input[FME_ID],FME_Input[CRITFAC100])</f>
        <v>0</v>
      </c>
      <c r="S2209" s="230">
        <f>(FME_Ranking1[[#This Row],[Critical Facilities Raw]]/$R$2)*100</f>
        <v>0</v>
      </c>
      <c r="T2209" s="180">
        <f>FME_Ranking1[[#This Row],[Critical Facilities Score (Normalized, Unweighted)]]*$R$3</f>
        <v>0</v>
      </c>
      <c r="U2209">
        <f>_xlfn.XLOOKUP(FME_Ranking1[[#This Row],[FME ID]],FME_Input[FME_ID],FME_Input[LWC])</f>
        <v>0</v>
      </c>
      <c r="V2209" s="178">
        <f>(FME_Ranking1[[#This Row],[LWC Raw]]/$U$2)*100</f>
        <v>0</v>
      </c>
      <c r="W2209" s="178">
        <f>FME_Ranking1[[#This Row],[LWC Score (Normalized, Unweighted)]]*$U$3</f>
        <v>0</v>
      </c>
      <c r="X2209" s="246">
        <f>_xlfn.XLOOKUP(FME_Ranking1[[#This Row],[FME ID]],FME_Input[FME_ID],FME_Input[ROADCLS])</f>
        <v>0</v>
      </c>
      <c r="Y2209" s="230">
        <f>(FME_Ranking1[[#This Row],[Closures Raw]]/$X$2)*100</f>
        <v>0</v>
      </c>
      <c r="Z2209" s="180">
        <f>FME_Ranking1[[#This Row],[Closures Score (Normalized, Unweighted)]]*$X$3</f>
        <v>0</v>
      </c>
      <c r="AA2209" s="253">
        <f>_xlfn.XLOOKUP(FME_Ranking1[[#This Row],[FME ID]],FME_Input[FME_ID],FME_Input[ROAD_MILES100])</f>
        <v>0</v>
      </c>
      <c r="AB2209" s="178">
        <f>(FME_Ranking1[[#This Row],[Miles Raw]]/$AA$2)*100</f>
        <v>0</v>
      </c>
      <c r="AC2209" s="178">
        <f>FME_Ranking1[[#This Row],[Miles Score (Normalized, Unweighted)]]*$AA$3</f>
        <v>0</v>
      </c>
      <c r="AD2209" s="255">
        <f>_xlfn.XLOOKUP(FME_Ranking1[[#This Row],[FME ID]],FME_Input[FME_ID],FME_Input[FARMACRE100])</f>
        <v>0</v>
      </c>
      <c r="AE2209" s="230">
        <f>(FME_Ranking1[[#This Row],[Ag Land Raw]]/$AD$2)*100</f>
        <v>0</v>
      </c>
      <c r="AF2209" s="231">
        <f>FME_Ranking1[[#This Row],[Ag Land Score (Normalized, Unweighted)]]*$AD$3</f>
        <v>0</v>
      </c>
      <c r="AG220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09" s="406">
        <f t="shared" si="34"/>
        <v>2198</v>
      </c>
      <c r="AI220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09" s="257">
        <f>FME_Ranking1[[#This Row],[Addition check]]-FME_Ranking1[[#This Row],[Weighted Score Based on Normalized Reported Factors]]</f>
        <v>0</v>
      </c>
      <c r="AK2209" s="178">
        <f>_xlfn.RANK.EQ(AI2209,$AI$6:$AI$2341,0)+COUNTIF($AI$6:AI2209,AI2209)-1</f>
        <v>2222</v>
      </c>
    </row>
    <row r="2210" spans="1:37" x14ac:dyDescent="0.25">
      <c r="A2210" t="s">
        <v>1781</v>
      </c>
      <c r="B2210">
        <f>_xlfn.XLOOKUP(FME_Ranking1[[#This Row],[FME ID]],FME_Input[FME_ID],FME_Input[RFPG_NUM])</f>
        <v>6</v>
      </c>
      <c r="C2210" t="str">
        <f>_xlfn.XLOOKUP(FME_Ranking1[[#This Row],[FME ID]],FME_Input[FME_ID],FME_Input[FME_NAME])</f>
        <v>City of Sugar Land Master Drainage Plan</v>
      </c>
      <c r="D2210" t="str">
        <f>_xlfn.XLOOKUP(FME_Ranking1[[#This Row],[FME ID]],FME_Input[FME_ID],FME_Input[DESCR])</f>
        <v>Study to develop Master Drainage Plan using future and existing land use and flood/storm water drainage needs including Atlas 14 rainfall.</v>
      </c>
      <c r="E2210" s="256">
        <f>_xlfn.XLOOKUP(FME_Ranking1[[#This Row],[FME ID]],FME_Input[FME_ID],FME_Input[FME_COST])</f>
        <v>540000</v>
      </c>
      <c r="F2210" t="str">
        <f>_xlfn.XLOOKUP(FME_Ranking1[[#This Row],[FME ID]],FME_Input[FME_ID],FME_Input[EMER_NEED])</f>
        <v>Yes</v>
      </c>
      <c r="G2210">
        <f>IF(FME_Ranking!F2210="Yes",100,0)</f>
        <v>100</v>
      </c>
      <c r="H2210">
        <f>FME_Ranking1[[#This Row],[Emergency Need Score (Normalized, Unweighted)]]*$F$3</f>
        <v>0</v>
      </c>
      <c r="I2210" s="246">
        <f>_xlfn.XLOOKUP(FME_Ranking1[[#This Row],[FME ID]],FME_Input[FME_ID],FME_Input[STRUCT_100])</f>
        <v>0</v>
      </c>
      <c r="J2210" s="178">
        <f>(FME_Ranking1[[#This Row],[Structures 100 Raw]]/I$2)*100</f>
        <v>0</v>
      </c>
      <c r="K2210" s="178">
        <f>FME_Ranking1[[#This Row],[Structures 100  Score (Normalized, Unweighted)]]*$I$3</f>
        <v>0</v>
      </c>
      <c r="L2210" s="246">
        <f>_xlfn.XLOOKUP(FME_Ranking1[[#This Row],[FME ID]],FME_Input[FME_ID],FME_Input[RES_STRUCT100])</f>
        <v>0</v>
      </c>
      <c r="M2210" s="230">
        <f>(FME_Ranking1[[#This Row],[Res Structures Raw]]/L$2)*100</f>
        <v>0</v>
      </c>
      <c r="N2210" s="180">
        <f>FME_Ranking1[[#This Row],[Res Structures Score (Normalized, Unweighted)]]*$L$3</f>
        <v>0</v>
      </c>
      <c r="O2210" s="244">
        <f>_xlfn.XLOOKUP(FME_Ranking1[[#This Row],[FME ID]],FME_Input[FME_ID],FME_Input[POP100])</f>
        <v>0</v>
      </c>
      <c r="P2210" s="178">
        <f>(FME_Ranking1[[#This Row],[Pop Raw]]/$O$2)*100</f>
        <v>0</v>
      </c>
      <c r="Q2210" s="178">
        <f>FME_Ranking1[[#This Row],[Pop Score (Normalized, Unweighted)]]*$O$3</f>
        <v>0</v>
      </c>
      <c r="R2210" s="137">
        <f>_xlfn.XLOOKUP(FME_Ranking1[[#This Row],[FME ID]],FME_Input[FME_ID],FME_Input[CRITFAC100])</f>
        <v>0</v>
      </c>
      <c r="S2210" s="230">
        <f>(FME_Ranking1[[#This Row],[Critical Facilities Raw]]/$R$2)*100</f>
        <v>0</v>
      </c>
      <c r="T2210" s="180">
        <f>FME_Ranking1[[#This Row],[Critical Facilities Score (Normalized, Unweighted)]]*$R$3</f>
        <v>0</v>
      </c>
      <c r="U2210">
        <f>_xlfn.XLOOKUP(FME_Ranking1[[#This Row],[FME ID]],FME_Input[FME_ID],FME_Input[LWC])</f>
        <v>0</v>
      </c>
      <c r="V2210" s="178">
        <f>(FME_Ranking1[[#This Row],[LWC Raw]]/$U$2)*100</f>
        <v>0</v>
      </c>
      <c r="W2210" s="178">
        <f>FME_Ranking1[[#This Row],[LWC Score (Normalized, Unweighted)]]*$U$3</f>
        <v>0</v>
      </c>
      <c r="X2210" s="246">
        <f>_xlfn.XLOOKUP(FME_Ranking1[[#This Row],[FME ID]],FME_Input[FME_ID],FME_Input[ROADCLS])</f>
        <v>0</v>
      </c>
      <c r="Y2210" s="230">
        <f>(FME_Ranking1[[#This Row],[Closures Raw]]/$X$2)*100</f>
        <v>0</v>
      </c>
      <c r="Z2210" s="180">
        <f>FME_Ranking1[[#This Row],[Closures Score (Normalized, Unweighted)]]*$X$3</f>
        <v>0</v>
      </c>
      <c r="AA2210" s="253">
        <f>_xlfn.XLOOKUP(FME_Ranking1[[#This Row],[FME ID]],FME_Input[FME_ID],FME_Input[ROAD_MILES100])</f>
        <v>1.548099971842021E-4</v>
      </c>
      <c r="AB2210" s="178">
        <f>(FME_Ranking1[[#This Row],[Miles Raw]]/$AA$2)*100</f>
        <v>2.0354737982070414E-6</v>
      </c>
      <c r="AC2210" s="178">
        <f>FME_Ranking1[[#This Row],[Miles Score (Normalized, Unweighted)]]*$AA$3</f>
        <v>2.0354737982070416E-7</v>
      </c>
      <c r="AD2210" s="255">
        <f>_xlfn.XLOOKUP(FME_Ranking1[[#This Row],[FME ID]],FME_Input[FME_ID],FME_Input[FARMACRE100])</f>
        <v>0</v>
      </c>
      <c r="AE2210" s="230">
        <f>(FME_Ranking1[[#This Row],[Ag Land Raw]]/$AD$2)*100</f>
        <v>0</v>
      </c>
      <c r="AF2210" s="231">
        <f>FME_Ranking1[[#This Row],[Ag Land Score (Normalized, Unweighted)]]*$AD$3</f>
        <v>0</v>
      </c>
      <c r="AG221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2.0354737982070416E-7</v>
      </c>
      <c r="AH2210" s="406">
        <f t="shared" si="34"/>
        <v>2191</v>
      </c>
      <c r="AI221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2.0354737982070416E-7</v>
      </c>
      <c r="AJ2210" s="257">
        <f>FME_Ranking1[[#This Row],[Addition check]]-FME_Ranking1[[#This Row],[Weighted Score Based on Normalized Reported Factors]]</f>
        <v>0</v>
      </c>
      <c r="AK2210" s="178">
        <f>_xlfn.RANK.EQ(AI2210,$AI$6:$AI$2341,0)+COUNTIF($AI$6:AI2210,AI2210)-1</f>
        <v>2191</v>
      </c>
    </row>
    <row r="2211" spans="1:37" x14ac:dyDescent="0.25">
      <c r="A2211" t="s">
        <v>1910</v>
      </c>
      <c r="B2211">
        <f>_xlfn.XLOOKUP(FME_Ranking1[[#This Row],[FME ID]],FME_Input[FME_ID],FME_Input[RFPG_NUM])</f>
        <v>6</v>
      </c>
      <c r="C2211" t="str">
        <f>_xlfn.XLOOKUP(FME_Ranking1[[#This Row],[FME ID]],FME_Input[FME_ID],FME_Input[FME_NAME])</f>
        <v>Carpenters Planing Study Cloverleaf Community Flood Risk Reduction Project (Phase 1 and 2)</v>
      </c>
      <c r="D2211" t="str">
        <f>_xlfn.XLOOKUP(FME_Ranking1[[#This Row],[FME ID]],FME_Input[FME_ID],FME_Input[DESCR])</f>
        <v>Study to develop a BCR required for this project to become a FMP. Drainage system upgrade using combination of 9'x7' RCB spanning 3,000' and a 109 acre-feet detention facility providing drainage relief for this portion of the Cloverleaf Community.</v>
      </c>
      <c r="E2211" s="256">
        <f>_xlfn.XLOOKUP(FME_Ranking1[[#This Row],[FME ID]],FME_Input[FME_ID],FME_Input[FME_COST])</f>
        <v>30000</v>
      </c>
      <c r="F2211" t="str">
        <f>_xlfn.XLOOKUP(FME_Ranking1[[#This Row],[FME ID]],FME_Input[FME_ID],FME_Input[EMER_NEED])</f>
        <v>No</v>
      </c>
      <c r="G2211">
        <f>IF(FME_Ranking!F2211="Yes",100,0)</f>
        <v>0</v>
      </c>
      <c r="H2211">
        <f>FME_Ranking1[[#This Row],[Emergency Need Score (Normalized, Unweighted)]]*$F$3</f>
        <v>0</v>
      </c>
      <c r="I2211" s="246">
        <f>_xlfn.XLOOKUP(FME_Ranking1[[#This Row],[FME ID]],FME_Input[FME_ID],FME_Input[STRUCT_100])</f>
        <v>0</v>
      </c>
      <c r="J2211" s="178">
        <f>(FME_Ranking1[[#This Row],[Structures 100 Raw]]/I$2)*100</f>
        <v>0</v>
      </c>
      <c r="K2211" s="178">
        <f>FME_Ranking1[[#This Row],[Structures 100  Score (Normalized, Unweighted)]]*$I$3</f>
        <v>0</v>
      </c>
      <c r="L2211" s="246">
        <f>_xlfn.XLOOKUP(FME_Ranking1[[#This Row],[FME ID]],FME_Input[FME_ID],FME_Input[RES_STRUCT100])</f>
        <v>0</v>
      </c>
      <c r="M2211" s="230">
        <f>(FME_Ranking1[[#This Row],[Res Structures Raw]]/L$2)*100</f>
        <v>0</v>
      </c>
      <c r="N2211" s="180">
        <f>FME_Ranking1[[#This Row],[Res Structures Score (Normalized, Unweighted)]]*$L$3</f>
        <v>0</v>
      </c>
      <c r="O2211" s="244">
        <f>_xlfn.XLOOKUP(FME_Ranking1[[#This Row],[FME ID]],FME_Input[FME_ID],FME_Input[POP100])</f>
        <v>0</v>
      </c>
      <c r="P2211" s="178">
        <f>(FME_Ranking1[[#This Row],[Pop Raw]]/$O$2)*100</f>
        <v>0</v>
      </c>
      <c r="Q2211" s="178">
        <f>FME_Ranking1[[#This Row],[Pop Score (Normalized, Unweighted)]]*$O$3</f>
        <v>0</v>
      </c>
      <c r="R2211" s="137">
        <f>_xlfn.XLOOKUP(FME_Ranking1[[#This Row],[FME ID]],FME_Input[FME_ID],FME_Input[CRITFAC100])</f>
        <v>0</v>
      </c>
      <c r="S2211" s="230">
        <f>(FME_Ranking1[[#This Row],[Critical Facilities Raw]]/$R$2)*100</f>
        <v>0</v>
      </c>
      <c r="T2211" s="180">
        <f>FME_Ranking1[[#This Row],[Critical Facilities Score (Normalized, Unweighted)]]*$R$3</f>
        <v>0</v>
      </c>
      <c r="U2211">
        <f>_xlfn.XLOOKUP(FME_Ranking1[[#This Row],[FME ID]],FME_Input[FME_ID],FME_Input[LWC])</f>
        <v>0</v>
      </c>
      <c r="V2211" s="178">
        <f>(FME_Ranking1[[#This Row],[LWC Raw]]/$U$2)*100</f>
        <v>0</v>
      </c>
      <c r="W2211" s="178">
        <f>FME_Ranking1[[#This Row],[LWC Score (Normalized, Unweighted)]]*$U$3</f>
        <v>0</v>
      </c>
      <c r="X2211" s="246">
        <f>_xlfn.XLOOKUP(FME_Ranking1[[#This Row],[FME ID]],FME_Input[FME_ID],FME_Input[ROADCLS])</f>
        <v>0</v>
      </c>
      <c r="Y2211" s="230">
        <f>(FME_Ranking1[[#This Row],[Closures Raw]]/$X$2)*100</f>
        <v>0</v>
      </c>
      <c r="Z2211" s="180">
        <f>FME_Ranking1[[#This Row],[Closures Score (Normalized, Unweighted)]]*$X$3</f>
        <v>0</v>
      </c>
      <c r="AA2211" s="253">
        <f>_xlfn.XLOOKUP(FME_Ranking1[[#This Row],[FME ID]],FME_Input[FME_ID],FME_Input[ROAD_MILES100])</f>
        <v>0</v>
      </c>
      <c r="AB2211" s="178">
        <f>(FME_Ranking1[[#This Row],[Miles Raw]]/$AA$2)*100</f>
        <v>0</v>
      </c>
      <c r="AC2211" s="178">
        <f>FME_Ranking1[[#This Row],[Miles Score (Normalized, Unweighted)]]*$AA$3</f>
        <v>0</v>
      </c>
      <c r="AD2211" s="255">
        <f>_xlfn.XLOOKUP(FME_Ranking1[[#This Row],[FME ID]],FME_Input[FME_ID],FME_Input[FARMACRE100])</f>
        <v>0</v>
      </c>
      <c r="AE2211" s="230">
        <f>(FME_Ranking1[[#This Row],[Ag Land Raw]]/$AD$2)*100</f>
        <v>0</v>
      </c>
      <c r="AF2211" s="231">
        <f>FME_Ranking1[[#This Row],[Ag Land Score (Normalized, Unweighted)]]*$AD$3</f>
        <v>0</v>
      </c>
      <c r="AG221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11" s="406">
        <f t="shared" si="34"/>
        <v>2198</v>
      </c>
      <c r="AI221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11" s="257">
        <f>FME_Ranking1[[#This Row],[Addition check]]-FME_Ranking1[[#This Row],[Weighted Score Based on Normalized Reported Factors]]</f>
        <v>0</v>
      </c>
      <c r="AK2211" s="178">
        <f>_xlfn.RANK.EQ(AI2211,$AI$6:$AI$2341,0)+COUNTIF($AI$6:AI2211,AI2211)-1</f>
        <v>2223</v>
      </c>
    </row>
    <row r="2212" spans="1:37" x14ac:dyDescent="0.25">
      <c r="A2212" t="s">
        <v>1950</v>
      </c>
      <c r="B2212">
        <f>_xlfn.XLOOKUP(FME_Ranking1[[#This Row],[FME ID]],FME_Input[FME_ID],FME_Input[RFPG_NUM])</f>
        <v>6</v>
      </c>
      <c r="C2212" t="str">
        <f>_xlfn.XLOOKUP(FME_Ranking1[[#This Row],[FME ID]],FME_Input[FME_ID],FME_Input[FME_NAME])</f>
        <v>Galveston Bay - Right-of-Way Acquisition, Design and Construction of General Drainage Improvements Along F101-06-00</v>
      </c>
      <c r="D2212" t="str">
        <f>_xlfn.XLOOKUP(FME_Ranking1[[#This Row],[FME ID]],FME_Input[FME_ID],FME_Input[DESCR])</f>
        <v>Study to develop a Benefit Cost Analysis needed for this project to become a FMP. The project could reduce the risk of flooding for over 40 structures in an Atlas 14 1% rainfall event.</v>
      </c>
      <c r="E2212" s="256">
        <f>_xlfn.XLOOKUP(FME_Ranking1[[#This Row],[FME ID]],FME_Input[FME_ID],FME_Input[FME_COST])</f>
        <v>30000</v>
      </c>
      <c r="F2212" t="str">
        <f>_xlfn.XLOOKUP(FME_Ranking1[[#This Row],[FME ID]],FME_Input[FME_ID],FME_Input[EMER_NEED])</f>
        <v>No</v>
      </c>
      <c r="G2212">
        <f>IF(FME_Ranking!F2212="Yes",100,0)</f>
        <v>0</v>
      </c>
      <c r="H2212">
        <f>FME_Ranking1[[#This Row],[Emergency Need Score (Normalized, Unweighted)]]*$F$3</f>
        <v>0</v>
      </c>
      <c r="I2212" s="246">
        <f>_xlfn.XLOOKUP(FME_Ranking1[[#This Row],[FME ID]],FME_Input[FME_ID],FME_Input[STRUCT_100])</f>
        <v>0</v>
      </c>
      <c r="J2212" s="178">
        <f>(FME_Ranking1[[#This Row],[Structures 100 Raw]]/I$2)*100</f>
        <v>0</v>
      </c>
      <c r="K2212" s="178">
        <f>FME_Ranking1[[#This Row],[Structures 100  Score (Normalized, Unweighted)]]*$I$3</f>
        <v>0</v>
      </c>
      <c r="L2212" s="246">
        <f>_xlfn.XLOOKUP(FME_Ranking1[[#This Row],[FME ID]],FME_Input[FME_ID],FME_Input[RES_STRUCT100])</f>
        <v>0</v>
      </c>
      <c r="M2212" s="230">
        <f>(FME_Ranking1[[#This Row],[Res Structures Raw]]/L$2)*100</f>
        <v>0</v>
      </c>
      <c r="N2212" s="180">
        <f>FME_Ranking1[[#This Row],[Res Structures Score (Normalized, Unweighted)]]*$L$3</f>
        <v>0</v>
      </c>
      <c r="O2212" s="244">
        <f>_xlfn.XLOOKUP(FME_Ranking1[[#This Row],[FME ID]],FME_Input[FME_ID],FME_Input[POP100])</f>
        <v>0</v>
      </c>
      <c r="P2212" s="178">
        <f>(FME_Ranking1[[#This Row],[Pop Raw]]/$O$2)*100</f>
        <v>0</v>
      </c>
      <c r="Q2212" s="178">
        <f>FME_Ranking1[[#This Row],[Pop Score (Normalized, Unweighted)]]*$O$3</f>
        <v>0</v>
      </c>
      <c r="R2212" s="137">
        <f>_xlfn.XLOOKUP(FME_Ranking1[[#This Row],[FME ID]],FME_Input[FME_ID],FME_Input[CRITFAC100])</f>
        <v>0</v>
      </c>
      <c r="S2212" s="230">
        <f>(FME_Ranking1[[#This Row],[Critical Facilities Raw]]/$R$2)*100</f>
        <v>0</v>
      </c>
      <c r="T2212" s="180">
        <f>FME_Ranking1[[#This Row],[Critical Facilities Score (Normalized, Unweighted)]]*$R$3</f>
        <v>0</v>
      </c>
      <c r="U2212">
        <f>_xlfn.XLOOKUP(FME_Ranking1[[#This Row],[FME ID]],FME_Input[FME_ID],FME_Input[LWC])</f>
        <v>0</v>
      </c>
      <c r="V2212" s="178">
        <f>(FME_Ranking1[[#This Row],[LWC Raw]]/$U$2)*100</f>
        <v>0</v>
      </c>
      <c r="W2212" s="178">
        <f>FME_Ranking1[[#This Row],[LWC Score (Normalized, Unweighted)]]*$U$3</f>
        <v>0</v>
      </c>
      <c r="X2212" s="246">
        <f>_xlfn.XLOOKUP(FME_Ranking1[[#This Row],[FME ID]],FME_Input[FME_ID],FME_Input[ROADCLS])</f>
        <v>0</v>
      </c>
      <c r="Y2212" s="230">
        <f>(FME_Ranking1[[#This Row],[Closures Raw]]/$X$2)*100</f>
        <v>0</v>
      </c>
      <c r="Z2212" s="180">
        <f>FME_Ranking1[[#This Row],[Closures Score (Normalized, Unweighted)]]*$X$3</f>
        <v>0</v>
      </c>
      <c r="AA2212" s="253">
        <f>_xlfn.XLOOKUP(FME_Ranking1[[#This Row],[FME ID]],FME_Input[FME_ID],FME_Input[ROAD_MILES100])</f>
        <v>0</v>
      </c>
      <c r="AB2212" s="178">
        <f>(FME_Ranking1[[#This Row],[Miles Raw]]/$AA$2)*100</f>
        <v>0</v>
      </c>
      <c r="AC2212" s="178">
        <f>FME_Ranking1[[#This Row],[Miles Score (Normalized, Unweighted)]]*$AA$3</f>
        <v>0</v>
      </c>
      <c r="AD2212" s="255">
        <f>_xlfn.XLOOKUP(FME_Ranking1[[#This Row],[FME ID]],FME_Input[FME_ID],FME_Input[FARMACRE100])</f>
        <v>0</v>
      </c>
      <c r="AE2212" s="230">
        <f>(FME_Ranking1[[#This Row],[Ag Land Raw]]/$AD$2)*100</f>
        <v>0</v>
      </c>
      <c r="AF2212" s="231">
        <f>FME_Ranking1[[#This Row],[Ag Land Score (Normalized, Unweighted)]]*$AD$3</f>
        <v>0</v>
      </c>
      <c r="AG221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12" s="406">
        <f t="shared" si="34"/>
        <v>2198</v>
      </c>
      <c r="AI221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12" s="257">
        <f>FME_Ranking1[[#This Row],[Addition check]]-FME_Ranking1[[#This Row],[Weighted Score Based on Normalized Reported Factors]]</f>
        <v>0</v>
      </c>
      <c r="AK2212" s="178">
        <f>_xlfn.RANK.EQ(AI2212,$AI$6:$AI$2341,0)+COUNTIF($AI$6:AI2212,AI2212)-1</f>
        <v>2224</v>
      </c>
    </row>
    <row r="2213" spans="1:37" x14ac:dyDescent="0.25">
      <c r="A2213" t="s">
        <v>2015</v>
      </c>
      <c r="B2213">
        <f>_xlfn.XLOOKUP(FME_Ranking1[[#This Row],[FME ID]],FME_Input[FME_ID],FME_Input[RFPG_NUM])</f>
        <v>6</v>
      </c>
      <c r="C2213" t="str">
        <f>_xlfn.XLOOKUP(FME_Ranking1[[#This Row],[FME ID]],FME_Input[FME_ID],FME_Input[FME_NAME])</f>
        <v>Goose Creek O119-00-00-P001 (Alt 2A1)</v>
      </c>
      <c r="D2213" t="str">
        <f>_xlfn.XLOOKUP(FME_Ranking1[[#This Row],[FME ID]],FME_Input[FME_ID],FME_Input[DESCR])</f>
        <v>Study to develop a Benefit Cost Analysis needed for this project to become a FMP. Construction of channel modifications and in-line stormwater detention along O119 to facilitate Harris County drainage improvements in Highland Mobile Estates.</v>
      </c>
      <c r="E2213" s="256">
        <f>_xlfn.XLOOKUP(FME_Ranking1[[#This Row],[FME ID]],FME_Input[FME_ID],FME_Input[FME_COST])</f>
        <v>30000</v>
      </c>
      <c r="F2213" t="str">
        <f>_xlfn.XLOOKUP(FME_Ranking1[[#This Row],[FME ID]],FME_Input[FME_ID],FME_Input[EMER_NEED])</f>
        <v>No</v>
      </c>
      <c r="G2213">
        <f>IF(FME_Ranking!F2213="Yes",100,0)</f>
        <v>0</v>
      </c>
      <c r="H2213">
        <f>FME_Ranking1[[#This Row],[Emergency Need Score (Normalized, Unweighted)]]*$F$3</f>
        <v>0</v>
      </c>
      <c r="I2213" s="246">
        <f>_xlfn.XLOOKUP(FME_Ranking1[[#This Row],[FME ID]],FME_Input[FME_ID],FME_Input[STRUCT_100])</f>
        <v>0</v>
      </c>
      <c r="J2213" s="178">
        <f>(FME_Ranking1[[#This Row],[Structures 100 Raw]]/I$2)*100</f>
        <v>0</v>
      </c>
      <c r="K2213" s="178">
        <f>FME_Ranking1[[#This Row],[Structures 100  Score (Normalized, Unweighted)]]*$I$3</f>
        <v>0</v>
      </c>
      <c r="L2213" s="246">
        <f>_xlfn.XLOOKUP(FME_Ranking1[[#This Row],[FME ID]],FME_Input[FME_ID],FME_Input[RES_STRUCT100])</f>
        <v>0</v>
      </c>
      <c r="M2213" s="230">
        <f>(FME_Ranking1[[#This Row],[Res Structures Raw]]/L$2)*100</f>
        <v>0</v>
      </c>
      <c r="N2213" s="180">
        <f>FME_Ranking1[[#This Row],[Res Structures Score (Normalized, Unweighted)]]*$L$3</f>
        <v>0</v>
      </c>
      <c r="O2213" s="244">
        <f>_xlfn.XLOOKUP(FME_Ranking1[[#This Row],[FME ID]],FME_Input[FME_ID],FME_Input[POP100])</f>
        <v>0</v>
      </c>
      <c r="P2213" s="178">
        <f>(FME_Ranking1[[#This Row],[Pop Raw]]/$O$2)*100</f>
        <v>0</v>
      </c>
      <c r="Q2213" s="178">
        <f>FME_Ranking1[[#This Row],[Pop Score (Normalized, Unweighted)]]*$O$3</f>
        <v>0</v>
      </c>
      <c r="R2213" s="137">
        <f>_xlfn.XLOOKUP(FME_Ranking1[[#This Row],[FME ID]],FME_Input[FME_ID],FME_Input[CRITFAC100])</f>
        <v>0</v>
      </c>
      <c r="S2213" s="230">
        <f>(FME_Ranking1[[#This Row],[Critical Facilities Raw]]/$R$2)*100</f>
        <v>0</v>
      </c>
      <c r="T2213" s="180">
        <f>FME_Ranking1[[#This Row],[Critical Facilities Score (Normalized, Unweighted)]]*$R$3</f>
        <v>0</v>
      </c>
      <c r="U2213">
        <f>_xlfn.XLOOKUP(FME_Ranking1[[#This Row],[FME ID]],FME_Input[FME_ID],FME_Input[LWC])</f>
        <v>0</v>
      </c>
      <c r="V2213" s="178">
        <f>(FME_Ranking1[[#This Row],[LWC Raw]]/$U$2)*100</f>
        <v>0</v>
      </c>
      <c r="W2213" s="178">
        <f>FME_Ranking1[[#This Row],[LWC Score (Normalized, Unweighted)]]*$U$3</f>
        <v>0</v>
      </c>
      <c r="X2213" s="246">
        <f>_xlfn.XLOOKUP(FME_Ranking1[[#This Row],[FME ID]],FME_Input[FME_ID],FME_Input[ROADCLS])</f>
        <v>0</v>
      </c>
      <c r="Y2213" s="230">
        <f>(FME_Ranking1[[#This Row],[Closures Raw]]/$X$2)*100</f>
        <v>0</v>
      </c>
      <c r="Z2213" s="180">
        <f>FME_Ranking1[[#This Row],[Closures Score (Normalized, Unweighted)]]*$X$3</f>
        <v>0</v>
      </c>
      <c r="AA2213" s="253">
        <f>_xlfn.XLOOKUP(FME_Ranking1[[#This Row],[FME ID]],FME_Input[FME_ID],FME_Input[ROAD_MILES100])</f>
        <v>0</v>
      </c>
      <c r="AB2213" s="178">
        <f>(FME_Ranking1[[#This Row],[Miles Raw]]/$AA$2)*100</f>
        <v>0</v>
      </c>
      <c r="AC2213" s="178">
        <f>FME_Ranking1[[#This Row],[Miles Score (Normalized, Unweighted)]]*$AA$3</f>
        <v>0</v>
      </c>
      <c r="AD2213" s="255">
        <f>_xlfn.XLOOKUP(FME_Ranking1[[#This Row],[FME ID]],FME_Input[FME_ID],FME_Input[FARMACRE100])</f>
        <v>0</v>
      </c>
      <c r="AE2213" s="230">
        <f>(FME_Ranking1[[#This Row],[Ag Land Raw]]/$AD$2)*100</f>
        <v>0</v>
      </c>
      <c r="AF2213" s="231">
        <f>FME_Ranking1[[#This Row],[Ag Land Score (Normalized, Unweighted)]]*$AD$3</f>
        <v>0</v>
      </c>
      <c r="AG221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13" s="406">
        <f t="shared" si="34"/>
        <v>2198</v>
      </c>
      <c r="AI221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13" s="257">
        <f>FME_Ranking1[[#This Row],[Addition check]]-FME_Ranking1[[#This Row],[Weighted Score Based on Normalized Reported Factors]]</f>
        <v>0</v>
      </c>
      <c r="AK2213" s="178">
        <f>_xlfn.RANK.EQ(AI2213,$AI$6:$AI$2341,0)+COUNTIF($AI$6:AI2213,AI2213)-1</f>
        <v>2225</v>
      </c>
    </row>
    <row r="2214" spans="1:37" x14ac:dyDescent="0.25">
      <c r="A2214" t="s">
        <v>2021</v>
      </c>
      <c r="B2214">
        <f>_xlfn.XLOOKUP(FME_Ranking1[[#This Row],[FME ID]],FME_Input[FME_ID],FME_Input[RFPG_NUM])</f>
        <v>6</v>
      </c>
      <c r="C2214" t="str">
        <f>_xlfn.XLOOKUP(FME_Ranking1[[#This Row],[FME ID]],FME_Input[FME_ID],FME_Input[FME_NAME])</f>
        <v>Goose Creek O119-00-00-P001 (Alt 2A3)</v>
      </c>
      <c r="D2214" t="str">
        <f>_xlfn.XLOOKUP(FME_Ranking1[[#This Row],[FME ID]],FME_Input[FME_ID],FME_Input[DESCR])</f>
        <v>Study to develop a Benefit Cost Analysis needed for this project to become a FMP. Secondary option for the recommended alternative with less benefits and project cost.</v>
      </c>
      <c r="E2214" s="256">
        <f>_xlfn.XLOOKUP(FME_Ranking1[[#This Row],[FME ID]],FME_Input[FME_ID],FME_Input[FME_COST])</f>
        <v>30000</v>
      </c>
      <c r="F2214" t="str">
        <f>_xlfn.XLOOKUP(FME_Ranking1[[#This Row],[FME ID]],FME_Input[FME_ID],FME_Input[EMER_NEED])</f>
        <v>No</v>
      </c>
      <c r="G2214">
        <f>IF(FME_Ranking!F2214="Yes",100,0)</f>
        <v>0</v>
      </c>
      <c r="H2214">
        <f>FME_Ranking1[[#This Row],[Emergency Need Score (Normalized, Unweighted)]]*$F$3</f>
        <v>0</v>
      </c>
      <c r="I2214" s="246">
        <f>_xlfn.XLOOKUP(FME_Ranking1[[#This Row],[FME ID]],FME_Input[FME_ID],FME_Input[STRUCT_100])</f>
        <v>0</v>
      </c>
      <c r="J2214" s="178">
        <f>(FME_Ranking1[[#This Row],[Structures 100 Raw]]/I$2)*100</f>
        <v>0</v>
      </c>
      <c r="K2214" s="178">
        <f>FME_Ranking1[[#This Row],[Structures 100  Score (Normalized, Unweighted)]]*$I$3</f>
        <v>0</v>
      </c>
      <c r="L2214" s="246">
        <f>_xlfn.XLOOKUP(FME_Ranking1[[#This Row],[FME ID]],FME_Input[FME_ID],FME_Input[RES_STRUCT100])</f>
        <v>0</v>
      </c>
      <c r="M2214" s="230">
        <f>(FME_Ranking1[[#This Row],[Res Structures Raw]]/L$2)*100</f>
        <v>0</v>
      </c>
      <c r="N2214" s="180">
        <f>FME_Ranking1[[#This Row],[Res Structures Score (Normalized, Unweighted)]]*$L$3</f>
        <v>0</v>
      </c>
      <c r="O2214" s="244">
        <f>_xlfn.XLOOKUP(FME_Ranking1[[#This Row],[FME ID]],FME_Input[FME_ID],FME_Input[POP100])</f>
        <v>0</v>
      </c>
      <c r="P2214" s="178">
        <f>(FME_Ranking1[[#This Row],[Pop Raw]]/$O$2)*100</f>
        <v>0</v>
      </c>
      <c r="Q2214" s="178">
        <f>FME_Ranking1[[#This Row],[Pop Score (Normalized, Unweighted)]]*$O$3</f>
        <v>0</v>
      </c>
      <c r="R2214" s="137">
        <f>_xlfn.XLOOKUP(FME_Ranking1[[#This Row],[FME ID]],FME_Input[FME_ID],FME_Input[CRITFAC100])</f>
        <v>0</v>
      </c>
      <c r="S2214" s="230">
        <f>(FME_Ranking1[[#This Row],[Critical Facilities Raw]]/$R$2)*100</f>
        <v>0</v>
      </c>
      <c r="T2214" s="180">
        <f>FME_Ranking1[[#This Row],[Critical Facilities Score (Normalized, Unweighted)]]*$R$3</f>
        <v>0</v>
      </c>
      <c r="U2214">
        <f>_xlfn.XLOOKUP(FME_Ranking1[[#This Row],[FME ID]],FME_Input[FME_ID],FME_Input[LWC])</f>
        <v>0</v>
      </c>
      <c r="V2214" s="178">
        <f>(FME_Ranking1[[#This Row],[LWC Raw]]/$U$2)*100</f>
        <v>0</v>
      </c>
      <c r="W2214" s="178">
        <f>FME_Ranking1[[#This Row],[LWC Score (Normalized, Unweighted)]]*$U$3</f>
        <v>0</v>
      </c>
      <c r="X2214" s="246">
        <f>_xlfn.XLOOKUP(FME_Ranking1[[#This Row],[FME ID]],FME_Input[FME_ID],FME_Input[ROADCLS])</f>
        <v>0</v>
      </c>
      <c r="Y2214" s="230">
        <f>(FME_Ranking1[[#This Row],[Closures Raw]]/$X$2)*100</f>
        <v>0</v>
      </c>
      <c r="Z2214" s="180">
        <f>FME_Ranking1[[#This Row],[Closures Score (Normalized, Unweighted)]]*$X$3</f>
        <v>0</v>
      </c>
      <c r="AA2214" s="253">
        <f>_xlfn.XLOOKUP(FME_Ranking1[[#This Row],[FME ID]],FME_Input[FME_ID],FME_Input[ROAD_MILES100])</f>
        <v>0</v>
      </c>
      <c r="AB2214" s="178">
        <f>(FME_Ranking1[[#This Row],[Miles Raw]]/$AA$2)*100</f>
        <v>0</v>
      </c>
      <c r="AC2214" s="178">
        <f>FME_Ranking1[[#This Row],[Miles Score (Normalized, Unweighted)]]*$AA$3</f>
        <v>0</v>
      </c>
      <c r="AD2214" s="255">
        <f>_xlfn.XLOOKUP(FME_Ranking1[[#This Row],[FME ID]],FME_Input[FME_ID],FME_Input[FARMACRE100])</f>
        <v>0</v>
      </c>
      <c r="AE2214" s="230">
        <f>(FME_Ranking1[[#This Row],[Ag Land Raw]]/$AD$2)*100</f>
        <v>0</v>
      </c>
      <c r="AF2214" s="231">
        <f>FME_Ranking1[[#This Row],[Ag Land Score (Normalized, Unweighted)]]*$AD$3</f>
        <v>0</v>
      </c>
      <c r="AG221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14" s="406">
        <f t="shared" si="34"/>
        <v>2198</v>
      </c>
      <c r="AI221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14" s="257">
        <f>FME_Ranking1[[#This Row],[Addition check]]-FME_Ranking1[[#This Row],[Weighted Score Based on Normalized Reported Factors]]</f>
        <v>0</v>
      </c>
      <c r="AK2214" s="178">
        <f>_xlfn.RANK.EQ(AI2214,$AI$6:$AI$2341,0)+COUNTIF($AI$6:AI2214,AI2214)-1</f>
        <v>2226</v>
      </c>
    </row>
    <row r="2215" spans="1:37" x14ac:dyDescent="0.25">
      <c r="A2215" t="s">
        <v>2024</v>
      </c>
      <c r="B2215">
        <f>_xlfn.XLOOKUP(FME_Ranking1[[#This Row],[FME ID]],FME_Input[FME_ID],FME_Input[RFPG_NUM])</f>
        <v>6</v>
      </c>
      <c r="C2215" t="str">
        <f>_xlfn.XLOOKUP(FME_Ranking1[[#This Row],[FME ID]],FME_Input[FME_ID],FME_Input[FME_NAME])</f>
        <v>Sims Bayou C116 Storm Sewer Improvement (C116-00-00-P001) From Mykawa Road to Telephone Road</v>
      </c>
      <c r="D2215" t="str">
        <f>_xlfn.XLOOKUP(FME_Ranking1[[#This Row],[FME ID]],FME_Input[FME_ID],FME_Input[DESCR])</f>
        <v>Study to develop a BCR required for this project to become a FMP. To increase the system C116 capacity, Alternative 1 adds capacity to the C116 system trunkline through an additional parallel trunkline, from Dixie Drive to Sims Bayou.</v>
      </c>
      <c r="E2215" s="256">
        <f>_xlfn.XLOOKUP(FME_Ranking1[[#This Row],[FME ID]],FME_Input[FME_ID],FME_Input[FME_COST])</f>
        <v>30000</v>
      </c>
      <c r="F2215" t="str">
        <f>_xlfn.XLOOKUP(FME_Ranking1[[#This Row],[FME ID]],FME_Input[FME_ID],FME_Input[EMER_NEED])</f>
        <v>No</v>
      </c>
      <c r="G2215">
        <f>IF(FME_Ranking!F2215="Yes",100,0)</f>
        <v>0</v>
      </c>
      <c r="H2215">
        <f>FME_Ranking1[[#This Row],[Emergency Need Score (Normalized, Unweighted)]]*$F$3</f>
        <v>0</v>
      </c>
      <c r="I2215" s="246">
        <f>_xlfn.XLOOKUP(FME_Ranking1[[#This Row],[FME ID]],FME_Input[FME_ID],FME_Input[STRUCT_100])</f>
        <v>0</v>
      </c>
      <c r="J2215" s="178">
        <f>(FME_Ranking1[[#This Row],[Structures 100 Raw]]/I$2)*100</f>
        <v>0</v>
      </c>
      <c r="K2215" s="178">
        <f>FME_Ranking1[[#This Row],[Structures 100  Score (Normalized, Unweighted)]]*$I$3</f>
        <v>0</v>
      </c>
      <c r="L2215" s="246">
        <f>_xlfn.XLOOKUP(FME_Ranking1[[#This Row],[FME ID]],FME_Input[FME_ID],FME_Input[RES_STRUCT100])</f>
        <v>0</v>
      </c>
      <c r="M2215" s="230">
        <f>(FME_Ranking1[[#This Row],[Res Structures Raw]]/L$2)*100</f>
        <v>0</v>
      </c>
      <c r="N2215" s="180">
        <f>FME_Ranking1[[#This Row],[Res Structures Score (Normalized, Unweighted)]]*$L$3</f>
        <v>0</v>
      </c>
      <c r="O2215" s="244">
        <f>_xlfn.XLOOKUP(FME_Ranking1[[#This Row],[FME ID]],FME_Input[FME_ID],FME_Input[POP100])</f>
        <v>0</v>
      </c>
      <c r="P2215" s="178">
        <f>(FME_Ranking1[[#This Row],[Pop Raw]]/$O$2)*100</f>
        <v>0</v>
      </c>
      <c r="Q2215" s="178">
        <f>FME_Ranking1[[#This Row],[Pop Score (Normalized, Unweighted)]]*$O$3</f>
        <v>0</v>
      </c>
      <c r="R2215" s="137">
        <f>_xlfn.XLOOKUP(FME_Ranking1[[#This Row],[FME ID]],FME_Input[FME_ID],FME_Input[CRITFAC100])</f>
        <v>0</v>
      </c>
      <c r="S2215" s="230">
        <f>(FME_Ranking1[[#This Row],[Critical Facilities Raw]]/$R$2)*100</f>
        <v>0</v>
      </c>
      <c r="T2215" s="180">
        <f>FME_Ranking1[[#This Row],[Critical Facilities Score (Normalized, Unweighted)]]*$R$3</f>
        <v>0</v>
      </c>
      <c r="U2215">
        <f>_xlfn.XLOOKUP(FME_Ranking1[[#This Row],[FME ID]],FME_Input[FME_ID],FME_Input[LWC])</f>
        <v>0</v>
      </c>
      <c r="V2215" s="178">
        <f>(FME_Ranking1[[#This Row],[LWC Raw]]/$U$2)*100</f>
        <v>0</v>
      </c>
      <c r="W2215" s="178">
        <f>FME_Ranking1[[#This Row],[LWC Score (Normalized, Unweighted)]]*$U$3</f>
        <v>0</v>
      </c>
      <c r="X2215" s="246">
        <f>_xlfn.XLOOKUP(FME_Ranking1[[#This Row],[FME ID]],FME_Input[FME_ID],FME_Input[ROADCLS])</f>
        <v>0</v>
      </c>
      <c r="Y2215" s="230">
        <f>(FME_Ranking1[[#This Row],[Closures Raw]]/$X$2)*100</f>
        <v>0</v>
      </c>
      <c r="Z2215" s="180">
        <f>FME_Ranking1[[#This Row],[Closures Score (Normalized, Unweighted)]]*$X$3</f>
        <v>0</v>
      </c>
      <c r="AA2215" s="253">
        <f>_xlfn.XLOOKUP(FME_Ranking1[[#This Row],[FME ID]],FME_Input[FME_ID],FME_Input[ROAD_MILES100])</f>
        <v>0</v>
      </c>
      <c r="AB2215" s="178">
        <f>(FME_Ranking1[[#This Row],[Miles Raw]]/$AA$2)*100</f>
        <v>0</v>
      </c>
      <c r="AC2215" s="178">
        <f>FME_Ranking1[[#This Row],[Miles Score (Normalized, Unweighted)]]*$AA$3</f>
        <v>0</v>
      </c>
      <c r="AD2215" s="255">
        <f>_xlfn.XLOOKUP(FME_Ranking1[[#This Row],[FME ID]],FME_Input[FME_ID],FME_Input[FARMACRE100])</f>
        <v>0</v>
      </c>
      <c r="AE2215" s="230">
        <f>(FME_Ranking1[[#This Row],[Ag Land Raw]]/$AD$2)*100</f>
        <v>0</v>
      </c>
      <c r="AF2215" s="231">
        <f>FME_Ranking1[[#This Row],[Ag Land Score (Normalized, Unweighted)]]*$AD$3</f>
        <v>0</v>
      </c>
      <c r="AG221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15" s="406">
        <f t="shared" si="34"/>
        <v>2198</v>
      </c>
      <c r="AI221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15" s="257">
        <f>FME_Ranking1[[#This Row],[Addition check]]-FME_Ranking1[[#This Row],[Weighted Score Based on Normalized Reported Factors]]</f>
        <v>0</v>
      </c>
      <c r="AK2215" s="178">
        <f>_xlfn.RANK.EQ(AI2215,$AI$6:$AI$2341,0)+COUNTIF($AI$6:AI2215,AI2215)-1</f>
        <v>2227</v>
      </c>
    </row>
    <row r="2216" spans="1:37" x14ac:dyDescent="0.25">
      <c r="A2216" t="s">
        <v>793</v>
      </c>
      <c r="B2216">
        <f>_xlfn.XLOOKUP(FME_Ranking1[[#This Row],[FME ID]],FME_Input[FME_ID],FME_Input[RFPG_NUM])</f>
        <v>6</v>
      </c>
      <c r="C2216" t="str">
        <f>_xlfn.XLOOKUP(FME_Ranking1[[#This Row],[FME ID]],FME_Input[FME_ID],FME_Input[FME_NAME])</f>
        <v>Durant Street Storm Sewer and Pavement Improvements - Phase 1</v>
      </c>
      <c r="D2216" t="str">
        <f>_xlfn.XLOOKUP(FME_Ranking1[[#This Row],[FME ID]],FME_Input[FME_ID],FME_Input[DESCR])</f>
        <v xml:space="preserve">Further study of Durant Street Phase 1 to reduce flood risk with upgrades to storm sewer system, concrete curb, gutter, pavement, and sidewalk. _x000D_
</v>
      </c>
      <c r="E2216" s="256">
        <f>_xlfn.XLOOKUP(FME_Ranking1[[#This Row],[FME ID]],FME_Input[FME_ID],FME_Input[FME_COST])</f>
        <v>110000</v>
      </c>
      <c r="F2216" t="str">
        <f>_xlfn.XLOOKUP(FME_Ranking1[[#This Row],[FME ID]],FME_Input[FME_ID],FME_Input[EMER_NEED])</f>
        <v>No</v>
      </c>
      <c r="G2216">
        <f>IF(FME_Ranking!F2216="Yes",100,0)</f>
        <v>0</v>
      </c>
      <c r="H2216">
        <f>FME_Ranking1[[#This Row],[Emergency Need Score (Normalized, Unweighted)]]*$F$3</f>
        <v>0</v>
      </c>
      <c r="I2216" s="246">
        <f>_xlfn.XLOOKUP(FME_Ranking1[[#This Row],[FME ID]],FME_Input[FME_ID],FME_Input[STRUCT_100])</f>
        <v>0</v>
      </c>
      <c r="J2216" s="178">
        <f>(FME_Ranking1[[#This Row],[Structures 100 Raw]]/I$2)*100</f>
        <v>0</v>
      </c>
      <c r="K2216" s="178">
        <f>FME_Ranking1[[#This Row],[Structures 100  Score (Normalized, Unweighted)]]*$I$3</f>
        <v>0</v>
      </c>
      <c r="L2216" s="246">
        <f>_xlfn.XLOOKUP(FME_Ranking1[[#This Row],[FME ID]],FME_Input[FME_ID],FME_Input[RES_STRUCT100])</f>
        <v>0</v>
      </c>
      <c r="M2216" s="230">
        <f>(FME_Ranking1[[#This Row],[Res Structures Raw]]/L$2)*100</f>
        <v>0</v>
      </c>
      <c r="N2216" s="180">
        <f>FME_Ranking1[[#This Row],[Res Structures Score (Normalized, Unweighted)]]*$L$3</f>
        <v>0</v>
      </c>
      <c r="O2216" s="244">
        <f>_xlfn.XLOOKUP(FME_Ranking1[[#This Row],[FME ID]],FME_Input[FME_ID],FME_Input[POP100])</f>
        <v>0</v>
      </c>
      <c r="P2216" s="178">
        <f>(FME_Ranking1[[#This Row],[Pop Raw]]/$O$2)*100</f>
        <v>0</v>
      </c>
      <c r="Q2216" s="178">
        <f>FME_Ranking1[[#This Row],[Pop Score (Normalized, Unweighted)]]*$O$3</f>
        <v>0</v>
      </c>
      <c r="R2216" s="137">
        <f>_xlfn.XLOOKUP(FME_Ranking1[[#This Row],[FME ID]],FME_Input[FME_ID],FME_Input[CRITFAC100])</f>
        <v>0</v>
      </c>
      <c r="S2216" s="230">
        <f>(FME_Ranking1[[#This Row],[Critical Facilities Raw]]/$R$2)*100</f>
        <v>0</v>
      </c>
      <c r="T2216" s="180">
        <f>FME_Ranking1[[#This Row],[Critical Facilities Score (Normalized, Unweighted)]]*$R$3</f>
        <v>0</v>
      </c>
      <c r="U2216">
        <f>_xlfn.XLOOKUP(FME_Ranking1[[#This Row],[FME ID]],FME_Input[FME_ID],FME_Input[LWC])</f>
        <v>0</v>
      </c>
      <c r="V2216" s="178">
        <f>(FME_Ranking1[[#This Row],[LWC Raw]]/$U$2)*100</f>
        <v>0</v>
      </c>
      <c r="W2216" s="178">
        <f>FME_Ranking1[[#This Row],[LWC Score (Normalized, Unweighted)]]*$U$3</f>
        <v>0</v>
      </c>
      <c r="X2216" s="246">
        <f>_xlfn.XLOOKUP(FME_Ranking1[[#This Row],[FME ID]],FME_Input[FME_ID],FME_Input[ROADCLS])</f>
        <v>0</v>
      </c>
      <c r="Y2216" s="230">
        <f>(FME_Ranking1[[#This Row],[Closures Raw]]/$X$2)*100</f>
        <v>0</v>
      </c>
      <c r="Z2216" s="180">
        <f>FME_Ranking1[[#This Row],[Closures Score (Normalized, Unweighted)]]*$X$3</f>
        <v>0</v>
      </c>
      <c r="AA2216" s="253">
        <f>_xlfn.XLOOKUP(FME_Ranking1[[#This Row],[FME ID]],FME_Input[FME_ID],FME_Input[ROAD_MILES100])</f>
        <v>0</v>
      </c>
      <c r="AB2216" s="178">
        <f>(FME_Ranking1[[#This Row],[Miles Raw]]/$AA$2)*100</f>
        <v>0</v>
      </c>
      <c r="AC2216" s="178">
        <f>FME_Ranking1[[#This Row],[Miles Score (Normalized, Unweighted)]]*$AA$3</f>
        <v>0</v>
      </c>
      <c r="AD2216" s="255">
        <f>_xlfn.XLOOKUP(FME_Ranking1[[#This Row],[FME ID]],FME_Input[FME_ID],FME_Input[FARMACRE100])</f>
        <v>0</v>
      </c>
      <c r="AE2216" s="230">
        <f>(FME_Ranking1[[#This Row],[Ag Land Raw]]/$AD$2)*100</f>
        <v>0</v>
      </c>
      <c r="AF2216" s="231">
        <f>FME_Ranking1[[#This Row],[Ag Land Score (Normalized, Unweighted)]]*$AD$3</f>
        <v>0</v>
      </c>
      <c r="AG221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16" s="406">
        <f t="shared" si="34"/>
        <v>2198</v>
      </c>
      <c r="AI221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16" s="257">
        <f>FME_Ranking1[[#This Row],[Addition check]]-FME_Ranking1[[#This Row],[Weighted Score Based on Normalized Reported Factors]]</f>
        <v>0</v>
      </c>
      <c r="AK2216" s="178">
        <f>_xlfn.RANK.EQ(AI2216,$AI$6:$AI$2341,0)+COUNTIF($AI$6:AI2216,AI2216)-1</f>
        <v>2228</v>
      </c>
    </row>
    <row r="2217" spans="1:37" x14ac:dyDescent="0.25">
      <c r="A2217" t="s">
        <v>919</v>
      </c>
      <c r="B2217">
        <f>_xlfn.XLOOKUP(FME_Ranking1[[#This Row],[FME ID]],FME_Input[FME_ID],FME_Input[RFPG_NUM])</f>
        <v>6</v>
      </c>
      <c r="C2217" t="str">
        <f>_xlfn.XLOOKUP(FME_Ranking1[[#This Row],[FME ID]],FME_Input[FME_ID],FME_Input[FME_NAME])</f>
        <v>Durant Street Storm Sewer and Pavement Improvements - Phase 2</v>
      </c>
      <c r="D2217" t="str">
        <f>_xlfn.XLOOKUP(FME_Ranking1[[#This Row],[FME ID]],FME_Input[FME_ID],FME_Input[DESCR])</f>
        <v>Further study of Durant Street Phase 2 to reduce flood risk with upgrades to storm sewer system, concrete curb, gutter, pavement, and sidewalk.</v>
      </c>
      <c r="E2217" s="256">
        <f>_xlfn.XLOOKUP(FME_Ranking1[[#This Row],[FME ID]],FME_Input[FME_ID],FME_Input[FME_COST])</f>
        <v>90000</v>
      </c>
      <c r="F2217" t="str">
        <f>_xlfn.XLOOKUP(FME_Ranking1[[#This Row],[FME ID]],FME_Input[FME_ID],FME_Input[EMER_NEED])</f>
        <v>No</v>
      </c>
      <c r="G2217">
        <f>IF(FME_Ranking!F2217="Yes",100,0)</f>
        <v>0</v>
      </c>
      <c r="H2217">
        <f>FME_Ranking1[[#This Row],[Emergency Need Score (Normalized, Unweighted)]]*$F$3</f>
        <v>0</v>
      </c>
      <c r="I2217" s="246">
        <f>_xlfn.XLOOKUP(FME_Ranking1[[#This Row],[FME ID]],FME_Input[FME_ID],FME_Input[STRUCT_100])</f>
        <v>0</v>
      </c>
      <c r="J2217" s="178">
        <f>(FME_Ranking1[[#This Row],[Structures 100 Raw]]/I$2)*100</f>
        <v>0</v>
      </c>
      <c r="K2217" s="178">
        <f>FME_Ranking1[[#This Row],[Structures 100  Score (Normalized, Unweighted)]]*$I$3</f>
        <v>0</v>
      </c>
      <c r="L2217" s="246">
        <f>_xlfn.XLOOKUP(FME_Ranking1[[#This Row],[FME ID]],FME_Input[FME_ID],FME_Input[RES_STRUCT100])</f>
        <v>0</v>
      </c>
      <c r="M2217" s="230">
        <f>(FME_Ranking1[[#This Row],[Res Structures Raw]]/L$2)*100</f>
        <v>0</v>
      </c>
      <c r="N2217" s="180">
        <f>FME_Ranking1[[#This Row],[Res Structures Score (Normalized, Unweighted)]]*$L$3</f>
        <v>0</v>
      </c>
      <c r="O2217" s="244">
        <f>_xlfn.XLOOKUP(FME_Ranking1[[#This Row],[FME ID]],FME_Input[FME_ID],FME_Input[POP100])</f>
        <v>0</v>
      </c>
      <c r="P2217" s="178">
        <f>(FME_Ranking1[[#This Row],[Pop Raw]]/$O$2)*100</f>
        <v>0</v>
      </c>
      <c r="Q2217" s="178">
        <f>FME_Ranking1[[#This Row],[Pop Score (Normalized, Unweighted)]]*$O$3</f>
        <v>0</v>
      </c>
      <c r="R2217" s="137">
        <f>_xlfn.XLOOKUP(FME_Ranking1[[#This Row],[FME ID]],FME_Input[FME_ID],FME_Input[CRITFAC100])</f>
        <v>0</v>
      </c>
      <c r="S2217" s="230">
        <f>(FME_Ranking1[[#This Row],[Critical Facilities Raw]]/$R$2)*100</f>
        <v>0</v>
      </c>
      <c r="T2217" s="180">
        <f>FME_Ranking1[[#This Row],[Critical Facilities Score (Normalized, Unweighted)]]*$R$3</f>
        <v>0</v>
      </c>
      <c r="U2217">
        <f>_xlfn.XLOOKUP(FME_Ranking1[[#This Row],[FME ID]],FME_Input[FME_ID],FME_Input[LWC])</f>
        <v>0</v>
      </c>
      <c r="V2217" s="178">
        <f>(FME_Ranking1[[#This Row],[LWC Raw]]/$U$2)*100</f>
        <v>0</v>
      </c>
      <c r="W2217" s="178">
        <f>FME_Ranking1[[#This Row],[LWC Score (Normalized, Unweighted)]]*$U$3</f>
        <v>0</v>
      </c>
      <c r="X2217" s="246">
        <f>_xlfn.XLOOKUP(FME_Ranking1[[#This Row],[FME ID]],FME_Input[FME_ID],FME_Input[ROADCLS])</f>
        <v>0</v>
      </c>
      <c r="Y2217" s="230">
        <f>(FME_Ranking1[[#This Row],[Closures Raw]]/$X$2)*100</f>
        <v>0</v>
      </c>
      <c r="Z2217" s="180">
        <f>FME_Ranking1[[#This Row],[Closures Score (Normalized, Unweighted)]]*$X$3</f>
        <v>0</v>
      </c>
      <c r="AA2217" s="253">
        <f>_xlfn.XLOOKUP(FME_Ranking1[[#This Row],[FME ID]],FME_Input[FME_ID],FME_Input[ROAD_MILES100])</f>
        <v>0</v>
      </c>
      <c r="AB2217" s="178">
        <f>(FME_Ranking1[[#This Row],[Miles Raw]]/$AA$2)*100</f>
        <v>0</v>
      </c>
      <c r="AC2217" s="178">
        <f>FME_Ranking1[[#This Row],[Miles Score (Normalized, Unweighted)]]*$AA$3</f>
        <v>0</v>
      </c>
      <c r="AD2217" s="255">
        <f>_xlfn.XLOOKUP(FME_Ranking1[[#This Row],[FME ID]],FME_Input[FME_ID],FME_Input[FARMACRE100])</f>
        <v>0</v>
      </c>
      <c r="AE2217" s="230">
        <f>(FME_Ranking1[[#This Row],[Ag Land Raw]]/$AD$2)*100</f>
        <v>0</v>
      </c>
      <c r="AF2217" s="231">
        <f>FME_Ranking1[[#This Row],[Ag Land Score (Normalized, Unweighted)]]*$AD$3</f>
        <v>0</v>
      </c>
      <c r="AG221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17" s="406">
        <f t="shared" si="34"/>
        <v>2198</v>
      </c>
      <c r="AI221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17" s="257">
        <f>FME_Ranking1[[#This Row],[Addition check]]-FME_Ranking1[[#This Row],[Weighted Score Based on Normalized Reported Factors]]</f>
        <v>0</v>
      </c>
      <c r="AK2217" s="178">
        <f>_xlfn.RANK.EQ(AI2217,$AI$6:$AI$2341,0)+COUNTIF($AI$6:AI2217,AI2217)-1</f>
        <v>2229</v>
      </c>
    </row>
    <row r="2218" spans="1:37" x14ac:dyDescent="0.25">
      <c r="A2218" t="s">
        <v>2064</v>
      </c>
      <c r="B2218">
        <f>_xlfn.XLOOKUP(FME_Ranking1[[#This Row],[FME ID]],FME_Input[FME_ID],FME_Input[RFPG_NUM])</f>
        <v>6</v>
      </c>
      <c r="C2218" t="str">
        <f>_xlfn.XLOOKUP(FME_Ranking1[[#This Row],[FME ID]],FME_Input[FME_ID],FME_Input[FME_NAME])</f>
        <v>East Chocolate Bayou (E103-00-00)</v>
      </c>
      <c r="D2218" t="str">
        <f>_xlfn.XLOOKUP(FME_Ranking1[[#This Row],[FME ID]],FME_Input[FME_ID],FME_Input[DESCR])</f>
        <v>Further study including Atlas 14 rainfall incorporation and Benefit Cost Analysis of proposed channel modifications included in the City of Pearland master drainage plan.</v>
      </c>
      <c r="E2218" s="256">
        <f>_xlfn.XLOOKUP(FME_Ranking1[[#This Row],[FME ID]],FME_Input[FME_ID],FME_Input[FME_COST])</f>
        <v>48000</v>
      </c>
      <c r="F2218" t="str">
        <f>_xlfn.XLOOKUP(FME_Ranking1[[#This Row],[FME ID]],FME_Input[FME_ID],FME_Input[EMER_NEED])</f>
        <v>No</v>
      </c>
      <c r="G2218">
        <f>IF(FME_Ranking!F2218="Yes",100,0)</f>
        <v>0</v>
      </c>
      <c r="H2218">
        <f>FME_Ranking1[[#This Row],[Emergency Need Score (Normalized, Unweighted)]]*$F$3</f>
        <v>0</v>
      </c>
      <c r="I2218" s="246">
        <f>_xlfn.XLOOKUP(FME_Ranking1[[#This Row],[FME ID]],FME_Input[FME_ID],FME_Input[STRUCT_100])</f>
        <v>0</v>
      </c>
      <c r="J2218" s="178">
        <f>(FME_Ranking1[[#This Row],[Structures 100 Raw]]/I$2)*100</f>
        <v>0</v>
      </c>
      <c r="K2218" s="178">
        <f>FME_Ranking1[[#This Row],[Structures 100  Score (Normalized, Unweighted)]]*$I$3</f>
        <v>0</v>
      </c>
      <c r="L2218" s="246">
        <f>_xlfn.XLOOKUP(FME_Ranking1[[#This Row],[FME ID]],FME_Input[FME_ID],FME_Input[RES_STRUCT100])</f>
        <v>0</v>
      </c>
      <c r="M2218" s="230">
        <f>(FME_Ranking1[[#This Row],[Res Structures Raw]]/L$2)*100</f>
        <v>0</v>
      </c>
      <c r="N2218" s="180">
        <f>FME_Ranking1[[#This Row],[Res Structures Score (Normalized, Unweighted)]]*$L$3</f>
        <v>0</v>
      </c>
      <c r="O2218" s="244">
        <f>_xlfn.XLOOKUP(FME_Ranking1[[#This Row],[FME ID]],FME_Input[FME_ID],FME_Input[POP100])</f>
        <v>0</v>
      </c>
      <c r="P2218" s="178">
        <f>(FME_Ranking1[[#This Row],[Pop Raw]]/$O$2)*100</f>
        <v>0</v>
      </c>
      <c r="Q2218" s="178">
        <f>FME_Ranking1[[#This Row],[Pop Score (Normalized, Unweighted)]]*$O$3</f>
        <v>0</v>
      </c>
      <c r="R2218" s="137">
        <f>_xlfn.XLOOKUP(FME_Ranking1[[#This Row],[FME ID]],FME_Input[FME_ID],FME_Input[CRITFAC100])</f>
        <v>0</v>
      </c>
      <c r="S2218" s="230">
        <f>(FME_Ranking1[[#This Row],[Critical Facilities Raw]]/$R$2)*100</f>
        <v>0</v>
      </c>
      <c r="T2218" s="180">
        <f>FME_Ranking1[[#This Row],[Critical Facilities Score (Normalized, Unweighted)]]*$R$3</f>
        <v>0</v>
      </c>
      <c r="U2218">
        <f>_xlfn.XLOOKUP(FME_Ranking1[[#This Row],[FME ID]],FME_Input[FME_ID],FME_Input[LWC])</f>
        <v>0</v>
      </c>
      <c r="V2218" s="178">
        <f>(FME_Ranking1[[#This Row],[LWC Raw]]/$U$2)*100</f>
        <v>0</v>
      </c>
      <c r="W2218" s="178">
        <f>FME_Ranking1[[#This Row],[LWC Score (Normalized, Unweighted)]]*$U$3</f>
        <v>0</v>
      </c>
      <c r="X2218" s="246">
        <f>_xlfn.XLOOKUP(FME_Ranking1[[#This Row],[FME ID]],FME_Input[FME_ID],FME_Input[ROADCLS])</f>
        <v>0</v>
      </c>
      <c r="Y2218" s="230">
        <f>(FME_Ranking1[[#This Row],[Closures Raw]]/$X$2)*100</f>
        <v>0</v>
      </c>
      <c r="Z2218" s="180">
        <f>FME_Ranking1[[#This Row],[Closures Score (Normalized, Unweighted)]]*$X$3</f>
        <v>0</v>
      </c>
      <c r="AA2218" s="253">
        <f>_xlfn.XLOOKUP(FME_Ranking1[[#This Row],[FME ID]],FME_Input[FME_ID],FME_Input[ROAD_MILES100])</f>
        <v>1.3530120253562931E-2</v>
      </c>
      <c r="AB2218" s="178">
        <f>(FME_Ranking1[[#This Row],[Miles Raw]]/$AA$2)*100</f>
        <v>1.7789681392441848E-4</v>
      </c>
      <c r="AC2218" s="178">
        <f>FME_Ranking1[[#This Row],[Miles Score (Normalized, Unweighted)]]*$AA$3</f>
        <v>1.7789681392441848E-5</v>
      </c>
      <c r="AD2218" s="255">
        <f>_xlfn.XLOOKUP(FME_Ranking1[[#This Row],[FME ID]],FME_Input[FME_ID],FME_Input[FARMACRE100])</f>
        <v>0</v>
      </c>
      <c r="AE2218" s="230">
        <f>(FME_Ranking1[[#This Row],[Ag Land Raw]]/$AD$2)*100</f>
        <v>0</v>
      </c>
      <c r="AF2218" s="231">
        <f>FME_Ranking1[[#This Row],[Ag Land Score (Normalized, Unweighted)]]*$AD$3</f>
        <v>0</v>
      </c>
      <c r="AG221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1.7789681392441848E-5</v>
      </c>
      <c r="AH2218" s="406">
        <f t="shared" si="34"/>
        <v>2163</v>
      </c>
      <c r="AI221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1.7789681392441848E-5</v>
      </c>
      <c r="AJ2218" s="257">
        <f>FME_Ranking1[[#This Row],[Addition check]]-FME_Ranking1[[#This Row],[Weighted Score Based on Normalized Reported Factors]]</f>
        <v>0</v>
      </c>
      <c r="AK2218" s="178">
        <f>_xlfn.RANK.EQ(AI2218,$AI$6:$AI$2341,0)+COUNTIF($AI$6:AI2218,AI2218)-1</f>
        <v>2163</v>
      </c>
    </row>
    <row r="2219" spans="1:37" x14ac:dyDescent="0.25">
      <c r="A2219" t="s">
        <v>6924</v>
      </c>
      <c r="B2219">
        <f>_xlfn.XLOOKUP(FME_Ranking1[[#This Row],[FME ID]],FME_Input[FME_ID],FME_Input[RFPG_NUM])</f>
        <v>7</v>
      </c>
      <c r="C2219" t="str">
        <f>_xlfn.XLOOKUP(FME_Ranking1[[#This Row],[FME ID]],FME_Input[FME_ID],FME_Input[FME_NAME])</f>
        <v>Town of Megargel DMP</v>
      </c>
      <c r="D2219" t="str">
        <f>_xlfn.XLOOKUP(FME_Ranking1[[#This Row],[FME ID]],FME_Input[FME_ID],FME_Input[DESCR])</f>
        <v>Evaluate town to identify future projects, analyze roads/stream crossing for emergency response vehicles to high hazard areas. Evaluate the storm drain system for capacity and functionality.</v>
      </c>
      <c r="E2219" s="256">
        <f>_xlfn.XLOOKUP(FME_Ranking1[[#This Row],[FME ID]],FME_Input[FME_ID],FME_Input[FME_COST])</f>
        <v>250000</v>
      </c>
      <c r="F2219" t="str">
        <f>_xlfn.XLOOKUP(FME_Ranking1[[#This Row],[FME ID]],FME_Input[FME_ID],FME_Input[EMER_NEED])</f>
        <v>No</v>
      </c>
      <c r="G2219">
        <f>IF(FME_Ranking!F2219="Yes",100,0)</f>
        <v>0</v>
      </c>
      <c r="H2219">
        <f>FME_Ranking1[[#This Row],[Emergency Need Score (Normalized, Unweighted)]]*$F$3</f>
        <v>0</v>
      </c>
      <c r="I2219" s="246">
        <f>_xlfn.XLOOKUP(FME_Ranking1[[#This Row],[FME ID]],FME_Input[FME_ID],FME_Input[STRUCT_100])</f>
        <v>0</v>
      </c>
      <c r="J2219" s="178">
        <f>(FME_Ranking1[[#This Row],[Structures 100 Raw]]/I$2)*100</f>
        <v>0</v>
      </c>
      <c r="K2219" s="178">
        <f>FME_Ranking1[[#This Row],[Structures 100  Score (Normalized, Unweighted)]]*$I$3</f>
        <v>0</v>
      </c>
      <c r="L2219" s="246">
        <f>_xlfn.XLOOKUP(FME_Ranking1[[#This Row],[FME ID]],FME_Input[FME_ID],FME_Input[RES_STRUCT100])</f>
        <v>0</v>
      </c>
      <c r="M2219" s="230">
        <f>(FME_Ranking1[[#This Row],[Res Structures Raw]]/L$2)*100</f>
        <v>0</v>
      </c>
      <c r="N2219" s="180">
        <f>FME_Ranking1[[#This Row],[Res Structures Score (Normalized, Unweighted)]]*$L$3</f>
        <v>0</v>
      </c>
      <c r="O2219" s="244">
        <f>_xlfn.XLOOKUP(FME_Ranking1[[#This Row],[FME ID]],FME_Input[FME_ID],FME_Input[POP100])</f>
        <v>0</v>
      </c>
      <c r="P2219" s="178">
        <f>(FME_Ranking1[[#This Row],[Pop Raw]]/$O$2)*100</f>
        <v>0</v>
      </c>
      <c r="Q2219" s="178">
        <f>FME_Ranking1[[#This Row],[Pop Score (Normalized, Unweighted)]]*$O$3</f>
        <v>0</v>
      </c>
      <c r="R2219" s="137">
        <f>_xlfn.XLOOKUP(FME_Ranking1[[#This Row],[FME ID]],FME_Input[FME_ID],FME_Input[CRITFAC100])</f>
        <v>0</v>
      </c>
      <c r="S2219" s="230">
        <f>(FME_Ranking1[[#This Row],[Critical Facilities Raw]]/$R$2)*100</f>
        <v>0</v>
      </c>
      <c r="T2219" s="180">
        <f>FME_Ranking1[[#This Row],[Critical Facilities Score (Normalized, Unweighted)]]*$R$3</f>
        <v>0</v>
      </c>
      <c r="U2219">
        <f>_xlfn.XLOOKUP(FME_Ranking1[[#This Row],[FME ID]],FME_Input[FME_ID],FME_Input[LWC])</f>
        <v>0</v>
      </c>
      <c r="V2219" s="178">
        <f>(FME_Ranking1[[#This Row],[LWC Raw]]/$U$2)*100</f>
        <v>0</v>
      </c>
      <c r="W2219" s="178">
        <f>FME_Ranking1[[#This Row],[LWC Score (Normalized, Unweighted)]]*$U$3</f>
        <v>0</v>
      </c>
      <c r="X2219" s="246">
        <f>_xlfn.XLOOKUP(FME_Ranking1[[#This Row],[FME ID]],FME_Input[FME_ID],FME_Input[ROADCLS])</f>
        <v>0</v>
      </c>
      <c r="Y2219" s="230">
        <f>(FME_Ranking1[[#This Row],[Closures Raw]]/$X$2)*100</f>
        <v>0</v>
      </c>
      <c r="Z2219" s="180">
        <f>FME_Ranking1[[#This Row],[Closures Score (Normalized, Unweighted)]]*$X$3</f>
        <v>0</v>
      </c>
      <c r="AA2219" s="253">
        <f>_xlfn.XLOOKUP(FME_Ranking1[[#This Row],[FME ID]],FME_Input[FME_ID],FME_Input[ROAD_MILES100])</f>
        <v>0</v>
      </c>
      <c r="AB2219" s="178">
        <f>(FME_Ranking1[[#This Row],[Miles Raw]]/$AA$2)*100</f>
        <v>0</v>
      </c>
      <c r="AC2219" s="178">
        <f>FME_Ranking1[[#This Row],[Miles Score (Normalized, Unweighted)]]*$AA$3</f>
        <v>0</v>
      </c>
      <c r="AD2219" s="255">
        <f>_xlfn.XLOOKUP(FME_Ranking1[[#This Row],[FME ID]],FME_Input[FME_ID],FME_Input[FARMACRE100])</f>
        <v>0</v>
      </c>
      <c r="AE2219" s="230">
        <f>(FME_Ranking1[[#This Row],[Ag Land Raw]]/$AD$2)*100</f>
        <v>0</v>
      </c>
      <c r="AF2219" s="231">
        <f>FME_Ranking1[[#This Row],[Ag Land Score (Normalized, Unweighted)]]*$AD$3</f>
        <v>0</v>
      </c>
      <c r="AG221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19" s="406">
        <f t="shared" si="34"/>
        <v>2198</v>
      </c>
      <c r="AI221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19" s="257">
        <f>FME_Ranking1[[#This Row],[Addition check]]-FME_Ranking1[[#This Row],[Weighted Score Based on Normalized Reported Factors]]</f>
        <v>0</v>
      </c>
      <c r="AK2219" s="178">
        <f>_xlfn.RANK.EQ(AI2219,$AI$6:$AI$2341,0)+COUNTIF($AI$6:AI2219,AI2219)-1</f>
        <v>2230</v>
      </c>
    </row>
    <row r="2220" spans="1:37" x14ac:dyDescent="0.25">
      <c r="A2220" t="s">
        <v>6931</v>
      </c>
      <c r="B2220">
        <f>_xlfn.XLOOKUP(FME_Ranking1[[#This Row],[FME ID]],FME_Input[FME_ID],FME_Input[RFPG_NUM])</f>
        <v>7</v>
      </c>
      <c r="C2220" t="str">
        <f>_xlfn.XLOOKUP(FME_Ranking1[[#This Row],[FME ID]],FME_Input[FME_ID],FME_Input[FME_NAME])</f>
        <v>City of Clyde DMP</v>
      </c>
      <c r="D2220" t="str">
        <f>_xlfn.XLOOKUP(FME_Ranking1[[#This Row],[FME ID]],FME_Input[FME_ID],FME_Input[DESCR])</f>
        <v>Evaluate city to identify future projects, analyze roads/stream crossing for emergency response vehicles to high hazard areas</v>
      </c>
      <c r="E2220" s="256">
        <f>_xlfn.XLOOKUP(FME_Ranking1[[#This Row],[FME ID]],FME_Input[FME_ID],FME_Input[FME_COST])</f>
        <v>250000</v>
      </c>
      <c r="F2220" t="str">
        <f>_xlfn.XLOOKUP(FME_Ranking1[[#This Row],[FME ID]],FME_Input[FME_ID],FME_Input[EMER_NEED])</f>
        <v>No</v>
      </c>
      <c r="G2220">
        <f>IF(FME_Ranking!F2220="Yes",100,0)</f>
        <v>0</v>
      </c>
      <c r="H2220">
        <f>FME_Ranking1[[#This Row],[Emergency Need Score (Normalized, Unweighted)]]*$F$3</f>
        <v>0</v>
      </c>
      <c r="I2220" s="246">
        <f>_xlfn.XLOOKUP(FME_Ranking1[[#This Row],[FME ID]],FME_Input[FME_ID],FME_Input[STRUCT_100])</f>
        <v>0</v>
      </c>
      <c r="J2220" s="178">
        <f>(FME_Ranking1[[#This Row],[Structures 100 Raw]]/I$2)*100</f>
        <v>0</v>
      </c>
      <c r="K2220" s="178">
        <f>FME_Ranking1[[#This Row],[Structures 100  Score (Normalized, Unweighted)]]*$I$3</f>
        <v>0</v>
      </c>
      <c r="L2220" s="246">
        <f>_xlfn.XLOOKUP(FME_Ranking1[[#This Row],[FME ID]],FME_Input[FME_ID],FME_Input[RES_STRUCT100])</f>
        <v>0</v>
      </c>
      <c r="M2220" s="230">
        <f>(FME_Ranking1[[#This Row],[Res Structures Raw]]/L$2)*100</f>
        <v>0</v>
      </c>
      <c r="N2220" s="180">
        <f>FME_Ranking1[[#This Row],[Res Structures Score (Normalized, Unweighted)]]*$L$3</f>
        <v>0</v>
      </c>
      <c r="O2220" s="244">
        <f>_xlfn.XLOOKUP(FME_Ranking1[[#This Row],[FME ID]],FME_Input[FME_ID],FME_Input[POP100])</f>
        <v>0</v>
      </c>
      <c r="P2220" s="178">
        <f>(FME_Ranking1[[#This Row],[Pop Raw]]/$O$2)*100</f>
        <v>0</v>
      </c>
      <c r="Q2220" s="178">
        <f>FME_Ranking1[[#This Row],[Pop Score (Normalized, Unweighted)]]*$O$3</f>
        <v>0</v>
      </c>
      <c r="R2220" s="137">
        <f>_xlfn.XLOOKUP(FME_Ranking1[[#This Row],[FME ID]],FME_Input[FME_ID],FME_Input[CRITFAC100])</f>
        <v>0</v>
      </c>
      <c r="S2220" s="230">
        <f>(FME_Ranking1[[#This Row],[Critical Facilities Raw]]/$R$2)*100</f>
        <v>0</v>
      </c>
      <c r="T2220" s="180">
        <f>FME_Ranking1[[#This Row],[Critical Facilities Score (Normalized, Unweighted)]]*$R$3</f>
        <v>0</v>
      </c>
      <c r="U2220">
        <f>_xlfn.XLOOKUP(FME_Ranking1[[#This Row],[FME ID]],FME_Input[FME_ID],FME_Input[LWC])</f>
        <v>0</v>
      </c>
      <c r="V2220" s="178">
        <f>(FME_Ranking1[[#This Row],[LWC Raw]]/$U$2)*100</f>
        <v>0</v>
      </c>
      <c r="W2220" s="178">
        <f>FME_Ranking1[[#This Row],[LWC Score (Normalized, Unweighted)]]*$U$3</f>
        <v>0</v>
      </c>
      <c r="X2220" s="246">
        <f>_xlfn.XLOOKUP(FME_Ranking1[[#This Row],[FME ID]],FME_Input[FME_ID],FME_Input[ROADCLS])</f>
        <v>0</v>
      </c>
      <c r="Y2220" s="230">
        <f>(FME_Ranking1[[#This Row],[Closures Raw]]/$X$2)*100</f>
        <v>0</v>
      </c>
      <c r="Z2220" s="180">
        <f>FME_Ranking1[[#This Row],[Closures Score (Normalized, Unweighted)]]*$X$3</f>
        <v>0</v>
      </c>
      <c r="AA2220" s="253">
        <f>_xlfn.XLOOKUP(FME_Ranking1[[#This Row],[FME ID]],FME_Input[FME_ID],FME_Input[ROAD_MILES100])</f>
        <v>0</v>
      </c>
      <c r="AB2220" s="178">
        <f>(FME_Ranking1[[#This Row],[Miles Raw]]/$AA$2)*100</f>
        <v>0</v>
      </c>
      <c r="AC2220" s="178">
        <f>FME_Ranking1[[#This Row],[Miles Score (Normalized, Unweighted)]]*$AA$3</f>
        <v>0</v>
      </c>
      <c r="AD2220" s="255">
        <f>_xlfn.XLOOKUP(FME_Ranking1[[#This Row],[FME ID]],FME_Input[FME_ID],FME_Input[FARMACRE100])</f>
        <v>0</v>
      </c>
      <c r="AE2220" s="230">
        <f>(FME_Ranking1[[#This Row],[Ag Land Raw]]/$AD$2)*100</f>
        <v>0</v>
      </c>
      <c r="AF2220" s="231">
        <f>FME_Ranking1[[#This Row],[Ag Land Score (Normalized, Unweighted)]]*$AD$3</f>
        <v>0</v>
      </c>
      <c r="AG222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20" s="406">
        <f t="shared" si="34"/>
        <v>2198</v>
      </c>
      <c r="AI222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20" s="257">
        <f>FME_Ranking1[[#This Row],[Addition check]]-FME_Ranking1[[#This Row],[Weighted Score Based on Normalized Reported Factors]]</f>
        <v>0</v>
      </c>
      <c r="AK2220" s="178">
        <f>_xlfn.RANK.EQ(AI2220,$AI$6:$AI$2341,0)+COUNTIF($AI$6:AI2220,AI2220)-1</f>
        <v>2231</v>
      </c>
    </row>
    <row r="2221" spans="1:37" x14ac:dyDescent="0.25">
      <c r="A2221" t="s">
        <v>7086</v>
      </c>
      <c r="B2221">
        <f>_xlfn.XLOOKUP(FME_Ranking1[[#This Row],[FME ID]],FME_Input[FME_ID],FME_Input[RFPG_NUM])</f>
        <v>7</v>
      </c>
      <c r="C2221" t="str">
        <f>_xlfn.XLOOKUP(FME_Ranking1[[#This Row],[FME ID]],FME_Input[FME_ID],FME_Input[FME_NAME])</f>
        <v>City of Tuscola DMP</v>
      </c>
      <c r="D2221" t="str">
        <f>_xlfn.XLOOKUP(FME_Ranking1[[#This Row],[FME ID]],FME_Input[FME_ID],FME_Input[DESCR])</f>
        <v>Evaluate city to identify future projects, analyze roads/stream crossing for emergency response vehicles to high hazard areas</v>
      </c>
      <c r="E2221" s="256">
        <f>_xlfn.XLOOKUP(FME_Ranking1[[#This Row],[FME ID]],FME_Input[FME_ID],FME_Input[FME_COST])</f>
        <v>250000</v>
      </c>
      <c r="F2221" t="str">
        <f>_xlfn.XLOOKUP(FME_Ranking1[[#This Row],[FME ID]],FME_Input[FME_ID],FME_Input[EMER_NEED])</f>
        <v>No</v>
      </c>
      <c r="G2221">
        <f>IF(FME_Ranking!F2221="Yes",100,0)</f>
        <v>0</v>
      </c>
      <c r="H2221">
        <f>FME_Ranking1[[#This Row],[Emergency Need Score (Normalized, Unweighted)]]*$F$3</f>
        <v>0</v>
      </c>
      <c r="I2221" s="246">
        <f>_xlfn.XLOOKUP(FME_Ranking1[[#This Row],[FME ID]],FME_Input[FME_ID],FME_Input[STRUCT_100])</f>
        <v>0</v>
      </c>
      <c r="J2221" s="178">
        <f>(FME_Ranking1[[#This Row],[Structures 100 Raw]]/I$2)*100</f>
        <v>0</v>
      </c>
      <c r="K2221" s="178">
        <f>FME_Ranking1[[#This Row],[Structures 100  Score (Normalized, Unweighted)]]*$I$3</f>
        <v>0</v>
      </c>
      <c r="L2221" s="246">
        <f>_xlfn.XLOOKUP(FME_Ranking1[[#This Row],[FME ID]],FME_Input[FME_ID],FME_Input[RES_STRUCT100])</f>
        <v>0</v>
      </c>
      <c r="M2221" s="230">
        <f>(FME_Ranking1[[#This Row],[Res Structures Raw]]/L$2)*100</f>
        <v>0</v>
      </c>
      <c r="N2221" s="180">
        <f>FME_Ranking1[[#This Row],[Res Structures Score (Normalized, Unweighted)]]*$L$3</f>
        <v>0</v>
      </c>
      <c r="O2221" s="244">
        <f>_xlfn.XLOOKUP(FME_Ranking1[[#This Row],[FME ID]],FME_Input[FME_ID],FME_Input[POP100])</f>
        <v>0</v>
      </c>
      <c r="P2221" s="178">
        <f>(FME_Ranking1[[#This Row],[Pop Raw]]/$O$2)*100</f>
        <v>0</v>
      </c>
      <c r="Q2221" s="178">
        <f>FME_Ranking1[[#This Row],[Pop Score (Normalized, Unweighted)]]*$O$3</f>
        <v>0</v>
      </c>
      <c r="R2221" s="137">
        <f>_xlfn.XLOOKUP(FME_Ranking1[[#This Row],[FME ID]],FME_Input[FME_ID],FME_Input[CRITFAC100])</f>
        <v>0</v>
      </c>
      <c r="S2221" s="230">
        <f>(FME_Ranking1[[#This Row],[Critical Facilities Raw]]/$R$2)*100</f>
        <v>0</v>
      </c>
      <c r="T2221" s="180">
        <f>FME_Ranking1[[#This Row],[Critical Facilities Score (Normalized, Unweighted)]]*$R$3</f>
        <v>0</v>
      </c>
      <c r="U2221">
        <f>_xlfn.XLOOKUP(FME_Ranking1[[#This Row],[FME ID]],FME_Input[FME_ID],FME_Input[LWC])</f>
        <v>0</v>
      </c>
      <c r="V2221" s="178">
        <f>(FME_Ranking1[[#This Row],[LWC Raw]]/$U$2)*100</f>
        <v>0</v>
      </c>
      <c r="W2221" s="178">
        <f>FME_Ranking1[[#This Row],[LWC Score (Normalized, Unweighted)]]*$U$3</f>
        <v>0</v>
      </c>
      <c r="X2221" s="246">
        <f>_xlfn.XLOOKUP(FME_Ranking1[[#This Row],[FME ID]],FME_Input[FME_ID],FME_Input[ROADCLS])</f>
        <v>0</v>
      </c>
      <c r="Y2221" s="230">
        <f>(FME_Ranking1[[#This Row],[Closures Raw]]/$X$2)*100</f>
        <v>0</v>
      </c>
      <c r="Z2221" s="180">
        <f>FME_Ranking1[[#This Row],[Closures Score (Normalized, Unweighted)]]*$X$3</f>
        <v>0</v>
      </c>
      <c r="AA2221" s="253">
        <f>_xlfn.XLOOKUP(FME_Ranking1[[#This Row],[FME ID]],FME_Input[FME_ID],FME_Input[ROAD_MILES100])</f>
        <v>0</v>
      </c>
      <c r="AB2221" s="178">
        <f>(FME_Ranking1[[#This Row],[Miles Raw]]/$AA$2)*100</f>
        <v>0</v>
      </c>
      <c r="AC2221" s="178">
        <f>FME_Ranking1[[#This Row],[Miles Score (Normalized, Unweighted)]]*$AA$3</f>
        <v>0</v>
      </c>
      <c r="AD2221" s="255">
        <f>_xlfn.XLOOKUP(FME_Ranking1[[#This Row],[FME ID]],FME_Input[FME_ID],FME_Input[FARMACRE100])</f>
        <v>0</v>
      </c>
      <c r="AE2221" s="230">
        <f>(FME_Ranking1[[#This Row],[Ag Land Raw]]/$AD$2)*100</f>
        <v>0</v>
      </c>
      <c r="AF2221" s="231">
        <f>FME_Ranking1[[#This Row],[Ag Land Score (Normalized, Unweighted)]]*$AD$3</f>
        <v>0</v>
      </c>
      <c r="AG222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21" s="406">
        <f t="shared" si="34"/>
        <v>2198</v>
      </c>
      <c r="AI222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21" s="257">
        <f>FME_Ranking1[[#This Row],[Addition check]]-FME_Ranking1[[#This Row],[Weighted Score Based on Normalized Reported Factors]]</f>
        <v>0</v>
      </c>
      <c r="AK2221" s="178">
        <f>_xlfn.RANK.EQ(AI2221,$AI$6:$AI$2341,0)+COUNTIF($AI$6:AI2221,AI2221)-1</f>
        <v>2232</v>
      </c>
    </row>
    <row r="2222" spans="1:37" x14ac:dyDescent="0.25">
      <c r="A2222" t="s">
        <v>7307</v>
      </c>
      <c r="B2222">
        <f>_xlfn.XLOOKUP(FME_Ranking1[[#This Row],[FME ID]],FME_Input[FME_ID],FME_Input[RFPG_NUM])</f>
        <v>7</v>
      </c>
      <c r="C2222" t="str">
        <f>_xlfn.XLOOKUP(FME_Ranking1[[#This Row],[FME ID]],FME_Input[FME_ID],FME_Input[FME_NAME])</f>
        <v>City of Clyde Flood Protection Lift Station Program</v>
      </c>
      <c r="D2222" t="str">
        <f>_xlfn.XLOOKUP(FME_Ranking1[[#This Row],[FME ID]],FME_Input[FME_ID],FME_Input[DESCR])</f>
        <v>Raise electrical components of sewage lift stations above the Base Flood Elevation (BFE).</v>
      </c>
      <c r="E2222" s="256">
        <f>_xlfn.XLOOKUP(FME_Ranking1[[#This Row],[FME ID]],FME_Input[FME_ID],FME_Input[FME_COST])</f>
        <v>100000</v>
      </c>
      <c r="F2222" t="str">
        <f>_xlfn.XLOOKUP(FME_Ranking1[[#This Row],[FME ID]],FME_Input[FME_ID],FME_Input[EMER_NEED])</f>
        <v>No</v>
      </c>
      <c r="G2222">
        <f>IF(FME_Ranking!F2222="Yes",100,0)</f>
        <v>0</v>
      </c>
      <c r="H2222">
        <f>FME_Ranking1[[#This Row],[Emergency Need Score (Normalized, Unweighted)]]*$F$3</f>
        <v>0</v>
      </c>
      <c r="I2222" s="246">
        <f>_xlfn.XLOOKUP(FME_Ranking1[[#This Row],[FME ID]],FME_Input[FME_ID],FME_Input[STRUCT_100])</f>
        <v>0</v>
      </c>
      <c r="J2222" s="178">
        <f>(FME_Ranking1[[#This Row],[Structures 100 Raw]]/I$2)*100</f>
        <v>0</v>
      </c>
      <c r="K2222" s="178">
        <f>FME_Ranking1[[#This Row],[Structures 100  Score (Normalized, Unweighted)]]*$I$3</f>
        <v>0</v>
      </c>
      <c r="L2222" s="246">
        <f>_xlfn.XLOOKUP(FME_Ranking1[[#This Row],[FME ID]],FME_Input[FME_ID],FME_Input[RES_STRUCT100])</f>
        <v>0</v>
      </c>
      <c r="M2222" s="230">
        <f>(FME_Ranking1[[#This Row],[Res Structures Raw]]/L$2)*100</f>
        <v>0</v>
      </c>
      <c r="N2222" s="180">
        <f>FME_Ranking1[[#This Row],[Res Structures Score (Normalized, Unweighted)]]*$L$3</f>
        <v>0</v>
      </c>
      <c r="O2222" s="244">
        <f>_xlfn.XLOOKUP(FME_Ranking1[[#This Row],[FME ID]],FME_Input[FME_ID],FME_Input[POP100])</f>
        <v>0</v>
      </c>
      <c r="P2222" s="178">
        <f>(FME_Ranking1[[#This Row],[Pop Raw]]/$O$2)*100</f>
        <v>0</v>
      </c>
      <c r="Q2222" s="178">
        <f>FME_Ranking1[[#This Row],[Pop Score (Normalized, Unweighted)]]*$O$3</f>
        <v>0</v>
      </c>
      <c r="R2222" s="137">
        <f>_xlfn.XLOOKUP(FME_Ranking1[[#This Row],[FME ID]],FME_Input[FME_ID],FME_Input[CRITFAC100])</f>
        <v>0</v>
      </c>
      <c r="S2222" s="230">
        <f>(FME_Ranking1[[#This Row],[Critical Facilities Raw]]/$R$2)*100</f>
        <v>0</v>
      </c>
      <c r="T2222" s="180">
        <f>FME_Ranking1[[#This Row],[Critical Facilities Score (Normalized, Unweighted)]]*$R$3</f>
        <v>0</v>
      </c>
      <c r="U2222">
        <f>_xlfn.XLOOKUP(FME_Ranking1[[#This Row],[FME ID]],FME_Input[FME_ID],FME_Input[LWC])</f>
        <v>0</v>
      </c>
      <c r="V2222" s="178">
        <f>(FME_Ranking1[[#This Row],[LWC Raw]]/$U$2)*100</f>
        <v>0</v>
      </c>
      <c r="W2222" s="178">
        <f>FME_Ranking1[[#This Row],[LWC Score (Normalized, Unweighted)]]*$U$3</f>
        <v>0</v>
      </c>
      <c r="X2222" s="246">
        <f>_xlfn.XLOOKUP(FME_Ranking1[[#This Row],[FME ID]],FME_Input[FME_ID],FME_Input[ROADCLS])</f>
        <v>0</v>
      </c>
      <c r="Y2222" s="230">
        <f>(FME_Ranking1[[#This Row],[Closures Raw]]/$X$2)*100</f>
        <v>0</v>
      </c>
      <c r="Z2222" s="180">
        <f>FME_Ranking1[[#This Row],[Closures Score (Normalized, Unweighted)]]*$X$3</f>
        <v>0</v>
      </c>
      <c r="AA2222" s="253">
        <f>_xlfn.XLOOKUP(FME_Ranking1[[#This Row],[FME ID]],FME_Input[FME_ID],FME_Input[ROAD_MILES100])</f>
        <v>0</v>
      </c>
      <c r="AB2222" s="178">
        <f>(FME_Ranking1[[#This Row],[Miles Raw]]/$AA$2)*100</f>
        <v>0</v>
      </c>
      <c r="AC2222" s="178">
        <f>FME_Ranking1[[#This Row],[Miles Score (Normalized, Unweighted)]]*$AA$3</f>
        <v>0</v>
      </c>
      <c r="AD2222" s="255">
        <f>_xlfn.XLOOKUP(FME_Ranking1[[#This Row],[FME ID]],FME_Input[FME_ID],FME_Input[FARMACRE100])</f>
        <v>0</v>
      </c>
      <c r="AE2222" s="230">
        <f>(FME_Ranking1[[#This Row],[Ag Land Raw]]/$AD$2)*100</f>
        <v>0</v>
      </c>
      <c r="AF2222" s="231">
        <f>FME_Ranking1[[#This Row],[Ag Land Score (Normalized, Unweighted)]]*$AD$3</f>
        <v>0</v>
      </c>
      <c r="AG222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22" s="406">
        <f t="shared" si="34"/>
        <v>2198</v>
      </c>
      <c r="AI222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22" s="257">
        <f>FME_Ranking1[[#This Row],[Addition check]]-FME_Ranking1[[#This Row],[Weighted Score Based on Normalized Reported Factors]]</f>
        <v>0</v>
      </c>
      <c r="AK2222" s="178">
        <f>_xlfn.RANK.EQ(AI2222,$AI$6:$AI$2341,0)+COUNTIF($AI$6:AI2222,AI2222)-1</f>
        <v>2233</v>
      </c>
    </row>
    <row r="2223" spans="1:37" x14ac:dyDescent="0.25">
      <c r="A2223" t="s">
        <v>7309</v>
      </c>
      <c r="B2223">
        <f>_xlfn.XLOOKUP(FME_Ranking1[[#This Row],[FME ID]],FME_Input[FME_ID],FME_Input[RFPG_NUM])</f>
        <v>7</v>
      </c>
      <c r="C2223" t="str">
        <f>_xlfn.XLOOKUP(FME_Ranking1[[#This Row],[FME ID]],FME_Input[FME_ID],FME_Input[FME_NAME])</f>
        <v>City of Clyde Higher Standards Program</v>
      </c>
      <c r="D2223" t="str">
        <f>_xlfn.XLOOKUP(FME_Ranking1[[#This Row],[FME ID]],FME_Input[FME_ID],FME_Input[DESCR])</f>
        <v>Adopt higher standards for new construction, increase freeboard requirements for structures in the SFHA; adopt a “no-rise” in BFE in the 100-year floodplain.  Update local flood ordinance to prohibit granting of variance in SFHA; Include “cumulativ</v>
      </c>
      <c r="E2223" s="256">
        <f>_xlfn.XLOOKUP(FME_Ranking1[[#This Row],[FME ID]],FME_Input[FME_ID],FME_Input[FME_COST])</f>
        <v>100000</v>
      </c>
      <c r="F2223" t="str">
        <f>_xlfn.XLOOKUP(FME_Ranking1[[#This Row],[FME ID]],FME_Input[FME_ID],FME_Input[EMER_NEED])</f>
        <v>No</v>
      </c>
      <c r="G2223">
        <f>IF(FME_Ranking!F2223="Yes",100,0)</f>
        <v>0</v>
      </c>
      <c r="H2223">
        <f>FME_Ranking1[[#This Row],[Emergency Need Score (Normalized, Unweighted)]]*$F$3</f>
        <v>0</v>
      </c>
      <c r="I2223" s="246">
        <f>_xlfn.XLOOKUP(FME_Ranking1[[#This Row],[FME ID]],FME_Input[FME_ID],FME_Input[STRUCT_100])</f>
        <v>0</v>
      </c>
      <c r="J2223" s="178">
        <f>(FME_Ranking1[[#This Row],[Structures 100 Raw]]/I$2)*100</f>
        <v>0</v>
      </c>
      <c r="K2223" s="178">
        <f>FME_Ranking1[[#This Row],[Structures 100  Score (Normalized, Unweighted)]]*$I$3</f>
        <v>0</v>
      </c>
      <c r="L2223" s="246">
        <f>_xlfn.XLOOKUP(FME_Ranking1[[#This Row],[FME ID]],FME_Input[FME_ID],FME_Input[RES_STRUCT100])</f>
        <v>0</v>
      </c>
      <c r="M2223" s="230">
        <f>(FME_Ranking1[[#This Row],[Res Structures Raw]]/L$2)*100</f>
        <v>0</v>
      </c>
      <c r="N2223" s="180">
        <f>FME_Ranking1[[#This Row],[Res Structures Score (Normalized, Unweighted)]]*$L$3</f>
        <v>0</v>
      </c>
      <c r="O2223" s="244">
        <f>_xlfn.XLOOKUP(FME_Ranking1[[#This Row],[FME ID]],FME_Input[FME_ID],FME_Input[POP100])</f>
        <v>0</v>
      </c>
      <c r="P2223" s="178">
        <f>(FME_Ranking1[[#This Row],[Pop Raw]]/$O$2)*100</f>
        <v>0</v>
      </c>
      <c r="Q2223" s="178">
        <f>FME_Ranking1[[#This Row],[Pop Score (Normalized, Unweighted)]]*$O$3</f>
        <v>0</v>
      </c>
      <c r="R2223" s="137">
        <f>_xlfn.XLOOKUP(FME_Ranking1[[#This Row],[FME ID]],FME_Input[FME_ID],FME_Input[CRITFAC100])</f>
        <v>0</v>
      </c>
      <c r="S2223" s="230">
        <f>(FME_Ranking1[[#This Row],[Critical Facilities Raw]]/$R$2)*100</f>
        <v>0</v>
      </c>
      <c r="T2223" s="180">
        <f>FME_Ranking1[[#This Row],[Critical Facilities Score (Normalized, Unweighted)]]*$R$3</f>
        <v>0</v>
      </c>
      <c r="U2223">
        <f>_xlfn.XLOOKUP(FME_Ranking1[[#This Row],[FME ID]],FME_Input[FME_ID],FME_Input[LWC])</f>
        <v>0</v>
      </c>
      <c r="V2223" s="178">
        <f>(FME_Ranking1[[#This Row],[LWC Raw]]/$U$2)*100</f>
        <v>0</v>
      </c>
      <c r="W2223" s="178">
        <f>FME_Ranking1[[#This Row],[LWC Score (Normalized, Unweighted)]]*$U$3</f>
        <v>0</v>
      </c>
      <c r="X2223" s="246">
        <f>_xlfn.XLOOKUP(FME_Ranking1[[#This Row],[FME ID]],FME_Input[FME_ID],FME_Input[ROADCLS])</f>
        <v>0</v>
      </c>
      <c r="Y2223" s="230">
        <f>(FME_Ranking1[[#This Row],[Closures Raw]]/$X$2)*100</f>
        <v>0</v>
      </c>
      <c r="Z2223" s="180">
        <f>FME_Ranking1[[#This Row],[Closures Score (Normalized, Unweighted)]]*$X$3</f>
        <v>0</v>
      </c>
      <c r="AA2223" s="253">
        <f>_xlfn.XLOOKUP(FME_Ranking1[[#This Row],[FME ID]],FME_Input[FME_ID],FME_Input[ROAD_MILES100])</f>
        <v>0</v>
      </c>
      <c r="AB2223" s="178">
        <f>(FME_Ranking1[[#This Row],[Miles Raw]]/$AA$2)*100</f>
        <v>0</v>
      </c>
      <c r="AC2223" s="178">
        <f>FME_Ranking1[[#This Row],[Miles Score (Normalized, Unweighted)]]*$AA$3</f>
        <v>0</v>
      </c>
      <c r="AD2223" s="255">
        <f>_xlfn.XLOOKUP(FME_Ranking1[[#This Row],[FME ID]],FME_Input[FME_ID],FME_Input[FARMACRE100])</f>
        <v>0</v>
      </c>
      <c r="AE2223" s="230">
        <f>(FME_Ranking1[[#This Row],[Ag Land Raw]]/$AD$2)*100</f>
        <v>0</v>
      </c>
      <c r="AF2223" s="231">
        <f>FME_Ranking1[[#This Row],[Ag Land Score (Normalized, Unweighted)]]*$AD$3</f>
        <v>0</v>
      </c>
      <c r="AG222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23" s="406">
        <f t="shared" si="34"/>
        <v>2198</v>
      </c>
      <c r="AI222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23" s="257">
        <f>FME_Ranking1[[#This Row],[Addition check]]-FME_Ranking1[[#This Row],[Weighted Score Based on Normalized Reported Factors]]</f>
        <v>0</v>
      </c>
      <c r="AK2223" s="178">
        <f>_xlfn.RANK.EQ(AI2223,$AI$6:$AI$2341,0)+COUNTIF($AI$6:AI2223,AI2223)-1</f>
        <v>2234</v>
      </c>
    </row>
    <row r="2224" spans="1:37" x14ac:dyDescent="0.25">
      <c r="A2224" t="s">
        <v>7311</v>
      </c>
      <c r="B2224">
        <f>_xlfn.XLOOKUP(FME_Ranking1[[#This Row],[FME ID]],FME_Input[FME_ID],FME_Input[RFPG_NUM])</f>
        <v>7</v>
      </c>
      <c r="C2224" t="str">
        <f>_xlfn.XLOOKUP(FME_Ranking1[[#This Row],[FME ID]],FME_Input[FME_ID],FME_Input[FME_NAME])</f>
        <v>City of Clyde Floodplain Open Space Program</v>
      </c>
      <c r="D2224" t="str">
        <f>_xlfn.XLOOKUP(FME_Ranking1[[#This Row],[FME ID]],FME_Input[FME_ID],FME_Input[DESCR])</f>
        <v>Acquire and preserve open spaces adjacent to floodplain areas. Protect floodplains in their natural state.</v>
      </c>
      <c r="E2224" s="256">
        <f>_xlfn.XLOOKUP(FME_Ranking1[[#This Row],[FME ID]],FME_Input[FME_ID],FME_Input[FME_COST])</f>
        <v>500000</v>
      </c>
      <c r="F2224" t="str">
        <f>_xlfn.XLOOKUP(FME_Ranking1[[#This Row],[FME ID]],FME_Input[FME_ID],FME_Input[EMER_NEED])</f>
        <v>No</v>
      </c>
      <c r="G2224">
        <f>IF(FME_Ranking!F2224="Yes",100,0)</f>
        <v>0</v>
      </c>
      <c r="H2224">
        <f>FME_Ranking1[[#This Row],[Emergency Need Score (Normalized, Unweighted)]]*$F$3</f>
        <v>0</v>
      </c>
      <c r="I2224" s="246">
        <f>_xlfn.XLOOKUP(FME_Ranking1[[#This Row],[FME ID]],FME_Input[FME_ID],FME_Input[STRUCT_100])</f>
        <v>0</v>
      </c>
      <c r="J2224" s="178">
        <f>(FME_Ranking1[[#This Row],[Structures 100 Raw]]/I$2)*100</f>
        <v>0</v>
      </c>
      <c r="K2224" s="178">
        <f>FME_Ranking1[[#This Row],[Structures 100  Score (Normalized, Unweighted)]]*$I$3</f>
        <v>0</v>
      </c>
      <c r="L2224" s="246">
        <f>_xlfn.XLOOKUP(FME_Ranking1[[#This Row],[FME ID]],FME_Input[FME_ID],FME_Input[RES_STRUCT100])</f>
        <v>0</v>
      </c>
      <c r="M2224" s="230">
        <f>(FME_Ranking1[[#This Row],[Res Structures Raw]]/L$2)*100</f>
        <v>0</v>
      </c>
      <c r="N2224" s="180">
        <f>FME_Ranking1[[#This Row],[Res Structures Score (Normalized, Unweighted)]]*$L$3</f>
        <v>0</v>
      </c>
      <c r="O2224" s="244">
        <f>_xlfn.XLOOKUP(FME_Ranking1[[#This Row],[FME ID]],FME_Input[FME_ID],FME_Input[POP100])</f>
        <v>0</v>
      </c>
      <c r="P2224" s="178">
        <f>(FME_Ranking1[[#This Row],[Pop Raw]]/$O$2)*100</f>
        <v>0</v>
      </c>
      <c r="Q2224" s="178">
        <f>FME_Ranking1[[#This Row],[Pop Score (Normalized, Unweighted)]]*$O$3</f>
        <v>0</v>
      </c>
      <c r="R2224" s="137">
        <f>_xlfn.XLOOKUP(FME_Ranking1[[#This Row],[FME ID]],FME_Input[FME_ID],FME_Input[CRITFAC100])</f>
        <v>0</v>
      </c>
      <c r="S2224" s="230">
        <f>(FME_Ranking1[[#This Row],[Critical Facilities Raw]]/$R$2)*100</f>
        <v>0</v>
      </c>
      <c r="T2224" s="180">
        <f>FME_Ranking1[[#This Row],[Critical Facilities Score (Normalized, Unweighted)]]*$R$3</f>
        <v>0</v>
      </c>
      <c r="U2224">
        <f>_xlfn.XLOOKUP(FME_Ranking1[[#This Row],[FME ID]],FME_Input[FME_ID],FME_Input[LWC])</f>
        <v>0</v>
      </c>
      <c r="V2224" s="178">
        <f>(FME_Ranking1[[#This Row],[LWC Raw]]/$U$2)*100</f>
        <v>0</v>
      </c>
      <c r="W2224" s="178">
        <f>FME_Ranking1[[#This Row],[LWC Score (Normalized, Unweighted)]]*$U$3</f>
        <v>0</v>
      </c>
      <c r="X2224" s="246">
        <f>_xlfn.XLOOKUP(FME_Ranking1[[#This Row],[FME ID]],FME_Input[FME_ID],FME_Input[ROADCLS])</f>
        <v>0</v>
      </c>
      <c r="Y2224" s="230">
        <f>(FME_Ranking1[[#This Row],[Closures Raw]]/$X$2)*100</f>
        <v>0</v>
      </c>
      <c r="Z2224" s="180">
        <f>FME_Ranking1[[#This Row],[Closures Score (Normalized, Unweighted)]]*$X$3</f>
        <v>0</v>
      </c>
      <c r="AA2224" s="253">
        <f>_xlfn.XLOOKUP(FME_Ranking1[[#This Row],[FME ID]],FME_Input[FME_ID],FME_Input[ROAD_MILES100])</f>
        <v>0</v>
      </c>
      <c r="AB2224" s="178">
        <f>(FME_Ranking1[[#This Row],[Miles Raw]]/$AA$2)*100</f>
        <v>0</v>
      </c>
      <c r="AC2224" s="178">
        <f>FME_Ranking1[[#This Row],[Miles Score (Normalized, Unweighted)]]*$AA$3</f>
        <v>0</v>
      </c>
      <c r="AD2224" s="255">
        <f>_xlfn.XLOOKUP(FME_Ranking1[[#This Row],[FME ID]],FME_Input[FME_ID],FME_Input[FARMACRE100])</f>
        <v>0</v>
      </c>
      <c r="AE2224" s="230">
        <f>(FME_Ranking1[[#This Row],[Ag Land Raw]]/$AD$2)*100</f>
        <v>0</v>
      </c>
      <c r="AF2224" s="231">
        <f>FME_Ranking1[[#This Row],[Ag Land Score (Normalized, Unweighted)]]*$AD$3</f>
        <v>0</v>
      </c>
      <c r="AG222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24" s="406">
        <f t="shared" si="34"/>
        <v>2198</v>
      </c>
      <c r="AI222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24" s="257">
        <f>FME_Ranking1[[#This Row],[Addition check]]-FME_Ranking1[[#This Row],[Weighted Score Based on Normalized Reported Factors]]</f>
        <v>0</v>
      </c>
      <c r="AK2224" s="178">
        <f>_xlfn.RANK.EQ(AI2224,$AI$6:$AI$2341,0)+COUNTIF($AI$6:AI2224,AI2224)-1</f>
        <v>2235</v>
      </c>
    </row>
    <row r="2225" spans="1:37" x14ac:dyDescent="0.25">
      <c r="A2225" t="s">
        <v>7337</v>
      </c>
      <c r="B2225">
        <f>_xlfn.XLOOKUP(FME_Ranking1[[#This Row],[FME ID]],FME_Input[FME_ID],FME_Input[RFPG_NUM])</f>
        <v>7</v>
      </c>
      <c r="C2225" t="str">
        <f>_xlfn.XLOOKUP(FME_Ranking1[[#This Row],[FME ID]],FME_Input[FME_ID],FME_Input[FME_NAME])</f>
        <v>City of Tuscola Flood Protection Lift Station Program</v>
      </c>
      <c r="D2225" t="str">
        <f>_xlfn.XLOOKUP(FME_Ranking1[[#This Row],[FME ID]],FME_Input[FME_ID],FME_Input[DESCR])</f>
        <v>Raise electrical components of sewage lift stations above the Base Flood Elevation (BFE).</v>
      </c>
      <c r="E2225" s="256">
        <f>_xlfn.XLOOKUP(FME_Ranking1[[#This Row],[FME ID]],FME_Input[FME_ID],FME_Input[FME_COST])</f>
        <v>100000</v>
      </c>
      <c r="F2225" t="str">
        <f>_xlfn.XLOOKUP(FME_Ranking1[[#This Row],[FME ID]],FME_Input[FME_ID],FME_Input[EMER_NEED])</f>
        <v>No</v>
      </c>
      <c r="G2225">
        <f>IF(FME_Ranking!F2225="Yes",100,0)</f>
        <v>0</v>
      </c>
      <c r="H2225">
        <f>FME_Ranking1[[#This Row],[Emergency Need Score (Normalized, Unweighted)]]*$F$3</f>
        <v>0</v>
      </c>
      <c r="I2225" s="246">
        <f>_xlfn.XLOOKUP(FME_Ranking1[[#This Row],[FME ID]],FME_Input[FME_ID],FME_Input[STRUCT_100])</f>
        <v>0</v>
      </c>
      <c r="J2225" s="178">
        <f>(FME_Ranking1[[#This Row],[Structures 100 Raw]]/I$2)*100</f>
        <v>0</v>
      </c>
      <c r="K2225" s="178">
        <f>FME_Ranking1[[#This Row],[Structures 100  Score (Normalized, Unweighted)]]*$I$3</f>
        <v>0</v>
      </c>
      <c r="L2225" s="246">
        <f>_xlfn.XLOOKUP(FME_Ranking1[[#This Row],[FME ID]],FME_Input[FME_ID],FME_Input[RES_STRUCT100])</f>
        <v>0</v>
      </c>
      <c r="M2225" s="230">
        <f>(FME_Ranking1[[#This Row],[Res Structures Raw]]/L$2)*100</f>
        <v>0</v>
      </c>
      <c r="N2225" s="180">
        <f>FME_Ranking1[[#This Row],[Res Structures Score (Normalized, Unweighted)]]*$L$3</f>
        <v>0</v>
      </c>
      <c r="O2225" s="244">
        <f>_xlfn.XLOOKUP(FME_Ranking1[[#This Row],[FME ID]],FME_Input[FME_ID],FME_Input[POP100])</f>
        <v>0</v>
      </c>
      <c r="P2225" s="178">
        <f>(FME_Ranking1[[#This Row],[Pop Raw]]/$O$2)*100</f>
        <v>0</v>
      </c>
      <c r="Q2225" s="178">
        <f>FME_Ranking1[[#This Row],[Pop Score (Normalized, Unweighted)]]*$O$3</f>
        <v>0</v>
      </c>
      <c r="R2225" s="137">
        <f>_xlfn.XLOOKUP(FME_Ranking1[[#This Row],[FME ID]],FME_Input[FME_ID],FME_Input[CRITFAC100])</f>
        <v>0</v>
      </c>
      <c r="S2225" s="230">
        <f>(FME_Ranking1[[#This Row],[Critical Facilities Raw]]/$R$2)*100</f>
        <v>0</v>
      </c>
      <c r="T2225" s="180">
        <f>FME_Ranking1[[#This Row],[Critical Facilities Score (Normalized, Unweighted)]]*$R$3</f>
        <v>0</v>
      </c>
      <c r="U2225">
        <f>_xlfn.XLOOKUP(FME_Ranking1[[#This Row],[FME ID]],FME_Input[FME_ID],FME_Input[LWC])</f>
        <v>0</v>
      </c>
      <c r="V2225" s="178">
        <f>(FME_Ranking1[[#This Row],[LWC Raw]]/$U$2)*100</f>
        <v>0</v>
      </c>
      <c r="W2225" s="178">
        <f>FME_Ranking1[[#This Row],[LWC Score (Normalized, Unweighted)]]*$U$3</f>
        <v>0</v>
      </c>
      <c r="X2225" s="246">
        <f>_xlfn.XLOOKUP(FME_Ranking1[[#This Row],[FME ID]],FME_Input[FME_ID],FME_Input[ROADCLS])</f>
        <v>0</v>
      </c>
      <c r="Y2225" s="230">
        <f>(FME_Ranking1[[#This Row],[Closures Raw]]/$X$2)*100</f>
        <v>0</v>
      </c>
      <c r="Z2225" s="180">
        <f>FME_Ranking1[[#This Row],[Closures Score (Normalized, Unweighted)]]*$X$3</f>
        <v>0</v>
      </c>
      <c r="AA2225" s="253">
        <f>_xlfn.XLOOKUP(FME_Ranking1[[#This Row],[FME ID]],FME_Input[FME_ID],FME_Input[ROAD_MILES100])</f>
        <v>0</v>
      </c>
      <c r="AB2225" s="178">
        <f>(FME_Ranking1[[#This Row],[Miles Raw]]/$AA$2)*100</f>
        <v>0</v>
      </c>
      <c r="AC2225" s="178">
        <f>FME_Ranking1[[#This Row],[Miles Score (Normalized, Unweighted)]]*$AA$3</f>
        <v>0</v>
      </c>
      <c r="AD2225" s="255">
        <f>_xlfn.XLOOKUP(FME_Ranking1[[#This Row],[FME ID]],FME_Input[FME_ID],FME_Input[FARMACRE100])</f>
        <v>0</v>
      </c>
      <c r="AE2225" s="230">
        <f>(FME_Ranking1[[#This Row],[Ag Land Raw]]/$AD$2)*100</f>
        <v>0</v>
      </c>
      <c r="AF2225" s="231">
        <f>FME_Ranking1[[#This Row],[Ag Land Score (Normalized, Unweighted)]]*$AD$3</f>
        <v>0</v>
      </c>
      <c r="AG222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25" s="406">
        <f t="shared" si="34"/>
        <v>2198</v>
      </c>
      <c r="AI222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25" s="257">
        <f>FME_Ranking1[[#This Row],[Addition check]]-FME_Ranking1[[#This Row],[Weighted Score Based on Normalized Reported Factors]]</f>
        <v>0</v>
      </c>
      <c r="AK2225" s="178">
        <f>_xlfn.RANK.EQ(AI2225,$AI$6:$AI$2341,0)+COUNTIF($AI$6:AI2225,AI2225)-1</f>
        <v>2236</v>
      </c>
    </row>
    <row r="2226" spans="1:37" x14ac:dyDescent="0.25">
      <c r="A2226" t="s">
        <v>7365</v>
      </c>
      <c r="B2226">
        <f>_xlfn.XLOOKUP(FME_Ranking1[[#This Row],[FME ID]],FME_Input[FME_ID],FME_Input[RFPG_NUM])</f>
        <v>7</v>
      </c>
      <c r="C2226" t="str">
        <f>_xlfn.XLOOKUP(FME_Ranking1[[#This Row],[FME ID]],FME_Input[FME_ID],FME_Input[FME_NAME])</f>
        <v>City of Abilene Treadway and S. 27th Street</v>
      </c>
      <c r="D2226" t="str">
        <f>_xlfn.XLOOKUP(FME_Ranking1[[#This Row],[FME ID]],FME_Input[FME_ID],FME_Input[DESCR])</f>
        <v>Construction of new storms drains and valley gutters</v>
      </c>
      <c r="E2226" s="256">
        <f>_xlfn.XLOOKUP(FME_Ranking1[[#This Row],[FME ID]],FME_Input[FME_ID],FME_Input[FME_COST])</f>
        <v>90948.203125</v>
      </c>
      <c r="F2226" t="str">
        <f>_xlfn.XLOOKUP(FME_Ranking1[[#This Row],[FME ID]],FME_Input[FME_ID],FME_Input[EMER_NEED])</f>
        <v>No</v>
      </c>
      <c r="G2226">
        <f>IF(FME_Ranking!F2226="Yes",100,0)</f>
        <v>0</v>
      </c>
      <c r="H2226">
        <f>FME_Ranking1[[#This Row],[Emergency Need Score (Normalized, Unweighted)]]*$F$3</f>
        <v>0</v>
      </c>
      <c r="I2226" s="246">
        <f>_xlfn.XLOOKUP(FME_Ranking1[[#This Row],[FME ID]],FME_Input[FME_ID],FME_Input[STRUCT_100])</f>
        <v>0</v>
      </c>
      <c r="J2226" s="178">
        <f>(FME_Ranking1[[#This Row],[Structures 100 Raw]]/I$2)*100</f>
        <v>0</v>
      </c>
      <c r="K2226" s="178">
        <f>FME_Ranking1[[#This Row],[Structures 100  Score (Normalized, Unweighted)]]*$I$3</f>
        <v>0</v>
      </c>
      <c r="L2226" s="246">
        <f>_xlfn.XLOOKUP(FME_Ranking1[[#This Row],[FME ID]],FME_Input[FME_ID],FME_Input[RES_STRUCT100])</f>
        <v>0</v>
      </c>
      <c r="M2226" s="230">
        <f>(FME_Ranking1[[#This Row],[Res Structures Raw]]/L$2)*100</f>
        <v>0</v>
      </c>
      <c r="N2226" s="180">
        <f>FME_Ranking1[[#This Row],[Res Structures Score (Normalized, Unweighted)]]*$L$3</f>
        <v>0</v>
      </c>
      <c r="O2226" s="244">
        <f>_xlfn.XLOOKUP(FME_Ranking1[[#This Row],[FME ID]],FME_Input[FME_ID],FME_Input[POP100])</f>
        <v>0</v>
      </c>
      <c r="P2226" s="178">
        <f>(FME_Ranking1[[#This Row],[Pop Raw]]/$O$2)*100</f>
        <v>0</v>
      </c>
      <c r="Q2226" s="178">
        <f>FME_Ranking1[[#This Row],[Pop Score (Normalized, Unweighted)]]*$O$3</f>
        <v>0</v>
      </c>
      <c r="R2226" s="137">
        <f>_xlfn.XLOOKUP(FME_Ranking1[[#This Row],[FME ID]],FME_Input[FME_ID],FME_Input[CRITFAC100])</f>
        <v>0</v>
      </c>
      <c r="S2226" s="230">
        <f>(FME_Ranking1[[#This Row],[Critical Facilities Raw]]/$R$2)*100</f>
        <v>0</v>
      </c>
      <c r="T2226" s="180">
        <f>FME_Ranking1[[#This Row],[Critical Facilities Score (Normalized, Unweighted)]]*$R$3</f>
        <v>0</v>
      </c>
      <c r="U2226">
        <f>_xlfn.XLOOKUP(FME_Ranking1[[#This Row],[FME ID]],FME_Input[FME_ID],FME_Input[LWC])</f>
        <v>0</v>
      </c>
      <c r="V2226" s="178">
        <f>(FME_Ranking1[[#This Row],[LWC Raw]]/$U$2)*100</f>
        <v>0</v>
      </c>
      <c r="W2226" s="178">
        <f>FME_Ranking1[[#This Row],[LWC Score (Normalized, Unweighted)]]*$U$3</f>
        <v>0</v>
      </c>
      <c r="X2226" s="246">
        <f>_xlfn.XLOOKUP(FME_Ranking1[[#This Row],[FME ID]],FME_Input[FME_ID],FME_Input[ROADCLS])</f>
        <v>0</v>
      </c>
      <c r="Y2226" s="230">
        <f>(FME_Ranking1[[#This Row],[Closures Raw]]/$X$2)*100</f>
        <v>0</v>
      </c>
      <c r="Z2226" s="180">
        <f>FME_Ranking1[[#This Row],[Closures Score (Normalized, Unweighted)]]*$X$3</f>
        <v>0</v>
      </c>
      <c r="AA2226" s="253">
        <f>_xlfn.XLOOKUP(FME_Ranking1[[#This Row],[FME ID]],FME_Input[FME_ID],FME_Input[ROAD_MILES100])</f>
        <v>0</v>
      </c>
      <c r="AB2226" s="178">
        <f>(FME_Ranking1[[#This Row],[Miles Raw]]/$AA$2)*100</f>
        <v>0</v>
      </c>
      <c r="AC2226" s="178">
        <f>FME_Ranking1[[#This Row],[Miles Score (Normalized, Unweighted)]]*$AA$3</f>
        <v>0</v>
      </c>
      <c r="AD2226" s="255">
        <f>_xlfn.XLOOKUP(FME_Ranking1[[#This Row],[FME ID]],FME_Input[FME_ID],FME_Input[FARMACRE100])</f>
        <v>0</v>
      </c>
      <c r="AE2226" s="230">
        <f>(FME_Ranking1[[#This Row],[Ag Land Raw]]/$AD$2)*100</f>
        <v>0</v>
      </c>
      <c r="AF2226" s="231">
        <f>FME_Ranking1[[#This Row],[Ag Land Score (Normalized, Unweighted)]]*$AD$3</f>
        <v>0</v>
      </c>
      <c r="AG222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26" s="406">
        <f t="shared" si="34"/>
        <v>2198</v>
      </c>
      <c r="AI222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26" s="257">
        <f>FME_Ranking1[[#This Row],[Addition check]]-FME_Ranking1[[#This Row],[Weighted Score Based on Normalized Reported Factors]]</f>
        <v>0</v>
      </c>
      <c r="AK2226" s="178">
        <f>_xlfn.RANK.EQ(AI2226,$AI$6:$AI$2341,0)+COUNTIF($AI$6:AI2226,AI2226)-1</f>
        <v>2237</v>
      </c>
    </row>
    <row r="2227" spans="1:37" x14ac:dyDescent="0.25">
      <c r="A2227" t="s">
        <v>7410</v>
      </c>
      <c r="B2227">
        <f>_xlfn.XLOOKUP(FME_Ranking1[[#This Row],[FME ID]],FME_Input[FME_ID],FME_Input[RFPG_NUM])</f>
        <v>7</v>
      </c>
      <c r="C2227" t="str">
        <f>_xlfn.XLOOKUP(FME_Ranking1[[#This Row],[FME ID]],FME_Input[FME_ID],FME_Input[FME_NAME])</f>
        <v>City of Lubbock Higginbothum Park</v>
      </c>
      <c r="D2227" t="str">
        <f>_xlfn.XLOOKUP(FME_Ranking1[[#This Row],[FME ID]],FME_Input[FME_ID],FME_Input[DESCR])</f>
        <v>Higginbothum Park Area of Interest</v>
      </c>
      <c r="E2227" s="256">
        <f>_xlfn.XLOOKUP(FME_Ranking1[[#This Row],[FME ID]],FME_Input[FME_ID],FME_Input[FME_COST])</f>
        <v>100000</v>
      </c>
      <c r="F2227" t="str">
        <f>_xlfn.XLOOKUP(FME_Ranking1[[#This Row],[FME ID]],FME_Input[FME_ID],FME_Input[EMER_NEED])</f>
        <v>No</v>
      </c>
      <c r="G2227">
        <f>IF(FME_Ranking!F2227="Yes",100,0)</f>
        <v>0</v>
      </c>
      <c r="H2227">
        <f>FME_Ranking1[[#This Row],[Emergency Need Score (Normalized, Unweighted)]]*$F$3</f>
        <v>0</v>
      </c>
      <c r="I2227" s="246">
        <f>_xlfn.XLOOKUP(FME_Ranking1[[#This Row],[FME ID]],FME_Input[FME_ID],FME_Input[STRUCT_100])</f>
        <v>0</v>
      </c>
      <c r="J2227" s="178">
        <f>(FME_Ranking1[[#This Row],[Structures 100 Raw]]/I$2)*100</f>
        <v>0</v>
      </c>
      <c r="K2227" s="178">
        <f>FME_Ranking1[[#This Row],[Structures 100  Score (Normalized, Unweighted)]]*$I$3</f>
        <v>0</v>
      </c>
      <c r="L2227" s="246">
        <f>_xlfn.XLOOKUP(FME_Ranking1[[#This Row],[FME ID]],FME_Input[FME_ID],FME_Input[RES_STRUCT100])</f>
        <v>0</v>
      </c>
      <c r="M2227" s="230">
        <f>(FME_Ranking1[[#This Row],[Res Structures Raw]]/L$2)*100</f>
        <v>0</v>
      </c>
      <c r="N2227" s="180">
        <f>FME_Ranking1[[#This Row],[Res Structures Score (Normalized, Unweighted)]]*$L$3</f>
        <v>0</v>
      </c>
      <c r="O2227" s="244">
        <f>_xlfn.XLOOKUP(FME_Ranking1[[#This Row],[FME ID]],FME_Input[FME_ID],FME_Input[POP100])</f>
        <v>0</v>
      </c>
      <c r="P2227" s="178">
        <f>(FME_Ranking1[[#This Row],[Pop Raw]]/$O$2)*100</f>
        <v>0</v>
      </c>
      <c r="Q2227" s="178">
        <f>FME_Ranking1[[#This Row],[Pop Score (Normalized, Unweighted)]]*$O$3</f>
        <v>0</v>
      </c>
      <c r="R2227" s="137">
        <f>_xlfn.XLOOKUP(FME_Ranking1[[#This Row],[FME ID]],FME_Input[FME_ID],FME_Input[CRITFAC100])</f>
        <v>0</v>
      </c>
      <c r="S2227" s="230">
        <f>(FME_Ranking1[[#This Row],[Critical Facilities Raw]]/$R$2)*100</f>
        <v>0</v>
      </c>
      <c r="T2227" s="180">
        <f>FME_Ranking1[[#This Row],[Critical Facilities Score (Normalized, Unweighted)]]*$R$3</f>
        <v>0</v>
      </c>
      <c r="U2227">
        <f>_xlfn.XLOOKUP(FME_Ranking1[[#This Row],[FME ID]],FME_Input[FME_ID],FME_Input[LWC])</f>
        <v>0</v>
      </c>
      <c r="V2227" s="178">
        <f>(FME_Ranking1[[#This Row],[LWC Raw]]/$U$2)*100</f>
        <v>0</v>
      </c>
      <c r="W2227" s="178">
        <f>FME_Ranking1[[#This Row],[LWC Score (Normalized, Unweighted)]]*$U$3</f>
        <v>0</v>
      </c>
      <c r="X2227" s="246">
        <f>_xlfn.XLOOKUP(FME_Ranking1[[#This Row],[FME ID]],FME_Input[FME_ID],FME_Input[ROADCLS])</f>
        <v>0</v>
      </c>
      <c r="Y2227" s="230">
        <f>(FME_Ranking1[[#This Row],[Closures Raw]]/$X$2)*100</f>
        <v>0</v>
      </c>
      <c r="Z2227" s="180">
        <f>FME_Ranking1[[#This Row],[Closures Score (Normalized, Unweighted)]]*$X$3</f>
        <v>0</v>
      </c>
      <c r="AA2227" s="253">
        <f>_xlfn.XLOOKUP(FME_Ranking1[[#This Row],[FME ID]],FME_Input[FME_ID],FME_Input[ROAD_MILES100])</f>
        <v>0</v>
      </c>
      <c r="AB2227" s="178">
        <f>(FME_Ranking1[[#This Row],[Miles Raw]]/$AA$2)*100</f>
        <v>0</v>
      </c>
      <c r="AC2227" s="178">
        <f>FME_Ranking1[[#This Row],[Miles Score (Normalized, Unweighted)]]*$AA$3</f>
        <v>0</v>
      </c>
      <c r="AD2227" s="255">
        <f>_xlfn.XLOOKUP(FME_Ranking1[[#This Row],[FME ID]],FME_Input[FME_ID],FME_Input[FARMACRE100])</f>
        <v>0</v>
      </c>
      <c r="AE2227" s="230">
        <f>(FME_Ranking1[[#This Row],[Ag Land Raw]]/$AD$2)*100</f>
        <v>0</v>
      </c>
      <c r="AF2227" s="231">
        <f>FME_Ranking1[[#This Row],[Ag Land Score (Normalized, Unweighted)]]*$AD$3</f>
        <v>0</v>
      </c>
      <c r="AG222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27" s="406">
        <f t="shared" si="34"/>
        <v>2198</v>
      </c>
      <c r="AI222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27" s="257">
        <f>FME_Ranking1[[#This Row],[Addition check]]-FME_Ranking1[[#This Row],[Weighted Score Based on Normalized Reported Factors]]</f>
        <v>0</v>
      </c>
      <c r="AK2227" s="178">
        <f>_xlfn.RANK.EQ(AI2227,$AI$6:$AI$2341,0)+COUNTIF($AI$6:AI2227,AI2227)-1</f>
        <v>2238</v>
      </c>
    </row>
    <row r="2228" spans="1:37" x14ac:dyDescent="0.25">
      <c r="A2228" t="s">
        <v>7691</v>
      </c>
      <c r="B2228">
        <f>_xlfn.XLOOKUP(FME_Ranking1[[#This Row],[FME ID]],FME_Input[FME_ID],FME_Input[RFPG_NUM])</f>
        <v>8</v>
      </c>
      <c r="C2228" t="str">
        <f>_xlfn.XLOOKUP(FME_Ranking1[[#This Row],[FME ID]],FME_Input[FME_ID],FME_Input[FME_NAME])</f>
        <v>Chimneystone, Austin, and Settlers Parks Improvements Phase II</v>
      </c>
      <c r="D2228" t="str">
        <f>_xlfn.XLOOKUP(FME_Ranking1[[#This Row],[FME ID]],FME_Input[FME_ID],FME_Input[DESCR])</f>
        <v>Design of new concrete channel and storm drain improvements.</v>
      </c>
      <c r="E2228" s="256">
        <f>_xlfn.XLOOKUP(FME_Ranking1[[#This Row],[FME ID]],FME_Input[FME_ID],FME_Input[FME_COST])</f>
        <v>288000</v>
      </c>
      <c r="F2228" t="str">
        <f>_xlfn.XLOOKUP(FME_Ranking1[[#This Row],[FME ID]],FME_Input[FME_ID],FME_Input[EMER_NEED])</f>
        <v>No</v>
      </c>
      <c r="G2228">
        <f>IF(FME_Ranking!F2228="Yes",100,0)</f>
        <v>0</v>
      </c>
      <c r="H2228">
        <f>FME_Ranking1[[#This Row],[Emergency Need Score (Normalized, Unweighted)]]*$F$3</f>
        <v>0</v>
      </c>
      <c r="I2228" s="246">
        <f>_xlfn.XLOOKUP(FME_Ranking1[[#This Row],[FME ID]],FME_Input[FME_ID],FME_Input[STRUCT_100])</f>
        <v>0</v>
      </c>
      <c r="J2228" s="178">
        <f>(FME_Ranking1[[#This Row],[Structures 100 Raw]]/I$2)*100</f>
        <v>0</v>
      </c>
      <c r="K2228" s="178">
        <f>FME_Ranking1[[#This Row],[Structures 100  Score (Normalized, Unweighted)]]*$I$3</f>
        <v>0</v>
      </c>
      <c r="L2228" s="246">
        <f>_xlfn.XLOOKUP(FME_Ranking1[[#This Row],[FME ID]],FME_Input[FME_ID],FME_Input[RES_STRUCT100])</f>
        <v>0</v>
      </c>
      <c r="M2228" s="230">
        <f>(FME_Ranking1[[#This Row],[Res Structures Raw]]/L$2)*100</f>
        <v>0</v>
      </c>
      <c r="N2228" s="180">
        <f>FME_Ranking1[[#This Row],[Res Structures Score (Normalized, Unweighted)]]*$L$3</f>
        <v>0</v>
      </c>
      <c r="O2228" s="244">
        <f>_xlfn.XLOOKUP(FME_Ranking1[[#This Row],[FME ID]],FME_Input[FME_ID],FME_Input[POP100])</f>
        <v>0</v>
      </c>
      <c r="P2228" s="178">
        <f>(FME_Ranking1[[#This Row],[Pop Raw]]/$O$2)*100</f>
        <v>0</v>
      </c>
      <c r="Q2228" s="178">
        <f>FME_Ranking1[[#This Row],[Pop Score (Normalized, Unweighted)]]*$O$3</f>
        <v>0</v>
      </c>
      <c r="R2228" s="137">
        <f>_xlfn.XLOOKUP(FME_Ranking1[[#This Row],[FME ID]],FME_Input[FME_ID],FME_Input[CRITFAC100])</f>
        <v>0</v>
      </c>
      <c r="S2228" s="230">
        <f>(FME_Ranking1[[#This Row],[Critical Facilities Raw]]/$R$2)*100</f>
        <v>0</v>
      </c>
      <c r="T2228" s="180">
        <f>FME_Ranking1[[#This Row],[Critical Facilities Score (Normalized, Unweighted)]]*$R$3</f>
        <v>0</v>
      </c>
      <c r="U2228">
        <f>_xlfn.XLOOKUP(FME_Ranking1[[#This Row],[FME ID]],FME_Input[FME_ID],FME_Input[LWC])</f>
        <v>0</v>
      </c>
      <c r="V2228" s="178">
        <f>(FME_Ranking1[[#This Row],[LWC Raw]]/$U$2)*100</f>
        <v>0</v>
      </c>
      <c r="W2228" s="178">
        <f>FME_Ranking1[[#This Row],[LWC Score (Normalized, Unweighted)]]*$U$3</f>
        <v>0</v>
      </c>
      <c r="X2228" s="246">
        <f>_xlfn.XLOOKUP(FME_Ranking1[[#This Row],[FME ID]],FME_Input[FME_ID],FME_Input[ROADCLS])</f>
        <v>0</v>
      </c>
      <c r="Y2228" s="230">
        <f>(FME_Ranking1[[#This Row],[Closures Raw]]/$X$2)*100</f>
        <v>0</v>
      </c>
      <c r="Z2228" s="180">
        <f>FME_Ranking1[[#This Row],[Closures Score (Normalized, Unweighted)]]*$X$3</f>
        <v>0</v>
      </c>
      <c r="AA2228" s="253">
        <f>_xlfn.XLOOKUP(FME_Ranking1[[#This Row],[FME ID]],FME_Input[FME_ID],FME_Input[ROAD_MILES100])</f>
        <v>0</v>
      </c>
      <c r="AB2228" s="178">
        <f>(FME_Ranking1[[#This Row],[Miles Raw]]/$AA$2)*100</f>
        <v>0</v>
      </c>
      <c r="AC2228" s="178">
        <f>FME_Ranking1[[#This Row],[Miles Score (Normalized, Unweighted)]]*$AA$3</f>
        <v>0</v>
      </c>
      <c r="AD2228" s="255">
        <f>_xlfn.XLOOKUP(FME_Ranking1[[#This Row],[FME ID]],FME_Input[FME_ID],FME_Input[FARMACRE100])</f>
        <v>0</v>
      </c>
      <c r="AE2228" s="230">
        <f>(FME_Ranking1[[#This Row],[Ag Land Raw]]/$AD$2)*100</f>
        <v>0</v>
      </c>
      <c r="AF2228" s="231">
        <f>FME_Ranking1[[#This Row],[Ag Land Score (Normalized, Unweighted)]]*$AD$3</f>
        <v>0</v>
      </c>
      <c r="AG222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28" s="406">
        <f t="shared" si="34"/>
        <v>2198</v>
      </c>
      <c r="AI222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28" s="257">
        <f>FME_Ranking1[[#This Row],[Addition check]]-FME_Ranking1[[#This Row],[Weighted Score Based on Normalized Reported Factors]]</f>
        <v>0</v>
      </c>
      <c r="AK2228" s="178">
        <f>_xlfn.RANK.EQ(AI2228,$AI$6:$AI$2341,0)+COUNTIF($AI$6:AI2228,AI2228)-1</f>
        <v>2239</v>
      </c>
    </row>
    <row r="2229" spans="1:37" x14ac:dyDescent="0.25">
      <c r="A2229" t="s">
        <v>7712</v>
      </c>
      <c r="B2229">
        <f>_xlfn.XLOOKUP(FME_Ranking1[[#This Row],[FME ID]],FME_Input[FME_ID],FME_Input[RFPG_NUM])</f>
        <v>8</v>
      </c>
      <c r="C2229" t="str">
        <f>_xlfn.XLOOKUP(FME_Ranking1[[#This Row],[FME ID]],FME_Input[FME_ID],FME_Input[FME_NAME])</f>
        <v>Colony Bend, Colony Grant, Stephens Grant Drainage Improvements</v>
      </c>
      <c r="D2229" t="str">
        <f>_xlfn.XLOOKUP(FME_Ranking1[[#This Row],[FME ID]],FME_Input[FME_ID],FME_Input[DESCR])</f>
        <v>Complete a drainage study, design, and construction of drainage improvements to reduce flooding risk in the neighborhoods.</v>
      </c>
      <c r="E2229" s="256">
        <f>_xlfn.XLOOKUP(FME_Ranking1[[#This Row],[FME ID]],FME_Input[FME_ID],FME_Input[FME_COST])</f>
        <v>421000</v>
      </c>
      <c r="F2229" t="str">
        <f>_xlfn.XLOOKUP(FME_Ranking1[[#This Row],[FME ID]],FME_Input[FME_ID],FME_Input[EMER_NEED])</f>
        <v>No</v>
      </c>
      <c r="G2229">
        <f>IF(FME_Ranking!F2229="Yes",100,0)</f>
        <v>0</v>
      </c>
      <c r="H2229">
        <f>FME_Ranking1[[#This Row],[Emergency Need Score (Normalized, Unweighted)]]*$F$3</f>
        <v>0</v>
      </c>
      <c r="I2229" s="246">
        <f>_xlfn.XLOOKUP(FME_Ranking1[[#This Row],[FME ID]],FME_Input[FME_ID],FME_Input[STRUCT_100])</f>
        <v>0</v>
      </c>
      <c r="J2229" s="178">
        <f>(FME_Ranking1[[#This Row],[Structures 100 Raw]]/I$2)*100</f>
        <v>0</v>
      </c>
      <c r="K2229" s="178">
        <f>FME_Ranking1[[#This Row],[Structures 100  Score (Normalized, Unweighted)]]*$I$3</f>
        <v>0</v>
      </c>
      <c r="L2229" s="246">
        <f>_xlfn.XLOOKUP(FME_Ranking1[[#This Row],[FME ID]],FME_Input[FME_ID],FME_Input[RES_STRUCT100])</f>
        <v>0</v>
      </c>
      <c r="M2229" s="230">
        <f>(FME_Ranking1[[#This Row],[Res Structures Raw]]/L$2)*100</f>
        <v>0</v>
      </c>
      <c r="N2229" s="180">
        <f>FME_Ranking1[[#This Row],[Res Structures Score (Normalized, Unweighted)]]*$L$3</f>
        <v>0</v>
      </c>
      <c r="O2229" s="244">
        <f>_xlfn.XLOOKUP(FME_Ranking1[[#This Row],[FME ID]],FME_Input[FME_ID],FME_Input[POP100])</f>
        <v>0</v>
      </c>
      <c r="P2229" s="178">
        <f>(FME_Ranking1[[#This Row],[Pop Raw]]/$O$2)*100</f>
        <v>0</v>
      </c>
      <c r="Q2229" s="178">
        <f>FME_Ranking1[[#This Row],[Pop Score (Normalized, Unweighted)]]*$O$3</f>
        <v>0</v>
      </c>
      <c r="R2229" s="137">
        <f>_xlfn.XLOOKUP(FME_Ranking1[[#This Row],[FME ID]],FME_Input[FME_ID],FME_Input[CRITFAC100])</f>
        <v>0</v>
      </c>
      <c r="S2229" s="230">
        <f>(FME_Ranking1[[#This Row],[Critical Facilities Raw]]/$R$2)*100</f>
        <v>0</v>
      </c>
      <c r="T2229" s="180">
        <f>FME_Ranking1[[#This Row],[Critical Facilities Score (Normalized, Unweighted)]]*$R$3</f>
        <v>0</v>
      </c>
      <c r="U2229">
        <f>_xlfn.XLOOKUP(FME_Ranking1[[#This Row],[FME ID]],FME_Input[FME_ID],FME_Input[LWC])</f>
        <v>0</v>
      </c>
      <c r="V2229" s="178">
        <f>(FME_Ranking1[[#This Row],[LWC Raw]]/$U$2)*100</f>
        <v>0</v>
      </c>
      <c r="W2229" s="178">
        <f>FME_Ranking1[[#This Row],[LWC Score (Normalized, Unweighted)]]*$U$3</f>
        <v>0</v>
      </c>
      <c r="X2229" s="246">
        <f>_xlfn.XLOOKUP(FME_Ranking1[[#This Row],[FME ID]],FME_Input[FME_ID],FME_Input[ROADCLS])</f>
        <v>0</v>
      </c>
      <c r="Y2229" s="230">
        <f>(FME_Ranking1[[#This Row],[Closures Raw]]/$X$2)*100</f>
        <v>0</v>
      </c>
      <c r="Z2229" s="180">
        <f>FME_Ranking1[[#This Row],[Closures Score (Normalized, Unweighted)]]*$X$3</f>
        <v>0</v>
      </c>
      <c r="AA2229" s="253">
        <f>_xlfn.XLOOKUP(FME_Ranking1[[#This Row],[FME ID]],FME_Input[FME_ID],FME_Input[ROAD_MILES100])</f>
        <v>0</v>
      </c>
      <c r="AB2229" s="178">
        <f>(FME_Ranking1[[#This Row],[Miles Raw]]/$AA$2)*100</f>
        <v>0</v>
      </c>
      <c r="AC2229" s="178">
        <f>FME_Ranking1[[#This Row],[Miles Score (Normalized, Unweighted)]]*$AA$3</f>
        <v>0</v>
      </c>
      <c r="AD2229" s="255">
        <f>_xlfn.XLOOKUP(FME_Ranking1[[#This Row],[FME ID]],FME_Input[FME_ID],FME_Input[FARMACRE100])</f>
        <v>0</v>
      </c>
      <c r="AE2229" s="230">
        <f>(FME_Ranking1[[#This Row],[Ag Land Raw]]/$AD$2)*100</f>
        <v>0</v>
      </c>
      <c r="AF2229" s="231">
        <f>FME_Ranking1[[#This Row],[Ag Land Score (Normalized, Unweighted)]]*$AD$3</f>
        <v>0</v>
      </c>
      <c r="AG222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29" s="406">
        <f t="shared" si="34"/>
        <v>2198</v>
      </c>
      <c r="AI222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29" s="257">
        <f>FME_Ranking1[[#This Row],[Addition check]]-FME_Ranking1[[#This Row],[Weighted Score Based on Normalized Reported Factors]]</f>
        <v>0</v>
      </c>
      <c r="AK2229" s="178">
        <f>_xlfn.RANK.EQ(AI2229,$AI$6:$AI$2341,0)+COUNTIF($AI$6:AI2229,AI2229)-1</f>
        <v>2240</v>
      </c>
    </row>
    <row r="2230" spans="1:37" x14ac:dyDescent="0.25">
      <c r="A2230" t="s">
        <v>7715</v>
      </c>
      <c r="B2230">
        <f>_xlfn.XLOOKUP(FME_Ranking1[[#This Row],[FME ID]],FME_Input[FME_ID],FME_Input[RFPG_NUM])</f>
        <v>8</v>
      </c>
      <c r="C2230" t="str">
        <f>_xlfn.XLOOKUP(FME_Ranking1[[#This Row],[FME ID]],FME_Input[FME_ID],FME_Input[FME_NAME])</f>
        <v>Chimneystone, Austin, and Settlers Parks Improvements Phase III</v>
      </c>
      <c r="D2230" t="str">
        <f>_xlfn.XLOOKUP(FME_Ranking1[[#This Row],[FME ID]],FME_Input[FME_ID],FME_Input[DESCR])</f>
        <v>Design and construct drainage improvements to Wagon Trail and Settlers Way in Settlers Park.</v>
      </c>
      <c r="E2230" s="256">
        <f>_xlfn.XLOOKUP(FME_Ranking1[[#This Row],[FME ID]],FME_Input[FME_ID],FME_Input[FME_COST])</f>
        <v>551000</v>
      </c>
      <c r="F2230" t="str">
        <f>_xlfn.XLOOKUP(FME_Ranking1[[#This Row],[FME ID]],FME_Input[FME_ID],FME_Input[EMER_NEED])</f>
        <v>No</v>
      </c>
      <c r="G2230">
        <f>IF(FME_Ranking!F2230="Yes",100,0)</f>
        <v>0</v>
      </c>
      <c r="H2230">
        <f>FME_Ranking1[[#This Row],[Emergency Need Score (Normalized, Unweighted)]]*$F$3</f>
        <v>0</v>
      </c>
      <c r="I2230" s="246">
        <f>_xlfn.XLOOKUP(FME_Ranking1[[#This Row],[FME ID]],FME_Input[FME_ID],FME_Input[STRUCT_100])</f>
        <v>0</v>
      </c>
      <c r="J2230" s="178">
        <f>(FME_Ranking1[[#This Row],[Structures 100 Raw]]/I$2)*100</f>
        <v>0</v>
      </c>
      <c r="K2230" s="178">
        <f>FME_Ranking1[[#This Row],[Structures 100  Score (Normalized, Unweighted)]]*$I$3</f>
        <v>0</v>
      </c>
      <c r="L2230" s="246">
        <f>_xlfn.XLOOKUP(FME_Ranking1[[#This Row],[FME ID]],FME_Input[FME_ID],FME_Input[RES_STRUCT100])</f>
        <v>0</v>
      </c>
      <c r="M2230" s="230">
        <f>(FME_Ranking1[[#This Row],[Res Structures Raw]]/L$2)*100</f>
        <v>0</v>
      </c>
      <c r="N2230" s="180">
        <f>FME_Ranking1[[#This Row],[Res Structures Score (Normalized, Unweighted)]]*$L$3</f>
        <v>0</v>
      </c>
      <c r="O2230" s="244">
        <f>_xlfn.XLOOKUP(FME_Ranking1[[#This Row],[FME ID]],FME_Input[FME_ID],FME_Input[POP100])</f>
        <v>0</v>
      </c>
      <c r="P2230" s="178">
        <f>(FME_Ranking1[[#This Row],[Pop Raw]]/$O$2)*100</f>
        <v>0</v>
      </c>
      <c r="Q2230" s="178">
        <f>FME_Ranking1[[#This Row],[Pop Score (Normalized, Unweighted)]]*$O$3</f>
        <v>0</v>
      </c>
      <c r="R2230" s="137">
        <f>_xlfn.XLOOKUP(FME_Ranking1[[#This Row],[FME ID]],FME_Input[FME_ID],FME_Input[CRITFAC100])</f>
        <v>0</v>
      </c>
      <c r="S2230" s="230">
        <f>(FME_Ranking1[[#This Row],[Critical Facilities Raw]]/$R$2)*100</f>
        <v>0</v>
      </c>
      <c r="T2230" s="180">
        <f>FME_Ranking1[[#This Row],[Critical Facilities Score (Normalized, Unweighted)]]*$R$3</f>
        <v>0</v>
      </c>
      <c r="U2230">
        <f>_xlfn.XLOOKUP(FME_Ranking1[[#This Row],[FME ID]],FME_Input[FME_ID],FME_Input[LWC])</f>
        <v>0</v>
      </c>
      <c r="V2230" s="178">
        <f>(FME_Ranking1[[#This Row],[LWC Raw]]/$U$2)*100</f>
        <v>0</v>
      </c>
      <c r="W2230" s="178">
        <f>FME_Ranking1[[#This Row],[LWC Score (Normalized, Unweighted)]]*$U$3</f>
        <v>0</v>
      </c>
      <c r="X2230" s="246">
        <f>_xlfn.XLOOKUP(FME_Ranking1[[#This Row],[FME ID]],FME_Input[FME_ID],FME_Input[ROADCLS])</f>
        <v>0</v>
      </c>
      <c r="Y2230" s="230">
        <f>(FME_Ranking1[[#This Row],[Closures Raw]]/$X$2)*100</f>
        <v>0</v>
      </c>
      <c r="Z2230" s="180">
        <f>FME_Ranking1[[#This Row],[Closures Score (Normalized, Unweighted)]]*$X$3</f>
        <v>0</v>
      </c>
      <c r="AA2230" s="253">
        <f>_xlfn.XLOOKUP(FME_Ranking1[[#This Row],[FME ID]],FME_Input[FME_ID],FME_Input[ROAD_MILES100])</f>
        <v>0</v>
      </c>
      <c r="AB2230" s="178">
        <f>(FME_Ranking1[[#This Row],[Miles Raw]]/$AA$2)*100</f>
        <v>0</v>
      </c>
      <c r="AC2230" s="178">
        <f>FME_Ranking1[[#This Row],[Miles Score (Normalized, Unweighted)]]*$AA$3</f>
        <v>0</v>
      </c>
      <c r="AD2230" s="255">
        <f>_xlfn.XLOOKUP(FME_Ranking1[[#This Row],[FME ID]],FME_Input[FME_ID],FME_Input[FARMACRE100])</f>
        <v>0</v>
      </c>
      <c r="AE2230" s="230">
        <f>(FME_Ranking1[[#This Row],[Ag Land Raw]]/$AD$2)*100</f>
        <v>0</v>
      </c>
      <c r="AF2230" s="231">
        <f>FME_Ranking1[[#This Row],[Ag Land Score (Normalized, Unweighted)]]*$AD$3</f>
        <v>0</v>
      </c>
      <c r="AG223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30" s="406">
        <f t="shared" si="34"/>
        <v>2198</v>
      </c>
      <c r="AI223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30" s="257">
        <f>FME_Ranking1[[#This Row],[Addition check]]-FME_Ranking1[[#This Row],[Weighted Score Based on Normalized Reported Factors]]</f>
        <v>0</v>
      </c>
      <c r="AK2230" s="178">
        <f>_xlfn.RANK.EQ(AI2230,$AI$6:$AI$2341,0)+COUNTIF($AI$6:AI2230,AI2230)-1</f>
        <v>2241</v>
      </c>
    </row>
    <row r="2231" spans="1:37" x14ac:dyDescent="0.25">
      <c r="A2231" t="s">
        <v>7718</v>
      </c>
      <c r="B2231">
        <f>_xlfn.XLOOKUP(FME_Ranking1[[#This Row],[FME ID]],FME_Input[FME_ID],FME_Input[RFPG_NUM])</f>
        <v>8</v>
      </c>
      <c r="C2231" t="str">
        <f>_xlfn.XLOOKUP(FME_Ranking1[[#This Row],[FME ID]],FME_Input[FME_ID],FME_Input[FME_NAME])</f>
        <v>Greatwood Inlet Replacements</v>
      </c>
      <c r="D2231" t="str">
        <f>_xlfn.XLOOKUP(FME_Ranking1[[#This Row],[FME ID]],FME_Input[FME_ID],FME_Input[DESCR])</f>
        <v>Update storm water inlets.</v>
      </c>
      <c r="E2231" s="256">
        <f>_xlfn.XLOOKUP(FME_Ranking1[[#This Row],[FME ID]],FME_Input[FME_ID],FME_Input[FME_COST])</f>
        <v>82000</v>
      </c>
      <c r="F2231" t="str">
        <f>_xlfn.XLOOKUP(FME_Ranking1[[#This Row],[FME ID]],FME_Input[FME_ID],FME_Input[EMER_NEED])</f>
        <v>No</v>
      </c>
      <c r="G2231">
        <f>IF(FME_Ranking!F2231="Yes",100,0)</f>
        <v>0</v>
      </c>
      <c r="H2231">
        <f>FME_Ranking1[[#This Row],[Emergency Need Score (Normalized, Unweighted)]]*$F$3</f>
        <v>0</v>
      </c>
      <c r="I2231" s="246">
        <f>_xlfn.XLOOKUP(FME_Ranking1[[#This Row],[FME ID]],FME_Input[FME_ID],FME_Input[STRUCT_100])</f>
        <v>0</v>
      </c>
      <c r="J2231" s="178">
        <f>(FME_Ranking1[[#This Row],[Structures 100 Raw]]/I$2)*100</f>
        <v>0</v>
      </c>
      <c r="K2231" s="178">
        <f>FME_Ranking1[[#This Row],[Structures 100  Score (Normalized, Unweighted)]]*$I$3</f>
        <v>0</v>
      </c>
      <c r="L2231" s="246">
        <f>_xlfn.XLOOKUP(FME_Ranking1[[#This Row],[FME ID]],FME_Input[FME_ID],FME_Input[RES_STRUCT100])</f>
        <v>0</v>
      </c>
      <c r="M2231" s="230">
        <f>(FME_Ranking1[[#This Row],[Res Structures Raw]]/L$2)*100</f>
        <v>0</v>
      </c>
      <c r="N2231" s="180">
        <f>FME_Ranking1[[#This Row],[Res Structures Score (Normalized, Unweighted)]]*$L$3</f>
        <v>0</v>
      </c>
      <c r="O2231" s="244">
        <f>_xlfn.XLOOKUP(FME_Ranking1[[#This Row],[FME ID]],FME_Input[FME_ID],FME_Input[POP100])</f>
        <v>0</v>
      </c>
      <c r="P2231" s="178">
        <f>(FME_Ranking1[[#This Row],[Pop Raw]]/$O$2)*100</f>
        <v>0</v>
      </c>
      <c r="Q2231" s="178">
        <f>FME_Ranking1[[#This Row],[Pop Score (Normalized, Unweighted)]]*$O$3</f>
        <v>0</v>
      </c>
      <c r="R2231" s="137">
        <f>_xlfn.XLOOKUP(FME_Ranking1[[#This Row],[FME ID]],FME_Input[FME_ID],FME_Input[CRITFAC100])</f>
        <v>0</v>
      </c>
      <c r="S2231" s="230">
        <f>(FME_Ranking1[[#This Row],[Critical Facilities Raw]]/$R$2)*100</f>
        <v>0</v>
      </c>
      <c r="T2231" s="180">
        <f>FME_Ranking1[[#This Row],[Critical Facilities Score (Normalized, Unweighted)]]*$R$3</f>
        <v>0</v>
      </c>
      <c r="U2231">
        <f>_xlfn.XLOOKUP(FME_Ranking1[[#This Row],[FME ID]],FME_Input[FME_ID],FME_Input[LWC])</f>
        <v>0</v>
      </c>
      <c r="V2231" s="178">
        <f>(FME_Ranking1[[#This Row],[LWC Raw]]/$U$2)*100</f>
        <v>0</v>
      </c>
      <c r="W2231" s="178">
        <f>FME_Ranking1[[#This Row],[LWC Score (Normalized, Unweighted)]]*$U$3</f>
        <v>0</v>
      </c>
      <c r="X2231" s="246">
        <f>_xlfn.XLOOKUP(FME_Ranking1[[#This Row],[FME ID]],FME_Input[FME_ID],FME_Input[ROADCLS])</f>
        <v>0</v>
      </c>
      <c r="Y2231" s="230">
        <f>(FME_Ranking1[[#This Row],[Closures Raw]]/$X$2)*100</f>
        <v>0</v>
      </c>
      <c r="Z2231" s="180">
        <f>FME_Ranking1[[#This Row],[Closures Score (Normalized, Unweighted)]]*$X$3</f>
        <v>0</v>
      </c>
      <c r="AA2231" s="253">
        <f>_xlfn.XLOOKUP(FME_Ranking1[[#This Row],[FME ID]],FME_Input[FME_ID],FME_Input[ROAD_MILES100])</f>
        <v>3.206569934263825E-3</v>
      </c>
      <c r="AB2231" s="178">
        <f>(FME_Ranking1[[#This Row],[Miles Raw]]/$AA$2)*100</f>
        <v>4.2160643382393521E-5</v>
      </c>
      <c r="AC2231" s="178">
        <f>FME_Ranking1[[#This Row],[Miles Score (Normalized, Unweighted)]]*$AA$3</f>
        <v>4.2160643382393522E-6</v>
      </c>
      <c r="AD2231" s="255">
        <f>_xlfn.XLOOKUP(FME_Ranking1[[#This Row],[FME ID]],FME_Input[FME_ID],FME_Input[FARMACRE100])</f>
        <v>0</v>
      </c>
      <c r="AE2231" s="230">
        <f>(FME_Ranking1[[#This Row],[Ag Land Raw]]/$AD$2)*100</f>
        <v>0</v>
      </c>
      <c r="AF2231" s="231">
        <f>FME_Ranking1[[#This Row],[Ag Land Score (Normalized, Unweighted)]]*$AD$3</f>
        <v>0</v>
      </c>
      <c r="AG223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4.2160643382393522E-6</v>
      </c>
      <c r="AH2231" s="406">
        <f t="shared" si="34"/>
        <v>2171</v>
      </c>
      <c r="AI223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4.2160643382393522E-6</v>
      </c>
      <c r="AJ2231" s="257">
        <f>FME_Ranking1[[#This Row],[Addition check]]-FME_Ranking1[[#This Row],[Weighted Score Based on Normalized Reported Factors]]</f>
        <v>0</v>
      </c>
      <c r="AK2231" s="178">
        <f>_xlfn.RANK.EQ(AI2231,$AI$6:$AI$2341,0)+COUNTIF($AI$6:AI2231,AI2231)-1</f>
        <v>2171</v>
      </c>
    </row>
    <row r="2232" spans="1:37" x14ac:dyDescent="0.25">
      <c r="A2232" t="s">
        <v>7828</v>
      </c>
      <c r="B2232">
        <f>_xlfn.XLOOKUP(FME_Ranking1[[#This Row],[FME ID]],FME_Input[FME_ID],FME_Input[RFPG_NUM])</f>
        <v>9</v>
      </c>
      <c r="C2232" t="str">
        <f>_xlfn.XLOOKUP(FME_Ranking1[[#This Row],[FME ID]],FME_Input[FME_ID],FME_Input[FME_NAME])</f>
        <v>San Angelo Lester Lane Culvert Improvement Project</v>
      </c>
      <c r="D2232" t="str">
        <f>_xlfn.XLOOKUP(FME_Ranking1[[#This Row],[FME ID]],FME_Input[FME_ID],FME_Input[DESCR])</f>
        <v>Replace existing 24"x36" CMP arch pipe under Tres Rios Drive with 5'x3' concrete box culvert.</v>
      </c>
      <c r="E2232" s="256">
        <f>_xlfn.XLOOKUP(FME_Ranking1[[#This Row],[FME ID]],FME_Input[FME_ID],FME_Input[FME_COST])</f>
        <v>195276.65625</v>
      </c>
      <c r="F2232" t="str">
        <f>_xlfn.XLOOKUP(FME_Ranking1[[#This Row],[FME ID]],FME_Input[FME_ID],FME_Input[EMER_NEED])</f>
        <v>Yes</v>
      </c>
      <c r="G2232">
        <f>IF(FME_Ranking!F2232="Yes",100,0)</f>
        <v>100</v>
      </c>
      <c r="H2232">
        <f>FME_Ranking1[[#This Row],[Emergency Need Score (Normalized, Unweighted)]]*$F$3</f>
        <v>0</v>
      </c>
      <c r="I2232" s="246">
        <f>_xlfn.XLOOKUP(FME_Ranking1[[#This Row],[FME ID]],FME_Input[FME_ID],FME_Input[STRUCT_100])</f>
        <v>0</v>
      </c>
      <c r="J2232" s="178">
        <f>(FME_Ranking1[[#This Row],[Structures 100 Raw]]/I$2)*100</f>
        <v>0</v>
      </c>
      <c r="K2232" s="178">
        <f>FME_Ranking1[[#This Row],[Structures 100  Score (Normalized, Unweighted)]]*$I$3</f>
        <v>0</v>
      </c>
      <c r="L2232" s="246">
        <f>_xlfn.XLOOKUP(FME_Ranking1[[#This Row],[FME ID]],FME_Input[FME_ID],FME_Input[RES_STRUCT100])</f>
        <v>0</v>
      </c>
      <c r="M2232" s="230">
        <f>(FME_Ranking1[[#This Row],[Res Structures Raw]]/L$2)*100</f>
        <v>0</v>
      </c>
      <c r="N2232" s="180">
        <f>FME_Ranking1[[#This Row],[Res Structures Score (Normalized, Unweighted)]]*$L$3</f>
        <v>0</v>
      </c>
      <c r="O2232" s="244">
        <f>_xlfn.XLOOKUP(FME_Ranking1[[#This Row],[FME ID]],FME_Input[FME_ID],FME_Input[POP100])</f>
        <v>0</v>
      </c>
      <c r="P2232" s="178">
        <f>(FME_Ranking1[[#This Row],[Pop Raw]]/$O$2)*100</f>
        <v>0</v>
      </c>
      <c r="Q2232" s="178">
        <f>FME_Ranking1[[#This Row],[Pop Score (Normalized, Unweighted)]]*$O$3</f>
        <v>0</v>
      </c>
      <c r="R2232" s="137">
        <f>_xlfn.XLOOKUP(FME_Ranking1[[#This Row],[FME ID]],FME_Input[FME_ID],FME_Input[CRITFAC100])</f>
        <v>0</v>
      </c>
      <c r="S2232" s="230">
        <f>(FME_Ranking1[[#This Row],[Critical Facilities Raw]]/$R$2)*100</f>
        <v>0</v>
      </c>
      <c r="T2232" s="180">
        <f>FME_Ranking1[[#This Row],[Critical Facilities Score (Normalized, Unweighted)]]*$R$3</f>
        <v>0</v>
      </c>
      <c r="U2232">
        <f>_xlfn.XLOOKUP(FME_Ranking1[[#This Row],[FME ID]],FME_Input[FME_ID],FME_Input[LWC])</f>
        <v>0</v>
      </c>
      <c r="V2232" s="178">
        <f>(FME_Ranking1[[#This Row],[LWC Raw]]/$U$2)*100</f>
        <v>0</v>
      </c>
      <c r="W2232" s="178">
        <f>FME_Ranking1[[#This Row],[LWC Score (Normalized, Unweighted)]]*$U$3</f>
        <v>0</v>
      </c>
      <c r="X2232" s="246">
        <f>_xlfn.XLOOKUP(FME_Ranking1[[#This Row],[FME ID]],FME_Input[FME_ID],FME_Input[ROADCLS])</f>
        <v>0</v>
      </c>
      <c r="Y2232" s="230">
        <f>(FME_Ranking1[[#This Row],[Closures Raw]]/$X$2)*100</f>
        <v>0</v>
      </c>
      <c r="Z2232" s="180">
        <f>FME_Ranking1[[#This Row],[Closures Score (Normalized, Unweighted)]]*$X$3</f>
        <v>0</v>
      </c>
      <c r="AA2232" s="253">
        <f>_xlfn.XLOOKUP(FME_Ranking1[[#This Row],[FME ID]],FME_Input[FME_ID],FME_Input[ROAD_MILES100])</f>
        <v>0</v>
      </c>
      <c r="AB2232" s="178">
        <f>(FME_Ranking1[[#This Row],[Miles Raw]]/$AA$2)*100</f>
        <v>0</v>
      </c>
      <c r="AC2232" s="178">
        <f>FME_Ranking1[[#This Row],[Miles Score (Normalized, Unweighted)]]*$AA$3</f>
        <v>0</v>
      </c>
      <c r="AD2232" s="255">
        <f>_xlfn.XLOOKUP(FME_Ranking1[[#This Row],[FME ID]],FME_Input[FME_ID],FME_Input[FARMACRE100])</f>
        <v>0</v>
      </c>
      <c r="AE2232" s="230">
        <f>(FME_Ranking1[[#This Row],[Ag Land Raw]]/$AD$2)*100</f>
        <v>0</v>
      </c>
      <c r="AF2232" s="231">
        <f>FME_Ranking1[[#This Row],[Ag Land Score (Normalized, Unweighted)]]*$AD$3</f>
        <v>0</v>
      </c>
      <c r="AG223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32" s="406">
        <f t="shared" si="34"/>
        <v>2198</v>
      </c>
      <c r="AI223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32" s="257">
        <f>FME_Ranking1[[#This Row],[Addition check]]-FME_Ranking1[[#This Row],[Weighted Score Based on Normalized Reported Factors]]</f>
        <v>0</v>
      </c>
      <c r="AK2232" s="178">
        <f>_xlfn.RANK.EQ(AI2232,$AI$6:$AI$2341,0)+COUNTIF($AI$6:AI2232,AI2232)-1</f>
        <v>2242</v>
      </c>
    </row>
    <row r="2233" spans="1:37" x14ac:dyDescent="0.25">
      <c r="A2233" t="s">
        <v>7848</v>
      </c>
      <c r="B2233">
        <f>_xlfn.XLOOKUP(FME_Ranking1[[#This Row],[FME ID]],FME_Input[FME_ID],FME_Input[RFPG_NUM])</f>
        <v>9</v>
      </c>
      <c r="C2233" t="str">
        <f>_xlfn.XLOOKUP(FME_Ranking1[[#This Row],[FME ID]],FME_Input[FME_ID],FME_Input[FME_NAME])</f>
        <v>San Angelo LWC 3</v>
      </c>
      <c r="D2233" t="str">
        <f>_xlfn.XLOOKUP(FME_Ranking1[[#This Row],[FME ID]],FME_Input[FME_ID],FME_Input[DESCR])</f>
        <v>Low water crossing, street flooding. College Hills Blvd and Sunset Dr</v>
      </c>
      <c r="E2233" s="256">
        <f>_xlfn.XLOOKUP(FME_Ranking1[[#This Row],[FME ID]],FME_Input[FME_ID],FME_Input[FME_COST])</f>
        <v>6541000</v>
      </c>
      <c r="F2233" t="str">
        <f>_xlfn.XLOOKUP(FME_Ranking1[[#This Row],[FME ID]],FME_Input[FME_ID],FME_Input[EMER_NEED])</f>
        <v>Yes</v>
      </c>
      <c r="G2233">
        <f>IF(FME_Ranking!F2233="Yes",100,0)</f>
        <v>100</v>
      </c>
      <c r="H2233">
        <f>FME_Ranking1[[#This Row],[Emergency Need Score (Normalized, Unweighted)]]*$F$3</f>
        <v>0</v>
      </c>
      <c r="I2233" s="246">
        <f>_xlfn.XLOOKUP(FME_Ranking1[[#This Row],[FME ID]],FME_Input[FME_ID],FME_Input[STRUCT_100])</f>
        <v>0</v>
      </c>
      <c r="J2233" s="178">
        <f>(FME_Ranking1[[#This Row],[Structures 100 Raw]]/I$2)*100</f>
        <v>0</v>
      </c>
      <c r="K2233" s="178">
        <f>FME_Ranking1[[#This Row],[Structures 100  Score (Normalized, Unweighted)]]*$I$3</f>
        <v>0</v>
      </c>
      <c r="L2233" s="246">
        <f>_xlfn.XLOOKUP(FME_Ranking1[[#This Row],[FME ID]],FME_Input[FME_ID],FME_Input[RES_STRUCT100])</f>
        <v>0</v>
      </c>
      <c r="M2233" s="230">
        <f>(FME_Ranking1[[#This Row],[Res Structures Raw]]/L$2)*100</f>
        <v>0</v>
      </c>
      <c r="N2233" s="180">
        <f>FME_Ranking1[[#This Row],[Res Structures Score (Normalized, Unweighted)]]*$L$3</f>
        <v>0</v>
      </c>
      <c r="O2233" s="244">
        <f>_xlfn.XLOOKUP(FME_Ranking1[[#This Row],[FME ID]],FME_Input[FME_ID],FME_Input[POP100])</f>
        <v>0</v>
      </c>
      <c r="P2233" s="178">
        <f>(FME_Ranking1[[#This Row],[Pop Raw]]/$O$2)*100</f>
        <v>0</v>
      </c>
      <c r="Q2233" s="178">
        <f>FME_Ranking1[[#This Row],[Pop Score (Normalized, Unweighted)]]*$O$3</f>
        <v>0</v>
      </c>
      <c r="R2233" s="137">
        <f>_xlfn.XLOOKUP(FME_Ranking1[[#This Row],[FME ID]],FME_Input[FME_ID],FME_Input[CRITFAC100])</f>
        <v>0</v>
      </c>
      <c r="S2233" s="230">
        <f>(FME_Ranking1[[#This Row],[Critical Facilities Raw]]/$R$2)*100</f>
        <v>0</v>
      </c>
      <c r="T2233" s="180">
        <f>FME_Ranking1[[#This Row],[Critical Facilities Score (Normalized, Unweighted)]]*$R$3</f>
        <v>0</v>
      </c>
      <c r="U2233">
        <f>_xlfn.XLOOKUP(FME_Ranking1[[#This Row],[FME ID]],FME_Input[FME_ID],FME_Input[LWC])</f>
        <v>0</v>
      </c>
      <c r="V2233" s="178">
        <f>(FME_Ranking1[[#This Row],[LWC Raw]]/$U$2)*100</f>
        <v>0</v>
      </c>
      <c r="W2233" s="178">
        <f>FME_Ranking1[[#This Row],[LWC Score (Normalized, Unweighted)]]*$U$3</f>
        <v>0</v>
      </c>
      <c r="X2233" s="246">
        <f>_xlfn.XLOOKUP(FME_Ranking1[[#This Row],[FME ID]],FME_Input[FME_ID],FME_Input[ROADCLS])</f>
        <v>0</v>
      </c>
      <c r="Y2233" s="230">
        <f>(FME_Ranking1[[#This Row],[Closures Raw]]/$X$2)*100</f>
        <v>0</v>
      </c>
      <c r="Z2233" s="180">
        <f>FME_Ranking1[[#This Row],[Closures Score (Normalized, Unweighted)]]*$X$3</f>
        <v>0</v>
      </c>
      <c r="AA2233" s="253">
        <f>_xlfn.XLOOKUP(FME_Ranking1[[#This Row],[FME ID]],FME_Input[FME_ID],FME_Input[ROAD_MILES100])</f>
        <v>0</v>
      </c>
      <c r="AB2233" s="178">
        <f>(FME_Ranking1[[#This Row],[Miles Raw]]/$AA$2)*100</f>
        <v>0</v>
      </c>
      <c r="AC2233" s="178">
        <f>FME_Ranking1[[#This Row],[Miles Score (Normalized, Unweighted)]]*$AA$3</f>
        <v>0</v>
      </c>
      <c r="AD2233" s="255">
        <f>_xlfn.XLOOKUP(FME_Ranking1[[#This Row],[FME ID]],FME_Input[FME_ID],FME_Input[FARMACRE100])</f>
        <v>0</v>
      </c>
      <c r="AE2233" s="230">
        <f>(FME_Ranking1[[#This Row],[Ag Land Raw]]/$AD$2)*100</f>
        <v>0</v>
      </c>
      <c r="AF2233" s="231">
        <f>FME_Ranking1[[#This Row],[Ag Land Score (Normalized, Unweighted)]]*$AD$3</f>
        <v>0</v>
      </c>
      <c r="AG223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33" s="406">
        <f t="shared" si="34"/>
        <v>2198</v>
      </c>
      <c r="AI223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33" s="257">
        <f>FME_Ranking1[[#This Row],[Addition check]]-FME_Ranking1[[#This Row],[Weighted Score Based on Normalized Reported Factors]]</f>
        <v>0</v>
      </c>
      <c r="AK2233" s="178">
        <f>_xlfn.RANK.EQ(AI2233,$AI$6:$AI$2341,0)+COUNTIF($AI$6:AI2233,AI2233)-1</f>
        <v>2243</v>
      </c>
    </row>
    <row r="2234" spans="1:37" x14ac:dyDescent="0.25">
      <c r="A2234" t="s">
        <v>7873</v>
      </c>
      <c r="B2234">
        <f>_xlfn.XLOOKUP(FME_Ranking1[[#This Row],[FME ID]],FME_Input[FME_ID],FME_Input[RFPG_NUM])</f>
        <v>9</v>
      </c>
      <c r="C2234" t="str">
        <f>_xlfn.XLOOKUP(FME_Ranking1[[#This Row],[FME ID]],FME_Input[FME_ID],FME_Input[FME_NAME])</f>
        <v>San Angelo Street Flooding 15</v>
      </c>
      <c r="D2234" t="str">
        <f>_xlfn.XLOOKUP(FME_Ranking1[[#This Row],[FME ID]],FME_Input[FME_ID],FME_Input[DESCR])</f>
        <v>Low water crossing, street flooding. Foster St. South of loop 306</v>
      </c>
      <c r="E2234" s="256">
        <f>_xlfn.XLOOKUP(FME_Ranking1[[#This Row],[FME ID]],FME_Input[FME_ID],FME_Input[FME_COST])</f>
        <v>3500000</v>
      </c>
      <c r="F2234" t="str">
        <f>_xlfn.XLOOKUP(FME_Ranking1[[#This Row],[FME ID]],FME_Input[FME_ID],FME_Input[EMER_NEED])</f>
        <v>Yes</v>
      </c>
      <c r="G2234">
        <f>IF(FME_Ranking!F2234="Yes",100,0)</f>
        <v>100</v>
      </c>
      <c r="H2234">
        <f>FME_Ranking1[[#This Row],[Emergency Need Score (Normalized, Unweighted)]]*$F$3</f>
        <v>0</v>
      </c>
      <c r="I2234" s="246">
        <f>_xlfn.XLOOKUP(FME_Ranking1[[#This Row],[FME ID]],FME_Input[FME_ID],FME_Input[STRUCT_100])</f>
        <v>0</v>
      </c>
      <c r="J2234" s="178">
        <f>(FME_Ranking1[[#This Row],[Structures 100 Raw]]/I$2)*100</f>
        <v>0</v>
      </c>
      <c r="K2234" s="178">
        <f>FME_Ranking1[[#This Row],[Structures 100  Score (Normalized, Unweighted)]]*$I$3</f>
        <v>0</v>
      </c>
      <c r="L2234" s="246">
        <f>_xlfn.XLOOKUP(FME_Ranking1[[#This Row],[FME ID]],FME_Input[FME_ID],FME_Input[RES_STRUCT100])</f>
        <v>0</v>
      </c>
      <c r="M2234" s="230">
        <f>(FME_Ranking1[[#This Row],[Res Structures Raw]]/L$2)*100</f>
        <v>0</v>
      </c>
      <c r="N2234" s="180">
        <f>FME_Ranking1[[#This Row],[Res Structures Score (Normalized, Unweighted)]]*$L$3</f>
        <v>0</v>
      </c>
      <c r="O2234" s="244">
        <f>_xlfn.XLOOKUP(FME_Ranking1[[#This Row],[FME ID]],FME_Input[FME_ID],FME_Input[POP100])</f>
        <v>0</v>
      </c>
      <c r="P2234" s="178">
        <f>(FME_Ranking1[[#This Row],[Pop Raw]]/$O$2)*100</f>
        <v>0</v>
      </c>
      <c r="Q2234" s="178">
        <f>FME_Ranking1[[#This Row],[Pop Score (Normalized, Unweighted)]]*$O$3</f>
        <v>0</v>
      </c>
      <c r="R2234" s="137">
        <f>_xlfn.XLOOKUP(FME_Ranking1[[#This Row],[FME ID]],FME_Input[FME_ID],FME_Input[CRITFAC100])</f>
        <v>0</v>
      </c>
      <c r="S2234" s="230">
        <f>(FME_Ranking1[[#This Row],[Critical Facilities Raw]]/$R$2)*100</f>
        <v>0</v>
      </c>
      <c r="T2234" s="180">
        <f>FME_Ranking1[[#This Row],[Critical Facilities Score (Normalized, Unweighted)]]*$R$3</f>
        <v>0</v>
      </c>
      <c r="U2234">
        <f>_xlfn.XLOOKUP(FME_Ranking1[[#This Row],[FME ID]],FME_Input[FME_ID],FME_Input[LWC])</f>
        <v>0</v>
      </c>
      <c r="V2234" s="178">
        <f>(FME_Ranking1[[#This Row],[LWC Raw]]/$U$2)*100</f>
        <v>0</v>
      </c>
      <c r="W2234" s="178">
        <f>FME_Ranking1[[#This Row],[LWC Score (Normalized, Unweighted)]]*$U$3</f>
        <v>0</v>
      </c>
      <c r="X2234" s="246">
        <f>_xlfn.XLOOKUP(FME_Ranking1[[#This Row],[FME ID]],FME_Input[FME_ID],FME_Input[ROADCLS])</f>
        <v>0</v>
      </c>
      <c r="Y2234" s="230">
        <f>(FME_Ranking1[[#This Row],[Closures Raw]]/$X$2)*100</f>
        <v>0</v>
      </c>
      <c r="Z2234" s="180">
        <f>FME_Ranking1[[#This Row],[Closures Score (Normalized, Unweighted)]]*$X$3</f>
        <v>0</v>
      </c>
      <c r="AA2234" s="253">
        <f>_xlfn.XLOOKUP(FME_Ranking1[[#This Row],[FME ID]],FME_Input[FME_ID],FME_Input[ROAD_MILES100])</f>
        <v>0</v>
      </c>
      <c r="AB2234" s="178">
        <f>(FME_Ranking1[[#This Row],[Miles Raw]]/$AA$2)*100</f>
        <v>0</v>
      </c>
      <c r="AC2234" s="178">
        <f>FME_Ranking1[[#This Row],[Miles Score (Normalized, Unweighted)]]*$AA$3</f>
        <v>0</v>
      </c>
      <c r="AD2234" s="255">
        <f>_xlfn.XLOOKUP(FME_Ranking1[[#This Row],[FME ID]],FME_Input[FME_ID],FME_Input[FARMACRE100])</f>
        <v>0</v>
      </c>
      <c r="AE2234" s="230">
        <f>(FME_Ranking1[[#This Row],[Ag Land Raw]]/$AD$2)*100</f>
        <v>0</v>
      </c>
      <c r="AF2234" s="231">
        <f>FME_Ranking1[[#This Row],[Ag Land Score (Normalized, Unweighted)]]*$AD$3</f>
        <v>0</v>
      </c>
      <c r="AG223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34" s="406">
        <f t="shared" si="34"/>
        <v>2198</v>
      </c>
      <c r="AI223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34" s="257">
        <f>FME_Ranking1[[#This Row],[Addition check]]-FME_Ranking1[[#This Row],[Weighted Score Based on Normalized Reported Factors]]</f>
        <v>0</v>
      </c>
      <c r="AK2234" s="178">
        <f>_xlfn.RANK.EQ(AI2234,$AI$6:$AI$2341,0)+COUNTIF($AI$6:AI2234,AI2234)-1</f>
        <v>2244</v>
      </c>
    </row>
    <row r="2235" spans="1:37" x14ac:dyDescent="0.25">
      <c r="A2235" t="s">
        <v>7883</v>
      </c>
      <c r="B2235">
        <f>_xlfn.XLOOKUP(FME_Ranking1[[#This Row],[FME ID]],FME_Input[FME_ID],FME_Input[RFPG_NUM])</f>
        <v>9</v>
      </c>
      <c r="C2235" t="str">
        <f>_xlfn.XLOOKUP(FME_Ranking1[[#This Row],[FME ID]],FME_Input[FME_ID],FME_Input[FME_NAME])</f>
        <v>San Angelo Street Flooding 17</v>
      </c>
      <c r="D2235" t="str">
        <f>_xlfn.XLOOKUP(FME_Ranking1[[#This Row],[FME ID]],FME_Input[FME_ID],FME_Input[DESCR])</f>
        <v>Unclear on issue. Christoval at Chadburne</v>
      </c>
      <c r="E2235" s="256">
        <f>_xlfn.XLOOKUP(FME_Ranking1[[#This Row],[FME ID]],FME_Input[FME_ID],FME_Input[FME_COST])</f>
        <v>25000</v>
      </c>
      <c r="F2235" t="str">
        <f>_xlfn.XLOOKUP(FME_Ranking1[[#This Row],[FME ID]],FME_Input[FME_ID],FME_Input[EMER_NEED])</f>
        <v>Yes</v>
      </c>
      <c r="G2235">
        <f>IF(FME_Ranking!F2235="Yes",100,0)</f>
        <v>100</v>
      </c>
      <c r="H2235">
        <f>FME_Ranking1[[#This Row],[Emergency Need Score (Normalized, Unweighted)]]*$F$3</f>
        <v>0</v>
      </c>
      <c r="I2235" s="246">
        <f>_xlfn.XLOOKUP(FME_Ranking1[[#This Row],[FME ID]],FME_Input[FME_ID],FME_Input[STRUCT_100])</f>
        <v>0</v>
      </c>
      <c r="J2235" s="178">
        <f>(FME_Ranking1[[#This Row],[Structures 100 Raw]]/I$2)*100</f>
        <v>0</v>
      </c>
      <c r="K2235" s="178">
        <f>FME_Ranking1[[#This Row],[Structures 100  Score (Normalized, Unweighted)]]*$I$3</f>
        <v>0</v>
      </c>
      <c r="L2235" s="246">
        <f>_xlfn.XLOOKUP(FME_Ranking1[[#This Row],[FME ID]],FME_Input[FME_ID],FME_Input[RES_STRUCT100])</f>
        <v>0</v>
      </c>
      <c r="M2235" s="230">
        <f>(FME_Ranking1[[#This Row],[Res Structures Raw]]/L$2)*100</f>
        <v>0</v>
      </c>
      <c r="N2235" s="180">
        <f>FME_Ranking1[[#This Row],[Res Structures Score (Normalized, Unweighted)]]*$L$3</f>
        <v>0</v>
      </c>
      <c r="O2235" s="244">
        <f>_xlfn.XLOOKUP(FME_Ranking1[[#This Row],[FME ID]],FME_Input[FME_ID],FME_Input[POP100])</f>
        <v>0</v>
      </c>
      <c r="P2235" s="178">
        <f>(FME_Ranking1[[#This Row],[Pop Raw]]/$O$2)*100</f>
        <v>0</v>
      </c>
      <c r="Q2235" s="178">
        <f>FME_Ranking1[[#This Row],[Pop Score (Normalized, Unweighted)]]*$O$3</f>
        <v>0</v>
      </c>
      <c r="R2235" s="137">
        <f>_xlfn.XLOOKUP(FME_Ranking1[[#This Row],[FME ID]],FME_Input[FME_ID],FME_Input[CRITFAC100])</f>
        <v>0</v>
      </c>
      <c r="S2235" s="230">
        <f>(FME_Ranking1[[#This Row],[Critical Facilities Raw]]/$R$2)*100</f>
        <v>0</v>
      </c>
      <c r="T2235" s="180">
        <f>FME_Ranking1[[#This Row],[Critical Facilities Score (Normalized, Unweighted)]]*$R$3</f>
        <v>0</v>
      </c>
      <c r="U2235">
        <f>_xlfn.XLOOKUP(FME_Ranking1[[#This Row],[FME ID]],FME_Input[FME_ID],FME_Input[LWC])</f>
        <v>0</v>
      </c>
      <c r="V2235" s="178">
        <f>(FME_Ranking1[[#This Row],[LWC Raw]]/$U$2)*100</f>
        <v>0</v>
      </c>
      <c r="W2235" s="178">
        <f>FME_Ranking1[[#This Row],[LWC Score (Normalized, Unweighted)]]*$U$3</f>
        <v>0</v>
      </c>
      <c r="X2235" s="246">
        <f>_xlfn.XLOOKUP(FME_Ranking1[[#This Row],[FME ID]],FME_Input[FME_ID],FME_Input[ROADCLS])</f>
        <v>0</v>
      </c>
      <c r="Y2235" s="230">
        <f>(FME_Ranking1[[#This Row],[Closures Raw]]/$X$2)*100</f>
        <v>0</v>
      </c>
      <c r="Z2235" s="180">
        <f>FME_Ranking1[[#This Row],[Closures Score (Normalized, Unweighted)]]*$X$3</f>
        <v>0</v>
      </c>
      <c r="AA2235" s="253">
        <f>_xlfn.XLOOKUP(FME_Ranking1[[#This Row],[FME ID]],FME_Input[FME_ID],FME_Input[ROAD_MILES100])</f>
        <v>0</v>
      </c>
      <c r="AB2235" s="178">
        <f>(FME_Ranking1[[#This Row],[Miles Raw]]/$AA$2)*100</f>
        <v>0</v>
      </c>
      <c r="AC2235" s="178">
        <f>FME_Ranking1[[#This Row],[Miles Score (Normalized, Unweighted)]]*$AA$3</f>
        <v>0</v>
      </c>
      <c r="AD2235" s="255">
        <f>_xlfn.XLOOKUP(FME_Ranking1[[#This Row],[FME ID]],FME_Input[FME_ID],FME_Input[FARMACRE100])</f>
        <v>0</v>
      </c>
      <c r="AE2235" s="230">
        <f>(FME_Ranking1[[#This Row],[Ag Land Raw]]/$AD$2)*100</f>
        <v>0</v>
      </c>
      <c r="AF2235" s="231">
        <f>FME_Ranking1[[#This Row],[Ag Land Score (Normalized, Unweighted)]]*$AD$3</f>
        <v>0</v>
      </c>
      <c r="AG223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35" s="406">
        <f t="shared" si="34"/>
        <v>2198</v>
      </c>
      <c r="AI223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35" s="257">
        <f>FME_Ranking1[[#This Row],[Addition check]]-FME_Ranking1[[#This Row],[Weighted Score Based on Normalized Reported Factors]]</f>
        <v>0</v>
      </c>
      <c r="AK2235" s="178">
        <f>_xlfn.RANK.EQ(AI2235,$AI$6:$AI$2341,0)+COUNTIF($AI$6:AI2235,AI2235)-1</f>
        <v>2245</v>
      </c>
    </row>
    <row r="2236" spans="1:37" x14ac:dyDescent="0.25">
      <c r="A2236" t="s">
        <v>8316</v>
      </c>
      <c r="B2236">
        <f>_xlfn.XLOOKUP(FME_Ranking1[[#This Row],[FME ID]],FME_Input[FME_ID],FME_Input[RFPG_NUM])</f>
        <v>9</v>
      </c>
      <c r="C2236" t="str">
        <f>_xlfn.XLOOKUP(FME_Ranking1[[#This Row],[FME ID]],FME_Input[FME_ID],FME_Input[FME_NAME])</f>
        <v>City of Loraine Kindred St Detention Project</v>
      </c>
      <c r="D2236" t="str">
        <f>_xlfn.XLOOKUP(FME_Ranking1[[#This Row],[FME ID]],FME_Input[FME_ID],FME_Input[DESCR])</f>
        <v>Identify scope of detention project on Kindred Street. Offsite detention and property buyout required in order to handle runoff from culvert project identification on Kinder Street. Implement the most cost-effective solution to reduce or eliminate floodin</v>
      </c>
      <c r="E2236" s="256">
        <f>_xlfn.XLOOKUP(FME_Ranking1[[#This Row],[FME ID]],FME_Input[FME_ID],FME_Input[FME_COST])</f>
        <v>25000</v>
      </c>
      <c r="F2236" t="str">
        <f>_xlfn.XLOOKUP(FME_Ranking1[[#This Row],[FME ID]],FME_Input[FME_ID],FME_Input[EMER_NEED])</f>
        <v>Yes</v>
      </c>
      <c r="G2236">
        <f>IF(FME_Ranking!F2236="Yes",100,0)</f>
        <v>100</v>
      </c>
      <c r="H2236">
        <f>FME_Ranking1[[#This Row],[Emergency Need Score (Normalized, Unweighted)]]*$F$3</f>
        <v>0</v>
      </c>
      <c r="I2236" s="246">
        <f>_xlfn.XLOOKUP(FME_Ranking1[[#This Row],[FME ID]],FME_Input[FME_ID],FME_Input[STRUCT_100])</f>
        <v>0</v>
      </c>
      <c r="J2236" s="178">
        <f>(FME_Ranking1[[#This Row],[Structures 100 Raw]]/I$2)*100</f>
        <v>0</v>
      </c>
      <c r="K2236" s="178">
        <f>FME_Ranking1[[#This Row],[Structures 100  Score (Normalized, Unweighted)]]*$I$3</f>
        <v>0</v>
      </c>
      <c r="L2236" s="246">
        <f>_xlfn.XLOOKUP(FME_Ranking1[[#This Row],[FME ID]],FME_Input[FME_ID],FME_Input[RES_STRUCT100])</f>
        <v>0</v>
      </c>
      <c r="M2236" s="230">
        <f>(FME_Ranking1[[#This Row],[Res Structures Raw]]/L$2)*100</f>
        <v>0</v>
      </c>
      <c r="N2236" s="180">
        <f>FME_Ranking1[[#This Row],[Res Structures Score (Normalized, Unweighted)]]*$L$3</f>
        <v>0</v>
      </c>
      <c r="O2236" s="244">
        <f>_xlfn.XLOOKUP(FME_Ranking1[[#This Row],[FME ID]],FME_Input[FME_ID],FME_Input[POP100])</f>
        <v>0</v>
      </c>
      <c r="P2236" s="178">
        <f>(FME_Ranking1[[#This Row],[Pop Raw]]/$O$2)*100</f>
        <v>0</v>
      </c>
      <c r="Q2236" s="178">
        <f>FME_Ranking1[[#This Row],[Pop Score (Normalized, Unweighted)]]*$O$3</f>
        <v>0</v>
      </c>
      <c r="R2236" s="137">
        <f>_xlfn.XLOOKUP(FME_Ranking1[[#This Row],[FME ID]],FME_Input[FME_ID],FME_Input[CRITFAC100])</f>
        <v>0</v>
      </c>
      <c r="S2236" s="230">
        <f>(FME_Ranking1[[#This Row],[Critical Facilities Raw]]/$R$2)*100</f>
        <v>0</v>
      </c>
      <c r="T2236" s="180">
        <f>FME_Ranking1[[#This Row],[Critical Facilities Score (Normalized, Unweighted)]]*$R$3</f>
        <v>0</v>
      </c>
      <c r="U2236">
        <f>_xlfn.XLOOKUP(FME_Ranking1[[#This Row],[FME ID]],FME_Input[FME_ID],FME_Input[LWC])</f>
        <v>0</v>
      </c>
      <c r="V2236" s="178">
        <f>(FME_Ranking1[[#This Row],[LWC Raw]]/$U$2)*100</f>
        <v>0</v>
      </c>
      <c r="W2236" s="178">
        <f>FME_Ranking1[[#This Row],[LWC Score (Normalized, Unweighted)]]*$U$3</f>
        <v>0</v>
      </c>
      <c r="X2236" s="246">
        <f>_xlfn.XLOOKUP(FME_Ranking1[[#This Row],[FME ID]],FME_Input[FME_ID],FME_Input[ROADCLS])</f>
        <v>0</v>
      </c>
      <c r="Y2236" s="230">
        <f>(FME_Ranking1[[#This Row],[Closures Raw]]/$X$2)*100</f>
        <v>0</v>
      </c>
      <c r="Z2236" s="180">
        <f>FME_Ranking1[[#This Row],[Closures Score (Normalized, Unweighted)]]*$X$3</f>
        <v>0</v>
      </c>
      <c r="AA2236" s="253">
        <f>_xlfn.XLOOKUP(FME_Ranking1[[#This Row],[FME ID]],FME_Input[FME_ID],FME_Input[ROAD_MILES100])</f>
        <v>0</v>
      </c>
      <c r="AB2236" s="178">
        <f>(FME_Ranking1[[#This Row],[Miles Raw]]/$AA$2)*100</f>
        <v>0</v>
      </c>
      <c r="AC2236" s="178">
        <f>FME_Ranking1[[#This Row],[Miles Score (Normalized, Unweighted)]]*$AA$3</f>
        <v>0</v>
      </c>
      <c r="AD2236" s="255">
        <f>_xlfn.XLOOKUP(FME_Ranking1[[#This Row],[FME ID]],FME_Input[FME_ID],FME_Input[FARMACRE100])</f>
        <v>0</v>
      </c>
      <c r="AE2236" s="230">
        <f>(FME_Ranking1[[#This Row],[Ag Land Raw]]/$AD$2)*100</f>
        <v>0</v>
      </c>
      <c r="AF2236" s="231">
        <f>FME_Ranking1[[#This Row],[Ag Land Score (Normalized, Unweighted)]]*$AD$3</f>
        <v>0</v>
      </c>
      <c r="AG223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36" s="406">
        <f t="shared" si="34"/>
        <v>2198</v>
      </c>
      <c r="AI223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36" s="257">
        <f>FME_Ranking1[[#This Row],[Addition check]]-FME_Ranking1[[#This Row],[Weighted Score Based on Normalized Reported Factors]]</f>
        <v>0</v>
      </c>
      <c r="AK2236" s="178">
        <f>_xlfn.RANK.EQ(AI2236,$AI$6:$AI$2341,0)+COUNTIF($AI$6:AI2236,AI2236)-1</f>
        <v>2246</v>
      </c>
    </row>
    <row r="2237" spans="1:37" x14ac:dyDescent="0.25">
      <c r="A2237" t="s">
        <v>8351</v>
      </c>
      <c r="B2237">
        <f>_xlfn.XLOOKUP(FME_Ranking1[[#This Row],[FME ID]],FME_Input[FME_ID],FME_Input[RFPG_NUM])</f>
        <v>9</v>
      </c>
      <c r="C2237" t="str">
        <f>_xlfn.XLOOKUP(FME_Ranking1[[#This Row],[FME ID]],FME_Input[FME_ID],FME_Input[FME_NAME])</f>
        <v>Pecan and 3rd Sreet</v>
      </c>
      <c r="D2237" t="str">
        <f>_xlfn.XLOOKUP(FME_Ranking1[[#This Row],[FME ID]],FME_Input[FME_ID],FME_Input[DESCR])</f>
        <v>2.1 ac regional detention. intersection and downstream channel improvements</v>
      </c>
      <c r="E2237" s="256">
        <f>_xlfn.XLOOKUP(FME_Ranking1[[#This Row],[FME ID]],FME_Input[FME_ID],FME_Input[FME_COST])</f>
        <v>25000</v>
      </c>
      <c r="F2237" t="str">
        <f>_xlfn.XLOOKUP(FME_Ranking1[[#This Row],[FME ID]],FME_Input[FME_ID],FME_Input[EMER_NEED])</f>
        <v>No</v>
      </c>
      <c r="G2237">
        <f>IF(FME_Ranking!F2237="Yes",100,0)</f>
        <v>0</v>
      </c>
      <c r="H2237">
        <f>FME_Ranking1[[#This Row],[Emergency Need Score (Normalized, Unweighted)]]*$F$3</f>
        <v>0</v>
      </c>
      <c r="I2237" s="246">
        <f>_xlfn.XLOOKUP(FME_Ranking1[[#This Row],[FME ID]],FME_Input[FME_ID],FME_Input[STRUCT_100])</f>
        <v>0</v>
      </c>
      <c r="J2237" s="178">
        <f>(FME_Ranking1[[#This Row],[Structures 100 Raw]]/I$2)*100</f>
        <v>0</v>
      </c>
      <c r="K2237" s="178">
        <f>FME_Ranking1[[#This Row],[Structures 100  Score (Normalized, Unweighted)]]*$I$3</f>
        <v>0</v>
      </c>
      <c r="L2237" s="246">
        <f>_xlfn.XLOOKUP(FME_Ranking1[[#This Row],[FME ID]],FME_Input[FME_ID],FME_Input[RES_STRUCT100])</f>
        <v>0</v>
      </c>
      <c r="M2237" s="230">
        <f>(FME_Ranking1[[#This Row],[Res Structures Raw]]/L$2)*100</f>
        <v>0</v>
      </c>
      <c r="N2237" s="180">
        <f>FME_Ranking1[[#This Row],[Res Structures Score (Normalized, Unweighted)]]*$L$3</f>
        <v>0</v>
      </c>
      <c r="O2237" s="244">
        <f>_xlfn.XLOOKUP(FME_Ranking1[[#This Row],[FME ID]],FME_Input[FME_ID],FME_Input[POP100])</f>
        <v>0</v>
      </c>
      <c r="P2237" s="178">
        <f>(FME_Ranking1[[#This Row],[Pop Raw]]/$O$2)*100</f>
        <v>0</v>
      </c>
      <c r="Q2237" s="178">
        <f>FME_Ranking1[[#This Row],[Pop Score (Normalized, Unweighted)]]*$O$3</f>
        <v>0</v>
      </c>
      <c r="R2237" s="137">
        <f>_xlfn.XLOOKUP(FME_Ranking1[[#This Row],[FME ID]],FME_Input[FME_ID],FME_Input[CRITFAC100])</f>
        <v>0</v>
      </c>
      <c r="S2237" s="230">
        <f>(FME_Ranking1[[#This Row],[Critical Facilities Raw]]/$R$2)*100</f>
        <v>0</v>
      </c>
      <c r="T2237" s="180">
        <f>FME_Ranking1[[#This Row],[Critical Facilities Score (Normalized, Unweighted)]]*$R$3</f>
        <v>0</v>
      </c>
      <c r="U2237">
        <f>_xlfn.XLOOKUP(FME_Ranking1[[#This Row],[FME ID]],FME_Input[FME_ID],FME_Input[LWC])</f>
        <v>0</v>
      </c>
      <c r="V2237" s="178">
        <f>(FME_Ranking1[[#This Row],[LWC Raw]]/$U$2)*100</f>
        <v>0</v>
      </c>
      <c r="W2237" s="178">
        <f>FME_Ranking1[[#This Row],[LWC Score (Normalized, Unweighted)]]*$U$3</f>
        <v>0</v>
      </c>
      <c r="X2237" s="246">
        <f>_xlfn.XLOOKUP(FME_Ranking1[[#This Row],[FME ID]],FME_Input[FME_ID],FME_Input[ROADCLS])</f>
        <v>0</v>
      </c>
      <c r="Y2237" s="230">
        <f>(FME_Ranking1[[#This Row],[Closures Raw]]/$X$2)*100</f>
        <v>0</v>
      </c>
      <c r="Z2237" s="180">
        <f>FME_Ranking1[[#This Row],[Closures Score (Normalized, Unweighted)]]*$X$3</f>
        <v>0</v>
      </c>
      <c r="AA2237" s="253">
        <f>_xlfn.XLOOKUP(FME_Ranking1[[#This Row],[FME ID]],FME_Input[FME_ID],FME_Input[ROAD_MILES100])</f>
        <v>0</v>
      </c>
      <c r="AB2237" s="178">
        <f>(FME_Ranking1[[#This Row],[Miles Raw]]/$AA$2)*100</f>
        <v>0</v>
      </c>
      <c r="AC2237" s="178">
        <f>FME_Ranking1[[#This Row],[Miles Score (Normalized, Unweighted)]]*$AA$3</f>
        <v>0</v>
      </c>
      <c r="AD2237" s="255">
        <f>_xlfn.XLOOKUP(FME_Ranking1[[#This Row],[FME ID]],FME_Input[FME_ID],FME_Input[FARMACRE100])</f>
        <v>0</v>
      </c>
      <c r="AE2237" s="230">
        <f>(FME_Ranking1[[#This Row],[Ag Land Raw]]/$AD$2)*100</f>
        <v>0</v>
      </c>
      <c r="AF2237" s="231">
        <f>FME_Ranking1[[#This Row],[Ag Land Score (Normalized, Unweighted)]]*$AD$3</f>
        <v>0</v>
      </c>
      <c r="AG223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37" s="406">
        <f t="shared" si="34"/>
        <v>2198</v>
      </c>
      <c r="AI223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37" s="257">
        <f>FME_Ranking1[[#This Row],[Addition check]]-FME_Ranking1[[#This Row],[Weighted Score Based on Normalized Reported Factors]]</f>
        <v>0</v>
      </c>
      <c r="AK2237" s="178">
        <f>_xlfn.RANK.EQ(AI2237,$AI$6:$AI$2341,0)+COUNTIF($AI$6:AI2237,AI2237)-1</f>
        <v>2247</v>
      </c>
    </row>
    <row r="2238" spans="1:37" x14ac:dyDescent="0.25">
      <c r="A2238" t="s">
        <v>8360</v>
      </c>
      <c r="B2238">
        <f>_xlfn.XLOOKUP(FME_Ranking1[[#This Row],[FME ID]],FME_Input[FME_ID],FME_Input[RFPG_NUM])</f>
        <v>9</v>
      </c>
      <c r="C2238" t="str">
        <f>_xlfn.XLOOKUP(FME_Ranking1[[#This Row],[FME ID]],FME_Input[FME_ID],FME_Input[FME_NAME])</f>
        <v xml:space="preserve">City of San Angelo 400 Block of E. 14th St. Buyout_x000D_
</v>
      </c>
      <c r="D2238" t="str">
        <f>_xlfn.XLOOKUP(FME_Ranking1[[#This Row],[FME ID]],FME_Input[FME_ID],FME_Input[DESCR])</f>
        <v xml:space="preserve">This area floods homes during heavy rainfall. Demo existing building and convert to park area._x000D_
</v>
      </c>
      <c r="E2238" s="256">
        <f>_xlfn.XLOOKUP(FME_Ranking1[[#This Row],[FME ID]],FME_Input[FME_ID],FME_Input[FME_COST])</f>
        <v>150000</v>
      </c>
      <c r="F2238" t="str">
        <f>_xlfn.XLOOKUP(FME_Ranking1[[#This Row],[FME ID]],FME_Input[FME_ID],FME_Input[EMER_NEED])</f>
        <v>No</v>
      </c>
      <c r="G2238">
        <f>IF(FME_Ranking!F2238="Yes",100,0)</f>
        <v>0</v>
      </c>
      <c r="H2238">
        <f>FME_Ranking1[[#This Row],[Emergency Need Score (Normalized, Unweighted)]]*$F$3</f>
        <v>0</v>
      </c>
      <c r="I2238" s="246">
        <f>_xlfn.XLOOKUP(FME_Ranking1[[#This Row],[FME ID]],FME_Input[FME_ID],FME_Input[STRUCT_100])</f>
        <v>0</v>
      </c>
      <c r="J2238" s="178">
        <f>(FME_Ranking1[[#This Row],[Structures 100 Raw]]/I$2)*100</f>
        <v>0</v>
      </c>
      <c r="K2238" s="178">
        <f>FME_Ranking1[[#This Row],[Structures 100  Score (Normalized, Unweighted)]]*$I$3</f>
        <v>0</v>
      </c>
      <c r="L2238" s="246">
        <f>_xlfn.XLOOKUP(FME_Ranking1[[#This Row],[FME ID]],FME_Input[FME_ID],FME_Input[RES_STRUCT100])</f>
        <v>0</v>
      </c>
      <c r="M2238" s="230">
        <f>(FME_Ranking1[[#This Row],[Res Structures Raw]]/L$2)*100</f>
        <v>0</v>
      </c>
      <c r="N2238" s="180">
        <f>FME_Ranking1[[#This Row],[Res Structures Score (Normalized, Unweighted)]]*$L$3</f>
        <v>0</v>
      </c>
      <c r="O2238" s="244">
        <f>_xlfn.XLOOKUP(FME_Ranking1[[#This Row],[FME ID]],FME_Input[FME_ID],FME_Input[POP100])</f>
        <v>0</v>
      </c>
      <c r="P2238" s="178">
        <f>(FME_Ranking1[[#This Row],[Pop Raw]]/$O$2)*100</f>
        <v>0</v>
      </c>
      <c r="Q2238" s="178">
        <f>FME_Ranking1[[#This Row],[Pop Score (Normalized, Unweighted)]]*$O$3</f>
        <v>0</v>
      </c>
      <c r="R2238" s="137">
        <f>_xlfn.XLOOKUP(FME_Ranking1[[#This Row],[FME ID]],FME_Input[FME_ID],FME_Input[CRITFAC100])</f>
        <v>0</v>
      </c>
      <c r="S2238" s="230">
        <f>(FME_Ranking1[[#This Row],[Critical Facilities Raw]]/$R$2)*100</f>
        <v>0</v>
      </c>
      <c r="T2238" s="180">
        <f>FME_Ranking1[[#This Row],[Critical Facilities Score (Normalized, Unweighted)]]*$R$3</f>
        <v>0</v>
      </c>
      <c r="U2238">
        <f>_xlfn.XLOOKUP(FME_Ranking1[[#This Row],[FME ID]],FME_Input[FME_ID],FME_Input[LWC])</f>
        <v>0</v>
      </c>
      <c r="V2238" s="178">
        <f>(FME_Ranking1[[#This Row],[LWC Raw]]/$U$2)*100</f>
        <v>0</v>
      </c>
      <c r="W2238" s="178">
        <f>FME_Ranking1[[#This Row],[LWC Score (Normalized, Unweighted)]]*$U$3</f>
        <v>0</v>
      </c>
      <c r="X2238" s="246">
        <f>_xlfn.XLOOKUP(FME_Ranking1[[#This Row],[FME ID]],FME_Input[FME_ID],FME_Input[ROADCLS])</f>
        <v>0</v>
      </c>
      <c r="Y2238" s="230">
        <f>(FME_Ranking1[[#This Row],[Closures Raw]]/$X$2)*100</f>
        <v>0</v>
      </c>
      <c r="Z2238" s="180">
        <f>FME_Ranking1[[#This Row],[Closures Score (Normalized, Unweighted)]]*$X$3</f>
        <v>0</v>
      </c>
      <c r="AA2238" s="253">
        <f>_xlfn.XLOOKUP(FME_Ranking1[[#This Row],[FME ID]],FME_Input[FME_ID],FME_Input[ROAD_MILES100])</f>
        <v>0</v>
      </c>
      <c r="AB2238" s="178">
        <f>(FME_Ranking1[[#This Row],[Miles Raw]]/$AA$2)*100</f>
        <v>0</v>
      </c>
      <c r="AC2238" s="178">
        <f>FME_Ranking1[[#This Row],[Miles Score (Normalized, Unweighted)]]*$AA$3</f>
        <v>0</v>
      </c>
      <c r="AD2238" s="255">
        <f>_xlfn.XLOOKUP(FME_Ranking1[[#This Row],[FME ID]],FME_Input[FME_ID],FME_Input[FARMACRE100])</f>
        <v>0</v>
      </c>
      <c r="AE2238" s="230">
        <f>(FME_Ranking1[[#This Row],[Ag Land Raw]]/$AD$2)*100</f>
        <v>0</v>
      </c>
      <c r="AF2238" s="231">
        <f>FME_Ranking1[[#This Row],[Ag Land Score (Normalized, Unweighted)]]*$AD$3</f>
        <v>0</v>
      </c>
      <c r="AG223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38" s="406">
        <f t="shared" si="34"/>
        <v>2198</v>
      </c>
      <c r="AI223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38" s="257">
        <f>FME_Ranking1[[#This Row],[Addition check]]-FME_Ranking1[[#This Row],[Weighted Score Based on Normalized Reported Factors]]</f>
        <v>0</v>
      </c>
      <c r="AK2238" s="178">
        <f>_xlfn.RANK.EQ(AI2238,$AI$6:$AI$2341,0)+COUNTIF($AI$6:AI2238,AI2238)-1</f>
        <v>2248</v>
      </c>
    </row>
    <row r="2239" spans="1:37" x14ac:dyDescent="0.25">
      <c r="A2239" t="s">
        <v>44</v>
      </c>
      <c r="B2239">
        <f>_xlfn.XLOOKUP(FME_Ranking1[[#This Row],[FME ID]],FME_Input[FME_ID],FME_Input[RFPG_NUM])</f>
        <v>10</v>
      </c>
      <c r="C2239" t="str">
        <f>_xlfn.XLOOKUP(FME_Ranking1[[#This Row],[FME ID]],FME_Input[FME_ID],FME_Input[FME_NAME])</f>
        <v>Willow-Gazley Local Drainage Alternative 3</v>
      </c>
      <c r="D2239" t="str">
        <f>_xlfn.XLOOKUP(FME_Ranking1[[#This Row],[FME ID]],FME_Input[FME_ID],FME_Input[DESCR])</f>
        <v>Drainage System Improvements</v>
      </c>
      <c r="E2239" s="256">
        <f>_xlfn.XLOOKUP(FME_Ranking1[[#This Row],[FME ID]],FME_Input[FME_ID],FME_Input[FME_COST])</f>
        <v>250000</v>
      </c>
      <c r="F2239" t="str">
        <f>_xlfn.XLOOKUP(FME_Ranking1[[#This Row],[FME ID]],FME_Input[FME_ID],FME_Input[EMER_NEED])</f>
        <v>No</v>
      </c>
      <c r="G2239">
        <f>IF(FME_Ranking!F2239="Yes",100,0)</f>
        <v>0</v>
      </c>
      <c r="H2239">
        <f>FME_Ranking1[[#This Row],[Emergency Need Score (Normalized, Unweighted)]]*$F$3</f>
        <v>0</v>
      </c>
      <c r="I2239" s="246">
        <f>_xlfn.XLOOKUP(FME_Ranking1[[#This Row],[FME ID]],FME_Input[FME_ID],FME_Input[STRUCT_100])</f>
        <v>0</v>
      </c>
      <c r="J2239" s="178">
        <f>(FME_Ranking1[[#This Row],[Structures 100 Raw]]/I$2)*100</f>
        <v>0</v>
      </c>
      <c r="K2239" s="178">
        <f>FME_Ranking1[[#This Row],[Structures 100  Score (Normalized, Unweighted)]]*$I$3</f>
        <v>0</v>
      </c>
      <c r="L2239" s="246">
        <f>_xlfn.XLOOKUP(FME_Ranking1[[#This Row],[FME ID]],FME_Input[FME_ID],FME_Input[RES_STRUCT100])</f>
        <v>0</v>
      </c>
      <c r="M2239" s="230">
        <f>(FME_Ranking1[[#This Row],[Res Structures Raw]]/L$2)*100</f>
        <v>0</v>
      </c>
      <c r="N2239" s="180">
        <f>FME_Ranking1[[#This Row],[Res Structures Score (Normalized, Unweighted)]]*$L$3</f>
        <v>0</v>
      </c>
      <c r="O2239" s="244">
        <f>_xlfn.XLOOKUP(FME_Ranking1[[#This Row],[FME ID]],FME_Input[FME_ID],FME_Input[POP100])</f>
        <v>0</v>
      </c>
      <c r="P2239" s="178">
        <f>(FME_Ranking1[[#This Row],[Pop Raw]]/$O$2)*100</f>
        <v>0</v>
      </c>
      <c r="Q2239" s="178">
        <f>FME_Ranking1[[#This Row],[Pop Score (Normalized, Unweighted)]]*$O$3</f>
        <v>0</v>
      </c>
      <c r="R2239" s="137">
        <f>_xlfn.XLOOKUP(FME_Ranking1[[#This Row],[FME ID]],FME_Input[FME_ID],FME_Input[CRITFAC100])</f>
        <v>0</v>
      </c>
      <c r="S2239" s="230">
        <f>(FME_Ranking1[[#This Row],[Critical Facilities Raw]]/$R$2)*100</f>
        <v>0</v>
      </c>
      <c r="T2239" s="180">
        <f>FME_Ranking1[[#This Row],[Critical Facilities Score (Normalized, Unweighted)]]*$R$3</f>
        <v>0</v>
      </c>
      <c r="U2239">
        <f>_xlfn.XLOOKUP(FME_Ranking1[[#This Row],[FME ID]],FME_Input[FME_ID],FME_Input[LWC])</f>
        <v>0</v>
      </c>
      <c r="V2239" s="178">
        <f>(FME_Ranking1[[#This Row],[LWC Raw]]/$U$2)*100</f>
        <v>0</v>
      </c>
      <c r="W2239" s="178">
        <f>FME_Ranking1[[#This Row],[LWC Score (Normalized, Unweighted)]]*$U$3</f>
        <v>0</v>
      </c>
      <c r="X2239" s="246">
        <f>_xlfn.XLOOKUP(FME_Ranking1[[#This Row],[FME ID]],FME_Input[FME_ID],FME_Input[ROADCLS])</f>
        <v>0</v>
      </c>
      <c r="Y2239" s="230">
        <f>(FME_Ranking1[[#This Row],[Closures Raw]]/$X$2)*100</f>
        <v>0</v>
      </c>
      <c r="Z2239" s="180">
        <f>FME_Ranking1[[#This Row],[Closures Score (Normalized, Unweighted)]]*$X$3</f>
        <v>0</v>
      </c>
      <c r="AA2239" s="253">
        <f>_xlfn.XLOOKUP(FME_Ranking1[[#This Row],[FME ID]],FME_Input[FME_ID],FME_Input[ROAD_MILES100])</f>
        <v>0</v>
      </c>
      <c r="AB2239" s="178">
        <f>(FME_Ranking1[[#This Row],[Miles Raw]]/$AA$2)*100</f>
        <v>0</v>
      </c>
      <c r="AC2239" s="178">
        <f>FME_Ranking1[[#This Row],[Miles Score (Normalized, Unweighted)]]*$AA$3</f>
        <v>0</v>
      </c>
      <c r="AD2239" s="255">
        <f>_xlfn.XLOOKUP(FME_Ranking1[[#This Row],[FME ID]],FME_Input[FME_ID],FME_Input[FARMACRE100])</f>
        <v>0</v>
      </c>
      <c r="AE2239" s="230">
        <f>(FME_Ranking1[[#This Row],[Ag Land Raw]]/$AD$2)*100</f>
        <v>0</v>
      </c>
      <c r="AF2239" s="231">
        <f>FME_Ranking1[[#This Row],[Ag Land Score (Normalized, Unweighted)]]*$AD$3</f>
        <v>0</v>
      </c>
      <c r="AG223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39" s="406">
        <f t="shared" si="34"/>
        <v>2198</v>
      </c>
      <c r="AI223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39" s="257">
        <f>FME_Ranking1[[#This Row],[Addition check]]-FME_Ranking1[[#This Row],[Weighted Score Based on Normalized Reported Factors]]</f>
        <v>0</v>
      </c>
      <c r="AK2239" s="178">
        <f>_xlfn.RANK.EQ(AI2239,$AI$6:$AI$2341,0)+COUNTIF($AI$6:AI2239,AI2239)-1</f>
        <v>2249</v>
      </c>
    </row>
    <row r="2240" spans="1:37" x14ac:dyDescent="0.25">
      <c r="A2240" t="s">
        <v>62</v>
      </c>
      <c r="B2240">
        <f>_xlfn.XLOOKUP(FME_Ranking1[[#This Row],[FME ID]],FME_Input[FME_ID],FME_Input[RFPG_NUM])</f>
        <v>10</v>
      </c>
      <c r="C2240" t="str">
        <f>_xlfn.XLOOKUP(FME_Ranking1[[#This Row],[FME ID]],FME_Input[FME_ID],FME_Input[FME_NAME])</f>
        <v>Willie May Way in Precinct 4 at Trib_x000D_</v>
      </c>
      <c r="D2240" t="str">
        <f>_xlfn.XLOOKUP(FME_Ranking1[[#This Row],[FME ID]],FME_Input[FME_ID],FME_Input[DESCR])</f>
        <v>Replace CMPs with larger multi-box culvert</v>
      </c>
      <c r="E2240" s="256">
        <f>_xlfn.XLOOKUP(FME_Ranking1[[#This Row],[FME ID]],FME_Input[FME_ID],FME_Input[FME_COST])</f>
        <v>100000</v>
      </c>
      <c r="F2240" t="str">
        <f>_xlfn.XLOOKUP(FME_Ranking1[[#This Row],[FME ID]],FME_Input[FME_ID],FME_Input[EMER_NEED])</f>
        <v>No</v>
      </c>
      <c r="G2240">
        <f>IF(FME_Ranking!F2240="Yes",100,0)</f>
        <v>0</v>
      </c>
      <c r="H2240">
        <f>FME_Ranking1[[#This Row],[Emergency Need Score (Normalized, Unweighted)]]*$F$3</f>
        <v>0</v>
      </c>
      <c r="I2240" s="246">
        <f>_xlfn.XLOOKUP(FME_Ranking1[[#This Row],[FME ID]],FME_Input[FME_ID],FME_Input[STRUCT_100])</f>
        <v>0</v>
      </c>
      <c r="J2240" s="178">
        <f>(FME_Ranking1[[#This Row],[Structures 100 Raw]]/I$2)*100</f>
        <v>0</v>
      </c>
      <c r="K2240" s="178">
        <f>FME_Ranking1[[#This Row],[Structures 100  Score (Normalized, Unweighted)]]*$I$3</f>
        <v>0</v>
      </c>
      <c r="L2240" s="246">
        <f>_xlfn.XLOOKUP(FME_Ranking1[[#This Row],[FME ID]],FME_Input[FME_ID],FME_Input[RES_STRUCT100])</f>
        <v>0</v>
      </c>
      <c r="M2240" s="230">
        <f>(FME_Ranking1[[#This Row],[Res Structures Raw]]/L$2)*100</f>
        <v>0</v>
      </c>
      <c r="N2240" s="180">
        <f>FME_Ranking1[[#This Row],[Res Structures Score (Normalized, Unweighted)]]*$L$3</f>
        <v>0</v>
      </c>
      <c r="O2240" s="244">
        <f>_xlfn.XLOOKUP(FME_Ranking1[[#This Row],[FME ID]],FME_Input[FME_ID],FME_Input[POP100])</f>
        <v>0</v>
      </c>
      <c r="P2240" s="178">
        <f>(FME_Ranking1[[#This Row],[Pop Raw]]/$O$2)*100</f>
        <v>0</v>
      </c>
      <c r="Q2240" s="178">
        <f>FME_Ranking1[[#This Row],[Pop Score (Normalized, Unweighted)]]*$O$3</f>
        <v>0</v>
      </c>
      <c r="R2240" s="137">
        <f>_xlfn.XLOOKUP(FME_Ranking1[[#This Row],[FME ID]],FME_Input[FME_ID],FME_Input[CRITFAC100])</f>
        <v>0</v>
      </c>
      <c r="S2240" s="230">
        <f>(FME_Ranking1[[#This Row],[Critical Facilities Raw]]/$R$2)*100</f>
        <v>0</v>
      </c>
      <c r="T2240" s="180">
        <f>FME_Ranking1[[#This Row],[Critical Facilities Score (Normalized, Unweighted)]]*$R$3</f>
        <v>0</v>
      </c>
      <c r="U2240">
        <f>_xlfn.XLOOKUP(FME_Ranking1[[#This Row],[FME ID]],FME_Input[FME_ID],FME_Input[LWC])</f>
        <v>0</v>
      </c>
      <c r="V2240" s="178">
        <f>(FME_Ranking1[[#This Row],[LWC Raw]]/$U$2)*100</f>
        <v>0</v>
      </c>
      <c r="W2240" s="178">
        <f>FME_Ranking1[[#This Row],[LWC Score (Normalized, Unweighted)]]*$U$3</f>
        <v>0</v>
      </c>
      <c r="X2240" s="246">
        <f>_xlfn.XLOOKUP(FME_Ranking1[[#This Row],[FME ID]],FME_Input[FME_ID],FME_Input[ROADCLS])</f>
        <v>0</v>
      </c>
      <c r="Y2240" s="230">
        <f>(FME_Ranking1[[#This Row],[Closures Raw]]/$X$2)*100</f>
        <v>0</v>
      </c>
      <c r="Z2240" s="180">
        <f>FME_Ranking1[[#This Row],[Closures Score (Normalized, Unweighted)]]*$X$3</f>
        <v>0</v>
      </c>
      <c r="AA2240" s="253">
        <f>_xlfn.XLOOKUP(FME_Ranking1[[#This Row],[FME ID]],FME_Input[FME_ID],FME_Input[ROAD_MILES100])</f>
        <v>0</v>
      </c>
      <c r="AB2240" s="178">
        <f>(FME_Ranking1[[#This Row],[Miles Raw]]/$AA$2)*100</f>
        <v>0</v>
      </c>
      <c r="AC2240" s="178">
        <f>FME_Ranking1[[#This Row],[Miles Score (Normalized, Unweighted)]]*$AA$3</f>
        <v>0</v>
      </c>
      <c r="AD2240" s="255">
        <f>_xlfn.XLOOKUP(FME_Ranking1[[#This Row],[FME ID]],FME_Input[FME_ID],FME_Input[FARMACRE100])</f>
        <v>0</v>
      </c>
      <c r="AE2240" s="230">
        <f>(FME_Ranking1[[#This Row],[Ag Land Raw]]/$AD$2)*100</f>
        <v>0</v>
      </c>
      <c r="AF2240" s="231">
        <f>FME_Ranking1[[#This Row],[Ag Land Score (Normalized, Unweighted)]]*$AD$3</f>
        <v>0</v>
      </c>
      <c r="AG224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40" s="406">
        <f t="shared" si="34"/>
        <v>2198</v>
      </c>
      <c r="AI224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40" s="257">
        <f>FME_Ranking1[[#This Row],[Addition check]]-FME_Ranking1[[#This Row],[Weighted Score Based on Normalized Reported Factors]]</f>
        <v>0</v>
      </c>
      <c r="AK2240" s="178">
        <f>_xlfn.RANK.EQ(AI2240,$AI$6:$AI$2341,0)+COUNTIF($AI$6:AI2240,AI2240)-1</f>
        <v>2250</v>
      </c>
    </row>
    <row r="2241" spans="1:37" x14ac:dyDescent="0.25">
      <c r="A2241" t="s">
        <v>97</v>
      </c>
      <c r="B2241">
        <f>_xlfn.XLOOKUP(FME_Ranking1[[#This Row],[FME ID]],FME_Input[FME_ID],FME_Input[RFPG_NUM])</f>
        <v>10</v>
      </c>
      <c r="C2241" t="str">
        <f>_xlfn.XLOOKUP(FME_Ranking1[[#This Row],[FME ID]],FME_Input[FME_ID],FME_Input[FME_NAME])</f>
        <v>Pine Canyon Dr &amp; Wet Weather Creek</v>
      </c>
      <c r="D2241" t="str">
        <f>_xlfn.XLOOKUP(FME_Ranking1[[#This Row],[FME ID]],FME_Input[FME_ID],FME_Input[DESCR])</f>
        <v>LWC to Culvert, Cast-in-place multi-box (2) culvert-bridge</v>
      </c>
      <c r="E2241" s="256">
        <f>_xlfn.XLOOKUP(FME_Ranking1[[#This Row],[FME ID]],FME_Input[FME_ID],FME_Input[FME_COST])</f>
        <v>100000</v>
      </c>
      <c r="F2241" t="str">
        <f>_xlfn.XLOOKUP(FME_Ranking1[[#This Row],[FME ID]],FME_Input[FME_ID],FME_Input[EMER_NEED])</f>
        <v>No</v>
      </c>
      <c r="G2241">
        <f>IF(FME_Ranking!F2241="Yes",100,0)</f>
        <v>0</v>
      </c>
      <c r="H2241">
        <f>FME_Ranking1[[#This Row],[Emergency Need Score (Normalized, Unweighted)]]*$F$3</f>
        <v>0</v>
      </c>
      <c r="I2241" s="246">
        <f>_xlfn.XLOOKUP(FME_Ranking1[[#This Row],[FME ID]],FME_Input[FME_ID],FME_Input[STRUCT_100])</f>
        <v>0</v>
      </c>
      <c r="J2241" s="178">
        <f>(FME_Ranking1[[#This Row],[Structures 100 Raw]]/I$2)*100</f>
        <v>0</v>
      </c>
      <c r="K2241" s="178">
        <f>FME_Ranking1[[#This Row],[Structures 100  Score (Normalized, Unweighted)]]*$I$3</f>
        <v>0</v>
      </c>
      <c r="L2241" s="246">
        <f>_xlfn.XLOOKUP(FME_Ranking1[[#This Row],[FME ID]],FME_Input[FME_ID],FME_Input[RES_STRUCT100])</f>
        <v>0</v>
      </c>
      <c r="M2241" s="230">
        <f>(FME_Ranking1[[#This Row],[Res Structures Raw]]/L$2)*100</f>
        <v>0</v>
      </c>
      <c r="N2241" s="180">
        <f>FME_Ranking1[[#This Row],[Res Structures Score (Normalized, Unweighted)]]*$L$3</f>
        <v>0</v>
      </c>
      <c r="O2241" s="244">
        <f>_xlfn.XLOOKUP(FME_Ranking1[[#This Row],[FME ID]],FME_Input[FME_ID],FME_Input[POP100])</f>
        <v>0</v>
      </c>
      <c r="P2241" s="178">
        <f>(FME_Ranking1[[#This Row],[Pop Raw]]/$O$2)*100</f>
        <v>0</v>
      </c>
      <c r="Q2241" s="178">
        <f>FME_Ranking1[[#This Row],[Pop Score (Normalized, Unweighted)]]*$O$3</f>
        <v>0</v>
      </c>
      <c r="R2241" s="137">
        <f>_xlfn.XLOOKUP(FME_Ranking1[[#This Row],[FME ID]],FME_Input[FME_ID],FME_Input[CRITFAC100])</f>
        <v>0</v>
      </c>
      <c r="S2241" s="230">
        <f>(FME_Ranking1[[#This Row],[Critical Facilities Raw]]/$R$2)*100</f>
        <v>0</v>
      </c>
      <c r="T2241" s="180">
        <f>FME_Ranking1[[#This Row],[Critical Facilities Score (Normalized, Unweighted)]]*$R$3</f>
        <v>0</v>
      </c>
      <c r="U2241">
        <f>_xlfn.XLOOKUP(FME_Ranking1[[#This Row],[FME ID]],FME_Input[FME_ID],FME_Input[LWC])</f>
        <v>0</v>
      </c>
      <c r="V2241" s="178">
        <f>(FME_Ranking1[[#This Row],[LWC Raw]]/$U$2)*100</f>
        <v>0</v>
      </c>
      <c r="W2241" s="178">
        <f>FME_Ranking1[[#This Row],[LWC Score (Normalized, Unweighted)]]*$U$3</f>
        <v>0</v>
      </c>
      <c r="X2241" s="246">
        <f>_xlfn.XLOOKUP(FME_Ranking1[[#This Row],[FME ID]],FME_Input[FME_ID],FME_Input[ROADCLS])</f>
        <v>0</v>
      </c>
      <c r="Y2241" s="230">
        <f>(FME_Ranking1[[#This Row],[Closures Raw]]/$X$2)*100</f>
        <v>0</v>
      </c>
      <c r="Z2241" s="180">
        <f>FME_Ranking1[[#This Row],[Closures Score (Normalized, Unweighted)]]*$X$3</f>
        <v>0</v>
      </c>
      <c r="AA2241" s="253">
        <f>_xlfn.XLOOKUP(FME_Ranking1[[#This Row],[FME ID]],FME_Input[FME_ID],FME_Input[ROAD_MILES100])</f>
        <v>0</v>
      </c>
      <c r="AB2241" s="178">
        <f>(FME_Ranking1[[#This Row],[Miles Raw]]/$AA$2)*100</f>
        <v>0</v>
      </c>
      <c r="AC2241" s="178">
        <f>FME_Ranking1[[#This Row],[Miles Score (Normalized, Unweighted)]]*$AA$3</f>
        <v>0</v>
      </c>
      <c r="AD2241" s="255">
        <f>_xlfn.XLOOKUP(FME_Ranking1[[#This Row],[FME ID]],FME_Input[FME_ID],FME_Input[FARMACRE100])</f>
        <v>0</v>
      </c>
      <c r="AE2241" s="230">
        <f>(FME_Ranking1[[#This Row],[Ag Land Raw]]/$AD$2)*100</f>
        <v>0</v>
      </c>
      <c r="AF2241" s="231">
        <f>FME_Ranking1[[#This Row],[Ag Land Score (Normalized, Unweighted)]]*$AD$3</f>
        <v>0</v>
      </c>
      <c r="AG224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41" s="406">
        <f t="shared" si="34"/>
        <v>2198</v>
      </c>
      <c r="AI224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41" s="257">
        <f>FME_Ranking1[[#This Row],[Addition check]]-FME_Ranking1[[#This Row],[Weighted Score Based on Normalized Reported Factors]]</f>
        <v>0</v>
      </c>
      <c r="AK2241" s="178">
        <f>_xlfn.RANK.EQ(AI2241,$AI$6:$AI$2341,0)+COUNTIF($AI$6:AI2241,AI2241)-1</f>
        <v>2251</v>
      </c>
    </row>
    <row r="2242" spans="1:37" x14ac:dyDescent="0.25">
      <c r="A2242" t="s">
        <v>120</v>
      </c>
      <c r="B2242">
        <f>_xlfn.XLOOKUP(FME_Ranking1[[#This Row],[FME ID]],FME_Input[FME_ID],FME_Input[RFPG_NUM])</f>
        <v>10</v>
      </c>
      <c r="C2242" t="str">
        <f>_xlfn.XLOOKUP(FME_Ranking1[[#This Row],[FME ID]],FME_Input[FME_ID],FME_Input[FME_NAME])</f>
        <v>Smithville Recreation Center Expansion</v>
      </c>
      <c r="D2242" t="str">
        <f>_xlfn.XLOOKUP(FME_Ranking1[[#This Row],[FME ID]],FME_Input[FME_ID],FME_Input[DESCR])</f>
        <v>Expand center to improve shelter-in-place capability</v>
      </c>
      <c r="E2242" s="256">
        <f>_xlfn.XLOOKUP(FME_Ranking1[[#This Row],[FME ID]],FME_Input[FME_ID],FME_Input[FME_COST])</f>
        <v>100000</v>
      </c>
      <c r="F2242" t="str">
        <f>_xlfn.XLOOKUP(FME_Ranking1[[#This Row],[FME ID]],FME_Input[FME_ID],FME_Input[EMER_NEED])</f>
        <v>No</v>
      </c>
      <c r="G2242">
        <f>IF(FME_Ranking!F2242="Yes",100,0)</f>
        <v>0</v>
      </c>
      <c r="H2242">
        <f>FME_Ranking1[[#This Row],[Emergency Need Score (Normalized, Unweighted)]]*$F$3</f>
        <v>0</v>
      </c>
      <c r="I2242" s="246">
        <f>_xlfn.XLOOKUP(FME_Ranking1[[#This Row],[FME ID]],FME_Input[FME_ID],FME_Input[STRUCT_100])</f>
        <v>0</v>
      </c>
      <c r="J2242" s="178">
        <f>(FME_Ranking1[[#This Row],[Structures 100 Raw]]/I$2)*100</f>
        <v>0</v>
      </c>
      <c r="K2242" s="178">
        <f>FME_Ranking1[[#This Row],[Structures 100  Score (Normalized, Unweighted)]]*$I$3</f>
        <v>0</v>
      </c>
      <c r="L2242" s="246">
        <f>_xlfn.XLOOKUP(FME_Ranking1[[#This Row],[FME ID]],FME_Input[FME_ID],FME_Input[RES_STRUCT100])</f>
        <v>0</v>
      </c>
      <c r="M2242" s="230">
        <f>(FME_Ranking1[[#This Row],[Res Structures Raw]]/L$2)*100</f>
        <v>0</v>
      </c>
      <c r="N2242" s="180">
        <f>FME_Ranking1[[#This Row],[Res Structures Score (Normalized, Unweighted)]]*$L$3</f>
        <v>0</v>
      </c>
      <c r="O2242" s="244">
        <f>_xlfn.XLOOKUP(FME_Ranking1[[#This Row],[FME ID]],FME_Input[FME_ID],FME_Input[POP100])</f>
        <v>0</v>
      </c>
      <c r="P2242" s="178">
        <f>(FME_Ranking1[[#This Row],[Pop Raw]]/$O$2)*100</f>
        <v>0</v>
      </c>
      <c r="Q2242" s="178">
        <f>FME_Ranking1[[#This Row],[Pop Score (Normalized, Unweighted)]]*$O$3</f>
        <v>0</v>
      </c>
      <c r="R2242" s="137">
        <f>_xlfn.XLOOKUP(FME_Ranking1[[#This Row],[FME ID]],FME_Input[FME_ID],FME_Input[CRITFAC100])</f>
        <v>0</v>
      </c>
      <c r="S2242" s="230">
        <f>(FME_Ranking1[[#This Row],[Critical Facilities Raw]]/$R$2)*100</f>
        <v>0</v>
      </c>
      <c r="T2242" s="180">
        <f>FME_Ranking1[[#This Row],[Critical Facilities Score (Normalized, Unweighted)]]*$R$3</f>
        <v>0</v>
      </c>
      <c r="U2242">
        <f>_xlfn.XLOOKUP(FME_Ranking1[[#This Row],[FME ID]],FME_Input[FME_ID],FME_Input[LWC])</f>
        <v>0</v>
      </c>
      <c r="V2242" s="178">
        <f>(FME_Ranking1[[#This Row],[LWC Raw]]/$U$2)*100</f>
        <v>0</v>
      </c>
      <c r="W2242" s="178">
        <f>FME_Ranking1[[#This Row],[LWC Score (Normalized, Unweighted)]]*$U$3</f>
        <v>0</v>
      </c>
      <c r="X2242" s="246">
        <f>_xlfn.XLOOKUP(FME_Ranking1[[#This Row],[FME ID]],FME_Input[FME_ID],FME_Input[ROADCLS])</f>
        <v>0</v>
      </c>
      <c r="Y2242" s="230">
        <f>(FME_Ranking1[[#This Row],[Closures Raw]]/$X$2)*100</f>
        <v>0</v>
      </c>
      <c r="Z2242" s="180">
        <f>FME_Ranking1[[#This Row],[Closures Score (Normalized, Unweighted)]]*$X$3</f>
        <v>0</v>
      </c>
      <c r="AA2242" s="253">
        <f>_xlfn.XLOOKUP(FME_Ranking1[[#This Row],[FME ID]],FME_Input[FME_ID],FME_Input[ROAD_MILES100])</f>
        <v>0</v>
      </c>
      <c r="AB2242" s="178">
        <f>(FME_Ranking1[[#This Row],[Miles Raw]]/$AA$2)*100</f>
        <v>0</v>
      </c>
      <c r="AC2242" s="178">
        <f>FME_Ranking1[[#This Row],[Miles Score (Normalized, Unweighted)]]*$AA$3</f>
        <v>0</v>
      </c>
      <c r="AD2242" s="255">
        <f>_xlfn.XLOOKUP(FME_Ranking1[[#This Row],[FME ID]],FME_Input[FME_ID],FME_Input[FARMACRE100])</f>
        <v>0</v>
      </c>
      <c r="AE2242" s="230">
        <f>(FME_Ranking1[[#This Row],[Ag Land Raw]]/$AD$2)*100</f>
        <v>0</v>
      </c>
      <c r="AF2242" s="231">
        <f>FME_Ranking1[[#This Row],[Ag Land Score (Normalized, Unweighted)]]*$AD$3</f>
        <v>0</v>
      </c>
      <c r="AG224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42" s="406">
        <f t="shared" si="34"/>
        <v>2198</v>
      </c>
      <c r="AI224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42" s="257">
        <f>FME_Ranking1[[#This Row],[Addition check]]-FME_Ranking1[[#This Row],[Weighted Score Based on Normalized Reported Factors]]</f>
        <v>0</v>
      </c>
      <c r="AK2242" s="178">
        <f>_xlfn.RANK.EQ(AI2242,$AI$6:$AI$2341,0)+COUNTIF($AI$6:AI2242,AI2242)-1</f>
        <v>2252</v>
      </c>
    </row>
    <row r="2243" spans="1:37" x14ac:dyDescent="0.25">
      <c r="A2243" t="s">
        <v>282</v>
      </c>
      <c r="B2243">
        <f>_xlfn.XLOOKUP(FME_Ranking1[[#This Row],[FME ID]],FME_Input[FME_ID],FME_Input[RFPG_NUM])</f>
        <v>10</v>
      </c>
      <c r="C2243" t="str">
        <f>_xlfn.XLOOKUP(FME_Ranking1[[#This Row],[FME ID]],FME_Input[FME_ID],FME_Input[FME_NAME])</f>
        <v>Gene and Church Streets</v>
      </c>
      <c r="D2243" t="str">
        <f>_xlfn.XLOOKUP(FME_Ranking1[[#This Row],[FME ID]],FME_Input[FME_ID],FME_Input[DESCR])</f>
        <v>Install Culverts</v>
      </c>
      <c r="E2243" s="256">
        <f>_xlfn.XLOOKUP(FME_Ranking1[[#This Row],[FME ID]],FME_Input[FME_ID],FME_Input[FME_COST])</f>
        <v>50000</v>
      </c>
      <c r="F2243" t="str">
        <f>_xlfn.XLOOKUP(FME_Ranking1[[#This Row],[FME ID]],FME_Input[FME_ID],FME_Input[EMER_NEED])</f>
        <v>No</v>
      </c>
      <c r="G2243">
        <f>IF(FME_Ranking!F2243="Yes",100,0)</f>
        <v>0</v>
      </c>
      <c r="H2243">
        <f>FME_Ranking1[[#This Row],[Emergency Need Score (Normalized, Unweighted)]]*$F$3</f>
        <v>0</v>
      </c>
      <c r="I2243" s="246">
        <f>_xlfn.XLOOKUP(FME_Ranking1[[#This Row],[FME ID]],FME_Input[FME_ID],FME_Input[STRUCT_100])</f>
        <v>0</v>
      </c>
      <c r="J2243" s="178">
        <f>(FME_Ranking1[[#This Row],[Structures 100 Raw]]/I$2)*100</f>
        <v>0</v>
      </c>
      <c r="K2243" s="178">
        <f>FME_Ranking1[[#This Row],[Structures 100  Score (Normalized, Unweighted)]]*$I$3</f>
        <v>0</v>
      </c>
      <c r="L2243" s="246">
        <f>_xlfn.XLOOKUP(FME_Ranking1[[#This Row],[FME ID]],FME_Input[FME_ID],FME_Input[RES_STRUCT100])</f>
        <v>0</v>
      </c>
      <c r="M2243" s="230">
        <f>(FME_Ranking1[[#This Row],[Res Structures Raw]]/L$2)*100</f>
        <v>0</v>
      </c>
      <c r="N2243" s="180">
        <f>FME_Ranking1[[#This Row],[Res Structures Score (Normalized, Unweighted)]]*$L$3</f>
        <v>0</v>
      </c>
      <c r="O2243" s="244">
        <f>_xlfn.XLOOKUP(FME_Ranking1[[#This Row],[FME ID]],FME_Input[FME_ID],FME_Input[POP100])</f>
        <v>0</v>
      </c>
      <c r="P2243" s="178">
        <f>(FME_Ranking1[[#This Row],[Pop Raw]]/$O$2)*100</f>
        <v>0</v>
      </c>
      <c r="Q2243" s="178">
        <f>FME_Ranking1[[#This Row],[Pop Score (Normalized, Unweighted)]]*$O$3</f>
        <v>0</v>
      </c>
      <c r="R2243" s="137">
        <f>_xlfn.XLOOKUP(FME_Ranking1[[#This Row],[FME ID]],FME_Input[FME_ID],FME_Input[CRITFAC100])</f>
        <v>0</v>
      </c>
      <c r="S2243" s="230">
        <f>(FME_Ranking1[[#This Row],[Critical Facilities Raw]]/$R$2)*100</f>
        <v>0</v>
      </c>
      <c r="T2243" s="180">
        <f>FME_Ranking1[[#This Row],[Critical Facilities Score (Normalized, Unweighted)]]*$R$3</f>
        <v>0</v>
      </c>
      <c r="U2243">
        <f>_xlfn.XLOOKUP(FME_Ranking1[[#This Row],[FME ID]],FME_Input[FME_ID],FME_Input[LWC])</f>
        <v>0</v>
      </c>
      <c r="V2243" s="178">
        <f>(FME_Ranking1[[#This Row],[LWC Raw]]/$U$2)*100</f>
        <v>0</v>
      </c>
      <c r="W2243" s="178">
        <f>FME_Ranking1[[#This Row],[LWC Score (Normalized, Unweighted)]]*$U$3</f>
        <v>0</v>
      </c>
      <c r="X2243" s="246">
        <f>_xlfn.XLOOKUP(FME_Ranking1[[#This Row],[FME ID]],FME_Input[FME_ID],FME_Input[ROADCLS])</f>
        <v>0</v>
      </c>
      <c r="Y2243" s="230">
        <f>(FME_Ranking1[[#This Row],[Closures Raw]]/$X$2)*100</f>
        <v>0</v>
      </c>
      <c r="Z2243" s="180">
        <f>FME_Ranking1[[#This Row],[Closures Score (Normalized, Unweighted)]]*$X$3</f>
        <v>0</v>
      </c>
      <c r="AA2243" s="253">
        <f>_xlfn.XLOOKUP(FME_Ranking1[[#This Row],[FME ID]],FME_Input[FME_ID],FME_Input[ROAD_MILES100])</f>
        <v>0</v>
      </c>
      <c r="AB2243" s="178">
        <f>(FME_Ranking1[[#This Row],[Miles Raw]]/$AA$2)*100</f>
        <v>0</v>
      </c>
      <c r="AC2243" s="178">
        <f>FME_Ranking1[[#This Row],[Miles Score (Normalized, Unweighted)]]*$AA$3</f>
        <v>0</v>
      </c>
      <c r="AD2243" s="255">
        <f>_xlfn.XLOOKUP(FME_Ranking1[[#This Row],[FME ID]],FME_Input[FME_ID],FME_Input[FARMACRE100])</f>
        <v>0</v>
      </c>
      <c r="AE2243" s="230">
        <f>(FME_Ranking1[[#This Row],[Ag Land Raw]]/$AD$2)*100</f>
        <v>0</v>
      </c>
      <c r="AF2243" s="231">
        <f>FME_Ranking1[[#This Row],[Ag Land Score (Normalized, Unweighted)]]*$AD$3</f>
        <v>0</v>
      </c>
      <c r="AG224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43" s="406">
        <f t="shared" si="34"/>
        <v>2198</v>
      </c>
      <c r="AI224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43" s="257">
        <f>FME_Ranking1[[#This Row],[Addition check]]-FME_Ranking1[[#This Row],[Weighted Score Based on Normalized Reported Factors]]</f>
        <v>0</v>
      </c>
      <c r="AK2243" s="178">
        <f>_xlfn.RANK.EQ(AI2243,$AI$6:$AI$2341,0)+COUNTIF($AI$6:AI2243,AI2243)-1</f>
        <v>2253</v>
      </c>
    </row>
    <row r="2244" spans="1:37" x14ac:dyDescent="0.25">
      <c r="A2244" t="s">
        <v>290</v>
      </c>
      <c r="B2244">
        <f>_xlfn.XLOOKUP(FME_Ranking1[[#This Row],[FME ID]],FME_Input[FME_ID],FME_Input[RFPG_NUM])</f>
        <v>10</v>
      </c>
      <c r="C2244" t="str">
        <f>_xlfn.XLOOKUP(FME_Ranking1[[#This Row],[FME ID]],FME_Input[FME_ID],FME_Input[FME_NAME])</f>
        <v>800 Block W San Antonio</v>
      </c>
      <c r="D2244" t="str">
        <f>_xlfn.XLOOKUP(FME_Ranking1[[#This Row],[FME ID]],FME_Input[FME_ID],FME_Input[DESCR])</f>
        <v>Channels, drop structures, &amp; 2 box culverts: 7' x 4'</v>
      </c>
      <c r="E2244" s="256">
        <f>_xlfn.XLOOKUP(FME_Ranking1[[#This Row],[FME ID]],FME_Input[FME_ID],FME_Input[FME_COST])</f>
        <v>50000</v>
      </c>
      <c r="F2244" t="str">
        <f>_xlfn.XLOOKUP(FME_Ranking1[[#This Row],[FME ID]],FME_Input[FME_ID],FME_Input[EMER_NEED])</f>
        <v>No</v>
      </c>
      <c r="G2244">
        <f>IF(FME_Ranking!F2244="Yes",100,0)</f>
        <v>0</v>
      </c>
      <c r="H2244">
        <f>FME_Ranking1[[#This Row],[Emergency Need Score (Normalized, Unweighted)]]*$F$3</f>
        <v>0</v>
      </c>
      <c r="I2244" s="246">
        <f>_xlfn.XLOOKUP(FME_Ranking1[[#This Row],[FME ID]],FME_Input[FME_ID],FME_Input[STRUCT_100])</f>
        <v>0</v>
      </c>
      <c r="J2244" s="178">
        <f>(FME_Ranking1[[#This Row],[Structures 100 Raw]]/I$2)*100</f>
        <v>0</v>
      </c>
      <c r="K2244" s="178">
        <f>FME_Ranking1[[#This Row],[Structures 100  Score (Normalized, Unweighted)]]*$I$3</f>
        <v>0</v>
      </c>
      <c r="L2244" s="246">
        <f>_xlfn.XLOOKUP(FME_Ranking1[[#This Row],[FME ID]],FME_Input[FME_ID],FME_Input[RES_STRUCT100])</f>
        <v>0</v>
      </c>
      <c r="M2244" s="230">
        <f>(FME_Ranking1[[#This Row],[Res Structures Raw]]/L$2)*100</f>
        <v>0</v>
      </c>
      <c r="N2244" s="180">
        <f>FME_Ranking1[[#This Row],[Res Structures Score (Normalized, Unweighted)]]*$L$3</f>
        <v>0</v>
      </c>
      <c r="O2244" s="244">
        <f>_xlfn.XLOOKUP(FME_Ranking1[[#This Row],[FME ID]],FME_Input[FME_ID],FME_Input[POP100])</f>
        <v>0</v>
      </c>
      <c r="P2244" s="178">
        <f>(FME_Ranking1[[#This Row],[Pop Raw]]/$O$2)*100</f>
        <v>0</v>
      </c>
      <c r="Q2244" s="178">
        <f>FME_Ranking1[[#This Row],[Pop Score (Normalized, Unweighted)]]*$O$3</f>
        <v>0</v>
      </c>
      <c r="R2244" s="137">
        <f>_xlfn.XLOOKUP(FME_Ranking1[[#This Row],[FME ID]],FME_Input[FME_ID],FME_Input[CRITFAC100])</f>
        <v>0</v>
      </c>
      <c r="S2244" s="230">
        <f>(FME_Ranking1[[#This Row],[Critical Facilities Raw]]/$R$2)*100</f>
        <v>0</v>
      </c>
      <c r="T2244" s="180">
        <f>FME_Ranking1[[#This Row],[Critical Facilities Score (Normalized, Unweighted)]]*$R$3</f>
        <v>0</v>
      </c>
      <c r="U2244">
        <f>_xlfn.XLOOKUP(FME_Ranking1[[#This Row],[FME ID]],FME_Input[FME_ID],FME_Input[LWC])</f>
        <v>0</v>
      </c>
      <c r="V2244" s="178">
        <f>(FME_Ranking1[[#This Row],[LWC Raw]]/$U$2)*100</f>
        <v>0</v>
      </c>
      <c r="W2244" s="178">
        <f>FME_Ranking1[[#This Row],[LWC Score (Normalized, Unweighted)]]*$U$3</f>
        <v>0</v>
      </c>
      <c r="X2244" s="246">
        <f>_xlfn.XLOOKUP(FME_Ranking1[[#This Row],[FME ID]],FME_Input[FME_ID],FME_Input[ROADCLS])</f>
        <v>0</v>
      </c>
      <c r="Y2244" s="230">
        <f>(FME_Ranking1[[#This Row],[Closures Raw]]/$X$2)*100</f>
        <v>0</v>
      </c>
      <c r="Z2244" s="180">
        <f>FME_Ranking1[[#This Row],[Closures Score (Normalized, Unweighted)]]*$X$3</f>
        <v>0</v>
      </c>
      <c r="AA2244" s="253">
        <f>_xlfn.XLOOKUP(FME_Ranking1[[#This Row],[FME ID]],FME_Input[FME_ID],FME_Input[ROAD_MILES100])</f>
        <v>0</v>
      </c>
      <c r="AB2244" s="178">
        <f>(FME_Ranking1[[#This Row],[Miles Raw]]/$AA$2)*100</f>
        <v>0</v>
      </c>
      <c r="AC2244" s="178">
        <f>FME_Ranking1[[#This Row],[Miles Score (Normalized, Unweighted)]]*$AA$3</f>
        <v>0</v>
      </c>
      <c r="AD2244" s="255">
        <f>_xlfn.XLOOKUP(FME_Ranking1[[#This Row],[FME ID]],FME_Input[FME_ID],FME_Input[FARMACRE100])</f>
        <v>0</v>
      </c>
      <c r="AE2244" s="230">
        <f>(FME_Ranking1[[#This Row],[Ag Land Raw]]/$AD$2)*100</f>
        <v>0</v>
      </c>
      <c r="AF2244" s="231">
        <f>FME_Ranking1[[#This Row],[Ag Land Score (Normalized, Unweighted)]]*$AD$3</f>
        <v>0</v>
      </c>
      <c r="AG224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44" s="406">
        <f t="shared" si="34"/>
        <v>2198</v>
      </c>
      <c r="AI224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44" s="257">
        <f>FME_Ranking1[[#This Row],[Addition check]]-FME_Ranking1[[#This Row],[Weighted Score Based on Normalized Reported Factors]]</f>
        <v>0</v>
      </c>
      <c r="AK2244" s="178">
        <f>_xlfn.RANK.EQ(AI2244,$AI$6:$AI$2341,0)+COUNTIF($AI$6:AI2244,AI2244)-1</f>
        <v>2254</v>
      </c>
    </row>
    <row r="2245" spans="1:37" x14ac:dyDescent="0.25">
      <c r="A2245" t="s">
        <v>299</v>
      </c>
      <c r="B2245">
        <f>_xlfn.XLOOKUP(FME_Ranking1[[#This Row],[FME ID]],FME_Input[FME_ID],FME_Input[RFPG_NUM])</f>
        <v>10</v>
      </c>
      <c r="C2245" t="str">
        <f>_xlfn.XLOOKUP(FME_Ranking1[[#This Row],[FME ID]],FME_Input[FME_ID],FME_Input[FME_NAME])</f>
        <v>Bowie &amp; Peach Street</v>
      </c>
      <c r="D2245" t="str">
        <f>_xlfn.XLOOKUP(FME_Ranking1[[#This Row],[FME ID]],FME_Input[FME_ID],FME_Input[DESCR])</f>
        <v>Storm sewer system &amp; curb inlets with two 36" RCPs</v>
      </c>
      <c r="E2245" s="256">
        <f>_xlfn.XLOOKUP(FME_Ranking1[[#This Row],[FME ID]],FME_Input[FME_ID],FME_Input[FME_COST])</f>
        <v>100000</v>
      </c>
      <c r="F2245" t="str">
        <f>_xlfn.XLOOKUP(FME_Ranking1[[#This Row],[FME ID]],FME_Input[FME_ID],FME_Input[EMER_NEED])</f>
        <v>No</v>
      </c>
      <c r="G2245">
        <f>IF(FME_Ranking!F2245="Yes",100,0)</f>
        <v>0</v>
      </c>
      <c r="H2245">
        <f>FME_Ranking1[[#This Row],[Emergency Need Score (Normalized, Unweighted)]]*$F$3</f>
        <v>0</v>
      </c>
      <c r="I2245" s="246">
        <f>_xlfn.XLOOKUP(FME_Ranking1[[#This Row],[FME ID]],FME_Input[FME_ID],FME_Input[STRUCT_100])</f>
        <v>0</v>
      </c>
      <c r="J2245" s="178">
        <f>(FME_Ranking1[[#This Row],[Structures 100 Raw]]/I$2)*100</f>
        <v>0</v>
      </c>
      <c r="K2245" s="178">
        <f>FME_Ranking1[[#This Row],[Structures 100  Score (Normalized, Unweighted)]]*$I$3</f>
        <v>0</v>
      </c>
      <c r="L2245" s="246">
        <f>_xlfn.XLOOKUP(FME_Ranking1[[#This Row],[FME ID]],FME_Input[FME_ID],FME_Input[RES_STRUCT100])</f>
        <v>0</v>
      </c>
      <c r="M2245" s="230">
        <f>(FME_Ranking1[[#This Row],[Res Structures Raw]]/L$2)*100</f>
        <v>0</v>
      </c>
      <c r="N2245" s="180">
        <f>FME_Ranking1[[#This Row],[Res Structures Score (Normalized, Unweighted)]]*$L$3</f>
        <v>0</v>
      </c>
      <c r="O2245" s="244">
        <f>_xlfn.XLOOKUP(FME_Ranking1[[#This Row],[FME ID]],FME_Input[FME_ID],FME_Input[POP100])</f>
        <v>0</v>
      </c>
      <c r="P2245" s="178">
        <f>(FME_Ranking1[[#This Row],[Pop Raw]]/$O$2)*100</f>
        <v>0</v>
      </c>
      <c r="Q2245" s="178">
        <f>FME_Ranking1[[#This Row],[Pop Score (Normalized, Unweighted)]]*$O$3</f>
        <v>0</v>
      </c>
      <c r="R2245" s="137">
        <f>_xlfn.XLOOKUP(FME_Ranking1[[#This Row],[FME ID]],FME_Input[FME_ID],FME_Input[CRITFAC100])</f>
        <v>0</v>
      </c>
      <c r="S2245" s="230">
        <f>(FME_Ranking1[[#This Row],[Critical Facilities Raw]]/$R$2)*100</f>
        <v>0</v>
      </c>
      <c r="T2245" s="180">
        <f>FME_Ranking1[[#This Row],[Critical Facilities Score (Normalized, Unweighted)]]*$R$3</f>
        <v>0</v>
      </c>
      <c r="U2245">
        <f>_xlfn.XLOOKUP(FME_Ranking1[[#This Row],[FME ID]],FME_Input[FME_ID],FME_Input[LWC])</f>
        <v>0</v>
      </c>
      <c r="V2245" s="178">
        <f>(FME_Ranking1[[#This Row],[LWC Raw]]/$U$2)*100</f>
        <v>0</v>
      </c>
      <c r="W2245" s="178">
        <f>FME_Ranking1[[#This Row],[LWC Score (Normalized, Unweighted)]]*$U$3</f>
        <v>0</v>
      </c>
      <c r="X2245" s="246">
        <f>_xlfn.XLOOKUP(FME_Ranking1[[#This Row],[FME ID]],FME_Input[FME_ID],FME_Input[ROADCLS])</f>
        <v>0</v>
      </c>
      <c r="Y2245" s="230">
        <f>(FME_Ranking1[[#This Row],[Closures Raw]]/$X$2)*100</f>
        <v>0</v>
      </c>
      <c r="Z2245" s="180">
        <f>FME_Ranking1[[#This Row],[Closures Score (Normalized, Unweighted)]]*$X$3</f>
        <v>0</v>
      </c>
      <c r="AA2245" s="253">
        <f>_xlfn.XLOOKUP(FME_Ranking1[[#This Row],[FME ID]],FME_Input[FME_ID],FME_Input[ROAD_MILES100])</f>
        <v>0</v>
      </c>
      <c r="AB2245" s="178">
        <f>(FME_Ranking1[[#This Row],[Miles Raw]]/$AA$2)*100</f>
        <v>0</v>
      </c>
      <c r="AC2245" s="178">
        <f>FME_Ranking1[[#This Row],[Miles Score (Normalized, Unweighted)]]*$AA$3</f>
        <v>0</v>
      </c>
      <c r="AD2245" s="255">
        <f>_xlfn.XLOOKUP(FME_Ranking1[[#This Row],[FME ID]],FME_Input[FME_ID],FME_Input[FARMACRE100])</f>
        <v>0</v>
      </c>
      <c r="AE2245" s="230">
        <f>(FME_Ranking1[[#This Row],[Ag Land Raw]]/$AD$2)*100</f>
        <v>0</v>
      </c>
      <c r="AF2245" s="231">
        <f>FME_Ranking1[[#This Row],[Ag Land Score (Normalized, Unweighted)]]*$AD$3</f>
        <v>0</v>
      </c>
      <c r="AG224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45" s="406">
        <f t="shared" si="34"/>
        <v>2198</v>
      </c>
      <c r="AI224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45" s="257">
        <f>FME_Ranking1[[#This Row],[Addition check]]-FME_Ranking1[[#This Row],[Weighted Score Based on Normalized Reported Factors]]</f>
        <v>0</v>
      </c>
      <c r="AK2245" s="178">
        <f>_xlfn.RANK.EQ(AI2245,$AI$6:$AI$2341,0)+COUNTIF($AI$6:AI2245,AI2245)-1</f>
        <v>2255</v>
      </c>
    </row>
    <row r="2246" spans="1:37" x14ac:dyDescent="0.25">
      <c r="A2246" t="s">
        <v>301</v>
      </c>
      <c r="B2246">
        <f>_xlfn.XLOOKUP(FME_Ranking1[[#This Row],[FME ID]],FME_Input[FME_ID],FME_Input[RFPG_NUM])</f>
        <v>10</v>
      </c>
      <c r="C2246" t="str">
        <f>_xlfn.XLOOKUP(FME_Ranking1[[#This Row],[FME ID]],FME_Input[FME_ID],FME_Input[FME_NAME])</f>
        <v>Edison &amp; Creek Street</v>
      </c>
      <c r="D2246" t="str">
        <f>_xlfn.XLOOKUP(FME_Ranking1[[#This Row],[FME ID]],FME_Input[FME_ID],FME_Input[DESCR])</f>
        <v>Replace culverts: _x000D_
two 8' x 3' box culverts _x000D_
Add concrete channel</v>
      </c>
      <c r="E2246" s="256">
        <f>_xlfn.XLOOKUP(FME_Ranking1[[#This Row],[FME ID]],FME_Input[FME_ID],FME_Input[FME_COST])</f>
        <v>100000</v>
      </c>
      <c r="F2246" t="str">
        <f>_xlfn.XLOOKUP(FME_Ranking1[[#This Row],[FME ID]],FME_Input[FME_ID],FME_Input[EMER_NEED])</f>
        <v>No</v>
      </c>
      <c r="G2246">
        <f>IF(FME_Ranking!F2246="Yes",100,0)</f>
        <v>0</v>
      </c>
      <c r="H2246">
        <f>FME_Ranking1[[#This Row],[Emergency Need Score (Normalized, Unweighted)]]*$F$3</f>
        <v>0</v>
      </c>
      <c r="I2246" s="246">
        <f>_xlfn.XLOOKUP(FME_Ranking1[[#This Row],[FME ID]],FME_Input[FME_ID],FME_Input[STRUCT_100])</f>
        <v>0</v>
      </c>
      <c r="J2246" s="178">
        <f>(FME_Ranking1[[#This Row],[Structures 100 Raw]]/I$2)*100</f>
        <v>0</v>
      </c>
      <c r="K2246" s="178">
        <f>FME_Ranking1[[#This Row],[Structures 100  Score (Normalized, Unweighted)]]*$I$3</f>
        <v>0</v>
      </c>
      <c r="L2246" s="246">
        <f>_xlfn.XLOOKUP(FME_Ranking1[[#This Row],[FME ID]],FME_Input[FME_ID],FME_Input[RES_STRUCT100])</f>
        <v>0</v>
      </c>
      <c r="M2246" s="230">
        <f>(FME_Ranking1[[#This Row],[Res Structures Raw]]/L$2)*100</f>
        <v>0</v>
      </c>
      <c r="N2246" s="180">
        <f>FME_Ranking1[[#This Row],[Res Structures Score (Normalized, Unweighted)]]*$L$3</f>
        <v>0</v>
      </c>
      <c r="O2246" s="244">
        <f>_xlfn.XLOOKUP(FME_Ranking1[[#This Row],[FME ID]],FME_Input[FME_ID],FME_Input[POP100])</f>
        <v>0</v>
      </c>
      <c r="P2246" s="178">
        <f>(FME_Ranking1[[#This Row],[Pop Raw]]/$O$2)*100</f>
        <v>0</v>
      </c>
      <c r="Q2246" s="178">
        <f>FME_Ranking1[[#This Row],[Pop Score (Normalized, Unweighted)]]*$O$3</f>
        <v>0</v>
      </c>
      <c r="R2246" s="137">
        <f>_xlfn.XLOOKUP(FME_Ranking1[[#This Row],[FME ID]],FME_Input[FME_ID],FME_Input[CRITFAC100])</f>
        <v>0</v>
      </c>
      <c r="S2246" s="230">
        <f>(FME_Ranking1[[#This Row],[Critical Facilities Raw]]/$R$2)*100</f>
        <v>0</v>
      </c>
      <c r="T2246" s="180">
        <f>FME_Ranking1[[#This Row],[Critical Facilities Score (Normalized, Unweighted)]]*$R$3</f>
        <v>0</v>
      </c>
      <c r="U2246">
        <f>_xlfn.XLOOKUP(FME_Ranking1[[#This Row],[FME ID]],FME_Input[FME_ID],FME_Input[LWC])</f>
        <v>0</v>
      </c>
      <c r="V2246" s="178">
        <f>(FME_Ranking1[[#This Row],[LWC Raw]]/$U$2)*100</f>
        <v>0</v>
      </c>
      <c r="W2246" s="178">
        <f>FME_Ranking1[[#This Row],[LWC Score (Normalized, Unweighted)]]*$U$3</f>
        <v>0</v>
      </c>
      <c r="X2246" s="246">
        <f>_xlfn.XLOOKUP(FME_Ranking1[[#This Row],[FME ID]],FME_Input[FME_ID],FME_Input[ROADCLS])</f>
        <v>0</v>
      </c>
      <c r="Y2246" s="230">
        <f>(FME_Ranking1[[#This Row],[Closures Raw]]/$X$2)*100</f>
        <v>0</v>
      </c>
      <c r="Z2246" s="180">
        <f>FME_Ranking1[[#This Row],[Closures Score (Normalized, Unweighted)]]*$X$3</f>
        <v>0</v>
      </c>
      <c r="AA2246" s="253">
        <f>_xlfn.XLOOKUP(FME_Ranking1[[#This Row],[FME ID]],FME_Input[FME_ID],FME_Input[ROAD_MILES100])</f>
        <v>0</v>
      </c>
      <c r="AB2246" s="178">
        <f>(FME_Ranking1[[#This Row],[Miles Raw]]/$AA$2)*100</f>
        <v>0</v>
      </c>
      <c r="AC2246" s="178">
        <f>FME_Ranking1[[#This Row],[Miles Score (Normalized, Unweighted)]]*$AA$3</f>
        <v>0</v>
      </c>
      <c r="AD2246" s="255">
        <f>_xlfn.XLOOKUP(FME_Ranking1[[#This Row],[FME ID]],FME_Input[FME_ID],FME_Input[FARMACRE100])</f>
        <v>0</v>
      </c>
      <c r="AE2246" s="230">
        <f>(FME_Ranking1[[#This Row],[Ag Land Raw]]/$AD$2)*100</f>
        <v>0</v>
      </c>
      <c r="AF2246" s="231">
        <f>FME_Ranking1[[#This Row],[Ag Land Score (Normalized, Unweighted)]]*$AD$3</f>
        <v>0</v>
      </c>
      <c r="AG224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46" s="406">
        <f t="shared" ref="AH2246:AH2309" si="35">_xlfn.RANK.EQ(AG2246,$AG$6:$AG$2341,0)</f>
        <v>2198</v>
      </c>
      <c r="AI224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46" s="257">
        <f>FME_Ranking1[[#This Row],[Addition check]]-FME_Ranking1[[#This Row],[Weighted Score Based on Normalized Reported Factors]]</f>
        <v>0</v>
      </c>
      <c r="AK2246" s="178">
        <f>_xlfn.RANK.EQ(AI2246,$AI$6:$AI$2341,0)+COUNTIF($AI$6:AI2246,AI2246)-1</f>
        <v>2256</v>
      </c>
    </row>
    <row r="2247" spans="1:37" x14ac:dyDescent="0.25">
      <c r="A2247" t="s">
        <v>303</v>
      </c>
      <c r="B2247">
        <f>_xlfn.XLOOKUP(FME_Ranking1[[#This Row],[FME ID]],FME_Input[FME_ID],FME_Input[RFPG_NUM])</f>
        <v>10</v>
      </c>
      <c r="C2247" t="str">
        <f>_xlfn.XLOOKUP(FME_Ranking1[[#This Row],[FME ID]],FME_Input[FME_ID],FME_Input[FME_NAME])</f>
        <v>112 W Park</v>
      </c>
      <c r="D2247" t="str">
        <f>_xlfn.XLOOKUP(FME_Ranking1[[#This Row],[FME ID]],FME_Input[FME_ID],FME_Input[DESCR])</f>
        <v>Extend curb to direct water to new vegetated channel with drop structure outfall to Barons Creek</v>
      </c>
      <c r="E2247" s="256">
        <f>_xlfn.XLOOKUP(FME_Ranking1[[#This Row],[FME ID]],FME_Input[FME_ID],FME_Input[FME_COST])</f>
        <v>50000</v>
      </c>
      <c r="F2247" t="str">
        <f>_xlfn.XLOOKUP(FME_Ranking1[[#This Row],[FME ID]],FME_Input[FME_ID],FME_Input[EMER_NEED])</f>
        <v>No</v>
      </c>
      <c r="G2247">
        <f>IF(FME_Ranking!F2247="Yes",100,0)</f>
        <v>0</v>
      </c>
      <c r="H2247">
        <f>FME_Ranking1[[#This Row],[Emergency Need Score (Normalized, Unweighted)]]*$F$3</f>
        <v>0</v>
      </c>
      <c r="I2247" s="246">
        <f>_xlfn.XLOOKUP(FME_Ranking1[[#This Row],[FME ID]],FME_Input[FME_ID],FME_Input[STRUCT_100])</f>
        <v>0</v>
      </c>
      <c r="J2247" s="178">
        <f>(FME_Ranking1[[#This Row],[Structures 100 Raw]]/I$2)*100</f>
        <v>0</v>
      </c>
      <c r="K2247" s="178">
        <f>FME_Ranking1[[#This Row],[Structures 100  Score (Normalized, Unweighted)]]*$I$3</f>
        <v>0</v>
      </c>
      <c r="L2247" s="246">
        <f>_xlfn.XLOOKUP(FME_Ranking1[[#This Row],[FME ID]],FME_Input[FME_ID],FME_Input[RES_STRUCT100])</f>
        <v>0</v>
      </c>
      <c r="M2247" s="230">
        <f>(FME_Ranking1[[#This Row],[Res Structures Raw]]/L$2)*100</f>
        <v>0</v>
      </c>
      <c r="N2247" s="180">
        <f>FME_Ranking1[[#This Row],[Res Structures Score (Normalized, Unweighted)]]*$L$3</f>
        <v>0</v>
      </c>
      <c r="O2247" s="244">
        <f>_xlfn.XLOOKUP(FME_Ranking1[[#This Row],[FME ID]],FME_Input[FME_ID],FME_Input[POP100])</f>
        <v>0</v>
      </c>
      <c r="P2247" s="178">
        <f>(FME_Ranking1[[#This Row],[Pop Raw]]/$O$2)*100</f>
        <v>0</v>
      </c>
      <c r="Q2247" s="178">
        <f>FME_Ranking1[[#This Row],[Pop Score (Normalized, Unweighted)]]*$O$3</f>
        <v>0</v>
      </c>
      <c r="R2247" s="137">
        <f>_xlfn.XLOOKUP(FME_Ranking1[[#This Row],[FME ID]],FME_Input[FME_ID],FME_Input[CRITFAC100])</f>
        <v>0</v>
      </c>
      <c r="S2247" s="230">
        <f>(FME_Ranking1[[#This Row],[Critical Facilities Raw]]/$R$2)*100</f>
        <v>0</v>
      </c>
      <c r="T2247" s="180">
        <f>FME_Ranking1[[#This Row],[Critical Facilities Score (Normalized, Unweighted)]]*$R$3</f>
        <v>0</v>
      </c>
      <c r="U2247">
        <f>_xlfn.XLOOKUP(FME_Ranking1[[#This Row],[FME ID]],FME_Input[FME_ID],FME_Input[LWC])</f>
        <v>0</v>
      </c>
      <c r="V2247" s="178">
        <f>(FME_Ranking1[[#This Row],[LWC Raw]]/$U$2)*100</f>
        <v>0</v>
      </c>
      <c r="W2247" s="178">
        <f>FME_Ranking1[[#This Row],[LWC Score (Normalized, Unweighted)]]*$U$3</f>
        <v>0</v>
      </c>
      <c r="X2247" s="246">
        <f>_xlfn.XLOOKUP(FME_Ranking1[[#This Row],[FME ID]],FME_Input[FME_ID],FME_Input[ROADCLS])</f>
        <v>0</v>
      </c>
      <c r="Y2247" s="230">
        <f>(FME_Ranking1[[#This Row],[Closures Raw]]/$X$2)*100</f>
        <v>0</v>
      </c>
      <c r="Z2247" s="180">
        <f>FME_Ranking1[[#This Row],[Closures Score (Normalized, Unweighted)]]*$X$3</f>
        <v>0</v>
      </c>
      <c r="AA2247" s="253">
        <f>_xlfn.XLOOKUP(FME_Ranking1[[#This Row],[FME ID]],FME_Input[FME_ID],FME_Input[ROAD_MILES100])</f>
        <v>0</v>
      </c>
      <c r="AB2247" s="178">
        <f>(FME_Ranking1[[#This Row],[Miles Raw]]/$AA$2)*100</f>
        <v>0</v>
      </c>
      <c r="AC2247" s="178">
        <f>FME_Ranking1[[#This Row],[Miles Score (Normalized, Unweighted)]]*$AA$3</f>
        <v>0</v>
      </c>
      <c r="AD2247" s="255">
        <f>_xlfn.XLOOKUP(FME_Ranking1[[#This Row],[FME ID]],FME_Input[FME_ID],FME_Input[FARMACRE100])</f>
        <v>0</v>
      </c>
      <c r="AE2247" s="230">
        <f>(FME_Ranking1[[#This Row],[Ag Land Raw]]/$AD$2)*100</f>
        <v>0</v>
      </c>
      <c r="AF2247" s="231">
        <f>FME_Ranking1[[#This Row],[Ag Land Score (Normalized, Unweighted)]]*$AD$3</f>
        <v>0</v>
      </c>
      <c r="AG224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47" s="406">
        <f t="shared" si="35"/>
        <v>2198</v>
      </c>
      <c r="AI224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47" s="257">
        <f>FME_Ranking1[[#This Row],[Addition check]]-FME_Ranking1[[#This Row],[Weighted Score Based on Normalized Reported Factors]]</f>
        <v>0</v>
      </c>
      <c r="AK2247" s="178">
        <f>_xlfn.RANK.EQ(AI2247,$AI$6:$AI$2341,0)+COUNTIF($AI$6:AI2247,AI2247)-1</f>
        <v>2257</v>
      </c>
    </row>
    <row r="2248" spans="1:37" x14ac:dyDescent="0.25">
      <c r="A2248" t="s">
        <v>310</v>
      </c>
      <c r="B2248">
        <f>_xlfn.XLOOKUP(FME_Ranking1[[#This Row],[FME ID]],FME_Input[FME_ID],FME_Input[RFPG_NUM])</f>
        <v>10</v>
      </c>
      <c r="C2248" t="str">
        <f>_xlfn.XLOOKUP(FME_Ranking1[[#This Row],[FME ID]],FME_Input[FME_ID],FME_Input[FME_NAME])</f>
        <v>Drainage Channel near EMS Building</v>
      </c>
      <c r="D2248" t="str">
        <f>_xlfn.XLOOKUP(FME_Ranking1[[#This Row],[FME ID]],FME_Input[FME_ID],FME_Input[DESCR])</f>
        <v>Drop structure with utility encasement</v>
      </c>
      <c r="E2248" s="256">
        <f>_xlfn.XLOOKUP(FME_Ranking1[[#This Row],[FME ID]],FME_Input[FME_ID],FME_Input[FME_COST])</f>
        <v>50000</v>
      </c>
      <c r="F2248" t="str">
        <f>_xlfn.XLOOKUP(FME_Ranking1[[#This Row],[FME ID]],FME_Input[FME_ID],FME_Input[EMER_NEED])</f>
        <v>No</v>
      </c>
      <c r="G2248">
        <f>IF(FME_Ranking!F2248="Yes",100,0)</f>
        <v>0</v>
      </c>
      <c r="H2248">
        <f>FME_Ranking1[[#This Row],[Emergency Need Score (Normalized, Unweighted)]]*$F$3</f>
        <v>0</v>
      </c>
      <c r="I2248" s="246">
        <f>_xlfn.XLOOKUP(FME_Ranking1[[#This Row],[FME ID]],FME_Input[FME_ID],FME_Input[STRUCT_100])</f>
        <v>0</v>
      </c>
      <c r="J2248" s="178">
        <f>(FME_Ranking1[[#This Row],[Structures 100 Raw]]/I$2)*100</f>
        <v>0</v>
      </c>
      <c r="K2248" s="178">
        <f>FME_Ranking1[[#This Row],[Structures 100  Score (Normalized, Unweighted)]]*$I$3</f>
        <v>0</v>
      </c>
      <c r="L2248" s="246">
        <f>_xlfn.XLOOKUP(FME_Ranking1[[#This Row],[FME ID]],FME_Input[FME_ID],FME_Input[RES_STRUCT100])</f>
        <v>0</v>
      </c>
      <c r="M2248" s="230">
        <f>(FME_Ranking1[[#This Row],[Res Structures Raw]]/L$2)*100</f>
        <v>0</v>
      </c>
      <c r="N2248" s="180">
        <f>FME_Ranking1[[#This Row],[Res Structures Score (Normalized, Unweighted)]]*$L$3</f>
        <v>0</v>
      </c>
      <c r="O2248" s="244">
        <f>_xlfn.XLOOKUP(FME_Ranking1[[#This Row],[FME ID]],FME_Input[FME_ID],FME_Input[POP100])</f>
        <v>0</v>
      </c>
      <c r="P2248" s="178">
        <f>(FME_Ranking1[[#This Row],[Pop Raw]]/$O$2)*100</f>
        <v>0</v>
      </c>
      <c r="Q2248" s="178">
        <f>FME_Ranking1[[#This Row],[Pop Score (Normalized, Unweighted)]]*$O$3</f>
        <v>0</v>
      </c>
      <c r="R2248" s="137">
        <f>_xlfn.XLOOKUP(FME_Ranking1[[#This Row],[FME ID]],FME_Input[FME_ID],FME_Input[CRITFAC100])</f>
        <v>0</v>
      </c>
      <c r="S2248" s="230">
        <f>(FME_Ranking1[[#This Row],[Critical Facilities Raw]]/$R$2)*100</f>
        <v>0</v>
      </c>
      <c r="T2248" s="180">
        <f>FME_Ranking1[[#This Row],[Critical Facilities Score (Normalized, Unweighted)]]*$R$3</f>
        <v>0</v>
      </c>
      <c r="U2248">
        <f>_xlfn.XLOOKUP(FME_Ranking1[[#This Row],[FME ID]],FME_Input[FME_ID],FME_Input[LWC])</f>
        <v>0</v>
      </c>
      <c r="V2248" s="178">
        <f>(FME_Ranking1[[#This Row],[LWC Raw]]/$U$2)*100</f>
        <v>0</v>
      </c>
      <c r="W2248" s="178">
        <f>FME_Ranking1[[#This Row],[LWC Score (Normalized, Unweighted)]]*$U$3</f>
        <v>0</v>
      </c>
      <c r="X2248" s="246">
        <f>_xlfn.XLOOKUP(FME_Ranking1[[#This Row],[FME ID]],FME_Input[FME_ID],FME_Input[ROADCLS])</f>
        <v>0</v>
      </c>
      <c r="Y2248" s="230">
        <f>(FME_Ranking1[[#This Row],[Closures Raw]]/$X$2)*100</f>
        <v>0</v>
      </c>
      <c r="Z2248" s="180">
        <f>FME_Ranking1[[#This Row],[Closures Score (Normalized, Unweighted)]]*$X$3</f>
        <v>0</v>
      </c>
      <c r="AA2248" s="253">
        <f>_xlfn.XLOOKUP(FME_Ranking1[[#This Row],[FME ID]],FME_Input[FME_ID],FME_Input[ROAD_MILES100])</f>
        <v>0</v>
      </c>
      <c r="AB2248" s="178">
        <f>(FME_Ranking1[[#This Row],[Miles Raw]]/$AA$2)*100</f>
        <v>0</v>
      </c>
      <c r="AC2248" s="178">
        <f>FME_Ranking1[[#This Row],[Miles Score (Normalized, Unweighted)]]*$AA$3</f>
        <v>0</v>
      </c>
      <c r="AD2248" s="255">
        <f>_xlfn.XLOOKUP(FME_Ranking1[[#This Row],[FME ID]],FME_Input[FME_ID],FME_Input[FARMACRE100])</f>
        <v>0</v>
      </c>
      <c r="AE2248" s="230">
        <f>(FME_Ranking1[[#This Row],[Ag Land Raw]]/$AD$2)*100</f>
        <v>0</v>
      </c>
      <c r="AF2248" s="231">
        <f>FME_Ranking1[[#This Row],[Ag Land Score (Normalized, Unweighted)]]*$AD$3</f>
        <v>0</v>
      </c>
      <c r="AG224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48" s="406">
        <f t="shared" si="35"/>
        <v>2198</v>
      </c>
      <c r="AI224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48" s="257">
        <f>FME_Ranking1[[#This Row],[Addition check]]-FME_Ranking1[[#This Row],[Weighted Score Based on Normalized Reported Factors]]</f>
        <v>0</v>
      </c>
      <c r="AK2248" s="178">
        <f>_xlfn.RANK.EQ(AI2248,$AI$6:$AI$2341,0)+COUNTIF($AI$6:AI2248,AI2248)-1</f>
        <v>2258</v>
      </c>
    </row>
    <row r="2249" spans="1:37" x14ac:dyDescent="0.25">
      <c r="A2249" t="s">
        <v>313</v>
      </c>
      <c r="B2249">
        <f>_xlfn.XLOOKUP(FME_Ranking1[[#This Row],[FME ID]],FME_Input[FME_ID],FME_Input[RFPG_NUM])</f>
        <v>10</v>
      </c>
      <c r="C2249" t="str">
        <f>_xlfn.XLOOKUP(FME_Ranking1[[#This Row],[FME ID]],FME_Input[FME_ID],FME_Input[FME_NAME])</f>
        <v>Bob White Trail</v>
      </c>
      <c r="D2249" t="str">
        <f>_xlfn.XLOOKUP(FME_Ranking1[[#This Row],[FME ID]],FME_Input[FME_ID],FME_Input[DESCR])</f>
        <v>Replace ex culverts with two 24" RCPs; regrade channel; replace driveway culverts</v>
      </c>
      <c r="E2249" s="256">
        <f>_xlfn.XLOOKUP(FME_Ranking1[[#This Row],[FME ID]],FME_Input[FME_ID],FME_Input[FME_COST])</f>
        <v>50000</v>
      </c>
      <c r="F2249" t="str">
        <f>_xlfn.XLOOKUP(FME_Ranking1[[#This Row],[FME ID]],FME_Input[FME_ID],FME_Input[EMER_NEED])</f>
        <v>No</v>
      </c>
      <c r="G2249">
        <f>IF(FME_Ranking!F2249="Yes",100,0)</f>
        <v>0</v>
      </c>
      <c r="H2249">
        <f>FME_Ranking1[[#This Row],[Emergency Need Score (Normalized, Unweighted)]]*$F$3</f>
        <v>0</v>
      </c>
      <c r="I2249" s="246">
        <f>_xlfn.XLOOKUP(FME_Ranking1[[#This Row],[FME ID]],FME_Input[FME_ID],FME_Input[STRUCT_100])</f>
        <v>0</v>
      </c>
      <c r="J2249" s="178">
        <f>(FME_Ranking1[[#This Row],[Structures 100 Raw]]/I$2)*100</f>
        <v>0</v>
      </c>
      <c r="K2249" s="178">
        <f>FME_Ranking1[[#This Row],[Structures 100  Score (Normalized, Unweighted)]]*$I$3</f>
        <v>0</v>
      </c>
      <c r="L2249" s="246">
        <f>_xlfn.XLOOKUP(FME_Ranking1[[#This Row],[FME ID]],FME_Input[FME_ID],FME_Input[RES_STRUCT100])</f>
        <v>0</v>
      </c>
      <c r="M2249" s="230">
        <f>(FME_Ranking1[[#This Row],[Res Structures Raw]]/L$2)*100</f>
        <v>0</v>
      </c>
      <c r="N2249" s="180">
        <f>FME_Ranking1[[#This Row],[Res Structures Score (Normalized, Unweighted)]]*$L$3</f>
        <v>0</v>
      </c>
      <c r="O2249" s="244">
        <f>_xlfn.XLOOKUP(FME_Ranking1[[#This Row],[FME ID]],FME_Input[FME_ID],FME_Input[POP100])</f>
        <v>0</v>
      </c>
      <c r="P2249" s="178">
        <f>(FME_Ranking1[[#This Row],[Pop Raw]]/$O$2)*100</f>
        <v>0</v>
      </c>
      <c r="Q2249" s="178">
        <f>FME_Ranking1[[#This Row],[Pop Score (Normalized, Unweighted)]]*$O$3</f>
        <v>0</v>
      </c>
      <c r="R2249" s="137">
        <f>_xlfn.XLOOKUP(FME_Ranking1[[#This Row],[FME ID]],FME_Input[FME_ID],FME_Input[CRITFAC100])</f>
        <v>0</v>
      </c>
      <c r="S2249" s="230">
        <f>(FME_Ranking1[[#This Row],[Critical Facilities Raw]]/$R$2)*100</f>
        <v>0</v>
      </c>
      <c r="T2249" s="180">
        <f>FME_Ranking1[[#This Row],[Critical Facilities Score (Normalized, Unweighted)]]*$R$3</f>
        <v>0</v>
      </c>
      <c r="U2249">
        <f>_xlfn.XLOOKUP(FME_Ranking1[[#This Row],[FME ID]],FME_Input[FME_ID],FME_Input[LWC])</f>
        <v>0</v>
      </c>
      <c r="V2249" s="178">
        <f>(FME_Ranking1[[#This Row],[LWC Raw]]/$U$2)*100</f>
        <v>0</v>
      </c>
      <c r="W2249" s="178">
        <f>FME_Ranking1[[#This Row],[LWC Score (Normalized, Unweighted)]]*$U$3</f>
        <v>0</v>
      </c>
      <c r="X2249" s="246">
        <f>_xlfn.XLOOKUP(FME_Ranking1[[#This Row],[FME ID]],FME_Input[FME_ID],FME_Input[ROADCLS])</f>
        <v>0</v>
      </c>
      <c r="Y2249" s="230">
        <f>(FME_Ranking1[[#This Row],[Closures Raw]]/$X$2)*100</f>
        <v>0</v>
      </c>
      <c r="Z2249" s="180">
        <f>FME_Ranking1[[#This Row],[Closures Score (Normalized, Unweighted)]]*$X$3</f>
        <v>0</v>
      </c>
      <c r="AA2249" s="253">
        <f>_xlfn.XLOOKUP(FME_Ranking1[[#This Row],[FME ID]],FME_Input[FME_ID],FME_Input[ROAD_MILES100])</f>
        <v>0</v>
      </c>
      <c r="AB2249" s="178">
        <f>(FME_Ranking1[[#This Row],[Miles Raw]]/$AA$2)*100</f>
        <v>0</v>
      </c>
      <c r="AC2249" s="178">
        <f>FME_Ranking1[[#This Row],[Miles Score (Normalized, Unweighted)]]*$AA$3</f>
        <v>0</v>
      </c>
      <c r="AD2249" s="255">
        <f>_xlfn.XLOOKUP(FME_Ranking1[[#This Row],[FME ID]],FME_Input[FME_ID],FME_Input[FARMACRE100])</f>
        <v>0</v>
      </c>
      <c r="AE2249" s="230">
        <f>(FME_Ranking1[[#This Row],[Ag Land Raw]]/$AD$2)*100</f>
        <v>0</v>
      </c>
      <c r="AF2249" s="231">
        <f>FME_Ranking1[[#This Row],[Ag Land Score (Normalized, Unweighted)]]*$AD$3</f>
        <v>0</v>
      </c>
      <c r="AG224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49" s="406">
        <f t="shared" si="35"/>
        <v>2198</v>
      </c>
      <c r="AI224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49" s="257">
        <f>FME_Ranking1[[#This Row],[Addition check]]-FME_Ranking1[[#This Row],[Weighted Score Based on Normalized Reported Factors]]</f>
        <v>0</v>
      </c>
      <c r="AK2249" s="178">
        <f>_xlfn.RANK.EQ(AI2249,$AI$6:$AI$2341,0)+COUNTIF($AI$6:AI2249,AI2249)-1</f>
        <v>2259</v>
      </c>
    </row>
    <row r="2250" spans="1:37" x14ac:dyDescent="0.25">
      <c r="A2250" t="s">
        <v>324</v>
      </c>
      <c r="B2250">
        <f>_xlfn.XLOOKUP(FME_Ranking1[[#This Row],[FME ID]],FME_Input[FME_ID],FME_Input[RFPG_NUM])</f>
        <v>10</v>
      </c>
      <c r="C2250" t="str">
        <f>_xlfn.XLOOKUP(FME_Ranking1[[#This Row],[FME ID]],FME_Input[FME_ID],FME_Input[FME_NAME])</f>
        <v>Crockett Street South of Travis</v>
      </c>
      <c r="D2250" t="str">
        <f>_xlfn.XLOOKUP(FME_Ranking1[[#This Row],[FME ID]],FME_Input[FME_ID],FME_Input[DESCR])</f>
        <v>Capture flow with curb/drop inlets along Travis, Crockett, Austin St</v>
      </c>
      <c r="E2250" s="256">
        <f>_xlfn.XLOOKUP(FME_Ranking1[[#This Row],[FME ID]],FME_Input[FME_ID],FME_Input[FME_COST])</f>
        <v>100000</v>
      </c>
      <c r="F2250" t="str">
        <f>_xlfn.XLOOKUP(FME_Ranking1[[#This Row],[FME ID]],FME_Input[FME_ID],FME_Input[EMER_NEED])</f>
        <v>No</v>
      </c>
      <c r="G2250">
        <f>IF(FME_Ranking!F2250="Yes",100,0)</f>
        <v>0</v>
      </c>
      <c r="H2250">
        <f>FME_Ranking1[[#This Row],[Emergency Need Score (Normalized, Unweighted)]]*$F$3</f>
        <v>0</v>
      </c>
      <c r="I2250" s="246">
        <f>_xlfn.XLOOKUP(FME_Ranking1[[#This Row],[FME ID]],FME_Input[FME_ID],FME_Input[STRUCT_100])</f>
        <v>0</v>
      </c>
      <c r="J2250" s="178">
        <f>(FME_Ranking1[[#This Row],[Structures 100 Raw]]/I$2)*100</f>
        <v>0</v>
      </c>
      <c r="K2250" s="178">
        <f>FME_Ranking1[[#This Row],[Structures 100  Score (Normalized, Unweighted)]]*$I$3</f>
        <v>0</v>
      </c>
      <c r="L2250" s="246">
        <f>_xlfn.XLOOKUP(FME_Ranking1[[#This Row],[FME ID]],FME_Input[FME_ID],FME_Input[RES_STRUCT100])</f>
        <v>0</v>
      </c>
      <c r="M2250" s="230">
        <f>(FME_Ranking1[[#This Row],[Res Structures Raw]]/L$2)*100</f>
        <v>0</v>
      </c>
      <c r="N2250" s="180">
        <f>FME_Ranking1[[#This Row],[Res Structures Score (Normalized, Unweighted)]]*$L$3</f>
        <v>0</v>
      </c>
      <c r="O2250" s="244">
        <f>_xlfn.XLOOKUP(FME_Ranking1[[#This Row],[FME ID]],FME_Input[FME_ID],FME_Input[POP100])</f>
        <v>0</v>
      </c>
      <c r="P2250" s="178">
        <f>(FME_Ranking1[[#This Row],[Pop Raw]]/$O$2)*100</f>
        <v>0</v>
      </c>
      <c r="Q2250" s="178">
        <f>FME_Ranking1[[#This Row],[Pop Score (Normalized, Unweighted)]]*$O$3</f>
        <v>0</v>
      </c>
      <c r="R2250" s="137">
        <f>_xlfn.XLOOKUP(FME_Ranking1[[#This Row],[FME ID]],FME_Input[FME_ID],FME_Input[CRITFAC100])</f>
        <v>0</v>
      </c>
      <c r="S2250" s="230">
        <f>(FME_Ranking1[[#This Row],[Critical Facilities Raw]]/$R$2)*100</f>
        <v>0</v>
      </c>
      <c r="T2250" s="180">
        <f>FME_Ranking1[[#This Row],[Critical Facilities Score (Normalized, Unweighted)]]*$R$3</f>
        <v>0</v>
      </c>
      <c r="U2250">
        <f>_xlfn.XLOOKUP(FME_Ranking1[[#This Row],[FME ID]],FME_Input[FME_ID],FME_Input[LWC])</f>
        <v>0</v>
      </c>
      <c r="V2250" s="178">
        <f>(FME_Ranking1[[#This Row],[LWC Raw]]/$U$2)*100</f>
        <v>0</v>
      </c>
      <c r="W2250" s="178">
        <f>FME_Ranking1[[#This Row],[LWC Score (Normalized, Unweighted)]]*$U$3</f>
        <v>0</v>
      </c>
      <c r="X2250" s="246">
        <f>_xlfn.XLOOKUP(FME_Ranking1[[#This Row],[FME ID]],FME_Input[FME_ID],FME_Input[ROADCLS])</f>
        <v>0</v>
      </c>
      <c r="Y2250" s="230">
        <f>(FME_Ranking1[[#This Row],[Closures Raw]]/$X$2)*100</f>
        <v>0</v>
      </c>
      <c r="Z2250" s="180">
        <f>FME_Ranking1[[#This Row],[Closures Score (Normalized, Unweighted)]]*$X$3</f>
        <v>0</v>
      </c>
      <c r="AA2250" s="253">
        <f>_xlfn.XLOOKUP(FME_Ranking1[[#This Row],[FME ID]],FME_Input[FME_ID],FME_Input[ROAD_MILES100])</f>
        <v>0</v>
      </c>
      <c r="AB2250" s="178">
        <f>(FME_Ranking1[[#This Row],[Miles Raw]]/$AA$2)*100</f>
        <v>0</v>
      </c>
      <c r="AC2250" s="178">
        <f>FME_Ranking1[[#This Row],[Miles Score (Normalized, Unweighted)]]*$AA$3</f>
        <v>0</v>
      </c>
      <c r="AD2250" s="255">
        <f>_xlfn.XLOOKUP(FME_Ranking1[[#This Row],[FME ID]],FME_Input[FME_ID],FME_Input[FARMACRE100])</f>
        <v>0</v>
      </c>
      <c r="AE2250" s="230">
        <f>(FME_Ranking1[[#This Row],[Ag Land Raw]]/$AD$2)*100</f>
        <v>0</v>
      </c>
      <c r="AF2250" s="231">
        <f>FME_Ranking1[[#This Row],[Ag Land Score (Normalized, Unweighted)]]*$AD$3</f>
        <v>0</v>
      </c>
      <c r="AG225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50" s="406">
        <f t="shared" si="35"/>
        <v>2198</v>
      </c>
      <c r="AI225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50" s="257">
        <f>FME_Ranking1[[#This Row],[Addition check]]-FME_Ranking1[[#This Row],[Weighted Score Based on Normalized Reported Factors]]</f>
        <v>0</v>
      </c>
      <c r="AK2250" s="178">
        <f>_xlfn.RANK.EQ(AI2250,$AI$6:$AI$2341,0)+COUNTIF($AI$6:AI2250,AI2250)-1</f>
        <v>2260</v>
      </c>
    </row>
    <row r="2251" spans="1:37" x14ac:dyDescent="0.25">
      <c r="A2251" t="s">
        <v>327</v>
      </c>
      <c r="B2251">
        <f>_xlfn.XLOOKUP(FME_Ranking1[[#This Row],[FME ID]],FME_Input[FME_ID],FME_Input[RFPG_NUM])</f>
        <v>10</v>
      </c>
      <c r="C2251" t="str">
        <f>_xlfn.XLOOKUP(FME_Ranking1[[#This Row],[FME ID]],FME_Input[FME_ID],FME_Input[FME_NAME])</f>
        <v>Cross Mountain West</v>
      </c>
      <c r="D2251" t="str">
        <f>_xlfn.XLOOKUP(FME_Ranking1[[#This Row],[FME ID]],FME_Input[FME_ID],FME_Input[DESCR])</f>
        <v>Drainage channel</v>
      </c>
      <c r="E2251" s="256">
        <f>_xlfn.XLOOKUP(FME_Ranking1[[#This Row],[FME ID]],FME_Input[FME_ID],FME_Input[FME_COST])</f>
        <v>100000</v>
      </c>
      <c r="F2251" t="str">
        <f>_xlfn.XLOOKUP(FME_Ranking1[[#This Row],[FME ID]],FME_Input[FME_ID],FME_Input[EMER_NEED])</f>
        <v>No</v>
      </c>
      <c r="G2251">
        <f>IF(FME_Ranking!F2251="Yes",100,0)</f>
        <v>0</v>
      </c>
      <c r="H2251">
        <f>FME_Ranking1[[#This Row],[Emergency Need Score (Normalized, Unweighted)]]*$F$3</f>
        <v>0</v>
      </c>
      <c r="I2251" s="246">
        <f>_xlfn.XLOOKUP(FME_Ranking1[[#This Row],[FME ID]],FME_Input[FME_ID],FME_Input[STRUCT_100])</f>
        <v>0</v>
      </c>
      <c r="J2251" s="178">
        <f>(FME_Ranking1[[#This Row],[Structures 100 Raw]]/I$2)*100</f>
        <v>0</v>
      </c>
      <c r="K2251" s="178">
        <f>FME_Ranking1[[#This Row],[Structures 100  Score (Normalized, Unweighted)]]*$I$3</f>
        <v>0</v>
      </c>
      <c r="L2251" s="246">
        <f>_xlfn.XLOOKUP(FME_Ranking1[[#This Row],[FME ID]],FME_Input[FME_ID],FME_Input[RES_STRUCT100])</f>
        <v>0</v>
      </c>
      <c r="M2251" s="230">
        <f>(FME_Ranking1[[#This Row],[Res Structures Raw]]/L$2)*100</f>
        <v>0</v>
      </c>
      <c r="N2251" s="180">
        <f>FME_Ranking1[[#This Row],[Res Structures Score (Normalized, Unweighted)]]*$L$3</f>
        <v>0</v>
      </c>
      <c r="O2251" s="244">
        <f>_xlfn.XLOOKUP(FME_Ranking1[[#This Row],[FME ID]],FME_Input[FME_ID],FME_Input[POP100])</f>
        <v>0</v>
      </c>
      <c r="P2251" s="178">
        <f>(FME_Ranking1[[#This Row],[Pop Raw]]/$O$2)*100</f>
        <v>0</v>
      </c>
      <c r="Q2251" s="178">
        <f>FME_Ranking1[[#This Row],[Pop Score (Normalized, Unweighted)]]*$O$3</f>
        <v>0</v>
      </c>
      <c r="R2251" s="137">
        <f>_xlfn.XLOOKUP(FME_Ranking1[[#This Row],[FME ID]],FME_Input[FME_ID],FME_Input[CRITFAC100])</f>
        <v>0</v>
      </c>
      <c r="S2251" s="230">
        <f>(FME_Ranking1[[#This Row],[Critical Facilities Raw]]/$R$2)*100</f>
        <v>0</v>
      </c>
      <c r="T2251" s="180">
        <f>FME_Ranking1[[#This Row],[Critical Facilities Score (Normalized, Unweighted)]]*$R$3</f>
        <v>0</v>
      </c>
      <c r="U2251">
        <f>_xlfn.XLOOKUP(FME_Ranking1[[#This Row],[FME ID]],FME_Input[FME_ID],FME_Input[LWC])</f>
        <v>0</v>
      </c>
      <c r="V2251" s="178">
        <f>(FME_Ranking1[[#This Row],[LWC Raw]]/$U$2)*100</f>
        <v>0</v>
      </c>
      <c r="W2251" s="178">
        <f>FME_Ranking1[[#This Row],[LWC Score (Normalized, Unweighted)]]*$U$3</f>
        <v>0</v>
      </c>
      <c r="X2251" s="246">
        <f>_xlfn.XLOOKUP(FME_Ranking1[[#This Row],[FME ID]],FME_Input[FME_ID],FME_Input[ROADCLS])</f>
        <v>0</v>
      </c>
      <c r="Y2251" s="230">
        <f>(FME_Ranking1[[#This Row],[Closures Raw]]/$X$2)*100</f>
        <v>0</v>
      </c>
      <c r="Z2251" s="180">
        <f>FME_Ranking1[[#This Row],[Closures Score (Normalized, Unweighted)]]*$X$3</f>
        <v>0</v>
      </c>
      <c r="AA2251" s="253">
        <f>_xlfn.XLOOKUP(FME_Ranking1[[#This Row],[FME ID]],FME_Input[FME_ID],FME_Input[ROAD_MILES100])</f>
        <v>0</v>
      </c>
      <c r="AB2251" s="178">
        <f>(FME_Ranking1[[#This Row],[Miles Raw]]/$AA$2)*100</f>
        <v>0</v>
      </c>
      <c r="AC2251" s="178">
        <f>FME_Ranking1[[#This Row],[Miles Score (Normalized, Unweighted)]]*$AA$3</f>
        <v>0</v>
      </c>
      <c r="AD2251" s="255">
        <f>_xlfn.XLOOKUP(FME_Ranking1[[#This Row],[FME ID]],FME_Input[FME_ID],FME_Input[FARMACRE100])</f>
        <v>0</v>
      </c>
      <c r="AE2251" s="230">
        <f>(FME_Ranking1[[#This Row],[Ag Land Raw]]/$AD$2)*100</f>
        <v>0</v>
      </c>
      <c r="AF2251" s="231">
        <f>FME_Ranking1[[#This Row],[Ag Land Score (Normalized, Unweighted)]]*$AD$3</f>
        <v>0</v>
      </c>
      <c r="AG225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51" s="406">
        <f t="shared" si="35"/>
        <v>2198</v>
      </c>
      <c r="AI225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51" s="257">
        <f>FME_Ranking1[[#This Row],[Addition check]]-FME_Ranking1[[#This Row],[Weighted Score Based on Normalized Reported Factors]]</f>
        <v>0</v>
      </c>
      <c r="AK2251" s="178">
        <f>_xlfn.RANK.EQ(AI2251,$AI$6:$AI$2341,0)+COUNTIF($AI$6:AI2251,AI2251)-1</f>
        <v>2261</v>
      </c>
    </row>
    <row r="2252" spans="1:37" x14ac:dyDescent="0.25">
      <c r="A2252" t="s">
        <v>330</v>
      </c>
      <c r="B2252">
        <f>_xlfn.XLOOKUP(FME_Ranking1[[#This Row],[FME ID]],FME_Input[FME_ID],FME_Input[RFPG_NUM])</f>
        <v>10</v>
      </c>
      <c r="C2252" t="str">
        <f>_xlfn.XLOOKUP(FME_Ranking1[[#This Row],[FME ID]],FME_Input[FME_ID],FME_Input[FME_NAME])</f>
        <v>N Milam at West Travis</v>
      </c>
      <c r="D2252" t="str">
        <f>_xlfn.XLOOKUP(FME_Ranking1[[#This Row],[FME ID]],FME_Input[FME_ID],FME_Input[DESCR])</f>
        <v>Curb inlets along Milam St</v>
      </c>
      <c r="E2252" s="256">
        <f>_xlfn.XLOOKUP(FME_Ranking1[[#This Row],[FME ID]],FME_Input[FME_ID],FME_Input[FME_COST])</f>
        <v>150000</v>
      </c>
      <c r="F2252" t="str">
        <f>_xlfn.XLOOKUP(FME_Ranking1[[#This Row],[FME ID]],FME_Input[FME_ID],FME_Input[EMER_NEED])</f>
        <v>No</v>
      </c>
      <c r="G2252">
        <f>IF(FME_Ranking!F2252="Yes",100,0)</f>
        <v>0</v>
      </c>
      <c r="H2252">
        <f>FME_Ranking1[[#This Row],[Emergency Need Score (Normalized, Unweighted)]]*$F$3</f>
        <v>0</v>
      </c>
      <c r="I2252" s="246">
        <f>_xlfn.XLOOKUP(FME_Ranking1[[#This Row],[FME ID]],FME_Input[FME_ID],FME_Input[STRUCT_100])</f>
        <v>0</v>
      </c>
      <c r="J2252" s="178">
        <f>(FME_Ranking1[[#This Row],[Structures 100 Raw]]/I$2)*100</f>
        <v>0</v>
      </c>
      <c r="K2252" s="178">
        <f>FME_Ranking1[[#This Row],[Structures 100  Score (Normalized, Unweighted)]]*$I$3</f>
        <v>0</v>
      </c>
      <c r="L2252" s="246">
        <f>_xlfn.XLOOKUP(FME_Ranking1[[#This Row],[FME ID]],FME_Input[FME_ID],FME_Input[RES_STRUCT100])</f>
        <v>0</v>
      </c>
      <c r="M2252" s="230">
        <f>(FME_Ranking1[[#This Row],[Res Structures Raw]]/L$2)*100</f>
        <v>0</v>
      </c>
      <c r="N2252" s="180">
        <f>FME_Ranking1[[#This Row],[Res Structures Score (Normalized, Unweighted)]]*$L$3</f>
        <v>0</v>
      </c>
      <c r="O2252" s="244">
        <f>_xlfn.XLOOKUP(FME_Ranking1[[#This Row],[FME ID]],FME_Input[FME_ID],FME_Input[POP100])</f>
        <v>0</v>
      </c>
      <c r="P2252" s="178">
        <f>(FME_Ranking1[[#This Row],[Pop Raw]]/$O$2)*100</f>
        <v>0</v>
      </c>
      <c r="Q2252" s="178">
        <f>FME_Ranking1[[#This Row],[Pop Score (Normalized, Unweighted)]]*$O$3</f>
        <v>0</v>
      </c>
      <c r="R2252" s="137">
        <f>_xlfn.XLOOKUP(FME_Ranking1[[#This Row],[FME ID]],FME_Input[FME_ID],FME_Input[CRITFAC100])</f>
        <v>0</v>
      </c>
      <c r="S2252" s="230">
        <f>(FME_Ranking1[[#This Row],[Critical Facilities Raw]]/$R$2)*100</f>
        <v>0</v>
      </c>
      <c r="T2252" s="180">
        <f>FME_Ranking1[[#This Row],[Critical Facilities Score (Normalized, Unweighted)]]*$R$3</f>
        <v>0</v>
      </c>
      <c r="U2252">
        <f>_xlfn.XLOOKUP(FME_Ranking1[[#This Row],[FME ID]],FME_Input[FME_ID],FME_Input[LWC])</f>
        <v>0</v>
      </c>
      <c r="V2252" s="178">
        <f>(FME_Ranking1[[#This Row],[LWC Raw]]/$U$2)*100</f>
        <v>0</v>
      </c>
      <c r="W2252" s="178">
        <f>FME_Ranking1[[#This Row],[LWC Score (Normalized, Unweighted)]]*$U$3</f>
        <v>0</v>
      </c>
      <c r="X2252" s="246">
        <f>_xlfn.XLOOKUP(FME_Ranking1[[#This Row],[FME ID]],FME_Input[FME_ID],FME_Input[ROADCLS])</f>
        <v>0</v>
      </c>
      <c r="Y2252" s="230">
        <f>(FME_Ranking1[[#This Row],[Closures Raw]]/$X$2)*100</f>
        <v>0</v>
      </c>
      <c r="Z2252" s="180">
        <f>FME_Ranking1[[#This Row],[Closures Score (Normalized, Unweighted)]]*$X$3</f>
        <v>0</v>
      </c>
      <c r="AA2252" s="253">
        <f>_xlfn.XLOOKUP(FME_Ranking1[[#This Row],[FME ID]],FME_Input[FME_ID],FME_Input[ROAD_MILES100])</f>
        <v>0</v>
      </c>
      <c r="AB2252" s="178">
        <f>(FME_Ranking1[[#This Row],[Miles Raw]]/$AA$2)*100</f>
        <v>0</v>
      </c>
      <c r="AC2252" s="178">
        <f>FME_Ranking1[[#This Row],[Miles Score (Normalized, Unweighted)]]*$AA$3</f>
        <v>0</v>
      </c>
      <c r="AD2252" s="255">
        <f>_xlfn.XLOOKUP(FME_Ranking1[[#This Row],[FME ID]],FME_Input[FME_ID],FME_Input[FARMACRE100])</f>
        <v>0</v>
      </c>
      <c r="AE2252" s="230">
        <f>(FME_Ranking1[[#This Row],[Ag Land Raw]]/$AD$2)*100</f>
        <v>0</v>
      </c>
      <c r="AF2252" s="231">
        <f>FME_Ranking1[[#This Row],[Ag Land Score (Normalized, Unweighted)]]*$AD$3</f>
        <v>0</v>
      </c>
      <c r="AG225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52" s="406">
        <f t="shared" si="35"/>
        <v>2198</v>
      </c>
      <c r="AI225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52" s="257">
        <f>FME_Ranking1[[#This Row],[Addition check]]-FME_Ranking1[[#This Row],[Weighted Score Based on Normalized Reported Factors]]</f>
        <v>0</v>
      </c>
      <c r="AK2252" s="178">
        <f>_xlfn.RANK.EQ(AI2252,$AI$6:$AI$2341,0)+COUNTIF($AI$6:AI2252,AI2252)-1</f>
        <v>2262</v>
      </c>
    </row>
    <row r="2253" spans="1:37" x14ac:dyDescent="0.25">
      <c r="A2253" t="s">
        <v>541</v>
      </c>
      <c r="B2253">
        <f>_xlfn.XLOOKUP(FME_Ranking1[[#This Row],[FME ID]],FME_Input[FME_ID],FME_Input[RFPG_NUM])</f>
        <v>10</v>
      </c>
      <c r="C2253" t="str">
        <f>_xlfn.XLOOKUP(FME_Ranking1[[#This Row],[FME ID]],FME_Input[FME_ID],FME_Input[FME_NAME])</f>
        <v>Various Streets - Upgrade Existing Roadway Crossings</v>
      </c>
      <c r="D2253" t="str">
        <f>_xlfn.XLOOKUP(FME_Ranking1[[#This Row],[FME ID]],FME_Input[FME_ID],FME_Input[DESCR])</f>
        <v>Increase dimensions of drainage culverts in flood prone areas</v>
      </c>
      <c r="E2253" s="256">
        <f>_xlfn.XLOOKUP(FME_Ranking1[[#This Row],[FME ID]],FME_Input[FME_ID],FME_Input[FME_COST])</f>
        <v>100000</v>
      </c>
      <c r="F2253" t="str">
        <f>_xlfn.XLOOKUP(FME_Ranking1[[#This Row],[FME ID]],FME_Input[FME_ID],FME_Input[EMER_NEED])</f>
        <v>No</v>
      </c>
      <c r="G2253">
        <f>IF(FME_Ranking!F2253="Yes",100,0)</f>
        <v>0</v>
      </c>
      <c r="H2253">
        <f>FME_Ranking1[[#This Row],[Emergency Need Score (Normalized, Unweighted)]]*$F$3</f>
        <v>0</v>
      </c>
      <c r="I2253" s="246">
        <f>_xlfn.XLOOKUP(FME_Ranking1[[#This Row],[FME ID]],FME_Input[FME_ID],FME_Input[STRUCT_100])</f>
        <v>0</v>
      </c>
      <c r="J2253" s="178">
        <f>(FME_Ranking1[[#This Row],[Structures 100 Raw]]/I$2)*100</f>
        <v>0</v>
      </c>
      <c r="K2253" s="178">
        <f>FME_Ranking1[[#This Row],[Structures 100  Score (Normalized, Unweighted)]]*$I$3</f>
        <v>0</v>
      </c>
      <c r="L2253" s="246">
        <f>_xlfn.XLOOKUP(FME_Ranking1[[#This Row],[FME ID]],FME_Input[FME_ID],FME_Input[RES_STRUCT100])</f>
        <v>0</v>
      </c>
      <c r="M2253" s="230">
        <f>(FME_Ranking1[[#This Row],[Res Structures Raw]]/L$2)*100</f>
        <v>0</v>
      </c>
      <c r="N2253" s="180">
        <f>FME_Ranking1[[#This Row],[Res Structures Score (Normalized, Unweighted)]]*$L$3</f>
        <v>0</v>
      </c>
      <c r="O2253" s="244">
        <f>_xlfn.XLOOKUP(FME_Ranking1[[#This Row],[FME ID]],FME_Input[FME_ID],FME_Input[POP100])</f>
        <v>0</v>
      </c>
      <c r="P2253" s="178">
        <f>(FME_Ranking1[[#This Row],[Pop Raw]]/$O$2)*100</f>
        <v>0</v>
      </c>
      <c r="Q2253" s="178">
        <f>FME_Ranking1[[#This Row],[Pop Score (Normalized, Unweighted)]]*$O$3</f>
        <v>0</v>
      </c>
      <c r="R2253" s="137">
        <f>_xlfn.XLOOKUP(FME_Ranking1[[#This Row],[FME ID]],FME_Input[FME_ID],FME_Input[CRITFAC100])</f>
        <v>0</v>
      </c>
      <c r="S2253" s="230">
        <f>(FME_Ranking1[[#This Row],[Critical Facilities Raw]]/$R$2)*100</f>
        <v>0</v>
      </c>
      <c r="T2253" s="180">
        <f>FME_Ranking1[[#This Row],[Critical Facilities Score (Normalized, Unweighted)]]*$R$3</f>
        <v>0</v>
      </c>
      <c r="U2253">
        <f>_xlfn.XLOOKUP(FME_Ranking1[[#This Row],[FME ID]],FME_Input[FME_ID],FME_Input[LWC])</f>
        <v>0</v>
      </c>
      <c r="V2253" s="178">
        <f>(FME_Ranking1[[#This Row],[LWC Raw]]/$U$2)*100</f>
        <v>0</v>
      </c>
      <c r="W2253" s="178">
        <f>FME_Ranking1[[#This Row],[LWC Score (Normalized, Unweighted)]]*$U$3</f>
        <v>0</v>
      </c>
      <c r="X2253" s="246">
        <f>_xlfn.XLOOKUP(FME_Ranking1[[#This Row],[FME ID]],FME_Input[FME_ID],FME_Input[ROADCLS])</f>
        <v>0</v>
      </c>
      <c r="Y2253" s="230">
        <f>(FME_Ranking1[[#This Row],[Closures Raw]]/$X$2)*100</f>
        <v>0</v>
      </c>
      <c r="Z2253" s="180">
        <f>FME_Ranking1[[#This Row],[Closures Score (Normalized, Unweighted)]]*$X$3</f>
        <v>0</v>
      </c>
      <c r="AA2253" s="253">
        <f>_xlfn.XLOOKUP(FME_Ranking1[[#This Row],[FME ID]],FME_Input[FME_ID],FME_Input[ROAD_MILES100])</f>
        <v>0</v>
      </c>
      <c r="AB2253" s="178">
        <f>(FME_Ranking1[[#This Row],[Miles Raw]]/$AA$2)*100</f>
        <v>0</v>
      </c>
      <c r="AC2253" s="178">
        <f>FME_Ranking1[[#This Row],[Miles Score (Normalized, Unweighted)]]*$AA$3</f>
        <v>0</v>
      </c>
      <c r="AD2253" s="255">
        <f>_xlfn.XLOOKUP(FME_Ranking1[[#This Row],[FME ID]],FME_Input[FME_ID],FME_Input[FARMACRE100])</f>
        <v>0</v>
      </c>
      <c r="AE2253" s="230">
        <f>(FME_Ranking1[[#This Row],[Ag Land Raw]]/$AD$2)*100</f>
        <v>0</v>
      </c>
      <c r="AF2253" s="231">
        <f>FME_Ranking1[[#This Row],[Ag Land Score (Normalized, Unweighted)]]*$AD$3</f>
        <v>0</v>
      </c>
      <c r="AG225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53" s="406">
        <f t="shared" si="35"/>
        <v>2198</v>
      </c>
      <c r="AI225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53" s="257">
        <f>FME_Ranking1[[#This Row],[Addition check]]-FME_Ranking1[[#This Row],[Weighted Score Based on Normalized Reported Factors]]</f>
        <v>0</v>
      </c>
      <c r="AK2253" s="178">
        <f>_xlfn.RANK.EQ(AI2253,$AI$6:$AI$2341,0)+COUNTIF($AI$6:AI2253,AI2253)-1</f>
        <v>2263</v>
      </c>
    </row>
    <row r="2254" spans="1:37" x14ac:dyDescent="0.25">
      <c r="A2254" t="s">
        <v>571</v>
      </c>
      <c r="B2254">
        <f>_xlfn.XLOOKUP(FME_Ranking1[[#This Row],[FME ID]],FME_Input[FME_ID],FME_Input[RFPG_NUM])</f>
        <v>10</v>
      </c>
      <c r="C2254" t="str">
        <f>_xlfn.XLOOKUP(FME_Ranking1[[#This Row],[FME ID]],FME_Input[FME_ID],FME_Input[FME_NAME])</f>
        <v>Pecan Street</v>
      </c>
      <c r="D2254" t="str">
        <f>_xlfn.XLOOKUP(FME_Ranking1[[#This Row],[FME ID]],FME_Input[FME_ID],FME_Input[DESCR])</f>
        <v>Install larger storm drainage</v>
      </c>
      <c r="E2254" s="256">
        <f>_xlfn.XLOOKUP(FME_Ranking1[[#This Row],[FME ID]],FME_Input[FME_ID],FME_Input[FME_COST])</f>
        <v>100000</v>
      </c>
      <c r="F2254" t="str">
        <f>_xlfn.XLOOKUP(FME_Ranking1[[#This Row],[FME ID]],FME_Input[FME_ID],FME_Input[EMER_NEED])</f>
        <v>No</v>
      </c>
      <c r="G2254">
        <f>IF(FME_Ranking!F2254="Yes",100,0)</f>
        <v>0</v>
      </c>
      <c r="H2254">
        <f>FME_Ranking1[[#This Row],[Emergency Need Score (Normalized, Unweighted)]]*$F$3</f>
        <v>0</v>
      </c>
      <c r="I2254" s="246">
        <f>_xlfn.XLOOKUP(FME_Ranking1[[#This Row],[FME ID]],FME_Input[FME_ID],FME_Input[STRUCT_100])</f>
        <v>0</v>
      </c>
      <c r="J2254" s="178">
        <f>(FME_Ranking1[[#This Row],[Structures 100 Raw]]/I$2)*100</f>
        <v>0</v>
      </c>
      <c r="K2254" s="178">
        <f>FME_Ranking1[[#This Row],[Structures 100  Score (Normalized, Unweighted)]]*$I$3</f>
        <v>0</v>
      </c>
      <c r="L2254" s="246">
        <f>_xlfn.XLOOKUP(FME_Ranking1[[#This Row],[FME ID]],FME_Input[FME_ID],FME_Input[RES_STRUCT100])</f>
        <v>0</v>
      </c>
      <c r="M2254" s="230">
        <f>(FME_Ranking1[[#This Row],[Res Structures Raw]]/L$2)*100</f>
        <v>0</v>
      </c>
      <c r="N2254" s="180">
        <f>FME_Ranking1[[#This Row],[Res Structures Score (Normalized, Unweighted)]]*$L$3</f>
        <v>0</v>
      </c>
      <c r="O2254" s="244">
        <f>_xlfn.XLOOKUP(FME_Ranking1[[#This Row],[FME ID]],FME_Input[FME_ID],FME_Input[POP100])</f>
        <v>0</v>
      </c>
      <c r="P2254" s="178">
        <f>(FME_Ranking1[[#This Row],[Pop Raw]]/$O$2)*100</f>
        <v>0</v>
      </c>
      <c r="Q2254" s="178">
        <f>FME_Ranking1[[#This Row],[Pop Score (Normalized, Unweighted)]]*$O$3</f>
        <v>0</v>
      </c>
      <c r="R2254" s="137">
        <f>_xlfn.XLOOKUP(FME_Ranking1[[#This Row],[FME ID]],FME_Input[FME_ID],FME_Input[CRITFAC100])</f>
        <v>0</v>
      </c>
      <c r="S2254" s="230">
        <f>(FME_Ranking1[[#This Row],[Critical Facilities Raw]]/$R$2)*100</f>
        <v>0</v>
      </c>
      <c r="T2254" s="180">
        <f>FME_Ranking1[[#This Row],[Critical Facilities Score (Normalized, Unweighted)]]*$R$3</f>
        <v>0</v>
      </c>
      <c r="U2254">
        <f>_xlfn.XLOOKUP(FME_Ranking1[[#This Row],[FME ID]],FME_Input[FME_ID],FME_Input[LWC])</f>
        <v>0</v>
      </c>
      <c r="V2254" s="178">
        <f>(FME_Ranking1[[#This Row],[LWC Raw]]/$U$2)*100</f>
        <v>0</v>
      </c>
      <c r="W2254" s="178">
        <f>FME_Ranking1[[#This Row],[LWC Score (Normalized, Unweighted)]]*$U$3</f>
        <v>0</v>
      </c>
      <c r="X2254" s="246">
        <f>_xlfn.XLOOKUP(FME_Ranking1[[#This Row],[FME ID]],FME_Input[FME_ID],FME_Input[ROADCLS])</f>
        <v>0</v>
      </c>
      <c r="Y2254" s="230">
        <f>(FME_Ranking1[[#This Row],[Closures Raw]]/$X$2)*100</f>
        <v>0</v>
      </c>
      <c r="Z2254" s="180">
        <f>FME_Ranking1[[#This Row],[Closures Score (Normalized, Unweighted)]]*$X$3</f>
        <v>0</v>
      </c>
      <c r="AA2254" s="253">
        <f>_xlfn.XLOOKUP(FME_Ranking1[[#This Row],[FME ID]],FME_Input[FME_ID],FME_Input[ROAD_MILES100])</f>
        <v>0</v>
      </c>
      <c r="AB2254" s="178">
        <f>(FME_Ranking1[[#This Row],[Miles Raw]]/$AA$2)*100</f>
        <v>0</v>
      </c>
      <c r="AC2254" s="178">
        <f>FME_Ranking1[[#This Row],[Miles Score (Normalized, Unweighted)]]*$AA$3</f>
        <v>0</v>
      </c>
      <c r="AD2254" s="255">
        <f>_xlfn.XLOOKUP(FME_Ranking1[[#This Row],[FME ID]],FME_Input[FME_ID],FME_Input[FARMACRE100])</f>
        <v>0</v>
      </c>
      <c r="AE2254" s="230">
        <f>(FME_Ranking1[[#This Row],[Ag Land Raw]]/$AD$2)*100</f>
        <v>0</v>
      </c>
      <c r="AF2254" s="231">
        <f>FME_Ranking1[[#This Row],[Ag Land Score (Normalized, Unweighted)]]*$AD$3</f>
        <v>0</v>
      </c>
      <c r="AG225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54" s="406">
        <f t="shared" si="35"/>
        <v>2198</v>
      </c>
      <c r="AI225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54" s="257">
        <f>FME_Ranking1[[#This Row],[Addition check]]-FME_Ranking1[[#This Row],[Weighted Score Based on Normalized Reported Factors]]</f>
        <v>0</v>
      </c>
      <c r="AK2254" s="178">
        <f>_xlfn.RANK.EQ(AI2254,$AI$6:$AI$2341,0)+COUNTIF($AI$6:AI2254,AI2254)-1</f>
        <v>2264</v>
      </c>
    </row>
    <row r="2255" spans="1:37" x14ac:dyDescent="0.25">
      <c r="A2255" t="s">
        <v>574</v>
      </c>
      <c r="B2255">
        <f>_xlfn.XLOOKUP(FME_Ranking1[[#This Row],[FME ID]],FME_Input[FME_ID],FME_Input[RFPG_NUM])</f>
        <v>10</v>
      </c>
      <c r="C2255" t="str">
        <f>_xlfn.XLOOKUP(FME_Ranking1[[#This Row],[FME ID]],FME_Input[FME_ID],FME_Input[FME_NAME])</f>
        <v>Town &amp; Country Drive</v>
      </c>
      <c r="D2255" t="str">
        <f>_xlfn.XLOOKUP(FME_Ranking1[[#This Row],[FME ID]],FME_Input[FME_ID],FME_Input[DESCR])</f>
        <v>Install largre storm drainage</v>
      </c>
      <c r="E2255" s="256">
        <f>_xlfn.XLOOKUP(FME_Ranking1[[#This Row],[FME ID]],FME_Input[FME_ID],FME_Input[FME_COST])</f>
        <v>100000</v>
      </c>
      <c r="F2255" t="str">
        <f>_xlfn.XLOOKUP(FME_Ranking1[[#This Row],[FME ID]],FME_Input[FME_ID],FME_Input[EMER_NEED])</f>
        <v>No</v>
      </c>
      <c r="G2255">
        <f>IF(FME_Ranking!F2255="Yes",100,0)</f>
        <v>0</v>
      </c>
      <c r="H2255">
        <f>FME_Ranking1[[#This Row],[Emergency Need Score (Normalized, Unweighted)]]*$F$3</f>
        <v>0</v>
      </c>
      <c r="I2255" s="246">
        <f>_xlfn.XLOOKUP(FME_Ranking1[[#This Row],[FME ID]],FME_Input[FME_ID],FME_Input[STRUCT_100])</f>
        <v>0</v>
      </c>
      <c r="J2255" s="178">
        <f>(FME_Ranking1[[#This Row],[Structures 100 Raw]]/I$2)*100</f>
        <v>0</v>
      </c>
      <c r="K2255" s="178">
        <f>FME_Ranking1[[#This Row],[Structures 100  Score (Normalized, Unweighted)]]*$I$3</f>
        <v>0</v>
      </c>
      <c r="L2255" s="246">
        <f>_xlfn.XLOOKUP(FME_Ranking1[[#This Row],[FME ID]],FME_Input[FME_ID],FME_Input[RES_STRUCT100])</f>
        <v>0</v>
      </c>
      <c r="M2255" s="230">
        <f>(FME_Ranking1[[#This Row],[Res Structures Raw]]/L$2)*100</f>
        <v>0</v>
      </c>
      <c r="N2255" s="180">
        <f>FME_Ranking1[[#This Row],[Res Structures Score (Normalized, Unweighted)]]*$L$3</f>
        <v>0</v>
      </c>
      <c r="O2255" s="244">
        <f>_xlfn.XLOOKUP(FME_Ranking1[[#This Row],[FME ID]],FME_Input[FME_ID],FME_Input[POP100])</f>
        <v>0</v>
      </c>
      <c r="P2255" s="178">
        <f>(FME_Ranking1[[#This Row],[Pop Raw]]/$O$2)*100</f>
        <v>0</v>
      </c>
      <c r="Q2255" s="178">
        <f>FME_Ranking1[[#This Row],[Pop Score (Normalized, Unweighted)]]*$O$3</f>
        <v>0</v>
      </c>
      <c r="R2255" s="137">
        <f>_xlfn.XLOOKUP(FME_Ranking1[[#This Row],[FME ID]],FME_Input[FME_ID],FME_Input[CRITFAC100])</f>
        <v>0</v>
      </c>
      <c r="S2255" s="230">
        <f>(FME_Ranking1[[#This Row],[Critical Facilities Raw]]/$R$2)*100</f>
        <v>0</v>
      </c>
      <c r="T2255" s="180">
        <f>FME_Ranking1[[#This Row],[Critical Facilities Score (Normalized, Unweighted)]]*$R$3</f>
        <v>0</v>
      </c>
      <c r="U2255">
        <f>_xlfn.XLOOKUP(FME_Ranking1[[#This Row],[FME ID]],FME_Input[FME_ID],FME_Input[LWC])</f>
        <v>0</v>
      </c>
      <c r="V2255" s="178">
        <f>(FME_Ranking1[[#This Row],[LWC Raw]]/$U$2)*100</f>
        <v>0</v>
      </c>
      <c r="W2255" s="178">
        <f>FME_Ranking1[[#This Row],[LWC Score (Normalized, Unweighted)]]*$U$3</f>
        <v>0</v>
      </c>
      <c r="X2255" s="246">
        <f>_xlfn.XLOOKUP(FME_Ranking1[[#This Row],[FME ID]],FME_Input[FME_ID],FME_Input[ROADCLS])</f>
        <v>0</v>
      </c>
      <c r="Y2255" s="230">
        <f>(FME_Ranking1[[#This Row],[Closures Raw]]/$X$2)*100</f>
        <v>0</v>
      </c>
      <c r="Z2255" s="180">
        <f>FME_Ranking1[[#This Row],[Closures Score (Normalized, Unweighted)]]*$X$3</f>
        <v>0</v>
      </c>
      <c r="AA2255" s="253">
        <f>_xlfn.XLOOKUP(FME_Ranking1[[#This Row],[FME ID]],FME_Input[FME_ID],FME_Input[ROAD_MILES100])</f>
        <v>0</v>
      </c>
      <c r="AB2255" s="178">
        <f>(FME_Ranking1[[#This Row],[Miles Raw]]/$AA$2)*100</f>
        <v>0</v>
      </c>
      <c r="AC2255" s="178">
        <f>FME_Ranking1[[#This Row],[Miles Score (Normalized, Unweighted)]]*$AA$3</f>
        <v>0</v>
      </c>
      <c r="AD2255" s="255">
        <f>_xlfn.XLOOKUP(FME_Ranking1[[#This Row],[FME ID]],FME_Input[FME_ID],FME_Input[FARMACRE100])</f>
        <v>0</v>
      </c>
      <c r="AE2255" s="230">
        <f>(FME_Ranking1[[#This Row],[Ag Land Raw]]/$AD$2)*100</f>
        <v>0</v>
      </c>
      <c r="AF2255" s="231">
        <f>FME_Ranking1[[#This Row],[Ag Land Score (Normalized, Unweighted)]]*$AD$3</f>
        <v>0</v>
      </c>
      <c r="AG225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55" s="406">
        <f t="shared" si="35"/>
        <v>2198</v>
      </c>
      <c r="AI225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55" s="257">
        <f>FME_Ranking1[[#This Row],[Addition check]]-FME_Ranking1[[#This Row],[Weighted Score Based on Normalized Reported Factors]]</f>
        <v>0</v>
      </c>
      <c r="AK2255" s="178">
        <f>_xlfn.RANK.EQ(AI2255,$AI$6:$AI$2341,0)+COUNTIF($AI$6:AI2255,AI2255)-1</f>
        <v>2265</v>
      </c>
    </row>
    <row r="2256" spans="1:37" x14ac:dyDescent="0.25">
      <c r="A2256" t="s">
        <v>269</v>
      </c>
      <c r="B2256">
        <f>_xlfn.XLOOKUP(FME_Ranking1[[#This Row],[FME ID]],FME_Input[FME_ID],FME_Input[RFPG_NUM])</f>
        <v>10</v>
      </c>
      <c r="C2256" t="str">
        <f>_xlfn.XLOOKUP(FME_Ranking1[[#This Row],[FME ID]],FME_Input[FME_ID],FME_Input[FME_NAME])</f>
        <v xml:space="preserve">Flood Proof Wastewater Treatment Plants_x000D_
</v>
      </c>
      <c r="D2256" t="str">
        <f>_xlfn.XLOOKUP(FME_Ranking1[[#This Row],[FME ID]],FME_Input[FME_ID],FME_Input[DESCR])</f>
        <v>Flood Proof Wastewater Treatment Plants</v>
      </c>
      <c r="E2256" s="256">
        <f>_xlfn.XLOOKUP(FME_Ranking1[[#This Row],[FME ID]],FME_Input[FME_ID],FME_Input[FME_COST])</f>
        <v>50000</v>
      </c>
      <c r="F2256" t="str">
        <f>_xlfn.XLOOKUP(FME_Ranking1[[#This Row],[FME ID]],FME_Input[FME_ID],FME_Input[EMER_NEED])</f>
        <v>No</v>
      </c>
      <c r="G2256">
        <f>IF(FME_Ranking!F2256="Yes",100,0)</f>
        <v>0</v>
      </c>
      <c r="H2256">
        <f>FME_Ranking1[[#This Row],[Emergency Need Score (Normalized, Unweighted)]]*$F$3</f>
        <v>0</v>
      </c>
      <c r="I2256" s="246">
        <f>_xlfn.XLOOKUP(FME_Ranking1[[#This Row],[FME ID]],FME_Input[FME_ID],FME_Input[STRUCT_100])</f>
        <v>0</v>
      </c>
      <c r="J2256" s="178">
        <f>(FME_Ranking1[[#This Row],[Structures 100 Raw]]/I$2)*100</f>
        <v>0</v>
      </c>
      <c r="K2256" s="178">
        <f>FME_Ranking1[[#This Row],[Structures 100  Score (Normalized, Unweighted)]]*$I$3</f>
        <v>0</v>
      </c>
      <c r="L2256" s="246">
        <f>_xlfn.XLOOKUP(FME_Ranking1[[#This Row],[FME ID]],FME_Input[FME_ID],FME_Input[RES_STRUCT100])</f>
        <v>0</v>
      </c>
      <c r="M2256" s="230">
        <f>(FME_Ranking1[[#This Row],[Res Structures Raw]]/L$2)*100</f>
        <v>0</v>
      </c>
      <c r="N2256" s="180">
        <f>FME_Ranking1[[#This Row],[Res Structures Score (Normalized, Unweighted)]]*$L$3</f>
        <v>0</v>
      </c>
      <c r="O2256" s="244">
        <f>_xlfn.XLOOKUP(FME_Ranking1[[#This Row],[FME ID]],FME_Input[FME_ID],FME_Input[POP100])</f>
        <v>0</v>
      </c>
      <c r="P2256" s="178">
        <f>(FME_Ranking1[[#This Row],[Pop Raw]]/$O$2)*100</f>
        <v>0</v>
      </c>
      <c r="Q2256" s="178">
        <f>FME_Ranking1[[#This Row],[Pop Score (Normalized, Unweighted)]]*$O$3</f>
        <v>0</v>
      </c>
      <c r="R2256" s="137">
        <f>_xlfn.XLOOKUP(FME_Ranking1[[#This Row],[FME ID]],FME_Input[FME_ID],FME_Input[CRITFAC100])</f>
        <v>0</v>
      </c>
      <c r="S2256" s="230">
        <f>(FME_Ranking1[[#This Row],[Critical Facilities Raw]]/$R$2)*100</f>
        <v>0</v>
      </c>
      <c r="T2256" s="180">
        <f>FME_Ranking1[[#This Row],[Critical Facilities Score (Normalized, Unweighted)]]*$R$3</f>
        <v>0</v>
      </c>
      <c r="U2256">
        <f>_xlfn.XLOOKUP(FME_Ranking1[[#This Row],[FME ID]],FME_Input[FME_ID],FME_Input[LWC])</f>
        <v>0</v>
      </c>
      <c r="V2256" s="178">
        <f>(FME_Ranking1[[#This Row],[LWC Raw]]/$U$2)*100</f>
        <v>0</v>
      </c>
      <c r="W2256" s="178">
        <f>FME_Ranking1[[#This Row],[LWC Score (Normalized, Unweighted)]]*$U$3</f>
        <v>0</v>
      </c>
      <c r="X2256" s="246">
        <f>_xlfn.XLOOKUP(FME_Ranking1[[#This Row],[FME ID]],FME_Input[FME_ID],FME_Input[ROADCLS])</f>
        <v>0</v>
      </c>
      <c r="Y2256" s="230">
        <f>(FME_Ranking1[[#This Row],[Closures Raw]]/$X$2)*100</f>
        <v>0</v>
      </c>
      <c r="Z2256" s="180">
        <f>FME_Ranking1[[#This Row],[Closures Score (Normalized, Unweighted)]]*$X$3</f>
        <v>0</v>
      </c>
      <c r="AA2256" s="253">
        <f>_xlfn.XLOOKUP(FME_Ranking1[[#This Row],[FME ID]],FME_Input[FME_ID],FME_Input[ROAD_MILES100])</f>
        <v>0</v>
      </c>
      <c r="AB2256" s="178">
        <f>(FME_Ranking1[[#This Row],[Miles Raw]]/$AA$2)*100</f>
        <v>0</v>
      </c>
      <c r="AC2256" s="178">
        <f>FME_Ranking1[[#This Row],[Miles Score (Normalized, Unweighted)]]*$AA$3</f>
        <v>0</v>
      </c>
      <c r="AD2256" s="255">
        <f>_xlfn.XLOOKUP(FME_Ranking1[[#This Row],[FME ID]],FME_Input[FME_ID],FME_Input[FARMACRE100])</f>
        <v>0</v>
      </c>
      <c r="AE2256" s="230">
        <f>(FME_Ranking1[[#This Row],[Ag Land Raw]]/$AD$2)*100</f>
        <v>0</v>
      </c>
      <c r="AF2256" s="231">
        <f>FME_Ranking1[[#This Row],[Ag Land Score (Normalized, Unweighted)]]*$AD$3</f>
        <v>0</v>
      </c>
      <c r="AG225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56" s="406">
        <f t="shared" si="35"/>
        <v>2198</v>
      </c>
      <c r="AI225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56" s="257">
        <f>FME_Ranking1[[#This Row],[Addition check]]-FME_Ranking1[[#This Row],[Weighted Score Based on Normalized Reported Factors]]</f>
        <v>0</v>
      </c>
      <c r="AK2256" s="178">
        <f>_xlfn.RANK.EQ(AI2256,$AI$6:$AI$2341,0)+COUNTIF($AI$6:AI2256,AI2256)-1</f>
        <v>2266</v>
      </c>
    </row>
    <row r="2257" spans="1:37" x14ac:dyDescent="0.25">
      <c r="A2257" t="s">
        <v>333</v>
      </c>
      <c r="B2257">
        <f>_xlfn.XLOOKUP(FME_Ranking1[[#This Row],[FME ID]],FME_Input[FME_ID],FME_Input[RFPG_NUM])</f>
        <v>10</v>
      </c>
      <c r="C2257" t="str">
        <f>_xlfn.XLOOKUP(FME_Ranking1[[#This Row],[FME ID]],FME_Input[FME_ID],FME_Input[FME_NAME])</f>
        <v>Carriage Hills</v>
      </c>
      <c r="D2257" t="str">
        <f>_xlfn.XLOOKUP(FME_Ranking1[[#This Row],[FME ID]],FME_Input[FME_ID],FME_Input[DESCR])</f>
        <v>Replace curb, add vegetated channel, increase capacity at Crabapple Pond, replace outlet structure</v>
      </c>
      <c r="E2257" s="256">
        <f>_xlfn.XLOOKUP(FME_Ranking1[[#This Row],[FME ID]],FME_Input[FME_ID],FME_Input[FME_COST])</f>
        <v>100000</v>
      </c>
      <c r="F2257" t="str">
        <f>_xlfn.XLOOKUP(FME_Ranking1[[#This Row],[FME ID]],FME_Input[FME_ID],FME_Input[EMER_NEED])</f>
        <v>No</v>
      </c>
      <c r="G2257">
        <f>IF(FME_Ranking!F2257="Yes",100,0)</f>
        <v>0</v>
      </c>
      <c r="H2257">
        <f>FME_Ranking1[[#This Row],[Emergency Need Score (Normalized, Unweighted)]]*$F$3</f>
        <v>0</v>
      </c>
      <c r="I2257" s="246">
        <f>_xlfn.XLOOKUP(FME_Ranking1[[#This Row],[FME ID]],FME_Input[FME_ID],FME_Input[STRUCT_100])</f>
        <v>0</v>
      </c>
      <c r="J2257" s="178">
        <f>(FME_Ranking1[[#This Row],[Structures 100 Raw]]/I$2)*100</f>
        <v>0</v>
      </c>
      <c r="K2257" s="178">
        <f>FME_Ranking1[[#This Row],[Structures 100  Score (Normalized, Unweighted)]]*$I$3</f>
        <v>0</v>
      </c>
      <c r="L2257" s="246">
        <f>_xlfn.XLOOKUP(FME_Ranking1[[#This Row],[FME ID]],FME_Input[FME_ID],FME_Input[RES_STRUCT100])</f>
        <v>0</v>
      </c>
      <c r="M2257" s="230">
        <f>(FME_Ranking1[[#This Row],[Res Structures Raw]]/L$2)*100</f>
        <v>0</v>
      </c>
      <c r="N2257" s="180">
        <f>FME_Ranking1[[#This Row],[Res Structures Score (Normalized, Unweighted)]]*$L$3</f>
        <v>0</v>
      </c>
      <c r="O2257" s="244">
        <f>_xlfn.XLOOKUP(FME_Ranking1[[#This Row],[FME ID]],FME_Input[FME_ID],FME_Input[POP100])</f>
        <v>0</v>
      </c>
      <c r="P2257" s="178">
        <f>(FME_Ranking1[[#This Row],[Pop Raw]]/$O$2)*100</f>
        <v>0</v>
      </c>
      <c r="Q2257" s="178">
        <f>FME_Ranking1[[#This Row],[Pop Score (Normalized, Unweighted)]]*$O$3</f>
        <v>0</v>
      </c>
      <c r="R2257" s="137">
        <f>_xlfn.XLOOKUP(FME_Ranking1[[#This Row],[FME ID]],FME_Input[FME_ID],FME_Input[CRITFAC100])</f>
        <v>0</v>
      </c>
      <c r="S2257" s="230">
        <f>(FME_Ranking1[[#This Row],[Critical Facilities Raw]]/$R$2)*100</f>
        <v>0</v>
      </c>
      <c r="T2257" s="180">
        <f>FME_Ranking1[[#This Row],[Critical Facilities Score (Normalized, Unweighted)]]*$R$3</f>
        <v>0</v>
      </c>
      <c r="U2257">
        <f>_xlfn.XLOOKUP(FME_Ranking1[[#This Row],[FME ID]],FME_Input[FME_ID],FME_Input[LWC])</f>
        <v>0</v>
      </c>
      <c r="V2257" s="178">
        <f>(FME_Ranking1[[#This Row],[LWC Raw]]/$U$2)*100</f>
        <v>0</v>
      </c>
      <c r="W2257" s="178">
        <f>FME_Ranking1[[#This Row],[LWC Score (Normalized, Unweighted)]]*$U$3</f>
        <v>0</v>
      </c>
      <c r="X2257" s="246">
        <f>_xlfn.XLOOKUP(FME_Ranking1[[#This Row],[FME ID]],FME_Input[FME_ID],FME_Input[ROADCLS])</f>
        <v>0</v>
      </c>
      <c r="Y2257" s="230">
        <f>(FME_Ranking1[[#This Row],[Closures Raw]]/$X$2)*100</f>
        <v>0</v>
      </c>
      <c r="Z2257" s="180">
        <f>FME_Ranking1[[#This Row],[Closures Score (Normalized, Unweighted)]]*$X$3</f>
        <v>0</v>
      </c>
      <c r="AA2257" s="253">
        <f>_xlfn.XLOOKUP(FME_Ranking1[[#This Row],[FME ID]],FME_Input[FME_ID],FME_Input[ROAD_MILES100])</f>
        <v>0</v>
      </c>
      <c r="AB2257" s="178">
        <f>(FME_Ranking1[[#This Row],[Miles Raw]]/$AA$2)*100</f>
        <v>0</v>
      </c>
      <c r="AC2257" s="178">
        <f>FME_Ranking1[[#This Row],[Miles Score (Normalized, Unweighted)]]*$AA$3</f>
        <v>0</v>
      </c>
      <c r="AD2257" s="255">
        <f>_xlfn.XLOOKUP(FME_Ranking1[[#This Row],[FME ID]],FME_Input[FME_ID],FME_Input[FARMACRE100])</f>
        <v>0</v>
      </c>
      <c r="AE2257" s="230">
        <f>(FME_Ranking1[[#This Row],[Ag Land Raw]]/$AD$2)*100</f>
        <v>0</v>
      </c>
      <c r="AF2257" s="231">
        <f>FME_Ranking1[[#This Row],[Ag Land Score (Normalized, Unweighted)]]*$AD$3</f>
        <v>0</v>
      </c>
      <c r="AG225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57" s="406">
        <f t="shared" si="35"/>
        <v>2198</v>
      </c>
      <c r="AI225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57" s="257">
        <f>FME_Ranking1[[#This Row],[Addition check]]-FME_Ranking1[[#This Row],[Weighted Score Based on Normalized Reported Factors]]</f>
        <v>0</v>
      </c>
      <c r="AK2257" s="178">
        <f>_xlfn.RANK.EQ(AI2257,$AI$6:$AI$2341,0)+COUNTIF($AI$6:AI2257,AI2257)-1</f>
        <v>2267</v>
      </c>
    </row>
    <row r="2258" spans="1:37" x14ac:dyDescent="0.25">
      <c r="A2258" t="s">
        <v>336</v>
      </c>
      <c r="B2258">
        <f>_xlfn.XLOOKUP(FME_Ranking1[[#This Row],[FME ID]],FME_Input[FME_ID],FME_Input[RFPG_NUM])</f>
        <v>10</v>
      </c>
      <c r="C2258" t="str">
        <f>_xlfn.XLOOKUP(FME_Ranking1[[#This Row],[FME ID]],FME_Input[FME_ID],FME_Input[FME_NAME])</f>
        <v>Post Oak Subdivision</v>
      </c>
      <c r="D2258" t="str">
        <f>_xlfn.XLOOKUP(FME_Ranking1[[#This Row],[FME ID]],FME_Input[FME_ID],FME_Input[DESCR])</f>
        <v>Improve channel from outlet to Pyka Rd; raise rd by 1/2 ft; add six 7'x3' box culverts</v>
      </c>
      <c r="E2258" s="256">
        <f>_xlfn.XLOOKUP(FME_Ranking1[[#This Row],[FME ID]],FME_Input[FME_ID],FME_Input[FME_COST])</f>
        <v>150000</v>
      </c>
      <c r="F2258" t="str">
        <f>_xlfn.XLOOKUP(FME_Ranking1[[#This Row],[FME ID]],FME_Input[FME_ID],FME_Input[EMER_NEED])</f>
        <v>No</v>
      </c>
      <c r="G2258">
        <f>IF(FME_Ranking!F2258="Yes",100,0)</f>
        <v>0</v>
      </c>
      <c r="H2258">
        <f>FME_Ranking1[[#This Row],[Emergency Need Score (Normalized, Unweighted)]]*$F$3</f>
        <v>0</v>
      </c>
      <c r="I2258" s="246">
        <f>_xlfn.XLOOKUP(FME_Ranking1[[#This Row],[FME ID]],FME_Input[FME_ID],FME_Input[STRUCT_100])</f>
        <v>0</v>
      </c>
      <c r="J2258" s="178">
        <f>(FME_Ranking1[[#This Row],[Structures 100 Raw]]/I$2)*100</f>
        <v>0</v>
      </c>
      <c r="K2258" s="178">
        <f>FME_Ranking1[[#This Row],[Structures 100  Score (Normalized, Unweighted)]]*$I$3</f>
        <v>0</v>
      </c>
      <c r="L2258" s="246">
        <f>_xlfn.XLOOKUP(FME_Ranking1[[#This Row],[FME ID]],FME_Input[FME_ID],FME_Input[RES_STRUCT100])</f>
        <v>0</v>
      </c>
      <c r="M2258" s="230">
        <f>(FME_Ranking1[[#This Row],[Res Structures Raw]]/L$2)*100</f>
        <v>0</v>
      </c>
      <c r="N2258" s="180">
        <f>FME_Ranking1[[#This Row],[Res Structures Score (Normalized, Unweighted)]]*$L$3</f>
        <v>0</v>
      </c>
      <c r="O2258" s="244">
        <f>_xlfn.XLOOKUP(FME_Ranking1[[#This Row],[FME ID]],FME_Input[FME_ID],FME_Input[POP100])</f>
        <v>0</v>
      </c>
      <c r="P2258" s="178">
        <f>(FME_Ranking1[[#This Row],[Pop Raw]]/$O$2)*100</f>
        <v>0</v>
      </c>
      <c r="Q2258" s="178">
        <f>FME_Ranking1[[#This Row],[Pop Score (Normalized, Unweighted)]]*$O$3</f>
        <v>0</v>
      </c>
      <c r="R2258" s="137">
        <f>_xlfn.XLOOKUP(FME_Ranking1[[#This Row],[FME ID]],FME_Input[FME_ID],FME_Input[CRITFAC100])</f>
        <v>0</v>
      </c>
      <c r="S2258" s="230">
        <f>(FME_Ranking1[[#This Row],[Critical Facilities Raw]]/$R$2)*100</f>
        <v>0</v>
      </c>
      <c r="T2258" s="180">
        <f>FME_Ranking1[[#This Row],[Critical Facilities Score (Normalized, Unweighted)]]*$R$3</f>
        <v>0</v>
      </c>
      <c r="U2258">
        <f>_xlfn.XLOOKUP(FME_Ranking1[[#This Row],[FME ID]],FME_Input[FME_ID],FME_Input[LWC])</f>
        <v>0</v>
      </c>
      <c r="V2258" s="178">
        <f>(FME_Ranking1[[#This Row],[LWC Raw]]/$U$2)*100</f>
        <v>0</v>
      </c>
      <c r="W2258" s="178">
        <f>FME_Ranking1[[#This Row],[LWC Score (Normalized, Unweighted)]]*$U$3</f>
        <v>0</v>
      </c>
      <c r="X2258" s="246">
        <f>_xlfn.XLOOKUP(FME_Ranking1[[#This Row],[FME ID]],FME_Input[FME_ID],FME_Input[ROADCLS])</f>
        <v>0</v>
      </c>
      <c r="Y2258" s="230">
        <f>(FME_Ranking1[[#This Row],[Closures Raw]]/$X$2)*100</f>
        <v>0</v>
      </c>
      <c r="Z2258" s="180">
        <f>FME_Ranking1[[#This Row],[Closures Score (Normalized, Unweighted)]]*$X$3</f>
        <v>0</v>
      </c>
      <c r="AA2258" s="253">
        <f>_xlfn.XLOOKUP(FME_Ranking1[[#This Row],[FME ID]],FME_Input[FME_ID],FME_Input[ROAD_MILES100])</f>
        <v>0</v>
      </c>
      <c r="AB2258" s="178">
        <f>(FME_Ranking1[[#This Row],[Miles Raw]]/$AA$2)*100</f>
        <v>0</v>
      </c>
      <c r="AC2258" s="178">
        <f>FME_Ranking1[[#This Row],[Miles Score (Normalized, Unweighted)]]*$AA$3</f>
        <v>0</v>
      </c>
      <c r="AD2258" s="255">
        <f>_xlfn.XLOOKUP(FME_Ranking1[[#This Row],[FME ID]],FME_Input[FME_ID],FME_Input[FARMACRE100])</f>
        <v>0</v>
      </c>
      <c r="AE2258" s="230">
        <f>(FME_Ranking1[[#This Row],[Ag Land Raw]]/$AD$2)*100</f>
        <v>0</v>
      </c>
      <c r="AF2258" s="231">
        <f>FME_Ranking1[[#This Row],[Ag Land Score (Normalized, Unweighted)]]*$AD$3</f>
        <v>0</v>
      </c>
      <c r="AG225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58" s="406">
        <f t="shared" si="35"/>
        <v>2198</v>
      </c>
      <c r="AI225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58" s="257">
        <f>FME_Ranking1[[#This Row],[Addition check]]-FME_Ranking1[[#This Row],[Weighted Score Based on Normalized Reported Factors]]</f>
        <v>0</v>
      </c>
      <c r="AK2258" s="178">
        <f>_xlfn.RANK.EQ(AI2258,$AI$6:$AI$2341,0)+COUNTIF($AI$6:AI2258,AI2258)-1</f>
        <v>2268</v>
      </c>
    </row>
    <row r="2259" spans="1:37" x14ac:dyDescent="0.25">
      <c r="A2259" t="s">
        <v>458</v>
      </c>
      <c r="B2259">
        <f>_xlfn.XLOOKUP(FME_Ranking1[[#This Row],[FME ID]],FME_Input[FME_ID],FME_Input[RFPG_NUM])</f>
        <v>10</v>
      </c>
      <c r="C2259" t="str">
        <f>_xlfn.XLOOKUP(FME_Ranking1[[#This Row],[FME ID]],FME_Input[FME_ID],FME_Input[FME_NAME])</f>
        <v>Relocate Fire Department Building</v>
      </c>
      <c r="D2259" t="str">
        <f>_xlfn.XLOOKUP(FME_Ranking1[[#This Row],[FME ID]],FME_Input[FME_ID],FME_Input[DESCR])</f>
        <v>Relocate Kingsland VFD building outside 100-year floodplain</v>
      </c>
      <c r="E2259" s="256">
        <f>_xlfn.XLOOKUP(FME_Ranking1[[#This Row],[FME ID]],FME_Input[FME_ID],FME_Input[FME_COST])</f>
        <v>250000</v>
      </c>
      <c r="F2259" t="str">
        <f>_xlfn.XLOOKUP(FME_Ranking1[[#This Row],[FME ID]],FME_Input[FME_ID],FME_Input[EMER_NEED])</f>
        <v>No</v>
      </c>
      <c r="G2259">
        <f>IF(FME_Ranking!F2259="Yes",100,0)</f>
        <v>0</v>
      </c>
      <c r="H2259">
        <f>FME_Ranking1[[#This Row],[Emergency Need Score (Normalized, Unweighted)]]*$F$3</f>
        <v>0</v>
      </c>
      <c r="I2259" s="246">
        <f>_xlfn.XLOOKUP(FME_Ranking1[[#This Row],[FME ID]],FME_Input[FME_ID],FME_Input[STRUCT_100])</f>
        <v>0</v>
      </c>
      <c r="J2259" s="178">
        <f>(FME_Ranking1[[#This Row],[Structures 100 Raw]]/I$2)*100</f>
        <v>0</v>
      </c>
      <c r="K2259" s="178">
        <f>FME_Ranking1[[#This Row],[Structures 100  Score (Normalized, Unweighted)]]*$I$3</f>
        <v>0</v>
      </c>
      <c r="L2259" s="246">
        <f>_xlfn.XLOOKUP(FME_Ranking1[[#This Row],[FME ID]],FME_Input[FME_ID],FME_Input[RES_STRUCT100])</f>
        <v>0</v>
      </c>
      <c r="M2259" s="230">
        <f>(FME_Ranking1[[#This Row],[Res Structures Raw]]/L$2)*100</f>
        <v>0</v>
      </c>
      <c r="N2259" s="180">
        <f>FME_Ranking1[[#This Row],[Res Structures Score (Normalized, Unweighted)]]*$L$3</f>
        <v>0</v>
      </c>
      <c r="O2259" s="244">
        <f>_xlfn.XLOOKUP(FME_Ranking1[[#This Row],[FME ID]],FME_Input[FME_ID],FME_Input[POP100])</f>
        <v>0</v>
      </c>
      <c r="P2259" s="178">
        <f>(FME_Ranking1[[#This Row],[Pop Raw]]/$O$2)*100</f>
        <v>0</v>
      </c>
      <c r="Q2259" s="178">
        <f>FME_Ranking1[[#This Row],[Pop Score (Normalized, Unweighted)]]*$O$3</f>
        <v>0</v>
      </c>
      <c r="R2259" s="137">
        <f>_xlfn.XLOOKUP(FME_Ranking1[[#This Row],[FME ID]],FME_Input[FME_ID],FME_Input[CRITFAC100])</f>
        <v>0</v>
      </c>
      <c r="S2259" s="230">
        <f>(FME_Ranking1[[#This Row],[Critical Facilities Raw]]/$R$2)*100</f>
        <v>0</v>
      </c>
      <c r="T2259" s="180">
        <f>FME_Ranking1[[#This Row],[Critical Facilities Score (Normalized, Unweighted)]]*$R$3</f>
        <v>0</v>
      </c>
      <c r="U2259">
        <f>_xlfn.XLOOKUP(FME_Ranking1[[#This Row],[FME ID]],FME_Input[FME_ID],FME_Input[LWC])</f>
        <v>0</v>
      </c>
      <c r="V2259" s="178">
        <f>(FME_Ranking1[[#This Row],[LWC Raw]]/$U$2)*100</f>
        <v>0</v>
      </c>
      <c r="W2259" s="178">
        <f>FME_Ranking1[[#This Row],[LWC Score (Normalized, Unweighted)]]*$U$3</f>
        <v>0</v>
      </c>
      <c r="X2259" s="246">
        <f>_xlfn.XLOOKUP(FME_Ranking1[[#This Row],[FME ID]],FME_Input[FME_ID],FME_Input[ROADCLS])</f>
        <v>0</v>
      </c>
      <c r="Y2259" s="230">
        <f>(FME_Ranking1[[#This Row],[Closures Raw]]/$X$2)*100</f>
        <v>0</v>
      </c>
      <c r="Z2259" s="180">
        <f>FME_Ranking1[[#This Row],[Closures Score (Normalized, Unweighted)]]*$X$3</f>
        <v>0</v>
      </c>
      <c r="AA2259" s="253">
        <f>_xlfn.XLOOKUP(FME_Ranking1[[#This Row],[FME ID]],FME_Input[FME_ID],FME_Input[ROAD_MILES100])</f>
        <v>0</v>
      </c>
      <c r="AB2259" s="178">
        <f>(FME_Ranking1[[#This Row],[Miles Raw]]/$AA$2)*100</f>
        <v>0</v>
      </c>
      <c r="AC2259" s="178">
        <f>FME_Ranking1[[#This Row],[Miles Score (Normalized, Unweighted)]]*$AA$3</f>
        <v>0</v>
      </c>
      <c r="AD2259" s="255">
        <f>_xlfn.XLOOKUP(FME_Ranking1[[#This Row],[FME ID]],FME_Input[FME_ID],FME_Input[FARMACRE100])</f>
        <v>0</v>
      </c>
      <c r="AE2259" s="230">
        <f>(FME_Ranking1[[#This Row],[Ag Land Raw]]/$AD$2)*100</f>
        <v>0</v>
      </c>
      <c r="AF2259" s="231">
        <f>FME_Ranking1[[#This Row],[Ag Land Score (Normalized, Unweighted)]]*$AD$3</f>
        <v>0</v>
      </c>
      <c r="AG225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59" s="406">
        <f t="shared" si="35"/>
        <v>2198</v>
      </c>
      <c r="AI225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59" s="257">
        <f>FME_Ranking1[[#This Row],[Addition check]]-FME_Ranking1[[#This Row],[Weighted Score Based on Normalized Reported Factors]]</f>
        <v>0</v>
      </c>
      <c r="AK2259" s="178">
        <f>_xlfn.RANK.EQ(AI2259,$AI$6:$AI$2341,0)+COUNTIF($AI$6:AI2259,AI2259)-1</f>
        <v>2269</v>
      </c>
    </row>
    <row r="2260" spans="1:37" x14ac:dyDescent="0.25">
      <c r="A2260" t="s">
        <v>484</v>
      </c>
      <c r="B2260">
        <f>_xlfn.XLOOKUP(FME_Ranking1[[#This Row],[FME ID]],FME_Input[FME_ID],FME_Input[RFPG_NUM])</f>
        <v>10</v>
      </c>
      <c r="C2260" t="str">
        <f>_xlfn.XLOOKUP(FME_Ranking1[[#This Row],[FME ID]],FME_Input[FME_ID],FME_Input[FME_NAME])</f>
        <v>Police Station Relocation and Safe Room</v>
      </c>
      <c r="D2260" t="str">
        <f>_xlfn.XLOOKUP(FME_Ranking1[[#This Row],[FME ID]],FME_Input[FME_ID],FME_Input[DESCR])</f>
        <v>Relocate police station outside flood zone B; build safe room inside</v>
      </c>
      <c r="E2260" s="256">
        <f>_xlfn.XLOOKUP(FME_Ranking1[[#This Row],[FME ID]],FME_Input[FME_ID],FME_Input[FME_COST])</f>
        <v>250000</v>
      </c>
      <c r="F2260" t="str">
        <f>_xlfn.XLOOKUP(FME_Ranking1[[#This Row],[FME ID]],FME_Input[FME_ID],FME_Input[EMER_NEED])</f>
        <v>No</v>
      </c>
      <c r="G2260">
        <f>IF(FME_Ranking!F2260="Yes",100,0)</f>
        <v>0</v>
      </c>
      <c r="H2260">
        <f>FME_Ranking1[[#This Row],[Emergency Need Score (Normalized, Unweighted)]]*$F$3</f>
        <v>0</v>
      </c>
      <c r="I2260" s="246">
        <f>_xlfn.XLOOKUP(FME_Ranking1[[#This Row],[FME ID]],FME_Input[FME_ID],FME_Input[STRUCT_100])</f>
        <v>0</v>
      </c>
      <c r="J2260" s="178">
        <f>(FME_Ranking1[[#This Row],[Structures 100 Raw]]/I$2)*100</f>
        <v>0</v>
      </c>
      <c r="K2260" s="178">
        <f>FME_Ranking1[[#This Row],[Structures 100  Score (Normalized, Unweighted)]]*$I$3</f>
        <v>0</v>
      </c>
      <c r="L2260" s="246">
        <f>_xlfn.XLOOKUP(FME_Ranking1[[#This Row],[FME ID]],FME_Input[FME_ID],FME_Input[RES_STRUCT100])</f>
        <v>0</v>
      </c>
      <c r="M2260" s="230">
        <f>(FME_Ranking1[[#This Row],[Res Structures Raw]]/L$2)*100</f>
        <v>0</v>
      </c>
      <c r="N2260" s="180">
        <f>FME_Ranking1[[#This Row],[Res Structures Score (Normalized, Unweighted)]]*$L$3</f>
        <v>0</v>
      </c>
      <c r="O2260" s="244">
        <f>_xlfn.XLOOKUP(FME_Ranking1[[#This Row],[FME ID]],FME_Input[FME_ID],FME_Input[POP100])</f>
        <v>0</v>
      </c>
      <c r="P2260" s="178">
        <f>(FME_Ranking1[[#This Row],[Pop Raw]]/$O$2)*100</f>
        <v>0</v>
      </c>
      <c r="Q2260" s="178">
        <f>FME_Ranking1[[#This Row],[Pop Score (Normalized, Unweighted)]]*$O$3</f>
        <v>0</v>
      </c>
      <c r="R2260" s="137">
        <f>_xlfn.XLOOKUP(FME_Ranking1[[#This Row],[FME ID]],FME_Input[FME_ID],FME_Input[CRITFAC100])</f>
        <v>0</v>
      </c>
      <c r="S2260" s="230">
        <f>(FME_Ranking1[[#This Row],[Critical Facilities Raw]]/$R$2)*100</f>
        <v>0</v>
      </c>
      <c r="T2260" s="180">
        <f>FME_Ranking1[[#This Row],[Critical Facilities Score (Normalized, Unweighted)]]*$R$3</f>
        <v>0</v>
      </c>
      <c r="U2260">
        <f>_xlfn.XLOOKUP(FME_Ranking1[[#This Row],[FME ID]],FME_Input[FME_ID],FME_Input[LWC])</f>
        <v>0</v>
      </c>
      <c r="V2260" s="178">
        <f>(FME_Ranking1[[#This Row],[LWC Raw]]/$U$2)*100</f>
        <v>0</v>
      </c>
      <c r="W2260" s="178">
        <f>FME_Ranking1[[#This Row],[LWC Score (Normalized, Unweighted)]]*$U$3</f>
        <v>0</v>
      </c>
      <c r="X2260" s="246">
        <f>_xlfn.XLOOKUP(FME_Ranking1[[#This Row],[FME ID]],FME_Input[FME_ID],FME_Input[ROADCLS])</f>
        <v>0</v>
      </c>
      <c r="Y2260" s="230">
        <f>(FME_Ranking1[[#This Row],[Closures Raw]]/$X$2)*100</f>
        <v>0</v>
      </c>
      <c r="Z2260" s="180">
        <f>FME_Ranking1[[#This Row],[Closures Score (Normalized, Unweighted)]]*$X$3</f>
        <v>0</v>
      </c>
      <c r="AA2260" s="253">
        <f>_xlfn.XLOOKUP(FME_Ranking1[[#This Row],[FME ID]],FME_Input[FME_ID],FME_Input[ROAD_MILES100])</f>
        <v>0</v>
      </c>
      <c r="AB2260" s="178">
        <f>(FME_Ranking1[[#This Row],[Miles Raw]]/$AA$2)*100</f>
        <v>0</v>
      </c>
      <c r="AC2260" s="178">
        <f>FME_Ranking1[[#This Row],[Miles Score (Normalized, Unweighted)]]*$AA$3</f>
        <v>0</v>
      </c>
      <c r="AD2260" s="255">
        <f>_xlfn.XLOOKUP(FME_Ranking1[[#This Row],[FME ID]],FME_Input[FME_ID],FME_Input[FARMACRE100])</f>
        <v>0</v>
      </c>
      <c r="AE2260" s="230">
        <f>(FME_Ranking1[[#This Row],[Ag Land Raw]]/$AD$2)*100</f>
        <v>0</v>
      </c>
      <c r="AF2260" s="231">
        <f>FME_Ranking1[[#This Row],[Ag Land Score (Normalized, Unweighted)]]*$AD$3</f>
        <v>0</v>
      </c>
      <c r="AG226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60" s="406">
        <f t="shared" si="35"/>
        <v>2198</v>
      </c>
      <c r="AI226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60" s="257">
        <f>FME_Ranking1[[#This Row],[Addition check]]-FME_Ranking1[[#This Row],[Weighted Score Based on Normalized Reported Factors]]</f>
        <v>0</v>
      </c>
      <c r="AK2260" s="178">
        <f>_xlfn.RANK.EQ(AI2260,$AI$6:$AI$2341,0)+COUNTIF($AI$6:AI2260,AI2260)-1</f>
        <v>2270</v>
      </c>
    </row>
    <row r="2261" spans="1:37" x14ac:dyDescent="0.25">
      <c r="A2261" t="s">
        <v>392</v>
      </c>
      <c r="B2261">
        <f>_xlfn.XLOOKUP(FME_Ranking1[[#This Row],[FME ID]],FME_Input[FME_ID],FME_Input[RFPG_NUM])</f>
        <v>10</v>
      </c>
      <c r="C2261" t="str">
        <f>_xlfn.XLOOKUP(FME_Ranking1[[#This Row],[FME ID]],FME_Input[FME_ID],FME_Input[FME_NAME])</f>
        <v>City Hall Hardening and Safe Room</v>
      </c>
      <c r="D2261" t="str">
        <f>_xlfn.XLOOKUP(FME_Ranking1[[#This Row],[FME ID]],FME_Input[FME_ID],FME_Input[DESCR])</f>
        <v>City Hall Hardening and Safe Room</v>
      </c>
      <c r="E2261" s="256">
        <f>_xlfn.XLOOKUP(FME_Ranking1[[#This Row],[FME ID]],FME_Input[FME_ID],FME_Input[FME_COST])</f>
        <v>100000</v>
      </c>
      <c r="F2261" t="str">
        <f>_xlfn.XLOOKUP(FME_Ranking1[[#This Row],[FME ID]],FME_Input[FME_ID],FME_Input[EMER_NEED])</f>
        <v>No</v>
      </c>
      <c r="G2261">
        <f>IF(FME_Ranking!F2261="Yes",100,0)</f>
        <v>0</v>
      </c>
      <c r="H2261">
        <f>FME_Ranking1[[#This Row],[Emergency Need Score (Normalized, Unweighted)]]*$F$3</f>
        <v>0</v>
      </c>
      <c r="I2261" s="246">
        <f>_xlfn.XLOOKUP(FME_Ranking1[[#This Row],[FME ID]],FME_Input[FME_ID],FME_Input[STRUCT_100])</f>
        <v>0</v>
      </c>
      <c r="J2261" s="178">
        <f>(FME_Ranking1[[#This Row],[Structures 100 Raw]]/I$2)*100</f>
        <v>0</v>
      </c>
      <c r="K2261" s="178">
        <f>FME_Ranking1[[#This Row],[Structures 100  Score (Normalized, Unweighted)]]*$I$3</f>
        <v>0</v>
      </c>
      <c r="L2261" s="246">
        <f>_xlfn.XLOOKUP(FME_Ranking1[[#This Row],[FME ID]],FME_Input[FME_ID],FME_Input[RES_STRUCT100])</f>
        <v>0</v>
      </c>
      <c r="M2261" s="230">
        <f>(FME_Ranking1[[#This Row],[Res Structures Raw]]/L$2)*100</f>
        <v>0</v>
      </c>
      <c r="N2261" s="180">
        <f>FME_Ranking1[[#This Row],[Res Structures Score (Normalized, Unweighted)]]*$L$3</f>
        <v>0</v>
      </c>
      <c r="O2261" s="244">
        <f>_xlfn.XLOOKUP(FME_Ranking1[[#This Row],[FME ID]],FME_Input[FME_ID],FME_Input[POP100])</f>
        <v>0</v>
      </c>
      <c r="P2261" s="178">
        <f>(FME_Ranking1[[#This Row],[Pop Raw]]/$O$2)*100</f>
        <v>0</v>
      </c>
      <c r="Q2261" s="178">
        <f>FME_Ranking1[[#This Row],[Pop Score (Normalized, Unweighted)]]*$O$3</f>
        <v>0</v>
      </c>
      <c r="R2261" s="137">
        <f>_xlfn.XLOOKUP(FME_Ranking1[[#This Row],[FME ID]],FME_Input[FME_ID],FME_Input[CRITFAC100])</f>
        <v>0</v>
      </c>
      <c r="S2261" s="230">
        <f>(FME_Ranking1[[#This Row],[Critical Facilities Raw]]/$R$2)*100</f>
        <v>0</v>
      </c>
      <c r="T2261" s="180">
        <f>FME_Ranking1[[#This Row],[Critical Facilities Score (Normalized, Unweighted)]]*$R$3</f>
        <v>0</v>
      </c>
      <c r="U2261">
        <f>_xlfn.XLOOKUP(FME_Ranking1[[#This Row],[FME ID]],FME_Input[FME_ID],FME_Input[LWC])</f>
        <v>0</v>
      </c>
      <c r="V2261" s="178">
        <f>(FME_Ranking1[[#This Row],[LWC Raw]]/$U$2)*100</f>
        <v>0</v>
      </c>
      <c r="W2261" s="178">
        <f>FME_Ranking1[[#This Row],[LWC Score (Normalized, Unweighted)]]*$U$3</f>
        <v>0</v>
      </c>
      <c r="X2261" s="246">
        <f>_xlfn.XLOOKUP(FME_Ranking1[[#This Row],[FME ID]],FME_Input[FME_ID],FME_Input[ROADCLS])</f>
        <v>0</v>
      </c>
      <c r="Y2261" s="230">
        <f>(FME_Ranking1[[#This Row],[Closures Raw]]/$X$2)*100</f>
        <v>0</v>
      </c>
      <c r="Z2261" s="180">
        <f>FME_Ranking1[[#This Row],[Closures Score (Normalized, Unweighted)]]*$X$3</f>
        <v>0</v>
      </c>
      <c r="AA2261" s="253">
        <f>_xlfn.XLOOKUP(FME_Ranking1[[#This Row],[FME ID]],FME_Input[FME_ID],FME_Input[ROAD_MILES100])</f>
        <v>0</v>
      </c>
      <c r="AB2261" s="178">
        <f>(FME_Ranking1[[#This Row],[Miles Raw]]/$AA$2)*100</f>
        <v>0</v>
      </c>
      <c r="AC2261" s="178">
        <f>FME_Ranking1[[#This Row],[Miles Score (Normalized, Unweighted)]]*$AA$3</f>
        <v>0</v>
      </c>
      <c r="AD2261" s="255">
        <f>_xlfn.XLOOKUP(FME_Ranking1[[#This Row],[FME ID]],FME_Input[FME_ID],FME_Input[FARMACRE100])</f>
        <v>0</v>
      </c>
      <c r="AE2261" s="230">
        <f>(FME_Ranking1[[#This Row],[Ag Land Raw]]/$AD$2)*100</f>
        <v>0</v>
      </c>
      <c r="AF2261" s="231">
        <f>FME_Ranking1[[#This Row],[Ag Land Score (Normalized, Unweighted)]]*$AD$3</f>
        <v>0</v>
      </c>
      <c r="AG226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61" s="406">
        <f t="shared" si="35"/>
        <v>2198</v>
      </c>
      <c r="AI226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61" s="257">
        <f>FME_Ranking1[[#This Row],[Addition check]]-FME_Ranking1[[#This Row],[Weighted Score Based on Normalized Reported Factors]]</f>
        <v>0</v>
      </c>
      <c r="AK2261" s="178">
        <f>_xlfn.RANK.EQ(AI2261,$AI$6:$AI$2341,0)+COUNTIF($AI$6:AI2261,AI2261)-1</f>
        <v>2271</v>
      </c>
    </row>
    <row r="2262" spans="1:37" x14ac:dyDescent="0.25">
      <c r="A2262" t="s">
        <v>147</v>
      </c>
      <c r="B2262">
        <f>_xlfn.XLOOKUP(FME_Ranking1[[#This Row],[FME ID]],FME_Input[FME_ID],FME_Input[RFPG_NUM])</f>
        <v>10</v>
      </c>
      <c r="C2262" t="str">
        <f>_xlfn.XLOOKUP(FME_Ranking1[[#This Row],[FME ID]],FME_Input[FME_ID],FME_Input[FME_NAME])</f>
        <v>Storm Water Detention at Morris Park</v>
      </c>
      <c r="D2262" t="str">
        <f>_xlfn.XLOOKUP(FME_Ranking1[[#This Row],[FME ID]],FME_Input[FME_ID],FME_Input[DESCR])</f>
        <v>Storm Water Detention at Morris Park</v>
      </c>
      <c r="E2262" s="256">
        <f>_xlfn.XLOOKUP(FME_Ranking1[[#This Row],[FME ID]],FME_Input[FME_ID],FME_Input[FME_COST])</f>
        <v>150000</v>
      </c>
      <c r="F2262" t="str">
        <f>_xlfn.XLOOKUP(FME_Ranking1[[#This Row],[FME ID]],FME_Input[FME_ID],FME_Input[EMER_NEED])</f>
        <v>No</v>
      </c>
      <c r="G2262">
        <f>IF(FME_Ranking!F2262="Yes",100,0)</f>
        <v>0</v>
      </c>
      <c r="H2262">
        <f>FME_Ranking1[[#This Row],[Emergency Need Score (Normalized, Unweighted)]]*$F$3</f>
        <v>0</v>
      </c>
      <c r="I2262" s="246">
        <f>_xlfn.XLOOKUP(FME_Ranking1[[#This Row],[FME ID]],FME_Input[FME_ID],FME_Input[STRUCT_100])</f>
        <v>0</v>
      </c>
      <c r="J2262" s="178">
        <f>(FME_Ranking1[[#This Row],[Structures 100 Raw]]/I$2)*100</f>
        <v>0</v>
      </c>
      <c r="K2262" s="178">
        <f>FME_Ranking1[[#This Row],[Structures 100  Score (Normalized, Unweighted)]]*$I$3</f>
        <v>0</v>
      </c>
      <c r="L2262" s="246">
        <f>_xlfn.XLOOKUP(FME_Ranking1[[#This Row],[FME ID]],FME_Input[FME_ID],FME_Input[RES_STRUCT100])</f>
        <v>0</v>
      </c>
      <c r="M2262" s="230">
        <f>(FME_Ranking1[[#This Row],[Res Structures Raw]]/L$2)*100</f>
        <v>0</v>
      </c>
      <c r="N2262" s="180">
        <f>FME_Ranking1[[#This Row],[Res Structures Score (Normalized, Unweighted)]]*$L$3</f>
        <v>0</v>
      </c>
      <c r="O2262" s="244">
        <f>_xlfn.XLOOKUP(FME_Ranking1[[#This Row],[FME ID]],FME_Input[FME_ID],FME_Input[POP100])</f>
        <v>0</v>
      </c>
      <c r="P2262" s="178">
        <f>(FME_Ranking1[[#This Row],[Pop Raw]]/$O$2)*100</f>
        <v>0</v>
      </c>
      <c r="Q2262" s="178">
        <f>FME_Ranking1[[#This Row],[Pop Score (Normalized, Unweighted)]]*$O$3</f>
        <v>0</v>
      </c>
      <c r="R2262" s="137">
        <f>_xlfn.XLOOKUP(FME_Ranking1[[#This Row],[FME ID]],FME_Input[FME_ID],FME_Input[CRITFAC100])</f>
        <v>0</v>
      </c>
      <c r="S2262" s="230">
        <f>(FME_Ranking1[[#This Row],[Critical Facilities Raw]]/$R$2)*100</f>
        <v>0</v>
      </c>
      <c r="T2262" s="180">
        <f>FME_Ranking1[[#This Row],[Critical Facilities Score (Normalized, Unweighted)]]*$R$3</f>
        <v>0</v>
      </c>
      <c r="U2262">
        <f>_xlfn.XLOOKUP(FME_Ranking1[[#This Row],[FME ID]],FME_Input[FME_ID],FME_Input[LWC])</f>
        <v>0</v>
      </c>
      <c r="V2262" s="178">
        <f>(FME_Ranking1[[#This Row],[LWC Raw]]/$U$2)*100</f>
        <v>0</v>
      </c>
      <c r="W2262" s="178">
        <f>FME_Ranking1[[#This Row],[LWC Score (Normalized, Unweighted)]]*$U$3</f>
        <v>0</v>
      </c>
      <c r="X2262" s="246">
        <f>_xlfn.XLOOKUP(FME_Ranking1[[#This Row],[FME ID]],FME_Input[FME_ID],FME_Input[ROADCLS])</f>
        <v>0</v>
      </c>
      <c r="Y2262" s="230">
        <f>(FME_Ranking1[[#This Row],[Closures Raw]]/$X$2)*100</f>
        <v>0</v>
      </c>
      <c r="Z2262" s="180">
        <f>FME_Ranking1[[#This Row],[Closures Score (Normalized, Unweighted)]]*$X$3</f>
        <v>0</v>
      </c>
      <c r="AA2262" s="253">
        <f>_xlfn.XLOOKUP(FME_Ranking1[[#This Row],[FME ID]],FME_Input[FME_ID],FME_Input[ROAD_MILES100])</f>
        <v>0</v>
      </c>
      <c r="AB2262" s="178">
        <f>(FME_Ranking1[[#This Row],[Miles Raw]]/$AA$2)*100</f>
        <v>0</v>
      </c>
      <c r="AC2262" s="178">
        <f>FME_Ranking1[[#This Row],[Miles Score (Normalized, Unweighted)]]*$AA$3</f>
        <v>0</v>
      </c>
      <c r="AD2262" s="255">
        <f>_xlfn.XLOOKUP(FME_Ranking1[[#This Row],[FME ID]],FME_Input[FME_ID],FME_Input[FARMACRE100])</f>
        <v>0</v>
      </c>
      <c r="AE2262" s="230">
        <f>(FME_Ranking1[[#This Row],[Ag Land Raw]]/$AD$2)*100</f>
        <v>0</v>
      </c>
      <c r="AF2262" s="231">
        <f>FME_Ranking1[[#This Row],[Ag Land Score (Normalized, Unweighted)]]*$AD$3</f>
        <v>0</v>
      </c>
      <c r="AG226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62" s="406">
        <f t="shared" si="35"/>
        <v>2198</v>
      </c>
      <c r="AI226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62" s="257">
        <f>FME_Ranking1[[#This Row],[Addition check]]-FME_Ranking1[[#This Row],[Weighted Score Based on Normalized Reported Factors]]</f>
        <v>0</v>
      </c>
      <c r="AK2262" s="178">
        <f>_xlfn.RANK.EQ(AI2262,$AI$6:$AI$2341,0)+COUNTIF($AI$6:AI2262,AI2262)-1</f>
        <v>2272</v>
      </c>
    </row>
    <row r="2263" spans="1:37" x14ac:dyDescent="0.25">
      <c r="A2263" t="s">
        <v>224</v>
      </c>
      <c r="B2263">
        <f>_xlfn.XLOOKUP(FME_Ranking1[[#This Row],[FME ID]],FME_Input[FME_ID],FME_Input[RFPG_NUM])</f>
        <v>10</v>
      </c>
      <c r="C2263" t="str">
        <f>_xlfn.XLOOKUP(FME_Ranking1[[#This Row],[FME ID]],FME_Input[FME_ID],FME_Input[FME_NAME])</f>
        <v>VFW Flood Study</v>
      </c>
      <c r="D2263" t="str">
        <f>_xlfn.XLOOKUP(FME_Ranking1[[#This Row],[FME ID]],FME_Input[FME_ID],FME_Input[DESCR])</f>
        <v xml:space="preserve">Flood-prone problem area in need of flood study, indentified on sponsor outreach call.  </v>
      </c>
      <c r="E2263" s="256">
        <f>_xlfn.XLOOKUP(FME_Ranking1[[#This Row],[FME ID]],FME_Input[FME_ID],FME_Input[FME_COST])</f>
        <v>100000</v>
      </c>
      <c r="F2263" t="str">
        <f>_xlfn.XLOOKUP(FME_Ranking1[[#This Row],[FME ID]],FME_Input[FME_ID],FME_Input[EMER_NEED])</f>
        <v>No</v>
      </c>
      <c r="G2263">
        <f>IF(FME_Ranking!F2263="Yes",100,0)</f>
        <v>0</v>
      </c>
      <c r="H2263">
        <f>FME_Ranking1[[#This Row],[Emergency Need Score (Normalized, Unweighted)]]*$F$3</f>
        <v>0</v>
      </c>
      <c r="I2263" s="246">
        <f>_xlfn.XLOOKUP(FME_Ranking1[[#This Row],[FME ID]],FME_Input[FME_ID],FME_Input[STRUCT_100])</f>
        <v>0</v>
      </c>
      <c r="J2263" s="178">
        <f>(FME_Ranking1[[#This Row],[Structures 100 Raw]]/I$2)*100</f>
        <v>0</v>
      </c>
      <c r="K2263" s="178">
        <f>FME_Ranking1[[#This Row],[Structures 100  Score (Normalized, Unweighted)]]*$I$3</f>
        <v>0</v>
      </c>
      <c r="L2263" s="246">
        <f>_xlfn.XLOOKUP(FME_Ranking1[[#This Row],[FME ID]],FME_Input[FME_ID],FME_Input[RES_STRUCT100])</f>
        <v>0</v>
      </c>
      <c r="M2263" s="230">
        <f>(FME_Ranking1[[#This Row],[Res Structures Raw]]/L$2)*100</f>
        <v>0</v>
      </c>
      <c r="N2263" s="180">
        <f>FME_Ranking1[[#This Row],[Res Structures Score (Normalized, Unweighted)]]*$L$3</f>
        <v>0</v>
      </c>
      <c r="O2263" s="244">
        <f>_xlfn.XLOOKUP(FME_Ranking1[[#This Row],[FME ID]],FME_Input[FME_ID],FME_Input[POP100])</f>
        <v>0</v>
      </c>
      <c r="P2263" s="178">
        <f>(FME_Ranking1[[#This Row],[Pop Raw]]/$O$2)*100</f>
        <v>0</v>
      </c>
      <c r="Q2263" s="178">
        <f>FME_Ranking1[[#This Row],[Pop Score (Normalized, Unweighted)]]*$O$3</f>
        <v>0</v>
      </c>
      <c r="R2263" s="137">
        <f>_xlfn.XLOOKUP(FME_Ranking1[[#This Row],[FME ID]],FME_Input[FME_ID],FME_Input[CRITFAC100])</f>
        <v>0</v>
      </c>
      <c r="S2263" s="230">
        <f>(FME_Ranking1[[#This Row],[Critical Facilities Raw]]/$R$2)*100</f>
        <v>0</v>
      </c>
      <c r="T2263" s="180">
        <f>FME_Ranking1[[#This Row],[Critical Facilities Score (Normalized, Unweighted)]]*$R$3</f>
        <v>0</v>
      </c>
      <c r="U2263">
        <f>_xlfn.XLOOKUP(FME_Ranking1[[#This Row],[FME ID]],FME_Input[FME_ID],FME_Input[LWC])</f>
        <v>0</v>
      </c>
      <c r="V2263" s="178">
        <f>(FME_Ranking1[[#This Row],[LWC Raw]]/$U$2)*100</f>
        <v>0</v>
      </c>
      <c r="W2263" s="178">
        <f>FME_Ranking1[[#This Row],[LWC Score (Normalized, Unweighted)]]*$U$3</f>
        <v>0</v>
      </c>
      <c r="X2263" s="246">
        <f>_xlfn.XLOOKUP(FME_Ranking1[[#This Row],[FME ID]],FME_Input[FME_ID],FME_Input[ROADCLS])</f>
        <v>0</v>
      </c>
      <c r="Y2263" s="230">
        <f>(FME_Ranking1[[#This Row],[Closures Raw]]/$X$2)*100</f>
        <v>0</v>
      </c>
      <c r="Z2263" s="180">
        <f>FME_Ranking1[[#This Row],[Closures Score (Normalized, Unweighted)]]*$X$3</f>
        <v>0</v>
      </c>
      <c r="AA2263" s="253">
        <f>_xlfn.XLOOKUP(FME_Ranking1[[#This Row],[FME ID]],FME_Input[FME_ID],FME_Input[ROAD_MILES100])</f>
        <v>0</v>
      </c>
      <c r="AB2263" s="178">
        <f>(FME_Ranking1[[#This Row],[Miles Raw]]/$AA$2)*100</f>
        <v>0</v>
      </c>
      <c r="AC2263" s="178">
        <f>FME_Ranking1[[#This Row],[Miles Score (Normalized, Unweighted)]]*$AA$3</f>
        <v>0</v>
      </c>
      <c r="AD2263" s="255">
        <f>_xlfn.XLOOKUP(FME_Ranking1[[#This Row],[FME ID]],FME_Input[FME_ID],FME_Input[FARMACRE100])</f>
        <v>0</v>
      </c>
      <c r="AE2263" s="230">
        <f>(FME_Ranking1[[#This Row],[Ag Land Raw]]/$AD$2)*100</f>
        <v>0</v>
      </c>
      <c r="AF2263" s="231">
        <f>FME_Ranking1[[#This Row],[Ag Land Score (Normalized, Unweighted)]]*$AD$3</f>
        <v>0</v>
      </c>
      <c r="AG226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63" s="406">
        <f t="shared" si="35"/>
        <v>2198</v>
      </c>
      <c r="AI226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63" s="257">
        <f>FME_Ranking1[[#This Row],[Addition check]]-FME_Ranking1[[#This Row],[Weighted Score Based on Normalized Reported Factors]]</f>
        <v>0</v>
      </c>
      <c r="AK2263" s="178">
        <f>_xlfn.RANK.EQ(AI2263,$AI$6:$AI$2341,0)+COUNTIF($AI$6:AI2263,AI2263)-1</f>
        <v>2273</v>
      </c>
    </row>
    <row r="2264" spans="1:37" x14ac:dyDescent="0.25">
      <c r="A2264" t="s">
        <v>462</v>
      </c>
      <c r="B2264">
        <f>_xlfn.XLOOKUP(FME_Ranking1[[#This Row],[FME ID]],FME_Input[FME_ID],FME_Input[RFPG_NUM])</f>
        <v>10</v>
      </c>
      <c r="C2264" t="str">
        <f>_xlfn.XLOOKUP(FME_Ranking1[[#This Row],[FME ID]],FME_Input[FME_ID],FME_Input[FME_NAME])</f>
        <v>102 Beach Dr Low Water Crossing</v>
      </c>
      <c r="D2264" t="str">
        <f>_xlfn.XLOOKUP(FME_Ranking1[[#This Row],[FME ID]],FME_Input[FME_ID],FME_Input[DESCR])</f>
        <v xml:space="preserve">Flood-prone problem low water crossing in need of flood study and solution, identified on sponsor outreach call. </v>
      </c>
      <c r="E2264" s="256">
        <f>_xlfn.XLOOKUP(FME_Ranking1[[#This Row],[FME ID]],FME_Input[FME_ID],FME_Input[FME_COST])</f>
        <v>100000</v>
      </c>
      <c r="F2264" t="str">
        <f>_xlfn.XLOOKUP(FME_Ranking1[[#This Row],[FME ID]],FME_Input[FME_ID],FME_Input[EMER_NEED])</f>
        <v>No</v>
      </c>
      <c r="G2264">
        <f>IF(FME_Ranking!F2264="Yes",100,0)</f>
        <v>0</v>
      </c>
      <c r="H2264">
        <f>FME_Ranking1[[#This Row],[Emergency Need Score (Normalized, Unweighted)]]*$F$3</f>
        <v>0</v>
      </c>
      <c r="I2264" s="246">
        <f>_xlfn.XLOOKUP(FME_Ranking1[[#This Row],[FME ID]],FME_Input[FME_ID],FME_Input[STRUCT_100])</f>
        <v>0</v>
      </c>
      <c r="J2264" s="178">
        <f>(FME_Ranking1[[#This Row],[Structures 100 Raw]]/I$2)*100</f>
        <v>0</v>
      </c>
      <c r="K2264" s="178">
        <f>FME_Ranking1[[#This Row],[Structures 100  Score (Normalized, Unweighted)]]*$I$3</f>
        <v>0</v>
      </c>
      <c r="L2264" s="246">
        <f>_xlfn.XLOOKUP(FME_Ranking1[[#This Row],[FME ID]],FME_Input[FME_ID],FME_Input[RES_STRUCT100])</f>
        <v>0</v>
      </c>
      <c r="M2264" s="230">
        <f>(FME_Ranking1[[#This Row],[Res Structures Raw]]/L$2)*100</f>
        <v>0</v>
      </c>
      <c r="N2264" s="180">
        <f>FME_Ranking1[[#This Row],[Res Structures Score (Normalized, Unweighted)]]*$L$3</f>
        <v>0</v>
      </c>
      <c r="O2264" s="244">
        <f>_xlfn.XLOOKUP(FME_Ranking1[[#This Row],[FME ID]],FME_Input[FME_ID],FME_Input[POP100])</f>
        <v>0</v>
      </c>
      <c r="P2264" s="178">
        <f>(FME_Ranking1[[#This Row],[Pop Raw]]/$O$2)*100</f>
        <v>0</v>
      </c>
      <c r="Q2264" s="178">
        <f>FME_Ranking1[[#This Row],[Pop Score (Normalized, Unweighted)]]*$O$3</f>
        <v>0</v>
      </c>
      <c r="R2264" s="137">
        <f>_xlfn.XLOOKUP(FME_Ranking1[[#This Row],[FME ID]],FME_Input[FME_ID],FME_Input[CRITFAC100])</f>
        <v>0</v>
      </c>
      <c r="S2264" s="230">
        <f>(FME_Ranking1[[#This Row],[Critical Facilities Raw]]/$R$2)*100</f>
        <v>0</v>
      </c>
      <c r="T2264" s="180">
        <f>FME_Ranking1[[#This Row],[Critical Facilities Score (Normalized, Unweighted)]]*$R$3</f>
        <v>0</v>
      </c>
      <c r="U2264">
        <f>_xlfn.XLOOKUP(FME_Ranking1[[#This Row],[FME ID]],FME_Input[FME_ID],FME_Input[LWC])</f>
        <v>0</v>
      </c>
      <c r="V2264" s="178">
        <f>(FME_Ranking1[[#This Row],[LWC Raw]]/$U$2)*100</f>
        <v>0</v>
      </c>
      <c r="W2264" s="178">
        <f>FME_Ranking1[[#This Row],[LWC Score (Normalized, Unweighted)]]*$U$3</f>
        <v>0</v>
      </c>
      <c r="X2264" s="246">
        <f>_xlfn.XLOOKUP(FME_Ranking1[[#This Row],[FME ID]],FME_Input[FME_ID],FME_Input[ROADCLS])</f>
        <v>0</v>
      </c>
      <c r="Y2264" s="230">
        <f>(FME_Ranking1[[#This Row],[Closures Raw]]/$X$2)*100</f>
        <v>0</v>
      </c>
      <c r="Z2264" s="180">
        <f>FME_Ranking1[[#This Row],[Closures Score (Normalized, Unweighted)]]*$X$3</f>
        <v>0</v>
      </c>
      <c r="AA2264" s="253">
        <f>_xlfn.XLOOKUP(FME_Ranking1[[#This Row],[FME ID]],FME_Input[FME_ID],FME_Input[ROAD_MILES100])</f>
        <v>0</v>
      </c>
      <c r="AB2264" s="178">
        <f>(FME_Ranking1[[#This Row],[Miles Raw]]/$AA$2)*100</f>
        <v>0</v>
      </c>
      <c r="AC2264" s="178">
        <f>FME_Ranking1[[#This Row],[Miles Score (Normalized, Unweighted)]]*$AA$3</f>
        <v>0</v>
      </c>
      <c r="AD2264" s="255">
        <f>_xlfn.XLOOKUP(FME_Ranking1[[#This Row],[FME ID]],FME_Input[FME_ID],FME_Input[FARMACRE100])</f>
        <v>0</v>
      </c>
      <c r="AE2264" s="230">
        <f>(FME_Ranking1[[#This Row],[Ag Land Raw]]/$AD$2)*100</f>
        <v>0</v>
      </c>
      <c r="AF2264" s="231">
        <f>FME_Ranking1[[#This Row],[Ag Land Score (Normalized, Unweighted)]]*$AD$3</f>
        <v>0</v>
      </c>
      <c r="AG226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64" s="406">
        <f t="shared" si="35"/>
        <v>2198</v>
      </c>
      <c r="AI226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64" s="257">
        <f>FME_Ranking1[[#This Row],[Addition check]]-FME_Ranking1[[#This Row],[Weighted Score Based on Normalized Reported Factors]]</f>
        <v>0</v>
      </c>
      <c r="AK2264" s="178">
        <f>_xlfn.RANK.EQ(AI2264,$AI$6:$AI$2341,0)+COUNTIF($AI$6:AI2264,AI2264)-1</f>
        <v>2274</v>
      </c>
    </row>
    <row r="2265" spans="1:37" x14ac:dyDescent="0.25">
      <c r="A2265" t="s">
        <v>465</v>
      </c>
      <c r="B2265">
        <f>_xlfn.XLOOKUP(FME_Ranking1[[#This Row],[FME ID]],FME_Input[FME_ID],FME_Input[RFPG_NUM])</f>
        <v>10</v>
      </c>
      <c r="C2265" t="str">
        <f>_xlfn.XLOOKUP(FME_Ranking1[[#This Row],[FME ID]],FME_Input[FME_ID],FME_Input[FME_NAME])</f>
        <v>124 Sunrise Drive Low Water Crossing</v>
      </c>
      <c r="D2265" t="str">
        <f>_xlfn.XLOOKUP(FME_Ranking1[[#This Row],[FME ID]],FME_Input[FME_ID],FME_Input[DESCR])</f>
        <v xml:space="preserve">Flood-prone problem low water crossing in need of flood study and solution, identified on sponsor outreach call. </v>
      </c>
      <c r="E2265" s="256">
        <f>_xlfn.XLOOKUP(FME_Ranking1[[#This Row],[FME ID]],FME_Input[FME_ID],FME_Input[FME_COST])</f>
        <v>100000</v>
      </c>
      <c r="F2265" t="str">
        <f>_xlfn.XLOOKUP(FME_Ranking1[[#This Row],[FME ID]],FME_Input[FME_ID],FME_Input[EMER_NEED])</f>
        <v>No</v>
      </c>
      <c r="G2265">
        <f>IF(FME_Ranking!F2265="Yes",100,0)</f>
        <v>0</v>
      </c>
      <c r="H2265">
        <f>FME_Ranking1[[#This Row],[Emergency Need Score (Normalized, Unweighted)]]*$F$3</f>
        <v>0</v>
      </c>
      <c r="I2265" s="246">
        <f>_xlfn.XLOOKUP(FME_Ranking1[[#This Row],[FME ID]],FME_Input[FME_ID],FME_Input[STRUCT_100])</f>
        <v>0</v>
      </c>
      <c r="J2265" s="178">
        <f>(FME_Ranking1[[#This Row],[Structures 100 Raw]]/I$2)*100</f>
        <v>0</v>
      </c>
      <c r="K2265" s="178">
        <f>FME_Ranking1[[#This Row],[Structures 100  Score (Normalized, Unweighted)]]*$I$3</f>
        <v>0</v>
      </c>
      <c r="L2265" s="246">
        <f>_xlfn.XLOOKUP(FME_Ranking1[[#This Row],[FME ID]],FME_Input[FME_ID],FME_Input[RES_STRUCT100])</f>
        <v>0</v>
      </c>
      <c r="M2265" s="230">
        <f>(FME_Ranking1[[#This Row],[Res Structures Raw]]/L$2)*100</f>
        <v>0</v>
      </c>
      <c r="N2265" s="180">
        <f>FME_Ranking1[[#This Row],[Res Structures Score (Normalized, Unweighted)]]*$L$3</f>
        <v>0</v>
      </c>
      <c r="O2265" s="244">
        <f>_xlfn.XLOOKUP(FME_Ranking1[[#This Row],[FME ID]],FME_Input[FME_ID],FME_Input[POP100])</f>
        <v>0</v>
      </c>
      <c r="P2265" s="178">
        <f>(FME_Ranking1[[#This Row],[Pop Raw]]/$O$2)*100</f>
        <v>0</v>
      </c>
      <c r="Q2265" s="178">
        <f>FME_Ranking1[[#This Row],[Pop Score (Normalized, Unweighted)]]*$O$3</f>
        <v>0</v>
      </c>
      <c r="R2265" s="137">
        <f>_xlfn.XLOOKUP(FME_Ranking1[[#This Row],[FME ID]],FME_Input[FME_ID],FME_Input[CRITFAC100])</f>
        <v>0</v>
      </c>
      <c r="S2265" s="230">
        <f>(FME_Ranking1[[#This Row],[Critical Facilities Raw]]/$R$2)*100</f>
        <v>0</v>
      </c>
      <c r="T2265" s="180">
        <f>FME_Ranking1[[#This Row],[Critical Facilities Score (Normalized, Unweighted)]]*$R$3</f>
        <v>0</v>
      </c>
      <c r="U2265">
        <f>_xlfn.XLOOKUP(FME_Ranking1[[#This Row],[FME ID]],FME_Input[FME_ID],FME_Input[LWC])</f>
        <v>0</v>
      </c>
      <c r="V2265" s="178">
        <f>(FME_Ranking1[[#This Row],[LWC Raw]]/$U$2)*100</f>
        <v>0</v>
      </c>
      <c r="W2265" s="178">
        <f>FME_Ranking1[[#This Row],[LWC Score (Normalized, Unweighted)]]*$U$3</f>
        <v>0</v>
      </c>
      <c r="X2265" s="246">
        <f>_xlfn.XLOOKUP(FME_Ranking1[[#This Row],[FME ID]],FME_Input[FME_ID],FME_Input[ROADCLS])</f>
        <v>0</v>
      </c>
      <c r="Y2265" s="230">
        <f>(FME_Ranking1[[#This Row],[Closures Raw]]/$X$2)*100</f>
        <v>0</v>
      </c>
      <c r="Z2265" s="180">
        <f>FME_Ranking1[[#This Row],[Closures Score (Normalized, Unweighted)]]*$X$3</f>
        <v>0</v>
      </c>
      <c r="AA2265" s="253">
        <f>_xlfn.XLOOKUP(FME_Ranking1[[#This Row],[FME ID]],FME_Input[FME_ID],FME_Input[ROAD_MILES100])</f>
        <v>0</v>
      </c>
      <c r="AB2265" s="178">
        <f>(FME_Ranking1[[#This Row],[Miles Raw]]/$AA$2)*100</f>
        <v>0</v>
      </c>
      <c r="AC2265" s="178">
        <f>FME_Ranking1[[#This Row],[Miles Score (Normalized, Unweighted)]]*$AA$3</f>
        <v>0</v>
      </c>
      <c r="AD2265" s="255">
        <f>_xlfn.XLOOKUP(FME_Ranking1[[#This Row],[FME ID]],FME_Input[FME_ID],FME_Input[FARMACRE100])</f>
        <v>0</v>
      </c>
      <c r="AE2265" s="230">
        <f>(FME_Ranking1[[#This Row],[Ag Land Raw]]/$AD$2)*100</f>
        <v>0</v>
      </c>
      <c r="AF2265" s="231">
        <f>FME_Ranking1[[#This Row],[Ag Land Score (Normalized, Unweighted)]]*$AD$3</f>
        <v>0</v>
      </c>
      <c r="AG226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65" s="406">
        <f t="shared" si="35"/>
        <v>2198</v>
      </c>
      <c r="AI226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65" s="257">
        <f>FME_Ranking1[[#This Row],[Addition check]]-FME_Ranking1[[#This Row],[Weighted Score Based on Normalized Reported Factors]]</f>
        <v>0</v>
      </c>
      <c r="AK2265" s="178">
        <f>_xlfn.RANK.EQ(AI2265,$AI$6:$AI$2341,0)+COUNTIF($AI$6:AI2265,AI2265)-1</f>
        <v>2275</v>
      </c>
    </row>
    <row r="2266" spans="1:37" x14ac:dyDescent="0.25">
      <c r="A2266" t="s">
        <v>8487</v>
      </c>
      <c r="B2266">
        <f>_xlfn.XLOOKUP(FME_Ranking1[[#This Row],[FME ID]],FME_Input[FME_ID],FME_Input[RFPG_NUM])</f>
        <v>10</v>
      </c>
      <c r="C2266" t="str">
        <f>_xlfn.XLOOKUP(FME_Ranking1[[#This Row],[FME ID]],FME_Input[FME_ID],FME_Input[FME_NAME])</f>
        <v>Highway St Improvements Project Planning</v>
      </c>
      <c r="D2266" t="str">
        <f>_xlfn.XLOOKUP(FME_Ranking1[[#This Row],[FME ID]],FME_Input[FME_ID],FME_Input[DESCR])</f>
        <v>Project planning for vegetated channel system with two 10' x 4' box culverts in storm drain system to Baron Creek. Develop technical data required for FMP.</v>
      </c>
      <c r="E2266" s="256">
        <f>_xlfn.XLOOKUP(FME_Ranking1[[#This Row],[FME ID]],FME_Input[FME_ID],FME_Input[FME_COST])</f>
        <v>600000</v>
      </c>
      <c r="F2266" t="str">
        <f>_xlfn.XLOOKUP(FME_Ranking1[[#This Row],[FME ID]],FME_Input[FME_ID],FME_Input[EMER_NEED])</f>
        <v>No</v>
      </c>
      <c r="G2266">
        <f>IF(FME_Ranking!F2266="Yes",100,0)</f>
        <v>0</v>
      </c>
      <c r="H2266">
        <f>FME_Ranking1[[#This Row],[Emergency Need Score (Normalized, Unweighted)]]*$F$3</f>
        <v>0</v>
      </c>
      <c r="I2266" s="246">
        <f>_xlfn.XLOOKUP(FME_Ranking1[[#This Row],[FME ID]],FME_Input[FME_ID],FME_Input[STRUCT_100])</f>
        <v>0</v>
      </c>
      <c r="J2266" s="178">
        <f>(FME_Ranking1[[#This Row],[Structures 100 Raw]]/I$2)*100</f>
        <v>0</v>
      </c>
      <c r="K2266" s="178">
        <f>FME_Ranking1[[#This Row],[Structures 100  Score (Normalized, Unweighted)]]*$I$3</f>
        <v>0</v>
      </c>
      <c r="L2266" s="246">
        <f>_xlfn.XLOOKUP(FME_Ranking1[[#This Row],[FME ID]],FME_Input[FME_ID],FME_Input[RES_STRUCT100])</f>
        <v>0</v>
      </c>
      <c r="M2266" s="230">
        <f>(FME_Ranking1[[#This Row],[Res Structures Raw]]/L$2)*100</f>
        <v>0</v>
      </c>
      <c r="N2266" s="180">
        <f>FME_Ranking1[[#This Row],[Res Structures Score (Normalized, Unweighted)]]*$L$3</f>
        <v>0</v>
      </c>
      <c r="O2266" s="244">
        <f>_xlfn.XLOOKUP(FME_Ranking1[[#This Row],[FME ID]],FME_Input[FME_ID],FME_Input[POP100])</f>
        <v>0</v>
      </c>
      <c r="P2266" s="178">
        <f>(FME_Ranking1[[#This Row],[Pop Raw]]/$O$2)*100</f>
        <v>0</v>
      </c>
      <c r="Q2266" s="178">
        <f>FME_Ranking1[[#This Row],[Pop Score (Normalized, Unweighted)]]*$O$3</f>
        <v>0</v>
      </c>
      <c r="R2266" s="137">
        <f>_xlfn.XLOOKUP(FME_Ranking1[[#This Row],[FME ID]],FME_Input[FME_ID],FME_Input[CRITFAC100])</f>
        <v>0</v>
      </c>
      <c r="S2266" s="230">
        <f>(FME_Ranking1[[#This Row],[Critical Facilities Raw]]/$R$2)*100</f>
        <v>0</v>
      </c>
      <c r="T2266" s="180">
        <f>FME_Ranking1[[#This Row],[Critical Facilities Score (Normalized, Unweighted)]]*$R$3</f>
        <v>0</v>
      </c>
      <c r="U2266">
        <f>_xlfn.XLOOKUP(FME_Ranking1[[#This Row],[FME ID]],FME_Input[FME_ID],FME_Input[LWC])</f>
        <v>0</v>
      </c>
      <c r="V2266" s="178">
        <f>(FME_Ranking1[[#This Row],[LWC Raw]]/$U$2)*100</f>
        <v>0</v>
      </c>
      <c r="W2266" s="178">
        <f>FME_Ranking1[[#This Row],[LWC Score (Normalized, Unweighted)]]*$U$3</f>
        <v>0</v>
      </c>
      <c r="X2266" s="246">
        <f>_xlfn.XLOOKUP(FME_Ranking1[[#This Row],[FME ID]],FME_Input[FME_ID],FME_Input[ROADCLS])</f>
        <v>0</v>
      </c>
      <c r="Y2266" s="230">
        <f>(FME_Ranking1[[#This Row],[Closures Raw]]/$X$2)*100</f>
        <v>0</v>
      </c>
      <c r="Z2266" s="180">
        <f>FME_Ranking1[[#This Row],[Closures Score (Normalized, Unweighted)]]*$X$3</f>
        <v>0</v>
      </c>
      <c r="AA2266" s="253">
        <f>_xlfn.XLOOKUP(FME_Ranking1[[#This Row],[FME ID]],FME_Input[FME_ID],FME_Input[ROAD_MILES100])</f>
        <v>0</v>
      </c>
      <c r="AB2266" s="178">
        <f>(FME_Ranking1[[#This Row],[Miles Raw]]/$AA$2)*100</f>
        <v>0</v>
      </c>
      <c r="AC2266" s="178">
        <f>FME_Ranking1[[#This Row],[Miles Score (Normalized, Unweighted)]]*$AA$3</f>
        <v>0</v>
      </c>
      <c r="AD2266" s="255">
        <f>_xlfn.XLOOKUP(FME_Ranking1[[#This Row],[FME ID]],FME_Input[FME_ID],FME_Input[FARMACRE100])</f>
        <v>0</v>
      </c>
      <c r="AE2266" s="230">
        <f>(FME_Ranking1[[#This Row],[Ag Land Raw]]/$AD$2)*100</f>
        <v>0</v>
      </c>
      <c r="AF2266" s="231">
        <f>FME_Ranking1[[#This Row],[Ag Land Score (Normalized, Unweighted)]]*$AD$3</f>
        <v>0</v>
      </c>
      <c r="AG226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66" s="406">
        <f t="shared" si="35"/>
        <v>2198</v>
      </c>
      <c r="AI226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66" s="257">
        <f>FME_Ranking1[[#This Row],[Addition check]]-FME_Ranking1[[#This Row],[Weighted Score Based on Normalized Reported Factors]]</f>
        <v>0</v>
      </c>
      <c r="AK2266" s="178">
        <f>_xlfn.RANK.EQ(AI2266,$AI$6:$AI$2341,0)+COUNTIF($AI$6:AI2266,AI2266)-1</f>
        <v>2276</v>
      </c>
    </row>
    <row r="2267" spans="1:37" x14ac:dyDescent="0.25">
      <c r="A2267" t="s">
        <v>8556</v>
      </c>
      <c r="B2267">
        <f>_xlfn.XLOOKUP(FME_Ranking1[[#This Row],[FME ID]],FME_Input[FME_ID],FME_Input[RFPG_NUM])</f>
        <v>11</v>
      </c>
      <c r="C2267" t="str">
        <f>_xlfn.XLOOKUP(FME_Ranking1[[#This Row],[FME ID]],FME_Input[FME_ID],FME_Input[FME_NAME])</f>
        <v>Caldwell County Emergency Service District #4 Fire Station 2 Project Planning</v>
      </c>
      <c r="D2267" t="str">
        <f>_xlfn.XLOOKUP(FME_Ranking1[[#This Row],[FME ID]],FME_Input[FME_ID],FME_Input[DESCR])</f>
        <v>Planning for proposed project to build a swell and raise driveway of Fire Station 2 to prevent inundation of facility and to keep station in service during major storm events.</v>
      </c>
      <c r="E2267" s="256">
        <f>_xlfn.XLOOKUP(FME_Ranking1[[#This Row],[FME ID]],FME_Input[FME_ID],FME_Input[FME_COST])</f>
        <v>100000</v>
      </c>
      <c r="F2267" t="str">
        <f>_xlfn.XLOOKUP(FME_Ranking1[[#This Row],[FME ID]],FME_Input[FME_ID],FME_Input[EMER_NEED])</f>
        <v>No</v>
      </c>
      <c r="G2267">
        <f>IF(FME_Ranking!F2267="Yes",100,0)</f>
        <v>0</v>
      </c>
      <c r="H2267">
        <f>FME_Ranking1[[#This Row],[Emergency Need Score (Normalized, Unweighted)]]*$F$3</f>
        <v>0</v>
      </c>
      <c r="I2267" s="246">
        <f>_xlfn.XLOOKUP(FME_Ranking1[[#This Row],[FME ID]],FME_Input[FME_ID],FME_Input[STRUCT_100])</f>
        <v>0</v>
      </c>
      <c r="J2267" s="178">
        <f>(FME_Ranking1[[#This Row],[Structures 100 Raw]]/I$2)*100</f>
        <v>0</v>
      </c>
      <c r="K2267" s="178">
        <f>FME_Ranking1[[#This Row],[Structures 100  Score (Normalized, Unweighted)]]*$I$3</f>
        <v>0</v>
      </c>
      <c r="L2267" s="246">
        <f>_xlfn.XLOOKUP(FME_Ranking1[[#This Row],[FME ID]],FME_Input[FME_ID],FME_Input[RES_STRUCT100])</f>
        <v>0</v>
      </c>
      <c r="M2267" s="230">
        <f>(FME_Ranking1[[#This Row],[Res Structures Raw]]/L$2)*100</f>
        <v>0</v>
      </c>
      <c r="N2267" s="180">
        <f>FME_Ranking1[[#This Row],[Res Structures Score (Normalized, Unweighted)]]*$L$3</f>
        <v>0</v>
      </c>
      <c r="O2267" s="244">
        <f>_xlfn.XLOOKUP(FME_Ranking1[[#This Row],[FME ID]],FME_Input[FME_ID],FME_Input[POP100])</f>
        <v>0</v>
      </c>
      <c r="P2267" s="178">
        <f>(FME_Ranking1[[#This Row],[Pop Raw]]/$O$2)*100</f>
        <v>0</v>
      </c>
      <c r="Q2267" s="178">
        <f>FME_Ranking1[[#This Row],[Pop Score (Normalized, Unweighted)]]*$O$3</f>
        <v>0</v>
      </c>
      <c r="R2267" s="137">
        <f>_xlfn.XLOOKUP(FME_Ranking1[[#This Row],[FME ID]],FME_Input[FME_ID],FME_Input[CRITFAC100])</f>
        <v>0</v>
      </c>
      <c r="S2267" s="230">
        <f>(FME_Ranking1[[#This Row],[Critical Facilities Raw]]/$R$2)*100</f>
        <v>0</v>
      </c>
      <c r="T2267" s="180">
        <f>FME_Ranking1[[#This Row],[Critical Facilities Score (Normalized, Unweighted)]]*$R$3</f>
        <v>0</v>
      </c>
      <c r="U2267">
        <f>_xlfn.XLOOKUP(FME_Ranking1[[#This Row],[FME ID]],FME_Input[FME_ID],FME_Input[LWC])</f>
        <v>0</v>
      </c>
      <c r="V2267" s="178">
        <f>(FME_Ranking1[[#This Row],[LWC Raw]]/$U$2)*100</f>
        <v>0</v>
      </c>
      <c r="W2267" s="178">
        <f>FME_Ranking1[[#This Row],[LWC Score (Normalized, Unweighted)]]*$U$3</f>
        <v>0</v>
      </c>
      <c r="X2267" s="246">
        <f>_xlfn.XLOOKUP(FME_Ranking1[[#This Row],[FME ID]],FME_Input[FME_ID],FME_Input[ROADCLS])</f>
        <v>0</v>
      </c>
      <c r="Y2267" s="230">
        <f>(FME_Ranking1[[#This Row],[Closures Raw]]/$X$2)*100</f>
        <v>0</v>
      </c>
      <c r="Z2267" s="180">
        <f>FME_Ranking1[[#This Row],[Closures Score (Normalized, Unweighted)]]*$X$3</f>
        <v>0</v>
      </c>
      <c r="AA2267" s="253">
        <f>_xlfn.XLOOKUP(FME_Ranking1[[#This Row],[FME ID]],FME_Input[FME_ID],FME_Input[ROAD_MILES100])</f>
        <v>0</v>
      </c>
      <c r="AB2267" s="178">
        <f>(FME_Ranking1[[#This Row],[Miles Raw]]/$AA$2)*100</f>
        <v>0</v>
      </c>
      <c r="AC2267" s="178">
        <f>FME_Ranking1[[#This Row],[Miles Score (Normalized, Unweighted)]]*$AA$3</f>
        <v>0</v>
      </c>
      <c r="AD2267" s="255">
        <f>_xlfn.XLOOKUP(FME_Ranking1[[#This Row],[FME ID]],FME_Input[FME_ID],FME_Input[FARMACRE100])</f>
        <v>0</v>
      </c>
      <c r="AE2267" s="230">
        <f>(FME_Ranking1[[#This Row],[Ag Land Raw]]/$AD$2)*100</f>
        <v>0</v>
      </c>
      <c r="AF2267" s="231">
        <f>FME_Ranking1[[#This Row],[Ag Land Score (Normalized, Unweighted)]]*$AD$3</f>
        <v>0</v>
      </c>
      <c r="AG226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67" s="406">
        <f t="shared" si="35"/>
        <v>2198</v>
      </c>
      <c r="AI226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67" s="257">
        <f>FME_Ranking1[[#This Row],[Addition check]]-FME_Ranking1[[#This Row],[Weighted Score Based on Normalized Reported Factors]]</f>
        <v>0</v>
      </c>
      <c r="AK2267" s="178">
        <f>_xlfn.RANK.EQ(AI2267,$AI$6:$AI$2341,0)+COUNTIF($AI$6:AI2267,AI2267)-1</f>
        <v>2277</v>
      </c>
    </row>
    <row r="2268" spans="1:37" x14ac:dyDescent="0.25">
      <c r="A2268" t="s">
        <v>8637</v>
      </c>
      <c r="B2268">
        <f>_xlfn.XLOOKUP(FME_Ranking1[[#This Row],[FME ID]],FME_Input[FME_ID],FME_Input[RFPG_NUM])</f>
        <v>11</v>
      </c>
      <c r="C2268" t="str">
        <f>_xlfn.XLOOKUP(FME_Ranking1[[#This Row],[FME ID]],FME_Input[FME_ID],FME_Input[FME_NAME])</f>
        <v>City of Flatonia WWTP Floodproofing Project Planning</v>
      </c>
      <c r="D2268" t="str">
        <f>_xlfn.XLOOKUP(FME_Ranking1[[#This Row],[FME ID]],FME_Input[FME_ID],FME_Input[DESCR])</f>
        <v>Project planning for proposed project to floodproof Waste Water Treatment Plant</v>
      </c>
      <c r="E2268" s="256">
        <f>_xlfn.XLOOKUP(FME_Ranking1[[#This Row],[FME ID]],FME_Input[FME_ID],FME_Input[FME_COST])</f>
        <v>100000</v>
      </c>
      <c r="F2268" t="str">
        <f>_xlfn.XLOOKUP(FME_Ranking1[[#This Row],[FME ID]],FME_Input[FME_ID],FME_Input[EMER_NEED])</f>
        <v>No</v>
      </c>
      <c r="G2268">
        <f>IF(FME_Ranking!F2268="Yes",100,0)</f>
        <v>0</v>
      </c>
      <c r="H2268">
        <f>FME_Ranking1[[#This Row],[Emergency Need Score (Normalized, Unweighted)]]*$F$3</f>
        <v>0</v>
      </c>
      <c r="I2268" s="246">
        <f>_xlfn.XLOOKUP(FME_Ranking1[[#This Row],[FME ID]],FME_Input[FME_ID],FME_Input[STRUCT_100])</f>
        <v>0</v>
      </c>
      <c r="J2268" s="178">
        <f>(FME_Ranking1[[#This Row],[Structures 100 Raw]]/I$2)*100</f>
        <v>0</v>
      </c>
      <c r="K2268" s="178">
        <f>FME_Ranking1[[#This Row],[Structures 100  Score (Normalized, Unweighted)]]*$I$3</f>
        <v>0</v>
      </c>
      <c r="L2268" s="246">
        <f>_xlfn.XLOOKUP(FME_Ranking1[[#This Row],[FME ID]],FME_Input[FME_ID],FME_Input[RES_STRUCT100])</f>
        <v>0</v>
      </c>
      <c r="M2268" s="230">
        <f>(FME_Ranking1[[#This Row],[Res Structures Raw]]/L$2)*100</f>
        <v>0</v>
      </c>
      <c r="N2268" s="180">
        <f>FME_Ranking1[[#This Row],[Res Structures Score (Normalized, Unweighted)]]*$L$3</f>
        <v>0</v>
      </c>
      <c r="O2268" s="244">
        <f>_xlfn.XLOOKUP(FME_Ranking1[[#This Row],[FME ID]],FME_Input[FME_ID],FME_Input[POP100])</f>
        <v>0</v>
      </c>
      <c r="P2268" s="178">
        <f>(FME_Ranking1[[#This Row],[Pop Raw]]/$O$2)*100</f>
        <v>0</v>
      </c>
      <c r="Q2268" s="178">
        <f>FME_Ranking1[[#This Row],[Pop Score (Normalized, Unweighted)]]*$O$3</f>
        <v>0</v>
      </c>
      <c r="R2268" s="137">
        <f>_xlfn.XLOOKUP(FME_Ranking1[[#This Row],[FME ID]],FME_Input[FME_ID],FME_Input[CRITFAC100])</f>
        <v>0</v>
      </c>
      <c r="S2268" s="230">
        <f>(FME_Ranking1[[#This Row],[Critical Facilities Raw]]/$R$2)*100</f>
        <v>0</v>
      </c>
      <c r="T2268" s="180">
        <f>FME_Ranking1[[#This Row],[Critical Facilities Score (Normalized, Unweighted)]]*$R$3</f>
        <v>0</v>
      </c>
      <c r="U2268">
        <f>_xlfn.XLOOKUP(FME_Ranking1[[#This Row],[FME ID]],FME_Input[FME_ID],FME_Input[LWC])</f>
        <v>0</v>
      </c>
      <c r="V2268" s="178">
        <f>(FME_Ranking1[[#This Row],[LWC Raw]]/$U$2)*100</f>
        <v>0</v>
      </c>
      <c r="W2268" s="178">
        <f>FME_Ranking1[[#This Row],[LWC Score (Normalized, Unweighted)]]*$U$3</f>
        <v>0</v>
      </c>
      <c r="X2268" s="246">
        <f>_xlfn.XLOOKUP(FME_Ranking1[[#This Row],[FME ID]],FME_Input[FME_ID],FME_Input[ROADCLS])</f>
        <v>0</v>
      </c>
      <c r="Y2268" s="230">
        <f>(FME_Ranking1[[#This Row],[Closures Raw]]/$X$2)*100</f>
        <v>0</v>
      </c>
      <c r="Z2268" s="180">
        <f>FME_Ranking1[[#This Row],[Closures Score (Normalized, Unweighted)]]*$X$3</f>
        <v>0</v>
      </c>
      <c r="AA2268" s="253">
        <f>_xlfn.XLOOKUP(FME_Ranking1[[#This Row],[FME ID]],FME_Input[FME_ID],FME_Input[ROAD_MILES100])</f>
        <v>0</v>
      </c>
      <c r="AB2268" s="178">
        <f>(FME_Ranking1[[#This Row],[Miles Raw]]/$AA$2)*100</f>
        <v>0</v>
      </c>
      <c r="AC2268" s="178">
        <f>FME_Ranking1[[#This Row],[Miles Score (Normalized, Unweighted)]]*$AA$3</f>
        <v>0</v>
      </c>
      <c r="AD2268" s="255">
        <f>_xlfn.XLOOKUP(FME_Ranking1[[#This Row],[FME ID]],FME_Input[FME_ID],FME_Input[FARMACRE100])</f>
        <v>0</v>
      </c>
      <c r="AE2268" s="230">
        <f>(FME_Ranking1[[#This Row],[Ag Land Raw]]/$AD$2)*100</f>
        <v>0</v>
      </c>
      <c r="AF2268" s="231">
        <f>FME_Ranking1[[#This Row],[Ag Land Score (Normalized, Unweighted)]]*$AD$3</f>
        <v>0</v>
      </c>
      <c r="AG226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68" s="406">
        <f t="shared" si="35"/>
        <v>2198</v>
      </c>
      <c r="AI226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68" s="257">
        <f>FME_Ranking1[[#This Row],[Addition check]]-FME_Ranking1[[#This Row],[Weighted Score Based on Normalized Reported Factors]]</f>
        <v>0</v>
      </c>
      <c r="AK2268" s="178">
        <f>_xlfn.RANK.EQ(AI2268,$AI$6:$AI$2341,0)+COUNTIF($AI$6:AI2268,AI2268)-1</f>
        <v>2278</v>
      </c>
    </row>
    <row r="2269" spans="1:37" x14ac:dyDescent="0.25">
      <c r="A2269" t="s">
        <v>8664</v>
      </c>
      <c r="B2269">
        <f>_xlfn.XLOOKUP(FME_Ranking1[[#This Row],[FME ID]],FME_Input[FME_ID],FME_Input[RFPG_NUM])</f>
        <v>11</v>
      </c>
      <c r="C2269" t="str">
        <f>_xlfn.XLOOKUP(FME_Ranking1[[#This Row],[FME ID]],FME_Input[FME_ID],FME_Input[FME_NAME])</f>
        <v>City of Kerrville Pinto Trail Project Planning</v>
      </c>
      <c r="D2269" t="str">
        <f>_xlfn.XLOOKUP(FME_Ranking1[[#This Row],[FME ID]],FME_Input[FME_ID],FME_Input[DESCR])</f>
        <v>Project planning for proposed project to provide flood relief to the properties adjacent to the channel at risk of flooding, including widening existing channels, constructing a grass-lined trapezoidal channel, and seeding the proposed earthen channels.</v>
      </c>
      <c r="E2269" s="256">
        <f>_xlfn.XLOOKUP(FME_Ranking1[[#This Row],[FME ID]],FME_Input[FME_ID],FME_Input[FME_COST])</f>
        <v>100000</v>
      </c>
      <c r="F2269" t="str">
        <f>_xlfn.XLOOKUP(FME_Ranking1[[#This Row],[FME ID]],FME_Input[FME_ID],FME_Input[EMER_NEED])</f>
        <v>No</v>
      </c>
      <c r="G2269">
        <f>IF(FME_Ranking!F2269="Yes",100,0)</f>
        <v>0</v>
      </c>
      <c r="H2269">
        <f>FME_Ranking1[[#This Row],[Emergency Need Score (Normalized, Unweighted)]]*$F$3</f>
        <v>0</v>
      </c>
      <c r="I2269" s="246">
        <f>_xlfn.XLOOKUP(FME_Ranking1[[#This Row],[FME ID]],FME_Input[FME_ID],FME_Input[STRUCT_100])</f>
        <v>0</v>
      </c>
      <c r="J2269" s="178">
        <f>(FME_Ranking1[[#This Row],[Structures 100 Raw]]/I$2)*100</f>
        <v>0</v>
      </c>
      <c r="K2269" s="178">
        <f>FME_Ranking1[[#This Row],[Structures 100  Score (Normalized, Unweighted)]]*$I$3</f>
        <v>0</v>
      </c>
      <c r="L2269" s="246">
        <f>_xlfn.XLOOKUP(FME_Ranking1[[#This Row],[FME ID]],FME_Input[FME_ID],FME_Input[RES_STRUCT100])</f>
        <v>0</v>
      </c>
      <c r="M2269" s="230">
        <f>(FME_Ranking1[[#This Row],[Res Structures Raw]]/L$2)*100</f>
        <v>0</v>
      </c>
      <c r="N2269" s="180">
        <f>FME_Ranking1[[#This Row],[Res Structures Score (Normalized, Unweighted)]]*$L$3</f>
        <v>0</v>
      </c>
      <c r="O2269" s="244">
        <f>_xlfn.XLOOKUP(FME_Ranking1[[#This Row],[FME ID]],FME_Input[FME_ID],FME_Input[POP100])</f>
        <v>0</v>
      </c>
      <c r="P2269" s="178">
        <f>(FME_Ranking1[[#This Row],[Pop Raw]]/$O$2)*100</f>
        <v>0</v>
      </c>
      <c r="Q2269" s="178">
        <f>FME_Ranking1[[#This Row],[Pop Score (Normalized, Unweighted)]]*$O$3</f>
        <v>0</v>
      </c>
      <c r="R2269" s="137">
        <f>_xlfn.XLOOKUP(FME_Ranking1[[#This Row],[FME ID]],FME_Input[FME_ID],FME_Input[CRITFAC100])</f>
        <v>0</v>
      </c>
      <c r="S2269" s="230">
        <f>(FME_Ranking1[[#This Row],[Critical Facilities Raw]]/$R$2)*100</f>
        <v>0</v>
      </c>
      <c r="T2269" s="180">
        <f>FME_Ranking1[[#This Row],[Critical Facilities Score (Normalized, Unweighted)]]*$R$3</f>
        <v>0</v>
      </c>
      <c r="U2269">
        <f>_xlfn.XLOOKUP(FME_Ranking1[[#This Row],[FME ID]],FME_Input[FME_ID],FME_Input[LWC])</f>
        <v>0</v>
      </c>
      <c r="V2269" s="178">
        <f>(FME_Ranking1[[#This Row],[LWC Raw]]/$U$2)*100</f>
        <v>0</v>
      </c>
      <c r="W2269" s="178">
        <f>FME_Ranking1[[#This Row],[LWC Score (Normalized, Unweighted)]]*$U$3</f>
        <v>0</v>
      </c>
      <c r="X2269" s="246">
        <f>_xlfn.XLOOKUP(FME_Ranking1[[#This Row],[FME ID]],FME_Input[FME_ID],FME_Input[ROADCLS])</f>
        <v>0</v>
      </c>
      <c r="Y2269" s="230">
        <f>(FME_Ranking1[[#This Row],[Closures Raw]]/$X$2)*100</f>
        <v>0</v>
      </c>
      <c r="Z2269" s="180">
        <f>FME_Ranking1[[#This Row],[Closures Score (Normalized, Unweighted)]]*$X$3</f>
        <v>0</v>
      </c>
      <c r="AA2269" s="253">
        <f>_xlfn.XLOOKUP(FME_Ranking1[[#This Row],[FME ID]],FME_Input[FME_ID],FME_Input[ROAD_MILES100])</f>
        <v>0</v>
      </c>
      <c r="AB2269" s="178">
        <f>(FME_Ranking1[[#This Row],[Miles Raw]]/$AA$2)*100</f>
        <v>0</v>
      </c>
      <c r="AC2269" s="178">
        <f>FME_Ranking1[[#This Row],[Miles Score (Normalized, Unweighted)]]*$AA$3</f>
        <v>0</v>
      </c>
      <c r="AD2269" s="255">
        <f>_xlfn.XLOOKUP(FME_Ranking1[[#This Row],[FME ID]],FME_Input[FME_ID],FME_Input[FARMACRE100])</f>
        <v>0</v>
      </c>
      <c r="AE2269" s="230">
        <f>(FME_Ranking1[[#This Row],[Ag Land Raw]]/$AD$2)*100</f>
        <v>0</v>
      </c>
      <c r="AF2269" s="231">
        <f>FME_Ranking1[[#This Row],[Ag Land Score (Normalized, Unweighted)]]*$AD$3</f>
        <v>0</v>
      </c>
      <c r="AG226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69" s="406">
        <f t="shared" si="35"/>
        <v>2198</v>
      </c>
      <c r="AI226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69" s="257">
        <f>FME_Ranking1[[#This Row],[Addition check]]-FME_Ranking1[[#This Row],[Weighted Score Based on Normalized Reported Factors]]</f>
        <v>0</v>
      </c>
      <c r="AK2269" s="178">
        <f>_xlfn.RANK.EQ(AI2269,$AI$6:$AI$2341,0)+COUNTIF($AI$6:AI2269,AI2269)-1</f>
        <v>2279</v>
      </c>
    </row>
    <row r="2270" spans="1:37" x14ac:dyDescent="0.25">
      <c r="A2270" t="s">
        <v>8679</v>
      </c>
      <c r="B2270">
        <f>_xlfn.XLOOKUP(FME_Ranking1[[#This Row],[FME ID]],FME_Input[FME_ID],FME_Input[RFPG_NUM])</f>
        <v>11</v>
      </c>
      <c r="C2270" t="str">
        <f>_xlfn.XLOOKUP(FME_Ranking1[[#This Row],[FME ID]],FME_Input[FME_ID],FME_Input[FME_NAME])</f>
        <v>City of Kerrville Hill Country Drive at SH 16 Project Planning</v>
      </c>
      <c r="D2270" t="str">
        <f>_xlfn.XLOOKUP(FME_Ranking1[[#This Row],[FME ID]],FME_Input[FME_ID],FME_Input[DESCR])</f>
        <v xml:space="preserve">Project planning for proposed project to raise the roadway profile and regrade Hill Country Drive, and increase the downstream pipe capacity at Hill Country Drive. </v>
      </c>
      <c r="E2270" s="256">
        <f>_xlfn.XLOOKUP(FME_Ranking1[[#This Row],[FME ID]],FME_Input[FME_ID],FME_Input[FME_COST])</f>
        <v>245000</v>
      </c>
      <c r="F2270" t="str">
        <f>_xlfn.XLOOKUP(FME_Ranking1[[#This Row],[FME ID]],FME_Input[FME_ID],FME_Input[EMER_NEED])</f>
        <v>No</v>
      </c>
      <c r="G2270">
        <f>IF(FME_Ranking!F2270="Yes",100,0)</f>
        <v>0</v>
      </c>
      <c r="H2270">
        <f>FME_Ranking1[[#This Row],[Emergency Need Score (Normalized, Unweighted)]]*$F$3</f>
        <v>0</v>
      </c>
      <c r="I2270" s="246">
        <f>_xlfn.XLOOKUP(FME_Ranking1[[#This Row],[FME ID]],FME_Input[FME_ID],FME_Input[STRUCT_100])</f>
        <v>0</v>
      </c>
      <c r="J2270" s="178">
        <f>(FME_Ranking1[[#This Row],[Structures 100 Raw]]/I$2)*100</f>
        <v>0</v>
      </c>
      <c r="K2270" s="178">
        <f>FME_Ranking1[[#This Row],[Structures 100  Score (Normalized, Unweighted)]]*$I$3</f>
        <v>0</v>
      </c>
      <c r="L2270" s="246">
        <f>_xlfn.XLOOKUP(FME_Ranking1[[#This Row],[FME ID]],FME_Input[FME_ID],FME_Input[RES_STRUCT100])</f>
        <v>0</v>
      </c>
      <c r="M2270" s="230">
        <f>(FME_Ranking1[[#This Row],[Res Structures Raw]]/L$2)*100</f>
        <v>0</v>
      </c>
      <c r="N2270" s="180">
        <f>FME_Ranking1[[#This Row],[Res Structures Score (Normalized, Unweighted)]]*$L$3</f>
        <v>0</v>
      </c>
      <c r="O2270" s="244">
        <f>_xlfn.XLOOKUP(FME_Ranking1[[#This Row],[FME ID]],FME_Input[FME_ID],FME_Input[POP100])</f>
        <v>0</v>
      </c>
      <c r="P2270" s="178">
        <f>(FME_Ranking1[[#This Row],[Pop Raw]]/$O$2)*100</f>
        <v>0</v>
      </c>
      <c r="Q2270" s="178">
        <f>FME_Ranking1[[#This Row],[Pop Score (Normalized, Unweighted)]]*$O$3</f>
        <v>0</v>
      </c>
      <c r="R2270" s="137">
        <f>_xlfn.XLOOKUP(FME_Ranking1[[#This Row],[FME ID]],FME_Input[FME_ID],FME_Input[CRITFAC100])</f>
        <v>0</v>
      </c>
      <c r="S2270" s="230">
        <f>(FME_Ranking1[[#This Row],[Critical Facilities Raw]]/$R$2)*100</f>
        <v>0</v>
      </c>
      <c r="T2270" s="180">
        <f>FME_Ranking1[[#This Row],[Critical Facilities Score (Normalized, Unweighted)]]*$R$3</f>
        <v>0</v>
      </c>
      <c r="U2270">
        <f>_xlfn.XLOOKUP(FME_Ranking1[[#This Row],[FME ID]],FME_Input[FME_ID],FME_Input[LWC])</f>
        <v>0</v>
      </c>
      <c r="V2270" s="178">
        <f>(FME_Ranking1[[#This Row],[LWC Raw]]/$U$2)*100</f>
        <v>0</v>
      </c>
      <c r="W2270" s="178">
        <f>FME_Ranking1[[#This Row],[LWC Score (Normalized, Unweighted)]]*$U$3</f>
        <v>0</v>
      </c>
      <c r="X2270" s="246">
        <f>_xlfn.XLOOKUP(FME_Ranking1[[#This Row],[FME ID]],FME_Input[FME_ID],FME_Input[ROADCLS])</f>
        <v>0</v>
      </c>
      <c r="Y2270" s="230">
        <f>(FME_Ranking1[[#This Row],[Closures Raw]]/$X$2)*100</f>
        <v>0</v>
      </c>
      <c r="Z2270" s="180">
        <f>FME_Ranking1[[#This Row],[Closures Score (Normalized, Unweighted)]]*$X$3</f>
        <v>0</v>
      </c>
      <c r="AA2270" s="253">
        <f>_xlfn.XLOOKUP(FME_Ranking1[[#This Row],[FME ID]],FME_Input[FME_ID],FME_Input[ROAD_MILES100])</f>
        <v>0</v>
      </c>
      <c r="AB2270" s="178">
        <f>(FME_Ranking1[[#This Row],[Miles Raw]]/$AA$2)*100</f>
        <v>0</v>
      </c>
      <c r="AC2270" s="178">
        <f>FME_Ranking1[[#This Row],[Miles Score (Normalized, Unweighted)]]*$AA$3</f>
        <v>0</v>
      </c>
      <c r="AD2270" s="255">
        <f>_xlfn.XLOOKUP(FME_Ranking1[[#This Row],[FME ID]],FME_Input[FME_ID],FME_Input[FARMACRE100])</f>
        <v>0</v>
      </c>
      <c r="AE2270" s="230">
        <f>(FME_Ranking1[[#This Row],[Ag Land Raw]]/$AD$2)*100</f>
        <v>0</v>
      </c>
      <c r="AF2270" s="231">
        <f>FME_Ranking1[[#This Row],[Ag Land Score (Normalized, Unweighted)]]*$AD$3</f>
        <v>0</v>
      </c>
      <c r="AG227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70" s="406">
        <f t="shared" si="35"/>
        <v>2198</v>
      </c>
      <c r="AI227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70" s="257">
        <f>FME_Ranking1[[#This Row],[Addition check]]-FME_Ranking1[[#This Row],[Weighted Score Based on Normalized Reported Factors]]</f>
        <v>0</v>
      </c>
      <c r="AK2270" s="178">
        <f>_xlfn.RANK.EQ(AI2270,$AI$6:$AI$2341,0)+COUNTIF($AI$6:AI2270,AI2270)-1</f>
        <v>2280</v>
      </c>
    </row>
    <row r="2271" spans="1:37" x14ac:dyDescent="0.25">
      <c r="A2271" t="s">
        <v>8686</v>
      </c>
      <c r="B2271">
        <f>_xlfn.XLOOKUP(FME_Ranking1[[#This Row],[FME ID]],FME_Input[FME_ID],FME_Input[RFPG_NUM])</f>
        <v>11</v>
      </c>
      <c r="C2271" t="str">
        <f>_xlfn.XLOOKUP(FME_Ranking1[[#This Row],[FME ID]],FME_Input[FME_ID],FME_Input[FME_NAME])</f>
        <v>City of Kerrville Circle Avenue Drainage Channel Project Planning</v>
      </c>
      <c r="D2271" t="str">
        <f>_xlfn.XLOOKUP(FME_Ranking1[[#This Row],[FME ID]],FME_Input[FME_ID],FME_Input[DESCR])</f>
        <v>Project planning for proposed channel and street improvement project to alleviate sedimentation and erosion issues at the intersection of Culberson Avenue and Circle Avenue.</v>
      </c>
      <c r="E2271" s="256">
        <f>_xlfn.XLOOKUP(FME_Ranking1[[#This Row],[FME ID]],FME_Input[FME_ID],FME_Input[FME_COST])</f>
        <v>100000</v>
      </c>
      <c r="F2271" t="str">
        <f>_xlfn.XLOOKUP(FME_Ranking1[[#This Row],[FME ID]],FME_Input[FME_ID],FME_Input[EMER_NEED])</f>
        <v>No</v>
      </c>
      <c r="G2271">
        <f>IF(FME_Ranking!F2271="Yes",100,0)</f>
        <v>0</v>
      </c>
      <c r="H2271">
        <f>FME_Ranking1[[#This Row],[Emergency Need Score (Normalized, Unweighted)]]*$F$3</f>
        <v>0</v>
      </c>
      <c r="I2271" s="246">
        <f>_xlfn.XLOOKUP(FME_Ranking1[[#This Row],[FME ID]],FME_Input[FME_ID],FME_Input[STRUCT_100])</f>
        <v>0</v>
      </c>
      <c r="J2271" s="178">
        <f>(FME_Ranking1[[#This Row],[Structures 100 Raw]]/I$2)*100</f>
        <v>0</v>
      </c>
      <c r="K2271" s="178">
        <f>FME_Ranking1[[#This Row],[Structures 100  Score (Normalized, Unweighted)]]*$I$3</f>
        <v>0</v>
      </c>
      <c r="L2271" s="246">
        <f>_xlfn.XLOOKUP(FME_Ranking1[[#This Row],[FME ID]],FME_Input[FME_ID],FME_Input[RES_STRUCT100])</f>
        <v>0</v>
      </c>
      <c r="M2271" s="230">
        <f>(FME_Ranking1[[#This Row],[Res Structures Raw]]/L$2)*100</f>
        <v>0</v>
      </c>
      <c r="N2271" s="180">
        <f>FME_Ranking1[[#This Row],[Res Structures Score (Normalized, Unweighted)]]*$L$3</f>
        <v>0</v>
      </c>
      <c r="O2271" s="244">
        <f>_xlfn.XLOOKUP(FME_Ranking1[[#This Row],[FME ID]],FME_Input[FME_ID],FME_Input[POP100])</f>
        <v>0</v>
      </c>
      <c r="P2271" s="178">
        <f>(FME_Ranking1[[#This Row],[Pop Raw]]/$O$2)*100</f>
        <v>0</v>
      </c>
      <c r="Q2271" s="178">
        <f>FME_Ranking1[[#This Row],[Pop Score (Normalized, Unweighted)]]*$O$3</f>
        <v>0</v>
      </c>
      <c r="R2271" s="137">
        <f>_xlfn.XLOOKUP(FME_Ranking1[[#This Row],[FME ID]],FME_Input[FME_ID],FME_Input[CRITFAC100])</f>
        <v>0</v>
      </c>
      <c r="S2271" s="230">
        <f>(FME_Ranking1[[#This Row],[Critical Facilities Raw]]/$R$2)*100</f>
        <v>0</v>
      </c>
      <c r="T2271" s="180">
        <f>FME_Ranking1[[#This Row],[Critical Facilities Score (Normalized, Unweighted)]]*$R$3</f>
        <v>0</v>
      </c>
      <c r="U2271">
        <f>_xlfn.XLOOKUP(FME_Ranking1[[#This Row],[FME ID]],FME_Input[FME_ID],FME_Input[LWC])</f>
        <v>0</v>
      </c>
      <c r="V2271" s="178">
        <f>(FME_Ranking1[[#This Row],[LWC Raw]]/$U$2)*100</f>
        <v>0</v>
      </c>
      <c r="W2271" s="178">
        <f>FME_Ranking1[[#This Row],[LWC Score (Normalized, Unweighted)]]*$U$3</f>
        <v>0</v>
      </c>
      <c r="X2271" s="246">
        <f>_xlfn.XLOOKUP(FME_Ranking1[[#This Row],[FME ID]],FME_Input[FME_ID],FME_Input[ROADCLS])</f>
        <v>0</v>
      </c>
      <c r="Y2271" s="230">
        <f>(FME_Ranking1[[#This Row],[Closures Raw]]/$X$2)*100</f>
        <v>0</v>
      </c>
      <c r="Z2271" s="180">
        <f>FME_Ranking1[[#This Row],[Closures Score (Normalized, Unweighted)]]*$X$3</f>
        <v>0</v>
      </c>
      <c r="AA2271" s="253">
        <f>_xlfn.XLOOKUP(FME_Ranking1[[#This Row],[FME ID]],FME_Input[FME_ID],FME_Input[ROAD_MILES100])</f>
        <v>0</v>
      </c>
      <c r="AB2271" s="178">
        <f>(FME_Ranking1[[#This Row],[Miles Raw]]/$AA$2)*100</f>
        <v>0</v>
      </c>
      <c r="AC2271" s="178">
        <f>FME_Ranking1[[#This Row],[Miles Score (Normalized, Unweighted)]]*$AA$3</f>
        <v>0</v>
      </c>
      <c r="AD2271" s="255">
        <f>_xlfn.XLOOKUP(FME_Ranking1[[#This Row],[FME ID]],FME_Input[FME_ID],FME_Input[FARMACRE100])</f>
        <v>0</v>
      </c>
      <c r="AE2271" s="230">
        <f>(FME_Ranking1[[#This Row],[Ag Land Raw]]/$AD$2)*100</f>
        <v>0</v>
      </c>
      <c r="AF2271" s="231">
        <f>FME_Ranking1[[#This Row],[Ag Land Score (Normalized, Unweighted)]]*$AD$3</f>
        <v>0</v>
      </c>
      <c r="AG227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71" s="406">
        <f t="shared" si="35"/>
        <v>2198</v>
      </c>
      <c r="AI227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71" s="257">
        <f>FME_Ranking1[[#This Row],[Addition check]]-FME_Ranking1[[#This Row],[Weighted Score Based on Normalized Reported Factors]]</f>
        <v>0</v>
      </c>
      <c r="AK2271" s="178">
        <f>_xlfn.RANK.EQ(AI2271,$AI$6:$AI$2341,0)+COUNTIF($AI$6:AI2271,AI2271)-1</f>
        <v>2281</v>
      </c>
    </row>
    <row r="2272" spans="1:37" x14ac:dyDescent="0.25">
      <c r="A2272" t="s">
        <v>8689</v>
      </c>
      <c r="B2272">
        <f>_xlfn.XLOOKUP(FME_Ranking1[[#This Row],[FME ID]],FME_Input[FME_ID],FME_Input[RFPG_NUM])</f>
        <v>11</v>
      </c>
      <c r="C2272" t="str">
        <f>_xlfn.XLOOKUP(FME_Ranking1[[#This Row],[FME ID]],FME_Input[FME_ID],FME_Input[FME_NAME])</f>
        <v>City of Kerrville Jack Drive - Undersized Inlet Project Planning</v>
      </c>
      <c r="D2272" t="str">
        <f>_xlfn.XLOOKUP(FME_Ranking1[[#This Row],[FME ID]],FME_Input[FME_ID],FME_Input[DESCR])</f>
        <v xml:space="preserve">Project planning for proposed street and drainage improvements project to relieve road and property flooding from occurring directly downstream of Jack Drive's existing undersized inlet. </v>
      </c>
      <c r="E2272" s="256">
        <f>_xlfn.XLOOKUP(FME_Ranking1[[#This Row],[FME ID]],FME_Input[FME_ID],FME_Input[FME_COST])</f>
        <v>240000</v>
      </c>
      <c r="F2272" t="str">
        <f>_xlfn.XLOOKUP(FME_Ranking1[[#This Row],[FME ID]],FME_Input[FME_ID],FME_Input[EMER_NEED])</f>
        <v>No</v>
      </c>
      <c r="G2272">
        <f>IF(FME_Ranking!F2272="Yes",100,0)</f>
        <v>0</v>
      </c>
      <c r="H2272">
        <f>FME_Ranking1[[#This Row],[Emergency Need Score (Normalized, Unweighted)]]*$F$3</f>
        <v>0</v>
      </c>
      <c r="I2272" s="246">
        <f>_xlfn.XLOOKUP(FME_Ranking1[[#This Row],[FME ID]],FME_Input[FME_ID],FME_Input[STRUCT_100])</f>
        <v>0</v>
      </c>
      <c r="J2272" s="178">
        <f>(FME_Ranking1[[#This Row],[Structures 100 Raw]]/I$2)*100</f>
        <v>0</v>
      </c>
      <c r="K2272" s="178">
        <f>FME_Ranking1[[#This Row],[Structures 100  Score (Normalized, Unweighted)]]*$I$3</f>
        <v>0</v>
      </c>
      <c r="L2272" s="246">
        <f>_xlfn.XLOOKUP(FME_Ranking1[[#This Row],[FME ID]],FME_Input[FME_ID],FME_Input[RES_STRUCT100])</f>
        <v>0</v>
      </c>
      <c r="M2272" s="230">
        <f>(FME_Ranking1[[#This Row],[Res Structures Raw]]/L$2)*100</f>
        <v>0</v>
      </c>
      <c r="N2272" s="180">
        <f>FME_Ranking1[[#This Row],[Res Structures Score (Normalized, Unweighted)]]*$L$3</f>
        <v>0</v>
      </c>
      <c r="O2272" s="244">
        <f>_xlfn.XLOOKUP(FME_Ranking1[[#This Row],[FME ID]],FME_Input[FME_ID],FME_Input[POP100])</f>
        <v>0</v>
      </c>
      <c r="P2272" s="178">
        <f>(FME_Ranking1[[#This Row],[Pop Raw]]/$O$2)*100</f>
        <v>0</v>
      </c>
      <c r="Q2272" s="178">
        <f>FME_Ranking1[[#This Row],[Pop Score (Normalized, Unweighted)]]*$O$3</f>
        <v>0</v>
      </c>
      <c r="R2272" s="137">
        <f>_xlfn.XLOOKUP(FME_Ranking1[[#This Row],[FME ID]],FME_Input[FME_ID],FME_Input[CRITFAC100])</f>
        <v>0</v>
      </c>
      <c r="S2272" s="230">
        <f>(FME_Ranking1[[#This Row],[Critical Facilities Raw]]/$R$2)*100</f>
        <v>0</v>
      </c>
      <c r="T2272" s="180">
        <f>FME_Ranking1[[#This Row],[Critical Facilities Score (Normalized, Unweighted)]]*$R$3</f>
        <v>0</v>
      </c>
      <c r="U2272">
        <f>_xlfn.XLOOKUP(FME_Ranking1[[#This Row],[FME ID]],FME_Input[FME_ID],FME_Input[LWC])</f>
        <v>0</v>
      </c>
      <c r="V2272" s="178">
        <f>(FME_Ranking1[[#This Row],[LWC Raw]]/$U$2)*100</f>
        <v>0</v>
      </c>
      <c r="W2272" s="178">
        <f>FME_Ranking1[[#This Row],[LWC Score (Normalized, Unweighted)]]*$U$3</f>
        <v>0</v>
      </c>
      <c r="X2272" s="246">
        <f>_xlfn.XLOOKUP(FME_Ranking1[[#This Row],[FME ID]],FME_Input[FME_ID],FME_Input[ROADCLS])</f>
        <v>0</v>
      </c>
      <c r="Y2272" s="230">
        <f>(FME_Ranking1[[#This Row],[Closures Raw]]/$X$2)*100</f>
        <v>0</v>
      </c>
      <c r="Z2272" s="180">
        <f>FME_Ranking1[[#This Row],[Closures Score (Normalized, Unweighted)]]*$X$3</f>
        <v>0</v>
      </c>
      <c r="AA2272" s="253">
        <f>_xlfn.XLOOKUP(FME_Ranking1[[#This Row],[FME ID]],FME_Input[FME_ID],FME_Input[ROAD_MILES100])</f>
        <v>0</v>
      </c>
      <c r="AB2272" s="178">
        <f>(FME_Ranking1[[#This Row],[Miles Raw]]/$AA$2)*100</f>
        <v>0</v>
      </c>
      <c r="AC2272" s="178">
        <f>FME_Ranking1[[#This Row],[Miles Score (Normalized, Unweighted)]]*$AA$3</f>
        <v>0</v>
      </c>
      <c r="AD2272" s="255">
        <f>_xlfn.XLOOKUP(FME_Ranking1[[#This Row],[FME ID]],FME_Input[FME_ID],FME_Input[FARMACRE100])</f>
        <v>0</v>
      </c>
      <c r="AE2272" s="230">
        <f>(FME_Ranking1[[#This Row],[Ag Land Raw]]/$AD$2)*100</f>
        <v>0</v>
      </c>
      <c r="AF2272" s="231">
        <f>FME_Ranking1[[#This Row],[Ag Land Score (Normalized, Unweighted)]]*$AD$3</f>
        <v>0</v>
      </c>
      <c r="AG227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72" s="406">
        <f t="shared" si="35"/>
        <v>2198</v>
      </c>
      <c r="AI227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72" s="257">
        <f>FME_Ranking1[[#This Row],[Addition check]]-FME_Ranking1[[#This Row],[Weighted Score Based on Normalized Reported Factors]]</f>
        <v>0</v>
      </c>
      <c r="AK2272" s="178">
        <f>_xlfn.RANK.EQ(AI2272,$AI$6:$AI$2341,0)+COUNTIF($AI$6:AI2272,AI2272)-1</f>
        <v>2282</v>
      </c>
    </row>
    <row r="2273" spans="1:37" x14ac:dyDescent="0.25">
      <c r="A2273" t="s">
        <v>8729</v>
      </c>
      <c r="B2273">
        <f>_xlfn.XLOOKUP(FME_Ranking1[[#This Row],[FME ID]],FME_Input[FME_ID],FME_Input[RFPG_NUM])</f>
        <v>11</v>
      </c>
      <c r="C2273" t="str">
        <f>_xlfn.XLOOKUP(FME_Ranking1[[#This Row],[FME ID]],FME_Input[FME_ID],FME_Input[FME_NAME])</f>
        <v>City of Mountain City Repetitive Loss Structure Mitigation Study</v>
      </c>
      <c r="D2273" t="str">
        <f>_xlfn.XLOOKUP(FME_Ranking1[[#This Row],[FME ID]],FME_Input[FME_ID],FME_Input[DESCR])</f>
        <v>Study of solutions to floodproof or otherwise mitigate repetitive loss structures that have been identified by FEMA for the number of flood insurance claims.</v>
      </c>
      <c r="E2273" s="256">
        <f>_xlfn.XLOOKUP(FME_Ranking1[[#This Row],[FME ID]],FME_Input[FME_ID],FME_Input[FME_COST])</f>
        <v>150000</v>
      </c>
      <c r="F2273" t="str">
        <f>_xlfn.XLOOKUP(FME_Ranking1[[#This Row],[FME ID]],FME_Input[FME_ID],FME_Input[EMER_NEED])</f>
        <v>No</v>
      </c>
      <c r="G2273">
        <f>IF(FME_Ranking!F2273="Yes",100,0)</f>
        <v>0</v>
      </c>
      <c r="H2273">
        <f>FME_Ranking1[[#This Row],[Emergency Need Score (Normalized, Unweighted)]]*$F$3</f>
        <v>0</v>
      </c>
      <c r="I2273" s="246">
        <f>_xlfn.XLOOKUP(FME_Ranking1[[#This Row],[FME ID]],FME_Input[FME_ID],FME_Input[STRUCT_100])</f>
        <v>0</v>
      </c>
      <c r="J2273" s="178">
        <f>(FME_Ranking1[[#This Row],[Structures 100 Raw]]/I$2)*100</f>
        <v>0</v>
      </c>
      <c r="K2273" s="178">
        <f>FME_Ranking1[[#This Row],[Structures 100  Score (Normalized, Unweighted)]]*$I$3</f>
        <v>0</v>
      </c>
      <c r="L2273" s="246">
        <f>_xlfn.XLOOKUP(FME_Ranking1[[#This Row],[FME ID]],FME_Input[FME_ID],FME_Input[RES_STRUCT100])</f>
        <v>0</v>
      </c>
      <c r="M2273" s="230">
        <f>(FME_Ranking1[[#This Row],[Res Structures Raw]]/L$2)*100</f>
        <v>0</v>
      </c>
      <c r="N2273" s="180">
        <f>FME_Ranking1[[#This Row],[Res Structures Score (Normalized, Unweighted)]]*$L$3</f>
        <v>0</v>
      </c>
      <c r="O2273" s="244">
        <f>_xlfn.XLOOKUP(FME_Ranking1[[#This Row],[FME ID]],FME_Input[FME_ID],FME_Input[POP100])</f>
        <v>0</v>
      </c>
      <c r="P2273" s="178">
        <f>(FME_Ranking1[[#This Row],[Pop Raw]]/$O$2)*100</f>
        <v>0</v>
      </c>
      <c r="Q2273" s="178">
        <f>FME_Ranking1[[#This Row],[Pop Score (Normalized, Unweighted)]]*$O$3</f>
        <v>0</v>
      </c>
      <c r="R2273" s="137">
        <f>_xlfn.XLOOKUP(FME_Ranking1[[#This Row],[FME ID]],FME_Input[FME_ID],FME_Input[CRITFAC100])</f>
        <v>0</v>
      </c>
      <c r="S2273" s="230">
        <f>(FME_Ranking1[[#This Row],[Critical Facilities Raw]]/$R$2)*100</f>
        <v>0</v>
      </c>
      <c r="T2273" s="180">
        <f>FME_Ranking1[[#This Row],[Critical Facilities Score (Normalized, Unweighted)]]*$R$3</f>
        <v>0</v>
      </c>
      <c r="U2273">
        <f>_xlfn.XLOOKUP(FME_Ranking1[[#This Row],[FME ID]],FME_Input[FME_ID],FME_Input[LWC])</f>
        <v>0</v>
      </c>
      <c r="V2273" s="178">
        <f>(FME_Ranking1[[#This Row],[LWC Raw]]/$U$2)*100</f>
        <v>0</v>
      </c>
      <c r="W2273" s="178">
        <f>FME_Ranking1[[#This Row],[LWC Score (Normalized, Unweighted)]]*$U$3</f>
        <v>0</v>
      </c>
      <c r="X2273" s="246">
        <f>_xlfn.XLOOKUP(FME_Ranking1[[#This Row],[FME ID]],FME_Input[FME_ID],FME_Input[ROADCLS])</f>
        <v>0</v>
      </c>
      <c r="Y2273" s="230">
        <f>(FME_Ranking1[[#This Row],[Closures Raw]]/$X$2)*100</f>
        <v>0</v>
      </c>
      <c r="Z2273" s="180">
        <f>FME_Ranking1[[#This Row],[Closures Score (Normalized, Unweighted)]]*$X$3</f>
        <v>0</v>
      </c>
      <c r="AA2273" s="253">
        <f>_xlfn.XLOOKUP(FME_Ranking1[[#This Row],[FME ID]],FME_Input[FME_ID],FME_Input[ROAD_MILES100])</f>
        <v>0</v>
      </c>
      <c r="AB2273" s="178">
        <f>(FME_Ranking1[[#This Row],[Miles Raw]]/$AA$2)*100</f>
        <v>0</v>
      </c>
      <c r="AC2273" s="178">
        <f>FME_Ranking1[[#This Row],[Miles Score (Normalized, Unweighted)]]*$AA$3</f>
        <v>0</v>
      </c>
      <c r="AD2273" s="255">
        <f>_xlfn.XLOOKUP(FME_Ranking1[[#This Row],[FME ID]],FME_Input[FME_ID],FME_Input[FARMACRE100])</f>
        <v>0</v>
      </c>
      <c r="AE2273" s="230">
        <f>(FME_Ranking1[[#This Row],[Ag Land Raw]]/$AD$2)*100</f>
        <v>0</v>
      </c>
      <c r="AF2273" s="231">
        <f>FME_Ranking1[[#This Row],[Ag Land Score (Normalized, Unweighted)]]*$AD$3</f>
        <v>0</v>
      </c>
      <c r="AG227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73" s="406">
        <f t="shared" si="35"/>
        <v>2198</v>
      </c>
      <c r="AI227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73" s="257">
        <f>FME_Ranking1[[#This Row],[Addition check]]-FME_Ranking1[[#This Row],[Weighted Score Based on Normalized Reported Factors]]</f>
        <v>0</v>
      </c>
      <c r="AK2273" s="178">
        <f>_xlfn.RANK.EQ(AI2273,$AI$6:$AI$2341,0)+COUNTIF($AI$6:AI2273,AI2273)-1</f>
        <v>2283</v>
      </c>
    </row>
    <row r="2274" spans="1:37" x14ac:dyDescent="0.25">
      <c r="A2274" t="s">
        <v>8747</v>
      </c>
      <c r="B2274">
        <f>_xlfn.XLOOKUP(FME_Ranking1[[#This Row],[FME ID]],FME_Input[FME_ID],FME_Input[RFPG_NUM])</f>
        <v>11</v>
      </c>
      <c r="C2274" t="str">
        <f>_xlfn.XLOOKUP(FME_Ranking1[[#This Row],[FME ID]],FME_Input[FME_ID],FME_Input[FME_NAME])</f>
        <v>City of New Braunfels Hunters Creek Regional Project Planning</v>
      </c>
      <c r="D2274" t="str">
        <f>_xlfn.XLOOKUP(FME_Ranking1[[#This Row],[FME ID]],FME_Input[FME_ID],FME_Input[DESCR])</f>
        <v>Study to analyze drainage conveyance and flooding issues within the Hunters Creek area including the detention facility for the Westpointe development and project planning for solutions within project area.</v>
      </c>
      <c r="E2274" s="256">
        <f>_xlfn.XLOOKUP(FME_Ranking1[[#This Row],[FME ID]],FME_Input[FME_ID],FME_Input[FME_COST])</f>
        <v>211000</v>
      </c>
      <c r="F2274" t="str">
        <f>_xlfn.XLOOKUP(FME_Ranking1[[#This Row],[FME ID]],FME_Input[FME_ID],FME_Input[EMER_NEED])</f>
        <v>No</v>
      </c>
      <c r="G2274">
        <f>IF(FME_Ranking!F2274="Yes",100,0)</f>
        <v>0</v>
      </c>
      <c r="H2274">
        <f>FME_Ranking1[[#This Row],[Emergency Need Score (Normalized, Unweighted)]]*$F$3</f>
        <v>0</v>
      </c>
      <c r="I2274" s="246">
        <f>_xlfn.XLOOKUP(FME_Ranking1[[#This Row],[FME ID]],FME_Input[FME_ID],FME_Input[STRUCT_100])</f>
        <v>0</v>
      </c>
      <c r="J2274" s="178">
        <f>(FME_Ranking1[[#This Row],[Structures 100 Raw]]/I$2)*100</f>
        <v>0</v>
      </c>
      <c r="K2274" s="178">
        <f>FME_Ranking1[[#This Row],[Structures 100  Score (Normalized, Unweighted)]]*$I$3</f>
        <v>0</v>
      </c>
      <c r="L2274" s="246">
        <f>_xlfn.XLOOKUP(FME_Ranking1[[#This Row],[FME ID]],FME_Input[FME_ID],FME_Input[RES_STRUCT100])</f>
        <v>0</v>
      </c>
      <c r="M2274" s="230">
        <f>(FME_Ranking1[[#This Row],[Res Structures Raw]]/L$2)*100</f>
        <v>0</v>
      </c>
      <c r="N2274" s="180">
        <f>FME_Ranking1[[#This Row],[Res Structures Score (Normalized, Unweighted)]]*$L$3</f>
        <v>0</v>
      </c>
      <c r="O2274" s="244">
        <f>_xlfn.XLOOKUP(FME_Ranking1[[#This Row],[FME ID]],FME_Input[FME_ID],FME_Input[POP100])</f>
        <v>0</v>
      </c>
      <c r="P2274" s="178">
        <f>(FME_Ranking1[[#This Row],[Pop Raw]]/$O$2)*100</f>
        <v>0</v>
      </c>
      <c r="Q2274" s="178">
        <f>FME_Ranking1[[#This Row],[Pop Score (Normalized, Unweighted)]]*$O$3</f>
        <v>0</v>
      </c>
      <c r="R2274" s="137">
        <f>_xlfn.XLOOKUP(FME_Ranking1[[#This Row],[FME ID]],FME_Input[FME_ID],FME_Input[CRITFAC100])</f>
        <v>0</v>
      </c>
      <c r="S2274" s="230">
        <f>(FME_Ranking1[[#This Row],[Critical Facilities Raw]]/$R$2)*100</f>
        <v>0</v>
      </c>
      <c r="T2274" s="180">
        <f>FME_Ranking1[[#This Row],[Critical Facilities Score (Normalized, Unweighted)]]*$R$3</f>
        <v>0</v>
      </c>
      <c r="U2274">
        <f>_xlfn.XLOOKUP(FME_Ranking1[[#This Row],[FME ID]],FME_Input[FME_ID],FME_Input[LWC])</f>
        <v>0</v>
      </c>
      <c r="V2274" s="178">
        <f>(FME_Ranking1[[#This Row],[LWC Raw]]/$U$2)*100</f>
        <v>0</v>
      </c>
      <c r="W2274" s="178">
        <f>FME_Ranking1[[#This Row],[LWC Score (Normalized, Unweighted)]]*$U$3</f>
        <v>0</v>
      </c>
      <c r="X2274" s="246">
        <f>_xlfn.XLOOKUP(FME_Ranking1[[#This Row],[FME ID]],FME_Input[FME_ID],FME_Input[ROADCLS])</f>
        <v>0</v>
      </c>
      <c r="Y2274" s="230">
        <f>(FME_Ranking1[[#This Row],[Closures Raw]]/$X$2)*100</f>
        <v>0</v>
      </c>
      <c r="Z2274" s="180">
        <f>FME_Ranking1[[#This Row],[Closures Score (Normalized, Unweighted)]]*$X$3</f>
        <v>0</v>
      </c>
      <c r="AA2274" s="253">
        <f>_xlfn.XLOOKUP(FME_Ranking1[[#This Row],[FME ID]],FME_Input[FME_ID],FME_Input[ROAD_MILES100])</f>
        <v>0</v>
      </c>
      <c r="AB2274" s="178">
        <f>(FME_Ranking1[[#This Row],[Miles Raw]]/$AA$2)*100</f>
        <v>0</v>
      </c>
      <c r="AC2274" s="178">
        <f>FME_Ranking1[[#This Row],[Miles Score (Normalized, Unweighted)]]*$AA$3</f>
        <v>0</v>
      </c>
      <c r="AD2274" s="255">
        <f>_xlfn.XLOOKUP(FME_Ranking1[[#This Row],[FME ID]],FME_Input[FME_ID],FME_Input[FARMACRE100])</f>
        <v>0</v>
      </c>
      <c r="AE2274" s="230">
        <f>(FME_Ranking1[[#This Row],[Ag Land Raw]]/$AD$2)*100</f>
        <v>0</v>
      </c>
      <c r="AF2274" s="231">
        <f>FME_Ranking1[[#This Row],[Ag Land Score (Normalized, Unweighted)]]*$AD$3</f>
        <v>0</v>
      </c>
      <c r="AG227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74" s="406">
        <f t="shared" si="35"/>
        <v>2198</v>
      </c>
      <c r="AI227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74" s="257">
        <f>FME_Ranking1[[#This Row],[Addition check]]-FME_Ranking1[[#This Row],[Weighted Score Based on Normalized Reported Factors]]</f>
        <v>0</v>
      </c>
      <c r="AK2274" s="178">
        <f>_xlfn.RANK.EQ(AI2274,$AI$6:$AI$2341,0)+COUNTIF($AI$6:AI2274,AI2274)-1</f>
        <v>2284</v>
      </c>
    </row>
    <row r="2275" spans="1:37" x14ac:dyDescent="0.25">
      <c r="A2275" t="s">
        <v>8753</v>
      </c>
      <c r="B2275">
        <f>_xlfn.XLOOKUP(FME_Ranking1[[#This Row],[FME ID]],FME_Input[FME_ID],FME_Input[RFPG_NUM])</f>
        <v>11</v>
      </c>
      <c r="C2275" t="str">
        <f>_xlfn.XLOOKUP(FME_Ranking1[[#This Row],[FME ID]],FME_Input[FME_ID],FME_Input[FME_NAME])</f>
        <v>City of New Braunfels Dry Comal Creek West Watershed Project Planning</v>
      </c>
      <c r="D2275" t="str">
        <f>_xlfn.XLOOKUP(FME_Ranking1[[#This Row],[FME ID]],FME_Input[FME_ID],FME_Input[DESCR])</f>
        <v>Project planning for solutions to minimize flooding issues within the Cedar Elm Street, Landa-Madeline drainage area.</v>
      </c>
      <c r="E2275" s="256">
        <f>_xlfn.XLOOKUP(FME_Ranking1[[#This Row],[FME ID]],FME_Input[FME_ID],FME_Input[FME_COST])</f>
        <v>126000</v>
      </c>
      <c r="F2275" t="str">
        <f>_xlfn.XLOOKUP(FME_Ranking1[[#This Row],[FME ID]],FME_Input[FME_ID],FME_Input[EMER_NEED])</f>
        <v>No</v>
      </c>
      <c r="G2275">
        <f>IF(FME_Ranking!F2275="Yes",100,0)</f>
        <v>0</v>
      </c>
      <c r="H2275">
        <f>FME_Ranking1[[#This Row],[Emergency Need Score (Normalized, Unweighted)]]*$F$3</f>
        <v>0</v>
      </c>
      <c r="I2275" s="246">
        <f>_xlfn.XLOOKUP(FME_Ranking1[[#This Row],[FME ID]],FME_Input[FME_ID],FME_Input[STRUCT_100])</f>
        <v>0</v>
      </c>
      <c r="J2275" s="178">
        <f>(FME_Ranking1[[#This Row],[Structures 100 Raw]]/I$2)*100</f>
        <v>0</v>
      </c>
      <c r="K2275" s="178">
        <f>FME_Ranking1[[#This Row],[Structures 100  Score (Normalized, Unweighted)]]*$I$3</f>
        <v>0</v>
      </c>
      <c r="L2275" s="246">
        <f>_xlfn.XLOOKUP(FME_Ranking1[[#This Row],[FME ID]],FME_Input[FME_ID],FME_Input[RES_STRUCT100])</f>
        <v>0</v>
      </c>
      <c r="M2275" s="230">
        <f>(FME_Ranking1[[#This Row],[Res Structures Raw]]/L$2)*100</f>
        <v>0</v>
      </c>
      <c r="N2275" s="180">
        <f>FME_Ranking1[[#This Row],[Res Structures Score (Normalized, Unweighted)]]*$L$3</f>
        <v>0</v>
      </c>
      <c r="O2275" s="244">
        <f>_xlfn.XLOOKUP(FME_Ranking1[[#This Row],[FME ID]],FME_Input[FME_ID],FME_Input[POP100])</f>
        <v>0</v>
      </c>
      <c r="P2275" s="178">
        <f>(FME_Ranking1[[#This Row],[Pop Raw]]/$O$2)*100</f>
        <v>0</v>
      </c>
      <c r="Q2275" s="178">
        <f>FME_Ranking1[[#This Row],[Pop Score (Normalized, Unweighted)]]*$O$3</f>
        <v>0</v>
      </c>
      <c r="R2275" s="137">
        <f>_xlfn.XLOOKUP(FME_Ranking1[[#This Row],[FME ID]],FME_Input[FME_ID],FME_Input[CRITFAC100])</f>
        <v>0</v>
      </c>
      <c r="S2275" s="230">
        <f>(FME_Ranking1[[#This Row],[Critical Facilities Raw]]/$R$2)*100</f>
        <v>0</v>
      </c>
      <c r="T2275" s="180">
        <f>FME_Ranking1[[#This Row],[Critical Facilities Score (Normalized, Unweighted)]]*$R$3</f>
        <v>0</v>
      </c>
      <c r="U2275">
        <f>_xlfn.XLOOKUP(FME_Ranking1[[#This Row],[FME ID]],FME_Input[FME_ID],FME_Input[LWC])</f>
        <v>0</v>
      </c>
      <c r="V2275" s="178">
        <f>(FME_Ranking1[[#This Row],[LWC Raw]]/$U$2)*100</f>
        <v>0</v>
      </c>
      <c r="W2275" s="178">
        <f>FME_Ranking1[[#This Row],[LWC Score (Normalized, Unweighted)]]*$U$3</f>
        <v>0</v>
      </c>
      <c r="X2275" s="246">
        <f>_xlfn.XLOOKUP(FME_Ranking1[[#This Row],[FME ID]],FME_Input[FME_ID],FME_Input[ROADCLS])</f>
        <v>0</v>
      </c>
      <c r="Y2275" s="230">
        <f>(FME_Ranking1[[#This Row],[Closures Raw]]/$X$2)*100</f>
        <v>0</v>
      </c>
      <c r="Z2275" s="180">
        <f>FME_Ranking1[[#This Row],[Closures Score (Normalized, Unweighted)]]*$X$3</f>
        <v>0</v>
      </c>
      <c r="AA2275" s="253">
        <f>_xlfn.XLOOKUP(FME_Ranking1[[#This Row],[FME ID]],FME_Input[FME_ID],FME_Input[ROAD_MILES100])</f>
        <v>0</v>
      </c>
      <c r="AB2275" s="178">
        <f>(FME_Ranking1[[#This Row],[Miles Raw]]/$AA$2)*100</f>
        <v>0</v>
      </c>
      <c r="AC2275" s="178">
        <f>FME_Ranking1[[#This Row],[Miles Score (Normalized, Unweighted)]]*$AA$3</f>
        <v>0</v>
      </c>
      <c r="AD2275" s="255">
        <f>_xlfn.XLOOKUP(FME_Ranking1[[#This Row],[FME ID]],FME_Input[FME_ID],FME_Input[FARMACRE100])</f>
        <v>0</v>
      </c>
      <c r="AE2275" s="230">
        <f>(FME_Ranking1[[#This Row],[Ag Land Raw]]/$AD$2)*100</f>
        <v>0</v>
      </c>
      <c r="AF2275" s="231">
        <f>FME_Ranking1[[#This Row],[Ag Land Score (Normalized, Unweighted)]]*$AD$3</f>
        <v>0</v>
      </c>
      <c r="AG227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75" s="406">
        <f t="shared" si="35"/>
        <v>2198</v>
      </c>
      <c r="AI227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75" s="257">
        <f>FME_Ranking1[[#This Row],[Addition check]]-FME_Ranking1[[#This Row],[Weighted Score Based on Normalized Reported Factors]]</f>
        <v>0</v>
      </c>
      <c r="AK2275" s="178">
        <f>_xlfn.RANK.EQ(AI2275,$AI$6:$AI$2341,0)+COUNTIF($AI$6:AI2275,AI2275)-1</f>
        <v>2285</v>
      </c>
    </row>
    <row r="2276" spans="1:37" x14ac:dyDescent="0.25">
      <c r="A2276" t="s">
        <v>8781</v>
      </c>
      <c r="B2276">
        <f>_xlfn.XLOOKUP(FME_Ranking1[[#This Row],[FME ID]],FME_Input[FME_ID],FME_Input[RFPG_NUM])</f>
        <v>11</v>
      </c>
      <c r="C2276" t="str">
        <f>_xlfn.XLOOKUP(FME_Ranking1[[#This Row],[FME ID]],FME_Input[FME_ID],FME_Input[FME_NAME])</f>
        <v>City of San Marcos Low Water Crossing at Jackman Project Planning</v>
      </c>
      <c r="D2276" t="str">
        <f>_xlfn.XLOOKUP(FME_Ranking1[[#This Row],[FME ID]],FME_Input[FME_ID],FME_Input[DESCR])</f>
        <v>Project planning to replace low water crossing at Jackman</v>
      </c>
      <c r="E2276" s="256">
        <f>_xlfn.XLOOKUP(FME_Ranking1[[#This Row],[FME ID]],FME_Input[FME_ID],FME_Input[FME_COST])</f>
        <v>150000</v>
      </c>
      <c r="F2276" t="str">
        <f>_xlfn.XLOOKUP(FME_Ranking1[[#This Row],[FME ID]],FME_Input[FME_ID],FME_Input[EMER_NEED])</f>
        <v>No</v>
      </c>
      <c r="G2276">
        <f>IF(FME_Ranking!F2276="Yes",100,0)</f>
        <v>0</v>
      </c>
      <c r="H2276">
        <f>FME_Ranking1[[#This Row],[Emergency Need Score (Normalized, Unweighted)]]*$F$3</f>
        <v>0</v>
      </c>
      <c r="I2276" s="246">
        <f>_xlfn.XLOOKUP(FME_Ranking1[[#This Row],[FME ID]],FME_Input[FME_ID],FME_Input[STRUCT_100])</f>
        <v>0</v>
      </c>
      <c r="J2276" s="178">
        <f>(FME_Ranking1[[#This Row],[Structures 100 Raw]]/I$2)*100</f>
        <v>0</v>
      </c>
      <c r="K2276" s="178">
        <f>FME_Ranking1[[#This Row],[Structures 100  Score (Normalized, Unweighted)]]*$I$3</f>
        <v>0</v>
      </c>
      <c r="L2276" s="246">
        <f>_xlfn.XLOOKUP(FME_Ranking1[[#This Row],[FME ID]],FME_Input[FME_ID],FME_Input[RES_STRUCT100])</f>
        <v>0</v>
      </c>
      <c r="M2276" s="230">
        <f>(FME_Ranking1[[#This Row],[Res Structures Raw]]/L$2)*100</f>
        <v>0</v>
      </c>
      <c r="N2276" s="180">
        <f>FME_Ranking1[[#This Row],[Res Structures Score (Normalized, Unweighted)]]*$L$3</f>
        <v>0</v>
      </c>
      <c r="O2276" s="244">
        <f>_xlfn.XLOOKUP(FME_Ranking1[[#This Row],[FME ID]],FME_Input[FME_ID],FME_Input[POP100])</f>
        <v>0</v>
      </c>
      <c r="P2276" s="178">
        <f>(FME_Ranking1[[#This Row],[Pop Raw]]/$O$2)*100</f>
        <v>0</v>
      </c>
      <c r="Q2276" s="178">
        <f>FME_Ranking1[[#This Row],[Pop Score (Normalized, Unweighted)]]*$O$3</f>
        <v>0</v>
      </c>
      <c r="R2276" s="137">
        <f>_xlfn.XLOOKUP(FME_Ranking1[[#This Row],[FME ID]],FME_Input[FME_ID],FME_Input[CRITFAC100])</f>
        <v>0</v>
      </c>
      <c r="S2276" s="230">
        <f>(FME_Ranking1[[#This Row],[Critical Facilities Raw]]/$R$2)*100</f>
        <v>0</v>
      </c>
      <c r="T2276" s="180">
        <f>FME_Ranking1[[#This Row],[Critical Facilities Score (Normalized, Unweighted)]]*$R$3</f>
        <v>0</v>
      </c>
      <c r="U2276">
        <f>_xlfn.XLOOKUP(FME_Ranking1[[#This Row],[FME ID]],FME_Input[FME_ID],FME_Input[LWC])</f>
        <v>0</v>
      </c>
      <c r="V2276" s="178">
        <f>(FME_Ranking1[[#This Row],[LWC Raw]]/$U$2)*100</f>
        <v>0</v>
      </c>
      <c r="W2276" s="178">
        <f>FME_Ranking1[[#This Row],[LWC Score (Normalized, Unweighted)]]*$U$3</f>
        <v>0</v>
      </c>
      <c r="X2276" s="246">
        <f>_xlfn.XLOOKUP(FME_Ranking1[[#This Row],[FME ID]],FME_Input[FME_ID],FME_Input[ROADCLS])</f>
        <v>0</v>
      </c>
      <c r="Y2276" s="230">
        <f>(FME_Ranking1[[#This Row],[Closures Raw]]/$X$2)*100</f>
        <v>0</v>
      </c>
      <c r="Z2276" s="180">
        <f>FME_Ranking1[[#This Row],[Closures Score (Normalized, Unweighted)]]*$X$3</f>
        <v>0</v>
      </c>
      <c r="AA2276" s="253">
        <f>_xlfn.XLOOKUP(FME_Ranking1[[#This Row],[FME ID]],FME_Input[FME_ID],FME_Input[ROAD_MILES100])</f>
        <v>5.3423281759023673E-2</v>
      </c>
      <c r="AB2276" s="178">
        <f>(FME_Ranking1[[#This Row],[Miles Raw]]/$AA$2)*100</f>
        <v>7.0242033597699475E-4</v>
      </c>
      <c r="AC2276" s="178">
        <f>FME_Ranking1[[#This Row],[Miles Score (Normalized, Unweighted)]]*$AA$3</f>
        <v>7.0242033597699475E-5</v>
      </c>
      <c r="AD2276" s="255">
        <f>_xlfn.XLOOKUP(FME_Ranking1[[#This Row],[FME ID]],FME_Input[FME_ID],FME_Input[FARMACRE100])</f>
        <v>0</v>
      </c>
      <c r="AE2276" s="230">
        <f>(FME_Ranking1[[#This Row],[Ag Land Raw]]/$AD$2)*100</f>
        <v>0</v>
      </c>
      <c r="AF2276" s="231">
        <f>FME_Ranking1[[#This Row],[Ag Land Score (Normalized, Unweighted)]]*$AD$3</f>
        <v>0</v>
      </c>
      <c r="AG227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7.0242033597699475E-5</v>
      </c>
      <c r="AH2276" s="406">
        <f t="shared" si="35"/>
        <v>2148</v>
      </c>
      <c r="AI227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7.0242033597699475E-5</v>
      </c>
      <c r="AJ2276" s="257">
        <f>FME_Ranking1[[#This Row],[Addition check]]-FME_Ranking1[[#This Row],[Weighted Score Based on Normalized Reported Factors]]</f>
        <v>0</v>
      </c>
      <c r="AK2276" s="178">
        <f>_xlfn.RANK.EQ(AI2276,$AI$6:$AI$2341,0)+COUNTIF($AI$6:AI2276,AI2276)-1</f>
        <v>2148</v>
      </c>
    </row>
    <row r="2277" spans="1:37" x14ac:dyDescent="0.25">
      <c r="A2277" t="s">
        <v>8784</v>
      </c>
      <c r="B2277">
        <f>_xlfn.XLOOKUP(FME_Ranking1[[#This Row],[FME ID]],FME_Input[FME_ID],FME_Input[RFPG_NUM])</f>
        <v>11</v>
      </c>
      <c r="C2277" t="str">
        <f>_xlfn.XLOOKUP(FME_Ranking1[[#This Row],[FME ID]],FME_Input[FME_ID],FME_Input[FME_NAME])</f>
        <v>City of San Marcos Low Water Crossing at Mitchell and Purgatory Creek Project Planning</v>
      </c>
      <c r="D2277" t="str">
        <f>_xlfn.XLOOKUP(FME_Ranking1[[#This Row],[FME ID]],FME_Input[FME_ID],FME_Input[DESCR])</f>
        <v>Project planning to replace low water crossing at Mitchell and Purgatory Creek</v>
      </c>
      <c r="E2277" s="256">
        <f>_xlfn.XLOOKUP(FME_Ranking1[[#This Row],[FME ID]],FME_Input[FME_ID],FME_Input[FME_COST])</f>
        <v>200000</v>
      </c>
      <c r="F2277" t="str">
        <f>_xlfn.XLOOKUP(FME_Ranking1[[#This Row],[FME ID]],FME_Input[FME_ID],FME_Input[EMER_NEED])</f>
        <v>No</v>
      </c>
      <c r="G2277">
        <f>IF(FME_Ranking!F2277="Yes",100,0)</f>
        <v>0</v>
      </c>
      <c r="H2277">
        <f>FME_Ranking1[[#This Row],[Emergency Need Score (Normalized, Unweighted)]]*$F$3</f>
        <v>0</v>
      </c>
      <c r="I2277" s="246">
        <f>_xlfn.XLOOKUP(FME_Ranking1[[#This Row],[FME ID]],FME_Input[FME_ID],FME_Input[STRUCT_100])</f>
        <v>0</v>
      </c>
      <c r="J2277" s="178">
        <f>(FME_Ranking1[[#This Row],[Structures 100 Raw]]/I$2)*100</f>
        <v>0</v>
      </c>
      <c r="K2277" s="178">
        <f>FME_Ranking1[[#This Row],[Structures 100  Score (Normalized, Unweighted)]]*$I$3</f>
        <v>0</v>
      </c>
      <c r="L2277" s="246">
        <f>_xlfn.XLOOKUP(FME_Ranking1[[#This Row],[FME ID]],FME_Input[FME_ID],FME_Input[RES_STRUCT100])</f>
        <v>0</v>
      </c>
      <c r="M2277" s="230">
        <f>(FME_Ranking1[[#This Row],[Res Structures Raw]]/L$2)*100</f>
        <v>0</v>
      </c>
      <c r="N2277" s="180">
        <f>FME_Ranking1[[#This Row],[Res Structures Score (Normalized, Unweighted)]]*$L$3</f>
        <v>0</v>
      </c>
      <c r="O2277" s="244">
        <f>_xlfn.XLOOKUP(FME_Ranking1[[#This Row],[FME ID]],FME_Input[FME_ID],FME_Input[POP100])</f>
        <v>0</v>
      </c>
      <c r="P2277" s="178">
        <f>(FME_Ranking1[[#This Row],[Pop Raw]]/$O$2)*100</f>
        <v>0</v>
      </c>
      <c r="Q2277" s="178">
        <f>FME_Ranking1[[#This Row],[Pop Score (Normalized, Unweighted)]]*$O$3</f>
        <v>0</v>
      </c>
      <c r="R2277" s="137">
        <f>_xlfn.XLOOKUP(FME_Ranking1[[#This Row],[FME ID]],FME_Input[FME_ID],FME_Input[CRITFAC100])</f>
        <v>0</v>
      </c>
      <c r="S2277" s="230">
        <f>(FME_Ranking1[[#This Row],[Critical Facilities Raw]]/$R$2)*100</f>
        <v>0</v>
      </c>
      <c r="T2277" s="180">
        <f>FME_Ranking1[[#This Row],[Critical Facilities Score (Normalized, Unweighted)]]*$R$3</f>
        <v>0</v>
      </c>
      <c r="U2277">
        <f>_xlfn.XLOOKUP(FME_Ranking1[[#This Row],[FME ID]],FME_Input[FME_ID],FME_Input[LWC])</f>
        <v>0</v>
      </c>
      <c r="V2277" s="178">
        <f>(FME_Ranking1[[#This Row],[LWC Raw]]/$U$2)*100</f>
        <v>0</v>
      </c>
      <c r="W2277" s="178">
        <f>FME_Ranking1[[#This Row],[LWC Score (Normalized, Unweighted)]]*$U$3</f>
        <v>0</v>
      </c>
      <c r="X2277" s="246">
        <f>_xlfn.XLOOKUP(FME_Ranking1[[#This Row],[FME ID]],FME_Input[FME_ID],FME_Input[ROADCLS])</f>
        <v>0</v>
      </c>
      <c r="Y2277" s="230">
        <f>(FME_Ranking1[[#This Row],[Closures Raw]]/$X$2)*100</f>
        <v>0</v>
      </c>
      <c r="Z2277" s="180">
        <f>FME_Ranking1[[#This Row],[Closures Score (Normalized, Unweighted)]]*$X$3</f>
        <v>0</v>
      </c>
      <c r="AA2277" s="253">
        <f>_xlfn.XLOOKUP(FME_Ranking1[[#This Row],[FME ID]],FME_Input[FME_ID],FME_Input[ROAD_MILES100])</f>
        <v>5.2334040403366089E-2</v>
      </c>
      <c r="AB2277" s="178">
        <f>(FME_Ranking1[[#This Row],[Miles Raw]]/$AA$2)*100</f>
        <v>6.8809876579618487E-4</v>
      </c>
      <c r="AC2277" s="178">
        <f>FME_Ranking1[[#This Row],[Miles Score (Normalized, Unweighted)]]*$AA$3</f>
        <v>6.8809876579618487E-5</v>
      </c>
      <c r="AD2277" s="255">
        <f>_xlfn.XLOOKUP(FME_Ranking1[[#This Row],[FME ID]],FME_Input[FME_ID],FME_Input[FARMACRE100])</f>
        <v>0</v>
      </c>
      <c r="AE2277" s="230">
        <f>(FME_Ranking1[[#This Row],[Ag Land Raw]]/$AD$2)*100</f>
        <v>0</v>
      </c>
      <c r="AF2277" s="231">
        <f>FME_Ranking1[[#This Row],[Ag Land Score (Normalized, Unweighted)]]*$AD$3</f>
        <v>0</v>
      </c>
      <c r="AG227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6.8809876579618487E-5</v>
      </c>
      <c r="AH2277" s="406">
        <f t="shared" si="35"/>
        <v>2149</v>
      </c>
      <c r="AI227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6.8809876579618487E-5</v>
      </c>
      <c r="AJ2277" s="257">
        <f>FME_Ranking1[[#This Row],[Addition check]]-FME_Ranking1[[#This Row],[Weighted Score Based on Normalized Reported Factors]]</f>
        <v>0</v>
      </c>
      <c r="AK2277" s="178">
        <f>_xlfn.RANK.EQ(AI2277,$AI$6:$AI$2341,0)+COUNTIF($AI$6:AI2277,AI2277)-1</f>
        <v>2149</v>
      </c>
    </row>
    <row r="2278" spans="1:37" x14ac:dyDescent="0.25">
      <c r="A2278" t="s">
        <v>8791</v>
      </c>
      <c r="B2278">
        <f>_xlfn.XLOOKUP(FME_Ranking1[[#This Row],[FME ID]],FME_Input[FME_ID],FME_Input[RFPG_NUM])</f>
        <v>11</v>
      </c>
      <c r="C2278" t="str">
        <f>_xlfn.XLOOKUP(FME_Ranking1[[#This Row],[FME ID]],FME_Input[FME_ID],FME_Input[FME_NAME])</f>
        <v>City of San Marcos LWC at S LBJ and Purgatory Creek Project Planning</v>
      </c>
      <c r="D2278" t="str">
        <f>_xlfn.XLOOKUP(FME_Ranking1[[#This Row],[FME ID]],FME_Input[FME_ID],FME_Input[DESCR])</f>
        <v>Project planning to replace low water crossing at S LBJ and Purgatory Creek</v>
      </c>
      <c r="E2278" s="256">
        <f>_xlfn.XLOOKUP(FME_Ranking1[[#This Row],[FME ID]],FME_Input[FME_ID],FME_Input[FME_COST])</f>
        <v>150000</v>
      </c>
      <c r="F2278" t="str">
        <f>_xlfn.XLOOKUP(FME_Ranking1[[#This Row],[FME ID]],FME_Input[FME_ID],FME_Input[EMER_NEED])</f>
        <v>No</v>
      </c>
      <c r="G2278">
        <f>IF(FME_Ranking!F2278="Yes",100,0)</f>
        <v>0</v>
      </c>
      <c r="H2278">
        <f>FME_Ranking1[[#This Row],[Emergency Need Score (Normalized, Unweighted)]]*$F$3</f>
        <v>0</v>
      </c>
      <c r="I2278" s="246">
        <f>_xlfn.XLOOKUP(FME_Ranking1[[#This Row],[FME ID]],FME_Input[FME_ID],FME_Input[STRUCT_100])</f>
        <v>0</v>
      </c>
      <c r="J2278" s="178">
        <f>(FME_Ranking1[[#This Row],[Structures 100 Raw]]/I$2)*100</f>
        <v>0</v>
      </c>
      <c r="K2278" s="178">
        <f>FME_Ranking1[[#This Row],[Structures 100  Score (Normalized, Unweighted)]]*$I$3</f>
        <v>0</v>
      </c>
      <c r="L2278" s="246">
        <f>_xlfn.XLOOKUP(FME_Ranking1[[#This Row],[FME ID]],FME_Input[FME_ID],FME_Input[RES_STRUCT100])</f>
        <v>0</v>
      </c>
      <c r="M2278" s="230">
        <f>(FME_Ranking1[[#This Row],[Res Structures Raw]]/L$2)*100</f>
        <v>0</v>
      </c>
      <c r="N2278" s="180">
        <f>FME_Ranking1[[#This Row],[Res Structures Score (Normalized, Unweighted)]]*$L$3</f>
        <v>0</v>
      </c>
      <c r="O2278" s="244">
        <f>_xlfn.XLOOKUP(FME_Ranking1[[#This Row],[FME ID]],FME_Input[FME_ID],FME_Input[POP100])</f>
        <v>0</v>
      </c>
      <c r="P2278" s="178">
        <f>(FME_Ranking1[[#This Row],[Pop Raw]]/$O$2)*100</f>
        <v>0</v>
      </c>
      <c r="Q2278" s="178">
        <f>FME_Ranking1[[#This Row],[Pop Score (Normalized, Unweighted)]]*$O$3</f>
        <v>0</v>
      </c>
      <c r="R2278" s="137">
        <f>_xlfn.XLOOKUP(FME_Ranking1[[#This Row],[FME ID]],FME_Input[FME_ID],FME_Input[CRITFAC100])</f>
        <v>0</v>
      </c>
      <c r="S2278" s="230">
        <f>(FME_Ranking1[[#This Row],[Critical Facilities Raw]]/$R$2)*100</f>
        <v>0</v>
      </c>
      <c r="T2278" s="180">
        <f>FME_Ranking1[[#This Row],[Critical Facilities Score (Normalized, Unweighted)]]*$R$3</f>
        <v>0</v>
      </c>
      <c r="U2278">
        <f>_xlfn.XLOOKUP(FME_Ranking1[[#This Row],[FME ID]],FME_Input[FME_ID],FME_Input[LWC])</f>
        <v>0</v>
      </c>
      <c r="V2278" s="178">
        <f>(FME_Ranking1[[#This Row],[LWC Raw]]/$U$2)*100</f>
        <v>0</v>
      </c>
      <c r="W2278" s="178">
        <f>FME_Ranking1[[#This Row],[LWC Score (Normalized, Unweighted)]]*$U$3</f>
        <v>0</v>
      </c>
      <c r="X2278" s="246">
        <f>_xlfn.XLOOKUP(FME_Ranking1[[#This Row],[FME ID]],FME_Input[FME_ID],FME_Input[ROADCLS])</f>
        <v>0</v>
      </c>
      <c r="Y2278" s="230">
        <f>(FME_Ranking1[[#This Row],[Closures Raw]]/$X$2)*100</f>
        <v>0</v>
      </c>
      <c r="Z2278" s="180">
        <f>FME_Ranking1[[#This Row],[Closures Score (Normalized, Unweighted)]]*$X$3</f>
        <v>0</v>
      </c>
      <c r="AA2278" s="253">
        <f>_xlfn.XLOOKUP(FME_Ranking1[[#This Row],[FME ID]],FME_Input[FME_ID],FME_Input[ROAD_MILES100])</f>
        <v>4.3635878711938858E-2</v>
      </c>
      <c r="AB2278" s="178">
        <f>(FME_Ranking1[[#This Row],[Miles Raw]]/$AA$2)*100</f>
        <v>5.7373354043931048E-4</v>
      </c>
      <c r="AC2278" s="178">
        <f>FME_Ranking1[[#This Row],[Miles Score (Normalized, Unweighted)]]*$AA$3</f>
        <v>5.7373354043931048E-5</v>
      </c>
      <c r="AD2278" s="255">
        <f>_xlfn.XLOOKUP(FME_Ranking1[[#This Row],[FME ID]],FME_Input[FME_ID],FME_Input[FARMACRE100])</f>
        <v>0</v>
      </c>
      <c r="AE2278" s="230">
        <f>(FME_Ranking1[[#This Row],[Ag Land Raw]]/$AD$2)*100</f>
        <v>0</v>
      </c>
      <c r="AF2278" s="231">
        <f>FME_Ranking1[[#This Row],[Ag Land Score (Normalized, Unweighted)]]*$AD$3</f>
        <v>0</v>
      </c>
      <c r="AG227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5.7373354043931048E-5</v>
      </c>
      <c r="AH2278" s="406">
        <f t="shared" si="35"/>
        <v>2153</v>
      </c>
      <c r="AI227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5.7373354043931048E-5</v>
      </c>
      <c r="AJ2278" s="257">
        <f>FME_Ranking1[[#This Row],[Addition check]]-FME_Ranking1[[#This Row],[Weighted Score Based on Normalized Reported Factors]]</f>
        <v>0</v>
      </c>
      <c r="AK2278" s="178">
        <f>_xlfn.RANK.EQ(AI2278,$AI$6:$AI$2341,0)+COUNTIF($AI$6:AI2278,AI2278)-1</f>
        <v>2153</v>
      </c>
    </row>
    <row r="2279" spans="1:37" x14ac:dyDescent="0.25">
      <c r="A2279" t="s">
        <v>8897</v>
      </c>
      <c r="B2279">
        <f>_xlfn.XLOOKUP(FME_Ranking1[[#This Row],[FME ID]],FME_Input[FME_ID],FME_Input[RFPG_NUM])</f>
        <v>11</v>
      </c>
      <c r="C2279" t="str">
        <f>_xlfn.XLOOKUP(FME_Ranking1[[#This Row],[FME ID]],FME_Input[FME_ID],FME_Input[FME_NAME])</f>
        <v>City of Wimberley Wilson Creek at River Road Low Water Crossing Project Planning</v>
      </c>
      <c r="D2279" t="str">
        <f>_xlfn.XLOOKUP(FME_Ranking1[[#This Row],[FME ID]],FME_Input[FME_ID],FME_Input[DESCR])</f>
        <v>Project planning for proposed project to replace low water crossing at Wilson Creek at River Road</v>
      </c>
      <c r="E2279" s="256">
        <f>_xlfn.XLOOKUP(FME_Ranking1[[#This Row],[FME ID]],FME_Input[FME_ID],FME_Input[FME_COST])</f>
        <v>100000</v>
      </c>
      <c r="F2279" t="str">
        <f>_xlfn.XLOOKUP(FME_Ranking1[[#This Row],[FME ID]],FME_Input[FME_ID],FME_Input[EMER_NEED])</f>
        <v>No</v>
      </c>
      <c r="G2279">
        <f>IF(FME_Ranking!F2279="Yes",100,0)</f>
        <v>0</v>
      </c>
      <c r="H2279">
        <f>FME_Ranking1[[#This Row],[Emergency Need Score (Normalized, Unweighted)]]*$F$3</f>
        <v>0</v>
      </c>
      <c r="I2279" s="246">
        <f>_xlfn.XLOOKUP(FME_Ranking1[[#This Row],[FME ID]],FME_Input[FME_ID],FME_Input[STRUCT_100])</f>
        <v>0</v>
      </c>
      <c r="J2279" s="178">
        <f>(FME_Ranking1[[#This Row],[Structures 100 Raw]]/I$2)*100</f>
        <v>0</v>
      </c>
      <c r="K2279" s="178">
        <f>FME_Ranking1[[#This Row],[Structures 100  Score (Normalized, Unweighted)]]*$I$3</f>
        <v>0</v>
      </c>
      <c r="L2279" s="246">
        <f>_xlfn.XLOOKUP(FME_Ranking1[[#This Row],[FME ID]],FME_Input[FME_ID],FME_Input[RES_STRUCT100])</f>
        <v>0</v>
      </c>
      <c r="M2279" s="230">
        <f>(FME_Ranking1[[#This Row],[Res Structures Raw]]/L$2)*100</f>
        <v>0</v>
      </c>
      <c r="N2279" s="180">
        <f>FME_Ranking1[[#This Row],[Res Structures Score (Normalized, Unweighted)]]*$L$3</f>
        <v>0</v>
      </c>
      <c r="O2279" s="244">
        <f>_xlfn.XLOOKUP(FME_Ranking1[[#This Row],[FME ID]],FME_Input[FME_ID],FME_Input[POP100])</f>
        <v>0</v>
      </c>
      <c r="P2279" s="178">
        <f>(FME_Ranking1[[#This Row],[Pop Raw]]/$O$2)*100</f>
        <v>0</v>
      </c>
      <c r="Q2279" s="178">
        <f>FME_Ranking1[[#This Row],[Pop Score (Normalized, Unweighted)]]*$O$3</f>
        <v>0</v>
      </c>
      <c r="R2279" s="137">
        <f>_xlfn.XLOOKUP(FME_Ranking1[[#This Row],[FME ID]],FME_Input[FME_ID],FME_Input[CRITFAC100])</f>
        <v>0</v>
      </c>
      <c r="S2279" s="230">
        <f>(FME_Ranking1[[#This Row],[Critical Facilities Raw]]/$R$2)*100</f>
        <v>0</v>
      </c>
      <c r="T2279" s="180">
        <f>FME_Ranking1[[#This Row],[Critical Facilities Score (Normalized, Unweighted)]]*$R$3</f>
        <v>0</v>
      </c>
      <c r="U2279">
        <f>_xlfn.XLOOKUP(FME_Ranking1[[#This Row],[FME ID]],FME_Input[FME_ID],FME_Input[LWC])</f>
        <v>0</v>
      </c>
      <c r="V2279" s="178">
        <f>(FME_Ranking1[[#This Row],[LWC Raw]]/$U$2)*100</f>
        <v>0</v>
      </c>
      <c r="W2279" s="178">
        <f>FME_Ranking1[[#This Row],[LWC Score (Normalized, Unweighted)]]*$U$3</f>
        <v>0</v>
      </c>
      <c r="X2279" s="246">
        <f>_xlfn.XLOOKUP(FME_Ranking1[[#This Row],[FME ID]],FME_Input[FME_ID],FME_Input[ROADCLS])</f>
        <v>0</v>
      </c>
      <c r="Y2279" s="230">
        <f>(FME_Ranking1[[#This Row],[Closures Raw]]/$X$2)*100</f>
        <v>0</v>
      </c>
      <c r="Z2279" s="180">
        <f>FME_Ranking1[[#This Row],[Closures Score (Normalized, Unweighted)]]*$X$3</f>
        <v>0</v>
      </c>
      <c r="AA2279" s="253">
        <f>_xlfn.XLOOKUP(FME_Ranking1[[#This Row],[FME ID]],FME_Input[FME_ID],FME_Input[ROAD_MILES100])</f>
        <v>8.8541127741336823E-2</v>
      </c>
      <c r="AB2279" s="178">
        <f>(FME_Ranking1[[#This Row],[Miles Raw]]/$AA$2)*100</f>
        <v>1.1641570238306608E-3</v>
      </c>
      <c r="AC2279" s="178">
        <f>FME_Ranking1[[#This Row],[Miles Score (Normalized, Unweighted)]]*$AA$3</f>
        <v>1.1641570238306609E-4</v>
      </c>
      <c r="AD2279" s="255">
        <f>_xlfn.XLOOKUP(FME_Ranking1[[#This Row],[FME ID]],FME_Input[FME_ID],FME_Input[FARMACRE100])</f>
        <v>0</v>
      </c>
      <c r="AE2279" s="230">
        <f>(FME_Ranking1[[#This Row],[Ag Land Raw]]/$AD$2)*100</f>
        <v>0</v>
      </c>
      <c r="AF2279" s="231">
        <f>FME_Ranking1[[#This Row],[Ag Land Score (Normalized, Unweighted)]]*$AD$3</f>
        <v>0</v>
      </c>
      <c r="AG227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1.1641570238306609E-4</v>
      </c>
      <c r="AH2279" s="406">
        <f t="shared" si="35"/>
        <v>2143</v>
      </c>
      <c r="AI227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1.1641570238306609E-4</v>
      </c>
      <c r="AJ2279" s="257">
        <f>FME_Ranking1[[#This Row],[Addition check]]-FME_Ranking1[[#This Row],[Weighted Score Based on Normalized Reported Factors]]</f>
        <v>0</v>
      </c>
      <c r="AK2279" s="178">
        <f>_xlfn.RANK.EQ(AI2279,$AI$6:$AI$2341,0)+COUNTIF($AI$6:AI2279,AI2279)-1</f>
        <v>2143</v>
      </c>
    </row>
    <row r="2280" spans="1:37" x14ac:dyDescent="0.25">
      <c r="A2280" t="s">
        <v>8900</v>
      </c>
      <c r="B2280">
        <f>_xlfn.XLOOKUP(FME_Ranking1[[#This Row],[FME ID]],FME_Input[FME_ID],FME_Input[RFPG_NUM])</f>
        <v>11</v>
      </c>
      <c r="C2280" t="str">
        <f>_xlfn.XLOOKUP(FME_Ranking1[[#This Row],[FME ID]],FME_Input[FME_ID],FME_Input[FME_NAME])</f>
        <v>City of Wimberley Green Acres Dr. at Fire Station Low Water Crossing Project Planning</v>
      </c>
      <c r="D2280" t="str">
        <f>_xlfn.XLOOKUP(FME_Ranking1[[#This Row],[FME ID]],FME_Input[FME_ID],FME_Input[DESCR])</f>
        <v>Project planning for proposed project to replace low water crossing at Green Acres Dr. at Fire Station</v>
      </c>
      <c r="E2280" s="256">
        <f>_xlfn.XLOOKUP(FME_Ranking1[[#This Row],[FME ID]],FME_Input[FME_ID],FME_Input[FME_COST])</f>
        <v>100000</v>
      </c>
      <c r="F2280" t="str">
        <f>_xlfn.XLOOKUP(FME_Ranking1[[#This Row],[FME ID]],FME_Input[FME_ID],FME_Input[EMER_NEED])</f>
        <v>No</v>
      </c>
      <c r="G2280">
        <f>IF(FME_Ranking!F2280="Yes",100,0)</f>
        <v>0</v>
      </c>
      <c r="H2280">
        <f>FME_Ranking1[[#This Row],[Emergency Need Score (Normalized, Unweighted)]]*$F$3</f>
        <v>0</v>
      </c>
      <c r="I2280" s="246">
        <f>_xlfn.XLOOKUP(FME_Ranking1[[#This Row],[FME ID]],FME_Input[FME_ID],FME_Input[STRUCT_100])</f>
        <v>0</v>
      </c>
      <c r="J2280" s="178">
        <f>(FME_Ranking1[[#This Row],[Structures 100 Raw]]/I$2)*100</f>
        <v>0</v>
      </c>
      <c r="K2280" s="178">
        <f>FME_Ranking1[[#This Row],[Structures 100  Score (Normalized, Unweighted)]]*$I$3</f>
        <v>0</v>
      </c>
      <c r="L2280" s="246">
        <f>_xlfn.XLOOKUP(FME_Ranking1[[#This Row],[FME ID]],FME_Input[FME_ID],FME_Input[RES_STRUCT100])</f>
        <v>0</v>
      </c>
      <c r="M2280" s="230">
        <f>(FME_Ranking1[[#This Row],[Res Structures Raw]]/L$2)*100</f>
        <v>0</v>
      </c>
      <c r="N2280" s="180">
        <f>FME_Ranking1[[#This Row],[Res Structures Score (Normalized, Unweighted)]]*$L$3</f>
        <v>0</v>
      </c>
      <c r="O2280" s="244">
        <f>_xlfn.XLOOKUP(FME_Ranking1[[#This Row],[FME ID]],FME_Input[FME_ID],FME_Input[POP100])</f>
        <v>0</v>
      </c>
      <c r="P2280" s="178">
        <f>(FME_Ranking1[[#This Row],[Pop Raw]]/$O$2)*100</f>
        <v>0</v>
      </c>
      <c r="Q2280" s="178">
        <f>FME_Ranking1[[#This Row],[Pop Score (Normalized, Unweighted)]]*$O$3</f>
        <v>0</v>
      </c>
      <c r="R2280" s="137">
        <f>_xlfn.XLOOKUP(FME_Ranking1[[#This Row],[FME ID]],FME_Input[FME_ID],FME_Input[CRITFAC100])</f>
        <v>0</v>
      </c>
      <c r="S2280" s="230">
        <f>(FME_Ranking1[[#This Row],[Critical Facilities Raw]]/$R$2)*100</f>
        <v>0</v>
      </c>
      <c r="T2280" s="180">
        <f>FME_Ranking1[[#This Row],[Critical Facilities Score (Normalized, Unweighted)]]*$R$3</f>
        <v>0</v>
      </c>
      <c r="U2280">
        <f>_xlfn.XLOOKUP(FME_Ranking1[[#This Row],[FME ID]],FME_Input[FME_ID],FME_Input[LWC])</f>
        <v>0</v>
      </c>
      <c r="V2280" s="178">
        <f>(FME_Ranking1[[#This Row],[LWC Raw]]/$U$2)*100</f>
        <v>0</v>
      </c>
      <c r="W2280" s="178">
        <f>FME_Ranking1[[#This Row],[LWC Score (Normalized, Unweighted)]]*$U$3</f>
        <v>0</v>
      </c>
      <c r="X2280" s="246">
        <f>_xlfn.XLOOKUP(FME_Ranking1[[#This Row],[FME ID]],FME_Input[FME_ID],FME_Input[ROADCLS])</f>
        <v>0</v>
      </c>
      <c r="Y2280" s="230">
        <f>(FME_Ranking1[[#This Row],[Closures Raw]]/$X$2)*100</f>
        <v>0</v>
      </c>
      <c r="Z2280" s="180">
        <f>FME_Ranking1[[#This Row],[Closures Score (Normalized, Unweighted)]]*$X$3</f>
        <v>0</v>
      </c>
      <c r="AA2280" s="253">
        <f>_xlfn.XLOOKUP(FME_Ranking1[[#This Row],[FME ID]],FME_Input[FME_ID],FME_Input[ROAD_MILES100])</f>
        <v>0</v>
      </c>
      <c r="AB2280" s="178">
        <f>(FME_Ranking1[[#This Row],[Miles Raw]]/$AA$2)*100</f>
        <v>0</v>
      </c>
      <c r="AC2280" s="178">
        <f>FME_Ranking1[[#This Row],[Miles Score (Normalized, Unweighted)]]*$AA$3</f>
        <v>0</v>
      </c>
      <c r="AD2280" s="255">
        <f>_xlfn.XLOOKUP(FME_Ranking1[[#This Row],[FME ID]],FME_Input[FME_ID],FME_Input[FARMACRE100])</f>
        <v>0</v>
      </c>
      <c r="AE2280" s="230">
        <f>(FME_Ranking1[[#This Row],[Ag Land Raw]]/$AD$2)*100</f>
        <v>0</v>
      </c>
      <c r="AF2280" s="231">
        <f>FME_Ranking1[[#This Row],[Ag Land Score (Normalized, Unweighted)]]*$AD$3</f>
        <v>0</v>
      </c>
      <c r="AG228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80" s="406">
        <f t="shared" si="35"/>
        <v>2198</v>
      </c>
      <c r="AI228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80" s="257">
        <f>FME_Ranking1[[#This Row],[Addition check]]-FME_Ranking1[[#This Row],[Weighted Score Based on Normalized Reported Factors]]</f>
        <v>0</v>
      </c>
      <c r="AK2280" s="178">
        <f>_xlfn.RANK.EQ(AI2280,$AI$6:$AI$2341,0)+COUNTIF($AI$6:AI2280,AI2280)-1</f>
        <v>2286</v>
      </c>
    </row>
    <row r="2281" spans="1:37" x14ac:dyDescent="0.25">
      <c r="A2281" t="s">
        <v>8909</v>
      </c>
      <c r="B2281">
        <f>_xlfn.XLOOKUP(FME_Ranking1[[#This Row],[FME ID]],FME_Input[FME_ID],FME_Input[RFPG_NUM])</f>
        <v>11</v>
      </c>
      <c r="C2281" t="str">
        <f>_xlfn.XLOOKUP(FME_Ranking1[[#This Row],[FME ID]],FME_Input[FME_ID],FME_Input[FME_NAME])</f>
        <v>City of Wimberley River Road at Western City Limit Low Water Crossing Project Planning</v>
      </c>
      <c r="D2281" t="str">
        <f>_xlfn.XLOOKUP(FME_Ranking1[[#This Row],[FME ID]],FME_Input[FME_ID],FME_Input[DESCR])</f>
        <v>Project planning for proposed project to replace low water crossing at River Road at Western City Limit</v>
      </c>
      <c r="E2281" s="256">
        <f>_xlfn.XLOOKUP(FME_Ranking1[[#This Row],[FME ID]],FME_Input[FME_ID],FME_Input[FME_COST])</f>
        <v>100000</v>
      </c>
      <c r="F2281" t="str">
        <f>_xlfn.XLOOKUP(FME_Ranking1[[#This Row],[FME ID]],FME_Input[FME_ID],FME_Input[EMER_NEED])</f>
        <v>No</v>
      </c>
      <c r="G2281">
        <f>IF(FME_Ranking!F2281="Yes",100,0)</f>
        <v>0</v>
      </c>
      <c r="H2281">
        <f>FME_Ranking1[[#This Row],[Emergency Need Score (Normalized, Unweighted)]]*$F$3</f>
        <v>0</v>
      </c>
      <c r="I2281" s="246">
        <f>_xlfn.XLOOKUP(FME_Ranking1[[#This Row],[FME ID]],FME_Input[FME_ID],FME_Input[STRUCT_100])</f>
        <v>0</v>
      </c>
      <c r="J2281" s="178">
        <f>(FME_Ranking1[[#This Row],[Structures 100 Raw]]/I$2)*100</f>
        <v>0</v>
      </c>
      <c r="K2281" s="178">
        <f>FME_Ranking1[[#This Row],[Structures 100  Score (Normalized, Unweighted)]]*$I$3</f>
        <v>0</v>
      </c>
      <c r="L2281" s="246">
        <f>_xlfn.XLOOKUP(FME_Ranking1[[#This Row],[FME ID]],FME_Input[FME_ID],FME_Input[RES_STRUCT100])</f>
        <v>0</v>
      </c>
      <c r="M2281" s="230">
        <f>(FME_Ranking1[[#This Row],[Res Structures Raw]]/L$2)*100</f>
        <v>0</v>
      </c>
      <c r="N2281" s="180">
        <f>FME_Ranking1[[#This Row],[Res Structures Score (Normalized, Unweighted)]]*$L$3</f>
        <v>0</v>
      </c>
      <c r="O2281" s="244">
        <f>_xlfn.XLOOKUP(FME_Ranking1[[#This Row],[FME ID]],FME_Input[FME_ID],FME_Input[POP100])</f>
        <v>0</v>
      </c>
      <c r="P2281" s="178">
        <f>(FME_Ranking1[[#This Row],[Pop Raw]]/$O$2)*100</f>
        <v>0</v>
      </c>
      <c r="Q2281" s="178">
        <f>FME_Ranking1[[#This Row],[Pop Score (Normalized, Unweighted)]]*$O$3</f>
        <v>0</v>
      </c>
      <c r="R2281" s="137">
        <f>_xlfn.XLOOKUP(FME_Ranking1[[#This Row],[FME ID]],FME_Input[FME_ID],FME_Input[CRITFAC100])</f>
        <v>0</v>
      </c>
      <c r="S2281" s="230">
        <f>(FME_Ranking1[[#This Row],[Critical Facilities Raw]]/$R$2)*100</f>
        <v>0</v>
      </c>
      <c r="T2281" s="180">
        <f>FME_Ranking1[[#This Row],[Critical Facilities Score (Normalized, Unweighted)]]*$R$3</f>
        <v>0</v>
      </c>
      <c r="U2281">
        <f>_xlfn.XLOOKUP(FME_Ranking1[[#This Row],[FME ID]],FME_Input[FME_ID],FME_Input[LWC])</f>
        <v>0</v>
      </c>
      <c r="V2281" s="178">
        <f>(FME_Ranking1[[#This Row],[LWC Raw]]/$U$2)*100</f>
        <v>0</v>
      </c>
      <c r="W2281" s="178">
        <f>FME_Ranking1[[#This Row],[LWC Score (Normalized, Unweighted)]]*$U$3</f>
        <v>0</v>
      </c>
      <c r="X2281" s="246">
        <f>_xlfn.XLOOKUP(FME_Ranking1[[#This Row],[FME ID]],FME_Input[FME_ID],FME_Input[ROADCLS])</f>
        <v>0</v>
      </c>
      <c r="Y2281" s="230">
        <f>(FME_Ranking1[[#This Row],[Closures Raw]]/$X$2)*100</f>
        <v>0</v>
      </c>
      <c r="Z2281" s="180">
        <f>FME_Ranking1[[#This Row],[Closures Score (Normalized, Unweighted)]]*$X$3</f>
        <v>0</v>
      </c>
      <c r="AA2281" s="253">
        <f>_xlfn.XLOOKUP(FME_Ranking1[[#This Row],[FME ID]],FME_Input[FME_ID],FME_Input[ROAD_MILES100])</f>
        <v>4.4724069535732269E-2</v>
      </c>
      <c r="AB2281" s="178">
        <f>(FME_Ranking1[[#This Row],[Miles Raw]]/$AA$2)*100</f>
        <v>5.8804129801032386E-4</v>
      </c>
      <c r="AC2281" s="178">
        <f>FME_Ranking1[[#This Row],[Miles Score (Normalized, Unweighted)]]*$AA$3</f>
        <v>5.8804129801032391E-5</v>
      </c>
      <c r="AD2281" s="255">
        <f>_xlfn.XLOOKUP(FME_Ranking1[[#This Row],[FME ID]],FME_Input[FME_ID],FME_Input[FARMACRE100])</f>
        <v>0</v>
      </c>
      <c r="AE2281" s="230">
        <f>(FME_Ranking1[[#This Row],[Ag Land Raw]]/$AD$2)*100</f>
        <v>0</v>
      </c>
      <c r="AF2281" s="231">
        <f>FME_Ranking1[[#This Row],[Ag Land Score (Normalized, Unweighted)]]*$AD$3</f>
        <v>0</v>
      </c>
      <c r="AG228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5.8804129801032391E-5</v>
      </c>
      <c r="AH2281" s="406">
        <f t="shared" si="35"/>
        <v>2152</v>
      </c>
      <c r="AI228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5.8804129801032391E-5</v>
      </c>
      <c r="AJ2281" s="257">
        <f>FME_Ranking1[[#This Row],[Addition check]]-FME_Ranking1[[#This Row],[Weighted Score Based on Normalized Reported Factors]]</f>
        <v>0</v>
      </c>
      <c r="AK2281" s="178">
        <f>_xlfn.RANK.EQ(AI2281,$AI$6:$AI$2341,0)+COUNTIF($AI$6:AI2281,AI2281)-1</f>
        <v>2152</v>
      </c>
    </row>
    <row r="2282" spans="1:37" x14ac:dyDescent="0.25">
      <c r="A2282" t="s">
        <v>8918</v>
      </c>
      <c r="B2282">
        <f>_xlfn.XLOOKUP(FME_Ranking1[[#This Row],[FME ID]],FME_Input[FME_ID],FME_Input[RFPG_NUM])</f>
        <v>11</v>
      </c>
      <c r="C2282" t="str">
        <f>_xlfn.XLOOKUP(FME_Ranking1[[#This Row],[FME ID]],FME_Input[FME_ID],FME_Input[FME_NAME])</f>
        <v>City of Wimberley Little Ranches at Panther Creek Low Water Crossing Project Planning</v>
      </c>
      <c r="D2282" t="str">
        <f>_xlfn.XLOOKUP(FME_Ranking1[[#This Row],[FME ID]],FME_Input[FME_ID],FME_Input[DESCR])</f>
        <v>Project planning for proposed project to reconstruct low water crossing and roadway at Little Ranches at Panther Creek</v>
      </c>
      <c r="E2282" s="256">
        <f>_xlfn.XLOOKUP(FME_Ranking1[[#This Row],[FME ID]],FME_Input[FME_ID],FME_Input[FME_COST])</f>
        <v>100000</v>
      </c>
      <c r="F2282" t="str">
        <f>_xlfn.XLOOKUP(FME_Ranking1[[#This Row],[FME ID]],FME_Input[FME_ID],FME_Input[EMER_NEED])</f>
        <v>No</v>
      </c>
      <c r="G2282">
        <f>IF(FME_Ranking!F2282="Yes",100,0)</f>
        <v>0</v>
      </c>
      <c r="H2282">
        <f>FME_Ranking1[[#This Row],[Emergency Need Score (Normalized, Unweighted)]]*$F$3</f>
        <v>0</v>
      </c>
      <c r="I2282" s="246">
        <f>_xlfn.XLOOKUP(FME_Ranking1[[#This Row],[FME ID]],FME_Input[FME_ID],FME_Input[STRUCT_100])</f>
        <v>0</v>
      </c>
      <c r="J2282" s="178">
        <f>(FME_Ranking1[[#This Row],[Structures 100 Raw]]/I$2)*100</f>
        <v>0</v>
      </c>
      <c r="K2282" s="178">
        <f>FME_Ranking1[[#This Row],[Structures 100  Score (Normalized, Unweighted)]]*$I$3</f>
        <v>0</v>
      </c>
      <c r="L2282" s="246">
        <f>_xlfn.XLOOKUP(FME_Ranking1[[#This Row],[FME ID]],FME_Input[FME_ID],FME_Input[RES_STRUCT100])</f>
        <v>0</v>
      </c>
      <c r="M2282" s="230">
        <f>(FME_Ranking1[[#This Row],[Res Structures Raw]]/L$2)*100</f>
        <v>0</v>
      </c>
      <c r="N2282" s="180">
        <f>FME_Ranking1[[#This Row],[Res Structures Score (Normalized, Unweighted)]]*$L$3</f>
        <v>0</v>
      </c>
      <c r="O2282" s="244">
        <f>_xlfn.XLOOKUP(FME_Ranking1[[#This Row],[FME ID]],FME_Input[FME_ID],FME_Input[POP100])</f>
        <v>0</v>
      </c>
      <c r="P2282" s="178">
        <f>(FME_Ranking1[[#This Row],[Pop Raw]]/$O$2)*100</f>
        <v>0</v>
      </c>
      <c r="Q2282" s="178">
        <f>FME_Ranking1[[#This Row],[Pop Score (Normalized, Unweighted)]]*$O$3</f>
        <v>0</v>
      </c>
      <c r="R2282" s="137">
        <f>_xlfn.XLOOKUP(FME_Ranking1[[#This Row],[FME ID]],FME_Input[FME_ID],FME_Input[CRITFAC100])</f>
        <v>0</v>
      </c>
      <c r="S2282" s="230">
        <f>(FME_Ranking1[[#This Row],[Critical Facilities Raw]]/$R$2)*100</f>
        <v>0</v>
      </c>
      <c r="T2282" s="180">
        <f>FME_Ranking1[[#This Row],[Critical Facilities Score (Normalized, Unweighted)]]*$R$3</f>
        <v>0</v>
      </c>
      <c r="U2282">
        <f>_xlfn.XLOOKUP(FME_Ranking1[[#This Row],[FME ID]],FME_Input[FME_ID],FME_Input[LWC])</f>
        <v>0</v>
      </c>
      <c r="V2282" s="178">
        <f>(FME_Ranking1[[#This Row],[LWC Raw]]/$U$2)*100</f>
        <v>0</v>
      </c>
      <c r="W2282" s="178">
        <f>FME_Ranking1[[#This Row],[LWC Score (Normalized, Unweighted)]]*$U$3</f>
        <v>0</v>
      </c>
      <c r="X2282" s="246">
        <f>_xlfn.XLOOKUP(FME_Ranking1[[#This Row],[FME ID]],FME_Input[FME_ID],FME_Input[ROADCLS])</f>
        <v>0</v>
      </c>
      <c r="Y2282" s="230">
        <f>(FME_Ranking1[[#This Row],[Closures Raw]]/$X$2)*100</f>
        <v>0</v>
      </c>
      <c r="Z2282" s="180">
        <f>FME_Ranking1[[#This Row],[Closures Score (Normalized, Unweighted)]]*$X$3</f>
        <v>0</v>
      </c>
      <c r="AA2282" s="253">
        <f>_xlfn.XLOOKUP(FME_Ranking1[[#This Row],[FME ID]],FME_Input[FME_ID],FME_Input[ROAD_MILES100])</f>
        <v>0</v>
      </c>
      <c r="AB2282" s="178">
        <f>(FME_Ranking1[[#This Row],[Miles Raw]]/$AA$2)*100</f>
        <v>0</v>
      </c>
      <c r="AC2282" s="178">
        <f>FME_Ranking1[[#This Row],[Miles Score (Normalized, Unweighted)]]*$AA$3</f>
        <v>0</v>
      </c>
      <c r="AD2282" s="255">
        <f>_xlfn.XLOOKUP(FME_Ranking1[[#This Row],[FME ID]],FME_Input[FME_ID],FME_Input[FARMACRE100])</f>
        <v>0</v>
      </c>
      <c r="AE2282" s="230">
        <f>(FME_Ranking1[[#This Row],[Ag Land Raw]]/$AD$2)*100</f>
        <v>0</v>
      </c>
      <c r="AF2282" s="231">
        <f>FME_Ranking1[[#This Row],[Ag Land Score (Normalized, Unweighted)]]*$AD$3</f>
        <v>0</v>
      </c>
      <c r="AG228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82" s="406">
        <f t="shared" si="35"/>
        <v>2198</v>
      </c>
      <c r="AI228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82" s="257">
        <f>FME_Ranking1[[#This Row],[Addition check]]-FME_Ranking1[[#This Row],[Weighted Score Based on Normalized Reported Factors]]</f>
        <v>0</v>
      </c>
      <c r="AK2282" s="178">
        <f>_xlfn.RANK.EQ(AI2282,$AI$6:$AI$2341,0)+COUNTIF($AI$6:AI2282,AI2282)-1</f>
        <v>2287</v>
      </c>
    </row>
    <row r="2283" spans="1:37" x14ac:dyDescent="0.25">
      <c r="A2283" t="s">
        <v>8921</v>
      </c>
      <c r="B2283">
        <f>_xlfn.XLOOKUP(FME_Ranking1[[#This Row],[FME ID]],FME_Input[FME_ID],FME_Input[RFPG_NUM])</f>
        <v>11</v>
      </c>
      <c r="C2283" t="str">
        <f>_xlfn.XLOOKUP(FME_Ranking1[[#This Row],[FME ID]],FME_Input[FME_ID],FME_Input[FME_NAME])</f>
        <v>City of Wimberley Hoots Holler Low Water Crossing Project Planning</v>
      </c>
      <c r="D2283" t="str">
        <f>_xlfn.XLOOKUP(FME_Ranking1[[#This Row],[FME ID]],FME_Input[FME_ID],FME_Input[DESCR])</f>
        <v>Project planning for proposed project to reconstruct low water crossing and roadway at Hoots Holler</v>
      </c>
      <c r="E2283" s="256">
        <f>_xlfn.XLOOKUP(FME_Ranking1[[#This Row],[FME ID]],FME_Input[FME_ID],FME_Input[FME_COST])</f>
        <v>100000</v>
      </c>
      <c r="F2283" t="str">
        <f>_xlfn.XLOOKUP(FME_Ranking1[[#This Row],[FME ID]],FME_Input[FME_ID],FME_Input[EMER_NEED])</f>
        <v>No</v>
      </c>
      <c r="G2283">
        <f>IF(FME_Ranking!F2283="Yes",100,0)</f>
        <v>0</v>
      </c>
      <c r="H2283">
        <f>FME_Ranking1[[#This Row],[Emergency Need Score (Normalized, Unweighted)]]*$F$3</f>
        <v>0</v>
      </c>
      <c r="I2283" s="246">
        <f>_xlfn.XLOOKUP(FME_Ranking1[[#This Row],[FME ID]],FME_Input[FME_ID],FME_Input[STRUCT_100])</f>
        <v>0</v>
      </c>
      <c r="J2283" s="178">
        <f>(FME_Ranking1[[#This Row],[Structures 100 Raw]]/I$2)*100</f>
        <v>0</v>
      </c>
      <c r="K2283" s="178">
        <f>FME_Ranking1[[#This Row],[Structures 100  Score (Normalized, Unweighted)]]*$I$3</f>
        <v>0</v>
      </c>
      <c r="L2283" s="246">
        <f>_xlfn.XLOOKUP(FME_Ranking1[[#This Row],[FME ID]],FME_Input[FME_ID],FME_Input[RES_STRUCT100])</f>
        <v>0</v>
      </c>
      <c r="M2283" s="230">
        <f>(FME_Ranking1[[#This Row],[Res Structures Raw]]/L$2)*100</f>
        <v>0</v>
      </c>
      <c r="N2283" s="180">
        <f>FME_Ranking1[[#This Row],[Res Structures Score (Normalized, Unweighted)]]*$L$3</f>
        <v>0</v>
      </c>
      <c r="O2283" s="244">
        <f>_xlfn.XLOOKUP(FME_Ranking1[[#This Row],[FME ID]],FME_Input[FME_ID],FME_Input[POP100])</f>
        <v>0</v>
      </c>
      <c r="P2283" s="178">
        <f>(FME_Ranking1[[#This Row],[Pop Raw]]/$O$2)*100</f>
        <v>0</v>
      </c>
      <c r="Q2283" s="178">
        <f>FME_Ranking1[[#This Row],[Pop Score (Normalized, Unweighted)]]*$O$3</f>
        <v>0</v>
      </c>
      <c r="R2283" s="137">
        <f>_xlfn.XLOOKUP(FME_Ranking1[[#This Row],[FME ID]],FME_Input[FME_ID],FME_Input[CRITFAC100])</f>
        <v>0</v>
      </c>
      <c r="S2283" s="230">
        <f>(FME_Ranking1[[#This Row],[Critical Facilities Raw]]/$R$2)*100</f>
        <v>0</v>
      </c>
      <c r="T2283" s="180">
        <f>FME_Ranking1[[#This Row],[Critical Facilities Score (Normalized, Unweighted)]]*$R$3</f>
        <v>0</v>
      </c>
      <c r="U2283">
        <f>_xlfn.XLOOKUP(FME_Ranking1[[#This Row],[FME ID]],FME_Input[FME_ID],FME_Input[LWC])</f>
        <v>0</v>
      </c>
      <c r="V2283" s="178">
        <f>(FME_Ranking1[[#This Row],[LWC Raw]]/$U$2)*100</f>
        <v>0</v>
      </c>
      <c r="W2283" s="178">
        <f>FME_Ranking1[[#This Row],[LWC Score (Normalized, Unweighted)]]*$U$3</f>
        <v>0</v>
      </c>
      <c r="X2283" s="246">
        <f>_xlfn.XLOOKUP(FME_Ranking1[[#This Row],[FME ID]],FME_Input[FME_ID],FME_Input[ROADCLS])</f>
        <v>0</v>
      </c>
      <c r="Y2283" s="230">
        <f>(FME_Ranking1[[#This Row],[Closures Raw]]/$X$2)*100</f>
        <v>0</v>
      </c>
      <c r="Z2283" s="180">
        <f>FME_Ranking1[[#This Row],[Closures Score (Normalized, Unweighted)]]*$X$3</f>
        <v>0</v>
      </c>
      <c r="AA2283" s="253">
        <f>_xlfn.XLOOKUP(FME_Ranking1[[#This Row],[FME ID]],FME_Input[FME_ID],FME_Input[ROAD_MILES100])</f>
        <v>0</v>
      </c>
      <c r="AB2283" s="178">
        <f>(FME_Ranking1[[#This Row],[Miles Raw]]/$AA$2)*100</f>
        <v>0</v>
      </c>
      <c r="AC2283" s="178">
        <f>FME_Ranking1[[#This Row],[Miles Score (Normalized, Unweighted)]]*$AA$3</f>
        <v>0</v>
      </c>
      <c r="AD2283" s="255">
        <f>_xlfn.XLOOKUP(FME_Ranking1[[#This Row],[FME ID]],FME_Input[FME_ID],FME_Input[FARMACRE100])</f>
        <v>0</v>
      </c>
      <c r="AE2283" s="230">
        <f>(FME_Ranking1[[#This Row],[Ag Land Raw]]/$AD$2)*100</f>
        <v>0</v>
      </c>
      <c r="AF2283" s="231">
        <f>FME_Ranking1[[#This Row],[Ag Land Score (Normalized, Unweighted)]]*$AD$3</f>
        <v>0</v>
      </c>
      <c r="AG228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83" s="406">
        <f t="shared" si="35"/>
        <v>2198</v>
      </c>
      <c r="AI228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83" s="257">
        <f>FME_Ranking1[[#This Row],[Addition check]]-FME_Ranking1[[#This Row],[Weighted Score Based on Normalized Reported Factors]]</f>
        <v>0</v>
      </c>
      <c r="AK2283" s="178">
        <f>_xlfn.RANK.EQ(AI2283,$AI$6:$AI$2341,0)+COUNTIF($AI$6:AI2283,AI2283)-1</f>
        <v>2288</v>
      </c>
    </row>
    <row r="2284" spans="1:37" x14ac:dyDescent="0.25">
      <c r="A2284" t="s">
        <v>8962</v>
      </c>
      <c r="B2284">
        <f>_xlfn.XLOOKUP(FME_Ranking1[[#This Row],[FME ID]],FME_Input[FME_ID],FME_Input[RFPG_NUM])</f>
        <v>11</v>
      </c>
      <c r="C2284" t="str">
        <f>_xlfn.XLOOKUP(FME_Ranking1[[#This Row],[FME ID]],FME_Input[FME_ID],FME_Input[FME_NAME])</f>
        <v>DeWitt County (City of Nordheim)  Flash Flood Mitigation Project Planning</v>
      </c>
      <c r="D2284" t="str">
        <f>_xlfn.XLOOKUP(FME_Ranking1[[#This Row],[FME ID]],FME_Input[FME_ID],FME_Input[DESCR])</f>
        <v xml:space="preserve">Project planning for proposed project to construct necessary barriers or berms to reduce impact of runoff from flash floods onto neighborhoods, streams, and impacting community water wells from proposed Pilot Knob landfill. </v>
      </c>
      <c r="E2284" s="256">
        <f>_xlfn.XLOOKUP(FME_Ranking1[[#This Row],[FME ID]],FME_Input[FME_ID],FME_Input[FME_COST])</f>
        <v>150000</v>
      </c>
      <c r="F2284" t="str">
        <f>_xlfn.XLOOKUP(FME_Ranking1[[#This Row],[FME ID]],FME_Input[FME_ID],FME_Input[EMER_NEED])</f>
        <v>No</v>
      </c>
      <c r="G2284">
        <f>IF(FME_Ranking!F2284="Yes",100,0)</f>
        <v>0</v>
      </c>
      <c r="H2284">
        <f>FME_Ranking1[[#This Row],[Emergency Need Score (Normalized, Unweighted)]]*$F$3</f>
        <v>0</v>
      </c>
      <c r="I2284" s="246">
        <f>_xlfn.XLOOKUP(FME_Ranking1[[#This Row],[FME ID]],FME_Input[FME_ID],FME_Input[STRUCT_100])</f>
        <v>0</v>
      </c>
      <c r="J2284" s="178">
        <f>(FME_Ranking1[[#This Row],[Structures 100 Raw]]/I$2)*100</f>
        <v>0</v>
      </c>
      <c r="K2284" s="178">
        <f>FME_Ranking1[[#This Row],[Structures 100  Score (Normalized, Unweighted)]]*$I$3</f>
        <v>0</v>
      </c>
      <c r="L2284" s="246">
        <f>_xlfn.XLOOKUP(FME_Ranking1[[#This Row],[FME ID]],FME_Input[FME_ID],FME_Input[RES_STRUCT100])</f>
        <v>0</v>
      </c>
      <c r="M2284" s="230">
        <f>(FME_Ranking1[[#This Row],[Res Structures Raw]]/L$2)*100</f>
        <v>0</v>
      </c>
      <c r="N2284" s="180">
        <f>FME_Ranking1[[#This Row],[Res Structures Score (Normalized, Unweighted)]]*$L$3</f>
        <v>0</v>
      </c>
      <c r="O2284" s="244">
        <f>_xlfn.XLOOKUP(FME_Ranking1[[#This Row],[FME ID]],FME_Input[FME_ID],FME_Input[POP100])</f>
        <v>0</v>
      </c>
      <c r="P2284" s="178">
        <f>(FME_Ranking1[[#This Row],[Pop Raw]]/$O$2)*100</f>
        <v>0</v>
      </c>
      <c r="Q2284" s="178">
        <f>FME_Ranking1[[#This Row],[Pop Score (Normalized, Unweighted)]]*$O$3</f>
        <v>0</v>
      </c>
      <c r="R2284" s="137">
        <f>_xlfn.XLOOKUP(FME_Ranking1[[#This Row],[FME ID]],FME_Input[FME_ID],FME_Input[CRITFAC100])</f>
        <v>0</v>
      </c>
      <c r="S2284" s="230">
        <f>(FME_Ranking1[[#This Row],[Critical Facilities Raw]]/$R$2)*100</f>
        <v>0</v>
      </c>
      <c r="T2284" s="180">
        <f>FME_Ranking1[[#This Row],[Critical Facilities Score (Normalized, Unweighted)]]*$R$3</f>
        <v>0</v>
      </c>
      <c r="U2284">
        <f>_xlfn.XLOOKUP(FME_Ranking1[[#This Row],[FME ID]],FME_Input[FME_ID],FME_Input[LWC])</f>
        <v>0</v>
      </c>
      <c r="V2284" s="178">
        <f>(FME_Ranking1[[#This Row],[LWC Raw]]/$U$2)*100</f>
        <v>0</v>
      </c>
      <c r="W2284" s="178">
        <f>FME_Ranking1[[#This Row],[LWC Score (Normalized, Unweighted)]]*$U$3</f>
        <v>0</v>
      </c>
      <c r="X2284" s="246">
        <f>_xlfn.XLOOKUP(FME_Ranking1[[#This Row],[FME ID]],FME_Input[FME_ID],FME_Input[ROADCLS])</f>
        <v>0</v>
      </c>
      <c r="Y2284" s="230">
        <f>(FME_Ranking1[[#This Row],[Closures Raw]]/$X$2)*100</f>
        <v>0</v>
      </c>
      <c r="Z2284" s="180">
        <f>FME_Ranking1[[#This Row],[Closures Score (Normalized, Unweighted)]]*$X$3</f>
        <v>0</v>
      </c>
      <c r="AA2284" s="253">
        <f>_xlfn.XLOOKUP(FME_Ranking1[[#This Row],[FME ID]],FME_Input[FME_ID],FME_Input[ROAD_MILES100])</f>
        <v>0</v>
      </c>
      <c r="AB2284" s="178">
        <f>(FME_Ranking1[[#This Row],[Miles Raw]]/$AA$2)*100</f>
        <v>0</v>
      </c>
      <c r="AC2284" s="178">
        <f>FME_Ranking1[[#This Row],[Miles Score (Normalized, Unweighted)]]*$AA$3</f>
        <v>0</v>
      </c>
      <c r="AD2284" s="255">
        <f>_xlfn.XLOOKUP(FME_Ranking1[[#This Row],[FME ID]],FME_Input[FME_ID],FME_Input[FARMACRE100])</f>
        <v>0</v>
      </c>
      <c r="AE2284" s="230">
        <f>(FME_Ranking1[[#This Row],[Ag Land Raw]]/$AD$2)*100</f>
        <v>0</v>
      </c>
      <c r="AF2284" s="231">
        <f>FME_Ranking1[[#This Row],[Ag Land Score (Normalized, Unweighted)]]*$AD$3</f>
        <v>0</v>
      </c>
      <c r="AG228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84" s="406">
        <f t="shared" si="35"/>
        <v>2198</v>
      </c>
      <c r="AI228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84" s="257">
        <f>FME_Ranking1[[#This Row],[Addition check]]-FME_Ranking1[[#This Row],[Weighted Score Based on Normalized Reported Factors]]</f>
        <v>0</v>
      </c>
      <c r="AK2284" s="178">
        <f>_xlfn.RANK.EQ(AI2284,$AI$6:$AI$2341,0)+COUNTIF($AI$6:AI2284,AI2284)-1</f>
        <v>2289</v>
      </c>
    </row>
    <row r="2285" spans="1:37" x14ac:dyDescent="0.25">
      <c r="A2285" t="s">
        <v>9047</v>
      </c>
      <c r="B2285">
        <f>_xlfn.XLOOKUP(FME_Ranking1[[#This Row],[FME ID]],FME_Input[FME_ID],FME_Input[RFPG_NUM])</f>
        <v>11</v>
      </c>
      <c r="C2285" t="str">
        <f>_xlfn.XLOOKUP(FME_Ranking1[[#This Row],[FME ID]],FME_Input[FME_ID],FME_Input[FME_NAME])</f>
        <v>Victoria County Drainage Improvements around County EOC Project Planning</v>
      </c>
      <c r="D2285" t="str">
        <f>_xlfn.XLOOKUP(FME_Ranking1[[#This Row],[FME ID]],FME_Input[FME_ID],FME_Input[DESCR])</f>
        <v>Project planning to improve drainage around County EOC and flood-proof facilities as necessary.</v>
      </c>
      <c r="E2285" s="256">
        <f>_xlfn.XLOOKUP(FME_Ranking1[[#This Row],[FME ID]],FME_Input[FME_ID],FME_Input[FME_COST])</f>
        <v>100000</v>
      </c>
      <c r="F2285" t="str">
        <f>_xlfn.XLOOKUP(FME_Ranking1[[#This Row],[FME ID]],FME_Input[FME_ID],FME_Input[EMER_NEED])</f>
        <v>No</v>
      </c>
      <c r="G2285">
        <f>IF(FME_Ranking!F2285="Yes",100,0)</f>
        <v>0</v>
      </c>
      <c r="H2285">
        <f>FME_Ranking1[[#This Row],[Emergency Need Score (Normalized, Unweighted)]]*$F$3</f>
        <v>0</v>
      </c>
      <c r="I2285" s="246">
        <f>_xlfn.XLOOKUP(FME_Ranking1[[#This Row],[FME ID]],FME_Input[FME_ID],FME_Input[STRUCT_100])</f>
        <v>0</v>
      </c>
      <c r="J2285" s="178">
        <f>(FME_Ranking1[[#This Row],[Structures 100 Raw]]/I$2)*100</f>
        <v>0</v>
      </c>
      <c r="K2285" s="178">
        <f>FME_Ranking1[[#This Row],[Structures 100  Score (Normalized, Unweighted)]]*$I$3</f>
        <v>0</v>
      </c>
      <c r="L2285" s="246">
        <f>_xlfn.XLOOKUP(FME_Ranking1[[#This Row],[FME ID]],FME_Input[FME_ID],FME_Input[RES_STRUCT100])</f>
        <v>0</v>
      </c>
      <c r="M2285" s="230">
        <f>(FME_Ranking1[[#This Row],[Res Structures Raw]]/L$2)*100</f>
        <v>0</v>
      </c>
      <c r="N2285" s="180">
        <f>FME_Ranking1[[#This Row],[Res Structures Score (Normalized, Unweighted)]]*$L$3</f>
        <v>0</v>
      </c>
      <c r="O2285" s="244">
        <f>_xlfn.XLOOKUP(FME_Ranking1[[#This Row],[FME ID]],FME_Input[FME_ID],FME_Input[POP100])</f>
        <v>0</v>
      </c>
      <c r="P2285" s="178">
        <f>(FME_Ranking1[[#This Row],[Pop Raw]]/$O$2)*100</f>
        <v>0</v>
      </c>
      <c r="Q2285" s="178">
        <f>FME_Ranking1[[#This Row],[Pop Score (Normalized, Unweighted)]]*$O$3</f>
        <v>0</v>
      </c>
      <c r="R2285" s="137">
        <f>_xlfn.XLOOKUP(FME_Ranking1[[#This Row],[FME ID]],FME_Input[FME_ID],FME_Input[CRITFAC100])</f>
        <v>0</v>
      </c>
      <c r="S2285" s="230">
        <f>(FME_Ranking1[[#This Row],[Critical Facilities Raw]]/$R$2)*100</f>
        <v>0</v>
      </c>
      <c r="T2285" s="180">
        <f>FME_Ranking1[[#This Row],[Critical Facilities Score (Normalized, Unweighted)]]*$R$3</f>
        <v>0</v>
      </c>
      <c r="U2285">
        <f>_xlfn.XLOOKUP(FME_Ranking1[[#This Row],[FME ID]],FME_Input[FME_ID],FME_Input[LWC])</f>
        <v>0</v>
      </c>
      <c r="V2285" s="178">
        <f>(FME_Ranking1[[#This Row],[LWC Raw]]/$U$2)*100</f>
        <v>0</v>
      </c>
      <c r="W2285" s="178">
        <f>FME_Ranking1[[#This Row],[LWC Score (Normalized, Unweighted)]]*$U$3</f>
        <v>0</v>
      </c>
      <c r="X2285" s="246">
        <f>_xlfn.XLOOKUP(FME_Ranking1[[#This Row],[FME ID]],FME_Input[FME_ID],FME_Input[ROADCLS])</f>
        <v>0</v>
      </c>
      <c r="Y2285" s="230">
        <f>(FME_Ranking1[[#This Row],[Closures Raw]]/$X$2)*100</f>
        <v>0</v>
      </c>
      <c r="Z2285" s="180">
        <f>FME_Ranking1[[#This Row],[Closures Score (Normalized, Unweighted)]]*$X$3</f>
        <v>0</v>
      </c>
      <c r="AA2285" s="253">
        <f>_xlfn.XLOOKUP(FME_Ranking1[[#This Row],[FME ID]],FME_Input[FME_ID],FME_Input[ROAD_MILES100])</f>
        <v>0</v>
      </c>
      <c r="AB2285" s="178">
        <f>(FME_Ranking1[[#This Row],[Miles Raw]]/$AA$2)*100</f>
        <v>0</v>
      </c>
      <c r="AC2285" s="178">
        <f>FME_Ranking1[[#This Row],[Miles Score (Normalized, Unweighted)]]*$AA$3</f>
        <v>0</v>
      </c>
      <c r="AD2285" s="255">
        <f>_xlfn.XLOOKUP(FME_Ranking1[[#This Row],[FME ID]],FME_Input[FME_ID],FME_Input[FARMACRE100])</f>
        <v>0</v>
      </c>
      <c r="AE2285" s="230">
        <f>(FME_Ranking1[[#This Row],[Ag Land Raw]]/$AD$2)*100</f>
        <v>0</v>
      </c>
      <c r="AF2285" s="231">
        <f>FME_Ranking1[[#This Row],[Ag Land Score (Normalized, Unweighted)]]*$AD$3</f>
        <v>0</v>
      </c>
      <c r="AG228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85" s="406">
        <f t="shared" si="35"/>
        <v>2198</v>
      </c>
      <c r="AI228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85" s="257">
        <f>FME_Ranking1[[#This Row],[Addition check]]-FME_Ranking1[[#This Row],[Weighted Score Based on Normalized Reported Factors]]</f>
        <v>0</v>
      </c>
      <c r="AK2285" s="178">
        <f>_xlfn.RANK.EQ(AI2285,$AI$6:$AI$2341,0)+COUNTIF($AI$6:AI2285,AI2285)-1</f>
        <v>2290</v>
      </c>
    </row>
    <row r="2286" spans="1:37" x14ac:dyDescent="0.25">
      <c r="A2286" t="s">
        <v>9115</v>
      </c>
      <c r="B2286">
        <f>_xlfn.XLOOKUP(FME_Ranking1[[#This Row],[FME ID]],FME_Input[FME_ID],FME_Input[RFPG_NUM])</f>
        <v>11</v>
      </c>
      <c r="C2286" t="str">
        <f>_xlfn.XLOOKUP(FME_Ranking1[[#This Row],[FME ID]],FME_Input[FME_ID],FME_Input[FME_NAME])</f>
        <v>City of Kerrville Spring Street Project</v>
      </c>
      <c r="D2286" t="str">
        <f>_xlfn.XLOOKUP(FME_Ranking1[[#This Row],[FME ID]],FME_Input[FME_ID],FME_Input[DESCR])</f>
        <v>Develop required technical data for FMP. Project planning for storm drain and channel improvement project.</v>
      </c>
      <c r="E2286" s="256">
        <f>_xlfn.XLOOKUP(FME_Ranking1[[#This Row],[FME ID]],FME_Input[FME_ID],FME_Input[FME_COST])</f>
        <v>15000</v>
      </c>
      <c r="F2286" t="str">
        <f>_xlfn.XLOOKUP(FME_Ranking1[[#This Row],[FME ID]],FME_Input[FME_ID],FME_Input[EMER_NEED])</f>
        <v>No</v>
      </c>
      <c r="G2286">
        <f>IF(FME_Ranking!F2286="Yes",100,0)</f>
        <v>0</v>
      </c>
      <c r="H2286">
        <f>FME_Ranking1[[#This Row],[Emergency Need Score (Normalized, Unweighted)]]*$F$3</f>
        <v>0</v>
      </c>
      <c r="I2286" s="246">
        <f>_xlfn.XLOOKUP(FME_Ranking1[[#This Row],[FME ID]],FME_Input[FME_ID],FME_Input[STRUCT_100])</f>
        <v>0</v>
      </c>
      <c r="J2286" s="178">
        <f>(FME_Ranking1[[#This Row],[Structures 100 Raw]]/I$2)*100</f>
        <v>0</v>
      </c>
      <c r="K2286" s="178">
        <f>FME_Ranking1[[#This Row],[Structures 100  Score (Normalized, Unweighted)]]*$I$3</f>
        <v>0</v>
      </c>
      <c r="L2286" s="246">
        <f>_xlfn.XLOOKUP(FME_Ranking1[[#This Row],[FME ID]],FME_Input[FME_ID],FME_Input[RES_STRUCT100])</f>
        <v>0</v>
      </c>
      <c r="M2286" s="230">
        <f>(FME_Ranking1[[#This Row],[Res Structures Raw]]/L$2)*100</f>
        <v>0</v>
      </c>
      <c r="N2286" s="180">
        <f>FME_Ranking1[[#This Row],[Res Structures Score (Normalized, Unweighted)]]*$L$3</f>
        <v>0</v>
      </c>
      <c r="O2286" s="244">
        <f>_xlfn.XLOOKUP(FME_Ranking1[[#This Row],[FME ID]],FME_Input[FME_ID],FME_Input[POP100])</f>
        <v>0</v>
      </c>
      <c r="P2286" s="178">
        <f>(FME_Ranking1[[#This Row],[Pop Raw]]/$O$2)*100</f>
        <v>0</v>
      </c>
      <c r="Q2286" s="178">
        <f>FME_Ranking1[[#This Row],[Pop Score (Normalized, Unweighted)]]*$O$3</f>
        <v>0</v>
      </c>
      <c r="R2286" s="137">
        <f>_xlfn.XLOOKUP(FME_Ranking1[[#This Row],[FME ID]],FME_Input[FME_ID],FME_Input[CRITFAC100])</f>
        <v>0</v>
      </c>
      <c r="S2286" s="230">
        <f>(FME_Ranking1[[#This Row],[Critical Facilities Raw]]/$R$2)*100</f>
        <v>0</v>
      </c>
      <c r="T2286" s="180">
        <f>FME_Ranking1[[#This Row],[Critical Facilities Score (Normalized, Unweighted)]]*$R$3</f>
        <v>0</v>
      </c>
      <c r="U2286">
        <f>_xlfn.XLOOKUP(FME_Ranking1[[#This Row],[FME ID]],FME_Input[FME_ID],FME_Input[LWC])</f>
        <v>0</v>
      </c>
      <c r="V2286" s="178">
        <f>(FME_Ranking1[[#This Row],[LWC Raw]]/$U$2)*100</f>
        <v>0</v>
      </c>
      <c r="W2286" s="178">
        <f>FME_Ranking1[[#This Row],[LWC Score (Normalized, Unweighted)]]*$U$3</f>
        <v>0</v>
      </c>
      <c r="X2286" s="246">
        <f>_xlfn.XLOOKUP(FME_Ranking1[[#This Row],[FME ID]],FME_Input[FME_ID],FME_Input[ROADCLS])</f>
        <v>0</v>
      </c>
      <c r="Y2286" s="230">
        <f>(FME_Ranking1[[#This Row],[Closures Raw]]/$X$2)*100</f>
        <v>0</v>
      </c>
      <c r="Z2286" s="180">
        <f>FME_Ranking1[[#This Row],[Closures Score (Normalized, Unweighted)]]*$X$3</f>
        <v>0</v>
      </c>
      <c r="AA2286" s="253">
        <f>_xlfn.XLOOKUP(FME_Ranking1[[#This Row],[FME ID]],FME_Input[FME_ID],FME_Input[ROAD_MILES100])</f>
        <v>1.799933984875679E-2</v>
      </c>
      <c r="AB2286" s="178">
        <f>(FME_Ranking1[[#This Row],[Miles Raw]]/$AA$2)*100</f>
        <v>2.3665903567955784E-4</v>
      </c>
      <c r="AC2286" s="178">
        <f>FME_Ranking1[[#This Row],[Miles Score (Normalized, Unweighted)]]*$AA$3</f>
        <v>2.3665903567955786E-5</v>
      </c>
      <c r="AD2286" s="255">
        <f>_xlfn.XLOOKUP(FME_Ranking1[[#This Row],[FME ID]],FME_Input[FME_ID],FME_Input[FARMACRE100])</f>
        <v>0</v>
      </c>
      <c r="AE2286" s="230">
        <f>(FME_Ranking1[[#This Row],[Ag Land Raw]]/$AD$2)*100</f>
        <v>0</v>
      </c>
      <c r="AF2286" s="231">
        <f>FME_Ranking1[[#This Row],[Ag Land Score (Normalized, Unweighted)]]*$AD$3</f>
        <v>0</v>
      </c>
      <c r="AG228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2.3665903567955786E-5</v>
      </c>
      <c r="AH2286" s="406">
        <f t="shared" si="35"/>
        <v>2158</v>
      </c>
      <c r="AI228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2.3665903567955786E-5</v>
      </c>
      <c r="AJ2286" s="257">
        <f>FME_Ranking1[[#This Row],[Addition check]]-FME_Ranking1[[#This Row],[Weighted Score Based on Normalized Reported Factors]]</f>
        <v>0</v>
      </c>
      <c r="AK2286" s="178">
        <f>_xlfn.RANK.EQ(AI2286,$AI$6:$AI$2341,0)+COUNTIF($AI$6:AI2286,AI2286)-1</f>
        <v>2158</v>
      </c>
    </row>
    <row r="2287" spans="1:37" x14ac:dyDescent="0.25">
      <c r="A2287" t="s">
        <v>9119</v>
      </c>
      <c r="B2287">
        <f>_xlfn.XLOOKUP(FME_Ranking1[[#This Row],[FME ID]],FME_Input[FME_ID],FME_Input[RFPG_NUM])</f>
        <v>11</v>
      </c>
      <c r="C2287" t="str">
        <f>_xlfn.XLOOKUP(FME_Ranking1[[#This Row],[FME ID]],FME_Input[FME_ID],FME_Input[FME_NAME])</f>
        <v>City of Kerrville Clay Street Drainage and Kroc Center Detention Pond Spillway Improvements</v>
      </c>
      <c r="D2287" t="str">
        <f>_xlfn.XLOOKUP(FME_Ranking1[[#This Row],[FME ID]],FME_Input[FME_ID],FME_Input[DESCR])</f>
        <v>Develop required technical data for FMP. Project planning for detention pond spillway improvement project.</v>
      </c>
      <c r="E2287" s="256">
        <f>_xlfn.XLOOKUP(FME_Ranking1[[#This Row],[FME ID]],FME_Input[FME_ID],FME_Input[FME_COST])</f>
        <v>15000</v>
      </c>
      <c r="F2287" t="str">
        <f>_xlfn.XLOOKUP(FME_Ranking1[[#This Row],[FME ID]],FME_Input[FME_ID],FME_Input[EMER_NEED])</f>
        <v>No</v>
      </c>
      <c r="G2287">
        <f>IF(FME_Ranking!F2287="Yes",100,0)</f>
        <v>0</v>
      </c>
      <c r="H2287">
        <f>FME_Ranking1[[#This Row],[Emergency Need Score (Normalized, Unweighted)]]*$F$3</f>
        <v>0</v>
      </c>
      <c r="I2287" s="246">
        <f>_xlfn.XLOOKUP(FME_Ranking1[[#This Row],[FME ID]],FME_Input[FME_ID],FME_Input[STRUCT_100])</f>
        <v>0</v>
      </c>
      <c r="J2287" s="178">
        <f>(FME_Ranking1[[#This Row],[Structures 100 Raw]]/I$2)*100</f>
        <v>0</v>
      </c>
      <c r="K2287" s="178">
        <f>FME_Ranking1[[#This Row],[Structures 100  Score (Normalized, Unweighted)]]*$I$3</f>
        <v>0</v>
      </c>
      <c r="L2287" s="246">
        <f>_xlfn.XLOOKUP(FME_Ranking1[[#This Row],[FME ID]],FME_Input[FME_ID],FME_Input[RES_STRUCT100])</f>
        <v>0</v>
      </c>
      <c r="M2287" s="230">
        <f>(FME_Ranking1[[#This Row],[Res Structures Raw]]/L$2)*100</f>
        <v>0</v>
      </c>
      <c r="N2287" s="180">
        <f>FME_Ranking1[[#This Row],[Res Structures Score (Normalized, Unweighted)]]*$L$3</f>
        <v>0</v>
      </c>
      <c r="O2287" s="244">
        <f>_xlfn.XLOOKUP(FME_Ranking1[[#This Row],[FME ID]],FME_Input[FME_ID],FME_Input[POP100])</f>
        <v>0</v>
      </c>
      <c r="P2287" s="178">
        <f>(FME_Ranking1[[#This Row],[Pop Raw]]/$O$2)*100</f>
        <v>0</v>
      </c>
      <c r="Q2287" s="178">
        <f>FME_Ranking1[[#This Row],[Pop Score (Normalized, Unweighted)]]*$O$3</f>
        <v>0</v>
      </c>
      <c r="R2287" s="137">
        <f>_xlfn.XLOOKUP(FME_Ranking1[[#This Row],[FME ID]],FME_Input[FME_ID],FME_Input[CRITFAC100])</f>
        <v>0</v>
      </c>
      <c r="S2287" s="230">
        <f>(FME_Ranking1[[#This Row],[Critical Facilities Raw]]/$R$2)*100</f>
        <v>0</v>
      </c>
      <c r="T2287" s="180">
        <f>FME_Ranking1[[#This Row],[Critical Facilities Score (Normalized, Unweighted)]]*$R$3</f>
        <v>0</v>
      </c>
      <c r="U2287">
        <f>_xlfn.XLOOKUP(FME_Ranking1[[#This Row],[FME ID]],FME_Input[FME_ID],FME_Input[LWC])</f>
        <v>0</v>
      </c>
      <c r="V2287" s="178">
        <f>(FME_Ranking1[[#This Row],[LWC Raw]]/$U$2)*100</f>
        <v>0</v>
      </c>
      <c r="W2287" s="178">
        <f>FME_Ranking1[[#This Row],[LWC Score (Normalized, Unweighted)]]*$U$3</f>
        <v>0</v>
      </c>
      <c r="X2287" s="246">
        <f>_xlfn.XLOOKUP(FME_Ranking1[[#This Row],[FME ID]],FME_Input[FME_ID],FME_Input[ROADCLS])</f>
        <v>0</v>
      </c>
      <c r="Y2287" s="230">
        <f>(FME_Ranking1[[#This Row],[Closures Raw]]/$X$2)*100</f>
        <v>0</v>
      </c>
      <c r="Z2287" s="180">
        <f>FME_Ranking1[[#This Row],[Closures Score (Normalized, Unweighted)]]*$X$3</f>
        <v>0</v>
      </c>
      <c r="AA2287" s="253">
        <f>_xlfn.XLOOKUP(FME_Ranking1[[#This Row],[FME ID]],FME_Input[FME_ID],FME_Input[ROAD_MILES100])</f>
        <v>0</v>
      </c>
      <c r="AB2287" s="178">
        <f>(FME_Ranking1[[#This Row],[Miles Raw]]/$AA$2)*100</f>
        <v>0</v>
      </c>
      <c r="AC2287" s="178">
        <f>FME_Ranking1[[#This Row],[Miles Score (Normalized, Unweighted)]]*$AA$3</f>
        <v>0</v>
      </c>
      <c r="AD2287" s="255">
        <f>_xlfn.XLOOKUP(FME_Ranking1[[#This Row],[FME ID]],FME_Input[FME_ID],FME_Input[FARMACRE100])</f>
        <v>0</v>
      </c>
      <c r="AE2287" s="230">
        <f>(FME_Ranking1[[#This Row],[Ag Land Raw]]/$AD$2)*100</f>
        <v>0</v>
      </c>
      <c r="AF2287" s="231">
        <f>FME_Ranking1[[#This Row],[Ag Land Score (Normalized, Unweighted)]]*$AD$3</f>
        <v>0</v>
      </c>
      <c r="AG228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87" s="406">
        <f t="shared" si="35"/>
        <v>2198</v>
      </c>
      <c r="AI228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87" s="257">
        <f>FME_Ranking1[[#This Row],[Addition check]]-FME_Ranking1[[#This Row],[Weighted Score Based on Normalized Reported Factors]]</f>
        <v>0</v>
      </c>
      <c r="AK2287" s="178">
        <f>_xlfn.RANK.EQ(AI2287,$AI$6:$AI$2341,0)+COUNTIF($AI$6:AI2287,AI2287)-1</f>
        <v>2291</v>
      </c>
    </row>
    <row r="2288" spans="1:37" x14ac:dyDescent="0.25">
      <c r="A2288" t="s">
        <v>9149</v>
      </c>
      <c r="B2288">
        <f>_xlfn.XLOOKUP(FME_Ranking1[[#This Row],[FME ID]],FME_Input[FME_ID],FME_Input[RFPG_NUM])</f>
        <v>12</v>
      </c>
      <c r="C2288" t="str">
        <f>_xlfn.XLOOKUP(FME_Ranking1[[#This Row],[FME ID]],FME_Input[FME_ID],FME_Input[FME_NAME])</f>
        <v>7820 Rolling Acres Trail</v>
      </c>
      <c r="D2288" t="str">
        <f>_xlfn.XLOOKUP(FME_Ranking1[[#This Row],[FME ID]],FME_Input[FME_ID],FME_Input[DESCR])</f>
        <v>Low water crossing. Road closure gate is deployed at this crossing during large storm events.</v>
      </c>
      <c r="E2288" s="256">
        <f>_xlfn.XLOOKUP(FME_Ranking1[[#This Row],[FME ID]],FME_Input[FME_ID],FME_Input[FME_COST])</f>
        <v>804293</v>
      </c>
      <c r="F2288" t="str">
        <f>_xlfn.XLOOKUP(FME_Ranking1[[#This Row],[FME ID]],FME_Input[FME_ID],FME_Input[EMER_NEED])</f>
        <v>No</v>
      </c>
      <c r="G2288">
        <f>IF(FME_Ranking!F2288="Yes",100,0)</f>
        <v>0</v>
      </c>
      <c r="H2288">
        <f>FME_Ranking1[[#This Row],[Emergency Need Score (Normalized, Unweighted)]]*$F$3</f>
        <v>0</v>
      </c>
      <c r="I2288" s="246">
        <f>_xlfn.XLOOKUP(FME_Ranking1[[#This Row],[FME ID]],FME_Input[FME_ID],FME_Input[STRUCT_100])</f>
        <v>0</v>
      </c>
      <c r="J2288" s="178">
        <f>(FME_Ranking1[[#This Row],[Structures 100 Raw]]/I$2)*100</f>
        <v>0</v>
      </c>
      <c r="K2288" s="178">
        <f>FME_Ranking1[[#This Row],[Structures 100  Score (Normalized, Unweighted)]]*$I$3</f>
        <v>0</v>
      </c>
      <c r="L2288" s="246">
        <f>_xlfn.XLOOKUP(FME_Ranking1[[#This Row],[FME ID]],FME_Input[FME_ID],FME_Input[RES_STRUCT100])</f>
        <v>0</v>
      </c>
      <c r="M2288" s="230">
        <f>(FME_Ranking1[[#This Row],[Res Structures Raw]]/L$2)*100</f>
        <v>0</v>
      </c>
      <c r="N2288" s="180">
        <f>FME_Ranking1[[#This Row],[Res Structures Score (Normalized, Unweighted)]]*$L$3</f>
        <v>0</v>
      </c>
      <c r="O2288" s="244">
        <f>_xlfn.XLOOKUP(FME_Ranking1[[#This Row],[FME ID]],FME_Input[FME_ID],FME_Input[POP100])</f>
        <v>0</v>
      </c>
      <c r="P2288" s="178">
        <f>(FME_Ranking1[[#This Row],[Pop Raw]]/$O$2)*100</f>
        <v>0</v>
      </c>
      <c r="Q2288" s="178">
        <f>FME_Ranking1[[#This Row],[Pop Score (Normalized, Unweighted)]]*$O$3</f>
        <v>0</v>
      </c>
      <c r="R2288" s="137">
        <f>_xlfn.XLOOKUP(FME_Ranking1[[#This Row],[FME ID]],FME_Input[FME_ID],FME_Input[CRITFAC100])</f>
        <v>0</v>
      </c>
      <c r="S2288" s="230">
        <f>(FME_Ranking1[[#This Row],[Critical Facilities Raw]]/$R$2)*100</f>
        <v>0</v>
      </c>
      <c r="T2288" s="180">
        <f>FME_Ranking1[[#This Row],[Critical Facilities Score (Normalized, Unweighted)]]*$R$3</f>
        <v>0</v>
      </c>
      <c r="U2288">
        <f>_xlfn.XLOOKUP(FME_Ranking1[[#This Row],[FME ID]],FME_Input[FME_ID],FME_Input[LWC])</f>
        <v>0</v>
      </c>
      <c r="V2288" s="178">
        <f>(FME_Ranking1[[#This Row],[LWC Raw]]/$U$2)*100</f>
        <v>0</v>
      </c>
      <c r="W2288" s="178">
        <f>FME_Ranking1[[#This Row],[LWC Score (Normalized, Unweighted)]]*$U$3</f>
        <v>0</v>
      </c>
      <c r="X2288" s="246">
        <f>_xlfn.XLOOKUP(FME_Ranking1[[#This Row],[FME ID]],FME_Input[FME_ID],FME_Input[ROADCLS])</f>
        <v>0</v>
      </c>
      <c r="Y2288" s="230">
        <f>(FME_Ranking1[[#This Row],[Closures Raw]]/$X$2)*100</f>
        <v>0</v>
      </c>
      <c r="Z2288" s="180">
        <f>FME_Ranking1[[#This Row],[Closures Score (Normalized, Unweighted)]]*$X$3</f>
        <v>0</v>
      </c>
      <c r="AA2288" s="253">
        <f>_xlfn.XLOOKUP(FME_Ranking1[[#This Row],[FME ID]],FME_Input[FME_ID],FME_Input[ROAD_MILES100])</f>
        <v>0</v>
      </c>
      <c r="AB2288" s="178">
        <f>(FME_Ranking1[[#This Row],[Miles Raw]]/$AA$2)*100</f>
        <v>0</v>
      </c>
      <c r="AC2288" s="178">
        <f>FME_Ranking1[[#This Row],[Miles Score (Normalized, Unweighted)]]*$AA$3</f>
        <v>0</v>
      </c>
      <c r="AD2288" s="255">
        <f>_xlfn.XLOOKUP(FME_Ranking1[[#This Row],[FME ID]],FME_Input[FME_ID],FME_Input[FARMACRE100])</f>
        <v>0</v>
      </c>
      <c r="AE2288" s="230">
        <f>(FME_Ranking1[[#This Row],[Ag Land Raw]]/$AD$2)*100</f>
        <v>0</v>
      </c>
      <c r="AF2288" s="231">
        <f>FME_Ranking1[[#This Row],[Ag Land Score (Normalized, Unweighted)]]*$AD$3</f>
        <v>0</v>
      </c>
      <c r="AG228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88" s="406">
        <f t="shared" si="35"/>
        <v>2198</v>
      </c>
      <c r="AI228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88" s="257">
        <f>FME_Ranking1[[#This Row],[Addition check]]-FME_Ranking1[[#This Row],[Weighted Score Based on Normalized Reported Factors]]</f>
        <v>0</v>
      </c>
      <c r="AK2288" s="178">
        <f>_xlfn.RANK.EQ(AI2288,$AI$6:$AI$2341,0)+COUNTIF($AI$6:AI2288,AI2288)-1</f>
        <v>2292</v>
      </c>
    </row>
    <row r="2289" spans="1:37" x14ac:dyDescent="0.25">
      <c r="A2289" t="s">
        <v>9160</v>
      </c>
      <c r="B2289">
        <f>_xlfn.XLOOKUP(FME_Ranking1[[#This Row],[FME ID]],FME_Input[FME_ID],FME_Input[RFPG_NUM])</f>
        <v>12</v>
      </c>
      <c r="C2289" t="str">
        <f>_xlfn.XLOOKUP(FME_Ranking1[[#This Row],[FME ID]],FME_Input[FME_ID],FME_Input[FME_NAME])</f>
        <v>7900 Fair Oaks Parkway</v>
      </c>
      <c r="D2289" t="str">
        <f>_xlfn.XLOOKUP(FME_Ranking1[[#This Row],[FME ID]],FME_Input[FME_ID],FME_Input[DESCR])</f>
        <v>Analysis needed to confirm no adverse impacts on the solution that was implemented.</v>
      </c>
      <c r="E2289" s="256">
        <f>_xlfn.XLOOKUP(FME_Ranking1[[#This Row],[FME ID]],FME_Input[FME_ID],FME_Input[FME_COST])</f>
        <v>60282</v>
      </c>
      <c r="F2289" t="str">
        <f>_xlfn.XLOOKUP(FME_Ranking1[[#This Row],[FME ID]],FME_Input[FME_ID],FME_Input[EMER_NEED])</f>
        <v>No</v>
      </c>
      <c r="G2289">
        <f>IF(FME_Ranking!F2289="Yes",100,0)</f>
        <v>0</v>
      </c>
      <c r="H2289">
        <f>FME_Ranking1[[#This Row],[Emergency Need Score (Normalized, Unweighted)]]*$F$3</f>
        <v>0</v>
      </c>
      <c r="I2289" s="246">
        <f>_xlfn.XLOOKUP(FME_Ranking1[[#This Row],[FME ID]],FME_Input[FME_ID],FME_Input[STRUCT_100])</f>
        <v>0</v>
      </c>
      <c r="J2289" s="178">
        <f>(FME_Ranking1[[#This Row],[Structures 100 Raw]]/I$2)*100</f>
        <v>0</v>
      </c>
      <c r="K2289" s="178">
        <f>FME_Ranking1[[#This Row],[Structures 100  Score (Normalized, Unweighted)]]*$I$3</f>
        <v>0</v>
      </c>
      <c r="L2289" s="246">
        <f>_xlfn.XLOOKUP(FME_Ranking1[[#This Row],[FME ID]],FME_Input[FME_ID],FME_Input[RES_STRUCT100])</f>
        <v>0</v>
      </c>
      <c r="M2289" s="230">
        <f>(FME_Ranking1[[#This Row],[Res Structures Raw]]/L$2)*100</f>
        <v>0</v>
      </c>
      <c r="N2289" s="180">
        <f>FME_Ranking1[[#This Row],[Res Structures Score (Normalized, Unweighted)]]*$L$3</f>
        <v>0</v>
      </c>
      <c r="O2289" s="244">
        <f>_xlfn.XLOOKUP(FME_Ranking1[[#This Row],[FME ID]],FME_Input[FME_ID],FME_Input[POP100])</f>
        <v>0</v>
      </c>
      <c r="P2289" s="178">
        <f>(FME_Ranking1[[#This Row],[Pop Raw]]/$O$2)*100</f>
        <v>0</v>
      </c>
      <c r="Q2289" s="178">
        <f>FME_Ranking1[[#This Row],[Pop Score (Normalized, Unweighted)]]*$O$3</f>
        <v>0</v>
      </c>
      <c r="R2289" s="137">
        <f>_xlfn.XLOOKUP(FME_Ranking1[[#This Row],[FME ID]],FME_Input[FME_ID],FME_Input[CRITFAC100])</f>
        <v>0</v>
      </c>
      <c r="S2289" s="230">
        <f>(FME_Ranking1[[#This Row],[Critical Facilities Raw]]/$R$2)*100</f>
        <v>0</v>
      </c>
      <c r="T2289" s="180">
        <f>FME_Ranking1[[#This Row],[Critical Facilities Score (Normalized, Unweighted)]]*$R$3</f>
        <v>0</v>
      </c>
      <c r="U2289">
        <f>_xlfn.XLOOKUP(FME_Ranking1[[#This Row],[FME ID]],FME_Input[FME_ID],FME_Input[LWC])</f>
        <v>0</v>
      </c>
      <c r="V2289" s="178">
        <f>(FME_Ranking1[[#This Row],[LWC Raw]]/$U$2)*100</f>
        <v>0</v>
      </c>
      <c r="W2289" s="178">
        <f>FME_Ranking1[[#This Row],[LWC Score (Normalized, Unweighted)]]*$U$3</f>
        <v>0</v>
      </c>
      <c r="X2289" s="246">
        <f>_xlfn.XLOOKUP(FME_Ranking1[[#This Row],[FME ID]],FME_Input[FME_ID],FME_Input[ROADCLS])</f>
        <v>0</v>
      </c>
      <c r="Y2289" s="230">
        <f>(FME_Ranking1[[#This Row],[Closures Raw]]/$X$2)*100</f>
        <v>0</v>
      </c>
      <c r="Z2289" s="180">
        <f>FME_Ranking1[[#This Row],[Closures Score (Normalized, Unweighted)]]*$X$3</f>
        <v>0</v>
      </c>
      <c r="AA2289" s="253">
        <f>_xlfn.XLOOKUP(FME_Ranking1[[#This Row],[FME ID]],FME_Input[FME_ID],FME_Input[ROAD_MILES100])</f>
        <v>0</v>
      </c>
      <c r="AB2289" s="178">
        <f>(FME_Ranking1[[#This Row],[Miles Raw]]/$AA$2)*100</f>
        <v>0</v>
      </c>
      <c r="AC2289" s="178">
        <f>FME_Ranking1[[#This Row],[Miles Score (Normalized, Unweighted)]]*$AA$3</f>
        <v>0</v>
      </c>
      <c r="AD2289" s="255">
        <f>_xlfn.XLOOKUP(FME_Ranking1[[#This Row],[FME ID]],FME_Input[FME_ID],FME_Input[FARMACRE100])</f>
        <v>0</v>
      </c>
      <c r="AE2289" s="230">
        <f>(FME_Ranking1[[#This Row],[Ag Land Raw]]/$AD$2)*100</f>
        <v>0</v>
      </c>
      <c r="AF2289" s="231">
        <f>FME_Ranking1[[#This Row],[Ag Land Score (Normalized, Unweighted)]]*$AD$3</f>
        <v>0</v>
      </c>
      <c r="AG228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89" s="406">
        <f t="shared" si="35"/>
        <v>2198</v>
      </c>
      <c r="AI228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89" s="257">
        <f>FME_Ranking1[[#This Row],[Addition check]]-FME_Ranking1[[#This Row],[Weighted Score Based on Normalized Reported Factors]]</f>
        <v>0</v>
      </c>
      <c r="AK2289" s="178">
        <f>_xlfn.RANK.EQ(AI2289,$AI$6:$AI$2341,0)+COUNTIF($AI$6:AI2289,AI2289)-1</f>
        <v>2293</v>
      </c>
    </row>
    <row r="2290" spans="1:37" x14ac:dyDescent="0.25">
      <c r="A2290" t="s">
        <v>9166</v>
      </c>
      <c r="B2290">
        <f>_xlfn.XLOOKUP(FME_Ranking1[[#This Row],[FME ID]],FME_Input[FME_ID],FME_Input[RFPG_NUM])</f>
        <v>12</v>
      </c>
      <c r="C2290" t="str">
        <f>_xlfn.XLOOKUP(FME_Ranking1[[#This Row],[FME ID]],FME_Input[FME_ID],FME_Input[FME_NAME])</f>
        <v>Ammann Road Low Water Crossing</v>
      </c>
      <c r="D2290" t="str">
        <f>_xlfn.XLOOKUP(FME_Ranking1[[#This Row],[FME ID]],FME_Input[FME_ID],FME_Input[DESCR])</f>
        <v>Low water crossing runs over the street due to insufficient culverts that pass under Ammann Road. Replacing the current road with an elevated concrete bridge above the flood stage.</v>
      </c>
      <c r="E2290" s="256">
        <f>_xlfn.XLOOKUP(FME_Ranking1[[#This Row],[FME ID]],FME_Input[FME_ID],FME_Input[FME_COST])</f>
        <v>1256001</v>
      </c>
      <c r="F2290" t="str">
        <f>_xlfn.XLOOKUP(FME_Ranking1[[#This Row],[FME ID]],FME_Input[FME_ID],FME_Input[EMER_NEED])</f>
        <v>No</v>
      </c>
      <c r="G2290">
        <f>IF(FME_Ranking!F2290="Yes",100,0)</f>
        <v>0</v>
      </c>
      <c r="H2290">
        <f>FME_Ranking1[[#This Row],[Emergency Need Score (Normalized, Unweighted)]]*$F$3</f>
        <v>0</v>
      </c>
      <c r="I2290" s="246">
        <f>_xlfn.XLOOKUP(FME_Ranking1[[#This Row],[FME ID]],FME_Input[FME_ID],FME_Input[STRUCT_100])</f>
        <v>0</v>
      </c>
      <c r="J2290" s="178">
        <f>(FME_Ranking1[[#This Row],[Structures 100 Raw]]/I$2)*100</f>
        <v>0</v>
      </c>
      <c r="K2290" s="178">
        <f>FME_Ranking1[[#This Row],[Structures 100  Score (Normalized, Unweighted)]]*$I$3</f>
        <v>0</v>
      </c>
      <c r="L2290" s="246">
        <f>_xlfn.XLOOKUP(FME_Ranking1[[#This Row],[FME ID]],FME_Input[FME_ID],FME_Input[RES_STRUCT100])</f>
        <v>0</v>
      </c>
      <c r="M2290" s="230">
        <f>(FME_Ranking1[[#This Row],[Res Structures Raw]]/L$2)*100</f>
        <v>0</v>
      </c>
      <c r="N2290" s="180">
        <f>FME_Ranking1[[#This Row],[Res Structures Score (Normalized, Unweighted)]]*$L$3</f>
        <v>0</v>
      </c>
      <c r="O2290" s="244">
        <f>_xlfn.XLOOKUP(FME_Ranking1[[#This Row],[FME ID]],FME_Input[FME_ID],FME_Input[POP100])</f>
        <v>0</v>
      </c>
      <c r="P2290" s="178">
        <f>(FME_Ranking1[[#This Row],[Pop Raw]]/$O$2)*100</f>
        <v>0</v>
      </c>
      <c r="Q2290" s="178">
        <f>FME_Ranking1[[#This Row],[Pop Score (Normalized, Unweighted)]]*$O$3</f>
        <v>0</v>
      </c>
      <c r="R2290" s="137">
        <f>_xlfn.XLOOKUP(FME_Ranking1[[#This Row],[FME ID]],FME_Input[FME_ID],FME_Input[CRITFAC100])</f>
        <v>0</v>
      </c>
      <c r="S2290" s="230">
        <f>(FME_Ranking1[[#This Row],[Critical Facilities Raw]]/$R$2)*100</f>
        <v>0</v>
      </c>
      <c r="T2290" s="180">
        <f>FME_Ranking1[[#This Row],[Critical Facilities Score (Normalized, Unweighted)]]*$R$3</f>
        <v>0</v>
      </c>
      <c r="U2290">
        <f>_xlfn.XLOOKUP(FME_Ranking1[[#This Row],[FME ID]],FME_Input[FME_ID],FME_Input[LWC])</f>
        <v>0</v>
      </c>
      <c r="V2290" s="178">
        <f>(FME_Ranking1[[#This Row],[LWC Raw]]/$U$2)*100</f>
        <v>0</v>
      </c>
      <c r="W2290" s="178">
        <f>FME_Ranking1[[#This Row],[LWC Score (Normalized, Unweighted)]]*$U$3</f>
        <v>0</v>
      </c>
      <c r="X2290" s="246">
        <f>_xlfn.XLOOKUP(FME_Ranking1[[#This Row],[FME ID]],FME_Input[FME_ID],FME_Input[ROADCLS])</f>
        <v>0</v>
      </c>
      <c r="Y2290" s="230">
        <f>(FME_Ranking1[[#This Row],[Closures Raw]]/$X$2)*100</f>
        <v>0</v>
      </c>
      <c r="Z2290" s="180">
        <f>FME_Ranking1[[#This Row],[Closures Score (Normalized, Unweighted)]]*$X$3</f>
        <v>0</v>
      </c>
      <c r="AA2290" s="253">
        <f>_xlfn.XLOOKUP(FME_Ranking1[[#This Row],[FME ID]],FME_Input[FME_ID],FME_Input[ROAD_MILES100])</f>
        <v>0</v>
      </c>
      <c r="AB2290" s="178">
        <f>(FME_Ranking1[[#This Row],[Miles Raw]]/$AA$2)*100</f>
        <v>0</v>
      </c>
      <c r="AC2290" s="178">
        <f>FME_Ranking1[[#This Row],[Miles Score (Normalized, Unweighted)]]*$AA$3</f>
        <v>0</v>
      </c>
      <c r="AD2290" s="255">
        <f>_xlfn.XLOOKUP(FME_Ranking1[[#This Row],[FME ID]],FME_Input[FME_ID],FME_Input[FARMACRE100])</f>
        <v>0</v>
      </c>
      <c r="AE2290" s="230">
        <f>(FME_Ranking1[[#This Row],[Ag Land Raw]]/$AD$2)*100</f>
        <v>0</v>
      </c>
      <c r="AF2290" s="231">
        <f>FME_Ranking1[[#This Row],[Ag Land Score (Normalized, Unweighted)]]*$AD$3</f>
        <v>0</v>
      </c>
      <c r="AG229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90" s="406">
        <f t="shared" si="35"/>
        <v>2198</v>
      </c>
      <c r="AI229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90" s="257">
        <f>FME_Ranking1[[#This Row],[Addition check]]-FME_Ranking1[[#This Row],[Weighted Score Based on Normalized Reported Factors]]</f>
        <v>0</v>
      </c>
      <c r="AK2290" s="178">
        <f>_xlfn.RANK.EQ(AI2290,$AI$6:$AI$2341,0)+COUNTIF($AI$6:AI2290,AI2290)-1</f>
        <v>2294</v>
      </c>
    </row>
    <row r="2291" spans="1:37" x14ac:dyDescent="0.25">
      <c r="A2291" t="s">
        <v>9382</v>
      </c>
      <c r="B2291">
        <f>_xlfn.XLOOKUP(FME_Ranking1[[#This Row],[FME ID]],FME_Input[FME_ID],FME_Input[RFPG_NUM])</f>
        <v>12</v>
      </c>
      <c r="C2291" t="str">
        <f>_xlfn.XLOOKUP(FME_Ranking1[[#This Row],[FME ID]],FME_Input[FME_ID],FME_Input[FME_NAME])</f>
        <v>7840 Silver Spur Trail</v>
      </c>
      <c r="D2291" t="str">
        <f>_xlfn.XLOOKUP(FME_Ranking1[[#This Row],[FME ID]],FME_Input[FME_ID],FME_Input[DESCR])</f>
        <v>Runoff collects from the northside of the city and passes this point before passing under Keeneland then to the Cibolo Creek Post Oak Creek low water crossing.</v>
      </c>
      <c r="E2291" s="256">
        <f>_xlfn.XLOOKUP(FME_Ranking1[[#This Row],[FME ID]],FME_Input[FME_ID],FME_Input[FME_COST])</f>
        <v>809434</v>
      </c>
      <c r="F2291" t="str">
        <f>_xlfn.XLOOKUP(FME_Ranking1[[#This Row],[FME ID]],FME_Input[FME_ID],FME_Input[EMER_NEED])</f>
        <v>No</v>
      </c>
      <c r="G2291">
        <f>IF(FME_Ranking!F2291="Yes",100,0)</f>
        <v>0</v>
      </c>
      <c r="H2291">
        <f>FME_Ranking1[[#This Row],[Emergency Need Score (Normalized, Unweighted)]]*$F$3</f>
        <v>0</v>
      </c>
      <c r="I2291" s="246">
        <f>_xlfn.XLOOKUP(FME_Ranking1[[#This Row],[FME ID]],FME_Input[FME_ID],FME_Input[STRUCT_100])</f>
        <v>0</v>
      </c>
      <c r="J2291" s="178">
        <f>(FME_Ranking1[[#This Row],[Structures 100 Raw]]/I$2)*100</f>
        <v>0</v>
      </c>
      <c r="K2291" s="178">
        <f>FME_Ranking1[[#This Row],[Structures 100  Score (Normalized, Unweighted)]]*$I$3</f>
        <v>0</v>
      </c>
      <c r="L2291" s="246">
        <f>_xlfn.XLOOKUP(FME_Ranking1[[#This Row],[FME ID]],FME_Input[FME_ID],FME_Input[RES_STRUCT100])</f>
        <v>0</v>
      </c>
      <c r="M2291" s="230">
        <f>(FME_Ranking1[[#This Row],[Res Structures Raw]]/L$2)*100</f>
        <v>0</v>
      </c>
      <c r="N2291" s="180">
        <f>FME_Ranking1[[#This Row],[Res Structures Score (Normalized, Unweighted)]]*$L$3</f>
        <v>0</v>
      </c>
      <c r="O2291" s="244">
        <f>_xlfn.XLOOKUP(FME_Ranking1[[#This Row],[FME ID]],FME_Input[FME_ID],FME_Input[POP100])</f>
        <v>0</v>
      </c>
      <c r="P2291" s="178">
        <f>(FME_Ranking1[[#This Row],[Pop Raw]]/$O$2)*100</f>
        <v>0</v>
      </c>
      <c r="Q2291" s="178">
        <f>FME_Ranking1[[#This Row],[Pop Score (Normalized, Unweighted)]]*$O$3</f>
        <v>0</v>
      </c>
      <c r="R2291" s="137">
        <f>_xlfn.XLOOKUP(FME_Ranking1[[#This Row],[FME ID]],FME_Input[FME_ID],FME_Input[CRITFAC100])</f>
        <v>0</v>
      </c>
      <c r="S2291" s="230">
        <f>(FME_Ranking1[[#This Row],[Critical Facilities Raw]]/$R$2)*100</f>
        <v>0</v>
      </c>
      <c r="T2291" s="180">
        <f>FME_Ranking1[[#This Row],[Critical Facilities Score (Normalized, Unweighted)]]*$R$3</f>
        <v>0</v>
      </c>
      <c r="U2291">
        <f>_xlfn.XLOOKUP(FME_Ranking1[[#This Row],[FME ID]],FME_Input[FME_ID],FME_Input[LWC])</f>
        <v>0</v>
      </c>
      <c r="V2291" s="178">
        <f>(FME_Ranking1[[#This Row],[LWC Raw]]/$U$2)*100</f>
        <v>0</v>
      </c>
      <c r="W2291" s="178">
        <f>FME_Ranking1[[#This Row],[LWC Score (Normalized, Unweighted)]]*$U$3</f>
        <v>0</v>
      </c>
      <c r="X2291" s="246">
        <f>_xlfn.XLOOKUP(FME_Ranking1[[#This Row],[FME ID]],FME_Input[FME_ID],FME_Input[ROADCLS])</f>
        <v>0</v>
      </c>
      <c r="Y2291" s="230">
        <f>(FME_Ranking1[[#This Row],[Closures Raw]]/$X$2)*100</f>
        <v>0</v>
      </c>
      <c r="Z2291" s="180">
        <f>FME_Ranking1[[#This Row],[Closures Score (Normalized, Unweighted)]]*$X$3</f>
        <v>0</v>
      </c>
      <c r="AA2291" s="253">
        <f>_xlfn.XLOOKUP(FME_Ranking1[[#This Row],[FME ID]],FME_Input[FME_ID],FME_Input[ROAD_MILES100])</f>
        <v>0</v>
      </c>
      <c r="AB2291" s="178">
        <f>(FME_Ranking1[[#This Row],[Miles Raw]]/$AA$2)*100</f>
        <v>0</v>
      </c>
      <c r="AC2291" s="178">
        <f>FME_Ranking1[[#This Row],[Miles Score (Normalized, Unweighted)]]*$AA$3</f>
        <v>0</v>
      </c>
      <c r="AD2291" s="255">
        <f>_xlfn.XLOOKUP(FME_Ranking1[[#This Row],[FME ID]],FME_Input[FME_ID],FME_Input[FARMACRE100])</f>
        <v>0</v>
      </c>
      <c r="AE2291" s="230">
        <f>(FME_Ranking1[[#This Row],[Ag Land Raw]]/$AD$2)*100</f>
        <v>0</v>
      </c>
      <c r="AF2291" s="231">
        <f>FME_Ranking1[[#This Row],[Ag Land Score (Normalized, Unweighted)]]*$AD$3</f>
        <v>0</v>
      </c>
      <c r="AG229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91" s="406">
        <f t="shared" si="35"/>
        <v>2198</v>
      </c>
      <c r="AI229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91" s="257">
        <f>FME_Ranking1[[#This Row],[Addition check]]-FME_Ranking1[[#This Row],[Weighted Score Based on Normalized Reported Factors]]</f>
        <v>0</v>
      </c>
      <c r="AK2291" s="178">
        <f>_xlfn.RANK.EQ(AI2291,$AI$6:$AI$2341,0)+COUNTIF($AI$6:AI2291,AI2291)-1</f>
        <v>2295</v>
      </c>
    </row>
    <row r="2292" spans="1:37" x14ac:dyDescent="0.25">
      <c r="A2292" t="s">
        <v>9385</v>
      </c>
      <c r="B2292">
        <f>_xlfn.XLOOKUP(FME_Ranking1[[#This Row],[FME ID]],FME_Input[FME_ID],FME_Input[RFPG_NUM])</f>
        <v>12</v>
      </c>
      <c r="C2292" t="str">
        <f>_xlfn.XLOOKUP(FME_Ranking1[[#This Row],[FME ID]],FME_Input[FME_ID],FME_Input[FME_NAME])</f>
        <v>8410 Noble Lark Dr</v>
      </c>
      <c r="D2292" t="str">
        <f>_xlfn.XLOOKUP(FME_Ranking1[[#This Row],[FME ID]],FME_Input[FME_ID],FME_Input[DESCR])</f>
        <v>Regrade channel and install erosin control measures, repair the eroded foundation of the culvert headwall</v>
      </c>
      <c r="E2292" s="256">
        <f>_xlfn.XLOOKUP(FME_Ranking1[[#This Row],[FME ID]],FME_Input[FME_ID],FME_Input[FME_COST])</f>
        <v>329349</v>
      </c>
      <c r="F2292" t="str">
        <f>_xlfn.XLOOKUP(FME_Ranking1[[#This Row],[FME ID]],FME_Input[FME_ID],FME_Input[EMER_NEED])</f>
        <v>No</v>
      </c>
      <c r="G2292">
        <f>IF(FME_Ranking!F2292="Yes",100,0)</f>
        <v>0</v>
      </c>
      <c r="H2292">
        <f>FME_Ranking1[[#This Row],[Emergency Need Score (Normalized, Unweighted)]]*$F$3</f>
        <v>0</v>
      </c>
      <c r="I2292" s="246">
        <f>_xlfn.XLOOKUP(FME_Ranking1[[#This Row],[FME ID]],FME_Input[FME_ID],FME_Input[STRUCT_100])</f>
        <v>0</v>
      </c>
      <c r="J2292" s="178">
        <f>(FME_Ranking1[[#This Row],[Structures 100 Raw]]/I$2)*100</f>
        <v>0</v>
      </c>
      <c r="K2292" s="178">
        <f>FME_Ranking1[[#This Row],[Structures 100  Score (Normalized, Unweighted)]]*$I$3</f>
        <v>0</v>
      </c>
      <c r="L2292" s="246">
        <f>_xlfn.XLOOKUP(FME_Ranking1[[#This Row],[FME ID]],FME_Input[FME_ID],FME_Input[RES_STRUCT100])</f>
        <v>0</v>
      </c>
      <c r="M2292" s="230">
        <f>(FME_Ranking1[[#This Row],[Res Structures Raw]]/L$2)*100</f>
        <v>0</v>
      </c>
      <c r="N2292" s="180">
        <f>FME_Ranking1[[#This Row],[Res Structures Score (Normalized, Unweighted)]]*$L$3</f>
        <v>0</v>
      </c>
      <c r="O2292" s="244">
        <f>_xlfn.XLOOKUP(FME_Ranking1[[#This Row],[FME ID]],FME_Input[FME_ID],FME_Input[POP100])</f>
        <v>0</v>
      </c>
      <c r="P2292" s="178">
        <f>(FME_Ranking1[[#This Row],[Pop Raw]]/$O$2)*100</f>
        <v>0</v>
      </c>
      <c r="Q2292" s="178">
        <f>FME_Ranking1[[#This Row],[Pop Score (Normalized, Unweighted)]]*$O$3</f>
        <v>0</v>
      </c>
      <c r="R2292" s="137">
        <f>_xlfn.XLOOKUP(FME_Ranking1[[#This Row],[FME ID]],FME_Input[FME_ID],FME_Input[CRITFAC100])</f>
        <v>0</v>
      </c>
      <c r="S2292" s="230">
        <f>(FME_Ranking1[[#This Row],[Critical Facilities Raw]]/$R$2)*100</f>
        <v>0</v>
      </c>
      <c r="T2292" s="180">
        <f>FME_Ranking1[[#This Row],[Critical Facilities Score (Normalized, Unweighted)]]*$R$3</f>
        <v>0</v>
      </c>
      <c r="U2292">
        <f>_xlfn.XLOOKUP(FME_Ranking1[[#This Row],[FME ID]],FME_Input[FME_ID],FME_Input[LWC])</f>
        <v>0</v>
      </c>
      <c r="V2292" s="178">
        <f>(FME_Ranking1[[#This Row],[LWC Raw]]/$U$2)*100</f>
        <v>0</v>
      </c>
      <c r="W2292" s="178">
        <f>FME_Ranking1[[#This Row],[LWC Score (Normalized, Unweighted)]]*$U$3</f>
        <v>0</v>
      </c>
      <c r="X2292" s="246">
        <f>_xlfn.XLOOKUP(FME_Ranking1[[#This Row],[FME ID]],FME_Input[FME_ID],FME_Input[ROADCLS])</f>
        <v>0</v>
      </c>
      <c r="Y2292" s="230">
        <f>(FME_Ranking1[[#This Row],[Closures Raw]]/$X$2)*100</f>
        <v>0</v>
      </c>
      <c r="Z2292" s="180">
        <f>FME_Ranking1[[#This Row],[Closures Score (Normalized, Unweighted)]]*$X$3</f>
        <v>0</v>
      </c>
      <c r="AA2292" s="253">
        <f>_xlfn.XLOOKUP(FME_Ranking1[[#This Row],[FME ID]],FME_Input[FME_ID],FME_Input[ROAD_MILES100])</f>
        <v>0</v>
      </c>
      <c r="AB2292" s="178">
        <f>(FME_Ranking1[[#This Row],[Miles Raw]]/$AA$2)*100</f>
        <v>0</v>
      </c>
      <c r="AC2292" s="178">
        <f>FME_Ranking1[[#This Row],[Miles Score (Normalized, Unweighted)]]*$AA$3</f>
        <v>0</v>
      </c>
      <c r="AD2292" s="255">
        <f>_xlfn.XLOOKUP(FME_Ranking1[[#This Row],[FME ID]],FME_Input[FME_ID],FME_Input[FARMACRE100])</f>
        <v>0</v>
      </c>
      <c r="AE2292" s="230">
        <f>(FME_Ranking1[[#This Row],[Ag Land Raw]]/$AD$2)*100</f>
        <v>0</v>
      </c>
      <c r="AF2292" s="231">
        <f>FME_Ranking1[[#This Row],[Ag Land Score (Normalized, Unweighted)]]*$AD$3</f>
        <v>0</v>
      </c>
      <c r="AG229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92" s="406">
        <f t="shared" si="35"/>
        <v>2198</v>
      </c>
      <c r="AI229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92" s="257">
        <f>FME_Ranking1[[#This Row],[Addition check]]-FME_Ranking1[[#This Row],[Weighted Score Based on Normalized Reported Factors]]</f>
        <v>0</v>
      </c>
      <c r="AK2292" s="178">
        <f>_xlfn.RANK.EQ(AI2292,$AI$6:$AI$2341,0)+COUNTIF($AI$6:AI2292,AI2292)-1</f>
        <v>2296</v>
      </c>
    </row>
    <row r="2293" spans="1:37" x14ac:dyDescent="0.25">
      <c r="A2293" t="s">
        <v>9403</v>
      </c>
      <c r="B2293">
        <f>_xlfn.XLOOKUP(FME_Ranking1[[#This Row],[FME ID]],FME_Input[FME_ID],FME_Input[RFPG_NUM])</f>
        <v>12</v>
      </c>
      <c r="C2293" t="str">
        <f>_xlfn.XLOOKUP(FME_Ranking1[[#This Row],[FME ID]],FME_Input[FME_ID],FME_Input[FME_NAME])</f>
        <v>Damage Center 2- Project 2 Road connection from Mosspoint to Sunshine</v>
      </c>
      <c r="D2293" t="str">
        <f>_xlfn.XLOOKUP(FME_Ranking1[[#This Row],[FME ID]],FME_Input[FME_ID],FME_Input[DESCR])</f>
        <v>During a large storm event, access to and from residences adjacent to Mosspoint Street is compromised</v>
      </c>
      <c r="E2293" s="256">
        <f>_xlfn.XLOOKUP(FME_Ranking1[[#This Row],[FME ID]],FME_Input[FME_ID],FME_Input[FME_COST])</f>
        <v>198959</v>
      </c>
      <c r="F2293" t="str">
        <f>_xlfn.XLOOKUP(FME_Ranking1[[#This Row],[FME ID]],FME_Input[FME_ID],FME_Input[EMER_NEED])</f>
        <v>No</v>
      </c>
      <c r="G2293">
        <f>IF(FME_Ranking!F2293="Yes",100,0)</f>
        <v>0</v>
      </c>
      <c r="H2293">
        <f>FME_Ranking1[[#This Row],[Emergency Need Score (Normalized, Unweighted)]]*$F$3</f>
        <v>0</v>
      </c>
      <c r="I2293" s="246">
        <f>_xlfn.XLOOKUP(FME_Ranking1[[#This Row],[FME ID]],FME_Input[FME_ID],FME_Input[STRUCT_100])</f>
        <v>0</v>
      </c>
      <c r="J2293" s="178">
        <f>(FME_Ranking1[[#This Row],[Structures 100 Raw]]/I$2)*100</f>
        <v>0</v>
      </c>
      <c r="K2293" s="178">
        <f>FME_Ranking1[[#This Row],[Structures 100  Score (Normalized, Unweighted)]]*$I$3</f>
        <v>0</v>
      </c>
      <c r="L2293" s="246">
        <f>_xlfn.XLOOKUP(FME_Ranking1[[#This Row],[FME ID]],FME_Input[FME_ID],FME_Input[RES_STRUCT100])</f>
        <v>0</v>
      </c>
      <c r="M2293" s="230">
        <f>(FME_Ranking1[[#This Row],[Res Structures Raw]]/L$2)*100</f>
        <v>0</v>
      </c>
      <c r="N2293" s="180">
        <f>FME_Ranking1[[#This Row],[Res Structures Score (Normalized, Unweighted)]]*$L$3</f>
        <v>0</v>
      </c>
      <c r="O2293" s="244">
        <f>_xlfn.XLOOKUP(FME_Ranking1[[#This Row],[FME ID]],FME_Input[FME_ID],FME_Input[POP100])</f>
        <v>0</v>
      </c>
      <c r="P2293" s="178">
        <f>(FME_Ranking1[[#This Row],[Pop Raw]]/$O$2)*100</f>
        <v>0</v>
      </c>
      <c r="Q2293" s="178">
        <f>FME_Ranking1[[#This Row],[Pop Score (Normalized, Unweighted)]]*$O$3</f>
        <v>0</v>
      </c>
      <c r="R2293" s="137">
        <f>_xlfn.XLOOKUP(FME_Ranking1[[#This Row],[FME ID]],FME_Input[FME_ID],FME_Input[CRITFAC100])</f>
        <v>0</v>
      </c>
      <c r="S2293" s="230">
        <f>(FME_Ranking1[[#This Row],[Critical Facilities Raw]]/$R$2)*100</f>
        <v>0</v>
      </c>
      <c r="T2293" s="180">
        <f>FME_Ranking1[[#This Row],[Critical Facilities Score (Normalized, Unweighted)]]*$R$3</f>
        <v>0</v>
      </c>
      <c r="U2293">
        <f>_xlfn.XLOOKUP(FME_Ranking1[[#This Row],[FME ID]],FME_Input[FME_ID],FME_Input[LWC])</f>
        <v>0</v>
      </c>
      <c r="V2293" s="178">
        <f>(FME_Ranking1[[#This Row],[LWC Raw]]/$U$2)*100</f>
        <v>0</v>
      </c>
      <c r="W2293" s="178">
        <f>FME_Ranking1[[#This Row],[LWC Score (Normalized, Unweighted)]]*$U$3</f>
        <v>0</v>
      </c>
      <c r="X2293" s="246">
        <f>_xlfn.XLOOKUP(FME_Ranking1[[#This Row],[FME ID]],FME_Input[FME_ID],FME_Input[ROADCLS])</f>
        <v>0</v>
      </c>
      <c r="Y2293" s="230">
        <f>(FME_Ranking1[[#This Row],[Closures Raw]]/$X$2)*100</f>
        <v>0</v>
      </c>
      <c r="Z2293" s="180">
        <f>FME_Ranking1[[#This Row],[Closures Score (Normalized, Unweighted)]]*$X$3</f>
        <v>0</v>
      </c>
      <c r="AA2293" s="253">
        <f>_xlfn.XLOOKUP(FME_Ranking1[[#This Row],[FME ID]],FME_Input[FME_ID],FME_Input[ROAD_MILES100])</f>
        <v>0</v>
      </c>
      <c r="AB2293" s="178">
        <f>(FME_Ranking1[[#This Row],[Miles Raw]]/$AA$2)*100</f>
        <v>0</v>
      </c>
      <c r="AC2293" s="178">
        <f>FME_Ranking1[[#This Row],[Miles Score (Normalized, Unweighted)]]*$AA$3</f>
        <v>0</v>
      </c>
      <c r="AD2293" s="255">
        <f>_xlfn.XLOOKUP(FME_Ranking1[[#This Row],[FME ID]],FME_Input[FME_ID],FME_Input[FARMACRE100])</f>
        <v>0</v>
      </c>
      <c r="AE2293" s="230">
        <f>(FME_Ranking1[[#This Row],[Ag Land Raw]]/$AD$2)*100</f>
        <v>0</v>
      </c>
      <c r="AF2293" s="231">
        <f>FME_Ranking1[[#This Row],[Ag Land Score (Normalized, Unweighted)]]*$AD$3</f>
        <v>0</v>
      </c>
      <c r="AG229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93" s="406">
        <f t="shared" si="35"/>
        <v>2198</v>
      </c>
      <c r="AI229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93" s="257">
        <f>FME_Ranking1[[#This Row],[Addition check]]-FME_Ranking1[[#This Row],[Weighted Score Based on Normalized Reported Factors]]</f>
        <v>0</v>
      </c>
      <c r="AK2293" s="178">
        <f>_xlfn.RANK.EQ(AI2293,$AI$6:$AI$2341,0)+COUNTIF($AI$6:AI2293,AI2293)-1</f>
        <v>2297</v>
      </c>
    </row>
    <row r="2294" spans="1:37" x14ac:dyDescent="0.25">
      <c r="A2294" t="s">
        <v>9464</v>
      </c>
      <c r="B2294">
        <f>_xlfn.XLOOKUP(FME_Ranking1[[#This Row],[FME ID]],FME_Input[FME_ID],FME_Input[RFPG_NUM])</f>
        <v>12</v>
      </c>
      <c r="C2294" t="str">
        <f>_xlfn.XLOOKUP(FME_Ranking1[[#This Row],[FME ID]],FME_Input[FME_ID],FME_Input[FME_NAME])</f>
        <v>Normoyle Ditch - Alt 1</v>
      </c>
      <c r="D2294" t="str">
        <f>_xlfn.XLOOKUP(FME_Ranking1[[#This Row],[FME ID]],FME_Input[FME_ID],FME_Input[DESCR])</f>
        <v>Channel improvements are proposed from the Six Mile Creek outfall up to approximately 200 feet upstream of New Laredo Hwy. The project area was limited to the area south of Kelly AFB as the majority of habitable structures area</v>
      </c>
      <c r="E2294" s="256">
        <f>_xlfn.XLOOKUP(FME_Ranking1[[#This Row],[FME ID]],FME_Input[FME_ID],FME_Input[FME_COST])</f>
        <v>150000</v>
      </c>
      <c r="F2294" t="str">
        <f>_xlfn.XLOOKUP(FME_Ranking1[[#This Row],[FME ID]],FME_Input[FME_ID],FME_Input[EMER_NEED])</f>
        <v>No</v>
      </c>
      <c r="G2294">
        <f>IF(FME_Ranking!F2294="Yes",100,0)</f>
        <v>0</v>
      </c>
      <c r="H2294">
        <f>FME_Ranking1[[#This Row],[Emergency Need Score (Normalized, Unweighted)]]*$F$3</f>
        <v>0</v>
      </c>
      <c r="I2294" s="246">
        <f>_xlfn.XLOOKUP(FME_Ranking1[[#This Row],[FME ID]],FME_Input[FME_ID],FME_Input[STRUCT_100])</f>
        <v>0</v>
      </c>
      <c r="J2294" s="178">
        <f>(FME_Ranking1[[#This Row],[Structures 100 Raw]]/I$2)*100</f>
        <v>0</v>
      </c>
      <c r="K2294" s="178">
        <f>FME_Ranking1[[#This Row],[Structures 100  Score (Normalized, Unweighted)]]*$I$3</f>
        <v>0</v>
      </c>
      <c r="L2294" s="246">
        <f>_xlfn.XLOOKUP(FME_Ranking1[[#This Row],[FME ID]],FME_Input[FME_ID],FME_Input[RES_STRUCT100])</f>
        <v>0</v>
      </c>
      <c r="M2294" s="230">
        <f>(FME_Ranking1[[#This Row],[Res Structures Raw]]/L$2)*100</f>
        <v>0</v>
      </c>
      <c r="N2294" s="180">
        <f>FME_Ranking1[[#This Row],[Res Structures Score (Normalized, Unweighted)]]*$L$3</f>
        <v>0</v>
      </c>
      <c r="O2294" s="244">
        <f>_xlfn.XLOOKUP(FME_Ranking1[[#This Row],[FME ID]],FME_Input[FME_ID],FME_Input[POP100])</f>
        <v>0</v>
      </c>
      <c r="P2294" s="178">
        <f>(FME_Ranking1[[#This Row],[Pop Raw]]/$O$2)*100</f>
        <v>0</v>
      </c>
      <c r="Q2294" s="178">
        <f>FME_Ranking1[[#This Row],[Pop Score (Normalized, Unweighted)]]*$O$3</f>
        <v>0</v>
      </c>
      <c r="R2294" s="137">
        <f>_xlfn.XLOOKUP(FME_Ranking1[[#This Row],[FME ID]],FME_Input[FME_ID],FME_Input[CRITFAC100])</f>
        <v>0</v>
      </c>
      <c r="S2294" s="230">
        <f>(FME_Ranking1[[#This Row],[Critical Facilities Raw]]/$R$2)*100</f>
        <v>0</v>
      </c>
      <c r="T2294" s="180">
        <f>FME_Ranking1[[#This Row],[Critical Facilities Score (Normalized, Unweighted)]]*$R$3</f>
        <v>0</v>
      </c>
      <c r="U2294">
        <f>_xlfn.XLOOKUP(FME_Ranking1[[#This Row],[FME ID]],FME_Input[FME_ID],FME_Input[LWC])</f>
        <v>0</v>
      </c>
      <c r="V2294" s="178">
        <f>(FME_Ranking1[[#This Row],[LWC Raw]]/$U$2)*100</f>
        <v>0</v>
      </c>
      <c r="W2294" s="178">
        <f>FME_Ranking1[[#This Row],[LWC Score (Normalized, Unweighted)]]*$U$3</f>
        <v>0</v>
      </c>
      <c r="X2294" s="246">
        <f>_xlfn.XLOOKUP(FME_Ranking1[[#This Row],[FME ID]],FME_Input[FME_ID],FME_Input[ROADCLS])</f>
        <v>0</v>
      </c>
      <c r="Y2294" s="230">
        <f>(FME_Ranking1[[#This Row],[Closures Raw]]/$X$2)*100</f>
        <v>0</v>
      </c>
      <c r="Z2294" s="180">
        <f>FME_Ranking1[[#This Row],[Closures Score (Normalized, Unweighted)]]*$X$3</f>
        <v>0</v>
      </c>
      <c r="AA2294" s="253">
        <f>_xlfn.XLOOKUP(FME_Ranking1[[#This Row],[FME ID]],FME_Input[FME_ID],FME_Input[ROAD_MILES100])</f>
        <v>0</v>
      </c>
      <c r="AB2294" s="178">
        <f>(FME_Ranking1[[#This Row],[Miles Raw]]/$AA$2)*100</f>
        <v>0</v>
      </c>
      <c r="AC2294" s="178">
        <f>FME_Ranking1[[#This Row],[Miles Score (Normalized, Unweighted)]]*$AA$3</f>
        <v>0</v>
      </c>
      <c r="AD2294" s="255">
        <f>_xlfn.XLOOKUP(FME_Ranking1[[#This Row],[FME ID]],FME_Input[FME_ID],FME_Input[FARMACRE100])</f>
        <v>0</v>
      </c>
      <c r="AE2294" s="230">
        <f>(FME_Ranking1[[#This Row],[Ag Land Raw]]/$AD$2)*100</f>
        <v>0</v>
      </c>
      <c r="AF2294" s="231">
        <f>FME_Ranking1[[#This Row],[Ag Land Score (Normalized, Unweighted)]]*$AD$3</f>
        <v>0</v>
      </c>
      <c r="AG229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94" s="406">
        <f t="shared" si="35"/>
        <v>2198</v>
      </c>
      <c r="AI229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94" s="257">
        <f>FME_Ranking1[[#This Row],[Addition check]]-FME_Ranking1[[#This Row],[Weighted Score Based on Normalized Reported Factors]]</f>
        <v>0</v>
      </c>
      <c r="AK2294" s="178">
        <f>_xlfn.RANK.EQ(AI2294,$AI$6:$AI$2341,0)+COUNTIF($AI$6:AI2294,AI2294)-1</f>
        <v>2298</v>
      </c>
    </row>
    <row r="2295" spans="1:37" x14ac:dyDescent="0.25">
      <c r="A2295" t="s">
        <v>9478</v>
      </c>
      <c r="B2295">
        <f>_xlfn.XLOOKUP(FME_Ranking1[[#This Row],[FME ID]],FME_Input[FME_ID],FME_Input[RFPG_NUM])</f>
        <v>12</v>
      </c>
      <c r="C2295" t="str">
        <f>_xlfn.XLOOKUP(FME_Ranking1[[#This Row],[FME ID]],FME_Input[FME_ID],FME_Input[FME_NAME])</f>
        <v>LWC# 91  Weidner 500 ft N of Schertz</v>
      </c>
      <c r="D2295" t="str">
        <f>_xlfn.XLOOKUP(FME_Ranking1[[#This Row],[FME ID]],FME_Input[FME_ID],FME_Input[DESCR])</f>
        <v>Construct a bridge on Weidner Rd. to pass a 100 yr storm to replace LWC# 91, to include curbs and sidewalks.  This project will require channel excavation.  This LWC is not within a FEMA floodplain.</v>
      </c>
      <c r="E2295" s="256">
        <f>_xlfn.XLOOKUP(FME_Ranking1[[#This Row],[FME ID]],FME_Input[FME_ID],FME_Input[FME_COST])</f>
        <v>3118605</v>
      </c>
      <c r="F2295" t="str">
        <f>_xlfn.XLOOKUP(FME_Ranking1[[#This Row],[FME ID]],FME_Input[FME_ID],FME_Input[EMER_NEED])</f>
        <v>No</v>
      </c>
      <c r="G2295">
        <f>IF(FME_Ranking!F2295="Yes",100,0)</f>
        <v>0</v>
      </c>
      <c r="H2295">
        <f>FME_Ranking1[[#This Row],[Emergency Need Score (Normalized, Unweighted)]]*$F$3</f>
        <v>0</v>
      </c>
      <c r="I2295" s="246">
        <f>_xlfn.XLOOKUP(FME_Ranking1[[#This Row],[FME ID]],FME_Input[FME_ID],FME_Input[STRUCT_100])</f>
        <v>0</v>
      </c>
      <c r="J2295" s="178">
        <f>(FME_Ranking1[[#This Row],[Structures 100 Raw]]/I$2)*100</f>
        <v>0</v>
      </c>
      <c r="K2295" s="178">
        <f>FME_Ranking1[[#This Row],[Structures 100  Score (Normalized, Unweighted)]]*$I$3</f>
        <v>0</v>
      </c>
      <c r="L2295" s="246">
        <f>_xlfn.XLOOKUP(FME_Ranking1[[#This Row],[FME ID]],FME_Input[FME_ID],FME_Input[RES_STRUCT100])</f>
        <v>0</v>
      </c>
      <c r="M2295" s="230">
        <f>(FME_Ranking1[[#This Row],[Res Structures Raw]]/L$2)*100</f>
        <v>0</v>
      </c>
      <c r="N2295" s="180">
        <f>FME_Ranking1[[#This Row],[Res Structures Score (Normalized, Unweighted)]]*$L$3</f>
        <v>0</v>
      </c>
      <c r="O2295" s="244">
        <f>_xlfn.XLOOKUP(FME_Ranking1[[#This Row],[FME ID]],FME_Input[FME_ID],FME_Input[POP100])</f>
        <v>0</v>
      </c>
      <c r="P2295" s="178">
        <f>(FME_Ranking1[[#This Row],[Pop Raw]]/$O$2)*100</f>
        <v>0</v>
      </c>
      <c r="Q2295" s="178">
        <f>FME_Ranking1[[#This Row],[Pop Score (Normalized, Unweighted)]]*$O$3</f>
        <v>0</v>
      </c>
      <c r="R2295" s="137">
        <f>_xlfn.XLOOKUP(FME_Ranking1[[#This Row],[FME ID]],FME_Input[FME_ID],FME_Input[CRITFAC100])</f>
        <v>0</v>
      </c>
      <c r="S2295" s="230">
        <f>(FME_Ranking1[[#This Row],[Critical Facilities Raw]]/$R$2)*100</f>
        <v>0</v>
      </c>
      <c r="T2295" s="180">
        <f>FME_Ranking1[[#This Row],[Critical Facilities Score (Normalized, Unweighted)]]*$R$3</f>
        <v>0</v>
      </c>
      <c r="U2295">
        <f>_xlfn.XLOOKUP(FME_Ranking1[[#This Row],[FME ID]],FME_Input[FME_ID],FME_Input[LWC])</f>
        <v>0</v>
      </c>
      <c r="V2295" s="178">
        <f>(FME_Ranking1[[#This Row],[LWC Raw]]/$U$2)*100</f>
        <v>0</v>
      </c>
      <c r="W2295" s="178">
        <f>FME_Ranking1[[#This Row],[LWC Score (Normalized, Unweighted)]]*$U$3</f>
        <v>0</v>
      </c>
      <c r="X2295" s="246">
        <f>_xlfn.XLOOKUP(FME_Ranking1[[#This Row],[FME ID]],FME_Input[FME_ID],FME_Input[ROADCLS])</f>
        <v>0</v>
      </c>
      <c r="Y2295" s="230">
        <f>(FME_Ranking1[[#This Row],[Closures Raw]]/$X$2)*100</f>
        <v>0</v>
      </c>
      <c r="Z2295" s="180">
        <f>FME_Ranking1[[#This Row],[Closures Score (Normalized, Unweighted)]]*$X$3</f>
        <v>0</v>
      </c>
      <c r="AA2295" s="253">
        <f>_xlfn.XLOOKUP(FME_Ranking1[[#This Row],[FME ID]],FME_Input[FME_ID],FME_Input[ROAD_MILES100])</f>
        <v>0</v>
      </c>
      <c r="AB2295" s="178">
        <f>(FME_Ranking1[[#This Row],[Miles Raw]]/$AA$2)*100</f>
        <v>0</v>
      </c>
      <c r="AC2295" s="178">
        <f>FME_Ranking1[[#This Row],[Miles Score (Normalized, Unweighted)]]*$AA$3</f>
        <v>0</v>
      </c>
      <c r="AD2295" s="255">
        <f>_xlfn.XLOOKUP(FME_Ranking1[[#This Row],[FME ID]],FME_Input[FME_ID],FME_Input[FARMACRE100])</f>
        <v>0</v>
      </c>
      <c r="AE2295" s="230">
        <f>(FME_Ranking1[[#This Row],[Ag Land Raw]]/$AD$2)*100</f>
        <v>0</v>
      </c>
      <c r="AF2295" s="231">
        <f>FME_Ranking1[[#This Row],[Ag Land Score (Normalized, Unweighted)]]*$AD$3</f>
        <v>0</v>
      </c>
      <c r="AG229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95" s="406">
        <f t="shared" si="35"/>
        <v>2198</v>
      </c>
      <c r="AI229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95" s="257">
        <f>FME_Ranking1[[#This Row],[Addition check]]-FME_Ranking1[[#This Row],[Weighted Score Based on Normalized Reported Factors]]</f>
        <v>0</v>
      </c>
      <c r="AK2295" s="178">
        <f>_xlfn.RANK.EQ(AI2295,$AI$6:$AI$2341,0)+COUNTIF($AI$6:AI2295,AI2295)-1</f>
        <v>2299</v>
      </c>
    </row>
    <row r="2296" spans="1:37" x14ac:dyDescent="0.25">
      <c r="A2296" t="s">
        <v>9586</v>
      </c>
      <c r="B2296">
        <f>_xlfn.XLOOKUP(FME_Ranking1[[#This Row],[FME ID]],FME_Input[FME_ID],FME_Input[RFPG_NUM])</f>
        <v>12</v>
      </c>
      <c r="C2296" t="str">
        <f>_xlfn.XLOOKUP(FME_Ranking1[[#This Row],[FME ID]],FME_Input[FME_ID],FME_Input[FME_NAME])</f>
        <v>Recommend for Wilson Roadways - Project 4 - Mariana Rd &amp; Mariana Creek</v>
      </c>
      <c r="D2296" t="str">
        <f>_xlfn.XLOOKUP(FME_Ranking1[[#This Row],[FME ID]],FME_Input[FME_ID],FME_Input[DESCR])</f>
        <v>Upgrade crossing so that it provides a safe evacuation route during large storm events.</v>
      </c>
      <c r="E2296" s="256">
        <f>_xlfn.XLOOKUP(FME_Ranking1[[#This Row],[FME ID]],FME_Input[FME_ID],FME_Input[FME_COST])</f>
        <v>100000</v>
      </c>
      <c r="F2296" t="str">
        <f>_xlfn.XLOOKUP(FME_Ranking1[[#This Row],[FME ID]],FME_Input[FME_ID],FME_Input[EMER_NEED])</f>
        <v>Yes</v>
      </c>
      <c r="G2296">
        <f>IF(FME_Ranking!F2296="Yes",100,0)</f>
        <v>100</v>
      </c>
      <c r="H2296">
        <f>FME_Ranking1[[#This Row],[Emergency Need Score (Normalized, Unweighted)]]*$F$3</f>
        <v>0</v>
      </c>
      <c r="I2296" s="246">
        <f>_xlfn.XLOOKUP(FME_Ranking1[[#This Row],[FME ID]],FME_Input[FME_ID],FME_Input[STRUCT_100])</f>
        <v>0</v>
      </c>
      <c r="J2296" s="178">
        <f>(FME_Ranking1[[#This Row],[Structures 100 Raw]]/I$2)*100</f>
        <v>0</v>
      </c>
      <c r="K2296" s="178">
        <f>FME_Ranking1[[#This Row],[Structures 100  Score (Normalized, Unweighted)]]*$I$3</f>
        <v>0</v>
      </c>
      <c r="L2296" s="246">
        <f>_xlfn.XLOOKUP(FME_Ranking1[[#This Row],[FME ID]],FME_Input[FME_ID],FME_Input[RES_STRUCT100])</f>
        <v>0</v>
      </c>
      <c r="M2296" s="230">
        <f>(FME_Ranking1[[#This Row],[Res Structures Raw]]/L$2)*100</f>
        <v>0</v>
      </c>
      <c r="N2296" s="180">
        <f>FME_Ranking1[[#This Row],[Res Structures Score (Normalized, Unweighted)]]*$L$3</f>
        <v>0</v>
      </c>
      <c r="O2296" s="244">
        <f>_xlfn.XLOOKUP(FME_Ranking1[[#This Row],[FME ID]],FME_Input[FME_ID],FME_Input[POP100])</f>
        <v>0</v>
      </c>
      <c r="P2296" s="178">
        <f>(FME_Ranking1[[#This Row],[Pop Raw]]/$O$2)*100</f>
        <v>0</v>
      </c>
      <c r="Q2296" s="178">
        <f>FME_Ranking1[[#This Row],[Pop Score (Normalized, Unweighted)]]*$O$3</f>
        <v>0</v>
      </c>
      <c r="R2296" s="137">
        <f>_xlfn.XLOOKUP(FME_Ranking1[[#This Row],[FME ID]],FME_Input[FME_ID],FME_Input[CRITFAC100])</f>
        <v>0</v>
      </c>
      <c r="S2296" s="230">
        <f>(FME_Ranking1[[#This Row],[Critical Facilities Raw]]/$R$2)*100</f>
        <v>0</v>
      </c>
      <c r="T2296" s="180">
        <f>FME_Ranking1[[#This Row],[Critical Facilities Score (Normalized, Unweighted)]]*$R$3</f>
        <v>0</v>
      </c>
      <c r="U2296">
        <f>_xlfn.XLOOKUP(FME_Ranking1[[#This Row],[FME ID]],FME_Input[FME_ID],FME_Input[LWC])</f>
        <v>0</v>
      </c>
      <c r="V2296" s="178">
        <f>(FME_Ranking1[[#This Row],[LWC Raw]]/$U$2)*100</f>
        <v>0</v>
      </c>
      <c r="W2296" s="178">
        <f>FME_Ranking1[[#This Row],[LWC Score (Normalized, Unweighted)]]*$U$3</f>
        <v>0</v>
      </c>
      <c r="X2296" s="246">
        <f>_xlfn.XLOOKUP(FME_Ranking1[[#This Row],[FME ID]],FME_Input[FME_ID],FME_Input[ROADCLS])</f>
        <v>0</v>
      </c>
      <c r="Y2296" s="230">
        <f>(FME_Ranking1[[#This Row],[Closures Raw]]/$X$2)*100</f>
        <v>0</v>
      </c>
      <c r="Z2296" s="180">
        <f>FME_Ranking1[[#This Row],[Closures Score (Normalized, Unweighted)]]*$X$3</f>
        <v>0</v>
      </c>
      <c r="AA2296" s="253">
        <f>_xlfn.XLOOKUP(FME_Ranking1[[#This Row],[FME ID]],FME_Input[FME_ID],FME_Input[ROAD_MILES100])</f>
        <v>0</v>
      </c>
      <c r="AB2296" s="178">
        <f>(FME_Ranking1[[#This Row],[Miles Raw]]/$AA$2)*100</f>
        <v>0</v>
      </c>
      <c r="AC2296" s="178">
        <f>FME_Ranking1[[#This Row],[Miles Score (Normalized, Unweighted)]]*$AA$3</f>
        <v>0</v>
      </c>
      <c r="AD2296" s="255">
        <f>_xlfn.XLOOKUP(FME_Ranking1[[#This Row],[FME ID]],FME_Input[FME_ID],FME_Input[FARMACRE100])</f>
        <v>0</v>
      </c>
      <c r="AE2296" s="230">
        <f>(FME_Ranking1[[#This Row],[Ag Land Raw]]/$AD$2)*100</f>
        <v>0</v>
      </c>
      <c r="AF2296" s="231">
        <f>FME_Ranking1[[#This Row],[Ag Land Score (Normalized, Unweighted)]]*$AD$3</f>
        <v>0</v>
      </c>
      <c r="AG229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96" s="406">
        <f t="shared" si="35"/>
        <v>2198</v>
      </c>
      <c r="AI229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96" s="257">
        <f>FME_Ranking1[[#This Row],[Addition check]]-FME_Ranking1[[#This Row],[Weighted Score Based on Normalized Reported Factors]]</f>
        <v>0</v>
      </c>
      <c r="AK2296" s="178">
        <f>_xlfn.RANK.EQ(AI2296,$AI$6:$AI$2341,0)+COUNTIF($AI$6:AI2296,AI2296)-1</f>
        <v>2300</v>
      </c>
    </row>
    <row r="2297" spans="1:37" x14ac:dyDescent="0.25">
      <c r="A2297" t="s">
        <v>9598</v>
      </c>
      <c r="B2297">
        <f>_xlfn.XLOOKUP(FME_Ranking1[[#This Row],[FME ID]],FME_Input[FME_ID],FME_Input[RFPG_NUM])</f>
        <v>12</v>
      </c>
      <c r="C2297" t="str">
        <f>_xlfn.XLOOKUP(FME_Ranking1[[#This Row],[FME ID]],FME_Input[FME_ID],FME_Input[FME_NAME])</f>
        <v>Erosion on CR 202 East and Marcelina Creek</v>
      </c>
      <c r="D2297" t="str">
        <f>_xlfn.XLOOKUP(FME_Ranking1[[#This Row],[FME ID]],FME_Input[FME_ID],FME_Input[DESCR])</f>
        <v>Phase I: Engineering study of design solutions to erosion of CR 202 at Marcelina Creek. Phase II: Implementation of stabilization project to address stream incision and erosion CR 202 at Marcelina Creek.</v>
      </c>
      <c r="E2297" s="256">
        <f>_xlfn.XLOOKUP(FME_Ranking1[[#This Row],[FME ID]],FME_Input[FME_ID],FME_Input[FME_COST])</f>
        <v>100000</v>
      </c>
      <c r="F2297" t="str">
        <f>_xlfn.XLOOKUP(FME_Ranking1[[#This Row],[FME ID]],FME_Input[FME_ID],FME_Input[EMER_NEED])</f>
        <v>Yes</v>
      </c>
      <c r="G2297">
        <f>IF(FME_Ranking!F2297="Yes",100,0)</f>
        <v>100</v>
      </c>
      <c r="H2297">
        <f>FME_Ranking1[[#This Row],[Emergency Need Score (Normalized, Unweighted)]]*$F$3</f>
        <v>0</v>
      </c>
      <c r="I2297" s="246">
        <f>_xlfn.XLOOKUP(FME_Ranking1[[#This Row],[FME ID]],FME_Input[FME_ID],FME_Input[STRUCT_100])</f>
        <v>0</v>
      </c>
      <c r="J2297" s="178">
        <f>(FME_Ranking1[[#This Row],[Structures 100 Raw]]/I$2)*100</f>
        <v>0</v>
      </c>
      <c r="K2297" s="178">
        <f>FME_Ranking1[[#This Row],[Structures 100  Score (Normalized, Unweighted)]]*$I$3</f>
        <v>0</v>
      </c>
      <c r="L2297" s="246">
        <f>_xlfn.XLOOKUP(FME_Ranking1[[#This Row],[FME ID]],FME_Input[FME_ID],FME_Input[RES_STRUCT100])</f>
        <v>0</v>
      </c>
      <c r="M2297" s="230">
        <f>(FME_Ranking1[[#This Row],[Res Structures Raw]]/L$2)*100</f>
        <v>0</v>
      </c>
      <c r="N2297" s="180">
        <f>FME_Ranking1[[#This Row],[Res Structures Score (Normalized, Unweighted)]]*$L$3</f>
        <v>0</v>
      </c>
      <c r="O2297" s="244">
        <f>_xlfn.XLOOKUP(FME_Ranking1[[#This Row],[FME ID]],FME_Input[FME_ID],FME_Input[POP100])</f>
        <v>0</v>
      </c>
      <c r="P2297" s="178">
        <f>(FME_Ranking1[[#This Row],[Pop Raw]]/$O$2)*100</f>
        <v>0</v>
      </c>
      <c r="Q2297" s="178">
        <f>FME_Ranking1[[#This Row],[Pop Score (Normalized, Unweighted)]]*$O$3</f>
        <v>0</v>
      </c>
      <c r="R2297" s="137">
        <f>_xlfn.XLOOKUP(FME_Ranking1[[#This Row],[FME ID]],FME_Input[FME_ID],FME_Input[CRITFAC100])</f>
        <v>0</v>
      </c>
      <c r="S2297" s="230">
        <f>(FME_Ranking1[[#This Row],[Critical Facilities Raw]]/$R$2)*100</f>
        <v>0</v>
      </c>
      <c r="T2297" s="180">
        <f>FME_Ranking1[[#This Row],[Critical Facilities Score (Normalized, Unweighted)]]*$R$3</f>
        <v>0</v>
      </c>
      <c r="U2297">
        <f>_xlfn.XLOOKUP(FME_Ranking1[[#This Row],[FME ID]],FME_Input[FME_ID],FME_Input[LWC])</f>
        <v>0</v>
      </c>
      <c r="V2297" s="178">
        <f>(FME_Ranking1[[#This Row],[LWC Raw]]/$U$2)*100</f>
        <v>0</v>
      </c>
      <c r="W2297" s="178">
        <f>FME_Ranking1[[#This Row],[LWC Score (Normalized, Unweighted)]]*$U$3</f>
        <v>0</v>
      </c>
      <c r="X2297" s="246">
        <f>_xlfn.XLOOKUP(FME_Ranking1[[#This Row],[FME ID]],FME_Input[FME_ID],FME_Input[ROADCLS])</f>
        <v>0</v>
      </c>
      <c r="Y2297" s="230">
        <f>(FME_Ranking1[[#This Row],[Closures Raw]]/$X$2)*100</f>
        <v>0</v>
      </c>
      <c r="Z2297" s="180">
        <f>FME_Ranking1[[#This Row],[Closures Score (Normalized, Unweighted)]]*$X$3</f>
        <v>0</v>
      </c>
      <c r="AA2297" s="253">
        <f>_xlfn.XLOOKUP(FME_Ranking1[[#This Row],[FME ID]],FME_Input[FME_ID],FME_Input[ROAD_MILES100])</f>
        <v>0</v>
      </c>
      <c r="AB2297" s="178">
        <f>(FME_Ranking1[[#This Row],[Miles Raw]]/$AA$2)*100</f>
        <v>0</v>
      </c>
      <c r="AC2297" s="178">
        <f>FME_Ranking1[[#This Row],[Miles Score (Normalized, Unweighted)]]*$AA$3</f>
        <v>0</v>
      </c>
      <c r="AD2297" s="255">
        <f>_xlfn.XLOOKUP(FME_Ranking1[[#This Row],[FME ID]],FME_Input[FME_ID],FME_Input[FARMACRE100])</f>
        <v>0</v>
      </c>
      <c r="AE2297" s="230">
        <f>(FME_Ranking1[[#This Row],[Ag Land Raw]]/$AD$2)*100</f>
        <v>0</v>
      </c>
      <c r="AF2297" s="231">
        <f>FME_Ranking1[[#This Row],[Ag Land Score (Normalized, Unweighted)]]*$AD$3</f>
        <v>0</v>
      </c>
      <c r="AG229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97" s="406">
        <f t="shared" si="35"/>
        <v>2198</v>
      </c>
      <c r="AI229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97" s="257">
        <f>FME_Ranking1[[#This Row],[Addition check]]-FME_Ranking1[[#This Row],[Weighted Score Based on Normalized Reported Factors]]</f>
        <v>0</v>
      </c>
      <c r="AK2297" s="178">
        <f>_xlfn.RANK.EQ(AI2297,$AI$6:$AI$2341,0)+COUNTIF($AI$6:AI2297,AI2297)-1</f>
        <v>2301</v>
      </c>
    </row>
    <row r="2298" spans="1:37" x14ac:dyDescent="0.25">
      <c r="A2298" t="s">
        <v>9601</v>
      </c>
      <c r="B2298">
        <f>_xlfn.XLOOKUP(FME_Ranking1[[#This Row],[FME ID]],FME_Input[FME_ID],FME_Input[RFPG_NUM])</f>
        <v>12</v>
      </c>
      <c r="C2298" t="str">
        <f>_xlfn.XLOOKUP(FME_Ranking1[[#This Row],[FME ID]],FME_Input[FME_ID],FME_Input[FME_NAME])</f>
        <v>Improve bridge at CR 337</v>
      </c>
      <c r="D2298" t="str">
        <f>_xlfn.XLOOKUP(FME_Ranking1[[#This Row],[FME ID]],FME_Input[FME_ID],FME_Input[DESCR])</f>
        <v>streets and adjacent properties. An interception channel is proposed upstream of the City to capture flows and divert them west to a tributary of Lower Cibolo Creek.</v>
      </c>
      <c r="E2298" s="256">
        <f>_xlfn.XLOOKUP(FME_Ranking1[[#This Row],[FME ID]],FME_Input[FME_ID],FME_Input[FME_COST])</f>
        <v>500000</v>
      </c>
      <c r="F2298" t="str">
        <f>_xlfn.XLOOKUP(FME_Ranking1[[#This Row],[FME ID]],FME_Input[FME_ID],FME_Input[EMER_NEED])</f>
        <v>Yes</v>
      </c>
      <c r="G2298">
        <f>IF(FME_Ranking!F2298="Yes",100,0)</f>
        <v>100</v>
      </c>
      <c r="H2298">
        <f>FME_Ranking1[[#This Row],[Emergency Need Score (Normalized, Unweighted)]]*$F$3</f>
        <v>0</v>
      </c>
      <c r="I2298" s="246">
        <f>_xlfn.XLOOKUP(FME_Ranking1[[#This Row],[FME ID]],FME_Input[FME_ID],FME_Input[STRUCT_100])</f>
        <v>0</v>
      </c>
      <c r="J2298" s="178">
        <f>(FME_Ranking1[[#This Row],[Structures 100 Raw]]/I$2)*100</f>
        <v>0</v>
      </c>
      <c r="K2298" s="178">
        <f>FME_Ranking1[[#This Row],[Structures 100  Score (Normalized, Unweighted)]]*$I$3</f>
        <v>0</v>
      </c>
      <c r="L2298" s="246">
        <f>_xlfn.XLOOKUP(FME_Ranking1[[#This Row],[FME ID]],FME_Input[FME_ID],FME_Input[RES_STRUCT100])</f>
        <v>0</v>
      </c>
      <c r="M2298" s="230">
        <f>(FME_Ranking1[[#This Row],[Res Structures Raw]]/L$2)*100</f>
        <v>0</v>
      </c>
      <c r="N2298" s="180">
        <f>FME_Ranking1[[#This Row],[Res Structures Score (Normalized, Unweighted)]]*$L$3</f>
        <v>0</v>
      </c>
      <c r="O2298" s="244">
        <f>_xlfn.XLOOKUP(FME_Ranking1[[#This Row],[FME ID]],FME_Input[FME_ID],FME_Input[POP100])</f>
        <v>0</v>
      </c>
      <c r="P2298" s="178">
        <f>(FME_Ranking1[[#This Row],[Pop Raw]]/$O$2)*100</f>
        <v>0</v>
      </c>
      <c r="Q2298" s="178">
        <f>FME_Ranking1[[#This Row],[Pop Score (Normalized, Unweighted)]]*$O$3</f>
        <v>0</v>
      </c>
      <c r="R2298" s="137">
        <f>_xlfn.XLOOKUP(FME_Ranking1[[#This Row],[FME ID]],FME_Input[FME_ID],FME_Input[CRITFAC100])</f>
        <v>0</v>
      </c>
      <c r="S2298" s="230">
        <f>(FME_Ranking1[[#This Row],[Critical Facilities Raw]]/$R$2)*100</f>
        <v>0</v>
      </c>
      <c r="T2298" s="180">
        <f>FME_Ranking1[[#This Row],[Critical Facilities Score (Normalized, Unweighted)]]*$R$3</f>
        <v>0</v>
      </c>
      <c r="U2298">
        <f>_xlfn.XLOOKUP(FME_Ranking1[[#This Row],[FME ID]],FME_Input[FME_ID],FME_Input[LWC])</f>
        <v>0</v>
      </c>
      <c r="V2298" s="178">
        <f>(FME_Ranking1[[#This Row],[LWC Raw]]/$U$2)*100</f>
        <v>0</v>
      </c>
      <c r="W2298" s="178">
        <f>FME_Ranking1[[#This Row],[LWC Score (Normalized, Unweighted)]]*$U$3</f>
        <v>0</v>
      </c>
      <c r="X2298" s="246">
        <f>_xlfn.XLOOKUP(FME_Ranking1[[#This Row],[FME ID]],FME_Input[FME_ID],FME_Input[ROADCLS])</f>
        <v>0</v>
      </c>
      <c r="Y2298" s="230">
        <f>(FME_Ranking1[[#This Row],[Closures Raw]]/$X$2)*100</f>
        <v>0</v>
      </c>
      <c r="Z2298" s="180">
        <f>FME_Ranking1[[#This Row],[Closures Score (Normalized, Unweighted)]]*$X$3</f>
        <v>0</v>
      </c>
      <c r="AA2298" s="253">
        <f>_xlfn.XLOOKUP(FME_Ranking1[[#This Row],[FME ID]],FME_Input[FME_ID],FME_Input[ROAD_MILES100])</f>
        <v>0</v>
      </c>
      <c r="AB2298" s="178">
        <f>(FME_Ranking1[[#This Row],[Miles Raw]]/$AA$2)*100</f>
        <v>0</v>
      </c>
      <c r="AC2298" s="178">
        <f>FME_Ranking1[[#This Row],[Miles Score (Normalized, Unweighted)]]*$AA$3</f>
        <v>0</v>
      </c>
      <c r="AD2298" s="255">
        <f>_xlfn.XLOOKUP(FME_Ranking1[[#This Row],[FME ID]],FME_Input[FME_ID],FME_Input[FARMACRE100])</f>
        <v>0</v>
      </c>
      <c r="AE2298" s="230">
        <f>(FME_Ranking1[[#This Row],[Ag Land Raw]]/$AD$2)*100</f>
        <v>0</v>
      </c>
      <c r="AF2298" s="231">
        <f>FME_Ranking1[[#This Row],[Ag Land Score (Normalized, Unweighted)]]*$AD$3</f>
        <v>0</v>
      </c>
      <c r="AG229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98" s="406">
        <f t="shared" si="35"/>
        <v>2198</v>
      </c>
      <c r="AI229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98" s="257">
        <f>FME_Ranking1[[#This Row],[Addition check]]-FME_Ranking1[[#This Row],[Weighted Score Based on Normalized Reported Factors]]</f>
        <v>0</v>
      </c>
      <c r="AK2298" s="178">
        <f>_xlfn.RANK.EQ(AI2298,$AI$6:$AI$2341,0)+COUNTIF($AI$6:AI2298,AI2298)-1</f>
        <v>2302</v>
      </c>
    </row>
    <row r="2299" spans="1:37" x14ac:dyDescent="0.25">
      <c r="A2299" t="s">
        <v>9629</v>
      </c>
      <c r="B2299">
        <f>_xlfn.XLOOKUP(FME_Ranking1[[#This Row],[FME ID]],FME_Input[FME_ID],FME_Input[RFPG_NUM])</f>
        <v>12</v>
      </c>
      <c r="C2299" t="str">
        <f>_xlfn.XLOOKUP(FME_Ranking1[[#This Row],[FME ID]],FME_Input[FME_ID],FME_Input[FME_NAME])</f>
        <v>Goliad Damage Center B</v>
      </c>
      <c r="D2299" t="str">
        <f>_xlfn.XLOOKUP(FME_Ranking1[[#This Row],[FME ID]],FME_Input[FME_ID],FME_Input[DESCR])</f>
        <v>Construct dam north of W. Ward St</v>
      </c>
      <c r="E2299" s="256">
        <f>_xlfn.XLOOKUP(FME_Ranking1[[#This Row],[FME ID]],FME_Input[FME_ID],FME_Input[FME_COST])</f>
        <v>100000</v>
      </c>
      <c r="F2299" t="str">
        <f>_xlfn.XLOOKUP(FME_Ranking1[[#This Row],[FME ID]],FME_Input[FME_ID],FME_Input[EMER_NEED])</f>
        <v>No</v>
      </c>
      <c r="G2299">
        <f>IF(FME_Ranking!F2299="Yes",100,0)</f>
        <v>0</v>
      </c>
      <c r="H2299">
        <f>FME_Ranking1[[#This Row],[Emergency Need Score (Normalized, Unweighted)]]*$F$3</f>
        <v>0</v>
      </c>
      <c r="I2299" s="246">
        <f>_xlfn.XLOOKUP(FME_Ranking1[[#This Row],[FME ID]],FME_Input[FME_ID],FME_Input[STRUCT_100])</f>
        <v>0</v>
      </c>
      <c r="J2299" s="178">
        <f>(FME_Ranking1[[#This Row],[Structures 100 Raw]]/I$2)*100</f>
        <v>0</v>
      </c>
      <c r="K2299" s="178">
        <f>FME_Ranking1[[#This Row],[Structures 100  Score (Normalized, Unweighted)]]*$I$3</f>
        <v>0</v>
      </c>
      <c r="L2299" s="246">
        <f>_xlfn.XLOOKUP(FME_Ranking1[[#This Row],[FME ID]],FME_Input[FME_ID],FME_Input[RES_STRUCT100])</f>
        <v>0</v>
      </c>
      <c r="M2299" s="230">
        <f>(FME_Ranking1[[#This Row],[Res Structures Raw]]/L$2)*100</f>
        <v>0</v>
      </c>
      <c r="N2299" s="180">
        <f>FME_Ranking1[[#This Row],[Res Structures Score (Normalized, Unweighted)]]*$L$3</f>
        <v>0</v>
      </c>
      <c r="O2299" s="244">
        <f>_xlfn.XLOOKUP(FME_Ranking1[[#This Row],[FME ID]],FME_Input[FME_ID],FME_Input[POP100])</f>
        <v>0</v>
      </c>
      <c r="P2299" s="178">
        <f>(FME_Ranking1[[#This Row],[Pop Raw]]/$O$2)*100</f>
        <v>0</v>
      </c>
      <c r="Q2299" s="178">
        <f>FME_Ranking1[[#This Row],[Pop Score (Normalized, Unweighted)]]*$O$3</f>
        <v>0</v>
      </c>
      <c r="R2299" s="137">
        <f>_xlfn.XLOOKUP(FME_Ranking1[[#This Row],[FME ID]],FME_Input[FME_ID],FME_Input[CRITFAC100])</f>
        <v>0</v>
      </c>
      <c r="S2299" s="230">
        <f>(FME_Ranking1[[#This Row],[Critical Facilities Raw]]/$R$2)*100</f>
        <v>0</v>
      </c>
      <c r="T2299" s="180">
        <f>FME_Ranking1[[#This Row],[Critical Facilities Score (Normalized, Unweighted)]]*$R$3</f>
        <v>0</v>
      </c>
      <c r="U2299">
        <f>_xlfn.XLOOKUP(FME_Ranking1[[#This Row],[FME ID]],FME_Input[FME_ID],FME_Input[LWC])</f>
        <v>0</v>
      </c>
      <c r="V2299" s="178">
        <f>(FME_Ranking1[[#This Row],[LWC Raw]]/$U$2)*100</f>
        <v>0</v>
      </c>
      <c r="W2299" s="178">
        <f>FME_Ranking1[[#This Row],[LWC Score (Normalized, Unweighted)]]*$U$3</f>
        <v>0</v>
      </c>
      <c r="X2299" s="246">
        <f>_xlfn.XLOOKUP(FME_Ranking1[[#This Row],[FME ID]],FME_Input[FME_ID],FME_Input[ROADCLS])</f>
        <v>0</v>
      </c>
      <c r="Y2299" s="230">
        <f>(FME_Ranking1[[#This Row],[Closures Raw]]/$X$2)*100</f>
        <v>0</v>
      </c>
      <c r="Z2299" s="180">
        <f>FME_Ranking1[[#This Row],[Closures Score (Normalized, Unweighted)]]*$X$3</f>
        <v>0</v>
      </c>
      <c r="AA2299" s="253">
        <f>_xlfn.XLOOKUP(FME_Ranking1[[#This Row],[FME ID]],FME_Input[FME_ID],FME_Input[ROAD_MILES100])</f>
        <v>0</v>
      </c>
      <c r="AB2299" s="178">
        <f>(FME_Ranking1[[#This Row],[Miles Raw]]/$AA$2)*100</f>
        <v>0</v>
      </c>
      <c r="AC2299" s="178">
        <f>FME_Ranking1[[#This Row],[Miles Score (Normalized, Unweighted)]]*$AA$3</f>
        <v>0</v>
      </c>
      <c r="AD2299" s="255">
        <f>_xlfn.XLOOKUP(FME_Ranking1[[#This Row],[FME ID]],FME_Input[FME_ID],FME_Input[FARMACRE100])</f>
        <v>0</v>
      </c>
      <c r="AE2299" s="230">
        <f>(FME_Ranking1[[#This Row],[Ag Land Raw]]/$AD$2)*100</f>
        <v>0</v>
      </c>
      <c r="AF2299" s="231">
        <f>FME_Ranking1[[#This Row],[Ag Land Score (Normalized, Unweighted)]]*$AD$3</f>
        <v>0</v>
      </c>
      <c r="AG229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299" s="406">
        <f t="shared" si="35"/>
        <v>2198</v>
      </c>
      <c r="AI229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299" s="257">
        <f>FME_Ranking1[[#This Row],[Addition check]]-FME_Ranking1[[#This Row],[Weighted Score Based on Normalized Reported Factors]]</f>
        <v>0</v>
      </c>
      <c r="AK2299" s="178">
        <f>_xlfn.RANK.EQ(AI2299,$AI$6:$AI$2341,0)+COUNTIF($AI$6:AI2299,AI2299)-1</f>
        <v>2303</v>
      </c>
    </row>
    <row r="2300" spans="1:37" x14ac:dyDescent="0.25">
      <c r="A2300" t="s">
        <v>9686</v>
      </c>
      <c r="B2300">
        <f>_xlfn.XLOOKUP(FME_Ranking1[[#This Row],[FME ID]],FME_Input[FME_ID],FME_Input[RFPG_NUM])</f>
        <v>12</v>
      </c>
      <c r="C2300" t="str">
        <f>_xlfn.XLOOKUP(FME_Ranking1[[#This Row],[FME ID]],FME_Input[FME_ID],FME_Input[FME_NAME])</f>
        <v xml:space="preserve">North Lorenzo, Athens Street, Naples Street Storm Drainage Improvements 
</v>
      </c>
      <c r="D2300" t="str">
        <f>_xlfn.XLOOKUP(FME_Ranking1[[#This Row],[FME ID]],FME_Input[FME_ID],FME_Input[DESCR])</f>
        <v>Preliminary Engineering of storm drainage and inlet system.</v>
      </c>
      <c r="E2300" s="256">
        <f>_xlfn.XLOOKUP(FME_Ranking1[[#This Row],[FME ID]],FME_Input[FME_ID],FME_Input[FME_COST])</f>
        <v>300000</v>
      </c>
      <c r="F2300" t="str">
        <f>_xlfn.XLOOKUP(FME_Ranking1[[#This Row],[FME ID]],FME_Input[FME_ID],FME_Input[EMER_NEED])</f>
        <v>Yes</v>
      </c>
      <c r="G2300">
        <f>IF(FME_Ranking!F2300="Yes",100,0)</f>
        <v>100</v>
      </c>
      <c r="H2300">
        <f>FME_Ranking1[[#This Row],[Emergency Need Score (Normalized, Unweighted)]]*$F$3</f>
        <v>0</v>
      </c>
      <c r="I2300" s="246">
        <f>_xlfn.XLOOKUP(FME_Ranking1[[#This Row],[FME ID]],FME_Input[FME_ID],FME_Input[STRUCT_100])</f>
        <v>0</v>
      </c>
      <c r="J2300" s="178">
        <f>(FME_Ranking1[[#This Row],[Structures 100 Raw]]/I$2)*100</f>
        <v>0</v>
      </c>
      <c r="K2300" s="178">
        <f>FME_Ranking1[[#This Row],[Structures 100  Score (Normalized, Unweighted)]]*$I$3</f>
        <v>0</v>
      </c>
      <c r="L2300" s="246">
        <f>_xlfn.XLOOKUP(FME_Ranking1[[#This Row],[FME ID]],FME_Input[FME_ID],FME_Input[RES_STRUCT100])</f>
        <v>0</v>
      </c>
      <c r="M2300" s="230">
        <f>(FME_Ranking1[[#This Row],[Res Structures Raw]]/L$2)*100</f>
        <v>0</v>
      </c>
      <c r="N2300" s="180">
        <f>FME_Ranking1[[#This Row],[Res Structures Score (Normalized, Unweighted)]]*$L$3</f>
        <v>0</v>
      </c>
      <c r="O2300" s="244">
        <f>_xlfn.XLOOKUP(FME_Ranking1[[#This Row],[FME ID]],FME_Input[FME_ID],FME_Input[POP100])</f>
        <v>0</v>
      </c>
      <c r="P2300" s="178">
        <f>(FME_Ranking1[[#This Row],[Pop Raw]]/$O$2)*100</f>
        <v>0</v>
      </c>
      <c r="Q2300" s="178">
        <f>FME_Ranking1[[#This Row],[Pop Score (Normalized, Unweighted)]]*$O$3</f>
        <v>0</v>
      </c>
      <c r="R2300" s="137">
        <f>_xlfn.XLOOKUP(FME_Ranking1[[#This Row],[FME ID]],FME_Input[FME_ID],FME_Input[CRITFAC100])</f>
        <v>0</v>
      </c>
      <c r="S2300" s="230">
        <f>(FME_Ranking1[[#This Row],[Critical Facilities Raw]]/$R$2)*100</f>
        <v>0</v>
      </c>
      <c r="T2300" s="180">
        <f>FME_Ranking1[[#This Row],[Critical Facilities Score (Normalized, Unweighted)]]*$R$3</f>
        <v>0</v>
      </c>
      <c r="U2300">
        <f>_xlfn.XLOOKUP(FME_Ranking1[[#This Row],[FME ID]],FME_Input[FME_ID],FME_Input[LWC])</f>
        <v>0</v>
      </c>
      <c r="V2300" s="178">
        <f>(FME_Ranking1[[#This Row],[LWC Raw]]/$U$2)*100</f>
        <v>0</v>
      </c>
      <c r="W2300" s="178">
        <f>FME_Ranking1[[#This Row],[LWC Score (Normalized, Unweighted)]]*$U$3</f>
        <v>0</v>
      </c>
      <c r="X2300" s="246">
        <f>_xlfn.XLOOKUP(FME_Ranking1[[#This Row],[FME ID]],FME_Input[FME_ID],FME_Input[ROADCLS])</f>
        <v>0</v>
      </c>
      <c r="Y2300" s="230">
        <f>(FME_Ranking1[[#This Row],[Closures Raw]]/$X$2)*100</f>
        <v>0</v>
      </c>
      <c r="Z2300" s="180">
        <f>FME_Ranking1[[#This Row],[Closures Score (Normalized, Unweighted)]]*$X$3</f>
        <v>0</v>
      </c>
      <c r="AA2300" s="253">
        <f>_xlfn.XLOOKUP(FME_Ranking1[[#This Row],[FME ID]],FME_Input[FME_ID],FME_Input[ROAD_MILES100])</f>
        <v>0</v>
      </c>
      <c r="AB2300" s="178">
        <f>(FME_Ranking1[[#This Row],[Miles Raw]]/$AA$2)*100</f>
        <v>0</v>
      </c>
      <c r="AC2300" s="178">
        <f>FME_Ranking1[[#This Row],[Miles Score (Normalized, Unweighted)]]*$AA$3</f>
        <v>0</v>
      </c>
      <c r="AD2300" s="255">
        <f>_xlfn.XLOOKUP(FME_Ranking1[[#This Row],[FME ID]],FME_Input[FME_ID],FME_Input[FARMACRE100])</f>
        <v>0</v>
      </c>
      <c r="AE2300" s="230">
        <f>(FME_Ranking1[[#This Row],[Ag Land Raw]]/$AD$2)*100</f>
        <v>0</v>
      </c>
      <c r="AF2300" s="231">
        <f>FME_Ranking1[[#This Row],[Ag Land Score (Normalized, Unweighted)]]*$AD$3</f>
        <v>0</v>
      </c>
      <c r="AG230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00" s="406">
        <f t="shared" si="35"/>
        <v>2198</v>
      </c>
      <c r="AI230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00" s="257">
        <f>FME_Ranking1[[#This Row],[Addition check]]-FME_Ranking1[[#This Row],[Weighted Score Based on Normalized Reported Factors]]</f>
        <v>0</v>
      </c>
      <c r="AK2300" s="178">
        <f>_xlfn.RANK.EQ(AI2300,$AI$6:$AI$2341,0)+COUNTIF($AI$6:AI2300,AI2300)-1</f>
        <v>2304</v>
      </c>
    </row>
    <row r="2301" spans="1:37" x14ac:dyDescent="0.25">
      <c r="A2301" t="s">
        <v>9785</v>
      </c>
      <c r="B2301">
        <f>_xlfn.XLOOKUP(FME_Ranking1[[#This Row],[FME ID]],FME_Input[FME_ID],FME_Input[RFPG_NUM])</f>
        <v>12</v>
      </c>
      <c r="C2301" t="str">
        <f>_xlfn.XLOOKUP(FME_Ranking1[[#This Row],[FME ID]],FME_Input[FME_ID],FME_Input[FME_NAME])</f>
        <v xml:space="preserve">Port of San Antonio Floodproofing
</v>
      </c>
      <c r="D2301" t="str">
        <f>_xlfn.XLOOKUP(FME_Ranking1[[#This Row],[FME ID]],FME_Input[FME_ID],FME_Input[DESCR])</f>
        <v>Port SA, site specific, study flood mitigation for critial structures</v>
      </c>
      <c r="E2301" s="256">
        <f>_xlfn.XLOOKUP(FME_Ranking1[[#This Row],[FME ID]],FME_Input[FME_ID],FME_Input[FME_COST])</f>
        <v>250000</v>
      </c>
      <c r="F2301" t="str">
        <f>_xlfn.XLOOKUP(FME_Ranking1[[#This Row],[FME ID]],FME_Input[FME_ID],FME_Input[EMER_NEED])</f>
        <v>Yes</v>
      </c>
      <c r="G2301">
        <f>IF(FME_Ranking!F2301="Yes",100,0)</f>
        <v>100</v>
      </c>
      <c r="H2301">
        <f>FME_Ranking1[[#This Row],[Emergency Need Score (Normalized, Unweighted)]]*$F$3</f>
        <v>0</v>
      </c>
      <c r="I2301" s="246">
        <f>_xlfn.XLOOKUP(FME_Ranking1[[#This Row],[FME ID]],FME_Input[FME_ID],FME_Input[STRUCT_100])</f>
        <v>0</v>
      </c>
      <c r="J2301" s="178">
        <f>(FME_Ranking1[[#This Row],[Structures 100 Raw]]/I$2)*100</f>
        <v>0</v>
      </c>
      <c r="K2301" s="178">
        <f>FME_Ranking1[[#This Row],[Structures 100  Score (Normalized, Unweighted)]]*$I$3</f>
        <v>0</v>
      </c>
      <c r="L2301" s="246">
        <f>_xlfn.XLOOKUP(FME_Ranking1[[#This Row],[FME ID]],FME_Input[FME_ID],FME_Input[RES_STRUCT100])</f>
        <v>0</v>
      </c>
      <c r="M2301" s="230">
        <f>(FME_Ranking1[[#This Row],[Res Structures Raw]]/L$2)*100</f>
        <v>0</v>
      </c>
      <c r="N2301" s="180">
        <f>FME_Ranking1[[#This Row],[Res Structures Score (Normalized, Unweighted)]]*$L$3</f>
        <v>0</v>
      </c>
      <c r="O2301" s="244">
        <f>_xlfn.XLOOKUP(FME_Ranking1[[#This Row],[FME ID]],FME_Input[FME_ID],FME_Input[POP100])</f>
        <v>0</v>
      </c>
      <c r="P2301" s="178">
        <f>(FME_Ranking1[[#This Row],[Pop Raw]]/$O$2)*100</f>
        <v>0</v>
      </c>
      <c r="Q2301" s="178">
        <f>FME_Ranking1[[#This Row],[Pop Score (Normalized, Unweighted)]]*$O$3</f>
        <v>0</v>
      </c>
      <c r="R2301" s="137">
        <f>_xlfn.XLOOKUP(FME_Ranking1[[#This Row],[FME ID]],FME_Input[FME_ID],FME_Input[CRITFAC100])</f>
        <v>0</v>
      </c>
      <c r="S2301" s="230">
        <f>(FME_Ranking1[[#This Row],[Critical Facilities Raw]]/$R$2)*100</f>
        <v>0</v>
      </c>
      <c r="T2301" s="180">
        <f>FME_Ranking1[[#This Row],[Critical Facilities Score (Normalized, Unweighted)]]*$R$3</f>
        <v>0</v>
      </c>
      <c r="U2301">
        <f>_xlfn.XLOOKUP(FME_Ranking1[[#This Row],[FME ID]],FME_Input[FME_ID],FME_Input[LWC])</f>
        <v>0</v>
      </c>
      <c r="V2301" s="178">
        <f>(FME_Ranking1[[#This Row],[LWC Raw]]/$U$2)*100</f>
        <v>0</v>
      </c>
      <c r="W2301" s="178">
        <f>FME_Ranking1[[#This Row],[LWC Score (Normalized, Unweighted)]]*$U$3</f>
        <v>0</v>
      </c>
      <c r="X2301" s="246">
        <f>_xlfn.XLOOKUP(FME_Ranking1[[#This Row],[FME ID]],FME_Input[FME_ID],FME_Input[ROADCLS])</f>
        <v>0</v>
      </c>
      <c r="Y2301" s="230">
        <f>(FME_Ranking1[[#This Row],[Closures Raw]]/$X$2)*100</f>
        <v>0</v>
      </c>
      <c r="Z2301" s="180">
        <f>FME_Ranking1[[#This Row],[Closures Score (Normalized, Unweighted)]]*$X$3</f>
        <v>0</v>
      </c>
      <c r="AA2301" s="253">
        <f>_xlfn.XLOOKUP(FME_Ranking1[[#This Row],[FME ID]],FME_Input[FME_ID],FME_Input[ROAD_MILES100])</f>
        <v>0</v>
      </c>
      <c r="AB2301" s="178">
        <f>(FME_Ranking1[[#This Row],[Miles Raw]]/$AA$2)*100</f>
        <v>0</v>
      </c>
      <c r="AC2301" s="178">
        <f>FME_Ranking1[[#This Row],[Miles Score (Normalized, Unweighted)]]*$AA$3</f>
        <v>0</v>
      </c>
      <c r="AD2301" s="255">
        <f>_xlfn.XLOOKUP(FME_Ranking1[[#This Row],[FME ID]],FME_Input[FME_ID],FME_Input[FARMACRE100])</f>
        <v>0</v>
      </c>
      <c r="AE2301" s="230">
        <f>(FME_Ranking1[[#This Row],[Ag Land Raw]]/$AD$2)*100</f>
        <v>0</v>
      </c>
      <c r="AF2301" s="231">
        <f>FME_Ranking1[[#This Row],[Ag Land Score (Normalized, Unweighted)]]*$AD$3</f>
        <v>0</v>
      </c>
      <c r="AG230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01" s="406">
        <f t="shared" si="35"/>
        <v>2198</v>
      </c>
      <c r="AI230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01" s="257">
        <f>FME_Ranking1[[#This Row],[Addition check]]-FME_Ranking1[[#This Row],[Weighted Score Based on Normalized Reported Factors]]</f>
        <v>0</v>
      </c>
      <c r="AK2301" s="178">
        <f>_xlfn.RANK.EQ(AI2301,$AI$6:$AI$2341,0)+COUNTIF($AI$6:AI2301,AI2301)-1</f>
        <v>2305</v>
      </c>
    </row>
    <row r="2302" spans="1:37" x14ac:dyDescent="0.25">
      <c r="A2302" t="s">
        <v>9797</v>
      </c>
      <c r="B2302">
        <f>_xlfn.XLOOKUP(FME_Ranking1[[#This Row],[FME ID]],FME_Input[FME_ID],FME_Input[RFPG_NUM])</f>
        <v>12</v>
      </c>
      <c r="C2302" t="str">
        <f>_xlfn.XLOOKUP(FME_Ranking1[[#This Row],[FME ID]],FME_Input[FME_ID],FME_Input[FME_NAME])</f>
        <v>Country Village Channel Improvements</v>
      </c>
      <c r="D2302" t="str">
        <f>_xlfn.XLOOKUP(FME_Ranking1[[#This Row],[FME ID]],FME_Input[FME_ID],FME_Input[DESCR])</f>
        <v>Preliminary Engineering including an H&amp;H study to size the channel improvements</v>
      </c>
      <c r="E2302" s="256">
        <f>_xlfn.XLOOKUP(FME_Ranking1[[#This Row],[FME ID]],FME_Input[FME_ID],FME_Input[FME_COST])</f>
        <v>50000</v>
      </c>
      <c r="F2302" t="str">
        <f>_xlfn.XLOOKUP(FME_Ranking1[[#This Row],[FME ID]],FME_Input[FME_ID],FME_Input[EMER_NEED])</f>
        <v>No</v>
      </c>
      <c r="G2302">
        <f>IF(FME_Ranking!F2302="Yes",100,0)</f>
        <v>0</v>
      </c>
      <c r="H2302">
        <f>FME_Ranking1[[#This Row],[Emergency Need Score (Normalized, Unweighted)]]*$F$3</f>
        <v>0</v>
      </c>
      <c r="I2302" s="246">
        <f>_xlfn.XLOOKUP(FME_Ranking1[[#This Row],[FME ID]],FME_Input[FME_ID],FME_Input[STRUCT_100])</f>
        <v>0</v>
      </c>
      <c r="J2302" s="178">
        <f>(FME_Ranking1[[#This Row],[Structures 100 Raw]]/I$2)*100</f>
        <v>0</v>
      </c>
      <c r="K2302" s="178">
        <f>FME_Ranking1[[#This Row],[Structures 100  Score (Normalized, Unweighted)]]*$I$3</f>
        <v>0</v>
      </c>
      <c r="L2302" s="246">
        <f>_xlfn.XLOOKUP(FME_Ranking1[[#This Row],[FME ID]],FME_Input[FME_ID],FME_Input[RES_STRUCT100])</f>
        <v>0</v>
      </c>
      <c r="M2302" s="230">
        <f>(FME_Ranking1[[#This Row],[Res Structures Raw]]/L$2)*100</f>
        <v>0</v>
      </c>
      <c r="N2302" s="180">
        <f>FME_Ranking1[[#This Row],[Res Structures Score (Normalized, Unweighted)]]*$L$3</f>
        <v>0</v>
      </c>
      <c r="O2302" s="244">
        <f>_xlfn.XLOOKUP(FME_Ranking1[[#This Row],[FME ID]],FME_Input[FME_ID],FME_Input[POP100])</f>
        <v>0</v>
      </c>
      <c r="P2302" s="178">
        <f>(FME_Ranking1[[#This Row],[Pop Raw]]/$O$2)*100</f>
        <v>0</v>
      </c>
      <c r="Q2302" s="178">
        <f>FME_Ranking1[[#This Row],[Pop Score (Normalized, Unweighted)]]*$O$3</f>
        <v>0</v>
      </c>
      <c r="R2302" s="137">
        <f>_xlfn.XLOOKUP(FME_Ranking1[[#This Row],[FME ID]],FME_Input[FME_ID],FME_Input[CRITFAC100])</f>
        <v>0</v>
      </c>
      <c r="S2302" s="230">
        <f>(FME_Ranking1[[#This Row],[Critical Facilities Raw]]/$R$2)*100</f>
        <v>0</v>
      </c>
      <c r="T2302" s="180">
        <f>FME_Ranking1[[#This Row],[Critical Facilities Score (Normalized, Unweighted)]]*$R$3</f>
        <v>0</v>
      </c>
      <c r="U2302">
        <f>_xlfn.XLOOKUP(FME_Ranking1[[#This Row],[FME ID]],FME_Input[FME_ID],FME_Input[LWC])</f>
        <v>0</v>
      </c>
      <c r="V2302" s="178">
        <f>(FME_Ranking1[[#This Row],[LWC Raw]]/$U$2)*100</f>
        <v>0</v>
      </c>
      <c r="W2302" s="178">
        <f>FME_Ranking1[[#This Row],[LWC Score (Normalized, Unweighted)]]*$U$3</f>
        <v>0</v>
      </c>
      <c r="X2302" s="246">
        <f>_xlfn.XLOOKUP(FME_Ranking1[[#This Row],[FME ID]],FME_Input[FME_ID],FME_Input[ROADCLS])</f>
        <v>0</v>
      </c>
      <c r="Y2302" s="230">
        <f>(FME_Ranking1[[#This Row],[Closures Raw]]/$X$2)*100</f>
        <v>0</v>
      </c>
      <c r="Z2302" s="180">
        <f>FME_Ranking1[[#This Row],[Closures Score (Normalized, Unweighted)]]*$X$3</f>
        <v>0</v>
      </c>
      <c r="AA2302" s="253">
        <f>_xlfn.XLOOKUP(FME_Ranking1[[#This Row],[FME ID]],FME_Input[FME_ID],FME_Input[ROAD_MILES100])</f>
        <v>0</v>
      </c>
      <c r="AB2302" s="178">
        <f>(FME_Ranking1[[#This Row],[Miles Raw]]/$AA$2)*100</f>
        <v>0</v>
      </c>
      <c r="AC2302" s="178">
        <f>FME_Ranking1[[#This Row],[Miles Score (Normalized, Unweighted)]]*$AA$3</f>
        <v>0</v>
      </c>
      <c r="AD2302" s="255">
        <f>_xlfn.XLOOKUP(FME_Ranking1[[#This Row],[FME ID]],FME_Input[FME_ID],FME_Input[FARMACRE100])</f>
        <v>0</v>
      </c>
      <c r="AE2302" s="230">
        <f>(FME_Ranking1[[#This Row],[Ag Land Raw]]/$AD$2)*100</f>
        <v>0</v>
      </c>
      <c r="AF2302" s="231">
        <f>FME_Ranking1[[#This Row],[Ag Land Score (Normalized, Unweighted)]]*$AD$3</f>
        <v>0</v>
      </c>
      <c r="AG230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02" s="406">
        <f t="shared" si="35"/>
        <v>2198</v>
      </c>
      <c r="AI230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02" s="257">
        <f>FME_Ranking1[[#This Row],[Addition check]]-FME_Ranking1[[#This Row],[Weighted Score Based on Normalized Reported Factors]]</f>
        <v>0</v>
      </c>
      <c r="AK2302" s="178">
        <f>_xlfn.RANK.EQ(AI2302,$AI$6:$AI$2341,0)+COUNTIF($AI$6:AI2302,AI2302)-1</f>
        <v>2306</v>
      </c>
    </row>
    <row r="2303" spans="1:37" x14ac:dyDescent="0.25">
      <c r="A2303" t="s">
        <v>9835</v>
      </c>
      <c r="B2303">
        <f>_xlfn.XLOOKUP(FME_Ranking1[[#This Row],[FME ID]],FME_Input[FME_ID],FME_Input[RFPG_NUM])</f>
        <v>12</v>
      </c>
      <c r="C2303" t="str">
        <f>_xlfn.XLOOKUP(FME_Ranking1[[#This Row],[FME ID]],FME_Input[FME_ID],FME_Input[FME_NAME])</f>
        <v>Damage Center 2: Project 1 Channelization</v>
      </c>
      <c r="D2303" t="str">
        <f>_xlfn.XLOOKUP(FME_Ranking1[[#This Row],[FME ID]],FME_Input[FME_ID],FME_Input[DESCR])</f>
        <v>The channelization project would add 8 feet to the left bank of the channel, and the depth would be kept at its existing elevation.  The project would remove two structures adjacent to the stream from the floodplain.</v>
      </c>
      <c r="E2303" s="256">
        <f>_xlfn.XLOOKUP(FME_Ranking1[[#This Row],[FME ID]],FME_Input[FME_ID],FME_Input[FME_COST])</f>
        <v>100000</v>
      </c>
      <c r="F2303" t="str">
        <f>_xlfn.XLOOKUP(FME_Ranking1[[#This Row],[FME ID]],FME_Input[FME_ID],FME_Input[EMER_NEED])</f>
        <v>No</v>
      </c>
      <c r="G2303">
        <f>IF(FME_Ranking!F2303="Yes",100,0)</f>
        <v>0</v>
      </c>
      <c r="H2303">
        <f>FME_Ranking1[[#This Row],[Emergency Need Score (Normalized, Unweighted)]]*$F$3</f>
        <v>0</v>
      </c>
      <c r="I2303" s="246">
        <f>_xlfn.XLOOKUP(FME_Ranking1[[#This Row],[FME ID]],FME_Input[FME_ID],FME_Input[STRUCT_100])</f>
        <v>0</v>
      </c>
      <c r="J2303" s="178">
        <f>(FME_Ranking1[[#This Row],[Structures 100 Raw]]/I$2)*100</f>
        <v>0</v>
      </c>
      <c r="K2303" s="178">
        <f>FME_Ranking1[[#This Row],[Structures 100  Score (Normalized, Unweighted)]]*$I$3</f>
        <v>0</v>
      </c>
      <c r="L2303" s="246">
        <f>_xlfn.XLOOKUP(FME_Ranking1[[#This Row],[FME ID]],FME_Input[FME_ID],FME_Input[RES_STRUCT100])</f>
        <v>0</v>
      </c>
      <c r="M2303" s="230">
        <f>(FME_Ranking1[[#This Row],[Res Structures Raw]]/L$2)*100</f>
        <v>0</v>
      </c>
      <c r="N2303" s="180">
        <f>FME_Ranking1[[#This Row],[Res Structures Score (Normalized, Unweighted)]]*$L$3</f>
        <v>0</v>
      </c>
      <c r="O2303" s="244">
        <f>_xlfn.XLOOKUP(FME_Ranking1[[#This Row],[FME ID]],FME_Input[FME_ID],FME_Input[POP100])</f>
        <v>0</v>
      </c>
      <c r="P2303" s="178">
        <f>(FME_Ranking1[[#This Row],[Pop Raw]]/$O$2)*100</f>
        <v>0</v>
      </c>
      <c r="Q2303" s="178">
        <f>FME_Ranking1[[#This Row],[Pop Score (Normalized, Unweighted)]]*$O$3</f>
        <v>0</v>
      </c>
      <c r="R2303" s="137">
        <f>_xlfn.XLOOKUP(FME_Ranking1[[#This Row],[FME ID]],FME_Input[FME_ID],FME_Input[CRITFAC100])</f>
        <v>0</v>
      </c>
      <c r="S2303" s="230">
        <f>(FME_Ranking1[[#This Row],[Critical Facilities Raw]]/$R$2)*100</f>
        <v>0</v>
      </c>
      <c r="T2303" s="180">
        <f>FME_Ranking1[[#This Row],[Critical Facilities Score (Normalized, Unweighted)]]*$R$3</f>
        <v>0</v>
      </c>
      <c r="U2303">
        <f>_xlfn.XLOOKUP(FME_Ranking1[[#This Row],[FME ID]],FME_Input[FME_ID],FME_Input[LWC])</f>
        <v>0</v>
      </c>
      <c r="V2303" s="178">
        <f>(FME_Ranking1[[#This Row],[LWC Raw]]/$U$2)*100</f>
        <v>0</v>
      </c>
      <c r="W2303" s="178">
        <f>FME_Ranking1[[#This Row],[LWC Score (Normalized, Unweighted)]]*$U$3</f>
        <v>0</v>
      </c>
      <c r="X2303" s="246">
        <f>_xlfn.XLOOKUP(FME_Ranking1[[#This Row],[FME ID]],FME_Input[FME_ID],FME_Input[ROADCLS])</f>
        <v>0</v>
      </c>
      <c r="Y2303" s="230">
        <f>(FME_Ranking1[[#This Row],[Closures Raw]]/$X$2)*100</f>
        <v>0</v>
      </c>
      <c r="Z2303" s="180">
        <f>FME_Ranking1[[#This Row],[Closures Score (Normalized, Unweighted)]]*$X$3</f>
        <v>0</v>
      </c>
      <c r="AA2303" s="253">
        <f>_xlfn.XLOOKUP(FME_Ranking1[[#This Row],[FME ID]],FME_Input[FME_ID],FME_Input[ROAD_MILES100])</f>
        <v>0</v>
      </c>
      <c r="AB2303" s="178">
        <f>(FME_Ranking1[[#This Row],[Miles Raw]]/$AA$2)*100</f>
        <v>0</v>
      </c>
      <c r="AC2303" s="178">
        <f>FME_Ranking1[[#This Row],[Miles Score (Normalized, Unweighted)]]*$AA$3</f>
        <v>0</v>
      </c>
      <c r="AD2303" s="255">
        <f>_xlfn.XLOOKUP(FME_Ranking1[[#This Row],[FME ID]],FME_Input[FME_ID],FME_Input[FARMACRE100])</f>
        <v>0</v>
      </c>
      <c r="AE2303" s="230">
        <f>(FME_Ranking1[[#This Row],[Ag Land Raw]]/$AD$2)*100</f>
        <v>0</v>
      </c>
      <c r="AF2303" s="231">
        <f>FME_Ranking1[[#This Row],[Ag Land Score (Normalized, Unweighted)]]*$AD$3</f>
        <v>0</v>
      </c>
      <c r="AG230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03" s="406">
        <f t="shared" si="35"/>
        <v>2198</v>
      </c>
      <c r="AI230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03" s="257">
        <f>FME_Ranking1[[#This Row],[Addition check]]-FME_Ranking1[[#This Row],[Weighted Score Based on Normalized Reported Factors]]</f>
        <v>0</v>
      </c>
      <c r="AK2303" s="178">
        <f>_xlfn.RANK.EQ(AI2303,$AI$6:$AI$2341,0)+COUNTIF($AI$6:AI2303,AI2303)-1</f>
        <v>2307</v>
      </c>
    </row>
    <row r="2304" spans="1:37" x14ac:dyDescent="0.25">
      <c r="A2304" t="s">
        <v>9894</v>
      </c>
      <c r="B2304">
        <f>_xlfn.XLOOKUP(FME_Ranking1[[#This Row],[FME ID]],FME_Input[FME_ID],FME_Input[RFPG_NUM])</f>
        <v>12</v>
      </c>
      <c r="C2304" t="str">
        <f>_xlfn.XLOOKUP(FME_Ranking1[[#This Row],[FME ID]],FME_Input[FME_ID],FME_Input[FME_NAME])</f>
        <v>29010 Tivoli Way</v>
      </c>
      <c r="D2304" t="str">
        <f>_xlfn.XLOOKUP(FME_Ranking1[[#This Row],[FME ID]],FME_Input[FME_ID],FME_Input[DESCR])</f>
        <v>Utilize existing stormwater infrastructure by regrading the roadway to slope towards existing inlets and open channels on the  north and south side of Windermere Dr on the east side of Fair Oaks Parkway. New curb installed along the west side of Fair Oak</v>
      </c>
      <c r="E2304" s="256">
        <f>_xlfn.XLOOKUP(FME_Ranking1[[#This Row],[FME ID]],FME_Input[FME_ID],FME_Input[FME_COST])</f>
        <v>519760</v>
      </c>
      <c r="F2304" t="str">
        <f>_xlfn.XLOOKUP(FME_Ranking1[[#This Row],[FME ID]],FME_Input[FME_ID],FME_Input[EMER_NEED])</f>
        <v>No</v>
      </c>
      <c r="G2304">
        <f>IF(FME_Ranking!F2304="Yes",100,0)</f>
        <v>0</v>
      </c>
      <c r="H2304">
        <f>FME_Ranking1[[#This Row],[Emergency Need Score (Normalized, Unweighted)]]*$F$3</f>
        <v>0</v>
      </c>
      <c r="I2304" s="246">
        <f>_xlfn.XLOOKUP(FME_Ranking1[[#This Row],[FME ID]],FME_Input[FME_ID],FME_Input[STRUCT_100])</f>
        <v>0</v>
      </c>
      <c r="J2304" s="178">
        <f>(FME_Ranking1[[#This Row],[Structures 100 Raw]]/I$2)*100</f>
        <v>0</v>
      </c>
      <c r="K2304" s="178">
        <f>FME_Ranking1[[#This Row],[Structures 100  Score (Normalized, Unweighted)]]*$I$3</f>
        <v>0</v>
      </c>
      <c r="L2304" s="246">
        <f>_xlfn.XLOOKUP(FME_Ranking1[[#This Row],[FME ID]],FME_Input[FME_ID],FME_Input[RES_STRUCT100])</f>
        <v>0</v>
      </c>
      <c r="M2304" s="230">
        <f>(FME_Ranking1[[#This Row],[Res Structures Raw]]/L$2)*100</f>
        <v>0</v>
      </c>
      <c r="N2304" s="180">
        <f>FME_Ranking1[[#This Row],[Res Structures Score (Normalized, Unweighted)]]*$L$3</f>
        <v>0</v>
      </c>
      <c r="O2304" s="244">
        <f>_xlfn.XLOOKUP(FME_Ranking1[[#This Row],[FME ID]],FME_Input[FME_ID],FME_Input[POP100])</f>
        <v>0</v>
      </c>
      <c r="P2304" s="178">
        <f>(FME_Ranking1[[#This Row],[Pop Raw]]/$O$2)*100</f>
        <v>0</v>
      </c>
      <c r="Q2304" s="178">
        <f>FME_Ranking1[[#This Row],[Pop Score (Normalized, Unweighted)]]*$O$3</f>
        <v>0</v>
      </c>
      <c r="R2304" s="137">
        <f>_xlfn.XLOOKUP(FME_Ranking1[[#This Row],[FME ID]],FME_Input[FME_ID],FME_Input[CRITFAC100])</f>
        <v>0</v>
      </c>
      <c r="S2304" s="230">
        <f>(FME_Ranking1[[#This Row],[Critical Facilities Raw]]/$R$2)*100</f>
        <v>0</v>
      </c>
      <c r="T2304" s="180">
        <f>FME_Ranking1[[#This Row],[Critical Facilities Score (Normalized, Unweighted)]]*$R$3</f>
        <v>0</v>
      </c>
      <c r="U2304">
        <f>_xlfn.XLOOKUP(FME_Ranking1[[#This Row],[FME ID]],FME_Input[FME_ID],FME_Input[LWC])</f>
        <v>0</v>
      </c>
      <c r="V2304" s="178">
        <f>(FME_Ranking1[[#This Row],[LWC Raw]]/$U$2)*100</f>
        <v>0</v>
      </c>
      <c r="W2304" s="178">
        <f>FME_Ranking1[[#This Row],[LWC Score (Normalized, Unweighted)]]*$U$3</f>
        <v>0</v>
      </c>
      <c r="X2304" s="246">
        <f>_xlfn.XLOOKUP(FME_Ranking1[[#This Row],[FME ID]],FME_Input[FME_ID],FME_Input[ROADCLS])</f>
        <v>0</v>
      </c>
      <c r="Y2304" s="230">
        <f>(FME_Ranking1[[#This Row],[Closures Raw]]/$X$2)*100</f>
        <v>0</v>
      </c>
      <c r="Z2304" s="180">
        <f>FME_Ranking1[[#This Row],[Closures Score (Normalized, Unweighted)]]*$X$3</f>
        <v>0</v>
      </c>
      <c r="AA2304" s="253">
        <f>_xlfn.XLOOKUP(FME_Ranking1[[#This Row],[FME ID]],FME_Input[FME_ID],FME_Input[ROAD_MILES100])</f>
        <v>0</v>
      </c>
      <c r="AB2304" s="178">
        <f>(FME_Ranking1[[#This Row],[Miles Raw]]/$AA$2)*100</f>
        <v>0</v>
      </c>
      <c r="AC2304" s="178">
        <f>FME_Ranking1[[#This Row],[Miles Score (Normalized, Unweighted)]]*$AA$3</f>
        <v>0</v>
      </c>
      <c r="AD2304" s="255">
        <f>_xlfn.XLOOKUP(FME_Ranking1[[#This Row],[FME ID]],FME_Input[FME_ID],FME_Input[FARMACRE100])</f>
        <v>0</v>
      </c>
      <c r="AE2304" s="230">
        <f>(FME_Ranking1[[#This Row],[Ag Land Raw]]/$AD$2)*100</f>
        <v>0</v>
      </c>
      <c r="AF2304" s="231">
        <f>FME_Ranking1[[#This Row],[Ag Land Score (Normalized, Unweighted)]]*$AD$3</f>
        <v>0</v>
      </c>
      <c r="AG230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04" s="406">
        <f t="shared" si="35"/>
        <v>2198</v>
      </c>
      <c r="AI230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04" s="257">
        <f>FME_Ranking1[[#This Row],[Addition check]]-FME_Ranking1[[#This Row],[Weighted Score Based on Normalized Reported Factors]]</f>
        <v>0</v>
      </c>
      <c r="AK2304" s="178">
        <f>_xlfn.RANK.EQ(AI2304,$AI$6:$AI$2341,0)+COUNTIF($AI$6:AI2304,AI2304)-1</f>
        <v>2308</v>
      </c>
    </row>
    <row r="2305" spans="1:37" x14ac:dyDescent="0.25">
      <c r="A2305" t="s">
        <v>10068</v>
      </c>
      <c r="B2305">
        <f>_xlfn.XLOOKUP(FME_Ranking1[[#This Row],[FME ID]],FME_Input[FME_ID],FME_Input[RFPG_NUM])</f>
        <v>13</v>
      </c>
      <c r="C2305" t="str">
        <f>_xlfn.XLOOKUP(FME_Ranking1[[#This Row],[FME ID]],FME_Input[FME_ID],FME_Input[FME_NAME])</f>
        <v>CR4001 and I-35 Access Road Drainage- FH#10</v>
      </c>
      <c r="D2305" t="str">
        <f>_xlfn.XLOOKUP(FME_Ranking1[[#This Row],[FME ID]],FME_Input[FME_ID],FME_Input[DESCR])</f>
        <v>Install trapezoidal concrete channel and proposed culvert crossings at the driveways along south of IH-35 access at CR4001 tying into the existing drainage channel 1700 LF south of the intersection of IH-35 access at CR4001.</v>
      </c>
      <c r="E2305" s="256">
        <f>_xlfn.XLOOKUP(FME_Ranking1[[#This Row],[FME ID]],FME_Input[FME_ID],FME_Input[FME_COST])</f>
        <v>530000</v>
      </c>
      <c r="F2305" t="str">
        <f>_xlfn.XLOOKUP(FME_Ranking1[[#This Row],[FME ID]],FME_Input[FME_ID],FME_Input[EMER_NEED])</f>
        <v>Yes</v>
      </c>
      <c r="G2305">
        <f>IF(FME_Ranking!F2305="Yes",100,0)</f>
        <v>100</v>
      </c>
      <c r="H2305">
        <f>FME_Ranking1[[#This Row],[Emergency Need Score (Normalized, Unweighted)]]*$F$3</f>
        <v>0</v>
      </c>
      <c r="I2305" s="246">
        <f>_xlfn.XLOOKUP(FME_Ranking1[[#This Row],[FME ID]],FME_Input[FME_ID],FME_Input[STRUCT_100])</f>
        <v>0</v>
      </c>
      <c r="J2305" s="178">
        <f>(FME_Ranking1[[#This Row],[Structures 100 Raw]]/I$2)*100</f>
        <v>0</v>
      </c>
      <c r="K2305" s="178">
        <f>FME_Ranking1[[#This Row],[Structures 100  Score (Normalized, Unweighted)]]*$I$3</f>
        <v>0</v>
      </c>
      <c r="L2305" s="246">
        <f>_xlfn.XLOOKUP(FME_Ranking1[[#This Row],[FME ID]],FME_Input[FME_ID],FME_Input[RES_STRUCT100])</f>
        <v>0</v>
      </c>
      <c r="M2305" s="230">
        <f>(FME_Ranking1[[#This Row],[Res Structures Raw]]/L$2)*100</f>
        <v>0</v>
      </c>
      <c r="N2305" s="180">
        <f>FME_Ranking1[[#This Row],[Res Structures Score (Normalized, Unweighted)]]*$L$3</f>
        <v>0</v>
      </c>
      <c r="O2305" s="244">
        <f>_xlfn.XLOOKUP(FME_Ranking1[[#This Row],[FME ID]],FME_Input[FME_ID],FME_Input[POP100])</f>
        <v>0</v>
      </c>
      <c r="P2305" s="178">
        <f>(FME_Ranking1[[#This Row],[Pop Raw]]/$O$2)*100</f>
        <v>0</v>
      </c>
      <c r="Q2305" s="178">
        <f>FME_Ranking1[[#This Row],[Pop Score (Normalized, Unweighted)]]*$O$3</f>
        <v>0</v>
      </c>
      <c r="R2305" s="137">
        <f>_xlfn.XLOOKUP(FME_Ranking1[[#This Row],[FME ID]],FME_Input[FME_ID],FME_Input[CRITFAC100])</f>
        <v>0</v>
      </c>
      <c r="S2305" s="230">
        <f>(FME_Ranking1[[#This Row],[Critical Facilities Raw]]/$R$2)*100</f>
        <v>0</v>
      </c>
      <c r="T2305" s="180">
        <f>FME_Ranking1[[#This Row],[Critical Facilities Score (Normalized, Unweighted)]]*$R$3</f>
        <v>0</v>
      </c>
      <c r="U2305">
        <f>_xlfn.XLOOKUP(FME_Ranking1[[#This Row],[FME ID]],FME_Input[FME_ID],FME_Input[LWC])</f>
        <v>0</v>
      </c>
      <c r="V2305" s="178">
        <f>(FME_Ranking1[[#This Row],[LWC Raw]]/$U$2)*100</f>
        <v>0</v>
      </c>
      <c r="W2305" s="178">
        <f>FME_Ranking1[[#This Row],[LWC Score (Normalized, Unweighted)]]*$U$3</f>
        <v>0</v>
      </c>
      <c r="X2305" s="246">
        <f>_xlfn.XLOOKUP(FME_Ranking1[[#This Row],[FME ID]],FME_Input[FME_ID],FME_Input[ROADCLS])</f>
        <v>0</v>
      </c>
      <c r="Y2305" s="230">
        <f>(FME_Ranking1[[#This Row],[Closures Raw]]/$X$2)*100</f>
        <v>0</v>
      </c>
      <c r="Z2305" s="180">
        <f>FME_Ranking1[[#This Row],[Closures Score (Normalized, Unweighted)]]*$X$3</f>
        <v>0</v>
      </c>
      <c r="AA2305" s="253">
        <f>_xlfn.XLOOKUP(FME_Ranking1[[#This Row],[FME ID]],FME_Input[FME_ID],FME_Input[ROAD_MILES100])</f>
        <v>0</v>
      </c>
      <c r="AB2305" s="178">
        <f>(FME_Ranking1[[#This Row],[Miles Raw]]/$AA$2)*100</f>
        <v>0</v>
      </c>
      <c r="AC2305" s="178">
        <f>FME_Ranking1[[#This Row],[Miles Score (Normalized, Unweighted)]]*$AA$3</f>
        <v>0</v>
      </c>
      <c r="AD2305" s="255">
        <f>_xlfn.XLOOKUP(FME_Ranking1[[#This Row],[FME ID]],FME_Input[FME_ID],FME_Input[FARMACRE100])</f>
        <v>0</v>
      </c>
      <c r="AE2305" s="230">
        <f>(FME_Ranking1[[#This Row],[Ag Land Raw]]/$AD$2)*100</f>
        <v>0</v>
      </c>
      <c r="AF2305" s="231">
        <f>FME_Ranking1[[#This Row],[Ag Land Score (Normalized, Unweighted)]]*$AD$3</f>
        <v>0</v>
      </c>
      <c r="AG230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05" s="406">
        <f t="shared" si="35"/>
        <v>2198</v>
      </c>
      <c r="AI230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05" s="257">
        <f>FME_Ranking1[[#This Row],[Addition check]]-FME_Ranking1[[#This Row],[Weighted Score Based on Normalized Reported Factors]]</f>
        <v>0</v>
      </c>
      <c r="AK2305" s="178">
        <f>_xlfn.RANK.EQ(AI2305,$AI$6:$AI$2341,0)+COUNTIF($AI$6:AI2305,AI2305)-1</f>
        <v>2309</v>
      </c>
    </row>
    <row r="2306" spans="1:37" x14ac:dyDescent="0.25">
      <c r="A2306" t="s">
        <v>10114</v>
      </c>
      <c r="B2306">
        <f>_xlfn.XLOOKUP(FME_Ranking1[[#This Row],[FME ID]],FME_Input[FME_ID],FME_Input[RFPG_NUM])</f>
        <v>13</v>
      </c>
      <c r="C2306" t="str">
        <f>_xlfn.XLOOKUP(FME_Ranking1[[#This Row],[FME ID]],FME_Input[FME_ID],FME_Input[FME_NAME])</f>
        <v>Pearsall RV Park on Guadalupe Street Drainage Improvements- FH#5</v>
      </c>
      <c r="D2306" t="str">
        <f>_xlfn.XLOOKUP(FME_Ranking1[[#This Row],[FME ID]],FME_Input[FME_ID],FME_Input[DESCR])</f>
        <v>Install underground storm water trunk lines and drop structures at the intersection of Powerplant Road and Guadalupe Street carrying drainage to avoid flooding before outfalling in to earthen swale on Powerplant Road.</v>
      </c>
      <c r="E2306" s="256">
        <f>_xlfn.XLOOKUP(FME_Ranking1[[#This Row],[FME ID]],FME_Input[FME_ID],FME_Input[FME_COST])</f>
        <v>367000</v>
      </c>
      <c r="F2306" t="str">
        <f>_xlfn.XLOOKUP(FME_Ranking1[[#This Row],[FME ID]],FME_Input[FME_ID],FME_Input[EMER_NEED])</f>
        <v>Yes</v>
      </c>
      <c r="G2306">
        <f>IF(FME_Ranking!F2306="Yes",100,0)</f>
        <v>100</v>
      </c>
      <c r="H2306">
        <f>FME_Ranking1[[#This Row],[Emergency Need Score (Normalized, Unweighted)]]*$F$3</f>
        <v>0</v>
      </c>
      <c r="I2306" s="246">
        <f>_xlfn.XLOOKUP(FME_Ranking1[[#This Row],[FME ID]],FME_Input[FME_ID],FME_Input[STRUCT_100])</f>
        <v>0</v>
      </c>
      <c r="J2306" s="178">
        <f>(FME_Ranking1[[#This Row],[Structures 100 Raw]]/I$2)*100</f>
        <v>0</v>
      </c>
      <c r="K2306" s="178">
        <f>FME_Ranking1[[#This Row],[Structures 100  Score (Normalized, Unweighted)]]*$I$3</f>
        <v>0</v>
      </c>
      <c r="L2306" s="246">
        <f>_xlfn.XLOOKUP(FME_Ranking1[[#This Row],[FME ID]],FME_Input[FME_ID],FME_Input[RES_STRUCT100])</f>
        <v>0</v>
      </c>
      <c r="M2306" s="230">
        <f>(FME_Ranking1[[#This Row],[Res Structures Raw]]/L$2)*100</f>
        <v>0</v>
      </c>
      <c r="N2306" s="180">
        <f>FME_Ranking1[[#This Row],[Res Structures Score (Normalized, Unweighted)]]*$L$3</f>
        <v>0</v>
      </c>
      <c r="O2306" s="244">
        <f>_xlfn.XLOOKUP(FME_Ranking1[[#This Row],[FME ID]],FME_Input[FME_ID],FME_Input[POP100])</f>
        <v>0</v>
      </c>
      <c r="P2306" s="178">
        <f>(FME_Ranking1[[#This Row],[Pop Raw]]/$O$2)*100</f>
        <v>0</v>
      </c>
      <c r="Q2306" s="178">
        <f>FME_Ranking1[[#This Row],[Pop Score (Normalized, Unweighted)]]*$O$3</f>
        <v>0</v>
      </c>
      <c r="R2306" s="137">
        <f>_xlfn.XLOOKUP(FME_Ranking1[[#This Row],[FME ID]],FME_Input[FME_ID],FME_Input[CRITFAC100])</f>
        <v>0</v>
      </c>
      <c r="S2306" s="230">
        <f>(FME_Ranking1[[#This Row],[Critical Facilities Raw]]/$R$2)*100</f>
        <v>0</v>
      </c>
      <c r="T2306" s="180">
        <f>FME_Ranking1[[#This Row],[Critical Facilities Score (Normalized, Unweighted)]]*$R$3</f>
        <v>0</v>
      </c>
      <c r="U2306">
        <f>_xlfn.XLOOKUP(FME_Ranking1[[#This Row],[FME ID]],FME_Input[FME_ID],FME_Input[LWC])</f>
        <v>0</v>
      </c>
      <c r="V2306" s="178">
        <f>(FME_Ranking1[[#This Row],[LWC Raw]]/$U$2)*100</f>
        <v>0</v>
      </c>
      <c r="W2306" s="178">
        <f>FME_Ranking1[[#This Row],[LWC Score (Normalized, Unweighted)]]*$U$3</f>
        <v>0</v>
      </c>
      <c r="X2306" s="246">
        <f>_xlfn.XLOOKUP(FME_Ranking1[[#This Row],[FME ID]],FME_Input[FME_ID],FME_Input[ROADCLS])</f>
        <v>0</v>
      </c>
      <c r="Y2306" s="230">
        <f>(FME_Ranking1[[#This Row],[Closures Raw]]/$X$2)*100</f>
        <v>0</v>
      </c>
      <c r="Z2306" s="180">
        <f>FME_Ranking1[[#This Row],[Closures Score (Normalized, Unweighted)]]*$X$3</f>
        <v>0</v>
      </c>
      <c r="AA2306" s="253">
        <f>_xlfn.XLOOKUP(FME_Ranking1[[#This Row],[FME ID]],FME_Input[FME_ID],FME_Input[ROAD_MILES100])</f>
        <v>0</v>
      </c>
      <c r="AB2306" s="178">
        <f>(FME_Ranking1[[#This Row],[Miles Raw]]/$AA$2)*100</f>
        <v>0</v>
      </c>
      <c r="AC2306" s="178">
        <f>FME_Ranking1[[#This Row],[Miles Score (Normalized, Unweighted)]]*$AA$3</f>
        <v>0</v>
      </c>
      <c r="AD2306" s="255">
        <f>_xlfn.XLOOKUP(FME_Ranking1[[#This Row],[FME ID]],FME_Input[FME_ID],FME_Input[FARMACRE100])</f>
        <v>0</v>
      </c>
      <c r="AE2306" s="230">
        <f>(FME_Ranking1[[#This Row],[Ag Land Raw]]/$AD$2)*100</f>
        <v>0</v>
      </c>
      <c r="AF2306" s="231">
        <f>FME_Ranking1[[#This Row],[Ag Land Score (Normalized, Unweighted)]]*$AD$3</f>
        <v>0</v>
      </c>
      <c r="AG230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06" s="406">
        <f t="shared" si="35"/>
        <v>2198</v>
      </c>
      <c r="AI230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06" s="257">
        <f>FME_Ranking1[[#This Row],[Addition check]]-FME_Ranking1[[#This Row],[Weighted Score Based on Normalized Reported Factors]]</f>
        <v>0</v>
      </c>
      <c r="AK2306" s="178">
        <f>_xlfn.RANK.EQ(AI2306,$AI$6:$AI$2341,0)+COUNTIF($AI$6:AI2306,AI2306)-1</f>
        <v>2310</v>
      </c>
    </row>
    <row r="2307" spans="1:37" x14ac:dyDescent="0.25">
      <c r="A2307" t="s">
        <v>10301</v>
      </c>
      <c r="B2307">
        <f>_xlfn.XLOOKUP(FME_Ranking1[[#This Row],[FME ID]],FME_Input[FME_ID],FME_Input[RFPG_NUM])</f>
        <v>13</v>
      </c>
      <c r="C2307" t="str">
        <f>_xlfn.XLOOKUP(FME_Ranking1[[#This Row],[FME ID]],FME_Input[FME_ID],FME_Input[FME_NAME])</f>
        <v>Ave A &amp; 8th St Drainage Improvements</v>
      </c>
      <c r="D2307" t="str">
        <f>_xlfn.XLOOKUP(FME_Ranking1[[#This Row],[FME ID]],FME_Input[FME_ID],FME_Input[DESCR])</f>
        <v>Drainage improvements along Avenue A from south of 6th Street, south to 8th Street, and west along 8th Street to the existing drainage channel.</v>
      </c>
      <c r="E2307" s="256">
        <f>_xlfn.XLOOKUP(FME_Ranking1[[#This Row],[FME ID]],FME_Input[FME_ID],FME_Input[FME_COST])</f>
        <v>231000</v>
      </c>
      <c r="F2307" t="str">
        <f>_xlfn.XLOOKUP(FME_Ranking1[[#This Row],[FME ID]],FME_Input[FME_ID],FME_Input[EMER_NEED])</f>
        <v>Yes</v>
      </c>
      <c r="G2307">
        <f>IF(FME_Ranking!F2307="Yes",100,0)</f>
        <v>100</v>
      </c>
      <c r="H2307">
        <f>FME_Ranking1[[#This Row],[Emergency Need Score (Normalized, Unweighted)]]*$F$3</f>
        <v>0</v>
      </c>
      <c r="I2307" s="246">
        <f>_xlfn.XLOOKUP(FME_Ranking1[[#This Row],[FME ID]],FME_Input[FME_ID],FME_Input[STRUCT_100])</f>
        <v>0</v>
      </c>
      <c r="J2307" s="178">
        <f>(FME_Ranking1[[#This Row],[Structures 100 Raw]]/I$2)*100</f>
        <v>0</v>
      </c>
      <c r="K2307" s="178">
        <f>FME_Ranking1[[#This Row],[Structures 100  Score (Normalized, Unweighted)]]*$I$3</f>
        <v>0</v>
      </c>
      <c r="L2307" s="246">
        <f>_xlfn.XLOOKUP(FME_Ranking1[[#This Row],[FME ID]],FME_Input[FME_ID],FME_Input[RES_STRUCT100])</f>
        <v>0</v>
      </c>
      <c r="M2307" s="230">
        <f>(FME_Ranking1[[#This Row],[Res Structures Raw]]/L$2)*100</f>
        <v>0</v>
      </c>
      <c r="N2307" s="180">
        <f>FME_Ranking1[[#This Row],[Res Structures Score (Normalized, Unweighted)]]*$L$3</f>
        <v>0</v>
      </c>
      <c r="O2307" s="244">
        <f>_xlfn.XLOOKUP(FME_Ranking1[[#This Row],[FME ID]],FME_Input[FME_ID],FME_Input[POP100])</f>
        <v>0</v>
      </c>
      <c r="P2307" s="178">
        <f>(FME_Ranking1[[#This Row],[Pop Raw]]/$O$2)*100</f>
        <v>0</v>
      </c>
      <c r="Q2307" s="178">
        <f>FME_Ranking1[[#This Row],[Pop Score (Normalized, Unweighted)]]*$O$3</f>
        <v>0</v>
      </c>
      <c r="R2307" s="137">
        <f>_xlfn.XLOOKUP(FME_Ranking1[[#This Row],[FME ID]],FME_Input[FME_ID],FME_Input[CRITFAC100])</f>
        <v>0</v>
      </c>
      <c r="S2307" s="230">
        <f>(FME_Ranking1[[#This Row],[Critical Facilities Raw]]/$R$2)*100</f>
        <v>0</v>
      </c>
      <c r="T2307" s="180">
        <f>FME_Ranking1[[#This Row],[Critical Facilities Score (Normalized, Unweighted)]]*$R$3</f>
        <v>0</v>
      </c>
      <c r="U2307">
        <f>_xlfn.XLOOKUP(FME_Ranking1[[#This Row],[FME ID]],FME_Input[FME_ID],FME_Input[LWC])</f>
        <v>0</v>
      </c>
      <c r="V2307" s="178">
        <f>(FME_Ranking1[[#This Row],[LWC Raw]]/$U$2)*100</f>
        <v>0</v>
      </c>
      <c r="W2307" s="178">
        <f>FME_Ranking1[[#This Row],[LWC Score (Normalized, Unweighted)]]*$U$3</f>
        <v>0</v>
      </c>
      <c r="X2307" s="246">
        <f>_xlfn.XLOOKUP(FME_Ranking1[[#This Row],[FME ID]],FME_Input[FME_ID],FME_Input[ROADCLS])</f>
        <v>0</v>
      </c>
      <c r="Y2307" s="230">
        <f>(FME_Ranking1[[#This Row],[Closures Raw]]/$X$2)*100</f>
        <v>0</v>
      </c>
      <c r="Z2307" s="180">
        <f>FME_Ranking1[[#This Row],[Closures Score (Normalized, Unweighted)]]*$X$3</f>
        <v>0</v>
      </c>
      <c r="AA2307" s="253">
        <f>_xlfn.XLOOKUP(FME_Ranking1[[#This Row],[FME ID]],FME_Input[FME_ID],FME_Input[ROAD_MILES100])</f>
        <v>0</v>
      </c>
      <c r="AB2307" s="178">
        <f>(FME_Ranking1[[#This Row],[Miles Raw]]/$AA$2)*100</f>
        <v>0</v>
      </c>
      <c r="AC2307" s="178">
        <f>FME_Ranking1[[#This Row],[Miles Score (Normalized, Unweighted)]]*$AA$3</f>
        <v>0</v>
      </c>
      <c r="AD2307" s="255">
        <f>_xlfn.XLOOKUP(FME_Ranking1[[#This Row],[FME ID]],FME_Input[FME_ID],FME_Input[FARMACRE100])</f>
        <v>0</v>
      </c>
      <c r="AE2307" s="230">
        <f>(FME_Ranking1[[#This Row],[Ag Land Raw]]/$AD$2)*100</f>
        <v>0</v>
      </c>
      <c r="AF2307" s="231">
        <f>FME_Ranking1[[#This Row],[Ag Land Score (Normalized, Unweighted)]]*$AD$3</f>
        <v>0</v>
      </c>
      <c r="AG230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07" s="406">
        <f t="shared" si="35"/>
        <v>2198</v>
      </c>
      <c r="AI230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07" s="257">
        <f>FME_Ranking1[[#This Row],[Addition check]]-FME_Ranking1[[#This Row],[Weighted Score Based on Normalized Reported Factors]]</f>
        <v>0</v>
      </c>
      <c r="AK2307" s="178">
        <f>_xlfn.RANK.EQ(AI2307,$AI$6:$AI$2341,0)+COUNTIF($AI$6:AI2307,AI2307)-1</f>
        <v>2311</v>
      </c>
    </row>
    <row r="2308" spans="1:37" x14ac:dyDescent="0.25">
      <c r="A2308" t="s">
        <v>10358</v>
      </c>
      <c r="B2308">
        <f>_xlfn.XLOOKUP(FME_Ranking1[[#This Row],[FME ID]],FME_Input[FME_ID],FME_Input[RFPG_NUM])</f>
        <v>13</v>
      </c>
      <c r="C2308" t="str">
        <f>_xlfn.XLOOKUP(FME_Ranking1[[#This Row],[FME ID]],FME_Input[FME_ID],FME_Input[FME_NAME])</f>
        <v>Euclid Stormwater Pump Station Improvements</v>
      </c>
      <c r="D2308" t="str">
        <f>_xlfn.XLOOKUP(FME_Ranking1[[#This Row],[FME ID]],FME_Input[FME_ID],FME_Input[DESCR])</f>
        <v>Pump house is at risk of notable damage due to hurricane winds and flooding during large rain events, and it's capacity is undersized for peak flood flows. Improvements needed to improve maintenance access, flood resiliency, and to facilitate more pumps.</v>
      </c>
      <c r="E2308" s="256">
        <f>_xlfn.XLOOKUP(FME_Ranking1[[#This Row],[FME ID]],FME_Input[FME_ID],FME_Input[FME_COST])</f>
        <v>900000</v>
      </c>
      <c r="F2308" t="str">
        <f>_xlfn.XLOOKUP(FME_Ranking1[[#This Row],[FME ID]],FME_Input[FME_ID],FME_Input[EMER_NEED])</f>
        <v>Yes</v>
      </c>
      <c r="G2308">
        <f>IF(FME_Ranking!F2308="Yes",100,0)</f>
        <v>100</v>
      </c>
      <c r="H2308">
        <f>FME_Ranking1[[#This Row],[Emergency Need Score (Normalized, Unweighted)]]*$F$3</f>
        <v>0</v>
      </c>
      <c r="I2308" s="246">
        <f>_xlfn.XLOOKUP(FME_Ranking1[[#This Row],[FME ID]],FME_Input[FME_ID],FME_Input[STRUCT_100])</f>
        <v>0</v>
      </c>
      <c r="J2308" s="178">
        <f>(FME_Ranking1[[#This Row],[Structures 100 Raw]]/I$2)*100</f>
        <v>0</v>
      </c>
      <c r="K2308" s="178">
        <f>FME_Ranking1[[#This Row],[Structures 100  Score (Normalized, Unweighted)]]*$I$3</f>
        <v>0</v>
      </c>
      <c r="L2308" s="246">
        <f>_xlfn.XLOOKUP(FME_Ranking1[[#This Row],[FME ID]],FME_Input[FME_ID],FME_Input[RES_STRUCT100])</f>
        <v>0</v>
      </c>
      <c r="M2308" s="230">
        <f>(FME_Ranking1[[#This Row],[Res Structures Raw]]/L$2)*100</f>
        <v>0</v>
      </c>
      <c r="N2308" s="180">
        <f>FME_Ranking1[[#This Row],[Res Structures Score (Normalized, Unweighted)]]*$L$3</f>
        <v>0</v>
      </c>
      <c r="O2308" s="244">
        <f>_xlfn.XLOOKUP(FME_Ranking1[[#This Row],[FME ID]],FME_Input[FME_ID],FME_Input[POP100])</f>
        <v>0</v>
      </c>
      <c r="P2308" s="178">
        <f>(FME_Ranking1[[#This Row],[Pop Raw]]/$O$2)*100</f>
        <v>0</v>
      </c>
      <c r="Q2308" s="178">
        <f>FME_Ranking1[[#This Row],[Pop Score (Normalized, Unweighted)]]*$O$3</f>
        <v>0</v>
      </c>
      <c r="R2308" s="137">
        <f>_xlfn.XLOOKUP(FME_Ranking1[[#This Row],[FME ID]],FME_Input[FME_ID],FME_Input[CRITFAC100])</f>
        <v>0</v>
      </c>
      <c r="S2308" s="230">
        <f>(FME_Ranking1[[#This Row],[Critical Facilities Raw]]/$R$2)*100</f>
        <v>0</v>
      </c>
      <c r="T2308" s="180">
        <f>FME_Ranking1[[#This Row],[Critical Facilities Score (Normalized, Unweighted)]]*$R$3</f>
        <v>0</v>
      </c>
      <c r="U2308">
        <f>_xlfn.XLOOKUP(FME_Ranking1[[#This Row],[FME ID]],FME_Input[FME_ID],FME_Input[LWC])</f>
        <v>0</v>
      </c>
      <c r="V2308" s="178">
        <f>(FME_Ranking1[[#This Row],[LWC Raw]]/$U$2)*100</f>
        <v>0</v>
      </c>
      <c r="W2308" s="178">
        <f>FME_Ranking1[[#This Row],[LWC Score (Normalized, Unweighted)]]*$U$3</f>
        <v>0</v>
      </c>
      <c r="X2308" s="246">
        <f>_xlfn.XLOOKUP(FME_Ranking1[[#This Row],[FME ID]],FME_Input[FME_ID],FME_Input[ROADCLS])</f>
        <v>0</v>
      </c>
      <c r="Y2308" s="230">
        <f>(FME_Ranking1[[#This Row],[Closures Raw]]/$X$2)*100</f>
        <v>0</v>
      </c>
      <c r="Z2308" s="180">
        <f>FME_Ranking1[[#This Row],[Closures Score (Normalized, Unweighted)]]*$X$3</f>
        <v>0</v>
      </c>
      <c r="AA2308" s="253">
        <f>_xlfn.XLOOKUP(FME_Ranking1[[#This Row],[FME ID]],FME_Input[FME_ID],FME_Input[ROAD_MILES100])</f>
        <v>1.245000027120113E-2</v>
      </c>
      <c r="AB2308" s="178">
        <f>(FME_Ranking1[[#This Row],[Miles Raw]]/$AA$2)*100</f>
        <v>1.6369517344249715E-4</v>
      </c>
      <c r="AC2308" s="178">
        <f>FME_Ranking1[[#This Row],[Miles Score (Normalized, Unweighted)]]*$AA$3</f>
        <v>1.6369517344249717E-5</v>
      </c>
      <c r="AD2308" s="255">
        <f>_xlfn.XLOOKUP(FME_Ranking1[[#This Row],[FME ID]],FME_Input[FME_ID],FME_Input[FARMACRE100])</f>
        <v>0</v>
      </c>
      <c r="AE2308" s="230">
        <f>(FME_Ranking1[[#This Row],[Ag Land Raw]]/$AD$2)*100</f>
        <v>0</v>
      </c>
      <c r="AF2308" s="231">
        <f>FME_Ranking1[[#This Row],[Ag Land Score (Normalized, Unweighted)]]*$AD$3</f>
        <v>0</v>
      </c>
      <c r="AG230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1.6369517344249717E-5</v>
      </c>
      <c r="AH2308" s="406">
        <f t="shared" si="35"/>
        <v>2165</v>
      </c>
      <c r="AI230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1.6369517344249717E-5</v>
      </c>
      <c r="AJ2308" s="257">
        <f>FME_Ranking1[[#This Row],[Addition check]]-FME_Ranking1[[#This Row],[Weighted Score Based on Normalized Reported Factors]]</f>
        <v>0</v>
      </c>
      <c r="AK2308" s="178">
        <f>_xlfn.RANK.EQ(AI2308,$AI$6:$AI$2341,0)+COUNTIF($AI$6:AI2308,AI2308)-1</f>
        <v>2165</v>
      </c>
    </row>
    <row r="2309" spans="1:37" x14ac:dyDescent="0.25">
      <c r="A2309" t="s">
        <v>10422</v>
      </c>
      <c r="B2309">
        <f>_xlfn.XLOOKUP(FME_Ranking1[[#This Row],[FME ID]],FME_Input[FME_ID],FME_Input[RFPG_NUM])</f>
        <v>13</v>
      </c>
      <c r="C2309" t="str">
        <f>_xlfn.XLOOKUP(FME_Ranking1[[#This Row],[FME ID]],FME_Input[FME_ID],FME_Input[FME_NAME])</f>
        <v>Sparks Colony Drainage Improvements</v>
      </c>
      <c r="D2309" t="str">
        <f>_xlfn.XLOOKUP(FME_Ranking1[[#This Row],[FME ID]],FME_Input[FME_ID],FME_Input[DESCR])</f>
        <v>Construct drainage channel from Rattlesnake Point Road to Bailey Ranch. Project partially constructed, but easements still needed from two property owners.</v>
      </c>
      <c r="E2309" s="256">
        <f>_xlfn.XLOOKUP(FME_Ranking1[[#This Row],[FME ID]],FME_Input[FME_ID],FME_Input[FME_COST])</f>
        <v>225000</v>
      </c>
      <c r="F2309" t="str">
        <f>_xlfn.XLOOKUP(FME_Ranking1[[#This Row],[FME ID]],FME_Input[FME_ID],FME_Input[EMER_NEED])</f>
        <v>Yes</v>
      </c>
      <c r="G2309">
        <f>IF(FME_Ranking!F2309="Yes",100,0)</f>
        <v>100</v>
      </c>
      <c r="H2309">
        <f>FME_Ranking1[[#This Row],[Emergency Need Score (Normalized, Unweighted)]]*$F$3</f>
        <v>0</v>
      </c>
      <c r="I2309" s="246">
        <f>_xlfn.XLOOKUP(FME_Ranking1[[#This Row],[FME ID]],FME_Input[FME_ID],FME_Input[STRUCT_100])</f>
        <v>0</v>
      </c>
      <c r="J2309" s="178">
        <f>(FME_Ranking1[[#This Row],[Structures 100 Raw]]/I$2)*100</f>
        <v>0</v>
      </c>
      <c r="K2309" s="178">
        <f>FME_Ranking1[[#This Row],[Structures 100  Score (Normalized, Unweighted)]]*$I$3</f>
        <v>0</v>
      </c>
      <c r="L2309" s="246">
        <f>_xlfn.XLOOKUP(FME_Ranking1[[#This Row],[FME ID]],FME_Input[FME_ID],FME_Input[RES_STRUCT100])</f>
        <v>0</v>
      </c>
      <c r="M2309" s="230">
        <f>(FME_Ranking1[[#This Row],[Res Structures Raw]]/L$2)*100</f>
        <v>0</v>
      </c>
      <c r="N2309" s="180">
        <f>FME_Ranking1[[#This Row],[Res Structures Score (Normalized, Unweighted)]]*$L$3</f>
        <v>0</v>
      </c>
      <c r="O2309" s="244">
        <f>_xlfn.XLOOKUP(FME_Ranking1[[#This Row],[FME ID]],FME_Input[FME_ID],FME_Input[POP100])</f>
        <v>0</v>
      </c>
      <c r="P2309" s="178">
        <f>(FME_Ranking1[[#This Row],[Pop Raw]]/$O$2)*100</f>
        <v>0</v>
      </c>
      <c r="Q2309" s="178">
        <f>FME_Ranking1[[#This Row],[Pop Score (Normalized, Unweighted)]]*$O$3</f>
        <v>0</v>
      </c>
      <c r="R2309" s="137">
        <f>_xlfn.XLOOKUP(FME_Ranking1[[#This Row],[FME ID]],FME_Input[FME_ID],FME_Input[CRITFAC100])</f>
        <v>0</v>
      </c>
      <c r="S2309" s="230">
        <f>(FME_Ranking1[[#This Row],[Critical Facilities Raw]]/$R$2)*100</f>
        <v>0</v>
      </c>
      <c r="T2309" s="180">
        <f>FME_Ranking1[[#This Row],[Critical Facilities Score (Normalized, Unweighted)]]*$R$3</f>
        <v>0</v>
      </c>
      <c r="U2309">
        <f>_xlfn.XLOOKUP(FME_Ranking1[[#This Row],[FME ID]],FME_Input[FME_ID],FME_Input[LWC])</f>
        <v>0</v>
      </c>
      <c r="V2309" s="178">
        <f>(FME_Ranking1[[#This Row],[LWC Raw]]/$U$2)*100</f>
        <v>0</v>
      </c>
      <c r="W2309" s="178">
        <f>FME_Ranking1[[#This Row],[LWC Score (Normalized, Unweighted)]]*$U$3</f>
        <v>0</v>
      </c>
      <c r="X2309" s="246">
        <f>_xlfn.XLOOKUP(FME_Ranking1[[#This Row],[FME ID]],FME_Input[FME_ID],FME_Input[ROADCLS])</f>
        <v>0</v>
      </c>
      <c r="Y2309" s="230">
        <f>(FME_Ranking1[[#This Row],[Closures Raw]]/$X$2)*100</f>
        <v>0</v>
      </c>
      <c r="Z2309" s="180">
        <f>FME_Ranking1[[#This Row],[Closures Score (Normalized, Unweighted)]]*$X$3</f>
        <v>0</v>
      </c>
      <c r="AA2309" s="253">
        <f>_xlfn.XLOOKUP(FME_Ranking1[[#This Row],[FME ID]],FME_Input[FME_ID],FME_Input[ROAD_MILES100])</f>
        <v>1.4709999784827231E-2</v>
      </c>
      <c r="AB2309" s="178">
        <f>(FME_Ranking1[[#This Row],[Miles Raw]]/$AA$2)*100</f>
        <v>1.9341011354725684E-4</v>
      </c>
      <c r="AC2309" s="178">
        <f>FME_Ranking1[[#This Row],[Miles Score (Normalized, Unweighted)]]*$AA$3</f>
        <v>1.9341011354725686E-5</v>
      </c>
      <c r="AD2309" s="255">
        <f>_xlfn.XLOOKUP(FME_Ranking1[[#This Row],[FME ID]],FME_Input[FME_ID],FME_Input[FARMACRE100])</f>
        <v>0</v>
      </c>
      <c r="AE2309" s="230">
        <f>(FME_Ranking1[[#This Row],[Ag Land Raw]]/$AD$2)*100</f>
        <v>0</v>
      </c>
      <c r="AF2309" s="231">
        <f>FME_Ranking1[[#This Row],[Ag Land Score (Normalized, Unweighted)]]*$AD$3</f>
        <v>0</v>
      </c>
      <c r="AG230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1.9341011354725686E-5</v>
      </c>
      <c r="AH2309" s="406">
        <f t="shared" si="35"/>
        <v>2161</v>
      </c>
      <c r="AI230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1.9341011354725686E-5</v>
      </c>
      <c r="AJ2309" s="257">
        <f>FME_Ranking1[[#This Row],[Addition check]]-FME_Ranking1[[#This Row],[Weighted Score Based on Normalized Reported Factors]]</f>
        <v>0</v>
      </c>
      <c r="AK2309" s="178">
        <f>_xlfn.RANK.EQ(AI2309,$AI$6:$AI$2341,0)+COUNTIF($AI$6:AI2309,AI2309)-1</f>
        <v>2161</v>
      </c>
    </row>
    <row r="2310" spans="1:37" x14ac:dyDescent="0.25">
      <c r="A2310" t="s">
        <v>10425</v>
      </c>
      <c r="B2310">
        <f>_xlfn.XLOOKUP(FME_Ranking1[[#This Row],[FME ID]],FME_Input[FME_ID],FME_Input[RFPG_NUM])</f>
        <v>13</v>
      </c>
      <c r="C2310" t="str">
        <f>_xlfn.XLOOKUP(FME_Ranking1[[#This Row],[FME ID]],FME_Input[FME_ID],FME_Input[FME_NAME])</f>
        <v>Lee Road Drainage Improvements</v>
      </c>
      <c r="D2310" t="str">
        <f>_xlfn.XLOOKUP(FME_Ranking1[[#This Row],[FME ID]],FME_Input[FME_ID],FME_Input[DESCR])</f>
        <v>Secure drainage easements and construct drainage channel from Lee Road to Hwy 35-BUS.</v>
      </c>
      <c r="E2310" s="256">
        <f>_xlfn.XLOOKUP(FME_Ranking1[[#This Row],[FME ID]],FME_Input[FME_ID],FME_Input[FME_COST])</f>
        <v>150000</v>
      </c>
      <c r="F2310" t="str">
        <f>_xlfn.XLOOKUP(FME_Ranking1[[#This Row],[FME ID]],FME_Input[FME_ID],FME_Input[EMER_NEED])</f>
        <v>Yes</v>
      </c>
      <c r="G2310">
        <f>IF(FME_Ranking!F2310="Yes",100,0)</f>
        <v>100</v>
      </c>
      <c r="H2310">
        <f>FME_Ranking1[[#This Row],[Emergency Need Score (Normalized, Unweighted)]]*$F$3</f>
        <v>0</v>
      </c>
      <c r="I2310" s="246">
        <f>_xlfn.XLOOKUP(FME_Ranking1[[#This Row],[FME ID]],FME_Input[FME_ID],FME_Input[STRUCT_100])</f>
        <v>0</v>
      </c>
      <c r="J2310" s="178">
        <f>(FME_Ranking1[[#This Row],[Structures 100 Raw]]/I$2)*100</f>
        <v>0</v>
      </c>
      <c r="K2310" s="178">
        <f>FME_Ranking1[[#This Row],[Structures 100  Score (Normalized, Unweighted)]]*$I$3</f>
        <v>0</v>
      </c>
      <c r="L2310" s="246">
        <f>_xlfn.XLOOKUP(FME_Ranking1[[#This Row],[FME ID]],FME_Input[FME_ID],FME_Input[RES_STRUCT100])</f>
        <v>0</v>
      </c>
      <c r="M2310" s="230">
        <f>(FME_Ranking1[[#This Row],[Res Structures Raw]]/L$2)*100</f>
        <v>0</v>
      </c>
      <c r="N2310" s="180">
        <f>FME_Ranking1[[#This Row],[Res Structures Score (Normalized, Unweighted)]]*$L$3</f>
        <v>0</v>
      </c>
      <c r="O2310" s="244">
        <f>_xlfn.XLOOKUP(FME_Ranking1[[#This Row],[FME ID]],FME_Input[FME_ID],FME_Input[POP100])</f>
        <v>0</v>
      </c>
      <c r="P2310" s="178">
        <f>(FME_Ranking1[[#This Row],[Pop Raw]]/$O$2)*100</f>
        <v>0</v>
      </c>
      <c r="Q2310" s="178">
        <f>FME_Ranking1[[#This Row],[Pop Score (Normalized, Unweighted)]]*$O$3</f>
        <v>0</v>
      </c>
      <c r="R2310" s="137">
        <f>_xlfn.XLOOKUP(FME_Ranking1[[#This Row],[FME ID]],FME_Input[FME_ID],FME_Input[CRITFAC100])</f>
        <v>0</v>
      </c>
      <c r="S2310" s="230">
        <f>(FME_Ranking1[[#This Row],[Critical Facilities Raw]]/$R$2)*100</f>
        <v>0</v>
      </c>
      <c r="T2310" s="180">
        <f>FME_Ranking1[[#This Row],[Critical Facilities Score (Normalized, Unweighted)]]*$R$3</f>
        <v>0</v>
      </c>
      <c r="U2310">
        <f>_xlfn.XLOOKUP(FME_Ranking1[[#This Row],[FME ID]],FME_Input[FME_ID],FME_Input[LWC])</f>
        <v>0</v>
      </c>
      <c r="V2310" s="178">
        <f>(FME_Ranking1[[#This Row],[LWC Raw]]/$U$2)*100</f>
        <v>0</v>
      </c>
      <c r="W2310" s="178">
        <f>FME_Ranking1[[#This Row],[LWC Score (Normalized, Unweighted)]]*$U$3</f>
        <v>0</v>
      </c>
      <c r="X2310" s="246">
        <f>_xlfn.XLOOKUP(FME_Ranking1[[#This Row],[FME ID]],FME_Input[FME_ID],FME_Input[ROADCLS])</f>
        <v>0</v>
      </c>
      <c r="Y2310" s="230">
        <f>(FME_Ranking1[[#This Row],[Closures Raw]]/$X$2)*100</f>
        <v>0</v>
      </c>
      <c r="Z2310" s="180">
        <f>FME_Ranking1[[#This Row],[Closures Score (Normalized, Unweighted)]]*$X$3</f>
        <v>0</v>
      </c>
      <c r="AA2310" s="253">
        <f>_xlfn.XLOOKUP(FME_Ranking1[[#This Row],[FME ID]],FME_Input[FME_ID],FME_Input[ROAD_MILES100])</f>
        <v>0</v>
      </c>
      <c r="AB2310" s="178">
        <f>(FME_Ranking1[[#This Row],[Miles Raw]]/$AA$2)*100</f>
        <v>0</v>
      </c>
      <c r="AC2310" s="178">
        <f>FME_Ranking1[[#This Row],[Miles Score (Normalized, Unweighted)]]*$AA$3</f>
        <v>0</v>
      </c>
      <c r="AD2310" s="255">
        <f>_xlfn.XLOOKUP(FME_Ranking1[[#This Row],[FME ID]],FME_Input[FME_ID],FME_Input[FARMACRE100])</f>
        <v>0</v>
      </c>
      <c r="AE2310" s="230">
        <f>(FME_Ranking1[[#This Row],[Ag Land Raw]]/$AD$2)*100</f>
        <v>0</v>
      </c>
      <c r="AF2310" s="231">
        <f>FME_Ranking1[[#This Row],[Ag Land Score (Normalized, Unweighted)]]*$AD$3</f>
        <v>0</v>
      </c>
      <c r="AG231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10" s="406">
        <f t="shared" ref="AH2310:AH2341" si="36">_xlfn.RANK.EQ(AG2310,$AG$6:$AG$2341,0)</f>
        <v>2198</v>
      </c>
      <c r="AI231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10" s="257">
        <f>FME_Ranking1[[#This Row],[Addition check]]-FME_Ranking1[[#This Row],[Weighted Score Based on Normalized Reported Factors]]</f>
        <v>0</v>
      </c>
      <c r="AK2310" s="178">
        <f>_xlfn.RANK.EQ(AI2310,$AI$6:$AI$2341,0)+COUNTIF($AI$6:AI2310,AI2310)-1</f>
        <v>2312</v>
      </c>
    </row>
    <row r="2311" spans="1:37" x14ac:dyDescent="0.25">
      <c r="A2311" t="s">
        <v>10440</v>
      </c>
      <c r="B2311">
        <f>_xlfn.XLOOKUP(FME_Ranking1[[#This Row],[FME ID]],FME_Input[FME_ID],FME_Input[RFPG_NUM])</f>
        <v>13</v>
      </c>
      <c r="C2311" t="str">
        <f>_xlfn.XLOOKUP(FME_Ranking1[[#This Row],[FME ID]],FME_Input[FME_ID],FME_Input[FME_NAME])</f>
        <v>Stormwater Master Plan #1 -  North of Parkview between Starlight and Sunset Outfall Pipe</v>
      </c>
      <c r="D2311" t="str">
        <f>_xlfn.XLOOKUP(FME_Ranking1[[#This Row],[FME ID]],FME_Input[FME_ID],FME_Input[DESCR])</f>
        <v>Positive drainage to Parkview Place to be improved by minor site regrading, grate inlet installation, and installation of RCP along Sunset Drive, as well as the alley that runs parallel to the West. Alley drainage improvement to connect to existing inlet.</v>
      </c>
      <c r="E2311" s="256">
        <f>_xlfn.XLOOKUP(FME_Ranking1[[#This Row],[FME ID]],FME_Input[FME_ID],FME_Input[FME_COST])</f>
        <v>11000</v>
      </c>
      <c r="F2311" t="str">
        <f>_xlfn.XLOOKUP(FME_Ranking1[[#This Row],[FME ID]],FME_Input[FME_ID],FME_Input[EMER_NEED])</f>
        <v>Yes</v>
      </c>
      <c r="G2311">
        <f>IF(FME_Ranking!F2311="Yes",100,0)</f>
        <v>100</v>
      </c>
      <c r="H2311">
        <f>FME_Ranking1[[#This Row],[Emergency Need Score (Normalized, Unweighted)]]*$F$3</f>
        <v>0</v>
      </c>
      <c r="I2311" s="246">
        <f>_xlfn.XLOOKUP(FME_Ranking1[[#This Row],[FME ID]],FME_Input[FME_ID],FME_Input[STRUCT_100])</f>
        <v>0</v>
      </c>
      <c r="J2311" s="178">
        <f>(FME_Ranking1[[#This Row],[Structures 100 Raw]]/I$2)*100</f>
        <v>0</v>
      </c>
      <c r="K2311" s="178">
        <f>FME_Ranking1[[#This Row],[Structures 100  Score (Normalized, Unweighted)]]*$I$3</f>
        <v>0</v>
      </c>
      <c r="L2311" s="246">
        <f>_xlfn.XLOOKUP(FME_Ranking1[[#This Row],[FME ID]],FME_Input[FME_ID],FME_Input[RES_STRUCT100])</f>
        <v>0</v>
      </c>
      <c r="M2311" s="230">
        <f>(FME_Ranking1[[#This Row],[Res Structures Raw]]/L$2)*100</f>
        <v>0</v>
      </c>
      <c r="N2311" s="180">
        <f>FME_Ranking1[[#This Row],[Res Structures Score (Normalized, Unweighted)]]*$L$3</f>
        <v>0</v>
      </c>
      <c r="O2311" s="244">
        <f>_xlfn.XLOOKUP(FME_Ranking1[[#This Row],[FME ID]],FME_Input[FME_ID],FME_Input[POP100])</f>
        <v>0</v>
      </c>
      <c r="P2311" s="178">
        <f>(FME_Ranking1[[#This Row],[Pop Raw]]/$O$2)*100</f>
        <v>0</v>
      </c>
      <c r="Q2311" s="178">
        <f>FME_Ranking1[[#This Row],[Pop Score (Normalized, Unweighted)]]*$O$3</f>
        <v>0</v>
      </c>
      <c r="R2311" s="137">
        <f>_xlfn.XLOOKUP(FME_Ranking1[[#This Row],[FME ID]],FME_Input[FME_ID],FME_Input[CRITFAC100])</f>
        <v>0</v>
      </c>
      <c r="S2311" s="230">
        <f>(FME_Ranking1[[#This Row],[Critical Facilities Raw]]/$R$2)*100</f>
        <v>0</v>
      </c>
      <c r="T2311" s="180">
        <f>FME_Ranking1[[#This Row],[Critical Facilities Score (Normalized, Unweighted)]]*$R$3</f>
        <v>0</v>
      </c>
      <c r="U2311">
        <f>_xlfn.XLOOKUP(FME_Ranking1[[#This Row],[FME ID]],FME_Input[FME_ID],FME_Input[LWC])</f>
        <v>0</v>
      </c>
      <c r="V2311" s="178">
        <f>(FME_Ranking1[[#This Row],[LWC Raw]]/$U$2)*100</f>
        <v>0</v>
      </c>
      <c r="W2311" s="178">
        <f>FME_Ranking1[[#This Row],[LWC Score (Normalized, Unweighted)]]*$U$3</f>
        <v>0</v>
      </c>
      <c r="X2311" s="246">
        <f>_xlfn.XLOOKUP(FME_Ranking1[[#This Row],[FME ID]],FME_Input[FME_ID],FME_Input[ROADCLS])</f>
        <v>0</v>
      </c>
      <c r="Y2311" s="230">
        <f>(FME_Ranking1[[#This Row],[Closures Raw]]/$X$2)*100</f>
        <v>0</v>
      </c>
      <c r="Z2311" s="180">
        <f>FME_Ranking1[[#This Row],[Closures Score (Normalized, Unweighted)]]*$X$3</f>
        <v>0</v>
      </c>
      <c r="AA2311" s="253">
        <f>_xlfn.XLOOKUP(FME_Ranking1[[#This Row],[FME ID]],FME_Input[FME_ID],FME_Input[ROAD_MILES100])</f>
        <v>0</v>
      </c>
      <c r="AB2311" s="178">
        <f>(FME_Ranking1[[#This Row],[Miles Raw]]/$AA$2)*100</f>
        <v>0</v>
      </c>
      <c r="AC2311" s="178">
        <f>FME_Ranking1[[#This Row],[Miles Score (Normalized, Unweighted)]]*$AA$3</f>
        <v>0</v>
      </c>
      <c r="AD2311" s="255">
        <f>_xlfn.XLOOKUP(FME_Ranking1[[#This Row],[FME ID]],FME_Input[FME_ID],FME_Input[FARMACRE100])</f>
        <v>0</v>
      </c>
      <c r="AE2311" s="230">
        <f>(FME_Ranking1[[#This Row],[Ag Land Raw]]/$AD$2)*100</f>
        <v>0</v>
      </c>
      <c r="AF2311" s="231">
        <f>FME_Ranking1[[#This Row],[Ag Land Score (Normalized, Unweighted)]]*$AD$3</f>
        <v>0</v>
      </c>
      <c r="AG231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11" s="406">
        <f t="shared" si="36"/>
        <v>2198</v>
      </c>
      <c r="AI231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11" s="257">
        <f>FME_Ranking1[[#This Row],[Addition check]]-FME_Ranking1[[#This Row],[Weighted Score Based on Normalized Reported Factors]]</f>
        <v>0</v>
      </c>
      <c r="AK2311" s="178">
        <f>_xlfn.RANK.EQ(AI2311,$AI$6:$AI$2341,0)+COUNTIF($AI$6:AI2311,AI2311)-1</f>
        <v>2313</v>
      </c>
    </row>
    <row r="2312" spans="1:37" x14ac:dyDescent="0.25">
      <c r="A2312" t="s">
        <v>10449</v>
      </c>
      <c r="B2312">
        <f>_xlfn.XLOOKUP(FME_Ranking1[[#This Row],[FME ID]],FME_Input[FME_ID],FME_Input[RFPG_NUM])</f>
        <v>13</v>
      </c>
      <c r="C2312" t="str">
        <f>_xlfn.XLOOKUP(FME_Ranking1[[#This Row],[FME ID]],FME_Input[FME_ID],FME_Input[FME_NAME])</f>
        <v>Stormwater Master Plan #3 - North of Post Oak between Starlight and Sunset Outfall</v>
      </c>
      <c r="D2312" t="str">
        <f>_xlfn.XLOOKUP(FME_Ranking1[[#This Row],[FME ID]],FME_Input[FME_ID],FME_Input[DESCR])</f>
        <v>Positive drainage to Post Oak Drive to be improved by minor site regrading along alley between Starlight Drive and Sunset Drive.</v>
      </c>
      <c r="E2312" s="256">
        <f>_xlfn.XLOOKUP(FME_Ranking1[[#This Row],[FME ID]],FME_Input[FME_ID],FME_Input[FME_COST])</f>
        <v>4000</v>
      </c>
      <c r="F2312" t="str">
        <f>_xlfn.XLOOKUP(FME_Ranking1[[#This Row],[FME ID]],FME_Input[FME_ID],FME_Input[EMER_NEED])</f>
        <v>Yes</v>
      </c>
      <c r="G2312">
        <f>IF(FME_Ranking!F2312="Yes",100,0)</f>
        <v>100</v>
      </c>
      <c r="H2312">
        <f>FME_Ranking1[[#This Row],[Emergency Need Score (Normalized, Unweighted)]]*$F$3</f>
        <v>0</v>
      </c>
      <c r="I2312" s="246">
        <f>_xlfn.XLOOKUP(FME_Ranking1[[#This Row],[FME ID]],FME_Input[FME_ID],FME_Input[STRUCT_100])</f>
        <v>0</v>
      </c>
      <c r="J2312" s="178">
        <f>(FME_Ranking1[[#This Row],[Structures 100 Raw]]/I$2)*100</f>
        <v>0</v>
      </c>
      <c r="K2312" s="178">
        <f>FME_Ranking1[[#This Row],[Structures 100  Score (Normalized, Unweighted)]]*$I$3</f>
        <v>0</v>
      </c>
      <c r="L2312" s="246">
        <f>_xlfn.XLOOKUP(FME_Ranking1[[#This Row],[FME ID]],FME_Input[FME_ID],FME_Input[RES_STRUCT100])</f>
        <v>0</v>
      </c>
      <c r="M2312" s="230">
        <f>(FME_Ranking1[[#This Row],[Res Structures Raw]]/L$2)*100</f>
        <v>0</v>
      </c>
      <c r="N2312" s="180">
        <f>FME_Ranking1[[#This Row],[Res Structures Score (Normalized, Unweighted)]]*$L$3</f>
        <v>0</v>
      </c>
      <c r="O2312" s="244">
        <f>_xlfn.XLOOKUP(FME_Ranking1[[#This Row],[FME ID]],FME_Input[FME_ID],FME_Input[POP100])</f>
        <v>0</v>
      </c>
      <c r="P2312" s="178">
        <f>(FME_Ranking1[[#This Row],[Pop Raw]]/$O$2)*100</f>
        <v>0</v>
      </c>
      <c r="Q2312" s="178">
        <f>FME_Ranking1[[#This Row],[Pop Score (Normalized, Unweighted)]]*$O$3</f>
        <v>0</v>
      </c>
      <c r="R2312" s="137">
        <f>_xlfn.XLOOKUP(FME_Ranking1[[#This Row],[FME ID]],FME_Input[FME_ID],FME_Input[CRITFAC100])</f>
        <v>0</v>
      </c>
      <c r="S2312" s="230">
        <f>(FME_Ranking1[[#This Row],[Critical Facilities Raw]]/$R$2)*100</f>
        <v>0</v>
      </c>
      <c r="T2312" s="180">
        <f>FME_Ranking1[[#This Row],[Critical Facilities Score (Normalized, Unweighted)]]*$R$3</f>
        <v>0</v>
      </c>
      <c r="U2312">
        <f>_xlfn.XLOOKUP(FME_Ranking1[[#This Row],[FME ID]],FME_Input[FME_ID],FME_Input[LWC])</f>
        <v>0</v>
      </c>
      <c r="V2312" s="178">
        <f>(FME_Ranking1[[#This Row],[LWC Raw]]/$U$2)*100</f>
        <v>0</v>
      </c>
      <c r="W2312" s="178">
        <f>FME_Ranking1[[#This Row],[LWC Score (Normalized, Unweighted)]]*$U$3</f>
        <v>0</v>
      </c>
      <c r="X2312" s="246">
        <f>_xlfn.XLOOKUP(FME_Ranking1[[#This Row],[FME ID]],FME_Input[FME_ID],FME_Input[ROADCLS])</f>
        <v>0</v>
      </c>
      <c r="Y2312" s="230">
        <f>(FME_Ranking1[[#This Row],[Closures Raw]]/$X$2)*100</f>
        <v>0</v>
      </c>
      <c r="Z2312" s="180">
        <f>FME_Ranking1[[#This Row],[Closures Score (Normalized, Unweighted)]]*$X$3</f>
        <v>0</v>
      </c>
      <c r="AA2312" s="253">
        <f>_xlfn.XLOOKUP(FME_Ranking1[[#This Row],[FME ID]],FME_Input[FME_ID],FME_Input[ROAD_MILES100])</f>
        <v>0</v>
      </c>
      <c r="AB2312" s="178">
        <f>(FME_Ranking1[[#This Row],[Miles Raw]]/$AA$2)*100</f>
        <v>0</v>
      </c>
      <c r="AC2312" s="178">
        <f>FME_Ranking1[[#This Row],[Miles Score (Normalized, Unweighted)]]*$AA$3</f>
        <v>0</v>
      </c>
      <c r="AD2312" s="255">
        <f>_xlfn.XLOOKUP(FME_Ranking1[[#This Row],[FME ID]],FME_Input[FME_ID],FME_Input[FARMACRE100])</f>
        <v>0</v>
      </c>
      <c r="AE2312" s="230">
        <f>(FME_Ranking1[[#This Row],[Ag Land Raw]]/$AD$2)*100</f>
        <v>0</v>
      </c>
      <c r="AF2312" s="231">
        <f>FME_Ranking1[[#This Row],[Ag Land Score (Normalized, Unweighted)]]*$AD$3</f>
        <v>0</v>
      </c>
      <c r="AG231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12" s="406">
        <f t="shared" si="36"/>
        <v>2198</v>
      </c>
      <c r="AI231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12" s="257">
        <f>FME_Ranking1[[#This Row],[Addition check]]-FME_Ranking1[[#This Row],[Weighted Score Based on Normalized Reported Factors]]</f>
        <v>0</v>
      </c>
      <c r="AK2312" s="178">
        <f>_xlfn.RANK.EQ(AI2312,$AI$6:$AI$2341,0)+COUNTIF($AI$6:AI2312,AI2312)-1</f>
        <v>2314</v>
      </c>
    </row>
    <row r="2313" spans="1:37" x14ac:dyDescent="0.25">
      <c r="A2313" t="s">
        <v>10453</v>
      </c>
      <c r="B2313">
        <f>_xlfn.XLOOKUP(FME_Ranking1[[#This Row],[FME ID]],FME_Input[FME_ID],FME_Input[RFPG_NUM])</f>
        <v>13</v>
      </c>
      <c r="C2313" t="str">
        <f>_xlfn.XLOOKUP(FME_Ranking1[[#This Row],[FME ID]],FME_Input[FME_ID],FME_Input[FME_NAME])</f>
        <v>Stormwater Master Plan #4 - North of Post Oak between Sunset and Woodhaven Outfall</v>
      </c>
      <c r="D2313" t="str">
        <f>_xlfn.XLOOKUP(FME_Ranking1[[#This Row],[FME ID]],FME_Input[FME_ID],FME_Input[DESCR])</f>
        <v>Positive drainage to Post Oak Drive and Retama Drive to be improved by minor site regrading, grate inlet installation, and installation of RCP along alley between Woodhaven Drive and Sunset Drive. Improvements to connect to existing inlet.</v>
      </c>
      <c r="E2313" s="256">
        <f>_xlfn.XLOOKUP(FME_Ranking1[[#This Row],[FME ID]],FME_Input[FME_ID],FME_Input[FME_COST])</f>
        <v>11000</v>
      </c>
      <c r="F2313" t="str">
        <f>_xlfn.XLOOKUP(FME_Ranking1[[#This Row],[FME ID]],FME_Input[FME_ID],FME_Input[EMER_NEED])</f>
        <v>Yes</v>
      </c>
      <c r="G2313">
        <f>IF(FME_Ranking!F2313="Yes",100,0)</f>
        <v>100</v>
      </c>
      <c r="H2313">
        <f>FME_Ranking1[[#This Row],[Emergency Need Score (Normalized, Unweighted)]]*$F$3</f>
        <v>0</v>
      </c>
      <c r="I2313" s="246">
        <f>_xlfn.XLOOKUP(FME_Ranking1[[#This Row],[FME ID]],FME_Input[FME_ID],FME_Input[STRUCT_100])</f>
        <v>0</v>
      </c>
      <c r="J2313" s="178">
        <f>(FME_Ranking1[[#This Row],[Structures 100 Raw]]/I$2)*100</f>
        <v>0</v>
      </c>
      <c r="K2313" s="178">
        <f>FME_Ranking1[[#This Row],[Structures 100  Score (Normalized, Unweighted)]]*$I$3</f>
        <v>0</v>
      </c>
      <c r="L2313" s="246">
        <f>_xlfn.XLOOKUP(FME_Ranking1[[#This Row],[FME ID]],FME_Input[FME_ID],FME_Input[RES_STRUCT100])</f>
        <v>0</v>
      </c>
      <c r="M2313" s="230">
        <f>(FME_Ranking1[[#This Row],[Res Structures Raw]]/L$2)*100</f>
        <v>0</v>
      </c>
      <c r="N2313" s="180">
        <f>FME_Ranking1[[#This Row],[Res Structures Score (Normalized, Unweighted)]]*$L$3</f>
        <v>0</v>
      </c>
      <c r="O2313" s="244">
        <f>_xlfn.XLOOKUP(FME_Ranking1[[#This Row],[FME ID]],FME_Input[FME_ID],FME_Input[POP100])</f>
        <v>0</v>
      </c>
      <c r="P2313" s="178">
        <f>(FME_Ranking1[[#This Row],[Pop Raw]]/$O$2)*100</f>
        <v>0</v>
      </c>
      <c r="Q2313" s="178">
        <f>FME_Ranking1[[#This Row],[Pop Score (Normalized, Unweighted)]]*$O$3</f>
        <v>0</v>
      </c>
      <c r="R2313" s="137">
        <f>_xlfn.XLOOKUP(FME_Ranking1[[#This Row],[FME ID]],FME_Input[FME_ID],FME_Input[CRITFAC100])</f>
        <v>0</v>
      </c>
      <c r="S2313" s="230">
        <f>(FME_Ranking1[[#This Row],[Critical Facilities Raw]]/$R$2)*100</f>
        <v>0</v>
      </c>
      <c r="T2313" s="180">
        <f>FME_Ranking1[[#This Row],[Critical Facilities Score (Normalized, Unweighted)]]*$R$3</f>
        <v>0</v>
      </c>
      <c r="U2313">
        <f>_xlfn.XLOOKUP(FME_Ranking1[[#This Row],[FME ID]],FME_Input[FME_ID],FME_Input[LWC])</f>
        <v>0</v>
      </c>
      <c r="V2313" s="178">
        <f>(FME_Ranking1[[#This Row],[LWC Raw]]/$U$2)*100</f>
        <v>0</v>
      </c>
      <c r="W2313" s="178">
        <f>FME_Ranking1[[#This Row],[LWC Score (Normalized, Unweighted)]]*$U$3</f>
        <v>0</v>
      </c>
      <c r="X2313" s="246">
        <f>_xlfn.XLOOKUP(FME_Ranking1[[#This Row],[FME ID]],FME_Input[FME_ID],FME_Input[ROADCLS])</f>
        <v>0</v>
      </c>
      <c r="Y2313" s="230">
        <f>(FME_Ranking1[[#This Row],[Closures Raw]]/$X$2)*100</f>
        <v>0</v>
      </c>
      <c r="Z2313" s="180">
        <f>FME_Ranking1[[#This Row],[Closures Score (Normalized, Unweighted)]]*$X$3</f>
        <v>0</v>
      </c>
      <c r="AA2313" s="253">
        <f>_xlfn.XLOOKUP(FME_Ranking1[[#This Row],[FME ID]],FME_Input[FME_ID],FME_Input[ROAD_MILES100])</f>
        <v>0</v>
      </c>
      <c r="AB2313" s="178">
        <f>(FME_Ranking1[[#This Row],[Miles Raw]]/$AA$2)*100</f>
        <v>0</v>
      </c>
      <c r="AC2313" s="178">
        <f>FME_Ranking1[[#This Row],[Miles Score (Normalized, Unweighted)]]*$AA$3</f>
        <v>0</v>
      </c>
      <c r="AD2313" s="255">
        <f>_xlfn.XLOOKUP(FME_Ranking1[[#This Row],[FME ID]],FME_Input[FME_ID],FME_Input[FARMACRE100])</f>
        <v>0</v>
      </c>
      <c r="AE2313" s="230">
        <f>(FME_Ranking1[[#This Row],[Ag Land Raw]]/$AD$2)*100</f>
        <v>0</v>
      </c>
      <c r="AF2313" s="231">
        <f>FME_Ranking1[[#This Row],[Ag Land Score (Normalized, Unweighted)]]*$AD$3</f>
        <v>0</v>
      </c>
      <c r="AG231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13" s="406">
        <f t="shared" si="36"/>
        <v>2198</v>
      </c>
      <c r="AI231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13" s="257">
        <f>FME_Ranking1[[#This Row],[Addition check]]-FME_Ranking1[[#This Row],[Weighted Score Based on Normalized Reported Factors]]</f>
        <v>0</v>
      </c>
      <c r="AK2313" s="178">
        <f>_xlfn.RANK.EQ(AI2313,$AI$6:$AI$2341,0)+COUNTIF($AI$6:AI2313,AI2313)-1</f>
        <v>2315</v>
      </c>
    </row>
    <row r="2314" spans="1:37" x14ac:dyDescent="0.25">
      <c r="A2314" t="s">
        <v>10456</v>
      </c>
      <c r="B2314">
        <f>_xlfn.XLOOKUP(FME_Ranking1[[#This Row],[FME ID]],FME_Input[FME_ID],FME_Input[RFPG_NUM])</f>
        <v>13</v>
      </c>
      <c r="C2314" t="str">
        <f>_xlfn.XLOOKUP(FME_Ranking1[[#This Row],[FME ID]],FME_Input[FME_ID],FME_Input[FME_NAME])</f>
        <v>Stormwater Master Plan #5 - North of Ebony between Starlight and Sunset Outfall</v>
      </c>
      <c r="D2314" t="str">
        <f>_xlfn.XLOOKUP(FME_Ranking1[[#This Row],[FME ID]],FME_Input[FME_ID],FME_Input[DESCR])</f>
        <v>Positive drainage to Ebony Street to be improved by minor site regrading, grate inlet installation, and installation of RCP along alley between Starlight Drive and Sunset Drive. Site regrade and installation of RCP will also take place on Ebony Street.</v>
      </c>
      <c r="E2314" s="256">
        <f>_xlfn.XLOOKUP(FME_Ranking1[[#This Row],[FME ID]],FME_Input[FME_ID],FME_Input[FME_COST])</f>
        <v>12000</v>
      </c>
      <c r="F2314" t="str">
        <f>_xlfn.XLOOKUP(FME_Ranking1[[#This Row],[FME ID]],FME_Input[FME_ID],FME_Input[EMER_NEED])</f>
        <v>Yes</v>
      </c>
      <c r="G2314">
        <f>IF(FME_Ranking!F2314="Yes",100,0)</f>
        <v>100</v>
      </c>
      <c r="H2314">
        <f>FME_Ranking1[[#This Row],[Emergency Need Score (Normalized, Unweighted)]]*$F$3</f>
        <v>0</v>
      </c>
      <c r="I2314" s="246">
        <f>_xlfn.XLOOKUP(FME_Ranking1[[#This Row],[FME ID]],FME_Input[FME_ID],FME_Input[STRUCT_100])</f>
        <v>0</v>
      </c>
      <c r="J2314" s="178">
        <f>(FME_Ranking1[[#This Row],[Structures 100 Raw]]/I$2)*100</f>
        <v>0</v>
      </c>
      <c r="K2314" s="178">
        <f>FME_Ranking1[[#This Row],[Structures 100  Score (Normalized, Unweighted)]]*$I$3</f>
        <v>0</v>
      </c>
      <c r="L2314" s="246">
        <f>_xlfn.XLOOKUP(FME_Ranking1[[#This Row],[FME ID]],FME_Input[FME_ID],FME_Input[RES_STRUCT100])</f>
        <v>0</v>
      </c>
      <c r="M2314" s="230">
        <f>(FME_Ranking1[[#This Row],[Res Structures Raw]]/L$2)*100</f>
        <v>0</v>
      </c>
      <c r="N2314" s="180">
        <f>FME_Ranking1[[#This Row],[Res Structures Score (Normalized, Unweighted)]]*$L$3</f>
        <v>0</v>
      </c>
      <c r="O2314" s="244">
        <f>_xlfn.XLOOKUP(FME_Ranking1[[#This Row],[FME ID]],FME_Input[FME_ID],FME_Input[POP100])</f>
        <v>0</v>
      </c>
      <c r="P2314" s="178">
        <f>(FME_Ranking1[[#This Row],[Pop Raw]]/$O$2)*100</f>
        <v>0</v>
      </c>
      <c r="Q2314" s="178">
        <f>FME_Ranking1[[#This Row],[Pop Score (Normalized, Unweighted)]]*$O$3</f>
        <v>0</v>
      </c>
      <c r="R2314" s="137">
        <f>_xlfn.XLOOKUP(FME_Ranking1[[#This Row],[FME ID]],FME_Input[FME_ID],FME_Input[CRITFAC100])</f>
        <v>0</v>
      </c>
      <c r="S2314" s="230">
        <f>(FME_Ranking1[[#This Row],[Critical Facilities Raw]]/$R$2)*100</f>
        <v>0</v>
      </c>
      <c r="T2314" s="180">
        <f>FME_Ranking1[[#This Row],[Critical Facilities Score (Normalized, Unweighted)]]*$R$3</f>
        <v>0</v>
      </c>
      <c r="U2314">
        <f>_xlfn.XLOOKUP(FME_Ranking1[[#This Row],[FME ID]],FME_Input[FME_ID],FME_Input[LWC])</f>
        <v>0</v>
      </c>
      <c r="V2314" s="178">
        <f>(FME_Ranking1[[#This Row],[LWC Raw]]/$U$2)*100</f>
        <v>0</v>
      </c>
      <c r="W2314" s="178">
        <f>FME_Ranking1[[#This Row],[LWC Score (Normalized, Unweighted)]]*$U$3</f>
        <v>0</v>
      </c>
      <c r="X2314" s="246">
        <f>_xlfn.XLOOKUP(FME_Ranking1[[#This Row],[FME ID]],FME_Input[FME_ID],FME_Input[ROADCLS])</f>
        <v>0</v>
      </c>
      <c r="Y2314" s="230">
        <f>(FME_Ranking1[[#This Row],[Closures Raw]]/$X$2)*100</f>
        <v>0</v>
      </c>
      <c r="Z2314" s="180">
        <f>FME_Ranking1[[#This Row],[Closures Score (Normalized, Unweighted)]]*$X$3</f>
        <v>0</v>
      </c>
      <c r="AA2314" s="253">
        <f>_xlfn.XLOOKUP(FME_Ranking1[[#This Row],[FME ID]],FME_Input[FME_ID],FME_Input[ROAD_MILES100])</f>
        <v>0</v>
      </c>
      <c r="AB2314" s="178">
        <f>(FME_Ranking1[[#This Row],[Miles Raw]]/$AA$2)*100</f>
        <v>0</v>
      </c>
      <c r="AC2314" s="178">
        <f>FME_Ranking1[[#This Row],[Miles Score (Normalized, Unweighted)]]*$AA$3</f>
        <v>0</v>
      </c>
      <c r="AD2314" s="255">
        <f>_xlfn.XLOOKUP(FME_Ranking1[[#This Row],[FME ID]],FME_Input[FME_ID],FME_Input[FARMACRE100])</f>
        <v>0</v>
      </c>
      <c r="AE2314" s="230">
        <f>(FME_Ranking1[[#This Row],[Ag Land Raw]]/$AD$2)*100</f>
        <v>0</v>
      </c>
      <c r="AF2314" s="231">
        <f>FME_Ranking1[[#This Row],[Ag Land Score (Normalized, Unweighted)]]*$AD$3</f>
        <v>0</v>
      </c>
      <c r="AG231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14" s="406">
        <f t="shared" si="36"/>
        <v>2198</v>
      </c>
      <c r="AI231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14" s="257">
        <f>FME_Ranking1[[#This Row],[Addition check]]-FME_Ranking1[[#This Row],[Weighted Score Based on Normalized Reported Factors]]</f>
        <v>0</v>
      </c>
      <c r="AK2314" s="178">
        <f>_xlfn.RANK.EQ(AI2314,$AI$6:$AI$2341,0)+COUNTIF($AI$6:AI2314,AI2314)-1</f>
        <v>2316</v>
      </c>
    </row>
    <row r="2315" spans="1:37" x14ac:dyDescent="0.25">
      <c r="A2315" t="s">
        <v>10484</v>
      </c>
      <c r="B2315">
        <f>_xlfn.XLOOKUP(FME_Ranking1[[#This Row],[FME ID]],FME_Input[FME_ID],FME_Input[RFPG_NUM])</f>
        <v>13</v>
      </c>
      <c r="C2315" t="str">
        <f>_xlfn.XLOOKUP(FME_Ranking1[[#This Row],[FME ID]],FME_Input[FME_ID],FME_Input[FME_NAME])</f>
        <v>Paulson Falls Subdivision Detention Pond Improvements</v>
      </c>
      <c r="D2315" t="str">
        <f>_xlfn.XLOOKUP(FME_Ranking1[[#This Row],[FME ID]],FME_Input[FME_ID],FME_Input[DESCR])</f>
        <v>Paulson Falls Subdivision has detention ponds, but the berm has deteriorated.</v>
      </c>
      <c r="E2315" s="256">
        <f>_xlfn.XLOOKUP(FME_Ranking1[[#This Row],[FME ID]],FME_Input[FME_ID],FME_Input[FME_COST])</f>
        <v>100000</v>
      </c>
      <c r="F2315" t="str">
        <f>_xlfn.XLOOKUP(FME_Ranking1[[#This Row],[FME ID]],FME_Input[FME_ID],FME_Input[EMER_NEED])</f>
        <v>Yes</v>
      </c>
      <c r="G2315">
        <f>IF(FME_Ranking!F2315="Yes",100,0)</f>
        <v>100</v>
      </c>
      <c r="H2315">
        <f>FME_Ranking1[[#This Row],[Emergency Need Score (Normalized, Unweighted)]]*$F$3</f>
        <v>0</v>
      </c>
      <c r="I2315" s="246">
        <f>_xlfn.XLOOKUP(FME_Ranking1[[#This Row],[FME ID]],FME_Input[FME_ID],FME_Input[STRUCT_100])</f>
        <v>0</v>
      </c>
      <c r="J2315" s="178">
        <f>(FME_Ranking1[[#This Row],[Structures 100 Raw]]/I$2)*100</f>
        <v>0</v>
      </c>
      <c r="K2315" s="178">
        <f>FME_Ranking1[[#This Row],[Structures 100  Score (Normalized, Unweighted)]]*$I$3</f>
        <v>0</v>
      </c>
      <c r="L2315" s="246">
        <f>_xlfn.XLOOKUP(FME_Ranking1[[#This Row],[FME ID]],FME_Input[FME_ID],FME_Input[RES_STRUCT100])</f>
        <v>0</v>
      </c>
      <c r="M2315" s="230">
        <f>(FME_Ranking1[[#This Row],[Res Structures Raw]]/L$2)*100</f>
        <v>0</v>
      </c>
      <c r="N2315" s="180">
        <f>FME_Ranking1[[#This Row],[Res Structures Score (Normalized, Unweighted)]]*$L$3</f>
        <v>0</v>
      </c>
      <c r="O2315" s="244">
        <f>_xlfn.XLOOKUP(FME_Ranking1[[#This Row],[FME ID]],FME_Input[FME_ID],FME_Input[POP100])</f>
        <v>0</v>
      </c>
      <c r="P2315" s="178">
        <f>(FME_Ranking1[[#This Row],[Pop Raw]]/$O$2)*100</f>
        <v>0</v>
      </c>
      <c r="Q2315" s="178">
        <f>FME_Ranking1[[#This Row],[Pop Score (Normalized, Unweighted)]]*$O$3</f>
        <v>0</v>
      </c>
      <c r="R2315" s="137">
        <f>_xlfn.XLOOKUP(FME_Ranking1[[#This Row],[FME ID]],FME_Input[FME_ID],FME_Input[CRITFAC100])</f>
        <v>0</v>
      </c>
      <c r="S2315" s="230">
        <f>(FME_Ranking1[[#This Row],[Critical Facilities Raw]]/$R$2)*100</f>
        <v>0</v>
      </c>
      <c r="T2315" s="180">
        <f>FME_Ranking1[[#This Row],[Critical Facilities Score (Normalized, Unweighted)]]*$R$3</f>
        <v>0</v>
      </c>
      <c r="U2315">
        <f>_xlfn.XLOOKUP(FME_Ranking1[[#This Row],[FME ID]],FME_Input[FME_ID],FME_Input[LWC])</f>
        <v>0</v>
      </c>
      <c r="V2315" s="178">
        <f>(FME_Ranking1[[#This Row],[LWC Raw]]/$U$2)*100</f>
        <v>0</v>
      </c>
      <c r="W2315" s="178">
        <f>FME_Ranking1[[#This Row],[LWC Score (Normalized, Unweighted)]]*$U$3</f>
        <v>0</v>
      </c>
      <c r="X2315" s="246">
        <f>_xlfn.XLOOKUP(FME_Ranking1[[#This Row],[FME ID]],FME_Input[FME_ID],FME_Input[ROADCLS])</f>
        <v>0</v>
      </c>
      <c r="Y2315" s="230">
        <f>(FME_Ranking1[[#This Row],[Closures Raw]]/$X$2)*100</f>
        <v>0</v>
      </c>
      <c r="Z2315" s="180">
        <f>FME_Ranking1[[#This Row],[Closures Score (Normalized, Unweighted)]]*$X$3</f>
        <v>0</v>
      </c>
      <c r="AA2315" s="253">
        <f>_xlfn.XLOOKUP(FME_Ranking1[[#This Row],[FME ID]],FME_Input[FME_ID],FME_Input[ROAD_MILES100])</f>
        <v>0</v>
      </c>
      <c r="AB2315" s="178">
        <f>(FME_Ranking1[[#This Row],[Miles Raw]]/$AA$2)*100</f>
        <v>0</v>
      </c>
      <c r="AC2315" s="178">
        <f>FME_Ranking1[[#This Row],[Miles Score (Normalized, Unweighted)]]*$AA$3</f>
        <v>0</v>
      </c>
      <c r="AD2315" s="255">
        <f>_xlfn.XLOOKUP(FME_Ranking1[[#This Row],[FME ID]],FME_Input[FME_ID],FME_Input[FARMACRE100])</f>
        <v>0</v>
      </c>
      <c r="AE2315" s="230">
        <f>(FME_Ranking1[[#This Row],[Ag Land Raw]]/$AD$2)*100</f>
        <v>0</v>
      </c>
      <c r="AF2315" s="231">
        <f>FME_Ranking1[[#This Row],[Ag Land Score (Normalized, Unweighted)]]*$AD$3</f>
        <v>0</v>
      </c>
      <c r="AG231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15" s="406">
        <f t="shared" si="36"/>
        <v>2198</v>
      </c>
      <c r="AI231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15" s="257">
        <f>FME_Ranking1[[#This Row],[Addition check]]-FME_Ranking1[[#This Row],[Weighted Score Based on Normalized Reported Factors]]</f>
        <v>0</v>
      </c>
      <c r="AK2315" s="178">
        <f>_xlfn.RANK.EQ(AI2315,$AI$6:$AI$2341,0)+COUNTIF($AI$6:AI2315,AI2315)-1</f>
        <v>2317</v>
      </c>
    </row>
    <row r="2316" spans="1:37" x14ac:dyDescent="0.25">
      <c r="A2316" t="s">
        <v>10518</v>
      </c>
      <c r="B2316">
        <f>_xlfn.XLOOKUP(FME_Ranking1[[#This Row],[FME ID]],FME_Input[FME_ID],FME_Input[RFPG_NUM])</f>
        <v>13</v>
      </c>
      <c r="C2316" t="str">
        <f>_xlfn.XLOOKUP(FME_Ranking1[[#This Row],[FME ID]],FME_Input[FME_ID],FME_Input[FME_NAME])</f>
        <v>Aransas National Wildlife Refuge Dagger Point Shoreline Preservation</v>
      </c>
      <c r="D2316" t="str">
        <f>_xlfn.XLOOKUP(FME_Ranking1[[#This Row],[FME ID]],FME_Input[FME_ID],FME_Input[DESCR])</f>
        <v>Texas Coastal Resiliency Master Plan - R3-3 Project would install a living shoreline using breakwaters. This project would help protect the shoreline along Dagger Pointas well as nearby critical habitat and public infrastructure.</v>
      </c>
      <c r="E2316" s="256">
        <f>_xlfn.XLOOKUP(FME_Ranking1[[#This Row],[FME ID]],FME_Input[FME_ID],FME_Input[FME_COST])</f>
        <v>398000</v>
      </c>
      <c r="F2316" t="str">
        <f>_xlfn.XLOOKUP(FME_Ranking1[[#This Row],[FME ID]],FME_Input[FME_ID],FME_Input[EMER_NEED])</f>
        <v>Yes</v>
      </c>
      <c r="G2316">
        <f>IF(FME_Ranking!F2316="Yes",100,0)</f>
        <v>100</v>
      </c>
      <c r="H2316">
        <f>FME_Ranking1[[#This Row],[Emergency Need Score (Normalized, Unweighted)]]*$F$3</f>
        <v>0</v>
      </c>
      <c r="I2316" s="246">
        <f>_xlfn.XLOOKUP(FME_Ranking1[[#This Row],[FME ID]],FME_Input[FME_ID],FME_Input[STRUCT_100])</f>
        <v>0</v>
      </c>
      <c r="J2316" s="178">
        <f>(FME_Ranking1[[#This Row],[Structures 100 Raw]]/I$2)*100</f>
        <v>0</v>
      </c>
      <c r="K2316" s="178">
        <f>FME_Ranking1[[#This Row],[Structures 100  Score (Normalized, Unweighted)]]*$I$3</f>
        <v>0</v>
      </c>
      <c r="L2316" s="246">
        <f>_xlfn.XLOOKUP(FME_Ranking1[[#This Row],[FME ID]],FME_Input[FME_ID],FME_Input[RES_STRUCT100])</f>
        <v>0</v>
      </c>
      <c r="M2316" s="230">
        <f>(FME_Ranking1[[#This Row],[Res Structures Raw]]/L$2)*100</f>
        <v>0</v>
      </c>
      <c r="N2316" s="180">
        <f>FME_Ranking1[[#This Row],[Res Structures Score (Normalized, Unweighted)]]*$L$3</f>
        <v>0</v>
      </c>
      <c r="O2316" s="244">
        <f>_xlfn.XLOOKUP(FME_Ranking1[[#This Row],[FME ID]],FME_Input[FME_ID],FME_Input[POP100])</f>
        <v>0</v>
      </c>
      <c r="P2316" s="178">
        <f>(FME_Ranking1[[#This Row],[Pop Raw]]/$O$2)*100</f>
        <v>0</v>
      </c>
      <c r="Q2316" s="178">
        <f>FME_Ranking1[[#This Row],[Pop Score (Normalized, Unweighted)]]*$O$3</f>
        <v>0</v>
      </c>
      <c r="R2316" s="137">
        <f>_xlfn.XLOOKUP(FME_Ranking1[[#This Row],[FME ID]],FME_Input[FME_ID],FME_Input[CRITFAC100])</f>
        <v>0</v>
      </c>
      <c r="S2316" s="230">
        <f>(FME_Ranking1[[#This Row],[Critical Facilities Raw]]/$R$2)*100</f>
        <v>0</v>
      </c>
      <c r="T2316" s="180">
        <f>FME_Ranking1[[#This Row],[Critical Facilities Score (Normalized, Unweighted)]]*$R$3</f>
        <v>0</v>
      </c>
      <c r="U2316">
        <f>_xlfn.XLOOKUP(FME_Ranking1[[#This Row],[FME ID]],FME_Input[FME_ID],FME_Input[LWC])</f>
        <v>0</v>
      </c>
      <c r="V2316" s="178">
        <f>(FME_Ranking1[[#This Row],[LWC Raw]]/$U$2)*100</f>
        <v>0</v>
      </c>
      <c r="W2316" s="178">
        <f>FME_Ranking1[[#This Row],[LWC Score (Normalized, Unweighted)]]*$U$3</f>
        <v>0</v>
      </c>
      <c r="X2316" s="246">
        <f>_xlfn.XLOOKUP(FME_Ranking1[[#This Row],[FME ID]],FME_Input[FME_ID],FME_Input[ROADCLS])</f>
        <v>0</v>
      </c>
      <c r="Y2316" s="230">
        <f>(FME_Ranking1[[#This Row],[Closures Raw]]/$X$2)*100</f>
        <v>0</v>
      </c>
      <c r="Z2316" s="180">
        <f>FME_Ranking1[[#This Row],[Closures Score (Normalized, Unweighted)]]*$X$3</f>
        <v>0</v>
      </c>
      <c r="AA2316" s="253">
        <f>_xlfn.XLOOKUP(FME_Ranking1[[#This Row],[FME ID]],FME_Input[FME_ID],FME_Input[ROAD_MILES100])</f>
        <v>0</v>
      </c>
      <c r="AB2316" s="178">
        <f>(FME_Ranking1[[#This Row],[Miles Raw]]/$AA$2)*100</f>
        <v>0</v>
      </c>
      <c r="AC2316" s="178">
        <f>FME_Ranking1[[#This Row],[Miles Score (Normalized, Unweighted)]]*$AA$3</f>
        <v>0</v>
      </c>
      <c r="AD2316" s="255">
        <f>_xlfn.XLOOKUP(FME_Ranking1[[#This Row],[FME ID]],FME_Input[FME_ID],FME_Input[FARMACRE100])</f>
        <v>0</v>
      </c>
      <c r="AE2316" s="230">
        <f>(FME_Ranking1[[#This Row],[Ag Land Raw]]/$AD$2)*100</f>
        <v>0</v>
      </c>
      <c r="AF2316" s="231">
        <f>FME_Ranking1[[#This Row],[Ag Land Score (Normalized, Unweighted)]]*$AD$3</f>
        <v>0</v>
      </c>
      <c r="AG231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16" s="406">
        <f t="shared" si="36"/>
        <v>2198</v>
      </c>
      <c r="AI231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16" s="257">
        <f>FME_Ranking1[[#This Row],[Addition check]]-FME_Ranking1[[#This Row],[Weighted Score Based on Normalized Reported Factors]]</f>
        <v>0</v>
      </c>
      <c r="AK2316" s="178">
        <f>_xlfn.RANK.EQ(AI2316,$AI$6:$AI$2341,0)+COUNTIF($AI$6:AI2316,AI2316)-1</f>
        <v>2318</v>
      </c>
    </row>
    <row r="2317" spans="1:37" x14ac:dyDescent="0.25">
      <c r="A2317" t="s">
        <v>10525</v>
      </c>
      <c r="B2317">
        <f>_xlfn.XLOOKUP(FME_Ranking1[[#This Row],[FME ID]],FME_Input[FME_ID],FME_Input[RFPG_NUM])</f>
        <v>13</v>
      </c>
      <c r="C2317" t="str">
        <f>_xlfn.XLOOKUP(FME_Ranking1[[#This Row],[FME ID]],FME_Input[FME_ID],FME_Input[FME_NAME])</f>
        <v>Nueces River Delta Shoreline Stabilization</v>
      </c>
      <c r="D2317" t="str">
        <f>_xlfn.XLOOKUP(FME_Ranking1[[#This Row],[FME ID]],FME_Input[FME_ID],FME_Input[DESCR])</f>
        <v>Texas Coastal Resiliency Master Plan - R3-15 The project would include the construction of breakwaters along approximately 3,900 linear feet of shoreline at the Nueces River Delta to dissipate wave energy that is causing estuarine wetland loss</v>
      </c>
      <c r="E2317" s="256">
        <f>_xlfn.XLOOKUP(FME_Ranking1[[#This Row],[FME ID]],FME_Input[FME_ID],FME_Input[FME_COST])</f>
        <v>536000</v>
      </c>
      <c r="F2317" t="str">
        <f>_xlfn.XLOOKUP(FME_Ranking1[[#This Row],[FME ID]],FME_Input[FME_ID],FME_Input[EMER_NEED])</f>
        <v>Yes</v>
      </c>
      <c r="G2317">
        <f>IF(FME_Ranking!F2317="Yes",100,0)</f>
        <v>100</v>
      </c>
      <c r="H2317">
        <f>FME_Ranking1[[#This Row],[Emergency Need Score (Normalized, Unweighted)]]*$F$3</f>
        <v>0</v>
      </c>
      <c r="I2317" s="246">
        <f>_xlfn.XLOOKUP(FME_Ranking1[[#This Row],[FME ID]],FME_Input[FME_ID],FME_Input[STRUCT_100])</f>
        <v>0</v>
      </c>
      <c r="J2317" s="178">
        <f>(FME_Ranking1[[#This Row],[Structures 100 Raw]]/I$2)*100</f>
        <v>0</v>
      </c>
      <c r="K2317" s="178">
        <f>FME_Ranking1[[#This Row],[Structures 100  Score (Normalized, Unweighted)]]*$I$3</f>
        <v>0</v>
      </c>
      <c r="L2317" s="246">
        <f>_xlfn.XLOOKUP(FME_Ranking1[[#This Row],[FME ID]],FME_Input[FME_ID],FME_Input[RES_STRUCT100])</f>
        <v>0</v>
      </c>
      <c r="M2317" s="230">
        <f>(FME_Ranking1[[#This Row],[Res Structures Raw]]/L$2)*100</f>
        <v>0</v>
      </c>
      <c r="N2317" s="180">
        <f>FME_Ranking1[[#This Row],[Res Structures Score (Normalized, Unweighted)]]*$L$3</f>
        <v>0</v>
      </c>
      <c r="O2317" s="244">
        <f>_xlfn.XLOOKUP(FME_Ranking1[[#This Row],[FME ID]],FME_Input[FME_ID],FME_Input[POP100])</f>
        <v>0</v>
      </c>
      <c r="P2317" s="178">
        <f>(FME_Ranking1[[#This Row],[Pop Raw]]/$O$2)*100</f>
        <v>0</v>
      </c>
      <c r="Q2317" s="178">
        <f>FME_Ranking1[[#This Row],[Pop Score (Normalized, Unweighted)]]*$O$3</f>
        <v>0</v>
      </c>
      <c r="R2317" s="137">
        <f>_xlfn.XLOOKUP(FME_Ranking1[[#This Row],[FME ID]],FME_Input[FME_ID],FME_Input[CRITFAC100])</f>
        <v>0</v>
      </c>
      <c r="S2317" s="230">
        <f>(FME_Ranking1[[#This Row],[Critical Facilities Raw]]/$R$2)*100</f>
        <v>0</v>
      </c>
      <c r="T2317" s="180">
        <f>FME_Ranking1[[#This Row],[Critical Facilities Score (Normalized, Unweighted)]]*$R$3</f>
        <v>0</v>
      </c>
      <c r="U2317">
        <f>_xlfn.XLOOKUP(FME_Ranking1[[#This Row],[FME ID]],FME_Input[FME_ID],FME_Input[LWC])</f>
        <v>0</v>
      </c>
      <c r="V2317" s="178">
        <f>(FME_Ranking1[[#This Row],[LWC Raw]]/$U$2)*100</f>
        <v>0</v>
      </c>
      <c r="W2317" s="178">
        <f>FME_Ranking1[[#This Row],[LWC Score (Normalized, Unweighted)]]*$U$3</f>
        <v>0</v>
      </c>
      <c r="X2317" s="246">
        <f>_xlfn.XLOOKUP(FME_Ranking1[[#This Row],[FME ID]],FME_Input[FME_ID],FME_Input[ROADCLS])</f>
        <v>0</v>
      </c>
      <c r="Y2317" s="230">
        <f>(FME_Ranking1[[#This Row],[Closures Raw]]/$X$2)*100</f>
        <v>0</v>
      </c>
      <c r="Z2317" s="180">
        <f>FME_Ranking1[[#This Row],[Closures Score (Normalized, Unweighted)]]*$X$3</f>
        <v>0</v>
      </c>
      <c r="AA2317" s="253">
        <f>_xlfn.XLOOKUP(FME_Ranking1[[#This Row],[FME ID]],FME_Input[FME_ID],FME_Input[ROAD_MILES100])</f>
        <v>0</v>
      </c>
      <c r="AB2317" s="178">
        <f>(FME_Ranking1[[#This Row],[Miles Raw]]/$AA$2)*100</f>
        <v>0</v>
      </c>
      <c r="AC2317" s="178">
        <f>FME_Ranking1[[#This Row],[Miles Score (Normalized, Unweighted)]]*$AA$3</f>
        <v>0</v>
      </c>
      <c r="AD2317" s="255">
        <f>_xlfn.XLOOKUP(FME_Ranking1[[#This Row],[FME ID]],FME_Input[FME_ID],FME_Input[FARMACRE100])</f>
        <v>0</v>
      </c>
      <c r="AE2317" s="230">
        <f>(FME_Ranking1[[#This Row],[Ag Land Raw]]/$AD$2)*100</f>
        <v>0</v>
      </c>
      <c r="AF2317" s="231">
        <f>FME_Ranking1[[#This Row],[Ag Land Score (Normalized, Unweighted)]]*$AD$3</f>
        <v>0</v>
      </c>
      <c r="AG231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17" s="406">
        <f t="shared" si="36"/>
        <v>2198</v>
      </c>
      <c r="AI231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17" s="257">
        <f>FME_Ranking1[[#This Row],[Addition check]]-FME_Ranking1[[#This Row],[Weighted Score Based on Normalized Reported Factors]]</f>
        <v>0</v>
      </c>
      <c r="AK2317" s="178">
        <f>_xlfn.RANK.EQ(AI2317,$AI$6:$AI$2341,0)+COUNTIF($AI$6:AI2317,AI2317)-1</f>
        <v>2319</v>
      </c>
    </row>
    <row r="2318" spans="1:37" x14ac:dyDescent="0.25">
      <c r="A2318" t="s">
        <v>10543</v>
      </c>
      <c r="B2318">
        <f>_xlfn.XLOOKUP(FME_Ranking1[[#This Row],[FME ID]],FME_Input[FME_ID],FME_Input[RFPG_NUM])</f>
        <v>13</v>
      </c>
      <c r="C2318" t="str">
        <f>_xlfn.XLOOKUP(FME_Ranking1[[#This Row],[FME ID]],FME_Input[FME_ID],FME_Input[FME_NAME])</f>
        <v>Redfish Bay Protection and Enhancement</v>
      </c>
      <c r="D2318" t="str">
        <f>_xlfn.XLOOKUP(FME_Ranking1[[#This Row],[FME ID]],FME_Input[FME_ID],FME_Input[DESCR])</f>
        <v>Coastal Texas Protection and Restoration Feasibility Study  - SP1 Restoration of the Dagger, Ransom, and Stedman Island complex via introduction of breakwater and supporting reefballs along the backside of Redfish Bay and on the bayside of the islands.</v>
      </c>
      <c r="E2318" s="256">
        <f>_xlfn.XLOOKUP(FME_Ranking1[[#This Row],[FME ID]],FME_Input[FME_ID],FME_Input[FME_COST])</f>
        <v>51613000</v>
      </c>
      <c r="F2318" t="str">
        <f>_xlfn.XLOOKUP(FME_Ranking1[[#This Row],[FME ID]],FME_Input[FME_ID],FME_Input[EMER_NEED])</f>
        <v>Yes</v>
      </c>
      <c r="G2318">
        <f>IF(FME_Ranking!F2318="Yes",100,0)</f>
        <v>100</v>
      </c>
      <c r="H2318">
        <f>FME_Ranking1[[#This Row],[Emergency Need Score (Normalized, Unweighted)]]*$F$3</f>
        <v>0</v>
      </c>
      <c r="I2318" s="246">
        <f>_xlfn.XLOOKUP(FME_Ranking1[[#This Row],[FME ID]],FME_Input[FME_ID],FME_Input[STRUCT_100])</f>
        <v>0</v>
      </c>
      <c r="J2318" s="178">
        <f>(FME_Ranking1[[#This Row],[Structures 100 Raw]]/I$2)*100</f>
        <v>0</v>
      </c>
      <c r="K2318" s="178">
        <f>FME_Ranking1[[#This Row],[Structures 100  Score (Normalized, Unweighted)]]*$I$3</f>
        <v>0</v>
      </c>
      <c r="L2318" s="246">
        <f>_xlfn.XLOOKUP(FME_Ranking1[[#This Row],[FME ID]],FME_Input[FME_ID],FME_Input[RES_STRUCT100])</f>
        <v>0</v>
      </c>
      <c r="M2318" s="230">
        <f>(FME_Ranking1[[#This Row],[Res Structures Raw]]/L$2)*100</f>
        <v>0</v>
      </c>
      <c r="N2318" s="180">
        <f>FME_Ranking1[[#This Row],[Res Structures Score (Normalized, Unweighted)]]*$L$3</f>
        <v>0</v>
      </c>
      <c r="O2318" s="244">
        <f>_xlfn.XLOOKUP(FME_Ranking1[[#This Row],[FME ID]],FME_Input[FME_ID],FME_Input[POP100])</f>
        <v>0</v>
      </c>
      <c r="P2318" s="178">
        <f>(FME_Ranking1[[#This Row],[Pop Raw]]/$O$2)*100</f>
        <v>0</v>
      </c>
      <c r="Q2318" s="178">
        <f>FME_Ranking1[[#This Row],[Pop Score (Normalized, Unweighted)]]*$O$3</f>
        <v>0</v>
      </c>
      <c r="R2318" s="137">
        <f>_xlfn.XLOOKUP(FME_Ranking1[[#This Row],[FME ID]],FME_Input[FME_ID],FME_Input[CRITFAC100])</f>
        <v>0</v>
      </c>
      <c r="S2318" s="230">
        <f>(FME_Ranking1[[#This Row],[Critical Facilities Raw]]/$R$2)*100</f>
        <v>0</v>
      </c>
      <c r="T2318" s="180">
        <f>FME_Ranking1[[#This Row],[Critical Facilities Score (Normalized, Unweighted)]]*$R$3</f>
        <v>0</v>
      </c>
      <c r="U2318">
        <f>_xlfn.XLOOKUP(FME_Ranking1[[#This Row],[FME ID]],FME_Input[FME_ID],FME_Input[LWC])</f>
        <v>0</v>
      </c>
      <c r="V2318" s="178">
        <f>(FME_Ranking1[[#This Row],[LWC Raw]]/$U$2)*100</f>
        <v>0</v>
      </c>
      <c r="W2318" s="178">
        <f>FME_Ranking1[[#This Row],[LWC Score (Normalized, Unweighted)]]*$U$3</f>
        <v>0</v>
      </c>
      <c r="X2318" s="246">
        <f>_xlfn.XLOOKUP(FME_Ranking1[[#This Row],[FME ID]],FME_Input[FME_ID],FME_Input[ROADCLS])</f>
        <v>0</v>
      </c>
      <c r="Y2318" s="230">
        <f>(FME_Ranking1[[#This Row],[Closures Raw]]/$X$2)*100</f>
        <v>0</v>
      </c>
      <c r="Z2318" s="180">
        <f>FME_Ranking1[[#This Row],[Closures Score (Normalized, Unweighted)]]*$X$3</f>
        <v>0</v>
      </c>
      <c r="AA2318" s="253">
        <f>_xlfn.XLOOKUP(FME_Ranking1[[#This Row],[FME ID]],FME_Input[FME_ID],FME_Input[ROAD_MILES100])</f>
        <v>0.87152999639511108</v>
      </c>
      <c r="AB2318" s="178">
        <f>(FME_Ranking1[[#This Row],[Miles Raw]]/$AA$2)*100</f>
        <v>1.1459056290162859E-2</v>
      </c>
      <c r="AC2318" s="178">
        <f>FME_Ranking1[[#This Row],[Miles Score (Normalized, Unweighted)]]*$AA$3</f>
        <v>1.1459056290162859E-3</v>
      </c>
      <c r="AD2318" s="255">
        <f>_xlfn.XLOOKUP(FME_Ranking1[[#This Row],[FME ID]],FME_Input[FME_ID],FME_Input[FARMACRE100])</f>
        <v>0</v>
      </c>
      <c r="AE2318" s="230">
        <f>(FME_Ranking1[[#This Row],[Ag Land Raw]]/$AD$2)*100</f>
        <v>0</v>
      </c>
      <c r="AF2318" s="231">
        <f>FME_Ranking1[[#This Row],[Ag Land Score (Normalized, Unweighted)]]*$AD$3</f>
        <v>0</v>
      </c>
      <c r="AG231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1.1459056290162859E-3</v>
      </c>
      <c r="AH2318" s="406">
        <f t="shared" si="36"/>
        <v>2015</v>
      </c>
      <c r="AI231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1.1459056290162859E-3</v>
      </c>
      <c r="AJ2318" s="257">
        <f>FME_Ranking1[[#This Row],[Addition check]]-FME_Ranking1[[#This Row],[Weighted Score Based on Normalized Reported Factors]]</f>
        <v>0</v>
      </c>
      <c r="AK2318" s="178">
        <f>_xlfn.RANK.EQ(AI2318,$AI$6:$AI$2341,0)+COUNTIF($AI$6:AI2318,AI2318)-1</f>
        <v>2015</v>
      </c>
    </row>
    <row r="2319" spans="1:37" x14ac:dyDescent="0.25">
      <c r="A2319" t="s">
        <v>10551</v>
      </c>
      <c r="B2319">
        <f>_xlfn.XLOOKUP(FME_Ranking1[[#This Row],[FME ID]],FME_Input[FME_ID],FME_Input[RFPG_NUM])</f>
        <v>13</v>
      </c>
      <c r="C2319" t="str">
        <f>_xlfn.XLOOKUP(FME_Ranking1[[#This Row],[FME ID]],FME_Input[FME_ID],FME_Input[FME_NAME])</f>
        <v>Pelican Cove Sea Gate Replacement</v>
      </c>
      <c r="D2319" t="str">
        <f>_xlfn.XLOOKUP(FME_Ranking1[[#This Row],[FME ID]],FME_Input[FME_ID],FME_Input[DESCR])</f>
        <v>Improve the Pelican Cove sea gates for easier installment &amp; removal. To prevent rising water into the City, existing huge metal gates are lowered into concrete frames with a 10 ton crane. Post storm surge, high water levels make gate removal difficult.</v>
      </c>
      <c r="E2319" s="256">
        <f>_xlfn.XLOOKUP(FME_Ranking1[[#This Row],[FME ID]],FME_Input[FME_ID],FME_Input[FME_COST])</f>
        <v>47000</v>
      </c>
      <c r="F2319" t="str">
        <f>_xlfn.XLOOKUP(FME_Ranking1[[#This Row],[FME ID]],FME_Input[FME_ID],FME_Input[EMER_NEED])</f>
        <v>Yes</v>
      </c>
      <c r="G2319">
        <f>IF(FME_Ranking!F2319="Yes",100,0)</f>
        <v>100</v>
      </c>
      <c r="H2319">
        <f>FME_Ranking1[[#This Row],[Emergency Need Score (Normalized, Unweighted)]]*$F$3</f>
        <v>0</v>
      </c>
      <c r="I2319" s="246">
        <f>_xlfn.XLOOKUP(FME_Ranking1[[#This Row],[FME ID]],FME_Input[FME_ID],FME_Input[STRUCT_100])</f>
        <v>0</v>
      </c>
      <c r="J2319" s="178">
        <f>(FME_Ranking1[[#This Row],[Structures 100 Raw]]/I$2)*100</f>
        <v>0</v>
      </c>
      <c r="K2319" s="178">
        <f>FME_Ranking1[[#This Row],[Structures 100  Score (Normalized, Unweighted)]]*$I$3</f>
        <v>0</v>
      </c>
      <c r="L2319" s="246">
        <f>_xlfn.XLOOKUP(FME_Ranking1[[#This Row],[FME ID]],FME_Input[FME_ID],FME_Input[RES_STRUCT100])</f>
        <v>0</v>
      </c>
      <c r="M2319" s="230">
        <f>(FME_Ranking1[[#This Row],[Res Structures Raw]]/L$2)*100</f>
        <v>0</v>
      </c>
      <c r="N2319" s="180">
        <f>FME_Ranking1[[#This Row],[Res Structures Score (Normalized, Unweighted)]]*$L$3</f>
        <v>0</v>
      </c>
      <c r="O2319" s="244">
        <f>_xlfn.XLOOKUP(FME_Ranking1[[#This Row],[FME ID]],FME_Input[FME_ID],FME_Input[POP100])</f>
        <v>0</v>
      </c>
      <c r="P2319" s="178">
        <f>(FME_Ranking1[[#This Row],[Pop Raw]]/$O$2)*100</f>
        <v>0</v>
      </c>
      <c r="Q2319" s="178">
        <f>FME_Ranking1[[#This Row],[Pop Score (Normalized, Unweighted)]]*$O$3</f>
        <v>0</v>
      </c>
      <c r="R2319" s="137">
        <f>_xlfn.XLOOKUP(FME_Ranking1[[#This Row],[FME ID]],FME_Input[FME_ID],FME_Input[CRITFAC100])</f>
        <v>0</v>
      </c>
      <c r="S2319" s="230">
        <f>(FME_Ranking1[[#This Row],[Critical Facilities Raw]]/$R$2)*100</f>
        <v>0</v>
      </c>
      <c r="T2319" s="180">
        <f>FME_Ranking1[[#This Row],[Critical Facilities Score (Normalized, Unweighted)]]*$R$3</f>
        <v>0</v>
      </c>
      <c r="U2319">
        <f>_xlfn.XLOOKUP(FME_Ranking1[[#This Row],[FME ID]],FME_Input[FME_ID],FME_Input[LWC])</f>
        <v>0</v>
      </c>
      <c r="V2319" s="178">
        <f>(FME_Ranking1[[#This Row],[LWC Raw]]/$U$2)*100</f>
        <v>0</v>
      </c>
      <c r="W2319" s="178">
        <f>FME_Ranking1[[#This Row],[LWC Score (Normalized, Unweighted)]]*$U$3</f>
        <v>0</v>
      </c>
      <c r="X2319" s="246">
        <f>_xlfn.XLOOKUP(FME_Ranking1[[#This Row],[FME ID]],FME_Input[FME_ID],FME_Input[ROADCLS])</f>
        <v>0</v>
      </c>
      <c r="Y2319" s="230">
        <f>(FME_Ranking1[[#This Row],[Closures Raw]]/$X$2)*100</f>
        <v>0</v>
      </c>
      <c r="Z2319" s="180">
        <f>FME_Ranking1[[#This Row],[Closures Score (Normalized, Unweighted)]]*$X$3</f>
        <v>0</v>
      </c>
      <c r="AA2319" s="253">
        <f>_xlfn.XLOOKUP(FME_Ranking1[[#This Row],[FME ID]],FME_Input[FME_ID],FME_Input[ROAD_MILES100])</f>
        <v>0</v>
      </c>
      <c r="AB2319" s="178">
        <f>(FME_Ranking1[[#This Row],[Miles Raw]]/$AA$2)*100</f>
        <v>0</v>
      </c>
      <c r="AC2319" s="178">
        <f>FME_Ranking1[[#This Row],[Miles Score (Normalized, Unweighted)]]*$AA$3</f>
        <v>0</v>
      </c>
      <c r="AD2319" s="255">
        <f>_xlfn.XLOOKUP(FME_Ranking1[[#This Row],[FME ID]],FME_Input[FME_ID],FME_Input[FARMACRE100])</f>
        <v>0</v>
      </c>
      <c r="AE2319" s="230">
        <f>(FME_Ranking1[[#This Row],[Ag Land Raw]]/$AD$2)*100</f>
        <v>0</v>
      </c>
      <c r="AF2319" s="231">
        <f>FME_Ranking1[[#This Row],[Ag Land Score (Normalized, Unweighted)]]*$AD$3</f>
        <v>0</v>
      </c>
      <c r="AG231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19" s="406">
        <f t="shared" si="36"/>
        <v>2198</v>
      </c>
      <c r="AI231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19" s="257">
        <f>FME_Ranking1[[#This Row],[Addition check]]-FME_Ranking1[[#This Row],[Weighted Score Based on Normalized Reported Factors]]</f>
        <v>0</v>
      </c>
      <c r="AK2319" s="178">
        <f>_xlfn.RANK.EQ(AI2319,$AI$6:$AI$2341,0)+COUNTIF($AI$6:AI2319,AI2319)-1</f>
        <v>2320</v>
      </c>
    </row>
    <row r="2320" spans="1:37" x14ac:dyDescent="0.25">
      <c r="A2320" t="s">
        <v>10714</v>
      </c>
      <c r="B2320">
        <f>_xlfn.XLOOKUP(FME_Ranking1[[#This Row],[FME ID]],FME_Input[FME_ID],FME_Input[RFPG_NUM])</f>
        <v>13</v>
      </c>
      <c r="C2320" t="str">
        <f>_xlfn.XLOOKUP(FME_Ranking1[[#This Row],[FME ID]],FME_Input[FME_ID],FME_Input[FME_NAME])</f>
        <v>12th Street Drainage Improvements</v>
      </c>
      <c r="D2320" t="str">
        <f>_xlfn.XLOOKUP(FME_Ranking1[[#This Row],[FME ID]],FME_Input[FME_ID],FME_Input[DESCR])</f>
        <v>Construct drainage channel from 12th St to Bee Tree Circle and increase capacity of drainage structure under Bee Tree Circle.</v>
      </c>
      <c r="E2320" s="256">
        <f>_xlfn.XLOOKUP(FME_Ranking1[[#This Row],[FME ID]],FME_Input[FME_ID],FME_Input[FME_COST])</f>
        <v>150000</v>
      </c>
      <c r="F2320" t="str">
        <f>_xlfn.XLOOKUP(FME_Ranking1[[#This Row],[FME ID]],FME_Input[FME_ID],FME_Input[EMER_NEED])</f>
        <v>Yes</v>
      </c>
      <c r="G2320">
        <f>IF(FME_Ranking!F2320="Yes",100,0)</f>
        <v>100</v>
      </c>
      <c r="H2320">
        <f>FME_Ranking1[[#This Row],[Emergency Need Score (Normalized, Unweighted)]]*$F$3</f>
        <v>0</v>
      </c>
      <c r="I2320" s="246">
        <f>_xlfn.XLOOKUP(FME_Ranking1[[#This Row],[FME ID]],FME_Input[FME_ID],FME_Input[STRUCT_100])</f>
        <v>0</v>
      </c>
      <c r="J2320" s="178">
        <f>(FME_Ranking1[[#This Row],[Structures 100 Raw]]/I$2)*100</f>
        <v>0</v>
      </c>
      <c r="K2320" s="178">
        <f>FME_Ranking1[[#This Row],[Structures 100  Score (Normalized, Unweighted)]]*$I$3</f>
        <v>0</v>
      </c>
      <c r="L2320" s="246">
        <f>_xlfn.XLOOKUP(FME_Ranking1[[#This Row],[FME ID]],FME_Input[FME_ID],FME_Input[RES_STRUCT100])</f>
        <v>0</v>
      </c>
      <c r="M2320" s="230">
        <f>(FME_Ranking1[[#This Row],[Res Structures Raw]]/L$2)*100</f>
        <v>0</v>
      </c>
      <c r="N2320" s="180">
        <f>FME_Ranking1[[#This Row],[Res Structures Score (Normalized, Unweighted)]]*$L$3</f>
        <v>0</v>
      </c>
      <c r="O2320" s="244">
        <f>_xlfn.XLOOKUP(FME_Ranking1[[#This Row],[FME ID]],FME_Input[FME_ID],FME_Input[POP100])</f>
        <v>0</v>
      </c>
      <c r="P2320" s="178">
        <f>(FME_Ranking1[[#This Row],[Pop Raw]]/$O$2)*100</f>
        <v>0</v>
      </c>
      <c r="Q2320" s="178">
        <f>FME_Ranking1[[#This Row],[Pop Score (Normalized, Unweighted)]]*$O$3</f>
        <v>0</v>
      </c>
      <c r="R2320" s="137">
        <f>_xlfn.XLOOKUP(FME_Ranking1[[#This Row],[FME ID]],FME_Input[FME_ID],FME_Input[CRITFAC100])</f>
        <v>0</v>
      </c>
      <c r="S2320" s="230">
        <f>(FME_Ranking1[[#This Row],[Critical Facilities Raw]]/$R$2)*100</f>
        <v>0</v>
      </c>
      <c r="T2320" s="180">
        <f>FME_Ranking1[[#This Row],[Critical Facilities Score (Normalized, Unweighted)]]*$R$3</f>
        <v>0</v>
      </c>
      <c r="U2320">
        <f>_xlfn.XLOOKUP(FME_Ranking1[[#This Row],[FME ID]],FME_Input[FME_ID],FME_Input[LWC])</f>
        <v>0</v>
      </c>
      <c r="V2320" s="178">
        <f>(FME_Ranking1[[#This Row],[LWC Raw]]/$U$2)*100</f>
        <v>0</v>
      </c>
      <c r="W2320" s="178">
        <f>FME_Ranking1[[#This Row],[LWC Score (Normalized, Unweighted)]]*$U$3</f>
        <v>0</v>
      </c>
      <c r="X2320" s="246">
        <f>_xlfn.XLOOKUP(FME_Ranking1[[#This Row],[FME ID]],FME_Input[FME_ID],FME_Input[ROADCLS])</f>
        <v>0</v>
      </c>
      <c r="Y2320" s="230">
        <f>(FME_Ranking1[[#This Row],[Closures Raw]]/$X$2)*100</f>
        <v>0</v>
      </c>
      <c r="Z2320" s="180">
        <f>FME_Ranking1[[#This Row],[Closures Score (Normalized, Unweighted)]]*$X$3</f>
        <v>0</v>
      </c>
      <c r="AA2320" s="253">
        <f>_xlfn.XLOOKUP(FME_Ranking1[[#This Row],[FME ID]],FME_Input[FME_ID],FME_Input[ROAD_MILES100])</f>
        <v>0</v>
      </c>
      <c r="AB2320" s="178">
        <f>(FME_Ranking1[[#This Row],[Miles Raw]]/$AA$2)*100</f>
        <v>0</v>
      </c>
      <c r="AC2320" s="178">
        <f>FME_Ranking1[[#This Row],[Miles Score (Normalized, Unweighted)]]*$AA$3</f>
        <v>0</v>
      </c>
      <c r="AD2320" s="255">
        <f>_xlfn.XLOOKUP(FME_Ranking1[[#This Row],[FME ID]],FME_Input[FME_ID],FME_Input[FARMACRE100])</f>
        <v>0</v>
      </c>
      <c r="AE2320" s="230">
        <f>(FME_Ranking1[[#This Row],[Ag Land Raw]]/$AD$2)*100</f>
        <v>0</v>
      </c>
      <c r="AF2320" s="231">
        <f>FME_Ranking1[[#This Row],[Ag Land Score (Normalized, Unweighted)]]*$AD$3</f>
        <v>0</v>
      </c>
      <c r="AG232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20" s="406">
        <f t="shared" si="36"/>
        <v>2198</v>
      </c>
      <c r="AI232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20" s="257">
        <f>FME_Ranking1[[#This Row],[Addition check]]-FME_Ranking1[[#This Row],[Weighted Score Based on Normalized Reported Factors]]</f>
        <v>0</v>
      </c>
      <c r="AK2320" s="178">
        <f>_xlfn.RANK.EQ(AI2320,$AI$6:$AI$2341,0)+COUNTIF($AI$6:AI2320,AI2320)-1</f>
        <v>2321</v>
      </c>
    </row>
    <row r="2321" spans="1:37" x14ac:dyDescent="0.25">
      <c r="A2321" t="s">
        <v>10720</v>
      </c>
      <c r="B2321">
        <f>_xlfn.XLOOKUP(FME_Ranking1[[#This Row],[FME ID]],FME_Input[FME_ID],FME_Input[RFPG_NUM])</f>
        <v>13</v>
      </c>
      <c r="C2321" t="str">
        <f>_xlfn.XLOOKUP(FME_Ranking1[[#This Row],[FME ID]],FME_Input[FME_ID],FME_Input[FME_NAME])</f>
        <v>Aransas County Drainage Improvements - Henderson Street Property - Project 4</v>
      </c>
      <c r="D2321" t="str">
        <f>_xlfn.XLOOKUP(FME_Ranking1[[#This Row],[FME ID]],FME_Input[FME_ID],FME_Input[DESCR])</f>
        <v>Aransas County Texas Multi-Jurisdictional Hazard Mitigation Action Plan - Action #28: Precinct 3 - Henderson Street Property - Project 4. Reduce flood risk to buildings and infrastructure by making improvements to the County drainage system</v>
      </c>
      <c r="E2321" s="256">
        <f>_xlfn.XLOOKUP(FME_Ranking1[[#This Row],[FME ID]],FME_Input[FME_ID],FME_Input[FME_COST])</f>
        <v>176000</v>
      </c>
      <c r="F2321" t="str">
        <f>_xlfn.XLOOKUP(FME_Ranking1[[#This Row],[FME ID]],FME_Input[FME_ID],FME_Input[EMER_NEED])</f>
        <v>Yes</v>
      </c>
      <c r="G2321">
        <f>IF(FME_Ranking!F2321="Yes",100,0)</f>
        <v>100</v>
      </c>
      <c r="H2321">
        <f>FME_Ranking1[[#This Row],[Emergency Need Score (Normalized, Unweighted)]]*$F$3</f>
        <v>0</v>
      </c>
      <c r="I2321" s="246">
        <f>_xlfn.XLOOKUP(FME_Ranking1[[#This Row],[FME ID]],FME_Input[FME_ID],FME_Input[STRUCT_100])</f>
        <v>0</v>
      </c>
      <c r="J2321" s="178">
        <f>(FME_Ranking1[[#This Row],[Structures 100 Raw]]/I$2)*100</f>
        <v>0</v>
      </c>
      <c r="K2321" s="178">
        <f>FME_Ranking1[[#This Row],[Structures 100  Score (Normalized, Unweighted)]]*$I$3</f>
        <v>0</v>
      </c>
      <c r="L2321" s="246">
        <f>_xlfn.XLOOKUP(FME_Ranking1[[#This Row],[FME ID]],FME_Input[FME_ID],FME_Input[RES_STRUCT100])</f>
        <v>0</v>
      </c>
      <c r="M2321" s="230">
        <f>(FME_Ranking1[[#This Row],[Res Structures Raw]]/L$2)*100</f>
        <v>0</v>
      </c>
      <c r="N2321" s="180">
        <f>FME_Ranking1[[#This Row],[Res Structures Score (Normalized, Unweighted)]]*$L$3</f>
        <v>0</v>
      </c>
      <c r="O2321" s="244">
        <f>_xlfn.XLOOKUP(FME_Ranking1[[#This Row],[FME ID]],FME_Input[FME_ID],FME_Input[POP100])</f>
        <v>0</v>
      </c>
      <c r="P2321" s="178">
        <f>(FME_Ranking1[[#This Row],[Pop Raw]]/$O$2)*100</f>
        <v>0</v>
      </c>
      <c r="Q2321" s="178">
        <f>FME_Ranking1[[#This Row],[Pop Score (Normalized, Unweighted)]]*$O$3</f>
        <v>0</v>
      </c>
      <c r="R2321" s="137">
        <f>_xlfn.XLOOKUP(FME_Ranking1[[#This Row],[FME ID]],FME_Input[FME_ID],FME_Input[CRITFAC100])</f>
        <v>0</v>
      </c>
      <c r="S2321" s="230">
        <f>(FME_Ranking1[[#This Row],[Critical Facilities Raw]]/$R$2)*100</f>
        <v>0</v>
      </c>
      <c r="T2321" s="180">
        <f>FME_Ranking1[[#This Row],[Critical Facilities Score (Normalized, Unweighted)]]*$R$3</f>
        <v>0</v>
      </c>
      <c r="U2321">
        <f>_xlfn.XLOOKUP(FME_Ranking1[[#This Row],[FME ID]],FME_Input[FME_ID],FME_Input[LWC])</f>
        <v>0</v>
      </c>
      <c r="V2321" s="178">
        <f>(FME_Ranking1[[#This Row],[LWC Raw]]/$U$2)*100</f>
        <v>0</v>
      </c>
      <c r="W2321" s="178">
        <f>FME_Ranking1[[#This Row],[LWC Score (Normalized, Unweighted)]]*$U$3</f>
        <v>0</v>
      </c>
      <c r="X2321" s="246">
        <f>_xlfn.XLOOKUP(FME_Ranking1[[#This Row],[FME ID]],FME_Input[FME_ID],FME_Input[ROADCLS])</f>
        <v>0</v>
      </c>
      <c r="Y2321" s="230">
        <f>(FME_Ranking1[[#This Row],[Closures Raw]]/$X$2)*100</f>
        <v>0</v>
      </c>
      <c r="Z2321" s="180">
        <f>FME_Ranking1[[#This Row],[Closures Score (Normalized, Unweighted)]]*$X$3</f>
        <v>0</v>
      </c>
      <c r="AA2321" s="253">
        <f>_xlfn.XLOOKUP(FME_Ranking1[[#This Row],[FME ID]],FME_Input[FME_ID],FME_Input[ROAD_MILES100])</f>
        <v>0</v>
      </c>
      <c r="AB2321" s="178">
        <f>(FME_Ranking1[[#This Row],[Miles Raw]]/$AA$2)*100</f>
        <v>0</v>
      </c>
      <c r="AC2321" s="178">
        <f>FME_Ranking1[[#This Row],[Miles Score (Normalized, Unweighted)]]*$AA$3</f>
        <v>0</v>
      </c>
      <c r="AD2321" s="255">
        <f>_xlfn.XLOOKUP(FME_Ranking1[[#This Row],[FME ID]],FME_Input[FME_ID],FME_Input[FARMACRE100])</f>
        <v>0</v>
      </c>
      <c r="AE2321" s="230">
        <f>(FME_Ranking1[[#This Row],[Ag Land Raw]]/$AD$2)*100</f>
        <v>0</v>
      </c>
      <c r="AF2321" s="231">
        <f>FME_Ranking1[[#This Row],[Ag Land Score (Normalized, Unweighted)]]*$AD$3</f>
        <v>0</v>
      </c>
      <c r="AG232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21" s="406">
        <f t="shared" si="36"/>
        <v>2198</v>
      </c>
      <c r="AI232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21" s="257">
        <f>FME_Ranking1[[#This Row],[Addition check]]-FME_Ranking1[[#This Row],[Weighted Score Based on Normalized Reported Factors]]</f>
        <v>0</v>
      </c>
      <c r="AK2321" s="178">
        <f>_xlfn.RANK.EQ(AI2321,$AI$6:$AI$2341,0)+COUNTIF($AI$6:AI2321,AI2321)-1</f>
        <v>2322</v>
      </c>
    </row>
    <row r="2322" spans="1:37" x14ac:dyDescent="0.25">
      <c r="A2322" t="s">
        <v>10743</v>
      </c>
      <c r="B2322">
        <f>_xlfn.XLOOKUP(FME_Ranking1[[#This Row],[FME ID]],FME_Input[FME_ID],FME_Input[RFPG_NUM])</f>
        <v>13</v>
      </c>
      <c r="C2322" t="str">
        <f>_xlfn.XLOOKUP(FME_Ranking1[[#This Row],[FME ID]],FME_Input[FME_ID],FME_Input[FME_NAME])</f>
        <v>Citywide Stormwater Drainage Improvements - Odem</v>
      </c>
      <c r="D2322" t="str">
        <f>_xlfn.XLOOKUP(FME_Ranking1[[#This Row],[FME ID]],FME_Input[FME_ID],FME_Input[DESCR])</f>
        <v>Drainage issues at railroad undercrossings caused by neighborhood development.</v>
      </c>
      <c r="E2322" s="256">
        <f>_xlfn.XLOOKUP(FME_Ranking1[[#This Row],[FME ID]],FME_Input[FME_ID],FME_Input[FME_COST])</f>
        <v>100000</v>
      </c>
      <c r="F2322" t="str">
        <f>_xlfn.XLOOKUP(FME_Ranking1[[#This Row],[FME ID]],FME_Input[FME_ID],FME_Input[EMER_NEED])</f>
        <v>Yes</v>
      </c>
      <c r="G2322">
        <f>IF(FME_Ranking!F2322="Yes",100,0)</f>
        <v>100</v>
      </c>
      <c r="H2322">
        <f>FME_Ranking1[[#This Row],[Emergency Need Score (Normalized, Unweighted)]]*$F$3</f>
        <v>0</v>
      </c>
      <c r="I2322" s="246">
        <f>_xlfn.XLOOKUP(FME_Ranking1[[#This Row],[FME ID]],FME_Input[FME_ID],FME_Input[STRUCT_100])</f>
        <v>0</v>
      </c>
      <c r="J2322" s="178">
        <f>(FME_Ranking1[[#This Row],[Structures 100 Raw]]/I$2)*100</f>
        <v>0</v>
      </c>
      <c r="K2322" s="178">
        <f>FME_Ranking1[[#This Row],[Structures 100  Score (Normalized, Unweighted)]]*$I$3</f>
        <v>0</v>
      </c>
      <c r="L2322" s="246">
        <f>_xlfn.XLOOKUP(FME_Ranking1[[#This Row],[FME ID]],FME_Input[FME_ID],FME_Input[RES_STRUCT100])</f>
        <v>0</v>
      </c>
      <c r="M2322" s="230">
        <f>(FME_Ranking1[[#This Row],[Res Structures Raw]]/L$2)*100</f>
        <v>0</v>
      </c>
      <c r="N2322" s="180">
        <f>FME_Ranking1[[#This Row],[Res Structures Score (Normalized, Unweighted)]]*$L$3</f>
        <v>0</v>
      </c>
      <c r="O2322" s="244">
        <f>_xlfn.XLOOKUP(FME_Ranking1[[#This Row],[FME ID]],FME_Input[FME_ID],FME_Input[POP100])</f>
        <v>0</v>
      </c>
      <c r="P2322" s="178">
        <f>(FME_Ranking1[[#This Row],[Pop Raw]]/$O$2)*100</f>
        <v>0</v>
      </c>
      <c r="Q2322" s="178">
        <f>FME_Ranking1[[#This Row],[Pop Score (Normalized, Unweighted)]]*$O$3</f>
        <v>0</v>
      </c>
      <c r="R2322" s="137">
        <f>_xlfn.XLOOKUP(FME_Ranking1[[#This Row],[FME ID]],FME_Input[FME_ID],FME_Input[CRITFAC100])</f>
        <v>0</v>
      </c>
      <c r="S2322" s="230">
        <f>(FME_Ranking1[[#This Row],[Critical Facilities Raw]]/$R$2)*100</f>
        <v>0</v>
      </c>
      <c r="T2322" s="180">
        <f>FME_Ranking1[[#This Row],[Critical Facilities Score (Normalized, Unweighted)]]*$R$3</f>
        <v>0</v>
      </c>
      <c r="U2322">
        <f>_xlfn.XLOOKUP(FME_Ranking1[[#This Row],[FME ID]],FME_Input[FME_ID],FME_Input[LWC])</f>
        <v>0</v>
      </c>
      <c r="V2322" s="178">
        <f>(FME_Ranking1[[#This Row],[LWC Raw]]/$U$2)*100</f>
        <v>0</v>
      </c>
      <c r="W2322" s="178">
        <f>FME_Ranking1[[#This Row],[LWC Score (Normalized, Unweighted)]]*$U$3</f>
        <v>0</v>
      </c>
      <c r="X2322" s="246">
        <f>_xlfn.XLOOKUP(FME_Ranking1[[#This Row],[FME ID]],FME_Input[FME_ID],FME_Input[ROADCLS])</f>
        <v>0</v>
      </c>
      <c r="Y2322" s="230">
        <f>(FME_Ranking1[[#This Row],[Closures Raw]]/$X$2)*100</f>
        <v>0</v>
      </c>
      <c r="Z2322" s="180">
        <f>FME_Ranking1[[#This Row],[Closures Score (Normalized, Unweighted)]]*$X$3</f>
        <v>0</v>
      </c>
      <c r="AA2322" s="253">
        <f>_xlfn.XLOOKUP(FME_Ranking1[[#This Row],[FME ID]],FME_Input[FME_ID],FME_Input[ROAD_MILES100])</f>
        <v>0</v>
      </c>
      <c r="AB2322" s="178">
        <f>(FME_Ranking1[[#This Row],[Miles Raw]]/$AA$2)*100</f>
        <v>0</v>
      </c>
      <c r="AC2322" s="178">
        <f>FME_Ranking1[[#This Row],[Miles Score (Normalized, Unweighted)]]*$AA$3</f>
        <v>0</v>
      </c>
      <c r="AD2322" s="255">
        <f>_xlfn.XLOOKUP(FME_Ranking1[[#This Row],[FME ID]],FME_Input[FME_ID],FME_Input[FARMACRE100])</f>
        <v>0</v>
      </c>
      <c r="AE2322" s="230">
        <f>(FME_Ranking1[[#This Row],[Ag Land Raw]]/$AD$2)*100</f>
        <v>0</v>
      </c>
      <c r="AF2322" s="231">
        <f>FME_Ranking1[[#This Row],[Ag Land Score (Normalized, Unweighted)]]*$AD$3</f>
        <v>0</v>
      </c>
      <c r="AG232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22" s="406">
        <f t="shared" si="36"/>
        <v>2198</v>
      </c>
      <c r="AI232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22" s="257">
        <f>FME_Ranking1[[#This Row],[Addition check]]-FME_Ranking1[[#This Row],[Weighted Score Based on Normalized Reported Factors]]</f>
        <v>0</v>
      </c>
      <c r="AK2322" s="178">
        <f>_xlfn.RANK.EQ(AI2322,$AI$6:$AI$2341,0)+COUNTIF($AI$6:AI2322,AI2322)-1</f>
        <v>2323</v>
      </c>
    </row>
    <row r="2323" spans="1:37" x14ac:dyDescent="0.25">
      <c r="A2323" t="s">
        <v>10761</v>
      </c>
      <c r="B2323">
        <f>_xlfn.XLOOKUP(FME_Ranking1[[#This Row],[FME ID]],FME_Input[FME_ID],FME_Input[RFPG_NUM])</f>
        <v>13</v>
      </c>
      <c r="C2323" t="str">
        <f>_xlfn.XLOOKUP(FME_Ranking1[[#This Row],[FME ID]],FME_Input[FME_ID],FME_Input[FME_NAME])</f>
        <v>Citywide Stormwater Drainage Improvements - Sinton</v>
      </c>
      <c r="D2323" t="str">
        <f>_xlfn.XLOOKUP(FME_Ranking1[[#This Row],[FME ID]],FME_Input[FME_ID],FME_Input[DESCR])</f>
        <v xml:space="preserve">Improving drainage on ditches along TXDOT roads and conveyance on railroad undercrossings. </v>
      </c>
      <c r="E2323" s="256">
        <f>_xlfn.XLOOKUP(FME_Ranking1[[#This Row],[FME ID]],FME_Input[FME_ID],FME_Input[FME_COST])</f>
        <v>200000</v>
      </c>
      <c r="F2323" t="str">
        <f>_xlfn.XLOOKUP(FME_Ranking1[[#This Row],[FME ID]],FME_Input[FME_ID],FME_Input[EMER_NEED])</f>
        <v>Yes</v>
      </c>
      <c r="G2323">
        <f>IF(FME_Ranking!F2323="Yes",100,0)</f>
        <v>100</v>
      </c>
      <c r="H2323">
        <f>FME_Ranking1[[#This Row],[Emergency Need Score (Normalized, Unweighted)]]*$F$3</f>
        <v>0</v>
      </c>
      <c r="I2323" s="246">
        <f>_xlfn.XLOOKUP(FME_Ranking1[[#This Row],[FME ID]],FME_Input[FME_ID],FME_Input[STRUCT_100])</f>
        <v>0</v>
      </c>
      <c r="J2323" s="178">
        <f>(FME_Ranking1[[#This Row],[Structures 100 Raw]]/I$2)*100</f>
        <v>0</v>
      </c>
      <c r="K2323" s="178">
        <f>FME_Ranking1[[#This Row],[Structures 100  Score (Normalized, Unweighted)]]*$I$3</f>
        <v>0</v>
      </c>
      <c r="L2323" s="246">
        <f>_xlfn.XLOOKUP(FME_Ranking1[[#This Row],[FME ID]],FME_Input[FME_ID],FME_Input[RES_STRUCT100])</f>
        <v>0</v>
      </c>
      <c r="M2323" s="230">
        <f>(FME_Ranking1[[#This Row],[Res Structures Raw]]/L$2)*100</f>
        <v>0</v>
      </c>
      <c r="N2323" s="180">
        <f>FME_Ranking1[[#This Row],[Res Structures Score (Normalized, Unweighted)]]*$L$3</f>
        <v>0</v>
      </c>
      <c r="O2323" s="244">
        <f>_xlfn.XLOOKUP(FME_Ranking1[[#This Row],[FME ID]],FME_Input[FME_ID],FME_Input[POP100])</f>
        <v>0</v>
      </c>
      <c r="P2323" s="178">
        <f>(FME_Ranking1[[#This Row],[Pop Raw]]/$O$2)*100</f>
        <v>0</v>
      </c>
      <c r="Q2323" s="178">
        <f>FME_Ranking1[[#This Row],[Pop Score (Normalized, Unweighted)]]*$O$3</f>
        <v>0</v>
      </c>
      <c r="R2323" s="137">
        <f>_xlfn.XLOOKUP(FME_Ranking1[[#This Row],[FME ID]],FME_Input[FME_ID],FME_Input[CRITFAC100])</f>
        <v>0</v>
      </c>
      <c r="S2323" s="230">
        <f>(FME_Ranking1[[#This Row],[Critical Facilities Raw]]/$R$2)*100</f>
        <v>0</v>
      </c>
      <c r="T2323" s="180">
        <f>FME_Ranking1[[#This Row],[Critical Facilities Score (Normalized, Unweighted)]]*$R$3</f>
        <v>0</v>
      </c>
      <c r="U2323">
        <f>_xlfn.XLOOKUP(FME_Ranking1[[#This Row],[FME ID]],FME_Input[FME_ID],FME_Input[LWC])</f>
        <v>0</v>
      </c>
      <c r="V2323" s="178">
        <f>(FME_Ranking1[[#This Row],[LWC Raw]]/$U$2)*100</f>
        <v>0</v>
      </c>
      <c r="W2323" s="178">
        <f>FME_Ranking1[[#This Row],[LWC Score (Normalized, Unweighted)]]*$U$3</f>
        <v>0</v>
      </c>
      <c r="X2323" s="246">
        <f>_xlfn.XLOOKUP(FME_Ranking1[[#This Row],[FME ID]],FME_Input[FME_ID],FME_Input[ROADCLS])</f>
        <v>0</v>
      </c>
      <c r="Y2323" s="230">
        <f>(FME_Ranking1[[#This Row],[Closures Raw]]/$X$2)*100</f>
        <v>0</v>
      </c>
      <c r="Z2323" s="180">
        <f>FME_Ranking1[[#This Row],[Closures Score (Normalized, Unweighted)]]*$X$3</f>
        <v>0</v>
      </c>
      <c r="AA2323" s="253">
        <f>_xlfn.XLOOKUP(FME_Ranking1[[#This Row],[FME ID]],FME_Input[FME_ID],FME_Input[ROAD_MILES100])</f>
        <v>0</v>
      </c>
      <c r="AB2323" s="178">
        <f>(FME_Ranking1[[#This Row],[Miles Raw]]/$AA$2)*100</f>
        <v>0</v>
      </c>
      <c r="AC2323" s="178">
        <f>FME_Ranking1[[#This Row],[Miles Score (Normalized, Unweighted)]]*$AA$3</f>
        <v>0</v>
      </c>
      <c r="AD2323" s="255">
        <f>_xlfn.XLOOKUP(FME_Ranking1[[#This Row],[FME ID]],FME_Input[FME_ID],FME_Input[FARMACRE100])</f>
        <v>0</v>
      </c>
      <c r="AE2323" s="230">
        <f>(FME_Ranking1[[#This Row],[Ag Land Raw]]/$AD$2)*100</f>
        <v>0</v>
      </c>
      <c r="AF2323" s="231">
        <f>FME_Ranking1[[#This Row],[Ag Land Score (Normalized, Unweighted)]]*$AD$3</f>
        <v>0</v>
      </c>
      <c r="AG232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23" s="406">
        <f t="shared" si="36"/>
        <v>2198</v>
      </c>
      <c r="AI232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23" s="257">
        <f>FME_Ranking1[[#This Row],[Addition check]]-FME_Ranking1[[#This Row],[Weighted Score Based on Normalized Reported Factors]]</f>
        <v>0</v>
      </c>
      <c r="AK2323" s="178">
        <f>_xlfn.RANK.EQ(AI2323,$AI$6:$AI$2341,0)+COUNTIF($AI$6:AI2323,AI2323)-1</f>
        <v>2324</v>
      </c>
    </row>
    <row r="2324" spans="1:37" x14ac:dyDescent="0.25">
      <c r="A2324" t="s">
        <v>11055</v>
      </c>
      <c r="B2324">
        <f>_xlfn.XLOOKUP(FME_Ranking1[[#This Row],[FME ID]],FME_Input[FME_ID],FME_Input[RFPG_NUM])</f>
        <v>15</v>
      </c>
      <c r="C2324" t="str">
        <f>_xlfn.XLOOKUP(FME_Ranking1[[#This Row],[FME ID]],FME_Input[FME_ID],FME_Input[FME_NAME])</f>
        <v>Risk Area 3 Arrow Point Boulevard</v>
      </c>
      <c r="D2324" t="str">
        <f>_xlfn.XLOOKUP(FME_Ranking1[[#This Row],[FME ID]],FME_Input[FME_ID],FME_Input[DESCR])</f>
        <v>Project includes constructing small retaining wall at downstream of flume outfall to force flow towards Stone Way and constructing a 2' wide and 6" deep concrete flume from existing flume outfall to Stone Way.</v>
      </c>
      <c r="E2324" s="256">
        <f>_xlfn.XLOOKUP(FME_Ranking1[[#This Row],[FME ID]],FME_Input[FME_ID],FME_Input[FME_COST])</f>
        <v>7920</v>
      </c>
      <c r="F2324" t="str">
        <f>_xlfn.XLOOKUP(FME_Ranking1[[#This Row],[FME ID]],FME_Input[FME_ID],FME_Input[EMER_NEED])</f>
        <v>Yes</v>
      </c>
      <c r="G2324">
        <f>IF(FME_Ranking!F2324="Yes",100,0)</f>
        <v>100</v>
      </c>
      <c r="H2324">
        <f>FME_Ranking1[[#This Row],[Emergency Need Score (Normalized, Unweighted)]]*$F$3</f>
        <v>0</v>
      </c>
      <c r="I2324" s="246">
        <f>_xlfn.XLOOKUP(FME_Ranking1[[#This Row],[FME ID]],FME_Input[FME_ID],FME_Input[STRUCT_100])</f>
        <v>0</v>
      </c>
      <c r="J2324" s="178">
        <f>(FME_Ranking1[[#This Row],[Structures 100 Raw]]/I$2)*100</f>
        <v>0</v>
      </c>
      <c r="K2324" s="178">
        <f>FME_Ranking1[[#This Row],[Structures 100  Score (Normalized, Unweighted)]]*$I$3</f>
        <v>0</v>
      </c>
      <c r="L2324" s="246">
        <f>_xlfn.XLOOKUP(FME_Ranking1[[#This Row],[FME ID]],FME_Input[FME_ID],FME_Input[RES_STRUCT100])</f>
        <v>0</v>
      </c>
      <c r="M2324" s="230">
        <f>(FME_Ranking1[[#This Row],[Res Structures Raw]]/L$2)*100</f>
        <v>0</v>
      </c>
      <c r="N2324" s="180">
        <f>FME_Ranking1[[#This Row],[Res Structures Score (Normalized, Unweighted)]]*$L$3</f>
        <v>0</v>
      </c>
      <c r="O2324" s="244">
        <f>_xlfn.XLOOKUP(FME_Ranking1[[#This Row],[FME ID]],FME_Input[FME_ID],FME_Input[POP100])</f>
        <v>0</v>
      </c>
      <c r="P2324" s="178">
        <f>(FME_Ranking1[[#This Row],[Pop Raw]]/$O$2)*100</f>
        <v>0</v>
      </c>
      <c r="Q2324" s="178">
        <f>FME_Ranking1[[#This Row],[Pop Score (Normalized, Unweighted)]]*$O$3</f>
        <v>0</v>
      </c>
      <c r="R2324" s="137">
        <f>_xlfn.XLOOKUP(FME_Ranking1[[#This Row],[FME ID]],FME_Input[FME_ID],FME_Input[CRITFAC100])</f>
        <v>0</v>
      </c>
      <c r="S2324" s="230">
        <f>(FME_Ranking1[[#This Row],[Critical Facilities Raw]]/$R$2)*100</f>
        <v>0</v>
      </c>
      <c r="T2324" s="180">
        <f>FME_Ranking1[[#This Row],[Critical Facilities Score (Normalized, Unweighted)]]*$R$3</f>
        <v>0</v>
      </c>
      <c r="U2324">
        <f>_xlfn.XLOOKUP(FME_Ranking1[[#This Row],[FME ID]],FME_Input[FME_ID],FME_Input[LWC])</f>
        <v>0</v>
      </c>
      <c r="V2324" s="178">
        <f>(FME_Ranking1[[#This Row],[LWC Raw]]/$U$2)*100</f>
        <v>0</v>
      </c>
      <c r="W2324" s="178">
        <f>FME_Ranking1[[#This Row],[LWC Score (Normalized, Unweighted)]]*$U$3</f>
        <v>0</v>
      </c>
      <c r="X2324" s="246">
        <f>_xlfn.XLOOKUP(FME_Ranking1[[#This Row],[FME ID]],FME_Input[FME_ID],FME_Input[ROADCLS])</f>
        <v>0</v>
      </c>
      <c r="Y2324" s="230">
        <f>(FME_Ranking1[[#This Row],[Closures Raw]]/$X$2)*100</f>
        <v>0</v>
      </c>
      <c r="Z2324" s="180">
        <f>FME_Ranking1[[#This Row],[Closures Score (Normalized, Unweighted)]]*$X$3</f>
        <v>0</v>
      </c>
      <c r="AA2324" s="253">
        <f>_xlfn.XLOOKUP(FME_Ranking1[[#This Row],[FME ID]],FME_Input[FME_ID],FME_Input[ROAD_MILES100])</f>
        <v>2.4047698974609379</v>
      </c>
      <c r="AB2324" s="178">
        <f>(FME_Ranking1[[#This Row],[Miles Raw]]/$AA$2)*100</f>
        <v>3.1618410994314498E-2</v>
      </c>
      <c r="AC2324" s="178">
        <f>FME_Ranking1[[#This Row],[Miles Score (Normalized, Unweighted)]]*$AA$3</f>
        <v>3.1618410994314499E-3</v>
      </c>
      <c r="AD2324" s="255">
        <f>_xlfn.XLOOKUP(FME_Ranking1[[#This Row],[FME ID]],FME_Input[FME_ID],FME_Input[FARMACRE100])</f>
        <v>0</v>
      </c>
      <c r="AE2324" s="230">
        <f>(FME_Ranking1[[#This Row],[Ag Land Raw]]/$AD$2)*100</f>
        <v>0</v>
      </c>
      <c r="AF2324" s="231">
        <f>FME_Ranking1[[#This Row],[Ag Land Score (Normalized, Unweighted)]]*$AD$3</f>
        <v>0</v>
      </c>
      <c r="AG232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3.1618410994314499E-3</v>
      </c>
      <c r="AH2324" s="406">
        <f t="shared" si="36"/>
        <v>1893</v>
      </c>
      <c r="AI232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3.1618410994314499E-3</v>
      </c>
      <c r="AJ2324" s="257">
        <f>FME_Ranking1[[#This Row],[Addition check]]-FME_Ranking1[[#This Row],[Weighted Score Based on Normalized Reported Factors]]</f>
        <v>0</v>
      </c>
      <c r="AK2324" s="178">
        <f>_xlfn.RANK.EQ(AI2324,$AI$6:$AI$2341,0)+COUNTIF($AI$6:AI2324,AI2324)-1</f>
        <v>1893</v>
      </c>
    </row>
    <row r="2325" spans="1:37" x14ac:dyDescent="0.25">
      <c r="A2325" t="s">
        <v>11093</v>
      </c>
      <c r="B2325">
        <f>_xlfn.XLOOKUP(FME_Ranking1[[#This Row],[FME ID]],FME_Input[FME_ID],FME_Input[RFPG_NUM])</f>
        <v>15</v>
      </c>
      <c r="C2325" t="str">
        <f>_xlfn.XLOOKUP(FME_Ranking1[[#This Row],[FME ID]],FME_Input[FME_ID],FME_Input[FME_NAME])</f>
        <v>S Alamo and Rancho Blanco</v>
      </c>
      <c r="D2325" t="str">
        <f>_xlfn.XLOOKUP(FME_Ranking1[[#This Row],[FME ID]],FME_Input[FME_ID],FME_Input[DESCR])</f>
        <v>Local Drainage Improvements-Storm Drain and Detention North of Rancho Blanco and east of S. Alamo Road</v>
      </c>
      <c r="E2325" s="256">
        <f>_xlfn.XLOOKUP(FME_Ranking1[[#This Row],[FME ID]],FME_Input[FME_ID],FME_Input[FME_COST])</f>
        <v>525750</v>
      </c>
      <c r="F2325" t="str">
        <f>_xlfn.XLOOKUP(FME_Ranking1[[#This Row],[FME ID]],FME_Input[FME_ID],FME_Input[EMER_NEED])</f>
        <v>Yes</v>
      </c>
      <c r="G2325">
        <f>IF(FME_Ranking!F2325="Yes",100,0)</f>
        <v>100</v>
      </c>
      <c r="H2325">
        <f>FME_Ranking1[[#This Row],[Emergency Need Score (Normalized, Unweighted)]]*$F$3</f>
        <v>0</v>
      </c>
      <c r="I2325" s="246">
        <f>_xlfn.XLOOKUP(FME_Ranking1[[#This Row],[FME ID]],FME_Input[FME_ID],FME_Input[STRUCT_100])</f>
        <v>0</v>
      </c>
      <c r="J2325" s="178">
        <f>(FME_Ranking1[[#This Row],[Structures 100 Raw]]/I$2)*100</f>
        <v>0</v>
      </c>
      <c r="K2325" s="178">
        <f>FME_Ranking1[[#This Row],[Structures 100  Score (Normalized, Unweighted)]]*$I$3</f>
        <v>0</v>
      </c>
      <c r="L2325" s="246">
        <f>_xlfn.XLOOKUP(FME_Ranking1[[#This Row],[FME ID]],FME_Input[FME_ID],FME_Input[RES_STRUCT100])</f>
        <v>0</v>
      </c>
      <c r="M2325" s="230">
        <f>(FME_Ranking1[[#This Row],[Res Structures Raw]]/L$2)*100</f>
        <v>0</v>
      </c>
      <c r="N2325" s="180">
        <f>FME_Ranking1[[#This Row],[Res Structures Score (Normalized, Unweighted)]]*$L$3</f>
        <v>0</v>
      </c>
      <c r="O2325" s="244">
        <f>_xlfn.XLOOKUP(FME_Ranking1[[#This Row],[FME ID]],FME_Input[FME_ID],FME_Input[POP100])</f>
        <v>0</v>
      </c>
      <c r="P2325" s="178">
        <f>(FME_Ranking1[[#This Row],[Pop Raw]]/$O$2)*100</f>
        <v>0</v>
      </c>
      <c r="Q2325" s="178">
        <f>FME_Ranking1[[#This Row],[Pop Score (Normalized, Unweighted)]]*$O$3</f>
        <v>0</v>
      </c>
      <c r="R2325" s="137">
        <f>_xlfn.XLOOKUP(FME_Ranking1[[#This Row],[FME ID]],FME_Input[FME_ID],FME_Input[CRITFAC100])</f>
        <v>0</v>
      </c>
      <c r="S2325" s="230">
        <f>(FME_Ranking1[[#This Row],[Critical Facilities Raw]]/$R$2)*100</f>
        <v>0</v>
      </c>
      <c r="T2325" s="180">
        <f>FME_Ranking1[[#This Row],[Critical Facilities Score (Normalized, Unweighted)]]*$R$3</f>
        <v>0</v>
      </c>
      <c r="U2325">
        <f>_xlfn.XLOOKUP(FME_Ranking1[[#This Row],[FME ID]],FME_Input[FME_ID],FME_Input[LWC])</f>
        <v>0</v>
      </c>
      <c r="V2325" s="178">
        <f>(FME_Ranking1[[#This Row],[LWC Raw]]/$U$2)*100</f>
        <v>0</v>
      </c>
      <c r="W2325" s="178">
        <f>FME_Ranking1[[#This Row],[LWC Score (Normalized, Unweighted)]]*$U$3</f>
        <v>0</v>
      </c>
      <c r="X2325" s="246">
        <f>_xlfn.XLOOKUP(FME_Ranking1[[#This Row],[FME ID]],FME_Input[FME_ID],FME_Input[ROADCLS])</f>
        <v>0</v>
      </c>
      <c r="Y2325" s="230">
        <f>(FME_Ranking1[[#This Row],[Closures Raw]]/$X$2)*100</f>
        <v>0</v>
      </c>
      <c r="Z2325" s="180">
        <f>FME_Ranking1[[#This Row],[Closures Score (Normalized, Unweighted)]]*$X$3</f>
        <v>0</v>
      </c>
      <c r="AA2325" s="253">
        <f>_xlfn.XLOOKUP(FME_Ranking1[[#This Row],[FME ID]],FME_Input[FME_ID],FME_Input[ROAD_MILES100])</f>
        <v>0</v>
      </c>
      <c r="AB2325" s="178">
        <f>(FME_Ranking1[[#This Row],[Miles Raw]]/$AA$2)*100</f>
        <v>0</v>
      </c>
      <c r="AC2325" s="178">
        <f>FME_Ranking1[[#This Row],[Miles Score (Normalized, Unweighted)]]*$AA$3</f>
        <v>0</v>
      </c>
      <c r="AD2325" s="255">
        <f>_xlfn.XLOOKUP(FME_Ranking1[[#This Row],[FME ID]],FME_Input[FME_ID],FME_Input[FARMACRE100])</f>
        <v>0</v>
      </c>
      <c r="AE2325" s="230">
        <f>(FME_Ranking1[[#This Row],[Ag Land Raw]]/$AD$2)*100</f>
        <v>0</v>
      </c>
      <c r="AF2325" s="231">
        <f>FME_Ranking1[[#This Row],[Ag Land Score (Normalized, Unweighted)]]*$AD$3</f>
        <v>0</v>
      </c>
      <c r="AG232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25" s="406">
        <f t="shared" si="36"/>
        <v>2198</v>
      </c>
      <c r="AI232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25" s="257">
        <f>FME_Ranking1[[#This Row],[Addition check]]-FME_Ranking1[[#This Row],[Weighted Score Based on Normalized Reported Factors]]</f>
        <v>0</v>
      </c>
      <c r="AK2325" s="178">
        <f>_xlfn.RANK.EQ(AI2325,$AI$6:$AI$2341,0)+COUNTIF($AI$6:AI2325,AI2325)-1</f>
        <v>2325</v>
      </c>
    </row>
    <row r="2326" spans="1:37" x14ac:dyDescent="0.25">
      <c r="A2326" t="s">
        <v>11131</v>
      </c>
      <c r="B2326">
        <f>_xlfn.XLOOKUP(FME_Ranking1[[#This Row],[FME ID]],FME_Input[FME_ID],FME_Input[RFPG_NUM])</f>
        <v>15</v>
      </c>
      <c r="C2326" t="str">
        <f>_xlfn.XLOOKUP(FME_Ranking1[[#This Row],[FME ID]],FME_Input[FME_ID],FME_Input[FME_NAME])</f>
        <v>Indian Lake Action #12</v>
      </c>
      <c r="D2326" t="str">
        <f>_xlfn.XLOOKUP(FME_Ranking1[[#This Row],[FME ID]],FME_Input[FME_ID],FME_Input[DESCR])</f>
        <v>Upgrade/Elevate Henderson Road bridge over Resaca to remove from potential floodway, reduce the risk of damages, and maintain critical access route</v>
      </c>
      <c r="E2326" s="256">
        <f>_xlfn.XLOOKUP(FME_Ranking1[[#This Row],[FME ID]],FME_Input[FME_ID],FME_Input[FME_COST])</f>
        <v>184800</v>
      </c>
      <c r="F2326" t="str">
        <f>_xlfn.XLOOKUP(FME_Ranking1[[#This Row],[FME ID]],FME_Input[FME_ID],FME_Input[EMER_NEED])</f>
        <v>Yes</v>
      </c>
      <c r="G2326">
        <f>IF(FME_Ranking!F2326="Yes",100,0)</f>
        <v>100</v>
      </c>
      <c r="H2326">
        <f>FME_Ranking1[[#This Row],[Emergency Need Score (Normalized, Unweighted)]]*$F$3</f>
        <v>0</v>
      </c>
      <c r="I2326" s="246">
        <f>_xlfn.XLOOKUP(FME_Ranking1[[#This Row],[FME ID]],FME_Input[FME_ID],FME_Input[STRUCT_100])</f>
        <v>0</v>
      </c>
      <c r="J2326" s="178">
        <f>(FME_Ranking1[[#This Row],[Structures 100 Raw]]/I$2)*100</f>
        <v>0</v>
      </c>
      <c r="K2326" s="178">
        <f>FME_Ranking1[[#This Row],[Structures 100  Score (Normalized, Unweighted)]]*$I$3</f>
        <v>0</v>
      </c>
      <c r="L2326" s="246">
        <f>_xlfn.XLOOKUP(FME_Ranking1[[#This Row],[FME ID]],FME_Input[FME_ID],FME_Input[RES_STRUCT100])</f>
        <v>0</v>
      </c>
      <c r="M2326" s="230">
        <f>(FME_Ranking1[[#This Row],[Res Structures Raw]]/L$2)*100</f>
        <v>0</v>
      </c>
      <c r="N2326" s="180">
        <f>FME_Ranking1[[#This Row],[Res Structures Score (Normalized, Unweighted)]]*$L$3</f>
        <v>0</v>
      </c>
      <c r="O2326" s="244">
        <f>_xlfn.XLOOKUP(FME_Ranking1[[#This Row],[FME ID]],FME_Input[FME_ID],FME_Input[POP100])</f>
        <v>0</v>
      </c>
      <c r="P2326" s="178">
        <f>(FME_Ranking1[[#This Row],[Pop Raw]]/$O$2)*100</f>
        <v>0</v>
      </c>
      <c r="Q2326" s="178">
        <f>FME_Ranking1[[#This Row],[Pop Score (Normalized, Unweighted)]]*$O$3</f>
        <v>0</v>
      </c>
      <c r="R2326" s="137">
        <f>_xlfn.XLOOKUP(FME_Ranking1[[#This Row],[FME ID]],FME_Input[FME_ID],FME_Input[CRITFAC100])</f>
        <v>0</v>
      </c>
      <c r="S2326" s="230">
        <f>(FME_Ranking1[[#This Row],[Critical Facilities Raw]]/$R$2)*100</f>
        <v>0</v>
      </c>
      <c r="T2326" s="180">
        <f>FME_Ranking1[[#This Row],[Critical Facilities Score (Normalized, Unweighted)]]*$R$3</f>
        <v>0</v>
      </c>
      <c r="U2326">
        <f>_xlfn.XLOOKUP(FME_Ranking1[[#This Row],[FME ID]],FME_Input[FME_ID],FME_Input[LWC])</f>
        <v>0</v>
      </c>
      <c r="V2326" s="178">
        <f>(FME_Ranking1[[#This Row],[LWC Raw]]/$U$2)*100</f>
        <v>0</v>
      </c>
      <c r="W2326" s="178">
        <f>FME_Ranking1[[#This Row],[LWC Score (Normalized, Unweighted)]]*$U$3</f>
        <v>0</v>
      </c>
      <c r="X2326" s="246">
        <f>_xlfn.XLOOKUP(FME_Ranking1[[#This Row],[FME ID]],FME_Input[FME_ID],FME_Input[ROADCLS])</f>
        <v>0</v>
      </c>
      <c r="Y2326" s="230">
        <f>(FME_Ranking1[[#This Row],[Closures Raw]]/$X$2)*100</f>
        <v>0</v>
      </c>
      <c r="Z2326" s="180">
        <f>FME_Ranking1[[#This Row],[Closures Score (Normalized, Unweighted)]]*$X$3</f>
        <v>0</v>
      </c>
      <c r="AA2326" s="253">
        <f>_xlfn.XLOOKUP(FME_Ranking1[[#This Row],[FME ID]],FME_Input[FME_ID],FME_Input[ROAD_MILES100])</f>
        <v>0.1320340037345886</v>
      </c>
      <c r="AB2326" s="178">
        <f>(FME_Ranking1[[#This Row],[Miles Raw]]/$AA$2)*100</f>
        <v>1.7360103350066531E-3</v>
      </c>
      <c r="AC2326" s="178">
        <f>FME_Ranking1[[#This Row],[Miles Score (Normalized, Unweighted)]]*$AA$3</f>
        <v>1.7360103350066533E-4</v>
      </c>
      <c r="AD2326" s="255">
        <f>_xlfn.XLOOKUP(FME_Ranking1[[#This Row],[FME ID]],FME_Input[FME_ID],FME_Input[FARMACRE100])</f>
        <v>0</v>
      </c>
      <c r="AE2326" s="230">
        <f>(FME_Ranking1[[#This Row],[Ag Land Raw]]/$AD$2)*100</f>
        <v>0</v>
      </c>
      <c r="AF2326" s="231">
        <f>FME_Ranking1[[#This Row],[Ag Land Score (Normalized, Unweighted)]]*$AD$3</f>
        <v>0</v>
      </c>
      <c r="AG232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1.7360103350066533E-4</v>
      </c>
      <c r="AH2326" s="406">
        <f t="shared" si="36"/>
        <v>2133</v>
      </c>
      <c r="AI232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1.7360103350066533E-4</v>
      </c>
      <c r="AJ2326" s="257">
        <f>FME_Ranking1[[#This Row],[Addition check]]-FME_Ranking1[[#This Row],[Weighted Score Based on Normalized Reported Factors]]</f>
        <v>0</v>
      </c>
      <c r="AK2326" s="178">
        <f>_xlfn.RANK.EQ(AI2326,$AI$6:$AI$2341,0)+COUNTIF($AI$6:AI2326,AI2326)-1</f>
        <v>2133</v>
      </c>
    </row>
    <row r="2327" spans="1:37" x14ac:dyDescent="0.25">
      <c r="A2327" t="s">
        <v>11155</v>
      </c>
      <c r="B2327">
        <f>_xlfn.XLOOKUP(FME_Ranking1[[#This Row],[FME ID]],FME_Input[FME_ID],FME_Input[RFPG_NUM])</f>
        <v>15</v>
      </c>
      <c r="C2327" t="str">
        <f>_xlfn.XLOOKUP(FME_Ranking1[[#This Row],[FME ID]],FME_Input[FME_ID],FME_Input[FME_NAME])</f>
        <v>Laguna Vista Action #19</v>
      </c>
      <c r="D2327" t="str">
        <f>_xlfn.XLOOKUP(FME_Ranking1[[#This Row],[FME ID]],FME_Input[FME_ID],FME_Input[DESCR])</f>
        <v>Harden Town Hall with wind, hail, and flood mitigation measures to reduce damages and ensure continuity of services</v>
      </c>
      <c r="E2327" s="256">
        <f>_xlfn.XLOOKUP(FME_Ranking1[[#This Row],[FME ID]],FME_Input[FME_ID],FME_Input[FME_COST])</f>
        <v>18480</v>
      </c>
      <c r="F2327" t="str">
        <f>_xlfn.XLOOKUP(FME_Ranking1[[#This Row],[FME ID]],FME_Input[FME_ID],FME_Input[EMER_NEED])</f>
        <v>Yes</v>
      </c>
      <c r="G2327">
        <f>IF(FME_Ranking!F2327="Yes",100,0)</f>
        <v>100</v>
      </c>
      <c r="H2327">
        <f>FME_Ranking1[[#This Row],[Emergency Need Score (Normalized, Unweighted)]]*$F$3</f>
        <v>0</v>
      </c>
      <c r="I2327" s="246">
        <f>_xlfn.XLOOKUP(FME_Ranking1[[#This Row],[FME ID]],FME_Input[FME_ID],FME_Input[STRUCT_100])</f>
        <v>0</v>
      </c>
      <c r="J2327" s="178">
        <f>(FME_Ranking1[[#This Row],[Structures 100 Raw]]/I$2)*100</f>
        <v>0</v>
      </c>
      <c r="K2327" s="178">
        <f>FME_Ranking1[[#This Row],[Structures 100  Score (Normalized, Unweighted)]]*$I$3</f>
        <v>0</v>
      </c>
      <c r="L2327" s="246">
        <f>_xlfn.XLOOKUP(FME_Ranking1[[#This Row],[FME ID]],FME_Input[FME_ID],FME_Input[RES_STRUCT100])</f>
        <v>0</v>
      </c>
      <c r="M2327" s="230">
        <f>(FME_Ranking1[[#This Row],[Res Structures Raw]]/L$2)*100</f>
        <v>0</v>
      </c>
      <c r="N2327" s="180">
        <f>FME_Ranking1[[#This Row],[Res Structures Score (Normalized, Unweighted)]]*$L$3</f>
        <v>0</v>
      </c>
      <c r="O2327" s="244">
        <f>_xlfn.XLOOKUP(FME_Ranking1[[#This Row],[FME ID]],FME_Input[FME_ID],FME_Input[POP100])</f>
        <v>0</v>
      </c>
      <c r="P2327" s="178">
        <f>(FME_Ranking1[[#This Row],[Pop Raw]]/$O$2)*100</f>
        <v>0</v>
      </c>
      <c r="Q2327" s="178">
        <f>FME_Ranking1[[#This Row],[Pop Score (Normalized, Unweighted)]]*$O$3</f>
        <v>0</v>
      </c>
      <c r="R2327" s="137">
        <f>_xlfn.XLOOKUP(FME_Ranking1[[#This Row],[FME ID]],FME_Input[FME_ID],FME_Input[CRITFAC100])</f>
        <v>0</v>
      </c>
      <c r="S2327" s="230">
        <f>(FME_Ranking1[[#This Row],[Critical Facilities Raw]]/$R$2)*100</f>
        <v>0</v>
      </c>
      <c r="T2327" s="180">
        <f>FME_Ranking1[[#This Row],[Critical Facilities Score (Normalized, Unweighted)]]*$R$3</f>
        <v>0</v>
      </c>
      <c r="U2327">
        <f>_xlfn.XLOOKUP(FME_Ranking1[[#This Row],[FME ID]],FME_Input[FME_ID],FME_Input[LWC])</f>
        <v>0</v>
      </c>
      <c r="V2327" s="178">
        <f>(FME_Ranking1[[#This Row],[LWC Raw]]/$U$2)*100</f>
        <v>0</v>
      </c>
      <c r="W2327" s="178">
        <f>FME_Ranking1[[#This Row],[LWC Score (Normalized, Unweighted)]]*$U$3</f>
        <v>0</v>
      </c>
      <c r="X2327" s="246">
        <f>_xlfn.XLOOKUP(FME_Ranking1[[#This Row],[FME ID]],FME_Input[FME_ID],FME_Input[ROADCLS])</f>
        <v>0</v>
      </c>
      <c r="Y2327" s="230">
        <f>(FME_Ranking1[[#This Row],[Closures Raw]]/$X$2)*100</f>
        <v>0</v>
      </c>
      <c r="Z2327" s="180">
        <f>FME_Ranking1[[#This Row],[Closures Score (Normalized, Unweighted)]]*$X$3</f>
        <v>0</v>
      </c>
      <c r="AA2327" s="253">
        <f>_xlfn.XLOOKUP(FME_Ranking1[[#This Row],[FME ID]],FME_Input[FME_ID],FME_Input[ROAD_MILES100])</f>
        <v>0</v>
      </c>
      <c r="AB2327" s="178">
        <f>(FME_Ranking1[[#This Row],[Miles Raw]]/$AA$2)*100</f>
        <v>0</v>
      </c>
      <c r="AC2327" s="178">
        <f>FME_Ranking1[[#This Row],[Miles Score (Normalized, Unweighted)]]*$AA$3</f>
        <v>0</v>
      </c>
      <c r="AD2327" s="255">
        <f>_xlfn.XLOOKUP(FME_Ranking1[[#This Row],[FME ID]],FME_Input[FME_ID],FME_Input[FARMACRE100])</f>
        <v>0</v>
      </c>
      <c r="AE2327" s="230">
        <f>(FME_Ranking1[[#This Row],[Ag Land Raw]]/$AD$2)*100</f>
        <v>0</v>
      </c>
      <c r="AF2327" s="231">
        <f>FME_Ranking1[[#This Row],[Ag Land Score (Normalized, Unweighted)]]*$AD$3</f>
        <v>0</v>
      </c>
      <c r="AG232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27" s="406">
        <f t="shared" si="36"/>
        <v>2198</v>
      </c>
      <c r="AI232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27" s="257">
        <f>FME_Ranking1[[#This Row],[Addition check]]-FME_Ranking1[[#This Row],[Weighted Score Based on Normalized Reported Factors]]</f>
        <v>0</v>
      </c>
      <c r="AK2327" s="178">
        <f>_xlfn.RANK.EQ(AI2327,$AI$6:$AI$2341,0)+COUNTIF($AI$6:AI2327,AI2327)-1</f>
        <v>2326</v>
      </c>
    </row>
    <row r="2328" spans="1:37" x14ac:dyDescent="0.25">
      <c r="A2328" t="s">
        <v>11162</v>
      </c>
      <c r="B2328">
        <f>_xlfn.XLOOKUP(FME_Ranking1[[#This Row],[FME ID]],FME_Input[FME_ID],FME_Input[RFPG_NUM])</f>
        <v>15</v>
      </c>
      <c r="C2328" t="str">
        <f>_xlfn.XLOOKUP(FME_Ranking1[[#This Row],[FME ID]],FME_Input[FME_ID],FME_Input[FME_NAME])</f>
        <v>Laguna Vista Action #4</v>
      </c>
      <c r="D2328" t="str">
        <f>_xlfn.XLOOKUP(FME_Ranking1[[#This Row],[FME ID]],FME_Input[FME_ID],FME_Input[DESCR])</f>
        <v>Drainage improvements Basin “E”: Install upgraded drainage system off Saunders Street and State Highway 510 that drains acreage south of Fernandez Street and north of Morris Street</v>
      </c>
      <c r="E2328" s="256">
        <f>_xlfn.XLOOKUP(FME_Ranking1[[#This Row],[FME ID]],FME_Input[FME_ID],FME_Input[FME_COST])</f>
        <v>924000</v>
      </c>
      <c r="F2328" t="str">
        <f>_xlfn.XLOOKUP(FME_Ranking1[[#This Row],[FME ID]],FME_Input[FME_ID],FME_Input[EMER_NEED])</f>
        <v>Yes</v>
      </c>
      <c r="G2328">
        <f>IF(FME_Ranking!F2328="Yes",100,0)</f>
        <v>100</v>
      </c>
      <c r="H2328">
        <f>FME_Ranking1[[#This Row],[Emergency Need Score (Normalized, Unweighted)]]*$F$3</f>
        <v>0</v>
      </c>
      <c r="I2328" s="246">
        <f>_xlfn.XLOOKUP(FME_Ranking1[[#This Row],[FME ID]],FME_Input[FME_ID],FME_Input[STRUCT_100])</f>
        <v>0</v>
      </c>
      <c r="J2328" s="178">
        <f>(FME_Ranking1[[#This Row],[Structures 100 Raw]]/I$2)*100</f>
        <v>0</v>
      </c>
      <c r="K2328" s="178">
        <f>FME_Ranking1[[#This Row],[Structures 100  Score (Normalized, Unweighted)]]*$I$3</f>
        <v>0</v>
      </c>
      <c r="L2328" s="246">
        <f>_xlfn.XLOOKUP(FME_Ranking1[[#This Row],[FME ID]],FME_Input[FME_ID],FME_Input[RES_STRUCT100])</f>
        <v>0</v>
      </c>
      <c r="M2328" s="230">
        <f>(FME_Ranking1[[#This Row],[Res Structures Raw]]/L$2)*100</f>
        <v>0</v>
      </c>
      <c r="N2328" s="180">
        <f>FME_Ranking1[[#This Row],[Res Structures Score (Normalized, Unweighted)]]*$L$3</f>
        <v>0</v>
      </c>
      <c r="O2328" s="244">
        <f>_xlfn.XLOOKUP(FME_Ranking1[[#This Row],[FME ID]],FME_Input[FME_ID],FME_Input[POP100])</f>
        <v>0</v>
      </c>
      <c r="P2328" s="178">
        <f>(FME_Ranking1[[#This Row],[Pop Raw]]/$O$2)*100</f>
        <v>0</v>
      </c>
      <c r="Q2328" s="178">
        <f>FME_Ranking1[[#This Row],[Pop Score (Normalized, Unweighted)]]*$O$3</f>
        <v>0</v>
      </c>
      <c r="R2328" s="137">
        <f>_xlfn.XLOOKUP(FME_Ranking1[[#This Row],[FME ID]],FME_Input[FME_ID],FME_Input[CRITFAC100])</f>
        <v>0</v>
      </c>
      <c r="S2328" s="230">
        <f>(FME_Ranking1[[#This Row],[Critical Facilities Raw]]/$R$2)*100</f>
        <v>0</v>
      </c>
      <c r="T2328" s="180">
        <f>FME_Ranking1[[#This Row],[Critical Facilities Score (Normalized, Unweighted)]]*$R$3</f>
        <v>0</v>
      </c>
      <c r="U2328">
        <f>_xlfn.XLOOKUP(FME_Ranking1[[#This Row],[FME ID]],FME_Input[FME_ID],FME_Input[LWC])</f>
        <v>0</v>
      </c>
      <c r="V2328" s="178">
        <f>(FME_Ranking1[[#This Row],[LWC Raw]]/$U$2)*100</f>
        <v>0</v>
      </c>
      <c r="W2328" s="178">
        <f>FME_Ranking1[[#This Row],[LWC Score (Normalized, Unweighted)]]*$U$3</f>
        <v>0</v>
      </c>
      <c r="X2328" s="246">
        <f>_xlfn.XLOOKUP(FME_Ranking1[[#This Row],[FME ID]],FME_Input[FME_ID],FME_Input[ROADCLS])</f>
        <v>0</v>
      </c>
      <c r="Y2328" s="230">
        <f>(FME_Ranking1[[#This Row],[Closures Raw]]/$X$2)*100</f>
        <v>0</v>
      </c>
      <c r="Z2328" s="180">
        <f>FME_Ranking1[[#This Row],[Closures Score (Normalized, Unweighted)]]*$X$3</f>
        <v>0</v>
      </c>
      <c r="AA2328" s="253">
        <f>_xlfn.XLOOKUP(FME_Ranking1[[#This Row],[FME ID]],FME_Input[FME_ID],FME_Input[ROAD_MILES100])</f>
        <v>0</v>
      </c>
      <c r="AB2328" s="178">
        <f>(FME_Ranking1[[#This Row],[Miles Raw]]/$AA$2)*100</f>
        <v>0</v>
      </c>
      <c r="AC2328" s="178">
        <f>FME_Ranking1[[#This Row],[Miles Score (Normalized, Unweighted)]]*$AA$3</f>
        <v>0</v>
      </c>
      <c r="AD2328" s="255">
        <f>_xlfn.XLOOKUP(FME_Ranking1[[#This Row],[FME ID]],FME_Input[FME_ID],FME_Input[FARMACRE100])</f>
        <v>0</v>
      </c>
      <c r="AE2328" s="230">
        <f>(FME_Ranking1[[#This Row],[Ag Land Raw]]/$AD$2)*100</f>
        <v>0</v>
      </c>
      <c r="AF2328" s="231">
        <f>FME_Ranking1[[#This Row],[Ag Land Score (Normalized, Unweighted)]]*$AD$3</f>
        <v>0</v>
      </c>
      <c r="AG232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28" s="406">
        <f t="shared" si="36"/>
        <v>2198</v>
      </c>
      <c r="AI232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28" s="257">
        <f>FME_Ranking1[[#This Row],[Addition check]]-FME_Ranking1[[#This Row],[Weighted Score Based on Normalized Reported Factors]]</f>
        <v>0</v>
      </c>
      <c r="AK2328" s="178">
        <f>_xlfn.RANK.EQ(AI2328,$AI$6:$AI$2341,0)+COUNTIF($AI$6:AI2328,AI2328)-1</f>
        <v>2327</v>
      </c>
    </row>
    <row r="2329" spans="1:37" x14ac:dyDescent="0.25">
      <c r="A2329" t="s">
        <v>11165</v>
      </c>
      <c r="B2329">
        <f>_xlfn.XLOOKUP(FME_Ranking1[[#This Row],[FME ID]],FME_Input[FME_ID],FME_Input[RFPG_NUM])</f>
        <v>15</v>
      </c>
      <c r="C2329" t="str">
        <f>_xlfn.XLOOKUP(FME_Ranking1[[#This Row],[FME ID]],FME_Input[FME_ID],FME_Input[FME_NAME])</f>
        <v>Laguna Vista Action #5</v>
      </c>
      <c r="D2329" t="str">
        <f>_xlfn.XLOOKUP(FME_Ranking1[[#This Row],[FME ID]],FME_Input[FME_ID],FME_Input[DESCR])</f>
        <v>Drainage improvements Basin “F”: Install drainage system at the most southwestern part of the Town limits, bounded by State Highway 100 and State Highway 510.</v>
      </c>
      <c r="E2329" s="256">
        <f>_xlfn.XLOOKUP(FME_Ranking1[[#This Row],[FME ID]],FME_Input[FME_ID],FME_Input[FME_COST])</f>
        <v>924000</v>
      </c>
      <c r="F2329" t="str">
        <f>_xlfn.XLOOKUP(FME_Ranking1[[#This Row],[FME ID]],FME_Input[FME_ID],FME_Input[EMER_NEED])</f>
        <v>Yes</v>
      </c>
      <c r="G2329">
        <f>IF(FME_Ranking!F2329="Yes",100,0)</f>
        <v>100</v>
      </c>
      <c r="H2329">
        <f>FME_Ranking1[[#This Row],[Emergency Need Score (Normalized, Unweighted)]]*$F$3</f>
        <v>0</v>
      </c>
      <c r="I2329" s="246">
        <f>_xlfn.XLOOKUP(FME_Ranking1[[#This Row],[FME ID]],FME_Input[FME_ID],FME_Input[STRUCT_100])</f>
        <v>0</v>
      </c>
      <c r="J2329" s="178">
        <f>(FME_Ranking1[[#This Row],[Structures 100 Raw]]/I$2)*100</f>
        <v>0</v>
      </c>
      <c r="K2329" s="178">
        <f>FME_Ranking1[[#This Row],[Structures 100  Score (Normalized, Unweighted)]]*$I$3</f>
        <v>0</v>
      </c>
      <c r="L2329" s="246">
        <f>_xlfn.XLOOKUP(FME_Ranking1[[#This Row],[FME ID]],FME_Input[FME_ID],FME_Input[RES_STRUCT100])</f>
        <v>0</v>
      </c>
      <c r="M2329" s="230">
        <f>(FME_Ranking1[[#This Row],[Res Structures Raw]]/L$2)*100</f>
        <v>0</v>
      </c>
      <c r="N2329" s="180">
        <f>FME_Ranking1[[#This Row],[Res Structures Score (Normalized, Unweighted)]]*$L$3</f>
        <v>0</v>
      </c>
      <c r="O2329" s="244">
        <f>_xlfn.XLOOKUP(FME_Ranking1[[#This Row],[FME ID]],FME_Input[FME_ID],FME_Input[POP100])</f>
        <v>0</v>
      </c>
      <c r="P2329" s="178">
        <f>(FME_Ranking1[[#This Row],[Pop Raw]]/$O$2)*100</f>
        <v>0</v>
      </c>
      <c r="Q2329" s="178">
        <f>FME_Ranking1[[#This Row],[Pop Score (Normalized, Unweighted)]]*$O$3</f>
        <v>0</v>
      </c>
      <c r="R2329" s="137">
        <f>_xlfn.XLOOKUP(FME_Ranking1[[#This Row],[FME ID]],FME_Input[FME_ID],FME_Input[CRITFAC100])</f>
        <v>0</v>
      </c>
      <c r="S2329" s="230">
        <f>(FME_Ranking1[[#This Row],[Critical Facilities Raw]]/$R$2)*100</f>
        <v>0</v>
      </c>
      <c r="T2329" s="180">
        <f>FME_Ranking1[[#This Row],[Critical Facilities Score (Normalized, Unweighted)]]*$R$3</f>
        <v>0</v>
      </c>
      <c r="U2329">
        <f>_xlfn.XLOOKUP(FME_Ranking1[[#This Row],[FME ID]],FME_Input[FME_ID],FME_Input[LWC])</f>
        <v>0</v>
      </c>
      <c r="V2329" s="178">
        <f>(FME_Ranking1[[#This Row],[LWC Raw]]/$U$2)*100</f>
        <v>0</v>
      </c>
      <c r="W2329" s="178">
        <f>FME_Ranking1[[#This Row],[LWC Score (Normalized, Unweighted)]]*$U$3</f>
        <v>0</v>
      </c>
      <c r="X2329" s="246">
        <f>_xlfn.XLOOKUP(FME_Ranking1[[#This Row],[FME ID]],FME_Input[FME_ID],FME_Input[ROADCLS])</f>
        <v>0</v>
      </c>
      <c r="Y2329" s="230">
        <f>(FME_Ranking1[[#This Row],[Closures Raw]]/$X$2)*100</f>
        <v>0</v>
      </c>
      <c r="Z2329" s="180">
        <f>FME_Ranking1[[#This Row],[Closures Score (Normalized, Unweighted)]]*$X$3</f>
        <v>0</v>
      </c>
      <c r="AA2329" s="253">
        <f>_xlfn.XLOOKUP(FME_Ranking1[[#This Row],[FME ID]],FME_Input[FME_ID],FME_Input[ROAD_MILES100])</f>
        <v>0</v>
      </c>
      <c r="AB2329" s="178">
        <f>(FME_Ranking1[[#This Row],[Miles Raw]]/$AA$2)*100</f>
        <v>0</v>
      </c>
      <c r="AC2329" s="178">
        <f>FME_Ranking1[[#This Row],[Miles Score (Normalized, Unweighted)]]*$AA$3</f>
        <v>0</v>
      </c>
      <c r="AD2329" s="255">
        <f>_xlfn.XLOOKUP(FME_Ranking1[[#This Row],[FME ID]],FME_Input[FME_ID],FME_Input[FARMACRE100])</f>
        <v>0</v>
      </c>
      <c r="AE2329" s="230">
        <f>(FME_Ranking1[[#This Row],[Ag Land Raw]]/$AD$2)*100</f>
        <v>0</v>
      </c>
      <c r="AF2329" s="231">
        <f>FME_Ranking1[[#This Row],[Ag Land Score (Normalized, Unweighted)]]*$AD$3</f>
        <v>0</v>
      </c>
      <c r="AG232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29" s="406">
        <f t="shared" si="36"/>
        <v>2198</v>
      </c>
      <c r="AI232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29" s="257">
        <f>FME_Ranking1[[#This Row],[Addition check]]-FME_Ranking1[[#This Row],[Weighted Score Based on Normalized Reported Factors]]</f>
        <v>0</v>
      </c>
      <c r="AK2329" s="178">
        <f>_xlfn.RANK.EQ(AI2329,$AI$6:$AI$2341,0)+COUNTIF($AI$6:AI2329,AI2329)-1</f>
        <v>2328</v>
      </c>
    </row>
    <row r="2330" spans="1:37" x14ac:dyDescent="0.25">
      <c r="A2330" t="s">
        <v>11168</v>
      </c>
      <c r="B2330">
        <f>_xlfn.XLOOKUP(FME_Ranking1[[#This Row],[FME ID]],FME_Input[FME_ID],FME_Input[RFPG_NUM])</f>
        <v>15</v>
      </c>
      <c r="C2330" t="str">
        <f>_xlfn.XLOOKUP(FME_Ranking1[[#This Row],[FME ID]],FME_Input[FME_ID],FME_Input[FME_NAME])</f>
        <v>Laguna Vista Action #6</v>
      </c>
      <c r="D2330" t="str">
        <f>_xlfn.XLOOKUP(FME_Ranking1[[#This Row],[FME ID]],FME_Input[FME_ID],FME_Input[DESCR])</f>
        <v>Drainage improvements SH 100: Regrade the existing drainage ditch that parallels State Highway 100 to increase capacity and reduce risk of flooding</v>
      </c>
      <c r="E2330" s="256">
        <f>_xlfn.XLOOKUP(FME_Ranking1[[#This Row],[FME ID]],FME_Input[FME_ID],FME_Input[FME_COST])</f>
        <v>369600</v>
      </c>
      <c r="F2330" t="str">
        <f>_xlfn.XLOOKUP(FME_Ranking1[[#This Row],[FME ID]],FME_Input[FME_ID],FME_Input[EMER_NEED])</f>
        <v>Yes</v>
      </c>
      <c r="G2330">
        <f>IF(FME_Ranking!F2330="Yes",100,0)</f>
        <v>100</v>
      </c>
      <c r="H2330">
        <f>FME_Ranking1[[#This Row],[Emergency Need Score (Normalized, Unweighted)]]*$F$3</f>
        <v>0</v>
      </c>
      <c r="I2330" s="246">
        <f>_xlfn.XLOOKUP(FME_Ranking1[[#This Row],[FME ID]],FME_Input[FME_ID],FME_Input[STRUCT_100])</f>
        <v>0</v>
      </c>
      <c r="J2330" s="178">
        <f>(FME_Ranking1[[#This Row],[Structures 100 Raw]]/I$2)*100</f>
        <v>0</v>
      </c>
      <c r="K2330" s="178">
        <f>FME_Ranking1[[#This Row],[Structures 100  Score (Normalized, Unweighted)]]*$I$3</f>
        <v>0</v>
      </c>
      <c r="L2330" s="246">
        <f>_xlfn.XLOOKUP(FME_Ranking1[[#This Row],[FME ID]],FME_Input[FME_ID],FME_Input[RES_STRUCT100])</f>
        <v>0</v>
      </c>
      <c r="M2330" s="230">
        <f>(FME_Ranking1[[#This Row],[Res Structures Raw]]/L$2)*100</f>
        <v>0</v>
      </c>
      <c r="N2330" s="180">
        <f>FME_Ranking1[[#This Row],[Res Structures Score (Normalized, Unweighted)]]*$L$3</f>
        <v>0</v>
      </c>
      <c r="O2330" s="244">
        <f>_xlfn.XLOOKUP(FME_Ranking1[[#This Row],[FME ID]],FME_Input[FME_ID],FME_Input[POP100])</f>
        <v>0</v>
      </c>
      <c r="P2330" s="178">
        <f>(FME_Ranking1[[#This Row],[Pop Raw]]/$O$2)*100</f>
        <v>0</v>
      </c>
      <c r="Q2330" s="178">
        <f>FME_Ranking1[[#This Row],[Pop Score (Normalized, Unweighted)]]*$O$3</f>
        <v>0</v>
      </c>
      <c r="R2330" s="137">
        <f>_xlfn.XLOOKUP(FME_Ranking1[[#This Row],[FME ID]],FME_Input[FME_ID],FME_Input[CRITFAC100])</f>
        <v>0</v>
      </c>
      <c r="S2330" s="230">
        <f>(FME_Ranking1[[#This Row],[Critical Facilities Raw]]/$R$2)*100</f>
        <v>0</v>
      </c>
      <c r="T2330" s="180">
        <f>FME_Ranking1[[#This Row],[Critical Facilities Score (Normalized, Unweighted)]]*$R$3</f>
        <v>0</v>
      </c>
      <c r="U2330">
        <f>_xlfn.XLOOKUP(FME_Ranking1[[#This Row],[FME ID]],FME_Input[FME_ID],FME_Input[LWC])</f>
        <v>0</v>
      </c>
      <c r="V2330" s="178">
        <f>(FME_Ranking1[[#This Row],[LWC Raw]]/$U$2)*100</f>
        <v>0</v>
      </c>
      <c r="W2330" s="178">
        <f>FME_Ranking1[[#This Row],[LWC Score (Normalized, Unweighted)]]*$U$3</f>
        <v>0</v>
      </c>
      <c r="X2330" s="246">
        <f>_xlfn.XLOOKUP(FME_Ranking1[[#This Row],[FME ID]],FME_Input[FME_ID],FME_Input[ROADCLS])</f>
        <v>0</v>
      </c>
      <c r="Y2330" s="230">
        <f>(FME_Ranking1[[#This Row],[Closures Raw]]/$X$2)*100</f>
        <v>0</v>
      </c>
      <c r="Z2330" s="180">
        <f>FME_Ranking1[[#This Row],[Closures Score (Normalized, Unweighted)]]*$X$3</f>
        <v>0</v>
      </c>
      <c r="AA2330" s="253">
        <f>_xlfn.XLOOKUP(FME_Ranking1[[#This Row],[FME ID]],FME_Input[FME_ID],FME_Input[ROAD_MILES100])</f>
        <v>10.76070022583008</v>
      </c>
      <c r="AB2330" s="178">
        <f>(FME_Ranking1[[#This Row],[Miles Raw]]/$AA$2)*100</f>
        <v>0.14148390774774117</v>
      </c>
      <c r="AC2330" s="178">
        <f>FME_Ranking1[[#This Row],[Miles Score (Normalized, Unweighted)]]*$AA$3</f>
        <v>1.4148390774774117E-2</v>
      </c>
      <c r="AD2330" s="255">
        <f>_xlfn.XLOOKUP(FME_Ranking1[[#This Row],[FME ID]],FME_Input[FME_ID],FME_Input[FARMACRE100])</f>
        <v>0</v>
      </c>
      <c r="AE2330" s="230">
        <f>(FME_Ranking1[[#This Row],[Ag Land Raw]]/$AD$2)*100</f>
        <v>0</v>
      </c>
      <c r="AF2330" s="231">
        <f>FME_Ranking1[[#This Row],[Ag Land Score (Normalized, Unweighted)]]*$AD$3</f>
        <v>0</v>
      </c>
      <c r="AG233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1.4148390774774117E-2</v>
      </c>
      <c r="AH2330" s="406">
        <f t="shared" si="36"/>
        <v>1647</v>
      </c>
      <c r="AI233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1.4148390774774117E-2</v>
      </c>
      <c r="AJ2330" s="257">
        <f>FME_Ranking1[[#This Row],[Addition check]]-FME_Ranking1[[#This Row],[Weighted Score Based on Normalized Reported Factors]]</f>
        <v>0</v>
      </c>
      <c r="AK2330" s="178">
        <f>_xlfn.RANK.EQ(AI2330,$AI$6:$AI$2341,0)+COUNTIF($AI$6:AI2330,AI2330)-1</f>
        <v>1647</v>
      </c>
    </row>
    <row r="2331" spans="1:37" x14ac:dyDescent="0.25">
      <c r="A2331" t="s">
        <v>11172</v>
      </c>
      <c r="B2331">
        <f>_xlfn.XLOOKUP(FME_Ranking1[[#This Row],[FME ID]],FME_Input[FME_ID],FME_Input[RFPG_NUM])</f>
        <v>15</v>
      </c>
      <c r="C2331" t="str">
        <f>_xlfn.XLOOKUP(FME_Ranking1[[#This Row],[FME ID]],FME_Input[FME_ID],FME_Input[FME_NAME])</f>
        <v>Laguna Vista Action #7</v>
      </c>
      <c r="D2331" t="str">
        <f>_xlfn.XLOOKUP(FME_Ranking1[[#This Row],[FME ID]],FME_Input[FME_ID],FME_Input[DESCR])</f>
        <v>Drainage improvements: Upgrade the drainage system on the intersection of Broadway and Palo Blanco to increase capacity and reduce risk of flooding</v>
      </c>
      <c r="E2331" s="256">
        <f>_xlfn.XLOOKUP(FME_Ranking1[[#This Row],[FME ID]],FME_Input[FME_ID],FME_Input[FME_COST])</f>
        <v>369600</v>
      </c>
      <c r="F2331" t="str">
        <f>_xlfn.XLOOKUP(FME_Ranking1[[#This Row],[FME ID]],FME_Input[FME_ID],FME_Input[EMER_NEED])</f>
        <v>Yes</v>
      </c>
      <c r="G2331">
        <f>IF(FME_Ranking!F2331="Yes",100,0)</f>
        <v>100</v>
      </c>
      <c r="H2331">
        <f>FME_Ranking1[[#This Row],[Emergency Need Score (Normalized, Unweighted)]]*$F$3</f>
        <v>0</v>
      </c>
      <c r="I2331" s="246">
        <f>_xlfn.XLOOKUP(FME_Ranking1[[#This Row],[FME ID]],FME_Input[FME_ID],FME_Input[STRUCT_100])</f>
        <v>0</v>
      </c>
      <c r="J2331" s="178">
        <f>(FME_Ranking1[[#This Row],[Structures 100 Raw]]/I$2)*100</f>
        <v>0</v>
      </c>
      <c r="K2331" s="178">
        <f>FME_Ranking1[[#This Row],[Structures 100  Score (Normalized, Unweighted)]]*$I$3</f>
        <v>0</v>
      </c>
      <c r="L2331" s="246">
        <f>_xlfn.XLOOKUP(FME_Ranking1[[#This Row],[FME ID]],FME_Input[FME_ID],FME_Input[RES_STRUCT100])</f>
        <v>0</v>
      </c>
      <c r="M2331" s="230">
        <f>(FME_Ranking1[[#This Row],[Res Structures Raw]]/L$2)*100</f>
        <v>0</v>
      </c>
      <c r="N2331" s="180">
        <f>FME_Ranking1[[#This Row],[Res Structures Score (Normalized, Unweighted)]]*$L$3</f>
        <v>0</v>
      </c>
      <c r="O2331" s="244">
        <f>_xlfn.XLOOKUP(FME_Ranking1[[#This Row],[FME ID]],FME_Input[FME_ID],FME_Input[POP100])</f>
        <v>0</v>
      </c>
      <c r="P2331" s="178">
        <f>(FME_Ranking1[[#This Row],[Pop Raw]]/$O$2)*100</f>
        <v>0</v>
      </c>
      <c r="Q2331" s="178">
        <f>FME_Ranking1[[#This Row],[Pop Score (Normalized, Unweighted)]]*$O$3</f>
        <v>0</v>
      </c>
      <c r="R2331" s="137">
        <f>_xlfn.XLOOKUP(FME_Ranking1[[#This Row],[FME ID]],FME_Input[FME_ID],FME_Input[CRITFAC100])</f>
        <v>0</v>
      </c>
      <c r="S2331" s="230">
        <f>(FME_Ranking1[[#This Row],[Critical Facilities Raw]]/$R$2)*100</f>
        <v>0</v>
      </c>
      <c r="T2331" s="180">
        <f>FME_Ranking1[[#This Row],[Critical Facilities Score (Normalized, Unweighted)]]*$R$3</f>
        <v>0</v>
      </c>
      <c r="U2331">
        <f>_xlfn.XLOOKUP(FME_Ranking1[[#This Row],[FME ID]],FME_Input[FME_ID],FME_Input[LWC])</f>
        <v>0</v>
      </c>
      <c r="V2331" s="178">
        <f>(FME_Ranking1[[#This Row],[LWC Raw]]/$U$2)*100</f>
        <v>0</v>
      </c>
      <c r="W2331" s="178">
        <f>FME_Ranking1[[#This Row],[LWC Score (Normalized, Unweighted)]]*$U$3</f>
        <v>0</v>
      </c>
      <c r="X2331" s="246">
        <f>_xlfn.XLOOKUP(FME_Ranking1[[#This Row],[FME ID]],FME_Input[FME_ID],FME_Input[ROADCLS])</f>
        <v>0</v>
      </c>
      <c r="Y2331" s="230">
        <f>(FME_Ranking1[[#This Row],[Closures Raw]]/$X$2)*100</f>
        <v>0</v>
      </c>
      <c r="Z2331" s="180">
        <f>FME_Ranking1[[#This Row],[Closures Score (Normalized, Unweighted)]]*$X$3</f>
        <v>0</v>
      </c>
      <c r="AA2331" s="253">
        <f>_xlfn.XLOOKUP(FME_Ranking1[[#This Row],[FME ID]],FME_Input[FME_ID],FME_Input[ROAD_MILES100])</f>
        <v>0</v>
      </c>
      <c r="AB2331" s="178">
        <f>(FME_Ranking1[[#This Row],[Miles Raw]]/$AA$2)*100</f>
        <v>0</v>
      </c>
      <c r="AC2331" s="178">
        <f>FME_Ranking1[[#This Row],[Miles Score (Normalized, Unweighted)]]*$AA$3</f>
        <v>0</v>
      </c>
      <c r="AD2331" s="255">
        <f>_xlfn.XLOOKUP(FME_Ranking1[[#This Row],[FME ID]],FME_Input[FME_ID],FME_Input[FARMACRE100])</f>
        <v>0</v>
      </c>
      <c r="AE2331" s="230">
        <f>(FME_Ranking1[[#This Row],[Ag Land Raw]]/$AD$2)*100</f>
        <v>0</v>
      </c>
      <c r="AF2331" s="231">
        <f>FME_Ranking1[[#This Row],[Ag Land Score (Normalized, Unweighted)]]*$AD$3</f>
        <v>0</v>
      </c>
      <c r="AG2331"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31" s="406">
        <f t="shared" si="36"/>
        <v>2198</v>
      </c>
      <c r="AI233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31" s="257">
        <f>FME_Ranking1[[#This Row],[Addition check]]-FME_Ranking1[[#This Row],[Weighted Score Based on Normalized Reported Factors]]</f>
        <v>0</v>
      </c>
      <c r="AK2331" s="178">
        <f>_xlfn.RANK.EQ(AI2331,$AI$6:$AI$2341,0)+COUNTIF($AI$6:AI2331,AI2331)-1</f>
        <v>2329</v>
      </c>
    </row>
    <row r="2332" spans="1:37" x14ac:dyDescent="0.25">
      <c r="A2332" t="s">
        <v>11285</v>
      </c>
      <c r="B2332">
        <f>_xlfn.XLOOKUP(FME_Ranking1[[#This Row],[FME ID]],FME_Input[FME_ID],FME_Input[RFPG_NUM])</f>
        <v>15</v>
      </c>
      <c r="C2332" t="str">
        <f>_xlfn.XLOOKUP(FME_Ranking1[[#This Row],[FME ID]],FME_Input[FME_ID],FME_Input[FME_NAME])</f>
        <v>Pump Station A &amp; Sump A</v>
      </c>
      <c r="D2332" t="str">
        <f>_xlfn.XLOOKUP(FME_Ranking1[[#This Row],[FME ID]],FME_Input[FME_ID],FME_Input[DESCR])</f>
        <v>Pump Station A &amp; Sump A</v>
      </c>
      <c r="E2332" s="256">
        <f>_xlfn.XLOOKUP(FME_Ranking1[[#This Row],[FME ID]],FME_Input[FME_ID],FME_Input[FME_COST])</f>
        <v>213000</v>
      </c>
      <c r="F2332" t="str">
        <f>_xlfn.XLOOKUP(FME_Ranking1[[#This Row],[FME ID]],FME_Input[FME_ID],FME_Input[EMER_NEED])</f>
        <v>Yes</v>
      </c>
      <c r="G2332">
        <f>IF(FME_Ranking!F2332="Yes",100,0)</f>
        <v>100</v>
      </c>
      <c r="H2332">
        <f>FME_Ranking1[[#This Row],[Emergency Need Score (Normalized, Unweighted)]]*$F$3</f>
        <v>0</v>
      </c>
      <c r="I2332" s="246">
        <f>_xlfn.XLOOKUP(FME_Ranking1[[#This Row],[FME ID]],FME_Input[FME_ID],FME_Input[STRUCT_100])</f>
        <v>0</v>
      </c>
      <c r="J2332" s="178">
        <f>(FME_Ranking1[[#This Row],[Structures 100 Raw]]/I$2)*100</f>
        <v>0</v>
      </c>
      <c r="K2332" s="178">
        <f>FME_Ranking1[[#This Row],[Structures 100  Score (Normalized, Unweighted)]]*$I$3</f>
        <v>0</v>
      </c>
      <c r="L2332" s="246">
        <f>_xlfn.XLOOKUP(FME_Ranking1[[#This Row],[FME ID]],FME_Input[FME_ID],FME_Input[RES_STRUCT100])</f>
        <v>0</v>
      </c>
      <c r="M2332" s="230">
        <f>(FME_Ranking1[[#This Row],[Res Structures Raw]]/L$2)*100</f>
        <v>0</v>
      </c>
      <c r="N2332" s="180">
        <f>FME_Ranking1[[#This Row],[Res Structures Score (Normalized, Unweighted)]]*$L$3</f>
        <v>0</v>
      </c>
      <c r="O2332" s="244">
        <f>_xlfn.XLOOKUP(FME_Ranking1[[#This Row],[FME ID]],FME_Input[FME_ID],FME_Input[POP100])</f>
        <v>0</v>
      </c>
      <c r="P2332" s="178">
        <f>(FME_Ranking1[[#This Row],[Pop Raw]]/$O$2)*100</f>
        <v>0</v>
      </c>
      <c r="Q2332" s="178">
        <f>FME_Ranking1[[#This Row],[Pop Score (Normalized, Unweighted)]]*$O$3</f>
        <v>0</v>
      </c>
      <c r="R2332" s="137">
        <f>_xlfn.XLOOKUP(FME_Ranking1[[#This Row],[FME ID]],FME_Input[FME_ID],FME_Input[CRITFAC100])</f>
        <v>0</v>
      </c>
      <c r="S2332" s="230">
        <f>(FME_Ranking1[[#This Row],[Critical Facilities Raw]]/$R$2)*100</f>
        <v>0</v>
      </c>
      <c r="T2332" s="180">
        <f>FME_Ranking1[[#This Row],[Critical Facilities Score (Normalized, Unweighted)]]*$R$3</f>
        <v>0</v>
      </c>
      <c r="U2332">
        <f>_xlfn.XLOOKUP(FME_Ranking1[[#This Row],[FME ID]],FME_Input[FME_ID],FME_Input[LWC])</f>
        <v>0</v>
      </c>
      <c r="V2332" s="178">
        <f>(FME_Ranking1[[#This Row],[LWC Raw]]/$U$2)*100</f>
        <v>0</v>
      </c>
      <c r="W2332" s="178">
        <f>FME_Ranking1[[#This Row],[LWC Score (Normalized, Unweighted)]]*$U$3</f>
        <v>0</v>
      </c>
      <c r="X2332" s="246">
        <f>_xlfn.XLOOKUP(FME_Ranking1[[#This Row],[FME ID]],FME_Input[FME_ID],FME_Input[ROADCLS])</f>
        <v>0</v>
      </c>
      <c r="Y2332" s="230">
        <f>(FME_Ranking1[[#This Row],[Closures Raw]]/$X$2)*100</f>
        <v>0</v>
      </c>
      <c r="Z2332" s="180">
        <f>FME_Ranking1[[#This Row],[Closures Score (Normalized, Unweighted)]]*$X$3</f>
        <v>0</v>
      </c>
      <c r="AA2332" s="253">
        <f>_xlfn.XLOOKUP(FME_Ranking1[[#This Row],[FME ID]],FME_Input[FME_ID],FME_Input[ROAD_MILES100])</f>
        <v>0</v>
      </c>
      <c r="AB2332" s="178">
        <f>(FME_Ranking1[[#This Row],[Miles Raw]]/$AA$2)*100</f>
        <v>0</v>
      </c>
      <c r="AC2332" s="178">
        <f>FME_Ranking1[[#This Row],[Miles Score (Normalized, Unweighted)]]*$AA$3</f>
        <v>0</v>
      </c>
      <c r="AD2332" s="255">
        <f>_xlfn.XLOOKUP(FME_Ranking1[[#This Row],[FME ID]],FME_Input[FME_ID],FME_Input[FARMACRE100])</f>
        <v>0</v>
      </c>
      <c r="AE2332" s="230">
        <f>(FME_Ranking1[[#This Row],[Ag Land Raw]]/$AD$2)*100</f>
        <v>0</v>
      </c>
      <c r="AF2332" s="231">
        <f>FME_Ranking1[[#This Row],[Ag Land Score (Normalized, Unweighted)]]*$AD$3</f>
        <v>0</v>
      </c>
      <c r="AG2332"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32" s="406">
        <f t="shared" si="36"/>
        <v>2198</v>
      </c>
      <c r="AI2332"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32" s="257">
        <f>FME_Ranking1[[#This Row],[Addition check]]-FME_Ranking1[[#This Row],[Weighted Score Based on Normalized Reported Factors]]</f>
        <v>0</v>
      </c>
      <c r="AK2332" s="178">
        <f>_xlfn.RANK.EQ(AI2332,$AI$6:$AI$2341,0)+COUNTIF($AI$6:AI2332,AI2332)-1</f>
        <v>2330</v>
      </c>
    </row>
    <row r="2333" spans="1:37" x14ac:dyDescent="0.25">
      <c r="A2333" t="s">
        <v>11287</v>
      </c>
      <c r="B2333">
        <f>_xlfn.XLOOKUP(FME_Ranking1[[#This Row],[FME ID]],FME_Input[FME_ID],FME_Input[RFPG_NUM])</f>
        <v>15</v>
      </c>
      <c r="C2333" t="str">
        <f>_xlfn.XLOOKUP(FME_Ranking1[[#This Row],[FME ID]],FME_Input[FME_ID],FME_Input[FME_NAME])</f>
        <v>Pump Station D</v>
      </c>
      <c r="D2333" t="str">
        <f>_xlfn.XLOOKUP(FME_Ranking1[[#This Row],[FME ID]],FME_Input[FME_ID],FME_Input[DESCR])</f>
        <v>Pump Station D</v>
      </c>
      <c r="E2333" s="256">
        <f>_xlfn.XLOOKUP(FME_Ranking1[[#This Row],[FME ID]],FME_Input[FME_ID],FME_Input[FME_COST])</f>
        <v>165000</v>
      </c>
      <c r="F2333" t="str">
        <f>_xlfn.XLOOKUP(FME_Ranking1[[#This Row],[FME ID]],FME_Input[FME_ID],FME_Input[EMER_NEED])</f>
        <v>Yes</v>
      </c>
      <c r="G2333">
        <f>IF(FME_Ranking!F2333="Yes",100,0)</f>
        <v>100</v>
      </c>
      <c r="H2333">
        <f>FME_Ranking1[[#This Row],[Emergency Need Score (Normalized, Unweighted)]]*$F$3</f>
        <v>0</v>
      </c>
      <c r="I2333" s="246">
        <f>_xlfn.XLOOKUP(FME_Ranking1[[#This Row],[FME ID]],FME_Input[FME_ID],FME_Input[STRUCT_100])</f>
        <v>0</v>
      </c>
      <c r="J2333" s="178">
        <f>(FME_Ranking1[[#This Row],[Structures 100 Raw]]/I$2)*100</f>
        <v>0</v>
      </c>
      <c r="K2333" s="178">
        <f>FME_Ranking1[[#This Row],[Structures 100  Score (Normalized, Unweighted)]]*$I$3</f>
        <v>0</v>
      </c>
      <c r="L2333" s="246">
        <f>_xlfn.XLOOKUP(FME_Ranking1[[#This Row],[FME ID]],FME_Input[FME_ID],FME_Input[RES_STRUCT100])</f>
        <v>0</v>
      </c>
      <c r="M2333" s="230">
        <f>(FME_Ranking1[[#This Row],[Res Structures Raw]]/L$2)*100</f>
        <v>0</v>
      </c>
      <c r="N2333" s="180">
        <f>FME_Ranking1[[#This Row],[Res Structures Score (Normalized, Unweighted)]]*$L$3</f>
        <v>0</v>
      </c>
      <c r="O2333" s="244">
        <f>_xlfn.XLOOKUP(FME_Ranking1[[#This Row],[FME ID]],FME_Input[FME_ID],FME_Input[POP100])</f>
        <v>0</v>
      </c>
      <c r="P2333" s="178">
        <f>(FME_Ranking1[[#This Row],[Pop Raw]]/$O$2)*100</f>
        <v>0</v>
      </c>
      <c r="Q2333" s="178">
        <f>FME_Ranking1[[#This Row],[Pop Score (Normalized, Unweighted)]]*$O$3</f>
        <v>0</v>
      </c>
      <c r="R2333" s="137">
        <f>_xlfn.XLOOKUP(FME_Ranking1[[#This Row],[FME ID]],FME_Input[FME_ID],FME_Input[CRITFAC100])</f>
        <v>0</v>
      </c>
      <c r="S2333" s="230">
        <f>(FME_Ranking1[[#This Row],[Critical Facilities Raw]]/$R$2)*100</f>
        <v>0</v>
      </c>
      <c r="T2333" s="180">
        <f>FME_Ranking1[[#This Row],[Critical Facilities Score (Normalized, Unweighted)]]*$R$3</f>
        <v>0</v>
      </c>
      <c r="U2333">
        <f>_xlfn.XLOOKUP(FME_Ranking1[[#This Row],[FME ID]],FME_Input[FME_ID],FME_Input[LWC])</f>
        <v>0</v>
      </c>
      <c r="V2333" s="178">
        <f>(FME_Ranking1[[#This Row],[LWC Raw]]/$U$2)*100</f>
        <v>0</v>
      </c>
      <c r="W2333" s="178">
        <f>FME_Ranking1[[#This Row],[LWC Score (Normalized, Unweighted)]]*$U$3</f>
        <v>0</v>
      </c>
      <c r="X2333" s="246">
        <f>_xlfn.XLOOKUP(FME_Ranking1[[#This Row],[FME ID]],FME_Input[FME_ID],FME_Input[ROADCLS])</f>
        <v>0</v>
      </c>
      <c r="Y2333" s="230">
        <f>(FME_Ranking1[[#This Row],[Closures Raw]]/$X$2)*100</f>
        <v>0</v>
      </c>
      <c r="Z2333" s="180">
        <f>FME_Ranking1[[#This Row],[Closures Score (Normalized, Unweighted)]]*$X$3</f>
        <v>0</v>
      </c>
      <c r="AA2333" s="253">
        <f>_xlfn.XLOOKUP(FME_Ranking1[[#This Row],[FME ID]],FME_Input[FME_ID],FME_Input[ROAD_MILES100])</f>
        <v>0</v>
      </c>
      <c r="AB2333" s="178">
        <f>(FME_Ranking1[[#This Row],[Miles Raw]]/$AA$2)*100</f>
        <v>0</v>
      </c>
      <c r="AC2333" s="178">
        <f>FME_Ranking1[[#This Row],[Miles Score (Normalized, Unweighted)]]*$AA$3</f>
        <v>0</v>
      </c>
      <c r="AD2333" s="255">
        <f>_xlfn.XLOOKUP(FME_Ranking1[[#This Row],[FME ID]],FME_Input[FME_ID],FME_Input[FARMACRE100])</f>
        <v>0</v>
      </c>
      <c r="AE2333" s="230">
        <f>(FME_Ranking1[[#This Row],[Ag Land Raw]]/$AD$2)*100</f>
        <v>0</v>
      </c>
      <c r="AF2333" s="231">
        <f>FME_Ranking1[[#This Row],[Ag Land Score (Normalized, Unweighted)]]*$AD$3</f>
        <v>0</v>
      </c>
      <c r="AG2333"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33" s="406">
        <f t="shared" si="36"/>
        <v>2198</v>
      </c>
      <c r="AI2333"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33" s="257">
        <f>FME_Ranking1[[#This Row],[Addition check]]-FME_Ranking1[[#This Row],[Weighted Score Based on Normalized Reported Factors]]</f>
        <v>0</v>
      </c>
      <c r="AK2333" s="178">
        <f>_xlfn.RANK.EQ(AI2333,$AI$6:$AI$2341,0)+COUNTIF($AI$6:AI2333,AI2333)-1</f>
        <v>2331</v>
      </c>
    </row>
    <row r="2334" spans="1:37" x14ac:dyDescent="0.25">
      <c r="A2334" t="s">
        <v>11289</v>
      </c>
      <c r="B2334">
        <f>_xlfn.XLOOKUP(FME_Ranking1[[#This Row],[FME ID]],FME_Input[FME_ID],FME_Input[RFPG_NUM])</f>
        <v>15</v>
      </c>
      <c r="C2334" t="str">
        <f>_xlfn.XLOOKUP(FME_Ranking1[[#This Row],[FME ID]],FME_Input[FME_ID],FME_Input[FME_NAME])</f>
        <v>Pump Station E &amp; Sump</v>
      </c>
      <c r="D2334" t="str">
        <f>_xlfn.XLOOKUP(FME_Ranking1[[#This Row],[FME ID]],FME_Input[FME_ID],FME_Input[DESCR])</f>
        <v>Pump Station E &amp; Sump</v>
      </c>
      <c r="E2334" s="256">
        <f>_xlfn.XLOOKUP(FME_Ranking1[[#This Row],[FME ID]],FME_Input[FME_ID],FME_Input[FME_COST])</f>
        <v>124500</v>
      </c>
      <c r="F2334" t="str">
        <f>_xlfn.XLOOKUP(FME_Ranking1[[#This Row],[FME ID]],FME_Input[FME_ID],FME_Input[EMER_NEED])</f>
        <v>Yes</v>
      </c>
      <c r="G2334">
        <f>IF(FME_Ranking!F2334="Yes",100,0)</f>
        <v>100</v>
      </c>
      <c r="H2334">
        <f>FME_Ranking1[[#This Row],[Emergency Need Score (Normalized, Unweighted)]]*$F$3</f>
        <v>0</v>
      </c>
      <c r="I2334" s="246">
        <f>_xlfn.XLOOKUP(FME_Ranking1[[#This Row],[FME ID]],FME_Input[FME_ID],FME_Input[STRUCT_100])</f>
        <v>0</v>
      </c>
      <c r="J2334" s="178">
        <f>(FME_Ranking1[[#This Row],[Structures 100 Raw]]/I$2)*100</f>
        <v>0</v>
      </c>
      <c r="K2334" s="178">
        <f>FME_Ranking1[[#This Row],[Structures 100  Score (Normalized, Unweighted)]]*$I$3</f>
        <v>0</v>
      </c>
      <c r="L2334" s="246">
        <f>_xlfn.XLOOKUP(FME_Ranking1[[#This Row],[FME ID]],FME_Input[FME_ID],FME_Input[RES_STRUCT100])</f>
        <v>0</v>
      </c>
      <c r="M2334" s="230">
        <f>(FME_Ranking1[[#This Row],[Res Structures Raw]]/L$2)*100</f>
        <v>0</v>
      </c>
      <c r="N2334" s="180">
        <f>FME_Ranking1[[#This Row],[Res Structures Score (Normalized, Unweighted)]]*$L$3</f>
        <v>0</v>
      </c>
      <c r="O2334" s="244">
        <f>_xlfn.XLOOKUP(FME_Ranking1[[#This Row],[FME ID]],FME_Input[FME_ID],FME_Input[POP100])</f>
        <v>0</v>
      </c>
      <c r="P2334" s="178">
        <f>(FME_Ranking1[[#This Row],[Pop Raw]]/$O$2)*100</f>
        <v>0</v>
      </c>
      <c r="Q2334" s="178">
        <f>FME_Ranking1[[#This Row],[Pop Score (Normalized, Unweighted)]]*$O$3</f>
        <v>0</v>
      </c>
      <c r="R2334" s="137">
        <f>_xlfn.XLOOKUP(FME_Ranking1[[#This Row],[FME ID]],FME_Input[FME_ID],FME_Input[CRITFAC100])</f>
        <v>0</v>
      </c>
      <c r="S2334" s="230">
        <f>(FME_Ranking1[[#This Row],[Critical Facilities Raw]]/$R$2)*100</f>
        <v>0</v>
      </c>
      <c r="T2334" s="180">
        <f>FME_Ranking1[[#This Row],[Critical Facilities Score (Normalized, Unweighted)]]*$R$3</f>
        <v>0</v>
      </c>
      <c r="U2334">
        <f>_xlfn.XLOOKUP(FME_Ranking1[[#This Row],[FME ID]],FME_Input[FME_ID],FME_Input[LWC])</f>
        <v>0</v>
      </c>
      <c r="V2334" s="178">
        <f>(FME_Ranking1[[#This Row],[LWC Raw]]/$U$2)*100</f>
        <v>0</v>
      </c>
      <c r="W2334" s="178">
        <f>FME_Ranking1[[#This Row],[LWC Score (Normalized, Unweighted)]]*$U$3</f>
        <v>0</v>
      </c>
      <c r="X2334" s="246">
        <f>_xlfn.XLOOKUP(FME_Ranking1[[#This Row],[FME ID]],FME_Input[FME_ID],FME_Input[ROADCLS])</f>
        <v>0</v>
      </c>
      <c r="Y2334" s="230">
        <f>(FME_Ranking1[[#This Row],[Closures Raw]]/$X$2)*100</f>
        <v>0</v>
      </c>
      <c r="Z2334" s="180">
        <f>FME_Ranking1[[#This Row],[Closures Score (Normalized, Unweighted)]]*$X$3</f>
        <v>0</v>
      </c>
      <c r="AA2334" s="253">
        <f>_xlfn.XLOOKUP(FME_Ranking1[[#This Row],[FME ID]],FME_Input[FME_ID],FME_Input[ROAD_MILES100])</f>
        <v>0</v>
      </c>
      <c r="AB2334" s="178">
        <f>(FME_Ranking1[[#This Row],[Miles Raw]]/$AA$2)*100</f>
        <v>0</v>
      </c>
      <c r="AC2334" s="178">
        <f>FME_Ranking1[[#This Row],[Miles Score (Normalized, Unweighted)]]*$AA$3</f>
        <v>0</v>
      </c>
      <c r="AD2334" s="255">
        <f>_xlfn.XLOOKUP(FME_Ranking1[[#This Row],[FME ID]],FME_Input[FME_ID],FME_Input[FARMACRE100])</f>
        <v>0</v>
      </c>
      <c r="AE2334" s="230">
        <f>(FME_Ranking1[[#This Row],[Ag Land Raw]]/$AD$2)*100</f>
        <v>0</v>
      </c>
      <c r="AF2334" s="231">
        <f>FME_Ranking1[[#This Row],[Ag Land Score (Normalized, Unweighted)]]*$AD$3</f>
        <v>0</v>
      </c>
      <c r="AG2334"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34" s="406">
        <f t="shared" si="36"/>
        <v>2198</v>
      </c>
      <c r="AI2334"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34" s="257">
        <f>FME_Ranking1[[#This Row],[Addition check]]-FME_Ranking1[[#This Row],[Weighted Score Based on Normalized Reported Factors]]</f>
        <v>0</v>
      </c>
      <c r="AK2334" s="178">
        <f>_xlfn.RANK.EQ(AI2334,$AI$6:$AI$2341,0)+COUNTIF($AI$6:AI2334,AI2334)-1</f>
        <v>2332</v>
      </c>
    </row>
    <row r="2335" spans="1:37" x14ac:dyDescent="0.25">
      <c r="A2335" t="s">
        <v>11291</v>
      </c>
      <c r="B2335">
        <f>_xlfn.XLOOKUP(FME_Ranking1[[#This Row],[FME ID]],FME_Input[FME_ID],FME_Input[RFPG_NUM])</f>
        <v>15</v>
      </c>
      <c r="C2335" t="str">
        <f>_xlfn.XLOOKUP(FME_Ranking1[[#This Row],[FME ID]],FME_Input[FME_ID],FME_Input[FME_NAME])</f>
        <v>Pump Station F &amp; Sump</v>
      </c>
      <c r="D2335" t="str">
        <f>_xlfn.XLOOKUP(FME_Ranking1[[#This Row],[FME ID]],FME_Input[FME_ID],FME_Input[DESCR])</f>
        <v>Pump Station F &amp; Sump</v>
      </c>
      <c r="E2335" s="256">
        <f>_xlfn.XLOOKUP(FME_Ranking1[[#This Row],[FME ID]],FME_Input[FME_ID],FME_Input[FME_COST])</f>
        <v>480000</v>
      </c>
      <c r="F2335" t="str">
        <f>_xlfn.XLOOKUP(FME_Ranking1[[#This Row],[FME ID]],FME_Input[FME_ID],FME_Input[EMER_NEED])</f>
        <v>Yes</v>
      </c>
      <c r="G2335">
        <f>IF(FME_Ranking!F2335="Yes",100,0)</f>
        <v>100</v>
      </c>
      <c r="H2335">
        <f>FME_Ranking1[[#This Row],[Emergency Need Score (Normalized, Unweighted)]]*$F$3</f>
        <v>0</v>
      </c>
      <c r="I2335" s="246">
        <f>_xlfn.XLOOKUP(FME_Ranking1[[#This Row],[FME ID]],FME_Input[FME_ID],FME_Input[STRUCT_100])</f>
        <v>0</v>
      </c>
      <c r="J2335" s="178">
        <f>(FME_Ranking1[[#This Row],[Structures 100 Raw]]/I$2)*100</f>
        <v>0</v>
      </c>
      <c r="K2335" s="178">
        <f>FME_Ranking1[[#This Row],[Structures 100  Score (Normalized, Unweighted)]]*$I$3</f>
        <v>0</v>
      </c>
      <c r="L2335" s="246">
        <f>_xlfn.XLOOKUP(FME_Ranking1[[#This Row],[FME ID]],FME_Input[FME_ID],FME_Input[RES_STRUCT100])</f>
        <v>0</v>
      </c>
      <c r="M2335" s="230">
        <f>(FME_Ranking1[[#This Row],[Res Structures Raw]]/L$2)*100</f>
        <v>0</v>
      </c>
      <c r="N2335" s="180">
        <f>FME_Ranking1[[#This Row],[Res Structures Score (Normalized, Unweighted)]]*$L$3</f>
        <v>0</v>
      </c>
      <c r="O2335" s="244">
        <f>_xlfn.XLOOKUP(FME_Ranking1[[#This Row],[FME ID]],FME_Input[FME_ID],FME_Input[POP100])</f>
        <v>0</v>
      </c>
      <c r="P2335" s="178">
        <f>(FME_Ranking1[[#This Row],[Pop Raw]]/$O$2)*100</f>
        <v>0</v>
      </c>
      <c r="Q2335" s="178">
        <f>FME_Ranking1[[#This Row],[Pop Score (Normalized, Unweighted)]]*$O$3</f>
        <v>0</v>
      </c>
      <c r="R2335" s="137">
        <f>_xlfn.XLOOKUP(FME_Ranking1[[#This Row],[FME ID]],FME_Input[FME_ID],FME_Input[CRITFAC100])</f>
        <v>0</v>
      </c>
      <c r="S2335" s="230">
        <f>(FME_Ranking1[[#This Row],[Critical Facilities Raw]]/$R$2)*100</f>
        <v>0</v>
      </c>
      <c r="T2335" s="180">
        <f>FME_Ranking1[[#This Row],[Critical Facilities Score (Normalized, Unweighted)]]*$R$3</f>
        <v>0</v>
      </c>
      <c r="U2335">
        <f>_xlfn.XLOOKUP(FME_Ranking1[[#This Row],[FME ID]],FME_Input[FME_ID],FME_Input[LWC])</f>
        <v>0</v>
      </c>
      <c r="V2335" s="178">
        <f>(FME_Ranking1[[#This Row],[LWC Raw]]/$U$2)*100</f>
        <v>0</v>
      </c>
      <c r="W2335" s="178">
        <f>FME_Ranking1[[#This Row],[LWC Score (Normalized, Unweighted)]]*$U$3</f>
        <v>0</v>
      </c>
      <c r="X2335" s="246">
        <f>_xlfn.XLOOKUP(FME_Ranking1[[#This Row],[FME ID]],FME_Input[FME_ID],FME_Input[ROADCLS])</f>
        <v>0</v>
      </c>
      <c r="Y2335" s="230">
        <f>(FME_Ranking1[[#This Row],[Closures Raw]]/$X$2)*100</f>
        <v>0</v>
      </c>
      <c r="Z2335" s="180">
        <f>FME_Ranking1[[#This Row],[Closures Score (Normalized, Unweighted)]]*$X$3</f>
        <v>0</v>
      </c>
      <c r="AA2335" s="253">
        <f>_xlfn.XLOOKUP(FME_Ranking1[[#This Row],[FME ID]],FME_Input[FME_ID],FME_Input[ROAD_MILES100])</f>
        <v>2.178380012512207</v>
      </c>
      <c r="AB2335" s="178">
        <f>(FME_Ranking1[[#This Row],[Miles Raw]]/$AA$2)*100</f>
        <v>2.8641790056559761E-2</v>
      </c>
      <c r="AC2335" s="178">
        <f>FME_Ranking1[[#This Row],[Miles Score (Normalized, Unweighted)]]*$AA$3</f>
        <v>2.8641790056559762E-3</v>
      </c>
      <c r="AD2335" s="255">
        <f>_xlfn.XLOOKUP(FME_Ranking1[[#This Row],[FME ID]],FME_Input[FME_ID],FME_Input[FARMACRE100])</f>
        <v>0</v>
      </c>
      <c r="AE2335" s="230">
        <f>(FME_Ranking1[[#This Row],[Ag Land Raw]]/$AD$2)*100</f>
        <v>0</v>
      </c>
      <c r="AF2335" s="231">
        <f>FME_Ranking1[[#This Row],[Ag Land Score (Normalized, Unweighted)]]*$AD$3</f>
        <v>0</v>
      </c>
      <c r="AG2335"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2.8641790056559762E-3</v>
      </c>
      <c r="AH2335" s="406">
        <f t="shared" si="36"/>
        <v>1913</v>
      </c>
      <c r="AI2335"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2.8641790056559762E-3</v>
      </c>
      <c r="AJ2335" s="257">
        <f>FME_Ranking1[[#This Row],[Addition check]]-FME_Ranking1[[#This Row],[Weighted Score Based on Normalized Reported Factors]]</f>
        <v>0</v>
      </c>
      <c r="AK2335" s="178">
        <f>_xlfn.RANK.EQ(AI2335,$AI$6:$AI$2341,0)+COUNTIF($AI$6:AI2335,AI2335)-1</f>
        <v>1913</v>
      </c>
    </row>
    <row r="2336" spans="1:37" x14ac:dyDescent="0.25">
      <c r="A2336" t="s">
        <v>11293</v>
      </c>
      <c r="B2336">
        <f>_xlfn.XLOOKUP(FME_Ranking1[[#This Row],[FME ID]],FME_Input[FME_ID],FME_Input[RFPG_NUM])</f>
        <v>15</v>
      </c>
      <c r="C2336" t="str">
        <f>_xlfn.XLOOKUP(FME_Ranking1[[#This Row],[FME ID]],FME_Input[FME_ID],FME_Input[FME_NAME])</f>
        <v>Pump Station G &amp; Sump</v>
      </c>
      <c r="D2336" t="str">
        <f>_xlfn.XLOOKUP(FME_Ranking1[[#This Row],[FME ID]],FME_Input[FME_ID],FME_Input[DESCR])</f>
        <v>Pump Station G &amp; Sump</v>
      </c>
      <c r="E2336" s="256">
        <f>_xlfn.XLOOKUP(FME_Ranking1[[#This Row],[FME ID]],FME_Input[FME_ID],FME_Input[FME_COST])</f>
        <v>271500</v>
      </c>
      <c r="F2336" t="str">
        <f>_xlfn.XLOOKUP(FME_Ranking1[[#This Row],[FME ID]],FME_Input[FME_ID],FME_Input[EMER_NEED])</f>
        <v>Yes</v>
      </c>
      <c r="G2336">
        <f>IF(FME_Ranking!F2336="Yes",100,0)</f>
        <v>100</v>
      </c>
      <c r="H2336">
        <f>FME_Ranking1[[#This Row],[Emergency Need Score (Normalized, Unweighted)]]*$F$3</f>
        <v>0</v>
      </c>
      <c r="I2336" s="246">
        <f>_xlfn.XLOOKUP(FME_Ranking1[[#This Row],[FME ID]],FME_Input[FME_ID],FME_Input[STRUCT_100])</f>
        <v>0</v>
      </c>
      <c r="J2336" s="178">
        <f>(FME_Ranking1[[#This Row],[Structures 100 Raw]]/I$2)*100</f>
        <v>0</v>
      </c>
      <c r="K2336" s="178">
        <f>FME_Ranking1[[#This Row],[Structures 100  Score (Normalized, Unweighted)]]*$I$3</f>
        <v>0</v>
      </c>
      <c r="L2336" s="246">
        <f>_xlfn.XLOOKUP(FME_Ranking1[[#This Row],[FME ID]],FME_Input[FME_ID],FME_Input[RES_STRUCT100])</f>
        <v>0</v>
      </c>
      <c r="M2336" s="230">
        <f>(FME_Ranking1[[#This Row],[Res Structures Raw]]/L$2)*100</f>
        <v>0</v>
      </c>
      <c r="N2336" s="180">
        <f>FME_Ranking1[[#This Row],[Res Structures Score (Normalized, Unweighted)]]*$L$3</f>
        <v>0</v>
      </c>
      <c r="O2336" s="244">
        <f>_xlfn.XLOOKUP(FME_Ranking1[[#This Row],[FME ID]],FME_Input[FME_ID],FME_Input[POP100])</f>
        <v>0</v>
      </c>
      <c r="P2336" s="178">
        <f>(FME_Ranking1[[#This Row],[Pop Raw]]/$O$2)*100</f>
        <v>0</v>
      </c>
      <c r="Q2336" s="178">
        <f>FME_Ranking1[[#This Row],[Pop Score (Normalized, Unweighted)]]*$O$3</f>
        <v>0</v>
      </c>
      <c r="R2336" s="137">
        <f>_xlfn.XLOOKUP(FME_Ranking1[[#This Row],[FME ID]],FME_Input[FME_ID],FME_Input[CRITFAC100])</f>
        <v>0</v>
      </c>
      <c r="S2336" s="230">
        <f>(FME_Ranking1[[#This Row],[Critical Facilities Raw]]/$R$2)*100</f>
        <v>0</v>
      </c>
      <c r="T2336" s="180">
        <f>FME_Ranking1[[#This Row],[Critical Facilities Score (Normalized, Unweighted)]]*$R$3</f>
        <v>0</v>
      </c>
      <c r="U2336">
        <f>_xlfn.XLOOKUP(FME_Ranking1[[#This Row],[FME ID]],FME_Input[FME_ID],FME_Input[LWC])</f>
        <v>0</v>
      </c>
      <c r="V2336" s="178">
        <f>(FME_Ranking1[[#This Row],[LWC Raw]]/$U$2)*100</f>
        <v>0</v>
      </c>
      <c r="W2336" s="178">
        <f>FME_Ranking1[[#This Row],[LWC Score (Normalized, Unweighted)]]*$U$3</f>
        <v>0</v>
      </c>
      <c r="X2336" s="246">
        <f>_xlfn.XLOOKUP(FME_Ranking1[[#This Row],[FME ID]],FME_Input[FME_ID],FME_Input[ROADCLS])</f>
        <v>0</v>
      </c>
      <c r="Y2336" s="230">
        <f>(FME_Ranking1[[#This Row],[Closures Raw]]/$X$2)*100</f>
        <v>0</v>
      </c>
      <c r="Z2336" s="180">
        <f>FME_Ranking1[[#This Row],[Closures Score (Normalized, Unweighted)]]*$X$3</f>
        <v>0</v>
      </c>
      <c r="AA2336" s="253">
        <f>_xlfn.XLOOKUP(FME_Ranking1[[#This Row],[FME ID]],FME_Input[FME_ID],FME_Input[ROAD_MILES100])</f>
        <v>0</v>
      </c>
      <c r="AB2336" s="178">
        <f>(FME_Ranking1[[#This Row],[Miles Raw]]/$AA$2)*100</f>
        <v>0</v>
      </c>
      <c r="AC2336" s="178">
        <f>FME_Ranking1[[#This Row],[Miles Score (Normalized, Unweighted)]]*$AA$3</f>
        <v>0</v>
      </c>
      <c r="AD2336" s="255">
        <f>_xlfn.XLOOKUP(FME_Ranking1[[#This Row],[FME ID]],FME_Input[FME_ID],FME_Input[FARMACRE100])</f>
        <v>0</v>
      </c>
      <c r="AE2336" s="230">
        <f>(FME_Ranking1[[#This Row],[Ag Land Raw]]/$AD$2)*100</f>
        <v>0</v>
      </c>
      <c r="AF2336" s="231">
        <f>FME_Ranking1[[#This Row],[Ag Land Score (Normalized, Unweighted)]]*$AD$3</f>
        <v>0</v>
      </c>
      <c r="AG2336"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36" s="406">
        <f t="shared" si="36"/>
        <v>2198</v>
      </c>
      <c r="AI2336"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36" s="257">
        <f>FME_Ranking1[[#This Row],[Addition check]]-FME_Ranking1[[#This Row],[Weighted Score Based on Normalized Reported Factors]]</f>
        <v>0</v>
      </c>
      <c r="AK2336" s="178">
        <f>_xlfn.RANK.EQ(AI2336,$AI$6:$AI$2341,0)+COUNTIF($AI$6:AI2336,AI2336)-1</f>
        <v>2333</v>
      </c>
    </row>
    <row r="2337" spans="1:37" x14ac:dyDescent="0.25">
      <c r="A2337" t="s">
        <v>11295</v>
      </c>
      <c r="B2337">
        <f>_xlfn.XLOOKUP(FME_Ranking1[[#This Row],[FME ID]],FME_Input[FME_ID],FME_Input[RFPG_NUM])</f>
        <v>15</v>
      </c>
      <c r="C2337" t="str">
        <f>_xlfn.XLOOKUP(FME_Ranking1[[#This Row],[FME ID]],FME_Input[FME_ID],FME_Input[FME_NAME])</f>
        <v>Pump Station H &amp; Sump</v>
      </c>
      <c r="D2337" t="str">
        <f>_xlfn.XLOOKUP(FME_Ranking1[[#This Row],[FME ID]],FME_Input[FME_ID],FME_Input[DESCR])</f>
        <v>Pump Station H &amp; Sump</v>
      </c>
      <c r="E2337" s="256">
        <f>_xlfn.XLOOKUP(FME_Ranking1[[#This Row],[FME ID]],FME_Input[FME_ID],FME_Input[FME_COST])</f>
        <v>217500</v>
      </c>
      <c r="F2337" t="str">
        <f>_xlfn.XLOOKUP(FME_Ranking1[[#This Row],[FME ID]],FME_Input[FME_ID],FME_Input[EMER_NEED])</f>
        <v>Yes</v>
      </c>
      <c r="G2337">
        <f>IF(FME_Ranking!F2337="Yes",100,0)</f>
        <v>100</v>
      </c>
      <c r="H2337">
        <f>FME_Ranking1[[#This Row],[Emergency Need Score (Normalized, Unweighted)]]*$F$3</f>
        <v>0</v>
      </c>
      <c r="I2337" s="246">
        <f>_xlfn.XLOOKUP(FME_Ranking1[[#This Row],[FME ID]],FME_Input[FME_ID],FME_Input[STRUCT_100])</f>
        <v>0</v>
      </c>
      <c r="J2337" s="178">
        <f>(FME_Ranking1[[#This Row],[Structures 100 Raw]]/I$2)*100</f>
        <v>0</v>
      </c>
      <c r="K2337" s="178">
        <f>FME_Ranking1[[#This Row],[Structures 100  Score (Normalized, Unweighted)]]*$I$3</f>
        <v>0</v>
      </c>
      <c r="L2337" s="246">
        <f>_xlfn.XLOOKUP(FME_Ranking1[[#This Row],[FME ID]],FME_Input[FME_ID],FME_Input[RES_STRUCT100])</f>
        <v>0</v>
      </c>
      <c r="M2337" s="230">
        <f>(FME_Ranking1[[#This Row],[Res Structures Raw]]/L$2)*100</f>
        <v>0</v>
      </c>
      <c r="N2337" s="180">
        <f>FME_Ranking1[[#This Row],[Res Structures Score (Normalized, Unweighted)]]*$L$3</f>
        <v>0</v>
      </c>
      <c r="O2337" s="244">
        <f>_xlfn.XLOOKUP(FME_Ranking1[[#This Row],[FME ID]],FME_Input[FME_ID],FME_Input[POP100])</f>
        <v>0</v>
      </c>
      <c r="P2337" s="178">
        <f>(FME_Ranking1[[#This Row],[Pop Raw]]/$O$2)*100</f>
        <v>0</v>
      </c>
      <c r="Q2337" s="178">
        <f>FME_Ranking1[[#This Row],[Pop Score (Normalized, Unweighted)]]*$O$3</f>
        <v>0</v>
      </c>
      <c r="R2337" s="137">
        <f>_xlfn.XLOOKUP(FME_Ranking1[[#This Row],[FME ID]],FME_Input[FME_ID],FME_Input[CRITFAC100])</f>
        <v>0</v>
      </c>
      <c r="S2337" s="230">
        <f>(FME_Ranking1[[#This Row],[Critical Facilities Raw]]/$R$2)*100</f>
        <v>0</v>
      </c>
      <c r="T2337" s="180">
        <f>FME_Ranking1[[#This Row],[Critical Facilities Score (Normalized, Unweighted)]]*$R$3</f>
        <v>0</v>
      </c>
      <c r="U2337">
        <f>_xlfn.XLOOKUP(FME_Ranking1[[#This Row],[FME ID]],FME_Input[FME_ID],FME_Input[LWC])</f>
        <v>0</v>
      </c>
      <c r="V2337" s="178">
        <f>(FME_Ranking1[[#This Row],[LWC Raw]]/$U$2)*100</f>
        <v>0</v>
      </c>
      <c r="W2337" s="178">
        <f>FME_Ranking1[[#This Row],[LWC Score (Normalized, Unweighted)]]*$U$3</f>
        <v>0</v>
      </c>
      <c r="X2337" s="246">
        <f>_xlfn.XLOOKUP(FME_Ranking1[[#This Row],[FME ID]],FME_Input[FME_ID],FME_Input[ROADCLS])</f>
        <v>0</v>
      </c>
      <c r="Y2337" s="230">
        <f>(FME_Ranking1[[#This Row],[Closures Raw]]/$X$2)*100</f>
        <v>0</v>
      </c>
      <c r="Z2337" s="180">
        <f>FME_Ranking1[[#This Row],[Closures Score (Normalized, Unweighted)]]*$X$3</f>
        <v>0</v>
      </c>
      <c r="AA2337" s="253">
        <f>_xlfn.XLOOKUP(FME_Ranking1[[#This Row],[FME ID]],FME_Input[FME_ID],FME_Input[ROAD_MILES100])</f>
        <v>0</v>
      </c>
      <c r="AB2337" s="178">
        <f>(FME_Ranking1[[#This Row],[Miles Raw]]/$AA$2)*100</f>
        <v>0</v>
      </c>
      <c r="AC2337" s="178">
        <f>FME_Ranking1[[#This Row],[Miles Score (Normalized, Unweighted)]]*$AA$3</f>
        <v>0</v>
      </c>
      <c r="AD2337" s="255">
        <f>_xlfn.XLOOKUP(FME_Ranking1[[#This Row],[FME ID]],FME_Input[FME_ID],FME_Input[FARMACRE100])</f>
        <v>0</v>
      </c>
      <c r="AE2337" s="230">
        <f>(FME_Ranking1[[#This Row],[Ag Land Raw]]/$AD$2)*100</f>
        <v>0</v>
      </c>
      <c r="AF2337" s="231">
        <f>FME_Ranking1[[#This Row],[Ag Land Score (Normalized, Unweighted)]]*$AD$3</f>
        <v>0</v>
      </c>
      <c r="AG2337"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37" s="406">
        <f t="shared" si="36"/>
        <v>2198</v>
      </c>
      <c r="AI2337"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37" s="257">
        <f>FME_Ranking1[[#This Row],[Addition check]]-FME_Ranking1[[#This Row],[Weighted Score Based on Normalized Reported Factors]]</f>
        <v>0</v>
      </c>
      <c r="AK2337" s="178">
        <f>_xlfn.RANK.EQ(AI2337,$AI$6:$AI$2341,0)+COUNTIF($AI$6:AI2337,AI2337)-1</f>
        <v>2334</v>
      </c>
    </row>
    <row r="2338" spans="1:37" x14ac:dyDescent="0.25">
      <c r="A2338" t="s">
        <v>11297</v>
      </c>
      <c r="B2338">
        <f>_xlfn.XLOOKUP(FME_Ranking1[[#This Row],[FME ID]],FME_Input[FME_ID],FME_Input[RFPG_NUM])</f>
        <v>15</v>
      </c>
      <c r="C2338" t="str">
        <f>_xlfn.XLOOKUP(FME_Ranking1[[#This Row],[FME ID]],FME_Input[FME_ID],FME_Input[FME_NAME])</f>
        <v>Pump Station I &amp; Sump</v>
      </c>
      <c r="D2338" t="str">
        <f>_xlfn.XLOOKUP(FME_Ranking1[[#This Row],[FME ID]],FME_Input[FME_ID],FME_Input[DESCR])</f>
        <v>Pump Station I &amp; Sump</v>
      </c>
      <c r="E2338" s="256">
        <f>_xlfn.XLOOKUP(FME_Ranking1[[#This Row],[FME ID]],FME_Input[FME_ID],FME_Input[FME_COST])</f>
        <v>388500</v>
      </c>
      <c r="F2338" t="str">
        <f>_xlfn.XLOOKUP(FME_Ranking1[[#This Row],[FME ID]],FME_Input[FME_ID],FME_Input[EMER_NEED])</f>
        <v>Yes</v>
      </c>
      <c r="G2338">
        <f>IF(FME_Ranking!F2338="Yes",100,0)</f>
        <v>100</v>
      </c>
      <c r="H2338">
        <f>FME_Ranking1[[#This Row],[Emergency Need Score (Normalized, Unweighted)]]*$F$3</f>
        <v>0</v>
      </c>
      <c r="I2338" s="246">
        <f>_xlfn.XLOOKUP(FME_Ranking1[[#This Row],[FME ID]],FME_Input[FME_ID],FME_Input[STRUCT_100])</f>
        <v>0</v>
      </c>
      <c r="J2338" s="178">
        <f>(FME_Ranking1[[#This Row],[Structures 100 Raw]]/I$2)*100</f>
        <v>0</v>
      </c>
      <c r="K2338" s="178">
        <f>FME_Ranking1[[#This Row],[Structures 100  Score (Normalized, Unweighted)]]*$I$3</f>
        <v>0</v>
      </c>
      <c r="L2338" s="246">
        <f>_xlfn.XLOOKUP(FME_Ranking1[[#This Row],[FME ID]],FME_Input[FME_ID],FME_Input[RES_STRUCT100])</f>
        <v>0</v>
      </c>
      <c r="M2338" s="230">
        <f>(FME_Ranking1[[#This Row],[Res Structures Raw]]/L$2)*100</f>
        <v>0</v>
      </c>
      <c r="N2338" s="180">
        <f>FME_Ranking1[[#This Row],[Res Structures Score (Normalized, Unweighted)]]*$L$3</f>
        <v>0</v>
      </c>
      <c r="O2338" s="244">
        <f>_xlfn.XLOOKUP(FME_Ranking1[[#This Row],[FME ID]],FME_Input[FME_ID],FME_Input[POP100])</f>
        <v>0</v>
      </c>
      <c r="P2338" s="178">
        <f>(FME_Ranking1[[#This Row],[Pop Raw]]/$O$2)*100</f>
        <v>0</v>
      </c>
      <c r="Q2338" s="178">
        <f>FME_Ranking1[[#This Row],[Pop Score (Normalized, Unweighted)]]*$O$3</f>
        <v>0</v>
      </c>
      <c r="R2338" s="137">
        <f>_xlfn.XLOOKUP(FME_Ranking1[[#This Row],[FME ID]],FME_Input[FME_ID],FME_Input[CRITFAC100])</f>
        <v>0</v>
      </c>
      <c r="S2338" s="230">
        <f>(FME_Ranking1[[#This Row],[Critical Facilities Raw]]/$R$2)*100</f>
        <v>0</v>
      </c>
      <c r="T2338" s="180">
        <f>FME_Ranking1[[#This Row],[Critical Facilities Score (Normalized, Unweighted)]]*$R$3</f>
        <v>0</v>
      </c>
      <c r="U2338">
        <f>_xlfn.XLOOKUP(FME_Ranking1[[#This Row],[FME ID]],FME_Input[FME_ID],FME_Input[LWC])</f>
        <v>0</v>
      </c>
      <c r="V2338" s="178">
        <f>(FME_Ranking1[[#This Row],[LWC Raw]]/$U$2)*100</f>
        <v>0</v>
      </c>
      <c r="W2338" s="178">
        <f>FME_Ranking1[[#This Row],[LWC Score (Normalized, Unweighted)]]*$U$3</f>
        <v>0</v>
      </c>
      <c r="X2338" s="246">
        <f>_xlfn.XLOOKUP(FME_Ranking1[[#This Row],[FME ID]],FME_Input[FME_ID],FME_Input[ROADCLS])</f>
        <v>0</v>
      </c>
      <c r="Y2338" s="230">
        <f>(FME_Ranking1[[#This Row],[Closures Raw]]/$X$2)*100</f>
        <v>0</v>
      </c>
      <c r="Z2338" s="180">
        <f>FME_Ranking1[[#This Row],[Closures Score (Normalized, Unweighted)]]*$X$3</f>
        <v>0</v>
      </c>
      <c r="AA2338" s="253">
        <f>_xlfn.XLOOKUP(FME_Ranking1[[#This Row],[FME ID]],FME_Input[FME_ID],FME_Input[ROAD_MILES100])</f>
        <v>0</v>
      </c>
      <c r="AB2338" s="178">
        <f>(FME_Ranking1[[#This Row],[Miles Raw]]/$AA$2)*100</f>
        <v>0</v>
      </c>
      <c r="AC2338" s="178">
        <f>FME_Ranking1[[#This Row],[Miles Score (Normalized, Unweighted)]]*$AA$3</f>
        <v>0</v>
      </c>
      <c r="AD2338" s="255">
        <f>_xlfn.XLOOKUP(FME_Ranking1[[#This Row],[FME ID]],FME_Input[FME_ID],FME_Input[FARMACRE100])</f>
        <v>0</v>
      </c>
      <c r="AE2338" s="230">
        <f>(FME_Ranking1[[#This Row],[Ag Land Raw]]/$AD$2)*100</f>
        <v>0</v>
      </c>
      <c r="AF2338" s="231">
        <f>FME_Ranking1[[#This Row],[Ag Land Score (Normalized, Unweighted)]]*$AD$3</f>
        <v>0</v>
      </c>
      <c r="AG2338"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38" s="406">
        <f t="shared" si="36"/>
        <v>2198</v>
      </c>
      <c r="AI2338"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38" s="257">
        <f>FME_Ranking1[[#This Row],[Addition check]]-FME_Ranking1[[#This Row],[Weighted Score Based on Normalized Reported Factors]]</f>
        <v>0</v>
      </c>
      <c r="AK2338" s="178">
        <f>_xlfn.RANK.EQ(AI2338,$AI$6:$AI$2341,0)+COUNTIF($AI$6:AI2338,AI2338)-1</f>
        <v>2335</v>
      </c>
    </row>
    <row r="2339" spans="1:37" x14ac:dyDescent="0.25">
      <c r="A2339" t="s">
        <v>11299</v>
      </c>
      <c r="B2339">
        <f>_xlfn.XLOOKUP(FME_Ranking1[[#This Row],[FME ID]],FME_Input[FME_ID],FME_Input[RFPG_NUM])</f>
        <v>15</v>
      </c>
      <c r="C2339" t="str">
        <f>_xlfn.XLOOKUP(FME_Ranking1[[#This Row],[FME ID]],FME_Input[FME_ID],FME_Input[FME_NAME])</f>
        <v>Pump Station J &amp; Sump</v>
      </c>
      <c r="D2339" t="str">
        <f>_xlfn.XLOOKUP(FME_Ranking1[[#This Row],[FME ID]],FME_Input[FME_ID],FME_Input[DESCR])</f>
        <v>Pump Station J &amp; Sump</v>
      </c>
      <c r="E2339" s="256">
        <f>_xlfn.XLOOKUP(FME_Ranking1[[#This Row],[FME ID]],FME_Input[FME_ID],FME_Input[FME_COST])</f>
        <v>310500</v>
      </c>
      <c r="F2339" t="str">
        <f>_xlfn.XLOOKUP(FME_Ranking1[[#This Row],[FME ID]],FME_Input[FME_ID],FME_Input[EMER_NEED])</f>
        <v>Yes</v>
      </c>
      <c r="G2339">
        <f>IF(FME_Ranking!F2339="Yes",100,0)</f>
        <v>100</v>
      </c>
      <c r="H2339">
        <f>FME_Ranking1[[#This Row],[Emergency Need Score (Normalized, Unweighted)]]*$F$3</f>
        <v>0</v>
      </c>
      <c r="I2339" s="246">
        <f>_xlfn.XLOOKUP(FME_Ranking1[[#This Row],[FME ID]],FME_Input[FME_ID],FME_Input[STRUCT_100])</f>
        <v>0</v>
      </c>
      <c r="J2339" s="178">
        <f>(FME_Ranking1[[#This Row],[Structures 100 Raw]]/I$2)*100</f>
        <v>0</v>
      </c>
      <c r="K2339" s="178">
        <f>FME_Ranking1[[#This Row],[Structures 100  Score (Normalized, Unweighted)]]*$I$3</f>
        <v>0</v>
      </c>
      <c r="L2339" s="246">
        <f>_xlfn.XLOOKUP(FME_Ranking1[[#This Row],[FME ID]],FME_Input[FME_ID],FME_Input[RES_STRUCT100])</f>
        <v>0</v>
      </c>
      <c r="M2339" s="230">
        <f>(FME_Ranking1[[#This Row],[Res Structures Raw]]/L$2)*100</f>
        <v>0</v>
      </c>
      <c r="N2339" s="180">
        <f>FME_Ranking1[[#This Row],[Res Structures Score (Normalized, Unweighted)]]*$L$3</f>
        <v>0</v>
      </c>
      <c r="O2339" s="244">
        <f>_xlfn.XLOOKUP(FME_Ranking1[[#This Row],[FME ID]],FME_Input[FME_ID],FME_Input[POP100])</f>
        <v>0</v>
      </c>
      <c r="P2339" s="178">
        <f>(FME_Ranking1[[#This Row],[Pop Raw]]/$O$2)*100</f>
        <v>0</v>
      </c>
      <c r="Q2339" s="178">
        <f>FME_Ranking1[[#This Row],[Pop Score (Normalized, Unweighted)]]*$O$3</f>
        <v>0</v>
      </c>
      <c r="R2339" s="137">
        <f>_xlfn.XLOOKUP(FME_Ranking1[[#This Row],[FME ID]],FME_Input[FME_ID],FME_Input[CRITFAC100])</f>
        <v>0</v>
      </c>
      <c r="S2339" s="230">
        <f>(FME_Ranking1[[#This Row],[Critical Facilities Raw]]/$R$2)*100</f>
        <v>0</v>
      </c>
      <c r="T2339" s="180">
        <f>FME_Ranking1[[#This Row],[Critical Facilities Score (Normalized, Unweighted)]]*$R$3</f>
        <v>0</v>
      </c>
      <c r="U2339">
        <f>_xlfn.XLOOKUP(FME_Ranking1[[#This Row],[FME ID]],FME_Input[FME_ID],FME_Input[LWC])</f>
        <v>0</v>
      </c>
      <c r="V2339" s="178">
        <f>(FME_Ranking1[[#This Row],[LWC Raw]]/$U$2)*100</f>
        <v>0</v>
      </c>
      <c r="W2339" s="178">
        <f>FME_Ranking1[[#This Row],[LWC Score (Normalized, Unweighted)]]*$U$3</f>
        <v>0</v>
      </c>
      <c r="X2339" s="246">
        <f>_xlfn.XLOOKUP(FME_Ranking1[[#This Row],[FME ID]],FME_Input[FME_ID],FME_Input[ROADCLS])</f>
        <v>0</v>
      </c>
      <c r="Y2339" s="230">
        <f>(FME_Ranking1[[#This Row],[Closures Raw]]/$X$2)*100</f>
        <v>0</v>
      </c>
      <c r="Z2339" s="180">
        <f>FME_Ranking1[[#This Row],[Closures Score (Normalized, Unweighted)]]*$X$3</f>
        <v>0</v>
      </c>
      <c r="AA2339" s="253">
        <f>_xlfn.XLOOKUP(FME_Ranking1[[#This Row],[FME ID]],FME_Input[FME_ID],FME_Input[ROAD_MILES100])</f>
        <v>1.5419900417327881</v>
      </c>
      <c r="AB2339" s="178">
        <f>(FME_Ranking1[[#This Row],[Miles Raw]]/$AA$2)*100</f>
        <v>2.0274403359808117E-2</v>
      </c>
      <c r="AC2339" s="178">
        <f>FME_Ranking1[[#This Row],[Miles Score (Normalized, Unweighted)]]*$AA$3</f>
        <v>2.0274403359808119E-3</v>
      </c>
      <c r="AD2339" s="255">
        <f>_xlfn.XLOOKUP(FME_Ranking1[[#This Row],[FME ID]],FME_Input[FME_ID],FME_Input[FARMACRE100])</f>
        <v>0</v>
      </c>
      <c r="AE2339" s="230">
        <f>(FME_Ranking1[[#This Row],[Ag Land Raw]]/$AD$2)*100</f>
        <v>0</v>
      </c>
      <c r="AF2339" s="231">
        <f>FME_Ranking1[[#This Row],[Ag Land Score (Normalized, Unweighted)]]*$AD$3</f>
        <v>0</v>
      </c>
      <c r="AG2339"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2.0274403359808119E-3</v>
      </c>
      <c r="AH2339" s="406">
        <f t="shared" si="36"/>
        <v>1957</v>
      </c>
      <c r="AI2339"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2.0274403359808119E-3</v>
      </c>
      <c r="AJ2339" s="257">
        <f>FME_Ranking1[[#This Row],[Addition check]]-FME_Ranking1[[#This Row],[Weighted Score Based on Normalized Reported Factors]]</f>
        <v>0</v>
      </c>
      <c r="AK2339" s="178">
        <f>_xlfn.RANK.EQ(AI2339,$AI$6:$AI$2341,0)+COUNTIF($AI$6:AI2339,AI2339)-1</f>
        <v>1957</v>
      </c>
    </row>
    <row r="2340" spans="1:37" x14ac:dyDescent="0.25">
      <c r="A2340" t="s">
        <v>11301</v>
      </c>
      <c r="B2340">
        <f>_xlfn.XLOOKUP(FME_Ranking1[[#This Row],[FME ID]],FME_Input[FME_ID],FME_Input[RFPG_NUM])</f>
        <v>15</v>
      </c>
      <c r="C2340" t="str">
        <f>_xlfn.XLOOKUP(FME_Ranking1[[#This Row],[FME ID]],FME_Input[FME_ID],FME_Input[FME_NAME])</f>
        <v>Pump Station K</v>
      </c>
      <c r="D2340" t="str">
        <f>_xlfn.XLOOKUP(FME_Ranking1[[#This Row],[FME ID]],FME_Input[FME_ID],FME_Input[DESCR])</f>
        <v>Pump Station K</v>
      </c>
      <c r="E2340" s="256">
        <f>_xlfn.XLOOKUP(FME_Ranking1[[#This Row],[FME ID]],FME_Input[FME_ID],FME_Input[FME_COST])</f>
        <v>165000</v>
      </c>
      <c r="F2340" t="str">
        <f>_xlfn.XLOOKUP(FME_Ranking1[[#This Row],[FME ID]],FME_Input[FME_ID],FME_Input[EMER_NEED])</f>
        <v>Yes</v>
      </c>
      <c r="G2340">
        <f>IF(FME_Ranking!F2340="Yes",100,0)</f>
        <v>100</v>
      </c>
      <c r="H2340">
        <f>FME_Ranking1[[#This Row],[Emergency Need Score (Normalized, Unweighted)]]*$F$3</f>
        <v>0</v>
      </c>
      <c r="I2340" s="246">
        <f>_xlfn.XLOOKUP(FME_Ranking1[[#This Row],[FME ID]],FME_Input[FME_ID],FME_Input[STRUCT_100])</f>
        <v>0</v>
      </c>
      <c r="J2340" s="178">
        <f>(FME_Ranking1[[#This Row],[Structures 100 Raw]]/I$2)*100</f>
        <v>0</v>
      </c>
      <c r="K2340" s="178">
        <f>FME_Ranking1[[#This Row],[Structures 100  Score (Normalized, Unweighted)]]*$I$3</f>
        <v>0</v>
      </c>
      <c r="L2340" s="246">
        <f>_xlfn.XLOOKUP(FME_Ranking1[[#This Row],[FME ID]],FME_Input[FME_ID],FME_Input[RES_STRUCT100])</f>
        <v>0</v>
      </c>
      <c r="M2340" s="230">
        <f>(FME_Ranking1[[#This Row],[Res Structures Raw]]/L$2)*100</f>
        <v>0</v>
      </c>
      <c r="N2340" s="180">
        <f>FME_Ranking1[[#This Row],[Res Structures Score (Normalized, Unweighted)]]*$L$3</f>
        <v>0</v>
      </c>
      <c r="O2340" s="244">
        <f>_xlfn.XLOOKUP(FME_Ranking1[[#This Row],[FME ID]],FME_Input[FME_ID],FME_Input[POP100])</f>
        <v>0</v>
      </c>
      <c r="P2340" s="178">
        <f>(FME_Ranking1[[#This Row],[Pop Raw]]/$O$2)*100</f>
        <v>0</v>
      </c>
      <c r="Q2340" s="178">
        <f>FME_Ranking1[[#This Row],[Pop Score (Normalized, Unweighted)]]*$O$3</f>
        <v>0</v>
      </c>
      <c r="R2340" s="137">
        <f>_xlfn.XLOOKUP(FME_Ranking1[[#This Row],[FME ID]],FME_Input[FME_ID],FME_Input[CRITFAC100])</f>
        <v>0</v>
      </c>
      <c r="S2340" s="230">
        <f>(FME_Ranking1[[#This Row],[Critical Facilities Raw]]/$R$2)*100</f>
        <v>0</v>
      </c>
      <c r="T2340" s="180">
        <f>FME_Ranking1[[#This Row],[Critical Facilities Score (Normalized, Unweighted)]]*$R$3</f>
        <v>0</v>
      </c>
      <c r="U2340">
        <f>_xlfn.XLOOKUP(FME_Ranking1[[#This Row],[FME ID]],FME_Input[FME_ID],FME_Input[LWC])</f>
        <v>0</v>
      </c>
      <c r="V2340" s="178">
        <f>(FME_Ranking1[[#This Row],[LWC Raw]]/$U$2)*100</f>
        <v>0</v>
      </c>
      <c r="W2340" s="178">
        <f>FME_Ranking1[[#This Row],[LWC Score (Normalized, Unweighted)]]*$U$3</f>
        <v>0</v>
      </c>
      <c r="X2340" s="246">
        <f>_xlfn.XLOOKUP(FME_Ranking1[[#This Row],[FME ID]],FME_Input[FME_ID],FME_Input[ROADCLS])</f>
        <v>0</v>
      </c>
      <c r="Y2340" s="230">
        <f>(FME_Ranking1[[#This Row],[Closures Raw]]/$X$2)*100</f>
        <v>0</v>
      </c>
      <c r="Z2340" s="180">
        <f>FME_Ranking1[[#This Row],[Closures Score (Normalized, Unweighted)]]*$X$3</f>
        <v>0</v>
      </c>
      <c r="AA2340" s="253">
        <f>_xlfn.XLOOKUP(FME_Ranking1[[#This Row],[FME ID]],FME_Input[FME_ID],FME_Input[ROAD_MILES100])</f>
        <v>1.676810026168823</v>
      </c>
      <c r="AB2340" s="178">
        <f>(FME_Ranking1[[#This Row],[Miles Raw]]/$AA$2)*100</f>
        <v>2.2047044344147816E-2</v>
      </c>
      <c r="AC2340" s="178">
        <f>FME_Ranking1[[#This Row],[Miles Score (Normalized, Unweighted)]]*$AA$3</f>
        <v>2.2047044344147815E-3</v>
      </c>
      <c r="AD2340" s="255">
        <f>_xlfn.XLOOKUP(FME_Ranking1[[#This Row],[FME ID]],FME_Input[FME_ID],FME_Input[FARMACRE100])</f>
        <v>0</v>
      </c>
      <c r="AE2340" s="230">
        <f>(FME_Ranking1[[#This Row],[Ag Land Raw]]/$AD$2)*100</f>
        <v>0</v>
      </c>
      <c r="AF2340" s="231">
        <f>FME_Ranking1[[#This Row],[Ag Land Score (Normalized, Unweighted)]]*$AD$3</f>
        <v>0</v>
      </c>
      <c r="AG2340" s="407">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2.2047044344147815E-3</v>
      </c>
      <c r="AH2340" s="406">
        <f t="shared" si="36"/>
        <v>1945</v>
      </c>
      <c r="AI2340"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2.2047044344147815E-3</v>
      </c>
      <c r="AJ2340" s="257">
        <f>FME_Ranking1[[#This Row],[Addition check]]-FME_Ranking1[[#This Row],[Weighted Score Based on Normalized Reported Factors]]</f>
        <v>0</v>
      </c>
      <c r="AK2340" s="178">
        <f>_xlfn.RANK.EQ(AI2340,$AI$6:$AI$2341,0)+COUNTIF($AI$6:AI2340,AI2340)-1</f>
        <v>1945</v>
      </c>
    </row>
    <row r="2341" spans="1:37" ht="15.75" thickBot="1" x14ac:dyDescent="0.3">
      <c r="A2341" t="s">
        <v>11303</v>
      </c>
      <c r="B2341">
        <f>_xlfn.XLOOKUP(FME_Ranking1[[#This Row],[FME ID]],FME_Input[FME_ID],FME_Input[RFPG_NUM])</f>
        <v>15</v>
      </c>
      <c r="C2341" t="str">
        <f>_xlfn.XLOOKUP(FME_Ranking1[[#This Row],[FME ID]],FME_Input[FME_ID],FME_Input[FME_NAME])</f>
        <v>Pump Station L</v>
      </c>
      <c r="D2341" t="str">
        <f>_xlfn.XLOOKUP(FME_Ranking1[[#This Row],[FME ID]],FME_Input[FME_ID],FME_Input[DESCR])</f>
        <v>Pump Station L</v>
      </c>
      <c r="E2341" s="256">
        <f>_xlfn.XLOOKUP(FME_Ranking1[[#This Row],[FME ID]],FME_Input[FME_ID],FME_Input[FME_COST])</f>
        <v>165000</v>
      </c>
      <c r="F2341" t="str">
        <f>_xlfn.XLOOKUP(FME_Ranking1[[#This Row],[FME ID]],FME_Input[FME_ID],FME_Input[EMER_NEED])</f>
        <v>Yes</v>
      </c>
      <c r="G2341">
        <f>IF(FME_Ranking!F2341="Yes",100,0)</f>
        <v>100</v>
      </c>
      <c r="H2341">
        <f>FME_Ranking1[[#This Row],[Emergency Need Score (Normalized, Unweighted)]]*$F$3</f>
        <v>0</v>
      </c>
      <c r="I2341" s="246">
        <f>_xlfn.XLOOKUP(FME_Ranking1[[#This Row],[FME ID]],FME_Input[FME_ID],FME_Input[STRUCT_100])</f>
        <v>0</v>
      </c>
      <c r="J2341" s="178">
        <f>(FME_Ranking1[[#This Row],[Structures 100 Raw]]/I$2)*100</f>
        <v>0</v>
      </c>
      <c r="K2341" s="178">
        <f>FME_Ranking1[[#This Row],[Structures 100  Score (Normalized, Unweighted)]]*$I$3</f>
        <v>0</v>
      </c>
      <c r="L2341" s="247">
        <f>_xlfn.XLOOKUP(FME_Ranking1[[#This Row],[FME ID]],FME_Input[FME_ID],FME_Input[RES_STRUCT100])</f>
        <v>0</v>
      </c>
      <c r="M2341" s="235">
        <f>(FME_Ranking1[[#This Row],[Res Structures Raw]]/L$2)*100</f>
        <v>0</v>
      </c>
      <c r="N2341" s="236">
        <f>FME_Ranking1[[#This Row],[Res Structures Score (Normalized, Unweighted)]]*$L$3</f>
        <v>0</v>
      </c>
      <c r="O2341" s="244">
        <f>_xlfn.XLOOKUP(FME_Ranking1[[#This Row],[FME ID]],FME_Input[FME_ID],FME_Input[POP100])</f>
        <v>0</v>
      </c>
      <c r="P2341" s="178">
        <f>(FME_Ranking1[[#This Row],[Pop Raw]]/$O$2)*100</f>
        <v>0</v>
      </c>
      <c r="Q2341" s="178">
        <f>FME_Ranking1[[#This Row],[Pop Score (Normalized, Unweighted)]]*$O$3</f>
        <v>0</v>
      </c>
      <c r="R2341" s="137">
        <f>_xlfn.XLOOKUP(FME_Ranking1[[#This Row],[FME ID]],FME_Input[FME_ID],FME_Input[CRITFAC100])</f>
        <v>0</v>
      </c>
      <c r="S2341" s="230">
        <f>(FME_Ranking1[[#This Row],[Critical Facilities Raw]]/$R$2)*100</f>
        <v>0</v>
      </c>
      <c r="T2341" s="180">
        <f>FME_Ranking1[[#This Row],[Critical Facilities Score (Normalized, Unweighted)]]*$R$3</f>
        <v>0</v>
      </c>
      <c r="U2341">
        <f>_xlfn.XLOOKUP(FME_Ranking1[[#This Row],[FME ID]],FME_Input[FME_ID],FME_Input[LWC])</f>
        <v>0</v>
      </c>
      <c r="V2341" s="178">
        <f>(FME_Ranking1[[#This Row],[LWC Raw]]/$U$2)*100</f>
        <v>0</v>
      </c>
      <c r="W2341" s="178">
        <f>FME_Ranking1[[#This Row],[LWC Score (Normalized, Unweighted)]]*$U$3</f>
        <v>0</v>
      </c>
      <c r="X2341" s="246">
        <f>_xlfn.XLOOKUP(FME_Ranking1[[#This Row],[FME ID]],FME_Input[FME_ID],FME_Input[ROADCLS])</f>
        <v>0</v>
      </c>
      <c r="Y2341" s="230">
        <f>(FME_Ranking1[[#This Row],[Closures Raw]]/$X$2)*100</f>
        <v>0</v>
      </c>
      <c r="Z2341" s="180">
        <f>FME_Ranking1[[#This Row],[Closures Score (Normalized, Unweighted)]]*$X$3</f>
        <v>0</v>
      </c>
      <c r="AA2341" s="253">
        <f>_xlfn.XLOOKUP(FME_Ranking1[[#This Row],[FME ID]],FME_Input[FME_ID],FME_Input[ROAD_MILES100])</f>
        <v>0</v>
      </c>
      <c r="AB2341" s="178">
        <f>(FME_Ranking1[[#This Row],[Miles Raw]]/$AA$2)*100</f>
        <v>0</v>
      </c>
      <c r="AC2341" s="178">
        <f>FME_Ranking1[[#This Row],[Miles Score (Normalized, Unweighted)]]*$AA$3</f>
        <v>0</v>
      </c>
      <c r="AD2341" s="255">
        <f>_xlfn.XLOOKUP(FME_Ranking1[[#This Row],[FME ID]],FME_Input[FME_ID],FME_Input[FARMACRE100])</f>
        <v>0</v>
      </c>
      <c r="AE2341" s="230">
        <f>(FME_Ranking1[[#This Row],[Ag Land Raw]]/$AD$2)*100</f>
        <v>0</v>
      </c>
      <c r="AF2341" s="231">
        <f>FME_Ranking1[[#This Row],[Ag Land Score (Normalized, Unweighted)]]*$AD$3</f>
        <v>0</v>
      </c>
      <c r="AG2341" s="413">
        <f>(FME_Ranking1[[#This Row],[Emergency Need Score (Normalized, Unweighted)]]*F$3)+(((FME_Ranking1[[#This Row],[Structures 100 Raw]]/I$2)*100)*I$3)+(((FME_Ranking1[[#This Row],[Res Structures Raw]]/L$2)*100)*L$3)+(((FME_Ranking1[[#This Row],[Pop Raw]]/O$2)*100)*O$3)+(((FME_Ranking1[[#This Row],[Critical Facilities Raw]]/R$2)*100)*R$3)+(((FME_Ranking1[[#This Row],[LWC Raw]]/U$2)*100)*U$3)+(((FME_Ranking1[[#This Row],[Closures Raw]]/X$2)*100)*X$3)+(((FME_Ranking1[[#This Row],[Miles Raw]]/AA$2)*100)*AA$3)+(((FME_Ranking1[[#This Row],[Ag Land Raw]]/AD$2)*100)*AD$3)</f>
        <v>0</v>
      </c>
      <c r="AH2341" s="414">
        <f t="shared" si="36"/>
        <v>2198</v>
      </c>
      <c r="AI2341" s="178">
        <f>FME_Ranking1[[#This Row],[Emergency Need Weighted Score]]+FME_Ranking1[[#This Row],[Structures 100 Weighted Score]]+FME_Ranking1[[#This Row],[Res Structures Weighted Score]]+FME_Ranking1[[#This Row],[Pop Weighted Score]]+FME_Ranking1[[#This Row],[Critical Facilities Weighted Score]]+FME_Ranking1[[#This Row],[LWC Weighted Score]]+FME_Ranking1[[#This Row],[Closures Weighted Score]]+FME_Ranking1[[#This Row],[Miles Weighted Score]]+FME_Ranking1[[#This Row],[Ag Land Weighted Score]]</f>
        <v>0</v>
      </c>
      <c r="AJ2341" s="257">
        <f>FME_Ranking1[[#This Row],[Addition check]]-FME_Ranking1[[#This Row],[Weighted Score Based on Normalized Reported Factors]]</f>
        <v>0</v>
      </c>
      <c r="AK2341" s="178">
        <f>_xlfn.RANK.EQ(AI2341,$AI$6:$AI$2341,0)+COUNTIF($AI$6:AI2341,AI2341)-1</f>
        <v>2336</v>
      </c>
    </row>
  </sheetData>
  <sheetProtection algorithmName="SHA-512" hashValue="NJDtNb4G32IBrW2EaIQjNJFyqh3UFujbqKY7obu3hfImD2yIM0zgLwL2lCdfA1Cdzmi87wXgU9rOjVhjRTtLBA==" saltValue="qr3RFRBJ9gI6eL7tOfnNTA==" spinCount="100000" sheet="1" sort="0" autoFilter="0"/>
  <mergeCells count="38">
    <mergeCell ref="U3:W3"/>
    <mergeCell ref="U2:W2"/>
    <mergeCell ref="U1:W1"/>
    <mergeCell ref="X3:Z3"/>
    <mergeCell ref="R4:T4"/>
    <mergeCell ref="U4:W4"/>
    <mergeCell ref="X4:Z4"/>
    <mergeCell ref="X2:Z2"/>
    <mergeCell ref="X1:Z1"/>
    <mergeCell ref="F4:H4"/>
    <mergeCell ref="F3:H3"/>
    <mergeCell ref="F2:H2"/>
    <mergeCell ref="F1:H1"/>
    <mergeCell ref="A1:D4"/>
    <mergeCell ref="O1:Q1"/>
    <mergeCell ref="O2:Q2"/>
    <mergeCell ref="O3:Q3"/>
    <mergeCell ref="O4:Q4"/>
    <mergeCell ref="R3:T3"/>
    <mergeCell ref="R2:T2"/>
    <mergeCell ref="R1:T1"/>
    <mergeCell ref="I3:K3"/>
    <mergeCell ref="I2:K2"/>
    <mergeCell ref="I1:K1"/>
    <mergeCell ref="I4:K4"/>
    <mergeCell ref="L1:N1"/>
    <mergeCell ref="L2:N2"/>
    <mergeCell ref="L3:N3"/>
    <mergeCell ref="L4:N4"/>
    <mergeCell ref="AI4:AK4"/>
    <mergeCell ref="AA3:AC3"/>
    <mergeCell ref="AA4:AC4"/>
    <mergeCell ref="AA1:AC1"/>
    <mergeCell ref="AA2:AC2"/>
    <mergeCell ref="AD3:AF3"/>
    <mergeCell ref="AD2:AF2"/>
    <mergeCell ref="AD1:AF1"/>
    <mergeCell ref="AD4:AF4"/>
  </mergeCells>
  <phoneticPr fontId="6" type="noConversion"/>
  <conditionalFormatting sqref="E1">
    <cfRule type="cellIs" dxfId="89" priority="3" operator="equal">
      <formula>"Yes"</formula>
    </cfRule>
  </conditionalFormatting>
  <conditionalFormatting sqref="F1:AF1">
    <cfRule type="cellIs" dxfId="88" priority="1" operator="equal">
      <formula>"Yes"</formula>
    </cfRule>
    <cfRule type="cellIs" dxfId="87" priority="2" operator="equal">
      <formula>"No"</formula>
    </cfRule>
  </conditionalFormatting>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A28F3-04E7-4B6A-9418-6C5C742A3A58}">
  <dimension ref="A1:BC531"/>
  <sheetViews>
    <sheetView zoomScale="87" zoomScaleNormal="87" workbookViewId="0">
      <pane xSplit="3" topLeftCell="D1" activePane="topRight" state="frozen"/>
      <selection pane="topRight" activeCell="AV24" sqref="AV24"/>
    </sheetView>
  </sheetViews>
  <sheetFormatPr defaultRowHeight="15" x14ac:dyDescent="0.25"/>
  <cols>
    <col min="1" max="1" width="17.140625" customWidth="1"/>
    <col min="2" max="2" width="23.85546875" customWidth="1"/>
    <col min="3" max="3" width="31" customWidth="1"/>
    <col min="4" max="8" width="12.7109375" customWidth="1"/>
    <col min="9" max="9" width="15.5703125" bestFit="1" customWidth="1"/>
    <col min="10" max="41" width="12.7109375" customWidth="1"/>
    <col min="42" max="44" width="8.7109375" customWidth="1"/>
    <col min="45" max="45" width="18.28515625" customWidth="1"/>
    <col min="46" max="55" width="12.140625" customWidth="1"/>
  </cols>
  <sheetData>
    <row r="1" spans="1:55" ht="33.75" customHeight="1" thickBot="1" x14ac:dyDescent="0.35">
      <c r="A1" s="363" t="s">
        <v>2368</v>
      </c>
      <c r="B1" s="363"/>
      <c r="D1" s="10"/>
      <c r="L1" s="10" t="s">
        <v>2341</v>
      </c>
    </row>
    <row r="2" spans="1:55" s="9" customFormat="1" ht="45" x14ac:dyDescent="0.25">
      <c r="A2" s="363"/>
      <c r="B2" s="363"/>
      <c r="C2" s="92" t="s">
        <v>2366</v>
      </c>
      <c r="D2" s="367" t="e">
        <f>Ranking_Criteria!#REF!</f>
        <v>#REF!</v>
      </c>
      <c r="E2" s="368"/>
      <c r="F2" s="380" t="e">
        <f>Ranking_Criteria!#REF!</f>
        <v>#REF!</v>
      </c>
      <c r="G2" s="381"/>
      <c r="H2" s="367" t="e">
        <f>Ranking_Criteria!#REF!</f>
        <v>#REF!</v>
      </c>
      <c r="I2" s="368"/>
      <c r="J2" s="368"/>
      <c r="K2" s="369"/>
      <c r="L2" s="367" t="e">
        <f>Ranking_Criteria!#REF!</f>
        <v>#REF!</v>
      </c>
      <c r="M2" s="368"/>
      <c r="N2" s="368"/>
      <c r="O2" s="369"/>
      <c r="P2" s="368" t="e">
        <f>Ranking_Criteria!#REF!</f>
        <v>#REF!</v>
      </c>
      <c r="Q2" s="368"/>
      <c r="R2" s="368"/>
      <c r="S2" s="369"/>
      <c r="T2" s="368" t="e">
        <f>Ranking_Criteria!#REF!</f>
        <v>#REF!</v>
      </c>
      <c r="U2" s="368"/>
      <c r="V2" s="368"/>
      <c r="W2" s="368"/>
      <c r="X2" s="367" t="e">
        <f>Ranking_Criteria!#REF!</f>
        <v>#REF!</v>
      </c>
      <c r="Y2" s="368"/>
      <c r="Z2" s="368"/>
      <c r="AA2" s="369"/>
      <c r="AB2" s="368" t="e">
        <f>Ranking_Criteria!#REF!</f>
        <v>#REF!</v>
      </c>
      <c r="AC2" s="368"/>
      <c r="AD2" s="367" t="e">
        <f>Ranking_Criteria!#REF!</f>
        <v>#REF!</v>
      </c>
      <c r="AE2" s="368"/>
      <c r="AF2" s="368"/>
      <c r="AG2" s="368"/>
      <c r="AH2" s="367" t="e">
        <f>Ranking_Criteria!#REF!</f>
        <v>#REF!</v>
      </c>
      <c r="AI2" s="368"/>
      <c r="AJ2" s="368"/>
      <c r="AK2" s="369"/>
      <c r="AL2"/>
      <c r="AM2"/>
      <c r="AN2"/>
      <c r="AO2"/>
      <c r="AP2"/>
      <c r="AQ2"/>
      <c r="AR2"/>
      <c r="AS2"/>
      <c r="AT2"/>
    </row>
    <row r="3" spans="1:55" ht="45.75" thickBot="1" x14ac:dyDescent="0.3">
      <c r="A3" s="363"/>
      <c r="B3" s="363"/>
      <c r="C3" s="92" t="s">
        <v>2365</v>
      </c>
      <c r="D3" s="370" t="s">
        <v>596</v>
      </c>
      <c r="E3" s="371"/>
      <c r="F3" s="372" t="s">
        <v>596</v>
      </c>
      <c r="G3" s="373"/>
      <c r="H3" s="374">
        <f>AV7</f>
        <v>899869</v>
      </c>
      <c r="I3" s="375"/>
      <c r="J3" s="375"/>
      <c r="K3" s="376"/>
      <c r="L3" s="377">
        <f>AW7</f>
        <v>668883</v>
      </c>
      <c r="M3" s="378"/>
      <c r="N3" s="378"/>
      <c r="O3" s="379"/>
      <c r="P3" s="378">
        <f>AX7</f>
        <v>2724638</v>
      </c>
      <c r="Q3" s="378"/>
      <c r="R3" s="378"/>
      <c r="S3" s="379"/>
      <c r="T3" s="377">
        <f>BB7</f>
        <v>7091</v>
      </c>
      <c r="U3" s="378"/>
      <c r="V3" s="378"/>
      <c r="W3" s="379"/>
      <c r="X3" s="386">
        <f>BC7</f>
        <v>10962</v>
      </c>
      <c r="Y3" s="373"/>
      <c r="Z3" s="373"/>
      <c r="AA3" s="387"/>
      <c r="AB3" s="372" t="s">
        <v>595</v>
      </c>
      <c r="AC3" s="373"/>
      <c r="AD3" s="386">
        <f>AZ7</f>
        <v>44272.7</v>
      </c>
      <c r="AE3" s="373"/>
      <c r="AF3" s="373"/>
      <c r="AG3" s="387"/>
      <c r="AH3" s="386">
        <f>BA7</f>
        <v>17221.8</v>
      </c>
      <c r="AI3" s="373"/>
      <c r="AJ3" s="373"/>
      <c r="AK3" s="387"/>
      <c r="AU3" s="382"/>
      <c r="AV3" s="382"/>
      <c r="AW3" s="382"/>
      <c r="AX3" s="382"/>
      <c r="AY3" s="382"/>
      <c r="AZ3" s="382"/>
      <c r="BA3" s="382"/>
    </row>
    <row r="4" spans="1:55" ht="45.75" thickBot="1" x14ac:dyDescent="0.3">
      <c r="A4" s="363"/>
      <c r="B4" s="363"/>
      <c r="C4" s="91" t="s">
        <v>2364</v>
      </c>
      <c r="D4" s="383" t="e">
        <f>Ranking_Criteria!#REF!</f>
        <v>#REF!</v>
      </c>
      <c r="E4" s="384"/>
      <c r="F4" s="383" t="e">
        <f>Ranking_Criteria!#REF!</f>
        <v>#REF!</v>
      </c>
      <c r="G4" s="384"/>
      <c r="H4" s="383" t="e">
        <f>Ranking_Criteria!#REF!</f>
        <v>#REF!</v>
      </c>
      <c r="I4" s="384"/>
      <c r="J4" s="384"/>
      <c r="K4" s="385"/>
      <c r="L4" s="383" t="e">
        <f>Ranking_Criteria!#REF!</f>
        <v>#REF!</v>
      </c>
      <c r="M4" s="384"/>
      <c r="N4" s="384"/>
      <c r="O4" s="385"/>
      <c r="P4" s="384" t="e">
        <f>Ranking_Criteria!#REF!</f>
        <v>#REF!</v>
      </c>
      <c r="Q4" s="384"/>
      <c r="R4" s="384"/>
      <c r="S4" s="385"/>
      <c r="T4" s="384" t="e">
        <f>Ranking_Criteria!#REF!</f>
        <v>#REF!</v>
      </c>
      <c r="U4" s="384"/>
      <c r="V4" s="384"/>
      <c r="W4" s="384"/>
      <c r="X4" s="383" t="e">
        <f>Ranking_Criteria!#REF!</f>
        <v>#REF!</v>
      </c>
      <c r="Y4" s="384"/>
      <c r="Z4" s="384"/>
      <c r="AA4" s="385"/>
      <c r="AB4" s="383" t="e">
        <f>Ranking_Criteria!#REF!</f>
        <v>#REF!</v>
      </c>
      <c r="AC4" s="384"/>
      <c r="AD4" s="383" t="e">
        <f>Ranking_Criteria!#REF!</f>
        <v>#REF!</v>
      </c>
      <c r="AE4" s="384"/>
      <c r="AF4" s="384"/>
      <c r="AG4" s="385"/>
      <c r="AH4" s="383" t="e">
        <f>Ranking_Criteria!#REF!</f>
        <v>#REF!</v>
      </c>
      <c r="AI4" s="384"/>
      <c r="AJ4" s="384"/>
      <c r="AK4" s="385"/>
      <c r="AL4" s="93" t="e">
        <f>Ranking_Criteria!#REF!</f>
        <v>#REF!</v>
      </c>
    </row>
    <row r="5" spans="1:55" ht="60.75" thickBot="1" x14ac:dyDescent="0.3">
      <c r="A5" s="363"/>
      <c r="B5" s="363"/>
      <c r="C5" s="91" t="s">
        <v>2367</v>
      </c>
      <c r="D5" s="389" t="s">
        <v>2376</v>
      </c>
      <c r="E5" s="390"/>
      <c r="F5" s="391" t="s">
        <v>2333</v>
      </c>
      <c r="G5" s="392"/>
      <c r="H5" s="389" t="s">
        <v>2375</v>
      </c>
      <c r="I5" s="390"/>
      <c r="J5" s="390"/>
      <c r="K5" s="393"/>
      <c r="L5" s="391" t="s">
        <v>2374</v>
      </c>
      <c r="M5" s="392"/>
      <c r="N5" s="392"/>
      <c r="O5" s="394"/>
      <c r="P5" s="392" t="s">
        <v>2373</v>
      </c>
      <c r="Q5" s="392"/>
      <c r="R5" s="392"/>
      <c r="S5" s="394"/>
      <c r="T5" s="391" t="s">
        <v>2372</v>
      </c>
      <c r="U5" s="392"/>
      <c r="V5" s="392"/>
      <c r="W5" s="394"/>
      <c r="X5" s="391" t="s">
        <v>2371</v>
      </c>
      <c r="Y5" s="392"/>
      <c r="Z5" s="392"/>
      <c r="AA5" s="394"/>
      <c r="AB5" s="395" t="s">
        <v>2370</v>
      </c>
      <c r="AC5" s="396"/>
      <c r="AD5" s="391" t="s">
        <v>2338</v>
      </c>
      <c r="AE5" s="392"/>
      <c r="AF5" s="392"/>
      <c r="AG5" s="394"/>
      <c r="AH5" s="397" t="s">
        <v>2369</v>
      </c>
      <c r="AI5" s="398"/>
      <c r="AJ5" s="398"/>
      <c r="AK5" s="399"/>
      <c r="AU5" s="400" t="s">
        <v>600</v>
      </c>
      <c r="AV5" s="401"/>
      <c r="AW5" s="401"/>
      <c r="AX5" s="401"/>
      <c r="AY5" s="401"/>
      <c r="AZ5" s="401"/>
      <c r="BA5" s="401"/>
      <c r="BB5" s="402"/>
    </row>
    <row r="6" spans="1:55" s="9" customFormat="1" ht="57.75" customHeight="1" thickBot="1" x14ac:dyDescent="0.3">
      <c r="A6" s="131" t="s">
        <v>8</v>
      </c>
      <c r="B6" s="132" t="s">
        <v>2342</v>
      </c>
      <c r="C6" s="122" t="s">
        <v>2343</v>
      </c>
      <c r="D6" s="110" t="s">
        <v>601</v>
      </c>
      <c r="E6" s="130" t="s">
        <v>2336</v>
      </c>
      <c r="F6" s="111" t="s">
        <v>602</v>
      </c>
      <c r="G6" s="123" t="s">
        <v>2337</v>
      </c>
      <c r="H6" s="112" t="s">
        <v>603</v>
      </c>
      <c r="I6" s="124" t="s">
        <v>2312</v>
      </c>
      <c r="J6" s="113" t="s">
        <v>604</v>
      </c>
      <c r="K6" s="125" t="s">
        <v>2311</v>
      </c>
      <c r="L6" s="114" t="s">
        <v>605</v>
      </c>
      <c r="M6" s="126" t="s">
        <v>2313</v>
      </c>
      <c r="N6" s="113" t="s">
        <v>606</v>
      </c>
      <c r="O6" s="127" t="s">
        <v>2314</v>
      </c>
      <c r="P6" s="112" t="s">
        <v>607</v>
      </c>
      <c r="Q6" s="126" t="s">
        <v>2315</v>
      </c>
      <c r="R6" s="113" t="s">
        <v>608</v>
      </c>
      <c r="S6" s="128" t="s">
        <v>2316</v>
      </c>
      <c r="T6" s="112" t="s">
        <v>609</v>
      </c>
      <c r="U6" s="126" t="s">
        <v>2317</v>
      </c>
      <c r="V6" s="116" t="s">
        <v>610</v>
      </c>
      <c r="W6" s="128" t="s">
        <v>2318</v>
      </c>
      <c r="X6" s="114" t="s">
        <v>611</v>
      </c>
      <c r="Y6" s="126" t="s">
        <v>2319</v>
      </c>
      <c r="Z6" s="113" t="s">
        <v>612</v>
      </c>
      <c r="AA6" s="128" t="s">
        <v>2320</v>
      </c>
      <c r="AB6" s="112" t="s">
        <v>613</v>
      </c>
      <c r="AC6" s="128" t="s">
        <v>2321</v>
      </c>
      <c r="AD6" s="117" t="s">
        <v>614</v>
      </c>
      <c r="AE6" s="129" t="s">
        <v>2322</v>
      </c>
      <c r="AF6" s="117" t="s">
        <v>615</v>
      </c>
      <c r="AG6" s="128" t="s">
        <v>2323</v>
      </c>
      <c r="AH6" s="117" t="s">
        <v>616</v>
      </c>
      <c r="AI6" s="129" t="s">
        <v>2324</v>
      </c>
      <c r="AJ6" s="117" t="s">
        <v>617</v>
      </c>
      <c r="AK6" s="127" t="s">
        <v>2325</v>
      </c>
      <c r="AL6" s="118" t="s">
        <v>618</v>
      </c>
      <c r="AM6" s="118" t="s">
        <v>619</v>
      </c>
      <c r="AN6" s="115" t="s">
        <v>620</v>
      </c>
      <c r="AO6" s="115" t="s">
        <v>621</v>
      </c>
      <c r="AP6" s="27" t="s">
        <v>2339</v>
      </c>
      <c r="AQ6" s="27" t="s">
        <v>2340</v>
      </c>
      <c r="AR6" s="27"/>
      <c r="AT6" s="11" t="s">
        <v>598</v>
      </c>
      <c r="AU6" s="12" t="s">
        <v>1</v>
      </c>
      <c r="AV6" s="12" t="s">
        <v>2</v>
      </c>
      <c r="AW6" s="12" t="s">
        <v>3</v>
      </c>
      <c r="AX6" s="12" t="s">
        <v>599</v>
      </c>
      <c r="AY6" s="12" t="s">
        <v>4</v>
      </c>
      <c r="AZ6" s="12" t="s">
        <v>5</v>
      </c>
      <c r="BA6" s="12" t="s">
        <v>6</v>
      </c>
      <c r="BB6" s="12" t="s">
        <v>7</v>
      </c>
      <c r="BC6" s="13" t="s">
        <v>597</v>
      </c>
    </row>
    <row r="7" spans="1:55" ht="12" customHeight="1" thickBot="1" x14ac:dyDescent="0.3">
      <c r="A7" s="66" t="s">
        <v>793</v>
      </c>
      <c r="B7" s="66" t="str">
        <f>_xlfn.XLOOKUP(FME_Ranking2[[#This Row],[FME ID]],FME_Input[FME_ID],FME_Input[FME_NAME])</f>
        <v>Durant Street Storm Sewer and Pavement Improvements - Phase 1</v>
      </c>
      <c r="C7" s="66" t="str">
        <f>_xlfn.XLOOKUP(FME_Ranking2[[#This Row],[FME ID]],FME_Input[FME_ID],FME_Input[DESCR])</f>
        <v xml:space="preserve">Further study of Durant Street Phase 1 to reduce flood risk with upgrades to storm sewer system, concrete curb, gutter, pavement, and sidewalk. _x000D_
</v>
      </c>
      <c r="D7" s="94" t="str">
        <f>_xlfn.XLOOKUP(FME_Ranking2[[#This Row],[FME ID]],FME_Input[FME_ID],FME_Input[EMER_NEED])</f>
        <v>No</v>
      </c>
      <c r="E7" s="119">
        <f>IF(FME_Ranking_Option2!$D7="Yes",100,0)</f>
        <v>0</v>
      </c>
      <c r="F7" s="31" t="str">
        <f>_xlfn.XLOOKUP(FME_Ranking2[[#This Row],[FME ID]],FME_Input[FME_ID],FME_Input[FUND])</f>
        <v>Yes</v>
      </c>
      <c r="G7" s="95">
        <f>IF(FME_Ranking_Option2!$F7="Yes",1,0)</f>
        <v>1</v>
      </c>
      <c r="H7" s="96">
        <f>_xlfn.XLOOKUP(FME_Ranking2[[#This Row],[FME ID]],FME_Input[FME_ID],FME_Input[STRUCT_100])</f>
        <v>0</v>
      </c>
      <c r="I7" s="97" t="e">
        <f>FME_Ranking2[[#This Row],[Raw Data3]]*H$4</f>
        <v>#REF!</v>
      </c>
      <c r="J7" s="98">
        <f>((FME_Ranking_Option2!$H7)/($H$3))*100</f>
        <v>0</v>
      </c>
      <c r="K7" s="99" t="e">
        <f>FME_Ranking2[[#This Row],[Norm Data3]]*H$4</f>
        <v>#REF!</v>
      </c>
      <c r="L7" s="96">
        <f>_xlfn.XLOOKUP(FME_Ranking2[[#This Row],[FME ID]],FME_Input[FME_ID],FME_Input[RES_STRUCT100])</f>
        <v>0</v>
      </c>
      <c r="M7" s="100" t="e">
        <f>FME_Ranking2[[#This Row],[Raw Data4]]*L$4</f>
        <v>#REF!</v>
      </c>
      <c r="N7" s="101">
        <f>((FME_Ranking_Option2!$L7)/($L$3))*100</f>
        <v>0</v>
      </c>
      <c r="O7" s="102" t="e">
        <f>FME_Ranking2[[#This Row],[Norm Data4]]*L$4</f>
        <v>#REF!</v>
      </c>
      <c r="P7" s="31">
        <f>_xlfn.XLOOKUP(FME_Ranking2[[#This Row],[FME ID]],FME_Input[FME_ID],FME_Input[POP100])</f>
        <v>0</v>
      </c>
      <c r="Q7" s="95" t="e">
        <f>FME_Ranking_Option2!$P7*P$4</f>
        <v>#REF!</v>
      </c>
      <c r="R7" s="95">
        <f>FME_Ranking_Option2!$P7/($P$3)*100</f>
        <v>0</v>
      </c>
      <c r="S7" s="95" t="e">
        <f>FME_Ranking_Option2!$R7*P$4</f>
        <v>#REF!</v>
      </c>
      <c r="T7" s="96">
        <f>_xlfn.XLOOKUP(FME_Ranking2[[#This Row],[FME ID]],FME_Input[FME_ID],FME_Input[CRITFAC100])</f>
        <v>0</v>
      </c>
      <c r="U7" s="95" t="e">
        <f>FME_Ranking_Option2!$T7*T$4</f>
        <v>#REF!</v>
      </c>
      <c r="V7" s="95">
        <f>FME_Ranking_Option2!$T7/($T$3)</f>
        <v>0</v>
      </c>
      <c r="W7" s="95" t="e">
        <f>FME_Ranking_Option2!$V7*T$4</f>
        <v>#REF!</v>
      </c>
      <c r="X7" s="96">
        <f>_xlfn.XLOOKUP(FME_Ranking2[[#This Row],[FME ID]],FME_Input[FME_ID],FME_Input[LWC])</f>
        <v>0</v>
      </c>
      <c r="Y7" s="95" t="e">
        <f>FME_Ranking_Option2!$X7*X$4</f>
        <v>#REF!</v>
      </c>
      <c r="Z7" s="95">
        <f>FME_Ranking_Option2!$X7/($X$3)</f>
        <v>0</v>
      </c>
      <c r="AA7" s="95" t="e">
        <f>FME_Ranking_Option2!$Z7*X$4</f>
        <v>#REF!</v>
      </c>
      <c r="AB7" s="96">
        <f>_xlfn.XLOOKUP(FME_Ranking2[[#This Row],[FME ID]],FME_Input[FME_ID],FME_Input[ROADCLS])</f>
        <v>0</v>
      </c>
      <c r="AC7" s="95" t="e">
        <f>FME_Ranking_Option2!$AB7*AB$4</f>
        <v>#REF!</v>
      </c>
      <c r="AD7" s="103">
        <f>_xlfn.XLOOKUP(FME_Ranking2[[#This Row],[FME ID]],FME_Input[FME_ID],FME_Input[ROAD_MILES100])</f>
        <v>0</v>
      </c>
      <c r="AE7" s="104" t="e">
        <f>FME_Ranking_Option2!$AD7*AD$4</f>
        <v>#REF!</v>
      </c>
      <c r="AF7" s="105">
        <f>FME_Ranking_Option2!$AD7/($AD$3)</f>
        <v>0</v>
      </c>
      <c r="AG7" s="105" t="e">
        <f>FME_Ranking_Option2!$AF7*AD$4</f>
        <v>#REF!</v>
      </c>
      <c r="AH7" s="103">
        <f>_xlfn.XLOOKUP(FME_Ranking2[[#This Row],[FME ID]],FME_Input[FME_ID],FME_Input[FARMACRE100])</f>
        <v>0</v>
      </c>
      <c r="AI7" s="104" t="e">
        <f>FME_Ranking_Option2!$AH7*AH$4</f>
        <v>#REF!</v>
      </c>
      <c r="AJ7" s="106">
        <f>FME_Ranking_Option2!$AH7/($AH$3)</f>
        <v>0</v>
      </c>
      <c r="AK7" s="107" t="e">
        <f>FME_Ranking_Option2!$AJ7*AH$4</f>
        <v>#REF!</v>
      </c>
      <c r="AL7" s="108"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7" s="109" t="e">
        <f>_xlfn.RANK.EQ(AL7,$AL$7:$AL$531)+COUNTIF(AL$7:AL7,AL7)-1</f>
        <v>#REF!</v>
      </c>
      <c r="AN7" s="107"/>
      <c r="AO7" s="109" t="e">
        <f>_xlfn.RANK.EQ(AN7,$AN$7:$AN$531)+COUNTIF(AN$7:AN7,AN7)-1</f>
        <v>#N/A</v>
      </c>
      <c r="AP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7" s="32" t="e">
        <f>FME_Ranking2[[#This Row],[Score Based on Reported Factors]]-FME_Ranking2[[#This Row],[Check]]</f>
        <v>#REF!</v>
      </c>
      <c r="AR7" s="32"/>
      <c r="AT7" s="20">
        <v>264431</v>
      </c>
      <c r="AU7" s="21">
        <v>56892.5</v>
      </c>
      <c r="AV7" s="21">
        <v>899869</v>
      </c>
      <c r="AW7" s="21">
        <v>668883</v>
      </c>
      <c r="AX7" s="21">
        <v>2724638</v>
      </c>
      <c r="AY7" s="21">
        <v>54820</v>
      </c>
      <c r="AZ7" s="21">
        <v>44272.7</v>
      </c>
      <c r="BA7" s="21">
        <v>17221.8</v>
      </c>
      <c r="BB7" s="21">
        <v>7091</v>
      </c>
      <c r="BC7" s="22">
        <v>10962</v>
      </c>
    </row>
    <row r="8" spans="1:55" ht="12" customHeight="1" x14ac:dyDescent="0.25">
      <c r="A8" s="17" t="s">
        <v>919</v>
      </c>
      <c r="B8" s="17" t="str">
        <f>_xlfn.XLOOKUP(FME_Ranking2[[#This Row],[FME ID]],FME_Input[FME_ID],FME_Input[FME_NAME])</f>
        <v>Durant Street Storm Sewer and Pavement Improvements - Phase 2</v>
      </c>
      <c r="C8" s="17" t="str">
        <f>_xlfn.XLOOKUP(FME_Ranking2[[#This Row],[FME ID]],FME_Input[FME_ID],FME_Input[DESCR])</f>
        <v>Further study of Durant Street Phase 2 to reduce flood risk with upgrades to storm sewer system, concrete curb, gutter, pavement, and sidewalk.</v>
      </c>
      <c r="D8" s="33" t="str">
        <f>_xlfn.XLOOKUP(FME_Ranking2[[#This Row],[FME ID]],FME_Input[FME_ID],FME_Input[EMER_NEED])</f>
        <v>No</v>
      </c>
      <c r="E8" s="120">
        <f>IF(FME_Ranking_Option2!$D8="Yes",100,0)</f>
        <v>0</v>
      </c>
      <c r="F8" s="34" t="str">
        <f>_xlfn.XLOOKUP(FME_Ranking2[[#This Row],[FME ID]],FME_Input[FME_ID],FME_Input[FUND])</f>
        <v>Yes</v>
      </c>
      <c r="G8" s="35">
        <f>IF(FME_Ranking_Option2!$F8="Yes",1,0)</f>
        <v>1</v>
      </c>
      <c r="H8" s="33">
        <f>_xlfn.XLOOKUP(FME_Ranking2[[#This Row],[FME ID]],FME_Input[FME_ID],FME_Input[STRUCT_100])</f>
        <v>0</v>
      </c>
      <c r="I8" s="64" t="e">
        <f>FME_Ranking2[[#This Row],[Raw Data3]]*H$4</f>
        <v>#REF!</v>
      </c>
      <c r="J8" s="63">
        <f>((FME_Ranking_Option2!$H8)/($H$3))*100</f>
        <v>0</v>
      </c>
      <c r="K8" s="36" t="e">
        <f>FME_Ranking2[[#This Row],[Norm Data3]]*H$4</f>
        <v>#REF!</v>
      </c>
      <c r="L8" s="37">
        <f>_xlfn.XLOOKUP(FME_Ranking2[[#This Row],[FME ID]],FME_Input[FME_ID],FME_Input[RES_STRUCT100])</f>
        <v>0</v>
      </c>
      <c r="M8" s="38" t="e">
        <f>FME_Ranking2[[#This Row],[Raw Data4]]*L$4</f>
        <v>#REF!</v>
      </c>
      <c r="N8" s="28">
        <f>((FME_Ranking_Option2!$L8)/($L$3))*100</f>
        <v>0</v>
      </c>
      <c r="O8" s="39" t="e">
        <f>FME_Ranking2[[#This Row],[Norm Data4]]*L$4</f>
        <v>#REF!</v>
      </c>
      <c r="P8" s="34">
        <f>_xlfn.XLOOKUP(FME_Ranking2[[#This Row],[FME ID]],FME_Input[FME_ID],FME_Input[POP100])</f>
        <v>0</v>
      </c>
      <c r="Q8" s="35" t="e">
        <f>FME_Ranking_Option2!$P8*P$4</f>
        <v>#REF!</v>
      </c>
      <c r="R8" s="35">
        <f>FME_Ranking_Option2!$P8/($P$3)*100</f>
        <v>0</v>
      </c>
      <c r="S8" s="35" t="e">
        <f>FME_Ranking_Option2!$R8*P$4</f>
        <v>#REF!</v>
      </c>
      <c r="T8" s="37">
        <f>_xlfn.XLOOKUP(FME_Ranking2[[#This Row],[FME ID]],FME_Input[FME_ID],FME_Input[CRITFAC100])</f>
        <v>0</v>
      </c>
      <c r="U8" s="35" t="e">
        <f>FME_Ranking_Option2!$T8*T$4</f>
        <v>#REF!</v>
      </c>
      <c r="V8" s="35">
        <f>FME_Ranking_Option2!$T8/($T$3)</f>
        <v>0</v>
      </c>
      <c r="W8" s="35" t="e">
        <f>FME_Ranking_Option2!$V8*T$4</f>
        <v>#REF!</v>
      </c>
      <c r="X8" s="37">
        <f>_xlfn.XLOOKUP(FME_Ranking2[[#This Row],[FME ID]],FME_Input[FME_ID],FME_Input[LWC])</f>
        <v>0</v>
      </c>
      <c r="Y8" s="35" t="e">
        <f>FME_Ranking_Option2!$X8*X$4</f>
        <v>#REF!</v>
      </c>
      <c r="Z8" s="35">
        <f>FME_Ranking_Option2!$X8/($X$3)</f>
        <v>0</v>
      </c>
      <c r="AA8" s="35" t="e">
        <f>FME_Ranking_Option2!$Z8*X$4</f>
        <v>#REF!</v>
      </c>
      <c r="AB8" s="37">
        <f>_xlfn.XLOOKUP(FME_Ranking2[[#This Row],[FME ID]],FME_Input[FME_ID],FME_Input[ROADCLS])</f>
        <v>0</v>
      </c>
      <c r="AC8" s="35" t="e">
        <f>FME_Ranking_Option2!$AB8*AB$4</f>
        <v>#REF!</v>
      </c>
      <c r="AD8" s="40">
        <f>_xlfn.XLOOKUP(FME_Ranking2[[#This Row],[FME ID]],FME_Input[FME_ID],FME_Input[ROAD_MILES100])</f>
        <v>0</v>
      </c>
      <c r="AE8" s="41" t="e">
        <f>FME_Ranking_Option2!$AD8*AD$4</f>
        <v>#REF!</v>
      </c>
      <c r="AF8" s="42">
        <f>FME_Ranking_Option2!$AD8/($AD$3)</f>
        <v>0</v>
      </c>
      <c r="AG8" s="42" t="e">
        <f>FME_Ranking_Option2!$AF8*AD$4</f>
        <v>#REF!</v>
      </c>
      <c r="AH8" s="40">
        <f>_xlfn.XLOOKUP(FME_Ranking2[[#This Row],[FME ID]],FME_Input[FME_ID],FME_Input[FARMACRE100])</f>
        <v>0</v>
      </c>
      <c r="AI8" s="43" t="e">
        <f>FME_Ranking_Option2!$AH8*AH$4</f>
        <v>#REF!</v>
      </c>
      <c r="AJ8" s="41">
        <f>FME_Ranking_Option2!$AH8/($AH$3)</f>
        <v>0</v>
      </c>
      <c r="AK8" s="44" t="e">
        <f>FME_Ranking_Option2!$AJ8*AH$4</f>
        <v>#REF!</v>
      </c>
      <c r="AL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8" s="45" t="e">
        <f>_xlfn.RANK.EQ(AL8,$AL$7:$AL$531)+COUNTIF(AL$7:AL8,AL8)-1</f>
        <v>#REF!</v>
      </c>
      <c r="AN8" s="44"/>
      <c r="AO8" s="45" t="e">
        <f>_xlfn.RANK.EQ(AN8,$AN$7:$AN$531)+COUNTIF(AN$7:AN8,AN8)-1</f>
        <v>#N/A</v>
      </c>
      <c r="AP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8" s="32" t="e">
        <f>FME_Ranking2[[#This Row],[Score Based on Reported Factors]]-FME_Ranking2[[#This Row],[Check]]</f>
        <v>#REF!</v>
      </c>
      <c r="AR8" s="32"/>
    </row>
    <row r="9" spans="1:55" ht="12" customHeight="1" x14ac:dyDescent="0.25">
      <c r="A9" s="16" t="s">
        <v>882</v>
      </c>
      <c r="B9" s="16" t="str">
        <f>_xlfn.XLOOKUP(FME_Ranking2[[#This Row],[FME ID]],FME_Input[FME_ID],FME_Input[FME_NAME])</f>
        <v>City of Arcola Regional Drainage Improvements</v>
      </c>
      <c r="C9" s="16" t="str">
        <f>_xlfn.XLOOKUP(FME_Ranking2[[#This Row],[FME ID]],FME_Input[FME_ID],FME_Input[DESCR])</f>
        <v>Further study of proposed flood risk reduction project that includes various drainage improvement alternatives.</v>
      </c>
      <c r="D9" s="46" t="str">
        <f>_xlfn.XLOOKUP(FME_Ranking2[[#This Row],[FME ID]],FME_Input[FME_ID],FME_Input[EMER_NEED])</f>
        <v>No</v>
      </c>
      <c r="E9" s="121">
        <f>IF(FME_Ranking_Option2!$D9="Yes",100,0)</f>
        <v>0</v>
      </c>
      <c r="F9" s="47" t="str">
        <f>_xlfn.XLOOKUP(FME_Ranking2[[#This Row],[FME ID]],FME_Input[FME_ID],FME_Input[FUND])</f>
        <v>Yes</v>
      </c>
      <c r="G9" s="48">
        <f>IF(FME_Ranking_Option2!$F9="Yes",1,0)</f>
        <v>1</v>
      </c>
      <c r="H9" s="46">
        <f>_xlfn.XLOOKUP(FME_Ranking2[[#This Row],[FME ID]],FME_Input[FME_ID],FME_Input[STRUCT_100])</f>
        <v>41</v>
      </c>
      <c r="I9" s="65" t="e">
        <f>FME_Ranking2[[#This Row],[Raw Data3]]*H$4</f>
        <v>#REF!</v>
      </c>
      <c r="J9" s="62">
        <f>((FME_Ranking_Option2!$H9)/($H$3))*100</f>
        <v>4.5562187385052716E-3</v>
      </c>
      <c r="K9" s="49" t="e">
        <f>FME_Ranking2[[#This Row],[Norm Data3]]*H$4</f>
        <v>#REF!</v>
      </c>
      <c r="L9" s="50">
        <f>_xlfn.XLOOKUP(FME_Ranking2[[#This Row],[FME ID]],FME_Input[FME_ID],FME_Input[RES_STRUCT100])</f>
        <v>37</v>
      </c>
      <c r="M9" s="51" t="e">
        <f>FME_Ranking2[[#This Row],[Raw Data4]]*L$4</f>
        <v>#REF!</v>
      </c>
      <c r="N9" s="29">
        <f>((FME_Ranking_Option2!$L9)/($L$3))*100</f>
        <v>5.5316101620163762E-3</v>
      </c>
      <c r="O9" s="52" t="e">
        <f>FME_Ranking2[[#This Row],[Norm Data4]]*L$4</f>
        <v>#REF!</v>
      </c>
      <c r="P9" s="47">
        <f>_xlfn.XLOOKUP(FME_Ranking2[[#This Row],[FME ID]],FME_Input[FME_ID],FME_Input[POP100])</f>
        <v>39</v>
      </c>
      <c r="Q9" s="48" t="e">
        <f>FME_Ranking_Option2!$P9*P$4</f>
        <v>#REF!</v>
      </c>
      <c r="R9" s="48">
        <f>FME_Ranking_Option2!$P9/($P$3)</f>
        <v>1.4313828112211604E-5</v>
      </c>
      <c r="S9" s="48" t="e">
        <f>FME_Ranking_Option2!$R9*P$4</f>
        <v>#REF!</v>
      </c>
      <c r="T9" s="50">
        <f>_xlfn.XLOOKUP(FME_Ranking2[[#This Row],[FME ID]],FME_Input[FME_ID],FME_Input[CRITFAC100])</f>
        <v>0</v>
      </c>
      <c r="U9" s="48" t="e">
        <f>FME_Ranking_Option2!$T9*T$4</f>
        <v>#REF!</v>
      </c>
      <c r="V9" s="48">
        <f>FME_Ranking_Option2!$T9/($T$3)</f>
        <v>0</v>
      </c>
      <c r="W9" s="48" t="e">
        <f>FME_Ranking_Option2!$V9*T$4</f>
        <v>#REF!</v>
      </c>
      <c r="X9" s="50">
        <f>_xlfn.XLOOKUP(FME_Ranking2[[#This Row],[FME ID]],FME_Input[FME_ID],FME_Input[LWC])</f>
        <v>0</v>
      </c>
      <c r="Y9" s="48" t="e">
        <f>FME_Ranking_Option2!$X9*X$4</f>
        <v>#REF!</v>
      </c>
      <c r="Z9" s="48">
        <f>FME_Ranking_Option2!$X9/($X$3)</f>
        <v>0</v>
      </c>
      <c r="AA9" s="48" t="e">
        <f>FME_Ranking_Option2!$Z9*X$4</f>
        <v>#REF!</v>
      </c>
      <c r="AB9" s="50">
        <f>_xlfn.XLOOKUP(FME_Ranking2[[#This Row],[FME ID]],FME_Input[FME_ID],FME_Input[ROADCLS])</f>
        <v>0</v>
      </c>
      <c r="AC9" s="48" t="e">
        <f>FME_Ranking_Option2!$AB9*AB$4</f>
        <v>#REF!</v>
      </c>
      <c r="AD9" s="53">
        <f>_xlfn.XLOOKUP(FME_Ranking2[[#This Row],[FME ID]],FME_Input[FME_ID],FME_Input[ROAD_MILES100])</f>
        <v>0.21681888401508331</v>
      </c>
      <c r="AE9" s="54" t="e">
        <f>FME_Ranking_Option2!$AD9*AD$4</f>
        <v>#REF!</v>
      </c>
      <c r="AF9" s="55">
        <f>FME_Ranking_Option2!$AD9/($AD$3)</f>
        <v>4.8973494730405719E-6</v>
      </c>
      <c r="AG9" s="55" t="e">
        <f>FME_Ranking_Option2!$AF9*AD$4</f>
        <v>#REF!</v>
      </c>
      <c r="AH9" s="53">
        <f>_xlfn.XLOOKUP(FME_Ranking2[[#This Row],[FME ID]],FME_Input[FME_ID],FME_Input[FARMACRE100])</f>
        <v>1.2274031639099121</v>
      </c>
      <c r="AI9" s="54" t="e">
        <f>FME_Ranking_Option2!$AH9*AH$4</f>
        <v>#REF!</v>
      </c>
      <c r="AJ9" s="56">
        <f>FME_Ranking_Option2!$AH9/($AH$3)</f>
        <v>7.1270318079986545E-5</v>
      </c>
      <c r="AK9" s="57" t="e">
        <f>FME_Ranking_Option2!$AJ9*AH$4</f>
        <v>#REF!</v>
      </c>
      <c r="AL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9" s="58" t="e">
        <f>_xlfn.RANK.EQ(AL9,$AL$7:$AL$531)+COUNTIF(AL$7:AL9,AL9)-1</f>
        <v>#REF!</v>
      </c>
      <c r="AN9" s="57"/>
      <c r="AO9" s="58" t="e">
        <f>_xlfn.RANK.EQ(AN9,$AN$7:$AN$531)+COUNTIF(AN$7:AN9,AN9)-1</f>
        <v>#N/A</v>
      </c>
      <c r="AP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9" s="32" t="e">
        <f>FME_Ranking2[[#This Row],[Score Based on Reported Factors]]-FME_Ranking2[[#This Row],[Check]]</f>
        <v>#REF!</v>
      </c>
      <c r="AR9" s="32"/>
      <c r="AT9" s="19"/>
      <c r="AU9" s="19"/>
      <c r="AV9" s="19"/>
      <c r="AW9" s="19"/>
      <c r="AX9" s="19"/>
      <c r="AY9" s="19"/>
      <c r="AZ9" s="19"/>
      <c r="BA9" s="19"/>
      <c r="BB9" s="19"/>
      <c r="BC9" s="19"/>
    </row>
    <row r="10" spans="1:55" ht="12" customHeight="1" x14ac:dyDescent="0.25">
      <c r="A10" s="17" t="s">
        <v>922</v>
      </c>
      <c r="B10" s="17" t="str">
        <f>_xlfn.XLOOKUP(FME_Ranking2[[#This Row],[FME ID]],FME_Input[FME_ID],FME_Input[FME_NAME])</f>
        <v>Missouri City Estates Drainage Improvements</v>
      </c>
      <c r="C10" s="17" t="str">
        <f>_xlfn.XLOOKUP(FME_Ranking2[[#This Row],[FME ID]],FME_Input[FME_ID],FME_Input[DESCR])</f>
        <v>Further study of proposed flood risk reduction project that includes drainage improvements to Missouri City Estates.</v>
      </c>
      <c r="D10" s="33" t="str">
        <f>_xlfn.XLOOKUP(FME_Ranking2[[#This Row],[FME ID]],FME_Input[FME_ID],FME_Input[EMER_NEED])</f>
        <v>No</v>
      </c>
      <c r="E10" s="120">
        <f>IF(FME_Ranking_Option2!$D10="Yes",100,0)</f>
        <v>0</v>
      </c>
      <c r="F10" s="34" t="str">
        <f>_xlfn.XLOOKUP(FME_Ranking2[[#This Row],[FME ID]],FME_Input[FME_ID],FME_Input[FUND])</f>
        <v>Yes</v>
      </c>
      <c r="G10" s="35">
        <f>IF(FME_Ranking_Option2!$F10="Yes",1,0)</f>
        <v>1</v>
      </c>
      <c r="H10" s="33">
        <f>_xlfn.XLOOKUP(FME_Ranking2[[#This Row],[FME ID]],FME_Input[FME_ID],FME_Input[STRUCT_100])</f>
        <v>0</v>
      </c>
      <c r="I10" s="64" t="e">
        <f>FME_Ranking2[[#This Row],[Raw Data3]]*H$4</f>
        <v>#REF!</v>
      </c>
      <c r="J10" s="63">
        <f>((FME_Ranking_Option2!$H10)/($H$3))*100</f>
        <v>0</v>
      </c>
      <c r="K10" s="36" t="e">
        <f>FME_Ranking2[[#This Row],[Norm Data3]]*H$4</f>
        <v>#REF!</v>
      </c>
      <c r="L10" s="37">
        <f>_xlfn.XLOOKUP(FME_Ranking2[[#This Row],[FME ID]],FME_Input[FME_ID],FME_Input[RES_STRUCT100])</f>
        <v>0</v>
      </c>
      <c r="M10" s="38" t="e">
        <f>FME_Ranking2[[#This Row],[Raw Data4]]*L$4</f>
        <v>#REF!</v>
      </c>
      <c r="N10" s="28">
        <f>((FME_Ranking_Option2!$L10)/($L$3))*100</f>
        <v>0</v>
      </c>
      <c r="O10" s="39" t="e">
        <f>FME_Ranking2[[#This Row],[Norm Data4]]*L$4</f>
        <v>#REF!</v>
      </c>
      <c r="P10" s="34">
        <f>_xlfn.XLOOKUP(FME_Ranking2[[#This Row],[FME ID]],FME_Input[FME_ID],FME_Input[POP100])</f>
        <v>0</v>
      </c>
      <c r="Q10" s="35" t="e">
        <f>FME_Ranking_Option2!$P10*P$4</f>
        <v>#REF!</v>
      </c>
      <c r="R10" s="35">
        <f>FME_Ranking_Option2!$P10/($P$3)</f>
        <v>0</v>
      </c>
      <c r="S10" s="35" t="e">
        <f>FME_Ranking_Option2!$R10*P$4</f>
        <v>#REF!</v>
      </c>
      <c r="T10" s="37">
        <f>_xlfn.XLOOKUP(FME_Ranking2[[#This Row],[FME ID]],FME_Input[FME_ID],FME_Input[CRITFAC100])</f>
        <v>0</v>
      </c>
      <c r="U10" s="35" t="e">
        <f>FME_Ranking_Option2!$T10*T$4</f>
        <v>#REF!</v>
      </c>
      <c r="V10" s="35">
        <f>FME_Ranking_Option2!$T10/($T$3)</f>
        <v>0</v>
      </c>
      <c r="W10" s="35" t="e">
        <f>FME_Ranking_Option2!$V10*T$4</f>
        <v>#REF!</v>
      </c>
      <c r="X10" s="37">
        <f>_xlfn.XLOOKUP(FME_Ranking2[[#This Row],[FME ID]],FME_Input[FME_ID],FME_Input[LWC])</f>
        <v>0</v>
      </c>
      <c r="Y10" s="35" t="e">
        <f>FME_Ranking_Option2!$X10*X$4</f>
        <v>#REF!</v>
      </c>
      <c r="Z10" s="35">
        <f>FME_Ranking_Option2!$X10/($X$3)</f>
        <v>0</v>
      </c>
      <c r="AA10" s="35" t="e">
        <f>FME_Ranking_Option2!$Z10*X$4</f>
        <v>#REF!</v>
      </c>
      <c r="AB10" s="37">
        <f>_xlfn.XLOOKUP(FME_Ranking2[[#This Row],[FME ID]],FME_Input[FME_ID],FME_Input[ROADCLS])</f>
        <v>0</v>
      </c>
      <c r="AC10" s="35" t="e">
        <f>FME_Ranking_Option2!$AB10*AB$4</f>
        <v>#REF!</v>
      </c>
      <c r="AD10" s="40">
        <f>_xlfn.XLOOKUP(FME_Ranking2[[#This Row],[FME ID]],FME_Input[FME_ID],FME_Input[ROAD_MILES100])</f>
        <v>0</v>
      </c>
      <c r="AE10" s="41" t="e">
        <f>FME_Ranking_Option2!$AD10*AD$4</f>
        <v>#REF!</v>
      </c>
      <c r="AF10" s="42">
        <f>FME_Ranking_Option2!$AD10/($AD$3)</f>
        <v>0</v>
      </c>
      <c r="AG10" s="42" t="e">
        <f>FME_Ranking_Option2!$AF10*AD$4</f>
        <v>#REF!</v>
      </c>
      <c r="AH10" s="40">
        <f>_xlfn.XLOOKUP(FME_Ranking2[[#This Row],[FME ID]],FME_Input[FME_ID],FME_Input[FARMACRE100])</f>
        <v>0</v>
      </c>
      <c r="AI10" s="43" t="e">
        <f>FME_Ranking_Option2!$AH10*AH$4</f>
        <v>#REF!</v>
      </c>
      <c r="AJ10" s="41">
        <f>FME_Ranking_Option2!$AH10/($AH$3)</f>
        <v>0</v>
      </c>
      <c r="AK10" s="44" t="e">
        <f>FME_Ranking_Option2!$AJ10*AH$4</f>
        <v>#REF!</v>
      </c>
      <c r="AL1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0" s="45" t="e">
        <f>_xlfn.RANK.EQ(AL10,$AL$7:$AL$531)+COUNTIF(AL$7:AL10,AL10)-1</f>
        <v>#REF!</v>
      </c>
      <c r="AN10" s="44"/>
      <c r="AO10" s="45" t="e">
        <f>_xlfn.RANK.EQ(AN10,$AN$7:$AN$531)+COUNTIF(AN$7:AN10,AN10)-1</f>
        <v>#N/A</v>
      </c>
      <c r="AP1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0" s="32" t="e">
        <f>FME_Ranking2[[#This Row],[Score Based on Reported Factors]]-FME_Ranking2[[#This Row],[Check]]</f>
        <v>#REF!</v>
      </c>
      <c r="AR10" s="32"/>
    </row>
    <row r="11" spans="1:55" ht="12" customHeight="1" x14ac:dyDescent="0.25">
      <c r="A11" s="16" t="s">
        <v>888</v>
      </c>
      <c r="B11" s="16" t="str">
        <f>_xlfn.XLOOKUP(FME_Ranking2[[#This Row],[FME ID]],FME_Input[FME_ID],FME_Input[FME_NAME])</f>
        <v>City of Galveston Master Drainage Study</v>
      </c>
      <c r="C11" s="16" t="str">
        <f>_xlfn.XLOOKUP(FME_Ranking2[[#This Row],[FME ID]],FME_Input[FME_ID],FME_Input[DESCR])</f>
        <v>City wide drainage and flood risk reduction planning study of Galveston to include Atlas 14 rainfall.</v>
      </c>
      <c r="D11" s="46" t="str">
        <f>_xlfn.XLOOKUP(FME_Ranking2[[#This Row],[FME ID]],FME_Input[FME_ID],FME_Input[EMER_NEED])</f>
        <v>No</v>
      </c>
      <c r="E11" s="121">
        <f>IF(FME_Ranking_Option2!$D11="Yes",100,0)</f>
        <v>0</v>
      </c>
      <c r="F11" s="47" t="str">
        <f>_xlfn.XLOOKUP(FME_Ranking2[[#This Row],[FME ID]],FME_Input[FME_ID],FME_Input[FUND])</f>
        <v>Yes</v>
      </c>
      <c r="G11" s="48">
        <f>IF(FME_Ranking_Option2!$F11="Yes",1,0)</f>
        <v>1</v>
      </c>
      <c r="H11" s="46">
        <f>_xlfn.XLOOKUP(FME_Ranking2[[#This Row],[FME ID]],FME_Input[FME_ID],FME_Input[STRUCT_100])</f>
        <v>21858</v>
      </c>
      <c r="I11" s="65" t="e">
        <f>FME_Ranking2[[#This Row],[Raw Data3]]*H$4</f>
        <v>#REF!</v>
      </c>
      <c r="J11" s="62">
        <f>((FME_Ranking_Option2!$H11)/($H$3))*100</f>
        <v>2.4290202240548346</v>
      </c>
      <c r="K11" s="49" t="e">
        <f>FME_Ranking2[[#This Row],[Norm Data3]]*H$4</f>
        <v>#REF!</v>
      </c>
      <c r="L11" s="50">
        <f>_xlfn.XLOOKUP(FME_Ranking2[[#This Row],[FME ID]],FME_Input[FME_ID],FME_Input[RES_STRUCT100])</f>
        <v>19143</v>
      </c>
      <c r="M11" s="51" t="e">
        <f>FME_Ranking2[[#This Row],[Raw Data4]]*L$4</f>
        <v>#REF!</v>
      </c>
      <c r="N11" s="29">
        <f>((FME_Ranking_Option2!$L11)/($L$3))*100</f>
        <v>2.8619354954453917</v>
      </c>
      <c r="O11" s="52" t="e">
        <f>FME_Ranking2[[#This Row],[Norm Data4]]*L$4</f>
        <v>#REF!</v>
      </c>
      <c r="P11" s="47">
        <f>_xlfn.XLOOKUP(FME_Ranking2[[#This Row],[FME ID]],FME_Input[FME_ID],FME_Input[POP100])</f>
        <v>93583</v>
      </c>
      <c r="Q11" s="48" t="e">
        <f>FME_Ranking_Option2!$P11*P$4</f>
        <v>#REF!</v>
      </c>
      <c r="R11" s="48">
        <f>FME_Ranking_Option2!$P11/($P$3)</f>
        <v>3.4346948108335856E-2</v>
      </c>
      <c r="S11" s="48" t="e">
        <f>FME_Ranking_Option2!$R11*P$4</f>
        <v>#REF!</v>
      </c>
      <c r="T11" s="50">
        <f>_xlfn.XLOOKUP(FME_Ranking2[[#This Row],[FME ID]],FME_Input[FME_ID],FME_Input[CRITFAC100])</f>
        <v>509</v>
      </c>
      <c r="U11" s="48" t="e">
        <f>FME_Ranking_Option2!$T11*T$4</f>
        <v>#REF!</v>
      </c>
      <c r="V11" s="48">
        <f>FME_Ranking_Option2!$T11/($T$3)</f>
        <v>7.1781131011140878E-2</v>
      </c>
      <c r="W11" s="48" t="e">
        <f>FME_Ranking_Option2!$V11*T$4</f>
        <v>#REF!</v>
      </c>
      <c r="X11" s="50">
        <f>_xlfn.XLOOKUP(FME_Ranking2[[#This Row],[FME ID]],FME_Input[FME_ID],FME_Input[LWC])</f>
        <v>0</v>
      </c>
      <c r="Y11" s="48" t="e">
        <f>FME_Ranking_Option2!$X11*X$4</f>
        <v>#REF!</v>
      </c>
      <c r="Z11" s="48">
        <f>FME_Ranking_Option2!$X11/($X$3)</f>
        <v>0</v>
      </c>
      <c r="AA11" s="48" t="e">
        <f>FME_Ranking_Option2!$Z11*X$4</f>
        <v>#REF!</v>
      </c>
      <c r="AB11" s="50">
        <f>_xlfn.XLOOKUP(FME_Ranking2[[#This Row],[FME ID]],FME_Input[FME_ID],FME_Input[ROADCLS])</f>
        <v>0</v>
      </c>
      <c r="AC11" s="48" t="e">
        <f>FME_Ranking_Option2!$AB11*AB$4</f>
        <v>#REF!</v>
      </c>
      <c r="AD11" s="53">
        <f>_xlfn.XLOOKUP(FME_Ranking2[[#This Row],[FME ID]],FME_Input[FME_ID],FME_Input[ROAD_MILES100])</f>
        <v>408.62750244140619</v>
      </c>
      <c r="AE11" s="54" t="e">
        <f>FME_Ranking_Option2!$AD11*AD$4</f>
        <v>#REF!</v>
      </c>
      <c r="AF11" s="55">
        <f>FME_Ranking_Option2!$AD11/($AD$3)</f>
        <v>9.2297850016241668E-3</v>
      </c>
      <c r="AG11" s="55" t="e">
        <f>FME_Ranking_Option2!$AF11*AD$4</f>
        <v>#REF!</v>
      </c>
      <c r="AH11" s="53">
        <f>_xlfn.XLOOKUP(FME_Ranking2[[#This Row],[FME ID]],FME_Input[FME_ID],FME_Input[FARMACRE100])</f>
        <v>260.88226318359381</v>
      </c>
      <c r="AI11" s="54" t="e">
        <f>FME_Ranking_Option2!$AH11*AH$4</f>
        <v>#REF!</v>
      </c>
      <c r="AJ11" s="56">
        <f>FME_Ranking_Option2!$AH11/($AH$3)</f>
        <v>1.51483737578879E-2</v>
      </c>
      <c r="AK11" s="57" t="e">
        <f>FME_Ranking_Option2!$AJ11*AH$4</f>
        <v>#REF!</v>
      </c>
      <c r="AL1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1" s="58" t="e">
        <f>_xlfn.RANK.EQ(AL11,$AL$7:$AL$531)+COUNTIF(AL$7:AL11,AL11)-1</f>
        <v>#REF!</v>
      </c>
      <c r="AN11" s="57"/>
      <c r="AO11" s="58" t="e">
        <f>_xlfn.RANK.EQ(AN11,$AN$7:$AN$531)+COUNTIF(AN$7:AN11,AN11)-1</f>
        <v>#N/A</v>
      </c>
      <c r="AP1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1" s="32" t="e">
        <f>FME_Ranking2[[#This Row],[Score Based on Reported Factors]]-FME_Ranking2[[#This Row],[Check]]</f>
        <v>#REF!</v>
      </c>
      <c r="AR11" s="32"/>
      <c r="AT11" s="19"/>
      <c r="AU11" s="19"/>
      <c r="AV11" s="19"/>
      <c r="AW11" s="19"/>
      <c r="AX11" s="19"/>
      <c r="AY11" s="19"/>
      <c r="AZ11" s="19"/>
      <c r="BA11" s="19"/>
      <c r="BB11" s="19"/>
      <c r="BC11" s="19"/>
    </row>
    <row r="12" spans="1:55" ht="12" customHeight="1" x14ac:dyDescent="0.25">
      <c r="A12" s="17" t="s">
        <v>898</v>
      </c>
      <c r="B12" s="17" t="str">
        <f>_xlfn.XLOOKUP(FME_Ranking2[[#This Row],[FME ID]],FME_Input[FME_ID],FME_Input[FME_NAME])</f>
        <v>City of Bellaire Local Drainage System Asset Management</v>
      </c>
      <c r="C12" s="17" t="str">
        <f>_xlfn.XLOOKUP(FME_Ranking2[[#This Row],[FME ID]],FME_Input[FME_ID],FME_Input[DESCR])</f>
        <v xml:space="preserve">Study to develop asset management plan / capital improvement plan to repair/replace local drainage infrastructure over time to ensure it is in good working order and meeting the level of service desired by the City. </v>
      </c>
      <c r="D12" s="33" t="str">
        <f>_xlfn.XLOOKUP(FME_Ranking2[[#This Row],[FME ID]],FME_Input[FME_ID],FME_Input[EMER_NEED])</f>
        <v>No</v>
      </c>
      <c r="E12" s="120">
        <f>IF(FME_Ranking_Option2!$D12="Yes",100,0)</f>
        <v>0</v>
      </c>
      <c r="F12" s="34" t="str">
        <f>_xlfn.XLOOKUP(FME_Ranking2[[#This Row],[FME ID]],FME_Input[FME_ID],FME_Input[FUND])</f>
        <v>Yes</v>
      </c>
      <c r="G12" s="35">
        <f>IF(FME_Ranking_Option2!$F12="Yes",1,0)</f>
        <v>1</v>
      </c>
      <c r="H12" s="33">
        <f>_xlfn.XLOOKUP(FME_Ranking2[[#This Row],[FME ID]],FME_Input[FME_ID],FME_Input[STRUCT_100])</f>
        <v>5879</v>
      </c>
      <c r="I12" s="64" t="e">
        <f>FME_Ranking2[[#This Row],[Raw Data3]]*H$4</f>
        <v>#REF!</v>
      </c>
      <c r="J12" s="63">
        <f>((FME_Ranking_Option2!$H12)/($H$3))*100</f>
        <v>0.65331731618713396</v>
      </c>
      <c r="K12" s="36" t="e">
        <f>FME_Ranking2[[#This Row],[Norm Data3]]*H$4</f>
        <v>#REF!</v>
      </c>
      <c r="L12" s="37">
        <f>_xlfn.XLOOKUP(FME_Ranking2[[#This Row],[FME ID]],FME_Input[FME_ID],FME_Input[RES_STRUCT100])</f>
        <v>5539</v>
      </c>
      <c r="M12" s="38" t="e">
        <f>FME_Ranking2[[#This Row],[Raw Data4]]*L$4</f>
        <v>#REF!</v>
      </c>
      <c r="N12" s="28">
        <f>((FME_Ranking_Option2!$L12)/($L$3))*100</f>
        <v>0.82809699155158667</v>
      </c>
      <c r="O12" s="39" t="e">
        <f>FME_Ranking2[[#This Row],[Norm Data4]]*L$4</f>
        <v>#REF!</v>
      </c>
      <c r="P12" s="34">
        <f>_xlfn.XLOOKUP(FME_Ranking2[[#This Row],[FME ID]],FME_Input[FME_ID],FME_Input[POP100])</f>
        <v>37604</v>
      </c>
      <c r="Q12" s="35" t="e">
        <f>FME_Ranking_Option2!$P12*P$4</f>
        <v>#REF!</v>
      </c>
      <c r="R12" s="35">
        <f>FME_Ranking_Option2!$P12/($P$3)</f>
        <v>1.3801466470041157E-2</v>
      </c>
      <c r="S12" s="35" t="e">
        <f>FME_Ranking_Option2!$R12*P$4</f>
        <v>#REF!</v>
      </c>
      <c r="T12" s="37">
        <f>_xlfn.XLOOKUP(FME_Ranking2[[#This Row],[FME ID]],FME_Input[FME_ID],FME_Input[CRITFAC100])</f>
        <v>71</v>
      </c>
      <c r="U12" s="35" t="e">
        <f>FME_Ranking_Option2!$T12*T$4</f>
        <v>#REF!</v>
      </c>
      <c r="V12" s="35">
        <f>FME_Ranking_Option2!$T12/($T$3)</f>
        <v>1.0012692144972501E-2</v>
      </c>
      <c r="W12" s="35" t="e">
        <f>FME_Ranking_Option2!$V12*T$4</f>
        <v>#REF!</v>
      </c>
      <c r="X12" s="37">
        <f>_xlfn.XLOOKUP(FME_Ranking2[[#This Row],[FME ID]],FME_Input[FME_ID],FME_Input[LWC])</f>
        <v>0</v>
      </c>
      <c r="Y12" s="35" t="e">
        <f>FME_Ranking_Option2!$X12*X$4</f>
        <v>#REF!</v>
      </c>
      <c r="Z12" s="35">
        <f>FME_Ranking_Option2!$X12/($X$3)</f>
        <v>0</v>
      </c>
      <c r="AA12" s="35" t="e">
        <f>FME_Ranking_Option2!$Z12*X$4</f>
        <v>#REF!</v>
      </c>
      <c r="AB12" s="37">
        <f>_xlfn.XLOOKUP(FME_Ranking2[[#This Row],[FME ID]],FME_Input[FME_ID],FME_Input[ROADCLS])</f>
        <v>0</v>
      </c>
      <c r="AC12" s="35" t="e">
        <f>FME_Ranking_Option2!$AB12*AB$4</f>
        <v>#REF!</v>
      </c>
      <c r="AD12" s="40">
        <f>_xlfn.XLOOKUP(FME_Ranking2[[#This Row],[FME ID]],FME_Input[FME_ID],FME_Input[ROAD_MILES100])</f>
        <v>70.914344787597656</v>
      </c>
      <c r="AE12" s="41" t="e">
        <f>FME_Ranking_Option2!$AD12*AD$4</f>
        <v>#REF!</v>
      </c>
      <c r="AF12" s="42">
        <f>FME_Ranking_Option2!$AD12/($AD$3)</f>
        <v>1.6017623679513032E-3</v>
      </c>
      <c r="AG12" s="42" t="e">
        <f>FME_Ranking_Option2!$AF12*AD$4</f>
        <v>#REF!</v>
      </c>
      <c r="AH12" s="40">
        <f>_xlfn.XLOOKUP(FME_Ranking2[[#This Row],[FME ID]],FME_Input[FME_ID],FME_Input[FARMACRE100])</f>
        <v>0.15173642337322241</v>
      </c>
      <c r="AI12" s="43" t="e">
        <f>FME_Ranking_Option2!$AH12*AH$4</f>
        <v>#REF!</v>
      </c>
      <c r="AJ12" s="41">
        <f>FME_Ranking_Option2!$AH12/($AH$3)</f>
        <v>8.8107180070156667E-6</v>
      </c>
      <c r="AK12" s="44" t="e">
        <f>FME_Ranking_Option2!$AJ12*AH$4</f>
        <v>#REF!</v>
      </c>
      <c r="AL12"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2" s="45" t="e">
        <f>_xlfn.RANK.EQ(AL12,$AL$7:$AL$531)+COUNTIF(AL$7:AL12,AL12)-1</f>
        <v>#REF!</v>
      </c>
      <c r="AN12" s="44"/>
      <c r="AO12" s="45" t="e">
        <f>_xlfn.RANK.EQ(AN12,$AN$7:$AN$531)+COUNTIF(AN$7:AN12,AN12)-1</f>
        <v>#N/A</v>
      </c>
      <c r="AP1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2" s="32" t="e">
        <f>FME_Ranking2[[#This Row],[Score Based on Reported Factors]]-FME_Ranking2[[#This Row],[Check]]</f>
        <v>#REF!</v>
      </c>
      <c r="AR12" s="32"/>
      <c r="AT12" s="388"/>
      <c r="AU12" s="388"/>
    </row>
    <row r="13" spans="1:55" ht="12" customHeight="1" x14ac:dyDescent="0.25">
      <c r="A13" s="16" t="s">
        <v>2189</v>
      </c>
      <c r="B13" s="16" t="str">
        <f>_xlfn.XLOOKUP(FME_Ranking2[[#This Row],[FME ID]],FME_Input[FME_ID],FME_Input[FME_NAME])</f>
        <v>City of Bellaire Regional Detention Facilities Development</v>
      </c>
      <c r="C13" s="16" t="str">
        <f>_xlfn.XLOOKUP(FME_Ranking2[[#This Row],[FME ID]],FME_Input[FME_ID],FME_Input[DESCR])</f>
        <v xml:space="preserve">Effort to identify and develop/design regional detention facilities to either provide flood risk reduction or to facilitate the construction of local or regional drainage improvement projects. </v>
      </c>
      <c r="D13" s="46" t="str">
        <f>_xlfn.XLOOKUP(FME_Ranking2[[#This Row],[FME ID]],FME_Input[FME_ID],FME_Input[EMER_NEED])</f>
        <v>No</v>
      </c>
      <c r="E13" s="121">
        <f>IF(FME_Ranking_Option2!$D13="Yes",100,0)</f>
        <v>0</v>
      </c>
      <c r="F13" s="47" t="str">
        <f>_xlfn.XLOOKUP(FME_Ranking2[[#This Row],[FME ID]],FME_Input[FME_ID],FME_Input[FUND])</f>
        <v>Yes</v>
      </c>
      <c r="G13" s="48">
        <f>IF(FME_Ranking_Option2!$F13="Yes",1,0)</f>
        <v>1</v>
      </c>
      <c r="H13" s="46">
        <f>_xlfn.XLOOKUP(FME_Ranking2[[#This Row],[FME ID]],FME_Input[FME_ID],FME_Input[STRUCT_100])</f>
        <v>5879</v>
      </c>
      <c r="I13" s="65" t="e">
        <f>FME_Ranking2[[#This Row],[Raw Data3]]*H$4</f>
        <v>#REF!</v>
      </c>
      <c r="J13" s="62">
        <f>((FME_Ranking_Option2!$H13)/($H$3))*100</f>
        <v>0.65331731618713396</v>
      </c>
      <c r="K13" s="49" t="e">
        <f>FME_Ranking2[[#This Row],[Norm Data3]]*H$4</f>
        <v>#REF!</v>
      </c>
      <c r="L13" s="50">
        <f>_xlfn.XLOOKUP(FME_Ranking2[[#This Row],[FME ID]],FME_Input[FME_ID],FME_Input[RES_STRUCT100])</f>
        <v>5539</v>
      </c>
      <c r="M13" s="51" t="e">
        <f>FME_Ranking2[[#This Row],[Raw Data4]]*L$4</f>
        <v>#REF!</v>
      </c>
      <c r="N13" s="29">
        <f>((FME_Ranking_Option2!$L13)/($L$3))*100</f>
        <v>0.82809699155158667</v>
      </c>
      <c r="O13" s="52" t="e">
        <f>FME_Ranking2[[#This Row],[Norm Data4]]*L$4</f>
        <v>#REF!</v>
      </c>
      <c r="P13" s="47">
        <f>_xlfn.XLOOKUP(FME_Ranking2[[#This Row],[FME ID]],FME_Input[FME_ID],FME_Input[POP100])</f>
        <v>37604</v>
      </c>
      <c r="Q13" s="48" t="e">
        <f>FME_Ranking_Option2!$P13*P$4</f>
        <v>#REF!</v>
      </c>
      <c r="R13" s="48">
        <f>FME_Ranking_Option2!$P13/($P$3)</f>
        <v>1.3801466470041157E-2</v>
      </c>
      <c r="S13" s="48" t="e">
        <f>FME_Ranking_Option2!$R13*P$4</f>
        <v>#REF!</v>
      </c>
      <c r="T13" s="50">
        <f>_xlfn.XLOOKUP(FME_Ranking2[[#This Row],[FME ID]],FME_Input[FME_ID],FME_Input[CRITFAC100])</f>
        <v>71</v>
      </c>
      <c r="U13" s="48" t="e">
        <f>FME_Ranking_Option2!$T13*T$4</f>
        <v>#REF!</v>
      </c>
      <c r="V13" s="48">
        <f>FME_Ranking_Option2!$T13/($T$3)</f>
        <v>1.0012692144972501E-2</v>
      </c>
      <c r="W13" s="48" t="e">
        <f>FME_Ranking_Option2!$V13*T$4</f>
        <v>#REF!</v>
      </c>
      <c r="X13" s="50">
        <f>_xlfn.XLOOKUP(FME_Ranking2[[#This Row],[FME ID]],FME_Input[FME_ID],FME_Input[LWC])</f>
        <v>0</v>
      </c>
      <c r="Y13" s="48" t="e">
        <f>FME_Ranking_Option2!$X13*X$4</f>
        <v>#REF!</v>
      </c>
      <c r="Z13" s="48">
        <f>FME_Ranking_Option2!$X13/($X$3)</f>
        <v>0</v>
      </c>
      <c r="AA13" s="48" t="e">
        <f>FME_Ranking_Option2!$Z13*X$4</f>
        <v>#REF!</v>
      </c>
      <c r="AB13" s="50">
        <f>_xlfn.XLOOKUP(FME_Ranking2[[#This Row],[FME ID]],FME_Input[FME_ID],FME_Input[ROADCLS])</f>
        <v>0</v>
      </c>
      <c r="AC13" s="48" t="e">
        <f>FME_Ranking_Option2!$AB13*AB$4</f>
        <v>#REF!</v>
      </c>
      <c r="AD13" s="53">
        <f>_xlfn.XLOOKUP(FME_Ranking2[[#This Row],[FME ID]],FME_Input[FME_ID],FME_Input[ROAD_MILES100])</f>
        <v>70.914344787597656</v>
      </c>
      <c r="AE13" s="54" t="e">
        <f>FME_Ranking_Option2!$AD13*AD$4</f>
        <v>#REF!</v>
      </c>
      <c r="AF13" s="55">
        <f>FME_Ranking_Option2!$AD13/($AD$3)</f>
        <v>1.6017623679513032E-3</v>
      </c>
      <c r="AG13" s="55" t="e">
        <f>FME_Ranking_Option2!$AF13*AD$4</f>
        <v>#REF!</v>
      </c>
      <c r="AH13" s="53">
        <f>_xlfn.XLOOKUP(FME_Ranking2[[#This Row],[FME ID]],FME_Input[FME_ID],FME_Input[FARMACRE100])</f>
        <v>0.15173642337322241</v>
      </c>
      <c r="AI13" s="54" t="e">
        <f>FME_Ranking_Option2!$AH13*AH$4</f>
        <v>#REF!</v>
      </c>
      <c r="AJ13" s="56">
        <f>FME_Ranking_Option2!$AH13/($AH$3)</f>
        <v>8.8107180070156667E-6</v>
      </c>
      <c r="AK13" s="57" t="e">
        <f>FME_Ranking_Option2!$AJ13*AH$4</f>
        <v>#REF!</v>
      </c>
      <c r="AL13"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3" s="58" t="e">
        <f>_xlfn.RANK.EQ(AL13,$AL$7:$AL$531)+COUNTIF(AL$7:AL13,AL13)-1</f>
        <v>#REF!</v>
      </c>
      <c r="AN13" s="57"/>
      <c r="AO13" s="58" t="e">
        <f>_xlfn.RANK.EQ(AN13,$AN$7:$AN$531)+COUNTIF(AN$7:AN13,AN13)-1</f>
        <v>#N/A</v>
      </c>
      <c r="AP1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3" s="32" t="e">
        <f>FME_Ranking2[[#This Row],[Score Based on Reported Factors]]-FME_Ranking2[[#This Row],[Check]]</f>
        <v>#REF!</v>
      </c>
      <c r="AR13" s="32"/>
      <c r="AV13" s="19"/>
      <c r="AW13" s="19"/>
      <c r="AX13" s="19"/>
      <c r="AY13" s="19"/>
      <c r="AZ13" s="19"/>
      <c r="BA13" s="19"/>
      <c r="BB13" s="19"/>
      <c r="BC13" s="19"/>
    </row>
    <row r="14" spans="1:55" ht="12" customHeight="1" x14ac:dyDescent="0.25">
      <c r="A14" s="17" t="s">
        <v>905</v>
      </c>
      <c r="B14" s="17" t="str">
        <f>_xlfn.XLOOKUP(FME_Ranking2[[#This Row],[FME ID]],FME_Input[FME_ID],FME_Input[FME_NAME])</f>
        <v>City of Bellaire Cypress Ditch Drainage Improvements</v>
      </c>
      <c r="C14" s="17" t="str">
        <f>_xlfn.XLOOKUP(FME_Ranking2[[#This Row],[FME ID]],FME_Input[FME_ID],FME_Input[DESCR])</f>
        <v xml:space="preserve">Perform engineering services to develop and advance a flood risk reduction project in the Cypress Ditch area, servicing the southern part of the City of Bellaire. </v>
      </c>
      <c r="D14" s="33" t="str">
        <f>_xlfn.XLOOKUP(FME_Ranking2[[#This Row],[FME ID]],FME_Input[FME_ID],FME_Input[EMER_NEED])</f>
        <v>No</v>
      </c>
      <c r="E14" s="120">
        <f>IF(FME_Ranking_Option2!$D14="Yes",100,0)</f>
        <v>0</v>
      </c>
      <c r="F14" s="34" t="str">
        <f>_xlfn.XLOOKUP(FME_Ranking2[[#This Row],[FME ID]],FME_Input[FME_ID],FME_Input[FUND])</f>
        <v>Yes</v>
      </c>
      <c r="G14" s="35">
        <f>IF(FME_Ranking_Option2!$F14="Yes",1,0)</f>
        <v>1</v>
      </c>
      <c r="H14" s="33">
        <f>_xlfn.XLOOKUP(FME_Ranking2[[#This Row],[FME ID]],FME_Input[FME_ID],FME_Input[STRUCT_100])</f>
        <v>5879</v>
      </c>
      <c r="I14" s="64" t="e">
        <f>FME_Ranking2[[#This Row],[Raw Data3]]*H$4</f>
        <v>#REF!</v>
      </c>
      <c r="J14" s="63">
        <f>((FME_Ranking_Option2!$H14)/($H$3))*100</f>
        <v>0.65331731618713396</v>
      </c>
      <c r="K14" s="36" t="e">
        <f>FME_Ranking2[[#This Row],[Norm Data3]]*H$4</f>
        <v>#REF!</v>
      </c>
      <c r="L14" s="37">
        <f>_xlfn.XLOOKUP(FME_Ranking2[[#This Row],[FME ID]],FME_Input[FME_ID],FME_Input[RES_STRUCT100])</f>
        <v>5539</v>
      </c>
      <c r="M14" s="38" t="e">
        <f>FME_Ranking2[[#This Row],[Raw Data4]]*L$4</f>
        <v>#REF!</v>
      </c>
      <c r="N14" s="28">
        <f>((FME_Ranking_Option2!$L14)/($L$3))*100</f>
        <v>0.82809699155158667</v>
      </c>
      <c r="O14" s="39" t="e">
        <f>FME_Ranking2[[#This Row],[Norm Data4]]*L$4</f>
        <v>#REF!</v>
      </c>
      <c r="P14" s="34">
        <f>_xlfn.XLOOKUP(FME_Ranking2[[#This Row],[FME ID]],FME_Input[FME_ID],FME_Input[POP100])</f>
        <v>37604</v>
      </c>
      <c r="Q14" s="35" t="e">
        <f>FME_Ranking_Option2!$P14*P$4</f>
        <v>#REF!</v>
      </c>
      <c r="R14" s="35">
        <f>FME_Ranking_Option2!$P14/($P$3)</f>
        <v>1.3801466470041157E-2</v>
      </c>
      <c r="S14" s="35" t="e">
        <f>FME_Ranking_Option2!$R14*P$4</f>
        <v>#REF!</v>
      </c>
      <c r="T14" s="37">
        <f>_xlfn.XLOOKUP(FME_Ranking2[[#This Row],[FME ID]],FME_Input[FME_ID],FME_Input[CRITFAC100])</f>
        <v>71</v>
      </c>
      <c r="U14" s="35" t="e">
        <f>FME_Ranking_Option2!$T14*T$4</f>
        <v>#REF!</v>
      </c>
      <c r="V14" s="35">
        <f>FME_Ranking_Option2!$T14/($T$3)</f>
        <v>1.0012692144972501E-2</v>
      </c>
      <c r="W14" s="35" t="e">
        <f>FME_Ranking_Option2!$V14*T$4</f>
        <v>#REF!</v>
      </c>
      <c r="X14" s="37">
        <f>_xlfn.XLOOKUP(FME_Ranking2[[#This Row],[FME ID]],FME_Input[FME_ID],FME_Input[LWC])</f>
        <v>0</v>
      </c>
      <c r="Y14" s="35" t="e">
        <f>FME_Ranking_Option2!$X14*X$4</f>
        <v>#REF!</v>
      </c>
      <c r="Z14" s="35">
        <f>FME_Ranking_Option2!$X14/($X$3)</f>
        <v>0</v>
      </c>
      <c r="AA14" s="35" t="e">
        <f>FME_Ranking_Option2!$Z14*X$4</f>
        <v>#REF!</v>
      </c>
      <c r="AB14" s="37">
        <f>_xlfn.XLOOKUP(FME_Ranking2[[#This Row],[FME ID]],FME_Input[FME_ID],FME_Input[ROADCLS])</f>
        <v>0</v>
      </c>
      <c r="AC14" s="35" t="e">
        <f>FME_Ranking_Option2!$AB14*AB$4</f>
        <v>#REF!</v>
      </c>
      <c r="AD14" s="40">
        <f>_xlfn.XLOOKUP(FME_Ranking2[[#This Row],[FME ID]],FME_Input[FME_ID],FME_Input[ROAD_MILES100])</f>
        <v>70.914344787597656</v>
      </c>
      <c r="AE14" s="41" t="e">
        <f>FME_Ranking_Option2!$AD14*AD$4</f>
        <v>#REF!</v>
      </c>
      <c r="AF14" s="42">
        <f>FME_Ranking_Option2!$AD14/($AD$3)</f>
        <v>1.6017623679513032E-3</v>
      </c>
      <c r="AG14" s="42" t="e">
        <f>FME_Ranking_Option2!$AF14*AD$4</f>
        <v>#REF!</v>
      </c>
      <c r="AH14" s="40">
        <f>_xlfn.XLOOKUP(FME_Ranking2[[#This Row],[FME ID]],FME_Input[FME_ID],FME_Input[FARMACRE100])</f>
        <v>0.15173642337322241</v>
      </c>
      <c r="AI14" s="43" t="e">
        <f>FME_Ranking_Option2!$AH14*AH$4</f>
        <v>#REF!</v>
      </c>
      <c r="AJ14" s="41">
        <f>FME_Ranking_Option2!$AH14/($AH$3)</f>
        <v>8.8107180070156667E-6</v>
      </c>
      <c r="AK14" s="44" t="e">
        <f>FME_Ranking_Option2!$AJ14*AH$4</f>
        <v>#REF!</v>
      </c>
      <c r="AL14"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4" s="45" t="e">
        <f>_xlfn.RANK.EQ(AL14,$AL$7:$AL$531)+COUNTIF(AL$7:AL14,AL14)-1</f>
        <v>#REF!</v>
      </c>
      <c r="AN14" s="44"/>
      <c r="AO14" s="45" t="e">
        <f>_xlfn.RANK.EQ(AN14,$AN$7:$AN$531)+COUNTIF(AN$7:AN14,AN14)-1</f>
        <v>#N/A</v>
      </c>
      <c r="AP1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4" s="32" t="e">
        <f>FME_Ranking2[[#This Row],[Score Based on Reported Factors]]-FME_Ranking2[[#This Row],[Check]]</f>
        <v>#REF!</v>
      </c>
      <c r="AR14" s="32"/>
    </row>
    <row r="15" spans="1:55" ht="12" customHeight="1" x14ac:dyDescent="0.25">
      <c r="A15" s="16" t="s">
        <v>908</v>
      </c>
      <c r="B15" s="16" t="str">
        <f>_xlfn.XLOOKUP(FME_Ranking2[[#This Row],[FME ID]],FME_Input[FME_ID],FME_Input[FME_NAME])</f>
        <v>City of Bunker Hill Drainage Projects</v>
      </c>
      <c r="C15" s="16" t="str">
        <f>_xlfn.XLOOKUP(FME_Ranking2[[#This Row],[FME ID]],FME_Input[FME_ID],FME_Input[DESCR])</f>
        <v>Further study of proposed localized and regional flood risk reduction projects within the City of Bunker Hill.</v>
      </c>
      <c r="D15" s="46" t="str">
        <f>_xlfn.XLOOKUP(FME_Ranking2[[#This Row],[FME ID]],FME_Input[FME_ID],FME_Input[EMER_NEED])</f>
        <v>No</v>
      </c>
      <c r="E15" s="121">
        <f>IF(FME_Ranking_Option2!$D15="Yes",100,0)</f>
        <v>0</v>
      </c>
      <c r="F15" s="47" t="str">
        <f>_xlfn.XLOOKUP(FME_Ranking2[[#This Row],[FME ID]],FME_Input[FME_ID],FME_Input[FUND])</f>
        <v>Yes</v>
      </c>
      <c r="G15" s="48">
        <f>IF(FME_Ranking_Option2!$F15="Yes",1,0)</f>
        <v>1</v>
      </c>
      <c r="H15" s="46">
        <f>_xlfn.XLOOKUP(FME_Ranking2[[#This Row],[FME ID]],FME_Input[FME_ID],FME_Input[STRUCT_100])</f>
        <v>0</v>
      </c>
      <c r="I15" s="65" t="e">
        <f>FME_Ranking2[[#This Row],[Raw Data3]]*H$4</f>
        <v>#REF!</v>
      </c>
      <c r="J15" s="62">
        <f>((FME_Ranking_Option2!$H15)/($H$3))*100</f>
        <v>0</v>
      </c>
      <c r="K15" s="49" t="e">
        <f>FME_Ranking2[[#This Row],[Norm Data3]]*H$4</f>
        <v>#REF!</v>
      </c>
      <c r="L15" s="50">
        <f>_xlfn.XLOOKUP(FME_Ranking2[[#This Row],[FME ID]],FME_Input[FME_ID],FME_Input[RES_STRUCT100])</f>
        <v>0</v>
      </c>
      <c r="M15" s="51" t="e">
        <f>FME_Ranking2[[#This Row],[Raw Data4]]*L$4</f>
        <v>#REF!</v>
      </c>
      <c r="N15" s="29">
        <f>((FME_Ranking_Option2!$L15)/($L$3))*100</f>
        <v>0</v>
      </c>
      <c r="O15" s="52" t="e">
        <f>FME_Ranking2[[#This Row],[Norm Data4]]*L$4</f>
        <v>#REF!</v>
      </c>
      <c r="P15" s="47">
        <f>_xlfn.XLOOKUP(FME_Ranking2[[#This Row],[FME ID]],FME_Input[FME_ID],FME_Input[POP100])</f>
        <v>0</v>
      </c>
      <c r="Q15" s="48" t="e">
        <f>FME_Ranking_Option2!$P15*P$4</f>
        <v>#REF!</v>
      </c>
      <c r="R15" s="48">
        <f>FME_Ranking_Option2!$P15/($P$3)</f>
        <v>0</v>
      </c>
      <c r="S15" s="48" t="e">
        <f>FME_Ranking_Option2!$R15*P$4</f>
        <v>#REF!</v>
      </c>
      <c r="T15" s="50">
        <f>_xlfn.XLOOKUP(FME_Ranking2[[#This Row],[FME ID]],FME_Input[FME_ID],FME_Input[CRITFAC100])</f>
        <v>0</v>
      </c>
      <c r="U15" s="48" t="e">
        <f>FME_Ranking_Option2!$T15*T$4</f>
        <v>#REF!</v>
      </c>
      <c r="V15" s="48">
        <f>FME_Ranking_Option2!$T15/($T$3)</f>
        <v>0</v>
      </c>
      <c r="W15" s="48" t="e">
        <f>FME_Ranking_Option2!$V15*T$4</f>
        <v>#REF!</v>
      </c>
      <c r="X15" s="50">
        <f>_xlfn.XLOOKUP(FME_Ranking2[[#This Row],[FME ID]],FME_Input[FME_ID],FME_Input[LWC])</f>
        <v>0</v>
      </c>
      <c r="Y15" s="48" t="e">
        <f>FME_Ranking_Option2!$X15*X$4</f>
        <v>#REF!</v>
      </c>
      <c r="Z15" s="48">
        <f>FME_Ranking_Option2!$X15/($X$3)</f>
        <v>0</v>
      </c>
      <c r="AA15" s="48" t="e">
        <f>FME_Ranking_Option2!$Z15*X$4</f>
        <v>#REF!</v>
      </c>
      <c r="AB15" s="50">
        <f>_xlfn.XLOOKUP(FME_Ranking2[[#This Row],[FME ID]],FME_Input[FME_ID],FME_Input[ROADCLS])</f>
        <v>0</v>
      </c>
      <c r="AC15" s="48" t="e">
        <f>FME_Ranking_Option2!$AB15*AB$4</f>
        <v>#REF!</v>
      </c>
      <c r="AD15" s="53">
        <f>_xlfn.XLOOKUP(FME_Ranking2[[#This Row],[FME ID]],FME_Input[FME_ID],FME_Input[ROAD_MILES100])</f>
        <v>0</v>
      </c>
      <c r="AE15" s="54" t="e">
        <f>FME_Ranking_Option2!$AD15*AD$4</f>
        <v>#REF!</v>
      </c>
      <c r="AF15" s="55">
        <f>FME_Ranking_Option2!$AD15/($AD$3)</f>
        <v>0</v>
      </c>
      <c r="AG15" s="55" t="e">
        <f>FME_Ranking_Option2!$AF15*AD$4</f>
        <v>#REF!</v>
      </c>
      <c r="AH15" s="53">
        <f>_xlfn.XLOOKUP(FME_Ranking2[[#This Row],[FME ID]],FME_Input[FME_ID],FME_Input[FARMACRE100])</f>
        <v>0</v>
      </c>
      <c r="AI15" s="54" t="e">
        <f>FME_Ranking_Option2!$AH15*AH$4</f>
        <v>#REF!</v>
      </c>
      <c r="AJ15" s="56">
        <f>FME_Ranking_Option2!$AH15/($AH$3)</f>
        <v>0</v>
      </c>
      <c r="AK15" s="57" t="e">
        <f>FME_Ranking_Option2!$AJ15*AH$4</f>
        <v>#REF!</v>
      </c>
      <c r="AL15"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5" s="58" t="e">
        <f>_xlfn.RANK.EQ(AL15,$AL$7:$AL$531)+COUNTIF(AL$7:AL15,AL15)-1</f>
        <v>#REF!</v>
      </c>
      <c r="AN15" s="57"/>
      <c r="AO15" s="58" t="e">
        <f>_xlfn.RANK.EQ(AN15,$AN$7:$AN$531)+COUNTIF(AN$7:AN15,AN15)-1</f>
        <v>#N/A</v>
      </c>
      <c r="AP1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5" s="32" t="e">
        <f>FME_Ranking2[[#This Row],[Score Based on Reported Factors]]-FME_Ranking2[[#This Row],[Check]]</f>
        <v>#REF!</v>
      </c>
      <c r="AR15" s="32"/>
      <c r="AT15" s="19"/>
      <c r="AU15" s="19"/>
      <c r="AV15" s="19"/>
      <c r="AW15" s="19"/>
      <c r="AX15" s="19"/>
      <c r="AY15" s="19"/>
      <c r="AZ15" s="19"/>
      <c r="BA15" s="19"/>
      <c r="BB15" s="19"/>
      <c r="BC15" s="19"/>
    </row>
    <row r="16" spans="1:55" ht="12" customHeight="1" x14ac:dyDescent="0.25">
      <c r="A16" s="17" t="s">
        <v>916</v>
      </c>
      <c r="B16" s="17" t="str">
        <f>_xlfn.XLOOKUP(FME_Ranking2[[#This Row],[FME ID]],FME_Input[FME_ID],FME_Input[FME_NAME])</f>
        <v>City of Bunker Hill Master Drainage and Stormwater Management Plan</v>
      </c>
      <c r="C16" s="17" t="str">
        <f>_xlfn.XLOOKUP(FME_Ranking2[[#This Row],[FME ID]],FME_Input[FME_ID],FME_Input[DESCR])</f>
        <v>Further study of Master Drainage and Stormwater Management Plan for the City of Bunker Hill to include Atlas 14 rainfall.</v>
      </c>
      <c r="D16" s="33" t="str">
        <f>_xlfn.XLOOKUP(FME_Ranking2[[#This Row],[FME ID]],FME_Input[FME_ID],FME_Input[EMER_NEED])</f>
        <v>No</v>
      </c>
      <c r="E16" s="120">
        <f>IF(FME_Ranking_Option2!$D16="Yes",100,0)</f>
        <v>0</v>
      </c>
      <c r="F16" s="34" t="str">
        <f>_xlfn.XLOOKUP(FME_Ranking2[[#This Row],[FME ID]],FME_Input[FME_ID],FME_Input[FUND])</f>
        <v>Yes</v>
      </c>
      <c r="G16" s="35">
        <f>IF(FME_Ranking_Option2!$F16="Yes",1,0)</f>
        <v>1</v>
      </c>
      <c r="H16" s="33">
        <f>_xlfn.XLOOKUP(FME_Ranking2[[#This Row],[FME ID]],FME_Input[FME_ID],FME_Input[STRUCT_100])</f>
        <v>0</v>
      </c>
      <c r="I16" s="64" t="e">
        <f>FME_Ranking2[[#This Row],[Raw Data3]]*H$4</f>
        <v>#REF!</v>
      </c>
      <c r="J16" s="63">
        <f>((FME_Ranking_Option2!$H16)/($H$3))*100</f>
        <v>0</v>
      </c>
      <c r="K16" s="36" t="e">
        <f>FME_Ranking2[[#This Row],[Norm Data3]]*H$4</f>
        <v>#REF!</v>
      </c>
      <c r="L16" s="37">
        <f>_xlfn.XLOOKUP(FME_Ranking2[[#This Row],[FME ID]],FME_Input[FME_ID],FME_Input[RES_STRUCT100])</f>
        <v>0</v>
      </c>
      <c r="M16" s="38" t="e">
        <f>FME_Ranking2[[#This Row],[Raw Data4]]*L$4</f>
        <v>#REF!</v>
      </c>
      <c r="N16" s="28">
        <f>((FME_Ranking_Option2!$L16)/($L$3))*100</f>
        <v>0</v>
      </c>
      <c r="O16" s="39" t="e">
        <f>FME_Ranking2[[#This Row],[Norm Data4]]*L$4</f>
        <v>#REF!</v>
      </c>
      <c r="P16" s="34">
        <f>_xlfn.XLOOKUP(FME_Ranking2[[#This Row],[FME ID]],FME_Input[FME_ID],FME_Input[POP100])</f>
        <v>0</v>
      </c>
      <c r="Q16" s="35" t="e">
        <f>FME_Ranking_Option2!$P16*P$4</f>
        <v>#REF!</v>
      </c>
      <c r="R16" s="35">
        <f>FME_Ranking_Option2!$P16/($P$3)</f>
        <v>0</v>
      </c>
      <c r="S16" s="35" t="e">
        <f>FME_Ranking_Option2!$R16*P$4</f>
        <v>#REF!</v>
      </c>
      <c r="T16" s="37">
        <f>_xlfn.XLOOKUP(FME_Ranking2[[#This Row],[FME ID]],FME_Input[FME_ID],FME_Input[CRITFAC100])</f>
        <v>0</v>
      </c>
      <c r="U16" s="35" t="e">
        <f>FME_Ranking_Option2!$T16*T$4</f>
        <v>#REF!</v>
      </c>
      <c r="V16" s="35">
        <f>FME_Ranking_Option2!$T16/($T$3)</f>
        <v>0</v>
      </c>
      <c r="W16" s="35" t="e">
        <f>FME_Ranking_Option2!$V16*T$4</f>
        <v>#REF!</v>
      </c>
      <c r="X16" s="37">
        <f>_xlfn.XLOOKUP(FME_Ranking2[[#This Row],[FME ID]],FME_Input[FME_ID],FME_Input[LWC])</f>
        <v>0</v>
      </c>
      <c r="Y16" s="35" t="e">
        <f>FME_Ranking_Option2!$X16*X$4</f>
        <v>#REF!</v>
      </c>
      <c r="Z16" s="35">
        <f>FME_Ranking_Option2!$X16/($X$3)</f>
        <v>0</v>
      </c>
      <c r="AA16" s="35" t="e">
        <f>FME_Ranking_Option2!$Z16*X$4</f>
        <v>#REF!</v>
      </c>
      <c r="AB16" s="37">
        <f>_xlfn.XLOOKUP(FME_Ranking2[[#This Row],[FME ID]],FME_Input[FME_ID],FME_Input[ROADCLS])</f>
        <v>0</v>
      </c>
      <c r="AC16" s="35" t="e">
        <f>FME_Ranking_Option2!$AB16*AB$4</f>
        <v>#REF!</v>
      </c>
      <c r="AD16" s="40">
        <f>_xlfn.XLOOKUP(FME_Ranking2[[#This Row],[FME ID]],FME_Input[FME_ID],FME_Input[ROAD_MILES100])</f>
        <v>0</v>
      </c>
      <c r="AE16" s="41" t="e">
        <f>FME_Ranking_Option2!$AD16*AD$4</f>
        <v>#REF!</v>
      </c>
      <c r="AF16" s="42">
        <f>FME_Ranking_Option2!$AD16/($AD$3)</f>
        <v>0</v>
      </c>
      <c r="AG16" s="42" t="e">
        <f>FME_Ranking_Option2!$AF16*AD$4</f>
        <v>#REF!</v>
      </c>
      <c r="AH16" s="40">
        <f>_xlfn.XLOOKUP(FME_Ranking2[[#This Row],[FME ID]],FME_Input[FME_ID],FME_Input[FARMACRE100])</f>
        <v>0</v>
      </c>
      <c r="AI16" s="43" t="e">
        <f>FME_Ranking_Option2!$AH16*AH$4</f>
        <v>#REF!</v>
      </c>
      <c r="AJ16" s="41">
        <f>FME_Ranking_Option2!$AH16/($AH$3)</f>
        <v>0</v>
      </c>
      <c r="AK16" s="44" t="e">
        <f>FME_Ranking_Option2!$AJ16*AH$4</f>
        <v>#REF!</v>
      </c>
      <c r="AL16"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6" s="45" t="e">
        <f>_xlfn.RANK.EQ(AL16,$AL$7:$AL$531)+COUNTIF(AL$7:AL16,AL16)-1</f>
        <v>#REF!</v>
      </c>
      <c r="AN16" s="44"/>
      <c r="AO16" s="45" t="e">
        <f>_xlfn.RANK.EQ(AN16,$AN$7:$AN$531)+COUNTIF(AN$7:AN16,AN16)-1</f>
        <v>#N/A</v>
      </c>
      <c r="AP1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6" s="32" t="e">
        <f>FME_Ranking2[[#This Row],[Score Based on Reported Factors]]-FME_Ranking2[[#This Row],[Check]]</f>
        <v>#REF!</v>
      </c>
      <c r="AR16" s="32"/>
    </row>
    <row r="17" spans="1:55" ht="12" customHeight="1" x14ac:dyDescent="0.25">
      <c r="A17" s="16" t="s">
        <v>2278</v>
      </c>
      <c r="B17" s="16" t="str">
        <f>_xlfn.XLOOKUP(FME_Ranking2[[#This Row],[FME ID]],FME_Input[FME_ID],FME_Input[FME_NAME])</f>
        <v>Lower Clear Creek &amp; Dickinson Bayou Flood Mitigation Plan - Dickinson Bayou Alternative 2</v>
      </c>
      <c r="C17" s="16" t="str">
        <f>_xlfn.XLOOKUP(FME_Ranking2[[#This Row],[FME ID]],FME_Input[FME_ID],FME_Input[DESCR])</f>
        <v>Further refine the DB Alt. 2 in the LCCDBFMP (2021), including alternative analysis to McFarland Detention Basin, W Cemetery Rd. Detention Basin, Hilton Detention Basin, Magnolia Bayou &amp; Borden Gully Detention Basins, and Diversion Channel at Desel Dr..</v>
      </c>
      <c r="D17" s="46" t="str">
        <f>_xlfn.XLOOKUP(FME_Ranking2[[#This Row],[FME ID]],FME_Input[FME_ID],FME_Input[EMER_NEED])</f>
        <v>No</v>
      </c>
      <c r="E17" s="121">
        <f>IF(FME_Ranking_Option2!$D17="Yes",100,0)</f>
        <v>0</v>
      </c>
      <c r="F17" s="47" t="str">
        <f>_xlfn.XLOOKUP(FME_Ranking2[[#This Row],[FME ID]],FME_Input[FME_ID],FME_Input[FUND])</f>
        <v>Yes</v>
      </c>
      <c r="G17" s="48">
        <f>IF(FME_Ranking_Option2!$F17="Yes",1,0)</f>
        <v>1</v>
      </c>
      <c r="H17" s="46">
        <f>_xlfn.XLOOKUP(FME_Ranking2[[#This Row],[FME ID]],FME_Input[FME_ID],FME_Input[STRUCT_100])</f>
        <v>13029</v>
      </c>
      <c r="I17" s="65" t="e">
        <f>FME_Ranking2[[#This Row],[Raw Data3]]*H$4</f>
        <v>#REF!</v>
      </c>
      <c r="J17" s="62">
        <f>((FME_Ranking_Option2!$H17)/($H$3))*100</f>
        <v>1.4478774132679311</v>
      </c>
      <c r="K17" s="49" t="e">
        <f>FME_Ranking2[[#This Row],[Norm Data3]]*H$4</f>
        <v>#REF!</v>
      </c>
      <c r="L17" s="50">
        <f>_xlfn.XLOOKUP(FME_Ranking2[[#This Row],[FME ID]],FME_Input[FME_ID],FME_Input[RES_STRUCT100])</f>
        <v>11413</v>
      </c>
      <c r="M17" s="51" t="e">
        <f>FME_Ranking2[[#This Row],[Raw Data4]]*L$4</f>
        <v>#REF!</v>
      </c>
      <c r="N17" s="29">
        <f>((FME_Ranking_Option2!$L17)/($L$3))*100</f>
        <v>1.7062774805160243</v>
      </c>
      <c r="O17" s="52" t="e">
        <f>FME_Ranking2[[#This Row],[Norm Data4]]*L$4</f>
        <v>#REF!</v>
      </c>
      <c r="P17" s="47">
        <f>_xlfn.XLOOKUP(FME_Ranking2[[#This Row],[FME ID]],FME_Input[FME_ID],FME_Input[POP100])</f>
        <v>64095</v>
      </c>
      <c r="Q17" s="48" t="e">
        <f>FME_Ranking_Option2!$P17*P$4</f>
        <v>#REF!</v>
      </c>
      <c r="R17" s="48">
        <f>FME_Ranking_Option2!$P17/($P$3)</f>
        <v>2.3524225970569301E-2</v>
      </c>
      <c r="S17" s="48" t="e">
        <f>FME_Ranking_Option2!$R17*P$4</f>
        <v>#REF!</v>
      </c>
      <c r="T17" s="50">
        <f>_xlfn.XLOOKUP(FME_Ranking2[[#This Row],[FME ID]],FME_Input[FME_ID],FME_Input[CRITFAC100])</f>
        <v>147</v>
      </c>
      <c r="U17" s="48" t="e">
        <f>FME_Ranking_Option2!$T17*T$4</f>
        <v>#REF!</v>
      </c>
      <c r="V17" s="48">
        <f>FME_Ranking_Option2!$T17/($T$3)</f>
        <v>2.0730503455083909E-2</v>
      </c>
      <c r="W17" s="48" t="e">
        <f>FME_Ranking_Option2!$V17*T$4</f>
        <v>#REF!</v>
      </c>
      <c r="X17" s="50">
        <f>_xlfn.XLOOKUP(FME_Ranking2[[#This Row],[FME ID]],FME_Input[FME_ID],FME_Input[LWC])</f>
        <v>9</v>
      </c>
      <c r="Y17" s="48" t="e">
        <f>FME_Ranking_Option2!$X17*X$4</f>
        <v>#REF!</v>
      </c>
      <c r="Z17" s="48">
        <f>FME_Ranking_Option2!$X17/($X$3)</f>
        <v>8.2101806239737272E-4</v>
      </c>
      <c r="AA17" s="48" t="e">
        <f>FME_Ranking_Option2!$Z17*X$4</f>
        <v>#REF!</v>
      </c>
      <c r="AB17" s="50">
        <f>_xlfn.XLOOKUP(FME_Ranking2[[#This Row],[FME ID]],FME_Input[FME_ID],FME_Input[ROADCLS])</f>
        <v>9</v>
      </c>
      <c r="AC17" s="48" t="e">
        <f>FME_Ranking_Option2!$AB17*AB$4</f>
        <v>#REF!</v>
      </c>
      <c r="AD17" s="53">
        <f>_xlfn.XLOOKUP(FME_Ranking2[[#This Row],[FME ID]],FME_Input[FME_ID],FME_Input[ROAD_MILES100])</f>
        <v>240.15098571777341</v>
      </c>
      <c r="AE17" s="54" t="e">
        <f>FME_Ranking_Option2!$AD17*AD$4</f>
        <v>#REF!</v>
      </c>
      <c r="AF17" s="55">
        <f>FME_Ranking_Option2!$AD17/($AD$3)</f>
        <v>5.4243582550369289E-3</v>
      </c>
      <c r="AG17" s="55" t="e">
        <f>FME_Ranking_Option2!$AF17*AD$4</f>
        <v>#REF!</v>
      </c>
      <c r="AH17" s="53">
        <f>_xlfn.XLOOKUP(FME_Ranking2[[#This Row],[FME ID]],FME_Input[FME_ID],FME_Input[FARMACRE100])</f>
        <v>128.52069091796881</v>
      </c>
      <c r="AI17" s="54" t="e">
        <f>FME_Ranking_Option2!$AH17*AH$4</f>
        <v>#REF!</v>
      </c>
      <c r="AJ17" s="56">
        <f>FME_Ranking_Option2!$AH17/($AH$3)</f>
        <v>7.4626746866163123E-3</v>
      </c>
      <c r="AK17" s="57" t="e">
        <f>FME_Ranking_Option2!$AJ17*AH$4</f>
        <v>#REF!</v>
      </c>
      <c r="AL17"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7" s="58" t="e">
        <f>_xlfn.RANK.EQ(AL17,$AL$7:$AL$531)+COUNTIF(AL$7:AL17,AL17)-1</f>
        <v>#REF!</v>
      </c>
      <c r="AN17" s="57"/>
      <c r="AO17" s="58" t="e">
        <f>_xlfn.RANK.EQ(AN17,$AN$7:$AN$531)+COUNTIF(AN$7:AN17,AN17)-1</f>
        <v>#N/A</v>
      </c>
      <c r="AP1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7" s="32" t="e">
        <f>FME_Ranking2[[#This Row],[Score Based on Reported Factors]]-FME_Ranking2[[#This Row],[Check]]</f>
        <v>#REF!</v>
      </c>
      <c r="AR17" s="32"/>
      <c r="AT17" s="19"/>
      <c r="AU17" s="19"/>
      <c r="AV17" s="19"/>
      <c r="AW17" s="19"/>
      <c r="AX17" s="19"/>
      <c r="AY17" s="19"/>
      <c r="AZ17" s="19"/>
      <c r="BA17" s="19"/>
      <c r="BB17" s="19"/>
      <c r="BC17" s="19"/>
    </row>
    <row r="18" spans="1:55" ht="12" customHeight="1" x14ac:dyDescent="0.25">
      <c r="A18" s="17" t="s">
        <v>802</v>
      </c>
      <c r="B18" s="17" t="str">
        <f>_xlfn.XLOOKUP(FME_Ranking2[[#This Row],[FME ID]],FME_Input[FME_ID],FME_Input[FME_NAME])</f>
        <v>Williamsburg Subdivision Drainage Assessment</v>
      </c>
      <c r="C18" s="17" t="str">
        <f>_xlfn.XLOOKUP(FME_Ranking2[[#This Row],[FME ID]],FME_Input[FME_ID],FME_Input[DESCR])</f>
        <v xml:space="preserve">Further study of a flood risk reduction project in the Williamsburg Subdivision which includes additional detail for the design of a required weir structure. </v>
      </c>
      <c r="D18" s="33" t="str">
        <f>_xlfn.XLOOKUP(FME_Ranking2[[#This Row],[FME ID]],FME_Input[FME_ID],FME_Input[EMER_NEED])</f>
        <v>No</v>
      </c>
      <c r="E18" s="120">
        <f>IF(FME_Ranking_Option2!$D18="Yes",100,0)</f>
        <v>0</v>
      </c>
      <c r="F18" s="34" t="str">
        <f>_xlfn.XLOOKUP(FME_Ranking2[[#This Row],[FME ID]],FME_Input[FME_ID],FME_Input[FUND])</f>
        <v>Yes</v>
      </c>
      <c r="G18" s="35">
        <f>IF(FME_Ranking_Option2!$F18="Yes",1,0)</f>
        <v>1</v>
      </c>
      <c r="H18" s="33">
        <f>_xlfn.XLOOKUP(FME_Ranking2[[#This Row],[FME ID]],FME_Input[FME_ID],FME_Input[STRUCT_100])</f>
        <v>2</v>
      </c>
      <c r="I18" s="64" t="e">
        <f>FME_Ranking2[[#This Row],[Raw Data3]]*H$4</f>
        <v>#REF!</v>
      </c>
      <c r="J18" s="63">
        <f>((FME_Ranking_Option2!$H18)/($H$3))*100</f>
        <v>2.2225457261001324E-4</v>
      </c>
      <c r="K18" s="36" t="e">
        <f>FME_Ranking2[[#This Row],[Norm Data3]]*H$4</f>
        <v>#REF!</v>
      </c>
      <c r="L18" s="37">
        <f>_xlfn.XLOOKUP(FME_Ranking2[[#This Row],[FME ID]],FME_Input[FME_ID],FME_Input[RES_STRUCT100])</f>
        <v>2</v>
      </c>
      <c r="M18" s="38" t="e">
        <f>FME_Ranking2[[#This Row],[Raw Data4]]*L$4</f>
        <v>#REF!</v>
      </c>
      <c r="N18" s="28">
        <f>((FME_Ranking_Option2!$L18)/($L$3))*100</f>
        <v>2.9900595470358791E-4</v>
      </c>
      <c r="O18" s="39" t="e">
        <f>FME_Ranking2[[#This Row],[Norm Data4]]*L$4</f>
        <v>#REF!</v>
      </c>
      <c r="P18" s="34">
        <f>_xlfn.XLOOKUP(FME_Ranking2[[#This Row],[FME ID]],FME_Input[FME_ID],FME_Input[POP100])</f>
        <v>8</v>
      </c>
      <c r="Q18" s="35" t="e">
        <f>FME_Ranking_Option2!$P18*P$4</f>
        <v>#REF!</v>
      </c>
      <c r="R18" s="35">
        <f>FME_Ranking_Option2!$P18/($P$3)</f>
        <v>2.9361698691716112E-6</v>
      </c>
      <c r="S18" s="35" t="e">
        <f>FME_Ranking_Option2!$R18*P$4</f>
        <v>#REF!</v>
      </c>
      <c r="T18" s="37">
        <f>_xlfn.XLOOKUP(FME_Ranking2[[#This Row],[FME ID]],FME_Input[FME_ID],FME_Input[CRITFAC100])</f>
        <v>0</v>
      </c>
      <c r="U18" s="35" t="e">
        <f>FME_Ranking_Option2!$T18*T$4</f>
        <v>#REF!</v>
      </c>
      <c r="V18" s="35">
        <f>FME_Ranking_Option2!$T18/($T$3)</f>
        <v>0</v>
      </c>
      <c r="W18" s="35" t="e">
        <f>FME_Ranking_Option2!$V18*T$4</f>
        <v>#REF!</v>
      </c>
      <c r="X18" s="37">
        <f>_xlfn.XLOOKUP(FME_Ranking2[[#This Row],[FME ID]],FME_Input[FME_ID],FME_Input[LWC])</f>
        <v>0</v>
      </c>
      <c r="Y18" s="35" t="e">
        <f>FME_Ranking_Option2!$X18*X$4</f>
        <v>#REF!</v>
      </c>
      <c r="Z18" s="35">
        <f>FME_Ranking_Option2!$X18/($X$3)</f>
        <v>0</v>
      </c>
      <c r="AA18" s="35" t="e">
        <f>FME_Ranking_Option2!$Z18*X$4</f>
        <v>#REF!</v>
      </c>
      <c r="AB18" s="37">
        <f>_xlfn.XLOOKUP(FME_Ranking2[[#This Row],[FME ID]],FME_Input[FME_ID],FME_Input[ROADCLS])</f>
        <v>0</v>
      </c>
      <c r="AC18" s="35" t="e">
        <f>FME_Ranking_Option2!$AB18*AB$4</f>
        <v>#REF!</v>
      </c>
      <c r="AD18" s="40">
        <f>_xlfn.XLOOKUP(FME_Ranking2[[#This Row],[FME ID]],FME_Input[FME_ID],FME_Input[ROAD_MILES100])</f>
        <v>0.61346447467803955</v>
      </c>
      <c r="AE18" s="41" t="e">
        <f>FME_Ranking_Option2!$AD18*AD$4</f>
        <v>#REF!</v>
      </c>
      <c r="AF18" s="42">
        <f>FME_Ranking_Option2!$AD18/($AD$3)</f>
        <v>1.3856495643546465E-5</v>
      </c>
      <c r="AG18" s="42" t="e">
        <f>FME_Ranking_Option2!$AF18*AD$4</f>
        <v>#REF!</v>
      </c>
      <c r="AH18" s="40">
        <f>_xlfn.XLOOKUP(FME_Ranking2[[#This Row],[FME ID]],FME_Input[FME_ID],FME_Input[FARMACRE100])</f>
        <v>6.5943312644958496</v>
      </c>
      <c r="AI18" s="43" t="e">
        <f>FME_Ranking_Option2!$AH18*AH$4</f>
        <v>#REF!</v>
      </c>
      <c r="AJ18" s="41">
        <f>FME_Ranking_Option2!$AH18/($AH$3)</f>
        <v>3.829060414414202E-4</v>
      </c>
      <c r="AK18" s="44" t="e">
        <f>FME_Ranking_Option2!$AJ18*AH$4</f>
        <v>#REF!</v>
      </c>
      <c r="AL1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8" s="45" t="e">
        <f>_xlfn.RANK.EQ(AL18,$AL$7:$AL$531)+COUNTIF(AL$7:AL18,AL18)-1</f>
        <v>#REF!</v>
      </c>
      <c r="AN18" s="44"/>
      <c r="AO18" s="45" t="e">
        <f>_xlfn.RANK.EQ(AN18,$AN$7:$AN$531)+COUNTIF(AN$7:AN18,AN18)-1</f>
        <v>#N/A</v>
      </c>
      <c r="AP1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8" s="32" t="e">
        <f>FME_Ranking2[[#This Row],[Score Based on Reported Factors]]-FME_Ranking2[[#This Row],[Check]]</f>
        <v>#REF!</v>
      </c>
      <c r="AR18" s="32"/>
    </row>
    <row r="19" spans="1:55" ht="12" customHeight="1" x14ac:dyDescent="0.25">
      <c r="A19" s="16" t="s">
        <v>813</v>
      </c>
      <c r="B19" s="16" t="str">
        <f>_xlfn.XLOOKUP(FME_Ranking2[[#This Row],[FME ID]],FME_Input[FME_ID],FME_Input[FME_NAME])</f>
        <v>Preliminary Drainage &amp; Infrastructure Improvements Happy Hide A Way Subdivison</v>
      </c>
      <c r="C19" s="16" t="str">
        <f>_xlfn.XLOOKUP(FME_Ranking2[[#This Row],[FME ID]],FME_Input[FME_ID],FME_Input[DESCR])</f>
        <v>Additional analysis in the Jackson Bayou watershed, specifically along R102-00-00, is needed to determine the necessary improvements and provide a no impact solution.</v>
      </c>
      <c r="D19" s="46" t="str">
        <f>_xlfn.XLOOKUP(FME_Ranking2[[#This Row],[FME ID]],FME_Input[FME_ID],FME_Input[EMER_NEED])</f>
        <v>No</v>
      </c>
      <c r="E19" s="121">
        <f>IF(FME_Ranking_Option2!$D19="Yes",100,0)</f>
        <v>0</v>
      </c>
      <c r="F19" s="47" t="str">
        <f>_xlfn.XLOOKUP(FME_Ranking2[[#This Row],[FME ID]],FME_Input[FME_ID],FME_Input[FUND])</f>
        <v>Yes</v>
      </c>
      <c r="G19" s="48">
        <f>IF(FME_Ranking_Option2!$F19="Yes",1,0)</f>
        <v>1</v>
      </c>
      <c r="H19" s="46">
        <f>_xlfn.XLOOKUP(FME_Ranking2[[#This Row],[FME ID]],FME_Input[FME_ID],FME_Input[STRUCT_100])</f>
        <v>0</v>
      </c>
      <c r="I19" s="65" t="e">
        <f>FME_Ranking2[[#This Row],[Raw Data3]]*H$4</f>
        <v>#REF!</v>
      </c>
      <c r="J19" s="62">
        <f>((FME_Ranking_Option2!$H19)/($H$3))*100</f>
        <v>0</v>
      </c>
      <c r="K19" s="49" t="e">
        <f>FME_Ranking2[[#This Row],[Norm Data3]]*H$4</f>
        <v>#REF!</v>
      </c>
      <c r="L19" s="50">
        <f>_xlfn.XLOOKUP(FME_Ranking2[[#This Row],[FME ID]],FME_Input[FME_ID],FME_Input[RES_STRUCT100])</f>
        <v>0</v>
      </c>
      <c r="M19" s="51" t="e">
        <f>FME_Ranking2[[#This Row],[Raw Data4]]*L$4</f>
        <v>#REF!</v>
      </c>
      <c r="N19" s="29">
        <f>((FME_Ranking_Option2!$L19)/($L$3))*100</f>
        <v>0</v>
      </c>
      <c r="O19" s="52" t="e">
        <f>FME_Ranking2[[#This Row],[Norm Data4]]*L$4</f>
        <v>#REF!</v>
      </c>
      <c r="P19" s="47">
        <f>_xlfn.XLOOKUP(FME_Ranking2[[#This Row],[FME ID]],FME_Input[FME_ID],FME_Input[POP100])</f>
        <v>0</v>
      </c>
      <c r="Q19" s="48" t="e">
        <f>FME_Ranking_Option2!$P19*P$4</f>
        <v>#REF!</v>
      </c>
      <c r="R19" s="48">
        <f>FME_Ranking_Option2!$P19/($P$3)</f>
        <v>0</v>
      </c>
      <c r="S19" s="48" t="e">
        <f>FME_Ranking_Option2!$R19*P$4</f>
        <v>#REF!</v>
      </c>
      <c r="T19" s="50">
        <f>_xlfn.XLOOKUP(FME_Ranking2[[#This Row],[FME ID]],FME_Input[FME_ID],FME_Input[CRITFAC100])</f>
        <v>0</v>
      </c>
      <c r="U19" s="48" t="e">
        <f>FME_Ranking_Option2!$T19*T$4</f>
        <v>#REF!</v>
      </c>
      <c r="V19" s="48">
        <f>FME_Ranking_Option2!$T19/($T$3)</f>
        <v>0</v>
      </c>
      <c r="W19" s="48" t="e">
        <f>FME_Ranking_Option2!$V19*T$4</f>
        <v>#REF!</v>
      </c>
      <c r="X19" s="50">
        <f>_xlfn.XLOOKUP(FME_Ranking2[[#This Row],[FME ID]],FME_Input[FME_ID],FME_Input[LWC])</f>
        <v>0</v>
      </c>
      <c r="Y19" s="48" t="e">
        <f>FME_Ranking_Option2!$X19*X$4</f>
        <v>#REF!</v>
      </c>
      <c r="Z19" s="48">
        <f>FME_Ranking_Option2!$X19/($X$3)</f>
        <v>0</v>
      </c>
      <c r="AA19" s="48" t="e">
        <f>FME_Ranking_Option2!$Z19*X$4</f>
        <v>#REF!</v>
      </c>
      <c r="AB19" s="50">
        <f>_xlfn.XLOOKUP(FME_Ranking2[[#This Row],[FME ID]],FME_Input[FME_ID],FME_Input[ROADCLS])</f>
        <v>0</v>
      </c>
      <c r="AC19" s="48" t="e">
        <f>FME_Ranking_Option2!$AB19*AB$4</f>
        <v>#REF!</v>
      </c>
      <c r="AD19" s="53">
        <f>_xlfn.XLOOKUP(FME_Ranking2[[#This Row],[FME ID]],FME_Input[FME_ID],FME_Input[ROAD_MILES100])</f>
        <v>0</v>
      </c>
      <c r="AE19" s="54" t="e">
        <f>FME_Ranking_Option2!$AD19*AD$4</f>
        <v>#REF!</v>
      </c>
      <c r="AF19" s="55">
        <f>FME_Ranking_Option2!$AD19/($AD$3)</f>
        <v>0</v>
      </c>
      <c r="AG19" s="55" t="e">
        <f>FME_Ranking_Option2!$AF19*AD$4</f>
        <v>#REF!</v>
      </c>
      <c r="AH19" s="53">
        <f>_xlfn.XLOOKUP(FME_Ranking2[[#This Row],[FME ID]],FME_Input[FME_ID],FME_Input[FARMACRE100])</f>
        <v>0</v>
      </c>
      <c r="AI19" s="54" t="e">
        <f>FME_Ranking_Option2!$AH19*AH$4</f>
        <v>#REF!</v>
      </c>
      <c r="AJ19" s="56">
        <f>FME_Ranking_Option2!$AH19/($AH$3)</f>
        <v>0</v>
      </c>
      <c r="AK19" s="57" t="e">
        <f>FME_Ranking_Option2!$AJ19*AH$4</f>
        <v>#REF!</v>
      </c>
      <c r="AL1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9" s="58" t="e">
        <f>_xlfn.RANK.EQ(AL19,$AL$7:$AL$531)+COUNTIF(AL$7:AL19,AL19)-1</f>
        <v>#REF!</v>
      </c>
      <c r="AN19" s="57"/>
      <c r="AO19" s="58" t="e">
        <f>_xlfn.RANK.EQ(AN19,$AN$7:$AN$531)+COUNTIF(AN$7:AN19,AN19)-1</f>
        <v>#N/A</v>
      </c>
      <c r="AP1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9" s="32" t="e">
        <f>FME_Ranking2[[#This Row],[Score Based on Reported Factors]]-FME_Ranking2[[#This Row],[Check]]</f>
        <v>#REF!</v>
      </c>
      <c r="AR19" s="32"/>
      <c r="AT19" s="19"/>
      <c r="AU19" s="19"/>
      <c r="AV19" s="19"/>
      <c r="AW19" s="19"/>
      <c r="AX19" s="19"/>
      <c r="AY19" s="19"/>
      <c r="AZ19" s="19"/>
      <c r="BA19" s="19"/>
      <c r="BB19" s="19"/>
      <c r="BC19" s="19"/>
    </row>
    <row r="20" spans="1:55" ht="12" customHeight="1" x14ac:dyDescent="0.25">
      <c r="A20" s="17" t="s">
        <v>821</v>
      </c>
      <c r="B20" s="17" t="str">
        <f>_xlfn.XLOOKUP(FME_Ranking2[[#This Row],[FME ID]],FME_Input[FME_ID],FME_Input[FME_NAME])</f>
        <v>Bridgewater Village &amp; Enclave at Bridgewater Drainage Analysis</v>
      </c>
      <c r="C20" s="17" t="str">
        <f>_xlfn.XLOOKUP(FME_Ranking2[[#This Row],[FME ID]],FME_Input[FME_ID],FME_Input[DESCR])</f>
        <v>Alternative analysis and assessment of additional protection of basin needed during design to control flows for 100-yr event.</v>
      </c>
      <c r="D20" s="33" t="str">
        <f>_xlfn.XLOOKUP(FME_Ranking2[[#This Row],[FME ID]],FME_Input[FME_ID],FME_Input[EMER_NEED])</f>
        <v>No</v>
      </c>
      <c r="E20" s="120">
        <f>IF(FME_Ranking_Option2!$D20="Yes",100,0)</f>
        <v>0</v>
      </c>
      <c r="F20" s="34" t="str">
        <f>_xlfn.XLOOKUP(FME_Ranking2[[#This Row],[FME ID]],FME_Input[FME_ID],FME_Input[FUND])</f>
        <v>Yes</v>
      </c>
      <c r="G20" s="35">
        <f>IF(FME_Ranking_Option2!$F20="Yes",1,0)</f>
        <v>1</v>
      </c>
      <c r="H20" s="33">
        <f>_xlfn.XLOOKUP(FME_Ranking2[[#This Row],[FME ID]],FME_Input[FME_ID],FME_Input[STRUCT_100])</f>
        <v>0</v>
      </c>
      <c r="I20" s="64" t="e">
        <f>FME_Ranking2[[#This Row],[Raw Data3]]*H$4</f>
        <v>#REF!</v>
      </c>
      <c r="J20" s="63">
        <f>((FME_Ranking_Option2!$H20)/($H$3))*100</f>
        <v>0</v>
      </c>
      <c r="K20" s="36" t="e">
        <f>FME_Ranking2[[#This Row],[Norm Data3]]*H$4</f>
        <v>#REF!</v>
      </c>
      <c r="L20" s="37">
        <f>_xlfn.XLOOKUP(FME_Ranking2[[#This Row],[FME ID]],FME_Input[FME_ID],FME_Input[RES_STRUCT100])</f>
        <v>0</v>
      </c>
      <c r="M20" s="38" t="e">
        <f>FME_Ranking2[[#This Row],[Raw Data4]]*L$4</f>
        <v>#REF!</v>
      </c>
      <c r="N20" s="28">
        <f>((FME_Ranking_Option2!$L20)/($L$3))*100</f>
        <v>0</v>
      </c>
      <c r="O20" s="39" t="e">
        <f>FME_Ranking2[[#This Row],[Norm Data4]]*L$4</f>
        <v>#REF!</v>
      </c>
      <c r="P20" s="34">
        <f>_xlfn.XLOOKUP(FME_Ranking2[[#This Row],[FME ID]],FME_Input[FME_ID],FME_Input[POP100])</f>
        <v>0</v>
      </c>
      <c r="Q20" s="35" t="e">
        <f>FME_Ranking_Option2!$P20*P$4</f>
        <v>#REF!</v>
      </c>
      <c r="R20" s="35">
        <f>FME_Ranking_Option2!$P20/($P$3)</f>
        <v>0</v>
      </c>
      <c r="S20" s="35" t="e">
        <f>FME_Ranking_Option2!$R20*P$4</f>
        <v>#REF!</v>
      </c>
      <c r="T20" s="37">
        <f>_xlfn.XLOOKUP(FME_Ranking2[[#This Row],[FME ID]],FME_Input[FME_ID],FME_Input[CRITFAC100])</f>
        <v>0</v>
      </c>
      <c r="U20" s="35" t="e">
        <f>FME_Ranking_Option2!$T20*T$4</f>
        <v>#REF!</v>
      </c>
      <c r="V20" s="35">
        <f>FME_Ranking_Option2!$T20/($T$3)</f>
        <v>0</v>
      </c>
      <c r="W20" s="35" t="e">
        <f>FME_Ranking_Option2!$V20*T$4</f>
        <v>#REF!</v>
      </c>
      <c r="X20" s="37">
        <f>_xlfn.XLOOKUP(FME_Ranking2[[#This Row],[FME ID]],FME_Input[FME_ID],FME_Input[LWC])</f>
        <v>0</v>
      </c>
      <c r="Y20" s="35" t="e">
        <f>FME_Ranking_Option2!$X20*X$4</f>
        <v>#REF!</v>
      </c>
      <c r="Z20" s="35">
        <f>FME_Ranking_Option2!$X20/($X$3)</f>
        <v>0</v>
      </c>
      <c r="AA20" s="35" t="e">
        <f>FME_Ranking_Option2!$Z20*X$4</f>
        <v>#REF!</v>
      </c>
      <c r="AB20" s="37">
        <f>_xlfn.XLOOKUP(FME_Ranking2[[#This Row],[FME ID]],FME_Input[FME_ID],FME_Input[ROADCLS])</f>
        <v>0</v>
      </c>
      <c r="AC20" s="35" t="e">
        <f>FME_Ranking_Option2!$AB20*AB$4</f>
        <v>#REF!</v>
      </c>
      <c r="AD20" s="40">
        <f>_xlfn.XLOOKUP(FME_Ranking2[[#This Row],[FME ID]],FME_Input[FME_ID],FME_Input[ROAD_MILES100])</f>
        <v>5.5250599980354309E-3</v>
      </c>
      <c r="AE20" s="41" t="e">
        <f>FME_Ranking_Option2!$AD20*AD$4</f>
        <v>#REF!</v>
      </c>
      <c r="AF20" s="42">
        <f>FME_Ranking_Option2!$AD20/($AD$3)</f>
        <v>1.2479609325917397E-7</v>
      </c>
      <c r="AG20" s="42" t="e">
        <f>FME_Ranking_Option2!$AF20*AD$4</f>
        <v>#REF!</v>
      </c>
      <c r="AH20" s="40">
        <f>_xlfn.XLOOKUP(FME_Ranking2[[#This Row],[FME ID]],FME_Input[FME_ID],FME_Input[FARMACRE100])</f>
        <v>0</v>
      </c>
      <c r="AI20" s="43" t="e">
        <f>FME_Ranking_Option2!$AH20*AH$4</f>
        <v>#REF!</v>
      </c>
      <c r="AJ20" s="41">
        <f>FME_Ranking_Option2!$AH20/($AH$3)</f>
        <v>0</v>
      </c>
      <c r="AK20" s="44" t="e">
        <f>FME_Ranking_Option2!$AJ20*AH$4</f>
        <v>#REF!</v>
      </c>
      <c r="AL2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0" s="45" t="e">
        <f>_xlfn.RANK.EQ(AL20,$AL$7:$AL$531)+COUNTIF(AL$7:AL20,AL20)-1</f>
        <v>#REF!</v>
      </c>
      <c r="AN20" s="44"/>
      <c r="AO20" s="45" t="e">
        <f>_xlfn.RANK.EQ(AN20,$AN$7:$AN$531)+COUNTIF(AN$7:AN20,AN20)-1</f>
        <v>#N/A</v>
      </c>
      <c r="AP2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0" s="32" t="e">
        <f>FME_Ranking2[[#This Row],[Score Based on Reported Factors]]-FME_Ranking2[[#This Row],[Check]]</f>
        <v>#REF!</v>
      </c>
      <c r="AR20" s="32"/>
    </row>
    <row r="21" spans="1:55" ht="12" customHeight="1" x14ac:dyDescent="0.25">
      <c r="A21" s="16" t="s">
        <v>829</v>
      </c>
      <c r="B21" s="16" t="str">
        <f>_xlfn.XLOOKUP(FME_Ranking2[[#This Row],[FME ID]],FME_Input[FME_ID],FME_Input[FME_NAME])</f>
        <v>Lake Shadows Subdivision Drainage Improvements</v>
      </c>
      <c r="C21" s="16" t="str">
        <f>_xlfn.XLOOKUP(FME_Ranking2[[#This Row],[FME ID]],FME_Input[FME_ID],FME_Input[DESCR])</f>
        <v>Further study and development of a FMP of recommended alternative 5 which includes installing the Foley trunk line downstream of the pipelines, upsizing and installing new outfalls, and installing the Belle Cote trunk line.</v>
      </c>
      <c r="D21" s="46" t="str">
        <f>_xlfn.XLOOKUP(FME_Ranking2[[#This Row],[FME ID]],FME_Input[FME_ID],FME_Input[EMER_NEED])</f>
        <v>No</v>
      </c>
      <c r="E21" s="121">
        <f>IF(FME_Ranking_Option2!$D21="Yes",100,0)</f>
        <v>0</v>
      </c>
      <c r="F21" s="47" t="str">
        <f>_xlfn.XLOOKUP(FME_Ranking2[[#This Row],[FME ID]],FME_Input[FME_ID],FME_Input[FUND])</f>
        <v>Yes</v>
      </c>
      <c r="G21" s="48">
        <f>IF(FME_Ranking_Option2!$F21="Yes",1,0)</f>
        <v>1</v>
      </c>
      <c r="H21" s="46">
        <f>_xlfn.XLOOKUP(FME_Ranking2[[#This Row],[FME ID]],FME_Input[FME_ID],FME_Input[STRUCT_100])</f>
        <v>41</v>
      </c>
      <c r="I21" s="65" t="e">
        <f>FME_Ranking2[[#This Row],[Raw Data3]]*H$4</f>
        <v>#REF!</v>
      </c>
      <c r="J21" s="62">
        <f>((FME_Ranking_Option2!$H21)/($H$3))*100</f>
        <v>4.5562187385052716E-3</v>
      </c>
      <c r="K21" s="49" t="e">
        <f>FME_Ranking2[[#This Row],[Norm Data3]]*H$4</f>
        <v>#REF!</v>
      </c>
      <c r="L21" s="50">
        <f>_xlfn.XLOOKUP(FME_Ranking2[[#This Row],[FME ID]],FME_Input[FME_ID],FME_Input[RES_STRUCT100])</f>
        <v>38</v>
      </c>
      <c r="M21" s="51" t="e">
        <f>FME_Ranking2[[#This Row],[Raw Data4]]*L$4</f>
        <v>#REF!</v>
      </c>
      <c r="N21" s="29">
        <f>((FME_Ranking_Option2!$L21)/($L$3))*100</f>
        <v>5.6811131393681704E-3</v>
      </c>
      <c r="O21" s="52" t="e">
        <f>FME_Ranking2[[#This Row],[Norm Data4]]*L$4</f>
        <v>#REF!</v>
      </c>
      <c r="P21" s="47">
        <f>_xlfn.XLOOKUP(FME_Ranking2[[#This Row],[FME ID]],FME_Input[FME_ID],FME_Input[POP100])</f>
        <v>149</v>
      </c>
      <c r="Q21" s="48" t="e">
        <f>FME_Ranking_Option2!$P21*P$4</f>
        <v>#REF!</v>
      </c>
      <c r="R21" s="48">
        <f>FME_Ranking_Option2!$P21/($P$3)</f>
        <v>5.4686163813321257E-5</v>
      </c>
      <c r="S21" s="48" t="e">
        <f>FME_Ranking_Option2!$R21*P$4</f>
        <v>#REF!</v>
      </c>
      <c r="T21" s="50">
        <f>_xlfn.XLOOKUP(FME_Ranking2[[#This Row],[FME ID]],FME_Input[FME_ID],FME_Input[CRITFAC100])</f>
        <v>0</v>
      </c>
      <c r="U21" s="48" t="e">
        <f>FME_Ranking_Option2!$T21*T$4</f>
        <v>#REF!</v>
      </c>
      <c r="V21" s="48">
        <f>FME_Ranking_Option2!$T21/($T$3)</f>
        <v>0</v>
      </c>
      <c r="W21" s="48" t="e">
        <f>FME_Ranking_Option2!$V21*T$4</f>
        <v>#REF!</v>
      </c>
      <c r="X21" s="50">
        <f>_xlfn.XLOOKUP(FME_Ranking2[[#This Row],[FME ID]],FME_Input[FME_ID],FME_Input[LWC])</f>
        <v>0</v>
      </c>
      <c r="Y21" s="48" t="e">
        <f>FME_Ranking_Option2!$X21*X$4</f>
        <v>#REF!</v>
      </c>
      <c r="Z21" s="48">
        <f>FME_Ranking_Option2!$X21/($X$3)</f>
        <v>0</v>
      </c>
      <c r="AA21" s="48" t="e">
        <f>FME_Ranking_Option2!$Z21*X$4</f>
        <v>#REF!</v>
      </c>
      <c r="AB21" s="50">
        <f>_xlfn.XLOOKUP(FME_Ranking2[[#This Row],[FME ID]],FME_Input[FME_ID],FME_Input[ROADCLS])</f>
        <v>0</v>
      </c>
      <c r="AC21" s="48" t="e">
        <f>FME_Ranking_Option2!$AB21*AB$4</f>
        <v>#REF!</v>
      </c>
      <c r="AD21" s="53">
        <f>_xlfn.XLOOKUP(FME_Ranking2[[#This Row],[FME ID]],FME_Input[FME_ID],FME_Input[ROAD_MILES100])</f>
        <v>0</v>
      </c>
      <c r="AE21" s="54" t="e">
        <f>FME_Ranking_Option2!$AD21*AD$4</f>
        <v>#REF!</v>
      </c>
      <c r="AF21" s="55">
        <f>FME_Ranking_Option2!$AD21/($AD$3)</f>
        <v>0</v>
      </c>
      <c r="AG21" s="55" t="e">
        <f>FME_Ranking_Option2!$AF21*AD$4</f>
        <v>#REF!</v>
      </c>
      <c r="AH21" s="53">
        <f>_xlfn.XLOOKUP(FME_Ranking2[[#This Row],[FME ID]],FME_Input[FME_ID],FME_Input[FARMACRE100])</f>
        <v>0.4700922966003418</v>
      </c>
      <c r="AI21" s="54" t="e">
        <f>FME_Ranking_Option2!$AH21*AH$4</f>
        <v>#REF!</v>
      </c>
      <c r="AJ21" s="56">
        <f>FME_Ranking_Option2!$AH21/($AH$3)</f>
        <v>2.7296350938946093E-5</v>
      </c>
      <c r="AK21" s="57" t="e">
        <f>FME_Ranking_Option2!$AJ21*AH$4</f>
        <v>#REF!</v>
      </c>
      <c r="AL2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1" s="58" t="e">
        <f>_xlfn.RANK.EQ(AL21,$AL$7:$AL$531)+COUNTIF(AL$7:AL21,AL21)-1</f>
        <v>#REF!</v>
      </c>
      <c r="AN21" s="57"/>
      <c r="AO21" s="58" t="e">
        <f>_xlfn.RANK.EQ(AN21,$AN$7:$AN$531)+COUNTIF(AN$7:AN21,AN21)-1</f>
        <v>#N/A</v>
      </c>
      <c r="AP2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1" s="32" t="e">
        <f>FME_Ranking2[[#This Row],[Score Based on Reported Factors]]-FME_Ranking2[[#This Row],[Check]]</f>
        <v>#REF!</v>
      </c>
      <c r="AR21" s="32"/>
      <c r="AT21" s="19"/>
      <c r="AU21" s="19"/>
      <c r="AV21" s="19"/>
      <c r="AW21" s="19"/>
      <c r="AX21" s="19"/>
      <c r="AY21" s="19"/>
      <c r="AZ21" s="19"/>
      <c r="BA21" s="19"/>
      <c r="BB21" s="19"/>
      <c r="BC21" s="19"/>
    </row>
    <row r="22" spans="1:55" ht="12" customHeight="1" x14ac:dyDescent="0.25">
      <c r="A22" s="17" t="s">
        <v>837</v>
      </c>
      <c r="B22" s="17" t="str">
        <f>_xlfn.XLOOKUP(FME_Ranking2[[#This Row],[FME ID]],FME_Input[FME_ID],FME_Input[FME_NAME])</f>
        <v>Gum Gully Rd, W Stroker Rd, Wigwam Ln, and Related Infrastructure Drainage Improvements</v>
      </c>
      <c r="C22" s="17" t="str">
        <f>_xlfn.XLOOKUP(FME_Ranking2[[#This Row],[FME ID]],FME_Input[FME_ID],FME_Input[DESCR])</f>
        <v>Further study as report recommendation (2019) indicates that regional drainage improvements to the streams must be studied and implemented before Harris County can obtain a benefit from roadway drainage improvements.</v>
      </c>
      <c r="D22" s="33" t="str">
        <f>_xlfn.XLOOKUP(FME_Ranking2[[#This Row],[FME ID]],FME_Input[FME_ID],FME_Input[EMER_NEED])</f>
        <v>No</v>
      </c>
      <c r="E22" s="120">
        <f>IF(FME_Ranking_Option2!$D22="Yes",100,0)</f>
        <v>0</v>
      </c>
      <c r="F22" s="34" t="str">
        <f>_xlfn.XLOOKUP(FME_Ranking2[[#This Row],[FME ID]],FME_Input[FME_ID],FME_Input[FUND])</f>
        <v>Yes</v>
      </c>
      <c r="G22" s="35">
        <f>IF(FME_Ranking_Option2!$F22="Yes",1,0)</f>
        <v>1</v>
      </c>
      <c r="H22" s="33">
        <f>_xlfn.XLOOKUP(FME_Ranking2[[#This Row],[FME ID]],FME_Input[FME_ID],FME_Input[STRUCT_100])</f>
        <v>3</v>
      </c>
      <c r="I22" s="64" t="e">
        <f>FME_Ranking2[[#This Row],[Raw Data3]]*H$4</f>
        <v>#REF!</v>
      </c>
      <c r="J22" s="63">
        <f>((FME_Ranking_Option2!$H22)/($H$3))*100</f>
        <v>3.3338185891501984E-4</v>
      </c>
      <c r="K22" s="36" t="e">
        <f>FME_Ranking2[[#This Row],[Norm Data3]]*H$4</f>
        <v>#REF!</v>
      </c>
      <c r="L22" s="37">
        <f>_xlfn.XLOOKUP(FME_Ranking2[[#This Row],[FME ID]],FME_Input[FME_ID],FME_Input[RES_STRUCT100])</f>
        <v>0</v>
      </c>
      <c r="M22" s="38" t="e">
        <f>FME_Ranking2[[#This Row],[Raw Data4]]*L$4</f>
        <v>#REF!</v>
      </c>
      <c r="N22" s="28">
        <f>((FME_Ranking_Option2!$L22)/($L$3))*100</f>
        <v>0</v>
      </c>
      <c r="O22" s="39" t="e">
        <f>FME_Ranking2[[#This Row],[Norm Data4]]*L$4</f>
        <v>#REF!</v>
      </c>
      <c r="P22" s="34">
        <f>_xlfn.XLOOKUP(FME_Ranking2[[#This Row],[FME ID]],FME_Input[FME_ID],FME_Input[POP100])</f>
        <v>6</v>
      </c>
      <c r="Q22" s="35" t="e">
        <f>FME_Ranking_Option2!$P22*P$4</f>
        <v>#REF!</v>
      </c>
      <c r="R22" s="35">
        <f>FME_Ranking_Option2!$P22/($P$3)</f>
        <v>2.2021274018787084E-6</v>
      </c>
      <c r="S22" s="35" t="e">
        <f>FME_Ranking_Option2!$R22*P$4</f>
        <v>#REF!</v>
      </c>
      <c r="T22" s="37">
        <f>_xlfn.XLOOKUP(FME_Ranking2[[#This Row],[FME ID]],FME_Input[FME_ID],FME_Input[CRITFAC100])</f>
        <v>0</v>
      </c>
      <c r="U22" s="35" t="e">
        <f>FME_Ranking_Option2!$T22*T$4</f>
        <v>#REF!</v>
      </c>
      <c r="V22" s="35">
        <f>FME_Ranking_Option2!$T22/($T$3)</f>
        <v>0</v>
      </c>
      <c r="W22" s="35" t="e">
        <f>FME_Ranking_Option2!$V22*T$4</f>
        <v>#REF!</v>
      </c>
      <c r="X22" s="37">
        <f>_xlfn.XLOOKUP(FME_Ranking2[[#This Row],[FME ID]],FME_Input[FME_ID],FME_Input[LWC])</f>
        <v>0</v>
      </c>
      <c r="Y22" s="35" t="e">
        <f>FME_Ranking_Option2!$X22*X$4</f>
        <v>#REF!</v>
      </c>
      <c r="Z22" s="35">
        <f>FME_Ranking_Option2!$X22/($X$3)</f>
        <v>0</v>
      </c>
      <c r="AA22" s="35" t="e">
        <f>FME_Ranking_Option2!$Z22*X$4</f>
        <v>#REF!</v>
      </c>
      <c r="AB22" s="37">
        <f>_xlfn.XLOOKUP(FME_Ranking2[[#This Row],[FME ID]],FME_Input[FME_ID],FME_Input[ROADCLS])</f>
        <v>0</v>
      </c>
      <c r="AC22" s="35" t="e">
        <f>FME_Ranking_Option2!$AB22*AB$4</f>
        <v>#REF!</v>
      </c>
      <c r="AD22" s="40">
        <f>_xlfn.XLOOKUP(FME_Ranking2[[#This Row],[FME ID]],FME_Input[FME_ID],FME_Input[ROAD_MILES100])</f>
        <v>5.500473827123642E-2</v>
      </c>
      <c r="AE22" s="41" t="e">
        <f>FME_Ranking_Option2!$AD22*AD$4</f>
        <v>#REF!</v>
      </c>
      <c r="AF22" s="42">
        <f>FME_Ranking_Option2!$AD22/($AD$3)</f>
        <v>1.2424075846116551E-6</v>
      </c>
      <c r="AG22" s="42" t="e">
        <f>FME_Ranking_Option2!$AF22*AD$4</f>
        <v>#REF!</v>
      </c>
      <c r="AH22" s="40">
        <f>_xlfn.XLOOKUP(FME_Ranking2[[#This Row],[FME ID]],FME_Input[FME_ID],FME_Input[FARMACRE100])</f>
        <v>0</v>
      </c>
      <c r="AI22" s="43" t="e">
        <f>FME_Ranking_Option2!$AH22*AH$4</f>
        <v>#REF!</v>
      </c>
      <c r="AJ22" s="41">
        <f>FME_Ranking_Option2!$AH22/($AH$3)</f>
        <v>0</v>
      </c>
      <c r="AK22" s="44" t="e">
        <f>FME_Ranking_Option2!$AJ22*AH$4</f>
        <v>#REF!</v>
      </c>
      <c r="AL22"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2" s="45" t="e">
        <f>_xlfn.RANK.EQ(AL22,$AL$7:$AL$531)+COUNTIF(AL$7:AL22,AL22)-1</f>
        <v>#REF!</v>
      </c>
      <c r="AN22" s="44"/>
      <c r="AO22" s="45" t="e">
        <f>_xlfn.RANK.EQ(AN22,$AN$7:$AN$531)+COUNTIF(AN$7:AN22,AN22)-1</f>
        <v>#N/A</v>
      </c>
      <c r="AP2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2" s="32" t="e">
        <f>FME_Ranking2[[#This Row],[Score Based on Reported Factors]]-FME_Ranking2[[#This Row],[Check]]</f>
        <v>#REF!</v>
      </c>
      <c r="AR22" s="32"/>
    </row>
    <row r="23" spans="1:55" ht="12" customHeight="1" x14ac:dyDescent="0.25">
      <c r="A23" s="16" t="s">
        <v>841</v>
      </c>
      <c r="B23" s="16" t="str">
        <f>_xlfn.XLOOKUP(FME_Ranking2[[#This Row],[FME ID]],FME_Input[FME_ID],FME_Input[FME_NAME])</f>
        <v>Spanish Cove Subdivision Drainage Assessment</v>
      </c>
      <c r="C23" s="16" t="str">
        <f>_xlfn.XLOOKUP(FME_Ranking2[[#This Row],[FME ID]],FME_Input[FME_ID],FME_Input[DESCR])</f>
        <v xml:space="preserve">Additional analysis needed to confirm no negative effects. It is expected the larger channel can safely convey the increase in flows, but this must be demonstrated during the project design phase. </v>
      </c>
      <c r="D23" s="46" t="str">
        <f>_xlfn.XLOOKUP(FME_Ranking2[[#This Row],[FME ID]],FME_Input[FME_ID],FME_Input[EMER_NEED])</f>
        <v>No</v>
      </c>
      <c r="E23" s="121">
        <f>IF(FME_Ranking_Option2!$D23="Yes",100,0)</f>
        <v>0</v>
      </c>
      <c r="F23" s="47" t="str">
        <f>_xlfn.XLOOKUP(FME_Ranking2[[#This Row],[FME ID]],FME_Input[FME_ID],FME_Input[FUND])</f>
        <v>Yes</v>
      </c>
      <c r="G23" s="48">
        <f>IF(FME_Ranking_Option2!$F23="Yes",1,0)</f>
        <v>1</v>
      </c>
      <c r="H23" s="46">
        <f>_xlfn.XLOOKUP(FME_Ranking2[[#This Row],[FME ID]],FME_Input[FME_ID],FME_Input[STRUCT_100])</f>
        <v>0</v>
      </c>
      <c r="I23" s="65" t="e">
        <f>FME_Ranking2[[#This Row],[Raw Data3]]*H$4</f>
        <v>#REF!</v>
      </c>
      <c r="J23" s="62">
        <f>((FME_Ranking_Option2!$H23)/($H$3))*100</f>
        <v>0</v>
      </c>
      <c r="K23" s="49" t="e">
        <f>FME_Ranking2[[#This Row],[Norm Data3]]*H$4</f>
        <v>#REF!</v>
      </c>
      <c r="L23" s="50">
        <f>_xlfn.XLOOKUP(FME_Ranking2[[#This Row],[FME ID]],FME_Input[FME_ID],FME_Input[RES_STRUCT100])</f>
        <v>0</v>
      </c>
      <c r="M23" s="51" t="e">
        <f>FME_Ranking2[[#This Row],[Raw Data4]]*L$4</f>
        <v>#REF!</v>
      </c>
      <c r="N23" s="29">
        <f>((FME_Ranking_Option2!$L23)/($L$3))*100</f>
        <v>0</v>
      </c>
      <c r="O23" s="52" t="e">
        <f>FME_Ranking2[[#This Row],[Norm Data4]]*L$4</f>
        <v>#REF!</v>
      </c>
      <c r="P23" s="47">
        <f>_xlfn.XLOOKUP(FME_Ranking2[[#This Row],[FME ID]],FME_Input[FME_ID],FME_Input[POP100])</f>
        <v>0</v>
      </c>
      <c r="Q23" s="48" t="e">
        <f>FME_Ranking_Option2!$P23*P$4</f>
        <v>#REF!</v>
      </c>
      <c r="R23" s="48">
        <f>FME_Ranking_Option2!$P23/($P$3)</f>
        <v>0</v>
      </c>
      <c r="S23" s="48" t="e">
        <f>FME_Ranking_Option2!$R23*P$4</f>
        <v>#REF!</v>
      </c>
      <c r="T23" s="50">
        <f>_xlfn.XLOOKUP(FME_Ranking2[[#This Row],[FME ID]],FME_Input[FME_ID],FME_Input[CRITFAC100])</f>
        <v>0</v>
      </c>
      <c r="U23" s="48" t="e">
        <f>FME_Ranking_Option2!$T23*T$4</f>
        <v>#REF!</v>
      </c>
      <c r="V23" s="48">
        <f>FME_Ranking_Option2!$T23/($T$3)</f>
        <v>0</v>
      </c>
      <c r="W23" s="48" t="e">
        <f>FME_Ranking_Option2!$V23*T$4</f>
        <v>#REF!</v>
      </c>
      <c r="X23" s="50">
        <f>_xlfn.XLOOKUP(FME_Ranking2[[#This Row],[FME ID]],FME_Input[FME_ID],FME_Input[LWC])</f>
        <v>0</v>
      </c>
      <c r="Y23" s="48" t="e">
        <f>FME_Ranking_Option2!$X23*X$4</f>
        <v>#REF!</v>
      </c>
      <c r="Z23" s="48">
        <f>FME_Ranking_Option2!$X23/($X$3)</f>
        <v>0</v>
      </c>
      <c r="AA23" s="48" t="e">
        <f>FME_Ranking_Option2!$Z23*X$4</f>
        <v>#REF!</v>
      </c>
      <c r="AB23" s="50">
        <f>_xlfn.XLOOKUP(FME_Ranking2[[#This Row],[FME ID]],FME_Input[FME_ID],FME_Input[ROADCLS])</f>
        <v>0</v>
      </c>
      <c r="AC23" s="48" t="e">
        <f>FME_Ranking_Option2!$AB23*AB$4</f>
        <v>#REF!</v>
      </c>
      <c r="AD23" s="53">
        <f>_xlfn.XLOOKUP(FME_Ranking2[[#This Row],[FME ID]],FME_Input[FME_ID],FME_Input[ROAD_MILES100])</f>
        <v>0</v>
      </c>
      <c r="AE23" s="54" t="e">
        <f>FME_Ranking_Option2!$AD23*AD$4</f>
        <v>#REF!</v>
      </c>
      <c r="AF23" s="55">
        <f>FME_Ranking_Option2!$AD23/($AD$3)</f>
        <v>0</v>
      </c>
      <c r="AG23" s="55" t="e">
        <f>FME_Ranking_Option2!$AF23*AD$4</f>
        <v>#REF!</v>
      </c>
      <c r="AH23" s="53">
        <f>_xlfn.XLOOKUP(FME_Ranking2[[#This Row],[FME ID]],FME_Input[FME_ID],FME_Input[FARMACRE100])</f>
        <v>0</v>
      </c>
      <c r="AI23" s="54" t="e">
        <f>FME_Ranking_Option2!$AH23*AH$4</f>
        <v>#REF!</v>
      </c>
      <c r="AJ23" s="56">
        <f>FME_Ranking_Option2!$AH23/($AH$3)</f>
        <v>0</v>
      </c>
      <c r="AK23" s="57" t="e">
        <f>FME_Ranking_Option2!$AJ23*AH$4</f>
        <v>#REF!</v>
      </c>
      <c r="AL23"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3" s="58" t="e">
        <f>_xlfn.RANK.EQ(AL23,$AL$7:$AL$531)+COUNTIF(AL$7:AL23,AL23)-1</f>
        <v>#REF!</v>
      </c>
      <c r="AN23" s="57"/>
      <c r="AO23" s="58" t="e">
        <f>_xlfn.RANK.EQ(AN23,$AN$7:$AN$531)+COUNTIF(AN$7:AN23,AN23)-1</f>
        <v>#N/A</v>
      </c>
      <c r="AP2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3" s="32" t="e">
        <f>FME_Ranking2[[#This Row],[Score Based on Reported Factors]]-FME_Ranking2[[#This Row],[Check]]</f>
        <v>#REF!</v>
      </c>
      <c r="AR23" s="32"/>
      <c r="AT23" s="19"/>
      <c r="AU23" s="19"/>
      <c r="AV23" s="19"/>
      <c r="AW23" s="19"/>
      <c r="AX23" s="19"/>
      <c r="AY23" s="19"/>
      <c r="AZ23" s="19"/>
      <c r="BA23" s="19"/>
      <c r="BB23" s="19"/>
      <c r="BC23" s="19"/>
    </row>
    <row r="24" spans="1:55" ht="12" customHeight="1" x14ac:dyDescent="0.25">
      <c r="A24" s="17" t="s">
        <v>845</v>
      </c>
      <c r="B24" s="17" t="str">
        <f>_xlfn.XLOOKUP(FME_Ranking2[[#This Row],[FME ID]],FME_Input[FME_ID],FME_Input[FME_NAME])</f>
        <v>Shoreacres Drainage Assessment</v>
      </c>
      <c r="C24" s="17" t="str">
        <f>_xlfn.XLOOKUP(FME_Ranking2[[#This Row],[FME ID]],FME_Input[FME_ID],FME_Input[DESCR])</f>
        <v>Further analysis necessary to determine downstream impacts and whether any additional volume in A104-11-00 would be available during a coincident event on Taylor Bayou.</v>
      </c>
      <c r="D24" s="33" t="str">
        <f>_xlfn.XLOOKUP(FME_Ranking2[[#This Row],[FME ID]],FME_Input[FME_ID],FME_Input[EMER_NEED])</f>
        <v>No</v>
      </c>
      <c r="E24" s="120">
        <f>IF(FME_Ranking_Option2!$D24="Yes",100,0)</f>
        <v>0</v>
      </c>
      <c r="F24" s="34" t="str">
        <f>_xlfn.XLOOKUP(FME_Ranking2[[#This Row],[FME ID]],FME_Input[FME_ID],FME_Input[FUND])</f>
        <v>Yes</v>
      </c>
      <c r="G24" s="35">
        <f>IF(FME_Ranking_Option2!$F24="Yes",1,0)</f>
        <v>1</v>
      </c>
      <c r="H24" s="33">
        <f>_xlfn.XLOOKUP(FME_Ranking2[[#This Row],[FME ID]],FME_Input[FME_ID],FME_Input[STRUCT_100])</f>
        <v>801</v>
      </c>
      <c r="I24" s="64" t="e">
        <f>FME_Ranking2[[#This Row],[Raw Data3]]*H$4</f>
        <v>#REF!</v>
      </c>
      <c r="J24" s="63">
        <f>((FME_Ranking_Option2!$H24)/($H$3))*100</f>
        <v>8.9012956330310297E-2</v>
      </c>
      <c r="K24" s="36" t="e">
        <f>FME_Ranking2[[#This Row],[Norm Data3]]*H$4</f>
        <v>#REF!</v>
      </c>
      <c r="L24" s="37">
        <f>_xlfn.XLOOKUP(FME_Ranking2[[#This Row],[FME ID]],FME_Input[FME_ID],FME_Input[RES_STRUCT100])</f>
        <v>787</v>
      </c>
      <c r="M24" s="38" t="e">
        <f>FME_Ranking2[[#This Row],[Raw Data4]]*L$4</f>
        <v>#REF!</v>
      </c>
      <c r="N24" s="28">
        <f>((FME_Ranking_Option2!$L24)/($L$3))*100</f>
        <v>0.11765884317586185</v>
      </c>
      <c r="O24" s="39" t="e">
        <f>FME_Ranking2[[#This Row],[Norm Data4]]*L$4</f>
        <v>#REF!</v>
      </c>
      <c r="P24" s="34">
        <f>_xlfn.XLOOKUP(FME_Ranking2[[#This Row],[FME ID]],FME_Input[FME_ID],FME_Input[POP100])</f>
        <v>2456</v>
      </c>
      <c r="Q24" s="35" t="e">
        <f>FME_Ranking_Option2!$P24*P$4</f>
        <v>#REF!</v>
      </c>
      <c r="R24" s="35">
        <f>FME_Ranking_Option2!$P24/($P$3)</f>
        <v>9.0140414983568462E-4</v>
      </c>
      <c r="S24" s="35" t="e">
        <f>FME_Ranking_Option2!$R24*P$4</f>
        <v>#REF!</v>
      </c>
      <c r="T24" s="37">
        <f>_xlfn.XLOOKUP(FME_Ranking2[[#This Row],[FME ID]],FME_Input[FME_ID],FME_Input[CRITFAC100])</f>
        <v>3</v>
      </c>
      <c r="U24" s="35" t="e">
        <f>FME_Ranking_Option2!$T24*T$4</f>
        <v>#REF!</v>
      </c>
      <c r="V24" s="35">
        <f>FME_Ranking_Option2!$T24/($T$3)</f>
        <v>4.2307149908334509E-4</v>
      </c>
      <c r="W24" s="35" t="e">
        <f>FME_Ranking_Option2!$V24*T$4</f>
        <v>#REF!</v>
      </c>
      <c r="X24" s="37">
        <f>_xlfn.XLOOKUP(FME_Ranking2[[#This Row],[FME ID]],FME_Input[FME_ID],FME_Input[LWC])</f>
        <v>1</v>
      </c>
      <c r="Y24" s="35" t="e">
        <f>FME_Ranking_Option2!$X24*X$4</f>
        <v>#REF!</v>
      </c>
      <c r="Z24" s="35">
        <f>FME_Ranking_Option2!$X24/($X$3)</f>
        <v>9.1224229155263632E-5</v>
      </c>
      <c r="AA24" s="35" t="e">
        <f>FME_Ranking_Option2!$Z24*X$4</f>
        <v>#REF!</v>
      </c>
      <c r="AB24" s="37">
        <f>_xlfn.XLOOKUP(FME_Ranking2[[#This Row],[FME ID]],FME_Input[FME_ID],FME_Input[ROADCLS])</f>
        <v>1</v>
      </c>
      <c r="AC24" s="35" t="e">
        <f>FME_Ranking_Option2!$AB24*AB$4</f>
        <v>#REF!</v>
      </c>
      <c r="AD24" s="40">
        <f>_xlfn.XLOOKUP(FME_Ranking2[[#This Row],[FME ID]],FME_Input[FME_ID],FME_Input[ROAD_MILES100])</f>
        <v>17.1647834777832</v>
      </c>
      <c r="AE24" s="41" t="e">
        <f>FME_Ranking_Option2!$AD24*AD$4</f>
        <v>#REF!</v>
      </c>
      <c r="AF24" s="42">
        <f>FME_Ranking_Option2!$AD24/($AD$3)</f>
        <v>3.8770582046686108E-4</v>
      </c>
      <c r="AG24" s="42" t="e">
        <f>FME_Ranking_Option2!$AF24*AD$4</f>
        <v>#REF!</v>
      </c>
      <c r="AH24" s="40">
        <f>_xlfn.XLOOKUP(FME_Ranking2[[#This Row],[FME ID]],FME_Input[FME_ID],FME_Input[FARMACRE100])</f>
        <v>0.221631184220314</v>
      </c>
      <c r="AI24" s="43" t="e">
        <f>FME_Ranking_Option2!$AH24*AH$4</f>
        <v>#REF!</v>
      </c>
      <c r="AJ24" s="41">
        <f>FME_Ranking_Option2!$AH24/($AH$3)</f>
        <v>1.2869222974387928E-5</v>
      </c>
      <c r="AK24" s="44" t="e">
        <f>FME_Ranking_Option2!$AJ24*AH$4</f>
        <v>#REF!</v>
      </c>
      <c r="AL24"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4" s="45" t="e">
        <f>_xlfn.RANK.EQ(AL24,$AL$7:$AL$531)+COUNTIF(AL$7:AL24,AL24)-1</f>
        <v>#REF!</v>
      </c>
      <c r="AN24" s="44"/>
      <c r="AO24" s="45" t="e">
        <f>_xlfn.RANK.EQ(AN24,$AN$7:$AN$531)+COUNTIF(AN$7:AN24,AN24)-1</f>
        <v>#N/A</v>
      </c>
      <c r="AP2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4" s="32" t="e">
        <f>FME_Ranking2[[#This Row],[Score Based on Reported Factors]]-FME_Ranking2[[#This Row],[Check]]</f>
        <v>#REF!</v>
      </c>
      <c r="AR24" s="32"/>
    </row>
    <row r="25" spans="1:55" ht="12" customHeight="1" x14ac:dyDescent="0.25">
      <c r="A25" s="16" t="s">
        <v>2263</v>
      </c>
      <c r="B25" s="16" t="str">
        <f>_xlfn.XLOOKUP(FME_Ranking2[[#This Row],[FME ID]],FME_Input[FME_ID],FME_Input[FME_NAME])</f>
        <v>Willow Creek - Overflow Flooding between Burlington Northern Railroad and Hufsmith-Kohrville Rd. Analysis</v>
      </c>
      <c r="C25" s="16" t="str">
        <f>_xlfn.XLOOKUP(FME_Ranking2[[#This Row],[FME ID]],FME_Input[FME_ID],FME_Input[DESCR])</f>
        <v>Study recommended as part of the Willow Creek Watershed Plan.  Planning level analysis to identify flooding reasons in Northern Point subdivison south of SH99.</v>
      </c>
      <c r="D25" s="46" t="str">
        <f>_xlfn.XLOOKUP(FME_Ranking2[[#This Row],[FME ID]],FME_Input[FME_ID],FME_Input[EMER_NEED])</f>
        <v>No</v>
      </c>
      <c r="E25" s="121">
        <f>IF(FME_Ranking_Option2!$D25="Yes",100,0)</f>
        <v>0</v>
      </c>
      <c r="F25" s="47" t="str">
        <f>_xlfn.XLOOKUP(FME_Ranking2[[#This Row],[FME ID]],FME_Input[FME_ID],FME_Input[FUND])</f>
        <v>Yes</v>
      </c>
      <c r="G25" s="48">
        <f>IF(FME_Ranking_Option2!$F25="Yes",1,0)</f>
        <v>1</v>
      </c>
      <c r="H25" s="46">
        <f>_xlfn.XLOOKUP(FME_Ranking2[[#This Row],[FME ID]],FME_Input[FME_ID],FME_Input[STRUCT_100])</f>
        <v>10</v>
      </c>
      <c r="I25" s="65" t="e">
        <f>FME_Ranking2[[#This Row],[Raw Data3]]*H$4</f>
        <v>#REF!</v>
      </c>
      <c r="J25" s="62">
        <f>((FME_Ranking_Option2!$H25)/($H$3))*100</f>
        <v>1.111272863050066E-3</v>
      </c>
      <c r="K25" s="49" t="e">
        <f>FME_Ranking2[[#This Row],[Norm Data3]]*H$4</f>
        <v>#REF!</v>
      </c>
      <c r="L25" s="50">
        <f>_xlfn.XLOOKUP(FME_Ranking2[[#This Row],[FME ID]],FME_Input[FME_ID],FME_Input[RES_STRUCT100])</f>
        <v>0</v>
      </c>
      <c r="M25" s="51" t="e">
        <f>FME_Ranking2[[#This Row],[Raw Data4]]*L$4</f>
        <v>#REF!</v>
      </c>
      <c r="N25" s="29">
        <f>((FME_Ranking_Option2!$L25)/($L$3))*100</f>
        <v>0</v>
      </c>
      <c r="O25" s="52" t="e">
        <f>FME_Ranking2[[#This Row],[Norm Data4]]*L$4</f>
        <v>#REF!</v>
      </c>
      <c r="P25" s="47">
        <f>_xlfn.XLOOKUP(FME_Ranking2[[#This Row],[FME ID]],FME_Input[FME_ID],FME_Input[POP100])</f>
        <v>9</v>
      </c>
      <c r="Q25" s="48" t="e">
        <f>FME_Ranking_Option2!$P25*P$4</f>
        <v>#REF!</v>
      </c>
      <c r="R25" s="48">
        <f>FME_Ranking_Option2!$P25/($P$3)</f>
        <v>3.3031911028180624E-6</v>
      </c>
      <c r="S25" s="48" t="e">
        <f>FME_Ranking_Option2!$R25*P$4</f>
        <v>#REF!</v>
      </c>
      <c r="T25" s="50">
        <f>_xlfn.XLOOKUP(FME_Ranking2[[#This Row],[FME ID]],FME_Input[FME_ID],FME_Input[CRITFAC100])</f>
        <v>0</v>
      </c>
      <c r="U25" s="48" t="e">
        <f>FME_Ranking_Option2!$T25*T$4</f>
        <v>#REF!</v>
      </c>
      <c r="V25" s="48">
        <f>FME_Ranking_Option2!$T25/($T$3)</f>
        <v>0</v>
      </c>
      <c r="W25" s="48" t="e">
        <f>FME_Ranking_Option2!$V25*T$4</f>
        <v>#REF!</v>
      </c>
      <c r="X25" s="50">
        <f>_xlfn.XLOOKUP(FME_Ranking2[[#This Row],[FME ID]],FME_Input[FME_ID],FME_Input[LWC])</f>
        <v>1</v>
      </c>
      <c r="Y25" s="48" t="e">
        <f>FME_Ranking_Option2!$X25*X$4</f>
        <v>#REF!</v>
      </c>
      <c r="Z25" s="48">
        <f>FME_Ranking_Option2!$X25/($X$3)</f>
        <v>9.1224229155263632E-5</v>
      </c>
      <c r="AA25" s="48" t="e">
        <f>FME_Ranking_Option2!$Z25*X$4</f>
        <v>#REF!</v>
      </c>
      <c r="AB25" s="50">
        <f>_xlfn.XLOOKUP(FME_Ranking2[[#This Row],[FME ID]],FME_Input[FME_ID],FME_Input[ROADCLS])</f>
        <v>1</v>
      </c>
      <c r="AC25" s="48" t="e">
        <f>FME_Ranking_Option2!$AB25*AB$4</f>
        <v>#REF!</v>
      </c>
      <c r="AD25" s="53">
        <f>_xlfn.XLOOKUP(FME_Ranking2[[#This Row],[FME ID]],FME_Input[FME_ID],FME_Input[ROAD_MILES100])</f>
        <v>0.50292670726776123</v>
      </c>
      <c r="AE25" s="54" t="e">
        <f>FME_Ranking_Option2!$AD25*AD$4</f>
        <v>#REF!</v>
      </c>
      <c r="AF25" s="55">
        <f>FME_Ranking_Option2!$AD25/($AD$3)</f>
        <v>1.1359747819034332E-5</v>
      </c>
      <c r="AG25" s="55" t="e">
        <f>FME_Ranking_Option2!$AF25*AD$4</f>
        <v>#REF!</v>
      </c>
      <c r="AH25" s="53">
        <f>_xlfn.XLOOKUP(FME_Ranking2[[#This Row],[FME ID]],FME_Input[FME_ID],FME_Input[FARMACRE100])</f>
        <v>2.658556222915649</v>
      </c>
      <c r="AI25" s="54" t="e">
        <f>FME_Ranking_Option2!$AH25*AH$4</f>
        <v>#REF!</v>
      </c>
      <c r="AJ25" s="56">
        <f>FME_Ranking_Option2!$AH25/($AH$3)</f>
        <v>1.5437156527863807E-4</v>
      </c>
      <c r="AK25" s="57" t="e">
        <f>FME_Ranking_Option2!$AJ25*AH$4</f>
        <v>#REF!</v>
      </c>
      <c r="AL25"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5" s="58" t="e">
        <f>_xlfn.RANK.EQ(AL25,$AL$7:$AL$531)+COUNTIF(AL$7:AL25,AL25)-1</f>
        <v>#REF!</v>
      </c>
      <c r="AN25" s="57"/>
      <c r="AO25" s="58" t="e">
        <f>_xlfn.RANK.EQ(AN25,$AN$7:$AN$531)+COUNTIF(AN$7:AN25,AN25)-1</f>
        <v>#N/A</v>
      </c>
      <c r="AP2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5" s="32" t="e">
        <f>FME_Ranking2[[#This Row],[Score Based on Reported Factors]]-FME_Ranking2[[#This Row],[Check]]</f>
        <v>#REF!</v>
      </c>
      <c r="AR25" s="32"/>
      <c r="AT25" s="19"/>
      <c r="AU25" s="19"/>
      <c r="AV25" s="19"/>
      <c r="AW25" s="19"/>
      <c r="AX25" s="19"/>
      <c r="AY25" s="19"/>
      <c r="AZ25" s="19"/>
      <c r="BA25" s="19"/>
      <c r="BB25" s="19"/>
      <c r="BC25" s="19"/>
    </row>
    <row r="26" spans="1:55" ht="12" customHeight="1" x14ac:dyDescent="0.25">
      <c r="A26" s="17" t="s">
        <v>854</v>
      </c>
      <c r="B26" s="17" t="str">
        <f>_xlfn.XLOOKUP(FME_Ranking2[[#This Row],[FME ID]],FME_Input[FME_ID],FME_Input[FME_NAME])</f>
        <v>Galveston Bay Watershed Plan- Analysis of PA07 100-year Conveyance Project</v>
      </c>
      <c r="C26" s="17" t="str">
        <f>_xlfn.XLOOKUP(FME_Ranking2[[#This Row],[FME ID]],FME_Input[FME_ID],FME_Input[DESCR])</f>
        <v xml:space="preserve">Project recommended by the Galveston Bay Watershed Plan. Modeling required to determine no negative Proposed subdivision drainage improvements to the Battle Ground Estates include replacement of  driveway crossings and widening F101-08. </v>
      </c>
      <c r="D26" s="33" t="str">
        <f>_xlfn.XLOOKUP(FME_Ranking2[[#This Row],[FME ID]],FME_Input[FME_ID],FME_Input[EMER_NEED])</f>
        <v>No</v>
      </c>
      <c r="E26" s="120">
        <f>IF(FME_Ranking_Option2!$D26="Yes",100,0)</f>
        <v>0</v>
      </c>
      <c r="F26" s="34" t="str">
        <f>_xlfn.XLOOKUP(FME_Ranking2[[#This Row],[FME ID]],FME_Input[FME_ID],FME_Input[FUND])</f>
        <v>Yes</v>
      </c>
      <c r="G26" s="35">
        <f>IF(FME_Ranking_Option2!$F26="Yes",1,0)</f>
        <v>1</v>
      </c>
      <c r="H26" s="33">
        <f>_xlfn.XLOOKUP(FME_Ranking2[[#This Row],[FME ID]],FME_Input[FME_ID],FME_Input[STRUCT_100])</f>
        <v>3302</v>
      </c>
      <c r="I26" s="64" t="e">
        <f>FME_Ranking2[[#This Row],[Raw Data3]]*H$4</f>
        <v>#REF!</v>
      </c>
      <c r="J26" s="63">
        <f>((FME_Ranking_Option2!$H26)/($H$3))*100</f>
        <v>0.36694229937913186</v>
      </c>
      <c r="K26" s="36" t="e">
        <f>FME_Ranking2[[#This Row],[Norm Data3]]*H$4</f>
        <v>#REF!</v>
      </c>
      <c r="L26" s="37">
        <f>_xlfn.XLOOKUP(FME_Ranking2[[#This Row],[FME ID]],FME_Input[FME_ID],FME_Input[RES_STRUCT100])</f>
        <v>2855</v>
      </c>
      <c r="M26" s="38" t="e">
        <f>FME_Ranking2[[#This Row],[Raw Data4]]*L$4</f>
        <v>#REF!</v>
      </c>
      <c r="N26" s="28">
        <f>((FME_Ranking_Option2!$L26)/($L$3))*100</f>
        <v>0.42683100033937177</v>
      </c>
      <c r="O26" s="39" t="e">
        <f>FME_Ranking2[[#This Row],[Norm Data4]]*L$4</f>
        <v>#REF!</v>
      </c>
      <c r="P26" s="34">
        <f>_xlfn.XLOOKUP(FME_Ranking2[[#This Row],[FME ID]],FME_Input[FME_ID],FME_Input[POP100])</f>
        <v>14150</v>
      </c>
      <c r="Q26" s="35" t="e">
        <f>FME_Ranking_Option2!$P26*P$4</f>
        <v>#REF!</v>
      </c>
      <c r="R26" s="35">
        <f>FME_Ranking_Option2!$P26/($P$3)</f>
        <v>5.1933504560972869E-3</v>
      </c>
      <c r="S26" s="35" t="e">
        <f>FME_Ranking_Option2!$R26*P$4</f>
        <v>#REF!</v>
      </c>
      <c r="T26" s="37">
        <f>_xlfn.XLOOKUP(FME_Ranking2[[#This Row],[FME ID]],FME_Input[FME_ID],FME_Input[CRITFAC100])</f>
        <v>108</v>
      </c>
      <c r="U26" s="35" t="e">
        <f>FME_Ranking_Option2!$T26*T$4</f>
        <v>#REF!</v>
      </c>
      <c r="V26" s="35">
        <f>FME_Ranking_Option2!$T26/($T$3)</f>
        <v>1.5230573967000423E-2</v>
      </c>
      <c r="W26" s="35" t="e">
        <f>FME_Ranking_Option2!$V26*T$4</f>
        <v>#REF!</v>
      </c>
      <c r="X26" s="37">
        <f>_xlfn.XLOOKUP(FME_Ranking2[[#This Row],[FME ID]],FME_Input[FME_ID],FME_Input[LWC])</f>
        <v>0</v>
      </c>
      <c r="Y26" s="35" t="e">
        <f>FME_Ranking_Option2!$X26*X$4</f>
        <v>#REF!</v>
      </c>
      <c r="Z26" s="35">
        <f>FME_Ranking_Option2!$X26/($X$3)</f>
        <v>0</v>
      </c>
      <c r="AA26" s="35" t="e">
        <f>FME_Ranking_Option2!$Z26*X$4</f>
        <v>#REF!</v>
      </c>
      <c r="AB26" s="37">
        <f>_xlfn.XLOOKUP(FME_Ranking2[[#This Row],[FME ID]],FME_Input[FME_ID],FME_Input[ROADCLS])</f>
        <v>0</v>
      </c>
      <c r="AC26" s="35" t="e">
        <f>FME_Ranking_Option2!$AB26*AB$4</f>
        <v>#REF!</v>
      </c>
      <c r="AD26" s="40">
        <f>_xlfn.XLOOKUP(FME_Ranking2[[#This Row],[FME ID]],FME_Input[FME_ID],FME_Input[ROAD_MILES100])</f>
        <v>55.056369781494141</v>
      </c>
      <c r="AE26" s="41" t="e">
        <f>FME_Ranking_Option2!$AD26*AD$4</f>
        <v>#REF!</v>
      </c>
      <c r="AF26" s="42">
        <f>FME_Ranking_Option2!$AD26/($AD$3)</f>
        <v>1.2435738001408123E-3</v>
      </c>
      <c r="AG26" s="42" t="e">
        <f>FME_Ranking_Option2!$AF26*AD$4</f>
        <v>#REF!</v>
      </c>
      <c r="AH26" s="40">
        <f>_xlfn.XLOOKUP(FME_Ranking2[[#This Row],[FME ID]],FME_Input[FME_ID],FME_Input[FARMACRE100])</f>
        <v>17.817182540893551</v>
      </c>
      <c r="AI26" s="43" t="e">
        <f>FME_Ranking_Option2!$AH26*AH$4</f>
        <v>#REF!</v>
      </c>
      <c r="AJ26" s="41">
        <f>FME_Ranking_Option2!$AH26/($AH$3)</f>
        <v>1.0345714467067061E-3</v>
      </c>
      <c r="AK26" s="44" t="e">
        <f>FME_Ranking_Option2!$AJ26*AH$4</f>
        <v>#REF!</v>
      </c>
      <c r="AL26"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6" s="45" t="e">
        <f>_xlfn.RANK.EQ(AL26,$AL$7:$AL$531)+COUNTIF(AL$7:AL26,AL26)-1</f>
        <v>#REF!</v>
      </c>
      <c r="AN26" s="44"/>
      <c r="AO26" s="45" t="e">
        <f>_xlfn.RANK.EQ(AN26,$AN$7:$AN$531)+COUNTIF(AN$7:AN26,AN26)-1</f>
        <v>#N/A</v>
      </c>
      <c r="AP2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6" s="32" t="e">
        <f>FME_Ranking2[[#This Row],[Score Based on Reported Factors]]-FME_Ranking2[[#This Row],[Check]]</f>
        <v>#REF!</v>
      </c>
      <c r="AR26" s="32"/>
    </row>
    <row r="27" spans="1:55" ht="12" customHeight="1" x14ac:dyDescent="0.25">
      <c r="A27" s="16" t="s">
        <v>864</v>
      </c>
      <c r="B27" s="16" t="str">
        <f>_xlfn.XLOOKUP(FME_Ranking2[[#This Row],[FME ID]],FME_Input[FME_ID],FME_Input[FME_NAME])</f>
        <v>Galveston Bay Watershed Plan- Analysis of PA08 100-year Conveyance Project</v>
      </c>
      <c r="C27" s="16" t="str">
        <f>_xlfn.XLOOKUP(FME_Ranking2[[#This Row],[FME ID]],FME_Input[FME_ID],FME_Input[DESCR])</f>
        <v>Project recommended by the Galveston Bay Watershed Plan. Modeling required to determine no negative impacts. Storm sewer improvements to Monument Estates, increase roadside ditch capacity, and expand bypass channel outflowing into F101-00-00.</v>
      </c>
      <c r="D27" s="46" t="str">
        <f>_xlfn.XLOOKUP(FME_Ranking2[[#This Row],[FME ID]],FME_Input[FME_ID],FME_Input[EMER_NEED])</f>
        <v>No</v>
      </c>
      <c r="E27" s="121">
        <f>IF(FME_Ranking_Option2!$D27="Yes",100,0)</f>
        <v>0</v>
      </c>
      <c r="F27" s="47" t="str">
        <f>_xlfn.XLOOKUP(FME_Ranking2[[#This Row],[FME ID]],FME_Input[FME_ID],FME_Input[FUND])</f>
        <v>Yes</v>
      </c>
      <c r="G27" s="48">
        <f>IF(FME_Ranking_Option2!$F27="Yes",1,0)</f>
        <v>1</v>
      </c>
      <c r="H27" s="46">
        <f>_xlfn.XLOOKUP(FME_Ranking2[[#This Row],[FME ID]],FME_Input[FME_ID],FME_Input[STRUCT_100])</f>
        <v>3302</v>
      </c>
      <c r="I27" s="65" t="e">
        <f>FME_Ranking2[[#This Row],[Raw Data3]]*H$4</f>
        <v>#REF!</v>
      </c>
      <c r="J27" s="62">
        <f>((FME_Ranking_Option2!$H27)/($H$3))*100</f>
        <v>0.36694229937913186</v>
      </c>
      <c r="K27" s="49" t="e">
        <f>FME_Ranking2[[#This Row],[Norm Data3]]*H$4</f>
        <v>#REF!</v>
      </c>
      <c r="L27" s="50">
        <f>_xlfn.XLOOKUP(FME_Ranking2[[#This Row],[FME ID]],FME_Input[FME_ID],FME_Input[RES_STRUCT100])</f>
        <v>2855</v>
      </c>
      <c r="M27" s="51" t="e">
        <f>FME_Ranking2[[#This Row],[Raw Data4]]*L$4</f>
        <v>#REF!</v>
      </c>
      <c r="N27" s="29">
        <f>((FME_Ranking_Option2!$L27)/($L$3))*100</f>
        <v>0.42683100033937177</v>
      </c>
      <c r="O27" s="52" t="e">
        <f>FME_Ranking2[[#This Row],[Norm Data4]]*L$4</f>
        <v>#REF!</v>
      </c>
      <c r="P27" s="47">
        <f>_xlfn.XLOOKUP(FME_Ranking2[[#This Row],[FME ID]],FME_Input[FME_ID],FME_Input[POP100])</f>
        <v>14150</v>
      </c>
      <c r="Q27" s="48" t="e">
        <f>FME_Ranking_Option2!$P27*P$4</f>
        <v>#REF!</v>
      </c>
      <c r="R27" s="48">
        <f>FME_Ranking_Option2!$P27/($P$3)</f>
        <v>5.1933504560972869E-3</v>
      </c>
      <c r="S27" s="48" t="e">
        <f>FME_Ranking_Option2!$R27*P$4</f>
        <v>#REF!</v>
      </c>
      <c r="T27" s="50">
        <f>_xlfn.XLOOKUP(FME_Ranking2[[#This Row],[FME ID]],FME_Input[FME_ID],FME_Input[CRITFAC100])</f>
        <v>108</v>
      </c>
      <c r="U27" s="48" t="e">
        <f>FME_Ranking_Option2!$T27*T$4</f>
        <v>#REF!</v>
      </c>
      <c r="V27" s="48">
        <f>FME_Ranking_Option2!$T27/($T$3)</f>
        <v>1.5230573967000423E-2</v>
      </c>
      <c r="W27" s="48" t="e">
        <f>FME_Ranking_Option2!$V27*T$4</f>
        <v>#REF!</v>
      </c>
      <c r="X27" s="50">
        <f>_xlfn.XLOOKUP(FME_Ranking2[[#This Row],[FME ID]],FME_Input[FME_ID],FME_Input[LWC])</f>
        <v>0</v>
      </c>
      <c r="Y27" s="48" t="e">
        <f>FME_Ranking_Option2!$X27*X$4</f>
        <v>#REF!</v>
      </c>
      <c r="Z27" s="48">
        <f>FME_Ranking_Option2!$X27/($X$3)</f>
        <v>0</v>
      </c>
      <c r="AA27" s="48" t="e">
        <f>FME_Ranking_Option2!$Z27*X$4</f>
        <v>#REF!</v>
      </c>
      <c r="AB27" s="50">
        <f>_xlfn.XLOOKUP(FME_Ranking2[[#This Row],[FME ID]],FME_Input[FME_ID],FME_Input[ROADCLS])</f>
        <v>0</v>
      </c>
      <c r="AC27" s="48" t="e">
        <f>FME_Ranking_Option2!$AB27*AB$4</f>
        <v>#REF!</v>
      </c>
      <c r="AD27" s="53">
        <f>_xlfn.XLOOKUP(FME_Ranking2[[#This Row],[FME ID]],FME_Input[FME_ID],FME_Input[ROAD_MILES100])</f>
        <v>55.056369781494141</v>
      </c>
      <c r="AE27" s="54" t="e">
        <f>FME_Ranking_Option2!$AD27*AD$4</f>
        <v>#REF!</v>
      </c>
      <c r="AF27" s="55">
        <f>FME_Ranking_Option2!$AD27/($AD$3)</f>
        <v>1.2435738001408123E-3</v>
      </c>
      <c r="AG27" s="55" t="e">
        <f>FME_Ranking_Option2!$AF27*AD$4</f>
        <v>#REF!</v>
      </c>
      <c r="AH27" s="53">
        <f>_xlfn.XLOOKUP(FME_Ranking2[[#This Row],[FME ID]],FME_Input[FME_ID],FME_Input[FARMACRE100])</f>
        <v>17.817182540893551</v>
      </c>
      <c r="AI27" s="54" t="e">
        <f>FME_Ranking_Option2!$AH27*AH$4</f>
        <v>#REF!</v>
      </c>
      <c r="AJ27" s="56">
        <f>FME_Ranking_Option2!$AH27/($AH$3)</f>
        <v>1.0345714467067061E-3</v>
      </c>
      <c r="AK27" s="57" t="e">
        <f>FME_Ranking_Option2!$AJ27*AH$4</f>
        <v>#REF!</v>
      </c>
      <c r="AL27"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7" s="58" t="e">
        <f>_xlfn.RANK.EQ(AL27,$AL$7:$AL$531)+COUNTIF(AL$7:AL27,AL27)-1</f>
        <v>#REF!</v>
      </c>
      <c r="AN27" s="57"/>
      <c r="AO27" s="58" t="e">
        <f>_xlfn.RANK.EQ(AN27,$AN$7:$AN$531)+COUNTIF(AN$7:AN27,AN27)-1</f>
        <v>#N/A</v>
      </c>
      <c r="AP2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7" s="32" t="e">
        <f>FME_Ranking2[[#This Row],[Score Based on Reported Factors]]-FME_Ranking2[[#This Row],[Check]]</f>
        <v>#REF!</v>
      </c>
      <c r="AR27" s="32"/>
      <c r="AT27" s="19"/>
      <c r="AU27" s="19"/>
      <c r="AV27" s="19"/>
      <c r="AW27" s="19"/>
      <c r="AX27" s="19"/>
      <c r="AY27" s="19"/>
      <c r="AZ27" s="19"/>
      <c r="BA27" s="19"/>
      <c r="BB27" s="19"/>
      <c r="BC27" s="19"/>
    </row>
    <row r="28" spans="1:55" ht="12" customHeight="1" x14ac:dyDescent="0.25">
      <c r="A28" s="17" t="s">
        <v>867</v>
      </c>
      <c r="B28" s="17" t="str">
        <f>_xlfn.XLOOKUP(FME_Ranking2[[#This Row],[FME ID]],FME_Input[FME_ID],FME_Input[FME_NAME])</f>
        <v>City of Alvin Flood Gauges</v>
      </c>
      <c r="C28" s="17" t="str">
        <f>_xlfn.XLOOKUP(FME_Ranking2[[#This Row],[FME ID]],FME_Input[FME_ID],FME_Input[DESCR])</f>
        <v>Study to identify areas where best to purchase additional flood gauges to be placed at bayous and key high water areas within City of Alvin.</v>
      </c>
      <c r="D28" s="33" t="str">
        <f>_xlfn.XLOOKUP(FME_Ranking2[[#This Row],[FME ID]],FME_Input[FME_ID],FME_Input[EMER_NEED])</f>
        <v>No</v>
      </c>
      <c r="E28" s="120">
        <f>IF(FME_Ranking_Option2!$D28="Yes",100,0)</f>
        <v>0</v>
      </c>
      <c r="F28" s="34" t="str">
        <f>_xlfn.XLOOKUP(FME_Ranking2[[#This Row],[FME ID]],FME_Input[FME_ID],FME_Input[FUND])</f>
        <v>Yes</v>
      </c>
      <c r="G28" s="35">
        <f>IF(FME_Ranking_Option2!$F28="Yes",1,0)</f>
        <v>1</v>
      </c>
      <c r="H28" s="33">
        <f>_xlfn.XLOOKUP(FME_Ranking2[[#This Row],[FME ID]],FME_Input[FME_ID],FME_Input[STRUCT_100])</f>
        <v>3445</v>
      </c>
      <c r="I28" s="64" t="e">
        <f>FME_Ranking2[[#This Row],[Raw Data3]]*H$4</f>
        <v>#REF!</v>
      </c>
      <c r="J28" s="63">
        <f>((FME_Ranking_Option2!$H28)/($H$3))*100</f>
        <v>0.38283350132074778</v>
      </c>
      <c r="K28" s="36" t="e">
        <f>FME_Ranking2[[#This Row],[Norm Data3]]*H$4</f>
        <v>#REF!</v>
      </c>
      <c r="L28" s="37">
        <f>_xlfn.XLOOKUP(FME_Ranking2[[#This Row],[FME ID]],FME_Input[FME_ID],FME_Input[RES_STRUCT100])</f>
        <v>2605</v>
      </c>
      <c r="M28" s="38" t="e">
        <f>FME_Ranking2[[#This Row],[Raw Data4]]*L$4</f>
        <v>#REF!</v>
      </c>
      <c r="N28" s="28">
        <f>((FME_Ranking_Option2!$L28)/($L$3))*100</f>
        <v>0.38945525600142328</v>
      </c>
      <c r="O28" s="39" t="e">
        <f>FME_Ranking2[[#This Row],[Norm Data4]]*L$4</f>
        <v>#REF!</v>
      </c>
      <c r="P28" s="34">
        <f>_xlfn.XLOOKUP(FME_Ranking2[[#This Row],[FME ID]],FME_Input[FME_ID],FME_Input[POP100])</f>
        <v>21569</v>
      </c>
      <c r="Q28" s="35" t="e">
        <f>FME_Ranking_Option2!$P28*P$4</f>
        <v>#REF!</v>
      </c>
      <c r="R28" s="35">
        <f>FME_Ranking_Option2!$P28/($P$3)</f>
        <v>7.9162809885203102E-3</v>
      </c>
      <c r="S28" s="35" t="e">
        <f>FME_Ranking_Option2!$R28*P$4</f>
        <v>#REF!</v>
      </c>
      <c r="T28" s="37">
        <f>_xlfn.XLOOKUP(FME_Ranking2[[#This Row],[FME ID]],FME_Input[FME_ID],FME_Input[CRITFAC100])</f>
        <v>18</v>
      </c>
      <c r="U28" s="35" t="e">
        <f>FME_Ranking_Option2!$T28*T$4</f>
        <v>#REF!</v>
      </c>
      <c r="V28" s="35">
        <f>FME_Ranking_Option2!$T28/($T$3)</f>
        <v>2.5384289945000705E-3</v>
      </c>
      <c r="W28" s="35" t="e">
        <f>FME_Ranking_Option2!$V28*T$4</f>
        <v>#REF!</v>
      </c>
      <c r="X28" s="37">
        <f>_xlfn.XLOOKUP(FME_Ranking2[[#This Row],[FME ID]],FME_Input[FME_ID],FME_Input[LWC])</f>
        <v>0</v>
      </c>
      <c r="Y28" s="35" t="e">
        <f>FME_Ranking_Option2!$X28*X$4</f>
        <v>#REF!</v>
      </c>
      <c r="Z28" s="35">
        <f>FME_Ranking_Option2!$X28/($X$3)</f>
        <v>0</v>
      </c>
      <c r="AA28" s="35" t="e">
        <f>FME_Ranking_Option2!$Z28*X$4</f>
        <v>#REF!</v>
      </c>
      <c r="AB28" s="37">
        <f>_xlfn.XLOOKUP(FME_Ranking2[[#This Row],[FME ID]],FME_Input[FME_ID],FME_Input[ROADCLS])</f>
        <v>0</v>
      </c>
      <c r="AC28" s="35" t="e">
        <f>FME_Ranking_Option2!$AB28*AB$4</f>
        <v>#REF!</v>
      </c>
      <c r="AD28" s="40">
        <f>_xlfn.XLOOKUP(FME_Ranking2[[#This Row],[FME ID]],FME_Input[FME_ID],FME_Input[ROAD_MILES100])</f>
        <v>56.80682373046875</v>
      </c>
      <c r="AE28" s="41" t="e">
        <f>FME_Ranking_Option2!$AD28*AD$4</f>
        <v>#REF!</v>
      </c>
      <c r="AF28" s="42">
        <f>FME_Ranking_Option2!$AD28/($AD$3)</f>
        <v>1.2831117987036876E-3</v>
      </c>
      <c r="AG28" s="42" t="e">
        <f>FME_Ranking_Option2!$AF28*AD$4</f>
        <v>#REF!</v>
      </c>
      <c r="AH28" s="40">
        <f>_xlfn.XLOOKUP(FME_Ranking2[[#This Row],[FME ID]],FME_Input[FME_ID],FME_Input[FARMACRE100])</f>
        <v>262.29559326171881</v>
      </c>
      <c r="AI28" s="43" t="e">
        <f>FME_Ranking_Option2!$AH28*AH$4</f>
        <v>#REF!</v>
      </c>
      <c r="AJ28" s="41">
        <f>FME_Ranking_Option2!$AH28/($AH$3)</f>
        <v>1.5230440096953792E-2</v>
      </c>
      <c r="AK28" s="44" t="e">
        <f>FME_Ranking_Option2!$AJ28*AH$4</f>
        <v>#REF!</v>
      </c>
      <c r="AL2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8" s="45" t="e">
        <f>_xlfn.RANK.EQ(AL28,$AL$7:$AL$531)+COUNTIF(AL$7:AL28,AL28)-1</f>
        <v>#REF!</v>
      </c>
      <c r="AN28" s="44"/>
      <c r="AO28" s="45" t="e">
        <f>_xlfn.RANK.EQ(AN28,$AN$7:$AN$531)+COUNTIF(AN$7:AN28,AN28)-1</f>
        <v>#N/A</v>
      </c>
      <c r="AP2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8" s="32" t="e">
        <f>FME_Ranking2[[#This Row],[Score Based on Reported Factors]]-FME_Ranking2[[#This Row],[Check]]</f>
        <v>#REF!</v>
      </c>
      <c r="AR28" s="32"/>
    </row>
    <row r="29" spans="1:55" ht="12" customHeight="1" x14ac:dyDescent="0.25">
      <c r="A29" s="16" t="s">
        <v>930</v>
      </c>
      <c r="B29" s="16" t="str">
        <f>_xlfn.XLOOKUP(FME_Ranking2[[#This Row],[FME ID]],FME_Input[FME_ID],FME_Input[FME_NAME])</f>
        <v xml:space="preserve">Brazoria County Costal River Flood Extent Analysis </v>
      </c>
      <c r="C29" s="16" t="str">
        <f>_xlfn.XLOOKUP(FME_Ranking2[[#This Row],[FME ID]],FME_Input[FME_ID],FME_Input[DESCR])</f>
        <v>Study to determine flood extents, in Brazoria County, of recent hurricane disasters, by analyzing the post event aerial imagery through a GIS image classification process, and compare the flood extent area to other sources, such as LIDAR.</v>
      </c>
      <c r="D29" s="46" t="str">
        <f>_xlfn.XLOOKUP(FME_Ranking2[[#This Row],[FME ID]],FME_Input[FME_ID],FME_Input[EMER_NEED])</f>
        <v>No</v>
      </c>
      <c r="E29" s="121">
        <f>IF(FME_Ranking_Option2!$D29="Yes",100,0)</f>
        <v>0</v>
      </c>
      <c r="F29" s="47" t="str">
        <f>_xlfn.XLOOKUP(FME_Ranking2[[#This Row],[FME ID]],FME_Input[FME_ID],FME_Input[FUND])</f>
        <v>Yes</v>
      </c>
      <c r="G29" s="48">
        <f>IF(FME_Ranking_Option2!$F29="Yes",1,0)</f>
        <v>1</v>
      </c>
      <c r="H29" s="46">
        <f>_xlfn.XLOOKUP(FME_Ranking2[[#This Row],[FME ID]],FME_Input[FME_ID],FME_Input[STRUCT_100])</f>
        <v>18848</v>
      </c>
      <c r="I29" s="65" t="e">
        <f>FME_Ranking2[[#This Row],[Raw Data3]]*H$4</f>
        <v>#REF!</v>
      </c>
      <c r="J29" s="62">
        <f>((FME_Ranking_Option2!$H29)/($H$3))*100</f>
        <v>2.0945270922767647</v>
      </c>
      <c r="K29" s="49" t="e">
        <f>FME_Ranking2[[#This Row],[Norm Data3]]*H$4</f>
        <v>#REF!</v>
      </c>
      <c r="L29" s="50">
        <f>_xlfn.XLOOKUP(FME_Ranking2[[#This Row],[FME ID]],FME_Input[FME_ID],FME_Input[RES_STRUCT100])</f>
        <v>14344</v>
      </c>
      <c r="M29" s="51" t="e">
        <f>FME_Ranking2[[#This Row],[Raw Data4]]*L$4</f>
        <v>#REF!</v>
      </c>
      <c r="N29" s="29">
        <f>((FME_Ranking_Option2!$L29)/($L$3))*100</f>
        <v>2.1444707071341327</v>
      </c>
      <c r="O29" s="52" t="e">
        <f>FME_Ranking2[[#This Row],[Norm Data4]]*L$4</f>
        <v>#REF!</v>
      </c>
      <c r="P29" s="47">
        <f>_xlfn.XLOOKUP(FME_Ranking2[[#This Row],[FME ID]],FME_Input[FME_ID],FME_Input[POP100])</f>
        <v>65547</v>
      </c>
      <c r="Q29" s="48" t="e">
        <f>FME_Ranking_Option2!$P29*P$4</f>
        <v>#REF!</v>
      </c>
      <c r="R29" s="48">
        <f>FME_Ranking_Option2!$P29/($P$3)</f>
        <v>2.4057140801823949E-2</v>
      </c>
      <c r="S29" s="48" t="e">
        <f>FME_Ranking_Option2!$R29*P$4</f>
        <v>#REF!</v>
      </c>
      <c r="T29" s="50">
        <f>_xlfn.XLOOKUP(FME_Ranking2[[#This Row],[FME ID]],FME_Input[FME_ID],FME_Input[CRITFAC100])</f>
        <v>248</v>
      </c>
      <c r="U29" s="48" t="e">
        <f>FME_Ranking_Option2!$T29*T$4</f>
        <v>#REF!</v>
      </c>
      <c r="V29" s="48">
        <f>FME_Ranking_Option2!$T29/($T$3)</f>
        <v>3.4973910590889862E-2</v>
      </c>
      <c r="W29" s="48" t="e">
        <f>FME_Ranking_Option2!$V29*T$4</f>
        <v>#REF!</v>
      </c>
      <c r="X29" s="50">
        <f>_xlfn.XLOOKUP(FME_Ranking2[[#This Row],[FME ID]],FME_Input[FME_ID],FME_Input[LWC])</f>
        <v>0</v>
      </c>
      <c r="Y29" s="48" t="e">
        <f>FME_Ranking_Option2!$X29*X$4</f>
        <v>#REF!</v>
      </c>
      <c r="Z29" s="48">
        <f>FME_Ranking_Option2!$X29/($X$3)</f>
        <v>0</v>
      </c>
      <c r="AA29" s="48" t="e">
        <f>FME_Ranking_Option2!$Z29*X$4</f>
        <v>#REF!</v>
      </c>
      <c r="AB29" s="50">
        <f>_xlfn.XLOOKUP(FME_Ranking2[[#This Row],[FME ID]],FME_Input[FME_ID],FME_Input[ROADCLS])</f>
        <v>0</v>
      </c>
      <c r="AC29" s="48" t="e">
        <f>FME_Ranking_Option2!$AB29*AB$4</f>
        <v>#REF!</v>
      </c>
      <c r="AD29" s="53">
        <f>_xlfn.XLOOKUP(FME_Ranking2[[#This Row],[FME ID]],FME_Input[FME_ID],FME_Input[ROAD_MILES100])</f>
        <v>328.06332397460938</v>
      </c>
      <c r="AE29" s="54" t="e">
        <f>FME_Ranking_Option2!$AD29*AD$4</f>
        <v>#REF!</v>
      </c>
      <c r="AF29" s="55">
        <f>FME_Ranking_Option2!$AD29/($AD$3)</f>
        <v>7.4100591103458653E-3</v>
      </c>
      <c r="AG29" s="55" t="e">
        <f>FME_Ranking_Option2!$AF29*AD$4</f>
        <v>#REF!</v>
      </c>
      <c r="AH29" s="53">
        <f>_xlfn.XLOOKUP(FME_Ranking2[[#This Row],[FME ID]],FME_Input[FME_ID],FME_Input[FARMACRE100])</f>
        <v>8584.16015625</v>
      </c>
      <c r="AI29" s="54" t="e">
        <f>FME_Ranking_Option2!$AH29*AH$4</f>
        <v>#REF!</v>
      </c>
      <c r="AJ29" s="56">
        <f>FME_Ranking_Option2!$AH29/($AH$3)</f>
        <v>0.49844732584573043</v>
      </c>
      <c r="AK29" s="57" t="e">
        <f>FME_Ranking_Option2!$AJ29*AH$4</f>
        <v>#REF!</v>
      </c>
      <c r="AL2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9" s="58" t="e">
        <f>_xlfn.RANK.EQ(AL29,$AL$7:$AL$531)+COUNTIF(AL$7:AL29,AL29)-1</f>
        <v>#REF!</v>
      </c>
      <c r="AN29" s="57"/>
      <c r="AO29" s="58" t="e">
        <f>_xlfn.RANK.EQ(AN29,$AN$7:$AN$531)+COUNTIF(AN$7:AN29,AN29)-1</f>
        <v>#N/A</v>
      </c>
      <c r="AP2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9" s="32" t="e">
        <f>FME_Ranking2[[#This Row],[Score Based on Reported Factors]]-FME_Ranking2[[#This Row],[Check]]</f>
        <v>#REF!</v>
      </c>
      <c r="AR29" s="32"/>
      <c r="AT29" s="19"/>
      <c r="AU29" s="19"/>
      <c r="AV29" s="19"/>
      <c r="AW29" s="19"/>
      <c r="AX29" s="19"/>
      <c r="AY29" s="19"/>
      <c r="AZ29" s="19"/>
      <c r="BA29" s="19"/>
      <c r="BB29" s="19"/>
      <c r="BC29" s="19"/>
    </row>
    <row r="30" spans="1:55" ht="12" customHeight="1" x14ac:dyDescent="0.25">
      <c r="A30" s="17" t="s">
        <v>876</v>
      </c>
      <c r="B30" s="17" t="str">
        <f>_xlfn.XLOOKUP(FME_Ranking2[[#This Row],[FME ID]],FME_Input[FME_ID],FME_Input[FME_NAME])</f>
        <v xml:space="preserve">City of Alvin Master Drainage Plan </v>
      </c>
      <c r="C30" s="17" t="str">
        <f>_xlfn.XLOOKUP(FME_Ranking2[[#This Row],[FME ID]],FME_Input[FME_ID],FME_Input[DESCR])</f>
        <v>Comprehensive review of current drainage, studies and recommendations for future projects and studies to create a Master Drainage Plan for the City of Alvin.</v>
      </c>
      <c r="D30" s="33" t="str">
        <f>_xlfn.XLOOKUP(FME_Ranking2[[#This Row],[FME ID]],FME_Input[FME_ID],FME_Input[EMER_NEED])</f>
        <v>No</v>
      </c>
      <c r="E30" s="120">
        <f>IF(FME_Ranking_Option2!$D30="Yes",100,0)</f>
        <v>0</v>
      </c>
      <c r="F30" s="34" t="str">
        <f>_xlfn.XLOOKUP(FME_Ranking2[[#This Row],[FME ID]],FME_Input[FME_ID],FME_Input[FUND])</f>
        <v>Yes</v>
      </c>
      <c r="G30" s="35">
        <f>IF(FME_Ranking_Option2!$F30="Yes",1,0)</f>
        <v>1</v>
      </c>
      <c r="H30" s="33">
        <f>_xlfn.XLOOKUP(FME_Ranking2[[#This Row],[FME ID]],FME_Input[FME_ID],FME_Input[STRUCT_100])</f>
        <v>3445</v>
      </c>
      <c r="I30" s="64" t="e">
        <f>FME_Ranking2[[#This Row],[Raw Data3]]*H$4</f>
        <v>#REF!</v>
      </c>
      <c r="J30" s="63">
        <f>((FME_Ranking_Option2!$H30)/($H$3))*100</f>
        <v>0.38283350132074778</v>
      </c>
      <c r="K30" s="36" t="e">
        <f>FME_Ranking2[[#This Row],[Norm Data3]]*H$4</f>
        <v>#REF!</v>
      </c>
      <c r="L30" s="37">
        <f>_xlfn.XLOOKUP(FME_Ranking2[[#This Row],[FME ID]],FME_Input[FME_ID],FME_Input[RES_STRUCT100])</f>
        <v>2605</v>
      </c>
      <c r="M30" s="38" t="e">
        <f>FME_Ranking2[[#This Row],[Raw Data4]]*L$4</f>
        <v>#REF!</v>
      </c>
      <c r="N30" s="28">
        <f>((FME_Ranking_Option2!$L30)/($L$3))*100</f>
        <v>0.38945525600142328</v>
      </c>
      <c r="O30" s="39" t="e">
        <f>FME_Ranking2[[#This Row],[Norm Data4]]*L$4</f>
        <v>#REF!</v>
      </c>
      <c r="P30" s="34">
        <f>_xlfn.XLOOKUP(FME_Ranking2[[#This Row],[FME ID]],FME_Input[FME_ID],FME_Input[POP100])</f>
        <v>21569</v>
      </c>
      <c r="Q30" s="35" t="e">
        <f>FME_Ranking_Option2!$P30*P$4</f>
        <v>#REF!</v>
      </c>
      <c r="R30" s="35">
        <f>FME_Ranking_Option2!$P30/($P$3)</f>
        <v>7.9162809885203102E-3</v>
      </c>
      <c r="S30" s="35" t="e">
        <f>FME_Ranking_Option2!$R30*P$4</f>
        <v>#REF!</v>
      </c>
      <c r="T30" s="37">
        <f>_xlfn.XLOOKUP(FME_Ranking2[[#This Row],[FME ID]],FME_Input[FME_ID],FME_Input[CRITFAC100])</f>
        <v>18</v>
      </c>
      <c r="U30" s="35" t="e">
        <f>FME_Ranking_Option2!$T30*T$4</f>
        <v>#REF!</v>
      </c>
      <c r="V30" s="35">
        <f>FME_Ranking_Option2!$T30/($T$3)</f>
        <v>2.5384289945000705E-3</v>
      </c>
      <c r="W30" s="35" t="e">
        <f>FME_Ranking_Option2!$V30*T$4</f>
        <v>#REF!</v>
      </c>
      <c r="X30" s="37">
        <f>_xlfn.XLOOKUP(FME_Ranking2[[#This Row],[FME ID]],FME_Input[FME_ID],FME_Input[LWC])</f>
        <v>0</v>
      </c>
      <c r="Y30" s="35" t="e">
        <f>FME_Ranking_Option2!$X30*X$4</f>
        <v>#REF!</v>
      </c>
      <c r="Z30" s="35">
        <f>FME_Ranking_Option2!$X30/($X$3)</f>
        <v>0</v>
      </c>
      <c r="AA30" s="35" t="e">
        <f>FME_Ranking_Option2!$Z30*X$4</f>
        <v>#REF!</v>
      </c>
      <c r="AB30" s="37">
        <f>_xlfn.XLOOKUP(FME_Ranking2[[#This Row],[FME ID]],FME_Input[FME_ID],FME_Input[ROADCLS])</f>
        <v>0</v>
      </c>
      <c r="AC30" s="35" t="e">
        <f>FME_Ranking_Option2!$AB30*AB$4</f>
        <v>#REF!</v>
      </c>
      <c r="AD30" s="40">
        <f>_xlfn.XLOOKUP(FME_Ranking2[[#This Row],[FME ID]],FME_Input[FME_ID],FME_Input[ROAD_MILES100])</f>
        <v>56.80682373046875</v>
      </c>
      <c r="AE30" s="41" t="e">
        <f>FME_Ranking_Option2!$AD30*AD$4</f>
        <v>#REF!</v>
      </c>
      <c r="AF30" s="42">
        <f>FME_Ranking_Option2!$AD30/($AD$3)</f>
        <v>1.2831117987036876E-3</v>
      </c>
      <c r="AG30" s="42" t="e">
        <f>FME_Ranking_Option2!$AF30*AD$4</f>
        <v>#REF!</v>
      </c>
      <c r="AH30" s="40">
        <f>_xlfn.XLOOKUP(FME_Ranking2[[#This Row],[FME ID]],FME_Input[FME_ID],FME_Input[FARMACRE100])</f>
        <v>262.29559326171881</v>
      </c>
      <c r="AI30" s="43" t="e">
        <f>FME_Ranking_Option2!$AH30*AH$4</f>
        <v>#REF!</v>
      </c>
      <c r="AJ30" s="41">
        <f>FME_Ranking_Option2!$AH30/($AH$3)</f>
        <v>1.5230440096953792E-2</v>
      </c>
      <c r="AK30" s="44" t="e">
        <f>FME_Ranking_Option2!$AJ30*AH$4</f>
        <v>#REF!</v>
      </c>
      <c r="AL3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0" s="45" t="e">
        <f>_xlfn.RANK.EQ(AL30,$AL$7:$AL$531)+COUNTIF(AL$7:AL30,AL30)-1</f>
        <v>#REF!</v>
      </c>
      <c r="AN30" s="44"/>
      <c r="AO30" s="45" t="e">
        <f>_xlfn.RANK.EQ(AN30,$AN$7:$AN$531)+COUNTIF(AN$7:AN30,AN30)-1</f>
        <v>#N/A</v>
      </c>
      <c r="AP3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0" s="32" t="e">
        <f>FME_Ranking2[[#This Row],[Score Based on Reported Factors]]-FME_Ranking2[[#This Row],[Check]]</f>
        <v>#REF!</v>
      </c>
      <c r="AR30" s="32"/>
    </row>
    <row r="31" spans="1:55" ht="12" customHeight="1" x14ac:dyDescent="0.25">
      <c r="A31" s="16" t="s">
        <v>880</v>
      </c>
      <c r="B31" s="16" t="str">
        <f>_xlfn.XLOOKUP(FME_Ranking2[[#This Row],[FME ID]],FME_Input[FME_ID],FME_Input[FME_NAME])</f>
        <v xml:space="preserve">City of Alvin Open Space Preservation </v>
      </c>
      <c r="C31" s="16" t="str">
        <f>_xlfn.XLOOKUP(FME_Ranking2[[#This Row],[FME ID]],FME_Input[FME_ID],FME_Input[DESCR])</f>
        <v>Study for open space preservation within adjacent development, dedication of conservation easements or fee simple acquisition of land along Mustang Bayou.</v>
      </c>
      <c r="D31" s="46" t="str">
        <f>_xlfn.XLOOKUP(FME_Ranking2[[#This Row],[FME ID]],FME_Input[FME_ID],FME_Input[EMER_NEED])</f>
        <v>No</v>
      </c>
      <c r="E31" s="121">
        <f>IF(FME_Ranking_Option2!$D31="Yes",100,0)</f>
        <v>0</v>
      </c>
      <c r="F31" s="47" t="str">
        <f>_xlfn.XLOOKUP(FME_Ranking2[[#This Row],[FME ID]],FME_Input[FME_ID],FME_Input[FUND])</f>
        <v>Yes</v>
      </c>
      <c r="G31" s="48">
        <f>IF(FME_Ranking_Option2!$F31="Yes",1,0)</f>
        <v>1</v>
      </c>
      <c r="H31" s="46">
        <f>_xlfn.XLOOKUP(FME_Ranking2[[#This Row],[FME ID]],FME_Input[FME_ID],FME_Input[STRUCT_100])</f>
        <v>3445</v>
      </c>
      <c r="I31" s="65" t="e">
        <f>FME_Ranking2[[#This Row],[Raw Data3]]*H$4</f>
        <v>#REF!</v>
      </c>
      <c r="J31" s="62">
        <f>((FME_Ranking_Option2!$H31)/($H$3))*100</f>
        <v>0.38283350132074778</v>
      </c>
      <c r="K31" s="49" t="e">
        <f>FME_Ranking2[[#This Row],[Norm Data3]]*H$4</f>
        <v>#REF!</v>
      </c>
      <c r="L31" s="50">
        <f>_xlfn.XLOOKUP(FME_Ranking2[[#This Row],[FME ID]],FME_Input[FME_ID],FME_Input[RES_STRUCT100])</f>
        <v>2605</v>
      </c>
      <c r="M31" s="51" t="e">
        <f>FME_Ranking2[[#This Row],[Raw Data4]]*L$4</f>
        <v>#REF!</v>
      </c>
      <c r="N31" s="29">
        <f>((FME_Ranking_Option2!$L31)/($L$3))*100</f>
        <v>0.38945525600142328</v>
      </c>
      <c r="O31" s="52" t="e">
        <f>FME_Ranking2[[#This Row],[Norm Data4]]*L$4</f>
        <v>#REF!</v>
      </c>
      <c r="P31" s="47">
        <f>_xlfn.XLOOKUP(FME_Ranking2[[#This Row],[FME ID]],FME_Input[FME_ID],FME_Input[POP100])</f>
        <v>21569</v>
      </c>
      <c r="Q31" s="48" t="e">
        <f>FME_Ranking_Option2!$P31*P$4</f>
        <v>#REF!</v>
      </c>
      <c r="R31" s="48">
        <f>FME_Ranking_Option2!$P31/($P$3)</f>
        <v>7.9162809885203102E-3</v>
      </c>
      <c r="S31" s="48" t="e">
        <f>FME_Ranking_Option2!$R31*P$4</f>
        <v>#REF!</v>
      </c>
      <c r="T31" s="50">
        <f>_xlfn.XLOOKUP(FME_Ranking2[[#This Row],[FME ID]],FME_Input[FME_ID],FME_Input[CRITFAC100])</f>
        <v>18</v>
      </c>
      <c r="U31" s="48" t="e">
        <f>FME_Ranking_Option2!$T31*T$4</f>
        <v>#REF!</v>
      </c>
      <c r="V31" s="48">
        <f>FME_Ranking_Option2!$T31/($T$3)</f>
        <v>2.5384289945000705E-3</v>
      </c>
      <c r="W31" s="48" t="e">
        <f>FME_Ranking_Option2!$V31*T$4</f>
        <v>#REF!</v>
      </c>
      <c r="X31" s="50">
        <f>_xlfn.XLOOKUP(FME_Ranking2[[#This Row],[FME ID]],FME_Input[FME_ID],FME_Input[LWC])</f>
        <v>0</v>
      </c>
      <c r="Y31" s="48" t="e">
        <f>FME_Ranking_Option2!$X31*X$4</f>
        <v>#REF!</v>
      </c>
      <c r="Z31" s="48">
        <f>FME_Ranking_Option2!$X31/($X$3)</f>
        <v>0</v>
      </c>
      <c r="AA31" s="48" t="e">
        <f>FME_Ranking_Option2!$Z31*X$4</f>
        <v>#REF!</v>
      </c>
      <c r="AB31" s="50">
        <f>_xlfn.XLOOKUP(FME_Ranking2[[#This Row],[FME ID]],FME_Input[FME_ID],FME_Input[ROADCLS])</f>
        <v>0</v>
      </c>
      <c r="AC31" s="48" t="e">
        <f>FME_Ranking_Option2!$AB31*AB$4</f>
        <v>#REF!</v>
      </c>
      <c r="AD31" s="53">
        <f>_xlfn.XLOOKUP(FME_Ranking2[[#This Row],[FME ID]],FME_Input[FME_ID],FME_Input[ROAD_MILES100])</f>
        <v>56.80682373046875</v>
      </c>
      <c r="AE31" s="54" t="e">
        <f>FME_Ranking_Option2!$AD31*AD$4</f>
        <v>#REF!</v>
      </c>
      <c r="AF31" s="55">
        <f>FME_Ranking_Option2!$AD31/($AD$3)</f>
        <v>1.2831117987036876E-3</v>
      </c>
      <c r="AG31" s="55" t="e">
        <f>FME_Ranking_Option2!$AF31*AD$4</f>
        <v>#REF!</v>
      </c>
      <c r="AH31" s="53">
        <f>_xlfn.XLOOKUP(FME_Ranking2[[#This Row],[FME ID]],FME_Input[FME_ID],FME_Input[FARMACRE100])</f>
        <v>262.29559326171881</v>
      </c>
      <c r="AI31" s="54" t="e">
        <f>FME_Ranking_Option2!$AH31*AH$4</f>
        <v>#REF!</v>
      </c>
      <c r="AJ31" s="56">
        <f>FME_Ranking_Option2!$AH31/($AH$3)</f>
        <v>1.5230440096953792E-2</v>
      </c>
      <c r="AK31" s="57" t="e">
        <f>FME_Ranking_Option2!$AJ31*AH$4</f>
        <v>#REF!</v>
      </c>
      <c r="AL3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1" s="58" t="e">
        <f>_xlfn.RANK.EQ(AL31,$AL$7:$AL$531)+COUNTIF(AL$7:AL31,AL31)-1</f>
        <v>#REF!</v>
      </c>
      <c r="AN31" s="57"/>
      <c r="AO31" s="58" t="e">
        <f>_xlfn.RANK.EQ(AN31,$AN$7:$AN$531)+COUNTIF(AN$7:AN31,AN31)-1</f>
        <v>#N/A</v>
      </c>
      <c r="AP3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1" s="32" t="e">
        <f>FME_Ranking2[[#This Row],[Score Based on Reported Factors]]-FME_Ranking2[[#This Row],[Check]]</f>
        <v>#REF!</v>
      </c>
      <c r="AR31" s="32"/>
      <c r="AT31" s="19"/>
      <c r="AU31" s="19"/>
      <c r="AV31" s="19"/>
      <c r="AW31" s="19"/>
      <c r="AX31" s="19"/>
      <c r="AY31" s="19"/>
      <c r="AZ31" s="19"/>
      <c r="BA31" s="19"/>
      <c r="BB31" s="19"/>
      <c r="BC31" s="19"/>
    </row>
    <row r="32" spans="1:55" ht="12" customHeight="1" x14ac:dyDescent="0.25">
      <c r="A32" s="17" t="s">
        <v>936</v>
      </c>
      <c r="B32" s="17" t="str">
        <f>_xlfn.XLOOKUP(FME_Ranking2[[#This Row],[FME ID]],FME_Input[FME_ID],FME_Input[FME_NAME])</f>
        <v xml:space="preserve">City of Manvel SH. 6 Drainage Improvements </v>
      </c>
      <c r="C32" s="17" t="str">
        <f>_xlfn.XLOOKUP(FME_Ranking2[[#This Row],[FME ID]],FME_Input[FME_ID],FME_Input[DESCR])</f>
        <v xml:space="preserve">Further study of state Highway 6 drainage improvements, including storm sewer upgrades to meet current capacities, ditch deepening, and sub regional detention ponds. Project will also widen and reshape ditches, and upgrade culverts. </v>
      </c>
      <c r="D32" s="33" t="str">
        <f>_xlfn.XLOOKUP(FME_Ranking2[[#This Row],[FME ID]],FME_Input[FME_ID],FME_Input[EMER_NEED])</f>
        <v>No</v>
      </c>
      <c r="E32" s="120">
        <f>IF(FME_Ranking_Option2!$D32="Yes",100,0)</f>
        <v>0</v>
      </c>
      <c r="F32" s="34" t="str">
        <f>_xlfn.XLOOKUP(FME_Ranking2[[#This Row],[FME ID]],FME_Input[FME_ID],FME_Input[FUND])</f>
        <v>Yes</v>
      </c>
      <c r="G32" s="35">
        <f>IF(FME_Ranking_Option2!$F32="Yes",1,0)</f>
        <v>1</v>
      </c>
      <c r="H32" s="33">
        <f>_xlfn.XLOOKUP(FME_Ranking2[[#This Row],[FME ID]],FME_Input[FME_ID],FME_Input[STRUCT_100])</f>
        <v>1250</v>
      </c>
      <c r="I32" s="64" t="e">
        <f>FME_Ranking2[[#This Row],[Raw Data3]]*H$4</f>
        <v>#REF!</v>
      </c>
      <c r="J32" s="63">
        <f>((FME_Ranking_Option2!$H32)/($H$3))*100</f>
        <v>0.13890910788125826</v>
      </c>
      <c r="K32" s="36" t="e">
        <f>FME_Ranking2[[#This Row],[Norm Data3]]*H$4</f>
        <v>#REF!</v>
      </c>
      <c r="L32" s="37">
        <f>_xlfn.XLOOKUP(FME_Ranking2[[#This Row],[FME ID]],FME_Input[FME_ID],FME_Input[RES_STRUCT100])</f>
        <v>966</v>
      </c>
      <c r="M32" s="38" t="e">
        <f>FME_Ranking2[[#This Row],[Raw Data4]]*L$4</f>
        <v>#REF!</v>
      </c>
      <c r="N32" s="28">
        <f>((FME_Ranking_Option2!$L32)/($L$3))*100</f>
        <v>0.14441987612183296</v>
      </c>
      <c r="O32" s="39" t="e">
        <f>FME_Ranking2[[#This Row],[Norm Data4]]*L$4</f>
        <v>#REF!</v>
      </c>
      <c r="P32" s="34">
        <f>_xlfn.XLOOKUP(FME_Ranking2[[#This Row],[FME ID]],FME_Input[FME_ID],FME_Input[POP100])</f>
        <v>8190</v>
      </c>
      <c r="Q32" s="35" t="e">
        <f>FME_Ranking_Option2!$P32*P$4</f>
        <v>#REF!</v>
      </c>
      <c r="R32" s="35">
        <f>FME_Ranking_Option2!$P32/($P$3)</f>
        <v>3.0059039035644367E-3</v>
      </c>
      <c r="S32" s="35" t="e">
        <f>FME_Ranking_Option2!$R32*P$4</f>
        <v>#REF!</v>
      </c>
      <c r="T32" s="37">
        <f>_xlfn.XLOOKUP(FME_Ranking2[[#This Row],[FME ID]],FME_Input[FME_ID],FME_Input[CRITFAC100])</f>
        <v>8</v>
      </c>
      <c r="U32" s="35" t="e">
        <f>FME_Ranking_Option2!$T32*T$4</f>
        <v>#REF!</v>
      </c>
      <c r="V32" s="35">
        <f>FME_Ranking_Option2!$T32/($T$3)</f>
        <v>1.1281906642222536E-3</v>
      </c>
      <c r="W32" s="35" t="e">
        <f>FME_Ranking_Option2!$V32*T$4</f>
        <v>#REF!</v>
      </c>
      <c r="X32" s="37">
        <f>_xlfn.XLOOKUP(FME_Ranking2[[#This Row],[FME ID]],FME_Input[FME_ID],FME_Input[LWC])</f>
        <v>0</v>
      </c>
      <c r="Y32" s="35" t="e">
        <f>FME_Ranking_Option2!$X32*X$4</f>
        <v>#REF!</v>
      </c>
      <c r="Z32" s="35">
        <f>FME_Ranking_Option2!$X32/($X$3)</f>
        <v>0</v>
      </c>
      <c r="AA32" s="35" t="e">
        <f>FME_Ranking_Option2!$Z32*X$4</f>
        <v>#REF!</v>
      </c>
      <c r="AB32" s="37">
        <f>_xlfn.XLOOKUP(FME_Ranking2[[#This Row],[FME ID]],FME_Input[FME_ID],FME_Input[ROADCLS])</f>
        <v>0</v>
      </c>
      <c r="AC32" s="35" t="e">
        <f>FME_Ranking_Option2!$AB32*AB$4</f>
        <v>#REF!</v>
      </c>
      <c r="AD32" s="40">
        <f>_xlfn.XLOOKUP(FME_Ranking2[[#This Row],[FME ID]],FME_Input[FME_ID],FME_Input[ROAD_MILES100])</f>
        <v>43.312946319580078</v>
      </c>
      <c r="AE32" s="41" t="e">
        <f>FME_Ranking_Option2!$AD32*AD$4</f>
        <v>#REF!</v>
      </c>
      <c r="AF32" s="42">
        <f>FME_Ranking_Option2!$AD32/($AD$3)</f>
        <v>9.7832177209838294E-4</v>
      </c>
      <c r="AG32" s="42" t="e">
        <f>FME_Ranking_Option2!$AF32*AD$4</f>
        <v>#REF!</v>
      </c>
      <c r="AH32" s="40">
        <f>_xlfn.XLOOKUP(FME_Ranking2[[#This Row],[FME ID]],FME_Input[FME_ID],FME_Input[FARMACRE100])</f>
        <v>178.80146789550781</v>
      </c>
      <c r="AI32" s="43" t="e">
        <f>FME_Ranking_Option2!$AH32*AH$4</f>
        <v>#REF!</v>
      </c>
      <c r="AJ32" s="41">
        <f>FME_Ranking_Option2!$AH32/($AH$3)</f>
        <v>1.0382275249713028E-2</v>
      </c>
      <c r="AK32" s="44" t="e">
        <f>FME_Ranking_Option2!$AJ32*AH$4</f>
        <v>#REF!</v>
      </c>
      <c r="AL32"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2" s="45" t="e">
        <f>_xlfn.RANK.EQ(AL32,$AL$7:$AL$531)+COUNTIF(AL$7:AL32,AL32)-1</f>
        <v>#REF!</v>
      </c>
      <c r="AN32" s="44"/>
      <c r="AO32" s="45" t="e">
        <f>_xlfn.RANK.EQ(AN32,$AN$7:$AN$531)+COUNTIF(AN$7:AN32,AN32)-1</f>
        <v>#N/A</v>
      </c>
      <c r="AP3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2" s="32" t="e">
        <f>FME_Ranking2[[#This Row],[Score Based on Reported Factors]]-FME_Ranking2[[#This Row],[Check]]</f>
        <v>#REF!</v>
      </c>
      <c r="AR32" s="32"/>
    </row>
    <row r="33" spans="1:55" ht="12" customHeight="1" x14ac:dyDescent="0.25">
      <c r="A33" s="16" t="s">
        <v>944</v>
      </c>
      <c r="B33" s="16" t="str">
        <f>_xlfn.XLOOKUP(FME_Ranking2[[#This Row],[FME ID]],FME_Input[FME_ID],FME_Input[FME_NAME])</f>
        <v>Chambers County Dam and Levee Failure Inundation Map Update</v>
      </c>
      <c r="C33" s="16" t="str">
        <f>_xlfn.XLOOKUP(FME_Ranking2[[#This Row],[FME ID]],FME_Input[FME_ID],FME_Input[DESCR])</f>
        <v xml:space="preserve">Further study for all participating jurisdiction to update dam and levee failure inundation maps, and update floodplain and floodway maps throughout the county. The updated maps will also be made available to the public. </v>
      </c>
      <c r="D33" s="46" t="str">
        <f>_xlfn.XLOOKUP(FME_Ranking2[[#This Row],[FME ID]],FME_Input[FME_ID],FME_Input[EMER_NEED])</f>
        <v>No</v>
      </c>
      <c r="E33" s="121">
        <f>IF(FME_Ranking_Option2!$D33="Yes",100,0)</f>
        <v>0</v>
      </c>
      <c r="F33" s="47" t="str">
        <f>_xlfn.XLOOKUP(FME_Ranking2[[#This Row],[FME ID]],FME_Input[FME_ID],FME_Input[FUND])</f>
        <v>Yes</v>
      </c>
      <c r="G33" s="48">
        <f>IF(FME_Ranking_Option2!$F33="Yes",1,0)</f>
        <v>1</v>
      </c>
      <c r="H33" s="46">
        <f>_xlfn.XLOOKUP(FME_Ranking2[[#This Row],[FME ID]],FME_Input[FME_ID],FME_Input[STRUCT_100])</f>
        <v>151</v>
      </c>
      <c r="I33" s="65" t="e">
        <f>FME_Ranking2[[#This Row],[Raw Data3]]*H$4</f>
        <v>#REF!</v>
      </c>
      <c r="J33" s="62">
        <f>((FME_Ranking_Option2!$H33)/($H$3))*100</f>
        <v>1.6780220232055998E-2</v>
      </c>
      <c r="K33" s="49" t="e">
        <f>FME_Ranking2[[#This Row],[Norm Data3]]*H$4</f>
        <v>#REF!</v>
      </c>
      <c r="L33" s="50">
        <f>_xlfn.XLOOKUP(FME_Ranking2[[#This Row],[FME ID]],FME_Input[FME_ID],FME_Input[RES_STRUCT100])</f>
        <v>56</v>
      </c>
      <c r="M33" s="51" t="e">
        <f>FME_Ranking2[[#This Row],[Raw Data4]]*L$4</f>
        <v>#REF!</v>
      </c>
      <c r="N33" s="29">
        <f>((FME_Ranking_Option2!$L33)/($L$3))*100</f>
        <v>8.372166731700461E-3</v>
      </c>
      <c r="O33" s="52" t="e">
        <f>FME_Ranking2[[#This Row],[Norm Data4]]*L$4</f>
        <v>#REF!</v>
      </c>
      <c r="P33" s="47">
        <f>_xlfn.XLOOKUP(FME_Ranking2[[#This Row],[FME ID]],FME_Input[FME_ID],FME_Input[POP100])</f>
        <v>797</v>
      </c>
      <c r="Q33" s="48" t="e">
        <f>FME_Ranking_Option2!$P33*P$4</f>
        <v>#REF!</v>
      </c>
      <c r="R33" s="48">
        <f>FME_Ranking_Option2!$P33/($P$3)</f>
        <v>2.9251592321622176E-4</v>
      </c>
      <c r="S33" s="48" t="e">
        <f>FME_Ranking_Option2!$R33*P$4</f>
        <v>#REF!</v>
      </c>
      <c r="T33" s="50">
        <f>_xlfn.XLOOKUP(FME_Ranking2[[#This Row],[FME ID]],FME_Input[FME_ID],FME_Input[CRITFAC100])</f>
        <v>0</v>
      </c>
      <c r="U33" s="48" t="e">
        <f>FME_Ranking_Option2!$T33*T$4</f>
        <v>#REF!</v>
      </c>
      <c r="V33" s="48">
        <f>FME_Ranking_Option2!$T33/($T$3)</f>
        <v>0</v>
      </c>
      <c r="W33" s="48" t="e">
        <f>FME_Ranking_Option2!$V33*T$4</f>
        <v>#REF!</v>
      </c>
      <c r="X33" s="50">
        <f>_xlfn.XLOOKUP(FME_Ranking2[[#This Row],[FME ID]],FME_Input[FME_ID],FME_Input[LWC])</f>
        <v>0</v>
      </c>
      <c r="Y33" s="48" t="e">
        <f>FME_Ranking_Option2!$X33*X$4</f>
        <v>#REF!</v>
      </c>
      <c r="Z33" s="48">
        <f>FME_Ranking_Option2!$X33/($X$3)</f>
        <v>0</v>
      </c>
      <c r="AA33" s="48" t="e">
        <f>FME_Ranking_Option2!$Z33*X$4</f>
        <v>#REF!</v>
      </c>
      <c r="AB33" s="50">
        <f>_xlfn.XLOOKUP(FME_Ranking2[[#This Row],[FME ID]],FME_Input[FME_ID],FME_Input[ROADCLS])</f>
        <v>0</v>
      </c>
      <c r="AC33" s="48" t="e">
        <f>FME_Ranking_Option2!$AB33*AB$4</f>
        <v>#REF!</v>
      </c>
      <c r="AD33" s="53">
        <f>_xlfn.XLOOKUP(FME_Ranking2[[#This Row],[FME ID]],FME_Input[FME_ID],FME_Input[ROAD_MILES100])</f>
        <v>7.296903133392334</v>
      </c>
      <c r="AE33" s="54" t="e">
        <f>FME_Ranking_Option2!$AD33*AD$4</f>
        <v>#REF!</v>
      </c>
      <c r="AF33" s="55">
        <f>FME_Ranking_Option2!$AD33/($AD$3)</f>
        <v>1.648172154260376E-4</v>
      </c>
      <c r="AG33" s="55" t="e">
        <f>FME_Ranking_Option2!$AF33*AD$4</f>
        <v>#REF!</v>
      </c>
      <c r="AH33" s="53">
        <f>_xlfn.XLOOKUP(FME_Ranking2[[#This Row],[FME ID]],FME_Input[FME_ID],FME_Input[FARMACRE100])</f>
        <v>354.08441162109381</v>
      </c>
      <c r="AI33" s="54" t="e">
        <f>FME_Ranking_Option2!$AH33*AH$4</f>
        <v>#REF!</v>
      </c>
      <c r="AJ33" s="56">
        <f>FME_Ranking_Option2!$AH33/($AH$3)</f>
        <v>2.0560244087208877E-2</v>
      </c>
      <c r="AK33" s="57" t="e">
        <f>FME_Ranking_Option2!$AJ33*AH$4</f>
        <v>#REF!</v>
      </c>
      <c r="AL33"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3" s="58" t="e">
        <f>_xlfn.RANK.EQ(AL33,$AL$7:$AL$531)+COUNTIF(AL$7:AL33,AL33)-1</f>
        <v>#REF!</v>
      </c>
      <c r="AN33" s="57"/>
      <c r="AO33" s="58" t="e">
        <f>_xlfn.RANK.EQ(AN33,$AN$7:$AN$531)+COUNTIF(AN$7:AN33,AN33)-1</f>
        <v>#N/A</v>
      </c>
      <c r="AP3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3" s="32" t="e">
        <f>FME_Ranking2[[#This Row],[Score Based on Reported Factors]]-FME_Ranking2[[#This Row],[Check]]</f>
        <v>#REF!</v>
      </c>
      <c r="AR33" s="32"/>
      <c r="AT33" s="19"/>
      <c r="AU33" s="19"/>
      <c r="AV33" s="19"/>
      <c r="AW33" s="19"/>
      <c r="AX33" s="19"/>
      <c r="AY33" s="19"/>
      <c r="AZ33" s="19"/>
      <c r="BA33" s="19"/>
      <c r="BB33" s="19"/>
      <c r="BC33" s="19"/>
    </row>
    <row r="34" spans="1:55" ht="12" customHeight="1" x14ac:dyDescent="0.25">
      <c r="A34" s="17" t="s">
        <v>954</v>
      </c>
      <c r="B34" s="17" t="str">
        <f>_xlfn.XLOOKUP(FME_Ranking2[[#This Row],[FME ID]],FME_Input[FME_ID],FME_Input[FME_NAME])</f>
        <v xml:space="preserve">City of Alvin Detention Pond Construction - Mustang and Dickinson Bayou </v>
      </c>
      <c r="C34" s="17" t="str">
        <f>_xlfn.XLOOKUP(FME_Ranking2[[#This Row],[FME ID]],FME_Input[FME_ID],FME_Input[DESCR])</f>
        <v>Further assessment and design of detention ponds needed along Mustang and Dickinson Bayous to reduce flood risk in the City of Alvin.</v>
      </c>
      <c r="D34" s="33" t="str">
        <f>_xlfn.XLOOKUP(FME_Ranking2[[#This Row],[FME ID]],FME_Input[FME_ID],FME_Input[EMER_NEED])</f>
        <v>No</v>
      </c>
      <c r="E34" s="120">
        <f>IF(FME_Ranking_Option2!$D34="Yes",100,0)</f>
        <v>0</v>
      </c>
      <c r="F34" s="34" t="str">
        <f>_xlfn.XLOOKUP(FME_Ranking2[[#This Row],[FME ID]],FME_Input[FME_ID],FME_Input[FUND])</f>
        <v>Yes</v>
      </c>
      <c r="G34" s="35">
        <f>IF(FME_Ranking_Option2!$F34="Yes",1,0)</f>
        <v>1</v>
      </c>
      <c r="H34" s="33">
        <f>_xlfn.XLOOKUP(FME_Ranking2[[#This Row],[FME ID]],FME_Input[FME_ID],FME_Input[STRUCT_100])</f>
        <v>3445</v>
      </c>
      <c r="I34" s="64" t="e">
        <f>FME_Ranking2[[#This Row],[Raw Data3]]*H$4</f>
        <v>#REF!</v>
      </c>
      <c r="J34" s="63">
        <f>((FME_Ranking_Option2!$H34)/($H$3))*100</f>
        <v>0.38283350132074778</v>
      </c>
      <c r="K34" s="36" t="e">
        <f>FME_Ranking2[[#This Row],[Norm Data3]]*H$4</f>
        <v>#REF!</v>
      </c>
      <c r="L34" s="37">
        <f>_xlfn.XLOOKUP(FME_Ranking2[[#This Row],[FME ID]],FME_Input[FME_ID],FME_Input[RES_STRUCT100])</f>
        <v>2605</v>
      </c>
      <c r="M34" s="38" t="e">
        <f>FME_Ranking2[[#This Row],[Raw Data4]]*L$4</f>
        <v>#REF!</v>
      </c>
      <c r="N34" s="28">
        <f>((FME_Ranking_Option2!$L34)/($L$3))*100</f>
        <v>0.38945525600142328</v>
      </c>
      <c r="O34" s="39" t="e">
        <f>FME_Ranking2[[#This Row],[Norm Data4]]*L$4</f>
        <v>#REF!</v>
      </c>
      <c r="P34" s="34">
        <f>_xlfn.XLOOKUP(FME_Ranking2[[#This Row],[FME ID]],FME_Input[FME_ID],FME_Input[POP100])</f>
        <v>21569</v>
      </c>
      <c r="Q34" s="35" t="e">
        <f>FME_Ranking_Option2!$P34*P$4</f>
        <v>#REF!</v>
      </c>
      <c r="R34" s="35">
        <f>FME_Ranking_Option2!$P34/($P$3)</f>
        <v>7.9162809885203102E-3</v>
      </c>
      <c r="S34" s="35" t="e">
        <f>FME_Ranking_Option2!$R34*P$4</f>
        <v>#REF!</v>
      </c>
      <c r="T34" s="37">
        <f>_xlfn.XLOOKUP(FME_Ranking2[[#This Row],[FME ID]],FME_Input[FME_ID],FME_Input[CRITFAC100])</f>
        <v>18</v>
      </c>
      <c r="U34" s="35" t="e">
        <f>FME_Ranking_Option2!$T34*T$4</f>
        <v>#REF!</v>
      </c>
      <c r="V34" s="35">
        <f>FME_Ranking_Option2!$T34/($T$3)</f>
        <v>2.5384289945000705E-3</v>
      </c>
      <c r="W34" s="35" t="e">
        <f>FME_Ranking_Option2!$V34*T$4</f>
        <v>#REF!</v>
      </c>
      <c r="X34" s="37">
        <f>_xlfn.XLOOKUP(FME_Ranking2[[#This Row],[FME ID]],FME_Input[FME_ID],FME_Input[LWC])</f>
        <v>0</v>
      </c>
      <c r="Y34" s="35" t="e">
        <f>FME_Ranking_Option2!$X34*X$4</f>
        <v>#REF!</v>
      </c>
      <c r="Z34" s="35">
        <f>FME_Ranking_Option2!$X34/($X$3)</f>
        <v>0</v>
      </c>
      <c r="AA34" s="35" t="e">
        <f>FME_Ranking_Option2!$Z34*X$4</f>
        <v>#REF!</v>
      </c>
      <c r="AB34" s="37">
        <f>_xlfn.XLOOKUP(FME_Ranking2[[#This Row],[FME ID]],FME_Input[FME_ID],FME_Input[ROADCLS])</f>
        <v>0</v>
      </c>
      <c r="AC34" s="35" t="e">
        <f>FME_Ranking_Option2!$AB34*AB$4</f>
        <v>#REF!</v>
      </c>
      <c r="AD34" s="40">
        <f>_xlfn.XLOOKUP(FME_Ranking2[[#This Row],[FME ID]],FME_Input[FME_ID],FME_Input[ROAD_MILES100])</f>
        <v>56.80682373046875</v>
      </c>
      <c r="AE34" s="41" t="e">
        <f>FME_Ranking_Option2!$AD34*AD$4</f>
        <v>#REF!</v>
      </c>
      <c r="AF34" s="42">
        <f>FME_Ranking_Option2!$AD34/($AD$3)</f>
        <v>1.2831117987036876E-3</v>
      </c>
      <c r="AG34" s="42" t="e">
        <f>FME_Ranking_Option2!$AF34*AD$4</f>
        <v>#REF!</v>
      </c>
      <c r="AH34" s="40">
        <f>_xlfn.XLOOKUP(FME_Ranking2[[#This Row],[FME ID]],FME_Input[FME_ID],FME_Input[FARMACRE100])</f>
        <v>262.29559326171881</v>
      </c>
      <c r="AI34" s="43" t="e">
        <f>FME_Ranking_Option2!$AH34*AH$4</f>
        <v>#REF!</v>
      </c>
      <c r="AJ34" s="41">
        <f>FME_Ranking_Option2!$AH34/($AH$3)</f>
        <v>1.5230440096953792E-2</v>
      </c>
      <c r="AK34" s="44" t="e">
        <f>FME_Ranking_Option2!$AJ34*AH$4</f>
        <v>#REF!</v>
      </c>
      <c r="AL34"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4" s="45" t="e">
        <f>_xlfn.RANK.EQ(AL34,$AL$7:$AL$531)+COUNTIF(AL$7:AL34,AL34)-1</f>
        <v>#REF!</v>
      </c>
      <c r="AN34" s="44"/>
      <c r="AO34" s="45" t="e">
        <f>_xlfn.RANK.EQ(AN34,$AN$7:$AN$531)+COUNTIF(AN$7:AN34,AN34)-1</f>
        <v>#N/A</v>
      </c>
      <c r="AP3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4" s="32" t="e">
        <f>FME_Ranking2[[#This Row],[Score Based on Reported Factors]]-FME_Ranking2[[#This Row],[Check]]</f>
        <v>#REF!</v>
      </c>
      <c r="AR34" s="32"/>
    </row>
    <row r="35" spans="1:55" ht="12" customHeight="1" x14ac:dyDescent="0.25">
      <c r="A35" s="16" t="s">
        <v>959</v>
      </c>
      <c r="B35" s="16" t="str">
        <f>_xlfn.XLOOKUP(FME_Ranking2[[#This Row],[FME ID]],FME_Input[FME_ID],FME_Input[FME_NAME])</f>
        <v xml:space="preserve">Chambers County Property Protection </v>
      </c>
      <c r="C35" s="16" t="str">
        <f>_xlfn.XLOOKUP(FME_Ranking2[[#This Row],[FME ID]],FME_Input[FME_ID],FME_Input[DESCR])</f>
        <v>Study to determine flood risk reduction potential of clearing obstacles, widen and reshape ditches, and upgrade culverts to restore adequate drainage to mitigate flooding throughout all participating jurisdictions.</v>
      </c>
      <c r="D35" s="46" t="str">
        <f>_xlfn.XLOOKUP(FME_Ranking2[[#This Row],[FME ID]],FME_Input[FME_ID],FME_Input[EMER_NEED])</f>
        <v>No</v>
      </c>
      <c r="E35" s="121">
        <f>IF(FME_Ranking_Option2!$D35="Yes",100,0)</f>
        <v>0</v>
      </c>
      <c r="F35" s="47" t="str">
        <f>_xlfn.XLOOKUP(FME_Ranking2[[#This Row],[FME ID]],FME_Input[FME_ID],FME_Input[FUND])</f>
        <v>Yes</v>
      </c>
      <c r="G35" s="48">
        <f>IF(FME_Ranking_Option2!$F35="Yes",1,0)</f>
        <v>1</v>
      </c>
      <c r="H35" s="46">
        <f>_xlfn.XLOOKUP(FME_Ranking2[[#This Row],[FME ID]],FME_Input[FME_ID],FME_Input[STRUCT_100])</f>
        <v>151</v>
      </c>
      <c r="I35" s="65" t="e">
        <f>FME_Ranking2[[#This Row],[Raw Data3]]*H$4</f>
        <v>#REF!</v>
      </c>
      <c r="J35" s="62">
        <f>((FME_Ranking_Option2!$H35)/($H$3))*100</f>
        <v>1.6780220232055998E-2</v>
      </c>
      <c r="K35" s="49" t="e">
        <f>FME_Ranking2[[#This Row],[Norm Data3]]*H$4</f>
        <v>#REF!</v>
      </c>
      <c r="L35" s="50">
        <f>_xlfn.XLOOKUP(FME_Ranking2[[#This Row],[FME ID]],FME_Input[FME_ID],FME_Input[RES_STRUCT100])</f>
        <v>56</v>
      </c>
      <c r="M35" s="51" t="e">
        <f>FME_Ranking2[[#This Row],[Raw Data4]]*L$4</f>
        <v>#REF!</v>
      </c>
      <c r="N35" s="29">
        <f>((FME_Ranking_Option2!$L35)/($L$3))*100</f>
        <v>8.372166731700461E-3</v>
      </c>
      <c r="O35" s="52" t="e">
        <f>FME_Ranking2[[#This Row],[Norm Data4]]*L$4</f>
        <v>#REF!</v>
      </c>
      <c r="P35" s="47">
        <f>_xlfn.XLOOKUP(FME_Ranking2[[#This Row],[FME ID]],FME_Input[FME_ID],FME_Input[POP100])</f>
        <v>797</v>
      </c>
      <c r="Q35" s="48" t="e">
        <f>FME_Ranking_Option2!$P35*P$4</f>
        <v>#REF!</v>
      </c>
      <c r="R35" s="48">
        <f>FME_Ranking_Option2!$P35/($P$3)</f>
        <v>2.9251592321622176E-4</v>
      </c>
      <c r="S35" s="48" t="e">
        <f>FME_Ranking_Option2!$R35*P$4</f>
        <v>#REF!</v>
      </c>
      <c r="T35" s="50">
        <f>_xlfn.XLOOKUP(FME_Ranking2[[#This Row],[FME ID]],FME_Input[FME_ID],FME_Input[CRITFAC100])</f>
        <v>0</v>
      </c>
      <c r="U35" s="48" t="e">
        <f>FME_Ranking_Option2!$T35*T$4</f>
        <v>#REF!</v>
      </c>
      <c r="V35" s="48">
        <f>FME_Ranking_Option2!$T35/($T$3)</f>
        <v>0</v>
      </c>
      <c r="W35" s="48" t="e">
        <f>FME_Ranking_Option2!$V35*T$4</f>
        <v>#REF!</v>
      </c>
      <c r="X35" s="50">
        <f>_xlfn.XLOOKUP(FME_Ranking2[[#This Row],[FME ID]],FME_Input[FME_ID],FME_Input[LWC])</f>
        <v>0</v>
      </c>
      <c r="Y35" s="48" t="e">
        <f>FME_Ranking_Option2!$X35*X$4</f>
        <v>#REF!</v>
      </c>
      <c r="Z35" s="48">
        <f>FME_Ranking_Option2!$X35/($X$3)</f>
        <v>0</v>
      </c>
      <c r="AA35" s="48" t="e">
        <f>FME_Ranking_Option2!$Z35*X$4</f>
        <v>#REF!</v>
      </c>
      <c r="AB35" s="50">
        <f>_xlfn.XLOOKUP(FME_Ranking2[[#This Row],[FME ID]],FME_Input[FME_ID],FME_Input[ROADCLS])</f>
        <v>0</v>
      </c>
      <c r="AC35" s="48" t="e">
        <f>FME_Ranking_Option2!$AB35*AB$4</f>
        <v>#REF!</v>
      </c>
      <c r="AD35" s="53">
        <f>_xlfn.XLOOKUP(FME_Ranking2[[#This Row],[FME ID]],FME_Input[FME_ID],FME_Input[ROAD_MILES100])</f>
        <v>7.296903133392334</v>
      </c>
      <c r="AE35" s="54" t="e">
        <f>FME_Ranking_Option2!$AD35*AD$4</f>
        <v>#REF!</v>
      </c>
      <c r="AF35" s="55">
        <f>FME_Ranking_Option2!$AD35/($AD$3)</f>
        <v>1.648172154260376E-4</v>
      </c>
      <c r="AG35" s="55" t="e">
        <f>FME_Ranking_Option2!$AF35*AD$4</f>
        <v>#REF!</v>
      </c>
      <c r="AH35" s="53">
        <f>_xlfn.XLOOKUP(FME_Ranking2[[#This Row],[FME ID]],FME_Input[FME_ID],FME_Input[FARMACRE100])</f>
        <v>354.08441162109381</v>
      </c>
      <c r="AI35" s="54" t="e">
        <f>FME_Ranking_Option2!$AH35*AH$4</f>
        <v>#REF!</v>
      </c>
      <c r="AJ35" s="56">
        <f>FME_Ranking_Option2!$AH35/($AH$3)</f>
        <v>2.0560244087208877E-2</v>
      </c>
      <c r="AK35" s="57" t="e">
        <f>FME_Ranking_Option2!$AJ35*AH$4</f>
        <v>#REF!</v>
      </c>
      <c r="AL35"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5" s="58" t="e">
        <f>_xlfn.RANK.EQ(AL35,$AL$7:$AL$531)+COUNTIF(AL$7:AL35,AL35)-1</f>
        <v>#REF!</v>
      </c>
      <c r="AN35" s="57"/>
      <c r="AO35" s="58" t="e">
        <f>_xlfn.RANK.EQ(AN35,$AN$7:$AN$531)+COUNTIF(AN$7:AN35,AN35)-1</f>
        <v>#N/A</v>
      </c>
      <c r="AP3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5" s="32" t="e">
        <f>FME_Ranking2[[#This Row],[Score Based on Reported Factors]]-FME_Ranking2[[#This Row],[Check]]</f>
        <v>#REF!</v>
      </c>
      <c r="AR35" s="32"/>
      <c r="AT35" s="19"/>
      <c r="AU35" s="19"/>
      <c r="AV35" s="19"/>
      <c r="AW35" s="19"/>
      <c r="AX35" s="19"/>
      <c r="AY35" s="19"/>
      <c r="AZ35" s="19"/>
      <c r="BA35" s="19"/>
      <c r="BB35" s="19"/>
      <c r="BC35" s="19"/>
    </row>
    <row r="36" spans="1:55" ht="12" customHeight="1" x14ac:dyDescent="0.25">
      <c r="A36" s="17" t="s">
        <v>962</v>
      </c>
      <c r="B36" s="17" t="str">
        <f>_xlfn.XLOOKUP(FME_Ranking2[[#This Row],[FME ID]],FME_Input[FME_ID],FME_Input[FME_NAME])</f>
        <v>City of Manvel Flora St. Drainage Improvements</v>
      </c>
      <c r="C36" s="17" t="str">
        <f>_xlfn.XLOOKUP(FME_Ranking2[[#This Row],[FME ID]],FME_Input[FME_ID],FME_Input[DESCR])</f>
        <v>Study of possbile Flora Street drainage improvements: widen and reshape ditches, and upgrade culverts to restore adequate drainage to mitigate flooding in Manvel neighborhoods.</v>
      </c>
      <c r="D36" s="33" t="str">
        <f>_xlfn.XLOOKUP(FME_Ranking2[[#This Row],[FME ID]],FME_Input[FME_ID],FME_Input[EMER_NEED])</f>
        <v>No</v>
      </c>
      <c r="E36" s="120">
        <f>IF(FME_Ranking_Option2!$D36="Yes",100,0)</f>
        <v>0</v>
      </c>
      <c r="F36" s="34" t="str">
        <f>_xlfn.XLOOKUP(FME_Ranking2[[#This Row],[FME ID]],FME_Input[FME_ID],FME_Input[FUND])</f>
        <v>Yes</v>
      </c>
      <c r="G36" s="35">
        <f>IF(FME_Ranking_Option2!$F36="Yes",1,0)</f>
        <v>1</v>
      </c>
      <c r="H36" s="33">
        <f>_xlfn.XLOOKUP(FME_Ranking2[[#This Row],[FME ID]],FME_Input[FME_ID],FME_Input[STRUCT_100])</f>
        <v>1250</v>
      </c>
      <c r="I36" s="64" t="e">
        <f>FME_Ranking2[[#This Row],[Raw Data3]]*H$4</f>
        <v>#REF!</v>
      </c>
      <c r="J36" s="63">
        <f>((FME_Ranking_Option2!$H36)/($H$3))*100</f>
        <v>0.13890910788125826</v>
      </c>
      <c r="K36" s="36" t="e">
        <f>FME_Ranking2[[#This Row],[Norm Data3]]*H$4</f>
        <v>#REF!</v>
      </c>
      <c r="L36" s="37">
        <f>_xlfn.XLOOKUP(FME_Ranking2[[#This Row],[FME ID]],FME_Input[FME_ID],FME_Input[RES_STRUCT100])</f>
        <v>966</v>
      </c>
      <c r="M36" s="38" t="e">
        <f>FME_Ranking2[[#This Row],[Raw Data4]]*L$4</f>
        <v>#REF!</v>
      </c>
      <c r="N36" s="28">
        <f>((FME_Ranking_Option2!$L36)/($L$3))*100</f>
        <v>0.14441987612183296</v>
      </c>
      <c r="O36" s="39" t="e">
        <f>FME_Ranking2[[#This Row],[Norm Data4]]*L$4</f>
        <v>#REF!</v>
      </c>
      <c r="P36" s="34">
        <f>_xlfn.XLOOKUP(FME_Ranking2[[#This Row],[FME ID]],FME_Input[FME_ID],FME_Input[POP100])</f>
        <v>8190</v>
      </c>
      <c r="Q36" s="35" t="e">
        <f>FME_Ranking_Option2!$P36*P$4</f>
        <v>#REF!</v>
      </c>
      <c r="R36" s="35">
        <f>FME_Ranking_Option2!$P36/($P$3)</f>
        <v>3.0059039035644367E-3</v>
      </c>
      <c r="S36" s="35" t="e">
        <f>FME_Ranking_Option2!$R36*P$4</f>
        <v>#REF!</v>
      </c>
      <c r="T36" s="37">
        <f>_xlfn.XLOOKUP(FME_Ranking2[[#This Row],[FME ID]],FME_Input[FME_ID],FME_Input[CRITFAC100])</f>
        <v>8</v>
      </c>
      <c r="U36" s="35" t="e">
        <f>FME_Ranking_Option2!$T36*T$4</f>
        <v>#REF!</v>
      </c>
      <c r="V36" s="35">
        <f>FME_Ranking_Option2!$T36/($T$3)</f>
        <v>1.1281906642222536E-3</v>
      </c>
      <c r="W36" s="35" t="e">
        <f>FME_Ranking_Option2!$V36*T$4</f>
        <v>#REF!</v>
      </c>
      <c r="X36" s="37">
        <f>_xlfn.XLOOKUP(FME_Ranking2[[#This Row],[FME ID]],FME_Input[FME_ID],FME_Input[LWC])</f>
        <v>0</v>
      </c>
      <c r="Y36" s="35" t="e">
        <f>FME_Ranking_Option2!$X36*X$4</f>
        <v>#REF!</v>
      </c>
      <c r="Z36" s="35">
        <f>FME_Ranking_Option2!$X36/($X$3)</f>
        <v>0</v>
      </c>
      <c r="AA36" s="35" t="e">
        <f>FME_Ranking_Option2!$Z36*X$4</f>
        <v>#REF!</v>
      </c>
      <c r="AB36" s="37">
        <f>_xlfn.XLOOKUP(FME_Ranking2[[#This Row],[FME ID]],FME_Input[FME_ID],FME_Input[ROADCLS])</f>
        <v>0</v>
      </c>
      <c r="AC36" s="35" t="e">
        <f>FME_Ranking_Option2!$AB36*AB$4</f>
        <v>#REF!</v>
      </c>
      <c r="AD36" s="40">
        <f>_xlfn.XLOOKUP(FME_Ranking2[[#This Row],[FME ID]],FME_Input[FME_ID],FME_Input[ROAD_MILES100])</f>
        <v>43.312946319580078</v>
      </c>
      <c r="AE36" s="41" t="e">
        <f>FME_Ranking_Option2!$AD36*AD$4</f>
        <v>#REF!</v>
      </c>
      <c r="AF36" s="42">
        <f>FME_Ranking_Option2!$AD36/($AD$3)</f>
        <v>9.7832177209838294E-4</v>
      </c>
      <c r="AG36" s="42" t="e">
        <f>FME_Ranking_Option2!$AF36*AD$4</f>
        <v>#REF!</v>
      </c>
      <c r="AH36" s="40">
        <f>_xlfn.XLOOKUP(FME_Ranking2[[#This Row],[FME ID]],FME_Input[FME_ID],FME_Input[FARMACRE100])</f>
        <v>178.80146789550781</v>
      </c>
      <c r="AI36" s="43" t="e">
        <f>FME_Ranking_Option2!$AH36*AH$4</f>
        <v>#REF!</v>
      </c>
      <c r="AJ36" s="41">
        <f>FME_Ranking_Option2!$AH36/($AH$3)</f>
        <v>1.0382275249713028E-2</v>
      </c>
      <c r="AK36" s="44" t="e">
        <f>FME_Ranking_Option2!$AJ36*AH$4</f>
        <v>#REF!</v>
      </c>
      <c r="AL36"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6" s="45" t="e">
        <f>_xlfn.RANK.EQ(AL36,$AL$7:$AL$531)+COUNTIF(AL$7:AL36,AL36)-1</f>
        <v>#REF!</v>
      </c>
      <c r="AN36" s="44"/>
      <c r="AO36" s="45" t="e">
        <f>_xlfn.RANK.EQ(AN36,$AN$7:$AN$531)+COUNTIF(AN$7:AN36,AN36)-1</f>
        <v>#N/A</v>
      </c>
      <c r="AP3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6" s="32" t="e">
        <f>FME_Ranking2[[#This Row],[Score Based on Reported Factors]]-FME_Ranking2[[#This Row],[Check]]</f>
        <v>#REF!</v>
      </c>
      <c r="AR36" s="32"/>
    </row>
    <row r="37" spans="1:55" ht="12" customHeight="1" x14ac:dyDescent="0.25">
      <c r="A37" s="16" t="s">
        <v>968</v>
      </c>
      <c r="B37" s="16" t="str">
        <f>_xlfn.XLOOKUP(FME_Ranking2[[#This Row],[FME ID]],FME_Input[FME_ID],FME_Input[FME_NAME])</f>
        <v xml:space="preserve">Brazoria County Drainage Improvements </v>
      </c>
      <c r="C37" s="16" t="str">
        <f>_xlfn.XLOOKUP(FME_Ranking2[[#This Row],[FME ID]],FME_Input[FME_ID],FME_Input[DESCR])</f>
        <v>Drainage study needed and evaluated of alternatives include: Widen and reshape drainage ditches, and upgrade culverts to restore adequate drainage to mitigate flooding.</v>
      </c>
      <c r="D37" s="46" t="str">
        <f>_xlfn.XLOOKUP(FME_Ranking2[[#This Row],[FME ID]],FME_Input[FME_ID],FME_Input[EMER_NEED])</f>
        <v>No</v>
      </c>
      <c r="E37" s="121">
        <f>IF(FME_Ranking_Option2!$D37="Yes",100,0)</f>
        <v>0</v>
      </c>
      <c r="F37" s="47" t="str">
        <f>_xlfn.XLOOKUP(FME_Ranking2[[#This Row],[FME ID]],FME_Input[FME_ID],FME_Input[FUND])</f>
        <v>Yes</v>
      </c>
      <c r="G37" s="48">
        <f>IF(FME_Ranking_Option2!$F37="Yes",1,0)</f>
        <v>1</v>
      </c>
      <c r="H37" s="46">
        <f>_xlfn.XLOOKUP(FME_Ranking2[[#This Row],[FME ID]],FME_Input[FME_ID],FME_Input[STRUCT_100])</f>
        <v>18848</v>
      </c>
      <c r="I37" s="65" t="e">
        <f>FME_Ranking2[[#This Row],[Raw Data3]]*H$4</f>
        <v>#REF!</v>
      </c>
      <c r="J37" s="62">
        <f>((FME_Ranking_Option2!$H37)/($H$3))*100</f>
        <v>2.0945270922767647</v>
      </c>
      <c r="K37" s="49" t="e">
        <f>FME_Ranking2[[#This Row],[Norm Data3]]*H$4</f>
        <v>#REF!</v>
      </c>
      <c r="L37" s="50">
        <f>_xlfn.XLOOKUP(FME_Ranking2[[#This Row],[FME ID]],FME_Input[FME_ID],FME_Input[RES_STRUCT100])</f>
        <v>14344</v>
      </c>
      <c r="M37" s="51" t="e">
        <f>FME_Ranking2[[#This Row],[Raw Data4]]*L$4</f>
        <v>#REF!</v>
      </c>
      <c r="N37" s="29">
        <f>((FME_Ranking_Option2!$L37)/($L$3))*100</f>
        <v>2.1444707071341327</v>
      </c>
      <c r="O37" s="52" t="e">
        <f>FME_Ranking2[[#This Row],[Norm Data4]]*L$4</f>
        <v>#REF!</v>
      </c>
      <c r="P37" s="47">
        <f>_xlfn.XLOOKUP(FME_Ranking2[[#This Row],[FME ID]],FME_Input[FME_ID],FME_Input[POP100])</f>
        <v>65547</v>
      </c>
      <c r="Q37" s="48" t="e">
        <f>FME_Ranking_Option2!$P37*P$4</f>
        <v>#REF!</v>
      </c>
      <c r="R37" s="48">
        <f>FME_Ranking_Option2!$P37/($P$3)</f>
        <v>2.4057140801823949E-2</v>
      </c>
      <c r="S37" s="48" t="e">
        <f>FME_Ranking_Option2!$R37*P$4</f>
        <v>#REF!</v>
      </c>
      <c r="T37" s="50">
        <f>_xlfn.XLOOKUP(FME_Ranking2[[#This Row],[FME ID]],FME_Input[FME_ID],FME_Input[CRITFAC100])</f>
        <v>248</v>
      </c>
      <c r="U37" s="48" t="e">
        <f>FME_Ranking_Option2!$T37*T$4</f>
        <v>#REF!</v>
      </c>
      <c r="V37" s="48">
        <f>FME_Ranking_Option2!$T37/($T$3)</f>
        <v>3.4973910590889862E-2</v>
      </c>
      <c r="W37" s="48" t="e">
        <f>FME_Ranking_Option2!$V37*T$4</f>
        <v>#REF!</v>
      </c>
      <c r="X37" s="50">
        <f>_xlfn.XLOOKUP(FME_Ranking2[[#This Row],[FME ID]],FME_Input[FME_ID],FME_Input[LWC])</f>
        <v>0</v>
      </c>
      <c r="Y37" s="48" t="e">
        <f>FME_Ranking_Option2!$X37*X$4</f>
        <v>#REF!</v>
      </c>
      <c r="Z37" s="48">
        <f>FME_Ranking_Option2!$X37/($X$3)</f>
        <v>0</v>
      </c>
      <c r="AA37" s="48" t="e">
        <f>FME_Ranking_Option2!$Z37*X$4</f>
        <v>#REF!</v>
      </c>
      <c r="AB37" s="50">
        <f>_xlfn.XLOOKUP(FME_Ranking2[[#This Row],[FME ID]],FME_Input[FME_ID],FME_Input[ROADCLS])</f>
        <v>0</v>
      </c>
      <c r="AC37" s="48" t="e">
        <f>FME_Ranking_Option2!$AB37*AB$4</f>
        <v>#REF!</v>
      </c>
      <c r="AD37" s="53">
        <f>_xlfn.XLOOKUP(FME_Ranking2[[#This Row],[FME ID]],FME_Input[FME_ID],FME_Input[ROAD_MILES100])</f>
        <v>328.06332397460938</v>
      </c>
      <c r="AE37" s="54" t="e">
        <f>FME_Ranking_Option2!$AD37*AD$4</f>
        <v>#REF!</v>
      </c>
      <c r="AF37" s="55">
        <f>FME_Ranking_Option2!$AD37/($AD$3)</f>
        <v>7.4100591103458653E-3</v>
      </c>
      <c r="AG37" s="55" t="e">
        <f>FME_Ranking_Option2!$AF37*AD$4</f>
        <v>#REF!</v>
      </c>
      <c r="AH37" s="53">
        <f>_xlfn.XLOOKUP(FME_Ranking2[[#This Row],[FME ID]],FME_Input[FME_ID],FME_Input[FARMACRE100])</f>
        <v>8584.16015625</v>
      </c>
      <c r="AI37" s="54" t="e">
        <f>FME_Ranking_Option2!$AH37*AH$4</f>
        <v>#REF!</v>
      </c>
      <c r="AJ37" s="56">
        <f>FME_Ranking_Option2!$AH37/($AH$3)</f>
        <v>0.49844732584573043</v>
      </c>
      <c r="AK37" s="57" t="e">
        <f>FME_Ranking_Option2!$AJ37*AH$4</f>
        <v>#REF!</v>
      </c>
      <c r="AL37"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7" s="58" t="e">
        <f>_xlfn.RANK.EQ(AL37,$AL$7:$AL$531)+COUNTIF(AL$7:AL37,AL37)-1</f>
        <v>#REF!</v>
      </c>
      <c r="AN37" s="57"/>
      <c r="AO37" s="58" t="e">
        <f>_xlfn.RANK.EQ(AN37,$AN$7:$AN$531)+COUNTIF(AN$7:AN37,AN37)-1</f>
        <v>#N/A</v>
      </c>
      <c r="AP3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7" s="32" t="e">
        <f>FME_Ranking2[[#This Row],[Score Based on Reported Factors]]-FME_Ranking2[[#This Row],[Check]]</f>
        <v>#REF!</v>
      </c>
      <c r="AR37" s="32"/>
      <c r="AT37" s="19"/>
      <c r="AU37" s="19"/>
      <c r="AV37" s="19"/>
      <c r="AW37" s="19"/>
      <c r="AX37" s="19"/>
      <c r="AY37" s="19"/>
      <c r="AZ37" s="19"/>
      <c r="BA37" s="19"/>
      <c r="BB37" s="19"/>
      <c r="BC37" s="19"/>
    </row>
    <row r="38" spans="1:55" ht="12" customHeight="1" x14ac:dyDescent="0.25">
      <c r="A38" s="17" t="s">
        <v>965</v>
      </c>
      <c r="B38" s="17" t="str">
        <f>_xlfn.XLOOKUP(FME_Ranking2[[#This Row],[FME ID]],FME_Input[FME_ID],FME_Input[FME_NAME])</f>
        <v xml:space="preserve">City of Manvel Various Drainage Improvements </v>
      </c>
      <c r="C38" s="17" t="str">
        <f>_xlfn.XLOOKUP(FME_Ranking2[[#This Row],[FME ID]],FME_Input[FME_ID],FME_Input[DESCR])</f>
        <v xml:space="preserve">Study of various drainage improvements, including storm sewer rehabilitation and ditch deepening. </v>
      </c>
      <c r="D38" s="33" t="str">
        <f>_xlfn.XLOOKUP(FME_Ranking2[[#This Row],[FME ID]],FME_Input[FME_ID],FME_Input[EMER_NEED])</f>
        <v>No</v>
      </c>
      <c r="E38" s="120">
        <f>IF(FME_Ranking_Option2!$D38="Yes",100,0)</f>
        <v>0</v>
      </c>
      <c r="F38" s="34" t="str">
        <f>_xlfn.XLOOKUP(FME_Ranking2[[#This Row],[FME ID]],FME_Input[FME_ID],FME_Input[FUND])</f>
        <v>Yes</v>
      </c>
      <c r="G38" s="35">
        <f>IF(FME_Ranking_Option2!$F38="Yes",1,0)</f>
        <v>1</v>
      </c>
      <c r="H38" s="33">
        <f>_xlfn.XLOOKUP(FME_Ranking2[[#This Row],[FME ID]],FME_Input[FME_ID],FME_Input[STRUCT_100])</f>
        <v>1250</v>
      </c>
      <c r="I38" s="64" t="e">
        <f>FME_Ranking2[[#This Row],[Raw Data3]]*H$4</f>
        <v>#REF!</v>
      </c>
      <c r="J38" s="63">
        <f>((FME_Ranking_Option2!$H38)/($H$3))*100</f>
        <v>0.13890910788125826</v>
      </c>
      <c r="K38" s="36" t="e">
        <f>FME_Ranking2[[#This Row],[Norm Data3]]*H$4</f>
        <v>#REF!</v>
      </c>
      <c r="L38" s="37">
        <f>_xlfn.XLOOKUP(FME_Ranking2[[#This Row],[FME ID]],FME_Input[FME_ID],FME_Input[RES_STRUCT100])</f>
        <v>966</v>
      </c>
      <c r="M38" s="38" t="e">
        <f>FME_Ranking2[[#This Row],[Raw Data4]]*L$4</f>
        <v>#REF!</v>
      </c>
      <c r="N38" s="28">
        <f>((FME_Ranking_Option2!$L38)/($L$3))*100</f>
        <v>0.14441987612183296</v>
      </c>
      <c r="O38" s="39" t="e">
        <f>FME_Ranking2[[#This Row],[Norm Data4]]*L$4</f>
        <v>#REF!</v>
      </c>
      <c r="P38" s="34">
        <f>_xlfn.XLOOKUP(FME_Ranking2[[#This Row],[FME ID]],FME_Input[FME_ID],FME_Input[POP100])</f>
        <v>8190</v>
      </c>
      <c r="Q38" s="35" t="e">
        <f>FME_Ranking_Option2!$P38*P$4</f>
        <v>#REF!</v>
      </c>
      <c r="R38" s="35">
        <f>FME_Ranking_Option2!$P38/($P$3)</f>
        <v>3.0059039035644367E-3</v>
      </c>
      <c r="S38" s="35" t="e">
        <f>FME_Ranking_Option2!$R38*P$4</f>
        <v>#REF!</v>
      </c>
      <c r="T38" s="37">
        <f>_xlfn.XLOOKUP(FME_Ranking2[[#This Row],[FME ID]],FME_Input[FME_ID],FME_Input[CRITFAC100])</f>
        <v>8</v>
      </c>
      <c r="U38" s="35" t="e">
        <f>FME_Ranking_Option2!$T38*T$4</f>
        <v>#REF!</v>
      </c>
      <c r="V38" s="35">
        <f>FME_Ranking_Option2!$T38/($T$3)</f>
        <v>1.1281906642222536E-3</v>
      </c>
      <c r="W38" s="35" t="e">
        <f>FME_Ranking_Option2!$V38*T$4</f>
        <v>#REF!</v>
      </c>
      <c r="X38" s="37">
        <f>_xlfn.XLOOKUP(FME_Ranking2[[#This Row],[FME ID]],FME_Input[FME_ID],FME_Input[LWC])</f>
        <v>0</v>
      </c>
      <c r="Y38" s="35" t="e">
        <f>FME_Ranking_Option2!$X38*X$4</f>
        <v>#REF!</v>
      </c>
      <c r="Z38" s="35">
        <f>FME_Ranking_Option2!$X38/($X$3)</f>
        <v>0</v>
      </c>
      <c r="AA38" s="35" t="e">
        <f>FME_Ranking_Option2!$Z38*X$4</f>
        <v>#REF!</v>
      </c>
      <c r="AB38" s="37">
        <f>_xlfn.XLOOKUP(FME_Ranking2[[#This Row],[FME ID]],FME_Input[FME_ID],FME_Input[ROADCLS])</f>
        <v>0</v>
      </c>
      <c r="AC38" s="35" t="e">
        <f>FME_Ranking_Option2!$AB38*AB$4</f>
        <v>#REF!</v>
      </c>
      <c r="AD38" s="40">
        <f>_xlfn.XLOOKUP(FME_Ranking2[[#This Row],[FME ID]],FME_Input[FME_ID],FME_Input[ROAD_MILES100])</f>
        <v>43.312946319580078</v>
      </c>
      <c r="AE38" s="41" t="e">
        <f>FME_Ranking_Option2!$AD38*AD$4</f>
        <v>#REF!</v>
      </c>
      <c r="AF38" s="42">
        <f>FME_Ranking_Option2!$AD38/($AD$3)</f>
        <v>9.7832177209838294E-4</v>
      </c>
      <c r="AG38" s="42" t="e">
        <f>FME_Ranking_Option2!$AF38*AD$4</f>
        <v>#REF!</v>
      </c>
      <c r="AH38" s="40">
        <f>_xlfn.XLOOKUP(FME_Ranking2[[#This Row],[FME ID]],FME_Input[FME_ID],FME_Input[FARMACRE100])</f>
        <v>178.80146789550781</v>
      </c>
      <c r="AI38" s="43" t="e">
        <f>FME_Ranking_Option2!$AH38*AH$4</f>
        <v>#REF!</v>
      </c>
      <c r="AJ38" s="41">
        <f>FME_Ranking_Option2!$AH38/($AH$3)</f>
        <v>1.0382275249713028E-2</v>
      </c>
      <c r="AK38" s="44" t="e">
        <f>FME_Ranking_Option2!$AJ38*AH$4</f>
        <v>#REF!</v>
      </c>
      <c r="AL3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8" s="45" t="e">
        <f>_xlfn.RANK.EQ(AL38,$AL$7:$AL$531)+COUNTIF(AL$7:AL38,AL38)-1</f>
        <v>#REF!</v>
      </c>
      <c r="AN38" s="44"/>
      <c r="AO38" s="45" t="e">
        <f>_xlfn.RANK.EQ(AN38,$AN$7:$AN$531)+COUNTIF(AN$7:AN38,AN38)-1</f>
        <v>#N/A</v>
      </c>
      <c r="AP3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8" s="32" t="e">
        <f>FME_Ranking2[[#This Row],[Score Based on Reported Factors]]-FME_Ranking2[[#This Row],[Check]]</f>
        <v>#REF!</v>
      </c>
      <c r="AR38" s="32"/>
    </row>
    <row r="39" spans="1:55" ht="12" customHeight="1" x14ac:dyDescent="0.25">
      <c r="A39" s="16" t="s">
        <v>971</v>
      </c>
      <c r="B39" s="16" t="str">
        <f>_xlfn.XLOOKUP(FME_Ranking2[[#This Row],[FME ID]],FME_Input[FME_ID],FME_Input[FME_NAME])</f>
        <v>Brazoria County Property Protection</v>
      </c>
      <c r="C39" s="16" t="str">
        <f>_xlfn.XLOOKUP(FME_Ranking2[[#This Row],[FME ID]],FME_Input[FME_ID],FME_Input[DESCR])</f>
        <v xml:space="preserve">Further study required to assess alternatives to restore drainage and mitigate flooding throughout the county. </v>
      </c>
      <c r="D39" s="46" t="str">
        <f>_xlfn.XLOOKUP(FME_Ranking2[[#This Row],[FME ID]],FME_Input[FME_ID],FME_Input[EMER_NEED])</f>
        <v>No</v>
      </c>
      <c r="E39" s="121">
        <f>IF(FME_Ranking_Option2!$D39="Yes",100,0)</f>
        <v>0</v>
      </c>
      <c r="F39" s="47" t="str">
        <f>_xlfn.XLOOKUP(FME_Ranking2[[#This Row],[FME ID]],FME_Input[FME_ID],FME_Input[FUND])</f>
        <v>Yes</v>
      </c>
      <c r="G39" s="48">
        <f>IF(FME_Ranking_Option2!$F39="Yes",1,0)</f>
        <v>1</v>
      </c>
      <c r="H39" s="46">
        <f>_xlfn.XLOOKUP(FME_Ranking2[[#This Row],[FME ID]],FME_Input[FME_ID],FME_Input[STRUCT_100])</f>
        <v>18848</v>
      </c>
      <c r="I39" s="65" t="e">
        <f>FME_Ranking2[[#This Row],[Raw Data3]]*H$4</f>
        <v>#REF!</v>
      </c>
      <c r="J39" s="62">
        <f>((FME_Ranking_Option2!$H39)/($H$3))*100</f>
        <v>2.0945270922767647</v>
      </c>
      <c r="K39" s="49" t="e">
        <f>FME_Ranking2[[#This Row],[Norm Data3]]*H$4</f>
        <v>#REF!</v>
      </c>
      <c r="L39" s="50">
        <f>_xlfn.XLOOKUP(FME_Ranking2[[#This Row],[FME ID]],FME_Input[FME_ID],FME_Input[RES_STRUCT100])</f>
        <v>14344</v>
      </c>
      <c r="M39" s="51" t="e">
        <f>FME_Ranking2[[#This Row],[Raw Data4]]*L$4</f>
        <v>#REF!</v>
      </c>
      <c r="N39" s="29">
        <f>((FME_Ranking_Option2!$L39)/($L$3))*100</f>
        <v>2.1444707071341327</v>
      </c>
      <c r="O39" s="52" t="e">
        <f>FME_Ranking2[[#This Row],[Norm Data4]]*L$4</f>
        <v>#REF!</v>
      </c>
      <c r="P39" s="47">
        <f>_xlfn.XLOOKUP(FME_Ranking2[[#This Row],[FME ID]],FME_Input[FME_ID],FME_Input[POP100])</f>
        <v>65547</v>
      </c>
      <c r="Q39" s="48" t="e">
        <f>FME_Ranking_Option2!$P39*P$4</f>
        <v>#REF!</v>
      </c>
      <c r="R39" s="48">
        <f>FME_Ranking_Option2!$P39/($P$3)</f>
        <v>2.4057140801823949E-2</v>
      </c>
      <c r="S39" s="48" t="e">
        <f>FME_Ranking_Option2!$R39*P$4</f>
        <v>#REF!</v>
      </c>
      <c r="T39" s="50">
        <f>_xlfn.XLOOKUP(FME_Ranking2[[#This Row],[FME ID]],FME_Input[FME_ID],FME_Input[CRITFAC100])</f>
        <v>248</v>
      </c>
      <c r="U39" s="48" t="e">
        <f>FME_Ranking_Option2!$T39*T$4</f>
        <v>#REF!</v>
      </c>
      <c r="V39" s="48">
        <f>FME_Ranking_Option2!$T39/($T$3)</f>
        <v>3.4973910590889862E-2</v>
      </c>
      <c r="W39" s="48" t="e">
        <f>FME_Ranking_Option2!$V39*T$4</f>
        <v>#REF!</v>
      </c>
      <c r="X39" s="50">
        <f>_xlfn.XLOOKUP(FME_Ranking2[[#This Row],[FME ID]],FME_Input[FME_ID],FME_Input[LWC])</f>
        <v>0</v>
      </c>
      <c r="Y39" s="48" t="e">
        <f>FME_Ranking_Option2!$X39*X$4</f>
        <v>#REF!</v>
      </c>
      <c r="Z39" s="48">
        <f>FME_Ranking_Option2!$X39/($X$3)</f>
        <v>0</v>
      </c>
      <c r="AA39" s="48" t="e">
        <f>FME_Ranking_Option2!$Z39*X$4</f>
        <v>#REF!</v>
      </c>
      <c r="AB39" s="50">
        <f>_xlfn.XLOOKUP(FME_Ranking2[[#This Row],[FME ID]],FME_Input[FME_ID],FME_Input[ROADCLS])</f>
        <v>0</v>
      </c>
      <c r="AC39" s="48" t="e">
        <f>FME_Ranking_Option2!$AB39*AB$4</f>
        <v>#REF!</v>
      </c>
      <c r="AD39" s="53">
        <f>_xlfn.XLOOKUP(FME_Ranking2[[#This Row],[FME ID]],FME_Input[FME_ID],FME_Input[ROAD_MILES100])</f>
        <v>328.06332397460938</v>
      </c>
      <c r="AE39" s="54" t="e">
        <f>FME_Ranking_Option2!$AD39*AD$4</f>
        <v>#REF!</v>
      </c>
      <c r="AF39" s="55">
        <f>FME_Ranking_Option2!$AD39/($AD$3)</f>
        <v>7.4100591103458653E-3</v>
      </c>
      <c r="AG39" s="55" t="e">
        <f>FME_Ranking_Option2!$AF39*AD$4</f>
        <v>#REF!</v>
      </c>
      <c r="AH39" s="53">
        <f>_xlfn.XLOOKUP(FME_Ranking2[[#This Row],[FME ID]],FME_Input[FME_ID],FME_Input[FARMACRE100])</f>
        <v>8584.16015625</v>
      </c>
      <c r="AI39" s="54" t="e">
        <f>FME_Ranking_Option2!$AH39*AH$4</f>
        <v>#REF!</v>
      </c>
      <c r="AJ39" s="56">
        <f>FME_Ranking_Option2!$AH39/($AH$3)</f>
        <v>0.49844732584573043</v>
      </c>
      <c r="AK39" s="57" t="e">
        <f>FME_Ranking_Option2!$AJ39*AH$4</f>
        <v>#REF!</v>
      </c>
      <c r="AL3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9" s="58" t="e">
        <f>_xlfn.RANK.EQ(AL39,$AL$7:$AL$531)+COUNTIF(AL$7:AL39,AL39)-1</f>
        <v>#REF!</v>
      </c>
      <c r="AN39" s="57"/>
      <c r="AO39" s="58" t="e">
        <f>_xlfn.RANK.EQ(AN39,$AN$7:$AN$531)+COUNTIF(AN$7:AN39,AN39)-1</f>
        <v>#N/A</v>
      </c>
      <c r="AP3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9" s="32" t="e">
        <f>FME_Ranking2[[#This Row],[Score Based on Reported Factors]]-FME_Ranking2[[#This Row],[Check]]</f>
        <v>#REF!</v>
      </c>
      <c r="AR39" s="32"/>
      <c r="AT39" s="19"/>
      <c r="AU39" s="19"/>
      <c r="AV39" s="19"/>
      <c r="AW39" s="19"/>
      <c r="AX39" s="19"/>
      <c r="AY39" s="19"/>
      <c r="AZ39" s="19"/>
      <c r="BA39" s="19"/>
      <c r="BB39" s="19"/>
      <c r="BC39" s="19"/>
    </row>
    <row r="40" spans="1:55" ht="12" customHeight="1" x14ac:dyDescent="0.25">
      <c r="A40" s="17" t="s">
        <v>978</v>
      </c>
      <c r="B40" s="17" t="str">
        <f>_xlfn.XLOOKUP(FME_Ranking2[[#This Row],[FME ID]],FME_Input[FME_ID],FME_Input[FME_NAME])</f>
        <v xml:space="preserve">City of Hillcrest Village Drainage Improvements </v>
      </c>
      <c r="C40" s="17" t="str">
        <f>_xlfn.XLOOKUP(FME_Ranking2[[#This Row],[FME ID]],FME_Input[FME_ID],FME_Input[DESCR])</f>
        <v xml:space="preserve">Further study and FMP developement required to assess alternatives to restore drainage and mitigate flooding throughout the City of Hillcrest Village. </v>
      </c>
      <c r="D40" s="33" t="str">
        <f>_xlfn.XLOOKUP(FME_Ranking2[[#This Row],[FME ID]],FME_Input[FME_ID],FME_Input[EMER_NEED])</f>
        <v>No</v>
      </c>
      <c r="E40" s="120">
        <f>IF(FME_Ranking_Option2!$D40="Yes",100,0)</f>
        <v>0</v>
      </c>
      <c r="F40" s="34" t="str">
        <f>_xlfn.XLOOKUP(FME_Ranking2[[#This Row],[FME ID]],FME_Input[FME_ID],FME_Input[FUND])</f>
        <v>Yes</v>
      </c>
      <c r="G40" s="35">
        <f>IF(FME_Ranking_Option2!$F40="Yes",1,0)</f>
        <v>1</v>
      </c>
      <c r="H40" s="33">
        <f>_xlfn.XLOOKUP(FME_Ranking2[[#This Row],[FME ID]],FME_Input[FME_ID],FME_Input[STRUCT_100])</f>
        <v>128</v>
      </c>
      <c r="I40" s="64" t="e">
        <f>FME_Ranking2[[#This Row],[Raw Data3]]*H$4</f>
        <v>#REF!</v>
      </c>
      <c r="J40" s="63">
        <f>((FME_Ranking_Option2!$H40)/($H$3))*100</f>
        <v>1.4224292647040847E-2</v>
      </c>
      <c r="K40" s="36" t="e">
        <f>FME_Ranking2[[#This Row],[Norm Data3]]*H$4</f>
        <v>#REF!</v>
      </c>
      <c r="L40" s="37">
        <f>_xlfn.XLOOKUP(FME_Ranking2[[#This Row],[FME ID]],FME_Input[FME_ID],FME_Input[RES_STRUCT100])</f>
        <v>121</v>
      </c>
      <c r="M40" s="38" t="e">
        <f>FME_Ranking2[[#This Row],[Raw Data4]]*L$4</f>
        <v>#REF!</v>
      </c>
      <c r="N40" s="28">
        <f>((FME_Ranking_Option2!$L40)/($L$3))*100</f>
        <v>1.8089860259567069E-2</v>
      </c>
      <c r="O40" s="39" t="e">
        <f>FME_Ranking2[[#This Row],[Norm Data4]]*L$4</f>
        <v>#REF!</v>
      </c>
      <c r="P40" s="34">
        <f>_xlfn.XLOOKUP(FME_Ranking2[[#This Row],[FME ID]],FME_Input[FME_ID],FME_Input[POP100])</f>
        <v>333</v>
      </c>
      <c r="Q40" s="35" t="e">
        <f>FME_Ranking_Option2!$P40*P$4</f>
        <v>#REF!</v>
      </c>
      <c r="R40" s="35">
        <f>FME_Ranking_Option2!$P40/($P$3)</f>
        <v>1.2221807080426832E-4</v>
      </c>
      <c r="S40" s="35" t="e">
        <f>FME_Ranking_Option2!$R40*P$4</f>
        <v>#REF!</v>
      </c>
      <c r="T40" s="37">
        <f>_xlfn.XLOOKUP(FME_Ranking2[[#This Row],[FME ID]],FME_Input[FME_ID],FME_Input[CRITFAC100])</f>
        <v>1</v>
      </c>
      <c r="U40" s="35" t="e">
        <f>FME_Ranking_Option2!$T40*T$4</f>
        <v>#REF!</v>
      </c>
      <c r="V40" s="35">
        <f>FME_Ranking_Option2!$T40/($T$3)</f>
        <v>1.4102383302778171E-4</v>
      </c>
      <c r="W40" s="35" t="e">
        <f>FME_Ranking_Option2!$V40*T$4</f>
        <v>#REF!</v>
      </c>
      <c r="X40" s="37">
        <f>_xlfn.XLOOKUP(FME_Ranking2[[#This Row],[FME ID]],FME_Input[FME_ID],FME_Input[LWC])</f>
        <v>0</v>
      </c>
      <c r="Y40" s="35" t="e">
        <f>FME_Ranking_Option2!$X40*X$4</f>
        <v>#REF!</v>
      </c>
      <c r="Z40" s="35">
        <f>FME_Ranking_Option2!$X40/($X$3)</f>
        <v>0</v>
      </c>
      <c r="AA40" s="35" t="e">
        <f>FME_Ranking_Option2!$Z40*X$4</f>
        <v>#REF!</v>
      </c>
      <c r="AB40" s="37">
        <f>_xlfn.XLOOKUP(FME_Ranking2[[#This Row],[FME ID]],FME_Input[FME_ID],FME_Input[ROADCLS])</f>
        <v>0</v>
      </c>
      <c r="AC40" s="35" t="e">
        <f>FME_Ranking_Option2!$AB40*AB$4</f>
        <v>#REF!</v>
      </c>
      <c r="AD40" s="40">
        <f>_xlfn.XLOOKUP(FME_Ranking2[[#This Row],[FME ID]],FME_Input[FME_ID],FME_Input[ROAD_MILES100])</f>
        <v>2.0717709064483638</v>
      </c>
      <c r="AE40" s="41" t="e">
        <f>FME_Ranking_Option2!$AD40*AD$4</f>
        <v>#REF!</v>
      </c>
      <c r="AF40" s="42">
        <f>FME_Ranking_Option2!$AD40/($AD$3)</f>
        <v>4.6795675584465461E-5</v>
      </c>
      <c r="AG40" s="42" t="e">
        <f>FME_Ranking_Option2!$AF40*AD$4</f>
        <v>#REF!</v>
      </c>
      <c r="AH40" s="40">
        <f>_xlfn.XLOOKUP(FME_Ranking2[[#This Row],[FME ID]],FME_Input[FME_ID],FME_Input[FARMACRE100])</f>
        <v>0.13477444648742681</v>
      </c>
      <c r="AI40" s="43" t="e">
        <f>FME_Ranking_Option2!$AH40*AH$4</f>
        <v>#REF!</v>
      </c>
      <c r="AJ40" s="41">
        <f>FME_Ranking_Option2!$AH40/($AH$3)</f>
        <v>7.8258048802928155E-6</v>
      </c>
      <c r="AK40" s="44" t="e">
        <f>FME_Ranking_Option2!$AJ40*AH$4</f>
        <v>#REF!</v>
      </c>
      <c r="AL4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0" s="45" t="e">
        <f>_xlfn.RANK.EQ(AL40,$AL$7:$AL$531)+COUNTIF(AL$7:AL40,AL40)-1</f>
        <v>#REF!</v>
      </c>
      <c r="AN40" s="44"/>
      <c r="AO40" s="45" t="e">
        <f>_xlfn.RANK.EQ(AN40,$AN$7:$AN$531)+COUNTIF(AN$7:AN40,AN40)-1</f>
        <v>#N/A</v>
      </c>
      <c r="AP4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0" s="32" t="e">
        <f>FME_Ranking2[[#This Row],[Score Based on Reported Factors]]-FME_Ranking2[[#This Row],[Check]]</f>
        <v>#REF!</v>
      </c>
      <c r="AR40" s="32"/>
    </row>
    <row r="41" spans="1:55" ht="12" customHeight="1" x14ac:dyDescent="0.25">
      <c r="A41" s="16" t="s">
        <v>996</v>
      </c>
      <c r="B41" s="16" t="str">
        <f>_xlfn.XLOOKUP(FME_Ranking2[[#This Row],[FME ID]],FME_Input[FME_ID],FME_Input[FME_NAME])</f>
        <v>West Chocolate Bayou (CR 383 Ditch)</v>
      </c>
      <c r="C41" s="16" t="str">
        <f>_xlfn.XLOOKUP(FME_Ranking2[[#This Row],[FME ID]],FME_Input[FME_ID],FME_Input[DESCR])</f>
        <v>Further study including Atlas 14 rainfall incorporation and Benefit Cost Analysis of proposed channel modifications included in the City of Pearland master drainage plan.</v>
      </c>
      <c r="D41" s="46" t="str">
        <f>_xlfn.XLOOKUP(FME_Ranking2[[#This Row],[FME ID]],FME_Input[FME_ID],FME_Input[EMER_NEED])</f>
        <v>No</v>
      </c>
      <c r="E41" s="121">
        <f>IF(FME_Ranking_Option2!$D41="Yes",100,0)</f>
        <v>0</v>
      </c>
      <c r="F41" s="47" t="str">
        <f>_xlfn.XLOOKUP(FME_Ranking2[[#This Row],[FME ID]],FME_Input[FME_ID],FME_Input[FUND])</f>
        <v>Yes</v>
      </c>
      <c r="G41" s="48">
        <f>IF(FME_Ranking_Option2!$F41="Yes",1,0)</f>
        <v>1</v>
      </c>
      <c r="H41" s="46">
        <f>_xlfn.XLOOKUP(FME_Ranking2[[#This Row],[FME ID]],FME_Input[FME_ID],FME_Input[STRUCT_100])</f>
        <v>0</v>
      </c>
      <c r="I41" s="65" t="e">
        <f>FME_Ranking2[[#This Row],[Raw Data3]]*H$4</f>
        <v>#REF!</v>
      </c>
      <c r="J41" s="62">
        <f>((FME_Ranking_Option2!$H41)/($H$3))*100</f>
        <v>0</v>
      </c>
      <c r="K41" s="49" t="e">
        <f>FME_Ranking2[[#This Row],[Norm Data3]]*H$4</f>
        <v>#REF!</v>
      </c>
      <c r="L41" s="50">
        <f>_xlfn.XLOOKUP(FME_Ranking2[[#This Row],[FME ID]],FME_Input[FME_ID],FME_Input[RES_STRUCT100])</f>
        <v>0</v>
      </c>
      <c r="M41" s="51" t="e">
        <f>FME_Ranking2[[#This Row],[Raw Data4]]*L$4</f>
        <v>#REF!</v>
      </c>
      <c r="N41" s="29">
        <f>((FME_Ranking_Option2!$L41)/($L$3))*100</f>
        <v>0</v>
      </c>
      <c r="O41" s="52" t="e">
        <f>FME_Ranking2[[#This Row],[Norm Data4]]*L$4</f>
        <v>#REF!</v>
      </c>
      <c r="P41" s="47">
        <f>_xlfn.XLOOKUP(FME_Ranking2[[#This Row],[FME ID]],FME_Input[FME_ID],FME_Input[POP100])</f>
        <v>0</v>
      </c>
      <c r="Q41" s="48" t="e">
        <f>FME_Ranking_Option2!$P41*P$4</f>
        <v>#REF!</v>
      </c>
      <c r="R41" s="48">
        <f>FME_Ranking_Option2!$P41/($P$3)</f>
        <v>0</v>
      </c>
      <c r="S41" s="48" t="e">
        <f>FME_Ranking_Option2!$R41*P$4</f>
        <v>#REF!</v>
      </c>
      <c r="T41" s="50">
        <f>_xlfn.XLOOKUP(FME_Ranking2[[#This Row],[FME ID]],FME_Input[FME_ID],FME_Input[CRITFAC100])</f>
        <v>0</v>
      </c>
      <c r="U41" s="48" t="e">
        <f>FME_Ranking_Option2!$T41*T$4</f>
        <v>#REF!</v>
      </c>
      <c r="V41" s="48">
        <f>FME_Ranking_Option2!$T41/($T$3)</f>
        <v>0</v>
      </c>
      <c r="W41" s="48" t="e">
        <f>FME_Ranking_Option2!$V41*T$4</f>
        <v>#REF!</v>
      </c>
      <c r="X41" s="50">
        <f>_xlfn.XLOOKUP(FME_Ranking2[[#This Row],[FME ID]],FME_Input[FME_ID],FME_Input[LWC])</f>
        <v>0</v>
      </c>
      <c r="Y41" s="48" t="e">
        <f>FME_Ranking_Option2!$X41*X$4</f>
        <v>#REF!</v>
      </c>
      <c r="Z41" s="48">
        <f>FME_Ranking_Option2!$X41/($X$3)</f>
        <v>0</v>
      </c>
      <c r="AA41" s="48" t="e">
        <f>FME_Ranking_Option2!$Z41*X$4</f>
        <v>#REF!</v>
      </c>
      <c r="AB41" s="50">
        <f>_xlfn.XLOOKUP(FME_Ranking2[[#This Row],[FME ID]],FME_Input[FME_ID],FME_Input[ROADCLS])</f>
        <v>0</v>
      </c>
      <c r="AC41" s="48" t="e">
        <f>FME_Ranking_Option2!$AB41*AB$4</f>
        <v>#REF!</v>
      </c>
      <c r="AD41" s="53">
        <f>_xlfn.XLOOKUP(FME_Ranking2[[#This Row],[FME ID]],FME_Input[FME_ID],FME_Input[ROAD_MILES100])</f>
        <v>1.1529239825904369E-2</v>
      </c>
      <c r="AE41" s="54" t="e">
        <f>FME_Ranking_Option2!$AD41*AD$4</f>
        <v>#REF!</v>
      </c>
      <c r="AF41" s="55">
        <f>FME_Ranking_Option2!$AD41/($AD$3)</f>
        <v>2.6041420166161921E-7</v>
      </c>
      <c r="AG41" s="55" t="e">
        <f>FME_Ranking_Option2!$AF41*AD$4</f>
        <v>#REF!</v>
      </c>
      <c r="AH41" s="53">
        <f>_xlfn.XLOOKUP(FME_Ranking2[[#This Row],[FME ID]],FME_Input[FME_ID],FME_Input[FARMACRE100])</f>
        <v>4.4743560254573822E-2</v>
      </c>
      <c r="AI41" s="54" t="e">
        <f>FME_Ranking_Option2!$AH41*AH$4</f>
        <v>#REF!</v>
      </c>
      <c r="AJ41" s="56">
        <f>FME_Ranking_Option2!$AH41/($AH$3)</f>
        <v>2.5980768708598302E-6</v>
      </c>
      <c r="AK41" s="57" t="e">
        <f>FME_Ranking_Option2!$AJ41*AH$4</f>
        <v>#REF!</v>
      </c>
      <c r="AL4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1" s="58" t="e">
        <f>_xlfn.RANK.EQ(AL41,$AL$7:$AL$531)+COUNTIF(AL$7:AL41,AL41)-1</f>
        <v>#REF!</v>
      </c>
      <c r="AN41" s="57"/>
      <c r="AO41" s="58" t="e">
        <f>_xlfn.RANK.EQ(AN41,$AN$7:$AN$531)+COUNTIF(AN$7:AN41,AN41)-1</f>
        <v>#N/A</v>
      </c>
      <c r="AP4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1" s="32" t="e">
        <f>FME_Ranking2[[#This Row],[Score Based on Reported Factors]]-FME_Ranking2[[#This Row],[Check]]</f>
        <v>#REF!</v>
      </c>
      <c r="AR41" s="32"/>
      <c r="AT41" s="19"/>
      <c r="AU41" s="19"/>
      <c r="AV41" s="19"/>
      <c r="AW41" s="19"/>
      <c r="AX41" s="19"/>
      <c r="AY41" s="19"/>
      <c r="AZ41" s="19"/>
      <c r="BA41" s="19"/>
      <c r="BB41" s="19"/>
      <c r="BC41" s="19"/>
    </row>
    <row r="42" spans="1:55" ht="12" customHeight="1" x14ac:dyDescent="0.25">
      <c r="A42" s="17" t="s">
        <v>2057</v>
      </c>
      <c r="B42" s="17" t="str">
        <f>_xlfn.XLOOKUP(FME_Ranking2[[#This Row],[FME ID]],FME_Input[FME_ID],FME_Input[FME_NAME])</f>
        <v>West Fork Chocolate (Cold River Ranch Ditch)</v>
      </c>
      <c r="C42" s="17" t="str">
        <f>_xlfn.XLOOKUP(FME_Ranking2[[#This Row],[FME ID]],FME_Input[FME_ID],FME_Input[DESCR])</f>
        <v xml:space="preserve">Further study of proposed channel modifications to Cold River Ranch Ditch included in the City of Pearland master drainage plan to include Atlas 14 rainfall. </v>
      </c>
      <c r="D42" s="33" t="str">
        <f>_xlfn.XLOOKUP(FME_Ranking2[[#This Row],[FME ID]],FME_Input[FME_ID],FME_Input[EMER_NEED])</f>
        <v>No</v>
      </c>
      <c r="E42" s="120">
        <f>IF(FME_Ranking_Option2!$D42="Yes",100,0)</f>
        <v>0</v>
      </c>
      <c r="F42" s="34" t="str">
        <f>_xlfn.XLOOKUP(FME_Ranking2[[#This Row],[FME ID]],FME_Input[FME_ID],FME_Input[FUND])</f>
        <v>Yes</v>
      </c>
      <c r="G42" s="35">
        <f>IF(FME_Ranking_Option2!$F42="Yes",1,0)</f>
        <v>1</v>
      </c>
      <c r="H42" s="33">
        <f>_xlfn.XLOOKUP(FME_Ranking2[[#This Row],[FME ID]],FME_Input[FME_ID],FME_Input[STRUCT_100])</f>
        <v>60</v>
      </c>
      <c r="I42" s="64" t="e">
        <f>FME_Ranking2[[#This Row],[Raw Data3]]*H$4</f>
        <v>#REF!</v>
      </c>
      <c r="J42" s="63">
        <f>((FME_Ranking_Option2!$H42)/($H$3))*100</f>
        <v>6.6676371783003967E-3</v>
      </c>
      <c r="K42" s="36" t="e">
        <f>FME_Ranking2[[#This Row],[Norm Data3]]*H$4</f>
        <v>#REF!</v>
      </c>
      <c r="L42" s="37">
        <f>_xlfn.XLOOKUP(FME_Ranking2[[#This Row],[FME ID]],FME_Input[FME_ID],FME_Input[RES_STRUCT100])</f>
        <v>54</v>
      </c>
      <c r="M42" s="38" t="e">
        <f>FME_Ranking2[[#This Row],[Raw Data4]]*L$4</f>
        <v>#REF!</v>
      </c>
      <c r="N42" s="28">
        <f>((FME_Ranking_Option2!$L42)/($L$3))*100</f>
        <v>8.0731607769968742E-3</v>
      </c>
      <c r="O42" s="39" t="e">
        <f>FME_Ranking2[[#This Row],[Norm Data4]]*L$4</f>
        <v>#REF!</v>
      </c>
      <c r="P42" s="34">
        <f>_xlfn.XLOOKUP(FME_Ranking2[[#This Row],[FME ID]],FME_Input[FME_ID],FME_Input[POP100])</f>
        <v>56</v>
      </c>
      <c r="Q42" s="35" t="e">
        <f>FME_Ranking_Option2!$P42*P$4</f>
        <v>#REF!</v>
      </c>
      <c r="R42" s="35">
        <f>FME_Ranking_Option2!$P42/($P$3)</f>
        <v>2.0553189084201277E-5</v>
      </c>
      <c r="S42" s="35" t="e">
        <f>FME_Ranking_Option2!$R42*P$4</f>
        <v>#REF!</v>
      </c>
      <c r="T42" s="37">
        <f>_xlfn.XLOOKUP(FME_Ranking2[[#This Row],[FME ID]],FME_Input[FME_ID],FME_Input[CRITFAC100])</f>
        <v>0</v>
      </c>
      <c r="U42" s="35" t="e">
        <f>FME_Ranking_Option2!$T42*T$4</f>
        <v>#REF!</v>
      </c>
      <c r="V42" s="35">
        <f>FME_Ranking_Option2!$T42/($T$3)</f>
        <v>0</v>
      </c>
      <c r="W42" s="35" t="e">
        <f>FME_Ranking_Option2!$V42*T$4</f>
        <v>#REF!</v>
      </c>
      <c r="X42" s="37">
        <f>_xlfn.XLOOKUP(FME_Ranking2[[#This Row],[FME ID]],FME_Input[FME_ID],FME_Input[LWC])</f>
        <v>0</v>
      </c>
      <c r="Y42" s="35" t="e">
        <f>FME_Ranking_Option2!$X42*X$4</f>
        <v>#REF!</v>
      </c>
      <c r="Z42" s="35">
        <f>FME_Ranking_Option2!$X42/($X$3)</f>
        <v>0</v>
      </c>
      <c r="AA42" s="35" t="e">
        <f>FME_Ranking_Option2!$Z42*X$4</f>
        <v>#REF!</v>
      </c>
      <c r="AB42" s="37">
        <f>_xlfn.XLOOKUP(FME_Ranking2[[#This Row],[FME ID]],FME_Input[FME_ID],FME_Input[ROADCLS])</f>
        <v>0</v>
      </c>
      <c r="AC42" s="35" t="e">
        <f>FME_Ranking_Option2!$AB42*AB$4</f>
        <v>#REF!</v>
      </c>
      <c r="AD42" s="40">
        <f>_xlfn.XLOOKUP(FME_Ranking2[[#This Row],[FME ID]],FME_Input[FME_ID],FME_Input[ROAD_MILES100])</f>
        <v>1.1900678873062129</v>
      </c>
      <c r="AE42" s="41" t="e">
        <f>FME_Ranking_Option2!$AD42*AD$4</f>
        <v>#REF!</v>
      </c>
      <c r="AF42" s="42">
        <f>FME_Ranking_Option2!$AD42/($AD$3)</f>
        <v>2.6880400050284102E-5</v>
      </c>
      <c r="AG42" s="42" t="e">
        <f>FME_Ranking_Option2!$AF42*AD$4</f>
        <v>#REF!</v>
      </c>
      <c r="AH42" s="40">
        <f>_xlfn.XLOOKUP(FME_Ranking2[[#This Row],[FME ID]],FME_Input[FME_ID],FME_Input[FARMACRE100])</f>
        <v>0.44331040978431702</v>
      </c>
      <c r="AI42" s="43" t="e">
        <f>FME_Ranking_Option2!$AH42*AH$4</f>
        <v>#REF!</v>
      </c>
      <c r="AJ42" s="41">
        <f>FME_Ranking_Option2!$AH42/($AH$3)</f>
        <v>2.57412355145407E-5</v>
      </c>
      <c r="AK42" s="44" t="e">
        <f>FME_Ranking_Option2!$AJ42*AH$4</f>
        <v>#REF!</v>
      </c>
      <c r="AL42"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2" s="45" t="e">
        <f>_xlfn.RANK.EQ(AL42,$AL$7:$AL$531)+COUNTIF(AL$7:AL42,AL42)-1</f>
        <v>#REF!</v>
      </c>
      <c r="AN42" s="44"/>
      <c r="AO42" s="45" t="e">
        <f>_xlfn.RANK.EQ(AN42,$AN$7:$AN$531)+COUNTIF(AN$7:AN42,AN42)-1</f>
        <v>#N/A</v>
      </c>
      <c r="AP4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2" s="32" t="e">
        <f>FME_Ranking2[[#This Row],[Score Based on Reported Factors]]-FME_Ranking2[[#This Row],[Check]]</f>
        <v>#REF!</v>
      </c>
      <c r="AR42" s="32"/>
    </row>
    <row r="43" spans="1:55" ht="12" customHeight="1" x14ac:dyDescent="0.25">
      <c r="A43" s="16" t="s">
        <v>2061</v>
      </c>
      <c r="B43" s="16" t="str">
        <f>_xlfn.XLOOKUP(FME_Ranking2[[#This Row],[FME ID]],FME_Input[FME_ID],FME_Input[FME_NAME])</f>
        <v>West Fork Chocolate Bayou</v>
      </c>
      <c r="C43" s="16" t="str">
        <f>_xlfn.XLOOKUP(FME_Ranking2[[#This Row],[FME ID]],FME_Input[FME_ID],FME_Input[DESCR])</f>
        <v>Further study including Atlas 14 rainfall incorporation and Benefit Cost Analysis of proposed channel modifications included in the City of Pearland master drainage plan.</v>
      </c>
      <c r="D43" s="46" t="str">
        <f>_xlfn.XLOOKUP(FME_Ranking2[[#This Row],[FME ID]],FME_Input[FME_ID],FME_Input[EMER_NEED])</f>
        <v>No</v>
      </c>
      <c r="E43" s="121">
        <f>IF(FME_Ranking_Option2!$D43="Yes",100,0)</f>
        <v>0</v>
      </c>
      <c r="F43" s="47" t="str">
        <f>_xlfn.XLOOKUP(FME_Ranking2[[#This Row],[FME ID]],FME_Input[FME_ID],FME_Input[FUND])</f>
        <v>Yes</v>
      </c>
      <c r="G43" s="48">
        <f>IF(FME_Ranking_Option2!$F43="Yes",1,0)</f>
        <v>1</v>
      </c>
      <c r="H43" s="46">
        <f>_xlfn.XLOOKUP(FME_Ranking2[[#This Row],[FME ID]],FME_Input[FME_ID],FME_Input[STRUCT_100])</f>
        <v>295</v>
      </c>
      <c r="I43" s="65" t="e">
        <f>FME_Ranking2[[#This Row],[Raw Data3]]*H$4</f>
        <v>#REF!</v>
      </c>
      <c r="J43" s="62">
        <f>((FME_Ranking_Option2!$H43)/($H$3))*100</f>
        <v>3.2782549459976953E-2</v>
      </c>
      <c r="K43" s="49" t="e">
        <f>FME_Ranking2[[#This Row],[Norm Data3]]*H$4</f>
        <v>#REF!</v>
      </c>
      <c r="L43" s="50">
        <f>_xlfn.XLOOKUP(FME_Ranking2[[#This Row],[FME ID]],FME_Input[FME_ID],FME_Input[RES_STRUCT100])</f>
        <v>239</v>
      </c>
      <c r="M43" s="51" t="e">
        <f>FME_Ranking2[[#This Row],[Raw Data4]]*L$4</f>
        <v>#REF!</v>
      </c>
      <c r="N43" s="29">
        <f>((FME_Ranking_Option2!$L43)/($L$3))*100</f>
        <v>3.5731211587078753E-2</v>
      </c>
      <c r="O43" s="52" t="e">
        <f>FME_Ranking2[[#This Row],[Norm Data4]]*L$4</f>
        <v>#REF!</v>
      </c>
      <c r="P43" s="47">
        <f>_xlfn.XLOOKUP(FME_Ranking2[[#This Row],[FME ID]],FME_Input[FME_ID],FME_Input[POP100])</f>
        <v>442</v>
      </c>
      <c r="Q43" s="48" t="e">
        <f>FME_Ranking_Option2!$P43*P$4</f>
        <v>#REF!</v>
      </c>
      <c r="R43" s="48">
        <f>FME_Ranking_Option2!$P43/($P$3)</f>
        <v>1.6222338527173151E-4</v>
      </c>
      <c r="S43" s="48" t="e">
        <f>FME_Ranking_Option2!$R43*P$4</f>
        <v>#REF!</v>
      </c>
      <c r="T43" s="50">
        <f>_xlfn.XLOOKUP(FME_Ranking2[[#This Row],[FME ID]],FME_Input[FME_ID],FME_Input[CRITFAC100])</f>
        <v>0</v>
      </c>
      <c r="U43" s="48" t="e">
        <f>FME_Ranking_Option2!$T43*T$4</f>
        <v>#REF!</v>
      </c>
      <c r="V43" s="48">
        <f>FME_Ranking_Option2!$T43/($T$3)</f>
        <v>0</v>
      </c>
      <c r="W43" s="48" t="e">
        <f>FME_Ranking_Option2!$V43*T$4</f>
        <v>#REF!</v>
      </c>
      <c r="X43" s="50">
        <f>_xlfn.XLOOKUP(FME_Ranking2[[#This Row],[FME ID]],FME_Input[FME_ID],FME_Input[LWC])</f>
        <v>0</v>
      </c>
      <c r="Y43" s="48" t="e">
        <f>FME_Ranking_Option2!$X43*X$4</f>
        <v>#REF!</v>
      </c>
      <c r="Z43" s="48">
        <f>FME_Ranking_Option2!$X43/($X$3)</f>
        <v>0</v>
      </c>
      <c r="AA43" s="48" t="e">
        <f>FME_Ranking_Option2!$Z43*X$4</f>
        <v>#REF!</v>
      </c>
      <c r="AB43" s="50">
        <f>_xlfn.XLOOKUP(FME_Ranking2[[#This Row],[FME ID]],FME_Input[FME_ID],FME_Input[ROADCLS])</f>
        <v>0</v>
      </c>
      <c r="AC43" s="48" t="e">
        <f>FME_Ranking_Option2!$AB43*AB$4</f>
        <v>#REF!</v>
      </c>
      <c r="AD43" s="53">
        <f>_xlfn.XLOOKUP(FME_Ranking2[[#This Row],[FME ID]],FME_Input[FME_ID],FME_Input[ROAD_MILES100])</f>
        <v>6.0072546005249023</v>
      </c>
      <c r="AE43" s="54" t="e">
        <f>FME_Ranking_Option2!$AD43*AD$4</f>
        <v>#REF!</v>
      </c>
      <c r="AF43" s="55">
        <f>FME_Ranking_Option2!$AD43/($AD$3)</f>
        <v>1.3568755916230324E-4</v>
      </c>
      <c r="AG43" s="55" t="e">
        <f>FME_Ranking_Option2!$AF43*AD$4</f>
        <v>#REF!</v>
      </c>
      <c r="AH43" s="53">
        <f>_xlfn.XLOOKUP(FME_Ranking2[[#This Row],[FME ID]],FME_Input[FME_ID],FME_Input[FARMACRE100])</f>
        <v>157.03913879394531</v>
      </c>
      <c r="AI43" s="54" t="e">
        <f>FME_Ranking_Option2!$AH43*AH$4</f>
        <v>#REF!</v>
      </c>
      <c r="AJ43" s="56">
        <f>FME_Ranking_Option2!$AH43/($AH$3)</f>
        <v>9.1186251607814125E-3</v>
      </c>
      <c r="AK43" s="57" t="e">
        <f>FME_Ranking_Option2!$AJ43*AH$4</f>
        <v>#REF!</v>
      </c>
      <c r="AL43"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3" s="58" t="e">
        <f>_xlfn.RANK.EQ(AL43,$AL$7:$AL$531)+COUNTIF(AL$7:AL43,AL43)-1</f>
        <v>#REF!</v>
      </c>
      <c r="AN43" s="57"/>
      <c r="AO43" s="58" t="e">
        <f>_xlfn.RANK.EQ(AN43,$AN$7:$AN$531)+COUNTIF(AN$7:AN43,AN43)-1</f>
        <v>#N/A</v>
      </c>
      <c r="AP4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3" s="32" t="e">
        <f>FME_Ranking2[[#This Row],[Score Based on Reported Factors]]-FME_Ranking2[[#This Row],[Check]]</f>
        <v>#REF!</v>
      </c>
      <c r="AR43" s="32"/>
      <c r="AT43" s="19"/>
      <c r="AU43" s="19"/>
      <c r="AV43" s="19"/>
      <c r="AW43" s="19"/>
      <c r="AX43" s="19"/>
      <c r="AY43" s="19"/>
      <c r="AZ43" s="19"/>
      <c r="BA43" s="19"/>
      <c r="BB43" s="19"/>
      <c r="BC43" s="19"/>
    </row>
    <row r="44" spans="1:55" ht="12" customHeight="1" x14ac:dyDescent="0.25">
      <c r="A44" s="17" t="s">
        <v>2064</v>
      </c>
      <c r="B44" s="17" t="str">
        <f>_xlfn.XLOOKUP(FME_Ranking2[[#This Row],[FME ID]],FME_Input[FME_ID],FME_Input[FME_NAME])</f>
        <v>East Chocolate Bayou (E103-00-00)</v>
      </c>
      <c r="C44" s="17" t="str">
        <f>_xlfn.XLOOKUP(FME_Ranking2[[#This Row],[FME ID]],FME_Input[FME_ID],FME_Input[DESCR])</f>
        <v>Further study including Atlas 14 rainfall incorporation and Benefit Cost Analysis of proposed channel modifications included in the City of Pearland master drainage plan.</v>
      </c>
      <c r="D44" s="33" t="str">
        <f>_xlfn.XLOOKUP(FME_Ranking2[[#This Row],[FME ID]],FME_Input[FME_ID],FME_Input[EMER_NEED])</f>
        <v>No</v>
      </c>
      <c r="E44" s="120">
        <f>IF(FME_Ranking_Option2!$D44="Yes",100,0)</f>
        <v>0</v>
      </c>
      <c r="F44" s="34" t="str">
        <f>_xlfn.XLOOKUP(FME_Ranking2[[#This Row],[FME ID]],FME_Input[FME_ID],FME_Input[FUND])</f>
        <v>Yes</v>
      </c>
      <c r="G44" s="35">
        <f>IF(FME_Ranking_Option2!$F44="Yes",1,0)</f>
        <v>1</v>
      </c>
      <c r="H44" s="33">
        <f>_xlfn.XLOOKUP(FME_Ranking2[[#This Row],[FME ID]],FME_Input[FME_ID],FME_Input[STRUCT_100])</f>
        <v>0</v>
      </c>
      <c r="I44" s="64" t="e">
        <f>FME_Ranking2[[#This Row],[Raw Data3]]*H$4</f>
        <v>#REF!</v>
      </c>
      <c r="J44" s="63">
        <f>((FME_Ranking_Option2!$H44)/($H$3))*100</f>
        <v>0</v>
      </c>
      <c r="K44" s="36" t="e">
        <f>FME_Ranking2[[#This Row],[Norm Data3]]*H$4</f>
        <v>#REF!</v>
      </c>
      <c r="L44" s="37">
        <f>_xlfn.XLOOKUP(FME_Ranking2[[#This Row],[FME ID]],FME_Input[FME_ID],FME_Input[RES_STRUCT100])</f>
        <v>0</v>
      </c>
      <c r="M44" s="38" t="e">
        <f>FME_Ranking2[[#This Row],[Raw Data4]]*L$4</f>
        <v>#REF!</v>
      </c>
      <c r="N44" s="28">
        <f>((FME_Ranking_Option2!$L44)/($L$3))*100</f>
        <v>0</v>
      </c>
      <c r="O44" s="39" t="e">
        <f>FME_Ranking2[[#This Row],[Norm Data4]]*L$4</f>
        <v>#REF!</v>
      </c>
      <c r="P44" s="34">
        <f>_xlfn.XLOOKUP(FME_Ranking2[[#This Row],[FME ID]],FME_Input[FME_ID],FME_Input[POP100])</f>
        <v>0</v>
      </c>
      <c r="Q44" s="35" t="e">
        <f>FME_Ranking_Option2!$P44*P$4</f>
        <v>#REF!</v>
      </c>
      <c r="R44" s="35">
        <f>FME_Ranking_Option2!$P44/($P$3)</f>
        <v>0</v>
      </c>
      <c r="S44" s="35" t="e">
        <f>FME_Ranking_Option2!$R44*P$4</f>
        <v>#REF!</v>
      </c>
      <c r="T44" s="37">
        <f>_xlfn.XLOOKUP(FME_Ranking2[[#This Row],[FME ID]],FME_Input[FME_ID],FME_Input[CRITFAC100])</f>
        <v>0</v>
      </c>
      <c r="U44" s="35" t="e">
        <f>FME_Ranking_Option2!$T44*T$4</f>
        <v>#REF!</v>
      </c>
      <c r="V44" s="35">
        <f>FME_Ranking_Option2!$T44/($T$3)</f>
        <v>0</v>
      </c>
      <c r="W44" s="35" t="e">
        <f>FME_Ranking_Option2!$V44*T$4</f>
        <v>#REF!</v>
      </c>
      <c r="X44" s="37">
        <f>_xlfn.XLOOKUP(FME_Ranking2[[#This Row],[FME ID]],FME_Input[FME_ID],FME_Input[LWC])</f>
        <v>0</v>
      </c>
      <c r="Y44" s="35" t="e">
        <f>FME_Ranking_Option2!$X44*X$4</f>
        <v>#REF!</v>
      </c>
      <c r="Z44" s="35">
        <f>FME_Ranking_Option2!$X44/($X$3)</f>
        <v>0</v>
      </c>
      <c r="AA44" s="35" t="e">
        <f>FME_Ranking_Option2!$Z44*X$4</f>
        <v>#REF!</v>
      </c>
      <c r="AB44" s="37">
        <f>_xlfn.XLOOKUP(FME_Ranking2[[#This Row],[FME ID]],FME_Input[FME_ID],FME_Input[ROADCLS])</f>
        <v>0</v>
      </c>
      <c r="AC44" s="35" t="e">
        <f>FME_Ranking_Option2!$AB44*AB$4</f>
        <v>#REF!</v>
      </c>
      <c r="AD44" s="40">
        <f>_xlfn.XLOOKUP(FME_Ranking2[[#This Row],[FME ID]],FME_Input[FME_ID],FME_Input[ROAD_MILES100])</f>
        <v>1.3530120253562931E-2</v>
      </c>
      <c r="AE44" s="41" t="e">
        <f>FME_Ranking_Option2!$AD44*AD$4</f>
        <v>#REF!</v>
      </c>
      <c r="AF44" s="42">
        <f>FME_Ranking_Option2!$AD44/($AD$3)</f>
        <v>3.056086539461775E-7</v>
      </c>
      <c r="AG44" s="42" t="e">
        <f>FME_Ranking_Option2!$AF44*AD$4</f>
        <v>#REF!</v>
      </c>
      <c r="AH44" s="40">
        <f>_xlfn.XLOOKUP(FME_Ranking2[[#This Row],[FME ID]],FME_Input[FME_ID],FME_Input[FARMACRE100])</f>
        <v>0</v>
      </c>
      <c r="AI44" s="43" t="e">
        <f>FME_Ranking_Option2!$AH44*AH$4</f>
        <v>#REF!</v>
      </c>
      <c r="AJ44" s="41">
        <f>FME_Ranking_Option2!$AH44/($AH$3)</f>
        <v>0</v>
      </c>
      <c r="AK44" s="44" t="e">
        <f>FME_Ranking_Option2!$AJ44*AH$4</f>
        <v>#REF!</v>
      </c>
      <c r="AL44"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4" s="45" t="e">
        <f>_xlfn.RANK.EQ(AL44,$AL$7:$AL$531)+COUNTIF(AL$7:AL44,AL44)-1</f>
        <v>#REF!</v>
      </c>
      <c r="AN44" s="44"/>
      <c r="AO44" s="45" t="e">
        <f>_xlfn.RANK.EQ(AN44,$AN$7:$AN$531)+COUNTIF(AN$7:AN44,AN44)-1</f>
        <v>#N/A</v>
      </c>
      <c r="AP4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4" s="32" t="e">
        <f>FME_Ranking2[[#This Row],[Score Based on Reported Factors]]-FME_Ranking2[[#This Row],[Check]]</f>
        <v>#REF!</v>
      </c>
      <c r="AR44" s="32"/>
    </row>
    <row r="45" spans="1:55" ht="12" customHeight="1" x14ac:dyDescent="0.25">
      <c r="A45" s="16" t="s">
        <v>1002</v>
      </c>
      <c r="B45" s="16" t="str">
        <f>_xlfn.XLOOKUP(FME_Ranking2[[#This Row],[FME ID]],FME_Input[FME_ID],FME_Input[FME_NAME])</f>
        <v>Cannon Ditch Segment 2</v>
      </c>
      <c r="C45" s="16" t="str">
        <f>_xlfn.XLOOKUP(FME_Ranking2[[#This Row],[FME ID]],FME_Input[FME_ID],FME_Input[DESCR])</f>
        <v>Further study including Atlas 14 rainfall incorporation and Benefit Cost Analysis of proposed channel modifications included in the City of Pearland master drainage plan.</v>
      </c>
      <c r="D45" s="46" t="str">
        <f>_xlfn.XLOOKUP(FME_Ranking2[[#This Row],[FME ID]],FME_Input[FME_ID],FME_Input[EMER_NEED])</f>
        <v>No</v>
      </c>
      <c r="E45" s="121">
        <f>IF(FME_Ranking_Option2!$D45="Yes",100,0)</f>
        <v>0</v>
      </c>
      <c r="F45" s="47" t="str">
        <f>_xlfn.XLOOKUP(FME_Ranking2[[#This Row],[FME ID]],FME_Input[FME_ID],FME_Input[FUND])</f>
        <v>Yes</v>
      </c>
      <c r="G45" s="48">
        <f>IF(FME_Ranking_Option2!$F45="Yes",1,0)</f>
        <v>1</v>
      </c>
      <c r="H45" s="46">
        <f>_xlfn.XLOOKUP(FME_Ranking2[[#This Row],[FME ID]],FME_Input[FME_ID],FME_Input[STRUCT_100])</f>
        <v>574</v>
      </c>
      <c r="I45" s="65" t="e">
        <f>FME_Ranking2[[#This Row],[Raw Data3]]*H$4</f>
        <v>#REF!</v>
      </c>
      <c r="J45" s="62">
        <f>((FME_Ranking_Option2!$H45)/($H$3))*100</f>
        <v>6.3787062339073802E-2</v>
      </c>
      <c r="K45" s="49" t="e">
        <f>FME_Ranking2[[#This Row],[Norm Data3]]*H$4</f>
        <v>#REF!</v>
      </c>
      <c r="L45" s="50">
        <f>_xlfn.XLOOKUP(FME_Ranking2[[#This Row],[FME ID]],FME_Input[FME_ID],FME_Input[RES_STRUCT100])</f>
        <v>342</v>
      </c>
      <c r="M45" s="51" t="e">
        <f>FME_Ranking2[[#This Row],[Raw Data4]]*L$4</f>
        <v>#REF!</v>
      </c>
      <c r="N45" s="29">
        <f>((FME_Ranking_Option2!$L45)/($L$3))*100</f>
        <v>5.1130018254313535E-2</v>
      </c>
      <c r="O45" s="52" t="e">
        <f>FME_Ranking2[[#This Row],[Norm Data4]]*L$4</f>
        <v>#REF!</v>
      </c>
      <c r="P45" s="47">
        <f>_xlfn.XLOOKUP(FME_Ranking2[[#This Row],[FME ID]],FME_Input[FME_ID],FME_Input[POP100])</f>
        <v>814</v>
      </c>
      <c r="Q45" s="48" t="e">
        <f>FME_Ranking_Option2!$P45*P$4</f>
        <v>#REF!</v>
      </c>
      <c r="R45" s="48">
        <f>FME_Ranking_Option2!$P45/($P$3)</f>
        <v>2.9875528418821142E-4</v>
      </c>
      <c r="S45" s="48" t="e">
        <f>FME_Ranking_Option2!$R45*P$4</f>
        <v>#REF!</v>
      </c>
      <c r="T45" s="50">
        <f>_xlfn.XLOOKUP(FME_Ranking2[[#This Row],[FME ID]],FME_Input[FME_ID],FME_Input[CRITFAC100])</f>
        <v>0</v>
      </c>
      <c r="U45" s="48" t="e">
        <f>FME_Ranking_Option2!$T45*T$4</f>
        <v>#REF!</v>
      </c>
      <c r="V45" s="48">
        <f>FME_Ranking_Option2!$T45/($T$3)</f>
        <v>0</v>
      </c>
      <c r="W45" s="48" t="e">
        <f>FME_Ranking_Option2!$V45*T$4</f>
        <v>#REF!</v>
      </c>
      <c r="X45" s="50">
        <f>_xlfn.XLOOKUP(FME_Ranking2[[#This Row],[FME ID]],FME_Input[FME_ID],FME_Input[LWC])</f>
        <v>0</v>
      </c>
      <c r="Y45" s="48" t="e">
        <f>FME_Ranking_Option2!$X45*X$4</f>
        <v>#REF!</v>
      </c>
      <c r="Z45" s="48">
        <f>FME_Ranking_Option2!$X45/($X$3)</f>
        <v>0</v>
      </c>
      <c r="AA45" s="48" t="e">
        <f>FME_Ranking_Option2!$Z45*X$4</f>
        <v>#REF!</v>
      </c>
      <c r="AB45" s="50">
        <f>_xlfn.XLOOKUP(FME_Ranking2[[#This Row],[FME ID]],FME_Input[FME_ID],FME_Input[ROADCLS])</f>
        <v>0</v>
      </c>
      <c r="AC45" s="48" t="e">
        <f>FME_Ranking_Option2!$AB45*AB$4</f>
        <v>#REF!</v>
      </c>
      <c r="AD45" s="53">
        <f>_xlfn.XLOOKUP(FME_Ranking2[[#This Row],[FME ID]],FME_Input[FME_ID],FME_Input[ROAD_MILES100])</f>
        <v>2.778800487518311</v>
      </c>
      <c r="AE45" s="54" t="e">
        <f>FME_Ranking_Option2!$AD45*AD$4</f>
        <v>#REF!</v>
      </c>
      <c r="AF45" s="55">
        <f>FME_Ranking_Option2!$AD45/($AD$3)</f>
        <v>6.2765552756400926E-5</v>
      </c>
      <c r="AG45" s="55" t="e">
        <f>FME_Ranking_Option2!$AF45*AD$4</f>
        <v>#REF!</v>
      </c>
      <c r="AH45" s="53">
        <f>_xlfn.XLOOKUP(FME_Ranking2[[#This Row],[FME ID]],FME_Input[FME_ID],FME_Input[FARMACRE100])</f>
        <v>26.84713172912598</v>
      </c>
      <c r="AI45" s="54" t="e">
        <f>FME_Ranking_Option2!$AH45*AH$4</f>
        <v>#REF!</v>
      </c>
      <c r="AJ45" s="56">
        <f>FME_Ranking_Option2!$AH45/($AH$3)</f>
        <v>1.5589039315940252E-3</v>
      </c>
      <c r="AK45" s="57" t="e">
        <f>FME_Ranking_Option2!$AJ45*AH$4</f>
        <v>#REF!</v>
      </c>
      <c r="AL45"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5" s="58" t="e">
        <f>_xlfn.RANK.EQ(AL45,$AL$7:$AL$531)+COUNTIF(AL$7:AL45,AL45)-1</f>
        <v>#REF!</v>
      </c>
      <c r="AN45" s="57"/>
      <c r="AO45" s="58" t="e">
        <f>_xlfn.RANK.EQ(AN45,$AN$7:$AN$531)+COUNTIF(AN$7:AN45,AN45)-1</f>
        <v>#N/A</v>
      </c>
      <c r="AP4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5" s="32" t="e">
        <f>FME_Ranking2[[#This Row],[Score Based on Reported Factors]]-FME_Ranking2[[#This Row],[Check]]</f>
        <v>#REF!</v>
      </c>
      <c r="AR45" s="32"/>
      <c r="AT45" s="19"/>
      <c r="AU45" s="19"/>
      <c r="AV45" s="19"/>
      <c r="AW45" s="19"/>
      <c r="AX45" s="19"/>
      <c r="AY45" s="19"/>
      <c r="AZ45" s="19"/>
      <c r="BA45" s="19"/>
      <c r="BB45" s="19"/>
      <c r="BC45" s="19"/>
    </row>
    <row r="46" spans="1:55" ht="12" customHeight="1" x14ac:dyDescent="0.25">
      <c r="A46" s="17" t="s">
        <v>986</v>
      </c>
      <c r="B46" s="17" t="str">
        <f>_xlfn.XLOOKUP(FME_Ranking2[[#This Row],[FME ID]],FME_Input[FME_ID],FME_Input[FME_NAME])</f>
        <v>City of Galveston Coastal Road Elevation</v>
      </c>
      <c r="C46" s="17" t="str">
        <f>_xlfn.XLOOKUP(FME_Ranking2[[#This Row],[FME ID]],FME_Input[FME_ID],FME_Input[DESCR])</f>
        <v>Elevate coastal roads to better protect public during evacuation and to protect the roads from flood damage, where feasible.</v>
      </c>
      <c r="D46" s="33" t="str">
        <f>_xlfn.XLOOKUP(FME_Ranking2[[#This Row],[FME ID]],FME_Input[FME_ID],FME_Input[EMER_NEED])</f>
        <v>No</v>
      </c>
      <c r="E46" s="120">
        <f>IF(FME_Ranking_Option2!$D46="Yes",100,0)</f>
        <v>0</v>
      </c>
      <c r="F46" s="34" t="str">
        <f>_xlfn.XLOOKUP(FME_Ranking2[[#This Row],[FME ID]],FME_Input[FME_ID],FME_Input[FUND])</f>
        <v>Yes</v>
      </c>
      <c r="G46" s="35">
        <f>IF(FME_Ranking_Option2!$F46="Yes",1,0)</f>
        <v>1</v>
      </c>
      <c r="H46" s="33">
        <f>_xlfn.XLOOKUP(FME_Ranking2[[#This Row],[FME ID]],FME_Input[FME_ID],FME_Input[STRUCT_100])</f>
        <v>21858</v>
      </c>
      <c r="I46" s="64" t="e">
        <f>FME_Ranking2[[#This Row],[Raw Data3]]*H$4</f>
        <v>#REF!</v>
      </c>
      <c r="J46" s="63">
        <f>((FME_Ranking_Option2!$H46)/($H$3))*100</f>
        <v>2.4290202240548346</v>
      </c>
      <c r="K46" s="36" t="e">
        <f>FME_Ranking2[[#This Row],[Norm Data3]]*H$4</f>
        <v>#REF!</v>
      </c>
      <c r="L46" s="37">
        <f>_xlfn.XLOOKUP(FME_Ranking2[[#This Row],[FME ID]],FME_Input[FME_ID],FME_Input[RES_STRUCT100])</f>
        <v>19143</v>
      </c>
      <c r="M46" s="38" t="e">
        <f>FME_Ranking2[[#This Row],[Raw Data4]]*L$4</f>
        <v>#REF!</v>
      </c>
      <c r="N46" s="28">
        <f>((FME_Ranking_Option2!$L46)/($L$3))*100</f>
        <v>2.8619354954453917</v>
      </c>
      <c r="O46" s="39" t="e">
        <f>FME_Ranking2[[#This Row],[Norm Data4]]*L$4</f>
        <v>#REF!</v>
      </c>
      <c r="P46" s="34">
        <f>_xlfn.XLOOKUP(FME_Ranking2[[#This Row],[FME ID]],FME_Input[FME_ID],FME_Input[POP100])</f>
        <v>93583</v>
      </c>
      <c r="Q46" s="35" t="e">
        <f>FME_Ranking_Option2!$P46*P$4</f>
        <v>#REF!</v>
      </c>
      <c r="R46" s="35">
        <f>FME_Ranking_Option2!$P46/($P$3)</f>
        <v>3.4346948108335856E-2</v>
      </c>
      <c r="S46" s="35" t="e">
        <f>FME_Ranking_Option2!$R46*P$4</f>
        <v>#REF!</v>
      </c>
      <c r="T46" s="37">
        <f>_xlfn.XLOOKUP(FME_Ranking2[[#This Row],[FME ID]],FME_Input[FME_ID],FME_Input[CRITFAC100])</f>
        <v>509</v>
      </c>
      <c r="U46" s="35" t="e">
        <f>FME_Ranking_Option2!$T46*T$4</f>
        <v>#REF!</v>
      </c>
      <c r="V46" s="35">
        <f>FME_Ranking_Option2!$T46/($T$3)</f>
        <v>7.1781131011140878E-2</v>
      </c>
      <c r="W46" s="35" t="e">
        <f>FME_Ranking_Option2!$V46*T$4</f>
        <v>#REF!</v>
      </c>
      <c r="X46" s="37">
        <f>_xlfn.XLOOKUP(FME_Ranking2[[#This Row],[FME ID]],FME_Input[FME_ID],FME_Input[LWC])</f>
        <v>0</v>
      </c>
      <c r="Y46" s="35" t="e">
        <f>FME_Ranking_Option2!$X46*X$4</f>
        <v>#REF!</v>
      </c>
      <c r="Z46" s="35">
        <f>FME_Ranking_Option2!$X46/($X$3)</f>
        <v>0</v>
      </c>
      <c r="AA46" s="35" t="e">
        <f>FME_Ranking_Option2!$Z46*X$4</f>
        <v>#REF!</v>
      </c>
      <c r="AB46" s="37">
        <f>_xlfn.XLOOKUP(FME_Ranking2[[#This Row],[FME ID]],FME_Input[FME_ID],FME_Input[ROADCLS])</f>
        <v>0</v>
      </c>
      <c r="AC46" s="35" t="e">
        <f>FME_Ranking_Option2!$AB46*AB$4</f>
        <v>#REF!</v>
      </c>
      <c r="AD46" s="40">
        <f>_xlfn.XLOOKUP(FME_Ranking2[[#This Row],[FME ID]],FME_Input[FME_ID],FME_Input[ROAD_MILES100])</f>
        <v>408.62750244140619</v>
      </c>
      <c r="AE46" s="41" t="e">
        <f>FME_Ranking_Option2!$AD46*AD$4</f>
        <v>#REF!</v>
      </c>
      <c r="AF46" s="42">
        <f>FME_Ranking_Option2!$AD46/($AD$3)</f>
        <v>9.2297850016241668E-3</v>
      </c>
      <c r="AG46" s="42" t="e">
        <f>FME_Ranking_Option2!$AF46*AD$4</f>
        <v>#REF!</v>
      </c>
      <c r="AH46" s="40">
        <f>_xlfn.XLOOKUP(FME_Ranking2[[#This Row],[FME ID]],FME_Input[FME_ID],FME_Input[FARMACRE100])</f>
        <v>260.88226318359381</v>
      </c>
      <c r="AI46" s="43" t="e">
        <f>FME_Ranking_Option2!$AH46*AH$4</f>
        <v>#REF!</v>
      </c>
      <c r="AJ46" s="41">
        <f>FME_Ranking_Option2!$AH46/($AH$3)</f>
        <v>1.51483737578879E-2</v>
      </c>
      <c r="AK46" s="44" t="e">
        <f>FME_Ranking_Option2!$AJ46*AH$4</f>
        <v>#REF!</v>
      </c>
      <c r="AL46"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6" s="45" t="e">
        <f>_xlfn.RANK.EQ(AL46,$AL$7:$AL$531)+COUNTIF(AL$7:AL46,AL46)-1</f>
        <v>#REF!</v>
      </c>
      <c r="AN46" s="44"/>
      <c r="AO46" s="45" t="e">
        <f>_xlfn.RANK.EQ(AN46,$AN$7:$AN$531)+COUNTIF(AN$7:AN46,AN46)-1</f>
        <v>#N/A</v>
      </c>
      <c r="AP4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6" s="32" t="e">
        <f>FME_Ranking2[[#This Row],[Score Based on Reported Factors]]-FME_Ranking2[[#This Row],[Check]]</f>
        <v>#REF!</v>
      </c>
      <c r="AR46" s="32"/>
    </row>
    <row r="47" spans="1:55" ht="12" customHeight="1" x14ac:dyDescent="0.25">
      <c r="A47" s="16" t="s">
        <v>1008</v>
      </c>
      <c r="B47" s="16" t="str">
        <f>_xlfn.XLOOKUP(FME_Ranking2[[#This Row],[FME ID]],FME_Input[FME_ID],FME_Input[FME_NAME])</f>
        <v xml:space="preserve">Mary's Creek Lower Segment </v>
      </c>
      <c r="C47" s="16" t="str">
        <f>_xlfn.XLOOKUP(FME_Ranking2[[#This Row],[FME ID]],FME_Input[FME_ID],FME_Input[DESCR])</f>
        <v xml:space="preserve">Study to develop project into a FMP. Project will provide a 25-year LOS; Channel modifications from SH35 to downstream of Pearland Pkwy. and 1670 ac-ft mitigation.  </v>
      </c>
      <c r="D47" s="46" t="str">
        <f>_xlfn.XLOOKUP(FME_Ranking2[[#This Row],[FME ID]],FME_Input[FME_ID],FME_Input[EMER_NEED])</f>
        <v>No</v>
      </c>
      <c r="E47" s="121">
        <f>IF(FME_Ranking_Option2!$D47="Yes",100,0)</f>
        <v>0</v>
      </c>
      <c r="F47" s="47" t="str">
        <f>_xlfn.XLOOKUP(FME_Ranking2[[#This Row],[FME ID]],FME_Input[FME_ID],FME_Input[FUND])</f>
        <v>Yes</v>
      </c>
      <c r="G47" s="48">
        <f>IF(FME_Ranking_Option2!$F47="Yes",1,0)</f>
        <v>1</v>
      </c>
      <c r="H47" s="46">
        <f>_xlfn.XLOOKUP(FME_Ranking2[[#This Row],[FME ID]],FME_Input[FME_ID],FME_Input[STRUCT_100])</f>
        <v>75</v>
      </c>
      <c r="I47" s="65" t="e">
        <f>FME_Ranking2[[#This Row],[Raw Data3]]*H$4</f>
        <v>#REF!</v>
      </c>
      <c r="J47" s="62">
        <f>((FME_Ranking_Option2!$H47)/($H$3))*100</f>
        <v>8.3345464728754957E-3</v>
      </c>
      <c r="K47" s="49" t="e">
        <f>FME_Ranking2[[#This Row],[Norm Data3]]*H$4</f>
        <v>#REF!</v>
      </c>
      <c r="L47" s="50">
        <f>_xlfn.XLOOKUP(FME_Ranking2[[#This Row],[FME ID]],FME_Input[FME_ID],FME_Input[RES_STRUCT100])</f>
        <v>60</v>
      </c>
      <c r="M47" s="51" t="e">
        <f>FME_Ranking2[[#This Row],[Raw Data4]]*L$4</f>
        <v>#REF!</v>
      </c>
      <c r="N47" s="29">
        <f>((FME_Ranking_Option2!$L47)/($L$3))*100</f>
        <v>8.970178641107638E-3</v>
      </c>
      <c r="O47" s="52" t="e">
        <f>FME_Ranking2[[#This Row],[Norm Data4]]*L$4</f>
        <v>#REF!</v>
      </c>
      <c r="P47" s="47">
        <f>_xlfn.XLOOKUP(FME_Ranking2[[#This Row],[FME ID]],FME_Input[FME_ID],FME_Input[POP100])</f>
        <v>554</v>
      </c>
      <c r="Q47" s="48" t="e">
        <f>FME_Ranking_Option2!$P47*P$4</f>
        <v>#REF!</v>
      </c>
      <c r="R47" s="48">
        <f>FME_Ranking_Option2!$P47/($P$3)</f>
        <v>2.0332976344013406E-4</v>
      </c>
      <c r="S47" s="48" t="e">
        <f>FME_Ranking_Option2!$R47*P$4</f>
        <v>#REF!</v>
      </c>
      <c r="T47" s="50">
        <f>_xlfn.XLOOKUP(FME_Ranking2[[#This Row],[FME ID]],FME_Input[FME_ID],FME_Input[CRITFAC100])</f>
        <v>1</v>
      </c>
      <c r="U47" s="48" t="e">
        <f>FME_Ranking_Option2!$T47*T$4</f>
        <v>#REF!</v>
      </c>
      <c r="V47" s="48">
        <f>FME_Ranking_Option2!$T47/($T$3)</f>
        <v>1.4102383302778171E-4</v>
      </c>
      <c r="W47" s="48" t="e">
        <f>FME_Ranking_Option2!$V47*T$4</f>
        <v>#REF!</v>
      </c>
      <c r="X47" s="50">
        <f>_xlfn.XLOOKUP(FME_Ranking2[[#This Row],[FME ID]],FME_Input[FME_ID],FME_Input[LWC])</f>
        <v>1</v>
      </c>
      <c r="Y47" s="48" t="e">
        <f>FME_Ranking_Option2!$X47*X$4</f>
        <v>#REF!</v>
      </c>
      <c r="Z47" s="48">
        <f>FME_Ranking_Option2!$X47/($X$3)</f>
        <v>9.1224229155263632E-5</v>
      </c>
      <c r="AA47" s="48" t="e">
        <f>FME_Ranking_Option2!$Z47*X$4</f>
        <v>#REF!</v>
      </c>
      <c r="AB47" s="50">
        <f>_xlfn.XLOOKUP(FME_Ranking2[[#This Row],[FME ID]],FME_Input[FME_ID],FME_Input[ROADCLS])</f>
        <v>1</v>
      </c>
      <c r="AC47" s="48" t="e">
        <f>FME_Ranking_Option2!$AB47*AB$4</f>
        <v>#REF!</v>
      </c>
      <c r="AD47" s="53">
        <f>_xlfn.XLOOKUP(FME_Ranking2[[#This Row],[FME ID]],FME_Input[FME_ID],FME_Input[ROAD_MILES100])</f>
        <v>2.6327180862426758</v>
      </c>
      <c r="AE47" s="54" t="e">
        <f>FME_Ranking_Option2!$AD47*AD$4</f>
        <v>#REF!</v>
      </c>
      <c r="AF47" s="55">
        <f>FME_Ranking_Option2!$AD47/($AD$3)</f>
        <v>5.9465948230911509E-5</v>
      </c>
      <c r="AG47" s="55" t="e">
        <f>FME_Ranking_Option2!$AF47*AD$4</f>
        <v>#REF!</v>
      </c>
      <c r="AH47" s="53">
        <f>_xlfn.XLOOKUP(FME_Ranking2[[#This Row],[FME ID]],FME_Input[FME_ID],FME_Input[FARMACRE100])</f>
        <v>0.44329917430877691</v>
      </c>
      <c r="AI47" s="54" t="e">
        <f>FME_Ranking_Option2!$AH47*AH$4</f>
        <v>#REF!</v>
      </c>
      <c r="AJ47" s="56">
        <f>FME_Ranking_Option2!$AH47/($AH$3)</f>
        <v>2.57405831160957E-5</v>
      </c>
      <c r="AK47" s="57" t="e">
        <f>FME_Ranking_Option2!$AJ47*AH$4</f>
        <v>#REF!</v>
      </c>
      <c r="AL47"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7" s="58" t="e">
        <f>_xlfn.RANK.EQ(AL47,$AL$7:$AL$531)+COUNTIF(AL$7:AL47,AL47)-1</f>
        <v>#REF!</v>
      </c>
      <c r="AN47" s="57"/>
      <c r="AO47" s="58" t="e">
        <f>_xlfn.RANK.EQ(AN47,$AN$7:$AN$531)+COUNTIF(AN$7:AN47,AN47)-1</f>
        <v>#N/A</v>
      </c>
      <c r="AP4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7" s="32" t="e">
        <f>FME_Ranking2[[#This Row],[Score Based on Reported Factors]]-FME_Ranking2[[#This Row],[Check]]</f>
        <v>#REF!</v>
      </c>
      <c r="AR47" s="32"/>
      <c r="AT47" s="19"/>
      <c r="AU47" s="19"/>
      <c r="AV47" s="19"/>
      <c r="AW47" s="19"/>
      <c r="AX47" s="19"/>
      <c r="AY47" s="19"/>
      <c r="AZ47" s="19"/>
      <c r="BA47" s="19"/>
      <c r="BB47" s="19"/>
      <c r="BC47" s="19"/>
    </row>
    <row r="48" spans="1:55" ht="12" customHeight="1" x14ac:dyDescent="0.25">
      <c r="A48" s="17" t="s">
        <v>1013</v>
      </c>
      <c r="B48" s="17" t="str">
        <f>_xlfn.XLOOKUP(FME_Ranking2[[#This Row],[FME ID]],FME_Input[FME_ID],FME_Input[FME_NAME])</f>
        <v>Hickory Slough (Upper Segment)</v>
      </c>
      <c r="C48" s="17" t="str">
        <f>_xlfn.XLOOKUP(FME_Ranking2[[#This Row],[FME ID]],FME_Input[FME_ID],FME_Input[DESCR])</f>
        <v>Further study including Atlas 14 rainfall incorporation and Benefit Cost Analysis of proposed channel modifications included in the City of Pearland master drainage plan.</v>
      </c>
      <c r="D48" s="33" t="str">
        <f>_xlfn.XLOOKUP(FME_Ranking2[[#This Row],[FME ID]],FME_Input[FME_ID],FME_Input[EMER_NEED])</f>
        <v>No</v>
      </c>
      <c r="E48" s="120">
        <f>IF(FME_Ranking_Option2!$D48="Yes",100,0)</f>
        <v>0</v>
      </c>
      <c r="F48" s="34" t="str">
        <f>_xlfn.XLOOKUP(FME_Ranking2[[#This Row],[FME ID]],FME_Input[FME_ID],FME_Input[FUND])</f>
        <v>Yes</v>
      </c>
      <c r="G48" s="35">
        <f>IF(FME_Ranking_Option2!$F48="Yes",1,0)</f>
        <v>1</v>
      </c>
      <c r="H48" s="33">
        <f>_xlfn.XLOOKUP(FME_Ranking2[[#This Row],[FME ID]],FME_Input[FME_ID],FME_Input[STRUCT_100])</f>
        <v>413</v>
      </c>
      <c r="I48" s="64" t="e">
        <f>FME_Ranking2[[#This Row],[Raw Data3]]*H$4</f>
        <v>#REF!</v>
      </c>
      <c r="J48" s="63">
        <f>((FME_Ranking_Option2!$H48)/($H$3))*100</f>
        <v>4.5895569243967732E-2</v>
      </c>
      <c r="K48" s="36" t="e">
        <f>FME_Ranking2[[#This Row],[Norm Data3]]*H$4</f>
        <v>#REF!</v>
      </c>
      <c r="L48" s="37">
        <f>_xlfn.XLOOKUP(FME_Ranking2[[#This Row],[FME ID]],FME_Input[FME_ID],FME_Input[RES_STRUCT100])</f>
        <v>91</v>
      </c>
      <c r="M48" s="38" t="e">
        <f>FME_Ranking2[[#This Row],[Raw Data4]]*L$4</f>
        <v>#REF!</v>
      </c>
      <c r="N48" s="28">
        <f>((FME_Ranking_Option2!$L48)/($L$3))*100</f>
        <v>1.360477093901325E-2</v>
      </c>
      <c r="O48" s="39" t="e">
        <f>FME_Ranking2[[#This Row],[Norm Data4]]*L$4</f>
        <v>#REF!</v>
      </c>
      <c r="P48" s="34">
        <f>_xlfn.XLOOKUP(FME_Ranking2[[#This Row],[FME ID]],FME_Input[FME_ID],FME_Input[POP100])</f>
        <v>1269</v>
      </c>
      <c r="Q48" s="35" t="e">
        <f>FME_Ranking_Option2!$P48*P$4</f>
        <v>#REF!</v>
      </c>
      <c r="R48" s="35">
        <f>FME_Ranking_Option2!$P48/($P$3)</f>
        <v>4.6574994549734681E-4</v>
      </c>
      <c r="S48" s="35" t="e">
        <f>FME_Ranking_Option2!$R48*P$4</f>
        <v>#REF!</v>
      </c>
      <c r="T48" s="37">
        <f>_xlfn.XLOOKUP(FME_Ranking2[[#This Row],[FME ID]],FME_Input[FME_ID],FME_Input[CRITFAC100])</f>
        <v>4</v>
      </c>
      <c r="U48" s="35" t="e">
        <f>FME_Ranking_Option2!$T48*T$4</f>
        <v>#REF!</v>
      </c>
      <c r="V48" s="35">
        <f>FME_Ranking_Option2!$T48/($T$3)</f>
        <v>5.6409533211112682E-4</v>
      </c>
      <c r="W48" s="35" t="e">
        <f>FME_Ranking_Option2!$V48*T$4</f>
        <v>#REF!</v>
      </c>
      <c r="X48" s="37">
        <f>_xlfn.XLOOKUP(FME_Ranking2[[#This Row],[FME ID]],FME_Input[FME_ID],FME_Input[LWC])</f>
        <v>0</v>
      </c>
      <c r="Y48" s="35" t="e">
        <f>FME_Ranking_Option2!$X48*X$4</f>
        <v>#REF!</v>
      </c>
      <c r="Z48" s="35">
        <f>FME_Ranking_Option2!$X48/($X$3)</f>
        <v>0</v>
      </c>
      <c r="AA48" s="35" t="e">
        <f>FME_Ranking_Option2!$Z48*X$4</f>
        <v>#REF!</v>
      </c>
      <c r="AB48" s="37">
        <f>_xlfn.XLOOKUP(FME_Ranking2[[#This Row],[FME ID]],FME_Input[FME_ID],FME_Input[ROADCLS])</f>
        <v>0</v>
      </c>
      <c r="AC48" s="35" t="e">
        <f>FME_Ranking_Option2!$AB48*AB$4</f>
        <v>#REF!</v>
      </c>
      <c r="AD48" s="40">
        <f>_xlfn.XLOOKUP(FME_Ranking2[[#This Row],[FME ID]],FME_Input[FME_ID],FME_Input[ROAD_MILES100])</f>
        <v>1.56134021282196</v>
      </c>
      <c r="AE48" s="41" t="e">
        <f>FME_Ranking_Option2!$AD48*AD$4</f>
        <v>#REF!</v>
      </c>
      <c r="AF48" s="42">
        <f>FME_Ranking_Option2!$AD48/($AD$3)</f>
        <v>3.5266433102610867E-5</v>
      </c>
      <c r="AG48" s="42" t="e">
        <f>FME_Ranking_Option2!$AF48*AD$4</f>
        <v>#REF!</v>
      </c>
      <c r="AH48" s="40">
        <f>_xlfn.XLOOKUP(FME_Ranking2[[#This Row],[FME ID]],FME_Input[FME_ID],FME_Input[FARMACRE100])</f>
        <v>6.4840354919433594</v>
      </c>
      <c r="AI48" s="43" t="e">
        <f>FME_Ranking_Option2!$AH48*AH$4</f>
        <v>#REF!</v>
      </c>
      <c r="AJ48" s="41">
        <f>FME_Ranking_Option2!$AH48/($AH$3)</f>
        <v>3.7650161376530676E-4</v>
      </c>
      <c r="AK48" s="44" t="e">
        <f>FME_Ranking_Option2!$AJ48*AH$4</f>
        <v>#REF!</v>
      </c>
      <c r="AL4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8" s="45" t="e">
        <f>_xlfn.RANK.EQ(AL48,$AL$7:$AL$531)+COUNTIF(AL$7:AL48,AL48)-1</f>
        <v>#REF!</v>
      </c>
      <c r="AN48" s="44"/>
      <c r="AO48" s="45" t="e">
        <f>_xlfn.RANK.EQ(AN48,$AN$7:$AN$531)+COUNTIF(AN$7:AN48,AN48)-1</f>
        <v>#N/A</v>
      </c>
      <c r="AP4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8" s="32" t="e">
        <f>FME_Ranking2[[#This Row],[Score Based on Reported Factors]]-FME_Ranking2[[#This Row],[Check]]</f>
        <v>#REF!</v>
      </c>
      <c r="AR48" s="32"/>
    </row>
    <row r="49" spans="1:55" ht="12" customHeight="1" x14ac:dyDescent="0.25">
      <c r="A49" s="16" t="s">
        <v>1105</v>
      </c>
      <c r="B49" s="16" t="str">
        <f>_xlfn.XLOOKUP(FME_Ranking2[[#This Row],[FME ID]],FME_Input[FME_ID],FME_Input[FME_NAME])</f>
        <v>City of Manvel Gates Loop Subdivision Drainage Improvement</v>
      </c>
      <c r="C49" s="16" t="str">
        <f>_xlfn.XLOOKUP(FME_Ranking2[[#This Row],[FME ID]],FME_Input[FME_ID],FME_Input[DESCR])</f>
        <v>Further study proposed Gates Loop subdivision drainage improvement.</v>
      </c>
      <c r="D49" s="46" t="str">
        <f>_xlfn.XLOOKUP(FME_Ranking2[[#This Row],[FME ID]],FME_Input[FME_ID],FME_Input[EMER_NEED])</f>
        <v>No</v>
      </c>
      <c r="E49" s="121">
        <f>IF(FME_Ranking_Option2!$D49="Yes",100,0)</f>
        <v>0</v>
      </c>
      <c r="F49" s="47" t="str">
        <f>_xlfn.XLOOKUP(FME_Ranking2[[#This Row],[FME ID]],FME_Input[FME_ID],FME_Input[FUND])</f>
        <v>Yes</v>
      </c>
      <c r="G49" s="48">
        <f>IF(FME_Ranking_Option2!$F49="Yes",1,0)</f>
        <v>1</v>
      </c>
      <c r="H49" s="46">
        <f>_xlfn.XLOOKUP(FME_Ranking2[[#This Row],[FME ID]],FME_Input[FME_ID],FME_Input[STRUCT_100])</f>
        <v>0</v>
      </c>
      <c r="I49" s="65" t="e">
        <f>FME_Ranking2[[#This Row],[Raw Data3]]*H$4</f>
        <v>#REF!</v>
      </c>
      <c r="J49" s="62">
        <f>((FME_Ranking_Option2!$H49)/($H$3))*100</f>
        <v>0</v>
      </c>
      <c r="K49" s="49" t="e">
        <f>FME_Ranking2[[#This Row],[Norm Data3]]*H$4</f>
        <v>#REF!</v>
      </c>
      <c r="L49" s="50">
        <f>_xlfn.XLOOKUP(FME_Ranking2[[#This Row],[FME ID]],FME_Input[FME_ID],FME_Input[RES_STRUCT100])</f>
        <v>0</v>
      </c>
      <c r="M49" s="51" t="e">
        <f>FME_Ranking2[[#This Row],[Raw Data4]]*L$4</f>
        <v>#REF!</v>
      </c>
      <c r="N49" s="29">
        <f>((FME_Ranking_Option2!$L49)/($L$3))*100</f>
        <v>0</v>
      </c>
      <c r="O49" s="52" t="e">
        <f>FME_Ranking2[[#This Row],[Norm Data4]]*L$4</f>
        <v>#REF!</v>
      </c>
      <c r="P49" s="47">
        <f>_xlfn.XLOOKUP(FME_Ranking2[[#This Row],[FME ID]],FME_Input[FME_ID],FME_Input[POP100])</f>
        <v>0</v>
      </c>
      <c r="Q49" s="48" t="e">
        <f>FME_Ranking_Option2!$P49*P$4</f>
        <v>#REF!</v>
      </c>
      <c r="R49" s="48">
        <f>FME_Ranking_Option2!$P49/($P$3)</f>
        <v>0</v>
      </c>
      <c r="S49" s="48" t="e">
        <f>FME_Ranking_Option2!$R49*P$4</f>
        <v>#REF!</v>
      </c>
      <c r="T49" s="50">
        <f>_xlfn.XLOOKUP(FME_Ranking2[[#This Row],[FME ID]],FME_Input[FME_ID],FME_Input[CRITFAC100])</f>
        <v>0</v>
      </c>
      <c r="U49" s="48" t="e">
        <f>FME_Ranking_Option2!$T49*T$4</f>
        <v>#REF!</v>
      </c>
      <c r="V49" s="48">
        <f>FME_Ranking_Option2!$T49/($T$3)</f>
        <v>0</v>
      </c>
      <c r="W49" s="48" t="e">
        <f>FME_Ranking_Option2!$V49*T$4</f>
        <v>#REF!</v>
      </c>
      <c r="X49" s="50">
        <f>_xlfn.XLOOKUP(FME_Ranking2[[#This Row],[FME ID]],FME_Input[FME_ID],FME_Input[LWC])</f>
        <v>0</v>
      </c>
      <c r="Y49" s="48" t="e">
        <f>FME_Ranking_Option2!$X49*X$4</f>
        <v>#REF!</v>
      </c>
      <c r="Z49" s="48">
        <f>FME_Ranking_Option2!$X49/($X$3)</f>
        <v>0</v>
      </c>
      <c r="AA49" s="48" t="e">
        <f>FME_Ranking_Option2!$Z49*X$4</f>
        <v>#REF!</v>
      </c>
      <c r="AB49" s="50">
        <f>_xlfn.XLOOKUP(FME_Ranking2[[#This Row],[FME ID]],FME_Input[FME_ID],FME_Input[ROADCLS])</f>
        <v>0</v>
      </c>
      <c r="AC49" s="48" t="e">
        <f>FME_Ranking_Option2!$AB49*AB$4</f>
        <v>#REF!</v>
      </c>
      <c r="AD49" s="53">
        <f>_xlfn.XLOOKUP(FME_Ranking2[[#This Row],[FME ID]],FME_Input[FME_ID],FME_Input[ROAD_MILES100])</f>
        <v>0</v>
      </c>
      <c r="AE49" s="54" t="e">
        <f>FME_Ranking_Option2!$AD49*AD$4</f>
        <v>#REF!</v>
      </c>
      <c r="AF49" s="55">
        <f>FME_Ranking_Option2!$AD49/($AD$3)</f>
        <v>0</v>
      </c>
      <c r="AG49" s="55" t="e">
        <f>FME_Ranking_Option2!$AF49*AD$4</f>
        <v>#REF!</v>
      </c>
      <c r="AH49" s="53">
        <f>_xlfn.XLOOKUP(FME_Ranking2[[#This Row],[FME ID]],FME_Input[FME_ID],FME_Input[FARMACRE100])</f>
        <v>0</v>
      </c>
      <c r="AI49" s="54" t="e">
        <f>FME_Ranking_Option2!$AH49*AH$4</f>
        <v>#REF!</v>
      </c>
      <c r="AJ49" s="56">
        <f>FME_Ranking_Option2!$AH49/($AH$3)</f>
        <v>0</v>
      </c>
      <c r="AK49" s="57" t="e">
        <f>FME_Ranking_Option2!$AJ49*AH$4</f>
        <v>#REF!</v>
      </c>
      <c r="AL4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9" s="58" t="e">
        <f>_xlfn.RANK.EQ(AL49,$AL$7:$AL$531)+COUNTIF(AL$7:AL49,AL49)-1</f>
        <v>#REF!</v>
      </c>
      <c r="AN49" s="57"/>
      <c r="AO49" s="58" t="e">
        <f>_xlfn.RANK.EQ(AN49,$AN$7:$AN$531)+COUNTIF(AN$7:AN49,AN49)-1</f>
        <v>#N/A</v>
      </c>
      <c r="AP4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9" s="32" t="e">
        <f>FME_Ranking2[[#This Row],[Score Based on Reported Factors]]-FME_Ranking2[[#This Row],[Check]]</f>
        <v>#REF!</v>
      </c>
      <c r="AR49" s="32"/>
      <c r="AT49" s="19"/>
      <c r="AU49" s="19"/>
      <c r="AV49" s="19"/>
      <c r="AW49" s="19"/>
      <c r="AX49" s="19"/>
      <c r="AY49" s="19"/>
      <c r="AZ49" s="19"/>
      <c r="BA49" s="19"/>
      <c r="BB49" s="19"/>
      <c r="BC49" s="19"/>
    </row>
    <row r="50" spans="1:55" ht="12" customHeight="1" x14ac:dyDescent="0.25">
      <c r="A50" s="17" t="s">
        <v>1016</v>
      </c>
      <c r="B50" s="17" t="str">
        <f>_xlfn.XLOOKUP(FME_Ranking2[[#This Row],[FME ID]],FME_Input[FME_ID],FME_Input[FME_NAME])</f>
        <v xml:space="preserve">Hickory Slough Middle Segment </v>
      </c>
      <c r="C50" s="17" t="str">
        <f>_xlfn.XLOOKUP(FME_Ranking2[[#This Row],[FME ID]],FME_Input[FME_ID],FME_Input[DESCR])</f>
        <v>Further study including Atlas 14 rainfall incorporation and Benefit Cost Analysis of proposed channel modifications included in the City of Pearland master drainage plan.</v>
      </c>
      <c r="D50" s="33" t="str">
        <f>_xlfn.XLOOKUP(FME_Ranking2[[#This Row],[FME ID]],FME_Input[FME_ID],FME_Input[EMER_NEED])</f>
        <v>No</v>
      </c>
      <c r="E50" s="120">
        <f>IF(FME_Ranking_Option2!$D50="Yes",100,0)</f>
        <v>0</v>
      </c>
      <c r="F50" s="34" t="str">
        <f>_xlfn.XLOOKUP(FME_Ranking2[[#This Row],[FME ID]],FME_Input[FME_ID],FME_Input[FUND])</f>
        <v>Yes</v>
      </c>
      <c r="G50" s="35">
        <f>IF(FME_Ranking_Option2!$F50="Yes",1,0)</f>
        <v>1</v>
      </c>
      <c r="H50" s="33">
        <f>_xlfn.XLOOKUP(FME_Ranking2[[#This Row],[FME ID]],FME_Input[FME_ID],FME_Input[STRUCT_100])</f>
        <v>353</v>
      </c>
      <c r="I50" s="64" t="e">
        <f>FME_Ranking2[[#This Row],[Raw Data3]]*H$4</f>
        <v>#REF!</v>
      </c>
      <c r="J50" s="63">
        <f>((FME_Ranking_Option2!$H50)/($H$3))*100</f>
        <v>3.9227932065667333E-2</v>
      </c>
      <c r="K50" s="36" t="e">
        <f>FME_Ranking2[[#This Row],[Norm Data3]]*H$4</f>
        <v>#REF!</v>
      </c>
      <c r="L50" s="37">
        <f>_xlfn.XLOOKUP(FME_Ranking2[[#This Row],[FME ID]],FME_Input[FME_ID],FME_Input[RES_STRUCT100])</f>
        <v>215</v>
      </c>
      <c r="M50" s="38" t="e">
        <f>FME_Ranking2[[#This Row],[Raw Data4]]*L$4</f>
        <v>#REF!</v>
      </c>
      <c r="N50" s="28">
        <f>((FME_Ranking_Option2!$L50)/($L$3))*100</f>
        <v>3.2143140130635704E-2</v>
      </c>
      <c r="O50" s="39" t="e">
        <f>FME_Ranking2[[#This Row],[Norm Data4]]*L$4</f>
        <v>#REF!</v>
      </c>
      <c r="P50" s="34">
        <f>_xlfn.XLOOKUP(FME_Ranking2[[#This Row],[FME ID]],FME_Input[FME_ID],FME_Input[POP100])</f>
        <v>1596</v>
      </c>
      <c r="Q50" s="35" t="e">
        <f>FME_Ranking_Option2!$P50*P$4</f>
        <v>#REF!</v>
      </c>
      <c r="R50" s="35">
        <f>FME_Ranking_Option2!$P50/($P$3)</f>
        <v>5.857658888997364E-4</v>
      </c>
      <c r="S50" s="35" t="e">
        <f>FME_Ranking_Option2!$R50*P$4</f>
        <v>#REF!</v>
      </c>
      <c r="T50" s="37">
        <f>_xlfn.XLOOKUP(FME_Ranking2[[#This Row],[FME ID]],FME_Input[FME_ID],FME_Input[CRITFAC100])</f>
        <v>0</v>
      </c>
      <c r="U50" s="35" t="e">
        <f>FME_Ranking_Option2!$T50*T$4</f>
        <v>#REF!</v>
      </c>
      <c r="V50" s="35">
        <f>FME_Ranking_Option2!$T50/($T$3)</f>
        <v>0</v>
      </c>
      <c r="W50" s="35" t="e">
        <f>FME_Ranking_Option2!$V50*T$4</f>
        <v>#REF!</v>
      </c>
      <c r="X50" s="37">
        <f>_xlfn.XLOOKUP(FME_Ranking2[[#This Row],[FME ID]],FME_Input[FME_ID],FME_Input[LWC])</f>
        <v>0</v>
      </c>
      <c r="Y50" s="35" t="e">
        <f>FME_Ranking_Option2!$X50*X$4</f>
        <v>#REF!</v>
      </c>
      <c r="Z50" s="35">
        <f>FME_Ranking_Option2!$X50/($X$3)</f>
        <v>0</v>
      </c>
      <c r="AA50" s="35" t="e">
        <f>FME_Ranking_Option2!$Z50*X$4</f>
        <v>#REF!</v>
      </c>
      <c r="AB50" s="37">
        <f>_xlfn.XLOOKUP(FME_Ranking2[[#This Row],[FME ID]],FME_Input[FME_ID],FME_Input[ROADCLS])</f>
        <v>0</v>
      </c>
      <c r="AC50" s="35" t="e">
        <f>FME_Ranking_Option2!$AB50*AB$4</f>
        <v>#REF!</v>
      </c>
      <c r="AD50" s="40">
        <f>_xlfn.XLOOKUP(FME_Ranking2[[#This Row],[FME ID]],FME_Input[FME_ID],FME_Input[ROAD_MILES100])</f>
        <v>4.0867671966552734</v>
      </c>
      <c r="AE50" s="41" t="e">
        <f>FME_Ranking_Option2!$AD50*AD$4</f>
        <v>#REF!</v>
      </c>
      <c r="AF50" s="42">
        <f>FME_Ranking_Option2!$AD50/($AD$3)</f>
        <v>9.2308966849893358E-5</v>
      </c>
      <c r="AG50" s="42" t="e">
        <f>FME_Ranking_Option2!$AF50*AD$4</f>
        <v>#REF!</v>
      </c>
      <c r="AH50" s="40">
        <f>_xlfn.XLOOKUP(FME_Ranking2[[#This Row],[FME ID]],FME_Input[FME_ID],FME_Input[FARMACRE100])</f>
        <v>8.2090559005737305</v>
      </c>
      <c r="AI50" s="43" t="e">
        <f>FME_Ranking_Option2!$AH50*AH$4</f>
        <v>#REF!</v>
      </c>
      <c r="AJ50" s="41">
        <f>FME_Ranking_Option2!$AH50/($AH$3)</f>
        <v>4.7666654476150754E-4</v>
      </c>
      <c r="AK50" s="44" t="e">
        <f>FME_Ranking_Option2!$AJ50*AH$4</f>
        <v>#REF!</v>
      </c>
      <c r="AL5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0" s="45" t="e">
        <f>_xlfn.RANK.EQ(AL50,$AL$7:$AL$531)+COUNTIF(AL$7:AL50,AL50)-1</f>
        <v>#REF!</v>
      </c>
      <c r="AN50" s="44"/>
      <c r="AO50" s="45" t="e">
        <f>_xlfn.RANK.EQ(AN50,$AN$7:$AN$531)+COUNTIF(AN$7:AN50,AN50)-1</f>
        <v>#N/A</v>
      </c>
      <c r="AP5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0" s="32" t="e">
        <f>FME_Ranking2[[#This Row],[Score Based on Reported Factors]]-FME_Ranking2[[#This Row],[Check]]</f>
        <v>#REF!</v>
      </c>
      <c r="AR50" s="32"/>
    </row>
    <row r="51" spans="1:55" ht="12" customHeight="1" x14ac:dyDescent="0.25">
      <c r="A51" s="16" t="s">
        <v>1021</v>
      </c>
      <c r="B51" s="16" t="str">
        <f>_xlfn.XLOOKUP(FME_Ranking2[[#This Row],[FME ID]],FME_Input[FME_ID],FME_Input[FME_NAME])</f>
        <v>Mary's Creek Upper Segment</v>
      </c>
      <c r="C51" s="16" t="str">
        <f>_xlfn.XLOOKUP(FME_Ranking2[[#This Row],[FME ID]],FME_Input[FME_ID],FME_Input[DESCR])</f>
        <v>Further study including Atlas 14 rainfall incorporation and Benefit Cost Analysis of proposed channel modifications included in the City of Pearland master drainage plan.</v>
      </c>
      <c r="D51" s="46" t="str">
        <f>_xlfn.XLOOKUP(FME_Ranking2[[#This Row],[FME ID]],FME_Input[FME_ID],FME_Input[EMER_NEED])</f>
        <v>No</v>
      </c>
      <c r="E51" s="121">
        <f>IF(FME_Ranking_Option2!$D51="Yes",100,0)</f>
        <v>0</v>
      </c>
      <c r="F51" s="47" t="str">
        <f>_xlfn.XLOOKUP(FME_Ranking2[[#This Row],[FME ID]],FME_Input[FME_ID],FME_Input[FUND])</f>
        <v>Yes</v>
      </c>
      <c r="G51" s="48">
        <f>IF(FME_Ranking_Option2!$F51="Yes",1,0)</f>
        <v>1</v>
      </c>
      <c r="H51" s="46">
        <f>_xlfn.XLOOKUP(FME_Ranking2[[#This Row],[FME ID]],FME_Input[FME_ID],FME_Input[STRUCT_100])</f>
        <v>0</v>
      </c>
      <c r="I51" s="65" t="e">
        <f>FME_Ranking2[[#This Row],[Raw Data3]]*H$4</f>
        <v>#REF!</v>
      </c>
      <c r="J51" s="62">
        <f>((FME_Ranking_Option2!$H51)/($H$3))*100</f>
        <v>0</v>
      </c>
      <c r="K51" s="49" t="e">
        <f>FME_Ranking2[[#This Row],[Norm Data3]]*H$4</f>
        <v>#REF!</v>
      </c>
      <c r="L51" s="50">
        <f>_xlfn.XLOOKUP(FME_Ranking2[[#This Row],[FME ID]],FME_Input[FME_ID],FME_Input[RES_STRUCT100])</f>
        <v>0</v>
      </c>
      <c r="M51" s="51" t="e">
        <f>FME_Ranking2[[#This Row],[Raw Data4]]*L$4</f>
        <v>#REF!</v>
      </c>
      <c r="N51" s="29">
        <f>((FME_Ranking_Option2!$L51)/($L$3))*100</f>
        <v>0</v>
      </c>
      <c r="O51" s="52" t="e">
        <f>FME_Ranking2[[#This Row],[Norm Data4]]*L$4</f>
        <v>#REF!</v>
      </c>
      <c r="P51" s="47">
        <f>_xlfn.XLOOKUP(FME_Ranking2[[#This Row],[FME ID]],FME_Input[FME_ID],FME_Input[POP100])</f>
        <v>0</v>
      </c>
      <c r="Q51" s="48" t="e">
        <f>FME_Ranking_Option2!$P51*P$4</f>
        <v>#REF!</v>
      </c>
      <c r="R51" s="48">
        <f>FME_Ranking_Option2!$P51/($P$3)</f>
        <v>0</v>
      </c>
      <c r="S51" s="48" t="e">
        <f>FME_Ranking_Option2!$R51*P$4</f>
        <v>#REF!</v>
      </c>
      <c r="T51" s="50">
        <f>_xlfn.XLOOKUP(FME_Ranking2[[#This Row],[FME ID]],FME_Input[FME_ID],FME_Input[CRITFAC100])</f>
        <v>0</v>
      </c>
      <c r="U51" s="48" t="e">
        <f>FME_Ranking_Option2!$T51*T$4</f>
        <v>#REF!</v>
      </c>
      <c r="V51" s="48">
        <f>FME_Ranking_Option2!$T51/($T$3)</f>
        <v>0</v>
      </c>
      <c r="W51" s="48" t="e">
        <f>FME_Ranking_Option2!$V51*T$4</f>
        <v>#REF!</v>
      </c>
      <c r="X51" s="50">
        <f>_xlfn.XLOOKUP(FME_Ranking2[[#This Row],[FME ID]],FME_Input[FME_ID],FME_Input[LWC])</f>
        <v>0</v>
      </c>
      <c r="Y51" s="48" t="e">
        <f>FME_Ranking_Option2!$X51*X$4</f>
        <v>#REF!</v>
      </c>
      <c r="Z51" s="48">
        <f>FME_Ranking_Option2!$X51/($X$3)</f>
        <v>0</v>
      </c>
      <c r="AA51" s="48" t="e">
        <f>FME_Ranking_Option2!$Z51*X$4</f>
        <v>#REF!</v>
      </c>
      <c r="AB51" s="50">
        <f>_xlfn.XLOOKUP(FME_Ranking2[[#This Row],[FME ID]],FME_Input[FME_ID],FME_Input[ROADCLS])</f>
        <v>0</v>
      </c>
      <c r="AC51" s="48" t="e">
        <f>FME_Ranking_Option2!$AB51*AB$4</f>
        <v>#REF!</v>
      </c>
      <c r="AD51" s="53">
        <f>_xlfn.XLOOKUP(FME_Ranking2[[#This Row],[FME ID]],FME_Input[FME_ID],FME_Input[ROAD_MILES100])</f>
        <v>0</v>
      </c>
      <c r="AE51" s="54" t="e">
        <f>FME_Ranking_Option2!$AD51*AD$4</f>
        <v>#REF!</v>
      </c>
      <c r="AF51" s="55">
        <f>FME_Ranking_Option2!$AD51/($AD$3)</f>
        <v>0</v>
      </c>
      <c r="AG51" s="55" t="e">
        <f>FME_Ranking_Option2!$AF51*AD$4</f>
        <v>#REF!</v>
      </c>
      <c r="AH51" s="53">
        <f>_xlfn.XLOOKUP(FME_Ranking2[[#This Row],[FME ID]],FME_Input[FME_ID],FME_Input[FARMACRE100])</f>
        <v>0</v>
      </c>
      <c r="AI51" s="54" t="e">
        <f>FME_Ranking_Option2!$AH51*AH$4</f>
        <v>#REF!</v>
      </c>
      <c r="AJ51" s="56">
        <f>FME_Ranking_Option2!$AH51/($AH$3)</f>
        <v>0</v>
      </c>
      <c r="AK51" s="57" t="e">
        <f>FME_Ranking_Option2!$AJ51*AH$4</f>
        <v>#REF!</v>
      </c>
      <c r="AL5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1" s="58" t="e">
        <f>_xlfn.RANK.EQ(AL51,$AL$7:$AL$531)+COUNTIF(AL$7:AL51,AL51)-1</f>
        <v>#REF!</v>
      </c>
      <c r="AN51" s="57"/>
      <c r="AO51" s="58" t="e">
        <f>_xlfn.RANK.EQ(AN51,$AN$7:$AN$531)+COUNTIF(AN$7:AN51,AN51)-1</f>
        <v>#N/A</v>
      </c>
      <c r="AP5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1" s="32" t="e">
        <f>FME_Ranking2[[#This Row],[Score Based on Reported Factors]]-FME_Ranking2[[#This Row],[Check]]</f>
        <v>#REF!</v>
      </c>
      <c r="AR51" s="32"/>
      <c r="AT51" s="19"/>
      <c r="AU51" s="19"/>
      <c r="AV51" s="19"/>
      <c r="AW51" s="19"/>
      <c r="AX51" s="19"/>
      <c r="AY51" s="19"/>
      <c r="AZ51" s="19"/>
      <c r="BA51" s="19"/>
      <c r="BB51" s="19"/>
      <c r="BC51" s="19"/>
    </row>
    <row r="52" spans="1:55" ht="12" customHeight="1" x14ac:dyDescent="0.25">
      <c r="A52" s="17" t="s">
        <v>1023</v>
      </c>
      <c r="B52" s="17" t="str">
        <f>_xlfn.XLOOKUP(FME_Ranking2[[#This Row],[FME ID]],FME_Input[FME_ID],FME_Input[FME_NAME])</f>
        <v>Mary's Creek Middle Segment</v>
      </c>
      <c r="C52" s="17" t="str">
        <f>_xlfn.XLOOKUP(FME_Ranking2[[#This Row],[FME ID]],FME_Input[FME_ID],FME_Input[DESCR])</f>
        <v>Further study including Atlas 14 rainfall incorporation and Benefit Cost Analysis of proposed channel modifications included in the City of Pearland master drainage plan.</v>
      </c>
      <c r="D52" s="33" t="str">
        <f>_xlfn.XLOOKUP(FME_Ranking2[[#This Row],[FME ID]],FME_Input[FME_ID],FME_Input[EMER_NEED])</f>
        <v>No</v>
      </c>
      <c r="E52" s="120">
        <f>IF(FME_Ranking_Option2!$D52="Yes",100,0)</f>
        <v>0</v>
      </c>
      <c r="F52" s="34" t="str">
        <f>_xlfn.XLOOKUP(FME_Ranking2[[#This Row],[FME ID]],FME_Input[FME_ID],FME_Input[FUND])</f>
        <v>Yes</v>
      </c>
      <c r="G52" s="35">
        <f>IF(FME_Ranking_Option2!$F52="Yes",1,0)</f>
        <v>1</v>
      </c>
      <c r="H52" s="33">
        <f>_xlfn.XLOOKUP(FME_Ranking2[[#This Row],[FME ID]],FME_Input[FME_ID],FME_Input[STRUCT_100])</f>
        <v>994</v>
      </c>
      <c r="I52" s="64" t="e">
        <f>FME_Ranking2[[#This Row],[Raw Data3]]*H$4</f>
        <v>#REF!</v>
      </c>
      <c r="J52" s="63">
        <f>((FME_Ranking_Option2!$H52)/($H$3))*100</f>
        <v>0.11046052258717658</v>
      </c>
      <c r="K52" s="36" t="e">
        <f>FME_Ranking2[[#This Row],[Norm Data3]]*H$4</f>
        <v>#REF!</v>
      </c>
      <c r="L52" s="37">
        <f>_xlfn.XLOOKUP(FME_Ranking2[[#This Row],[FME ID]],FME_Input[FME_ID],FME_Input[RES_STRUCT100])</f>
        <v>745</v>
      </c>
      <c r="M52" s="38" t="e">
        <f>FME_Ranking2[[#This Row],[Raw Data4]]*L$4</f>
        <v>#REF!</v>
      </c>
      <c r="N52" s="28">
        <f>((FME_Ranking_Option2!$L52)/($L$3))*100</f>
        <v>0.1113797181270865</v>
      </c>
      <c r="O52" s="39" t="e">
        <f>FME_Ranking2[[#This Row],[Norm Data4]]*L$4</f>
        <v>#REF!</v>
      </c>
      <c r="P52" s="34">
        <f>_xlfn.XLOOKUP(FME_Ranking2[[#This Row],[FME ID]],FME_Input[FME_ID],FME_Input[POP100])</f>
        <v>2861</v>
      </c>
      <c r="Q52" s="35" t="e">
        <f>FME_Ranking_Option2!$P52*P$4</f>
        <v>#REF!</v>
      </c>
      <c r="R52" s="35">
        <f>FME_Ranking_Option2!$P52/($P$3)</f>
        <v>1.0500477494624974E-3</v>
      </c>
      <c r="S52" s="35" t="e">
        <f>FME_Ranking_Option2!$R52*P$4</f>
        <v>#REF!</v>
      </c>
      <c r="T52" s="37">
        <f>_xlfn.XLOOKUP(FME_Ranking2[[#This Row],[FME ID]],FME_Input[FME_ID],FME_Input[CRITFAC100])</f>
        <v>5</v>
      </c>
      <c r="U52" s="35" t="e">
        <f>FME_Ranking_Option2!$T52*T$4</f>
        <v>#REF!</v>
      </c>
      <c r="V52" s="35">
        <f>FME_Ranking_Option2!$T52/($T$3)</f>
        <v>7.0511916513890844E-4</v>
      </c>
      <c r="W52" s="35" t="e">
        <f>FME_Ranking_Option2!$V52*T$4</f>
        <v>#REF!</v>
      </c>
      <c r="X52" s="37">
        <f>_xlfn.XLOOKUP(FME_Ranking2[[#This Row],[FME ID]],FME_Input[FME_ID],FME_Input[LWC])</f>
        <v>0</v>
      </c>
      <c r="Y52" s="35" t="e">
        <f>FME_Ranking_Option2!$X52*X$4</f>
        <v>#REF!</v>
      </c>
      <c r="Z52" s="35">
        <f>FME_Ranking_Option2!$X52/($X$3)</f>
        <v>0</v>
      </c>
      <c r="AA52" s="35" t="e">
        <f>FME_Ranking_Option2!$Z52*X$4</f>
        <v>#REF!</v>
      </c>
      <c r="AB52" s="37">
        <f>_xlfn.XLOOKUP(FME_Ranking2[[#This Row],[FME ID]],FME_Input[FME_ID],FME_Input[ROADCLS])</f>
        <v>0</v>
      </c>
      <c r="AC52" s="35" t="e">
        <f>FME_Ranking_Option2!$AB52*AB$4</f>
        <v>#REF!</v>
      </c>
      <c r="AD52" s="40">
        <f>_xlfn.XLOOKUP(FME_Ranking2[[#This Row],[FME ID]],FME_Input[FME_ID],FME_Input[ROAD_MILES100])</f>
        <v>19.282693862915039</v>
      </c>
      <c r="AE52" s="41" t="e">
        <f>FME_Ranking_Option2!$AD52*AD$4</f>
        <v>#REF!</v>
      </c>
      <c r="AF52" s="42">
        <f>FME_Ranking_Option2!$AD52/($AD$3)</f>
        <v>4.3554366150957681E-4</v>
      </c>
      <c r="AG52" s="42" t="e">
        <f>FME_Ranking_Option2!$AF52*AD$4</f>
        <v>#REF!</v>
      </c>
      <c r="AH52" s="40">
        <f>_xlfn.XLOOKUP(FME_Ranking2[[#This Row],[FME ID]],FME_Input[FME_ID],FME_Input[FARMACRE100])</f>
        <v>9.7307405471801758</v>
      </c>
      <c r="AI52" s="43" t="e">
        <f>FME_Ranking_Option2!$AH52*AH$4</f>
        <v>#REF!</v>
      </c>
      <c r="AJ52" s="41">
        <f>FME_Ranking_Option2!$AH52/($AH$3)</f>
        <v>5.6502459366501625E-4</v>
      </c>
      <c r="AK52" s="44" t="e">
        <f>FME_Ranking_Option2!$AJ52*AH$4</f>
        <v>#REF!</v>
      </c>
      <c r="AL52"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2" s="45" t="e">
        <f>_xlfn.RANK.EQ(AL52,$AL$7:$AL$531)+COUNTIF(AL$7:AL52,AL52)-1</f>
        <v>#REF!</v>
      </c>
      <c r="AN52" s="44"/>
      <c r="AO52" s="45" t="e">
        <f>_xlfn.RANK.EQ(AN52,$AN$7:$AN$531)+COUNTIF(AN$7:AN52,AN52)-1</f>
        <v>#N/A</v>
      </c>
      <c r="AP5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2" s="32" t="e">
        <f>FME_Ranking2[[#This Row],[Score Based on Reported Factors]]-FME_Ranking2[[#This Row],[Check]]</f>
        <v>#REF!</v>
      </c>
      <c r="AR52" s="32"/>
    </row>
    <row r="53" spans="1:55" ht="12" customHeight="1" x14ac:dyDescent="0.25">
      <c r="A53" s="16" t="s">
        <v>1025</v>
      </c>
      <c r="B53" s="16" t="str">
        <f>_xlfn.XLOOKUP(FME_Ranking2[[#This Row],[FME ID]],FME_Input[FME_ID],FME_Input[FME_NAME])</f>
        <v>Mustang Bayou Middle Segment</v>
      </c>
      <c r="C53" s="16" t="str">
        <f>_xlfn.XLOOKUP(FME_Ranking2[[#This Row],[FME ID]],FME_Input[FME_ID],FME_Input[DESCR])</f>
        <v>Further study including Atlas 14 rainfall incorporation and Benefit Cost Analysis of proposed channel modifications included in the City of Pearland master drainage plan.</v>
      </c>
      <c r="D53" s="46" t="str">
        <f>_xlfn.XLOOKUP(FME_Ranking2[[#This Row],[FME ID]],FME_Input[FME_ID],FME_Input[EMER_NEED])</f>
        <v>No</v>
      </c>
      <c r="E53" s="121">
        <f>IF(FME_Ranking_Option2!$D53="Yes",100,0)</f>
        <v>0</v>
      </c>
      <c r="F53" s="47" t="str">
        <f>_xlfn.XLOOKUP(FME_Ranking2[[#This Row],[FME ID]],FME_Input[FME_ID],FME_Input[FUND])</f>
        <v>Yes</v>
      </c>
      <c r="G53" s="48">
        <f>IF(FME_Ranking_Option2!$F53="Yes",1,0)</f>
        <v>1</v>
      </c>
      <c r="H53" s="46">
        <f>_xlfn.XLOOKUP(FME_Ranking2[[#This Row],[FME ID]],FME_Input[FME_ID],FME_Input[STRUCT_100])</f>
        <v>257</v>
      </c>
      <c r="I53" s="65" t="e">
        <f>FME_Ranking2[[#This Row],[Raw Data3]]*H$4</f>
        <v>#REF!</v>
      </c>
      <c r="J53" s="62">
        <f>((FME_Ranking_Option2!$H53)/($H$3))*100</f>
        <v>2.8559712580386701E-2</v>
      </c>
      <c r="K53" s="49" t="e">
        <f>FME_Ranking2[[#This Row],[Norm Data3]]*H$4</f>
        <v>#REF!</v>
      </c>
      <c r="L53" s="50">
        <f>_xlfn.XLOOKUP(FME_Ranking2[[#This Row],[FME ID]],FME_Input[FME_ID],FME_Input[RES_STRUCT100])</f>
        <v>202</v>
      </c>
      <c r="M53" s="51" t="e">
        <f>FME_Ranking2[[#This Row],[Raw Data4]]*L$4</f>
        <v>#REF!</v>
      </c>
      <c r="N53" s="29">
        <f>((FME_Ranking_Option2!$L53)/($L$3))*100</f>
        <v>3.0199601425062381E-2</v>
      </c>
      <c r="O53" s="52" t="e">
        <f>FME_Ranking2[[#This Row],[Norm Data4]]*L$4</f>
        <v>#REF!</v>
      </c>
      <c r="P53" s="47">
        <f>_xlfn.XLOOKUP(FME_Ranking2[[#This Row],[FME ID]],FME_Input[FME_ID],FME_Input[POP100])</f>
        <v>2051</v>
      </c>
      <c r="Q53" s="48" t="e">
        <f>FME_Ranking_Option2!$P53*P$4</f>
        <v>#REF!</v>
      </c>
      <c r="R53" s="48">
        <f>FME_Ranking_Option2!$P53/($P$3)</f>
        <v>7.5276055020887173E-4</v>
      </c>
      <c r="S53" s="48" t="e">
        <f>FME_Ranking_Option2!$R53*P$4</f>
        <v>#REF!</v>
      </c>
      <c r="T53" s="50">
        <f>_xlfn.XLOOKUP(FME_Ranking2[[#This Row],[FME ID]],FME_Input[FME_ID],FME_Input[CRITFAC100])</f>
        <v>1</v>
      </c>
      <c r="U53" s="48" t="e">
        <f>FME_Ranking_Option2!$T53*T$4</f>
        <v>#REF!</v>
      </c>
      <c r="V53" s="48">
        <f>FME_Ranking_Option2!$T53/($T$3)</f>
        <v>1.4102383302778171E-4</v>
      </c>
      <c r="W53" s="48" t="e">
        <f>FME_Ranking_Option2!$V53*T$4</f>
        <v>#REF!</v>
      </c>
      <c r="X53" s="50">
        <f>_xlfn.XLOOKUP(FME_Ranking2[[#This Row],[FME ID]],FME_Input[FME_ID],FME_Input[LWC])</f>
        <v>0</v>
      </c>
      <c r="Y53" s="48" t="e">
        <f>FME_Ranking_Option2!$X53*X$4</f>
        <v>#REF!</v>
      </c>
      <c r="Z53" s="48">
        <f>FME_Ranking_Option2!$X53/($X$3)</f>
        <v>0</v>
      </c>
      <c r="AA53" s="48" t="e">
        <f>FME_Ranking_Option2!$Z53*X$4</f>
        <v>#REF!</v>
      </c>
      <c r="AB53" s="50">
        <f>_xlfn.XLOOKUP(FME_Ranking2[[#This Row],[FME ID]],FME_Input[FME_ID],FME_Input[ROADCLS])</f>
        <v>0</v>
      </c>
      <c r="AC53" s="48" t="e">
        <f>FME_Ranking_Option2!$AB53*AB$4</f>
        <v>#REF!</v>
      </c>
      <c r="AD53" s="53">
        <f>_xlfn.XLOOKUP(FME_Ranking2[[#This Row],[FME ID]],FME_Input[FME_ID],FME_Input[ROAD_MILES100])</f>
        <v>5.6157903671264648</v>
      </c>
      <c r="AE53" s="54" t="e">
        <f>FME_Ranking_Option2!$AD53*AD$4</f>
        <v>#REF!</v>
      </c>
      <c r="AF53" s="55">
        <f>FME_Ranking_Option2!$AD53/($AD$3)</f>
        <v>1.2684544577417834E-4</v>
      </c>
      <c r="AG53" s="55" t="e">
        <f>FME_Ranking_Option2!$AF53*AD$4</f>
        <v>#REF!</v>
      </c>
      <c r="AH53" s="53">
        <f>_xlfn.XLOOKUP(FME_Ranking2[[#This Row],[FME ID]],FME_Input[FME_ID],FME_Input[FARMACRE100])</f>
        <v>39.290901184082031</v>
      </c>
      <c r="AI53" s="54" t="e">
        <f>FME_Ranking_Option2!$AH53*AH$4</f>
        <v>#REF!</v>
      </c>
      <c r="AJ53" s="56">
        <f>FME_Ranking_Option2!$AH53/($AH$3)</f>
        <v>2.2814630981710408E-3</v>
      </c>
      <c r="AK53" s="57" t="e">
        <f>FME_Ranking_Option2!$AJ53*AH$4</f>
        <v>#REF!</v>
      </c>
      <c r="AL53"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3" s="58" t="e">
        <f>_xlfn.RANK.EQ(AL53,$AL$7:$AL$531)+COUNTIF(AL$7:AL53,AL53)-1</f>
        <v>#REF!</v>
      </c>
      <c r="AN53" s="57"/>
      <c r="AO53" s="58" t="e">
        <f>_xlfn.RANK.EQ(AN53,$AN$7:$AN$531)+COUNTIF(AN$7:AN53,AN53)-1</f>
        <v>#N/A</v>
      </c>
      <c r="AP5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3" s="32" t="e">
        <f>FME_Ranking2[[#This Row],[Score Based on Reported Factors]]-FME_Ranking2[[#This Row],[Check]]</f>
        <v>#REF!</v>
      </c>
      <c r="AR53" s="32"/>
      <c r="AT53" s="19"/>
      <c r="AU53" s="19"/>
      <c r="AV53" s="19"/>
      <c r="AW53" s="19"/>
      <c r="AX53" s="19"/>
      <c r="AY53" s="19"/>
      <c r="AZ53" s="19"/>
      <c r="BA53" s="19"/>
      <c r="BB53" s="19"/>
      <c r="BC53" s="19"/>
    </row>
    <row r="54" spans="1:55" ht="12" customHeight="1" x14ac:dyDescent="0.25">
      <c r="A54" s="17" t="s">
        <v>1019</v>
      </c>
      <c r="B54" s="17" t="str">
        <f>_xlfn.XLOOKUP(FME_Ranking2[[#This Row],[FME ID]],FME_Input[FME_ID],FME_Input[FME_NAME])</f>
        <v xml:space="preserve">Hickory Slough Lower Segment </v>
      </c>
      <c r="C54" s="17" t="str">
        <f>_xlfn.XLOOKUP(FME_Ranking2[[#This Row],[FME ID]],FME_Input[FME_ID],FME_Input[DESCR])</f>
        <v>Further study including Atlas 14 rainfall incorporation and Benefit Cost Analysis of proposed channel modifications included in the City of Pearland master drainage plan.</v>
      </c>
      <c r="D54" s="33" t="str">
        <f>_xlfn.XLOOKUP(FME_Ranking2[[#This Row],[FME ID]],FME_Input[FME_ID],FME_Input[EMER_NEED])</f>
        <v>No</v>
      </c>
      <c r="E54" s="120">
        <f>IF(FME_Ranking_Option2!$D54="Yes",100,0)</f>
        <v>0</v>
      </c>
      <c r="F54" s="34" t="str">
        <f>_xlfn.XLOOKUP(FME_Ranking2[[#This Row],[FME ID]],FME_Input[FME_ID],FME_Input[FUND])</f>
        <v>Yes</v>
      </c>
      <c r="G54" s="35">
        <f>IF(FME_Ranking_Option2!$F54="Yes",1,0)</f>
        <v>1</v>
      </c>
      <c r="H54" s="33">
        <f>_xlfn.XLOOKUP(FME_Ranking2[[#This Row],[FME ID]],FME_Input[FME_ID],FME_Input[STRUCT_100])</f>
        <v>424</v>
      </c>
      <c r="I54" s="64" t="e">
        <f>FME_Ranking2[[#This Row],[Raw Data3]]*H$4</f>
        <v>#REF!</v>
      </c>
      <c r="J54" s="63">
        <f>((FME_Ranking_Option2!$H54)/($H$3))*100</f>
        <v>4.7117969393322807E-2</v>
      </c>
      <c r="K54" s="36" t="e">
        <f>FME_Ranking2[[#This Row],[Norm Data3]]*H$4</f>
        <v>#REF!</v>
      </c>
      <c r="L54" s="37">
        <f>_xlfn.XLOOKUP(FME_Ranking2[[#This Row],[FME ID]],FME_Input[FME_ID],FME_Input[RES_STRUCT100])</f>
        <v>377</v>
      </c>
      <c r="M54" s="38" t="e">
        <f>FME_Ranking2[[#This Row],[Raw Data4]]*L$4</f>
        <v>#REF!</v>
      </c>
      <c r="N54" s="28">
        <f>((FME_Ranking_Option2!$L54)/($L$3))*100</f>
        <v>5.6362622461626322E-2</v>
      </c>
      <c r="O54" s="39" t="e">
        <f>FME_Ranking2[[#This Row],[Norm Data4]]*L$4</f>
        <v>#REF!</v>
      </c>
      <c r="P54" s="34">
        <f>_xlfn.XLOOKUP(FME_Ranking2[[#This Row],[FME ID]],FME_Input[FME_ID],FME_Input[POP100])</f>
        <v>1648</v>
      </c>
      <c r="Q54" s="35" t="e">
        <f>FME_Ranking_Option2!$P54*P$4</f>
        <v>#REF!</v>
      </c>
      <c r="R54" s="35">
        <f>FME_Ranking_Option2!$P54/($P$3)</f>
        <v>6.0485099304935183E-4</v>
      </c>
      <c r="S54" s="35" t="e">
        <f>FME_Ranking_Option2!$R54*P$4</f>
        <v>#REF!</v>
      </c>
      <c r="T54" s="37">
        <f>_xlfn.XLOOKUP(FME_Ranking2[[#This Row],[FME ID]],FME_Input[FME_ID],FME_Input[CRITFAC100])</f>
        <v>0</v>
      </c>
      <c r="U54" s="35" t="e">
        <f>FME_Ranking_Option2!$T54*T$4</f>
        <v>#REF!</v>
      </c>
      <c r="V54" s="35">
        <f>FME_Ranking_Option2!$T54/($T$3)</f>
        <v>0</v>
      </c>
      <c r="W54" s="35" t="e">
        <f>FME_Ranking_Option2!$V54*T$4</f>
        <v>#REF!</v>
      </c>
      <c r="X54" s="37">
        <f>_xlfn.XLOOKUP(FME_Ranking2[[#This Row],[FME ID]],FME_Input[FME_ID],FME_Input[LWC])</f>
        <v>0</v>
      </c>
      <c r="Y54" s="35" t="e">
        <f>FME_Ranking_Option2!$X54*X$4</f>
        <v>#REF!</v>
      </c>
      <c r="Z54" s="35">
        <f>FME_Ranking_Option2!$X54/($X$3)</f>
        <v>0</v>
      </c>
      <c r="AA54" s="35" t="e">
        <f>FME_Ranking_Option2!$Z54*X$4</f>
        <v>#REF!</v>
      </c>
      <c r="AB54" s="37">
        <f>_xlfn.XLOOKUP(FME_Ranking2[[#This Row],[FME ID]],FME_Input[FME_ID],FME_Input[ROADCLS])</f>
        <v>0</v>
      </c>
      <c r="AC54" s="35" t="e">
        <f>FME_Ranking_Option2!$AB54*AB$4</f>
        <v>#REF!</v>
      </c>
      <c r="AD54" s="40">
        <f>_xlfn.XLOOKUP(FME_Ranking2[[#This Row],[FME ID]],FME_Input[FME_ID],FME_Input[ROAD_MILES100])</f>
        <v>6.2576041221618652</v>
      </c>
      <c r="AE54" s="41" t="e">
        <f>FME_Ranking_Option2!$AD54*AD$4</f>
        <v>#REF!</v>
      </c>
      <c r="AF54" s="42">
        <f>FME_Ranking_Option2!$AD54/($AD$3)</f>
        <v>1.4134227463339407E-4</v>
      </c>
      <c r="AG54" s="42" t="e">
        <f>FME_Ranking_Option2!$AF54*AD$4</f>
        <v>#REF!</v>
      </c>
      <c r="AH54" s="40">
        <f>_xlfn.XLOOKUP(FME_Ranking2[[#This Row],[FME ID]],FME_Input[FME_ID],FME_Input[FARMACRE100])</f>
        <v>4.7694473266601563</v>
      </c>
      <c r="AI54" s="43" t="e">
        <f>FME_Ranking_Option2!$AH54*AH$4</f>
        <v>#REF!</v>
      </c>
      <c r="AJ54" s="41">
        <f>FME_Ranking_Option2!$AH54/($AH$3)</f>
        <v>2.7694244078204115E-4</v>
      </c>
      <c r="AK54" s="44" t="e">
        <f>FME_Ranking_Option2!$AJ54*AH$4</f>
        <v>#REF!</v>
      </c>
      <c r="AL54"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4" s="45" t="e">
        <f>_xlfn.RANK.EQ(AL54,$AL$7:$AL$531)+COUNTIF(AL$7:AL54,AL54)-1</f>
        <v>#REF!</v>
      </c>
      <c r="AN54" s="44"/>
      <c r="AO54" s="45" t="e">
        <f>_xlfn.RANK.EQ(AN54,$AN$7:$AN$531)+COUNTIF(AN$7:AN54,AN54)-1</f>
        <v>#N/A</v>
      </c>
      <c r="AP5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4" s="32" t="e">
        <f>FME_Ranking2[[#This Row],[Score Based on Reported Factors]]-FME_Ranking2[[#This Row],[Check]]</f>
        <v>#REF!</v>
      </c>
      <c r="AR54" s="32"/>
    </row>
    <row r="55" spans="1:55" ht="12" customHeight="1" x14ac:dyDescent="0.25">
      <c r="A55" s="16" t="s">
        <v>1028</v>
      </c>
      <c r="B55" s="16" t="str">
        <f>_xlfn.XLOOKUP(FME_Ranking2[[#This Row],[FME ID]],FME_Input[FME_ID],FME_Input[FME_NAME])</f>
        <v xml:space="preserve">Mustang Bayou Upper Segment </v>
      </c>
      <c r="C55" s="16" t="str">
        <f>_xlfn.XLOOKUP(FME_Ranking2[[#This Row],[FME ID]],FME_Input[FME_ID],FME_Input[DESCR])</f>
        <v>Further study including Atlas 14 rainfall incorporation and Benefit Cost Analysis of proposed channel modifications included in the City of Pearland master drainage plan.</v>
      </c>
      <c r="D55" s="46" t="str">
        <f>_xlfn.XLOOKUP(FME_Ranking2[[#This Row],[FME ID]],FME_Input[FME_ID],FME_Input[EMER_NEED])</f>
        <v>No</v>
      </c>
      <c r="E55" s="121">
        <f>IF(FME_Ranking_Option2!$D55="Yes",100,0)</f>
        <v>0</v>
      </c>
      <c r="F55" s="47" t="str">
        <f>_xlfn.XLOOKUP(FME_Ranking2[[#This Row],[FME ID]],FME_Input[FME_ID],FME_Input[FUND])</f>
        <v>Yes</v>
      </c>
      <c r="G55" s="48">
        <f>IF(FME_Ranking_Option2!$F55="Yes",1,0)</f>
        <v>1</v>
      </c>
      <c r="H55" s="46">
        <f>_xlfn.XLOOKUP(FME_Ranking2[[#This Row],[FME ID]],FME_Input[FME_ID],FME_Input[STRUCT_100])</f>
        <v>415</v>
      </c>
      <c r="I55" s="65" t="e">
        <f>FME_Ranking2[[#This Row],[Raw Data3]]*H$4</f>
        <v>#REF!</v>
      </c>
      <c r="J55" s="62">
        <f>((FME_Ranking_Option2!$H55)/($H$3))*100</f>
        <v>4.6117823816577752E-2</v>
      </c>
      <c r="K55" s="49" t="e">
        <f>FME_Ranking2[[#This Row],[Norm Data3]]*H$4</f>
        <v>#REF!</v>
      </c>
      <c r="L55" s="50">
        <f>_xlfn.XLOOKUP(FME_Ranking2[[#This Row],[FME ID]],FME_Input[FME_ID],FME_Input[RES_STRUCT100])</f>
        <v>367</v>
      </c>
      <c r="M55" s="51" t="e">
        <f>FME_Ranking2[[#This Row],[Raw Data4]]*L$4</f>
        <v>#REF!</v>
      </c>
      <c r="N55" s="29">
        <f>((FME_Ranking_Option2!$L55)/($L$3))*100</f>
        <v>5.4867592688108383E-2</v>
      </c>
      <c r="O55" s="52" t="e">
        <f>FME_Ranking2[[#This Row],[Norm Data4]]*L$4</f>
        <v>#REF!</v>
      </c>
      <c r="P55" s="47">
        <f>_xlfn.XLOOKUP(FME_Ranking2[[#This Row],[FME ID]],FME_Input[FME_ID],FME_Input[POP100])</f>
        <v>778</v>
      </c>
      <c r="Q55" s="48" t="e">
        <f>FME_Ranking_Option2!$P55*P$4</f>
        <v>#REF!</v>
      </c>
      <c r="R55" s="48">
        <f>FME_Ranking_Option2!$P55/($P$3)</f>
        <v>2.8554251977693917E-4</v>
      </c>
      <c r="S55" s="48" t="e">
        <f>FME_Ranking_Option2!$R55*P$4</f>
        <v>#REF!</v>
      </c>
      <c r="T55" s="50">
        <f>_xlfn.XLOOKUP(FME_Ranking2[[#This Row],[FME ID]],FME_Input[FME_ID],FME_Input[CRITFAC100])</f>
        <v>0</v>
      </c>
      <c r="U55" s="48" t="e">
        <f>FME_Ranking_Option2!$T55*T$4</f>
        <v>#REF!</v>
      </c>
      <c r="V55" s="48">
        <f>FME_Ranking_Option2!$T55/($T$3)</f>
        <v>0</v>
      </c>
      <c r="W55" s="48" t="e">
        <f>FME_Ranking_Option2!$V55*T$4</f>
        <v>#REF!</v>
      </c>
      <c r="X55" s="50">
        <f>_xlfn.XLOOKUP(FME_Ranking2[[#This Row],[FME ID]],FME_Input[FME_ID],FME_Input[LWC])</f>
        <v>3</v>
      </c>
      <c r="Y55" s="48" t="e">
        <f>FME_Ranking_Option2!$X55*X$4</f>
        <v>#REF!</v>
      </c>
      <c r="Z55" s="48">
        <f>FME_Ranking_Option2!$X55/($X$3)</f>
        <v>2.7367268746579092E-4</v>
      </c>
      <c r="AA55" s="48" t="e">
        <f>FME_Ranking_Option2!$Z55*X$4</f>
        <v>#REF!</v>
      </c>
      <c r="AB55" s="50">
        <f>_xlfn.XLOOKUP(FME_Ranking2[[#This Row],[FME ID]],FME_Input[FME_ID],FME_Input[ROADCLS])</f>
        <v>3</v>
      </c>
      <c r="AC55" s="48" t="e">
        <f>FME_Ranking_Option2!$AB55*AB$4</f>
        <v>#REF!</v>
      </c>
      <c r="AD55" s="53">
        <f>_xlfn.XLOOKUP(FME_Ranking2[[#This Row],[FME ID]],FME_Input[FME_ID],FME_Input[ROAD_MILES100])</f>
        <v>4.4755477905273438</v>
      </c>
      <c r="AE55" s="54" t="e">
        <f>FME_Ranking_Option2!$AD55*AD$4</f>
        <v>#REF!</v>
      </c>
      <c r="AF55" s="55">
        <f>FME_Ranking_Option2!$AD55/($AD$3)</f>
        <v>1.0109046411281317E-4</v>
      </c>
      <c r="AG55" s="55" t="e">
        <f>FME_Ranking_Option2!$AF55*AD$4</f>
        <v>#REF!</v>
      </c>
      <c r="AH55" s="53">
        <f>_xlfn.XLOOKUP(FME_Ranking2[[#This Row],[FME ID]],FME_Input[FME_ID],FME_Input[FARMACRE100])</f>
        <v>19.513925552368161</v>
      </c>
      <c r="AI55" s="54" t="e">
        <f>FME_Ranking_Option2!$AH55*AH$4</f>
        <v>#REF!</v>
      </c>
      <c r="AJ55" s="56">
        <f>FME_Ranking_Option2!$AH55/($AH$3)</f>
        <v>1.133094424065322E-3</v>
      </c>
      <c r="AK55" s="57" t="e">
        <f>FME_Ranking_Option2!$AJ55*AH$4</f>
        <v>#REF!</v>
      </c>
      <c r="AL55"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5" s="58" t="e">
        <f>_xlfn.RANK.EQ(AL55,$AL$7:$AL$531)+COUNTIF(AL$7:AL55,AL55)-1</f>
        <v>#REF!</v>
      </c>
      <c r="AN55" s="57"/>
      <c r="AO55" s="58" t="e">
        <f>_xlfn.RANK.EQ(AN55,$AN$7:$AN$531)+COUNTIF(AN$7:AN55,AN55)-1</f>
        <v>#N/A</v>
      </c>
      <c r="AP5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5" s="32" t="e">
        <f>FME_Ranking2[[#This Row],[Score Based on Reported Factors]]-FME_Ranking2[[#This Row],[Check]]</f>
        <v>#REF!</v>
      </c>
      <c r="AR55" s="32"/>
      <c r="AT55" s="19"/>
      <c r="AU55" s="19"/>
      <c r="AV55" s="19"/>
      <c r="AW55" s="19"/>
      <c r="AX55" s="19"/>
      <c r="AY55" s="19"/>
      <c r="AZ55" s="19"/>
      <c r="BA55" s="19"/>
      <c r="BB55" s="19"/>
      <c r="BC55" s="19"/>
    </row>
    <row r="56" spans="1:55" ht="12" customHeight="1" x14ac:dyDescent="0.25">
      <c r="A56" s="17" t="s">
        <v>956</v>
      </c>
      <c r="B56" s="17" t="str">
        <f>_xlfn.XLOOKUP(FME_Ranking2[[#This Row],[FME ID]],FME_Input[FME_ID],FME_Input[FME_NAME])</f>
        <v xml:space="preserve">City of Alvin Dickinson Bayou Watershed Study </v>
      </c>
      <c r="C56" s="17" t="str">
        <f>_xlfn.XLOOKUP(FME_Ranking2[[#This Row],[FME ID]],FME_Input[FME_ID],FME_Input[DESCR])</f>
        <v>Study of Dickinson Bayou Watershed to determine drainage improvement alternatives.</v>
      </c>
      <c r="D56" s="33" t="str">
        <f>_xlfn.XLOOKUP(FME_Ranking2[[#This Row],[FME ID]],FME_Input[FME_ID],FME_Input[EMER_NEED])</f>
        <v>No</v>
      </c>
      <c r="E56" s="120">
        <f>IF(FME_Ranking_Option2!$D56="Yes",100,0)</f>
        <v>0</v>
      </c>
      <c r="F56" s="34" t="str">
        <f>_xlfn.XLOOKUP(FME_Ranking2[[#This Row],[FME ID]],FME_Input[FME_ID],FME_Input[FUND])</f>
        <v>Yes</v>
      </c>
      <c r="G56" s="35">
        <f>IF(FME_Ranking_Option2!$F56="Yes",1,0)</f>
        <v>1</v>
      </c>
      <c r="H56" s="33">
        <f>_xlfn.XLOOKUP(FME_Ranking2[[#This Row],[FME ID]],FME_Input[FME_ID],FME_Input[STRUCT_100])</f>
        <v>3445</v>
      </c>
      <c r="I56" s="64" t="e">
        <f>FME_Ranking2[[#This Row],[Raw Data3]]*H$4</f>
        <v>#REF!</v>
      </c>
      <c r="J56" s="63">
        <f>((FME_Ranking_Option2!$H56)/($H$3))*100</f>
        <v>0.38283350132074778</v>
      </c>
      <c r="K56" s="36" t="e">
        <f>FME_Ranking2[[#This Row],[Norm Data3]]*H$4</f>
        <v>#REF!</v>
      </c>
      <c r="L56" s="37">
        <f>_xlfn.XLOOKUP(FME_Ranking2[[#This Row],[FME ID]],FME_Input[FME_ID],FME_Input[RES_STRUCT100])</f>
        <v>2605</v>
      </c>
      <c r="M56" s="38" t="e">
        <f>FME_Ranking2[[#This Row],[Raw Data4]]*L$4</f>
        <v>#REF!</v>
      </c>
      <c r="N56" s="28">
        <f>((FME_Ranking_Option2!$L56)/($L$3))*100</f>
        <v>0.38945525600142328</v>
      </c>
      <c r="O56" s="39" t="e">
        <f>FME_Ranking2[[#This Row],[Norm Data4]]*L$4</f>
        <v>#REF!</v>
      </c>
      <c r="P56" s="34">
        <f>_xlfn.XLOOKUP(FME_Ranking2[[#This Row],[FME ID]],FME_Input[FME_ID],FME_Input[POP100])</f>
        <v>21569</v>
      </c>
      <c r="Q56" s="35" t="e">
        <f>FME_Ranking_Option2!$P56*P$4</f>
        <v>#REF!</v>
      </c>
      <c r="R56" s="35">
        <f>FME_Ranking_Option2!$P56/($P$3)</f>
        <v>7.9162809885203102E-3</v>
      </c>
      <c r="S56" s="35" t="e">
        <f>FME_Ranking_Option2!$R56*P$4</f>
        <v>#REF!</v>
      </c>
      <c r="T56" s="37">
        <f>_xlfn.XLOOKUP(FME_Ranking2[[#This Row],[FME ID]],FME_Input[FME_ID],FME_Input[CRITFAC100])</f>
        <v>18</v>
      </c>
      <c r="U56" s="35" t="e">
        <f>FME_Ranking_Option2!$T56*T$4</f>
        <v>#REF!</v>
      </c>
      <c r="V56" s="35">
        <f>FME_Ranking_Option2!$T56/($T$3)</f>
        <v>2.5384289945000705E-3</v>
      </c>
      <c r="W56" s="35" t="e">
        <f>FME_Ranking_Option2!$V56*T$4</f>
        <v>#REF!</v>
      </c>
      <c r="X56" s="37">
        <f>_xlfn.XLOOKUP(FME_Ranking2[[#This Row],[FME ID]],FME_Input[FME_ID],FME_Input[LWC])</f>
        <v>0</v>
      </c>
      <c r="Y56" s="35" t="e">
        <f>FME_Ranking_Option2!$X56*X$4</f>
        <v>#REF!</v>
      </c>
      <c r="Z56" s="35">
        <f>FME_Ranking_Option2!$X56/($X$3)</f>
        <v>0</v>
      </c>
      <c r="AA56" s="35" t="e">
        <f>FME_Ranking_Option2!$Z56*X$4</f>
        <v>#REF!</v>
      </c>
      <c r="AB56" s="37">
        <f>_xlfn.XLOOKUP(FME_Ranking2[[#This Row],[FME ID]],FME_Input[FME_ID],FME_Input[ROADCLS])</f>
        <v>0</v>
      </c>
      <c r="AC56" s="35" t="e">
        <f>FME_Ranking_Option2!$AB56*AB$4</f>
        <v>#REF!</v>
      </c>
      <c r="AD56" s="40">
        <f>_xlfn.XLOOKUP(FME_Ranking2[[#This Row],[FME ID]],FME_Input[FME_ID],FME_Input[ROAD_MILES100])</f>
        <v>56.80682373046875</v>
      </c>
      <c r="AE56" s="41" t="e">
        <f>FME_Ranking_Option2!$AD56*AD$4</f>
        <v>#REF!</v>
      </c>
      <c r="AF56" s="42">
        <f>FME_Ranking_Option2!$AD56/($AD$3)</f>
        <v>1.2831117987036876E-3</v>
      </c>
      <c r="AG56" s="42" t="e">
        <f>FME_Ranking_Option2!$AF56*AD$4</f>
        <v>#REF!</v>
      </c>
      <c r="AH56" s="40">
        <f>_xlfn.XLOOKUP(FME_Ranking2[[#This Row],[FME ID]],FME_Input[FME_ID],FME_Input[FARMACRE100])</f>
        <v>262.29559326171881</v>
      </c>
      <c r="AI56" s="43" t="e">
        <f>FME_Ranking_Option2!$AH56*AH$4</f>
        <v>#REF!</v>
      </c>
      <c r="AJ56" s="41">
        <f>FME_Ranking_Option2!$AH56/($AH$3)</f>
        <v>1.5230440096953792E-2</v>
      </c>
      <c r="AK56" s="44" t="e">
        <f>FME_Ranking_Option2!$AJ56*AH$4</f>
        <v>#REF!</v>
      </c>
      <c r="AL56"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6" s="45" t="e">
        <f>_xlfn.RANK.EQ(AL56,$AL$7:$AL$531)+COUNTIF(AL$7:AL56,AL56)-1</f>
        <v>#REF!</v>
      </c>
      <c r="AN56" s="44"/>
      <c r="AO56" s="45" t="e">
        <f>_xlfn.RANK.EQ(AN56,$AN$7:$AN$531)+COUNTIF(AN$7:AN56,AN56)-1</f>
        <v>#N/A</v>
      </c>
      <c r="AP5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6" s="32" t="e">
        <f>FME_Ranking2[[#This Row],[Score Based on Reported Factors]]-FME_Ranking2[[#This Row],[Check]]</f>
        <v>#REF!</v>
      </c>
      <c r="AR56" s="32"/>
    </row>
    <row r="57" spans="1:55" ht="12" customHeight="1" x14ac:dyDescent="0.25">
      <c r="A57" s="16" t="s">
        <v>990</v>
      </c>
      <c r="B57" s="16" t="str">
        <f>_xlfn.XLOOKUP(FME_Ranking2[[#This Row],[FME ID]],FME_Input[FME_ID],FME_Input[FME_NAME])</f>
        <v>City of Galveston Shoreline Protection</v>
      </c>
      <c r="C57" s="16" t="str">
        <f>_xlfn.XLOOKUP(FME_Ranking2[[#This Row],[FME ID]],FME_Input[FME_ID],FME_Input[DESCR])</f>
        <v>Further study and FMP development of a proposed shoreline protection for areas prone to coastal erosion.</v>
      </c>
      <c r="D57" s="46" t="str">
        <f>_xlfn.XLOOKUP(FME_Ranking2[[#This Row],[FME ID]],FME_Input[FME_ID],FME_Input[EMER_NEED])</f>
        <v>No</v>
      </c>
      <c r="E57" s="121">
        <f>IF(FME_Ranking_Option2!$D57="Yes",100,0)</f>
        <v>0</v>
      </c>
      <c r="F57" s="47" t="str">
        <f>_xlfn.XLOOKUP(FME_Ranking2[[#This Row],[FME ID]],FME_Input[FME_ID],FME_Input[FUND])</f>
        <v>Yes</v>
      </c>
      <c r="G57" s="48">
        <f>IF(FME_Ranking_Option2!$F57="Yes",1,0)</f>
        <v>1</v>
      </c>
      <c r="H57" s="46">
        <f>_xlfn.XLOOKUP(FME_Ranking2[[#This Row],[FME ID]],FME_Input[FME_ID],FME_Input[STRUCT_100])</f>
        <v>21858</v>
      </c>
      <c r="I57" s="65" t="e">
        <f>FME_Ranking2[[#This Row],[Raw Data3]]*H$4</f>
        <v>#REF!</v>
      </c>
      <c r="J57" s="62">
        <f>((FME_Ranking_Option2!$H57)/($H$3))*100</f>
        <v>2.4290202240548346</v>
      </c>
      <c r="K57" s="49" t="e">
        <f>FME_Ranking2[[#This Row],[Norm Data3]]*H$4</f>
        <v>#REF!</v>
      </c>
      <c r="L57" s="50">
        <f>_xlfn.XLOOKUP(FME_Ranking2[[#This Row],[FME ID]],FME_Input[FME_ID],FME_Input[RES_STRUCT100])</f>
        <v>19143</v>
      </c>
      <c r="M57" s="51" t="e">
        <f>FME_Ranking2[[#This Row],[Raw Data4]]*L$4</f>
        <v>#REF!</v>
      </c>
      <c r="N57" s="29">
        <f>((FME_Ranking_Option2!$L57)/($L$3))*100</f>
        <v>2.8619354954453917</v>
      </c>
      <c r="O57" s="52" t="e">
        <f>FME_Ranking2[[#This Row],[Norm Data4]]*L$4</f>
        <v>#REF!</v>
      </c>
      <c r="P57" s="47">
        <f>_xlfn.XLOOKUP(FME_Ranking2[[#This Row],[FME ID]],FME_Input[FME_ID],FME_Input[POP100])</f>
        <v>93583</v>
      </c>
      <c r="Q57" s="48" t="e">
        <f>FME_Ranking_Option2!$P57*P$4</f>
        <v>#REF!</v>
      </c>
      <c r="R57" s="48">
        <f>FME_Ranking_Option2!$P57/($P$3)</f>
        <v>3.4346948108335856E-2</v>
      </c>
      <c r="S57" s="48" t="e">
        <f>FME_Ranking_Option2!$R57*P$4</f>
        <v>#REF!</v>
      </c>
      <c r="T57" s="50">
        <f>_xlfn.XLOOKUP(FME_Ranking2[[#This Row],[FME ID]],FME_Input[FME_ID],FME_Input[CRITFAC100])</f>
        <v>509</v>
      </c>
      <c r="U57" s="48" t="e">
        <f>FME_Ranking_Option2!$T57*T$4</f>
        <v>#REF!</v>
      </c>
      <c r="V57" s="48">
        <f>FME_Ranking_Option2!$T57/($T$3)</f>
        <v>7.1781131011140878E-2</v>
      </c>
      <c r="W57" s="48" t="e">
        <f>FME_Ranking_Option2!$V57*T$4</f>
        <v>#REF!</v>
      </c>
      <c r="X57" s="50">
        <f>_xlfn.XLOOKUP(FME_Ranking2[[#This Row],[FME ID]],FME_Input[FME_ID],FME_Input[LWC])</f>
        <v>0</v>
      </c>
      <c r="Y57" s="48" t="e">
        <f>FME_Ranking_Option2!$X57*X$4</f>
        <v>#REF!</v>
      </c>
      <c r="Z57" s="48">
        <f>FME_Ranking_Option2!$X57/($X$3)</f>
        <v>0</v>
      </c>
      <c r="AA57" s="48" t="e">
        <f>FME_Ranking_Option2!$Z57*X$4</f>
        <v>#REF!</v>
      </c>
      <c r="AB57" s="50">
        <f>_xlfn.XLOOKUP(FME_Ranking2[[#This Row],[FME ID]],FME_Input[FME_ID],FME_Input[ROADCLS])</f>
        <v>0</v>
      </c>
      <c r="AC57" s="48" t="e">
        <f>FME_Ranking_Option2!$AB57*AB$4</f>
        <v>#REF!</v>
      </c>
      <c r="AD57" s="53">
        <f>_xlfn.XLOOKUP(FME_Ranking2[[#This Row],[FME ID]],FME_Input[FME_ID],FME_Input[ROAD_MILES100])</f>
        <v>408.62750244140619</v>
      </c>
      <c r="AE57" s="54" t="e">
        <f>FME_Ranking_Option2!$AD57*AD$4</f>
        <v>#REF!</v>
      </c>
      <c r="AF57" s="55">
        <f>FME_Ranking_Option2!$AD57/($AD$3)</f>
        <v>9.2297850016241668E-3</v>
      </c>
      <c r="AG57" s="55" t="e">
        <f>FME_Ranking_Option2!$AF57*AD$4</f>
        <v>#REF!</v>
      </c>
      <c r="AH57" s="53">
        <f>_xlfn.XLOOKUP(FME_Ranking2[[#This Row],[FME ID]],FME_Input[FME_ID],FME_Input[FARMACRE100])</f>
        <v>260.88226318359381</v>
      </c>
      <c r="AI57" s="54" t="e">
        <f>FME_Ranking_Option2!$AH57*AH$4</f>
        <v>#REF!</v>
      </c>
      <c r="AJ57" s="56">
        <f>FME_Ranking_Option2!$AH57/($AH$3)</f>
        <v>1.51483737578879E-2</v>
      </c>
      <c r="AK57" s="57" t="e">
        <f>FME_Ranking_Option2!$AJ57*AH$4</f>
        <v>#REF!</v>
      </c>
      <c r="AL57"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7" s="58" t="e">
        <f>_xlfn.RANK.EQ(AL57,$AL$7:$AL$531)+COUNTIF(AL$7:AL57,AL57)-1</f>
        <v>#REF!</v>
      </c>
      <c r="AN57" s="57"/>
      <c r="AO57" s="58" t="e">
        <f>_xlfn.RANK.EQ(AN57,$AN$7:$AN$531)+COUNTIF(AN$7:AN57,AN57)-1</f>
        <v>#N/A</v>
      </c>
      <c r="AP5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7" s="32" t="e">
        <f>FME_Ranking2[[#This Row],[Score Based on Reported Factors]]-FME_Ranking2[[#This Row],[Check]]</f>
        <v>#REF!</v>
      </c>
      <c r="AR57" s="32"/>
      <c r="AT57" s="19"/>
      <c r="AU57" s="19"/>
      <c r="AV57" s="19"/>
      <c r="AW57" s="19"/>
      <c r="AX57" s="19"/>
      <c r="AY57" s="19"/>
      <c r="AZ57" s="19"/>
      <c r="BA57" s="19"/>
      <c r="BB57" s="19"/>
      <c r="BC57" s="19"/>
    </row>
    <row r="58" spans="1:55" ht="12" customHeight="1" x14ac:dyDescent="0.25">
      <c r="A58" s="17" t="s">
        <v>1034</v>
      </c>
      <c r="B58" s="17" t="str">
        <f>_xlfn.XLOOKUP(FME_Ranking2[[#This Row],[FME ID]],FME_Input[FME_ID],FME_Input[FME_NAME])</f>
        <v>Cowart Creek Segment 16</v>
      </c>
      <c r="C58" s="17" t="str">
        <f>_xlfn.XLOOKUP(FME_Ranking2[[#This Row],[FME ID]],FME_Input[FME_ID],FME_Input[DESCR])</f>
        <v>Further study including Atlas 14 rainfall incorporation and Benefit Cost Analysis of proposed channel modifications included in the City of Pearland master drainage plan.</v>
      </c>
      <c r="D58" s="33" t="str">
        <f>_xlfn.XLOOKUP(FME_Ranking2[[#This Row],[FME ID]],FME_Input[FME_ID],FME_Input[EMER_NEED])</f>
        <v>No</v>
      </c>
      <c r="E58" s="120">
        <f>IF(FME_Ranking_Option2!$D58="Yes",100,0)</f>
        <v>0</v>
      </c>
      <c r="F58" s="34" t="str">
        <f>_xlfn.XLOOKUP(FME_Ranking2[[#This Row],[FME ID]],FME_Input[FME_ID],FME_Input[FUND])</f>
        <v>Yes</v>
      </c>
      <c r="G58" s="35">
        <f>IF(FME_Ranking_Option2!$F58="Yes",1,0)</f>
        <v>1</v>
      </c>
      <c r="H58" s="33">
        <f>_xlfn.XLOOKUP(FME_Ranking2[[#This Row],[FME ID]],FME_Input[FME_ID],FME_Input[STRUCT_100])</f>
        <v>150</v>
      </c>
      <c r="I58" s="64" t="e">
        <f>FME_Ranking2[[#This Row],[Raw Data3]]*H$4</f>
        <v>#REF!</v>
      </c>
      <c r="J58" s="63">
        <f>((FME_Ranking_Option2!$H58)/($H$3))*100</f>
        <v>1.6669092945750991E-2</v>
      </c>
      <c r="K58" s="36" t="e">
        <f>FME_Ranking2[[#This Row],[Norm Data3]]*H$4</f>
        <v>#REF!</v>
      </c>
      <c r="L58" s="37">
        <f>_xlfn.XLOOKUP(FME_Ranking2[[#This Row],[FME ID]],FME_Input[FME_ID],FME_Input[RES_STRUCT100])</f>
        <v>123</v>
      </c>
      <c r="M58" s="38" t="e">
        <f>FME_Ranking2[[#This Row],[Raw Data4]]*L$4</f>
        <v>#REF!</v>
      </c>
      <c r="N58" s="28">
        <f>((FME_Ranking_Option2!$L58)/($L$3))*100</f>
        <v>1.8388866214270657E-2</v>
      </c>
      <c r="O58" s="39" t="e">
        <f>FME_Ranking2[[#This Row],[Norm Data4]]*L$4</f>
        <v>#REF!</v>
      </c>
      <c r="P58" s="34">
        <f>_xlfn.XLOOKUP(FME_Ranking2[[#This Row],[FME ID]],FME_Input[FME_ID],FME_Input[POP100])</f>
        <v>313</v>
      </c>
      <c r="Q58" s="35" t="e">
        <f>FME_Ranking_Option2!$P58*P$4</f>
        <v>#REF!</v>
      </c>
      <c r="R58" s="35">
        <f>FME_Ranking_Option2!$P58/($P$3)</f>
        <v>1.1487764613133929E-4</v>
      </c>
      <c r="S58" s="35" t="e">
        <f>FME_Ranking_Option2!$R58*P$4</f>
        <v>#REF!</v>
      </c>
      <c r="T58" s="37">
        <f>_xlfn.XLOOKUP(FME_Ranking2[[#This Row],[FME ID]],FME_Input[FME_ID],FME_Input[CRITFAC100])</f>
        <v>0</v>
      </c>
      <c r="U58" s="35" t="e">
        <f>FME_Ranking_Option2!$T58*T$4</f>
        <v>#REF!</v>
      </c>
      <c r="V58" s="35">
        <f>FME_Ranking_Option2!$T58/($T$3)</f>
        <v>0</v>
      </c>
      <c r="W58" s="35" t="e">
        <f>FME_Ranking_Option2!$V58*T$4</f>
        <v>#REF!</v>
      </c>
      <c r="X58" s="37">
        <f>_xlfn.XLOOKUP(FME_Ranking2[[#This Row],[FME ID]],FME_Input[FME_ID],FME_Input[LWC])</f>
        <v>0</v>
      </c>
      <c r="Y58" s="35" t="e">
        <f>FME_Ranking_Option2!$X58*X$4</f>
        <v>#REF!</v>
      </c>
      <c r="Z58" s="35">
        <f>FME_Ranking_Option2!$X58/($X$3)</f>
        <v>0</v>
      </c>
      <c r="AA58" s="35" t="e">
        <f>FME_Ranking_Option2!$Z58*X$4</f>
        <v>#REF!</v>
      </c>
      <c r="AB58" s="37">
        <f>_xlfn.XLOOKUP(FME_Ranking2[[#This Row],[FME ID]],FME_Input[FME_ID],FME_Input[ROADCLS])</f>
        <v>0</v>
      </c>
      <c r="AC58" s="35" t="e">
        <f>FME_Ranking_Option2!$AB58*AB$4</f>
        <v>#REF!</v>
      </c>
      <c r="AD58" s="40">
        <f>_xlfn.XLOOKUP(FME_Ranking2[[#This Row],[FME ID]],FME_Input[FME_ID],FME_Input[ROAD_MILES100])</f>
        <v>1.100077271461487</v>
      </c>
      <c r="AE58" s="41" t="e">
        <f>FME_Ranking_Option2!$AD58*AD$4</f>
        <v>#REF!</v>
      </c>
      <c r="AF58" s="42">
        <f>FME_Ranking_Option2!$AD58/($AD$3)</f>
        <v>2.4847756551136189E-5</v>
      </c>
      <c r="AG58" s="42" t="e">
        <f>FME_Ranking_Option2!$AF58*AD$4</f>
        <v>#REF!</v>
      </c>
      <c r="AH58" s="40">
        <f>_xlfn.XLOOKUP(FME_Ranking2[[#This Row],[FME ID]],FME_Input[FME_ID],FME_Input[FARMACRE100])</f>
        <v>7.8175020217895508</v>
      </c>
      <c r="AI58" s="43" t="e">
        <f>FME_Ranking_Option2!$AH58*AH$4</f>
        <v>#REF!</v>
      </c>
      <c r="AJ58" s="41">
        <f>FME_Ranking_Option2!$AH58/($AH$3)</f>
        <v>4.539306008541239E-4</v>
      </c>
      <c r="AK58" s="44" t="e">
        <f>FME_Ranking_Option2!$AJ58*AH$4</f>
        <v>#REF!</v>
      </c>
      <c r="AL5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8" s="45" t="e">
        <f>_xlfn.RANK.EQ(AL58,$AL$7:$AL$531)+COUNTIF(AL$7:AL58,AL58)-1</f>
        <v>#REF!</v>
      </c>
      <c r="AN58" s="44"/>
      <c r="AO58" s="45" t="e">
        <f>_xlfn.RANK.EQ(AN58,$AN$7:$AN$531)+COUNTIF(AN$7:AN58,AN58)-1</f>
        <v>#N/A</v>
      </c>
      <c r="AP5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8" s="32" t="e">
        <f>FME_Ranking2[[#This Row],[Score Based on Reported Factors]]-FME_Ranking2[[#This Row],[Check]]</f>
        <v>#REF!</v>
      </c>
      <c r="AR58" s="32"/>
    </row>
    <row r="59" spans="1:55" ht="12" customHeight="1" x14ac:dyDescent="0.25">
      <c r="A59" s="16" t="s">
        <v>993</v>
      </c>
      <c r="B59" s="16" t="str">
        <f>_xlfn.XLOOKUP(FME_Ranking2[[#This Row],[FME ID]],FME_Input[FME_ID],FME_Input[FME_NAME])</f>
        <v xml:space="preserve">City of Galveston Dune Restoration </v>
      </c>
      <c r="C59" s="16" t="str">
        <f>_xlfn.XLOOKUP(FME_Ranking2[[#This Row],[FME ID]],FME_Input[FME_ID],FME_Input[DESCR])</f>
        <v xml:space="preserve">Study of dune system to determine needs and flood damage reduction potential of restoration. </v>
      </c>
      <c r="D59" s="46" t="str">
        <f>_xlfn.XLOOKUP(FME_Ranking2[[#This Row],[FME ID]],FME_Input[FME_ID],FME_Input[EMER_NEED])</f>
        <v>No</v>
      </c>
      <c r="E59" s="121">
        <f>IF(FME_Ranking_Option2!$D59="Yes",100,0)</f>
        <v>0</v>
      </c>
      <c r="F59" s="47" t="str">
        <f>_xlfn.XLOOKUP(FME_Ranking2[[#This Row],[FME ID]],FME_Input[FME_ID],FME_Input[FUND])</f>
        <v>Yes</v>
      </c>
      <c r="G59" s="48">
        <f>IF(FME_Ranking_Option2!$F59="Yes",1,0)</f>
        <v>1</v>
      </c>
      <c r="H59" s="46">
        <f>_xlfn.XLOOKUP(FME_Ranking2[[#This Row],[FME ID]],FME_Input[FME_ID],FME_Input[STRUCT_100])</f>
        <v>21858</v>
      </c>
      <c r="I59" s="65" t="e">
        <f>FME_Ranking2[[#This Row],[Raw Data3]]*H$4</f>
        <v>#REF!</v>
      </c>
      <c r="J59" s="62">
        <f>((FME_Ranking_Option2!$H59)/($H$3))*100</f>
        <v>2.4290202240548346</v>
      </c>
      <c r="K59" s="49" t="e">
        <f>FME_Ranking2[[#This Row],[Norm Data3]]*H$4</f>
        <v>#REF!</v>
      </c>
      <c r="L59" s="50">
        <f>_xlfn.XLOOKUP(FME_Ranking2[[#This Row],[FME ID]],FME_Input[FME_ID],FME_Input[RES_STRUCT100])</f>
        <v>19143</v>
      </c>
      <c r="M59" s="51" t="e">
        <f>FME_Ranking2[[#This Row],[Raw Data4]]*L$4</f>
        <v>#REF!</v>
      </c>
      <c r="N59" s="29">
        <f>((FME_Ranking_Option2!$L59)/($L$3))*100</f>
        <v>2.8619354954453917</v>
      </c>
      <c r="O59" s="52" t="e">
        <f>FME_Ranking2[[#This Row],[Norm Data4]]*L$4</f>
        <v>#REF!</v>
      </c>
      <c r="P59" s="47">
        <f>_xlfn.XLOOKUP(FME_Ranking2[[#This Row],[FME ID]],FME_Input[FME_ID],FME_Input[POP100])</f>
        <v>93583</v>
      </c>
      <c r="Q59" s="48" t="e">
        <f>FME_Ranking_Option2!$P59*P$4</f>
        <v>#REF!</v>
      </c>
      <c r="R59" s="48">
        <f>FME_Ranking_Option2!$P59/($P$3)</f>
        <v>3.4346948108335856E-2</v>
      </c>
      <c r="S59" s="48" t="e">
        <f>FME_Ranking_Option2!$R59*P$4</f>
        <v>#REF!</v>
      </c>
      <c r="T59" s="50">
        <f>_xlfn.XLOOKUP(FME_Ranking2[[#This Row],[FME ID]],FME_Input[FME_ID],FME_Input[CRITFAC100])</f>
        <v>509</v>
      </c>
      <c r="U59" s="48" t="e">
        <f>FME_Ranking_Option2!$T59*T$4</f>
        <v>#REF!</v>
      </c>
      <c r="V59" s="48">
        <f>FME_Ranking_Option2!$T59/($T$3)</f>
        <v>7.1781131011140878E-2</v>
      </c>
      <c r="W59" s="48" t="e">
        <f>FME_Ranking_Option2!$V59*T$4</f>
        <v>#REF!</v>
      </c>
      <c r="X59" s="50">
        <f>_xlfn.XLOOKUP(FME_Ranking2[[#This Row],[FME ID]],FME_Input[FME_ID],FME_Input[LWC])</f>
        <v>0</v>
      </c>
      <c r="Y59" s="48" t="e">
        <f>FME_Ranking_Option2!$X59*X$4</f>
        <v>#REF!</v>
      </c>
      <c r="Z59" s="48">
        <f>FME_Ranking_Option2!$X59/($X$3)</f>
        <v>0</v>
      </c>
      <c r="AA59" s="48" t="e">
        <f>FME_Ranking_Option2!$Z59*X$4</f>
        <v>#REF!</v>
      </c>
      <c r="AB59" s="50">
        <f>_xlfn.XLOOKUP(FME_Ranking2[[#This Row],[FME ID]],FME_Input[FME_ID],FME_Input[ROADCLS])</f>
        <v>0</v>
      </c>
      <c r="AC59" s="48" t="e">
        <f>FME_Ranking_Option2!$AB59*AB$4</f>
        <v>#REF!</v>
      </c>
      <c r="AD59" s="53">
        <f>_xlfn.XLOOKUP(FME_Ranking2[[#This Row],[FME ID]],FME_Input[FME_ID],FME_Input[ROAD_MILES100])</f>
        <v>408.62750244140619</v>
      </c>
      <c r="AE59" s="54" t="e">
        <f>FME_Ranking_Option2!$AD59*AD$4</f>
        <v>#REF!</v>
      </c>
      <c r="AF59" s="55">
        <f>FME_Ranking_Option2!$AD59/($AD$3)</f>
        <v>9.2297850016241668E-3</v>
      </c>
      <c r="AG59" s="55" t="e">
        <f>FME_Ranking_Option2!$AF59*AD$4</f>
        <v>#REF!</v>
      </c>
      <c r="AH59" s="53">
        <f>_xlfn.XLOOKUP(FME_Ranking2[[#This Row],[FME ID]],FME_Input[FME_ID],FME_Input[FARMACRE100])</f>
        <v>260.88226318359381</v>
      </c>
      <c r="AI59" s="54" t="e">
        <f>FME_Ranking_Option2!$AH59*AH$4</f>
        <v>#REF!</v>
      </c>
      <c r="AJ59" s="56">
        <f>FME_Ranking_Option2!$AH59/($AH$3)</f>
        <v>1.51483737578879E-2</v>
      </c>
      <c r="AK59" s="57" t="e">
        <f>FME_Ranking_Option2!$AJ59*AH$4</f>
        <v>#REF!</v>
      </c>
      <c r="AL5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9" s="58" t="e">
        <f>_xlfn.RANK.EQ(AL59,$AL$7:$AL$531)+COUNTIF(AL$7:AL59,AL59)-1</f>
        <v>#REF!</v>
      </c>
      <c r="AN59" s="57"/>
      <c r="AO59" s="58" t="e">
        <f>_xlfn.RANK.EQ(AN59,$AN$7:$AN$531)+COUNTIF(AN$7:AN59,AN59)-1</f>
        <v>#N/A</v>
      </c>
      <c r="AP5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9" s="32" t="e">
        <f>FME_Ranking2[[#This Row],[Score Based on Reported Factors]]-FME_Ranking2[[#This Row],[Check]]</f>
        <v>#REF!</v>
      </c>
      <c r="AR59" s="32"/>
      <c r="AT59" s="19"/>
      <c r="AU59" s="19"/>
      <c r="AV59" s="19"/>
      <c r="AW59" s="19"/>
      <c r="AX59" s="19"/>
      <c r="AY59" s="19"/>
      <c r="AZ59" s="19"/>
      <c r="BA59" s="19"/>
      <c r="BB59" s="19"/>
      <c r="BC59" s="19"/>
    </row>
    <row r="60" spans="1:55" ht="12" customHeight="1" x14ac:dyDescent="0.25">
      <c r="A60" s="17" t="s">
        <v>982</v>
      </c>
      <c r="B60" s="17" t="str">
        <f>_xlfn.XLOOKUP(FME_Ranking2[[#This Row],[FME ID]],FME_Input[FME_ID],FME_Input[FME_NAME])</f>
        <v>City of Hillcrest Village Engineering Survey</v>
      </c>
      <c r="C60" s="17" t="str">
        <f>_xlfn.XLOOKUP(FME_Ranking2[[#This Row],[FME ID]],FME_Input[FME_ID],FME_Input[DESCR])</f>
        <v xml:space="preserve">Conduct an engineering assessment to establish proper drainage for 24 Homes located in the high risk flood Zone. </v>
      </c>
      <c r="D60" s="33" t="str">
        <f>_xlfn.XLOOKUP(FME_Ranking2[[#This Row],[FME ID]],FME_Input[FME_ID],FME_Input[EMER_NEED])</f>
        <v>No</v>
      </c>
      <c r="E60" s="120">
        <f>IF(FME_Ranking_Option2!$D60="Yes",100,0)</f>
        <v>0</v>
      </c>
      <c r="F60" s="34" t="str">
        <f>_xlfn.XLOOKUP(FME_Ranking2[[#This Row],[FME ID]],FME_Input[FME_ID],FME_Input[FUND])</f>
        <v>Yes</v>
      </c>
      <c r="G60" s="35">
        <f>IF(FME_Ranking_Option2!$F60="Yes",1,0)</f>
        <v>1</v>
      </c>
      <c r="H60" s="33">
        <f>_xlfn.XLOOKUP(FME_Ranking2[[#This Row],[FME ID]],FME_Input[FME_ID],FME_Input[STRUCT_100])</f>
        <v>128</v>
      </c>
      <c r="I60" s="64" t="e">
        <f>FME_Ranking2[[#This Row],[Raw Data3]]*H$4</f>
        <v>#REF!</v>
      </c>
      <c r="J60" s="63">
        <f>((FME_Ranking_Option2!$H60)/($H$3))*100</f>
        <v>1.4224292647040847E-2</v>
      </c>
      <c r="K60" s="36" t="e">
        <f>FME_Ranking2[[#This Row],[Norm Data3]]*H$4</f>
        <v>#REF!</v>
      </c>
      <c r="L60" s="37">
        <f>_xlfn.XLOOKUP(FME_Ranking2[[#This Row],[FME ID]],FME_Input[FME_ID],FME_Input[RES_STRUCT100])</f>
        <v>121</v>
      </c>
      <c r="M60" s="38" t="e">
        <f>FME_Ranking2[[#This Row],[Raw Data4]]*L$4</f>
        <v>#REF!</v>
      </c>
      <c r="N60" s="28">
        <f>((FME_Ranking_Option2!$L60)/($L$3))*100</f>
        <v>1.8089860259567069E-2</v>
      </c>
      <c r="O60" s="39" t="e">
        <f>FME_Ranking2[[#This Row],[Norm Data4]]*L$4</f>
        <v>#REF!</v>
      </c>
      <c r="P60" s="34">
        <f>_xlfn.XLOOKUP(FME_Ranking2[[#This Row],[FME ID]],FME_Input[FME_ID],FME_Input[POP100])</f>
        <v>333</v>
      </c>
      <c r="Q60" s="35" t="e">
        <f>FME_Ranking_Option2!$P60*P$4</f>
        <v>#REF!</v>
      </c>
      <c r="R60" s="35">
        <f>FME_Ranking_Option2!$P60/($P$3)</f>
        <v>1.2221807080426832E-4</v>
      </c>
      <c r="S60" s="35" t="e">
        <f>FME_Ranking_Option2!$R60*P$4</f>
        <v>#REF!</v>
      </c>
      <c r="T60" s="37">
        <f>_xlfn.XLOOKUP(FME_Ranking2[[#This Row],[FME ID]],FME_Input[FME_ID],FME_Input[CRITFAC100])</f>
        <v>1</v>
      </c>
      <c r="U60" s="35" t="e">
        <f>FME_Ranking_Option2!$T60*T$4</f>
        <v>#REF!</v>
      </c>
      <c r="V60" s="35">
        <f>FME_Ranking_Option2!$T60/($T$3)</f>
        <v>1.4102383302778171E-4</v>
      </c>
      <c r="W60" s="35" t="e">
        <f>FME_Ranking_Option2!$V60*T$4</f>
        <v>#REF!</v>
      </c>
      <c r="X60" s="37">
        <f>_xlfn.XLOOKUP(FME_Ranking2[[#This Row],[FME ID]],FME_Input[FME_ID],FME_Input[LWC])</f>
        <v>0</v>
      </c>
      <c r="Y60" s="35" t="e">
        <f>FME_Ranking_Option2!$X60*X$4</f>
        <v>#REF!</v>
      </c>
      <c r="Z60" s="35">
        <f>FME_Ranking_Option2!$X60/($X$3)</f>
        <v>0</v>
      </c>
      <c r="AA60" s="35" t="e">
        <f>FME_Ranking_Option2!$Z60*X$4</f>
        <v>#REF!</v>
      </c>
      <c r="AB60" s="37">
        <f>_xlfn.XLOOKUP(FME_Ranking2[[#This Row],[FME ID]],FME_Input[FME_ID],FME_Input[ROADCLS])</f>
        <v>0</v>
      </c>
      <c r="AC60" s="35" t="e">
        <f>FME_Ranking_Option2!$AB60*AB$4</f>
        <v>#REF!</v>
      </c>
      <c r="AD60" s="40">
        <f>_xlfn.XLOOKUP(FME_Ranking2[[#This Row],[FME ID]],FME_Input[FME_ID],FME_Input[ROAD_MILES100])</f>
        <v>2.0717709064483638</v>
      </c>
      <c r="AE60" s="41" t="e">
        <f>FME_Ranking_Option2!$AD60*AD$4</f>
        <v>#REF!</v>
      </c>
      <c r="AF60" s="42">
        <f>FME_Ranking_Option2!$AD60/($AD$3)</f>
        <v>4.6795675584465461E-5</v>
      </c>
      <c r="AG60" s="42" t="e">
        <f>FME_Ranking_Option2!$AF60*AD$4</f>
        <v>#REF!</v>
      </c>
      <c r="AH60" s="40">
        <f>_xlfn.XLOOKUP(FME_Ranking2[[#This Row],[FME ID]],FME_Input[FME_ID],FME_Input[FARMACRE100])</f>
        <v>0.13477444648742681</v>
      </c>
      <c r="AI60" s="43" t="e">
        <f>FME_Ranking_Option2!$AH60*AH$4</f>
        <v>#REF!</v>
      </c>
      <c r="AJ60" s="41">
        <f>FME_Ranking_Option2!$AH60/($AH$3)</f>
        <v>7.8258048802928155E-6</v>
      </c>
      <c r="AK60" s="44" t="e">
        <f>FME_Ranking_Option2!$AJ60*AH$4</f>
        <v>#REF!</v>
      </c>
      <c r="AL6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60" s="45" t="e">
        <f>_xlfn.RANK.EQ(AL60,$AL$7:$AL$531)+COUNTIF(AL$7:AL60,AL60)-1</f>
        <v>#REF!</v>
      </c>
      <c r="AN60" s="44"/>
      <c r="AO60" s="45" t="e">
        <f>_xlfn.RANK.EQ(AN60,$AN$7:$AN$531)+COUNTIF(AN$7:AN60,AN60)-1</f>
        <v>#N/A</v>
      </c>
      <c r="AP6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60" s="32" t="e">
        <f>FME_Ranking2[[#This Row],[Score Based on Reported Factors]]-FME_Ranking2[[#This Row],[Check]]</f>
        <v>#REF!</v>
      </c>
      <c r="AR60" s="32"/>
    </row>
    <row r="61" spans="1:55" ht="12" customHeight="1" x14ac:dyDescent="0.25">
      <c r="A61" s="16" t="s">
        <v>1108</v>
      </c>
      <c r="B61" s="16" t="str">
        <f>_xlfn.XLOOKUP(FME_Ranking2[[#This Row],[FME ID]],FME_Input[FME_ID],FME_Input[FME_NAME])</f>
        <v xml:space="preserve">Dredging Cedar Bayou </v>
      </c>
      <c r="C61" s="16" t="str">
        <f>_xlfn.XLOOKUP(FME_Ranking2[[#This Row],[FME ID]],FME_Input[FME_ID],FME_Input[DESCR])</f>
        <v>Study of proposed Cedar Bayou dredging to determine flood risk reduction potential.</v>
      </c>
      <c r="D61" s="46" t="str">
        <f>_xlfn.XLOOKUP(FME_Ranking2[[#This Row],[FME ID]],FME_Input[FME_ID],FME_Input[EMER_NEED])</f>
        <v>No</v>
      </c>
      <c r="E61" s="121">
        <f>IF(FME_Ranking_Option2!$D61="Yes",100,0)</f>
        <v>0</v>
      </c>
      <c r="F61" s="47" t="str">
        <f>_xlfn.XLOOKUP(FME_Ranking2[[#This Row],[FME ID]],FME_Input[FME_ID],FME_Input[FUND])</f>
        <v>Yes</v>
      </c>
      <c r="G61" s="48">
        <f>IF(FME_Ranking_Option2!$F61="Yes",1,0)</f>
        <v>1</v>
      </c>
      <c r="H61" s="46">
        <f>_xlfn.XLOOKUP(FME_Ranking2[[#This Row],[FME ID]],FME_Input[FME_ID],FME_Input[STRUCT_100])</f>
        <v>119</v>
      </c>
      <c r="I61" s="65" t="e">
        <f>FME_Ranking2[[#This Row],[Raw Data3]]*H$4</f>
        <v>#REF!</v>
      </c>
      <c r="J61" s="62">
        <f>((FME_Ranking_Option2!$H61)/($H$3))*100</f>
        <v>1.3224147070295787E-2</v>
      </c>
      <c r="K61" s="49" t="e">
        <f>FME_Ranking2[[#This Row],[Norm Data3]]*H$4</f>
        <v>#REF!</v>
      </c>
      <c r="L61" s="50">
        <f>_xlfn.XLOOKUP(FME_Ranking2[[#This Row],[FME ID]],FME_Input[FME_ID],FME_Input[RES_STRUCT100])</f>
        <v>44</v>
      </c>
      <c r="M61" s="51" t="e">
        <f>FME_Ranking2[[#This Row],[Raw Data4]]*L$4</f>
        <v>#REF!</v>
      </c>
      <c r="N61" s="29">
        <f>((FME_Ranking_Option2!$L61)/($L$3))*100</f>
        <v>6.5781310034789342E-3</v>
      </c>
      <c r="O61" s="52" t="e">
        <f>FME_Ranking2[[#This Row],[Norm Data4]]*L$4</f>
        <v>#REF!</v>
      </c>
      <c r="P61" s="47">
        <f>_xlfn.XLOOKUP(FME_Ranking2[[#This Row],[FME ID]],FME_Input[FME_ID],FME_Input[POP100])</f>
        <v>735</v>
      </c>
      <c r="Q61" s="48" t="e">
        <f>FME_Ranking_Option2!$P61*P$4</f>
        <v>#REF!</v>
      </c>
      <c r="R61" s="48">
        <f>FME_Ranking_Option2!$P61/($P$3)</f>
        <v>2.6976060673014179E-4</v>
      </c>
      <c r="S61" s="48" t="e">
        <f>FME_Ranking_Option2!$R61*P$4</f>
        <v>#REF!</v>
      </c>
      <c r="T61" s="50">
        <f>_xlfn.XLOOKUP(FME_Ranking2[[#This Row],[FME ID]],FME_Input[FME_ID],FME_Input[CRITFAC100])</f>
        <v>0</v>
      </c>
      <c r="U61" s="48" t="e">
        <f>FME_Ranking_Option2!$T61*T$4</f>
        <v>#REF!</v>
      </c>
      <c r="V61" s="48">
        <f>FME_Ranking_Option2!$T61/($T$3)</f>
        <v>0</v>
      </c>
      <c r="W61" s="48" t="e">
        <f>FME_Ranking_Option2!$V61*T$4</f>
        <v>#REF!</v>
      </c>
      <c r="X61" s="50">
        <f>_xlfn.XLOOKUP(FME_Ranking2[[#This Row],[FME ID]],FME_Input[FME_ID],FME_Input[LWC])</f>
        <v>0</v>
      </c>
      <c r="Y61" s="48" t="e">
        <f>FME_Ranking_Option2!$X61*X$4</f>
        <v>#REF!</v>
      </c>
      <c r="Z61" s="48">
        <f>FME_Ranking_Option2!$X61/($X$3)</f>
        <v>0</v>
      </c>
      <c r="AA61" s="48" t="e">
        <f>FME_Ranking_Option2!$Z61*X$4</f>
        <v>#REF!</v>
      </c>
      <c r="AB61" s="50">
        <f>_xlfn.XLOOKUP(FME_Ranking2[[#This Row],[FME ID]],FME_Input[FME_ID],FME_Input[ROADCLS])</f>
        <v>0</v>
      </c>
      <c r="AC61" s="48" t="e">
        <f>FME_Ranking_Option2!$AB61*AB$4</f>
        <v>#REF!</v>
      </c>
      <c r="AD61" s="53">
        <f>_xlfn.XLOOKUP(FME_Ranking2[[#This Row],[FME ID]],FME_Input[FME_ID],FME_Input[ROAD_MILES100])</f>
        <v>6.2903738021850586</v>
      </c>
      <c r="AE61" s="54" t="e">
        <f>FME_Ranking_Option2!$AD61*AD$4</f>
        <v>#REF!</v>
      </c>
      <c r="AF61" s="55">
        <f>FME_Ranking_Option2!$AD61/($AD$3)</f>
        <v>1.4208245266688182E-4</v>
      </c>
      <c r="AG61" s="55" t="e">
        <f>FME_Ranking_Option2!$AF61*AD$4</f>
        <v>#REF!</v>
      </c>
      <c r="AH61" s="53">
        <f>_xlfn.XLOOKUP(FME_Ranking2[[#This Row],[FME ID]],FME_Input[FME_ID],FME_Input[FARMACRE100])</f>
        <v>341.08370971679688</v>
      </c>
      <c r="AI61" s="54" t="e">
        <f>FME_Ranking_Option2!$AH61*AH$4</f>
        <v>#REF!</v>
      </c>
      <c r="AJ61" s="56">
        <f>FME_Ranking_Option2!$AH61/($AH$3)</f>
        <v>1.9805346114621983E-2</v>
      </c>
      <c r="AK61" s="57" t="e">
        <f>FME_Ranking_Option2!$AJ61*AH$4</f>
        <v>#REF!</v>
      </c>
      <c r="AL6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61" s="58" t="e">
        <f>_xlfn.RANK.EQ(AL61,$AL$7:$AL$531)+COUNTIF(AL$7:AL61,AL61)-1</f>
        <v>#REF!</v>
      </c>
      <c r="AN61" s="57"/>
      <c r="AO61" s="58" t="e">
        <f>_xlfn.RANK.EQ(AN61,$AN$7:$AN$531)+COUNTIF(AN$7:AN61,AN61)-1</f>
        <v>#N/A</v>
      </c>
      <c r="AP6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61" s="32" t="e">
        <f>FME_Ranking2[[#This Row],[Score Based on Reported Factors]]-FME_Ranking2[[#This Row],[Check]]</f>
        <v>#REF!</v>
      </c>
      <c r="AR61" s="32"/>
      <c r="AT61" s="19"/>
      <c r="AU61" s="19"/>
      <c r="AV61" s="19"/>
      <c r="AW61" s="19"/>
      <c r="AX61" s="19"/>
      <c r="AY61" s="19"/>
      <c r="AZ61" s="19"/>
      <c r="BA61" s="19"/>
      <c r="BB61" s="19"/>
      <c r="BC61" s="19"/>
    </row>
    <row r="62" spans="1:55" ht="12" customHeight="1" x14ac:dyDescent="0.25">
      <c r="A62" s="17" t="s">
        <v>974</v>
      </c>
      <c r="B62" s="17" t="str">
        <f>_xlfn.XLOOKUP(FME_Ranking2[[#This Row],[FME ID]],FME_Input[FME_ID],FME_Input[FME_NAME])</f>
        <v>Dam and Levee Failure Inundation Map Update</v>
      </c>
      <c r="C62" s="17" t="str">
        <f>_xlfn.XLOOKUP(FME_Ranking2[[#This Row],[FME ID]],FME_Input[FME_ID],FME_Input[DESCR])</f>
        <v>Study by each jurisdiction to update their dam and levee failure inundation maps to identify the probability and impact of a dam and levee failures.</v>
      </c>
      <c r="D62" s="33" t="str">
        <f>_xlfn.XLOOKUP(FME_Ranking2[[#This Row],[FME ID]],FME_Input[FME_ID],FME_Input[EMER_NEED])</f>
        <v>No</v>
      </c>
      <c r="E62" s="120">
        <f>IF(FME_Ranking_Option2!$D62="Yes",100,0)</f>
        <v>0</v>
      </c>
      <c r="F62" s="34" t="str">
        <f>_xlfn.XLOOKUP(FME_Ranking2[[#This Row],[FME ID]],FME_Input[FME_ID],FME_Input[FUND])</f>
        <v>Yes</v>
      </c>
      <c r="G62" s="35">
        <f>IF(FME_Ranking_Option2!$F62="Yes",1,0)</f>
        <v>1</v>
      </c>
      <c r="H62" s="33">
        <f>_xlfn.XLOOKUP(FME_Ranking2[[#This Row],[FME ID]],FME_Input[FME_ID],FME_Input[STRUCT_100])</f>
        <v>18848</v>
      </c>
      <c r="I62" s="64" t="e">
        <f>FME_Ranking2[[#This Row],[Raw Data3]]*H$4</f>
        <v>#REF!</v>
      </c>
      <c r="J62" s="63">
        <f>((FME_Ranking_Option2!$H62)/($H$3))*100</f>
        <v>2.0945270922767647</v>
      </c>
      <c r="K62" s="36" t="e">
        <f>FME_Ranking2[[#This Row],[Norm Data3]]*H$4</f>
        <v>#REF!</v>
      </c>
      <c r="L62" s="37">
        <f>_xlfn.XLOOKUP(FME_Ranking2[[#This Row],[FME ID]],FME_Input[FME_ID],FME_Input[RES_STRUCT100])</f>
        <v>14344</v>
      </c>
      <c r="M62" s="38" t="e">
        <f>FME_Ranking2[[#This Row],[Raw Data4]]*L$4</f>
        <v>#REF!</v>
      </c>
      <c r="N62" s="28">
        <f>((FME_Ranking_Option2!$L62)/($L$3))*100</f>
        <v>2.1444707071341327</v>
      </c>
      <c r="O62" s="39" t="e">
        <f>FME_Ranking2[[#This Row],[Norm Data4]]*L$4</f>
        <v>#REF!</v>
      </c>
      <c r="P62" s="34">
        <f>_xlfn.XLOOKUP(FME_Ranking2[[#This Row],[FME ID]],FME_Input[FME_ID],FME_Input[POP100])</f>
        <v>65547</v>
      </c>
      <c r="Q62" s="35" t="e">
        <f>FME_Ranking_Option2!$P62*P$4</f>
        <v>#REF!</v>
      </c>
      <c r="R62" s="35">
        <f>FME_Ranking_Option2!$P62/($P$3)</f>
        <v>2.4057140801823949E-2</v>
      </c>
      <c r="S62" s="35" t="e">
        <f>FME_Ranking_Option2!$R62*P$4</f>
        <v>#REF!</v>
      </c>
      <c r="T62" s="37">
        <f>_xlfn.XLOOKUP(FME_Ranking2[[#This Row],[FME ID]],FME_Input[FME_ID],FME_Input[CRITFAC100])</f>
        <v>248</v>
      </c>
      <c r="U62" s="35" t="e">
        <f>FME_Ranking_Option2!$T62*T$4</f>
        <v>#REF!</v>
      </c>
      <c r="V62" s="35">
        <f>FME_Ranking_Option2!$T62/($T$3)</f>
        <v>3.4973910590889862E-2</v>
      </c>
      <c r="W62" s="35" t="e">
        <f>FME_Ranking_Option2!$V62*T$4</f>
        <v>#REF!</v>
      </c>
      <c r="X62" s="37">
        <f>_xlfn.XLOOKUP(FME_Ranking2[[#This Row],[FME ID]],FME_Input[FME_ID],FME_Input[LWC])</f>
        <v>0</v>
      </c>
      <c r="Y62" s="35" t="e">
        <f>FME_Ranking_Option2!$X62*X$4</f>
        <v>#REF!</v>
      </c>
      <c r="Z62" s="35">
        <f>FME_Ranking_Option2!$X62/($X$3)</f>
        <v>0</v>
      </c>
      <c r="AA62" s="35" t="e">
        <f>FME_Ranking_Option2!$Z62*X$4</f>
        <v>#REF!</v>
      </c>
      <c r="AB62" s="37">
        <f>_xlfn.XLOOKUP(FME_Ranking2[[#This Row],[FME ID]],FME_Input[FME_ID],FME_Input[ROADCLS])</f>
        <v>0</v>
      </c>
      <c r="AC62" s="35" t="e">
        <f>FME_Ranking_Option2!$AB62*AB$4</f>
        <v>#REF!</v>
      </c>
      <c r="AD62" s="40">
        <f>_xlfn.XLOOKUP(FME_Ranking2[[#This Row],[FME ID]],FME_Input[FME_ID],FME_Input[ROAD_MILES100])</f>
        <v>328.06332397460938</v>
      </c>
      <c r="AE62" s="41" t="e">
        <f>FME_Ranking_Option2!$AD62*AD$4</f>
        <v>#REF!</v>
      </c>
      <c r="AF62" s="42">
        <f>FME_Ranking_Option2!$AD62/($AD$3)</f>
        <v>7.4100591103458653E-3</v>
      </c>
      <c r="AG62" s="42" t="e">
        <f>FME_Ranking_Option2!$AF62*AD$4</f>
        <v>#REF!</v>
      </c>
      <c r="AH62" s="40">
        <f>_xlfn.XLOOKUP(FME_Ranking2[[#This Row],[FME ID]],FME_Input[FME_ID],FME_Input[FARMACRE100])</f>
        <v>8584.16015625</v>
      </c>
      <c r="AI62" s="43" t="e">
        <f>FME_Ranking_Option2!$AH62*AH$4</f>
        <v>#REF!</v>
      </c>
      <c r="AJ62" s="41">
        <f>FME_Ranking_Option2!$AH62/($AH$3)</f>
        <v>0.49844732584573043</v>
      </c>
      <c r="AK62" s="44" t="e">
        <f>FME_Ranking_Option2!$AJ62*AH$4</f>
        <v>#REF!</v>
      </c>
      <c r="AL62"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62" s="45" t="e">
        <f>_xlfn.RANK.EQ(AL62,$AL$7:$AL$531)+COUNTIF(AL$7:AL62,AL62)-1</f>
        <v>#REF!</v>
      </c>
      <c r="AN62" s="44"/>
      <c r="AO62" s="45" t="e">
        <f>_xlfn.RANK.EQ(AN62,$AN$7:$AN$531)+COUNTIF(AN$7:AN62,AN62)-1</f>
        <v>#N/A</v>
      </c>
      <c r="AP6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62" s="32" t="e">
        <f>FME_Ranking2[[#This Row],[Score Based on Reported Factors]]-FME_Ranking2[[#This Row],[Check]]</f>
        <v>#REF!</v>
      </c>
      <c r="AR62" s="32"/>
    </row>
    <row r="63" spans="1:55" ht="12" customHeight="1" x14ac:dyDescent="0.25">
      <c r="A63" s="16" t="s">
        <v>1036</v>
      </c>
      <c r="B63" s="16" t="str">
        <f>_xlfn.XLOOKUP(FME_Ranking2[[#This Row],[FME ID]],FME_Input[FME_ID],FME_Input[FME_NAME])</f>
        <v>Replace the Tiki Drive bridge with improved, hardened bridge to withstand storm surge and debris.</v>
      </c>
      <c r="C63" s="16" t="str">
        <f>_xlfn.XLOOKUP(FME_Ranking2[[#This Row],[FME ID]],FME_Input[FME_ID],FME_Input[DESCR])</f>
        <v>Further study of proposed Tiki Drive bridge modifications.</v>
      </c>
      <c r="D63" s="46" t="str">
        <f>_xlfn.XLOOKUP(FME_Ranking2[[#This Row],[FME ID]],FME_Input[FME_ID],FME_Input[EMER_NEED])</f>
        <v>No</v>
      </c>
      <c r="E63" s="121">
        <f>IF(FME_Ranking_Option2!$D63="Yes",100,0)</f>
        <v>0</v>
      </c>
      <c r="F63" s="47" t="str">
        <f>_xlfn.XLOOKUP(FME_Ranking2[[#This Row],[FME ID]],FME_Input[FME_ID],FME_Input[FUND])</f>
        <v>Yes</v>
      </c>
      <c r="G63" s="48">
        <f>IF(FME_Ranking_Option2!$F63="Yes",1,0)</f>
        <v>1</v>
      </c>
      <c r="H63" s="46">
        <f>_xlfn.XLOOKUP(FME_Ranking2[[#This Row],[FME ID]],FME_Input[FME_ID],FME_Input[STRUCT_100])</f>
        <v>1006</v>
      </c>
      <c r="I63" s="65" t="e">
        <f>FME_Ranking2[[#This Row],[Raw Data3]]*H$4</f>
        <v>#REF!</v>
      </c>
      <c r="J63" s="62">
        <f>((FME_Ranking_Option2!$H63)/($H$3))*100</f>
        <v>0.11179405002283666</v>
      </c>
      <c r="K63" s="49" t="e">
        <f>FME_Ranking2[[#This Row],[Norm Data3]]*H$4</f>
        <v>#REF!</v>
      </c>
      <c r="L63" s="50">
        <f>_xlfn.XLOOKUP(FME_Ranking2[[#This Row],[FME ID]],FME_Input[FME_ID],FME_Input[RES_STRUCT100])</f>
        <v>978</v>
      </c>
      <c r="M63" s="51" t="e">
        <f>FME_Ranking2[[#This Row],[Raw Data4]]*L$4</f>
        <v>#REF!</v>
      </c>
      <c r="N63" s="29">
        <f>((FME_Ranking_Option2!$L63)/($L$3))*100</f>
        <v>0.1462139118500545</v>
      </c>
      <c r="O63" s="52" t="e">
        <f>FME_Ranking2[[#This Row],[Norm Data4]]*L$4</f>
        <v>#REF!</v>
      </c>
      <c r="P63" s="47">
        <f>_xlfn.XLOOKUP(FME_Ranking2[[#This Row],[FME ID]],FME_Input[FME_ID],FME_Input[POP100])</f>
        <v>1721</v>
      </c>
      <c r="Q63" s="48" t="e">
        <f>FME_Ranking_Option2!$P63*P$4</f>
        <v>#REF!</v>
      </c>
      <c r="R63" s="48">
        <f>FME_Ranking_Option2!$P63/($P$3)</f>
        <v>6.3164354310554283E-4</v>
      </c>
      <c r="S63" s="48" t="e">
        <f>FME_Ranking_Option2!$R63*P$4</f>
        <v>#REF!</v>
      </c>
      <c r="T63" s="50">
        <f>_xlfn.XLOOKUP(FME_Ranking2[[#This Row],[FME ID]],FME_Input[FME_ID],FME_Input[CRITFAC100])</f>
        <v>6</v>
      </c>
      <c r="U63" s="48" t="e">
        <f>FME_Ranking_Option2!$T63*T$4</f>
        <v>#REF!</v>
      </c>
      <c r="V63" s="48">
        <f>FME_Ranking_Option2!$T63/($T$3)</f>
        <v>8.4614299816669018E-4</v>
      </c>
      <c r="W63" s="48" t="e">
        <f>FME_Ranking_Option2!$V63*T$4</f>
        <v>#REF!</v>
      </c>
      <c r="X63" s="50">
        <f>_xlfn.XLOOKUP(FME_Ranking2[[#This Row],[FME ID]],FME_Input[FME_ID],FME_Input[LWC])</f>
        <v>0</v>
      </c>
      <c r="Y63" s="48" t="e">
        <f>FME_Ranking_Option2!$X63*X$4</f>
        <v>#REF!</v>
      </c>
      <c r="Z63" s="48">
        <f>FME_Ranking_Option2!$X63/($X$3)</f>
        <v>0</v>
      </c>
      <c r="AA63" s="48" t="e">
        <f>FME_Ranking_Option2!$Z63*X$4</f>
        <v>#REF!</v>
      </c>
      <c r="AB63" s="50">
        <f>_xlfn.XLOOKUP(FME_Ranking2[[#This Row],[FME ID]],FME_Input[FME_ID],FME_Input[ROADCLS])</f>
        <v>0</v>
      </c>
      <c r="AC63" s="48" t="e">
        <f>FME_Ranking_Option2!$AB63*AB$4</f>
        <v>#REF!</v>
      </c>
      <c r="AD63" s="53">
        <f>_xlfn.XLOOKUP(FME_Ranking2[[#This Row],[FME ID]],FME_Input[FME_ID],FME_Input[ROAD_MILES100])</f>
        <v>9.637364387512207</v>
      </c>
      <c r="AE63" s="54" t="e">
        <f>FME_Ranking_Option2!$AD63*AD$4</f>
        <v>#REF!</v>
      </c>
      <c r="AF63" s="55">
        <f>FME_Ranking_Option2!$AD63/($AD$3)</f>
        <v>2.1768187590800217E-4</v>
      </c>
      <c r="AG63" s="55" t="e">
        <f>FME_Ranking_Option2!$AF63*AD$4</f>
        <v>#REF!</v>
      </c>
      <c r="AH63" s="53">
        <f>_xlfn.XLOOKUP(FME_Ranking2[[#This Row],[FME ID]],FME_Input[FME_ID],FME_Input[FARMACRE100])</f>
        <v>3.9110162258148189</v>
      </c>
      <c r="AI63" s="54" t="e">
        <f>FME_Ranking_Option2!$AH63*AH$4</f>
        <v>#REF!</v>
      </c>
      <c r="AJ63" s="56">
        <f>FME_Ranking_Option2!$AH63/($AH$3)</f>
        <v>2.2709683225997392E-4</v>
      </c>
      <c r="AK63" s="57" t="e">
        <f>FME_Ranking_Option2!$AJ63*AH$4</f>
        <v>#REF!</v>
      </c>
      <c r="AL63"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63" s="58" t="e">
        <f>_xlfn.RANK.EQ(AL63,$AL$7:$AL$531)+COUNTIF(AL$7:AL63,AL63)-1</f>
        <v>#REF!</v>
      </c>
      <c r="AN63" s="57"/>
      <c r="AO63" s="58" t="e">
        <f>_xlfn.RANK.EQ(AN63,$AN$7:$AN$531)+COUNTIF(AN$7:AN63,AN63)-1</f>
        <v>#N/A</v>
      </c>
      <c r="AP6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63" s="32" t="e">
        <f>FME_Ranking2[[#This Row],[Score Based on Reported Factors]]-FME_Ranking2[[#This Row],[Check]]</f>
        <v>#REF!</v>
      </c>
      <c r="AR63" s="32"/>
      <c r="AT63" s="19"/>
      <c r="AU63" s="19"/>
      <c r="AV63" s="19"/>
      <c r="AW63" s="19"/>
      <c r="AX63" s="19"/>
      <c r="AY63" s="19"/>
      <c r="AZ63" s="19"/>
      <c r="BA63" s="19"/>
      <c r="BB63" s="19"/>
      <c r="BC63" s="19"/>
    </row>
    <row r="64" spans="1:55" ht="12" customHeight="1" x14ac:dyDescent="0.25">
      <c r="A64" s="17" t="s">
        <v>1045</v>
      </c>
      <c r="B64" s="17" t="str">
        <f>_xlfn.XLOOKUP(FME_Ranking2[[#This Row],[FME ID]],FME_Input[FME_ID],FME_Input[FME_NAME])</f>
        <v>Stream and River Flood Program</v>
      </c>
      <c r="C64" s="17" t="str">
        <f>_xlfn.XLOOKUP(FME_Ranking2[[#This Row],[FME ID]],FME_Input[FME_ID],FME_Input[DESCR])</f>
        <v>Conduct a flood mitigation outreach program using information from the river and stream flood study to increase awareness of specific riverine flooding problems and provide guidance on mitigation in affected communities.</v>
      </c>
      <c r="D64" s="33" t="str">
        <f>_xlfn.XLOOKUP(FME_Ranking2[[#This Row],[FME ID]],FME_Input[FME_ID],FME_Input[EMER_NEED])</f>
        <v>No</v>
      </c>
      <c r="E64" s="120">
        <f>IF(FME_Ranking_Option2!$D64="Yes",100,0)</f>
        <v>0</v>
      </c>
      <c r="F64" s="34" t="str">
        <f>_xlfn.XLOOKUP(FME_Ranking2[[#This Row],[FME ID]],FME_Input[FME_ID],FME_Input[FUND])</f>
        <v>Yes</v>
      </c>
      <c r="G64" s="35">
        <f>IF(FME_Ranking_Option2!$F64="Yes",1,0)</f>
        <v>1</v>
      </c>
      <c r="H64" s="33">
        <f>_xlfn.XLOOKUP(FME_Ranking2[[#This Row],[FME ID]],FME_Input[FME_ID],FME_Input[STRUCT_100])</f>
        <v>1067</v>
      </c>
      <c r="I64" s="64" t="e">
        <f>FME_Ranking2[[#This Row],[Raw Data3]]*H$4</f>
        <v>#REF!</v>
      </c>
      <c r="J64" s="63">
        <f>((FME_Ranking_Option2!$H64)/($H$3))*100</f>
        <v>0.11857281448744207</v>
      </c>
      <c r="K64" s="36" t="e">
        <f>FME_Ranking2[[#This Row],[Norm Data3]]*H$4</f>
        <v>#REF!</v>
      </c>
      <c r="L64" s="37">
        <f>_xlfn.XLOOKUP(FME_Ranking2[[#This Row],[FME ID]],FME_Input[FME_ID],FME_Input[RES_STRUCT100])</f>
        <v>708</v>
      </c>
      <c r="M64" s="38" t="e">
        <f>FME_Ranking2[[#This Row],[Raw Data4]]*L$4</f>
        <v>#REF!</v>
      </c>
      <c r="N64" s="28">
        <f>((FME_Ranking_Option2!$L64)/($L$3))*100</f>
        <v>0.10584810796507012</v>
      </c>
      <c r="O64" s="39" t="e">
        <f>FME_Ranking2[[#This Row],[Norm Data4]]*L$4</f>
        <v>#REF!</v>
      </c>
      <c r="P64" s="34">
        <f>_xlfn.XLOOKUP(FME_Ranking2[[#This Row],[FME ID]],FME_Input[FME_ID],FME_Input[POP100])</f>
        <v>2410</v>
      </c>
      <c r="Q64" s="35" t="e">
        <f>FME_Ranking_Option2!$P64*P$4</f>
        <v>#REF!</v>
      </c>
      <c r="R64" s="35">
        <f>FME_Ranking_Option2!$P64/($P$3)</f>
        <v>8.8452117308794782E-4</v>
      </c>
      <c r="S64" s="35" t="e">
        <f>FME_Ranking_Option2!$R64*P$4</f>
        <v>#REF!</v>
      </c>
      <c r="T64" s="37">
        <f>_xlfn.XLOOKUP(FME_Ranking2[[#This Row],[FME ID]],FME_Input[FME_ID],FME_Input[CRITFAC100])</f>
        <v>6</v>
      </c>
      <c r="U64" s="35" t="e">
        <f>FME_Ranking_Option2!$T64*T$4</f>
        <v>#REF!</v>
      </c>
      <c r="V64" s="35">
        <f>FME_Ranking_Option2!$T64/($T$3)</f>
        <v>8.4614299816669018E-4</v>
      </c>
      <c r="W64" s="35" t="e">
        <f>FME_Ranking_Option2!$V64*T$4</f>
        <v>#REF!</v>
      </c>
      <c r="X64" s="37">
        <f>_xlfn.XLOOKUP(FME_Ranking2[[#This Row],[FME ID]],FME_Input[FME_ID],FME_Input[LWC])</f>
        <v>19</v>
      </c>
      <c r="Y64" s="35" t="e">
        <f>FME_Ranking_Option2!$X64*X$4</f>
        <v>#REF!</v>
      </c>
      <c r="Z64" s="35">
        <f>FME_Ranking_Option2!$X64/($X$3)</f>
        <v>1.7332603539500092E-3</v>
      </c>
      <c r="AA64" s="35" t="e">
        <f>FME_Ranking_Option2!$Z64*X$4</f>
        <v>#REF!</v>
      </c>
      <c r="AB64" s="37">
        <f>_xlfn.XLOOKUP(FME_Ranking2[[#This Row],[FME ID]],FME_Input[FME_ID],FME_Input[ROADCLS])</f>
        <v>19</v>
      </c>
      <c r="AC64" s="35" t="e">
        <f>FME_Ranking_Option2!$AB64*AB$4</f>
        <v>#REF!</v>
      </c>
      <c r="AD64" s="40">
        <f>_xlfn.XLOOKUP(FME_Ranking2[[#This Row],[FME ID]],FME_Input[FME_ID],FME_Input[ROAD_MILES100])</f>
        <v>40.913829803466797</v>
      </c>
      <c r="AE64" s="41" t="e">
        <f>FME_Ranking_Option2!$AD64*AD$4</f>
        <v>#REF!</v>
      </c>
      <c r="AF64" s="42">
        <f>FME_Ranking_Option2!$AD64/($AD$3)</f>
        <v>9.2413224861973182E-4</v>
      </c>
      <c r="AG64" s="42" t="e">
        <f>FME_Ranking_Option2!$AF64*AD$4</f>
        <v>#REF!</v>
      </c>
      <c r="AH64" s="40">
        <f>_xlfn.XLOOKUP(FME_Ranking2[[#This Row],[FME ID]],FME_Input[FME_ID],FME_Input[FARMACRE100])</f>
        <v>1357.317260742188</v>
      </c>
      <c r="AI64" s="43" t="e">
        <f>FME_Ranking_Option2!$AH64*AH$4</f>
        <v>#REF!</v>
      </c>
      <c r="AJ64" s="41">
        <f>FME_Ranking_Option2!$AH64/($AH$3)</f>
        <v>7.8813902190374291E-2</v>
      </c>
      <c r="AK64" s="44" t="e">
        <f>FME_Ranking_Option2!$AJ64*AH$4</f>
        <v>#REF!</v>
      </c>
      <c r="AL64"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64" s="45" t="e">
        <f>_xlfn.RANK.EQ(AL64,$AL$7:$AL$531)+COUNTIF(AL$7:AL64,AL64)-1</f>
        <v>#REF!</v>
      </c>
      <c r="AN64" s="44"/>
      <c r="AO64" s="45" t="e">
        <f>_xlfn.RANK.EQ(AN64,$AN$7:$AN$531)+COUNTIF(AN$7:AN64,AN64)-1</f>
        <v>#N/A</v>
      </c>
      <c r="AP6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64" s="32" t="e">
        <f>FME_Ranking2[[#This Row],[Score Based on Reported Factors]]-FME_Ranking2[[#This Row],[Check]]</f>
        <v>#REF!</v>
      </c>
      <c r="AR64" s="32"/>
    </row>
    <row r="65" spans="1:55" ht="12" customHeight="1" x14ac:dyDescent="0.25">
      <c r="A65" s="16" t="s">
        <v>1056</v>
      </c>
      <c r="B65" s="16" t="str">
        <f>_xlfn.XLOOKUP(FME_Ranking2[[#This Row],[FME ID]],FME_Input[FME_ID],FME_Input[FME_NAME])</f>
        <v>Liberty County Drainage Projects</v>
      </c>
      <c r="C65" s="16" t="str">
        <f>_xlfn.XLOOKUP(FME_Ranking2[[#This Row],[FME ID]],FME_Input[FME_ID],FME_Input[DESCR])</f>
        <v>Further study of proposed drainage projects throughout the county- including adding ditches, detention ponds and detention basins in identified locations throughout the county in order to improve drainage.</v>
      </c>
      <c r="D65" s="46" t="str">
        <f>_xlfn.XLOOKUP(FME_Ranking2[[#This Row],[FME ID]],FME_Input[FME_ID],FME_Input[EMER_NEED])</f>
        <v>No</v>
      </c>
      <c r="E65" s="121">
        <f>IF(FME_Ranking_Option2!$D65="Yes",100,0)</f>
        <v>0</v>
      </c>
      <c r="F65" s="47" t="str">
        <f>_xlfn.XLOOKUP(FME_Ranking2[[#This Row],[FME ID]],FME_Input[FME_ID],FME_Input[FUND])</f>
        <v>Yes</v>
      </c>
      <c r="G65" s="48">
        <f>IF(FME_Ranking_Option2!$F65="Yes",1,0)</f>
        <v>1</v>
      </c>
      <c r="H65" s="46">
        <f>_xlfn.XLOOKUP(FME_Ranking2[[#This Row],[FME ID]],FME_Input[FME_ID],FME_Input[STRUCT_100])</f>
        <v>3618</v>
      </c>
      <c r="I65" s="65" t="e">
        <f>FME_Ranking2[[#This Row],[Raw Data3]]*H$4</f>
        <v>#REF!</v>
      </c>
      <c r="J65" s="62">
        <f>((FME_Ranking_Option2!$H65)/($H$3))*100</f>
        <v>0.40205852185151392</v>
      </c>
      <c r="K65" s="49" t="e">
        <f>FME_Ranking2[[#This Row],[Norm Data3]]*H$4</f>
        <v>#REF!</v>
      </c>
      <c r="L65" s="50">
        <f>_xlfn.XLOOKUP(FME_Ranking2[[#This Row],[FME ID]],FME_Input[FME_ID],FME_Input[RES_STRUCT100])</f>
        <v>2271</v>
      </c>
      <c r="M65" s="51" t="e">
        <f>FME_Ranking2[[#This Row],[Raw Data4]]*L$4</f>
        <v>#REF!</v>
      </c>
      <c r="N65" s="29">
        <f>((FME_Ranking_Option2!$L65)/($L$3))*100</f>
        <v>0.3395212615659241</v>
      </c>
      <c r="O65" s="52" t="e">
        <f>FME_Ranking2[[#This Row],[Norm Data4]]*L$4</f>
        <v>#REF!</v>
      </c>
      <c r="P65" s="47">
        <f>_xlfn.XLOOKUP(FME_Ranking2[[#This Row],[FME ID]],FME_Input[FME_ID],FME_Input[POP100])</f>
        <v>4854</v>
      </c>
      <c r="Q65" s="48" t="e">
        <f>FME_Ranking_Option2!$P65*P$4</f>
        <v>#REF!</v>
      </c>
      <c r="R65" s="48">
        <f>FME_Ranking_Option2!$P65/($P$3)</f>
        <v>1.7815210681198751E-3</v>
      </c>
      <c r="S65" s="48" t="e">
        <f>FME_Ranking_Option2!$R65*P$4</f>
        <v>#REF!</v>
      </c>
      <c r="T65" s="50">
        <f>_xlfn.XLOOKUP(FME_Ranking2[[#This Row],[FME ID]],FME_Input[FME_ID],FME_Input[CRITFAC100])</f>
        <v>8</v>
      </c>
      <c r="U65" s="48" t="e">
        <f>FME_Ranking_Option2!$T65*T$4</f>
        <v>#REF!</v>
      </c>
      <c r="V65" s="48">
        <f>FME_Ranking_Option2!$T65/($T$3)</f>
        <v>1.1281906642222536E-3</v>
      </c>
      <c r="W65" s="48" t="e">
        <f>FME_Ranking_Option2!$V65*T$4</f>
        <v>#REF!</v>
      </c>
      <c r="X65" s="50">
        <f>_xlfn.XLOOKUP(FME_Ranking2[[#This Row],[FME ID]],FME_Input[FME_ID],FME_Input[LWC])</f>
        <v>7</v>
      </c>
      <c r="Y65" s="48" t="e">
        <f>FME_Ranking_Option2!$X65*X$4</f>
        <v>#REF!</v>
      </c>
      <c r="Z65" s="48">
        <f>FME_Ranking_Option2!$X65/($X$3)</f>
        <v>6.3856960408684551E-4</v>
      </c>
      <c r="AA65" s="48" t="e">
        <f>FME_Ranking_Option2!$Z65*X$4</f>
        <v>#REF!</v>
      </c>
      <c r="AB65" s="50">
        <f>_xlfn.XLOOKUP(FME_Ranking2[[#This Row],[FME ID]],FME_Input[FME_ID],FME_Input[ROADCLS])</f>
        <v>7</v>
      </c>
      <c r="AC65" s="48" t="e">
        <f>FME_Ranking_Option2!$AB65*AB$4</f>
        <v>#REF!</v>
      </c>
      <c r="AD65" s="53">
        <f>_xlfn.XLOOKUP(FME_Ranking2[[#This Row],[FME ID]],FME_Input[FME_ID],FME_Input[ROAD_MILES100])</f>
        <v>144.16850280761719</v>
      </c>
      <c r="AE65" s="54" t="e">
        <f>FME_Ranking_Option2!$AD65*AD$4</f>
        <v>#REF!</v>
      </c>
      <c r="AF65" s="55">
        <f>FME_Ranking_Option2!$AD65/($AD$3)</f>
        <v>3.256374759335148E-3</v>
      </c>
      <c r="AG65" s="55" t="e">
        <f>FME_Ranking_Option2!$AF65*AD$4</f>
        <v>#REF!</v>
      </c>
      <c r="AH65" s="53">
        <f>_xlfn.XLOOKUP(FME_Ranking2[[#This Row],[FME ID]],FME_Input[FME_ID],FME_Input[FARMACRE100])</f>
        <v>1379.477294921875</v>
      </c>
      <c r="AI65" s="54" t="e">
        <f>FME_Ranking_Option2!$AH65*AH$4</f>
        <v>#REF!</v>
      </c>
      <c r="AJ65" s="56">
        <f>FME_Ranking_Option2!$AH65/($AH$3)</f>
        <v>8.0100645398383158E-2</v>
      </c>
      <c r="AK65" s="57" t="e">
        <f>FME_Ranking_Option2!$AJ65*AH$4</f>
        <v>#REF!</v>
      </c>
      <c r="AL65"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65" s="58" t="e">
        <f>_xlfn.RANK.EQ(AL65,$AL$7:$AL$531)+COUNTIF(AL$7:AL65,AL65)-1</f>
        <v>#REF!</v>
      </c>
      <c r="AN65" s="57"/>
      <c r="AO65" s="58" t="e">
        <f>_xlfn.RANK.EQ(AN65,$AN$7:$AN$531)+COUNTIF(AN$7:AN65,AN65)-1</f>
        <v>#N/A</v>
      </c>
      <c r="AP6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65" s="32" t="e">
        <f>FME_Ranking2[[#This Row],[Score Based on Reported Factors]]-FME_Ranking2[[#This Row],[Check]]</f>
        <v>#REF!</v>
      </c>
      <c r="AR65" s="32"/>
      <c r="AT65" s="19"/>
      <c r="AU65" s="19"/>
      <c r="AV65" s="19"/>
      <c r="AW65" s="19"/>
      <c r="AX65" s="19"/>
      <c r="AY65" s="19"/>
      <c r="AZ65" s="19"/>
      <c r="BA65" s="19"/>
      <c r="BB65" s="19"/>
      <c r="BC65" s="19"/>
    </row>
    <row r="66" spans="1:55" ht="12" customHeight="1" x14ac:dyDescent="0.25">
      <c r="A66" s="17" t="s">
        <v>1066</v>
      </c>
      <c r="B66" s="17" t="str">
        <f>_xlfn.XLOOKUP(FME_Ranking2[[#This Row],[FME ID]],FME_Input[FME_ID],FME_Input[FME_NAME])</f>
        <v>City of Bayou Vista Master Drainage Plan</v>
      </c>
      <c r="C66" s="17" t="str">
        <f>_xlfn.XLOOKUP(FME_Ranking2[[#This Row],[FME ID]],FME_Input[FME_ID],FME_Input[DESCR])</f>
        <v>Study to develop Master Drainage Plan using future and existing land use and flood/storm water drainage needs including Atlas 14 rainfall.</v>
      </c>
      <c r="D66" s="33" t="str">
        <f>_xlfn.XLOOKUP(FME_Ranking2[[#This Row],[FME ID]],FME_Input[FME_ID],FME_Input[EMER_NEED])</f>
        <v>Yes</v>
      </c>
      <c r="E66" s="120">
        <f>IF(FME_Ranking_Option2!$D66="Yes",100,0)</f>
        <v>100</v>
      </c>
      <c r="F66" s="34" t="str">
        <f>_xlfn.XLOOKUP(FME_Ranking2[[#This Row],[FME ID]],FME_Input[FME_ID],FME_Input[FUND])</f>
        <v>Yes</v>
      </c>
      <c r="G66" s="35">
        <f>IF(FME_Ranking_Option2!$F66="Yes",1,0)</f>
        <v>1</v>
      </c>
      <c r="H66" s="33">
        <f>_xlfn.XLOOKUP(FME_Ranking2[[#This Row],[FME ID]],FME_Input[FME_ID],FME_Input[STRUCT_100])</f>
        <v>1122</v>
      </c>
      <c r="I66" s="64" t="e">
        <f>FME_Ranking2[[#This Row],[Raw Data3]]*H$4</f>
        <v>#REF!</v>
      </c>
      <c r="J66" s="63">
        <f>((FME_Ranking_Option2!$H66)/($H$3))*100</f>
        <v>0.12468481523421743</v>
      </c>
      <c r="K66" s="36" t="e">
        <f>FME_Ranking2[[#This Row],[Norm Data3]]*H$4</f>
        <v>#REF!</v>
      </c>
      <c r="L66" s="37">
        <f>_xlfn.XLOOKUP(FME_Ranking2[[#This Row],[FME ID]],FME_Input[FME_ID],FME_Input[RES_STRUCT100])</f>
        <v>1095</v>
      </c>
      <c r="M66" s="38" t="e">
        <f>FME_Ranking2[[#This Row],[Raw Data4]]*L$4</f>
        <v>#REF!</v>
      </c>
      <c r="N66" s="28">
        <f>((FME_Ranking_Option2!$L66)/($L$3))*100</f>
        <v>0.16370576020021438</v>
      </c>
      <c r="O66" s="39" t="e">
        <f>FME_Ranking2[[#This Row],[Norm Data4]]*L$4</f>
        <v>#REF!</v>
      </c>
      <c r="P66" s="34">
        <f>_xlfn.XLOOKUP(FME_Ranking2[[#This Row],[FME ID]],FME_Input[FME_ID],FME_Input[POP100])</f>
        <v>1502</v>
      </c>
      <c r="Q66" s="35" t="e">
        <f>FME_Ranking_Option2!$P66*P$4</f>
        <v>#REF!</v>
      </c>
      <c r="R66" s="35">
        <f>FME_Ranking_Option2!$P66/($P$3)</f>
        <v>5.5126589293697003E-4</v>
      </c>
      <c r="S66" s="35" t="e">
        <f>FME_Ranking_Option2!$R66*P$4</f>
        <v>#REF!</v>
      </c>
      <c r="T66" s="37">
        <f>_xlfn.XLOOKUP(FME_Ranking2[[#This Row],[FME ID]],FME_Input[FME_ID],FME_Input[CRITFAC100])</f>
        <v>3</v>
      </c>
      <c r="U66" s="35" t="e">
        <f>FME_Ranking_Option2!$T66*T$4</f>
        <v>#REF!</v>
      </c>
      <c r="V66" s="35">
        <f>FME_Ranking_Option2!$T66/($T$3)</f>
        <v>4.2307149908334509E-4</v>
      </c>
      <c r="W66" s="35" t="e">
        <f>FME_Ranking_Option2!$V66*T$4</f>
        <v>#REF!</v>
      </c>
      <c r="X66" s="37">
        <f>_xlfn.XLOOKUP(FME_Ranking2[[#This Row],[FME ID]],FME_Input[FME_ID],FME_Input[LWC])</f>
        <v>0</v>
      </c>
      <c r="Y66" s="35" t="e">
        <f>FME_Ranking_Option2!$X66*X$4</f>
        <v>#REF!</v>
      </c>
      <c r="Z66" s="35">
        <f>FME_Ranking_Option2!$X66/($X$3)</f>
        <v>0</v>
      </c>
      <c r="AA66" s="35" t="e">
        <f>FME_Ranking_Option2!$Z66*X$4</f>
        <v>#REF!</v>
      </c>
      <c r="AB66" s="37">
        <f>_xlfn.XLOOKUP(FME_Ranking2[[#This Row],[FME ID]],FME_Input[FME_ID],FME_Input[ROADCLS])</f>
        <v>0</v>
      </c>
      <c r="AC66" s="35" t="e">
        <f>FME_Ranking_Option2!$AB66*AB$4</f>
        <v>#REF!</v>
      </c>
      <c r="AD66" s="40">
        <f>_xlfn.XLOOKUP(FME_Ranking2[[#This Row],[FME ID]],FME_Input[FME_ID],FME_Input[ROAD_MILES100])</f>
        <v>7.7089004516601563</v>
      </c>
      <c r="AE66" s="41" t="e">
        <f>FME_Ranking_Option2!$AD66*AD$4</f>
        <v>#REF!</v>
      </c>
      <c r="AF66" s="42">
        <f>FME_Ranking_Option2!$AD66/($AD$3)</f>
        <v>1.741231154110808E-4</v>
      </c>
      <c r="AG66" s="42" t="e">
        <f>FME_Ranking_Option2!$AF66*AD$4</f>
        <v>#REF!</v>
      </c>
      <c r="AH66" s="40">
        <f>_xlfn.XLOOKUP(FME_Ranking2[[#This Row],[FME ID]],FME_Input[FME_ID],FME_Input[FARMACRE100])</f>
        <v>0</v>
      </c>
      <c r="AI66" s="43" t="e">
        <f>FME_Ranking_Option2!$AH66*AH$4</f>
        <v>#REF!</v>
      </c>
      <c r="AJ66" s="41">
        <f>FME_Ranking_Option2!$AH66/($AH$3)</f>
        <v>0</v>
      </c>
      <c r="AK66" s="44" t="e">
        <f>FME_Ranking_Option2!$AJ66*AH$4</f>
        <v>#REF!</v>
      </c>
      <c r="AL66"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66" s="45" t="e">
        <f>_xlfn.RANK.EQ(AL66,$AL$7:$AL$531)+COUNTIF(AL$7:AL66,AL66)-1</f>
        <v>#REF!</v>
      </c>
      <c r="AN66" s="44"/>
      <c r="AO66" s="45" t="e">
        <f>_xlfn.RANK.EQ(AN66,$AN$7:$AN$531)+COUNTIF(AN$7:AN66,AN66)-1</f>
        <v>#N/A</v>
      </c>
      <c r="AP6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66" s="32" t="e">
        <f>FME_Ranking2[[#This Row],[Score Based on Reported Factors]]-FME_Ranking2[[#This Row],[Check]]</f>
        <v>#REF!</v>
      </c>
      <c r="AR66" s="32"/>
    </row>
    <row r="67" spans="1:55" ht="12" customHeight="1" x14ac:dyDescent="0.25">
      <c r="A67" s="16" t="s">
        <v>1070</v>
      </c>
      <c r="B67" s="16" t="str">
        <f>_xlfn.XLOOKUP(FME_Ranking2[[#This Row],[FME ID]],FME_Input[FME_ID],FME_Input[FME_NAME])</f>
        <v>Cane Island Branch- Alt 2</v>
      </c>
      <c r="C67" s="16" t="str">
        <f>_xlfn.XLOOKUP(FME_Ranking2[[#This Row],[FME ID]],FME_Input[FME_ID],FME_Input[DESCR])</f>
        <v>Further study and FMP development of proposed channel modifications to Cane Island Branch including Atlas 14 rainfall.</v>
      </c>
      <c r="D67" s="46" t="str">
        <f>_xlfn.XLOOKUP(FME_Ranking2[[#This Row],[FME ID]],FME_Input[FME_ID],FME_Input[EMER_NEED])</f>
        <v>No</v>
      </c>
      <c r="E67" s="121">
        <f>IF(FME_Ranking_Option2!$D67="Yes",100,0)</f>
        <v>0</v>
      </c>
      <c r="F67" s="47" t="str">
        <f>_xlfn.XLOOKUP(FME_Ranking2[[#This Row],[FME ID]],FME_Input[FME_ID],FME_Input[FUND])</f>
        <v>Yes</v>
      </c>
      <c r="G67" s="48">
        <f>IF(FME_Ranking_Option2!$F67="Yes",1,0)</f>
        <v>1</v>
      </c>
      <c r="H67" s="46">
        <f>_xlfn.XLOOKUP(FME_Ranking2[[#This Row],[FME ID]],FME_Input[FME_ID],FME_Input[STRUCT_100])</f>
        <v>546</v>
      </c>
      <c r="I67" s="65" t="e">
        <f>FME_Ranking2[[#This Row],[Raw Data3]]*H$4</f>
        <v>#REF!</v>
      </c>
      <c r="J67" s="62">
        <f>((FME_Ranking_Option2!$H67)/($H$3))*100</f>
        <v>6.0675498322533612E-2</v>
      </c>
      <c r="K67" s="49" t="e">
        <f>FME_Ranking2[[#This Row],[Norm Data3]]*H$4</f>
        <v>#REF!</v>
      </c>
      <c r="L67" s="50">
        <f>_xlfn.XLOOKUP(FME_Ranking2[[#This Row],[FME ID]],FME_Input[FME_ID],FME_Input[RES_STRUCT100])</f>
        <v>444</v>
      </c>
      <c r="M67" s="51" t="e">
        <f>FME_Ranking2[[#This Row],[Raw Data4]]*L$4</f>
        <v>#REF!</v>
      </c>
      <c r="N67" s="29">
        <f>((FME_Ranking_Option2!$L67)/($L$3))*100</f>
        <v>6.6379321944196518E-2</v>
      </c>
      <c r="O67" s="52" t="e">
        <f>FME_Ranking2[[#This Row],[Norm Data4]]*L$4</f>
        <v>#REF!</v>
      </c>
      <c r="P67" s="47">
        <f>_xlfn.XLOOKUP(FME_Ranking2[[#This Row],[FME ID]],FME_Input[FME_ID],FME_Input[POP100])</f>
        <v>2216</v>
      </c>
      <c r="Q67" s="48" t="e">
        <f>FME_Ranking_Option2!$P67*P$4</f>
        <v>#REF!</v>
      </c>
      <c r="R67" s="48">
        <f>FME_Ranking_Option2!$P67/($P$3)</f>
        <v>8.1331905376053623E-4</v>
      </c>
      <c r="S67" s="48" t="e">
        <f>FME_Ranking_Option2!$R67*P$4</f>
        <v>#REF!</v>
      </c>
      <c r="T67" s="50">
        <f>_xlfn.XLOOKUP(FME_Ranking2[[#This Row],[FME ID]],FME_Input[FME_ID],FME_Input[CRITFAC100])</f>
        <v>8</v>
      </c>
      <c r="U67" s="48" t="e">
        <f>FME_Ranking_Option2!$T67*T$4</f>
        <v>#REF!</v>
      </c>
      <c r="V67" s="48">
        <f>FME_Ranking_Option2!$T67/($T$3)</f>
        <v>1.1281906642222536E-3</v>
      </c>
      <c r="W67" s="48" t="e">
        <f>FME_Ranking_Option2!$V67*T$4</f>
        <v>#REF!</v>
      </c>
      <c r="X67" s="50">
        <f>_xlfn.XLOOKUP(FME_Ranking2[[#This Row],[FME ID]],FME_Input[FME_ID],FME_Input[LWC])</f>
        <v>4</v>
      </c>
      <c r="Y67" s="48" t="e">
        <f>FME_Ranking_Option2!$X67*X$4</f>
        <v>#REF!</v>
      </c>
      <c r="Z67" s="48">
        <f>FME_Ranking_Option2!$X67/($X$3)</f>
        <v>3.6489691662105453E-4</v>
      </c>
      <c r="AA67" s="48" t="e">
        <f>FME_Ranking_Option2!$Z67*X$4</f>
        <v>#REF!</v>
      </c>
      <c r="AB67" s="50">
        <f>_xlfn.XLOOKUP(FME_Ranking2[[#This Row],[FME ID]],FME_Input[FME_ID],FME_Input[ROADCLS])</f>
        <v>4</v>
      </c>
      <c r="AC67" s="48" t="e">
        <f>FME_Ranking_Option2!$AB67*AB$4</f>
        <v>#REF!</v>
      </c>
      <c r="AD67" s="53">
        <f>_xlfn.XLOOKUP(FME_Ranking2[[#This Row],[FME ID]],FME_Input[FME_ID],FME_Input[ROAD_MILES100])</f>
        <v>10.02671051025391</v>
      </c>
      <c r="AE67" s="54" t="e">
        <f>FME_Ranking_Option2!$AD67*AD$4</f>
        <v>#REF!</v>
      </c>
      <c r="AF67" s="55">
        <f>FME_Ranking_Option2!$AD67/($AD$3)</f>
        <v>2.2647614693149302E-4</v>
      </c>
      <c r="AG67" s="55" t="e">
        <f>FME_Ranking_Option2!$AF67*AD$4</f>
        <v>#REF!</v>
      </c>
      <c r="AH67" s="53">
        <f>_xlfn.XLOOKUP(FME_Ranking2[[#This Row],[FME ID]],FME_Input[FME_ID],FME_Input[FARMACRE100])</f>
        <v>21.652620315551761</v>
      </c>
      <c r="AI67" s="54" t="e">
        <f>FME_Ranking_Option2!$AH67*AH$4</f>
        <v>#REF!</v>
      </c>
      <c r="AJ67" s="56">
        <f>FME_Ranking_Option2!$AH67/($AH$3)</f>
        <v>1.2572797451806293E-3</v>
      </c>
      <c r="AK67" s="57" t="e">
        <f>FME_Ranking_Option2!$AJ67*AH$4</f>
        <v>#REF!</v>
      </c>
      <c r="AL67"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67" s="58" t="e">
        <f>_xlfn.RANK.EQ(AL67,$AL$7:$AL$531)+COUNTIF(AL$7:AL67,AL67)-1</f>
        <v>#REF!</v>
      </c>
      <c r="AN67" s="57"/>
      <c r="AO67" s="58" t="e">
        <f>_xlfn.RANK.EQ(AN67,$AN$7:$AN$531)+COUNTIF(AN$7:AN67,AN67)-1</f>
        <v>#N/A</v>
      </c>
      <c r="AP6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67" s="32" t="e">
        <f>FME_Ranking2[[#This Row],[Score Based on Reported Factors]]-FME_Ranking2[[#This Row],[Check]]</f>
        <v>#REF!</v>
      </c>
      <c r="AR67" s="32"/>
      <c r="AT67" s="19"/>
      <c r="AU67" s="19"/>
      <c r="AV67" s="19"/>
      <c r="AW67" s="19"/>
      <c r="AX67" s="19"/>
      <c r="AY67" s="19"/>
      <c r="AZ67" s="19"/>
      <c r="BA67" s="19"/>
      <c r="BB67" s="19"/>
      <c r="BC67" s="19"/>
    </row>
    <row r="68" spans="1:55" ht="12" customHeight="1" x14ac:dyDescent="0.25">
      <c r="A68" s="17" t="s">
        <v>1078</v>
      </c>
      <c r="B68" s="17" t="str">
        <f>_xlfn.XLOOKUP(FME_Ranking2[[#This Row],[FME ID]],FME_Input[FME_ID],FME_Input[FME_NAME])</f>
        <v>Property Protection, Structural Project</v>
      </c>
      <c r="C68" s="17" t="str">
        <f>_xlfn.XLOOKUP(FME_Ranking2[[#This Row],[FME ID]],FME_Input[FME_ID],FME_Input[DESCR])</f>
        <v>Generate base flood elevation data for flood map revisions. Use floodplain study to identify future mitigation activities to improve water ways and flood carrying capacities. Area to include approximately 4 miles of floodway in New Waverly.</v>
      </c>
      <c r="D68" s="33" t="str">
        <f>_xlfn.XLOOKUP(FME_Ranking2[[#This Row],[FME ID]],FME_Input[FME_ID],FME_Input[EMER_NEED])</f>
        <v>No</v>
      </c>
      <c r="E68" s="120">
        <f>IF(FME_Ranking_Option2!$D68="Yes",100,0)</f>
        <v>0</v>
      </c>
      <c r="F68" s="34" t="str">
        <f>_xlfn.XLOOKUP(FME_Ranking2[[#This Row],[FME ID]],FME_Input[FME_ID],FME_Input[FUND])</f>
        <v>Yes</v>
      </c>
      <c r="G68" s="35">
        <f>IF(FME_Ranking_Option2!$F68="Yes",1,0)</f>
        <v>1</v>
      </c>
      <c r="H68" s="33">
        <f>_xlfn.XLOOKUP(FME_Ranking2[[#This Row],[FME ID]],FME_Input[FME_ID],FME_Input[STRUCT_100])</f>
        <v>23</v>
      </c>
      <c r="I68" s="64" t="e">
        <f>FME_Ranking2[[#This Row],[Raw Data3]]*H$4</f>
        <v>#REF!</v>
      </c>
      <c r="J68" s="63">
        <f>((FME_Ranking_Option2!$H68)/($H$3))*100</f>
        <v>2.5559275850151521E-3</v>
      </c>
      <c r="K68" s="36" t="e">
        <f>FME_Ranking2[[#This Row],[Norm Data3]]*H$4</f>
        <v>#REF!</v>
      </c>
      <c r="L68" s="37">
        <f>_xlfn.XLOOKUP(FME_Ranking2[[#This Row],[FME ID]],FME_Input[FME_ID],FME_Input[RES_STRUCT100])</f>
        <v>18</v>
      </c>
      <c r="M68" s="38" t="e">
        <f>FME_Ranking2[[#This Row],[Raw Data4]]*L$4</f>
        <v>#REF!</v>
      </c>
      <c r="N68" s="28">
        <f>((FME_Ranking_Option2!$L68)/($L$3))*100</f>
        <v>2.6910535923322914E-3</v>
      </c>
      <c r="O68" s="39" t="e">
        <f>FME_Ranking2[[#This Row],[Norm Data4]]*L$4</f>
        <v>#REF!</v>
      </c>
      <c r="P68" s="34">
        <f>_xlfn.XLOOKUP(FME_Ranking2[[#This Row],[FME ID]],FME_Input[FME_ID],FME_Input[POP100])</f>
        <v>19</v>
      </c>
      <c r="Q68" s="35" t="e">
        <f>FME_Ranking_Option2!$P68*P$4</f>
        <v>#REF!</v>
      </c>
      <c r="R68" s="35">
        <f>FME_Ranking_Option2!$P68/($P$3)</f>
        <v>6.9734034392825764E-6</v>
      </c>
      <c r="S68" s="35" t="e">
        <f>FME_Ranking_Option2!$R68*P$4</f>
        <v>#REF!</v>
      </c>
      <c r="T68" s="37">
        <f>_xlfn.XLOOKUP(FME_Ranking2[[#This Row],[FME ID]],FME_Input[FME_ID],FME_Input[CRITFAC100])</f>
        <v>0</v>
      </c>
      <c r="U68" s="35" t="e">
        <f>FME_Ranking_Option2!$T68*T$4</f>
        <v>#REF!</v>
      </c>
      <c r="V68" s="35">
        <f>FME_Ranking_Option2!$T68/($T$3)</f>
        <v>0</v>
      </c>
      <c r="W68" s="35" t="e">
        <f>FME_Ranking_Option2!$V68*T$4</f>
        <v>#REF!</v>
      </c>
      <c r="X68" s="37">
        <f>_xlfn.XLOOKUP(FME_Ranking2[[#This Row],[FME ID]],FME_Input[FME_ID],FME_Input[LWC])</f>
        <v>0</v>
      </c>
      <c r="Y68" s="35" t="e">
        <f>FME_Ranking_Option2!$X68*X$4</f>
        <v>#REF!</v>
      </c>
      <c r="Z68" s="35">
        <f>FME_Ranking_Option2!$X68/($X$3)</f>
        <v>0</v>
      </c>
      <c r="AA68" s="35" t="e">
        <f>FME_Ranking_Option2!$Z68*X$4</f>
        <v>#REF!</v>
      </c>
      <c r="AB68" s="37">
        <f>_xlfn.XLOOKUP(FME_Ranking2[[#This Row],[FME ID]],FME_Input[FME_ID],FME_Input[ROADCLS])</f>
        <v>0</v>
      </c>
      <c r="AC68" s="35" t="e">
        <f>FME_Ranking_Option2!$AB68*AB$4</f>
        <v>#REF!</v>
      </c>
      <c r="AD68" s="40">
        <f>_xlfn.XLOOKUP(FME_Ranking2[[#This Row],[FME ID]],FME_Input[FME_ID],FME_Input[ROAD_MILES100])</f>
        <v>0.47710961103439331</v>
      </c>
      <c r="AE68" s="41" t="e">
        <f>FME_Ranking_Option2!$AD68*AD$4</f>
        <v>#REF!</v>
      </c>
      <c r="AF68" s="42">
        <f>FME_Ranking_Option2!$AD68/($AD$3)</f>
        <v>1.0776609762548779E-5</v>
      </c>
      <c r="AG68" s="42" t="e">
        <f>FME_Ranking_Option2!$AF68*AD$4</f>
        <v>#REF!</v>
      </c>
      <c r="AH68" s="40">
        <f>_xlfn.XLOOKUP(FME_Ranking2[[#This Row],[FME ID]],FME_Input[FME_ID],FME_Input[FARMACRE100])</f>
        <v>0.88808619976043701</v>
      </c>
      <c r="AI68" s="43" t="e">
        <f>FME_Ranking_Option2!$AH68*AH$4</f>
        <v>#REF!</v>
      </c>
      <c r="AJ68" s="41">
        <f>FME_Ranking_Option2!$AH68/($AH$3)</f>
        <v>5.1567559706908516E-5</v>
      </c>
      <c r="AK68" s="44" t="e">
        <f>FME_Ranking_Option2!$AJ68*AH$4</f>
        <v>#REF!</v>
      </c>
      <c r="AL6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68" s="45" t="e">
        <f>_xlfn.RANK.EQ(AL68,$AL$7:$AL$531)+COUNTIF(AL$7:AL68,AL68)-1</f>
        <v>#REF!</v>
      </c>
      <c r="AN68" s="44"/>
      <c r="AO68" s="45" t="e">
        <f>_xlfn.RANK.EQ(AN68,$AN$7:$AN$531)+COUNTIF(AN$7:AN68,AN68)-1</f>
        <v>#N/A</v>
      </c>
      <c r="AP6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68" s="32" t="e">
        <f>FME_Ranking2[[#This Row],[Score Based on Reported Factors]]-FME_Ranking2[[#This Row],[Check]]</f>
        <v>#REF!</v>
      </c>
      <c r="AR68" s="32"/>
    </row>
    <row r="69" spans="1:55" ht="12" customHeight="1" x14ac:dyDescent="0.25">
      <c r="A69" s="16" t="s">
        <v>1089</v>
      </c>
      <c r="B69" s="16" t="str">
        <f>_xlfn.XLOOKUP(FME_Ranking2[[#This Row],[FME ID]],FME_Input[FME_ID],FME_Input[FME_NAME])</f>
        <v>City of La Maque - East Side Storm water detention</v>
      </c>
      <c r="C69" s="16" t="str">
        <f>_xlfn.XLOOKUP(FME_Ranking2[[#This Row],[FME ID]],FME_Input[FME_ID],FME_Input[DESCR])</f>
        <v>Feasibility study and a drainage analysis of the new pond row acquisition and associated conveyance improvements on a part of 10 acres of land.</v>
      </c>
      <c r="D69" s="46" t="str">
        <f>_xlfn.XLOOKUP(FME_Ranking2[[#This Row],[FME ID]],FME_Input[FME_ID],FME_Input[EMER_NEED])</f>
        <v>No</v>
      </c>
      <c r="E69" s="121">
        <f>IF(FME_Ranking_Option2!$D69="Yes",100,0)</f>
        <v>0</v>
      </c>
      <c r="F69" s="47" t="str">
        <f>_xlfn.XLOOKUP(FME_Ranking2[[#This Row],[FME ID]],FME_Input[FME_ID],FME_Input[FUND])</f>
        <v>Yes</v>
      </c>
      <c r="G69" s="48">
        <f>IF(FME_Ranking_Option2!$F69="Yes",1,0)</f>
        <v>1</v>
      </c>
      <c r="H69" s="46">
        <f>_xlfn.XLOOKUP(FME_Ranking2[[#This Row],[FME ID]],FME_Input[FME_ID],FME_Input[STRUCT_100])</f>
        <v>829</v>
      </c>
      <c r="I69" s="65" t="e">
        <f>FME_Ranking2[[#This Row],[Raw Data3]]*H$4</f>
        <v>#REF!</v>
      </c>
      <c r="J69" s="62">
        <f>((FME_Ranking_Option2!$H69)/($H$3))*100</f>
        <v>9.212452034685048E-2</v>
      </c>
      <c r="K69" s="49" t="e">
        <f>FME_Ranking2[[#This Row],[Norm Data3]]*H$4</f>
        <v>#REF!</v>
      </c>
      <c r="L69" s="50">
        <f>_xlfn.XLOOKUP(FME_Ranking2[[#This Row],[FME ID]],FME_Input[FME_ID],FME_Input[RES_STRUCT100])</f>
        <v>767</v>
      </c>
      <c r="M69" s="51" t="e">
        <f>FME_Ranking2[[#This Row],[Raw Data4]]*L$4</f>
        <v>#REF!</v>
      </c>
      <c r="N69" s="29">
        <f>((FME_Ranking_Option2!$L69)/($L$3))*100</f>
        <v>0.11466878362882597</v>
      </c>
      <c r="O69" s="52" t="e">
        <f>FME_Ranking2[[#This Row],[Norm Data4]]*L$4</f>
        <v>#REF!</v>
      </c>
      <c r="P69" s="47">
        <f>_xlfn.XLOOKUP(FME_Ranking2[[#This Row],[FME ID]],FME_Input[FME_ID],FME_Input[POP100])</f>
        <v>1612</v>
      </c>
      <c r="Q69" s="48" t="e">
        <f>FME_Ranking_Option2!$P69*P$4</f>
        <v>#REF!</v>
      </c>
      <c r="R69" s="48">
        <f>FME_Ranking_Option2!$P69/($P$3)</f>
        <v>5.9163822863807962E-4</v>
      </c>
      <c r="S69" s="48" t="e">
        <f>FME_Ranking_Option2!$R69*P$4</f>
        <v>#REF!</v>
      </c>
      <c r="T69" s="50">
        <f>_xlfn.XLOOKUP(FME_Ranking2[[#This Row],[FME ID]],FME_Input[FME_ID],FME_Input[CRITFAC100])</f>
        <v>8</v>
      </c>
      <c r="U69" s="48" t="e">
        <f>FME_Ranking_Option2!$T69*T$4</f>
        <v>#REF!</v>
      </c>
      <c r="V69" s="48">
        <f>FME_Ranking_Option2!$T69/($T$3)</f>
        <v>1.1281906642222536E-3</v>
      </c>
      <c r="W69" s="48" t="e">
        <f>FME_Ranking_Option2!$V69*T$4</f>
        <v>#REF!</v>
      </c>
      <c r="X69" s="50">
        <f>_xlfn.XLOOKUP(FME_Ranking2[[#This Row],[FME ID]],FME_Input[FME_ID],FME_Input[LWC])</f>
        <v>1</v>
      </c>
      <c r="Y69" s="48" t="e">
        <f>FME_Ranking_Option2!$X69*X$4</f>
        <v>#REF!</v>
      </c>
      <c r="Z69" s="48">
        <f>FME_Ranking_Option2!$X69/($X$3)</f>
        <v>9.1224229155263632E-5</v>
      </c>
      <c r="AA69" s="48" t="e">
        <f>FME_Ranking_Option2!$Z69*X$4</f>
        <v>#REF!</v>
      </c>
      <c r="AB69" s="50">
        <f>_xlfn.XLOOKUP(FME_Ranking2[[#This Row],[FME ID]],FME_Input[FME_ID],FME_Input[ROADCLS])</f>
        <v>1</v>
      </c>
      <c r="AC69" s="48" t="e">
        <f>FME_Ranking_Option2!$AB69*AB$4</f>
        <v>#REF!</v>
      </c>
      <c r="AD69" s="53">
        <f>_xlfn.XLOOKUP(FME_Ranking2[[#This Row],[FME ID]],FME_Input[FME_ID],FME_Input[ROAD_MILES100])</f>
        <v>31.114070892333981</v>
      </c>
      <c r="AE69" s="54" t="e">
        <f>FME_Ranking_Option2!$AD69*AD$4</f>
        <v>#REF!</v>
      </c>
      <c r="AF69" s="55">
        <f>FME_Ranking_Option2!$AD69/($AD$3)</f>
        <v>7.0278232166400478E-4</v>
      </c>
      <c r="AG69" s="55" t="e">
        <f>FME_Ranking_Option2!$AF69*AD$4</f>
        <v>#REF!</v>
      </c>
      <c r="AH69" s="53">
        <f>_xlfn.XLOOKUP(FME_Ranking2[[#This Row],[FME ID]],FME_Input[FME_ID],FME_Input[FARMACRE100])</f>
        <v>37.849395751953118</v>
      </c>
      <c r="AI69" s="54" t="e">
        <f>FME_Ranking_Option2!$AH69*AH$4</f>
        <v>#REF!</v>
      </c>
      <c r="AJ69" s="56">
        <f>FME_Ranking_Option2!$AH69/($AH$3)</f>
        <v>2.1977607306990629E-3</v>
      </c>
      <c r="AK69" s="57" t="e">
        <f>FME_Ranking_Option2!$AJ69*AH$4</f>
        <v>#REF!</v>
      </c>
      <c r="AL6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69" s="58" t="e">
        <f>_xlfn.RANK.EQ(AL69,$AL$7:$AL$531)+COUNTIF(AL$7:AL69,AL69)-1</f>
        <v>#REF!</v>
      </c>
      <c r="AN69" s="57"/>
      <c r="AO69" s="58" t="e">
        <f>_xlfn.RANK.EQ(AN69,$AN$7:$AN$531)+COUNTIF(AN$7:AN69,AN69)-1</f>
        <v>#N/A</v>
      </c>
      <c r="AP6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69" s="32" t="e">
        <f>FME_Ranking2[[#This Row],[Score Based on Reported Factors]]-FME_Ranking2[[#This Row],[Check]]</f>
        <v>#REF!</v>
      </c>
      <c r="AR69" s="32"/>
      <c r="AT69" s="19"/>
      <c r="AU69" s="19"/>
      <c r="AV69" s="19"/>
      <c r="AW69" s="19"/>
      <c r="AX69" s="19"/>
      <c r="AY69" s="19"/>
      <c r="AZ69" s="19"/>
      <c r="BA69" s="19"/>
      <c r="BB69" s="19"/>
      <c r="BC69" s="19"/>
    </row>
    <row r="70" spans="1:55" ht="12" customHeight="1" x14ac:dyDescent="0.25">
      <c r="A70" s="17" t="s">
        <v>1094</v>
      </c>
      <c r="B70" s="17" t="str">
        <f>_xlfn.XLOOKUP(FME_Ranking2[[#This Row],[FME ID]],FME_Input[FME_ID],FME_Input[FME_NAME])</f>
        <v>City of League City - Kansas Street Drainage</v>
      </c>
      <c r="C70" s="17" t="str">
        <f>_xlfn.XLOOKUP(FME_Ranking2[[#This Row],[FME ID]],FME_Input[FME_ID],FME_Input[DESCR])</f>
        <v>Further study and FMP development of proposed street drainage modifications to Kansas Street.</v>
      </c>
      <c r="D70" s="33" t="str">
        <f>_xlfn.XLOOKUP(FME_Ranking2[[#This Row],[FME ID]],FME_Input[FME_ID],FME_Input[EMER_NEED])</f>
        <v>No</v>
      </c>
      <c r="E70" s="120">
        <f>IF(FME_Ranking_Option2!$D70="Yes",100,0)</f>
        <v>0</v>
      </c>
      <c r="F70" s="34" t="str">
        <f>_xlfn.XLOOKUP(FME_Ranking2[[#This Row],[FME ID]],FME_Input[FME_ID],FME_Input[FUND])</f>
        <v>Yes</v>
      </c>
      <c r="G70" s="35">
        <f>IF(FME_Ranking_Option2!$F70="Yes",1,0)</f>
        <v>1</v>
      </c>
      <c r="H70" s="33">
        <f>_xlfn.XLOOKUP(FME_Ranking2[[#This Row],[FME ID]],FME_Input[FME_ID],FME_Input[STRUCT_100])</f>
        <v>5251</v>
      </c>
      <c r="I70" s="64" t="e">
        <f>FME_Ranking2[[#This Row],[Raw Data3]]*H$4</f>
        <v>#REF!</v>
      </c>
      <c r="J70" s="63">
        <f>((FME_Ranking_Option2!$H70)/($H$3))*100</f>
        <v>0.58352938038758972</v>
      </c>
      <c r="K70" s="36" t="e">
        <f>FME_Ranking2[[#This Row],[Norm Data3]]*H$4</f>
        <v>#REF!</v>
      </c>
      <c r="L70" s="37">
        <f>_xlfn.XLOOKUP(FME_Ranking2[[#This Row],[FME ID]],FME_Input[FME_ID],FME_Input[RES_STRUCT100])</f>
        <v>4835</v>
      </c>
      <c r="M70" s="38" t="e">
        <f>FME_Ranking2[[#This Row],[Raw Data4]]*L$4</f>
        <v>#REF!</v>
      </c>
      <c r="N70" s="28">
        <f>((FME_Ranking_Option2!$L70)/($L$3))*100</f>
        <v>0.72284689549592374</v>
      </c>
      <c r="O70" s="39" t="e">
        <f>FME_Ranking2[[#This Row],[Norm Data4]]*L$4</f>
        <v>#REF!</v>
      </c>
      <c r="P70" s="34">
        <f>_xlfn.XLOOKUP(FME_Ranking2[[#This Row],[FME ID]],FME_Input[FME_ID],FME_Input[POP100])</f>
        <v>20978</v>
      </c>
      <c r="Q70" s="35" t="e">
        <f>FME_Ranking_Option2!$P70*P$4</f>
        <v>#REF!</v>
      </c>
      <c r="R70" s="35">
        <f>FME_Ranking_Option2!$P70/($P$3)</f>
        <v>7.6993714394352573E-3</v>
      </c>
      <c r="S70" s="35" t="e">
        <f>FME_Ranking_Option2!$R70*P$4</f>
        <v>#REF!</v>
      </c>
      <c r="T70" s="37">
        <f>_xlfn.XLOOKUP(FME_Ranking2[[#This Row],[FME ID]],FME_Input[FME_ID],FME_Input[CRITFAC100])</f>
        <v>25</v>
      </c>
      <c r="U70" s="35" t="e">
        <f>FME_Ranking_Option2!$T70*T$4</f>
        <v>#REF!</v>
      </c>
      <c r="V70" s="35">
        <f>FME_Ranking_Option2!$T70/($T$3)</f>
        <v>3.5255958256945425E-3</v>
      </c>
      <c r="W70" s="35" t="e">
        <f>FME_Ranking_Option2!$V70*T$4</f>
        <v>#REF!</v>
      </c>
      <c r="X70" s="37">
        <f>_xlfn.XLOOKUP(FME_Ranking2[[#This Row],[FME ID]],FME_Input[FME_ID],FME_Input[LWC])</f>
        <v>2</v>
      </c>
      <c r="Y70" s="35" t="e">
        <f>FME_Ranking_Option2!$X70*X$4</f>
        <v>#REF!</v>
      </c>
      <c r="Z70" s="35">
        <f>FME_Ranking_Option2!$X70/($X$3)</f>
        <v>1.8244845831052726E-4</v>
      </c>
      <c r="AA70" s="35" t="e">
        <f>FME_Ranking_Option2!$Z70*X$4</f>
        <v>#REF!</v>
      </c>
      <c r="AB70" s="37">
        <f>_xlfn.XLOOKUP(FME_Ranking2[[#This Row],[FME ID]],FME_Input[FME_ID],FME_Input[ROADCLS])</f>
        <v>2</v>
      </c>
      <c r="AC70" s="35" t="e">
        <f>FME_Ranking_Option2!$AB70*AB$4</f>
        <v>#REF!</v>
      </c>
      <c r="AD70" s="40">
        <f>_xlfn.XLOOKUP(FME_Ranking2[[#This Row],[FME ID]],FME_Input[FME_ID],FME_Input[ROAD_MILES100])</f>
        <v>104.5637283325195</v>
      </c>
      <c r="AE70" s="41" t="e">
        <f>FME_Ranking_Option2!$AD70*AD$4</f>
        <v>#REF!</v>
      </c>
      <c r="AF70" s="42">
        <f>FME_Ranking_Option2!$AD70/($AD$3)</f>
        <v>2.361810513759484E-3</v>
      </c>
      <c r="AG70" s="42" t="e">
        <f>FME_Ranking_Option2!$AF70*AD$4</f>
        <v>#REF!</v>
      </c>
      <c r="AH70" s="40">
        <f>_xlfn.XLOOKUP(FME_Ranking2[[#This Row],[FME ID]],FME_Input[FME_ID],FME_Input[FARMACRE100])</f>
        <v>1308.191162109375</v>
      </c>
      <c r="AI70" s="43" t="e">
        <f>FME_Ranking_Option2!$AH70*AH$4</f>
        <v>#REF!</v>
      </c>
      <c r="AJ70" s="41">
        <f>FME_Ranking_Option2!$AH70/($AH$3)</f>
        <v>7.5961349110393511E-2</v>
      </c>
      <c r="AK70" s="44" t="e">
        <f>FME_Ranking_Option2!$AJ70*AH$4</f>
        <v>#REF!</v>
      </c>
      <c r="AL7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70" s="45" t="e">
        <f>_xlfn.RANK.EQ(AL70,$AL$7:$AL$531)+COUNTIF(AL$7:AL70,AL70)-1</f>
        <v>#REF!</v>
      </c>
      <c r="AN70" s="44"/>
      <c r="AO70" s="45" t="e">
        <f>_xlfn.RANK.EQ(AN70,$AN$7:$AN$531)+COUNTIF(AN$7:AN70,AN70)-1</f>
        <v>#N/A</v>
      </c>
      <c r="AP7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70" s="32" t="e">
        <f>FME_Ranking2[[#This Row],[Score Based on Reported Factors]]-FME_Ranking2[[#This Row],[Check]]</f>
        <v>#REF!</v>
      </c>
      <c r="AR70" s="32"/>
    </row>
    <row r="71" spans="1:55" ht="12" customHeight="1" x14ac:dyDescent="0.25">
      <c r="A71" s="16" t="s">
        <v>1100</v>
      </c>
      <c r="B71" s="16" t="str">
        <f>_xlfn.XLOOKUP(FME_Ranking2[[#This Row],[FME ID]],FME_Input[FME_ID],FME_Input[FME_NAME])</f>
        <v>Update City of Friendswood Storm Surge Maps to Reflect the NWS Predictions</v>
      </c>
      <c r="C71" s="16" t="str">
        <f>_xlfn.XLOOKUP(FME_Ranking2[[#This Row],[FME ID]],FME_Input[FME_ID],FME_Input[DESCR])</f>
        <v xml:space="preserve">Study to update city storm surge maps based upon the NWS predicted storm surge and projected track for landfall.  The new maps may more accurately display water depth in areas within the city. </v>
      </c>
      <c r="D71" s="46" t="str">
        <f>_xlfn.XLOOKUP(FME_Ranking2[[#This Row],[FME ID]],FME_Input[FME_ID],FME_Input[EMER_NEED])</f>
        <v>No</v>
      </c>
      <c r="E71" s="121">
        <f>IF(FME_Ranking_Option2!$D71="Yes",100,0)</f>
        <v>0</v>
      </c>
      <c r="F71" s="47" t="str">
        <f>_xlfn.XLOOKUP(FME_Ranking2[[#This Row],[FME ID]],FME_Input[FME_ID],FME_Input[FUND])</f>
        <v>Yes</v>
      </c>
      <c r="G71" s="48">
        <f>IF(FME_Ranking_Option2!$F71="Yes",1,0)</f>
        <v>1</v>
      </c>
      <c r="H71" s="46">
        <f>_xlfn.XLOOKUP(FME_Ranking2[[#This Row],[FME ID]],FME_Input[FME_ID],FME_Input[STRUCT_100])</f>
        <v>1680</v>
      </c>
      <c r="I71" s="65" t="e">
        <f>FME_Ranking2[[#This Row],[Raw Data3]]*H$4</f>
        <v>#REF!</v>
      </c>
      <c r="J71" s="62">
        <f>((FME_Ranking_Option2!$H71)/($H$3))*100</f>
        <v>0.18669384099241113</v>
      </c>
      <c r="K71" s="49" t="e">
        <f>FME_Ranking2[[#This Row],[Norm Data3]]*H$4</f>
        <v>#REF!</v>
      </c>
      <c r="L71" s="50">
        <f>_xlfn.XLOOKUP(FME_Ranking2[[#This Row],[FME ID]],FME_Input[FME_ID],FME_Input[RES_STRUCT100])</f>
        <v>1601</v>
      </c>
      <c r="M71" s="51" t="e">
        <f>FME_Ranking2[[#This Row],[Raw Data4]]*L$4</f>
        <v>#REF!</v>
      </c>
      <c r="N71" s="29">
        <f>((FME_Ranking_Option2!$L71)/($L$3))*100</f>
        <v>0.23935426674022214</v>
      </c>
      <c r="O71" s="52" t="e">
        <f>FME_Ranking2[[#This Row],[Norm Data4]]*L$4</f>
        <v>#REF!</v>
      </c>
      <c r="P71" s="47">
        <f>_xlfn.XLOOKUP(FME_Ranking2[[#This Row],[FME ID]],FME_Input[FME_ID],FME_Input[POP100])</f>
        <v>5467</v>
      </c>
      <c r="Q71" s="48" t="e">
        <f>FME_Ranking_Option2!$P71*P$4</f>
        <v>#REF!</v>
      </c>
      <c r="R71" s="48">
        <f>FME_Ranking_Option2!$P71/($P$3)</f>
        <v>2.0065050843451498E-3</v>
      </c>
      <c r="S71" s="48" t="e">
        <f>FME_Ranking_Option2!$R71*P$4</f>
        <v>#REF!</v>
      </c>
      <c r="T71" s="50">
        <f>_xlfn.XLOOKUP(FME_Ranking2[[#This Row],[FME ID]],FME_Input[FME_ID],FME_Input[CRITFAC100])</f>
        <v>2</v>
      </c>
      <c r="U71" s="48" t="e">
        <f>FME_Ranking_Option2!$T71*T$4</f>
        <v>#REF!</v>
      </c>
      <c r="V71" s="48">
        <f>FME_Ranking_Option2!$T71/($T$3)</f>
        <v>2.8204766605556341E-4</v>
      </c>
      <c r="W71" s="48" t="e">
        <f>FME_Ranking_Option2!$V71*T$4</f>
        <v>#REF!</v>
      </c>
      <c r="X71" s="50">
        <f>_xlfn.XLOOKUP(FME_Ranking2[[#This Row],[FME ID]],FME_Input[FME_ID],FME_Input[LWC])</f>
        <v>5</v>
      </c>
      <c r="Y71" s="48" t="e">
        <f>FME_Ranking_Option2!$X71*X$4</f>
        <v>#REF!</v>
      </c>
      <c r="Z71" s="48">
        <f>FME_Ranking_Option2!$X71/($X$3)</f>
        <v>4.5612114577631819E-4</v>
      </c>
      <c r="AA71" s="48" t="e">
        <f>FME_Ranking_Option2!$Z71*X$4</f>
        <v>#REF!</v>
      </c>
      <c r="AB71" s="50">
        <f>_xlfn.XLOOKUP(FME_Ranking2[[#This Row],[FME ID]],FME_Input[FME_ID],FME_Input[ROADCLS])</f>
        <v>5</v>
      </c>
      <c r="AC71" s="48" t="e">
        <f>FME_Ranking_Option2!$AB71*AB$4</f>
        <v>#REF!</v>
      </c>
      <c r="AD71" s="53">
        <f>_xlfn.XLOOKUP(FME_Ranking2[[#This Row],[FME ID]],FME_Input[FME_ID],FME_Input[ROAD_MILES100])</f>
        <v>37.720420837402337</v>
      </c>
      <c r="AE71" s="54" t="e">
        <f>FME_Ranking_Option2!$AD71*AD$4</f>
        <v>#REF!</v>
      </c>
      <c r="AF71" s="55">
        <f>FME_Ranking_Option2!$AD71/($AD$3)</f>
        <v>8.5200181686236303E-4</v>
      </c>
      <c r="AG71" s="55" t="e">
        <f>FME_Ranking_Option2!$AF71*AD$4</f>
        <v>#REF!</v>
      </c>
      <c r="AH71" s="53">
        <f>_xlfn.XLOOKUP(FME_Ranking2[[#This Row],[FME ID]],FME_Input[FME_ID],FME_Input[FARMACRE100])</f>
        <v>18.37308311462402</v>
      </c>
      <c r="AI71" s="54" t="e">
        <f>FME_Ranking_Option2!$AH71*AH$4</f>
        <v>#REF!</v>
      </c>
      <c r="AJ71" s="56">
        <f>FME_Ranking_Option2!$AH71/($AH$3)</f>
        <v>1.0668503358896295E-3</v>
      </c>
      <c r="AK71" s="57" t="e">
        <f>FME_Ranking_Option2!$AJ71*AH$4</f>
        <v>#REF!</v>
      </c>
      <c r="AL7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71" s="58" t="e">
        <f>_xlfn.RANK.EQ(AL71,$AL$7:$AL$531)+COUNTIF(AL$7:AL71,AL71)-1</f>
        <v>#REF!</v>
      </c>
      <c r="AN71" s="57"/>
      <c r="AO71" s="58" t="e">
        <f>_xlfn.RANK.EQ(AN71,$AN$7:$AN$531)+COUNTIF(AN$7:AN71,AN71)-1</f>
        <v>#N/A</v>
      </c>
      <c r="AP7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71" s="32" t="e">
        <f>FME_Ranking2[[#This Row],[Score Based on Reported Factors]]-FME_Ranking2[[#This Row],[Check]]</f>
        <v>#REF!</v>
      </c>
      <c r="AR71" s="32"/>
      <c r="AT71" s="19"/>
      <c r="AU71" s="19"/>
      <c r="AV71" s="19"/>
      <c r="AW71" s="19"/>
      <c r="AX71" s="19"/>
      <c r="AY71" s="19"/>
      <c r="AZ71" s="19"/>
      <c r="BA71" s="19"/>
      <c r="BB71" s="19"/>
      <c r="BC71" s="19"/>
    </row>
    <row r="72" spans="1:55" ht="12" customHeight="1" x14ac:dyDescent="0.25">
      <c r="A72" s="17" t="s">
        <v>1218</v>
      </c>
      <c r="B72" s="17" t="e">
        <f>_xlfn.XLOOKUP(FME_Ranking2[[#This Row],[FME ID]],FME_Input[FME_ID],FME_Input[FME_NAME])</f>
        <v>#N/A</v>
      </c>
      <c r="C72" s="17" t="e">
        <f>_xlfn.XLOOKUP(FME_Ranking2[[#This Row],[FME ID]],FME_Input[FME_ID],FME_Input[DESCR])</f>
        <v>#N/A</v>
      </c>
      <c r="D72" s="33" t="e">
        <f>_xlfn.XLOOKUP(FME_Ranking2[[#This Row],[FME ID]],FME_Input[FME_ID],FME_Input[EMER_NEED])</f>
        <v>#N/A</v>
      </c>
      <c r="E72" s="120" t="e">
        <f>IF(FME_Ranking_Option2!$D72="Yes",100,0)</f>
        <v>#N/A</v>
      </c>
      <c r="F72" s="34" t="e">
        <f>_xlfn.XLOOKUP(FME_Ranking2[[#This Row],[FME ID]],FME_Input[FME_ID],FME_Input[FUND])</f>
        <v>#N/A</v>
      </c>
      <c r="G72" s="35" t="e">
        <f>IF(FME_Ranking_Option2!$F72="Yes",1,0)</f>
        <v>#N/A</v>
      </c>
      <c r="H72" s="33" t="e">
        <f>_xlfn.XLOOKUP(FME_Ranking2[[#This Row],[FME ID]],FME_Input[FME_ID],FME_Input[STRUCT_100])</f>
        <v>#N/A</v>
      </c>
      <c r="I72" s="64" t="e">
        <f>FME_Ranking2[[#This Row],[Raw Data3]]*H$4</f>
        <v>#N/A</v>
      </c>
      <c r="J72" s="63" t="e">
        <f>((FME_Ranking_Option2!$H72)/($H$3))*100</f>
        <v>#N/A</v>
      </c>
      <c r="K72" s="36" t="e">
        <f>FME_Ranking2[[#This Row],[Norm Data3]]*H$4</f>
        <v>#N/A</v>
      </c>
      <c r="L72" s="37" t="e">
        <f>_xlfn.XLOOKUP(FME_Ranking2[[#This Row],[FME ID]],FME_Input[FME_ID],FME_Input[RES_STRUCT100])</f>
        <v>#N/A</v>
      </c>
      <c r="M72" s="38" t="e">
        <f>FME_Ranking2[[#This Row],[Raw Data4]]*L$4</f>
        <v>#N/A</v>
      </c>
      <c r="N72" s="28" t="e">
        <f>((FME_Ranking_Option2!$L72)/($L$3))*100</f>
        <v>#N/A</v>
      </c>
      <c r="O72" s="39" t="e">
        <f>FME_Ranking2[[#This Row],[Norm Data4]]*L$4</f>
        <v>#N/A</v>
      </c>
      <c r="P72" s="34" t="e">
        <f>_xlfn.XLOOKUP(FME_Ranking2[[#This Row],[FME ID]],FME_Input[FME_ID],FME_Input[POP100])</f>
        <v>#N/A</v>
      </c>
      <c r="Q72" s="35" t="e">
        <f>FME_Ranking_Option2!$P72*P$4</f>
        <v>#N/A</v>
      </c>
      <c r="R72" s="35" t="e">
        <f>FME_Ranking_Option2!$P72/($P$3)</f>
        <v>#N/A</v>
      </c>
      <c r="S72" s="35" t="e">
        <f>FME_Ranking_Option2!$R72*P$4</f>
        <v>#N/A</v>
      </c>
      <c r="T72" s="37" t="e">
        <f>_xlfn.XLOOKUP(FME_Ranking2[[#This Row],[FME ID]],FME_Input[FME_ID],FME_Input[CRITFAC100])</f>
        <v>#N/A</v>
      </c>
      <c r="U72" s="35" t="e">
        <f>FME_Ranking_Option2!$T72*T$4</f>
        <v>#N/A</v>
      </c>
      <c r="V72" s="35" t="e">
        <f>FME_Ranking_Option2!$T72/($T$3)</f>
        <v>#N/A</v>
      </c>
      <c r="W72" s="35" t="e">
        <f>FME_Ranking_Option2!$V72*T$4</f>
        <v>#N/A</v>
      </c>
      <c r="X72" s="37" t="e">
        <f>_xlfn.XLOOKUP(FME_Ranking2[[#This Row],[FME ID]],FME_Input[FME_ID],FME_Input[LWC])</f>
        <v>#N/A</v>
      </c>
      <c r="Y72" s="35" t="e">
        <f>FME_Ranking_Option2!$X72*X$4</f>
        <v>#N/A</v>
      </c>
      <c r="Z72" s="35" t="e">
        <f>FME_Ranking_Option2!$X72/($X$3)</f>
        <v>#N/A</v>
      </c>
      <c r="AA72" s="35" t="e">
        <f>FME_Ranking_Option2!$Z72*X$4</f>
        <v>#N/A</v>
      </c>
      <c r="AB72" s="37" t="e">
        <f>_xlfn.XLOOKUP(FME_Ranking2[[#This Row],[FME ID]],FME_Input[FME_ID],FME_Input[ROADCLS])</f>
        <v>#N/A</v>
      </c>
      <c r="AC72" s="35" t="e">
        <f>FME_Ranking_Option2!$AB72*AB$4</f>
        <v>#N/A</v>
      </c>
      <c r="AD72" s="40" t="e">
        <f>_xlfn.XLOOKUP(FME_Ranking2[[#This Row],[FME ID]],FME_Input[FME_ID],FME_Input[ROAD_MILES100])</f>
        <v>#N/A</v>
      </c>
      <c r="AE72" s="41" t="e">
        <f>FME_Ranking_Option2!$AD72*AD$4</f>
        <v>#N/A</v>
      </c>
      <c r="AF72" s="42" t="e">
        <f>FME_Ranking_Option2!$AD72/($AD$3)</f>
        <v>#N/A</v>
      </c>
      <c r="AG72" s="42" t="e">
        <f>FME_Ranking_Option2!$AF72*AD$4</f>
        <v>#N/A</v>
      </c>
      <c r="AH72" s="40" t="e">
        <f>_xlfn.XLOOKUP(FME_Ranking2[[#This Row],[FME ID]],FME_Input[FME_ID],FME_Input[FARMACRE100])</f>
        <v>#N/A</v>
      </c>
      <c r="AI72" s="43" t="e">
        <f>FME_Ranking_Option2!$AH72*AH$4</f>
        <v>#N/A</v>
      </c>
      <c r="AJ72" s="41" t="e">
        <f>FME_Ranking_Option2!$AH72/($AH$3)</f>
        <v>#N/A</v>
      </c>
      <c r="AK72" s="44" t="e">
        <f>FME_Ranking_Option2!$AJ72*AH$4</f>
        <v>#N/A</v>
      </c>
      <c r="AL72"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#N/A</v>
      </c>
      <c r="AM72" s="45" t="e">
        <f>_xlfn.RANK.EQ(AL72,$AL$7:$AL$531)+COUNTIF(AL$7:AL72,AL72)-1</f>
        <v>#N/A</v>
      </c>
      <c r="AN72" s="44"/>
      <c r="AO72" s="45" t="e">
        <f>_xlfn.RANK.EQ(AN72,$AN$7:$AN$531)+COUNTIF(AN$7:AN72,AN72)-1</f>
        <v>#N/A</v>
      </c>
      <c r="AP7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#N/A</v>
      </c>
      <c r="AQ72" s="32" t="e">
        <f>FME_Ranking2[[#This Row],[Score Based on Reported Factors]]-FME_Ranking2[[#This Row],[Check]]</f>
        <v>#N/A</v>
      </c>
      <c r="AR72" s="32"/>
    </row>
    <row r="73" spans="1:55" ht="12" customHeight="1" x14ac:dyDescent="0.25">
      <c r="A73" s="16" t="s">
        <v>1219</v>
      </c>
      <c r="B73" s="16" t="str">
        <f>_xlfn.XLOOKUP(FME_Ranking2[[#This Row],[FME ID]],FME_Input[FME_ID],FME_Input[FME_NAME])</f>
        <v>City of Sante Fe - Storm Water Detention &amp; Widening Drainage System and Cuvlerts Study</v>
      </c>
      <c r="C73" s="16" t="str">
        <f>_xlfn.XLOOKUP(FME_Ranking2[[#This Row],[FME ID]],FME_Input[FME_ID],FME_Input[DESCR])</f>
        <v>Study to plan for storm sewer detention and drainage system modifications.</v>
      </c>
      <c r="D73" s="46" t="str">
        <f>_xlfn.XLOOKUP(FME_Ranking2[[#This Row],[FME ID]],FME_Input[FME_ID],FME_Input[EMER_NEED])</f>
        <v>No</v>
      </c>
      <c r="E73" s="121">
        <f>IF(FME_Ranking_Option2!$D73="Yes",100,0)</f>
        <v>0</v>
      </c>
      <c r="F73" s="47" t="str">
        <f>_xlfn.XLOOKUP(FME_Ranking2[[#This Row],[FME ID]],FME_Input[FME_ID],FME_Input[FUND])</f>
        <v>Yes</v>
      </c>
      <c r="G73" s="48">
        <f>IF(FME_Ranking_Option2!$F73="Yes",1,0)</f>
        <v>1</v>
      </c>
      <c r="H73" s="46">
        <f>_xlfn.XLOOKUP(FME_Ranking2[[#This Row],[FME ID]],FME_Input[FME_ID],FME_Input[STRUCT_100])</f>
        <v>400</v>
      </c>
      <c r="I73" s="65" t="e">
        <f>FME_Ranking2[[#This Row],[Raw Data3]]*H$4</f>
        <v>#REF!</v>
      </c>
      <c r="J73" s="62">
        <f>((FME_Ranking_Option2!$H73)/($H$3))*100</f>
        <v>4.4450914522002651E-2</v>
      </c>
      <c r="K73" s="49" t="e">
        <f>FME_Ranking2[[#This Row],[Norm Data3]]*H$4</f>
        <v>#REF!</v>
      </c>
      <c r="L73" s="50">
        <f>_xlfn.XLOOKUP(FME_Ranking2[[#This Row],[FME ID]],FME_Input[FME_ID],FME_Input[RES_STRUCT100])</f>
        <v>306</v>
      </c>
      <c r="M73" s="51" t="e">
        <f>FME_Ranking2[[#This Row],[Raw Data4]]*L$4</f>
        <v>#REF!</v>
      </c>
      <c r="N73" s="29">
        <f>((FME_Ranking_Option2!$L73)/($L$3))*100</f>
        <v>4.5747911069648955E-2</v>
      </c>
      <c r="O73" s="52" t="e">
        <f>FME_Ranking2[[#This Row],[Norm Data4]]*L$4</f>
        <v>#REF!</v>
      </c>
      <c r="P73" s="47">
        <f>_xlfn.XLOOKUP(FME_Ranking2[[#This Row],[FME ID]],FME_Input[FME_ID],FME_Input[POP100])</f>
        <v>798</v>
      </c>
      <c r="Q73" s="48" t="e">
        <f>FME_Ranking_Option2!$P73*P$4</f>
        <v>#REF!</v>
      </c>
      <c r="R73" s="48">
        <f>FME_Ranking_Option2!$P73/($P$3)</f>
        <v>2.928829444498682E-4</v>
      </c>
      <c r="S73" s="48" t="e">
        <f>FME_Ranking_Option2!$R73*P$4</f>
        <v>#REF!</v>
      </c>
      <c r="T73" s="50">
        <f>_xlfn.XLOOKUP(FME_Ranking2[[#This Row],[FME ID]],FME_Input[FME_ID],FME_Input[CRITFAC100])</f>
        <v>1</v>
      </c>
      <c r="U73" s="48" t="e">
        <f>FME_Ranking_Option2!$T73*T$4</f>
        <v>#REF!</v>
      </c>
      <c r="V73" s="48">
        <f>FME_Ranking_Option2!$T73/($T$3)</f>
        <v>1.4102383302778171E-4</v>
      </c>
      <c r="W73" s="48" t="e">
        <f>FME_Ranking_Option2!$V73*T$4</f>
        <v>#REF!</v>
      </c>
      <c r="X73" s="50">
        <f>_xlfn.XLOOKUP(FME_Ranking2[[#This Row],[FME ID]],FME_Input[FME_ID],FME_Input[LWC])</f>
        <v>9</v>
      </c>
      <c r="Y73" s="48" t="e">
        <f>FME_Ranking_Option2!$X73*X$4</f>
        <v>#REF!</v>
      </c>
      <c r="Z73" s="48">
        <f>FME_Ranking_Option2!$X73/($X$3)</f>
        <v>8.2101806239737272E-4</v>
      </c>
      <c r="AA73" s="48" t="e">
        <f>FME_Ranking_Option2!$Z73*X$4</f>
        <v>#REF!</v>
      </c>
      <c r="AB73" s="50">
        <f>_xlfn.XLOOKUP(FME_Ranking2[[#This Row],[FME ID]],FME_Input[FME_ID],FME_Input[ROADCLS])</f>
        <v>9</v>
      </c>
      <c r="AC73" s="48" t="e">
        <f>FME_Ranking_Option2!$AB73*AB$4</f>
        <v>#REF!</v>
      </c>
      <c r="AD73" s="53">
        <f>_xlfn.XLOOKUP(FME_Ranking2[[#This Row],[FME ID]],FME_Input[FME_ID],FME_Input[ROAD_MILES100])</f>
        <v>4.122429370880127</v>
      </c>
      <c r="AE73" s="54" t="e">
        <f>FME_Ranking_Option2!$AD73*AD$4</f>
        <v>#REF!</v>
      </c>
      <c r="AF73" s="55">
        <f>FME_Ranking_Option2!$AD73/($AD$3)</f>
        <v>9.311447846822369E-5</v>
      </c>
      <c r="AG73" s="55" t="e">
        <f>FME_Ranking_Option2!$AF73*AD$4</f>
        <v>#REF!</v>
      </c>
      <c r="AH73" s="53">
        <f>_xlfn.XLOOKUP(FME_Ranking2[[#This Row],[FME ID]],FME_Input[FME_ID],FME_Input[FARMACRE100])</f>
        <v>12.12156867980957</v>
      </c>
      <c r="AI73" s="54" t="e">
        <f>FME_Ranking_Option2!$AH73*AH$4</f>
        <v>#REF!</v>
      </c>
      <c r="AJ73" s="56">
        <f>FME_Ranking_Option2!$AH73/($AH$3)</f>
        <v>7.0385027580215608E-4</v>
      </c>
      <c r="AK73" s="57" t="e">
        <f>FME_Ranking_Option2!$AJ73*AH$4</f>
        <v>#REF!</v>
      </c>
      <c r="AL73"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73" s="58" t="e">
        <f>_xlfn.RANK.EQ(AL73,$AL$7:$AL$531)+COUNTIF(AL$7:AL73,AL73)-1</f>
        <v>#REF!</v>
      </c>
      <c r="AN73" s="57"/>
      <c r="AO73" s="58" t="e">
        <f>_xlfn.RANK.EQ(AN73,$AN$7:$AN$531)+COUNTIF(AN$7:AN73,AN73)-1</f>
        <v>#N/A</v>
      </c>
      <c r="AP7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73" s="32" t="e">
        <f>FME_Ranking2[[#This Row],[Score Based on Reported Factors]]-FME_Ranking2[[#This Row],[Check]]</f>
        <v>#REF!</v>
      </c>
      <c r="AR73" s="32"/>
      <c r="AT73" s="19"/>
      <c r="AU73" s="19"/>
      <c r="AV73" s="19"/>
      <c r="AW73" s="19"/>
      <c r="AX73" s="19"/>
      <c r="AY73" s="19"/>
      <c r="AZ73" s="19"/>
      <c r="BA73" s="19"/>
      <c r="BB73" s="19"/>
      <c r="BC73" s="19"/>
    </row>
    <row r="74" spans="1:55" ht="12" customHeight="1" x14ac:dyDescent="0.25">
      <c r="A74" s="17" t="s">
        <v>1114</v>
      </c>
      <c r="B74" s="17" t="e">
        <f>_xlfn.XLOOKUP(FME_Ranking2[[#This Row],[FME ID]],FME_Input[FME_ID],FME_Input[FME_NAME])</f>
        <v>#N/A</v>
      </c>
      <c r="C74" s="17" t="e">
        <f>_xlfn.XLOOKUP(FME_Ranking2[[#This Row],[FME ID]],FME_Input[FME_ID],FME_Input[DESCR])</f>
        <v>#N/A</v>
      </c>
      <c r="D74" s="33" t="e">
        <f>_xlfn.XLOOKUP(FME_Ranking2[[#This Row],[FME ID]],FME_Input[FME_ID],FME_Input[EMER_NEED])</f>
        <v>#N/A</v>
      </c>
      <c r="E74" s="120" t="e">
        <f>IF(FME_Ranking_Option2!$D74="Yes",100,0)</f>
        <v>#N/A</v>
      </c>
      <c r="F74" s="34" t="e">
        <f>_xlfn.XLOOKUP(FME_Ranking2[[#This Row],[FME ID]],FME_Input[FME_ID],FME_Input[FUND])</f>
        <v>#N/A</v>
      </c>
      <c r="G74" s="35" t="e">
        <f>IF(FME_Ranking_Option2!$F74="Yes",1,0)</f>
        <v>#N/A</v>
      </c>
      <c r="H74" s="33" t="e">
        <f>_xlfn.XLOOKUP(FME_Ranking2[[#This Row],[FME ID]],FME_Input[FME_ID],FME_Input[STRUCT_100])</f>
        <v>#N/A</v>
      </c>
      <c r="I74" s="64" t="e">
        <f>FME_Ranking2[[#This Row],[Raw Data3]]*H$4</f>
        <v>#N/A</v>
      </c>
      <c r="J74" s="63" t="e">
        <f>((FME_Ranking_Option2!$H74)/($H$3))*100</f>
        <v>#N/A</v>
      </c>
      <c r="K74" s="36" t="e">
        <f>FME_Ranking2[[#This Row],[Norm Data3]]*H$4</f>
        <v>#N/A</v>
      </c>
      <c r="L74" s="37" t="e">
        <f>_xlfn.XLOOKUP(FME_Ranking2[[#This Row],[FME ID]],FME_Input[FME_ID],FME_Input[RES_STRUCT100])</f>
        <v>#N/A</v>
      </c>
      <c r="M74" s="38" t="e">
        <f>FME_Ranking2[[#This Row],[Raw Data4]]*L$4</f>
        <v>#N/A</v>
      </c>
      <c r="N74" s="28" t="e">
        <f>((FME_Ranking_Option2!$L74)/($L$3))*100</f>
        <v>#N/A</v>
      </c>
      <c r="O74" s="39" t="e">
        <f>FME_Ranking2[[#This Row],[Norm Data4]]*L$4</f>
        <v>#N/A</v>
      </c>
      <c r="P74" s="34" t="e">
        <f>_xlfn.XLOOKUP(FME_Ranking2[[#This Row],[FME ID]],FME_Input[FME_ID],FME_Input[POP100])</f>
        <v>#N/A</v>
      </c>
      <c r="Q74" s="35" t="e">
        <f>FME_Ranking_Option2!$P74*P$4</f>
        <v>#N/A</v>
      </c>
      <c r="R74" s="35" t="e">
        <f>FME_Ranking_Option2!$P74/($P$3)</f>
        <v>#N/A</v>
      </c>
      <c r="S74" s="35" t="e">
        <f>FME_Ranking_Option2!$R74*P$4</f>
        <v>#N/A</v>
      </c>
      <c r="T74" s="37" t="e">
        <f>_xlfn.XLOOKUP(FME_Ranking2[[#This Row],[FME ID]],FME_Input[FME_ID],FME_Input[CRITFAC100])</f>
        <v>#N/A</v>
      </c>
      <c r="U74" s="35" t="e">
        <f>FME_Ranking_Option2!$T74*T$4</f>
        <v>#N/A</v>
      </c>
      <c r="V74" s="35" t="e">
        <f>FME_Ranking_Option2!$T74/($T$3)</f>
        <v>#N/A</v>
      </c>
      <c r="W74" s="35" t="e">
        <f>FME_Ranking_Option2!$V74*T$4</f>
        <v>#N/A</v>
      </c>
      <c r="X74" s="37" t="e">
        <f>_xlfn.XLOOKUP(FME_Ranking2[[#This Row],[FME ID]],FME_Input[FME_ID],FME_Input[LWC])</f>
        <v>#N/A</v>
      </c>
      <c r="Y74" s="35" t="e">
        <f>FME_Ranking_Option2!$X74*X$4</f>
        <v>#N/A</v>
      </c>
      <c r="Z74" s="35" t="e">
        <f>FME_Ranking_Option2!$X74/($X$3)</f>
        <v>#N/A</v>
      </c>
      <c r="AA74" s="35" t="e">
        <f>FME_Ranking_Option2!$Z74*X$4</f>
        <v>#N/A</v>
      </c>
      <c r="AB74" s="37" t="e">
        <f>_xlfn.XLOOKUP(FME_Ranking2[[#This Row],[FME ID]],FME_Input[FME_ID],FME_Input[ROADCLS])</f>
        <v>#N/A</v>
      </c>
      <c r="AC74" s="35" t="e">
        <f>FME_Ranking_Option2!$AB74*AB$4</f>
        <v>#N/A</v>
      </c>
      <c r="AD74" s="40" t="e">
        <f>_xlfn.XLOOKUP(FME_Ranking2[[#This Row],[FME ID]],FME_Input[FME_ID],FME_Input[ROAD_MILES100])</f>
        <v>#N/A</v>
      </c>
      <c r="AE74" s="41" t="e">
        <f>FME_Ranking_Option2!$AD74*AD$4</f>
        <v>#N/A</v>
      </c>
      <c r="AF74" s="42" t="e">
        <f>FME_Ranking_Option2!$AD74/($AD$3)</f>
        <v>#N/A</v>
      </c>
      <c r="AG74" s="42" t="e">
        <f>FME_Ranking_Option2!$AF74*AD$4</f>
        <v>#N/A</v>
      </c>
      <c r="AH74" s="40" t="e">
        <f>_xlfn.XLOOKUP(FME_Ranking2[[#This Row],[FME ID]],FME_Input[FME_ID],FME_Input[FARMACRE100])</f>
        <v>#N/A</v>
      </c>
      <c r="AI74" s="43" t="e">
        <f>FME_Ranking_Option2!$AH74*AH$4</f>
        <v>#N/A</v>
      </c>
      <c r="AJ74" s="41" t="e">
        <f>FME_Ranking_Option2!$AH74/($AH$3)</f>
        <v>#N/A</v>
      </c>
      <c r="AK74" s="44" t="e">
        <f>FME_Ranking_Option2!$AJ74*AH$4</f>
        <v>#N/A</v>
      </c>
      <c r="AL74"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#N/A</v>
      </c>
      <c r="AM74" s="45" t="e">
        <f>_xlfn.RANK.EQ(AL74,$AL$7:$AL$531)+COUNTIF(AL$7:AL74,AL74)-1</f>
        <v>#N/A</v>
      </c>
      <c r="AN74" s="44"/>
      <c r="AO74" s="45" t="e">
        <f>_xlfn.RANK.EQ(AN74,$AN$7:$AN$531)+COUNTIF(AN$7:AN74,AN74)-1</f>
        <v>#N/A</v>
      </c>
      <c r="AP7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#N/A</v>
      </c>
      <c r="AQ74" s="32" t="e">
        <f>FME_Ranking2[[#This Row],[Score Based on Reported Factors]]-FME_Ranking2[[#This Row],[Check]]</f>
        <v>#N/A</v>
      </c>
      <c r="AR74" s="32"/>
    </row>
    <row r="75" spans="1:55" ht="12" customHeight="1" x14ac:dyDescent="0.25">
      <c r="A75" s="16" t="s">
        <v>1115</v>
      </c>
      <c r="B75" s="16" t="str">
        <f>_xlfn.XLOOKUP(FME_Ranking2[[#This Row],[FME ID]],FME_Input[FME_ID],FME_Input[FME_NAME])</f>
        <v>League City - Stormwater Drainage Improvement- Interurban &amp; Newport ditch</v>
      </c>
      <c r="C75" s="16" t="str">
        <f>_xlfn.XLOOKUP(FME_Ranking2[[#This Row],[FME ID]],FME_Input[FME_ID],FME_Input[DESCR])</f>
        <v>Further study of proposed slope paving (concrete lining) improvements.</v>
      </c>
      <c r="D75" s="46" t="str">
        <f>_xlfn.XLOOKUP(FME_Ranking2[[#This Row],[FME ID]],FME_Input[FME_ID],FME_Input[EMER_NEED])</f>
        <v>No</v>
      </c>
      <c r="E75" s="121">
        <f>IF(FME_Ranking_Option2!$D75="Yes",100,0)</f>
        <v>0</v>
      </c>
      <c r="F75" s="47" t="str">
        <f>_xlfn.XLOOKUP(FME_Ranking2[[#This Row],[FME ID]],FME_Input[FME_ID],FME_Input[FUND])</f>
        <v>Yes</v>
      </c>
      <c r="G75" s="48">
        <f>IF(FME_Ranking_Option2!$F75="Yes",1,0)</f>
        <v>1</v>
      </c>
      <c r="H75" s="46">
        <f>_xlfn.XLOOKUP(FME_Ranking2[[#This Row],[FME ID]],FME_Input[FME_ID],FME_Input[STRUCT_100])</f>
        <v>5251</v>
      </c>
      <c r="I75" s="65" t="e">
        <f>FME_Ranking2[[#This Row],[Raw Data3]]*H$4</f>
        <v>#REF!</v>
      </c>
      <c r="J75" s="62">
        <f>((FME_Ranking_Option2!$H75)/($H$3))*100</f>
        <v>0.58352938038758972</v>
      </c>
      <c r="K75" s="49" t="e">
        <f>FME_Ranking2[[#This Row],[Norm Data3]]*H$4</f>
        <v>#REF!</v>
      </c>
      <c r="L75" s="50">
        <f>_xlfn.XLOOKUP(FME_Ranking2[[#This Row],[FME ID]],FME_Input[FME_ID],FME_Input[RES_STRUCT100])</f>
        <v>4835</v>
      </c>
      <c r="M75" s="51" t="e">
        <f>FME_Ranking2[[#This Row],[Raw Data4]]*L$4</f>
        <v>#REF!</v>
      </c>
      <c r="N75" s="29">
        <f>((FME_Ranking_Option2!$L75)/($L$3))*100</f>
        <v>0.72284689549592374</v>
      </c>
      <c r="O75" s="52" t="e">
        <f>FME_Ranking2[[#This Row],[Norm Data4]]*L$4</f>
        <v>#REF!</v>
      </c>
      <c r="P75" s="47">
        <f>_xlfn.XLOOKUP(FME_Ranking2[[#This Row],[FME ID]],FME_Input[FME_ID],FME_Input[POP100])</f>
        <v>20978</v>
      </c>
      <c r="Q75" s="48" t="e">
        <f>FME_Ranking_Option2!$P75*P$4</f>
        <v>#REF!</v>
      </c>
      <c r="R75" s="48">
        <f>FME_Ranking_Option2!$P75/($P$3)</f>
        <v>7.6993714394352573E-3</v>
      </c>
      <c r="S75" s="48" t="e">
        <f>FME_Ranking_Option2!$R75*P$4</f>
        <v>#REF!</v>
      </c>
      <c r="T75" s="50">
        <f>_xlfn.XLOOKUP(FME_Ranking2[[#This Row],[FME ID]],FME_Input[FME_ID],FME_Input[CRITFAC100])</f>
        <v>25</v>
      </c>
      <c r="U75" s="48" t="e">
        <f>FME_Ranking_Option2!$T75*T$4</f>
        <v>#REF!</v>
      </c>
      <c r="V75" s="48">
        <f>FME_Ranking_Option2!$T75/($T$3)</f>
        <v>3.5255958256945425E-3</v>
      </c>
      <c r="W75" s="48" t="e">
        <f>FME_Ranking_Option2!$V75*T$4</f>
        <v>#REF!</v>
      </c>
      <c r="X75" s="50">
        <f>_xlfn.XLOOKUP(FME_Ranking2[[#This Row],[FME ID]],FME_Input[FME_ID],FME_Input[LWC])</f>
        <v>2</v>
      </c>
      <c r="Y75" s="48" t="e">
        <f>FME_Ranking_Option2!$X75*X$4</f>
        <v>#REF!</v>
      </c>
      <c r="Z75" s="48">
        <f>FME_Ranking_Option2!$X75/($X$3)</f>
        <v>1.8244845831052726E-4</v>
      </c>
      <c r="AA75" s="48" t="e">
        <f>FME_Ranking_Option2!$Z75*X$4</f>
        <v>#REF!</v>
      </c>
      <c r="AB75" s="50">
        <f>_xlfn.XLOOKUP(FME_Ranking2[[#This Row],[FME ID]],FME_Input[FME_ID],FME_Input[ROADCLS])</f>
        <v>2</v>
      </c>
      <c r="AC75" s="48" t="e">
        <f>FME_Ranking_Option2!$AB75*AB$4</f>
        <v>#REF!</v>
      </c>
      <c r="AD75" s="53">
        <f>_xlfn.XLOOKUP(FME_Ranking2[[#This Row],[FME ID]],FME_Input[FME_ID],FME_Input[ROAD_MILES100])</f>
        <v>104.5637283325195</v>
      </c>
      <c r="AE75" s="54" t="e">
        <f>FME_Ranking_Option2!$AD75*AD$4</f>
        <v>#REF!</v>
      </c>
      <c r="AF75" s="55">
        <f>FME_Ranking_Option2!$AD75/($AD$3)</f>
        <v>2.361810513759484E-3</v>
      </c>
      <c r="AG75" s="55" t="e">
        <f>FME_Ranking_Option2!$AF75*AD$4</f>
        <v>#REF!</v>
      </c>
      <c r="AH75" s="53">
        <f>_xlfn.XLOOKUP(FME_Ranking2[[#This Row],[FME ID]],FME_Input[FME_ID],FME_Input[FARMACRE100])</f>
        <v>1308.191162109375</v>
      </c>
      <c r="AI75" s="54" t="e">
        <f>FME_Ranking_Option2!$AH75*AH$4</f>
        <v>#REF!</v>
      </c>
      <c r="AJ75" s="56">
        <f>FME_Ranking_Option2!$AH75/($AH$3)</f>
        <v>7.5961349110393511E-2</v>
      </c>
      <c r="AK75" s="57" t="e">
        <f>FME_Ranking_Option2!$AJ75*AH$4</f>
        <v>#REF!</v>
      </c>
      <c r="AL75"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75" s="58" t="e">
        <f>_xlfn.RANK.EQ(AL75,$AL$7:$AL$531)+COUNTIF(AL$7:AL75,AL75)-1</f>
        <v>#REF!</v>
      </c>
      <c r="AN75" s="57"/>
      <c r="AO75" s="58" t="e">
        <f>_xlfn.RANK.EQ(AN75,$AN$7:$AN$531)+COUNTIF(AN$7:AN75,AN75)-1</f>
        <v>#N/A</v>
      </c>
      <c r="AP7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75" s="32" t="e">
        <f>FME_Ranking2[[#This Row],[Score Based on Reported Factors]]-FME_Ranking2[[#This Row],[Check]]</f>
        <v>#REF!</v>
      </c>
      <c r="AR75" s="32"/>
      <c r="AT75" s="19"/>
      <c r="AU75" s="19"/>
      <c r="AV75" s="19"/>
      <c r="AW75" s="19"/>
      <c r="AX75" s="19"/>
      <c r="AY75" s="19"/>
      <c r="AZ75" s="19"/>
      <c r="BA75" s="19"/>
      <c r="BB75" s="19"/>
      <c r="BC75" s="19"/>
    </row>
    <row r="76" spans="1:55" ht="12" customHeight="1" x14ac:dyDescent="0.25">
      <c r="A76" s="17" t="s">
        <v>1119</v>
      </c>
      <c r="B76" s="17" t="str">
        <f>_xlfn.XLOOKUP(FME_Ranking2[[#This Row],[FME ID]],FME_Input[FME_ID],FME_Input[FME_NAME])</f>
        <v>Study of Texas City Hurricane Flood Protection Project</v>
      </c>
      <c r="C76" s="17" t="str">
        <f>_xlfn.XLOOKUP(FME_Ranking2[[#This Row],[FME ID]],FME_Input[FME_ID],FME_Input[DESCR])</f>
        <v>Corp of Engineers study of the Texas City Hurricane Flood Protection Project to improve the current levee system to provide protection from category 5 storm.</v>
      </c>
      <c r="D76" s="33" t="str">
        <f>_xlfn.XLOOKUP(FME_Ranking2[[#This Row],[FME ID]],FME_Input[FME_ID],FME_Input[EMER_NEED])</f>
        <v>No</v>
      </c>
      <c r="E76" s="120">
        <f>IF(FME_Ranking_Option2!$D76="Yes",100,0)</f>
        <v>0</v>
      </c>
      <c r="F76" s="34" t="str">
        <f>_xlfn.XLOOKUP(FME_Ranking2[[#This Row],[FME ID]],FME_Input[FME_ID],FME_Input[FUND])</f>
        <v>Yes</v>
      </c>
      <c r="G76" s="35">
        <f>IF(FME_Ranking_Option2!$F76="Yes",1,0)</f>
        <v>1</v>
      </c>
      <c r="H76" s="33">
        <f>_xlfn.XLOOKUP(FME_Ranking2[[#This Row],[FME ID]],FME_Input[FME_ID],FME_Input[STRUCT_100])</f>
        <v>48570</v>
      </c>
      <c r="I76" s="64" t="e">
        <f>FME_Ranking2[[#This Row],[Raw Data3]]*H$4</f>
        <v>#REF!</v>
      </c>
      <c r="J76" s="63">
        <f>((FME_Ranking_Option2!$H76)/($H$3))*100</f>
        <v>5.3974522958341717</v>
      </c>
      <c r="K76" s="36" t="e">
        <f>FME_Ranking2[[#This Row],[Norm Data3]]*H$4</f>
        <v>#REF!</v>
      </c>
      <c r="L76" s="37">
        <f>_xlfn.XLOOKUP(FME_Ranking2[[#This Row],[FME ID]],FME_Input[FME_ID],FME_Input[RES_STRUCT100])</f>
        <v>42185</v>
      </c>
      <c r="M76" s="38" t="e">
        <f>FME_Ranking2[[#This Row],[Raw Data4]]*L$4</f>
        <v>#REF!</v>
      </c>
      <c r="N76" s="28">
        <f>((FME_Ranking_Option2!$L76)/($L$3))*100</f>
        <v>6.3067830995854282</v>
      </c>
      <c r="O76" s="39" t="e">
        <f>FME_Ranking2[[#This Row],[Norm Data4]]*L$4</f>
        <v>#REF!</v>
      </c>
      <c r="P76" s="34">
        <f>_xlfn.XLOOKUP(FME_Ranking2[[#This Row],[FME ID]],FME_Input[FME_ID],FME_Input[POP100])</f>
        <v>171395</v>
      </c>
      <c r="Q76" s="35" t="e">
        <f>FME_Ranking_Option2!$P76*P$4</f>
        <v>#REF!</v>
      </c>
      <c r="R76" s="35">
        <f>FME_Ranking_Option2!$P76/($P$3)</f>
        <v>6.2905604340833532E-2</v>
      </c>
      <c r="S76" s="35" t="e">
        <f>FME_Ranking_Option2!$R76*P$4</f>
        <v>#REF!</v>
      </c>
      <c r="T76" s="37">
        <f>_xlfn.XLOOKUP(FME_Ranking2[[#This Row],[FME ID]],FME_Input[FME_ID],FME_Input[CRITFAC100])</f>
        <v>681</v>
      </c>
      <c r="U76" s="35" t="e">
        <f>FME_Ranking_Option2!$T76*T$4</f>
        <v>#REF!</v>
      </c>
      <c r="V76" s="35">
        <f>FME_Ranking_Option2!$T76/($T$3)</f>
        <v>9.6037230291919337E-2</v>
      </c>
      <c r="W76" s="35" t="e">
        <f>FME_Ranking_Option2!$V76*T$4</f>
        <v>#REF!</v>
      </c>
      <c r="X76" s="37">
        <f>_xlfn.XLOOKUP(FME_Ranking2[[#This Row],[FME ID]],FME_Input[FME_ID],FME_Input[LWC])</f>
        <v>30</v>
      </c>
      <c r="Y76" s="35" t="e">
        <f>FME_Ranking_Option2!$X76*X$4</f>
        <v>#REF!</v>
      </c>
      <c r="Z76" s="35">
        <f>FME_Ranking_Option2!$X76/($X$3)</f>
        <v>2.7367268746579091E-3</v>
      </c>
      <c r="AA76" s="35" t="e">
        <f>FME_Ranking_Option2!$Z76*X$4</f>
        <v>#REF!</v>
      </c>
      <c r="AB76" s="37">
        <f>_xlfn.XLOOKUP(FME_Ranking2[[#This Row],[FME ID]],FME_Input[FME_ID],FME_Input[ROADCLS])</f>
        <v>30</v>
      </c>
      <c r="AC76" s="35" t="e">
        <f>FME_Ranking_Option2!$AB76*AB$4</f>
        <v>#REF!</v>
      </c>
      <c r="AD76" s="40">
        <f>_xlfn.XLOOKUP(FME_Ranking2[[#This Row],[FME ID]],FME_Input[FME_ID],FME_Input[ROAD_MILES100])</f>
        <v>910.35089111328125</v>
      </c>
      <c r="AE76" s="41" t="e">
        <f>FME_Ranking_Option2!$AD76*AD$4</f>
        <v>#REF!</v>
      </c>
      <c r="AF76" s="42">
        <f>FME_Ranking_Option2!$AD76/($AD$3)</f>
        <v>2.0562353123104789E-2</v>
      </c>
      <c r="AG76" s="42" t="e">
        <f>FME_Ranking_Option2!$AF76*AD$4</f>
        <v>#REF!</v>
      </c>
      <c r="AH76" s="40">
        <f>_xlfn.XLOOKUP(FME_Ranking2[[#This Row],[FME ID]],FME_Input[FME_ID],FME_Input[FARMACRE100])</f>
        <v>3412.02490234375</v>
      </c>
      <c r="AI76" s="43" t="e">
        <f>FME_Ranking_Option2!$AH76*AH$4</f>
        <v>#REF!</v>
      </c>
      <c r="AJ76" s="41">
        <f>FME_Ranking_Option2!$AH76/($AH$3)</f>
        <v>0.19812243216990966</v>
      </c>
      <c r="AK76" s="44" t="e">
        <f>FME_Ranking_Option2!$AJ76*AH$4</f>
        <v>#REF!</v>
      </c>
      <c r="AL76"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76" s="45" t="e">
        <f>_xlfn.RANK.EQ(AL76,$AL$7:$AL$531)+COUNTIF(AL$7:AL76,AL76)-1</f>
        <v>#REF!</v>
      </c>
      <c r="AN76" s="44"/>
      <c r="AO76" s="45" t="e">
        <f>_xlfn.RANK.EQ(AN76,$AN$7:$AN$531)+COUNTIF(AN$7:AN76,AN76)-1</f>
        <v>#N/A</v>
      </c>
      <c r="AP7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76" s="32" t="e">
        <f>FME_Ranking2[[#This Row],[Score Based on Reported Factors]]-FME_Ranking2[[#This Row],[Check]]</f>
        <v>#REF!</v>
      </c>
      <c r="AR76" s="32"/>
    </row>
    <row r="77" spans="1:55" ht="12" customHeight="1" x14ac:dyDescent="0.25">
      <c r="A77" s="16" t="s">
        <v>1123</v>
      </c>
      <c r="B77" s="16" t="str">
        <f>_xlfn.XLOOKUP(FME_Ranking2[[#This Row],[FME ID]],FME_Input[FME_ID],FME_Input[FME_NAME])</f>
        <v>Raise Road Surfaces in City of Plum Grove</v>
      </c>
      <c r="C77" s="16" t="str">
        <f>_xlfn.XLOOKUP(FME_Ranking2[[#This Row],[FME ID]],FME_Input[FME_ID],FME_Input[DESCR])</f>
        <v>Further evaluation of road surface elevation.</v>
      </c>
      <c r="D77" s="46" t="str">
        <f>_xlfn.XLOOKUP(FME_Ranking2[[#This Row],[FME ID]],FME_Input[FME_ID],FME_Input[EMER_NEED])</f>
        <v>No</v>
      </c>
      <c r="E77" s="121">
        <f>IF(FME_Ranking_Option2!$D77="Yes",100,0)</f>
        <v>0</v>
      </c>
      <c r="F77" s="47" t="str">
        <f>_xlfn.XLOOKUP(FME_Ranking2[[#This Row],[FME ID]],FME_Input[FME_ID],FME_Input[FUND])</f>
        <v>Yes</v>
      </c>
      <c r="G77" s="48">
        <f>IF(FME_Ranking_Option2!$F77="Yes",1,0)</f>
        <v>1</v>
      </c>
      <c r="H77" s="46">
        <f>_xlfn.XLOOKUP(FME_Ranking2[[#This Row],[FME ID]],FME_Input[FME_ID],FME_Input[STRUCT_100])</f>
        <v>363</v>
      </c>
      <c r="I77" s="65" t="e">
        <f>FME_Ranking2[[#This Row],[Raw Data3]]*H$4</f>
        <v>#REF!</v>
      </c>
      <c r="J77" s="62">
        <f>((FME_Ranking_Option2!$H77)/($H$3))*100</f>
        <v>4.0339204928717405E-2</v>
      </c>
      <c r="K77" s="49" t="e">
        <f>FME_Ranking2[[#This Row],[Norm Data3]]*H$4</f>
        <v>#REF!</v>
      </c>
      <c r="L77" s="50">
        <f>_xlfn.XLOOKUP(FME_Ranking2[[#This Row],[FME ID]],FME_Input[FME_ID],FME_Input[RES_STRUCT100])</f>
        <v>267</v>
      </c>
      <c r="M77" s="51" t="e">
        <f>FME_Ranking2[[#This Row],[Raw Data4]]*L$4</f>
        <v>#REF!</v>
      </c>
      <c r="N77" s="29">
        <f>((FME_Ranking_Option2!$L77)/($L$3))*100</f>
        <v>3.9917294952928985E-2</v>
      </c>
      <c r="O77" s="52" t="e">
        <f>FME_Ranking2[[#This Row],[Norm Data4]]*L$4</f>
        <v>#REF!</v>
      </c>
      <c r="P77" s="47">
        <f>_xlfn.XLOOKUP(FME_Ranking2[[#This Row],[FME ID]],FME_Input[FME_ID],FME_Input[POP100])</f>
        <v>589</v>
      </c>
      <c r="Q77" s="48" t="e">
        <f>FME_Ranking_Option2!$P77*P$4</f>
        <v>#REF!</v>
      </c>
      <c r="R77" s="48">
        <f>FME_Ranking_Option2!$P77/($P$3)</f>
        <v>2.1617550661775985E-4</v>
      </c>
      <c r="S77" s="48" t="e">
        <f>FME_Ranking_Option2!$R77*P$4</f>
        <v>#REF!</v>
      </c>
      <c r="T77" s="50">
        <f>_xlfn.XLOOKUP(FME_Ranking2[[#This Row],[FME ID]],FME_Input[FME_ID],FME_Input[CRITFAC100])</f>
        <v>1</v>
      </c>
      <c r="U77" s="48" t="e">
        <f>FME_Ranking_Option2!$T77*T$4</f>
        <v>#REF!</v>
      </c>
      <c r="V77" s="48">
        <f>FME_Ranking_Option2!$T77/($T$3)</f>
        <v>1.4102383302778171E-4</v>
      </c>
      <c r="W77" s="48" t="e">
        <f>FME_Ranking_Option2!$V77*T$4</f>
        <v>#REF!</v>
      </c>
      <c r="X77" s="50">
        <f>_xlfn.XLOOKUP(FME_Ranking2[[#This Row],[FME ID]],FME_Input[FME_ID],FME_Input[LWC])</f>
        <v>0</v>
      </c>
      <c r="Y77" s="48" t="e">
        <f>FME_Ranking_Option2!$X77*X$4</f>
        <v>#REF!</v>
      </c>
      <c r="Z77" s="48">
        <f>FME_Ranking_Option2!$X77/($X$3)</f>
        <v>0</v>
      </c>
      <c r="AA77" s="48" t="e">
        <f>FME_Ranking_Option2!$Z77*X$4</f>
        <v>#REF!</v>
      </c>
      <c r="AB77" s="50">
        <f>_xlfn.XLOOKUP(FME_Ranking2[[#This Row],[FME ID]],FME_Input[FME_ID],FME_Input[ROADCLS])</f>
        <v>0</v>
      </c>
      <c r="AC77" s="48" t="e">
        <f>FME_Ranking_Option2!$AB77*AB$4</f>
        <v>#REF!</v>
      </c>
      <c r="AD77" s="53">
        <f>_xlfn.XLOOKUP(FME_Ranking2[[#This Row],[FME ID]],FME_Input[FME_ID],FME_Input[ROAD_MILES100])</f>
        <v>8.9817647933959961</v>
      </c>
      <c r="AE77" s="54" t="e">
        <f>FME_Ranking_Option2!$AD77*AD$4</f>
        <v>#REF!</v>
      </c>
      <c r="AF77" s="55">
        <f>FME_Ranking_Option2!$AD77/($AD$3)</f>
        <v>2.0287366240134431E-4</v>
      </c>
      <c r="AG77" s="55" t="e">
        <f>FME_Ranking_Option2!$AF77*AD$4</f>
        <v>#REF!</v>
      </c>
      <c r="AH77" s="53">
        <f>_xlfn.XLOOKUP(FME_Ranking2[[#This Row],[FME ID]],FME_Input[FME_ID],FME_Input[FARMACRE100])</f>
        <v>9.2176370620727539</v>
      </c>
      <c r="AI77" s="54" t="e">
        <f>FME_Ranking_Option2!$AH77*AH$4</f>
        <v>#REF!</v>
      </c>
      <c r="AJ77" s="56">
        <f>FME_Ranking_Option2!$AH77/($AH$3)</f>
        <v>5.3523075764860546E-4</v>
      </c>
      <c r="AK77" s="57" t="e">
        <f>FME_Ranking_Option2!$AJ77*AH$4</f>
        <v>#REF!</v>
      </c>
      <c r="AL77"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77" s="58" t="e">
        <f>_xlfn.RANK.EQ(AL77,$AL$7:$AL$531)+COUNTIF(AL$7:AL77,AL77)-1</f>
        <v>#REF!</v>
      </c>
      <c r="AN77" s="57"/>
      <c r="AO77" s="58" t="e">
        <f>_xlfn.RANK.EQ(AN77,$AN$7:$AN$531)+COUNTIF(AN$7:AN77,AN77)-1</f>
        <v>#N/A</v>
      </c>
      <c r="AP7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77" s="32" t="e">
        <f>FME_Ranking2[[#This Row],[Score Based on Reported Factors]]-FME_Ranking2[[#This Row],[Check]]</f>
        <v>#REF!</v>
      </c>
      <c r="AR77" s="32"/>
      <c r="AT77" s="19"/>
      <c r="AU77" s="19"/>
      <c r="AV77" s="19"/>
      <c r="AW77" s="19"/>
      <c r="AX77" s="19"/>
      <c r="AY77" s="19"/>
      <c r="AZ77" s="19"/>
      <c r="BA77" s="19"/>
      <c r="BB77" s="19"/>
      <c r="BC77" s="19"/>
    </row>
    <row r="78" spans="1:55" ht="12" customHeight="1" x14ac:dyDescent="0.25">
      <c r="A78" s="17" t="s">
        <v>1131</v>
      </c>
      <c r="B78" s="17" t="str">
        <f>_xlfn.XLOOKUP(FME_Ranking2[[#This Row],[FME ID]],FME_Input[FME_ID],FME_Input[FME_NAME])</f>
        <v>Highland Terrace Drainage</v>
      </c>
      <c r="C78" s="17" t="str">
        <f>_xlfn.XLOOKUP(FME_Ranking2[[#This Row],[FME ID]],FME_Input[FME_ID],FME_Input[DESCR])</f>
        <v>Further study of slope paving a portion of the drainage ditch north of FM 518, with probable wetland mitigation and lowering pavement section of Highland Terrace Drive.</v>
      </c>
      <c r="D78" s="33" t="str">
        <f>_xlfn.XLOOKUP(FME_Ranking2[[#This Row],[FME ID]],FME_Input[FME_ID],FME_Input[EMER_NEED])</f>
        <v>No</v>
      </c>
      <c r="E78" s="120">
        <f>IF(FME_Ranking_Option2!$D78="Yes",100,0)</f>
        <v>0</v>
      </c>
      <c r="F78" s="34" t="str">
        <f>_xlfn.XLOOKUP(FME_Ranking2[[#This Row],[FME ID]],FME_Input[FME_ID],FME_Input[FUND])</f>
        <v>Yes</v>
      </c>
      <c r="G78" s="35">
        <f>IF(FME_Ranking_Option2!$F78="Yes",1,0)</f>
        <v>1</v>
      </c>
      <c r="H78" s="33">
        <f>_xlfn.XLOOKUP(FME_Ranking2[[#This Row],[FME ID]],FME_Input[FME_ID],FME_Input[STRUCT_100])</f>
        <v>5251</v>
      </c>
      <c r="I78" s="64" t="e">
        <f>FME_Ranking2[[#This Row],[Raw Data3]]*H$4</f>
        <v>#REF!</v>
      </c>
      <c r="J78" s="63">
        <f>((FME_Ranking_Option2!$H78)/($H$3))*100</f>
        <v>0.58352938038758972</v>
      </c>
      <c r="K78" s="36" t="e">
        <f>FME_Ranking2[[#This Row],[Norm Data3]]*H$4</f>
        <v>#REF!</v>
      </c>
      <c r="L78" s="37">
        <f>_xlfn.XLOOKUP(FME_Ranking2[[#This Row],[FME ID]],FME_Input[FME_ID],FME_Input[RES_STRUCT100])</f>
        <v>4835</v>
      </c>
      <c r="M78" s="38" t="e">
        <f>FME_Ranking2[[#This Row],[Raw Data4]]*L$4</f>
        <v>#REF!</v>
      </c>
      <c r="N78" s="28">
        <f>((FME_Ranking_Option2!$L78)/($L$3))*100</f>
        <v>0.72284689549592374</v>
      </c>
      <c r="O78" s="39" t="e">
        <f>FME_Ranking2[[#This Row],[Norm Data4]]*L$4</f>
        <v>#REF!</v>
      </c>
      <c r="P78" s="34">
        <f>_xlfn.XLOOKUP(FME_Ranking2[[#This Row],[FME ID]],FME_Input[FME_ID],FME_Input[POP100])</f>
        <v>20978</v>
      </c>
      <c r="Q78" s="35" t="e">
        <f>FME_Ranking_Option2!$P78*P$4</f>
        <v>#REF!</v>
      </c>
      <c r="R78" s="35">
        <f>FME_Ranking_Option2!$P78/($P$3)</f>
        <v>7.6993714394352573E-3</v>
      </c>
      <c r="S78" s="35" t="e">
        <f>FME_Ranking_Option2!$R78*P$4</f>
        <v>#REF!</v>
      </c>
      <c r="T78" s="37">
        <f>_xlfn.XLOOKUP(FME_Ranking2[[#This Row],[FME ID]],FME_Input[FME_ID],FME_Input[CRITFAC100])</f>
        <v>25</v>
      </c>
      <c r="U78" s="35" t="e">
        <f>FME_Ranking_Option2!$T78*T$4</f>
        <v>#REF!</v>
      </c>
      <c r="V78" s="35">
        <f>FME_Ranking_Option2!$T78/($T$3)</f>
        <v>3.5255958256945425E-3</v>
      </c>
      <c r="W78" s="35" t="e">
        <f>FME_Ranking_Option2!$V78*T$4</f>
        <v>#REF!</v>
      </c>
      <c r="X78" s="37">
        <f>_xlfn.XLOOKUP(FME_Ranking2[[#This Row],[FME ID]],FME_Input[FME_ID],FME_Input[LWC])</f>
        <v>2</v>
      </c>
      <c r="Y78" s="35" t="e">
        <f>FME_Ranking_Option2!$X78*X$4</f>
        <v>#REF!</v>
      </c>
      <c r="Z78" s="35">
        <f>FME_Ranking_Option2!$X78/($X$3)</f>
        <v>1.8244845831052726E-4</v>
      </c>
      <c r="AA78" s="35" t="e">
        <f>FME_Ranking_Option2!$Z78*X$4</f>
        <v>#REF!</v>
      </c>
      <c r="AB78" s="37">
        <f>_xlfn.XLOOKUP(FME_Ranking2[[#This Row],[FME ID]],FME_Input[FME_ID],FME_Input[ROADCLS])</f>
        <v>2</v>
      </c>
      <c r="AC78" s="35" t="e">
        <f>FME_Ranking_Option2!$AB78*AB$4</f>
        <v>#REF!</v>
      </c>
      <c r="AD78" s="40">
        <f>_xlfn.XLOOKUP(FME_Ranking2[[#This Row],[FME ID]],FME_Input[FME_ID],FME_Input[ROAD_MILES100])</f>
        <v>104.5637283325195</v>
      </c>
      <c r="AE78" s="41" t="e">
        <f>FME_Ranking_Option2!$AD78*AD$4</f>
        <v>#REF!</v>
      </c>
      <c r="AF78" s="42">
        <f>FME_Ranking_Option2!$AD78/($AD$3)</f>
        <v>2.361810513759484E-3</v>
      </c>
      <c r="AG78" s="42" t="e">
        <f>FME_Ranking_Option2!$AF78*AD$4</f>
        <v>#REF!</v>
      </c>
      <c r="AH78" s="40">
        <f>_xlfn.XLOOKUP(FME_Ranking2[[#This Row],[FME ID]],FME_Input[FME_ID],FME_Input[FARMACRE100])</f>
        <v>1308.191162109375</v>
      </c>
      <c r="AI78" s="43" t="e">
        <f>FME_Ranking_Option2!$AH78*AH$4</f>
        <v>#REF!</v>
      </c>
      <c r="AJ78" s="41">
        <f>FME_Ranking_Option2!$AH78/($AH$3)</f>
        <v>7.5961349110393511E-2</v>
      </c>
      <c r="AK78" s="44" t="e">
        <f>FME_Ranking_Option2!$AJ78*AH$4</f>
        <v>#REF!</v>
      </c>
      <c r="AL7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78" s="45" t="e">
        <f>_xlfn.RANK.EQ(AL78,$AL$7:$AL$531)+COUNTIF(AL$7:AL78,AL78)-1</f>
        <v>#REF!</v>
      </c>
      <c r="AN78" s="44"/>
      <c r="AO78" s="45" t="e">
        <f>_xlfn.RANK.EQ(AN78,$AN$7:$AN$531)+COUNTIF(AN$7:AN78,AN78)-1</f>
        <v>#N/A</v>
      </c>
      <c r="AP7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78" s="32" t="e">
        <f>FME_Ranking2[[#This Row],[Score Based on Reported Factors]]-FME_Ranking2[[#This Row],[Check]]</f>
        <v>#REF!</v>
      </c>
      <c r="AR78" s="32"/>
    </row>
    <row r="79" spans="1:55" ht="12" customHeight="1" x14ac:dyDescent="0.25">
      <c r="A79" s="16" t="s">
        <v>1135</v>
      </c>
      <c r="B79" s="16" t="str">
        <f>_xlfn.XLOOKUP(FME_Ranking2[[#This Row],[FME ID]],FME_Input[FME_ID],FME_Input[FME_NAME])</f>
        <v>Sunmeadow Drainage Improvements Phase 2</v>
      </c>
      <c r="C79" s="16" t="str">
        <f>_xlfn.XLOOKUP(FME_Ranking2[[#This Row],[FME ID]],FME_Input[FME_ID],FME_Input[DESCR])</f>
        <v>Further study of component of 1993 master Drainage Plan Phase 1. Initial phase of project completed in 2005. Upsizing storm sewer system to reduce potential flooding. Include Atlas 14 rainfalls.</v>
      </c>
      <c r="D79" s="46" t="str">
        <f>_xlfn.XLOOKUP(FME_Ranking2[[#This Row],[FME ID]],FME_Input[FME_ID],FME_Input[EMER_NEED])</f>
        <v>No</v>
      </c>
      <c r="E79" s="121">
        <f>IF(FME_Ranking_Option2!$D79="Yes",100,0)</f>
        <v>0</v>
      </c>
      <c r="F79" s="47" t="str">
        <f>_xlfn.XLOOKUP(FME_Ranking2[[#This Row],[FME ID]],FME_Input[FME_ID],FME_Input[FUND])</f>
        <v>Yes</v>
      </c>
      <c r="G79" s="48">
        <f>IF(FME_Ranking_Option2!$F79="Yes",1,0)</f>
        <v>1</v>
      </c>
      <c r="H79" s="46">
        <f>_xlfn.XLOOKUP(FME_Ranking2[[#This Row],[FME ID]],FME_Input[FME_ID],FME_Input[STRUCT_100])</f>
        <v>363</v>
      </c>
      <c r="I79" s="65" t="e">
        <f>FME_Ranking2[[#This Row],[Raw Data3]]*H$4</f>
        <v>#REF!</v>
      </c>
      <c r="J79" s="62">
        <f>((FME_Ranking_Option2!$H79)/($H$3))*100</f>
        <v>4.0339204928717405E-2</v>
      </c>
      <c r="K79" s="49" t="e">
        <f>FME_Ranking2[[#This Row],[Norm Data3]]*H$4</f>
        <v>#REF!</v>
      </c>
      <c r="L79" s="50">
        <f>_xlfn.XLOOKUP(FME_Ranking2[[#This Row],[FME ID]],FME_Input[FME_ID],FME_Input[RES_STRUCT100])</f>
        <v>267</v>
      </c>
      <c r="M79" s="51" t="e">
        <f>FME_Ranking2[[#This Row],[Raw Data4]]*L$4</f>
        <v>#REF!</v>
      </c>
      <c r="N79" s="29">
        <f>((FME_Ranking_Option2!$L79)/($L$3))*100</f>
        <v>3.9917294952928985E-2</v>
      </c>
      <c r="O79" s="52" t="e">
        <f>FME_Ranking2[[#This Row],[Norm Data4]]*L$4</f>
        <v>#REF!</v>
      </c>
      <c r="P79" s="47">
        <f>_xlfn.XLOOKUP(FME_Ranking2[[#This Row],[FME ID]],FME_Input[FME_ID],FME_Input[POP100])</f>
        <v>589</v>
      </c>
      <c r="Q79" s="48" t="e">
        <f>FME_Ranking_Option2!$P79*P$4</f>
        <v>#REF!</v>
      </c>
      <c r="R79" s="48">
        <f>FME_Ranking_Option2!$P79/($P$3)</f>
        <v>2.1617550661775985E-4</v>
      </c>
      <c r="S79" s="48" t="e">
        <f>FME_Ranking_Option2!$R79*P$4</f>
        <v>#REF!</v>
      </c>
      <c r="T79" s="50">
        <f>_xlfn.XLOOKUP(FME_Ranking2[[#This Row],[FME ID]],FME_Input[FME_ID],FME_Input[CRITFAC100])</f>
        <v>1</v>
      </c>
      <c r="U79" s="48" t="e">
        <f>FME_Ranking_Option2!$T79*T$4</f>
        <v>#REF!</v>
      </c>
      <c r="V79" s="48">
        <f>FME_Ranking_Option2!$T79/($T$3)</f>
        <v>1.4102383302778171E-4</v>
      </c>
      <c r="W79" s="48" t="e">
        <f>FME_Ranking_Option2!$V79*T$4</f>
        <v>#REF!</v>
      </c>
      <c r="X79" s="50">
        <f>_xlfn.XLOOKUP(FME_Ranking2[[#This Row],[FME ID]],FME_Input[FME_ID],FME_Input[LWC])</f>
        <v>0</v>
      </c>
      <c r="Y79" s="48" t="e">
        <f>FME_Ranking_Option2!$X79*X$4</f>
        <v>#REF!</v>
      </c>
      <c r="Z79" s="48">
        <f>FME_Ranking_Option2!$X79/($X$3)</f>
        <v>0</v>
      </c>
      <c r="AA79" s="48" t="e">
        <f>FME_Ranking_Option2!$Z79*X$4</f>
        <v>#REF!</v>
      </c>
      <c r="AB79" s="50">
        <f>_xlfn.XLOOKUP(FME_Ranking2[[#This Row],[FME ID]],FME_Input[FME_ID],FME_Input[ROADCLS])</f>
        <v>0</v>
      </c>
      <c r="AC79" s="48" t="e">
        <f>FME_Ranking_Option2!$AB79*AB$4</f>
        <v>#REF!</v>
      </c>
      <c r="AD79" s="53">
        <f>_xlfn.XLOOKUP(FME_Ranking2[[#This Row],[FME ID]],FME_Input[FME_ID],FME_Input[ROAD_MILES100])</f>
        <v>8.9817647933959961</v>
      </c>
      <c r="AE79" s="54" t="e">
        <f>FME_Ranking_Option2!$AD79*AD$4</f>
        <v>#REF!</v>
      </c>
      <c r="AF79" s="55">
        <f>FME_Ranking_Option2!$AD79/($AD$3)</f>
        <v>2.0287366240134431E-4</v>
      </c>
      <c r="AG79" s="55" t="e">
        <f>FME_Ranking_Option2!$AF79*AD$4</f>
        <v>#REF!</v>
      </c>
      <c r="AH79" s="53">
        <f>_xlfn.XLOOKUP(FME_Ranking2[[#This Row],[FME ID]],FME_Input[FME_ID],FME_Input[FARMACRE100])</f>
        <v>9.2176370620727539</v>
      </c>
      <c r="AI79" s="54" t="e">
        <f>FME_Ranking_Option2!$AH79*AH$4</f>
        <v>#REF!</v>
      </c>
      <c r="AJ79" s="56">
        <f>FME_Ranking_Option2!$AH79/($AH$3)</f>
        <v>5.3523075764860546E-4</v>
      </c>
      <c r="AK79" s="57" t="e">
        <f>FME_Ranking_Option2!$AJ79*AH$4</f>
        <v>#REF!</v>
      </c>
      <c r="AL7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79" s="58" t="e">
        <f>_xlfn.RANK.EQ(AL79,$AL$7:$AL$531)+COUNTIF(AL$7:AL79,AL79)-1</f>
        <v>#REF!</v>
      </c>
      <c r="AN79" s="57"/>
      <c r="AO79" s="58" t="e">
        <f>_xlfn.RANK.EQ(AN79,$AN$7:$AN$531)+COUNTIF(AN$7:AN79,AN79)-1</f>
        <v>#N/A</v>
      </c>
      <c r="AP7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79" s="32" t="e">
        <f>FME_Ranking2[[#This Row],[Score Based on Reported Factors]]-FME_Ranking2[[#This Row],[Check]]</f>
        <v>#REF!</v>
      </c>
      <c r="AR79" s="32"/>
      <c r="AT79" s="19"/>
      <c r="AU79" s="19"/>
      <c r="AV79" s="19"/>
      <c r="AW79" s="19"/>
      <c r="AX79" s="19"/>
      <c r="AY79" s="19"/>
      <c r="AZ79" s="19"/>
      <c r="BA79" s="19"/>
      <c r="BB79" s="19"/>
      <c r="BC79" s="19"/>
    </row>
    <row r="80" spans="1:55" ht="12" customHeight="1" x14ac:dyDescent="0.25">
      <c r="A80" s="17" t="s">
        <v>1138</v>
      </c>
      <c r="B80" s="17" t="e">
        <f>_xlfn.XLOOKUP(FME_Ranking2[[#This Row],[FME ID]],FME_Input[FME_ID],FME_Input[FME_NAME])</f>
        <v>#N/A</v>
      </c>
      <c r="C80" s="17" t="e">
        <f>_xlfn.XLOOKUP(FME_Ranking2[[#This Row],[FME ID]],FME_Input[FME_ID],FME_Input[DESCR])</f>
        <v>#N/A</v>
      </c>
      <c r="D80" s="33" t="e">
        <f>_xlfn.XLOOKUP(FME_Ranking2[[#This Row],[FME ID]],FME_Input[FME_ID],FME_Input[EMER_NEED])</f>
        <v>#N/A</v>
      </c>
      <c r="E80" s="120" t="e">
        <f>IF(FME_Ranking_Option2!$D80="Yes",100,0)</f>
        <v>#N/A</v>
      </c>
      <c r="F80" s="34" t="e">
        <f>_xlfn.XLOOKUP(FME_Ranking2[[#This Row],[FME ID]],FME_Input[FME_ID],FME_Input[FUND])</f>
        <v>#N/A</v>
      </c>
      <c r="G80" s="35" t="e">
        <f>IF(FME_Ranking_Option2!$F80="Yes",1,0)</f>
        <v>#N/A</v>
      </c>
      <c r="H80" s="33" t="e">
        <f>_xlfn.XLOOKUP(FME_Ranking2[[#This Row],[FME ID]],FME_Input[FME_ID],FME_Input[STRUCT_100])</f>
        <v>#N/A</v>
      </c>
      <c r="I80" s="64" t="e">
        <f>FME_Ranking2[[#This Row],[Raw Data3]]*H$4</f>
        <v>#N/A</v>
      </c>
      <c r="J80" s="63" t="e">
        <f>((FME_Ranking_Option2!$H80)/($H$3))*100</f>
        <v>#N/A</v>
      </c>
      <c r="K80" s="36" t="e">
        <f>FME_Ranking2[[#This Row],[Norm Data3]]*H$4</f>
        <v>#N/A</v>
      </c>
      <c r="L80" s="37" t="e">
        <f>_xlfn.XLOOKUP(FME_Ranking2[[#This Row],[FME ID]],FME_Input[FME_ID],FME_Input[RES_STRUCT100])</f>
        <v>#N/A</v>
      </c>
      <c r="M80" s="38" t="e">
        <f>FME_Ranking2[[#This Row],[Raw Data4]]*L$4</f>
        <v>#N/A</v>
      </c>
      <c r="N80" s="28" t="e">
        <f>((FME_Ranking_Option2!$L80)/($L$3))*100</f>
        <v>#N/A</v>
      </c>
      <c r="O80" s="39" t="e">
        <f>FME_Ranking2[[#This Row],[Norm Data4]]*L$4</f>
        <v>#N/A</v>
      </c>
      <c r="P80" s="34" t="e">
        <f>_xlfn.XLOOKUP(FME_Ranking2[[#This Row],[FME ID]],FME_Input[FME_ID],FME_Input[POP100])</f>
        <v>#N/A</v>
      </c>
      <c r="Q80" s="35" t="e">
        <f>FME_Ranking_Option2!$P80*P$4</f>
        <v>#N/A</v>
      </c>
      <c r="R80" s="35" t="e">
        <f>FME_Ranking_Option2!$P80/($P$3)</f>
        <v>#N/A</v>
      </c>
      <c r="S80" s="35" t="e">
        <f>FME_Ranking_Option2!$R80*P$4</f>
        <v>#N/A</v>
      </c>
      <c r="T80" s="37" t="e">
        <f>_xlfn.XLOOKUP(FME_Ranking2[[#This Row],[FME ID]],FME_Input[FME_ID],FME_Input[CRITFAC100])</f>
        <v>#N/A</v>
      </c>
      <c r="U80" s="35" t="e">
        <f>FME_Ranking_Option2!$T80*T$4</f>
        <v>#N/A</v>
      </c>
      <c r="V80" s="35" t="e">
        <f>FME_Ranking_Option2!$T80/($T$3)</f>
        <v>#N/A</v>
      </c>
      <c r="W80" s="35" t="e">
        <f>FME_Ranking_Option2!$V80*T$4</f>
        <v>#N/A</v>
      </c>
      <c r="X80" s="37" t="e">
        <f>_xlfn.XLOOKUP(FME_Ranking2[[#This Row],[FME ID]],FME_Input[FME_ID],FME_Input[LWC])</f>
        <v>#N/A</v>
      </c>
      <c r="Y80" s="35" t="e">
        <f>FME_Ranking_Option2!$X80*X$4</f>
        <v>#N/A</v>
      </c>
      <c r="Z80" s="35" t="e">
        <f>FME_Ranking_Option2!$X80/($X$3)</f>
        <v>#N/A</v>
      </c>
      <c r="AA80" s="35" t="e">
        <f>FME_Ranking_Option2!$Z80*X$4</f>
        <v>#N/A</v>
      </c>
      <c r="AB80" s="37" t="e">
        <f>_xlfn.XLOOKUP(FME_Ranking2[[#This Row],[FME ID]],FME_Input[FME_ID],FME_Input[ROADCLS])</f>
        <v>#N/A</v>
      </c>
      <c r="AC80" s="35" t="e">
        <f>FME_Ranking_Option2!$AB80*AB$4</f>
        <v>#N/A</v>
      </c>
      <c r="AD80" s="40" t="e">
        <f>_xlfn.XLOOKUP(FME_Ranking2[[#This Row],[FME ID]],FME_Input[FME_ID],FME_Input[ROAD_MILES100])</f>
        <v>#N/A</v>
      </c>
      <c r="AE80" s="41" t="e">
        <f>FME_Ranking_Option2!$AD80*AD$4</f>
        <v>#N/A</v>
      </c>
      <c r="AF80" s="42" t="e">
        <f>FME_Ranking_Option2!$AD80/($AD$3)</f>
        <v>#N/A</v>
      </c>
      <c r="AG80" s="42" t="e">
        <f>FME_Ranking_Option2!$AF80*AD$4</f>
        <v>#N/A</v>
      </c>
      <c r="AH80" s="40" t="e">
        <f>_xlfn.XLOOKUP(FME_Ranking2[[#This Row],[FME ID]],FME_Input[FME_ID],FME_Input[FARMACRE100])</f>
        <v>#N/A</v>
      </c>
      <c r="AI80" s="43" t="e">
        <f>FME_Ranking_Option2!$AH80*AH$4</f>
        <v>#N/A</v>
      </c>
      <c r="AJ80" s="41" t="e">
        <f>FME_Ranking_Option2!$AH80/($AH$3)</f>
        <v>#N/A</v>
      </c>
      <c r="AK80" s="44" t="e">
        <f>FME_Ranking_Option2!$AJ80*AH$4</f>
        <v>#N/A</v>
      </c>
      <c r="AL8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#N/A</v>
      </c>
      <c r="AM80" s="45" t="e">
        <f>_xlfn.RANK.EQ(AL80,$AL$7:$AL$531)+COUNTIF(AL$7:AL80,AL80)-1</f>
        <v>#N/A</v>
      </c>
      <c r="AN80" s="44"/>
      <c r="AO80" s="45" t="e">
        <f>_xlfn.RANK.EQ(AN80,$AN$7:$AN$531)+COUNTIF(AN$7:AN80,AN80)-1</f>
        <v>#N/A</v>
      </c>
      <c r="AP8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#N/A</v>
      </c>
      <c r="AQ80" s="32" t="e">
        <f>FME_Ranking2[[#This Row],[Score Based on Reported Factors]]-FME_Ranking2[[#This Row],[Check]]</f>
        <v>#N/A</v>
      </c>
      <c r="AR80" s="32"/>
    </row>
    <row r="81" spans="1:55" ht="12" customHeight="1" x14ac:dyDescent="0.25">
      <c r="A81" s="16" t="s">
        <v>1139</v>
      </c>
      <c r="B81" s="16" t="str">
        <f>_xlfn.XLOOKUP(FME_Ranking2[[#This Row],[FME ID]],FME_Input[FME_ID],FME_Input[FME_NAME])</f>
        <v>Storm water detention ponds &amp; Widening of drainage systems feasibility study</v>
      </c>
      <c r="C81" s="16" t="str">
        <f>_xlfn.XLOOKUP(FME_Ranking2[[#This Row],[FME ID]],FME_Input[FME_ID],FME_Input[DESCR])</f>
        <v>Study of area to identify problem areas and recommend flood mitigation alternatives that consider detention ponds &amp; widening drainage systems.</v>
      </c>
      <c r="D81" s="46" t="str">
        <f>_xlfn.XLOOKUP(FME_Ranking2[[#This Row],[FME ID]],FME_Input[FME_ID],FME_Input[EMER_NEED])</f>
        <v>No</v>
      </c>
      <c r="E81" s="121">
        <f>IF(FME_Ranking_Option2!$D81="Yes",100,0)</f>
        <v>0</v>
      </c>
      <c r="F81" s="47" t="str">
        <f>_xlfn.XLOOKUP(FME_Ranking2[[#This Row],[FME ID]],FME_Input[FME_ID],FME_Input[FUND])</f>
        <v>Yes</v>
      </c>
      <c r="G81" s="48">
        <f>IF(FME_Ranking_Option2!$F81="Yes",1,0)</f>
        <v>1</v>
      </c>
      <c r="H81" s="46">
        <f>_xlfn.XLOOKUP(FME_Ranking2[[#This Row],[FME ID]],FME_Input[FME_ID],FME_Input[STRUCT_100])</f>
        <v>48570</v>
      </c>
      <c r="I81" s="65" t="e">
        <f>FME_Ranking2[[#This Row],[Raw Data3]]*H$4</f>
        <v>#REF!</v>
      </c>
      <c r="J81" s="62">
        <f>((FME_Ranking_Option2!$H81)/($H$3))*100</f>
        <v>5.3974522958341717</v>
      </c>
      <c r="K81" s="49" t="e">
        <f>FME_Ranking2[[#This Row],[Norm Data3]]*H$4</f>
        <v>#REF!</v>
      </c>
      <c r="L81" s="50">
        <f>_xlfn.XLOOKUP(FME_Ranking2[[#This Row],[FME ID]],FME_Input[FME_ID],FME_Input[RES_STRUCT100])</f>
        <v>42185</v>
      </c>
      <c r="M81" s="51" t="e">
        <f>FME_Ranking2[[#This Row],[Raw Data4]]*L$4</f>
        <v>#REF!</v>
      </c>
      <c r="N81" s="29">
        <f>((FME_Ranking_Option2!$L81)/($L$3))*100</f>
        <v>6.3067830995854282</v>
      </c>
      <c r="O81" s="52" t="e">
        <f>FME_Ranking2[[#This Row],[Norm Data4]]*L$4</f>
        <v>#REF!</v>
      </c>
      <c r="P81" s="47">
        <f>_xlfn.XLOOKUP(FME_Ranking2[[#This Row],[FME ID]],FME_Input[FME_ID],FME_Input[POP100])</f>
        <v>171395</v>
      </c>
      <c r="Q81" s="48" t="e">
        <f>FME_Ranking_Option2!$P81*P$4</f>
        <v>#REF!</v>
      </c>
      <c r="R81" s="48">
        <f>FME_Ranking_Option2!$P81/($P$3)</f>
        <v>6.2905604340833532E-2</v>
      </c>
      <c r="S81" s="48" t="e">
        <f>FME_Ranking_Option2!$R81*P$4</f>
        <v>#REF!</v>
      </c>
      <c r="T81" s="50">
        <f>_xlfn.XLOOKUP(FME_Ranking2[[#This Row],[FME ID]],FME_Input[FME_ID],FME_Input[CRITFAC100])</f>
        <v>681</v>
      </c>
      <c r="U81" s="48" t="e">
        <f>FME_Ranking_Option2!$T81*T$4</f>
        <v>#REF!</v>
      </c>
      <c r="V81" s="48">
        <f>FME_Ranking_Option2!$T81/($T$3)</f>
        <v>9.6037230291919337E-2</v>
      </c>
      <c r="W81" s="48" t="e">
        <f>FME_Ranking_Option2!$V81*T$4</f>
        <v>#REF!</v>
      </c>
      <c r="X81" s="50">
        <f>_xlfn.XLOOKUP(FME_Ranking2[[#This Row],[FME ID]],FME_Input[FME_ID],FME_Input[LWC])</f>
        <v>30</v>
      </c>
      <c r="Y81" s="48" t="e">
        <f>FME_Ranking_Option2!$X81*X$4</f>
        <v>#REF!</v>
      </c>
      <c r="Z81" s="48">
        <f>FME_Ranking_Option2!$X81/($X$3)</f>
        <v>2.7367268746579091E-3</v>
      </c>
      <c r="AA81" s="48" t="e">
        <f>FME_Ranking_Option2!$Z81*X$4</f>
        <v>#REF!</v>
      </c>
      <c r="AB81" s="50">
        <f>_xlfn.XLOOKUP(FME_Ranking2[[#This Row],[FME ID]],FME_Input[FME_ID],FME_Input[ROADCLS])</f>
        <v>30</v>
      </c>
      <c r="AC81" s="48" t="e">
        <f>FME_Ranking_Option2!$AB81*AB$4</f>
        <v>#REF!</v>
      </c>
      <c r="AD81" s="53">
        <f>_xlfn.XLOOKUP(FME_Ranking2[[#This Row],[FME ID]],FME_Input[FME_ID],FME_Input[ROAD_MILES100])</f>
        <v>910.35089111328125</v>
      </c>
      <c r="AE81" s="54" t="e">
        <f>FME_Ranking_Option2!$AD81*AD$4</f>
        <v>#REF!</v>
      </c>
      <c r="AF81" s="55">
        <f>FME_Ranking_Option2!$AD81/($AD$3)</f>
        <v>2.0562353123104789E-2</v>
      </c>
      <c r="AG81" s="55" t="e">
        <f>FME_Ranking_Option2!$AF81*AD$4</f>
        <v>#REF!</v>
      </c>
      <c r="AH81" s="53">
        <f>_xlfn.XLOOKUP(FME_Ranking2[[#This Row],[FME ID]],FME_Input[FME_ID],FME_Input[FARMACRE100])</f>
        <v>3412.02490234375</v>
      </c>
      <c r="AI81" s="54" t="e">
        <f>FME_Ranking_Option2!$AH81*AH$4</f>
        <v>#REF!</v>
      </c>
      <c r="AJ81" s="56">
        <f>FME_Ranking_Option2!$AH81/($AH$3)</f>
        <v>0.19812243216990966</v>
      </c>
      <c r="AK81" s="57" t="e">
        <f>FME_Ranking_Option2!$AJ81*AH$4</f>
        <v>#REF!</v>
      </c>
      <c r="AL8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81" s="58" t="e">
        <f>_xlfn.RANK.EQ(AL81,$AL$7:$AL$531)+COUNTIF(AL$7:AL81,AL81)-1</f>
        <v>#REF!</v>
      </c>
      <c r="AN81" s="57"/>
      <c r="AO81" s="58" t="e">
        <f>_xlfn.RANK.EQ(AN81,$AN$7:$AN$531)+COUNTIF(AN$7:AN81,AN81)-1</f>
        <v>#N/A</v>
      </c>
      <c r="AP8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81" s="32" t="e">
        <f>FME_Ranking2[[#This Row],[Score Based on Reported Factors]]-FME_Ranking2[[#This Row],[Check]]</f>
        <v>#REF!</v>
      </c>
      <c r="AR81" s="32"/>
      <c r="AT81" s="19"/>
      <c r="AU81" s="19"/>
      <c r="AV81" s="19"/>
      <c r="AW81" s="19"/>
      <c r="AX81" s="19"/>
      <c r="AY81" s="19"/>
      <c r="AZ81" s="19"/>
      <c r="BA81" s="19"/>
      <c r="BB81" s="19"/>
      <c r="BC81" s="19"/>
    </row>
    <row r="82" spans="1:55" ht="12" customHeight="1" x14ac:dyDescent="0.25">
      <c r="A82" s="17" t="s">
        <v>1143</v>
      </c>
      <c r="B82" s="17" t="str">
        <f>_xlfn.XLOOKUP(FME_Ranking2[[#This Row],[FME ID]],FME_Input[FME_ID],FME_Input[FME_NAME])</f>
        <v>Stormwater Drainage Improvement- Nottingham ditch</v>
      </c>
      <c r="C82" s="17" t="str">
        <f>_xlfn.XLOOKUP(FME_Ranking2[[#This Row],[FME ID]],FME_Input[FME_ID],FME_Input[DESCR])</f>
        <v>Further study of proposed slope paving (concrete lining) improvements. Still in planning, consultant hired. Design complete and pending construction funding.</v>
      </c>
      <c r="D82" s="33" t="str">
        <f>_xlfn.XLOOKUP(FME_Ranking2[[#This Row],[FME ID]],FME_Input[FME_ID],FME_Input[EMER_NEED])</f>
        <v>No</v>
      </c>
      <c r="E82" s="120">
        <f>IF(FME_Ranking_Option2!$D82="Yes",100,0)</f>
        <v>0</v>
      </c>
      <c r="F82" s="34" t="str">
        <f>_xlfn.XLOOKUP(FME_Ranking2[[#This Row],[FME ID]],FME_Input[FME_ID],FME_Input[FUND])</f>
        <v>Yes</v>
      </c>
      <c r="G82" s="35">
        <f>IF(FME_Ranking_Option2!$F82="Yes",1,0)</f>
        <v>1</v>
      </c>
      <c r="H82" s="33">
        <f>_xlfn.XLOOKUP(FME_Ranking2[[#This Row],[FME ID]],FME_Input[FME_ID],FME_Input[STRUCT_100])</f>
        <v>5251</v>
      </c>
      <c r="I82" s="64" t="e">
        <f>FME_Ranking2[[#This Row],[Raw Data3]]*H$4</f>
        <v>#REF!</v>
      </c>
      <c r="J82" s="63">
        <f>((FME_Ranking_Option2!$H82)/($H$3))*100</f>
        <v>0.58352938038758972</v>
      </c>
      <c r="K82" s="36" t="e">
        <f>FME_Ranking2[[#This Row],[Norm Data3]]*H$4</f>
        <v>#REF!</v>
      </c>
      <c r="L82" s="37">
        <f>_xlfn.XLOOKUP(FME_Ranking2[[#This Row],[FME ID]],FME_Input[FME_ID],FME_Input[RES_STRUCT100])</f>
        <v>4835</v>
      </c>
      <c r="M82" s="38" t="e">
        <f>FME_Ranking2[[#This Row],[Raw Data4]]*L$4</f>
        <v>#REF!</v>
      </c>
      <c r="N82" s="28">
        <f>((FME_Ranking_Option2!$L82)/($L$3))*100</f>
        <v>0.72284689549592374</v>
      </c>
      <c r="O82" s="39" t="e">
        <f>FME_Ranking2[[#This Row],[Norm Data4]]*L$4</f>
        <v>#REF!</v>
      </c>
      <c r="P82" s="34">
        <f>_xlfn.XLOOKUP(FME_Ranking2[[#This Row],[FME ID]],FME_Input[FME_ID],FME_Input[POP100])</f>
        <v>20978</v>
      </c>
      <c r="Q82" s="35" t="e">
        <f>FME_Ranking_Option2!$P82*P$4</f>
        <v>#REF!</v>
      </c>
      <c r="R82" s="35">
        <f>FME_Ranking_Option2!$P82/($P$3)</f>
        <v>7.6993714394352573E-3</v>
      </c>
      <c r="S82" s="35" t="e">
        <f>FME_Ranking_Option2!$R82*P$4</f>
        <v>#REF!</v>
      </c>
      <c r="T82" s="37">
        <f>_xlfn.XLOOKUP(FME_Ranking2[[#This Row],[FME ID]],FME_Input[FME_ID],FME_Input[CRITFAC100])</f>
        <v>25</v>
      </c>
      <c r="U82" s="35" t="e">
        <f>FME_Ranking_Option2!$T82*T$4</f>
        <v>#REF!</v>
      </c>
      <c r="V82" s="35">
        <f>FME_Ranking_Option2!$T82/($T$3)</f>
        <v>3.5255958256945425E-3</v>
      </c>
      <c r="W82" s="35" t="e">
        <f>FME_Ranking_Option2!$V82*T$4</f>
        <v>#REF!</v>
      </c>
      <c r="X82" s="37">
        <f>_xlfn.XLOOKUP(FME_Ranking2[[#This Row],[FME ID]],FME_Input[FME_ID],FME_Input[LWC])</f>
        <v>2</v>
      </c>
      <c r="Y82" s="35" t="e">
        <f>FME_Ranking_Option2!$X82*X$4</f>
        <v>#REF!</v>
      </c>
      <c r="Z82" s="35">
        <f>FME_Ranking_Option2!$X82/($X$3)</f>
        <v>1.8244845831052726E-4</v>
      </c>
      <c r="AA82" s="35" t="e">
        <f>FME_Ranking_Option2!$Z82*X$4</f>
        <v>#REF!</v>
      </c>
      <c r="AB82" s="37">
        <f>_xlfn.XLOOKUP(FME_Ranking2[[#This Row],[FME ID]],FME_Input[FME_ID],FME_Input[ROADCLS])</f>
        <v>2</v>
      </c>
      <c r="AC82" s="35" t="e">
        <f>FME_Ranking_Option2!$AB82*AB$4</f>
        <v>#REF!</v>
      </c>
      <c r="AD82" s="40">
        <f>_xlfn.XLOOKUP(FME_Ranking2[[#This Row],[FME ID]],FME_Input[FME_ID],FME_Input[ROAD_MILES100])</f>
        <v>104.5637283325195</v>
      </c>
      <c r="AE82" s="41" t="e">
        <f>FME_Ranking_Option2!$AD82*AD$4</f>
        <v>#REF!</v>
      </c>
      <c r="AF82" s="42">
        <f>FME_Ranking_Option2!$AD82/($AD$3)</f>
        <v>2.361810513759484E-3</v>
      </c>
      <c r="AG82" s="42" t="e">
        <f>FME_Ranking_Option2!$AF82*AD$4</f>
        <v>#REF!</v>
      </c>
      <c r="AH82" s="40">
        <f>_xlfn.XLOOKUP(FME_Ranking2[[#This Row],[FME ID]],FME_Input[FME_ID],FME_Input[FARMACRE100])</f>
        <v>1308.191162109375</v>
      </c>
      <c r="AI82" s="43" t="e">
        <f>FME_Ranking_Option2!$AH82*AH$4</f>
        <v>#REF!</v>
      </c>
      <c r="AJ82" s="41">
        <f>FME_Ranking_Option2!$AH82/($AH$3)</f>
        <v>7.5961349110393511E-2</v>
      </c>
      <c r="AK82" s="44" t="e">
        <f>FME_Ranking_Option2!$AJ82*AH$4</f>
        <v>#REF!</v>
      </c>
      <c r="AL82"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82" s="45" t="e">
        <f>_xlfn.RANK.EQ(AL82,$AL$7:$AL$531)+COUNTIF(AL$7:AL82,AL82)-1</f>
        <v>#REF!</v>
      </c>
      <c r="AN82" s="44"/>
      <c r="AO82" s="45" t="e">
        <f>_xlfn.RANK.EQ(AN82,$AN$7:$AN$531)+COUNTIF(AN$7:AN82,AN82)-1</f>
        <v>#N/A</v>
      </c>
      <c r="AP8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82" s="32" t="e">
        <f>FME_Ranking2[[#This Row],[Score Based on Reported Factors]]-FME_Ranking2[[#This Row],[Check]]</f>
        <v>#REF!</v>
      </c>
      <c r="AR82" s="32"/>
    </row>
    <row r="83" spans="1:55" ht="12" customHeight="1" x14ac:dyDescent="0.25">
      <c r="A83" s="16" t="s">
        <v>1111</v>
      </c>
      <c r="B83" s="16" t="str">
        <f>_xlfn.XLOOKUP(FME_Ranking2[[#This Row],[FME ID]],FME_Input[FME_ID],FME_Input[FME_NAME])</f>
        <v>Remedy Data Deficiency in City of New Waverly</v>
      </c>
      <c r="C83" s="16" t="str">
        <f>_xlfn.XLOOKUP(FME_Ranking2[[#This Row],[FME ID]],FME_Input[FME_ID],FME_Input[DESCR])</f>
        <v>Conduct a proper risk assessment of the dams residents suspect are causing upstream flooding, and determine all potential inundation areas.</v>
      </c>
      <c r="D83" s="46" t="str">
        <f>_xlfn.XLOOKUP(FME_Ranking2[[#This Row],[FME ID]],FME_Input[FME_ID],FME_Input[EMER_NEED])</f>
        <v>No</v>
      </c>
      <c r="E83" s="121">
        <f>IF(FME_Ranking_Option2!$D83="Yes",100,0)</f>
        <v>0</v>
      </c>
      <c r="F83" s="47" t="str">
        <f>_xlfn.XLOOKUP(FME_Ranking2[[#This Row],[FME ID]],FME_Input[FME_ID],FME_Input[FUND])</f>
        <v>Yes</v>
      </c>
      <c r="G83" s="48">
        <f>IF(FME_Ranking_Option2!$F83="Yes",1,0)</f>
        <v>1</v>
      </c>
      <c r="H83" s="46">
        <f>_xlfn.XLOOKUP(FME_Ranking2[[#This Row],[FME ID]],FME_Input[FME_ID],FME_Input[STRUCT_100])</f>
        <v>23</v>
      </c>
      <c r="I83" s="65" t="e">
        <f>FME_Ranking2[[#This Row],[Raw Data3]]*H$4</f>
        <v>#REF!</v>
      </c>
      <c r="J83" s="62">
        <f>((FME_Ranking_Option2!$H83)/($H$3))*100</f>
        <v>2.5559275850151521E-3</v>
      </c>
      <c r="K83" s="49" t="e">
        <f>FME_Ranking2[[#This Row],[Norm Data3]]*H$4</f>
        <v>#REF!</v>
      </c>
      <c r="L83" s="50">
        <f>_xlfn.XLOOKUP(FME_Ranking2[[#This Row],[FME ID]],FME_Input[FME_ID],FME_Input[RES_STRUCT100])</f>
        <v>18</v>
      </c>
      <c r="M83" s="51" t="e">
        <f>FME_Ranking2[[#This Row],[Raw Data4]]*L$4</f>
        <v>#REF!</v>
      </c>
      <c r="N83" s="29">
        <f>((FME_Ranking_Option2!$L83)/($L$3))*100</f>
        <v>2.6910535923322914E-3</v>
      </c>
      <c r="O83" s="52" t="e">
        <f>FME_Ranking2[[#This Row],[Norm Data4]]*L$4</f>
        <v>#REF!</v>
      </c>
      <c r="P83" s="47">
        <f>_xlfn.XLOOKUP(FME_Ranking2[[#This Row],[FME ID]],FME_Input[FME_ID],FME_Input[POP100])</f>
        <v>19</v>
      </c>
      <c r="Q83" s="48" t="e">
        <f>FME_Ranking_Option2!$P83*P$4</f>
        <v>#REF!</v>
      </c>
      <c r="R83" s="48">
        <f>FME_Ranking_Option2!$P83/($P$3)</f>
        <v>6.9734034392825764E-6</v>
      </c>
      <c r="S83" s="48" t="e">
        <f>FME_Ranking_Option2!$R83*P$4</f>
        <v>#REF!</v>
      </c>
      <c r="T83" s="50">
        <f>_xlfn.XLOOKUP(FME_Ranking2[[#This Row],[FME ID]],FME_Input[FME_ID],FME_Input[CRITFAC100])</f>
        <v>0</v>
      </c>
      <c r="U83" s="48" t="e">
        <f>FME_Ranking_Option2!$T83*T$4</f>
        <v>#REF!</v>
      </c>
      <c r="V83" s="48">
        <f>FME_Ranking_Option2!$T83/($T$3)</f>
        <v>0</v>
      </c>
      <c r="W83" s="48" t="e">
        <f>FME_Ranking_Option2!$V83*T$4</f>
        <v>#REF!</v>
      </c>
      <c r="X83" s="50">
        <f>_xlfn.XLOOKUP(FME_Ranking2[[#This Row],[FME ID]],FME_Input[FME_ID],FME_Input[LWC])</f>
        <v>0</v>
      </c>
      <c r="Y83" s="48" t="e">
        <f>FME_Ranking_Option2!$X83*X$4</f>
        <v>#REF!</v>
      </c>
      <c r="Z83" s="48">
        <f>FME_Ranking_Option2!$X83/($X$3)</f>
        <v>0</v>
      </c>
      <c r="AA83" s="48" t="e">
        <f>FME_Ranking_Option2!$Z83*X$4</f>
        <v>#REF!</v>
      </c>
      <c r="AB83" s="50">
        <f>_xlfn.XLOOKUP(FME_Ranking2[[#This Row],[FME ID]],FME_Input[FME_ID],FME_Input[ROADCLS])</f>
        <v>0</v>
      </c>
      <c r="AC83" s="48" t="e">
        <f>FME_Ranking_Option2!$AB83*AB$4</f>
        <v>#REF!</v>
      </c>
      <c r="AD83" s="53">
        <f>_xlfn.XLOOKUP(FME_Ranking2[[#This Row],[FME ID]],FME_Input[FME_ID],FME_Input[ROAD_MILES100])</f>
        <v>0.47710961103439331</v>
      </c>
      <c r="AE83" s="54" t="e">
        <f>FME_Ranking_Option2!$AD83*AD$4</f>
        <v>#REF!</v>
      </c>
      <c r="AF83" s="55">
        <f>FME_Ranking_Option2!$AD83/($AD$3)</f>
        <v>1.0776609762548779E-5</v>
      </c>
      <c r="AG83" s="55" t="e">
        <f>FME_Ranking_Option2!$AF83*AD$4</f>
        <v>#REF!</v>
      </c>
      <c r="AH83" s="53">
        <f>_xlfn.XLOOKUP(FME_Ranking2[[#This Row],[FME ID]],FME_Input[FME_ID],FME_Input[FARMACRE100])</f>
        <v>0.88808619976043701</v>
      </c>
      <c r="AI83" s="54" t="e">
        <f>FME_Ranking_Option2!$AH83*AH$4</f>
        <v>#REF!</v>
      </c>
      <c r="AJ83" s="56">
        <f>FME_Ranking_Option2!$AH83/($AH$3)</f>
        <v>5.1567559706908516E-5</v>
      </c>
      <c r="AK83" s="57" t="e">
        <f>FME_Ranking_Option2!$AJ83*AH$4</f>
        <v>#REF!</v>
      </c>
      <c r="AL83"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83" s="58" t="e">
        <f>_xlfn.RANK.EQ(AL83,$AL$7:$AL$531)+COUNTIF(AL$7:AL83,AL83)-1</f>
        <v>#REF!</v>
      </c>
      <c r="AN83" s="57"/>
      <c r="AO83" s="58" t="e">
        <f>_xlfn.RANK.EQ(AN83,$AN$7:$AN$531)+COUNTIF(AN$7:AN83,AN83)-1</f>
        <v>#N/A</v>
      </c>
      <c r="AP8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83" s="32" t="e">
        <f>FME_Ranking2[[#This Row],[Score Based on Reported Factors]]-FME_Ranking2[[#This Row],[Check]]</f>
        <v>#REF!</v>
      </c>
      <c r="AR83" s="32"/>
      <c r="AT83" s="19"/>
      <c r="AU83" s="19"/>
      <c r="AV83" s="19"/>
      <c r="AW83" s="19"/>
      <c r="AX83" s="19"/>
      <c r="AY83" s="19"/>
      <c r="AZ83" s="19"/>
      <c r="BA83" s="19"/>
      <c r="BB83" s="19"/>
      <c r="BC83" s="19"/>
    </row>
    <row r="84" spans="1:55" ht="12" customHeight="1" x14ac:dyDescent="0.25">
      <c r="A84" s="17" t="s">
        <v>1146</v>
      </c>
      <c r="B84" s="17" t="str">
        <f>_xlfn.XLOOKUP(FME_Ranking2[[#This Row],[FME ID]],FME_Input[FME_ID],FME_Input[FME_NAME])</f>
        <v>City of Bayou Vista - Drainage Improvement Program</v>
      </c>
      <c r="C84" s="17" t="str">
        <f>_xlfn.XLOOKUP(FME_Ranking2[[#This Row],[FME ID]],FME_Input[FME_ID],FME_Input[DESCR])</f>
        <v>Study to develop drainage improvement program to reduce standing water and runoff, and reduce minor flooding for residents located in District No. 12.</v>
      </c>
      <c r="D84" s="33" t="str">
        <f>_xlfn.XLOOKUP(FME_Ranking2[[#This Row],[FME ID]],FME_Input[FME_ID],FME_Input[EMER_NEED])</f>
        <v>No</v>
      </c>
      <c r="E84" s="120">
        <f>IF(FME_Ranking_Option2!$D84="Yes",100,0)</f>
        <v>0</v>
      </c>
      <c r="F84" s="34" t="str">
        <f>_xlfn.XLOOKUP(FME_Ranking2[[#This Row],[FME ID]],FME_Input[FME_ID],FME_Input[FUND])</f>
        <v>Yes</v>
      </c>
      <c r="G84" s="35">
        <f>IF(FME_Ranking_Option2!$F84="Yes",1,0)</f>
        <v>1</v>
      </c>
      <c r="H84" s="33">
        <f>_xlfn.XLOOKUP(FME_Ranking2[[#This Row],[FME ID]],FME_Input[FME_ID],FME_Input[STRUCT_100])</f>
        <v>1123</v>
      </c>
      <c r="I84" s="64" t="e">
        <f>FME_Ranking2[[#This Row],[Raw Data3]]*H$4</f>
        <v>#REF!</v>
      </c>
      <c r="J84" s="63">
        <f>((FME_Ranking_Option2!$H84)/($H$3))*100</f>
        <v>0.12479594252052244</v>
      </c>
      <c r="K84" s="36" t="e">
        <f>FME_Ranking2[[#This Row],[Norm Data3]]*H$4</f>
        <v>#REF!</v>
      </c>
      <c r="L84" s="37">
        <f>_xlfn.XLOOKUP(FME_Ranking2[[#This Row],[FME ID]],FME_Input[FME_ID],FME_Input[RES_STRUCT100])</f>
        <v>1095</v>
      </c>
      <c r="M84" s="38" t="e">
        <f>FME_Ranking2[[#This Row],[Raw Data4]]*L$4</f>
        <v>#REF!</v>
      </c>
      <c r="N84" s="28">
        <f>((FME_Ranking_Option2!$L84)/($L$3))*100</f>
        <v>0.16370576020021438</v>
      </c>
      <c r="O84" s="39" t="e">
        <f>FME_Ranking2[[#This Row],[Norm Data4]]*L$4</f>
        <v>#REF!</v>
      </c>
      <c r="P84" s="34">
        <f>_xlfn.XLOOKUP(FME_Ranking2[[#This Row],[FME ID]],FME_Input[FME_ID],FME_Input[POP100])</f>
        <v>1508</v>
      </c>
      <c r="Q84" s="35" t="e">
        <f>FME_Ranking_Option2!$P84*P$4</f>
        <v>#REF!</v>
      </c>
      <c r="R84" s="35">
        <f>FME_Ranking_Option2!$P84/($P$3)</f>
        <v>5.5346802033884865E-4</v>
      </c>
      <c r="S84" s="35" t="e">
        <f>FME_Ranking_Option2!$R84*P$4</f>
        <v>#REF!</v>
      </c>
      <c r="T84" s="37">
        <f>_xlfn.XLOOKUP(FME_Ranking2[[#This Row],[FME ID]],FME_Input[FME_ID],FME_Input[CRITFAC100])</f>
        <v>3</v>
      </c>
      <c r="U84" s="35" t="e">
        <f>FME_Ranking_Option2!$T84*T$4</f>
        <v>#REF!</v>
      </c>
      <c r="V84" s="35">
        <f>FME_Ranking_Option2!$T84/($T$3)</f>
        <v>4.2307149908334509E-4</v>
      </c>
      <c r="W84" s="35" t="e">
        <f>FME_Ranking_Option2!$V84*T$4</f>
        <v>#REF!</v>
      </c>
      <c r="X84" s="37">
        <f>_xlfn.XLOOKUP(FME_Ranking2[[#This Row],[FME ID]],FME_Input[FME_ID],FME_Input[LWC])</f>
        <v>0</v>
      </c>
      <c r="Y84" s="35" t="e">
        <f>FME_Ranking_Option2!$X84*X$4</f>
        <v>#REF!</v>
      </c>
      <c r="Z84" s="35">
        <f>FME_Ranking_Option2!$X84/($X$3)</f>
        <v>0</v>
      </c>
      <c r="AA84" s="35" t="e">
        <f>FME_Ranking_Option2!$Z84*X$4</f>
        <v>#REF!</v>
      </c>
      <c r="AB84" s="37">
        <f>_xlfn.XLOOKUP(FME_Ranking2[[#This Row],[FME ID]],FME_Input[FME_ID],FME_Input[ROADCLS])</f>
        <v>0</v>
      </c>
      <c r="AC84" s="35" t="e">
        <f>FME_Ranking_Option2!$AB84*AB$4</f>
        <v>#REF!</v>
      </c>
      <c r="AD84" s="40">
        <f>_xlfn.XLOOKUP(FME_Ranking2[[#This Row],[FME ID]],FME_Input[FME_ID],FME_Input[ROAD_MILES100])</f>
        <v>7.4649877548217773</v>
      </c>
      <c r="AE84" s="41" t="e">
        <f>FME_Ranking_Option2!$AD84*AD$4</f>
        <v>#REF!</v>
      </c>
      <c r="AF84" s="42">
        <f>FME_Ranking_Option2!$AD84/($AD$3)</f>
        <v>1.6861379032274466E-4</v>
      </c>
      <c r="AG84" s="42" t="e">
        <f>FME_Ranking_Option2!$AF84*AD$4</f>
        <v>#REF!</v>
      </c>
      <c r="AH84" s="40">
        <f>_xlfn.XLOOKUP(FME_Ranking2[[#This Row],[FME ID]],FME_Input[FME_ID],FME_Input[FARMACRE100])</f>
        <v>0</v>
      </c>
      <c r="AI84" s="43" t="e">
        <f>FME_Ranking_Option2!$AH84*AH$4</f>
        <v>#REF!</v>
      </c>
      <c r="AJ84" s="41">
        <f>FME_Ranking_Option2!$AH84/($AH$3)</f>
        <v>0</v>
      </c>
      <c r="AK84" s="44" t="e">
        <f>FME_Ranking_Option2!$AJ84*AH$4</f>
        <v>#REF!</v>
      </c>
      <c r="AL84"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84" s="45" t="e">
        <f>_xlfn.RANK.EQ(AL84,$AL$7:$AL$531)+COUNTIF(AL$7:AL84,AL84)-1</f>
        <v>#REF!</v>
      </c>
      <c r="AN84" s="44"/>
      <c r="AO84" s="45" t="e">
        <f>_xlfn.RANK.EQ(AN84,$AN$7:$AN$531)+COUNTIF(AN$7:AN84,AN84)-1</f>
        <v>#N/A</v>
      </c>
      <c r="AP8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84" s="32" t="e">
        <f>FME_Ranking2[[#This Row],[Score Based on Reported Factors]]-FME_Ranking2[[#This Row],[Check]]</f>
        <v>#REF!</v>
      </c>
      <c r="AR84" s="32"/>
    </row>
    <row r="85" spans="1:55" ht="12" customHeight="1" x14ac:dyDescent="0.25">
      <c r="A85" s="16" t="s">
        <v>1215</v>
      </c>
      <c r="B85" s="16" t="str">
        <f>_xlfn.XLOOKUP(FME_Ranking2[[#This Row],[FME ID]],FME_Input[FME_ID],FME_Input[FME_NAME])</f>
        <v>Stormwater Drainage Improvement- Bradshaw Rd</v>
      </c>
      <c r="C85" s="16" t="str">
        <f>_xlfn.XLOOKUP(FME_Ranking2[[#This Row],[FME ID]],FME_Input[FME_ID],FME_Input[DESCR])</f>
        <v>Further study of proposed slope paving (concrete lining) improvements. Southwest from SH 3 to the north line of CCISD's Elem. School #25. Pending Funding.</v>
      </c>
      <c r="D85" s="46" t="str">
        <f>_xlfn.XLOOKUP(FME_Ranking2[[#This Row],[FME ID]],FME_Input[FME_ID],FME_Input[EMER_NEED])</f>
        <v>No</v>
      </c>
      <c r="E85" s="121">
        <f>IF(FME_Ranking_Option2!$D85="Yes",100,0)</f>
        <v>0</v>
      </c>
      <c r="F85" s="47" t="str">
        <f>_xlfn.XLOOKUP(FME_Ranking2[[#This Row],[FME ID]],FME_Input[FME_ID],FME_Input[FUND])</f>
        <v>Yes</v>
      </c>
      <c r="G85" s="48">
        <f>IF(FME_Ranking_Option2!$F85="Yes",1,0)</f>
        <v>1</v>
      </c>
      <c r="H85" s="46">
        <f>_xlfn.XLOOKUP(FME_Ranking2[[#This Row],[FME ID]],FME_Input[FME_ID],FME_Input[STRUCT_100])</f>
        <v>5251</v>
      </c>
      <c r="I85" s="65" t="e">
        <f>FME_Ranking2[[#This Row],[Raw Data3]]*H$4</f>
        <v>#REF!</v>
      </c>
      <c r="J85" s="62">
        <f>((FME_Ranking_Option2!$H85)/($H$3))*100</f>
        <v>0.58352938038758972</v>
      </c>
      <c r="K85" s="49" t="e">
        <f>FME_Ranking2[[#This Row],[Norm Data3]]*H$4</f>
        <v>#REF!</v>
      </c>
      <c r="L85" s="50">
        <f>_xlfn.XLOOKUP(FME_Ranking2[[#This Row],[FME ID]],FME_Input[FME_ID],FME_Input[RES_STRUCT100])</f>
        <v>4835</v>
      </c>
      <c r="M85" s="51" t="e">
        <f>FME_Ranking2[[#This Row],[Raw Data4]]*L$4</f>
        <v>#REF!</v>
      </c>
      <c r="N85" s="29">
        <f>((FME_Ranking_Option2!$L85)/($L$3))*100</f>
        <v>0.72284689549592374</v>
      </c>
      <c r="O85" s="52" t="e">
        <f>FME_Ranking2[[#This Row],[Norm Data4]]*L$4</f>
        <v>#REF!</v>
      </c>
      <c r="P85" s="47">
        <f>_xlfn.XLOOKUP(FME_Ranking2[[#This Row],[FME ID]],FME_Input[FME_ID],FME_Input[POP100])</f>
        <v>20978</v>
      </c>
      <c r="Q85" s="48" t="e">
        <f>FME_Ranking_Option2!$P85*P$4</f>
        <v>#REF!</v>
      </c>
      <c r="R85" s="48">
        <f>FME_Ranking_Option2!$P85/($P$3)</f>
        <v>7.6993714394352573E-3</v>
      </c>
      <c r="S85" s="48" t="e">
        <f>FME_Ranking_Option2!$R85*P$4</f>
        <v>#REF!</v>
      </c>
      <c r="T85" s="50">
        <f>_xlfn.XLOOKUP(FME_Ranking2[[#This Row],[FME ID]],FME_Input[FME_ID],FME_Input[CRITFAC100])</f>
        <v>25</v>
      </c>
      <c r="U85" s="48" t="e">
        <f>FME_Ranking_Option2!$T85*T$4</f>
        <v>#REF!</v>
      </c>
      <c r="V85" s="48">
        <f>FME_Ranking_Option2!$T85/($T$3)</f>
        <v>3.5255958256945425E-3</v>
      </c>
      <c r="W85" s="48" t="e">
        <f>FME_Ranking_Option2!$V85*T$4</f>
        <v>#REF!</v>
      </c>
      <c r="X85" s="50">
        <f>_xlfn.XLOOKUP(FME_Ranking2[[#This Row],[FME ID]],FME_Input[FME_ID],FME_Input[LWC])</f>
        <v>2</v>
      </c>
      <c r="Y85" s="48" t="e">
        <f>FME_Ranking_Option2!$X85*X$4</f>
        <v>#REF!</v>
      </c>
      <c r="Z85" s="48">
        <f>FME_Ranking_Option2!$X85/($X$3)</f>
        <v>1.8244845831052726E-4</v>
      </c>
      <c r="AA85" s="48" t="e">
        <f>FME_Ranking_Option2!$Z85*X$4</f>
        <v>#REF!</v>
      </c>
      <c r="AB85" s="50">
        <f>_xlfn.XLOOKUP(FME_Ranking2[[#This Row],[FME ID]],FME_Input[FME_ID],FME_Input[ROADCLS])</f>
        <v>2</v>
      </c>
      <c r="AC85" s="48" t="e">
        <f>FME_Ranking_Option2!$AB85*AB$4</f>
        <v>#REF!</v>
      </c>
      <c r="AD85" s="53">
        <f>_xlfn.XLOOKUP(FME_Ranking2[[#This Row],[FME ID]],FME_Input[FME_ID],FME_Input[ROAD_MILES100])</f>
        <v>104.5637283325195</v>
      </c>
      <c r="AE85" s="54" t="e">
        <f>FME_Ranking_Option2!$AD85*AD$4</f>
        <v>#REF!</v>
      </c>
      <c r="AF85" s="55">
        <f>FME_Ranking_Option2!$AD85/($AD$3)</f>
        <v>2.361810513759484E-3</v>
      </c>
      <c r="AG85" s="55" t="e">
        <f>FME_Ranking_Option2!$AF85*AD$4</f>
        <v>#REF!</v>
      </c>
      <c r="AH85" s="53">
        <f>_xlfn.XLOOKUP(FME_Ranking2[[#This Row],[FME ID]],FME_Input[FME_ID],FME_Input[FARMACRE100])</f>
        <v>1308.191162109375</v>
      </c>
      <c r="AI85" s="54" t="e">
        <f>FME_Ranking_Option2!$AH85*AH$4</f>
        <v>#REF!</v>
      </c>
      <c r="AJ85" s="56">
        <f>FME_Ranking_Option2!$AH85/($AH$3)</f>
        <v>7.5961349110393511E-2</v>
      </c>
      <c r="AK85" s="57" t="e">
        <f>FME_Ranking_Option2!$AJ85*AH$4</f>
        <v>#REF!</v>
      </c>
      <c r="AL85"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85" s="58" t="e">
        <f>_xlfn.RANK.EQ(AL85,$AL$7:$AL$531)+COUNTIF(AL$7:AL85,AL85)-1</f>
        <v>#REF!</v>
      </c>
      <c r="AN85" s="57"/>
      <c r="AO85" s="58" t="e">
        <f>_xlfn.RANK.EQ(AN85,$AN$7:$AN$531)+COUNTIF(AN$7:AN85,AN85)-1</f>
        <v>#N/A</v>
      </c>
      <c r="AP8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85" s="32" t="e">
        <f>FME_Ranking2[[#This Row],[Score Based on Reported Factors]]-FME_Ranking2[[#This Row],[Check]]</f>
        <v>#REF!</v>
      </c>
      <c r="AR85" s="32"/>
      <c r="AT85" s="19"/>
      <c r="AU85" s="19"/>
      <c r="AV85" s="19"/>
      <c r="AW85" s="19"/>
      <c r="AX85" s="19"/>
      <c r="AY85" s="19"/>
      <c r="AZ85" s="19"/>
      <c r="BA85" s="19"/>
      <c r="BB85" s="19"/>
      <c r="BC85" s="19"/>
    </row>
    <row r="86" spans="1:55" ht="12" customHeight="1" x14ac:dyDescent="0.25">
      <c r="A86" s="17" t="s">
        <v>1149</v>
      </c>
      <c r="B86" s="17" t="str">
        <f>_xlfn.XLOOKUP(FME_Ranking2[[#This Row],[FME ID]],FME_Input[FME_ID],FME_Input[FME_NAME])</f>
        <v>Shellside Drainage Improvements</v>
      </c>
      <c r="C86" s="17" t="str">
        <f>_xlfn.XLOOKUP(FME_Ranking2[[#This Row],[FME ID]],FME_Input[FME_ID],FME_Input[DESCR])</f>
        <v>Further study of proposed drainage improvements to Shellside.</v>
      </c>
      <c r="D86" s="33" t="str">
        <f>_xlfn.XLOOKUP(FME_Ranking2[[#This Row],[FME ID]],FME_Input[FME_ID],FME_Input[EMER_NEED])</f>
        <v>No</v>
      </c>
      <c r="E86" s="120">
        <f>IF(FME_Ranking_Option2!$D86="Yes",100,0)</f>
        <v>0</v>
      </c>
      <c r="F86" s="34" t="str">
        <f>_xlfn.XLOOKUP(FME_Ranking2[[#This Row],[FME ID]],FME_Input[FME_ID],FME_Input[FUND])</f>
        <v>Yes</v>
      </c>
      <c r="G86" s="35">
        <f>IF(FME_Ranking_Option2!$F86="Yes",1,0)</f>
        <v>1</v>
      </c>
      <c r="H86" s="33">
        <f>_xlfn.XLOOKUP(FME_Ranking2[[#This Row],[FME ID]],FME_Input[FME_ID],FME_Input[STRUCT_100])</f>
        <v>5251</v>
      </c>
      <c r="I86" s="64" t="e">
        <f>FME_Ranking2[[#This Row],[Raw Data3]]*H$4</f>
        <v>#REF!</v>
      </c>
      <c r="J86" s="63">
        <f>((FME_Ranking_Option2!$H86)/($H$3))*100</f>
        <v>0.58352938038758972</v>
      </c>
      <c r="K86" s="36" t="e">
        <f>FME_Ranking2[[#This Row],[Norm Data3]]*H$4</f>
        <v>#REF!</v>
      </c>
      <c r="L86" s="37">
        <f>_xlfn.XLOOKUP(FME_Ranking2[[#This Row],[FME ID]],FME_Input[FME_ID],FME_Input[RES_STRUCT100])</f>
        <v>4835</v>
      </c>
      <c r="M86" s="38" t="e">
        <f>FME_Ranking2[[#This Row],[Raw Data4]]*L$4</f>
        <v>#REF!</v>
      </c>
      <c r="N86" s="28">
        <f>((FME_Ranking_Option2!$L86)/($L$3))*100</f>
        <v>0.72284689549592374</v>
      </c>
      <c r="O86" s="39" t="e">
        <f>FME_Ranking2[[#This Row],[Norm Data4]]*L$4</f>
        <v>#REF!</v>
      </c>
      <c r="P86" s="34">
        <f>_xlfn.XLOOKUP(FME_Ranking2[[#This Row],[FME ID]],FME_Input[FME_ID],FME_Input[POP100])</f>
        <v>20978</v>
      </c>
      <c r="Q86" s="35" t="e">
        <f>FME_Ranking_Option2!$P86*P$4</f>
        <v>#REF!</v>
      </c>
      <c r="R86" s="35">
        <f>FME_Ranking_Option2!$P86/($P$3)</f>
        <v>7.6993714394352573E-3</v>
      </c>
      <c r="S86" s="35" t="e">
        <f>FME_Ranking_Option2!$R86*P$4</f>
        <v>#REF!</v>
      </c>
      <c r="T86" s="37">
        <f>_xlfn.XLOOKUP(FME_Ranking2[[#This Row],[FME ID]],FME_Input[FME_ID],FME_Input[CRITFAC100])</f>
        <v>25</v>
      </c>
      <c r="U86" s="35" t="e">
        <f>FME_Ranking_Option2!$T86*T$4</f>
        <v>#REF!</v>
      </c>
      <c r="V86" s="35">
        <f>FME_Ranking_Option2!$T86/($T$3)</f>
        <v>3.5255958256945425E-3</v>
      </c>
      <c r="W86" s="35" t="e">
        <f>FME_Ranking_Option2!$V86*T$4</f>
        <v>#REF!</v>
      </c>
      <c r="X86" s="37">
        <f>_xlfn.XLOOKUP(FME_Ranking2[[#This Row],[FME ID]],FME_Input[FME_ID],FME_Input[LWC])</f>
        <v>2</v>
      </c>
      <c r="Y86" s="35" t="e">
        <f>FME_Ranking_Option2!$X86*X$4</f>
        <v>#REF!</v>
      </c>
      <c r="Z86" s="35">
        <f>FME_Ranking_Option2!$X86/($X$3)</f>
        <v>1.8244845831052726E-4</v>
      </c>
      <c r="AA86" s="35" t="e">
        <f>FME_Ranking_Option2!$Z86*X$4</f>
        <v>#REF!</v>
      </c>
      <c r="AB86" s="37">
        <f>_xlfn.XLOOKUP(FME_Ranking2[[#This Row],[FME ID]],FME_Input[FME_ID],FME_Input[ROADCLS])</f>
        <v>2</v>
      </c>
      <c r="AC86" s="35" t="e">
        <f>FME_Ranking_Option2!$AB86*AB$4</f>
        <v>#REF!</v>
      </c>
      <c r="AD86" s="40">
        <f>_xlfn.XLOOKUP(FME_Ranking2[[#This Row],[FME ID]],FME_Input[FME_ID],FME_Input[ROAD_MILES100])</f>
        <v>104.5637283325195</v>
      </c>
      <c r="AE86" s="41" t="e">
        <f>FME_Ranking_Option2!$AD86*AD$4</f>
        <v>#REF!</v>
      </c>
      <c r="AF86" s="42">
        <f>FME_Ranking_Option2!$AD86/($AD$3)</f>
        <v>2.361810513759484E-3</v>
      </c>
      <c r="AG86" s="42" t="e">
        <f>FME_Ranking_Option2!$AF86*AD$4</f>
        <v>#REF!</v>
      </c>
      <c r="AH86" s="40">
        <f>_xlfn.XLOOKUP(FME_Ranking2[[#This Row],[FME ID]],FME_Input[FME_ID],FME_Input[FARMACRE100])</f>
        <v>1308.191162109375</v>
      </c>
      <c r="AI86" s="43" t="e">
        <f>FME_Ranking_Option2!$AH86*AH$4</f>
        <v>#REF!</v>
      </c>
      <c r="AJ86" s="41">
        <f>FME_Ranking_Option2!$AH86/($AH$3)</f>
        <v>7.5961349110393511E-2</v>
      </c>
      <c r="AK86" s="44" t="e">
        <f>FME_Ranking_Option2!$AJ86*AH$4</f>
        <v>#REF!</v>
      </c>
      <c r="AL86"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86" s="45" t="e">
        <f>_xlfn.RANK.EQ(AL86,$AL$7:$AL$531)+COUNTIF(AL$7:AL86,AL86)-1</f>
        <v>#REF!</v>
      </c>
      <c r="AN86" s="44"/>
      <c r="AO86" s="45" t="e">
        <f>_xlfn.RANK.EQ(AN86,$AN$7:$AN$531)+COUNTIF(AN$7:AN86,AN86)-1</f>
        <v>#N/A</v>
      </c>
      <c r="AP8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86" s="32" t="e">
        <f>FME_Ranking2[[#This Row],[Score Based on Reported Factors]]-FME_Ranking2[[#This Row],[Check]]</f>
        <v>#REF!</v>
      </c>
      <c r="AR86" s="32"/>
    </row>
    <row r="87" spans="1:55" ht="12" customHeight="1" x14ac:dyDescent="0.25">
      <c r="A87" s="16" t="s">
        <v>1152</v>
      </c>
      <c r="B87" s="16" t="str">
        <f>_xlfn.XLOOKUP(FME_Ranking2[[#This Row],[FME ID]],FME_Input[FME_ID],FME_Input[FME_NAME])</f>
        <v>Evaluation of Culvert Enlargement and Bridge Elevation in Grimes County</v>
      </c>
      <c r="C87" s="16" t="str">
        <f>_xlfn.XLOOKUP(FME_Ranking2[[#This Row],[FME ID]],FME_Input[FME_ID],FME_Input[DESCR])</f>
        <v>Study to identify flood-prone areas and mitigate the flooding problem by enlarging culverts under roads and bridges.</v>
      </c>
      <c r="D87" s="46" t="str">
        <f>_xlfn.XLOOKUP(FME_Ranking2[[#This Row],[FME ID]],FME_Input[FME_ID],FME_Input[EMER_NEED])</f>
        <v>No</v>
      </c>
      <c r="E87" s="121">
        <f>IF(FME_Ranking_Option2!$D87="Yes",100,0)</f>
        <v>0</v>
      </c>
      <c r="F87" s="47" t="str">
        <f>_xlfn.XLOOKUP(FME_Ranking2[[#This Row],[FME ID]],FME_Input[FME_ID],FME_Input[FUND])</f>
        <v>Yes</v>
      </c>
      <c r="G87" s="48">
        <f>IF(FME_Ranking_Option2!$F87="Yes",1,0)</f>
        <v>1</v>
      </c>
      <c r="H87" s="46">
        <f>_xlfn.XLOOKUP(FME_Ranking2[[#This Row],[FME ID]],FME_Input[FME_ID],FME_Input[STRUCT_100])</f>
        <v>145</v>
      </c>
      <c r="I87" s="65" t="e">
        <f>FME_Ranking2[[#This Row],[Raw Data3]]*H$4</f>
        <v>#REF!</v>
      </c>
      <c r="J87" s="62">
        <f>((FME_Ranking_Option2!$H87)/($H$3))*100</f>
        <v>1.6113456514225959E-2</v>
      </c>
      <c r="K87" s="49" t="e">
        <f>FME_Ranking2[[#This Row],[Norm Data3]]*H$4</f>
        <v>#REF!</v>
      </c>
      <c r="L87" s="50">
        <f>_xlfn.XLOOKUP(FME_Ranking2[[#This Row],[FME ID]],FME_Input[FME_ID],FME_Input[RES_STRUCT100])</f>
        <v>76</v>
      </c>
      <c r="M87" s="51" t="e">
        <f>FME_Ranking2[[#This Row],[Raw Data4]]*L$4</f>
        <v>#REF!</v>
      </c>
      <c r="N87" s="29">
        <f>((FME_Ranking_Option2!$L87)/($L$3))*100</f>
        <v>1.1362226278736341E-2</v>
      </c>
      <c r="O87" s="52" t="e">
        <f>FME_Ranking2[[#This Row],[Norm Data4]]*L$4</f>
        <v>#REF!</v>
      </c>
      <c r="P87" s="47">
        <f>_xlfn.XLOOKUP(FME_Ranking2[[#This Row],[FME ID]],FME_Input[FME_ID],FME_Input[POP100])</f>
        <v>120</v>
      </c>
      <c r="Q87" s="48" t="e">
        <f>FME_Ranking_Option2!$P87*P$4</f>
        <v>#REF!</v>
      </c>
      <c r="R87" s="48">
        <f>FME_Ranking_Option2!$P87/($P$3)</f>
        <v>4.4042548037574167E-5</v>
      </c>
      <c r="S87" s="48" t="e">
        <f>FME_Ranking_Option2!$R87*P$4</f>
        <v>#REF!</v>
      </c>
      <c r="T87" s="50">
        <f>_xlfn.XLOOKUP(FME_Ranking2[[#This Row],[FME ID]],FME_Input[FME_ID],FME_Input[CRITFAC100])</f>
        <v>0</v>
      </c>
      <c r="U87" s="48" t="e">
        <f>FME_Ranking_Option2!$T87*T$4</f>
        <v>#REF!</v>
      </c>
      <c r="V87" s="48">
        <f>FME_Ranking_Option2!$T87/($T$3)</f>
        <v>0</v>
      </c>
      <c r="W87" s="48" t="e">
        <f>FME_Ranking_Option2!$V87*T$4</f>
        <v>#REF!</v>
      </c>
      <c r="X87" s="50">
        <f>_xlfn.XLOOKUP(FME_Ranking2[[#This Row],[FME ID]],FME_Input[FME_ID],FME_Input[LWC])</f>
        <v>1</v>
      </c>
      <c r="Y87" s="48" t="e">
        <f>FME_Ranking_Option2!$X87*X$4</f>
        <v>#REF!</v>
      </c>
      <c r="Z87" s="48">
        <f>FME_Ranking_Option2!$X87/($X$3)</f>
        <v>9.1224229155263632E-5</v>
      </c>
      <c r="AA87" s="48" t="e">
        <f>FME_Ranking_Option2!$Z87*X$4</f>
        <v>#REF!</v>
      </c>
      <c r="AB87" s="50">
        <f>_xlfn.XLOOKUP(FME_Ranking2[[#This Row],[FME ID]],FME_Input[FME_ID],FME_Input[ROADCLS])</f>
        <v>1</v>
      </c>
      <c r="AC87" s="48" t="e">
        <f>FME_Ranking_Option2!$AB87*AB$4</f>
        <v>#REF!</v>
      </c>
      <c r="AD87" s="53">
        <f>_xlfn.XLOOKUP(FME_Ranking2[[#This Row],[FME ID]],FME_Input[FME_ID],FME_Input[ROAD_MILES100])</f>
        <v>10.806294441223139</v>
      </c>
      <c r="AE87" s="54" t="e">
        <f>FME_Ranking_Option2!$AD87*AD$4</f>
        <v>#REF!</v>
      </c>
      <c r="AF87" s="55">
        <f>FME_Ranking_Option2!$AD87/($AD$3)</f>
        <v>2.4408482973080792E-4</v>
      </c>
      <c r="AG87" s="55" t="e">
        <f>FME_Ranking_Option2!$AF87*AD$4</f>
        <v>#REF!</v>
      </c>
      <c r="AH87" s="53">
        <f>_xlfn.XLOOKUP(FME_Ranking2[[#This Row],[FME ID]],FME_Input[FME_ID],FME_Input[FARMACRE100])</f>
        <v>151.27351379394531</v>
      </c>
      <c r="AI87" s="54" t="e">
        <f>FME_Ranking_Option2!$AH87*AH$4</f>
        <v>#REF!</v>
      </c>
      <c r="AJ87" s="56">
        <f>FME_Ranking_Option2!$AH87/($AH$3)</f>
        <v>8.7838387273075583E-3</v>
      </c>
      <c r="AK87" s="57" t="e">
        <f>FME_Ranking_Option2!$AJ87*AH$4</f>
        <v>#REF!</v>
      </c>
      <c r="AL87"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87" s="58" t="e">
        <f>_xlfn.RANK.EQ(AL87,$AL$7:$AL$531)+COUNTIF(AL$7:AL87,AL87)-1</f>
        <v>#REF!</v>
      </c>
      <c r="AN87" s="57"/>
      <c r="AO87" s="58" t="e">
        <f>_xlfn.RANK.EQ(AN87,$AN$7:$AN$531)+COUNTIF(AN$7:AN87,AN87)-1</f>
        <v>#N/A</v>
      </c>
      <c r="AP8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87" s="32" t="e">
        <f>FME_Ranking2[[#This Row],[Score Based on Reported Factors]]-FME_Ranking2[[#This Row],[Check]]</f>
        <v>#REF!</v>
      </c>
      <c r="AR87" s="32"/>
      <c r="AT87" s="19"/>
      <c r="AU87" s="19"/>
      <c r="AV87" s="19"/>
      <c r="AW87" s="19"/>
      <c r="AX87" s="19"/>
      <c r="AY87" s="19"/>
      <c r="AZ87" s="19"/>
      <c r="BA87" s="19"/>
      <c r="BB87" s="19"/>
      <c r="BC87" s="19"/>
    </row>
    <row r="88" spans="1:55" ht="12" customHeight="1" x14ac:dyDescent="0.25">
      <c r="A88" s="17" t="s">
        <v>1163</v>
      </c>
      <c r="B88" s="17" t="str">
        <f>_xlfn.XLOOKUP(FME_Ranking2[[#This Row],[FME ID]],FME_Input[FME_ID],FME_Input[FME_NAME])</f>
        <v>Widen Drainage Systems and Culverts in City of Kemah</v>
      </c>
      <c r="C88" s="17" t="str">
        <f>_xlfn.XLOOKUP(FME_Ranking2[[#This Row],[FME ID]],FME_Input[FME_ID],FME_Input[DESCR])</f>
        <v>Further study to widen drainage systems and increase culvert size to accommodate increased water flows. Coordinate efforts with water district.</v>
      </c>
      <c r="D88" s="33" t="str">
        <f>_xlfn.XLOOKUP(FME_Ranking2[[#This Row],[FME ID]],FME_Input[FME_ID],FME_Input[EMER_NEED])</f>
        <v>No</v>
      </c>
      <c r="E88" s="120">
        <f>IF(FME_Ranking_Option2!$D88="Yes",100,0)</f>
        <v>0</v>
      </c>
      <c r="F88" s="34" t="str">
        <f>_xlfn.XLOOKUP(FME_Ranking2[[#This Row],[FME ID]],FME_Input[FME_ID],FME_Input[FUND])</f>
        <v>Yes</v>
      </c>
      <c r="G88" s="35">
        <f>IF(FME_Ranking_Option2!$F88="Yes",1,0)</f>
        <v>1</v>
      </c>
      <c r="H88" s="33">
        <f>_xlfn.XLOOKUP(FME_Ranking2[[#This Row],[FME ID]],FME_Input[FME_ID],FME_Input[STRUCT_100])</f>
        <v>562</v>
      </c>
      <c r="I88" s="64" t="e">
        <f>FME_Ranking2[[#This Row],[Raw Data3]]*H$4</f>
        <v>#REF!</v>
      </c>
      <c r="J88" s="63">
        <f>((FME_Ranking_Option2!$H88)/($H$3))*100</f>
        <v>6.2453534903413717E-2</v>
      </c>
      <c r="K88" s="36" t="e">
        <f>FME_Ranking2[[#This Row],[Norm Data3]]*H$4</f>
        <v>#REF!</v>
      </c>
      <c r="L88" s="37">
        <f>_xlfn.XLOOKUP(FME_Ranking2[[#This Row],[FME ID]],FME_Input[FME_ID],FME_Input[RES_STRUCT100])</f>
        <v>425</v>
      </c>
      <c r="M88" s="38" t="e">
        <f>FME_Ranking2[[#This Row],[Raw Data4]]*L$4</f>
        <v>#REF!</v>
      </c>
      <c r="N88" s="28">
        <f>((FME_Ranking_Option2!$L88)/($L$3))*100</f>
        <v>6.3538765374512432E-2</v>
      </c>
      <c r="O88" s="39" t="e">
        <f>FME_Ranking2[[#This Row],[Norm Data4]]*L$4</f>
        <v>#REF!</v>
      </c>
      <c r="P88" s="34">
        <f>_xlfn.XLOOKUP(FME_Ranking2[[#This Row],[FME ID]],FME_Input[FME_ID],FME_Input[POP100])</f>
        <v>3492</v>
      </c>
      <c r="Q88" s="35" t="e">
        <f>FME_Ranking_Option2!$P88*P$4</f>
        <v>#REF!</v>
      </c>
      <c r="R88" s="35">
        <f>FME_Ranking_Option2!$P88/($P$3)</f>
        <v>1.2816381478934083E-3</v>
      </c>
      <c r="S88" s="35" t="e">
        <f>FME_Ranking_Option2!$R88*P$4</f>
        <v>#REF!</v>
      </c>
      <c r="T88" s="37">
        <f>_xlfn.XLOOKUP(FME_Ranking2[[#This Row],[FME ID]],FME_Input[FME_ID],FME_Input[CRITFAC100])</f>
        <v>7</v>
      </c>
      <c r="U88" s="35" t="e">
        <f>FME_Ranking_Option2!$T88*T$4</f>
        <v>#REF!</v>
      </c>
      <c r="V88" s="35">
        <f>FME_Ranking_Option2!$T88/($T$3)</f>
        <v>9.871668311944718E-4</v>
      </c>
      <c r="W88" s="35" t="e">
        <f>FME_Ranking_Option2!$V88*T$4</f>
        <v>#REF!</v>
      </c>
      <c r="X88" s="37">
        <f>_xlfn.XLOOKUP(FME_Ranking2[[#This Row],[FME ID]],FME_Input[FME_ID],FME_Input[LWC])</f>
        <v>0</v>
      </c>
      <c r="Y88" s="35" t="e">
        <f>FME_Ranking_Option2!$X88*X$4</f>
        <v>#REF!</v>
      </c>
      <c r="Z88" s="35">
        <f>FME_Ranking_Option2!$X88/($X$3)</f>
        <v>0</v>
      </c>
      <c r="AA88" s="35" t="e">
        <f>FME_Ranking_Option2!$Z88*X$4</f>
        <v>#REF!</v>
      </c>
      <c r="AB88" s="37">
        <f>_xlfn.XLOOKUP(FME_Ranking2[[#This Row],[FME ID]],FME_Input[FME_ID],FME_Input[ROADCLS])</f>
        <v>0</v>
      </c>
      <c r="AC88" s="35" t="e">
        <f>FME_Ranking_Option2!$AB88*AB$4</f>
        <v>#REF!</v>
      </c>
      <c r="AD88" s="40">
        <f>_xlfn.XLOOKUP(FME_Ranking2[[#This Row],[FME ID]],FME_Input[FME_ID],FME_Input[ROAD_MILES100])</f>
        <v>12.005941390991209</v>
      </c>
      <c r="AE88" s="41" t="e">
        <f>FME_Ranking_Option2!$AD88*AD$4</f>
        <v>#REF!</v>
      </c>
      <c r="AF88" s="42">
        <f>FME_Ranking_Option2!$AD88/($AD$3)</f>
        <v>2.7118159477491118E-4</v>
      </c>
      <c r="AG88" s="42" t="e">
        <f>FME_Ranking_Option2!$AF88*AD$4</f>
        <v>#REF!</v>
      </c>
      <c r="AH88" s="40">
        <f>_xlfn.XLOOKUP(FME_Ranking2[[#This Row],[FME ID]],FME_Input[FME_ID],FME_Input[FARMACRE100])</f>
        <v>0.72296905517578125</v>
      </c>
      <c r="AI88" s="43" t="e">
        <f>FME_Ranking_Option2!$AH88*AH$4</f>
        <v>#REF!</v>
      </c>
      <c r="AJ88" s="41">
        <f>FME_Ranking_Option2!$AH88/($AH$3)</f>
        <v>4.1979877549140118E-5</v>
      </c>
      <c r="AK88" s="44" t="e">
        <f>FME_Ranking_Option2!$AJ88*AH$4</f>
        <v>#REF!</v>
      </c>
      <c r="AL8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88" s="45" t="e">
        <f>_xlfn.RANK.EQ(AL88,$AL$7:$AL$531)+COUNTIF(AL$7:AL88,AL88)-1</f>
        <v>#REF!</v>
      </c>
      <c r="AN88" s="44"/>
      <c r="AO88" s="45" t="e">
        <f>_xlfn.RANK.EQ(AN88,$AN$7:$AN$531)+COUNTIF(AN$7:AN88,AN88)-1</f>
        <v>#N/A</v>
      </c>
      <c r="AP8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88" s="32" t="e">
        <f>FME_Ranking2[[#This Row],[Score Based on Reported Factors]]-FME_Ranking2[[#This Row],[Check]]</f>
        <v>#REF!</v>
      </c>
      <c r="AR88" s="32"/>
    </row>
    <row r="89" spans="1:55" ht="12" customHeight="1" x14ac:dyDescent="0.25">
      <c r="A89" s="16" t="s">
        <v>1169</v>
      </c>
      <c r="B89" s="16" t="str">
        <f>_xlfn.XLOOKUP(FME_Ranking2[[#This Row],[FME ID]],FME_Input[FME_ID],FME_Input[FME_NAME])</f>
        <v>Widen Drainage Systems and Culverts in City of Clear Lake Shores</v>
      </c>
      <c r="C89" s="16" t="str">
        <f>_xlfn.XLOOKUP(FME_Ranking2[[#This Row],[FME ID]],FME_Input[FME_ID],FME_Input[DESCR])</f>
        <v>Further study to widen drainage systems and increase culvert size to accommodate increased water flows. Coordinate efforts with water district.</v>
      </c>
      <c r="D89" s="46" t="str">
        <f>_xlfn.XLOOKUP(FME_Ranking2[[#This Row],[FME ID]],FME_Input[FME_ID],FME_Input[EMER_NEED])</f>
        <v>No</v>
      </c>
      <c r="E89" s="121">
        <f>IF(FME_Ranking_Option2!$D89="Yes",100,0)</f>
        <v>0</v>
      </c>
      <c r="F89" s="47" t="str">
        <f>_xlfn.XLOOKUP(FME_Ranking2[[#This Row],[FME ID]],FME_Input[FME_ID],FME_Input[FUND])</f>
        <v>No</v>
      </c>
      <c r="G89" s="48">
        <f>IF(FME_Ranking_Option2!$F89="Yes",1,0)</f>
        <v>0</v>
      </c>
      <c r="H89" s="46">
        <f>_xlfn.XLOOKUP(FME_Ranking2[[#This Row],[FME ID]],FME_Input[FME_ID],FME_Input[STRUCT_100])</f>
        <v>633</v>
      </c>
      <c r="I89" s="65" t="e">
        <f>FME_Ranking2[[#This Row],[Raw Data3]]*H$4</f>
        <v>#REF!</v>
      </c>
      <c r="J89" s="62">
        <f>((FME_Ranking_Option2!$H89)/($H$3))*100</f>
        <v>7.0343572231069199E-2</v>
      </c>
      <c r="K89" s="49" t="e">
        <f>FME_Ranking2[[#This Row],[Norm Data3]]*H$4</f>
        <v>#REF!</v>
      </c>
      <c r="L89" s="50">
        <f>_xlfn.XLOOKUP(FME_Ranking2[[#This Row],[FME ID]],FME_Input[FME_ID],FME_Input[RES_STRUCT100])</f>
        <v>529</v>
      </c>
      <c r="M89" s="51" t="e">
        <f>FME_Ranking2[[#This Row],[Raw Data4]]*L$4</f>
        <v>#REF!</v>
      </c>
      <c r="N89" s="29">
        <f>((FME_Ranking_Option2!$L89)/($L$3))*100</f>
        <v>7.9087075019099007E-2</v>
      </c>
      <c r="O89" s="52" t="e">
        <f>FME_Ranking2[[#This Row],[Norm Data4]]*L$4</f>
        <v>#REF!</v>
      </c>
      <c r="P89" s="47">
        <f>_xlfn.XLOOKUP(FME_Ranking2[[#This Row],[FME ID]],FME_Input[FME_ID],FME_Input[POP100])</f>
        <v>3407</v>
      </c>
      <c r="Q89" s="48" t="e">
        <f>FME_Ranking_Option2!$P89*P$4</f>
        <v>#REF!</v>
      </c>
      <c r="R89" s="48">
        <f>FME_Ranking_Option2!$P89/($P$3)</f>
        <v>1.2504413430334598E-3</v>
      </c>
      <c r="S89" s="48" t="e">
        <f>FME_Ranking_Option2!$R89*P$4</f>
        <v>#REF!</v>
      </c>
      <c r="T89" s="50">
        <f>_xlfn.XLOOKUP(FME_Ranking2[[#This Row],[FME ID]],FME_Input[FME_ID],FME_Input[CRITFAC100])</f>
        <v>4</v>
      </c>
      <c r="U89" s="48" t="e">
        <f>FME_Ranking_Option2!$T89*T$4</f>
        <v>#REF!</v>
      </c>
      <c r="V89" s="48">
        <f>FME_Ranking_Option2!$T89/($T$3)</f>
        <v>5.6409533211112682E-4</v>
      </c>
      <c r="W89" s="48" t="e">
        <f>FME_Ranking_Option2!$V89*T$4</f>
        <v>#REF!</v>
      </c>
      <c r="X89" s="50">
        <f>_xlfn.XLOOKUP(FME_Ranking2[[#This Row],[FME ID]],FME_Input[FME_ID],FME_Input[LWC])</f>
        <v>0</v>
      </c>
      <c r="Y89" s="48" t="e">
        <f>FME_Ranking_Option2!$X89*X$4</f>
        <v>#REF!</v>
      </c>
      <c r="Z89" s="48">
        <f>FME_Ranking_Option2!$X89/($X$3)</f>
        <v>0</v>
      </c>
      <c r="AA89" s="48" t="e">
        <f>FME_Ranking_Option2!$Z89*X$4</f>
        <v>#REF!</v>
      </c>
      <c r="AB89" s="50">
        <f>_xlfn.XLOOKUP(FME_Ranking2[[#This Row],[FME ID]],FME_Input[FME_ID],FME_Input[ROADCLS])</f>
        <v>0</v>
      </c>
      <c r="AC89" s="48" t="e">
        <f>FME_Ranking_Option2!$AB89*AB$4</f>
        <v>#REF!</v>
      </c>
      <c r="AD89" s="53">
        <f>_xlfn.XLOOKUP(FME_Ranking2[[#This Row],[FME ID]],FME_Input[FME_ID],FME_Input[ROAD_MILES100])</f>
        <v>8.820770263671875</v>
      </c>
      <c r="AE89" s="54" t="e">
        <f>FME_Ranking_Option2!$AD89*AD$4</f>
        <v>#REF!</v>
      </c>
      <c r="AF89" s="55">
        <f>FME_Ranking_Option2!$AD89/($AD$3)</f>
        <v>1.9923723341182885E-4</v>
      </c>
      <c r="AG89" s="55" t="e">
        <f>FME_Ranking_Option2!$AF89*AD$4</f>
        <v>#REF!</v>
      </c>
      <c r="AH89" s="53">
        <f>_xlfn.XLOOKUP(FME_Ranking2[[#This Row],[FME ID]],FME_Input[FME_ID],FME_Input[FARMACRE100])</f>
        <v>0</v>
      </c>
      <c r="AI89" s="54" t="e">
        <f>FME_Ranking_Option2!$AH89*AH$4</f>
        <v>#REF!</v>
      </c>
      <c r="AJ89" s="56">
        <f>FME_Ranking_Option2!$AH89/($AH$3)</f>
        <v>0</v>
      </c>
      <c r="AK89" s="57" t="e">
        <f>FME_Ranking_Option2!$AJ89*AH$4</f>
        <v>#REF!</v>
      </c>
      <c r="AL8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89" s="58" t="e">
        <f>_xlfn.RANK.EQ(AL89,$AL$7:$AL$531)+COUNTIF(AL$7:AL89,AL89)-1</f>
        <v>#REF!</v>
      </c>
      <c r="AN89" s="57"/>
      <c r="AO89" s="58" t="e">
        <f>_xlfn.RANK.EQ(AN89,$AN$7:$AN$531)+COUNTIF(AN$7:AN89,AN89)-1</f>
        <v>#N/A</v>
      </c>
      <c r="AP8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89" s="32" t="e">
        <f>FME_Ranking2[[#This Row],[Score Based on Reported Factors]]-FME_Ranking2[[#This Row],[Check]]</f>
        <v>#REF!</v>
      </c>
      <c r="AR89" s="32"/>
      <c r="AT89" s="19"/>
      <c r="AU89" s="19"/>
      <c r="AV89" s="19"/>
      <c r="AW89" s="19"/>
      <c r="AX89" s="19"/>
      <c r="AY89" s="19"/>
      <c r="AZ89" s="19"/>
      <c r="BA89" s="19"/>
      <c r="BB89" s="19"/>
      <c r="BC89" s="19"/>
    </row>
    <row r="90" spans="1:55" ht="12" customHeight="1" x14ac:dyDescent="0.25">
      <c r="A90" s="17" t="s">
        <v>1172</v>
      </c>
      <c r="B90" s="17" t="e">
        <f>_xlfn.XLOOKUP(FME_Ranking2[[#This Row],[FME ID]],FME_Input[FME_ID],FME_Input[FME_NAME])</f>
        <v>#N/A</v>
      </c>
      <c r="C90" s="17" t="e">
        <f>_xlfn.XLOOKUP(FME_Ranking2[[#This Row],[FME ID]],FME_Input[FME_ID],FME_Input[DESCR])</f>
        <v>#N/A</v>
      </c>
      <c r="D90" s="33" t="e">
        <f>_xlfn.XLOOKUP(FME_Ranking2[[#This Row],[FME ID]],FME_Input[FME_ID],FME_Input[EMER_NEED])</f>
        <v>#N/A</v>
      </c>
      <c r="E90" s="120" t="e">
        <f>IF(FME_Ranking_Option2!$D90="Yes",100,0)</f>
        <v>#N/A</v>
      </c>
      <c r="F90" s="34" t="e">
        <f>_xlfn.XLOOKUP(FME_Ranking2[[#This Row],[FME ID]],FME_Input[FME_ID],FME_Input[FUND])</f>
        <v>#N/A</v>
      </c>
      <c r="G90" s="35" t="e">
        <f>IF(FME_Ranking_Option2!$F90="Yes",1,0)</f>
        <v>#N/A</v>
      </c>
      <c r="H90" s="33" t="e">
        <f>_xlfn.XLOOKUP(FME_Ranking2[[#This Row],[FME ID]],FME_Input[FME_ID],FME_Input[STRUCT_100])</f>
        <v>#N/A</v>
      </c>
      <c r="I90" s="64" t="e">
        <f>FME_Ranking2[[#This Row],[Raw Data3]]*H$4</f>
        <v>#N/A</v>
      </c>
      <c r="J90" s="63" t="e">
        <f>((FME_Ranking_Option2!$H90)/($H$3))*100</f>
        <v>#N/A</v>
      </c>
      <c r="K90" s="36" t="e">
        <f>FME_Ranking2[[#This Row],[Norm Data3]]*H$4</f>
        <v>#N/A</v>
      </c>
      <c r="L90" s="37" t="e">
        <f>_xlfn.XLOOKUP(FME_Ranking2[[#This Row],[FME ID]],FME_Input[FME_ID],FME_Input[RES_STRUCT100])</f>
        <v>#N/A</v>
      </c>
      <c r="M90" s="38" t="e">
        <f>FME_Ranking2[[#This Row],[Raw Data4]]*L$4</f>
        <v>#N/A</v>
      </c>
      <c r="N90" s="28" t="e">
        <f>((FME_Ranking_Option2!$L90)/($L$3))*100</f>
        <v>#N/A</v>
      </c>
      <c r="O90" s="39" t="e">
        <f>FME_Ranking2[[#This Row],[Norm Data4]]*L$4</f>
        <v>#N/A</v>
      </c>
      <c r="P90" s="34" t="e">
        <f>_xlfn.XLOOKUP(FME_Ranking2[[#This Row],[FME ID]],FME_Input[FME_ID],FME_Input[POP100])</f>
        <v>#N/A</v>
      </c>
      <c r="Q90" s="35" t="e">
        <f>FME_Ranking_Option2!$P90*P$4</f>
        <v>#N/A</v>
      </c>
      <c r="R90" s="35" t="e">
        <f>FME_Ranking_Option2!$P90/($P$3)</f>
        <v>#N/A</v>
      </c>
      <c r="S90" s="35" t="e">
        <f>FME_Ranking_Option2!$R90*P$4</f>
        <v>#N/A</v>
      </c>
      <c r="T90" s="37" t="e">
        <f>_xlfn.XLOOKUP(FME_Ranking2[[#This Row],[FME ID]],FME_Input[FME_ID],FME_Input[CRITFAC100])</f>
        <v>#N/A</v>
      </c>
      <c r="U90" s="35" t="e">
        <f>FME_Ranking_Option2!$T90*T$4</f>
        <v>#N/A</v>
      </c>
      <c r="V90" s="35" t="e">
        <f>FME_Ranking_Option2!$T90/($T$3)</f>
        <v>#N/A</v>
      </c>
      <c r="W90" s="35" t="e">
        <f>FME_Ranking_Option2!$V90*T$4</f>
        <v>#N/A</v>
      </c>
      <c r="X90" s="37" t="e">
        <f>_xlfn.XLOOKUP(FME_Ranking2[[#This Row],[FME ID]],FME_Input[FME_ID],FME_Input[LWC])</f>
        <v>#N/A</v>
      </c>
      <c r="Y90" s="35" t="e">
        <f>FME_Ranking_Option2!$X90*X$4</f>
        <v>#N/A</v>
      </c>
      <c r="Z90" s="35" t="e">
        <f>FME_Ranking_Option2!$X90/($X$3)</f>
        <v>#N/A</v>
      </c>
      <c r="AA90" s="35" t="e">
        <f>FME_Ranking_Option2!$Z90*X$4</f>
        <v>#N/A</v>
      </c>
      <c r="AB90" s="37" t="e">
        <f>_xlfn.XLOOKUP(FME_Ranking2[[#This Row],[FME ID]],FME_Input[FME_ID],FME_Input[ROADCLS])</f>
        <v>#N/A</v>
      </c>
      <c r="AC90" s="35" t="e">
        <f>FME_Ranking_Option2!$AB90*AB$4</f>
        <v>#N/A</v>
      </c>
      <c r="AD90" s="40" t="e">
        <f>_xlfn.XLOOKUP(FME_Ranking2[[#This Row],[FME ID]],FME_Input[FME_ID],FME_Input[ROAD_MILES100])</f>
        <v>#N/A</v>
      </c>
      <c r="AE90" s="41" t="e">
        <f>FME_Ranking_Option2!$AD90*AD$4</f>
        <v>#N/A</v>
      </c>
      <c r="AF90" s="42" t="e">
        <f>FME_Ranking_Option2!$AD90/($AD$3)</f>
        <v>#N/A</v>
      </c>
      <c r="AG90" s="42" t="e">
        <f>FME_Ranking_Option2!$AF90*AD$4</f>
        <v>#N/A</v>
      </c>
      <c r="AH90" s="40" t="e">
        <f>_xlfn.XLOOKUP(FME_Ranking2[[#This Row],[FME ID]],FME_Input[FME_ID],FME_Input[FARMACRE100])</f>
        <v>#N/A</v>
      </c>
      <c r="AI90" s="43" t="e">
        <f>FME_Ranking_Option2!$AH90*AH$4</f>
        <v>#N/A</v>
      </c>
      <c r="AJ90" s="41" t="e">
        <f>FME_Ranking_Option2!$AH90/($AH$3)</f>
        <v>#N/A</v>
      </c>
      <c r="AK90" s="44" t="e">
        <f>FME_Ranking_Option2!$AJ90*AH$4</f>
        <v>#N/A</v>
      </c>
      <c r="AL9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#N/A</v>
      </c>
      <c r="AM90" s="45" t="e">
        <f>_xlfn.RANK.EQ(AL90,$AL$7:$AL$531)+COUNTIF(AL$7:AL90,AL90)-1</f>
        <v>#N/A</v>
      </c>
      <c r="AN90" s="44"/>
      <c r="AO90" s="45" t="e">
        <f>_xlfn.RANK.EQ(AN90,$AN$7:$AN$531)+COUNTIF(AN$7:AN90,AN90)-1</f>
        <v>#N/A</v>
      </c>
      <c r="AP9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#N/A</v>
      </c>
      <c r="AQ90" s="32" t="e">
        <f>FME_Ranking2[[#This Row],[Score Based on Reported Factors]]-FME_Ranking2[[#This Row],[Check]]</f>
        <v>#N/A</v>
      </c>
      <c r="AR90" s="32"/>
    </row>
    <row r="91" spans="1:55" ht="12" customHeight="1" x14ac:dyDescent="0.25">
      <c r="A91" s="16" t="s">
        <v>1173</v>
      </c>
      <c r="B91" s="16" t="str">
        <f>_xlfn.XLOOKUP(FME_Ranking2[[#This Row],[FME ID]],FME_Input[FME_ID],FME_Input[FME_NAME])</f>
        <v>Replace Existing Culverts in City of Arcola</v>
      </c>
      <c r="C91" s="16" t="str">
        <f>_xlfn.XLOOKUP(FME_Ranking2[[#This Row],[FME ID]],FME_Input[FME_ID],FME_Input[DESCR])</f>
        <v>Evaluation of proposed culvert replacement.</v>
      </c>
      <c r="D91" s="46" t="str">
        <f>_xlfn.XLOOKUP(FME_Ranking2[[#This Row],[FME ID]],FME_Input[FME_ID],FME_Input[EMER_NEED])</f>
        <v>No</v>
      </c>
      <c r="E91" s="121">
        <f>IF(FME_Ranking_Option2!$D91="Yes",100,0)</f>
        <v>0</v>
      </c>
      <c r="F91" s="47" t="str">
        <f>_xlfn.XLOOKUP(FME_Ranking2[[#This Row],[FME ID]],FME_Input[FME_ID],FME_Input[FUND])</f>
        <v>Yes</v>
      </c>
      <c r="G91" s="48">
        <f>IF(FME_Ranking_Option2!$F91="Yes",1,0)</f>
        <v>1</v>
      </c>
      <c r="H91" s="46">
        <f>_xlfn.XLOOKUP(FME_Ranking2[[#This Row],[FME ID]],FME_Input[FME_ID],FME_Input[STRUCT_100])</f>
        <v>41</v>
      </c>
      <c r="I91" s="65" t="e">
        <f>FME_Ranking2[[#This Row],[Raw Data3]]*H$4</f>
        <v>#REF!</v>
      </c>
      <c r="J91" s="62">
        <f>((FME_Ranking_Option2!$H91)/($H$3))*100</f>
        <v>4.5562187385052716E-3</v>
      </c>
      <c r="K91" s="49" t="e">
        <f>FME_Ranking2[[#This Row],[Norm Data3]]*H$4</f>
        <v>#REF!</v>
      </c>
      <c r="L91" s="50">
        <f>_xlfn.XLOOKUP(FME_Ranking2[[#This Row],[FME ID]],FME_Input[FME_ID],FME_Input[RES_STRUCT100])</f>
        <v>37</v>
      </c>
      <c r="M91" s="51" t="e">
        <f>FME_Ranking2[[#This Row],[Raw Data4]]*L$4</f>
        <v>#REF!</v>
      </c>
      <c r="N91" s="29">
        <f>((FME_Ranking_Option2!$L91)/($L$3))*100</f>
        <v>5.5316101620163762E-3</v>
      </c>
      <c r="O91" s="52" t="e">
        <f>FME_Ranking2[[#This Row],[Norm Data4]]*L$4</f>
        <v>#REF!</v>
      </c>
      <c r="P91" s="47">
        <f>_xlfn.XLOOKUP(FME_Ranking2[[#This Row],[FME ID]],FME_Input[FME_ID],FME_Input[POP100])</f>
        <v>39</v>
      </c>
      <c r="Q91" s="48" t="e">
        <f>FME_Ranking_Option2!$P91*P$4</f>
        <v>#REF!</v>
      </c>
      <c r="R91" s="48">
        <f>FME_Ranking_Option2!$P91/($P$3)</f>
        <v>1.4313828112211604E-5</v>
      </c>
      <c r="S91" s="48" t="e">
        <f>FME_Ranking_Option2!$R91*P$4</f>
        <v>#REF!</v>
      </c>
      <c r="T91" s="50">
        <f>_xlfn.XLOOKUP(FME_Ranking2[[#This Row],[FME ID]],FME_Input[FME_ID],FME_Input[CRITFAC100])</f>
        <v>0</v>
      </c>
      <c r="U91" s="48" t="e">
        <f>FME_Ranking_Option2!$T91*T$4</f>
        <v>#REF!</v>
      </c>
      <c r="V91" s="48">
        <f>FME_Ranking_Option2!$T91/($T$3)</f>
        <v>0</v>
      </c>
      <c r="W91" s="48" t="e">
        <f>FME_Ranking_Option2!$V91*T$4</f>
        <v>#REF!</v>
      </c>
      <c r="X91" s="50">
        <f>_xlfn.XLOOKUP(FME_Ranking2[[#This Row],[FME ID]],FME_Input[FME_ID],FME_Input[LWC])</f>
        <v>0</v>
      </c>
      <c r="Y91" s="48" t="e">
        <f>FME_Ranking_Option2!$X91*X$4</f>
        <v>#REF!</v>
      </c>
      <c r="Z91" s="48">
        <f>FME_Ranking_Option2!$X91/($X$3)</f>
        <v>0</v>
      </c>
      <c r="AA91" s="48" t="e">
        <f>FME_Ranking_Option2!$Z91*X$4</f>
        <v>#REF!</v>
      </c>
      <c r="AB91" s="50">
        <f>_xlfn.XLOOKUP(FME_Ranking2[[#This Row],[FME ID]],FME_Input[FME_ID],FME_Input[ROADCLS])</f>
        <v>0</v>
      </c>
      <c r="AC91" s="48" t="e">
        <f>FME_Ranking_Option2!$AB91*AB$4</f>
        <v>#REF!</v>
      </c>
      <c r="AD91" s="53">
        <f>_xlfn.XLOOKUP(FME_Ranking2[[#This Row],[FME ID]],FME_Input[FME_ID],FME_Input[ROAD_MILES100])</f>
        <v>0.21681888401508331</v>
      </c>
      <c r="AE91" s="54" t="e">
        <f>FME_Ranking_Option2!$AD91*AD$4</f>
        <v>#REF!</v>
      </c>
      <c r="AF91" s="55">
        <f>FME_Ranking_Option2!$AD91/($AD$3)</f>
        <v>4.8973494730405719E-6</v>
      </c>
      <c r="AG91" s="55" t="e">
        <f>FME_Ranking_Option2!$AF91*AD$4</f>
        <v>#REF!</v>
      </c>
      <c r="AH91" s="53">
        <f>_xlfn.XLOOKUP(FME_Ranking2[[#This Row],[FME ID]],FME_Input[FME_ID],FME_Input[FARMACRE100])</f>
        <v>1.2274031639099121</v>
      </c>
      <c r="AI91" s="54" t="e">
        <f>FME_Ranking_Option2!$AH91*AH$4</f>
        <v>#REF!</v>
      </c>
      <c r="AJ91" s="56">
        <f>FME_Ranking_Option2!$AH91/($AH$3)</f>
        <v>7.1270318079986545E-5</v>
      </c>
      <c r="AK91" s="57" t="e">
        <f>FME_Ranking_Option2!$AJ91*AH$4</f>
        <v>#REF!</v>
      </c>
      <c r="AL9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91" s="58" t="e">
        <f>_xlfn.RANK.EQ(AL91,$AL$7:$AL$531)+COUNTIF(AL$7:AL91,AL91)-1</f>
        <v>#REF!</v>
      </c>
      <c r="AN91" s="57"/>
      <c r="AO91" s="58" t="e">
        <f>_xlfn.RANK.EQ(AN91,$AN$7:$AN$531)+COUNTIF(AN$7:AN91,AN91)-1</f>
        <v>#N/A</v>
      </c>
      <c r="AP9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91" s="32" t="e">
        <f>FME_Ranking2[[#This Row],[Score Based on Reported Factors]]-FME_Ranking2[[#This Row],[Check]]</f>
        <v>#REF!</v>
      </c>
      <c r="AR91" s="32"/>
      <c r="AT91" s="19"/>
      <c r="AU91" s="19"/>
      <c r="AV91" s="19"/>
      <c r="AW91" s="19"/>
      <c r="AX91" s="19"/>
      <c r="AY91" s="19"/>
      <c r="AZ91" s="19"/>
      <c r="BA91" s="19"/>
      <c r="BB91" s="19"/>
      <c r="BC91" s="19"/>
    </row>
    <row r="92" spans="1:55" ht="12" customHeight="1" x14ac:dyDescent="0.25">
      <c r="A92" s="17" t="s">
        <v>2305</v>
      </c>
      <c r="B92" s="17" t="str">
        <f>_xlfn.XLOOKUP(FME_Ranking2[[#This Row],[FME ID]],FME_Input[FME_ID],FME_Input[FME_NAME])</f>
        <v>Update Liberty County Floodplain Maps</v>
      </c>
      <c r="C92" s="17" t="str">
        <f>_xlfn.XLOOKUP(FME_Ranking2[[#This Row],[FME ID]],FME_Input[FME_ID],FME_Input[DESCR])</f>
        <v>Study by participating jurisdictions to update floodway maps throughout the county, including Atlas 14 rainfalls.</v>
      </c>
      <c r="D92" s="33" t="str">
        <f>_xlfn.XLOOKUP(FME_Ranking2[[#This Row],[FME ID]],FME_Input[FME_ID],FME_Input[EMER_NEED])</f>
        <v>No</v>
      </c>
      <c r="E92" s="120">
        <f>IF(FME_Ranking_Option2!$D92="Yes",100,0)</f>
        <v>0</v>
      </c>
      <c r="F92" s="34" t="str">
        <f>_xlfn.XLOOKUP(FME_Ranking2[[#This Row],[FME ID]],FME_Input[FME_ID],FME_Input[FUND])</f>
        <v>Yes</v>
      </c>
      <c r="G92" s="35">
        <f>IF(FME_Ranking_Option2!$F92="Yes",1,0)</f>
        <v>1</v>
      </c>
      <c r="H92" s="33">
        <f>_xlfn.XLOOKUP(FME_Ranking2[[#This Row],[FME ID]],FME_Input[FME_ID],FME_Input[STRUCT_100])</f>
        <v>3618</v>
      </c>
      <c r="I92" s="64" t="e">
        <f>FME_Ranking2[[#This Row],[Raw Data3]]*H$4</f>
        <v>#REF!</v>
      </c>
      <c r="J92" s="63">
        <f>((FME_Ranking_Option2!$H92)/($H$3))*100</f>
        <v>0.40205852185151392</v>
      </c>
      <c r="K92" s="36" t="e">
        <f>FME_Ranking2[[#This Row],[Norm Data3]]*H$4</f>
        <v>#REF!</v>
      </c>
      <c r="L92" s="37">
        <f>_xlfn.XLOOKUP(FME_Ranking2[[#This Row],[FME ID]],FME_Input[FME_ID],FME_Input[RES_STRUCT100])</f>
        <v>2271</v>
      </c>
      <c r="M92" s="38" t="e">
        <f>FME_Ranking2[[#This Row],[Raw Data4]]*L$4</f>
        <v>#REF!</v>
      </c>
      <c r="N92" s="28">
        <f>((FME_Ranking_Option2!$L92)/($L$3))*100</f>
        <v>0.3395212615659241</v>
      </c>
      <c r="O92" s="39" t="e">
        <f>FME_Ranking2[[#This Row],[Norm Data4]]*L$4</f>
        <v>#REF!</v>
      </c>
      <c r="P92" s="34">
        <f>_xlfn.XLOOKUP(FME_Ranking2[[#This Row],[FME ID]],FME_Input[FME_ID],FME_Input[POP100])</f>
        <v>4854</v>
      </c>
      <c r="Q92" s="35" t="e">
        <f>FME_Ranking_Option2!$P92*P$4</f>
        <v>#REF!</v>
      </c>
      <c r="R92" s="35">
        <f>FME_Ranking_Option2!$P92/($P$3)</f>
        <v>1.7815210681198751E-3</v>
      </c>
      <c r="S92" s="35" t="e">
        <f>FME_Ranking_Option2!$R92*P$4</f>
        <v>#REF!</v>
      </c>
      <c r="T92" s="37">
        <f>_xlfn.XLOOKUP(FME_Ranking2[[#This Row],[FME ID]],FME_Input[FME_ID],FME_Input[CRITFAC100])</f>
        <v>8</v>
      </c>
      <c r="U92" s="35" t="e">
        <f>FME_Ranking_Option2!$T92*T$4</f>
        <v>#REF!</v>
      </c>
      <c r="V92" s="35">
        <f>FME_Ranking_Option2!$T92/($T$3)</f>
        <v>1.1281906642222536E-3</v>
      </c>
      <c r="W92" s="35" t="e">
        <f>FME_Ranking_Option2!$V92*T$4</f>
        <v>#REF!</v>
      </c>
      <c r="X92" s="37">
        <f>_xlfn.XLOOKUP(FME_Ranking2[[#This Row],[FME ID]],FME_Input[FME_ID],FME_Input[LWC])</f>
        <v>7</v>
      </c>
      <c r="Y92" s="35" t="e">
        <f>FME_Ranking_Option2!$X92*X$4</f>
        <v>#REF!</v>
      </c>
      <c r="Z92" s="35">
        <f>FME_Ranking_Option2!$X92/($X$3)</f>
        <v>6.3856960408684551E-4</v>
      </c>
      <c r="AA92" s="35" t="e">
        <f>FME_Ranking_Option2!$Z92*X$4</f>
        <v>#REF!</v>
      </c>
      <c r="AB92" s="37">
        <f>_xlfn.XLOOKUP(FME_Ranking2[[#This Row],[FME ID]],FME_Input[FME_ID],FME_Input[ROADCLS])</f>
        <v>7</v>
      </c>
      <c r="AC92" s="35" t="e">
        <f>FME_Ranking_Option2!$AB92*AB$4</f>
        <v>#REF!</v>
      </c>
      <c r="AD92" s="40">
        <f>_xlfn.XLOOKUP(FME_Ranking2[[#This Row],[FME ID]],FME_Input[FME_ID],FME_Input[ROAD_MILES100])</f>
        <v>144.16850280761719</v>
      </c>
      <c r="AE92" s="41" t="e">
        <f>FME_Ranking_Option2!$AD92*AD$4</f>
        <v>#REF!</v>
      </c>
      <c r="AF92" s="42">
        <f>FME_Ranking_Option2!$AD92/($AD$3)</f>
        <v>3.256374759335148E-3</v>
      </c>
      <c r="AG92" s="42" t="e">
        <f>FME_Ranking_Option2!$AF92*AD$4</f>
        <v>#REF!</v>
      </c>
      <c r="AH92" s="40">
        <f>_xlfn.XLOOKUP(FME_Ranking2[[#This Row],[FME ID]],FME_Input[FME_ID],FME_Input[FARMACRE100])</f>
        <v>1379.477294921875</v>
      </c>
      <c r="AI92" s="43" t="e">
        <f>FME_Ranking_Option2!$AH92*AH$4</f>
        <v>#REF!</v>
      </c>
      <c r="AJ92" s="41">
        <f>FME_Ranking_Option2!$AH92/($AH$3)</f>
        <v>8.0100645398383158E-2</v>
      </c>
      <c r="AK92" s="44" t="e">
        <f>FME_Ranking_Option2!$AJ92*AH$4</f>
        <v>#REF!</v>
      </c>
      <c r="AL92"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92" s="45" t="e">
        <f>_xlfn.RANK.EQ(AL92,$AL$7:$AL$531)+COUNTIF(AL$7:AL92,AL92)-1</f>
        <v>#REF!</v>
      </c>
      <c r="AN92" s="44"/>
      <c r="AO92" s="45" t="e">
        <f>_xlfn.RANK.EQ(AN92,$AN$7:$AN$531)+COUNTIF(AN$7:AN92,AN92)-1</f>
        <v>#N/A</v>
      </c>
      <c r="AP9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92" s="32" t="e">
        <f>FME_Ranking2[[#This Row],[Score Based on Reported Factors]]-FME_Ranking2[[#This Row],[Check]]</f>
        <v>#REF!</v>
      </c>
      <c r="AR92" s="32"/>
    </row>
    <row r="93" spans="1:55" ht="12" customHeight="1" x14ac:dyDescent="0.25">
      <c r="A93" s="16" t="s">
        <v>1180</v>
      </c>
      <c r="B93" s="16" t="str">
        <f>_xlfn.XLOOKUP(FME_Ranking2[[#This Row],[FME ID]],FME_Input[FME_ID],FME_Input[FME_NAME])</f>
        <v>Waller County Flood Damage Prevention Planning</v>
      </c>
      <c r="C93" s="16" t="str">
        <f>_xlfn.XLOOKUP(FME_Ranking2[[#This Row],[FME ID]],FME_Input[FME_ID],FME_Input[DESCR])</f>
        <v>Establish watershed-based planning and studies to address flood hazards with neighborhing and constituent communities.</v>
      </c>
      <c r="D93" s="46" t="str">
        <f>_xlfn.XLOOKUP(FME_Ranking2[[#This Row],[FME ID]],FME_Input[FME_ID],FME_Input[EMER_NEED])</f>
        <v>No</v>
      </c>
      <c r="E93" s="121">
        <f>IF(FME_Ranking_Option2!$D93="Yes",100,0)</f>
        <v>0</v>
      </c>
      <c r="F93" s="47" t="str">
        <f>_xlfn.XLOOKUP(FME_Ranking2[[#This Row],[FME ID]],FME_Input[FME_ID],FME_Input[FUND])</f>
        <v>Yes</v>
      </c>
      <c r="G93" s="48">
        <f>IF(FME_Ranking_Option2!$F93="Yes",1,0)</f>
        <v>1</v>
      </c>
      <c r="H93" s="46">
        <f>_xlfn.XLOOKUP(FME_Ranking2[[#This Row],[FME ID]],FME_Input[FME_ID],FME_Input[STRUCT_100])</f>
        <v>1067</v>
      </c>
      <c r="I93" s="65" t="e">
        <f>FME_Ranking2[[#This Row],[Raw Data3]]*H$4</f>
        <v>#REF!</v>
      </c>
      <c r="J93" s="62">
        <f>((FME_Ranking_Option2!$H93)/($H$3))*100</f>
        <v>0.11857281448744207</v>
      </c>
      <c r="K93" s="49" t="e">
        <f>FME_Ranking2[[#This Row],[Norm Data3]]*H$4</f>
        <v>#REF!</v>
      </c>
      <c r="L93" s="50">
        <f>_xlfn.XLOOKUP(FME_Ranking2[[#This Row],[FME ID]],FME_Input[FME_ID],FME_Input[RES_STRUCT100])</f>
        <v>708</v>
      </c>
      <c r="M93" s="51" t="e">
        <f>FME_Ranking2[[#This Row],[Raw Data4]]*L$4</f>
        <v>#REF!</v>
      </c>
      <c r="N93" s="29">
        <f>((FME_Ranking_Option2!$L93)/($L$3))*100</f>
        <v>0.10584810796507012</v>
      </c>
      <c r="O93" s="52" t="e">
        <f>FME_Ranking2[[#This Row],[Norm Data4]]*L$4</f>
        <v>#REF!</v>
      </c>
      <c r="P93" s="47">
        <f>_xlfn.XLOOKUP(FME_Ranking2[[#This Row],[FME ID]],FME_Input[FME_ID],FME_Input[POP100])</f>
        <v>2410</v>
      </c>
      <c r="Q93" s="48" t="e">
        <f>FME_Ranking_Option2!$P93*P$4</f>
        <v>#REF!</v>
      </c>
      <c r="R93" s="48">
        <f>FME_Ranking_Option2!$P93/($P$3)</f>
        <v>8.8452117308794782E-4</v>
      </c>
      <c r="S93" s="48" t="e">
        <f>FME_Ranking_Option2!$R93*P$4</f>
        <v>#REF!</v>
      </c>
      <c r="T93" s="50">
        <f>_xlfn.XLOOKUP(FME_Ranking2[[#This Row],[FME ID]],FME_Input[FME_ID],FME_Input[CRITFAC100])</f>
        <v>6</v>
      </c>
      <c r="U93" s="48" t="e">
        <f>FME_Ranking_Option2!$T93*T$4</f>
        <v>#REF!</v>
      </c>
      <c r="V93" s="48">
        <f>FME_Ranking_Option2!$T93/($T$3)</f>
        <v>8.4614299816669018E-4</v>
      </c>
      <c r="W93" s="48" t="e">
        <f>FME_Ranking_Option2!$V93*T$4</f>
        <v>#REF!</v>
      </c>
      <c r="X93" s="50">
        <f>_xlfn.XLOOKUP(FME_Ranking2[[#This Row],[FME ID]],FME_Input[FME_ID],FME_Input[LWC])</f>
        <v>19</v>
      </c>
      <c r="Y93" s="48" t="e">
        <f>FME_Ranking_Option2!$X93*X$4</f>
        <v>#REF!</v>
      </c>
      <c r="Z93" s="48">
        <f>FME_Ranking_Option2!$X93/($X$3)</f>
        <v>1.7332603539500092E-3</v>
      </c>
      <c r="AA93" s="48" t="e">
        <f>FME_Ranking_Option2!$Z93*X$4</f>
        <v>#REF!</v>
      </c>
      <c r="AB93" s="50">
        <f>_xlfn.XLOOKUP(FME_Ranking2[[#This Row],[FME ID]],FME_Input[FME_ID],FME_Input[ROADCLS])</f>
        <v>19</v>
      </c>
      <c r="AC93" s="48" t="e">
        <f>FME_Ranking_Option2!$AB93*AB$4</f>
        <v>#REF!</v>
      </c>
      <c r="AD93" s="53">
        <f>_xlfn.XLOOKUP(FME_Ranking2[[#This Row],[FME ID]],FME_Input[FME_ID],FME_Input[ROAD_MILES100])</f>
        <v>40.913829803466797</v>
      </c>
      <c r="AE93" s="54" t="e">
        <f>FME_Ranking_Option2!$AD93*AD$4</f>
        <v>#REF!</v>
      </c>
      <c r="AF93" s="55">
        <f>FME_Ranking_Option2!$AD93/($AD$3)</f>
        <v>9.2413224861973182E-4</v>
      </c>
      <c r="AG93" s="55" t="e">
        <f>FME_Ranking_Option2!$AF93*AD$4</f>
        <v>#REF!</v>
      </c>
      <c r="AH93" s="53">
        <f>_xlfn.XLOOKUP(FME_Ranking2[[#This Row],[FME ID]],FME_Input[FME_ID],FME_Input[FARMACRE100])</f>
        <v>1357.317260742188</v>
      </c>
      <c r="AI93" s="54" t="e">
        <f>FME_Ranking_Option2!$AH93*AH$4</f>
        <v>#REF!</v>
      </c>
      <c r="AJ93" s="56">
        <f>FME_Ranking_Option2!$AH93/($AH$3)</f>
        <v>7.8813902190374291E-2</v>
      </c>
      <c r="AK93" s="57" t="e">
        <f>FME_Ranking_Option2!$AJ93*AH$4</f>
        <v>#REF!</v>
      </c>
      <c r="AL93"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93" s="58" t="e">
        <f>_xlfn.RANK.EQ(AL93,$AL$7:$AL$531)+COUNTIF(AL$7:AL93,AL93)-1</f>
        <v>#REF!</v>
      </c>
      <c r="AN93" s="57"/>
      <c r="AO93" s="58" t="e">
        <f>_xlfn.RANK.EQ(AN93,$AN$7:$AN$531)+COUNTIF(AN$7:AN93,AN93)-1</f>
        <v>#N/A</v>
      </c>
      <c r="AP9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93" s="32" t="e">
        <f>FME_Ranking2[[#This Row],[Score Based on Reported Factors]]-FME_Ranking2[[#This Row],[Check]]</f>
        <v>#REF!</v>
      </c>
      <c r="AR93" s="32"/>
      <c r="AT93" s="19"/>
      <c r="AU93" s="19"/>
      <c r="AV93" s="19"/>
      <c r="AW93" s="19"/>
      <c r="AX93" s="19"/>
      <c r="AY93" s="19"/>
      <c r="AZ93" s="19"/>
      <c r="BA93" s="19"/>
      <c r="BB93" s="19"/>
      <c r="BC93" s="19"/>
    </row>
    <row r="94" spans="1:55" ht="12" customHeight="1" x14ac:dyDescent="0.25">
      <c r="A94" s="17" t="s">
        <v>1205</v>
      </c>
      <c r="B94" s="17" t="str">
        <f>_xlfn.XLOOKUP(FME_Ranking2[[#This Row],[FME ID]],FME_Input[FME_ID],FME_Input[FME_NAME])</f>
        <v>Hostetter and Gourd Creek Bridges Elevation Evaluation</v>
      </c>
      <c r="C94" s="17" t="str">
        <f>_xlfn.XLOOKUP(FME_Ranking2[[#This Row],[FME ID]],FME_Input[FME_ID],FME_Input[DESCR])</f>
        <v>Further study to elevate and install culverts on Hostetter and Gourd Creek roadways to prevent flooding and/or flood damage on roadway.</v>
      </c>
      <c r="D94" s="33" t="str">
        <f>_xlfn.XLOOKUP(FME_Ranking2[[#This Row],[FME ID]],FME_Input[FME_ID],FME_Input[EMER_NEED])</f>
        <v>No</v>
      </c>
      <c r="E94" s="120">
        <f>IF(FME_Ranking_Option2!$D94="Yes",100,0)</f>
        <v>0</v>
      </c>
      <c r="F94" s="34" t="str">
        <f>_xlfn.XLOOKUP(FME_Ranking2[[#This Row],[FME ID]],FME_Input[FME_ID],FME_Input[FUND])</f>
        <v>Yes</v>
      </c>
      <c r="G94" s="35">
        <f>IF(FME_Ranking_Option2!$F94="Yes",1,0)</f>
        <v>1</v>
      </c>
      <c r="H94" s="33">
        <f>_xlfn.XLOOKUP(FME_Ranking2[[#This Row],[FME ID]],FME_Input[FME_ID],FME_Input[STRUCT_100])</f>
        <v>1169</v>
      </c>
      <c r="I94" s="64" t="e">
        <f>FME_Ranking2[[#This Row],[Raw Data3]]*H$4</f>
        <v>#REF!</v>
      </c>
      <c r="J94" s="63">
        <f>((FME_Ranking_Option2!$H94)/($H$3))*100</f>
        <v>0.12990779769055275</v>
      </c>
      <c r="K94" s="36" t="e">
        <f>FME_Ranking2[[#This Row],[Norm Data3]]*H$4</f>
        <v>#REF!</v>
      </c>
      <c r="L94" s="37">
        <f>_xlfn.XLOOKUP(FME_Ranking2[[#This Row],[FME ID]],FME_Input[FME_ID],FME_Input[RES_STRUCT100])</f>
        <v>1023</v>
      </c>
      <c r="M94" s="38" t="e">
        <f>FME_Ranking2[[#This Row],[Raw Data4]]*L$4</f>
        <v>#REF!</v>
      </c>
      <c r="N94" s="28">
        <f>((FME_Ranking_Option2!$L94)/($L$3))*100</f>
        <v>0.15294154583088521</v>
      </c>
      <c r="O94" s="39" t="e">
        <f>FME_Ranking2[[#This Row],[Norm Data4]]*L$4</f>
        <v>#REF!</v>
      </c>
      <c r="P94" s="34">
        <f>_xlfn.XLOOKUP(FME_Ranking2[[#This Row],[FME ID]],FME_Input[FME_ID],FME_Input[POP100])</f>
        <v>1900</v>
      </c>
      <c r="Q94" s="35" t="e">
        <f>FME_Ranking_Option2!$P94*P$4</f>
        <v>#REF!</v>
      </c>
      <c r="R94" s="35">
        <f>FME_Ranking_Option2!$P94/($P$3)</f>
        <v>6.9734034392825758E-4</v>
      </c>
      <c r="S94" s="35" t="e">
        <f>FME_Ranking_Option2!$R94*P$4</f>
        <v>#REF!</v>
      </c>
      <c r="T94" s="37">
        <f>_xlfn.XLOOKUP(FME_Ranking2[[#This Row],[FME ID]],FME_Input[FME_ID],FME_Input[CRITFAC100])</f>
        <v>0</v>
      </c>
      <c r="U94" s="35" t="e">
        <f>FME_Ranking_Option2!$T94*T$4</f>
        <v>#REF!</v>
      </c>
      <c r="V94" s="35">
        <f>FME_Ranking_Option2!$T94/($T$3)</f>
        <v>0</v>
      </c>
      <c r="W94" s="35" t="e">
        <f>FME_Ranking_Option2!$V94*T$4</f>
        <v>#REF!</v>
      </c>
      <c r="X94" s="37">
        <f>_xlfn.XLOOKUP(FME_Ranking2[[#This Row],[FME ID]],FME_Input[FME_ID],FME_Input[LWC])</f>
        <v>2</v>
      </c>
      <c r="Y94" s="35" t="e">
        <f>FME_Ranking_Option2!$X94*X$4</f>
        <v>#REF!</v>
      </c>
      <c r="Z94" s="35">
        <f>FME_Ranking_Option2!$X94/($X$3)</f>
        <v>1.8244845831052726E-4</v>
      </c>
      <c r="AA94" s="35" t="e">
        <f>FME_Ranking_Option2!$Z94*X$4</f>
        <v>#REF!</v>
      </c>
      <c r="AB94" s="37">
        <f>_xlfn.XLOOKUP(FME_Ranking2[[#This Row],[FME ID]],FME_Input[FME_ID],FME_Input[ROADCLS])</f>
        <v>2</v>
      </c>
      <c r="AC94" s="35" t="e">
        <f>FME_Ranking_Option2!$AB94*AB$4</f>
        <v>#REF!</v>
      </c>
      <c r="AD94" s="40">
        <f>_xlfn.XLOOKUP(FME_Ranking2[[#This Row],[FME ID]],FME_Input[FME_ID],FME_Input[ROAD_MILES100])</f>
        <v>10.22247982025146</v>
      </c>
      <c r="AE94" s="41" t="e">
        <f>FME_Ranking_Option2!$AD94*AD$4</f>
        <v>#REF!</v>
      </c>
      <c r="AF94" s="42">
        <f>FME_Ranking_Option2!$AD94/($AD$3)</f>
        <v>2.3089804372110714E-4</v>
      </c>
      <c r="AG94" s="42" t="e">
        <f>FME_Ranking_Option2!$AF94*AD$4</f>
        <v>#REF!</v>
      </c>
      <c r="AH94" s="40">
        <f>_xlfn.XLOOKUP(FME_Ranking2[[#This Row],[FME ID]],FME_Input[FME_ID],FME_Input[FARMACRE100])</f>
        <v>25.45767974853516</v>
      </c>
      <c r="AI94" s="43" t="e">
        <f>FME_Ranking_Option2!$AH94*AH$4</f>
        <v>#REF!</v>
      </c>
      <c r="AJ94" s="41">
        <f>FME_Ranking_Option2!$AH94/($AH$3)</f>
        <v>1.478224096699251E-3</v>
      </c>
      <c r="AK94" s="44" t="e">
        <f>FME_Ranking_Option2!$AJ94*AH$4</f>
        <v>#REF!</v>
      </c>
      <c r="AL94"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94" s="45" t="e">
        <f>_xlfn.RANK.EQ(AL94,$AL$7:$AL$531)+COUNTIF(AL$7:AL94,AL94)-1</f>
        <v>#REF!</v>
      </c>
      <c r="AN94" s="44"/>
      <c r="AO94" s="45" t="e">
        <f>_xlfn.RANK.EQ(AN94,$AN$7:$AN$531)+COUNTIF(AN$7:AN94,AN94)-1</f>
        <v>#N/A</v>
      </c>
      <c r="AP9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94" s="32" t="e">
        <f>FME_Ranking2[[#This Row],[Score Based on Reported Factors]]-FME_Ranking2[[#This Row],[Check]]</f>
        <v>#REF!</v>
      </c>
      <c r="AR94" s="32"/>
    </row>
    <row r="95" spans="1:55" ht="12" customHeight="1" x14ac:dyDescent="0.25">
      <c r="A95" s="16" t="s">
        <v>1177</v>
      </c>
      <c r="B95" s="16" t="str">
        <f>_xlfn.XLOOKUP(FME_Ranking2[[#This Row],[FME ID]],FME_Input[FME_ID],FME_Input[FME_NAME])</f>
        <v>Implemention Study of Storm Sewer System Re-engineering in City of Kemah</v>
      </c>
      <c r="C95" s="16" t="str">
        <f>_xlfn.XLOOKUP(FME_Ranking2[[#This Row],[FME ID]],FME_Input[FME_ID],FME_Input[DESCR])</f>
        <v>Study of storm sewer system re-engineering and follow-up construction project to mitigate flood related impacts.</v>
      </c>
      <c r="D95" s="46" t="str">
        <f>_xlfn.XLOOKUP(FME_Ranking2[[#This Row],[FME ID]],FME_Input[FME_ID],FME_Input[EMER_NEED])</f>
        <v>No</v>
      </c>
      <c r="E95" s="121">
        <f>IF(FME_Ranking_Option2!$D95="Yes",100,0)</f>
        <v>0</v>
      </c>
      <c r="F95" s="47" t="str">
        <f>_xlfn.XLOOKUP(FME_Ranking2[[#This Row],[FME ID]],FME_Input[FME_ID],FME_Input[FUND])</f>
        <v>Yes</v>
      </c>
      <c r="G95" s="48">
        <f>IF(FME_Ranking_Option2!$F95="Yes",1,0)</f>
        <v>1</v>
      </c>
      <c r="H95" s="46">
        <f>_xlfn.XLOOKUP(FME_Ranking2[[#This Row],[FME ID]],FME_Input[FME_ID],FME_Input[STRUCT_100])</f>
        <v>562</v>
      </c>
      <c r="I95" s="65" t="e">
        <f>FME_Ranking2[[#This Row],[Raw Data3]]*H$4</f>
        <v>#REF!</v>
      </c>
      <c r="J95" s="62">
        <f>((FME_Ranking_Option2!$H95)/($H$3))*100</f>
        <v>6.2453534903413717E-2</v>
      </c>
      <c r="K95" s="49" t="e">
        <f>FME_Ranking2[[#This Row],[Norm Data3]]*H$4</f>
        <v>#REF!</v>
      </c>
      <c r="L95" s="50">
        <f>_xlfn.XLOOKUP(FME_Ranking2[[#This Row],[FME ID]],FME_Input[FME_ID],FME_Input[RES_STRUCT100])</f>
        <v>425</v>
      </c>
      <c r="M95" s="51" t="e">
        <f>FME_Ranking2[[#This Row],[Raw Data4]]*L$4</f>
        <v>#REF!</v>
      </c>
      <c r="N95" s="29">
        <f>((FME_Ranking_Option2!$L95)/($L$3))*100</f>
        <v>6.3538765374512432E-2</v>
      </c>
      <c r="O95" s="52" t="e">
        <f>FME_Ranking2[[#This Row],[Norm Data4]]*L$4</f>
        <v>#REF!</v>
      </c>
      <c r="P95" s="47">
        <f>_xlfn.XLOOKUP(FME_Ranking2[[#This Row],[FME ID]],FME_Input[FME_ID],FME_Input[POP100])</f>
        <v>3492</v>
      </c>
      <c r="Q95" s="48" t="e">
        <f>FME_Ranking_Option2!$P95*P$4</f>
        <v>#REF!</v>
      </c>
      <c r="R95" s="48">
        <f>FME_Ranking_Option2!$P95/($P$3)</f>
        <v>1.2816381478934083E-3</v>
      </c>
      <c r="S95" s="48" t="e">
        <f>FME_Ranking_Option2!$R95*P$4</f>
        <v>#REF!</v>
      </c>
      <c r="T95" s="50">
        <f>_xlfn.XLOOKUP(FME_Ranking2[[#This Row],[FME ID]],FME_Input[FME_ID],FME_Input[CRITFAC100])</f>
        <v>7</v>
      </c>
      <c r="U95" s="48" t="e">
        <f>FME_Ranking_Option2!$T95*T$4</f>
        <v>#REF!</v>
      </c>
      <c r="V95" s="48">
        <f>FME_Ranking_Option2!$T95/($T$3)</f>
        <v>9.871668311944718E-4</v>
      </c>
      <c r="W95" s="48" t="e">
        <f>FME_Ranking_Option2!$V95*T$4</f>
        <v>#REF!</v>
      </c>
      <c r="X95" s="50">
        <f>_xlfn.XLOOKUP(FME_Ranking2[[#This Row],[FME ID]],FME_Input[FME_ID],FME_Input[LWC])</f>
        <v>0</v>
      </c>
      <c r="Y95" s="48" t="e">
        <f>FME_Ranking_Option2!$X95*X$4</f>
        <v>#REF!</v>
      </c>
      <c r="Z95" s="48">
        <f>FME_Ranking_Option2!$X95/($X$3)</f>
        <v>0</v>
      </c>
      <c r="AA95" s="48" t="e">
        <f>FME_Ranking_Option2!$Z95*X$4</f>
        <v>#REF!</v>
      </c>
      <c r="AB95" s="50">
        <f>_xlfn.XLOOKUP(FME_Ranking2[[#This Row],[FME ID]],FME_Input[FME_ID],FME_Input[ROADCLS])</f>
        <v>0</v>
      </c>
      <c r="AC95" s="48" t="e">
        <f>FME_Ranking_Option2!$AB95*AB$4</f>
        <v>#REF!</v>
      </c>
      <c r="AD95" s="53">
        <f>_xlfn.XLOOKUP(FME_Ranking2[[#This Row],[FME ID]],FME_Input[FME_ID],FME_Input[ROAD_MILES100])</f>
        <v>12.005941390991209</v>
      </c>
      <c r="AE95" s="54" t="e">
        <f>FME_Ranking_Option2!$AD95*AD$4</f>
        <v>#REF!</v>
      </c>
      <c r="AF95" s="55">
        <f>FME_Ranking_Option2!$AD95/($AD$3)</f>
        <v>2.7118159477491118E-4</v>
      </c>
      <c r="AG95" s="55" t="e">
        <f>FME_Ranking_Option2!$AF95*AD$4</f>
        <v>#REF!</v>
      </c>
      <c r="AH95" s="53">
        <f>_xlfn.XLOOKUP(FME_Ranking2[[#This Row],[FME ID]],FME_Input[FME_ID],FME_Input[FARMACRE100])</f>
        <v>0.72296905517578125</v>
      </c>
      <c r="AI95" s="54" t="e">
        <f>FME_Ranking_Option2!$AH95*AH$4</f>
        <v>#REF!</v>
      </c>
      <c r="AJ95" s="56">
        <f>FME_Ranking_Option2!$AH95/($AH$3)</f>
        <v>4.1979877549140118E-5</v>
      </c>
      <c r="AK95" s="57" t="e">
        <f>FME_Ranking_Option2!$AJ95*AH$4</f>
        <v>#REF!</v>
      </c>
      <c r="AL95"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95" s="58" t="e">
        <f>_xlfn.RANK.EQ(AL95,$AL$7:$AL$531)+COUNTIF(AL$7:AL95,AL95)-1</f>
        <v>#REF!</v>
      </c>
      <c r="AN95" s="57"/>
      <c r="AO95" s="58" t="e">
        <f>_xlfn.RANK.EQ(AN95,$AN$7:$AN$531)+COUNTIF(AN$7:AN95,AN95)-1</f>
        <v>#N/A</v>
      </c>
      <c r="AP9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95" s="32" t="e">
        <f>FME_Ranking2[[#This Row],[Score Based on Reported Factors]]-FME_Ranking2[[#This Row],[Check]]</f>
        <v>#REF!</v>
      </c>
      <c r="AR95" s="32"/>
      <c r="AT95" s="19"/>
      <c r="AU95" s="19"/>
      <c r="AV95" s="19"/>
      <c r="AW95" s="19"/>
      <c r="AX95" s="19"/>
      <c r="AY95" s="19"/>
      <c r="AZ95" s="19"/>
      <c r="BA95" s="19"/>
      <c r="BB95" s="19"/>
      <c r="BC95" s="19"/>
    </row>
    <row r="96" spans="1:55" ht="12" customHeight="1" x14ac:dyDescent="0.25">
      <c r="A96" s="17" t="s">
        <v>1184</v>
      </c>
      <c r="B96" s="17" t="str">
        <f>_xlfn.XLOOKUP(FME_Ranking2[[#This Row],[FME ID]],FME_Input[FME_ID],FME_Input[FME_NAME])</f>
        <v>Corp of Engineers study of the Galveston County Water Reservoir Dam and Levee system</v>
      </c>
      <c r="C96" s="17" t="str">
        <f>_xlfn.XLOOKUP(FME_Ranking2[[#This Row],[FME ID]],FME_Input[FME_ID],FME_Input[DESCR])</f>
        <v>Review findings of potential breach to dam/levee system and develop/implement mitigation actions as applicable.</v>
      </c>
      <c r="D96" s="33" t="str">
        <f>_xlfn.XLOOKUP(FME_Ranking2[[#This Row],[FME ID]],FME_Input[FME_ID],FME_Input[EMER_NEED])</f>
        <v>No</v>
      </c>
      <c r="E96" s="120">
        <f>IF(FME_Ranking_Option2!$D96="Yes",100,0)</f>
        <v>0</v>
      </c>
      <c r="F96" s="34" t="str">
        <f>_xlfn.XLOOKUP(FME_Ranking2[[#This Row],[FME ID]],FME_Input[FME_ID],FME_Input[FUND])</f>
        <v>Yes</v>
      </c>
      <c r="G96" s="35">
        <f>IF(FME_Ranking_Option2!$F96="Yes",1,0)</f>
        <v>1</v>
      </c>
      <c r="H96" s="33">
        <f>_xlfn.XLOOKUP(FME_Ranking2[[#This Row],[FME ID]],FME_Input[FME_ID],FME_Input[STRUCT_100])</f>
        <v>48570</v>
      </c>
      <c r="I96" s="64" t="e">
        <f>FME_Ranking2[[#This Row],[Raw Data3]]*H$4</f>
        <v>#REF!</v>
      </c>
      <c r="J96" s="63">
        <f>((FME_Ranking_Option2!$H96)/($H$3))*100</f>
        <v>5.3974522958341717</v>
      </c>
      <c r="K96" s="36" t="e">
        <f>FME_Ranking2[[#This Row],[Norm Data3]]*H$4</f>
        <v>#REF!</v>
      </c>
      <c r="L96" s="37">
        <f>_xlfn.XLOOKUP(FME_Ranking2[[#This Row],[FME ID]],FME_Input[FME_ID],FME_Input[RES_STRUCT100])</f>
        <v>42185</v>
      </c>
      <c r="M96" s="38" t="e">
        <f>FME_Ranking2[[#This Row],[Raw Data4]]*L$4</f>
        <v>#REF!</v>
      </c>
      <c r="N96" s="28">
        <f>((FME_Ranking_Option2!$L96)/($L$3))*100</f>
        <v>6.3067830995854282</v>
      </c>
      <c r="O96" s="39" t="e">
        <f>FME_Ranking2[[#This Row],[Norm Data4]]*L$4</f>
        <v>#REF!</v>
      </c>
      <c r="P96" s="34">
        <f>_xlfn.XLOOKUP(FME_Ranking2[[#This Row],[FME ID]],FME_Input[FME_ID],FME_Input[POP100])</f>
        <v>171395</v>
      </c>
      <c r="Q96" s="35" t="e">
        <f>FME_Ranking_Option2!$P96*P$4</f>
        <v>#REF!</v>
      </c>
      <c r="R96" s="35">
        <f>FME_Ranking_Option2!$P96/($P$3)</f>
        <v>6.2905604340833532E-2</v>
      </c>
      <c r="S96" s="35" t="e">
        <f>FME_Ranking_Option2!$R96*P$4</f>
        <v>#REF!</v>
      </c>
      <c r="T96" s="37">
        <f>_xlfn.XLOOKUP(FME_Ranking2[[#This Row],[FME ID]],FME_Input[FME_ID],FME_Input[CRITFAC100])</f>
        <v>681</v>
      </c>
      <c r="U96" s="35" t="e">
        <f>FME_Ranking_Option2!$T96*T$4</f>
        <v>#REF!</v>
      </c>
      <c r="V96" s="35">
        <f>FME_Ranking_Option2!$T96/($T$3)</f>
        <v>9.6037230291919337E-2</v>
      </c>
      <c r="W96" s="35" t="e">
        <f>FME_Ranking_Option2!$V96*T$4</f>
        <v>#REF!</v>
      </c>
      <c r="X96" s="37">
        <f>_xlfn.XLOOKUP(FME_Ranking2[[#This Row],[FME ID]],FME_Input[FME_ID],FME_Input[LWC])</f>
        <v>30</v>
      </c>
      <c r="Y96" s="35" t="e">
        <f>FME_Ranking_Option2!$X96*X$4</f>
        <v>#REF!</v>
      </c>
      <c r="Z96" s="35">
        <f>FME_Ranking_Option2!$X96/($X$3)</f>
        <v>2.7367268746579091E-3</v>
      </c>
      <c r="AA96" s="35" t="e">
        <f>FME_Ranking_Option2!$Z96*X$4</f>
        <v>#REF!</v>
      </c>
      <c r="AB96" s="37">
        <f>_xlfn.XLOOKUP(FME_Ranking2[[#This Row],[FME ID]],FME_Input[FME_ID],FME_Input[ROADCLS])</f>
        <v>30</v>
      </c>
      <c r="AC96" s="35" t="e">
        <f>FME_Ranking_Option2!$AB96*AB$4</f>
        <v>#REF!</v>
      </c>
      <c r="AD96" s="40">
        <f>_xlfn.XLOOKUP(FME_Ranking2[[#This Row],[FME ID]],FME_Input[FME_ID],FME_Input[ROAD_MILES100])</f>
        <v>910.35089111328125</v>
      </c>
      <c r="AE96" s="41" t="e">
        <f>FME_Ranking_Option2!$AD96*AD$4</f>
        <v>#REF!</v>
      </c>
      <c r="AF96" s="42">
        <f>FME_Ranking_Option2!$AD96/($AD$3)</f>
        <v>2.0562353123104789E-2</v>
      </c>
      <c r="AG96" s="42" t="e">
        <f>FME_Ranking_Option2!$AF96*AD$4</f>
        <v>#REF!</v>
      </c>
      <c r="AH96" s="40">
        <f>_xlfn.XLOOKUP(FME_Ranking2[[#This Row],[FME ID]],FME_Input[FME_ID],FME_Input[FARMACRE100])</f>
        <v>3412.02490234375</v>
      </c>
      <c r="AI96" s="43" t="e">
        <f>FME_Ranking_Option2!$AH96*AH$4</f>
        <v>#REF!</v>
      </c>
      <c r="AJ96" s="41">
        <f>FME_Ranking_Option2!$AH96/($AH$3)</f>
        <v>0.19812243216990966</v>
      </c>
      <c r="AK96" s="44" t="e">
        <f>FME_Ranking_Option2!$AJ96*AH$4</f>
        <v>#REF!</v>
      </c>
      <c r="AL96"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96" s="45" t="e">
        <f>_xlfn.RANK.EQ(AL96,$AL$7:$AL$531)+COUNTIF(AL$7:AL96,AL96)-1</f>
        <v>#REF!</v>
      </c>
      <c r="AN96" s="44"/>
      <c r="AO96" s="45" t="e">
        <f>_xlfn.RANK.EQ(AN96,$AN$7:$AN$531)+COUNTIF(AN$7:AN96,AN96)-1</f>
        <v>#N/A</v>
      </c>
      <c r="AP9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96" s="32" t="e">
        <f>FME_Ranking2[[#This Row],[Score Based on Reported Factors]]-FME_Ranking2[[#This Row],[Check]]</f>
        <v>#REF!</v>
      </c>
      <c r="AR96" s="32"/>
    </row>
    <row r="97" spans="1:55" ht="12" customHeight="1" x14ac:dyDescent="0.25">
      <c r="A97" s="16" t="s">
        <v>1187</v>
      </c>
      <c r="B97" s="16" t="str">
        <f>_xlfn.XLOOKUP(FME_Ranking2[[#This Row],[FME ID]],FME_Input[FME_ID],FME_Input[FME_NAME])</f>
        <v>Recanalization Feasibility Study</v>
      </c>
      <c r="C97" s="16" t="str">
        <f>_xlfn.XLOOKUP(FME_Ranking2[[#This Row],[FME ID]],FME_Input[FME_ID],FME_Input[DESCR])</f>
        <v>Dechannelize existing feeder creeks that flow from north to south and improve drainage for strom water runoff.</v>
      </c>
      <c r="D97" s="46" t="str">
        <f>_xlfn.XLOOKUP(FME_Ranking2[[#This Row],[FME ID]],FME_Input[FME_ID],FME_Input[EMER_NEED])</f>
        <v>No</v>
      </c>
      <c r="E97" s="121">
        <f>IF(FME_Ranking_Option2!$D97="Yes",100,0)</f>
        <v>0</v>
      </c>
      <c r="F97" s="47" t="str">
        <f>_xlfn.XLOOKUP(FME_Ranking2[[#This Row],[FME ID]],FME_Input[FME_ID],FME_Input[FUND])</f>
        <v>Yes</v>
      </c>
      <c r="G97" s="48">
        <f>IF(FME_Ranking_Option2!$F97="Yes",1,0)</f>
        <v>1</v>
      </c>
      <c r="H97" s="46">
        <f>_xlfn.XLOOKUP(FME_Ranking2[[#This Row],[FME ID]],FME_Input[FME_ID],FME_Input[STRUCT_100])</f>
        <v>3618</v>
      </c>
      <c r="I97" s="65" t="e">
        <f>FME_Ranking2[[#This Row],[Raw Data3]]*H$4</f>
        <v>#REF!</v>
      </c>
      <c r="J97" s="62">
        <f>((FME_Ranking_Option2!$H97)/($H$3))*100</f>
        <v>0.40205852185151392</v>
      </c>
      <c r="K97" s="49" t="e">
        <f>FME_Ranking2[[#This Row],[Norm Data3]]*H$4</f>
        <v>#REF!</v>
      </c>
      <c r="L97" s="50">
        <f>_xlfn.XLOOKUP(FME_Ranking2[[#This Row],[FME ID]],FME_Input[FME_ID],FME_Input[RES_STRUCT100])</f>
        <v>2271</v>
      </c>
      <c r="M97" s="51" t="e">
        <f>FME_Ranking2[[#This Row],[Raw Data4]]*L$4</f>
        <v>#REF!</v>
      </c>
      <c r="N97" s="29">
        <f>((FME_Ranking_Option2!$L97)/($L$3))*100</f>
        <v>0.3395212615659241</v>
      </c>
      <c r="O97" s="52" t="e">
        <f>FME_Ranking2[[#This Row],[Norm Data4]]*L$4</f>
        <v>#REF!</v>
      </c>
      <c r="P97" s="47">
        <f>_xlfn.XLOOKUP(FME_Ranking2[[#This Row],[FME ID]],FME_Input[FME_ID],FME_Input[POP100])</f>
        <v>4854</v>
      </c>
      <c r="Q97" s="48" t="e">
        <f>FME_Ranking_Option2!$P97*P$4</f>
        <v>#REF!</v>
      </c>
      <c r="R97" s="48">
        <f>FME_Ranking_Option2!$P97/($P$3)</f>
        <v>1.7815210681198751E-3</v>
      </c>
      <c r="S97" s="48" t="e">
        <f>FME_Ranking_Option2!$R97*P$4</f>
        <v>#REF!</v>
      </c>
      <c r="T97" s="50">
        <f>_xlfn.XLOOKUP(FME_Ranking2[[#This Row],[FME ID]],FME_Input[FME_ID],FME_Input[CRITFAC100])</f>
        <v>8</v>
      </c>
      <c r="U97" s="48" t="e">
        <f>FME_Ranking_Option2!$T97*T$4</f>
        <v>#REF!</v>
      </c>
      <c r="V97" s="48">
        <f>FME_Ranking_Option2!$T97/($T$3)</f>
        <v>1.1281906642222536E-3</v>
      </c>
      <c r="W97" s="48" t="e">
        <f>FME_Ranking_Option2!$V97*T$4</f>
        <v>#REF!</v>
      </c>
      <c r="X97" s="50">
        <f>_xlfn.XLOOKUP(FME_Ranking2[[#This Row],[FME ID]],FME_Input[FME_ID],FME_Input[LWC])</f>
        <v>7</v>
      </c>
      <c r="Y97" s="48" t="e">
        <f>FME_Ranking_Option2!$X97*X$4</f>
        <v>#REF!</v>
      </c>
      <c r="Z97" s="48">
        <f>FME_Ranking_Option2!$X97/($X$3)</f>
        <v>6.3856960408684551E-4</v>
      </c>
      <c r="AA97" s="48" t="e">
        <f>FME_Ranking_Option2!$Z97*X$4</f>
        <v>#REF!</v>
      </c>
      <c r="AB97" s="50">
        <f>_xlfn.XLOOKUP(FME_Ranking2[[#This Row],[FME ID]],FME_Input[FME_ID],FME_Input[ROADCLS])</f>
        <v>7</v>
      </c>
      <c r="AC97" s="48" t="e">
        <f>FME_Ranking_Option2!$AB97*AB$4</f>
        <v>#REF!</v>
      </c>
      <c r="AD97" s="53">
        <f>_xlfn.XLOOKUP(FME_Ranking2[[#This Row],[FME ID]],FME_Input[FME_ID],FME_Input[ROAD_MILES100])</f>
        <v>144.16850280761719</v>
      </c>
      <c r="AE97" s="54" t="e">
        <f>FME_Ranking_Option2!$AD97*AD$4</f>
        <v>#REF!</v>
      </c>
      <c r="AF97" s="55">
        <f>FME_Ranking_Option2!$AD97/($AD$3)</f>
        <v>3.256374759335148E-3</v>
      </c>
      <c r="AG97" s="55" t="e">
        <f>FME_Ranking_Option2!$AF97*AD$4</f>
        <v>#REF!</v>
      </c>
      <c r="AH97" s="53">
        <f>_xlfn.XLOOKUP(FME_Ranking2[[#This Row],[FME ID]],FME_Input[FME_ID],FME_Input[FARMACRE100])</f>
        <v>1379.477294921875</v>
      </c>
      <c r="AI97" s="54" t="e">
        <f>FME_Ranking_Option2!$AH97*AH$4</f>
        <v>#REF!</v>
      </c>
      <c r="AJ97" s="56">
        <f>FME_Ranking_Option2!$AH97/($AH$3)</f>
        <v>8.0100645398383158E-2</v>
      </c>
      <c r="AK97" s="57" t="e">
        <f>FME_Ranking_Option2!$AJ97*AH$4</f>
        <v>#REF!</v>
      </c>
      <c r="AL97"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97" s="58" t="e">
        <f>_xlfn.RANK.EQ(AL97,$AL$7:$AL$531)+COUNTIF(AL$7:AL97,AL97)-1</f>
        <v>#REF!</v>
      </c>
      <c r="AN97" s="57"/>
      <c r="AO97" s="58" t="e">
        <f>_xlfn.RANK.EQ(AN97,$AN$7:$AN$531)+COUNTIF(AN$7:AN97,AN97)-1</f>
        <v>#N/A</v>
      </c>
      <c r="AP9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97" s="32" t="e">
        <f>FME_Ranking2[[#This Row],[Score Based on Reported Factors]]-FME_Ranking2[[#This Row],[Check]]</f>
        <v>#REF!</v>
      </c>
      <c r="AR97" s="32"/>
      <c r="AT97" s="19"/>
      <c r="AU97" s="19"/>
      <c r="AV97" s="19"/>
      <c r="AW97" s="19"/>
      <c r="AX97" s="19"/>
      <c r="AY97" s="19"/>
      <c r="AZ97" s="19"/>
      <c r="BA97" s="19"/>
      <c r="BB97" s="19"/>
      <c r="BC97" s="19"/>
    </row>
    <row r="98" spans="1:55" ht="12" customHeight="1" x14ac:dyDescent="0.25">
      <c r="A98" s="17" t="s">
        <v>1190</v>
      </c>
      <c r="B98" s="17" t="str">
        <f>_xlfn.XLOOKUP(FME_Ranking2[[#This Row],[FME ID]],FME_Input[FME_ID],FME_Input[FME_NAME])</f>
        <v>Corp of Engineers study of the Galveston County Water Reservoir Dam and Levee system</v>
      </c>
      <c r="C98" s="17" t="str">
        <f>_xlfn.XLOOKUP(FME_Ranking2[[#This Row],[FME ID]],FME_Input[FME_ID],FME_Input[DESCR])</f>
        <v>Review findings of potential breach to dam/levee system and develop/implement mitigation actions as applicable.</v>
      </c>
      <c r="D98" s="33" t="str">
        <f>_xlfn.XLOOKUP(FME_Ranking2[[#This Row],[FME ID]],FME_Input[FME_ID],FME_Input[EMER_NEED])</f>
        <v>No</v>
      </c>
      <c r="E98" s="120">
        <f>IF(FME_Ranking_Option2!$D98="Yes",100,0)</f>
        <v>0</v>
      </c>
      <c r="F98" s="34" t="str">
        <f>_xlfn.XLOOKUP(FME_Ranking2[[#This Row],[FME ID]],FME_Input[FME_ID],FME_Input[FUND])</f>
        <v>Yes</v>
      </c>
      <c r="G98" s="35">
        <f>IF(FME_Ranking_Option2!$F98="Yes",1,0)</f>
        <v>1</v>
      </c>
      <c r="H98" s="33">
        <f>_xlfn.XLOOKUP(FME_Ranking2[[#This Row],[FME ID]],FME_Input[FME_ID],FME_Input[STRUCT_100])</f>
        <v>52</v>
      </c>
      <c r="I98" s="64" t="e">
        <f>FME_Ranking2[[#This Row],[Raw Data3]]*H$4</f>
        <v>#REF!</v>
      </c>
      <c r="J98" s="63">
        <f>((FME_Ranking_Option2!$H98)/($H$3))*100</f>
        <v>5.7786188878603444E-3</v>
      </c>
      <c r="K98" s="36" t="e">
        <f>FME_Ranking2[[#This Row],[Norm Data3]]*H$4</f>
        <v>#REF!</v>
      </c>
      <c r="L98" s="37">
        <f>_xlfn.XLOOKUP(FME_Ranking2[[#This Row],[FME ID]],FME_Input[FME_ID],FME_Input[RES_STRUCT100])</f>
        <v>37</v>
      </c>
      <c r="M98" s="38" t="e">
        <f>FME_Ranking2[[#This Row],[Raw Data4]]*L$4</f>
        <v>#REF!</v>
      </c>
      <c r="N98" s="28">
        <f>((FME_Ranking_Option2!$L98)/($L$3))*100</f>
        <v>5.5316101620163762E-3</v>
      </c>
      <c r="O98" s="39" t="e">
        <f>FME_Ranking2[[#This Row],[Norm Data4]]*L$4</f>
        <v>#REF!</v>
      </c>
      <c r="P98" s="34">
        <f>_xlfn.XLOOKUP(FME_Ranking2[[#This Row],[FME ID]],FME_Input[FME_ID],FME_Input[POP100])</f>
        <v>44</v>
      </c>
      <c r="Q98" s="35" t="e">
        <f>FME_Ranking_Option2!$P98*P$4</f>
        <v>#REF!</v>
      </c>
      <c r="R98" s="35">
        <f>FME_Ranking_Option2!$P98/($P$3)</f>
        <v>1.6148934280443861E-5</v>
      </c>
      <c r="S98" s="35" t="e">
        <f>FME_Ranking_Option2!$R98*P$4</f>
        <v>#REF!</v>
      </c>
      <c r="T98" s="37">
        <f>_xlfn.XLOOKUP(FME_Ranking2[[#This Row],[FME ID]],FME_Input[FME_ID],FME_Input[CRITFAC100])</f>
        <v>0</v>
      </c>
      <c r="U98" s="35" t="e">
        <f>FME_Ranking_Option2!$T98*T$4</f>
        <v>#REF!</v>
      </c>
      <c r="V98" s="35">
        <f>FME_Ranking_Option2!$T98/($T$3)</f>
        <v>0</v>
      </c>
      <c r="W98" s="35" t="e">
        <f>FME_Ranking_Option2!$V98*T$4</f>
        <v>#REF!</v>
      </c>
      <c r="X98" s="37">
        <f>_xlfn.XLOOKUP(FME_Ranking2[[#This Row],[FME ID]],FME_Input[FME_ID],FME_Input[LWC])</f>
        <v>0</v>
      </c>
      <c r="Y98" s="35" t="e">
        <f>FME_Ranking_Option2!$X98*X$4</f>
        <v>#REF!</v>
      </c>
      <c r="Z98" s="35">
        <f>FME_Ranking_Option2!$X98/($X$3)</f>
        <v>0</v>
      </c>
      <c r="AA98" s="35" t="e">
        <f>FME_Ranking_Option2!$Z98*X$4</f>
        <v>#REF!</v>
      </c>
      <c r="AB98" s="37">
        <f>_xlfn.XLOOKUP(FME_Ranking2[[#This Row],[FME ID]],FME_Input[FME_ID],FME_Input[ROADCLS])</f>
        <v>0</v>
      </c>
      <c r="AC98" s="35" t="e">
        <f>FME_Ranking_Option2!$AB98*AB$4</f>
        <v>#REF!</v>
      </c>
      <c r="AD98" s="40">
        <f>_xlfn.XLOOKUP(FME_Ranking2[[#This Row],[FME ID]],FME_Input[FME_ID],FME_Input[ROAD_MILES100])</f>
        <v>3.3015956878662109</v>
      </c>
      <c r="AE98" s="41" t="e">
        <f>FME_Ranking_Option2!$AD98*AD$4</f>
        <v>#REF!</v>
      </c>
      <c r="AF98" s="42">
        <f>FME_Ranking_Option2!$AD98/($AD$3)</f>
        <v>7.4574075849591535E-5</v>
      </c>
      <c r="AG98" s="42" t="e">
        <f>FME_Ranking_Option2!$AF98*AD$4</f>
        <v>#REF!</v>
      </c>
      <c r="AH98" s="40">
        <f>_xlfn.XLOOKUP(FME_Ranking2[[#This Row],[FME ID]],FME_Input[FME_ID],FME_Input[FARMACRE100])</f>
        <v>6.1741275787353516</v>
      </c>
      <c r="AI98" s="43" t="e">
        <f>FME_Ranking_Option2!$AH98*AH$4</f>
        <v>#REF!</v>
      </c>
      <c r="AJ98" s="41">
        <f>FME_Ranking_Option2!$AH98/($AH$3)</f>
        <v>3.5850651957027442E-4</v>
      </c>
      <c r="AK98" s="44" t="e">
        <f>FME_Ranking_Option2!$AJ98*AH$4</f>
        <v>#REF!</v>
      </c>
      <c r="AL9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98" s="45" t="e">
        <f>_xlfn.RANK.EQ(AL98,$AL$7:$AL$531)+COUNTIF(AL$7:AL98,AL98)-1</f>
        <v>#REF!</v>
      </c>
      <c r="AN98" s="44"/>
      <c r="AO98" s="45" t="e">
        <f>_xlfn.RANK.EQ(AN98,$AN$7:$AN$531)+COUNTIF(AN$7:AN98,AN98)-1</f>
        <v>#N/A</v>
      </c>
      <c r="AP9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98" s="32" t="e">
        <f>FME_Ranking2[[#This Row],[Score Based on Reported Factors]]-FME_Ranking2[[#This Row],[Check]]</f>
        <v>#REF!</v>
      </c>
      <c r="AR98" s="32"/>
    </row>
    <row r="99" spans="1:55" ht="12" customHeight="1" x14ac:dyDescent="0.25">
      <c r="A99" s="16" t="s">
        <v>1195</v>
      </c>
      <c r="B99" s="16" t="str">
        <f>_xlfn.XLOOKUP(FME_Ranking2[[#This Row],[FME ID]],FME_Input[FME_ID],FME_Input[FME_NAME])</f>
        <v>Corp of Engineers study of the Galveston County Water Reservoir Dam and Levee system</v>
      </c>
      <c r="C99" s="16" t="str">
        <f>_xlfn.XLOOKUP(FME_Ranking2[[#This Row],[FME ID]],FME_Input[FME_ID],FME_Input[DESCR])</f>
        <v>Review findings of potential breach to dam/levee system and develop/implement mitigation actions as applicable.</v>
      </c>
      <c r="D99" s="46" t="str">
        <f>_xlfn.XLOOKUP(FME_Ranking2[[#This Row],[FME ID]],FME_Input[FME_ID],FME_Input[EMER_NEED])</f>
        <v>No</v>
      </c>
      <c r="E99" s="121">
        <f>IF(FME_Ranking_Option2!$D99="Yes",100,0)</f>
        <v>0</v>
      </c>
      <c r="F99" s="47" t="str">
        <f>_xlfn.XLOOKUP(FME_Ranking2[[#This Row],[FME ID]],FME_Input[FME_ID],FME_Input[FUND])</f>
        <v>Yes</v>
      </c>
      <c r="G99" s="48">
        <f>IF(FME_Ranking_Option2!$F99="Yes",1,0)</f>
        <v>1</v>
      </c>
      <c r="H99" s="46">
        <f>_xlfn.XLOOKUP(FME_Ranking2[[#This Row],[FME ID]],FME_Input[FME_ID],FME_Input[STRUCT_100])</f>
        <v>633</v>
      </c>
      <c r="I99" s="65" t="e">
        <f>FME_Ranking2[[#This Row],[Raw Data3]]*H$4</f>
        <v>#REF!</v>
      </c>
      <c r="J99" s="62">
        <f>((FME_Ranking_Option2!$H99)/($H$3))*100</f>
        <v>7.0343572231069199E-2</v>
      </c>
      <c r="K99" s="49" t="e">
        <f>FME_Ranking2[[#This Row],[Norm Data3]]*H$4</f>
        <v>#REF!</v>
      </c>
      <c r="L99" s="50">
        <f>_xlfn.XLOOKUP(FME_Ranking2[[#This Row],[FME ID]],FME_Input[FME_ID],FME_Input[RES_STRUCT100])</f>
        <v>529</v>
      </c>
      <c r="M99" s="51" t="e">
        <f>FME_Ranking2[[#This Row],[Raw Data4]]*L$4</f>
        <v>#REF!</v>
      </c>
      <c r="N99" s="29">
        <f>((FME_Ranking_Option2!$L99)/($L$3))*100</f>
        <v>7.9087075019099007E-2</v>
      </c>
      <c r="O99" s="52" t="e">
        <f>FME_Ranking2[[#This Row],[Norm Data4]]*L$4</f>
        <v>#REF!</v>
      </c>
      <c r="P99" s="47">
        <f>_xlfn.XLOOKUP(FME_Ranking2[[#This Row],[FME ID]],FME_Input[FME_ID],FME_Input[POP100])</f>
        <v>3407</v>
      </c>
      <c r="Q99" s="48" t="e">
        <f>FME_Ranking_Option2!$P99*P$4</f>
        <v>#REF!</v>
      </c>
      <c r="R99" s="48">
        <f>FME_Ranking_Option2!$P99/($P$3)</f>
        <v>1.2504413430334598E-3</v>
      </c>
      <c r="S99" s="48" t="e">
        <f>FME_Ranking_Option2!$R99*P$4</f>
        <v>#REF!</v>
      </c>
      <c r="T99" s="50">
        <f>_xlfn.XLOOKUP(FME_Ranking2[[#This Row],[FME ID]],FME_Input[FME_ID],FME_Input[CRITFAC100])</f>
        <v>4</v>
      </c>
      <c r="U99" s="48" t="e">
        <f>FME_Ranking_Option2!$T99*T$4</f>
        <v>#REF!</v>
      </c>
      <c r="V99" s="48">
        <f>FME_Ranking_Option2!$T99/($T$3)</f>
        <v>5.6409533211112682E-4</v>
      </c>
      <c r="W99" s="48" t="e">
        <f>FME_Ranking_Option2!$V99*T$4</f>
        <v>#REF!</v>
      </c>
      <c r="X99" s="50">
        <f>_xlfn.XLOOKUP(FME_Ranking2[[#This Row],[FME ID]],FME_Input[FME_ID],FME_Input[LWC])</f>
        <v>0</v>
      </c>
      <c r="Y99" s="48" t="e">
        <f>FME_Ranking_Option2!$X99*X$4</f>
        <v>#REF!</v>
      </c>
      <c r="Z99" s="48">
        <f>FME_Ranking_Option2!$X99/($X$3)</f>
        <v>0</v>
      </c>
      <c r="AA99" s="48" t="e">
        <f>FME_Ranking_Option2!$Z99*X$4</f>
        <v>#REF!</v>
      </c>
      <c r="AB99" s="50">
        <f>_xlfn.XLOOKUP(FME_Ranking2[[#This Row],[FME ID]],FME_Input[FME_ID],FME_Input[ROADCLS])</f>
        <v>0</v>
      </c>
      <c r="AC99" s="48" t="e">
        <f>FME_Ranking_Option2!$AB99*AB$4</f>
        <v>#REF!</v>
      </c>
      <c r="AD99" s="53">
        <f>_xlfn.XLOOKUP(FME_Ranking2[[#This Row],[FME ID]],FME_Input[FME_ID],FME_Input[ROAD_MILES100])</f>
        <v>8.820770263671875</v>
      </c>
      <c r="AE99" s="54" t="e">
        <f>FME_Ranking_Option2!$AD99*AD$4</f>
        <v>#REF!</v>
      </c>
      <c r="AF99" s="55">
        <f>FME_Ranking_Option2!$AD99/($AD$3)</f>
        <v>1.9923723341182885E-4</v>
      </c>
      <c r="AG99" s="55" t="e">
        <f>FME_Ranking_Option2!$AF99*AD$4</f>
        <v>#REF!</v>
      </c>
      <c r="AH99" s="53">
        <f>_xlfn.XLOOKUP(FME_Ranking2[[#This Row],[FME ID]],FME_Input[FME_ID],FME_Input[FARMACRE100])</f>
        <v>0</v>
      </c>
      <c r="AI99" s="54" t="e">
        <f>FME_Ranking_Option2!$AH99*AH$4</f>
        <v>#REF!</v>
      </c>
      <c r="AJ99" s="56">
        <f>FME_Ranking_Option2!$AH99/($AH$3)</f>
        <v>0</v>
      </c>
      <c r="AK99" s="57" t="e">
        <f>FME_Ranking_Option2!$AJ99*AH$4</f>
        <v>#REF!</v>
      </c>
      <c r="AL9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99" s="58" t="e">
        <f>_xlfn.RANK.EQ(AL99,$AL$7:$AL$531)+COUNTIF(AL$7:AL99,AL99)-1</f>
        <v>#REF!</v>
      </c>
      <c r="AN99" s="57"/>
      <c r="AO99" s="58" t="e">
        <f>_xlfn.RANK.EQ(AN99,$AN$7:$AN$531)+COUNTIF(AN$7:AN99,AN99)-1</f>
        <v>#N/A</v>
      </c>
      <c r="AP9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99" s="32" t="e">
        <f>FME_Ranking2[[#This Row],[Score Based on Reported Factors]]-FME_Ranking2[[#This Row],[Check]]</f>
        <v>#REF!</v>
      </c>
      <c r="AR99" s="32"/>
      <c r="AT99" s="19"/>
      <c r="AU99" s="19"/>
      <c r="AV99" s="19"/>
      <c r="AW99" s="19"/>
      <c r="AX99" s="19"/>
      <c r="AY99" s="19"/>
      <c r="AZ99" s="19"/>
      <c r="BA99" s="19"/>
      <c r="BB99" s="19"/>
      <c r="BC99" s="19"/>
    </row>
    <row r="100" spans="1:55" ht="12" customHeight="1" x14ac:dyDescent="0.25">
      <c r="A100" s="17" t="s">
        <v>1197</v>
      </c>
      <c r="B100" s="17" t="str">
        <f>_xlfn.XLOOKUP(FME_Ranking2[[#This Row],[FME ID]],FME_Input[FME_ID],FME_Input[FME_NAME])</f>
        <v>Corp of Engineers study of the Galveston County Water Reservoir Dam and Levee system</v>
      </c>
      <c r="C100" s="17" t="str">
        <f>_xlfn.XLOOKUP(FME_Ranking2[[#This Row],[FME ID]],FME_Input[FME_ID],FME_Input[DESCR])</f>
        <v>Review findings of potential breach to dam/levee system and develop/implement mitigation actions as applicable.</v>
      </c>
      <c r="D100" s="33" t="str">
        <f>_xlfn.XLOOKUP(FME_Ranking2[[#This Row],[FME ID]],FME_Input[FME_ID],FME_Input[EMER_NEED])</f>
        <v>No</v>
      </c>
      <c r="E100" s="120">
        <f>IF(FME_Ranking_Option2!$D100="Yes",100,0)</f>
        <v>0</v>
      </c>
      <c r="F100" s="34" t="str">
        <f>_xlfn.XLOOKUP(FME_Ranking2[[#This Row],[FME ID]],FME_Input[FME_ID],FME_Input[FUND])</f>
        <v>Yes</v>
      </c>
      <c r="G100" s="35">
        <f>IF(FME_Ranking_Option2!$F100="Yes",1,0)</f>
        <v>1</v>
      </c>
      <c r="H100" s="33">
        <f>_xlfn.XLOOKUP(FME_Ranking2[[#This Row],[FME ID]],FME_Input[FME_ID],FME_Input[STRUCT_100])</f>
        <v>829</v>
      </c>
      <c r="I100" s="64" t="e">
        <f>FME_Ranking2[[#This Row],[Raw Data3]]*H$4</f>
        <v>#REF!</v>
      </c>
      <c r="J100" s="63">
        <f>((FME_Ranking_Option2!$H100)/($H$3))*100</f>
        <v>9.212452034685048E-2</v>
      </c>
      <c r="K100" s="36" t="e">
        <f>FME_Ranking2[[#This Row],[Norm Data3]]*H$4</f>
        <v>#REF!</v>
      </c>
      <c r="L100" s="37">
        <f>_xlfn.XLOOKUP(FME_Ranking2[[#This Row],[FME ID]],FME_Input[FME_ID],FME_Input[RES_STRUCT100])</f>
        <v>767</v>
      </c>
      <c r="M100" s="38" t="e">
        <f>FME_Ranking2[[#This Row],[Raw Data4]]*L$4</f>
        <v>#REF!</v>
      </c>
      <c r="N100" s="28">
        <f>((FME_Ranking_Option2!$L100)/($L$3))*100</f>
        <v>0.11466878362882597</v>
      </c>
      <c r="O100" s="39" t="e">
        <f>FME_Ranking2[[#This Row],[Norm Data4]]*L$4</f>
        <v>#REF!</v>
      </c>
      <c r="P100" s="34">
        <f>_xlfn.XLOOKUP(FME_Ranking2[[#This Row],[FME ID]],FME_Input[FME_ID],FME_Input[POP100])</f>
        <v>1612</v>
      </c>
      <c r="Q100" s="35" t="e">
        <f>FME_Ranking_Option2!$P100*P$4</f>
        <v>#REF!</v>
      </c>
      <c r="R100" s="35">
        <f>FME_Ranking_Option2!$P100/($P$3)</f>
        <v>5.9163822863807962E-4</v>
      </c>
      <c r="S100" s="35" t="e">
        <f>FME_Ranking_Option2!$R100*P$4</f>
        <v>#REF!</v>
      </c>
      <c r="T100" s="37">
        <f>_xlfn.XLOOKUP(FME_Ranking2[[#This Row],[FME ID]],FME_Input[FME_ID],FME_Input[CRITFAC100])</f>
        <v>8</v>
      </c>
      <c r="U100" s="35" t="e">
        <f>FME_Ranking_Option2!$T100*T$4</f>
        <v>#REF!</v>
      </c>
      <c r="V100" s="35">
        <f>FME_Ranking_Option2!$T100/($T$3)</f>
        <v>1.1281906642222536E-3</v>
      </c>
      <c r="W100" s="35" t="e">
        <f>FME_Ranking_Option2!$V100*T$4</f>
        <v>#REF!</v>
      </c>
      <c r="X100" s="37">
        <f>_xlfn.XLOOKUP(FME_Ranking2[[#This Row],[FME ID]],FME_Input[FME_ID],FME_Input[LWC])</f>
        <v>1</v>
      </c>
      <c r="Y100" s="35" t="e">
        <f>FME_Ranking_Option2!$X100*X$4</f>
        <v>#REF!</v>
      </c>
      <c r="Z100" s="35">
        <f>FME_Ranking_Option2!$X100/($X$3)</f>
        <v>9.1224229155263632E-5</v>
      </c>
      <c r="AA100" s="35" t="e">
        <f>FME_Ranking_Option2!$Z100*X$4</f>
        <v>#REF!</v>
      </c>
      <c r="AB100" s="37">
        <f>_xlfn.XLOOKUP(FME_Ranking2[[#This Row],[FME ID]],FME_Input[FME_ID],FME_Input[ROADCLS])</f>
        <v>1</v>
      </c>
      <c r="AC100" s="35" t="e">
        <f>FME_Ranking_Option2!$AB100*AB$4</f>
        <v>#REF!</v>
      </c>
      <c r="AD100" s="40">
        <f>_xlfn.XLOOKUP(FME_Ranking2[[#This Row],[FME ID]],FME_Input[FME_ID],FME_Input[ROAD_MILES100])</f>
        <v>31.114070892333981</v>
      </c>
      <c r="AE100" s="41" t="e">
        <f>FME_Ranking_Option2!$AD100*AD$4</f>
        <v>#REF!</v>
      </c>
      <c r="AF100" s="42">
        <f>FME_Ranking_Option2!$AD100/($AD$3)</f>
        <v>7.0278232166400478E-4</v>
      </c>
      <c r="AG100" s="42" t="e">
        <f>FME_Ranking_Option2!$AF100*AD$4</f>
        <v>#REF!</v>
      </c>
      <c r="AH100" s="40">
        <f>_xlfn.XLOOKUP(FME_Ranking2[[#This Row],[FME ID]],FME_Input[FME_ID],FME_Input[FARMACRE100])</f>
        <v>37.849395751953118</v>
      </c>
      <c r="AI100" s="43" t="e">
        <f>FME_Ranking_Option2!$AH100*AH$4</f>
        <v>#REF!</v>
      </c>
      <c r="AJ100" s="41">
        <f>FME_Ranking_Option2!$AH100/($AH$3)</f>
        <v>2.1977607306990629E-3</v>
      </c>
      <c r="AK100" s="44" t="e">
        <f>FME_Ranking_Option2!$AJ100*AH$4</f>
        <v>#REF!</v>
      </c>
      <c r="AL10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00" s="45" t="e">
        <f>_xlfn.RANK.EQ(AL100,$AL$7:$AL$531)+COUNTIF(AL$7:AL100,AL100)-1</f>
        <v>#REF!</v>
      </c>
      <c r="AN100" s="44"/>
      <c r="AO100" s="45" t="e">
        <f>_xlfn.RANK.EQ(AN100,$AN$7:$AN$531)+COUNTIF(AN$7:AN100,AN100)-1</f>
        <v>#N/A</v>
      </c>
      <c r="AP10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00" s="32" t="e">
        <f>FME_Ranking2[[#This Row],[Score Based on Reported Factors]]-FME_Ranking2[[#This Row],[Check]]</f>
        <v>#REF!</v>
      </c>
      <c r="AR100" s="32"/>
    </row>
    <row r="101" spans="1:55" ht="12" customHeight="1" x14ac:dyDescent="0.25">
      <c r="A101" s="16" t="s">
        <v>1198</v>
      </c>
      <c r="B101" s="16" t="str">
        <f>_xlfn.XLOOKUP(FME_Ranking2[[#This Row],[FME ID]],FME_Input[FME_ID],FME_Input[FME_NAME])</f>
        <v>City of Arcola Regional Drainage Improvements</v>
      </c>
      <c r="C101" s="16" t="str">
        <f>_xlfn.XLOOKUP(FME_Ranking2[[#This Row],[FME ID]],FME_Input[FME_ID],FME_Input[DESCR])</f>
        <v>Study of repetitive loss and possbile drainage improvements.</v>
      </c>
      <c r="D101" s="46" t="str">
        <f>_xlfn.XLOOKUP(FME_Ranking2[[#This Row],[FME ID]],FME_Input[FME_ID],FME_Input[EMER_NEED])</f>
        <v>No</v>
      </c>
      <c r="E101" s="121">
        <f>IF(FME_Ranking_Option2!$D101="Yes",100,0)</f>
        <v>0</v>
      </c>
      <c r="F101" s="47" t="str">
        <f>_xlfn.XLOOKUP(FME_Ranking2[[#This Row],[FME ID]],FME_Input[FME_ID],FME_Input[FUND])</f>
        <v>Yes</v>
      </c>
      <c r="G101" s="48">
        <f>IF(FME_Ranking_Option2!$F101="Yes",1,0)</f>
        <v>1</v>
      </c>
      <c r="H101" s="46">
        <f>_xlfn.XLOOKUP(FME_Ranking2[[#This Row],[FME ID]],FME_Input[FME_ID],FME_Input[STRUCT_100])</f>
        <v>41</v>
      </c>
      <c r="I101" s="65" t="e">
        <f>FME_Ranking2[[#This Row],[Raw Data3]]*H$4</f>
        <v>#REF!</v>
      </c>
      <c r="J101" s="62">
        <f>((FME_Ranking_Option2!$H101)/($H$3))*100</f>
        <v>4.5562187385052716E-3</v>
      </c>
      <c r="K101" s="49" t="e">
        <f>FME_Ranking2[[#This Row],[Norm Data3]]*H$4</f>
        <v>#REF!</v>
      </c>
      <c r="L101" s="50">
        <f>_xlfn.XLOOKUP(FME_Ranking2[[#This Row],[FME ID]],FME_Input[FME_ID],FME_Input[RES_STRUCT100])</f>
        <v>37</v>
      </c>
      <c r="M101" s="51" t="e">
        <f>FME_Ranking2[[#This Row],[Raw Data4]]*L$4</f>
        <v>#REF!</v>
      </c>
      <c r="N101" s="29">
        <f>((FME_Ranking_Option2!$L101)/($L$3))*100</f>
        <v>5.5316101620163762E-3</v>
      </c>
      <c r="O101" s="52" t="e">
        <f>FME_Ranking2[[#This Row],[Norm Data4]]*L$4</f>
        <v>#REF!</v>
      </c>
      <c r="P101" s="47">
        <f>_xlfn.XLOOKUP(FME_Ranking2[[#This Row],[FME ID]],FME_Input[FME_ID],FME_Input[POP100])</f>
        <v>39</v>
      </c>
      <c r="Q101" s="48" t="e">
        <f>FME_Ranking_Option2!$P101*P$4</f>
        <v>#REF!</v>
      </c>
      <c r="R101" s="48">
        <f>FME_Ranking_Option2!$P101/($P$3)</f>
        <v>1.4313828112211604E-5</v>
      </c>
      <c r="S101" s="48" t="e">
        <f>FME_Ranking_Option2!$R101*P$4</f>
        <v>#REF!</v>
      </c>
      <c r="T101" s="50">
        <f>_xlfn.XLOOKUP(FME_Ranking2[[#This Row],[FME ID]],FME_Input[FME_ID],FME_Input[CRITFAC100])</f>
        <v>0</v>
      </c>
      <c r="U101" s="48" t="e">
        <f>FME_Ranking_Option2!$T101*T$4</f>
        <v>#REF!</v>
      </c>
      <c r="V101" s="48">
        <f>FME_Ranking_Option2!$T101/($T$3)</f>
        <v>0</v>
      </c>
      <c r="W101" s="48" t="e">
        <f>FME_Ranking_Option2!$V101*T$4</f>
        <v>#REF!</v>
      </c>
      <c r="X101" s="50">
        <f>_xlfn.XLOOKUP(FME_Ranking2[[#This Row],[FME ID]],FME_Input[FME_ID],FME_Input[LWC])</f>
        <v>0</v>
      </c>
      <c r="Y101" s="48" t="e">
        <f>FME_Ranking_Option2!$X101*X$4</f>
        <v>#REF!</v>
      </c>
      <c r="Z101" s="48">
        <f>FME_Ranking_Option2!$X101/($X$3)</f>
        <v>0</v>
      </c>
      <c r="AA101" s="48" t="e">
        <f>FME_Ranking_Option2!$Z101*X$4</f>
        <v>#REF!</v>
      </c>
      <c r="AB101" s="50">
        <f>_xlfn.XLOOKUP(FME_Ranking2[[#This Row],[FME ID]],FME_Input[FME_ID],FME_Input[ROADCLS])</f>
        <v>0</v>
      </c>
      <c r="AC101" s="48" t="e">
        <f>FME_Ranking_Option2!$AB101*AB$4</f>
        <v>#REF!</v>
      </c>
      <c r="AD101" s="53">
        <f>_xlfn.XLOOKUP(FME_Ranking2[[#This Row],[FME ID]],FME_Input[FME_ID],FME_Input[ROAD_MILES100])</f>
        <v>0.21681888401508331</v>
      </c>
      <c r="AE101" s="54" t="e">
        <f>FME_Ranking_Option2!$AD101*AD$4</f>
        <v>#REF!</v>
      </c>
      <c r="AF101" s="55">
        <f>FME_Ranking_Option2!$AD101/($AD$3)</f>
        <v>4.8973494730405719E-6</v>
      </c>
      <c r="AG101" s="55" t="e">
        <f>FME_Ranking_Option2!$AF101*AD$4</f>
        <v>#REF!</v>
      </c>
      <c r="AH101" s="53">
        <f>_xlfn.XLOOKUP(FME_Ranking2[[#This Row],[FME ID]],FME_Input[FME_ID],FME_Input[FARMACRE100])</f>
        <v>1.2274031639099121</v>
      </c>
      <c r="AI101" s="54" t="e">
        <f>FME_Ranking_Option2!$AH101*AH$4</f>
        <v>#REF!</v>
      </c>
      <c r="AJ101" s="56">
        <f>FME_Ranking_Option2!$AH101/($AH$3)</f>
        <v>7.1270318079986545E-5</v>
      </c>
      <c r="AK101" s="57" t="e">
        <f>FME_Ranking_Option2!$AJ101*AH$4</f>
        <v>#REF!</v>
      </c>
      <c r="AL10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01" s="58" t="e">
        <f>_xlfn.RANK.EQ(AL101,$AL$7:$AL$531)+COUNTIF(AL$7:AL101,AL101)-1</f>
        <v>#REF!</v>
      </c>
      <c r="AN101" s="57"/>
      <c r="AO101" s="58" t="e">
        <f>_xlfn.RANK.EQ(AN101,$AN$7:$AN$531)+COUNTIF(AN$7:AN101,AN101)-1</f>
        <v>#N/A</v>
      </c>
      <c r="AP10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01" s="32" t="e">
        <f>FME_Ranking2[[#This Row],[Score Based on Reported Factors]]-FME_Ranking2[[#This Row],[Check]]</f>
        <v>#REF!</v>
      </c>
      <c r="AR101" s="32"/>
      <c r="AT101" s="19"/>
      <c r="AU101" s="19"/>
      <c r="AV101" s="19"/>
      <c r="AW101" s="19"/>
      <c r="AX101" s="19"/>
      <c r="AY101" s="19"/>
      <c r="AZ101" s="19"/>
      <c r="BA101" s="19"/>
      <c r="BB101" s="19"/>
      <c r="BC101" s="19"/>
    </row>
    <row r="102" spans="1:55" ht="12" customHeight="1" x14ac:dyDescent="0.25">
      <c r="A102" s="17" t="s">
        <v>1200</v>
      </c>
      <c r="B102" s="17" t="str">
        <f>_xlfn.XLOOKUP(FME_Ranking2[[#This Row],[FME ID]],FME_Input[FME_ID],FME_Input[FME_NAME])</f>
        <v xml:space="preserve">Elevate Existing Bridge - East Fork San Jacinto River </v>
      </c>
      <c r="C102" s="17" t="str">
        <f>_xlfn.XLOOKUP(FME_Ranking2[[#This Row],[FME ID]],FME_Input[FME_ID],FME_Input[DESCR])</f>
        <v>Evaluate, Design and construct new bridge over east fork san jacinto river on low water bridge road to reduce flooding.</v>
      </c>
      <c r="D102" s="33" t="str">
        <f>_xlfn.XLOOKUP(FME_Ranking2[[#This Row],[FME ID]],FME_Input[FME_ID],FME_Input[EMER_NEED])</f>
        <v>No</v>
      </c>
      <c r="E102" s="120">
        <f>IF(FME_Ranking_Option2!$D102="Yes",100,0)</f>
        <v>0</v>
      </c>
      <c r="F102" s="34" t="str">
        <f>_xlfn.XLOOKUP(FME_Ranking2[[#This Row],[FME ID]],FME_Input[FME_ID],FME_Input[FUND])</f>
        <v>Yes</v>
      </c>
      <c r="G102" s="35">
        <f>IF(FME_Ranking_Option2!$F102="Yes",1,0)</f>
        <v>1</v>
      </c>
      <c r="H102" s="33">
        <f>_xlfn.XLOOKUP(FME_Ranking2[[#This Row],[FME ID]],FME_Input[FME_ID],FME_Input[STRUCT_100])</f>
        <v>52</v>
      </c>
      <c r="I102" s="64" t="e">
        <f>FME_Ranking2[[#This Row],[Raw Data3]]*H$4</f>
        <v>#REF!</v>
      </c>
      <c r="J102" s="63">
        <f>((FME_Ranking_Option2!$H102)/($H$3))*100</f>
        <v>5.7786188878603444E-3</v>
      </c>
      <c r="K102" s="36" t="e">
        <f>FME_Ranking2[[#This Row],[Norm Data3]]*H$4</f>
        <v>#REF!</v>
      </c>
      <c r="L102" s="37">
        <f>_xlfn.XLOOKUP(FME_Ranking2[[#This Row],[FME ID]],FME_Input[FME_ID],FME_Input[RES_STRUCT100])</f>
        <v>37</v>
      </c>
      <c r="M102" s="38" t="e">
        <f>FME_Ranking2[[#This Row],[Raw Data4]]*L$4</f>
        <v>#REF!</v>
      </c>
      <c r="N102" s="28">
        <f>((FME_Ranking_Option2!$L102)/($L$3))*100</f>
        <v>5.5316101620163762E-3</v>
      </c>
      <c r="O102" s="39" t="e">
        <f>FME_Ranking2[[#This Row],[Norm Data4]]*L$4</f>
        <v>#REF!</v>
      </c>
      <c r="P102" s="34">
        <f>_xlfn.XLOOKUP(FME_Ranking2[[#This Row],[FME ID]],FME_Input[FME_ID],FME_Input[POP100])</f>
        <v>44</v>
      </c>
      <c r="Q102" s="35" t="e">
        <f>FME_Ranking_Option2!$P102*P$4</f>
        <v>#REF!</v>
      </c>
      <c r="R102" s="35">
        <f>FME_Ranking_Option2!$P102/($P$3)</f>
        <v>1.6148934280443861E-5</v>
      </c>
      <c r="S102" s="35" t="e">
        <f>FME_Ranking_Option2!$R102*P$4</f>
        <v>#REF!</v>
      </c>
      <c r="T102" s="37">
        <f>_xlfn.XLOOKUP(FME_Ranking2[[#This Row],[FME ID]],FME_Input[FME_ID],FME_Input[CRITFAC100])</f>
        <v>0</v>
      </c>
      <c r="U102" s="35" t="e">
        <f>FME_Ranking_Option2!$T102*T$4</f>
        <v>#REF!</v>
      </c>
      <c r="V102" s="35">
        <f>FME_Ranking_Option2!$T102/($T$3)</f>
        <v>0</v>
      </c>
      <c r="W102" s="35" t="e">
        <f>FME_Ranking_Option2!$V102*T$4</f>
        <v>#REF!</v>
      </c>
      <c r="X102" s="37">
        <f>_xlfn.XLOOKUP(FME_Ranking2[[#This Row],[FME ID]],FME_Input[FME_ID],FME_Input[LWC])</f>
        <v>0</v>
      </c>
      <c r="Y102" s="35" t="e">
        <f>FME_Ranking_Option2!$X102*X$4</f>
        <v>#REF!</v>
      </c>
      <c r="Z102" s="35">
        <f>FME_Ranking_Option2!$X102/($X$3)</f>
        <v>0</v>
      </c>
      <c r="AA102" s="35" t="e">
        <f>FME_Ranking_Option2!$Z102*X$4</f>
        <v>#REF!</v>
      </c>
      <c r="AB102" s="37">
        <f>_xlfn.XLOOKUP(FME_Ranking2[[#This Row],[FME ID]],FME_Input[FME_ID],FME_Input[ROADCLS])</f>
        <v>0</v>
      </c>
      <c r="AC102" s="35" t="e">
        <f>FME_Ranking_Option2!$AB102*AB$4</f>
        <v>#REF!</v>
      </c>
      <c r="AD102" s="40">
        <f>_xlfn.XLOOKUP(FME_Ranking2[[#This Row],[FME ID]],FME_Input[FME_ID],FME_Input[ROAD_MILES100])</f>
        <v>3.3015956878662109</v>
      </c>
      <c r="AE102" s="41" t="e">
        <f>FME_Ranking_Option2!$AD102*AD$4</f>
        <v>#REF!</v>
      </c>
      <c r="AF102" s="42">
        <f>FME_Ranking_Option2!$AD102/($AD$3)</f>
        <v>7.4574075849591535E-5</v>
      </c>
      <c r="AG102" s="42" t="e">
        <f>FME_Ranking_Option2!$AF102*AD$4</f>
        <v>#REF!</v>
      </c>
      <c r="AH102" s="40">
        <f>_xlfn.XLOOKUP(FME_Ranking2[[#This Row],[FME ID]],FME_Input[FME_ID],FME_Input[FARMACRE100])</f>
        <v>6.1741275787353516</v>
      </c>
      <c r="AI102" s="43" t="e">
        <f>FME_Ranking_Option2!$AH102*AH$4</f>
        <v>#REF!</v>
      </c>
      <c r="AJ102" s="41">
        <f>FME_Ranking_Option2!$AH102/($AH$3)</f>
        <v>3.5850651957027442E-4</v>
      </c>
      <c r="AK102" s="44" t="e">
        <f>FME_Ranking_Option2!$AJ102*AH$4</f>
        <v>#REF!</v>
      </c>
      <c r="AL102"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02" s="45" t="e">
        <f>_xlfn.RANK.EQ(AL102,$AL$7:$AL$531)+COUNTIF(AL$7:AL102,AL102)-1</f>
        <v>#REF!</v>
      </c>
      <c r="AN102" s="44"/>
      <c r="AO102" s="45" t="e">
        <f>_xlfn.RANK.EQ(AN102,$AN$7:$AN$531)+COUNTIF(AN$7:AN102,AN102)-1</f>
        <v>#N/A</v>
      </c>
      <c r="AP10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02" s="32" t="e">
        <f>FME_Ranking2[[#This Row],[Score Based on Reported Factors]]-FME_Ranking2[[#This Row],[Check]]</f>
        <v>#REF!</v>
      </c>
      <c r="AR102" s="32"/>
    </row>
    <row r="103" spans="1:55" ht="12" customHeight="1" x14ac:dyDescent="0.25">
      <c r="A103" s="16" t="s">
        <v>1231</v>
      </c>
      <c r="B103" s="16" t="str">
        <f>_xlfn.XLOOKUP(FME_Ranking2[[#This Row],[FME ID]],FME_Input[FME_ID],FME_Input[FME_NAME])</f>
        <v>Southwood Forest Subdivision and Forgotten Forest Subdivision Evaluation</v>
      </c>
      <c r="C103" s="16" t="str">
        <f>_xlfn.XLOOKUP(FME_Ranking2[[#This Row],[FME ID]],FME_Input[FME_ID],FME_Input[DESCR])</f>
        <v>Study to develop a community-wide drainage system in Southwood Forest Subdivision and Forgotten Forest Subdivision.</v>
      </c>
      <c r="D103" s="46" t="str">
        <f>_xlfn.XLOOKUP(FME_Ranking2[[#This Row],[FME ID]],FME_Input[FME_ID],FME_Input[EMER_NEED])</f>
        <v>No</v>
      </c>
      <c r="E103" s="121">
        <f>IF(FME_Ranking_Option2!$D103="Yes",100,0)</f>
        <v>0</v>
      </c>
      <c r="F103" s="47" t="str">
        <f>_xlfn.XLOOKUP(FME_Ranking2[[#This Row],[FME ID]],FME_Input[FME_ID],FME_Input[FUND])</f>
        <v>Yes</v>
      </c>
      <c r="G103" s="48">
        <f>IF(FME_Ranking_Option2!$F103="Yes",1,0)</f>
        <v>1</v>
      </c>
      <c r="H103" s="46">
        <f>_xlfn.XLOOKUP(FME_Ranking2[[#This Row],[FME ID]],FME_Input[FME_ID],FME_Input[STRUCT_100])</f>
        <v>13</v>
      </c>
      <c r="I103" s="65" t="e">
        <f>FME_Ranking2[[#This Row],[Raw Data3]]*H$4</f>
        <v>#REF!</v>
      </c>
      <c r="J103" s="62">
        <f>((FME_Ranking_Option2!$H103)/($H$3))*100</f>
        <v>1.4446547219650861E-3</v>
      </c>
      <c r="K103" s="49" t="e">
        <f>FME_Ranking2[[#This Row],[Norm Data3]]*H$4</f>
        <v>#REF!</v>
      </c>
      <c r="L103" s="50">
        <f>_xlfn.XLOOKUP(FME_Ranking2[[#This Row],[FME ID]],FME_Input[FME_ID],FME_Input[RES_STRUCT100])</f>
        <v>13</v>
      </c>
      <c r="M103" s="51" t="e">
        <f>FME_Ranking2[[#This Row],[Raw Data4]]*L$4</f>
        <v>#REF!</v>
      </c>
      <c r="N103" s="29">
        <f>((FME_Ranking_Option2!$L103)/($L$3))*100</f>
        <v>1.9435387055733214E-3</v>
      </c>
      <c r="O103" s="52" t="e">
        <f>FME_Ranking2[[#This Row],[Norm Data4]]*L$4</f>
        <v>#REF!</v>
      </c>
      <c r="P103" s="47">
        <f>_xlfn.XLOOKUP(FME_Ranking2[[#This Row],[FME ID]],FME_Input[FME_ID],FME_Input[POP100])</f>
        <v>5</v>
      </c>
      <c r="Q103" s="48" t="e">
        <f>FME_Ranking_Option2!$P103*P$4</f>
        <v>#REF!</v>
      </c>
      <c r="R103" s="48">
        <f>FME_Ranking_Option2!$P103/($P$3)</f>
        <v>1.835106168232257E-6</v>
      </c>
      <c r="S103" s="48" t="e">
        <f>FME_Ranking_Option2!$R103*P$4</f>
        <v>#REF!</v>
      </c>
      <c r="T103" s="50">
        <f>_xlfn.XLOOKUP(FME_Ranking2[[#This Row],[FME ID]],FME_Input[FME_ID],FME_Input[CRITFAC100])</f>
        <v>0</v>
      </c>
      <c r="U103" s="48" t="e">
        <f>FME_Ranking_Option2!$T103*T$4</f>
        <v>#REF!</v>
      </c>
      <c r="V103" s="48">
        <f>FME_Ranking_Option2!$T103/($T$3)</f>
        <v>0</v>
      </c>
      <c r="W103" s="48" t="e">
        <f>FME_Ranking_Option2!$V103*T$4</f>
        <v>#REF!</v>
      </c>
      <c r="X103" s="50">
        <f>_xlfn.XLOOKUP(FME_Ranking2[[#This Row],[FME ID]],FME_Input[FME_ID],FME_Input[LWC])</f>
        <v>0</v>
      </c>
      <c r="Y103" s="48" t="e">
        <f>FME_Ranking_Option2!$X103*X$4</f>
        <v>#REF!</v>
      </c>
      <c r="Z103" s="48">
        <f>FME_Ranking_Option2!$X103/($X$3)</f>
        <v>0</v>
      </c>
      <c r="AA103" s="48" t="e">
        <f>FME_Ranking_Option2!$Z103*X$4</f>
        <v>#REF!</v>
      </c>
      <c r="AB103" s="50">
        <f>_xlfn.XLOOKUP(FME_Ranking2[[#This Row],[FME ID]],FME_Input[FME_ID],FME_Input[ROADCLS])</f>
        <v>0</v>
      </c>
      <c r="AC103" s="48" t="e">
        <f>FME_Ranking_Option2!$AB103*AB$4</f>
        <v>#REF!</v>
      </c>
      <c r="AD103" s="53">
        <f>_xlfn.XLOOKUP(FME_Ranking2[[#This Row],[FME ID]],FME_Input[FME_ID],FME_Input[ROAD_MILES100])</f>
        <v>0</v>
      </c>
      <c r="AE103" s="54" t="e">
        <f>FME_Ranking_Option2!$AD103*AD$4</f>
        <v>#REF!</v>
      </c>
      <c r="AF103" s="55">
        <f>FME_Ranking_Option2!$AD103/($AD$3)</f>
        <v>0</v>
      </c>
      <c r="AG103" s="55" t="e">
        <f>FME_Ranking_Option2!$AF103*AD$4</f>
        <v>#REF!</v>
      </c>
      <c r="AH103" s="53">
        <f>_xlfn.XLOOKUP(FME_Ranking2[[#This Row],[FME ID]],FME_Input[FME_ID],FME_Input[FARMACRE100])</f>
        <v>0</v>
      </c>
      <c r="AI103" s="54" t="e">
        <f>FME_Ranking_Option2!$AH103*AH$4</f>
        <v>#REF!</v>
      </c>
      <c r="AJ103" s="56">
        <f>FME_Ranking_Option2!$AH103/($AH$3)</f>
        <v>0</v>
      </c>
      <c r="AK103" s="57" t="e">
        <f>FME_Ranking_Option2!$AJ103*AH$4</f>
        <v>#REF!</v>
      </c>
      <c r="AL103"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03" s="58" t="e">
        <f>_xlfn.RANK.EQ(AL103,$AL$7:$AL$531)+COUNTIF(AL$7:AL103,AL103)-1</f>
        <v>#REF!</v>
      </c>
      <c r="AN103" s="57"/>
      <c r="AO103" s="58" t="e">
        <f>_xlfn.RANK.EQ(AN103,$AN$7:$AN$531)+COUNTIF(AN$7:AN103,AN103)-1</f>
        <v>#N/A</v>
      </c>
      <c r="AP10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03" s="32" t="e">
        <f>FME_Ranking2[[#This Row],[Score Based on Reported Factors]]-FME_Ranking2[[#This Row],[Check]]</f>
        <v>#REF!</v>
      </c>
      <c r="AR103" s="32"/>
      <c r="AT103" s="19"/>
      <c r="AU103" s="19"/>
      <c r="AV103" s="19"/>
      <c r="AW103" s="19"/>
      <c r="AX103" s="19"/>
      <c r="AY103" s="19"/>
      <c r="AZ103" s="19"/>
      <c r="BA103" s="19"/>
      <c r="BB103" s="19"/>
      <c r="BC103" s="19"/>
    </row>
    <row r="104" spans="1:55" ht="12" customHeight="1" x14ac:dyDescent="0.25">
      <c r="A104" s="17" t="s">
        <v>1236</v>
      </c>
      <c r="B104" s="17" t="str">
        <f>_xlfn.XLOOKUP(FME_Ranking2[[#This Row],[FME ID]],FME_Input[FME_ID],FME_Input[FME_NAME])</f>
        <v>Shadowbend Drainage Improvements Phase 2</v>
      </c>
      <c r="C104" s="17" t="str">
        <f>_xlfn.XLOOKUP(FME_Ranking2[[#This Row],[FME ID]],FME_Input[FME_ID],FME_Input[DESCR])</f>
        <v>Further study of component of 1993 master Drainage Plan Phase 1 to include Atlas 14 rainfall.</v>
      </c>
      <c r="D104" s="33" t="str">
        <f>_xlfn.XLOOKUP(FME_Ranking2[[#This Row],[FME ID]],FME_Input[FME_ID],FME_Input[EMER_NEED])</f>
        <v>No</v>
      </c>
      <c r="E104" s="120">
        <f>IF(FME_Ranking_Option2!$D104="Yes",100,0)</f>
        <v>0</v>
      </c>
      <c r="F104" s="34" t="str">
        <f>_xlfn.XLOOKUP(FME_Ranking2[[#This Row],[FME ID]],FME_Input[FME_ID],FME_Input[FUND])</f>
        <v>Yes</v>
      </c>
      <c r="G104" s="35">
        <f>IF(FME_Ranking_Option2!$F104="Yes",1,0)</f>
        <v>1</v>
      </c>
      <c r="H104" s="33">
        <f>_xlfn.XLOOKUP(FME_Ranking2[[#This Row],[FME ID]],FME_Input[FME_ID],FME_Input[STRUCT_100])</f>
        <v>1680</v>
      </c>
      <c r="I104" s="64" t="e">
        <f>FME_Ranking2[[#This Row],[Raw Data3]]*H$4</f>
        <v>#REF!</v>
      </c>
      <c r="J104" s="63">
        <f>((FME_Ranking_Option2!$H104)/($H$3))*100</f>
        <v>0.18669384099241113</v>
      </c>
      <c r="K104" s="36" t="e">
        <f>FME_Ranking2[[#This Row],[Norm Data3]]*H$4</f>
        <v>#REF!</v>
      </c>
      <c r="L104" s="37">
        <f>_xlfn.XLOOKUP(FME_Ranking2[[#This Row],[FME ID]],FME_Input[FME_ID],FME_Input[RES_STRUCT100])</f>
        <v>1601</v>
      </c>
      <c r="M104" s="38" t="e">
        <f>FME_Ranking2[[#This Row],[Raw Data4]]*L$4</f>
        <v>#REF!</v>
      </c>
      <c r="N104" s="28">
        <f>((FME_Ranking_Option2!$L104)/($L$3))*100</f>
        <v>0.23935426674022214</v>
      </c>
      <c r="O104" s="39" t="e">
        <f>FME_Ranking2[[#This Row],[Norm Data4]]*L$4</f>
        <v>#REF!</v>
      </c>
      <c r="P104" s="34">
        <f>_xlfn.XLOOKUP(FME_Ranking2[[#This Row],[FME ID]],FME_Input[FME_ID],FME_Input[POP100])</f>
        <v>5467</v>
      </c>
      <c r="Q104" s="35" t="e">
        <f>FME_Ranking_Option2!$P104*P$4</f>
        <v>#REF!</v>
      </c>
      <c r="R104" s="35">
        <f>FME_Ranking_Option2!$P104/($P$3)</f>
        <v>2.0065050843451498E-3</v>
      </c>
      <c r="S104" s="35" t="e">
        <f>FME_Ranking_Option2!$R104*P$4</f>
        <v>#REF!</v>
      </c>
      <c r="T104" s="37">
        <f>_xlfn.XLOOKUP(FME_Ranking2[[#This Row],[FME ID]],FME_Input[FME_ID],FME_Input[CRITFAC100])</f>
        <v>2</v>
      </c>
      <c r="U104" s="35" t="e">
        <f>FME_Ranking_Option2!$T104*T$4</f>
        <v>#REF!</v>
      </c>
      <c r="V104" s="35">
        <f>FME_Ranking_Option2!$T104/($T$3)</f>
        <v>2.8204766605556341E-4</v>
      </c>
      <c r="W104" s="35" t="e">
        <f>FME_Ranking_Option2!$V104*T$4</f>
        <v>#REF!</v>
      </c>
      <c r="X104" s="37">
        <f>_xlfn.XLOOKUP(FME_Ranking2[[#This Row],[FME ID]],FME_Input[FME_ID],FME_Input[LWC])</f>
        <v>5</v>
      </c>
      <c r="Y104" s="35" t="e">
        <f>FME_Ranking_Option2!$X104*X$4</f>
        <v>#REF!</v>
      </c>
      <c r="Z104" s="35">
        <f>FME_Ranking_Option2!$X104/($X$3)</f>
        <v>4.5612114577631819E-4</v>
      </c>
      <c r="AA104" s="35" t="e">
        <f>FME_Ranking_Option2!$Z104*X$4</f>
        <v>#REF!</v>
      </c>
      <c r="AB104" s="37">
        <f>_xlfn.XLOOKUP(FME_Ranking2[[#This Row],[FME ID]],FME_Input[FME_ID],FME_Input[ROADCLS])</f>
        <v>5</v>
      </c>
      <c r="AC104" s="35" t="e">
        <f>FME_Ranking_Option2!$AB104*AB$4</f>
        <v>#REF!</v>
      </c>
      <c r="AD104" s="40">
        <f>_xlfn.XLOOKUP(FME_Ranking2[[#This Row],[FME ID]],FME_Input[FME_ID],FME_Input[ROAD_MILES100])</f>
        <v>37.720420837402337</v>
      </c>
      <c r="AE104" s="41" t="e">
        <f>FME_Ranking_Option2!$AD104*AD$4</f>
        <v>#REF!</v>
      </c>
      <c r="AF104" s="42">
        <f>FME_Ranking_Option2!$AD104/($AD$3)</f>
        <v>8.5200181686236303E-4</v>
      </c>
      <c r="AG104" s="42" t="e">
        <f>FME_Ranking_Option2!$AF104*AD$4</f>
        <v>#REF!</v>
      </c>
      <c r="AH104" s="40">
        <f>_xlfn.XLOOKUP(FME_Ranking2[[#This Row],[FME ID]],FME_Input[FME_ID],FME_Input[FARMACRE100])</f>
        <v>18.37308311462402</v>
      </c>
      <c r="AI104" s="43" t="e">
        <f>FME_Ranking_Option2!$AH104*AH$4</f>
        <v>#REF!</v>
      </c>
      <c r="AJ104" s="41">
        <f>FME_Ranking_Option2!$AH104/($AH$3)</f>
        <v>1.0668503358896295E-3</v>
      </c>
      <c r="AK104" s="44" t="e">
        <f>FME_Ranking_Option2!$AJ104*AH$4</f>
        <v>#REF!</v>
      </c>
      <c r="AL104"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04" s="45" t="e">
        <f>_xlfn.RANK.EQ(AL104,$AL$7:$AL$531)+COUNTIF(AL$7:AL104,AL104)-1</f>
        <v>#REF!</v>
      </c>
      <c r="AN104" s="44"/>
      <c r="AO104" s="45" t="e">
        <f>_xlfn.RANK.EQ(AN104,$AN$7:$AN$531)+COUNTIF(AN$7:AN104,AN104)-1</f>
        <v>#N/A</v>
      </c>
      <c r="AP10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04" s="32" t="e">
        <f>FME_Ranking2[[#This Row],[Score Based on Reported Factors]]-FME_Ranking2[[#This Row],[Check]]</f>
        <v>#REF!</v>
      </c>
      <c r="AR104" s="32"/>
    </row>
    <row r="105" spans="1:55" ht="12" customHeight="1" x14ac:dyDescent="0.25">
      <c r="A105" s="16" t="s">
        <v>1240</v>
      </c>
      <c r="B105" s="16" t="str">
        <f>_xlfn.XLOOKUP(FME_Ranking2[[#This Row],[FME ID]],FME_Input[FME_ID],FME_Input[FME_NAME])</f>
        <v>City of Todd Mission Reduction of Floodplain Area Roads and Drainage Upgrade</v>
      </c>
      <c r="C105" s="16" t="str">
        <f>_xlfn.XLOOKUP(FME_Ranking2[[#This Row],[FME ID]],FME_Input[FME_ID],FME_Input[DESCR])</f>
        <v>Analysis of potential upgrades to be made to floodplain-area roads and drainage to reduce flood risk.</v>
      </c>
      <c r="D105" s="46" t="str">
        <f>_xlfn.XLOOKUP(FME_Ranking2[[#This Row],[FME ID]],FME_Input[FME_ID],FME_Input[EMER_NEED])</f>
        <v>No</v>
      </c>
      <c r="E105" s="121">
        <f>IF(FME_Ranking_Option2!$D105="Yes",100,0)</f>
        <v>0</v>
      </c>
      <c r="F105" s="47" t="str">
        <f>_xlfn.XLOOKUP(FME_Ranking2[[#This Row],[FME ID]],FME_Input[FME_ID],FME_Input[FUND])</f>
        <v>Yes</v>
      </c>
      <c r="G105" s="48">
        <f>IF(FME_Ranking_Option2!$F105="Yes",1,0)</f>
        <v>1</v>
      </c>
      <c r="H105" s="46">
        <f>_xlfn.XLOOKUP(FME_Ranking2[[#This Row],[FME ID]],FME_Input[FME_ID],FME_Input[STRUCT_100])</f>
        <v>17</v>
      </c>
      <c r="I105" s="65" t="e">
        <f>FME_Ranking2[[#This Row],[Raw Data3]]*H$4</f>
        <v>#REF!</v>
      </c>
      <c r="J105" s="62">
        <f>((FME_Ranking_Option2!$H105)/($H$3))*100</f>
        <v>1.8891638671851125E-3</v>
      </c>
      <c r="K105" s="49" t="e">
        <f>FME_Ranking2[[#This Row],[Norm Data3]]*H$4</f>
        <v>#REF!</v>
      </c>
      <c r="L105" s="50">
        <f>_xlfn.XLOOKUP(FME_Ranking2[[#This Row],[FME ID]],FME_Input[FME_ID],FME_Input[RES_STRUCT100])</f>
        <v>11</v>
      </c>
      <c r="M105" s="51" t="e">
        <f>FME_Ranking2[[#This Row],[Raw Data4]]*L$4</f>
        <v>#REF!</v>
      </c>
      <c r="N105" s="29">
        <f>((FME_Ranking_Option2!$L105)/($L$3))*100</f>
        <v>1.6445327508697336E-3</v>
      </c>
      <c r="O105" s="52" t="e">
        <f>FME_Ranking2[[#This Row],[Norm Data4]]*L$4</f>
        <v>#REF!</v>
      </c>
      <c r="P105" s="47">
        <f>_xlfn.XLOOKUP(FME_Ranking2[[#This Row],[FME ID]],FME_Input[FME_ID],FME_Input[POP100])</f>
        <v>19</v>
      </c>
      <c r="Q105" s="48" t="e">
        <f>FME_Ranking_Option2!$P105*P$4</f>
        <v>#REF!</v>
      </c>
      <c r="R105" s="48">
        <f>FME_Ranking_Option2!$P105/($P$3)</f>
        <v>6.9734034392825764E-6</v>
      </c>
      <c r="S105" s="48" t="e">
        <f>FME_Ranking_Option2!$R105*P$4</f>
        <v>#REF!</v>
      </c>
      <c r="T105" s="50">
        <f>_xlfn.XLOOKUP(FME_Ranking2[[#This Row],[FME ID]],FME_Input[FME_ID],FME_Input[CRITFAC100])</f>
        <v>0</v>
      </c>
      <c r="U105" s="48" t="e">
        <f>FME_Ranking_Option2!$T105*T$4</f>
        <v>#REF!</v>
      </c>
      <c r="V105" s="48">
        <f>FME_Ranking_Option2!$T105/($T$3)</f>
        <v>0</v>
      </c>
      <c r="W105" s="48" t="e">
        <f>FME_Ranking_Option2!$V105*T$4</f>
        <v>#REF!</v>
      </c>
      <c r="X105" s="50">
        <f>_xlfn.XLOOKUP(FME_Ranking2[[#This Row],[FME ID]],FME_Input[FME_ID],FME_Input[LWC])</f>
        <v>0</v>
      </c>
      <c r="Y105" s="48" t="e">
        <f>FME_Ranking_Option2!$X105*X$4</f>
        <v>#REF!</v>
      </c>
      <c r="Z105" s="48">
        <f>FME_Ranking_Option2!$X105/($X$3)</f>
        <v>0</v>
      </c>
      <c r="AA105" s="48" t="e">
        <f>FME_Ranking_Option2!$Z105*X$4</f>
        <v>#REF!</v>
      </c>
      <c r="AB105" s="50">
        <f>_xlfn.XLOOKUP(FME_Ranking2[[#This Row],[FME ID]],FME_Input[FME_ID],FME_Input[ROADCLS])</f>
        <v>0</v>
      </c>
      <c r="AC105" s="48" t="e">
        <f>FME_Ranking_Option2!$AB105*AB$4</f>
        <v>#REF!</v>
      </c>
      <c r="AD105" s="53">
        <f>_xlfn.XLOOKUP(FME_Ranking2[[#This Row],[FME ID]],FME_Input[FME_ID],FME_Input[ROAD_MILES100])</f>
        <v>0</v>
      </c>
      <c r="AE105" s="54" t="e">
        <f>FME_Ranking_Option2!$AD105*AD$4</f>
        <v>#REF!</v>
      </c>
      <c r="AF105" s="55">
        <f>FME_Ranking_Option2!$AD105/($AD$3)</f>
        <v>0</v>
      </c>
      <c r="AG105" s="55" t="e">
        <f>FME_Ranking_Option2!$AF105*AD$4</f>
        <v>#REF!</v>
      </c>
      <c r="AH105" s="53">
        <f>_xlfn.XLOOKUP(FME_Ranking2[[#This Row],[FME ID]],FME_Input[FME_ID],FME_Input[FARMACRE100])</f>
        <v>1.1160120964050291</v>
      </c>
      <c r="AI105" s="54" t="e">
        <f>FME_Ranking_Option2!$AH105*AH$4</f>
        <v>#REF!</v>
      </c>
      <c r="AJ105" s="56">
        <f>FME_Ranking_Option2!$AH105/($AH$3)</f>
        <v>6.4802291073234452E-5</v>
      </c>
      <c r="AK105" s="57" t="e">
        <f>FME_Ranking_Option2!$AJ105*AH$4</f>
        <v>#REF!</v>
      </c>
      <c r="AL105"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05" s="58" t="e">
        <f>_xlfn.RANK.EQ(AL105,$AL$7:$AL$531)+COUNTIF(AL$7:AL105,AL105)-1</f>
        <v>#REF!</v>
      </c>
      <c r="AN105" s="57"/>
      <c r="AO105" s="58" t="e">
        <f>_xlfn.RANK.EQ(AN105,$AN$7:$AN$531)+COUNTIF(AN$7:AN105,AN105)-1</f>
        <v>#N/A</v>
      </c>
      <c r="AP10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05" s="32" t="e">
        <f>FME_Ranking2[[#This Row],[Score Based on Reported Factors]]-FME_Ranking2[[#This Row],[Check]]</f>
        <v>#REF!</v>
      </c>
      <c r="AR105" s="32"/>
      <c r="AT105" s="19"/>
      <c r="AU105" s="19"/>
      <c r="AV105" s="19"/>
      <c r="AW105" s="19"/>
      <c r="AX105" s="19"/>
      <c r="AY105" s="19"/>
      <c r="AZ105" s="19"/>
      <c r="BA105" s="19"/>
      <c r="BB105" s="19"/>
      <c r="BC105" s="19"/>
    </row>
    <row r="106" spans="1:55" ht="12" customHeight="1" x14ac:dyDescent="0.25">
      <c r="A106" s="17" t="s">
        <v>1249</v>
      </c>
      <c r="B106" s="17" t="str">
        <f>_xlfn.XLOOKUP(FME_Ranking2[[#This Row],[FME ID]],FME_Input[FME_ID],FME_Input[FME_NAME])</f>
        <v>Jamica Cove Rd. Survey</v>
      </c>
      <c r="C106" s="17" t="str">
        <f>_xlfn.XLOOKUP(FME_Ranking2[[#This Row],[FME ID]],FME_Input[FME_ID],FME_Input[DESCR])</f>
        <v xml:space="preserve">Engineering assessment needed to determine if elevating the road would reduce future flooding impacts. </v>
      </c>
      <c r="D106" s="33" t="str">
        <f>_xlfn.XLOOKUP(FME_Ranking2[[#This Row],[FME ID]],FME_Input[FME_ID],FME_Input[EMER_NEED])</f>
        <v>No</v>
      </c>
      <c r="E106" s="120">
        <f>IF(FME_Ranking_Option2!$D106="Yes",100,0)</f>
        <v>0</v>
      </c>
      <c r="F106" s="34" t="str">
        <f>_xlfn.XLOOKUP(FME_Ranking2[[#This Row],[FME ID]],FME_Input[FME_ID],FME_Input[FUND])</f>
        <v>Yes</v>
      </c>
      <c r="G106" s="35">
        <f>IF(FME_Ranking_Option2!$F106="Yes",1,0)</f>
        <v>1</v>
      </c>
      <c r="H106" s="33">
        <f>_xlfn.XLOOKUP(FME_Ranking2[[#This Row],[FME ID]],FME_Input[FME_ID],FME_Input[STRUCT_100])</f>
        <v>1276</v>
      </c>
      <c r="I106" s="64" t="e">
        <f>FME_Ranking2[[#This Row],[Raw Data3]]*H$4</f>
        <v>#REF!</v>
      </c>
      <c r="J106" s="63">
        <f>((FME_Ranking_Option2!$H106)/($H$3))*100</f>
        <v>0.14179841732518844</v>
      </c>
      <c r="K106" s="36" t="e">
        <f>FME_Ranking2[[#This Row],[Norm Data3]]*H$4</f>
        <v>#REF!</v>
      </c>
      <c r="L106" s="37">
        <f>_xlfn.XLOOKUP(FME_Ranking2[[#This Row],[FME ID]],FME_Input[FME_ID],FME_Input[RES_STRUCT100])</f>
        <v>1238</v>
      </c>
      <c r="M106" s="38" t="e">
        <f>FME_Ranking2[[#This Row],[Raw Data4]]*L$4</f>
        <v>#REF!</v>
      </c>
      <c r="N106" s="28">
        <f>((FME_Ranking_Option2!$L106)/($L$3))*100</f>
        <v>0.18508468596152092</v>
      </c>
      <c r="O106" s="39" t="e">
        <f>FME_Ranking2[[#This Row],[Norm Data4]]*L$4</f>
        <v>#REF!</v>
      </c>
      <c r="P106" s="34">
        <f>_xlfn.XLOOKUP(FME_Ranking2[[#This Row],[FME ID]],FME_Input[FME_ID],FME_Input[POP100])</f>
        <v>395</v>
      </c>
      <c r="Q106" s="35" t="e">
        <f>FME_Ranking_Option2!$P106*P$4</f>
        <v>#REF!</v>
      </c>
      <c r="R106" s="35">
        <f>FME_Ranking_Option2!$P106/($P$3)</f>
        <v>1.4497338729034829E-4</v>
      </c>
      <c r="S106" s="35" t="e">
        <f>FME_Ranking_Option2!$R106*P$4</f>
        <v>#REF!</v>
      </c>
      <c r="T106" s="37">
        <f>_xlfn.XLOOKUP(FME_Ranking2[[#This Row],[FME ID]],FME_Input[FME_ID],FME_Input[CRITFAC100])</f>
        <v>4</v>
      </c>
      <c r="U106" s="35" t="e">
        <f>FME_Ranking_Option2!$T106*T$4</f>
        <v>#REF!</v>
      </c>
      <c r="V106" s="35">
        <f>FME_Ranking_Option2!$T106/($T$3)</f>
        <v>5.6409533211112682E-4</v>
      </c>
      <c r="W106" s="35" t="e">
        <f>FME_Ranking_Option2!$V106*T$4</f>
        <v>#REF!</v>
      </c>
      <c r="X106" s="37">
        <f>_xlfn.XLOOKUP(FME_Ranking2[[#This Row],[FME ID]],FME_Input[FME_ID],FME_Input[LWC])</f>
        <v>0</v>
      </c>
      <c r="Y106" s="35" t="e">
        <f>FME_Ranking_Option2!$X106*X$4</f>
        <v>#REF!</v>
      </c>
      <c r="Z106" s="35">
        <f>FME_Ranking_Option2!$X106/($X$3)</f>
        <v>0</v>
      </c>
      <c r="AA106" s="35" t="e">
        <f>FME_Ranking_Option2!$Z106*X$4</f>
        <v>#REF!</v>
      </c>
      <c r="AB106" s="37">
        <f>_xlfn.XLOOKUP(FME_Ranking2[[#This Row],[FME ID]],FME_Input[FME_ID],FME_Input[ROADCLS])</f>
        <v>0</v>
      </c>
      <c r="AC106" s="35" t="e">
        <f>FME_Ranking_Option2!$AB106*AB$4</f>
        <v>#REF!</v>
      </c>
      <c r="AD106" s="40">
        <f>_xlfn.XLOOKUP(FME_Ranking2[[#This Row],[FME ID]],FME_Input[FME_ID],FME_Input[ROAD_MILES100])</f>
        <v>13.807454109191889</v>
      </c>
      <c r="AE106" s="41" t="e">
        <f>FME_Ranking_Option2!$AD106*AD$4</f>
        <v>#REF!</v>
      </c>
      <c r="AF106" s="42">
        <f>FME_Ranking_Option2!$AD106/($AD$3)</f>
        <v>3.1187287220322884E-4</v>
      </c>
      <c r="AG106" s="42" t="e">
        <f>FME_Ranking_Option2!$AF106*AD$4</f>
        <v>#REF!</v>
      </c>
      <c r="AH106" s="40">
        <f>_xlfn.XLOOKUP(FME_Ranking2[[#This Row],[FME ID]],FME_Input[FME_ID],FME_Input[FARMACRE100])</f>
        <v>2.8237185478210449</v>
      </c>
      <c r="AI106" s="43" t="e">
        <f>FME_Ranking_Option2!$AH106*AH$4</f>
        <v>#REF!</v>
      </c>
      <c r="AJ106" s="41">
        <f>FME_Ranking_Option2!$AH106/($AH$3)</f>
        <v>1.6396187087418533E-4</v>
      </c>
      <c r="AK106" s="44" t="e">
        <f>FME_Ranking_Option2!$AJ106*AH$4</f>
        <v>#REF!</v>
      </c>
      <c r="AL106"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06" s="45" t="e">
        <f>_xlfn.RANK.EQ(AL106,$AL$7:$AL$531)+COUNTIF(AL$7:AL106,AL106)-1</f>
        <v>#REF!</v>
      </c>
      <c r="AN106" s="44"/>
      <c r="AO106" s="45" t="e">
        <f>_xlfn.RANK.EQ(AN106,$AN$7:$AN$531)+COUNTIF(AN$7:AN106,AN106)-1</f>
        <v>#N/A</v>
      </c>
      <c r="AP10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06" s="32" t="e">
        <f>FME_Ranking2[[#This Row],[Score Based on Reported Factors]]-FME_Ranking2[[#This Row],[Check]]</f>
        <v>#REF!</v>
      </c>
      <c r="AR106" s="32"/>
    </row>
    <row r="107" spans="1:55" ht="12" customHeight="1" x14ac:dyDescent="0.25">
      <c r="A107" s="16" t="s">
        <v>1239</v>
      </c>
      <c r="B107" s="16" t="e">
        <f>_xlfn.XLOOKUP(FME_Ranking2[[#This Row],[FME ID]],FME_Input[FME_ID],FME_Input[FME_NAME])</f>
        <v>#N/A</v>
      </c>
      <c r="C107" s="16" t="e">
        <f>_xlfn.XLOOKUP(FME_Ranking2[[#This Row],[FME ID]],FME_Input[FME_ID],FME_Input[DESCR])</f>
        <v>#N/A</v>
      </c>
      <c r="D107" s="46" t="e">
        <f>_xlfn.XLOOKUP(FME_Ranking2[[#This Row],[FME ID]],FME_Input[FME_ID],FME_Input[EMER_NEED])</f>
        <v>#N/A</v>
      </c>
      <c r="E107" s="121" t="e">
        <f>IF(FME_Ranking_Option2!$D107="Yes",100,0)</f>
        <v>#N/A</v>
      </c>
      <c r="F107" s="47" t="e">
        <f>_xlfn.XLOOKUP(FME_Ranking2[[#This Row],[FME ID]],FME_Input[FME_ID],FME_Input[FUND])</f>
        <v>#N/A</v>
      </c>
      <c r="G107" s="48" t="e">
        <f>IF(FME_Ranking_Option2!$F107="Yes",1,0)</f>
        <v>#N/A</v>
      </c>
      <c r="H107" s="46" t="e">
        <f>_xlfn.XLOOKUP(FME_Ranking2[[#This Row],[FME ID]],FME_Input[FME_ID],FME_Input[STRUCT_100])</f>
        <v>#N/A</v>
      </c>
      <c r="I107" s="65" t="e">
        <f>FME_Ranking2[[#This Row],[Raw Data3]]*H$4</f>
        <v>#N/A</v>
      </c>
      <c r="J107" s="62" t="e">
        <f>((FME_Ranking_Option2!$H107)/($H$3))*100</f>
        <v>#N/A</v>
      </c>
      <c r="K107" s="49" t="e">
        <f>FME_Ranking2[[#This Row],[Norm Data3]]*H$4</f>
        <v>#N/A</v>
      </c>
      <c r="L107" s="50" t="e">
        <f>_xlfn.XLOOKUP(FME_Ranking2[[#This Row],[FME ID]],FME_Input[FME_ID],FME_Input[RES_STRUCT100])</f>
        <v>#N/A</v>
      </c>
      <c r="M107" s="51" t="e">
        <f>FME_Ranking2[[#This Row],[Raw Data4]]*L$4</f>
        <v>#N/A</v>
      </c>
      <c r="N107" s="29" t="e">
        <f>((FME_Ranking_Option2!$L107)/($L$3))*100</f>
        <v>#N/A</v>
      </c>
      <c r="O107" s="52" t="e">
        <f>FME_Ranking2[[#This Row],[Norm Data4]]*L$4</f>
        <v>#N/A</v>
      </c>
      <c r="P107" s="47" t="e">
        <f>_xlfn.XLOOKUP(FME_Ranking2[[#This Row],[FME ID]],FME_Input[FME_ID],FME_Input[POP100])</f>
        <v>#N/A</v>
      </c>
      <c r="Q107" s="48" t="e">
        <f>FME_Ranking_Option2!$P107*P$4</f>
        <v>#N/A</v>
      </c>
      <c r="R107" s="48" t="e">
        <f>FME_Ranking_Option2!$P107/($P$3)</f>
        <v>#N/A</v>
      </c>
      <c r="S107" s="48" t="e">
        <f>FME_Ranking_Option2!$R107*P$4</f>
        <v>#N/A</v>
      </c>
      <c r="T107" s="50" t="e">
        <f>_xlfn.XLOOKUP(FME_Ranking2[[#This Row],[FME ID]],FME_Input[FME_ID],FME_Input[CRITFAC100])</f>
        <v>#N/A</v>
      </c>
      <c r="U107" s="48" t="e">
        <f>FME_Ranking_Option2!$T107*T$4</f>
        <v>#N/A</v>
      </c>
      <c r="V107" s="48" t="e">
        <f>FME_Ranking_Option2!$T107/($T$3)</f>
        <v>#N/A</v>
      </c>
      <c r="W107" s="48" t="e">
        <f>FME_Ranking_Option2!$V107*T$4</f>
        <v>#N/A</v>
      </c>
      <c r="X107" s="50" t="e">
        <f>_xlfn.XLOOKUP(FME_Ranking2[[#This Row],[FME ID]],FME_Input[FME_ID],FME_Input[LWC])</f>
        <v>#N/A</v>
      </c>
      <c r="Y107" s="48" t="e">
        <f>FME_Ranking_Option2!$X107*X$4</f>
        <v>#N/A</v>
      </c>
      <c r="Z107" s="48" t="e">
        <f>FME_Ranking_Option2!$X107/($X$3)</f>
        <v>#N/A</v>
      </c>
      <c r="AA107" s="48" t="e">
        <f>FME_Ranking_Option2!$Z107*X$4</f>
        <v>#N/A</v>
      </c>
      <c r="AB107" s="50" t="e">
        <f>_xlfn.XLOOKUP(FME_Ranking2[[#This Row],[FME ID]],FME_Input[FME_ID],FME_Input[ROADCLS])</f>
        <v>#N/A</v>
      </c>
      <c r="AC107" s="48" t="e">
        <f>FME_Ranking_Option2!$AB107*AB$4</f>
        <v>#N/A</v>
      </c>
      <c r="AD107" s="53" t="e">
        <f>_xlfn.XLOOKUP(FME_Ranking2[[#This Row],[FME ID]],FME_Input[FME_ID],FME_Input[ROAD_MILES100])</f>
        <v>#N/A</v>
      </c>
      <c r="AE107" s="54" t="e">
        <f>FME_Ranking_Option2!$AD107*AD$4</f>
        <v>#N/A</v>
      </c>
      <c r="AF107" s="55" t="e">
        <f>FME_Ranking_Option2!$AD107/($AD$3)</f>
        <v>#N/A</v>
      </c>
      <c r="AG107" s="55" t="e">
        <f>FME_Ranking_Option2!$AF107*AD$4</f>
        <v>#N/A</v>
      </c>
      <c r="AH107" s="53" t="e">
        <f>_xlfn.XLOOKUP(FME_Ranking2[[#This Row],[FME ID]],FME_Input[FME_ID],FME_Input[FARMACRE100])</f>
        <v>#N/A</v>
      </c>
      <c r="AI107" s="54" t="e">
        <f>FME_Ranking_Option2!$AH107*AH$4</f>
        <v>#N/A</v>
      </c>
      <c r="AJ107" s="56" t="e">
        <f>FME_Ranking_Option2!$AH107/($AH$3)</f>
        <v>#N/A</v>
      </c>
      <c r="AK107" s="57" t="e">
        <f>FME_Ranking_Option2!$AJ107*AH$4</f>
        <v>#N/A</v>
      </c>
      <c r="AL107"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#N/A</v>
      </c>
      <c r="AM107" s="58" t="e">
        <f>_xlfn.RANK.EQ(AL107,$AL$7:$AL$531)+COUNTIF(AL$7:AL107,AL107)-1</f>
        <v>#N/A</v>
      </c>
      <c r="AN107" s="57"/>
      <c r="AO107" s="58" t="e">
        <f>_xlfn.RANK.EQ(AN107,$AN$7:$AN$531)+COUNTIF(AN$7:AN107,AN107)-1</f>
        <v>#N/A</v>
      </c>
      <c r="AP10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#N/A</v>
      </c>
      <c r="AQ107" s="32" t="e">
        <f>FME_Ranking2[[#This Row],[Score Based on Reported Factors]]-FME_Ranking2[[#This Row],[Check]]</f>
        <v>#N/A</v>
      </c>
      <c r="AR107" s="32"/>
      <c r="AT107" s="19"/>
      <c r="AU107" s="19"/>
      <c r="AV107" s="19"/>
      <c r="AW107" s="19"/>
      <c r="AX107" s="19"/>
      <c r="AY107" s="19"/>
      <c r="AZ107" s="19"/>
      <c r="BA107" s="19"/>
      <c r="BB107" s="19"/>
      <c r="BC107" s="19"/>
    </row>
    <row r="108" spans="1:55" ht="12" customHeight="1" x14ac:dyDescent="0.25">
      <c r="A108" s="17" t="s">
        <v>1257</v>
      </c>
      <c r="B108" s="17" t="str">
        <f>_xlfn.XLOOKUP(FME_Ranking2[[#This Row],[FME ID]],FME_Input[FME_ID],FME_Input[FME_NAME])</f>
        <v>Implement Drainage Improvements in City of La Marque</v>
      </c>
      <c r="C108" s="17" t="str">
        <f>_xlfn.XLOOKUP(FME_Ranking2[[#This Row],[FME ID]],FME_Input[FME_ID],FME_Input[DESCR])</f>
        <v>Implement drainage projects that support low maintenance and cleaning of drainage ditches.</v>
      </c>
      <c r="D108" s="33" t="str">
        <f>_xlfn.XLOOKUP(FME_Ranking2[[#This Row],[FME ID]],FME_Input[FME_ID],FME_Input[EMER_NEED])</f>
        <v>No</v>
      </c>
      <c r="E108" s="120">
        <f>IF(FME_Ranking_Option2!$D108="Yes",100,0)</f>
        <v>0</v>
      </c>
      <c r="F108" s="34" t="str">
        <f>_xlfn.XLOOKUP(FME_Ranking2[[#This Row],[FME ID]],FME_Input[FME_ID],FME_Input[FUND])</f>
        <v>Yes</v>
      </c>
      <c r="G108" s="35">
        <f>IF(FME_Ranking_Option2!$F108="Yes",1,0)</f>
        <v>1</v>
      </c>
      <c r="H108" s="33">
        <f>_xlfn.XLOOKUP(FME_Ranking2[[#This Row],[FME ID]],FME_Input[FME_ID],FME_Input[STRUCT_100])</f>
        <v>829</v>
      </c>
      <c r="I108" s="64" t="e">
        <f>FME_Ranking2[[#This Row],[Raw Data3]]*H$4</f>
        <v>#REF!</v>
      </c>
      <c r="J108" s="63">
        <f>((FME_Ranking_Option2!$H108)/($H$3))*100</f>
        <v>9.212452034685048E-2</v>
      </c>
      <c r="K108" s="36" t="e">
        <f>FME_Ranking2[[#This Row],[Norm Data3]]*H$4</f>
        <v>#REF!</v>
      </c>
      <c r="L108" s="37">
        <f>_xlfn.XLOOKUP(FME_Ranking2[[#This Row],[FME ID]],FME_Input[FME_ID],FME_Input[RES_STRUCT100])</f>
        <v>767</v>
      </c>
      <c r="M108" s="38" t="e">
        <f>FME_Ranking2[[#This Row],[Raw Data4]]*L$4</f>
        <v>#REF!</v>
      </c>
      <c r="N108" s="28">
        <f>((FME_Ranking_Option2!$L108)/($L$3))*100</f>
        <v>0.11466878362882597</v>
      </c>
      <c r="O108" s="39" t="e">
        <f>FME_Ranking2[[#This Row],[Norm Data4]]*L$4</f>
        <v>#REF!</v>
      </c>
      <c r="P108" s="34">
        <f>_xlfn.XLOOKUP(FME_Ranking2[[#This Row],[FME ID]],FME_Input[FME_ID],FME_Input[POP100])</f>
        <v>1612</v>
      </c>
      <c r="Q108" s="35" t="e">
        <f>FME_Ranking_Option2!$P108*P$4</f>
        <v>#REF!</v>
      </c>
      <c r="R108" s="35">
        <f>FME_Ranking_Option2!$P108/($P$3)</f>
        <v>5.9163822863807962E-4</v>
      </c>
      <c r="S108" s="35" t="e">
        <f>FME_Ranking_Option2!$R108*P$4</f>
        <v>#REF!</v>
      </c>
      <c r="T108" s="37">
        <f>_xlfn.XLOOKUP(FME_Ranking2[[#This Row],[FME ID]],FME_Input[FME_ID],FME_Input[CRITFAC100])</f>
        <v>8</v>
      </c>
      <c r="U108" s="35" t="e">
        <f>FME_Ranking_Option2!$T108*T$4</f>
        <v>#REF!</v>
      </c>
      <c r="V108" s="35">
        <f>FME_Ranking_Option2!$T108/($T$3)</f>
        <v>1.1281906642222536E-3</v>
      </c>
      <c r="W108" s="35" t="e">
        <f>FME_Ranking_Option2!$V108*T$4</f>
        <v>#REF!</v>
      </c>
      <c r="X108" s="37">
        <f>_xlfn.XLOOKUP(FME_Ranking2[[#This Row],[FME ID]],FME_Input[FME_ID],FME_Input[LWC])</f>
        <v>1</v>
      </c>
      <c r="Y108" s="35" t="e">
        <f>FME_Ranking_Option2!$X108*X$4</f>
        <v>#REF!</v>
      </c>
      <c r="Z108" s="35">
        <f>FME_Ranking_Option2!$X108/($X$3)</f>
        <v>9.1224229155263632E-5</v>
      </c>
      <c r="AA108" s="35" t="e">
        <f>FME_Ranking_Option2!$Z108*X$4</f>
        <v>#REF!</v>
      </c>
      <c r="AB108" s="37">
        <f>_xlfn.XLOOKUP(FME_Ranking2[[#This Row],[FME ID]],FME_Input[FME_ID],FME_Input[ROADCLS])</f>
        <v>1</v>
      </c>
      <c r="AC108" s="35" t="e">
        <f>FME_Ranking_Option2!$AB108*AB$4</f>
        <v>#REF!</v>
      </c>
      <c r="AD108" s="40">
        <f>_xlfn.XLOOKUP(FME_Ranking2[[#This Row],[FME ID]],FME_Input[FME_ID],FME_Input[ROAD_MILES100])</f>
        <v>31.114070892333981</v>
      </c>
      <c r="AE108" s="41" t="e">
        <f>FME_Ranking_Option2!$AD108*AD$4</f>
        <v>#REF!</v>
      </c>
      <c r="AF108" s="42">
        <f>FME_Ranking_Option2!$AD108/($AD$3)</f>
        <v>7.0278232166400478E-4</v>
      </c>
      <c r="AG108" s="42" t="e">
        <f>FME_Ranking_Option2!$AF108*AD$4</f>
        <v>#REF!</v>
      </c>
      <c r="AH108" s="40">
        <f>_xlfn.XLOOKUP(FME_Ranking2[[#This Row],[FME ID]],FME_Input[FME_ID],FME_Input[FARMACRE100])</f>
        <v>37.849395751953118</v>
      </c>
      <c r="AI108" s="43" t="e">
        <f>FME_Ranking_Option2!$AH108*AH$4</f>
        <v>#REF!</v>
      </c>
      <c r="AJ108" s="41">
        <f>FME_Ranking_Option2!$AH108/($AH$3)</f>
        <v>2.1977607306990629E-3</v>
      </c>
      <c r="AK108" s="44" t="e">
        <f>FME_Ranking_Option2!$AJ108*AH$4</f>
        <v>#REF!</v>
      </c>
      <c r="AL10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08" s="45" t="e">
        <f>_xlfn.RANK.EQ(AL108,$AL$7:$AL$531)+COUNTIF(AL$7:AL108,AL108)-1</f>
        <v>#REF!</v>
      </c>
      <c r="AN108" s="44"/>
      <c r="AO108" s="45" t="e">
        <f>_xlfn.RANK.EQ(AN108,$AN$7:$AN$531)+COUNTIF(AN$7:AN108,AN108)-1</f>
        <v>#N/A</v>
      </c>
      <c r="AP10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08" s="32" t="e">
        <f>FME_Ranking2[[#This Row],[Score Based on Reported Factors]]-FME_Ranking2[[#This Row],[Check]]</f>
        <v>#REF!</v>
      </c>
      <c r="AR108" s="32"/>
    </row>
    <row r="109" spans="1:55" ht="12" customHeight="1" x14ac:dyDescent="0.25">
      <c r="A109" s="16" t="s">
        <v>1263</v>
      </c>
      <c r="B109" s="16" t="str">
        <f>_xlfn.XLOOKUP(FME_Ranking2[[#This Row],[FME ID]],FME_Input[FME_ID],FME_Input[FME_NAME])</f>
        <v>Liberty County Culvert Replacement Project</v>
      </c>
      <c r="C109" s="16" t="str">
        <f>_xlfn.XLOOKUP(FME_Ranking2[[#This Row],[FME ID]],FME_Input[FME_ID],FME_Input[DESCR])</f>
        <v>Increase culvert size in identified flood hazard problem areas within Liberty County.</v>
      </c>
      <c r="D109" s="46" t="str">
        <f>_xlfn.XLOOKUP(FME_Ranking2[[#This Row],[FME ID]],FME_Input[FME_ID],FME_Input[EMER_NEED])</f>
        <v>No</v>
      </c>
      <c r="E109" s="121">
        <f>IF(FME_Ranking_Option2!$D109="Yes",100,0)</f>
        <v>0</v>
      </c>
      <c r="F109" s="47" t="str">
        <f>_xlfn.XLOOKUP(FME_Ranking2[[#This Row],[FME ID]],FME_Input[FME_ID],FME_Input[FUND])</f>
        <v>Yes</v>
      </c>
      <c r="G109" s="48">
        <f>IF(FME_Ranking_Option2!$F109="Yes",1,0)</f>
        <v>1</v>
      </c>
      <c r="H109" s="46">
        <f>_xlfn.XLOOKUP(FME_Ranking2[[#This Row],[FME ID]],FME_Input[FME_ID],FME_Input[STRUCT_100])</f>
        <v>3618</v>
      </c>
      <c r="I109" s="65" t="e">
        <f>FME_Ranking2[[#This Row],[Raw Data3]]*H$4</f>
        <v>#REF!</v>
      </c>
      <c r="J109" s="62">
        <f>((FME_Ranking_Option2!$H109)/($H$3))*100</f>
        <v>0.40205852185151392</v>
      </c>
      <c r="K109" s="49" t="e">
        <f>FME_Ranking2[[#This Row],[Norm Data3]]*H$4</f>
        <v>#REF!</v>
      </c>
      <c r="L109" s="50">
        <f>_xlfn.XLOOKUP(FME_Ranking2[[#This Row],[FME ID]],FME_Input[FME_ID],FME_Input[RES_STRUCT100])</f>
        <v>2271</v>
      </c>
      <c r="M109" s="51" t="e">
        <f>FME_Ranking2[[#This Row],[Raw Data4]]*L$4</f>
        <v>#REF!</v>
      </c>
      <c r="N109" s="29">
        <f>((FME_Ranking_Option2!$L109)/($L$3))*100</f>
        <v>0.3395212615659241</v>
      </c>
      <c r="O109" s="52" t="e">
        <f>FME_Ranking2[[#This Row],[Norm Data4]]*L$4</f>
        <v>#REF!</v>
      </c>
      <c r="P109" s="47">
        <f>_xlfn.XLOOKUP(FME_Ranking2[[#This Row],[FME ID]],FME_Input[FME_ID],FME_Input[POP100])</f>
        <v>4854</v>
      </c>
      <c r="Q109" s="48" t="e">
        <f>FME_Ranking_Option2!$P109*P$4</f>
        <v>#REF!</v>
      </c>
      <c r="R109" s="48">
        <f>FME_Ranking_Option2!$P109/($P$3)</f>
        <v>1.7815210681198751E-3</v>
      </c>
      <c r="S109" s="48" t="e">
        <f>FME_Ranking_Option2!$R109*P$4</f>
        <v>#REF!</v>
      </c>
      <c r="T109" s="50">
        <f>_xlfn.XLOOKUP(FME_Ranking2[[#This Row],[FME ID]],FME_Input[FME_ID],FME_Input[CRITFAC100])</f>
        <v>8</v>
      </c>
      <c r="U109" s="48" t="e">
        <f>FME_Ranking_Option2!$T109*T$4</f>
        <v>#REF!</v>
      </c>
      <c r="V109" s="48">
        <f>FME_Ranking_Option2!$T109/($T$3)</f>
        <v>1.1281906642222536E-3</v>
      </c>
      <c r="W109" s="48" t="e">
        <f>FME_Ranking_Option2!$V109*T$4</f>
        <v>#REF!</v>
      </c>
      <c r="X109" s="50">
        <f>_xlfn.XLOOKUP(FME_Ranking2[[#This Row],[FME ID]],FME_Input[FME_ID],FME_Input[LWC])</f>
        <v>7</v>
      </c>
      <c r="Y109" s="48" t="e">
        <f>FME_Ranking_Option2!$X109*X$4</f>
        <v>#REF!</v>
      </c>
      <c r="Z109" s="48">
        <f>FME_Ranking_Option2!$X109/($X$3)</f>
        <v>6.3856960408684551E-4</v>
      </c>
      <c r="AA109" s="48" t="e">
        <f>FME_Ranking_Option2!$Z109*X$4</f>
        <v>#REF!</v>
      </c>
      <c r="AB109" s="50">
        <f>_xlfn.XLOOKUP(FME_Ranking2[[#This Row],[FME ID]],FME_Input[FME_ID],FME_Input[ROADCLS])</f>
        <v>7</v>
      </c>
      <c r="AC109" s="48" t="e">
        <f>FME_Ranking_Option2!$AB109*AB$4</f>
        <v>#REF!</v>
      </c>
      <c r="AD109" s="53">
        <f>_xlfn.XLOOKUP(FME_Ranking2[[#This Row],[FME ID]],FME_Input[FME_ID],FME_Input[ROAD_MILES100])</f>
        <v>144.16850280761719</v>
      </c>
      <c r="AE109" s="54" t="e">
        <f>FME_Ranking_Option2!$AD109*AD$4</f>
        <v>#REF!</v>
      </c>
      <c r="AF109" s="55">
        <f>FME_Ranking_Option2!$AD109/($AD$3)</f>
        <v>3.256374759335148E-3</v>
      </c>
      <c r="AG109" s="55" t="e">
        <f>FME_Ranking_Option2!$AF109*AD$4</f>
        <v>#REF!</v>
      </c>
      <c r="AH109" s="53">
        <f>_xlfn.XLOOKUP(FME_Ranking2[[#This Row],[FME ID]],FME_Input[FME_ID],FME_Input[FARMACRE100])</f>
        <v>1379.477294921875</v>
      </c>
      <c r="AI109" s="54" t="e">
        <f>FME_Ranking_Option2!$AH109*AH$4</f>
        <v>#REF!</v>
      </c>
      <c r="AJ109" s="56">
        <f>FME_Ranking_Option2!$AH109/($AH$3)</f>
        <v>8.0100645398383158E-2</v>
      </c>
      <c r="AK109" s="57" t="e">
        <f>FME_Ranking_Option2!$AJ109*AH$4</f>
        <v>#REF!</v>
      </c>
      <c r="AL10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09" s="58" t="e">
        <f>_xlfn.RANK.EQ(AL109,$AL$7:$AL$531)+COUNTIF(AL$7:AL109,AL109)-1</f>
        <v>#REF!</v>
      </c>
      <c r="AN109" s="57"/>
      <c r="AO109" s="58" t="e">
        <f>_xlfn.RANK.EQ(AN109,$AN$7:$AN$531)+COUNTIF(AN$7:AN109,AN109)-1</f>
        <v>#N/A</v>
      </c>
      <c r="AP10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09" s="32" t="e">
        <f>FME_Ranking2[[#This Row],[Score Based on Reported Factors]]-FME_Ranking2[[#This Row],[Check]]</f>
        <v>#REF!</v>
      </c>
      <c r="AR109" s="32"/>
      <c r="AT109" s="19"/>
      <c r="AU109" s="19"/>
      <c r="AV109" s="19"/>
      <c r="AW109" s="19"/>
      <c r="AX109" s="19"/>
      <c r="AY109" s="19"/>
      <c r="AZ109" s="19"/>
      <c r="BA109" s="19"/>
      <c r="BB109" s="19"/>
      <c r="BC109" s="19"/>
    </row>
    <row r="110" spans="1:55" ht="12" customHeight="1" x14ac:dyDescent="0.25">
      <c r="A110" s="17" t="s">
        <v>1260</v>
      </c>
      <c r="B110" s="17" t="str">
        <f>_xlfn.XLOOKUP(FME_Ranking2[[#This Row],[FME ID]],FME_Input[FME_ID],FME_Input[FME_NAME])</f>
        <v>Evaluatin of Increase Height of Existing Levee Wall System in City of La Marque</v>
      </c>
      <c r="C110" s="17" t="str">
        <f>_xlfn.XLOOKUP(FME_Ranking2[[#This Row],[FME ID]],FME_Input[FME_ID],FME_Input[DESCR])</f>
        <v>Increase height of existing Levee wall system to withstand a Category 5 storm surge.</v>
      </c>
      <c r="D110" s="33" t="str">
        <f>_xlfn.XLOOKUP(FME_Ranking2[[#This Row],[FME ID]],FME_Input[FME_ID],FME_Input[EMER_NEED])</f>
        <v>No</v>
      </c>
      <c r="E110" s="120">
        <f>IF(FME_Ranking_Option2!$D110="Yes",100,0)</f>
        <v>0</v>
      </c>
      <c r="F110" s="34" t="str">
        <f>_xlfn.XLOOKUP(FME_Ranking2[[#This Row],[FME ID]],FME_Input[FME_ID],FME_Input[FUND])</f>
        <v>Yes</v>
      </c>
      <c r="G110" s="35">
        <f>IF(FME_Ranking_Option2!$F110="Yes",1,0)</f>
        <v>1</v>
      </c>
      <c r="H110" s="33">
        <f>_xlfn.XLOOKUP(FME_Ranking2[[#This Row],[FME ID]],FME_Input[FME_ID],FME_Input[STRUCT_100])</f>
        <v>829</v>
      </c>
      <c r="I110" s="64" t="e">
        <f>FME_Ranking2[[#This Row],[Raw Data3]]*H$4</f>
        <v>#REF!</v>
      </c>
      <c r="J110" s="63">
        <f>((FME_Ranking_Option2!$H110)/($H$3))*100</f>
        <v>9.212452034685048E-2</v>
      </c>
      <c r="K110" s="36" t="e">
        <f>FME_Ranking2[[#This Row],[Norm Data3]]*H$4</f>
        <v>#REF!</v>
      </c>
      <c r="L110" s="37">
        <f>_xlfn.XLOOKUP(FME_Ranking2[[#This Row],[FME ID]],FME_Input[FME_ID],FME_Input[RES_STRUCT100])</f>
        <v>767</v>
      </c>
      <c r="M110" s="38" t="e">
        <f>FME_Ranking2[[#This Row],[Raw Data4]]*L$4</f>
        <v>#REF!</v>
      </c>
      <c r="N110" s="28">
        <f>((FME_Ranking_Option2!$L110)/($L$3))*100</f>
        <v>0.11466878362882597</v>
      </c>
      <c r="O110" s="39" t="e">
        <f>FME_Ranking2[[#This Row],[Norm Data4]]*L$4</f>
        <v>#REF!</v>
      </c>
      <c r="P110" s="34">
        <f>_xlfn.XLOOKUP(FME_Ranking2[[#This Row],[FME ID]],FME_Input[FME_ID],FME_Input[POP100])</f>
        <v>1612</v>
      </c>
      <c r="Q110" s="35" t="e">
        <f>FME_Ranking_Option2!$P110*P$4</f>
        <v>#REF!</v>
      </c>
      <c r="R110" s="35">
        <f>FME_Ranking_Option2!$P110/($P$3)</f>
        <v>5.9163822863807962E-4</v>
      </c>
      <c r="S110" s="35" t="e">
        <f>FME_Ranking_Option2!$R110*P$4</f>
        <v>#REF!</v>
      </c>
      <c r="T110" s="37">
        <f>_xlfn.XLOOKUP(FME_Ranking2[[#This Row],[FME ID]],FME_Input[FME_ID],FME_Input[CRITFAC100])</f>
        <v>8</v>
      </c>
      <c r="U110" s="35" t="e">
        <f>FME_Ranking_Option2!$T110*T$4</f>
        <v>#REF!</v>
      </c>
      <c r="V110" s="35">
        <f>FME_Ranking_Option2!$T110/($T$3)</f>
        <v>1.1281906642222536E-3</v>
      </c>
      <c r="W110" s="35" t="e">
        <f>FME_Ranking_Option2!$V110*T$4</f>
        <v>#REF!</v>
      </c>
      <c r="X110" s="37">
        <f>_xlfn.XLOOKUP(FME_Ranking2[[#This Row],[FME ID]],FME_Input[FME_ID],FME_Input[LWC])</f>
        <v>1</v>
      </c>
      <c r="Y110" s="35" t="e">
        <f>FME_Ranking_Option2!$X110*X$4</f>
        <v>#REF!</v>
      </c>
      <c r="Z110" s="35">
        <f>FME_Ranking_Option2!$X110/($X$3)</f>
        <v>9.1224229155263632E-5</v>
      </c>
      <c r="AA110" s="35" t="e">
        <f>FME_Ranking_Option2!$Z110*X$4</f>
        <v>#REF!</v>
      </c>
      <c r="AB110" s="37">
        <f>_xlfn.XLOOKUP(FME_Ranking2[[#This Row],[FME ID]],FME_Input[FME_ID],FME_Input[ROADCLS])</f>
        <v>1</v>
      </c>
      <c r="AC110" s="35" t="e">
        <f>FME_Ranking_Option2!$AB110*AB$4</f>
        <v>#REF!</v>
      </c>
      <c r="AD110" s="40">
        <f>_xlfn.XLOOKUP(FME_Ranking2[[#This Row],[FME ID]],FME_Input[FME_ID],FME_Input[ROAD_MILES100])</f>
        <v>31.114070892333981</v>
      </c>
      <c r="AE110" s="41" t="e">
        <f>FME_Ranking_Option2!$AD110*AD$4</f>
        <v>#REF!</v>
      </c>
      <c r="AF110" s="42">
        <f>FME_Ranking_Option2!$AD110/($AD$3)</f>
        <v>7.0278232166400478E-4</v>
      </c>
      <c r="AG110" s="42" t="e">
        <f>FME_Ranking_Option2!$AF110*AD$4</f>
        <v>#REF!</v>
      </c>
      <c r="AH110" s="40">
        <f>_xlfn.XLOOKUP(FME_Ranking2[[#This Row],[FME ID]],FME_Input[FME_ID],FME_Input[FARMACRE100])</f>
        <v>37.849395751953118</v>
      </c>
      <c r="AI110" s="43" t="e">
        <f>FME_Ranking_Option2!$AH110*AH$4</f>
        <v>#REF!</v>
      </c>
      <c r="AJ110" s="41">
        <f>FME_Ranking_Option2!$AH110/($AH$3)</f>
        <v>2.1977607306990629E-3</v>
      </c>
      <c r="AK110" s="44" t="e">
        <f>FME_Ranking_Option2!$AJ110*AH$4</f>
        <v>#REF!</v>
      </c>
      <c r="AL11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10" s="45" t="e">
        <f>_xlfn.RANK.EQ(AL110,$AL$7:$AL$531)+COUNTIF(AL$7:AL110,AL110)-1</f>
        <v>#REF!</v>
      </c>
      <c r="AN110" s="44"/>
      <c r="AO110" s="45" t="e">
        <f>_xlfn.RANK.EQ(AN110,$AN$7:$AN$531)+COUNTIF(AN$7:AN110,AN110)-1</f>
        <v>#N/A</v>
      </c>
      <c r="AP11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10" s="32" t="e">
        <f>FME_Ranking2[[#This Row],[Score Based on Reported Factors]]-FME_Ranking2[[#This Row],[Check]]</f>
        <v>#REF!</v>
      </c>
      <c r="AR110" s="32"/>
    </row>
    <row r="111" spans="1:55" ht="12" customHeight="1" x14ac:dyDescent="0.25">
      <c r="A111" s="16" t="s">
        <v>1270</v>
      </c>
      <c r="B111" s="16" t="str">
        <f>_xlfn.XLOOKUP(FME_Ranking2[[#This Row],[FME ID]],FME_Input[FME_ID],FME_Input[FME_NAME])</f>
        <v>Evaluation of Reinforcement of Critical Facilities in the City of Arcola</v>
      </c>
      <c r="C111" s="16" t="str">
        <f>_xlfn.XLOOKUP(FME_Ranking2[[#This Row],[FME ID]],FME_Input[FME_ID],FME_Input[DESCR])</f>
        <v>Reinforcement of critical facilities to withstand high winds from severe weather.</v>
      </c>
      <c r="D111" s="46" t="str">
        <f>_xlfn.XLOOKUP(FME_Ranking2[[#This Row],[FME ID]],FME_Input[FME_ID],FME_Input[EMER_NEED])</f>
        <v>No</v>
      </c>
      <c r="E111" s="121">
        <f>IF(FME_Ranking_Option2!$D111="Yes",100,0)</f>
        <v>0</v>
      </c>
      <c r="F111" s="47" t="str">
        <f>_xlfn.XLOOKUP(FME_Ranking2[[#This Row],[FME ID]],FME_Input[FME_ID],FME_Input[FUND])</f>
        <v>Yes</v>
      </c>
      <c r="G111" s="48">
        <f>IF(FME_Ranking_Option2!$F111="Yes",1,0)</f>
        <v>1</v>
      </c>
      <c r="H111" s="46">
        <f>_xlfn.XLOOKUP(FME_Ranking2[[#This Row],[FME ID]],FME_Input[FME_ID],FME_Input[STRUCT_100])</f>
        <v>41</v>
      </c>
      <c r="I111" s="65" t="e">
        <f>FME_Ranking2[[#This Row],[Raw Data3]]*H$4</f>
        <v>#REF!</v>
      </c>
      <c r="J111" s="62">
        <f>((FME_Ranking_Option2!$H111)/($H$3))*100</f>
        <v>4.5562187385052716E-3</v>
      </c>
      <c r="K111" s="49" t="e">
        <f>FME_Ranking2[[#This Row],[Norm Data3]]*H$4</f>
        <v>#REF!</v>
      </c>
      <c r="L111" s="50">
        <f>_xlfn.XLOOKUP(FME_Ranking2[[#This Row],[FME ID]],FME_Input[FME_ID],FME_Input[RES_STRUCT100])</f>
        <v>37</v>
      </c>
      <c r="M111" s="51" t="e">
        <f>FME_Ranking2[[#This Row],[Raw Data4]]*L$4</f>
        <v>#REF!</v>
      </c>
      <c r="N111" s="29">
        <f>((FME_Ranking_Option2!$L111)/($L$3))*100</f>
        <v>5.5316101620163762E-3</v>
      </c>
      <c r="O111" s="52" t="e">
        <f>FME_Ranking2[[#This Row],[Norm Data4]]*L$4</f>
        <v>#REF!</v>
      </c>
      <c r="P111" s="47">
        <f>_xlfn.XLOOKUP(FME_Ranking2[[#This Row],[FME ID]],FME_Input[FME_ID],FME_Input[POP100])</f>
        <v>39</v>
      </c>
      <c r="Q111" s="48" t="e">
        <f>FME_Ranking_Option2!$P111*P$4</f>
        <v>#REF!</v>
      </c>
      <c r="R111" s="48">
        <f>FME_Ranking_Option2!$P111/($P$3)</f>
        <v>1.4313828112211604E-5</v>
      </c>
      <c r="S111" s="48" t="e">
        <f>FME_Ranking_Option2!$R111*P$4</f>
        <v>#REF!</v>
      </c>
      <c r="T111" s="50">
        <f>_xlfn.XLOOKUP(FME_Ranking2[[#This Row],[FME ID]],FME_Input[FME_ID],FME_Input[CRITFAC100])</f>
        <v>0</v>
      </c>
      <c r="U111" s="48" t="e">
        <f>FME_Ranking_Option2!$T111*T$4</f>
        <v>#REF!</v>
      </c>
      <c r="V111" s="48">
        <f>FME_Ranking_Option2!$T111/($T$3)</f>
        <v>0</v>
      </c>
      <c r="W111" s="48" t="e">
        <f>FME_Ranking_Option2!$V111*T$4</f>
        <v>#REF!</v>
      </c>
      <c r="X111" s="50">
        <f>_xlfn.XLOOKUP(FME_Ranking2[[#This Row],[FME ID]],FME_Input[FME_ID],FME_Input[LWC])</f>
        <v>0</v>
      </c>
      <c r="Y111" s="48" t="e">
        <f>FME_Ranking_Option2!$X111*X$4</f>
        <v>#REF!</v>
      </c>
      <c r="Z111" s="48">
        <f>FME_Ranking_Option2!$X111/($X$3)</f>
        <v>0</v>
      </c>
      <c r="AA111" s="48" t="e">
        <f>FME_Ranking_Option2!$Z111*X$4</f>
        <v>#REF!</v>
      </c>
      <c r="AB111" s="50">
        <f>_xlfn.XLOOKUP(FME_Ranking2[[#This Row],[FME ID]],FME_Input[FME_ID],FME_Input[ROADCLS])</f>
        <v>0</v>
      </c>
      <c r="AC111" s="48" t="e">
        <f>FME_Ranking_Option2!$AB111*AB$4</f>
        <v>#REF!</v>
      </c>
      <c r="AD111" s="53">
        <f>_xlfn.XLOOKUP(FME_Ranking2[[#This Row],[FME ID]],FME_Input[FME_ID],FME_Input[ROAD_MILES100])</f>
        <v>0.21681888401508331</v>
      </c>
      <c r="AE111" s="54" t="e">
        <f>FME_Ranking_Option2!$AD111*AD$4</f>
        <v>#REF!</v>
      </c>
      <c r="AF111" s="55">
        <f>FME_Ranking_Option2!$AD111/($AD$3)</f>
        <v>4.8973494730405719E-6</v>
      </c>
      <c r="AG111" s="55" t="e">
        <f>FME_Ranking_Option2!$AF111*AD$4</f>
        <v>#REF!</v>
      </c>
      <c r="AH111" s="53">
        <f>_xlfn.XLOOKUP(FME_Ranking2[[#This Row],[FME ID]],FME_Input[FME_ID],FME_Input[FARMACRE100])</f>
        <v>1.2274031639099121</v>
      </c>
      <c r="AI111" s="54" t="e">
        <f>FME_Ranking_Option2!$AH111*AH$4</f>
        <v>#REF!</v>
      </c>
      <c r="AJ111" s="56">
        <f>FME_Ranking_Option2!$AH111/($AH$3)</f>
        <v>7.1270318079986545E-5</v>
      </c>
      <c r="AK111" s="57" t="e">
        <f>FME_Ranking_Option2!$AJ111*AH$4</f>
        <v>#REF!</v>
      </c>
      <c r="AL11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11" s="58" t="e">
        <f>_xlfn.RANK.EQ(AL111,$AL$7:$AL$531)+COUNTIF(AL$7:AL111,AL111)-1</f>
        <v>#REF!</v>
      </c>
      <c r="AN111" s="57"/>
      <c r="AO111" s="58" t="e">
        <f>_xlfn.RANK.EQ(AN111,$AN$7:$AN$531)+COUNTIF(AN$7:AN111,AN111)-1</f>
        <v>#N/A</v>
      </c>
      <c r="AP11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11" s="32" t="e">
        <f>FME_Ranking2[[#This Row],[Score Based on Reported Factors]]-FME_Ranking2[[#This Row],[Check]]</f>
        <v>#REF!</v>
      </c>
      <c r="AR111" s="32"/>
      <c r="AT111" s="19"/>
      <c r="AU111" s="19"/>
      <c r="AV111" s="19"/>
      <c r="AW111" s="19"/>
      <c r="AX111" s="19"/>
      <c r="AY111" s="19"/>
      <c r="AZ111" s="19"/>
      <c r="BA111" s="19"/>
      <c r="BB111" s="19"/>
      <c r="BC111" s="19"/>
    </row>
    <row r="112" spans="1:55" ht="12" customHeight="1" x14ac:dyDescent="0.25">
      <c r="A112" s="17" t="s">
        <v>1266</v>
      </c>
      <c r="B112" s="17" t="str">
        <f>_xlfn.XLOOKUP(FME_Ranking2[[#This Row],[FME ID]],FME_Input[FME_ID],FME_Input[FME_NAME])</f>
        <v>Evaluation of Mitigation Alternatives for Repetietive Flood Claims Properties in Galveston County</v>
      </c>
      <c r="C112" s="17" t="str">
        <f>_xlfn.XLOOKUP(FME_Ranking2[[#This Row],[FME ID]],FME_Input[FME_ID],FME_Input[DESCR])</f>
        <v>Evaluate Mitigation Alternatives of Repetitive Flood Claim Properties in Galveston County.</v>
      </c>
      <c r="D112" s="33" t="str">
        <f>_xlfn.XLOOKUP(FME_Ranking2[[#This Row],[FME ID]],FME_Input[FME_ID],FME_Input[EMER_NEED])</f>
        <v>No</v>
      </c>
      <c r="E112" s="120">
        <f>IF(FME_Ranking_Option2!$D112="Yes",100,0)</f>
        <v>0</v>
      </c>
      <c r="F112" s="34" t="str">
        <f>_xlfn.XLOOKUP(FME_Ranking2[[#This Row],[FME ID]],FME_Input[FME_ID],FME_Input[FUND])</f>
        <v>Yes</v>
      </c>
      <c r="G112" s="35">
        <f>IF(FME_Ranking_Option2!$F112="Yes",1,0)</f>
        <v>1</v>
      </c>
      <c r="H112" s="33">
        <f>_xlfn.XLOOKUP(FME_Ranking2[[#This Row],[FME ID]],FME_Input[FME_ID],FME_Input[STRUCT_100])</f>
        <v>48570</v>
      </c>
      <c r="I112" s="64" t="e">
        <f>FME_Ranking2[[#This Row],[Raw Data3]]*H$4</f>
        <v>#REF!</v>
      </c>
      <c r="J112" s="63">
        <f>((FME_Ranking_Option2!$H112)/($H$3))*100</f>
        <v>5.3974522958341717</v>
      </c>
      <c r="K112" s="36" t="e">
        <f>FME_Ranking2[[#This Row],[Norm Data3]]*H$4</f>
        <v>#REF!</v>
      </c>
      <c r="L112" s="37">
        <f>_xlfn.XLOOKUP(FME_Ranking2[[#This Row],[FME ID]],FME_Input[FME_ID],FME_Input[RES_STRUCT100])</f>
        <v>42185</v>
      </c>
      <c r="M112" s="38" t="e">
        <f>FME_Ranking2[[#This Row],[Raw Data4]]*L$4</f>
        <v>#REF!</v>
      </c>
      <c r="N112" s="28">
        <f>((FME_Ranking_Option2!$L112)/($L$3))*100</f>
        <v>6.3067830995854282</v>
      </c>
      <c r="O112" s="39" t="e">
        <f>FME_Ranking2[[#This Row],[Norm Data4]]*L$4</f>
        <v>#REF!</v>
      </c>
      <c r="P112" s="34">
        <f>_xlfn.XLOOKUP(FME_Ranking2[[#This Row],[FME ID]],FME_Input[FME_ID],FME_Input[POP100])</f>
        <v>171395</v>
      </c>
      <c r="Q112" s="35" t="e">
        <f>FME_Ranking_Option2!$P112*P$4</f>
        <v>#REF!</v>
      </c>
      <c r="R112" s="35">
        <f>FME_Ranking_Option2!$P112/($P$3)</f>
        <v>6.2905604340833532E-2</v>
      </c>
      <c r="S112" s="35" t="e">
        <f>FME_Ranking_Option2!$R112*P$4</f>
        <v>#REF!</v>
      </c>
      <c r="T112" s="37">
        <f>_xlfn.XLOOKUP(FME_Ranking2[[#This Row],[FME ID]],FME_Input[FME_ID],FME_Input[CRITFAC100])</f>
        <v>681</v>
      </c>
      <c r="U112" s="35" t="e">
        <f>FME_Ranking_Option2!$T112*T$4</f>
        <v>#REF!</v>
      </c>
      <c r="V112" s="35">
        <f>FME_Ranking_Option2!$T112/($T$3)</f>
        <v>9.6037230291919337E-2</v>
      </c>
      <c r="W112" s="35" t="e">
        <f>FME_Ranking_Option2!$V112*T$4</f>
        <v>#REF!</v>
      </c>
      <c r="X112" s="37">
        <f>_xlfn.XLOOKUP(FME_Ranking2[[#This Row],[FME ID]],FME_Input[FME_ID],FME_Input[LWC])</f>
        <v>30</v>
      </c>
      <c r="Y112" s="35" t="e">
        <f>FME_Ranking_Option2!$X112*X$4</f>
        <v>#REF!</v>
      </c>
      <c r="Z112" s="35">
        <f>FME_Ranking_Option2!$X112/($X$3)</f>
        <v>2.7367268746579091E-3</v>
      </c>
      <c r="AA112" s="35" t="e">
        <f>FME_Ranking_Option2!$Z112*X$4</f>
        <v>#REF!</v>
      </c>
      <c r="AB112" s="37">
        <f>_xlfn.XLOOKUP(FME_Ranking2[[#This Row],[FME ID]],FME_Input[FME_ID],FME_Input[ROADCLS])</f>
        <v>30</v>
      </c>
      <c r="AC112" s="35" t="e">
        <f>FME_Ranking_Option2!$AB112*AB$4</f>
        <v>#REF!</v>
      </c>
      <c r="AD112" s="40">
        <f>_xlfn.XLOOKUP(FME_Ranking2[[#This Row],[FME ID]],FME_Input[FME_ID],FME_Input[ROAD_MILES100])</f>
        <v>910.35089111328125</v>
      </c>
      <c r="AE112" s="41" t="e">
        <f>FME_Ranking_Option2!$AD112*AD$4</f>
        <v>#REF!</v>
      </c>
      <c r="AF112" s="42">
        <f>FME_Ranking_Option2!$AD112/($AD$3)</f>
        <v>2.0562353123104789E-2</v>
      </c>
      <c r="AG112" s="42" t="e">
        <f>FME_Ranking_Option2!$AF112*AD$4</f>
        <v>#REF!</v>
      </c>
      <c r="AH112" s="40">
        <f>_xlfn.XLOOKUP(FME_Ranking2[[#This Row],[FME ID]],FME_Input[FME_ID],FME_Input[FARMACRE100])</f>
        <v>3412.02490234375</v>
      </c>
      <c r="AI112" s="43" t="e">
        <f>FME_Ranking_Option2!$AH112*AH$4</f>
        <v>#REF!</v>
      </c>
      <c r="AJ112" s="41">
        <f>FME_Ranking_Option2!$AH112/($AH$3)</f>
        <v>0.19812243216990966</v>
      </c>
      <c r="AK112" s="44" t="e">
        <f>FME_Ranking_Option2!$AJ112*AH$4</f>
        <v>#REF!</v>
      </c>
      <c r="AL112"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12" s="45" t="e">
        <f>_xlfn.RANK.EQ(AL112,$AL$7:$AL$531)+COUNTIF(AL$7:AL112,AL112)-1</f>
        <v>#REF!</v>
      </c>
      <c r="AN112" s="44"/>
      <c r="AO112" s="45" t="e">
        <f>_xlfn.RANK.EQ(AN112,$AN$7:$AN$531)+COUNTIF(AN$7:AN112,AN112)-1</f>
        <v>#N/A</v>
      </c>
      <c r="AP11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12" s="32" t="e">
        <f>FME_Ranking2[[#This Row],[Score Based on Reported Factors]]-FME_Ranking2[[#This Row],[Check]]</f>
        <v>#REF!</v>
      </c>
      <c r="AR112" s="32"/>
    </row>
    <row r="113" spans="1:55" ht="12" customHeight="1" x14ac:dyDescent="0.25">
      <c r="A113" s="16" t="s">
        <v>1227</v>
      </c>
      <c r="B113" s="16" t="str">
        <f>_xlfn.XLOOKUP(FME_Ranking2[[#This Row],[FME ID]],FME_Input[FME_ID],FME_Input[FME_NAME])</f>
        <v>Cane Island Branch- Alt 1</v>
      </c>
      <c r="C113" s="16" t="str">
        <f>_xlfn.XLOOKUP(FME_Ranking2[[#This Row],[FME ID]],FME_Input[FME_ID],FME_Input[DESCR])</f>
        <v>Further study of 2,800 ac-ft detention upstream of Pitts road.</v>
      </c>
      <c r="D113" s="46" t="str">
        <f>_xlfn.XLOOKUP(FME_Ranking2[[#This Row],[FME ID]],FME_Input[FME_ID],FME_Input[EMER_NEED])</f>
        <v>No</v>
      </c>
      <c r="E113" s="121">
        <f>IF(FME_Ranking_Option2!$D113="Yes",100,0)</f>
        <v>0</v>
      </c>
      <c r="F113" s="47" t="str">
        <f>_xlfn.XLOOKUP(FME_Ranking2[[#This Row],[FME ID]],FME_Input[FME_ID],FME_Input[FUND])</f>
        <v>Yes</v>
      </c>
      <c r="G113" s="48">
        <f>IF(FME_Ranking_Option2!$F113="Yes",1,0)</f>
        <v>1</v>
      </c>
      <c r="H113" s="46">
        <f>_xlfn.XLOOKUP(FME_Ranking2[[#This Row],[FME ID]],FME_Input[FME_ID],FME_Input[STRUCT_100])</f>
        <v>546</v>
      </c>
      <c r="I113" s="65" t="e">
        <f>FME_Ranking2[[#This Row],[Raw Data3]]*H$4</f>
        <v>#REF!</v>
      </c>
      <c r="J113" s="62">
        <f>((FME_Ranking_Option2!$H113)/($H$3))*100</f>
        <v>6.0675498322533612E-2</v>
      </c>
      <c r="K113" s="49" t="e">
        <f>FME_Ranking2[[#This Row],[Norm Data3]]*H$4</f>
        <v>#REF!</v>
      </c>
      <c r="L113" s="50">
        <f>_xlfn.XLOOKUP(FME_Ranking2[[#This Row],[FME ID]],FME_Input[FME_ID],FME_Input[RES_STRUCT100])</f>
        <v>444</v>
      </c>
      <c r="M113" s="51" t="e">
        <f>FME_Ranking2[[#This Row],[Raw Data4]]*L$4</f>
        <v>#REF!</v>
      </c>
      <c r="N113" s="29">
        <f>((FME_Ranking_Option2!$L113)/($L$3))*100</f>
        <v>6.6379321944196518E-2</v>
      </c>
      <c r="O113" s="52" t="e">
        <f>FME_Ranking2[[#This Row],[Norm Data4]]*L$4</f>
        <v>#REF!</v>
      </c>
      <c r="P113" s="47">
        <f>_xlfn.XLOOKUP(FME_Ranking2[[#This Row],[FME ID]],FME_Input[FME_ID],FME_Input[POP100])</f>
        <v>2216</v>
      </c>
      <c r="Q113" s="48" t="e">
        <f>FME_Ranking_Option2!$P113*P$4</f>
        <v>#REF!</v>
      </c>
      <c r="R113" s="48">
        <f>FME_Ranking_Option2!$P113/($P$3)</f>
        <v>8.1331905376053623E-4</v>
      </c>
      <c r="S113" s="48" t="e">
        <f>FME_Ranking_Option2!$R113*P$4</f>
        <v>#REF!</v>
      </c>
      <c r="T113" s="50">
        <f>_xlfn.XLOOKUP(FME_Ranking2[[#This Row],[FME ID]],FME_Input[FME_ID],FME_Input[CRITFAC100])</f>
        <v>8</v>
      </c>
      <c r="U113" s="48" t="e">
        <f>FME_Ranking_Option2!$T113*T$4</f>
        <v>#REF!</v>
      </c>
      <c r="V113" s="48">
        <f>FME_Ranking_Option2!$T113/($T$3)</f>
        <v>1.1281906642222536E-3</v>
      </c>
      <c r="W113" s="48" t="e">
        <f>FME_Ranking_Option2!$V113*T$4</f>
        <v>#REF!</v>
      </c>
      <c r="X113" s="50">
        <f>_xlfn.XLOOKUP(FME_Ranking2[[#This Row],[FME ID]],FME_Input[FME_ID],FME_Input[LWC])</f>
        <v>4</v>
      </c>
      <c r="Y113" s="48" t="e">
        <f>FME_Ranking_Option2!$X113*X$4</f>
        <v>#REF!</v>
      </c>
      <c r="Z113" s="48">
        <f>FME_Ranking_Option2!$X113/($X$3)</f>
        <v>3.6489691662105453E-4</v>
      </c>
      <c r="AA113" s="48" t="e">
        <f>FME_Ranking_Option2!$Z113*X$4</f>
        <v>#REF!</v>
      </c>
      <c r="AB113" s="50">
        <f>_xlfn.XLOOKUP(FME_Ranking2[[#This Row],[FME ID]],FME_Input[FME_ID],FME_Input[ROADCLS])</f>
        <v>4</v>
      </c>
      <c r="AC113" s="48" t="e">
        <f>FME_Ranking_Option2!$AB113*AB$4</f>
        <v>#REF!</v>
      </c>
      <c r="AD113" s="53">
        <f>_xlfn.XLOOKUP(FME_Ranking2[[#This Row],[FME ID]],FME_Input[FME_ID],FME_Input[ROAD_MILES100])</f>
        <v>10.02671051025391</v>
      </c>
      <c r="AE113" s="54" t="e">
        <f>FME_Ranking_Option2!$AD113*AD$4</f>
        <v>#REF!</v>
      </c>
      <c r="AF113" s="55">
        <f>FME_Ranking_Option2!$AD113/($AD$3)</f>
        <v>2.2647614693149302E-4</v>
      </c>
      <c r="AG113" s="55" t="e">
        <f>FME_Ranking_Option2!$AF113*AD$4</f>
        <v>#REF!</v>
      </c>
      <c r="AH113" s="53">
        <f>_xlfn.XLOOKUP(FME_Ranking2[[#This Row],[FME ID]],FME_Input[FME_ID],FME_Input[FARMACRE100])</f>
        <v>21.652620315551761</v>
      </c>
      <c r="AI113" s="54" t="e">
        <f>FME_Ranking_Option2!$AH113*AH$4</f>
        <v>#REF!</v>
      </c>
      <c r="AJ113" s="56">
        <f>FME_Ranking_Option2!$AH113/($AH$3)</f>
        <v>1.2572797451806293E-3</v>
      </c>
      <c r="AK113" s="57" t="e">
        <f>FME_Ranking_Option2!$AJ113*AH$4</f>
        <v>#REF!</v>
      </c>
      <c r="AL113"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13" s="58" t="e">
        <f>_xlfn.RANK.EQ(AL113,$AL$7:$AL$531)+COUNTIF(AL$7:AL113,AL113)-1</f>
        <v>#REF!</v>
      </c>
      <c r="AN113" s="57"/>
      <c r="AO113" s="58" t="e">
        <f>_xlfn.RANK.EQ(AN113,$AN$7:$AN$531)+COUNTIF(AN$7:AN113,AN113)-1</f>
        <v>#N/A</v>
      </c>
      <c r="AP11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13" s="32" t="e">
        <f>FME_Ranking2[[#This Row],[Score Based on Reported Factors]]-FME_Ranking2[[#This Row],[Check]]</f>
        <v>#REF!</v>
      </c>
      <c r="AR113" s="32"/>
      <c r="AT113" s="19"/>
      <c r="AU113" s="19"/>
      <c r="AV113" s="19"/>
      <c r="AW113" s="19"/>
      <c r="AX113" s="19"/>
      <c r="AY113" s="19"/>
      <c r="AZ113" s="19"/>
      <c r="BA113" s="19"/>
      <c r="BB113" s="19"/>
      <c r="BC113" s="19"/>
    </row>
    <row r="114" spans="1:55" ht="12" customHeight="1" x14ac:dyDescent="0.25">
      <c r="A114" s="17" t="s">
        <v>1273</v>
      </c>
      <c r="B114" s="17" t="str">
        <f>_xlfn.XLOOKUP(FME_Ranking2[[#This Row],[FME ID]],FME_Input[FME_ID],FME_Input[FME_NAME])</f>
        <v>Downtown Cleveland Drainage Line Installation</v>
      </c>
      <c r="C114" s="17" t="str">
        <f>_xlfn.XLOOKUP(FME_Ranking2[[#This Row],[FME ID]],FME_Input[FME_ID],FME_Input[DESCR])</f>
        <v>Further study of proposed larger drainage lines in downtown Cleveland to reduce flooding.</v>
      </c>
      <c r="D114" s="33" t="str">
        <f>_xlfn.XLOOKUP(FME_Ranking2[[#This Row],[FME ID]],FME_Input[FME_ID],FME_Input[EMER_NEED])</f>
        <v>No</v>
      </c>
      <c r="E114" s="120">
        <f>IF(FME_Ranking_Option2!$D114="Yes",100,0)</f>
        <v>0</v>
      </c>
      <c r="F114" s="34" t="str">
        <f>_xlfn.XLOOKUP(FME_Ranking2[[#This Row],[FME ID]],FME_Input[FME_ID],FME_Input[FUND])</f>
        <v>Yes</v>
      </c>
      <c r="G114" s="35">
        <f>IF(FME_Ranking_Option2!$F114="Yes",1,0)</f>
        <v>1</v>
      </c>
      <c r="H114" s="33">
        <f>_xlfn.XLOOKUP(FME_Ranking2[[#This Row],[FME ID]],FME_Input[FME_ID],FME_Input[STRUCT_100])</f>
        <v>261</v>
      </c>
      <c r="I114" s="64" t="e">
        <f>FME_Ranking2[[#This Row],[Raw Data3]]*H$4</f>
        <v>#REF!</v>
      </c>
      <c r="J114" s="63">
        <f>((FME_Ranking_Option2!$H114)/($H$3))*100</f>
        <v>2.9004221725606728E-2</v>
      </c>
      <c r="K114" s="36" t="e">
        <f>FME_Ranking2[[#This Row],[Norm Data3]]*H$4</f>
        <v>#REF!</v>
      </c>
      <c r="L114" s="37">
        <f>_xlfn.XLOOKUP(FME_Ranking2[[#This Row],[FME ID]],FME_Input[FME_ID],FME_Input[RES_STRUCT100])</f>
        <v>133</v>
      </c>
      <c r="M114" s="38" t="e">
        <f>FME_Ranking2[[#This Row],[Raw Data4]]*L$4</f>
        <v>#REF!</v>
      </c>
      <c r="N114" s="28">
        <f>((FME_Ranking_Option2!$L114)/($L$3))*100</f>
        <v>1.98838959877886E-2</v>
      </c>
      <c r="O114" s="39" t="e">
        <f>FME_Ranking2[[#This Row],[Norm Data4]]*L$4</f>
        <v>#REF!</v>
      </c>
      <c r="P114" s="34">
        <f>_xlfn.XLOOKUP(FME_Ranking2[[#This Row],[FME ID]],FME_Input[FME_ID],FME_Input[POP100])</f>
        <v>1267</v>
      </c>
      <c r="Q114" s="35" t="e">
        <f>FME_Ranking_Option2!$P114*P$4</f>
        <v>#REF!</v>
      </c>
      <c r="R114" s="35">
        <f>FME_Ranking_Option2!$P114/($P$3)</f>
        <v>4.6501590303005388E-4</v>
      </c>
      <c r="S114" s="35" t="e">
        <f>FME_Ranking_Option2!$R114*P$4</f>
        <v>#REF!</v>
      </c>
      <c r="T114" s="37">
        <f>_xlfn.XLOOKUP(FME_Ranking2[[#This Row],[FME ID]],FME_Input[FME_ID],FME_Input[CRITFAC100])</f>
        <v>0</v>
      </c>
      <c r="U114" s="35" t="e">
        <f>FME_Ranking_Option2!$T114*T$4</f>
        <v>#REF!</v>
      </c>
      <c r="V114" s="35">
        <f>FME_Ranking_Option2!$T114/($T$3)</f>
        <v>0</v>
      </c>
      <c r="W114" s="35" t="e">
        <f>FME_Ranking_Option2!$V114*T$4</f>
        <v>#REF!</v>
      </c>
      <c r="X114" s="37">
        <f>_xlfn.XLOOKUP(FME_Ranking2[[#This Row],[FME ID]],FME_Input[FME_ID],FME_Input[LWC])</f>
        <v>1</v>
      </c>
      <c r="Y114" s="35" t="e">
        <f>FME_Ranking_Option2!$X114*X$4</f>
        <v>#REF!</v>
      </c>
      <c r="Z114" s="35">
        <f>FME_Ranking_Option2!$X114/($X$3)</f>
        <v>9.1224229155263632E-5</v>
      </c>
      <c r="AA114" s="35" t="e">
        <f>FME_Ranking_Option2!$Z114*X$4</f>
        <v>#REF!</v>
      </c>
      <c r="AB114" s="37">
        <f>_xlfn.XLOOKUP(FME_Ranking2[[#This Row],[FME ID]],FME_Input[FME_ID],FME_Input[ROADCLS])</f>
        <v>1</v>
      </c>
      <c r="AC114" s="35" t="e">
        <f>FME_Ranking_Option2!$AB114*AB$4</f>
        <v>#REF!</v>
      </c>
      <c r="AD114" s="40">
        <f>_xlfn.XLOOKUP(FME_Ranking2[[#This Row],[FME ID]],FME_Input[FME_ID],FME_Input[ROAD_MILES100])</f>
        <v>27.32913970947266</v>
      </c>
      <c r="AE114" s="41" t="e">
        <f>FME_Ranking_Option2!$AD114*AD$4</f>
        <v>#REF!</v>
      </c>
      <c r="AF114" s="42">
        <f>FME_Ranking_Option2!$AD114/($AD$3)</f>
        <v>6.1729101024949153E-4</v>
      </c>
      <c r="AG114" s="42" t="e">
        <f>FME_Ranking_Option2!$AF114*AD$4</f>
        <v>#REF!</v>
      </c>
      <c r="AH114" s="40">
        <f>_xlfn.XLOOKUP(FME_Ranking2[[#This Row],[FME ID]],FME_Input[FME_ID],FME_Input[FARMACRE100])</f>
        <v>28.87845611572266</v>
      </c>
      <c r="AI114" s="43" t="e">
        <f>FME_Ranking_Option2!$AH114*AH$4</f>
        <v>#REF!</v>
      </c>
      <c r="AJ114" s="41">
        <f>FME_Ranking_Option2!$AH114/($AH$3)</f>
        <v>1.676854690898899E-3</v>
      </c>
      <c r="AK114" s="44" t="e">
        <f>FME_Ranking_Option2!$AJ114*AH$4</f>
        <v>#REF!</v>
      </c>
      <c r="AL114"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14" s="45" t="e">
        <f>_xlfn.RANK.EQ(AL114,$AL$7:$AL$531)+COUNTIF(AL$7:AL114,AL114)-1</f>
        <v>#REF!</v>
      </c>
      <c r="AN114" s="44"/>
      <c r="AO114" s="45" t="e">
        <f>_xlfn.RANK.EQ(AN114,$AN$7:$AN$531)+COUNTIF(AN$7:AN114,AN114)-1</f>
        <v>#N/A</v>
      </c>
      <c r="AP11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14" s="32" t="e">
        <f>FME_Ranking2[[#This Row],[Score Based on Reported Factors]]-FME_Ranking2[[#This Row],[Check]]</f>
        <v>#REF!</v>
      </c>
      <c r="AR114" s="32"/>
    </row>
    <row r="115" spans="1:55" ht="12" customHeight="1" x14ac:dyDescent="0.25">
      <c r="A115" s="16" t="s">
        <v>1282</v>
      </c>
      <c r="B115" s="16" t="str">
        <f>_xlfn.XLOOKUP(FME_Ranking2[[#This Row],[FME ID]],FME_Input[FME_ID],FME_Input[FME_NAME])</f>
        <v>Flood Gates Evaluation at Walker County Annex #2</v>
      </c>
      <c r="C115" s="16" t="str">
        <f>_xlfn.XLOOKUP(FME_Ranking2[[#This Row],[FME ID]],FME_Input[FME_ID],FME_Input[DESCR])</f>
        <v>Evaluation of proposed removable facility flood gates at Walker County Annex #2</v>
      </c>
      <c r="D115" s="46" t="str">
        <f>_xlfn.XLOOKUP(FME_Ranking2[[#This Row],[FME ID]],FME_Input[FME_ID],FME_Input[EMER_NEED])</f>
        <v>No</v>
      </c>
      <c r="E115" s="121">
        <f>IF(FME_Ranking_Option2!$D115="Yes",100,0)</f>
        <v>0</v>
      </c>
      <c r="F115" s="47" t="str">
        <f>_xlfn.XLOOKUP(FME_Ranking2[[#This Row],[FME ID]],FME_Input[FME_ID],FME_Input[FUND])</f>
        <v>Yes</v>
      </c>
      <c r="G115" s="48">
        <f>IF(FME_Ranking_Option2!$F115="Yes",1,0)</f>
        <v>1</v>
      </c>
      <c r="H115" s="46">
        <f>_xlfn.XLOOKUP(FME_Ranking2[[#This Row],[FME ID]],FME_Input[FME_ID],FME_Input[STRUCT_100])</f>
        <v>505</v>
      </c>
      <c r="I115" s="65" t="e">
        <f>FME_Ranking2[[#This Row],[Raw Data3]]*H$4</f>
        <v>#REF!</v>
      </c>
      <c r="J115" s="62">
        <f>((FME_Ranking_Option2!$H115)/($H$3))*100</f>
        <v>5.6119279584028341E-2</v>
      </c>
      <c r="K115" s="49" t="e">
        <f>FME_Ranking2[[#This Row],[Norm Data3]]*H$4</f>
        <v>#REF!</v>
      </c>
      <c r="L115" s="50">
        <f>_xlfn.XLOOKUP(FME_Ranking2[[#This Row],[FME ID]],FME_Input[FME_ID],FME_Input[RES_STRUCT100])</f>
        <v>437</v>
      </c>
      <c r="M115" s="51" t="e">
        <f>FME_Ranking2[[#This Row],[Raw Data4]]*L$4</f>
        <v>#REF!</v>
      </c>
      <c r="N115" s="29">
        <f>((FME_Ranking_Option2!$L115)/($L$3))*100</f>
        <v>6.533280110273397E-2</v>
      </c>
      <c r="O115" s="52" t="e">
        <f>FME_Ranking2[[#This Row],[Norm Data4]]*L$4</f>
        <v>#REF!</v>
      </c>
      <c r="P115" s="47">
        <f>_xlfn.XLOOKUP(FME_Ranking2[[#This Row],[FME ID]],FME_Input[FME_ID],FME_Input[POP100])</f>
        <v>657</v>
      </c>
      <c r="Q115" s="48" t="e">
        <f>FME_Ranking_Option2!$P115*P$4</f>
        <v>#REF!</v>
      </c>
      <c r="R115" s="48">
        <f>FME_Ranking_Option2!$P115/($P$3)</f>
        <v>2.4113295050571856E-4</v>
      </c>
      <c r="S115" s="48" t="e">
        <f>FME_Ranking_Option2!$R115*P$4</f>
        <v>#REF!</v>
      </c>
      <c r="T115" s="50">
        <f>_xlfn.XLOOKUP(FME_Ranking2[[#This Row],[FME ID]],FME_Input[FME_ID],FME_Input[CRITFAC100])</f>
        <v>1</v>
      </c>
      <c r="U115" s="48" t="e">
        <f>FME_Ranking_Option2!$T115*T$4</f>
        <v>#REF!</v>
      </c>
      <c r="V115" s="48">
        <f>FME_Ranking_Option2!$T115/($T$3)</f>
        <v>1.4102383302778171E-4</v>
      </c>
      <c r="W115" s="48" t="e">
        <f>FME_Ranking_Option2!$V115*T$4</f>
        <v>#REF!</v>
      </c>
      <c r="X115" s="50">
        <f>_xlfn.XLOOKUP(FME_Ranking2[[#This Row],[FME ID]],FME_Input[FME_ID],FME_Input[LWC])</f>
        <v>2</v>
      </c>
      <c r="Y115" s="48" t="e">
        <f>FME_Ranking_Option2!$X115*X$4</f>
        <v>#REF!</v>
      </c>
      <c r="Z115" s="48">
        <f>FME_Ranking_Option2!$X115/($X$3)</f>
        <v>1.8244845831052726E-4</v>
      </c>
      <c r="AA115" s="48" t="e">
        <f>FME_Ranking_Option2!$Z115*X$4</f>
        <v>#REF!</v>
      </c>
      <c r="AB115" s="50">
        <f>_xlfn.XLOOKUP(FME_Ranking2[[#This Row],[FME ID]],FME_Input[FME_ID],FME_Input[ROADCLS])</f>
        <v>2</v>
      </c>
      <c r="AC115" s="48" t="e">
        <f>FME_Ranking_Option2!$AB115*AB$4</f>
        <v>#REF!</v>
      </c>
      <c r="AD115" s="53">
        <f>_xlfn.XLOOKUP(FME_Ranking2[[#This Row],[FME ID]],FME_Input[FME_ID],FME_Input[ROAD_MILES100])</f>
        <v>25.42570877075195</v>
      </c>
      <c r="AE115" s="54" t="e">
        <f>FME_Ranking_Option2!$AD115*AD$4</f>
        <v>#REF!</v>
      </c>
      <c r="AF115" s="55">
        <f>FME_Ranking_Option2!$AD115/($AD$3)</f>
        <v>5.7429767714081031E-4</v>
      </c>
      <c r="AG115" s="55" t="e">
        <f>FME_Ranking_Option2!$AF115*AD$4</f>
        <v>#REF!</v>
      </c>
      <c r="AH115" s="53">
        <f>_xlfn.XLOOKUP(FME_Ranking2[[#This Row],[FME ID]],FME_Input[FME_ID],FME_Input[FARMACRE100])</f>
        <v>180.46466064453119</v>
      </c>
      <c r="AI115" s="54" t="e">
        <f>FME_Ranking_Option2!$AH115*AH$4</f>
        <v>#REF!</v>
      </c>
      <c r="AJ115" s="56">
        <f>FME_Ranking_Option2!$AH115/($AH$3)</f>
        <v>1.0478850099555865E-2</v>
      </c>
      <c r="AK115" s="57" t="e">
        <f>FME_Ranking_Option2!$AJ115*AH$4</f>
        <v>#REF!</v>
      </c>
      <c r="AL115"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15" s="58" t="e">
        <f>_xlfn.RANK.EQ(AL115,$AL$7:$AL$531)+COUNTIF(AL$7:AL115,AL115)-1</f>
        <v>#REF!</v>
      </c>
      <c r="AN115" s="57"/>
      <c r="AO115" s="58" t="e">
        <f>_xlfn.RANK.EQ(AN115,$AN$7:$AN$531)+COUNTIF(AN$7:AN115,AN115)-1</f>
        <v>#N/A</v>
      </c>
      <c r="AP11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15" s="32" t="e">
        <f>FME_Ranking2[[#This Row],[Score Based on Reported Factors]]-FME_Ranking2[[#This Row],[Check]]</f>
        <v>#REF!</v>
      </c>
      <c r="AR115" s="32"/>
      <c r="AT115" s="19"/>
      <c r="AU115" s="19"/>
      <c r="AV115" s="19"/>
      <c r="AW115" s="19"/>
      <c r="AX115" s="19"/>
      <c r="AY115" s="19"/>
      <c r="AZ115" s="19"/>
      <c r="BA115" s="19"/>
      <c r="BB115" s="19"/>
      <c r="BC115" s="19"/>
    </row>
    <row r="116" spans="1:55" ht="12" customHeight="1" x14ac:dyDescent="0.25">
      <c r="A116" s="17" t="s">
        <v>1289</v>
      </c>
      <c r="B116" s="17" t="str">
        <f>_xlfn.XLOOKUP(FME_Ranking2[[#This Row],[FME ID]],FME_Input[FME_ID],FME_Input[FME_NAME])</f>
        <v>City of Bayou Vista Canal Dredging Study</v>
      </c>
      <c r="C116" s="17" t="str">
        <f>_xlfn.XLOOKUP(FME_Ranking2[[#This Row],[FME ID]],FME_Input[FME_ID],FME_Input[DESCR])</f>
        <v>Plan for Canal Dredging to reduce sediment deposited during storm events. Study to develop and implement canal dredging program.</v>
      </c>
      <c r="D116" s="33" t="str">
        <f>_xlfn.XLOOKUP(FME_Ranking2[[#This Row],[FME ID]],FME_Input[FME_ID],FME_Input[EMER_NEED])</f>
        <v>No</v>
      </c>
      <c r="E116" s="120">
        <f>IF(FME_Ranking_Option2!$D116="Yes",100,0)</f>
        <v>0</v>
      </c>
      <c r="F116" s="34" t="str">
        <f>_xlfn.XLOOKUP(FME_Ranking2[[#This Row],[FME ID]],FME_Input[FME_ID],FME_Input[FUND])</f>
        <v>Yes</v>
      </c>
      <c r="G116" s="35">
        <f>IF(FME_Ranking_Option2!$F116="Yes",1,0)</f>
        <v>1</v>
      </c>
      <c r="H116" s="33">
        <f>_xlfn.XLOOKUP(FME_Ranking2[[#This Row],[FME ID]],FME_Input[FME_ID],FME_Input[STRUCT_100])</f>
        <v>1122</v>
      </c>
      <c r="I116" s="64" t="e">
        <f>FME_Ranking2[[#This Row],[Raw Data3]]*H$4</f>
        <v>#REF!</v>
      </c>
      <c r="J116" s="63">
        <f>((FME_Ranking_Option2!$H116)/($H$3))*100</f>
        <v>0.12468481523421743</v>
      </c>
      <c r="K116" s="36" t="e">
        <f>FME_Ranking2[[#This Row],[Norm Data3]]*H$4</f>
        <v>#REF!</v>
      </c>
      <c r="L116" s="37">
        <f>_xlfn.XLOOKUP(FME_Ranking2[[#This Row],[FME ID]],FME_Input[FME_ID],FME_Input[RES_STRUCT100])</f>
        <v>1095</v>
      </c>
      <c r="M116" s="38" t="e">
        <f>FME_Ranking2[[#This Row],[Raw Data4]]*L$4</f>
        <v>#REF!</v>
      </c>
      <c r="N116" s="28">
        <f>((FME_Ranking_Option2!$L116)/($L$3))*100</f>
        <v>0.16370576020021438</v>
      </c>
      <c r="O116" s="39" t="e">
        <f>FME_Ranking2[[#This Row],[Norm Data4]]*L$4</f>
        <v>#REF!</v>
      </c>
      <c r="P116" s="34">
        <f>_xlfn.XLOOKUP(FME_Ranking2[[#This Row],[FME ID]],FME_Input[FME_ID],FME_Input[POP100])</f>
        <v>1502</v>
      </c>
      <c r="Q116" s="35" t="e">
        <f>FME_Ranking_Option2!$P116*P$4</f>
        <v>#REF!</v>
      </c>
      <c r="R116" s="35">
        <f>FME_Ranking_Option2!$P116/($P$3)</f>
        <v>5.5126589293697003E-4</v>
      </c>
      <c r="S116" s="35" t="e">
        <f>FME_Ranking_Option2!$R116*P$4</f>
        <v>#REF!</v>
      </c>
      <c r="T116" s="37">
        <f>_xlfn.XLOOKUP(FME_Ranking2[[#This Row],[FME ID]],FME_Input[FME_ID],FME_Input[CRITFAC100])</f>
        <v>3</v>
      </c>
      <c r="U116" s="35" t="e">
        <f>FME_Ranking_Option2!$T116*T$4</f>
        <v>#REF!</v>
      </c>
      <c r="V116" s="35">
        <f>FME_Ranking_Option2!$T116/($T$3)</f>
        <v>4.2307149908334509E-4</v>
      </c>
      <c r="W116" s="35" t="e">
        <f>FME_Ranking_Option2!$V116*T$4</f>
        <v>#REF!</v>
      </c>
      <c r="X116" s="37">
        <f>_xlfn.XLOOKUP(FME_Ranking2[[#This Row],[FME ID]],FME_Input[FME_ID],FME_Input[LWC])</f>
        <v>0</v>
      </c>
      <c r="Y116" s="35" t="e">
        <f>FME_Ranking_Option2!$X116*X$4</f>
        <v>#REF!</v>
      </c>
      <c r="Z116" s="35">
        <f>FME_Ranking_Option2!$X116/($X$3)</f>
        <v>0</v>
      </c>
      <c r="AA116" s="35" t="e">
        <f>FME_Ranking_Option2!$Z116*X$4</f>
        <v>#REF!</v>
      </c>
      <c r="AB116" s="37">
        <f>_xlfn.XLOOKUP(FME_Ranking2[[#This Row],[FME ID]],FME_Input[FME_ID],FME_Input[ROADCLS])</f>
        <v>0</v>
      </c>
      <c r="AC116" s="35" t="e">
        <f>FME_Ranking_Option2!$AB116*AB$4</f>
        <v>#REF!</v>
      </c>
      <c r="AD116" s="40">
        <f>_xlfn.XLOOKUP(FME_Ranking2[[#This Row],[FME ID]],FME_Input[FME_ID],FME_Input[ROAD_MILES100])</f>
        <v>7.7089004516601563</v>
      </c>
      <c r="AE116" s="41" t="e">
        <f>FME_Ranking_Option2!$AD116*AD$4</f>
        <v>#REF!</v>
      </c>
      <c r="AF116" s="42">
        <f>FME_Ranking_Option2!$AD116/($AD$3)</f>
        <v>1.741231154110808E-4</v>
      </c>
      <c r="AG116" s="42" t="e">
        <f>FME_Ranking_Option2!$AF116*AD$4</f>
        <v>#REF!</v>
      </c>
      <c r="AH116" s="40">
        <f>_xlfn.XLOOKUP(FME_Ranking2[[#This Row],[FME ID]],FME_Input[FME_ID],FME_Input[FARMACRE100])</f>
        <v>0</v>
      </c>
      <c r="AI116" s="43" t="e">
        <f>FME_Ranking_Option2!$AH116*AH$4</f>
        <v>#REF!</v>
      </c>
      <c r="AJ116" s="41">
        <f>FME_Ranking_Option2!$AH116/($AH$3)</f>
        <v>0</v>
      </c>
      <c r="AK116" s="44" t="e">
        <f>FME_Ranking_Option2!$AJ116*AH$4</f>
        <v>#REF!</v>
      </c>
      <c r="AL116"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16" s="45" t="e">
        <f>_xlfn.RANK.EQ(AL116,$AL$7:$AL$531)+COUNTIF(AL$7:AL116,AL116)-1</f>
        <v>#REF!</v>
      </c>
      <c r="AN116" s="44"/>
      <c r="AO116" s="45" t="e">
        <f>_xlfn.RANK.EQ(AN116,$AN$7:$AN$531)+COUNTIF(AN$7:AN116,AN116)-1</f>
        <v>#N/A</v>
      </c>
      <c r="AP11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16" s="32" t="e">
        <f>FME_Ranking2[[#This Row],[Score Based on Reported Factors]]-FME_Ranking2[[#This Row],[Check]]</f>
        <v>#REF!</v>
      </c>
      <c r="AR116" s="32"/>
    </row>
    <row r="117" spans="1:55" ht="12" customHeight="1" x14ac:dyDescent="0.25">
      <c r="A117" s="16" t="s">
        <v>1292</v>
      </c>
      <c r="B117" s="16" t="str">
        <f>_xlfn.XLOOKUP(FME_Ranking2[[#This Row],[FME ID]],FME_Input[FME_ID],FME_Input[FME_NAME])</f>
        <v>Liberty County Regional Flood Drainage Plan</v>
      </c>
      <c r="C117" s="16" t="str">
        <f>_xlfn.XLOOKUP(FME_Ranking2[[#This Row],[FME ID]],FME_Input[FME_ID],FME_Input[DESCR])</f>
        <v>Regional drainage study to establish a county wide drainage plan including atlas 14 rainfall.</v>
      </c>
      <c r="D117" s="46" t="str">
        <f>_xlfn.XLOOKUP(FME_Ranking2[[#This Row],[FME ID]],FME_Input[FME_ID],FME_Input[EMER_NEED])</f>
        <v>No</v>
      </c>
      <c r="E117" s="121">
        <f>IF(FME_Ranking_Option2!$D117="Yes",100,0)</f>
        <v>0</v>
      </c>
      <c r="F117" s="47" t="str">
        <f>_xlfn.XLOOKUP(FME_Ranking2[[#This Row],[FME ID]],FME_Input[FME_ID],FME_Input[FUND])</f>
        <v>Yes</v>
      </c>
      <c r="G117" s="48">
        <f>IF(FME_Ranking_Option2!$F117="Yes",1,0)</f>
        <v>1</v>
      </c>
      <c r="H117" s="46">
        <f>_xlfn.XLOOKUP(FME_Ranking2[[#This Row],[FME ID]],FME_Input[FME_ID],FME_Input[STRUCT_100])</f>
        <v>3618</v>
      </c>
      <c r="I117" s="65" t="e">
        <f>FME_Ranking2[[#This Row],[Raw Data3]]*H$4</f>
        <v>#REF!</v>
      </c>
      <c r="J117" s="62">
        <f>((FME_Ranking_Option2!$H117)/($H$3))*100</f>
        <v>0.40205852185151392</v>
      </c>
      <c r="K117" s="49" t="e">
        <f>FME_Ranking2[[#This Row],[Norm Data3]]*H$4</f>
        <v>#REF!</v>
      </c>
      <c r="L117" s="50">
        <f>_xlfn.XLOOKUP(FME_Ranking2[[#This Row],[FME ID]],FME_Input[FME_ID],FME_Input[RES_STRUCT100])</f>
        <v>2271</v>
      </c>
      <c r="M117" s="51" t="e">
        <f>FME_Ranking2[[#This Row],[Raw Data4]]*L$4</f>
        <v>#REF!</v>
      </c>
      <c r="N117" s="29">
        <f>((FME_Ranking_Option2!$L117)/($L$3))*100</f>
        <v>0.3395212615659241</v>
      </c>
      <c r="O117" s="52" t="e">
        <f>FME_Ranking2[[#This Row],[Norm Data4]]*L$4</f>
        <v>#REF!</v>
      </c>
      <c r="P117" s="47">
        <f>_xlfn.XLOOKUP(FME_Ranking2[[#This Row],[FME ID]],FME_Input[FME_ID],FME_Input[POP100])</f>
        <v>4854</v>
      </c>
      <c r="Q117" s="48" t="e">
        <f>FME_Ranking_Option2!$P117*P$4</f>
        <v>#REF!</v>
      </c>
      <c r="R117" s="48">
        <f>FME_Ranking_Option2!$P117/($P$3)</f>
        <v>1.7815210681198751E-3</v>
      </c>
      <c r="S117" s="48" t="e">
        <f>FME_Ranking_Option2!$R117*P$4</f>
        <v>#REF!</v>
      </c>
      <c r="T117" s="50">
        <f>_xlfn.XLOOKUP(FME_Ranking2[[#This Row],[FME ID]],FME_Input[FME_ID],FME_Input[CRITFAC100])</f>
        <v>8</v>
      </c>
      <c r="U117" s="48" t="e">
        <f>FME_Ranking_Option2!$T117*T$4</f>
        <v>#REF!</v>
      </c>
      <c r="V117" s="48">
        <f>FME_Ranking_Option2!$T117/($T$3)</f>
        <v>1.1281906642222536E-3</v>
      </c>
      <c r="W117" s="48" t="e">
        <f>FME_Ranking_Option2!$V117*T$4</f>
        <v>#REF!</v>
      </c>
      <c r="X117" s="50">
        <f>_xlfn.XLOOKUP(FME_Ranking2[[#This Row],[FME ID]],FME_Input[FME_ID],FME_Input[LWC])</f>
        <v>7</v>
      </c>
      <c r="Y117" s="48" t="e">
        <f>FME_Ranking_Option2!$X117*X$4</f>
        <v>#REF!</v>
      </c>
      <c r="Z117" s="48">
        <f>FME_Ranking_Option2!$X117/($X$3)</f>
        <v>6.3856960408684551E-4</v>
      </c>
      <c r="AA117" s="48" t="e">
        <f>FME_Ranking_Option2!$Z117*X$4</f>
        <v>#REF!</v>
      </c>
      <c r="AB117" s="50">
        <f>_xlfn.XLOOKUP(FME_Ranking2[[#This Row],[FME ID]],FME_Input[FME_ID],FME_Input[ROADCLS])</f>
        <v>7</v>
      </c>
      <c r="AC117" s="48" t="e">
        <f>FME_Ranking_Option2!$AB117*AB$4</f>
        <v>#REF!</v>
      </c>
      <c r="AD117" s="53">
        <f>_xlfn.XLOOKUP(FME_Ranking2[[#This Row],[FME ID]],FME_Input[FME_ID],FME_Input[ROAD_MILES100])</f>
        <v>144.16850280761719</v>
      </c>
      <c r="AE117" s="54" t="e">
        <f>FME_Ranking_Option2!$AD117*AD$4</f>
        <v>#REF!</v>
      </c>
      <c r="AF117" s="55">
        <f>FME_Ranking_Option2!$AD117/($AD$3)</f>
        <v>3.256374759335148E-3</v>
      </c>
      <c r="AG117" s="55" t="e">
        <f>FME_Ranking_Option2!$AF117*AD$4</f>
        <v>#REF!</v>
      </c>
      <c r="AH117" s="53">
        <f>_xlfn.XLOOKUP(FME_Ranking2[[#This Row],[FME ID]],FME_Input[FME_ID],FME_Input[FARMACRE100])</f>
        <v>1379.477294921875</v>
      </c>
      <c r="AI117" s="54" t="e">
        <f>FME_Ranking_Option2!$AH117*AH$4</f>
        <v>#REF!</v>
      </c>
      <c r="AJ117" s="56">
        <f>FME_Ranking_Option2!$AH117/($AH$3)</f>
        <v>8.0100645398383158E-2</v>
      </c>
      <c r="AK117" s="57" t="e">
        <f>FME_Ranking_Option2!$AJ117*AH$4</f>
        <v>#REF!</v>
      </c>
      <c r="AL117"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17" s="58" t="e">
        <f>_xlfn.RANK.EQ(AL117,$AL$7:$AL$531)+COUNTIF(AL$7:AL117,AL117)-1</f>
        <v>#REF!</v>
      </c>
      <c r="AN117" s="57"/>
      <c r="AO117" s="58" t="e">
        <f>_xlfn.RANK.EQ(AN117,$AN$7:$AN$531)+COUNTIF(AN$7:AN117,AN117)-1</f>
        <v>#N/A</v>
      </c>
      <c r="AP11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17" s="32" t="e">
        <f>FME_Ranking2[[#This Row],[Score Based on Reported Factors]]-FME_Ranking2[[#This Row],[Check]]</f>
        <v>#REF!</v>
      </c>
      <c r="AR117" s="32"/>
      <c r="AT117" s="19"/>
      <c r="AU117" s="19"/>
      <c r="AV117" s="19"/>
      <c r="AW117" s="19"/>
      <c r="AX117" s="19"/>
      <c r="AY117" s="19"/>
      <c r="AZ117" s="19"/>
      <c r="BA117" s="19"/>
      <c r="BB117" s="19"/>
      <c r="BC117" s="19"/>
    </row>
    <row r="118" spans="1:55" ht="12" customHeight="1" x14ac:dyDescent="0.25">
      <c r="A118" s="17" t="s">
        <v>1295</v>
      </c>
      <c r="B118" s="17" t="str">
        <f>_xlfn.XLOOKUP(FME_Ranking2[[#This Row],[FME ID]],FME_Input[FME_ID],FME_Input[FME_NAME])</f>
        <v>City of North Cleveland Engineering Study</v>
      </c>
      <c r="C118" s="17" t="str">
        <f>_xlfn.XLOOKUP(FME_Ranking2[[#This Row],[FME ID]],FME_Input[FME_ID],FME_Input[DESCR])</f>
        <v>Study to identify drainage improvements in the City of North Cleveland.</v>
      </c>
      <c r="D118" s="33" t="str">
        <f>_xlfn.XLOOKUP(FME_Ranking2[[#This Row],[FME ID]],FME_Input[FME_ID],FME_Input[EMER_NEED])</f>
        <v>No</v>
      </c>
      <c r="E118" s="120">
        <f>IF(FME_Ranking_Option2!$D118="Yes",100,0)</f>
        <v>0</v>
      </c>
      <c r="F118" s="34" t="str">
        <f>_xlfn.XLOOKUP(FME_Ranking2[[#This Row],[FME ID]],FME_Input[FME_ID],FME_Input[FUND])</f>
        <v>Yes</v>
      </c>
      <c r="G118" s="35">
        <f>IF(FME_Ranking_Option2!$F118="Yes",1,0)</f>
        <v>1</v>
      </c>
      <c r="H118" s="33">
        <f>_xlfn.XLOOKUP(FME_Ranking2[[#This Row],[FME ID]],FME_Input[FME_ID],FME_Input[STRUCT_100])</f>
        <v>261</v>
      </c>
      <c r="I118" s="64" t="e">
        <f>FME_Ranking2[[#This Row],[Raw Data3]]*H$4</f>
        <v>#REF!</v>
      </c>
      <c r="J118" s="63">
        <f>((FME_Ranking_Option2!$H118)/($H$3))*100</f>
        <v>2.9004221725606728E-2</v>
      </c>
      <c r="K118" s="36" t="e">
        <f>FME_Ranking2[[#This Row],[Norm Data3]]*H$4</f>
        <v>#REF!</v>
      </c>
      <c r="L118" s="37">
        <f>_xlfn.XLOOKUP(FME_Ranking2[[#This Row],[FME ID]],FME_Input[FME_ID],FME_Input[RES_STRUCT100])</f>
        <v>133</v>
      </c>
      <c r="M118" s="38" t="e">
        <f>FME_Ranking2[[#This Row],[Raw Data4]]*L$4</f>
        <v>#REF!</v>
      </c>
      <c r="N118" s="28">
        <f>((FME_Ranking_Option2!$L118)/($L$3))*100</f>
        <v>1.98838959877886E-2</v>
      </c>
      <c r="O118" s="39" t="e">
        <f>FME_Ranking2[[#This Row],[Norm Data4]]*L$4</f>
        <v>#REF!</v>
      </c>
      <c r="P118" s="34">
        <f>_xlfn.XLOOKUP(FME_Ranking2[[#This Row],[FME ID]],FME_Input[FME_ID],FME_Input[POP100])</f>
        <v>1267</v>
      </c>
      <c r="Q118" s="35" t="e">
        <f>FME_Ranking_Option2!$P118*P$4</f>
        <v>#REF!</v>
      </c>
      <c r="R118" s="35">
        <f>FME_Ranking_Option2!$P118/($P$3)</f>
        <v>4.6501590303005388E-4</v>
      </c>
      <c r="S118" s="35" t="e">
        <f>FME_Ranking_Option2!$R118*P$4</f>
        <v>#REF!</v>
      </c>
      <c r="T118" s="37">
        <f>_xlfn.XLOOKUP(FME_Ranking2[[#This Row],[FME ID]],FME_Input[FME_ID],FME_Input[CRITFAC100])</f>
        <v>0</v>
      </c>
      <c r="U118" s="35" t="e">
        <f>FME_Ranking_Option2!$T118*T$4</f>
        <v>#REF!</v>
      </c>
      <c r="V118" s="35">
        <f>FME_Ranking_Option2!$T118/($T$3)</f>
        <v>0</v>
      </c>
      <c r="W118" s="35" t="e">
        <f>FME_Ranking_Option2!$V118*T$4</f>
        <v>#REF!</v>
      </c>
      <c r="X118" s="37">
        <f>_xlfn.XLOOKUP(FME_Ranking2[[#This Row],[FME ID]],FME_Input[FME_ID],FME_Input[LWC])</f>
        <v>1</v>
      </c>
      <c r="Y118" s="35" t="e">
        <f>FME_Ranking_Option2!$X118*X$4</f>
        <v>#REF!</v>
      </c>
      <c r="Z118" s="35">
        <f>FME_Ranking_Option2!$X118/($X$3)</f>
        <v>9.1224229155263632E-5</v>
      </c>
      <c r="AA118" s="35" t="e">
        <f>FME_Ranking_Option2!$Z118*X$4</f>
        <v>#REF!</v>
      </c>
      <c r="AB118" s="37">
        <f>_xlfn.XLOOKUP(FME_Ranking2[[#This Row],[FME ID]],FME_Input[FME_ID],FME_Input[ROADCLS])</f>
        <v>1</v>
      </c>
      <c r="AC118" s="35" t="e">
        <f>FME_Ranking_Option2!$AB118*AB$4</f>
        <v>#REF!</v>
      </c>
      <c r="AD118" s="40">
        <f>_xlfn.XLOOKUP(FME_Ranking2[[#This Row],[FME ID]],FME_Input[FME_ID],FME_Input[ROAD_MILES100])</f>
        <v>27.32913970947266</v>
      </c>
      <c r="AE118" s="41" t="e">
        <f>FME_Ranking_Option2!$AD118*AD$4</f>
        <v>#REF!</v>
      </c>
      <c r="AF118" s="42">
        <f>FME_Ranking_Option2!$AD118/($AD$3)</f>
        <v>6.1729101024949153E-4</v>
      </c>
      <c r="AG118" s="42" t="e">
        <f>FME_Ranking_Option2!$AF118*AD$4</f>
        <v>#REF!</v>
      </c>
      <c r="AH118" s="40">
        <f>_xlfn.XLOOKUP(FME_Ranking2[[#This Row],[FME ID]],FME_Input[FME_ID],FME_Input[FARMACRE100])</f>
        <v>28.87845611572266</v>
      </c>
      <c r="AI118" s="43" t="e">
        <f>FME_Ranking_Option2!$AH118*AH$4</f>
        <v>#REF!</v>
      </c>
      <c r="AJ118" s="41">
        <f>FME_Ranking_Option2!$AH118/($AH$3)</f>
        <v>1.676854690898899E-3</v>
      </c>
      <c r="AK118" s="44" t="e">
        <f>FME_Ranking_Option2!$AJ118*AH$4</f>
        <v>#REF!</v>
      </c>
      <c r="AL11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18" s="45" t="e">
        <f>_xlfn.RANK.EQ(AL118,$AL$7:$AL$531)+COUNTIF(AL$7:AL118,AL118)-1</f>
        <v>#REF!</v>
      </c>
      <c r="AN118" s="44"/>
      <c r="AO118" s="45" t="e">
        <f>_xlfn.RANK.EQ(AN118,$AN$7:$AN$531)+COUNTIF(AN$7:AN118,AN118)-1</f>
        <v>#N/A</v>
      </c>
      <c r="AP11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18" s="32" t="e">
        <f>FME_Ranking2[[#This Row],[Score Based on Reported Factors]]-FME_Ranking2[[#This Row],[Check]]</f>
        <v>#REF!</v>
      </c>
      <c r="AR118" s="32"/>
    </row>
    <row r="119" spans="1:55" ht="12" customHeight="1" x14ac:dyDescent="0.25">
      <c r="A119" s="16" t="s">
        <v>1298</v>
      </c>
      <c r="B119" s="16" t="str">
        <f>_xlfn.XLOOKUP(FME_Ranking2[[#This Row],[FME ID]],FME_Input[FME_ID],FME_Input[FME_NAME])</f>
        <v xml:space="preserve">Elevation of Bridge Road in City of North Cleveland </v>
      </c>
      <c r="C119" s="16" t="str">
        <f>_xlfn.XLOOKUP(FME_Ranking2[[#This Row],[FME ID]],FME_Input[FME_ID],FME_Input[DESCR])</f>
        <v>Further study to elevate Bridge road.</v>
      </c>
      <c r="D119" s="46" t="str">
        <f>_xlfn.XLOOKUP(FME_Ranking2[[#This Row],[FME ID]],FME_Input[FME_ID],FME_Input[EMER_NEED])</f>
        <v>No</v>
      </c>
      <c r="E119" s="121">
        <f>IF(FME_Ranking_Option2!$D119="Yes",100,0)</f>
        <v>0</v>
      </c>
      <c r="F119" s="47" t="str">
        <f>_xlfn.XLOOKUP(FME_Ranking2[[#This Row],[FME ID]],FME_Input[FME_ID],FME_Input[FUND])</f>
        <v>Yes</v>
      </c>
      <c r="G119" s="48">
        <f>IF(FME_Ranking_Option2!$F119="Yes",1,0)</f>
        <v>1</v>
      </c>
      <c r="H119" s="46">
        <f>_xlfn.XLOOKUP(FME_Ranking2[[#This Row],[FME ID]],FME_Input[FME_ID],FME_Input[STRUCT_100])</f>
        <v>261</v>
      </c>
      <c r="I119" s="65" t="e">
        <f>FME_Ranking2[[#This Row],[Raw Data3]]*H$4</f>
        <v>#REF!</v>
      </c>
      <c r="J119" s="62">
        <f>((FME_Ranking_Option2!$H119)/($H$3))*100</f>
        <v>2.9004221725606728E-2</v>
      </c>
      <c r="K119" s="49" t="e">
        <f>FME_Ranking2[[#This Row],[Norm Data3]]*H$4</f>
        <v>#REF!</v>
      </c>
      <c r="L119" s="50">
        <f>_xlfn.XLOOKUP(FME_Ranking2[[#This Row],[FME ID]],FME_Input[FME_ID],FME_Input[RES_STRUCT100])</f>
        <v>133</v>
      </c>
      <c r="M119" s="51" t="e">
        <f>FME_Ranking2[[#This Row],[Raw Data4]]*L$4</f>
        <v>#REF!</v>
      </c>
      <c r="N119" s="29">
        <f>((FME_Ranking_Option2!$L119)/($L$3))*100</f>
        <v>1.98838959877886E-2</v>
      </c>
      <c r="O119" s="52" t="e">
        <f>FME_Ranking2[[#This Row],[Norm Data4]]*L$4</f>
        <v>#REF!</v>
      </c>
      <c r="P119" s="47">
        <f>_xlfn.XLOOKUP(FME_Ranking2[[#This Row],[FME ID]],FME_Input[FME_ID],FME_Input[POP100])</f>
        <v>1267</v>
      </c>
      <c r="Q119" s="48" t="e">
        <f>FME_Ranking_Option2!$P119*P$4</f>
        <v>#REF!</v>
      </c>
      <c r="R119" s="48">
        <f>FME_Ranking_Option2!$P119/($P$3)</f>
        <v>4.6501590303005388E-4</v>
      </c>
      <c r="S119" s="48" t="e">
        <f>FME_Ranking_Option2!$R119*P$4</f>
        <v>#REF!</v>
      </c>
      <c r="T119" s="50">
        <f>_xlfn.XLOOKUP(FME_Ranking2[[#This Row],[FME ID]],FME_Input[FME_ID],FME_Input[CRITFAC100])</f>
        <v>0</v>
      </c>
      <c r="U119" s="48" t="e">
        <f>FME_Ranking_Option2!$T119*T$4</f>
        <v>#REF!</v>
      </c>
      <c r="V119" s="48">
        <f>FME_Ranking_Option2!$T119/($T$3)</f>
        <v>0</v>
      </c>
      <c r="W119" s="48" t="e">
        <f>FME_Ranking_Option2!$V119*T$4</f>
        <v>#REF!</v>
      </c>
      <c r="X119" s="50">
        <f>_xlfn.XLOOKUP(FME_Ranking2[[#This Row],[FME ID]],FME_Input[FME_ID],FME_Input[LWC])</f>
        <v>1</v>
      </c>
      <c r="Y119" s="48" t="e">
        <f>FME_Ranking_Option2!$X119*X$4</f>
        <v>#REF!</v>
      </c>
      <c r="Z119" s="48">
        <f>FME_Ranking_Option2!$X119/($X$3)</f>
        <v>9.1224229155263632E-5</v>
      </c>
      <c r="AA119" s="48" t="e">
        <f>FME_Ranking_Option2!$Z119*X$4</f>
        <v>#REF!</v>
      </c>
      <c r="AB119" s="50">
        <f>_xlfn.XLOOKUP(FME_Ranking2[[#This Row],[FME ID]],FME_Input[FME_ID],FME_Input[ROADCLS])</f>
        <v>1</v>
      </c>
      <c r="AC119" s="48" t="e">
        <f>FME_Ranking_Option2!$AB119*AB$4</f>
        <v>#REF!</v>
      </c>
      <c r="AD119" s="53">
        <f>_xlfn.XLOOKUP(FME_Ranking2[[#This Row],[FME ID]],FME_Input[FME_ID],FME_Input[ROAD_MILES100])</f>
        <v>27.32913970947266</v>
      </c>
      <c r="AE119" s="54" t="e">
        <f>FME_Ranking_Option2!$AD119*AD$4</f>
        <v>#REF!</v>
      </c>
      <c r="AF119" s="55">
        <f>FME_Ranking_Option2!$AD119/($AD$3)</f>
        <v>6.1729101024949153E-4</v>
      </c>
      <c r="AG119" s="55" t="e">
        <f>FME_Ranking_Option2!$AF119*AD$4</f>
        <v>#REF!</v>
      </c>
      <c r="AH119" s="53">
        <f>_xlfn.XLOOKUP(FME_Ranking2[[#This Row],[FME ID]],FME_Input[FME_ID],FME_Input[FARMACRE100])</f>
        <v>28.87845611572266</v>
      </c>
      <c r="AI119" s="54" t="e">
        <f>FME_Ranking_Option2!$AH119*AH$4</f>
        <v>#REF!</v>
      </c>
      <c r="AJ119" s="56">
        <f>FME_Ranking_Option2!$AH119/($AH$3)</f>
        <v>1.676854690898899E-3</v>
      </c>
      <c r="AK119" s="57" t="e">
        <f>FME_Ranking_Option2!$AJ119*AH$4</f>
        <v>#REF!</v>
      </c>
      <c r="AL11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19" s="58" t="e">
        <f>_xlfn.RANK.EQ(AL119,$AL$7:$AL$531)+COUNTIF(AL$7:AL119,AL119)-1</f>
        <v>#REF!</v>
      </c>
      <c r="AN119" s="57"/>
      <c r="AO119" s="58" t="e">
        <f>_xlfn.RANK.EQ(AN119,$AN$7:$AN$531)+COUNTIF(AN$7:AN119,AN119)-1</f>
        <v>#N/A</v>
      </c>
      <c r="AP11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19" s="32" t="e">
        <f>FME_Ranking2[[#This Row],[Score Based on Reported Factors]]-FME_Ranking2[[#This Row],[Check]]</f>
        <v>#REF!</v>
      </c>
      <c r="AR119" s="32"/>
      <c r="AT119" s="19"/>
      <c r="AU119" s="19"/>
      <c r="AV119" s="19"/>
      <c r="AW119" s="19"/>
      <c r="AX119" s="19"/>
      <c r="AY119" s="19"/>
      <c r="AZ119" s="19"/>
      <c r="BA119" s="19"/>
      <c r="BB119" s="19"/>
      <c r="BC119" s="19"/>
    </row>
    <row r="120" spans="1:55" ht="12" customHeight="1" x14ac:dyDescent="0.25">
      <c r="A120" s="17" t="s">
        <v>1301</v>
      </c>
      <c r="B120" s="17" t="str">
        <f>_xlfn.XLOOKUP(FME_Ranking2[[#This Row],[FME ID]],FME_Input[FME_ID],FME_Input[FME_NAME])</f>
        <v>Galveston County Drainage System Improvement Study</v>
      </c>
      <c r="C120" s="17" t="str">
        <f>_xlfn.XLOOKUP(FME_Ranking2[[#This Row],[FME ID]],FME_Input[FME_ID],FME_Input[DESCR])</f>
        <v>Further study to widen drainage systems and increase culvert size to accommodate increased water flows. Coordinate efforts with water district.</v>
      </c>
      <c r="D120" s="33" t="str">
        <f>_xlfn.XLOOKUP(FME_Ranking2[[#This Row],[FME ID]],FME_Input[FME_ID],FME_Input[EMER_NEED])</f>
        <v>No</v>
      </c>
      <c r="E120" s="120">
        <f>IF(FME_Ranking_Option2!$D120="Yes",100,0)</f>
        <v>0</v>
      </c>
      <c r="F120" s="34" t="str">
        <f>_xlfn.XLOOKUP(FME_Ranking2[[#This Row],[FME ID]],FME_Input[FME_ID],FME_Input[FUND])</f>
        <v>Yes</v>
      </c>
      <c r="G120" s="35">
        <f>IF(FME_Ranking_Option2!$F120="Yes",1,0)</f>
        <v>1</v>
      </c>
      <c r="H120" s="33">
        <f>_xlfn.XLOOKUP(FME_Ranking2[[#This Row],[FME ID]],FME_Input[FME_ID],FME_Input[STRUCT_100])</f>
        <v>48570</v>
      </c>
      <c r="I120" s="64" t="e">
        <f>FME_Ranking2[[#This Row],[Raw Data3]]*H$4</f>
        <v>#REF!</v>
      </c>
      <c r="J120" s="63">
        <f>((FME_Ranking_Option2!$H120)/($H$3))*100</f>
        <v>5.3974522958341717</v>
      </c>
      <c r="K120" s="36" t="e">
        <f>FME_Ranking2[[#This Row],[Norm Data3]]*H$4</f>
        <v>#REF!</v>
      </c>
      <c r="L120" s="37">
        <f>_xlfn.XLOOKUP(FME_Ranking2[[#This Row],[FME ID]],FME_Input[FME_ID],FME_Input[RES_STRUCT100])</f>
        <v>42185</v>
      </c>
      <c r="M120" s="38" t="e">
        <f>FME_Ranking2[[#This Row],[Raw Data4]]*L$4</f>
        <v>#REF!</v>
      </c>
      <c r="N120" s="28">
        <f>((FME_Ranking_Option2!$L120)/($L$3))*100</f>
        <v>6.3067830995854282</v>
      </c>
      <c r="O120" s="39" t="e">
        <f>FME_Ranking2[[#This Row],[Norm Data4]]*L$4</f>
        <v>#REF!</v>
      </c>
      <c r="P120" s="34">
        <f>_xlfn.XLOOKUP(FME_Ranking2[[#This Row],[FME ID]],FME_Input[FME_ID],FME_Input[POP100])</f>
        <v>171395</v>
      </c>
      <c r="Q120" s="35" t="e">
        <f>FME_Ranking_Option2!$P120*P$4</f>
        <v>#REF!</v>
      </c>
      <c r="R120" s="35">
        <f>FME_Ranking_Option2!$P120/($P$3)</f>
        <v>6.2905604340833532E-2</v>
      </c>
      <c r="S120" s="35" t="e">
        <f>FME_Ranking_Option2!$R120*P$4</f>
        <v>#REF!</v>
      </c>
      <c r="T120" s="37">
        <f>_xlfn.XLOOKUP(FME_Ranking2[[#This Row],[FME ID]],FME_Input[FME_ID],FME_Input[CRITFAC100])</f>
        <v>681</v>
      </c>
      <c r="U120" s="35" t="e">
        <f>FME_Ranking_Option2!$T120*T$4</f>
        <v>#REF!</v>
      </c>
      <c r="V120" s="35">
        <f>FME_Ranking_Option2!$T120/($T$3)</f>
        <v>9.6037230291919337E-2</v>
      </c>
      <c r="W120" s="35" t="e">
        <f>FME_Ranking_Option2!$V120*T$4</f>
        <v>#REF!</v>
      </c>
      <c r="X120" s="37">
        <f>_xlfn.XLOOKUP(FME_Ranking2[[#This Row],[FME ID]],FME_Input[FME_ID],FME_Input[LWC])</f>
        <v>30</v>
      </c>
      <c r="Y120" s="35" t="e">
        <f>FME_Ranking_Option2!$X120*X$4</f>
        <v>#REF!</v>
      </c>
      <c r="Z120" s="35">
        <f>FME_Ranking_Option2!$X120/($X$3)</f>
        <v>2.7367268746579091E-3</v>
      </c>
      <c r="AA120" s="35" t="e">
        <f>FME_Ranking_Option2!$Z120*X$4</f>
        <v>#REF!</v>
      </c>
      <c r="AB120" s="37">
        <f>_xlfn.XLOOKUP(FME_Ranking2[[#This Row],[FME ID]],FME_Input[FME_ID],FME_Input[ROADCLS])</f>
        <v>30</v>
      </c>
      <c r="AC120" s="35" t="e">
        <f>FME_Ranking_Option2!$AB120*AB$4</f>
        <v>#REF!</v>
      </c>
      <c r="AD120" s="40">
        <f>_xlfn.XLOOKUP(FME_Ranking2[[#This Row],[FME ID]],FME_Input[FME_ID],FME_Input[ROAD_MILES100])</f>
        <v>910.35089111328125</v>
      </c>
      <c r="AE120" s="41" t="e">
        <f>FME_Ranking_Option2!$AD120*AD$4</f>
        <v>#REF!</v>
      </c>
      <c r="AF120" s="42">
        <f>FME_Ranking_Option2!$AD120/($AD$3)</f>
        <v>2.0562353123104789E-2</v>
      </c>
      <c r="AG120" s="42" t="e">
        <f>FME_Ranking_Option2!$AF120*AD$4</f>
        <v>#REF!</v>
      </c>
      <c r="AH120" s="40">
        <f>_xlfn.XLOOKUP(FME_Ranking2[[#This Row],[FME ID]],FME_Input[FME_ID],FME_Input[FARMACRE100])</f>
        <v>3412.02490234375</v>
      </c>
      <c r="AI120" s="43" t="e">
        <f>FME_Ranking_Option2!$AH120*AH$4</f>
        <v>#REF!</v>
      </c>
      <c r="AJ120" s="41">
        <f>FME_Ranking_Option2!$AH120/($AH$3)</f>
        <v>0.19812243216990966</v>
      </c>
      <c r="AK120" s="44" t="e">
        <f>FME_Ranking_Option2!$AJ120*AH$4</f>
        <v>#REF!</v>
      </c>
      <c r="AL12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20" s="45" t="e">
        <f>_xlfn.RANK.EQ(AL120,$AL$7:$AL$531)+COUNTIF(AL$7:AL120,AL120)-1</f>
        <v>#REF!</v>
      </c>
      <c r="AN120" s="44"/>
      <c r="AO120" s="45" t="e">
        <f>_xlfn.RANK.EQ(AN120,$AN$7:$AN$531)+COUNTIF(AN$7:AN120,AN120)-1</f>
        <v>#N/A</v>
      </c>
      <c r="AP12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20" s="32" t="e">
        <f>FME_Ranking2[[#This Row],[Score Based on Reported Factors]]-FME_Ranking2[[#This Row],[Check]]</f>
        <v>#REF!</v>
      </c>
      <c r="AR120" s="32"/>
    </row>
    <row r="121" spans="1:55" ht="12" customHeight="1" x14ac:dyDescent="0.25">
      <c r="A121" s="16" t="s">
        <v>1303</v>
      </c>
      <c r="B121" s="16" t="str">
        <f>_xlfn.XLOOKUP(FME_Ranking2[[#This Row],[FME ID]],FME_Input[FME_ID],FME_Input[FME_NAME])</f>
        <v>Storm Water Detention Ponds Evalution in the City of Santa Fe</v>
      </c>
      <c r="C121" s="16" t="str">
        <f>_xlfn.XLOOKUP(FME_Ranking2[[#This Row],[FME ID]],FME_Input[FME_ID],FME_Input[DESCR])</f>
        <v>Further study to determine detention ponds/basin could be solution for addressing flood impacts.</v>
      </c>
      <c r="D121" s="46" t="str">
        <f>_xlfn.XLOOKUP(FME_Ranking2[[#This Row],[FME ID]],FME_Input[FME_ID],FME_Input[EMER_NEED])</f>
        <v>No</v>
      </c>
      <c r="E121" s="121">
        <f>IF(FME_Ranking_Option2!$D121="Yes",100,0)</f>
        <v>0</v>
      </c>
      <c r="F121" s="47" t="str">
        <f>_xlfn.XLOOKUP(FME_Ranking2[[#This Row],[FME ID]],FME_Input[FME_ID],FME_Input[FUND])</f>
        <v>Yes</v>
      </c>
      <c r="G121" s="48">
        <f>IF(FME_Ranking_Option2!$F121="Yes",1,0)</f>
        <v>1</v>
      </c>
      <c r="H121" s="46">
        <f>_xlfn.XLOOKUP(FME_Ranking2[[#This Row],[FME ID]],FME_Input[FME_ID],FME_Input[STRUCT_100])</f>
        <v>400</v>
      </c>
      <c r="I121" s="65" t="e">
        <f>FME_Ranking2[[#This Row],[Raw Data3]]*H$4</f>
        <v>#REF!</v>
      </c>
      <c r="J121" s="62">
        <f>((FME_Ranking_Option2!$H121)/($H$3))*100</f>
        <v>4.4450914522002651E-2</v>
      </c>
      <c r="K121" s="49" t="e">
        <f>FME_Ranking2[[#This Row],[Norm Data3]]*H$4</f>
        <v>#REF!</v>
      </c>
      <c r="L121" s="50">
        <f>_xlfn.XLOOKUP(FME_Ranking2[[#This Row],[FME ID]],FME_Input[FME_ID],FME_Input[RES_STRUCT100])</f>
        <v>306</v>
      </c>
      <c r="M121" s="51" t="e">
        <f>FME_Ranking2[[#This Row],[Raw Data4]]*L$4</f>
        <v>#REF!</v>
      </c>
      <c r="N121" s="29">
        <f>((FME_Ranking_Option2!$L121)/($L$3))*100</f>
        <v>4.5747911069648955E-2</v>
      </c>
      <c r="O121" s="52" t="e">
        <f>FME_Ranking2[[#This Row],[Norm Data4]]*L$4</f>
        <v>#REF!</v>
      </c>
      <c r="P121" s="47">
        <f>_xlfn.XLOOKUP(FME_Ranking2[[#This Row],[FME ID]],FME_Input[FME_ID],FME_Input[POP100])</f>
        <v>798</v>
      </c>
      <c r="Q121" s="48" t="e">
        <f>FME_Ranking_Option2!$P121*P$4</f>
        <v>#REF!</v>
      </c>
      <c r="R121" s="48">
        <f>FME_Ranking_Option2!$P121/($P$3)</f>
        <v>2.928829444498682E-4</v>
      </c>
      <c r="S121" s="48" t="e">
        <f>FME_Ranking_Option2!$R121*P$4</f>
        <v>#REF!</v>
      </c>
      <c r="T121" s="50">
        <f>_xlfn.XLOOKUP(FME_Ranking2[[#This Row],[FME ID]],FME_Input[FME_ID],FME_Input[CRITFAC100])</f>
        <v>1</v>
      </c>
      <c r="U121" s="48" t="e">
        <f>FME_Ranking_Option2!$T121*T$4</f>
        <v>#REF!</v>
      </c>
      <c r="V121" s="48">
        <f>FME_Ranking_Option2!$T121/($T$3)</f>
        <v>1.4102383302778171E-4</v>
      </c>
      <c r="W121" s="48" t="e">
        <f>FME_Ranking_Option2!$V121*T$4</f>
        <v>#REF!</v>
      </c>
      <c r="X121" s="50">
        <f>_xlfn.XLOOKUP(FME_Ranking2[[#This Row],[FME ID]],FME_Input[FME_ID],FME_Input[LWC])</f>
        <v>9</v>
      </c>
      <c r="Y121" s="48" t="e">
        <f>FME_Ranking_Option2!$X121*X$4</f>
        <v>#REF!</v>
      </c>
      <c r="Z121" s="48">
        <f>FME_Ranking_Option2!$X121/($X$3)</f>
        <v>8.2101806239737272E-4</v>
      </c>
      <c r="AA121" s="48" t="e">
        <f>FME_Ranking_Option2!$Z121*X$4</f>
        <v>#REF!</v>
      </c>
      <c r="AB121" s="50">
        <f>_xlfn.XLOOKUP(FME_Ranking2[[#This Row],[FME ID]],FME_Input[FME_ID],FME_Input[ROADCLS])</f>
        <v>9</v>
      </c>
      <c r="AC121" s="48" t="e">
        <f>FME_Ranking_Option2!$AB121*AB$4</f>
        <v>#REF!</v>
      </c>
      <c r="AD121" s="53">
        <f>_xlfn.XLOOKUP(FME_Ranking2[[#This Row],[FME ID]],FME_Input[FME_ID],FME_Input[ROAD_MILES100])</f>
        <v>4.122429370880127</v>
      </c>
      <c r="AE121" s="54" t="e">
        <f>FME_Ranking_Option2!$AD121*AD$4</f>
        <v>#REF!</v>
      </c>
      <c r="AF121" s="55">
        <f>FME_Ranking_Option2!$AD121/($AD$3)</f>
        <v>9.311447846822369E-5</v>
      </c>
      <c r="AG121" s="55" t="e">
        <f>FME_Ranking_Option2!$AF121*AD$4</f>
        <v>#REF!</v>
      </c>
      <c r="AH121" s="53">
        <f>_xlfn.XLOOKUP(FME_Ranking2[[#This Row],[FME ID]],FME_Input[FME_ID],FME_Input[FARMACRE100])</f>
        <v>12.12156867980957</v>
      </c>
      <c r="AI121" s="54" t="e">
        <f>FME_Ranking_Option2!$AH121*AH$4</f>
        <v>#REF!</v>
      </c>
      <c r="AJ121" s="56">
        <f>FME_Ranking_Option2!$AH121/($AH$3)</f>
        <v>7.0385027580215608E-4</v>
      </c>
      <c r="AK121" s="57" t="e">
        <f>FME_Ranking_Option2!$AJ121*AH$4</f>
        <v>#REF!</v>
      </c>
      <c r="AL12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21" s="58" t="e">
        <f>_xlfn.RANK.EQ(AL121,$AL$7:$AL$531)+COUNTIF(AL$7:AL121,AL121)-1</f>
        <v>#REF!</v>
      </c>
      <c r="AN121" s="57"/>
      <c r="AO121" s="58" t="e">
        <f>_xlfn.RANK.EQ(AN121,$AN$7:$AN$531)+COUNTIF(AN$7:AN121,AN121)-1</f>
        <v>#N/A</v>
      </c>
      <c r="AP12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21" s="32" t="e">
        <f>FME_Ranking2[[#This Row],[Score Based on Reported Factors]]-FME_Ranking2[[#This Row],[Check]]</f>
        <v>#REF!</v>
      </c>
      <c r="AR121" s="32"/>
      <c r="AT121" s="19"/>
      <c r="AU121" s="19"/>
      <c r="AV121" s="19"/>
      <c r="AW121" s="19"/>
      <c r="AX121" s="19"/>
      <c r="AY121" s="19"/>
      <c r="AZ121" s="19"/>
      <c r="BA121" s="19"/>
      <c r="BB121" s="19"/>
      <c r="BC121" s="19"/>
    </row>
    <row r="122" spans="1:55" ht="12" customHeight="1" x14ac:dyDescent="0.25">
      <c r="A122" s="17" t="s">
        <v>1306</v>
      </c>
      <c r="B122" s="17" t="str">
        <f>_xlfn.XLOOKUP(FME_Ranking2[[#This Row],[FME ID]],FME_Input[FME_ID],FME_Input[FME_NAME])</f>
        <v>Drainage System Analysis for City of Santa Fe</v>
      </c>
      <c r="C122" s="17" t="str">
        <f>_xlfn.XLOOKUP(FME_Ranking2[[#This Row],[FME ID]],FME_Input[FME_ID],FME_Input[DESCR])</f>
        <v>Further study to widen drainage systems and increase culvert size to accommodate increased water flows. Coordinate efforts with water district.</v>
      </c>
      <c r="D122" s="33" t="str">
        <f>_xlfn.XLOOKUP(FME_Ranking2[[#This Row],[FME ID]],FME_Input[FME_ID],FME_Input[EMER_NEED])</f>
        <v>No</v>
      </c>
      <c r="E122" s="120">
        <f>IF(FME_Ranking_Option2!$D122="Yes",100,0)</f>
        <v>0</v>
      </c>
      <c r="F122" s="34" t="str">
        <f>_xlfn.XLOOKUP(FME_Ranking2[[#This Row],[FME ID]],FME_Input[FME_ID],FME_Input[FUND])</f>
        <v>Yes</v>
      </c>
      <c r="G122" s="35">
        <f>IF(FME_Ranking_Option2!$F122="Yes",1,0)</f>
        <v>1</v>
      </c>
      <c r="H122" s="33">
        <f>_xlfn.XLOOKUP(FME_Ranking2[[#This Row],[FME ID]],FME_Input[FME_ID],FME_Input[STRUCT_100])</f>
        <v>400</v>
      </c>
      <c r="I122" s="64" t="e">
        <f>FME_Ranking2[[#This Row],[Raw Data3]]*H$4</f>
        <v>#REF!</v>
      </c>
      <c r="J122" s="63">
        <f>((FME_Ranking_Option2!$H122)/($H$3))*100</f>
        <v>4.4450914522002651E-2</v>
      </c>
      <c r="K122" s="36" t="e">
        <f>FME_Ranking2[[#This Row],[Norm Data3]]*H$4</f>
        <v>#REF!</v>
      </c>
      <c r="L122" s="37">
        <f>_xlfn.XLOOKUP(FME_Ranking2[[#This Row],[FME ID]],FME_Input[FME_ID],FME_Input[RES_STRUCT100])</f>
        <v>306</v>
      </c>
      <c r="M122" s="38" t="e">
        <f>FME_Ranking2[[#This Row],[Raw Data4]]*L$4</f>
        <v>#REF!</v>
      </c>
      <c r="N122" s="28">
        <f>((FME_Ranking_Option2!$L122)/($L$3))*100</f>
        <v>4.5747911069648955E-2</v>
      </c>
      <c r="O122" s="39" t="e">
        <f>FME_Ranking2[[#This Row],[Norm Data4]]*L$4</f>
        <v>#REF!</v>
      </c>
      <c r="P122" s="34">
        <f>_xlfn.XLOOKUP(FME_Ranking2[[#This Row],[FME ID]],FME_Input[FME_ID],FME_Input[POP100])</f>
        <v>798</v>
      </c>
      <c r="Q122" s="35" t="e">
        <f>FME_Ranking_Option2!$P122*P$4</f>
        <v>#REF!</v>
      </c>
      <c r="R122" s="35">
        <f>FME_Ranking_Option2!$P122/($P$3)</f>
        <v>2.928829444498682E-4</v>
      </c>
      <c r="S122" s="35" t="e">
        <f>FME_Ranking_Option2!$R122*P$4</f>
        <v>#REF!</v>
      </c>
      <c r="T122" s="37">
        <f>_xlfn.XLOOKUP(FME_Ranking2[[#This Row],[FME ID]],FME_Input[FME_ID],FME_Input[CRITFAC100])</f>
        <v>1</v>
      </c>
      <c r="U122" s="35" t="e">
        <f>FME_Ranking_Option2!$T122*T$4</f>
        <v>#REF!</v>
      </c>
      <c r="V122" s="35">
        <f>FME_Ranking_Option2!$T122/($T$3)</f>
        <v>1.4102383302778171E-4</v>
      </c>
      <c r="W122" s="35" t="e">
        <f>FME_Ranking_Option2!$V122*T$4</f>
        <v>#REF!</v>
      </c>
      <c r="X122" s="37">
        <f>_xlfn.XLOOKUP(FME_Ranking2[[#This Row],[FME ID]],FME_Input[FME_ID],FME_Input[LWC])</f>
        <v>9</v>
      </c>
      <c r="Y122" s="35" t="e">
        <f>FME_Ranking_Option2!$X122*X$4</f>
        <v>#REF!</v>
      </c>
      <c r="Z122" s="35">
        <f>FME_Ranking_Option2!$X122/($X$3)</f>
        <v>8.2101806239737272E-4</v>
      </c>
      <c r="AA122" s="35" t="e">
        <f>FME_Ranking_Option2!$Z122*X$4</f>
        <v>#REF!</v>
      </c>
      <c r="AB122" s="37">
        <f>_xlfn.XLOOKUP(FME_Ranking2[[#This Row],[FME ID]],FME_Input[FME_ID],FME_Input[ROADCLS])</f>
        <v>9</v>
      </c>
      <c r="AC122" s="35" t="e">
        <f>FME_Ranking_Option2!$AB122*AB$4</f>
        <v>#REF!</v>
      </c>
      <c r="AD122" s="40">
        <f>_xlfn.XLOOKUP(FME_Ranking2[[#This Row],[FME ID]],FME_Input[FME_ID],FME_Input[ROAD_MILES100])</f>
        <v>4.122429370880127</v>
      </c>
      <c r="AE122" s="41" t="e">
        <f>FME_Ranking_Option2!$AD122*AD$4</f>
        <v>#REF!</v>
      </c>
      <c r="AF122" s="42">
        <f>FME_Ranking_Option2!$AD122/($AD$3)</f>
        <v>9.311447846822369E-5</v>
      </c>
      <c r="AG122" s="42" t="e">
        <f>FME_Ranking_Option2!$AF122*AD$4</f>
        <v>#REF!</v>
      </c>
      <c r="AH122" s="40">
        <f>_xlfn.XLOOKUP(FME_Ranking2[[#This Row],[FME ID]],FME_Input[FME_ID],FME_Input[FARMACRE100])</f>
        <v>12.12156867980957</v>
      </c>
      <c r="AI122" s="43" t="e">
        <f>FME_Ranking_Option2!$AH122*AH$4</f>
        <v>#REF!</v>
      </c>
      <c r="AJ122" s="41">
        <f>FME_Ranking_Option2!$AH122/($AH$3)</f>
        <v>7.0385027580215608E-4</v>
      </c>
      <c r="AK122" s="44" t="e">
        <f>FME_Ranking_Option2!$AJ122*AH$4</f>
        <v>#REF!</v>
      </c>
      <c r="AL122"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22" s="45" t="e">
        <f>_xlfn.RANK.EQ(AL122,$AL$7:$AL$531)+COUNTIF(AL$7:AL122,AL122)-1</f>
        <v>#REF!</v>
      </c>
      <c r="AN122" s="44"/>
      <c r="AO122" s="45" t="e">
        <f>_xlfn.RANK.EQ(AN122,$AN$7:$AN$531)+COUNTIF(AN$7:AN122,AN122)-1</f>
        <v>#N/A</v>
      </c>
      <c r="AP12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22" s="32" t="e">
        <f>FME_Ranking2[[#This Row],[Score Based on Reported Factors]]-FME_Ranking2[[#This Row],[Check]]</f>
        <v>#REF!</v>
      </c>
      <c r="AR122" s="32"/>
    </row>
    <row r="123" spans="1:55" ht="12" customHeight="1" x14ac:dyDescent="0.25">
      <c r="A123" s="16" t="s">
        <v>1308</v>
      </c>
      <c r="B123" s="16" t="str">
        <f>_xlfn.XLOOKUP(FME_Ranking2[[#This Row],[FME ID]],FME_Input[FME_ID],FME_Input[FME_NAME])</f>
        <v>City of Stafford Run Creek Detention Pond Construction</v>
      </c>
      <c r="C123" s="16" t="str">
        <f>_xlfn.XLOOKUP(FME_Ranking2[[#This Row],[FME ID]],FME_Input[FME_ID],FME_Input[DESCR])</f>
        <v>Further study of proposed detention ponds immediately downstream of Brand Lane and Independence Park.</v>
      </c>
      <c r="D123" s="46" t="str">
        <f>_xlfn.XLOOKUP(FME_Ranking2[[#This Row],[FME ID]],FME_Input[FME_ID],FME_Input[EMER_NEED])</f>
        <v>No</v>
      </c>
      <c r="E123" s="121">
        <f>IF(FME_Ranking_Option2!$D123="Yes",100,0)</f>
        <v>0</v>
      </c>
      <c r="F123" s="47" t="str">
        <f>_xlfn.XLOOKUP(FME_Ranking2[[#This Row],[FME ID]],FME_Input[FME_ID],FME_Input[FUND])</f>
        <v>Yes</v>
      </c>
      <c r="G123" s="48">
        <f>IF(FME_Ranking_Option2!$F123="Yes",1,0)</f>
        <v>1</v>
      </c>
      <c r="H123" s="46">
        <f>_xlfn.XLOOKUP(FME_Ranking2[[#This Row],[FME ID]],FME_Input[FME_ID],FME_Input[STRUCT_100])</f>
        <v>0</v>
      </c>
      <c r="I123" s="65" t="e">
        <f>FME_Ranking2[[#This Row],[Raw Data3]]*H$4</f>
        <v>#REF!</v>
      </c>
      <c r="J123" s="62">
        <f>((FME_Ranking_Option2!$H123)/($H$3))*100</f>
        <v>0</v>
      </c>
      <c r="K123" s="49" t="e">
        <f>FME_Ranking2[[#This Row],[Norm Data3]]*H$4</f>
        <v>#REF!</v>
      </c>
      <c r="L123" s="50">
        <f>_xlfn.XLOOKUP(FME_Ranking2[[#This Row],[FME ID]],FME_Input[FME_ID],FME_Input[RES_STRUCT100])</f>
        <v>0</v>
      </c>
      <c r="M123" s="51" t="e">
        <f>FME_Ranking2[[#This Row],[Raw Data4]]*L$4</f>
        <v>#REF!</v>
      </c>
      <c r="N123" s="29">
        <f>((FME_Ranking_Option2!$L123)/($L$3))*100</f>
        <v>0</v>
      </c>
      <c r="O123" s="52" t="e">
        <f>FME_Ranking2[[#This Row],[Norm Data4]]*L$4</f>
        <v>#REF!</v>
      </c>
      <c r="P123" s="47">
        <f>_xlfn.XLOOKUP(FME_Ranking2[[#This Row],[FME ID]],FME_Input[FME_ID],FME_Input[POP100])</f>
        <v>0</v>
      </c>
      <c r="Q123" s="48" t="e">
        <f>FME_Ranking_Option2!$P123*P$4</f>
        <v>#REF!</v>
      </c>
      <c r="R123" s="48">
        <f>FME_Ranking_Option2!$P123/($P$3)</f>
        <v>0</v>
      </c>
      <c r="S123" s="48" t="e">
        <f>FME_Ranking_Option2!$R123*P$4</f>
        <v>#REF!</v>
      </c>
      <c r="T123" s="50">
        <f>_xlfn.XLOOKUP(FME_Ranking2[[#This Row],[FME ID]],FME_Input[FME_ID],FME_Input[CRITFAC100])</f>
        <v>0</v>
      </c>
      <c r="U123" s="48" t="e">
        <f>FME_Ranking_Option2!$T123*T$4</f>
        <v>#REF!</v>
      </c>
      <c r="V123" s="48">
        <f>FME_Ranking_Option2!$T123/($T$3)</f>
        <v>0</v>
      </c>
      <c r="W123" s="48" t="e">
        <f>FME_Ranking_Option2!$V123*T$4</f>
        <v>#REF!</v>
      </c>
      <c r="X123" s="50">
        <f>_xlfn.XLOOKUP(FME_Ranking2[[#This Row],[FME ID]],FME_Input[FME_ID],FME_Input[LWC])</f>
        <v>0</v>
      </c>
      <c r="Y123" s="48" t="e">
        <f>FME_Ranking_Option2!$X123*X$4</f>
        <v>#REF!</v>
      </c>
      <c r="Z123" s="48">
        <f>FME_Ranking_Option2!$X123/($X$3)</f>
        <v>0</v>
      </c>
      <c r="AA123" s="48" t="e">
        <f>FME_Ranking_Option2!$Z123*X$4</f>
        <v>#REF!</v>
      </c>
      <c r="AB123" s="50">
        <f>_xlfn.XLOOKUP(FME_Ranking2[[#This Row],[FME ID]],FME_Input[FME_ID],FME_Input[ROADCLS])</f>
        <v>0</v>
      </c>
      <c r="AC123" s="48" t="e">
        <f>FME_Ranking_Option2!$AB123*AB$4</f>
        <v>#REF!</v>
      </c>
      <c r="AD123" s="53">
        <f>_xlfn.XLOOKUP(FME_Ranking2[[#This Row],[FME ID]],FME_Input[FME_ID],FME_Input[ROAD_MILES100])</f>
        <v>0</v>
      </c>
      <c r="AE123" s="54" t="e">
        <f>FME_Ranking_Option2!$AD123*AD$4</f>
        <v>#REF!</v>
      </c>
      <c r="AF123" s="55">
        <f>FME_Ranking_Option2!$AD123/($AD$3)</f>
        <v>0</v>
      </c>
      <c r="AG123" s="55" t="e">
        <f>FME_Ranking_Option2!$AF123*AD$4</f>
        <v>#REF!</v>
      </c>
      <c r="AH123" s="53">
        <f>_xlfn.XLOOKUP(FME_Ranking2[[#This Row],[FME ID]],FME_Input[FME_ID],FME_Input[FARMACRE100])</f>
        <v>0</v>
      </c>
      <c r="AI123" s="54" t="e">
        <f>FME_Ranking_Option2!$AH123*AH$4</f>
        <v>#REF!</v>
      </c>
      <c r="AJ123" s="56">
        <f>FME_Ranking_Option2!$AH123/($AH$3)</f>
        <v>0</v>
      </c>
      <c r="AK123" s="57" t="e">
        <f>FME_Ranking_Option2!$AJ123*AH$4</f>
        <v>#REF!</v>
      </c>
      <c r="AL123"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23" s="58" t="e">
        <f>_xlfn.RANK.EQ(AL123,$AL$7:$AL$531)+COUNTIF(AL$7:AL123,AL123)-1</f>
        <v>#REF!</v>
      </c>
      <c r="AN123" s="57"/>
      <c r="AO123" s="58" t="e">
        <f>_xlfn.RANK.EQ(AN123,$AN$7:$AN$531)+COUNTIF(AN$7:AN123,AN123)-1</f>
        <v>#N/A</v>
      </c>
      <c r="AP12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23" s="32" t="e">
        <f>FME_Ranking2[[#This Row],[Score Based on Reported Factors]]-FME_Ranking2[[#This Row],[Check]]</f>
        <v>#REF!</v>
      </c>
      <c r="AR123" s="32"/>
      <c r="AT123" s="19"/>
      <c r="AU123" s="19"/>
      <c r="AV123" s="19"/>
      <c r="AW123" s="19"/>
      <c r="AX123" s="19"/>
      <c r="AY123" s="19"/>
      <c r="AZ123" s="19"/>
      <c r="BA123" s="19"/>
      <c r="BB123" s="19"/>
      <c r="BC123" s="19"/>
    </row>
    <row r="124" spans="1:55" ht="12" customHeight="1" x14ac:dyDescent="0.25">
      <c r="A124" s="17" t="s">
        <v>1316</v>
      </c>
      <c r="B124" s="17" t="str">
        <f>_xlfn.XLOOKUP(FME_Ranking2[[#This Row],[FME ID]],FME_Input[FME_ID],FME_Input[FME_NAME])</f>
        <v>City of Cleveland Drainage Improvements</v>
      </c>
      <c r="C124" s="17" t="str">
        <f>_xlfn.XLOOKUP(FME_Ranking2[[#This Row],[FME ID]],FME_Input[FME_ID],FME_Input[DESCR])</f>
        <v>Further study of proposed city of cleveland drainage improvements.</v>
      </c>
      <c r="D124" s="33" t="str">
        <f>_xlfn.XLOOKUP(FME_Ranking2[[#This Row],[FME ID]],FME_Input[FME_ID],FME_Input[EMER_NEED])</f>
        <v>No</v>
      </c>
      <c r="E124" s="120">
        <f>IF(FME_Ranking_Option2!$D124="Yes",100,0)</f>
        <v>0</v>
      </c>
      <c r="F124" s="34" t="str">
        <f>_xlfn.XLOOKUP(FME_Ranking2[[#This Row],[FME ID]],FME_Input[FME_ID],FME_Input[FUND])</f>
        <v>Yes</v>
      </c>
      <c r="G124" s="35">
        <f>IF(FME_Ranking_Option2!$F124="Yes",1,0)</f>
        <v>1</v>
      </c>
      <c r="H124" s="33">
        <f>_xlfn.XLOOKUP(FME_Ranking2[[#This Row],[FME ID]],FME_Input[FME_ID],FME_Input[STRUCT_100])</f>
        <v>261</v>
      </c>
      <c r="I124" s="64" t="e">
        <f>FME_Ranking2[[#This Row],[Raw Data3]]*H$4</f>
        <v>#REF!</v>
      </c>
      <c r="J124" s="63">
        <f>((FME_Ranking_Option2!$H124)/($H$3))*100</f>
        <v>2.9004221725606728E-2</v>
      </c>
      <c r="K124" s="36" t="e">
        <f>FME_Ranking2[[#This Row],[Norm Data3]]*H$4</f>
        <v>#REF!</v>
      </c>
      <c r="L124" s="37">
        <f>_xlfn.XLOOKUP(FME_Ranking2[[#This Row],[FME ID]],FME_Input[FME_ID],FME_Input[RES_STRUCT100])</f>
        <v>133</v>
      </c>
      <c r="M124" s="38" t="e">
        <f>FME_Ranking2[[#This Row],[Raw Data4]]*L$4</f>
        <v>#REF!</v>
      </c>
      <c r="N124" s="28">
        <f>((FME_Ranking_Option2!$L124)/($L$3))*100</f>
        <v>1.98838959877886E-2</v>
      </c>
      <c r="O124" s="39" t="e">
        <f>FME_Ranking2[[#This Row],[Norm Data4]]*L$4</f>
        <v>#REF!</v>
      </c>
      <c r="P124" s="34">
        <f>_xlfn.XLOOKUP(FME_Ranking2[[#This Row],[FME ID]],FME_Input[FME_ID],FME_Input[POP100])</f>
        <v>1267</v>
      </c>
      <c r="Q124" s="35" t="e">
        <f>FME_Ranking_Option2!$P124*P$4</f>
        <v>#REF!</v>
      </c>
      <c r="R124" s="35">
        <f>FME_Ranking_Option2!$P124/($P$3)</f>
        <v>4.6501590303005388E-4</v>
      </c>
      <c r="S124" s="35" t="e">
        <f>FME_Ranking_Option2!$R124*P$4</f>
        <v>#REF!</v>
      </c>
      <c r="T124" s="37">
        <f>_xlfn.XLOOKUP(FME_Ranking2[[#This Row],[FME ID]],FME_Input[FME_ID],FME_Input[CRITFAC100])</f>
        <v>0</v>
      </c>
      <c r="U124" s="35" t="e">
        <f>FME_Ranking_Option2!$T124*T$4</f>
        <v>#REF!</v>
      </c>
      <c r="V124" s="35">
        <f>FME_Ranking_Option2!$T124/($T$3)</f>
        <v>0</v>
      </c>
      <c r="W124" s="35" t="e">
        <f>FME_Ranking_Option2!$V124*T$4</f>
        <v>#REF!</v>
      </c>
      <c r="X124" s="37">
        <f>_xlfn.XLOOKUP(FME_Ranking2[[#This Row],[FME ID]],FME_Input[FME_ID],FME_Input[LWC])</f>
        <v>1</v>
      </c>
      <c r="Y124" s="35" t="e">
        <f>FME_Ranking_Option2!$X124*X$4</f>
        <v>#REF!</v>
      </c>
      <c r="Z124" s="35">
        <f>FME_Ranking_Option2!$X124/($X$3)</f>
        <v>9.1224229155263632E-5</v>
      </c>
      <c r="AA124" s="35" t="e">
        <f>FME_Ranking_Option2!$Z124*X$4</f>
        <v>#REF!</v>
      </c>
      <c r="AB124" s="37">
        <f>_xlfn.XLOOKUP(FME_Ranking2[[#This Row],[FME ID]],FME_Input[FME_ID],FME_Input[ROADCLS])</f>
        <v>1</v>
      </c>
      <c r="AC124" s="35" t="e">
        <f>FME_Ranking_Option2!$AB124*AB$4</f>
        <v>#REF!</v>
      </c>
      <c r="AD124" s="40">
        <f>_xlfn.XLOOKUP(FME_Ranking2[[#This Row],[FME ID]],FME_Input[FME_ID],FME_Input[ROAD_MILES100])</f>
        <v>27.32913970947266</v>
      </c>
      <c r="AE124" s="41" t="e">
        <f>FME_Ranking_Option2!$AD124*AD$4</f>
        <v>#REF!</v>
      </c>
      <c r="AF124" s="42">
        <f>FME_Ranking_Option2!$AD124/($AD$3)</f>
        <v>6.1729101024949153E-4</v>
      </c>
      <c r="AG124" s="42" t="e">
        <f>FME_Ranking_Option2!$AF124*AD$4</f>
        <v>#REF!</v>
      </c>
      <c r="AH124" s="40">
        <f>_xlfn.XLOOKUP(FME_Ranking2[[#This Row],[FME ID]],FME_Input[FME_ID],FME_Input[FARMACRE100])</f>
        <v>28.87845611572266</v>
      </c>
      <c r="AI124" s="43" t="e">
        <f>FME_Ranking_Option2!$AH124*AH$4</f>
        <v>#REF!</v>
      </c>
      <c r="AJ124" s="41">
        <f>FME_Ranking_Option2!$AH124/($AH$3)</f>
        <v>1.676854690898899E-3</v>
      </c>
      <c r="AK124" s="44" t="e">
        <f>FME_Ranking_Option2!$AJ124*AH$4</f>
        <v>#REF!</v>
      </c>
      <c r="AL124"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24" s="45" t="e">
        <f>_xlfn.RANK.EQ(AL124,$AL$7:$AL$531)+COUNTIF(AL$7:AL124,AL124)-1</f>
        <v>#REF!</v>
      </c>
      <c r="AN124" s="44"/>
      <c r="AO124" s="45" t="e">
        <f>_xlfn.RANK.EQ(AN124,$AN$7:$AN$531)+COUNTIF(AN$7:AN124,AN124)-1</f>
        <v>#N/A</v>
      </c>
      <c r="AP12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24" s="32" t="e">
        <f>FME_Ranking2[[#This Row],[Score Based on Reported Factors]]-FME_Ranking2[[#This Row],[Check]]</f>
        <v>#REF!</v>
      </c>
      <c r="AR124" s="32"/>
    </row>
    <row r="125" spans="1:55" ht="12" customHeight="1" x14ac:dyDescent="0.25">
      <c r="A125" s="16" t="s">
        <v>1319</v>
      </c>
      <c r="B125" s="16" t="str">
        <f>_xlfn.XLOOKUP(FME_Ranking2[[#This Row],[FME ID]],FME_Input[FME_ID],FME_Input[FME_NAME])</f>
        <v>San Jacinto Watershed and Tributary Barrier and Flood Mitigation - East County Project</v>
      </c>
      <c r="C125" s="16" t="str">
        <f>_xlfn.XLOOKUP(FME_Ranking2[[#This Row],[FME ID]],FME_Input[FME_ID],FME_Input[DESCR])</f>
        <v xml:space="preserve">Planning, H&amp;H studies, design, environmental review, and barrier removal for the 98.6 miles of the San Jacinto Watershed and Tributary Barrier and Flood Mitigation-East County project area. </v>
      </c>
      <c r="D125" s="46" t="str">
        <f>_xlfn.XLOOKUP(FME_Ranking2[[#This Row],[FME ID]],FME_Input[FME_ID],FME_Input[EMER_NEED])</f>
        <v>No</v>
      </c>
      <c r="E125" s="121">
        <f>IF(FME_Ranking_Option2!$D125="Yes",100,0)</f>
        <v>0</v>
      </c>
      <c r="F125" s="47" t="str">
        <f>_xlfn.XLOOKUP(FME_Ranking2[[#This Row],[FME ID]],FME_Input[FME_ID],FME_Input[FUND])</f>
        <v>Yes</v>
      </c>
      <c r="G125" s="48">
        <f>IF(FME_Ranking_Option2!$F125="Yes",1,0)</f>
        <v>1</v>
      </c>
      <c r="H125" s="46">
        <f>_xlfn.XLOOKUP(FME_Ranking2[[#This Row],[FME ID]],FME_Input[FME_ID],FME_Input[STRUCT_100])</f>
        <v>3499</v>
      </c>
      <c r="I125" s="65" t="e">
        <f>FME_Ranking2[[#This Row],[Raw Data3]]*H$4</f>
        <v>#REF!</v>
      </c>
      <c r="J125" s="62">
        <f>((FME_Ranking_Option2!$H125)/($H$3))*100</f>
        <v>0.38883437478121813</v>
      </c>
      <c r="K125" s="49" t="e">
        <f>FME_Ranking2[[#This Row],[Norm Data3]]*H$4</f>
        <v>#REF!</v>
      </c>
      <c r="L125" s="50">
        <f>_xlfn.XLOOKUP(FME_Ranking2[[#This Row],[FME ID]],FME_Input[FME_ID],FME_Input[RES_STRUCT100])</f>
        <v>2371</v>
      </c>
      <c r="M125" s="51" t="e">
        <f>FME_Ranking2[[#This Row],[Raw Data4]]*L$4</f>
        <v>#REF!</v>
      </c>
      <c r="N125" s="29">
        <f>((FME_Ranking_Option2!$L125)/($L$3))*100</f>
        <v>0.35447155930110347</v>
      </c>
      <c r="O125" s="52" t="e">
        <f>FME_Ranking2[[#This Row],[Norm Data4]]*L$4</f>
        <v>#REF!</v>
      </c>
      <c r="P125" s="47">
        <f>_xlfn.XLOOKUP(FME_Ranking2[[#This Row],[FME ID]],FME_Input[FME_ID],FME_Input[POP100])</f>
        <v>4867</v>
      </c>
      <c r="Q125" s="48" t="e">
        <f>FME_Ranking_Option2!$P125*P$4</f>
        <v>#REF!</v>
      </c>
      <c r="R125" s="48">
        <f>FME_Ranking_Option2!$P125/($P$3)</f>
        <v>1.7862923441572789E-3</v>
      </c>
      <c r="S125" s="48" t="e">
        <f>FME_Ranking_Option2!$R125*P$4</f>
        <v>#REF!</v>
      </c>
      <c r="T125" s="50">
        <f>_xlfn.XLOOKUP(FME_Ranking2[[#This Row],[FME ID]],FME_Input[FME_ID],FME_Input[CRITFAC100])</f>
        <v>3</v>
      </c>
      <c r="U125" s="48" t="e">
        <f>FME_Ranking_Option2!$T125*T$4</f>
        <v>#REF!</v>
      </c>
      <c r="V125" s="48">
        <f>FME_Ranking_Option2!$T125/($T$3)</f>
        <v>4.2307149908334509E-4</v>
      </c>
      <c r="W125" s="48" t="e">
        <f>FME_Ranking_Option2!$V125*T$4</f>
        <v>#REF!</v>
      </c>
      <c r="X125" s="50">
        <f>_xlfn.XLOOKUP(FME_Ranking2[[#This Row],[FME ID]],FME_Input[FME_ID],FME_Input[LWC])</f>
        <v>1</v>
      </c>
      <c r="Y125" s="48" t="e">
        <f>FME_Ranking_Option2!$X125*X$4</f>
        <v>#REF!</v>
      </c>
      <c r="Z125" s="48">
        <f>FME_Ranking_Option2!$X125/($X$3)</f>
        <v>9.1224229155263632E-5</v>
      </c>
      <c r="AA125" s="48" t="e">
        <f>FME_Ranking_Option2!$Z125*X$4</f>
        <v>#REF!</v>
      </c>
      <c r="AB125" s="50">
        <f>_xlfn.XLOOKUP(FME_Ranking2[[#This Row],[FME ID]],FME_Input[FME_ID],FME_Input[ROADCLS])</f>
        <v>1</v>
      </c>
      <c r="AC125" s="48" t="e">
        <f>FME_Ranking_Option2!$AB125*AB$4</f>
        <v>#REF!</v>
      </c>
      <c r="AD125" s="53">
        <f>_xlfn.XLOOKUP(FME_Ranking2[[#This Row],[FME ID]],FME_Input[FME_ID],FME_Input[ROAD_MILES100])</f>
        <v>101.79066467285161</v>
      </c>
      <c r="AE125" s="54" t="e">
        <f>FME_Ranking_Option2!$AD125*AD$4</f>
        <v>#REF!</v>
      </c>
      <c r="AF125" s="55">
        <f>FME_Ranking_Option2!$AD125/($AD$3)</f>
        <v>2.2991745403567348E-3</v>
      </c>
      <c r="AG125" s="55" t="e">
        <f>FME_Ranking_Option2!$AF125*AD$4</f>
        <v>#REF!</v>
      </c>
      <c r="AH125" s="53">
        <f>_xlfn.XLOOKUP(FME_Ranking2[[#This Row],[FME ID]],FME_Input[FME_ID],FME_Input[FARMACRE100])</f>
        <v>70.631149291992188</v>
      </c>
      <c r="AI125" s="54" t="e">
        <f>FME_Ranking_Option2!$AH125*AH$4</f>
        <v>#REF!</v>
      </c>
      <c r="AJ125" s="56">
        <f>FME_Ranking_Option2!$AH125/($AH$3)</f>
        <v>4.1012640543957191E-3</v>
      </c>
      <c r="AK125" s="57" t="e">
        <f>FME_Ranking_Option2!$AJ125*AH$4</f>
        <v>#REF!</v>
      </c>
      <c r="AL125"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25" s="58" t="e">
        <f>_xlfn.RANK.EQ(AL125,$AL$7:$AL$531)+COUNTIF(AL$7:AL125,AL125)-1</f>
        <v>#REF!</v>
      </c>
      <c r="AN125" s="57"/>
      <c r="AO125" s="58" t="e">
        <f>_xlfn.RANK.EQ(AN125,$AN$7:$AN$531)+COUNTIF(AN$7:AN125,AN125)-1</f>
        <v>#N/A</v>
      </c>
      <c r="AP12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25" s="32" t="e">
        <f>FME_Ranking2[[#This Row],[Score Based on Reported Factors]]-FME_Ranking2[[#This Row],[Check]]</f>
        <v>#REF!</v>
      </c>
      <c r="AR125" s="32"/>
      <c r="AT125" s="19"/>
      <c r="AU125" s="19"/>
      <c r="AV125" s="19"/>
      <c r="AW125" s="19"/>
      <c r="AX125" s="19"/>
      <c r="AY125" s="19"/>
      <c r="AZ125" s="19"/>
      <c r="BA125" s="19"/>
      <c r="BB125" s="19"/>
      <c r="BC125" s="19"/>
    </row>
    <row r="126" spans="1:55" ht="12" customHeight="1" x14ac:dyDescent="0.25">
      <c r="A126" s="17" t="s">
        <v>1327</v>
      </c>
      <c r="B126" s="17" t="str">
        <f>_xlfn.XLOOKUP(FME_Ranking2[[#This Row],[FME ID]],FME_Input[FME_ID],FME_Input[FME_NAME])</f>
        <v>San Jacinto Watershed and Tributary Barrier and Flood Mitigation - West County Project</v>
      </c>
      <c r="C126" s="17" t="str">
        <f>_xlfn.XLOOKUP(FME_Ranking2[[#This Row],[FME ID]],FME_Input[FME_ID],FME_Input[DESCR])</f>
        <v>H&amp;H study, design, tributary barrier removal, and environmental assessments for the 96.2 miles of the San Jacinto Watershed and Tributary Barrier and Flood Mitigation-West County project area.</v>
      </c>
      <c r="D126" s="33" t="str">
        <f>_xlfn.XLOOKUP(FME_Ranking2[[#This Row],[FME ID]],FME_Input[FME_ID],FME_Input[EMER_NEED])</f>
        <v>No</v>
      </c>
      <c r="E126" s="120">
        <f>IF(FME_Ranking_Option2!$D126="Yes",100,0)</f>
        <v>0</v>
      </c>
      <c r="F126" s="34" t="str">
        <f>_xlfn.XLOOKUP(FME_Ranking2[[#This Row],[FME ID]],FME_Input[FME_ID],FME_Input[FUND])</f>
        <v>Yes</v>
      </c>
      <c r="G126" s="35">
        <f>IF(FME_Ranking_Option2!$F126="Yes",1,0)</f>
        <v>1</v>
      </c>
      <c r="H126" s="33">
        <f>_xlfn.XLOOKUP(FME_Ranking2[[#This Row],[FME ID]],FME_Input[FME_ID],FME_Input[STRUCT_100])</f>
        <v>3634</v>
      </c>
      <c r="I126" s="64" t="e">
        <f>FME_Ranking2[[#This Row],[Raw Data3]]*H$4</f>
        <v>#REF!</v>
      </c>
      <c r="J126" s="63">
        <f>((FME_Ranking_Option2!$H126)/($H$3))*100</f>
        <v>0.40383655843239402</v>
      </c>
      <c r="K126" s="36" t="e">
        <f>FME_Ranking2[[#This Row],[Norm Data3]]*H$4</f>
        <v>#REF!</v>
      </c>
      <c r="L126" s="37">
        <f>_xlfn.XLOOKUP(FME_Ranking2[[#This Row],[FME ID]],FME_Input[FME_ID],FME_Input[RES_STRUCT100])</f>
        <v>2863</v>
      </c>
      <c r="M126" s="38" t="e">
        <f>FME_Ranking2[[#This Row],[Raw Data4]]*L$4</f>
        <v>#REF!</v>
      </c>
      <c r="N126" s="28">
        <f>((FME_Ranking_Option2!$L126)/($L$3))*100</f>
        <v>0.42802702415818616</v>
      </c>
      <c r="O126" s="39" t="e">
        <f>FME_Ranking2[[#This Row],[Norm Data4]]*L$4</f>
        <v>#REF!</v>
      </c>
      <c r="P126" s="34">
        <f>_xlfn.XLOOKUP(FME_Ranking2[[#This Row],[FME ID]],FME_Input[FME_ID],FME_Input[POP100])</f>
        <v>12814</v>
      </c>
      <c r="Q126" s="35" t="e">
        <f>FME_Ranking_Option2!$P126*P$4</f>
        <v>#REF!</v>
      </c>
      <c r="R126" s="35">
        <f>FME_Ranking_Option2!$P126/($P$3)</f>
        <v>4.7030100879456279E-3</v>
      </c>
      <c r="S126" s="35" t="e">
        <f>FME_Ranking_Option2!$R126*P$4</f>
        <v>#REF!</v>
      </c>
      <c r="T126" s="37">
        <f>_xlfn.XLOOKUP(FME_Ranking2[[#This Row],[FME ID]],FME_Input[FME_ID],FME_Input[CRITFAC100])</f>
        <v>34</v>
      </c>
      <c r="U126" s="35" t="e">
        <f>FME_Ranking_Option2!$T126*T$4</f>
        <v>#REF!</v>
      </c>
      <c r="V126" s="35">
        <f>FME_Ranking_Option2!$T126/($T$3)</f>
        <v>4.7948103229445774E-3</v>
      </c>
      <c r="W126" s="35" t="e">
        <f>FME_Ranking_Option2!$V126*T$4</f>
        <v>#REF!</v>
      </c>
      <c r="X126" s="37">
        <f>_xlfn.XLOOKUP(FME_Ranking2[[#This Row],[FME ID]],FME_Input[FME_ID],FME_Input[LWC])</f>
        <v>8</v>
      </c>
      <c r="Y126" s="35" t="e">
        <f>FME_Ranking_Option2!$X126*X$4</f>
        <v>#REF!</v>
      </c>
      <c r="Z126" s="35">
        <f>FME_Ranking_Option2!$X126/($X$3)</f>
        <v>7.2979383324210906E-4</v>
      </c>
      <c r="AA126" s="35" t="e">
        <f>FME_Ranking_Option2!$Z126*X$4</f>
        <v>#REF!</v>
      </c>
      <c r="AB126" s="37">
        <f>_xlfn.XLOOKUP(FME_Ranking2[[#This Row],[FME ID]],FME_Input[FME_ID],FME_Input[ROADCLS])</f>
        <v>8</v>
      </c>
      <c r="AC126" s="35" t="e">
        <f>FME_Ranking_Option2!$AB126*AB$4</f>
        <v>#REF!</v>
      </c>
      <c r="AD126" s="40">
        <f>_xlfn.XLOOKUP(FME_Ranking2[[#This Row],[FME ID]],FME_Input[FME_ID],FME_Input[ROAD_MILES100])</f>
        <v>89.206169128417969</v>
      </c>
      <c r="AE126" s="41" t="e">
        <f>FME_Ranking_Option2!$AD126*AD$4</f>
        <v>#REF!</v>
      </c>
      <c r="AF126" s="42">
        <f>FME_Ranking_Option2!$AD126/($AD$3)</f>
        <v>2.0149249792404344E-3</v>
      </c>
      <c r="AG126" s="42" t="e">
        <f>FME_Ranking_Option2!$AF126*AD$4</f>
        <v>#REF!</v>
      </c>
      <c r="AH126" s="40">
        <f>_xlfn.XLOOKUP(FME_Ranking2[[#This Row],[FME ID]],FME_Input[FME_ID],FME_Input[FARMACRE100])</f>
        <v>278.88983154296881</v>
      </c>
      <c r="AI126" s="43" t="e">
        <f>FME_Ranking_Option2!$AH126*AH$4</f>
        <v>#REF!</v>
      </c>
      <c r="AJ126" s="41">
        <f>FME_Ranking_Option2!$AH126/($AH$3)</f>
        <v>1.6194000136046684E-2</v>
      </c>
      <c r="AK126" s="44" t="e">
        <f>FME_Ranking_Option2!$AJ126*AH$4</f>
        <v>#REF!</v>
      </c>
      <c r="AL126"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26" s="45" t="e">
        <f>_xlfn.RANK.EQ(AL126,$AL$7:$AL$531)+COUNTIF(AL$7:AL126,AL126)-1</f>
        <v>#REF!</v>
      </c>
      <c r="AN126" s="44"/>
      <c r="AO126" s="45" t="e">
        <f>_xlfn.RANK.EQ(AN126,$AN$7:$AN$531)+COUNTIF(AN$7:AN126,AN126)-1</f>
        <v>#N/A</v>
      </c>
      <c r="AP12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26" s="32" t="e">
        <f>FME_Ranking2[[#This Row],[Score Based on Reported Factors]]-FME_Ranking2[[#This Row],[Check]]</f>
        <v>#REF!</v>
      </c>
      <c r="AR126" s="32"/>
    </row>
    <row r="127" spans="1:55" ht="12" customHeight="1" x14ac:dyDescent="0.25">
      <c r="A127" s="16" t="s">
        <v>2066</v>
      </c>
      <c r="B127" s="16" t="str">
        <f>_xlfn.XLOOKUP(FME_Ranking2[[#This Row],[FME ID]],FME_Input[FME_ID],FME_Input[FME_NAME])</f>
        <v>Spring Gully Watershed Planning Project Near-Term Planning Project: PA03</v>
      </c>
      <c r="C127" s="16" t="str">
        <f>_xlfn.XLOOKUP(FME_Ranking2[[#This Row],[FME ID]],FME_Input[FME_ID],FME_Input[DESCR])</f>
        <v xml:space="preserve">Planning-level study needed. PA03 warrented a near-term solution. Flooded structures centralized in a short reach along the main stem O200-00-00 which the best strategy for the area was buyouts. </v>
      </c>
      <c r="D127" s="46" t="str">
        <f>_xlfn.XLOOKUP(FME_Ranking2[[#This Row],[FME ID]],FME_Input[FME_ID],FME_Input[EMER_NEED])</f>
        <v>No</v>
      </c>
      <c r="E127" s="121">
        <f>IF(FME_Ranking_Option2!$D127="Yes",100,0)</f>
        <v>0</v>
      </c>
      <c r="F127" s="47" t="str">
        <f>_xlfn.XLOOKUP(FME_Ranking2[[#This Row],[FME ID]],FME_Input[FME_ID],FME_Input[FUND])</f>
        <v>Yes</v>
      </c>
      <c r="G127" s="48">
        <f>IF(FME_Ranking_Option2!$F127="Yes",1,0)</f>
        <v>1</v>
      </c>
      <c r="H127" s="46">
        <f>_xlfn.XLOOKUP(FME_Ranking2[[#This Row],[FME ID]],FME_Input[FME_ID],FME_Input[STRUCT_100])</f>
        <v>1883</v>
      </c>
      <c r="I127" s="65" t="e">
        <f>FME_Ranking2[[#This Row],[Raw Data3]]*H$4</f>
        <v>#REF!</v>
      </c>
      <c r="J127" s="62">
        <f>((FME_Ranking_Option2!$H127)/($H$3))*100</f>
        <v>0.20925268011232745</v>
      </c>
      <c r="K127" s="49" t="e">
        <f>FME_Ranking2[[#This Row],[Norm Data3]]*H$4</f>
        <v>#REF!</v>
      </c>
      <c r="L127" s="50">
        <f>_xlfn.XLOOKUP(FME_Ranking2[[#This Row],[FME ID]],FME_Input[FME_ID],FME_Input[RES_STRUCT100])</f>
        <v>1509</v>
      </c>
      <c r="M127" s="51" t="e">
        <f>FME_Ranking2[[#This Row],[Raw Data4]]*L$4</f>
        <v>#REF!</v>
      </c>
      <c r="N127" s="29">
        <f>((FME_Ranking_Option2!$L127)/($L$3))*100</f>
        <v>0.22559999282385709</v>
      </c>
      <c r="O127" s="52" t="e">
        <f>FME_Ranking2[[#This Row],[Norm Data4]]*L$4</f>
        <v>#REF!</v>
      </c>
      <c r="P127" s="47">
        <f>_xlfn.XLOOKUP(FME_Ranking2[[#This Row],[FME ID]],FME_Input[FME_ID],FME_Input[POP100])</f>
        <v>9371</v>
      </c>
      <c r="Q127" s="48" t="e">
        <f>FME_Ranking_Option2!$P127*P$4</f>
        <v>#REF!</v>
      </c>
      <c r="R127" s="48">
        <f>FME_Ranking_Option2!$P127/($P$3)</f>
        <v>3.439355980500896E-3</v>
      </c>
      <c r="S127" s="48" t="e">
        <f>FME_Ranking_Option2!$R127*P$4</f>
        <v>#REF!</v>
      </c>
      <c r="T127" s="50">
        <f>_xlfn.XLOOKUP(FME_Ranking2[[#This Row],[FME ID]],FME_Input[FME_ID],FME_Input[CRITFAC100])</f>
        <v>64</v>
      </c>
      <c r="U127" s="48" t="e">
        <f>FME_Ranking_Option2!$T127*T$4</f>
        <v>#REF!</v>
      </c>
      <c r="V127" s="48">
        <f>FME_Ranking_Option2!$T127/($T$3)</f>
        <v>9.0255253137780291E-3</v>
      </c>
      <c r="W127" s="48" t="e">
        <f>FME_Ranking_Option2!$V127*T$4</f>
        <v>#REF!</v>
      </c>
      <c r="X127" s="50">
        <f>_xlfn.XLOOKUP(FME_Ranking2[[#This Row],[FME ID]],FME_Input[FME_ID],FME_Input[LWC])</f>
        <v>1</v>
      </c>
      <c r="Y127" s="48" t="e">
        <f>FME_Ranking_Option2!$X127*X$4</f>
        <v>#REF!</v>
      </c>
      <c r="Z127" s="48">
        <f>FME_Ranking_Option2!$X127/($X$3)</f>
        <v>9.1224229155263632E-5</v>
      </c>
      <c r="AA127" s="48" t="e">
        <f>FME_Ranking_Option2!$Z127*X$4</f>
        <v>#REF!</v>
      </c>
      <c r="AB127" s="50">
        <f>_xlfn.XLOOKUP(FME_Ranking2[[#This Row],[FME ID]],FME_Input[FME_ID],FME_Input[ROADCLS])</f>
        <v>1</v>
      </c>
      <c r="AC127" s="48" t="e">
        <f>FME_Ranking_Option2!$AB127*AB$4</f>
        <v>#REF!</v>
      </c>
      <c r="AD127" s="53">
        <f>_xlfn.XLOOKUP(FME_Ranking2[[#This Row],[FME ID]],FME_Input[FME_ID],FME_Input[ROAD_MILES100])</f>
        <v>32.824069976806641</v>
      </c>
      <c r="AE127" s="54" t="e">
        <f>FME_Ranking_Option2!$AD127*AD$4</f>
        <v>#REF!</v>
      </c>
      <c r="AF127" s="55">
        <f>FME_Ranking_Option2!$AD127/($AD$3)</f>
        <v>7.4140655475737058E-4</v>
      </c>
      <c r="AG127" s="55" t="e">
        <f>FME_Ranking_Option2!$AF127*AD$4</f>
        <v>#REF!</v>
      </c>
      <c r="AH127" s="53">
        <f>_xlfn.XLOOKUP(FME_Ranking2[[#This Row],[FME ID]],FME_Input[FME_ID],FME_Input[FARMACRE100])</f>
        <v>73.12799072265625</v>
      </c>
      <c r="AI127" s="54" t="e">
        <f>FME_Ranking_Option2!$AH127*AH$4</f>
        <v>#REF!</v>
      </c>
      <c r="AJ127" s="56">
        <f>FME_Ranking_Option2!$AH127/($AH$3)</f>
        <v>4.2462454983019345E-3</v>
      </c>
      <c r="AK127" s="57" t="e">
        <f>FME_Ranking_Option2!$AJ127*AH$4</f>
        <v>#REF!</v>
      </c>
      <c r="AL127"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27" s="58" t="e">
        <f>_xlfn.RANK.EQ(AL127,$AL$7:$AL$531)+COUNTIF(AL$7:AL127,AL127)-1</f>
        <v>#REF!</v>
      </c>
      <c r="AN127" s="57"/>
      <c r="AO127" s="58" t="e">
        <f>_xlfn.RANK.EQ(AN127,$AN$7:$AN$531)+COUNTIF(AN$7:AN127,AN127)-1</f>
        <v>#N/A</v>
      </c>
      <c r="AP12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27" s="32" t="e">
        <f>FME_Ranking2[[#This Row],[Score Based on Reported Factors]]-FME_Ranking2[[#This Row],[Check]]</f>
        <v>#REF!</v>
      </c>
      <c r="AR127" s="32"/>
      <c r="AT127" s="19"/>
      <c r="AU127" s="19"/>
      <c r="AV127" s="19"/>
      <c r="AW127" s="19"/>
      <c r="AX127" s="19"/>
      <c r="AY127" s="19"/>
      <c r="AZ127" s="19"/>
      <c r="BA127" s="19"/>
      <c r="BB127" s="19"/>
      <c r="BC127" s="19"/>
    </row>
    <row r="128" spans="1:55" ht="12" customHeight="1" x14ac:dyDescent="0.25">
      <c r="A128" s="17" t="s">
        <v>2073</v>
      </c>
      <c r="B128" s="17" t="str">
        <f>_xlfn.XLOOKUP(FME_Ranking2[[#This Row],[FME ID]],FME_Input[FME_ID],FME_Input[FME_NAME])</f>
        <v>Spring Gully Watershed Planning Project- Near-term Planning Project: PA04</v>
      </c>
      <c r="C128" s="17" t="str">
        <f>_xlfn.XLOOKUP(FME_Ranking2[[#This Row],[FME ID]],FME_Input[FME_ID],FME_Input[DESCR])</f>
        <v>Planning-level study. Lowering WSEL in O203-00-00 to around 29 feet MSL. Most benefit when O203-00-00 and Thompson Road Storm drain system upsized, but Thompson road storm drain design.</v>
      </c>
      <c r="D128" s="33" t="str">
        <f>_xlfn.XLOOKUP(FME_Ranking2[[#This Row],[FME ID]],FME_Input[FME_ID],FME_Input[EMER_NEED])</f>
        <v>No</v>
      </c>
      <c r="E128" s="120">
        <f>IF(FME_Ranking_Option2!$D128="Yes",100,0)</f>
        <v>0</v>
      </c>
      <c r="F128" s="34" t="str">
        <f>_xlfn.XLOOKUP(FME_Ranking2[[#This Row],[FME ID]],FME_Input[FME_ID],FME_Input[FUND])</f>
        <v>Yes</v>
      </c>
      <c r="G128" s="35">
        <f>IF(FME_Ranking_Option2!$F128="Yes",1,0)</f>
        <v>1</v>
      </c>
      <c r="H128" s="33">
        <f>_xlfn.XLOOKUP(FME_Ranking2[[#This Row],[FME ID]],FME_Input[FME_ID],FME_Input[STRUCT_100])</f>
        <v>1883</v>
      </c>
      <c r="I128" s="64" t="e">
        <f>FME_Ranking2[[#This Row],[Raw Data3]]*H$4</f>
        <v>#REF!</v>
      </c>
      <c r="J128" s="63">
        <f>((FME_Ranking_Option2!$H128)/($H$3))*100</f>
        <v>0.20925268011232745</v>
      </c>
      <c r="K128" s="36" t="e">
        <f>FME_Ranking2[[#This Row],[Norm Data3]]*H$4</f>
        <v>#REF!</v>
      </c>
      <c r="L128" s="37">
        <f>_xlfn.XLOOKUP(FME_Ranking2[[#This Row],[FME ID]],FME_Input[FME_ID],FME_Input[RES_STRUCT100])</f>
        <v>1509</v>
      </c>
      <c r="M128" s="38" t="e">
        <f>FME_Ranking2[[#This Row],[Raw Data4]]*L$4</f>
        <v>#REF!</v>
      </c>
      <c r="N128" s="28">
        <f>((FME_Ranking_Option2!$L128)/($L$3))*100</f>
        <v>0.22559999282385709</v>
      </c>
      <c r="O128" s="39" t="e">
        <f>FME_Ranking2[[#This Row],[Norm Data4]]*L$4</f>
        <v>#REF!</v>
      </c>
      <c r="P128" s="34">
        <f>_xlfn.XLOOKUP(FME_Ranking2[[#This Row],[FME ID]],FME_Input[FME_ID],FME_Input[POP100])</f>
        <v>9371</v>
      </c>
      <c r="Q128" s="35" t="e">
        <f>FME_Ranking_Option2!$P128*P$4</f>
        <v>#REF!</v>
      </c>
      <c r="R128" s="35">
        <f>FME_Ranking_Option2!$P128/($P$3)</f>
        <v>3.439355980500896E-3</v>
      </c>
      <c r="S128" s="35" t="e">
        <f>FME_Ranking_Option2!$R128*P$4</f>
        <v>#REF!</v>
      </c>
      <c r="T128" s="37">
        <f>_xlfn.XLOOKUP(FME_Ranking2[[#This Row],[FME ID]],FME_Input[FME_ID],FME_Input[CRITFAC100])</f>
        <v>64</v>
      </c>
      <c r="U128" s="35" t="e">
        <f>FME_Ranking_Option2!$T128*T$4</f>
        <v>#REF!</v>
      </c>
      <c r="V128" s="35">
        <f>FME_Ranking_Option2!$T128/($T$3)</f>
        <v>9.0255253137780291E-3</v>
      </c>
      <c r="W128" s="35" t="e">
        <f>FME_Ranking_Option2!$V128*T$4</f>
        <v>#REF!</v>
      </c>
      <c r="X128" s="37">
        <f>_xlfn.XLOOKUP(FME_Ranking2[[#This Row],[FME ID]],FME_Input[FME_ID],FME_Input[LWC])</f>
        <v>1</v>
      </c>
      <c r="Y128" s="35" t="e">
        <f>FME_Ranking_Option2!$X128*X$4</f>
        <v>#REF!</v>
      </c>
      <c r="Z128" s="35">
        <f>FME_Ranking_Option2!$X128/($X$3)</f>
        <v>9.1224229155263632E-5</v>
      </c>
      <c r="AA128" s="35" t="e">
        <f>FME_Ranking_Option2!$Z128*X$4</f>
        <v>#REF!</v>
      </c>
      <c r="AB128" s="37">
        <f>_xlfn.XLOOKUP(FME_Ranking2[[#This Row],[FME ID]],FME_Input[FME_ID],FME_Input[ROADCLS])</f>
        <v>1</v>
      </c>
      <c r="AC128" s="35" t="e">
        <f>FME_Ranking_Option2!$AB128*AB$4</f>
        <v>#REF!</v>
      </c>
      <c r="AD128" s="40">
        <f>_xlfn.XLOOKUP(FME_Ranking2[[#This Row],[FME ID]],FME_Input[FME_ID],FME_Input[ROAD_MILES100])</f>
        <v>32.824069976806641</v>
      </c>
      <c r="AE128" s="41" t="e">
        <f>FME_Ranking_Option2!$AD128*AD$4</f>
        <v>#REF!</v>
      </c>
      <c r="AF128" s="42">
        <f>FME_Ranking_Option2!$AD128/($AD$3)</f>
        <v>7.4140655475737058E-4</v>
      </c>
      <c r="AG128" s="42" t="e">
        <f>FME_Ranking_Option2!$AF128*AD$4</f>
        <v>#REF!</v>
      </c>
      <c r="AH128" s="40">
        <f>_xlfn.XLOOKUP(FME_Ranking2[[#This Row],[FME ID]],FME_Input[FME_ID],FME_Input[FARMACRE100])</f>
        <v>73.12799072265625</v>
      </c>
      <c r="AI128" s="43" t="e">
        <f>FME_Ranking_Option2!$AH128*AH$4</f>
        <v>#REF!</v>
      </c>
      <c r="AJ128" s="41">
        <f>FME_Ranking_Option2!$AH128/($AH$3)</f>
        <v>4.2462454983019345E-3</v>
      </c>
      <c r="AK128" s="44" t="e">
        <f>FME_Ranking_Option2!$AJ128*AH$4</f>
        <v>#REF!</v>
      </c>
      <c r="AL12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28" s="45" t="e">
        <f>_xlfn.RANK.EQ(AL128,$AL$7:$AL$531)+COUNTIF(AL$7:AL128,AL128)-1</f>
        <v>#REF!</v>
      </c>
      <c r="AN128" s="44"/>
      <c r="AO128" s="45" t="e">
        <f>_xlfn.RANK.EQ(AN128,$AN$7:$AN$531)+COUNTIF(AN$7:AN128,AN128)-1</f>
        <v>#N/A</v>
      </c>
      <c r="AP12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28" s="32" t="e">
        <f>FME_Ranking2[[#This Row],[Score Based on Reported Factors]]-FME_Ranking2[[#This Row],[Check]]</f>
        <v>#REF!</v>
      </c>
      <c r="AR128" s="32"/>
    </row>
    <row r="129" spans="1:55" ht="12" customHeight="1" x14ac:dyDescent="0.25">
      <c r="A129" s="16" t="s">
        <v>2076</v>
      </c>
      <c r="B129" s="16" t="str">
        <f>_xlfn.XLOOKUP(FME_Ranking2[[#This Row],[FME ID]],FME_Input[FME_ID],FME_Input[FME_NAME])</f>
        <v>Spring Gully Watershed Planning Project - Near-term planning project: PA05</v>
      </c>
      <c r="C129" s="16" t="str">
        <f>_xlfn.XLOOKUP(FME_Ranking2[[#This Row],[FME ID]],FME_Input[FME_ID],FME_Input[DESCR])</f>
        <v>Planning-level study needed. A stormwater detention basin near confluence of O207-00-00 nd O207-01-00 reuired to lower WSEl . Reduced flow rates only after relief channel in Phase III implemented.</v>
      </c>
      <c r="D129" s="46" t="str">
        <f>_xlfn.XLOOKUP(FME_Ranking2[[#This Row],[FME ID]],FME_Input[FME_ID],FME_Input[EMER_NEED])</f>
        <v>No</v>
      </c>
      <c r="E129" s="121">
        <f>IF(FME_Ranking_Option2!$D129="Yes",100,0)</f>
        <v>0</v>
      </c>
      <c r="F129" s="47" t="str">
        <f>_xlfn.XLOOKUP(FME_Ranking2[[#This Row],[FME ID]],FME_Input[FME_ID],FME_Input[FUND])</f>
        <v>Yes</v>
      </c>
      <c r="G129" s="48">
        <f>IF(FME_Ranking_Option2!$F129="Yes",1,0)</f>
        <v>1</v>
      </c>
      <c r="H129" s="46">
        <f>_xlfn.XLOOKUP(FME_Ranking2[[#This Row],[FME ID]],FME_Input[FME_ID],FME_Input[STRUCT_100])</f>
        <v>1883</v>
      </c>
      <c r="I129" s="65" t="e">
        <f>FME_Ranking2[[#This Row],[Raw Data3]]*H$4</f>
        <v>#REF!</v>
      </c>
      <c r="J129" s="62">
        <f>((FME_Ranking_Option2!$H129)/($H$3))*100</f>
        <v>0.20925268011232745</v>
      </c>
      <c r="K129" s="49" t="e">
        <f>FME_Ranking2[[#This Row],[Norm Data3]]*H$4</f>
        <v>#REF!</v>
      </c>
      <c r="L129" s="50">
        <f>_xlfn.XLOOKUP(FME_Ranking2[[#This Row],[FME ID]],FME_Input[FME_ID],FME_Input[RES_STRUCT100])</f>
        <v>1509</v>
      </c>
      <c r="M129" s="51" t="e">
        <f>FME_Ranking2[[#This Row],[Raw Data4]]*L$4</f>
        <v>#REF!</v>
      </c>
      <c r="N129" s="29">
        <f>((FME_Ranking_Option2!$L129)/($L$3))*100</f>
        <v>0.22559999282385709</v>
      </c>
      <c r="O129" s="52" t="e">
        <f>FME_Ranking2[[#This Row],[Norm Data4]]*L$4</f>
        <v>#REF!</v>
      </c>
      <c r="P129" s="47">
        <f>_xlfn.XLOOKUP(FME_Ranking2[[#This Row],[FME ID]],FME_Input[FME_ID],FME_Input[POP100])</f>
        <v>9371</v>
      </c>
      <c r="Q129" s="48" t="e">
        <f>FME_Ranking_Option2!$P129*P$4</f>
        <v>#REF!</v>
      </c>
      <c r="R129" s="48">
        <f>FME_Ranking_Option2!$P129/($P$3)</f>
        <v>3.439355980500896E-3</v>
      </c>
      <c r="S129" s="48" t="e">
        <f>FME_Ranking_Option2!$R129*P$4</f>
        <v>#REF!</v>
      </c>
      <c r="T129" s="50">
        <f>_xlfn.XLOOKUP(FME_Ranking2[[#This Row],[FME ID]],FME_Input[FME_ID],FME_Input[CRITFAC100])</f>
        <v>64</v>
      </c>
      <c r="U129" s="48" t="e">
        <f>FME_Ranking_Option2!$T129*T$4</f>
        <v>#REF!</v>
      </c>
      <c r="V129" s="48">
        <f>FME_Ranking_Option2!$T129/($T$3)</f>
        <v>9.0255253137780291E-3</v>
      </c>
      <c r="W129" s="48" t="e">
        <f>FME_Ranking_Option2!$V129*T$4</f>
        <v>#REF!</v>
      </c>
      <c r="X129" s="50">
        <f>_xlfn.XLOOKUP(FME_Ranking2[[#This Row],[FME ID]],FME_Input[FME_ID],FME_Input[LWC])</f>
        <v>1</v>
      </c>
      <c r="Y129" s="48" t="e">
        <f>FME_Ranking_Option2!$X129*X$4</f>
        <v>#REF!</v>
      </c>
      <c r="Z129" s="48">
        <f>FME_Ranking_Option2!$X129/($X$3)</f>
        <v>9.1224229155263632E-5</v>
      </c>
      <c r="AA129" s="48" t="e">
        <f>FME_Ranking_Option2!$Z129*X$4</f>
        <v>#REF!</v>
      </c>
      <c r="AB129" s="50">
        <f>_xlfn.XLOOKUP(FME_Ranking2[[#This Row],[FME ID]],FME_Input[FME_ID],FME_Input[ROADCLS])</f>
        <v>1</v>
      </c>
      <c r="AC129" s="48" t="e">
        <f>FME_Ranking_Option2!$AB129*AB$4</f>
        <v>#REF!</v>
      </c>
      <c r="AD129" s="53">
        <f>_xlfn.XLOOKUP(FME_Ranking2[[#This Row],[FME ID]],FME_Input[FME_ID],FME_Input[ROAD_MILES100])</f>
        <v>32.824069976806641</v>
      </c>
      <c r="AE129" s="54" t="e">
        <f>FME_Ranking_Option2!$AD129*AD$4</f>
        <v>#REF!</v>
      </c>
      <c r="AF129" s="55">
        <f>FME_Ranking_Option2!$AD129/($AD$3)</f>
        <v>7.4140655475737058E-4</v>
      </c>
      <c r="AG129" s="55" t="e">
        <f>FME_Ranking_Option2!$AF129*AD$4</f>
        <v>#REF!</v>
      </c>
      <c r="AH129" s="53">
        <f>_xlfn.XLOOKUP(FME_Ranking2[[#This Row],[FME ID]],FME_Input[FME_ID],FME_Input[FARMACRE100])</f>
        <v>73.12799072265625</v>
      </c>
      <c r="AI129" s="54" t="e">
        <f>FME_Ranking_Option2!$AH129*AH$4</f>
        <v>#REF!</v>
      </c>
      <c r="AJ129" s="56">
        <f>FME_Ranking_Option2!$AH129/($AH$3)</f>
        <v>4.2462454983019345E-3</v>
      </c>
      <c r="AK129" s="57" t="e">
        <f>FME_Ranking_Option2!$AJ129*AH$4</f>
        <v>#REF!</v>
      </c>
      <c r="AL12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29" s="58" t="e">
        <f>_xlfn.RANK.EQ(AL129,$AL$7:$AL$531)+COUNTIF(AL$7:AL129,AL129)-1</f>
        <v>#REF!</v>
      </c>
      <c r="AN129" s="57"/>
      <c r="AO129" s="58" t="e">
        <f>_xlfn.RANK.EQ(AN129,$AN$7:$AN$531)+COUNTIF(AN$7:AN129,AN129)-1</f>
        <v>#N/A</v>
      </c>
      <c r="AP12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29" s="32" t="e">
        <f>FME_Ranking2[[#This Row],[Score Based on Reported Factors]]-FME_Ranking2[[#This Row],[Check]]</f>
        <v>#REF!</v>
      </c>
      <c r="AR129" s="32"/>
      <c r="AT129" s="19"/>
      <c r="AU129" s="19"/>
      <c r="AV129" s="19"/>
      <c r="AW129" s="19"/>
      <c r="AX129" s="19"/>
      <c r="AY129" s="19"/>
      <c r="AZ129" s="19"/>
      <c r="BA129" s="19"/>
      <c r="BB129" s="19"/>
      <c r="BC129" s="19"/>
    </row>
    <row r="130" spans="1:55" ht="12" customHeight="1" x14ac:dyDescent="0.25">
      <c r="A130" s="17" t="s">
        <v>1334</v>
      </c>
      <c r="B130" s="17" t="str">
        <f>_xlfn.XLOOKUP(FME_Ranking2[[#This Row],[FME ID]],FME_Input[FME_ID],FME_Input[FME_NAME])</f>
        <v>Update Liberty County FIRMs to Include Bench Marks</v>
      </c>
      <c r="C130" s="17" t="str">
        <f>_xlfn.XLOOKUP(FME_Ranking2[[#This Row],[FME ID]],FME_Input[FME_ID],FME_Input[DESCR])</f>
        <v>Add bench marks to updated Flood Insurance Rate Maps.</v>
      </c>
      <c r="D130" s="33" t="str">
        <f>_xlfn.XLOOKUP(FME_Ranking2[[#This Row],[FME ID]],FME_Input[FME_ID],FME_Input[EMER_NEED])</f>
        <v>No</v>
      </c>
      <c r="E130" s="120">
        <f>IF(FME_Ranking_Option2!$D130="Yes",100,0)</f>
        <v>0</v>
      </c>
      <c r="F130" s="34" t="str">
        <f>_xlfn.XLOOKUP(FME_Ranking2[[#This Row],[FME ID]],FME_Input[FME_ID],FME_Input[FUND])</f>
        <v>Yes</v>
      </c>
      <c r="G130" s="35">
        <f>IF(FME_Ranking_Option2!$F130="Yes",1,0)</f>
        <v>1</v>
      </c>
      <c r="H130" s="33">
        <f>_xlfn.XLOOKUP(FME_Ranking2[[#This Row],[FME ID]],FME_Input[FME_ID],FME_Input[STRUCT_100])</f>
        <v>3618</v>
      </c>
      <c r="I130" s="64" t="e">
        <f>FME_Ranking2[[#This Row],[Raw Data3]]*H$4</f>
        <v>#REF!</v>
      </c>
      <c r="J130" s="63">
        <f>((FME_Ranking_Option2!$H130)/($H$3))*100</f>
        <v>0.40205852185151392</v>
      </c>
      <c r="K130" s="36" t="e">
        <f>FME_Ranking2[[#This Row],[Norm Data3]]*H$4</f>
        <v>#REF!</v>
      </c>
      <c r="L130" s="37">
        <f>_xlfn.XLOOKUP(FME_Ranking2[[#This Row],[FME ID]],FME_Input[FME_ID],FME_Input[RES_STRUCT100])</f>
        <v>2271</v>
      </c>
      <c r="M130" s="38" t="e">
        <f>FME_Ranking2[[#This Row],[Raw Data4]]*L$4</f>
        <v>#REF!</v>
      </c>
      <c r="N130" s="28">
        <f>((FME_Ranking_Option2!$L130)/($L$3))*100</f>
        <v>0.3395212615659241</v>
      </c>
      <c r="O130" s="39" t="e">
        <f>FME_Ranking2[[#This Row],[Norm Data4]]*L$4</f>
        <v>#REF!</v>
      </c>
      <c r="P130" s="34">
        <f>_xlfn.XLOOKUP(FME_Ranking2[[#This Row],[FME ID]],FME_Input[FME_ID],FME_Input[POP100])</f>
        <v>4854</v>
      </c>
      <c r="Q130" s="35" t="e">
        <f>FME_Ranking_Option2!$P130*P$4</f>
        <v>#REF!</v>
      </c>
      <c r="R130" s="35">
        <f>FME_Ranking_Option2!$P130/($P$3)</f>
        <v>1.7815210681198751E-3</v>
      </c>
      <c r="S130" s="35" t="e">
        <f>FME_Ranking_Option2!$R130*P$4</f>
        <v>#REF!</v>
      </c>
      <c r="T130" s="37">
        <f>_xlfn.XLOOKUP(FME_Ranking2[[#This Row],[FME ID]],FME_Input[FME_ID],FME_Input[CRITFAC100])</f>
        <v>8</v>
      </c>
      <c r="U130" s="35" t="e">
        <f>FME_Ranking_Option2!$T130*T$4</f>
        <v>#REF!</v>
      </c>
      <c r="V130" s="35">
        <f>FME_Ranking_Option2!$T130/($T$3)</f>
        <v>1.1281906642222536E-3</v>
      </c>
      <c r="W130" s="35" t="e">
        <f>FME_Ranking_Option2!$V130*T$4</f>
        <v>#REF!</v>
      </c>
      <c r="X130" s="37">
        <f>_xlfn.XLOOKUP(FME_Ranking2[[#This Row],[FME ID]],FME_Input[FME_ID],FME_Input[LWC])</f>
        <v>7</v>
      </c>
      <c r="Y130" s="35" t="e">
        <f>FME_Ranking_Option2!$X130*X$4</f>
        <v>#REF!</v>
      </c>
      <c r="Z130" s="35">
        <f>FME_Ranking_Option2!$X130/($X$3)</f>
        <v>6.3856960408684551E-4</v>
      </c>
      <c r="AA130" s="35" t="e">
        <f>FME_Ranking_Option2!$Z130*X$4</f>
        <v>#REF!</v>
      </c>
      <c r="AB130" s="37">
        <f>_xlfn.XLOOKUP(FME_Ranking2[[#This Row],[FME ID]],FME_Input[FME_ID],FME_Input[ROADCLS])</f>
        <v>7</v>
      </c>
      <c r="AC130" s="35" t="e">
        <f>FME_Ranking_Option2!$AB130*AB$4</f>
        <v>#REF!</v>
      </c>
      <c r="AD130" s="40">
        <f>_xlfn.XLOOKUP(FME_Ranking2[[#This Row],[FME ID]],FME_Input[FME_ID],FME_Input[ROAD_MILES100])</f>
        <v>144.16850280761719</v>
      </c>
      <c r="AE130" s="41" t="e">
        <f>FME_Ranking_Option2!$AD130*AD$4</f>
        <v>#REF!</v>
      </c>
      <c r="AF130" s="42">
        <f>FME_Ranking_Option2!$AD130/($AD$3)</f>
        <v>3.256374759335148E-3</v>
      </c>
      <c r="AG130" s="42" t="e">
        <f>FME_Ranking_Option2!$AF130*AD$4</f>
        <v>#REF!</v>
      </c>
      <c r="AH130" s="40">
        <f>_xlfn.XLOOKUP(FME_Ranking2[[#This Row],[FME ID]],FME_Input[FME_ID],FME_Input[FARMACRE100])</f>
        <v>1379.477294921875</v>
      </c>
      <c r="AI130" s="43" t="e">
        <f>FME_Ranking_Option2!$AH130*AH$4</f>
        <v>#REF!</v>
      </c>
      <c r="AJ130" s="41">
        <f>FME_Ranking_Option2!$AH130/($AH$3)</f>
        <v>8.0100645398383158E-2</v>
      </c>
      <c r="AK130" s="44" t="e">
        <f>FME_Ranking_Option2!$AJ130*AH$4</f>
        <v>#REF!</v>
      </c>
      <c r="AL13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30" s="45" t="e">
        <f>_xlfn.RANK.EQ(AL130,$AL$7:$AL$531)+COUNTIF(AL$7:AL130,AL130)-1</f>
        <v>#REF!</v>
      </c>
      <c r="AN130" s="44"/>
      <c r="AO130" s="45" t="e">
        <f>_xlfn.RANK.EQ(AN130,$AN$7:$AN$531)+COUNTIF(AN$7:AN130,AN130)-1</f>
        <v>#N/A</v>
      </c>
      <c r="AP13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30" s="32" t="e">
        <f>FME_Ranking2[[#This Row],[Score Based on Reported Factors]]-FME_Ranking2[[#This Row],[Check]]</f>
        <v>#REF!</v>
      </c>
      <c r="AR130" s="32"/>
    </row>
    <row r="131" spans="1:55" ht="12" customHeight="1" x14ac:dyDescent="0.25">
      <c r="A131" s="16" t="s">
        <v>1337</v>
      </c>
      <c r="B131" s="16" t="str">
        <f>_xlfn.XLOOKUP(FME_Ranking2[[#This Row],[FME ID]],FME_Input[FME_ID],FME_Input[FME_NAME])</f>
        <v>Carpenters Planing Study N110-00-00 Diversion to P103-00/P103-03</v>
      </c>
      <c r="C131" s="16" t="str">
        <f>_xlfn.XLOOKUP(FME_Ranking2[[#This Row],[FME ID]],FME_Input[FME_ID],FME_Input[DESCR])</f>
        <v>Feasibility study needed to evaluate a designed interconnection to lower Greens Bayou.</v>
      </c>
      <c r="D131" s="46" t="str">
        <f>_xlfn.XLOOKUP(FME_Ranking2[[#This Row],[FME ID]],FME_Input[FME_ID],FME_Input[EMER_NEED])</f>
        <v>No</v>
      </c>
      <c r="E131" s="121">
        <f>IF(FME_Ranking_Option2!$D131="Yes",100,0)</f>
        <v>0</v>
      </c>
      <c r="F131" s="47" t="str">
        <f>_xlfn.XLOOKUP(FME_Ranking2[[#This Row],[FME ID]],FME_Input[FME_ID],FME_Input[FUND])</f>
        <v>Yes</v>
      </c>
      <c r="G131" s="48">
        <f>IF(FME_Ranking_Option2!$F131="Yes",1,0)</f>
        <v>1</v>
      </c>
      <c r="H131" s="46">
        <f>_xlfn.XLOOKUP(FME_Ranking2[[#This Row],[FME ID]],FME_Input[FME_ID],FME_Input[STRUCT_100])</f>
        <v>812</v>
      </c>
      <c r="I131" s="65" t="e">
        <f>FME_Ranking2[[#This Row],[Raw Data3]]*H$4</f>
        <v>#REF!</v>
      </c>
      <c r="J131" s="62">
        <f>((FME_Ranking_Option2!$H131)/($H$3))*100</f>
        <v>9.023535647966538E-2</v>
      </c>
      <c r="K131" s="49" t="e">
        <f>FME_Ranking2[[#This Row],[Norm Data3]]*H$4</f>
        <v>#REF!</v>
      </c>
      <c r="L131" s="50">
        <f>_xlfn.XLOOKUP(FME_Ranking2[[#This Row],[FME ID]],FME_Input[FME_ID],FME_Input[RES_STRUCT100])</f>
        <v>489</v>
      </c>
      <c r="M131" s="51" t="e">
        <f>FME_Ranking2[[#This Row],[Raw Data4]]*L$4</f>
        <v>#REF!</v>
      </c>
      <c r="N131" s="29">
        <f>((FME_Ranking_Option2!$L131)/($L$3))*100</f>
        <v>7.310695592502725E-2</v>
      </c>
      <c r="O131" s="52" t="e">
        <f>FME_Ranking2[[#This Row],[Norm Data4]]*L$4</f>
        <v>#REF!</v>
      </c>
      <c r="P131" s="47">
        <f>_xlfn.XLOOKUP(FME_Ranking2[[#This Row],[FME ID]],FME_Input[FME_ID],FME_Input[POP100])</f>
        <v>4689</v>
      </c>
      <c r="Q131" s="48" t="e">
        <f>FME_Ranking_Option2!$P131*P$4</f>
        <v>#REF!</v>
      </c>
      <c r="R131" s="48">
        <f>FME_Ranking_Option2!$P131/($P$3)</f>
        <v>1.7209625645682105E-3</v>
      </c>
      <c r="S131" s="48" t="e">
        <f>FME_Ranking_Option2!$R131*P$4</f>
        <v>#REF!</v>
      </c>
      <c r="T131" s="50">
        <f>_xlfn.XLOOKUP(FME_Ranking2[[#This Row],[FME ID]],FME_Input[FME_ID],FME_Input[CRITFAC100])</f>
        <v>24</v>
      </c>
      <c r="U131" s="48" t="e">
        <f>FME_Ranking_Option2!$T131*T$4</f>
        <v>#REF!</v>
      </c>
      <c r="V131" s="48">
        <f>FME_Ranking_Option2!$T131/($T$3)</f>
        <v>3.3845719926667607E-3</v>
      </c>
      <c r="W131" s="48" t="e">
        <f>FME_Ranking_Option2!$V131*T$4</f>
        <v>#REF!</v>
      </c>
      <c r="X131" s="50">
        <f>_xlfn.XLOOKUP(FME_Ranking2[[#This Row],[FME ID]],FME_Input[FME_ID],FME_Input[LWC])</f>
        <v>2</v>
      </c>
      <c r="Y131" s="48" t="e">
        <f>FME_Ranking_Option2!$X131*X$4</f>
        <v>#REF!</v>
      </c>
      <c r="Z131" s="48">
        <f>FME_Ranking_Option2!$X131/($X$3)</f>
        <v>1.8244845831052726E-4</v>
      </c>
      <c r="AA131" s="48" t="e">
        <f>FME_Ranking_Option2!$Z131*X$4</f>
        <v>#REF!</v>
      </c>
      <c r="AB131" s="50">
        <f>_xlfn.XLOOKUP(FME_Ranking2[[#This Row],[FME ID]],FME_Input[FME_ID],FME_Input[ROADCLS])</f>
        <v>2</v>
      </c>
      <c r="AC131" s="48" t="e">
        <f>FME_Ranking_Option2!$AB131*AB$4</f>
        <v>#REF!</v>
      </c>
      <c r="AD131" s="53">
        <f>_xlfn.XLOOKUP(FME_Ranking2[[#This Row],[FME ID]],FME_Input[FME_ID],FME_Input[ROAD_MILES100])</f>
        <v>18.82630729675293</v>
      </c>
      <c r="AE131" s="54" t="e">
        <f>FME_Ranking_Option2!$AD131*AD$4</f>
        <v>#REF!</v>
      </c>
      <c r="AF131" s="55">
        <f>FME_Ranking_Option2!$AD131/($AD$3)</f>
        <v>4.2523512902427297E-4</v>
      </c>
      <c r="AG131" s="55" t="e">
        <f>FME_Ranking_Option2!$AF131*AD$4</f>
        <v>#REF!</v>
      </c>
      <c r="AH131" s="53">
        <f>_xlfn.XLOOKUP(FME_Ranking2[[#This Row],[FME ID]],FME_Input[FME_ID],FME_Input[FARMACRE100])</f>
        <v>96.262977600097656</v>
      </c>
      <c r="AI131" s="54" t="e">
        <f>FME_Ranking_Option2!$AH131*AH$4</f>
        <v>#REF!</v>
      </c>
      <c r="AJ131" s="56">
        <f>FME_Ranking_Option2!$AH131/($AH$3)</f>
        <v>5.5896002508505306E-3</v>
      </c>
      <c r="AK131" s="57" t="e">
        <f>FME_Ranking_Option2!$AJ131*AH$4</f>
        <v>#REF!</v>
      </c>
      <c r="AL13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31" s="58" t="e">
        <f>_xlfn.RANK.EQ(AL131,$AL$7:$AL$531)+COUNTIF(AL$7:AL131,AL131)-1</f>
        <v>#REF!</v>
      </c>
      <c r="AN131" s="57"/>
      <c r="AO131" s="58" t="e">
        <f>_xlfn.RANK.EQ(AN131,$AN$7:$AN$531)+COUNTIF(AN$7:AN131,AN131)-1</f>
        <v>#N/A</v>
      </c>
      <c r="AP13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31" s="32" t="e">
        <f>FME_Ranking2[[#This Row],[Score Based on Reported Factors]]-FME_Ranking2[[#This Row],[Check]]</f>
        <v>#REF!</v>
      </c>
      <c r="AR131" s="32"/>
      <c r="AT131" s="19"/>
      <c r="AU131" s="19"/>
      <c r="AV131" s="19"/>
      <c r="AW131" s="19"/>
      <c r="AX131" s="19"/>
      <c r="AY131" s="19"/>
      <c r="AZ131" s="19"/>
      <c r="BA131" s="19"/>
      <c r="BB131" s="19"/>
      <c r="BC131" s="19"/>
    </row>
    <row r="132" spans="1:55" ht="12" customHeight="1" x14ac:dyDescent="0.25">
      <c r="A132" s="17" t="s">
        <v>1344</v>
      </c>
      <c r="B132" s="17" t="str">
        <f>_xlfn.XLOOKUP(FME_Ranking2[[#This Row],[FME ID]],FME_Input[FME_ID],FME_Input[FME_NAME])</f>
        <v>Regional Implementation of Large Diameter Deep Tunnel Systems for Storm Water Management</v>
      </c>
      <c r="C132" s="17" t="str">
        <f>_xlfn.XLOOKUP(FME_Ranking2[[#This Row],[FME ID]],FME_Input[FME_ID],FME_Input[DESCR])</f>
        <v>Further study of regional Implementation of Large Diameter Deep Tunnel Systems for Storm Water Management.</v>
      </c>
      <c r="D132" s="33" t="str">
        <f>_xlfn.XLOOKUP(FME_Ranking2[[#This Row],[FME ID]],FME_Input[FME_ID],FME_Input[EMER_NEED])</f>
        <v>No</v>
      </c>
      <c r="E132" s="120">
        <f>IF(FME_Ranking_Option2!$D132="Yes",100,0)</f>
        <v>0</v>
      </c>
      <c r="F132" s="34" t="str">
        <f>_xlfn.XLOOKUP(FME_Ranking2[[#This Row],[FME ID]],FME_Input[FME_ID],FME_Input[FUND])</f>
        <v>Yes</v>
      </c>
      <c r="G132" s="35">
        <f>IF(FME_Ranking_Option2!$F132="Yes",1,0)</f>
        <v>1</v>
      </c>
      <c r="H132" s="33">
        <f>_xlfn.XLOOKUP(FME_Ranking2[[#This Row],[FME ID]],FME_Input[FME_ID],FME_Input[STRUCT_100])</f>
        <v>143642</v>
      </c>
      <c r="I132" s="64" t="e">
        <f>FME_Ranking2[[#This Row],[Raw Data3]]*H$4</f>
        <v>#REF!</v>
      </c>
      <c r="J132" s="63">
        <f>((FME_Ranking_Option2!$H132)/($H$3))*100</f>
        <v>15.96254565942376</v>
      </c>
      <c r="K132" s="36" t="e">
        <f>FME_Ranking2[[#This Row],[Norm Data3]]*H$4</f>
        <v>#REF!</v>
      </c>
      <c r="L132" s="37">
        <f>_xlfn.XLOOKUP(FME_Ranking2[[#This Row],[FME ID]],FME_Input[FME_ID],FME_Input[RES_STRUCT100])</f>
        <v>120807</v>
      </c>
      <c r="M132" s="38" t="e">
        <f>FME_Ranking2[[#This Row],[Raw Data4]]*L$4</f>
        <v>#REF!</v>
      </c>
      <c r="N132" s="28">
        <f>((FME_Ranking_Option2!$L132)/($L$3))*100</f>
        <v>18.061006184938172</v>
      </c>
      <c r="O132" s="39" t="e">
        <f>FME_Ranking2[[#This Row],[Norm Data4]]*L$4</f>
        <v>#REF!</v>
      </c>
      <c r="P132" s="34">
        <f>_xlfn.XLOOKUP(FME_Ranking2[[#This Row],[FME ID]],FME_Input[FME_ID],FME_Input[POP100])</f>
        <v>976798</v>
      </c>
      <c r="Q132" s="35" t="e">
        <f>FME_Ranking_Option2!$P132*P$4</f>
        <v>#REF!</v>
      </c>
      <c r="R132" s="35">
        <f>FME_Ranking_Option2!$P132/($P$3)</f>
        <v>0.3585056069833864</v>
      </c>
      <c r="S132" s="35" t="e">
        <f>FME_Ranking_Option2!$R132*P$4</f>
        <v>#REF!</v>
      </c>
      <c r="T132" s="37">
        <f>_xlfn.XLOOKUP(FME_Ranking2[[#This Row],[FME ID]],FME_Input[FME_ID],FME_Input[CRITFAC100])</f>
        <v>2332</v>
      </c>
      <c r="U132" s="35" t="e">
        <f>FME_Ranking_Option2!$T132*T$4</f>
        <v>#REF!</v>
      </c>
      <c r="V132" s="35">
        <f>FME_Ranking_Option2!$T132/($T$3)</f>
        <v>0.32886757862078692</v>
      </c>
      <c r="W132" s="35" t="e">
        <f>FME_Ranking_Option2!$V132*T$4</f>
        <v>#REF!</v>
      </c>
      <c r="X132" s="37">
        <f>_xlfn.XLOOKUP(FME_Ranking2[[#This Row],[FME ID]],FME_Input[FME_ID],FME_Input[LWC])</f>
        <v>89</v>
      </c>
      <c r="Y132" s="35" t="e">
        <f>FME_Ranking_Option2!$X132*X$4</f>
        <v>#REF!</v>
      </c>
      <c r="Z132" s="35">
        <f>FME_Ranking_Option2!$X132/($X$3)</f>
        <v>8.1189563948184645E-3</v>
      </c>
      <c r="AA132" s="35" t="e">
        <f>FME_Ranking_Option2!$Z132*X$4</f>
        <v>#REF!</v>
      </c>
      <c r="AB132" s="37">
        <f>_xlfn.XLOOKUP(FME_Ranking2[[#This Row],[FME ID]],FME_Input[FME_ID],FME_Input[ROADCLS])</f>
        <v>89</v>
      </c>
      <c r="AC132" s="35" t="e">
        <f>FME_Ranking_Option2!$AB132*AB$4</f>
        <v>#REF!</v>
      </c>
      <c r="AD132" s="40">
        <f>_xlfn.XLOOKUP(FME_Ranking2[[#This Row],[FME ID]],FME_Input[FME_ID],FME_Input[ROAD_MILES100])</f>
        <v>2407.733642578125</v>
      </c>
      <c r="AE132" s="41" t="e">
        <f>FME_Ranking_Option2!$AD132*AD$4</f>
        <v>#REF!</v>
      </c>
      <c r="AF132" s="42">
        <f>FME_Ranking_Option2!$AD132/($AD$3)</f>
        <v>5.4384160951966451E-2</v>
      </c>
      <c r="AG132" s="42" t="e">
        <f>FME_Ranking_Option2!$AF132*AD$4</f>
        <v>#REF!</v>
      </c>
      <c r="AH132" s="40">
        <f>_xlfn.XLOOKUP(FME_Ranking2[[#This Row],[FME ID]],FME_Input[FME_ID],FME_Input[FARMACRE100])</f>
        <v>5993.46923828125</v>
      </c>
      <c r="AI132" s="43" t="e">
        <f>FME_Ranking_Option2!$AH132*AH$4</f>
        <v>#REF!</v>
      </c>
      <c r="AJ132" s="41">
        <f>FME_Ranking_Option2!$AH132/($AH$3)</f>
        <v>0.34801642327057858</v>
      </c>
      <c r="AK132" s="44" t="e">
        <f>FME_Ranking_Option2!$AJ132*AH$4</f>
        <v>#REF!</v>
      </c>
      <c r="AL132"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32" s="45" t="e">
        <f>_xlfn.RANK.EQ(AL132,$AL$7:$AL$531)+COUNTIF(AL$7:AL132,AL132)-1</f>
        <v>#REF!</v>
      </c>
      <c r="AN132" s="44"/>
      <c r="AO132" s="45" t="e">
        <f>_xlfn.RANK.EQ(AN132,$AN$7:$AN$531)+COUNTIF(AN$7:AN132,AN132)-1</f>
        <v>#N/A</v>
      </c>
      <c r="AP13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32" s="32" t="e">
        <f>FME_Ranking2[[#This Row],[Score Based on Reported Factors]]-FME_Ranking2[[#This Row],[Check]]</f>
        <v>#REF!</v>
      </c>
      <c r="AR132" s="32"/>
    </row>
    <row r="133" spans="1:55" ht="12" customHeight="1" x14ac:dyDescent="0.25">
      <c r="A133" s="16" t="s">
        <v>2270</v>
      </c>
      <c r="B133" s="16" t="str">
        <f>_xlfn.XLOOKUP(FME_Ranking2[[#This Row],[FME ID]],FME_Input[FME_ID],FME_Input[FME_NAME])</f>
        <v>Lower Greens Feasibility Study</v>
      </c>
      <c r="C133" s="16" t="str">
        <f>_xlfn.XLOOKUP(FME_Ranking2[[#This Row],[FME ID]],FME_Input[FME_ID],FME_Input[DESCR])</f>
        <v>Feasibility study will identify the existing causes of flooding and solutions to reduce the risk of flooding in the lower stretch of Greens Bayou. Potential solutions channel conveyance improvements, detention, or bridge adjustments or replacements.</v>
      </c>
      <c r="D133" s="46" t="str">
        <f>_xlfn.XLOOKUP(FME_Ranking2[[#This Row],[FME ID]],FME_Input[FME_ID],FME_Input[EMER_NEED])</f>
        <v>No</v>
      </c>
      <c r="E133" s="121">
        <f>IF(FME_Ranking_Option2!$D133="Yes",100,0)</f>
        <v>0</v>
      </c>
      <c r="F133" s="47" t="str">
        <f>_xlfn.XLOOKUP(FME_Ranking2[[#This Row],[FME ID]],FME_Input[FME_ID],FME_Input[FUND])</f>
        <v>Yes</v>
      </c>
      <c r="G133" s="48">
        <f>IF(FME_Ranking_Option2!$F133="Yes",1,0)</f>
        <v>1</v>
      </c>
      <c r="H133" s="46">
        <f>_xlfn.XLOOKUP(FME_Ranking2[[#This Row],[FME ID]],FME_Input[FME_ID],FME_Input[STRUCT_100])</f>
        <v>5930</v>
      </c>
      <c r="I133" s="65" t="e">
        <f>FME_Ranking2[[#This Row],[Raw Data3]]*H$4</f>
        <v>#REF!</v>
      </c>
      <c r="J133" s="62">
        <f>((FME_Ranking_Option2!$H133)/($H$3))*100</f>
        <v>0.65898480778868929</v>
      </c>
      <c r="K133" s="49" t="e">
        <f>FME_Ranking2[[#This Row],[Norm Data3]]*H$4</f>
        <v>#REF!</v>
      </c>
      <c r="L133" s="50">
        <f>_xlfn.XLOOKUP(FME_Ranking2[[#This Row],[FME ID]],FME_Input[FME_ID],FME_Input[RES_STRUCT100])</f>
        <v>5094</v>
      </c>
      <c r="M133" s="51" t="e">
        <f>FME_Ranking2[[#This Row],[Raw Data4]]*L$4</f>
        <v>#REF!</v>
      </c>
      <c r="N133" s="29">
        <f>((FME_Ranking_Option2!$L133)/($L$3))*100</f>
        <v>0.76156816663003846</v>
      </c>
      <c r="O133" s="52" t="e">
        <f>FME_Ranking2[[#This Row],[Norm Data4]]*L$4</f>
        <v>#REF!</v>
      </c>
      <c r="P133" s="47">
        <f>_xlfn.XLOOKUP(FME_Ranking2[[#This Row],[FME ID]],FME_Input[FME_ID],FME_Input[POP100])</f>
        <v>21011</v>
      </c>
      <c r="Q133" s="48" t="e">
        <f>FME_Ranking_Option2!$P133*P$4</f>
        <v>#REF!</v>
      </c>
      <c r="R133" s="48">
        <f>FME_Ranking_Option2!$P133/($P$3)</f>
        <v>7.7114831401455903E-3</v>
      </c>
      <c r="S133" s="48" t="e">
        <f>FME_Ranking_Option2!$R133*P$4</f>
        <v>#REF!</v>
      </c>
      <c r="T133" s="50">
        <f>_xlfn.XLOOKUP(FME_Ranking2[[#This Row],[FME ID]],FME_Input[FME_ID],FME_Input[CRITFAC100])</f>
        <v>58</v>
      </c>
      <c r="U133" s="48" t="e">
        <f>FME_Ranking_Option2!$T133*T$4</f>
        <v>#REF!</v>
      </c>
      <c r="V133" s="48">
        <f>FME_Ranking_Option2!$T133/($T$3)</f>
        <v>8.1793823156113381E-3</v>
      </c>
      <c r="W133" s="48" t="e">
        <f>FME_Ranking_Option2!$V133*T$4</f>
        <v>#REF!</v>
      </c>
      <c r="X133" s="50">
        <f>_xlfn.XLOOKUP(FME_Ranking2[[#This Row],[FME ID]],FME_Input[FME_ID],FME_Input[LWC])</f>
        <v>3</v>
      </c>
      <c r="Y133" s="48" t="e">
        <f>FME_Ranking_Option2!$X133*X$4</f>
        <v>#REF!</v>
      </c>
      <c r="Z133" s="48">
        <f>FME_Ranking_Option2!$X133/($X$3)</f>
        <v>2.7367268746579092E-4</v>
      </c>
      <c r="AA133" s="48" t="e">
        <f>FME_Ranking_Option2!$Z133*X$4</f>
        <v>#REF!</v>
      </c>
      <c r="AB133" s="50">
        <f>_xlfn.XLOOKUP(FME_Ranking2[[#This Row],[FME ID]],FME_Input[FME_ID],FME_Input[ROADCLS])</f>
        <v>3</v>
      </c>
      <c r="AC133" s="48" t="e">
        <f>FME_Ranking_Option2!$AB133*AB$4</f>
        <v>#REF!</v>
      </c>
      <c r="AD133" s="53">
        <f>_xlfn.XLOOKUP(FME_Ranking2[[#This Row],[FME ID]],FME_Input[FME_ID],FME_Input[ROAD_MILES100])</f>
        <v>68.033332824707031</v>
      </c>
      <c r="AE133" s="54" t="e">
        <f>FME_Ranking_Option2!$AD133*AD$4</f>
        <v>#REF!</v>
      </c>
      <c r="AF133" s="55">
        <f>FME_Ranking_Option2!$AD133/($AD$3)</f>
        <v>1.536688135684226E-3</v>
      </c>
      <c r="AG133" s="55" t="e">
        <f>FME_Ranking_Option2!$AF133*AD$4</f>
        <v>#REF!</v>
      </c>
      <c r="AH133" s="53">
        <f>_xlfn.XLOOKUP(FME_Ranking2[[#This Row],[FME ID]],FME_Input[FME_ID],FME_Input[FARMACRE100])</f>
        <v>2.3569750785827641</v>
      </c>
      <c r="AI133" s="54" t="e">
        <f>FME_Ranking_Option2!$AH133*AH$4</f>
        <v>#REF!</v>
      </c>
      <c r="AJ133" s="56">
        <f>FME_Ranking_Option2!$AH133/($AH$3)</f>
        <v>1.368599727428471E-4</v>
      </c>
      <c r="AK133" s="57" t="e">
        <f>FME_Ranking_Option2!$AJ133*AH$4</f>
        <v>#REF!</v>
      </c>
      <c r="AL133"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33" s="58" t="e">
        <f>_xlfn.RANK.EQ(AL133,$AL$7:$AL$531)+COUNTIF(AL$7:AL133,AL133)-1</f>
        <v>#REF!</v>
      </c>
      <c r="AN133" s="57"/>
      <c r="AO133" s="58" t="e">
        <f>_xlfn.RANK.EQ(AN133,$AN$7:$AN$531)+COUNTIF(AN$7:AN133,AN133)-1</f>
        <v>#N/A</v>
      </c>
      <c r="AP13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33" s="32" t="e">
        <f>FME_Ranking2[[#This Row],[Score Based on Reported Factors]]-FME_Ranking2[[#This Row],[Check]]</f>
        <v>#REF!</v>
      </c>
      <c r="AR133" s="32"/>
      <c r="AT133" s="19"/>
      <c r="AU133" s="19"/>
      <c r="AV133" s="19"/>
      <c r="AW133" s="19"/>
      <c r="AX133" s="19"/>
      <c r="AY133" s="19"/>
      <c r="AZ133" s="19"/>
      <c r="BA133" s="19"/>
      <c r="BB133" s="19"/>
      <c r="BC133" s="19"/>
    </row>
    <row r="134" spans="1:55" ht="12" customHeight="1" x14ac:dyDescent="0.25">
      <c r="A134" s="17" t="s">
        <v>1351</v>
      </c>
      <c r="B134" s="17" t="str">
        <f>_xlfn.XLOOKUP(FME_Ranking2[[#This Row],[FME ID]],FME_Input[FME_ID],FME_Input[FME_NAME])</f>
        <v>Addicks Reservoir Watershed Study</v>
      </c>
      <c r="C134" s="17" t="str">
        <f>_xlfn.XLOOKUP(FME_Ranking2[[#This Row],[FME ID]],FME_Input[FME_ID],FME_Input[DESCR])</f>
        <v>Watershed wide study using latest data, including MAAPnext models and Atlas 14 rainfall. Study to identify flooding issues within watershed, identify projects to reduce flooding, and provide cost estimates and benefit and cost metrics for each project.</v>
      </c>
      <c r="D134" s="33" t="str">
        <f>_xlfn.XLOOKUP(FME_Ranking2[[#This Row],[FME ID]],FME_Input[FME_ID],FME_Input[EMER_NEED])</f>
        <v>Yes</v>
      </c>
      <c r="E134" s="120">
        <f>IF(FME_Ranking_Option2!$D134="Yes",100,0)</f>
        <v>100</v>
      </c>
      <c r="F134" s="34" t="str">
        <f>_xlfn.XLOOKUP(FME_Ranking2[[#This Row],[FME ID]],FME_Input[FME_ID],FME_Input[FUND])</f>
        <v>Yes</v>
      </c>
      <c r="G134" s="35">
        <f>IF(FME_Ranking_Option2!$F134="Yes",1,0)</f>
        <v>1</v>
      </c>
      <c r="H134" s="33">
        <f>_xlfn.XLOOKUP(FME_Ranking2[[#This Row],[FME ID]],FME_Input[FME_ID],FME_Input[STRUCT_100])</f>
        <v>3746</v>
      </c>
      <c r="I134" s="64" t="e">
        <f>FME_Ranking2[[#This Row],[Raw Data3]]*H$4</f>
        <v>#REF!</v>
      </c>
      <c r="J134" s="63">
        <f>((FME_Ranking_Option2!$H134)/($H$3))*100</f>
        <v>0.41628281449855481</v>
      </c>
      <c r="K134" s="36" t="e">
        <f>FME_Ranking2[[#This Row],[Norm Data3]]*H$4</f>
        <v>#REF!</v>
      </c>
      <c r="L134" s="37">
        <f>_xlfn.XLOOKUP(FME_Ranking2[[#This Row],[FME ID]],FME_Input[FME_ID],FME_Input[RES_STRUCT100])</f>
        <v>3076</v>
      </c>
      <c r="M134" s="38" t="e">
        <f>FME_Ranking2[[#This Row],[Raw Data4]]*L$4</f>
        <v>#REF!</v>
      </c>
      <c r="N134" s="28">
        <f>((FME_Ranking_Option2!$L134)/($L$3))*100</f>
        <v>0.45987115833411818</v>
      </c>
      <c r="O134" s="39" t="e">
        <f>FME_Ranking2[[#This Row],[Norm Data4]]*L$4</f>
        <v>#REF!</v>
      </c>
      <c r="P134" s="34">
        <f>_xlfn.XLOOKUP(FME_Ranking2[[#This Row],[FME ID]],FME_Input[FME_ID],FME_Input[POP100])</f>
        <v>11473</v>
      </c>
      <c r="Q134" s="35" t="e">
        <f>FME_Ranking_Option2!$P134*P$4</f>
        <v>#REF!</v>
      </c>
      <c r="R134" s="35">
        <f>FME_Ranking_Option2!$P134/($P$3)</f>
        <v>4.2108346136257371E-3</v>
      </c>
      <c r="S134" s="35" t="e">
        <f>FME_Ranking_Option2!$R134*P$4</f>
        <v>#REF!</v>
      </c>
      <c r="T134" s="37">
        <f>_xlfn.XLOOKUP(FME_Ranking2[[#This Row],[FME ID]],FME_Input[FME_ID],FME_Input[CRITFAC100])</f>
        <v>53</v>
      </c>
      <c r="U134" s="35" t="e">
        <f>FME_Ranking_Option2!$T134*T$4</f>
        <v>#REF!</v>
      </c>
      <c r="V134" s="35">
        <f>FME_Ranking_Option2!$T134/($T$3)</f>
        <v>7.4742631504724297E-3</v>
      </c>
      <c r="W134" s="35" t="e">
        <f>FME_Ranking_Option2!$V134*T$4</f>
        <v>#REF!</v>
      </c>
      <c r="X134" s="37">
        <f>_xlfn.XLOOKUP(FME_Ranking2[[#This Row],[FME ID]],FME_Input[FME_ID],FME_Input[LWC])</f>
        <v>0</v>
      </c>
      <c r="Y134" s="35" t="e">
        <f>FME_Ranking_Option2!$X134*X$4</f>
        <v>#REF!</v>
      </c>
      <c r="Z134" s="35">
        <f>FME_Ranking_Option2!$X134/($X$3)</f>
        <v>0</v>
      </c>
      <c r="AA134" s="35" t="e">
        <f>FME_Ranking_Option2!$Z134*X$4</f>
        <v>#REF!</v>
      </c>
      <c r="AB134" s="37">
        <f>_xlfn.XLOOKUP(FME_Ranking2[[#This Row],[FME ID]],FME_Input[FME_ID],FME_Input[ROADCLS])</f>
        <v>0</v>
      </c>
      <c r="AC134" s="35" t="e">
        <f>FME_Ranking_Option2!$AB134*AB$4</f>
        <v>#REF!</v>
      </c>
      <c r="AD134" s="40">
        <f>_xlfn.XLOOKUP(FME_Ranking2[[#This Row],[FME ID]],FME_Input[FME_ID],FME_Input[ROAD_MILES100])</f>
        <v>114.0920333862305</v>
      </c>
      <c r="AE134" s="41" t="e">
        <f>FME_Ranking_Option2!$AD134*AD$4</f>
        <v>#REF!</v>
      </c>
      <c r="AF134" s="42">
        <f>FME_Ranking_Option2!$AD134/($AD$3)</f>
        <v>2.5770290356411625E-3</v>
      </c>
      <c r="AG134" s="42" t="e">
        <f>FME_Ranking_Option2!$AF134*AD$4</f>
        <v>#REF!</v>
      </c>
      <c r="AH134" s="40">
        <f>_xlfn.XLOOKUP(FME_Ranking2[[#This Row],[FME ID]],FME_Input[FME_ID],FME_Input[FARMACRE100])</f>
        <v>1607.176391601562</v>
      </c>
      <c r="AI134" s="43" t="e">
        <f>FME_Ranking_Option2!$AH134*AH$4</f>
        <v>#REF!</v>
      </c>
      <c r="AJ134" s="41">
        <f>FME_Ranking_Option2!$AH134/($AH$3)</f>
        <v>9.332220741162725E-2</v>
      </c>
      <c r="AK134" s="44" t="e">
        <f>FME_Ranking_Option2!$AJ134*AH$4</f>
        <v>#REF!</v>
      </c>
      <c r="AL134"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34" s="45" t="e">
        <f>_xlfn.RANK.EQ(AL134,$AL$7:$AL$531)+COUNTIF(AL$7:AL134,AL134)-1</f>
        <v>#REF!</v>
      </c>
      <c r="AN134" s="44"/>
      <c r="AO134" s="45" t="e">
        <f>_xlfn.RANK.EQ(AN134,$AN$7:$AN$531)+COUNTIF(AN$7:AN134,AN134)-1</f>
        <v>#N/A</v>
      </c>
      <c r="AP13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34" s="32" t="e">
        <f>FME_Ranking2[[#This Row],[Score Based on Reported Factors]]-FME_Ranking2[[#This Row],[Check]]</f>
        <v>#REF!</v>
      </c>
      <c r="AR134" s="32"/>
    </row>
    <row r="135" spans="1:55" ht="12" customHeight="1" x14ac:dyDescent="0.25">
      <c r="A135" s="16" t="s">
        <v>1359</v>
      </c>
      <c r="B135" s="16" t="str">
        <f>_xlfn.XLOOKUP(FME_Ranking2[[#This Row],[FME ID]],FME_Input[FME_ID],FME_Input[FME_NAME])</f>
        <v>Barker Reservoir Watershed Study</v>
      </c>
      <c r="C135" s="16" t="str">
        <f>_xlfn.XLOOKUP(FME_Ranking2[[#This Row],[FME ID]],FME_Input[FME_ID],FME_Input[DESCR])</f>
        <v>Watershed wide study using latest data, including MAAPnext models and Atlas 14 rainfall. Study to identify flooding issues within watershed, identify projects to reduce flooding, and provide cost estimates and benefit and cost metrics for each project.</v>
      </c>
      <c r="D135" s="46" t="str">
        <f>_xlfn.XLOOKUP(FME_Ranking2[[#This Row],[FME ID]],FME_Input[FME_ID],FME_Input[EMER_NEED])</f>
        <v>Yes</v>
      </c>
      <c r="E135" s="121">
        <f>IF(FME_Ranking_Option2!$D135="Yes",100,0)</f>
        <v>100</v>
      </c>
      <c r="F135" s="47" t="str">
        <f>_xlfn.XLOOKUP(FME_Ranking2[[#This Row],[FME ID]],FME_Input[FME_ID],FME_Input[FUND])</f>
        <v>Yes</v>
      </c>
      <c r="G135" s="48">
        <f>IF(FME_Ranking_Option2!$F135="Yes",1,0)</f>
        <v>1</v>
      </c>
      <c r="H135" s="46">
        <f>_xlfn.XLOOKUP(FME_Ranking2[[#This Row],[FME ID]],FME_Input[FME_ID],FME_Input[STRUCT_100])</f>
        <v>1052</v>
      </c>
      <c r="I135" s="65" t="e">
        <f>FME_Ranking2[[#This Row],[Raw Data3]]*H$4</f>
        <v>#REF!</v>
      </c>
      <c r="J135" s="62">
        <f>((FME_Ranking_Option2!$H135)/($H$3))*100</f>
        <v>0.11690590519286695</v>
      </c>
      <c r="K135" s="49" t="e">
        <f>FME_Ranking2[[#This Row],[Norm Data3]]*H$4</f>
        <v>#REF!</v>
      </c>
      <c r="L135" s="50">
        <f>_xlfn.XLOOKUP(FME_Ranking2[[#This Row],[FME ID]],FME_Input[FME_ID],FME_Input[RES_STRUCT100])</f>
        <v>833</v>
      </c>
      <c r="M135" s="51" t="e">
        <f>FME_Ranking2[[#This Row],[Raw Data4]]*L$4</f>
        <v>#REF!</v>
      </c>
      <c r="N135" s="29">
        <f>((FME_Ranking_Option2!$L135)/($L$3))*100</f>
        <v>0.12453598013404438</v>
      </c>
      <c r="O135" s="52" t="e">
        <f>FME_Ranking2[[#This Row],[Norm Data4]]*L$4</f>
        <v>#REF!</v>
      </c>
      <c r="P135" s="47">
        <f>_xlfn.XLOOKUP(FME_Ranking2[[#This Row],[FME ID]],FME_Input[FME_ID],FME_Input[POP100])</f>
        <v>4313</v>
      </c>
      <c r="Q135" s="48" t="e">
        <f>FME_Ranking_Option2!$P135*P$4</f>
        <v>#REF!</v>
      </c>
      <c r="R135" s="48">
        <f>FME_Ranking_Option2!$P135/($P$3)</f>
        <v>1.5829625807171448E-3</v>
      </c>
      <c r="S135" s="48" t="e">
        <f>FME_Ranking_Option2!$R135*P$4</f>
        <v>#REF!</v>
      </c>
      <c r="T135" s="50">
        <f>_xlfn.XLOOKUP(FME_Ranking2[[#This Row],[FME ID]],FME_Input[FME_ID],FME_Input[CRITFAC100])</f>
        <v>11</v>
      </c>
      <c r="U135" s="48" t="e">
        <f>FME_Ranking_Option2!$T135*T$4</f>
        <v>#REF!</v>
      </c>
      <c r="V135" s="48">
        <f>FME_Ranking_Option2!$T135/($T$3)</f>
        <v>1.5512621633055987E-3</v>
      </c>
      <c r="W135" s="48" t="e">
        <f>FME_Ranking_Option2!$V135*T$4</f>
        <v>#REF!</v>
      </c>
      <c r="X135" s="50">
        <f>_xlfn.XLOOKUP(FME_Ranking2[[#This Row],[FME ID]],FME_Input[FME_ID],FME_Input[LWC])</f>
        <v>5</v>
      </c>
      <c r="Y135" s="48" t="e">
        <f>FME_Ranking_Option2!$X135*X$4</f>
        <v>#REF!</v>
      </c>
      <c r="Z135" s="48">
        <f>FME_Ranking_Option2!$X135/($X$3)</f>
        <v>4.5612114577631819E-4</v>
      </c>
      <c r="AA135" s="48" t="e">
        <f>FME_Ranking_Option2!$Z135*X$4</f>
        <v>#REF!</v>
      </c>
      <c r="AB135" s="50">
        <f>_xlfn.XLOOKUP(FME_Ranking2[[#This Row],[FME ID]],FME_Input[FME_ID],FME_Input[ROADCLS])</f>
        <v>5</v>
      </c>
      <c r="AC135" s="48" t="e">
        <f>FME_Ranking_Option2!$AB135*AB$4</f>
        <v>#REF!</v>
      </c>
      <c r="AD135" s="53">
        <f>_xlfn.XLOOKUP(FME_Ranking2[[#This Row],[FME ID]],FME_Input[FME_ID],FME_Input[ROAD_MILES100])</f>
        <v>34.053718566894531</v>
      </c>
      <c r="AE135" s="54" t="e">
        <f>FME_Ranking_Option2!$AD135*AD$4</f>
        <v>#REF!</v>
      </c>
      <c r="AF135" s="55">
        <f>FME_Ranking_Option2!$AD135/($AD$3)</f>
        <v>7.6918097533908104E-4</v>
      </c>
      <c r="AG135" s="55" t="e">
        <f>FME_Ranking_Option2!$AF135*AD$4</f>
        <v>#REF!</v>
      </c>
      <c r="AH135" s="53">
        <f>_xlfn.XLOOKUP(FME_Ranking2[[#This Row],[FME ID]],FME_Input[FME_ID],FME_Input[FARMACRE100])</f>
        <v>753.00469970703125</v>
      </c>
      <c r="AI135" s="54" t="e">
        <f>FME_Ranking_Option2!$AH135*AH$4</f>
        <v>#REF!</v>
      </c>
      <c r="AJ135" s="56">
        <f>FME_Ranking_Option2!$AH135/($AH$3)</f>
        <v>4.3723925472774698E-2</v>
      </c>
      <c r="AK135" s="57" t="e">
        <f>FME_Ranking_Option2!$AJ135*AH$4</f>
        <v>#REF!</v>
      </c>
      <c r="AL135"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35" s="58" t="e">
        <f>_xlfn.RANK.EQ(AL135,$AL$7:$AL$531)+COUNTIF(AL$7:AL135,AL135)-1</f>
        <v>#REF!</v>
      </c>
      <c r="AN135" s="57"/>
      <c r="AO135" s="58" t="e">
        <f>_xlfn.RANK.EQ(AN135,$AN$7:$AN$531)+COUNTIF(AN$7:AN135,AN135)-1</f>
        <v>#N/A</v>
      </c>
      <c r="AP13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35" s="32" t="e">
        <f>FME_Ranking2[[#This Row],[Score Based on Reported Factors]]-FME_Ranking2[[#This Row],[Check]]</f>
        <v>#REF!</v>
      </c>
      <c r="AR135" s="32"/>
      <c r="AT135" s="19"/>
      <c r="AU135" s="19"/>
      <c r="AV135" s="19"/>
      <c r="AW135" s="19"/>
      <c r="AX135" s="19"/>
      <c r="AY135" s="19"/>
      <c r="AZ135" s="19"/>
      <c r="BA135" s="19"/>
      <c r="BB135" s="19"/>
      <c r="BC135" s="19"/>
    </row>
    <row r="136" spans="1:55" ht="12" customHeight="1" x14ac:dyDescent="0.25">
      <c r="A136" s="17" t="s">
        <v>1365</v>
      </c>
      <c r="B136" s="17" t="str">
        <f>_xlfn.XLOOKUP(FME_Ranking2[[#This Row],[FME ID]],FME_Input[FME_ID],FME_Input[FME_NAME])</f>
        <v>Buffalo Bayou Watershed Study</v>
      </c>
      <c r="C136" s="17" t="str">
        <f>_xlfn.XLOOKUP(FME_Ranking2[[#This Row],[FME ID]],FME_Input[FME_ID],FME_Input[DESCR])</f>
        <v>Watershed wide study using latest data, including MAAPnext models and Atlas 14 rainfall. Study to identify flooding issues within watershed, identify projects to reduce flooding, and provide cost estimates and benefit and cost metrics for each project.</v>
      </c>
      <c r="D136" s="33" t="str">
        <f>_xlfn.XLOOKUP(FME_Ranking2[[#This Row],[FME ID]],FME_Input[FME_ID],FME_Input[EMER_NEED])</f>
        <v>Yes</v>
      </c>
      <c r="E136" s="120">
        <f>IF(FME_Ranking_Option2!$D136="Yes",100,0)</f>
        <v>100</v>
      </c>
      <c r="F136" s="34" t="str">
        <f>_xlfn.XLOOKUP(FME_Ranking2[[#This Row],[FME ID]],FME_Input[FME_ID],FME_Input[FUND])</f>
        <v>Yes</v>
      </c>
      <c r="G136" s="35">
        <f>IF(FME_Ranking_Option2!$F136="Yes",1,0)</f>
        <v>1</v>
      </c>
      <c r="H136" s="33">
        <f>_xlfn.XLOOKUP(FME_Ranking2[[#This Row],[FME ID]],FME_Input[FME_ID],FME_Input[STRUCT_100])</f>
        <v>1999</v>
      </c>
      <c r="I136" s="64" t="e">
        <f>FME_Ranking2[[#This Row],[Raw Data3]]*H$4</f>
        <v>#REF!</v>
      </c>
      <c r="J136" s="63">
        <f>((FME_Ranking_Option2!$H136)/($H$3))*100</f>
        <v>0.22214344532370825</v>
      </c>
      <c r="K136" s="36" t="e">
        <f>FME_Ranking2[[#This Row],[Norm Data3]]*H$4</f>
        <v>#REF!</v>
      </c>
      <c r="L136" s="37">
        <f>_xlfn.XLOOKUP(FME_Ranking2[[#This Row],[FME ID]],FME_Input[FME_ID],FME_Input[RES_STRUCT100])</f>
        <v>1533</v>
      </c>
      <c r="M136" s="38" t="e">
        <f>FME_Ranking2[[#This Row],[Raw Data4]]*L$4</f>
        <v>#REF!</v>
      </c>
      <c r="N136" s="28">
        <f>((FME_Ranking_Option2!$L136)/($L$3))*100</f>
        <v>0.22918806428030014</v>
      </c>
      <c r="O136" s="39" t="e">
        <f>FME_Ranking2[[#This Row],[Norm Data4]]*L$4</f>
        <v>#REF!</v>
      </c>
      <c r="P136" s="34">
        <f>_xlfn.XLOOKUP(FME_Ranking2[[#This Row],[FME ID]],FME_Input[FME_ID],FME_Input[POP100])</f>
        <v>44477</v>
      </c>
      <c r="Q136" s="35" t="e">
        <f>FME_Ranking_Option2!$P136*P$4</f>
        <v>#REF!</v>
      </c>
      <c r="R136" s="35">
        <f>FME_Ranking_Option2!$P136/($P$3)</f>
        <v>1.6324003408893218E-2</v>
      </c>
      <c r="S136" s="35" t="e">
        <f>FME_Ranking_Option2!$R136*P$4</f>
        <v>#REF!</v>
      </c>
      <c r="T136" s="37">
        <f>_xlfn.XLOOKUP(FME_Ranking2[[#This Row],[FME ID]],FME_Input[FME_ID],FME_Input[CRITFAC100])</f>
        <v>34</v>
      </c>
      <c r="U136" s="35" t="e">
        <f>FME_Ranking_Option2!$T136*T$4</f>
        <v>#REF!</v>
      </c>
      <c r="V136" s="35">
        <f>FME_Ranking_Option2!$T136/($T$3)</f>
        <v>4.7948103229445774E-3</v>
      </c>
      <c r="W136" s="35" t="e">
        <f>FME_Ranking_Option2!$V136*T$4</f>
        <v>#REF!</v>
      </c>
      <c r="X136" s="37">
        <f>_xlfn.XLOOKUP(FME_Ranking2[[#This Row],[FME ID]],FME_Input[FME_ID],FME_Input[LWC])</f>
        <v>0</v>
      </c>
      <c r="Y136" s="35" t="e">
        <f>FME_Ranking_Option2!$X136*X$4</f>
        <v>#REF!</v>
      </c>
      <c r="Z136" s="35">
        <f>FME_Ranking_Option2!$X136/($X$3)</f>
        <v>0</v>
      </c>
      <c r="AA136" s="35" t="e">
        <f>FME_Ranking_Option2!$Z136*X$4</f>
        <v>#REF!</v>
      </c>
      <c r="AB136" s="37">
        <f>_xlfn.XLOOKUP(FME_Ranking2[[#This Row],[FME ID]],FME_Input[FME_ID],FME_Input[ROADCLS])</f>
        <v>0</v>
      </c>
      <c r="AC136" s="35" t="e">
        <f>FME_Ranking_Option2!$AB136*AB$4</f>
        <v>#REF!</v>
      </c>
      <c r="AD136" s="40">
        <f>_xlfn.XLOOKUP(FME_Ranking2[[#This Row],[FME ID]],FME_Input[FME_ID],FME_Input[ROAD_MILES100])</f>
        <v>38.711746215820313</v>
      </c>
      <c r="AE136" s="41" t="e">
        <f>FME_Ranking_Option2!$AD136*AD$4</f>
        <v>#REF!</v>
      </c>
      <c r="AF136" s="42">
        <f>FME_Ranking_Option2!$AD136/($AD$3)</f>
        <v>8.7439316363854738E-4</v>
      </c>
      <c r="AG136" s="42" t="e">
        <f>FME_Ranking_Option2!$AF136*AD$4</f>
        <v>#REF!</v>
      </c>
      <c r="AH136" s="40">
        <f>_xlfn.XLOOKUP(FME_Ranking2[[#This Row],[FME ID]],FME_Input[FME_ID],FME_Input[FARMACRE100])</f>
        <v>17.899942398071289</v>
      </c>
      <c r="AI136" s="43" t="e">
        <f>FME_Ranking_Option2!$AH136*AH$4</f>
        <v>#REF!</v>
      </c>
      <c r="AJ136" s="41">
        <f>FME_Ranking_Option2!$AH136/($AH$3)</f>
        <v>1.0393769755816054E-3</v>
      </c>
      <c r="AK136" s="44" t="e">
        <f>FME_Ranking_Option2!$AJ136*AH$4</f>
        <v>#REF!</v>
      </c>
      <c r="AL136"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36" s="45" t="e">
        <f>_xlfn.RANK.EQ(AL136,$AL$7:$AL$531)+COUNTIF(AL$7:AL136,AL136)-1</f>
        <v>#REF!</v>
      </c>
      <c r="AN136" s="44"/>
      <c r="AO136" s="45" t="e">
        <f>_xlfn.RANK.EQ(AN136,$AN$7:$AN$531)+COUNTIF(AN$7:AN136,AN136)-1</f>
        <v>#N/A</v>
      </c>
      <c r="AP13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36" s="32" t="e">
        <f>FME_Ranking2[[#This Row],[Score Based on Reported Factors]]-FME_Ranking2[[#This Row],[Check]]</f>
        <v>#REF!</v>
      </c>
      <c r="AR136" s="32"/>
    </row>
    <row r="137" spans="1:55" ht="12" customHeight="1" x14ac:dyDescent="0.25">
      <c r="A137" s="16" t="s">
        <v>1371</v>
      </c>
      <c r="B137" s="16" t="str">
        <f>_xlfn.XLOOKUP(FME_Ranking2[[#This Row],[FME ID]],FME_Input[FME_ID],FME_Input[FME_NAME])</f>
        <v>Brays Bayou Watershed Study</v>
      </c>
      <c r="C137" s="16" t="str">
        <f>_xlfn.XLOOKUP(FME_Ranking2[[#This Row],[FME ID]],FME_Input[FME_ID],FME_Input[DESCR])</f>
        <v>Watershed wide study using latest data, including MAAPnext models and Atlas 14 rainfall. Study to identify flooding issues within watershed, identify projects to reduce flooding, and provide cost estimates and benefit and cost metrics for each project.</v>
      </c>
      <c r="D137" s="46" t="str">
        <f>_xlfn.XLOOKUP(FME_Ranking2[[#This Row],[FME ID]],FME_Input[FME_ID],FME_Input[EMER_NEED])</f>
        <v>Yes</v>
      </c>
      <c r="E137" s="121">
        <f>IF(FME_Ranking_Option2!$D137="Yes",100,0)</f>
        <v>100</v>
      </c>
      <c r="F137" s="47" t="str">
        <f>_xlfn.XLOOKUP(FME_Ranking2[[#This Row],[FME ID]],FME_Input[FME_ID],FME_Input[FUND])</f>
        <v>Yes</v>
      </c>
      <c r="G137" s="48">
        <f>IF(FME_Ranking_Option2!$F137="Yes",1,0)</f>
        <v>1</v>
      </c>
      <c r="H137" s="46">
        <f>_xlfn.XLOOKUP(FME_Ranking2[[#This Row],[FME ID]],FME_Input[FME_ID],FME_Input[STRUCT_100])</f>
        <v>40950</v>
      </c>
      <c r="I137" s="65" t="e">
        <f>FME_Ranking2[[#This Row],[Raw Data3]]*H$4</f>
        <v>#REF!</v>
      </c>
      <c r="J137" s="62">
        <f>((FME_Ranking_Option2!$H137)/($H$3))*100</f>
        <v>4.5506623741900212</v>
      </c>
      <c r="K137" s="49" t="e">
        <f>FME_Ranking2[[#This Row],[Norm Data3]]*H$4</f>
        <v>#REF!</v>
      </c>
      <c r="L137" s="50">
        <f>_xlfn.XLOOKUP(FME_Ranking2[[#This Row],[FME ID]],FME_Input[FME_ID],FME_Input[RES_STRUCT100])</f>
        <v>37646</v>
      </c>
      <c r="M137" s="51" t="e">
        <f>FME_Ranking2[[#This Row],[Raw Data4]]*L$4</f>
        <v>#REF!</v>
      </c>
      <c r="N137" s="29">
        <f>((FME_Ranking_Option2!$L137)/($L$3))*100</f>
        <v>5.6281890853856353</v>
      </c>
      <c r="O137" s="52" t="e">
        <f>FME_Ranking2[[#This Row],[Norm Data4]]*L$4</f>
        <v>#REF!</v>
      </c>
      <c r="P137" s="47">
        <f>_xlfn.XLOOKUP(FME_Ranking2[[#This Row],[FME ID]],FME_Input[FME_ID],FME_Input[POP100])</f>
        <v>361848</v>
      </c>
      <c r="Q137" s="48" t="e">
        <f>FME_Ranking_Option2!$P137*P$4</f>
        <v>#REF!</v>
      </c>
      <c r="R137" s="48">
        <f>FME_Ranking_Option2!$P137/($P$3)</f>
        <v>0.13280589935250114</v>
      </c>
      <c r="S137" s="48" t="e">
        <f>FME_Ranking_Option2!$R137*P$4</f>
        <v>#REF!</v>
      </c>
      <c r="T137" s="50">
        <f>_xlfn.XLOOKUP(FME_Ranking2[[#This Row],[FME ID]],FME_Input[FME_ID],FME_Input[CRITFAC100])</f>
        <v>594</v>
      </c>
      <c r="U137" s="48" t="e">
        <f>FME_Ranking_Option2!$T137*T$4</f>
        <v>#REF!</v>
      </c>
      <c r="V137" s="48">
        <f>FME_Ranking_Option2!$T137/($T$3)</f>
        <v>8.3768156818502332E-2</v>
      </c>
      <c r="W137" s="48" t="e">
        <f>FME_Ranking_Option2!$V137*T$4</f>
        <v>#REF!</v>
      </c>
      <c r="X137" s="50">
        <f>_xlfn.XLOOKUP(FME_Ranking2[[#This Row],[FME ID]],FME_Input[FME_ID],FME_Input[LWC])</f>
        <v>2</v>
      </c>
      <c r="Y137" s="48" t="e">
        <f>FME_Ranking_Option2!$X137*X$4</f>
        <v>#REF!</v>
      </c>
      <c r="Z137" s="48">
        <f>FME_Ranking_Option2!$X137/($X$3)</f>
        <v>1.8244845831052726E-4</v>
      </c>
      <c r="AA137" s="48" t="e">
        <f>FME_Ranking_Option2!$Z137*X$4</f>
        <v>#REF!</v>
      </c>
      <c r="AB137" s="50">
        <f>_xlfn.XLOOKUP(FME_Ranking2[[#This Row],[FME ID]],FME_Input[FME_ID],FME_Input[ROADCLS])</f>
        <v>2</v>
      </c>
      <c r="AC137" s="48" t="e">
        <f>FME_Ranking_Option2!$AB137*AB$4</f>
        <v>#REF!</v>
      </c>
      <c r="AD137" s="53">
        <f>_xlfn.XLOOKUP(FME_Ranking2[[#This Row],[FME ID]],FME_Input[FME_ID],FME_Input[ROAD_MILES100])</f>
        <v>537.13714599609375</v>
      </c>
      <c r="AE137" s="54" t="e">
        <f>FME_Ranking_Option2!$AD137*AD$4</f>
        <v>#REF!</v>
      </c>
      <c r="AF137" s="55">
        <f>FME_Ranking_Option2!$AD137/($AD$3)</f>
        <v>1.2132468676997197E-2</v>
      </c>
      <c r="AG137" s="55" t="e">
        <f>FME_Ranking_Option2!$AF137*AD$4</f>
        <v>#REF!</v>
      </c>
      <c r="AH137" s="53">
        <f>_xlfn.XLOOKUP(FME_Ranking2[[#This Row],[FME ID]],FME_Input[FME_ID],FME_Input[FARMACRE100])</f>
        <v>45.186000823974609</v>
      </c>
      <c r="AI137" s="54" t="e">
        <f>FME_Ranking_Option2!$AH137*AH$4</f>
        <v>#REF!</v>
      </c>
      <c r="AJ137" s="56">
        <f>FME_Ranking_Option2!$AH137/($AH$3)</f>
        <v>2.6237675982751286E-3</v>
      </c>
      <c r="AK137" s="57" t="e">
        <f>FME_Ranking_Option2!$AJ137*AH$4</f>
        <v>#REF!</v>
      </c>
      <c r="AL137"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37" s="58" t="e">
        <f>_xlfn.RANK.EQ(AL137,$AL$7:$AL$531)+COUNTIF(AL$7:AL137,AL137)-1</f>
        <v>#REF!</v>
      </c>
      <c r="AN137" s="57"/>
      <c r="AO137" s="58" t="e">
        <f>_xlfn.RANK.EQ(AN137,$AN$7:$AN$531)+COUNTIF(AN$7:AN137,AN137)-1</f>
        <v>#N/A</v>
      </c>
      <c r="AP13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37" s="32" t="e">
        <f>FME_Ranking2[[#This Row],[Score Based on Reported Factors]]-FME_Ranking2[[#This Row],[Check]]</f>
        <v>#REF!</v>
      </c>
      <c r="AR137" s="32"/>
      <c r="AT137" s="19"/>
      <c r="AU137" s="19"/>
      <c r="AV137" s="19"/>
      <c r="AW137" s="19"/>
      <c r="AX137" s="19"/>
      <c r="AY137" s="19"/>
      <c r="AZ137" s="19"/>
      <c r="BA137" s="19"/>
      <c r="BB137" s="19"/>
      <c r="BC137" s="19"/>
    </row>
    <row r="138" spans="1:55" ht="12" customHeight="1" x14ac:dyDescent="0.25">
      <c r="A138" s="17" t="s">
        <v>1377</v>
      </c>
      <c r="B138" s="17" t="str">
        <f>_xlfn.XLOOKUP(FME_Ranking2[[#This Row],[FME ID]],FME_Input[FME_ID],FME_Input[FME_NAME])</f>
        <v>Cypress Creek Watershed Study</v>
      </c>
      <c r="C138" s="17" t="str">
        <f>_xlfn.XLOOKUP(FME_Ranking2[[#This Row],[FME ID]],FME_Input[FME_ID],FME_Input[DESCR])</f>
        <v>Watershed wide study using latest data, including MAAPnext models and Atlas 14 rainfall. Study to identify flooding issues within watershed, identify projects to reduce flooding, and provide cost estimates and benefit and cost metrics for each project.</v>
      </c>
      <c r="D138" s="33" t="str">
        <f>_xlfn.XLOOKUP(FME_Ranking2[[#This Row],[FME ID]],FME_Input[FME_ID],FME_Input[EMER_NEED])</f>
        <v>Yes</v>
      </c>
      <c r="E138" s="120">
        <f>IF(FME_Ranking_Option2!$D138="Yes",100,0)</f>
        <v>100</v>
      </c>
      <c r="F138" s="34" t="str">
        <f>_xlfn.XLOOKUP(FME_Ranking2[[#This Row],[FME ID]],FME_Input[FME_ID],FME_Input[FUND])</f>
        <v>Yes</v>
      </c>
      <c r="G138" s="35">
        <f>IF(FME_Ranking_Option2!$F138="Yes",1,0)</f>
        <v>1</v>
      </c>
      <c r="H138" s="33">
        <f>_xlfn.XLOOKUP(FME_Ranking2[[#This Row],[FME ID]],FME_Input[FME_ID],FME_Input[STRUCT_100])</f>
        <v>4162</v>
      </c>
      <c r="I138" s="64" t="e">
        <f>FME_Ranking2[[#This Row],[Raw Data3]]*H$4</f>
        <v>#REF!</v>
      </c>
      <c r="J138" s="63">
        <f>((FME_Ranking_Option2!$H138)/($H$3))*100</f>
        <v>0.46251176560143753</v>
      </c>
      <c r="K138" s="36" t="e">
        <f>FME_Ranking2[[#This Row],[Norm Data3]]*H$4</f>
        <v>#REF!</v>
      </c>
      <c r="L138" s="37">
        <f>_xlfn.XLOOKUP(FME_Ranking2[[#This Row],[FME ID]],FME_Input[FME_ID],FME_Input[RES_STRUCT100])</f>
        <v>3210</v>
      </c>
      <c r="M138" s="38" t="e">
        <f>FME_Ranking2[[#This Row],[Raw Data4]]*L$4</f>
        <v>#REF!</v>
      </c>
      <c r="N138" s="28">
        <f>((FME_Ranking_Option2!$L138)/($L$3))*100</f>
        <v>0.47990455729925857</v>
      </c>
      <c r="O138" s="39" t="e">
        <f>FME_Ranking2[[#This Row],[Norm Data4]]*L$4</f>
        <v>#REF!</v>
      </c>
      <c r="P138" s="34">
        <f>_xlfn.XLOOKUP(FME_Ranking2[[#This Row],[FME ID]],FME_Input[FME_ID],FME_Input[POP100])</f>
        <v>22497</v>
      </c>
      <c r="Q138" s="35" t="e">
        <f>FME_Ranking_Option2!$P138*P$4</f>
        <v>#REF!</v>
      </c>
      <c r="R138" s="35">
        <f>FME_Ranking_Option2!$P138/($P$3)</f>
        <v>8.2568766933442169E-3</v>
      </c>
      <c r="S138" s="35" t="e">
        <f>FME_Ranking_Option2!$R138*P$4</f>
        <v>#REF!</v>
      </c>
      <c r="T138" s="37">
        <f>_xlfn.XLOOKUP(FME_Ranking2[[#This Row],[FME ID]],FME_Input[FME_ID],FME_Input[CRITFAC100])</f>
        <v>89</v>
      </c>
      <c r="U138" s="35" t="e">
        <f>FME_Ranking_Option2!$T138*T$4</f>
        <v>#REF!</v>
      </c>
      <c r="V138" s="35">
        <f>FME_Ranking_Option2!$T138/($T$3)</f>
        <v>1.2551121139472571E-2</v>
      </c>
      <c r="W138" s="35" t="e">
        <f>FME_Ranking_Option2!$V138*T$4</f>
        <v>#REF!</v>
      </c>
      <c r="X138" s="37">
        <f>_xlfn.XLOOKUP(FME_Ranking2[[#This Row],[FME ID]],FME_Input[FME_ID],FME_Input[LWC])</f>
        <v>18</v>
      </c>
      <c r="Y138" s="35" t="e">
        <f>FME_Ranking_Option2!$X138*X$4</f>
        <v>#REF!</v>
      </c>
      <c r="Z138" s="35">
        <f>FME_Ranking_Option2!$X138/($X$3)</f>
        <v>1.6420361247947454E-3</v>
      </c>
      <c r="AA138" s="35" t="e">
        <f>FME_Ranking_Option2!$Z138*X$4</f>
        <v>#REF!</v>
      </c>
      <c r="AB138" s="37">
        <f>_xlfn.XLOOKUP(FME_Ranking2[[#This Row],[FME ID]],FME_Input[FME_ID],FME_Input[ROADCLS])</f>
        <v>18</v>
      </c>
      <c r="AC138" s="35" t="e">
        <f>FME_Ranking_Option2!$AB138*AB$4</f>
        <v>#REF!</v>
      </c>
      <c r="AD138" s="40">
        <f>_xlfn.XLOOKUP(FME_Ranking2[[#This Row],[FME ID]],FME_Input[FME_ID],FME_Input[ROAD_MILES100])</f>
        <v>109.47789001464839</v>
      </c>
      <c r="AE138" s="41" t="e">
        <f>FME_Ranking_Option2!$AD138*AD$4</f>
        <v>#REF!</v>
      </c>
      <c r="AF138" s="42">
        <f>FME_Ranking_Option2!$AD138/($AD$3)</f>
        <v>2.4728080739292702E-3</v>
      </c>
      <c r="AG138" s="42" t="e">
        <f>FME_Ranking_Option2!$AF138*AD$4</f>
        <v>#REF!</v>
      </c>
      <c r="AH138" s="40">
        <f>_xlfn.XLOOKUP(FME_Ranking2[[#This Row],[FME ID]],FME_Input[FME_ID],FME_Input[FARMACRE100])</f>
        <v>1659.59765625</v>
      </c>
      <c r="AI138" s="43" t="e">
        <f>FME_Ranking_Option2!$AH138*AH$4</f>
        <v>#REF!</v>
      </c>
      <c r="AJ138" s="41">
        <f>FME_Ranking_Option2!$AH138/($AH$3)</f>
        <v>9.6366097402710515E-2</v>
      </c>
      <c r="AK138" s="44" t="e">
        <f>FME_Ranking_Option2!$AJ138*AH$4</f>
        <v>#REF!</v>
      </c>
      <c r="AL13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38" s="45" t="e">
        <f>_xlfn.RANK.EQ(AL138,$AL$7:$AL$531)+COUNTIF(AL$7:AL138,AL138)-1</f>
        <v>#REF!</v>
      </c>
      <c r="AN138" s="44"/>
      <c r="AO138" s="45" t="e">
        <f>_xlfn.RANK.EQ(AN138,$AN$7:$AN$531)+COUNTIF(AN$7:AN138,AN138)-1</f>
        <v>#N/A</v>
      </c>
      <c r="AP13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38" s="32" t="e">
        <f>FME_Ranking2[[#This Row],[Score Based on Reported Factors]]-FME_Ranking2[[#This Row],[Check]]</f>
        <v>#REF!</v>
      </c>
      <c r="AR138" s="32"/>
    </row>
    <row r="139" spans="1:55" ht="12" customHeight="1" x14ac:dyDescent="0.25">
      <c r="A139" s="16" t="s">
        <v>1383</v>
      </c>
      <c r="B139" s="16" t="str">
        <f>_xlfn.XLOOKUP(FME_Ranking2[[#This Row],[FME ID]],FME_Input[FME_ID],FME_Input[FME_NAME])</f>
        <v>Hunting Bayou Watershed Study</v>
      </c>
      <c r="C139" s="16" t="str">
        <f>_xlfn.XLOOKUP(FME_Ranking2[[#This Row],[FME ID]],FME_Input[FME_ID],FME_Input[DESCR])</f>
        <v>Watershed wide study using latest data, including MAAPnext models and Atlas 14 rainfall. Study to identify flooding issues within watershed, identify projects to reduce flooding, and provide cost estimates and benefit and cost metrics for each project.</v>
      </c>
      <c r="D139" s="46" t="str">
        <f>_xlfn.XLOOKUP(FME_Ranking2[[#This Row],[FME ID]],FME_Input[FME_ID],FME_Input[EMER_NEED])</f>
        <v>Yes</v>
      </c>
      <c r="E139" s="121">
        <f>IF(FME_Ranking_Option2!$D139="Yes",100,0)</f>
        <v>100</v>
      </c>
      <c r="F139" s="47" t="str">
        <f>_xlfn.XLOOKUP(FME_Ranking2[[#This Row],[FME ID]],FME_Input[FME_ID],FME_Input[FUND])</f>
        <v>Yes</v>
      </c>
      <c r="G139" s="48">
        <f>IF(FME_Ranking_Option2!$F139="Yes",1,0)</f>
        <v>1</v>
      </c>
      <c r="H139" s="46">
        <f>_xlfn.XLOOKUP(FME_Ranking2[[#This Row],[FME ID]],FME_Input[FME_ID],FME_Input[STRUCT_100])</f>
        <v>6244</v>
      </c>
      <c r="I139" s="65" t="e">
        <f>FME_Ranking2[[#This Row],[Raw Data3]]*H$4</f>
        <v>#REF!</v>
      </c>
      <c r="J139" s="62">
        <f>((FME_Ranking_Option2!$H139)/($H$3))*100</f>
        <v>0.69387877568846135</v>
      </c>
      <c r="K139" s="49" t="e">
        <f>FME_Ranking2[[#This Row],[Norm Data3]]*H$4</f>
        <v>#REF!</v>
      </c>
      <c r="L139" s="50">
        <f>_xlfn.XLOOKUP(FME_Ranking2[[#This Row],[FME ID]],FME_Input[FME_ID],FME_Input[RES_STRUCT100])</f>
        <v>5220</v>
      </c>
      <c r="M139" s="51" t="e">
        <f>FME_Ranking2[[#This Row],[Raw Data4]]*L$4</f>
        <v>#REF!</v>
      </c>
      <c r="N139" s="29">
        <f>((FME_Ranking_Option2!$L139)/($L$3))*100</f>
        <v>0.78040554177636445</v>
      </c>
      <c r="O139" s="52" t="e">
        <f>FME_Ranking2[[#This Row],[Norm Data4]]*L$4</f>
        <v>#REF!</v>
      </c>
      <c r="P139" s="47">
        <f>_xlfn.XLOOKUP(FME_Ranking2[[#This Row],[FME ID]],FME_Input[FME_ID],FME_Input[POP100])</f>
        <v>34523</v>
      </c>
      <c r="Q139" s="48" t="e">
        <f>FME_Ranking_Option2!$P139*P$4</f>
        <v>#REF!</v>
      </c>
      <c r="R139" s="48">
        <f>FME_Ranking_Option2!$P139/($P$3)</f>
        <v>1.2670674049176441E-2</v>
      </c>
      <c r="S139" s="48" t="e">
        <f>FME_Ranking_Option2!$R139*P$4</f>
        <v>#REF!</v>
      </c>
      <c r="T139" s="50">
        <f>_xlfn.XLOOKUP(FME_Ranking2[[#This Row],[FME ID]],FME_Input[FME_ID],FME_Input[CRITFAC100])</f>
        <v>98</v>
      </c>
      <c r="U139" s="48" t="e">
        <f>FME_Ranking_Option2!$T139*T$4</f>
        <v>#REF!</v>
      </c>
      <c r="V139" s="48">
        <f>FME_Ranking_Option2!$T139/($T$3)</f>
        <v>1.3820335636722606E-2</v>
      </c>
      <c r="W139" s="48" t="e">
        <f>FME_Ranking_Option2!$V139*T$4</f>
        <v>#REF!</v>
      </c>
      <c r="X139" s="50">
        <f>_xlfn.XLOOKUP(FME_Ranking2[[#This Row],[FME ID]],FME_Input[FME_ID],FME_Input[LWC])</f>
        <v>6</v>
      </c>
      <c r="Y139" s="48" t="e">
        <f>FME_Ranking_Option2!$X139*X$4</f>
        <v>#REF!</v>
      </c>
      <c r="Z139" s="48">
        <f>FME_Ranking_Option2!$X139/($X$3)</f>
        <v>5.4734537493158185E-4</v>
      </c>
      <c r="AA139" s="48" t="e">
        <f>FME_Ranking_Option2!$Z139*X$4</f>
        <v>#REF!</v>
      </c>
      <c r="AB139" s="50">
        <f>_xlfn.XLOOKUP(FME_Ranking2[[#This Row],[FME ID]],FME_Input[FME_ID],FME_Input[ROADCLS])</f>
        <v>6</v>
      </c>
      <c r="AC139" s="48" t="e">
        <f>FME_Ranking_Option2!$AB139*AB$4</f>
        <v>#REF!</v>
      </c>
      <c r="AD139" s="53">
        <f>_xlfn.XLOOKUP(FME_Ranking2[[#This Row],[FME ID]],FME_Input[FME_ID],FME_Input[ROAD_MILES100])</f>
        <v>101.51442718505859</v>
      </c>
      <c r="AE139" s="54" t="e">
        <f>FME_Ranking_Option2!$AD139*AD$4</f>
        <v>#REF!</v>
      </c>
      <c r="AF139" s="55">
        <f>FME_Ranking_Option2!$AD139/($AD$3)</f>
        <v>2.2929350860701652E-3</v>
      </c>
      <c r="AG139" s="55" t="e">
        <f>FME_Ranking_Option2!$AF139*AD$4</f>
        <v>#REF!</v>
      </c>
      <c r="AH139" s="53">
        <f>_xlfn.XLOOKUP(FME_Ranking2[[#This Row],[FME ID]],FME_Input[FME_ID],FME_Input[FARMACRE100])</f>
        <v>21.130636215209961</v>
      </c>
      <c r="AI139" s="54" t="e">
        <f>FME_Ranking_Option2!$AH139*AH$4</f>
        <v>#REF!</v>
      </c>
      <c r="AJ139" s="56">
        <f>FME_Ranking_Option2!$AH139/($AH$3)</f>
        <v>1.2269702478956881E-3</v>
      </c>
      <c r="AK139" s="57" t="e">
        <f>FME_Ranking_Option2!$AJ139*AH$4</f>
        <v>#REF!</v>
      </c>
      <c r="AL13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39" s="58" t="e">
        <f>_xlfn.RANK.EQ(AL139,$AL$7:$AL$531)+COUNTIF(AL$7:AL139,AL139)-1</f>
        <v>#REF!</v>
      </c>
      <c r="AN139" s="57"/>
      <c r="AO139" s="58" t="e">
        <f>_xlfn.RANK.EQ(AN139,$AN$7:$AN$531)+COUNTIF(AN$7:AN139,AN139)-1</f>
        <v>#N/A</v>
      </c>
      <c r="AP13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39" s="32" t="e">
        <f>FME_Ranking2[[#This Row],[Score Based on Reported Factors]]-FME_Ranking2[[#This Row],[Check]]</f>
        <v>#REF!</v>
      </c>
      <c r="AR139" s="32"/>
      <c r="AT139" s="19"/>
      <c r="AU139" s="19"/>
      <c r="AV139" s="19"/>
      <c r="AW139" s="19"/>
      <c r="AX139" s="19"/>
      <c r="AY139" s="19"/>
      <c r="AZ139" s="19"/>
      <c r="BA139" s="19"/>
      <c r="BB139" s="19"/>
      <c r="BC139" s="19"/>
    </row>
    <row r="140" spans="1:55" ht="12" customHeight="1" x14ac:dyDescent="0.25">
      <c r="A140" s="17" t="s">
        <v>1389</v>
      </c>
      <c r="B140" s="17" t="str">
        <f>_xlfn.XLOOKUP(FME_Ranking2[[#This Row],[FME ID]],FME_Input[FME_ID],FME_Input[FME_NAME])</f>
        <v>Sims Bayou Watershed Study</v>
      </c>
      <c r="C140" s="17" t="str">
        <f>_xlfn.XLOOKUP(FME_Ranking2[[#This Row],[FME ID]],FME_Input[FME_ID],FME_Input[DESCR])</f>
        <v>Watershed wide study using latest data, including MAAPnext models and Atlas 14 rainfall. Study to identify flooding issues within watershed, identify projects to reduce flooding, and provide cost estimates and benefit and cost metrics for each project.</v>
      </c>
      <c r="D140" s="33" t="str">
        <f>_xlfn.XLOOKUP(FME_Ranking2[[#This Row],[FME ID]],FME_Input[FME_ID],FME_Input[EMER_NEED])</f>
        <v>Yes</v>
      </c>
      <c r="E140" s="120">
        <f>IF(FME_Ranking_Option2!$D140="Yes",100,0)</f>
        <v>100</v>
      </c>
      <c r="F140" s="34" t="str">
        <f>_xlfn.XLOOKUP(FME_Ranking2[[#This Row],[FME ID]],FME_Input[FME_ID],FME_Input[FUND])</f>
        <v>Yes</v>
      </c>
      <c r="G140" s="35">
        <f>IF(FME_Ranking_Option2!$F140="Yes",1,0)</f>
        <v>1</v>
      </c>
      <c r="H140" s="33">
        <f>_xlfn.XLOOKUP(FME_Ranking2[[#This Row],[FME ID]],FME_Input[FME_ID],FME_Input[STRUCT_100])</f>
        <v>5858</v>
      </c>
      <c r="I140" s="64" t="e">
        <f>FME_Ranking2[[#This Row],[Raw Data3]]*H$4</f>
        <v>#REF!</v>
      </c>
      <c r="J140" s="63">
        <f>((FME_Ranking_Option2!$H140)/($H$3))*100</f>
        <v>0.65098364317472879</v>
      </c>
      <c r="K140" s="36" t="e">
        <f>FME_Ranking2[[#This Row],[Norm Data3]]*H$4</f>
        <v>#REF!</v>
      </c>
      <c r="L140" s="37">
        <f>_xlfn.XLOOKUP(FME_Ranking2[[#This Row],[FME ID]],FME_Input[FME_ID],FME_Input[RES_STRUCT100])</f>
        <v>4884</v>
      </c>
      <c r="M140" s="38" t="e">
        <f>FME_Ranking2[[#This Row],[Raw Data4]]*L$4</f>
        <v>#REF!</v>
      </c>
      <c r="N140" s="28">
        <f>((FME_Ranking_Option2!$L140)/($L$3))*100</f>
        <v>0.73017254138616172</v>
      </c>
      <c r="O140" s="39" t="e">
        <f>FME_Ranking2[[#This Row],[Norm Data4]]*L$4</f>
        <v>#REF!</v>
      </c>
      <c r="P140" s="34">
        <f>_xlfn.XLOOKUP(FME_Ranking2[[#This Row],[FME ID]],FME_Input[FME_ID],FME_Input[POP100])</f>
        <v>34907</v>
      </c>
      <c r="Q140" s="35" t="e">
        <f>FME_Ranking_Option2!$P140*P$4</f>
        <v>#REF!</v>
      </c>
      <c r="R140" s="35">
        <f>FME_Ranking_Option2!$P140/($P$3)</f>
        <v>1.2811610202896678E-2</v>
      </c>
      <c r="S140" s="35" t="e">
        <f>FME_Ranking_Option2!$R140*P$4</f>
        <v>#REF!</v>
      </c>
      <c r="T140" s="37">
        <f>_xlfn.XLOOKUP(FME_Ranking2[[#This Row],[FME ID]],FME_Input[FME_ID],FME_Input[CRITFAC100])</f>
        <v>74</v>
      </c>
      <c r="U140" s="35" t="e">
        <f>FME_Ranking_Option2!$T140*T$4</f>
        <v>#REF!</v>
      </c>
      <c r="V140" s="35">
        <f>FME_Ranking_Option2!$T140/($T$3)</f>
        <v>1.0435763644055846E-2</v>
      </c>
      <c r="W140" s="35" t="e">
        <f>FME_Ranking_Option2!$V140*T$4</f>
        <v>#REF!</v>
      </c>
      <c r="X140" s="37">
        <f>_xlfn.XLOOKUP(FME_Ranking2[[#This Row],[FME ID]],FME_Input[FME_ID],FME_Input[LWC])</f>
        <v>10</v>
      </c>
      <c r="Y140" s="35" t="e">
        <f>FME_Ranking_Option2!$X140*X$4</f>
        <v>#REF!</v>
      </c>
      <c r="Z140" s="35">
        <f>FME_Ranking_Option2!$X140/($X$3)</f>
        <v>9.1224229155263637E-4</v>
      </c>
      <c r="AA140" s="35" t="e">
        <f>FME_Ranking_Option2!$Z140*X$4</f>
        <v>#REF!</v>
      </c>
      <c r="AB140" s="37">
        <f>_xlfn.XLOOKUP(FME_Ranking2[[#This Row],[FME ID]],FME_Input[FME_ID],FME_Input[ROADCLS])</f>
        <v>10</v>
      </c>
      <c r="AC140" s="35" t="e">
        <f>FME_Ranking_Option2!$AB140*AB$4</f>
        <v>#REF!</v>
      </c>
      <c r="AD140" s="40">
        <f>_xlfn.XLOOKUP(FME_Ranking2[[#This Row],[FME ID]],FME_Input[FME_ID],FME_Input[ROAD_MILES100])</f>
        <v>102.9738006591797</v>
      </c>
      <c r="AE140" s="41" t="e">
        <f>FME_Ranking_Option2!$AD140*AD$4</f>
        <v>#REF!</v>
      </c>
      <c r="AF140" s="42">
        <f>FME_Ranking_Option2!$AD140/($AD$3)</f>
        <v>2.3258983675985361E-3</v>
      </c>
      <c r="AG140" s="42" t="e">
        <f>FME_Ranking_Option2!$AF140*AD$4</f>
        <v>#REF!</v>
      </c>
      <c r="AH140" s="40">
        <f>_xlfn.XLOOKUP(FME_Ranking2[[#This Row],[FME ID]],FME_Input[FME_ID],FME_Input[FARMACRE100])</f>
        <v>50.513633728027337</v>
      </c>
      <c r="AI140" s="43" t="e">
        <f>FME_Ranking_Option2!$AH140*AH$4</f>
        <v>#REF!</v>
      </c>
      <c r="AJ140" s="41">
        <f>FME_Ranking_Option2!$AH140/($AH$3)</f>
        <v>2.933121609124908E-3</v>
      </c>
      <c r="AK140" s="44" t="e">
        <f>FME_Ranking_Option2!$AJ140*AH$4</f>
        <v>#REF!</v>
      </c>
      <c r="AL14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40" s="45" t="e">
        <f>_xlfn.RANK.EQ(AL140,$AL$7:$AL$531)+COUNTIF(AL$7:AL140,AL140)-1</f>
        <v>#REF!</v>
      </c>
      <c r="AN140" s="44"/>
      <c r="AO140" s="45" t="e">
        <f>_xlfn.RANK.EQ(AN140,$AN$7:$AN$531)+COUNTIF(AN$7:AN140,AN140)-1</f>
        <v>#N/A</v>
      </c>
      <c r="AP14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40" s="32" t="e">
        <f>FME_Ranking2[[#This Row],[Score Based on Reported Factors]]-FME_Ranking2[[#This Row],[Check]]</f>
        <v>#REF!</v>
      </c>
      <c r="AR140" s="32"/>
    </row>
    <row r="141" spans="1:55" ht="12" customHeight="1" x14ac:dyDescent="0.25">
      <c r="A141" s="16" t="s">
        <v>1395</v>
      </c>
      <c r="B141" s="16" t="str">
        <f>_xlfn.XLOOKUP(FME_Ranking2[[#This Row],[FME ID]],FME_Input[FME_ID],FME_Input[FME_NAME])</f>
        <v>White Oak Bayou Watershed Study</v>
      </c>
      <c r="C141" s="16" t="str">
        <f>_xlfn.XLOOKUP(FME_Ranking2[[#This Row],[FME ID]],FME_Input[FME_ID],FME_Input[DESCR])</f>
        <v>Watershed wide study using latest data, including MAAPnext models and Atlas 14 rainfall. Study to identify flooding issues within watershed, identify projects to reduce flooding, and provide cost estimates and benefit and cost metrics for each project.</v>
      </c>
      <c r="D141" s="46" t="str">
        <f>_xlfn.XLOOKUP(FME_Ranking2[[#This Row],[FME ID]],FME_Input[FME_ID],FME_Input[EMER_NEED])</f>
        <v>Yes</v>
      </c>
      <c r="E141" s="121">
        <f>IF(FME_Ranking_Option2!$D141="Yes",100,0)</f>
        <v>100</v>
      </c>
      <c r="F141" s="47" t="str">
        <f>_xlfn.XLOOKUP(FME_Ranking2[[#This Row],[FME ID]],FME_Input[FME_ID],FME_Input[FUND])</f>
        <v>Yes</v>
      </c>
      <c r="G141" s="48">
        <f>IF(FME_Ranking_Option2!$F141="Yes",1,0)</f>
        <v>1</v>
      </c>
      <c r="H141" s="46">
        <f>_xlfn.XLOOKUP(FME_Ranking2[[#This Row],[FME ID]],FME_Input[FME_ID],FME_Input[STRUCT_100])</f>
        <v>17103</v>
      </c>
      <c r="I141" s="65" t="e">
        <f>FME_Ranking2[[#This Row],[Raw Data3]]*H$4</f>
        <v>#REF!</v>
      </c>
      <c r="J141" s="62">
        <f>((FME_Ranking_Option2!$H141)/($H$3))*100</f>
        <v>1.9006099776745282</v>
      </c>
      <c r="K141" s="49" t="e">
        <f>FME_Ranking2[[#This Row],[Norm Data3]]*H$4</f>
        <v>#REF!</v>
      </c>
      <c r="L141" s="50">
        <f>_xlfn.XLOOKUP(FME_Ranking2[[#This Row],[FME ID]],FME_Input[FME_ID],FME_Input[RES_STRUCT100])</f>
        <v>14706</v>
      </c>
      <c r="M141" s="51" t="e">
        <f>FME_Ranking2[[#This Row],[Raw Data4]]*L$4</f>
        <v>#REF!</v>
      </c>
      <c r="N141" s="29">
        <f>((FME_Ranking_Option2!$L141)/($L$3))*100</f>
        <v>2.1985907849354822</v>
      </c>
      <c r="O141" s="52" t="e">
        <f>FME_Ranking2[[#This Row],[Norm Data4]]*L$4</f>
        <v>#REF!</v>
      </c>
      <c r="P141" s="47">
        <f>_xlfn.XLOOKUP(FME_Ranking2[[#This Row],[FME ID]],FME_Input[FME_ID],FME_Input[POP100])</f>
        <v>127789</v>
      </c>
      <c r="Q141" s="48" t="e">
        <f>FME_Ranking_Option2!$P141*P$4</f>
        <v>#REF!</v>
      </c>
      <c r="R141" s="48">
        <f>FME_Ranking_Option2!$P141/($P$3)</f>
        <v>4.6901276426446377E-2</v>
      </c>
      <c r="S141" s="48" t="e">
        <f>FME_Ranking_Option2!$R141*P$4</f>
        <v>#REF!</v>
      </c>
      <c r="T141" s="50">
        <f>_xlfn.XLOOKUP(FME_Ranking2[[#This Row],[FME ID]],FME_Input[FME_ID],FME_Input[CRITFAC100])</f>
        <v>149</v>
      </c>
      <c r="U141" s="48" t="e">
        <f>FME_Ranking_Option2!$T141*T$4</f>
        <v>#REF!</v>
      </c>
      <c r="V141" s="48">
        <f>FME_Ranking_Option2!$T141/($T$3)</f>
        <v>2.1012551121139474E-2</v>
      </c>
      <c r="W141" s="48" t="e">
        <f>FME_Ranking_Option2!$V141*T$4</f>
        <v>#REF!</v>
      </c>
      <c r="X141" s="50">
        <f>_xlfn.XLOOKUP(FME_Ranking2[[#This Row],[FME ID]],FME_Input[FME_ID],FME_Input[LWC])</f>
        <v>4</v>
      </c>
      <c r="Y141" s="48" t="e">
        <f>FME_Ranking_Option2!$X141*X$4</f>
        <v>#REF!</v>
      </c>
      <c r="Z141" s="48">
        <f>FME_Ranking_Option2!$X141/($X$3)</f>
        <v>3.6489691662105453E-4</v>
      </c>
      <c r="AA141" s="48" t="e">
        <f>FME_Ranking_Option2!$Z141*X$4</f>
        <v>#REF!</v>
      </c>
      <c r="AB141" s="50">
        <f>_xlfn.XLOOKUP(FME_Ranking2[[#This Row],[FME ID]],FME_Input[FME_ID],FME_Input[ROADCLS])</f>
        <v>4</v>
      </c>
      <c r="AC141" s="48" t="e">
        <f>FME_Ranking_Option2!$AB141*AB$4</f>
        <v>#REF!</v>
      </c>
      <c r="AD141" s="53">
        <f>_xlfn.XLOOKUP(FME_Ranking2[[#This Row],[FME ID]],FME_Input[FME_ID],FME_Input[ROAD_MILES100])</f>
        <v>280.86917114257813</v>
      </c>
      <c r="AE141" s="54" t="e">
        <f>FME_Ranking_Option2!$AD141*AD$4</f>
        <v>#REF!</v>
      </c>
      <c r="AF141" s="55">
        <f>FME_Ranking_Option2!$AD141/($AD$3)</f>
        <v>6.3440714287264647E-3</v>
      </c>
      <c r="AG141" s="55" t="e">
        <f>FME_Ranking_Option2!$AF141*AD$4</f>
        <v>#REF!</v>
      </c>
      <c r="AH141" s="53">
        <f>_xlfn.XLOOKUP(FME_Ranking2[[#This Row],[FME ID]],FME_Input[FME_ID],FME_Input[FARMACRE100])</f>
        <v>28.36691856384277</v>
      </c>
      <c r="AI141" s="54" t="e">
        <f>FME_Ranking_Option2!$AH141*AH$4</f>
        <v>#REF!</v>
      </c>
      <c r="AJ141" s="56">
        <f>FME_Ranking_Option2!$AH141/($AH$3)</f>
        <v>1.6471517822668228E-3</v>
      </c>
      <c r="AK141" s="57" t="e">
        <f>FME_Ranking_Option2!$AJ141*AH$4</f>
        <v>#REF!</v>
      </c>
      <c r="AL14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41" s="58" t="e">
        <f>_xlfn.RANK.EQ(AL141,$AL$7:$AL$531)+COUNTIF(AL$7:AL141,AL141)-1</f>
        <v>#REF!</v>
      </c>
      <c r="AN141" s="57"/>
      <c r="AO141" s="58" t="e">
        <f>_xlfn.RANK.EQ(AN141,$AN$7:$AN$531)+COUNTIF(AN$7:AN141,AN141)-1</f>
        <v>#N/A</v>
      </c>
      <c r="AP14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41" s="32" t="e">
        <f>FME_Ranking2[[#This Row],[Score Based on Reported Factors]]-FME_Ranking2[[#This Row],[Check]]</f>
        <v>#REF!</v>
      </c>
      <c r="AR141" s="32"/>
      <c r="AT141" s="19"/>
      <c r="AU141" s="19"/>
      <c r="AV141" s="19"/>
      <c r="AW141" s="19"/>
      <c r="AX141" s="19"/>
      <c r="AY141" s="19"/>
      <c r="AZ141" s="19"/>
      <c r="BA141" s="19"/>
      <c r="BB141" s="19"/>
      <c r="BC141" s="19"/>
    </row>
    <row r="142" spans="1:55" ht="12" customHeight="1" x14ac:dyDescent="0.25">
      <c r="A142" s="17" t="s">
        <v>2228</v>
      </c>
      <c r="B142" s="17" t="str">
        <f>_xlfn.XLOOKUP(FME_Ranking2[[#This Row],[FME ID]],FME_Input[FME_ID],FME_Input[FME_NAME])</f>
        <v>Upper Greens Bayou Watershed Study</v>
      </c>
      <c r="C142" s="17" t="str">
        <f>_xlfn.XLOOKUP(FME_Ranking2[[#This Row],[FME ID]],FME_Input[FME_ID],FME_Input[DESCR])</f>
        <v>Watershed wide study using latest data, including MAAPnext models and Atlas 14 rainfall. Study to identify flooding issues within watershed, identify projects to reduce flooding, and provide cost estimates and benefit and cost metrics for each project.</v>
      </c>
      <c r="D142" s="33" t="str">
        <f>_xlfn.XLOOKUP(FME_Ranking2[[#This Row],[FME ID]],FME_Input[FME_ID],FME_Input[EMER_NEED])</f>
        <v>Yes</v>
      </c>
      <c r="E142" s="120">
        <f>IF(FME_Ranking_Option2!$D142="Yes",100,0)</f>
        <v>100</v>
      </c>
      <c r="F142" s="34" t="str">
        <f>_xlfn.XLOOKUP(FME_Ranking2[[#This Row],[FME ID]],FME_Input[FME_ID],FME_Input[FUND])</f>
        <v>Yes</v>
      </c>
      <c r="G142" s="35">
        <f>IF(FME_Ranking_Option2!$F142="Yes",1,0)</f>
        <v>1</v>
      </c>
      <c r="H142" s="33">
        <f>_xlfn.XLOOKUP(FME_Ranking2[[#This Row],[FME ID]],FME_Input[FME_ID],FME_Input[STRUCT_100])</f>
        <v>24236</v>
      </c>
      <c r="I142" s="64" t="e">
        <f>FME_Ranking2[[#This Row],[Raw Data3]]*H$4</f>
        <v>#REF!</v>
      </c>
      <c r="J142" s="63">
        <f>((FME_Ranking_Option2!$H142)/($H$3))*100</f>
        <v>2.6932809108881401</v>
      </c>
      <c r="K142" s="36" t="e">
        <f>FME_Ranking2[[#This Row],[Norm Data3]]*H$4</f>
        <v>#REF!</v>
      </c>
      <c r="L142" s="37">
        <f>_xlfn.XLOOKUP(FME_Ranking2[[#This Row],[FME ID]],FME_Input[FME_ID],FME_Input[RES_STRUCT100])</f>
        <v>18993</v>
      </c>
      <c r="M142" s="38" t="e">
        <f>FME_Ranking2[[#This Row],[Raw Data4]]*L$4</f>
        <v>#REF!</v>
      </c>
      <c r="N142" s="28">
        <f>((FME_Ranking_Option2!$L142)/($L$3))*100</f>
        <v>2.8395100488426226</v>
      </c>
      <c r="O142" s="39" t="e">
        <f>FME_Ranking2[[#This Row],[Norm Data4]]*L$4</f>
        <v>#REF!</v>
      </c>
      <c r="P142" s="34">
        <f>_xlfn.XLOOKUP(FME_Ranking2[[#This Row],[FME ID]],FME_Input[FME_ID],FME_Input[POP100])</f>
        <v>155940</v>
      </c>
      <c r="Q142" s="35" t="e">
        <f>FME_Ranking_Option2!$P142*P$4</f>
        <v>#REF!</v>
      </c>
      <c r="R142" s="35">
        <f>FME_Ranking_Option2!$P142/($P$3)</f>
        <v>5.723329117482763E-2</v>
      </c>
      <c r="S142" s="35" t="e">
        <f>FME_Ranking_Option2!$R142*P$4</f>
        <v>#REF!</v>
      </c>
      <c r="T142" s="37">
        <f>_xlfn.XLOOKUP(FME_Ranking2[[#This Row],[FME ID]],FME_Input[FME_ID],FME_Input[CRITFAC100])</f>
        <v>418</v>
      </c>
      <c r="U142" s="35" t="e">
        <f>FME_Ranking_Option2!$T142*T$4</f>
        <v>#REF!</v>
      </c>
      <c r="V142" s="35">
        <f>FME_Ranking_Option2!$T142/($T$3)</f>
        <v>5.8947962205612749E-2</v>
      </c>
      <c r="W142" s="35" t="e">
        <f>FME_Ranking_Option2!$V142*T$4</f>
        <v>#REF!</v>
      </c>
      <c r="X142" s="37">
        <f>_xlfn.XLOOKUP(FME_Ranking2[[#This Row],[FME ID]],FME_Input[FME_ID],FME_Input[LWC])</f>
        <v>17</v>
      </c>
      <c r="Y142" s="35" t="e">
        <f>FME_Ranking_Option2!$X142*X$4</f>
        <v>#REF!</v>
      </c>
      <c r="Z142" s="35">
        <f>FME_Ranking_Option2!$X142/($X$3)</f>
        <v>1.5508118956394819E-3</v>
      </c>
      <c r="AA142" s="35" t="e">
        <f>FME_Ranking_Option2!$Z142*X$4</f>
        <v>#REF!</v>
      </c>
      <c r="AB142" s="37">
        <f>_xlfn.XLOOKUP(FME_Ranking2[[#This Row],[FME ID]],FME_Input[FME_ID],FME_Input[ROADCLS])</f>
        <v>17</v>
      </c>
      <c r="AC142" s="35" t="e">
        <f>FME_Ranking_Option2!$AB142*AB$4</f>
        <v>#REF!</v>
      </c>
      <c r="AD142" s="40">
        <f>_xlfn.XLOOKUP(FME_Ranking2[[#This Row],[FME ID]],FME_Input[FME_ID],FME_Input[ROAD_MILES100])</f>
        <v>320.19662475585938</v>
      </c>
      <c r="AE142" s="41" t="e">
        <f>FME_Ranking_Option2!$AD142*AD$4</f>
        <v>#REF!</v>
      </c>
      <c r="AF142" s="42">
        <f>FME_Ranking_Option2!$AD142/($AD$3)</f>
        <v>7.2323717495399965E-3</v>
      </c>
      <c r="AG142" s="42" t="e">
        <f>FME_Ranking_Option2!$AF142*AD$4</f>
        <v>#REF!</v>
      </c>
      <c r="AH142" s="40">
        <f>_xlfn.XLOOKUP(FME_Ranking2[[#This Row],[FME ID]],FME_Input[FME_ID],FME_Input[FARMACRE100])</f>
        <v>161.00321960449219</v>
      </c>
      <c r="AI142" s="43" t="e">
        <f>FME_Ranking_Option2!$AH142*AH$4</f>
        <v>#REF!</v>
      </c>
      <c r="AJ142" s="41">
        <f>FME_Ranking_Option2!$AH142/($AH$3)</f>
        <v>9.3488032380176396E-3</v>
      </c>
      <c r="AK142" s="44" t="e">
        <f>FME_Ranking_Option2!$AJ142*AH$4</f>
        <v>#REF!</v>
      </c>
      <c r="AL142"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42" s="45" t="e">
        <f>_xlfn.RANK.EQ(AL142,$AL$7:$AL$531)+COUNTIF(AL$7:AL142,AL142)-1</f>
        <v>#REF!</v>
      </c>
      <c r="AN142" s="44"/>
      <c r="AO142" s="45" t="e">
        <f>_xlfn.RANK.EQ(AN142,$AN$7:$AN$531)+COUNTIF(AN$7:AN142,AN142)-1</f>
        <v>#N/A</v>
      </c>
      <c r="AP14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42" s="32" t="e">
        <f>FME_Ranking2[[#This Row],[Score Based on Reported Factors]]-FME_Ranking2[[#This Row],[Check]]</f>
        <v>#REF!</v>
      </c>
      <c r="AR142" s="32"/>
    </row>
    <row r="143" spans="1:55" ht="12" customHeight="1" x14ac:dyDescent="0.25">
      <c r="A143" s="16" t="s">
        <v>1401</v>
      </c>
      <c r="B143" s="16" t="str">
        <f>_xlfn.XLOOKUP(FME_Ranking2[[#This Row],[FME ID]],FME_Input[FME_ID],FME_Input[FME_NAME])</f>
        <v>Brays Bayou - Poor Farm Ditch</v>
      </c>
      <c r="C143" s="16" t="str">
        <f>_xlfn.XLOOKUP(FME_Ranking2[[#This Row],[FME ID]],FME_Input[FME_ID],FME_Input[DESCR])</f>
        <v>Study to develop a BCR and elevate project to a FMP. Further study of channel improvements from partnership project to restore channel conveyanve including Atlas 14 rainfalls.</v>
      </c>
      <c r="D143" s="46" t="str">
        <f>_xlfn.XLOOKUP(FME_Ranking2[[#This Row],[FME ID]],FME_Input[FME_ID],FME_Input[EMER_NEED])</f>
        <v>No</v>
      </c>
      <c r="E143" s="121">
        <f>IF(FME_Ranking_Option2!$D143="Yes",100,0)</f>
        <v>0</v>
      </c>
      <c r="F143" s="47" t="str">
        <f>_xlfn.XLOOKUP(FME_Ranking2[[#This Row],[FME ID]],FME_Input[FME_ID],FME_Input[FUND])</f>
        <v>Yes</v>
      </c>
      <c r="G143" s="48">
        <f>IF(FME_Ranking_Option2!$F143="Yes",1,0)</f>
        <v>1</v>
      </c>
      <c r="H143" s="46">
        <f>_xlfn.XLOOKUP(FME_Ranking2[[#This Row],[FME ID]],FME_Input[FME_ID],FME_Input[STRUCT_100])</f>
        <v>3295</v>
      </c>
      <c r="I143" s="65" t="e">
        <f>FME_Ranking2[[#This Row],[Raw Data3]]*H$4</f>
        <v>#REF!</v>
      </c>
      <c r="J143" s="62">
        <f>((FME_Ranking_Option2!$H143)/($H$3))*100</f>
        <v>0.36616440837499681</v>
      </c>
      <c r="K143" s="49" t="e">
        <f>FME_Ranking2[[#This Row],[Norm Data3]]*H$4</f>
        <v>#REF!</v>
      </c>
      <c r="L143" s="50">
        <f>_xlfn.XLOOKUP(FME_Ranking2[[#This Row],[FME ID]],FME_Input[FME_ID],FME_Input[RES_STRUCT100])</f>
        <v>3096</v>
      </c>
      <c r="M143" s="51" t="e">
        <f>FME_Ranking2[[#This Row],[Raw Data4]]*L$4</f>
        <v>#REF!</v>
      </c>
      <c r="N143" s="29">
        <f>((FME_Ranking_Option2!$L143)/($L$3))*100</f>
        <v>0.46286121788115409</v>
      </c>
      <c r="O143" s="52" t="e">
        <f>FME_Ranking2[[#This Row],[Norm Data4]]*L$4</f>
        <v>#REF!</v>
      </c>
      <c r="P143" s="47">
        <f>_xlfn.XLOOKUP(FME_Ranking2[[#This Row],[FME ID]],FME_Input[FME_ID],FME_Input[POP100])</f>
        <v>25842</v>
      </c>
      <c r="Q143" s="48" t="e">
        <f>FME_Ranking_Option2!$P143*P$4</f>
        <v>#REF!</v>
      </c>
      <c r="R143" s="48">
        <f>FME_Ranking_Option2!$P143/($P$3)</f>
        <v>9.4845627198915962E-3</v>
      </c>
      <c r="S143" s="48" t="e">
        <f>FME_Ranking_Option2!$R143*P$4</f>
        <v>#REF!</v>
      </c>
      <c r="T143" s="50">
        <f>_xlfn.XLOOKUP(FME_Ranking2[[#This Row],[FME ID]],FME_Input[FME_ID],FME_Input[CRITFAC100])</f>
        <v>34</v>
      </c>
      <c r="U143" s="48" t="e">
        <f>FME_Ranking_Option2!$T143*T$4</f>
        <v>#REF!</v>
      </c>
      <c r="V143" s="48">
        <f>FME_Ranking_Option2!$T143/($T$3)</f>
        <v>4.7948103229445774E-3</v>
      </c>
      <c r="W143" s="48" t="e">
        <f>FME_Ranking_Option2!$V143*T$4</f>
        <v>#REF!</v>
      </c>
      <c r="X143" s="50">
        <f>_xlfn.XLOOKUP(FME_Ranking2[[#This Row],[FME ID]],FME_Input[FME_ID],FME_Input[LWC])</f>
        <v>0</v>
      </c>
      <c r="Y143" s="48" t="e">
        <f>FME_Ranking_Option2!$X143*X$4</f>
        <v>#REF!</v>
      </c>
      <c r="Z143" s="48">
        <f>FME_Ranking_Option2!$X143/($X$3)</f>
        <v>0</v>
      </c>
      <c r="AA143" s="48" t="e">
        <f>FME_Ranking_Option2!$Z143*X$4</f>
        <v>#REF!</v>
      </c>
      <c r="AB143" s="50">
        <f>_xlfn.XLOOKUP(FME_Ranking2[[#This Row],[FME ID]],FME_Input[FME_ID],FME_Input[ROADCLS])</f>
        <v>0</v>
      </c>
      <c r="AC143" s="48" t="e">
        <f>FME_Ranking_Option2!$AB143*AB$4</f>
        <v>#REF!</v>
      </c>
      <c r="AD143" s="53">
        <f>_xlfn.XLOOKUP(FME_Ranking2[[#This Row],[FME ID]],FME_Input[FME_ID],FME_Input[ROAD_MILES100])</f>
        <v>37.208820343017578</v>
      </c>
      <c r="AE143" s="54" t="e">
        <f>FME_Ranking_Option2!$AD143*AD$4</f>
        <v>#REF!</v>
      </c>
      <c r="AF143" s="55">
        <f>FME_Ranking_Option2!$AD143/($AD$3)</f>
        <v>8.4044615175983355E-4</v>
      </c>
      <c r="AG143" s="55" t="e">
        <f>FME_Ranking_Option2!$AF143*AD$4</f>
        <v>#REF!</v>
      </c>
      <c r="AH143" s="53">
        <f>_xlfn.XLOOKUP(FME_Ranking2[[#This Row],[FME ID]],FME_Input[FME_ID],FME_Input[FARMACRE100])</f>
        <v>0.39104369282722468</v>
      </c>
      <c r="AI143" s="54" t="e">
        <f>FME_Ranking_Option2!$AH143*AH$4</f>
        <v>#REF!</v>
      </c>
      <c r="AJ143" s="56">
        <f>FME_Ranking_Option2!$AH143/($AH$3)</f>
        <v>2.2706319480380951E-5</v>
      </c>
      <c r="AK143" s="57" t="e">
        <f>FME_Ranking_Option2!$AJ143*AH$4</f>
        <v>#REF!</v>
      </c>
      <c r="AL143"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43" s="58" t="e">
        <f>_xlfn.RANK.EQ(AL143,$AL$7:$AL$531)+COUNTIF(AL$7:AL143,AL143)-1</f>
        <v>#REF!</v>
      </c>
      <c r="AN143" s="57"/>
      <c r="AO143" s="58" t="e">
        <f>_xlfn.RANK.EQ(AN143,$AN$7:$AN$531)+COUNTIF(AN$7:AN143,AN143)-1</f>
        <v>#N/A</v>
      </c>
      <c r="AP14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43" s="32" t="e">
        <f>FME_Ranking2[[#This Row],[Score Based on Reported Factors]]-FME_Ranking2[[#This Row],[Check]]</f>
        <v>#REF!</v>
      </c>
      <c r="AR143" s="32"/>
      <c r="AT143" s="19"/>
      <c r="AU143" s="19"/>
      <c r="AV143" s="19"/>
      <c r="AW143" s="19"/>
      <c r="AX143" s="19"/>
      <c r="AY143" s="19"/>
      <c r="AZ143" s="19"/>
      <c r="BA143" s="19"/>
      <c r="BB143" s="19"/>
      <c r="BC143" s="19"/>
    </row>
    <row r="144" spans="1:55" ht="12" customHeight="1" x14ac:dyDescent="0.25">
      <c r="A144" s="17" t="s">
        <v>1459</v>
      </c>
      <c r="B144" s="17" t="str">
        <f>_xlfn.XLOOKUP(FME_Ranking2[[#This Row],[FME ID]],FME_Input[FME_ID],FME_Input[FME_NAME])</f>
        <v xml:space="preserve">Brays Bayou Restore Channel Conveyance Capacity Along D115-00-00 </v>
      </c>
      <c r="C144" s="17" t="str">
        <f>_xlfn.XLOOKUP(FME_Ranking2[[#This Row],[FME ID]],FME_Input[FME_ID],FME_Input[DESCR])</f>
        <v>Further study of channel improvements from partnership project to restore channel conveyanve including Atlas 14 rainfalls.</v>
      </c>
      <c r="D144" s="33" t="str">
        <f>_xlfn.XLOOKUP(FME_Ranking2[[#This Row],[FME ID]],FME_Input[FME_ID],FME_Input[EMER_NEED])</f>
        <v>No</v>
      </c>
      <c r="E144" s="120">
        <f>IF(FME_Ranking_Option2!$D144="Yes",100,0)</f>
        <v>0</v>
      </c>
      <c r="F144" s="34" t="str">
        <f>_xlfn.XLOOKUP(FME_Ranking2[[#This Row],[FME ID]],FME_Input[FME_ID],FME_Input[FUND])</f>
        <v>Yes</v>
      </c>
      <c r="G144" s="35">
        <f>IF(FME_Ranking_Option2!$F144="Yes",1,0)</f>
        <v>1</v>
      </c>
      <c r="H144" s="33">
        <f>_xlfn.XLOOKUP(FME_Ranking2[[#This Row],[FME ID]],FME_Input[FME_ID],FME_Input[STRUCT_100])</f>
        <v>5579</v>
      </c>
      <c r="I144" s="64" t="e">
        <f>FME_Ranking2[[#This Row],[Raw Data3]]*H$4</f>
        <v>#REF!</v>
      </c>
      <c r="J144" s="63">
        <f>((FME_Ranking_Option2!$H144)/($H$3))*100</f>
        <v>0.6199791302956319</v>
      </c>
      <c r="K144" s="36" t="e">
        <f>FME_Ranking2[[#This Row],[Norm Data3]]*H$4</f>
        <v>#REF!</v>
      </c>
      <c r="L144" s="37">
        <f>_xlfn.XLOOKUP(FME_Ranking2[[#This Row],[FME ID]],FME_Input[FME_ID],FME_Input[RES_STRUCT100])</f>
        <v>5255</v>
      </c>
      <c r="M144" s="38" t="e">
        <f>FME_Ranking2[[#This Row],[Raw Data4]]*L$4</f>
        <v>#REF!</v>
      </c>
      <c r="N144" s="28">
        <f>((FME_Ranking_Option2!$L144)/($L$3))*100</f>
        <v>0.78563814598367721</v>
      </c>
      <c r="O144" s="39" t="e">
        <f>FME_Ranking2[[#This Row],[Norm Data4]]*L$4</f>
        <v>#REF!</v>
      </c>
      <c r="P144" s="34">
        <f>_xlfn.XLOOKUP(FME_Ranking2[[#This Row],[FME ID]],FME_Input[FME_ID],FME_Input[POP100])</f>
        <v>34583</v>
      </c>
      <c r="Q144" s="35" t="e">
        <f>FME_Ranking_Option2!$P144*P$4</f>
        <v>#REF!</v>
      </c>
      <c r="R144" s="35">
        <f>FME_Ranking_Option2!$P144/($P$3)</f>
        <v>1.2692695323195228E-2</v>
      </c>
      <c r="S144" s="35" t="e">
        <f>FME_Ranking_Option2!$R144*P$4</f>
        <v>#REF!</v>
      </c>
      <c r="T144" s="37">
        <f>_xlfn.XLOOKUP(FME_Ranking2[[#This Row],[FME ID]],FME_Input[FME_ID],FME_Input[CRITFAC100])</f>
        <v>75</v>
      </c>
      <c r="U144" s="35" t="e">
        <f>FME_Ranking_Option2!$T144*T$4</f>
        <v>#REF!</v>
      </c>
      <c r="V144" s="35">
        <f>FME_Ranking_Option2!$T144/($T$3)</f>
        <v>1.0576787477083627E-2</v>
      </c>
      <c r="W144" s="35" t="e">
        <f>FME_Ranking_Option2!$V144*T$4</f>
        <v>#REF!</v>
      </c>
      <c r="X144" s="37">
        <f>_xlfn.XLOOKUP(FME_Ranking2[[#This Row],[FME ID]],FME_Input[FME_ID],FME_Input[LWC])</f>
        <v>0</v>
      </c>
      <c r="Y144" s="35" t="e">
        <f>FME_Ranking_Option2!$X144*X$4</f>
        <v>#REF!</v>
      </c>
      <c r="Z144" s="35">
        <f>FME_Ranking_Option2!$X144/($X$3)</f>
        <v>0</v>
      </c>
      <c r="AA144" s="35" t="e">
        <f>FME_Ranking_Option2!$Z144*X$4</f>
        <v>#REF!</v>
      </c>
      <c r="AB144" s="37">
        <f>_xlfn.XLOOKUP(FME_Ranking2[[#This Row],[FME ID]],FME_Input[FME_ID],FME_Input[ROADCLS])</f>
        <v>0</v>
      </c>
      <c r="AC144" s="35" t="e">
        <f>FME_Ranking_Option2!$AB144*AB$4</f>
        <v>#REF!</v>
      </c>
      <c r="AD144" s="40">
        <f>_xlfn.XLOOKUP(FME_Ranking2[[#This Row],[FME ID]],FME_Input[FME_ID],FME_Input[ROAD_MILES100])</f>
        <v>59.06512451171875</v>
      </c>
      <c r="AE144" s="41" t="e">
        <f>FME_Ranking_Option2!$AD144*AD$4</f>
        <v>#REF!</v>
      </c>
      <c r="AF144" s="42">
        <f>FME_Ranking_Option2!$AD144/($AD$3)</f>
        <v>1.3341206773410874E-3</v>
      </c>
      <c r="AG144" s="42" t="e">
        <f>FME_Ranking_Option2!$AF144*AD$4</f>
        <v>#REF!</v>
      </c>
      <c r="AH144" s="40">
        <f>_xlfn.XLOOKUP(FME_Ranking2[[#This Row],[FME ID]],FME_Input[FME_ID],FME_Input[FARMACRE100])</f>
        <v>0.97406774759292603</v>
      </c>
      <c r="AI144" s="43" t="e">
        <f>FME_Ranking_Option2!$AH144*AH$4</f>
        <v>#REF!</v>
      </c>
      <c r="AJ144" s="41">
        <f>FME_Ranking_Option2!$AH144/($AH$3)</f>
        <v>5.6560159077037595E-5</v>
      </c>
      <c r="AK144" s="44" t="e">
        <f>FME_Ranking_Option2!$AJ144*AH$4</f>
        <v>#REF!</v>
      </c>
      <c r="AL144"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44" s="45" t="e">
        <f>_xlfn.RANK.EQ(AL144,$AL$7:$AL$531)+COUNTIF(AL$7:AL144,AL144)-1</f>
        <v>#REF!</v>
      </c>
      <c r="AN144" s="44"/>
      <c r="AO144" s="45" t="e">
        <f>_xlfn.RANK.EQ(AN144,$AN$7:$AN$531)+COUNTIF(AN$7:AN144,AN144)-1</f>
        <v>#N/A</v>
      </c>
      <c r="AP14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44" s="32" t="e">
        <f>FME_Ranking2[[#This Row],[Score Based on Reported Factors]]-FME_Ranking2[[#This Row],[Check]]</f>
        <v>#REF!</v>
      </c>
      <c r="AR144" s="32"/>
    </row>
    <row r="145" spans="1:55" ht="12" customHeight="1" x14ac:dyDescent="0.25">
      <c r="A145" s="16" t="s">
        <v>1408</v>
      </c>
      <c r="B145" s="16" t="str">
        <f>_xlfn.XLOOKUP(FME_Ranking2[[#This Row],[FME ID]],FME_Input[FME_ID],FME_Input[FME_NAME])</f>
        <v>Brays Bayou - Partnership Project with Fort Bend County on Right-of-Way Acquisition, Design, and Construction of General Drainage Improvements along Clodine Ditch</v>
      </c>
      <c r="C145" s="16" t="str">
        <f>_xlfn.XLOOKUP(FME_Ranking2[[#This Row],[FME ID]],FME_Input[FME_ID],FME_Input[DESCR])</f>
        <v>Further study of channel improvements from partnership project to restore channel conveyanve including Atlas 14 rainfalls.</v>
      </c>
      <c r="D145" s="46" t="str">
        <f>_xlfn.XLOOKUP(FME_Ranking2[[#This Row],[FME ID]],FME_Input[FME_ID],FME_Input[EMER_NEED])</f>
        <v>No</v>
      </c>
      <c r="E145" s="121">
        <f>IF(FME_Ranking_Option2!$D145="Yes",100,0)</f>
        <v>0</v>
      </c>
      <c r="F145" s="47" t="str">
        <f>_xlfn.XLOOKUP(FME_Ranking2[[#This Row],[FME ID]],FME_Input[FME_ID],FME_Input[FUND])</f>
        <v>Yes</v>
      </c>
      <c r="G145" s="48">
        <f>IF(FME_Ranking_Option2!$F145="Yes",1,0)</f>
        <v>1</v>
      </c>
      <c r="H145" s="46">
        <f>_xlfn.XLOOKUP(FME_Ranking2[[#This Row],[FME ID]],FME_Input[FME_ID],FME_Input[STRUCT_100])</f>
        <v>328</v>
      </c>
      <c r="I145" s="65" t="e">
        <f>FME_Ranking2[[#This Row],[Raw Data3]]*H$4</f>
        <v>#REF!</v>
      </c>
      <c r="J145" s="62">
        <f>((FME_Ranking_Option2!$H145)/($H$3))*100</f>
        <v>3.6449749908042173E-2</v>
      </c>
      <c r="K145" s="49" t="e">
        <f>FME_Ranking2[[#This Row],[Norm Data3]]*H$4</f>
        <v>#REF!</v>
      </c>
      <c r="L145" s="50">
        <f>_xlfn.XLOOKUP(FME_Ranking2[[#This Row],[FME ID]],FME_Input[FME_ID],FME_Input[RES_STRUCT100])</f>
        <v>254</v>
      </c>
      <c r="M145" s="51" t="e">
        <f>FME_Ranking2[[#This Row],[Raw Data4]]*L$4</f>
        <v>#REF!</v>
      </c>
      <c r="N145" s="29">
        <f>((FME_Ranking_Option2!$L145)/($L$3))*100</f>
        <v>3.7973756247355668E-2</v>
      </c>
      <c r="O145" s="52" t="e">
        <f>FME_Ranking2[[#This Row],[Norm Data4]]*L$4</f>
        <v>#REF!</v>
      </c>
      <c r="P145" s="47">
        <f>_xlfn.XLOOKUP(FME_Ranking2[[#This Row],[FME ID]],FME_Input[FME_ID],FME_Input[POP100])</f>
        <v>1703</v>
      </c>
      <c r="Q145" s="48" t="e">
        <f>FME_Ranking_Option2!$P145*P$4</f>
        <v>#REF!</v>
      </c>
      <c r="R145" s="48">
        <f>FME_Ranking_Option2!$P145/($P$3)</f>
        <v>6.2503716089990673E-4</v>
      </c>
      <c r="S145" s="48" t="e">
        <f>FME_Ranking_Option2!$R145*P$4</f>
        <v>#REF!</v>
      </c>
      <c r="T145" s="50">
        <f>_xlfn.XLOOKUP(FME_Ranking2[[#This Row],[FME ID]],FME_Input[FME_ID],FME_Input[CRITFAC100])</f>
        <v>1</v>
      </c>
      <c r="U145" s="48" t="e">
        <f>FME_Ranking_Option2!$T145*T$4</f>
        <v>#REF!</v>
      </c>
      <c r="V145" s="48">
        <f>FME_Ranking_Option2!$T145/($T$3)</f>
        <v>1.4102383302778171E-4</v>
      </c>
      <c r="W145" s="48" t="e">
        <f>FME_Ranking_Option2!$V145*T$4</f>
        <v>#REF!</v>
      </c>
      <c r="X145" s="50">
        <f>_xlfn.XLOOKUP(FME_Ranking2[[#This Row],[FME ID]],FME_Input[FME_ID],FME_Input[LWC])</f>
        <v>0</v>
      </c>
      <c r="Y145" s="48" t="e">
        <f>FME_Ranking_Option2!$X145*X$4</f>
        <v>#REF!</v>
      </c>
      <c r="Z145" s="48">
        <f>FME_Ranking_Option2!$X145/($X$3)</f>
        <v>0</v>
      </c>
      <c r="AA145" s="48" t="e">
        <f>FME_Ranking_Option2!$Z145*X$4</f>
        <v>#REF!</v>
      </c>
      <c r="AB145" s="50">
        <f>_xlfn.XLOOKUP(FME_Ranking2[[#This Row],[FME ID]],FME_Input[FME_ID],FME_Input[ROADCLS])</f>
        <v>0</v>
      </c>
      <c r="AC145" s="48" t="e">
        <f>FME_Ranking_Option2!$AB145*AB$4</f>
        <v>#REF!</v>
      </c>
      <c r="AD145" s="53">
        <f>_xlfn.XLOOKUP(FME_Ranking2[[#This Row],[FME ID]],FME_Input[FME_ID],FME_Input[ROAD_MILES100])</f>
        <v>19.764970779418949</v>
      </c>
      <c r="AE145" s="54" t="e">
        <f>FME_Ranking_Option2!$AD145*AD$4</f>
        <v>#REF!</v>
      </c>
      <c r="AF145" s="55">
        <f>FME_Ranking_Option2!$AD145/($AD$3)</f>
        <v>4.4643698666263748E-4</v>
      </c>
      <c r="AG145" s="55" t="e">
        <f>FME_Ranking_Option2!$AF145*AD$4</f>
        <v>#REF!</v>
      </c>
      <c r="AH145" s="53">
        <f>_xlfn.XLOOKUP(FME_Ranking2[[#This Row],[FME ID]],FME_Input[FME_ID],FME_Input[FARMACRE100])</f>
        <v>217.6001892089844</v>
      </c>
      <c r="AI145" s="54" t="e">
        <f>FME_Ranking_Option2!$AH145*AH$4</f>
        <v>#REF!</v>
      </c>
      <c r="AJ145" s="56">
        <f>FME_Ranking_Option2!$AH145/($AH$3)</f>
        <v>1.2635159461205241E-2</v>
      </c>
      <c r="AK145" s="57" t="e">
        <f>FME_Ranking_Option2!$AJ145*AH$4</f>
        <v>#REF!</v>
      </c>
      <c r="AL145"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45" s="58" t="e">
        <f>_xlfn.RANK.EQ(AL145,$AL$7:$AL$531)+COUNTIF(AL$7:AL145,AL145)-1</f>
        <v>#REF!</v>
      </c>
      <c r="AN145" s="57"/>
      <c r="AO145" s="58" t="e">
        <f>_xlfn.RANK.EQ(AN145,$AN$7:$AN$531)+COUNTIF(AN$7:AN145,AN145)-1</f>
        <v>#N/A</v>
      </c>
      <c r="AP14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45" s="32" t="e">
        <f>FME_Ranking2[[#This Row],[Score Based on Reported Factors]]-FME_Ranking2[[#This Row],[Check]]</f>
        <v>#REF!</v>
      </c>
      <c r="AR145" s="32"/>
      <c r="AT145" s="19"/>
      <c r="AU145" s="19"/>
      <c r="AV145" s="19"/>
      <c r="AW145" s="19"/>
      <c r="AX145" s="19"/>
      <c r="AY145" s="19"/>
      <c r="AZ145" s="19"/>
      <c r="BA145" s="19"/>
      <c r="BB145" s="19"/>
      <c r="BC145" s="19"/>
    </row>
    <row r="146" spans="1:55" ht="12" customHeight="1" x14ac:dyDescent="0.25">
      <c r="A146" s="17" t="s">
        <v>1415</v>
      </c>
      <c r="B146" s="17" t="str">
        <f>_xlfn.XLOOKUP(FME_Ranking2[[#This Row],[FME ID]],FME_Input[FME_ID],FME_Input[FME_NAME])</f>
        <v>Spring Creek - Construction of a Reservoir along Spring Creek</v>
      </c>
      <c r="C146" s="17" t="str">
        <f>_xlfn.XLOOKUP(FME_Ranking2[[#This Row],[FME ID]],FME_Input[FME_ID],FME_Input[DESCR])</f>
        <v>Further study for design and construction of a future flood control dam and reservoir in the Spring Creek watershed.</v>
      </c>
      <c r="D146" s="33" t="str">
        <f>_xlfn.XLOOKUP(FME_Ranking2[[#This Row],[FME ID]],FME_Input[FME_ID],FME_Input[EMER_NEED])</f>
        <v>No</v>
      </c>
      <c r="E146" s="120">
        <f>IF(FME_Ranking_Option2!$D146="Yes",100,0)</f>
        <v>0</v>
      </c>
      <c r="F146" s="34" t="str">
        <f>_xlfn.XLOOKUP(FME_Ranking2[[#This Row],[FME ID]],FME_Input[FME_ID],FME_Input[FUND])</f>
        <v>Yes</v>
      </c>
      <c r="G146" s="35">
        <f>IF(FME_Ranking_Option2!$F146="Yes",1,0)</f>
        <v>1</v>
      </c>
      <c r="H146" s="33">
        <f>_xlfn.XLOOKUP(FME_Ranking2[[#This Row],[FME ID]],FME_Input[FME_ID],FME_Input[STRUCT_100])</f>
        <v>4191</v>
      </c>
      <c r="I146" s="64" t="e">
        <f>FME_Ranking2[[#This Row],[Raw Data3]]*H$4</f>
        <v>#REF!</v>
      </c>
      <c r="J146" s="63">
        <f>((FME_Ranking_Option2!$H146)/($H$3))*100</f>
        <v>0.46573445690428272</v>
      </c>
      <c r="K146" s="36" t="e">
        <f>FME_Ranking2[[#This Row],[Norm Data3]]*H$4</f>
        <v>#REF!</v>
      </c>
      <c r="L146" s="37">
        <f>_xlfn.XLOOKUP(FME_Ranking2[[#This Row],[FME ID]],FME_Input[FME_ID],FME_Input[RES_STRUCT100])</f>
        <v>3436</v>
      </c>
      <c r="M146" s="38" t="e">
        <f>FME_Ranking2[[#This Row],[Raw Data4]]*L$4</f>
        <v>#REF!</v>
      </c>
      <c r="N146" s="28">
        <f>((FME_Ranking_Option2!$L146)/($L$3))*100</f>
        <v>0.51369223018076404</v>
      </c>
      <c r="O146" s="39" t="e">
        <f>FME_Ranking2[[#This Row],[Norm Data4]]*L$4</f>
        <v>#REF!</v>
      </c>
      <c r="P146" s="34">
        <f>_xlfn.XLOOKUP(FME_Ranking2[[#This Row],[FME ID]],FME_Input[FME_ID],FME_Input[POP100])</f>
        <v>23627</v>
      </c>
      <c r="Q146" s="35" t="e">
        <f>FME_Ranking_Option2!$P146*P$4</f>
        <v>#REF!</v>
      </c>
      <c r="R146" s="35">
        <f>FME_Ranking_Option2!$P146/($P$3)</f>
        <v>8.6716106873647066E-3</v>
      </c>
      <c r="S146" s="35" t="e">
        <f>FME_Ranking_Option2!$R146*P$4</f>
        <v>#REF!</v>
      </c>
      <c r="T146" s="37">
        <f>_xlfn.XLOOKUP(FME_Ranking2[[#This Row],[FME ID]],FME_Input[FME_ID],FME_Input[CRITFAC100])</f>
        <v>44</v>
      </c>
      <c r="U146" s="35" t="e">
        <f>FME_Ranking_Option2!$T146*T$4</f>
        <v>#REF!</v>
      </c>
      <c r="V146" s="35">
        <f>FME_Ranking_Option2!$T146/($T$3)</f>
        <v>6.2050486532223949E-3</v>
      </c>
      <c r="W146" s="35" t="e">
        <f>FME_Ranking_Option2!$V146*T$4</f>
        <v>#REF!</v>
      </c>
      <c r="X146" s="37">
        <f>_xlfn.XLOOKUP(FME_Ranking2[[#This Row],[FME ID]],FME_Input[FME_ID],FME_Input[LWC])</f>
        <v>27</v>
      </c>
      <c r="Y146" s="35" t="e">
        <f>FME_Ranking_Option2!$X146*X$4</f>
        <v>#REF!</v>
      </c>
      <c r="Z146" s="35">
        <f>FME_Ranking_Option2!$X146/($X$3)</f>
        <v>2.4630541871921183E-3</v>
      </c>
      <c r="AA146" s="35" t="e">
        <f>FME_Ranking_Option2!$Z146*X$4</f>
        <v>#REF!</v>
      </c>
      <c r="AB146" s="37">
        <f>_xlfn.XLOOKUP(FME_Ranking2[[#This Row],[FME ID]],FME_Input[FME_ID],FME_Input[ROADCLS])</f>
        <v>27</v>
      </c>
      <c r="AC146" s="35" t="e">
        <f>FME_Ranking_Option2!$AB146*AB$4</f>
        <v>#REF!</v>
      </c>
      <c r="AD146" s="40">
        <f>_xlfn.XLOOKUP(FME_Ranking2[[#This Row],[FME ID]],FME_Input[FME_ID],FME_Input[ROAD_MILES100])</f>
        <v>106.1284255981445</v>
      </c>
      <c r="AE146" s="41" t="e">
        <f>FME_Ranking_Option2!$AD146*AD$4</f>
        <v>#REF!</v>
      </c>
      <c r="AF146" s="42">
        <f>FME_Ranking_Option2!$AD146/($AD$3)</f>
        <v>2.3971527735634941E-3</v>
      </c>
      <c r="AG146" s="42" t="e">
        <f>FME_Ranking_Option2!$AF146*AD$4</f>
        <v>#REF!</v>
      </c>
      <c r="AH146" s="40">
        <f>_xlfn.XLOOKUP(FME_Ranking2[[#This Row],[FME ID]],FME_Input[FME_ID],FME_Input[FARMACRE100])</f>
        <v>231.65153503417969</v>
      </c>
      <c r="AI146" s="43" t="e">
        <f>FME_Ranking_Option2!$AH146*AH$4</f>
        <v>#REF!</v>
      </c>
      <c r="AJ146" s="41">
        <f>FME_Ranking_Option2!$AH146/($AH$3)</f>
        <v>1.3451064060329332E-2</v>
      </c>
      <c r="AK146" s="44" t="e">
        <f>FME_Ranking_Option2!$AJ146*AH$4</f>
        <v>#REF!</v>
      </c>
      <c r="AL146"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46" s="45" t="e">
        <f>_xlfn.RANK.EQ(AL146,$AL$7:$AL$531)+COUNTIF(AL$7:AL146,AL146)-1</f>
        <v>#REF!</v>
      </c>
      <c r="AN146" s="44"/>
      <c r="AO146" s="45" t="e">
        <f>_xlfn.RANK.EQ(AN146,$AN$7:$AN$531)+COUNTIF(AN$7:AN146,AN146)-1</f>
        <v>#N/A</v>
      </c>
      <c r="AP14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46" s="32" t="e">
        <f>FME_Ranking2[[#This Row],[Score Based on Reported Factors]]-FME_Ranking2[[#This Row],[Check]]</f>
        <v>#REF!</v>
      </c>
      <c r="AR146" s="32"/>
    </row>
    <row r="147" spans="1:55" ht="12" customHeight="1" x14ac:dyDescent="0.25">
      <c r="A147" s="16" t="s">
        <v>1462</v>
      </c>
      <c r="B147" s="16" t="str">
        <f>_xlfn.XLOOKUP(FME_Ranking2[[#This Row],[FME ID]],FME_Input[FME_ID],FME_Input[FME_NAME])</f>
        <v>White Oak Bayou - Turkey Gully E106-00-00</v>
      </c>
      <c r="C147" s="16" t="str">
        <f>_xlfn.XLOOKUP(FME_Ranking2[[#This Row],[FME ID]],FME_Input[FME_ID],FME_Input[DESCR])</f>
        <v>Study to develop a Benefit Cost Analysis needed for this project to become a FMP. Further study of channel improvements from partnership project to restore channel conveyanve including Atlas 14 rainfalls.</v>
      </c>
      <c r="D147" s="46" t="str">
        <f>_xlfn.XLOOKUP(FME_Ranking2[[#This Row],[FME ID]],FME_Input[FME_ID],FME_Input[EMER_NEED])</f>
        <v>No</v>
      </c>
      <c r="E147" s="121">
        <f>IF(FME_Ranking_Option2!$D147="Yes",100,0)</f>
        <v>0</v>
      </c>
      <c r="F147" s="47" t="str">
        <f>_xlfn.XLOOKUP(FME_Ranking2[[#This Row],[FME ID]],FME_Input[FME_ID],FME_Input[FUND])</f>
        <v>Yes</v>
      </c>
      <c r="G147" s="48">
        <f>IF(FME_Ranking_Option2!$F147="Yes",1,0)</f>
        <v>1</v>
      </c>
      <c r="H147" s="46">
        <f>_xlfn.XLOOKUP(FME_Ranking2[[#This Row],[FME ID]],FME_Input[FME_ID],FME_Input[STRUCT_100])</f>
        <v>2540</v>
      </c>
      <c r="I147" s="65" t="e">
        <f>FME_Ranking2[[#This Row],[Raw Data3]]*H$4</f>
        <v>#REF!</v>
      </c>
      <c r="J147" s="62">
        <f>((FME_Ranking_Option2!$H147)/($H$3))*100</f>
        <v>0.28226330721471682</v>
      </c>
      <c r="K147" s="49" t="e">
        <f>FME_Ranking2[[#This Row],[Norm Data3]]*H$4</f>
        <v>#REF!</v>
      </c>
      <c r="L147" s="50">
        <f>_xlfn.XLOOKUP(FME_Ranking2[[#This Row],[FME ID]],FME_Input[FME_ID],FME_Input[RES_STRUCT100])</f>
        <v>2287</v>
      </c>
      <c r="M147" s="51" t="e">
        <f>FME_Ranking2[[#This Row],[Raw Data4]]*L$4</f>
        <v>#REF!</v>
      </c>
      <c r="N147" s="29">
        <f>((FME_Ranking_Option2!$L147)/($L$3))*100</f>
        <v>0.34191330920355278</v>
      </c>
      <c r="O147" s="52" t="e">
        <f>FME_Ranking2[[#This Row],[Norm Data4]]*L$4</f>
        <v>#REF!</v>
      </c>
      <c r="P147" s="47">
        <f>_xlfn.XLOOKUP(FME_Ranking2[[#This Row],[FME ID]],FME_Input[FME_ID],FME_Input[POP100])</f>
        <v>12780</v>
      </c>
      <c r="Q147" s="48" t="e">
        <f>FME_Ranking_Option2!$P147*P$4</f>
        <v>#REF!</v>
      </c>
      <c r="R147" s="48">
        <f>FME_Ranking_Option2!$P147/($P$3)</f>
        <v>4.6905313660016486E-3</v>
      </c>
      <c r="S147" s="48" t="e">
        <f>FME_Ranking_Option2!$R147*P$4</f>
        <v>#REF!</v>
      </c>
      <c r="T147" s="50">
        <f>_xlfn.XLOOKUP(FME_Ranking2[[#This Row],[FME ID]],FME_Input[FME_ID],FME_Input[CRITFAC100])</f>
        <v>6</v>
      </c>
      <c r="U147" s="48" t="e">
        <f>FME_Ranking_Option2!$T147*T$4</f>
        <v>#REF!</v>
      </c>
      <c r="V147" s="48">
        <f>FME_Ranking_Option2!$T147/($T$3)</f>
        <v>8.4614299816669018E-4</v>
      </c>
      <c r="W147" s="48" t="e">
        <f>FME_Ranking_Option2!$V147*T$4</f>
        <v>#REF!</v>
      </c>
      <c r="X147" s="50">
        <f>_xlfn.XLOOKUP(FME_Ranking2[[#This Row],[FME ID]],FME_Input[FME_ID],FME_Input[LWC])</f>
        <v>0</v>
      </c>
      <c r="Y147" s="48" t="e">
        <f>FME_Ranking_Option2!$X147*X$4</f>
        <v>#REF!</v>
      </c>
      <c r="Z147" s="48">
        <f>FME_Ranking_Option2!$X147/($X$3)</f>
        <v>0</v>
      </c>
      <c r="AA147" s="48" t="e">
        <f>FME_Ranking_Option2!$Z147*X$4</f>
        <v>#REF!</v>
      </c>
      <c r="AB147" s="50">
        <f>_xlfn.XLOOKUP(FME_Ranking2[[#This Row],[FME ID]],FME_Input[FME_ID],FME_Input[ROADCLS])</f>
        <v>0</v>
      </c>
      <c r="AC147" s="48" t="e">
        <f>FME_Ranking_Option2!$AB147*AB$4</f>
        <v>#REF!</v>
      </c>
      <c r="AD147" s="53">
        <f>_xlfn.XLOOKUP(FME_Ranking2[[#This Row],[FME ID]],FME_Input[FME_ID],FME_Input[ROAD_MILES100])</f>
        <v>26.56326866149902</v>
      </c>
      <c r="AE147" s="54" t="e">
        <f>FME_Ranking_Option2!$AD147*AD$4</f>
        <v>#REF!</v>
      </c>
      <c r="AF147" s="55">
        <f>FME_Ranking_Option2!$AD147/($AD$3)</f>
        <v>5.9999206421788192E-4</v>
      </c>
      <c r="AG147" s="55" t="e">
        <f>FME_Ranking_Option2!$AF147*AD$4</f>
        <v>#REF!</v>
      </c>
      <c r="AH147" s="53">
        <f>_xlfn.XLOOKUP(FME_Ranking2[[#This Row],[FME ID]],FME_Input[FME_ID],FME_Input[FARMACRE100])</f>
        <v>2.170749187469482</v>
      </c>
      <c r="AI147" s="54" t="e">
        <f>FME_Ranking_Option2!$AH147*AH$4</f>
        <v>#REF!</v>
      </c>
      <c r="AJ147" s="56">
        <f>FME_Ranking_Option2!$AH147/($AH$3)</f>
        <v>1.2604659138240381E-4</v>
      </c>
      <c r="AK147" s="57" t="e">
        <f>FME_Ranking_Option2!$AJ147*AH$4</f>
        <v>#REF!</v>
      </c>
      <c r="AL147"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47" s="58" t="e">
        <f>_xlfn.RANK.EQ(AL147,$AL$7:$AL$531)+COUNTIF(AL$7:AL147,AL147)-1</f>
        <v>#REF!</v>
      </c>
      <c r="AN147" s="57"/>
      <c r="AO147" s="58" t="e">
        <f>_xlfn.RANK.EQ(AN147,$AN$7:$AN$531)+COUNTIF(AN$7:AN147,AN147)-1</f>
        <v>#N/A</v>
      </c>
      <c r="AP14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47" s="32" t="e">
        <f>FME_Ranking2[[#This Row],[Score Based on Reported Factors]]-FME_Ranking2[[#This Row],[Check]]</f>
        <v>#REF!</v>
      </c>
      <c r="AR147" s="32"/>
      <c r="AT147" s="19"/>
      <c r="AU147" s="19"/>
      <c r="AV147" s="19"/>
      <c r="AW147" s="19"/>
      <c r="AX147" s="19"/>
      <c r="AY147" s="19"/>
      <c r="AZ147" s="19"/>
      <c r="BA147" s="19"/>
      <c r="BB147" s="19"/>
      <c r="BC147" s="19"/>
    </row>
    <row r="148" spans="1:55" ht="12" customHeight="1" x14ac:dyDescent="0.25">
      <c r="A148" s="17" t="s">
        <v>1467</v>
      </c>
      <c r="B148" s="17" t="str">
        <f>_xlfn.XLOOKUP(FME_Ranking2[[#This Row],[FME ID]],FME_Input[FME_ID],FME_Input[FME_NAME])</f>
        <v>White Oak Bayou - General Drainage Improvements along E105-00-00</v>
      </c>
      <c r="C148" s="17" t="str">
        <f>_xlfn.XLOOKUP(FME_Ranking2[[#This Row],[FME ID]],FME_Input[FME_ID],FME_Input[DESCR])</f>
        <v>Further study of channel improvements from partnership project to restore channel conveyanve including Atlas 14 rainfalls.</v>
      </c>
      <c r="D148" s="33" t="str">
        <f>_xlfn.XLOOKUP(FME_Ranking2[[#This Row],[FME ID]],FME_Input[FME_ID],FME_Input[EMER_NEED])</f>
        <v>No</v>
      </c>
      <c r="E148" s="120">
        <f>IF(FME_Ranking_Option2!$D148="Yes",100,0)</f>
        <v>0</v>
      </c>
      <c r="F148" s="34" t="str">
        <f>_xlfn.XLOOKUP(FME_Ranking2[[#This Row],[FME ID]],FME_Input[FME_ID],FME_Input[FUND])</f>
        <v>Yes</v>
      </c>
      <c r="G148" s="35">
        <f>IF(FME_Ranking_Option2!$F148="Yes",1,0)</f>
        <v>1</v>
      </c>
      <c r="H148" s="33">
        <f>_xlfn.XLOOKUP(FME_Ranking2[[#This Row],[FME ID]],FME_Input[FME_ID],FME_Input[STRUCT_100])</f>
        <v>160</v>
      </c>
      <c r="I148" s="64" t="e">
        <f>FME_Ranking2[[#This Row],[Raw Data3]]*H$4</f>
        <v>#REF!</v>
      </c>
      <c r="J148" s="63">
        <f>((FME_Ranking_Option2!$H148)/($H$3))*100</f>
        <v>1.7780365808801057E-2</v>
      </c>
      <c r="K148" s="36" t="e">
        <f>FME_Ranking2[[#This Row],[Norm Data3]]*H$4</f>
        <v>#REF!</v>
      </c>
      <c r="L148" s="37">
        <f>_xlfn.XLOOKUP(FME_Ranking2[[#This Row],[FME ID]],FME_Input[FME_ID],FME_Input[RES_STRUCT100])</f>
        <v>151</v>
      </c>
      <c r="M148" s="38" t="e">
        <f>FME_Ranking2[[#This Row],[Raw Data4]]*L$4</f>
        <v>#REF!</v>
      </c>
      <c r="N148" s="28">
        <f>((FME_Ranking_Option2!$L148)/($L$3))*100</f>
        <v>2.2574949580120886E-2</v>
      </c>
      <c r="O148" s="39" t="e">
        <f>FME_Ranking2[[#This Row],[Norm Data4]]*L$4</f>
        <v>#REF!</v>
      </c>
      <c r="P148" s="34">
        <f>_xlfn.XLOOKUP(FME_Ranking2[[#This Row],[FME ID]],FME_Input[FME_ID],FME_Input[POP100])</f>
        <v>431</v>
      </c>
      <c r="Q148" s="35" t="e">
        <f>FME_Ranking_Option2!$P148*P$4</f>
        <v>#REF!</v>
      </c>
      <c r="R148" s="35">
        <f>FME_Ranking_Option2!$P148/($P$3)</f>
        <v>1.5818615170162055E-4</v>
      </c>
      <c r="S148" s="35" t="e">
        <f>FME_Ranking_Option2!$R148*P$4</f>
        <v>#REF!</v>
      </c>
      <c r="T148" s="37">
        <f>_xlfn.XLOOKUP(FME_Ranking2[[#This Row],[FME ID]],FME_Input[FME_ID],FME_Input[CRITFAC100])</f>
        <v>0</v>
      </c>
      <c r="U148" s="35" t="e">
        <f>FME_Ranking_Option2!$T148*T$4</f>
        <v>#REF!</v>
      </c>
      <c r="V148" s="35">
        <f>FME_Ranking_Option2!$T148/($T$3)</f>
        <v>0</v>
      </c>
      <c r="W148" s="35" t="e">
        <f>FME_Ranking_Option2!$V148*T$4</f>
        <v>#REF!</v>
      </c>
      <c r="X148" s="37">
        <f>_xlfn.XLOOKUP(FME_Ranking2[[#This Row],[FME ID]],FME_Input[FME_ID],FME_Input[LWC])</f>
        <v>0</v>
      </c>
      <c r="Y148" s="35" t="e">
        <f>FME_Ranking_Option2!$X148*X$4</f>
        <v>#REF!</v>
      </c>
      <c r="Z148" s="35">
        <f>FME_Ranking_Option2!$X148/($X$3)</f>
        <v>0</v>
      </c>
      <c r="AA148" s="35" t="e">
        <f>FME_Ranking_Option2!$Z148*X$4</f>
        <v>#REF!</v>
      </c>
      <c r="AB148" s="37">
        <f>_xlfn.XLOOKUP(FME_Ranking2[[#This Row],[FME ID]],FME_Input[FME_ID],FME_Input[ROADCLS])</f>
        <v>0</v>
      </c>
      <c r="AC148" s="35" t="e">
        <f>FME_Ranking_Option2!$AB148*AB$4</f>
        <v>#REF!</v>
      </c>
      <c r="AD148" s="40">
        <f>_xlfn.XLOOKUP(FME_Ranking2[[#This Row],[FME ID]],FME_Input[FME_ID],FME_Input[ROAD_MILES100])</f>
        <v>3.4355027675628662</v>
      </c>
      <c r="AE148" s="41" t="e">
        <f>FME_Ranking_Option2!$AD148*AD$4</f>
        <v>#REF!</v>
      </c>
      <c r="AF148" s="42">
        <f>FME_Ranking_Option2!$AD148/($AD$3)</f>
        <v>7.7598672942080936E-5</v>
      </c>
      <c r="AG148" s="42" t="e">
        <f>FME_Ranking_Option2!$AF148*AD$4</f>
        <v>#REF!</v>
      </c>
      <c r="AH148" s="40">
        <f>_xlfn.XLOOKUP(FME_Ranking2[[#This Row],[FME ID]],FME_Input[FME_ID],FME_Input[FARMACRE100])</f>
        <v>0.67417436838150024</v>
      </c>
      <c r="AI148" s="43" t="e">
        <f>FME_Ranking_Option2!$AH148*AH$4</f>
        <v>#REF!</v>
      </c>
      <c r="AJ148" s="41">
        <f>FME_Ranking_Option2!$AH148/($AH$3)</f>
        <v>3.914656820898514E-5</v>
      </c>
      <c r="AK148" s="44" t="e">
        <f>FME_Ranking_Option2!$AJ148*AH$4</f>
        <v>#REF!</v>
      </c>
      <c r="AL14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48" s="45" t="e">
        <f>_xlfn.RANK.EQ(AL148,$AL$7:$AL$531)+COUNTIF(AL$7:AL148,AL148)-1</f>
        <v>#REF!</v>
      </c>
      <c r="AN148" s="44"/>
      <c r="AO148" s="45" t="e">
        <f>_xlfn.RANK.EQ(AN148,$AN$7:$AN$531)+COUNTIF(AN$7:AN148,AN148)-1</f>
        <v>#N/A</v>
      </c>
      <c r="AP14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48" s="32" t="e">
        <f>FME_Ranking2[[#This Row],[Score Based on Reported Factors]]-FME_Ranking2[[#This Row],[Check]]</f>
        <v>#REF!</v>
      </c>
      <c r="AR148" s="32"/>
    </row>
    <row r="149" spans="1:55" ht="12" customHeight="1" x14ac:dyDescent="0.25">
      <c r="A149" s="16" t="s">
        <v>1422</v>
      </c>
      <c r="B149" s="16" t="str">
        <f>_xlfn.XLOOKUP(FME_Ranking2[[#This Row],[FME ID]],FME_Input[FME_ID],FME_Input[FME_NAME])</f>
        <v>Harris County Wide - Investigation of City of Houston Properties for Conversion to Stormwater Detention Basins</v>
      </c>
      <c r="C149" s="16" t="str">
        <f>_xlfn.XLOOKUP(FME_Ranking2[[#This Row],[FME ID]],FME_Input[FME_ID],FME_Input[DESCR])</f>
        <v>Further study for design and construction of stormwater detention basins on various City of Houston properties could reduce the risk of flooding in the area.</v>
      </c>
      <c r="D149" s="46" t="str">
        <f>_xlfn.XLOOKUP(FME_Ranking2[[#This Row],[FME ID]],FME_Input[FME_ID],FME_Input[EMER_NEED])</f>
        <v>No</v>
      </c>
      <c r="E149" s="121">
        <f>IF(FME_Ranking_Option2!$D149="Yes",100,0)</f>
        <v>0</v>
      </c>
      <c r="F149" s="47" t="str">
        <f>_xlfn.XLOOKUP(FME_Ranking2[[#This Row],[FME ID]],FME_Input[FME_ID],FME_Input[FUND])</f>
        <v>Yes</v>
      </c>
      <c r="G149" s="48">
        <f>IF(FME_Ranking_Option2!$F149="Yes",1,0)</f>
        <v>1</v>
      </c>
      <c r="H149" s="46">
        <f>_xlfn.XLOOKUP(FME_Ranking2[[#This Row],[FME ID]],FME_Input[FME_ID],FME_Input[STRUCT_100])</f>
        <v>143642</v>
      </c>
      <c r="I149" s="65" t="e">
        <f>FME_Ranking2[[#This Row],[Raw Data3]]*H$4</f>
        <v>#REF!</v>
      </c>
      <c r="J149" s="62">
        <f>((FME_Ranking_Option2!$H149)/($H$3))*100</f>
        <v>15.96254565942376</v>
      </c>
      <c r="K149" s="49" t="e">
        <f>FME_Ranking2[[#This Row],[Norm Data3]]*H$4</f>
        <v>#REF!</v>
      </c>
      <c r="L149" s="50">
        <f>_xlfn.XLOOKUP(FME_Ranking2[[#This Row],[FME ID]],FME_Input[FME_ID],FME_Input[RES_STRUCT100])</f>
        <v>120807</v>
      </c>
      <c r="M149" s="51" t="e">
        <f>FME_Ranking2[[#This Row],[Raw Data4]]*L$4</f>
        <v>#REF!</v>
      </c>
      <c r="N149" s="29">
        <f>((FME_Ranking_Option2!$L149)/($L$3))*100</f>
        <v>18.061006184938172</v>
      </c>
      <c r="O149" s="52" t="e">
        <f>FME_Ranking2[[#This Row],[Norm Data4]]*L$4</f>
        <v>#REF!</v>
      </c>
      <c r="P149" s="47">
        <f>_xlfn.XLOOKUP(FME_Ranking2[[#This Row],[FME ID]],FME_Input[FME_ID],FME_Input[POP100])</f>
        <v>976798</v>
      </c>
      <c r="Q149" s="48" t="e">
        <f>FME_Ranking_Option2!$P149*P$4</f>
        <v>#REF!</v>
      </c>
      <c r="R149" s="48">
        <f>FME_Ranking_Option2!$P149/($P$3)</f>
        <v>0.3585056069833864</v>
      </c>
      <c r="S149" s="48" t="e">
        <f>FME_Ranking_Option2!$R149*P$4</f>
        <v>#REF!</v>
      </c>
      <c r="T149" s="50">
        <f>_xlfn.XLOOKUP(FME_Ranking2[[#This Row],[FME ID]],FME_Input[FME_ID],FME_Input[CRITFAC100])</f>
        <v>2332</v>
      </c>
      <c r="U149" s="48" t="e">
        <f>FME_Ranking_Option2!$T149*T$4</f>
        <v>#REF!</v>
      </c>
      <c r="V149" s="48">
        <f>FME_Ranking_Option2!$T149/($T$3)</f>
        <v>0.32886757862078692</v>
      </c>
      <c r="W149" s="48" t="e">
        <f>FME_Ranking_Option2!$V149*T$4</f>
        <v>#REF!</v>
      </c>
      <c r="X149" s="50">
        <f>_xlfn.XLOOKUP(FME_Ranking2[[#This Row],[FME ID]],FME_Input[FME_ID],FME_Input[LWC])</f>
        <v>89</v>
      </c>
      <c r="Y149" s="48" t="e">
        <f>FME_Ranking_Option2!$X149*X$4</f>
        <v>#REF!</v>
      </c>
      <c r="Z149" s="48">
        <f>FME_Ranking_Option2!$X149/($X$3)</f>
        <v>8.1189563948184645E-3</v>
      </c>
      <c r="AA149" s="48" t="e">
        <f>FME_Ranking_Option2!$Z149*X$4</f>
        <v>#REF!</v>
      </c>
      <c r="AB149" s="50">
        <f>_xlfn.XLOOKUP(FME_Ranking2[[#This Row],[FME ID]],FME_Input[FME_ID],FME_Input[ROADCLS])</f>
        <v>89</v>
      </c>
      <c r="AC149" s="48" t="e">
        <f>FME_Ranking_Option2!$AB149*AB$4</f>
        <v>#REF!</v>
      </c>
      <c r="AD149" s="53">
        <f>_xlfn.XLOOKUP(FME_Ranking2[[#This Row],[FME ID]],FME_Input[FME_ID],FME_Input[ROAD_MILES100])</f>
        <v>2407.733642578125</v>
      </c>
      <c r="AE149" s="54" t="e">
        <f>FME_Ranking_Option2!$AD149*AD$4</f>
        <v>#REF!</v>
      </c>
      <c r="AF149" s="55">
        <f>FME_Ranking_Option2!$AD149/($AD$3)</f>
        <v>5.4384160951966451E-2</v>
      </c>
      <c r="AG149" s="55" t="e">
        <f>FME_Ranking_Option2!$AF149*AD$4</f>
        <v>#REF!</v>
      </c>
      <c r="AH149" s="53">
        <f>_xlfn.XLOOKUP(FME_Ranking2[[#This Row],[FME ID]],FME_Input[FME_ID],FME_Input[FARMACRE100])</f>
        <v>5993.46923828125</v>
      </c>
      <c r="AI149" s="54" t="e">
        <f>FME_Ranking_Option2!$AH149*AH$4</f>
        <v>#REF!</v>
      </c>
      <c r="AJ149" s="56">
        <f>FME_Ranking_Option2!$AH149/($AH$3)</f>
        <v>0.34801642327057858</v>
      </c>
      <c r="AK149" s="57" t="e">
        <f>FME_Ranking_Option2!$AJ149*AH$4</f>
        <v>#REF!</v>
      </c>
      <c r="AL14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49" s="58" t="e">
        <f>_xlfn.RANK.EQ(AL149,$AL$7:$AL$531)+COUNTIF(AL$7:AL149,AL149)-1</f>
        <v>#REF!</v>
      </c>
      <c r="AN149" s="57"/>
      <c r="AO149" s="58" t="e">
        <f>_xlfn.RANK.EQ(AN149,$AN$7:$AN$531)+COUNTIF(AN$7:AN149,AN149)-1</f>
        <v>#N/A</v>
      </c>
      <c r="AP14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49" s="32" t="e">
        <f>FME_Ranking2[[#This Row],[Score Based on Reported Factors]]-FME_Ranking2[[#This Row],[Check]]</f>
        <v>#REF!</v>
      </c>
      <c r="AR149" s="32"/>
      <c r="AT149" s="19"/>
      <c r="AU149" s="19"/>
      <c r="AV149" s="19"/>
      <c r="AW149" s="19"/>
      <c r="AX149" s="19"/>
      <c r="AY149" s="19"/>
      <c r="AZ149" s="19"/>
      <c r="BA149" s="19"/>
      <c r="BB149" s="19"/>
      <c r="BC149" s="19"/>
    </row>
    <row r="150" spans="1:55" ht="12" customHeight="1" x14ac:dyDescent="0.25">
      <c r="A150" s="17" t="s">
        <v>1425</v>
      </c>
      <c r="B150" s="17" t="str">
        <f>_xlfn.XLOOKUP(FME_Ranking2[[#This Row],[FME ID]],FME_Input[FME_ID],FME_Input[FME_NAME])</f>
        <v>Little Cypress Creek - L109-00-00</v>
      </c>
      <c r="C150" s="17" t="str">
        <f>_xlfn.XLOOKUP(FME_Ranking2[[#This Row],[FME ID]],FME_Input[FME_ID],FME_Input[DESCR])</f>
        <v>Further study of Flood Risk Reduction need identified through the HCFCD 'Watershed Planning Tool' to determine channel modifications needed to restore/improve channel conveyance including Atlas 14 rainfall.</v>
      </c>
      <c r="D150" s="33" t="str">
        <f>_xlfn.XLOOKUP(FME_Ranking2[[#This Row],[FME ID]],FME_Input[FME_ID],FME_Input[EMER_NEED])</f>
        <v>No</v>
      </c>
      <c r="E150" s="120">
        <f>IF(FME_Ranking_Option2!$D150="Yes",100,0)</f>
        <v>0</v>
      </c>
      <c r="F150" s="34" t="str">
        <f>_xlfn.XLOOKUP(FME_Ranking2[[#This Row],[FME ID]],FME_Input[FME_ID],FME_Input[FUND])</f>
        <v>Yes</v>
      </c>
      <c r="G150" s="35">
        <f>IF(FME_Ranking_Option2!$F150="Yes",1,0)</f>
        <v>1</v>
      </c>
      <c r="H150" s="33">
        <f>_xlfn.XLOOKUP(FME_Ranking2[[#This Row],[FME ID]],FME_Input[FME_ID],FME_Input[STRUCT_100])</f>
        <v>178</v>
      </c>
      <c r="I150" s="64" t="e">
        <f>FME_Ranking2[[#This Row],[Raw Data3]]*H$4</f>
        <v>#REF!</v>
      </c>
      <c r="J150" s="63">
        <f>((FME_Ranking_Option2!$H150)/($H$3))*100</f>
        <v>1.9780656962291178E-2</v>
      </c>
      <c r="K150" s="36" t="e">
        <f>FME_Ranking2[[#This Row],[Norm Data3]]*H$4</f>
        <v>#REF!</v>
      </c>
      <c r="L150" s="37">
        <f>_xlfn.XLOOKUP(FME_Ranking2[[#This Row],[FME ID]],FME_Input[FME_ID],FME_Input[RES_STRUCT100])</f>
        <v>104</v>
      </c>
      <c r="M150" s="38" t="e">
        <f>FME_Ranking2[[#This Row],[Raw Data4]]*L$4</f>
        <v>#REF!</v>
      </c>
      <c r="N150" s="28">
        <f>((FME_Ranking_Option2!$L150)/($L$3))*100</f>
        <v>1.5548309644586571E-2</v>
      </c>
      <c r="O150" s="39" t="e">
        <f>FME_Ranking2[[#This Row],[Norm Data4]]*L$4</f>
        <v>#REF!</v>
      </c>
      <c r="P150" s="34">
        <f>_xlfn.XLOOKUP(FME_Ranking2[[#This Row],[FME ID]],FME_Input[FME_ID],FME_Input[POP100])</f>
        <v>520</v>
      </c>
      <c r="Q150" s="35" t="e">
        <f>FME_Ranking_Option2!$P150*P$4</f>
        <v>#REF!</v>
      </c>
      <c r="R150" s="35">
        <f>FME_Ranking_Option2!$P150/($P$3)</f>
        <v>1.9085104149615473E-4</v>
      </c>
      <c r="S150" s="35" t="e">
        <f>FME_Ranking_Option2!$R150*P$4</f>
        <v>#REF!</v>
      </c>
      <c r="T150" s="37">
        <f>_xlfn.XLOOKUP(FME_Ranking2[[#This Row],[FME ID]],FME_Input[FME_ID],FME_Input[CRITFAC100])</f>
        <v>0</v>
      </c>
      <c r="U150" s="35" t="e">
        <f>FME_Ranking_Option2!$T150*T$4</f>
        <v>#REF!</v>
      </c>
      <c r="V150" s="35">
        <f>FME_Ranking_Option2!$T150/($T$3)</f>
        <v>0</v>
      </c>
      <c r="W150" s="35" t="e">
        <f>FME_Ranking_Option2!$V150*T$4</f>
        <v>#REF!</v>
      </c>
      <c r="X150" s="37">
        <f>_xlfn.XLOOKUP(FME_Ranking2[[#This Row],[FME ID]],FME_Input[FME_ID],FME_Input[LWC])</f>
        <v>0</v>
      </c>
      <c r="Y150" s="35" t="e">
        <f>FME_Ranking_Option2!$X150*X$4</f>
        <v>#REF!</v>
      </c>
      <c r="Z150" s="35">
        <f>FME_Ranking_Option2!$X150/($X$3)</f>
        <v>0</v>
      </c>
      <c r="AA150" s="35" t="e">
        <f>FME_Ranking_Option2!$Z150*X$4</f>
        <v>#REF!</v>
      </c>
      <c r="AB150" s="37">
        <f>_xlfn.XLOOKUP(FME_Ranking2[[#This Row],[FME ID]],FME_Input[FME_ID],FME_Input[ROADCLS])</f>
        <v>0</v>
      </c>
      <c r="AC150" s="35" t="e">
        <f>FME_Ranking_Option2!$AB150*AB$4</f>
        <v>#REF!</v>
      </c>
      <c r="AD150" s="40">
        <f>_xlfn.XLOOKUP(FME_Ranking2[[#This Row],[FME ID]],FME_Input[FME_ID],FME_Input[ROAD_MILES100])</f>
        <v>1.738477230072021</v>
      </c>
      <c r="AE150" s="41" t="e">
        <f>FME_Ranking_Option2!$AD150*AD$4</f>
        <v>#REF!</v>
      </c>
      <c r="AF150" s="42">
        <f>FME_Ranking_Option2!$AD150/($AD$3)</f>
        <v>3.9267477024713223E-5</v>
      </c>
      <c r="AG150" s="42" t="e">
        <f>FME_Ranking_Option2!$AF150*AD$4</f>
        <v>#REF!</v>
      </c>
      <c r="AH150" s="40">
        <f>_xlfn.XLOOKUP(FME_Ranking2[[#This Row],[FME ID]],FME_Input[FME_ID],FME_Input[FARMACRE100])</f>
        <v>12.908957481384279</v>
      </c>
      <c r="AI150" s="43" t="e">
        <f>FME_Ranking_Option2!$AH150*AH$4</f>
        <v>#REF!</v>
      </c>
      <c r="AJ150" s="41">
        <f>FME_Ranking_Option2!$AH150/($AH$3)</f>
        <v>7.4957074645996813E-4</v>
      </c>
      <c r="AK150" s="44" t="e">
        <f>FME_Ranking_Option2!$AJ150*AH$4</f>
        <v>#REF!</v>
      </c>
      <c r="AL15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50" s="45" t="e">
        <f>_xlfn.RANK.EQ(AL150,$AL$7:$AL$531)+COUNTIF(AL$7:AL150,AL150)-1</f>
        <v>#REF!</v>
      </c>
      <c r="AN150" s="44"/>
      <c r="AO150" s="45" t="e">
        <f>_xlfn.RANK.EQ(AN150,$AN$7:$AN$531)+COUNTIF(AN$7:AN150,AN150)-1</f>
        <v>#N/A</v>
      </c>
      <c r="AP15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50" s="32" t="e">
        <f>FME_Ranking2[[#This Row],[Score Based on Reported Factors]]-FME_Ranking2[[#This Row],[Check]]</f>
        <v>#REF!</v>
      </c>
      <c r="AR150" s="32"/>
    </row>
    <row r="151" spans="1:55" ht="12" customHeight="1" x14ac:dyDescent="0.25">
      <c r="A151" s="16" t="s">
        <v>1436</v>
      </c>
      <c r="B151" s="16" t="str">
        <f>_xlfn.XLOOKUP(FME_Ranking2[[#This Row],[FME ID]],FME_Input[FME_ID],FME_Input[FME_NAME])</f>
        <v>Little Cypress Creek - L113-00-00</v>
      </c>
      <c r="C151" s="16" t="str">
        <f>_xlfn.XLOOKUP(FME_Ranking2[[#This Row],[FME ID]],FME_Input[FME_ID],FME_Input[DESCR])</f>
        <v>Further study of Flood Risk Reduction need identified through the HCFCD 'Watershed Planning Tool' to determine channel modifications needed to restore/improve channel conveyance including Atlas 14 rainfall.</v>
      </c>
      <c r="D151" s="46" t="str">
        <f>_xlfn.XLOOKUP(FME_Ranking2[[#This Row],[FME ID]],FME_Input[FME_ID],FME_Input[EMER_NEED])</f>
        <v>No</v>
      </c>
      <c r="E151" s="121">
        <f>IF(FME_Ranking_Option2!$D151="Yes",100,0)</f>
        <v>0</v>
      </c>
      <c r="F151" s="47" t="str">
        <f>_xlfn.XLOOKUP(FME_Ranking2[[#This Row],[FME ID]],FME_Input[FME_ID],FME_Input[FUND])</f>
        <v>Yes</v>
      </c>
      <c r="G151" s="48">
        <f>IF(FME_Ranking_Option2!$F151="Yes",1,0)</f>
        <v>1</v>
      </c>
      <c r="H151" s="46">
        <f>_xlfn.XLOOKUP(FME_Ranking2[[#This Row],[FME ID]],FME_Input[FME_ID],FME_Input[STRUCT_100])</f>
        <v>182</v>
      </c>
      <c r="I151" s="65" t="e">
        <f>FME_Ranking2[[#This Row],[Raw Data3]]*H$4</f>
        <v>#REF!</v>
      </c>
      <c r="J151" s="62">
        <f>((FME_Ranking_Option2!$H151)/($H$3))*100</f>
        <v>2.0225166107511204E-2</v>
      </c>
      <c r="K151" s="49" t="e">
        <f>FME_Ranking2[[#This Row],[Norm Data3]]*H$4</f>
        <v>#REF!</v>
      </c>
      <c r="L151" s="50">
        <f>_xlfn.XLOOKUP(FME_Ranking2[[#This Row],[FME ID]],FME_Input[FME_ID],FME_Input[RES_STRUCT100])</f>
        <v>162</v>
      </c>
      <c r="M151" s="51" t="e">
        <f>FME_Ranking2[[#This Row],[Raw Data4]]*L$4</f>
        <v>#REF!</v>
      </c>
      <c r="N151" s="29">
        <f>((FME_Ranking_Option2!$L151)/($L$3))*100</f>
        <v>2.4219482330990621E-2</v>
      </c>
      <c r="O151" s="52" t="e">
        <f>FME_Ranking2[[#This Row],[Norm Data4]]*L$4</f>
        <v>#REF!</v>
      </c>
      <c r="P151" s="47">
        <f>_xlfn.XLOOKUP(FME_Ranking2[[#This Row],[FME ID]],FME_Input[FME_ID],FME_Input[POP100])</f>
        <v>472</v>
      </c>
      <c r="Q151" s="48" t="e">
        <f>FME_Ranking_Option2!$P151*P$4</f>
        <v>#REF!</v>
      </c>
      <c r="R151" s="48">
        <f>FME_Ranking_Option2!$P151/($P$3)</f>
        <v>1.7323402228112505E-4</v>
      </c>
      <c r="S151" s="48" t="e">
        <f>FME_Ranking_Option2!$R151*P$4</f>
        <v>#REF!</v>
      </c>
      <c r="T151" s="50">
        <f>_xlfn.XLOOKUP(FME_Ranking2[[#This Row],[FME ID]],FME_Input[FME_ID],FME_Input[CRITFAC100])</f>
        <v>0</v>
      </c>
      <c r="U151" s="48" t="e">
        <f>FME_Ranking_Option2!$T151*T$4</f>
        <v>#REF!</v>
      </c>
      <c r="V151" s="48">
        <f>FME_Ranking_Option2!$T151/($T$3)</f>
        <v>0</v>
      </c>
      <c r="W151" s="48" t="e">
        <f>FME_Ranking_Option2!$V151*T$4</f>
        <v>#REF!</v>
      </c>
      <c r="X151" s="50">
        <f>_xlfn.XLOOKUP(FME_Ranking2[[#This Row],[FME ID]],FME_Input[FME_ID],FME_Input[LWC])</f>
        <v>3</v>
      </c>
      <c r="Y151" s="48" t="e">
        <f>FME_Ranking_Option2!$X151*X$4</f>
        <v>#REF!</v>
      </c>
      <c r="Z151" s="48">
        <f>FME_Ranking_Option2!$X151/($X$3)</f>
        <v>2.7367268746579092E-4</v>
      </c>
      <c r="AA151" s="48" t="e">
        <f>FME_Ranking_Option2!$Z151*X$4</f>
        <v>#REF!</v>
      </c>
      <c r="AB151" s="50">
        <f>_xlfn.XLOOKUP(FME_Ranking2[[#This Row],[FME ID]],FME_Input[FME_ID],FME_Input[ROADCLS])</f>
        <v>3</v>
      </c>
      <c r="AC151" s="48" t="e">
        <f>FME_Ranking_Option2!$AB151*AB$4</f>
        <v>#REF!</v>
      </c>
      <c r="AD151" s="53">
        <f>_xlfn.XLOOKUP(FME_Ranking2[[#This Row],[FME ID]],FME_Input[FME_ID],FME_Input[ROAD_MILES100])</f>
        <v>3.9015812873840332</v>
      </c>
      <c r="AE151" s="54" t="e">
        <f>FME_Ranking_Option2!$AD151*AD$4</f>
        <v>#REF!</v>
      </c>
      <c r="AF151" s="55">
        <f>FME_Ranking_Option2!$AD151/($AD$3)</f>
        <v>8.8126120326612866E-5</v>
      </c>
      <c r="AG151" s="55" t="e">
        <f>FME_Ranking_Option2!$AF151*AD$4</f>
        <v>#REF!</v>
      </c>
      <c r="AH151" s="53">
        <f>_xlfn.XLOOKUP(FME_Ranking2[[#This Row],[FME ID]],FME_Input[FME_ID],FME_Input[FARMACRE100])</f>
        <v>7.9764571189880371</v>
      </c>
      <c r="AI151" s="54" t="e">
        <f>FME_Ranking_Option2!$AH151*AH$4</f>
        <v>#REF!</v>
      </c>
      <c r="AJ151" s="56">
        <f>FME_Ranking_Option2!$AH151/($AH$3)</f>
        <v>4.6316047794005489E-4</v>
      </c>
      <c r="AK151" s="57" t="e">
        <f>FME_Ranking_Option2!$AJ151*AH$4</f>
        <v>#REF!</v>
      </c>
      <c r="AL15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51" s="58" t="e">
        <f>_xlfn.RANK.EQ(AL151,$AL$7:$AL$531)+COUNTIF(AL$7:AL151,AL151)-1</f>
        <v>#REF!</v>
      </c>
      <c r="AN151" s="57"/>
      <c r="AO151" s="58" t="e">
        <f>_xlfn.RANK.EQ(AN151,$AN$7:$AN$531)+COUNTIF(AN$7:AN151,AN151)-1</f>
        <v>#N/A</v>
      </c>
      <c r="AP15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51" s="32" t="e">
        <f>FME_Ranking2[[#This Row],[Score Based on Reported Factors]]-FME_Ranking2[[#This Row],[Check]]</f>
        <v>#REF!</v>
      </c>
      <c r="AR151" s="32"/>
      <c r="AT151" s="19"/>
      <c r="AU151" s="19"/>
      <c r="AV151" s="19"/>
      <c r="AW151" s="19"/>
      <c r="AX151" s="19"/>
      <c r="AY151" s="19"/>
      <c r="AZ151" s="19"/>
      <c r="BA151" s="19"/>
      <c r="BB151" s="19"/>
      <c r="BC151" s="19"/>
    </row>
    <row r="152" spans="1:55" ht="12" customHeight="1" x14ac:dyDescent="0.25">
      <c r="A152" s="17" t="s">
        <v>1431</v>
      </c>
      <c r="B152" s="17" t="str">
        <f>_xlfn.XLOOKUP(FME_Ranking2[[#This Row],[FME ID]],FME_Input[FME_ID],FME_Input[FME_NAME])</f>
        <v>Little Cypress Creek - L103-00-00</v>
      </c>
      <c r="C152" s="17" t="str">
        <f>_xlfn.XLOOKUP(FME_Ranking2[[#This Row],[FME ID]],FME_Input[FME_ID],FME_Input[DESCR])</f>
        <v>Further study of Flood Risk Reduction need identified through the HCFCD 'Watershed Planning Tool' to determine channel modifications needed to restore/improve channel conveyance including Atlas 14 rainfall.</v>
      </c>
      <c r="D152" s="33" t="str">
        <f>_xlfn.XLOOKUP(FME_Ranking2[[#This Row],[FME ID]],FME_Input[FME_ID],FME_Input[EMER_NEED])</f>
        <v>No</v>
      </c>
      <c r="E152" s="120">
        <f>IF(FME_Ranking_Option2!$D152="Yes",100,0)</f>
        <v>0</v>
      </c>
      <c r="F152" s="34" t="str">
        <f>_xlfn.XLOOKUP(FME_Ranking2[[#This Row],[FME ID]],FME_Input[FME_ID],FME_Input[FUND])</f>
        <v>Yes</v>
      </c>
      <c r="G152" s="35">
        <f>IF(FME_Ranking_Option2!$F152="Yes",1,0)</f>
        <v>1</v>
      </c>
      <c r="H152" s="33">
        <f>_xlfn.XLOOKUP(FME_Ranking2[[#This Row],[FME ID]],FME_Input[FME_ID],FME_Input[STRUCT_100])</f>
        <v>116</v>
      </c>
      <c r="I152" s="64" t="e">
        <f>FME_Ranking2[[#This Row],[Raw Data3]]*H$4</f>
        <v>#REF!</v>
      </c>
      <c r="J152" s="63">
        <f>((FME_Ranking_Option2!$H152)/($H$3))*100</f>
        <v>1.2890765211380769E-2</v>
      </c>
      <c r="K152" s="36" t="e">
        <f>FME_Ranking2[[#This Row],[Norm Data3]]*H$4</f>
        <v>#REF!</v>
      </c>
      <c r="L152" s="37">
        <f>_xlfn.XLOOKUP(FME_Ranking2[[#This Row],[FME ID]],FME_Input[FME_ID],FME_Input[RES_STRUCT100])</f>
        <v>92</v>
      </c>
      <c r="M152" s="38" t="e">
        <f>FME_Ranking2[[#This Row],[Raw Data4]]*L$4</f>
        <v>#REF!</v>
      </c>
      <c r="N152" s="28">
        <f>((FME_Ranking_Option2!$L152)/($L$3))*100</f>
        <v>1.3754273916365044E-2</v>
      </c>
      <c r="O152" s="39" t="e">
        <f>FME_Ranking2[[#This Row],[Norm Data4]]*L$4</f>
        <v>#REF!</v>
      </c>
      <c r="P152" s="34">
        <f>_xlfn.XLOOKUP(FME_Ranking2[[#This Row],[FME ID]],FME_Input[FME_ID],FME_Input[POP100])</f>
        <v>265</v>
      </c>
      <c r="Q152" s="35" t="e">
        <f>FME_Ranking_Option2!$P152*P$4</f>
        <v>#REF!</v>
      </c>
      <c r="R152" s="35">
        <f>FME_Ranking_Option2!$P152/($P$3)</f>
        <v>9.726062691630961E-5</v>
      </c>
      <c r="S152" s="35" t="e">
        <f>FME_Ranking_Option2!$R152*P$4</f>
        <v>#REF!</v>
      </c>
      <c r="T152" s="37">
        <f>_xlfn.XLOOKUP(FME_Ranking2[[#This Row],[FME ID]],FME_Input[FME_ID],FME_Input[CRITFAC100])</f>
        <v>8</v>
      </c>
      <c r="U152" s="35" t="e">
        <f>FME_Ranking_Option2!$T152*T$4</f>
        <v>#REF!</v>
      </c>
      <c r="V152" s="35">
        <f>FME_Ranking_Option2!$T152/($T$3)</f>
        <v>1.1281906642222536E-3</v>
      </c>
      <c r="W152" s="35" t="e">
        <f>FME_Ranking_Option2!$V152*T$4</f>
        <v>#REF!</v>
      </c>
      <c r="X152" s="37">
        <f>_xlfn.XLOOKUP(FME_Ranking2[[#This Row],[FME ID]],FME_Input[FME_ID],FME_Input[LWC])</f>
        <v>0</v>
      </c>
      <c r="Y152" s="35" t="e">
        <f>FME_Ranking_Option2!$X152*X$4</f>
        <v>#REF!</v>
      </c>
      <c r="Z152" s="35">
        <f>FME_Ranking_Option2!$X152/($X$3)</f>
        <v>0</v>
      </c>
      <c r="AA152" s="35" t="e">
        <f>FME_Ranking_Option2!$Z152*X$4</f>
        <v>#REF!</v>
      </c>
      <c r="AB152" s="37">
        <f>_xlfn.XLOOKUP(FME_Ranking2[[#This Row],[FME ID]],FME_Input[FME_ID],FME_Input[ROADCLS])</f>
        <v>0</v>
      </c>
      <c r="AC152" s="35" t="e">
        <f>FME_Ranking_Option2!$AB152*AB$4</f>
        <v>#REF!</v>
      </c>
      <c r="AD152" s="40">
        <f>_xlfn.XLOOKUP(FME_Ranking2[[#This Row],[FME ID]],FME_Input[FME_ID],FME_Input[ROAD_MILES100])</f>
        <v>2.7205624580383301</v>
      </c>
      <c r="AE152" s="41" t="e">
        <f>FME_Ranking_Option2!$AD152*AD$4</f>
        <v>#REF!</v>
      </c>
      <c r="AF152" s="42">
        <f>FME_Ranking_Option2!$AD152/($AD$3)</f>
        <v>6.1450113908533487E-5</v>
      </c>
      <c r="AG152" s="42" t="e">
        <f>FME_Ranking_Option2!$AF152*AD$4</f>
        <v>#REF!</v>
      </c>
      <c r="AH152" s="40">
        <f>_xlfn.XLOOKUP(FME_Ranking2[[#This Row],[FME ID]],FME_Input[FME_ID],FME_Input[FARMACRE100])</f>
        <v>4.3515009880065918</v>
      </c>
      <c r="AI152" s="43" t="e">
        <f>FME_Ranking_Option2!$AH152*AH$4</f>
        <v>#REF!</v>
      </c>
      <c r="AJ152" s="41">
        <f>FME_Ranking_Option2!$AH152/($AH$3)</f>
        <v>2.5267399389184591E-4</v>
      </c>
      <c r="AK152" s="44" t="e">
        <f>FME_Ranking_Option2!$AJ152*AH$4</f>
        <v>#REF!</v>
      </c>
      <c r="AL152"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52" s="45" t="e">
        <f>_xlfn.RANK.EQ(AL152,$AL$7:$AL$531)+COUNTIF(AL$7:AL152,AL152)-1</f>
        <v>#REF!</v>
      </c>
      <c r="AN152" s="44"/>
      <c r="AO152" s="45" t="e">
        <f>_xlfn.RANK.EQ(AN152,$AN$7:$AN$531)+COUNTIF(AN$7:AN152,AN152)-1</f>
        <v>#N/A</v>
      </c>
      <c r="AP15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52" s="32" t="e">
        <f>FME_Ranking2[[#This Row],[Score Based on Reported Factors]]-FME_Ranking2[[#This Row],[Check]]</f>
        <v>#REF!</v>
      </c>
      <c r="AR152" s="32"/>
    </row>
    <row r="153" spans="1:55" ht="12" customHeight="1" x14ac:dyDescent="0.25">
      <c r="A153" s="16" t="s">
        <v>1440</v>
      </c>
      <c r="B153" s="16" t="str">
        <f>_xlfn.XLOOKUP(FME_Ranking2[[#This Row],[FME ID]],FME_Input[FME_ID],FME_Input[FME_NAME])</f>
        <v>Greens Bayou - P130-05-02</v>
      </c>
      <c r="C153" s="16" t="str">
        <f>_xlfn.XLOOKUP(FME_Ranking2[[#This Row],[FME ID]],FME_Input[FME_ID],FME_Input[DESCR])</f>
        <v>Further study of Flood Risk Reduction need identified through the HCFCD 'Watershed Planning Tool' to determine channel modifications needed to restore/improve channel conveyance including Atlas 14 rainfall.</v>
      </c>
      <c r="D153" s="46" t="str">
        <f>_xlfn.XLOOKUP(FME_Ranking2[[#This Row],[FME ID]],FME_Input[FME_ID],FME_Input[EMER_NEED])</f>
        <v>No</v>
      </c>
      <c r="E153" s="121">
        <f>IF(FME_Ranking_Option2!$D153="Yes",100,0)</f>
        <v>0</v>
      </c>
      <c r="F153" s="47" t="str">
        <f>_xlfn.XLOOKUP(FME_Ranking2[[#This Row],[FME ID]],FME_Input[FME_ID],FME_Input[FUND])</f>
        <v>Yes</v>
      </c>
      <c r="G153" s="48">
        <f>IF(FME_Ranking_Option2!$F153="Yes",1,0)</f>
        <v>1</v>
      </c>
      <c r="H153" s="46">
        <f>_xlfn.XLOOKUP(FME_Ranking2[[#This Row],[FME ID]],FME_Input[FME_ID],FME_Input[STRUCT_100])</f>
        <v>94</v>
      </c>
      <c r="I153" s="65" t="e">
        <f>FME_Ranking2[[#This Row],[Raw Data3]]*H$4</f>
        <v>#REF!</v>
      </c>
      <c r="J153" s="62">
        <f>((FME_Ranking_Option2!$H153)/($H$3))*100</f>
        <v>1.0445964912670622E-2</v>
      </c>
      <c r="K153" s="49" t="e">
        <f>FME_Ranking2[[#This Row],[Norm Data3]]*H$4</f>
        <v>#REF!</v>
      </c>
      <c r="L153" s="50">
        <f>_xlfn.XLOOKUP(FME_Ranking2[[#This Row],[FME ID]],FME_Input[FME_ID],FME_Input[RES_STRUCT100])</f>
        <v>84</v>
      </c>
      <c r="M153" s="51" t="e">
        <f>FME_Ranking2[[#This Row],[Raw Data4]]*L$4</f>
        <v>#REF!</v>
      </c>
      <c r="N153" s="29">
        <f>((FME_Ranking_Option2!$L153)/($L$3))*100</f>
        <v>1.2558250097550693E-2</v>
      </c>
      <c r="O153" s="52" t="e">
        <f>FME_Ranking2[[#This Row],[Norm Data4]]*L$4</f>
        <v>#REF!</v>
      </c>
      <c r="P153" s="47">
        <f>_xlfn.XLOOKUP(FME_Ranking2[[#This Row],[FME ID]],FME_Input[FME_ID],FME_Input[POP100])</f>
        <v>130</v>
      </c>
      <c r="Q153" s="48" t="e">
        <f>FME_Ranking_Option2!$P153*P$4</f>
        <v>#REF!</v>
      </c>
      <c r="R153" s="48">
        <f>FME_Ranking_Option2!$P153/($P$3)</f>
        <v>4.7712760374038683E-5</v>
      </c>
      <c r="S153" s="48" t="e">
        <f>FME_Ranking_Option2!$R153*P$4</f>
        <v>#REF!</v>
      </c>
      <c r="T153" s="50">
        <f>_xlfn.XLOOKUP(FME_Ranking2[[#This Row],[FME ID]],FME_Input[FME_ID],FME_Input[CRITFAC100])</f>
        <v>0</v>
      </c>
      <c r="U153" s="48" t="e">
        <f>FME_Ranking_Option2!$T153*T$4</f>
        <v>#REF!</v>
      </c>
      <c r="V153" s="48">
        <f>FME_Ranking_Option2!$T153/($T$3)</f>
        <v>0</v>
      </c>
      <c r="W153" s="48" t="e">
        <f>FME_Ranking_Option2!$V153*T$4</f>
        <v>#REF!</v>
      </c>
      <c r="X153" s="50">
        <f>_xlfn.XLOOKUP(FME_Ranking2[[#This Row],[FME ID]],FME_Input[FME_ID],FME_Input[LWC])</f>
        <v>0</v>
      </c>
      <c r="Y153" s="48" t="e">
        <f>FME_Ranking_Option2!$X153*X$4</f>
        <v>#REF!</v>
      </c>
      <c r="Z153" s="48">
        <f>FME_Ranking_Option2!$X153/($X$3)</f>
        <v>0</v>
      </c>
      <c r="AA153" s="48" t="e">
        <f>FME_Ranking_Option2!$Z153*X$4</f>
        <v>#REF!</v>
      </c>
      <c r="AB153" s="50">
        <f>_xlfn.XLOOKUP(FME_Ranking2[[#This Row],[FME ID]],FME_Input[FME_ID],FME_Input[ROADCLS])</f>
        <v>0</v>
      </c>
      <c r="AC153" s="48" t="e">
        <f>FME_Ranking_Option2!$AB153*AB$4</f>
        <v>#REF!</v>
      </c>
      <c r="AD153" s="53">
        <f>_xlfn.XLOOKUP(FME_Ranking2[[#This Row],[FME ID]],FME_Input[FME_ID],FME_Input[ROAD_MILES100])</f>
        <v>1.3894331455230711</v>
      </c>
      <c r="AE153" s="54" t="e">
        <f>FME_Ranking_Option2!$AD153*AD$4</f>
        <v>#REF!</v>
      </c>
      <c r="AF153" s="55">
        <f>FME_Ranking_Option2!$AD153/($AD$3)</f>
        <v>3.1383519539650194E-5</v>
      </c>
      <c r="AG153" s="55" t="e">
        <f>FME_Ranking_Option2!$AF153*AD$4</f>
        <v>#REF!</v>
      </c>
      <c r="AH153" s="53">
        <f>_xlfn.XLOOKUP(FME_Ranking2[[#This Row],[FME ID]],FME_Input[FME_ID],FME_Input[FARMACRE100])</f>
        <v>0</v>
      </c>
      <c r="AI153" s="54" t="e">
        <f>FME_Ranking_Option2!$AH153*AH$4</f>
        <v>#REF!</v>
      </c>
      <c r="AJ153" s="56">
        <f>FME_Ranking_Option2!$AH153/($AH$3)</f>
        <v>0</v>
      </c>
      <c r="AK153" s="57" t="e">
        <f>FME_Ranking_Option2!$AJ153*AH$4</f>
        <v>#REF!</v>
      </c>
      <c r="AL153"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53" s="58" t="e">
        <f>_xlfn.RANK.EQ(AL153,$AL$7:$AL$531)+COUNTIF(AL$7:AL153,AL153)-1</f>
        <v>#REF!</v>
      </c>
      <c r="AN153" s="57"/>
      <c r="AO153" s="58" t="e">
        <f>_xlfn.RANK.EQ(AN153,$AN$7:$AN$531)+COUNTIF(AN$7:AN153,AN153)-1</f>
        <v>#N/A</v>
      </c>
      <c r="AP15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53" s="32" t="e">
        <f>FME_Ranking2[[#This Row],[Score Based on Reported Factors]]-FME_Ranking2[[#This Row],[Check]]</f>
        <v>#REF!</v>
      </c>
      <c r="AR153" s="32"/>
      <c r="AT153" s="19"/>
      <c r="AU153" s="19"/>
      <c r="AV153" s="19"/>
      <c r="AW153" s="19"/>
      <c r="AX153" s="19"/>
      <c r="AY153" s="19"/>
      <c r="AZ153" s="19"/>
      <c r="BA153" s="19"/>
      <c r="BB153" s="19"/>
      <c r="BC153" s="19"/>
    </row>
    <row r="154" spans="1:55" ht="12" customHeight="1" x14ac:dyDescent="0.25">
      <c r="A154" s="17" t="s">
        <v>1445</v>
      </c>
      <c r="B154" s="17" t="str">
        <f>_xlfn.XLOOKUP(FME_Ranking2[[#This Row],[FME ID]],FME_Input[FME_ID],FME_Input[FME_NAME])</f>
        <v>Greens Bayou - P142-00-00</v>
      </c>
      <c r="C154" s="17" t="str">
        <f>_xlfn.XLOOKUP(FME_Ranking2[[#This Row],[FME ID]],FME_Input[FME_ID],FME_Input[DESCR])</f>
        <v>Further study of Flood Risk Reduction need identified through the HCFCD 'Watershed Planning Tool' to determine channel modifications needed to restore/improve channel conveyance including Atlas 14 rainfall.</v>
      </c>
      <c r="D154" s="33" t="str">
        <f>_xlfn.XLOOKUP(FME_Ranking2[[#This Row],[FME ID]],FME_Input[FME_ID],FME_Input[EMER_NEED])</f>
        <v>No</v>
      </c>
      <c r="E154" s="120">
        <f>IF(FME_Ranking_Option2!$D154="Yes",100,0)</f>
        <v>0</v>
      </c>
      <c r="F154" s="34" t="str">
        <f>_xlfn.XLOOKUP(FME_Ranking2[[#This Row],[FME ID]],FME_Input[FME_ID],FME_Input[FUND])</f>
        <v>Yes</v>
      </c>
      <c r="G154" s="35">
        <f>IF(FME_Ranking_Option2!$F154="Yes",1,0)</f>
        <v>1</v>
      </c>
      <c r="H154" s="33">
        <f>_xlfn.XLOOKUP(FME_Ranking2[[#This Row],[FME ID]],FME_Input[FME_ID],FME_Input[STRUCT_100])</f>
        <v>997</v>
      </c>
      <c r="I154" s="64" t="e">
        <f>FME_Ranking2[[#This Row],[Raw Data3]]*H$4</f>
        <v>#REF!</v>
      </c>
      <c r="J154" s="63">
        <f>((FME_Ranking_Option2!$H154)/($H$3))*100</f>
        <v>0.11079390444609159</v>
      </c>
      <c r="K154" s="36" t="e">
        <f>FME_Ranking2[[#This Row],[Norm Data3]]*H$4</f>
        <v>#REF!</v>
      </c>
      <c r="L154" s="37">
        <f>_xlfn.XLOOKUP(FME_Ranking2[[#This Row],[FME ID]],FME_Input[FME_ID],FME_Input[RES_STRUCT100])</f>
        <v>601</v>
      </c>
      <c r="M154" s="38" t="e">
        <f>FME_Ranking2[[#This Row],[Raw Data4]]*L$4</f>
        <v>#REF!</v>
      </c>
      <c r="N154" s="28">
        <f>((FME_Ranking_Option2!$L154)/($L$3))*100</f>
        <v>8.9851289388428165E-2</v>
      </c>
      <c r="O154" s="39" t="e">
        <f>FME_Ranking2[[#This Row],[Norm Data4]]*L$4</f>
        <v>#REF!</v>
      </c>
      <c r="P154" s="34">
        <f>_xlfn.XLOOKUP(FME_Ranking2[[#This Row],[FME ID]],FME_Input[FME_ID],FME_Input[POP100])</f>
        <v>5085</v>
      </c>
      <c r="Q154" s="35" t="e">
        <f>FME_Ranking_Option2!$P154*P$4</f>
        <v>#REF!</v>
      </c>
      <c r="R154" s="35">
        <f>FME_Ranking_Option2!$P154/($P$3)</f>
        <v>1.8663029730922054E-3</v>
      </c>
      <c r="S154" s="35" t="e">
        <f>FME_Ranking_Option2!$R154*P$4</f>
        <v>#REF!</v>
      </c>
      <c r="T154" s="37">
        <f>_xlfn.XLOOKUP(FME_Ranking2[[#This Row],[FME ID]],FME_Input[FME_ID],FME_Input[CRITFAC100])</f>
        <v>7</v>
      </c>
      <c r="U154" s="35" t="e">
        <f>FME_Ranking_Option2!$T154*T$4</f>
        <v>#REF!</v>
      </c>
      <c r="V154" s="35">
        <f>FME_Ranking_Option2!$T154/($T$3)</f>
        <v>9.871668311944718E-4</v>
      </c>
      <c r="W154" s="35" t="e">
        <f>FME_Ranking_Option2!$V154*T$4</f>
        <v>#REF!</v>
      </c>
      <c r="X154" s="37">
        <f>_xlfn.XLOOKUP(FME_Ranking2[[#This Row],[FME ID]],FME_Input[FME_ID],FME_Input[LWC])</f>
        <v>0</v>
      </c>
      <c r="Y154" s="35" t="e">
        <f>FME_Ranking_Option2!$X154*X$4</f>
        <v>#REF!</v>
      </c>
      <c r="Z154" s="35">
        <f>FME_Ranking_Option2!$X154/($X$3)</f>
        <v>0</v>
      </c>
      <c r="AA154" s="35" t="e">
        <f>FME_Ranking_Option2!$Z154*X$4</f>
        <v>#REF!</v>
      </c>
      <c r="AB154" s="37">
        <f>_xlfn.XLOOKUP(FME_Ranking2[[#This Row],[FME ID]],FME_Input[FME_ID],FME_Input[ROADCLS])</f>
        <v>0</v>
      </c>
      <c r="AC154" s="35" t="e">
        <f>FME_Ranking_Option2!$AB154*AB$4</f>
        <v>#REF!</v>
      </c>
      <c r="AD154" s="40">
        <f>_xlfn.XLOOKUP(FME_Ranking2[[#This Row],[FME ID]],FME_Input[FME_ID],FME_Input[ROAD_MILES100])</f>
        <v>23.488595962524411</v>
      </c>
      <c r="AE154" s="41" t="e">
        <f>FME_Ranking_Option2!$AD154*AD$4</f>
        <v>#REF!</v>
      </c>
      <c r="AF154" s="42">
        <f>FME_Ranking_Option2!$AD154/($AD$3)</f>
        <v>5.3054356211670872E-4</v>
      </c>
      <c r="AG154" s="42" t="e">
        <f>FME_Ranking_Option2!$AF154*AD$4</f>
        <v>#REF!</v>
      </c>
      <c r="AH154" s="40">
        <f>_xlfn.XLOOKUP(FME_Ranking2[[#This Row],[FME ID]],FME_Input[FME_ID],FME_Input[FARMACRE100])</f>
        <v>1.4895532131195071</v>
      </c>
      <c r="AI154" s="43" t="e">
        <f>FME_Ranking_Option2!$AH154*AH$4</f>
        <v>#REF!</v>
      </c>
      <c r="AJ154" s="41">
        <f>FME_Ranking_Option2!$AH154/($AH$3)</f>
        <v>8.6492307024788769E-5</v>
      </c>
      <c r="AK154" s="44" t="e">
        <f>FME_Ranking_Option2!$AJ154*AH$4</f>
        <v>#REF!</v>
      </c>
      <c r="AL154"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54" s="45" t="e">
        <f>_xlfn.RANK.EQ(AL154,$AL$7:$AL$531)+COUNTIF(AL$7:AL154,AL154)-1</f>
        <v>#REF!</v>
      </c>
      <c r="AN154" s="44"/>
      <c r="AO154" s="45" t="e">
        <f>_xlfn.RANK.EQ(AN154,$AN$7:$AN$531)+COUNTIF(AN$7:AN154,AN154)-1</f>
        <v>#N/A</v>
      </c>
      <c r="AP15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54" s="32" t="e">
        <f>FME_Ranking2[[#This Row],[Score Based on Reported Factors]]-FME_Ranking2[[#This Row],[Check]]</f>
        <v>#REF!</v>
      </c>
      <c r="AR154" s="32"/>
    </row>
    <row r="155" spans="1:55" ht="12" customHeight="1" x14ac:dyDescent="0.25">
      <c r="A155" s="16" t="s">
        <v>1449</v>
      </c>
      <c r="B155" s="16" t="str">
        <f>_xlfn.XLOOKUP(FME_Ranking2[[#This Row],[FME ID]],FME_Input[FME_ID],FME_Input[FME_NAME])</f>
        <v>San Jacinto River - G103-46-00</v>
      </c>
      <c r="C155" s="16" t="str">
        <f>_xlfn.XLOOKUP(FME_Ranking2[[#This Row],[FME ID]],FME_Input[FME_ID],FME_Input[DESCR])</f>
        <v>Further study of Flood Risk Reduction need identified through the HCFCD 'Watershed Planning Tool' to determine channel modifications needed to restore/improve channel conveyance including Atlas 14 rainfall.</v>
      </c>
      <c r="D155" s="46" t="str">
        <f>_xlfn.XLOOKUP(FME_Ranking2[[#This Row],[FME ID]],FME_Input[FME_ID],FME_Input[EMER_NEED])</f>
        <v>No</v>
      </c>
      <c r="E155" s="121">
        <f>IF(FME_Ranking_Option2!$D155="Yes",100,0)</f>
        <v>0</v>
      </c>
      <c r="F155" s="47" t="str">
        <f>_xlfn.XLOOKUP(FME_Ranking2[[#This Row],[FME ID]],FME_Input[FME_ID],FME_Input[FUND])</f>
        <v>Yes</v>
      </c>
      <c r="G155" s="48">
        <f>IF(FME_Ranking_Option2!$F155="Yes",1,0)</f>
        <v>1</v>
      </c>
      <c r="H155" s="46">
        <f>_xlfn.XLOOKUP(FME_Ranking2[[#This Row],[FME ID]],FME_Input[FME_ID],FME_Input[STRUCT_100])</f>
        <v>3840</v>
      </c>
      <c r="I155" s="65" t="e">
        <f>FME_Ranking2[[#This Row],[Raw Data3]]*H$4</f>
        <v>#REF!</v>
      </c>
      <c r="J155" s="62">
        <f>((FME_Ranking_Option2!$H155)/($H$3))*100</f>
        <v>0.42672877941122539</v>
      </c>
      <c r="K155" s="49" t="e">
        <f>FME_Ranking2[[#This Row],[Norm Data3]]*H$4</f>
        <v>#REF!</v>
      </c>
      <c r="L155" s="50">
        <f>_xlfn.XLOOKUP(FME_Ranking2[[#This Row],[FME ID]],FME_Input[FME_ID],FME_Input[RES_STRUCT100])</f>
        <v>3193</v>
      </c>
      <c r="M155" s="51" t="e">
        <f>FME_Ranking2[[#This Row],[Raw Data4]]*L$4</f>
        <v>#REF!</v>
      </c>
      <c r="N155" s="29">
        <f>((FME_Ranking_Option2!$L155)/($L$3))*100</f>
        <v>0.47736300668427811</v>
      </c>
      <c r="O155" s="52" t="e">
        <f>FME_Ranking2[[#This Row],[Norm Data4]]*L$4</f>
        <v>#REF!</v>
      </c>
      <c r="P155" s="47">
        <f>_xlfn.XLOOKUP(FME_Ranking2[[#This Row],[FME ID]],FME_Input[FME_ID],FME_Input[POP100])</f>
        <v>22355</v>
      </c>
      <c r="Q155" s="48" t="e">
        <f>FME_Ranking_Option2!$P155*P$4</f>
        <v>#REF!</v>
      </c>
      <c r="R155" s="48">
        <f>FME_Ranking_Option2!$P155/($P$3)</f>
        <v>8.2047596781664213E-3</v>
      </c>
      <c r="S155" s="48" t="e">
        <f>FME_Ranking_Option2!$R155*P$4</f>
        <v>#REF!</v>
      </c>
      <c r="T155" s="50">
        <f>_xlfn.XLOOKUP(FME_Ranking2[[#This Row],[FME ID]],FME_Input[FME_ID],FME_Input[CRITFAC100])</f>
        <v>61</v>
      </c>
      <c r="U155" s="48" t="e">
        <f>FME_Ranking_Option2!$T155*T$4</f>
        <v>#REF!</v>
      </c>
      <c r="V155" s="48">
        <f>FME_Ranking_Option2!$T155/($T$3)</f>
        <v>8.6024538146946827E-3</v>
      </c>
      <c r="W155" s="48" t="e">
        <f>FME_Ranking_Option2!$V155*T$4</f>
        <v>#REF!</v>
      </c>
      <c r="X155" s="50">
        <f>_xlfn.XLOOKUP(FME_Ranking2[[#This Row],[FME ID]],FME_Input[FME_ID],FME_Input[LWC])</f>
        <v>1</v>
      </c>
      <c r="Y155" s="48" t="e">
        <f>FME_Ranking_Option2!$X155*X$4</f>
        <v>#REF!</v>
      </c>
      <c r="Z155" s="48">
        <f>FME_Ranking_Option2!$X155/($X$3)</f>
        <v>9.1224229155263632E-5</v>
      </c>
      <c r="AA155" s="48" t="e">
        <f>FME_Ranking_Option2!$Z155*X$4</f>
        <v>#REF!</v>
      </c>
      <c r="AB155" s="50">
        <f>_xlfn.XLOOKUP(FME_Ranking2[[#This Row],[FME ID]],FME_Input[FME_ID],FME_Input[ROADCLS])</f>
        <v>1</v>
      </c>
      <c r="AC155" s="48" t="e">
        <f>FME_Ranking_Option2!$AB155*AB$4</f>
        <v>#REF!</v>
      </c>
      <c r="AD155" s="53">
        <f>_xlfn.XLOOKUP(FME_Ranking2[[#This Row],[FME ID]],FME_Input[FME_ID],FME_Input[ROAD_MILES100])</f>
        <v>81.045738220214844</v>
      </c>
      <c r="AE155" s="54" t="e">
        <f>FME_Ranking_Option2!$AD155*AD$4</f>
        <v>#REF!</v>
      </c>
      <c r="AF155" s="55">
        <f>FME_Ranking_Option2!$AD155/($AD$3)</f>
        <v>1.8306030176658493E-3</v>
      </c>
      <c r="AG155" s="55" t="e">
        <f>FME_Ranking_Option2!$AF155*AD$4</f>
        <v>#REF!</v>
      </c>
      <c r="AH155" s="53">
        <f>_xlfn.XLOOKUP(FME_Ranking2[[#This Row],[FME ID]],FME_Input[FME_ID],FME_Input[FARMACRE100])</f>
        <v>113.9549865722656</v>
      </c>
      <c r="AI155" s="54" t="e">
        <f>FME_Ranking_Option2!$AH155*AH$4</f>
        <v>#REF!</v>
      </c>
      <c r="AJ155" s="56">
        <f>FME_Ranking_Option2!$AH155/($AH$3)</f>
        <v>6.6169033766659471E-3</v>
      </c>
      <c r="AK155" s="57" t="e">
        <f>FME_Ranking_Option2!$AJ155*AH$4</f>
        <v>#REF!</v>
      </c>
      <c r="AL155"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55" s="58" t="e">
        <f>_xlfn.RANK.EQ(AL155,$AL$7:$AL$531)+COUNTIF(AL$7:AL155,AL155)-1</f>
        <v>#REF!</v>
      </c>
      <c r="AN155" s="57"/>
      <c r="AO155" s="58" t="e">
        <f>_xlfn.RANK.EQ(AN155,$AN$7:$AN$531)+COUNTIF(AN$7:AN155,AN155)-1</f>
        <v>#N/A</v>
      </c>
      <c r="AP15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55" s="32" t="e">
        <f>FME_Ranking2[[#This Row],[Score Based on Reported Factors]]-FME_Ranking2[[#This Row],[Check]]</f>
        <v>#REF!</v>
      </c>
      <c r="AR155" s="32"/>
      <c r="AT155" s="19"/>
      <c r="AU155" s="19"/>
      <c r="AV155" s="19"/>
      <c r="AW155" s="19"/>
      <c r="AX155" s="19"/>
      <c r="AY155" s="19"/>
      <c r="AZ155" s="19"/>
      <c r="BA155" s="19"/>
      <c r="BB155" s="19"/>
      <c r="BC155" s="19"/>
    </row>
    <row r="156" spans="1:55" ht="12" customHeight="1" x14ac:dyDescent="0.25">
      <c r="A156" s="17" t="s">
        <v>1455</v>
      </c>
      <c r="B156" s="17" t="str">
        <f>_xlfn.XLOOKUP(FME_Ranking2[[#This Row],[FME ID]],FME_Input[FME_ID],FME_Input[FME_NAME])</f>
        <v>San Jacinto River - G103-33-04</v>
      </c>
      <c r="C156" s="17" t="str">
        <f>_xlfn.XLOOKUP(FME_Ranking2[[#This Row],[FME ID]],FME_Input[FME_ID],FME_Input[DESCR])</f>
        <v>Further study of Flood Risk Reduction need identified through the HCFCD 'Watershed Planning Tool' to determine channel modifications needed to restore/improve channel conveyance including Atlas 14 rainfall.</v>
      </c>
      <c r="D156" s="33" t="str">
        <f>_xlfn.XLOOKUP(FME_Ranking2[[#This Row],[FME ID]],FME_Input[FME_ID],FME_Input[EMER_NEED])</f>
        <v>No</v>
      </c>
      <c r="E156" s="120">
        <f>IF(FME_Ranking_Option2!$D156="Yes",100,0)</f>
        <v>0</v>
      </c>
      <c r="F156" s="34" t="str">
        <f>_xlfn.XLOOKUP(FME_Ranking2[[#This Row],[FME ID]],FME_Input[FME_ID],FME_Input[FUND])</f>
        <v>Yes</v>
      </c>
      <c r="G156" s="35">
        <f>IF(FME_Ranking_Option2!$F156="Yes",1,0)</f>
        <v>1</v>
      </c>
      <c r="H156" s="33">
        <f>_xlfn.XLOOKUP(FME_Ranking2[[#This Row],[FME ID]],FME_Input[FME_ID],FME_Input[STRUCT_100])</f>
        <v>248</v>
      </c>
      <c r="I156" s="64" t="e">
        <f>FME_Ranking2[[#This Row],[Raw Data3]]*H$4</f>
        <v>#REF!</v>
      </c>
      <c r="J156" s="63">
        <f>((FME_Ranking_Option2!$H156)/($H$3))*100</f>
        <v>2.7559567003641639E-2</v>
      </c>
      <c r="K156" s="36" t="e">
        <f>FME_Ranking2[[#This Row],[Norm Data3]]*H$4</f>
        <v>#REF!</v>
      </c>
      <c r="L156" s="37">
        <f>_xlfn.XLOOKUP(FME_Ranking2[[#This Row],[FME ID]],FME_Input[FME_ID],FME_Input[RES_STRUCT100])</f>
        <v>221</v>
      </c>
      <c r="M156" s="38" t="e">
        <f>FME_Ranking2[[#This Row],[Raw Data4]]*L$4</f>
        <v>#REF!</v>
      </c>
      <c r="N156" s="28">
        <f>((FME_Ranking_Option2!$L156)/($L$3))*100</f>
        <v>3.3040157994746466E-2</v>
      </c>
      <c r="O156" s="39" t="e">
        <f>FME_Ranking2[[#This Row],[Norm Data4]]*L$4</f>
        <v>#REF!</v>
      </c>
      <c r="P156" s="34">
        <f>_xlfn.XLOOKUP(FME_Ranking2[[#This Row],[FME ID]],FME_Input[FME_ID],FME_Input[POP100])</f>
        <v>1580</v>
      </c>
      <c r="Q156" s="35" t="e">
        <f>FME_Ranking_Option2!$P156*P$4</f>
        <v>#REF!</v>
      </c>
      <c r="R156" s="35">
        <f>FME_Ranking_Option2!$P156/($P$3)</f>
        <v>5.7989354916139317E-4</v>
      </c>
      <c r="S156" s="35" t="e">
        <f>FME_Ranking_Option2!$R156*P$4</f>
        <v>#REF!</v>
      </c>
      <c r="T156" s="37">
        <f>_xlfn.XLOOKUP(FME_Ranking2[[#This Row],[FME ID]],FME_Input[FME_ID],FME_Input[CRITFAC100])</f>
        <v>1</v>
      </c>
      <c r="U156" s="35" t="e">
        <f>FME_Ranking_Option2!$T156*T$4</f>
        <v>#REF!</v>
      </c>
      <c r="V156" s="35">
        <f>FME_Ranking_Option2!$T156/($T$3)</f>
        <v>1.4102383302778171E-4</v>
      </c>
      <c r="W156" s="35" t="e">
        <f>FME_Ranking_Option2!$V156*T$4</f>
        <v>#REF!</v>
      </c>
      <c r="X156" s="37">
        <f>_xlfn.XLOOKUP(FME_Ranking2[[#This Row],[FME ID]],FME_Input[FME_ID],FME_Input[LWC])</f>
        <v>0</v>
      </c>
      <c r="Y156" s="35" t="e">
        <f>FME_Ranking_Option2!$X156*X$4</f>
        <v>#REF!</v>
      </c>
      <c r="Z156" s="35">
        <f>FME_Ranking_Option2!$X156/($X$3)</f>
        <v>0</v>
      </c>
      <c r="AA156" s="35" t="e">
        <f>FME_Ranking_Option2!$Z156*X$4</f>
        <v>#REF!</v>
      </c>
      <c r="AB156" s="37">
        <f>_xlfn.XLOOKUP(FME_Ranking2[[#This Row],[FME ID]],FME_Input[FME_ID],FME_Input[ROADCLS])</f>
        <v>0</v>
      </c>
      <c r="AC156" s="35" t="e">
        <f>FME_Ranking_Option2!$AB156*AB$4</f>
        <v>#REF!</v>
      </c>
      <c r="AD156" s="40">
        <f>_xlfn.XLOOKUP(FME_Ranking2[[#This Row],[FME ID]],FME_Input[FME_ID],FME_Input[ROAD_MILES100])</f>
        <v>3.7374289035797119</v>
      </c>
      <c r="AE156" s="41" t="e">
        <f>FME_Ranking_Option2!$AD156*AD$4</f>
        <v>#REF!</v>
      </c>
      <c r="AF156" s="42">
        <f>FME_Ranking_Option2!$AD156/($AD$3)</f>
        <v>8.4418363993605809E-5</v>
      </c>
      <c r="AG156" s="42" t="e">
        <f>FME_Ranking_Option2!$AF156*AD$4</f>
        <v>#REF!</v>
      </c>
      <c r="AH156" s="40">
        <f>_xlfn.XLOOKUP(FME_Ranking2[[#This Row],[FME ID]],FME_Input[FME_ID],FME_Input[FARMACRE100])</f>
        <v>0</v>
      </c>
      <c r="AI156" s="43" t="e">
        <f>FME_Ranking_Option2!$AH156*AH$4</f>
        <v>#REF!</v>
      </c>
      <c r="AJ156" s="41">
        <f>FME_Ranking_Option2!$AH156/($AH$3)</f>
        <v>0</v>
      </c>
      <c r="AK156" s="44" t="e">
        <f>FME_Ranking_Option2!$AJ156*AH$4</f>
        <v>#REF!</v>
      </c>
      <c r="AL156"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56" s="45" t="e">
        <f>_xlfn.RANK.EQ(AL156,$AL$7:$AL$531)+COUNTIF(AL$7:AL156,AL156)-1</f>
        <v>#REF!</v>
      </c>
      <c r="AN156" s="44"/>
      <c r="AO156" s="45" t="e">
        <f>_xlfn.RANK.EQ(AN156,$AN$7:$AN$531)+COUNTIF(AN$7:AN156,AN156)-1</f>
        <v>#N/A</v>
      </c>
      <c r="AP15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56" s="32" t="e">
        <f>FME_Ranking2[[#This Row],[Score Based on Reported Factors]]-FME_Ranking2[[#This Row],[Check]]</f>
        <v>#REF!</v>
      </c>
      <c r="AR156" s="32"/>
    </row>
    <row r="157" spans="1:55" ht="12" customHeight="1" x14ac:dyDescent="0.25">
      <c r="A157" s="16" t="s">
        <v>1457</v>
      </c>
      <c r="B157" s="16" t="str">
        <f>_xlfn.XLOOKUP(FME_Ranking2[[#This Row],[FME ID]],FME_Input[FME_ID],FME_Input[FME_NAME])</f>
        <v>San Jacinto River - G103-36-00</v>
      </c>
      <c r="C157" s="16" t="str">
        <f>_xlfn.XLOOKUP(FME_Ranking2[[#This Row],[FME ID]],FME_Input[FME_ID],FME_Input[DESCR])</f>
        <v>Further study of Flood Risk Reduction need identified through the HCFCD 'Watershed Planning Tool' to determine channel modifications needed to restore/improve channel conveyance including Atlas 14 rainfall.</v>
      </c>
      <c r="D157" s="46" t="str">
        <f>_xlfn.XLOOKUP(FME_Ranking2[[#This Row],[FME ID]],FME_Input[FME_ID],FME_Input[EMER_NEED])</f>
        <v>No</v>
      </c>
      <c r="E157" s="121">
        <f>IF(FME_Ranking_Option2!$D157="Yes",100,0)</f>
        <v>0</v>
      </c>
      <c r="F157" s="47" t="str">
        <f>_xlfn.XLOOKUP(FME_Ranking2[[#This Row],[FME ID]],FME_Input[FME_ID],FME_Input[FUND])</f>
        <v>Yes</v>
      </c>
      <c r="G157" s="48">
        <f>IF(FME_Ranking_Option2!$F157="Yes",1,0)</f>
        <v>1</v>
      </c>
      <c r="H157" s="46">
        <f>_xlfn.XLOOKUP(FME_Ranking2[[#This Row],[FME ID]],FME_Input[FME_ID],FME_Input[STRUCT_100])</f>
        <v>3840</v>
      </c>
      <c r="I157" s="65" t="e">
        <f>FME_Ranking2[[#This Row],[Raw Data3]]*H$4</f>
        <v>#REF!</v>
      </c>
      <c r="J157" s="62">
        <f>((FME_Ranking_Option2!$H157)/($H$3))*100</f>
        <v>0.42672877941122539</v>
      </c>
      <c r="K157" s="49" t="e">
        <f>FME_Ranking2[[#This Row],[Norm Data3]]*H$4</f>
        <v>#REF!</v>
      </c>
      <c r="L157" s="50">
        <f>_xlfn.XLOOKUP(FME_Ranking2[[#This Row],[FME ID]],FME_Input[FME_ID],FME_Input[RES_STRUCT100])</f>
        <v>3193</v>
      </c>
      <c r="M157" s="51" t="e">
        <f>FME_Ranking2[[#This Row],[Raw Data4]]*L$4</f>
        <v>#REF!</v>
      </c>
      <c r="N157" s="29">
        <f>((FME_Ranking_Option2!$L157)/($L$3))*100</f>
        <v>0.47736300668427811</v>
      </c>
      <c r="O157" s="52" t="e">
        <f>FME_Ranking2[[#This Row],[Norm Data4]]*L$4</f>
        <v>#REF!</v>
      </c>
      <c r="P157" s="47">
        <f>_xlfn.XLOOKUP(FME_Ranking2[[#This Row],[FME ID]],FME_Input[FME_ID],FME_Input[POP100])</f>
        <v>22355</v>
      </c>
      <c r="Q157" s="48" t="e">
        <f>FME_Ranking_Option2!$P157*P$4</f>
        <v>#REF!</v>
      </c>
      <c r="R157" s="48">
        <f>FME_Ranking_Option2!$P157/($P$3)</f>
        <v>8.2047596781664213E-3</v>
      </c>
      <c r="S157" s="48" t="e">
        <f>FME_Ranking_Option2!$R157*P$4</f>
        <v>#REF!</v>
      </c>
      <c r="T157" s="50">
        <f>_xlfn.XLOOKUP(FME_Ranking2[[#This Row],[FME ID]],FME_Input[FME_ID],FME_Input[CRITFAC100])</f>
        <v>61</v>
      </c>
      <c r="U157" s="48" t="e">
        <f>FME_Ranking_Option2!$T157*T$4</f>
        <v>#REF!</v>
      </c>
      <c r="V157" s="48">
        <f>FME_Ranking_Option2!$T157/($T$3)</f>
        <v>8.6024538146946827E-3</v>
      </c>
      <c r="W157" s="48" t="e">
        <f>FME_Ranking_Option2!$V157*T$4</f>
        <v>#REF!</v>
      </c>
      <c r="X157" s="50">
        <f>_xlfn.XLOOKUP(FME_Ranking2[[#This Row],[FME ID]],FME_Input[FME_ID],FME_Input[LWC])</f>
        <v>1</v>
      </c>
      <c r="Y157" s="48" t="e">
        <f>FME_Ranking_Option2!$X157*X$4</f>
        <v>#REF!</v>
      </c>
      <c r="Z157" s="48">
        <f>FME_Ranking_Option2!$X157/($X$3)</f>
        <v>9.1224229155263632E-5</v>
      </c>
      <c r="AA157" s="48" t="e">
        <f>FME_Ranking_Option2!$Z157*X$4</f>
        <v>#REF!</v>
      </c>
      <c r="AB157" s="50">
        <f>_xlfn.XLOOKUP(FME_Ranking2[[#This Row],[FME ID]],FME_Input[FME_ID],FME_Input[ROADCLS])</f>
        <v>1</v>
      </c>
      <c r="AC157" s="48" t="e">
        <f>FME_Ranking_Option2!$AB157*AB$4</f>
        <v>#REF!</v>
      </c>
      <c r="AD157" s="53">
        <f>_xlfn.XLOOKUP(FME_Ranking2[[#This Row],[FME ID]],FME_Input[FME_ID],FME_Input[ROAD_MILES100])</f>
        <v>81.045738220214844</v>
      </c>
      <c r="AE157" s="54" t="e">
        <f>FME_Ranking_Option2!$AD157*AD$4</f>
        <v>#REF!</v>
      </c>
      <c r="AF157" s="55">
        <f>FME_Ranking_Option2!$AD157/($AD$3)</f>
        <v>1.8306030176658493E-3</v>
      </c>
      <c r="AG157" s="55" t="e">
        <f>FME_Ranking_Option2!$AF157*AD$4</f>
        <v>#REF!</v>
      </c>
      <c r="AH157" s="53">
        <f>_xlfn.XLOOKUP(FME_Ranking2[[#This Row],[FME ID]],FME_Input[FME_ID],FME_Input[FARMACRE100])</f>
        <v>113.9549865722656</v>
      </c>
      <c r="AI157" s="54" t="e">
        <f>FME_Ranking_Option2!$AH157*AH$4</f>
        <v>#REF!</v>
      </c>
      <c r="AJ157" s="56">
        <f>FME_Ranking_Option2!$AH157/($AH$3)</f>
        <v>6.6169033766659471E-3</v>
      </c>
      <c r="AK157" s="57" t="e">
        <f>FME_Ranking_Option2!$AJ157*AH$4</f>
        <v>#REF!</v>
      </c>
      <c r="AL157"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57" s="58" t="e">
        <f>_xlfn.RANK.EQ(AL157,$AL$7:$AL$531)+COUNTIF(AL$7:AL157,AL157)-1</f>
        <v>#REF!</v>
      </c>
      <c r="AN157" s="57"/>
      <c r="AO157" s="58" t="e">
        <f>_xlfn.RANK.EQ(AN157,$AN$7:$AN$531)+COUNTIF(AN$7:AN157,AN157)-1</f>
        <v>#N/A</v>
      </c>
      <c r="AP15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57" s="32" t="e">
        <f>FME_Ranking2[[#This Row],[Score Based on Reported Factors]]-FME_Ranking2[[#This Row],[Check]]</f>
        <v>#REF!</v>
      </c>
      <c r="AR157" s="32"/>
      <c r="AT157" s="19"/>
      <c r="AU157" s="19"/>
      <c r="AV157" s="19"/>
      <c r="AW157" s="19"/>
      <c r="AX157" s="19"/>
      <c r="AY157" s="19"/>
      <c r="AZ157" s="19"/>
      <c r="BA157" s="19"/>
      <c r="BB157" s="19"/>
      <c r="BC157" s="19"/>
    </row>
    <row r="158" spans="1:55" ht="12" customHeight="1" x14ac:dyDescent="0.25">
      <c r="A158" s="17" t="s">
        <v>1470</v>
      </c>
      <c r="B158" s="17" t="str">
        <f>_xlfn.XLOOKUP(FME_Ranking2[[#This Row],[FME ID]],FME_Input[FME_ID],FME_Input[FME_NAME])</f>
        <v>City of Conroe Riverine Study and Mapping Improvements</v>
      </c>
      <c r="C158" s="17" t="str">
        <f>_xlfn.XLOOKUP(FME_Ranking2[[#This Row],[FME ID]],FME_Input[FME_ID],FME_Input[DESCR])</f>
        <v>Study and new modeling for moderate to low quality areas and revise the flood maps using the results from the updated modeling.</v>
      </c>
      <c r="D158" s="33" t="str">
        <f>_xlfn.XLOOKUP(FME_Ranking2[[#This Row],[FME ID]],FME_Input[FME_ID],FME_Input[EMER_NEED])</f>
        <v>No</v>
      </c>
      <c r="E158" s="120">
        <f>IF(FME_Ranking_Option2!$D158="Yes",100,0)</f>
        <v>0</v>
      </c>
      <c r="F158" s="34" t="str">
        <f>_xlfn.XLOOKUP(FME_Ranking2[[#This Row],[FME ID]],FME_Input[FME_ID],FME_Input[FUND])</f>
        <v>Yes</v>
      </c>
      <c r="G158" s="35">
        <f>IF(FME_Ranking_Option2!$F158="Yes",1,0)</f>
        <v>1</v>
      </c>
      <c r="H158" s="33">
        <f>_xlfn.XLOOKUP(FME_Ranking2[[#This Row],[FME ID]],FME_Input[FME_ID],FME_Input[STRUCT_100])</f>
        <v>3465</v>
      </c>
      <c r="I158" s="64" t="e">
        <f>FME_Ranking2[[#This Row],[Raw Data3]]*H$4</f>
        <v>#REF!</v>
      </c>
      <c r="J158" s="63">
        <f>((FME_Ranking_Option2!$H158)/($H$3))*100</f>
        <v>0.38505604704684793</v>
      </c>
      <c r="K158" s="36" t="e">
        <f>FME_Ranking2[[#This Row],[Norm Data3]]*H$4</f>
        <v>#REF!</v>
      </c>
      <c r="L158" s="37">
        <f>_xlfn.XLOOKUP(FME_Ranking2[[#This Row],[FME ID]],FME_Input[FME_ID],FME_Input[RES_STRUCT100])</f>
        <v>2633</v>
      </c>
      <c r="M158" s="38" t="e">
        <f>FME_Ranking2[[#This Row],[Raw Data4]]*L$4</f>
        <v>#REF!</v>
      </c>
      <c r="N158" s="28">
        <f>((FME_Ranking_Option2!$L158)/($L$3))*100</f>
        <v>0.39364133936727347</v>
      </c>
      <c r="O158" s="39" t="e">
        <f>FME_Ranking2[[#This Row],[Norm Data4]]*L$4</f>
        <v>#REF!</v>
      </c>
      <c r="P158" s="34">
        <f>_xlfn.XLOOKUP(FME_Ranking2[[#This Row],[FME ID]],FME_Input[FME_ID],FME_Input[POP100])</f>
        <v>14964</v>
      </c>
      <c r="Q158" s="35" t="e">
        <f>FME_Ranking_Option2!$P158*P$4</f>
        <v>#REF!</v>
      </c>
      <c r="R158" s="35">
        <f>FME_Ranking_Option2!$P158/($P$3)</f>
        <v>5.4921057402854984E-3</v>
      </c>
      <c r="S158" s="35" t="e">
        <f>FME_Ranking_Option2!$R158*P$4</f>
        <v>#REF!</v>
      </c>
      <c r="T158" s="37">
        <f>_xlfn.XLOOKUP(FME_Ranking2[[#This Row],[FME ID]],FME_Input[FME_ID],FME_Input[CRITFAC100])</f>
        <v>46</v>
      </c>
      <c r="U158" s="35" t="e">
        <f>FME_Ranking_Option2!$T158*T$4</f>
        <v>#REF!</v>
      </c>
      <c r="V158" s="35">
        <f>FME_Ranking_Option2!$T158/($T$3)</f>
        <v>6.4870963192779577E-3</v>
      </c>
      <c r="W158" s="35" t="e">
        <f>FME_Ranking_Option2!$V158*T$4</f>
        <v>#REF!</v>
      </c>
      <c r="X158" s="37">
        <f>_xlfn.XLOOKUP(FME_Ranking2[[#This Row],[FME ID]],FME_Input[FME_ID],FME_Input[LWC])</f>
        <v>18</v>
      </c>
      <c r="Y158" s="35" t="e">
        <f>FME_Ranking_Option2!$X158*X$4</f>
        <v>#REF!</v>
      </c>
      <c r="Z158" s="35">
        <f>FME_Ranking_Option2!$X158/($X$3)</f>
        <v>1.6420361247947454E-3</v>
      </c>
      <c r="AA158" s="35" t="e">
        <f>FME_Ranking_Option2!$Z158*X$4</f>
        <v>#REF!</v>
      </c>
      <c r="AB158" s="37">
        <f>_xlfn.XLOOKUP(FME_Ranking2[[#This Row],[FME ID]],FME_Input[FME_ID],FME_Input[ROADCLS])</f>
        <v>18</v>
      </c>
      <c r="AC158" s="35" t="e">
        <f>FME_Ranking_Option2!$AB158*AB$4</f>
        <v>#REF!</v>
      </c>
      <c r="AD158" s="40">
        <f>_xlfn.XLOOKUP(FME_Ranking2[[#This Row],[FME ID]],FME_Input[FME_ID],FME_Input[ROAD_MILES100])</f>
        <v>83.782958984375</v>
      </c>
      <c r="AE158" s="41" t="e">
        <f>FME_Ranking_Option2!$AD158*AD$4</f>
        <v>#REF!</v>
      </c>
      <c r="AF158" s="42">
        <f>FME_Ranking_Option2!$AD158/($AD$3)</f>
        <v>1.8924293974475243E-3</v>
      </c>
      <c r="AG158" s="42" t="e">
        <f>FME_Ranking_Option2!$AF158*AD$4</f>
        <v>#REF!</v>
      </c>
      <c r="AH158" s="40">
        <f>_xlfn.XLOOKUP(FME_Ranking2[[#This Row],[FME ID]],FME_Input[FME_ID],FME_Input[FARMACRE100])</f>
        <v>98.028602600097656</v>
      </c>
      <c r="AI158" s="43" t="e">
        <f>FME_Ranking_Option2!$AH158*AH$4</f>
        <v>#REF!</v>
      </c>
      <c r="AJ158" s="41">
        <f>FME_Ranking_Option2!$AH158/($AH$3)</f>
        <v>5.692122925599976E-3</v>
      </c>
      <c r="AK158" s="44" t="e">
        <f>FME_Ranking_Option2!$AJ158*AH$4</f>
        <v>#REF!</v>
      </c>
      <c r="AL15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58" s="45" t="e">
        <f>_xlfn.RANK.EQ(AL158,$AL$7:$AL$531)+COUNTIF(AL$7:AL158,AL158)-1</f>
        <v>#REF!</v>
      </c>
      <c r="AN158" s="44"/>
      <c r="AO158" s="45" t="e">
        <f>_xlfn.RANK.EQ(AN158,$AN$7:$AN$531)+COUNTIF(AN$7:AN158,AN158)-1</f>
        <v>#N/A</v>
      </c>
      <c r="AP15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58" s="32" t="e">
        <f>FME_Ranking2[[#This Row],[Score Based on Reported Factors]]-FME_Ranking2[[#This Row],[Check]]</f>
        <v>#REF!</v>
      </c>
      <c r="AR158" s="32"/>
    </row>
    <row r="159" spans="1:55" ht="12" customHeight="1" x14ac:dyDescent="0.25">
      <c r="A159" s="16" t="s">
        <v>1476</v>
      </c>
      <c r="B159" s="16" t="str">
        <f>_xlfn.XLOOKUP(FME_Ranking2[[#This Row],[FME ID]],FME_Input[FME_ID],FME_Input[FME_NAME])</f>
        <v>April Sound Subdivision Evaluation</v>
      </c>
      <c r="C159" s="16" t="str">
        <f>_xlfn.XLOOKUP(FME_Ranking2[[#This Row],[FME ID]],FME_Input[FME_ID],FME_Input[DESCR])</f>
        <v>Detailed analysis to be completed for the entire development using detailed storm sewer modeling.</v>
      </c>
      <c r="D159" s="46" t="str">
        <f>_xlfn.XLOOKUP(FME_Ranking2[[#This Row],[FME ID]],FME_Input[FME_ID],FME_Input[EMER_NEED])</f>
        <v>No</v>
      </c>
      <c r="E159" s="121">
        <f>IF(FME_Ranking_Option2!$D159="Yes",100,0)</f>
        <v>0</v>
      </c>
      <c r="F159" s="47" t="str">
        <f>_xlfn.XLOOKUP(FME_Ranking2[[#This Row],[FME ID]],FME_Input[FME_ID],FME_Input[FUND])</f>
        <v>Yes</v>
      </c>
      <c r="G159" s="48">
        <f>IF(FME_Ranking_Option2!$F159="Yes",1,0)</f>
        <v>1</v>
      </c>
      <c r="H159" s="46">
        <f>_xlfn.XLOOKUP(FME_Ranking2[[#This Row],[FME ID]],FME_Input[FME_ID],FME_Input[STRUCT_100])</f>
        <v>3465</v>
      </c>
      <c r="I159" s="65" t="e">
        <f>FME_Ranking2[[#This Row],[Raw Data3]]*H$4</f>
        <v>#REF!</v>
      </c>
      <c r="J159" s="62">
        <f>((FME_Ranking_Option2!$H159)/($H$3))*100</f>
        <v>0.38505604704684793</v>
      </c>
      <c r="K159" s="49" t="e">
        <f>FME_Ranking2[[#This Row],[Norm Data3]]*H$4</f>
        <v>#REF!</v>
      </c>
      <c r="L159" s="50">
        <f>_xlfn.XLOOKUP(FME_Ranking2[[#This Row],[FME ID]],FME_Input[FME_ID],FME_Input[RES_STRUCT100])</f>
        <v>2633</v>
      </c>
      <c r="M159" s="51" t="e">
        <f>FME_Ranking2[[#This Row],[Raw Data4]]*L$4</f>
        <v>#REF!</v>
      </c>
      <c r="N159" s="29">
        <f>((FME_Ranking_Option2!$L159)/($L$3))*100</f>
        <v>0.39364133936727347</v>
      </c>
      <c r="O159" s="52" t="e">
        <f>FME_Ranking2[[#This Row],[Norm Data4]]*L$4</f>
        <v>#REF!</v>
      </c>
      <c r="P159" s="47">
        <f>_xlfn.XLOOKUP(FME_Ranking2[[#This Row],[FME ID]],FME_Input[FME_ID],FME_Input[POP100])</f>
        <v>14964</v>
      </c>
      <c r="Q159" s="48" t="e">
        <f>FME_Ranking_Option2!$P159*P$4</f>
        <v>#REF!</v>
      </c>
      <c r="R159" s="48">
        <f>FME_Ranking_Option2!$P159/($P$3)</f>
        <v>5.4921057402854984E-3</v>
      </c>
      <c r="S159" s="48" t="e">
        <f>FME_Ranking_Option2!$R159*P$4</f>
        <v>#REF!</v>
      </c>
      <c r="T159" s="50">
        <f>_xlfn.XLOOKUP(FME_Ranking2[[#This Row],[FME ID]],FME_Input[FME_ID],FME_Input[CRITFAC100])</f>
        <v>46</v>
      </c>
      <c r="U159" s="48" t="e">
        <f>FME_Ranking_Option2!$T159*T$4</f>
        <v>#REF!</v>
      </c>
      <c r="V159" s="48">
        <f>FME_Ranking_Option2!$T159/($T$3)</f>
        <v>6.4870963192779577E-3</v>
      </c>
      <c r="W159" s="48" t="e">
        <f>FME_Ranking_Option2!$V159*T$4</f>
        <v>#REF!</v>
      </c>
      <c r="X159" s="50">
        <f>_xlfn.XLOOKUP(FME_Ranking2[[#This Row],[FME ID]],FME_Input[FME_ID],FME_Input[LWC])</f>
        <v>18</v>
      </c>
      <c r="Y159" s="48" t="e">
        <f>FME_Ranking_Option2!$X159*X$4</f>
        <v>#REF!</v>
      </c>
      <c r="Z159" s="48">
        <f>FME_Ranking_Option2!$X159/($X$3)</f>
        <v>1.6420361247947454E-3</v>
      </c>
      <c r="AA159" s="48" t="e">
        <f>FME_Ranking_Option2!$Z159*X$4</f>
        <v>#REF!</v>
      </c>
      <c r="AB159" s="50">
        <f>_xlfn.XLOOKUP(FME_Ranking2[[#This Row],[FME ID]],FME_Input[FME_ID],FME_Input[ROADCLS])</f>
        <v>18</v>
      </c>
      <c r="AC159" s="48" t="e">
        <f>FME_Ranking_Option2!$AB159*AB$4</f>
        <v>#REF!</v>
      </c>
      <c r="AD159" s="53">
        <f>_xlfn.XLOOKUP(FME_Ranking2[[#This Row],[FME ID]],FME_Input[FME_ID],FME_Input[ROAD_MILES100])</f>
        <v>83.782958984375</v>
      </c>
      <c r="AE159" s="54" t="e">
        <f>FME_Ranking_Option2!$AD159*AD$4</f>
        <v>#REF!</v>
      </c>
      <c r="AF159" s="55">
        <f>FME_Ranking_Option2!$AD159/($AD$3)</f>
        <v>1.8924293974475243E-3</v>
      </c>
      <c r="AG159" s="55" t="e">
        <f>FME_Ranking_Option2!$AF159*AD$4</f>
        <v>#REF!</v>
      </c>
      <c r="AH159" s="53">
        <f>_xlfn.XLOOKUP(FME_Ranking2[[#This Row],[FME ID]],FME_Input[FME_ID],FME_Input[FARMACRE100])</f>
        <v>98.028602600097656</v>
      </c>
      <c r="AI159" s="54" t="e">
        <f>FME_Ranking_Option2!$AH159*AH$4</f>
        <v>#REF!</v>
      </c>
      <c r="AJ159" s="56">
        <f>FME_Ranking_Option2!$AH159/($AH$3)</f>
        <v>5.692122925599976E-3</v>
      </c>
      <c r="AK159" s="57" t="e">
        <f>FME_Ranking_Option2!$AJ159*AH$4</f>
        <v>#REF!</v>
      </c>
      <c r="AL15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59" s="58" t="e">
        <f>_xlfn.RANK.EQ(AL159,$AL$7:$AL$531)+COUNTIF(AL$7:AL159,AL159)-1</f>
        <v>#REF!</v>
      </c>
      <c r="AN159" s="57"/>
      <c r="AO159" s="58" t="e">
        <f>_xlfn.RANK.EQ(AN159,$AN$7:$AN$531)+COUNTIF(AN$7:AN159,AN159)-1</f>
        <v>#N/A</v>
      </c>
      <c r="AP15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59" s="32" t="e">
        <f>FME_Ranking2[[#This Row],[Score Based on Reported Factors]]-FME_Ranking2[[#This Row],[Check]]</f>
        <v>#REF!</v>
      </c>
      <c r="AR159" s="32"/>
      <c r="AT159" s="19"/>
      <c r="AU159" s="19"/>
      <c r="AV159" s="19"/>
      <c r="AW159" s="19"/>
      <c r="AX159" s="19"/>
      <c r="AY159" s="19"/>
      <c r="AZ159" s="19"/>
      <c r="BA159" s="19"/>
      <c r="BB159" s="19"/>
      <c r="BC159" s="19"/>
    </row>
    <row r="160" spans="1:55" ht="12" customHeight="1" x14ac:dyDescent="0.25">
      <c r="A160" s="17" t="s">
        <v>1479</v>
      </c>
      <c r="B160" s="17" t="str">
        <f>_xlfn.XLOOKUP(FME_Ranking2[[#This Row],[FME ID]],FME_Input[FME_ID],FME_Input[FME_NAME])</f>
        <v>City of Conroe Downtown Master Drainage Plan</v>
      </c>
      <c r="C160" s="17" t="str">
        <f>_xlfn.XLOOKUP(FME_Ranking2[[#This Row],[FME ID]],FME_Input[FME_ID],FME_Input[DESCR])</f>
        <v xml:space="preserve">Full as-built storm sewer intventory survey and a full drainage study recommended. </v>
      </c>
      <c r="D160" s="33" t="str">
        <f>_xlfn.XLOOKUP(FME_Ranking2[[#This Row],[FME ID]],FME_Input[FME_ID],FME_Input[EMER_NEED])</f>
        <v>No</v>
      </c>
      <c r="E160" s="120">
        <f>IF(FME_Ranking_Option2!$D160="Yes",100,0)</f>
        <v>0</v>
      </c>
      <c r="F160" s="34" t="str">
        <f>_xlfn.XLOOKUP(FME_Ranking2[[#This Row],[FME ID]],FME_Input[FME_ID],FME_Input[FUND])</f>
        <v>Yes</v>
      </c>
      <c r="G160" s="35">
        <f>IF(FME_Ranking_Option2!$F160="Yes",1,0)</f>
        <v>1</v>
      </c>
      <c r="H160" s="33">
        <f>_xlfn.XLOOKUP(FME_Ranking2[[#This Row],[FME ID]],FME_Input[FME_ID],FME_Input[STRUCT_100])</f>
        <v>3465</v>
      </c>
      <c r="I160" s="64" t="e">
        <f>FME_Ranking2[[#This Row],[Raw Data3]]*H$4</f>
        <v>#REF!</v>
      </c>
      <c r="J160" s="63">
        <f>((FME_Ranking_Option2!$H160)/($H$3))*100</f>
        <v>0.38505604704684793</v>
      </c>
      <c r="K160" s="36" t="e">
        <f>FME_Ranking2[[#This Row],[Norm Data3]]*H$4</f>
        <v>#REF!</v>
      </c>
      <c r="L160" s="37">
        <f>_xlfn.XLOOKUP(FME_Ranking2[[#This Row],[FME ID]],FME_Input[FME_ID],FME_Input[RES_STRUCT100])</f>
        <v>2633</v>
      </c>
      <c r="M160" s="38" t="e">
        <f>FME_Ranking2[[#This Row],[Raw Data4]]*L$4</f>
        <v>#REF!</v>
      </c>
      <c r="N160" s="28">
        <f>((FME_Ranking_Option2!$L160)/($L$3))*100</f>
        <v>0.39364133936727347</v>
      </c>
      <c r="O160" s="39" t="e">
        <f>FME_Ranking2[[#This Row],[Norm Data4]]*L$4</f>
        <v>#REF!</v>
      </c>
      <c r="P160" s="34">
        <f>_xlfn.XLOOKUP(FME_Ranking2[[#This Row],[FME ID]],FME_Input[FME_ID],FME_Input[POP100])</f>
        <v>14964</v>
      </c>
      <c r="Q160" s="35" t="e">
        <f>FME_Ranking_Option2!$P160*P$4</f>
        <v>#REF!</v>
      </c>
      <c r="R160" s="35">
        <f>FME_Ranking_Option2!$P160/($P$3)</f>
        <v>5.4921057402854984E-3</v>
      </c>
      <c r="S160" s="35" t="e">
        <f>FME_Ranking_Option2!$R160*P$4</f>
        <v>#REF!</v>
      </c>
      <c r="T160" s="37">
        <f>_xlfn.XLOOKUP(FME_Ranking2[[#This Row],[FME ID]],FME_Input[FME_ID],FME_Input[CRITFAC100])</f>
        <v>46</v>
      </c>
      <c r="U160" s="35" t="e">
        <f>FME_Ranking_Option2!$T160*T$4</f>
        <v>#REF!</v>
      </c>
      <c r="V160" s="35">
        <f>FME_Ranking_Option2!$T160/($T$3)</f>
        <v>6.4870963192779577E-3</v>
      </c>
      <c r="W160" s="35" t="e">
        <f>FME_Ranking_Option2!$V160*T$4</f>
        <v>#REF!</v>
      </c>
      <c r="X160" s="37">
        <f>_xlfn.XLOOKUP(FME_Ranking2[[#This Row],[FME ID]],FME_Input[FME_ID],FME_Input[LWC])</f>
        <v>18</v>
      </c>
      <c r="Y160" s="35" t="e">
        <f>FME_Ranking_Option2!$X160*X$4</f>
        <v>#REF!</v>
      </c>
      <c r="Z160" s="35">
        <f>FME_Ranking_Option2!$X160/($X$3)</f>
        <v>1.6420361247947454E-3</v>
      </c>
      <c r="AA160" s="35" t="e">
        <f>FME_Ranking_Option2!$Z160*X$4</f>
        <v>#REF!</v>
      </c>
      <c r="AB160" s="37">
        <f>_xlfn.XLOOKUP(FME_Ranking2[[#This Row],[FME ID]],FME_Input[FME_ID],FME_Input[ROADCLS])</f>
        <v>18</v>
      </c>
      <c r="AC160" s="35" t="e">
        <f>FME_Ranking_Option2!$AB160*AB$4</f>
        <v>#REF!</v>
      </c>
      <c r="AD160" s="40">
        <f>_xlfn.XLOOKUP(FME_Ranking2[[#This Row],[FME ID]],FME_Input[FME_ID],FME_Input[ROAD_MILES100])</f>
        <v>83.782958984375</v>
      </c>
      <c r="AE160" s="41" t="e">
        <f>FME_Ranking_Option2!$AD160*AD$4</f>
        <v>#REF!</v>
      </c>
      <c r="AF160" s="42">
        <f>FME_Ranking_Option2!$AD160/($AD$3)</f>
        <v>1.8924293974475243E-3</v>
      </c>
      <c r="AG160" s="42" t="e">
        <f>FME_Ranking_Option2!$AF160*AD$4</f>
        <v>#REF!</v>
      </c>
      <c r="AH160" s="40">
        <f>_xlfn.XLOOKUP(FME_Ranking2[[#This Row],[FME ID]],FME_Input[FME_ID],FME_Input[FARMACRE100])</f>
        <v>98.028602600097656</v>
      </c>
      <c r="AI160" s="43" t="e">
        <f>FME_Ranking_Option2!$AH160*AH$4</f>
        <v>#REF!</v>
      </c>
      <c r="AJ160" s="41">
        <f>FME_Ranking_Option2!$AH160/($AH$3)</f>
        <v>5.692122925599976E-3</v>
      </c>
      <c r="AK160" s="44" t="e">
        <f>FME_Ranking_Option2!$AJ160*AH$4</f>
        <v>#REF!</v>
      </c>
      <c r="AL16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60" s="45" t="e">
        <f>_xlfn.RANK.EQ(AL160,$AL$7:$AL$531)+COUNTIF(AL$7:AL160,AL160)-1</f>
        <v>#REF!</v>
      </c>
      <c r="AN160" s="44"/>
      <c r="AO160" s="45" t="e">
        <f>_xlfn.RANK.EQ(AN160,$AN$7:$AN$531)+COUNTIF(AN$7:AN160,AN160)-1</f>
        <v>#N/A</v>
      </c>
      <c r="AP16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60" s="32" t="e">
        <f>FME_Ranking2[[#This Row],[Score Based on Reported Factors]]-FME_Ranking2[[#This Row],[Check]]</f>
        <v>#REF!</v>
      </c>
      <c r="AR160" s="32"/>
    </row>
    <row r="161" spans="1:55" ht="12" customHeight="1" x14ac:dyDescent="0.25">
      <c r="A161" s="16" t="s">
        <v>1482</v>
      </c>
      <c r="B161" s="16" t="str">
        <f>_xlfn.XLOOKUP(FME_Ranking2[[#This Row],[FME ID]],FME_Input[FME_ID],FME_Input[FME_NAME])</f>
        <v>Greens Bayou - P103-00-00</v>
      </c>
      <c r="C161" s="16" t="str">
        <f>_xlfn.XLOOKUP(FME_Ranking2[[#This Row],[FME ID]],FME_Input[FME_ID],FME_Input[DESCR])</f>
        <v>Further study of Flood Risk Reduction need identified through the HCFCD 'Watershed Planning Tool' to determine channel modifications needed to restore/improve channel conveyance including Atlas 14 rainfall.</v>
      </c>
      <c r="D161" s="46" t="str">
        <f>_xlfn.XLOOKUP(FME_Ranking2[[#This Row],[FME ID]],FME_Input[FME_ID],FME_Input[EMER_NEED])</f>
        <v>No</v>
      </c>
      <c r="E161" s="121">
        <f>IF(FME_Ranking_Option2!$D161="Yes",100,0)</f>
        <v>0</v>
      </c>
      <c r="F161" s="47" t="str">
        <f>_xlfn.XLOOKUP(FME_Ranking2[[#This Row],[FME ID]],FME_Input[FME_ID],FME_Input[FUND])</f>
        <v>Yes</v>
      </c>
      <c r="G161" s="48">
        <f>IF(FME_Ranking_Option2!$F161="Yes",1,0)</f>
        <v>1</v>
      </c>
      <c r="H161" s="46">
        <f>_xlfn.XLOOKUP(FME_Ranking2[[#This Row],[FME ID]],FME_Input[FME_ID],FME_Input[STRUCT_100])</f>
        <v>391</v>
      </c>
      <c r="I161" s="65" t="e">
        <f>FME_Ranking2[[#This Row],[Raw Data3]]*H$4</f>
        <v>#REF!</v>
      </c>
      <c r="J161" s="62">
        <f>((FME_Ranking_Option2!$H161)/($H$3))*100</f>
        <v>4.3450768945257588E-2</v>
      </c>
      <c r="K161" s="49" t="e">
        <f>FME_Ranking2[[#This Row],[Norm Data3]]*H$4</f>
        <v>#REF!</v>
      </c>
      <c r="L161" s="50">
        <f>_xlfn.XLOOKUP(FME_Ranking2[[#This Row],[FME ID]],FME_Input[FME_ID],FME_Input[RES_STRUCT100])</f>
        <v>197</v>
      </c>
      <c r="M161" s="51" t="e">
        <f>FME_Ranking2[[#This Row],[Raw Data4]]*L$4</f>
        <v>#REF!</v>
      </c>
      <c r="N161" s="29">
        <f>((FME_Ranking_Option2!$L161)/($L$3))*100</f>
        <v>2.9452086538303411E-2</v>
      </c>
      <c r="O161" s="52" t="e">
        <f>FME_Ranking2[[#This Row],[Norm Data4]]*L$4</f>
        <v>#REF!</v>
      </c>
      <c r="P161" s="47">
        <f>_xlfn.XLOOKUP(FME_Ranking2[[#This Row],[FME ID]],FME_Input[FME_ID],FME_Input[POP100])</f>
        <v>1750</v>
      </c>
      <c r="Q161" s="48" t="e">
        <f>FME_Ranking_Option2!$P161*P$4</f>
        <v>#REF!</v>
      </c>
      <c r="R161" s="48">
        <f>FME_Ranking_Option2!$P161/($P$3)</f>
        <v>6.4228715888128992E-4</v>
      </c>
      <c r="S161" s="48" t="e">
        <f>FME_Ranking_Option2!$R161*P$4</f>
        <v>#REF!</v>
      </c>
      <c r="T161" s="50">
        <f>_xlfn.XLOOKUP(FME_Ranking2[[#This Row],[FME ID]],FME_Input[FME_ID],FME_Input[CRITFAC100])</f>
        <v>5</v>
      </c>
      <c r="U161" s="48" t="e">
        <f>FME_Ranking_Option2!$T161*T$4</f>
        <v>#REF!</v>
      </c>
      <c r="V161" s="48">
        <f>FME_Ranking_Option2!$T161/($T$3)</f>
        <v>7.0511916513890844E-4</v>
      </c>
      <c r="W161" s="48" t="e">
        <f>FME_Ranking_Option2!$V161*T$4</f>
        <v>#REF!</v>
      </c>
      <c r="X161" s="50">
        <f>_xlfn.XLOOKUP(FME_Ranking2[[#This Row],[FME ID]],FME_Input[FME_ID],FME_Input[LWC])</f>
        <v>0</v>
      </c>
      <c r="Y161" s="48" t="e">
        <f>FME_Ranking_Option2!$X161*X$4</f>
        <v>#REF!</v>
      </c>
      <c r="Z161" s="48">
        <f>FME_Ranking_Option2!$X161/($X$3)</f>
        <v>0</v>
      </c>
      <c r="AA161" s="48" t="e">
        <f>FME_Ranking_Option2!$Z161*X$4</f>
        <v>#REF!</v>
      </c>
      <c r="AB161" s="50">
        <f>_xlfn.XLOOKUP(FME_Ranking2[[#This Row],[FME ID]],FME_Input[FME_ID],FME_Input[ROADCLS])</f>
        <v>0</v>
      </c>
      <c r="AC161" s="48" t="e">
        <f>FME_Ranking_Option2!$AB161*AB$4</f>
        <v>#REF!</v>
      </c>
      <c r="AD161" s="53">
        <f>_xlfn.XLOOKUP(FME_Ranking2[[#This Row],[FME ID]],FME_Input[FME_ID],FME_Input[ROAD_MILES100])</f>
        <v>6.689638614654541</v>
      </c>
      <c r="AE161" s="54" t="e">
        <f>FME_Ranking_Option2!$AD161*AD$4</f>
        <v>#REF!</v>
      </c>
      <c r="AF161" s="55">
        <f>FME_Ranking_Option2!$AD161/($AD$3)</f>
        <v>1.5110075994133047E-4</v>
      </c>
      <c r="AG161" s="55" t="e">
        <f>FME_Ranking_Option2!$AF161*AD$4</f>
        <v>#REF!</v>
      </c>
      <c r="AH161" s="53">
        <f>_xlfn.XLOOKUP(FME_Ranking2[[#This Row],[FME ID]],FME_Input[FME_ID],FME_Input[FARMACRE100])</f>
        <v>15.068278312683111</v>
      </c>
      <c r="AI161" s="54" t="e">
        <f>FME_Ranking_Option2!$AH161*AH$4</f>
        <v>#REF!</v>
      </c>
      <c r="AJ161" s="56">
        <f>FME_Ranking_Option2!$AH161/($AH$3)</f>
        <v>8.7495373960231281E-4</v>
      </c>
      <c r="AK161" s="57" t="e">
        <f>FME_Ranking_Option2!$AJ161*AH$4</f>
        <v>#REF!</v>
      </c>
      <c r="AL16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61" s="58" t="e">
        <f>_xlfn.RANK.EQ(AL161,$AL$7:$AL$531)+COUNTIF(AL$7:AL161,AL161)-1</f>
        <v>#REF!</v>
      </c>
      <c r="AN161" s="57"/>
      <c r="AO161" s="58" t="e">
        <f>_xlfn.RANK.EQ(AN161,$AN$7:$AN$531)+COUNTIF(AN$7:AN161,AN161)-1</f>
        <v>#N/A</v>
      </c>
      <c r="AP16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61" s="32" t="e">
        <f>FME_Ranking2[[#This Row],[Score Based on Reported Factors]]-FME_Ranking2[[#This Row],[Check]]</f>
        <v>#REF!</v>
      </c>
      <c r="AR161" s="32"/>
      <c r="AT161" s="19"/>
      <c r="AU161" s="19"/>
      <c r="AV161" s="19"/>
      <c r="AW161" s="19"/>
      <c r="AX161" s="19"/>
      <c r="AY161" s="19"/>
      <c r="AZ161" s="19"/>
      <c r="BA161" s="19"/>
      <c r="BB161" s="19"/>
      <c r="BC161" s="19"/>
    </row>
    <row r="162" spans="1:55" ht="12" customHeight="1" x14ac:dyDescent="0.25">
      <c r="A162" s="17" t="s">
        <v>1487</v>
      </c>
      <c r="B162" s="17" t="str">
        <f>_xlfn.XLOOKUP(FME_Ranking2[[#This Row],[FME ID]],FME_Input[FME_ID],FME_Input[FME_NAME])</f>
        <v>Barker - T101-00-00</v>
      </c>
      <c r="C162" s="17" t="str">
        <f>_xlfn.XLOOKUP(FME_Ranking2[[#This Row],[FME ID]],FME_Input[FME_ID],FME_Input[DESCR])</f>
        <v>Further study of Flood Risk Reduction need identified through the HCFCD 'Watershed Planning Tool' to determine channel modifications needed to restore/improve channel conveyance including Atlas 14 rainfall.</v>
      </c>
      <c r="D162" s="33" t="str">
        <f>_xlfn.XLOOKUP(FME_Ranking2[[#This Row],[FME ID]],FME_Input[FME_ID],FME_Input[EMER_NEED])</f>
        <v>No</v>
      </c>
      <c r="E162" s="120">
        <f>IF(FME_Ranking_Option2!$D162="Yes",100,0)</f>
        <v>0</v>
      </c>
      <c r="F162" s="34" t="str">
        <f>_xlfn.XLOOKUP(FME_Ranking2[[#This Row],[FME ID]],FME_Input[FME_ID],FME_Input[FUND])</f>
        <v>Yes</v>
      </c>
      <c r="G162" s="35">
        <f>IF(FME_Ranking_Option2!$F162="Yes",1,0)</f>
        <v>1</v>
      </c>
      <c r="H162" s="33">
        <f>_xlfn.XLOOKUP(FME_Ranking2[[#This Row],[FME ID]],FME_Input[FME_ID],FME_Input[STRUCT_100])</f>
        <v>41</v>
      </c>
      <c r="I162" s="64" t="e">
        <f>FME_Ranking2[[#This Row],[Raw Data3]]*H$4</f>
        <v>#REF!</v>
      </c>
      <c r="J162" s="63">
        <f>((FME_Ranking_Option2!$H162)/($H$3))*100</f>
        <v>4.5562187385052716E-3</v>
      </c>
      <c r="K162" s="36" t="e">
        <f>FME_Ranking2[[#This Row],[Norm Data3]]*H$4</f>
        <v>#REF!</v>
      </c>
      <c r="L162" s="37">
        <f>_xlfn.XLOOKUP(FME_Ranking2[[#This Row],[FME ID]],FME_Input[FME_ID],FME_Input[RES_STRUCT100])</f>
        <v>34</v>
      </c>
      <c r="M162" s="38" t="e">
        <f>FME_Ranking2[[#This Row],[Raw Data4]]*L$4</f>
        <v>#REF!</v>
      </c>
      <c r="N162" s="28">
        <f>((FME_Ranking_Option2!$L162)/($L$3))*100</f>
        <v>5.0831012299609952E-3</v>
      </c>
      <c r="O162" s="39" t="e">
        <f>FME_Ranking2[[#This Row],[Norm Data4]]*L$4</f>
        <v>#REF!</v>
      </c>
      <c r="P162" s="34">
        <f>_xlfn.XLOOKUP(FME_Ranking2[[#This Row],[FME ID]],FME_Input[FME_ID],FME_Input[POP100])</f>
        <v>521</v>
      </c>
      <c r="Q162" s="35" t="e">
        <f>FME_Ranking_Option2!$P162*P$4</f>
        <v>#REF!</v>
      </c>
      <c r="R162" s="35">
        <f>FME_Ranking_Option2!$P162/($P$3)</f>
        <v>1.9121806272980117E-4</v>
      </c>
      <c r="S162" s="35" t="e">
        <f>FME_Ranking_Option2!$R162*P$4</f>
        <v>#REF!</v>
      </c>
      <c r="T162" s="37">
        <f>_xlfn.XLOOKUP(FME_Ranking2[[#This Row],[FME ID]],FME_Input[FME_ID],FME_Input[CRITFAC100])</f>
        <v>0</v>
      </c>
      <c r="U162" s="35" t="e">
        <f>FME_Ranking_Option2!$T162*T$4</f>
        <v>#REF!</v>
      </c>
      <c r="V162" s="35">
        <f>FME_Ranking_Option2!$T162/($T$3)</f>
        <v>0</v>
      </c>
      <c r="W162" s="35" t="e">
        <f>FME_Ranking_Option2!$V162*T$4</f>
        <v>#REF!</v>
      </c>
      <c r="X162" s="37">
        <f>_xlfn.XLOOKUP(FME_Ranking2[[#This Row],[FME ID]],FME_Input[FME_ID],FME_Input[LWC])</f>
        <v>0</v>
      </c>
      <c r="Y162" s="35" t="e">
        <f>FME_Ranking_Option2!$X162*X$4</f>
        <v>#REF!</v>
      </c>
      <c r="Z162" s="35">
        <f>FME_Ranking_Option2!$X162/($X$3)</f>
        <v>0</v>
      </c>
      <c r="AA162" s="35" t="e">
        <f>FME_Ranking_Option2!$Z162*X$4</f>
        <v>#REF!</v>
      </c>
      <c r="AB162" s="37">
        <f>_xlfn.XLOOKUP(FME_Ranking2[[#This Row],[FME ID]],FME_Input[FME_ID],FME_Input[ROADCLS])</f>
        <v>0</v>
      </c>
      <c r="AC162" s="35" t="e">
        <f>FME_Ranking_Option2!$AB162*AB$4</f>
        <v>#REF!</v>
      </c>
      <c r="AD162" s="40">
        <f>_xlfn.XLOOKUP(FME_Ranking2[[#This Row],[FME ID]],FME_Input[FME_ID],FME_Input[ROAD_MILES100])</f>
        <v>2.582297563552856</v>
      </c>
      <c r="AE162" s="41" t="e">
        <f>FME_Ranking_Option2!$AD162*AD$4</f>
        <v>#REF!</v>
      </c>
      <c r="AF162" s="42">
        <f>FME_Ranking_Option2!$AD162/($AD$3)</f>
        <v>5.8327085620548465E-5</v>
      </c>
      <c r="AG162" s="42" t="e">
        <f>FME_Ranking_Option2!$AF162*AD$4</f>
        <v>#REF!</v>
      </c>
      <c r="AH162" s="40">
        <f>_xlfn.XLOOKUP(FME_Ranking2[[#This Row],[FME ID]],FME_Input[FME_ID],FME_Input[FARMACRE100])</f>
        <v>8.6169300079345703</v>
      </c>
      <c r="AI162" s="43" t="e">
        <f>FME_Ranking_Option2!$AH162*AH$4</f>
        <v>#REF!</v>
      </c>
      <c r="AJ162" s="41">
        <f>FME_Ranking_Option2!$AH162/($AH$3)</f>
        <v>5.0035013807700533E-4</v>
      </c>
      <c r="AK162" s="44" t="e">
        <f>FME_Ranking_Option2!$AJ162*AH$4</f>
        <v>#REF!</v>
      </c>
      <c r="AL162"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62" s="45" t="e">
        <f>_xlfn.RANK.EQ(AL162,$AL$7:$AL$531)+COUNTIF(AL$7:AL162,AL162)-1</f>
        <v>#REF!</v>
      </c>
      <c r="AN162" s="44"/>
      <c r="AO162" s="45" t="e">
        <f>_xlfn.RANK.EQ(AN162,$AN$7:$AN$531)+COUNTIF(AN$7:AN162,AN162)-1</f>
        <v>#N/A</v>
      </c>
      <c r="AP16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62" s="32" t="e">
        <f>FME_Ranking2[[#This Row],[Score Based on Reported Factors]]-FME_Ranking2[[#This Row],[Check]]</f>
        <v>#REF!</v>
      </c>
      <c r="AR162" s="32"/>
    </row>
    <row r="163" spans="1:55" ht="12" customHeight="1" x14ac:dyDescent="0.25">
      <c r="A163" s="16" t="s">
        <v>1492</v>
      </c>
      <c r="B163" s="16" t="str">
        <f>_xlfn.XLOOKUP(FME_Ranking2[[#This Row],[FME ID]],FME_Input[FME_ID],FME_Input[FME_NAME])</f>
        <v>Barker - T103-00-00</v>
      </c>
      <c r="C163" s="16" t="str">
        <f>_xlfn.XLOOKUP(FME_Ranking2[[#This Row],[FME ID]],FME_Input[FME_ID],FME_Input[DESCR])</f>
        <v>Further study of Flood Risk Reduction need identified through the HCFCD 'Watershed Planning Tool' to determine channel modifications needed to restore/improve channel conveyance including Atlas 14 rainfall.</v>
      </c>
      <c r="D163" s="46" t="str">
        <f>_xlfn.XLOOKUP(FME_Ranking2[[#This Row],[FME ID]],FME_Input[FME_ID],FME_Input[EMER_NEED])</f>
        <v>No</v>
      </c>
      <c r="E163" s="121">
        <f>IF(FME_Ranking_Option2!$D163="Yes",100,0)</f>
        <v>0</v>
      </c>
      <c r="F163" s="47" t="str">
        <f>_xlfn.XLOOKUP(FME_Ranking2[[#This Row],[FME ID]],FME_Input[FME_ID],FME_Input[FUND])</f>
        <v>Yes</v>
      </c>
      <c r="G163" s="48">
        <f>IF(FME_Ranking_Option2!$F163="Yes",1,0)</f>
        <v>1</v>
      </c>
      <c r="H163" s="46">
        <f>_xlfn.XLOOKUP(FME_Ranking2[[#This Row],[FME ID]],FME_Input[FME_ID],FME_Input[STRUCT_100])</f>
        <v>0</v>
      </c>
      <c r="I163" s="65" t="e">
        <f>FME_Ranking2[[#This Row],[Raw Data3]]*H$4</f>
        <v>#REF!</v>
      </c>
      <c r="J163" s="62">
        <f>((FME_Ranking_Option2!$H163)/($H$3))*100</f>
        <v>0</v>
      </c>
      <c r="K163" s="49" t="e">
        <f>FME_Ranking2[[#This Row],[Norm Data3]]*H$4</f>
        <v>#REF!</v>
      </c>
      <c r="L163" s="50">
        <f>_xlfn.XLOOKUP(FME_Ranking2[[#This Row],[FME ID]],FME_Input[FME_ID],FME_Input[RES_STRUCT100])</f>
        <v>0</v>
      </c>
      <c r="M163" s="51" t="e">
        <f>FME_Ranking2[[#This Row],[Raw Data4]]*L$4</f>
        <v>#REF!</v>
      </c>
      <c r="N163" s="29">
        <f>((FME_Ranking_Option2!$L163)/($L$3))*100</f>
        <v>0</v>
      </c>
      <c r="O163" s="52" t="e">
        <f>FME_Ranking2[[#This Row],[Norm Data4]]*L$4</f>
        <v>#REF!</v>
      </c>
      <c r="P163" s="47">
        <f>_xlfn.XLOOKUP(FME_Ranking2[[#This Row],[FME ID]],FME_Input[FME_ID],FME_Input[POP100])</f>
        <v>0</v>
      </c>
      <c r="Q163" s="48" t="e">
        <f>FME_Ranking_Option2!$P163*P$4</f>
        <v>#REF!</v>
      </c>
      <c r="R163" s="48">
        <f>FME_Ranking_Option2!$P163/($P$3)</f>
        <v>0</v>
      </c>
      <c r="S163" s="48" t="e">
        <f>FME_Ranking_Option2!$R163*P$4</f>
        <v>#REF!</v>
      </c>
      <c r="T163" s="50">
        <f>_xlfn.XLOOKUP(FME_Ranking2[[#This Row],[FME ID]],FME_Input[FME_ID],FME_Input[CRITFAC100])</f>
        <v>0</v>
      </c>
      <c r="U163" s="48" t="e">
        <f>FME_Ranking_Option2!$T163*T$4</f>
        <v>#REF!</v>
      </c>
      <c r="V163" s="48">
        <f>FME_Ranking_Option2!$T163/($T$3)</f>
        <v>0</v>
      </c>
      <c r="W163" s="48" t="e">
        <f>FME_Ranking_Option2!$V163*T$4</f>
        <v>#REF!</v>
      </c>
      <c r="X163" s="50">
        <f>_xlfn.XLOOKUP(FME_Ranking2[[#This Row],[FME ID]],FME_Input[FME_ID],FME_Input[LWC])</f>
        <v>0</v>
      </c>
      <c r="Y163" s="48" t="e">
        <f>FME_Ranking_Option2!$X163*X$4</f>
        <v>#REF!</v>
      </c>
      <c r="Z163" s="48">
        <f>FME_Ranking_Option2!$X163/($X$3)</f>
        <v>0</v>
      </c>
      <c r="AA163" s="48" t="e">
        <f>FME_Ranking_Option2!$Z163*X$4</f>
        <v>#REF!</v>
      </c>
      <c r="AB163" s="50">
        <f>_xlfn.XLOOKUP(FME_Ranking2[[#This Row],[FME ID]],FME_Input[FME_ID],FME_Input[ROADCLS])</f>
        <v>0</v>
      </c>
      <c r="AC163" s="48" t="e">
        <f>FME_Ranking_Option2!$AB163*AB$4</f>
        <v>#REF!</v>
      </c>
      <c r="AD163" s="53">
        <f>_xlfn.XLOOKUP(FME_Ranking2[[#This Row],[FME ID]],FME_Input[FME_ID],FME_Input[ROAD_MILES100])</f>
        <v>0.62903547286987305</v>
      </c>
      <c r="AE163" s="54" t="e">
        <f>FME_Ranking_Option2!$AD163*AD$4</f>
        <v>#REF!</v>
      </c>
      <c r="AF163" s="55">
        <f>FME_Ranking_Option2!$AD163/($AD$3)</f>
        <v>1.420820218486501E-5</v>
      </c>
      <c r="AG163" s="55" t="e">
        <f>FME_Ranking_Option2!$AF163*AD$4</f>
        <v>#REF!</v>
      </c>
      <c r="AH163" s="53">
        <f>_xlfn.XLOOKUP(FME_Ranking2[[#This Row],[FME ID]],FME_Input[FME_ID],FME_Input[FARMACRE100])</f>
        <v>1.0302524566650391</v>
      </c>
      <c r="AI163" s="54" t="e">
        <f>FME_Ranking_Option2!$AH163*AH$4</f>
        <v>#REF!</v>
      </c>
      <c r="AJ163" s="56">
        <f>FME_Ranking_Option2!$AH163/($AH$3)</f>
        <v>5.9822577005019167E-5</v>
      </c>
      <c r="AK163" s="57" t="e">
        <f>FME_Ranking_Option2!$AJ163*AH$4</f>
        <v>#REF!</v>
      </c>
      <c r="AL163"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63" s="58" t="e">
        <f>_xlfn.RANK.EQ(AL163,$AL$7:$AL$531)+COUNTIF(AL$7:AL163,AL163)-1</f>
        <v>#REF!</v>
      </c>
      <c r="AN163" s="57"/>
      <c r="AO163" s="58" t="e">
        <f>_xlfn.RANK.EQ(AN163,$AN$7:$AN$531)+COUNTIF(AN$7:AN163,AN163)-1</f>
        <v>#N/A</v>
      </c>
      <c r="AP16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63" s="32" t="e">
        <f>FME_Ranking2[[#This Row],[Score Based on Reported Factors]]-FME_Ranking2[[#This Row],[Check]]</f>
        <v>#REF!</v>
      </c>
      <c r="AR163" s="32"/>
      <c r="AT163" s="19"/>
      <c r="AU163" s="19"/>
      <c r="AV163" s="19"/>
      <c r="AW163" s="19"/>
      <c r="AX163" s="19"/>
      <c r="AY163" s="19"/>
      <c r="AZ163" s="19"/>
      <c r="BA163" s="19"/>
      <c r="BB163" s="19"/>
      <c r="BC163" s="19"/>
    </row>
    <row r="164" spans="1:55" ht="12" customHeight="1" x14ac:dyDescent="0.25">
      <c r="A164" s="17" t="s">
        <v>1496</v>
      </c>
      <c r="B164" s="17" t="str">
        <f>_xlfn.XLOOKUP(FME_Ranking2[[#This Row],[FME ID]],FME_Input[FME_ID],FME_Input[FME_NAME])</f>
        <v>Buffalo Bayou - W158-00-00</v>
      </c>
      <c r="C164" s="17" t="str">
        <f>_xlfn.XLOOKUP(FME_Ranking2[[#This Row],[FME ID]],FME_Input[FME_ID],FME_Input[DESCR])</f>
        <v>Further study of Flood Risk Reduction need identified through the HCFCD 'Watershed Planning Tool' to determine channel modifications needed to restore/improve channel conveyance including Atlas 14 rainfall.</v>
      </c>
      <c r="D164" s="33" t="str">
        <f>_xlfn.XLOOKUP(FME_Ranking2[[#This Row],[FME ID]],FME_Input[FME_ID],FME_Input[EMER_NEED])</f>
        <v>No</v>
      </c>
      <c r="E164" s="120">
        <f>IF(FME_Ranking_Option2!$D164="Yes",100,0)</f>
        <v>0</v>
      </c>
      <c r="F164" s="34" t="str">
        <f>_xlfn.XLOOKUP(FME_Ranking2[[#This Row],[FME ID]],FME_Input[FME_ID],FME_Input[FUND])</f>
        <v>Yes</v>
      </c>
      <c r="G164" s="35">
        <f>IF(FME_Ranking_Option2!$F164="Yes",1,0)</f>
        <v>1</v>
      </c>
      <c r="H164" s="33">
        <f>_xlfn.XLOOKUP(FME_Ranking2[[#This Row],[FME ID]],FME_Input[FME_ID],FME_Input[STRUCT_100])</f>
        <v>72</v>
      </c>
      <c r="I164" s="64" t="e">
        <f>FME_Ranking2[[#This Row],[Raw Data3]]*H$4</f>
        <v>#REF!</v>
      </c>
      <c r="J164" s="63">
        <f>((FME_Ranking_Option2!$H164)/($H$3))*100</f>
        <v>8.0011646139604778E-3</v>
      </c>
      <c r="K164" s="36" t="e">
        <f>FME_Ranking2[[#This Row],[Norm Data3]]*H$4</f>
        <v>#REF!</v>
      </c>
      <c r="L164" s="37">
        <f>_xlfn.XLOOKUP(FME_Ranking2[[#This Row],[FME ID]],FME_Input[FME_ID],FME_Input[RES_STRUCT100])</f>
        <v>63</v>
      </c>
      <c r="M164" s="38" t="e">
        <f>FME_Ranking2[[#This Row],[Raw Data4]]*L$4</f>
        <v>#REF!</v>
      </c>
      <c r="N164" s="28">
        <f>((FME_Ranking_Option2!$L164)/($L$3))*100</f>
        <v>9.418687573163019E-3</v>
      </c>
      <c r="O164" s="39" t="e">
        <f>FME_Ranking2[[#This Row],[Norm Data4]]*L$4</f>
        <v>#REF!</v>
      </c>
      <c r="P164" s="34">
        <f>_xlfn.XLOOKUP(FME_Ranking2[[#This Row],[FME ID]],FME_Input[FME_ID],FME_Input[POP100])</f>
        <v>311</v>
      </c>
      <c r="Q164" s="35" t="e">
        <f>FME_Ranking_Option2!$P164*P$4</f>
        <v>#REF!</v>
      </c>
      <c r="R164" s="35">
        <f>FME_Ranking_Option2!$P164/($P$3)</f>
        <v>1.1414360366404638E-4</v>
      </c>
      <c r="S164" s="35" t="e">
        <f>FME_Ranking_Option2!$R164*P$4</f>
        <v>#REF!</v>
      </c>
      <c r="T164" s="37">
        <f>_xlfn.XLOOKUP(FME_Ranking2[[#This Row],[FME ID]],FME_Input[FME_ID],FME_Input[CRITFAC100])</f>
        <v>0</v>
      </c>
      <c r="U164" s="35" t="e">
        <f>FME_Ranking_Option2!$T164*T$4</f>
        <v>#REF!</v>
      </c>
      <c r="V164" s="35">
        <f>FME_Ranking_Option2!$T164/($T$3)</f>
        <v>0</v>
      </c>
      <c r="W164" s="35" t="e">
        <f>FME_Ranking_Option2!$V164*T$4</f>
        <v>#REF!</v>
      </c>
      <c r="X164" s="37">
        <f>_xlfn.XLOOKUP(FME_Ranking2[[#This Row],[FME ID]],FME_Input[FME_ID],FME_Input[LWC])</f>
        <v>0</v>
      </c>
      <c r="Y164" s="35" t="e">
        <f>FME_Ranking_Option2!$X164*X$4</f>
        <v>#REF!</v>
      </c>
      <c r="Z164" s="35">
        <f>FME_Ranking_Option2!$X164/($X$3)</f>
        <v>0</v>
      </c>
      <c r="AA164" s="35" t="e">
        <f>FME_Ranking_Option2!$Z164*X$4</f>
        <v>#REF!</v>
      </c>
      <c r="AB164" s="37">
        <f>_xlfn.XLOOKUP(FME_Ranking2[[#This Row],[FME ID]],FME_Input[FME_ID],FME_Input[ROADCLS])</f>
        <v>0</v>
      </c>
      <c r="AC164" s="35" t="e">
        <f>FME_Ranking_Option2!$AB164*AB$4</f>
        <v>#REF!</v>
      </c>
      <c r="AD164" s="40">
        <f>_xlfn.XLOOKUP(FME_Ranking2[[#This Row],[FME ID]],FME_Input[FME_ID],FME_Input[ROAD_MILES100])</f>
        <v>0.98375749588012695</v>
      </c>
      <c r="AE164" s="41" t="e">
        <f>FME_Ranking_Option2!$AD164*AD$4</f>
        <v>#REF!</v>
      </c>
      <c r="AF164" s="42">
        <f>FME_Ranking_Option2!$AD164/($AD$3)</f>
        <v>2.2220408872287594E-5</v>
      </c>
      <c r="AG164" s="42" t="e">
        <f>FME_Ranking_Option2!$AF164*AD$4</f>
        <v>#REF!</v>
      </c>
      <c r="AH164" s="40">
        <f>_xlfn.XLOOKUP(FME_Ranking2[[#This Row],[FME ID]],FME_Input[FME_ID],FME_Input[FARMACRE100])</f>
        <v>0.72411692142486572</v>
      </c>
      <c r="AI164" s="43" t="e">
        <f>FME_Ranking_Option2!$AH164*AH$4</f>
        <v>#REF!</v>
      </c>
      <c r="AJ164" s="41">
        <f>FME_Ranking_Option2!$AH164/($AH$3)</f>
        <v>4.2046529481521429E-5</v>
      </c>
      <c r="AK164" s="44" t="e">
        <f>FME_Ranking_Option2!$AJ164*AH$4</f>
        <v>#REF!</v>
      </c>
      <c r="AL164"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64" s="45" t="e">
        <f>_xlfn.RANK.EQ(AL164,$AL$7:$AL$531)+COUNTIF(AL$7:AL164,AL164)-1</f>
        <v>#REF!</v>
      </c>
      <c r="AN164" s="44"/>
      <c r="AO164" s="45" t="e">
        <f>_xlfn.RANK.EQ(AN164,$AN$7:$AN$531)+COUNTIF(AN$7:AN164,AN164)-1</f>
        <v>#N/A</v>
      </c>
      <c r="AP16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64" s="32" t="e">
        <f>FME_Ranking2[[#This Row],[Score Based on Reported Factors]]-FME_Ranking2[[#This Row],[Check]]</f>
        <v>#REF!</v>
      </c>
      <c r="AR164" s="32"/>
    </row>
    <row r="165" spans="1:55" ht="12" customHeight="1" x14ac:dyDescent="0.25">
      <c r="A165" s="16" t="s">
        <v>1498</v>
      </c>
      <c r="B165" s="16" t="str">
        <f>_xlfn.XLOOKUP(FME_Ranking2[[#This Row],[FME ID]],FME_Input[FME_ID],FME_Input[FME_NAME])</f>
        <v>Buffalo Bayou - W130-00-00</v>
      </c>
      <c r="C165" s="16" t="str">
        <f>_xlfn.XLOOKUP(FME_Ranking2[[#This Row],[FME ID]],FME_Input[FME_ID],FME_Input[DESCR])</f>
        <v>Further study of Flood Risk Reduction need identified through the HCFCD 'Watershed Planning Tool' to determine channel modifications needed to restore/improve channel conveyance including Atlas 14 rainfall.</v>
      </c>
      <c r="D165" s="46" t="str">
        <f>_xlfn.XLOOKUP(FME_Ranking2[[#This Row],[FME ID]],FME_Input[FME_ID],FME_Input[EMER_NEED])</f>
        <v>No</v>
      </c>
      <c r="E165" s="121">
        <f>IF(FME_Ranking_Option2!$D165="Yes",100,0)</f>
        <v>0</v>
      </c>
      <c r="F165" s="47" t="str">
        <f>_xlfn.XLOOKUP(FME_Ranking2[[#This Row],[FME ID]],FME_Input[FME_ID],FME_Input[FUND])</f>
        <v>Yes</v>
      </c>
      <c r="G165" s="48">
        <f>IF(FME_Ranking_Option2!$F165="Yes",1,0)</f>
        <v>1</v>
      </c>
      <c r="H165" s="46">
        <f>_xlfn.XLOOKUP(FME_Ranking2[[#This Row],[FME ID]],FME_Input[FME_ID],FME_Input[STRUCT_100])</f>
        <v>27</v>
      </c>
      <c r="I165" s="65" t="e">
        <f>FME_Ranking2[[#This Row],[Raw Data3]]*H$4</f>
        <v>#REF!</v>
      </c>
      <c r="J165" s="62">
        <f>((FME_Ranking_Option2!$H165)/($H$3))*100</f>
        <v>3.0004367302351783E-3</v>
      </c>
      <c r="K165" s="49" t="e">
        <f>FME_Ranking2[[#This Row],[Norm Data3]]*H$4</f>
        <v>#REF!</v>
      </c>
      <c r="L165" s="50">
        <f>_xlfn.XLOOKUP(FME_Ranking2[[#This Row],[FME ID]],FME_Input[FME_ID],FME_Input[RES_STRUCT100])</f>
        <v>15</v>
      </c>
      <c r="M165" s="51" t="e">
        <f>FME_Ranking2[[#This Row],[Raw Data4]]*L$4</f>
        <v>#REF!</v>
      </c>
      <c r="N165" s="29">
        <f>((FME_Ranking_Option2!$L165)/($L$3))*100</f>
        <v>2.2425446602769095E-3</v>
      </c>
      <c r="O165" s="52" t="e">
        <f>FME_Ranking2[[#This Row],[Norm Data4]]*L$4</f>
        <v>#REF!</v>
      </c>
      <c r="P165" s="47">
        <f>_xlfn.XLOOKUP(FME_Ranking2[[#This Row],[FME ID]],FME_Input[FME_ID],FME_Input[POP100])</f>
        <v>4290</v>
      </c>
      <c r="Q165" s="48" t="e">
        <f>FME_Ranking_Option2!$P165*P$4</f>
        <v>#REF!</v>
      </c>
      <c r="R165" s="48">
        <f>FME_Ranking_Option2!$P165/($P$3)</f>
        <v>1.5745210923432764E-3</v>
      </c>
      <c r="S165" s="48" t="e">
        <f>FME_Ranking_Option2!$R165*P$4</f>
        <v>#REF!</v>
      </c>
      <c r="T165" s="50">
        <f>_xlfn.XLOOKUP(FME_Ranking2[[#This Row],[FME ID]],FME_Input[FME_ID],FME_Input[CRITFAC100])</f>
        <v>0</v>
      </c>
      <c r="U165" s="48" t="e">
        <f>FME_Ranking_Option2!$T165*T$4</f>
        <v>#REF!</v>
      </c>
      <c r="V165" s="48">
        <f>FME_Ranking_Option2!$T165/($T$3)</f>
        <v>0</v>
      </c>
      <c r="W165" s="48" t="e">
        <f>FME_Ranking_Option2!$V165*T$4</f>
        <v>#REF!</v>
      </c>
      <c r="X165" s="50">
        <f>_xlfn.XLOOKUP(FME_Ranking2[[#This Row],[FME ID]],FME_Input[FME_ID],FME_Input[LWC])</f>
        <v>0</v>
      </c>
      <c r="Y165" s="48" t="e">
        <f>FME_Ranking_Option2!$X165*X$4</f>
        <v>#REF!</v>
      </c>
      <c r="Z165" s="48">
        <f>FME_Ranking_Option2!$X165/($X$3)</f>
        <v>0</v>
      </c>
      <c r="AA165" s="48" t="e">
        <f>FME_Ranking_Option2!$Z165*X$4</f>
        <v>#REF!</v>
      </c>
      <c r="AB165" s="50">
        <f>_xlfn.XLOOKUP(FME_Ranking2[[#This Row],[FME ID]],FME_Input[FME_ID],FME_Input[ROADCLS])</f>
        <v>0</v>
      </c>
      <c r="AC165" s="48" t="e">
        <f>FME_Ranking_Option2!$AB165*AB$4</f>
        <v>#REF!</v>
      </c>
      <c r="AD165" s="53">
        <f>_xlfn.XLOOKUP(FME_Ranking2[[#This Row],[FME ID]],FME_Input[FME_ID],FME_Input[ROAD_MILES100])</f>
        <v>0.6652148962020874</v>
      </c>
      <c r="AE165" s="54" t="e">
        <f>FME_Ranking_Option2!$AD165*AD$4</f>
        <v>#REF!</v>
      </c>
      <c r="AF165" s="55">
        <f>FME_Ranking_Option2!$AD165/($AD$3)</f>
        <v>1.5025397055117205E-5</v>
      </c>
      <c r="AG165" s="55" t="e">
        <f>FME_Ranking_Option2!$AF165*AD$4</f>
        <v>#REF!</v>
      </c>
      <c r="AH165" s="53">
        <f>_xlfn.XLOOKUP(FME_Ranking2[[#This Row],[FME ID]],FME_Input[FME_ID],FME_Input[FARMACRE100])</f>
        <v>0.24012269079685211</v>
      </c>
      <c r="AI165" s="54" t="e">
        <f>FME_Ranking_Option2!$AH165*AH$4</f>
        <v>#REF!</v>
      </c>
      <c r="AJ165" s="56">
        <f>FME_Ranking_Option2!$AH165/($AH$3)</f>
        <v>1.3942949679873888E-5</v>
      </c>
      <c r="AK165" s="57" t="e">
        <f>FME_Ranking_Option2!$AJ165*AH$4</f>
        <v>#REF!</v>
      </c>
      <c r="AL165"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65" s="58" t="e">
        <f>_xlfn.RANK.EQ(AL165,$AL$7:$AL$531)+COUNTIF(AL$7:AL165,AL165)-1</f>
        <v>#REF!</v>
      </c>
      <c r="AN165" s="57"/>
      <c r="AO165" s="58" t="e">
        <f>_xlfn.RANK.EQ(AN165,$AN$7:$AN$531)+COUNTIF(AN$7:AN165,AN165)-1</f>
        <v>#N/A</v>
      </c>
      <c r="AP16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65" s="32" t="e">
        <f>FME_Ranking2[[#This Row],[Score Based on Reported Factors]]-FME_Ranking2[[#This Row],[Check]]</f>
        <v>#REF!</v>
      </c>
      <c r="AR165" s="32"/>
      <c r="AT165" s="19"/>
      <c r="AU165" s="19"/>
      <c r="AV165" s="19"/>
      <c r="AW165" s="19"/>
      <c r="AX165" s="19"/>
      <c r="AY165" s="19"/>
      <c r="AZ165" s="19"/>
      <c r="BA165" s="19"/>
      <c r="BB165" s="19"/>
      <c r="BC165" s="19"/>
    </row>
    <row r="166" spans="1:55" ht="12" customHeight="1" x14ac:dyDescent="0.25">
      <c r="A166" s="17" t="s">
        <v>1502</v>
      </c>
      <c r="B166" s="17" t="str">
        <f>_xlfn.XLOOKUP(FME_Ranking2[[#This Row],[FME ID]],FME_Input[FME_ID],FME_Input[FME_NAME])</f>
        <v>Buffalo Bayou - W163-00-00</v>
      </c>
      <c r="C166" s="17" t="str">
        <f>_xlfn.XLOOKUP(FME_Ranking2[[#This Row],[FME ID]],FME_Input[FME_ID],FME_Input[DESCR])</f>
        <v>Further study of Flood Risk Reduction need identified through the HCFCD 'Watershed Planning Tool' to determine channel modifications needed to restore/improve channel conveyance including Atlas 14 rainfall.</v>
      </c>
      <c r="D166" s="33" t="str">
        <f>_xlfn.XLOOKUP(FME_Ranking2[[#This Row],[FME ID]],FME_Input[FME_ID],FME_Input[EMER_NEED])</f>
        <v>No</v>
      </c>
      <c r="E166" s="120">
        <f>IF(FME_Ranking_Option2!$D166="Yes",100,0)</f>
        <v>0</v>
      </c>
      <c r="F166" s="34" t="str">
        <f>_xlfn.XLOOKUP(FME_Ranking2[[#This Row],[FME ID]],FME_Input[FME_ID],FME_Input[FUND])</f>
        <v>Yes</v>
      </c>
      <c r="G166" s="35">
        <f>IF(FME_Ranking_Option2!$F166="Yes",1,0)</f>
        <v>1</v>
      </c>
      <c r="H166" s="33">
        <f>_xlfn.XLOOKUP(FME_Ranking2[[#This Row],[FME ID]],FME_Input[FME_ID],FME_Input[STRUCT_100])</f>
        <v>70</v>
      </c>
      <c r="I166" s="64" t="e">
        <f>FME_Ranking2[[#This Row],[Raw Data3]]*H$4</f>
        <v>#REF!</v>
      </c>
      <c r="J166" s="63">
        <f>((FME_Ranking_Option2!$H166)/($H$3))*100</f>
        <v>7.778910041350463E-3</v>
      </c>
      <c r="K166" s="36" t="e">
        <f>FME_Ranking2[[#This Row],[Norm Data3]]*H$4</f>
        <v>#REF!</v>
      </c>
      <c r="L166" s="37">
        <f>_xlfn.XLOOKUP(FME_Ranking2[[#This Row],[FME ID]],FME_Input[FME_ID],FME_Input[RES_STRUCT100])</f>
        <v>68</v>
      </c>
      <c r="M166" s="38" t="e">
        <f>FME_Ranking2[[#This Row],[Raw Data4]]*L$4</f>
        <v>#REF!</v>
      </c>
      <c r="N166" s="28">
        <f>((FME_Ranking_Option2!$L166)/($L$3))*100</f>
        <v>1.016620245992199E-2</v>
      </c>
      <c r="O166" s="39" t="e">
        <f>FME_Ranking2[[#This Row],[Norm Data4]]*L$4</f>
        <v>#REF!</v>
      </c>
      <c r="P166" s="34">
        <f>_xlfn.XLOOKUP(FME_Ranking2[[#This Row],[FME ID]],FME_Input[FME_ID],FME_Input[POP100])</f>
        <v>226</v>
      </c>
      <c r="Q166" s="35" t="e">
        <f>FME_Ranking_Option2!$P166*P$4</f>
        <v>#REF!</v>
      </c>
      <c r="R166" s="35">
        <f>FME_Ranking_Option2!$P166/($P$3)</f>
        <v>8.2946798804098011E-5</v>
      </c>
      <c r="S166" s="35" t="e">
        <f>FME_Ranking_Option2!$R166*P$4</f>
        <v>#REF!</v>
      </c>
      <c r="T166" s="37">
        <f>_xlfn.XLOOKUP(FME_Ranking2[[#This Row],[FME ID]],FME_Input[FME_ID],FME_Input[CRITFAC100])</f>
        <v>0</v>
      </c>
      <c r="U166" s="35" t="e">
        <f>FME_Ranking_Option2!$T166*T$4</f>
        <v>#REF!</v>
      </c>
      <c r="V166" s="35">
        <f>FME_Ranking_Option2!$T166/($T$3)</f>
        <v>0</v>
      </c>
      <c r="W166" s="35" t="e">
        <f>FME_Ranking_Option2!$V166*T$4</f>
        <v>#REF!</v>
      </c>
      <c r="X166" s="37">
        <f>_xlfn.XLOOKUP(FME_Ranking2[[#This Row],[FME ID]],FME_Input[FME_ID],FME_Input[LWC])</f>
        <v>0</v>
      </c>
      <c r="Y166" s="35" t="e">
        <f>FME_Ranking_Option2!$X166*X$4</f>
        <v>#REF!</v>
      </c>
      <c r="Z166" s="35">
        <f>FME_Ranking_Option2!$X166/($X$3)</f>
        <v>0</v>
      </c>
      <c r="AA166" s="35" t="e">
        <f>FME_Ranking_Option2!$Z166*X$4</f>
        <v>#REF!</v>
      </c>
      <c r="AB166" s="37">
        <f>_xlfn.XLOOKUP(FME_Ranking2[[#This Row],[FME ID]],FME_Input[FME_ID],FME_Input[ROADCLS])</f>
        <v>0</v>
      </c>
      <c r="AC166" s="35" t="e">
        <f>FME_Ranking_Option2!$AB166*AB$4</f>
        <v>#REF!</v>
      </c>
      <c r="AD166" s="40">
        <f>_xlfn.XLOOKUP(FME_Ranking2[[#This Row],[FME ID]],FME_Input[FME_ID],FME_Input[ROAD_MILES100])</f>
        <v>0.85699093341827393</v>
      </c>
      <c r="AE166" s="41" t="e">
        <f>FME_Ranking_Option2!$AD166*AD$4</f>
        <v>#REF!</v>
      </c>
      <c r="AF166" s="42">
        <f>FME_Ranking_Option2!$AD166/($AD$3)</f>
        <v>1.9357096662689966E-5</v>
      </c>
      <c r="AG166" s="42" t="e">
        <f>FME_Ranking_Option2!$AF166*AD$4</f>
        <v>#REF!</v>
      </c>
      <c r="AH166" s="40">
        <f>_xlfn.XLOOKUP(FME_Ranking2[[#This Row],[FME ID]],FME_Input[FME_ID],FME_Input[FARMACRE100])</f>
        <v>0.44320216774940491</v>
      </c>
      <c r="AI166" s="43" t="e">
        <f>FME_Ranking_Option2!$AH166*AH$4</f>
        <v>#REF!</v>
      </c>
      <c r="AJ166" s="41">
        <f>FME_Ranking_Option2!$AH166/($AH$3)</f>
        <v>2.5734950339070535E-5</v>
      </c>
      <c r="AK166" s="44" t="e">
        <f>FME_Ranking_Option2!$AJ166*AH$4</f>
        <v>#REF!</v>
      </c>
      <c r="AL166"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66" s="45" t="e">
        <f>_xlfn.RANK.EQ(AL166,$AL$7:$AL$531)+COUNTIF(AL$7:AL166,AL166)-1</f>
        <v>#REF!</v>
      </c>
      <c r="AN166" s="44"/>
      <c r="AO166" s="45" t="e">
        <f>_xlfn.RANK.EQ(AN166,$AN$7:$AN$531)+COUNTIF(AN$7:AN166,AN166)-1</f>
        <v>#N/A</v>
      </c>
      <c r="AP16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66" s="32" t="e">
        <f>FME_Ranking2[[#This Row],[Score Based on Reported Factors]]-FME_Ranking2[[#This Row],[Check]]</f>
        <v>#REF!</v>
      </c>
      <c r="AR166" s="32"/>
    </row>
    <row r="167" spans="1:55" ht="12" customHeight="1" x14ac:dyDescent="0.25">
      <c r="A167" s="16" t="s">
        <v>1504</v>
      </c>
      <c r="B167" s="16" t="str">
        <f>_xlfn.XLOOKUP(FME_Ranking2[[#This Row],[FME ID]],FME_Input[FME_ID],FME_Input[FME_NAME])</f>
        <v>City of Arcola  Master Drainage Plan</v>
      </c>
      <c r="C167" s="16" t="str">
        <f>_xlfn.XLOOKUP(FME_Ranking2[[#This Row],[FME ID]],FME_Input[FME_ID],FME_Input[DESCR])</f>
        <v>Study to develop Master Drainage Plan using future and existing land use and flood/storm water drainage needs including Atlas 14 rainfall.</v>
      </c>
      <c r="D167" s="46" t="str">
        <f>_xlfn.XLOOKUP(FME_Ranking2[[#This Row],[FME ID]],FME_Input[FME_ID],FME_Input[EMER_NEED])</f>
        <v>No</v>
      </c>
      <c r="E167" s="121">
        <f>IF(FME_Ranking_Option2!$D167="Yes",100,0)</f>
        <v>0</v>
      </c>
      <c r="F167" s="47" t="str">
        <f>_xlfn.XLOOKUP(FME_Ranking2[[#This Row],[FME ID]],FME_Input[FME_ID],FME_Input[FUND])</f>
        <v>Yes</v>
      </c>
      <c r="G167" s="48">
        <f>IF(FME_Ranking_Option2!$F167="Yes",1,0)</f>
        <v>1</v>
      </c>
      <c r="H167" s="46">
        <f>_xlfn.XLOOKUP(FME_Ranking2[[#This Row],[FME ID]],FME_Input[FME_ID],FME_Input[STRUCT_100])</f>
        <v>41</v>
      </c>
      <c r="I167" s="65" t="e">
        <f>FME_Ranking2[[#This Row],[Raw Data3]]*H$4</f>
        <v>#REF!</v>
      </c>
      <c r="J167" s="62">
        <f>((FME_Ranking_Option2!$H167)/($H$3))*100</f>
        <v>4.5562187385052716E-3</v>
      </c>
      <c r="K167" s="49" t="e">
        <f>FME_Ranking2[[#This Row],[Norm Data3]]*H$4</f>
        <v>#REF!</v>
      </c>
      <c r="L167" s="50">
        <f>_xlfn.XLOOKUP(FME_Ranking2[[#This Row],[FME ID]],FME_Input[FME_ID],FME_Input[RES_STRUCT100])</f>
        <v>37</v>
      </c>
      <c r="M167" s="51" t="e">
        <f>FME_Ranking2[[#This Row],[Raw Data4]]*L$4</f>
        <v>#REF!</v>
      </c>
      <c r="N167" s="29">
        <f>((FME_Ranking_Option2!$L167)/($L$3))*100</f>
        <v>5.5316101620163762E-3</v>
      </c>
      <c r="O167" s="52" t="e">
        <f>FME_Ranking2[[#This Row],[Norm Data4]]*L$4</f>
        <v>#REF!</v>
      </c>
      <c r="P167" s="47">
        <f>_xlfn.XLOOKUP(FME_Ranking2[[#This Row],[FME ID]],FME_Input[FME_ID],FME_Input[POP100])</f>
        <v>39</v>
      </c>
      <c r="Q167" s="48" t="e">
        <f>FME_Ranking_Option2!$P167*P$4</f>
        <v>#REF!</v>
      </c>
      <c r="R167" s="48">
        <f>FME_Ranking_Option2!$P167/($P$3)</f>
        <v>1.4313828112211604E-5</v>
      </c>
      <c r="S167" s="48" t="e">
        <f>FME_Ranking_Option2!$R167*P$4</f>
        <v>#REF!</v>
      </c>
      <c r="T167" s="50">
        <f>_xlfn.XLOOKUP(FME_Ranking2[[#This Row],[FME ID]],FME_Input[FME_ID],FME_Input[CRITFAC100])</f>
        <v>0</v>
      </c>
      <c r="U167" s="48" t="e">
        <f>FME_Ranking_Option2!$T167*T$4</f>
        <v>#REF!</v>
      </c>
      <c r="V167" s="48">
        <f>FME_Ranking_Option2!$T167/($T$3)</f>
        <v>0</v>
      </c>
      <c r="W167" s="48" t="e">
        <f>FME_Ranking_Option2!$V167*T$4</f>
        <v>#REF!</v>
      </c>
      <c r="X167" s="50">
        <f>_xlfn.XLOOKUP(FME_Ranking2[[#This Row],[FME ID]],FME_Input[FME_ID],FME_Input[LWC])</f>
        <v>0</v>
      </c>
      <c r="Y167" s="48" t="e">
        <f>FME_Ranking_Option2!$X167*X$4</f>
        <v>#REF!</v>
      </c>
      <c r="Z167" s="48">
        <f>FME_Ranking_Option2!$X167/($X$3)</f>
        <v>0</v>
      </c>
      <c r="AA167" s="48" t="e">
        <f>FME_Ranking_Option2!$Z167*X$4</f>
        <v>#REF!</v>
      </c>
      <c r="AB167" s="50">
        <f>_xlfn.XLOOKUP(FME_Ranking2[[#This Row],[FME ID]],FME_Input[FME_ID],FME_Input[ROADCLS])</f>
        <v>0</v>
      </c>
      <c r="AC167" s="48" t="e">
        <f>FME_Ranking_Option2!$AB167*AB$4</f>
        <v>#REF!</v>
      </c>
      <c r="AD167" s="53">
        <f>_xlfn.XLOOKUP(FME_Ranking2[[#This Row],[FME ID]],FME_Input[FME_ID],FME_Input[ROAD_MILES100])</f>
        <v>0.21681888401508331</v>
      </c>
      <c r="AE167" s="54" t="e">
        <f>FME_Ranking_Option2!$AD167*AD$4</f>
        <v>#REF!</v>
      </c>
      <c r="AF167" s="55">
        <f>FME_Ranking_Option2!$AD167/($AD$3)</f>
        <v>4.8973494730405719E-6</v>
      </c>
      <c r="AG167" s="55" t="e">
        <f>FME_Ranking_Option2!$AF167*AD$4</f>
        <v>#REF!</v>
      </c>
      <c r="AH167" s="53">
        <f>_xlfn.XLOOKUP(FME_Ranking2[[#This Row],[FME ID]],FME_Input[FME_ID],FME_Input[FARMACRE100])</f>
        <v>1.2274031639099121</v>
      </c>
      <c r="AI167" s="54" t="e">
        <f>FME_Ranking_Option2!$AH167*AH$4</f>
        <v>#REF!</v>
      </c>
      <c r="AJ167" s="56">
        <f>FME_Ranking_Option2!$AH167/($AH$3)</f>
        <v>7.1270318079986545E-5</v>
      </c>
      <c r="AK167" s="57" t="e">
        <f>FME_Ranking_Option2!$AJ167*AH$4</f>
        <v>#REF!</v>
      </c>
      <c r="AL167"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67" s="58" t="e">
        <f>_xlfn.RANK.EQ(AL167,$AL$7:$AL$531)+COUNTIF(AL$7:AL167,AL167)-1</f>
        <v>#REF!</v>
      </c>
      <c r="AN167" s="57"/>
      <c r="AO167" s="58" t="e">
        <f>_xlfn.RANK.EQ(AN167,$AN$7:$AN$531)+COUNTIF(AN$7:AN167,AN167)-1</f>
        <v>#N/A</v>
      </c>
      <c r="AP16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67" s="32" t="e">
        <f>FME_Ranking2[[#This Row],[Score Based on Reported Factors]]-FME_Ranking2[[#This Row],[Check]]</f>
        <v>#REF!</v>
      </c>
      <c r="AR167" s="32"/>
      <c r="AT167" s="19"/>
      <c r="AU167" s="19"/>
      <c r="AV167" s="19"/>
      <c r="AW167" s="19"/>
      <c r="AX167" s="19"/>
      <c r="AY167" s="19"/>
      <c r="AZ167" s="19"/>
      <c r="BA167" s="19"/>
      <c r="BB167" s="19"/>
      <c r="BC167" s="19"/>
    </row>
    <row r="168" spans="1:55" ht="12" customHeight="1" x14ac:dyDescent="0.25">
      <c r="A168" s="17" t="s">
        <v>1508</v>
      </c>
      <c r="B168" s="17" t="str">
        <f>_xlfn.XLOOKUP(FME_Ranking2[[#This Row],[FME ID]],FME_Input[FME_ID],FME_Input[FME_NAME])</f>
        <v>City of Baytown  Master Drainage Plan</v>
      </c>
      <c r="C168" s="17" t="str">
        <f>_xlfn.XLOOKUP(FME_Ranking2[[#This Row],[FME ID]],FME_Input[FME_ID],FME_Input[DESCR])</f>
        <v>Study to develop Master Drainage Plan using future and existing land use and flood/storm water drainage needs including Atlas 14 rainfall.</v>
      </c>
      <c r="D168" s="33" t="str">
        <f>_xlfn.XLOOKUP(FME_Ranking2[[#This Row],[FME ID]],FME_Input[FME_ID],FME_Input[EMER_NEED])</f>
        <v>Yes</v>
      </c>
      <c r="E168" s="120">
        <f>IF(FME_Ranking_Option2!$D168="Yes",100,0)</f>
        <v>100</v>
      </c>
      <c r="F168" s="34" t="str">
        <f>_xlfn.XLOOKUP(FME_Ranking2[[#This Row],[FME ID]],FME_Input[FME_ID],FME_Input[FUND])</f>
        <v>Yes</v>
      </c>
      <c r="G168" s="35">
        <f>IF(FME_Ranking_Option2!$F168="Yes",1,0)</f>
        <v>1</v>
      </c>
      <c r="H168" s="33">
        <f>_xlfn.XLOOKUP(FME_Ranking2[[#This Row],[FME ID]],FME_Input[FME_ID],FME_Input[STRUCT_100])</f>
        <v>1185</v>
      </c>
      <c r="I168" s="64" t="e">
        <f>FME_Ranking2[[#This Row],[Raw Data3]]*H$4</f>
        <v>#REF!</v>
      </c>
      <c r="J168" s="63">
        <f>((FME_Ranking_Option2!$H168)/($H$3))*100</f>
        <v>0.13168583427143285</v>
      </c>
      <c r="K168" s="36" t="e">
        <f>FME_Ranking2[[#This Row],[Norm Data3]]*H$4</f>
        <v>#REF!</v>
      </c>
      <c r="L168" s="37">
        <f>_xlfn.XLOOKUP(FME_Ranking2[[#This Row],[FME ID]],FME_Input[FME_ID],FME_Input[RES_STRUCT100])</f>
        <v>975</v>
      </c>
      <c r="M168" s="38" t="e">
        <f>FME_Ranking2[[#This Row],[Raw Data4]]*L$4</f>
        <v>#REF!</v>
      </c>
      <c r="N168" s="28">
        <f>((FME_Ranking_Option2!$L168)/($L$3))*100</f>
        <v>0.14576540291799911</v>
      </c>
      <c r="O168" s="39" t="e">
        <f>FME_Ranking2[[#This Row],[Norm Data4]]*L$4</f>
        <v>#REF!</v>
      </c>
      <c r="P168" s="34">
        <f>_xlfn.XLOOKUP(FME_Ranking2[[#This Row],[FME ID]],FME_Input[FME_ID],FME_Input[POP100])</f>
        <v>8063</v>
      </c>
      <c r="Q168" s="35" t="e">
        <f>FME_Ranking_Option2!$P168*P$4</f>
        <v>#REF!</v>
      </c>
      <c r="R168" s="35">
        <f>FME_Ranking_Option2!$P168/($P$3)</f>
        <v>2.9592922068913375E-3</v>
      </c>
      <c r="S168" s="35" t="e">
        <f>FME_Ranking_Option2!$R168*P$4</f>
        <v>#REF!</v>
      </c>
      <c r="T168" s="37">
        <f>_xlfn.XLOOKUP(FME_Ranking2[[#This Row],[FME ID]],FME_Input[FME_ID],FME_Input[CRITFAC100])</f>
        <v>36</v>
      </c>
      <c r="U168" s="35" t="e">
        <f>FME_Ranking_Option2!$T168*T$4</f>
        <v>#REF!</v>
      </c>
      <c r="V168" s="35">
        <f>FME_Ranking_Option2!$T168/($T$3)</f>
        <v>5.0768579890001411E-3</v>
      </c>
      <c r="W168" s="35" t="e">
        <f>FME_Ranking_Option2!$V168*T$4</f>
        <v>#REF!</v>
      </c>
      <c r="X168" s="37">
        <f>_xlfn.XLOOKUP(FME_Ranking2[[#This Row],[FME ID]],FME_Input[FME_ID],FME_Input[LWC])</f>
        <v>1</v>
      </c>
      <c r="Y168" s="35" t="e">
        <f>FME_Ranking_Option2!$X168*X$4</f>
        <v>#REF!</v>
      </c>
      <c r="Z168" s="35">
        <f>FME_Ranking_Option2!$X168/($X$3)</f>
        <v>9.1224229155263632E-5</v>
      </c>
      <c r="AA168" s="35" t="e">
        <f>FME_Ranking_Option2!$Z168*X$4</f>
        <v>#REF!</v>
      </c>
      <c r="AB168" s="37">
        <f>_xlfn.XLOOKUP(FME_Ranking2[[#This Row],[FME ID]],FME_Input[FME_ID],FME_Input[ROADCLS])</f>
        <v>1</v>
      </c>
      <c r="AC168" s="35" t="e">
        <f>FME_Ranking_Option2!$AB168*AB$4</f>
        <v>#REF!</v>
      </c>
      <c r="AD168" s="40">
        <f>_xlfn.XLOOKUP(FME_Ranking2[[#This Row],[FME ID]],FME_Input[FME_ID],FME_Input[ROAD_MILES100])</f>
        <v>50.190940856933587</v>
      </c>
      <c r="AE168" s="41" t="e">
        <f>FME_Ranking_Option2!$AD168*AD$4</f>
        <v>#REF!</v>
      </c>
      <c r="AF168" s="42">
        <f>FME_Ranking_Option2!$AD168/($AD$3)</f>
        <v>1.133676980553108E-3</v>
      </c>
      <c r="AG168" s="42" t="e">
        <f>FME_Ranking_Option2!$AF168*AD$4</f>
        <v>#REF!</v>
      </c>
      <c r="AH168" s="40">
        <f>_xlfn.XLOOKUP(FME_Ranking2[[#This Row],[FME ID]],FME_Input[FME_ID],FME_Input[FARMACRE100])</f>
        <v>78.8323974609375</v>
      </c>
      <c r="AI168" s="43" t="e">
        <f>FME_Ranking_Option2!$AH168*AH$4</f>
        <v>#REF!</v>
      </c>
      <c r="AJ168" s="41">
        <f>FME_Ranking_Option2!$AH168/($AH$3)</f>
        <v>4.5774772358834447E-3</v>
      </c>
      <c r="AK168" s="44" t="e">
        <f>FME_Ranking_Option2!$AJ168*AH$4</f>
        <v>#REF!</v>
      </c>
      <c r="AL16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68" s="45" t="e">
        <f>_xlfn.RANK.EQ(AL168,$AL$7:$AL$531)+COUNTIF(AL$7:AL168,AL168)-1</f>
        <v>#REF!</v>
      </c>
      <c r="AN168" s="44"/>
      <c r="AO168" s="45" t="e">
        <f>_xlfn.RANK.EQ(AN168,$AN$7:$AN$531)+COUNTIF(AN$7:AN168,AN168)-1</f>
        <v>#N/A</v>
      </c>
      <c r="AP16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68" s="32" t="e">
        <f>FME_Ranking2[[#This Row],[Score Based on Reported Factors]]-FME_Ranking2[[#This Row],[Check]]</f>
        <v>#REF!</v>
      </c>
      <c r="AR168" s="32"/>
    </row>
    <row r="169" spans="1:55" ht="12" customHeight="1" x14ac:dyDescent="0.25">
      <c r="A169" s="16" t="s">
        <v>1516</v>
      </c>
      <c r="B169" s="16" t="str">
        <f>_xlfn.XLOOKUP(FME_Ranking2[[#This Row],[FME ID]],FME_Input[FME_ID],FME_Input[FME_NAME])</f>
        <v>City of Beach City  Master Drainage Plan</v>
      </c>
      <c r="C169" s="16" t="str">
        <f>_xlfn.XLOOKUP(FME_Ranking2[[#This Row],[FME ID]],FME_Input[FME_ID],FME_Input[DESCR])</f>
        <v>Study to develop Master Drainage Plan using future and existing land use and flood/storm water drainage needs including Atlas 14 rainfall.</v>
      </c>
      <c r="D169" s="46" t="str">
        <f>_xlfn.XLOOKUP(FME_Ranking2[[#This Row],[FME ID]],FME_Input[FME_ID],FME_Input[EMER_NEED])</f>
        <v>Yes</v>
      </c>
      <c r="E169" s="121">
        <f>IF(FME_Ranking_Option2!$D169="Yes",100,0)</f>
        <v>100</v>
      </c>
      <c r="F169" s="47" t="str">
        <f>_xlfn.XLOOKUP(FME_Ranking2[[#This Row],[FME ID]],FME_Input[FME_ID],FME_Input[FUND])</f>
        <v>Yes</v>
      </c>
      <c r="G169" s="48">
        <f>IF(FME_Ranking_Option2!$F169="Yes",1,0)</f>
        <v>1</v>
      </c>
      <c r="H169" s="46">
        <f>_xlfn.XLOOKUP(FME_Ranking2[[#This Row],[FME ID]],FME_Input[FME_ID],FME_Input[STRUCT_100])</f>
        <v>3</v>
      </c>
      <c r="I169" s="65" t="e">
        <f>FME_Ranking2[[#This Row],[Raw Data3]]*H$4</f>
        <v>#REF!</v>
      </c>
      <c r="J169" s="62">
        <f>((FME_Ranking_Option2!$H169)/($H$3))*100</f>
        <v>3.3338185891501984E-4</v>
      </c>
      <c r="K169" s="49" t="e">
        <f>FME_Ranking2[[#This Row],[Norm Data3]]*H$4</f>
        <v>#REF!</v>
      </c>
      <c r="L169" s="50">
        <f>_xlfn.XLOOKUP(FME_Ranking2[[#This Row],[FME ID]],FME_Input[FME_ID],FME_Input[RES_STRUCT100])</f>
        <v>2</v>
      </c>
      <c r="M169" s="51" t="e">
        <f>FME_Ranking2[[#This Row],[Raw Data4]]*L$4</f>
        <v>#REF!</v>
      </c>
      <c r="N169" s="29">
        <f>((FME_Ranking_Option2!$L169)/($L$3))*100</f>
        <v>2.9900595470358791E-4</v>
      </c>
      <c r="O169" s="52" t="e">
        <f>FME_Ranking2[[#This Row],[Norm Data4]]*L$4</f>
        <v>#REF!</v>
      </c>
      <c r="P169" s="47">
        <f>_xlfn.XLOOKUP(FME_Ranking2[[#This Row],[FME ID]],FME_Input[FME_ID],FME_Input[POP100])</f>
        <v>6</v>
      </c>
      <c r="Q169" s="48" t="e">
        <f>FME_Ranking_Option2!$P169*P$4</f>
        <v>#REF!</v>
      </c>
      <c r="R169" s="48">
        <f>FME_Ranking_Option2!$P169/($P$3)</f>
        <v>2.2021274018787084E-6</v>
      </c>
      <c r="S169" s="48" t="e">
        <f>FME_Ranking_Option2!$R169*P$4</f>
        <v>#REF!</v>
      </c>
      <c r="T169" s="50">
        <f>_xlfn.XLOOKUP(FME_Ranking2[[#This Row],[FME ID]],FME_Input[FME_ID],FME_Input[CRITFAC100])</f>
        <v>0</v>
      </c>
      <c r="U169" s="48" t="e">
        <f>FME_Ranking_Option2!$T169*T$4</f>
        <v>#REF!</v>
      </c>
      <c r="V169" s="48">
        <f>FME_Ranking_Option2!$T169/($T$3)</f>
        <v>0</v>
      </c>
      <c r="W169" s="48" t="e">
        <f>FME_Ranking_Option2!$V169*T$4</f>
        <v>#REF!</v>
      </c>
      <c r="X169" s="50">
        <f>_xlfn.XLOOKUP(FME_Ranking2[[#This Row],[FME ID]],FME_Input[FME_ID],FME_Input[LWC])</f>
        <v>0</v>
      </c>
      <c r="Y169" s="48" t="e">
        <f>FME_Ranking_Option2!$X169*X$4</f>
        <v>#REF!</v>
      </c>
      <c r="Z169" s="48">
        <f>FME_Ranking_Option2!$X169/($X$3)</f>
        <v>0</v>
      </c>
      <c r="AA169" s="48" t="e">
        <f>FME_Ranking_Option2!$Z169*X$4</f>
        <v>#REF!</v>
      </c>
      <c r="AB169" s="50">
        <f>_xlfn.XLOOKUP(FME_Ranking2[[#This Row],[FME ID]],FME_Input[FME_ID],FME_Input[ROADCLS])</f>
        <v>0</v>
      </c>
      <c r="AC169" s="48" t="e">
        <f>FME_Ranking_Option2!$AB169*AB$4</f>
        <v>#REF!</v>
      </c>
      <c r="AD169" s="53">
        <f>_xlfn.XLOOKUP(FME_Ranking2[[#This Row],[FME ID]],FME_Input[FME_ID],FME_Input[ROAD_MILES100])</f>
        <v>0.19233196973800659</v>
      </c>
      <c r="AE169" s="54" t="e">
        <f>FME_Ranking_Option2!$AD169*AD$4</f>
        <v>#REF!</v>
      </c>
      <c r="AF169" s="55">
        <f>FME_Ranking_Option2!$AD169/($AD$3)</f>
        <v>4.3442566127208553E-6</v>
      </c>
      <c r="AG169" s="55" t="e">
        <f>FME_Ranking_Option2!$AF169*AD$4</f>
        <v>#REF!</v>
      </c>
      <c r="AH169" s="53">
        <f>_xlfn.XLOOKUP(FME_Ranking2[[#This Row],[FME ID]],FME_Input[FME_ID],FME_Input[FARMACRE100])</f>
        <v>4.7168741226196289</v>
      </c>
      <c r="AI169" s="54" t="e">
        <f>FME_Ranking_Option2!$AH169*AH$4</f>
        <v>#REF!</v>
      </c>
      <c r="AJ169" s="56">
        <f>FME_Ranking_Option2!$AH169/($AH$3)</f>
        <v>2.7388972828738166E-4</v>
      </c>
      <c r="AK169" s="57" t="e">
        <f>FME_Ranking_Option2!$AJ169*AH$4</f>
        <v>#REF!</v>
      </c>
      <c r="AL16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69" s="58" t="e">
        <f>_xlfn.RANK.EQ(AL169,$AL$7:$AL$531)+COUNTIF(AL$7:AL169,AL169)-1</f>
        <v>#REF!</v>
      </c>
      <c r="AN169" s="57"/>
      <c r="AO169" s="58" t="e">
        <f>_xlfn.RANK.EQ(AN169,$AN$7:$AN$531)+COUNTIF(AN$7:AN169,AN169)-1</f>
        <v>#N/A</v>
      </c>
      <c r="AP16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69" s="32" t="e">
        <f>FME_Ranking2[[#This Row],[Score Based on Reported Factors]]-FME_Ranking2[[#This Row],[Check]]</f>
        <v>#REF!</v>
      </c>
      <c r="AR169" s="32"/>
      <c r="AT169" s="19"/>
      <c r="AU169" s="19"/>
      <c r="AV169" s="19"/>
      <c r="AW169" s="19"/>
      <c r="AX169" s="19"/>
      <c r="AY169" s="19"/>
      <c r="AZ169" s="19"/>
      <c r="BA169" s="19"/>
      <c r="BB169" s="19"/>
      <c r="BC169" s="19"/>
    </row>
    <row r="170" spans="1:55" ht="12" customHeight="1" x14ac:dyDescent="0.25">
      <c r="A170" s="17" t="s">
        <v>1523</v>
      </c>
      <c r="B170" s="17" t="str">
        <f>_xlfn.XLOOKUP(FME_Ranking2[[#This Row],[FME ID]],FME_Input[FME_ID],FME_Input[FME_NAME])</f>
        <v>City of Bellaire Master Drainage Plan</v>
      </c>
      <c r="C170" s="17" t="str">
        <f>_xlfn.XLOOKUP(FME_Ranking2[[#This Row],[FME ID]],FME_Input[FME_ID],FME_Input[DESCR])</f>
        <v>Conduct planning study to produce a Master Drainage Plan for the City of Bellaire, identifying and developing specific flood-related capital improvements and implementation plans necessary to acheive a desired level of service / flood protection.</v>
      </c>
      <c r="D170" s="33" t="str">
        <f>_xlfn.XLOOKUP(FME_Ranking2[[#This Row],[FME ID]],FME_Input[FME_ID],FME_Input[EMER_NEED])</f>
        <v>Yes</v>
      </c>
      <c r="E170" s="120">
        <f>IF(FME_Ranking_Option2!$D170="Yes",100,0)</f>
        <v>100</v>
      </c>
      <c r="F170" s="34" t="str">
        <f>_xlfn.XLOOKUP(FME_Ranking2[[#This Row],[FME ID]],FME_Input[FME_ID],FME_Input[FUND])</f>
        <v>Yes</v>
      </c>
      <c r="G170" s="35">
        <f>IF(FME_Ranking_Option2!$F170="Yes",1,0)</f>
        <v>1</v>
      </c>
      <c r="H170" s="33">
        <f>_xlfn.XLOOKUP(FME_Ranking2[[#This Row],[FME ID]],FME_Input[FME_ID],FME_Input[STRUCT_100])</f>
        <v>5879</v>
      </c>
      <c r="I170" s="64" t="e">
        <f>FME_Ranking2[[#This Row],[Raw Data3]]*H$4</f>
        <v>#REF!</v>
      </c>
      <c r="J170" s="63">
        <f>((FME_Ranking_Option2!$H170)/($H$3))*100</f>
        <v>0.65331731618713396</v>
      </c>
      <c r="K170" s="36" t="e">
        <f>FME_Ranking2[[#This Row],[Norm Data3]]*H$4</f>
        <v>#REF!</v>
      </c>
      <c r="L170" s="37">
        <f>_xlfn.XLOOKUP(FME_Ranking2[[#This Row],[FME ID]],FME_Input[FME_ID],FME_Input[RES_STRUCT100])</f>
        <v>5539</v>
      </c>
      <c r="M170" s="38" t="e">
        <f>FME_Ranking2[[#This Row],[Raw Data4]]*L$4</f>
        <v>#REF!</v>
      </c>
      <c r="N170" s="28">
        <f>((FME_Ranking_Option2!$L170)/($L$3))*100</f>
        <v>0.82809699155158667</v>
      </c>
      <c r="O170" s="39" t="e">
        <f>FME_Ranking2[[#This Row],[Norm Data4]]*L$4</f>
        <v>#REF!</v>
      </c>
      <c r="P170" s="34">
        <f>_xlfn.XLOOKUP(FME_Ranking2[[#This Row],[FME ID]],FME_Input[FME_ID],FME_Input[POP100])</f>
        <v>37604</v>
      </c>
      <c r="Q170" s="35" t="e">
        <f>FME_Ranking_Option2!$P170*P$4</f>
        <v>#REF!</v>
      </c>
      <c r="R170" s="35">
        <f>FME_Ranking_Option2!$P170/($P$3)</f>
        <v>1.3801466470041157E-2</v>
      </c>
      <c r="S170" s="35" t="e">
        <f>FME_Ranking_Option2!$R170*P$4</f>
        <v>#REF!</v>
      </c>
      <c r="T170" s="37">
        <f>_xlfn.XLOOKUP(FME_Ranking2[[#This Row],[FME ID]],FME_Input[FME_ID],FME_Input[CRITFAC100])</f>
        <v>71</v>
      </c>
      <c r="U170" s="35" t="e">
        <f>FME_Ranking_Option2!$T170*T$4</f>
        <v>#REF!</v>
      </c>
      <c r="V170" s="35">
        <f>FME_Ranking_Option2!$T170/($T$3)</f>
        <v>1.0012692144972501E-2</v>
      </c>
      <c r="W170" s="35" t="e">
        <f>FME_Ranking_Option2!$V170*T$4</f>
        <v>#REF!</v>
      </c>
      <c r="X170" s="37">
        <f>_xlfn.XLOOKUP(FME_Ranking2[[#This Row],[FME ID]],FME_Input[FME_ID],FME_Input[LWC])</f>
        <v>0</v>
      </c>
      <c r="Y170" s="35" t="e">
        <f>FME_Ranking_Option2!$X170*X$4</f>
        <v>#REF!</v>
      </c>
      <c r="Z170" s="35">
        <f>FME_Ranking_Option2!$X170/($X$3)</f>
        <v>0</v>
      </c>
      <c r="AA170" s="35" t="e">
        <f>FME_Ranking_Option2!$Z170*X$4</f>
        <v>#REF!</v>
      </c>
      <c r="AB170" s="37">
        <f>_xlfn.XLOOKUP(FME_Ranking2[[#This Row],[FME ID]],FME_Input[FME_ID],FME_Input[ROADCLS])</f>
        <v>0</v>
      </c>
      <c r="AC170" s="35" t="e">
        <f>FME_Ranking_Option2!$AB170*AB$4</f>
        <v>#REF!</v>
      </c>
      <c r="AD170" s="40">
        <f>_xlfn.XLOOKUP(FME_Ranking2[[#This Row],[FME ID]],FME_Input[FME_ID],FME_Input[ROAD_MILES100])</f>
        <v>70.914344787597656</v>
      </c>
      <c r="AE170" s="41" t="e">
        <f>FME_Ranking_Option2!$AD170*AD$4</f>
        <v>#REF!</v>
      </c>
      <c r="AF170" s="42">
        <f>FME_Ranking_Option2!$AD170/($AD$3)</f>
        <v>1.6017623679513032E-3</v>
      </c>
      <c r="AG170" s="42" t="e">
        <f>FME_Ranking_Option2!$AF170*AD$4</f>
        <v>#REF!</v>
      </c>
      <c r="AH170" s="40">
        <f>_xlfn.XLOOKUP(FME_Ranking2[[#This Row],[FME ID]],FME_Input[FME_ID],FME_Input[FARMACRE100])</f>
        <v>0.15173642337322241</v>
      </c>
      <c r="AI170" s="43" t="e">
        <f>FME_Ranking_Option2!$AH170*AH$4</f>
        <v>#REF!</v>
      </c>
      <c r="AJ170" s="41">
        <f>FME_Ranking_Option2!$AH170/($AH$3)</f>
        <v>8.8107180070156667E-6</v>
      </c>
      <c r="AK170" s="44" t="e">
        <f>FME_Ranking_Option2!$AJ170*AH$4</f>
        <v>#REF!</v>
      </c>
      <c r="AL17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70" s="45" t="e">
        <f>_xlfn.RANK.EQ(AL170,$AL$7:$AL$531)+COUNTIF(AL$7:AL170,AL170)-1</f>
        <v>#REF!</v>
      </c>
      <c r="AN170" s="44"/>
      <c r="AO170" s="45" t="e">
        <f>_xlfn.RANK.EQ(AN170,$AN$7:$AN$531)+COUNTIF(AN$7:AN170,AN170)-1</f>
        <v>#N/A</v>
      </c>
      <c r="AP17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70" s="32" t="e">
        <f>FME_Ranking2[[#This Row],[Score Based on Reported Factors]]-FME_Ranking2[[#This Row],[Check]]</f>
        <v>#REF!</v>
      </c>
      <c r="AR170" s="32"/>
    </row>
    <row r="171" spans="1:55" ht="12" customHeight="1" x14ac:dyDescent="0.25">
      <c r="A171" s="16" t="s">
        <v>1525</v>
      </c>
      <c r="B171" s="16" t="str">
        <f>_xlfn.XLOOKUP(FME_Ranking2[[#This Row],[FME ID]],FME_Input[FME_ID],FME_Input[FME_NAME])</f>
        <v>City of Brookside Village  Master Drainage Plan</v>
      </c>
      <c r="C171" s="16" t="str">
        <f>_xlfn.XLOOKUP(FME_Ranking2[[#This Row],[FME ID]],FME_Input[FME_ID],FME_Input[DESCR])</f>
        <v>Study to develop Master Drainage Plan using future and existing land use and flood/storm water drainage needs including Atlas 14 rainfall.</v>
      </c>
      <c r="D171" s="46" t="str">
        <f>_xlfn.XLOOKUP(FME_Ranking2[[#This Row],[FME ID]],FME_Input[FME_ID],FME_Input[EMER_NEED])</f>
        <v>Yes</v>
      </c>
      <c r="E171" s="121">
        <f>IF(FME_Ranking_Option2!$D171="Yes",100,0)</f>
        <v>100</v>
      </c>
      <c r="F171" s="47" t="str">
        <f>_xlfn.XLOOKUP(FME_Ranking2[[#This Row],[FME ID]],FME_Input[FME_ID],FME_Input[FUND])</f>
        <v>Yes</v>
      </c>
      <c r="G171" s="48">
        <f>IF(FME_Ranking_Option2!$F171="Yes",1,0)</f>
        <v>1</v>
      </c>
      <c r="H171" s="46">
        <f>_xlfn.XLOOKUP(FME_Ranking2[[#This Row],[FME ID]],FME_Input[FME_ID],FME_Input[STRUCT_100])</f>
        <v>809</v>
      </c>
      <c r="I171" s="65" t="e">
        <f>FME_Ranking2[[#This Row],[Raw Data3]]*H$4</f>
        <v>#REF!</v>
      </c>
      <c r="J171" s="62">
        <f>((FME_Ranking_Option2!$H171)/($H$3))*100</f>
        <v>8.9901974620750363E-2</v>
      </c>
      <c r="K171" s="49" t="e">
        <f>FME_Ranking2[[#This Row],[Norm Data3]]*H$4</f>
        <v>#REF!</v>
      </c>
      <c r="L171" s="50">
        <f>_xlfn.XLOOKUP(FME_Ranking2[[#This Row],[FME ID]],FME_Input[FME_ID],FME_Input[RES_STRUCT100])</f>
        <v>743</v>
      </c>
      <c r="M171" s="51" t="e">
        <f>FME_Ranking2[[#This Row],[Raw Data4]]*L$4</f>
        <v>#REF!</v>
      </c>
      <c r="N171" s="29">
        <f>((FME_Ranking_Option2!$L171)/($L$3))*100</f>
        <v>0.11108071217238291</v>
      </c>
      <c r="O171" s="52" t="e">
        <f>FME_Ranking2[[#This Row],[Norm Data4]]*L$4</f>
        <v>#REF!</v>
      </c>
      <c r="P171" s="47">
        <f>_xlfn.XLOOKUP(FME_Ranking2[[#This Row],[FME ID]],FME_Input[FME_ID],FME_Input[POP100])</f>
        <v>1607</v>
      </c>
      <c r="Q171" s="48" t="e">
        <f>FME_Ranking_Option2!$P171*P$4</f>
        <v>#REF!</v>
      </c>
      <c r="R171" s="48">
        <f>FME_Ranking_Option2!$P171/($P$3)</f>
        <v>5.8980312246984738E-4</v>
      </c>
      <c r="S171" s="48" t="e">
        <f>FME_Ranking_Option2!$R171*P$4</f>
        <v>#REF!</v>
      </c>
      <c r="T171" s="50">
        <f>_xlfn.XLOOKUP(FME_Ranking2[[#This Row],[FME ID]],FME_Input[FME_ID],FME_Input[CRITFAC100])</f>
        <v>0</v>
      </c>
      <c r="U171" s="48" t="e">
        <f>FME_Ranking_Option2!$T171*T$4</f>
        <v>#REF!</v>
      </c>
      <c r="V171" s="48">
        <f>FME_Ranking_Option2!$T171/($T$3)</f>
        <v>0</v>
      </c>
      <c r="W171" s="48" t="e">
        <f>FME_Ranking_Option2!$V171*T$4</f>
        <v>#REF!</v>
      </c>
      <c r="X171" s="50">
        <f>_xlfn.XLOOKUP(FME_Ranking2[[#This Row],[FME ID]],FME_Input[FME_ID],FME_Input[LWC])</f>
        <v>0</v>
      </c>
      <c r="Y171" s="48" t="e">
        <f>FME_Ranking_Option2!$X171*X$4</f>
        <v>#REF!</v>
      </c>
      <c r="Z171" s="48">
        <f>FME_Ranking_Option2!$X171/($X$3)</f>
        <v>0</v>
      </c>
      <c r="AA171" s="48" t="e">
        <f>FME_Ranking_Option2!$Z171*X$4</f>
        <v>#REF!</v>
      </c>
      <c r="AB171" s="50">
        <f>_xlfn.XLOOKUP(FME_Ranking2[[#This Row],[FME ID]],FME_Input[FME_ID],FME_Input[ROADCLS])</f>
        <v>0</v>
      </c>
      <c r="AC171" s="48" t="e">
        <f>FME_Ranking_Option2!$AB171*AB$4</f>
        <v>#REF!</v>
      </c>
      <c r="AD171" s="53">
        <f>_xlfn.XLOOKUP(FME_Ranking2[[#This Row],[FME ID]],FME_Input[FME_ID],FME_Input[ROAD_MILES100])</f>
        <v>12.39437866210938</v>
      </c>
      <c r="AE171" s="54" t="e">
        <f>FME_Ranking_Option2!$AD171*AD$4</f>
        <v>#REF!</v>
      </c>
      <c r="AF171" s="55">
        <f>FME_Ranking_Option2!$AD171/($AD$3)</f>
        <v>2.7995533730965994E-4</v>
      </c>
      <c r="AG171" s="55" t="e">
        <f>FME_Ranking_Option2!$AF171*AD$4</f>
        <v>#REF!</v>
      </c>
      <c r="AH171" s="53">
        <f>_xlfn.XLOOKUP(FME_Ranking2[[#This Row],[FME ID]],FME_Input[FME_ID],FME_Input[FARMACRE100])</f>
        <v>3.0689480304718022</v>
      </c>
      <c r="AI171" s="54" t="e">
        <f>FME_Ranking_Option2!$AH171*AH$4</f>
        <v>#REF!</v>
      </c>
      <c r="AJ171" s="56">
        <f>FME_Ranking_Option2!$AH171/($AH$3)</f>
        <v>1.7820135122181203E-4</v>
      </c>
      <c r="AK171" s="57" t="e">
        <f>FME_Ranking_Option2!$AJ171*AH$4</f>
        <v>#REF!</v>
      </c>
      <c r="AL17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71" s="58" t="e">
        <f>_xlfn.RANK.EQ(AL171,$AL$7:$AL$531)+COUNTIF(AL$7:AL171,AL171)-1</f>
        <v>#REF!</v>
      </c>
      <c r="AN171" s="57"/>
      <c r="AO171" s="58" t="e">
        <f>_xlfn.RANK.EQ(AN171,$AN$7:$AN$531)+COUNTIF(AN$7:AN171,AN171)-1</f>
        <v>#N/A</v>
      </c>
      <c r="AP17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71" s="32" t="e">
        <f>FME_Ranking2[[#This Row],[Score Based on Reported Factors]]-FME_Ranking2[[#This Row],[Check]]</f>
        <v>#REF!</v>
      </c>
      <c r="AR171" s="32"/>
      <c r="AT171" s="19"/>
      <c r="AU171" s="19"/>
      <c r="AV171" s="19"/>
      <c r="AW171" s="19"/>
      <c r="AX171" s="19"/>
      <c r="AY171" s="19"/>
      <c r="AZ171" s="19"/>
      <c r="BA171" s="19"/>
      <c r="BB171" s="19"/>
      <c r="BC171" s="19"/>
    </row>
    <row r="172" spans="1:55" ht="12" customHeight="1" x14ac:dyDescent="0.25">
      <c r="A172" s="17" t="s">
        <v>1529</v>
      </c>
      <c r="B172" s="17" t="str">
        <f>_xlfn.XLOOKUP(FME_Ranking2[[#This Row],[FME ID]],FME_Input[FME_ID],FME_Input[FME_NAME])</f>
        <v>City of Bunker Hill Village  Master Drainage Plan</v>
      </c>
      <c r="C172" s="17" t="str">
        <f>_xlfn.XLOOKUP(FME_Ranking2[[#This Row],[FME ID]],FME_Input[FME_ID],FME_Input[DESCR])</f>
        <v>Study to develop Master Drainage Plan using future and existing land use and flood/storm water drainage needs including Atlas 14 rainfall.</v>
      </c>
      <c r="D172" s="33" t="str">
        <f>_xlfn.XLOOKUP(FME_Ranking2[[#This Row],[FME ID]],FME_Input[FME_ID],FME_Input[EMER_NEED])</f>
        <v>No</v>
      </c>
      <c r="E172" s="120">
        <f>IF(FME_Ranking_Option2!$D172="Yes",100,0)</f>
        <v>0</v>
      </c>
      <c r="F172" s="34" t="str">
        <f>_xlfn.XLOOKUP(FME_Ranking2[[#This Row],[FME ID]],FME_Input[FME_ID],FME_Input[FUND])</f>
        <v>Yes</v>
      </c>
      <c r="G172" s="35">
        <f>IF(FME_Ranking_Option2!$F172="Yes",1,0)</f>
        <v>1</v>
      </c>
      <c r="H172" s="33">
        <f>_xlfn.XLOOKUP(FME_Ranking2[[#This Row],[FME ID]],FME_Input[FME_ID],FME_Input[STRUCT_100])</f>
        <v>0</v>
      </c>
      <c r="I172" s="64" t="e">
        <f>FME_Ranking2[[#This Row],[Raw Data3]]*H$4</f>
        <v>#REF!</v>
      </c>
      <c r="J172" s="63">
        <f>((FME_Ranking_Option2!$H172)/($H$3))*100</f>
        <v>0</v>
      </c>
      <c r="K172" s="36" t="e">
        <f>FME_Ranking2[[#This Row],[Norm Data3]]*H$4</f>
        <v>#REF!</v>
      </c>
      <c r="L172" s="37">
        <f>_xlfn.XLOOKUP(FME_Ranking2[[#This Row],[FME ID]],FME_Input[FME_ID],FME_Input[RES_STRUCT100])</f>
        <v>0</v>
      </c>
      <c r="M172" s="38" t="e">
        <f>FME_Ranking2[[#This Row],[Raw Data4]]*L$4</f>
        <v>#REF!</v>
      </c>
      <c r="N172" s="28">
        <f>((FME_Ranking_Option2!$L172)/($L$3))*100</f>
        <v>0</v>
      </c>
      <c r="O172" s="39" t="e">
        <f>FME_Ranking2[[#This Row],[Norm Data4]]*L$4</f>
        <v>#REF!</v>
      </c>
      <c r="P172" s="34">
        <f>_xlfn.XLOOKUP(FME_Ranking2[[#This Row],[FME ID]],FME_Input[FME_ID],FME_Input[POP100])</f>
        <v>0</v>
      </c>
      <c r="Q172" s="35" t="e">
        <f>FME_Ranking_Option2!$P172*P$4</f>
        <v>#REF!</v>
      </c>
      <c r="R172" s="35">
        <f>FME_Ranking_Option2!$P172/($P$3)</f>
        <v>0</v>
      </c>
      <c r="S172" s="35" t="e">
        <f>FME_Ranking_Option2!$R172*P$4</f>
        <v>#REF!</v>
      </c>
      <c r="T172" s="37">
        <f>_xlfn.XLOOKUP(FME_Ranking2[[#This Row],[FME ID]],FME_Input[FME_ID],FME_Input[CRITFAC100])</f>
        <v>0</v>
      </c>
      <c r="U172" s="35" t="e">
        <f>FME_Ranking_Option2!$T172*T$4</f>
        <v>#REF!</v>
      </c>
      <c r="V172" s="35">
        <f>FME_Ranking_Option2!$T172/($T$3)</f>
        <v>0</v>
      </c>
      <c r="W172" s="35" t="e">
        <f>FME_Ranking_Option2!$V172*T$4</f>
        <v>#REF!</v>
      </c>
      <c r="X172" s="37">
        <f>_xlfn.XLOOKUP(FME_Ranking2[[#This Row],[FME ID]],FME_Input[FME_ID],FME_Input[LWC])</f>
        <v>0</v>
      </c>
      <c r="Y172" s="35" t="e">
        <f>FME_Ranking_Option2!$X172*X$4</f>
        <v>#REF!</v>
      </c>
      <c r="Z172" s="35">
        <f>FME_Ranking_Option2!$X172/($X$3)</f>
        <v>0</v>
      </c>
      <c r="AA172" s="35" t="e">
        <f>FME_Ranking_Option2!$Z172*X$4</f>
        <v>#REF!</v>
      </c>
      <c r="AB172" s="37">
        <f>_xlfn.XLOOKUP(FME_Ranking2[[#This Row],[FME ID]],FME_Input[FME_ID],FME_Input[ROADCLS])</f>
        <v>0</v>
      </c>
      <c r="AC172" s="35" t="e">
        <f>FME_Ranking_Option2!$AB172*AB$4</f>
        <v>#REF!</v>
      </c>
      <c r="AD172" s="40">
        <f>_xlfn.XLOOKUP(FME_Ranking2[[#This Row],[FME ID]],FME_Input[FME_ID],FME_Input[ROAD_MILES100])</f>
        <v>0</v>
      </c>
      <c r="AE172" s="41" t="e">
        <f>FME_Ranking_Option2!$AD172*AD$4</f>
        <v>#REF!</v>
      </c>
      <c r="AF172" s="42">
        <f>FME_Ranking_Option2!$AD172/($AD$3)</f>
        <v>0</v>
      </c>
      <c r="AG172" s="42" t="e">
        <f>FME_Ranking_Option2!$AF172*AD$4</f>
        <v>#REF!</v>
      </c>
      <c r="AH172" s="40">
        <f>_xlfn.XLOOKUP(FME_Ranking2[[#This Row],[FME ID]],FME_Input[FME_ID],FME_Input[FARMACRE100])</f>
        <v>0</v>
      </c>
      <c r="AI172" s="43" t="e">
        <f>FME_Ranking_Option2!$AH172*AH$4</f>
        <v>#REF!</v>
      </c>
      <c r="AJ172" s="41">
        <f>FME_Ranking_Option2!$AH172/($AH$3)</f>
        <v>0</v>
      </c>
      <c r="AK172" s="44" t="e">
        <f>FME_Ranking_Option2!$AJ172*AH$4</f>
        <v>#REF!</v>
      </c>
      <c r="AL172"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72" s="45" t="e">
        <f>_xlfn.RANK.EQ(AL172,$AL$7:$AL$531)+COUNTIF(AL$7:AL172,AL172)-1</f>
        <v>#REF!</v>
      </c>
      <c r="AN172" s="44"/>
      <c r="AO172" s="45" t="e">
        <f>_xlfn.RANK.EQ(AN172,$AN$7:$AN$531)+COUNTIF(AN$7:AN172,AN172)-1</f>
        <v>#N/A</v>
      </c>
      <c r="AP17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72" s="32" t="e">
        <f>FME_Ranking2[[#This Row],[Score Based on Reported Factors]]-FME_Ranking2[[#This Row],[Check]]</f>
        <v>#REF!</v>
      </c>
      <c r="AR172" s="32"/>
    </row>
    <row r="173" spans="1:55" ht="12" customHeight="1" x14ac:dyDescent="0.25">
      <c r="A173" s="16" t="s">
        <v>1532</v>
      </c>
      <c r="B173" s="16" t="str">
        <f>_xlfn.XLOOKUP(FME_Ranking2[[#This Row],[FME ID]],FME_Input[FME_ID],FME_Input[FME_NAME])</f>
        <v>City of Clear Lake Shores  Master Drainage Plan</v>
      </c>
      <c r="C173" s="16" t="str">
        <f>_xlfn.XLOOKUP(FME_Ranking2[[#This Row],[FME ID]],FME_Input[FME_ID],FME_Input[DESCR])</f>
        <v>Study to develop Master Drainage Plan using future and existing land use and flood/storm water drainage needs including Atlas 14 rainfall</v>
      </c>
      <c r="D173" s="46" t="str">
        <f>_xlfn.XLOOKUP(FME_Ranking2[[#This Row],[FME ID]],FME_Input[FME_ID],FME_Input[EMER_NEED])</f>
        <v>Yes</v>
      </c>
      <c r="E173" s="121">
        <f>IF(FME_Ranking_Option2!$D173="Yes",100,0)</f>
        <v>100</v>
      </c>
      <c r="F173" s="47" t="str">
        <f>_xlfn.XLOOKUP(FME_Ranking2[[#This Row],[FME ID]],FME_Input[FME_ID],FME_Input[FUND])</f>
        <v>Yes</v>
      </c>
      <c r="G173" s="48">
        <f>IF(FME_Ranking_Option2!$F173="Yes",1,0)</f>
        <v>1</v>
      </c>
      <c r="H173" s="46">
        <f>_xlfn.XLOOKUP(FME_Ranking2[[#This Row],[FME ID]],FME_Input[FME_ID],FME_Input[STRUCT_100])</f>
        <v>633</v>
      </c>
      <c r="I173" s="65" t="e">
        <f>FME_Ranking2[[#This Row],[Raw Data3]]*H$4</f>
        <v>#REF!</v>
      </c>
      <c r="J173" s="62">
        <f>((FME_Ranking_Option2!$H173)/($H$3))*100</f>
        <v>7.0343572231069199E-2</v>
      </c>
      <c r="K173" s="49" t="e">
        <f>FME_Ranking2[[#This Row],[Norm Data3]]*H$4</f>
        <v>#REF!</v>
      </c>
      <c r="L173" s="50">
        <f>_xlfn.XLOOKUP(FME_Ranking2[[#This Row],[FME ID]],FME_Input[FME_ID],FME_Input[RES_STRUCT100])</f>
        <v>529</v>
      </c>
      <c r="M173" s="51" t="e">
        <f>FME_Ranking2[[#This Row],[Raw Data4]]*L$4</f>
        <v>#REF!</v>
      </c>
      <c r="N173" s="29">
        <f>((FME_Ranking_Option2!$L173)/($L$3))*100</f>
        <v>7.9087075019099007E-2</v>
      </c>
      <c r="O173" s="52" t="e">
        <f>FME_Ranking2[[#This Row],[Norm Data4]]*L$4</f>
        <v>#REF!</v>
      </c>
      <c r="P173" s="47">
        <f>_xlfn.XLOOKUP(FME_Ranking2[[#This Row],[FME ID]],FME_Input[FME_ID],FME_Input[POP100])</f>
        <v>3407</v>
      </c>
      <c r="Q173" s="48" t="e">
        <f>FME_Ranking_Option2!$P173*P$4</f>
        <v>#REF!</v>
      </c>
      <c r="R173" s="48">
        <f>FME_Ranking_Option2!$P173/($P$3)</f>
        <v>1.2504413430334598E-3</v>
      </c>
      <c r="S173" s="48" t="e">
        <f>FME_Ranking_Option2!$R173*P$4</f>
        <v>#REF!</v>
      </c>
      <c r="T173" s="50">
        <f>_xlfn.XLOOKUP(FME_Ranking2[[#This Row],[FME ID]],FME_Input[FME_ID],FME_Input[CRITFAC100])</f>
        <v>4</v>
      </c>
      <c r="U173" s="48" t="e">
        <f>FME_Ranking_Option2!$T173*T$4</f>
        <v>#REF!</v>
      </c>
      <c r="V173" s="48">
        <f>FME_Ranking_Option2!$T173/($T$3)</f>
        <v>5.6409533211112682E-4</v>
      </c>
      <c r="W173" s="48" t="e">
        <f>FME_Ranking_Option2!$V173*T$4</f>
        <v>#REF!</v>
      </c>
      <c r="X173" s="50">
        <f>_xlfn.XLOOKUP(FME_Ranking2[[#This Row],[FME ID]],FME_Input[FME_ID],FME_Input[LWC])</f>
        <v>0</v>
      </c>
      <c r="Y173" s="48" t="e">
        <f>FME_Ranking_Option2!$X173*X$4</f>
        <v>#REF!</v>
      </c>
      <c r="Z173" s="48">
        <f>FME_Ranking_Option2!$X173/($X$3)</f>
        <v>0</v>
      </c>
      <c r="AA173" s="48" t="e">
        <f>FME_Ranking_Option2!$Z173*X$4</f>
        <v>#REF!</v>
      </c>
      <c r="AB173" s="50">
        <f>_xlfn.XLOOKUP(FME_Ranking2[[#This Row],[FME ID]],FME_Input[FME_ID],FME_Input[ROADCLS])</f>
        <v>0</v>
      </c>
      <c r="AC173" s="48" t="e">
        <f>FME_Ranking_Option2!$AB173*AB$4</f>
        <v>#REF!</v>
      </c>
      <c r="AD173" s="53">
        <f>_xlfn.XLOOKUP(FME_Ranking2[[#This Row],[FME ID]],FME_Input[FME_ID],FME_Input[ROAD_MILES100])</f>
        <v>8.820770263671875</v>
      </c>
      <c r="AE173" s="54" t="e">
        <f>FME_Ranking_Option2!$AD173*AD$4</f>
        <v>#REF!</v>
      </c>
      <c r="AF173" s="55">
        <f>FME_Ranking_Option2!$AD173/($AD$3)</f>
        <v>1.9923723341182885E-4</v>
      </c>
      <c r="AG173" s="55" t="e">
        <f>FME_Ranking_Option2!$AF173*AD$4</f>
        <v>#REF!</v>
      </c>
      <c r="AH173" s="53">
        <f>_xlfn.XLOOKUP(FME_Ranking2[[#This Row],[FME ID]],FME_Input[FME_ID],FME_Input[FARMACRE100])</f>
        <v>0</v>
      </c>
      <c r="AI173" s="54" t="e">
        <f>FME_Ranking_Option2!$AH173*AH$4</f>
        <v>#REF!</v>
      </c>
      <c r="AJ173" s="56">
        <f>FME_Ranking_Option2!$AH173/($AH$3)</f>
        <v>0</v>
      </c>
      <c r="AK173" s="57" t="e">
        <f>FME_Ranking_Option2!$AJ173*AH$4</f>
        <v>#REF!</v>
      </c>
      <c r="AL173"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73" s="58" t="e">
        <f>_xlfn.RANK.EQ(AL173,$AL$7:$AL$531)+COUNTIF(AL$7:AL173,AL173)-1</f>
        <v>#REF!</v>
      </c>
      <c r="AN173" s="57"/>
      <c r="AO173" s="58" t="e">
        <f>_xlfn.RANK.EQ(AN173,$AN$7:$AN$531)+COUNTIF(AN$7:AN173,AN173)-1</f>
        <v>#N/A</v>
      </c>
      <c r="AP17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73" s="32" t="e">
        <f>FME_Ranking2[[#This Row],[Score Based on Reported Factors]]-FME_Ranking2[[#This Row],[Check]]</f>
        <v>#REF!</v>
      </c>
      <c r="AR173" s="32"/>
      <c r="AT173" s="19"/>
      <c r="AU173" s="19"/>
      <c r="AV173" s="19"/>
      <c r="AW173" s="19"/>
      <c r="AX173" s="19"/>
      <c r="AY173" s="19"/>
      <c r="AZ173" s="19"/>
      <c r="BA173" s="19"/>
      <c r="BB173" s="19"/>
      <c r="BC173" s="19"/>
    </row>
    <row r="174" spans="1:55" ht="12" customHeight="1" x14ac:dyDescent="0.25">
      <c r="A174" s="17" t="s">
        <v>1536</v>
      </c>
      <c r="B174" s="17" t="str">
        <f>_xlfn.XLOOKUP(FME_Ranking2[[#This Row],[FME ID]],FME_Input[FME_ID],FME_Input[FME_NAME])</f>
        <v>City of Cleveland  Master Drainage Plan</v>
      </c>
      <c r="C174" s="17" t="str">
        <f>_xlfn.XLOOKUP(FME_Ranking2[[#This Row],[FME ID]],FME_Input[FME_ID],FME_Input[DESCR])</f>
        <v>Study to develop Master Drainage Plan using future and existing land use and flood/storm water drainage needs including Atlas 14 rainfall.</v>
      </c>
      <c r="D174" s="33" t="str">
        <f>_xlfn.XLOOKUP(FME_Ranking2[[#This Row],[FME ID]],FME_Input[FME_ID],FME_Input[EMER_NEED])</f>
        <v>No</v>
      </c>
      <c r="E174" s="120">
        <f>IF(FME_Ranking_Option2!$D174="Yes",100,0)</f>
        <v>0</v>
      </c>
      <c r="F174" s="34" t="str">
        <f>_xlfn.XLOOKUP(FME_Ranking2[[#This Row],[FME ID]],FME_Input[FME_ID],FME_Input[FUND])</f>
        <v>Yes</v>
      </c>
      <c r="G174" s="35">
        <f>IF(FME_Ranking_Option2!$F174="Yes",1,0)</f>
        <v>1</v>
      </c>
      <c r="H174" s="33">
        <f>_xlfn.XLOOKUP(FME_Ranking2[[#This Row],[FME ID]],FME_Input[FME_ID],FME_Input[STRUCT_100])</f>
        <v>261</v>
      </c>
      <c r="I174" s="64" t="e">
        <f>FME_Ranking2[[#This Row],[Raw Data3]]*H$4</f>
        <v>#REF!</v>
      </c>
      <c r="J174" s="63">
        <f>((FME_Ranking_Option2!$H174)/($H$3))*100</f>
        <v>2.9004221725606728E-2</v>
      </c>
      <c r="K174" s="36" t="e">
        <f>FME_Ranking2[[#This Row],[Norm Data3]]*H$4</f>
        <v>#REF!</v>
      </c>
      <c r="L174" s="37">
        <f>_xlfn.XLOOKUP(FME_Ranking2[[#This Row],[FME ID]],FME_Input[FME_ID],FME_Input[RES_STRUCT100])</f>
        <v>133</v>
      </c>
      <c r="M174" s="38" t="e">
        <f>FME_Ranking2[[#This Row],[Raw Data4]]*L$4</f>
        <v>#REF!</v>
      </c>
      <c r="N174" s="28">
        <f>((FME_Ranking_Option2!$L174)/($L$3))*100</f>
        <v>1.98838959877886E-2</v>
      </c>
      <c r="O174" s="39" t="e">
        <f>FME_Ranking2[[#This Row],[Norm Data4]]*L$4</f>
        <v>#REF!</v>
      </c>
      <c r="P174" s="34">
        <f>_xlfn.XLOOKUP(FME_Ranking2[[#This Row],[FME ID]],FME_Input[FME_ID],FME_Input[POP100])</f>
        <v>1267</v>
      </c>
      <c r="Q174" s="35" t="e">
        <f>FME_Ranking_Option2!$P174*P$4</f>
        <v>#REF!</v>
      </c>
      <c r="R174" s="35">
        <f>FME_Ranking_Option2!$P174/($P$3)</f>
        <v>4.6501590303005388E-4</v>
      </c>
      <c r="S174" s="35" t="e">
        <f>FME_Ranking_Option2!$R174*P$4</f>
        <v>#REF!</v>
      </c>
      <c r="T174" s="37">
        <f>_xlfn.XLOOKUP(FME_Ranking2[[#This Row],[FME ID]],FME_Input[FME_ID],FME_Input[CRITFAC100])</f>
        <v>0</v>
      </c>
      <c r="U174" s="35" t="e">
        <f>FME_Ranking_Option2!$T174*T$4</f>
        <v>#REF!</v>
      </c>
      <c r="V174" s="35">
        <f>FME_Ranking_Option2!$T174/($T$3)</f>
        <v>0</v>
      </c>
      <c r="W174" s="35" t="e">
        <f>FME_Ranking_Option2!$V174*T$4</f>
        <v>#REF!</v>
      </c>
      <c r="X174" s="37">
        <f>_xlfn.XLOOKUP(FME_Ranking2[[#This Row],[FME ID]],FME_Input[FME_ID],FME_Input[LWC])</f>
        <v>1</v>
      </c>
      <c r="Y174" s="35" t="e">
        <f>FME_Ranking_Option2!$X174*X$4</f>
        <v>#REF!</v>
      </c>
      <c r="Z174" s="35">
        <f>FME_Ranking_Option2!$X174/($X$3)</f>
        <v>9.1224229155263632E-5</v>
      </c>
      <c r="AA174" s="35" t="e">
        <f>FME_Ranking_Option2!$Z174*X$4</f>
        <v>#REF!</v>
      </c>
      <c r="AB174" s="37">
        <f>_xlfn.XLOOKUP(FME_Ranking2[[#This Row],[FME ID]],FME_Input[FME_ID],FME_Input[ROADCLS])</f>
        <v>1</v>
      </c>
      <c r="AC174" s="35" t="e">
        <f>FME_Ranking_Option2!$AB174*AB$4</f>
        <v>#REF!</v>
      </c>
      <c r="AD174" s="40">
        <f>_xlfn.XLOOKUP(FME_Ranking2[[#This Row],[FME ID]],FME_Input[FME_ID],FME_Input[ROAD_MILES100])</f>
        <v>27.32913970947266</v>
      </c>
      <c r="AE174" s="41" t="e">
        <f>FME_Ranking_Option2!$AD174*AD$4</f>
        <v>#REF!</v>
      </c>
      <c r="AF174" s="42">
        <f>FME_Ranking_Option2!$AD174/($AD$3)</f>
        <v>6.1729101024949153E-4</v>
      </c>
      <c r="AG174" s="42" t="e">
        <f>FME_Ranking_Option2!$AF174*AD$4</f>
        <v>#REF!</v>
      </c>
      <c r="AH174" s="40">
        <f>_xlfn.XLOOKUP(FME_Ranking2[[#This Row],[FME ID]],FME_Input[FME_ID],FME_Input[FARMACRE100])</f>
        <v>28.87845611572266</v>
      </c>
      <c r="AI174" s="43" t="e">
        <f>FME_Ranking_Option2!$AH174*AH$4</f>
        <v>#REF!</v>
      </c>
      <c r="AJ174" s="41">
        <f>FME_Ranking_Option2!$AH174/($AH$3)</f>
        <v>1.676854690898899E-3</v>
      </c>
      <c r="AK174" s="44" t="e">
        <f>FME_Ranking_Option2!$AJ174*AH$4</f>
        <v>#REF!</v>
      </c>
      <c r="AL174"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74" s="45" t="e">
        <f>_xlfn.RANK.EQ(AL174,$AL$7:$AL$531)+COUNTIF(AL$7:AL174,AL174)-1</f>
        <v>#REF!</v>
      </c>
      <c r="AN174" s="44"/>
      <c r="AO174" s="45" t="e">
        <f>_xlfn.RANK.EQ(AN174,$AN$7:$AN$531)+COUNTIF(AN$7:AN174,AN174)-1</f>
        <v>#N/A</v>
      </c>
      <c r="AP17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74" s="32" t="e">
        <f>FME_Ranking2[[#This Row],[Score Based on Reported Factors]]-FME_Ranking2[[#This Row],[Check]]</f>
        <v>#REF!</v>
      </c>
      <c r="AR174" s="32"/>
    </row>
    <row r="175" spans="1:55" ht="12" customHeight="1" x14ac:dyDescent="0.25">
      <c r="A175" s="16" t="s">
        <v>1539</v>
      </c>
      <c r="B175" s="16" t="str">
        <f>_xlfn.XLOOKUP(FME_Ranking2[[#This Row],[FME ID]],FME_Input[FME_ID],FME_Input[FME_NAME])</f>
        <v>City of Coldspring  Master Drainage Plan</v>
      </c>
      <c r="C175" s="16" t="str">
        <f>_xlfn.XLOOKUP(FME_Ranking2[[#This Row],[FME ID]],FME_Input[FME_ID],FME_Input[DESCR])</f>
        <v>Study to develop Master Drainage Plan using future and existing land use and flood/storm water drainage needs including Atlas 14 rainfall.</v>
      </c>
      <c r="D175" s="46" t="str">
        <f>_xlfn.XLOOKUP(FME_Ranking2[[#This Row],[FME ID]],FME_Input[FME_ID],FME_Input[EMER_NEED])</f>
        <v>No</v>
      </c>
      <c r="E175" s="121">
        <f>IF(FME_Ranking_Option2!$D175="Yes",100,0)</f>
        <v>0</v>
      </c>
      <c r="F175" s="47" t="str">
        <f>_xlfn.XLOOKUP(FME_Ranking2[[#This Row],[FME ID]],FME_Input[FME_ID],FME_Input[FUND])</f>
        <v>Yes</v>
      </c>
      <c r="G175" s="48">
        <f>IF(FME_Ranking_Option2!$F175="Yes",1,0)</f>
        <v>1</v>
      </c>
      <c r="H175" s="46">
        <f>_xlfn.XLOOKUP(FME_Ranking2[[#This Row],[FME ID]],FME_Input[FME_ID],FME_Input[STRUCT_100])</f>
        <v>0</v>
      </c>
      <c r="I175" s="65" t="e">
        <f>FME_Ranking2[[#This Row],[Raw Data3]]*H$4</f>
        <v>#REF!</v>
      </c>
      <c r="J175" s="62">
        <f>((FME_Ranking_Option2!$H175)/($H$3))*100</f>
        <v>0</v>
      </c>
      <c r="K175" s="49" t="e">
        <f>FME_Ranking2[[#This Row],[Norm Data3]]*H$4</f>
        <v>#REF!</v>
      </c>
      <c r="L175" s="50">
        <f>_xlfn.XLOOKUP(FME_Ranking2[[#This Row],[FME ID]],FME_Input[FME_ID],FME_Input[RES_STRUCT100])</f>
        <v>0</v>
      </c>
      <c r="M175" s="51" t="e">
        <f>FME_Ranking2[[#This Row],[Raw Data4]]*L$4</f>
        <v>#REF!</v>
      </c>
      <c r="N175" s="29">
        <f>((FME_Ranking_Option2!$L175)/($L$3))*100</f>
        <v>0</v>
      </c>
      <c r="O175" s="52" t="e">
        <f>FME_Ranking2[[#This Row],[Norm Data4]]*L$4</f>
        <v>#REF!</v>
      </c>
      <c r="P175" s="47">
        <f>_xlfn.XLOOKUP(FME_Ranking2[[#This Row],[FME ID]],FME_Input[FME_ID],FME_Input[POP100])</f>
        <v>0</v>
      </c>
      <c r="Q175" s="48" t="e">
        <f>FME_Ranking_Option2!$P175*P$4</f>
        <v>#REF!</v>
      </c>
      <c r="R175" s="48">
        <f>FME_Ranking_Option2!$P175/($P$3)</f>
        <v>0</v>
      </c>
      <c r="S175" s="48" t="e">
        <f>FME_Ranking_Option2!$R175*P$4</f>
        <v>#REF!</v>
      </c>
      <c r="T175" s="50">
        <f>_xlfn.XLOOKUP(FME_Ranking2[[#This Row],[FME ID]],FME_Input[FME_ID],FME_Input[CRITFAC100])</f>
        <v>0</v>
      </c>
      <c r="U175" s="48" t="e">
        <f>FME_Ranking_Option2!$T175*T$4</f>
        <v>#REF!</v>
      </c>
      <c r="V175" s="48">
        <f>FME_Ranking_Option2!$T175/($T$3)</f>
        <v>0</v>
      </c>
      <c r="W175" s="48" t="e">
        <f>FME_Ranking_Option2!$V175*T$4</f>
        <v>#REF!</v>
      </c>
      <c r="X175" s="50">
        <f>_xlfn.XLOOKUP(FME_Ranking2[[#This Row],[FME ID]],FME_Input[FME_ID],FME_Input[LWC])</f>
        <v>0</v>
      </c>
      <c r="Y175" s="48" t="e">
        <f>FME_Ranking_Option2!$X175*X$4</f>
        <v>#REF!</v>
      </c>
      <c r="Z175" s="48">
        <f>FME_Ranking_Option2!$X175/($X$3)</f>
        <v>0</v>
      </c>
      <c r="AA175" s="48" t="e">
        <f>FME_Ranking_Option2!$Z175*X$4</f>
        <v>#REF!</v>
      </c>
      <c r="AB175" s="50">
        <f>_xlfn.XLOOKUP(FME_Ranking2[[#This Row],[FME ID]],FME_Input[FME_ID],FME_Input[ROADCLS])</f>
        <v>0</v>
      </c>
      <c r="AC175" s="48" t="e">
        <f>FME_Ranking_Option2!$AB175*AB$4</f>
        <v>#REF!</v>
      </c>
      <c r="AD175" s="53">
        <f>_xlfn.XLOOKUP(FME_Ranking2[[#This Row],[FME ID]],FME_Input[FME_ID],FME_Input[ROAD_MILES100])</f>
        <v>0</v>
      </c>
      <c r="AE175" s="54" t="e">
        <f>FME_Ranking_Option2!$AD175*AD$4</f>
        <v>#REF!</v>
      </c>
      <c r="AF175" s="55">
        <f>FME_Ranking_Option2!$AD175/($AD$3)</f>
        <v>0</v>
      </c>
      <c r="AG175" s="55" t="e">
        <f>FME_Ranking_Option2!$AF175*AD$4</f>
        <v>#REF!</v>
      </c>
      <c r="AH175" s="53">
        <f>_xlfn.XLOOKUP(FME_Ranking2[[#This Row],[FME ID]],FME_Input[FME_ID],FME_Input[FARMACRE100])</f>
        <v>0</v>
      </c>
      <c r="AI175" s="54" t="e">
        <f>FME_Ranking_Option2!$AH175*AH$4</f>
        <v>#REF!</v>
      </c>
      <c r="AJ175" s="56">
        <f>FME_Ranking_Option2!$AH175/($AH$3)</f>
        <v>0</v>
      </c>
      <c r="AK175" s="57" t="e">
        <f>FME_Ranking_Option2!$AJ175*AH$4</f>
        <v>#REF!</v>
      </c>
      <c r="AL175"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75" s="58" t="e">
        <f>_xlfn.RANK.EQ(AL175,$AL$7:$AL$531)+COUNTIF(AL$7:AL175,AL175)-1</f>
        <v>#REF!</v>
      </c>
      <c r="AN175" s="57"/>
      <c r="AO175" s="58" t="e">
        <f>_xlfn.RANK.EQ(AN175,$AN$7:$AN$531)+COUNTIF(AN$7:AN175,AN175)-1</f>
        <v>#N/A</v>
      </c>
      <c r="AP17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75" s="32" t="e">
        <f>FME_Ranking2[[#This Row],[Score Based on Reported Factors]]-FME_Ranking2[[#This Row],[Check]]</f>
        <v>#REF!</v>
      </c>
      <c r="AR175" s="32"/>
      <c r="AT175" s="19"/>
      <c r="AU175" s="19"/>
      <c r="AV175" s="19"/>
      <c r="AW175" s="19"/>
      <c r="AX175" s="19"/>
      <c r="AY175" s="19"/>
      <c r="AZ175" s="19"/>
      <c r="BA175" s="19"/>
      <c r="BB175" s="19"/>
      <c r="BC175" s="19"/>
    </row>
    <row r="176" spans="1:55" ht="12" customHeight="1" x14ac:dyDescent="0.25">
      <c r="A176" s="17" t="s">
        <v>1546</v>
      </c>
      <c r="B176" s="17" t="str">
        <f>_xlfn.XLOOKUP(FME_Ranking2[[#This Row],[FME ID]],FME_Input[FME_ID],FME_Input[FME_NAME])</f>
        <v>City of Cut and Shoot  Master Drainage Plan</v>
      </c>
      <c r="C176" s="17" t="str">
        <f>_xlfn.XLOOKUP(FME_Ranking2[[#This Row],[FME ID]],FME_Input[FME_ID],FME_Input[DESCR])</f>
        <v>Study to develop Master Drainage Plan using future and existing land use and flood/storm water drainage needs including Atlas 14 rainfall.</v>
      </c>
      <c r="D176" s="33" t="str">
        <f>_xlfn.XLOOKUP(FME_Ranking2[[#This Row],[FME ID]],FME_Input[FME_ID],FME_Input[EMER_NEED])</f>
        <v>No</v>
      </c>
      <c r="E176" s="120">
        <f>IF(FME_Ranking_Option2!$D176="Yes",100,0)</f>
        <v>0</v>
      </c>
      <c r="F176" s="34" t="str">
        <f>_xlfn.XLOOKUP(FME_Ranking2[[#This Row],[FME ID]],FME_Input[FME_ID],FME_Input[FUND])</f>
        <v>Yes</v>
      </c>
      <c r="G176" s="35">
        <f>IF(FME_Ranking_Option2!$F176="Yes",1,0)</f>
        <v>1</v>
      </c>
      <c r="H176" s="33">
        <f>_xlfn.XLOOKUP(FME_Ranking2[[#This Row],[FME ID]],FME_Input[FME_ID],FME_Input[STRUCT_100])</f>
        <v>90</v>
      </c>
      <c r="I176" s="64" t="e">
        <f>FME_Ranking2[[#This Row],[Raw Data3]]*H$4</f>
        <v>#REF!</v>
      </c>
      <c r="J176" s="63">
        <f>((FME_Ranking_Option2!$H176)/($H$3))*100</f>
        <v>1.0001455767450596E-2</v>
      </c>
      <c r="K176" s="36" t="e">
        <f>FME_Ranking2[[#This Row],[Norm Data3]]*H$4</f>
        <v>#REF!</v>
      </c>
      <c r="L176" s="37">
        <f>_xlfn.XLOOKUP(FME_Ranking2[[#This Row],[FME ID]],FME_Input[FME_ID],FME_Input[RES_STRUCT100])</f>
        <v>52</v>
      </c>
      <c r="M176" s="38" t="e">
        <f>FME_Ranking2[[#This Row],[Raw Data4]]*L$4</f>
        <v>#REF!</v>
      </c>
      <c r="N176" s="28">
        <f>((FME_Ranking_Option2!$L176)/($L$3))*100</f>
        <v>7.7741548222932857E-3</v>
      </c>
      <c r="O176" s="39" t="e">
        <f>FME_Ranking2[[#This Row],[Norm Data4]]*L$4</f>
        <v>#REF!</v>
      </c>
      <c r="P176" s="34">
        <f>_xlfn.XLOOKUP(FME_Ranking2[[#This Row],[FME ID]],FME_Input[FME_ID],FME_Input[POP100])</f>
        <v>258</v>
      </c>
      <c r="Q176" s="35" t="e">
        <f>FME_Ranking_Option2!$P176*P$4</f>
        <v>#REF!</v>
      </c>
      <c r="R176" s="35">
        <f>FME_Ranking_Option2!$P176/($P$3)</f>
        <v>9.4691478280784462E-5</v>
      </c>
      <c r="S176" s="35" t="e">
        <f>FME_Ranking_Option2!$R176*P$4</f>
        <v>#REF!</v>
      </c>
      <c r="T176" s="37">
        <f>_xlfn.XLOOKUP(FME_Ranking2[[#This Row],[FME ID]],FME_Input[FME_ID],FME_Input[CRITFAC100])</f>
        <v>0</v>
      </c>
      <c r="U176" s="35" t="e">
        <f>FME_Ranking_Option2!$T176*T$4</f>
        <v>#REF!</v>
      </c>
      <c r="V176" s="35">
        <f>FME_Ranking_Option2!$T176/($T$3)</f>
        <v>0</v>
      </c>
      <c r="W176" s="35" t="e">
        <f>FME_Ranking_Option2!$V176*T$4</f>
        <v>#REF!</v>
      </c>
      <c r="X176" s="37">
        <f>_xlfn.XLOOKUP(FME_Ranking2[[#This Row],[FME ID]],FME_Input[FME_ID],FME_Input[LWC])</f>
        <v>0</v>
      </c>
      <c r="Y176" s="35" t="e">
        <f>FME_Ranking_Option2!$X176*X$4</f>
        <v>#REF!</v>
      </c>
      <c r="Z176" s="35">
        <f>FME_Ranking_Option2!$X176/($X$3)</f>
        <v>0</v>
      </c>
      <c r="AA176" s="35" t="e">
        <f>FME_Ranking_Option2!$Z176*X$4</f>
        <v>#REF!</v>
      </c>
      <c r="AB176" s="37">
        <f>_xlfn.XLOOKUP(FME_Ranking2[[#This Row],[FME ID]],FME_Input[FME_ID],FME_Input[ROADCLS])</f>
        <v>0</v>
      </c>
      <c r="AC176" s="35" t="e">
        <f>FME_Ranking_Option2!$AB176*AB$4</f>
        <v>#REF!</v>
      </c>
      <c r="AD176" s="40">
        <f>_xlfn.XLOOKUP(FME_Ranking2[[#This Row],[FME ID]],FME_Input[FME_ID],FME_Input[ROAD_MILES100])</f>
        <v>1.70509397983551</v>
      </c>
      <c r="AE176" s="41" t="e">
        <f>FME_Ranking_Option2!$AD176*AD$4</f>
        <v>#REF!</v>
      </c>
      <c r="AF176" s="42">
        <f>FME_Ranking_Option2!$AD176/($AD$3)</f>
        <v>3.8513440107233354E-5</v>
      </c>
      <c r="AG176" s="42" t="e">
        <f>FME_Ranking_Option2!$AF176*AD$4</f>
        <v>#REF!</v>
      </c>
      <c r="AH176" s="40">
        <f>_xlfn.XLOOKUP(FME_Ranking2[[#This Row],[FME ID]],FME_Input[FME_ID],FME_Input[FARMACRE100])</f>
        <v>2.870004415512085</v>
      </c>
      <c r="AI176" s="43" t="e">
        <f>FME_Ranking_Option2!$AH176*AH$4</f>
        <v>#REF!</v>
      </c>
      <c r="AJ176" s="41">
        <f>FME_Ranking_Option2!$AH176/($AH$3)</f>
        <v>1.6664950327562072E-4</v>
      </c>
      <c r="AK176" s="44" t="e">
        <f>FME_Ranking_Option2!$AJ176*AH$4</f>
        <v>#REF!</v>
      </c>
      <c r="AL176"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76" s="45" t="e">
        <f>_xlfn.RANK.EQ(AL176,$AL$7:$AL$531)+COUNTIF(AL$7:AL176,AL176)-1</f>
        <v>#REF!</v>
      </c>
      <c r="AN176" s="44"/>
      <c r="AO176" s="45" t="e">
        <f>_xlfn.RANK.EQ(AN176,$AN$7:$AN$531)+COUNTIF(AN$7:AN176,AN176)-1</f>
        <v>#N/A</v>
      </c>
      <c r="AP17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76" s="32" t="e">
        <f>FME_Ranking2[[#This Row],[Score Based on Reported Factors]]-FME_Ranking2[[#This Row],[Check]]</f>
        <v>#REF!</v>
      </c>
      <c r="AR176" s="32"/>
    </row>
    <row r="177" spans="1:55" ht="12" customHeight="1" x14ac:dyDescent="0.25">
      <c r="A177" s="16" t="s">
        <v>1553</v>
      </c>
      <c r="B177" s="16" t="str">
        <f>_xlfn.XLOOKUP(FME_Ranking2[[#This Row],[FME ID]],FME_Input[FME_ID],FME_Input[FME_NAME])</f>
        <v>City of Dayton  Master Drainage Plan</v>
      </c>
      <c r="C177" s="16" t="str">
        <f>_xlfn.XLOOKUP(FME_Ranking2[[#This Row],[FME ID]],FME_Input[FME_ID],FME_Input[DESCR])</f>
        <v>Study to develop Master Drainage Plan using future and existing land use and flood/storm water drainage needs including Atlas 14 rainfall.</v>
      </c>
      <c r="D177" s="46" t="str">
        <f>_xlfn.XLOOKUP(FME_Ranking2[[#This Row],[FME ID]],FME_Input[FME_ID],FME_Input[EMER_NEED])</f>
        <v>No</v>
      </c>
      <c r="E177" s="121">
        <f>IF(FME_Ranking_Option2!$D177="Yes",100,0)</f>
        <v>0</v>
      </c>
      <c r="F177" s="47" t="str">
        <f>_xlfn.XLOOKUP(FME_Ranking2[[#This Row],[FME ID]],FME_Input[FME_ID],FME_Input[FUND])</f>
        <v>Yes</v>
      </c>
      <c r="G177" s="48">
        <f>IF(FME_Ranking_Option2!$F177="Yes",1,0)</f>
        <v>1</v>
      </c>
      <c r="H177" s="46">
        <f>_xlfn.XLOOKUP(FME_Ranking2[[#This Row],[FME ID]],FME_Input[FME_ID],FME_Input[STRUCT_100])</f>
        <v>32</v>
      </c>
      <c r="I177" s="65" t="e">
        <f>FME_Ranking2[[#This Row],[Raw Data3]]*H$4</f>
        <v>#REF!</v>
      </c>
      <c r="J177" s="62">
        <f>((FME_Ranking_Option2!$H177)/($H$3))*100</f>
        <v>3.5560731617602119E-3</v>
      </c>
      <c r="K177" s="49" t="e">
        <f>FME_Ranking2[[#This Row],[Norm Data3]]*H$4</f>
        <v>#REF!</v>
      </c>
      <c r="L177" s="50">
        <f>_xlfn.XLOOKUP(FME_Ranking2[[#This Row],[FME ID]],FME_Input[FME_ID],FME_Input[RES_STRUCT100])</f>
        <v>26</v>
      </c>
      <c r="M177" s="51" t="e">
        <f>FME_Ranking2[[#This Row],[Raw Data4]]*L$4</f>
        <v>#REF!</v>
      </c>
      <c r="N177" s="29">
        <f>((FME_Ranking_Option2!$L177)/($L$3))*100</f>
        <v>3.8870774111466428E-3</v>
      </c>
      <c r="O177" s="52" t="e">
        <f>FME_Ranking2[[#This Row],[Norm Data4]]*L$4</f>
        <v>#REF!</v>
      </c>
      <c r="P177" s="47">
        <f>_xlfn.XLOOKUP(FME_Ranking2[[#This Row],[FME ID]],FME_Input[FME_ID],FME_Input[POP100])</f>
        <v>74</v>
      </c>
      <c r="Q177" s="48" t="e">
        <f>FME_Ranking_Option2!$P177*P$4</f>
        <v>#REF!</v>
      </c>
      <c r="R177" s="48">
        <f>FME_Ranking_Option2!$P177/($P$3)</f>
        <v>2.7159571289837403E-5</v>
      </c>
      <c r="S177" s="48" t="e">
        <f>FME_Ranking_Option2!$R177*P$4</f>
        <v>#REF!</v>
      </c>
      <c r="T177" s="50">
        <f>_xlfn.XLOOKUP(FME_Ranking2[[#This Row],[FME ID]],FME_Input[FME_ID],FME_Input[CRITFAC100])</f>
        <v>0</v>
      </c>
      <c r="U177" s="48" t="e">
        <f>FME_Ranking_Option2!$T177*T$4</f>
        <v>#REF!</v>
      </c>
      <c r="V177" s="48">
        <f>FME_Ranking_Option2!$T177/($T$3)</f>
        <v>0</v>
      </c>
      <c r="W177" s="48" t="e">
        <f>FME_Ranking_Option2!$V177*T$4</f>
        <v>#REF!</v>
      </c>
      <c r="X177" s="50">
        <f>_xlfn.XLOOKUP(FME_Ranking2[[#This Row],[FME ID]],FME_Input[FME_ID],FME_Input[LWC])</f>
        <v>0</v>
      </c>
      <c r="Y177" s="48" t="e">
        <f>FME_Ranking_Option2!$X177*X$4</f>
        <v>#REF!</v>
      </c>
      <c r="Z177" s="48">
        <f>FME_Ranking_Option2!$X177/($X$3)</f>
        <v>0</v>
      </c>
      <c r="AA177" s="48" t="e">
        <f>FME_Ranking_Option2!$Z177*X$4</f>
        <v>#REF!</v>
      </c>
      <c r="AB177" s="50">
        <f>_xlfn.XLOOKUP(FME_Ranking2[[#This Row],[FME ID]],FME_Input[FME_ID],FME_Input[ROADCLS])</f>
        <v>0</v>
      </c>
      <c r="AC177" s="48" t="e">
        <f>FME_Ranking_Option2!$AB177*AB$4</f>
        <v>#REF!</v>
      </c>
      <c r="AD177" s="53">
        <f>_xlfn.XLOOKUP(FME_Ranking2[[#This Row],[FME ID]],FME_Input[FME_ID],FME_Input[ROAD_MILES100])</f>
        <v>0.92756974697113037</v>
      </c>
      <c r="AE177" s="54" t="e">
        <f>FME_Ranking_Option2!$AD177*AD$4</f>
        <v>#REF!</v>
      </c>
      <c r="AF177" s="55">
        <f>FME_Ranking_Option2!$AD177/($AD$3)</f>
        <v>2.0951280291717706E-5</v>
      </c>
      <c r="AG177" s="55" t="e">
        <f>FME_Ranking_Option2!$AF177*AD$4</f>
        <v>#REF!</v>
      </c>
      <c r="AH177" s="53">
        <f>_xlfn.XLOOKUP(FME_Ranking2[[#This Row],[FME ID]],FME_Input[FME_ID],FME_Input[FARMACRE100])</f>
        <v>65.600112915039063</v>
      </c>
      <c r="AI177" s="54" t="e">
        <f>FME_Ranking_Option2!$AH177*AH$4</f>
        <v>#REF!</v>
      </c>
      <c r="AJ177" s="56">
        <f>FME_Ranking_Option2!$AH177/($AH$3)</f>
        <v>3.8091321995981295E-3</v>
      </c>
      <c r="AK177" s="57" t="e">
        <f>FME_Ranking_Option2!$AJ177*AH$4</f>
        <v>#REF!</v>
      </c>
      <c r="AL177"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77" s="58" t="e">
        <f>_xlfn.RANK.EQ(AL177,$AL$7:$AL$531)+COUNTIF(AL$7:AL177,AL177)-1</f>
        <v>#REF!</v>
      </c>
      <c r="AN177" s="57"/>
      <c r="AO177" s="58" t="e">
        <f>_xlfn.RANK.EQ(AN177,$AN$7:$AN$531)+COUNTIF(AN$7:AN177,AN177)-1</f>
        <v>#N/A</v>
      </c>
      <c r="AP17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77" s="32" t="e">
        <f>FME_Ranking2[[#This Row],[Score Based on Reported Factors]]-FME_Ranking2[[#This Row],[Check]]</f>
        <v>#REF!</v>
      </c>
      <c r="AR177" s="32"/>
      <c r="AT177" s="19"/>
      <c r="AU177" s="19"/>
      <c r="AV177" s="19"/>
      <c r="AW177" s="19"/>
      <c r="AX177" s="19"/>
      <c r="AY177" s="19"/>
      <c r="AZ177" s="19"/>
      <c r="BA177" s="19"/>
      <c r="BB177" s="19"/>
      <c r="BC177" s="19"/>
    </row>
    <row r="178" spans="1:55" ht="12" customHeight="1" x14ac:dyDescent="0.25">
      <c r="A178" s="17" t="s">
        <v>1559</v>
      </c>
      <c r="B178" s="17" t="str">
        <f>_xlfn.XLOOKUP(FME_Ranking2[[#This Row],[FME ID]],FME_Input[FME_ID],FME_Input[FME_NAME])</f>
        <v>City of Deer Park  Master Drainage Plan</v>
      </c>
      <c r="C178" s="17" t="str">
        <f>_xlfn.XLOOKUP(FME_Ranking2[[#This Row],[FME ID]],FME_Input[FME_ID],FME_Input[DESCR])</f>
        <v>Study to develop Master Drainage Plan using future and existing land use and flood/storm water drainage needs including Atlas 14 rainfall.</v>
      </c>
      <c r="D178" s="33" t="str">
        <f>_xlfn.XLOOKUP(FME_Ranking2[[#This Row],[FME ID]],FME_Input[FME_ID],FME_Input[EMER_NEED])</f>
        <v>Yes</v>
      </c>
      <c r="E178" s="120">
        <f>IF(FME_Ranking_Option2!$D178="Yes",100,0)</f>
        <v>100</v>
      </c>
      <c r="F178" s="34" t="str">
        <f>_xlfn.XLOOKUP(FME_Ranking2[[#This Row],[FME ID]],FME_Input[FME_ID],FME_Input[FUND])</f>
        <v>Yes</v>
      </c>
      <c r="G178" s="35">
        <f>IF(FME_Ranking_Option2!$F178="Yes",1,0)</f>
        <v>1</v>
      </c>
      <c r="H178" s="33">
        <f>_xlfn.XLOOKUP(FME_Ranking2[[#This Row],[FME ID]],FME_Input[FME_ID],FME_Input[STRUCT_100])</f>
        <v>469</v>
      </c>
      <c r="I178" s="64" t="e">
        <f>FME_Ranking2[[#This Row],[Raw Data3]]*H$4</f>
        <v>#REF!</v>
      </c>
      <c r="J178" s="63">
        <f>((FME_Ranking_Option2!$H178)/($H$3))*100</f>
        <v>5.2118697277048098E-2</v>
      </c>
      <c r="K178" s="36" t="e">
        <f>FME_Ranking2[[#This Row],[Norm Data3]]*H$4</f>
        <v>#REF!</v>
      </c>
      <c r="L178" s="37">
        <f>_xlfn.XLOOKUP(FME_Ranking2[[#This Row],[FME ID]],FME_Input[FME_ID],FME_Input[RES_STRUCT100])</f>
        <v>241</v>
      </c>
      <c r="M178" s="38" t="e">
        <f>FME_Ranking2[[#This Row],[Raw Data4]]*L$4</f>
        <v>#REF!</v>
      </c>
      <c r="N178" s="28">
        <f>((FME_Ranking_Option2!$L178)/($L$3))*100</f>
        <v>3.6030217541782344E-2</v>
      </c>
      <c r="O178" s="39" t="e">
        <f>FME_Ranking2[[#This Row],[Norm Data4]]*L$4</f>
        <v>#REF!</v>
      </c>
      <c r="P178" s="34">
        <f>_xlfn.XLOOKUP(FME_Ranking2[[#This Row],[FME ID]],FME_Input[FME_ID],FME_Input[POP100])</f>
        <v>8356</v>
      </c>
      <c r="Q178" s="35" t="e">
        <f>FME_Ranking_Option2!$P178*P$4</f>
        <v>#REF!</v>
      </c>
      <c r="R178" s="35">
        <f>FME_Ranking_Option2!$P178/($P$3)</f>
        <v>3.0668294283497477E-3</v>
      </c>
      <c r="S178" s="35" t="e">
        <f>FME_Ranking_Option2!$R178*P$4</f>
        <v>#REF!</v>
      </c>
      <c r="T178" s="37">
        <f>_xlfn.XLOOKUP(FME_Ranking2[[#This Row],[FME ID]],FME_Input[FME_ID],FME_Input[CRITFAC100])</f>
        <v>6</v>
      </c>
      <c r="U178" s="35" t="e">
        <f>FME_Ranking_Option2!$T178*T$4</f>
        <v>#REF!</v>
      </c>
      <c r="V178" s="35">
        <f>FME_Ranking_Option2!$T178/($T$3)</f>
        <v>8.4614299816669018E-4</v>
      </c>
      <c r="W178" s="35" t="e">
        <f>FME_Ranking_Option2!$V178*T$4</f>
        <v>#REF!</v>
      </c>
      <c r="X178" s="37">
        <f>_xlfn.XLOOKUP(FME_Ranking2[[#This Row],[FME ID]],FME_Input[FME_ID],FME_Input[LWC])</f>
        <v>1</v>
      </c>
      <c r="Y178" s="35" t="e">
        <f>FME_Ranking_Option2!$X178*X$4</f>
        <v>#REF!</v>
      </c>
      <c r="Z178" s="35">
        <f>FME_Ranking_Option2!$X178/($X$3)</f>
        <v>9.1224229155263632E-5</v>
      </c>
      <c r="AA178" s="35" t="e">
        <f>FME_Ranking_Option2!$Z178*X$4</f>
        <v>#REF!</v>
      </c>
      <c r="AB178" s="37">
        <f>_xlfn.XLOOKUP(FME_Ranking2[[#This Row],[FME ID]],FME_Input[FME_ID],FME_Input[ROADCLS])</f>
        <v>1</v>
      </c>
      <c r="AC178" s="35" t="e">
        <f>FME_Ranking_Option2!$AB178*AB$4</f>
        <v>#REF!</v>
      </c>
      <c r="AD178" s="40">
        <f>_xlfn.XLOOKUP(FME_Ranking2[[#This Row],[FME ID]],FME_Input[FME_ID],FME_Input[ROAD_MILES100])</f>
        <v>9.11767578125</v>
      </c>
      <c r="AE178" s="41" t="e">
        <f>FME_Ranking_Option2!$AD178*AD$4</f>
        <v>#REF!</v>
      </c>
      <c r="AF178" s="42">
        <f>FME_Ranking_Option2!$AD178/($AD$3)</f>
        <v>2.0594352233430536E-4</v>
      </c>
      <c r="AG178" s="42" t="e">
        <f>FME_Ranking_Option2!$AF178*AD$4</f>
        <v>#REF!</v>
      </c>
      <c r="AH178" s="40">
        <f>_xlfn.XLOOKUP(FME_Ranking2[[#This Row],[FME ID]],FME_Input[FME_ID],FME_Input[FARMACRE100])</f>
        <v>4.1067566871643066</v>
      </c>
      <c r="AI178" s="43" t="e">
        <f>FME_Ranking_Option2!$AH178*AH$4</f>
        <v>#REF!</v>
      </c>
      <c r="AJ178" s="41">
        <f>FME_Ranking_Option2!$AH178/($AH$3)</f>
        <v>2.3846268608184433E-4</v>
      </c>
      <c r="AK178" s="44" t="e">
        <f>FME_Ranking_Option2!$AJ178*AH$4</f>
        <v>#REF!</v>
      </c>
      <c r="AL17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78" s="45" t="e">
        <f>_xlfn.RANK.EQ(AL178,$AL$7:$AL$531)+COUNTIF(AL$7:AL178,AL178)-1</f>
        <v>#REF!</v>
      </c>
      <c r="AN178" s="44"/>
      <c r="AO178" s="45" t="e">
        <f>_xlfn.RANK.EQ(AN178,$AN$7:$AN$531)+COUNTIF(AN$7:AN178,AN178)-1</f>
        <v>#N/A</v>
      </c>
      <c r="AP17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78" s="32" t="e">
        <f>FME_Ranking2[[#This Row],[Score Based on Reported Factors]]-FME_Ranking2[[#This Row],[Check]]</f>
        <v>#REF!</v>
      </c>
      <c r="AR178" s="32"/>
    </row>
    <row r="179" spans="1:55" ht="12" customHeight="1" x14ac:dyDescent="0.25">
      <c r="A179" s="16" t="s">
        <v>1565</v>
      </c>
      <c r="B179" s="16" t="str">
        <f>_xlfn.XLOOKUP(FME_Ranking2[[#This Row],[FME ID]],FME_Input[FME_ID],FME_Input[FME_NAME])</f>
        <v>City of Dickinson  Master Drainage Plan</v>
      </c>
      <c r="C179" s="16" t="str">
        <f>_xlfn.XLOOKUP(FME_Ranking2[[#This Row],[FME ID]],FME_Input[FME_ID],FME_Input[DESCR])</f>
        <v>Study to develop Master Drainage Plan using future and existing land use and flood/storm water drainage needs including Atlas 14 rainfall.</v>
      </c>
      <c r="D179" s="46" t="str">
        <f>_xlfn.XLOOKUP(FME_Ranking2[[#This Row],[FME ID]],FME_Input[FME_ID],FME_Input[EMER_NEED])</f>
        <v>Yes</v>
      </c>
      <c r="E179" s="121">
        <f>IF(FME_Ranking_Option2!$D179="Yes",100,0)</f>
        <v>100</v>
      </c>
      <c r="F179" s="47" t="str">
        <f>_xlfn.XLOOKUP(FME_Ranking2[[#This Row],[FME ID]],FME_Input[FME_ID],FME_Input[FUND])</f>
        <v>Yes</v>
      </c>
      <c r="G179" s="48">
        <f>IF(FME_Ranking_Option2!$F179="Yes",1,0)</f>
        <v>1</v>
      </c>
      <c r="H179" s="46">
        <f>_xlfn.XLOOKUP(FME_Ranking2[[#This Row],[FME ID]],FME_Input[FME_ID],FME_Input[STRUCT_100])</f>
        <v>5624</v>
      </c>
      <c r="I179" s="65" t="e">
        <f>FME_Ranking2[[#This Row],[Raw Data3]]*H$4</f>
        <v>#REF!</v>
      </c>
      <c r="J179" s="62">
        <f>((FME_Ranking_Option2!$H179)/($H$3))*100</f>
        <v>0.62497985817935731</v>
      </c>
      <c r="K179" s="49" t="e">
        <f>FME_Ranking2[[#This Row],[Norm Data3]]*H$4</f>
        <v>#REF!</v>
      </c>
      <c r="L179" s="50">
        <f>_xlfn.XLOOKUP(FME_Ranking2[[#This Row],[FME ID]],FME_Input[FME_ID],FME_Input[RES_STRUCT100])</f>
        <v>4851</v>
      </c>
      <c r="M179" s="51" t="e">
        <f>FME_Ranking2[[#This Row],[Raw Data4]]*L$4</f>
        <v>#REF!</v>
      </c>
      <c r="N179" s="29">
        <f>((FME_Ranking_Option2!$L179)/($L$3))*100</f>
        <v>0.72523894313355253</v>
      </c>
      <c r="O179" s="52" t="e">
        <f>FME_Ranking2[[#This Row],[Norm Data4]]*L$4</f>
        <v>#REF!</v>
      </c>
      <c r="P179" s="47">
        <f>_xlfn.XLOOKUP(FME_Ranking2[[#This Row],[FME ID]],FME_Input[FME_ID],FME_Input[POP100])</f>
        <v>22231</v>
      </c>
      <c r="Q179" s="48" t="e">
        <f>FME_Ranking_Option2!$P179*P$4</f>
        <v>#REF!</v>
      </c>
      <c r="R179" s="48">
        <f>FME_Ranking_Option2!$P179/($P$3)</f>
        <v>8.1592490451942602E-3</v>
      </c>
      <c r="S179" s="48" t="e">
        <f>FME_Ranking_Option2!$R179*P$4</f>
        <v>#REF!</v>
      </c>
      <c r="T179" s="50">
        <f>_xlfn.XLOOKUP(FME_Ranking2[[#This Row],[FME ID]],FME_Input[FME_ID],FME_Input[CRITFAC100])</f>
        <v>78</v>
      </c>
      <c r="U179" s="48" t="e">
        <f>FME_Ranking_Option2!$T179*T$4</f>
        <v>#REF!</v>
      </c>
      <c r="V179" s="48">
        <f>FME_Ranking_Option2!$T179/($T$3)</f>
        <v>1.0999858976166971E-2</v>
      </c>
      <c r="W179" s="48" t="e">
        <f>FME_Ranking_Option2!$V179*T$4</f>
        <v>#REF!</v>
      </c>
      <c r="X179" s="50">
        <f>_xlfn.XLOOKUP(FME_Ranking2[[#This Row],[FME ID]],FME_Input[FME_ID],FME_Input[LWC])</f>
        <v>10</v>
      </c>
      <c r="Y179" s="48" t="e">
        <f>FME_Ranking_Option2!$X179*X$4</f>
        <v>#REF!</v>
      </c>
      <c r="Z179" s="48">
        <f>FME_Ranking_Option2!$X179/($X$3)</f>
        <v>9.1224229155263637E-4</v>
      </c>
      <c r="AA179" s="48" t="e">
        <f>FME_Ranking_Option2!$Z179*X$4</f>
        <v>#REF!</v>
      </c>
      <c r="AB179" s="50">
        <f>_xlfn.XLOOKUP(FME_Ranking2[[#This Row],[FME ID]],FME_Input[FME_ID],FME_Input[ROADCLS])</f>
        <v>10</v>
      </c>
      <c r="AC179" s="48" t="e">
        <f>FME_Ranking_Option2!$AB179*AB$4</f>
        <v>#REF!</v>
      </c>
      <c r="AD179" s="53">
        <f>_xlfn.XLOOKUP(FME_Ranking2[[#This Row],[FME ID]],FME_Input[FME_ID],FME_Input[ROAD_MILES100])</f>
        <v>78.892745971679688</v>
      </c>
      <c r="AE179" s="54" t="e">
        <f>FME_Ranking_Option2!$AD179*AD$4</f>
        <v>#REF!</v>
      </c>
      <c r="AF179" s="55">
        <f>FME_Ranking_Option2!$AD179/($AD$3)</f>
        <v>1.781972772649504E-3</v>
      </c>
      <c r="AG179" s="55" t="e">
        <f>FME_Ranking_Option2!$AF179*AD$4</f>
        <v>#REF!</v>
      </c>
      <c r="AH179" s="53">
        <f>_xlfn.XLOOKUP(FME_Ranking2[[#This Row],[FME ID]],FME_Input[FME_ID],FME_Input[FARMACRE100])</f>
        <v>37.734699249267578</v>
      </c>
      <c r="AI179" s="54" t="e">
        <f>FME_Ranking_Option2!$AH179*AH$4</f>
        <v>#REF!</v>
      </c>
      <c r="AJ179" s="56">
        <f>FME_Ranking_Option2!$AH179/($AH$3)</f>
        <v>2.1911007704924911E-3</v>
      </c>
      <c r="AK179" s="57" t="e">
        <f>FME_Ranking_Option2!$AJ179*AH$4</f>
        <v>#REF!</v>
      </c>
      <c r="AL17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79" s="58" t="e">
        <f>_xlfn.RANK.EQ(AL179,$AL$7:$AL$531)+COUNTIF(AL$7:AL179,AL179)-1</f>
        <v>#REF!</v>
      </c>
      <c r="AN179" s="57"/>
      <c r="AO179" s="58" t="e">
        <f>_xlfn.RANK.EQ(AN179,$AN$7:$AN$531)+COUNTIF(AN$7:AN179,AN179)-1</f>
        <v>#N/A</v>
      </c>
      <c r="AP17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79" s="32" t="e">
        <f>FME_Ranking2[[#This Row],[Score Based on Reported Factors]]-FME_Ranking2[[#This Row],[Check]]</f>
        <v>#REF!</v>
      </c>
      <c r="AR179" s="32"/>
      <c r="AT179" s="19"/>
      <c r="AU179" s="19"/>
      <c r="AV179" s="19"/>
      <c r="AW179" s="19"/>
      <c r="AX179" s="19"/>
      <c r="AY179" s="19"/>
      <c r="AZ179" s="19"/>
      <c r="BA179" s="19"/>
      <c r="BB179" s="19"/>
      <c r="BC179" s="19"/>
    </row>
    <row r="180" spans="1:55" ht="12" customHeight="1" x14ac:dyDescent="0.25">
      <c r="A180" s="17" t="s">
        <v>1569</v>
      </c>
      <c r="B180" s="17" t="str">
        <f>_xlfn.XLOOKUP(FME_Ranking2[[#This Row],[FME ID]],FME_Input[FME_ID],FME_Input[FME_NAME])</f>
        <v>City of El Lago  Master Drainage Plan</v>
      </c>
      <c r="C180" s="17" t="str">
        <f>_xlfn.XLOOKUP(FME_Ranking2[[#This Row],[FME ID]],FME_Input[FME_ID],FME_Input[DESCR])</f>
        <v>Study to develop Master Drainage Plan using future and existing land use and flood/storm water drainage needs including Atlas 14 rainfall.</v>
      </c>
      <c r="D180" s="33" t="str">
        <f>_xlfn.XLOOKUP(FME_Ranking2[[#This Row],[FME ID]],FME_Input[FME_ID],FME_Input[EMER_NEED])</f>
        <v>No</v>
      </c>
      <c r="E180" s="120">
        <f>IF(FME_Ranking_Option2!$D180="Yes",100,0)</f>
        <v>0</v>
      </c>
      <c r="F180" s="34" t="str">
        <f>_xlfn.XLOOKUP(FME_Ranking2[[#This Row],[FME ID]],FME_Input[FME_ID],FME_Input[FUND])</f>
        <v>Yes</v>
      </c>
      <c r="G180" s="35">
        <f>IF(FME_Ranking_Option2!$F180="Yes",1,0)</f>
        <v>1</v>
      </c>
      <c r="H180" s="33">
        <f>_xlfn.XLOOKUP(FME_Ranking2[[#This Row],[FME ID]],FME_Input[FME_ID],FME_Input[STRUCT_100])</f>
        <v>743</v>
      </c>
      <c r="I180" s="64" t="e">
        <f>FME_Ranking2[[#This Row],[Raw Data3]]*H$4</f>
        <v>#REF!</v>
      </c>
      <c r="J180" s="63">
        <f>((FME_Ranking_Option2!$H180)/($H$3))*100</f>
        <v>8.2567573724619925E-2</v>
      </c>
      <c r="K180" s="36" t="e">
        <f>FME_Ranking2[[#This Row],[Norm Data3]]*H$4</f>
        <v>#REF!</v>
      </c>
      <c r="L180" s="37">
        <f>_xlfn.XLOOKUP(FME_Ranking2[[#This Row],[FME ID]],FME_Input[FME_ID],FME_Input[RES_STRUCT100])</f>
        <v>698</v>
      </c>
      <c r="M180" s="38" t="e">
        <f>FME_Ranking2[[#This Row],[Raw Data4]]*L$4</f>
        <v>#REF!</v>
      </c>
      <c r="N180" s="28">
        <f>((FME_Ranking_Option2!$L180)/($L$3))*100</f>
        <v>0.10435307819155219</v>
      </c>
      <c r="O180" s="39" t="e">
        <f>FME_Ranking2[[#This Row],[Norm Data4]]*L$4</f>
        <v>#REF!</v>
      </c>
      <c r="P180" s="34">
        <f>_xlfn.XLOOKUP(FME_Ranking2[[#This Row],[FME ID]],FME_Input[FME_ID],FME_Input[POP100])</f>
        <v>3033</v>
      </c>
      <c r="Q180" s="35" t="e">
        <f>FME_Ranking_Option2!$P180*P$4</f>
        <v>#REF!</v>
      </c>
      <c r="R180" s="35">
        <f>FME_Ranking_Option2!$P180/($P$3)</f>
        <v>1.1131754016496871E-3</v>
      </c>
      <c r="S180" s="35" t="e">
        <f>FME_Ranking_Option2!$R180*P$4</f>
        <v>#REF!</v>
      </c>
      <c r="T180" s="37">
        <f>_xlfn.XLOOKUP(FME_Ranking2[[#This Row],[FME ID]],FME_Input[FME_ID],FME_Input[CRITFAC100])</f>
        <v>9</v>
      </c>
      <c r="U180" s="35" t="e">
        <f>FME_Ranking_Option2!$T180*T$4</f>
        <v>#REF!</v>
      </c>
      <c r="V180" s="35">
        <f>FME_Ranking_Option2!$T180/($T$3)</f>
        <v>1.2692144972500353E-3</v>
      </c>
      <c r="W180" s="35" t="e">
        <f>FME_Ranking_Option2!$V180*T$4</f>
        <v>#REF!</v>
      </c>
      <c r="X180" s="37">
        <f>_xlfn.XLOOKUP(FME_Ranking2[[#This Row],[FME ID]],FME_Input[FME_ID],FME_Input[LWC])</f>
        <v>0</v>
      </c>
      <c r="Y180" s="35" t="e">
        <f>FME_Ranking_Option2!$X180*X$4</f>
        <v>#REF!</v>
      </c>
      <c r="Z180" s="35">
        <f>FME_Ranking_Option2!$X180/($X$3)</f>
        <v>0</v>
      </c>
      <c r="AA180" s="35" t="e">
        <f>FME_Ranking_Option2!$Z180*X$4</f>
        <v>#REF!</v>
      </c>
      <c r="AB180" s="37">
        <f>_xlfn.XLOOKUP(FME_Ranking2[[#This Row],[FME ID]],FME_Input[FME_ID],FME_Input[ROADCLS])</f>
        <v>0</v>
      </c>
      <c r="AC180" s="35" t="e">
        <f>FME_Ranking_Option2!$AB180*AB$4</f>
        <v>#REF!</v>
      </c>
      <c r="AD180" s="40">
        <f>_xlfn.XLOOKUP(FME_Ranking2[[#This Row],[FME ID]],FME_Input[FME_ID],FME_Input[ROAD_MILES100])</f>
        <v>9.3533601760864258</v>
      </c>
      <c r="AE180" s="41" t="e">
        <f>FME_Ranking_Option2!$AD180*AD$4</f>
        <v>#REF!</v>
      </c>
      <c r="AF180" s="42">
        <f>FME_Ranking_Option2!$AD180/($AD$3)</f>
        <v>2.1126699243747109E-4</v>
      </c>
      <c r="AG180" s="42" t="e">
        <f>FME_Ranking_Option2!$AF180*AD$4</f>
        <v>#REF!</v>
      </c>
      <c r="AH180" s="40">
        <f>_xlfn.XLOOKUP(FME_Ranking2[[#This Row],[FME ID]],FME_Input[FME_ID],FME_Input[FARMACRE100])</f>
        <v>0.44328251481056208</v>
      </c>
      <c r="AI180" s="43" t="e">
        <f>FME_Ranking_Option2!$AH180*AH$4</f>
        <v>#REF!</v>
      </c>
      <c r="AJ180" s="41">
        <f>FME_Ranking_Option2!$AH180/($AH$3)</f>
        <v>2.573961576667724E-5</v>
      </c>
      <c r="AK180" s="44" t="e">
        <f>FME_Ranking_Option2!$AJ180*AH$4</f>
        <v>#REF!</v>
      </c>
      <c r="AL18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80" s="45" t="e">
        <f>_xlfn.RANK.EQ(AL180,$AL$7:$AL$531)+COUNTIF(AL$7:AL180,AL180)-1</f>
        <v>#REF!</v>
      </c>
      <c r="AN180" s="44"/>
      <c r="AO180" s="45" t="e">
        <f>_xlfn.RANK.EQ(AN180,$AN$7:$AN$531)+COUNTIF(AN$7:AN180,AN180)-1</f>
        <v>#N/A</v>
      </c>
      <c r="AP18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80" s="32" t="e">
        <f>FME_Ranking2[[#This Row],[Score Based on Reported Factors]]-FME_Ranking2[[#This Row],[Check]]</f>
        <v>#REF!</v>
      </c>
      <c r="AR180" s="32"/>
    </row>
    <row r="181" spans="1:55" ht="12" customHeight="1" x14ac:dyDescent="0.25">
      <c r="A181" s="16" t="s">
        <v>1573</v>
      </c>
      <c r="B181" s="16" t="str">
        <f>_xlfn.XLOOKUP(FME_Ranking2[[#This Row],[FME ID]],FME_Input[FME_ID],FME_Input[FME_NAME])</f>
        <v>City of Friendswood  Master Drainage Plan</v>
      </c>
      <c r="C181" s="16" t="str">
        <f>_xlfn.XLOOKUP(FME_Ranking2[[#This Row],[FME ID]],FME_Input[FME_ID],FME_Input[DESCR])</f>
        <v>Study to develop Master Drainage Plan using future and existing land use and flood/storm water drainage needs including Atlas 14 rainfall.</v>
      </c>
      <c r="D181" s="46" t="str">
        <f>_xlfn.XLOOKUP(FME_Ranking2[[#This Row],[FME ID]],FME_Input[FME_ID],FME_Input[EMER_NEED])</f>
        <v>Yes</v>
      </c>
      <c r="E181" s="121">
        <f>IF(FME_Ranking_Option2!$D181="Yes",100,0)</f>
        <v>100</v>
      </c>
      <c r="F181" s="47" t="str">
        <f>_xlfn.XLOOKUP(FME_Ranking2[[#This Row],[FME ID]],FME_Input[FME_ID],FME_Input[FUND])</f>
        <v>Yes</v>
      </c>
      <c r="G181" s="48">
        <f>IF(FME_Ranking_Option2!$F181="Yes",1,0)</f>
        <v>1</v>
      </c>
      <c r="H181" s="46">
        <f>_xlfn.XLOOKUP(FME_Ranking2[[#This Row],[FME ID]],FME_Input[FME_ID],FME_Input[STRUCT_100])</f>
        <v>1680</v>
      </c>
      <c r="I181" s="65" t="e">
        <f>FME_Ranking2[[#This Row],[Raw Data3]]*H$4</f>
        <v>#REF!</v>
      </c>
      <c r="J181" s="62">
        <f>((FME_Ranking_Option2!$H181)/($H$3))*100</f>
        <v>0.18669384099241113</v>
      </c>
      <c r="K181" s="49" t="e">
        <f>FME_Ranking2[[#This Row],[Norm Data3]]*H$4</f>
        <v>#REF!</v>
      </c>
      <c r="L181" s="50">
        <f>_xlfn.XLOOKUP(FME_Ranking2[[#This Row],[FME ID]],FME_Input[FME_ID],FME_Input[RES_STRUCT100])</f>
        <v>1601</v>
      </c>
      <c r="M181" s="51" t="e">
        <f>FME_Ranking2[[#This Row],[Raw Data4]]*L$4</f>
        <v>#REF!</v>
      </c>
      <c r="N181" s="29">
        <f>((FME_Ranking_Option2!$L181)/($L$3))*100</f>
        <v>0.23935426674022214</v>
      </c>
      <c r="O181" s="52" t="e">
        <f>FME_Ranking2[[#This Row],[Norm Data4]]*L$4</f>
        <v>#REF!</v>
      </c>
      <c r="P181" s="47">
        <f>_xlfn.XLOOKUP(FME_Ranking2[[#This Row],[FME ID]],FME_Input[FME_ID],FME_Input[POP100])</f>
        <v>5467</v>
      </c>
      <c r="Q181" s="48" t="e">
        <f>FME_Ranking_Option2!$P181*P$4</f>
        <v>#REF!</v>
      </c>
      <c r="R181" s="48">
        <f>FME_Ranking_Option2!$P181/($P$3)</f>
        <v>2.0065050843451498E-3</v>
      </c>
      <c r="S181" s="48" t="e">
        <f>FME_Ranking_Option2!$R181*P$4</f>
        <v>#REF!</v>
      </c>
      <c r="T181" s="50">
        <f>_xlfn.XLOOKUP(FME_Ranking2[[#This Row],[FME ID]],FME_Input[FME_ID],FME_Input[CRITFAC100])</f>
        <v>2</v>
      </c>
      <c r="U181" s="48" t="e">
        <f>FME_Ranking_Option2!$T181*T$4</f>
        <v>#REF!</v>
      </c>
      <c r="V181" s="48">
        <f>FME_Ranking_Option2!$T181/($T$3)</f>
        <v>2.8204766605556341E-4</v>
      </c>
      <c r="W181" s="48" t="e">
        <f>FME_Ranking_Option2!$V181*T$4</f>
        <v>#REF!</v>
      </c>
      <c r="X181" s="50">
        <f>_xlfn.XLOOKUP(FME_Ranking2[[#This Row],[FME ID]],FME_Input[FME_ID],FME_Input[LWC])</f>
        <v>5</v>
      </c>
      <c r="Y181" s="48" t="e">
        <f>FME_Ranking_Option2!$X181*X$4</f>
        <v>#REF!</v>
      </c>
      <c r="Z181" s="48">
        <f>FME_Ranking_Option2!$X181/($X$3)</f>
        <v>4.5612114577631819E-4</v>
      </c>
      <c r="AA181" s="48" t="e">
        <f>FME_Ranking_Option2!$Z181*X$4</f>
        <v>#REF!</v>
      </c>
      <c r="AB181" s="50">
        <f>_xlfn.XLOOKUP(FME_Ranking2[[#This Row],[FME ID]],FME_Input[FME_ID],FME_Input[ROADCLS])</f>
        <v>5</v>
      </c>
      <c r="AC181" s="48" t="e">
        <f>FME_Ranking_Option2!$AB181*AB$4</f>
        <v>#REF!</v>
      </c>
      <c r="AD181" s="53">
        <f>_xlfn.XLOOKUP(FME_Ranking2[[#This Row],[FME ID]],FME_Input[FME_ID],FME_Input[ROAD_MILES100])</f>
        <v>37.720420837402337</v>
      </c>
      <c r="AE181" s="54" t="e">
        <f>FME_Ranking_Option2!$AD181*AD$4</f>
        <v>#REF!</v>
      </c>
      <c r="AF181" s="55">
        <f>FME_Ranking_Option2!$AD181/($AD$3)</f>
        <v>8.5200181686236303E-4</v>
      </c>
      <c r="AG181" s="55" t="e">
        <f>FME_Ranking_Option2!$AF181*AD$4</f>
        <v>#REF!</v>
      </c>
      <c r="AH181" s="53">
        <f>_xlfn.XLOOKUP(FME_Ranking2[[#This Row],[FME ID]],FME_Input[FME_ID],FME_Input[FARMACRE100])</f>
        <v>18.37308311462402</v>
      </c>
      <c r="AI181" s="54" t="e">
        <f>FME_Ranking_Option2!$AH181*AH$4</f>
        <v>#REF!</v>
      </c>
      <c r="AJ181" s="56">
        <f>FME_Ranking_Option2!$AH181/($AH$3)</f>
        <v>1.0668503358896295E-3</v>
      </c>
      <c r="AK181" s="57" t="e">
        <f>FME_Ranking_Option2!$AJ181*AH$4</f>
        <v>#REF!</v>
      </c>
      <c r="AL18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81" s="58" t="e">
        <f>_xlfn.RANK.EQ(AL181,$AL$7:$AL$531)+COUNTIF(AL$7:AL181,AL181)-1</f>
        <v>#REF!</v>
      </c>
      <c r="AN181" s="57"/>
      <c r="AO181" s="58" t="e">
        <f>_xlfn.RANK.EQ(AN181,$AN$7:$AN$531)+COUNTIF(AN$7:AN181,AN181)-1</f>
        <v>#N/A</v>
      </c>
      <c r="AP18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81" s="32" t="e">
        <f>FME_Ranking2[[#This Row],[Score Based on Reported Factors]]-FME_Ranking2[[#This Row],[Check]]</f>
        <v>#REF!</v>
      </c>
      <c r="AR181" s="32"/>
      <c r="AT181" s="19"/>
      <c r="AU181" s="19"/>
      <c r="AV181" s="19"/>
      <c r="AW181" s="19"/>
      <c r="AX181" s="19"/>
      <c r="AY181" s="19"/>
      <c r="AZ181" s="19"/>
      <c r="BA181" s="19"/>
      <c r="BB181" s="19"/>
      <c r="BC181" s="19"/>
    </row>
    <row r="182" spans="1:55" ht="12" customHeight="1" x14ac:dyDescent="0.25">
      <c r="A182" s="17" t="s">
        <v>1575</v>
      </c>
      <c r="B182" s="17" t="str">
        <f>_xlfn.XLOOKUP(FME_Ranking2[[#This Row],[FME ID]],FME_Input[FME_ID],FME_Input[FME_NAME])</f>
        <v>City of Fulshear  Master Drainage Plan</v>
      </c>
      <c r="C182" s="17" t="str">
        <f>_xlfn.XLOOKUP(FME_Ranking2[[#This Row],[FME ID]],FME_Input[FME_ID],FME_Input[DESCR])</f>
        <v>Study to develop Master Drainage Plan using future and existing land use and flood/storm water drainage needs including Atlas 14 rainfall.</v>
      </c>
      <c r="D182" s="33" t="str">
        <f>_xlfn.XLOOKUP(FME_Ranking2[[#This Row],[FME ID]],FME_Input[FME_ID],FME_Input[EMER_NEED])</f>
        <v>Yes</v>
      </c>
      <c r="E182" s="120">
        <f>IF(FME_Ranking_Option2!$D182="Yes",100,0)</f>
        <v>100</v>
      </c>
      <c r="F182" s="34" t="str">
        <f>_xlfn.XLOOKUP(FME_Ranking2[[#This Row],[FME ID]],FME_Input[FME_ID],FME_Input[FUND])</f>
        <v>Yes</v>
      </c>
      <c r="G182" s="35">
        <f>IF(FME_Ranking_Option2!$F182="Yes",1,0)</f>
        <v>1</v>
      </c>
      <c r="H182" s="33">
        <f>_xlfn.XLOOKUP(FME_Ranking2[[#This Row],[FME ID]],FME_Input[FME_ID],FME_Input[STRUCT_100])</f>
        <v>0</v>
      </c>
      <c r="I182" s="64" t="e">
        <f>FME_Ranking2[[#This Row],[Raw Data3]]*H$4</f>
        <v>#REF!</v>
      </c>
      <c r="J182" s="63">
        <f>((FME_Ranking_Option2!$H182)/($H$3))*100</f>
        <v>0</v>
      </c>
      <c r="K182" s="36" t="e">
        <f>FME_Ranking2[[#This Row],[Norm Data3]]*H$4</f>
        <v>#REF!</v>
      </c>
      <c r="L182" s="37">
        <f>_xlfn.XLOOKUP(FME_Ranking2[[#This Row],[FME ID]],FME_Input[FME_ID],FME_Input[RES_STRUCT100])</f>
        <v>0</v>
      </c>
      <c r="M182" s="38" t="e">
        <f>FME_Ranking2[[#This Row],[Raw Data4]]*L$4</f>
        <v>#REF!</v>
      </c>
      <c r="N182" s="28">
        <f>((FME_Ranking_Option2!$L182)/($L$3))*100</f>
        <v>0</v>
      </c>
      <c r="O182" s="39" t="e">
        <f>FME_Ranking2[[#This Row],[Norm Data4]]*L$4</f>
        <v>#REF!</v>
      </c>
      <c r="P182" s="34">
        <f>_xlfn.XLOOKUP(FME_Ranking2[[#This Row],[FME ID]],FME_Input[FME_ID],FME_Input[POP100])</f>
        <v>0</v>
      </c>
      <c r="Q182" s="35" t="e">
        <f>FME_Ranking_Option2!$P182*P$4</f>
        <v>#REF!</v>
      </c>
      <c r="R182" s="35">
        <f>FME_Ranking_Option2!$P182/($P$3)</f>
        <v>0</v>
      </c>
      <c r="S182" s="35" t="e">
        <f>FME_Ranking_Option2!$R182*P$4</f>
        <v>#REF!</v>
      </c>
      <c r="T182" s="37">
        <f>_xlfn.XLOOKUP(FME_Ranking2[[#This Row],[FME ID]],FME_Input[FME_ID],FME_Input[CRITFAC100])</f>
        <v>0</v>
      </c>
      <c r="U182" s="35" t="e">
        <f>FME_Ranking_Option2!$T182*T$4</f>
        <v>#REF!</v>
      </c>
      <c r="V182" s="35">
        <f>FME_Ranking_Option2!$T182/($T$3)</f>
        <v>0</v>
      </c>
      <c r="W182" s="35" t="e">
        <f>FME_Ranking_Option2!$V182*T$4</f>
        <v>#REF!</v>
      </c>
      <c r="X182" s="37">
        <f>_xlfn.XLOOKUP(FME_Ranking2[[#This Row],[FME ID]],FME_Input[FME_ID],FME_Input[LWC])</f>
        <v>0</v>
      </c>
      <c r="Y182" s="35" t="e">
        <f>FME_Ranking_Option2!$X182*X$4</f>
        <v>#REF!</v>
      </c>
      <c r="Z182" s="35">
        <f>FME_Ranking_Option2!$X182/($X$3)</f>
        <v>0</v>
      </c>
      <c r="AA182" s="35" t="e">
        <f>FME_Ranking_Option2!$Z182*X$4</f>
        <v>#REF!</v>
      </c>
      <c r="AB182" s="37">
        <f>_xlfn.XLOOKUP(FME_Ranking2[[#This Row],[FME ID]],FME_Input[FME_ID],FME_Input[ROADCLS])</f>
        <v>0</v>
      </c>
      <c r="AC182" s="35" t="e">
        <f>FME_Ranking_Option2!$AB182*AB$4</f>
        <v>#REF!</v>
      </c>
      <c r="AD182" s="40">
        <f>_xlfn.XLOOKUP(FME_Ranking2[[#This Row],[FME ID]],FME_Input[FME_ID],FME_Input[ROAD_MILES100])</f>
        <v>0</v>
      </c>
      <c r="AE182" s="41" t="e">
        <f>FME_Ranking_Option2!$AD182*AD$4</f>
        <v>#REF!</v>
      </c>
      <c r="AF182" s="42">
        <f>FME_Ranking_Option2!$AD182/($AD$3)</f>
        <v>0</v>
      </c>
      <c r="AG182" s="42" t="e">
        <f>FME_Ranking_Option2!$AF182*AD$4</f>
        <v>#REF!</v>
      </c>
      <c r="AH182" s="40">
        <f>_xlfn.XLOOKUP(FME_Ranking2[[#This Row],[FME ID]],FME_Input[FME_ID],FME_Input[FARMACRE100])</f>
        <v>0</v>
      </c>
      <c r="AI182" s="43" t="e">
        <f>FME_Ranking_Option2!$AH182*AH$4</f>
        <v>#REF!</v>
      </c>
      <c r="AJ182" s="41">
        <f>FME_Ranking_Option2!$AH182/($AH$3)</f>
        <v>0</v>
      </c>
      <c r="AK182" s="44" t="e">
        <f>FME_Ranking_Option2!$AJ182*AH$4</f>
        <v>#REF!</v>
      </c>
      <c r="AL182"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82" s="45" t="e">
        <f>_xlfn.RANK.EQ(AL182,$AL$7:$AL$531)+COUNTIF(AL$7:AL182,AL182)-1</f>
        <v>#REF!</v>
      </c>
      <c r="AN182" s="44"/>
      <c r="AO182" s="45" t="e">
        <f>_xlfn.RANK.EQ(AN182,$AN$7:$AN$531)+COUNTIF(AN$7:AN182,AN182)-1</f>
        <v>#N/A</v>
      </c>
      <c r="AP18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82" s="32" t="e">
        <f>FME_Ranking2[[#This Row],[Score Based on Reported Factors]]-FME_Ranking2[[#This Row],[Check]]</f>
        <v>#REF!</v>
      </c>
      <c r="AR182" s="32"/>
    </row>
    <row r="183" spans="1:55" ht="12" customHeight="1" x14ac:dyDescent="0.25">
      <c r="A183" s="16" t="s">
        <v>1581</v>
      </c>
      <c r="B183" s="16" t="str">
        <f>_xlfn.XLOOKUP(FME_Ranking2[[#This Row],[FME ID]],FME_Input[FME_ID],FME_Input[FME_NAME])</f>
        <v>City of Galena Park Master Drainage Plan</v>
      </c>
      <c r="C183" s="16" t="str">
        <f>_xlfn.XLOOKUP(FME_Ranking2[[#This Row],[FME ID]],FME_Input[FME_ID],FME_Input[DESCR])</f>
        <v>Study to develop Master Drainage Plan using future and existing land use and flood/storm water drainage needs including Atlas 14 rainfall.</v>
      </c>
      <c r="D183" s="46" t="str">
        <f>_xlfn.XLOOKUP(FME_Ranking2[[#This Row],[FME ID]],FME_Input[FME_ID],FME_Input[EMER_NEED])</f>
        <v>Yes</v>
      </c>
      <c r="E183" s="121">
        <f>IF(FME_Ranking_Option2!$D183="Yes",100,0)</f>
        <v>100</v>
      </c>
      <c r="F183" s="47" t="str">
        <f>_xlfn.XLOOKUP(FME_Ranking2[[#This Row],[FME ID]],FME_Input[FME_ID],FME_Input[FUND])</f>
        <v>Yes</v>
      </c>
      <c r="G183" s="48">
        <f>IF(FME_Ranking_Option2!$F183="Yes",1,0)</f>
        <v>1</v>
      </c>
      <c r="H183" s="46">
        <f>_xlfn.XLOOKUP(FME_Ranking2[[#This Row],[FME ID]],FME_Input[FME_ID],FME_Input[STRUCT_100])</f>
        <v>205</v>
      </c>
      <c r="I183" s="65" t="e">
        <f>FME_Ranking2[[#This Row],[Raw Data3]]*H$4</f>
        <v>#REF!</v>
      </c>
      <c r="J183" s="62">
        <f>((FME_Ranking_Option2!$H183)/($H$3))*100</f>
        <v>2.2781093692526354E-2</v>
      </c>
      <c r="K183" s="49" t="e">
        <f>FME_Ranking2[[#This Row],[Norm Data3]]*H$4</f>
        <v>#REF!</v>
      </c>
      <c r="L183" s="50">
        <f>_xlfn.XLOOKUP(FME_Ranking2[[#This Row],[FME ID]],FME_Input[FME_ID],FME_Input[RES_STRUCT100])</f>
        <v>156</v>
      </c>
      <c r="M183" s="51" t="e">
        <f>FME_Ranking2[[#This Row],[Raw Data4]]*L$4</f>
        <v>#REF!</v>
      </c>
      <c r="N183" s="29">
        <f>((FME_Ranking_Option2!$L183)/($L$3))*100</f>
        <v>2.3322464466879855E-2</v>
      </c>
      <c r="O183" s="52" t="e">
        <f>FME_Ranking2[[#This Row],[Norm Data4]]*L$4</f>
        <v>#REF!</v>
      </c>
      <c r="P183" s="47">
        <f>_xlfn.XLOOKUP(FME_Ranking2[[#This Row],[FME ID]],FME_Input[FME_ID],FME_Input[POP100])</f>
        <v>712</v>
      </c>
      <c r="Q183" s="48" t="e">
        <f>FME_Ranking_Option2!$P183*P$4</f>
        <v>#REF!</v>
      </c>
      <c r="R183" s="48">
        <f>FME_Ranking_Option2!$P183/($P$3)</f>
        <v>2.6131911835627339E-4</v>
      </c>
      <c r="S183" s="48" t="e">
        <f>FME_Ranking_Option2!$R183*P$4</f>
        <v>#REF!</v>
      </c>
      <c r="T183" s="50">
        <f>_xlfn.XLOOKUP(FME_Ranking2[[#This Row],[FME ID]],FME_Input[FME_ID],FME_Input[CRITFAC100])</f>
        <v>9</v>
      </c>
      <c r="U183" s="48" t="e">
        <f>FME_Ranking_Option2!$T183*T$4</f>
        <v>#REF!</v>
      </c>
      <c r="V183" s="48">
        <f>FME_Ranking_Option2!$T183/($T$3)</f>
        <v>1.2692144972500353E-3</v>
      </c>
      <c r="W183" s="48" t="e">
        <f>FME_Ranking_Option2!$V183*T$4</f>
        <v>#REF!</v>
      </c>
      <c r="X183" s="50">
        <f>_xlfn.XLOOKUP(FME_Ranking2[[#This Row],[FME ID]],FME_Input[FME_ID],FME_Input[LWC])</f>
        <v>0</v>
      </c>
      <c r="Y183" s="48" t="e">
        <f>FME_Ranking_Option2!$X183*X$4</f>
        <v>#REF!</v>
      </c>
      <c r="Z183" s="48">
        <f>FME_Ranking_Option2!$X183/($X$3)</f>
        <v>0</v>
      </c>
      <c r="AA183" s="48" t="e">
        <f>FME_Ranking_Option2!$Z183*X$4</f>
        <v>#REF!</v>
      </c>
      <c r="AB183" s="50">
        <f>_xlfn.XLOOKUP(FME_Ranking2[[#This Row],[FME ID]],FME_Input[FME_ID],FME_Input[ROADCLS])</f>
        <v>0</v>
      </c>
      <c r="AC183" s="48" t="e">
        <f>FME_Ranking_Option2!$AB183*AB$4</f>
        <v>#REF!</v>
      </c>
      <c r="AD183" s="53">
        <f>_xlfn.XLOOKUP(FME_Ranking2[[#This Row],[FME ID]],FME_Input[FME_ID],FME_Input[ROAD_MILES100])</f>
        <v>2.63109278678894</v>
      </c>
      <c r="AE183" s="54" t="e">
        <f>FME_Ranking_Option2!$AD183*AD$4</f>
        <v>#REF!</v>
      </c>
      <c r="AF183" s="55">
        <f>FME_Ranking_Option2!$AD183/($AD$3)</f>
        <v>5.9429237132339795E-5</v>
      </c>
      <c r="AG183" s="55" t="e">
        <f>FME_Ranking_Option2!$AF183*AD$4</f>
        <v>#REF!</v>
      </c>
      <c r="AH183" s="53">
        <f>_xlfn.XLOOKUP(FME_Ranking2[[#This Row],[FME ID]],FME_Input[FME_ID],FME_Input[FARMACRE100])</f>
        <v>3.4449305534362789</v>
      </c>
      <c r="AI183" s="54" t="e">
        <f>FME_Ranking_Option2!$AH183*AH$4</f>
        <v>#REF!</v>
      </c>
      <c r="AJ183" s="56">
        <f>FME_Ranking_Option2!$AH183/($AH$3)</f>
        <v>2.0003312972141583E-4</v>
      </c>
      <c r="AK183" s="57" t="e">
        <f>FME_Ranking_Option2!$AJ183*AH$4</f>
        <v>#REF!</v>
      </c>
      <c r="AL183"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83" s="58" t="e">
        <f>_xlfn.RANK.EQ(AL183,$AL$7:$AL$531)+COUNTIF(AL$7:AL183,AL183)-1</f>
        <v>#REF!</v>
      </c>
      <c r="AN183" s="57"/>
      <c r="AO183" s="58" t="e">
        <f>_xlfn.RANK.EQ(AN183,$AN$7:$AN$531)+COUNTIF(AN$7:AN183,AN183)-1</f>
        <v>#N/A</v>
      </c>
      <c r="AP18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83" s="32" t="e">
        <f>FME_Ranking2[[#This Row],[Score Based on Reported Factors]]-FME_Ranking2[[#This Row],[Check]]</f>
        <v>#REF!</v>
      </c>
      <c r="AR183" s="32"/>
      <c r="AT183" s="19"/>
      <c r="AU183" s="19"/>
      <c r="AV183" s="19"/>
      <c r="AW183" s="19"/>
      <c r="AX183" s="19"/>
      <c r="AY183" s="19"/>
      <c r="AZ183" s="19"/>
      <c r="BA183" s="19"/>
      <c r="BB183" s="19"/>
      <c r="BC183" s="19"/>
    </row>
    <row r="184" spans="1:55" ht="12" customHeight="1" x14ac:dyDescent="0.25">
      <c r="A184" s="17" t="s">
        <v>1587</v>
      </c>
      <c r="B184" s="17" t="str">
        <f>_xlfn.XLOOKUP(FME_Ranking2[[#This Row],[FME ID]],FME_Input[FME_ID],FME_Input[FME_NAME])</f>
        <v>City of Hedwig Village  Master Drainage Plan</v>
      </c>
      <c r="C184" s="17" t="str">
        <f>_xlfn.XLOOKUP(FME_Ranking2[[#This Row],[FME ID]],FME_Input[FME_ID],FME_Input[DESCR])</f>
        <v>Study to develop Master Drainage Plan using future and existing land use and flood/storm water drainage needs including Atlas 14 rainfall.</v>
      </c>
      <c r="D184" s="33" t="str">
        <f>_xlfn.XLOOKUP(FME_Ranking2[[#This Row],[FME ID]],FME_Input[FME_ID],FME_Input[EMER_NEED])</f>
        <v>Yes</v>
      </c>
      <c r="E184" s="120">
        <f>IF(FME_Ranking_Option2!$D184="Yes",100,0)</f>
        <v>100</v>
      </c>
      <c r="F184" s="34" t="str">
        <f>_xlfn.XLOOKUP(FME_Ranking2[[#This Row],[FME ID]],FME_Input[FME_ID],FME_Input[FUND])</f>
        <v>Yes</v>
      </c>
      <c r="G184" s="35">
        <f>IF(FME_Ranking_Option2!$F184="Yes",1,0)</f>
        <v>1</v>
      </c>
      <c r="H184" s="33">
        <f>_xlfn.XLOOKUP(FME_Ranking2[[#This Row],[FME ID]],FME_Input[FME_ID],FME_Input[STRUCT_100])</f>
        <v>0</v>
      </c>
      <c r="I184" s="64" t="e">
        <f>FME_Ranking2[[#This Row],[Raw Data3]]*H$4</f>
        <v>#REF!</v>
      </c>
      <c r="J184" s="63">
        <f>((FME_Ranking_Option2!$H184)/($H$3))*100</f>
        <v>0</v>
      </c>
      <c r="K184" s="36" t="e">
        <f>FME_Ranking2[[#This Row],[Norm Data3]]*H$4</f>
        <v>#REF!</v>
      </c>
      <c r="L184" s="37">
        <f>_xlfn.XLOOKUP(FME_Ranking2[[#This Row],[FME ID]],FME_Input[FME_ID],FME_Input[RES_STRUCT100])</f>
        <v>0</v>
      </c>
      <c r="M184" s="38" t="e">
        <f>FME_Ranking2[[#This Row],[Raw Data4]]*L$4</f>
        <v>#REF!</v>
      </c>
      <c r="N184" s="28">
        <f>((FME_Ranking_Option2!$L184)/($L$3))*100</f>
        <v>0</v>
      </c>
      <c r="O184" s="39" t="e">
        <f>FME_Ranking2[[#This Row],[Norm Data4]]*L$4</f>
        <v>#REF!</v>
      </c>
      <c r="P184" s="34">
        <f>_xlfn.XLOOKUP(FME_Ranking2[[#This Row],[FME ID]],FME_Input[FME_ID],FME_Input[POP100])</f>
        <v>0</v>
      </c>
      <c r="Q184" s="35" t="e">
        <f>FME_Ranking_Option2!$P184*P$4</f>
        <v>#REF!</v>
      </c>
      <c r="R184" s="35">
        <f>FME_Ranking_Option2!$P184/($P$3)</f>
        <v>0</v>
      </c>
      <c r="S184" s="35" t="e">
        <f>FME_Ranking_Option2!$R184*P$4</f>
        <v>#REF!</v>
      </c>
      <c r="T184" s="37">
        <f>_xlfn.XLOOKUP(FME_Ranking2[[#This Row],[FME ID]],FME_Input[FME_ID],FME_Input[CRITFAC100])</f>
        <v>0</v>
      </c>
      <c r="U184" s="35" t="e">
        <f>FME_Ranking_Option2!$T184*T$4</f>
        <v>#REF!</v>
      </c>
      <c r="V184" s="35">
        <f>FME_Ranking_Option2!$T184/($T$3)</f>
        <v>0</v>
      </c>
      <c r="W184" s="35" t="e">
        <f>FME_Ranking_Option2!$V184*T$4</f>
        <v>#REF!</v>
      </c>
      <c r="X184" s="37">
        <f>_xlfn.XLOOKUP(FME_Ranking2[[#This Row],[FME ID]],FME_Input[FME_ID],FME_Input[LWC])</f>
        <v>0</v>
      </c>
      <c r="Y184" s="35" t="e">
        <f>FME_Ranking_Option2!$X184*X$4</f>
        <v>#REF!</v>
      </c>
      <c r="Z184" s="35">
        <f>FME_Ranking_Option2!$X184/($X$3)</f>
        <v>0</v>
      </c>
      <c r="AA184" s="35" t="e">
        <f>FME_Ranking_Option2!$Z184*X$4</f>
        <v>#REF!</v>
      </c>
      <c r="AB184" s="37">
        <f>_xlfn.XLOOKUP(FME_Ranking2[[#This Row],[FME ID]],FME_Input[FME_ID],FME_Input[ROADCLS])</f>
        <v>0</v>
      </c>
      <c r="AC184" s="35" t="e">
        <f>FME_Ranking_Option2!$AB184*AB$4</f>
        <v>#REF!</v>
      </c>
      <c r="AD184" s="40">
        <f>_xlfn.XLOOKUP(FME_Ranking2[[#This Row],[FME ID]],FME_Input[FME_ID],FME_Input[ROAD_MILES100])</f>
        <v>0</v>
      </c>
      <c r="AE184" s="41" t="e">
        <f>FME_Ranking_Option2!$AD184*AD$4</f>
        <v>#REF!</v>
      </c>
      <c r="AF184" s="42">
        <f>FME_Ranking_Option2!$AD184/($AD$3)</f>
        <v>0</v>
      </c>
      <c r="AG184" s="42" t="e">
        <f>FME_Ranking_Option2!$AF184*AD$4</f>
        <v>#REF!</v>
      </c>
      <c r="AH184" s="40">
        <f>_xlfn.XLOOKUP(FME_Ranking2[[#This Row],[FME ID]],FME_Input[FME_ID],FME_Input[FARMACRE100])</f>
        <v>0</v>
      </c>
      <c r="AI184" s="43" t="e">
        <f>FME_Ranking_Option2!$AH184*AH$4</f>
        <v>#REF!</v>
      </c>
      <c r="AJ184" s="41">
        <f>FME_Ranking_Option2!$AH184/($AH$3)</f>
        <v>0</v>
      </c>
      <c r="AK184" s="44" t="e">
        <f>FME_Ranking_Option2!$AJ184*AH$4</f>
        <v>#REF!</v>
      </c>
      <c r="AL184"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84" s="45" t="e">
        <f>_xlfn.RANK.EQ(AL184,$AL$7:$AL$531)+COUNTIF(AL$7:AL184,AL184)-1</f>
        <v>#REF!</v>
      </c>
      <c r="AN184" s="44"/>
      <c r="AO184" s="45" t="e">
        <f>_xlfn.RANK.EQ(AN184,$AN$7:$AN$531)+COUNTIF(AN$7:AN184,AN184)-1</f>
        <v>#N/A</v>
      </c>
      <c r="AP18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84" s="32" t="e">
        <f>FME_Ranking2[[#This Row],[Score Based on Reported Factors]]-FME_Ranking2[[#This Row],[Check]]</f>
        <v>#REF!</v>
      </c>
      <c r="AR184" s="32"/>
    </row>
    <row r="185" spans="1:55" ht="12" customHeight="1" x14ac:dyDescent="0.25">
      <c r="A185" s="16" t="s">
        <v>1591</v>
      </c>
      <c r="B185" s="16" t="str">
        <f>_xlfn.XLOOKUP(FME_Ranking2[[#This Row],[FME ID]],FME_Input[FME_ID],FME_Input[FME_NAME])</f>
        <v>City of Hillcrest  Master Drainage Plan</v>
      </c>
      <c r="C185" s="16" t="str">
        <f>_xlfn.XLOOKUP(FME_Ranking2[[#This Row],[FME ID]],FME_Input[FME_ID],FME_Input[DESCR])</f>
        <v>Study to develop Master Drainage Plan using future and existing land use and flood/storm water drainage needs including Atlas 14 rainfall.</v>
      </c>
      <c r="D185" s="46" t="str">
        <f>_xlfn.XLOOKUP(FME_Ranking2[[#This Row],[FME ID]],FME_Input[FME_ID],FME_Input[EMER_NEED])</f>
        <v>Yes</v>
      </c>
      <c r="E185" s="121">
        <f>IF(FME_Ranking_Option2!$D185="Yes",100,0)</f>
        <v>100</v>
      </c>
      <c r="F185" s="47" t="str">
        <f>_xlfn.XLOOKUP(FME_Ranking2[[#This Row],[FME ID]],FME_Input[FME_ID],FME_Input[FUND])</f>
        <v>Yes</v>
      </c>
      <c r="G185" s="48">
        <f>IF(FME_Ranking_Option2!$F185="Yes",1,0)</f>
        <v>1</v>
      </c>
      <c r="H185" s="46">
        <f>_xlfn.XLOOKUP(FME_Ranking2[[#This Row],[FME ID]],FME_Input[FME_ID],FME_Input[STRUCT_100])</f>
        <v>128</v>
      </c>
      <c r="I185" s="65" t="e">
        <f>FME_Ranking2[[#This Row],[Raw Data3]]*H$4</f>
        <v>#REF!</v>
      </c>
      <c r="J185" s="62">
        <f>((FME_Ranking_Option2!$H185)/($H$3))*100</f>
        <v>1.4224292647040847E-2</v>
      </c>
      <c r="K185" s="49" t="e">
        <f>FME_Ranking2[[#This Row],[Norm Data3]]*H$4</f>
        <v>#REF!</v>
      </c>
      <c r="L185" s="50">
        <f>_xlfn.XLOOKUP(FME_Ranking2[[#This Row],[FME ID]],FME_Input[FME_ID],FME_Input[RES_STRUCT100])</f>
        <v>121</v>
      </c>
      <c r="M185" s="51" t="e">
        <f>FME_Ranking2[[#This Row],[Raw Data4]]*L$4</f>
        <v>#REF!</v>
      </c>
      <c r="N185" s="29">
        <f>((FME_Ranking_Option2!$L185)/($L$3))*100</f>
        <v>1.8089860259567069E-2</v>
      </c>
      <c r="O185" s="52" t="e">
        <f>FME_Ranking2[[#This Row],[Norm Data4]]*L$4</f>
        <v>#REF!</v>
      </c>
      <c r="P185" s="47">
        <f>_xlfn.XLOOKUP(FME_Ranking2[[#This Row],[FME ID]],FME_Input[FME_ID],FME_Input[POP100])</f>
        <v>333</v>
      </c>
      <c r="Q185" s="48" t="e">
        <f>FME_Ranking_Option2!$P185*P$4</f>
        <v>#REF!</v>
      </c>
      <c r="R185" s="48">
        <f>FME_Ranking_Option2!$P185/($P$3)</f>
        <v>1.2221807080426832E-4</v>
      </c>
      <c r="S185" s="48" t="e">
        <f>FME_Ranking_Option2!$R185*P$4</f>
        <v>#REF!</v>
      </c>
      <c r="T185" s="50">
        <f>_xlfn.XLOOKUP(FME_Ranking2[[#This Row],[FME ID]],FME_Input[FME_ID],FME_Input[CRITFAC100])</f>
        <v>1</v>
      </c>
      <c r="U185" s="48" t="e">
        <f>FME_Ranking_Option2!$T185*T$4</f>
        <v>#REF!</v>
      </c>
      <c r="V185" s="48">
        <f>FME_Ranking_Option2!$T185/($T$3)</f>
        <v>1.4102383302778171E-4</v>
      </c>
      <c r="W185" s="48" t="e">
        <f>FME_Ranking_Option2!$V185*T$4</f>
        <v>#REF!</v>
      </c>
      <c r="X185" s="50">
        <f>_xlfn.XLOOKUP(FME_Ranking2[[#This Row],[FME ID]],FME_Input[FME_ID],FME_Input[LWC])</f>
        <v>0</v>
      </c>
      <c r="Y185" s="48" t="e">
        <f>FME_Ranking_Option2!$X185*X$4</f>
        <v>#REF!</v>
      </c>
      <c r="Z185" s="48">
        <f>FME_Ranking_Option2!$X185/($X$3)</f>
        <v>0</v>
      </c>
      <c r="AA185" s="48" t="e">
        <f>FME_Ranking_Option2!$Z185*X$4</f>
        <v>#REF!</v>
      </c>
      <c r="AB185" s="50">
        <f>_xlfn.XLOOKUP(FME_Ranking2[[#This Row],[FME ID]],FME_Input[FME_ID],FME_Input[ROADCLS])</f>
        <v>0</v>
      </c>
      <c r="AC185" s="48" t="e">
        <f>FME_Ranking_Option2!$AB185*AB$4</f>
        <v>#REF!</v>
      </c>
      <c r="AD185" s="53">
        <f>_xlfn.XLOOKUP(FME_Ranking2[[#This Row],[FME ID]],FME_Input[FME_ID],FME_Input[ROAD_MILES100])</f>
        <v>2.0717709064483638</v>
      </c>
      <c r="AE185" s="54" t="e">
        <f>FME_Ranking_Option2!$AD185*AD$4</f>
        <v>#REF!</v>
      </c>
      <c r="AF185" s="55">
        <f>FME_Ranking_Option2!$AD185/($AD$3)</f>
        <v>4.6795675584465461E-5</v>
      </c>
      <c r="AG185" s="55" t="e">
        <f>FME_Ranking_Option2!$AF185*AD$4</f>
        <v>#REF!</v>
      </c>
      <c r="AH185" s="53">
        <f>_xlfn.XLOOKUP(FME_Ranking2[[#This Row],[FME ID]],FME_Input[FME_ID],FME_Input[FARMACRE100])</f>
        <v>0.13477444648742681</v>
      </c>
      <c r="AI185" s="54" t="e">
        <f>FME_Ranking_Option2!$AH185*AH$4</f>
        <v>#REF!</v>
      </c>
      <c r="AJ185" s="56">
        <f>FME_Ranking_Option2!$AH185/($AH$3)</f>
        <v>7.8258048802928155E-6</v>
      </c>
      <c r="AK185" s="57" t="e">
        <f>FME_Ranking_Option2!$AJ185*AH$4</f>
        <v>#REF!</v>
      </c>
      <c r="AL185"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85" s="58" t="e">
        <f>_xlfn.RANK.EQ(AL185,$AL$7:$AL$531)+COUNTIF(AL$7:AL185,AL185)-1</f>
        <v>#REF!</v>
      </c>
      <c r="AN185" s="57"/>
      <c r="AO185" s="58" t="e">
        <f>_xlfn.RANK.EQ(AN185,$AN$7:$AN$531)+COUNTIF(AN$7:AN185,AN185)-1</f>
        <v>#N/A</v>
      </c>
      <c r="AP18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85" s="32" t="e">
        <f>FME_Ranking2[[#This Row],[Score Based on Reported Factors]]-FME_Ranking2[[#This Row],[Check]]</f>
        <v>#REF!</v>
      </c>
      <c r="AR185" s="32"/>
      <c r="AT185" s="19"/>
      <c r="AU185" s="19"/>
      <c r="AV185" s="19"/>
      <c r="AW185" s="19"/>
      <c r="AX185" s="19"/>
      <c r="AY185" s="19"/>
      <c r="AZ185" s="19"/>
      <c r="BA185" s="19"/>
      <c r="BB185" s="19"/>
      <c r="BC185" s="19"/>
    </row>
    <row r="186" spans="1:55" ht="12" customHeight="1" x14ac:dyDescent="0.25">
      <c r="A186" s="17" t="s">
        <v>1593</v>
      </c>
      <c r="B186" s="17" t="str">
        <f>_xlfn.XLOOKUP(FME_Ranking2[[#This Row],[FME ID]],FME_Input[FME_ID],FME_Input[FME_NAME])</f>
        <v>City of Hilshire Village  Master Drainage Plan</v>
      </c>
      <c r="C186" s="17" t="str">
        <f>_xlfn.XLOOKUP(FME_Ranking2[[#This Row],[FME ID]],FME_Input[FME_ID],FME_Input[DESCR])</f>
        <v>Study to develop Master Drainage Plan using future and existing land use and flood/storm water drainage needs including Atlas 14 rainfall.</v>
      </c>
      <c r="D186" s="33" t="str">
        <f>_xlfn.XLOOKUP(FME_Ranking2[[#This Row],[FME ID]],FME_Input[FME_ID],FME_Input[EMER_NEED])</f>
        <v>Yes</v>
      </c>
      <c r="E186" s="120">
        <f>IF(FME_Ranking_Option2!$D186="Yes",100,0)</f>
        <v>100</v>
      </c>
      <c r="F186" s="34" t="str">
        <f>_xlfn.XLOOKUP(FME_Ranking2[[#This Row],[FME ID]],FME_Input[FME_ID],FME_Input[FUND])</f>
        <v>Yes</v>
      </c>
      <c r="G186" s="35">
        <f>IF(FME_Ranking_Option2!$F186="Yes",1,0)</f>
        <v>1</v>
      </c>
      <c r="H186" s="33">
        <f>_xlfn.XLOOKUP(FME_Ranking2[[#This Row],[FME ID]],FME_Input[FME_ID],FME_Input[STRUCT_100])</f>
        <v>1</v>
      </c>
      <c r="I186" s="64" t="e">
        <f>FME_Ranking2[[#This Row],[Raw Data3]]*H$4</f>
        <v>#REF!</v>
      </c>
      <c r="J186" s="63">
        <f>((FME_Ranking_Option2!$H186)/($H$3))*100</f>
        <v>1.1112728630500662E-4</v>
      </c>
      <c r="K186" s="36" t="e">
        <f>FME_Ranking2[[#This Row],[Norm Data3]]*H$4</f>
        <v>#REF!</v>
      </c>
      <c r="L186" s="37">
        <f>_xlfn.XLOOKUP(FME_Ranking2[[#This Row],[FME ID]],FME_Input[FME_ID],FME_Input[RES_STRUCT100])</f>
        <v>1</v>
      </c>
      <c r="M186" s="38" t="e">
        <f>FME_Ranking2[[#This Row],[Raw Data4]]*L$4</f>
        <v>#REF!</v>
      </c>
      <c r="N186" s="28">
        <f>((FME_Ranking_Option2!$L186)/($L$3))*100</f>
        <v>1.4950297735179396E-4</v>
      </c>
      <c r="O186" s="39" t="e">
        <f>FME_Ranking2[[#This Row],[Norm Data4]]*L$4</f>
        <v>#REF!</v>
      </c>
      <c r="P186" s="34">
        <f>_xlfn.XLOOKUP(FME_Ranking2[[#This Row],[FME ID]],FME_Input[FME_ID],FME_Input[POP100])</f>
        <v>3</v>
      </c>
      <c r="Q186" s="35" t="e">
        <f>FME_Ranking_Option2!$P186*P$4</f>
        <v>#REF!</v>
      </c>
      <c r="R186" s="35">
        <f>FME_Ranking_Option2!$P186/($P$3)</f>
        <v>1.1010637009393542E-6</v>
      </c>
      <c r="S186" s="35" t="e">
        <f>FME_Ranking_Option2!$R186*P$4</f>
        <v>#REF!</v>
      </c>
      <c r="T186" s="37">
        <f>_xlfn.XLOOKUP(FME_Ranking2[[#This Row],[FME ID]],FME_Input[FME_ID],FME_Input[CRITFAC100])</f>
        <v>0</v>
      </c>
      <c r="U186" s="35" t="e">
        <f>FME_Ranking_Option2!$T186*T$4</f>
        <v>#REF!</v>
      </c>
      <c r="V186" s="35">
        <f>FME_Ranking_Option2!$T186/($T$3)</f>
        <v>0</v>
      </c>
      <c r="W186" s="35" t="e">
        <f>FME_Ranking_Option2!$V186*T$4</f>
        <v>#REF!</v>
      </c>
      <c r="X186" s="37">
        <f>_xlfn.XLOOKUP(FME_Ranking2[[#This Row],[FME ID]],FME_Input[FME_ID],FME_Input[LWC])</f>
        <v>0</v>
      </c>
      <c r="Y186" s="35" t="e">
        <f>FME_Ranking_Option2!$X186*X$4</f>
        <v>#REF!</v>
      </c>
      <c r="Z186" s="35">
        <f>FME_Ranking_Option2!$X186/($X$3)</f>
        <v>0</v>
      </c>
      <c r="AA186" s="35" t="e">
        <f>FME_Ranking_Option2!$Z186*X$4</f>
        <v>#REF!</v>
      </c>
      <c r="AB186" s="37">
        <f>_xlfn.XLOOKUP(FME_Ranking2[[#This Row],[FME ID]],FME_Input[FME_ID],FME_Input[ROADCLS])</f>
        <v>0</v>
      </c>
      <c r="AC186" s="35" t="e">
        <f>FME_Ranking_Option2!$AB186*AB$4</f>
        <v>#REF!</v>
      </c>
      <c r="AD186" s="40">
        <f>_xlfn.XLOOKUP(FME_Ranking2[[#This Row],[FME ID]],FME_Input[FME_ID],FME_Input[ROAD_MILES100])</f>
        <v>6.7805200815200806E-3</v>
      </c>
      <c r="AE186" s="41" t="e">
        <f>FME_Ranking_Option2!$AD186*AD$4</f>
        <v>#REF!</v>
      </c>
      <c r="AF186" s="42">
        <f>FME_Ranking_Option2!$AD186/($AD$3)</f>
        <v>1.5315352534451437E-7</v>
      </c>
      <c r="AG186" s="42" t="e">
        <f>FME_Ranking_Option2!$AF186*AD$4</f>
        <v>#REF!</v>
      </c>
      <c r="AH186" s="40">
        <f>_xlfn.XLOOKUP(FME_Ranking2[[#This Row],[FME ID]],FME_Input[FME_ID],FME_Input[FARMACRE100])</f>
        <v>0</v>
      </c>
      <c r="AI186" s="43" t="e">
        <f>FME_Ranking_Option2!$AH186*AH$4</f>
        <v>#REF!</v>
      </c>
      <c r="AJ186" s="41">
        <f>FME_Ranking_Option2!$AH186/($AH$3)</f>
        <v>0</v>
      </c>
      <c r="AK186" s="44" t="e">
        <f>FME_Ranking_Option2!$AJ186*AH$4</f>
        <v>#REF!</v>
      </c>
      <c r="AL186"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86" s="45" t="e">
        <f>_xlfn.RANK.EQ(AL186,$AL$7:$AL$531)+COUNTIF(AL$7:AL186,AL186)-1</f>
        <v>#REF!</v>
      </c>
      <c r="AN186" s="44"/>
      <c r="AO186" s="45" t="e">
        <f>_xlfn.RANK.EQ(AN186,$AN$7:$AN$531)+COUNTIF(AN$7:AN186,AN186)-1</f>
        <v>#N/A</v>
      </c>
      <c r="AP18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86" s="32" t="e">
        <f>FME_Ranking2[[#This Row],[Score Based on Reported Factors]]-FME_Ranking2[[#This Row],[Check]]</f>
        <v>#REF!</v>
      </c>
      <c r="AR186" s="32"/>
    </row>
    <row r="187" spans="1:55" ht="12" customHeight="1" x14ac:dyDescent="0.25">
      <c r="A187" s="16" t="s">
        <v>1596</v>
      </c>
      <c r="B187" s="16" t="str">
        <f>_xlfn.XLOOKUP(FME_Ranking2[[#This Row],[FME ID]],FME_Input[FME_ID],FME_Input[FME_NAME])</f>
        <v>City of Hitchcock Master Drainage Plan</v>
      </c>
      <c r="C187" s="16" t="str">
        <f>_xlfn.XLOOKUP(FME_Ranking2[[#This Row],[FME ID]],FME_Input[FME_ID],FME_Input[DESCR])</f>
        <v>Study to develop Master Drainage Plan using future and existing land use and flood/storm water drainage needs including Atlas 14 rainfall.</v>
      </c>
      <c r="D187" s="46" t="str">
        <f>_xlfn.XLOOKUP(FME_Ranking2[[#This Row],[FME ID]],FME_Input[FME_ID],FME_Input[EMER_NEED])</f>
        <v>Yes</v>
      </c>
      <c r="E187" s="121">
        <f>IF(FME_Ranking_Option2!$D187="Yes",100,0)</f>
        <v>100</v>
      </c>
      <c r="F187" s="47" t="str">
        <f>_xlfn.XLOOKUP(FME_Ranking2[[#This Row],[FME ID]],FME_Input[FME_ID],FME_Input[FUND])</f>
        <v>Yes</v>
      </c>
      <c r="G187" s="48">
        <f>IF(FME_Ranking_Option2!$F187="Yes",1,0)</f>
        <v>1</v>
      </c>
      <c r="H187" s="46">
        <f>_xlfn.XLOOKUP(FME_Ranking2[[#This Row],[FME ID]],FME_Input[FME_ID],FME_Input[STRUCT_100])</f>
        <v>2655</v>
      </c>
      <c r="I187" s="65" t="e">
        <f>FME_Ranking2[[#This Row],[Raw Data3]]*H$4</f>
        <v>#REF!</v>
      </c>
      <c r="J187" s="62">
        <f>((FME_Ranking_Option2!$H187)/($H$3))*100</f>
        <v>0.29504294513979257</v>
      </c>
      <c r="K187" s="49" t="e">
        <f>FME_Ranking2[[#This Row],[Norm Data3]]*H$4</f>
        <v>#REF!</v>
      </c>
      <c r="L187" s="50">
        <f>_xlfn.XLOOKUP(FME_Ranking2[[#This Row],[FME ID]],FME_Input[FME_ID],FME_Input[RES_STRUCT100])</f>
        <v>2270</v>
      </c>
      <c r="M187" s="51" t="e">
        <f>FME_Ranking2[[#This Row],[Raw Data4]]*L$4</f>
        <v>#REF!</v>
      </c>
      <c r="N187" s="29">
        <f>((FME_Ranking_Option2!$L187)/($L$3))*100</f>
        <v>0.33937175858857227</v>
      </c>
      <c r="O187" s="52" t="e">
        <f>FME_Ranking2[[#This Row],[Norm Data4]]*L$4</f>
        <v>#REF!</v>
      </c>
      <c r="P187" s="47">
        <f>_xlfn.XLOOKUP(FME_Ranking2[[#This Row],[FME ID]],FME_Input[FME_ID],FME_Input[POP100])</f>
        <v>6415</v>
      </c>
      <c r="Q187" s="48" t="e">
        <f>FME_Ranking_Option2!$P187*P$4</f>
        <v>#REF!</v>
      </c>
      <c r="R187" s="48">
        <f>FME_Ranking_Option2!$P187/($P$3)</f>
        <v>2.3544412138419854E-3</v>
      </c>
      <c r="S187" s="48" t="e">
        <f>FME_Ranking_Option2!$R187*P$4</f>
        <v>#REF!</v>
      </c>
      <c r="T187" s="50">
        <f>_xlfn.XLOOKUP(FME_Ranking2[[#This Row],[FME ID]],FME_Input[FME_ID],FME_Input[CRITFAC100])</f>
        <v>12</v>
      </c>
      <c r="U187" s="48" t="e">
        <f>FME_Ranking_Option2!$T187*T$4</f>
        <v>#REF!</v>
      </c>
      <c r="V187" s="48">
        <f>FME_Ranking_Option2!$T187/($T$3)</f>
        <v>1.6922859963333804E-3</v>
      </c>
      <c r="W187" s="48" t="e">
        <f>FME_Ranking_Option2!$V187*T$4</f>
        <v>#REF!</v>
      </c>
      <c r="X187" s="50">
        <f>_xlfn.XLOOKUP(FME_Ranking2[[#This Row],[FME ID]],FME_Input[FME_ID],FME_Input[LWC])</f>
        <v>0</v>
      </c>
      <c r="Y187" s="48" t="e">
        <f>FME_Ranking_Option2!$X187*X$4</f>
        <v>#REF!</v>
      </c>
      <c r="Z187" s="48">
        <f>FME_Ranking_Option2!$X187/($X$3)</f>
        <v>0</v>
      </c>
      <c r="AA187" s="48" t="e">
        <f>FME_Ranking_Option2!$Z187*X$4</f>
        <v>#REF!</v>
      </c>
      <c r="AB187" s="50">
        <f>_xlfn.XLOOKUP(FME_Ranking2[[#This Row],[FME ID]],FME_Input[FME_ID],FME_Input[ROADCLS])</f>
        <v>0</v>
      </c>
      <c r="AC187" s="48" t="e">
        <f>FME_Ranking_Option2!$AB187*AB$4</f>
        <v>#REF!</v>
      </c>
      <c r="AD187" s="53">
        <f>_xlfn.XLOOKUP(FME_Ranking2[[#This Row],[FME ID]],FME_Input[FME_ID],FME_Input[ROAD_MILES100])</f>
        <v>72.513603210449219</v>
      </c>
      <c r="AE187" s="54" t="e">
        <f>FME_Ranking_Option2!$AD187*AD$4</f>
        <v>#REF!</v>
      </c>
      <c r="AF187" s="55">
        <f>FME_Ranking_Option2!$AD187/($AD$3)</f>
        <v>1.6378852703912167E-3</v>
      </c>
      <c r="AG187" s="55" t="e">
        <f>FME_Ranking_Option2!$AF187*AD$4</f>
        <v>#REF!</v>
      </c>
      <c r="AH187" s="53">
        <f>_xlfn.XLOOKUP(FME_Ranking2[[#This Row],[FME ID]],FME_Input[FME_ID],FME_Input[FARMACRE100])</f>
        <v>884.1700439453125</v>
      </c>
      <c r="AI187" s="54" t="e">
        <f>FME_Ranking_Option2!$AH187*AH$4</f>
        <v>#REF!</v>
      </c>
      <c r="AJ187" s="56">
        <f>FME_Ranking_Option2!$AH187/($AH$3)</f>
        <v>5.1340164439565697E-2</v>
      </c>
      <c r="AK187" s="57" t="e">
        <f>FME_Ranking_Option2!$AJ187*AH$4</f>
        <v>#REF!</v>
      </c>
      <c r="AL187"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87" s="58" t="e">
        <f>_xlfn.RANK.EQ(AL187,$AL$7:$AL$531)+COUNTIF(AL$7:AL187,AL187)-1</f>
        <v>#REF!</v>
      </c>
      <c r="AN187" s="57"/>
      <c r="AO187" s="58" t="e">
        <f>_xlfn.RANK.EQ(AN187,$AN$7:$AN$531)+COUNTIF(AN$7:AN187,AN187)-1</f>
        <v>#N/A</v>
      </c>
      <c r="AP18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87" s="32" t="e">
        <f>FME_Ranking2[[#This Row],[Score Based on Reported Factors]]-FME_Ranking2[[#This Row],[Check]]</f>
        <v>#REF!</v>
      </c>
      <c r="AR187" s="32"/>
      <c r="AT187" s="19"/>
      <c r="AU187" s="19"/>
      <c r="AV187" s="19"/>
      <c r="AW187" s="19"/>
      <c r="AX187" s="19"/>
      <c r="AY187" s="19"/>
      <c r="AZ187" s="19"/>
      <c r="BA187" s="19"/>
      <c r="BB187" s="19"/>
      <c r="BC187" s="19"/>
    </row>
    <row r="188" spans="1:55" ht="12" customHeight="1" x14ac:dyDescent="0.25">
      <c r="A188" s="17" t="s">
        <v>1600</v>
      </c>
      <c r="B188" s="17" t="str">
        <f>_xlfn.XLOOKUP(FME_Ranking2[[#This Row],[FME ID]],FME_Input[FME_ID],FME_Input[FME_NAME])</f>
        <v>City of Humble  Master Drainage Plan</v>
      </c>
      <c r="C188" s="17" t="str">
        <f>_xlfn.XLOOKUP(FME_Ranking2[[#This Row],[FME ID]],FME_Input[FME_ID],FME_Input[DESCR])</f>
        <v>Study to develop Master Drainage Plan using future and existing land use and flood/storm water drainage needs including Atlas 14 rainfall.</v>
      </c>
      <c r="D188" s="33" t="str">
        <f>_xlfn.XLOOKUP(FME_Ranking2[[#This Row],[FME ID]],FME_Input[FME_ID],FME_Input[EMER_NEED])</f>
        <v>Yes</v>
      </c>
      <c r="E188" s="120">
        <f>IF(FME_Ranking_Option2!$D188="Yes",100,0)</f>
        <v>100</v>
      </c>
      <c r="F188" s="34" t="str">
        <f>_xlfn.XLOOKUP(FME_Ranking2[[#This Row],[FME ID]],FME_Input[FME_ID],FME_Input[FUND])</f>
        <v>Yes</v>
      </c>
      <c r="G188" s="35">
        <f>IF(FME_Ranking_Option2!$F188="Yes",1,0)</f>
        <v>1</v>
      </c>
      <c r="H188" s="33">
        <f>_xlfn.XLOOKUP(FME_Ranking2[[#This Row],[FME ID]],FME_Input[FME_ID],FME_Input[STRUCT_100])</f>
        <v>652</v>
      </c>
      <c r="I188" s="64" t="e">
        <f>FME_Ranking2[[#This Row],[Raw Data3]]*H$4</f>
        <v>#REF!</v>
      </c>
      <c r="J188" s="63">
        <f>((FME_Ranking_Option2!$H188)/($H$3))*100</f>
        <v>7.2454990670864319E-2</v>
      </c>
      <c r="K188" s="36" t="e">
        <f>FME_Ranking2[[#This Row],[Norm Data3]]*H$4</f>
        <v>#REF!</v>
      </c>
      <c r="L188" s="37">
        <f>_xlfn.XLOOKUP(FME_Ranking2[[#This Row],[FME ID]],FME_Input[FME_ID],FME_Input[RES_STRUCT100])</f>
        <v>489</v>
      </c>
      <c r="M188" s="38" t="e">
        <f>FME_Ranking2[[#This Row],[Raw Data4]]*L$4</f>
        <v>#REF!</v>
      </c>
      <c r="N188" s="28">
        <f>((FME_Ranking_Option2!$L188)/($L$3))*100</f>
        <v>7.310695592502725E-2</v>
      </c>
      <c r="O188" s="39" t="e">
        <f>FME_Ranking2[[#This Row],[Norm Data4]]*L$4</f>
        <v>#REF!</v>
      </c>
      <c r="P188" s="34">
        <f>_xlfn.XLOOKUP(FME_Ranking2[[#This Row],[FME ID]],FME_Input[FME_ID],FME_Input[POP100])</f>
        <v>4566</v>
      </c>
      <c r="Q188" s="35" t="e">
        <f>FME_Ranking_Option2!$P188*P$4</f>
        <v>#REF!</v>
      </c>
      <c r="R188" s="35">
        <f>FME_Ranking_Option2!$P188/($P$3)</f>
        <v>1.675818952829697E-3</v>
      </c>
      <c r="S188" s="35" t="e">
        <f>FME_Ranking_Option2!$R188*P$4</f>
        <v>#REF!</v>
      </c>
      <c r="T188" s="37">
        <f>_xlfn.XLOOKUP(FME_Ranking2[[#This Row],[FME ID]],FME_Input[FME_ID],FME_Input[CRITFAC100])</f>
        <v>5</v>
      </c>
      <c r="U188" s="35" t="e">
        <f>FME_Ranking_Option2!$T188*T$4</f>
        <v>#REF!</v>
      </c>
      <c r="V188" s="35">
        <f>FME_Ranking_Option2!$T188/($T$3)</f>
        <v>7.0511916513890844E-4</v>
      </c>
      <c r="W188" s="35" t="e">
        <f>FME_Ranking_Option2!$V188*T$4</f>
        <v>#REF!</v>
      </c>
      <c r="X188" s="37">
        <f>_xlfn.XLOOKUP(FME_Ranking2[[#This Row],[FME ID]],FME_Input[FME_ID],FME_Input[LWC])</f>
        <v>1</v>
      </c>
      <c r="Y188" s="35" t="e">
        <f>FME_Ranking_Option2!$X188*X$4</f>
        <v>#REF!</v>
      </c>
      <c r="Z188" s="35">
        <f>FME_Ranking_Option2!$X188/($X$3)</f>
        <v>9.1224229155263632E-5</v>
      </c>
      <c r="AA188" s="35" t="e">
        <f>FME_Ranking_Option2!$Z188*X$4</f>
        <v>#REF!</v>
      </c>
      <c r="AB188" s="37">
        <f>_xlfn.XLOOKUP(FME_Ranking2[[#This Row],[FME ID]],FME_Input[FME_ID],FME_Input[ROADCLS])</f>
        <v>1</v>
      </c>
      <c r="AC188" s="35" t="e">
        <f>FME_Ranking_Option2!$AB188*AB$4</f>
        <v>#REF!</v>
      </c>
      <c r="AD188" s="40">
        <f>_xlfn.XLOOKUP(FME_Ranking2[[#This Row],[FME ID]],FME_Input[FME_ID],FME_Input[ROAD_MILES100])</f>
        <v>16.950300216674801</v>
      </c>
      <c r="AE188" s="41" t="e">
        <f>FME_Ranking_Option2!$AD188*AD$4</f>
        <v>#REF!</v>
      </c>
      <c r="AF188" s="42">
        <f>FME_Ranking_Option2!$AD188/($AD$3)</f>
        <v>3.8286122636918015E-4</v>
      </c>
      <c r="AG188" s="42" t="e">
        <f>FME_Ranking_Option2!$AF188*AD$4</f>
        <v>#REF!</v>
      </c>
      <c r="AH188" s="40">
        <f>_xlfn.XLOOKUP(FME_Ranking2[[#This Row],[FME ID]],FME_Input[FME_ID],FME_Input[FARMACRE100])</f>
        <v>25.1372184753418</v>
      </c>
      <c r="AI188" s="43" t="e">
        <f>FME_Ranking_Option2!$AH188*AH$4</f>
        <v>#REF!</v>
      </c>
      <c r="AJ188" s="41">
        <f>FME_Ranking_Option2!$AH188/($AH$3)</f>
        <v>1.4596162117398762E-3</v>
      </c>
      <c r="AK188" s="44" t="e">
        <f>FME_Ranking_Option2!$AJ188*AH$4</f>
        <v>#REF!</v>
      </c>
      <c r="AL18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88" s="45" t="e">
        <f>_xlfn.RANK.EQ(AL188,$AL$7:$AL$531)+COUNTIF(AL$7:AL188,AL188)-1</f>
        <v>#REF!</v>
      </c>
      <c r="AN188" s="44"/>
      <c r="AO188" s="45" t="e">
        <f>_xlfn.RANK.EQ(AN188,$AN$7:$AN$531)+COUNTIF(AN$7:AN188,AN188)-1</f>
        <v>#N/A</v>
      </c>
      <c r="AP18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88" s="32" t="e">
        <f>FME_Ranking2[[#This Row],[Score Based on Reported Factors]]-FME_Ranking2[[#This Row],[Check]]</f>
        <v>#REF!</v>
      </c>
      <c r="AR188" s="32"/>
    </row>
    <row r="189" spans="1:55" ht="12" customHeight="1" x14ac:dyDescent="0.25">
      <c r="A189" s="16" t="s">
        <v>1607</v>
      </c>
      <c r="B189" s="16" t="str">
        <f>_xlfn.XLOOKUP(FME_Ranking2[[#This Row],[FME ID]],FME_Input[FME_ID],FME_Input[FME_NAME])</f>
        <v>City of Hunters Creek Village  Master Drainage Plan</v>
      </c>
      <c r="C189" s="16" t="str">
        <f>_xlfn.XLOOKUP(FME_Ranking2[[#This Row],[FME ID]],FME_Input[FME_ID],FME_Input[DESCR])</f>
        <v>Study to develop Master Drainage Plan using future and existing land use and flood/storm water drainage needs including Atlas 14 rainfall.</v>
      </c>
      <c r="D189" s="46" t="str">
        <f>_xlfn.XLOOKUP(FME_Ranking2[[#This Row],[FME ID]],FME_Input[FME_ID],FME_Input[EMER_NEED])</f>
        <v>Yes</v>
      </c>
      <c r="E189" s="121">
        <f>IF(FME_Ranking_Option2!$D189="Yes",100,0)</f>
        <v>100</v>
      </c>
      <c r="F189" s="47" t="str">
        <f>_xlfn.XLOOKUP(FME_Ranking2[[#This Row],[FME ID]],FME_Input[FME_ID],FME_Input[FUND])</f>
        <v>Yes</v>
      </c>
      <c r="G189" s="48">
        <f>IF(FME_Ranking_Option2!$F189="Yes",1,0)</f>
        <v>1</v>
      </c>
      <c r="H189" s="46">
        <f>_xlfn.XLOOKUP(FME_Ranking2[[#This Row],[FME ID]],FME_Input[FME_ID],FME_Input[STRUCT_100])</f>
        <v>108</v>
      </c>
      <c r="I189" s="65" t="e">
        <f>FME_Ranking2[[#This Row],[Raw Data3]]*H$4</f>
        <v>#REF!</v>
      </c>
      <c r="J189" s="62">
        <f>((FME_Ranking_Option2!$H189)/($H$3))*100</f>
        <v>1.2001746920940713E-2</v>
      </c>
      <c r="K189" s="49" t="e">
        <f>FME_Ranking2[[#This Row],[Norm Data3]]*H$4</f>
        <v>#REF!</v>
      </c>
      <c r="L189" s="50">
        <f>_xlfn.XLOOKUP(FME_Ranking2[[#This Row],[FME ID]],FME_Input[FME_ID],FME_Input[RES_STRUCT100])</f>
        <v>103</v>
      </c>
      <c r="M189" s="51" t="e">
        <f>FME_Ranking2[[#This Row],[Raw Data4]]*L$4</f>
        <v>#REF!</v>
      </c>
      <c r="N189" s="29">
        <f>((FME_Ranking_Option2!$L189)/($L$3))*100</f>
        <v>1.5398806667234777E-2</v>
      </c>
      <c r="O189" s="52" t="e">
        <f>FME_Ranking2[[#This Row],[Norm Data4]]*L$4</f>
        <v>#REF!</v>
      </c>
      <c r="P189" s="47">
        <f>_xlfn.XLOOKUP(FME_Ranking2[[#This Row],[FME ID]],FME_Input[FME_ID],FME_Input[POP100])</f>
        <v>369</v>
      </c>
      <c r="Q189" s="48" t="e">
        <f>FME_Ranking_Option2!$P189*P$4</f>
        <v>#REF!</v>
      </c>
      <c r="R189" s="48">
        <f>FME_Ranking_Option2!$P189/($P$3)</f>
        <v>1.3543083521554055E-4</v>
      </c>
      <c r="S189" s="48" t="e">
        <f>FME_Ranking_Option2!$R189*P$4</f>
        <v>#REF!</v>
      </c>
      <c r="T189" s="50">
        <f>_xlfn.XLOOKUP(FME_Ranking2[[#This Row],[FME ID]],FME_Input[FME_ID],FME_Input[CRITFAC100])</f>
        <v>1</v>
      </c>
      <c r="U189" s="48" t="e">
        <f>FME_Ranking_Option2!$T189*T$4</f>
        <v>#REF!</v>
      </c>
      <c r="V189" s="48">
        <f>FME_Ranking_Option2!$T189/($T$3)</f>
        <v>1.4102383302778171E-4</v>
      </c>
      <c r="W189" s="48" t="e">
        <f>FME_Ranking_Option2!$V189*T$4</f>
        <v>#REF!</v>
      </c>
      <c r="X189" s="50">
        <f>_xlfn.XLOOKUP(FME_Ranking2[[#This Row],[FME ID]],FME_Input[FME_ID],FME_Input[LWC])</f>
        <v>0</v>
      </c>
      <c r="Y189" s="48" t="e">
        <f>FME_Ranking_Option2!$X189*X$4</f>
        <v>#REF!</v>
      </c>
      <c r="Z189" s="48">
        <f>FME_Ranking_Option2!$X189/($X$3)</f>
        <v>0</v>
      </c>
      <c r="AA189" s="48" t="e">
        <f>FME_Ranking_Option2!$Z189*X$4</f>
        <v>#REF!</v>
      </c>
      <c r="AB189" s="50">
        <f>_xlfn.XLOOKUP(FME_Ranking2[[#This Row],[FME ID]],FME_Input[FME_ID],FME_Input[ROADCLS])</f>
        <v>0</v>
      </c>
      <c r="AC189" s="48" t="e">
        <f>FME_Ranking_Option2!$AB189*AB$4</f>
        <v>#REF!</v>
      </c>
      <c r="AD189" s="53">
        <f>_xlfn.XLOOKUP(FME_Ranking2[[#This Row],[FME ID]],FME_Input[FME_ID],FME_Input[ROAD_MILES100])</f>
        <v>1.162753224372864</v>
      </c>
      <c r="AE189" s="54" t="e">
        <f>FME_Ranking_Option2!$AD189*AD$4</f>
        <v>#REF!</v>
      </c>
      <c r="AF189" s="55">
        <f>FME_Ranking_Option2!$AD189/($AD$3)</f>
        <v>2.6263436031072514E-5</v>
      </c>
      <c r="AG189" s="55" t="e">
        <f>FME_Ranking_Option2!$AF189*AD$4</f>
        <v>#REF!</v>
      </c>
      <c r="AH189" s="53">
        <f>_xlfn.XLOOKUP(FME_Ranking2[[#This Row],[FME ID]],FME_Input[FME_ID],FME_Input[FARMACRE100])</f>
        <v>0</v>
      </c>
      <c r="AI189" s="54" t="e">
        <f>FME_Ranking_Option2!$AH189*AH$4</f>
        <v>#REF!</v>
      </c>
      <c r="AJ189" s="56">
        <f>FME_Ranking_Option2!$AH189/($AH$3)</f>
        <v>0</v>
      </c>
      <c r="AK189" s="57" t="e">
        <f>FME_Ranking_Option2!$AJ189*AH$4</f>
        <v>#REF!</v>
      </c>
      <c r="AL18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89" s="58" t="e">
        <f>_xlfn.RANK.EQ(AL189,$AL$7:$AL$531)+COUNTIF(AL$7:AL189,AL189)-1</f>
        <v>#REF!</v>
      </c>
      <c r="AN189" s="57"/>
      <c r="AO189" s="58" t="e">
        <f>_xlfn.RANK.EQ(AN189,$AN$7:$AN$531)+COUNTIF(AN$7:AN189,AN189)-1</f>
        <v>#N/A</v>
      </c>
      <c r="AP18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89" s="32" t="e">
        <f>FME_Ranking2[[#This Row],[Score Based on Reported Factors]]-FME_Ranking2[[#This Row],[Check]]</f>
        <v>#REF!</v>
      </c>
      <c r="AR189" s="32"/>
      <c r="AT189" s="19"/>
      <c r="AU189" s="19"/>
      <c r="AV189" s="19"/>
      <c r="AW189" s="19"/>
      <c r="AX189" s="19"/>
      <c r="AY189" s="19"/>
      <c r="AZ189" s="19"/>
      <c r="BA189" s="19"/>
      <c r="BB189" s="19"/>
      <c r="BC189" s="19"/>
    </row>
    <row r="190" spans="1:55" ht="12" customHeight="1" x14ac:dyDescent="0.25">
      <c r="A190" s="17" t="s">
        <v>1611</v>
      </c>
      <c r="B190" s="17" t="str">
        <f>_xlfn.XLOOKUP(FME_Ranking2[[#This Row],[FME ID]],FME_Input[FME_ID],FME_Input[FME_NAME])</f>
        <v>City of Huntsville Master Drainage Plan</v>
      </c>
      <c r="C190" s="17" t="str">
        <f>_xlfn.XLOOKUP(FME_Ranking2[[#This Row],[FME ID]],FME_Input[FME_ID],FME_Input[DESCR])</f>
        <v>Study to develop Master Drainage Plan using future and existing land use and flood/storm water drainage needs including Atlas 14 rainfall.</v>
      </c>
      <c r="D190" s="33" t="str">
        <f>_xlfn.XLOOKUP(FME_Ranking2[[#This Row],[FME ID]],FME_Input[FME_ID],FME_Input[EMER_NEED])</f>
        <v>Yes</v>
      </c>
      <c r="E190" s="120">
        <f>IF(FME_Ranking_Option2!$D190="Yes",100,0)</f>
        <v>100</v>
      </c>
      <c r="F190" s="34" t="str">
        <f>_xlfn.XLOOKUP(FME_Ranking2[[#This Row],[FME ID]],FME_Input[FME_ID],FME_Input[FUND])</f>
        <v>Yes</v>
      </c>
      <c r="G190" s="35">
        <f>IF(FME_Ranking_Option2!$F190="Yes",1,0)</f>
        <v>1</v>
      </c>
      <c r="H190" s="33">
        <f>_xlfn.XLOOKUP(FME_Ranking2[[#This Row],[FME ID]],FME_Input[FME_ID],FME_Input[STRUCT_100])</f>
        <v>114</v>
      </c>
      <c r="I190" s="64" t="e">
        <f>FME_Ranking2[[#This Row],[Raw Data3]]*H$4</f>
        <v>#REF!</v>
      </c>
      <c r="J190" s="63">
        <f>((FME_Ranking_Option2!$H190)/($H$3))*100</f>
        <v>1.2668510638770752E-2</v>
      </c>
      <c r="K190" s="36" t="e">
        <f>FME_Ranking2[[#This Row],[Norm Data3]]*H$4</f>
        <v>#REF!</v>
      </c>
      <c r="L190" s="37">
        <f>_xlfn.XLOOKUP(FME_Ranking2[[#This Row],[FME ID]],FME_Input[FME_ID],FME_Input[RES_STRUCT100])</f>
        <v>96</v>
      </c>
      <c r="M190" s="38" t="e">
        <f>FME_Ranking2[[#This Row],[Raw Data4]]*L$4</f>
        <v>#REF!</v>
      </c>
      <c r="N190" s="28">
        <f>((FME_Ranking_Option2!$L190)/($L$3))*100</f>
        <v>1.4352285825772221E-2</v>
      </c>
      <c r="O190" s="39" t="e">
        <f>FME_Ranking2[[#This Row],[Norm Data4]]*L$4</f>
        <v>#REF!</v>
      </c>
      <c r="P190" s="34">
        <f>_xlfn.XLOOKUP(FME_Ranking2[[#This Row],[FME ID]],FME_Input[FME_ID],FME_Input[POP100])</f>
        <v>349</v>
      </c>
      <c r="Q190" s="35" t="e">
        <f>FME_Ranking_Option2!$P190*P$4</f>
        <v>#REF!</v>
      </c>
      <c r="R190" s="35">
        <f>FME_Ranking_Option2!$P190/($P$3)</f>
        <v>1.2809041054261155E-4</v>
      </c>
      <c r="S190" s="35" t="e">
        <f>FME_Ranking_Option2!$R190*P$4</f>
        <v>#REF!</v>
      </c>
      <c r="T190" s="37">
        <f>_xlfn.XLOOKUP(FME_Ranking2[[#This Row],[FME ID]],FME_Input[FME_ID],FME_Input[CRITFAC100])</f>
        <v>1</v>
      </c>
      <c r="U190" s="35" t="e">
        <f>FME_Ranking_Option2!$T190*T$4</f>
        <v>#REF!</v>
      </c>
      <c r="V190" s="35">
        <f>FME_Ranking_Option2!$T190/($T$3)</f>
        <v>1.4102383302778171E-4</v>
      </c>
      <c r="W190" s="35" t="e">
        <f>FME_Ranking_Option2!$V190*T$4</f>
        <v>#REF!</v>
      </c>
      <c r="X190" s="37">
        <f>_xlfn.XLOOKUP(FME_Ranking2[[#This Row],[FME ID]],FME_Input[FME_ID],FME_Input[LWC])</f>
        <v>1</v>
      </c>
      <c r="Y190" s="35" t="e">
        <f>FME_Ranking_Option2!$X190*X$4</f>
        <v>#REF!</v>
      </c>
      <c r="Z190" s="35">
        <f>FME_Ranking_Option2!$X190/($X$3)</f>
        <v>9.1224229155263632E-5</v>
      </c>
      <c r="AA190" s="35" t="e">
        <f>FME_Ranking_Option2!$Z190*X$4</f>
        <v>#REF!</v>
      </c>
      <c r="AB190" s="37">
        <f>_xlfn.XLOOKUP(FME_Ranking2[[#This Row],[FME ID]],FME_Input[FME_ID],FME_Input[ROADCLS])</f>
        <v>1</v>
      </c>
      <c r="AC190" s="35" t="e">
        <f>FME_Ranking_Option2!$AB190*AB$4</f>
        <v>#REF!</v>
      </c>
      <c r="AD190" s="40">
        <f>_xlfn.XLOOKUP(FME_Ranking2[[#This Row],[FME ID]],FME_Input[FME_ID],FME_Input[ROAD_MILES100])</f>
        <v>2.6969342231750488</v>
      </c>
      <c r="AE190" s="41" t="e">
        <f>FME_Ranking_Option2!$AD190*AD$4</f>
        <v>#REF!</v>
      </c>
      <c r="AF190" s="42">
        <f>FME_Ranking_Option2!$AD190/($AD$3)</f>
        <v>6.0916416283060422E-5</v>
      </c>
      <c r="AG190" s="42" t="e">
        <f>FME_Ranking_Option2!$AF190*AD$4</f>
        <v>#REF!</v>
      </c>
      <c r="AH190" s="40">
        <f>_xlfn.XLOOKUP(FME_Ranking2[[#This Row],[FME ID]],FME_Input[FME_ID],FME_Input[FARMACRE100])</f>
        <v>9.2615861892700195</v>
      </c>
      <c r="AI190" s="43" t="e">
        <f>FME_Ranking_Option2!$AH190*AH$4</f>
        <v>#REF!</v>
      </c>
      <c r="AJ190" s="41">
        <f>FME_Ranking_Option2!$AH190/($AH$3)</f>
        <v>5.3778270501747896E-4</v>
      </c>
      <c r="AK190" s="44" t="e">
        <f>FME_Ranking_Option2!$AJ190*AH$4</f>
        <v>#REF!</v>
      </c>
      <c r="AL19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90" s="45" t="e">
        <f>_xlfn.RANK.EQ(AL190,$AL$7:$AL$531)+COUNTIF(AL$7:AL190,AL190)-1</f>
        <v>#REF!</v>
      </c>
      <c r="AN190" s="44"/>
      <c r="AO190" s="45" t="e">
        <f>_xlfn.RANK.EQ(AN190,$AN$7:$AN$531)+COUNTIF(AN$7:AN190,AN190)-1</f>
        <v>#N/A</v>
      </c>
      <c r="AP19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90" s="32" t="e">
        <f>FME_Ranking2[[#This Row],[Score Based on Reported Factors]]-FME_Ranking2[[#This Row],[Check]]</f>
        <v>#REF!</v>
      </c>
      <c r="AR190" s="32"/>
    </row>
    <row r="191" spans="1:55" ht="12" customHeight="1" x14ac:dyDescent="0.25">
      <c r="A191" s="16" t="s">
        <v>1618</v>
      </c>
      <c r="B191" s="16" t="str">
        <f>_xlfn.XLOOKUP(FME_Ranking2[[#This Row],[FME ID]],FME_Input[FME_ID],FME_Input[FME_NAME])</f>
        <v>City of Iowa Colony Master Drainage Plan</v>
      </c>
      <c r="C191" s="16" t="str">
        <f>_xlfn.XLOOKUP(FME_Ranking2[[#This Row],[FME ID]],FME_Input[FME_ID],FME_Input[DESCR])</f>
        <v>Study to develop Master Drainage Plan using future and existing land use and flood/storm water drainage needs including Atlas 14 rainfall.</v>
      </c>
      <c r="D191" s="46" t="str">
        <f>_xlfn.XLOOKUP(FME_Ranking2[[#This Row],[FME ID]],FME_Input[FME_ID],FME_Input[EMER_NEED])</f>
        <v>Yes</v>
      </c>
      <c r="E191" s="121">
        <f>IF(FME_Ranking_Option2!$D191="Yes",100,0)</f>
        <v>100</v>
      </c>
      <c r="F191" s="47" t="str">
        <f>_xlfn.XLOOKUP(FME_Ranking2[[#This Row],[FME ID]],FME_Input[FME_ID],FME_Input[FUND])</f>
        <v>Yes</v>
      </c>
      <c r="G191" s="48">
        <f>IF(FME_Ranking_Option2!$F191="Yes",1,0)</f>
        <v>1</v>
      </c>
      <c r="H191" s="46">
        <f>_xlfn.XLOOKUP(FME_Ranking2[[#This Row],[FME ID]],FME_Input[FME_ID],FME_Input[STRUCT_100])</f>
        <v>1162</v>
      </c>
      <c r="I191" s="65" t="e">
        <f>FME_Ranking2[[#This Row],[Raw Data3]]*H$4</f>
        <v>#REF!</v>
      </c>
      <c r="J191" s="62">
        <f>((FME_Ranking_Option2!$H191)/($H$3))*100</f>
        <v>0.12912990668641769</v>
      </c>
      <c r="K191" s="49" t="e">
        <f>FME_Ranking2[[#This Row],[Norm Data3]]*H$4</f>
        <v>#REF!</v>
      </c>
      <c r="L191" s="50">
        <f>_xlfn.XLOOKUP(FME_Ranking2[[#This Row],[FME ID]],FME_Input[FME_ID],FME_Input[RES_STRUCT100])</f>
        <v>1030</v>
      </c>
      <c r="M191" s="51" t="e">
        <f>FME_Ranking2[[#This Row],[Raw Data4]]*L$4</f>
        <v>#REF!</v>
      </c>
      <c r="N191" s="29">
        <f>((FME_Ranking_Option2!$L191)/($L$3))*100</f>
        <v>0.1539880666723478</v>
      </c>
      <c r="O191" s="52" t="e">
        <f>FME_Ranking2[[#This Row],[Norm Data4]]*L$4</f>
        <v>#REF!</v>
      </c>
      <c r="P191" s="47">
        <f>_xlfn.XLOOKUP(FME_Ranking2[[#This Row],[FME ID]],FME_Input[FME_ID],FME_Input[POP100])</f>
        <v>1448</v>
      </c>
      <c r="Q191" s="48" t="e">
        <f>FME_Ranking_Option2!$P191*P$4</f>
        <v>#REF!</v>
      </c>
      <c r="R191" s="48">
        <f>FME_Ranking_Option2!$P191/($P$3)</f>
        <v>5.3144674632006161E-4</v>
      </c>
      <c r="S191" s="48" t="e">
        <f>FME_Ranking_Option2!$R191*P$4</f>
        <v>#REF!</v>
      </c>
      <c r="T191" s="50">
        <f>_xlfn.XLOOKUP(FME_Ranking2[[#This Row],[FME ID]],FME_Input[FME_ID],FME_Input[CRITFAC100])</f>
        <v>1</v>
      </c>
      <c r="U191" s="48" t="e">
        <f>FME_Ranking_Option2!$T191*T$4</f>
        <v>#REF!</v>
      </c>
      <c r="V191" s="48">
        <f>FME_Ranking_Option2!$T191/($T$3)</f>
        <v>1.4102383302778171E-4</v>
      </c>
      <c r="W191" s="48" t="e">
        <f>FME_Ranking_Option2!$V191*T$4</f>
        <v>#REF!</v>
      </c>
      <c r="X191" s="50">
        <f>_xlfn.XLOOKUP(FME_Ranking2[[#This Row],[FME ID]],FME_Input[FME_ID],FME_Input[LWC])</f>
        <v>0</v>
      </c>
      <c r="Y191" s="48" t="e">
        <f>FME_Ranking_Option2!$X191*X$4</f>
        <v>#REF!</v>
      </c>
      <c r="Z191" s="48">
        <f>FME_Ranking_Option2!$X191/($X$3)</f>
        <v>0</v>
      </c>
      <c r="AA191" s="48" t="e">
        <f>FME_Ranking_Option2!$Z191*X$4</f>
        <v>#REF!</v>
      </c>
      <c r="AB191" s="50">
        <f>_xlfn.XLOOKUP(FME_Ranking2[[#This Row],[FME ID]],FME_Input[FME_ID],FME_Input[ROADCLS])</f>
        <v>0</v>
      </c>
      <c r="AC191" s="48" t="e">
        <f>FME_Ranking_Option2!$AB191*AB$4</f>
        <v>#REF!</v>
      </c>
      <c r="AD191" s="53">
        <f>_xlfn.XLOOKUP(FME_Ranking2[[#This Row],[FME ID]],FME_Input[FME_ID],FME_Input[ROAD_MILES100])</f>
        <v>28.462604522705082</v>
      </c>
      <c r="AE191" s="54" t="e">
        <f>FME_Ranking_Option2!$AD191*AD$4</f>
        <v>#REF!</v>
      </c>
      <c r="AF191" s="55">
        <f>FME_Ranking_Option2!$AD191/($AD$3)</f>
        <v>6.4289290065220966E-4</v>
      </c>
      <c r="AG191" s="55" t="e">
        <f>FME_Ranking_Option2!$AF191*AD$4</f>
        <v>#REF!</v>
      </c>
      <c r="AH191" s="53">
        <f>_xlfn.XLOOKUP(FME_Ranking2[[#This Row],[FME ID]],FME_Input[FME_ID],FME_Input[FARMACRE100])</f>
        <v>338.52609252929688</v>
      </c>
      <c r="AI191" s="54" t="e">
        <f>FME_Ranking_Option2!$AH191*AH$4</f>
        <v>#REF!</v>
      </c>
      <c r="AJ191" s="56">
        <f>FME_Ranking_Option2!$AH191/($AH$3)</f>
        <v>1.965683566928526E-2</v>
      </c>
      <c r="AK191" s="57" t="e">
        <f>FME_Ranking_Option2!$AJ191*AH$4</f>
        <v>#REF!</v>
      </c>
      <c r="AL19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91" s="58" t="e">
        <f>_xlfn.RANK.EQ(AL191,$AL$7:$AL$531)+COUNTIF(AL$7:AL191,AL191)-1</f>
        <v>#REF!</v>
      </c>
      <c r="AN191" s="57"/>
      <c r="AO191" s="58" t="e">
        <f>_xlfn.RANK.EQ(AN191,$AN$7:$AN$531)+COUNTIF(AN$7:AN191,AN191)-1</f>
        <v>#N/A</v>
      </c>
      <c r="AP19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91" s="32" t="e">
        <f>FME_Ranking2[[#This Row],[Score Based on Reported Factors]]-FME_Ranking2[[#This Row],[Check]]</f>
        <v>#REF!</v>
      </c>
      <c r="AR191" s="32"/>
      <c r="AT191" s="19"/>
      <c r="AU191" s="19"/>
      <c r="AV191" s="19"/>
      <c r="AW191" s="19"/>
      <c r="AX191" s="19"/>
      <c r="AY191" s="19"/>
      <c r="AZ191" s="19"/>
      <c r="BA191" s="19"/>
      <c r="BB191" s="19"/>
      <c r="BC191" s="19"/>
    </row>
    <row r="192" spans="1:55" ht="12" customHeight="1" x14ac:dyDescent="0.25">
      <c r="A192" s="17" t="s">
        <v>1622</v>
      </c>
      <c r="B192" s="17" t="str">
        <f>_xlfn.XLOOKUP(FME_Ranking2[[#This Row],[FME ID]],FME_Input[FME_ID],FME_Input[FME_NAME])</f>
        <v>City of Jacinto City Master Drainage Plan</v>
      </c>
      <c r="C192" s="17" t="str">
        <f>_xlfn.XLOOKUP(FME_Ranking2[[#This Row],[FME ID]],FME_Input[FME_ID],FME_Input[DESCR])</f>
        <v>Study to develop Master Drainage Plan using future and existing land use and flood/storm water drainage needs including Atlas 14 rainfall.</v>
      </c>
      <c r="D192" s="33" t="str">
        <f>_xlfn.XLOOKUP(FME_Ranking2[[#This Row],[FME ID]],FME_Input[FME_ID],FME_Input[EMER_NEED])</f>
        <v>No</v>
      </c>
      <c r="E192" s="120">
        <f>IF(FME_Ranking_Option2!$D192="Yes",100,0)</f>
        <v>0</v>
      </c>
      <c r="F192" s="34" t="str">
        <f>_xlfn.XLOOKUP(FME_Ranking2[[#This Row],[FME ID]],FME_Input[FME_ID],FME_Input[FUND])</f>
        <v>Yes</v>
      </c>
      <c r="G192" s="35">
        <f>IF(FME_Ranking_Option2!$F192="Yes",1,0)</f>
        <v>1</v>
      </c>
      <c r="H192" s="33">
        <f>_xlfn.XLOOKUP(FME_Ranking2[[#This Row],[FME ID]],FME_Input[FME_ID],FME_Input[STRUCT_100])</f>
        <v>10</v>
      </c>
      <c r="I192" s="64" t="e">
        <f>FME_Ranking2[[#This Row],[Raw Data3]]*H$4</f>
        <v>#REF!</v>
      </c>
      <c r="J192" s="63">
        <f>((FME_Ranking_Option2!$H192)/($H$3))*100</f>
        <v>1.111272863050066E-3</v>
      </c>
      <c r="K192" s="36" t="e">
        <f>FME_Ranking2[[#This Row],[Norm Data3]]*H$4</f>
        <v>#REF!</v>
      </c>
      <c r="L192" s="37">
        <f>_xlfn.XLOOKUP(FME_Ranking2[[#This Row],[FME ID]],FME_Input[FME_ID],FME_Input[RES_STRUCT100])</f>
        <v>5</v>
      </c>
      <c r="M192" s="38" t="e">
        <f>FME_Ranking2[[#This Row],[Raw Data4]]*L$4</f>
        <v>#REF!</v>
      </c>
      <c r="N192" s="28">
        <f>((FME_Ranking_Option2!$L192)/($L$3))*100</f>
        <v>7.4751488675896976E-4</v>
      </c>
      <c r="O192" s="39" t="e">
        <f>FME_Ranking2[[#This Row],[Norm Data4]]*L$4</f>
        <v>#REF!</v>
      </c>
      <c r="P192" s="34">
        <f>_xlfn.XLOOKUP(FME_Ranking2[[#This Row],[FME ID]],FME_Input[FME_ID],FME_Input[POP100])</f>
        <v>41</v>
      </c>
      <c r="Q192" s="35" t="e">
        <f>FME_Ranking_Option2!$P192*P$4</f>
        <v>#REF!</v>
      </c>
      <c r="R192" s="35">
        <f>FME_Ranking_Option2!$P192/($P$3)</f>
        <v>1.5047870579504506E-5</v>
      </c>
      <c r="S192" s="35" t="e">
        <f>FME_Ranking_Option2!$R192*P$4</f>
        <v>#REF!</v>
      </c>
      <c r="T192" s="37">
        <f>_xlfn.XLOOKUP(FME_Ranking2[[#This Row],[FME ID]],FME_Input[FME_ID],FME_Input[CRITFAC100])</f>
        <v>0</v>
      </c>
      <c r="U192" s="35" t="e">
        <f>FME_Ranking_Option2!$T192*T$4</f>
        <v>#REF!</v>
      </c>
      <c r="V192" s="35">
        <f>FME_Ranking_Option2!$T192/($T$3)</f>
        <v>0</v>
      </c>
      <c r="W192" s="35" t="e">
        <f>FME_Ranking_Option2!$V192*T$4</f>
        <v>#REF!</v>
      </c>
      <c r="X192" s="37">
        <f>_xlfn.XLOOKUP(FME_Ranking2[[#This Row],[FME ID]],FME_Input[FME_ID],FME_Input[LWC])</f>
        <v>0</v>
      </c>
      <c r="Y192" s="35" t="e">
        <f>FME_Ranking_Option2!$X192*X$4</f>
        <v>#REF!</v>
      </c>
      <c r="Z192" s="35">
        <f>FME_Ranking_Option2!$X192/($X$3)</f>
        <v>0</v>
      </c>
      <c r="AA192" s="35" t="e">
        <f>FME_Ranking_Option2!$Z192*X$4</f>
        <v>#REF!</v>
      </c>
      <c r="AB192" s="37">
        <f>_xlfn.XLOOKUP(FME_Ranking2[[#This Row],[FME ID]],FME_Input[FME_ID],FME_Input[ROADCLS])</f>
        <v>0</v>
      </c>
      <c r="AC192" s="35" t="e">
        <f>FME_Ranking_Option2!$AB192*AB$4</f>
        <v>#REF!</v>
      </c>
      <c r="AD192" s="40">
        <f>_xlfn.XLOOKUP(FME_Ranking2[[#This Row],[FME ID]],FME_Input[FME_ID],FME_Input[ROAD_MILES100])</f>
        <v>0.13381420075893399</v>
      </c>
      <c r="AE192" s="41" t="e">
        <f>FME_Ranking_Option2!$AD192*AD$4</f>
        <v>#REF!</v>
      </c>
      <c r="AF192" s="42">
        <f>FME_Ranking_Option2!$AD192/($AD$3)</f>
        <v>3.0224992096468929E-6</v>
      </c>
      <c r="AG192" s="42" t="e">
        <f>FME_Ranking_Option2!$AF192*AD$4</f>
        <v>#REF!</v>
      </c>
      <c r="AH192" s="40">
        <f>_xlfn.XLOOKUP(FME_Ranking2[[#This Row],[FME ID]],FME_Input[FME_ID],FME_Input[FARMACRE100])</f>
        <v>0</v>
      </c>
      <c r="AI192" s="43" t="e">
        <f>FME_Ranking_Option2!$AH192*AH$4</f>
        <v>#REF!</v>
      </c>
      <c r="AJ192" s="41">
        <f>FME_Ranking_Option2!$AH192/($AH$3)</f>
        <v>0</v>
      </c>
      <c r="AK192" s="44" t="e">
        <f>FME_Ranking_Option2!$AJ192*AH$4</f>
        <v>#REF!</v>
      </c>
      <c r="AL192"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92" s="45" t="e">
        <f>_xlfn.RANK.EQ(AL192,$AL$7:$AL$531)+COUNTIF(AL$7:AL192,AL192)-1</f>
        <v>#REF!</v>
      </c>
      <c r="AN192" s="44"/>
      <c r="AO192" s="45" t="e">
        <f>_xlfn.RANK.EQ(AN192,$AN$7:$AN$531)+COUNTIF(AN$7:AN192,AN192)-1</f>
        <v>#N/A</v>
      </c>
      <c r="AP19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92" s="32" t="e">
        <f>FME_Ranking2[[#This Row],[Score Based on Reported Factors]]-FME_Ranking2[[#This Row],[Check]]</f>
        <v>#REF!</v>
      </c>
      <c r="AR192" s="32"/>
    </row>
    <row r="193" spans="1:55" ht="12" customHeight="1" x14ac:dyDescent="0.25">
      <c r="A193" s="16" t="s">
        <v>1628</v>
      </c>
      <c r="B193" s="16" t="str">
        <f>_xlfn.XLOOKUP(FME_Ranking2[[#This Row],[FME ID]],FME_Input[FME_ID],FME_Input[FME_NAME])</f>
        <v>City of Jamaica Beach Master Drainage Plan</v>
      </c>
      <c r="C193" s="16" t="str">
        <f>_xlfn.XLOOKUP(FME_Ranking2[[#This Row],[FME ID]],FME_Input[FME_ID],FME_Input[DESCR])</f>
        <v>Study to develop Master Drainage Plan using future and existing land use and flood/storm water drainage needs including Atlas 14 rainfall.</v>
      </c>
      <c r="D193" s="46" t="str">
        <f>_xlfn.XLOOKUP(FME_Ranking2[[#This Row],[FME ID]],FME_Input[FME_ID],FME_Input[EMER_NEED])</f>
        <v>No</v>
      </c>
      <c r="E193" s="121">
        <f>IF(FME_Ranking_Option2!$D193="Yes",100,0)</f>
        <v>0</v>
      </c>
      <c r="F193" s="47" t="str">
        <f>_xlfn.XLOOKUP(FME_Ranking2[[#This Row],[FME ID]],FME_Input[FME_ID],FME_Input[FUND])</f>
        <v>Yes</v>
      </c>
      <c r="G193" s="48">
        <f>IF(FME_Ranking_Option2!$F193="Yes",1,0)</f>
        <v>1</v>
      </c>
      <c r="H193" s="46">
        <f>_xlfn.XLOOKUP(FME_Ranking2[[#This Row],[FME ID]],FME_Input[FME_ID],FME_Input[STRUCT_100])</f>
        <v>1276</v>
      </c>
      <c r="I193" s="65" t="e">
        <f>FME_Ranking2[[#This Row],[Raw Data3]]*H$4</f>
        <v>#REF!</v>
      </c>
      <c r="J193" s="62">
        <f>((FME_Ranking_Option2!$H193)/($H$3))*100</f>
        <v>0.14179841732518844</v>
      </c>
      <c r="K193" s="49" t="e">
        <f>FME_Ranking2[[#This Row],[Norm Data3]]*H$4</f>
        <v>#REF!</v>
      </c>
      <c r="L193" s="50">
        <f>_xlfn.XLOOKUP(FME_Ranking2[[#This Row],[FME ID]],FME_Input[FME_ID],FME_Input[RES_STRUCT100])</f>
        <v>1238</v>
      </c>
      <c r="M193" s="51" t="e">
        <f>FME_Ranking2[[#This Row],[Raw Data4]]*L$4</f>
        <v>#REF!</v>
      </c>
      <c r="N193" s="29">
        <f>((FME_Ranking_Option2!$L193)/($L$3))*100</f>
        <v>0.18508468596152092</v>
      </c>
      <c r="O193" s="52" t="e">
        <f>FME_Ranking2[[#This Row],[Norm Data4]]*L$4</f>
        <v>#REF!</v>
      </c>
      <c r="P193" s="47">
        <f>_xlfn.XLOOKUP(FME_Ranking2[[#This Row],[FME ID]],FME_Input[FME_ID],FME_Input[POP100])</f>
        <v>395</v>
      </c>
      <c r="Q193" s="48" t="e">
        <f>FME_Ranking_Option2!$P193*P$4</f>
        <v>#REF!</v>
      </c>
      <c r="R193" s="48">
        <f>FME_Ranking_Option2!$P193/($P$3)</f>
        <v>1.4497338729034829E-4</v>
      </c>
      <c r="S193" s="48" t="e">
        <f>FME_Ranking_Option2!$R193*P$4</f>
        <v>#REF!</v>
      </c>
      <c r="T193" s="50">
        <f>_xlfn.XLOOKUP(FME_Ranking2[[#This Row],[FME ID]],FME_Input[FME_ID],FME_Input[CRITFAC100])</f>
        <v>4</v>
      </c>
      <c r="U193" s="48" t="e">
        <f>FME_Ranking_Option2!$T193*T$4</f>
        <v>#REF!</v>
      </c>
      <c r="V193" s="48">
        <f>FME_Ranking_Option2!$T193/($T$3)</f>
        <v>5.6409533211112682E-4</v>
      </c>
      <c r="W193" s="48" t="e">
        <f>FME_Ranking_Option2!$V193*T$4</f>
        <v>#REF!</v>
      </c>
      <c r="X193" s="50">
        <f>_xlfn.XLOOKUP(FME_Ranking2[[#This Row],[FME ID]],FME_Input[FME_ID],FME_Input[LWC])</f>
        <v>0</v>
      </c>
      <c r="Y193" s="48" t="e">
        <f>FME_Ranking_Option2!$X193*X$4</f>
        <v>#REF!</v>
      </c>
      <c r="Z193" s="48">
        <f>FME_Ranking_Option2!$X193/($X$3)</f>
        <v>0</v>
      </c>
      <c r="AA193" s="48" t="e">
        <f>FME_Ranking_Option2!$Z193*X$4</f>
        <v>#REF!</v>
      </c>
      <c r="AB193" s="50">
        <f>_xlfn.XLOOKUP(FME_Ranking2[[#This Row],[FME ID]],FME_Input[FME_ID],FME_Input[ROADCLS])</f>
        <v>0</v>
      </c>
      <c r="AC193" s="48" t="e">
        <f>FME_Ranking_Option2!$AB193*AB$4</f>
        <v>#REF!</v>
      </c>
      <c r="AD193" s="53">
        <f>_xlfn.XLOOKUP(FME_Ranking2[[#This Row],[FME ID]],FME_Input[FME_ID],FME_Input[ROAD_MILES100])</f>
        <v>13.807454109191889</v>
      </c>
      <c r="AE193" s="54" t="e">
        <f>FME_Ranking_Option2!$AD193*AD$4</f>
        <v>#REF!</v>
      </c>
      <c r="AF193" s="55">
        <f>FME_Ranking_Option2!$AD193/($AD$3)</f>
        <v>3.1187287220322884E-4</v>
      </c>
      <c r="AG193" s="55" t="e">
        <f>FME_Ranking_Option2!$AF193*AD$4</f>
        <v>#REF!</v>
      </c>
      <c r="AH193" s="53">
        <f>_xlfn.XLOOKUP(FME_Ranking2[[#This Row],[FME ID]],FME_Input[FME_ID],FME_Input[FARMACRE100])</f>
        <v>2.8237185478210449</v>
      </c>
      <c r="AI193" s="54" t="e">
        <f>FME_Ranking_Option2!$AH193*AH$4</f>
        <v>#REF!</v>
      </c>
      <c r="AJ193" s="56">
        <f>FME_Ranking_Option2!$AH193/($AH$3)</f>
        <v>1.6396187087418533E-4</v>
      </c>
      <c r="AK193" s="57" t="e">
        <f>FME_Ranking_Option2!$AJ193*AH$4</f>
        <v>#REF!</v>
      </c>
      <c r="AL193"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93" s="58" t="e">
        <f>_xlfn.RANK.EQ(AL193,$AL$7:$AL$531)+COUNTIF(AL$7:AL193,AL193)-1</f>
        <v>#REF!</v>
      </c>
      <c r="AN193" s="57"/>
      <c r="AO193" s="58" t="e">
        <f>_xlfn.RANK.EQ(AN193,$AN$7:$AN$531)+COUNTIF(AN$7:AN193,AN193)-1</f>
        <v>#N/A</v>
      </c>
      <c r="AP19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93" s="32" t="e">
        <f>FME_Ranking2[[#This Row],[Score Based on Reported Factors]]-FME_Ranking2[[#This Row],[Check]]</f>
        <v>#REF!</v>
      </c>
      <c r="AR193" s="32"/>
      <c r="AT193" s="19"/>
      <c r="AU193" s="19"/>
      <c r="AV193" s="19"/>
      <c r="AW193" s="19"/>
      <c r="AX193" s="19"/>
      <c r="AY193" s="19"/>
      <c r="AZ193" s="19"/>
      <c r="BA193" s="19"/>
      <c r="BB193" s="19"/>
      <c r="BC193" s="19"/>
    </row>
    <row r="194" spans="1:55" ht="12" customHeight="1" x14ac:dyDescent="0.25">
      <c r="A194" s="17" t="s">
        <v>1630</v>
      </c>
      <c r="B194" s="17" t="e">
        <f>_xlfn.XLOOKUP(FME_Ranking2[[#This Row],[FME ID]],FME_Input[FME_ID],FME_Input[FME_NAME])</f>
        <v>#N/A</v>
      </c>
      <c r="C194" s="17" t="e">
        <f>_xlfn.XLOOKUP(FME_Ranking2[[#This Row],[FME ID]],FME_Input[FME_ID],FME_Input[DESCR])</f>
        <v>#N/A</v>
      </c>
      <c r="D194" s="33" t="e">
        <f>_xlfn.XLOOKUP(FME_Ranking2[[#This Row],[FME ID]],FME_Input[FME_ID],FME_Input[EMER_NEED])</f>
        <v>#N/A</v>
      </c>
      <c r="E194" s="120" t="e">
        <f>IF(FME_Ranking_Option2!$D194="Yes",100,0)</f>
        <v>#N/A</v>
      </c>
      <c r="F194" s="34" t="e">
        <f>_xlfn.XLOOKUP(FME_Ranking2[[#This Row],[FME ID]],FME_Input[FME_ID],FME_Input[FUND])</f>
        <v>#N/A</v>
      </c>
      <c r="G194" s="35" t="e">
        <f>IF(FME_Ranking_Option2!$F194="Yes",1,0)</f>
        <v>#N/A</v>
      </c>
      <c r="H194" s="33" t="e">
        <f>_xlfn.XLOOKUP(FME_Ranking2[[#This Row],[FME ID]],FME_Input[FME_ID],FME_Input[STRUCT_100])</f>
        <v>#N/A</v>
      </c>
      <c r="I194" s="64" t="e">
        <f>FME_Ranking2[[#This Row],[Raw Data3]]*H$4</f>
        <v>#N/A</v>
      </c>
      <c r="J194" s="63" t="e">
        <f>((FME_Ranking_Option2!$H194)/($H$3))*100</f>
        <v>#N/A</v>
      </c>
      <c r="K194" s="36" t="e">
        <f>FME_Ranking2[[#This Row],[Norm Data3]]*H$4</f>
        <v>#N/A</v>
      </c>
      <c r="L194" s="37" t="e">
        <f>_xlfn.XLOOKUP(FME_Ranking2[[#This Row],[FME ID]],FME_Input[FME_ID],FME_Input[RES_STRUCT100])</f>
        <v>#N/A</v>
      </c>
      <c r="M194" s="38" t="e">
        <f>FME_Ranking2[[#This Row],[Raw Data4]]*L$4</f>
        <v>#N/A</v>
      </c>
      <c r="N194" s="28" t="e">
        <f>((FME_Ranking_Option2!$L194)/($L$3))*100</f>
        <v>#N/A</v>
      </c>
      <c r="O194" s="39" t="e">
        <f>FME_Ranking2[[#This Row],[Norm Data4]]*L$4</f>
        <v>#N/A</v>
      </c>
      <c r="P194" s="34" t="e">
        <f>_xlfn.XLOOKUP(FME_Ranking2[[#This Row],[FME ID]],FME_Input[FME_ID],FME_Input[POP100])</f>
        <v>#N/A</v>
      </c>
      <c r="Q194" s="35" t="e">
        <f>FME_Ranking_Option2!$P194*P$4</f>
        <v>#N/A</v>
      </c>
      <c r="R194" s="35" t="e">
        <f>FME_Ranking_Option2!$P194/($P$3)</f>
        <v>#N/A</v>
      </c>
      <c r="S194" s="35" t="e">
        <f>FME_Ranking_Option2!$R194*P$4</f>
        <v>#N/A</v>
      </c>
      <c r="T194" s="37" t="e">
        <f>_xlfn.XLOOKUP(FME_Ranking2[[#This Row],[FME ID]],FME_Input[FME_ID],FME_Input[CRITFAC100])</f>
        <v>#N/A</v>
      </c>
      <c r="U194" s="35" t="e">
        <f>FME_Ranking_Option2!$T194*T$4</f>
        <v>#N/A</v>
      </c>
      <c r="V194" s="35" t="e">
        <f>FME_Ranking_Option2!$T194/($T$3)</f>
        <v>#N/A</v>
      </c>
      <c r="W194" s="35" t="e">
        <f>FME_Ranking_Option2!$V194*T$4</f>
        <v>#N/A</v>
      </c>
      <c r="X194" s="37" t="e">
        <f>_xlfn.XLOOKUP(FME_Ranking2[[#This Row],[FME ID]],FME_Input[FME_ID],FME_Input[LWC])</f>
        <v>#N/A</v>
      </c>
      <c r="Y194" s="35" t="e">
        <f>FME_Ranking_Option2!$X194*X$4</f>
        <v>#N/A</v>
      </c>
      <c r="Z194" s="35" t="e">
        <f>FME_Ranking_Option2!$X194/($X$3)</f>
        <v>#N/A</v>
      </c>
      <c r="AA194" s="35" t="e">
        <f>FME_Ranking_Option2!$Z194*X$4</f>
        <v>#N/A</v>
      </c>
      <c r="AB194" s="37" t="e">
        <f>_xlfn.XLOOKUP(FME_Ranking2[[#This Row],[FME ID]],FME_Input[FME_ID],FME_Input[ROADCLS])</f>
        <v>#N/A</v>
      </c>
      <c r="AC194" s="35" t="e">
        <f>FME_Ranking_Option2!$AB194*AB$4</f>
        <v>#N/A</v>
      </c>
      <c r="AD194" s="40" t="e">
        <f>_xlfn.XLOOKUP(FME_Ranking2[[#This Row],[FME ID]],FME_Input[FME_ID],FME_Input[ROAD_MILES100])</f>
        <v>#N/A</v>
      </c>
      <c r="AE194" s="41" t="e">
        <f>FME_Ranking_Option2!$AD194*AD$4</f>
        <v>#N/A</v>
      </c>
      <c r="AF194" s="42" t="e">
        <f>FME_Ranking_Option2!$AD194/($AD$3)</f>
        <v>#N/A</v>
      </c>
      <c r="AG194" s="42" t="e">
        <f>FME_Ranking_Option2!$AF194*AD$4</f>
        <v>#N/A</v>
      </c>
      <c r="AH194" s="40" t="e">
        <f>_xlfn.XLOOKUP(FME_Ranking2[[#This Row],[FME ID]],FME_Input[FME_ID],FME_Input[FARMACRE100])</f>
        <v>#N/A</v>
      </c>
      <c r="AI194" s="43" t="e">
        <f>FME_Ranking_Option2!$AH194*AH$4</f>
        <v>#N/A</v>
      </c>
      <c r="AJ194" s="41" t="e">
        <f>FME_Ranking_Option2!$AH194/($AH$3)</f>
        <v>#N/A</v>
      </c>
      <c r="AK194" s="44" t="e">
        <f>FME_Ranking_Option2!$AJ194*AH$4</f>
        <v>#N/A</v>
      </c>
      <c r="AL194"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#N/A</v>
      </c>
      <c r="AM194" s="45" t="e">
        <f>_xlfn.RANK.EQ(AL194,$AL$7:$AL$531)+COUNTIF(AL$7:AL194,AL194)-1</f>
        <v>#N/A</v>
      </c>
      <c r="AN194" s="44"/>
      <c r="AO194" s="45" t="e">
        <f>_xlfn.RANK.EQ(AN194,$AN$7:$AN$531)+COUNTIF(AN$7:AN194,AN194)-1</f>
        <v>#N/A</v>
      </c>
      <c r="AP19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#N/A</v>
      </c>
      <c r="AQ194" s="32" t="e">
        <f>FME_Ranking2[[#This Row],[Score Based on Reported Factors]]-FME_Ranking2[[#This Row],[Check]]</f>
        <v>#N/A</v>
      </c>
      <c r="AR194" s="32"/>
    </row>
    <row r="195" spans="1:55" ht="12" customHeight="1" x14ac:dyDescent="0.25">
      <c r="A195" s="16" t="s">
        <v>1631</v>
      </c>
      <c r="B195" s="16" t="str">
        <f>_xlfn.XLOOKUP(FME_Ranking2[[#This Row],[FME ID]],FME_Input[FME_ID],FME_Input[FME_NAME])</f>
        <v>City of Katy Master Drainage Plan</v>
      </c>
      <c r="C195" s="16" t="str">
        <f>_xlfn.XLOOKUP(FME_Ranking2[[#This Row],[FME ID]],FME_Input[FME_ID],FME_Input[DESCR])</f>
        <v>Study to develop Master Drainage Plan using future and existing land use and flood/storm water drainage needs including Atlas 14 rainfall.</v>
      </c>
      <c r="D195" s="46" t="str">
        <f>_xlfn.XLOOKUP(FME_Ranking2[[#This Row],[FME ID]],FME_Input[FME_ID],FME_Input[EMER_NEED])</f>
        <v>Yes</v>
      </c>
      <c r="E195" s="121">
        <f>IF(FME_Ranking_Option2!$D195="Yes",100,0)</f>
        <v>100</v>
      </c>
      <c r="F195" s="47" t="str">
        <f>_xlfn.XLOOKUP(FME_Ranking2[[#This Row],[FME ID]],FME_Input[FME_ID],FME_Input[FUND])</f>
        <v>Yes</v>
      </c>
      <c r="G195" s="48">
        <f>IF(FME_Ranking_Option2!$F195="Yes",1,0)</f>
        <v>1</v>
      </c>
      <c r="H195" s="46">
        <f>_xlfn.XLOOKUP(FME_Ranking2[[#This Row],[FME ID]],FME_Input[FME_ID],FME_Input[STRUCT_100])</f>
        <v>546</v>
      </c>
      <c r="I195" s="65" t="e">
        <f>FME_Ranking2[[#This Row],[Raw Data3]]*H$4</f>
        <v>#REF!</v>
      </c>
      <c r="J195" s="62">
        <f>((FME_Ranking_Option2!$H195)/($H$3))*100</f>
        <v>6.0675498322533612E-2</v>
      </c>
      <c r="K195" s="49" t="e">
        <f>FME_Ranking2[[#This Row],[Norm Data3]]*H$4</f>
        <v>#REF!</v>
      </c>
      <c r="L195" s="50">
        <f>_xlfn.XLOOKUP(FME_Ranking2[[#This Row],[FME ID]],FME_Input[FME_ID],FME_Input[RES_STRUCT100])</f>
        <v>444</v>
      </c>
      <c r="M195" s="51" t="e">
        <f>FME_Ranking2[[#This Row],[Raw Data4]]*L$4</f>
        <v>#REF!</v>
      </c>
      <c r="N195" s="29">
        <f>((FME_Ranking_Option2!$L195)/($L$3))*100</f>
        <v>6.6379321944196518E-2</v>
      </c>
      <c r="O195" s="52" t="e">
        <f>FME_Ranking2[[#This Row],[Norm Data4]]*L$4</f>
        <v>#REF!</v>
      </c>
      <c r="P195" s="47">
        <f>_xlfn.XLOOKUP(FME_Ranking2[[#This Row],[FME ID]],FME_Input[FME_ID],FME_Input[POP100])</f>
        <v>2216</v>
      </c>
      <c r="Q195" s="48" t="e">
        <f>FME_Ranking_Option2!$P195*P$4</f>
        <v>#REF!</v>
      </c>
      <c r="R195" s="48">
        <f>FME_Ranking_Option2!$P195/($P$3)</f>
        <v>8.1331905376053623E-4</v>
      </c>
      <c r="S195" s="48" t="e">
        <f>FME_Ranking_Option2!$R195*P$4</f>
        <v>#REF!</v>
      </c>
      <c r="T195" s="50">
        <f>_xlfn.XLOOKUP(FME_Ranking2[[#This Row],[FME ID]],FME_Input[FME_ID],FME_Input[CRITFAC100])</f>
        <v>8</v>
      </c>
      <c r="U195" s="48" t="e">
        <f>FME_Ranking_Option2!$T195*T$4</f>
        <v>#REF!</v>
      </c>
      <c r="V195" s="48">
        <f>FME_Ranking_Option2!$T195/($T$3)</f>
        <v>1.1281906642222536E-3</v>
      </c>
      <c r="W195" s="48" t="e">
        <f>FME_Ranking_Option2!$V195*T$4</f>
        <v>#REF!</v>
      </c>
      <c r="X195" s="50">
        <f>_xlfn.XLOOKUP(FME_Ranking2[[#This Row],[FME ID]],FME_Input[FME_ID],FME_Input[LWC])</f>
        <v>4</v>
      </c>
      <c r="Y195" s="48" t="e">
        <f>FME_Ranking_Option2!$X195*X$4</f>
        <v>#REF!</v>
      </c>
      <c r="Z195" s="48">
        <f>FME_Ranking_Option2!$X195/($X$3)</f>
        <v>3.6489691662105453E-4</v>
      </c>
      <c r="AA195" s="48" t="e">
        <f>FME_Ranking_Option2!$Z195*X$4</f>
        <v>#REF!</v>
      </c>
      <c r="AB195" s="50">
        <f>_xlfn.XLOOKUP(FME_Ranking2[[#This Row],[FME ID]],FME_Input[FME_ID],FME_Input[ROADCLS])</f>
        <v>4</v>
      </c>
      <c r="AC195" s="48" t="e">
        <f>FME_Ranking_Option2!$AB195*AB$4</f>
        <v>#REF!</v>
      </c>
      <c r="AD195" s="53">
        <f>_xlfn.XLOOKUP(FME_Ranking2[[#This Row],[FME ID]],FME_Input[FME_ID],FME_Input[ROAD_MILES100])</f>
        <v>10.02671051025391</v>
      </c>
      <c r="AE195" s="54" t="e">
        <f>FME_Ranking_Option2!$AD195*AD$4</f>
        <v>#REF!</v>
      </c>
      <c r="AF195" s="55">
        <f>FME_Ranking_Option2!$AD195/($AD$3)</f>
        <v>2.2647614693149302E-4</v>
      </c>
      <c r="AG195" s="55" t="e">
        <f>FME_Ranking_Option2!$AF195*AD$4</f>
        <v>#REF!</v>
      </c>
      <c r="AH195" s="53">
        <f>_xlfn.XLOOKUP(FME_Ranking2[[#This Row],[FME ID]],FME_Input[FME_ID],FME_Input[FARMACRE100])</f>
        <v>21.652620315551761</v>
      </c>
      <c r="AI195" s="54" t="e">
        <f>FME_Ranking_Option2!$AH195*AH$4</f>
        <v>#REF!</v>
      </c>
      <c r="AJ195" s="56">
        <f>FME_Ranking_Option2!$AH195/($AH$3)</f>
        <v>1.2572797451806293E-3</v>
      </c>
      <c r="AK195" s="57" t="e">
        <f>FME_Ranking_Option2!$AJ195*AH$4</f>
        <v>#REF!</v>
      </c>
      <c r="AL195"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95" s="58" t="e">
        <f>_xlfn.RANK.EQ(AL195,$AL$7:$AL$531)+COUNTIF(AL$7:AL195,AL195)-1</f>
        <v>#REF!</v>
      </c>
      <c r="AN195" s="57"/>
      <c r="AO195" s="58" t="e">
        <f>_xlfn.RANK.EQ(AN195,$AN$7:$AN$531)+COUNTIF(AN$7:AN195,AN195)-1</f>
        <v>#N/A</v>
      </c>
      <c r="AP19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95" s="32" t="e">
        <f>FME_Ranking2[[#This Row],[Score Based on Reported Factors]]-FME_Ranking2[[#This Row],[Check]]</f>
        <v>#REF!</v>
      </c>
      <c r="AR195" s="32"/>
      <c r="AT195" s="19"/>
      <c r="AU195" s="19"/>
      <c r="AV195" s="19"/>
      <c r="AW195" s="19"/>
      <c r="AX195" s="19"/>
      <c r="AY195" s="19"/>
      <c r="AZ195" s="19"/>
      <c r="BA195" s="19"/>
      <c r="BB195" s="19"/>
      <c r="BC195" s="19"/>
    </row>
    <row r="196" spans="1:55" ht="12" customHeight="1" x14ac:dyDescent="0.25">
      <c r="A196" s="17" t="s">
        <v>1634</v>
      </c>
      <c r="B196" s="17" t="str">
        <f>_xlfn.XLOOKUP(FME_Ranking2[[#This Row],[FME ID]],FME_Input[FME_ID],FME_Input[FME_NAME])</f>
        <v>City of Kemah Master Drainage Plan</v>
      </c>
      <c r="C196" s="17" t="str">
        <f>_xlfn.XLOOKUP(FME_Ranking2[[#This Row],[FME ID]],FME_Input[FME_ID],FME_Input[DESCR])</f>
        <v>Study to develop Master Drainage Plan using future and existing land use and flood/storm water drainage needs including Atlas 14 rainfall.</v>
      </c>
      <c r="D196" s="33" t="str">
        <f>_xlfn.XLOOKUP(FME_Ranking2[[#This Row],[FME ID]],FME_Input[FME_ID],FME_Input[EMER_NEED])</f>
        <v>Yes</v>
      </c>
      <c r="E196" s="120">
        <f>IF(FME_Ranking_Option2!$D196="Yes",100,0)</f>
        <v>100</v>
      </c>
      <c r="F196" s="34" t="str">
        <f>_xlfn.XLOOKUP(FME_Ranking2[[#This Row],[FME ID]],FME_Input[FME_ID],FME_Input[FUND])</f>
        <v>Yes</v>
      </c>
      <c r="G196" s="35">
        <f>IF(FME_Ranking_Option2!$F196="Yes",1,0)</f>
        <v>1</v>
      </c>
      <c r="H196" s="33">
        <f>_xlfn.XLOOKUP(FME_Ranking2[[#This Row],[FME ID]],FME_Input[FME_ID],FME_Input[STRUCT_100])</f>
        <v>562</v>
      </c>
      <c r="I196" s="64" t="e">
        <f>FME_Ranking2[[#This Row],[Raw Data3]]*H$4</f>
        <v>#REF!</v>
      </c>
      <c r="J196" s="63">
        <f>((FME_Ranking_Option2!$H196)/($H$3))*100</f>
        <v>6.2453534903413717E-2</v>
      </c>
      <c r="K196" s="36" t="e">
        <f>FME_Ranking2[[#This Row],[Norm Data3]]*H$4</f>
        <v>#REF!</v>
      </c>
      <c r="L196" s="37">
        <f>_xlfn.XLOOKUP(FME_Ranking2[[#This Row],[FME ID]],FME_Input[FME_ID],FME_Input[RES_STRUCT100])</f>
        <v>425</v>
      </c>
      <c r="M196" s="38" t="e">
        <f>FME_Ranking2[[#This Row],[Raw Data4]]*L$4</f>
        <v>#REF!</v>
      </c>
      <c r="N196" s="28">
        <f>((FME_Ranking_Option2!$L196)/($L$3))*100</f>
        <v>6.3538765374512432E-2</v>
      </c>
      <c r="O196" s="39" t="e">
        <f>FME_Ranking2[[#This Row],[Norm Data4]]*L$4</f>
        <v>#REF!</v>
      </c>
      <c r="P196" s="34">
        <f>_xlfn.XLOOKUP(FME_Ranking2[[#This Row],[FME ID]],FME_Input[FME_ID],FME_Input[POP100])</f>
        <v>3492</v>
      </c>
      <c r="Q196" s="35" t="e">
        <f>FME_Ranking_Option2!$P196*P$4</f>
        <v>#REF!</v>
      </c>
      <c r="R196" s="35">
        <f>FME_Ranking_Option2!$P196/($P$3)</f>
        <v>1.2816381478934083E-3</v>
      </c>
      <c r="S196" s="35" t="e">
        <f>FME_Ranking_Option2!$R196*P$4</f>
        <v>#REF!</v>
      </c>
      <c r="T196" s="37">
        <f>_xlfn.XLOOKUP(FME_Ranking2[[#This Row],[FME ID]],FME_Input[FME_ID],FME_Input[CRITFAC100])</f>
        <v>7</v>
      </c>
      <c r="U196" s="35" t="e">
        <f>FME_Ranking_Option2!$T196*T$4</f>
        <v>#REF!</v>
      </c>
      <c r="V196" s="35">
        <f>FME_Ranking_Option2!$T196/($T$3)</f>
        <v>9.871668311944718E-4</v>
      </c>
      <c r="W196" s="35" t="e">
        <f>FME_Ranking_Option2!$V196*T$4</f>
        <v>#REF!</v>
      </c>
      <c r="X196" s="37">
        <f>_xlfn.XLOOKUP(FME_Ranking2[[#This Row],[FME ID]],FME_Input[FME_ID],FME_Input[LWC])</f>
        <v>0</v>
      </c>
      <c r="Y196" s="35" t="e">
        <f>FME_Ranking_Option2!$X196*X$4</f>
        <v>#REF!</v>
      </c>
      <c r="Z196" s="35">
        <f>FME_Ranking_Option2!$X196/($X$3)</f>
        <v>0</v>
      </c>
      <c r="AA196" s="35" t="e">
        <f>FME_Ranking_Option2!$Z196*X$4</f>
        <v>#REF!</v>
      </c>
      <c r="AB196" s="37">
        <f>_xlfn.XLOOKUP(FME_Ranking2[[#This Row],[FME ID]],FME_Input[FME_ID],FME_Input[ROADCLS])</f>
        <v>0</v>
      </c>
      <c r="AC196" s="35" t="e">
        <f>FME_Ranking_Option2!$AB196*AB$4</f>
        <v>#REF!</v>
      </c>
      <c r="AD196" s="40">
        <f>_xlfn.XLOOKUP(FME_Ranking2[[#This Row],[FME ID]],FME_Input[FME_ID],FME_Input[ROAD_MILES100])</f>
        <v>12.005941390991209</v>
      </c>
      <c r="AE196" s="41" t="e">
        <f>FME_Ranking_Option2!$AD196*AD$4</f>
        <v>#REF!</v>
      </c>
      <c r="AF196" s="42">
        <f>FME_Ranking_Option2!$AD196/($AD$3)</f>
        <v>2.7118159477491118E-4</v>
      </c>
      <c r="AG196" s="42" t="e">
        <f>FME_Ranking_Option2!$AF196*AD$4</f>
        <v>#REF!</v>
      </c>
      <c r="AH196" s="40">
        <f>_xlfn.XLOOKUP(FME_Ranking2[[#This Row],[FME ID]],FME_Input[FME_ID],FME_Input[FARMACRE100])</f>
        <v>0.72296905517578125</v>
      </c>
      <c r="AI196" s="43" t="e">
        <f>FME_Ranking_Option2!$AH196*AH$4</f>
        <v>#REF!</v>
      </c>
      <c r="AJ196" s="41">
        <f>FME_Ranking_Option2!$AH196/($AH$3)</f>
        <v>4.1979877549140118E-5</v>
      </c>
      <c r="AK196" s="44" t="e">
        <f>FME_Ranking_Option2!$AJ196*AH$4</f>
        <v>#REF!</v>
      </c>
      <c r="AL196"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96" s="45" t="e">
        <f>_xlfn.RANK.EQ(AL196,$AL$7:$AL$531)+COUNTIF(AL$7:AL196,AL196)-1</f>
        <v>#REF!</v>
      </c>
      <c r="AN196" s="44"/>
      <c r="AO196" s="45" t="e">
        <f>_xlfn.RANK.EQ(AN196,$AN$7:$AN$531)+COUNTIF(AN$7:AN196,AN196)-1</f>
        <v>#N/A</v>
      </c>
      <c r="AP19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96" s="32" t="e">
        <f>FME_Ranking2[[#This Row],[Score Based on Reported Factors]]-FME_Ranking2[[#This Row],[Check]]</f>
        <v>#REF!</v>
      </c>
      <c r="AR196" s="32"/>
    </row>
    <row r="197" spans="1:55" ht="12" customHeight="1" x14ac:dyDescent="0.25">
      <c r="A197" s="16" t="s">
        <v>1636</v>
      </c>
      <c r="B197" s="16" t="str">
        <f>_xlfn.XLOOKUP(FME_Ranking2[[#This Row],[FME ID]],FME_Input[FME_ID],FME_Input[FME_NAME])</f>
        <v>City of La Marque  Master Drainage Plan</v>
      </c>
      <c r="C197" s="16" t="str">
        <f>_xlfn.XLOOKUP(FME_Ranking2[[#This Row],[FME ID]],FME_Input[FME_ID],FME_Input[DESCR])</f>
        <v>Study to develop Master Drainage Plan using future and existing land use and flood/storm water drainage needs including Atlas 14 rainfall.</v>
      </c>
      <c r="D197" s="46" t="str">
        <f>_xlfn.XLOOKUP(FME_Ranking2[[#This Row],[FME ID]],FME_Input[FME_ID],FME_Input[EMER_NEED])</f>
        <v>Yes</v>
      </c>
      <c r="E197" s="121">
        <f>IF(FME_Ranking_Option2!$D197="Yes",100,0)</f>
        <v>100</v>
      </c>
      <c r="F197" s="47" t="str">
        <f>_xlfn.XLOOKUP(FME_Ranking2[[#This Row],[FME ID]],FME_Input[FME_ID],FME_Input[FUND])</f>
        <v>Yes</v>
      </c>
      <c r="G197" s="48">
        <f>IF(FME_Ranking_Option2!$F197="Yes",1,0)</f>
        <v>1</v>
      </c>
      <c r="H197" s="46">
        <f>_xlfn.XLOOKUP(FME_Ranking2[[#This Row],[FME ID]],FME_Input[FME_ID],FME_Input[STRUCT_100])</f>
        <v>829</v>
      </c>
      <c r="I197" s="65" t="e">
        <f>FME_Ranking2[[#This Row],[Raw Data3]]*H$4</f>
        <v>#REF!</v>
      </c>
      <c r="J197" s="62">
        <f>((FME_Ranking_Option2!$H197)/($H$3))*100</f>
        <v>9.212452034685048E-2</v>
      </c>
      <c r="K197" s="49" t="e">
        <f>FME_Ranking2[[#This Row],[Norm Data3]]*H$4</f>
        <v>#REF!</v>
      </c>
      <c r="L197" s="50">
        <f>_xlfn.XLOOKUP(FME_Ranking2[[#This Row],[FME ID]],FME_Input[FME_ID],FME_Input[RES_STRUCT100])</f>
        <v>767</v>
      </c>
      <c r="M197" s="51" t="e">
        <f>FME_Ranking2[[#This Row],[Raw Data4]]*L$4</f>
        <v>#REF!</v>
      </c>
      <c r="N197" s="29">
        <f>((FME_Ranking_Option2!$L197)/($L$3))*100</f>
        <v>0.11466878362882597</v>
      </c>
      <c r="O197" s="52" t="e">
        <f>FME_Ranking2[[#This Row],[Norm Data4]]*L$4</f>
        <v>#REF!</v>
      </c>
      <c r="P197" s="47">
        <f>_xlfn.XLOOKUP(FME_Ranking2[[#This Row],[FME ID]],FME_Input[FME_ID],FME_Input[POP100])</f>
        <v>1612</v>
      </c>
      <c r="Q197" s="48" t="e">
        <f>FME_Ranking_Option2!$P197*P$4</f>
        <v>#REF!</v>
      </c>
      <c r="R197" s="48">
        <f>FME_Ranking_Option2!$P197/($P$3)</f>
        <v>5.9163822863807962E-4</v>
      </c>
      <c r="S197" s="48" t="e">
        <f>FME_Ranking_Option2!$R197*P$4</f>
        <v>#REF!</v>
      </c>
      <c r="T197" s="50">
        <f>_xlfn.XLOOKUP(FME_Ranking2[[#This Row],[FME ID]],FME_Input[FME_ID],FME_Input[CRITFAC100])</f>
        <v>8</v>
      </c>
      <c r="U197" s="48" t="e">
        <f>FME_Ranking_Option2!$T197*T$4</f>
        <v>#REF!</v>
      </c>
      <c r="V197" s="48">
        <f>FME_Ranking_Option2!$T197/($T$3)</f>
        <v>1.1281906642222536E-3</v>
      </c>
      <c r="W197" s="48" t="e">
        <f>FME_Ranking_Option2!$V197*T$4</f>
        <v>#REF!</v>
      </c>
      <c r="X197" s="50">
        <f>_xlfn.XLOOKUP(FME_Ranking2[[#This Row],[FME ID]],FME_Input[FME_ID],FME_Input[LWC])</f>
        <v>1</v>
      </c>
      <c r="Y197" s="48" t="e">
        <f>FME_Ranking_Option2!$X197*X$4</f>
        <v>#REF!</v>
      </c>
      <c r="Z197" s="48">
        <f>FME_Ranking_Option2!$X197/($X$3)</f>
        <v>9.1224229155263632E-5</v>
      </c>
      <c r="AA197" s="48" t="e">
        <f>FME_Ranking_Option2!$Z197*X$4</f>
        <v>#REF!</v>
      </c>
      <c r="AB197" s="50">
        <f>_xlfn.XLOOKUP(FME_Ranking2[[#This Row],[FME ID]],FME_Input[FME_ID],FME_Input[ROADCLS])</f>
        <v>1</v>
      </c>
      <c r="AC197" s="48" t="e">
        <f>FME_Ranking_Option2!$AB197*AB$4</f>
        <v>#REF!</v>
      </c>
      <c r="AD197" s="53">
        <f>_xlfn.XLOOKUP(FME_Ranking2[[#This Row],[FME ID]],FME_Input[FME_ID],FME_Input[ROAD_MILES100])</f>
        <v>31.114070892333981</v>
      </c>
      <c r="AE197" s="54" t="e">
        <f>FME_Ranking_Option2!$AD197*AD$4</f>
        <v>#REF!</v>
      </c>
      <c r="AF197" s="55">
        <f>FME_Ranking_Option2!$AD197/($AD$3)</f>
        <v>7.0278232166400478E-4</v>
      </c>
      <c r="AG197" s="55" t="e">
        <f>FME_Ranking_Option2!$AF197*AD$4</f>
        <v>#REF!</v>
      </c>
      <c r="AH197" s="53">
        <f>_xlfn.XLOOKUP(FME_Ranking2[[#This Row],[FME ID]],FME_Input[FME_ID],FME_Input[FARMACRE100])</f>
        <v>37.849395751953118</v>
      </c>
      <c r="AI197" s="54" t="e">
        <f>FME_Ranking_Option2!$AH197*AH$4</f>
        <v>#REF!</v>
      </c>
      <c r="AJ197" s="56">
        <f>FME_Ranking_Option2!$AH197/($AH$3)</f>
        <v>2.1977607306990629E-3</v>
      </c>
      <c r="AK197" s="57" t="e">
        <f>FME_Ranking_Option2!$AJ197*AH$4</f>
        <v>#REF!</v>
      </c>
      <c r="AL197"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97" s="58" t="e">
        <f>_xlfn.RANK.EQ(AL197,$AL$7:$AL$531)+COUNTIF(AL$7:AL197,AL197)-1</f>
        <v>#REF!</v>
      </c>
      <c r="AN197" s="57"/>
      <c r="AO197" s="58" t="e">
        <f>_xlfn.RANK.EQ(AN197,$AN$7:$AN$531)+COUNTIF(AN$7:AN197,AN197)-1</f>
        <v>#N/A</v>
      </c>
      <c r="AP19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97" s="32" t="e">
        <f>FME_Ranking2[[#This Row],[Score Based on Reported Factors]]-FME_Ranking2[[#This Row],[Check]]</f>
        <v>#REF!</v>
      </c>
      <c r="AR197" s="32"/>
      <c r="AT197" s="19"/>
      <c r="AU197" s="19"/>
      <c r="AV197" s="19"/>
      <c r="AW197" s="19"/>
      <c r="AX197" s="19"/>
      <c r="AY197" s="19"/>
      <c r="AZ197" s="19"/>
      <c r="BA197" s="19"/>
      <c r="BB197" s="19"/>
      <c r="BC197" s="19"/>
    </row>
    <row r="198" spans="1:55" ht="12" customHeight="1" x14ac:dyDescent="0.25">
      <c r="A198" s="17" t="s">
        <v>1638</v>
      </c>
      <c r="B198" s="17" t="str">
        <f>_xlfn.XLOOKUP(FME_Ranking2[[#This Row],[FME ID]],FME_Input[FME_ID],FME_Input[FME_NAME])</f>
        <v>City of La Porte  Master Drainage Plan</v>
      </c>
      <c r="C198" s="17" t="str">
        <f>_xlfn.XLOOKUP(FME_Ranking2[[#This Row],[FME ID]],FME_Input[FME_ID],FME_Input[DESCR])</f>
        <v>Study to develop Master Drainage Plan using future and existing land use and flood/storm water drainage needs including Atlas 14 rainfall.</v>
      </c>
      <c r="D198" s="33" t="str">
        <f>_xlfn.XLOOKUP(FME_Ranking2[[#This Row],[FME ID]],FME_Input[FME_ID],FME_Input[EMER_NEED])</f>
        <v>Yes</v>
      </c>
      <c r="E198" s="120">
        <f>IF(FME_Ranking_Option2!$D198="Yes",100,0)</f>
        <v>100</v>
      </c>
      <c r="F198" s="34" t="str">
        <f>_xlfn.XLOOKUP(FME_Ranking2[[#This Row],[FME ID]],FME_Input[FME_ID],FME_Input[FUND])</f>
        <v>Yes</v>
      </c>
      <c r="G198" s="35">
        <f>IF(FME_Ranking_Option2!$F198="Yes",1,0)</f>
        <v>1</v>
      </c>
      <c r="H198" s="33">
        <f>_xlfn.XLOOKUP(FME_Ranking2[[#This Row],[FME ID]],FME_Input[FME_ID],FME_Input[STRUCT_100])</f>
        <v>2533</v>
      </c>
      <c r="I198" s="64" t="e">
        <f>FME_Ranking2[[#This Row],[Raw Data3]]*H$4</f>
        <v>#REF!</v>
      </c>
      <c r="J198" s="63">
        <f>((FME_Ranking_Option2!$H198)/($H$3))*100</f>
        <v>0.28148541621058176</v>
      </c>
      <c r="K198" s="36" t="e">
        <f>FME_Ranking2[[#This Row],[Norm Data3]]*H$4</f>
        <v>#REF!</v>
      </c>
      <c r="L198" s="37">
        <f>_xlfn.XLOOKUP(FME_Ranking2[[#This Row],[FME ID]],FME_Input[FME_ID],FME_Input[RES_STRUCT100])</f>
        <v>2250</v>
      </c>
      <c r="M198" s="38" t="e">
        <f>FME_Ranking2[[#This Row],[Raw Data4]]*L$4</f>
        <v>#REF!</v>
      </c>
      <c r="N198" s="28">
        <f>((FME_Ranking_Option2!$L198)/($L$3))*100</f>
        <v>0.33638169904153642</v>
      </c>
      <c r="O198" s="39" t="e">
        <f>FME_Ranking2[[#This Row],[Norm Data4]]*L$4</f>
        <v>#REF!</v>
      </c>
      <c r="P198" s="34">
        <f>_xlfn.XLOOKUP(FME_Ranking2[[#This Row],[FME ID]],FME_Input[FME_ID],FME_Input[POP100])</f>
        <v>10336</v>
      </c>
      <c r="Q198" s="35" t="e">
        <f>FME_Ranking_Option2!$P198*P$4</f>
        <v>#REF!</v>
      </c>
      <c r="R198" s="35">
        <f>FME_Ranking_Option2!$P198/($P$3)</f>
        <v>3.7935314709697213E-3</v>
      </c>
      <c r="S198" s="35" t="e">
        <f>FME_Ranking_Option2!$R198*P$4</f>
        <v>#REF!</v>
      </c>
      <c r="T198" s="37">
        <f>_xlfn.XLOOKUP(FME_Ranking2[[#This Row],[FME ID]],FME_Input[FME_ID],FME_Input[CRITFAC100])</f>
        <v>32</v>
      </c>
      <c r="U198" s="35" t="e">
        <f>FME_Ranking_Option2!$T198*T$4</f>
        <v>#REF!</v>
      </c>
      <c r="V198" s="35">
        <f>FME_Ranking_Option2!$T198/($T$3)</f>
        <v>4.5127626568890146E-3</v>
      </c>
      <c r="W198" s="35" t="e">
        <f>FME_Ranking_Option2!$V198*T$4</f>
        <v>#REF!</v>
      </c>
      <c r="X198" s="37">
        <f>_xlfn.XLOOKUP(FME_Ranking2[[#This Row],[FME ID]],FME_Input[FME_ID],FME_Input[LWC])</f>
        <v>0</v>
      </c>
      <c r="Y198" s="35" t="e">
        <f>FME_Ranking_Option2!$X198*X$4</f>
        <v>#REF!</v>
      </c>
      <c r="Z198" s="35">
        <f>FME_Ranking_Option2!$X198/($X$3)</f>
        <v>0</v>
      </c>
      <c r="AA198" s="35" t="e">
        <f>FME_Ranking_Option2!$Z198*X$4</f>
        <v>#REF!</v>
      </c>
      <c r="AB198" s="37">
        <f>_xlfn.XLOOKUP(FME_Ranking2[[#This Row],[FME ID]],FME_Input[FME_ID],FME_Input[ROADCLS])</f>
        <v>0</v>
      </c>
      <c r="AC198" s="35" t="e">
        <f>FME_Ranking_Option2!$AB198*AB$4</f>
        <v>#REF!</v>
      </c>
      <c r="AD198" s="40">
        <f>_xlfn.XLOOKUP(FME_Ranking2[[#This Row],[FME ID]],FME_Input[FME_ID],FME_Input[ROAD_MILES100])</f>
        <v>54.135520935058587</v>
      </c>
      <c r="AE198" s="41" t="e">
        <f>FME_Ranking_Option2!$AD198*AD$4</f>
        <v>#REF!</v>
      </c>
      <c r="AF198" s="42">
        <f>FME_Ranking_Option2!$AD198/($AD$3)</f>
        <v>1.222774326730888E-3</v>
      </c>
      <c r="AG198" s="42" t="e">
        <f>FME_Ranking_Option2!$AF198*AD$4</f>
        <v>#REF!</v>
      </c>
      <c r="AH198" s="40">
        <f>_xlfn.XLOOKUP(FME_Ranking2[[#This Row],[FME ID]],FME_Input[FME_ID],FME_Input[FARMACRE100])</f>
        <v>15.26534366607666</v>
      </c>
      <c r="AI198" s="43" t="e">
        <f>FME_Ranking_Option2!$AH198*AH$4</f>
        <v>#REF!</v>
      </c>
      <c r="AJ198" s="41">
        <f>FME_Ranking_Option2!$AH198/($AH$3)</f>
        <v>8.8639652452569774E-4</v>
      </c>
      <c r="AK198" s="44" t="e">
        <f>FME_Ranking_Option2!$AJ198*AH$4</f>
        <v>#REF!</v>
      </c>
      <c r="AL19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98" s="45" t="e">
        <f>_xlfn.RANK.EQ(AL198,$AL$7:$AL$531)+COUNTIF(AL$7:AL198,AL198)-1</f>
        <v>#REF!</v>
      </c>
      <c r="AN198" s="44"/>
      <c r="AO198" s="45" t="e">
        <f>_xlfn.RANK.EQ(AN198,$AN$7:$AN$531)+COUNTIF(AN$7:AN198,AN198)-1</f>
        <v>#N/A</v>
      </c>
      <c r="AP19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98" s="32" t="e">
        <f>FME_Ranking2[[#This Row],[Score Based on Reported Factors]]-FME_Ranking2[[#This Row],[Check]]</f>
        <v>#REF!</v>
      </c>
      <c r="AR198" s="32"/>
    </row>
    <row r="199" spans="1:55" ht="12" customHeight="1" x14ac:dyDescent="0.25">
      <c r="A199" s="16" t="s">
        <v>1641</v>
      </c>
      <c r="B199" s="16" t="str">
        <f>_xlfn.XLOOKUP(FME_Ranking2[[#This Row],[FME ID]],FME_Input[FME_ID],FME_Input[FME_NAME])</f>
        <v>City of League City Master Drainage Plan</v>
      </c>
      <c r="C199" s="16" t="str">
        <f>_xlfn.XLOOKUP(FME_Ranking2[[#This Row],[FME ID]],FME_Input[FME_ID],FME_Input[DESCR])</f>
        <v>Study to develop Master Drainage Plan using future and existing land use and flood/storm water drainage needs including Atlas 14 rainfall.</v>
      </c>
      <c r="D199" s="46" t="str">
        <f>_xlfn.XLOOKUP(FME_Ranking2[[#This Row],[FME ID]],FME_Input[FME_ID],FME_Input[EMER_NEED])</f>
        <v>Yes</v>
      </c>
      <c r="E199" s="121">
        <f>IF(FME_Ranking_Option2!$D199="Yes",100,0)</f>
        <v>100</v>
      </c>
      <c r="F199" s="47" t="str">
        <f>_xlfn.XLOOKUP(FME_Ranking2[[#This Row],[FME ID]],FME_Input[FME_ID],FME_Input[FUND])</f>
        <v>Yes</v>
      </c>
      <c r="G199" s="48">
        <f>IF(FME_Ranking_Option2!$F199="Yes",1,0)</f>
        <v>1</v>
      </c>
      <c r="H199" s="46">
        <f>_xlfn.XLOOKUP(FME_Ranking2[[#This Row],[FME ID]],FME_Input[FME_ID],FME_Input[STRUCT_100])</f>
        <v>5251</v>
      </c>
      <c r="I199" s="65" t="e">
        <f>FME_Ranking2[[#This Row],[Raw Data3]]*H$4</f>
        <v>#REF!</v>
      </c>
      <c r="J199" s="62">
        <f>((FME_Ranking_Option2!$H199)/($H$3))*100</f>
        <v>0.58352938038758972</v>
      </c>
      <c r="K199" s="49" t="e">
        <f>FME_Ranking2[[#This Row],[Norm Data3]]*H$4</f>
        <v>#REF!</v>
      </c>
      <c r="L199" s="50">
        <f>_xlfn.XLOOKUP(FME_Ranking2[[#This Row],[FME ID]],FME_Input[FME_ID],FME_Input[RES_STRUCT100])</f>
        <v>4835</v>
      </c>
      <c r="M199" s="51" t="e">
        <f>FME_Ranking2[[#This Row],[Raw Data4]]*L$4</f>
        <v>#REF!</v>
      </c>
      <c r="N199" s="29">
        <f>((FME_Ranking_Option2!$L199)/($L$3))*100</f>
        <v>0.72284689549592374</v>
      </c>
      <c r="O199" s="52" t="e">
        <f>FME_Ranking2[[#This Row],[Norm Data4]]*L$4</f>
        <v>#REF!</v>
      </c>
      <c r="P199" s="47">
        <f>_xlfn.XLOOKUP(FME_Ranking2[[#This Row],[FME ID]],FME_Input[FME_ID],FME_Input[POP100])</f>
        <v>20978</v>
      </c>
      <c r="Q199" s="48" t="e">
        <f>FME_Ranking_Option2!$P199*P$4</f>
        <v>#REF!</v>
      </c>
      <c r="R199" s="48">
        <f>FME_Ranking_Option2!$P199/($P$3)</f>
        <v>7.6993714394352573E-3</v>
      </c>
      <c r="S199" s="48" t="e">
        <f>FME_Ranking_Option2!$R199*P$4</f>
        <v>#REF!</v>
      </c>
      <c r="T199" s="50">
        <f>_xlfn.XLOOKUP(FME_Ranking2[[#This Row],[FME ID]],FME_Input[FME_ID],FME_Input[CRITFAC100])</f>
        <v>25</v>
      </c>
      <c r="U199" s="48" t="e">
        <f>FME_Ranking_Option2!$T199*T$4</f>
        <v>#REF!</v>
      </c>
      <c r="V199" s="48">
        <f>FME_Ranking_Option2!$T199/($T$3)</f>
        <v>3.5255958256945425E-3</v>
      </c>
      <c r="W199" s="48" t="e">
        <f>FME_Ranking_Option2!$V199*T$4</f>
        <v>#REF!</v>
      </c>
      <c r="X199" s="50">
        <f>_xlfn.XLOOKUP(FME_Ranking2[[#This Row],[FME ID]],FME_Input[FME_ID],FME_Input[LWC])</f>
        <v>2</v>
      </c>
      <c r="Y199" s="48" t="e">
        <f>FME_Ranking_Option2!$X199*X$4</f>
        <v>#REF!</v>
      </c>
      <c r="Z199" s="48">
        <f>FME_Ranking_Option2!$X199/($X$3)</f>
        <v>1.8244845831052726E-4</v>
      </c>
      <c r="AA199" s="48" t="e">
        <f>FME_Ranking_Option2!$Z199*X$4</f>
        <v>#REF!</v>
      </c>
      <c r="AB199" s="50">
        <f>_xlfn.XLOOKUP(FME_Ranking2[[#This Row],[FME ID]],FME_Input[FME_ID],FME_Input[ROADCLS])</f>
        <v>2</v>
      </c>
      <c r="AC199" s="48" t="e">
        <f>FME_Ranking_Option2!$AB199*AB$4</f>
        <v>#REF!</v>
      </c>
      <c r="AD199" s="53">
        <f>_xlfn.XLOOKUP(FME_Ranking2[[#This Row],[FME ID]],FME_Input[FME_ID],FME_Input[ROAD_MILES100])</f>
        <v>104.5637283325195</v>
      </c>
      <c r="AE199" s="54" t="e">
        <f>FME_Ranking_Option2!$AD199*AD$4</f>
        <v>#REF!</v>
      </c>
      <c r="AF199" s="55">
        <f>FME_Ranking_Option2!$AD199/($AD$3)</f>
        <v>2.361810513759484E-3</v>
      </c>
      <c r="AG199" s="55" t="e">
        <f>FME_Ranking_Option2!$AF199*AD$4</f>
        <v>#REF!</v>
      </c>
      <c r="AH199" s="53">
        <f>_xlfn.XLOOKUP(FME_Ranking2[[#This Row],[FME ID]],FME_Input[FME_ID],FME_Input[FARMACRE100])</f>
        <v>1308.191162109375</v>
      </c>
      <c r="AI199" s="54" t="e">
        <f>FME_Ranking_Option2!$AH199*AH$4</f>
        <v>#REF!</v>
      </c>
      <c r="AJ199" s="56">
        <f>FME_Ranking_Option2!$AH199/($AH$3)</f>
        <v>7.5961349110393511E-2</v>
      </c>
      <c r="AK199" s="57" t="e">
        <f>FME_Ranking_Option2!$AJ199*AH$4</f>
        <v>#REF!</v>
      </c>
      <c r="AL19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199" s="58" t="e">
        <f>_xlfn.RANK.EQ(AL199,$AL$7:$AL$531)+COUNTIF(AL$7:AL199,AL199)-1</f>
        <v>#REF!</v>
      </c>
      <c r="AN199" s="57"/>
      <c r="AO199" s="58" t="e">
        <f>_xlfn.RANK.EQ(AN199,$AN$7:$AN$531)+COUNTIF(AN$7:AN199,AN199)-1</f>
        <v>#N/A</v>
      </c>
      <c r="AP19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199" s="32" t="e">
        <f>FME_Ranking2[[#This Row],[Score Based on Reported Factors]]-FME_Ranking2[[#This Row],[Check]]</f>
        <v>#REF!</v>
      </c>
      <c r="AR199" s="32"/>
      <c r="AT199" s="19"/>
      <c r="AU199" s="19"/>
      <c r="AV199" s="19"/>
      <c r="AW199" s="19"/>
      <c r="AX199" s="19"/>
      <c r="AY199" s="19"/>
      <c r="AZ199" s="19"/>
      <c r="BA199" s="19"/>
      <c r="BB199" s="19"/>
      <c r="BC199" s="19"/>
    </row>
    <row r="200" spans="1:55" ht="12" customHeight="1" x14ac:dyDescent="0.25">
      <c r="A200" s="17" t="s">
        <v>1643</v>
      </c>
      <c r="B200" s="17" t="str">
        <f>_xlfn.XLOOKUP(FME_Ranking2[[#This Row],[FME ID]],FME_Input[FME_ID],FME_Input[FME_NAME])</f>
        <v>City of Liverpool  Master Drainage Plan</v>
      </c>
      <c r="C200" s="17" t="str">
        <f>_xlfn.XLOOKUP(FME_Ranking2[[#This Row],[FME ID]],FME_Input[FME_ID],FME_Input[DESCR])</f>
        <v>Study to develop Master Drainage Plan using future and existing land use and flood/storm water drainage needs including Atlas 14 rainfall.</v>
      </c>
      <c r="D200" s="33" t="str">
        <f>_xlfn.XLOOKUP(FME_Ranking2[[#This Row],[FME ID]],FME_Input[FME_ID],FME_Input[EMER_NEED])</f>
        <v>Yes</v>
      </c>
      <c r="E200" s="120">
        <f>IF(FME_Ranking_Option2!$D200="Yes",100,0)</f>
        <v>100</v>
      </c>
      <c r="F200" s="34" t="str">
        <f>_xlfn.XLOOKUP(FME_Ranking2[[#This Row],[FME ID]],FME_Input[FME_ID],FME_Input[FUND])</f>
        <v>Yes</v>
      </c>
      <c r="G200" s="35">
        <f>IF(FME_Ranking_Option2!$F200="Yes",1,0)</f>
        <v>1</v>
      </c>
      <c r="H200" s="33">
        <f>_xlfn.XLOOKUP(FME_Ranking2[[#This Row],[FME ID]],FME_Input[FME_ID],FME_Input[STRUCT_100])</f>
        <v>130</v>
      </c>
      <c r="I200" s="64" t="e">
        <f>FME_Ranking2[[#This Row],[Raw Data3]]*H$4</f>
        <v>#REF!</v>
      </c>
      <c r="J200" s="63">
        <f>((FME_Ranking_Option2!$H200)/($H$3))*100</f>
        <v>1.4446547219650861E-2</v>
      </c>
      <c r="K200" s="36" t="e">
        <f>FME_Ranking2[[#This Row],[Norm Data3]]*H$4</f>
        <v>#REF!</v>
      </c>
      <c r="L200" s="37">
        <f>_xlfn.XLOOKUP(FME_Ranking2[[#This Row],[FME ID]],FME_Input[FME_ID],FME_Input[RES_STRUCT100])</f>
        <v>110</v>
      </c>
      <c r="M200" s="38" t="e">
        <f>FME_Ranking2[[#This Row],[Raw Data4]]*L$4</f>
        <v>#REF!</v>
      </c>
      <c r="N200" s="28">
        <f>((FME_Ranking_Option2!$L200)/($L$3))*100</f>
        <v>1.6445327508697337E-2</v>
      </c>
      <c r="O200" s="39" t="e">
        <f>FME_Ranking2[[#This Row],[Norm Data4]]*L$4</f>
        <v>#REF!</v>
      </c>
      <c r="P200" s="34">
        <f>_xlfn.XLOOKUP(FME_Ranking2[[#This Row],[FME ID]],FME_Input[FME_ID],FME_Input[POP100])</f>
        <v>104</v>
      </c>
      <c r="Q200" s="35" t="e">
        <f>FME_Ranking_Option2!$P200*P$4</f>
        <v>#REF!</v>
      </c>
      <c r="R200" s="35">
        <f>FME_Ranking_Option2!$P200/($P$3)</f>
        <v>3.8170208299230941E-5</v>
      </c>
      <c r="S200" s="35" t="e">
        <f>FME_Ranking_Option2!$R200*P$4</f>
        <v>#REF!</v>
      </c>
      <c r="T200" s="37">
        <f>_xlfn.XLOOKUP(FME_Ranking2[[#This Row],[FME ID]],FME_Input[FME_ID],FME_Input[CRITFAC100])</f>
        <v>0</v>
      </c>
      <c r="U200" s="35" t="e">
        <f>FME_Ranking_Option2!$T200*T$4</f>
        <v>#REF!</v>
      </c>
      <c r="V200" s="35">
        <f>FME_Ranking_Option2!$T200/($T$3)</f>
        <v>0</v>
      </c>
      <c r="W200" s="35" t="e">
        <f>FME_Ranking_Option2!$V200*T$4</f>
        <v>#REF!</v>
      </c>
      <c r="X200" s="37">
        <f>_xlfn.XLOOKUP(FME_Ranking2[[#This Row],[FME ID]],FME_Input[FME_ID],FME_Input[LWC])</f>
        <v>0</v>
      </c>
      <c r="Y200" s="35" t="e">
        <f>FME_Ranking_Option2!$X200*X$4</f>
        <v>#REF!</v>
      </c>
      <c r="Z200" s="35">
        <f>FME_Ranking_Option2!$X200/($X$3)</f>
        <v>0</v>
      </c>
      <c r="AA200" s="35" t="e">
        <f>FME_Ranking_Option2!$Z200*X$4</f>
        <v>#REF!</v>
      </c>
      <c r="AB200" s="37">
        <f>_xlfn.XLOOKUP(FME_Ranking2[[#This Row],[FME ID]],FME_Input[FME_ID],FME_Input[ROADCLS])</f>
        <v>0</v>
      </c>
      <c r="AC200" s="35" t="e">
        <f>FME_Ranking_Option2!$AB200*AB$4</f>
        <v>#REF!</v>
      </c>
      <c r="AD200" s="40">
        <f>_xlfn.XLOOKUP(FME_Ranking2[[#This Row],[FME ID]],FME_Input[FME_ID],FME_Input[ROAD_MILES100])</f>
        <v>3.3209011554718022</v>
      </c>
      <c r="AE200" s="41" t="e">
        <f>FME_Ranking_Option2!$AD200*AD$4</f>
        <v>#REF!</v>
      </c>
      <c r="AF200" s="42">
        <f>FME_Ranking_Option2!$AD200/($AD$3)</f>
        <v>7.5010133908069815E-5</v>
      </c>
      <c r="AG200" s="42" t="e">
        <f>FME_Ranking_Option2!$AF200*AD$4</f>
        <v>#REF!</v>
      </c>
      <c r="AH200" s="40">
        <f>_xlfn.XLOOKUP(FME_Ranking2[[#This Row],[FME ID]],FME_Input[FME_ID],FME_Input[FARMACRE100])</f>
        <v>5.29180908203125</v>
      </c>
      <c r="AI200" s="43" t="e">
        <f>FME_Ranking_Option2!$AH200*AH$4</f>
        <v>#REF!</v>
      </c>
      <c r="AJ200" s="41">
        <f>FME_Ranking_Option2!$AH200/($AH$3)</f>
        <v>3.0727386696113358E-4</v>
      </c>
      <c r="AK200" s="44" t="e">
        <f>FME_Ranking_Option2!$AJ200*AH$4</f>
        <v>#REF!</v>
      </c>
      <c r="AL20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00" s="45" t="e">
        <f>_xlfn.RANK.EQ(AL200,$AL$7:$AL$531)+COUNTIF(AL$7:AL200,AL200)-1</f>
        <v>#REF!</v>
      </c>
      <c r="AN200" s="44"/>
      <c r="AO200" s="45" t="e">
        <f>_xlfn.RANK.EQ(AN200,$AN$7:$AN$531)+COUNTIF(AN$7:AN200,AN200)-1</f>
        <v>#N/A</v>
      </c>
      <c r="AP20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00" s="32" t="e">
        <f>FME_Ranking2[[#This Row],[Score Based on Reported Factors]]-FME_Ranking2[[#This Row],[Check]]</f>
        <v>#REF!</v>
      </c>
      <c r="AR200" s="32"/>
    </row>
    <row r="201" spans="1:55" ht="12" customHeight="1" x14ac:dyDescent="0.25">
      <c r="A201" s="16" t="s">
        <v>1647</v>
      </c>
      <c r="B201" s="16" t="str">
        <f>_xlfn.XLOOKUP(FME_Ranking2[[#This Row],[FME ID]],FME_Input[FME_ID],FME_Input[FME_NAME])</f>
        <v>City of Magnolia  Master Drainage Plan</v>
      </c>
      <c r="C201" s="16" t="str">
        <f>_xlfn.XLOOKUP(FME_Ranking2[[#This Row],[FME ID]],FME_Input[FME_ID],FME_Input[DESCR])</f>
        <v>Study to develop Master Drainage Plan using future and existing land use and flood/storm water drainage needs including Atlas 14 rainfall.</v>
      </c>
      <c r="D201" s="46" t="str">
        <f>_xlfn.XLOOKUP(FME_Ranking2[[#This Row],[FME ID]],FME_Input[FME_ID],FME_Input[EMER_NEED])</f>
        <v>No</v>
      </c>
      <c r="E201" s="121">
        <f>IF(FME_Ranking_Option2!$D201="Yes",100,0)</f>
        <v>0</v>
      </c>
      <c r="F201" s="47" t="str">
        <f>_xlfn.XLOOKUP(FME_Ranking2[[#This Row],[FME ID]],FME_Input[FME_ID],FME_Input[FUND])</f>
        <v>Yes</v>
      </c>
      <c r="G201" s="48">
        <f>IF(FME_Ranking_Option2!$F201="Yes",1,0)</f>
        <v>1</v>
      </c>
      <c r="H201" s="46">
        <f>_xlfn.XLOOKUP(FME_Ranking2[[#This Row],[FME ID]],FME_Input[FME_ID],FME_Input[STRUCT_100])</f>
        <v>23</v>
      </c>
      <c r="I201" s="65" t="e">
        <f>FME_Ranking2[[#This Row],[Raw Data3]]*H$4</f>
        <v>#REF!</v>
      </c>
      <c r="J201" s="62">
        <f>((FME_Ranking_Option2!$H201)/($H$3))*100</f>
        <v>2.5559275850151521E-3</v>
      </c>
      <c r="K201" s="49" t="e">
        <f>FME_Ranking2[[#This Row],[Norm Data3]]*H$4</f>
        <v>#REF!</v>
      </c>
      <c r="L201" s="50">
        <f>_xlfn.XLOOKUP(FME_Ranking2[[#This Row],[FME ID]],FME_Input[FME_ID],FME_Input[RES_STRUCT100])</f>
        <v>19</v>
      </c>
      <c r="M201" s="51" t="e">
        <f>FME_Ranking2[[#This Row],[Raw Data4]]*L$4</f>
        <v>#REF!</v>
      </c>
      <c r="N201" s="29">
        <f>((FME_Ranking_Option2!$L201)/($L$3))*100</f>
        <v>2.8405565696840852E-3</v>
      </c>
      <c r="O201" s="52" t="e">
        <f>FME_Ranking2[[#This Row],[Norm Data4]]*L$4</f>
        <v>#REF!</v>
      </c>
      <c r="P201" s="47">
        <f>_xlfn.XLOOKUP(FME_Ranking2[[#This Row],[FME ID]],FME_Input[FME_ID],FME_Input[POP100])</f>
        <v>60</v>
      </c>
      <c r="Q201" s="48" t="e">
        <f>FME_Ranking_Option2!$P201*P$4</f>
        <v>#REF!</v>
      </c>
      <c r="R201" s="48">
        <f>FME_Ranking_Option2!$P201/($P$3)</f>
        <v>2.2021274018787083E-5</v>
      </c>
      <c r="S201" s="48" t="e">
        <f>FME_Ranking_Option2!$R201*P$4</f>
        <v>#REF!</v>
      </c>
      <c r="T201" s="50">
        <f>_xlfn.XLOOKUP(FME_Ranking2[[#This Row],[FME ID]],FME_Input[FME_ID],FME_Input[CRITFAC100])</f>
        <v>0</v>
      </c>
      <c r="U201" s="48" t="e">
        <f>FME_Ranking_Option2!$T201*T$4</f>
        <v>#REF!</v>
      </c>
      <c r="V201" s="48">
        <f>FME_Ranking_Option2!$T201/($T$3)</f>
        <v>0</v>
      </c>
      <c r="W201" s="48" t="e">
        <f>FME_Ranking_Option2!$V201*T$4</f>
        <v>#REF!</v>
      </c>
      <c r="X201" s="50">
        <f>_xlfn.XLOOKUP(FME_Ranking2[[#This Row],[FME ID]],FME_Input[FME_ID],FME_Input[LWC])</f>
        <v>0</v>
      </c>
      <c r="Y201" s="48" t="e">
        <f>FME_Ranking_Option2!$X201*X$4</f>
        <v>#REF!</v>
      </c>
      <c r="Z201" s="48">
        <f>FME_Ranking_Option2!$X201/($X$3)</f>
        <v>0</v>
      </c>
      <c r="AA201" s="48" t="e">
        <f>FME_Ranking_Option2!$Z201*X$4</f>
        <v>#REF!</v>
      </c>
      <c r="AB201" s="50">
        <f>_xlfn.XLOOKUP(FME_Ranking2[[#This Row],[FME ID]],FME_Input[FME_ID],FME_Input[ROADCLS])</f>
        <v>0</v>
      </c>
      <c r="AC201" s="48" t="e">
        <f>FME_Ranking_Option2!$AB201*AB$4</f>
        <v>#REF!</v>
      </c>
      <c r="AD201" s="53">
        <f>_xlfn.XLOOKUP(FME_Ranking2[[#This Row],[FME ID]],FME_Input[FME_ID],FME_Input[ROAD_MILES100])</f>
        <v>0.56698477268218994</v>
      </c>
      <c r="AE201" s="54" t="e">
        <f>FME_Ranking_Option2!$AD201*AD$4</f>
        <v>#REF!</v>
      </c>
      <c r="AF201" s="55">
        <f>FME_Ranking_Option2!$AD201/($AD$3)</f>
        <v>1.2806645465087739E-5</v>
      </c>
      <c r="AG201" s="55" t="e">
        <f>FME_Ranking_Option2!$AF201*AD$4</f>
        <v>#REF!</v>
      </c>
      <c r="AH201" s="53">
        <f>_xlfn.XLOOKUP(FME_Ranking2[[#This Row],[FME ID]],FME_Input[FME_ID],FME_Input[FARMACRE100])</f>
        <v>0.42519298195838928</v>
      </c>
      <c r="AI201" s="54" t="e">
        <f>FME_Ranking_Option2!$AH201*AH$4</f>
        <v>#REF!</v>
      </c>
      <c r="AJ201" s="56">
        <f>FME_Ranking_Option2!$AH201/($AH$3)</f>
        <v>2.4689230043223664E-5</v>
      </c>
      <c r="AK201" s="57" t="e">
        <f>FME_Ranking_Option2!$AJ201*AH$4</f>
        <v>#REF!</v>
      </c>
      <c r="AL20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01" s="58" t="e">
        <f>_xlfn.RANK.EQ(AL201,$AL$7:$AL$531)+COUNTIF(AL$7:AL201,AL201)-1</f>
        <v>#REF!</v>
      </c>
      <c r="AN201" s="57"/>
      <c r="AO201" s="58" t="e">
        <f>_xlfn.RANK.EQ(AN201,$AN$7:$AN$531)+COUNTIF(AN$7:AN201,AN201)-1</f>
        <v>#N/A</v>
      </c>
      <c r="AP20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01" s="32" t="e">
        <f>FME_Ranking2[[#This Row],[Score Based on Reported Factors]]-FME_Ranking2[[#This Row],[Check]]</f>
        <v>#REF!</v>
      </c>
      <c r="AR201" s="32"/>
      <c r="AT201" s="19"/>
      <c r="AU201" s="19"/>
      <c r="AV201" s="19"/>
      <c r="AW201" s="19"/>
      <c r="AX201" s="19"/>
      <c r="AY201" s="19"/>
      <c r="AZ201" s="19"/>
      <c r="BA201" s="19"/>
      <c r="BB201" s="19"/>
      <c r="BC201" s="19"/>
    </row>
    <row r="202" spans="1:55" ht="12" customHeight="1" x14ac:dyDescent="0.25">
      <c r="A202" s="17" t="s">
        <v>1653</v>
      </c>
      <c r="B202" s="17" t="str">
        <f>_xlfn.XLOOKUP(FME_Ranking2[[#This Row],[FME ID]],FME_Input[FME_ID],FME_Input[FME_NAME])</f>
        <v>City of Manvel  Master Drainage Plan</v>
      </c>
      <c r="C202" s="17" t="str">
        <f>_xlfn.XLOOKUP(FME_Ranking2[[#This Row],[FME ID]],FME_Input[FME_ID],FME_Input[DESCR])</f>
        <v>Study to develop Master Drainage Plan using future and existing land use and flood/storm water drainage needs including Atlas 14 rainfall.</v>
      </c>
      <c r="D202" s="33" t="str">
        <f>_xlfn.XLOOKUP(FME_Ranking2[[#This Row],[FME ID]],FME_Input[FME_ID],FME_Input[EMER_NEED])</f>
        <v>Yes</v>
      </c>
      <c r="E202" s="120">
        <f>IF(FME_Ranking_Option2!$D202="Yes",100,0)</f>
        <v>100</v>
      </c>
      <c r="F202" s="34" t="str">
        <f>_xlfn.XLOOKUP(FME_Ranking2[[#This Row],[FME ID]],FME_Input[FME_ID],FME_Input[FUND])</f>
        <v>Yes</v>
      </c>
      <c r="G202" s="35">
        <f>IF(FME_Ranking_Option2!$F202="Yes",1,0)</f>
        <v>1</v>
      </c>
      <c r="H202" s="33">
        <f>_xlfn.XLOOKUP(FME_Ranking2[[#This Row],[FME ID]],FME_Input[FME_ID],FME_Input[STRUCT_100])</f>
        <v>1250</v>
      </c>
      <c r="I202" s="64" t="e">
        <f>FME_Ranking2[[#This Row],[Raw Data3]]*H$4</f>
        <v>#REF!</v>
      </c>
      <c r="J202" s="63">
        <f>((FME_Ranking_Option2!$H202)/($H$3))*100</f>
        <v>0.13890910788125826</v>
      </c>
      <c r="K202" s="36" t="e">
        <f>FME_Ranking2[[#This Row],[Norm Data3]]*H$4</f>
        <v>#REF!</v>
      </c>
      <c r="L202" s="37">
        <f>_xlfn.XLOOKUP(FME_Ranking2[[#This Row],[FME ID]],FME_Input[FME_ID],FME_Input[RES_STRUCT100])</f>
        <v>966</v>
      </c>
      <c r="M202" s="38" t="e">
        <f>FME_Ranking2[[#This Row],[Raw Data4]]*L$4</f>
        <v>#REF!</v>
      </c>
      <c r="N202" s="28">
        <f>((FME_Ranking_Option2!$L202)/($L$3))*100</f>
        <v>0.14441987612183296</v>
      </c>
      <c r="O202" s="39" t="e">
        <f>FME_Ranking2[[#This Row],[Norm Data4]]*L$4</f>
        <v>#REF!</v>
      </c>
      <c r="P202" s="34">
        <f>_xlfn.XLOOKUP(FME_Ranking2[[#This Row],[FME ID]],FME_Input[FME_ID],FME_Input[POP100])</f>
        <v>8190</v>
      </c>
      <c r="Q202" s="35" t="e">
        <f>FME_Ranking_Option2!$P202*P$4</f>
        <v>#REF!</v>
      </c>
      <c r="R202" s="35">
        <f>FME_Ranking_Option2!$P202/($P$3)</f>
        <v>3.0059039035644367E-3</v>
      </c>
      <c r="S202" s="35" t="e">
        <f>FME_Ranking_Option2!$R202*P$4</f>
        <v>#REF!</v>
      </c>
      <c r="T202" s="37">
        <f>_xlfn.XLOOKUP(FME_Ranking2[[#This Row],[FME ID]],FME_Input[FME_ID],FME_Input[CRITFAC100])</f>
        <v>8</v>
      </c>
      <c r="U202" s="35" t="e">
        <f>FME_Ranking_Option2!$T202*T$4</f>
        <v>#REF!</v>
      </c>
      <c r="V202" s="35">
        <f>FME_Ranking_Option2!$T202/($T$3)</f>
        <v>1.1281906642222536E-3</v>
      </c>
      <c r="W202" s="35" t="e">
        <f>FME_Ranking_Option2!$V202*T$4</f>
        <v>#REF!</v>
      </c>
      <c r="X202" s="37">
        <f>_xlfn.XLOOKUP(FME_Ranking2[[#This Row],[FME ID]],FME_Input[FME_ID],FME_Input[LWC])</f>
        <v>0</v>
      </c>
      <c r="Y202" s="35" t="e">
        <f>FME_Ranking_Option2!$X202*X$4</f>
        <v>#REF!</v>
      </c>
      <c r="Z202" s="35">
        <f>FME_Ranking_Option2!$X202/($X$3)</f>
        <v>0</v>
      </c>
      <c r="AA202" s="35" t="e">
        <f>FME_Ranking_Option2!$Z202*X$4</f>
        <v>#REF!</v>
      </c>
      <c r="AB202" s="37">
        <f>_xlfn.XLOOKUP(FME_Ranking2[[#This Row],[FME ID]],FME_Input[FME_ID],FME_Input[ROADCLS])</f>
        <v>0</v>
      </c>
      <c r="AC202" s="35" t="e">
        <f>FME_Ranking_Option2!$AB202*AB$4</f>
        <v>#REF!</v>
      </c>
      <c r="AD202" s="40">
        <f>_xlfn.XLOOKUP(FME_Ranking2[[#This Row],[FME ID]],FME_Input[FME_ID],FME_Input[ROAD_MILES100])</f>
        <v>43.312946319580078</v>
      </c>
      <c r="AE202" s="41" t="e">
        <f>FME_Ranking_Option2!$AD202*AD$4</f>
        <v>#REF!</v>
      </c>
      <c r="AF202" s="42">
        <f>FME_Ranking_Option2!$AD202/($AD$3)</f>
        <v>9.7832177209838294E-4</v>
      </c>
      <c r="AG202" s="42" t="e">
        <f>FME_Ranking_Option2!$AF202*AD$4</f>
        <v>#REF!</v>
      </c>
      <c r="AH202" s="40">
        <f>_xlfn.XLOOKUP(FME_Ranking2[[#This Row],[FME ID]],FME_Input[FME_ID],FME_Input[FARMACRE100])</f>
        <v>178.80146789550781</v>
      </c>
      <c r="AI202" s="43" t="e">
        <f>FME_Ranking_Option2!$AH202*AH$4</f>
        <v>#REF!</v>
      </c>
      <c r="AJ202" s="41">
        <f>FME_Ranking_Option2!$AH202/($AH$3)</f>
        <v>1.0382275249713028E-2</v>
      </c>
      <c r="AK202" s="44" t="e">
        <f>FME_Ranking_Option2!$AJ202*AH$4</f>
        <v>#REF!</v>
      </c>
      <c r="AL202"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02" s="45" t="e">
        <f>_xlfn.RANK.EQ(AL202,$AL$7:$AL$531)+COUNTIF(AL$7:AL202,AL202)-1</f>
        <v>#REF!</v>
      </c>
      <c r="AN202" s="44"/>
      <c r="AO202" s="45" t="e">
        <f>_xlfn.RANK.EQ(AN202,$AN$7:$AN$531)+COUNTIF(AN$7:AN202,AN202)-1</f>
        <v>#N/A</v>
      </c>
      <c r="AP20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02" s="32" t="e">
        <f>FME_Ranking2[[#This Row],[Score Based on Reported Factors]]-FME_Ranking2[[#This Row],[Check]]</f>
        <v>#REF!</v>
      </c>
      <c r="AR202" s="32"/>
    </row>
    <row r="203" spans="1:55" ht="12" customHeight="1" x14ac:dyDescent="0.25">
      <c r="A203" s="16" t="s">
        <v>1655</v>
      </c>
      <c r="B203" s="16" t="str">
        <f>_xlfn.XLOOKUP(FME_Ranking2[[#This Row],[FME ID]],FME_Input[FME_ID],FME_Input[FME_NAME])</f>
        <v>City of Meadows Place  Master Drainage Plan</v>
      </c>
      <c r="C203" s="16" t="str">
        <f>_xlfn.XLOOKUP(FME_Ranking2[[#This Row],[FME ID]],FME_Input[FME_ID],FME_Input[DESCR])</f>
        <v>Study to develop Master Drainage Plan using future and existing land use and flood/storm water drainage needs including Atlas 14 rainfall.</v>
      </c>
      <c r="D203" s="46" t="str">
        <f>_xlfn.XLOOKUP(FME_Ranking2[[#This Row],[FME ID]],FME_Input[FME_ID],FME_Input[EMER_NEED])</f>
        <v>Yes</v>
      </c>
      <c r="E203" s="121">
        <f>IF(FME_Ranking_Option2!$D203="Yes",100,0)</f>
        <v>100</v>
      </c>
      <c r="F203" s="47" t="str">
        <f>_xlfn.XLOOKUP(FME_Ranking2[[#This Row],[FME ID]],FME_Input[FME_ID],FME_Input[FUND])</f>
        <v>Yes</v>
      </c>
      <c r="G203" s="48">
        <f>IF(FME_Ranking_Option2!$F203="Yes",1,0)</f>
        <v>1</v>
      </c>
      <c r="H203" s="46">
        <f>_xlfn.XLOOKUP(FME_Ranking2[[#This Row],[FME ID]],FME_Input[FME_ID],FME_Input[STRUCT_100])</f>
        <v>0</v>
      </c>
      <c r="I203" s="65" t="e">
        <f>FME_Ranking2[[#This Row],[Raw Data3]]*H$4</f>
        <v>#REF!</v>
      </c>
      <c r="J203" s="62">
        <f>((FME_Ranking_Option2!$H203)/($H$3))*100</f>
        <v>0</v>
      </c>
      <c r="K203" s="49" t="e">
        <f>FME_Ranking2[[#This Row],[Norm Data3]]*H$4</f>
        <v>#REF!</v>
      </c>
      <c r="L203" s="50">
        <f>_xlfn.XLOOKUP(FME_Ranking2[[#This Row],[FME ID]],FME_Input[FME_ID],FME_Input[RES_STRUCT100])</f>
        <v>0</v>
      </c>
      <c r="M203" s="51" t="e">
        <f>FME_Ranking2[[#This Row],[Raw Data4]]*L$4</f>
        <v>#REF!</v>
      </c>
      <c r="N203" s="29">
        <f>((FME_Ranking_Option2!$L203)/($L$3))*100</f>
        <v>0</v>
      </c>
      <c r="O203" s="52" t="e">
        <f>FME_Ranking2[[#This Row],[Norm Data4]]*L$4</f>
        <v>#REF!</v>
      </c>
      <c r="P203" s="47">
        <f>_xlfn.XLOOKUP(FME_Ranking2[[#This Row],[FME ID]],FME_Input[FME_ID],FME_Input[POP100])</f>
        <v>0</v>
      </c>
      <c r="Q203" s="48" t="e">
        <f>FME_Ranking_Option2!$P203*P$4</f>
        <v>#REF!</v>
      </c>
      <c r="R203" s="48">
        <f>FME_Ranking_Option2!$P203/($P$3)</f>
        <v>0</v>
      </c>
      <c r="S203" s="48" t="e">
        <f>FME_Ranking_Option2!$R203*P$4</f>
        <v>#REF!</v>
      </c>
      <c r="T203" s="50">
        <f>_xlfn.XLOOKUP(FME_Ranking2[[#This Row],[FME ID]],FME_Input[FME_ID],FME_Input[CRITFAC100])</f>
        <v>0</v>
      </c>
      <c r="U203" s="48" t="e">
        <f>FME_Ranking_Option2!$T203*T$4</f>
        <v>#REF!</v>
      </c>
      <c r="V203" s="48">
        <f>FME_Ranking_Option2!$T203/($T$3)</f>
        <v>0</v>
      </c>
      <c r="W203" s="48" t="e">
        <f>FME_Ranking_Option2!$V203*T$4</f>
        <v>#REF!</v>
      </c>
      <c r="X203" s="50">
        <f>_xlfn.XLOOKUP(FME_Ranking2[[#This Row],[FME ID]],FME_Input[FME_ID],FME_Input[LWC])</f>
        <v>0</v>
      </c>
      <c r="Y203" s="48" t="e">
        <f>FME_Ranking_Option2!$X203*X$4</f>
        <v>#REF!</v>
      </c>
      <c r="Z203" s="48">
        <f>FME_Ranking_Option2!$X203/($X$3)</f>
        <v>0</v>
      </c>
      <c r="AA203" s="48" t="e">
        <f>FME_Ranking_Option2!$Z203*X$4</f>
        <v>#REF!</v>
      </c>
      <c r="AB203" s="50">
        <f>_xlfn.XLOOKUP(FME_Ranking2[[#This Row],[FME ID]],FME_Input[FME_ID],FME_Input[ROADCLS])</f>
        <v>0</v>
      </c>
      <c r="AC203" s="48" t="e">
        <f>FME_Ranking_Option2!$AB203*AB$4</f>
        <v>#REF!</v>
      </c>
      <c r="AD203" s="53">
        <f>_xlfn.XLOOKUP(FME_Ranking2[[#This Row],[FME ID]],FME_Input[FME_ID],FME_Input[ROAD_MILES100])</f>
        <v>1.5144499484449629E-3</v>
      </c>
      <c r="AE203" s="54" t="e">
        <f>FME_Ranking_Option2!$AD203*AD$4</f>
        <v>#REF!</v>
      </c>
      <c r="AF203" s="55">
        <f>FME_Ranking_Option2!$AD203/($AD$3)</f>
        <v>3.4207309435497793E-8</v>
      </c>
      <c r="AG203" s="55" t="e">
        <f>FME_Ranking_Option2!$AF203*AD$4</f>
        <v>#REF!</v>
      </c>
      <c r="AH203" s="53">
        <f>_xlfn.XLOOKUP(FME_Ranking2[[#This Row],[FME ID]],FME_Input[FME_ID],FME_Input[FARMACRE100])</f>
        <v>0</v>
      </c>
      <c r="AI203" s="54" t="e">
        <f>FME_Ranking_Option2!$AH203*AH$4</f>
        <v>#REF!</v>
      </c>
      <c r="AJ203" s="56">
        <f>FME_Ranking_Option2!$AH203/($AH$3)</f>
        <v>0</v>
      </c>
      <c r="AK203" s="57" t="e">
        <f>FME_Ranking_Option2!$AJ203*AH$4</f>
        <v>#REF!</v>
      </c>
      <c r="AL203"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03" s="58" t="e">
        <f>_xlfn.RANK.EQ(AL203,$AL$7:$AL$531)+COUNTIF(AL$7:AL203,AL203)-1</f>
        <v>#REF!</v>
      </c>
      <c r="AN203" s="57"/>
      <c r="AO203" s="58" t="e">
        <f>_xlfn.RANK.EQ(AN203,$AN$7:$AN$531)+COUNTIF(AN$7:AN203,AN203)-1</f>
        <v>#N/A</v>
      </c>
      <c r="AP20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03" s="32" t="e">
        <f>FME_Ranking2[[#This Row],[Score Based on Reported Factors]]-FME_Ranking2[[#This Row],[Check]]</f>
        <v>#REF!</v>
      </c>
      <c r="AR203" s="32"/>
      <c r="AT203" s="19"/>
      <c r="AU203" s="19"/>
      <c r="AV203" s="19"/>
      <c r="AW203" s="19"/>
      <c r="AX203" s="19"/>
      <c r="AY203" s="19"/>
      <c r="AZ203" s="19"/>
      <c r="BA203" s="19"/>
      <c r="BB203" s="19"/>
      <c r="BC203" s="19"/>
    </row>
    <row r="204" spans="1:55" ht="12" customHeight="1" x14ac:dyDescent="0.25">
      <c r="A204" s="17" t="s">
        <v>1659</v>
      </c>
      <c r="B204" s="17" t="str">
        <f>_xlfn.XLOOKUP(FME_Ranking2[[#This Row],[FME ID]],FME_Input[FME_ID],FME_Input[FME_NAME])</f>
        <v>City of Missouri City  Master Drainage Plan</v>
      </c>
      <c r="C204" s="17" t="str">
        <f>_xlfn.XLOOKUP(FME_Ranking2[[#This Row],[FME ID]],FME_Input[FME_ID],FME_Input[DESCR])</f>
        <v>Study to develop Master Drainage Plan using future and existing land use and flood/storm water drainage needs including Atlas 14 rainfall.</v>
      </c>
      <c r="D204" s="33" t="str">
        <f>_xlfn.XLOOKUP(FME_Ranking2[[#This Row],[FME ID]],FME_Input[FME_ID],FME_Input[EMER_NEED])</f>
        <v>No</v>
      </c>
      <c r="E204" s="120">
        <f>IF(FME_Ranking_Option2!$D204="Yes",100,0)</f>
        <v>0</v>
      </c>
      <c r="F204" s="34" t="str">
        <f>_xlfn.XLOOKUP(FME_Ranking2[[#This Row],[FME ID]],FME_Input[FME_ID],FME_Input[FUND])</f>
        <v>Yes</v>
      </c>
      <c r="G204" s="35">
        <f>IF(FME_Ranking_Option2!$F204="Yes",1,0)</f>
        <v>1</v>
      </c>
      <c r="H204" s="33">
        <f>_xlfn.XLOOKUP(FME_Ranking2[[#This Row],[FME ID]],FME_Input[FME_ID],FME_Input[STRUCT_100])</f>
        <v>213</v>
      </c>
      <c r="I204" s="64" t="e">
        <f>FME_Ranking2[[#This Row],[Raw Data3]]*H$4</f>
        <v>#REF!</v>
      </c>
      <c r="J204" s="63">
        <f>((FME_Ranking_Option2!$H204)/($H$3))*100</f>
        <v>2.367011198296641E-2</v>
      </c>
      <c r="K204" s="36" t="e">
        <f>FME_Ranking2[[#This Row],[Norm Data3]]*H$4</f>
        <v>#REF!</v>
      </c>
      <c r="L204" s="37">
        <f>_xlfn.XLOOKUP(FME_Ranking2[[#This Row],[FME ID]],FME_Input[FME_ID],FME_Input[RES_STRUCT100])</f>
        <v>162</v>
      </c>
      <c r="M204" s="38" t="e">
        <f>FME_Ranking2[[#This Row],[Raw Data4]]*L$4</f>
        <v>#REF!</v>
      </c>
      <c r="N204" s="28">
        <f>((FME_Ranking_Option2!$L204)/($L$3))*100</f>
        <v>2.4219482330990621E-2</v>
      </c>
      <c r="O204" s="39" t="e">
        <f>FME_Ranking2[[#This Row],[Norm Data4]]*L$4</f>
        <v>#REF!</v>
      </c>
      <c r="P204" s="34">
        <f>_xlfn.XLOOKUP(FME_Ranking2[[#This Row],[FME ID]],FME_Input[FME_ID],FME_Input[POP100])</f>
        <v>1060</v>
      </c>
      <c r="Q204" s="35" t="e">
        <f>FME_Ranking_Option2!$P204*P$4</f>
        <v>#REF!</v>
      </c>
      <c r="R204" s="35">
        <f>FME_Ranking_Option2!$P204/($P$3)</f>
        <v>3.8904250766523844E-4</v>
      </c>
      <c r="S204" s="35" t="e">
        <f>FME_Ranking_Option2!$R204*P$4</f>
        <v>#REF!</v>
      </c>
      <c r="T204" s="37">
        <f>_xlfn.XLOOKUP(FME_Ranking2[[#This Row],[FME ID]],FME_Input[FME_ID],FME_Input[CRITFAC100])</f>
        <v>1</v>
      </c>
      <c r="U204" s="35" t="e">
        <f>FME_Ranking_Option2!$T204*T$4</f>
        <v>#REF!</v>
      </c>
      <c r="V204" s="35">
        <f>FME_Ranking_Option2!$T204/($T$3)</f>
        <v>1.4102383302778171E-4</v>
      </c>
      <c r="W204" s="35" t="e">
        <f>FME_Ranking_Option2!$V204*T$4</f>
        <v>#REF!</v>
      </c>
      <c r="X204" s="37">
        <f>_xlfn.XLOOKUP(FME_Ranking2[[#This Row],[FME ID]],FME_Input[FME_ID],FME_Input[LWC])</f>
        <v>0</v>
      </c>
      <c r="Y204" s="35" t="e">
        <f>FME_Ranking_Option2!$X204*X$4</f>
        <v>#REF!</v>
      </c>
      <c r="Z204" s="35">
        <f>FME_Ranking_Option2!$X204/($X$3)</f>
        <v>0</v>
      </c>
      <c r="AA204" s="35" t="e">
        <f>FME_Ranking_Option2!$Z204*X$4</f>
        <v>#REF!</v>
      </c>
      <c r="AB204" s="37">
        <f>_xlfn.XLOOKUP(FME_Ranking2[[#This Row],[FME ID]],FME_Input[FME_ID],FME_Input[ROADCLS])</f>
        <v>0</v>
      </c>
      <c r="AC204" s="35" t="e">
        <f>FME_Ranking_Option2!$AB204*AB$4</f>
        <v>#REF!</v>
      </c>
      <c r="AD204" s="40">
        <f>_xlfn.XLOOKUP(FME_Ranking2[[#This Row],[FME ID]],FME_Input[FME_ID],FME_Input[ROAD_MILES100])</f>
        <v>2.6167595386505131</v>
      </c>
      <c r="AE204" s="41" t="e">
        <f>FME_Ranking_Option2!$AD204*AD$4</f>
        <v>#REF!</v>
      </c>
      <c r="AF204" s="42">
        <f>FME_Ranking_Option2!$AD204/($AD$3)</f>
        <v>5.9105488001646916E-5</v>
      </c>
      <c r="AG204" s="42" t="e">
        <f>FME_Ranking_Option2!$AF204*AD$4</f>
        <v>#REF!</v>
      </c>
      <c r="AH204" s="40">
        <f>_xlfn.XLOOKUP(FME_Ranking2[[#This Row],[FME ID]],FME_Input[FME_ID],FME_Input[FARMACRE100])</f>
        <v>2.0866527557373051</v>
      </c>
      <c r="AI204" s="43" t="e">
        <f>FME_Ranking_Option2!$AH204*AH$4</f>
        <v>#REF!</v>
      </c>
      <c r="AJ204" s="41">
        <f>FME_Ranking_Option2!$AH204/($AH$3)</f>
        <v>1.2116345305004734E-4</v>
      </c>
      <c r="AK204" s="44" t="e">
        <f>FME_Ranking_Option2!$AJ204*AH$4</f>
        <v>#REF!</v>
      </c>
      <c r="AL204"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04" s="45" t="e">
        <f>_xlfn.RANK.EQ(AL204,$AL$7:$AL$531)+COUNTIF(AL$7:AL204,AL204)-1</f>
        <v>#REF!</v>
      </c>
      <c r="AN204" s="44"/>
      <c r="AO204" s="45" t="e">
        <f>_xlfn.RANK.EQ(AN204,$AN$7:$AN$531)+COUNTIF(AN$7:AN204,AN204)-1</f>
        <v>#N/A</v>
      </c>
      <c r="AP20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04" s="32" t="e">
        <f>FME_Ranking2[[#This Row],[Score Based on Reported Factors]]-FME_Ranking2[[#This Row],[Check]]</f>
        <v>#REF!</v>
      </c>
      <c r="AR204" s="32"/>
    </row>
    <row r="205" spans="1:55" ht="12" customHeight="1" x14ac:dyDescent="0.25">
      <c r="A205" s="16" t="s">
        <v>1663</v>
      </c>
      <c r="B205" s="16" t="str">
        <f>_xlfn.XLOOKUP(FME_Ranking2[[#This Row],[FME ID]],FME_Input[FME_ID],FME_Input[FME_NAME])</f>
        <v>City of Mont Belvieu  Master Drainage Plan</v>
      </c>
      <c r="C205" s="16" t="str">
        <f>_xlfn.XLOOKUP(FME_Ranking2[[#This Row],[FME ID]],FME_Input[FME_ID],FME_Input[DESCR])</f>
        <v>Study to develop Master Drainage Plan using future and existing land use and flood/storm water drainage needs including Atlas 14 rainfall.</v>
      </c>
      <c r="D205" s="46" t="str">
        <f>_xlfn.XLOOKUP(FME_Ranking2[[#This Row],[FME ID]],FME_Input[FME_ID],FME_Input[EMER_NEED])</f>
        <v>No</v>
      </c>
      <c r="E205" s="121">
        <f>IF(FME_Ranking_Option2!$D205="Yes",100,0)</f>
        <v>0</v>
      </c>
      <c r="F205" s="47" t="str">
        <f>_xlfn.XLOOKUP(FME_Ranking2[[#This Row],[FME ID]],FME_Input[FME_ID],FME_Input[FUND])</f>
        <v>Yes</v>
      </c>
      <c r="G205" s="48">
        <f>IF(FME_Ranking_Option2!$F205="Yes",1,0)</f>
        <v>1</v>
      </c>
      <c r="H205" s="46">
        <f>_xlfn.XLOOKUP(FME_Ranking2[[#This Row],[FME ID]],FME_Input[FME_ID],FME_Input[STRUCT_100])</f>
        <v>30</v>
      </c>
      <c r="I205" s="65" t="e">
        <f>FME_Ranking2[[#This Row],[Raw Data3]]*H$4</f>
        <v>#REF!</v>
      </c>
      <c r="J205" s="62">
        <f>((FME_Ranking_Option2!$H205)/($H$3))*100</f>
        <v>3.3338185891501984E-3</v>
      </c>
      <c r="K205" s="49" t="e">
        <f>FME_Ranking2[[#This Row],[Norm Data3]]*H$4</f>
        <v>#REF!</v>
      </c>
      <c r="L205" s="50">
        <f>_xlfn.XLOOKUP(FME_Ranking2[[#This Row],[FME ID]],FME_Input[FME_ID],FME_Input[RES_STRUCT100])</f>
        <v>11</v>
      </c>
      <c r="M205" s="51" t="e">
        <f>FME_Ranking2[[#This Row],[Raw Data4]]*L$4</f>
        <v>#REF!</v>
      </c>
      <c r="N205" s="29">
        <f>((FME_Ranking_Option2!$L205)/($L$3))*100</f>
        <v>1.6445327508697336E-3</v>
      </c>
      <c r="O205" s="52" t="e">
        <f>FME_Ranking2[[#This Row],[Norm Data4]]*L$4</f>
        <v>#REF!</v>
      </c>
      <c r="P205" s="47">
        <f>_xlfn.XLOOKUP(FME_Ranking2[[#This Row],[FME ID]],FME_Input[FME_ID],FME_Input[POP100])</f>
        <v>30</v>
      </c>
      <c r="Q205" s="48" t="e">
        <f>FME_Ranking_Option2!$P205*P$4</f>
        <v>#REF!</v>
      </c>
      <c r="R205" s="48">
        <f>FME_Ranking_Option2!$P205/($P$3)</f>
        <v>1.1010637009393542E-5</v>
      </c>
      <c r="S205" s="48" t="e">
        <f>FME_Ranking_Option2!$R205*P$4</f>
        <v>#REF!</v>
      </c>
      <c r="T205" s="50">
        <f>_xlfn.XLOOKUP(FME_Ranking2[[#This Row],[FME ID]],FME_Input[FME_ID],FME_Input[CRITFAC100])</f>
        <v>0</v>
      </c>
      <c r="U205" s="48" t="e">
        <f>FME_Ranking_Option2!$T205*T$4</f>
        <v>#REF!</v>
      </c>
      <c r="V205" s="48">
        <f>FME_Ranking_Option2!$T205/($T$3)</f>
        <v>0</v>
      </c>
      <c r="W205" s="48" t="e">
        <f>FME_Ranking_Option2!$V205*T$4</f>
        <v>#REF!</v>
      </c>
      <c r="X205" s="50">
        <f>_xlfn.XLOOKUP(FME_Ranking2[[#This Row],[FME ID]],FME_Input[FME_ID],FME_Input[LWC])</f>
        <v>0</v>
      </c>
      <c r="Y205" s="48" t="e">
        <f>FME_Ranking_Option2!$X205*X$4</f>
        <v>#REF!</v>
      </c>
      <c r="Z205" s="48">
        <f>FME_Ranking_Option2!$X205/($X$3)</f>
        <v>0</v>
      </c>
      <c r="AA205" s="48" t="e">
        <f>FME_Ranking_Option2!$Z205*X$4</f>
        <v>#REF!</v>
      </c>
      <c r="AB205" s="50">
        <f>_xlfn.XLOOKUP(FME_Ranking2[[#This Row],[FME ID]],FME_Input[FME_ID],FME_Input[ROADCLS])</f>
        <v>0</v>
      </c>
      <c r="AC205" s="48" t="e">
        <f>FME_Ranking_Option2!$AB205*AB$4</f>
        <v>#REF!</v>
      </c>
      <c r="AD205" s="53">
        <f>_xlfn.XLOOKUP(FME_Ranking2[[#This Row],[FME ID]],FME_Input[FME_ID],FME_Input[ROAD_MILES100])</f>
        <v>1.5434155464172361</v>
      </c>
      <c r="AE205" s="54" t="e">
        <f>FME_Ranking_Option2!$AD205*AD$4</f>
        <v>#REF!</v>
      </c>
      <c r="AF205" s="55">
        <f>FME_Ranking_Option2!$AD205/($AD$3)</f>
        <v>3.4861563591496257E-5</v>
      </c>
      <c r="AG205" s="55" t="e">
        <f>FME_Ranking_Option2!$AF205*AD$4</f>
        <v>#REF!</v>
      </c>
      <c r="AH205" s="53">
        <f>_xlfn.XLOOKUP(FME_Ranking2[[#This Row],[FME ID]],FME_Input[FME_ID],FME_Input[FARMACRE100])</f>
        <v>5.0982732772827148</v>
      </c>
      <c r="AI205" s="54" t="e">
        <f>FME_Ranking_Option2!$AH205*AH$4</f>
        <v>#REF!</v>
      </c>
      <c r="AJ205" s="56">
        <f>FME_Ranking_Option2!$AH205/($AH$3)</f>
        <v>2.9603602859647161E-4</v>
      </c>
      <c r="AK205" s="57" t="e">
        <f>FME_Ranking_Option2!$AJ205*AH$4</f>
        <v>#REF!</v>
      </c>
      <c r="AL205"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05" s="58" t="e">
        <f>_xlfn.RANK.EQ(AL205,$AL$7:$AL$531)+COUNTIF(AL$7:AL205,AL205)-1</f>
        <v>#REF!</v>
      </c>
      <c r="AN205" s="57"/>
      <c r="AO205" s="58" t="e">
        <f>_xlfn.RANK.EQ(AN205,$AN$7:$AN$531)+COUNTIF(AN$7:AN205,AN205)-1</f>
        <v>#N/A</v>
      </c>
      <c r="AP20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05" s="32" t="e">
        <f>FME_Ranking2[[#This Row],[Score Based on Reported Factors]]-FME_Ranking2[[#This Row],[Check]]</f>
        <v>#REF!</v>
      </c>
      <c r="AR205" s="32"/>
      <c r="AT205" s="19"/>
      <c r="AU205" s="19"/>
      <c r="AV205" s="19"/>
      <c r="AW205" s="19"/>
      <c r="AX205" s="19"/>
      <c r="AY205" s="19"/>
      <c r="AZ205" s="19"/>
      <c r="BA205" s="19"/>
      <c r="BB205" s="19"/>
      <c r="BC205" s="19"/>
    </row>
    <row r="206" spans="1:55" ht="12" customHeight="1" x14ac:dyDescent="0.25">
      <c r="A206" s="17" t="s">
        <v>1669</v>
      </c>
      <c r="B206" s="17" t="str">
        <f>_xlfn.XLOOKUP(FME_Ranking2[[#This Row],[FME ID]],FME_Input[FME_ID],FME_Input[FME_NAME])</f>
        <v>City of Montgomery  Master Drainage Plan</v>
      </c>
      <c r="C206" s="17" t="str">
        <f>_xlfn.XLOOKUP(FME_Ranking2[[#This Row],[FME ID]],FME_Input[FME_ID],FME_Input[DESCR])</f>
        <v>Study to develop Master Drainage Plan using future and existing land use and flood/storm water drainage needs including Atlas 14 rainfall.</v>
      </c>
      <c r="D206" s="33" t="str">
        <f>_xlfn.XLOOKUP(FME_Ranking2[[#This Row],[FME ID]],FME_Input[FME_ID],FME_Input[EMER_NEED])</f>
        <v>No</v>
      </c>
      <c r="E206" s="120">
        <f>IF(FME_Ranking_Option2!$D206="Yes",100,0)</f>
        <v>0</v>
      </c>
      <c r="F206" s="34" t="str">
        <f>_xlfn.XLOOKUP(FME_Ranking2[[#This Row],[FME ID]],FME_Input[FME_ID],FME_Input[FUND])</f>
        <v>Yes</v>
      </c>
      <c r="G206" s="35">
        <f>IF(FME_Ranking_Option2!$F206="Yes",1,0)</f>
        <v>1</v>
      </c>
      <c r="H206" s="33">
        <f>_xlfn.XLOOKUP(FME_Ranking2[[#This Row],[FME ID]],FME_Input[FME_ID],FME_Input[STRUCT_100])</f>
        <v>27</v>
      </c>
      <c r="I206" s="64" t="e">
        <f>FME_Ranking2[[#This Row],[Raw Data3]]*H$4</f>
        <v>#REF!</v>
      </c>
      <c r="J206" s="63">
        <f>((FME_Ranking_Option2!$H206)/($H$3))*100</f>
        <v>3.0004367302351783E-3</v>
      </c>
      <c r="K206" s="36" t="e">
        <f>FME_Ranking2[[#This Row],[Norm Data3]]*H$4</f>
        <v>#REF!</v>
      </c>
      <c r="L206" s="37">
        <f>_xlfn.XLOOKUP(FME_Ranking2[[#This Row],[FME ID]],FME_Input[FME_ID],FME_Input[RES_STRUCT100])</f>
        <v>18</v>
      </c>
      <c r="M206" s="38" t="e">
        <f>FME_Ranking2[[#This Row],[Raw Data4]]*L$4</f>
        <v>#REF!</v>
      </c>
      <c r="N206" s="28">
        <f>((FME_Ranking_Option2!$L206)/($L$3))*100</f>
        <v>2.6910535923322914E-3</v>
      </c>
      <c r="O206" s="39" t="e">
        <f>FME_Ranking2[[#This Row],[Norm Data4]]*L$4</f>
        <v>#REF!</v>
      </c>
      <c r="P206" s="34">
        <f>_xlfn.XLOOKUP(FME_Ranking2[[#This Row],[FME ID]],FME_Input[FME_ID],FME_Input[POP100])</f>
        <v>11</v>
      </c>
      <c r="Q206" s="35" t="e">
        <f>FME_Ranking_Option2!$P206*P$4</f>
        <v>#REF!</v>
      </c>
      <c r="R206" s="35">
        <f>FME_Ranking_Option2!$P206/($P$3)</f>
        <v>4.0372335701109652E-6</v>
      </c>
      <c r="S206" s="35" t="e">
        <f>FME_Ranking_Option2!$R206*P$4</f>
        <v>#REF!</v>
      </c>
      <c r="T206" s="37">
        <f>_xlfn.XLOOKUP(FME_Ranking2[[#This Row],[FME ID]],FME_Input[FME_ID],FME_Input[CRITFAC100])</f>
        <v>0</v>
      </c>
      <c r="U206" s="35" t="e">
        <f>FME_Ranking_Option2!$T206*T$4</f>
        <v>#REF!</v>
      </c>
      <c r="V206" s="35">
        <f>FME_Ranking_Option2!$T206/($T$3)</f>
        <v>0</v>
      </c>
      <c r="W206" s="35" t="e">
        <f>FME_Ranking_Option2!$V206*T$4</f>
        <v>#REF!</v>
      </c>
      <c r="X206" s="37">
        <f>_xlfn.XLOOKUP(FME_Ranking2[[#This Row],[FME ID]],FME_Input[FME_ID],FME_Input[LWC])</f>
        <v>0</v>
      </c>
      <c r="Y206" s="35" t="e">
        <f>FME_Ranking_Option2!$X206*X$4</f>
        <v>#REF!</v>
      </c>
      <c r="Z206" s="35">
        <f>FME_Ranking_Option2!$X206/($X$3)</f>
        <v>0</v>
      </c>
      <c r="AA206" s="35" t="e">
        <f>FME_Ranking_Option2!$Z206*X$4</f>
        <v>#REF!</v>
      </c>
      <c r="AB206" s="37">
        <f>_xlfn.XLOOKUP(FME_Ranking2[[#This Row],[FME ID]],FME_Input[FME_ID],FME_Input[ROADCLS])</f>
        <v>0</v>
      </c>
      <c r="AC206" s="35" t="e">
        <f>FME_Ranking_Option2!$AB206*AB$4</f>
        <v>#REF!</v>
      </c>
      <c r="AD206" s="40">
        <f>_xlfn.XLOOKUP(FME_Ranking2[[#This Row],[FME ID]],FME_Input[FME_ID],FME_Input[ROAD_MILES100])</f>
        <v>0.86196702718734741</v>
      </c>
      <c r="AE206" s="41" t="e">
        <f>FME_Ranking_Option2!$AD206*AD$4</f>
        <v>#REF!</v>
      </c>
      <c r="AF206" s="42">
        <f>FME_Ranking_Option2!$AD206/($AD$3)</f>
        <v>1.9469493100428649E-5</v>
      </c>
      <c r="AG206" s="42" t="e">
        <f>FME_Ranking_Option2!$AF206*AD$4</f>
        <v>#REF!</v>
      </c>
      <c r="AH206" s="40">
        <f>_xlfn.XLOOKUP(FME_Ranking2[[#This Row],[FME ID]],FME_Input[FME_ID],FME_Input[FARMACRE100])</f>
        <v>2.7234022617340088</v>
      </c>
      <c r="AI206" s="43" t="e">
        <f>FME_Ranking_Option2!$AH206*AH$4</f>
        <v>#REF!</v>
      </c>
      <c r="AJ206" s="41">
        <f>FME_Ranking_Option2!$AH206/($AH$3)</f>
        <v>1.5813691145722333E-4</v>
      </c>
      <c r="AK206" s="44" t="e">
        <f>FME_Ranking_Option2!$AJ206*AH$4</f>
        <v>#REF!</v>
      </c>
      <c r="AL206"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06" s="45" t="e">
        <f>_xlfn.RANK.EQ(AL206,$AL$7:$AL$531)+COUNTIF(AL$7:AL206,AL206)-1</f>
        <v>#REF!</v>
      </c>
      <c r="AN206" s="44"/>
      <c r="AO206" s="45" t="e">
        <f>_xlfn.RANK.EQ(AN206,$AN$7:$AN$531)+COUNTIF(AN$7:AN206,AN206)-1</f>
        <v>#N/A</v>
      </c>
      <c r="AP20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06" s="32" t="e">
        <f>FME_Ranking2[[#This Row],[Score Based on Reported Factors]]-FME_Ranking2[[#This Row],[Check]]</f>
        <v>#REF!</v>
      </c>
      <c r="AR206" s="32"/>
    </row>
    <row r="207" spans="1:55" ht="12" customHeight="1" x14ac:dyDescent="0.25">
      <c r="A207" s="16" t="s">
        <v>1676</v>
      </c>
      <c r="B207" s="16" t="str">
        <f>_xlfn.XLOOKUP(FME_Ranking2[[#This Row],[FME ID]],FME_Input[FME_ID],FME_Input[FME_NAME])</f>
        <v>City of Morgan's Point  Master Drainage Plan</v>
      </c>
      <c r="C207" s="16" t="str">
        <f>_xlfn.XLOOKUP(FME_Ranking2[[#This Row],[FME ID]],FME_Input[FME_ID],FME_Input[DESCR])</f>
        <v>Study to develop Master Drainage Plan using future and existing land use and flood/storm water drainage needs including Atlas 14 rainfall.</v>
      </c>
      <c r="D207" s="46" t="str">
        <f>_xlfn.XLOOKUP(FME_Ranking2[[#This Row],[FME ID]],FME_Input[FME_ID],FME_Input[EMER_NEED])</f>
        <v>Yes</v>
      </c>
      <c r="E207" s="121">
        <f>IF(FME_Ranking_Option2!$D207="Yes",100,0)</f>
        <v>100</v>
      </c>
      <c r="F207" s="47" t="str">
        <f>_xlfn.XLOOKUP(FME_Ranking2[[#This Row],[FME ID]],FME_Input[FME_ID],FME_Input[FUND])</f>
        <v>Yes</v>
      </c>
      <c r="G207" s="48">
        <f>IF(FME_Ranking_Option2!$F207="Yes",1,0)</f>
        <v>1</v>
      </c>
      <c r="H207" s="46">
        <f>_xlfn.XLOOKUP(FME_Ranking2[[#This Row],[FME ID]],FME_Input[FME_ID],FME_Input[STRUCT_100])</f>
        <v>48</v>
      </c>
      <c r="I207" s="65" t="e">
        <f>FME_Ranking2[[#This Row],[Raw Data3]]*H$4</f>
        <v>#REF!</v>
      </c>
      <c r="J207" s="62">
        <f>((FME_Ranking_Option2!$H207)/($H$3))*100</f>
        <v>5.3341097426403174E-3</v>
      </c>
      <c r="K207" s="49" t="e">
        <f>FME_Ranking2[[#This Row],[Norm Data3]]*H$4</f>
        <v>#REF!</v>
      </c>
      <c r="L207" s="50">
        <f>_xlfn.XLOOKUP(FME_Ranking2[[#This Row],[FME ID]],FME_Input[FME_ID],FME_Input[RES_STRUCT100])</f>
        <v>46</v>
      </c>
      <c r="M207" s="51" t="e">
        <f>FME_Ranking2[[#This Row],[Raw Data4]]*L$4</f>
        <v>#REF!</v>
      </c>
      <c r="N207" s="29">
        <f>((FME_Ranking_Option2!$L207)/($L$3))*100</f>
        <v>6.8771369581825219E-3</v>
      </c>
      <c r="O207" s="52" t="e">
        <f>FME_Ranking2[[#This Row],[Norm Data4]]*L$4</f>
        <v>#REF!</v>
      </c>
      <c r="P207" s="47">
        <f>_xlfn.XLOOKUP(FME_Ranking2[[#This Row],[FME ID]],FME_Input[FME_ID],FME_Input[POP100])</f>
        <v>330</v>
      </c>
      <c r="Q207" s="48" t="e">
        <f>FME_Ranking_Option2!$P207*P$4</f>
        <v>#REF!</v>
      </c>
      <c r="R207" s="48">
        <f>FME_Ranking_Option2!$P207/($P$3)</f>
        <v>1.2111700710332895E-4</v>
      </c>
      <c r="S207" s="48" t="e">
        <f>FME_Ranking_Option2!$R207*P$4</f>
        <v>#REF!</v>
      </c>
      <c r="T207" s="50">
        <f>_xlfn.XLOOKUP(FME_Ranking2[[#This Row],[FME ID]],FME_Input[FME_ID],FME_Input[CRITFAC100])</f>
        <v>0</v>
      </c>
      <c r="U207" s="48" t="e">
        <f>FME_Ranking_Option2!$T207*T$4</f>
        <v>#REF!</v>
      </c>
      <c r="V207" s="48">
        <f>FME_Ranking_Option2!$T207/($T$3)</f>
        <v>0</v>
      </c>
      <c r="W207" s="48" t="e">
        <f>FME_Ranking_Option2!$V207*T$4</f>
        <v>#REF!</v>
      </c>
      <c r="X207" s="50">
        <f>_xlfn.XLOOKUP(FME_Ranking2[[#This Row],[FME ID]],FME_Input[FME_ID],FME_Input[LWC])</f>
        <v>0</v>
      </c>
      <c r="Y207" s="48" t="e">
        <f>FME_Ranking_Option2!$X207*X$4</f>
        <v>#REF!</v>
      </c>
      <c r="Z207" s="48">
        <f>FME_Ranking_Option2!$X207/($X$3)</f>
        <v>0</v>
      </c>
      <c r="AA207" s="48" t="e">
        <f>FME_Ranking_Option2!$Z207*X$4</f>
        <v>#REF!</v>
      </c>
      <c r="AB207" s="50">
        <f>_xlfn.XLOOKUP(FME_Ranking2[[#This Row],[FME ID]],FME_Input[FME_ID],FME_Input[ROADCLS])</f>
        <v>0</v>
      </c>
      <c r="AC207" s="48" t="e">
        <f>FME_Ranking_Option2!$AB207*AB$4</f>
        <v>#REF!</v>
      </c>
      <c r="AD207" s="53">
        <f>_xlfn.XLOOKUP(FME_Ranking2[[#This Row],[FME ID]],FME_Input[FME_ID],FME_Input[ROAD_MILES100])</f>
        <v>7.4120506644248962E-2</v>
      </c>
      <c r="AE207" s="54" t="e">
        <f>FME_Ranking_Option2!$AD207*AD$4</f>
        <v>#REF!</v>
      </c>
      <c r="AF207" s="55">
        <f>FME_Ranking_Option2!$AD207/($AD$3)</f>
        <v>1.6741808528562516E-6</v>
      </c>
      <c r="AG207" s="55" t="e">
        <f>FME_Ranking_Option2!$AF207*AD$4</f>
        <v>#REF!</v>
      </c>
      <c r="AH207" s="53">
        <f>_xlfn.XLOOKUP(FME_Ranking2[[#This Row],[FME ID]],FME_Input[FME_ID],FME_Input[FARMACRE100])</f>
        <v>1.000524759292603</v>
      </c>
      <c r="AI207" s="54" t="e">
        <f>FME_Ranking_Option2!$AH207*AH$4</f>
        <v>#REF!</v>
      </c>
      <c r="AJ207" s="56">
        <f>FME_Ranking_Option2!$AH207/($AH$3)</f>
        <v>5.8096410322533242E-5</v>
      </c>
      <c r="AK207" s="57" t="e">
        <f>FME_Ranking_Option2!$AJ207*AH$4</f>
        <v>#REF!</v>
      </c>
      <c r="AL207"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07" s="58" t="e">
        <f>_xlfn.RANK.EQ(AL207,$AL$7:$AL$531)+COUNTIF(AL$7:AL207,AL207)-1</f>
        <v>#REF!</v>
      </c>
      <c r="AN207" s="57"/>
      <c r="AO207" s="58" t="e">
        <f>_xlfn.RANK.EQ(AN207,$AN$7:$AN$531)+COUNTIF(AN$7:AN207,AN207)-1</f>
        <v>#N/A</v>
      </c>
      <c r="AP20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07" s="32" t="e">
        <f>FME_Ranking2[[#This Row],[Score Based on Reported Factors]]-FME_Ranking2[[#This Row],[Check]]</f>
        <v>#REF!</v>
      </c>
      <c r="AR207" s="32"/>
      <c r="AT207" s="19"/>
      <c r="AU207" s="19"/>
      <c r="AV207" s="19"/>
      <c r="AW207" s="19"/>
      <c r="AX207" s="19"/>
      <c r="AY207" s="19"/>
      <c r="AZ207" s="19"/>
      <c r="BA207" s="19"/>
      <c r="BB207" s="19"/>
      <c r="BC207" s="19"/>
    </row>
    <row r="208" spans="1:55" ht="12" customHeight="1" x14ac:dyDescent="0.25">
      <c r="A208" s="17" t="s">
        <v>1680</v>
      </c>
      <c r="B208" s="17" t="str">
        <f>_xlfn.XLOOKUP(FME_Ranking2[[#This Row],[FME ID]],FME_Input[FME_ID],FME_Input[FME_NAME])</f>
        <v>City of Nassau Bay  Master Drainage Plan</v>
      </c>
      <c r="C208" s="17" t="str">
        <f>_xlfn.XLOOKUP(FME_Ranking2[[#This Row],[FME ID]],FME_Input[FME_ID],FME_Input[DESCR])</f>
        <v>Study to develop Master Drainage Plan using future and existing land use and flood/storm water drainage needs including Atlas 14 rainfall.</v>
      </c>
      <c r="D208" s="33" t="str">
        <f>_xlfn.XLOOKUP(FME_Ranking2[[#This Row],[FME ID]],FME_Input[FME_ID],FME_Input[EMER_NEED])</f>
        <v>Yes</v>
      </c>
      <c r="E208" s="120">
        <f>IF(FME_Ranking_Option2!$D208="Yes",100,0)</f>
        <v>100</v>
      </c>
      <c r="F208" s="34" t="str">
        <f>_xlfn.XLOOKUP(FME_Ranking2[[#This Row],[FME ID]],FME_Input[FME_ID],FME_Input[FUND])</f>
        <v>Yes</v>
      </c>
      <c r="G208" s="35">
        <f>IF(FME_Ranking_Option2!$F208="Yes",1,0)</f>
        <v>1</v>
      </c>
      <c r="H208" s="33">
        <f>_xlfn.XLOOKUP(FME_Ranking2[[#This Row],[FME ID]],FME_Input[FME_ID],FME_Input[STRUCT_100])</f>
        <v>1022</v>
      </c>
      <c r="I208" s="64" t="e">
        <f>FME_Ranking2[[#This Row],[Raw Data3]]*H$4</f>
        <v>#REF!</v>
      </c>
      <c r="J208" s="63">
        <f>((FME_Ranking_Option2!$H208)/($H$3))*100</f>
        <v>0.11357208660371676</v>
      </c>
      <c r="K208" s="36" t="e">
        <f>FME_Ranking2[[#This Row],[Norm Data3]]*H$4</f>
        <v>#REF!</v>
      </c>
      <c r="L208" s="37">
        <f>_xlfn.XLOOKUP(FME_Ranking2[[#This Row],[FME ID]],FME_Input[FME_ID],FME_Input[RES_STRUCT100])</f>
        <v>945</v>
      </c>
      <c r="M208" s="38" t="e">
        <f>FME_Ranking2[[#This Row],[Raw Data4]]*L$4</f>
        <v>#REF!</v>
      </c>
      <c r="N208" s="28">
        <f>((FME_Ranking_Option2!$L208)/($L$3))*100</f>
        <v>0.14128031359744528</v>
      </c>
      <c r="O208" s="39" t="e">
        <f>FME_Ranking2[[#This Row],[Norm Data4]]*L$4</f>
        <v>#REF!</v>
      </c>
      <c r="P208" s="34">
        <f>_xlfn.XLOOKUP(FME_Ranking2[[#This Row],[FME ID]],FME_Input[FME_ID],FME_Input[POP100])</f>
        <v>7735</v>
      </c>
      <c r="Q208" s="35" t="e">
        <f>FME_Ranking_Option2!$P208*P$4</f>
        <v>#REF!</v>
      </c>
      <c r="R208" s="35">
        <f>FME_Ranking_Option2!$P208/($P$3)</f>
        <v>2.8389092422553015E-3</v>
      </c>
      <c r="S208" s="35" t="e">
        <f>FME_Ranking_Option2!$R208*P$4</f>
        <v>#REF!</v>
      </c>
      <c r="T208" s="37">
        <f>_xlfn.XLOOKUP(FME_Ranking2[[#This Row],[FME ID]],FME_Input[FME_ID],FME_Input[CRITFAC100])</f>
        <v>19</v>
      </c>
      <c r="U208" s="35" t="e">
        <f>FME_Ranking_Option2!$T208*T$4</f>
        <v>#REF!</v>
      </c>
      <c r="V208" s="35">
        <f>FME_Ranking_Option2!$T208/($T$3)</f>
        <v>2.6794528275278524E-3</v>
      </c>
      <c r="W208" s="35" t="e">
        <f>FME_Ranking_Option2!$V208*T$4</f>
        <v>#REF!</v>
      </c>
      <c r="X208" s="37">
        <f>_xlfn.XLOOKUP(FME_Ranking2[[#This Row],[FME ID]],FME_Input[FME_ID],FME_Input[LWC])</f>
        <v>0</v>
      </c>
      <c r="Y208" s="35" t="e">
        <f>FME_Ranking_Option2!$X208*X$4</f>
        <v>#REF!</v>
      </c>
      <c r="Z208" s="35">
        <f>FME_Ranking_Option2!$X208/($X$3)</f>
        <v>0</v>
      </c>
      <c r="AA208" s="35" t="e">
        <f>FME_Ranking_Option2!$Z208*X$4</f>
        <v>#REF!</v>
      </c>
      <c r="AB208" s="37">
        <f>_xlfn.XLOOKUP(FME_Ranking2[[#This Row],[FME ID]],FME_Input[FME_ID],FME_Input[ROADCLS])</f>
        <v>0</v>
      </c>
      <c r="AC208" s="35" t="e">
        <f>FME_Ranking_Option2!$AB208*AB$4</f>
        <v>#REF!</v>
      </c>
      <c r="AD208" s="40">
        <f>_xlfn.XLOOKUP(FME_Ranking2[[#This Row],[FME ID]],FME_Input[FME_ID],FME_Input[ROAD_MILES100])</f>
        <v>17.524692535400391</v>
      </c>
      <c r="AE208" s="41" t="e">
        <f>FME_Ranking_Option2!$AD208*AD$4</f>
        <v>#REF!</v>
      </c>
      <c r="AF208" s="42">
        <f>FME_Ranking_Option2!$AD208/($AD$3)</f>
        <v>3.9583518817240402E-4</v>
      </c>
      <c r="AG208" s="42" t="e">
        <f>FME_Ranking_Option2!$AF208*AD$4</f>
        <v>#REF!</v>
      </c>
      <c r="AH208" s="40">
        <f>_xlfn.XLOOKUP(FME_Ranking2[[#This Row],[FME ID]],FME_Input[FME_ID],FME_Input[FARMACRE100])</f>
        <v>0.50870704650878906</v>
      </c>
      <c r="AI208" s="43" t="e">
        <f>FME_Ranking_Option2!$AH208*AH$4</f>
        <v>#REF!</v>
      </c>
      <c r="AJ208" s="41">
        <f>FME_Ranking_Option2!$AH208/($AH$3)</f>
        <v>2.9538552677930826E-5</v>
      </c>
      <c r="AK208" s="44" t="e">
        <f>FME_Ranking_Option2!$AJ208*AH$4</f>
        <v>#REF!</v>
      </c>
      <c r="AL20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08" s="45" t="e">
        <f>_xlfn.RANK.EQ(AL208,$AL$7:$AL$531)+COUNTIF(AL$7:AL208,AL208)-1</f>
        <v>#REF!</v>
      </c>
      <c r="AN208" s="44"/>
      <c r="AO208" s="45" t="e">
        <f>_xlfn.RANK.EQ(AN208,$AN$7:$AN$531)+COUNTIF(AN$7:AN208,AN208)-1</f>
        <v>#N/A</v>
      </c>
      <c r="AP20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08" s="32" t="e">
        <f>FME_Ranking2[[#This Row],[Score Based on Reported Factors]]-FME_Ranking2[[#This Row],[Check]]</f>
        <v>#REF!</v>
      </c>
      <c r="AR208" s="32"/>
    </row>
    <row r="209" spans="1:55" ht="12" customHeight="1" x14ac:dyDescent="0.25">
      <c r="A209" s="16" t="s">
        <v>1684</v>
      </c>
      <c r="B209" s="16" t="str">
        <f>_xlfn.XLOOKUP(FME_Ranking2[[#This Row],[FME ID]],FME_Input[FME_ID],FME_Input[FME_NAME])</f>
        <v>City of New Waverly  Master Drainage Plan</v>
      </c>
      <c r="C209" s="16" t="str">
        <f>_xlfn.XLOOKUP(FME_Ranking2[[#This Row],[FME ID]],FME_Input[FME_ID],FME_Input[DESCR])</f>
        <v>Study to develop Master Drainage Plan using future and existing land use and flood/storm water drainage needs including Atlas 14 rainfall.</v>
      </c>
      <c r="D209" s="46" t="str">
        <f>_xlfn.XLOOKUP(FME_Ranking2[[#This Row],[FME ID]],FME_Input[FME_ID],FME_Input[EMER_NEED])</f>
        <v>No</v>
      </c>
      <c r="E209" s="121">
        <f>IF(FME_Ranking_Option2!$D209="Yes",100,0)</f>
        <v>0</v>
      </c>
      <c r="F209" s="47" t="str">
        <f>_xlfn.XLOOKUP(FME_Ranking2[[#This Row],[FME ID]],FME_Input[FME_ID],FME_Input[FUND])</f>
        <v>Yes</v>
      </c>
      <c r="G209" s="48">
        <f>IF(FME_Ranking_Option2!$F209="Yes",1,0)</f>
        <v>1</v>
      </c>
      <c r="H209" s="46">
        <f>_xlfn.XLOOKUP(FME_Ranking2[[#This Row],[FME ID]],FME_Input[FME_ID],FME_Input[STRUCT_100])</f>
        <v>23</v>
      </c>
      <c r="I209" s="65" t="e">
        <f>FME_Ranking2[[#This Row],[Raw Data3]]*H$4</f>
        <v>#REF!</v>
      </c>
      <c r="J209" s="62">
        <f>((FME_Ranking_Option2!$H209)/($H$3))*100</f>
        <v>2.5559275850151521E-3</v>
      </c>
      <c r="K209" s="49" t="e">
        <f>FME_Ranking2[[#This Row],[Norm Data3]]*H$4</f>
        <v>#REF!</v>
      </c>
      <c r="L209" s="50">
        <f>_xlfn.XLOOKUP(FME_Ranking2[[#This Row],[FME ID]],FME_Input[FME_ID],FME_Input[RES_STRUCT100])</f>
        <v>18</v>
      </c>
      <c r="M209" s="51" t="e">
        <f>FME_Ranking2[[#This Row],[Raw Data4]]*L$4</f>
        <v>#REF!</v>
      </c>
      <c r="N209" s="29">
        <f>((FME_Ranking_Option2!$L209)/($L$3))*100</f>
        <v>2.6910535923322914E-3</v>
      </c>
      <c r="O209" s="52" t="e">
        <f>FME_Ranking2[[#This Row],[Norm Data4]]*L$4</f>
        <v>#REF!</v>
      </c>
      <c r="P209" s="47">
        <f>_xlfn.XLOOKUP(FME_Ranking2[[#This Row],[FME ID]],FME_Input[FME_ID],FME_Input[POP100])</f>
        <v>19</v>
      </c>
      <c r="Q209" s="48" t="e">
        <f>FME_Ranking_Option2!$P209*P$4</f>
        <v>#REF!</v>
      </c>
      <c r="R209" s="48">
        <f>FME_Ranking_Option2!$P209/($P$3)</f>
        <v>6.9734034392825764E-6</v>
      </c>
      <c r="S209" s="48" t="e">
        <f>FME_Ranking_Option2!$R209*P$4</f>
        <v>#REF!</v>
      </c>
      <c r="T209" s="50">
        <f>_xlfn.XLOOKUP(FME_Ranking2[[#This Row],[FME ID]],FME_Input[FME_ID],FME_Input[CRITFAC100])</f>
        <v>0</v>
      </c>
      <c r="U209" s="48" t="e">
        <f>FME_Ranking_Option2!$T209*T$4</f>
        <v>#REF!</v>
      </c>
      <c r="V209" s="48">
        <f>FME_Ranking_Option2!$T209/($T$3)</f>
        <v>0</v>
      </c>
      <c r="W209" s="48" t="e">
        <f>FME_Ranking_Option2!$V209*T$4</f>
        <v>#REF!</v>
      </c>
      <c r="X209" s="50">
        <f>_xlfn.XLOOKUP(FME_Ranking2[[#This Row],[FME ID]],FME_Input[FME_ID],FME_Input[LWC])</f>
        <v>0</v>
      </c>
      <c r="Y209" s="48" t="e">
        <f>FME_Ranking_Option2!$X209*X$4</f>
        <v>#REF!</v>
      </c>
      <c r="Z209" s="48">
        <f>FME_Ranking_Option2!$X209/($X$3)</f>
        <v>0</v>
      </c>
      <c r="AA209" s="48" t="e">
        <f>FME_Ranking_Option2!$Z209*X$4</f>
        <v>#REF!</v>
      </c>
      <c r="AB209" s="50">
        <f>_xlfn.XLOOKUP(FME_Ranking2[[#This Row],[FME ID]],FME_Input[FME_ID],FME_Input[ROADCLS])</f>
        <v>0</v>
      </c>
      <c r="AC209" s="48" t="e">
        <f>FME_Ranking_Option2!$AB209*AB$4</f>
        <v>#REF!</v>
      </c>
      <c r="AD209" s="53">
        <f>_xlfn.XLOOKUP(FME_Ranking2[[#This Row],[FME ID]],FME_Input[FME_ID],FME_Input[ROAD_MILES100])</f>
        <v>0.47710961103439331</v>
      </c>
      <c r="AE209" s="54" t="e">
        <f>FME_Ranking_Option2!$AD209*AD$4</f>
        <v>#REF!</v>
      </c>
      <c r="AF209" s="55">
        <f>FME_Ranking_Option2!$AD209/($AD$3)</f>
        <v>1.0776609762548779E-5</v>
      </c>
      <c r="AG209" s="55" t="e">
        <f>FME_Ranking_Option2!$AF209*AD$4</f>
        <v>#REF!</v>
      </c>
      <c r="AH209" s="53">
        <f>_xlfn.XLOOKUP(FME_Ranking2[[#This Row],[FME ID]],FME_Input[FME_ID],FME_Input[FARMACRE100])</f>
        <v>0.88808619976043701</v>
      </c>
      <c r="AI209" s="54" t="e">
        <f>FME_Ranking_Option2!$AH209*AH$4</f>
        <v>#REF!</v>
      </c>
      <c r="AJ209" s="56">
        <f>FME_Ranking_Option2!$AH209/($AH$3)</f>
        <v>5.1567559706908516E-5</v>
      </c>
      <c r="AK209" s="57" t="e">
        <f>FME_Ranking_Option2!$AJ209*AH$4</f>
        <v>#REF!</v>
      </c>
      <c r="AL20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09" s="58" t="e">
        <f>_xlfn.RANK.EQ(AL209,$AL$7:$AL$531)+COUNTIF(AL$7:AL209,AL209)-1</f>
        <v>#REF!</v>
      </c>
      <c r="AN209" s="57"/>
      <c r="AO209" s="58" t="e">
        <f>_xlfn.RANK.EQ(AN209,$AN$7:$AN$531)+COUNTIF(AN$7:AN209,AN209)-1</f>
        <v>#N/A</v>
      </c>
      <c r="AP20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09" s="32" t="e">
        <f>FME_Ranking2[[#This Row],[Score Based on Reported Factors]]-FME_Ranking2[[#This Row],[Check]]</f>
        <v>#REF!</v>
      </c>
      <c r="AR209" s="32"/>
      <c r="AT209" s="19"/>
      <c r="AU209" s="19"/>
      <c r="AV209" s="19"/>
      <c r="AW209" s="19"/>
      <c r="AX209" s="19"/>
      <c r="AY209" s="19"/>
      <c r="AZ209" s="19"/>
      <c r="BA209" s="19"/>
      <c r="BB209" s="19"/>
      <c r="BC209" s="19"/>
    </row>
    <row r="210" spans="1:55" ht="12" customHeight="1" x14ac:dyDescent="0.25">
      <c r="A210" s="17" t="s">
        <v>1686</v>
      </c>
      <c r="B210" s="17" t="str">
        <f>_xlfn.XLOOKUP(FME_Ranking2[[#This Row],[FME ID]],FME_Input[FME_ID],FME_Input[FME_NAME])</f>
        <v>City of North Cleveland Master Drainage Plan</v>
      </c>
      <c r="C210" s="17" t="str">
        <f>_xlfn.XLOOKUP(FME_Ranking2[[#This Row],[FME ID]],FME_Input[FME_ID],FME_Input[DESCR])</f>
        <v>Study to develop Master Drainage Plan using future and existing land use and flood/storm water drainage needs including Atlas 14 rainfall.</v>
      </c>
      <c r="D210" s="33" t="str">
        <f>_xlfn.XLOOKUP(FME_Ranking2[[#This Row],[FME ID]],FME_Input[FME_ID],FME_Input[EMER_NEED])</f>
        <v>No</v>
      </c>
      <c r="E210" s="120">
        <f>IF(FME_Ranking_Option2!$D210="Yes",100,0)</f>
        <v>0</v>
      </c>
      <c r="F210" s="34" t="str">
        <f>_xlfn.XLOOKUP(FME_Ranking2[[#This Row],[FME ID]],FME_Input[FME_ID],FME_Input[FUND])</f>
        <v>Yes</v>
      </c>
      <c r="G210" s="35">
        <f>IF(FME_Ranking_Option2!$F210="Yes",1,0)</f>
        <v>1</v>
      </c>
      <c r="H210" s="33">
        <f>_xlfn.XLOOKUP(FME_Ranking2[[#This Row],[FME ID]],FME_Input[FME_ID],FME_Input[STRUCT_100])</f>
        <v>52</v>
      </c>
      <c r="I210" s="64" t="e">
        <f>FME_Ranking2[[#This Row],[Raw Data3]]*H$4</f>
        <v>#REF!</v>
      </c>
      <c r="J210" s="63">
        <f>((FME_Ranking_Option2!$H210)/($H$3))*100</f>
        <v>5.7786188878603444E-3</v>
      </c>
      <c r="K210" s="36" t="e">
        <f>FME_Ranking2[[#This Row],[Norm Data3]]*H$4</f>
        <v>#REF!</v>
      </c>
      <c r="L210" s="37">
        <f>_xlfn.XLOOKUP(FME_Ranking2[[#This Row],[FME ID]],FME_Input[FME_ID],FME_Input[RES_STRUCT100])</f>
        <v>37</v>
      </c>
      <c r="M210" s="38" t="e">
        <f>FME_Ranking2[[#This Row],[Raw Data4]]*L$4</f>
        <v>#REF!</v>
      </c>
      <c r="N210" s="28">
        <f>((FME_Ranking_Option2!$L210)/($L$3))*100</f>
        <v>5.5316101620163762E-3</v>
      </c>
      <c r="O210" s="39" t="e">
        <f>FME_Ranking2[[#This Row],[Norm Data4]]*L$4</f>
        <v>#REF!</v>
      </c>
      <c r="P210" s="34">
        <f>_xlfn.XLOOKUP(FME_Ranking2[[#This Row],[FME ID]],FME_Input[FME_ID],FME_Input[POP100])</f>
        <v>44</v>
      </c>
      <c r="Q210" s="35" t="e">
        <f>FME_Ranking_Option2!$P210*P$4</f>
        <v>#REF!</v>
      </c>
      <c r="R210" s="35">
        <f>FME_Ranking_Option2!$P210/($P$3)</f>
        <v>1.6148934280443861E-5</v>
      </c>
      <c r="S210" s="35" t="e">
        <f>FME_Ranking_Option2!$R210*P$4</f>
        <v>#REF!</v>
      </c>
      <c r="T210" s="37">
        <f>_xlfn.XLOOKUP(FME_Ranking2[[#This Row],[FME ID]],FME_Input[FME_ID],FME_Input[CRITFAC100])</f>
        <v>0</v>
      </c>
      <c r="U210" s="35" t="e">
        <f>FME_Ranking_Option2!$T210*T$4</f>
        <v>#REF!</v>
      </c>
      <c r="V210" s="35">
        <f>FME_Ranking_Option2!$T210/($T$3)</f>
        <v>0</v>
      </c>
      <c r="W210" s="35" t="e">
        <f>FME_Ranking_Option2!$V210*T$4</f>
        <v>#REF!</v>
      </c>
      <c r="X210" s="37">
        <f>_xlfn.XLOOKUP(FME_Ranking2[[#This Row],[FME ID]],FME_Input[FME_ID],FME_Input[LWC])</f>
        <v>0</v>
      </c>
      <c r="Y210" s="35" t="e">
        <f>FME_Ranking_Option2!$X210*X$4</f>
        <v>#REF!</v>
      </c>
      <c r="Z210" s="35">
        <f>FME_Ranking_Option2!$X210/($X$3)</f>
        <v>0</v>
      </c>
      <c r="AA210" s="35" t="e">
        <f>FME_Ranking_Option2!$Z210*X$4</f>
        <v>#REF!</v>
      </c>
      <c r="AB210" s="37">
        <f>_xlfn.XLOOKUP(FME_Ranking2[[#This Row],[FME ID]],FME_Input[FME_ID],FME_Input[ROADCLS])</f>
        <v>0</v>
      </c>
      <c r="AC210" s="35" t="e">
        <f>FME_Ranking_Option2!$AB210*AB$4</f>
        <v>#REF!</v>
      </c>
      <c r="AD210" s="40">
        <f>_xlfn.XLOOKUP(FME_Ranking2[[#This Row],[FME ID]],FME_Input[FME_ID],FME_Input[ROAD_MILES100])</f>
        <v>3.3015956878662109</v>
      </c>
      <c r="AE210" s="41" t="e">
        <f>FME_Ranking_Option2!$AD210*AD$4</f>
        <v>#REF!</v>
      </c>
      <c r="AF210" s="42">
        <f>FME_Ranking_Option2!$AD210/($AD$3)</f>
        <v>7.4574075849591535E-5</v>
      </c>
      <c r="AG210" s="42" t="e">
        <f>FME_Ranking_Option2!$AF210*AD$4</f>
        <v>#REF!</v>
      </c>
      <c r="AH210" s="40">
        <f>_xlfn.XLOOKUP(FME_Ranking2[[#This Row],[FME ID]],FME_Input[FME_ID],FME_Input[FARMACRE100])</f>
        <v>6.1741275787353516</v>
      </c>
      <c r="AI210" s="43" t="e">
        <f>FME_Ranking_Option2!$AH210*AH$4</f>
        <v>#REF!</v>
      </c>
      <c r="AJ210" s="41">
        <f>FME_Ranking_Option2!$AH210/($AH$3)</f>
        <v>3.5850651957027442E-4</v>
      </c>
      <c r="AK210" s="44" t="e">
        <f>FME_Ranking_Option2!$AJ210*AH$4</f>
        <v>#REF!</v>
      </c>
      <c r="AL21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10" s="45" t="e">
        <f>_xlfn.RANK.EQ(AL210,$AL$7:$AL$531)+COUNTIF(AL$7:AL210,AL210)-1</f>
        <v>#REF!</v>
      </c>
      <c r="AN210" s="44"/>
      <c r="AO210" s="45" t="e">
        <f>_xlfn.RANK.EQ(AN210,$AN$7:$AN$531)+COUNTIF(AN$7:AN210,AN210)-1</f>
        <v>#N/A</v>
      </c>
      <c r="AP21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10" s="32" t="e">
        <f>FME_Ranking2[[#This Row],[Score Based on Reported Factors]]-FME_Ranking2[[#This Row],[Check]]</f>
        <v>#REF!</v>
      </c>
      <c r="AR210" s="32"/>
    </row>
    <row r="211" spans="1:55" ht="12" customHeight="1" x14ac:dyDescent="0.25">
      <c r="A211" s="16" t="s">
        <v>1688</v>
      </c>
      <c r="B211" s="16" t="str">
        <f>_xlfn.XLOOKUP(FME_Ranking2[[#This Row],[FME ID]],FME_Input[FME_ID],FME_Input[FME_NAME])</f>
        <v>City of Oak Ridge North  Master Drainage Plan</v>
      </c>
      <c r="C211" s="16" t="str">
        <f>_xlfn.XLOOKUP(FME_Ranking2[[#This Row],[FME ID]],FME_Input[FME_ID],FME_Input[DESCR])</f>
        <v>Study to develop Master Drainage Plan using future and existing land use and flood/storm water drainage needs including Atlas 14 rainfall.</v>
      </c>
      <c r="D211" s="46" t="str">
        <f>_xlfn.XLOOKUP(FME_Ranking2[[#This Row],[FME ID]],FME_Input[FME_ID],FME_Input[EMER_NEED])</f>
        <v>Yes</v>
      </c>
      <c r="E211" s="121">
        <f>IF(FME_Ranking_Option2!$D211="Yes",100,0)</f>
        <v>100</v>
      </c>
      <c r="F211" s="47" t="str">
        <f>_xlfn.XLOOKUP(FME_Ranking2[[#This Row],[FME ID]],FME_Input[FME_ID],FME_Input[FUND])</f>
        <v>Yes</v>
      </c>
      <c r="G211" s="48">
        <f>IF(FME_Ranking_Option2!$F211="Yes",1,0)</f>
        <v>1</v>
      </c>
      <c r="H211" s="46">
        <f>_xlfn.XLOOKUP(FME_Ranking2[[#This Row],[FME ID]],FME_Input[FME_ID],FME_Input[STRUCT_100])</f>
        <v>85</v>
      </c>
      <c r="I211" s="65" t="e">
        <f>FME_Ranking2[[#This Row],[Raw Data3]]*H$4</f>
        <v>#REF!</v>
      </c>
      <c r="J211" s="62">
        <f>((FME_Ranking_Option2!$H211)/($H$3))*100</f>
        <v>9.4458193359255611E-3</v>
      </c>
      <c r="K211" s="49" t="e">
        <f>FME_Ranking2[[#This Row],[Norm Data3]]*H$4</f>
        <v>#REF!</v>
      </c>
      <c r="L211" s="50">
        <f>_xlfn.XLOOKUP(FME_Ranking2[[#This Row],[FME ID]],FME_Input[FME_ID],FME_Input[RES_STRUCT100])</f>
        <v>73</v>
      </c>
      <c r="M211" s="51" t="e">
        <f>FME_Ranking2[[#This Row],[Raw Data4]]*L$4</f>
        <v>#REF!</v>
      </c>
      <c r="N211" s="29">
        <f>((FME_Ranking_Option2!$L211)/($L$3))*100</f>
        <v>1.091371734668096E-2</v>
      </c>
      <c r="O211" s="52" t="e">
        <f>FME_Ranking2[[#This Row],[Norm Data4]]*L$4</f>
        <v>#REF!</v>
      </c>
      <c r="P211" s="47">
        <f>_xlfn.XLOOKUP(FME_Ranking2[[#This Row],[FME ID]],FME_Input[FME_ID],FME_Input[POP100])</f>
        <v>578</v>
      </c>
      <c r="Q211" s="48" t="e">
        <f>FME_Ranking_Option2!$P211*P$4</f>
        <v>#REF!</v>
      </c>
      <c r="R211" s="48">
        <f>FME_Ranking_Option2!$P211/($P$3)</f>
        <v>2.121382730476489E-4</v>
      </c>
      <c r="S211" s="48" t="e">
        <f>FME_Ranking_Option2!$R211*P$4</f>
        <v>#REF!</v>
      </c>
      <c r="T211" s="50">
        <f>_xlfn.XLOOKUP(FME_Ranking2[[#This Row],[FME ID]],FME_Input[FME_ID],FME_Input[CRITFAC100])</f>
        <v>0</v>
      </c>
      <c r="U211" s="48" t="e">
        <f>FME_Ranking_Option2!$T211*T$4</f>
        <v>#REF!</v>
      </c>
      <c r="V211" s="48">
        <f>FME_Ranking_Option2!$T211/($T$3)</f>
        <v>0</v>
      </c>
      <c r="W211" s="48" t="e">
        <f>FME_Ranking_Option2!$V211*T$4</f>
        <v>#REF!</v>
      </c>
      <c r="X211" s="50">
        <f>_xlfn.XLOOKUP(FME_Ranking2[[#This Row],[FME ID]],FME_Input[FME_ID],FME_Input[LWC])</f>
        <v>0</v>
      </c>
      <c r="Y211" s="48" t="e">
        <f>FME_Ranking_Option2!$X211*X$4</f>
        <v>#REF!</v>
      </c>
      <c r="Z211" s="48">
        <f>FME_Ranking_Option2!$X211/($X$3)</f>
        <v>0</v>
      </c>
      <c r="AA211" s="48" t="e">
        <f>FME_Ranking_Option2!$Z211*X$4</f>
        <v>#REF!</v>
      </c>
      <c r="AB211" s="50">
        <f>_xlfn.XLOOKUP(FME_Ranking2[[#This Row],[FME ID]],FME_Input[FME_ID],FME_Input[ROADCLS])</f>
        <v>0</v>
      </c>
      <c r="AC211" s="48" t="e">
        <f>FME_Ranking_Option2!$AB211*AB$4</f>
        <v>#REF!</v>
      </c>
      <c r="AD211" s="53">
        <f>_xlfn.XLOOKUP(FME_Ranking2[[#This Row],[FME ID]],FME_Input[FME_ID],FME_Input[ROAD_MILES100])</f>
        <v>1.0369564294815059</v>
      </c>
      <c r="AE211" s="54" t="e">
        <f>FME_Ranking_Option2!$AD211*AD$4</f>
        <v>#REF!</v>
      </c>
      <c r="AF211" s="55">
        <f>FME_Ranking_Option2!$AD211/($AD$3)</f>
        <v>2.3422028235944633E-5</v>
      </c>
      <c r="AG211" s="55" t="e">
        <f>FME_Ranking_Option2!$AF211*AD$4</f>
        <v>#REF!</v>
      </c>
      <c r="AH211" s="53">
        <f>_xlfn.XLOOKUP(FME_Ranking2[[#This Row],[FME ID]],FME_Input[FME_ID],FME_Input[FARMACRE100])</f>
        <v>0</v>
      </c>
      <c r="AI211" s="54" t="e">
        <f>FME_Ranking_Option2!$AH211*AH$4</f>
        <v>#REF!</v>
      </c>
      <c r="AJ211" s="56">
        <f>FME_Ranking_Option2!$AH211/($AH$3)</f>
        <v>0</v>
      </c>
      <c r="AK211" s="57" t="e">
        <f>FME_Ranking_Option2!$AJ211*AH$4</f>
        <v>#REF!</v>
      </c>
      <c r="AL21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11" s="58" t="e">
        <f>_xlfn.RANK.EQ(AL211,$AL$7:$AL$531)+COUNTIF(AL$7:AL211,AL211)-1</f>
        <v>#REF!</v>
      </c>
      <c r="AN211" s="57"/>
      <c r="AO211" s="58" t="e">
        <f>_xlfn.RANK.EQ(AN211,$AN$7:$AN$531)+COUNTIF(AN$7:AN211,AN211)-1</f>
        <v>#N/A</v>
      </c>
      <c r="AP21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11" s="32" t="e">
        <f>FME_Ranking2[[#This Row],[Score Based on Reported Factors]]-FME_Ranking2[[#This Row],[Check]]</f>
        <v>#REF!</v>
      </c>
      <c r="AR211" s="32"/>
      <c r="AT211" s="19"/>
      <c r="AU211" s="19"/>
      <c r="AV211" s="19"/>
      <c r="AW211" s="19"/>
      <c r="AX211" s="19"/>
      <c r="AY211" s="19"/>
      <c r="AZ211" s="19"/>
      <c r="BA211" s="19"/>
      <c r="BB211" s="19"/>
      <c r="BC211" s="19"/>
    </row>
    <row r="212" spans="1:55" ht="12" customHeight="1" x14ac:dyDescent="0.25">
      <c r="A212" s="17" t="s">
        <v>1695</v>
      </c>
      <c r="B212" s="17" t="str">
        <f>_xlfn.XLOOKUP(FME_Ranking2[[#This Row],[FME ID]],FME_Input[FME_ID],FME_Input[FME_NAME])</f>
        <v>City of Panorama Village  Master Drainage Plan</v>
      </c>
      <c r="C212" s="17" t="str">
        <f>_xlfn.XLOOKUP(FME_Ranking2[[#This Row],[FME ID]],FME_Input[FME_ID],FME_Input[DESCR])</f>
        <v>Study to develop Master Drainage Plan using future and existing land use and flood/storm water drainage needs including Atlas 14 rainfall.</v>
      </c>
      <c r="D212" s="33" t="str">
        <f>_xlfn.XLOOKUP(FME_Ranking2[[#This Row],[FME ID]],FME_Input[FME_ID],FME_Input[EMER_NEED])</f>
        <v>No</v>
      </c>
      <c r="E212" s="120">
        <f>IF(FME_Ranking_Option2!$D212="Yes",100,0)</f>
        <v>0</v>
      </c>
      <c r="F212" s="34" t="str">
        <f>_xlfn.XLOOKUP(FME_Ranking2[[#This Row],[FME ID]],FME_Input[FME_ID],FME_Input[FUND])</f>
        <v>Yes</v>
      </c>
      <c r="G212" s="35">
        <f>IF(FME_Ranking_Option2!$F212="Yes",1,0)</f>
        <v>1</v>
      </c>
      <c r="H212" s="33">
        <f>_xlfn.XLOOKUP(FME_Ranking2[[#This Row],[FME ID]],FME_Input[FME_ID],FME_Input[STRUCT_100])</f>
        <v>77</v>
      </c>
      <c r="I212" s="64" t="e">
        <f>FME_Ranking2[[#This Row],[Raw Data3]]*H$4</f>
        <v>#REF!</v>
      </c>
      <c r="J212" s="63">
        <f>((FME_Ranking_Option2!$H212)/($H$3))*100</f>
        <v>8.5568010454855105E-3</v>
      </c>
      <c r="K212" s="36" t="e">
        <f>FME_Ranking2[[#This Row],[Norm Data3]]*H$4</f>
        <v>#REF!</v>
      </c>
      <c r="L212" s="37">
        <f>_xlfn.XLOOKUP(FME_Ranking2[[#This Row],[FME ID]],FME_Input[FME_ID],FME_Input[RES_STRUCT100])</f>
        <v>65</v>
      </c>
      <c r="M212" s="38" t="e">
        <f>FME_Ranking2[[#This Row],[Raw Data4]]*L$4</f>
        <v>#REF!</v>
      </c>
      <c r="N212" s="28">
        <f>((FME_Ranking_Option2!$L212)/($L$3))*100</f>
        <v>9.7176935278666075E-3</v>
      </c>
      <c r="O212" s="39" t="e">
        <f>FME_Ranking2[[#This Row],[Norm Data4]]*L$4</f>
        <v>#REF!</v>
      </c>
      <c r="P212" s="34">
        <f>_xlfn.XLOOKUP(FME_Ranking2[[#This Row],[FME ID]],FME_Input[FME_ID],FME_Input[POP100])</f>
        <v>136</v>
      </c>
      <c r="Q212" s="35" t="e">
        <f>FME_Ranking_Option2!$P212*P$4</f>
        <v>#REF!</v>
      </c>
      <c r="R212" s="35">
        <f>FME_Ranking_Option2!$P212/($P$3)</f>
        <v>4.9914887775917386E-5</v>
      </c>
      <c r="S212" s="35" t="e">
        <f>FME_Ranking_Option2!$R212*P$4</f>
        <v>#REF!</v>
      </c>
      <c r="T212" s="37">
        <f>_xlfn.XLOOKUP(FME_Ranking2[[#This Row],[FME ID]],FME_Input[FME_ID],FME_Input[CRITFAC100])</f>
        <v>10</v>
      </c>
      <c r="U212" s="35" t="e">
        <f>FME_Ranking_Option2!$T212*T$4</f>
        <v>#REF!</v>
      </c>
      <c r="V212" s="35">
        <f>FME_Ranking_Option2!$T212/($T$3)</f>
        <v>1.4102383302778169E-3</v>
      </c>
      <c r="W212" s="35" t="e">
        <f>FME_Ranking_Option2!$V212*T$4</f>
        <v>#REF!</v>
      </c>
      <c r="X212" s="37">
        <f>_xlfn.XLOOKUP(FME_Ranking2[[#This Row],[FME ID]],FME_Input[FME_ID],FME_Input[LWC])</f>
        <v>0</v>
      </c>
      <c r="Y212" s="35" t="e">
        <f>FME_Ranking_Option2!$X212*X$4</f>
        <v>#REF!</v>
      </c>
      <c r="Z212" s="35">
        <f>FME_Ranking_Option2!$X212/($X$3)</f>
        <v>0</v>
      </c>
      <c r="AA212" s="35" t="e">
        <f>FME_Ranking_Option2!$Z212*X$4</f>
        <v>#REF!</v>
      </c>
      <c r="AB212" s="37">
        <f>_xlfn.XLOOKUP(FME_Ranking2[[#This Row],[FME ID]],FME_Input[FME_ID],FME_Input[ROADCLS])</f>
        <v>0</v>
      </c>
      <c r="AC212" s="35" t="e">
        <f>FME_Ranking_Option2!$AB212*AB$4</f>
        <v>#REF!</v>
      </c>
      <c r="AD212" s="40">
        <f>_xlfn.XLOOKUP(FME_Ranking2[[#This Row],[FME ID]],FME_Input[FME_ID],FME_Input[ROAD_MILES100])</f>
        <v>0.65565723180770874</v>
      </c>
      <c r="AE212" s="41" t="e">
        <f>FME_Ranking_Option2!$AD212*AD$4</f>
        <v>#REF!</v>
      </c>
      <c r="AF212" s="42">
        <f>FME_Ranking_Option2!$AD212/($AD$3)</f>
        <v>1.4809515385501873E-5</v>
      </c>
      <c r="AG212" s="42" t="e">
        <f>FME_Ranking_Option2!$AF212*AD$4</f>
        <v>#REF!</v>
      </c>
      <c r="AH212" s="40">
        <f>_xlfn.XLOOKUP(FME_Ranking2[[#This Row],[FME ID]],FME_Input[FME_ID],FME_Input[FARMACRE100])</f>
        <v>0.22150072455406189</v>
      </c>
      <c r="AI212" s="43" t="e">
        <f>FME_Ranking_Option2!$AH212*AH$4</f>
        <v>#REF!</v>
      </c>
      <c r="AJ212" s="41">
        <f>FME_Ranking_Option2!$AH212/($AH$3)</f>
        <v>1.2861647711276516E-5</v>
      </c>
      <c r="AK212" s="44" t="e">
        <f>FME_Ranking_Option2!$AJ212*AH$4</f>
        <v>#REF!</v>
      </c>
      <c r="AL212"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12" s="45" t="e">
        <f>_xlfn.RANK.EQ(AL212,$AL$7:$AL$531)+COUNTIF(AL$7:AL212,AL212)-1</f>
        <v>#REF!</v>
      </c>
      <c r="AN212" s="44"/>
      <c r="AO212" s="45" t="e">
        <f>_xlfn.RANK.EQ(AN212,$AN$7:$AN$531)+COUNTIF(AN$7:AN212,AN212)-1</f>
        <v>#N/A</v>
      </c>
      <c r="AP21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12" s="32" t="e">
        <f>FME_Ranking2[[#This Row],[Score Based on Reported Factors]]-FME_Ranking2[[#This Row],[Check]]</f>
        <v>#REF!</v>
      </c>
      <c r="AR212" s="32"/>
    </row>
    <row r="213" spans="1:55" ht="12" customHeight="1" x14ac:dyDescent="0.25">
      <c r="A213" s="16" t="s">
        <v>1699</v>
      </c>
      <c r="B213" s="16" t="str">
        <f>_xlfn.XLOOKUP(FME_Ranking2[[#This Row],[FME ID]],FME_Input[FME_ID],FME_Input[FME_NAME])</f>
        <v>City of Pasadena  Master Drainage Plan</v>
      </c>
      <c r="C213" s="16" t="str">
        <f>_xlfn.XLOOKUP(FME_Ranking2[[#This Row],[FME ID]],FME_Input[FME_ID],FME_Input[DESCR])</f>
        <v>Study to develop Master Drainage Plan using future and existing land use and flood/storm water drainage needs including Atlas 14 rainfall.</v>
      </c>
      <c r="D213" s="46" t="str">
        <f>_xlfn.XLOOKUP(FME_Ranking2[[#This Row],[FME ID]],FME_Input[FME_ID],FME_Input[EMER_NEED])</f>
        <v>Yes</v>
      </c>
      <c r="E213" s="121">
        <f>IF(FME_Ranking_Option2!$D213="Yes",100,0)</f>
        <v>100</v>
      </c>
      <c r="F213" s="47" t="str">
        <f>_xlfn.XLOOKUP(FME_Ranking2[[#This Row],[FME ID]],FME_Input[FME_ID],FME_Input[FUND])</f>
        <v>Yes</v>
      </c>
      <c r="G213" s="48">
        <f>IF(FME_Ranking_Option2!$F213="Yes",1,0)</f>
        <v>1</v>
      </c>
      <c r="H213" s="46">
        <f>_xlfn.XLOOKUP(FME_Ranking2[[#This Row],[FME ID]],FME_Input[FME_ID],FME_Input[STRUCT_100])</f>
        <v>3591</v>
      </c>
      <c r="I213" s="65" t="e">
        <f>FME_Ranking2[[#This Row],[Raw Data3]]*H$4</f>
        <v>#REF!</v>
      </c>
      <c r="J213" s="62">
        <f>((FME_Ranking_Option2!$H213)/($H$3))*100</f>
        <v>0.39905808512127872</v>
      </c>
      <c r="K213" s="49" t="e">
        <f>FME_Ranking2[[#This Row],[Norm Data3]]*H$4</f>
        <v>#REF!</v>
      </c>
      <c r="L213" s="50">
        <f>_xlfn.XLOOKUP(FME_Ranking2[[#This Row],[FME ID]],FME_Input[FME_ID],FME_Input[RES_STRUCT100])</f>
        <v>2839</v>
      </c>
      <c r="M213" s="51" t="e">
        <f>FME_Ranking2[[#This Row],[Raw Data4]]*L$4</f>
        <v>#REF!</v>
      </c>
      <c r="N213" s="29">
        <f>((FME_Ranking_Option2!$L213)/($L$3))*100</f>
        <v>0.42443895270174309</v>
      </c>
      <c r="O213" s="52" t="e">
        <f>FME_Ranking2[[#This Row],[Norm Data4]]*L$4</f>
        <v>#REF!</v>
      </c>
      <c r="P213" s="47">
        <f>_xlfn.XLOOKUP(FME_Ranking2[[#This Row],[FME ID]],FME_Input[FME_ID],FME_Input[POP100])</f>
        <v>26560</v>
      </c>
      <c r="Q213" s="48" t="e">
        <f>FME_Ranking_Option2!$P213*P$4</f>
        <v>#REF!</v>
      </c>
      <c r="R213" s="48">
        <f>FME_Ranking_Option2!$P213/($P$3)</f>
        <v>9.7480839656497488E-3</v>
      </c>
      <c r="S213" s="48" t="e">
        <f>FME_Ranking_Option2!$R213*P$4</f>
        <v>#REF!</v>
      </c>
      <c r="T213" s="50">
        <f>_xlfn.XLOOKUP(FME_Ranking2[[#This Row],[FME ID]],FME_Input[FME_ID],FME_Input[CRITFAC100])</f>
        <v>58</v>
      </c>
      <c r="U213" s="48" t="e">
        <f>FME_Ranking_Option2!$T213*T$4</f>
        <v>#REF!</v>
      </c>
      <c r="V213" s="48">
        <f>FME_Ranking_Option2!$T213/($T$3)</f>
        <v>8.1793823156113381E-3</v>
      </c>
      <c r="W213" s="48" t="e">
        <f>FME_Ranking_Option2!$V213*T$4</f>
        <v>#REF!</v>
      </c>
      <c r="X213" s="50">
        <f>_xlfn.XLOOKUP(FME_Ranking2[[#This Row],[FME ID]],FME_Input[FME_ID],FME_Input[LWC])</f>
        <v>6</v>
      </c>
      <c r="Y213" s="48" t="e">
        <f>FME_Ranking_Option2!$X213*X$4</f>
        <v>#REF!</v>
      </c>
      <c r="Z213" s="48">
        <f>FME_Ranking_Option2!$X213/($X$3)</f>
        <v>5.4734537493158185E-4</v>
      </c>
      <c r="AA213" s="48" t="e">
        <f>FME_Ranking_Option2!$Z213*X$4</f>
        <v>#REF!</v>
      </c>
      <c r="AB213" s="50">
        <f>_xlfn.XLOOKUP(FME_Ranking2[[#This Row],[FME ID]],FME_Input[FME_ID],FME_Input[ROADCLS])</f>
        <v>6</v>
      </c>
      <c r="AC213" s="48" t="e">
        <f>FME_Ranking_Option2!$AB213*AB$4</f>
        <v>#REF!</v>
      </c>
      <c r="AD213" s="53">
        <f>_xlfn.XLOOKUP(FME_Ranking2[[#This Row],[FME ID]],FME_Input[FME_ID],FME_Input[ROAD_MILES100])</f>
        <v>73.8465576171875</v>
      </c>
      <c r="AE213" s="54" t="e">
        <f>FME_Ranking_Option2!$AD213*AD$4</f>
        <v>#REF!</v>
      </c>
      <c r="AF213" s="55">
        <f>FME_Ranking_Option2!$AD213/($AD$3)</f>
        <v>1.6679930886796491E-3</v>
      </c>
      <c r="AG213" s="55" t="e">
        <f>FME_Ranking_Option2!$AF213*AD$4</f>
        <v>#REF!</v>
      </c>
      <c r="AH213" s="53">
        <f>_xlfn.XLOOKUP(FME_Ranking2[[#This Row],[FME ID]],FME_Input[FME_ID],FME_Input[FARMACRE100])</f>
        <v>81.945533752441406</v>
      </c>
      <c r="AI213" s="54" t="e">
        <f>FME_Ranking_Option2!$AH213*AH$4</f>
        <v>#REF!</v>
      </c>
      <c r="AJ213" s="56">
        <f>FME_Ranking_Option2!$AH213/($AH$3)</f>
        <v>4.7582444200049596E-3</v>
      </c>
      <c r="AK213" s="57" t="e">
        <f>FME_Ranking_Option2!$AJ213*AH$4</f>
        <v>#REF!</v>
      </c>
      <c r="AL213"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13" s="58" t="e">
        <f>_xlfn.RANK.EQ(AL213,$AL$7:$AL$531)+COUNTIF(AL$7:AL213,AL213)-1</f>
        <v>#REF!</v>
      </c>
      <c r="AN213" s="57"/>
      <c r="AO213" s="58" t="e">
        <f>_xlfn.RANK.EQ(AN213,$AN$7:$AN$531)+COUNTIF(AN$7:AN213,AN213)-1</f>
        <v>#N/A</v>
      </c>
      <c r="AP21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13" s="32" t="e">
        <f>FME_Ranking2[[#This Row],[Score Based on Reported Factors]]-FME_Ranking2[[#This Row],[Check]]</f>
        <v>#REF!</v>
      </c>
      <c r="AR213" s="32"/>
      <c r="AT213" s="19"/>
      <c r="AU213" s="19"/>
      <c r="AV213" s="19"/>
      <c r="AW213" s="19"/>
      <c r="AX213" s="19"/>
      <c r="AY213" s="19"/>
      <c r="AZ213" s="19"/>
      <c r="BA213" s="19"/>
      <c r="BB213" s="19"/>
      <c r="BC213" s="19"/>
    </row>
    <row r="214" spans="1:55" ht="12" customHeight="1" x14ac:dyDescent="0.25">
      <c r="A214" s="17" t="s">
        <v>1706</v>
      </c>
      <c r="B214" s="17" t="str">
        <f>_xlfn.XLOOKUP(FME_Ranking2[[#This Row],[FME ID]],FME_Input[FME_ID],FME_Input[FME_NAME])</f>
        <v>City of Patton Village  Master Drainage Plan</v>
      </c>
      <c r="C214" s="17" t="str">
        <f>_xlfn.XLOOKUP(FME_Ranking2[[#This Row],[FME ID]],FME_Input[FME_ID],FME_Input[DESCR])</f>
        <v>Study to develop Master Drainage Plan using future and existing land use and flood/storm water drainage needs including Atlas 14 rainfall.</v>
      </c>
      <c r="D214" s="33" t="str">
        <f>_xlfn.XLOOKUP(FME_Ranking2[[#This Row],[FME ID]],FME_Input[FME_ID],FME_Input[EMER_NEED])</f>
        <v>Yes</v>
      </c>
      <c r="E214" s="120">
        <f>IF(FME_Ranking_Option2!$D214="Yes",100,0)</f>
        <v>100</v>
      </c>
      <c r="F214" s="34" t="str">
        <f>_xlfn.XLOOKUP(FME_Ranking2[[#This Row],[FME ID]],FME_Input[FME_ID],FME_Input[FUND])</f>
        <v>Yes</v>
      </c>
      <c r="G214" s="35">
        <f>IF(FME_Ranking_Option2!$F214="Yes",1,0)</f>
        <v>1</v>
      </c>
      <c r="H214" s="33">
        <f>_xlfn.XLOOKUP(FME_Ranking2[[#This Row],[FME ID]],FME_Input[FME_ID],FME_Input[STRUCT_100])</f>
        <v>441</v>
      </c>
      <c r="I214" s="64" t="e">
        <f>FME_Ranking2[[#This Row],[Raw Data3]]*H$4</f>
        <v>#REF!</v>
      </c>
      <c r="J214" s="63">
        <f>((FME_Ranking_Option2!$H214)/($H$3))*100</f>
        <v>4.9007133260507915E-2</v>
      </c>
      <c r="K214" s="36" t="e">
        <f>FME_Ranking2[[#This Row],[Norm Data3]]*H$4</f>
        <v>#REF!</v>
      </c>
      <c r="L214" s="37">
        <f>_xlfn.XLOOKUP(FME_Ranking2[[#This Row],[FME ID]],FME_Input[FME_ID],FME_Input[RES_STRUCT100])</f>
        <v>374</v>
      </c>
      <c r="M214" s="38" t="e">
        <f>FME_Ranking2[[#This Row],[Raw Data4]]*L$4</f>
        <v>#REF!</v>
      </c>
      <c r="N214" s="28">
        <f>((FME_Ranking_Option2!$L214)/($L$3))*100</f>
        <v>5.5914113529570937E-2</v>
      </c>
      <c r="O214" s="39" t="e">
        <f>FME_Ranking2[[#This Row],[Norm Data4]]*L$4</f>
        <v>#REF!</v>
      </c>
      <c r="P214" s="34">
        <f>_xlfn.XLOOKUP(FME_Ranking2[[#This Row],[FME ID]],FME_Input[FME_ID],FME_Input[POP100])</f>
        <v>537</v>
      </c>
      <c r="Q214" s="35" t="e">
        <f>FME_Ranking_Option2!$P214*P$4</f>
        <v>#REF!</v>
      </c>
      <c r="R214" s="35">
        <f>FME_Ranking_Option2!$P214/($P$3)</f>
        <v>1.9709040246814439E-4</v>
      </c>
      <c r="S214" s="35" t="e">
        <f>FME_Ranking_Option2!$R214*P$4</f>
        <v>#REF!</v>
      </c>
      <c r="T214" s="37">
        <f>_xlfn.XLOOKUP(FME_Ranking2[[#This Row],[FME ID]],FME_Input[FME_ID],FME_Input[CRITFAC100])</f>
        <v>0</v>
      </c>
      <c r="U214" s="35" t="e">
        <f>FME_Ranking_Option2!$T214*T$4</f>
        <v>#REF!</v>
      </c>
      <c r="V214" s="35">
        <f>FME_Ranking_Option2!$T214/($T$3)</f>
        <v>0</v>
      </c>
      <c r="W214" s="35" t="e">
        <f>FME_Ranking_Option2!$V214*T$4</f>
        <v>#REF!</v>
      </c>
      <c r="X214" s="37">
        <f>_xlfn.XLOOKUP(FME_Ranking2[[#This Row],[FME ID]],FME_Input[FME_ID],FME_Input[LWC])</f>
        <v>0</v>
      </c>
      <c r="Y214" s="35" t="e">
        <f>FME_Ranking_Option2!$X214*X$4</f>
        <v>#REF!</v>
      </c>
      <c r="Z214" s="35">
        <f>FME_Ranking_Option2!$X214/($X$3)</f>
        <v>0</v>
      </c>
      <c r="AA214" s="35" t="e">
        <f>FME_Ranking_Option2!$Z214*X$4</f>
        <v>#REF!</v>
      </c>
      <c r="AB214" s="37">
        <f>_xlfn.XLOOKUP(FME_Ranking2[[#This Row],[FME ID]],FME_Input[FME_ID],FME_Input[ROADCLS])</f>
        <v>0</v>
      </c>
      <c r="AC214" s="35" t="e">
        <f>FME_Ranking_Option2!$AB214*AB$4</f>
        <v>#REF!</v>
      </c>
      <c r="AD214" s="40">
        <f>_xlfn.XLOOKUP(FME_Ranking2[[#This Row],[FME ID]],FME_Input[FME_ID],FME_Input[ROAD_MILES100])</f>
        <v>14.426210403442379</v>
      </c>
      <c r="AE214" s="41" t="e">
        <f>FME_Ranking_Option2!$AD214*AD$4</f>
        <v>#REF!</v>
      </c>
      <c r="AF214" s="42">
        <f>FME_Ranking_Option2!$AD214/($AD$3)</f>
        <v>3.2584889567255625E-4</v>
      </c>
      <c r="AG214" s="42" t="e">
        <f>FME_Ranking_Option2!$AF214*AD$4</f>
        <v>#REF!</v>
      </c>
      <c r="AH214" s="40">
        <f>_xlfn.XLOOKUP(FME_Ranking2[[#This Row],[FME ID]],FME_Input[FME_ID],FME_Input[FARMACRE100])</f>
        <v>4.0971946716308594</v>
      </c>
      <c r="AI214" s="43" t="e">
        <f>FME_Ranking_Option2!$AH214*AH$4</f>
        <v>#REF!</v>
      </c>
      <c r="AJ214" s="41">
        <f>FME_Ranking_Option2!$AH214/($AH$3)</f>
        <v>2.3790745866464943E-4</v>
      </c>
      <c r="AK214" s="44" t="e">
        <f>FME_Ranking_Option2!$AJ214*AH$4</f>
        <v>#REF!</v>
      </c>
      <c r="AL214"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14" s="45" t="e">
        <f>_xlfn.RANK.EQ(AL214,$AL$7:$AL$531)+COUNTIF(AL$7:AL214,AL214)-1</f>
        <v>#REF!</v>
      </c>
      <c r="AN214" s="44"/>
      <c r="AO214" s="45" t="e">
        <f>_xlfn.RANK.EQ(AN214,$AN$7:$AN$531)+COUNTIF(AN$7:AN214,AN214)-1</f>
        <v>#N/A</v>
      </c>
      <c r="AP21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14" s="32" t="e">
        <f>FME_Ranking2[[#This Row],[Score Based on Reported Factors]]-FME_Ranking2[[#This Row],[Check]]</f>
        <v>#REF!</v>
      </c>
      <c r="AR214" s="32"/>
    </row>
    <row r="215" spans="1:55" ht="12" customHeight="1" x14ac:dyDescent="0.25">
      <c r="A215" s="16" t="s">
        <v>1713</v>
      </c>
      <c r="B215" s="16" t="str">
        <f>_xlfn.XLOOKUP(FME_Ranking2[[#This Row],[FME ID]],FME_Input[FME_ID],FME_Input[FME_NAME])</f>
        <v>City of Piney Point Village  Master Drainage Plan</v>
      </c>
      <c r="C215" s="16" t="str">
        <f>_xlfn.XLOOKUP(FME_Ranking2[[#This Row],[FME ID]],FME_Input[FME_ID],FME_Input[DESCR])</f>
        <v>Study to develop Master Drainage Plan using future and existing land use and flood/storm water drainage needs including Atlas 14 rainfall.</v>
      </c>
      <c r="D215" s="46" t="str">
        <f>_xlfn.XLOOKUP(FME_Ranking2[[#This Row],[FME ID]],FME_Input[FME_ID],FME_Input[EMER_NEED])</f>
        <v>Yes</v>
      </c>
      <c r="E215" s="121">
        <f>IF(FME_Ranking_Option2!$D215="Yes",100,0)</f>
        <v>100</v>
      </c>
      <c r="F215" s="47" t="str">
        <f>_xlfn.XLOOKUP(FME_Ranking2[[#This Row],[FME ID]],FME_Input[FME_ID],FME_Input[FUND])</f>
        <v>Yes</v>
      </c>
      <c r="G215" s="48">
        <f>IF(FME_Ranking_Option2!$F215="Yes",1,0)</f>
        <v>1</v>
      </c>
      <c r="H215" s="46">
        <f>_xlfn.XLOOKUP(FME_Ranking2[[#This Row],[FME ID]],FME_Input[FME_ID],FME_Input[STRUCT_100])</f>
        <v>129</v>
      </c>
      <c r="I215" s="65" t="e">
        <f>FME_Ranking2[[#This Row],[Raw Data3]]*H$4</f>
        <v>#REF!</v>
      </c>
      <c r="J215" s="62">
        <f>((FME_Ranking_Option2!$H215)/($H$3))*100</f>
        <v>1.4335419933345854E-2</v>
      </c>
      <c r="K215" s="49" t="e">
        <f>FME_Ranking2[[#This Row],[Norm Data3]]*H$4</f>
        <v>#REF!</v>
      </c>
      <c r="L215" s="50">
        <f>_xlfn.XLOOKUP(FME_Ranking2[[#This Row],[FME ID]],FME_Input[FME_ID],FME_Input[RES_STRUCT100])</f>
        <v>124</v>
      </c>
      <c r="M215" s="51" t="e">
        <f>FME_Ranking2[[#This Row],[Raw Data4]]*L$4</f>
        <v>#REF!</v>
      </c>
      <c r="N215" s="29">
        <f>((FME_Ranking_Option2!$L215)/($L$3))*100</f>
        <v>1.8538369191622453E-2</v>
      </c>
      <c r="O215" s="52" t="e">
        <f>FME_Ranking2[[#This Row],[Norm Data4]]*L$4</f>
        <v>#REF!</v>
      </c>
      <c r="P215" s="47">
        <f>_xlfn.XLOOKUP(FME_Ranking2[[#This Row],[FME ID]],FME_Input[FME_ID],FME_Input[POP100])</f>
        <v>989</v>
      </c>
      <c r="Q215" s="48" t="e">
        <f>FME_Ranking_Option2!$P215*P$4</f>
        <v>#REF!</v>
      </c>
      <c r="R215" s="48">
        <f>FME_Ranking_Option2!$P215/($P$3)</f>
        <v>3.6298400007634042E-4</v>
      </c>
      <c r="S215" s="48" t="e">
        <f>FME_Ranking_Option2!$R215*P$4</f>
        <v>#REF!</v>
      </c>
      <c r="T215" s="50">
        <f>_xlfn.XLOOKUP(FME_Ranking2[[#This Row],[FME ID]],FME_Input[FME_ID],FME_Input[CRITFAC100])</f>
        <v>1</v>
      </c>
      <c r="U215" s="48" t="e">
        <f>FME_Ranking_Option2!$T215*T$4</f>
        <v>#REF!</v>
      </c>
      <c r="V215" s="48">
        <f>FME_Ranking_Option2!$T215/($T$3)</f>
        <v>1.4102383302778171E-4</v>
      </c>
      <c r="W215" s="48" t="e">
        <f>FME_Ranking_Option2!$V215*T$4</f>
        <v>#REF!</v>
      </c>
      <c r="X215" s="50">
        <f>_xlfn.XLOOKUP(FME_Ranking2[[#This Row],[FME ID]],FME_Input[FME_ID],FME_Input[LWC])</f>
        <v>0</v>
      </c>
      <c r="Y215" s="48" t="e">
        <f>FME_Ranking_Option2!$X215*X$4</f>
        <v>#REF!</v>
      </c>
      <c r="Z215" s="48">
        <f>FME_Ranking_Option2!$X215/($X$3)</f>
        <v>0</v>
      </c>
      <c r="AA215" s="48" t="e">
        <f>FME_Ranking_Option2!$Z215*X$4</f>
        <v>#REF!</v>
      </c>
      <c r="AB215" s="50">
        <f>_xlfn.XLOOKUP(FME_Ranking2[[#This Row],[FME ID]],FME_Input[FME_ID],FME_Input[ROADCLS])</f>
        <v>0</v>
      </c>
      <c r="AC215" s="48" t="e">
        <f>FME_Ranking_Option2!$AB215*AB$4</f>
        <v>#REF!</v>
      </c>
      <c r="AD215" s="53">
        <f>_xlfn.XLOOKUP(FME_Ranking2[[#This Row],[FME ID]],FME_Input[FME_ID],FME_Input[ROAD_MILES100])</f>
        <v>1.270122647285461</v>
      </c>
      <c r="AE215" s="54" t="e">
        <f>FME_Ranking_Option2!$AD215*AD$4</f>
        <v>#REF!</v>
      </c>
      <c r="AF215" s="55">
        <f>FME_Ranking_Option2!$AD215/($AD$3)</f>
        <v>2.8688619562065585E-5</v>
      </c>
      <c r="AG215" s="55" t="e">
        <f>FME_Ranking_Option2!$AF215*AD$4</f>
        <v>#REF!</v>
      </c>
      <c r="AH215" s="53">
        <f>_xlfn.XLOOKUP(FME_Ranking2[[#This Row],[FME ID]],FME_Input[FME_ID],FME_Input[FARMACRE100])</f>
        <v>0.40207147598266602</v>
      </c>
      <c r="AI215" s="54" t="e">
        <f>FME_Ranking_Option2!$AH215*AH$4</f>
        <v>#REF!</v>
      </c>
      <c r="AJ215" s="56">
        <f>FME_Ranking_Option2!$AH215/($AH$3)</f>
        <v>2.3346658071901079E-5</v>
      </c>
      <c r="AK215" s="57" t="e">
        <f>FME_Ranking_Option2!$AJ215*AH$4</f>
        <v>#REF!</v>
      </c>
      <c r="AL215"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15" s="58" t="e">
        <f>_xlfn.RANK.EQ(AL215,$AL$7:$AL$531)+COUNTIF(AL$7:AL215,AL215)-1</f>
        <v>#REF!</v>
      </c>
      <c r="AN215" s="57"/>
      <c r="AO215" s="58" t="e">
        <f>_xlfn.RANK.EQ(AN215,$AN$7:$AN$531)+COUNTIF(AN$7:AN215,AN215)-1</f>
        <v>#N/A</v>
      </c>
      <c r="AP21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15" s="32" t="e">
        <f>FME_Ranking2[[#This Row],[Score Based on Reported Factors]]-FME_Ranking2[[#This Row],[Check]]</f>
        <v>#REF!</v>
      </c>
      <c r="AR215" s="32"/>
      <c r="AT215" s="19"/>
      <c r="AU215" s="19"/>
      <c r="AV215" s="19"/>
      <c r="AW215" s="19"/>
      <c r="AX215" s="19"/>
      <c r="AY215" s="19"/>
      <c r="AZ215" s="19"/>
      <c r="BA215" s="19"/>
      <c r="BB215" s="19"/>
      <c r="BC215" s="19"/>
    </row>
    <row r="216" spans="1:55" ht="12" customHeight="1" x14ac:dyDescent="0.25">
      <c r="A216" s="17" t="s">
        <v>1717</v>
      </c>
      <c r="B216" s="17" t="str">
        <f>_xlfn.XLOOKUP(FME_Ranking2[[#This Row],[FME ID]],FME_Input[FME_ID],FME_Input[FME_NAME])</f>
        <v>City of Plantersville  Master Drainage Plan</v>
      </c>
      <c r="C216" s="17" t="str">
        <f>_xlfn.XLOOKUP(FME_Ranking2[[#This Row],[FME ID]],FME_Input[FME_ID],FME_Input[DESCR])</f>
        <v>Study to develop Master Drainage Plan using future and existing land use and flood/storm water drainage needs including Atlas 14 rainfall.</v>
      </c>
      <c r="D216" s="33" t="str">
        <f>_xlfn.XLOOKUP(FME_Ranking2[[#This Row],[FME ID]],FME_Input[FME_ID],FME_Input[EMER_NEED])</f>
        <v>No</v>
      </c>
      <c r="E216" s="120">
        <f>IF(FME_Ranking_Option2!$D216="Yes",100,0)</f>
        <v>0</v>
      </c>
      <c r="F216" s="34" t="str">
        <f>_xlfn.XLOOKUP(FME_Ranking2[[#This Row],[FME ID]],FME_Input[FME_ID],FME_Input[FUND])</f>
        <v>Yes</v>
      </c>
      <c r="G216" s="35">
        <f>IF(FME_Ranking_Option2!$F216="Yes",1,0)</f>
        <v>1</v>
      </c>
      <c r="H216" s="33">
        <f>_xlfn.XLOOKUP(FME_Ranking2[[#This Row],[FME ID]],FME_Input[FME_ID],FME_Input[STRUCT_100])</f>
        <v>28</v>
      </c>
      <c r="I216" s="64" t="e">
        <f>FME_Ranking2[[#This Row],[Raw Data3]]*H$4</f>
        <v>#REF!</v>
      </c>
      <c r="J216" s="63">
        <f>((FME_Ranking_Option2!$H216)/($H$3))*100</f>
        <v>3.1115640165401853E-3</v>
      </c>
      <c r="K216" s="36" t="e">
        <f>FME_Ranking2[[#This Row],[Norm Data3]]*H$4</f>
        <v>#REF!</v>
      </c>
      <c r="L216" s="37">
        <f>_xlfn.XLOOKUP(FME_Ranking2[[#This Row],[FME ID]],FME_Input[FME_ID],FME_Input[RES_STRUCT100])</f>
        <v>16</v>
      </c>
      <c r="M216" s="38" t="e">
        <f>FME_Ranking2[[#This Row],[Raw Data4]]*L$4</f>
        <v>#REF!</v>
      </c>
      <c r="N216" s="28">
        <f>((FME_Ranking_Option2!$L216)/($L$3))*100</f>
        <v>2.3920476376287033E-3</v>
      </c>
      <c r="O216" s="39" t="e">
        <f>FME_Ranking2[[#This Row],[Norm Data4]]*L$4</f>
        <v>#REF!</v>
      </c>
      <c r="P216" s="34">
        <f>_xlfn.XLOOKUP(FME_Ranking2[[#This Row],[FME ID]],FME_Input[FME_ID],FME_Input[POP100])</f>
        <v>34</v>
      </c>
      <c r="Q216" s="35" t="e">
        <f>FME_Ranking_Option2!$P216*P$4</f>
        <v>#REF!</v>
      </c>
      <c r="R216" s="35">
        <f>FME_Ranking_Option2!$P216/($P$3)</f>
        <v>1.2478721943979346E-5</v>
      </c>
      <c r="S216" s="35" t="e">
        <f>FME_Ranking_Option2!$R216*P$4</f>
        <v>#REF!</v>
      </c>
      <c r="T216" s="37">
        <f>_xlfn.XLOOKUP(FME_Ranking2[[#This Row],[FME ID]],FME_Input[FME_ID],FME_Input[CRITFAC100])</f>
        <v>0</v>
      </c>
      <c r="U216" s="35" t="e">
        <f>FME_Ranking_Option2!$T216*T$4</f>
        <v>#REF!</v>
      </c>
      <c r="V216" s="35">
        <f>FME_Ranking_Option2!$T216/($T$3)</f>
        <v>0</v>
      </c>
      <c r="W216" s="35" t="e">
        <f>FME_Ranking_Option2!$V216*T$4</f>
        <v>#REF!</v>
      </c>
      <c r="X216" s="37">
        <f>_xlfn.XLOOKUP(FME_Ranking2[[#This Row],[FME ID]],FME_Input[FME_ID],FME_Input[LWC])</f>
        <v>0</v>
      </c>
      <c r="Y216" s="35" t="e">
        <f>FME_Ranking_Option2!$X216*X$4</f>
        <v>#REF!</v>
      </c>
      <c r="Z216" s="35">
        <f>FME_Ranking_Option2!$X216/($X$3)</f>
        <v>0</v>
      </c>
      <c r="AA216" s="35" t="e">
        <f>FME_Ranking_Option2!$Z216*X$4</f>
        <v>#REF!</v>
      </c>
      <c r="AB216" s="37">
        <f>_xlfn.XLOOKUP(FME_Ranking2[[#This Row],[FME ID]],FME_Input[FME_ID],FME_Input[ROADCLS])</f>
        <v>0</v>
      </c>
      <c r="AC216" s="35" t="e">
        <f>FME_Ranking_Option2!$AB216*AB$4</f>
        <v>#REF!</v>
      </c>
      <c r="AD216" s="40">
        <f>_xlfn.XLOOKUP(FME_Ranking2[[#This Row],[FME ID]],FME_Input[FME_ID],FME_Input[ROAD_MILES100])</f>
        <v>0.60393863916397095</v>
      </c>
      <c r="AE216" s="41" t="e">
        <f>FME_Ranking_Option2!$AD216*AD$4</f>
        <v>#REF!</v>
      </c>
      <c r="AF216" s="42">
        <f>FME_Ranking_Option2!$AD216/($AD$3)</f>
        <v>1.3641332901855342E-5</v>
      </c>
      <c r="AG216" s="42" t="e">
        <f>FME_Ranking_Option2!$AF216*AD$4</f>
        <v>#REF!</v>
      </c>
      <c r="AH216" s="40">
        <f>_xlfn.XLOOKUP(FME_Ranking2[[#This Row],[FME ID]],FME_Input[FME_ID],FME_Input[FARMACRE100])</f>
        <v>0.94245058298110962</v>
      </c>
      <c r="AI216" s="43" t="e">
        <f>FME_Ranking_Option2!$AH216*AH$4</f>
        <v>#REF!</v>
      </c>
      <c r="AJ216" s="41">
        <f>FME_Ranking_Option2!$AH216/($AH$3)</f>
        <v>5.4724278703800394E-5</v>
      </c>
      <c r="AK216" s="44" t="e">
        <f>FME_Ranking_Option2!$AJ216*AH$4</f>
        <v>#REF!</v>
      </c>
      <c r="AL216"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16" s="45" t="e">
        <f>_xlfn.RANK.EQ(AL216,$AL$7:$AL$531)+COUNTIF(AL$7:AL216,AL216)-1</f>
        <v>#REF!</v>
      </c>
      <c r="AN216" s="44"/>
      <c r="AO216" s="45" t="e">
        <f>_xlfn.RANK.EQ(AN216,$AN$7:$AN$531)+COUNTIF(AN$7:AN216,AN216)-1</f>
        <v>#N/A</v>
      </c>
      <c r="AP21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16" s="32" t="e">
        <f>FME_Ranking2[[#This Row],[Score Based on Reported Factors]]-FME_Ranking2[[#This Row],[Check]]</f>
        <v>#REF!</v>
      </c>
      <c r="AR216" s="32"/>
    </row>
    <row r="217" spans="1:55" ht="12" customHeight="1" x14ac:dyDescent="0.25">
      <c r="A217" s="16" t="s">
        <v>1724</v>
      </c>
      <c r="B217" s="16" t="str">
        <f>_xlfn.XLOOKUP(FME_Ranking2[[#This Row],[FME ID]],FME_Input[FME_ID],FME_Input[FME_NAME])</f>
        <v>City of Plum Grove  Master Drainage Plan</v>
      </c>
      <c r="C217" s="16" t="str">
        <f>_xlfn.XLOOKUP(FME_Ranking2[[#This Row],[FME ID]],FME_Input[FME_ID],FME_Input[DESCR])</f>
        <v>Study to develop Master Drainage Plan using future and existing land use and flood/storm water drainage needs including Atlas 14 rainfall.</v>
      </c>
      <c r="D217" s="46" t="str">
        <f>_xlfn.XLOOKUP(FME_Ranking2[[#This Row],[FME ID]],FME_Input[FME_ID],FME_Input[EMER_NEED])</f>
        <v>No</v>
      </c>
      <c r="E217" s="121">
        <f>IF(FME_Ranking_Option2!$D217="Yes",100,0)</f>
        <v>0</v>
      </c>
      <c r="F217" s="47" t="str">
        <f>_xlfn.XLOOKUP(FME_Ranking2[[#This Row],[FME ID]],FME_Input[FME_ID],FME_Input[FUND])</f>
        <v>Yes</v>
      </c>
      <c r="G217" s="48">
        <f>IF(FME_Ranking_Option2!$F217="Yes",1,0)</f>
        <v>1</v>
      </c>
      <c r="H217" s="46">
        <f>_xlfn.XLOOKUP(FME_Ranking2[[#This Row],[FME ID]],FME_Input[FME_ID],FME_Input[STRUCT_100])</f>
        <v>363</v>
      </c>
      <c r="I217" s="65" t="e">
        <f>FME_Ranking2[[#This Row],[Raw Data3]]*H$4</f>
        <v>#REF!</v>
      </c>
      <c r="J217" s="62">
        <f>((FME_Ranking_Option2!$H217)/($H$3))*100</f>
        <v>4.0339204928717405E-2</v>
      </c>
      <c r="K217" s="49" t="e">
        <f>FME_Ranking2[[#This Row],[Norm Data3]]*H$4</f>
        <v>#REF!</v>
      </c>
      <c r="L217" s="50">
        <f>_xlfn.XLOOKUP(FME_Ranking2[[#This Row],[FME ID]],FME_Input[FME_ID],FME_Input[RES_STRUCT100])</f>
        <v>267</v>
      </c>
      <c r="M217" s="51" t="e">
        <f>FME_Ranking2[[#This Row],[Raw Data4]]*L$4</f>
        <v>#REF!</v>
      </c>
      <c r="N217" s="29">
        <f>((FME_Ranking_Option2!$L217)/($L$3))*100</f>
        <v>3.9917294952928985E-2</v>
      </c>
      <c r="O217" s="52" t="e">
        <f>FME_Ranking2[[#This Row],[Norm Data4]]*L$4</f>
        <v>#REF!</v>
      </c>
      <c r="P217" s="47">
        <f>_xlfn.XLOOKUP(FME_Ranking2[[#This Row],[FME ID]],FME_Input[FME_ID],FME_Input[POP100])</f>
        <v>589</v>
      </c>
      <c r="Q217" s="48" t="e">
        <f>FME_Ranking_Option2!$P217*P$4</f>
        <v>#REF!</v>
      </c>
      <c r="R217" s="48">
        <f>FME_Ranking_Option2!$P217/($P$3)</f>
        <v>2.1617550661775985E-4</v>
      </c>
      <c r="S217" s="48" t="e">
        <f>FME_Ranking_Option2!$R217*P$4</f>
        <v>#REF!</v>
      </c>
      <c r="T217" s="50">
        <f>_xlfn.XLOOKUP(FME_Ranking2[[#This Row],[FME ID]],FME_Input[FME_ID],FME_Input[CRITFAC100])</f>
        <v>1</v>
      </c>
      <c r="U217" s="48" t="e">
        <f>FME_Ranking_Option2!$T217*T$4</f>
        <v>#REF!</v>
      </c>
      <c r="V217" s="48">
        <f>FME_Ranking_Option2!$T217/($T$3)</f>
        <v>1.4102383302778171E-4</v>
      </c>
      <c r="W217" s="48" t="e">
        <f>FME_Ranking_Option2!$V217*T$4</f>
        <v>#REF!</v>
      </c>
      <c r="X217" s="50">
        <f>_xlfn.XLOOKUP(FME_Ranking2[[#This Row],[FME ID]],FME_Input[FME_ID],FME_Input[LWC])</f>
        <v>0</v>
      </c>
      <c r="Y217" s="48" t="e">
        <f>FME_Ranking_Option2!$X217*X$4</f>
        <v>#REF!</v>
      </c>
      <c r="Z217" s="48">
        <f>FME_Ranking_Option2!$X217/($X$3)</f>
        <v>0</v>
      </c>
      <c r="AA217" s="48" t="e">
        <f>FME_Ranking_Option2!$Z217*X$4</f>
        <v>#REF!</v>
      </c>
      <c r="AB217" s="50">
        <f>_xlfn.XLOOKUP(FME_Ranking2[[#This Row],[FME ID]],FME_Input[FME_ID],FME_Input[ROADCLS])</f>
        <v>0</v>
      </c>
      <c r="AC217" s="48" t="e">
        <f>FME_Ranking_Option2!$AB217*AB$4</f>
        <v>#REF!</v>
      </c>
      <c r="AD217" s="53">
        <f>_xlfn.XLOOKUP(FME_Ranking2[[#This Row],[FME ID]],FME_Input[FME_ID],FME_Input[ROAD_MILES100])</f>
        <v>8.9817647933959961</v>
      </c>
      <c r="AE217" s="54" t="e">
        <f>FME_Ranking_Option2!$AD217*AD$4</f>
        <v>#REF!</v>
      </c>
      <c r="AF217" s="55">
        <f>FME_Ranking_Option2!$AD217/($AD$3)</f>
        <v>2.0287366240134431E-4</v>
      </c>
      <c r="AG217" s="55" t="e">
        <f>FME_Ranking_Option2!$AF217*AD$4</f>
        <v>#REF!</v>
      </c>
      <c r="AH217" s="53">
        <f>_xlfn.XLOOKUP(FME_Ranking2[[#This Row],[FME ID]],FME_Input[FME_ID],FME_Input[FARMACRE100])</f>
        <v>9.2176370620727539</v>
      </c>
      <c r="AI217" s="54" t="e">
        <f>FME_Ranking_Option2!$AH217*AH$4</f>
        <v>#REF!</v>
      </c>
      <c r="AJ217" s="56">
        <f>FME_Ranking_Option2!$AH217/($AH$3)</f>
        <v>5.3523075764860546E-4</v>
      </c>
      <c r="AK217" s="57" t="e">
        <f>FME_Ranking_Option2!$AJ217*AH$4</f>
        <v>#REF!</v>
      </c>
      <c r="AL217"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17" s="58" t="e">
        <f>_xlfn.RANK.EQ(AL217,$AL$7:$AL$531)+COUNTIF(AL$7:AL217,AL217)-1</f>
        <v>#REF!</v>
      </c>
      <c r="AN217" s="57"/>
      <c r="AO217" s="58" t="e">
        <f>_xlfn.RANK.EQ(AN217,$AN$7:$AN$531)+COUNTIF(AN$7:AN217,AN217)-1</f>
        <v>#N/A</v>
      </c>
      <c r="AP21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17" s="32" t="e">
        <f>FME_Ranking2[[#This Row],[Score Based on Reported Factors]]-FME_Ranking2[[#This Row],[Check]]</f>
        <v>#REF!</v>
      </c>
      <c r="AR217" s="32"/>
      <c r="AT217" s="19"/>
      <c r="AU217" s="19"/>
      <c r="AV217" s="19"/>
      <c r="AW217" s="19"/>
      <c r="AX217" s="19"/>
      <c r="AY217" s="19"/>
      <c r="AZ217" s="19"/>
      <c r="BA217" s="19"/>
      <c r="BB217" s="19"/>
      <c r="BC217" s="19"/>
    </row>
    <row r="218" spans="1:55" ht="12" customHeight="1" x14ac:dyDescent="0.25">
      <c r="A218" s="17" t="s">
        <v>1727</v>
      </c>
      <c r="B218" s="17" t="str">
        <f>_xlfn.XLOOKUP(FME_Ranking2[[#This Row],[FME ID]],FME_Input[FME_ID],FME_Input[FME_NAME])</f>
        <v>City of Prairie View  Master Drainage Plan</v>
      </c>
      <c r="C218" s="17" t="str">
        <f>_xlfn.XLOOKUP(FME_Ranking2[[#This Row],[FME ID]],FME_Input[FME_ID],FME_Input[DESCR])</f>
        <v>Study to develop Master Drainage Plan using future and existing land use and flood/storm water drainage needs including Atlas 14 rainfall.</v>
      </c>
      <c r="D218" s="33" t="str">
        <f>_xlfn.XLOOKUP(FME_Ranking2[[#This Row],[FME ID]],FME_Input[FME_ID],FME_Input[EMER_NEED])</f>
        <v>No</v>
      </c>
      <c r="E218" s="120">
        <f>IF(FME_Ranking_Option2!$D218="Yes",100,0)</f>
        <v>0</v>
      </c>
      <c r="F218" s="34" t="str">
        <f>_xlfn.XLOOKUP(FME_Ranking2[[#This Row],[FME ID]],FME_Input[FME_ID],FME_Input[FUND])</f>
        <v>Yes</v>
      </c>
      <c r="G218" s="35">
        <f>IF(FME_Ranking_Option2!$F218="Yes",1,0)</f>
        <v>1</v>
      </c>
      <c r="H218" s="33">
        <f>_xlfn.XLOOKUP(FME_Ranking2[[#This Row],[FME ID]],FME_Input[FME_ID],FME_Input[STRUCT_100])</f>
        <v>32</v>
      </c>
      <c r="I218" s="64" t="e">
        <f>FME_Ranking2[[#This Row],[Raw Data3]]*H$4</f>
        <v>#REF!</v>
      </c>
      <c r="J218" s="63">
        <f>((FME_Ranking_Option2!$H218)/($H$3))*100</f>
        <v>3.5560731617602119E-3</v>
      </c>
      <c r="K218" s="36" t="e">
        <f>FME_Ranking2[[#This Row],[Norm Data3]]*H$4</f>
        <v>#REF!</v>
      </c>
      <c r="L218" s="37">
        <f>_xlfn.XLOOKUP(FME_Ranking2[[#This Row],[FME ID]],FME_Input[FME_ID],FME_Input[RES_STRUCT100])</f>
        <v>25</v>
      </c>
      <c r="M218" s="38" t="e">
        <f>FME_Ranking2[[#This Row],[Raw Data4]]*L$4</f>
        <v>#REF!</v>
      </c>
      <c r="N218" s="28">
        <f>((FME_Ranking_Option2!$L218)/($L$3))*100</f>
        <v>3.737574433794849E-3</v>
      </c>
      <c r="O218" s="39" t="e">
        <f>FME_Ranking2[[#This Row],[Norm Data4]]*L$4</f>
        <v>#REF!</v>
      </c>
      <c r="P218" s="34">
        <f>_xlfn.XLOOKUP(FME_Ranking2[[#This Row],[FME ID]],FME_Input[FME_ID],FME_Input[POP100])</f>
        <v>46</v>
      </c>
      <c r="Q218" s="35" t="e">
        <f>FME_Ranking_Option2!$P218*P$4</f>
        <v>#REF!</v>
      </c>
      <c r="R218" s="35">
        <f>FME_Ranking_Option2!$P218/($P$3)</f>
        <v>1.6882976747736764E-5</v>
      </c>
      <c r="S218" s="35" t="e">
        <f>FME_Ranking_Option2!$R218*P$4</f>
        <v>#REF!</v>
      </c>
      <c r="T218" s="37">
        <f>_xlfn.XLOOKUP(FME_Ranking2[[#This Row],[FME ID]],FME_Input[FME_ID],FME_Input[CRITFAC100])</f>
        <v>0</v>
      </c>
      <c r="U218" s="35" t="e">
        <f>FME_Ranking_Option2!$T218*T$4</f>
        <v>#REF!</v>
      </c>
      <c r="V218" s="35">
        <f>FME_Ranking_Option2!$T218/($T$3)</f>
        <v>0</v>
      </c>
      <c r="W218" s="35" t="e">
        <f>FME_Ranking_Option2!$V218*T$4</f>
        <v>#REF!</v>
      </c>
      <c r="X218" s="37">
        <f>_xlfn.XLOOKUP(FME_Ranking2[[#This Row],[FME ID]],FME_Input[FME_ID],FME_Input[LWC])</f>
        <v>0</v>
      </c>
      <c r="Y218" s="35" t="e">
        <f>FME_Ranking_Option2!$X218*X$4</f>
        <v>#REF!</v>
      </c>
      <c r="Z218" s="35">
        <f>FME_Ranking_Option2!$X218/($X$3)</f>
        <v>0</v>
      </c>
      <c r="AA218" s="35" t="e">
        <f>FME_Ranking_Option2!$Z218*X$4</f>
        <v>#REF!</v>
      </c>
      <c r="AB218" s="37">
        <f>_xlfn.XLOOKUP(FME_Ranking2[[#This Row],[FME ID]],FME_Input[FME_ID],FME_Input[ROADCLS])</f>
        <v>0</v>
      </c>
      <c r="AC218" s="35" t="e">
        <f>FME_Ranking_Option2!$AB218*AB$4</f>
        <v>#REF!</v>
      </c>
      <c r="AD218" s="40">
        <f>_xlfn.XLOOKUP(FME_Ranking2[[#This Row],[FME ID]],FME_Input[FME_ID],FME_Input[ROAD_MILES100])</f>
        <v>1.654621958732605</v>
      </c>
      <c r="AE218" s="41" t="e">
        <f>FME_Ranking_Option2!$AD218*AD$4</f>
        <v>#REF!</v>
      </c>
      <c r="AF218" s="42">
        <f>FME_Ranking_Option2!$AD218/($AD$3)</f>
        <v>3.7373414287644646E-5</v>
      </c>
      <c r="AG218" s="42" t="e">
        <f>FME_Ranking_Option2!$AF218*AD$4</f>
        <v>#REF!</v>
      </c>
      <c r="AH218" s="40">
        <f>_xlfn.XLOOKUP(FME_Ranking2[[#This Row],[FME ID]],FME_Input[FME_ID],FME_Input[FARMACRE100])</f>
        <v>15.272134780883791</v>
      </c>
      <c r="AI218" s="43" t="e">
        <f>FME_Ranking_Option2!$AH218*AH$4</f>
        <v>#REF!</v>
      </c>
      <c r="AJ218" s="41">
        <f>FME_Ranking_Option2!$AH218/($AH$3)</f>
        <v>8.8679085698845604E-4</v>
      </c>
      <c r="AK218" s="44" t="e">
        <f>FME_Ranking_Option2!$AJ218*AH$4</f>
        <v>#REF!</v>
      </c>
      <c r="AL21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18" s="45" t="e">
        <f>_xlfn.RANK.EQ(AL218,$AL$7:$AL$531)+COUNTIF(AL$7:AL218,AL218)-1</f>
        <v>#REF!</v>
      </c>
      <c r="AN218" s="44"/>
      <c r="AO218" s="45" t="e">
        <f>_xlfn.RANK.EQ(AN218,$AN$7:$AN$531)+COUNTIF(AN$7:AN218,AN218)-1</f>
        <v>#N/A</v>
      </c>
      <c r="AP21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18" s="32" t="e">
        <f>FME_Ranking2[[#This Row],[Score Based on Reported Factors]]-FME_Ranking2[[#This Row],[Check]]</f>
        <v>#REF!</v>
      </c>
      <c r="AR218" s="32"/>
    </row>
    <row r="219" spans="1:55" ht="12" customHeight="1" x14ac:dyDescent="0.25">
      <c r="A219" s="16" t="s">
        <v>1733</v>
      </c>
      <c r="B219" s="16" t="str">
        <f>_xlfn.XLOOKUP(FME_Ranking2[[#This Row],[FME ID]],FME_Input[FME_ID],FME_Input[FME_NAME])</f>
        <v>City of Roman Forest  Master Drainage Plan</v>
      </c>
      <c r="C219" s="16" t="str">
        <f>_xlfn.XLOOKUP(FME_Ranking2[[#This Row],[FME ID]],FME_Input[FME_ID],FME_Input[DESCR])</f>
        <v>Study to develop Master Drainage Plan using future and existing land use and flood/storm water drainage needs including Atlas 14 rainfall.</v>
      </c>
      <c r="D219" s="46" t="str">
        <f>_xlfn.XLOOKUP(FME_Ranking2[[#This Row],[FME ID]],FME_Input[FME_ID],FME_Input[EMER_NEED])</f>
        <v>Yes</v>
      </c>
      <c r="E219" s="121">
        <f>IF(FME_Ranking_Option2!$D219="Yes",100,0)</f>
        <v>100</v>
      </c>
      <c r="F219" s="47" t="str">
        <f>_xlfn.XLOOKUP(FME_Ranking2[[#This Row],[FME ID]],FME_Input[FME_ID],FME_Input[FUND])</f>
        <v>Yes</v>
      </c>
      <c r="G219" s="48">
        <f>IF(FME_Ranking_Option2!$F219="Yes",1,0)</f>
        <v>1</v>
      </c>
      <c r="H219" s="46">
        <f>_xlfn.XLOOKUP(FME_Ranking2[[#This Row],[FME ID]],FME_Input[FME_ID],FME_Input[STRUCT_100])</f>
        <v>86</v>
      </c>
      <c r="I219" s="65" t="e">
        <f>FME_Ranking2[[#This Row],[Raw Data3]]*H$4</f>
        <v>#REF!</v>
      </c>
      <c r="J219" s="62">
        <f>((FME_Ranking_Option2!$H219)/($H$3))*100</f>
        <v>9.5569466222305693E-3</v>
      </c>
      <c r="K219" s="49" t="e">
        <f>FME_Ranking2[[#This Row],[Norm Data3]]*H$4</f>
        <v>#REF!</v>
      </c>
      <c r="L219" s="50">
        <f>_xlfn.XLOOKUP(FME_Ranking2[[#This Row],[FME ID]],FME_Input[FME_ID],FME_Input[RES_STRUCT100])</f>
        <v>73</v>
      </c>
      <c r="M219" s="51" t="e">
        <f>FME_Ranking2[[#This Row],[Raw Data4]]*L$4</f>
        <v>#REF!</v>
      </c>
      <c r="N219" s="29">
        <f>((FME_Ranking_Option2!$L219)/($L$3))*100</f>
        <v>1.091371734668096E-2</v>
      </c>
      <c r="O219" s="52" t="e">
        <f>FME_Ranking2[[#This Row],[Norm Data4]]*L$4</f>
        <v>#REF!</v>
      </c>
      <c r="P219" s="47">
        <f>_xlfn.XLOOKUP(FME_Ranking2[[#This Row],[FME ID]],FME_Input[FME_ID],FME_Input[POP100])</f>
        <v>270</v>
      </c>
      <c r="Q219" s="48" t="e">
        <f>FME_Ranking_Option2!$P219*P$4</f>
        <v>#REF!</v>
      </c>
      <c r="R219" s="48">
        <f>FME_Ranking_Option2!$P219/($P$3)</f>
        <v>9.9095733084541868E-5</v>
      </c>
      <c r="S219" s="48" t="e">
        <f>FME_Ranking_Option2!$R219*P$4</f>
        <v>#REF!</v>
      </c>
      <c r="T219" s="50">
        <f>_xlfn.XLOOKUP(FME_Ranking2[[#This Row],[FME ID]],FME_Input[FME_ID],FME_Input[CRITFAC100])</f>
        <v>0</v>
      </c>
      <c r="U219" s="48" t="e">
        <f>FME_Ranking_Option2!$T219*T$4</f>
        <v>#REF!</v>
      </c>
      <c r="V219" s="48">
        <f>FME_Ranking_Option2!$T219/($T$3)</f>
        <v>0</v>
      </c>
      <c r="W219" s="48" t="e">
        <f>FME_Ranking_Option2!$V219*T$4</f>
        <v>#REF!</v>
      </c>
      <c r="X219" s="50">
        <f>_xlfn.XLOOKUP(FME_Ranking2[[#This Row],[FME ID]],FME_Input[FME_ID],FME_Input[LWC])</f>
        <v>0</v>
      </c>
      <c r="Y219" s="48" t="e">
        <f>FME_Ranking_Option2!$X219*X$4</f>
        <v>#REF!</v>
      </c>
      <c r="Z219" s="48">
        <f>FME_Ranking_Option2!$X219/($X$3)</f>
        <v>0</v>
      </c>
      <c r="AA219" s="48" t="e">
        <f>FME_Ranking_Option2!$Z219*X$4</f>
        <v>#REF!</v>
      </c>
      <c r="AB219" s="50">
        <f>_xlfn.XLOOKUP(FME_Ranking2[[#This Row],[FME ID]],FME_Input[FME_ID],FME_Input[ROADCLS])</f>
        <v>0</v>
      </c>
      <c r="AC219" s="48" t="e">
        <f>FME_Ranking_Option2!$AB219*AB$4</f>
        <v>#REF!</v>
      </c>
      <c r="AD219" s="53">
        <f>_xlfn.XLOOKUP(FME_Ranking2[[#This Row],[FME ID]],FME_Input[FME_ID],FME_Input[ROAD_MILES100])</f>
        <v>3.1773431301116939</v>
      </c>
      <c r="AE219" s="54" t="e">
        <f>FME_Ranking_Option2!$AD219*AD$4</f>
        <v>#REF!</v>
      </c>
      <c r="AF219" s="55">
        <f>FME_Ranking_Option2!$AD219/($AD$3)</f>
        <v>7.176754817555049E-5</v>
      </c>
      <c r="AG219" s="55" t="e">
        <f>FME_Ranking_Option2!$AF219*AD$4</f>
        <v>#REF!</v>
      </c>
      <c r="AH219" s="53">
        <f>_xlfn.XLOOKUP(FME_Ranking2[[#This Row],[FME ID]],FME_Input[FME_ID],FME_Input[FARMACRE100])</f>
        <v>0</v>
      </c>
      <c r="AI219" s="54" t="e">
        <f>FME_Ranking_Option2!$AH219*AH$4</f>
        <v>#REF!</v>
      </c>
      <c r="AJ219" s="56">
        <f>FME_Ranking_Option2!$AH219/($AH$3)</f>
        <v>0</v>
      </c>
      <c r="AK219" s="57" t="e">
        <f>FME_Ranking_Option2!$AJ219*AH$4</f>
        <v>#REF!</v>
      </c>
      <c r="AL21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19" s="58" t="e">
        <f>_xlfn.RANK.EQ(AL219,$AL$7:$AL$531)+COUNTIF(AL$7:AL219,AL219)-1</f>
        <v>#REF!</v>
      </c>
      <c r="AN219" s="57"/>
      <c r="AO219" s="58" t="e">
        <f>_xlfn.RANK.EQ(AN219,$AN$7:$AN$531)+COUNTIF(AN$7:AN219,AN219)-1</f>
        <v>#N/A</v>
      </c>
      <c r="AP21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19" s="32" t="e">
        <f>FME_Ranking2[[#This Row],[Score Based on Reported Factors]]-FME_Ranking2[[#This Row],[Check]]</f>
        <v>#REF!</v>
      </c>
      <c r="AR219" s="32"/>
      <c r="AT219" s="19"/>
      <c r="AU219" s="19"/>
      <c r="AV219" s="19"/>
      <c r="AW219" s="19"/>
      <c r="AX219" s="19"/>
      <c r="AY219" s="19"/>
      <c r="AZ219" s="19"/>
      <c r="BA219" s="19"/>
      <c r="BB219" s="19"/>
      <c r="BC219" s="19"/>
    </row>
    <row r="220" spans="1:55" ht="12" customHeight="1" x14ac:dyDescent="0.25">
      <c r="A220" s="17" t="s">
        <v>1737</v>
      </c>
      <c r="B220" s="17" t="str">
        <f>_xlfn.XLOOKUP(FME_Ranking2[[#This Row],[FME ID]],FME_Input[FME_ID],FME_Input[FME_NAME])</f>
        <v>City of Santa Fe  Master Drainage Plan</v>
      </c>
      <c r="C220" s="17" t="str">
        <f>_xlfn.XLOOKUP(FME_Ranking2[[#This Row],[FME ID]],FME_Input[FME_ID],FME_Input[DESCR])</f>
        <v>Study to develop Master Drainage Plan using future and existing land use and flood/storm water drainage needs including Atlas 14 rainfall.</v>
      </c>
      <c r="D220" s="33" t="str">
        <f>_xlfn.XLOOKUP(FME_Ranking2[[#This Row],[FME ID]],FME_Input[FME_ID],FME_Input[EMER_NEED])</f>
        <v>Yes</v>
      </c>
      <c r="E220" s="120">
        <f>IF(FME_Ranking_Option2!$D220="Yes",100,0)</f>
        <v>100</v>
      </c>
      <c r="F220" s="34" t="str">
        <f>_xlfn.XLOOKUP(FME_Ranking2[[#This Row],[FME ID]],FME_Input[FME_ID],FME_Input[FUND])</f>
        <v>Yes</v>
      </c>
      <c r="G220" s="35">
        <f>IF(FME_Ranking_Option2!$F220="Yes",1,0)</f>
        <v>1</v>
      </c>
      <c r="H220" s="33">
        <f>_xlfn.XLOOKUP(FME_Ranking2[[#This Row],[FME ID]],FME_Input[FME_ID],FME_Input[STRUCT_100])</f>
        <v>400</v>
      </c>
      <c r="I220" s="64" t="e">
        <f>FME_Ranking2[[#This Row],[Raw Data3]]*H$4</f>
        <v>#REF!</v>
      </c>
      <c r="J220" s="63">
        <f>((FME_Ranking_Option2!$H220)/($H$3))*100</f>
        <v>4.4450914522002651E-2</v>
      </c>
      <c r="K220" s="36" t="e">
        <f>FME_Ranking2[[#This Row],[Norm Data3]]*H$4</f>
        <v>#REF!</v>
      </c>
      <c r="L220" s="37">
        <f>_xlfn.XLOOKUP(FME_Ranking2[[#This Row],[FME ID]],FME_Input[FME_ID],FME_Input[RES_STRUCT100])</f>
        <v>306</v>
      </c>
      <c r="M220" s="38" t="e">
        <f>FME_Ranking2[[#This Row],[Raw Data4]]*L$4</f>
        <v>#REF!</v>
      </c>
      <c r="N220" s="28">
        <f>((FME_Ranking_Option2!$L220)/($L$3))*100</f>
        <v>4.5747911069648955E-2</v>
      </c>
      <c r="O220" s="39" t="e">
        <f>FME_Ranking2[[#This Row],[Norm Data4]]*L$4</f>
        <v>#REF!</v>
      </c>
      <c r="P220" s="34">
        <f>_xlfn.XLOOKUP(FME_Ranking2[[#This Row],[FME ID]],FME_Input[FME_ID],FME_Input[POP100])</f>
        <v>798</v>
      </c>
      <c r="Q220" s="35" t="e">
        <f>FME_Ranking_Option2!$P220*P$4</f>
        <v>#REF!</v>
      </c>
      <c r="R220" s="35">
        <f>FME_Ranking_Option2!$P220/($P$3)</f>
        <v>2.928829444498682E-4</v>
      </c>
      <c r="S220" s="35" t="e">
        <f>FME_Ranking_Option2!$R220*P$4</f>
        <v>#REF!</v>
      </c>
      <c r="T220" s="37">
        <f>_xlfn.XLOOKUP(FME_Ranking2[[#This Row],[FME ID]],FME_Input[FME_ID],FME_Input[CRITFAC100])</f>
        <v>1</v>
      </c>
      <c r="U220" s="35" t="e">
        <f>FME_Ranking_Option2!$T220*T$4</f>
        <v>#REF!</v>
      </c>
      <c r="V220" s="35">
        <f>FME_Ranking_Option2!$T220/($T$3)</f>
        <v>1.4102383302778171E-4</v>
      </c>
      <c r="W220" s="35" t="e">
        <f>FME_Ranking_Option2!$V220*T$4</f>
        <v>#REF!</v>
      </c>
      <c r="X220" s="37">
        <f>_xlfn.XLOOKUP(FME_Ranking2[[#This Row],[FME ID]],FME_Input[FME_ID],FME_Input[LWC])</f>
        <v>9</v>
      </c>
      <c r="Y220" s="35" t="e">
        <f>FME_Ranking_Option2!$X220*X$4</f>
        <v>#REF!</v>
      </c>
      <c r="Z220" s="35">
        <f>FME_Ranking_Option2!$X220/($X$3)</f>
        <v>8.2101806239737272E-4</v>
      </c>
      <c r="AA220" s="35" t="e">
        <f>FME_Ranking_Option2!$Z220*X$4</f>
        <v>#REF!</v>
      </c>
      <c r="AB220" s="37">
        <f>_xlfn.XLOOKUP(FME_Ranking2[[#This Row],[FME ID]],FME_Input[FME_ID],FME_Input[ROADCLS])</f>
        <v>9</v>
      </c>
      <c r="AC220" s="35" t="e">
        <f>FME_Ranking_Option2!$AB220*AB$4</f>
        <v>#REF!</v>
      </c>
      <c r="AD220" s="40">
        <f>_xlfn.XLOOKUP(FME_Ranking2[[#This Row],[FME ID]],FME_Input[FME_ID],FME_Input[ROAD_MILES100])</f>
        <v>4.122429370880127</v>
      </c>
      <c r="AE220" s="41" t="e">
        <f>FME_Ranking_Option2!$AD220*AD$4</f>
        <v>#REF!</v>
      </c>
      <c r="AF220" s="42">
        <f>FME_Ranking_Option2!$AD220/($AD$3)</f>
        <v>9.311447846822369E-5</v>
      </c>
      <c r="AG220" s="42" t="e">
        <f>FME_Ranking_Option2!$AF220*AD$4</f>
        <v>#REF!</v>
      </c>
      <c r="AH220" s="40">
        <f>_xlfn.XLOOKUP(FME_Ranking2[[#This Row],[FME ID]],FME_Input[FME_ID],FME_Input[FARMACRE100])</f>
        <v>12.12156867980957</v>
      </c>
      <c r="AI220" s="43" t="e">
        <f>FME_Ranking_Option2!$AH220*AH$4</f>
        <v>#REF!</v>
      </c>
      <c r="AJ220" s="41">
        <f>FME_Ranking_Option2!$AH220/($AH$3)</f>
        <v>7.0385027580215608E-4</v>
      </c>
      <c r="AK220" s="44" t="e">
        <f>FME_Ranking_Option2!$AJ220*AH$4</f>
        <v>#REF!</v>
      </c>
      <c r="AL22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20" s="45" t="e">
        <f>_xlfn.RANK.EQ(AL220,$AL$7:$AL$531)+COUNTIF(AL$7:AL220,AL220)-1</f>
        <v>#REF!</v>
      </c>
      <c r="AN220" s="44"/>
      <c r="AO220" s="45" t="e">
        <f>_xlfn.RANK.EQ(AN220,$AN$7:$AN$531)+COUNTIF(AN$7:AN220,AN220)-1</f>
        <v>#N/A</v>
      </c>
      <c r="AP22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20" s="32" t="e">
        <f>FME_Ranking2[[#This Row],[Score Based on Reported Factors]]-FME_Ranking2[[#This Row],[Check]]</f>
        <v>#REF!</v>
      </c>
      <c r="AR220" s="32"/>
    </row>
    <row r="221" spans="1:55" ht="12" customHeight="1" x14ac:dyDescent="0.25">
      <c r="A221" s="16" t="s">
        <v>1739</v>
      </c>
      <c r="B221" s="16" t="str">
        <f>_xlfn.XLOOKUP(FME_Ranking2[[#This Row],[FME ID]],FME_Input[FME_ID],FME_Input[FME_NAME])</f>
        <v>City of Seabrook  Master Drainage Plan</v>
      </c>
      <c r="C221" s="16" t="str">
        <f>_xlfn.XLOOKUP(FME_Ranking2[[#This Row],[FME ID]],FME_Input[FME_ID],FME_Input[DESCR])</f>
        <v>Study to develop Master Drainage Plan using future and existing land use and flood/storm water drainage needs including Atlas 14 rainfall.</v>
      </c>
      <c r="D221" s="46" t="str">
        <f>_xlfn.XLOOKUP(FME_Ranking2[[#This Row],[FME ID]],FME_Input[FME_ID],FME_Input[EMER_NEED])</f>
        <v>Yes</v>
      </c>
      <c r="E221" s="121">
        <f>IF(FME_Ranking_Option2!$D221="Yes",100,0)</f>
        <v>100</v>
      </c>
      <c r="F221" s="47" t="str">
        <f>_xlfn.XLOOKUP(FME_Ranking2[[#This Row],[FME ID]],FME_Input[FME_ID],FME_Input[FUND])</f>
        <v>Yes</v>
      </c>
      <c r="G221" s="48">
        <f>IF(FME_Ranking_Option2!$F221="Yes",1,0)</f>
        <v>1</v>
      </c>
      <c r="H221" s="46">
        <f>_xlfn.XLOOKUP(FME_Ranking2[[#This Row],[FME ID]],FME_Input[FME_ID],FME_Input[STRUCT_100])</f>
        <v>3570</v>
      </c>
      <c r="I221" s="65" t="e">
        <f>FME_Ranking2[[#This Row],[Raw Data3]]*H$4</f>
        <v>#REF!</v>
      </c>
      <c r="J221" s="62">
        <f>((FME_Ranking_Option2!$H221)/($H$3))*100</f>
        <v>0.3967244121088736</v>
      </c>
      <c r="K221" s="49" t="e">
        <f>FME_Ranking2[[#This Row],[Norm Data3]]*H$4</f>
        <v>#REF!</v>
      </c>
      <c r="L221" s="50">
        <f>_xlfn.XLOOKUP(FME_Ranking2[[#This Row],[FME ID]],FME_Input[FME_ID],FME_Input[RES_STRUCT100])</f>
        <v>3177</v>
      </c>
      <c r="M221" s="51" t="e">
        <f>FME_Ranking2[[#This Row],[Raw Data4]]*L$4</f>
        <v>#REF!</v>
      </c>
      <c r="N221" s="29">
        <f>((FME_Ranking_Option2!$L221)/($L$3))*100</f>
        <v>0.47497095904664938</v>
      </c>
      <c r="O221" s="52" t="e">
        <f>FME_Ranking2[[#This Row],[Norm Data4]]*L$4</f>
        <v>#REF!</v>
      </c>
      <c r="P221" s="47">
        <f>_xlfn.XLOOKUP(FME_Ranking2[[#This Row],[FME ID]],FME_Input[FME_ID],FME_Input[POP100])</f>
        <v>16087</v>
      </c>
      <c r="Q221" s="48" t="e">
        <f>FME_Ranking_Option2!$P221*P$4</f>
        <v>#REF!</v>
      </c>
      <c r="R221" s="48">
        <f>FME_Ranking_Option2!$P221/($P$3)</f>
        <v>5.9042705856704632E-3</v>
      </c>
      <c r="S221" s="48" t="e">
        <f>FME_Ranking_Option2!$R221*P$4</f>
        <v>#REF!</v>
      </c>
      <c r="T221" s="50">
        <f>_xlfn.XLOOKUP(FME_Ranking2[[#This Row],[FME ID]],FME_Input[FME_ID],FME_Input[CRITFAC100])</f>
        <v>59</v>
      </c>
      <c r="U221" s="48" t="e">
        <f>FME_Ranking_Option2!$T221*T$4</f>
        <v>#REF!</v>
      </c>
      <c r="V221" s="48">
        <f>FME_Ranking_Option2!$T221/($T$3)</f>
        <v>8.3204061486391208E-3</v>
      </c>
      <c r="W221" s="48" t="e">
        <f>FME_Ranking_Option2!$V221*T$4</f>
        <v>#REF!</v>
      </c>
      <c r="X221" s="50">
        <f>_xlfn.XLOOKUP(FME_Ranking2[[#This Row],[FME ID]],FME_Input[FME_ID],FME_Input[LWC])</f>
        <v>0</v>
      </c>
      <c r="Y221" s="48" t="e">
        <f>FME_Ranking_Option2!$X221*X$4</f>
        <v>#REF!</v>
      </c>
      <c r="Z221" s="48">
        <f>FME_Ranking_Option2!$X221/($X$3)</f>
        <v>0</v>
      </c>
      <c r="AA221" s="48" t="e">
        <f>FME_Ranking_Option2!$Z221*X$4</f>
        <v>#REF!</v>
      </c>
      <c r="AB221" s="50">
        <f>_xlfn.XLOOKUP(FME_Ranking2[[#This Row],[FME ID]],FME_Input[FME_ID],FME_Input[ROADCLS])</f>
        <v>0</v>
      </c>
      <c r="AC221" s="48" t="e">
        <f>FME_Ranking_Option2!$AB221*AB$4</f>
        <v>#REF!</v>
      </c>
      <c r="AD221" s="53">
        <f>_xlfn.XLOOKUP(FME_Ranking2[[#This Row],[FME ID]],FME_Input[FME_ID],FME_Input[ROAD_MILES100])</f>
        <v>52.05743408203125</v>
      </c>
      <c r="AE221" s="54" t="e">
        <f>FME_Ranking_Option2!$AD221*AD$4</f>
        <v>#REF!</v>
      </c>
      <c r="AF221" s="55">
        <f>FME_Ranking_Option2!$AD221/($AD$3)</f>
        <v>1.1758359910742117E-3</v>
      </c>
      <c r="AG221" s="55" t="e">
        <f>FME_Ranking_Option2!$AF221*AD$4</f>
        <v>#REF!</v>
      </c>
      <c r="AH221" s="53">
        <f>_xlfn.XLOOKUP(FME_Ranking2[[#This Row],[FME ID]],FME_Input[FME_ID],FME_Input[FARMACRE100])</f>
        <v>11.4744987487793</v>
      </c>
      <c r="AI221" s="54" t="e">
        <f>FME_Ranking_Option2!$AH221*AH$4</f>
        <v>#REF!</v>
      </c>
      <c r="AJ221" s="56">
        <f>FME_Ranking_Option2!$AH221/($AH$3)</f>
        <v>6.6627755221749759E-4</v>
      </c>
      <c r="AK221" s="57" t="e">
        <f>FME_Ranking_Option2!$AJ221*AH$4</f>
        <v>#REF!</v>
      </c>
      <c r="AL22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21" s="58" t="e">
        <f>_xlfn.RANK.EQ(AL221,$AL$7:$AL$531)+COUNTIF(AL$7:AL221,AL221)-1</f>
        <v>#REF!</v>
      </c>
      <c r="AN221" s="57"/>
      <c r="AO221" s="58" t="e">
        <f>_xlfn.RANK.EQ(AN221,$AN$7:$AN$531)+COUNTIF(AN$7:AN221,AN221)-1</f>
        <v>#N/A</v>
      </c>
      <c r="AP22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21" s="32" t="e">
        <f>FME_Ranking2[[#This Row],[Score Based on Reported Factors]]-FME_Ranking2[[#This Row],[Check]]</f>
        <v>#REF!</v>
      </c>
      <c r="AR221" s="32"/>
      <c r="AT221" s="19"/>
      <c r="AU221" s="19"/>
      <c r="AV221" s="19"/>
      <c r="AW221" s="19"/>
      <c r="AX221" s="19"/>
      <c r="AY221" s="19"/>
      <c r="AZ221" s="19"/>
      <c r="BA221" s="19"/>
      <c r="BB221" s="19"/>
      <c r="BC221" s="19"/>
    </row>
    <row r="222" spans="1:55" ht="12" customHeight="1" x14ac:dyDescent="0.25">
      <c r="A222" s="17" t="s">
        <v>1744</v>
      </c>
      <c r="B222" s="17" t="str">
        <f>_xlfn.XLOOKUP(FME_Ranking2[[#This Row],[FME ID]],FME_Input[FME_ID],FME_Input[FME_NAME])</f>
        <v>City of Shenandoah  Master Drainage Plan</v>
      </c>
      <c r="C222" s="17" t="str">
        <f>_xlfn.XLOOKUP(FME_Ranking2[[#This Row],[FME ID]],FME_Input[FME_ID],FME_Input[DESCR])</f>
        <v>Study to develop Master Drainage Plan using future and existing land use and flood/storm water drainage needs including Atlas 14 rainfall.</v>
      </c>
      <c r="D222" s="33" t="str">
        <f>_xlfn.XLOOKUP(FME_Ranking2[[#This Row],[FME ID]],FME_Input[FME_ID],FME_Input[EMER_NEED])</f>
        <v>Yes</v>
      </c>
      <c r="E222" s="120">
        <f>IF(FME_Ranking_Option2!$D222="Yes",100,0)</f>
        <v>100</v>
      </c>
      <c r="F222" s="34" t="str">
        <f>_xlfn.XLOOKUP(FME_Ranking2[[#This Row],[FME ID]],FME_Input[FME_ID],FME_Input[FUND])</f>
        <v>Yes</v>
      </c>
      <c r="G222" s="35">
        <f>IF(FME_Ranking_Option2!$F222="Yes",1,0)</f>
        <v>1</v>
      </c>
      <c r="H222" s="33">
        <f>_xlfn.XLOOKUP(FME_Ranking2[[#This Row],[FME ID]],FME_Input[FME_ID],FME_Input[STRUCT_100])</f>
        <v>10</v>
      </c>
      <c r="I222" s="64" t="e">
        <f>FME_Ranking2[[#This Row],[Raw Data3]]*H$4</f>
        <v>#REF!</v>
      </c>
      <c r="J222" s="63">
        <f>((FME_Ranking_Option2!$H222)/($H$3))*100</f>
        <v>1.111272863050066E-3</v>
      </c>
      <c r="K222" s="36" t="e">
        <f>FME_Ranking2[[#This Row],[Norm Data3]]*H$4</f>
        <v>#REF!</v>
      </c>
      <c r="L222" s="37">
        <f>_xlfn.XLOOKUP(FME_Ranking2[[#This Row],[FME ID]],FME_Input[FME_ID],FME_Input[RES_STRUCT100])</f>
        <v>9</v>
      </c>
      <c r="M222" s="38" t="e">
        <f>FME_Ranking2[[#This Row],[Raw Data4]]*L$4</f>
        <v>#REF!</v>
      </c>
      <c r="N222" s="28">
        <f>((FME_Ranking_Option2!$L222)/($L$3))*100</f>
        <v>1.3455267961661457E-3</v>
      </c>
      <c r="O222" s="39" t="e">
        <f>FME_Ranking2[[#This Row],[Norm Data4]]*L$4</f>
        <v>#REF!</v>
      </c>
      <c r="P222" s="34">
        <f>_xlfn.XLOOKUP(FME_Ranking2[[#This Row],[FME ID]],FME_Input[FME_ID],FME_Input[POP100])</f>
        <v>45</v>
      </c>
      <c r="Q222" s="35" t="e">
        <f>FME_Ranking_Option2!$P222*P$4</f>
        <v>#REF!</v>
      </c>
      <c r="R222" s="35">
        <f>FME_Ranking_Option2!$P222/($P$3)</f>
        <v>1.6515955514090312E-5</v>
      </c>
      <c r="S222" s="35" t="e">
        <f>FME_Ranking_Option2!$R222*P$4</f>
        <v>#REF!</v>
      </c>
      <c r="T222" s="37">
        <f>_xlfn.XLOOKUP(FME_Ranking2[[#This Row],[FME ID]],FME_Input[FME_ID],FME_Input[CRITFAC100])</f>
        <v>0</v>
      </c>
      <c r="U222" s="35" t="e">
        <f>FME_Ranking_Option2!$T222*T$4</f>
        <v>#REF!</v>
      </c>
      <c r="V222" s="35">
        <f>FME_Ranking_Option2!$T222/($T$3)</f>
        <v>0</v>
      </c>
      <c r="W222" s="35" t="e">
        <f>FME_Ranking_Option2!$V222*T$4</f>
        <v>#REF!</v>
      </c>
      <c r="X222" s="37">
        <f>_xlfn.XLOOKUP(FME_Ranking2[[#This Row],[FME ID]],FME_Input[FME_ID],FME_Input[LWC])</f>
        <v>0</v>
      </c>
      <c r="Y222" s="35" t="e">
        <f>FME_Ranking_Option2!$X222*X$4</f>
        <v>#REF!</v>
      </c>
      <c r="Z222" s="35">
        <f>FME_Ranking_Option2!$X222/($X$3)</f>
        <v>0</v>
      </c>
      <c r="AA222" s="35" t="e">
        <f>FME_Ranking_Option2!$Z222*X$4</f>
        <v>#REF!</v>
      </c>
      <c r="AB222" s="37">
        <f>_xlfn.XLOOKUP(FME_Ranking2[[#This Row],[FME ID]],FME_Input[FME_ID],FME_Input[ROADCLS])</f>
        <v>0</v>
      </c>
      <c r="AC222" s="35" t="e">
        <f>FME_Ranking_Option2!$AB222*AB$4</f>
        <v>#REF!</v>
      </c>
      <c r="AD222" s="40">
        <f>_xlfn.XLOOKUP(FME_Ranking2[[#This Row],[FME ID]],FME_Input[FME_ID],FME_Input[ROAD_MILES100])</f>
        <v>1.523672975599766E-2</v>
      </c>
      <c r="AE222" s="41" t="e">
        <f>FME_Ranking_Option2!$AD222*AD$4</f>
        <v>#REF!</v>
      </c>
      <c r="AF222" s="42">
        <f>FME_Ranking_Option2!$AD222/($AD$3)</f>
        <v>3.4415632559111284E-7</v>
      </c>
      <c r="AG222" s="42" t="e">
        <f>FME_Ranking_Option2!$AF222*AD$4</f>
        <v>#REF!</v>
      </c>
      <c r="AH222" s="40">
        <f>_xlfn.XLOOKUP(FME_Ranking2[[#This Row],[FME ID]],FME_Input[FME_ID],FME_Input[FARMACRE100])</f>
        <v>0.25589761137962341</v>
      </c>
      <c r="AI222" s="43" t="e">
        <f>FME_Ranking_Option2!$AH222*AH$4</f>
        <v>#REF!</v>
      </c>
      <c r="AJ222" s="41">
        <f>FME_Ranking_Option2!$AH222/($AH$3)</f>
        <v>1.4858935266907258E-5</v>
      </c>
      <c r="AK222" s="44" t="e">
        <f>FME_Ranking_Option2!$AJ222*AH$4</f>
        <v>#REF!</v>
      </c>
      <c r="AL222"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22" s="45" t="e">
        <f>_xlfn.RANK.EQ(AL222,$AL$7:$AL$531)+COUNTIF(AL$7:AL222,AL222)-1</f>
        <v>#REF!</v>
      </c>
      <c r="AN222" s="44"/>
      <c r="AO222" s="45" t="e">
        <f>_xlfn.RANK.EQ(AN222,$AN$7:$AN$531)+COUNTIF(AN$7:AN222,AN222)-1</f>
        <v>#N/A</v>
      </c>
      <c r="AP22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22" s="32" t="e">
        <f>FME_Ranking2[[#This Row],[Score Based on Reported Factors]]-FME_Ranking2[[#This Row],[Check]]</f>
        <v>#REF!</v>
      </c>
      <c r="AR222" s="32"/>
    </row>
    <row r="223" spans="1:55" ht="12" customHeight="1" x14ac:dyDescent="0.25">
      <c r="A223" s="16" t="s">
        <v>1750</v>
      </c>
      <c r="B223" s="16" t="str">
        <f>_xlfn.XLOOKUP(FME_Ranking2[[#This Row],[FME ID]],FME_Input[FME_ID],FME_Input[FME_NAME])</f>
        <v>City of Shoreacres  Master Drainage Plan</v>
      </c>
      <c r="C223" s="16" t="str">
        <f>_xlfn.XLOOKUP(FME_Ranking2[[#This Row],[FME ID]],FME_Input[FME_ID],FME_Input[DESCR])</f>
        <v>Study to develop Master Drainage Plan using future and existing land use and flood/storm water drainage needs including Atlas 14 rainfall.</v>
      </c>
      <c r="D223" s="46" t="str">
        <f>_xlfn.XLOOKUP(FME_Ranking2[[#This Row],[FME ID]],FME_Input[FME_ID],FME_Input[EMER_NEED])</f>
        <v>No</v>
      </c>
      <c r="E223" s="121">
        <f>IF(FME_Ranking_Option2!$D223="Yes",100,0)</f>
        <v>0</v>
      </c>
      <c r="F223" s="47" t="str">
        <f>_xlfn.XLOOKUP(FME_Ranking2[[#This Row],[FME ID]],FME_Input[FME_ID],FME_Input[FUND])</f>
        <v>Yes</v>
      </c>
      <c r="G223" s="48">
        <f>IF(FME_Ranking_Option2!$F223="Yes",1,0)</f>
        <v>1</v>
      </c>
      <c r="H223" s="46">
        <f>_xlfn.XLOOKUP(FME_Ranking2[[#This Row],[FME ID]],FME_Input[FME_ID],FME_Input[STRUCT_100])</f>
        <v>801</v>
      </c>
      <c r="I223" s="65" t="e">
        <f>FME_Ranking2[[#This Row],[Raw Data3]]*H$4</f>
        <v>#REF!</v>
      </c>
      <c r="J223" s="62">
        <f>((FME_Ranking_Option2!$H223)/($H$3))*100</f>
        <v>8.9012956330310297E-2</v>
      </c>
      <c r="K223" s="49" t="e">
        <f>FME_Ranking2[[#This Row],[Norm Data3]]*H$4</f>
        <v>#REF!</v>
      </c>
      <c r="L223" s="50">
        <f>_xlfn.XLOOKUP(FME_Ranking2[[#This Row],[FME ID]],FME_Input[FME_ID],FME_Input[RES_STRUCT100])</f>
        <v>787</v>
      </c>
      <c r="M223" s="51" t="e">
        <f>FME_Ranking2[[#This Row],[Raw Data4]]*L$4</f>
        <v>#REF!</v>
      </c>
      <c r="N223" s="29">
        <f>((FME_Ranking_Option2!$L223)/($L$3))*100</f>
        <v>0.11765884317586185</v>
      </c>
      <c r="O223" s="52" t="e">
        <f>FME_Ranking2[[#This Row],[Norm Data4]]*L$4</f>
        <v>#REF!</v>
      </c>
      <c r="P223" s="47">
        <f>_xlfn.XLOOKUP(FME_Ranking2[[#This Row],[FME ID]],FME_Input[FME_ID],FME_Input[POP100])</f>
        <v>2456</v>
      </c>
      <c r="Q223" s="48" t="e">
        <f>FME_Ranking_Option2!$P223*P$4</f>
        <v>#REF!</v>
      </c>
      <c r="R223" s="48">
        <f>FME_Ranking_Option2!$P223/($P$3)</f>
        <v>9.0140414983568462E-4</v>
      </c>
      <c r="S223" s="48" t="e">
        <f>FME_Ranking_Option2!$R223*P$4</f>
        <v>#REF!</v>
      </c>
      <c r="T223" s="50">
        <f>_xlfn.XLOOKUP(FME_Ranking2[[#This Row],[FME ID]],FME_Input[FME_ID],FME_Input[CRITFAC100])</f>
        <v>3</v>
      </c>
      <c r="U223" s="48" t="e">
        <f>FME_Ranking_Option2!$T223*T$4</f>
        <v>#REF!</v>
      </c>
      <c r="V223" s="48">
        <f>FME_Ranking_Option2!$T223/($T$3)</f>
        <v>4.2307149908334509E-4</v>
      </c>
      <c r="W223" s="48" t="e">
        <f>FME_Ranking_Option2!$V223*T$4</f>
        <v>#REF!</v>
      </c>
      <c r="X223" s="50">
        <f>_xlfn.XLOOKUP(FME_Ranking2[[#This Row],[FME ID]],FME_Input[FME_ID],FME_Input[LWC])</f>
        <v>1</v>
      </c>
      <c r="Y223" s="48" t="e">
        <f>FME_Ranking_Option2!$X223*X$4</f>
        <v>#REF!</v>
      </c>
      <c r="Z223" s="48">
        <f>FME_Ranking_Option2!$X223/($X$3)</f>
        <v>9.1224229155263632E-5</v>
      </c>
      <c r="AA223" s="48" t="e">
        <f>FME_Ranking_Option2!$Z223*X$4</f>
        <v>#REF!</v>
      </c>
      <c r="AB223" s="50">
        <f>_xlfn.XLOOKUP(FME_Ranking2[[#This Row],[FME ID]],FME_Input[FME_ID],FME_Input[ROADCLS])</f>
        <v>1</v>
      </c>
      <c r="AC223" s="48" t="e">
        <f>FME_Ranking_Option2!$AB223*AB$4</f>
        <v>#REF!</v>
      </c>
      <c r="AD223" s="53">
        <f>_xlfn.XLOOKUP(FME_Ranking2[[#This Row],[FME ID]],FME_Input[FME_ID],FME_Input[ROAD_MILES100])</f>
        <v>17.1647834777832</v>
      </c>
      <c r="AE223" s="54" t="e">
        <f>FME_Ranking_Option2!$AD223*AD$4</f>
        <v>#REF!</v>
      </c>
      <c r="AF223" s="55">
        <f>FME_Ranking_Option2!$AD223/($AD$3)</f>
        <v>3.8770582046686108E-4</v>
      </c>
      <c r="AG223" s="55" t="e">
        <f>FME_Ranking_Option2!$AF223*AD$4</f>
        <v>#REF!</v>
      </c>
      <c r="AH223" s="53">
        <f>_xlfn.XLOOKUP(FME_Ranking2[[#This Row],[FME ID]],FME_Input[FME_ID],FME_Input[FARMACRE100])</f>
        <v>0.221631184220314</v>
      </c>
      <c r="AI223" s="54" t="e">
        <f>FME_Ranking_Option2!$AH223*AH$4</f>
        <v>#REF!</v>
      </c>
      <c r="AJ223" s="56">
        <f>FME_Ranking_Option2!$AH223/($AH$3)</f>
        <v>1.2869222974387928E-5</v>
      </c>
      <c r="AK223" s="57" t="e">
        <f>FME_Ranking_Option2!$AJ223*AH$4</f>
        <v>#REF!</v>
      </c>
      <c r="AL223"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23" s="58" t="e">
        <f>_xlfn.RANK.EQ(AL223,$AL$7:$AL$531)+COUNTIF(AL$7:AL223,AL223)-1</f>
        <v>#REF!</v>
      </c>
      <c r="AN223" s="57"/>
      <c r="AO223" s="58" t="e">
        <f>_xlfn.RANK.EQ(AN223,$AN$7:$AN$531)+COUNTIF(AN$7:AN223,AN223)-1</f>
        <v>#N/A</v>
      </c>
      <c r="AP22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23" s="32" t="e">
        <f>FME_Ranking2[[#This Row],[Score Based on Reported Factors]]-FME_Ranking2[[#This Row],[Check]]</f>
        <v>#REF!</v>
      </c>
      <c r="AR223" s="32"/>
      <c r="AT223" s="19"/>
      <c r="AU223" s="19"/>
      <c r="AV223" s="19"/>
      <c r="AW223" s="19"/>
      <c r="AX223" s="19"/>
      <c r="AY223" s="19"/>
      <c r="AZ223" s="19"/>
      <c r="BA223" s="19"/>
      <c r="BB223" s="19"/>
      <c r="BC223" s="19"/>
    </row>
    <row r="224" spans="1:55" ht="12" customHeight="1" x14ac:dyDescent="0.25">
      <c r="A224" s="17" t="s">
        <v>1752</v>
      </c>
      <c r="B224" s="17" t="str">
        <f>_xlfn.XLOOKUP(FME_Ranking2[[#This Row],[FME ID]],FME_Input[FME_ID],FME_Input[FME_NAME])</f>
        <v>City of South Houston  Master Drainage Plan</v>
      </c>
      <c r="C224" s="17" t="str">
        <f>_xlfn.XLOOKUP(FME_Ranking2[[#This Row],[FME ID]],FME_Input[FME_ID],FME_Input[DESCR])</f>
        <v>Study to develop Master Drainage Plan using future and existing land use and flood/storm water drainage needs including Atlas 14 rainfall.</v>
      </c>
      <c r="D224" s="33" t="str">
        <f>_xlfn.XLOOKUP(FME_Ranking2[[#This Row],[FME ID]],FME_Input[FME_ID],FME_Input[EMER_NEED])</f>
        <v>Yes</v>
      </c>
      <c r="E224" s="120">
        <f>IF(FME_Ranking_Option2!$D224="Yes",100,0)</f>
        <v>100</v>
      </c>
      <c r="F224" s="34" t="str">
        <f>_xlfn.XLOOKUP(FME_Ranking2[[#This Row],[FME ID]],FME_Input[FME_ID],FME_Input[FUND])</f>
        <v>Yes</v>
      </c>
      <c r="G224" s="35">
        <f>IF(FME_Ranking_Option2!$F224="Yes",1,0)</f>
        <v>1</v>
      </c>
      <c r="H224" s="33">
        <f>_xlfn.XLOOKUP(FME_Ranking2[[#This Row],[FME ID]],FME_Input[FME_ID],FME_Input[STRUCT_100])</f>
        <v>1422</v>
      </c>
      <c r="I224" s="64" t="e">
        <f>FME_Ranking2[[#This Row],[Raw Data3]]*H$4</f>
        <v>#REF!</v>
      </c>
      <c r="J224" s="63">
        <f>((FME_Ranking_Option2!$H224)/($H$3))*100</f>
        <v>0.1580230011257194</v>
      </c>
      <c r="K224" s="36" t="e">
        <f>FME_Ranking2[[#This Row],[Norm Data3]]*H$4</f>
        <v>#REF!</v>
      </c>
      <c r="L224" s="37">
        <f>_xlfn.XLOOKUP(FME_Ranking2[[#This Row],[FME ID]],FME_Input[FME_ID],FME_Input[RES_STRUCT100])</f>
        <v>945</v>
      </c>
      <c r="M224" s="38" t="e">
        <f>FME_Ranking2[[#This Row],[Raw Data4]]*L$4</f>
        <v>#REF!</v>
      </c>
      <c r="N224" s="28">
        <f>((FME_Ranking_Option2!$L224)/($L$3))*100</f>
        <v>0.14128031359744528</v>
      </c>
      <c r="O224" s="39" t="e">
        <f>FME_Ranking2[[#This Row],[Norm Data4]]*L$4</f>
        <v>#REF!</v>
      </c>
      <c r="P224" s="34">
        <f>_xlfn.XLOOKUP(FME_Ranking2[[#This Row],[FME ID]],FME_Input[FME_ID],FME_Input[POP100])</f>
        <v>9644</v>
      </c>
      <c r="Q224" s="35" t="e">
        <f>FME_Ranking_Option2!$P224*P$4</f>
        <v>#REF!</v>
      </c>
      <c r="R224" s="35">
        <f>FME_Ranking_Option2!$P224/($P$3)</f>
        <v>3.5395527772863773E-3</v>
      </c>
      <c r="S224" s="35" t="e">
        <f>FME_Ranking_Option2!$R224*P$4</f>
        <v>#REF!</v>
      </c>
      <c r="T224" s="37">
        <f>_xlfn.XLOOKUP(FME_Ranking2[[#This Row],[FME ID]],FME_Input[FME_ID],FME_Input[CRITFAC100])</f>
        <v>22</v>
      </c>
      <c r="U224" s="35" t="e">
        <f>FME_Ranking_Option2!$T224*T$4</f>
        <v>#REF!</v>
      </c>
      <c r="V224" s="35">
        <f>FME_Ranking_Option2!$T224/($T$3)</f>
        <v>3.1025243266111975E-3</v>
      </c>
      <c r="W224" s="35" t="e">
        <f>FME_Ranking_Option2!$V224*T$4</f>
        <v>#REF!</v>
      </c>
      <c r="X224" s="37">
        <f>_xlfn.XLOOKUP(FME_Ranking2[[#This Row],[FME ID]],FME_Input[FME_ID],FME_Input[LWC])</f>
        <v>0</v>
      </c>
      <c r="Y224" s="35" t="e">
        <f>FME_Ranking_Option2!$X224*X$4</f>
        <v>#REF!</v>
      </c>
      <c r="Z224" s="35">
        <f>FME_Ranking_Option2!$X224/($X$3)</f>
        <v>0</v>
      </c>
      <c r="AA224" s="35" t="e">
        <f>FME_Ranking_Option2!$Z224*X$4</f>
        <v>#REF!</v>
      </c>
      <c r="AB224" s="37">
        <f>_xlfn.XLOOKUP(FME_Ranking2[[#This Row],[FME ID]],FME_Input[FME_ID],FME_Input[ROADCLS])</f>
        <v>0</v>
      </c>
      <c r="AC224" s="35" t="e">
        <f>FME_Ranking_Option2!$AB224*AB$4</f>
        <v>#REF!</v>
      </c>
      <c r="AD224" s="40">
        <f>_xlfn.XLOOKUP(FME_Ranking2[[#This Row],[FME ID]],FME_Input[FME_ID],FME_Input[ROAD_MILES100])</f>
        <v>19.35272216796875</v>
      </c>
      <c r="AE224" s="41" t="e">
        <f>FME_Ranking_Option2!$AD224*AD$4</f>
        <v>#REF!</v>
      </c>
      <c r="AF224" s="42">
        <f>FME_Ranking_Option2!$AD224/($AD$3)</f>
        <v>4.371254106473911E-4</v>
      </c>
      <c r="AG224" s="42" t="e">
        <f>FME_Ranking_Option2!$AF224*AD$4</f>
        <v>#REF!</v>
      </c>
      <c r="AH224" s="40">
        <f>_xlfn.XLOOKUP(FME_Ranking2[[#This Row],[FME ID]],FME_Input[FME_ID],FME_Input[FARMACRE100])</f>
        <v>0</v>
      </c>
      <c r="AI224" s="43" t="e">
        <f>FME_Ranking_Option2!$AH224*AH$4</f>
        <v>#REF!</v>
      </c>
      <c r="AJ224" s="41">
        <f>FME_Ranking_Option2!$AH224/($AH$3)</f>
        <v>0</v>
      </c>
      <c r="AK224" s="44" t="e">
        <f>FME_Ranking_Option2!$AJ224*AH$4</f>
        <v>#REF!</v>
      </c>
      <c r="AL224"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24" s="45" t="e">
        <f>_xlfn.RANK.EQ(AL224,$AL$7:$AL$531)+COUNTIF(AL$7:AL224,AL224)-1</f>
        <v>#REF!</v>
      </c>
      <c r="AN224" s="44"/>
      <c r="AO224" s="45" t="e">
        <f>_xlfn.RANK.EQ(AN224,$AN$7:$AN$531)+COUNTIF(AN$7:AN224,AN224)-1</f>
        <v>#N/A</v>
      </c>
      <c r="AP22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24" s="32" t="e">
        <f>FME_Ranking2[[#This Row],[Score Based on Reported Factors]]-FME_Ranking2[[#This Row],[Check]]</f>
        <v>#REF!</v>
      </c>
      <c r="AR224" s="32"/>
    </row>
    <row r="225" spans="1:55" ht="12" customHeight="1" x14ac:dyDescent="0.25">
      <c r="A225" s="16" t="s">
        <v>1759</v>
      </c>
      <c r="B225" s="16" t="str">
        <f>_xlfn.XLOOKUP(FME_Ranking2[[#This Row],[FME ID]],FME_Input[FME_ID],FME_Input[FME_NAME])</f>
        <v>City of Southside Place Master Drainage Plan</v>
      </c>
      <c r="C225" s="16" t="str">
        <f>_xlfn.XLOOKUP(FME_Ranking2[[#This Row],[FME ID]],FME_Input[FME_ID],FME_Input[DESCR])</f>
        <v>Study to develop Master Drainage Plan using future and existing land use and flood/storm water drainage needs including Atlas 14 rainfall.</v>
      </c>
      <c r="D225" s="46" t="str">
        <f>_xlfn.XLOOKUP(FME_Ranking2[[#This Row],[FME ID]],FME_Input[FME_ID],FME_Input[EMER_NEED])</f>
        <v>No</v>
      </c>
      <c r="E225" s="121">
        <f>IF(FME_Ranking_Option2!$D225="Yes",100,0)</f>
        <v>0</v>
      </c>
      <c r="F225" s="47" t="str">
        <f>_xlfn.XLOOKUP(FME_Ranking2[[#This Row],[FME ID]],FME_Input[FME_ID],FME_Input[FUND])</f>
        <v>Yes</v>
      </c>
      <c r="G225" s="48">
        <f>IF(FME_Ranking_Option2!$F225="Yes",1,0)</f>
        <v>1</v>
      </c>
      <c r="H225" s="46">
        <f>_xlfn.XLOOKUP(FME_Ranking2[[#This Row],[FME ID]],FME_Input[FME_ID],FME_Input[STRUCT_100])</f>
        <v>500</v>
      </c>
      <c r="I225" s="65" t="e">
        <f>FME_Ranking2[[#This Row],[Raw Data3]]*H$4</f>
        <v>#REF!</v>
      </c>
      <c r="J225" s="62">
        <f>((FME_Ranking_Option2!$H225)/($H$3))*100</f>
        <v>5.5563643152503311E-2</v>
      </c>
      <c r="K225" s="49" t="e">
        <f>FME_Ranking2[[#This Row],[Norm Data3]]*H$4</f>
        <v>#REF!</v>
      </c>
      <c r="L225" s="50">
        <f>_xlfn.XLOOKUP(FME_Ranking2[[#This Row],[FME ID]],FME_Input[FME_ID],FME_Input[RES_STRUCT100])</f>
        <v>476</v>
      </c>
      <c r="M225" s="51" t="e">
        <f>FME_Ranking2[[#This Row],[Raw Data4]]*L$4</f>
        <v>#REF!</v>
      </c>
      <c r="N225" s="29">
        <f>((FME_Ranking_Option2!$L225)/($L$3))*100</f>
        <v>7.1163417219453934E-2</v>
      </c>
      <c r="O225" s="52" t="e">
        <f>FME_Ranking2[[#This Row],[Norm Data4]]*L$4</f>
        <v>#REF!</v>
      </c>
      <c r="P225" s="47">
        <f>_xlfn.XLOOKUP(FME_Ranking2[[#This Row],[FME ID]],FME_Input[FME_ID],FME_Input[POP100])</f>
        <v>2317</v>
      </c>
      <c r="Q225" s="48" t="e">
        <f>FME_Ranking_Option2!$P225*P$4</f>
        <v>#REF!</v>
      </c>
      <c r="R225" s="48">
        <f>FME_Ranking_Option2!$P225/($P$3)</f>
        <v>8.5038819835882783E-4</v>
      </c>
      <c r="S225" s="48" t="e">
        <f>FME_Ranking_Option2!$R225*P$4</f>
        <v>#REF!</v>
      </c>
      <c r="T225" s="50">
        <f>_xlfn.XLOOKUP(FME_Ranking2[[#This Row],[FME ID]],FME_Input[FME_ID],FME_Input[CRITFAC100])</f>
        <v>5</v>
      </c>
      <c r="U225" s="48" t="e">
        <f>FME_Ranking_Option2!$T225*T$4</f>
        <v>#REF!</v>
      </c>
      <c r="V225" s="48">
        <f>FME_Ranking_Option2!$T225/($T$3)</f>
        <v>7.0511916513890844E-4</v>
      </c>
      <c r="W225" s="48" t="e">
        <f>FME_Ranking_Option2!$V225*T$4</f>
        <v>#REF!</v>
      </c>
      <c r="X225" s="50">
        <f>_xlfn.XLOOKUP(FME_Ranking2[[#This Row],[FME ID]],FME_Input[FME_ID],FME_Input[LWC])</f>
        <v>0</v>
      </c>
      <c r="Y225" s="48" t="e">
        <f>FME_Ranking_Option2!$X225*X$4</f>
        <v>#REF!</v>
      </c>
      <c r="Z225" s="48">
        <f>FME_Ranking_Option2!$X225/($X$3)</f>
        <v>0</v>
      </c>
      <c r="AA225" s="48" t="e">
        <f>FME_Ranking_Option2!$Z225*X$4</f>
        <v>#REF!</v>
      </c>
      <c r="AB225" s="50">
        <f>_xlfn.XLOOKUP(FME_Ranking2[[#This Row],[FME ID]],FME_Input[FME_ID],FME_Input[ROADCLS])</f>
        <v>0</v>
      </c>
      <c r="AC225" s="48" t="e">
        <f>FME_Ranking_Option2!$AB225*AB$4</f>
        <v>#REF!</v>
      </c>
      <c r="AD225" s="53">
        <f>_xlfn.XLOOKUP(FME_Ranking2[[#This Row],[FME ID]],FME_Input[FME_ID],FME_Input[ROAD_MILES100])</f>
        <v>3.839272022247314</v>
      </c>
      <c r="AE225" s="54" t="e">
        <f>FME_Ranking_Option2!$AD225*AD$4</f>
        <v>#REF!</v>
      </c>
      <c r="AF225" s="55">
        <f>FME_Ranking_Option2!$AD225/($AD$3)</f>
        <v>8.6718723327181631E-5</v>
      </c>
      <c r="AG225" s="55" t="e">
        <f>FME_Ranking_Option2!$AF225*AD$4</f>
        <v>#REF!</v>
      </c>
      <c r="AH225" s="53">
        <f>_xlfn.XLOOKUP(FME_Ranking2[[#This Row],[FME ID]],FME_Input[FME_ID],FME_Input[FARMACRE100])</f>
        <v>0</v>
      </c>
      <c r="AI225" s="54" t="e">
        <f>FME_Ranking_Option2!$AH225*AH$4</f>
        <v>#REF!</v>
      </c>
      <c r="AJ225" s="56">
        <f>FME_Ranking_Option2!$AH225/($AH$3)</f>
        <v>0</v>
      </c>
      <c r="AK225" s="57" t="e">
        <f>FME_Ranking_Option2!$AJ225*AH$4</f>
        <v>#REF!</v>
      </c>
      <c r="AL225"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25" s="58" t="e">
        <f>_xlfn.RANK.EQ(AL225,$AL$7:$AL$531)+COUNTIF(AL$7:AL225,AL225)-1</f>
        <v>#REF!</v>
      </c>
      <c r="AN225" s="57"/>
      <c r="AO225" s="58" t="e">
        <f>_xlfn.RANK.EQ(AN225,$AN$7:$AN$531)+COUNTIF(AN$7:AN225,AN225)-1</f>
        <v>#N/A</v>
      </c>
      <c r="AP22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25" s="32" t="e">
        <f>FME_Ranking2[[#This Row],[Score Based on Reported Factors]]-FME_Ranking2[[#This Row],[Check]]</f>
        <v>#REF!</v>
      </c>
      <c r="AR225" s="32"/>
      <c r="AT225" s="19"/>
      <c r="AU225" s="19"/>
      <c r="AV225" s="19"/>
      <c r="AW225" s="19"/>
      <c r="AX225" s="19"/>
      <c r="AY225" s="19"/>
      <c r="AZ225" s="19"/>
      <c r="BA225" s="19"/>
      <c r="BB225" s="19"/>
      <c r="BC225" s="19"/>
    </row>
    <row r="226" spans="1:55" ht="12" customHeight="1" x14ac:dyDescent="0.25">
      <c r="A226" s="17" t="s">
        <v>1763</v>
      </c>
      <c r="B226" s="17" t="str">
        <f>_xlfn.XLOOKUP(FME_Ranking2[[#This Row],[FME ID]],FME_Input[FME_ID],FME_Input[FME_NAME])</f>
        <v>City of Splendora Master Drainage Plan</v>
      </c>
      <c r="C226" s="17" t="str">
        <f>_xlfn.XLOOKUP(FME_Ranking2[[#This Row],[FME ID]],FME_Input[FME_ID],FME_Input[DESCR])</f>
        <v>Study to develop Master Drainage Plan using future and existing land use and flood/storm water drainage needs including Atlas 14 rainfall.</v>
      </c>
      <c r="D226" s="33" t="str">
        <f>_xlfn.XLOOKUP(FME_Ranking2[[#This Row],[FME ID]],FME_Input[FME_ID],FME_Input[EMER_NEED])</f>
        <v>Yes</v>
      </c>
      <c r="E226" s="120">
        <f>IF(FME_Ranking_Option2!$D226="Yes",100,0)</f>
        <v>100</v>
      </c>
      <c r="F226" s="34" t="str">
        <f>_xlfn.XLOOKUP(FME_Ranking2[[#This Row],[FME ID]],FME_Input[FME_ID],FME_Input[FUND])</f>
        <v>Yes</v>
      </c>
      <c r="G226" s="35">
        <f>IF(FME_Ranking_Option2!$F226="Yes",1,0)</f>
        <v>1</v>
      </c>
      <c r="H226" s="33">
        <f>_xlfn.XLOOKUP(FME_Ranking2[[#This Row],[FME ID]],FME_Input[FME_ID],FME_Input[STRUCT_100])</f>
        <v>231</v>
      </c>
      <c r="I226" s="64" t="e">
        <f>FME_Ranking2[[#This Row],[Raw Data3]]*H$4</f>
        <v>#REF!</v>
      </c>
      <c r="J226" s="63">
        <f>((FME_Ranking_Option2!$H226)/($H$3))*100</f>
        <v>2.5670403136456531E-2</v>
      </c>
      <c r="K226" s="36" t="e">
        <f>FME_Ranking2[[#This Row],[Norm Data3]]*H$4</f>
        <v>#REF!</v>
      </c>
      <c r="L226" s="37">
        <f>_xlfn.XLOOKUP(FME_Ranking2[[#This Row],[FME ID]],FME_Input[FME_ID],FME_Input[RES_STRUCT100])</f>
        <v>119</v>
      </c>
      <c r="M226" s="38" t="e">
        <f>FME_Ranking2[[#This Row],[Raw Data4]]*L$4</f>
        <v>#REF!</v>
      </c>
      <c r="N226" s="28">
        <f>((FME_Ranking_Option2!$L226)/($L$3))*100</f>
        <v>1.7790854304863483E-2</v>
      </c>
      <c r="O226" s="39" t="e">
        <f>FME_Ranking2[[#This Row],[Norm Data4]]*L$4</f>
        <v>#REF!</v>
      </c>
      <c r="P226" s="34">
        <f>_xlfn.XLOOKUP(FME_Ranking2[[#This Row],[FME ID]],FME_Input[FME_ID],FME_Input[POP100])</f>
        <v>522</v>
      </c>
      <c r="Q226" s="35" t="e">
        <f>FME_Ranking_Option2!$P226*P$4</f>
        <v>#REF!</v>
      </c>
      <c r="R226" s="35">
        <f>FME_Ranking_Option2!$P226/($P$3)</f>
        <v>1.9158508396344763E-4</v>
      </c>
      <c r="S226" s="35" t="e">
        <f>FME_Ranking_Option2!$R226*P$4</f>
        <v>#REF!</v>
      </c>
      <c r="T226" s="37">
        <f>_xlfn.XLOOKUP(FME_Ranking2[[#This Row],[FME ID]],FME_Input[FME_ID],FME_Input[CRITFAC100])</f>
        <v>0</v>
      </c>
      <c r="U226" s="35" t="e">
        <f>FME_Ranking_Option2!$T226*T$4</f>
        <v>#REF!</v>
      </c>
      <c r="V226" s="35">
        <f>FME_Ranking_Option2!$T226/($T$3)</f>
        <v>0</v>
      </c>
      <c r="W226" s="35" t="e">
        <f>FME_Ranking_Option2!$V226*T$4</f>
        <v>#REF!</v>
      </c>
      <c r="X226" s="37">
        <f>_xlfn.XLOOKUP(FME_Ranking2[[#This Row],[FME ID]],FME_Input[FME_ID],FME_Input[LWC])</f>
        <v>0</v>
      </c>
      <c r="Y226" s="35" t="e">
        <f>FME_Ranking_Option2!$X226*X$4</f>
        <v>#REF!</v>
      </c>
      <c r="Z226" s="35">
        <f>FME_Ranking_Option2!$X226/($X$3)</f>
        <v>0</v>
      </c>
      <c r="AA226" s="35" t="e">
        <f>FME_Ranking_Option2!$Z226*X$4</f>
        <v>#REF!</v>
      </c>
      <c r="AB226" s="37">
        <f>_xlfn.XLOOKUP(FME_Ranking2[[#This Row],[FME ID]],FME_Input[FME_ID],FME_Input[ROADCLS])</f>
        <v>0</v>
      </c>
      <c r="AC226" s="35" t="e">
        <f>FME_Ranking_Option2!$AB226*AB$4</f>
        <v>#REF!</v>
      </c>
      <c r="AD226" s="40">
        <f>_xlfn.XLOOKUP(FME_Ranking2[[#This Row],[FME ID]],FME_Input[FME_ID],FME_Input[ROAD_MILES100])</f>
        <v>8.3660469055175781</v>
      </c>
      <c r="AE226" s="41" t="e">
        <f>FME_Ranking_Option2!$AD226*AD$4</f>
        <v>#REF!</v>
      </c>
      <c r="AF226" s="42">
        <f>FME_Ranking_Option2!$AD226/($AD$3)</f>
        <v>1.8896626827633235E-4</v>
      </c>
      <c r="AG226" s="42" t="e">
        <f>FME_Ranking_Option2!$AF226*AD$4</f>
        <v>#REF!</v>
      </c>
      <c r="AH226" s="40">
        <f>_xlfn.XLOOKUP(FME_Ranking2[[#This Row],[FME ID]],FME_Input[FME_ID],FME_Input[FARMACRE100])</f>
        <v>1.674467921257019</v>
      </c>
      <c r="AI226" s="43" t="e">
        <f>FME_Ranking_Option2!$AH226*AH$4</f>
        <v>#REF!</v>
      </c>
      <c r="AJ226" s="41">
        <f>FME_Ranking_Option2!$AH226/($AH$3)</f>
        <v>9.7229553313650093E-5</v>
      </c>
      <c r="AK226" s="44" t="e">
        <f>FME_Ranking_Option2!$AJ226*AH$4</f>
        <v>#REF!</v>
      </c>
      <c r="AL226"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26" s="45" t="e">
        <f>_xlfn.RANK.EQ(AL226,$AL$7:$AL$531)+COUNTIF(AL$7:AL226,AL226)-1</f>
        <v>#REF!</v>
      </c>
      <c r="AN226" s="44"/>
      <c r="AO226" s="45" t="e">
        <f>_xlfn.RANK.EQ(AN226,$AN$7:$AN$531)+COUNTIF(AN$7:AN226,AN226)-1</f>
        <v>#N/A</v>
      </c>
      <c r="AP22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26" s="32" t="e">
        <f>FME_Ranking2[[#This Row],[Score Based on Reported Factors]]-FME_Ranking2[[#This Row],[Check]]</f>
        <v>#REF!</v>
      </c>
      <c r="AR226" s="32"/>
    </row>
    <row r="227" spans="1:55" ht="12" customHeight="1" x14ac:dyDescent="0.25">
      <c r="A227" s="16" t="s">
        <v>1769</v>
      </c>
      <c r="B227" s="16" t="str">
        <f>_xlfn.XLOOKUP(FME_Ranking2[[#This Row],[FME ID]],FME_Input[FME_ID],FME_Input[FME_NAME])</f>
        <v>City of Spring Valley Village Master Drainage Plan</v>
      </c>
      <c r="C227" s="16" t="str">
        <f>_xlfn.XLOOKUP(FME_Ranking2[[#This Row],[FME ID]],FME_Input[FME_ID],FME_Input[DESCR])</f>
        <v>Study to develop Master Drainage Plan using future and existing land use and flood/storm water drainage needs including Atlas 14 rainfall.</v>
      </c>
      <c r="D227" s="46" t="str">
        <f>_xlfn.XLOOKUP(FME_Ranking2[[#This Row],[FME ID]],FME_Input[FME_ID],FME_Input[EMER_NEED])</f>
        <v>Yes</v>
      </c>
      <c r="E227" s="121">
        <f>IF(FME_Ranking_Option2!$D227="Yes",100,0)</f>
        <v>100</v>
      </c>
      <c r="F227" s="47" t="str">
        <f>_xlfn.XLOOKUP(FME_Ranking2[[#This Row],[FME ID]],FME_Input[FME_ID],FME_Input[FUND])</f>
        <v>Yes</v>
      </c>
      <c r="G227" s="48">
        <f>IF(FME_Ranking_Option2!$F227="Yes",1,0)</f>
        <v>1</v>
      </c>
      <c r="H227" s="46">
        <f>_xlfn.XLOOKUP(FME_Ranking2[[#This Row],[FME ID]],FME_Input[FME_ID],FME_Input[STRUCT_100])</f>
        <v>22</v>
      </c>
      <c r="I227" s="65" t="e">
        <f>FME_Ranking2[[#This Row],[Raw Data3]]*H$4</f>
        <v>#REF!</v>
      </c>
      <c r="J227" s="62">
        <f>((FME_Ranking_Option2!$H227)/($H$3))*100</f>
        <v>2.4448002987101456E-3</v>
      </c>
      <c r="K227" s="49" t="e">
        <f>FME_Ranking2[[#This Row],[Norm Data3]]*H$4</f>
        <v>#REF!</v>
      </c>
      <c r="L227" s="50">
        <f>_xlfn.XLOOKUP(FME_Ranking2[[#This Row],[FME ID]],FME_Input[FME_ID],FME_Input[RES_STRUCT100])</f>
        <v>22</v>
      </c>
      <c r="M227" s="51" t="e">
        <f>FME_Ranking2[[#This Row],[Raw Data4]]*L$4</f>
        <v>#REF!</v>
      </c>
      <c r="N227" s="29">
        <f>((FME_Ranking_Option2!$L227)/($L$3))*100</f>
        <v>3.2890655017394671E-3</v>
      </c>
      <c r="O227" s="52" t="e">
        <f>FME_Ranking2[[#This Row],[Norm Data4]]*L$4</f>
        <v>#REF!</v>
      </c>
      <c r="P227" s="47">
        <f>_xlfn.XLOOKUP(FME_Ranking2[[#This Row],[FME ID]],FME_Input[FME_ID],FME_Input[POP100])</f>
        <v>70</v>
      </c>
      <c r="Q227" s="48" t="e">
        <f>FME_Ranking_Option2!$P227*P$4</f>
        <v>#REF!</v>
      </c>
      <c r="R227" s="48">
        <f>FME_Ranking_Option2!$P227/($P$3)</f>
        <v>2.5691486355251596E-5</v>
      </c>
      <c r="S227" s="48" t="e">
        <f>FME_Ranking_Option2!$R227*P$4</f>
        <v>#REF!</v>
      </c>
      <c r="T227" s="50">
        <f>_xlfn.XLOOKUP(FME_Ranking2[[#This Row],[FME ID]],FME_Input[FME_ID],FME_Input[CRITFAC100])</f>
        <v>0</v>
      </c>
      <c r="U227" s="48" t="e">
        <f>FME_Ranking_Option2!$T227*T$4</f>
        <v>#REF!</v>
      </c>
      <c r="V227" s="48">
        <f>FME_Ranking_Option2!$T227/($T$3)</f>
        <v>0</v>
      </c>
      <c r="W227" s="48" t="e">
        <f>FME_Ranking_Option2!$V227*T$4</f>
        <v>#REF!</v>
      </c>
      <c r="X227" s="50">
        <f>_xlfn.XLOOKUP(FME_Ranking2[[#This Row],[FME ID]],FME_Input[FME_ID],FME_Input[LWC])</f>
        <v>0</v>
      </c>
      <c r="Y227" s="48" t="e">
        <f>FME_Ranking_Option2!$X227*X$4</f>
        <v>#REF!</v>
      </c>
      <c r="Z227" s="48">
        <f>FME_Ranking_Option2!$X227/($X$3)</f>
        <v>0</v>
      </c>
      <c r="AA227" s="48" t="e">
        <f>FME_Ranking_Option2!$Z227*X$4</f>
        <v>#REF!</v>
      </c>
      <c r="AB227" s="50">
        <f>_xlfn.XLOOKUP(FME_Ranking2[[#This Row],[FME ID]],FME_Input[FME_ID],FME_Input[ROADCLS])</f>
        <v>0</v>
      </c>
      <c r="AC227" s="48" t="e">
        <f>FME_Ranking_Option2!$AB227*AB$4</f>
        <v>#REF!</v>
      </c>
      <c r="AD227" s="53">
        <f>_xlfn.XLOOKUP(FME_Ranking2[[#This Row],[FME ID]],FME_Input[FME_ID],FME_Input[ROAD_MILES100])</f>
        <v>0.5600513219833374</v>
      </c>
      <c r="AE227" s="54" t="e">
        <f>FME_Ranking_Option2!$AD227*AD$4</f>
        <v>#REF!</v>
      </c>
      <c r="AF227" s="55">
        <f>FME_Ranking_Option2!$AD227/($AD$3)</f>
        <v>1.2650037652624246E-5</v>
      </c>
      <c r="AG227" s="55" t="e">
        <f>FME_Ranking_Option2!$AF227*AD$4</f>
        <v>#REF!</v>
      </c>
      <c r="AH227" s="53">
        <f>_xlfn.XLOOKUP(FME_Ranking2[[#This Row],[FME ID]],FME_Input[FME_ID],FME_Input[FARMACRE100])</f>
        <v>0</v>
      </c>
      <c r="AI227" s="54" t="e">
        <f>FME_Ranking_Option2!$AH227*AH$4</f>
        <v>#REF!</v>
      </c>
      <c r="AJ227" s="56">
        <f>FME_Ranking_Option2!$AH227/($AH$3)</f>
        <v>0</v>
      </c>
      <c r="AK227" s="57" t="e">
        <f>FME_Ranking_Option2!$AJ227*AH$4</f>
        <v>#REF!</v>
      </c>
      <c r="AL227"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27" s="58" t="e">
        <f>_xlfn.RANK.EQ(AL227,$AL$7:$AL$531)+COUNTIF(AL$7:AL227,AL227)-1</f>
        <v>#REF!</v>
      </c>
      <c r="AN227" s="57"/>
      <c r="AO227" s="58" t="e">
        <f>_xlfn.RANK.EQ(AN227,$AN$7:$AN$531)+COUNTIF(AN$7:AN227,AN227)-1</f>
        <v>#N/A</v>
      </c>
      <c r="AP22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27" s="32" t="e">
        <f>FME_Ranking2[[#This Row],[Score Based on Reported Factors]]-FME_Ranking2[[#This Row],[Check]]</f>
        <v>#REF!</v>
      </c>
      <c r="AR227" s="32"/>
      <c r="AT227" s="19"/>
      <c r="AU227" s="19"/>
      <c r="AV227" s="19"/>
      <c r="AW227" s="19"/>
      <c r="AX227" s="19"/>
      <c r="AY227" s="19"/>
      <c r="AZ227" s="19"/>
      <c r="BA227" s="19"/>
      <c r="BB227" s="19"/>
      <c r="BC227" s="19"/>
    </row>
    <row r="228" spans="1:55" ht="12" customHeight="1" x14ac:dyDescent="0.25">
      <c r="A228" s="17" t="s">
        <v>1773</v>
      </c>
      <c r="B228" s="17" t="str">
        <f>_xlfn.XLOOKUP(FME_Ranking2[[#This Row],[FME ID]],FME_Input[FME_ID],FME_Input[FME_NAME])</f>
        <v>City of Stafford Master Drainage Plan</v>
      </c>
      <c r="C228" s="17" t="str">
        <f>_xlfn.XLOOKUP(FME_Ranking2[[#This Row],[FME ID]],FME_Input[FME_ID],FME_Input[DESCR])</f>
        <v>Study to develop Master Drainage Plan using future and existing land use and flood/storm water drainage needs including Atlas 14 rainfall.</v>
      </c>
      <c r="D228" s="33" t="str">
        <f>_xlfn.XLOOKUP(FME_Ranking2[[#This Row],[FME ID]],FME_Input[FME_ID],FME_Input[EMER_NEED])</f>
        <v>Yes</v>
      </c>
      <c r="E228" s="120">
        <f>IF(FME_Ranking_Option2!$D228="Yes",100,0)</f>
        <v>100</v>
      </c>
      <c r="F228" s="34" t="str">
        <f>_xlfn.XLOOKUP(FME_Ranking2[[#This Row],[FME ID]],FME_Input[FME_ID],FME_Input[FUND])</f>
        <v>Yes</v>
      </c>
      <c r="G228" s="35">
        <f>IF(FME_Ranking_Option2!$F228="Yes",1,0)</f>
        <v>1</v>
      </c>
      <c r="H228" s="33">
        <f>_xlfn.XLOOKUP(FME_Ranking2[[#This Row],[FME ID]],FME_Input[FME_ID],FME_Input[STRUCT_100])</f>
        <v>0</v>
      </c>
      <c r="I228" s="64" t="e">
        <f>FME_Ranking2[[#This Row],[Raw Data3]]*H$4</f>
        <v>#REF!</v>
      </c>
      <c r="J228" s="63">
        <f>((FME_Ranking_Option2!$H228)/($H$3))*100</f>
        <v>0</v>
      </c>
      <c r="K228" s="36" t="e">
        <f>FME_Ranking2[[#This Row],[Norm Data3]]*H$4</f>
        <v>#REF!</v>
      </c>
      <c r="L228" s="37">
        <f>_xlfn.XLOOKUP(FME_Ranking2[[#This Row],[FME ID]],FME_Input[FME_ID],FME_Input[RES_STRUCT100])</f>
        <v>0</v>
      </c>
      <c r="M228" s="38" t="e">
        <f>FME_Ranking2[[#This Row],[Raw Data4]]*L$4</f>
        <v>#REF!</v>
      </c>
      <c r="N228" s="28">
        <f>((FME_Ranking_Option2!$L228)/($L$3))*100</f>
        <v>0</v>
      </c>
      <c r="O228" s="39" t="e">
        <f>FME_Ranking2[[#This Row],[Norm Data4]]*L$4</f>
        <v>#REF!</v>
      </c>
      <c r="P228" s="34">
        <f>_xlfn.XLOOKUP(FME_Ranking2[[#This Row],[FME ID]],FME_Input[FME_ID],FME_Input[POP100])</f>
        <v>0</v>
      </c>
      <c r="Q228" s="35" t="e">
        <f>FME_Ranking_Option2!$P228*P$4</f>
        <v>#REF!</v>
      </c>
      <c r="R228" s="35">
        <f>FME_Ranking_Option2!$P228/($P$3)</f>
        <v>0</v>
      </c>
      <c r="S228" s="35" t="e">
        <f>FME_Ranking_Option2!$R228*P$4</f>
        <v>#REF!</v>
      </c>
      <c r="T228" s="37">
        <f>_xlfn.XLOOKUP(FME_Ranking2[[#This Row],[FME ID]],FME_Input[FME_ID],FME_Input[CRITFAC100])</f>
        <v>0</v>
      </c>
      <c r="U228" s="35" t="e">
        <f>FME_Ranking_Option2!$T228*T$4</f>
        <v>#REF!</v>
      </c>
      <c r="V228" s="35">
        <f>FME_Ranking_Option2!$T228/($T$3)</f>
        <v>0</v>
      </c>
      <c r="W228" s="35" t="e">
        <f>FME_Ranking_Option2!$V228*T$4</f>
        <v>#REF!</v>
      </c>
      <c r="X228" s="37">
        <f>_xlfn.XLOOKUP(FME_Ranking2[[#This Row],[FME ID]],FME_Input[FME_ID],FME_Input[LWC])</f>
        <v>0</v>
      </c>
      <c r="Y228" s="35" t="e">
        <f>FME_Ranking_Option2!$X228*X$4</f>
        <v>#REF!</v>
      </c>
      <c r="Z228" s="35">
        <f>FME_Ranking_Option2!$X228/($X$3)</f>
        <v>0</v>
      </c>
      <c r="AA228" s="35" t="e">
        <f>FME_Ranking_Option2!$Z228*X$4</f>
        <v>#REF!</v>
      </c>
      <c r="AB228" s="37">
        <f>_xlfn.XLOOKUP(FME_Ranking2[[#This Row],[FME ID]],FME_Input[FME_ID],FME_Input[ROADCLS])</f>
        <v>0</v>
      </c>
      <c r="AC228" s="35" t="e">
        <f>FME_Ranking_Option2!$AB228*AB$4</f>
        <v>#REF!</v>
      </c>
      <c r="AD228" s="40">
        <f>_xlfn.XLOOKUP(FME_Ranking2[[#This Row],[FME ID]],FME_Input[FME_ID],FME_Input[ROAD_MILES100])</f>
        <v>0</v>
      </c>
      <c r="AE228" s="41" t="e">
        <f>FME_Ranking_Option2!$AD228*AD$4</f>
        <v>#REF!</v>
      </c>
      <c r="AF228" s="42">
        <f>FME_Ranking_Option2!$AD228/($AD$3)</f>
        <v>0</v>
      </c>
      <c r="AG228" s="42" t="e">
        <f>FME_Ranking_Option2!$AF228*AD$4</f>
        <v>#REF!</v>
      </c>
      <c r="AH228" s="40">
        <f>_xlfn.XLOOKUP(FME_Ranking2[[#This Row],[FME ID]],FME_Input[FME_ID],FME_Input[FARMACRE100])</f>
        <v>0</v>
      </c>
      <c r="AI228" s="43" t="e">
        <f>FME_Ranking_Option2!$AH228*AH$4</f>
        <v>#REF!</v>
      </c>
      <c r="AJ228" s="41">
        <f>FME_Ranking_Option2!$AH228/($AH$3)</f>
        <v>0</v>
      </c>
      <c r="AK228" s="44" t="e">
        <f>FME_Ranking_Option2!$AJ228*AH$4</f>
        <v>#REF!</v>
      </c>
      <c r="AL22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28" s="45" t="e">
        <f>_xlfn.RANK.EQ(AL228,$AL$7:$AL$531)+COUNTIF(AL$7:AL228,AL228)-1</f>
        <v>#REF!</v>
      </c>
      <c r="AN228" s="44"/>
      <c r="AO228" s="45" t="e">
        <f>_xlfn.RANK.EQ(AN228,$AN$7:$AN$531)+COUNTIF(AN$7:AN228,AN228)-1</f>
        <v>#N/A</v>
      </c>
      <c r="AP22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28" s="32" t="e">
        <f>FME_Ranking2[[#This Row],[Score Based on Reported Factors]]-FME_Ranking2[[#This Row],[Check]]</f>
        <v>#REF!</v>
      </c>
      <c r="AR228" s="32"/>
    </row>
    <row r="229" spans="1:55" ht="12" customHeight="1" x14ac:dyDescent="0.25">
      <c r="A229" s="16" t="s">
        <v>1775</v>
      </c>
      <c r="B229" s="16" t="str">
        <f>_xlfn.XLOOKUP(FME_Ranking2[[#This Row],[FME ID]],FME_Input[FME_ID],FME_Input[FME_NAME])</f>
        <v>City of Stagecoach Master Drainage Plan</v>
      </c>
      <c r="C229" s="16" t="str">
        <f>_xlfn.XLOOKUP(FME_Ranking2[[#This Row],[FME ID]],FME_Input[FME_ID],FME_Input[DESCR])</f>
        <v>Study to develop Master Drainage Plan using future and existing land use and flood/storm water drainage needs including Atlas 14 rainfall.</v>
      </c>
      <c r="D229" s="46" t="str">
        <f>_xlfn.XLOOKUP(FME_Ranking2[[#This Row],[FME ID]],FME_Input[FME_ID],FME_Input[EMER_NEED])</f>
        <v>No</v>
      </c>
      <c r="E229" s="121">
        <f>IF(FME_Ranking_Option2!$D229="Yes",100,0)</f>
        <v>0</v>
      </c>
      <c r="F229" s="47" t="str">
        <f>_xlfn.XLOOKUP(FME_Ranking2[[#This Row],[FME ID]],FME_Input[FME_ID],FME_Input[FUND])</f>
        <v>Yes</v>
      </c>
      <c r="G229" s="48">
        <f>IF(FME_Ranking_Option2!$F229="Yes",1,0)</f>
        <v>1</v>
      </c>
      <c r="H229" s="46">
        <f>_xlfn.XLOOKUP(FME_Ranking2[[#This Row],[FME ID]],FME_Input[FME_ID],FME_Input[STRUCT_100])</f>
        <v>18</v>
      </c>
      <c r="I229" s="65" t="e">
        <f>FME_Ranking2[[#This Row],[Raw Data3]]*H$4</f>
        <v>#REF!</v>
      </c>
      <c r="J229" s="62">
        <f>((FME_Ranking_Option2!$H229)/($H$3))*100</f>
        <v>2.0002911534901194E-3</v>
      </c>
      <c r="K229" s="49" t="e">
        <f>FME_Ranking2[[#This Row],[Norm Data3]]*H$4</f>
        <v>#REF!</v>
      </c>
      <c r="L229" s="50">
        <f>_xlfn.XLOOKUP(FME_Ranking2[[#This Row],[FME ID]],FME_Input[FME_ID],FME_Input[RES_STRUCT100])</f>
        <v>16</v>
      </c>
      <c r="M229" s="51" t="e">
        <f>FME_Ranking2[[#This Row],[Raw Data4]]*L$4</f>
        <v>#REF!</v>
      </c>
      <c r="N229" s="29">
        <f>((FME_Ranking_Option2!$L229)/($L$3))*100</f>
        <v>2.3920476376287033E-3</v>
      </c>
      <c r="O229" s="52" t="e">
        <f>FME_Ranking2[[#This Row],[Norm Data4]]*L$4</f>
        <v>#REF!</v>
      </c>
      <c r="P229" s="47">
        <f>_xlfn.XLOOKUP(FME_Ranking2[[#This Row],[FME ID]],FME_Input[FME_ID],FME_Input[POP100])</f>
        <v>28</v>
      </c>
      <c r="Q229" s="48" t="e">
        <f>FME_Ranking_Option2!$P229*P$4</f>
        <v>#REF!</v>
      </c>
      <c r="R229" s="48">
        <f>FME_Ranking_Option2!$P229/($P$3)</f>
        <v>1.0276594542100638E-5</v>
      </c>
      <c r="S229" s="48" t="e">
        <f>FME_Ranking_Option2!$R229*P$4</f>
        <v>#REF!</v>
      </c>
      <c r="T229" s="50">
        <f>_xlfn.XLOOKUP(FME_Ranking2[[#This Row],[FME ID]],FME_Input[FME_ID],FME_Input[CRITFAC100])</f>
        <v>0</v>
      </c>
      <c r="U229" s="48" t="e">
        <f>FME_Ranking_Option2!$T229*T$4</f>
        <v>#REF!</v>
      </c>
      <c r="V229" s="48">
        <f>FME_Ranking_Option2!$T229/($T$3)</f>
        <v>0</v>
      </c>
      <c r="W229" s="48" t="e">
        <f>FME_Ranking_Option2!$V229*T$4</f>
        <v>#REF!</v>
      </c>
      <c r="X229" s="50">
        <f>_xlfn.XLOOKUP(FME_Ranking2[[#This Row],[FME ID]],FME_Input[FME_ID],FME_Input[LWC])</f>
        <v>0</v>
      </c>
      <c r="Y229" s="48" t="e">
        <f>FME_Ranking_Option2!$X229*X$4</f>
        <v>#REF!</v>
      </c>
      <c r="Z229" s="48">
        <f>FME_Ranking_Option2!$X229/($X$3)</f>
        <v>0</v>
      </c>
      <c r="AA229" s="48" t="e">
        <f>FME_Ranking_Option2!$Z229*X$4</f>
        <v>#REF!</v>
      </c>
      <c r="AB229" s="50">
        <f>_xlfn.XLOOKUP(FME_Ranking2[[#This Row],[FME ID]],FME_Input[FME_ID],FME_Input[ROADCLS])</f>
        <v>0</v>
      </c>
      <c r="AC229" s="48" t="e">
        <f>FME_Ranking_Option2!$AB229*AB$4</f>
        <v>#REF!</v>
      </c>
      <c r="AD229" s="53">
        <f>_xlfn.XLOOKUP(FME_Ranking2[[#This Row],[FME ID]],FME_Input[FME_ID],FME_Input[ROAD_MILES100])</f>
        <v>0.76369726657867432</v>
      </c>
      <c r="AE229" s="54" t="e">
        <f>FME_Ranking_Option2!$AD229*AD$4</f>
        <v>#REF!</v>
      </c>
      <c r="AF229" s="55">
        <f>FME_Ranking_Option2!$AD229/($AD$3)</f>
        <v>1.724984621626136E-5</v>
      </c>
      <c r="AG229" s="55" t="e">
        <f>FME_Ranking_Option2!$AF229*AD$4</f>
        <v>#REF!</v>
      </c>
      <c r="AH229" s="53">
        <f>_xlfn.XLOOKUP(FME_Ranking2[[#This Row],[FME ID]],FME_Input[FME_ID],FME_Input[FARMACRE100])</f>
        <v>6.1692199669778347E-3</v>
      </c>
      <c r="AI229" s="54" t="e">
        <f>FME_Ranking_Option2!$AH229*AH$4</f>
        <v>#REF!</v>
      </c>
      <c r="AJ229" s="56">
        <f>FME_Ranking_Option2!$AH229/($AH$3)</f>
        <v>3.5822155448198415E-7</v>
      </c>
      <c r="AK229" s="57" t="e">
        <f>FME_Ranking_Option2!$AJ229*AH$4</f>
        <v>#REF!</v>
      </c>
      <c r="AL22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29" s="58" t="e">
        <f>_xlfn.RANK.EQ(AL229,$AL$7:$AL$531)+COUNTIF(AL$7:AL229,AL229)-1</f>
        <v>#REF!</v>
      </c>
      <c r="AN229" s="57"/>
      <c r="AO229" s="58" t="e">
        <f>_xlfn.RANK.EQ(AN229,$AN$7:$AN$531)+COUNTIF(AN$7:AN229,AN229)-1</f>
        <v>#N/A</v>
      </c>
      <c r="AP22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29" s="32" t="e">
        <f>FME_Ranking2[[#This Row],[Score Based on Reported Factors]]-FME_Ranking2[[#This Row],[Check]]</f>
        <v>#REF!</v>
      </c>
      <c r="AR229" s="32"/>
      <c r="AT229" s="19"/>
      <c r="AU229" s="19"/>
      <c r="AV229" s="19"/>
      <c r="AW229" s="19"/>
      <c r="AX229" s="19"/>
      <c r="AY229" s="19"/>
      <c r="AZ229" s="19"/>
      <c r="BA229" s="19"/>
      <c r="BB229" s="19"/>
      <c r="BC229" s="19"/>
    </row>
    <row r="230" spans="1:55" ht="12" customHeight="1" x14ac:dyDescent="0.25">
      <c r="A230" s="17" t="s">
        <v>1781</v>
      </c>
      <c r="B230" s="17" t="str">
        <f>_xlfn.XLOOKUP(FME_Ranking2[[#This Row],[FME ID]],FME_Input[FME_ID],FME_Input[FME_NAME])</f>
        <v>City of Sugar Land Master Drainage Plan</v>
      </c>
      <c r="C230" s="17" t="str">
        <f>_xlfn.XLOOKUP(FME_Ranking2[[#This Row],[FME ID]],FME_Input[FME_ID],FME_Input[DESCR])</f>
        <v>Study to develop Master Drainage Plan using future and existing land use and flood/storm water drainage needs including Atlas 14 rainfall.</v>
      </c>
      <c r="D230" s="33" t="str">
        <f>_xlfn.XLOOKUP(FME_Ranking2[[#This Row],[FME ID]],FME_Input[FME_ID],FME_Input[EMER_NEED])</f>
        <v>Yes</v>
      </c>
      <c r="E230" s="120">
        <f>IF(FME_Ranking_Option2!$D230="Yes",100,0)</f>
        <v>100</v>
      </c>
      <c r="F230" s="34" t="str">
        <f>_xlfn.XLOOKUP(FME_Ranking2[[#This Row],[FME ID]],FME_Input[FME_ID],FME_Input[FUND])</f>
        <v>Yes</v>
      </c>
      <c r="G230" s="35">
        <f>IF(FME_Ranking_Option2!$F230="Yes",1,0)</f>
        <v>1</v>
      </c>
      <c r="H230" s="33">
        <f>_xlfn.XLOOKUP(FME_Ranking2[[#This Row],[FME ID]],FME_Input[FME_ID],FME_Input[STRUCT_100])</f>
        <v>0</v>
      </c>
      <c r="I230" s="64" t="e">
        <f>FME_Ranking2[[#This Row],[Raw Data3]]*H$4</f>
        <v>#REF!</v>
      </c>
      <c r="J230" s="63">
        <f>((FME_Ranking_Option2!$H230)/($H$3))*100</f>
        <v>0</v>
      </c>
      <c r="K230" s="36" t="e">
        <f>FME_Ranking2[[#This Row],[Norm Data3]]*H$4</f>
        <v>#REF!</v>
      </c>
      <c r="L230" s="37">
        <f>_xlfn.XLOOKUP(FME_Ranking2[[#This Row],[FME ID]],FME_Input[FME_ID],FME_Input[RES_STRUCT100])</f>
        <v>0</v>
      </c>
      <c r="M230" s="38" t="e">
        <f>FME_Ranking2[[#This Row],[Raw Data4]]*L$4</f>
        <v>#REF!</v>
      </c>
      <c r="N230" s="28">
        <f>((FME_Ranking_Option2!$L230)/($L$3))*100</f>
        <v>0</v>
      </c>
      <c r="O230" s="39" t="e">
        <f>FME_Ranking2[[#This Row],[Norm Data4]]*L$4</f>
        <v>#REF!</v>
      </c>
      <c r="P230" s="34">
        <f>_xlfn.XLOOKUP(FME_Ranking2[[#This Row],[FME ID]],FME_Input[FME_ID],FME_Input[POP100])</f>
        <v>0</v>
      </c>
      <c r="Q230" s="35" t="e">
        <f>FME_Ranking_Option2!$P230*P$4</f>
        <v>#REF!</v>
      </c>
      <c r="R230" s="35">
        <f>FME_Ranking_Option2!$P230/($P$3)</f>
        <v>0</v>
      </c>
      <c r="S230" s="35" t="e">
        <f>FME_Ranking_Option2!$R230*P$4</f>
        <v>#REF!</v>
      </c>
      <c r="T230" s="37">
        <f>_xlfn.XLOOKUP(FME_Ranking2[[#This Row],[FME ID]],FME_Input[FME_ID],FME_Input[CRITFAC100])</f>
        <v>0</v>
      </c>
      <c r="U230" s="35" t="e">
        <f>FME_Ranking_Option2!$T230*T$4</f>
        <v>#REF!</v>
      </c>
      <c r="V230" s="35">
        <f>FME_Ranking_Option2!$T230/($T$3)</f>
        <v>0</v>
      </c>
      <c r="W230" s="35" t="e">
        <f>FME_Ranking_Option2!$V230*T$4</f>
        <v>#REF!</v>
      </c>
      <c r="X230" s="37">
        <f>_xlfn.XLOOKUP(FME_Ranking2[[#This Row],[FME ID]],FME_Input[FME_ID],FME_Input[LWC])</f>
        <v>0</v>
      </c>
      <c r="Y230" s="35" t="e">
        <f>FME_Ranking_Option2!$X230*X$4</f>
        <v>#REF!</v>
      </c>
      <c r="Z230" s="35">
        <f>FME_Ranking_Option2!$X230/($X$3)</f>
        <v>0</v>
      </c>
      <c r="AA230" s="35" t="e">
        <f>FME_Ranking_Option2!$Z230*X$4</f>
        <v>#REF!</v>
      </c>
      <c r="AB230" s="37">
        <f>_xlfn.XLOOKUP(FME_Ranking2[[#This Row],[FME ID]],FME_Input[FME_ID],FME_Input[ROADCLS])</f>
        <v>0</v>
      </c>
      <c r="AC230" s="35" t="e">
        <f>FME_Ranking_Option2!$AB230*AB$4</f>
        <v>#REF!</v>
      </c>
      <c r="AD230" s="40">
        <f>_xlfn.XLOOKUP(FME_Ranking2[[#This Row],[FME ID]],FME_Input[FME_ID],FME_Input[ROAD_MILES100])</f>
        <v>1.548099971842021E-4</v>
      </c>
      <c r="AE230" s="41" t="e">
        <f>FME_Ranking_Option2!$AD230*AD$4</f>
        <v>#REF!</v>
      </c>
      <c r="AF230" s="42">
        <f>FME_Ranking_Option2!$AD230/($AD$3)</f>
        <v>3.4967372033827191E-9</v>
      </c>
      <c r="AG230" s="42" t="e">
        <f>FME_Ranking_Option2!$AF230*AD$4</f>
        <v>#REF!</v>
      </c>
      <c r="AH230" s="40">
        <f>_xlfn.XLOOKUP(FME_Ranking2[[#This Row],[FME ID]],FME_Input[FME_ID],FME_Input[FARMACRE100])</f>
        <v>0</v>
      </c>
      <c r="AI230" s="43" t="e">
        <f>FME_Ranking_Option2!$AH230*AH$4</f>
        <v>#REF!</v>
      </c>
      <c r="AJ230" s="41">
        <f>FME_Ranking_Option2!$AH230/($AH$3)</f>
        <v>0</v>
      </c>
      <c r="AK230" s="44" t="e">
        <f>FME_Ranking_Option2!$AJ230*AH$4</f>
        <v>#REF!</v>
      </c>
      <c r="AL23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30" s="45" t="e">
        <f>_xlfn.RANK.EQ(AL230,$AL$7:$AL$531)+COUNTIF(AL$7:AL230,AL230)-1</f>
        <v>#REF!</v>
      </c>
      <c r="AN230" s="44"/>
      <c r="AO230" s="45" t="e">
        <f>_xlfn.RANK.EQ(AN230,$AN$7:$AN$531)+COUNTIF(AN$7:AN230,AN230)-1</f>
        <v>#N/A</v>
      </c>
      <c r="AP23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30" s="32" t="e">
        <f>FME_Ranking2[[#This Row],[Score Based on Reported Factors]]-FME_Ranking2[[#This Row],[Check]]</f>
        <v>#REF!</v>
      </c>
      <c r="AR230" s="32"/>
    </row>
    <row r="231" spans="1:55" ht="12" customHeight="1" x14ac:dyDescent="0.25">
      <c r="A231" s="16" t="s">
        <v>1785</v>
      </c>
      <c r="B231" s="16" t="str">
        <f>_xlfn.XLOOKUP(FME_Ranking2[[#This Row],[FME ID]],FME_Input[FME_ID],FME_Input[FME_NAME])</f>
        <v>City of Taylor Lake Village Master Drainage Plan</v>
      </c>
      <c r="C231" s="16" t="str">
        <f>_xlfn.XLOOKUP(FME_Ranking2[[#This Row],[FME ID]],FME_Input[FME_ID],FME_Input[DESCR])</f>
        <v>Study to develop Master Drainage Plan using future and existing land use and flood/storm water drainage needs including Atlas 14 rainfall.</v>
      </c>
      <c r="D231" s="46" t="str">
        <f>_xlfn.XLOOKUP(FME_Ranking2[[#This Row],[FME ID]],FME_Input[FME_ID],FME_Input[EMER_NEED])</f>
        <v>No</v>
      </c>
      <c r="E231" s="121">
        <f>IF(FME_Ranking_Option2!$D231="Yes",100,0)</f>
        <v>0</v>
      </c>
      <c r="F231" s="47" t="str">
        <f>_xlfn.XLOOKUP(FME_Ranking2[[#This Row],[FME ID]],FME_Input[FME_ID],FME_Input[FUND])</f>
        <v>Yes</v>
      </c>
      <c r="G231" s="48">
        <f>IF(FME_Ranking_Option2!$F231="Yes",1,0)</f>
        <v>1</v>
      </c>
      <c r="H231" s="46">
        <f>_xlfn.XLOOKUP(FME_Ranking2[[#This Row],[FME ID]],FME_Input[FME_ID],FME_Input[STRUCT_100])</f>
        <v>852</v>
      </c>
      <c r="I231" s="65" t="e">
        <f>FME_Ranking2[[#This Row],[Raw Data3]]*H$4</f>
        <v>#REF!</v>
      </c>
      <c r="J231" s="62">
        <f>((FME_Ranking_Option2!$H231)/($H$3))*100</f>
        <v>9.4680447931865641E-2</v>
      </c>
      <c r="K231" s="49" t="e">
        <f>FME_Ranking2[[#This Row],[Norm Data3]]*H$4</f>
        <v>#REF!</v>
      </c>
      <c r="L231" s="50">
        <f>_xlfn.XLOOKUP(FME_Ranking2[[#This Row],[FME ID]],FME_Input[FME_ID],FME_Input[RES_STRUCT100])</f>
        <v>838</v>
      </c>
      <c r="M231" s="51" t="e">
        <f>FME_Ranking2[[#This Row],[Raw Data4]]*L$4</f>
        <v>#REF!</v>
      </c>
      <c r="N231" s="29">
        <f>((FME_Ranking_Option2!$L231)/($L$3))*100</f>
        <v>0.12528349502080333</v>
      </c>
      <c r="O231" s="52" t="e">
        <f>FME_Ranking2[[#This Row],[Norm Data4]]*L$4</f>
        <v>#REF!</v>
      </c>
      <c r="P231" s="47">
        <f>_xlfn.XLOOKUP(FME_Ranking2[[#This Row],[FME ID]],FME_Input[FME_ID],FME_Input[POP100])</f>
        <v>2000</v>
      </c>
      <c r="Q231" s="48" t="e">
        <f>FME_Ranking_Option2!$P231*P$4</f>
        <v>#REF!</v>
      </c>
      <c r="R231" s="48">
        <f>FME_Ranking_Option2!$P231/($P$3)</f>
        <v>7.3404246729290279E-4</v>
      </c>
      <c r="S231" s="48" t="e">
        <f>FME_Ranking_Option2!$R231*P$4</f>
        <v>#REF!</v>
      </c>
      <c r="T231" s="50">
        <f>_xlfn.XLOOKUP(FME_Ranking2[[#This Row],[FME ID]],FME_Input[FME_ID],FME_Input[CRITFAC100])</f>
        <v>0</v>
      </c>
      <c r="U231" s="48" t="e">
        <f>FME_Ranking_Option2!$T231*T$4</f>
        <v>#REF!</v>
      </c>
      <c r="V231" s="48">
        <f>FME_Ranking_Option2!$T231/($T$3)</f>
        <v>0</v>
      </c>
      <c r="W231" s="48" t="e">
        <f>FME_Ranking_Option2!$V231*T$4</f>
        <v>#REF!</v>
      </c>
      <c r="X231" s="50">
        <f>_xlfn.XLOOKUP(FME_Ranking2[[#This Row],[FME ID]],FME_Input[FME_ID],FME_Input[LWC])</f>
        <v>0</v>
      </c>
      <c r="Y231" s="48" t="e">
        <f>FME_Ranking_Option2!$X231*X$4</f>
        <v>#REF!</v>
      </c>
      <c r="Z231" s="48">
        <f>FME_Ranking_Option2!$X231/($X$3)</f>
        <v>0</v>
      </c>
      <c r="AA231" s="48" t="e">
        <f>FME_Ranking_Option2!$Z231*X$4</f>
        <v>#REF!</v>
      </c>
      <c r="AB231" s="50">
        <f>_xlfn.XLOOKUP(FME_Ranking2[[#This Row],[FME ID]],FME_Input[FME_ID],FME_Input[ROADCLS])</f>
        <v>0</v>
      </c>
      <c r="AC231" s="48" t="e">
        <f>FME_Ranking_Option2!$AB231*AB$4</f>
        <v>#REF!</v>
      </c>
      <c r="AD231" s="53">
        <f>_xlfn.XLOOKUP(FME_Ranking2[[#This Row],[FME ID]],FME_Input[FME_ID],FME_Input[ROAD_MILES100])</f>
        <v>13.32064056396484</v>
      </c>
      <c r="AE231" s="54" t="e">
        <f>FME_Ranking_Option2!$AD231*AD$4</f>
        <v>#REF!</v>
      </c>
      <c r="AF231" s="55">
        <f>FME_Ranking_Option2!$AD231/($AD$3)</f>
        <v>3.0087707693375018E-4</v>
      </c>
      <c r="AG231" s="55" t="e">
        <f>FME_Ranking_Option2!$AF231*AD$4</f>
        <v>#REF!</v>
      </c>
      <c r="AH231" s="53">
        <f>_xlfn.XLOOKUP(FME_Ranking2[[#This Row],[FME ID]],FME_Input[FME_ID],FME_Input[FARMACRE100])</f>
        <v>0</v>
      </c>
      <c r="AI231" s="54" t="e">
        <f>FME_Ranking_Option2!$AH231*AH$4</f>
        <v>#REF!</v>
      </c>
      <c r="AJ231" s="56">
        <f>FME_Ranking_Option2!$AH231/($AH$3)</f>
        <v>0</v>
      </c>
      <c r="AK231" s="57" t="e">
        <f>FME_Ranking_Option2!$AJ231*AH$4</f>
        <v>#REF!</v>
      </c>
      <c r="AL23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31" s="58" t="e">
        <f>_xlfn.RANK.EQ(AL231,$AL$7:$AL$531)+COUNTIF(AL$7:AL231,AL231)-1</f>
        <v>#REF!</v>
      </c>
      <c r="AN231" s="57"/>
      <c r="AO231" s="58" t="e">
        <f>_xlfn.RANK.EQ(AN231,$AN$7:$AN$531)+COUNTIF(AN$7:AN231,AN231)-1</f>
        <v>#N/A</v>
      </c>
      <c r="AP23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31" s="32" t="e">
        <f>FME_Ranking2[[#This Row],[Score Based on Reported Factors]]-FME_Ranking2[[#This Row],[Check]]</f>
        <v>#REF!</v>
      </c>
      <c r="AR231" s="32"/>
      <c r="AT231" s="19"/>
      <c r="AU231" s="19"/>
      <c r="AV231" s="19"/>
      <c r="AW231" s="19"/>
      <c r="AX231" s="19"/>
      <c r="AY231" s="19"/>
      <c r="AZ231" s="19"/>
      <c r="BA231" s="19"/>
      <c r="BB231" s="19"/>
      <c r="BC231" s="19"/>
    </row>
    <row r="232" spans="1:55" ht="12" customHeight="1" x14ac:dyDescent="0.25">
      <c r="A232" s="17" t="s">
        <v>1789</v>
      </c>
      <c r="B232" s="17" t="str">
        <f>_xlfn.XLOOKUP(FME_Ranking2[[#This Row],[FME ID]],FME_Input[FME_ID],FME_Input[FME_NAME])</f>
        <v>City of Texas City  Master Drainage Plan</v>
      </c>
      <c r="C232" s="17" t="str">
        <f>_xlfn.XLOOKUP(FME_Ranking2[[#This Row],[FME ID]],FME_Input[FME_ID],FME_Input[DESCR])</f>
        <v>Study to develop Master Drainage Plan using future and existing land use and flood/storm water drainage needs including Atlas 14 rainfall.</v>
      </c>
      <c r="D232" s="33" t="str">
        <f>_xlfn.XLOOKUP(FME_Ranking2[[#This Row],[FME ID]],FME_Input[FME_ID],FME_Input[EMER_NEED])</f>
        <v>Yes</v>
      </c>
      <c r="E232" s="120">
        <f>IF(FME_Ranking_Option2!$D232="Yes",100,0)</f>
        <v>100</v>
      </c>
      <c r="F232" s="34" t="str">
        <f>_xlfn.XLOOKUP(FME_Ranking2[[#This Row],[FME ID]],FME_Input[FME_ID],FME_Input[FUND])</f>
        <v>Yes</v>
      </c>
      <c r="G232" s="35">
        <f>IF(FME_Ranking_Option2!$F232="Yes",1,0)</f>
        <v>1</v>
      </c>
      <c r="H232" s="33">
        <f>_xlfn.XLOOKUP(FME_Ranking2[[#This Row],[FME ID]],FME_Input[FME_ID],FME_Input[STRUCT_100])</f>
        <v>1285</v>
      </c>
      <c r="I232" s="64" t="e">
        <f>FME_Ranking2[[#This Row],[Raw Data3]]*H$4</f>
        <v>#REF!</v>
      </c>
      <c r="J232" s="63">
        <f>((FME_Ranking_Option2!$H232)/($H$3))*100</f>
        <v>0.14279856290193349</v>
      </c>
      <c r="K232" s="36" t="e">
        <f>FME_Ranking2[[#This Row],[Norm Data3]]*H$4</f>
        <v>#REF!</v>
      </c>
      <c r="L232" s="37">
        <f>_xlfn.XLOOKUP(FME_Ranking2[[#This Row],[FME ID]],FME_Input[FME_ID],FME_Input[RES_STRUCT100])</f>
        <v>701</v>
      </c>
      <c r="M232" s="38" t="e">
        <f>FME_Ranking2[[#This Row],[Raw Data4]]*L$4</f>
        <v>#REF!</v>
      </c>
      <c r="N232" s="28">
        <f>((FME_Ranking_Option2!$L232)/($L$3))*100</f>
        <v>0.10480158712360757</v>
      </c>
      <c r="O232" s="39" t="e">
        <f>FME_Ranking2[[#This Row],[Norm Data4]]*L$4</f>
        <v>#REF!</v>
      </c>
      <c r="P232" s="34">
        <f>_xlfn.XLOOKUP(FME_Ranking2[[#This Row],[FME ID]],FME_Input[FME_ID],FME_Input[POP100])</f>
        <v>3595</v>
      </c>
      <c r="Q232" s="35" t="e">
        <f>FME_Ranking_Option2!$P232*P$4</f>
        <v>#REF!</v>
      </c>
      <c r="R232" s="35">
        <f>FME_Ranking_Option2!$P232/($P$3)</f>
        <v>1.3194413349589928E-3</v>
      </c>
      <c r="S232" s="35" t="e">
        <f>FME_Ranking_Option2!$R232*P$4</f>
        <v>#REF!</v>
      </c>
      <c r="T232" s="37">
        <f>_xlfn.XLOOKUP(FME_Ranking2[[#This Row],[FME ID]],FME_Input[FME_ID],FME_Input[CRITFAC100])</f>
        <v>16</v>
      </c>
      <c r="U232" s="35" t="e">
        <f>FME_Ranking_Option2!$T232*T$4</f>
        <v>#REF!</v>
      </c>
      <c r="V232" s="35">
        <f>FME_Ranking_Option2!$T232/($T$3)</f>
        <v>2.2563813284445073E-3</v>
      </c>
      <c r="W232" s="35" t="e">
        <f>FME_Ranking_Option2!$V232*T$4</f>
        <v>#REF!</v>
      </c>
      <c r="X232" s="37">
        <f>_xlfn.XLOOKUP(FME_Ranking2[[#This Row],[FME ID]],FME_Input[FME_ID],FME_Input[LWC])</f>
        <v>3</v>
      </c>
      <c r="Y232" s="35" t="e">
        <f>FME_Ranking_Option2!$X232*X$4</f>
        <v>#REF!</v>
      </c>
      <c r="Z232" s="35">
        <f>FME_Ranking_Option2!$X232/($X$3)</f>
        <v>2.7367268746579092E-4</v>
      </c>
      <c r="AA232" s="35" t="e">
        <f>FME_Ranking_Option2!$Z232*X$4</f>
        <v>#REF!</v>
      </c>
      <c r="AB232" s="37">
        <f>_xlfn.XLOOKUP(FME_Ranking2[[#This Row],[FME ID]],FME_Input[FME_ID],FME_Input[ROADCLS])</f>
        <v>3</v>
      </c>
      <c r="AC232" s="35" t="e">
        <f>FME_Ranking_Option2!$AB232*AB$4</f>
        <v>#REF!</v>
      </c>
      <c r="AD232" s="40">
        <f>_xlfn.XLOOKUP(FME_Ranking2[[#This Row],[FME ID]],FME_Input[FME_ID],FME_Input[ROAD_MILES100])</f>
        <v>46.223125457763672</v>
      </c>
      <c r="AE232" s="41" t="e">
        <f>FME_Ranking_Option2!$AD232*AD$4</f>
        <v>#REF!</v>
      </c>
      <c r="AF232" s="42">
        <f>FME_Ranking_Option2!$AD232/($AD$3)</f>
        <v>1.0440548116054289E-3</v>
      </c>
      <c r="AG232" s="42" t="e">
        <f>FME_Ranking_Option2!$AF232*AD$4</f>
        <v>#REF!</v>
      </c>
      <c r="AH232" s="40">
        <f>_xlfn.XLOOKUP(FME_Ranking2[[#This Row],[FME ID]],FME_Input[FME_ID],FME_Input[FARMACRE100])</f>
        <v>569.909912109375</v>
      </c>
      <c r="AI232" s="43" t="e">
        <f>FME_Ranking_Option2!$AH232*AH$4</f>
        <v>#REF!</v>
      </c>
      <c r="AJ232" s="41">
        <f>FME_Ranking_Option2!$AH232/($AH$3)</f>
        <v>3.3092354580205034E-2</v>
      </c>
      <c r="AK232" s="44" t="e">
        <f>FME_Ranking_Option2!$AJ232*AH$4</f>
        <v>#REF!</v>
      </c>
      <c r="AL232"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32" s="45" t="e">
        <f>_xlfn.RANK.EQ(AL232,$AL$7:$AL$531)+COUNTIF(AL$7:AL232,AL232)-1</f>
        <v>#REF!</v>
      </c>
      <c r="AN232" s="44"/>
      <c r="AO232" s="45" t="e">
        <f>_xlfn.RANK.EQ(AN232,$AN$7:$AN$531)+COUNTIF(AN$7:AN232,AN232)-1</f>
        <v>#N/A</v>
      </c>
      <c r="AP23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32" s="32" t="e">
        <f>FME_Ranking2[[#This Row],[Score Based on Reported Factors]]-FME_Ranking2[[#This Row],[Check]]</f>
        <v>#REF!</v>
      </c>
      <c r="AR232" s="32"/>
    </row>
    <row r="233" spans="1:55" ht="12" customHeight="1" x14ac:dyDescent="0.25">
      <c r="A233" s="16" t="s">
        <v>1793</v>
      </c>
      <c r="B233" s="16" t="str">
        <f>_xlfn.XLOOKUP(FME_Ranking2[[#This Row],[FME ID]],FME_Input[FME_ID],FME_Input[FME_NAME])</f>
        <v>City of Tiki Island  Master Drainage Plan</v>
      </c>
      <c r="C233" s="16" t="str">
        <f>_xlfn.XLOOKUP(FME_Ranking2[[#This Row],[FME ID]],FME_Input[FME_ID],FME_Input[DESCR])</f>
        <v>Study to develop Master Drainage Plan using future and existing land use and flood/storm water drainage needs including Atlas 14 rainfall.</v>
      </c>
      <c r="D233" s="46" t="str">
        <f>_xlfn.XLOOKUP(FME_Ranking2[[#This Row],[FME ID]],FME_Input[FME_ID],FME_Input[EMER_NEED])</f>
        <v>Yes</v>
      </c>
      <c r="E233" s="121">
        <f>IF(FME_Ranking_Option2!$D233="Yes",100,0)</f>
        <v>100</v>
      </c>
      <c r="F233" s="47" t="str">
        <f>_xlfn.XLOOKUP(FME_Ranking2[[#This Row],[FME ID]],FME_Input[FME_ID],FME_Input[FUND])</f>
        <v>Yes</v>
      </c>
      <c r="G233" s="48">
        <f>IF(FME_Ranking_Option2!$F233="Yes",1,0)</f>
        <v>1</v>
      </c>
      <c r="H233" s="46">
        <f>_xlfn.XLOOKUP(FME_Ranking2[[#This Row],[FME ID]],FME_Input[FME_ID],FME_Input[STRUCT_100])</f>
        <v>1006</v>
      </c>
      <c r="I233" s="65" t="e">
        <f>FME_Ranking2[[#This Row],[Raw Data3]]*H$4</f>
        <v>#REF!</v>
      </c>
      <c r="J233" s="62">
        <f>((FME_Ranking_Option2!$H233)/($H$3))*100</f>
        <v>0.11179405002283666</v>
      </c>
      <c r="K233" s="49" t="e">
        <f>FME_Ranking2[[#This Row],[Norm Data3]]*H$4</f>
        <v>#REF!</v>
      </c>
      <c r="L233" s="50">
        <f>_xlfn.XLOOKUP(FME_Ranking2[[#This Row],[FME ID]],FME_Input[FME_ID],FME_Input[RES_STRUCT100])</f>
        <v>978</v>
      </c>
      <c r="M233" s="51" t="e">
        <f>FME_Ranking2[[#This Row],[Raw Data4]]*L$4</f>
        <v>#REF!</v>
      </c>
      <c r="N233" s="29">
        <f>((FME_Ranking_Option2!$L233)/($L$3))*100</f>
        <v>0.1462139118500545</v>
      </c>
      <c r="O233" s="52" t="e">
        <f>FME_Ranking2[[#This Row],[Norm Data4]]*L$4</f>
        <v>#REF!</v>
      </c>
      <c r="P233" s="47">
        <f>_xlfn.XLOOKUP(FME_Ranking2[[#This Row],[FME ID]],FME_Input[FME_ID],FME_Input[POP100])</f>
        <v>1721</v>
      </c>
      <c r="Q233" s="48" t="e">
        <f>FME_Ranking_Option2!$P233*P$4</f>
        <v>#REF!</v>
      </c>
      <c r="R233" s="48">
        <f>FME_Ranking_Option2!$P233/($P$3)</f>
        <v>6.3164354310554283E-4</v>
      </c>
      <c r="S233" s="48" t="e">
        <f>FME_Ranking_Option2!$R233*P$4</f>
        <v>#REF!</v>
      </c>
      <c r="T233" s="50">
        <f>_xlfn.XLOOKUP(FME_Ranking2[[#This Row],[FME ID]],FME_Input[FME_ID],FME_Input[CRITFAC100])</f>
        <v>6</v>
      </c>
      <c r="U233" s="48" t="e">
        <f>FME_Ranking_Option2!$T233*T$4</f>
        <v>#REF!</v>
      </c>
      <c r="V233" s="48">
        <f>FME_Ranking_Option2!$T233/($T$3)</f>
        <v>8.4614299816669018E-4</v>
      </c>
      <c r="W233" s="48" t="e">
        <f>FME_Ranking_Option2!$V233*T$4</f>
        <v>#REF!</v>
      </c>
      <c r="X233" s="50">
        <f>_xlfn.XLOOKUP(FME_Ranking2[[#This Row],[FME ID]],FME_Input[FME_ID],FME_Input[LWC])</f>
        <v>0</v>
      </c>
      <c r="Y233" s="48" t="e">
        <f>FME_Ranking_Option2!$X233*X$4</f>
        <v>#REF!</v>
      </c>
      <c r="Z233" s="48">
        <f>FME_Ranking_Option2!$X233/($X$3)</f>
        <v>0</v>
      </c>
      <c r="AA233" s="48" t="e">
        <f>FME_Ranking_Option2!$Z233*X$4</f>
        <v>#REF!</v>
      </c>
      <c r="AB233" s="50">
        <f>_xlfn.XLOOKUP(FME_Ranking2[[#This Row],[FME ID]],FME_Input[FME_ID],FME_Input[ROADCLS])</f>
        <v>0</v>
      </c>
      <c r="AC233" s="48" t="e">
        <f>FME_Ranking_Option2!$AB233*AB$4</f>
        <v>#REF!</v>
      </c>
      <c r="AD233" s="53">
        <f>_xlfn.XLOOKUP(FME_Ranking2[[#This Row],[FME ID]],FME_Input[FME_ID],FME_Input[ROAD_MILES100])</f>
        <v>9.637364387512207</v>
      </c>
      <c r="AE233" s="54" t="e">
        <f>FME_Ranking_Option2!$AD233*AD$4</f>
        <v>#REF!</v>
      </c>
      <c r="AF233" s="55">
        <f>FME_Ranking_Option2!$AD233/($AD$3)</f>
        <v>2.1768187590800217E-4</v>
      </c>
      <c r="AG233" s="55" t="e">
        <f>FME_Ranking_Option2!$AF233*AD$4</f>
        <v>#REF!</v>
      </c>
      <c r="AH233" s="53">
        <f>_xlfn.XLOOKUP(FME_Ranking2[[#This Row],[FME ID]],FME_Input[FME_ID],FME_Input[FARMACRE100])</f>
        <v>3.9110162258148189</v>
      </c>
      <c r="AI233" s="54" t="e">
        <f>FME_Ranking_Option2!$AH233*AH$4</f>
        <v>#REF!</v>
      </c>
      <c r="AJ233" s="56">
        <f>FME_Ranking_Option2!$AH233/($AH$3)</f>
        <v>2.2709683225997392E-4</v>
      </c>
      <c r="AK233" s="57" t="e">
        <f>FME_Ranking_Option2!$AJ233*AH$4</f>
        <v>#REF!</v>
      </c>
      <c r="AL233"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33" s="58" t="e">
        <f>_xlfn.RANK.EQ(AL233,$AL$7:$AL$531)+COUNTIF(AL$7:AL233,AL233)-1</f>
        <v>#REF!</v>
      </c>
      <c r="AN233" s="57"/>
      <c r="AO233" s="58" t="e">
        <f>_xlfn.RANK.EQ(AN233,$AN$7:$AN$531)+COUNTIF(AN$7:AN233,AN233)-1</f>
        <v>#N/A</v>
      </c>
      <c r="AP23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33" s="32" t="e">
        <f>FME_Ranking2[[#This Row],[Score Based on Reported Factors]]-FME_Ranking2[[#This Row],[Check]]</f>
        <v>#REF!</v>
      </c>
      <c r="AR233" s="32"/>
      <c r="AT233" s="19"/>
      <c r="AU233" s="19"/>
      <c r="AV233" s="19"/>
      <c r="AW233" s="19"/>
      <c r="AX233" s="19"/>
      <c r="AY233" s="19"/>
      <c r="AZ233" s="19"/>
      <c r="BA233" s="19"/>
      <c r="BB233" s="19"/>
      <c r="BC233" s="19"/>
    </row>
    <row r="234" spans="1:55" ht="12" customHeight="1" x14ac:dyDescent="0.25">
      <c r="A234" s="17" t="s">
        <v>1795</v>
      </c>
      <c r="B234" s="17" t="str">
        <f>_xlfn.XLOOKUP(FME_Ranking2[[#This Row],[FME ID]],FME_Input[FME_ID],FME_Input[FME_NAME])</f>
        <v>City of Todd Mission Master Drainage Plan</v>
      </c>
      <c r="C234" s="17" t="str">
        <f>_xlfn.XLOOKUP(FME_Ranking2[[#This Row],[FME ID]],FME_Input[FME_ID],FME_Input[DESCR])</f>
        <v>Study to develop Master Drainage Plan using future and existing land use and flood/storm water drainage needs including Atlas 14 rainfall.</v>
      </c>
      <c r="D234" s="33" t="str">
        <f>_xlfn.XLOOKUP(FME_Ranking2[[#This Row],[FME ID]],FME_Input[FME_ID],FME_Input[EMER_NEED])</f>
        <v>No</v>
      </c>
      <c r="E234" s="120">
        <f>IF(FME_Ranking_Option2!$D234="Yes",100,0)</f>
        <v>0</v>
      </c>
      <c r="F234" s="34" t="str">
        <f>_xlfn.XLOOKUP(FME_Ranking2[[#This Row],[FME ID]],FME_Input[FME_ID],FME_Input[FUND])</f>
        <v>Yes</v>
      </c>
      <c r="G234" s="35">
        <f>IF(FME_Ranking_Option2!$F234="Yes",1,0)</f>
        <v>1</v>
      </c>
      <c r="H234" s="33">
        <f>_xlfn.XLOOKUP(FME_Ranking2[[#This Row],[FME ID]],FME_Input[FME_ID],FME_Input[STRUCT_100])</f>
        <v>17</v>
      </c>
      <c r="I234" s="64" t="e">
        <f>FME_Ranking2[[#This Row],[Raw Data3]]*H$4</f>
        <v>#REF!</v>
      </c>
      <c r="J234" s="63">
        <f>((FME_Ranking_Option2!$H234)/($H$3))*100</f>
        <v>1.8891638671851125E-3</v>
      </c>
      <c r="K234" s="36" t="e">
        <f>FME_Ranking2[[#This Row],[Norm Data3]]*H$4</f>
        <v>#REF!</v>
      </c>
      <c r="L234" s="37">
        <f>_xlfn.XLOOKUP(FME_Ranking2[[#This Row],[FME ID]],FME_Input[FME_ID],FME_Input[RES_STRUCT100])</f>
        <v>11</v>
      </c>
      <c r="M234" s="38" t="e">
        <f>FME_Ranking2[[#This Row],[Raw Data4]]*L$4</f>
        <v>#REF!</v>
      </c>
      <c r="N234" s="28">
        <f>((FME_Ranking_Option2!$L234)/($L$3))*100</f>
        <v>1.6445327508697336E-3</v>
      </c>
      <c r="O234" s="39" t="e">
        <f>FME_Ranking2[[#This Row],[Norm Data4]]*L$4</f>
        <v>#REF!</v>
      </c>
      <c r="P234" s="34">
        <f>_xlfn.XLOOKUP(FME_Ranking2[[#This Row],[FME ID]],FME_Input[FME_ID],FME_Input[POP100])</f>
        <v>19</v>
      </c>
      <c r="Q234" s="35" t="e">
        <f>FME_Ranking_Option2!$P234*P$4</f>
        <v>#REF!</v>
      </c>
      <c r="R234" s="35">
        <f>FME_Ranking_Option2!$P234/($P$3)</f>
        <v>6.9734034392825764E-6</v>
      </c>
      <c r="S234" s="35" t="e">
        <f>FME_Ranking_Option2!$R234*P$4</f>
        <v>#REF!</v>
      </c>
      <c r="T234" s="37">
        <f>_xlfn.XLOOKUP(FME_Ranking2[[#This Row],[FME ID]],FME_Input[FME_ID],FME_Input[CRITFAC100])</f>
        <v>0</v>
      </c>
      <c r="U234" s="35" t="e">
        <f>FME_Ranking_Option2!$T234*T$4</f>
        <v>#REF!</v>
      </c>
      <c r="V234" s="35">
        <f>FME_Ranking_Option2!$T234/($T$3)</f>
        <v>0</v>
      </c>
      <c r="W234" s="35" t="e">
        <f>FME_Ranking_Option2!$V234*T$4</f>
        <v>#REF!</v>
      </c>
      <c r="X234" s="37">
        <f>_xlfn.XLOOKUP(FME_Ranking2[[#This Row],[FME ID]],FME_Input[FME_ID],FME_Input[LWC])</f>
        <v>0</v>
      </c>
      <c r="Y234" s="35" t="e">
        <f>FME_Ranking_Option2!$X234*X$4</f>
        <v>#REF!</v>
      </c>
      <c r="Z234" s="35">
        <f>FME_Ranking_Option2!$X234/($X$3)</f>
        <v>0</v>
      </c>
      <c r="AA234" s="35" t="e">
        <f>FME_Ranking_Option2!$Z234*X$4</f>
        <v>#REF!</v>
      </c>
      <c r="AB234" s="37">
        <f>_xlfn.XLOOKUP(FME_Ranking2[[#This Row],[FME ID]],FME_Input[FME_ID],FME_Input[ROADCLS])</f>
        <v>0</v>
      </c>
      <c r="AC234" s="35" t="e">
        <f>FME_Ranking_Option2!$AB234*AB$4</f>
        <v>#REF!</v>
      </c>
      <c r="AD234" s="40">
        <f>_xlfn.XLOOKUP(FME_Ranking2[[#This Row],[FME ID]],FME_Input[FME_ID],FME_Input[ROAD_MILES100])</f>
        <v>0</v>
      </c>
      <c r="AE234" s="41" t="e">
        <f>FME_Ranking_Option2!$AD234*AD$4</f>
        <v>#REF!</v>
      </c>
      <c r="AF234" s="42">
        <f>FME_Ranking_Option2!$AD234/($AD$3)</f>
        <v>0</v>
      </c>
      <c r="AG234" s="42" t="e">
        <f>FME_Ranking_Option2!$AF234*AD$4</f>
        <v>#REF!</v>
      </c>
      <c r="AH234" s="40">
        <f>_xlfn.XLOOKUP(FME_Ranking2[[#This Row],[FME ID]],FME_Input[FME_ID],FME_Input[FARMACRE100])</f>
        <v>1.1160120964050291</v>
      </c>
      <c r="AI234" s="43" t="e">
        <f>FME_Ranking_Option2!$AH234*AH$4</f>
        <v>#REF!</v>
      </c>
      <c r="AJ234" s="41">
        <f>FME_Ranking_Option2!$AH234/($AH$3)</f>
        <v>6.4802291073234452E-5</v>
      </c>
      <c r="AK234" s="44" t="e">
        <f>FME_Ranking_Option2!$AJ234*AH$4</f>
        <v>#REF!</v>
      </c>
      <c r="AL234"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34" s="45" t="e">
        <f>_xlfn.RANK.EQ(AL234,$AL$7:$AL$531)+COUNTIF(AL$7:AL234,AL234)-1</f>
        <v>#REF!</v>
      </c>
      <c r="AN234" s="44"/>
      <c r="AO234" s="45" t="e">
        <f>_xlfn.RANK.EQ(AN234,$AN$7:$AN$531)+COUNTIF(AN$7:AN234,AN234)-1</f>
        <v>#N/A</v>
      </c>
      <c r="AP23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34" s="32" t="e">
        <f>FME_Ranking2[[#This Row],[Score Based on Reported Factors]]-FME_Ranking2[[#This Row],[Check]]</f>
        <v>#REF!</v>
      </c>
      <c r="AR234" s="32"/>
    </row>
    <row r="235" spans="1:55" ht="12" customHeight="1" x14ac:dyDescent="0.25">
      <c r="A235" s="16" t="s">
        <v>1797</v>
      </c>
      <c r="B235" s="16" t="str">
        <f>_xlfn.XLOOKUP(FME_Ranking2[[#This Row],[FME ID]],FME_Input[FME_ID],FME_Input[FME_NAME])</f>
        <v>City of Tomball  Master Drainage Plan</v>
      </c>
      <c r="C235" s="16" t="str">
        <f>_xlfn.XLOOKUP(FME_Ranking2[[#This Row],[FME ID]],FME_Input[FME_ID],FME_Input[DESCR])</f>
        <v>Study to develop Master Drainage Plan using future and existing land use and flood/storm water drainage needs including Atlas 14 rainfall.</v>
      </c>
      <c r="D235" s="46" t="str">
        <f>_xlfn.XLOOKUP(FME_Ranking2[[#This Row],[FME ID]],FME_Input[FME_ID],FME_Input[EMER_NEED])</f>
        <v>No</v>
      </c>
      <c r="E235" s="121">
        <f>IF(FME_Ranking_Option2!$D235="Yes",100,0)</f>
        <v>0</v>
      </c>
      <c r="F235" s="47" t="str">
        <f>_xlfn.XLOOKUP(FME_Ranking2[[#This Row],[FME ID]],FME_Input[FME_ID],FME_Input[FUND])</f>
        <v>Yes</v>
      </c>
      <c r="G235" s="48">
        <f>IF(FME_Ranking_Option2!$F235="Yes",1,0)</f>
        <v>1</v>
      </c>
      <c r="H235" s="46">
        <f>_xlfn.XLOOKUP(FME_Ranking2[[#This Row],[FME ID]],FME_Input[FME_ID],FME_Input[STRUCT_100])</f>
        <v>47</v>
      </c>
      <c r="I235" s="65" t="e">
        <f>FME_Ranking2[[#This Row],[Raw Data3]]*H$4</f>
        <v>#REF!</v>
      </c>
      <c r="J235" s="62">
        <f>((FME_Ranking_Option2!$H235)/($H$3))*100</f>
        <v>5.2229824563353108E-3</v>
      </c>
      <c r="K235" s="49" t="e">
        <f>FME_Ranking2[[#This Row],[Norm Data3]]*H$4</f>
        <v>#REF!</v>
      </c>
      <c r="L235" s="50">
        <f>_xlfn.XLOOKUP(FME_Ranking2[[#This Row],[FME ID]],FME_Input[FME_ID],FME_Input[RES_STRUCT100])</f>
        <v>29</v>
      </c>
      <c r="M235" s="51" t="e">
        <f>FME_Ranking2[[#This Row],[Raw Data4]]*L$4</f>
        <v>#REF!</v>
      </c>
      <c r="N235" s="29">
        <f>((FME_Ranking_Option2!$L235)/($L$3))*100</f>
        <v>4.3355863432020247E-3</v>
      </c>
      <c r="O235" s="52" t="e">
        <f>FME_Ranking2[[#This Row],[Norm Data4]]*L$4</f>
        <v>#REF!</v>
      </c>
      <c r="P235" s="47">
        <f>_xlfn.XLOOKUP(FME_Ranking2[[#This Row],[FME ID]],FME_Input[FME_ID],FME_Input[POP100])</f>
        <v>607</v>
      </c>
      <c r="Q235" s="48" t="e">
        <f>FME_Ranking_Option2!$P235*P$4</f>
        <v>#REF!</v>
      </c>
      <c r="R235" s="48">
        <f>FME_Ranking_Option2!$P235/($P$3)</f>
        <v>2.2278188882339598E-4</v>
      </c>
      <c r="S235" s="48" t="e">
        <f>FME_Ranking_Option2!$R235*P$4</f>
        <v>#REF!</v>
      </c>
      <c r="T235" s="50">
        <f>_xlfn.XLOOKUP(FME_Ranking2[[#This Row],[FME ID]],FME_Input[FME_ID],FME_Input[CRITFAC100])</f>
        <v>0</v>
      </c>
      <c r="U235" s="48" t="e">
        <f>FME_Ranking_Option2!$T235*T$4</f>
        <v>#REF!</v>
      </c>
      <c r="V235" s="48">
        <f>FME_Ranking_Option2!$T235/($T$3)</f>
        <v>0</v>
      </c>
      <c r="W235" s="48" t="e">
        <f>FME_Ranking_Option2!$V235*T$4</f>
        <v>#REF!</v>
      </c>
      <c r="X235" s="50">
        <f>_xlfn.XLOOKUP(FME_Ranking2[[#This Row],[FME ID]],FME_Input[FME_ID],FME_Input[LWC])</f>
        <v>0</v>
      </c>
      <c r="Y235" s="48" t="e">
        <f>FME_Ranking_Option2!$X235*X$4</f>
        <v>#REF!</v>
      </c>
      <c r="Z235" s="48">
        <f>FME_Ranking_Option2!$X235/($X$3)</f>
        <v>0</v>
      </c>
      <c r="AA235" s="48" t="e">
        <f>FME_Ranking_Option2!$Z235*X$4</f>
        <v>#REF!</v>
      </c>
      <c r="AB235" s="50">
        <f>_xlfn.XLOOKUP(FME_Ranking2[[#This Row],[FME ID]],FME_Input[FME_ID],FME_Input[ROADCLS])</f>
        <v>0</v>
      </c>
      <c r="AC235" s="48" t="e">
        <f>FME_Ranking_Option2!$AB235*AB$4</f>
        <v>#REF!</v>
      </c>
      <c r="AD235" s="53">
        <f>_xlfn.XLOOKUP(FME_Ranking2[[#This Row],[FME ID]],FME_Input[FME_ID],FME_Input[ROAD_MILES100])</f>
        <v>3.7131321430206299</v>
      </c>
      <c r="AE235" s="54" t="e">
        <f>FME_Ranking_Option2!$AD235*AD$4</f>
        <v>#REF!</v>
      </c>
      <c r="AF235" s="55">
        <f>FME_Ranking_Option2!$AD235/($AD$3)</f>
        <v>8.3869566189110454E-5</v>
      </c>
      <c r="AG235" s="55" t="e">
        <f>FME_Ranking_Option2!$AF235*AD$4</f>
        <v>#REF!</v>
      </c>
      <c r="AH235" s="53">
        <f>_xlfn.XLOOKUP(FME_Ranking2[[#This Row],[FME ID]],FME_Input[FME_ID],FME_Input[FARMACRE100])</f>
        <v>4.5960383415222168</v>
      </c>
      <c r="AI235" s="54" t="e">
        <f>FME_Ranking_Option2!$AH235*AH$4</f>
        <v>#REF!</v>
      </c>
      <c r="AJ235" s="56">
        <f>FME_Ranking_Option2!$AH235/($AH$3)</f>
        <v>2.6687328511086048E-4</v>
      </c>
      <c r="AK235" s="57" t="e">
        <f>FME_Ranking_Option2!$AJ235*AH$4</f>
        <v>#REF!</v>
      </c>
      <c r="AL235"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35" s="58" t="e">
        <f>_xlfn.RANK.EQ(AL235,$AL$7:$AL$531)+COUNTIF(AL$7:AL235,AL235)-1</f>
        <v>#REF!</v>
      </c>
      <c r="AN235" s="57"/>
      <c r="AO235" s="58" t="e">
        <f>_xlfn.RANK.EQ(AN235,$AN$7:$AN$531)+COUNTIF(AN$7:AN235,AN235)-1</f>
        <v>#N/A</v>
      </c>
      <c r="AP23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35" s="32" t="e">
        <f>FME_Ranking2[[#This Row],[Score Based on Reported Factors]]-FME_Ranking2[[#This Row],[Check]]</f>
        <v>#REF!</v>
      </c>
      <c r="AR235" s="32"/>
      <c r="AT235" s="19"/>
      <c r="AU235" s="19"/>
      <c r="AV235" s="19"/>
      <c r="AW235" s="19"/>
      <c r="AX235" s="19"/>
      <c r="AY235" s="19"/>
      <c r="AZ235" s="19"/>
      <c r="BA235" s="19"/>
      <c r="BB235" s="19"/>
      <c r="BC235" s="19"/>
    </row>
    <row r="236" spans="1:55" ht="12" customHeight="1" x14ac:dyDescent="0.25">
      <c r="A236" s="17" t="s">
        <v>1803</v>
      </c>
      <c r="B236" s="17" t="str">
        <f>_xlfn.XLOOKUP(FME_Ranking2[[#This Row],[FME ID]],FME_Input[FME_ID],FME_Input[FME_NAME])</f>
        <v>City of Waller Master Drainage Plan</v>
      </c>
      <c r="C236" s="17" t="str">
        <f>_xlfn.XLOOKUP(FME_Ranking2[[#This Row],[FME ID]],FME_Input[FME_ID],FME_Input[DESCR])</f>
        <v>Study to develop Master Drainage Plan using future and existing land use and flood/storm water drainage needs including Atlas 14 rainfall.</v>
      </c>
      <c r="D236" s="33" t="str">
        <f>_xlfn.XLOOKUP(FME_Ranking2[[#This Row],[FME ID]],FME_Input[FME_ID],FME_Input[EMER_NEED])</f>
        <v>No</v>
      </c>
      <c r="E236" s="120">
        <f>IF(FME_Ranking_Option2!$D236="Yes",100,0)</f>
        <v>0</v>
      </c>
      <c r="F236" s="34" t="str">
        <f>_xlfn.XLOOKUP(FME_Ranking2[[#This Row],[FME ID]],FME_Input[FME_ID],FME_Input[FUND])</f>
        <v>Yes</v>
      </c>
      <c r="G236" s="35">
        <f>IF(FME_Ranking_Option2!$F236="Yes",1,0)</f>
        <v>1</v>
      </c>
      <c r="H236" s="33">
        <f>_xlfn.XLOOKUP(FME_Ranking2[[#This Row],[FME ID]],FME_Input[FME_ID],FME_Input[STRUCT_100])</f>
        <v>149</v>
      </c>
      <c r="I236" s="64" t="e">
        <f>FME_Ranking2[[#This Row],[Raw Data3]]*H$4</f>
        <v>#REF!</v>
      </c>
      <c r="J236" s="63">
        <f>((FME_Ranking_Option2!$H236)/($H$3))*100</f>
        <v>1.6557965659445985E-2</v>
      </c>
      <c r="K236" s="36" t="e">
        <f>FME_Ranking2[[#This Row],[Norm Data3]]*H$4</f>
        <v>#REF!</v>
      </c>
      <c r="L236" s="37">
        <f>_xlfn.XLOOKUP(FME_Ranking2[[#This Row],[FME ID]],FME_Input[FME_ID],FME_Input[RES_STRUCT100])</f>
        <v>83</v>
      </c>
      <c r="M236" s="38" t="e">
        <f>FME_Ranking2[[#This Row],[Raw Data4]]*L$4</f>
        <v>#REF!</v>
      </c>
      <c r="N236" s="28">
        <f>((FME_Ranking_Option2!$L236)/($L$3))*100</f>
        <v>1.2408747120198899E-2</v>
      </c>
      <c r="O236" s="39" t="e">
        <f>FME_Ranking2[[#This Row],[Norm Data4]]*L$4</f>
        <v>#REF!</v>
      </c>
      <c r="P236" s="34">
        <f>_xlfn.XLOOKUP(FME_Ranking2[[#This Row],[FME ID]],FME_Input[FME_ID],FME_Input[POP100])</f>
        <v>666</v>
      </c>
      <c r="Q236" s="35" t="e">
        <f>FME_Ranking_Option2!$P236*P$4</f>
        <v>#REF!</v>
      </c>
      <c r="R236" s="35">
        <f>FME_Ranking_Option2!$P236/($P$3)</f>
        <v>2.4443614160853664E-4</v>
      </c>
      <c r="S236" s="35" t="e">
        <f>FME_Ranking_Option2!$R236*P$4</f>
        <v>#REF!</v>
      </c>
      <c r="T236" s="37">
        <f>_xlfn.XLOOKUP(FME_Ranking2[[#This Row],[FME ID]],FME_Input[FME_ID],FME_Input[CRITFAC100])</f>
        <v>4</v>
      </c>
      <c r="U236" s="35" t="e">
        <f>FME_Ranking_Option2!$T236*T$4</f>
        <v>#REF!</v>
      </c>
      <c r="V236" s="35">
        <f>FME_Ranking_Option2!$T236/($T$3)</f>
        <v>5.6409533211112682E-4</v>
      </c>
      <c r="W236" s="35" t="e">
        <f>FME_Ranking_Option2!$V236*T$4</f>
        <v>#REF!</v>
      </c>
      <c r="X236" s="37">
        <f>_xlfn.XLOOKUP(FME_Ranking2[[#This Row],[FME ID]],FME_Input[FME_ID],FME_Input[LWC])</f>
        <v>7</v>
      </c>
      <c r="Y236" s="35" t="e">
        <f>FME_Ranking_Option2!$X236*X$4</f>
        <v>#REF!</v>
      </c>
      <c r="Z236" s="35">
        <f>FME_Ranking_Option2!$X236/($X$3)</f>
        <v>6.3856960408684551E-4</v>
      </c>
      <c r="AA236" s="35" t="e">
        <f>FME_Ranking_Option2!$Z236*X$4</f>
        <v>#REF!</v>
      </c>
      <c r="AB236" s="37">
        <f>_xlfn.XLOOKUP(FME_Ranking2[[#This Row],[FME ID]],FME_Input[FME_ID],FME_Input[ROADCLS])</f>
        <v>7</v>
      </c>
      <c r="AC236" s="35" t="e">
        <f>FME_Ranking_Option2!$AB236*AB$4</f>
        <v>#REF!</v>
      </c>
      <c r="AD236" s="40">
        <f>_xlfn.XLOOKUP(FME_Ranking2[[#This Row],[FME ID]],FME_Input[FME_ID],FME_Input[ROAD_MILES100])</f>
        <v>5.3338570594787598</v>
      </c>
      <c r="AE236" s="41" t="e">
        <f>FME_Ranking_Option2!$AD236*AD$4</f>
        <v>#REF!</v>
      </c>
      <c r="AF236" s="42">
        <f>FME_Ranking_Option2!$AD236/($AD$3)</f>
        <v>1.2047733839315786E-4</v>
      </c>
      <c r="AG236" s="42" t="e">
        <f>FME_Ranking_Option2!$AF236*AD$4</f>
        <v>#REF!</v>
      </c>
      <c r="AH236" s="40">
        <f>_xlfn.XLOOKUP(FME_Ranking2[[#This Row],[FME ID]],FME_Input[FME_ID],FME_Input[FARMACRE100])</f>
        <v>47.5040283203125</v>
      </c>
      <c r="AI236" s="43" t="e">
        <f>FME_Ranking_Option2!$AH236*AH$4</f>
        <v>#REF!</v>
      </c>
      <c r="AJ236" s="41">
        <f>FME_Ranking_Option2!$AH236/($AH$3)</f>
        <v>2.7583660430566203E-3</v>
      </c>
      <c r="AK236" s="44" t="e">
        <f>FME_Ranking_Option2!$AJ236*AH$4</f>
        <v>#REF!</v>
      </c>
      <c r="AL236"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36" s="45" t="e">
        <f>_xlfn.RANK.EQ(AL236,$AL$7:$AL$531)+COUNTIF(AL$7:AL236,AL236)-1</f>
        <v>#REF!</v>
      </c>
      <c r="AN236" s="44"/>
      <c r="AO236" s="45" t="e">
        <f>_xlfn.RANK.EQ(AN236,$AN$7:$AN$531)+COUNTIF(AN$7:AN236,AN236)-1</f>
        <v>#N/A</v>
      </c>
      <c r="AP23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36" s="32" t="e">
        <f>FME_Ranking2[[#This Row],[Score Based on Reported Factors]]-FME_Ranking2[[#This Row],[Check]]</f>
        <v>#REF!</v>
      </c>
      <c r="AR236" s="32"/>
    </row>
    <row r="237" spans="1:55" ht="12" customHeight="1" x14ac:dyDescent="0.25">
      <c r="A237" s="16" t="s">
        <v>1808</v>
      </c>
      <c r="B237" s="16" t="str">
        <f>_xlfn.XLOOKUP(FME_Ranking2[[#This Row],[FME ID]],FME_Input[FME_ID],FME_Input[FME_NAME])</f>
        <v>City of Webster  Master Drainage Plan</v>
      </c>
      <c r="C237" s="16" t="str">
        <f>_xlfn.XLOOKUP(FME_Ranking2[[#This Row],[FME ID]],FME_Input[FME_ID],FME_Input[DESCR])</f>
        <v>Study to develop Master Drainage Plan using future and existing land use and flood/storm water drainage needs including Atlas 14 rainfall.</v>
      </c>
      <c r="D237" s="46" t="str">
        <f>_xlfn.XLOOKUP(FME_Ranking2[[#This Row],[FME ID]],FME_Input[FME_ID],FME_Input[EMER_NEED])</f>
        <v>Yes</v>
      </c>
      <c r="E237" s="121">
        <f>IF(FME_Ranking_Option2!$D237="Yes",100,0)</f>
        <v>100</v>
      </c>
      <c r="F237" s="47" t="str">
        <f>_xlfn.XLOOKUP(FME_Ranking2[[#This Row],[FME ID]],FME_Input[FME_ID],FME_Input[FUND])</f>
        <v>Yes</v>
      </c>
      <c r="G237" s="48">
        <f>IF(FME_Ranking_Option2!$F237="Yes",1,0)</f>
        <v>1</v>
      </c>
      <c r="H237" s="46">
        <f>_xlfn.XLOOKUP(FME_Ranking2[[#This Row],[FME ID]],FME_Input[FME_ID],FME_Input[STRUCT_100])</f>
        <v>209</v>
      </c>
      <c r="I237" s="65" t="e">
        <f>FME_Ranking2[[#This Row],[Raw Data3]]*H$4</f>
        <v>#REF!</v>
      </c>
      <c r="J237" s="62">
        <f>((FME_Ranking_Option2!$H237)/($H$3))*100</f>
        <v>2.3225602837746384E-2</v>
      </c>
      <c r="K237" s="49" t="e">
        <f>FME_Ranking2[[#This Row],[Norm Data3]]*H$4</f>
        <v>#REF!</v>
      </c>
      <c r="L237" s="50">
        <f>_xlfn.XLOOKUP(FME_Ranking2[[#This Row],[FME ID]],FME_Input[FME_ID],FME_Input[RES_STRUCT100])</f>
        <v>164</v>
      </c>
      <c r="M237" s="51" t="e">
        <f>FME_Ranking2[[#This Row],[Raw Data4]]*L$4</f>
        <v>#REF!</v>
      </c>
      <c r="N237" s="29">
        <f>((FME_Ranking_Option2!$L237)/($L$3))*100</f>
        <v>2.4518488285694209E-2</v>
      </c>
      <c r="O237" s="52" t="e">
        <f>FME_Ranking2[[#This Row],[Norm Data4]]*L$4</f>
        <v>#REF!</v>
      </c>
      <c r="P237" s="47">
        <f>_xlfn.XLOOKUP(FME_Ranking2[[#This Row],[FME ID]],FME_Input[FME_ID],FME_Input[POP100])</f>
        <v>2809</v>
      </c>
      <c r="Q237" s="48" t="e">
        <f>FME_Ranking_Option2!$P237*P$4</f>
        <v>#REF!</v>
      </c>
      <c r="R237" s="48">
        <f>FME_Ranking_Option2!$P237/($P$3)</f>
        <v>1.030962645312882E-3</v>
      </c>
      <c r="S237" s="48" t="e">
        <f>FME_Ranking_Option2!$R237*P$4</f>
        <v>#REF!</v>
      </c>
      <c r="T237" s="50">
        <f>_xlfn.XLOOKUP(FME_Ranking2[[#This Row],[FME ID]],FME_Input[FME_ID],FME_Input[CRITFAC100])</f>
        <v>0</v>
      </c>
      <c r="U237" s="48" t="e">
        <f>FME_Ranking_Option2!$T237*T$4</f>
        <v>#REF!</v>
      </c>
      <c r="V237" s="48">
        <f>FME_Ranking_Option2!$T237/($T$3)</f>
        <v>0</v>
      </c>
      <c r="W237" s="48" t="e">
        <f>FME_Ranking_Option2!$V237*T$4</f>
        <v>#REF!</v>
      </c>
      <c r="X237" s="50">
        <f>_xlfn.XLOOKUP(FME_Ranking2[[#This Row],[FME ID]],FME_Input[FME_ID],FME_Input[LWC])</f>
        <v>1</v>
      </c>
      <c r="Y237" s="48" t="e">
        <f>FME_Ranking_Option2!$X237*X$4</f>
        <v>#REF!</v>
      </c>
      <c r="Z237" s="48">
        <f>FME_Ranking_Option2!$X237/($X$3)</f>
        <v>9.1224229155263632E-5</v>
      </c>
      <c r="AA237" s="48" t="e">
        <f>FME_Ranking_Option2!$Z237*X$4</f>
        <v>#REF!</v>
      </c>
      <c r="AB237" s="50">
        <f>_xlfn.XLOOKUP(FME_Ranking2[[#This Row],[FME ID]],FME_Input[FME_ID],FME_Input[ROADCLS])</f>
        <v>1</v>
      </c>
      <c r="AC237" s="48" t="e">
        <f>FME_Ranking_Option2!$AB237*AB$4</f>
        <v>#REF!</v>
      </c>
      <c r="AD237" s="53">
        <f>_xlfn.XLOOKUP(FME_Ranking2[[#This Row],[FME ID]],FME_Input[FME_ID],FME_Input[ROAD_MILES100])</f>
        <v>8.4849987030029297</v>
      </c>
      <c r="AE237" s="54" t="e">
        <f>FME_Ranking_Option2!$AD237*AD$4</f>
        <v>#REF!</v>
      </c>
      <c r="AF237" s="55">
        <f>FME_Ranking_Option2!$AD237/($AD$3)</f>
        <v>1.9165306617854638E-4</v>
      </c>
      <c r="AG237" s="55" t="e">
        <f>FME_Ranking_Option2!$AF237*AD$4</f>
        <v>#REF!</v>
      </c>
      <c r="AH237" s="53">
        <f>_xlfn.XLOOKUP(FME_Ranking2[[#This Row],[FME ID]],FME_Input[FME_ID],FME_Input[FARMACRE100])</f>
        <v>18.737552642822269</v>
      </c>
      <c r="AI237" s="54" t="e">
        <f>FME_Ranking_Option2!$AH237*AH$4</f>
        <v>#REF!</v>
      </c>
      <c r="AJ237" s="56">
        <f>FME_Ranking_Option2!$AH237/($AH$3)</f>
        <v>1.0880136015295886E-3</v>
      </c>
      <c r="AK237" s="57" t="e">
        <f>FME_Ranking_Option2!$AJ237*AH$4</f>
        <v>#REF!</v>
      </c>
      <c r="AL237"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37" s="58" t="e">
        <f>_xlfn.RANK.EQ(AL237,$AL$7:$AL$531)+COUNTIF(AL$7:AL237,AL237)-1</f>
        <v>#REF!</v>
      </c>
      <c r="AN237" s="57"/>
      <c r="AO237" s="58" t="e">
        <f>_xlfn.RANK.EQ(AN237,$AN$7:$AN$531)+COUNTIF(AN$7:AN237,AN237)-1</f>
        <v>#N/A</v>
      </c>
      <c r="AP23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37" s="32" t="e">
        <f>FME_Ranking2[[#This Row],[Score Based on Reported Factors]]-FME_Ranking2[[#This Row],[Check]]</f>
        <v>#REF!</v>
      </c>
      <c r="AR237" s="32"/>
      <c r="AT237" s="19"/>
      <c r="AU237" s="19"/>
      <c r="AV237" s="19"/>
      <c r="AW237" s="19"/>
      <c r="AX237" s="19"/>
      <c r="AY237" s="19"/>
      <c r="AZ237" s="19"/>
      <c r="BA237" s="19"/>
      <c r="BB237" s="19"/>
      <c r="BC237" s="19"/>
    </row>
    <row r="238" spans="1:55" ht="12" customHeight="1" x14ac:dyDescent="0.25">
      <c r="A238" s="17" t="s">
        <v>1812</v>
      </c>
      <c r="B238" s="17" t="str">
        <f>_xlfn.XLOOKUP(FME_Ranking2[[#This Row],[FME ID]],FME_Input[FME_ID],FME_Input[FME_NAME])</f>
        <v>City of West University Place  Master Drainage Plan</v>
      </c>
      <c r="C238" s="17" t="str">
        <f>_xlfn.XLOOKUP(FME_Ranking2[[#This Row],[FME ID]],FME_Input[FME_ID],FME_Input[DESCR])</f>
        <v>Study to develop refine Master Drainage Plan and Projects using future and existing land use and flood/storm water drainage needs including Atlas 14 rainfall.</v>
      </c>
      <c r="D238" s="33" t="str">
        <f>_xlfn.XLOOKUP(FME_Ranking2[[#This Row],[FME ID]],FME_Input[FME_ID],FME_Input[EMER_NEED])</f>
        <v>No</v>
      </c>
      <c r="E238" s="120">
        <f>IF(FME_Ranking_Option2!$D238="Yes",100,0)</f>
        <v>0</v>
      </c>
      <c r="F238" s="34" t="str">
        <f>_xlfn.XLOOKUP(FME_Ranking2[[#This Row],[FME ID]],FME_Input[FME_ID],FME_Input[FUND])</f>
        <v>Yes</v>
      </c>
      <c r="G238" s="35">
        <f>IF(FME_Ranking_Option2!$F238="Yes",1,0)</f>
        <v>1</v>
      </c>
      <c r="H238" s="33">
        <f>_xlfn.XLOOKUP(FME_Ranking2[[#This Row],[FME ID]],FME_Input[FME_ID],FME_Input[STRUCT_100])</f>
        <v>940</v>
      </c>
      <c r="I238" s="64" t="e">
        <f>FME_Ranking2[[#This Row],[Raw Data3]]*H$4</f>
        <v>#REF!</v>
      </c>
      <c r="J238" s="63">
        <f>((FME_Ranking_Option2!$H238)/($H$3))*100</f>
        <v>0.10445964912670623</v>
      </c>
      <c r="K238" s="36" t="e">
        <f>FME_Ranking2[[#This Row],[Norm Data3]]*H$4</f>
        <v>#REF!</v>
      </c>
      <c r="L238" s="37">
        <f>_xlfn.XLOOKUP(FME_Ranking2[[#This Row],[FME ID]],FME_Input[FME_ID],FME_Input[RES_STRUCT100])</f>
        <v>923</v>
      </c>
      <c r="M238" s="38" t="e">
        <f>FME_Ranking2[[#This Row],[Raw Data4]]*L$4</f>
        <v>#REF!</v>
      </c>
      <c r="N238" s="28">
        <f>((FME_Ranking_Option2!$L238)/($L$3))*100</f>
        <v>0.13799124809570584</v>
      </c>
      <c r="O238" s="39" t="e">
        <f>FME_Ranking2[[#This Row],[Norm Data4]]*L$4</f>
        <v>#REF!</v>
      </c>
      <c r="P238" s="34">
        <f>_xlfn.XLOOKUP(FME_Ranking2[[#This Row],[FME ID]],FME_Input[FME_ID],FME_Input[POP100])</f>
        <v>4613</v>
      </c>
      <c r="Q238" s="35" t="e">
        <f>FME_Ranking_Option2!$P238*P$4</f>
        <v>#REF!</v>
      </c>
      <c r="R238" s="35">
        <f>FME_Ranking_Option2!$P238/($P$3)</f>
        <v>1.6930689508110803E-3</v>
      </c>
      <c r="S238" s="35" t="e">
        <f>FME_Ranking_Option2!$R238*P$4</f>
        <v>#REF!</v>
      </c>
      <c r="T238" s="37">
        <f>_xlfn.XLOOKUP(FME_Ranking2[[#This Row],[FME ID]],FME_Input[FME_ID],FME_Input[CRITFAC100])</f>
        <v>6</v>
      </c>
      <c r="U238" s="35" t="e">
        <f>FME_Ranking_Option2!$T238*T$4</f>
        <v>#REF!</v>
      </c>
      <c r="V238" s="35">
        <f>FME_Ranking_Option2!$T238/($T$3)</f>
        <v>8.4614299816669018E-4</v>
      </c>
      <c r="W238" s="35" t="e">
        <f>FME_Ranking_Option2!$V238*T$4</f>
        <v>#REF!</v>
      </c>
      <c r="X238" s="37">
        <f>_xlfn.XLOOKUP(FME_Ranking2[[#This Row],[FME ID]],FME_Input[FME_ID],FME_Input[LWC])</f>
        <v>0</v>
      </c>
      <c r="Y238" s="35" t="e">
        <f>FME_Ranking_Option2!$X238*X$4</f>
        <v>#REF!</v>
      </c>
      <c r="Z238" s="35">
        <f>FME_Ranking_Option2!$X238/($X$3)</f>
        <v>0</v>
      </c>
      <c r="AA238" s="35" t="e">
        <f>FME_Ranking_Option2!$Z238*X$4</f>
        <v>#REF!</v>
      </c>
      <c r="AB238" s="37">
        <f>_xlfn.XLOOKUP(FME_Ranking2[[#This Row],[FME ID]],FME_Input[FME_ID],FME_Input[ROADCLS])</f>
        <v>0</v>
      </c>
      <c r="AC238" s="35" t="e">
        <f>FME_Ranking_Option2!$AB238*AB$4</f>
        <v>#REF!</v>
      </c>
      <c r="AD238" s="40">
        <f>_xlfn.XLOOKUP(FME_Ranking2[[#This Row],[FME ID]],FME_Input[FME_ID],FME_Input[ROAD_MILES100])</f>
        <v>11.892343521118161</v>
      </c>
      <c r="AE238" s="41" t="e">
        <f>FME_Ranking_Option2!$AD238*AD$4</f>
        <v>#REF!</v>
      </c>
      <c r="AF238" s="42">
        <f>FME_Ranking_Option2!$AD238/($AD$3)</f>
        <v>2.6861572755034505E-4</v>
      </c>
      <c r="AG238" s="42" t="e">
        <f>FME_Ranking_Option2!$AF238*AD$4</f>
        <v>#REF!</v>
      </c>
      <c r="AH238" s="40">
        <f>_xlfn.XLOOKUP(FME_Ranking2[[#This Row],[FME ID]],FME_Input[FME_ID],FME_Input[FARMACRE100])</f>
        <v>0</v>
      </c>
      <c r="AI238" s="43" t="e">
        <f>FME_Ranking_Option2!$AH238*AH$4</f>
        <v>#REF!</v>
      </c>
      <c r="AJ238" s="41">
        <f>FME_Ranking_Option2!$AH238/($AH$3)</f>
        <v>0</v>
      </c>
      <c r="AK238" s="44" t="e">
        <f>FME_Ranking_Option2!$AJ238*AH$4</f>
        <v>#REF!</v>
      </c>
      <c r="AL23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38" s="45" t="e">
        <f>_xlfn.RANK.EQ(AL238,$AL$7:$AL$531)+COUNTIF(AL$7:AL238,AL238)-1</f>
        <v>#REF!</v>
      </c>
      <c r="AN238" s="44"/>
      <c r="AO238" s="45" t="e">
        <f>_xlfn.RANK.EQ(AN238,$AN$7:$AN$531)+COUNTIF(AN$7:AN238,AN238)-1</f>
        <v>#N/A</v>
      </c>
      <c r="AP23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38" s="32" t="e">
        <f>FME_Ranking2[[#This Row],[Score Based on Reported Factors]]-FME_Ranking2[[#This Row],[Check]]</f>
        <v>#REF!</v>
      </c>
      <c r="AR238" s="32"/>
    </row>
    <row r="239" spans="1:55" ht="12" customHeight="1" x14ac:dyDescent="0.25">
      <c r="A239" s="16" t="s">
        <v>1817</v>
      </c>
      <c r="B239" s="16" t="str">
        <f>_xlfn.XLOOKUP(FME_Ranking2[[#This Row],[FME ID]],FME_Input[FME_ID],FME_Input[FME_NAME])</f>
        <v>City of Willis  Master Drainage Plan</v>
      </c>
      <c r="C239" s="16" t="str">
        <f>_xlfn.XLOOKUP(FME_Ranking2[[#This Row],[FME ID]],FME_Input[FME_ID],FME_Input[DESCR])</f>
        <v>Study to develop Master Drainage Plan using future and existing land use and flood/storm water drainage needs including Atlas 14 rainfall.</v>
      </c>
      <c r="D239" s="46" t="str">
        <f>_xlfn.XLOOKUP(FME_Ranking2[[#This Row],[FME ID]],FME_Input[FME_ID],FME_Input[EMER_NEED])</f>
        <v>No</v>
      </c>
      <c r="E239" s="121">
        <f>IF(FME_Ranking_Option2!$D239="Yes",100,0)</f>
        <v>0</v>
      </c>
      <c r="F239" s="47" t="str">
        <f>_xlfn.XLOOKUP(FME_Ranking2[[#This Row],[FME ID]],FME_Input[FME_ID],FME_Input[FUND])</f>
        <v>Yes</v>
      </c>
      <c r="G239" s="48">
        <f>IF(FME_Ranking_Option2!$F239="Yes",1,0)</f>
        <v>1</v>
      </c>
      <c r="H239" s="46">
        <f>_xlfn.XLOOKUP(FME_Ranking2[[#This Row],[FME ID]],FME_Input[FME_ID],FME_Input[STRUCT_100])</f>
        <v>61</v>
      </c>
      <c r="I239" s="65" t="e">
        <f>FME_Ranking2[[#This Row],[Raw Data3]]*H$4</f>
        <v>#REF!</v>
      </c>
      <c r="J239" s="62">
        <f>((FME_Ranking_Option2!$H239)/($H$3))*100</f>
        <v>6.7787644646054033E-3</v>
      </c>
      <c r="K239" s="49" t="e">
        <f>FME_Ranking2[[#This Row],[Norm Data3]]*H$4</f>
        <v>#REF!</v>
      </c>
      <c r="L239" s="50">
        <f>_xlfn.XLOOKUP(FME_Ranking2[[#This Row],[FME ID]],FME_Input[FME_ID],FME_Input[RES_STRUCT100])</f>
        <v>18</v>
      </c>
      <c r="M239" s="51" t="e">
        <f>FME_Ranking2[[#This Row],[Raw Data4]]*L$4</f>
        <v>#REF!</v>
      </c>
      <c r="N239" s="29">
        <f>((FME_Ranking_Option2!$L239)/($L$3))*100</f>
        <v>2.6910535923322914E-3</v>
      </c>
      <c r="O239" s="52" t="e">
        <f>FME_Ranking2[[#This Row],[Norm Data4]]*L$4</f>
        <v>#REF!</v>
      </c>
      <c r="P239" s="47">
        <f>_xlfn.XLOOKUP(FME_Ranking2[[#This Row],[FME ID]],FME_Input[FME_ID],FME_Input[POP100])</f>
        <v>372</v>
      </c>
      <c r="Q239" s="48" t="e">
        <f>FME_Ranking_Option2!$P239*P$4</f>
        <v>#REF!</v>
      </c>
      <c r="R239" s="48">
        <f>FME_Ranking_Option2!$P239/($P$3)</f>
        <v>1.3653189891647992E-4</v>
      </c>
      <c r="S239" s="48" t="e">
        <f>FME_Ranking_Option2!$R239*P$4</f>
        <v>#REF!</v>
      </c>
      <c r="T239" s="50">
        <f>_xlfn.XLOOKUP(FME_Ranking2[[#This Row],[FME ID]],FME_Input[FME_ID],FME_Input[CRITFAC100])</f>
        <v>0</v>
      </c>
      <c r="U239" s="48" t="e">
        <f>FME_Ranking_Option2!$T239*T$4</f>
        <v>#REF!</v>
      </c>
      <c r="V239" s="48">
        <f>FME_Ranking_Option2!$T239/($T$3)</f>
        <v>0</v>
      </c>
      <c r="W239" s="48" t="e">
        <f>FME_Ranking_Option2!$V239*T$4</f>
        <v>#REF!</v>
      </c>
      <c r="X239" s="50">
        <f>_xlfn.XLOOKUP(FME_Ranking2[[#This Row],[FME ID]],FME_Input[FME_ID],FME_Input[LWC])</f>
        <v>0</v>
      </c>
      <c r="Y239" s="48" t="e">
        <f>FME_Ranking_Option2!$X239*X$4</f>
        <v>#REF!</v>
      </c>
      <c r="Z239" s="48">
        <f>FME_Ranking_Option2!$X239/($X$3)</f>
        <v>0</v>
      </c>
      <c r="AA239" s="48" t="e">
        <f>FME_Ranking_Option2!$Z239*X$4</f>
        <v>#REF!</v>
      </c>
      <c r="AB239" s="50">
        <f>_xlfn.XLOOKUP(FME_Ranking2[[#This Row],[FME ID]],FME_Input[FME_ID],FME_Input[ROADCLS])</f>
        <v>0</v>
      </c>
      <c r="AC239" s="48" t="e">
        <f>FME_Ranking_Option2!$AB239*AB$4</f>
        <v>#REF!</v>
      </c>
      <c r="AD239" s="53">
        <f>_xlfn.XLOOKUP(FME_Ranking2[[#This Row],[FME ID]],FME_Input[FME_ID],FME_Input[ROAD_MILES100])</f>
        <v>1.664969325065613</v>
      </c>
      <c r="AE239" s="54" t="e">
        <f>FME_Ranking_Option2!$AD239*AD$4</f>
        <v>#REF!</v>
      </c>
      <c r="AF239" s="55">
        <f>FME_Ranking_Option2!$AD239/($AD$3)</f>
        <v>3.7607133178360776E-5</v>
      </c>
      <c r="AG239" s="55" t="e">
        <f>FME_Ranking_Option2!$AF239*AD$4</f>
        <v>#REF!</v>
      </c>
      <c r="AH239" s="53">
        <f>_xlfn.XLOOKUP(FME_Ranking2[[#This Row],[FME ID]],FME_Input[FME_ID],FME_Input[FARMACRE100])</f>
        <v>0.92410212755203247</v>
      </c>
      <c r="AI239" s="54" t="e">
        <f>FME_Ranking_Option2!$AH239*AH$4</f>
        <v>#REF!</v>
      </c>
      <c r="AJ239" s="56">
        <f>FME_Ranking_Option2!$AH239/($AH$3)</f>
        <v>5.3658858397614214E-5</v>
      </c>
      <c r="AK239" s="57" t="e">
        <f>FME_Ranking_Option2!$AJ239*AH$4</f>
        <v>#REF!</v>
      </c>
      <c r="AL23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39" s="58" t="e">
        <f>_xlfn.RANK.EQ(AL239,$AL$7:$AL$531)+COUNTIF(AL$7:AL239,AL239)-1</f>
        <v>#REF!</v>
      </c>
      <c r="AN239" s="57"/>
      <c r="AO239" s="58" t="e">
        <f>_xlfn.RANK.EQ(AN239,$AN$7:$AN$531)+COUNTIF(AN$7:AN239,AN239)-1</f>
        <v>#N/A</v>
      </c>
      <c r="AP23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39" s="32" t="e">
        <f>FME_Ranking2[[#This Row],[Score Based on Reported Factors]]-FME_Ranking2[[#This Row],[Check]]</f>
        <v>#REF!</v>
      </c>
      <c r="AR239" s="32"/>
      <c r="AT239" s="19"/>
      <c r="AU239" s="19"/>
      <c r="AV239" s="19"/>
      <c r="AW239" s="19"/>
      <c r="AX239" s="19"/>
      <c r="AY239" s="19"/>
      <c r="AZ239" s="19"/>
      <c r="BA239" s="19"/>
      <c r="BB239" s="19"/>
      <c r="BC239" s="19"/>
    </row>
    <row r="240" spans="1:55" ht="12" customHeight="1" x14ac:dyDescent="0.25">
      <c r="A240" s="17" t="s">
        <v>1824</v>
      </c>
      <c r="B240" s="17" t="str">
        <f>_xlfn.XLOOKUP(FME_Ranking2[[#This Row],[FME ID]],FME_Input[FME_ID],FME_Input[FME_NAME])</f>
        <v>City of Woodbranch  Master Drainage Plan</v>
      </c>
      <c r="C240" s="17" t="str">
        <f>_xlfn.XLOOKUP(FME_Ranking2[[#This Row],[FME ID]],FME_Input[FME_ID],FME_Input[DESCR])</f>
        <v>Study to develop Master Drainage Plan using future and existing land use and flood/storm water drainage needs including Atlas 14 rainfall.</v>
      </c>
      <c r="D240" s="33" t="str">
        <f>_xlfn.XLOOKUP(FME_Ranking2[[#This Row],[FME ID]],FME_Input[FME_ID],FME_Input[EMER_NEED])</f>
        <v>Yes</v>
      </c>
      <c r="E240" s="120">
        <f>IF(FME_Ranking_Option2!$D240="Yes",100,0)</f>
        <v>100</v>
      </c>
      <c r="F240" s="34" t="str">
        <f>_xlfn.XLOOKUP(FME_Ranking2[[#This Row],[FME ID]],FME_Input[FME_ID],FME_Input[FUND])</f>
        <v>Yes</v>
      </c>
      <c r="G240" s="35">
        <f>IF(FME_Ranking_Option2!$F240="Yes",1,0)</f>
        <v>1</v>
      </c>
      <c r="H240" s="33">
        <f>_xlfn.XLOOKUP(FME_Ranking2[[#This Row],[FME ID]],FME_Input[FME_ID],FME_Input[STRUCT_100])</f>
        <v>197</v>
      </c>
      <c r="I240" s="64" t="e">
        <f>FME_Ranking2[[#This Row],[Raw Data3]]*H$4</f>
        <v>#REF!</v>
      </c>
      <c r="J240" s="63">
        <f>((FME_Ranking_Option2!$H240)/($H$3))*100</f>
        <v>2.1892075402086302E-2</v>
      </c>
      <c r="K240" s="36" t="e">
        <f>FME_Ranking2[[#This Row],[Norm Data3]]*H$4</f>
        <v>#REF!</v>
      </c>
      <c r="L240" s="37">
        <f>_xlfn.XLOOKUP(FME_Ranking2[[#This Row],[FME ID]],FME_Input[FME_ID],FME_Input[RES_STRUCT100])</f>
        <v>189</v>
      </c>
      <c r="M240" s="38" t="e">
        <f>FME_Ranking2[[#This Row],[Raw Data4]]*L$4</f>
        <v>#REF!</v>
      </c>
      <c r="N240" s="28">
        <f>((FME_Ranking_Option2!$L240)/($L$3))*100</f>
        <v>2.8256062719489061E-2</v>
      </c>
      <c r="O240" s="39" t="e">
        <f>FME_Ranking2[[#This Row],[Norm Data4]]*L$4</f>
        <v>#REF!</v>
      </c>
      <c r="P240" s="34">
        <f>_xlfn.XLOOKUP(FME_Ranking2[[#This Row],[FME ID]],FME_Input[FME_ID],FME_Input[POP100])</f>
        <v>398</v>
      </c>
      <c r="Q240" s="35" t="e">
        <f>FME_Ranking_Option2!$P240*P$4</f>
        <v>#REF!</v>
      </c>
      <c r="R240" s="35">
        <f>FME_Ranking_Option2!$P240/($P$3)</f>
        <v>1.4607445099128766E-4</v>
      </c>
      <c r="S240" s="35" t="e">
        <f>FME_Ranking_Option2!$R240*P$4</f>
        <v>#REF!</v>
      </c>
      <c r="T240" s="37">
        <f>_xlfn.XLOOKUP(FME_Ranking2[[#This Row],[FME ID]],FME_Input[FME_ID],FME_Input[CRITFAC100])</f>
        <v>0</v>
      </c>
      <c r="U240" s="35" t="e">
        <f>FME_Ranking_Option2!$T240*T$4</f>
        <v>#REF!</v>
      </c>
      <c r="V240" s="35">
        <f>FME_Ranking_Option2!$T240/($T$3)</f>
        <v>0</v>
      </c>
      <c r="W240" s="35" t="e">
        <f>FME_Ranking_Option2!$V240*T$4</f>
        <v>#REF!</v>
      </c>
      <c r="X240" s="37">
        <f>_xlfn.XLOOKUP(FME_Ranking2[[#This Row],[FME ID]],FME_Input[FME_ID],FME_Input[LWC])</f>
        <v>0</v>
      </c>
      <c r="Y240" s="35" t="e">
        <f>FME_Ranking_Option2!$X240*X$4</f>
        <v>#REF!</v>
      </c>
      <c r="Z240" s="35">
        <f>FME_Ranking_Option2!$X240/($X$3)</f>
        <v>0</v>
      </c>
      <c r="AA240" s="35" t="e">
        <f>FME_Ranking_Option2!$Z240*X$4</f>
        <v>#REF!</v>
      </c>
      <c r="AB240" s="37">
        <f>_xlfn.XLOOKUP(FME_Ranking2[[#This Row],[FME ID]],FME_Input[FME_ID],FME_Input[ROADCLS])</f>
        <v>0</v>
      </c>
      <c r="AC240" s="35" t="e">
        <f>FME_Ranking_Option2!$AB240*AB$4</f>
        <v>#REF!</v>
      </c>
      <c r="AD240" s="40">
        <f>_xlfn.XLOOKUP(FME_Ranking2[[#This Row],[FME ID]],FME_Input[FME_ID],FME_Input[ROAD_MILES100])</f>
        <v>3.531308650970459</v>
      </c>
      <c r="AE240" s="41" t="e">
        <f>FME_Ranking_Option2!$AD240*AD$4</f>
        <v>#REF!</v>
      </c>
      <c r="AF240" s="42">
        <f>FME_Ranking_Option2!$AD240/($AD$3)</f>
        <v>7.9762667534856899E-5</v>
      </c>
      <c r="AG240" s="42" t="e">
        <f>FME_Ranking_Option2!$AF240*AD$4</f>
        <v>#REF!</v>
      </c>
      <c r="AH240" s="40">
        <f>_xlfn.XLOOKUP(FME_Ranking2[[#This Row],[FME ID]],FME_Input[FME_ID],FME_Input[FARMACRE100])</f>
        <v>0</v>
      </c>
      <c r="AI240" s="43" t="e">
        <f>FME_Ranking_Option2!$AH240*AH$4</f>
        <v>#REF!</v>
      </c>
      <c r="AJ240" s="41">
        <f>FME_Ranking_Option2!$AH240/($AH$3)</f>
        <v>0</v>
      </c>
      <c r="AK240" s="44" t="e">
        <f>FME_Ranking_Option2!$AJ240*AH$4</f>
        <v>#REF!</v>
      </c>
      <c r="AL24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40" s="45" t="e">
        <f>_xlfn.RANK.EQ(AL240,$AL$7:$AL$531)+COUNTIF(AL$7:AL240,AL240)-1</f>
        <v>#REF!</v>
      </c>
      <c r="AN240" s="44"/>
      <c r="AO240" s="45" t="e">
        <f>_xlfn.RANK.EQ(AN240,$AN$7:$AN$531)+COUNTIF(AN$7:AN240,AN240)-1</f>
        <v>#N/A</v>
      </c>
      <c r="AP24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40" s="32" t="e">
        <f>FME_Ranking2[[#This Row],[Score Based on Reported Factors]]-FME_Ranking2[[#This Row],[Check]]</f>
        <v>#REF!</v>
      </c>
      <c r="AR240" s="32"/>
    </row>
    <row r="241" spans="1:55" ht="12" customHeight="1" x14ac:dyDescent="0.25">
      <c r="A241" s="16" t="s">
        <v>1830</v>
      </c>
      <c r="B241" s="16" t="str">
        <f>_xlfn.XLOOKUP(FME_Ranking2[[#This Row],[FME ID]],FME_Input[FME_ID],FME_Input[FME_NAME])</f>
        <v>Town of Woodloch  Master Drainage Plan</v>
      </c>
      <c r="C241" s="16" t="str">
        <f>_xlfn.XLOOKUP(FME_Ranking2[[#This Row],[FME ID]],FME_Input[FME_ID],FME_Input[DESCR])</f>
        <v>Study to develop Master Drainage Plan using future and existing land use and flood/storm water drainage needs including Atlas 14 rainfall.</v>
      </c>
      <c r="D241" s="46" t="str">
        <f>_xlfn.XLOOKUP(FME_Ranking2[[#This Row],[FME ID]],FME_Input[FME_ID],FME_Input[EMER_NEED])</f>
        <v>Yes</v>
      </c>
      <c r="E241" s="121">
        <f>IF(FME_Ranking_Option2!$D241="Yes",100,0)</f>
        <v>100</v>
      </c>
      <c r="F241" s="47" t="str">
        <f>_xlfn.XLOOKUP(FME_Ranking2[[#This Row],[FME ID]],FME_Input[FME_ID],FME_Input[FUND])</f>
        <v>Yes</v>
      </c>
      <c r="G241" s="48">
        <f>IF(FME_Ranking_Option2!$F241="Yes",1,0)</f>
        <v>1</v>
      </c>
      <c r="H241" s="46">
        <f>_xlfn.XLOOKUP(FME_Ranking2[[#This Row],[FME ID]],FME_Input[FME_ID],FME_Input[STRUCT_100])</f>
        <v>85</v>
      </c>
      <c r="I241" s="65" t="e">
        <f>FME_Ranking2[[#This Row],[Raw Data3]]*H$4</f>
        <v>#REF!</v>
      </c>
      <c r="J241" s="62">
        <f>((FME_Ranking_Option2!$H241)/($H$3))*100</f>
        <v>9.4458193359255611E-3</v>
      </c>
      <c r="K241" s="49" t="e">
        <f>FME_Ranking2[[#This Row],[Norm Data3]]*H$4</f>
        <v>#REF!</v>
      </c>
      <c r="L241" s="50">
        <f>_xlfn.XLOOKUP(FME_Ranking2[[#This Row],[FME ID]],FME_Input[FME_ID],FME_Input[RES_STRUCT100])</f>
        <v>80</v>
      </c>
      <c r="M241" s="51" t="e">
        <f>FME_Ranking2[[#This Row],[Raw Data4]]*L$4</f>
        <v>#REF!</v>
      </c>
      <c r="N241" s="29">
        <f>((FME_Ranking_Option2!$L241)/($L$3))*100</f>
        <v>1.1960238188143516E-2</v>
      </c>
      <c r="O241" s="52" t="e">
        <f>FME_Ranking2[[#This Row],[Norm Data4]]*L$4</f>
        <v>#REF!</v>
      </c>
      <c r="P241" s="47">
        <f>_xlfn.XLOOKUP(FME_Ranking2[[#This Row],[FME ID]],FME_Input[FME_ID],FME_Input[POP100])</f>
        <v>233</v>
      </c>
      <c r="Q241" s="48" t="e">
        <f>FME_Ranking_Option2!$P241*P$4</f>
        <v>#REF!</v>
      </c>
      <c r="R241" s="48">
        <f>FME_Ranking_Option2!$P241/($P$3)</f>
        <v>8.5515947439623172E-5</v>
      </c>
      <c r="S241" s="48" t="e">
        <f>FME_Ranking_Option2!$R241*P$4</f>
        <v>#REF!</v>
      </c>
      <c r="T241" s="50">
        <f>_xlfn.XLOOKUP(FME_Ranking2[[#This Row],[FME ID]],FME_Input[FME_ID],FME_Input[CRITFAC100])</f>
        <v>0</v>
      </c>
      <c r="U241" s="48" t="e">
        <f>FME_Ranking_Option2!$T241*T$4</f>
        <v>#REF!</v>
      </c>
      <c r="V241" s="48">
        <f>FME_Ranking_Option2!$T241/($T$3)</f>
        <v>0</v>
      </c>
      <c r="W241" s="48" t="e">
        <f>FME_Ranking_Option2!$V241*T$4</f>
        <v>#REF!</v>
      </c>
      <c r="X241" s="50">
        <f>_xlfn.XLOOKUP(FME_Ranking2[[#This Row],[FME ID]],FME_Input[FME_ID],FME_Input[LWC])</f>
        <v>0</v>
      </c>
      <c r="Y241" s="48" t="e">
        <f>FME_Ranking_Option2!$X241*X$4</f>
        <v>#REF!</v>
      </c>
      <c r="Z241" s="48">
        <f>FME_Ranking_Option2!$X241/($X$3)</f>
        <v>0</v>
      </c>
      <c r="AA241" s="48" t="e">
        <f>FME_Ranking_Option2!$Z241*X$4</f>
        <v>#REF!</v>
      </c>
      <c r="AB241" s="50">
        <f>_xlfn.XLOOKUP(FME_Ranking2[[#This Row],[FME ID]],FME_Input[FME_ID],FME_Input[ROADCLS])</f>
        <v>0</v>
      </c>
      <c r="AC241" s="48" t="e">
        <f>FME_Ranking_Option2!$AB241*AB$4</f>
        <v>#REF!</v>
      </c>
      <c r="AD241" s="53">
        <f>_xlfn.XLOOKUP(FME_Ranking2[[#This Row],[FME ID]],FME_Input[FME_ID],FME_Input[ROAD_MILES100])</f>
        <v>1.0146340131759639</v>
      </c>
      <c r="AE241" s="54" t="e">
        <f>FME_Ranking_Option2!$AD241*AD$4</f>
        <v>#REF!</v>
      </c>
      <c r="AF241" s="55">
        <f>FME_Ranking_Option2!$AD241/($AD$3)</f>
        <v>2.2917825503661716E-5</v>
      </c>
      <c r="AG241" s="55" t="e">
        <f>FME_Ranking_Option2!$AF241*AD$4</f>
        <v>#REF!</v>
      </c>
      <c r="AH241" s="53">
        <f>_xlfn.XLOOKUP(FME_Ranking2[[#This Row],[FME ID]],FME_Input[FME_ID],FME_Input[FARMACRE100])</f>
        <v>0</v>
      </c>
      <c r="AI241" s="54" t="e">
        <f>FME_Ranking_Option2!$AH241*AH$4</f>
        <v>#REF!</v>
      </c>
      <c r="AJ241" s="56">
        <f>FME_Ranking_Option2!$AH241/($AH$3)</f>
        <v>0</v>
      </c>
      <c r="AK241" s="57" t="e">
        <f>FME_Ranking_Option2!$AJ241*AH$4</f>
        <v>#REF!</v>
      </c>
      <c r="AL24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41" s="58" t="e">
        <f>_xlfn.RANK.EQ(AL241,$AL$7:$AL$531)+COUNTIF(AL$7:AL241,AL241)-1</f>
        <v>#REF!</v>
      </c>
      <c r="AN241" s="57"/>
      <c r="AO241" s="58" t="e">
        <f>_xlfn.RANK.EQ(AN241,$AN$7:$AN$531)+COUNTIF(AN$7:AN241,AN241)-1</f>
        <v>#N/A</v>
      </c>
      <c r="AP24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41" s="32" t="e">
        <f>FME_Ranking2[[#This Row],[Score Based on Reported Factors]]-FME_Ranking2[[#This Row],[Check]]</f>
        <v>#REF!</v>
      </c>
      <c r="AR241" s="32"/>
      <c r="AT241" s="19"/>
      <c r="AU241" s="19"/>
      <c r="AV241" s="19"/>
      <c r="AW241" s="19"/>
      <c r="AX241" s="19"/>
      <c r="AY241" s="19"/>
      <c r="AZ241" s="19"/>
      <c r="BA241" s="19"/>
      <c r="BB241" s="19"/>
      <c r="BC241" s="19"/>
    </row>
    <row r="242" spans="1:55" ht="12" customHeight="1" x14ac:dyDescent="0.25">
      <c r="A242" s="17" t="s">
        <v>1836</v>
      </c>
      <c r="B242" s="17" t="str">
        <f>_xlfn.XLOOKUP(FME_Ranking2[[#This Row],[FME ID]],FME_Input[FME_ID],FME_Input[FME_NAME])</f>
        <v>Brazoria Flood Mapping Updates</v>
      </c>
      <c r="C242" s="17" t="str">
        <f>_xlfn.XLOOKUP(FME_Ranking2[[#This Row],[FME ID]],FME_Input[FME_ID],FME_Input[DESCR])</f>
        <v>County wide study to produce flood mappping updates including Atlas 14 rainfall.</v>
      </c>
      <c r="D242" s="33" t="str">
        <f>_xlfn.XLOOKUP(FME_Ranking2[[#This Row],[FME ID]],FME_Input[FME_ID],FME_Input[EMER_NEED])</f>
        <v>Yes</v>
      </c>
      <c r="E242" s="120">
        <f>IF(FME_Ranking_Option2!$D242="Yes",100,0)</f>
        <v>100</v>
      </c>
      <c r="F242" s="34" t="str">
        <f>_xlfn.XLOOKUP(FME_Ranking2[[#This Row],[FME ID]],FME_Input[FME_ID],FME_Input[FUND])</f>
        <v>Yes</v>
      </c>
      <c r="G242" s="35">
        <f>IF(FME_Ranking_Option2!$F242="Yes",1,0)</f>
        <v>1</v>
      </c>
      <c r="H242" s="33">
        <f>_xlfn.XLOOKUP(FME_Ranking2[[#This Row],[FME ID]],FME_Input[FME_ID],FME_Input[STRUCT_100])</f>
        <v>18848</v>
      </c>
      <c r="I242" s="64" t="e">
        <f>FME_Ranking2[[#This Row],[Raw Data3]]*H$4</f>
        <v>#REF!</v>
      </c>
      <c r="J242" s="63">
        <f>((FME_Ranking_Option2!$H242)/($H$3))*100</f>
        <v>2.0945270922767647</v>
      </c>
      <c r="K242" s="36" t="e">
        <f>FME_Ranking2[[#This Row],[Norm Data3]]*H$4</f>
        <v>#REF!</v>
      </c>
      <c r="L242" s="37">
        <f>_xlfn.XLOOKUP(FME_Ranking2[[#This Row],[FME ID]],FME_Input[FME_ID],FME_Input[RES_STRUCT100])</f>
        <v>14344</v>
      </c>
      <c r="M242" s="38" t="e">
        <f>FME_Ranking2[[#This Row],[Raw Data4]]*L$4</f>
        <v>#REF!</v>
      </c>
      <c r="N242" s="28">
        <f>((FME_Ranking_Option2!$L242)/($L$3))*100</f>
        <v>2.1444707071341327</v>
      </c>
      <c r="O242" s="39" t="e">
        <f>FME_Ranking2[[#This Row],[Norm Data4]]*L$4</f>
        <v>#REF!</v>
      </c>
      <c r="P242" s="34">
        <f>_xlfn.XLOOKUP(FME_Ranking2[[#This Row],[FME ID]],FME_Input[FME_ID],FME_Input[POP100])</f>
        <v>65547</v>
      </c>
      <c r="Q242" s="35" t="e">
        <f>FME_Ranking_Option2!$P242*P$4</f>
        <v>#REF!</v>
      </c>
      <c r="R242" s="35">
        <f>FME_Ranking_Option2!$P242/($P$3)</f>
        <v>2.4057140801823949E-2</v>
      </c>
      <c r="S242" s="35" t="e">
        <f>FME_Ranking_Option2!$R242*P$4</f>
        <v>#REF!</v>
      </c>
      <c r="T242" s="37">
        <f>_xlfn.XLOOKUP(FME_Ranking2[[#This Row],[FME ID]],FME_Input[FME_ID],FME_Input[CRITFAC100])</f>
        <v>248</v>
      </c>
      <c r="U242" s="35" t="e">
        <f>FME_Ranking_Option2!$T242*T$4</f>
        <v>#REF!</v>
      </c>
      <c r="V242" s="35">
        <f>FME_Ranking_Option2!$T242/($T$3)</f>
        <v>3.4973910590889862E-2</v>
      </c>
      <c r="W242" s="35" t="e">
        <f>FME_Ranking_Option2!$V242*T$4</f>
        <v>#REF!</v>
      </c>
      <c r="X242" s="37">
        <f>_xlfn.XLOOKUP(FME_Ranking2[[#This Row],[FME ID]],FME_Input[FME_ID],FME_Input[LWC])</f>
        <v>0</v>
      </c>
      <c r="Y242" s="35" t="e">
        <f>FME_Ranking_Option2!$X242*X$4</f>
        <v>#REF!</v>
      </c>
      <c r="Z242" s="35">
        <f>FME_Ranking_Option2!$X242/($X$3)</f>
        <v>0</v>
      </c>
      <c r="AA242" s="35" t="e">
        <f>FME_Ranking_Option2!$Z242*X$4</f>
        <v>#REF!</v>
      </c>
      <c r="AB242" s="37">
        <f>_xlfn.XLOOKUP(FME_Ranking2[[#This Row],[FME ID]],FME_Input[FME_ID],FME_Input[ROADCLS])</f>
        <v>0</v>
      </c>
      <c r="AC242" s="35" t="e">
        <f>FME_Ranking_Option2!$AB242*AB$4</f>
        <v>#REF!</v>
      </c>
      <c r="AD242" s="40">
        <f>_xlfn.XLOOKUP(FME_Ranking2[[#This Row],[FME ID]],FME_Input[FME_ID],FME_Input[ROAD_MILES100])</f>
        <v>328.06332397460938</v>
      </c>
      <c r="AE242" s="41" t="e">
        <f>FME_Ranking_Option2!$AD242*AD$4</f>
        <v>#REF!</v>
      </c>
      <c r="AF242" s="42">
        <f>FME_Ranking_Option2!$AD242/($AD$3)</f>
        <v>7.4100591103458653E-3</v>
      </c>
      <c r="AG242" s="42" t="e">
        <f>FME_Ranking_Option2!$AF242*AD$4</f>
        <v>#REF!</v>
      </c>
      <c r="AH242" s="40">
        <f>_xlfn.XLOOKUP(FME_Ranking2[[#This Row],[FME ID]],FME_Input[FME_ID],FME_Input[FARMACRE100])</f>
        <v>8584.16015625</v>
      </c>
      <c r="AI242" s="43" t="e">
        <f>FME_Ranking_Option2!$AH242*AH$4</f>
        <v>#REF!</v>
      </c>
      <c r="AJ242" s="41">
        <f>FME_Ranking_Option2!$AH242/($AH$3)</f>
        <v>0.49844732584573043</v>
      </c>
      <c r="AK242" s="44" t="e">
        <f>FME_Ranking_Option2!$AJ242*AH$4</f>
        <v>#REF!</v>
      </c>
      <c r="AL242"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42" s="45" t="e">
        <f>_xlfn.RANK.EQ(AL242,$AL$7:$AL$531)+COUNTIF(AL$7:AL242,AL242)-1</f>
        <v>#REF!</v>
      </c>
      <c r="AN242" s="44"/>
      <c r="AO242" s="45" t="e">
        <f>_xlfn.RANK.EQ(AN242,$AN$7:$AN$531)+COUNTIF(AN$7:AN242,AN242)-1</f>
        <v>#N/A</v>
      </c>
      <c r="AP24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42" s="32" t="e">
        <f>FME_Ranking2[[#This Row],[Score Based on Reported Factors]]-FME_Ranking2[[#This Row],[Check]]</f>
        <v>#REF!</v>
      </c>
      <c r="AR242" s="32"/>
    </row>
    <row r="243" spans="1:55" ht="12" customHeight="1" x14ac:dyDescent="0.25">
      <c r="A243" s="16" t="s">
        <v>1840</v>
      </c>
      <c r="B243" s="16" t="str">
        <f>_xlfn.XLOOKUP(FME_Ranking2[[#This Row],[FME ID]],FME_Input[FME_ID],FME_Input[FME_NAME])</f>
        <v>Chambers Flood Mapping Updates</v>
      </c>
      <c r="C243" s="16" t="str">
        <f>_xlfn.XLOOKUP(FME_Ranking2[[#This Row],[FME ID]],FME_Input[FME_ID],FME_Input[DESCR])</f>
        <v>County wide study to produce flood mappping updates including Atlas 14 rainfall.</v>
      </c>
      <c r="D243" s="46" t="str">
        <f>_xlfn.XLOOKUP(FME_Ranking2[[#This Row],[FME ID]],FME_Input[FME_ID],FME_Input[EMER_NEED])</f>
        <v>Yes</v>
      </c>
      <c r="E243" s="121">
        <f>IF(FME_Ranking_Option2!$D243="Yes",100,0)</f>
        <v>100</v>
      </c>
      <c r="F243" s="47" t="str">
        <f>_xlfn.XLOOKUP(FME_Ranking2[[#This Row],[FME ID]],FME_Input[FME_ID],FME_Input[FUND])</f>
        <v>Yes</v>
      </c>
      <c r="G243" s="48">
        <f>IF(FME_Ranking_Option2!$F243="Yes",1,0)</f>
        <v>1</v>
      </c>
      <c r="H243" s="46">
        <f>_xlfn.XLOOKUP(FME_Ranking2[[#This Row],[FME ID]],FME_Input[FME_ID],FME_Input[STRUCT_100])</f>
        <v>151</v>
      </c>
      <c r="I243" s="65" t="e">
        <f>FME_Ranking2[[#This Row],[Raw Data3]]*H$4</f>
        <v>#REF!</v>
      </c>
      <c r="J243" s="62">
        <f>((FME_Ranking_Option2!$H243)/($H$3))*100</f>
        <v>1.6780220232055998E-2</v>
      </c>
      <c r="K243" s="49" t="e">
        <f>FME_Ranking2[[#This Row],[Norm Data3]]*H$4</f>
        <v>#REF!</v>
      </c>
      <c r="L243" s="50">
        <f>_xlfn.XLOOKUP(FME_Ranking2[[#This Row],[FME ID]],FME_Input[FME_ID],FME_Input[RES_STRUCT100])</f>
        <v>56</v>
      </c>
      <c r="M243" s="51" t="e">
        <f>FME_Ranking2[[#This Row],[Raw Data4]]*L$4</f>
        <v>#REF!</v>
      </c>
      <c r="N243" s="29">
        <f>((FME_Ranking_Option2!$L243)/($L$3))*100</f>
        <v>8.372166731700461E-3</v>
      </c>
      <c r="O243" s="52" t="e">
        <f>FME_Ranking2[[#This Row],[Norm Data4]]*L$4</f>
        <v>#REF!</v>
      </c>
      <c r="P243" s="47">
        <f>_xlfn.XLOOKUP(FME_Ranking2[[#This Row],[FME ID]],FME_Input[FME_ID],FME_Input[POP100])</f>
        <v>797</v>
      </c>
      <c r="Q243" s="48" t="e">
        <f>FME_Ranking_Option2!$P243*P$4</f>
        <v>#REF!</v>
      </c>
      <c r="R243" s="48">
        <f>FME_Ranking_Option2!$P243/($P$3)</f>
        <v>2.9251592321622176E-4</v>
      </c>
      <c r="S243" s="48" t="e">
        <f>FME_Ranking_Option2!$R243*P$4</f>
        <v>#REF!</v>
      </c>
      <c r="T243" s="50">
        <f>_xlfn.XLOOKUP(FME_Ranking2[[#This Row],[FME ID]],FME_Input[FME_ID],FME_Input[CRITFAC100])</f>
        <v>0</v>
      </c>
      <c r="U243" s="48" t="e">
        <f>FME_Ranking_Option2!$T243*T$4</f>
        <v>#REF!</v>
      </c>
      <c r="V243" s="48">
        <f>FME_Ranking_Option2!$T243/($T$3)</f>
        <v>0</v>
      </c>
      <c r="W243" s="48" t="e">
        <f>FME_Ranking_Option2!$V243*T$4</f>
        <v>#REF!</v>
      </c>
      <c r="X243" s="50">
        <f>_xlfn.XLOOKUP(FME_Ranking2[[#This Row],[FME ID]],FME_Input[FME_ID],FME_Input[LWC])</f>
        <v>0</v>
      </c>
      <c r="Y243" s="48" t="e">
        <f>FME_Ranking_Option2!$X243*X$4</f>
        <v>#REF!</v>
      </c>
      <c r="Z243" s="48">
        <f>FME_Ranking_Option2!$X243/($X$3)</f>
        <v>0</v>
      </c>
      <c r="AA243" s="48" t="e">
        <f>FME_Ranking_Option2!$Z243*X$4</f>
        <v>#REF!</v>
      </c>
      <c r="AB243" s="50">
        <f>_xlfn.XLOOKUP(FME_Ranking2[[#This Row],[FME ID]],FME_Input[FME_ID],FME_Input[ROADCLS])</f>
        <v>0</v>
      </c>
      <c r="AC243" s="48" t="e">
        <f>FME_Ranking_Option2!$AB243*AB$4</f>
        <v>#REF!</v>
      </c>
      <c r="AD243" s="53">
        <f>_xlfn.XLOOKUP(FME_Ranking2[[#This Row],[FME ID]],FME_Input[FME_ID],FME_Input[ROAD_MILES100])</f>
        <v>7.296903133392334</v>
      </c>
      <c r="AE243" s="54" t="e">
        <f>FME_Ranking_Option2!$AD243*AD$4</f>
        <v>#REF!</v>
      </c>
      <c r="AF243" s="55">
        <f>FME_Ranking_Option2!$AD243/($AD$3)</f>
        <v>1.648172154260376E-4</v>
      </c>
      <c r="AG243" s="55" t="e">
        <f>FME_Ranking_Option2!$AF243*AD$4</f>
        <v>#REF!</v>
      </c>
      <c r="AH243" s="53">
        <f>_xlfn.XLOOKUP(FME_Ranking2[[#This Row],[FME ID]],FME_Input[FME_ID],FME_Input[FARMACRE100])</f>
        <v>354.08441162109381</v>
      </c>
      <c r="AI243" s="54" t="e">
        <f>FME_Ranking_Option2!$AH243*AH$4</f>
        <v>#REF!</v>
      </c>
      <c r="AJ243" s="56">
        <f>FME_Ranking_Option2!$AH243/($AH$3)</f>
        <v>2.0560244087208877E-2</v>
      </c>
      <c r="AK243" s="57" t="e">
        <f>FME_Ranking_Option2!$AJ243*AH$4</f>
        <v>#REF!</v>
      </c>
      <c r="AL243"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43" s="58" t="e">
        <f>_xlfn.RANK.EQ(AL243,$AL$7:$AL$531)+COUNTIF(AL$7:AL243,AL243)-1</f>
        <v>#REF!</v>
      </c>
      <c r="AN243" s="57"/>
      <c r="AO243" s="58" t="e">
        <f>_xlfn.RANK.EQ(AN243,$AN$7:$AN$531)+COUNTIF(AN$7:AN243,AN243)-1</f>
        <v>#N/A</v>
      </c>
      <c r="AP24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43" s="32" t="e">
        <f>FME_Ranking2[[#This Row],[Score Based on Reported Factors]]-FME_Ranking2[[#This Row],[Check]]</f>
        <v>#REF!</v>
      </c>
      <c r="AR243" s="32"/>
      <c r="AT243" s="19"/>
      <c r="AU243" s="19"/>
      <c r="AV243" s="19"/>
      <c r="AW243" s="19"/>
      <c r="AX243" s="19"/>
      <c r="AY243" s="19"/>
      <c r="AZ243" s="19"/>
      <c r="BA243" s="19"/>
      <c r="BB243" s="19"/>
      <c r="BC243" s="19"/>
    </row>
    <row r="244" spans="1:55" ht="12" customHeight="1" x14ac:dyDescent="0.25">
      <c r="A244" s="17" t="s">
        <v>1842</v>
      </c>
      <c r="B244" s="17" t="str">
        <f>_xlfn.XLOOKUP(FME_Ranking2[[#This Row],[FME ID]],FME_Input[FME_ID],FME_Input[FME_NAME])</f>
        <v>Galveston Flood Mapping Updates</v>
      </c>
      <c r="C244" s="17" t="str">
        <f>_xlfn.XLOOKUP(FME_Ranking2[[#This Row],[FME ID]],FME_Input[FME_ID],FME_Input[DESCR])</f>
        <v>County wide study to produce flood mappping updates including Atlas 14 rainfall.</v>
      </c>
      <c r="D244" s="33" t="str">
        <f>_xlfn.XLOOKUP(FME_Ranking2[[#This Row],[FME ID]],FME_Input[FME_ID],FME_Input[EMER_NEED])</f>
        <v>Yes</v>
      </c>
      <c r="E244" s="120">
        <f>IF(FME_Ranking_Option2!$D244="Yes",100,0)</f>
        <v>100</v>
      </c>
      <c r="F244" s="34" t="str">
        <f>_xlfn.XLOOKUP(FME_Ranking2[[#This Row],[FME ID]],FME_Input[FME_ID],FME_Input[FUND])</f>
        <v>Yes</v>
      </c>
      <c r="G244" s="35">
        <f>IF(FME_Ranking_Option2!$F244="Yes",1,0)</f>
        <v>1</v>
      </c>
      <c r="H244" s="33">
        <f>_xlfn.XLOOKUP(FME_Ranking2[[#This Row],[FME ID]],FME_Input[FME_ID],FME_Input[STRUCT_100])</f>
        <v>48570</v>
      </c>
      <c r="I244" s="64" t="e">
        <f>FME_Ranking2[[#This Row],[Raw Data3]]*H$4</f>
        <v>#REF!</v>
      </c>
      <c r="J244" s="63">
        <f>((FME_Ranking_Option2!$H244)/($H$3))*100</f>
        <v>5.3974522958341717</v>
      </c>
      <c r="K244" s="36" t="e">
        <f>FME_Ranking2[[#This Row],[Norm Data3]]*H$4</f>
        <v>#REF!</v>
      </c>
      <c r="L244" s="37">
        <f>_xlfn.XLOOKUP(FME_Ranking2[[#This Row],[FME ID]],FME_Input[FME_ID],FME_Input[RES_STRUCT100])</f>
        <v>42185</v>
      </c>
      <c r="M244" s="38" t="e">
        <f>FME_Ranking2[[#This Row],[Raw Data4]]*L$4</f>
        <v>#REF!</v>
      </c>
      <c r="N244" s="28">
        <f>((FME_Ranking_Option2!$L244)/($L$3))*100</f>
        <v>6.3067830995854282</v>
      </c>
      <c r="O244" s="39" t="e">
        <f>FME_Ranking2[[#This Row],[Norm Data4]]*L$4</f>
        <v>#REF!</v>
      </c>
      <c r="P244" s="34">
        <f>_xlfn.XLOOKUP(FME_Ranking2[[#This Row],[FME ID]],FME_Input[FME_ID],FME_Input[POP100])</f>
        <v>171395</v>
      </c>
      <c r="Q244" s="35" t="e">
        <f>FME_Ranking_Option2!$P244*P$4</f>
        <v>#REF!</v>
      </c>
      <c r="R244" s="35">
        <f>FME_Ranking_Option2!$P244/($P$3)</f>
        <v>6.2905604340833532E-2</v>
      </c>
      <c r="S244" s="35" t="e">
        <f>FME_Ranking_Option2!$R244*P$4</f>
        <v>#REF!</v>
      </c>
      <c r="T244" s="37">
        <f>_xlfn.XLOOKUP(FME_Ranking2[[#This Row],[FME ID]],FME_Input[FME_ID],FME_Input[CRITFAC100])</f>
        <v>681</v>
      </c>
      <c r="U244" s="35" t="e">
        <f>FME_Ranking_Option2!$T244*T$4</f>
        <v>#REF!</v>
      </c>
      <c r="V244" s="35">
        <f>FME_Ranking_Option2!$T244/($T$3)</f>
        <v>9.6037230291919337E-2</v>
      </c>
      <c r="W244" s="35" t="e">
        <f>FME_Ranking_Option2!$V244*T$4</f>
        <v>#REF!</v>
      </c>
      <c r="X244" s="37">
        <f>_xlfn.XLOOKUP(FME_Ranking2[[#This Row],[FME ID]],FME_Input[FME_ID],FME_Input[LWC])</f>
        <v>30</v>
      </c>
      <c r="Y244" s="35" t="e">
        <f>FME_Ranking_Option2!$X244*X$4</f>
        <v>#REF!</v>
      </c>
      <c r="Z244" s="35">
        <f>FME_Ranking_Option2!$X244/($X$3)</f>
        <v>2.7367268746579091E-3</v>
      </c>
      <c r="AA244" s="35" t="e">
        <f>FME_Ranking_Option2!$Z244*X$4</f>
        <v>#REF!</v>
      </c>
      <c r="AB244" s="37">
        <f>_xlfn.XLOOKUP(FME_Ranking2[[#This Row],[FME ID]],FME_Input[FME_ID],FME_Input[ROADCLS])</f>
        <v>30</v>
      </c>
      <c r="AC244" s="35" t="e">
        <f>FME_Ranking_Option2!$AB244*AB$4</f>
        <v>#REF!</v>
      </c>
      <c r="AD244" s="40">
        <f>_xlfn.XLOOKUP(FME_Ranking2[[#This Row],[FME ID]],FME_Input[FME_ID],FME_Input[ROAD_MILES100])</f>
        <v>910.35089111328125</v>
      </c>
      <c r="AE244" s="41" t="e">
        <f>FME_Ranking_Option2!$AD244*AD$4</f>
        <v>#REF!</v>
      </c>
      <c r="AF244" s="42">
        <f>FME_Ranking_Option2!$AD244/($AD$3)</f>
        <v>2.0562353123104789E-2</v>
      </c>
      <c r="AG244" s="42" t="e">
        <f>FME_Ranking_Option2!$AF244*AD$4</f>
        <v>#REF!</v>
      </c>
      <c r="AH244" s="40">
        <f>_xlfn.XLOOKUP(FME_Ranking2[[#This Row],[FME ID]],FME_Input[FME_ID],FME_Input[FARMACRE100])</f>
        <v>3412.02490234375</v>
      </c>
      <c r="AI244" s="43" t="e">
        <f>FME_Ranking_Option2!$AH244*AH$4</f>
        <v>#REF!</v>
      </c>
      <c r="AJ244" s="41">
        <f>FME_Ranking_Option2!$AH244/($AH$3)</f>
        <v>0.19812243216990966</v>
      </c>
      <c r="AK244" s="44" t="e">
        <f>FME_Ranking_Option2!$AJ244*AH$4</f>
        <v>#REF!</v>
      </c>
      <c r="AL244"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44" s="45" t="e">
        <f>_xlfn.RANK.EQ(AL244,$AL$7:$AL$531)+COUNTIF(AL$7:AL244,AL244)-1</f>
        <v>#REF!</v>
      </c>
      <c r="AN244" s="44"/>
      <c r="AO244" s="45" t="e">
        <f>_xlfn.RANK.EQ(AN244,$AN$7:$AN$531)+COUNTIF(AN$7:AN244,AN244)-1</f>
        <v>#N/A</v>
      </c>
      <c r="AP24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44" s="32" t="e">
        <f>FME_Ranking2[[#This Row],[Score Based on Reported Factors]]-FME_Ranking2[[#This Row],[Check]]</f>
        <v>#REF!</v>
      </c>
      <c r="AR244" s="32"/>
    </row>
    <row r="245" spans="1:55" ht="12" customHeight="1" x14ac:dyDescent="0.25">
      <c r="A245" s="16" t="s">
        <v>1844</v>
      </c>
      <c r="B245" s="16" t="str">
        <f>_xlfn.XLOOKUP(FME_Ranking2[[#This Row],[FME ID]],FME_Input[FME_ID],FME_Input[FME_NAME])</f>
        <v>Grimes Flood Mapping Updates</v>
      </c>
      <c r="C245" s="16" t="str">
        <f>_xlfn.XLOOKUP(FME_Ranking2[[#This Row],[FME ID]],FME_Input[FME_ID],FME_Input[DESCR])</f>
        <v>County wide study to produce flood mappping updates including Atlas 14 rainfall.</v>
      </c>
      <c r="D245" s="46" t="str">
        <f>_xlfn.XLOOKUP(FME_Ranking2[[#This Row],[FME ID]],FME_Input[FME_ID],FME_Input[EMER_NEED])</f>
        <v>Yes</v>
      </c>
      <c r="E245" s="121">
        <f>IF(FME_Ranking_Option2!$D245="Yes",100,0)</f>
        <v>100</v>
      </c>
      <c r="F245" s="47" t="str">
        <f>_xlfn.XLOOKUP(FME_Ranking2[[#This Row],[FME ID]],FME_Input[FME_ID],FME_Input[FUND])</f>
        <v>Yes</v>
      </c>
      <c r="G245" s="48">
        <f>IF(FME_Ranking_Option2!$F245="Yes",1,0)</f>
        <v>1</v>
      </c>
      <c r="H245" s="46">
        <f>_xlfn.XLOOKUP(FME_Ranking2[[#This Row],[FME ID]],FME_Input[FME_ID],FME_Input[STRUCT_100])</f>
        <v>145</v>
      </c>
      <c r="I245" s="65" t="e">
        <f>FME_Ranking2[[#This Row],[Raw Data3]]*H$4</f>
        <v>#REF!</v>
      </c>
      <c r="J245" s="62">
        <f>((FME_Ranking_Option2!$H245)/($H$3))*100</f>
        <v>1.6113456514225959E-2</v>
      </c>
      <c r="K245" s="49" t="e">
        <f>FME_Ranking2[[#This Row],[Norm Data3]]*H$4</f>
        <v>#REF!</v>
      </c>
      <c r="L245" s="50">
        <f>_xlfn.XLOOKUP(FME_Ranking2[[#This Row],[FME ID]],FME_Input[FME_ID],FME_Input[RES_STRUCT100])</f>
        <v>76</v>
      </c>
      <c r="M245" s="51" t="e">
        <f>FME_Ranking2[[#This Row],[Raw Data4]]*L$4</f>
        <v>#REF!</v>
      </c>
      <c r="N245" s="29">
        <f>((FME_Ranking_Option2!$L245)/($L$3))*100</f>
        <v>1.1362226278736341E-2</v>
      </c>
      <c r="O245" s="52" t="e">
        <f>FME_Ranking2[[#This Row],[Norm Data4]]*L$4</f>
        <v>#REF!</v>
      </c>
      <c r="P245" s="47">
        <f>_xlfn.XLOOKUP(FME_Ranking2[[#This Row],[FME ID]],FME_Input[FME_ID],FME_Input[POP100])</f>
        <v>120</v>
      </c>
      <c r="Q245" s="48" t="e">
        <f>FME_Ranking_Option2!$P245*P$4</f>
        <v>#REF!</v>
      </c>
      <c r="R245" s="48">
        <f>FME_Ranking_Option2!$P245/($P$3)</f>
        <v>4.4042548037574167E-5</v>
      </c>
      <c r="S245" s="48" t="e">
        <f>FME_Ranking_Option2!$R245*P$4</f>
        <v>#REF!</v>
      </c>
      <c r="T245" s="50">
        <f>_xlfn.XLOOKUP(FME_Ranking2[[#This Row],[FME ID]],FME_Input[FME_ID],FME_Input[CRITFAC100])</f>
        <v>0</v>
      </c>
      <c r="U245" s="48" t="e">
        <f>FME_Ranking_Option2!$T245*T$4</f>
        <v>#REF!</v>
      </c>
      <c r="V245" s="48">
        <f>FME_Ranking_Option2!$T245/($T$3)</f>
        <v>0</v>
      </c>
      <c r="W245" s="48" t="e">
        <f>FME_Ranking_Option2!$V245*T$4</f>
        <v>#REF!</v>
      </c>
      <c r="X245" s="50">
        <f>_xlfn.XLOOKUP(FME_Ranking2[[#This Row],[FME ID]],FME_Input[FME_ID],FME_Input[LWC])</f>
        <v>1</v>
      </c>
      <c r="Y245" s="48" t="e">
        <f>FME_Ranking_Option2!$X245*X$4</f>
        <v>#REF!</v>
      </c>
      <c r="Z245" s="48">
        <f>FME_Ranking_Option2!$X245/($X$3)</f>
        <v>9.1224229155263632E-5</v>
      </c>
      <c r="AA245" s="48" t="e">
        <f>FME_Ranking_Option2!$Z245*X$4</f>
        <v>#REF!</v>
      </c>
      <c r="AB245" s="50">
        <f>_xlfn.XLOOKUP(FME_Ranking2[[#This Row],[FME ID]],FME_Input[FME_ID],FME_Input[ROADCLS])</f>
        <v>1</v>
      </c>
      <c r="AC245" s="48" t="e">
        <f>FME_Ranking_Option2!$AB245*AB$4</f>
        <v>#REF!</v>
      </c>
      <c r="AD245" s="53">
        <f>_xlfn.XLOOKUP(FME_Ranking2[[#This Row],[FME ID]],FME_Input[FME_ID],FME_Input[ROAD_MILES100])</f>
        <v>10.806294441223139</v>
      </c>
      <c r="AE245" s="54" t="e">
        <f>FME_Ranking_Option2!$AD245*AD$4</f>
        <v>#REF!</v>
      </c>
      <c r="AF245" s="55">
        <f>FME_Ranking_Option2!$AD245/($AD$3)</f>
        <v>2.4408482973080792E-4</v>
      </c>
      <c r="AG245" s="55" t="e">
        <f>FME_Ranking_Option2!$AF245*AD$4</f>
        <v>#REF!</v>
      </c>
      <c r="AH245" s="53">
        <f>_xlfn.XLOOKUP(FME_Ranking2[[#This Row],[FME ID]],FME_Input[FME_ID],FME_Input[FARMACRE100])</f>
        <v>151.27351379394531</v>
      </c>
      <c r="AI245" s="54" t="e">
        <f>FME_Ranking_Option2!$AH245*AH$4</f>
        <v>#REF!</v>
      </c>
      <c r="AJ245" s="56">
        <f>FME_Ranking_Option2!$AH245/($AH$3)</f>
        <v>8.7838387273075583E-3</v>
      </c>
      <c r="AK245" s="57" t="e">
        <f>FME_Ranking_Option2!$AJ245*AH$4</f>
        <v>#REF!</v>
      </c>
      <c r="AL245"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45" s="58" t="e">
        <f>_xlfn.RANK.EQ(AL245,$AL$7:$AL$531)+COUNTIF(AL$7:AL245,AL245)-1</f>
        <v>#REF!</v>
      </c>
      <c r="AN245" s="57"/>
      <c r="AO245" s="58" t="e">
        <f>_xlfn.RANK.EQ(AN245,$AN$7:$AN$531)+COUNTIF(AN$7:AN245,AN245)-1</f>
        <v>#N/A</v>
      </c>
      <c r="AP24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45" s="32" t="e">
        <f>FME_Ranking2[[#This Row],[Score Based on Reported Factors]]-FME_Ranking2[[#This Row],[Check]]</f>
        <v>#REF!</v>
      </c>
      <c r="AR245" s="32"/>
      <c r="AT245" s="19"/>
      <c r="AU245" s="19"/>
      <c r="AV245" s="19"/>
      <c r="AW245" s="19"/>
      <c r="AX245" s="19"/>
      <c r="AY245" s="19"/>
      <c r="AZ245" s="19"/>
      <c r="BA245" s="19"/>
      <c r="BB245" s="19"/>
      <c r="BC245" s="19"/>
    </row>
    <row r="246" spans="1:55" ht="12" customHeight="1" x14ac:dyDescent="0.25">
      <c r="A246" s="17" t="s">
        <v>1846</v>
      </c>
      <c r="B246" s="17" t="str">
        <f>_xlfn.XLOOKUP(FME_Ranking2[[#This Row],[FME ID]],FME_Input[FME_ID],FME_Input[FME_NAME])</f>
        <v>Montgomery Flood Mapping Updates</v>
      </c>
      <c r="C246" s="17" t="str">
        <f>_xlfn.XLOOKUP(FME_Ranking2[[#This Row],[FME ID]],FME_Input[FME_ID],FME_Input[DESCR])</f>
        <v>County wide study to produce flood mappping updates including Atlas 14 rainfall.</v>
      </c>
      <c r="D246" s="33" t="str">
        <f>_xlfn.XLOOKUP(FME_Ranking2[[#This Row],[FME ID]],FME_Input[FME_ID],FME_Input[EMER_NEED])</f>
        <v>Yes</v>
      </c>
      <c r="E246" s="120">
        <f>IF(FME_Ranking_Option2!$D246="Yes",100,0)</f>
        <v>100</v>
      </c>
      <c r="F246" s="34" t="str">
        <f>_xlfn.XLOOKUP(FME_Ranking2[[#This Row],[FME ID]],FME_Input[FME_ID],FME_Input[FUND])</f>
        <v>Yes</v>
      </c>
      <c r="G246" s="35">
        <f>IF(FME_Ranking_Option2!$F246="Yes",1,0)</f>
        <v>1</v>
      </c>
      <c r="H246" s="33">
        <f>_xlfn.XLOOKUP(FME_Ranking2[[#This Row],[FME ID]],FME_Input[FME_ID],FME_Input[STRUCT_100])</f>
        <v>21195</v>
      </c>
      <c r="I246" s="64" t="e">
        <f>FME_Ranking2[[#This Row],[Raw Data3]]*H$4</f>
        <v>#REF!</v>
      </c>
      <c r="J246" s="63">
        <f>((FME_Ranking_Option2!$H246)/($H$3))*100</f>
        <v>2.3553428332346154</v>
      </c>
      <c r="K246" s="36" t="e">
        <f>FME_Ranking2[[#This Row],[Norm Data3]]*H$4</f>
        <v>#REF!</v>
      </c>
      <c r="L246" s="37">
        <f>_xlfn.XLOOKUP(FME_Ranking2[[#This Row],[FME ID]],FME_Input[FME_ID],FME_Input[RES_STRUCT100])</f>
        <v>16931</v>
      </c>
      <c r="M246" s="38" t="e">
        <f>FME_Ranking2[[#This Row],[Raw Data4]]*L$4</f>
        <v>#REF!</v>
      </c>
      <c r="N246" s="28">
        <f>((FME_Ranking_Option2!$L246)/($L$3))*100</f>
        <v>2.5312349095432238</v>
      </c>
      <c r="O246" s="39" t="e">
        <f>FME_Ranking2[[#This Row],[Norm Data4]]*L$4</f>
        <v>#REF!</v>
      </c>
      <c r="P246" s="34">
        <f>_xlfn.XLOOKUP(FME_Ranking2[[#This Row],[FME ID]],FME_Input[FME_ID],FME_Input[POP100])</f>
        <v>67706</v>
      </c>
      <c r="Q246" s="35" t="e">
        <f>FME_Ranking_Option2!$P246*P$4</f>
        <v>#REF!</v>
      </c>
      <c r="R246" s="35">
        <f>FME_Ranking_Option2!$P246/($P$3)</f>
        <v>2.4849539645266636E-2</v>
      </c>
      <c r="S246" s="35" t="e">
        <f>FME_Ranking_Option2!$R246*P$4</f>
        <v>#REF!</v>
      </c>
      <c r="T246" s="37">
        <f>_xlfn.XLOOKUP(FME_Ranking2[[#This Row],[FME ID]],FME_Input[FME_ID],FME_Input[CRITFAC100])</f>
        <v>125</v>
      </c>
      <c r="U246" s="35" t="e">
        <f>FME_Ranking_Option2!$T246*T$4</f>
        <v>#REF!</v>
      </c>
      <c r="V246" s="35">
        <f>FME_Ranking_Option2!$T246/($T$3)</f>
        <v>1.7627979128472714E-2</v>
      </c>
      <c r="W246" s="35" t="e">
        <f>FME_Ranking_Option2!$V246*T$4</f>
        <v>#REF!</v>
      </c>
      <c r="X246" s="37">
        <f>_xlfn.XLOOKUP(FME_Ranking2[[#This Row],[FME ID]],FME_Input[FME_ID],FME_Input[LWC])</f>
        <v>72</v>
      </c>
      <c r="Y246" s="35" t="e">
        <f>FME_Ranking_Option2!$X246*X$4</f>
        <v>#REF!</v>
      </c>
      <c r="Z246" s="35">
        <f>FME_Ranking_Option2!$X246/($X$3)</f>
        <v>6.5681444991789817E-3</v>
      </c>
      <c r="AA246" s="35" t="e">
        <f>FME_Ranking_Option2!$Z246*X$4</f>
        <v>#REF!</v>
      </c>
      <c r="AB246" s="37">
        <f>_xlfn.XLOOKUP(FME_Ranking2[[#This Row],[FME ID]],FME_Input[FME_ID],FME_Input[ROADCLS])</f>
        <v>72</v>
      </c>
      <c r="AC246" s="35" t="e">
        <f>FME_Ranking_Option2!$AB246*AB$4</f>
        <v>#REF!</v>
      </c>
      <c r="AD246" s="40">
        <f>_xlfn.XLOOKUP(FME_Ranking2[[#This Row],[FME ID]],FME_Input[FME_ID],FME_Input[ROAD_MILES100])</f>
        <v>409.33160400390619</v>
      </c>
      <c r="AE246" s="41" t="e">
        <f>FME_Ranking_Option2!$AD246*AD$4</f>
        <v>#REF!</v>
      </c>
      <c r="AF246" s="42">
        <f>FME_Ranking_Option2!$AD246/($AD$3)</f>
        <v>9.2456887428123032E-3</v>
      </c>
      <c r="AG246" s="42" t="e">
        <f>FME_Ranking_Option2!$AF246*AD$4</f>
        <v>#REF!</v>
      </c>
      <c r="AH246" s="40">
        <f>_xlfn.XLOOKUP(FME_Ranking2[[#This Row],[FME ID]],FME_Input[FME_ID],FME_Input[FARMACRE100])</f>
        <v>852.3905029296875</v>
      </c>
      <c r="AI246" s="43" t="e">
        <f>FME_Ranking_Option2!$AH246*AH$4</f>
        <v>#REF!</v>
      </c>
      <c r="AJ246" s="41">
        <f>FME_Ranking_Option2!$AH246/($AH$3)</f>
        <v>4.9494855527859316E-2</v>
      </c>
      <c r="AK246" s="44" t="e">
        <f>FME_Ranking_Option2!$AJ246*AH$4</f>
        <v>#REF!</v>
      </c>
      <c r="AL246"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46" s="45" t="e">
        <f>_xlfn.RANK.EQ(AL246,$AL$7:$AL$531)+COUNTIF(AL$7:AL246,AL246)-1</f>
        <v>#REF!</v>
      </c>
      <c r="AN246" s="44"/>
      <c r="AO246" s="45" t="e">
        <f>_xlfn.RANK.EQ(AN246,$AN$7:$AN$531)+COUNTIF(AN$7:AN246,AN246)-1</f>
        <v>#N/A</v>
      </c>
      <c r="AP24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46" s="32" t="e">
        <f>FME_Ranking2[[#This Row],[Score Based on Reported Factors]]-FME_Ranking2[[#This Row],[Check]]</f>
        <v>#REF!</v>
      </c>
      <c r="AR246" s="32"/>
    </row>
    <row r="247" spans="1:55" ht="12" customHeight="1" x14ac:dyDescent="0.25">
      <c r="A247" s="16" t="s">
        <v>1850</v>
      </c>
      <c r="B247" s="16" t="str">
        <f>_xlfn.XLOOKUP(FME_Ranking2[[#This Row],[FME ID]],FME_Input[FME_ID],FME_Input[FME_NAME])</f>
        <v>San Jacinto Flood Mapping Updates</v>
      </c>
      <c r="C247" s="16" t="str">
        <f>_xlfn.XLOOKUP(FME_Ranking2[[#This Row],[FME ID]],FME_Input[FME_ID],FME_Input[DESCR])</f>
        <v>County wide study to produce flood mappping updates including Atlas 14 rainfall.</v>
      </c>
      <c r="D247" s="46" t="str">
        <f>_xlfn.XLOOKUP(FME_Ranking2[[#This Row],[FME ID]],FME_Input[FME_ID],FME_Input[EMER_NEED])</f>
        <v>Yes</v>
      </c>
      <c r="E247" s="121">
        <f>IF(FME_Ranking_Option2!$D247="Yes",100,0)</f>
        <v>100</v>
      </c>
      <c r="F247" s="47" t="str">
        <f>_xlfn.XLOOKUP(FME_Ranking2[[#This Row],[FME ID]],FME_Input[FME_ID],FME_Input[FUND])</f>
        <v>Yes</v>
      </c>
      <c r="G247" s="48">
        <f>IF(FME_Ranking_Option2!$F247="Yes",1,0)</f>
        <v>1</v>
      </c>
      <c r="H247" s="46">
        <f>_xlfn.XLOOKUP(FME_Ranking2[[#This Row],[FME ID]],FME_Input[FME_ID],FME_Input[STRUCT_100])</f>
        <v>1028</v>
      </c>
      <c r="I247" s="65" t="e">
        <f>FME_Ranking2[[#This Row],[Raw Data3]]*H$4</f>
        <v>#REF!</v>
      </c>
      <c r="J247" s="62">
        <f>((FME_Ranking_Option2!$H247)/($H$3))*100</f>
        <v>0.11423885032154681</v>
      </c>
      <c r="K247" s="49" t="e">
        <f>FME_Ranking2[[#This Row],[Norm Data3]]*H$4</f>
        <v>#REF!</v>
      </c>
      <c r="L247" s="50">
        <f>_xlfn.XLOOKUP(FME_Ranking2[[#This Row],[FME ID]],FME_Input[FME_ID],FME_Input[RES_STRUCT100])</f>
        <v>933</v>
      </c>
      <c r="M247" s="51" t="e">
        <f>FME_Ranking2[[#This Row],[Raw Data4]]*L$4</f>
        <v>#REF!</v>
      </c>
      <c r="N247" s="29">
        <f>((FME_Ranking_Option2!$L247)/($L$3))*100</f>
        <v>0.13948627786922377</v>
      </c>
      <c r="O247" s="52" t="e">
        <f>FME_Ranking2[[#This Row],[Norm Data4]]*L$4</f>
        <v>#REF!</v>
      </c>
      <c r="P247" s="47">
        <f>_xlfn.XLOOKUP(FME_Ranking2[[#This Row],[FME ID]],FME_Input[FME_ID],FME_Input[POP100])</f>
        <v>1376</v>
      </c>
      <c r="Q247" s="48" t="e">
        <f>FME_Ranking_Option2!$P247*P$4</f>
        <v>#REF!</v>
      </c>
      <c r="R247" s="48">
        <f>FME_Ranking_Option2!$P247/($P$3)</f>
        <v>5.050212174975171E-4</v>
      </c>
      <c r="S247" s="48" t="e">
        <f>FME_Ranking_Option2!$R247*P$4</f>
        <v>#REF!</v>
      </c>
      <c r="T247" s="50">
        <f>_xlfn.XLOOKUP(FME_Ranking2[[#This Row],[FME ID]],FME_Input[FME_ID],FME_Input[CRITFAC100])</f>
        <v>0</v>
      </c>
      <c r="U247" s="48" t="e">
        <f>FME_Ranking_Option2!$T247*T$4</f>
        <v>#REF!</v>
      </c>
      <c r="V247" s="48">
        <f>FME_Ranking_Option2!$T247/($T$3)</f>
        <v>0</v>
      </c>
      <c r="W247" s="48" t="e">
        <f>FME_Ranking_Option2!$V247*T$4</f>
        <v>#REF!</v>
      </c>
      <c r="X247" s="50">
        <f>_xlfn.XLOOKUP(FME_Ranking2[[#This Row],[FME ID]],FME_Input[FME_ID],FME_Input[LWC])</f>
        <v>1</v>
      </c>
      <c r="Y247" s="48" t="e">
        <f>FME_Ranking_Option2!$X247*X$4</f>
        <v>#REF!</v>
      </c>
      <c r="Z247" s="48">
        <f>FME_Ranking_Option2!$X247/($X$3)</f>
        <v>9.1224229155263632E-5</v>
      </c>
      <c r="AA247" s="48" t="e">
        <f>FME_Ranking_Option2!$Z247*X$4</f>
        <v>#REF!</v>
      </c>
      <c r="AB247" s="50">
        <f>_xlfn.XLOOKUP(FME_Ranking2[[#This Row],[FME ID]],FME_Input[FME_ID],FME_Input[ROADCLS])</f>
        <v>1</v>
      </c>
      <c r="AC247" s="48" t="e">
        <f>FME_Ranking_Option2!$AB247*AB$4</f>
        <v>#REF!</v>
      </c>
      <c r="AD247" s="53">
        <f>_xlfn.XLOOKUP(FME_Ranking2[[#This Row],[FME ID]],FME_Input[FME_ID],FME_Input[ROAD_MILES100])</f>
        <v>47.923286437988281</v>
      </c>
      <c r="AE247" s="54" t="e">
        <f>FME_Ranking_Option2!$AD247*AD$4</f>
        <v>#REF!</v>
      </c>
      <c r="AF247" s="55">
        <f>FME_Ranking_Option2!$AD247/($AD$3)</f>
        <v>1.0824568286548659E-3</v>
      </c>
      <c r="AG247" s="55" t="e">
        <f>FME_Ranking_Option2!$AF247*AD$4</f>
        <v>#REF!</v>
      </c>
      <c r="AH247" s="53">
        <f>_xlfn.XLOOKUP(FME_Ranking2[[#This Row],[FME ID]],FME_Input[FME_ID],FME_Input[FARMACRE100])</f>
        <v>63.117862701416023</v>
      </c>
      <c r="AI247" s="54" t="e">
        <f>FME_Ranking_Option2!$AH247*AH$4</f>
        <v>#REF!</v>
      </c>
      <c r="AJ247" s="56">
        <f>FME_Ranking_Option2!$AH247/($AH$3)</f>
        <v>3.6649980084204918E-3</v>
      </c>
      <c r="AK247" s="57" t="e">
        <f>FME_Ranking_Option2!$AJ247*AH$4</f>
        <v>#REF!</v>
      </c>
      <c r="AL247"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47" s="58" t="e">
        <f>_xlfn.RANK.EQ(AL247,$AL$7:$AL$531)+COUNTIF(AL$7:AL247,AL247)-1</f>
        <v>#REF!</v>
      </c>
      <c r="AN247" s="57"/>
      <c r="AO247" s="58" t="e">
        <f>_xlfn.RANK.EQ(AN247,$AN$7:$AN$531)+COUNTIF(AN$7:AN247,AN247)-1</f>
        <v>#N/A</v>
      </c>
      <c r="AP24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47" s="32" t="e">
        <f>FME_Ranking2[[#This Row],[Score Based on Reported Factors]]-FME_Ranking2[[#This Row],[Check]]</f>
        <v>#REF!</v>
      </c>
      <c r="AR247" s="32"/>
      <c r="AT247" s="19"/>
      <c r="AU247" s="19"/>
      <c r="AV247" s="19"/>
      <c r="AW247" s="19"/>
      <c r="AX247" s="19"/>
      <c r="AY247" s="19"/>
      <c r="AZ247" s="19"/>
      <c r="BA247" s="19"/>
      <c r="BB247" s="19"/>
      <c r="BC247" s="19"/>
    </row>
    <row r="248" spans="1:55" ht="12" customHeight="1" x14ac:dyDescent="0.25">
      <c r="A248" s="17" t="s">
        <v>1856</v>
      </c>
      <c r="B248" s="17" t="str">
        <f>_xlfn.XLOOKUP(FME_Ranking2[[#This Row],[FME ID]],FME_Input[FME_ID],FME_Input[FME_NAME])</f>
        <v>Walker Flood Mapping Updates</v>
      </c>
      <c r="C248" s="17" t="str">
        <f>_xlfn.XLOOKUP(FME_Ranking2[[#This Row],[FME ID]],FME_Input[FME_ID],FME_Input[DESCR])</f>
        <v>County wide study to produce flood mappping updates including Atlas 14 rainfall.</v>
      </c>
      <c r="D248" s="33" t="str">
        <f>_xlfn.XLOOKUP(FME_Ranking2[[#This Row],[FME ID]],FME_Input[FME_ID],FME_Input[EMER_NEED])</f>
        <v>Yes</v>
      </c>
      <c r="E248" s="120">
        <f>IF(FME_Ranking_Option2!$D248="Yes",100,0)</f>
        <v>100</v>
      </c>
      <c r="F248" s="34" t="str">
        <f>_xlfn.XLOOKUP(FME_Ranking2[[#This Row],[FME ID]],FME_Input[FME_ID],FME_Input[FUND])</f>
        <v>Yes</v>
      </c>
      <c r="G248" s="35">
        <f>IF(FME_Ranking_Option2!$F248="Yes",1,0)</f>
        <v>1</v>
      </c>
      <c r="H248" s="33">
        <f>_xlfn.XLOOKUP(FME_Ranking2[[#This Row],[FME ID]],FME_Input[FME_ID],FME_Input[STRUCT_100])</f>
        <v>505</v>
      </c>
      <c r="I248" s="64" t="e">
        <f>FME_Ranking2[[#This Row],[Raw Data3]]*H$4</f>
        <v>#REF!</v>
      </c>
      <c r="J248" s="63">
        <f>((FME_Ranking_Option2!$H248)/($H$3))*100</f>
        <v>5.6119279584028341E-2</v>
      </c>
      <c r="K248" s="36" t="e">
        <f>FME_Ranking2[[#This Row],[Norm Data3]]*H$4</f>
        <v>#REF!</v>
      </c>
      <c r="L248" s="37">
        <f>_xlfn.XLOOKUP(FME_Ranking2[[#This Row],[FME ID]],FME_Input[FME_ID],FME_Input[RES_STRUCT100])</f>
        <v>437</v>
      </c>
      <c r="M248" s="38" t="e">
        <f>FME_Ranking2[[#This Row],[Raw Data4]]*L$4</f>
        <v>#REF!</v>
      </c>
      <c r="N248" s="28">
        <f>((FME_Ranking_Option2!$L248)/($L$3))*100</f>
        <v>6.533280110273397E-2</v>
      </c>
      <c r="O248" s="39" t="e">
        <f>FME_Ranking2[[#This Row],[Norm Data4]]*L$4</f>
        <v>#REF!</v>
      </c>
      <c r="P248" s="34">
        <f>_xlfn.XLOOKUP(FME_Ranking2[[#This Row],[FME ID]],FME_Input[FME_ID],FME_Input[POP100])</f>
        <v>657</v>
      </c>
      <c r="Q248" s="35" t="e">
        <f>FME_Ranking_Option2!$P248*P$4</f>
        <v>#REF!</v>
      </c>
      <c r="R248" s="35">
        <f>FME_Ranking_Option2!$P248/($P$3)</f>
        <v>2.4113295050571856E-4</v>
      </c>
      <c r="S248" s="35" t="e">
        <f>FME_Ranking_Option2!$R248*P$4</f>
        <v>#REF!</v>
      </c>
      <c r="T248" s="37">
        <f>_xlfn.XLOOKUP(FME_Ranking2[[#This Row],[FME ID]],FME_Input[FME_ID],FME_Input[CRITFAC100])</f>
        <v>1</v>
      </c>
      <c r="U248" s="35" t="e">
        <f>FME_Ranking_Option2!$T248*T$4</f>
        <v>#REF!</v>
      </c>
      <c r="V248" s="35">
        <f>FME_Ranking_Option2!$T248/($T$3)</f>
        <v>1.4102383302778171E-4</v>
      </c>
      <c r="W248" s="35" t="e">
        <f>FME_Ranking_Option2!$V248*T$4</f>
        <v>#REF!</v>
      </c>
      <c r="X248" s="37">
        <f>_xlfn.XLOOKUP(FME_Ranking2[[#This Row],[FME ID]],FME_Input[FME_ID],FME_Input[LWC])</f>
        <v>2</v>
      </c>
      <c r="Y248" s="35" t="e">
        <f>FME_Ranking_Option2!$X248*X$4</f>
        <v>#REF!</v>
      </c>
      <c r="Z248" s="35">
        <f>FME_Ranking_Option2!$X248/($X$3)</f>
        <v>1.8244845831052726E-4</v>
      </c>
      <c r="AA248" s="35" t="e">
        <f>FME_Ranking_Option2!$Z248*X$4</f>
        <v>#REF!</v>
      </c>
      <c r="AB248" s="37">
        <f>_xlfn.XLOOKUP(FME_Ranking2[[#This Row],[FME ID]],FME_Input[FME_ID],FME_Input[ROADCLS])</f>
        <v>2</v>
      </c>
      <c r="AC248" s="35" t="e">
        <f>FME_Ranking_Option2!$AB248*AB$4</f>
        <v>#REF!</v>
      </c>
      <c r="AD248" s="40">
        <f>_xlfn.XLOOKUP(FME_Ranking2[[#This Row],[FME ID]],FME_Input[FME_ID],FME_Input[ROAD_MILES100])</f>
        <v>25.42570877075195</v>
      </c>
      <c r="AE248" s="41" t="e">
        <f>FME_Ranking_Option2!$AD248*AD$4</f>
        <v>#REF!</v>
      </c>
      <c r="AF248" s="42">
        <f>FME_Ranking_Option2!$AD248/($AD$3)</f>
        <v>5.7429767714081031E-4</v>
      </c>
      <c r="AG248" s="42" t="e">
        <f>FME_Ranking_Option2!$AF248*AD$4</f>
        <v>#REF!</v>
      </c>
      <c r="AH248" s="40">
        <f>_xlfn.XLOOKUP(FME_Ranking2[[#This Row],[FME ID]],FME_Input[FME_ID],FME_Input[FARMACRE100])</f>
        <v>180.46466064453119</v>
      </c>
      <c r="AI248" s="43" t="e">
        <f>FME_Ranking_Option2!$AH248*AH$4</f>
        <v>#REF!</v>
      </c>
      <c r="AJ248" s="41">
        <f>FME_Ranking_Option2!$AH248/($AH$3)</f>
        <v>1.0478850099555865E-2</v>
      </c>
      <c r="AK248" s="44" t="e">
        <f>FME_Ranking_Option2!$AJ248*AH$4</f>
        <v>#REF!</v>
      </c>
      <c r="AL24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48" s="45" t="e">
        <f>_xlfn.RANK.EQ(AL248,$AL$7:$AL$531)+COUNTIF(AL$7:AL248,AL248)-1</f>
        <v>#REF!</v>
      </c>
      <c r="AN248" s="44"/>
      <c r="AO248" s="45" t="e">
        <f>_xlfn.RANK.EQ(AN248,$AN$7:$AN$531)+COUNTIF(AN$7:AN248,AN248)-1</f>
        <v>#N/A</v>
      </c>
      <c r="AP24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48" s="32" t="e">
        <f>FME_Ranking2[[#This Row],[Score Based on Reported Factors]]-FME_Ranking2[[#This Row],[Check]]</f>
        <v>#REF!</v>
      </c>
      <c r="AR248" s="32"/>
    </row>
    <row r="249" spans="1:55" ht="12" customHeight="1" x14ac:dyDescent="0.25">
      <c r="A249" s="16" t="s">
        <v>1858</v>
      </c>
      <c r="B249" s="16" t="str">
        <f>_xlfn.XLOOKUP(FME_Ranking2[[#This Row],[FME ID]],FME_Input[FME_ID],FME_Input[FME_NAME])</f>
        <v>Waller Flood Mapping Updates</v>
      </c>
      <c r="C249" s="16" t="str">
        <f>_xlfn.XLOOKUP(FME_Ranking2[[#This Row],[FME ID]],FME_Input[FME_ID],FME_Input[DESCR])</f>
        <v>County wide study to produce flood mappping updates including Atlas 14 rainfall.</v>
      </c>
      <c r="D249" s="46" t="str">
        <f>_xlfn.XLOOKUP(FME_Ranking2[[#This Row],[FME ID]],FME_Input[FME_ID],FME_Input[EMER_NEED])</f>
        <v>Yes</v>
      </c>
      <c r="E249" s="121">
        <f>IF(FME_Ranking_Option2!$D249="Yes",100,0)</f>
        <v>100</v>
      </c>
      <c r="F249" s="47" t="str">
        <f>_xlfn.XLOOKUP(FME_Ranking2[[#This Row],[FME ID]],FME_Input[FME_ID],FME_Input[FUND])</f>
        <v>Yes</v>
      </c>
      <c r="G249" s="48">
        <f>IF(FME_Ranking_Option2!$F249="Yes",1,0)</f>
        <v>1</v>
      </c>
      <c r="H249" s="46">
        <f>_xlfn.XLOOKUP(FME_Ranking2[[#This Row],[FME ID]],FME_Input[FME_ID],FME_Input[STRUCT_100])</f>
        <v>1067</v>
      </c>
      <c r="I249" s="65" t="e">
        <f>FME_Ranking2[[#This Row],[Raw Data3]]*H$4</f>
        <v>#REF!</v>
      </c>
      <c r="J249" s="62">
        <f>((FME_Ranking_Option2!$H249)/($H$3))*100</f>
        <v>0.11857281448744207</v>
      </c>
      <c r="K249" s="49" t="e">
        <f>FME_Ranking2[[#This Row],[Norm Data3]]*H$4</f>
        <v>#REF!</v>
      </c>
      <c r="L249" s="50">
        <f>_xlfn.XLOOKUP(FME_Ranking2[[#This Row],[FME ID]],FME_Input[FME_ID],FME_Input[RES_STRUCT100])</f>
        <v>708</v>
      </c>
      <c r="M249" s="51" t="e">
        <f>FME_Ranking2[[#This Row],[Raw Data4]]*L$4</f>
        <v>#REF!</v>
      </c>
      <c r="N249" s="29">
        <f>((FME_Ranking_Option2!$L249)/($L$3))*100</f>
        <v>0.10584810796507012</v>
      </c>
      <c r="O249" s="52" t="e">
        <f>FME_Ranking2[[#This Row],[Norm Data4]]*L$4</f>
        <v>#REF!</v>
      </c>
      <c r="P249" s="47">
        <f>_xlfn.XLOOKUP(FME_Ranking2[[#This Row],[FME ID]],FME_Input[FME_ID],FME_Input[POP100])</f>
        <v>2410</v>
      </c>
      <c r="Q249" s="48" t="e">
        <f>FME_Ranking_Option2!$P249*P$4</f>
        <v>#REF!</v>
      </c>
      <c r="R249" s="48">
        <f>FME_Ranking_Option2!$P249/($P$3)</f>
        <v>8.8452117308794782E-4</v>
      </c>
      <c r="S249" s="48" t="e">
        <f>FME_Ranking_Option2!$R249*P$4</f>
        <v>#REF!</v>
      </c>
      <c r="T249" s="50">
        <f>_xlfn.XLOOKUP(FME_Ranking2[[#This Row],[FME ID]],FME_Input[FME_ID],FME_Input[CRITFAC100])</f>
        <v>6</v>
      </c>
      <c r="U249" s="48" t="e">
        <f>FME_Ranking_Option2!$T249*T$4</f>
        <v>#REF!</v>
      </c>
      <c r="V249" s="48">
        <f>FME_Ranking_Option2!$T249/($T$3)</f>
        <v>8.4614299816669018E-4</v>
      </c>
      <c r="W249" s="48" t="e">
        <f>FME_Ranking_Option2!$V249*T$4</f>
        <v>#REF!</v>
      </c>
      <c r="X249" s="50">
        <f>_xlfn.XLOOKUP(FME_Ranking2[[#This Row],[FME ID]],FME_Input[FME_ID],FME_Input[LWC])</f>
        <v>19</v>
      </c>
      <c r="Y249" s="48" t="e">
        <f>FME_Ranking_Option2!$X249*X$4</f>
        <v>#REF!</v>
      </c>
      <c r="Z249" s="48">
        <f>FME_Ranking_Option2!$X249/($X$3)</f>
        <v>1.7332603539500092E-3</v>
      </c>
      <c r="AA249" s="48" t="e">
        <f>FME_Ranking_Option2!$Z249*X$4</f>
        <v>#REF!</v>
      </c>
      <c r="AB249" s="50">
        <f>_xlfn.XLOOKUP(FME_Ranking2[[#This Row],[FME ID]],FME_Input[FME_ID],FME_Input[ROADCLS])</f>
        <v>19</v>
      </c>
      <c r="AC249" s="48" t="e">
        <f>FME_Ranking_Option2!$AB249*AB$4</f>
        <v>#REF!</v>
      </c>
      <c r="AD249" s="53">
        <f>_xlfn.XLOOKUP(FME_Ranking2[[#This Row],[FME ID]],FME_Input[FME_ID],FME_Input[ROAD_MILES100])</f>
        <v>40.913829803466797</v>
      </c>
      <c r="AE249" s="54" t="e">
        <f>FME_Ranking_Option2!$AD249*AD$4</f>
        <v>#REF!</v>
      </c>
      <c r="AF249" s="55">
        <f>FME_Ranking_Option2!$AD249/($AD$3)</f>
        <v>9.2413224861973182E-4</v>
      </c>
      <c r="AG249" s="55" t="e">
        <f>FME_Ranking_Option2!$AF249*AD$4</f>
        <v>#REF!</v>
      </c>
      <c r="AH249" s="53">
        <f>_xlfn.XLOOKUP(FME_Ranking2[[#This Row],[FME ID]],FME_Input[FME_ID],FME_Input[FARMACRE100])</f>
        <v>1357.317260742188</v>
      </c>
      <c r="AI249" s="54" t="e">
        <f>FME_Ranking_Option2!$AH249*AH$4</f>
        <v>#REF!</v>
      </c>
      <c r="AJ249" s="56">
        <f>FME_Ranking_Option2!$AH249/($AH$3)</f>
        <v>7.8813902190374291E-2</v>
      </c>
      <c r="AK249" s="57" t="e">
        <f>FME_Ranking_Option2!$AJ249*AH$4</f>
        <v>#REF!</v>
      </c>
      <c r="AL24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49" s="58" t="e">
        <f>_xlfn.RANK.EQ(AL249,$AL$7:$AL$531)+COUNTIF(AL$7:AL249,AL249)-1</f>
        <v>#REF!</v>
      </c>
      <c r="AN249" s="57"/>
      <c r="AO249" s="58" t="e">
        <f>_xlfn.RANK.EQ(AN249,$AN$7:$AN$531)+COUNTIF(AN$7:AN249,AN249)-1</f>
        <v>#N/A</v>
      </c>
      <c r="AP24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49" s="32" t="e">
        <f>FME_Ranking2[[#This Row],[Score Based on Reported Factors]]-FME_Ranking2[[#This Row],[Check]]</f>
        <v>#REF!</v>
      </c>
      <c r="AR249" s="32"/>
      <c r="AT249" s="19"/>
      <c r="AU249" s="19"/>
      <c r="AV249" s="19"/>
      <c r="AW249" s="19"/>
      <c r="AX249" s="19"/>
      <c r="AY249" s="19"/>
      <c r="AZ249" s="19"/>
      <c r="BA249" s="19"/>
      <c r="BB249" s="19"/>
      <c r="BC249" s="19"/>
    </row>
    <row r="250" spans="1:55" ht="12" customHeight="1" x14ac:dyDescent="0.25">
      <c r="A250" s="17" t="s">
        <v>1890</v>
      </c>
      <c r="B250" s="17" t="str">
        <f>_xlfn.XLOOKUP(FME_Ranking2[[#This Row],[FME ID]],FME_Input[FME_ID],FME_Input[FME_NAME])</f>
        <v>37th Street, Galveston, Drainage Project</v>
      </c>
      <c r="C250" s="17" t="str">
        <f>_xlfn.XLOOKUP(FME_Ranking2[[#This Row],[FME ID]],FME_Input[FME_ID],FME_Input[DESCR])</f>
        <v>Further study and FMP development of existing storm sewer system replacement and upgrades using the city’s updated drainage criteria that now require a 25-year storm drainage capacity.</v>
      </c>
      <c r="D250" s="33" t="str">
        <f>_xlfn.XLOOKUP(FME_Ranking2[[#This Row],[FME ID]],FME_Input[FME_ID],FME_Input[EMER_NEED])</f>
        <v>No</v>
      </c>
      <c r="E250" s="120">
        <f>IF(FME_Ranking_Option2!$D250="Yes",100,0)</f>
        <v>0</v>
      </c>
      <c r="F250" s="34" t="str">
        <f>_xlfn.XLOOKUP(FME_Ranking2[[#This Row],[FME ID]],FME_Input[FME_ID],FME_Input[FUND])</f>
        <v>Yes</v>
      </c>
      <c r="G250" s="35">
        <f>IF(FME_Ranking_Option2!$F250="Yes",1,0)</f>
        <v>1</v>
      </c>
      <c r="H250" s="33">
        <f>_xlfn.XLOOKUP(FME_Ranking2[[#This Row],[FME ID]],FME_Input[FME_ID],FME_Input[STRUCT_100])</f>
        <v>40153</v>
      </c>
      <c r="I250" s="64" t="e">
        <f>FME_Ranking2[[#This Row],[Raw Data3]]*H$4</f>
        <v>#REF!</v>
      </c>
      <c r="J250" s="63">
        <f>((FME_Ranking_Option2!$H250)/($H$3))*100</f>
        <v>4.4620939270049309</v>
      </c>
      <c r="K250" s="36" t="e">
        <f>FME_Ranking2[[#This Row],[Norm Data3]]*H$4</f>
        <v>#REF!</v>
      </c>
      <c r="L250" s="37">
        <f>_xlfn.XLOOKUP(FME_Ranking2[[#This Row],[FME ID]],FME_Input[FME_ID],FME_Input[RES_STRUCT100])</f>
        <v>34123</v>
      </c>
      <c r="M250" s="38" t="e">
        <f>FME_Ranking2[[#This Row],[Raw Data4]]*L$4</f>
        <v>#REF!</v>
      </c>
      <c r="N250" s="28">
        <f>((FME_Ranking_Option2!$L250)/($L$3))*100</f>
        <v>5.1014900961752652</v>
      </c>
      <c r="O250" s="39" t="e">
        <f>FME_Ranking2[[#This Row],[Norm Data4]]*L$4</f>
        <v>#REF!</v>
      </c>
      <c r="P250" s="34">
        <f>_xlfn.XLOOKUP(FME_Ranking2[[#This Row],[FME ID]],FME_Input[FME_ID],FME_Input[POP100])</f>
        <v>150807</v>
      </c>
      <c r="Q250" s="35" t="e">
        <f>FME_Ranking_Option2!$P250*P$4</f>
        <v>#REF!</v>
      </c>
      <c r="R250" s="35">
        <f>FME_Ranking_Option2!$P250/($P$3)</f>
        <v>5.5349371182520396E-2</v>
      </c>
      <c r="S250" s="35" t="e">
        <f>FME_Ranking_Option2!$R250*P$4</f>
        <v>#REF!</v>
      </c>
      <c r="T250" s="37">
        <f>_xlfn.XLOOKUP(FME_Ranking2[[#This Row],[FME ID]],FME_Input[FME_ID],FME_Input[CRITFAC100])</f>
        <v>648</v>
      </c>
      <c r="U250" s="35" t="e">
        <f>FME_Ranking_Option2!$T250*T$4</f>
        <v>#REF!</v>
      </c>
      <c r="V250" s="35">
        <f>FME_Ranking_Option2!$T250/($T$3)</f>
        <v>9.1383443802002542E-2</v>
      </c>
      <c r="W250" s="35" t="e">
        <f>FME_Ranking_Option2!$V250*T$4</f>
        <v>#REF!</v>
      </c>
      <c r="X250" s="37">
        <f>_xlfn.XLOOKUP(FME_Ranking2[[#This Row],[FME ID]],FME_Input[FME_ID],FME_Input[LWC])</f>
        <v>26</v>
      </c>
      <c r="Y250" s="35" t="e">
        <f>FME_Ranking_Option2!$X250*X$4</f>
        <v>#REF!</v>
      </c>
      <c r="Z250" s="35">
        <f>FME_Ranking_Option2!$X250/($X$3)</f>
        <v>2.3718299580368545E-3</v>
      </c>
      <c r="AA250" s="35" t="e">
        <f>FME_Ranking_Option2!$Z250*X$4</f>
        <v>#REF!</v>
      </c>
      <c r="AB250" s="37">
        <f>_xlfn.XLOOKUP(FME_Ranking2[[#This Row],[FME ID]],FME_Input[FME_ID],FME_Input[ROADCLS])</f>
        <v>26</v>
      </c>
      <c r="AC250" s="35" t="e">
        <f>FME_Ranking_Option2!$AB250*AB$4</f>
        <v>#REF!</v>
      </c>
      <c r="AD250" s="40">
        <f>_xlfn.XLOOKUP(FME_Ranking2[[#This Row],[FME ID]],FME_Input[FME_ID],FME_Input[ROAD_MILES100])</f>
        <v>722.77423095703125</v>
      </c>
      <c r="AE250" s="41" t="e">
        <f>FME_Ranking_Option2!$AD250*AD$4</f>
        <v>#REF!</v>
      </c>
      <c r="AF250" s="42">
        <f>FME_Ranking_Option2!$AD250/($AD$3)</f>
        <v>1.6325506033222081E-2</v>
      </c>
      <c r="AG250" s="42" t="e">
        <f>FME_Ranking_Option2!$AF250*AD$4</f>
        <v>#REF!</v>
      </c>
      <c r="AH250" s="40">
        <f>_xlfn.XLOOKUP(FME_Ranking2[[#This Row],[FME ID]],FME_Input[FME_ID],FME_Input[FARMACRE100])</f>
        <v>2683.213623046875</v>
      </c>
      <c r="AI250" s="43" t="e">
        <f>FME_Ranking_Option2!$AH250*AH$4</f>
        <v>#REF!</v>
      </c>
      <c r="AJ250" s="41">
        <f>FME_Ranking_Option2!$AH250/($AH$3)</f>
        <v>0.15580332038735062</v>
      </c>
      <c r="AK250" s="44" t="e">
        <f>FME_Ranking_Option2!$AJ250*AH$4</f>
        <v>#REF!</v>
      </c>
      <c r="AL25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50" s="45" t="e">
        <f>_xlfn.RANK.EQ(AL250,$AL$7:$AL$531)+COUNTIF(AL$7:AL250,AL250)-1</f>
        <v>#REF!</v>
      </c>
      <c r="AN250" s="44"/>
      <c r="AO250" s="45" t="e">
        <f>_xlfn.RANK.EQ(AN250,$AN$7:$AN$531)+COUNTIF(AN$7:AN250,AN250)-1</f>
        <v>#N/A</v>
      </c>
      <c r="AP25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50" s="32" t="e">
        <f>FME_Ranking2[[#This Row],[Score Based on Reported Factors]]-FME_Ranking2[[#This Row],[Check]]</f>
        <v>#REF!</v>
      </c>
      <c r="AR250" s="32"/>
    </row>
    <row r="251" spans="1:55" ht="12" customHeight="1" x14ac:dyDescent="0.25">
      <c r="A251" s="16" t="s">
        <v>2079</v>
      </c>
      <c r="B251" s="16" t="str">
        <f>_xlfn.XLOOKUP(FME_Ranking2[[#This Row],[FME ID]],FME_Input[FME_ID],FME_Input[FME_NAME])</f>
        <v xml:space="preserve">Addicks Reservoir -  Right-Of-Way Acquisition, Design and Construction of a Stormwater Detention Basin on South Mayde Creek </v>
      </c>
      <c r="C251" s="16" t="str">
        <f>_xlfn.XLOOKUP(FME_Ranking2[[#This Row],[FME ID]],FME_Input[FME_ID],FME_Input[DESCR])</f>
        <v>Develop BCA to become a FMP. This project is part of the South Mayde Creek Plan that could reduce the risk of flooding for more than 70 homes and reduce the rainfall event by more than 340 acres in a pre-Atlas 1% rainfall event.</v>
      </c>
      <c r="D251" s="46" t="str">
        <f>_xlfn.XLOOKUP(FME_Ranking2[[#This Row],[FME ID]],FME_Input[FME_ID],FME_Input[EMER_NEED])</f>
        <v>No</v>
      </c>
      <c r="E251" s="121">
        <f>IF(FME_Ranking_Option2!$D251="Yes",100,0)</f>
        <v>0</v>
      </c>
      <c r="F251" s="47" t="str">
        <f>_xlfn.XLOOKUP(FME_Ranking2[[#This Row],[FME ID]],FME_Input[FME_ID],FME_Input[FUND])</f>
        <v>Yes</v>
      </c>
      <c r="G251" s="48">
        <f>IF(FME_Ranking_Option2!$F251="Yes",1,0)</f>
        <v>1</v>
      </c>
      <c r="H251" s="46">
        <f>_xlfn.XLOOKUP(FME_Ranking2[[#This Row],[FME ID]],FME_Input[FME_ID],FME_Input[STRUCT_100])</f>
        <v>692</v>
      </c>
      <c r="I251" s="65" t="e">
        <f>FME_Ranking2[[#This Row],[Raw Data3]]*H$4</f>
        <v>#REF!</v>
      </c>
      <c r="J251" s="62">
        <f>((FME_Ranking_Option2!$H251)/($H$3))*100</f>
        <v>7.6900082123064581E-2</v>
      </c>
      <c r="K251" s="49" t="e">
        <f>FME_Ranking2[[#This Row],[Norm Data3]]*H$4</f>
        <v>#REF!</v>
      </c>
      <c r="L251" s="50">
        <f>_xlfn.XLOOKUP(FME_Ranking2[[#This Row],[FME ID]],FME_Input[FME_ID],FME_Input[RES_STRUCT100])</f>
        <v>638</v>
      </c>
      <c r="M251" s="51" t="e">
        <f>FME_Ranking2[[#This Row],[Raw Data4]]*L$4</f>
        <v>#REF!</v>
      </c>
      <c r="N251" s="29">
        <f>((FME_Ranking_Option2!$L251)/($L$3))*100</f>
        <v>9.5382899550444544E-2</v>
      </c>
      <c r="O251" s="52" t="e">
        <f>FME_Ranking2[[#This Row],[Norm Data4]]*L$4</f>
        <v>#REF!</v>
      </c>
      <c r="P251" s="47">
        <f>_xlfn.XLOOKUP(FME_Ranking2[[#This Row],[FME ID]],FME_Input[FME_ID],FME_Input[POP100])</f>
        <v>3061</v>
      </c>
      <c r="Q251" s="48" t="e">
        <f>FME_Ranking_Option2!$P251*P$4</f>
        <v>#REF!</v>
      </c>
      <c r="R251" s="48">
        <f>FME_Ranking_Option2!$P251/($P$3)</f>
        <v>1.1234519961917876E-3</v>
      </c>
      <c r="S251" s="48" t="e">
        <f>FME_Ranking_Option2!$R251*P$4</f>
        <v>#REF!</v>
      </c>
      <c r="T251" s="50">
        <f>_xlfn.XLOOKUP(FME_Ranking2[[#This Row],[FME ID]],FME_Input[FME_ID],FME_Input[CRITFAC100])</f>
        <v>12</v>
      </c>
      <c r="U251" s="48" t="e">
        <f>FME_Ranking_Option2!$T251*T$4</f>
        <v>#REF!</v>
      </c>
      <c r="V251" s="48">
        <f>FME_Ranking_Option2!$T251/($T$3)</f>
        <v>1.6922859963333804E-3</v>
      </c>
      <c r="W251" s="48" t="e">
        <f>FME_Ranking_Option2!$V251*T$4</f>
        <v>#REF!</v>
      </c>
      <c r="X251" s="50">
        <f>_xlfn.XLOOKUP(FME_Ranking2[[#This Row],[FME ID]],FME_Input[FME_ID],FME_Input[LWC])</f>
        <v>0</v>
      </c>
      <c r="Y251" s="48" t="e">
        <f>FME_Ranking_Option2!$X251*X$4</f>
        <v>#REF!</v>
      </c>
      <c r="Z251" s="48">
        <f>FME_Ranking_Option2!$X251/($X$3)</f>
        <v>0</v>
      </c>
      <c r="AA251" s="48" t="e">
        <f>FME_Ranking_Option2!$Z251*X$4</f>
        <v>#REF!</v>
      </c>
      <c r="AB251" s="50">
        <f>_xlfn.XLOOKUP(FME_Ranking2[[#This Row],[FME ID]],FME_Input[FME_ID],FME_Input[ROADCLS])</f>
        <v>0</v>
      </c>
      <c r="AC251" s="48" t="e">
        <f>FME_Ranking_Option2!$AB251*AB$4</f>
        <v>#REF!</v>
      </c>
      <c r="AD251" s="53">
        <f>_xlfn.XLOOKUP(FME_Ranking2[[#This Row],[FME ID]],FME_Input[FME_ID],FME_Input[ROAD_MILES100])</f>
        <v>11.64858818054199</v>
      </c>
      <c r="AE251" s="54" t="e">
        <f>FME_Ranking_Option2!$AD251*AD$4</f>
        <v>#REF!</v>
      </c>
      <c r="AF251" s="55">
        <f>FME_Ranking_Option2!$AD251/($AD$3)</f>
        <v>2.631099567124208E-4</v>
      </c>
      <c r="AG251" s="55" t="e">
        <f>FME_Ranking_Option2!$AF251*AD$4</f>
        <v>#REF!</v>
      </c>
      <c r="AH251" s="53">
        <f>_xlfn.XLOOKUP(FME_Ranking2[[#This Row],[FME ID]],FME_Input[FME_ID],FME_Input[FARMACRE100])</f>
        <v>27.294694900512699</v>
      </c>
      <c r="AI251" s="54" t="e">
        <f>FME_Ranking_Option2!$AH251*AH$4</f>
        <v>#REF!</v>
      </c>
      <c r="AJ251" s="56">
        <f>FME_Ranking_Option2!$AH251/($AH$3)</f>
        <v>1.584892107707249E-3</v>
      </c>
      <c r="AK251" s="57" t="e">
        <f>FME_Ranking_Option2!$AJ251*AH$4</f>
        <v>#REF!</v>
      </c>
      <c r="AL25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51" s="58" t="e">
        <f>_xlfn.RANK.EQ(AL251,$AL$7:$AL$531)+COUNTIF(AL$7:AL251,AL251)-1</f>
        <v>#REF!</v>
      </c>
      <c r="AN251" s="57"/>
      <c r="AO251" s="58" t="e">
        <f>_xlfn.RANK.EQ(AN251,$AN$7:$AN$531)+COUNTIF(AN$7:AN251,AN251)-1</f>
        <v>#N/A</v>
      </c>
      <c r="AP25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51" s="32" t="e">
        <f>FME_Ranking2[[#This Row],[Score Based on Reported Factors]]-FME_Ranking2[[#This Row],[Check]]</f>
        <v>#REF!</v>
      </c>
      <c r="AR251" s="32"/>
      <c r="AT251" s="19"/>
      <c r="AU251" s="19"/>
      <c r="AV251" s="19"/>
      <c r="AW251" s="19"/>
      <c r="AX251" s="19"/>
      <c r="AY251" s="19"/>
      <c r="AZ251" s="19"/>
      <c r="BA251" s="19"/>
      <c r="BB251" s="19"/>
      <c r="BC251" s="19"/>
    </row>
    <row r="252" spans="1:55" ht="12" customHeight="1" x14ac:dyDescent="0.25">
      <c r="A252" s="17" t="s">
        <v>2084</v>
      </c>
      <c r="B252" s="17" t="str">
        <f>_xlfn.XLOOKUP(FME_Ranking2[[#This Row],[FME ID]],FME_Input[FME_ID],FME_Input[FME_NAME])</f>
        <v>Addicks Reservoir - Design and Construction of Dinner Creek Stormwater Detention Basin</v>
      </c>
      <c r="C252" s="17" t="str">
        <f>_xlfn.XLOOKUP(FME_Ranking2[[#This Row],[FME ID]],FME_Input[FME_ID],FME_Input[DESCR])</f>
        <v>Develop BCA to become a FMP. Project would provide additional stormwater detention in support of flood damage reduction and could reduce the risk of flooding for approximately 30 multi-family structures in Addicks Reservoir Watershed.</v>
      </c>
      <c r="D252" s="33" t="str">
        <f>_xlfn.XLOOKUP(FME_Ranking2[[#This Row],[FME ID]],FME_Input[FME_ID],FME_Input[EMER_NEED])</f>
        <v>No</v>
      </c>
      <c r="E252" s="120">
        <f>IF(FME_Ranking_Option2!$D252="Yes",100,0)</f>
        <v>0</v>
      </c>
      <c r="F252" s="34" t="str">
        <f>_xlfn.XLOOKUP(FME_Ranking2[[#This Row],[FME ID]],FME_Input[FME_ID],FME_Input[FUND])</f>
        <v>Yes</v>
      </c>
      <c r="G252" s="35">
        <f>IF(FME_Ranking_Option2!$F252="Yes",1,0)</f>
        <v>1</v>
      </c>
      <c r="H252" s="33">
        <f>_xlfn.XLOOKUP(FME_Ranking2[[#This Row],[FME ID]],FME_Input[FME_ID],FME_Input[STRUCT_100])</f>
        <v>692</v>
      </c>
      <c r="I252" s="64" t="e">
        <f>FME_Ranking2[[#This Row],[Raw Data3]]*H$4</f>
        <v>#REF!</v>
      </c>
      <c r="J252" s="63">
        <f>((FME_Ranking_Option2!$H252)/($H$3))*100</f>
        <v>7.6900082123064581E-2</v>
      </c>
      <c r="K252" s="36" t="e">
        <f>FME_Ranking2[[#This Row],[Norm Data3]]*H$4</f>
        <v>#REF!</v>
      </c>
      <c r="L252" s="37">
        <f>_xlfn.XLOOKUP(FME_Ranking2[[#This Row],[FME ID]],FME_Input[FME_ID],FME_Input[RES_STRUCT100])</f>
        <v>638</v>
      </c>
      <c r="M252" s="38" t="e">
        <f>FME_Ranking2[[#This Row],[Raw Data4]]*L$4</f>
        <v>#REF!</v>
      </c>
      <c r="N252" s="28">
        <f>((FME_Ranking_Option2!$L252)/($L$3))*100</f>
        <v>9.5382899550444544E-2</v>
      </c>
      <c r="O252" s="39" t="e">
        <f>FME_Ranking2[[#This Row],[Norm Data4]]*L$4</f>
        <v>#REF!</v>
      </c>
      <c r="P252" s="34">
        <f>_xlfn.XLOOKUP(FME_Ranking2[[#This Row],[FME ID]],FME_Input[FME_ID],FME_Input[POP100])</f>
        <v>3061</v>
      </c>
      <c r="Q252" s="35" t="e">
        <f>FME_Ranking_Option2!$P252*P$4</f>
        <v>#REF!</v>
      </c>
      <c r="R252" s="35">
        <f>FME_Ranking_Option2!$P252/($P$3)</f>
        <v>1.1234519961917876E-3</v>
      </c>
      <c r="S252" s="35" t="e">
        <f>FME_Ranking_Option2!$R252*P$4</f>
        <v>#REF!</v>
      </c>
      <c r="T252" s="37">
        <f>_xlfn.XLOOKUP(FME_Ranking2[[#This Row],[FME ID]],FME_Input[FME_ID],FME_Input[CRITFAC100])</f>
        <v>12</v>
      </c>
      <c r="U252" s="35" t="e">
        <f>FME_Ranking_Option2!$T252*T$4</f>
        <v>#REF!</v>
      </c>
      <c r="V252" s="35">
        <f>FME_Ranking_Option2!$T252/($T$3)</f>
        <v>1.6922859963333804E-3</v>
      </c>
      <c r="W252" s="35" t="e">
        <f>FME_Ranking_Option2!$V252*T$4</f>
        <v>#REF!</v>
      </c>
      <c r="X252" s="37">
        <f>_xlfn.XLOOKUP(FME_Ranking2[[#This Row],[FME ID]],FME_Input[FME_ID],FME_Input[LWC])</f>
        <v>0</v>
      </c>
      <c r="Y252" s="35" t="e">
        <f>FME_Ranking_Option2!$X252*X$4</f>
        <v>#REF!</v>
      </c>
      <c r="Z252" s="35">
        <f>FME_Ranking_Option2!$X252/($X$3)</f>
        <v>0</v>
      </c>
      <c r="AA252" s="35" t="e">
        <f>FME_Ranking_Option2!$Z252*X$4</f>
        <v>#REF!</v>
      </c>
      <c r="AB252" s="37">
        <f>_xlfn.XLOOKUP(FME_Ranking2[[#This Row],[FME ID]],FME_Input[FME_ID],FME_Input[ROADCLS])</f>
        <v>0</v>
      </c>
      <c r="AC252" s="35" t="e">
        <f>FME_Ranking_Option2!$AB252*AB$4</f>
        <v>#REF!</v>
      </c>
      <c r="AD252" s="40">
        <f>_xlfn.XLOOKUP(FME_Ranking2[[#This Row],[FME ID]],FME_Input[FME_ID],FME_Input[ROAD_MILES100])</f>
        <v>11.64858818054199</v>
      </c>
      <c r="AE252" s="41" t="e">
        <f>FME_Ranking_Option2!$AD252*AD$4</f>
        <v>#REF!</v>
      </c>
      <c r="AF252" s="42">
        <f>FME_Ranking_Option2!$AD252/($AD$3)</f>
        <v>2.631099567124208E-4</v>
      </c>
      <c r="AG252" s="42" t="e">
        <f>FME_Ranking_Option2!$AF252*AD$4</f>
        <v>#REF!</v>
      </c>
      <c r="AH252" s="40">
        <f>_xlfn.XLOOKUP(FME_Ranking2[[#This Row],[FME ID]],FME_Input[FME_ID],FME_Input[FARMACRE100])</f>
        <v>27.294694900512699</v>
      </c>
      <c r="AI252" s="43" t="e">
        <f>FME_Ranking_Option2!$AH252*AH$4</f>
        <v>#REF!</v>
      </c>
      <c r="AJ252" s="41">
        <f>FME_Ranking_Option2!$AH252/($AH$3)</f>
        <v>1.584892107707249E-3</v>
      </c>
      <c r="AK252" s="44" t="e">
        <f>FME_Ranking_Option2!$AJ252*AH$4</f>
        <v>#REF!</v>
      </c>
      <c r="AL252"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52" s="45" t="e">
        <f>_xlfn.RANK.EQ(AL252,$AL$7:$AL$531)+COUNTIF(AL$7:AL252,AL252)-1</f>
        <v>#REF!</v>
      </c>
      <c r="AN252" s="44"/>
      <c r="AO252" s="45" t="e">
        <f>_xlfn.RANK.EQ(AN252,$AN$7:$AN$531)+COUNTIF(AN$7:AN252,AN252)-1</f>
        <v>#N/A</v>
      </c>
      <c r="AP25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52" s="32" t="e">
        <f>FME_Ranking2[[#This Row],[Score Based on Reported Factors]]-FME_Ranking2[[#This Row],[Check]]</f>
        <v>#REF!</v>
      </c>
      <c r="AR252" s="32"/>
    </row>
    <row r="253" spans="1:55" ht="12" customHeight="1" x14ac:dyDescent="0.25">
      <c r="A253" s="16" t="s">
        <v>2087</v>
      </c>
      <c r="B253" s="16" t="str">
        <f>_xlfn.XLOOKUP(FME_Ranking2[[#This Row],[FME ID]],FME_Input[FME_ID],FME_Input[FME_NAME])</f>
        <v xml:space="preserve">Addicks Reservoir - Right-Of-Way Acquisition, Design and Construction of Channel Conveyance Improvements, Bypass Channel, and Detention for South Mayde Creek </v>
      </c>
      <c r="C253" s="16" t="str">
        <f>_xlfn.XLOOKUP(FME_Ranking2[[#This Row],[FME ID]],FME_Input[FME_ID],FME_Input[DESCR])</f>
        <v>Study to develop a BCA needed for this project to become a FMP.  This project is part of the South Mayde Creek Plan to reduce flood risk 70+ homes &amp; reduce the rainfall event by 340+ acres in pre-Atlas 1% rainfall event.</v>
      </c>
      <c r="D253" s="46" t="str">
        <f>_xlfn.XLOOKUP(FME_Ranking2[[#This Row],[FME ID]],FME_Input[FME_ID],FME_Input[EMER_NEED])</f>
        <v>No</v>
      </c>
      <c r="E253" s="121">
        <f>IF(FME_Ranking_Option2!$D253="Yes",100,0)</f>
        <v>0</v>
      </c>
      <c r="F253" s="47" t="str">
        <f>_xlfn.XLOOKUP(FME_Ranking2[[#This Row],[FME ID]],FME_Input[FME_ID],FME_Input[FUND])</f>
        <v>Yes</v>
      </c>
      <c r="G253" s="48">
        <f>IF(FME_Ranking_Option2!$F253="Yes",1,0)</f>
        <v>1</v>
      </c>
      <c r="H253" s="46">
        <f>_xlfn.XLOOKUP(FME_Ranking2[[#This Row],[FME ID]],FME_Input[FME_ID],FME_Input[STRUCT_100])</f>
        <v>944</v>
      </c>
      <c r="I253" s="65" t="e">
        <f>FME_Ranking2[[#This Row],[Raw Data3]]*H$4</f>
        <v>#REF!</v>
      </c>
      <c r="J253" s="62">
        <f>((FME_Ranking_Option2!$H253)/($H$3))*100</f>
        <v>0.10490415827192626</v>
      </c>
      <c r="K253" s="49" t="e">
        <f>FME_Ranking2[[#This Row],[Norm Data3]]*H$4</f>
        <v>#REF!</v>
      </c>
      <c r="L253" s="50">
        <f>_xlfn.XLOOKUP(FME_Ranking2[[#This Row],[FME ID]],FME_Input[FME_ID],FME_Input[RES_STRUCT100])</f>
        <v>854</v>
      </c>
      <c r="M253" s="51" t="e">
        <f>FME_Ranking2[[#This Row],[Raw Data4]]*L$4</f>
        <v>#REF!</v>
      </c>
      <c r="N253" s="29">
        <f>((FME_Ranking_Option2!$L253)/($L$3))*100</f>
        <v>0.12767554265843203</v>
      </c>
      <c r="O253" s="52" t="e">
        <f>FME_Ranking2[[#This Row],[Norm Data4]]*L$4</f>
        <v>#REF!</v>
      </c>
      <c r="P253" s="47">
        <f>_xlfn.XLOOKUP(FME_Ranking2[[#This Row],[FME ID]],FME_Input[FME_ID],FME_Input[POP100])</f>
        <v>5217</v>
      </c>
      <c r="Q253" s="48" t="e">
        <f>FME_Ranking_Option2!$P253*P$4</f>
        <v>#REF!</v>
      </c>
      <c r="R253" s="48">
        <f>FME_Ranking_Option2!$P253/($P$3)</f>
        <v>1.9147497759335369E-3</v>
      </c>
      <c r="S253" s="48" t="e">
        <f>FME_Ranking_Option2!$R253*P$4</f>
        <v>#REF!</v>
      </c>
      <c r="T253" s="50">
        <f>_xlfn.XLOOKUP(FME_Ranking2[[#This Row],[FME ID]],FME_Input[FME_ID],FME_Input[CRITFAC100])</f>
        <v>21</v>
      </c>
      <c r="U253" s="48" t="e">
        <f>FME_Ranking_Option2!$T253*T$4</f>
        <v>#REF!</v>
      </c>
      <c r="V253" s="48">
        <f>FME_Ranking_Option2!$T253/($T$3)</f>
        <v>2.9615004935834156E-3</v>
      </c>
      <c r="W253" s="48" t="e">
        <f>FME_Ranking_Option2!$V253*T$4</f>
        <v>#REF!</v>
      </c>
      <c r="X253" s="50">
        <f>_xlfn.XLOOKUP(FME_Ranking2[[#This Row],[FME ID]],FME_Input[FME_ID],FME_Input[LWC])</f>
        <v>0</v>
      </c>
      <c r="Y253" s="48" t="e">
        <f>FME_Ranking_Option2!$X253*X$4</f>
        <v>#REF!</v>
      </c>
      <c r="Z253" s="48">
        <f>FME_Ranking_Option2!$X253/($X$3)</f>
        <v>0</v>
      </c>
      <c r="AA253" s="48" t="e">
        <f>FME_Ranking_Option2!$Z253*X$4</f>
        <v>#REF!</v>
      </c>
      <c r="AB253" s="50">
        <f>_xlfn.XLOOKUP(FME_Ranking2[[#This Row],[FME ID]],FME_Input[FME_ID],FME_Input[ROADCLS])</f>
        <v>0</v>
      </c>
      <c r="AC253" s="48" t="e">
        <f>FME_Ranking_Option2!$AB253*AB$4</f>
        <v>#REF!</v>
      </c>
      <c r="AD253" s="53">
        <f>_xlfn.XLOOKUP(FME_Ranking2[[#This Row],[FME ID]],FME_Input[FME_ID],FME_Input[ROAD_MILES100])</f>
        <v>15.662631988525391</v>
      </c>
      <c r="AE253" s="54" t="e">
        <f>FME_Ranking_Option2!$AD253*AD$4</f>
        <v>#REF!</v>
      </c>
      <c r="AF253" s="55">
        <f>FME_Ranking_Option2!$AD253/($AD$3)</f>
        <v>3.5377629980835575E-4</v>
      </c>
      <c r="AG253" s="55" t="e">
        <f>FME_Ranking_Option2!$AF253*AD$4</f>
        <v>#REF!</v>
      </c>
      <c r="AH253" s="53">
        <f>_xlfn.XLOOKUP(FME_Ranking2[[#This Row],[FME ID]],FME_Input[FME_ID],FME_Input[FARMACRE100])</f>
        <v>19.42950439453125</v>
      </c>
      <c r="AI253" s="54" t="e">
        <f>FME_Ranking_Option2!$AH253*AH$4</f>
        <v>#REF!</v>
      </c>
      <c r="AJ253" s="56">
        <f>FME_Ranking_Option2!$AH253/($AH$3)</f>
        <v>1.1281924302065551E-3</v>
      </c>
      <c r="AK253" s="57" t="e">
        <f>FME_Ranking_Option2!$AJ253*AH$4</f>
        <v>#REF!</v>
      </c>
      <c r="AL253"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53" s="58" t="e">
        <f>_xlfn.RANK.EQ(AL253,$AL$7:$AL$531)+COUNTIF(AL$7:AL253,AL253)-1</f>
        <v>#REF!</v>
      </c>
      <c r="AN253" s="57"/>
      <c r="AO253" s="58" t="e">
        <f>_xlfn.RANK.EQ(AN253,$AN$7:$AN$531)+COUNTIF(AN$7:AN253,AN253)-1</f>
        <v>#N/A</v>
      </c>
      <c r="AP25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53" s="32" t="e">
        <f>FME_Ranking2[[#This Row],[Score Based on Reported Factors]]-FME_Ranking2[[#This Row],[Check]]</f>
        <v>#REF!</v>
      </c>
      <c r="AR253" s="32"/>
      <c r="AT253" s="19"/>
      <c r="AU253" s="19"/>
      <c r="AV253" s="19"/>
      <c r="AW253" s="19"/>
      <c r="AX253" s="19"/>
      <c r="AY253" s="19"/>
      <c r="AZ253" s="19"/>
      <c r="BA253" s="19"/>
      <c r="BB253" s="19"/>
      <c r="BC253" s="19"/>
    </row>
    <row r="254" spans="1:55" ht="12" customHeight="1" x14ac:dyDescent="0.25">
      <c r="A254" s="17" t="s">
        <v>1861</v>
      </c>
      <c r="B254" s="17" t="str">
        <f>_xlfn.XLOOKUP(FME_Ranking2[[#This Row],[FME ID]],FME_Input[FME_ID],FME_Input[FME_NAME])</f>
        <v>Arcadian Gardens Subdivision Drainage Improvements</v>
      </c>
      <c r="C254" s="17" t="str">
        <f>_xlfn.XLOOKUP(FME_Ranking2[[#This Row],[FME ID]],FME_Input[FME_ID],FME_Input[DESCR])</f>
        <v>Study to develop a Cost Benefit Analysis and elevate the project to a FMP. To achieve this goal, the key features of improvments are to rehabilitate roadside swales, build new storm sewers and improve the outfall drainage conditions.</v>
      </c>
      <c r="D254" s="33" t="str">
        <f>_xlfn.XLOOKUP(FME_Ranking2[[#This Row],[FME ID]],FME_Input[FME_ID],FME_Input[EMER_NEED])</f>
        <v>No</v>
      </c>
      <c r="E254" s="120">
        <f>IF(FME_Ranking_Option2!$D254="Yes",100,0)</f>
        <v>0</v>
      </c>
      <c r="F254" s="34" t="str">
        <f>_xlfn.XLOOKUP(FME_Ranking2[[#This Row],[FME ID]],FME_Input[FME_ID],FME_Input[FUND])</f>
        <v>Yes</v>
      </c>
      <c r="G254" s="35">
        <f>IF(FME_Ranking_Option2!$F254="Yes",1,0)</f>
        <v>1</v>
      </c>
      <c r="H254" s="33">
        <f>_xlfn.XLOOKUP(FME_Ranking2[[#This Row],[FME ID]],FME_Input[FME_ID],FME_Input[STRUCT_100])</f>
        <v>5</v>
      </c>
      <c r="I254" s="64" t="e">
        <f>FME_Ranking2[[#This Row],[Raw Data3]]*H$4</f>
        <v>#REF!</v>
      </c>
      <c r="J254" s="63">
        <f>((FME_Ranking_Option2!$H254)/($H$3))*100</f>
        <v>5.5563643152503302E-4</v>
      </c>
      <c r="K254" s="36" t="e">
        <f>FME_Ranking2[[#This Row],[Norm Data3]]*H$4</f>
        <v>#REF!</v>
      </c>
      <c r="L254" s="37">
        <f>_xlfn.XLOOKUP(FME_Ranking2[[#This Row],[FME ID]],FME_Input[FME_ID],FME_Input[RES_STRUCT100])</f>
        <v>4</v>
      </c>
      <c r="M254" s="38" t="e">
        <f>FME_Ranking2[[#This Row],[Raw Data4]]*L$4</f>
        <v>#REF!</v>
      </c>
      <c r="N254" s="28">
        <f>((FME_Ranking_Option2!$L254)/($L$3))*100</f>
        <v>5.9801190940717583E-4</v>
      </c>
      <c r="O254" s="39" t="e">
        <f>FME_Ranking2[[#This Row],[Norm Data4]]*L$4</f>
        <v>#REF!</v>
      </c>
      <c r="P254" s="34">
        <f>_xlfn.XLOOKUP(FME_Ranking2[[#This Row],[FME ID]],FME_Input[FME_ID],FME_Input[POP100])</f>
        <v>5</v>
      </c>
      <c r="Q254" s="35" t="e">
        <f>FME_Ranking_Option2!$P254*P$4</f>
        <v>#REF!</v>
      </c>
      <c r="R254" s="35">
        <f>FME_Ranking_Option2!$P254/($P$3)</f>
        <v>1.835106168232257E-6</v>
      </c>
      <c r="S254" s="35" t="e">
        <f>FME_Ranking_Option2!$R254*P$4</f>
        <v>#REF!</v>
      </c>
      <c r="T254" s="37">
        <f>_xlfn.XLOOKUP(FME_Ranking2[[#This Row],[FME ID]],FME_Input[FME_ID],FME_Input[CRITFAC100])</f>
        <v>0</v>
      </c>
      <c r="U254" s="35" t="e">
        <f>FME_Ranking_Option2!$T254*T$4</f>
        <v>#REF!</v>
      </c>
      <c r="V254" s="35">
        <f>FME_Ranking_Option2!$T254/($T$3)</f>
        <v>0</v>
      </c>
      <c r="W254" s="35" t="e">
        <f>FME_Ranking_Option2!$V254*T$4</f>
        <v>#REF!</v>
      </c>
      <c r="X254" s="37">
        <f>_xlfn.XLOOKUP(FME_Ranking2[[#This Row],[FME ID]],FME_Input[FME_ID],FME_Input[LWC])</f>
        <v>0</v>
      </c>
      <c r="Y254" s="35" t="e">
        <f>FME_Ranking_Option2!$X254*X$4</f>
        <v>#REF!</v>
      </c>
      <c r="Z254" s="35">
        <f>FME_Ranking_Option2!$X254/($X$3)</f>
        <v>0</v>
      </c>
      <c r="AA254" s="35" t="e">
        <f>FME_Ranking_Option2!$Z254*X$4</f>
        <v>#REF!</v>
      </c>
      <c r="AB254" s="37">
        <f>_xlfn.XLOOKUP(FME_Ranking2[[#This Row],[FME ID]],FME_Input[FME_ID],FME_Input[ROADCLS])</f>
        <v>0</v>
      </c>
      <c r="AC254" s="35" t="e">
        <f>FME_Ranking_Option2!$AB254*AB$4</f>
        <v>#REF!</v>
      </c>
      <c r="AD254" s="40">
        <f>_xlfn.XLOOKUP(FME_Ranking2[[#This Row],[FME ID]],FME_Input[FME_ID],FME_Input[ROAD_MILES100])</f>
        <v>1.1843349784612661E-2</v>
      </c>
      <c r="AE254" s="41" t="e">
        <f>FME_Ranking_Option2!$AD254*AD$4</f>
        <v>#REF!</v>
      </c>
      <c r="AF254" s="42">
        <f>FME_Ranking_Option2!$AD254/($AD$3)</f>
        <v>2.6750909216317643E-7</v>
      </c>
      <c r="AG254" s="42" t="e">
        <f>FME_Ranking_Option2!$AF254*AD$4</f>
        <v>#REF!</v>
      </c>
      <c r="AH254" s="40">
        <f>_xlfn.XLOOKUP(FME_Ranking2[[#This Row],[FME ID]],FME_Input[FME_ID],FME_Input[FARMACRE100])</f>
        <v>0</v>
      </c>
      <c r="AI254" s="43" t="e">
        <f>FME_Ranking_Option2!$AH254*AH$4</f>
        <v>#REF!</v>
      </c>
      <c r="AJ254" s="41">
        <f>FME_Ranking_Option2!$AH254/($AH$3)</f>
        <v>0</v>
      </c>
      <c r="AK254" s="44" t="e">
        <f>FME_Ranking_Option2!$AJ254*AH$4</f>
        <v>#REF!</v>
      </c>
      <c r="AL254"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54" s="45" t="e">
        <f>_xlfn.RANK.EQ(AL254,$AL$7:$AL$531)+COUNTIF(AL$7:AL254,AL254)-1</f>
        <v>#REF!</v>
      </c>
      <c r="AN254" s="44"/>
      <c r="AO254" s="45" t="e">
        <f>_xlfn.RANK.EQ(AN254,$AN$7:$AN$531)+COUNTIF(AN$7:AN254,AN254)-1</f>
        <v>#N/A</v>
      </c>
      <c r="AP25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54" s="32" t="e">
        <f>FME_Ranking2[[#This Row],[Score Based on Reported Factors]]-FME_Ranking2[[#This Row],[Check]]</f>
        <v>#REF!</v>
      </c>
      <c r="AR254" s="32"/>
    </row>
    <row r="255" spans="1:55" ht="12" customHeight="1" x14ac:dyDescent="0.25">
      <c r="A255" s="16" t="s">
        <v>1974</v>
      </c>
      <c r="B255" s="16" t="str">
        <f>_xlfn.XLOOKUP(FME_Ranking2[[#This Row],[FME ID]],FME_Input[FME_ID],FME_Input[FME_NAME])</f>
        <v xml:space="preserve">Fort Bend County Willow Fork Channel Improvements </v>
      </c>
      <c r="C255" s="16" t="str">
        <f>_xlfn.XLOOKUP(FME_Ranking2[[#This Row],[FME ID]],FME_Input[FME_ID],FME_Input[DESCR])</f>
        <v>Further study and BCA development. Combo of 11 different channel improvements were identified along Willow Fork and its tributaries as part of the Fort Bend County Master Drainage Plan that, when combined, will provide a 100-year level of service.</v>
      </c>
      <c r="D255" s="46" t="str">
        <f>_xlfn.XLOOKUP(FME_Ranking2[[#This Row],[FME ID]],FME_Input[FME_ID],FME_Input[EMER_NEED])</f>
        <v>No</v>
      </c>
      <c r="E255" s="121">
        <f>IF(FME_Ranking_Option2!$D255="Yes",100,0)</f>
        <v>0</v>
      </c>
      <c r="F255" s="47" t="str">
        <f>_xlfn.XLOOKUP(FME_Ranking2[[#This Row],[FME ID]],FME_Input[FME_ID],FME_Input[FUND])</f>
        <v>Yes</v>
      </c>
      <c r="G255" s="48">
        <f>IF(FME_Ranking_Option2!$F255="Yes",1,0)</f>
        <v>1</v>
      </c>
      <c r="H255" s="46">
        <f>_xlfn.XLOOKUP(FME_Ranking2[[#This Row],[FME ID]],FME_Input[FME_ID],FME_Input[STRUCT_100])</f>
        <v>404</v>
      </c>
      <c r="I255" s="65" t="e">
        <f>FME_Ranking2[[#This Row],[Raw Data3]]*H$4</f>
        <v>#REF!</v>
      </c>
      <c r="J255" s="62">
        <f>((FME_Ranking_Option2!$H255)/($H$3))*100</f>
        <v>4.4895423667222677E-2</v>
      </c>
      <c r="K255" s="49" t="e">
        <f>FME_Ranking2[[#This Row],[Norm Data3]]*H$4</f>
        <v>#REF!</v>
      </c>
      <c r="L255" s="50">
        <f>_xlfn.XLOOKUP(FME_Ranking2[[#This Row],[FME ID]],FME_Input[FME_ID],FME_Input[RES_STRUCT100])</f>
        <v>288</v>
      </c>
      <c r="M255" s="51" t="e">
        <f>FME_Ranking2[[#This Row],[Raw Data4]]*L$4</f>
        <v>#REF!</v>
      </c>
      <c r="N255" s="29">
        <f>((FME_Ranking_Option2!$L255)/($L$3))*100</f>
        <v>4.3056857477316662E-2</v>
      </c>
      <c r="O255" s="52" t="e">
        <f>FME_Ranking2[[#This Row],[Norm Data4]]*L$4</f>
        <v>#REF!</v>
      </c>
      <c r="P255" s="47">
        <f>_xlfn.XLOOKUP(FME_Ranking2[[#This Row],[FME ID]],FME_Input[FME_ID],FME_Input[POP100])</f>
        <v>1450</v>
      </c>
      <c r="Q255" s="48" t="e">
        <f>FME_Ranking_Option2!$P255*P$4</f>
        <v>#REF!</v>
      </c>
      <c r="R255" s="48">
        <f>FME_Ranking_Option2!$P255/($P$3)</f>
        <v>5.3218078878735449E-4</v>
      </c>
      <c r="S255" s="48" t="e">
        <f>FME_Ranking_Option2!$R255*P$4</f>
        <v>#REF!</v>
      </c>
      <c r="T255" s="50">
        <f>_xlfn.XLOOKUP(FME_Ranking2[[#This Row],[FME ID]],FME_Input[FME_ID],FME_Input[CRITFAC100])</f>
        <v>10</v>
      </c>
      <c r="U255" s="48" t="e">
        <f>FME_Ranking_Option2!$T255*T$4</f>
        <v>#REF!</v>
      </c>
      <c r="V255" s="48">
        <f>FME_Ranking_Option2!$T255/($T$3)</f>
        <v>1.4102383302778169E-3</v>
      </c>
      <c r="W255" s="48" t="e">
        <f>FME_Ranking_Option2!$V255*T$4</f>
        <v>#REF!</v>
      </c>
      <c r="X255" s="50">
        <f>_xlfn.XLOOKUP(FME_Ranking2[[#This Row],[FME ID]],FME_Input[FME_ID],FME_Input[LWC])</f>
        <v>2</v>
      </c>
      <c r="Y255" s="48" t="e">
        <f>FME_Ranking_Option2!$X255*X$4</f>
        <v>#REF!</v>
      </c>
      <c r="Z255" s="48">
        <f>FME_Ranking_Option2!$X255/($X$3)</f>
        <v>1.8244845831052726E-4</v>
      </c>
      <c r="AA255" s="48" t="e">
        <f>FME_Ranking_Option2!$Z255*X$4</f>
        <v>#REF!</v>
      </c>
      <c r="AB255" s="50">
        <f>_xlfn.XLOOKUP(FME_Ranking2[[#This Row],[FME ID]],FME_Input[FME_ID],FME_Input[ROADCLS])</f>
        <v>2</v>
      </c>
      <c r="AC255" s="48" t="e">
        <f>FME_Ranking_Option2!$AB255*AB$4</f>
        <v>#REF!</v>
      </c>
      <c r="AD255" s="53">
        <f>_xlfn.XLOOKUP(FME_Ranking2[[#This Row],[FME ID]],FME_Input[FME_ID],FME_Input[ROAD_MILES100])</f>
        <v>8.4666957855224609</v>
      </c>
      <c r="AE255" s="54" t="e">
        <f>FME_Ranking_Option2!$AD255*AD$4</f>
        <v>#REF!</v>
      </c>
      <c r="AF255" s="55">
        <f>FME_Ranking_Option2!$AD255/($AD$3)</f>
        <v>1.9123965300337368E-4</v>
      </c>
      <c r="AG255" s="55" t="e">
        <f>FME_Ranking_Option2!$AF255*AD$4</f>
        <v>#REF!</v>
      </c>
      <c r="AH255" s="53">
        <f>_xlfn.XLOOKUP(FME_Ranking2[[#This Row],[FME ID]],FME_Input[FME_ID],FME_Input[FARMACRE100])</f>
        <v>80.03497314453125</v>
      </c>
      <c r="AI255" s="54" t="e">
        <f>FME_Ranking_Option2!$AH255*AH$4</f>
        <v>#REF!</v>
      </c>
      <c r="AJ255" s="56">
        <f>FME_Ranking_Option2!$AH255/($AH$3)</f>
        <v>4.6473059229889587E-3</v>
      </c>
      <c r="AK255" s="57" t="e">
        <f>FME_Ranking_Option2!$AJ255*AH$4</f>
        <v>#REF!</v>
      </c>
      <c r="AL255"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55" s="58" t="e">
        <f>_xlfn.RANK.EQ(AL255,$AL$7:$AL$531)+COUNTIF(AL$7:AL255,AL255)-1</f>
        <v>#REF!</v>
      </c>
      <c r="AN255" s="57"/>
      <c r="AO255" s="58" t="e">
        <f>_xlfn.RANK.EQ(AN255,$AN$7:$AN$531)+COUNTIF(AN$7:AN255,AN255)-1</f>
        <v>#N/A</v>
      </c>
      <c r="AP25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55" s="32" t="e">
        <f>FME_Ranking2[[#This Row],[Score Based on Reported Factors]]-FME_Ranking2[[#This Row],[Check]]</f>
        <v>#REF!</v>
      </c>
      <c r="AR255" s="32"/>
      <c r="AT255" s="19"/>
      <c r="AU255" s="19"/>
      <c r="AV255" s="19"/>
      <c r="AW255" s="19"/>
      <c r="AX255" s="19"/>
      <c r="AY255" s="19"/>
      <c r="AZ255" s="19"/>
      <c r="BA255" s="19"/>
      <c r="BB255" s="19"/>
      <c r="BC255" s="19"/>
    </row>
    <row r="256" spans="1:55" ht="12" customHeight="1" x14ac:dyDescent="0.25">
      <c r="A256" s="17" t="s">
        <v>1865</v>
      </c>
      <c r="B256" s="17" t="str">
        <f>_xlfn.XLOOKUP(FME_Ranking2[[#This Row],[FME ID]],FME_Input[FME_ID],FME_Input[FME_NAME])</f>
        <v xml:space="preserve">Armand Bayou - Design and Construction of the B509-03-00 and B509-04-00 Stormwater Detention Basins </v>
      </c>
      <c r="C256" s="17" t="str">
        <f>_xlfn.XLOOKUP(FME_Ranking2[[#This Row],[FME ID]],FME_Input[FME_ID],FME_Input[DESCR])</f>
        <v>Study to develop a Benefit Cost Analysis needed for this project to become a FMP.  Design and Construction of this stormwater detention basin could reduce the risk of flooding for over 400 structures in an Atlas 14 1% rainfall event.</v>
      </c>
      <c r="D256" s="33" t="str">
        <f>_xlfn.XLOOKUP(FME_Ranking2[[#This Row],[FME ID]],FME_Input[FME_ID],FME_Input[EMER_NEED])</f>
        <v>No</v>
      </c>
      <c r="E256" s="120">
        <f>IF(FME_Ranking_Option2!$D256="Yes",100,0)</f>
        <v>0</v>
      </c>
      <c r="F256" s="34" t="str">
        <f>_xlfn.XLOOKUP(FME_Ranking2[[#This Row],[FME ID]],FME_Input[FME_ID],FME_Input[FUND])</f>
        <v>Yes</v>
      </c>
      <c r="G256" s="35">
        <f>IF(FME_Ranking_Option2!$F256="Yes",1,0)</f>
        <v>1</v>
      </c>
      <c r="H256" s="33">
        <f>_xlfn.XLOOKUP(FME_Ranking2[[#This Row],[FME ID]],FME_Input[FME_ID],FME_Input[STRUCT_100])</f>
        <v>63</v>
      </c>
      <c r="I256" s="64" t="e">
        <f>FME_Ranking2[[#This Row],[Raw Data3]]*H$4</f>
        <v>#REF!</v>
      </c>
      <c r="J256" s="63">
        <f>((FME_Ranking_Option2!$H256)/($H$3))*100</f>
        <v>7.0010190372154172E-3</v>
      </c>
      <c r="K256" s="36" t="e">
        <f>FME_Ranking2[[#This Row],[Norm Data3]]*H$4</f>
        <v>#REF!</v>
      </c>
      <c r="L256" s="37">
        <f>_xlfn.XLOOKUP(FME_Ranking2[[#This Row],[FME ID]],FME_Input[FME_ID],FME_Input[RES_STRUCT100])</f>
        <v>16</v>
      </c>
      <c r="M256" s="38" t="e">
        <f>FME_Ranking2[[#This Row],[Raw Data4]]*L$4</f>
        <v>#REF!</v>
      </c>
      <c r="N256" s="28">
        <f>((FME_Ranking_Option2!$L256)/($L$3))*100</f>
        <v>2.3920476376287033E-3</v>
      </c>
      <c r="O256" s="39" t="e">
        <f>FME_Ranking2[[#This Row],[Norm Data4]]*L$4</f>
        <v>#REF!</v>
      </c>
      <c r="P256" s="34">
        <f>_xlfn.XLOOKUP(FME_Ranking2[[#This Row],[FME ID]],FME_Input[FME_ID],FME_Input[POP100])</f>
        <v>468</v>
      </c>
      <c r="Q256" s="35" t="e">
        <f>FME_Ranking_Option2!$P256*P$4</f>
        <v>#REF!</v>
      </c>
      <c r="R256" s="35">
        <f>FME_Ranking_Option2!$P256/($P$3)</f>
        <v>1.7176593734653925E-4</v>
      </c>
      <c r="S256" s="35" t="e">
        <f>FME_Ranking_Option2!$R256*P$4</f>
        <v>#REF!</v>
      </c>
      <c r="T256" s="37">
        <f>_xlfn.XLOOKUP(FME_Ranking2[[#This Row],[FME ID]],FME_Input[FME_ID],FME_Input[CRITFAC100])</f>
        <v>0</v>
      </c>
      <c r="U256" s="35" t="e">
        <f>FME_Ranking_Option2!$T256*T$4</f>
        <v>#REF!</v>
      </c>
      <c r="V256" s="35">
        <f>FME_Ranking_Option2!$T256/($T$3)</f>
        <v>0</v>
      </c>
      <c r="W256" s="35" t="e">
        <f>FME_Ranking_Option2!$V256*T$4</f>
        <v>#REF!</v>
      </c>
      <c r="X256" s="37">
        <f>_xlfn.XLOOKUP(FME_Ranking2[[#This Row],[FME ID]],FME_Input[FME_ID],FME_Input[LWC])</f>
        <v>0</v>
      </c>
      <c r="Y256" s="35" t="e">
        <f>FME_Ranking_Option2!$X256*X$4</f>
        <v>#REF!</v>
      </c>
      <c r="Z256" s="35">
        <f>FME_Ranking_Option2!$X256/($X$3)</f>
        <v>0</v>
      </c>
      <c r="AA256" s="35" t="e">
        <f>FME_Ranking_Option2!$Z256*X$4</f>
        <v>#REF!</v>
      </c>
      <c r="AB256" s="37">
        <f>_xlfn.XLOOKUP(FME_Ranking2[[#This Row],[FME ID]],FME_Input[FME_ID],FME_Input[ROADCLS])</f>
        <v>0</v>
      </c>
      <c r="AC256" s="35" t="e">
        <f>FME_Ranking_Option2!$AB256*AB$4</f>
        <v>#REF!</v>
      </c>
      <c r="AD256" s="40">
        <f>_xlfn.XLOOKUP(FME_Ranking2[[#This Row],[FME ID]],FME_Input[FME_ID],FME_Input[ROAD_MILES100])</f>
        <v>2.8047490119934082</v>
      </c>
      <c r="AE256" s="41" t="e">
        <f>FME_Ranking_Option2!$AD256*AD$4</f>
        <v>#REF!</v>
      </c>
      <c r="AF256" s="42">
        <f>FME_Ranking_Option2!$AD256/($AD$3)</f>
        <v>6.3351659419764517E-5</v>
      </c>
      <c r="AG256" s="42" t="e">
        <f>FME_Ranking_Option2!$AF256*AD$4</f>
        <v>#REF!</v>
      </c>
      <c r="AH256" s="40">
        <f>_xlfn.XLOOKUP(FME_Ranking2[[#This Row],[FME ID]],FME_Input[FME_ID],FME_Input[FARMACRE100])</f>
        <v>6.1562490463256836</v>
      </c>
      <c r="AI256" s="43" t="e">
        <f>FME_Ranking_Option2!$AH256*AH$4</f>
        <v>#REF!</v>
      </c>
      <c r="AJ256" s="41">
        <f>FME_Ranking_Option2!$AH256/($AH$3)</f>
        <v>3.5746838578578803E-4</v>
      </c>
      <c r="AK256" s="44" t="e">
        <f>FME_Ranking_Option2!$AJ256*AH$4</f>
        <v>#REF!</v>
      </c>
      <c r="AL256"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56" s="45" t="e">
        <f>_xlfn.RANK.EQ(AL256,$AL$7:$AL$531)+COUNTIF(AL$7:AL256,AL256)-1</f>
        <v>#REF!</v>
      </c>
      <c r="AN256" s="44"/>
      <c r="AO256" s="45" t="e">
        <f>_xlfn.RANK.EQ(AN256,$AN$7:$AN$531)+COUNTIF(AN$7:AN256,AN256)-1</f>
        <v>#N/A</v>
      </c>
      <c r="AP25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56" s="32" t="e">
        <f>FME_Ranking2[[#This Row],[Score Based on Reported Factors]]-FME_Ranking2[[#This Row],[Check]]</f>
        <v>#REF!</v>
      </c>
      <c r="AR256" s="32"/>
    </row>
    <row r="257" spans="1:55" ht="12" customHeight="1" x14ac:dyDescent="0.25">
      <c r="A257" s="16" t="s">
        <v>1985</v>
      </c>
      <c r="B257" s="16" t="str">
        <f>_xlfn.XLOOKUP(FME_Ranking2[[#This Row],[FME ID]],FME_Input[FME_ID],FME_Input[FME_NAME])</f>
        <v>Warren Lake and Dam Retrofit</v>
      </c>
      <c r="C257" s="16" t="str">
        <f>_xlfn.XLOOKUP(FME_Ranking2[[#This Row],[FME ID]],FME_Input[FME_ID],FME_Input[DESCR])</f>
        <v>Further study of Retrofit dam to improve detention of flood &amp; storm water runoff, new 137.3 ac wetlands complex added of storage capacity &amp; conversion of fields to tallgrass prairies to add approximately 856 ac-ft of total storage during rainfall events.</v>
      </c>
      <c r="D257" s="46" t="str">
        <f>_xlfn.XLOOKUP(FME_Ranking2[[#This Row],[FME ID]],FME_Input[FME_ID],FME_Input[EMER_NEED])</f>
        <v>No</v>
      </c>
      <c r="E257" s="121">
        <f>IF(FME_Ranking_Option2!$D257="Yes",100,0)</f>
        <v>0</v>
      </c>
      <c r="F257" s="47" t="str">
        <f>_xlfn.XLOOKUP(FME_Ranking2[[#This Row],[FME ID]],FME_Input[FME_ID],FME_Input[FUND])</f>
        <v>Yes</v>
      </c>
      <c r="G257" s="48">
        <f>IF(FME_Ranking_Option2!$F257="Yes",1,0)</f>
        <v>1</v>
      </c>
      <c r="H257" s="46">
        <f>_xlfn.XLOOKUP(FME_Ranking2[[#This Row],[FME ID]],FME_Input[FME_ID],FME_Input[STRUCT_100])</f>
        <v>0</v>
      </c>
      <c r="I257" s="65" t="e">
        <f>FME_Ranking2[[#This Row],[Raw Data3]]*H$4</f>
        <v>#REF!</v>
      </c>
      <c r="J257" s="62">
        <f>((FME_Ranking_Option2!$H257)/($H$3))*100</f>
        <v>0</v>
      </c>
      <c r="K257" s="49" t="e">
        <f>FME_Ranking2[[#This Row],[Norm Data3]]*H$4</f>
        <v>#REF!</v>
      </c>
      <c r="L257" s="50">
        <f>_xlfn.XLOOKUP(FME_Ranking2[[#This Row],[FME ID]],FME_Input[FME_ID],FME_Input[RES_STRUCT100])</f>
        <v>0</v>
      </c>
      <c r="M257" s="51" t="e">
        <f>FME_Ranking2[[#This Row],[Raw Data4]]*L$4</f>
        <v>#REF!</v>
      </c>
      <c r="N257" s="29">
        <f>((FME_Ranking_Option2!$L257)/($L$3))*100</f>
        <v>0</v>
      </c>
      <c r="O257" s="52" t="e">
        <f>FME_Ranking2[[#This Row],[Norm Data4]]*L$4</f>
        <v>#REF!</v>
      </c>
      <c r="P257" s="47">
        <f>_xlfn.XLOOKUP(FME_Ranking2[[#This Row],[FME ID]],FME_Input[FME_ID],FME_Input[POP100])</f>
        <v>0</v>
      </c>
      <c r="Q257" s="48" t="e">
        <f>FME_Ranking_Option2!$P257*P$4</f>
        <v>#REF!</v>
      </c>
      <c r="R257" s="48">
        <f>FME_Ranking_Option2!$P257/($P$3)</f>
        <v>0</v>
      </c>
      <c r="S257" s="48" t="e">
        <f>FME_Ranking_Option2!$R257*P$4</f>
        <v>#REF!</v>
      </c>
      <c r="T257" s="50">
        <f>_xlfn.XLOOKUP(FME_Ranking2[[#This Row],[FME ID]],FME_Input[FME_ID],FME_Input[CRITFAC100])</f>
        <v>0</v>
      </c>
      <c r="U257" s="48" t="e">
        <f>FME_Ranking_Option2!$T257*T$4</f>
        <v>#REF!</v>
      </c>
      <c r="V257" s="48">
        <f>FME_Ranking_Option2!$T257/($T$3)</f>
        <v>0</v>
      </c>
      <c r="W257" s="48" t="e">
        <f>FME_Ranking_Option2!$V257*T$4</f>
        <v>#REF!</v>
      </c>
      <c r="X257" s="50">
        <f>_xlfn.XLOOKUP(FME_Ranking2[[#This Row],[FME ID]],FME_Input[FME_ID],FME_Input[LWC])</f>
        <v>0</v>
      </c>
      <c r="Y257" s="48" t="e">
        <f>FME_Ranking_Option2!$X257*X$4</f>
        <v>#REF!</v>
      </c>
      <c r="Z257" s="48">
        <f>FME_Ranking_Option2!$X257/($X$3)</f>
        <v>0</v>
      </c>
      <c r="AA257" s="48" t="e">
        <f>FME_Ranking_Option2!$Z257*X$4</f>
        <v>#REF!</v>
      </c>
      <c r="AB257" s="50">
        <f>_xlfn.XLOOKUP(FME_Ranking2[[#This Row],[FME ID]],FME_Input[FME_ID],FME_Input[ROADCLS])</f>
        <v>0</v>
      </c>
      <c r="AC257" s="48" t="e">
        <f>FME_Ranking_Option2!$AB257*AB$4</f>
        <v>#REF!</v>
      </c>
      <c r="AD257" s="53">
        <f>_xlfn.XLOOKUP(FME_Ranking2[[#This Row],[FME ID]],FME_Input[FME_ID],FME_Input[ROAD_MILES100])</f>
        <v>0</v>
      </c>
      <c r="AE257" s="54" t="e">
        <f>FME_Ranking_Option2!$AD257*AD$4</f>
        <v>#REF!</v>
      </c>
      <c r="AF257" s="55">
        <f>FME_Ranking_Option2!$AD257/($AD$3)</f>
        <v>0</v>
      </c>
      <c r="AG257" s="55" t="e">
        <f>FME_Ranking_Option2!$AF257*AD$4</f>
        <v>#REF!</v>
      </c>
      <c r="AH257" s="53">
        <f>_xlfn.XLOOKUP(FME_Ranking2[[#This Row],[FME ID]],FME_Input[FME_ID],FME_Input[FARMACRE100])</f>
        <v>183.19024658203119</v>
      </c>
      <c r="AI257" s="54" t="e">
        <f>FME_Ranking_Option2!$AH257*AH$4</f>
        <v>#REF!</v>
      </c>
      <c r="AJ257" s="56">
        <f>FME_Ranking_Option2!$AH257/($AH$3)</f>
        <v>1.0637113808198399E-2</v>
      </c>
      <c r="AK257" s="57" t="e">
        <f>FME_Ranking_Option2!$AJ257*AH$4</f>
        <v>#REF!</v>
      </c>
      <c r="AL257"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57" s="58" t="e">
        <f>_xlfn.RANK.EQ(AL257,$AL$7:$AL$531)+COUNTIF(AL$7:AL257,AL257)-1</f>
        <v>#REF!</v>
      </c>
      <c r="AN257" s="57"/>
      <c r="AO257" s="58" t="e">
        <f>_xlfn.RANK.EQ(AN257,$AN$7:$AN$531)+COUNTIF(AN$7:AN257,AN257)-1</f>
        <v>#N/A</v>
      </c>
      <c r="AP25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57" s="32" t="e">
        <f>FME_Ranking2[[#This Row],[Score Based on Reported Factors]]-FME_Ranking2[[#This Row],[Check]]</f>
        <v>#REF!</v>
      </c>
      <c r="AR257" s="32"/>
      <c r="AT257" s="19"/>
      <c r="AU257" s="19"/>
      <c r="AV257" s="19"/>
      <c r="AW257" s="19"/>
      <c r="AX257" s="19"/>
      <c r="AY257" s="19"/>
      <c r="AZ257" s="19"/>
      <c r="BA257" s="19"/>
      <c r="BB257" s="19"/>
      <c r="BC257" s="19"/>
    </row>
    <row r="258" spans="1:55" ht="12" customHeight="1" x14ac:dyDescent="0.25">
      <c r="A258" s="17" t="s">
        <v>1869</v>
      </c>
      <c r="B258" s="17" t="str">
        <f>_xlfn.XLOOKUP(FME_Ranking2[[#This Row],[FME ID]],FME_Input[FME_ID],FME_Input[FME_NAME])</f>
        <v>Armand Bayou Watershed- Basin Expansion and Extension and H&amp;H Study (Phases 1 + 2)</v>
      </c>
      <c r="C258" s="17" t="str">
        <f>_xlfn.XLOOKUP(FME_Ranking2[[#This Row],[FME ID]],FME_Input[FME_ID],FME_Input[DESCR])</f>
        <v>Study to develop a Benefit Cost Analysis needed for this project to become a FMP. Channel modifications along B115-00-00 requires expansion of B500-04-00 and new detention property.</v>
      </c>
      <c r="D258" s="33" t="str">
        <f>_xlfn.XLOOKUP(FME_Ranking2[[#This Row],[FME ID]],FME_Input[FME_ID],FME_Input[EMER_NEED])</f>
        <v>No</v>
      </c>
      <c r="E258" s="120">
        <f>IF(FME_Ranking_Option2!$D258="Yes",100,0)</f>
        <v>0</v>
      </c>
      <c r="F258" s="34" t="str">
        <f>_xlfn.XLOOKUP(FME_Ranking2[[#This Row],[FME ID]],FME_Input[FME_ID],FME_Input[FUND])</f>
        <v>Yes</v>
      </c>
      <c r="G258" s="35">
        <f>IF(FME_Ranking_Option2!$F258="Yes",1,0)</f>
        <v>1</v>
      </c>
      <c r="H258" s="33">
        <f>_xlfn.XLOOKUP(FME_Ranking2[[#This Row],[FME ID]],FME_Input[FME_ID],FME_Input[STRUCT_100])</f>
        <v>371</v>
      </c>
      <c r="I258" s="64" t="e">
        <f>FME_Ranking2[[#This Row],[Raw Data3]]*H$4</f>
        <v>#REF!</v>
      </c>
      <c r="J258" s="63">
        <f>((FME_Ranking_Option2!$H258)/($H$3))*100</f>
        <v>4.1228223219157457E-2</v>
      </c>
      <c r="K258" s="36" t="e">
        <f>FME_Ranking2[[#This Row],[Norm Data3]]*H$4</f>
        <v>#REF!</v>
      </c>
      <c r="L258" s="37">
        <f>_xlfn.XLOOKUP(FME_Ranking2[[#This Row],[FME ID]],FME_Input[FME_ID],FME_Input[RES_STRUCT100])</f>
        <v>291</v>
      </c>
      <c r="M258" s="38" t="e">
        <f>FME_Ranking2[[#This Row],[Raw Data4]]*L$4</f>
        <v>#REF!</v>
      </c>
      <c r="N258" s="28">
        <f>((FME_Ranking_Option2!$L258)/($L$3))*100</f>
        <v>4.350536640937204E-2</v>
      </c>
      <c r="O258" s="39" t="e">
        <f>FME_Ranking2[[#This Row],[Norm Data4]]*L$4</f>
        <v>#REF!</v>
      </c>
      <c r="P258" s="34">
        <f>_xlfn.XLOOKUP(FME_Ranking2[[#This Row],[FME ID]],FME_Input[FME_ID],FME_Input[POP100])</f>
        <v>2154</v>
      </c>
      <c r="Q258" s="35" t="e">
        <f>FME_Ranking_Option2!$P258*P$4</f>
        <v>#REF!</v>
      </c>
      <c r="R258" s="35">
        <f>FME_Ranking_Option2!$P258/($P$3)</f>
        <v>7.9056373727445632E-4</v>
      </c>
      <c r="S258" s="35" t="e">
        <f>FME_Ranking_Option2!$R258*P$4</f>
        <v>#REF!</v>
      </c>
      <c r="T258" s="37">
        <f>_xlfn.XLOOKUP(FME_Ranking2[[#This Row],[FME ID]],FME_Input[FME_ID],FME_Input[CRITFAC100])</f>
        <v>0</v>
      </c>
      <c r="U258" s="35" t="e">
        <f>FME_Ranking_Option2!$T258*T$4</f>
        <v>#REF!</v>
      </c>
      <c r="V258" s="35">
        <f>FME_Ranking_Option2!$T258/($T$3)</f>
        <v>0</v>
      </c>
      <c r="W258" s="35" t="e">
        <f>FME_Ranking_Option2!$V258*T$4</f>
        <v>#REF!</v>
      </c>
      <c r="X258" s="37">
        <f>_xlfn.XLOOKUP(FME_Ranking2[[#This Row],[FME ID]],FME_Input[FME_ID],FME_Input[LWC])</f>
        <v>0</v>
      </c>
      <c r="Y258" s="35" t="e">
        <f>FME_Ranking_Option2!$X258*X$4</f>
        <v>#REF!</v>
      </c>
      <c r="Z258" s="35">
        <f>FME_Ranking_Option2!$X258/($X$3)</f>
        <v>0</v>
      </c>
      <c r="AA258" s="35" t="e">
        <f>FME_Ranking_Option2!$Z258*X$4</f>
        <v>#REF!</v>
      </c>
      <c r="AB258" s="37">
        <f>_xlfn.XLOOKUP(FME_Ranking2[[#This Row],[FME ID]],FME_Input[FME_ID],FME_Input[ROADCLS])</f>
        <v>0</v>
      </c>
      <c r="AC258" s="35" t="e">
        <f>FME_Ranking_Option2!$AB258*AB$4</f>
        <v>#REF!</v>
      </c>
      <c r="AD258" s="40">
        <f>_xlfn.XLOOKUP(FME_Ranking2[[#This Row],[FME ID]],FME_Input[FME_ID],FME_Input[ROAD_MILES100])</f>
        <v>3.8352079391479492</v>
      </c>
      <c r="AE258" s="41" t="e">
        <f>FME_Ranking_Option2!$AD258*AD$4</f>
        <v>#REF!</v>
      </c>
      <c r="AF258" s="42">
        <f>FME_Ranking_Option2!$AD258/($AD$3)</f>
        <v>8.6626926732454753E-5</v>
      </c>
      <c r="AG258" s="42" t="e">
        <f>FME_Ranking_Option2!$AF258*AD$4</f>
        <v>#REF!</v>
      </c>
      <c r="AH258" s="40">
        <f>_xlfn.XLOOKUP(FME_Ranking2[[#This Row],[FME ID]],FME_Input[FME_ID],FME_Input[FARMACRE100])</f>
        <v>0</v>
      </c>
      <c r="AI258" s="43" t="e">
        <f>FME_Ranking_Option2!$AH258*AH$4</f>
        <v>#REF!</v>
      </c>
      <c r="AJ258" s="41">
        <f>FME_Ranking_Option2!$AH258/($AH$3)</f>
        <v>0</v>
      </c>
      <c r="AK258" s="44" t="e">
        <f>FME_Ranking_Option2!$AJ258*AH$4</f>
        <v>#REF!</v>
      </c>
      <c r="AL25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58" s="45" t="e">
        <f>_xlfn.RANK.EQ(AL258,$AL$7:$AL$531)+COUNTIF(AL$7:AL258,AL258)-1</f>
        <v>#REF!</v>
      </c>
      <c r="AN258" s="44"/>
      <c r="AO258" s="45" t="e">
        <f>_xlfn.RANK.EQ(AN258,$AN$7:$AN$531)+COUNTIF(AN$7:AN258,AN258)-1</f>
        <v>#N/A</v>
      </c>
      <c r="AP25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58" s="32" t="e">
        <f>FME_Ranking2[[#This Row],[Score Based on Reported Factors]]-FME_Ranking2[[#This Row],[Check]]</f>
        <v>#REF!</v>
      </c>
      <c r="AR258" s="32"/>
    </row>
    <row r="259" spans="1:55" ht="12" customHeight="1" x14ac:dyDescent="0.25">
      <c r="A259" s="16" t="s">
        <v>1982</v>
      </c>
      <c r="B259" s="16" t="str">
        <f>_xlfn.XLOOKUP(FME_Ranking2[[#This Row],[FME ID]],FME_Input[FME_ID],FME_Input[FME_NAME])</f>
        <v>Jackson Bayou Watershed Planning Project- Immediate: First Street Crossing Mitigation</v>
      </c>
      <c r="C259" s="16" t="str">
        <f>_xlfn.XLOOKUP(FME_Ranking2[[#This Row],[FME ID]],FME_Input[FME_ID],FME_Input[DESCR])</f>
        <v>Develop BCA to become a FMP. Priority ranking #1, 0.5 mile upstream along Jackson Bayou identified to fulfill mitigation efforts. Culvert upsizing recommended at First Street. Improvements produced need or 32.4 acre-feet of detention.</v>
      </c>
      <c r="D259" s="46" t="str">
        <f>_xlfn.XLOOKUP(FME_Ranking2[[#This Row],[FME ID]],FME_Input[FME_ID],FME_Input[EMER_NEED])</f>
        <v>No</v>
      </c>
      <c r="E259" s="121">
        <f>IF(FME_Ranking_Option2!$D259="Yes",100,0)</f>
        <v>0</v>
      </c>
      <c r="F259" s="47" t="str">
        <f>_xlfn.XLOOKUP(FME_Ranking2[[#This Row],[FME ID]],FME_Input[FME_ID],FME_Input[FUND])</f>
        <v>Yes</v>
      </c>
      <c r="G259" s="48">
        <f>IF(FME_Ranking_Option2!$F259="Yes",1,0)</f>
        <v>1</v>
      </c>
      <c r="H259" s="46">
        <f>_xlfn.XLOOKUP(FME_Ranking2[[#This Row],[FME ID]],FME_Input[FME_ID],FME_Input[STRUCT_100])</f>
        <v>111</v>
      </c>
      <c r="I259" s="65" t="e">
        <f>FME_Ranking2[[#This Row],[Raw Data3]]*H$4</f>
        <v>#REF!</v>
      </c>
      <c r="J259" s="62">
        <f>((FME_Ranking_Option2!$H259)/($H$3))*100</f>
        <v>1.2335128779855735E-2</v>
      </c>
      <c r="K259" s="49" t="e">
        <f>FME_Ranking2[[#This Row],[Norm Data3]]*H$4</f>
        <v>#REF!</v>
      </c>
      <c r="L259" s="50">
        <f>_xlfn.XLOOKUP(FME_Ranking2[[#This Row],[FME ID]],FME_Input[FME_ID],FME_Input[RES_STRUCT100])</f>
        <v>83</v>
      </c>
      <c r="M259" s="51" t="e">
        <f>FME_Ranking2[[#This Row],[Raw Data4]]*L$4</f>
        <v>#REF!</v>
      </c>
      <c r="N259" s="29">
        <f>((FME_Ranking_Option2!$L259)/($L$3))*100</f>
        <v>1.2408747120198899E-2</v>
      </c>
      <c r="O259" s="52" t="e">
        <f>FME_Ranking2[[#This Row],[Norm Data4]]*L$4</f>
        <v>#REF!</v>
      </c>
      <c r="P259" s="47">
        <f>_xlfn.XLOOKUP(FME_Ranking2[[#This Row],[FME ID]],FME_Input[FME_ID],FME_Input[POP100])</f>
        <v>598</v>
      </c>
      <c r="Q259" s="48" t="e">
        <f>FME_Ranking_Option2!$P259*P$4</f>
        <v>#REF!</v>
      </c>
      <c r="R259" s="48">
        <f>FME_Ranking_Option2!$P259/($P$3)</f>
        <v>2.1947869772057793E-4</v>
      </c>
      <c r="S259" s="48" t="e">
        <f>FME_Ranking_Option2!$R259*P$4</f>
        <v>#REF!</v>
      </c>
      <c r="T259" s="50">
        <f>_xlfn.XLOOKUP(FME_Ranking2[[#This Row],[FME ID]],FME_Input[FME_ID],FME_Input[CRITFAC100])</f>
        <v>8</v>
      </c>
      <c r="U259" s="48" t="e">
        <f>FME_Ranking_Option2!$T259*T$4</f>
        <v>#REF!</v>
      </c>
      <c r="V259" s="48">
        <f>FME_Ranking_Option2!$T259/($T$3)</f>
        <v>1.1281906642222536E-3</v>
      </c>
      <c r="W259" s="48" t="e">
        <f>FME_Ranking_Option2!$V259*T$4</f>
        <v>#REF!</v>
      </c>
      <c r="X259" s="50">
        <f>_xlfn.XLOOKUP(FME_Ranking2[[#This Row],[FME ID]],FME_Input[FME_ID],FME_Input[LWC])</f>
        <v>0</v>
      </c>
      <c r="Y259" s="48" t="e">
        <f>FME_Ranking_Option2!$X259*X$4</f>
        <v>#REF!</v>
      </c>
      <c r="Z259" s="48">
        <f>FME_Ranking_Option2!$X259/($X$3)</f>
        <v>0</v>
      </c>
      <c r="AA259" s="48" t="e">
        <f>FME_Ranking_Option2!$Z259*X$4</f>
        <v>#REF!</v>
      </c>
      <c r="AB259" s="50">
        <f>_xlfn.XLOOKUP(FME_Ranking2[[#This Row],[FME ID]],FME_Input[FME_ID],FME_Input[ROADCLS])</f>
        <v>0</v>
      </c>
      <c r="AC259" s="48" t="e">
        <f>FME_Ranking_Option2!$AB259*AB$4</f>
        <v>#REF!</v>
      </c>
      <c r="AD259" s="53">
        <f>_xlfn.XLOOKUP(FME_Ranking2[[#This Row],[FME ID]],FME_Input[FME_ID],FME_Input[ROAD_MILES100])</f>
        <v>1.3959089517593379</v>
      </c>
      <c r="AE259" s="54" t="e">
        <f>FME_Ranking_Option2!$AD259*AD$4</f>
        <v>#REF!</v>
      </c>
      <c r="AF259" s="55">
        <f>FME_Ranking_Option2!$AD259/($AD$3)</f>
        <v>3.1529790407165997E-5</v>
      </c>
      <c r="AG259" s="55" t="e">
        <f>FME_Ranking_Option2!$AF259*AD$4</f>
        <v>#REF!</v>
      </c>
      <c r="AH259" s="53">
        <f>_xlfn.XLOOKUP(FME_Ranking2[[#This Row],[FME ID]],FME_Input[FME_ID],FME_Input[FARMACRE100])</f>
        <v>1.742403626441956</v>
      </c>
      <c r="AI259" s="54" t="e">
        <f>FME_Ranking_Option2!$AH259*AH$4</f>
        <v>#REF!</v>
      </c>
      <c r="AJ259" s="56">
        <f>FME_Ranking_Option2!$AH259/($AH$3)</f>
        <v>1.0117430387311176E-4</v>
      </c>
      <c r="AK259" s="57" t="e">
        <f>FME_Ranking_Option2!$AJ259*AH$4</f>
        <v>#REF!</v>
      </c>
      <c r="AL25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59" s="58" t="e">
        <f>_xlfn.RANK.EQ(AL259,$AL$7:$AL$531)+COUNTIF(AL$7:AL259,AL259)-1</f>
        <v>#REF!</v>
      </c>
      <c r="AN259" s="57"/>
      <c r="AO259" s="58" t="e">
        <f>_xlfn.RANK.EQ(AN259,$AN$7:$AN$531)+COUNTIF(AN$7:AN259,AN259)-1</f>
        <v>#N/A</v>
      </c>
      <c r="AP25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59" s="32" t="e">
        <f>FME_Ranking2[[#This Row],[Score Based on Reported Factors]]-FME_Ranking2[[#This Row],[Check]]</f>
        <v>#REF!</v>
      </c>
      <c r="AR259" s="32"/>
      <c r="AT259" s="19"/>
      <c r="AU259" s="19"/>
      <c r="AV259" s="19"/>
      <c r="AW259" s="19"/>
      <c r="AX259" s="19"/>
      <c r="AY259" s="19"/>
      <c r="AZ259" s="19"/>
      <c r="BA259" s="19"/>
      <c r="BB259" s="19"/>
      <c r="BC259" s="19"/>
    </row>
    <row r="260" spans="1:55" ht="12" customHeight="1" x14ac:dyDescent="0.25">
      <c r="A260" s="17" t="s">
        <v>1872</v>
      </c>
      <c r="B260" s="17" t="str">
        <f>_xlfn.XLOOKUP(FME_Ranking2[[#This Row],[FME ID]],FME_Input[FME_ID],FME_Input[FME_NAME])</f>
        <v>B106-WP01 &amp; WP02 for Armand Bayou Watershed</v>
      </c>
      <c r="C260" s="17" t="str">
        <f>_xlfn.XLOOKUP(FME_Ranking2[[#This Row],[FME ID]],FME_Input[FME_ID],FME_Input[DESCR])</f>
        <v>Study to develop a Benefit Cost Analysis needed for this project to become a FMP.  Conveyance improvements for B106-00-00 channel, including detention/mitigation storage.</v>
      </c>
      <c r="D260" s="33" t="str">
        <f>_xlfn.XLOOKUP(FME_Ranking2[[#This Row],[FME ID]],FME_Input[FME_ID],FME_Input[EMER_NEED])</f>
        <v>No</v>
      </c>
      <c r="E260" s="120">
        <f>IF(FME_Ranking_Option2!$D260="Yes",100,0)</f>
        <v>0</v>
      </c>
      <c r="F260" s="34" t="str">
        <f>_xlfn.XLOOKUP(FME_Ranking2[[#This Row],[FME ID]],FME_Input[FME_ID],FME_Input[FUND])</f>
        <v>Yes</v>
      </c>
      <c r="G260" s="35">
        <f>IF(FME_Ranking_Option2!$F260="Yes",1,0)</f>
        <v>1</v>
      </c>
      <c r="H260" s="33">
        <f>_xlfn.XLOOKUP(FME_Ranking2[[#This Row],[FME ID]],FME_Input[FME_ID],FME_Input[STRUCT_100])</f>
        <v>473</v>
      </c>
      <c r="I260" s="64" t="e">
        <f>FME_Ranking2[[#This Row],[Raw Data3]]*H$4</f>
        <v>#REF!</v>
      </c>
      <c r="J260" s="63">
        <f>((FME_Ranking_Option2!$H260)/($H$3))*100</f>
        <v>5.2563206422268124E-2</v>
      </c>
      <c r="K260" s="36" t="e">
        <f>FME_Ranking2[[#This Row],[Norm Data3]]*H$4</f>
        <v>#REF!</v>
      </c>
      <c r="L260" s="37">
        <f>_xlfn.XLOOKUP(FME_Ranking2[[#This Row],[FME ID]],FME_Input[FME_ID],FME_Input[RES_STRUCT100])</f>
        <v>344</v>
      </c>
      <c r="M260" s="38" t="e">
        <f>FME_Ranking2[[#This Row],[Raw Data4]]*L$4</f>
        <v>#REF!</v>
      </c>
      <c r="N260" s="28">
        <f>((FME_Ranking_Option2!$L260)/($L$3))*100</f>
        <v>5.142902420901712E-2</v>
      </c>
      <c r="O260" s="39" t="e">
        <f>FME_Ranking2[[#This Row],[Norm Data4]]*L$4</f>
        <v>#REF!</v>
      </c>
      <c r="P260" s="34">
        <f>_xlfn.XLOOKUP(FME_Ranking2[[#This Row],[FME ID]],FME_Input[FME_ID],FME_Input[POP100])</f>
        <v>2199</v>
      </c>
      <c r="Q260" s="35" t="e">
        <f>FME_Ranking_Option2!$P260*P$4</f>
        <v>#REF!</v>
      </c>
      <c r="R260" s="35">
        <f>FME_Ranking_Option2!$P260/($P$3)</f>
        <v>8.0707969278854663E-4</v>
      </c>
      <c r="S260" s="35" t="e">
        <f>FME_Ranking_Option2!$R260*P$4</f>
        <v>#REF!</v>
      </c>
      <c r="T260" s="37">
        <f>_xlfn.XLOOKUP(FME_Ranking2[[#This Row],[FME ID]],FME_Input[FME_ID],FME_Input[CRITFAC100])</f>
        <v>0</v>
      </c>
      <c r="U260" s="35" t="e">
        <f>FME_Ranking_Option2!$T260*T$4</f>
        <v>#REF!</v>
      </c>
      <c r="V260" s="35">
        <f>FME_Ranking_Option2!$T260/($T$3)</f>
        <v>0</v>
      </c>
      <c r="W260" s="35" t="e">
        <f>FME_Ranking_Option2!$V260*T$4</f>
        <v>#REF!</v>
      </c>
      <c r="X260" s="37">
        <f>_xlfn.XLOOKUP(FME_Ranking2[[#This Row],[FME ID]],FME_Input[FME_ID],FME_Input[LWC])</f>
        <v>0</v>
      </c>
      <c r="Y260" s="35" t="e">
        <f>FME_Ranking_Option2!$X260*X$4</f>
        <v>#REF!</v>
      </c>
      <c r="Z260" s="35">
        <f>FME_Ranking_Option2!$X260/($X$3)</f>
        <v>0</v>
      </c>
      <c r="AA260" s="35" t="e">
        <f>FME_Ranking_Option2!$Z260*X$4</f>
        <v>#REF!</v>
      </c>
      <c r="AB260" s="37">
        <f>_xlfn.XLOOKUP(FME_Ranking2[[#This Row],[FME ID]],FME_Input[FME_ID],FME_Input[ROADCLS])</f>
        <v>0</v>
      </c>
      <c r="AC260" s="35" t="e">
        <f>FME_Ranking_Option2!$AB260*AB$4</f>
        <v>#REF!</v>
      </c>
      <c r="AD260" s="40">
        <f>_xlfn.XLOOKUP(FME_Ranking2[[#This Row],[FME ID]],FME_Input[FME_ID],FME_Input[ROAD_MILES100])</f>
        <v>7.0468239784240723</v>
      </c>
      <c r="AE260" s="41" t="e">
        <f>FME_Ranking_Option2!$AD260*AD$4</f>
        <v>#REF!</v>
      </c>
      <c r="AF260" s="42">
        <f>FME_Ranking_Option2!$AD260/($AD$3)</f>
        <v>1.5916860680338161E-4</v>
      </c>
      <c r="AG260" s="42" t="e">
        <f>FME_Ranking_Option2!$AF260*AD$4</f>
        <v>#REF!</v>
      </c>
      <c r="AH260" s="40">
        <f>_xlfn.XLOOKUP(FME_Ranking2[[#This Row],[FME ID]],FME_Input[FME_ID],FME_Input[FARMACRE100])</f>
        <v>20.93032264709473</v>
      </c>
      <c r="AI260" s="43" t="e">
        <f>FME_Ranking_Option2!$AH260*AH$4</f>
        <v>#REF!</v>
      </c>
      <c r="AJ260" s="41">
        <f>FME_Ranking_Option2!$AH260/($AH$3)</f>
        <v>1.2153388523322029E-3</v>
      </c>
      <c r="AK260" s="44" t="e">
        <f>FME_Ranking_Option2!$AJ260*AH$4</f>
        <v>#REF!</v>
      </c>
      <c r="AL26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60" s="45" t="e">
        <f>_xlfn.RANK.EQ(AL260,$AL$7:$AL$531)+COUNTIF(AL$7:AL260,AL260)-1</f>
        <v>#REF!</v>
      </c>
      <c r="AN260" s="44"/>
      <c r="AO260" s="45" t="e">
        <f>_xlfn.RANK.EQ(AN260,$AN$7:$AN$531)+COUNTIF(AN$7:AN260,AN260)-1</f>
        <v>#N/A</v>
      </c>
      <c r="AP26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60" s="32" t="e">
        <f>FME_Ranking2[[#This Row],[Score Based on Reported Factors]]-FME_Ranking2[[#This Row],[Check]]</f>
        <v>#REF!</v>
      </c>
      <c r="AR260" s="32"/>
    </row>
    <row r="261" spans="1:55" ht="12" customHeight="1" x14ac:dyDescent="0.25">
      <c r="A261" s="16" t="s">
        <v>1875</v>
      </c>
      <c r="B261" s="16" t="str">
        <f>_xlfn.XLOOKUP(FME_Ranking2[[#This Row],[FME ID]],FME_Input[FME_ID],FME_Input[FME_NAME])</f>
        <v>Barker Reservoir Flood Risk Reduction and Park Project</v>
      </c>
      <c r="C261" s="16" t="str">
        <f>_xlfn.XLOOKUP(FME_Ranking2[[#This Row],[FME ID]],FME_Input[FME_ID],FME_Input[DESCR])</f>
        <v>Study to further the proposed project.  FIF application information unavailable.</v>
      </c>
      <c r="D261" s="46" t="str">
        <f>_xlfn.XLOOKUP(FME_Ranking2[[#This Row],[FME ID]],FME_Input[FME_ID],FME_Input[EMER_NEED])</f>
        <v>No</v>
      </c>
      <c r="E261" s="121">
        <f>IF(FME_Ranking_Option2!$D261="Yes",100,0)</f>
        <v>0</v>
      </c>
      <c r="F261" s="47" t="str">
        <f>_xlfn.XLOOKUP(FME_Ranking2[[#This Row],[FME ID]],FME_Input[FME_ID],FME_Input[FUND])</f>
        <v>Yes</v>
      </c>
      <c r="G261" s="48">
        <f>IF(FME_Ranking_Option2!$F261="Yes",1,0)</f>
        <v>1</v>
      </c>
      <c r="H261" s="46">
        <f>_xlfn.XLOOKUP(FME_Ranking2[[#This Row],[FME ID]],FME_Input[FME_ID],FME_Input[STRUCT_100])</f>
        <v>115</v>
      </c>
      <c r="I261" s="65" t="e">
        <f>FME_Ranking2[[#This Row],[Raw Data3]]*H$4</f>
        <v>#REF!</v>
      </c>
      <c r="J261" s="62">
        <f>((FME_Ranking_Option2!$H261)/($H$3))*100</f>
        <v>1.2779637925075762E-2</v>
      </c>
      <c r="K261" s="49" t="e">
        <f>FME_Ranking2[[#This Row],[Norm Data3]]*H$4</f>
        <v>#REF!</v>
      </c>
      <c r="L261" s="50">
        <f>_xlfn.XLOOKUP(FME_Ranking2[[#This Row],[FME ID]],FME_Input[FME_ID],FME_Input[RES_STRUCT100])</f>
        <v>105</v>
      </c>
      <c r="M261" s="51" t="e">
        <f>FME_Ranking2[[#This Row],[Raw Data4]]*L$4</f>
        <v>#REF!</v>
      </c>
      <c r="N261" s="29">
        <f>((FME_Ranking_Option2!$L261)/($L$3))*100</f>
        <v>1.5697812621938367E-2</v>
      </c>
      <c r="O261" s="52" t="e">
        <f>FME_Ranking2[[#This Row],[Norm Data4]]*L$4</f>
        <v>#REF!</v>
      </c>
      <c r="P261" s="47">
        <f>_xlfn.XLOOKUP(FME_Ranking2[[#This Row],[FME ID]],FME_Input[FME_ID],FME_Input[POP100])</f>
        <v>306</v>
      </c>
      <c r="Q261" s="48" t="e">
        <f>FME_Ranking_Option2!$P261*P$4</f>
        <v>#REF!</v>
      </c>
      <c r="R261" s="48">
        <f>FME_Ranking_Option2!$P261/($P$3)</f>
        <v>1.1230849749581413E-4</v>
      </c>
      <c r="S261" s="48" t="e">
        <f>FME_Ranking_Option2!$R261*P$4</f>
        <v>#REF!</v>
      </c>
      <c r="T261" s="50">
        <f>_xlfn.XLOOKUP(FME_Ranking2[[#This Row],[FME ID]],FME_Input[FME_ID],FME_Input[CRITFAC100])</f>
        <v>2</v>
      </c>
      <c r="U261" s="48" t="e">
        <f>FME_Ranking_Option2!$T261*T$4</f>
        <v>#REF!</v>
      </c>
      <c r="V261" s="48">
        <f>FME_Ranking_Option2!$T261/($T$3)</f>
        <v>2.8204766605556341E-4</v>
      </c>
      <c r="W261" s="48" t="e">
        <f>FME_Ranking_Option2!$V261*T$4</f>
        <v>#REF!</v>
      </c>
      <c r="X261" s="50">
        <f>_xlfn.XLOOKUP(FME_Ranking2[[#This Row],[FME ID]],FME_Input[FME_ID],FME_Input[LWC])</f>
        <v>0</v>
      </c>
      <c r="Y261" s="48" t="e">
        <f>FME_Ranking_Option2!$X261*X$4</f>
        <v>#REF!</v>
      </c>
      <c r="Z261" s="48">
        <f>FME_Ranking_Option2!$X261/($X$3)</f>
        <v>0</v>
      </c>
      <c r="AA261" s="48" t="e">
        <f>FME_Ranking_Option2!$Z261*X$4</f>
        <v>#REF!</v>
      </c>
      <c r="AB261" s="50">
        <f>_xlfn.XLOOKUP(FME_Ranking2[[#This Row],[FME ID]],FME_Input[FME_ID],FME_Input[ROADCLS])</f>
        <v>0</v>
      </c>
      <c r="AC261" s="48" t="e">
        <f>FME_Ranking_Option2!$AB261*AB$4</f>
        <v>#REF!</v>
      </c>
      <c r="AD261" s="53">
        <f>_xlfn.XLOOKUP(FME_Ranking2[[#This Row],[FME ID]],FME_Input[FME_ID],FME_Input[ROAD_MILES100])</f>
        <v>1.407488226890564</v>
      </c>
      <c r="AE261" s="54" t="e">
        <f>FME_Ranking_Option2!$AD261*AD$4</f>
        <v>#REF!</v>
      </c>
      <c r="AF261" s="55">
        <f>FME_Ranking_Option2!$AD261/($AD$3)</f>
        <v>3.1791334770424301E-5</v>
      </c>
      <c r="AG261" s="55" t="e">
        <f>FME_Ranking_Option2!$AF261*AD$4</f>
        <v>#REF!</v>
      </c>
      <c r="AH261" s="53">
        <f>_xlfn.XLOOKUP(FME_Ranking2[[#This Row],[FME ID]],FME_Input[FME_ID],FME_Input[FARMACRE100])</f>
        <v>20.454355239868161</v>
      </c>
      <c r="AI261" s="54" t="e">
        <f>FME_Ranking_Option2!$AH261*AH$4</f>
        <v>#REF!</v>
      </c>
      <c r="AJ261" s="56">
        <f>FME_Ranking_Option2!$AH261/($AH$3)</f>
        <v>1.1877013575740144E-3</v>
      </c>
      <c r="AK261" s="57" t="e">
        <f>FME_Ranking_Option2!$AJ261*AH$4</f>
        <v>#REF!</v>
      </c>
      <c r="AL26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61" s="58" t="e">
        <f>_xlfn.RANK.EQ(AL261,$AL$7:$AL$531)+COUNTIF(AL$7:AL261,AL261)-1</f>
        <v>#REF!</v>
      </c>
      <c r="AN261" s="57"/>
      <c r="AO261" s="58" t="e">
        <f>_xlfn.RANK.EQ(AN261,$AN$7:$AN$531)+COUNTIF(AN$7:AN261,AN261)-1</f>
        <v>#N/A</v>
      </c>
      <c r="AP26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61" s="32" t="e">
        <f>FME_Ranking2[[#This Row],[Score Based on Reported Factors]]-FME_Ranking2[[#This Row],[Check]]</f>
        <v>#REF!</v>
      </c>
      <c r="AR261" s="32"/>
      <c r="AT261" s="19"/>
      <c r="AU261" s="19"/>
      <c r="AV261" s="19"/>
      <c r="AW261" s="19"/>
      <c r="AX261" s="19"/>
      <c r="AY261" s="19"/>
      <c r="AZ261" s="19"/>
      <c r="BA261" s="19"/>
      <c r="BB261" s="19"/>
      <c r="BC261" s="19"/>
    </row>
    <row r="262" spans="1:55" ht="12" customHeight="1" x14ac:dyDescent="0.25">
      <c r="A262" s="17" t="s">
        <v>1879</v>
      </c>
      <c r="B262" s="17" t="e">
        <f>_xlfn.XLOOKUP(FME_Ranking2[[#This Row],[FME ID]],FME_Input[FME_ID],FME_Input[FME_NAME])</f>
        <v>#N/A</v>
      </c>
      <c r="C262" s="17" t="e">
        <f>_xlfn.XLOOKUP(FME_Ranking2[[#This Row],[FME ID]],FME_Input[FME_ID],FME_Input[DESCR])</f>
        <v>#N/A</v>
      </c>
      <c r="D262" s="33" t="e">
        <f>_xlfn.XLOOKUP(FME_Ranking2[[#This Row],[FME ID]],FME_Input[FME_ID],FME_Input[EMER_NEED])</f>
        <v>#N/A</v>
      </c>
      <c r="E262" s="120" t="e">
        <f>IF(FME_Ranking_Option2!$D262="Yes",100,0)</f>
        <v>#N/A</v>
      </c>
      <c r="F262" s="34" t="e">
        <f>_xlfn.XLOOKUP(FME_Ranking2[[#This Row],[FME ID]],FME_Input[FME_ID],FME_Input[FUND])</f>
        <v>#N/A</v>
      </c>
      <c r="G262" s="35" t="e">
        <f>IF(FME_Ranking_Option2!$F262="Yes",1,0)</f>
        <v>#N/A</v>
      </c>
      <c r="H262" s="33" t="e">
        <f>_xlfn.XLOOKUP(FME_Ranking2[[#This Row],[FME ID]],FME_Input[FME_ID],FME_Input[STRUCT_100])</f>
        <v>#N/A</v>
      </c>
      <c r="I262" s="64" t="e">
        <f>FME_Ranking2[[#This Row],[Raw Data3]]*H$4</f>
        <v>#N/A</v>
      </c>
      <c r="J262" s="63" t="e">
        <f>((FME_Ranking_Option2!$H262)/($H$3))*100</f>
        <v>#N/A</v>
      </c>
      <c r="K262" s="36" t="e">
        <f>FME_Ranking2[[#This Row],[Norm Data3]]*H$4</f>
        <v>#N/A</v>
      </c>
      <c r="L262" s="37" t="e">
        <f>_xlfn.XLOOKUP(FME_Ranking2[[#This Row],[FME ID]],FME_Input[FME_ID],FME_Input[RES_STRUCT100])</f>
        <v>#N/A</v>
      </c>
      <c r="M262" s="38" t="e">
        <f>FME_Ranking2[[#This Row],[Raw Data4]]*L$4</f>
        <v>#N/A</v>
      </c>
      <c r="N262" s="28" t="e">
        <f>((FME_Ranking_Option2!$L262)/($L$3))*100</f>
        <v>#N/A</v>
      </c>
      <c r="O262" s="39" t="e">
        <f>FME_Ranking2[[#This Row],[Norm Data4]]*L$4</f>
        <v>#N/A</v>
      </c>
      <c r="P262" s="34" t="e">
        <f>_xlfn.XLOOKUP(FME_Ranking2[[#This Row],[FME ID]],FME_Input[FME_ID],FME_Input[POP100])</f>
        <v>#N/A</v>
      </c>
      <c r="Q262" s="35" t="e">
        <f>FME_Ranking_Option2!$P262*P$4</f>
        <v>#N/A</v>
      </c>
      <c r="R262" s="35" t="e">
        <f>FME_Ranking_Option2!$P262/($P$3)</f>
        <v>#N/A</v>
      </c>
      <c r="S262" s="35" t="e">
        <f>FME_Ranking_Option2!$R262*P$4</f>
        <v>#N/A</v>
      </c>
      <c r="T262" s="37" t="e">
        <f>_xlfn.XLOOKUP(FME_Ranking2[[#This Row],[FME ID]],FME_Input[FME_ID],FME_Input[CRITFAC100])</f>
        <v>#N/A</v>
      </c>
      <c r="U262" s="35" t="e">
        <f>FME_Ranking_Option2!$T262*T$4</f>
        <v>#N/A</v>
      </c>
      <c r="V262" s="35" t="e">
        <f>FME_Ranking_Option2!$T262/($T$3)</f>
        <v>#N/A</v>
      </c>
      <c r="W262" s="35" t="e">
        <f>FME_Ranking_Option2!$V262*T$4</f>
        <v>#N/A</v>
      </c>
      <c r="X262" s="37" t="e">
        <f>_xlfn.XLOOKUP(FME_Ranking2[[#This Row],[FME ID]],FME_Input[FME_ID],FME_Input[LWC])</f>
        <v>#N/A</v>
      </c>
      <c r="Y262" s="35" t="e">
        <f>FME_Ranking_Option2!$X262*X$4</f>
        <v>#N/A</v>
      </c>
      <c r="Z262" s="35" t="e">
        <f>FME_Ranking_Option2!$X262/($X$3)</f>
        <v>#N/A</v>
      </c>
      <c r="AA262" s="35" t="e">
        <f>FME_Ranking_Option2!$Z262*X$4</f>
        <v>#N/A</v>
      </c>
      <c r="AB262" s="37" t="e">
        <f>_xlfn.XLOOKUP(FME_Ranking2[[#This Row],[FME ID]],FME_Input[FME_ID],FME_Input[ROADCLS])</f>
        <v>#N/A</v>
      </c>
      <c r="AC262" s="35" t="e">
        <f>FME_Ranking_Option2!$AB262*AB$4</f>
        <v>#N/A</v>
      </c>
      <c r="AD262" s="40" t="e">
        <f>_xlfn.XLOOKUP(FME_Ranking2[[#This Row],[FME ID]],FME_Input[FME_ID],FME_Input[ROAD_MILES100])</f>
        <v>#N/A</v>
      </c>
      <c r="AE262" s="41" t="e">
        <f>FME_Ranking_Option2!$AD262*AD$4</f>
        <v>#N/A</v>
      </c>
      <c r="AF262" s="42" t="e">
        <f>FME_Ranking_Option2!$AD262/($AD$3)</f>
        <v>#N/A</v>
      </c>
      <c r="AG262" s="42" t="e">
        <f>FME_Ranking_Option2!$AF262*AD$4</f>
        <v>#N/A</v>
      </c>
      <c r="AH262" s="40" t="e">
        <f>_xlfn.XLOOKUP(FME_Ranking2[[#This Row],[FME ID]],FME_Input[FME_ID],FME_Input[FARMACRE100])</f>
        <v>#N/A</v>
      </c>
      <c r="AI262" s="43" t="e">
        <f>FME_Ranking_Option2!$AH262*AH$4</f>
        <v>#N/A</v>
      </c>
      <c r="AJ262" s="41" t="e">
        <f>FME_Ranking_Option2!$AH262/($AH$3)</f>
        <v>#N/A</v>
      </c>
      <c r="AK262" s="44" t="e">
        <f>FME_Ranking_Option2!$AJ262*AH$4</f>
        <v>#N/A</v>
      </c>
      <c r="AL262"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#N/A</v>
      </c>
      <c r="AM262" s="45" t="e">
        <f>_xlfn.RANK.EQ(AL262,$AL$7:$AL$531)+COUNTIF(AL$7:AL262,AL262)-1</f>
        <v>#N/A</v>
      </c>
      <c r="AN262" s="44"/>
      <c r="AO262" s="45" t="e">
        <f>_xlfn.RANK.EQ(AN262,$AN$7:$AN$531)+COUNTIF(AN$7:AN262,AN262)-1</f>
        <v>#N/A</v>
      </c>
      <c r="AP26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#N/A</v>
      </c>
      <c r="AQ262" s="32" t="e">
        <f>FME_Ranking2[[#This Row],[Score Based on Reported Factors]]-FME_Ranking2[[#This Row],[Check]]</f>
        <v>#N/A</v>
      </c>
      <c r="AR262" s="32"/>
    </row>
    <row r="263" spans="1:55" ht="12" customHeight="1" x14ac:dyDescent="0.25">
      <c r="A263" s="16" t="s">
        <v>1893</v>
      </c>
      <c r="B263" s="16" t="str">
        <f>_xlfn.XLOOKUP(FME_Ranking2[[#This Row],[FME ID]],FME_Input[FME_ID],FME_Input[FME_NAME])</f>
        <v xml:space="preserve">I100-WP01 Vince Bayou Watershed Planning Project Recommendation </v>
      </c>
      <c r="C263" s="16" t="str">
        <f>_xlfn.XLOOKUP(FME_Ranking2[[#This Row],[FME ID]],FME_Input[FME_ID],FME_Input[DESCR])</f>
        <v xml:space="preserve">Study to develop a BCR required for this project to become a FMP. Alt-6 Detention basin and channel widening near Strawberry road on left bank of Vince Bayou. </v>
      </c>
      <c r="D263" s="46" t="str">
        <f>_xlfn.XLOOKUP(FME_Ranking2[[#This Row],[FME ID]],FME_Input[FME_ID],FME_Input[EMER_NEED])</f>
        <v>No</v>
      </c>
      <c r="E263" s="121">
        <f>IF(FME_Ranking_Option2!$D263="Yes",100,0)</f>
        <v>0</v>
      </c>
      <c r="F263" s="47" t="str">
        <f>_xlfn.XLOOKUP(FME_Ranking2[[#This Row],[FME ID]],FME_Input[FME_ID],FME_Input[FUND])</f>
        <v>Yes</v>
      </c>
      <c r="G263" s="48">
        <f>IF(FME_Ranking_Option2!$F263="Yes",1,0)</f>
        <v>1</v>
      </c>
      <c r="H263" s="46">
        <f>_xlfn.XLOOKUP(FME_Ranking2[[#This Row],[FME ID]],FME_Input[FME_ID],FME_Input[STRUCT_100])</f>
        <v>766</v>
      </c>
      <c r="I263" s="65" t="e">
        <f>FME_Ranking2[[#This Row],[Raw Data3]]*H$4</f>
        <v>#REF!</v>
      </c>
      <c r="J263" s="62">
        <f>((FME_Ranking_Option2!$H263)/($H$3))*100</f>
        <v>8.5123501309635072E-2</v>
      </c>
      <c r="K263" s="49" t="e">
        <f>FME_Ranking2[[#This Row],[Norm Data3]]*H$4</f>
        <v>#REF!</v>
      </c>
      <c r="L263" s="50">
        <f>_xlfn.XLOOKUP(FME_Ranking2[[#This Row],[FME ID]],FME_Input[FME_ID],FME_Input[RES_STRUCT100])</f>
        <v>571</v>
      </c>
      <c r="M263" s="51" t="e">
        <f>FME_Ranking2[[#This Row],[Raw Data4]]*L$4</f>
        <v>#REF!</v>
      </c>
      <c r="N263" s="29">
        <f>((FME_Ranking_Option2!$L263)/($L$3))*100</f>
        <v>8.5366200067874362E-2</v>
      </c>
      <c r="O263" s="52" t="e">
        <f>FME_Ranking2[[#This Row],[Norm Data4]]*L$4</f>
        <v>#REF!</v>
      </c>
      <c r="P263" s="47">
        <f>_xlfn.XLOOKUP(FME_Ranking2[[#This Row],[FME ID]],FME_Input[FME_ID],FME_Input[POP100])</f>
        <v>3202</v>
      </c>
      <c r="Q263" s="48" t="e">
        <f>FME_Ranking_Option2!$P263*P$4</f>
        <v>#REF!</v>
      </c>
      <c r="R263" s="48">
        <f>FME_Ranking_Option2!$P263/($P$3)</f>
        <v>1.1752019901359373E-3</v>
      </c>
      <c r="S263" s="48" t="e">
        <f>FME_Ranking_Option2!$R263*P$4</f>
        <v>#REF!</v>
      </c>
      <c r="T263" s="50">
        <f>_xlfn.XLOOKUP(FME_Ranking2[[#This Row],[FME ID]],FME_Input[FME_ID],FME_Input[CRITFAC100])</f>
        <v>5</v>
      </c>
      <c r="U263" s="48" t="e">
        <f>FME_Ranking_Option2!$T263*T$4</f>
        <v>#REF!</v>
      </c>
      <c r="V263" s="48">
        <f>FME_Ranking_Option2!$T263/($T$3)</f>
        <v>7.0511916513890844E-4</v>
      </c>
      <c r="W263" s="48" t="e">
        <f>FME_Ranking_Option2!$V263*T$4</f>
        <v>#REF!</v>
      </c>
      <c r="X263" s="50">
        <f>_xlfn.XLOOKUP(FME_Ranking2[[#This Row],[FME ID]],FME_Input[FME_ID],FME_Input[LWC])</f>
        <v>0</v>
      </c>
      <c r="Y263" s="48" t="e">
        <f>FME_Ranking_Option2!$X263*X$4</f>
        <v>#REF!</v>
      </c>
      <c r="Z263" s="48">
        <f>FME_Ranking_Option2!$X263/($X$3)</f>
        <v>0</v>
      </c>
      <c r="AA263" s="48" t="e">
        <f>FME_Ranking_Option2!$Z263*X$4</f>
        <v>#REF!</v>
      </c>
      <c r="AB263" s="50">
        <f>_xlfn.XLOOKUP(FME_Ranking2[[#This Row],[FME ID]],FME_Input[FME_ID],FME_Input[ROADCLS])</f>
        <v>0</v>
      </c>
      <c r="AC263" s="48" t="e">
        <f>FME_Ranking_Option2!$AB263*AB$4</f>
        <v>#REF!</v>
      </c>
      <c r="AD263" s="53">
        <f>_xlfn.XLOOKUP(FME_Ranking2[[#This Row],[FME ID]],FME_Input[FME_ID],FME_Input[ROAD_MILES100])</f>
        <v>7.6052932739257813</v>
      </c>
      <c r="AE263" s="54" t="e">
        <f>FME_Ranking_Option2!$AD263*AD$4</f>
        <v>#REF!</v>
      </c>
      <c r="AF263" s="55">
        <f>FME_Ranking_Option2!$AD263/($AD$3)</f>
        <v>1.7178291077629739E-4</v>
      </c>
      <c r="AG263" s="55" t="e">
        <f>FME_Ranking_Option2!$AF263*AD$4</f>
        <v>#REF!</v>
      </c>
      <c r="AH263" s="53">
        <f>_xlfn.XLOOKUP(FME_Ranking2[[#This Row],[FME ID]],FME_Input[FME_ID],FME_Input[FARMACRE100])</f>
        <v>0.22120149433612821</v>
      </c>
      <c r="AI263" s="54" t="e">
        <f>FME_Ranking_Option2!$AH263*AH$4</f>
        <v>#REF!</v>
      </c>
      <c r="AJ263" s="56">
        <f>FME_Ranking_Option2!$AH263/($AH$3)</f>
        <v>1.2844272627491216E-5</v>
      </c>
      <c r="AK263" s="57" t="e">
        <f>FME_Ranking_Option2!$AJ263*AH$4</f>
        <v>#REF!</v>
      </c>
      <c r="AL263"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63" s="58" t="e">
        <f>_xlfn.RANK.EQ(AL263,$AL$7:$AL$531)+COUNTIF(AL$7:AL263,AL263)-1</f>
        <v>#REF!</v>
      </c>
      <c r="AN263" s="57"/>
      <c r="AO263" s="58" t="e">
        <f>_xlfn.RANK.EQ(AN263,$AN$7:$AN$531)+COUNTIF(AN$7:AN263,AN263)-1</f>
        <v>#N/A</v>
      </c>
      <c r="AP26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63" s="32" t="e">
        <f>FME_Ranking2[[#This Row],[Score Based on Reported Factors]]-FME_Ranking2[[#This Row],[Check]]</f>
        <v>#REF!</v>
      </c>
      <c r="AR263" s="32"/>
      <c r="AT263" s="19"/>
      <c r="AU263" s="19"/>
      <c r="AV263" s="19"/>
      <c r="AW263" s="19"/>
      <c r="AX263" s="19"/>
      <c r="AY263" s="19"/>
      <c r="AZ263" s="19"/>
      <c r="BA263" s="19"/>
      <c r="BB263" s="19"/>
      <c r="BC263" s="19"/>
    </row>
    <row r="264" spans="1:55" ht="12" customHeight="1" x14ac:dyDescent="0.25">
      <c r="A264" s="17" t="s">
        <v>1880</v>
      </c>
      <c r="B264" s="17" t="str">
        <f>_xlfn.XLOOKUP(FME_Ranking2[[#This Row],[FME ID]],FME_Input[FME_ID],FME_Input[FME_NAME])</f>
        <v>Blalock Road Drainage Improvement Project</v>
      </c>
      <c r="C264" s="17" t="str">
        <f>_xlfn.XLOOKUP(FME_Ranking2[[#This Row],[FME ID]],FME_Input[FME_ID],FME_Input[DESCR])</f>
        <v xml:space="preserve">Study to further the proposed project that includes increasing the capacity of the drainage system with a 9’x9’ RCB to replace dual 36-inch RCP along the east side of the road and an open ditch with driveway culverts on the west side of the road. </v>
      </c>
      <c r="D264" s="33" t="str">
        <f>_xlfn.XLOOKUP(FME_Ranking2[[#This Row],[FME ID]],FME_Input[FME_ID],FME_Input[EMER_NEED])</f>
        <v>No</v>
      </c>
      <c r="E264" s="120">
        <f>IF(FME_Ranking_Option2!$D264="Yes",100,0)</f>
        <v>0</v>
      </c>
      <c r="F264" s="34" t="str">
        <f>_xlfn.XLOOKUP(FME_Ranking2[[#This Row],[FME ID]],FME_Input[FME_ID],FME_Input[FUND])</f>
        <v>Yes</v>
      </c>
      <c r="G264" s="35">
        <f>IF(FME_Ranking_Option2!$F264="Yes",1,0)</f>
        <v>1</v>
      </c>
      <c r="H264" s="33">
        <f>_xlfn.XLOOKUP(FME_Ranking2[[#This Row],[FME ID]],FME_Input[FME_ID],FME_Input[STRUCT_100])</f>
        <v>35</v>
      </c>
      <c r="I264" s="64" t="e">
        <f>FME_Ranking2[[#This Row],[Raw Data3]]*H$4</f>
        <v>#REF!</v>
      </c>
      <c r="J264" s="63">
        <f>((FME_Ranking_Option2!$H264)/($H$3))*100</f>
        <v>3.8894550206752315E-3</v>
      </c>
      <c r="K264" s="36" t="e">
        <f>FME_Ranking2[[#This Row],[Norm Data3]]*H$4</f>
        <v>#REF!</v>
      </c>
      <c r="L264" s="37">
        <f>_xlfn.XLOOKUP(FME_Ranking2[[#This Row],[FME ID]],FME_Input[FME_ID],FME_Input[RES_STRUCT100])</f>
        <v>25</v>
      </c>
      <c r="M264" s="38" t="e">
        <f>FME_Ranking2[[#This Row],[Raw Data4]]*L$4</f>
        <v>#REF!</v>
      </c>
      <c r="N264" s="28">
        <f>((FME_Ranking_Option2!$L264)/($L$3))*100</f>
        <v>3.737574433794849E-3</v>
      </c>
      <c r="O264" s="39" t="e">
        <f>FME_Ranking2[[#This Row],[Norm Data4]]*L$4</f>
        <v>#REF!</v>
      </c>
      <c r="P264" s="34">
        <f>_xlfn.XLOOKUP(FME_Ranking2[[#This Row],[FME ID]],FME_Input[FME_ID],FME_Input[POP100])</f>
        <v>365</v>
      </c>
      <c r="Q264" s="35" t="e">
        <f>FME_Ranking_Option2!$P264*P$4</f>
        <v>#REF!</v>
      </c>
      <c r="R264" s="35">
        <f>FME_Ranking_Option2!$P264/($P$3)</f>
        <v>1.3396275028095474E-4</v>
      </c>
      <c r="S264" s="35" t="e">
        <f>FME_Ranking_Option2!$R264*P$4</f>
        <v>#REF!</v>
      </c>
      <c r="T264" s="37">
        <f>_xlfn.XLOOKUP(FME_Ranking2[[#This Row],[FME ID]],FME_Input[FME_ID],FME_Input[CRITFAC100])</f>
        <v>1</v>
      </c>
      <c r="U264" s="35" t="e">
        <f>FME_Ranking_Option2!$T264*T$4</f>
        <v>#REF!</v>
      </c>
      <c r="V264" s="35">
        <f>FME_Ranking_Option2!$T264/($T$3)</f>
        <v>1.4102383302778171E-4</v>
      </c>
      <c r="W264" s="35" t="e">
        <f>FME_Ranking_Option2!$V264*T$4</f>
        <v>#REF!</v>
      </c>
      <c r="X264" s="37">
        <f>_xlfn.XLOOKUP(FME_Ranking2[[#This Row],[FME ID]],FME_Input[FME_ID],FME_Input[LWC])</f>
        <v>0</v>
      </c>
      <c r="Y264" s="35" t="e">
        <f>FME_Ranking_Option2!$X264*X$4</f>
        <v>#REF!</v>
      </c>
      <c r="Z264" s="35">
        <f>FME_Ranking_Option2!$X264/($X$3)</f>
        <v>0</v>
      </c>
      <c r="AA264" s="35" t="e">
        <f>FME_Ranking_Option2!$Z264*X$4</f>
        <v>#REF!</v>
      </c>
      <c r="AB264" s="37">
        <f>_xlfn.XLOOKUP(FME_Ranking2[[#This Row],[FME ID]],FME_Input[FME_ID],FME_Input[ROADCLS])</f>
        <v>0</v>
      </c>
      <c r="AC264" s="35" t="e">
        <f>FME_Ranking_Option2!$AB264*AB$4</f>
        <v>#REF!</v>
      </c>
      <c r="AD264" s="40">
        <f>_xlfn.XLOOKUP(FME_Ranking2[[#This Row],[FME ID]],FME_Input[FME_ID],FME_Input[ROAD_MILES100])</f>
        <v>0.28545406460762018</v>
      </c>
      <c r="AE264" s="41" t="e">
        <f>FME_Ranking_Option2!$AD264*AD$4</f>
        <v>#REF!</v>
      </c>
      <c r="AF264" s="42">
        <f>FME_Ranking_Option2!$AD264/($AD$3)</f>
        <v>6.4476317145243053E-6</v>
      </c>
      <c r="AG264" s="42" t="e">
        <f>FME_Ranking_Option2!$AF264*AD$4</f>
        <v>#REF!</v>
      </c>
      <c r="AH264" s="40">
        <f>_xlfn.XLOOKUP(FME_Ranking2[[#This Row],[FME ID]],FME_Input[FME_ID],FME_Input[FARMACRE100])</f>
        <v>0</v>
      </c>
      <c r="AI264" s="43" t="e">
        <f>FME_Ranking_Option2!$AH264*AH$4</f>
        <v>#REF!</v>
      </c>
      <c r="AJ264" s="41">
        <f>FME_Ranking_Option2!$AH264/($AH$3)</f>
        <v>0</v>
      </c>
      <c r="AK264" s="44" t="e">
        <f>FME_Ranking_Option2!$AJ264*AH$4</f>
        <v>#REF!</v>
      </c>
      <c r="AL264"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64" s="45" t="e">
        <f>_xlfn.RANK.EQ(AL264,$AL$7:$AL$531)+COUNTIF(AL$7:AL264,AL264)-1</f>
        <v>#REF!</v>
      </c>
      <c r="AN264" s="44"/>
      <c r="AO264" s="45" t="e">
        <f>_xlfn.RANK.EQ(AN264,$AN$7:$AN$531)+COUNTIF(AN$7:AN264,AN264)-1</f>
        <v>#N/A</v>
      </c>
      <c r="AP26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64" s="32" t="e">
        <f>FME_Ranking2[[#This Row],[Score Based on Reported Factors]]-FME_Ranking2[[#This Row],[Check]]</f>
        <v>#REF!</v>
      </c>
      <c r="AR264" s="32"/>
    </row>
    <row r="265" spans="1:55" ht="12" customHeight="1" x14ac:dyDescent="0.25">
      <c r="A265" s="16" t="s">
        <v>1886</v>
      </c>
      <c r="B265" s="16" t="str">
        <f>_xlfn.XLOOKUP(FME_Ranking2[[#This Row],[FME ID]],FME_Input[FME_ID],FME_Input[FME_NAME])</f>
        <v>Brays Bayou - Keegans  Bayou (D118-00-00) Flood Risk Reduction</v>
      </c>
      <c r="C265" s="16" t="str">
        <f>_xlfn.XLOOKUP(FME_Ranking2[[#This Row],[FME ID]],FME_Input[FME_ID],FME_Input[DESCR])</f>
        <v>Study to develop a BCR required for this project to become a FMP.  A project could reduce the risk flooding for over 2,500 structures and could reduce the frequency and duration of flooding along about 100 miles of roadway.</v>
      </c>
      <c r="D265" s="46" t="str">
        <f>_xlfn.XLOOKUP(FME_Ranking2[[#This Row],[FME ID]],FME_Input[FME_ID],FME_Input[EMER_NEED])</f>
        <v>No</v>
      </c>
      <c r="E265" s="121">
        <f>IF(FME_Ranking_Option2!$D265="Yes",100,0)</f>
        <v>0</v>
      </c>
      <c r="F265" s="47" t="str">
        <f>_xlfn.XLOOKUP(FME_Ranking2[[#This Row],[FME ID]],FME_Input[FME_ID],FME_Input[FUND])</f>
        <v>Yes</v>
      </c>
      <c r="G265" s="48">
        <f>IF(FME_Ranking_Option2!$F265="Yes",1,0)</f>
        <v>1</v>
      </c>
      <c r="H265" s="46">
        <f>_xlfn.XLOOKUP(FME_Ranking2[[#This Row],[FME ID]],FME_Input[FME_ID],FME_Input[STRUCT_100])</f>
        <v>2549</v>
      </c>
      <c r="I265" s="65" t="e">
        <f>FME_Ranking2[[#This Row],[Raw Data3]]*H$4</f>
        <v>#REF!</v>
      </c>
      <c r="J265" s="62">
        <f>((FME_Ranking_Option2!$H265)/($H$3))*100</f>
        <v>0.28326345279146187</v>
      </c>
      <c r="K265" s="49" t="e">
        <f>FME_Ranking2[[#This Row],[Norm Data3]]*H$4</f>
        <v>#REF!</v>
      </c>
      <c r="L265" s="50">
        <f>_xlfn.XLOOKUP(FME_Ranking2[[#This Row],[FME ID]],FME_Input[FME_ID],FME_Input[RES_STRUCT100])</f>
        <v>2257</v>
      </c>
      <c r="M265" s="51" t="e">
        <f>FME_Ranking2[[#This Row],[Raw Data4]]*L$4</f>
        <v>#REF!</v>
      </c>
      <c r="N265" s="29">
        <f>((FME_Ranking_Option2!$L265)/($L$3))*100</f>
        <v>0.33742821988299893</v>
      </c>
      <c r="O265" s="52" t="e">
        <f>FME_Ranking2[[#This Row],[Norm Data4]]*L$4</f>
        <v>#REF!</v>
      </c>
      <c r="P265" s="47">
        <f>_xlfn.XLOOKUP(FME_Ranking2[[#This Row],[FME ID]],FME_Input[FME_ID],FME_Input[POP100])</f>
        <v>30383</v>
      </c>
      <c r="Q265" s="48" t="e">
        <f>FME_Ranking_Option2!$P265*P$4</f>
        <v>#REF!</v>
      </c>
      <c r="R265" s="48">
        <f>FME_Ranking_Option2!$P265/($P$3)</f>
        <v>1.1151206141880133E-2</v>
      </c>
      <c r="S265" s="48" t="e">
        <f>FME_Ranking_Option2!$R265*P$4</f>
        <v>#REF!</v>
      </c>
      <c r="T265" s="50">
        <f>_xlfn.XLOOKUP(FME_Ranking2[[#This Row],[FME ID]],FME_Input[FME_ID],FME_Input[CRITFAC100])</f>
        <v>27</v>
      </c>
      <c r="U265" s="48" t="e">
        <f>FME_Ranking_Option2!$T265*T$4</f>
        <v>#REF!</v>
      </c>
      <c r="V265" s="48">
        <f>FME_Ranking_Option2!$T265/($T$3)</f>
        <v>3.8076434917501058E-3</v>
      </c>
      <c r="W265" s="48" t="e">
        <f>FME_Ranking_Option2!$V265*T$4</f>
        <v>#REF!</v>
      </c>
      <c r="X265" s="50">
        <f>_xlfn.XLOOKUP(FME_Ranking2[[#This Row],[FME ID]],FME_Input[FME_ID],FME_Input[LWC])</f>
        <v>0</v>
      </c>
      <c r="Y265" s="48" t="e">
        <f>FME_Ranking_Option2!$X265*X$4</f>
        <v>#REF!</v>
      </c>
      <c r="Z265" s="48">
        <f>FME_Ranking_Option2!$X265/($X$3)</f>
        <v>0</v>
      </c>
      <c r="AA265" s="48" t="e">
        <f>FME_Ranking_Option2!$Z265*X$4</f>
        <v>#REF!</v>
      </c>
      <c r="AB265" s="50">
        <f>_xlfn.XLOOKUP(FME_Ranking2[[#This Row],[FME ID]],FME_Input[FME_ID],FME_Input[ROADCLS])</f>
        <v>0</v>
      </c>
      <c r="AC265" s="48" t="e">
        <f>FME_Ranking_Option2!$AB265*AB$4</f>
        <v>#REF!</v>
      </c>
      <c r="AD265" s="53">
        <f>_xlfn.XLOOKUP(FME_Ranking2[[#This Row],[FME ID]],FME_Input[FME_ID],FME_Input[ROAD_MILES100])</f>
        <v>39.289417266845703</v>
      </c>
      <c r="AE265" s="54" t="e">
        <f>FME_Ranking_Option2!$AD265*AD$4</f>
        <v>#REF!</v>
      </c>
      <c r="AF265" s="55">
        <f>FME_Ranking_Option2!$AD265/($AD$3)</f>
        <v>8.874411830958063E-4</v>
      </c>
      <c r="AG265" s="55" t="e">
        <f>FME_Ranking_Option2!$AF265*AD$4</f>
        <v>#REF!</v>
      </c>
      <c r="AH265" s="53">
        <f>_xlfn.XLOOKUP(FME_Ranking2[[#This Row],[FME ID]],FME_Input[FME_ID],FME_Input[FARMACRE100])</f>
        <v>3.389466285705566</v>
      </c>
      <c r="AI265" s="54" t="e">
        <f>FME_Ranking_Option2!$AH265*AH$4</f>
        <v>#REF!</v>
      </c>
      <c r="AJ265" s="56">
        <f>FME_Ranking_Option2!$AH265/($AH$3)</f>
        <v>1.9681254489690777E-4</v>
      </c>
      <c r="AK265" s="57" t="e">
        <f>FME_Ranking_Option2!$AJ265*AH$4</f>
        <v>#REF!</v>
      </c>
      <c r="AL265"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65" s="58" t="e">
        <f>_xlfn.RANK.EQ(AL265,$AL$7:$AL$531)+COUNTIF(AL$7:AL265,AL265)-1</f>
        <v>#REF!</v>
      </c>
      <c r="AN265" s="57"/>
      <c r="AO265" s="58" t="e">
        <f>_xlfn.RANK.EQ(AN265,$AN$7:$AN$531)+COUNTIF(AN$7:AN265,AN265)-1</f>
        <v>#N/A</v>
      </c>
      <c r="AP26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65" s="32" t="e">
        <f>FME_Ranking2[[#This Row],[Score Based on Reported Factors]]-FME_Ranking2[[#This Row],[Check]]</f>
        <v>#REF!</v>
      </c>
      <c r="AR265" s="32"/>
      <c r="AT265" s="19"/>
      <c r="AU265" s="19"/>
      <c r="AV265" s="19"/>
      <c r="AW265" s="19"/>
      <c r="AX265" s="19"/>
      <c r="AY265" s="19"/>
      <c r="AZ265" s="19"/>
      <c r="BA265" s="19"/>
      <c r="BB265" s="19"/>
      <c r="BC265" s="19"/>
    </row>
    <row r="266" spans="1:55" ht="12" customHeight="1" x14ac:dyDescent="0.25">
      <c r="A266" s="17" t="s">
        <v>1898</v>
      </c>
      <c r="B266" s="17" t="str">
        <f>_xlfn.XLOOKUP(FME_Ranking2[[#This Row],[FME ID]],FME_Input[FME_ID],FME_Input[FME_NAME])</f>
        <v>I100-WP06 for Vince Bayou Watershed Planning Project</v>
      </c>
      <c r="C266" s="17" t="str">
        <f>_xlfn.XLOOKUP(FME_Ranking2[[#This Row],[FME ID]],FME_Input[FME_ID],FME_Input[DESCR])</f>
        <v>Study to develop a Benefit Cost Analysis needed for this project to become a FMP. Right-of-way acquisition, design, and construction of a stormwater detention basin and schannel widening near Strawberry Road and Young Street.</v>
      </c>
      <c r="D266" s="33" t="str">
        <f>_xlfn.XLOOKUP(FME_Ranking2[[#This Row],[FME ID]],FME_Input[FME_ID],FME_Input[EMER_NEED])</f>
        <v>No</v>
      </c>
      <c r="E266" s="120">
        <f>IF(FME_Ranking_Option2!$D266="Yes",100,0)</f>
        <v>0</v>
      </c>
      <c r="F266" s="34" t="str">
        <f>_xlfn.XLOOKUP(FME_Ranking2[[#This Row],[FME ID]],FME_Input[FME_ID],FME_Input[FUND])</f>
        <v>Yes</v>
      </c>
      <c r="G266" s="35">
        <f>IF(FME_Ranking_Option2!$F266="Yes",1,0)</f>
        <v>1</v>
      </c>
      <c r="H266" s="33">
        <f>_xlfn.XLOOKUP(FME_Ranking2[[#This Row],[FME ID]],FME_Input[FME_ID],FME_Input[STRUCT_100])</f>
        <v>948</v>
      </c>
      <c r="I266" s="64" t="e">
        <f>FME_Ranking2[[#This Row],[Raw Data3]]*H$4</f>
        <v>#REF!</v>
      </c>
      <c r="J266" s="63">
        <f>((FME_Ranking_Option2!$H266)/($H$3))*100</f>
        <v>0.10534866741714627</v>
      </c>
      <c r="K266" s="36" t="e">
        <f>FME_Ranking2[[#This Row],[Norm Data3]]*H$4</f>
        <v>#REF!</v>
      </c>
      <c r="L266" s="37">
        <f>_xlfn.XLOOKUP(FME_Ranking2[[#This Row],[FME ID]],FME_Input[FME_ID],FME_Input[RES_STRUCT100])</f>
        <v>709</v>
      </c>
      <c r="M266" s="38" t="e">
        <f>FME_Ranking2[[#This Row],[Raw Data4]]*L$4</f>
        <v>#REF!</v>
      </c>
      <c r="N266" s="28">
        <f>((FME_Ranking_Option2!$L266)/($L$3))*100</f>
        <v>0.10599761094242192</v>
      </c>
      <c r="O266" s="39" t="e">
        <f>FME_Ranking2[[#This Row],[Norm Data4]]*L$4</f>
        <v>#REF!</v>
      </c>
      <c r="P266" s="34">
        <f>_xlfn.XLOOKUP(FME_Ranking2[[#This Row],[FME ID]],FME_Input[FME_ID],FME_Input[POP100])</f>
        <v>4153</v>
      </c>
      <c r="Q266" s="35" t="e">
        <f>FME_Ranking_Option2!$P266*P$4</f>
        <v>#REF!</v>
      </c>
      <c r="R266" s="35">
        <f>FME_Ranking_Option2!$P266/($P$3)</f>
        <v>1.5242391833337125E-3</v>
      </c>
      <c r="S266" s="35" t="e">
        <f>FME_Ranking_Option2!$R266*P$4</f>
        <v>#REF!</v>
      </c>
      <c r="T266" s="37">
        <f>_xlfn.XLOOKUP(FME_Ranking2[[#This Row],[FME ID]],FME_Input[FME_ID],FME_Input[CRITFAC100])</f>
        <v>8</v>
      </c>
      <c r="U266" s="35" t="e">
        <f>FME_Ranking_Option2!$T266*T$4</f>
        <v>#REF!</v>
      </c>
      <c r="V266" s="35">
        <f>FME_Ranking_Option2!$T266/($T$3)</f>
        <v>1.1281906642222536E-3</v>
      </c>
      <c r="W266" s="35" t="e">
        <f>FME_Ranking_Option2!$V266*T$4</f>
        <v>#REF!</v>
      </c>
      <c r="X266" s="37">
        <f>_xlfn.XLOOKUP(FME_Ranking2[[#This Row],[FME ID]],FME_Input[FME_ID],FME_Input[LWC])</f>
        <v>1</v>
      </c>
      <c r="Y266" s="35" t="e">
        <f>FME_Ranking_Option2!$X266*X$4</f>
        <v>#REF!</v>
      </c>
      <c r="Z266" s="35">
        <f>FME_Ranking_Option2!$X266/($X$3)</f>
        <v>9.1224229155263632E-5</v>
      </c>
      <c r="AA266" s="35" t="e">
        <f>FME_Ranking_Option2!$Z266*X$4</f>
        <v>#REF!</v>
      </c>
      <c r="AB266" s="37">
        <f>_xlfn.XLOOKUP(FME_Ranking2[[#This Row],[FME ID]],FME_Input[FME_ID],FME_Input[ROADCLS])</f>
        <v>1</v>
      </c>
      <c r="AC266" s="35" t="e">
        <f>FME_Ranking_Option2!$AB266*AB$4</f>
        <v>#REF!</v>
      </c>
      <c r="AD266" s="40">
        <f>_xlfn.XLOOKUP(FME_Ranking2[[#This Row],[FME ID]],FME_Input[FME_ID],FME_Input[ROAD_MILES100])</f>
        <v>14.078611373901371</v>
      </c>
      <c r="AE266" s="41" t="e">
        <f>FME_Ranking_Option2!$AD266*AD$4</f>
        <v>#REF!</v>
      </c>
      <c r="AF266" s="42">
        <f>FME_Ranking_Option2!$AD266/($AD$3)</f>
        <v>3.1799757805377519E-4</v>
      </c>
      <c r="AG266" s="42" t="e">
        <f>FME_Ranking_Option2!$AF266*AD$4</f>
        <v>#REF!</v>
      </c>
      <c r="AH266" s="40">
        <f>_xlfn.XLOOKUP(FME_Ranking2[[#This Row],[FME ID]],FME_Input[FME_ID],FME_Input[FARMACRE100])</f>
        <v>1.550874590873718</v>
      </c>
      <c r="AI266" s="43" t="e">
        <f>FME_Ranking_Option2!$AH266*AH$4</f>
        <v>#REF!</v>
      </c>
      <c r="AJ266" s="41">
        <f>FME_Ranking_Option2!$AH266/($AH$3)</f>
        <v>9.0052990446626838E-5</v>
      </c>
      <c r="AK266" s="44" t="e">
        <f>FME_Ranking_Option2!$AJ266*AH$4</f>
        <v>#REF!</v>
      </c>
      <c r="AL266"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66" s="45" t="e">
        <f>_xlfn.RANK.EQ(AL266,$AL$7:$AL$531)+COUNTIF(AL$7:AL266,AL266)-1</f>
        <v>#REF!</v>
      </c>
      <c r="AN266" s="44"/>
      <c r="AO266" s="45" t="e">
        <f>_xlfn.RANK.EQ(AN266,$AN$7:$AN$531)+COUNTIF(AN$7:AN266,AN266)-1</f>
        <v>#N/A</v>
      </c>
      <c r="AP26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66" s="32" t="e">
        <f>FME_Ranking2[[#This Row],[Score Based on Reported Factors]]-FME_Ranking2[[#This Row],[Check]]</f>
        <v>#REF!</v>
      </c>
      <c r="AR266" s="32"/>
    </row>
    <row r="267" spans="1:55" ht="12" customHeight="1" x14ac:dyDescent="0.25">
      <c r="A267" s="16" t="s">
        <v>1901</v>
      </c>
      <c r="B267" s="16" t="str">
        <f>_xlfn.XLOOKUP(FME_Ranking2[[#This Row],[FME ID]],FME_Input[FME_ID],FME_Input[FME_NAME])</f>
        <v>I100-WP10 for Vince Bayou Watershed Planning Project</v>
      </c>
      <c r="C267" s="16" t="str">
        <f>_xlfn.XLOOKUP(FME_Ranking2[[#This Row],[FME ID]],FME_Input[FME_ID],FME_Input[DESCR])</f>
        <v>Study to develop a Benefit Cost Analysis needed for this project to become a FMP.  Right-of-way acquisition, Design, and Consruction of Two Stormwater Detention Basins near Westside Dr. and Westside. Ct.</v>
      </c>
      <c r="D267" s="46" t="str">
        <f>_xlfn.XLOOKUP(FME_Ranking2[[#This Row],[FME ID]],FME_Input[FME_ID],FME_Input[EMER_NEED])</f>
        <v>No</v>
      </c>
      <c r="E267" s="121">
        <f>IF(FME_Ranking_Option2!$D267="Yes",100,0)</f>
        <v>0</v>
      </c>
      <c r="F267" s="47" t="str">
        <f>_xlfn.XLOOKUP(FME_Ranking2[[#This Row],[FME ID]],FME_Input[FME_ID],FME_Input[FUND])</f>
        <v>Yes</v>
      </c>
      <c r="G267" s="48">
        <f>IF(FME_Ranking_Option2!$F267="Yes",1,0)</f>
        <v>1</v>
      </c>
      <c r="H267" s="46">
        <f>_xlfn.XLOOKUP(FME_Ranking2[[#This Row],[FME ID]],FME_Input[FME_ID],FME_Input[STRUCT_100])</f>
        <v>948</v>
      </c>
      <c r="I267" s="65" t="e">
        <f>FME_Ranking2[[#This Row],[Raw Data3]]*H$4</f>
        <v>#REF!</v>
      </c>
      <c r="J267" s="62">
        <f>((FME_Ranking_Option2!$H267)/($H$3))*100</f>
        <v>0.10534866741714627</v>
      </c>
      <c r="K267" s="49" t="e">
        <f>FME_Ranking2[[#This Row],[Norm Data3]]*H$4</f>
        <v>#REF!</v>
      </c>
      <c r="L267" s="50">
        <f>_xlfn.XLOOKUP(FME_Ranking2[[#This Row],[FME ID]],FME_Input[FME_ID],FME_Input[RES_STRUCT100])</f>
        <v>709</v>
      </c>
      <c r="M267" s="51" t="e">
        <f>FME_Ranking2[[#This Row],[Raw Data4]]*L$4</f>
        <v>#REF!</v>
      </c>
      <c r="N267" s="29">
        <f>((FME_Ranking_Option2!$L267)/($L$3))*100</f>
        <v>0.10599761094242192</v>
      </c>
      <c r="O267" s="52" t="e">
        <f>FME_Ranking2[[#This Row],[Norm Data4]]*L$4</f>
        <v>#REF!</v>
      </c>
      <c r="P267" s="47">
        <f>_xlfn.XLOOKUP(FME_Ranking2[[#This Row],[FME ID]],FME_Input[FME_ID],FME_Input[POP100])</f>
        <v>4153</v>
      </c>
      <c r="Q267" s="48" t="e">
        <f>FME_Ranking_Option2!$P267*P$4</f>
        <v>#REF!</v>
      </c>
      <c r="R267" s="48">
        <f>FME_Ranking_Option2!$P267/($P$3)</f>
        <v>1.5242391833337125E-3</v>
      </c>
      <c r="S267" s="48" t="e">
        <f>FME_Ranking_Option2!$R267*P$4</f>
        <v>#REF!</v>
      </c>
      <c r="T267" s="50">
        <f>_xlfn.XLOOKUP(FME_Ranking2[[#This Row],[FME ID]],FME_Input[FME_ID],FME_Input[CRITFAC100])</f>
        <v>8</v>
      </c>
      <c r="U267" s="48" t="e">
        <f>FME_Ranking_Option2!$T267*T$4</f>
        <v>#REF!</v>
      </c>
      <c r="V267" s="48">
        <f>FME_Ranking_Option2!$T267/($T$3)</f>
        <v>1.1281906642222536E-3</v>
      </c>
      <c r="W267" s="48" t="e">
        <f>FME_Ranking_Option2!$V267*T$4</f>
        <v>#REF!</v>
      </c>
      <c r="X267" s="50">
        <f>_xlfn.XLOOKUP(FME_Ranking2[[#This Row],[FME ID]],FME_Input[FME_ID],FME_Input[LWC])</f>
        <v>1</v>
      </c>
      <c r="Y267" s="48" t="e">
        <f>FME_Ranking_Option2!$X267*X$4</f>
        <v>#REF!</v>
      </c>
      <c r="Z267" s="48">
        <f>FME_Ranking_Option2!$X267/($X$3)</f>
        <v>9.1224229155263632E-5</v>
      </c>
      <c r="AA267" s="48" t="e">
        <f>FME_Ranking_Option2!$Z267*X$4</f>
        <v>#REF!</v>
      </c>
      <c r="AB267" s="50">
        <f>_xlfn.XLOOKUP(FME_Ranking2[[#This Row],[FME ID]],FME_Input[FME_ID],FME_Input[ROADCLS])</f>
        <v>1</v>
      </c>
      <c r="AC267" s="48" t="e">
        <f>FME_Ranking_Option2!$AB267*AB$4</f>
        <v>#REF!</v>
      </c>
      <c r="AD267" s="53">
        <f>_xlfn.XLOOKUP(FME_Ranking2[[#This Row],[FME ID]],FME_Input[FME_ID],FME_Input[ROAD_MILES100])</f>
        <v>14.078611373901371</v>
      </c>
      <c r="AE267" s="54" t="e">
        <f>FME_Ranking_Option2!$AD267*AD$4</f>
        <v>#REF!</v>
      </c>
      <c r="AF267" s="55">
        <f>FME_Ranking_Option2!$AD267/($AD$3)</f>
        <v>3.1799757805377519E-4</v>
      </c>
      <c r="AG267" s="55" t="e">
        <f>FME_Ranking_Option2!$AF267*AD$4</f>
        <v>#REF!</v>
      </c>
      <c r="AH267" s="53">
        <f>_xlfn.XLOOKUP(FME_Ranking2[[#This Row],[FME ID]],FME_Input[FME_ID],FME_Input[FARMACRE100])</f>
        <v>1.550874590873718</v>
      </c>
      <c r="AI267" s="54" t="e">
        <f>FME_Ranking_Option2!$AH267*AH$4</f>
        <v>#REF!</v>
      </c>
      <c r="AJ267" s="56">
        <f>FME_Ranking_Option2!$AH267/($AH$3)</f>
        <v>9.0052990446626838E-5</v>
      </c>
      <c r="AK267" s="57" t="e">
        <f>FME_Ranking_Option2!$AJ267*AH$4</f>
        <v>#REF!</v>
      </c>
      <c r="AL267"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67" s="58" t="e">
        <f>_xlfn.RANK.EQ(AL267,$AL$7:$AL$531)+COUNTIF(AL$7:AL267,AL267)-1</f>
        <v>#REF!</v>
      </c>
      <c r="AN267" s="57"/>
      <c r="AO267" s="58" t="e">
        <f>_xlfn.RANK.EQ(AN267,$AN$7:$AN$531)+COUNTIF(AN$7:AN267,AN267)-1</f>
        <v>#N/A</v>
      </c>
      <c r="AP26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67" s="32" t="e">
        <f>FME_Ranking2[[#This Row],[Score Based on Reported Factors]]-FME_Ranking2[[#This Row],[Check]]</f>
        <v>#REF!</v>
      </c>
      <c r="AR267" s="32"/>
      <c r="AT267" s="19"/>
      <c r="AU267" s="19"/>
      <c r="AV267" s="19"/>
      <c r="AW267" s="19"/>
      <c r="AX267" s="19"/>
      <c r="AY267" s="19"/>
      <c r="AZ267" s="19"/>
      <c r="BA267" s="19"/>
      <c r="BB267" s="19"/>
      <c r="BC267" s="19"/>
    </row>
    <row r="268" spans="1:55" ht="12" customHeight="1" x14ac:dyDescent="0.25">
      <c r="A268" s="17" t="s">
        <v>1904</v>
      </c>
      <c r="B268" s="17" t="str">
        <f>_xlfn.XLOOKUP(FME_Ranking2[[#This Row],[FME ID]],FME_Input[FME_ID],FME_Input[FME_NAME])</f>
        <v>I100-WP07 for Vince Bayou Watershed Planning Project</v>
      </c>
      <c r="C268" s="17" t="str">
        <f>_xlfn.XLOOKUP(FME_Ranking2[[#This Row],[FME ID]],FME_Input[FME_ID],FME_Input[DESCR])</f>
        <v>Study to develop a BCR needed for this project to become a FMP. Pasadena (CIP) Street Lowering (Various). Right-of-way acuisition, Design, and Consruction of Stormwaters Detention Basin and construction of Culverts near Pasadena Blvd..</v>
      </c>
      <c r="D268" s="33" t="str">
        <f>_xlfn.XLOOKUP(FME_Ranking2[[#This Row],[FME ID]],FME_Input[FME_ID],FME_Input[EMER_NEED])</f>
        <v>No</v>
      </c>
      <c r="E268" s="120">
        <f>IF(FME_Ranking_Option2!$D268="Yes",100,0)</f>
        <v>0</v>
      </c>
      <c r="F268" s="34" t="str">
        <f>_xlfn.XLOOKUP(FME_Ranking2[[#This Row],[FME ID]],FME_Input[FME_ID],FME_Input[FUND])</f>
        <v>Yes</v>
      </c>
      <c r="G268" s="35">
        <f>IF(FME_Ranking_Option2!$F268="Yes",1,0)</f>
        <v>1</v>
      </c>
      <c r="H268" s="33">
        <f>_xlfn.XLOOKUP(FME_Ranking2[[#This Row],[FME ID]],FME_Input[FME_ID],FME_Input[STRUCT_100])</f>
        <v>948</v>
      </c>
      <c r="I268" s="64" t="e">
        <f>FME_Ranking2[[#This Row],[Raw Data3]]*H$4</f>
        <v>#REF!</v>
      </c>
      <c r="J268" s="63">
        <f>((FME_Ranking_Option2!$H268)/($H$3))*100</f>
        <v>0.10534866741714627</v>
      </c>
      <c r="K268" s="36" t="e">
        <f>FME_Ranking2[[#This Row],[Norm Data3]]*H$4</f>
        <v>#REF!</v>
      </c>
      <c r="L268" s="37">
        <f>_xlfn.XLOOKUP(FME_Ranking2[[#This Row],[FME ID]],FME_Input[FME_ID],FME_Input[RES_STRUCT100])</f>
        <v>709</v>
      </c>
      <c r="M268" s="38" t="e">
        <f>FME_Ranking2[[#This Row],[Raw Data4]]*L$4</f>
        <v>#REF!</v>
      </c>
      <c r="N268" s="28">
        <f>((FME_Ranking_Option2!$L268)/($L$3))*100</f>
        <v>0.10599761094242192</v>
      </c>
      <c r="O268" s="39" t="e">
        <f>FME_Ranking2[[#This Row],[Norm Data4]]*L$4</f>
        <v>#REF!</v>
      </c>
      <c r="P268" s="34">
        <f>_xlfn.XLOOKUP(FME_Ranking2[[#This Row],[FME ID]],FME_Input[FME_ID],FME_Input[POP100])</f>
        <v>4153</v>
      </c>
      <c r="Q268" s="35" t="e">
        <f>FME_Ranking_Option2!$P268*P$4</f>
        <v>#REF!</v>
      </c>
      <c r="R268" s="35">
        <f>FME_Ranking_Option2!$P268/($P$3)</f>
        <v>1.5242391833337125E-3</v>
      </c>
      <c r="S268" s="35" t="e">
        <f>FME_Ranking_Option2!$R268*P$4</f>
        <v>#REF!</v>
      </c>
      <c r="T268" s="37">
        <f>_xlfn.XLOOKUP(FME_Ranking2[[#This Row],[FME ID]],FME_Input[FME_ID],FME_Input[CRITFAC100])</f>
        <v>8</v>
      </c>
      <c r="U268" s="35" t="e">
        <f>FME_Ranking_Option2!$T268*T$4</f>
        <v>#REF!</v>
      </c>
      <c r="V268" s="35">
        <f>FME_Ranking_Option2!$T268/($T$3)</f>
        <v>1.1281906642222536E-3</v>
      </c>
      <c r="W268" s="35" t="e">
        <f>FME_Ranking_Option2!$V268*T$4</f>
        <v>#REF!</v>
      </c>
      <c r="X268" s="37">
        <f>_xlfn.XLOOKUP(FME_Ranking2[[#This Row],[FME ID]],FME_Input[FME_ID],FME_Input[LWC])</f>
        <v>1</v>
      </c>
      <c r="Y268" s="35" t="e">
        <f>FME_Ranking_Option2!$X268*X$4</f>
        <v>#REF!</v>
      </c>
      <c r="Z268" s="35">
        <f>FME_Ranking_Option2!$X268/($X$3)</f>
        <v>9.1224229155263632E-5</v>
      </c>
      <c r="AA268" s="35" t="e">
        <f>FME_Ranking_Option2!$Z268*X$4</f>
        <v>#REF!</v>
      </c>
      <c r="AB268" s="37">
        <f>_xlfn.XLOOKUP(FME_Ranking2[[#This Row],[FME ID]],FME_Input[FME_ID],FME_Input[ROADCLS])</f>
        <v>1</v>
      </c>
      <c r="AC268" s="35" t="e">
        <f>FME_Ranking_Option2!$AB268*AB$4</f>
        <v>#REF!</v>
      </c>
      <c r="AD268" s="40">
        <f>_xlfn.XLOOKUP(FME_Ranking2[[#This Row],[FME ID]],FME_Input[FME_ID],FME_Input[ROAD_MILES100])</f>
        <v>14.078611373901371</v>
      </c>
      <c r="AE268" s="41" t="e">
        <f>FME_Ranking_Option2!$AD268*AD$4</f>
        <v>#REF!</v>
      </c>
      <c r="AF268" s="42">
        <f>FME_Ranking_Option2!$AD268/($AD$3)</f>
        <v>3.1799757805377519E-4</v>
      </c>
      <c r="AG268" s="42" t="e">
        <f>FME_Ranking_Option2!$AF268*AD$4</f>
        <v>#REF!</v>
      </c>
      <c r="AH268" s="40">
        <f>_xlfn.XLOOKUP(FME_Ranking2[[#This Row],[FME ID]],FME_Input[FME_ID],FME_Input[FARMACRE100])</f>
        <v>1.550874590873718</v>
      </c>
      <c r="AI268" s="43" t="e">
        <f>FME_Ranking_Option2!$AH268*AH$4</f>
        <v>#REF!</v>
      </c>
      <c r="AJ268" s="41">
        <f>FME_Ranking_Option2!$AH268/($AH$3)</f>
        <v>9.0052990446626838E-5</v>
      </c>
      <c r="AK268" s="44" t="e">
        <f>FME_Ranking_Option2!$AJ268*AH$4</f>
        <v>#REF!</v>
      </c>
      <c r="AL26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68" s="45" t="e">
        <f>_xlfn.RANK.EQ(AL268,$AL$7:$AL$531)+COUNTIF(AL$7:AL268,AL268)-1</f>
        <v>#REF!</v>
      </c>
      <c r="AN268" s="44"/>
      <c r="AO268" s="45" t="e">
        <f>_xlfn.RANK.EQ(AN268,$AN$7:$AN$531)+COUNTIF(AN$7:AN268,AN268)-1</f>
        <v>#N/A</v>
      </c>
      <c r="AP26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68" s="32" t="e">
        <f>FME_Ranking2[[#This Row],[Score Based on Reported Factors]]-FME_Ranking2[[#This Row],[Check]]</f>
        <v>#REF!</v>
      </c>
      <c r="AR268" s="32"/>
    </row>
    <row r="269" spans="1:55" ht="12" customHeight="1" x14ac:dyDescent="0.25">
      <c r="A269" s="16" t="s">
        <v>1907</v>
      </c>
      <c r="B269" s="16" t="str">
        <f>_xlfn.XLOOKUP(FME_Ranking2[[#This Row],[FME ID]],FME_Input[FME_ID],FME_Input[FME_NAME])</f>
        <v>I100-WP11 for Vince Bayou Watershed Planning Project</v>
      </c>
      <c r="C269" s="16" t="str">
        <f>_xlfn.XLOOKUP(FME_Ranking2[[#This Row],[FME ID]],FME_Input[FME_ID],FME_Input[DESCR])</f>
        <v>Study to develop a Benefit Cost Analysis needed for this project to become a FMP. Right-of-way acquisition, Design, and Consruction of Stormwater Detention Basins near Spencer Hwy. and Tulip Street.</v>
      </c>
      <c r="D269" s="46" t="str">
        <f>_xlfn.XLOOKUP(FME_Ranking2[[#This Row],[FME ID]],FME_Input[FME_ID],FME_Input[EMER_NEED])</f>
        <v>No</v>
      </c>
      <c r="E269" s="121">
        <f>IF(FME_Ranking_Option2!$D269="Yes",100,0)</f>
        <v>0</v>
      </c>
      <c r="F269" s="47" t="str">
        <f>_xlfn.XLOOKUP(FME_Ranking2[[#This Row],[FME ID]],FME_Input[FME_ID],FME_Input[FUND])</f>
        <v>Yes</v>
      </c>
      <c r="G269" s="48">
        <f>IF(FME_Ranking_Option2!$F269="Yes",1,0)</f>
        <v>1</v>
      </c>
      <c r="H269" s="46">
        <f>_xlfn.XLOOKUP(FME_Ranking2[[#This Row],[FME ID]],FME_Input[FME_ID],FME_Input[STRUCT_100])</f>
        <v>948</v>
      </c>
      <c r="I269" s="65" t="e">
        <f>FME_Ranking2[[#This Row],[Raw Data3]]*H$4</f>
        <v>#REF!</v>
      </c>
      <c r="J269" s="62">
        <f>((FME_Ranking_Option2!$H269)/($H$3))*100</f>
        <v>0.10534866741714627</v>
      </c>
      <c r="K269" s="49" t="e">
        <f>FME_Ranking2[[#This Row],[Norm Data3]]*H$4</f>
        <v>#REF!</v>
      </c>
      <c r="L269" s="50">
        <f>_xlfn.XLOOKUP(FME_Ranking2[[#This Row],[FME ID]],FME_Input[FME_ID],FME_Input[RES_STRUCT100])</f>
        <v>709</v>
      </c>
      <c r="M269" s="51" t="e">
        <f>FME_Ranking2[[#This Row],[Raw Data4]]*L$4</f>
        <v>#REF!</v>
      </c>
      <c r="N269" s="29">
        <f>((FME_Ranking_Option2!$L269)/($L$3))*100</f>
        <v>0.10599761094242192</v>
      </c>
      <c r="O269" s="52" t="e">
        <f>FME_Ranking2[[#This Row],[Norm Data4]]*L$4</f>
        <v>#REF!</v>
      </c>
      <c r="P269" s="47">
        <f>_xlfn.XLOOKUP(FME_Ranking2[[#This Row],[FME ID]],FME_Input[FME_ID],FME_Input[POP100])</f>
        <v>4153</v>
      </c>
      <c r="Q269" s="48" t="e">
        <f>FME_Ranking_Option2!$P269*P$4</f>
        <v>#REF!</v>
      </c>
      <c r="R269" s="48">
        <f>FME_Ranking_Option2!$P269/($P$3)</f>
        <v>1.5242391833337125E-3</v>
      </c>
      <c r="S269" s="48" t="e">
        <f>FME_Ranking_Option2!$R269*P$4</f>
        <v>#REF!</v>
      </c>
      <c r="T269" s="50">
        <f>_xlfn.XLOOKUP(FME_Ranking2[[#This Row],[FME ID]],FME_Input[FME_ID],FME_Input[CRITFAC100])</f>
        <v>8</v>
      </c>
      <c r="U269" s="48" t="e">
        <f>FME_Ranking_Option2!$T269*T$4</f>
        <v>#REF!</v>
      </c>
      <c r="V269" s="48">
        <f>FME_Ranking_Option2!$T269/($T$3)</f>
        <v>1.1281906642222536E-3</v>
      </c>
      <c r="W269" s="48" t="e">
        <f>FME_Ranking_Option2!$V269*T$4</f>
        <v>#REF!</v>
      </c>
      <c r="X269" s="50">
        <f>_xlfn.XLOOKUP(FME_Ranking2[[#This Row],[FME ID]],FME_Input[FME_ID],FME_Input[LWC])</f>
        <v>1</v>
      </c>
      <c r="Y269" s="48" t="e">
        <f>FME_Ranking_Option2!$X269*X$4</f>
        <v>#REF!</v>
      </c>
      <c r="Z269" s="48">
        <f>FME_Ranking_Option2!$X269/($X$3)</f>
        <v>9.1224229155263632E-5</v>
      </c>
      <c r="AA269" s="48" t="e">
        <f>FME_Ranking_Option2!$Z269*X$4</f>
        <v>#REF!</v>
      </c>
      <c r="AB269" s="50">
        <f>_xlfn.XLOOKUP(FME_Ranking2[[#This Row],[FME ID]],FME_Input[FME_ID],FME_Input[ROADCLS])</f>
        <v>1</v>
      </c>
      <c r="AC269" s="48" t="e">
        <f>FME_Ranking_Option2!$AB269*AB$4</f>
        <v>#REF!</v>
      </c>
      <c r="AD269" s="53">
        <f>_xlfn.XLOOKUP(FME_Ranking2[[#This Row],[FME ID]],FME_Input[FME_ID],FME_Input[ROAD_MILES100])</f>
        <v>14.078611373901371</v>
      </c>
      <c r="AE269" s="54" t="e">
        <f>FME_Ranking_Option2!$AD269*AD$4</f>
        <v>#REF!</v>
      </c>
      <c r="AF269" s="55">
        <f>FME_Ranking_Option2!$AD269/($AD$3)</f>
        <v>3.1799757805377519E-4</v>
      </c>
      <c r="AG269" s="55" t="e">
        <f>FME_Ranking_Option2!$AF269*AD$4</f>
        <v>#REF!</v>
      </c>
      <c r="AH269" s="53">
        <f>_xlfn.XLOOKUP(FME_Ranking2[[#This Row],[FME ID]],FME_Input[FME_ID],FME_Input[FARMACRE100])</f>
        <v>1.550874590873718</v>
      </c>
      <c r="AI269" s="54" t="e">
        <f>FME_Ranking_Option2!$AH269*AH$4</f>
        <v>#REF!</v>
      </c>
      <c r="AJ269" s="56">
        <f>FME_Ranking_Option2!$AH269/($AH$3)</f>
        <v>9.0052990446626838E-5</v>
      </c>
      <c r="AK269" s="57" t="e">
        <f>FME_Ranking_Option2!$AJ269*AH$4</f>
        <v>#REF!</v>
      </c>
      <c r="AL26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69" s="58" t="e">
        <f>_xlfn.RANK.EQ(AL269,$AL$7:$AL$531)+COUNTIF(AL$7:AL269,AL269)-1</f>
        <v>#REF!</v>
      </c>
      <c r="AN269" s="57"/>
      <c r="AO269" s="58" t="e">
        <f>_xlfn.RANK.EQ(AN269,$AN$7:$AN$531)+COUNTIF(AN$7:AN269,AN269)-1</f>
        <v>#N/A</v>
      </c>
      <c r="AP26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69" s="32" t="e">
        <f>FME_Ranking2[[#This Row],[Score Based on Reported Factors]]-FME_Ranking2[[#This Row],[Check]]</f>
        <v>#REF!</v>
      </c>
      <c r="AR269" s="32"/>
      <c r="AT269" s="19"/>
      <c r="AU269" s="19"/>
      <c r="AV269" s="19"/>
      <c r="AW269" s="19"/>
      <c r="AX269" s="19"/>
      <c r="AY269" s="19"/>
      <c r="AZ269" s="19"/>
      <c r="BA269" s="19"/>
      <c r="BB269" s="19"/>
      <c r="BC269" s="19"/>
    </row>
    <row r="270" spans="1:55" ht="12" customHeight="1" x14ac:dyDescent="0.25">
      <c r="A270" s="17" t="s">
        <v>1910</v>
      </c>
      <c r="B270" s="17" t="str">
        <f>_xlfn.XLOOKUP(FME_Ranking2[[#This Row],[FME ID]],FME_Input[FME_ID],FME_Input[FME_NAME])</f>
        <v>Carpenters Planing Study Cloverleaf Community Flood Risk Reduction Project (Phase 1 and 2)</v>
      </c>
      <c r="C270" s="17" t="str">
        <f>_xlfn.XLOOKUP(FME_Ranking2[[#This Row],[FME ID]],FME_Input[FME_ID],FME_Input[DESCR])</f>
        <v>Study to develop a BCR required for this project to become a FMP. Drainage system upgrade using combination of 9'x7' RCB spanning 3,000' and a 109 acre-feet detention facility providing drainage relief for this portion of the Cloverleaf Community.</v>
      </c>
      <c r="D270" s="33" t="str">
        <f>_xlfn.XLOOKUP(FME_Ranking2[[#This Row],[FME ID]],FME_Input[FME_ID],FME_Input[EMER_NEED])</f>
        <v>No</v>
      </c>
      <c r="E270" s="120">
        <f>IF(FME_Ranking_Option2!$D270="Yes",100,0)</f>
        <v>0</v>
      </c>
      <c r="F270" s="34" t="str">
        <f>_xlfn.XLOOKUP(FME_Ranking2[[#This Row],[FME ID]],FME_Input[FME_ID],FME_Input[FUND])</f>
        <v>Yes</v>
      </c>
      <c r="G270" s="35">
        <f>IF(FME_Ranking_Option2!$F270="Yes",1,0)</f>
        <v>1</v>
      </c>
      <c r="H270" s="33">
        <f>_xlfn.XLOOKUP(FME_Ranking2[[#This Row],[FME ID]],FME_Input[FME_ID],FME_Input[STRUCT_100])</f>
        <v>0</v>
      </c>
      <c r="I270" s="64" t="e">
        <f>FME_Ranking2[[#This Row],[Raw Data3]]*H$4</f>
        <v>#REF!</v>
      </c>
      <c r="J270" s="63">
        <f>((FME_Ranking_Option2!$H270)/($H$3))*100</f>
        <v>0</v>
      </c>
      <c r="K270" s="36" t="e">
        <f>FME_Ranking2[[#This Row],[Norm Data3]]*H$4</f>
        <v>#REF!</v>
      </c>
      <c r="L270" s="37">
        <f>_xlfn.XLOOKUP(FME_Ranking2[[#This Row],[FME ID]],FME_Input[FME_ID],FME_Input[RES_STRUCT100])</f>
        <v>0</v>
      </c>
      <c r="M270" s="38" t="e">
        <f>FME_Ranking2[[#This Row],[Raw Data4]]*L$4</f>
        <v>#REF!</v>
      </c>
      <c r="N270" s="28">
        <f>((FME_Ranking_Option2!$L270)/($L$3))*100</f>
        <v>0</v>
      </c>
      <c r="O270" s="39" t="e">
        <f>FME_Ranking2[[#This Row],[Norm Data4]]*L$4</f>
        <v>#REF!</v>
      </c>
      <c r="P270" s="34">
        <f>_xlfn.XLOOKUP(FME_Ranking2[[#This Row],[FME ID]],FME_Input[FME_ID],FME_Input[POP100])</f>
        <v>0</v>
      </c>
      <c r="Q270" s="35" t="e">
        <f>FME_Ranking_Option2!$P270*P$4</f>
        <v>#REF!</v>
      </c>
      <c r="R270" s="35">
        <f>FME_Ranking_Option2!$P270/($P$3)</f>
        <v>0</v>
      </c>
      <c r="S270" s="35" t="e">
        <f>FME_Ranking_Option2!$R270*P$4</f>
        <v>#REF!</v>
      </c>
      <c r="T270" s="37">
        <f>_xlfn.XLOOKUP(FME_Ranking2[[#This Row],[FME ID]],FME_Input[FME_ID],FME_Input[CRITFAC100])</f>
        <v>0</v>
      </c>
      <c r="U270" s="35" t="e">
        <f>FME_Ranking_Option2!$T270*T$4</f>
        <v>#REF!</v>
      </c>
      <c r="V270" s="35">
        <f>FME_Ranking_Option2!$T270/($T$3)</f>
        <v>0</v>
      </c>
      <c r="W270" s="35" t="e">
        <f>FME_Ranking_Option2!$V270*T$4</f>
        <v>#REF!</v>
      </c>
      <c r="X270" s="37">
        <f>_xlfn.XLOOKUP(FME_Ranking2[[#This Row],[FME ID]],FME_Input[FME_ID],FME_Input[LWC])</f>
        <v>0</v>
      </c>
      <c r="Y270" s="35" t="e">
        <f>FME_Ranking_Option2!$X270*X$4</f>
        <v>#REF!</v>
      </c>
      <c r="Z270" s="35">
        <f>FME_Ranking_Option2!$X270/($X$3)</f>
        <v>0</v>
      </c>
      <c r="AA270" s="35" t="e">
        <f>FME_Ranking_Option2!$Z270*X$4</f>
        <v>#REF!</v>
      </c>
      <c r="AB270" s="37">
        <f>_xlfn.XLOOKUP(FME_Ranking2[[#This Row],[FME ID]],FME_Input[FME_ID],FME_Input[ROADCLS])</f>
        <v>0</v>
      </c>
      <c r="AC270" s="35" t="e">
        <f>FME_Ranking_Option2!$AB270*AB$4</f>
        <v>#REF!</v>
      </c>
      <c r="AD270" s="40">
        <f>_xlfn.XLOOKUP(FME_Ranking2[[#This Row],[FME ID]],FME_Input[FME_ID],FME_Input[ROAD_MILES100])</f>
        <v>0</v>
      </c>
      <c r="AE270" s="41" t="e">
        <f>FME_Ranking_Option2!$AD270*AD$4</f>
        <v>#REF!</v>
      </c>
      <c r="AF270" s="42">
        <f>FME_Ranking_Option2!$AD270/($AD$3)</f>
        <v>0</v>
      </c>
      <c r="AG270" s="42" t="e">
        <f>FME_Ranking_Option2!$AF270*AD$4</f>
        <v>#REF!</v>
      </c>
      <c r="AH270" s="40">
        <f>_xlfn.XLOOKUP(FME_Ranking2[[#This Row],[FME ID]],FME_Input[FME_ID],FME_Input[FARMACRE100])</f>
        <v>0</v>
      </c>
      <c r="AI270" s="43" t="e">
        <f>FME_Ranking_Option2!$AH270*AH$4</f>
        <v>#REF!</v>
      </c>
      <c r="AJ270" s="41">
        <f>FME_Ranking_Option2!$AH270/($AH$3)</f>
        <v>0</v>
      </c>
      <c r="AK270" s="44" t="e">
        <f>FME_Ranking_Option2!$AJ270*AH$4</f>
        <v>#REF!</v>
      </c>
      <c r="AL27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70" s="45" t="e">
        <f>_xlfn.RANK.EQ(AL270,$AL$7:$AL$531)+COUNTIF(AL$7:AL270,AL270)-1</f>
        <v>#REF!</v>
      </c>
      <c r="AN270" s="44"/>
      <c r="AO270" s="45" t="e">
        <f>_xlfn.RANK.EQ(AN270,$AN$7:$AN$531)+COUNTIF(AN$7:AN270,AN270)-1</f>
        <v>#N/A</v>
      </c>
      <c r="AP27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70" s="32" t="e">
        <f>FME_Ranking2[[#This Row],[Score Based on Reported Factors]]-FME_Ranking2[[#This Row],[Check]]</f>
        <v>#REF!</v>
      </c>
      <c r="AR270" s="32"/>
    </row>
    <row r="271" spans="1:55" ht="12" customHeight="1" x14ac:dyDescent="0.25">
      <c r="A271" s="16" t="s">
        <v>2283</v>
      </c>
      <c r="B271" s="16" t="str">
        <f>_xlfn.XLOOKUP(FME_Ranking2[[#This Row],[FME ID]],FME_Input[FME_ID],FME_Input[FME_NAME])</f>
        <v>Goose Creek Flood Risk Reduction Phase 1</v>
      </c>
      <c r="C271" s="16" t="str">
        <f>_xlfn.XLOOKUP(FME_Ranking2[[#This Row],[FME ID]],FME_Input[FME_ID],FME_Input[DESCR])</f>
        <v>Study to develop a Benefit Cost Analysis needed for this project to become a FMP. 1.65 Miles of Goose Creek channel modifications (Downstream of IH 10) with proposed detention basin "J".</v>
      </c>
      <c r="D271" s="46" t="str">
        <f>_xlfn.XLOOKUP(FME_Ranking2[[#This Row],[FME ID]],FME_Input[FME_ID],FME_Input[EMER_NEED])</f>
        <v>No</v>
      </c>
      <c r="E271" s="121">
        <f>IF(FME_Ranking_Option2!$D271="Yes",100,0)</f>
        <v>0</v>
      </c>
      <c r="F271" s="47" t="str">
        <f>_xlfn.XLOOKUP(FME_Ranking2[[#This Row],[FME ID]],FME_Input[FME_ID],FME_Input[FUND])</f>
        <v>Yes</v>
      </c>
      <c r="G271" s="48">
        <f>IF(FME_Ranking_Option2!$F271="Yes",1,0)</f>
        <v>1</v>
      </c>
      <c r="H271" s="46">
        <f>_xlfn.XLOOKUP(FME_Ranking2[[#This Row],[FME ID]],FME_Input[FME_ID],FME_Input[STRUCT_100])</f>
        <v>1883</v>
      </c>
      <c r="I271" s="65" t="e">
        <f>FME_Ranking2[[#This Row],[Raw Data3]]*H$4</f>
        <v>#REF!</v>
      </c>
      <c r="J271" s="62">
        <f>((FME_Ranking_Option2!$H271)/($H$3))*100</f>
        <v>0.20925268011232745</v>
      </c>
      <c r="K271" s="49" t="e">
        <f>FME_Ranking2[[#This Row],[Norm Data3]]*H$4</f>
        <v>#REF!</v>
      </c>
      <c r="L271" s="50">
        <f>_xlfn.XLOOKUP(FME_Ranking2[[#This Row],[FME ID]],FME_Input[FME_ID],FME_Input[RES_STRUCT100])</f>
        <v>1509</v>
      </c>
      <c r="M271" s="51" t="e">
        <f>FME_Ranking2[[#This Row],[Raw Data4]]*L$4</f>
        <v>#REF!</v>
      </c>
      <c r="N271" s="29">
        <f>((FME_Ranking_Option2!$L271)/($L$3))*100</f>
        <v>0.22559999282385709</v>
      </c>
      <c r="O271" s="52" t="e">
        <f>FME_Ranking2[[#This Row],[Norm Data4]]*L$4</f>
        <v>#REF!</v>
      </c>
      <c r="P271" s="47">
        <f>_xlfn.XLOOKUP(FME_Ranking2[[#This Row],[FME ID]],FME_Input[FME_ID],FME_Input[POP100])</f>
        <v>9371</v>
      </c>
      <c r="Q271" s="48" t="e">
        <f>FME_Ranking_Option2!$P271*P$4</f>
        <v>#REF!</v>
      </c>
      <c r="R271" s="48">
        <f>FME_Ranking_Option2!$P271/($P$3)</f>
        <v>3.439355980500896E-3</v>
      </c>
      <c r="S271" s="48" t="e">
        <f>FME_Ranking_Option2!$R271*P$4</f>
        <v>#REF!</v>
      </c>
      <c r="T271" s="50">
        <f>_xlfn.XLOOKUP(FME_Ranking2[[#This Row],[FME ID]],FME_Input[FME_ID],FME_Input[CRITFAC100])</f>
        <v>64</v>
      </c>
      <c r="U271" s="48" t="e">
        <f>FME_Ranking_Option2!$T271*T$4</f>
        <v>#REF!</v>
      </c>
      <c r="V271" s="48">
        <f>FME_Ranking_Option2!$T271/($T$3)</f>
        <v>9.0255253137780291E-3</v>
      </c>
      <c r="W271" s="48" t="e">
        <f>FME_Ranking_Option2!$V271*T$4</f>
        <v>#REF!</v>
      </c>
      <c r="X271" s="50">
        <f>_xlfn.XLOOKUP(FME_Ranking2[[#This Row],[FME ID]],FME_Input[FME_ID],FME_Input[LWC])</f>
        <v>1</v>
      </c>
      <c r="Y271" s="48" t="e">
        <f>FME_Ranking_Option2!$X271*X$4</f>
        <v>#REF!</v>
      </c>
      <c r="Z271" s="48">
        <f>FME_Ranking_Option2!$X271/($X$3)</f>
        <v>9.1224229155263632E-5</v>
      </c>
      <c r="AA271" s="48" t="e">
        <f>FME_Ranking_Option2!$Z271*X$4</f>
        <v>#REF!</v>
      </c>
      <c r="AB271" s="50">
        <f>_xlfn.XLOOKUP(FME_Ranking2[[#This Row],[FME ID]],FME_Input[FME_ID],FME_Input[ROADCLS])</f>
        <v>1</v>
      </c>
      <c r="AC271" s="48" t="e">
        <f>FME_Ranking_Option2!$AB271*AB$4</f>
        <v>#REF!</v>
      </c>
      <c r="AD271" s="53">
        <f>_xlfn.XLOOKUP(FME_Ranking2[[#This Row],[FME ID]],FME_Input[FME_ID],FME_Input[ROAD_MILES100])</f>
        <v>32.824111938476563</v>
      </c>
      <c r="AE271" s="54" t="e">
        <f>FME_Ranking_Option2!$AD271*AD$4</f>
        <v>#REF!</v>
      </c>
      <c r="AF271" s="55">
        <f>FME_Ranking_Option2!$AD271/($AD$3)</f>
        <v>7.4140750255748046E-4</v>
      </c>
      <c r="AG271" s="55" t="e">
        <f>FME_Ranking_Option2!$AF271*AD$4</f>
        <v>#REF!</v>
      </c>
      <c r="AH271" s="53">
        <f>_xlfn.XLOOKUP(FME_Ranking2[[#This Row],[FME ID]],FME_Input[FME_ID],FME_Input[FARMACRE100])</f>
        <v>73.12799072265625</v>
      </c>
      <c r="AI271" s="54" t="e">
        <f>FME_Ranking_Option2!$AH271*AH$4</f>
        <v>#REF!</v>
      </c>
      <c r="AJ271" s="56">
        <f>FME_Ranking_Option2!$AH271/($AH$3)</f>
        <v>4.2462454983019345E-3</v>
      </c>
      <c r="AK271" s="57" t="e">
        <f>FME_Ranking_Option2!$AJ271*AH$4</f>
        <v>#REF!</v>
      </c>
      <c r="AL27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71" s="58" t="e">
        <f>_xlfn.RANK.EQ(AL271,$AL$7:$AL$531)+COUNTIF(AL$7:AL271,AL271)-1</f>
        <v>#REF!</v>
      </c>
      <c r="AN271" s="57"/>
      <c r="AO271" s="58" t="e">
        <f>_xlfn.RANK.EQ(AN271,$AN$7:$AN$531)+COUNTIF(AN$7:AN271,AN271)-1</f>
        <v>#N/A</v>
      </c>
      <c r="AP27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71" s="32" t="e">
        <f>FME_Ranking2[[#This Row],[Score Based on Reported Factors]]-FME_Ranking2[[#This Row],[Check]]</f>
        <v>#REF!</v>
      </c>
      <c r="AR271" s="32"/>
      <c r="AT271" s="19"/>
      <c r="AU271" s="19"/>
      <c r="AV271" s="19"/>
      <c r="AW271" s="19"/>
      <c r="AX271" s="19"/>
      <c r="AY271" s="19"/>
      <c r="AZ271" s="19"/>
      <c r="BA271" s="19"/>
      <c r="BB271" s="19"/>
      <c r="BC271" s="19"/>
    </row>
    <row r="272" spans="1:55" ht="12" customHeight="1" x14ac:dyDescent="0.25">
      <c r="A272" s="17" t="s">
        <v>2288</v>
      </c>
      <c r="B272" s="17" t="str">
        <f>_xlfn.XLOOKUP(FME_Ranking2[[#This Row],[FME ID]],FME_Input[FME_ID],FME_Input[FME_NAME])</f>
        <v>Goose Creek Flood Risk Reduction Phase 2</v>
      </c>
      <c r="C272" s="17" t="str">
        <f>_xlfn.XLOOKUP(FME_Ranking2[[#This Row],[FME ID]],FME_Input[FME_ID],FME_Input[DESCR])</f>
        <v>Study to develop a Benefit Cost Analysis needed for this project to become a FMP. 1.00 Mile of Goose Creek channel modifications (Upstream of IH 10) with proposed detention basin "I".</v>
      </c>
      <c r="D272" s="33" t="str">
        <f>_xlfn.XLOOKUP(FME_Ranking2[[#This Row],[FME ID]],FME_Input[FME_ID],FME_Input[EMER_NEED])</f>
        <v>No</v>
      </c>
      <c r="E272" s="120">
        <f>IF(FME_Ranking_Option2!$D272="Yes",100,0)</f>
        <v>0</v>
      </c>
      <c r="F272" s="34" t="str">
        <f>_xlfn.XLOOKUP(FME_Ranking2[[#This Row],[FME ID]],FME_Input[FME_ID],FME_Input[FUND])</f>
        <v>Yes</v>
      </c>
      <c r="G272" s="35">
        <f>IF(FME_Ranking_Option2!$F272="Yes",1,0)</f>
        <v>1</v>
      </c>
      <c r="H272" s="33">
        <f>_xlfn.XLOOKUP(FME_Ranking2[[#This Row],[FME ID]],FME_Input[FME_ID],FME_Input[STRUCT_100])</f>
        <v>1883</v>
      </c>
      <c r="I272" s="64" t="e">
        <f>FME_Ranking2[[#This Row],[Raw Data3]]*H$4</f>
        <v>#REF!</v>
      </c>
      <c r="J272" s="63">
        <f>((FME_Ranking_Option2!$H272)/($H$3))*100</f>
        <v>0.20925268011232745</v>
      </c>
      <c r="K272" s="36" t="e">
        <f>FME_Ranking2[[#This Row],[Norm Data3]]*H$4</f>
        <v>#REF!</v>
      </c>
      <c r="L272" s="37">
        <f>_xlfn.XLOOKUP(FME_Ranking2[[#This Row],[FME ID]],FME_Input[FME_ID],FME_Input[RES_STRUCT100])</f>
        <v>1509</v>
      </c>
      <c r="M272" s="38" t="e">
        <f>FME_Ranking2[[#This Row],[Raw Data4]]*L$4</f>
        <v>#REF!</v>
      </c>
      <c r="N272" s="28">
        <f>((FME_Ranking_Option2!$L272)/($L$3))*100</f>
        <v>0.22559999282385709</v>
      </c>
      <c r="O272" s="39" t="e">
        <f>FME_Ranking2[[#This Row],[Norm Data4]]*L$4</f>
        <v>#REF!</v>
      </c>
      <c r="P272" s="34">
        <f>_xlfn.XLOOKUP(FME_Ranking2[[#This Row],[FME ID]],FME_Input[FME_ID],FME_Input[POP100])</f>
        <v>9371</v>
      </c>
      <c r="Q272" s="35" t="e">
        <f>FME_Ranking_Option2!$P272*P$4</f>
        <v>#REF!</v>
      </c>
      <c r="R272" s="35">
        <f>FME_Ranking_Option2!$P272/($P$3)</f>
        <v>3.439355980500896E-3</v>
      </c>
      <c r="S272" s="35" t="e">
        <f>FME_Ranking_Option2!$R272*P$4</f>
        <v>#REF!</v>
      </c>
      <c r="T272" s="37">
        <f>_xlfn.XLOOKUP(FME_Ranking2[[#This Row],[FME ID]],FME_Input[FME_ID],FME_Input[CRITFAC100])</f>
        <v>64</v>
      </c>
      <c r="U272" s="35" t="e">
        <f>FME_Ranking_Option2!$T272*T$4</f>
        <v>#REF!</v>
      </c>
      <c r="V272" s="35">
        <f>FME_Ranking_Option2!$T272/($T$3)</f>
        <v>9.0255253137780291E-3</v>
      </c>
      <c r="W272" s="35" t="e">
        <f>FME_Ranking_Option2!$V272*T$4</f>
        <v>#REF!</v>
      </c>
      <c r="X272" s="37">
        <f>_xlfn.XLOOKUP(FME_Ranking2[[#This Row],[FME ID]],FME_Input[FME_ID],FME_Input[LWC])</f>
        <v>1</v>
      </c>
      <c r="Y272" s="35" t="e">
        <f>FME_Ranking_Option2!$X272*X$4</f>
        <v>#REF!</v>
      </c>
      <c r="Z272" s="35">
        <f>FME_Ranking_Option2!$X272/($X$3)</f>
        <v>9.1224229155263632E-5</v>
      </c>
      <c r="AA272" s="35" t="e">
        <f>FME_Ranking_Option2!$Z272*X$4</f>
        <v>#REF!</v>
      </c>
      <c r="AB272" s="37">
        <f>_xlfn.XLOOKUP(FME_Ranking2[[#This Row],[FME ID]],FME_Input[FME_ID],FME_Input[ROADCLS])</f>
        <v>1</v>
      </c>
      <c r="AC272" s="35" t="e">
        <f>FME_Ranking_Option2!$AB272*AB$4</f>
        <v>#REF!</v>
      </c>
      <c r="AD272" s="40">
        <f>_xlfn.XLOOKUP(FME_Ranking2[[#This Row],[FME ID]],FME_Input[FME_ID],FME_Input[ROAD_MILES100])</f>
        <v>32.824111938476563</v>
      </c>
      <c r="AE272" s="41" t="e">
        <f>FME_Ranking_Option2!$AD272*AD$4</f>
        <v>#REF!</v>
      </c>
      <c r="AF272" s="42">
        <f>FME_Ranking_Option2!$AD272/($AD$3)</f>
        <v>7.4140750255748046E-4</v>
      </c>
      <c r="AG272" s="42" t="e">
        <f>FME_Ranking_Option2!$AF272*AD$4</f>
        <v>#REF!</v>
      </c>
      <c r="AH272" s="40">
        <f>_xlfn.XLOOKUP(FME_Ranking2[[#This Row],[FME ID]],FME_Input[FME_ID],FME_Input[FARMACRE100])</f>
        <v>73.12799072265625</v>
      </c>
      <c r="AI272" s="43" t="e">
        <f>FME_Ranking_Option2!$AH272*AH$4</f>
        <v>#REF!</v>
      </c>
      <c r="AJ272" s="41">
        <f>FME_Ranking_Option2!$AH272/($AH$3)</f>
        <v>4.2462454983019345E-3</v>
      </c>
      <c r="AK272" s="44" t="e">
        <f>FME_Ranking_Option2!$AJ272*AH$4</f>
        <v>#REF!</v>
      </c>
      <c r="AL272"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72" s="45" t="e">
        <f>_xlfn.RANK.EQ(AL272,$AL$7:$AL$531)+COUNTIF(AL$7:AL272,AL272)-1</f>
        <v>#REF!</v>
      </c>
      <c r="AN272" s="44"/>
      <c r="AO272" s="45" t="e">
        <f>_xlfn.RANK.EQ(AN272,$AN$7:$AN$531)+COUNTIF(AN$7:AN272,AN272)-1</f>
        <v>#N/A</v>
      </c>
      <c r="AP27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72" s="32" t="e">
        <f>FME_Ranking2[[#This Row],[Score Based on Reported Factors]]-FME_Ranking2[[#This Row],[Check]]</f>
        <v>#REF!</v>
      </c>
      <c r="AR272" s="32"/>
    </row>
    <row r="273" spans="1:55" ht="12" customHeight="1" x14ac:dyDescent="0.25">
      <c r="A273" s="16" t="s">
        <v>2291</v>
      </c>
      <c r="B273" s="16" t="str">
        <f>_xlfn.XLOOKUP(FME_Ranking2[[#This Row],[FME ID]],FME_Input[FME_ID],FME_Input[FME_NAME])</f>
        <v>Goose Creek Flood Risk Reduction Phase 3</v>
      </c>
      <c r="C273" s="16" t="str">
        <f>_xlfn.XLOOKUP(FME_Ranking2[[#This Row],[FME ID]],FME_Input[FME_ID],FME_Input[DESCR])</f>
        <v>Study to develop a Benefit Cost Analysis needed for this project to become a FMP.  Local channel modifications and crossing structure improvements along O117 and O126.</v>
      </c>
      <c r="D273" s="46" t="str">
        <f>_xlfn.XLOOKUP(FME_Ranking2[[#This Row],[FME ID]],FME_Input[FME_ID],FME_Input[EMER_NEED])</f>
        <v>No</v>
      </c>
      <c r="E273" s="121">
        <f>IF(FME_Ranking_Option2!$D273="Yes",100,0)</f>
        <v>0</v>
      </c>
      <c r="F273" s="47" t="str">
        <f>_xlfn.XLOOKUP(FME_Ranking2[[#This Row],[FME ID]],FME_Input[FME_ID],FME_Input[FUND])</f>
        <v>Yes</v>
      </c>
      <c r="G273" s="48">
        <f>IF(FME_Ranking_Option2!$F273="Yes",1,0)</f>
        <v>1</v>
      </c>
      <c r="H273" s="46">
        <f>_xlfn.XLOOKUP(FME_Ranking2[[#This Row],[FME ID]],FME_Input[FME_ID],FME_Input[STRUCT_100])</f>
        <v>1883</v>
      </c>
      <c r="I273" s="65" t="e">
        <f>FME_Ranking2[[#This Row],[Raw Data3]]*H$4</f>
        <v>#REF!</v>
      </c>
      <c r="J273" s="62">
        <f>((FME_Ranking_Option2!$H273)/($H$3))*100</f>
        <v>0.20925268011232745</v>
      </c>
      <c r="K273" s="49" t="e">
        <f>FME_Ranking2[[#This Row],[Norm Data3]]*H$4</f>
        <v>#REF!</v>
      </c>
      <c r="L273" s="50">
        <f>_xlfn.XLOOKUP(FME_Ranking2[[#This Row],[FME ID]],FME_Input[FME_ID],FME_Input[RES_STRUCT100])</f>
        <v>1509</v>
      </c>
      <c r="M273" s="51" t="e">
        <f>FME_Ranking2[[#This Row],[Raw Data4]]*L$4</f>
        <v>#REF!</v>
      </c>
      <c r="N273" s="29">
        <f>((FME_Ranking_Option2!$L273)/($L$3))*100</f>
        <v>0.22559999282385709</v>
      </c>
      <c r="O273" s="52" t="e">
        <f>FME_Ranking2[[#This Row],[Norm Data4]]*L$4</f>
        <v>#REF!</v>
      </c>
      <c r="P273" s="47">
        <f>_xlfn.XLOOKUP(FME_Ranking2[[#This Row],[FME ID]],FME_Input[FME_ID],FME_Input[POP100])</f>
        <v>9371</v>
      </c>
      <c r="Q273" s="48" t="e">
        <f>FME_Ranking_Option2!$P273*P$4</f>
        <v>#REF!</v>
      </c>
      <c r="R273" s="48">
        <f>FME_Ranking_Option2!$P273/($P$3)</f>
        <v>3.439355980500896E-3</v>
      </c>
      <c r="S273" s="48" t="e">
        <f>FME_Ranking_Option2!$R273*P$4</f>
        <v>#REF!</v>
      </c>
      <c r="T273" s="50">
        <f>_xlfn.XLOOKUP(FME_Ranking2[[#This Row],[FME ID]],FME_Input[FME_ID],FME_Input[CRITFAC100])</f>
        <v>64</v>
      </c>
      <c r="U273" s="48" t="e">
        <f>FME_Ranking_Option2!$T273*T$4</f>
        <v>#REF!</v>
      </c>
      <c r="V273" s="48">
        <f>FME_Ranking_Option2!$T273/($T$3)</f>
        <v>9.0255253137780291E-3</v>
      </c>
      <c r="W273" s="48" t="e">
        <f>FME_Ranking_Option2!$V273*T$4</f>
        <v>#REF!</v>
      </c>
      <c r="X273" s="50">
        <f>_xlfn.XLOOKUP(FME_Ranking2[[#This Row],[FME ID]],FME_Input[FME_ID],FME_Input[LWC])</f>
        <v>1</v>
      </c>
      <c r="Y273" s="48" t="e">
        <f>FME_Ranking_Option2!$X273*X$4</f>
        <v>#REF!</v>
      </c>
      <c r="Z273" s="48">
        <f>FME_Ranking_Option2!$X273/($X$3)</f>
        <v>9.1224229155263632E-5</v>
      </c>
      <c r="AA273" s="48" t="e">
        <f>FME_Ranking_Option2!$Z273*X$4</f>
        <v>#REF!</v>
      </c>
      <c r="AB273" s="50">
        <f>_xlfn.XLOOKUP(FME_Ranking2[[#This Row],[FME ID]],FME_Input[FME_ID],FME_Input[ROADCLS])</f>
        <v>1</v>
      </c>
      <c r="AC273" s="48" t="e">
        <f>FME_Ranking_Option2!$AB273*AB$4</f>
        <v>#REF!</v>
      </c>
      <c r="AD273" s="53">
        <f>_xlfn.XLOOKUP(FME_Ranking2[[#This Row],[FME ID]],FME_Input[FME_ID],FME_Input[ROAD_MILES100])</f>
        <v>32.824111938476563</v>
      </c>
      <c r="AE273" s="54" t="e">
        <f>FME_Ranking_Option2!$AD273*AD$4</f>
        <v>#REF!</v>
      </c>
      <c r="AF273" s="55">
        <f>FME_Ranking_Option2!$AD273/($AD$3)</f>
        <v>7.4140750255748046E-4</v>
      </c>
      <c r="AG273" s="55" t="e">
        <f>FME_Ranking_Option2!$AF273*AD$4</f>
        <v>#REF!</v>
      </c>
      <c r="AH273" s="53">
        <f>_xlfn.XLOOKUP(FME_Ranking2[[#This Row],[FME ID]],FME_Input[FME_ID],FME_Input[FARMACRE100])</f>
        <v>73.12799072265625</v>
      </c>
      <c r="AI273" s="54" t="e">
        <f>FME_Ranking_Option2!$AH273*AH$4</f>
        <v>#REF!</v>
      </c>
      <c r="AJ273" s="56">
        <f>FME_Ranking_Option2!$AH273/($AH$3)</f>
        <v>4.2462454983019345E-3</v>
      </c>
      <c r="AK273" s="57" t="e">
        <f>FME_Ranking_Option2!$AJ273*AH$4</f>
        <v>#REF!</v>
      </c>
      <c r="AL273"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73" s="58" t="e">
        <f>_xlfn.RANK.EQ(AL273,$AL$7:$AL$531)+COUNTIF(AL$7:AL273,AL273)-1</f>
        <v>#REF!</v>
      </c>
      <c r="AN273" s="57"/>
      <c r="AO273" s="58" t="e">
        <f>_xlfn.RANK.EQ(AN273,$AN$7:$AN$531)+COUNTIF(AN$7:AN273,AN273)-1</f>
        <v>#N/A</v>
      </c>
      <c r="AP27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73" s="32" t="e">
        <f>FME_Ranking2[[#This Row],[Score Based on Reported Factors]]-FME_Ranking2[[#This Row],[Check]]</f>
        <v>#REF!</v>
      </c>
      <c r="AR273" s="32"/>
      <c r="AT273" s="19"/>
      <c r="AU273" s="19"/>
      <c r="AV273" s="19"/>
      <c r="AW273" s="19"/>
      <c r="AX273" s="19"/>
      <c r="AY273" s="19"/>
      <c r="AZ273" s="19"/>
      <c r="BA273" s="19"/>
      <c r="BB273" s="19"/>
      <c r="BC273" s="19"/>
    </row>
    <row r="274" spans="1:55" ht="12" customHeight="1" x14ac:dyDescent="0.25">
      <c r="A274" s="17" t="s">
        <v>1915</v>
      </c>
      <c r="B274" s="17" t="str">
        <f>_xlfn.XLOOKUP(FME_Ranking2[[#This Row],[FME ID]],FME_Input[FME_ID],FME_Input[FME_NAME])</f>
        <v>Spring Creek Watershed Plan- Recommended Alternative for PA-02: J131-01-00 Storm Sewer improvements &amp; channel modification</v>
      </c>
      <c r="C274" s="17" t="str">
        <f>_xlfn.XLOOKUP(FME_Ranking2[[#This Row],[FME ID]],FME_Input[FME_ID],FME_Input[DESCR])</f>
        <v>Study to develop a BCR required for this project to become a FMP. Channel modifications along J131-01 &amp; storm sewer improvements under Zion Road, reduces sheetflow by providing positive drainage outfall for ~200 ac of land.</v>
      </c>
      <c r="D274" s="33" t="str">
        <f>_xlfn.XLOOKUP(FME_Ranking2[[#This Row],[FME ID]],FME_Input[FME_ID],FME_Input[EMER_NEED])</f>
        <v>No</v>
      </c>
      <c r="E274" s="120">
        <f>IF(FME_Ranking_Option2!$D274="Yes",100,0)</f>
        <v>0</v>
      </c>
      <c r="F274" s="34" t="str">
        <f>_xlfn.XLOOKUP(FME_Ranking2[[#This Row],[FME ID]],FME_Input[FME_ID],FME_Input[FUND])</f>
        <v>Yes</v>
      </c>
      <c r="G274" s="35">
        <f>IF(FME_Ranking_Option2!$F274="Yes",1,0)</f>
        <v>1</v>
      </c>
      <c r="H274" s="33">
        <f>_xlfn.XLOOKUP(FME_Ranking2[[#This Row],[FME ID]],FME_Input[FME_ID],FME_Input[STRUCT_100])</f>
        <v>6</v>
      </c>
      <c r="I274" s="64" t="e">
        <f>FME_Ranking2[[#This Row],[Raw Data3]]*H$4</f>
        <v>#REF!</v>
      </c>
      <c r="J274" s="63">
        <f>((FME_Ranking_Option2!$H274)/($H$3))*100</f>
        <v>6.6676371783003967E-4</v>
      </c>
      <c r="K274" s="36" t="e">
        <f>FME_Ranking2[[#This Row],[Norm Data3]]*H$4</f>
        <v>#REF!</v>
      </c>
      <c r="L274" s="37">
        <f>_xlfn.XLOOKUP(FME_Ranking2[[#This Row],[FME ID]],FME_Input[FME_ID],FME_Input[RES_STRUCT100])</f>
        <v>6</v>
      </c>
      <c r="M274" s="38" t="e">
        <f>FME_Ranking2[[#This Row],[Raw Data4]]*L$4</f>
        <v>#REF!</v>
      </c>
      <c r="N274" s="28">
        <f>((FME_Ranking_Option2!$L274)/($L$3))*100</f>
        <v>8.970178641107638E-4</v>
      </c>
      <c r="O274" s="39" t="e">
        <f>FME_Ranking2[[#This Row],[Norm Data4]]*L$4</f>
        <v>#REF!</v>
      </c>
      <c r="P274" s="34">
        <f>_xlfn.XLOOKUP(FME_Ranking2[[#This Row],[FME ID]],FME_Input[FME_ID],FME_Input[POP100])</f>
        <v>7</v>
      </c>
      <c r="Q274" s="35" t="e">
        <f>FME_Ranking_Option2!$P274*P$4</f>
        <v>#REF!</v>
      </c>
      <c r="R274" s="35">
        <f>FME_Ranking_Option2!$P274/($P$3)</f>
        <v>2.5691486355251596E-6</v>
      </c>
      <c r="S274" s="35" t="e">
        <f>FME_Ranking_Option2!$R274*P$4</f>
        <v>#REF!</v>
      </c>
      <c r="T274" s="37">
        <f>_xlfn.XLOOKUP(FME_Ranking2[[#This Row],[FME ID]],FME_Input[FME_ID],FME_Input[CRITFAC100])</f>
        <v>0</v>
      </c>
      <c r="U274" s="35" t="e">
        <f>FME_Ranking_Option2!$T274*T$4</f>
        <v>#REF!</v>
      </c>
      <c r="V274" s="35">
        <f>FME_Ranking_Option2!$T274/($T$3)</f>
        <v>0</v>
      </c>
      <c r="W274" s="35" t="e">
        <f>FME_Ranking_Option2!$V274*T$4</f>
        <v>#REF!</v>
      </c>
      <c r="X274" s="37">
        <f>_xlfn.XLOOKUP(FME_Ranking2[[#This Row],[FME ID]],FME_Input[FME_ID],FME_Input[LWC])</f>
        <v>1</v>
      </c>
      <c r="Y274" s="35" t="e">
        <f>FME_Ranking_Option2!$X274*X$4</f>
        <v>#REF!</v>
      </c>
      <c r="Z274" s="35">
        <f>FME_Ranking_Option2!$X274/($X$3)</f>
        <v>9.1224229155263632E-5</v>
      </c>
      <c r="AA274" s="35" t="e">
        <f>FME_Ranking_Option2!$Z274*X$4</f>
        <v>#REF!</v>
      </c>
      <c r="AB274" s="37">
        <f>_xlfn.XLOOKUP(FME_Ranking2[[#This Row],[FME ID]],FME_Input[FME_ID],FME_Input[ROADCLS])</f>
        <v>1</v>
      </c>
      <c r="AC274" s="35" t="e">
        <f>FME_Ranking_Option2!$AB274*AB$4</f>
        <v>#REF!</v>
      </c>
      <c r="AD274" s="40">
        <f>_xlfn.XLOOKUP(FME_Ranking2[[#This Row],[FME ID]],FME_Input[FME_ID],FME_Input[ROAD_MILES100])</f>
        <v>0.34244820475578308</v>
      </c>
      <c r="AE274" s="41" t="e">
        <f>FME_Ranking_Option2!$AD274*AD$4</f>
        <v>#REF!</v>
      </c>
      <c r="AF274" s="42">
        <f>FME_Ranking_Option2!$AD274/($AD$3)</f>
        <v>7.734974482147759E-6</v>
      </c>
      <c r="AG274" s="42" t="e">
        <f>FME_Ranking_Option2!$AF274*AD$4</f>
        <v>#REF!</v>
      </c>
      <c r="AH274" s="40">
        <f>_xlfn.XLOOKUP(FME_Ranking2[[#This Row],[FME ID]],FME_Input[FME_ID],FME_Input[FARMACRE100])</f>
        <v>0</v>
      </c>
      <c r="AI274" s="43" t="e">
        <f>FME_Ranking_Option2!$AH274*AH$4</f>
        <v>#REF!</v>
      </c>
      <c r="AJ274" s="41">
        <f>FME_Ranking_Option2!$AH274/($AH$3)</f>
        <v>0</v>
      </c>
      <c r="AK274" s="44" t="e">
        <f>FME_Ranking_Option2!$AJ274*AH$4</f>
        <v>#REF!</v>
      </c>
      <c r="AL274"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74" s="45" t="e">
        <f>_xlfn.RANK.EQ(AL274,$AL$7:$AL$531)+COUNTIF(AL$7:AL274,AL274)-1</f>
        <v>#REF!</v>
      </c>
      <c r="AN274" s="44"/>
      <c r="AO274" s="45" t="e">
        <f>_xlfn.RANK.EQ(AN274,$AN$7:$AN$531)+COUNTIF(AN$7:AN274,AN274)-1</f>
        <v>#N/A</v>
      </c>
      <c r="AP27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74" s="32" t="e">
        <f>FME_Ranking2[[#This Row],[Score Based on Reported Factors]]-FME_Ranking2[[#This Row],[Check]]</f>
        <v>#REF!</v>
      </c>
      <c r="AR274" s="32"/>
    </row>
    <row r="275" spans="1:55" ht="12" customHeight="1" x14ac:dyDescent="0.25">
      <c r="A275" s="16" t="s">
        <v>1920</v>
      </c>
      <c r="B275" s="16" t="str">
        <f>_xlfn.XLOOKUP(FME_Ranking2[[#This Row],[FME ID]],FME_Input[FME_ID],FME_Input[FME_NAME])</f>
        <v>Willow Creek Watershed Plan- Immediate: Selective Clearing BNRR to Mouth</v>
      </c>
      <c r="C275" s="16" t="str">
        <f>_xlfn.XLOOKUP(FME_Ranking2[[#This Row],[FME ID]],FME_Input[FME_ID],FME_Input[DESCR])</f>
        <v>Study to develop a BCR required for this project to become a FMP. Selective clearing from BNRR to mouth to increase riverine storm water conveyance, maintain tree canopy &amp; veg. diversity, minimize impact on riparian &amp; uplands habitats.</v>
      </c>
      <c r="D275" s="46" t="str">
        <f>_xlfn.XLOOKUP(FME_Ranking2[[#This Row],[FME ID]],FME_Input[FME_ID],FME_Input[EMER_NEED])</f>
        <v>No</v>
      </c>
      <c r="E275" s="121">
        <f>IF(FME_Ranking_Option2!$D275="Yes",100,0)</f>
        <v>0</v>
      </c>
      <c r="F275" s="47" t="str">
        <f>_xlfn.XLOOKUP(FME_Ranking2[[#This Row],[FME ID]],FME_Input[FME_ID],FME_Input[FUND])</f>
        <v>Yes</v>
      </c>
      <c r="G275" s="48">
        <f>IF(FME_Ranking_Option2!$F275="Yes",1,0)</f>
        <v>1</v>
      </c>
      <c r="H275" s="46">
        <f>_xlfn.XLOOKUP(FME_Ranking2[[#This Row],[FME ID]],FME_Input[FME_ID],FME_Input[STRUCT_100])</f>
        <v>828</v>
      </c>
      <c r="I275" s="65" t="e">
        <f>FME_Ranking2[[#This Row],[Raw Data3]]*H$4</f>
        <v>#REF!</v>
      </c>
      <c r="J275" s="62">
        <f>((FME_Ranking_Option2!$H275)/($H$3))*100</f>
        <v>9.2013393060545484E-2</v>
      </c>
      <c r="K275" s="49" t="e">
        <f>FME_Ranking2[[#This Row],[Norm Data3]]*H$4</f>
        <v>#REF!</v>
      </c>
      <c r="L275" s="50">
        <f>_xlfn.XLOOKUP(FME_Ranking2[[#This Row],[FME ID]],FME_Input[FME_ID],FME_Input[RES_STRUCT100])</f>
        <v>581</v>
      </c>
      <c r="M275" s="51" t="e">
        <f>FME_Ranking2[[#This Row],[Raw Data4]]*L$4</f>
        <v>#REF!</v>
      </c>
      <c r="N275" s="29">
        <f>((FME_Ranking_Option2!$L275)/($L$3))*100</f>
        <v>8.6861229841392301E-2</v>
      </c>
      <c r="O275" s="52" t="e">
        <f>FME_Ranking2[[#This Row],[Norm Data4]]*L$4</f>
        <v>#REF!</v>
      </c>
      <c r="P275" s="47">
        <f>_xlfn.XLOOKUP(FME_Ranking2[[#This Row],[FME ID]],FME_Input[FME_ID],FME_Input[POP100])</f>
        <v>2443</v>
      </c>
      <c r="Q275" s="48" t="e">
        <f>FME_Ranking_Option2!$P275*P$4</f>
        <v>#REF!</v>
      </c>
      <c r="R275" s="48">
        <f>FME_Ranking_Option2!$P275/($P$3)</f>
        <v>8.9663287379828076E-4</v>
      </c>
      <c r="S275" s="48" t="e">
        <f>FME_Ranking_Option2!$R275*P$4</f>
        <v>#REF!</v>
      </c>
      <c r="T275" s="50">
        <f>_xlfn.XLOOKUP(FME_Ranking2[[#This Row],[FME ID]],FME_Input[FME_ID],FME_Input[CRITFAC100])</f>
        <v>6</v>
      </c>
      <c r="U275" s="48" t="e">
        <f>FME_Ranking_Option2!$T275*T$4</f>
        <v>#REF!</v>
      </c>
      <c r="V275" s="48">
        <f>FME_Ranking_Option2!$T275/($T$3)</f>
        <v>8.4614299816669018E-4</v>
      </c>
      <c r="W275" s="48" t="e">
        <f>FME_Ranking_Option2!$V275*T$4</f>
        <v>#REF!</v>
      </c>
      <c r="X275" s="50">
        <f>_xlfn.XLOOKUP(FME_Ranking2[[#This Row],[FME ID]],FME_Input[FME_ID],FME_Input[LWC])</f>
        <v>5</v>
      </c>
      <c r="Y275" s="48" t="e">
        <f>FME_Ranking_Option2!$X275*X$4</f>
        <v>#REF!</v>
      </c>
      <c r="Z275" s="48">
        <f>FME_Ranking_Option2!$X275/($X$3)</f>
        <v>4.5612114577631819E-4</v>
      </c>
      <c r="AA275" s="48" t="e">
        <f>FME_Ranking_Option2!$Z275*X$4</f>
        <v>#REF!</v>
      </c>
      <c r="AB275" s="50">
        <f>_xlfn.XLOOKUP(FME_Ranking2[[#This Row],[FME ID]],FME_Input[FME_ID],FME_Input[ROADCLS])</f>
        <v>5</v>
      </c>
      <c r="AC275" s="48" t="e">
        <f>FME_Ranking_Option2!$AB275*AB$4</f>
        <v>#REF!</v>
      </c>
      <c r="AD275" s="53">
        <f>_xlfn.XLOOKUP(FME_Ranking2[[#This Row],[FME ID]],FME_Input[FME_ID],FME_Input[ROAD_MILES100])</f>
        <v>24.8491325378418</v>
      </c>
      <c r="AE275" s="54" t="e">
        <f>FME_Ranking_Option2!$AD275*AD$4</f>
        <v>#REF!</v>
      </c>
      <c r="AF275" s="55">
        <f>FME_Ranking_Option2!$AD275/($AD$3)</f>
        <v>5.6127438665005296E-4</v>
      </c>
      <c r="AG275" s="55" t="e">
        <f>FME_Ranking_Option2!$AF275*AD$4</f>
        <v>#REF!</v>
      </c>
      <c r="AH275" s="53">
        <f>_xlfn.XLOOKUP(FME_Ranking2[[#This Row],[FME ID]],FME_Input[FME_ID],FME_Input[FARMACRE100])</f>
        <v>55.808460235595703</v>
      </c>
      <c r="AI275" s="54" t="e">
        <f>FME_Ranking_Option2!$AH275*AH$4</f>
        <v>#REF!</v>
      </c>
      <c r="AJ275" s="56">
        <f>FME_Ranking_Option2!$AH275/($AH$3)</f>
        <v>3.2405706857352719E-3</v>
      </c>
      <c r="AK275" s="57" t="e">
        <f>FME_Ranking_Option2!$AJ275*AH$4</f>
        <v>#REF!</v>
      </c>
      <c r="AL275"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75" s="58" t="e">
        <f>_xlfn.RANK.EQ(AL275,$AL$7:$AL$531)+COUNTIF(AL$7:AL275,AL275)-1</f>
        <v>#REF!</v>
      </c>
      <c r="AN275" s="57"/>
      <c r="AO275" s="58" t="e">
        <f>_xlfn.RANK.EQ(AN275,$AN$7:$AN$531)+COUNTIF(AN$7:AN275,AN275)-1</f>
        <v>#N/A</v>
      </c>
      <c r="AP27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75" s="32" t="e">
        <f>FME_Ranking2[[#This Row],[Score Based on Reported Factors]]-FME_Ranking2[[#This Row],[Check]]</f>
        <v>#REF!</v>
      </c>
      <c r="AR275" s="32"/>
      <c r="AT275" s="19"/>
      <c r="AU275" s="19"/>
      <c r="AV275" s="19"/>
      <c r="AW275" s="19"/>
      <c r="AX275" s="19"/>
      <c r="AY275" s="19"/>
      <c r="AZ275" s="19"/>
      <c r="BA275" s="19"/>
      <c r="BB275" s="19"/>
      <c r="BC275" s="19"/>
    </row>
    <row r="276" spans="1:55" ht="12" customHeight="1" x14ac:dyDescent="0.25">
      <c r="A276" s="17" t="s">
        <v>1925</v>
      </c>
      <c r="B276" s="17" t="str">
        <f>_xlfn.XLOOKUP(FME_Ranking2[[#This Row],[FME ID]],FME_Input[FME_ID],FME_Input[FME_NAME])</f>
        <v>Willow Creek Watershed Plan - M120 Detention/Preservation Site</v>
      </c>
      <c r="C276" s="17" t="str">
        <f>_xlfn.XLOOKUP(FME_Ranking2[[#This Row],[FME ID]],FME_Input[FME_ID],FME_Input[DESCR])</f>
        <v>Study to develop BCA to become a FMP. Pursue purchase of  property for regional detention, floodplain preservation, &amp; habitat preservation.</v>
      </c>
      <c r="D276" s="33" t="str">
        <f>_xlfn.XLOOKUP(FME_Ranking2[[#This Row],[FME ID]],FME_Input[FME_ID],FME_Input[EMER_NEED])</f>
        <v>No</v>
      </c>
      <c r="E276" s="120">
        <f>IF(FME_Ranking_Option2!$D276="Yes",100,0)</f>
        <v>0</v>
      </c>
      <c r="F276" s="34" t="str">
        <f>_xlfn.XLOOKUP(FME_Ranking2[[#This Row],[FME ID]],FME_Input[FME_ID],FME_Input[FUND])</f>
        <v>Yes</v>
      </c>
      <c r="G276" s="35">
        <f>IF(FME_Ranking_Option2!$F276="Yes",1,0)</f>
        <v>1</v>
      </c>
      <c r="H276" s="33">
        <f>_xlfn.XLOOKUP(FME_Ranking2[[#This Row],[FME ID]],FME_Input[FME_ID],FME_Input[STRUCT_100])</f>
        <v>828</v>
      </c>
      <c r="I276" s="64" t="e">
        <f>FME_Ranking2[[#This Row],[Raw Data3]]*H$4</f>
        <v>#REF!</v>
      </c>
      <c r="J276" s="63">
        <f>((FME_Ranking_Option2!$H276)/($H$3))*100</f>
        <v>9.2013393060545484E-2</v>
      </c>
      <c r="K276" s="36" t="e">
        <f>FME_Ranking2[[#This Row],[Norm Data3]]*H$4</f>
        <v>#REF!</v>
      </c>
      <c r="L276" s="37">
        <f>_xlfn.XLOOKUP(FME_Ranking2[[#This Row],[FME ID]],FME_Input[FME_ID],FME_Input[RES_STRUCT100])</f>
        <v>581</v>
      </c>
      <c r="M276" s="38" t="e">
        <f>FME_Ranking2[[#This Row],[Raw Data4]]*L$4</f>
        <v>#REF!</v>
      </c>
      <c r="N276" s="28">
        <f>((FME_Ranking_Option2!$L276)/($L$3))*100</f>
        <v>8.6861229841392301E-2</v>
      </c>
      <c r="O276" s="39" t="e">
        <f>FME_Ranking2[[#This Row],[Norm Data4]]*L$4</f>
        <v>#REF!</v>
      </c>
      <c r="P276" s="34">
        <f>_xlfn.XLOOKUP(FME_Ranking2[[#This Row],[FME ID]],FME_Input[FME_ID],FME_Input[POP100])</f>
        <v>2443</v>
      </c>
      <c r="Q276" s="35" t="e">
        <f>FME_Ranking_Option2!$P276*P$4</f>
        <v>#REF!</v>
      </c>
      <c r="R276" s="35">
        <f>FME_Ranking_Option2!$P276/($P$3)</f>
        <v>8.9663287379828076E-4</v>
      </c>
      <c r="S276" s="35" t="e">
        <f>FME_Ranking_Option2!$R276*P$4</f>
        <v>#REF!</v>
      </c>
      <c r="T276" s="37">
        <f>_xlfn.XLOOKUP(FME_Ranking2[[#This Row],[FME ID]],FME_Input[FME_ID],FME_Input[CRITFAC100])</f>
        <v>6</v>
      </c>
      <c r="U276" s="35" t="e">
        <f>FME_Ranking_Option2!$T276*T$4</f>
        <v>#REF!</v>
      </c>
      <c r="V276" s="35">
        <f>FME_Ranking_Option2!$T276/($T$3)</f>
        <v>8.4614299816669018E-4</v>
      </c>
      <c r="W276" s="35" t="e">
        <f>FME_Ranking_Option2!$V276*T$4</f>
        <v>#REF!</v>
      </c>
      <c r="X276" s="37">
        <f>_xlfn.XLOOKUP(FME_Ranking2[[#This Row],[FME ID]],FME_Input[FME_ID],FME_Input[LWC])</f>
        <v>5</v>
      </c>
      <c r="Y276" s="35" t="e">
        <f>FME_Ranking_Option2!$X276*X$4</f>
        <v>#REF!</v>
      </c>
      <c r="Z276" s="35">
        <f>FME_Ranking_Option2!$X276/($X$3)</f>
        <v>4.5612114577631819E-4</v>
      </c>
      <c r="AA276" s="35" t="e">
        <f>FME_Ranking_Option2!$Z276*X$4</f>
        <v>#REF!</v>
      </c>
      <c r="AB276" s="37">
        <f>_xlfn.XLOOKUP(FME_Ranking2[[#This Row],[FME ID]],FME_Input[FME_ID],FME_Input[ROADCLS])</f>
        <v>5</v>
      </c>
      <c r="AC276" s="35" t="e">
        <f>FME_Ranking_Option2!$AB276*AB$4</f>
        <v>#REF!</v>
      </c>
      <c r="AD276" s="40">
        <f>_xlfn.XLOOKUP(FME_Ranking2[[#This Row],[FME ID]],FME_Input[FME_ID],FME_Input[ROAD_MILES100])</f>
        <v>24.8491325378418</v>
      </c>
      <c r="AE276" s="41" t="e">
        <f>FME_Ranking_Option2!$AD276*AD$4</f>
        <v>#REF!</v>
      </c>
      <c r="AF276" s="42">
        <f>FME_Ranking_Option2!$AD276/($AD$3)</f>
        <v>5.6127438665005296E-4</v>
      </c>
      <c r="AG276" s="42" t="e">
        <f>FME_Ranking_Option2!$AF276*AD$4</f>
        <v>#REF!</v>
      </c>
      <c r="AH276" s="40">
        <f>_xlfn.XLOOKUP(FME_Ranking2[[#This Row],[FME ID]],FME_Input[FME_ID],FME_Input[FARMACRE100])</f>
        <v>55.808460235595703</v>
      </c>
      <c r="AI276" s="43" t="e">
        <f>FME_Ranking_Option2!$AH276*AH$4</f>
        <v>#REF!</v>
      </c>
      <c r="AJ276" s="41">
        <f>FME_Ranking_Option2!$AH276/($AH$3)</f>
        <v>3.2405706857352719E-3</v>
      </c>
      <c r="AK276" s="44" t="e">
        <f>FME_Ranking_Option2!$AJ276*AH$4</f>
        <v>#REF!</v>
      </c>
      <c r="AL276"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76" s="45" t="e">
        <f>_xlfn.RANK.EQ(AL276,$AL$7:$AL$531)+COUNTIF(AL$7:AL276,AL276)-1</f>
        <v>#REF!</v>
      </c>
      <c r="AN276" s="44"/>
      <c r="AO276" s="45" t="e">
        <f>_xlfn.RANK.EQ(AN276,$AN$7:$AN$531)+COUNTIF(AN$7:AN276,AN276)-1</f>
        <v>#N/A</v>
      </c>
      <c r="AP27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76" s="32" t="e">
        <f>FME_Ranking2[[#This Row],[Score Based on Reported Factors]]-FME_Ranking2[[#This Row],[Check]]</f>
        <v>#REF!</v>
      </c>
      <c r="AR276" s="32"/>
    </row>
    <row r="277" spans="1:55" ht="12" customHeight="1" x14ac:dyDescent="0.25">
      <c r="A277" s="16" t="s">
        <v>1928</v>
      </c>
      <c r="B277" s="16" t="str">
        <f>_xlfn.XLOOKUP(FME_Ranking2[[#This Row],[FME ID]],FME_Input[FME_ID],FME_Input[FME_NAME])</f>
        <v>Willow Creek Watershed Plan-  FM2920 Stormwater Detention Basin</v>
      </c>
      <c r="C277" s="16" t="str">
        <f>_xlfn.XLOOKUP(FME_Ranking2[[#This Row],[FME ID]],FME_Input[FME_ID],FME_Input[DESCR])</f>
        <v>Study to develop a Benefit Cost Analysis needed for this project to become a FMP. Proposed 826 acre-feet detention basin located near FM 2920 crossing of Willow Creek.</v>
      </c>
      <c r="D277" s="46" t="str">
        <f>_xlfn.XLOOKUP(FME_Ranking2[[#This Row],[FME ID]],FME_Input[FME_ID],FME_Input[EMER_NEED])</f>
        <v>No</v>
      </c>
      <c r="E277" s="121">
        <f>IF(FME_Ranking_Option2!$D277="Yes",100,0)</f>
        <v>0</v>
      </c>
      <c r="F277" s="47" t="str">
        <f>_xlfn.XLOOKUP(FME_Ranking2[[#This Row],[FME ID]],FME_Input[FME_ID],FME_Input[FUND])</f>
        <v>Yes</v>
      </c>
      <c r="G277" s="48">
        <f>IF(FME_Ranking_Option2!$F277="Yes",1,0)</f>
        <v>1</v>
      </c>
      <c r="H277" s="46">
        <f>_xlfn.XLOOKUP(FME_Ranking2[[#This Row],[FME ID]],FME_Input[FME_ID],FME_Input[STRUCT_100])</f>
        <v>828</v>
      </c>
      <c r="I277" s="65" t="e">
        <f>FME_Ranking2[[#This Row],[Raw Data3]]*H$4</f>
        <v>#REF!</v>
      </c>
      <c r="J277" s="62">
        <f>((FME_Ranking_Option2!$H277)/($H$3))*100</f>
        <v>9.2013393060545484E-2</v>
      </c>
      <c r="K277" s="49" t="e">
        <f>FME_Ranking2[[#This Row],[Norm Data3]]*H$4</f>
        <v>#REF!</v>
      </c>
      <c r="L277" s="50">
        <f>_xlfn.XLOOKUP(FME_Ranking2[[#This Row],[FME ID]],FME_Input[FME_ID],FME_Input[RES_STRUCT100])</f>
        <v>581</v>
      </c>
      <c r="M277" s="51" t="e">
        <f>FME_Ranking2[[#This Row],[Raw Data4]]*L$4</f>
        <v>#REF!</v>
      </c>
      <c r="N277" s="29">
        <f>((FME_Ranking_Option2!$L277)/($L$3))*100</f>
        <v>8.6861229841392301E-2</v>
      </c>
      <c r="O277" s="52" t="e">
        <f>FME_Ranking2[[#This Row],[Norm Data4]]*L$4</f>
        <v>#REF!</v>
      </c>
      <c r="P277" s="47">
        <f>_xlfn.XLOOKUP(FME_Ranking2[[#This Row],[FME ID]],FME_Input[FME_ID],FME_Input[POP100])</f>
        <v>2443</v>
      </c>
      <c r="Q277" s="48" t="e">
        <f>FME_Ranking_Option2!$P277*P$4</f>
        <v>#REF!</v>
      </c>
      <c r="R277" s="48">
        <f>FME_Ranking_Option2!$P277/($P$3)</f>
        <v>8.9663287379828076E-4</v>
      </c>
      <c r="S277" s="48" t="e">
        <f>FME_Ranking_Option2!$R277*P$4</f>
        <v>#REF!</v>
      </c>
      <c r="T277" s="50">
        <f>_xlfn.XLOOKUP(FME_Ranking2[[#This Row],[FME ID]],FME_Input[FME_ID],FME_Input[CRITFAC100])</f>
        <v>6</v>
      </c>
      <c r="U277" s="48" t="e">
        <f>FME_Ranking_Option2!$T277*T$4</f>
        <v>#REF!</v>
      </c>
      <c r="V277" s="48">
        <f>FME_Ranking_Option2!$T277/($T$3)</f>
        <v>8.4614299816669018E-4</v>
      </c>
      <c r="W277" s="48" t="e">
        <f>FME_Ranking_Option2!$V277*T$4</f>
        <v>#REF!</v>
      </c>
      <c r="X277" s="50">
        <f>_xlfn.XLOOKUP(FME_Ranking2[[#This Row],[FME ID]],FME_Input[FME_ID],FME_Input[LWC])</f>
        <v>5</v>
      </c>
      <c r="Y277" s="48" t="e">
        <f>FME_Ranking_Option2!$X277*X$4</f>
        <v>#REF!</v>
      </c>
      <c r="Z277" s="48">
        <f>FME_Ranking_Option2!$X277/($X$3)</f>
        <v>4.5612114577631819E-4</v>
      </c>
      <c r="AA277" s="48" t="e">
        <f>FME_Ranking_Option2!$Z277*X$4</f>
        <v>#REF!</v>
      </c>
      <c r="AB277" s="50">
        <f>_xlfn.XLOOKUP(FME_Ranking2[[#This Row],[FME ID]],FME_Input[FME_ID],FME_Input[ROADCLS])</f>
        <v>5</v>
      </c>
      <c r="AC277" s="48" t="e">
        <f>FME_Ranking_Option2!$AB277*AB$4</f>
        <v>#REF!</v>
      </c>
      <c r="AD277" s="53">
        <f>_xlfn.XLOOKUP(FME_Ranking2[[#This Row],[FME ID]],FME_Input[FME_ID],FME_Input[ROAD_MILES100])</f>
        <v>24.8491325378418</v>
      </c>
      <c r="AE277" s="54" t="e">
        <f>FME_Ranking_Option2!$AD277*AD$4</f>
        <v>#REF!</v>
      </c>
      <c r="AF277" s="55">
        <f>FME_Ranking_Option2!$AD277/($AD$3)</f>
        <v>5.6127438665005296E-4</v>
      </c>
      <c r="AG277" s="55" t="e">
        <f>FME_Ranking_Option2!$AF277*AD$4</f>
        <v>#REF!</v>
      </c>
      <c r="AH277" s="53">
        <f>_xlfn.XLOOKUP(FME_Ranking2[[#This Row],[FME ID]],FME_Input[FME_ID],FME_Input[FARMACRE100])</f>
        <v>55.808460235595703</v>
      </c>
      <c r="AI277" s="54" t="e">
        <f>FME_Ranking_Option2!$AH277*AH$4</f>
        <v>#REF!</v>
      </c>
      <c r="AJ277" s="56">
        <f>FME_Ranking_Option2!$AH277/($AH$3)</f>
        <v>3.2405706857352719E-3</v>
      </c>
      <c r="AK277" s="57" t="e">
        <f>FME_Ranking_Option2!$AJ277*AH$4</f>
        <v>#REF!</v>
      </c>
      <c r="AL277"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77" s="58" t="e">
        <f>_xlfn.RANK.EQ(AL277,$AL$7:$AL$531)+COUNTIF(AL$7:AL277,AL277)-1</f>
        <v>#REF!</v>
      </c>
      <c r="AN277" s="57"/>
      <c r="AO277" s="58" t="e">
        <f>_xlfn.RANK.EQ(AN277,$AN$7:$AN$531)+COUNTIF(AN$7:AN277,AN277)-1</f>
        <v>#N/A</v>
      </c>
      <c r="AP27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77" s="32" t="e">
        <f>FME_Ranking2[[#This Row],[Score Based on Reported Factors]]-FME_Ranking2[[#This Row],[Check]]</f>
        <v>#REF!</v>
      </c>
      <c r="AR277" s="32"/>
      <c r="AT277" s="19"/>
      <c r="AU277" s="19"/>
      <c r="AV277" s="19"/>
      <c r="AW277" s="19"/>
      <c r="AX277" s="19"/>
      <c r="AY277" s="19"/>
      <c r="AZ277" s="19"/>
      <c r="BA277" s="19"/>
      <c r="BB277" s="19"/>
      <c r="BC277" s="19"/>
    </row>
    <row r="278" spans="1:55" ht="12" customHeight="1" x14ac:dyDescent="0.25">
      <c r="A278" s="17" t="s">
        <v>1931</v>
      </c>
      <c r="B278" s="17" t="str">
        <f>_xlfn.XLOOKUP(FME_Ranking2[[#This Row],[FME ID]],FME_Input[FME_ID],FME_Input[FME_NAME])</f>
        <v>Willow Creek Watershed Plan- Kuykendahl Basin</v>
      </c>
      <c r="C278" s="17" t="str">
        <f>_xlfn.XLOOKUP(FME_Ranking2[[#This Row],[FME ID]],FME_Input[FME_ID],FME_Input[DESCR])</f>
        <v>Study to develop a Benefit Cost Analysis needed for this project to become a FMP. Proposed 727 acre-feet detention basin located near Kuykendahl Road crossing of Willow Creek.</v>
      </c>
      <c r="D278" s="33" t="str">
        <f>_xlfn.XLOOKUP(FME_Ranking2[[#This Row],[FME ID]],FME_Input[FME_ID],FME_Input[EMER_NEED])</f>
        <v>No</v>
      </c>
      <c r="E278" s="120">
        <f>IF(FME_Ranking_Option2!$D278="Yes",100,0)</f>
        <v>0</v>
      </c>
      <c r="F278" s="34" t="str">
        <f>_xlfn.XLOOKUP(FME_Ranking2[[#This Row],[FME ID]],FME_Input[FME_ID],FME_Input[FUND])</f>
        <v>Yes</v>
      </c>
      <c r="G278" s="35">
        <f>IF(FME_Ranking_Option2!$F278="Yes",1,0)</f>
        <v>1</v>
      </c>
      <c r="H278" s="33">
        <f>_xlfn.XLOOKUP(FME_Ranking2[[#This Row],[FME ID]],FME_Input[FME_ID],FME_Input[STRUCT_100])</f>
        <v>828</v>
      </c>
      <c r="I278" s="64" t="e">
        <f>FME_Ranking2[[#This Row],[Raw Data3]]*H$4</f>
        <v>#REF!</v>
      </c>
      <c r="J278" s="63">
        <f>((FME_Ranking_Option2!$H278)/($H$3))*100</f>
        <v>9.2013393060545484E-2</v>
      </c>
      <c r="K278" s="36" t="e">
        <f>FME_Ranking2[[#This Row],[Norm Data3]]*H$4</f>
        <v>#REF!</v>
      </c>
      <c r="L278" s="37">
        <f>_xlfn.XLOOKUP(FME_Ranking2[[#This Row],[FME ID]],FME_Input[FME_ID],FME_Input[RES_STRUCT100])</f>
        <v>581</v>
      </c>
      <c r="M278" s="38" t="e">
        <f>FME_Ranking2[[#This Row],[Raw Data4]]*L$4</f>
        <v>#REF!</v>
      </c>
      <c r="N278" s="28">
        <f>((FME_Ranking_Option2!$L278)/($L$3))*100</f>
        <v>8.6861229841392301E-2</v>
      </c>
      <c r="O278" s="39" t="e">
        <f>FME_Ranking2[[#This Row],[Norm Data4]]*L$4</f>
        <v>#REF!</v>
      </c>
      <c r="P278" s="34">
        <f>_xlfn.XLOOKUP(FME_Ranking2[[#This Row],[FME ID]],FME_Input[FME_ID],FME_Input[POP100])</f>
        <v>2443</v>
      </c>
      <c r="Q278" s="35" t="e">
        <f>FME_Ranking_Option2!$P278*P$4</f>
        <v>#REF!</v>
      </c>
      <c r="R278" s="35">
        <f>FME_Ranking_Option2!$P278/($P$3)</f>
        <v>8.9663287379828076E-4</v>
      </c>
      <c r="S278" s="35" t="e">
        <f>FME_Ranking_Option2!$R278*P$4</f>
        <v>#REF!</v>
      </c>
      <c r="T278" s="37">
        <f>_xlfn.XLOOKUP(FME_Ranking2[[#This Row],[FME ID]],FME_Input[FME_ID],FME_Input[CRITFAC100])</f>
        <v>6</v>
      </c>
      <c r="U278" s="35" t="e">
        <f>FME_Ranking_Option2!$T278*T$4</f>
        <v>#REF!</v>
      </c>
      <c r="V278" s="35">
        <f>FME_Ranking_Option2!$T278/($T$3)</f>
        <v>8.4614299816669018E-4</v>
      </c>
      <c r="W278" s="35" t="e">
        <f>FME_Ranking_Option2!$V278*T$4</f>
        <v>#REF!</v>
      </c>
      <c r="X278" s="37">
        <f>_xlfn.XLOOKUP(FME_Ranking2[[#This Row],[FME ID]],FME_Input[FME_ID],FME_Input[LWC])</f>
        <v>5</v>
      </c>
      <c r="Y278" s="35" t="e">
        <f>FME_Ranking_Option2!$X278*X$4</f>
        <v>#REF!</v>
      </c>
      <c r="Z278" s="35">
        <f>FME_Ranking_Option2!$X278/($X$3)</f>
        <v>4.5612114577631819E-4</v>
      </c>
      <c r="AA278" s="35" t="e">
        <f>FME_Ranking_Option2!$Z278*X$4</f>
        <v>#REF!</v>
      </c>
      <c r="AB278" s="37">
        <f>_xlfn.XLOOKUP(FME_Ranking2[[#This Row],[FME ID]],FME_Input[FME_ID],FME_Input[ROADCLS])</f>
        <v>5</v>
      </c>
      <c r="AC278" s="35" t="e">
        <f>FME_Ranking_Option2!$AB278*AB$4</f>
        <v>#REF!</v>
      </c>
      <c r="AD278" s="40">
        <f>_xlfn.XLOOKUP(FME_Ranking2[[#This Row],[FME ID]],FME_Input[FME_ID],FME_Input[ROAD_MILES100])</f>
        <v>24.8491325378418</v>
      </c>
      <c r="AE278" s="41" t="e">
        <f>FME_Ranking_Option2!$AD278*AD$4</f>
        <v>#REF!</v>
      </c>
      <c r="AF278" s="42">
        <f>FME_Ranking_Option2!$AD278/($AD$3)</f>
        <v>5.6127438665005296E-4</v>
      </c>
      <c r="AG278" s="42" t="e">
        <f>FME_Ranking_Option2!$AF278*AD$4</f>
        <v>#REF!</v>
      </c>
      <c r="AH278" s="40">
        <f>_xlfn.XLOOKUP(FME_Ranking2[[#This Row],[FME ID]],FME_Input[FME_ID],FME_Input[FARMACRE100])</f>
        <v>55.808460235595703</v>
      </c>
      <c r="AI278" s="43" t="e">
        <f>FME_Ranking_Option2!$AH278*AH$4</f>
        <v>#REF!</v>
      </c>
      <c r="AJ278" s="41">
        <f>FME_Ranking_Option2!$AH278/($AH$3)</f>
        <v>3.2405706857352719E-3</v>
      </c>
      <c r="AK278" s="44" t="e">
        <f>FME_Ranking_Option2!$AJ278*AH$4</f>
        <v>#REF!</v>
      </c>
      <c r="AL27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78" s="45" t="e">
        <f>_xlfn.RANK.EQ(AL278,$AL$7:$AL$531)+COUNTIF(AL$7:AL278,AL278)-1</f>
        <v>#REF!</v>
      </c>
      <c r="AN278" s="44"/>
      <c r="AO278" s="45" t="e">
        <f>_xlfn.RANK.EQ(AN278,$AN$7:$AN$531)+COUNTIF(AN$7:AN278,AN278)-1</f>
        <v>#N/A</v>
      </c>
      <c r="AP27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78" s="32" t="e">
        <f>FME_Ranking2[[#This Row],[Score Based on Reported Factors]]-FME_Ranking2[[#This Row],[Check]]</f>
        <v>#REF!</v>
      </c>
      <c r="AR278" s="32"/>
    </row>
    <row r="279" spans="1:55" ht="12" customHeight="1" x14ac:dyDescent="0.25">
      <c r="A279" s="16" t="s">
        <v>1934</v>
      </c>
      <c r="B279" s="16" t="str">
        <f>_xlfn.XLOOKUP(FME_Ranking2[[#This Row],[FME ID]],FME_Input[FME_ID],FME_Input[FME_NAME])</f>
        <v>Willow Creek Watershed Plan-  M121 Basin Stormwater Detention Basin</v>
      </c>
      <c r="C279" s="16" t="str">
        <f>_xlfn.XLOOKUP(FME_Ranking2[[#This Row],[FME ID]],FME_Input[FME_ID],FME_Input[DESCR])</f>
        <v>Study to develop a Benefit Cost Analysis needed for this project to become a FMP. Proposed 1010 acre-feet detention basin located near M121 tributary</v>
      </c>
      <c r="D279" s="46" t="str">
        <f>_xlfn.XLOOKUP(FME_Ranking2[[#This Row],[FME ID]],FME_Input[FME_ID],FME_Input[EMER_NEED])</f>
        <v>No</v>
      </c>
      <c r="E279" s="121">
        <f>IF(FME_Ranking_Option2!$D279="Yes",100,0)</f>
        <v>0</v>
      </c>
      <c r="F279" s="47" t="str">
        <f>_xlfn.XLOOKUP(FME_Ranking2[[#This Row],[FME ID]],FME_Input[FME_ID],FME_Input[FUND])</f>
        <v>Yes</v>
      </c>
      <c r="G279" s="48">
        <f>IF(FME_Ranking_Option2!$F279="Yes",1,0)</f>
        <v>1</v>
      </c>
      <c r="H279" s="46">
        <f>_xlfn.XLOOKUP(FME_Ranking2[[#This Row],[FME ID]],FME_Input[FME_ID],FME_Input[STRUCT_100])</f>
        <v>828</v>
      </c>
      <c r="I279" s="65" t="e">
        <f>FME_Ranking2[[#This Row],[Raw Data3]]*H$4</f>
        <v>#REF!</v>
      </c>
      <c r="J279" s="62">
        <f>((FME_Ranking_Option2!$H279)/($H$3))*100</f>
        <v>9.2013393060545484E-2</v>
      </c>
      <c r="K279" s="49" t="e">
        <f>FME_Ranking2[[#This Row],[Norm Data3]]*H$4</f>
        <v>#REF!</v>
      </c>
      <c r="L279" s="50">
        <f>_xlfn.XLOOKUP(FME_Ranking2[[#This Row],[FME ID]],FME_Input[FME_ID],FME_Input[RES_STRUCT100])</f>
        <v>581</v>
      </c>
      <c r="M279" s="51" t="e">
        <f>FME_Ranking2[[#This Row],[Raw Data4]]*L$4</f>
        <v>#REF!</v>
      </c>
      <c r="N279" s="29">
        <f>((FME_Ranking_Option2!$L279)/($L$3))*100</f>
        <v>8.6861229841392301E-2</v>
      </c>
      <c r="O279" s="52" t="e">
        <f>FME_Ranking2[[#This Row],[Norm Data4]]*L$4</f>
        <v>#REF!</v>
      </c>
      <c r="P279" s="47">
        <f>_xlfn.XLOOKUP(FME_Ranking2[[#This Row],[FME ID]],FME_Input[FME_ID],FME_Input[POP100])</f>
        <v>2443</v>
      </c>
      <c r="Q279" s="48" t="e">
        <f>FME_Ranking_Option2!$P279*P$4</f>
        <v>#REF!</v>
      </c>
      <c r="R279" s="48">
        <f>FME_Ranking_Option2!$P279/($P$3)</f>
        <v>8.9663287379828076E-4</v>
      </c>
      <c r="S279" s="48" t="e">
        <f>FME_Ranking_Option2!$R279*P$4</f>
        <v>#REF!</v>
      </c>
      <c r="T279" s="50">
        <f>_xlfn.XLOOKUP(FME_Ranking2[[#This Row],[FME ID]],FME_Input[FME_ID],FME_Input[CRITFAC100])</f>
        <v>6</v>
      </c>
      <c r="U279" s="48" t="e">
        <f>FME_Ranking_Option2!$T279*T$4</f>
        <v>#REF!</v>
      </c>
      <c r="V279" s="48">
        <f>FME_Ranking_Option2!$T279/($T$3)</f>
        <v>8.4614299816669018E-4</v>
      </c>
      <c r="W279" s="48" t="e">
        <f>FME_Ranking_Option2!$V279*T$4</f>
        <v>#REF!</v>
      </c>
      <c r="X279" s="50">
        <f>_xlfn.XLOOKUP(FME_Ranking2[[#This Row],[FME ID]],FME_Input[FME_ID],FME_Input[LWC])</f>
        <v>5</v>
      </c>
      <c r="Y279" s="48" t="e">
        <f>FME_Ranking_Option2!$X279*X$4</f>
        <v>#REF!</v>
      </c>
      <c r="Z279" s="48">
        <f>FME_Ranking_Option2!$X279/($X$3)</f>
        <v>4.5612114577631819E-4</v>
      </c>
      <c r="AA279" s="48" t="e">
        <f>FME_Ranking_Option2!$Z279*X$4</f>
        <v>#REF!</v>
      </c>
      <c r="AB279" s="50">
        <f>_xlfn.XLOOKUP(FME_Ranking2[[#This Row],[FME ID]],FME_Input[FME_ID],FME_Input[ROADCLS])</f>
        <v>5</v>
      </c>
      <c r="AC279" s="48" t="e">
        <f>FME_Ranking_Option2!$AB279*AB$4</f>
        <v>#REF!</v>
      </c>
      <c r="AD279" s="53">
        <f>_xlfn.XLOOKUP(FME_Ranking2[[#This Row],[FME ID]],FME_Input[FME_ID],FME_Input[ROAD_MILES100])</f>
        <v>24.8491325378418</v>
      </c>
      <c r="AE279" s="54" t="e">
        <f>FME_Ranking_Option2!$AD279*AD$4</f>
        <v>#REF!</v>
      </c>
      <c r="AF279" s="55">
        <f>FME_Ranking_Option2!$AD279/($AD$3)</f>
        <v>5.6127438665005296E-4</v>
      </c>
      <c r="AG279" s="55" t="e">
        <f>FME_Ranking_Option2!$AF279*AD$4</f>
        <v>#REF!</v>
      </c>
      <c r="AH279" s="53">
        <f>_xlfn.XLOOKUP(FME_Ranking2[[#This Row],[FME ID]],FME_Input[FME_ID],FME_Input[FARMACRE100])</f>
        <v>55.808460235595703</v>
      </c>
      <c r="AI279" s="54" t="e">
        <f>FME_Ranking_Option2!$AH279*AH$4</f>
        <v>#REF!</v>
      </c>
      <c r="AJ279" s="56">
        <f>FME_Ranking_Option2!$AH279/($AH$3)</f>
        <v>3.2405706857352719E-3</v>
      </c>
      <c r="AK279" s="57" t="e">
        <f>FME_Ranking_Option2!$AJ279*AH$4</f>
        <v>#REF!</v>
      </c>
      <c r="AL27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79" s="58" t="e">
        <f>_xlfn.RANK.EQ(AL279,$AL$7:$AL$531)+COUNTIF(AL$7:AL279,AL279)-1</f>
        <v>#REF!</v>
      </c>
      <c r="AN279" s="57"/>
      <c r="AO279" s="58" t="e">
        <f>_xlfn.RANK.EQ(AN279,$AN$7:$AN$531)+COUNTIF(AN$7:AN279,AN279)-1</f>
        <v>#N/A</v>
      </c>
      <c r="AP27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79" s="32" t="e">
        <f>FME_Ranking2[[#This Row],[Score Based on Reported Factors]]-FME_Ranking2[[#This Row],[Check]]</f>
        <v>#REF!</v>
      </c>
      <c r="AR279" s="32"/>
      <c r="AT279" s="19"/>
      <c r="AU279" s="19"/>
      <c r="AV279" s="19"/>
      <c r="AW279" s="19"/>
      <c r="AX279" s="19"/>
      <c r="AY279" s="19"/>
      <c r="AZ279" s="19"/>
      <c r="BA279" s="19"/>
      <c r="BB279" s="19"/>
      <c r="BC279" s="19"/>
    </row>
    <row r="280" spans="1:55" ht="12" customHeight="1" x14ac:dyDescent="0.25">
      <c r="A280" s="17" t="s">
        <v>1937</v>
      </c>
      <c r="B280" s="17" t="str">
        <f>_xlfn.XLOOKUP(FME_Ranking2[[#This Row],[FME ID]],FME_Input[FME_ID],FME_Input[FME_NAME])</f>
        <v>Galveston Bay Watershed Plan-  PA01 (N+6) Channel &amp; Crossing Improvements</v>
      </c>
      <c r="C280" s="17" t="str">
        <f>_xlfn.XLOOKUP(FME_Ranking2[[#This Row],[FME ID]],FME_Input[FME_ID],FME_Input[DESCR])</f>
        <v>Develop BCA to become FMP. Channel deepening from N Broadway St to N Utah St, convert open channel segment to closed conduit w/ 8'x5' concrete boxes b/w N Utah St &amp; Main St, replace concrete pipe w/ dual 8'x5' concrete box culvert outfall to F212.</v>
      </c>
      <c r="D280" s="33" t="str">
        <f>_xlfn.XLOOKUP(FME_Ranking2[[#This Row],[FME ID]],FME_Input[FME_ID],FME_Input[EMER_NEED])</f>
        <v>No</v>
      </c>
      <c r="E280" s="120">
        <f>IF(FME_Ranking_Option2!$D280="Yes",100,0)</f>
        <v>0</v>
      </c>
      <c r="F280" s="34" t="str">
        <f>_xlfn.XLOOKUP(FME_Ranking2[[#This Row],[FME ID]],FME_Input[FME_ID],FME_Input[FUND])</f>
        <v>Yes</v>
      </c>
      <c r="G280" s="35">
        <f>IF(FME_Ranking_Option2!$F280="Yes",1,0)</f>
        <v>1</v>
      </c>
      <c r="H280" s="33">
        <f>_xlfn.XLOOKUP(FME_Ranking2[[#This Row],[FME ID]],FME_Input[FME_ID],FME_Input[STRUCT_100])</f>
        <v>259</v>
      </c>
      <c r="I280" s="64" t="e">
        <f>FME_Ranking2[[#This Row],[Raw Data3]]*H$4</f>
        <v>#REF!</v>
      </c>
      <c r="J280" s="63">
        <f>((FME_Ranking_Option2!$H280)/($H$3))*100</f>
        <v>2.8781967152996715E-2</v>
      </c>
      <c r="K280" s="36" t="e">
        <f>FME_Ranking2[[#This Row],[Norm Data3]]*H$4</f>
        <v>#REF!</v>
      </c>
      <c r="L280" s="37">
        <f>_xlfn.XLOOKUP(FME_Ranking2[[#This Row],[FME ID]],FME_Input[FME_ID],FME_Input[RES_STRUCT100])</f>
        <v>234</v>
      </c>
      <c r="M280" s="38" t="e">
        <f>FME_Ranking2[[#This Row],[Raw Data4]]*L$4</f>
        <v>#REF!</v>
      </c>
      <c r="N280" s="28">
        <f>((FME_Ranking_Option2!$L280)/($L$3))*100</f>
        <v>3.4983696700319783E-2</v>
      </c>
      <c r="O280" s="39" t="e">
        <f>FME_Ranking2[[#This Row],[Norm Data4]]*L$4</f>
        <v>#REF!</v>
      </c>
      <c r="P280" s="34">
        <f>_xlfn.XLOOKUP(FME_Ranking2[[#This Row],[FME ID]],FME_Input[FME_ID],FME_Input[POP100])</f>
        <v>648</v>
      </c>
      <c r="Q280" s="35" t="e">
        <f>FME_Ranking_Option2!$P280*P$4</f>
        <v>#REF!</v>
      </c>
      <c r="R280" s="35">
        <f>FME_Ranking_Option2!$P280/($P$3)</f>
        <v>2.3782975940290048E-4</v>
      </c>
      <c r="S280" s="35" t="e">
        <f>FME_Ranking_Option2!$R280*P$4</f>
        <v>#REF!</v>
      </c>
      <c r="T280" s="37">
        <f>_xlfn.XLOOKUP(FME_Ranking2[[#This Row],[FME ID]],FME_Input[FME_ID],FME_Input[CRITFAC100])</f>
        <v>7</v>
      </c>
      <c r="U280" s="35" t="e">
        <f>FME_Ranking_Option2!$T280*T$4</f>
        <v>#REF!</v>
      </c>
      <c r="V280" s="35">
        <f>FME_Ranking_Option2!$T280/($T$3)</f>
        <v>9.871668311944718E-4</v>
      </c>
      <c r="W280" s="35" t="e">
        <f>FME_Ranking_Option2!$V280*T$4</f>
        <v>#REF!</v>
      </c>
      <c r="X280" s="37">
        <f>_xlfn.XLOOKUP(FME_Ranking2[[#This Row],[FME ID]],FME_Input[FME_ID],FME_Input[LWC])</f>
        <v>0</v>
      </c>
      <c r="Y280" s="35" t="e">
        <f>FME_Ranking_Option2!$X280*X$4</f>
        <v>#REF!</v>
      </c>
      <c r="Z280" s="35">
        <f>FME_Ranking_Option2!$X280/($X$3)</f>
        <v>0</v>
      </c>
      <c r="AA280" s="35" t="e">
        <f>FME_Ranking_Option2!$Z280*X$4</f>
        <v>#REF!</v>
      </c>
      <c r="AB280" s="37">
        <f>_xlfn.XLOOKUP(FME_Ranking2[[#This Row],[FME ID]],FME_Input[FME_ID],FME_Input[ROADCLS])</f>
        <v>0</v>
      </c>
      <c r="AC280" s="35" t="e">
        <f>FME_Ranking_Option2!$AB280*AB$4</f>
        <v>#REF!</v>
      </c>
      <c r="AD280" s="40">
        <f>_xlfn.XLOOKUP(FME_Ranking2[[#This Row],[FME ID]],FME_Input[FME_ID],FME_Input[ROAD_MILES100])</f>
        <v>5.095984935760498</v>
      </c>
      <c r="AE280" s="41" t="e">
        <f>FME_Ranking_Option2!$AD280*AD$4</f>
        <v>#REF!</v>
      </c>
      <c r="AF280" s="42">
        <f>FME_Ranking_Option2!$AD280/($AD$3)</f>
        <v>1.1510445343881215E-4</v>
      </c>
      <c r="AG280" s="42" t="e">
        <f>FME_Ranking_Option2!$AF280*AD$4</f>
        <v>#REF!</v>
      </c>
      <c r="AH280" s="40">
        <f>_xlfn.XLOOKUP(FME_Ranking2[[#This Row],[FME ID]],FME_Input[FME_ID],FME_Input[FARMACRE100])</f>
        <v>0.13703711330890661</v>
      </c>
      <c r="AI280" s="43" t="e">
        <f>FME_Ranking_Option2!$AH280*AH$4</f>
        <v>#REF!</v>
      </c>
      <c r="AJ280" s="41">
        <f>FME_Ranking_Option2!$AH280/($AH$3)</f>
        <v>7.9571887554672926E-6</v>
      </c>
      <c r="AK280" s="44" t="e">
        <f>FME_Ranking_Option2!$AJ280*AH$4</f>
        <v>#REF!</v>
      </c>
      <c r="AL28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80" s="45" t="e">
        <f>_xlfn.RANK.EQ(AL280,$AL$7:$AL$531)+COUNTIF(AL$7:AL280,AL280)-1</f>
        <v>#REF!</v>
      </c>
      <c r="AN280" s="44"/>
      <c r="AO280" s="45" t="e">
        <f>_xlfn.RANK.EQ(AN280,$AN$7:$AN$531)+COUNTIF(AN$7:AN280,AN280)-1</f>
        <v>#N/A</v>
      </c>
      <c r="AP28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80" s="32" t="e">
        <f>FME_Ranking2[[#This Row],[Score Based on Reported Factors]]-FME_Ranking2[[#This Row],[Check]]</f>
        <v>#REF!</v>
      </c>
      <c r="AR280" s="32"/>
    </row>
    <row r="281" spans="1:55" ht="12" customHeight="1" x14ac:dyDescent="0.25">
      <c r="A281" s="16" t="s">
        <v>1941</v>
      </c>
      <c r="B281" s="16" t="str">
        <f>_xlfn.XLOOKUP(FME_Ranking2[[#This Row],[FME ID]],FME_Input[FME_ID],FME_Input[FME_NAME])</f>
        <v xml:space="preserve">White Oak Bayou - Design and Construction of Woodland Trails Stormwater Detention Basin </v>
      </c>
      <c r="C281" s="16" t="str">
        <f>_xlfn.XLOOKUP(FME_Ranking2[[#This Row],[FME ID]],FME_Input[FME_ID],FME_Input[DESCR])</f>
        <v>Study to develop a BCA to become FMP. This stormwater detention basin compliments the federal project on White Oak Bayou which will reduce the risk of flooding for 1,800 structures in an Atlas 14 1% rainfall event.</v>
      </c>
      <c r="D281" s="46" t="str">
        <f>_xlfn.XLOOKUP(FME_Ranking2[[#This Row],[FME ID]],FME_Input[FME_ID],FME_Input[EMER_NEED])</f>
        <v>No</v>
      </c>
      <c r="E281" s="121">
        <f>IF(FME_Ranking_Option2!$D281="Yes",100,0)</f>
        <v>0</v>
      </c>
      <c r="F281" s="47" t="str">
        <f>_xlfn.XLOOKUP(FME_Ranking2[[#This Row],[FME ID]],FME_Input[FME_ID],FME_Input[FUND])</f>
        <v>Yes</v>
      </c>
      <c r="G281" s="48">
        <f>IF(FME_Ranking_Option2!$F281="Yes",1,0)</f>
        <v>1</v>
      </c>
      <c r="H281" s="46">
        <f>_xlfn.XLOOKUP(FME_Ranking2[[#This Row],[FME ID]],FME_Input[FME_ID],FME_Input[STRUCT_100])</f>
        <v>11098</v>
      </c>
      <c r="I281" s="65" t="e">
        <f>FME_Ranking2[[#This Row],[Raw Data3]]*H$4</f>
        <v>#REF!</v>
      </c>
      <c r="J281" s="62">
        <f>((FME_Ranking_Option2!$H281)/($H$3))*100</f>
        <v>1.2332906234129635</v>
      </c>
      <c r="K281" s="49" t="e">
        <f>FME_Ranking2[[#This Row],[Norm Data3]]*H$4</f>
        <v>#REF!</v>
      </c>
      <c r="L281" s="50">
        <f>_xlfn.XLOOKUP(FME_Ranking2[[#This Row],[FME ID]],FME_Input[FME_ID],FME_Input[RES_STRUCT100])</f>
        <v>9581</v>
      </c>
      <c r="M281" s="51" t="e">
        <f>FME_Ranking2[[#This Row],[Raw Data4]]*L$4</f>
        <v>#REF!</v>
      </c>
      <c r="N281" s="29">
        <f>((FME_Ranking_Option2!$L281)/($L$3))*100</f>
        <v>1.4323880260075379</v>
      </c>
      <c r="O281" s="52" t="e">
        <f>FME_Ranking2[[#This Row],[Norm Data4]]*L$4</f>
        <v>#REF!</v>
      </c>
      <c r="P281" s="47">
        <f>_xlfn.XLOOKUP(FME_Ranking2[[#This Row],[FME ID]],FME_Input[FME_ID],FME_Input[POP100])</f>
        <v>90865</v>
      </c>
      <c r="Q281" s="48" t="e">
        <f>FME_Ranking_Option2!$P281*P$4</f>
        <v>#REF!</v>
      </c>
      <c r="R281" s="48">
        <f>FME_Ranking_Option2!$P281/($P$3)</f>
        <v>3.3349384395284808E-2</v>
      </c>
      <c r="S281" s="48" t="e">
        <f>FME_Ranking_Option2!$R281*P$4</f>
        <v>#REF!</v>
      </c>
      <c r="T281" s="50">
        <f>_xlfn.XLOOKUP(FME_Ranking2[[#This Row],[FME ID]],FME_Input[FME_ID],FME_Input[CRITFAC100])</f>
        <v>90</v>
      </c>
      <c r="U281" s="48" t="e">
        <f>FME_Ranking_Option2!$T281*T$4</f>
        <v>#REF!</v>
      </c>
      <c r="V281" s="48">
        <f>FME_Ranking_Option2!$T281/($T$3)</f>
        <v>1.2692144972500352E-2</v>
      </c>
      <c r="W281" s="48" t="e">
        <f>FME_Ranking_Option2!$V281*T$4</f>
        <v>#REF!</v>
      </c>
      <c r="X281" s="50">
        <f>_xlfn.XLOOKUP(FME_Ranking2[[#This Row],[FME ID]],FME_Input[FME_ID],FME_Input[LWC])</f>
        <v>0</v>
      </c>
      <c r="Y281" s="48" t="e">
        <f>FME_Ranking_Option2!$X281*X$4</f>
        <v>#REF!</v>
      </c>
      <c r="Z281" s="48">
        <f>FME_Ranking_Option2!$X281/($X$3)</f>
        <v>0</v>
      </c>
      <c r="AA281" s="48" t="e">
        <f>FME_Ranking_Option2!$Z281*X$4</f>
        <v>#REF!</v>
      </c>
      <c r="AB281" s="50">
        <f>_xlfn.XLOOKUP(FME_Ranking2[[#This Row],[FME ID]],FME_Input[FME_ID],FME_Input[ROADCLS])</f>
        <v>0</v>
      </c>
      <c r="AC281" s="48" t="e">
        <f>FME_Ranking_Option2!$AB281*AB$4</f>
        <v>#REF!</v>
      </c>
      <c r="AD281" s="53">
        <f>_xlfn.XLOOKUP(FME_Ranking2[[#This Row],[FME ID]],FME_Input[FME_ID],FME_Input[ROAD_MILES100])</f>
        <v>163.8038024902344</v>
      </c>
      <c r="AE281" s="54" t="e">
        <f>FME_Ranking_Option2!$AD281*AD$4</f>
        <v>#REF!</v>
      </c>
      <c r="AF281" s="55">
        <f>FME_Ranking_Option2!$AD281/($AD$3)</f>
        <v>3.699882828249337E-3</v>
      </c>
      <c r="AG281" s="55" t="e">
        <f>FME_Ranking_Option2!$AF281*AD$4</f>
        <v>#REF!</v>
      </c>
      <c r="AH281" s="53">
        <f>_xlfn.XLOOKUP(FME_Ranking2[[#This Row],[FME ID]],FME_Input[FME_ID],FME_Input[FARMACRE100])</f>
        <v>24.30616569519043</v>
      </c>
      <c r="AI281" s="54" t="e">
        <f>FME_Ranking_Option2!$AH281*AH$4</f>
        <v>#REF!</v>
      </c>
      <c r="AJ281" s="56">
        <f>FME_Ranking_Option2!$AH281/($AH$3)</f>
        <v>1.4113603511357949E-3</v>
      </c>
      <c r="AK281" s="57" t="e">
        <f>FME_Ranking_Option2!$AJ281*AH$4</f>
        <v>#REF!</v>
      </c>
      <c r="AL28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81" s="58" t="e">
        <f>_xlfn.RANK.EQ(AL281,$AL$7:$AL$531)+COUNTIF(AL$7:AL281,AL281)-1</f>
        <v>#REF!</v>
      </c>
      <c r="AN281" s="57"/>
      <c r="AO281" s="58" t="e">
        <f>_xlfn.RANK.EQ(AN281,$AN$7:$AN$531)+COUNTIF(AN$7:AN281,AN281)-1</f>
        <v>#N/A</v>
      </c>
      <c r="AP28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81" s="32" t="e">
        <f>FME_Ranking2[[#This Row],[Score Based on Reported Factors]]-FME_Ranking2[[#This Row],[Check]]</f>
        <v>#REF!</v>
      </c>
      <c r="AR281" s="32"/>
      <c r="AT281" s="19"/>
      <c r="AU281" s="19"/>
      <c r="AV281" s="19"/>
      <c r="AW281" s="19"/>
      <c r="AX281" s="19"/>
      <c r="AY281" s="19"/>
      <c r="AZ281" s="19"/>
      <c r="BA281" s="19"/>
      <c r="BB281" s="19"/>
      <c r="BC281" s="19"/>
    </row>
    <row r="282" spans="1:55" ht="12" customHeight="1" x14ac:dyDescent="0.25">
      <c r="A282" s="17" t="s">
        <v>2217</v>
      </c>
      <c r="B282" s="17" t="str">
        <f>_xlfn.XLOOKUP(FME_Ranking2[[#This Row],[FME ID]],FME_Input[FME_ID],FME_Input[FME_NAME])</f>
        <v>Spring Gully Watershed Planning Project- Project Phase I</v>
      </c>
      <c r="C282" s="17" t="str">
        <f>_xlfn.XLOOKUP(FME_Ranking2[[#This Row],[FME ID]],FME_Input[FME_ID],FME_Input[DESCR])</f>
        <v>Develop BCA to become FMP. 108 ac-ft of detention storage. Basin A w/ 95 ac-ft of storage, 10 ft depth, inlet &amp; outlet structures consist of 2 culverts &amp; weir. Basin B w/ 13 ac-ft of storage, 10.5 ft depth, inlet &amp; outlet structures of culvert &amp; weir.</v>
      </c>
      <c r="D282" s="33" t="str">
        <f>_xlfn.XLOOKUP(FME_Ranking2[[#This Row],[FME ID]],FME_Input[FME_ID],FME_Input[EMER_NEED])</f>
        <v>No</v>
      </c>
      <c r="E282" s="120">
        <f>IF(FME_Ranking_Option2!$D282="Yes",100,0)</f>
        <v>0</v>
      </c>
      <c r="F282" s="34" t="str">
        <f>_xlfn.XLOOKUP(FME_Ranking2[[#This Row],[FME ID]],FME_Input[FME_ID],FME_Input[FUND])</f>
        <v>Yes</v>
      </c>
      <c r="G282" s="35">
        <f>IF(FME_Ranking_Option2!$F282="Yes",1,0)</f>
        <v>1</v>
      </c>
      <c r="H282" s="33">
        <f>_xlfn.XLOOKUP(FME_Ranking2[[#This Row],[FME ID]],FME_Input[FME_ID],FME_Input[STRUCT_100])</f>
        <v>346</v>
      </c>
      <c r="I282" s="64" t="e">
        <f>FME_Ranking2[[#This Row],[Raw Data3]]*H$4</f>
        <v>#REF!</v>
      </c>
      <c r="J282" s="63">
        <f>((FME_Ranking_Option2!$H282)/($H$3))*100</f>
        <v>3.845004106153229E-2</v>
      </c>
      <c r="K282" s="36" t="e">
        <f>FME_Ranking2[[#This Row],[Norm Data3]]*H$4</f>
        <v>#REF!</v>
      </c>
      <c r="L282" s="37">
        <f>_xlfn.XLOOKUP(FME_Ranking2[[#This Row],[FME ID]],FME_Input[FME_ID],FME_Input[RES_STRUCT100])</f>
        <v>266</v>
      </c>
      <c r="M282" s="38" t="e">
        <f>FME_Ranking2[[#This Row],[Raw Data4]]*L$4</f>
        <v>#REF!</v>
      </c>
      <c r="N282" s="28">
        <f>((FME_Ranking_Option2!$L282)/($L$3))*100</f>
        <v>3.9767791975577199E-2</v>
      </c>
      <c r="O282" s="39" t="e">
        <f>FME_Ranking2[[#This Row],[Norm Data4]]*L$4</f>
        <v>#REF!</v>
      </c>
      <c r="P282" s="34">
        <f>_xlfn.XLOOKUP(FME_Ranking2[[#This Row],[FME ID]],FME_Input[FME_ID],FME_Input[POP100])</f>
        <v>917</v>
      </c>
      <c r="Q282" s="35" t="e">
        <f>FME_Ranking_Option2!$P282*P$4</f>
        <v>#REF!</v>
      </c>
      <c r="R282" s="35">
        <f>FME_Ranking_Option2!$P282/($P$3)</f>
        <v>3.365584712537959E-4</v>
      </c>
      <c r="S282" s="35" t="e">
        <f>FME_Ranking_Option2!$R282*P$4</f>
        <v>#REF!</v>
      </c>
      <c r="T282" s="37">
        <f>_xlfn.XLOOKUP(FME_Ranking2[[#This Row],[FME ID]],FME_Input[FME_ID],FME_Input[CRITFAC100])</f>
        <v>0</v>
      </c>
      <c r="U282" s="35" t="e">
        <f>FME_Ranking_Option2!$T282*T$4</f>
        <v>#REF!</v>
      </c>
      <c r="V282" s="35">
        <f>FME_Ranking_Option2!$T282/($T$3)</f>
        <v>0</v>
      </c>
      <c r="W282" s="35" t="e">
        <f>FME_Ranking_Option2!$V282*T$4</f>
        <v>#REF!</v>
      </c>
      <c r="X282" s="37">
        <f>_xlfn.XLOOKUP(FME_Ranking2[[#This Row],[FME ID]],FME_Input[FME_ID],FME_Input[LWC])</f>
        <v>0</v>
      </c>
      <c r="Y282" s="35" t="e">
        <f>FME_Ranking_Option2!$X282*X$4</f>
        <v>#REF!</v>
      </c>
      <c r="Z282" s="35">
        <f>FME_Ranking_Option2!$X282/($X$3)</f>
        <v>0</v>
      </c>
      <c r="AA282" s="35" t="e">
        <f>FME_Ranking_Option2!$Z282*X$4</f>
        <v>#REF!</v>
      </c>
      <c r="AB282" s="37">
        <f>_xlfn.XLOOKUP(FME_Ranking2[[#This Row],[FME ID]],FME_Input[FME_ID],FME_Input[ROADCLS])</f>
        <v>0</v>
      </c>
      <c r="AC282" s="35" t="e">
        <f>FME_Ranking_Option2!$AB282*AB$4</f>
        <v>#REF!</v>
      </c>
      <c r="AD282" s="40">
        <f>_xlfn.XLOOKUP(FME_Ranking2[[#This Row],[FME ID]],FME_Input[FME_ID],FME_Input[ROAD_MILES100])</f>
        <v>2.4145703315734859</v>
      </c>
      <c r="AE282" s="41" t="e">
        <f>FME_Ranking_Option2!$AD282*AD$4</f>
        <v>#REF!</v>
      </c>
      <c r="AF282" s="42">
        <f>FME_Ranking_Option2!$AD282/($AD$3)</f>
        <v>5.453858318045852E-5</v>
      </c>
      <c r="AG282" s="42" t="e">
        <f>FME_Ranking_Option2!$AF282*AD$4</f>
        <v>#REF!</v>
      </c>
      <c r="AH282" s="40">
        <f>_xlfn.XLOOKUP(FME_Ranking2[[#This Row],[FME ID]],FME_Input[FME_ID],FME_Input[FARMACRE100])</f>
        <v>0</v>
      </c>
      <c r="AI282" s="43" t="e">
        <f>FME_Ranking_Option2!$AH282*AH$4</f>
        <v>#REF!</v>
      </c>
      <c r="AJ282" s="41">
        <f>FME_Ranking_Option2!$AH282/($AH$3)</f>
        <v>0</v>
      </c>
      <c r="AK282" s="44" t="e">
        <f>FME_Ranking_Option2!$AJ282*AH$4</f>
        <v>#REF!</v>
      </c>
      <c r="AL282"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82" s="45" t="e">
        <f>_xlfn.RANK.EQ(AL282,$AL$7:$AL$531)+COUNTIF(AL$7:AL282,AL282)-1</f>
        <v>#REF!</v>
      </c>
      <c r="AN282" s="44"/>
      <c r="AO282" s="45" t="e">
        <f>_xlfn.RANK.EQ(AN282,$AN$7:$AN$531)+COUNTIF(AN$7:AN282,AN282)-1</f>
        <v>#N/A</v>
      </c>
      <c r="AP28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82" s="32" t="e">
        <f>FME_Ranking2[[#This Row],[Score Based on Reported Factors]]-FME_Ranking2[[#This Row],[Check]]</f>
        <v>#REF!</v>
      </c>
      <c r="AR282" s="32"/>
    </row>
    <row r="283" spans="1:55" ht="12" customHeight="1" x14ac:dyDescent="0.25">
      <c r="A283" s="16" t="s">
        <v>2222</v>
      </c>
      <c r="B283" s="16" t="str">
        <f>_xlfn.XLOOKUP(FME_Ranking2[[#This Row],[FME ID]],FME_Input[FME_ID],FME_Input[FME_NAME])</f>
        <v>Spring Gully Watershed Planning Project- Project Phase II</v>
      </c>
      <c r="C283" s="16" t="str">
        <f>_xlfn.XLOOKUP(FME_Ranking2[[#This Row],[FME ID]],FME_Input[FME_ID],FME_Input[DESCR])</f>
        <v xml:space="preserve">Develop BCA to become a FMP. Independent of Phase I. Phase II includes addition of Stormwater Detention Basin C, with 80 acre-feet of detention storage w/ 9.5 ft depth &amp; an inlet and outlet structure consisting of a culvert &amp; a weir. </v>
      </c>
      <c r="D283" s="46" t="str">
        <f>_xlfn.XLOOKUP(FME_Ranking2[[#This Row],[FME ID]],FME_Input[FME_ID],FME_Input[EMER_NEED])</f>
        <v>No</v>
      </c>
      <c r="E283" s="121">
        <f>IF(FME_Ranking_Option2!$D283="Yes",100,0)</f>
        <v>0</v>
      </c>
      <c r="F283" s="47" t="str">
        <f>_xlfn.XLOOKUP(FME_Ranking2[[#This Row],[FME ID]],FME_Input[FME_ID],FME_Input[FUND])</f>
        <v>Yes</v>
      </c>
      <c r="G283" s="48">
        <f>IF(FME_Ranking_Option2!$F283="Yes",1,0)</f>
        <v>1</v>
      </c>
      <c r="H283" s="46">
        <f>_xlfn.XLOOKUP(FME_Ranking2[[#This Row],[FME ID]],FME_Input[FME_ID],FME_Input[STRUCT_100])</f>
        <v>346</v>
      </c>
      <c r="I283" s="65" t="e">
        <f>FME_Ranking2[[#This Row],[Raw Data3]]*H$4</f>
        <v>#REF!</v>
      </c>
      <c r="J283" s="62">
        <f>((FME_Ranking_Option2!$H283)/($H$3))*100</f>
        <v>3.845004106153229E-2</v>
      </c>
      <c r="K283" s="49" t="e">
        <f>FME_Ranking2[[#This Row],[Norm Data3]]*H$4</f>
        <v>#REF!</v>
      </c>
      <c r="L283" s="50">
        <f>_xlfn.XLOOKUP(FME_Ranking2[[#This Row],[FME ID]],FME_Input[FME_ID],FME_Input[RES_STRUCT100])</f>
        <v>266</v>
      </c>
      <c r="M283" s="51" t="e">
        <f>FME_Ranking2[[#This Row],[Raw Data4]]*L$4</f>
        <v>#REF!</v>
      </c>
      <c r="N283" s="29">
        <f>((FME_Ranking_Option2!$L283)/($L$3))*100</f>
        <v>3.9767791975577199E-2</v>
      </c>
      <c r="O283" s="52" t="e">
        <f>FME_Ranking2[[#This Row],[Norm Data4]]*L$4</f>
        <v>#REF!</v>
      </c>
      <c r="P283" s="47">
        <f>_xlfn.XLOOKUP(FME_Ranking2[[#This Row],[FME ID]],FME_Input[FME_ID],FME_Input[POP100])</f>
        <v>917</v>
      </c>
      <c r="Q283" s="48" t="e">
        <f>FME_Ranking_Option2!$P283*P$4</f>
        <v>#REF!</v>
      </c>
      <c r="R283" s="48">
        <f>FME_Ranking_Option2!$P283/($P$3)</f>
        <v>3.365584712537959E-4</v>
      </c>
      <c r="S283" s="48" t="e">
        <f>FME_Ranking_Option2!$R283*P$4</f>
        <v>#REF!</v>
      </c>
      <c r="T283" s="50">
        <f>_xlfn.XLOOKUP(FME_Ranking2[[#This Row],[FME ID]],FME_Input[FME_ID],FME_Input[CRITFAC100])</f>
        <v>0</v>
      </c>
      <c r="U283" s="48" t="e">
        <f>FME_Ranking_Option2!$T283*T$4</f>
        <v>#REF!</v>
      </c>
      <c r="V283" s="48">
        <f>FME_Ranking_Option2!$T283/($T$3)</f>
        <v>0</v>
      </c>
      <c r="W283" s="48" t="e">
        <f>FME_Ranking_Option2!$V283*T$4</f>
        <v>#REF!</v>
      </c>
      <c r="X283" s="50">
        <f>_xlfn.XLOOKUP(FME_Ranking2[[#This Row],[FME ID]],FME_Input[FME_ID],FME_Input[LWC])</f>
        <v>0</v>
      </c>
      <c r="Y283" s="48" t="e">
        <f>FME_Ranking_Option2!$X283*X$4</f>
        <v>#REF!</v>
      </c>
      <c r="Z283" s="48">
        <f>FME_Ranking_Option2!$X283/($X$3)</f>
        <v>0</v>
      </c>
      <c r="AA283" s="48" t="e">
        <f>FME_Ranking_Option2!$Z283*X$4</f>
        <v>#REF!</v>
      </c>
      <c r="AB283" s="50">
        <f>_xlfn.XLOOKUP(FME_Ranking2[[#This Row],[FME ID]],FME_Input[FME_ID],FME_Input[ROADCLS])</f>
        <v>0</v>
      </c>
      <c r="AC283" s="48" t="e">
        <f>FME_Ranking_Option2!$AB283*AB$4</f>
        <v>#REF!</v>
      </c>
      <c r="AD283" s="53">
        <f>_xlfn.XLOOKUP(FME_Ranking2[[#This Row],[FME ID]],FME_Input[FME_ID],FME_Input[ROAD_MILES100])</f>
        <v>2.4145703315734859</v>
      </c>
      <c r="AE283" s="54" t="e">
        <f>FME_Ranking_Option2!$AD283*AD$4</f>
        <v>#REF!</v>
      </c>
      <c r="AF283" s="55">
        <f>FME_Ranking_Option2!$AD283/($AD$3)</f>
        <v>5.453858318045852E-5</v>
      </c>
      <c r="AG283" s="55" t="e">
        <f>FME_Ranking_Option2!$AF283*AD$4</f>
        <v>#REF!</v>
      </c>
      <c r="AH283" s="53">
        <f>_xlfn.XLOOKUP(FME_Ranking2[[#This Row],[FME ID]],FME_Input[FME_ID],FME_Input[FARMACRE100])</f>
        <v>0</v>
      </c>
      <c r="AI283" s="54" t="e">
        <f>FME_Ranking_Option2!$AH283*AH$4</f>
        <v>#REF!</v>
      </c>
      <c r="AJ283" s="56">
        <f>FME_Ranking_Option2!$AH283/($AH$3)</f>
        <v>0</v>
      </c>
      <c r="AK283" s="57" t="e">
        <f>FME_Ranking_Option2!$AJ283*AH$4</f>
        <v>#REF!</v>
      </c>
      <c r="AL283"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83" s="58" t="e">
        <f>_xlfn.RANK.EQ(AL283,$AL$7:$AL$531)+COUNTIF(AL$7:AL283,AL283)-1</f>
        <v>#REF!</v>
      </c>
      <c r="AN283" s="57"/>
      <c r="AO283" s="58" t="e">
        <f>_xlfn.RANK.EQ(AN283,$AN$7:$AN$531)+COUNTIF(AN$7:AN283,AN283)-1</f>
        <v>#N/A</v>
      </c>
      <c r="AP28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83" s="32" t="e">
        <f>FME_Ranking2[[#This Row],[Score Based on Reported Factors]]-FME_Ranking2[[#This Row],[Check]]</f>
        <v>#REF!</v>
      </c>
      <c r="AR283" s="32"/>
      <c r="AT283" s="19"/>
      <c r="AU283" s="19"/>
      <c r="AV283" s="19"/>
      <c r="AW283" s="19"/>
      <c r="AX283" s="19"/>
      <c r="AY283" s="19"/>
      <c r="AZ283" s="19"/>
      <c r="BA283" s="19"/>
      <c r="BB283" s="19"/>
      <c r="BC283" s="19"/>
    </row>
    <row r="284" spans="1:55" ht="12" customHeight="1" x14ac:dyDescent="0.25">
      <c r="A284" s="17" t="s">
        <v>2225</v>
      </c>
      <c r="B284" s="17" t="str">
        <f>_xlfn.XLOOKUP(FME_Ranking2[[#This Row],[FME ID]],FME_Input[FME_ID],FME_Input[FME_NAME])</f>
        <v>Spring Gully Watershed Planning Project- Project Phase III</v>
      </c>
      <c r="C284" s="17" t="str">
        <f>_xlfn.XLOOKUP(FME_Ranking2[[#This Row],[FME ID]],FME_Input[FME_ID],FME_Input[DESCR])</f>
        <v>Complete after phase 2. Relief channel intended to outfall into Stormwater Detention Basin C from Phase 2. Consists of trapezoidal 850-foot channel with cross culvert sized at Prairie Street. Upstream of the culvert crossing, the bottom width is 8 ft.</v>
      </c>
      <c r="D284" s="33" t="str">
        <f>_xlfn.XLOOKUP(FME_Ranking2[[#This Row],[FME ID]],FME_Input[FME_ID],FME_Input[EMER_NEED])</f>
        <v>No</v>
      </c>
      <c r="E284" s="120">
        <f>IF(FME_Ranking_Option2!$D284="Yes",100,0)</f>
        <v>0</v>
      </c>
      <c r="F284" s="34" t="str">
        <f>_xlfn.XLOOKUP(FME_Ranking2[[#This Row],[FME ID]],FME_Input[FME_ID],FME_Input[FUND])</f>
        <v>Yes</v>
      </c>
      <c r="G284" s="35">
        <f>IF(FME_Ranking_Option2!$F284="Yes",1,0)</f>
        <v>1</v>
      </c>
      <c r="H284" s="33">
        <f>_xlfn.XLOOKUP(FME_Ranking2[[#This Row],[FME ID]],FME_Input[FME_ID],FME_Input[STRUCT_100])</f>
        <v>346</v>
      </c>
      <c r="I284" s="64" t="e">
        <f>FME_Ranking2[[#This Row],[Raw Data3]]*H$4</f>
        <v>#REF!</v>
      </c>
      <c r="J284" s="63">
        <f>((FME_Ranking_Option2!$H284)/($H$3))*100</f>
        <v>3.845004106153229E-2</v>
      </c>
      <c r="K284" s="36" t="e">
        <f>FME_Ranking2[[#This Row],[Norm Data3]]*H$4</f>
        <v>#REF!</v>
      </c>
      <c r="L284" s="37">
        <f>_xlfn.XLOOKUP(FME_Ranking2[[#This Row],[FME ID]],FME_Input[FME_ID],FME_Input[RES_STRUCT100])</f>
        <v>266</v>
      </c>
      <c r="M284" s="38" t="e">
        <f>FME_Ranking2[[#This Row],[Raw Data4]]*L$4</f>
        <v>#REF!</v>
      </c>
      <c r="N284" s="28">
        <f>((FME_Ranking_Option2!$L284)/($L$3))*100</f>
        <v>3.9767791975577199E-2</v>
      </c>
      <c r="O284" s="39" t="e">
        <f>FME_Ranking2[[#This Row],[Norm Data4]]*L$4</f>
        <v>#REF!</v>
      </c>
      <c r="P284" s="34">
        <f>_xlfn.XLOOKUP(FME_Ranking2[[#This Row],[FME ID]],FME_Input[FME_ID],FME_Input[POP100])</f>
        <v>917</v>
      </c>
      <c r="Q284" s="35" t="e">
        <f>FME_Ranking_Option2!$P284*P$4</f>
        <v>#REF!</v>
      </c>
      <c r="R284" s="35">
        <f>FME_Ranking_Option2!$P284/($P$3)</f>
        <v>3.365584712537959E-4</v>
      </c>
      <c r="S284" s="35" t="e">
        <f>FME_Ranking_Option2!$R284*P$4</f>
        <v>#REF!</v>
      </c>
      <c r="T284" s="37">
        <f>_xlfn.XLOOKUP(FME_Ranking2[[#This Row],[FME ID]],FME_Input[FME_ID],FME_Input[CRITFAC100])</f>
        <v>0</v>
      </c>
      <c r="U284" s="35" t="e">
        <f>FME_Ranking_Option2!$T284*T$4</f>
        <v>#REF!</v>
      </c>
      <c r="V284" s="35">
        <f>FME_Ranking_Option2!$T284/($T$3)</f>
        <v>0</v>
      </c>
      <c r="W284" s="35" t="e">
        <f>FME_Ranking_Option2!$V284*T$4</f>
        <v>#REF!</v>
      </c>
      <c r="X284" s="37">
        <f>_xlfn.XLOOKUP(FME_Ranking2[[#This Row],[FME ID]],FME_Input[FME_ID],FME_Input[LWC])</f>
        <v>0</v>
      </c>
      <c r="Y284" s="35" t="e">
        <f>FME_Ranking_Option2!$X284*X$4</f>
        <v>#REF!</v>
      </c>
      <c r="Z284" s="35">
        <f>FME_Ranking_Option2!$X284/($X$3)</f>
        <v>0</v>
      </c>
      <c r="AA284" s="35" t="e">
        <f>FME_Ranking_Option2!$Z284*X$4</f>
        <v>#REF!</v>
      </c>
      <c r="AB284" s="37">
        <f>_xlfn.XLOOKUP(FME_Ranking2[[#This Row],[FME ID]],FME_Input[FME_ID],FME_Input[ROADCLS])</f>
        <v>0</v>
      </c>
      <c r="AC284" s="35" t="e">
        <f>FME_Ranking_Option2!$AB284*AB$4</f>
        <v>#REF!</v>
      </c>
      <c r="AD284" s="40">
        <f>_xlfn.XLOOKUP(FME_Ranking2[[#This Row],[FME ID]],FME_Input[FME_ID],FME_Input[ROAD_MILES100])</f>
        <v>2.4145703315734859</v>
      </c>
      <c r="AE284" s="41" t="e">
        <f>FME_Ranking_Option2!$AD284*AD$4</f>
        <v>#REF!</v>
      </c>
      <c r="AF284" s="42">
        <f>FME_Ranking_Option2!$AD284/($AD$3)</f>
        <v>5.453858318045852E-5</v>
      </c>
      <c r="AG284" s="42" t="e">
        <f>FME_Ranking_Option2!$AF284*AD$4</f>
        <v>#REF!</v>
      </c>
      <c r="AH284" s="40">
        <f>_xlfn.XLOOKUP(FME_Ranking2[[#This Row],[FME ID]],FME_Input[FME_ID],FME_Input[FARMACRE100])</f>
        <v>0</v>
      </c>
      <c r="AI284" s="43" t="e">
        <f>FME_Ranking_Option2!$AH284*AH$4</f>
        <v>#REF!</v>
      </c>
      <c r="AJ284" s="41">
        <f>FME_Ranking_Option2!$AH284/($AH$3)</f>
        <v>0</v>
      </c>
      <c r="AK284" s="44" t="e">
        <f>FME_Ranking_Option2!$AJ284*AH$4</f>
        <v>#REF!</v>
      </c>
      <c r="AL284"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84" s="45" t="e">
        <f>_xlfn.RANK.EQ(AL284,$AL$7:$AL$531)+COUNTIF(AL$7:AL284,AL284)-1</f>
        <v>#REF!</v>
      </c>
      <c r="AN284" s="44"/>
      <c r="AO284" s="45" t="e">
        <f>_xlfn.RANK.EQ(AN284,$AN$7:$AN$531)+COUNTIF(AN$7:AN284,AN284)-1</f>
        <v>#N/A</v>
      </c>
      <c r="AP28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84" s="32" t="e">
        <f>FME_Ranking2[[#This Row],[Score Based on Reported Factors]]-FME_Ranking2[[#This Row],[Check]]</f>
        <v>#REF!</v>
      </c>
      <c r="AR284" s="32"/>
    </row>
    <row r="285" spans="1:55" ht="12" customHeight="1" x14ac:dyDescent="0.25">
      <c r="A285" s="16" t="s">
        <v>1947</v>
      </c>
      <c r="B285" s="16" t="str">
        <f>_xlfn.XLOOKUP(FME_Ranking2[[#This Row],[FME ID]],FME_Input[FME_ID],FME_Input[FME_NAME])</f>
        <v>Galveston Bay - Right-of-Way Acquisition, Design and Construction of General Drainage Improvements Along F216-00-00</v>
      </c>
      <c r="C285" s="16" t="str">
        <f>_xlfn.XLOOKUP(FME_Ranking2[[#This Row],[FME ID]],FME_Input[FME_ID],FME_Input[DESCR])</f>
        <v>Study to develop a Benefit Cost Analysis needed for this project to become a FMP. The project could reduce the risk of flooding for more than 450 structures in an Atlas 14 1% rainfall event.</v>
      </c>
      <c r="D285" s="46" t="str">
        <f>_xlfn.XLOOKUP(FME_Ranking2[[#This Row],[FME ID]],FME_Input[FME_ID],FME_Input[EMER_NEED])</f>
        <v>No</v>
      </c>
      <c r="E285" s="121">
        <f>IF(FME_Ranking_Option2!$D285="Yes",100,0)</f>
        <v>0</v>
      </c>
      <c r="F285" s="47" t="str">
        <f>_xlfn.XLOOKUP(FME_Ranking2[[#This Row],[FME ID]],FME_Input[FME_ID],FME_Input[FUND])</f>
        <v>Yes</v>
      </c>
      <c r="G285" s="48">
        <f>IF(FME_Ranking_Option2!$F285="Yes",1,0)</f>
        <v>1</v>
      </c>
      <c r="H285" s="46">
        <f>_xlfn.XLOOKUP(FME_Ranking2[[#This Row],[FME ID]],FME_Input[FME_ID],FME_Input[STRUCT_100])</f>
        <v>215</v>
      </c>
      <c r="I285" s="65" t="e">
        <f>FME_Ranking2[[#This Row],[Raw Data3]]*H$4</f>
        <v>#REF!</v>
      </c>
      <c r="J285" s="62">
        <f>((FME_Ranking_Option2!$H285)/($H$3))*100</f>
        <v>2.3892366555576423E-2</v>
      </c>
      <c r="K285" s="49" t="e">
        <f>FME_Ranking2[[#This Row],[Norm Data3]]*H$4</f>
        <v>#REF!</v>
      </c>
      <c r="L285" s="50">
        <f>_xlfn.XLOOKUP(FME_Ranking2[[#This Row],[FME ID]],FME_Input[FME_ID],FME_Input[RES_STRUCT100])</f>
        <v>124</v>
      </c>
      <c r="M285" s="51" t="e">
        <f>FME_Ranking2[[#This Row],[Raw Data4]]*L$4</f>
        <v>#REF!</v>
      </c>
      <c r="N285" s="29">
        <f>((FME_Ranking_Option2!$L285)/($L$3))*100</f>
        <v>1.8538369191622453E-2</v>
      </c>
      <c r="O285" s="52" t="e">
        <f>FME_Ranking2[[#This Row],[Norm Data4]]*L$4</f>
        <v>#REF!</v>
      </c>
      <c r="P285" s="47">
        <f>_xlfn.XLOOKUP(FME_Ranking2[[#This Row],[FME ID]],FME_Input[FME_ID],FME_Input[POP100])</f>
        <v>604</v>
      </c>
      <c r="Q285" s="48" t="e">
        <f>FME_Ranking_Option2!$P285*P$4</f>
        <v>#REF!</v>
      </c>
      <c r="R285" s="48">
        <f>FME_Ranking_Option2!$P285/($P$3)</f>
        <v>2.2168082512245664E-4</v>
      </c>
      <c r="S285" s="48" t="e">
        <f>FME_Ranking_Option2!$R285*P$4</f>
        <v>#REF!</v>
      </c>
      <c r="T285" s="50">
        <f>_xlfn.XLOOKUP(FME_Ranking2[[#This Row],[FME ID]],FME_Input[FME_ID],FME_Input[CRITFAC100])</f>
        <v>0</v>
      </c>
      <c r="U285" s="48" t="e">
        <f>FME_Ranking_Option2!$T285*T$4</f>
        <v>#REF!</v>
      </c>
      <c r="V285" s="48">
        <f>FME_Ranking_Option2!$T285/($T$3)</f>
        <v>0</v>
      </c>
      <c r="W285" s="48" t="e">
        <f>FME_Ranking_Option2!$V285*T$4</f>
        <v>#REF!</v>
      </c>
      <c r="X285" s="50">
        <f>_xlfn.XLOOKUP(FME_Ranking2[[#This Row],[FME ID]],FME_Input[FME_ID],FME_Input[LWC])</f>
        <v>0</v>
      </c>
      <c r="Y285" s="48" t="e">
        <f>FME_Ranking_Option2!$X285*X$4</f>
        <v>#REF!</v>
      </c>
      <c r="Z285" s="48">
        <f>FME_Ranking_Option2!$X285/($X$3)</f>
        <v>0</v>
      </c>
      <c r="AA285" s="48" t="e">
        <f>FME_Ranking_Option2!$Z285*X$4</f>
        <v>#REF!</v>
      </c>
      <c r="AB285" s="50">
        <f>_xlfn.XLOOKUP(FME_Ranking2[[#This Row],[FME ID]],FME_Input[FME_ID],FME_Input[ROADCLS])</f>
        <v>0</v>
      </c>
      <c r="AC285" s="48" t="e">
        <f>FME_Ranking_Option2!$AB285*AB$4</f>
        <v>#REF!</v>
      </c>
      <c r="AD285" s="53">
        <f>_xlfn.XLOOKUP(FME_Ranking2[[#This Row],[FME ID]],FME_Input[FME_ID],FME_Input[ROAD_MILES100])</f>
        <v>4.0904898643493652</v>
      </c>
      <c r="AE285" s="54" t="e">
        <f>FME_Ranking_Option2!$AD285*AD$4</f>
        <v>#REF!</v>
      </c>
      <c r="AF285" s="55">
        <f>FME_Ranking_Option2!$AD285/($AD$3)</f>
        <v>9.2393051798272195E-5</v>
      </c>
      <c r="AG285" s="55" t="e">
        <f>FME_Ranking_Option2!$AF285*AD$4</f>
        <v>#REF!</v>
      </c>
      <c r="AH285" s="53">
        <f>_xlfn.XLOOKUP(FME_Ranking2[[#This Row],[FME ID]],FME_Input[FME_ID],FME_Input[FARMACRE100])</f>
        <v>0.22162000834941861</v>
      </c>
      <c r="AI285" s="54" t="e">
        <f>FME_Ranking_Option2!$AH285*AH$4</f>
        <v>#REF!</v>
      </c>
      <c r="AJ285" s="56">
        <f>FME_Ranking_Option2!$AH285/($AH$3)</f>
        <v>1.2868574036942632E-5</v>
      </c>
      <c r="AK285" s="57" t="e">
        <f>FME_Ranking_Option2!$AJ285*AH$4</f>
        <v>#REF!</v>
      </c>
      <c r="AL285"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85" s="58" t="e">
        <f>_xlfn.RANK.EQ(AL285,$AL$7:$AL$531)+COUNTIF(AL$7:AL285,AL285)-1</f>
        <v>#REF!</v>
      </c>
      <c r="AN285" s="57"/>
      <c r="AO285" s="58" t="e">
        <f>_xlfn.RANK.EQ(AN285,$AN$7:$AN$531)+COUNTIF(AN$7:AN285,AN285)-1</f>
        <v>#N/A</v>
      </c>
      <c r="AP28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85" s="32" t="e">
        <f>FME_Ranking2[[#This Row],[Score Based on Reported Factors]]-FME_Ranking2[[#This Row],[Check]]</f>
        <v>#REF!</v>
      </c>
      <c r="AR285" s="32"/>
      <c r="AT285" s="19"/>
      <c r="AU285" s="19"/>
      <c r="AV285" s="19"/>
      <c r="AW285" s="19"/>
      <c r="AX285" s="19"/>
      <c r="AY285" s="19"/>
      <c r="AZ285" s="19"/>
      <c r="BA285" s="19"/>
      <c r="BB285" s="19"/>
      <c r="BC285" s="19"/>
    </row>
    <row r="286" spans="1:55" ht="12" customHeight="1" x14ac:dyDescent="0.25">
      <c r="A286" s="17" t="s">
        <v>1950</v>
      </c>
      <c r="B286" s="17" t="str">
        <f>_xlfn.XLOOKUP(FME_Ranking2[[#This Row],[FME ID]],FME_Input[FME_ID],FME_Input[FME_NAME])</f>
        <v>Galveston Bay - Right-of-Way Acquisition, Design and Construction of General Drainage Improvements Along F101-06-00</v>
      </c>
      <c r="C286" s="17" t="str">
        <f>_xlfn.XLOOKUP(FME_Ranking2[[#This Row],[FME ID]],FME_Input[FME_ID],FME_Input[DESCR])</f>
        <v>Study to develop a Benefit Cost Analysis needed for this project to become a FMP. The project could reduce the risk of flooding for over 40 structures in an Atlas 14 1% rainfall event.</v>
      </c>
      <c r="D286" s="33" t="str">
        <f>_xlfn.XLOOKUP(FME_Ranking2[[#This Row],[FME ID]],FME_Input[FME_ID],FME_Input[EMER_NEED])</f>
        <v>No</v>
      </c>
      <c r="E286" s="120">
        <f>IF(FME_Ranking_Option2!$D286="Yes",100,0)</f>
        <v>0</v>
      </c>
      <c r="F286" s="34" t="str">
        <f>_xlfn.XLOOKUP(FME_Ranking2[[#This Row],[FME ID]],FME_Input[FME_ID],FME_Input[FUND])</f>
        <v>Yes</v>
      </c>
      <c r="G286" s="35">
        <f>IF(FME_Ranking_Option2!$F286="Yes",1,0)</f>
        <v>1</v>
      </c>
      <c r="H286" s="33">
        <f>_xlfn.XLOOKUP(FME_Ranking2[[#This Row],[FME ID]],FME_Input[FME_ID],FME_Input[STRUCT_100])</f>
        <v>0</v>
      </c>
      <c r="I286" s="64" t="e">
        <f>FME_Ranking2[[#This Row],[Raw Data3]]*H$4</f>
        <v>#REF!</v>
      </c>
      <c r="J286" s="63">
        <f>((FME_Ranking_Option2!$H286)/($H$3))*100</f>
        <v>0</v>
      </c>
      <c r="K286" s="36" t="e">
        <f>FME_Ranking2[[#This Row],[Norm Data3]]*H$4</f>
        <v>#REF!</v>
      </c>
      <c r="L286" s="37">
        <f>_xlfn.XLOOKUP(FME_Ranking2[[#This Row],[FME ID]],FME_Input[FME_ID],FME_Input[RES_STRUCT100])</f>
        <v>0</v>
      </c>
      <c r="M286" s="38" t="e">
        <f>FME_Ranking2[[#This Row],[Raw Data4]]*L$4</f>
        <v>#REF!</v>
      </c>
      <c r="N286" s="28">
        <f>((FME_Ranking_Option2!$L286)/($L$3))*100</f>
        <v>0</v>
      </c>
      <c r="O286" s="39" t="e">
        <f>FME_Ranking2[[#This Row],[Norm Data4]]*L$4</f>
        <v>#REF!</v>
      </c>
      <c r="P286" s="34">
        <f>_xlfn.XLOOKUP(FME_Ranking2[[#This Row],[FME ID]],FME_Input[FME_ID],FME_Input[POP100])</f>
        <v>0</v>
      </c>
      <c r="Q286" s="35" t="e">
        <f>FME_Ranking_Option2!$P286*P$4</f>
        <v>#REF!</v>
      </c>
      <c r="R286" s="35">
        <f>FME_Ranking_Option2!$P286/($P$3)</f>
        <v>0</v>
      </c>
      <c r="S286" s="35" t="e">
        <f>FME_Ranking_Option2!$R286*P$4</f>
        <v>#REF!</v>
      </c>
      <c r="T286" s="37">
        <f>_xlfn.XLOOKUP(FME_Ranking2[[#This Row],[FME ID]],FME_Input[FME_ID],FME_Input[CRITFAC100])</f>
        <v>0</v>
      </c>
      <c r="U286" s="35" t="e">
        <f>FME_Ranking_Option2!$T286*T$4</f>
        <v>#REF!</v>
      </c>
      <c r="V286" s="35">
        <f>FME_Ranking_Option2!$T286/($T$3)</f>
        <v>0</v>
      </c>
      <c r="W286" s="35" t="e">
        <f>FME_Ranking_Option2!$V286*T$4</f>
        <v>#REF!</v>
      </c>
      <c r="X286" s="37">
        <f>_xlfn.XLOOKUP(FME_Ranking2[[#This Row],[FME ID]],FME_Input[FME_ID],FME_Input[LWC])</f>
        <v>0</v>
      </c>
      <c r="Y286" s="35" t="e">
        <f>FME_Ranking_Option2!$X286*X$4</f>
        <v>#REF!</v>
      </c>
      <c r="Z286" s="35">
        <f>FME_Ranking_Option2!$X286/($X$3)</f>
        <v>0</v>
      </c>
      <c r="AA286" s="35" t="e">
        <f>FME_Ranking_Option2!$Z286*X$4</f>
        <v>#REF!</v>
      </c>
      <c r="AB286" s="37">
        <f>_xlfn.XLOOKUP(FME_Ranking2[[#This Row],[FME ID]],FME_Input[FME_ID],FME_Input[ROADCLS])</f>
        <v>0</v>
      </c>
      <c r="AC286" s="35" t="e">
        <f>FME_Ranking_Option2!$AB286*AB$4</f>
        <v>#REF!</v>
      </c>
      <c r="AD286" s="40">
        <f>_xlfn.XLOOKUP(FME_Ranking2[[#This Row],[FME ID]],FME_Input[FME_ID],FME_Input[ROAD_MILES100])</f>
        <v>0</v>
      </c>
      <c r="AE286" s="41" t="e">
        <f>FME_Ranking_Option2!$AD286*AD$4</f>
        <v>#REF!</v>
      </c>
      <c r="AF286" s="42">
        <f>FME_Ranking_Option2!$AD286/($AD$3)</f>
        <v>0</v>
      </c>
      <c r="AG286" s="42" t="e">
        <f>FME_Ranking_Option2!$AF286*AD$4</f>
        <v>#REF!</v>
      </c>
      <c r="AH286" s="40">
        <f>_xlfn.XLOOKUP(FME_Ranking2[[#This Row],[FME ID]],FME_Input[FME_ID],FME_Input[FARMACRE100])</f>
        <v>0</v>
      </c>
      <c r="AI286" s="43" t="e">
        <f>FME_Ranking_Option2!$AH286*AH$4</f>
        <v>#REF!</v>
      </c>
      <c r="AJ286" s="41">
        <f>FME_Ranking_Option2!$AH286/($AH$3)</f>
        <v>0</v>
      </c>
      <c r="AK286" s="44" t="e">
        <f>FME_Ranking_Option2!$AJ286*AH$4</f>
        <v>#REF!</v>
      </c>
      <c r="AL286"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86" s="45" t="e">
        <f>_xlfn.RANK.EQ(AL286,$AL$7:$AL$531)+COUNTIF(AL$7:AL286,AL286)-1</f>
        <v>#REF!</v>
      </c>
      <c r="AN286" s="44"/>
      <c r="AO286" s="45" t="e">
        <f>_xlfn.RANK.EQ(AN286,$AN$7:$AN$531)+COUNTIF(AN$7:AN286,AN286)-1</f>
        <v>#N/A</v>
      </c>
      <c r="AP28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86" s="32" t="e">
        <f>FME_Ranking2[[#This Row],[Score Based on Reported Factors]]-FME_Ranking2[[#This Row],[Check]]</f>
        <v>#REF!</v>
      </c>
      <c r="AR286" s="32"/>
    </row>
    <row r="287" spans="1:55" ht="12" customHeight="1" x14ac:dyDescent="0.25">
      <c r="A287" s="16" t="s">
        <v>1953</v>
      </c>
      <c r="B287" s="16" t="str">
        <f>_xlfn.XLOOKUP(FME_Ranking2[[#This Row],[FME ID]],FME_Input[FME_ID],FME_Input[FME_NAME])</f>
        <v>Galveston Bay Watershed Plan- PA04 (S+4) Crossing Improvements</v>
      </c>
      <c r="C287" s="16" t="str">
        <f>_xlfn.XLOOKUP(FME_Ranking2[[#This Row],[FME ID]],FME_Input[FME_ID],FME_Input[DESCR])</f>
        <v>Recommended alternative directly addresses need for improved channel conveyance by increasing the size of the crossings at El Jardin Dr and Youpon Dr. to 8'x5' box culverts.</v>
      </c>
      <c r="D287" s="46" t="str">
        <f>_xlfn.XLOOKUP(FME_Ranking2[[#This Row],[FME ID]],FME_Input[FME_ID],FME_Input[EMER_NEED])</f>
        <v>No</v>
      </c>
      <c r="E287" s="121">
        <f>IF(FME_Ranking_Option2!$D287="Yes",100,0)</f>
        <v>0</v>
      </c>
      <c r="F287" s="47" t="str">
        <f>_xlfn.XLOOKUP(FME_Ranking2[[#This Row],[FME ID]],FME_Input[FME_ID],FME_Input[FUND])</f>
        <v>Yes</v>
      </c>
      <c r="G287" s="48">
        <f>IF(FME_Ranking_Option2!$F287="Yes",1,0)</f>
        <v>1</v>
      </c>
      <c r="H287" s="46">
        <f>_xlfn.XLOOKUP(FME_Ranking2[[#This Row],[FME ID]],FME_Input[FME_ID],FME_Input[STRUCT_100])</f>
        <v>190</v>
      </c>
      <c r="I287" s="65" t="e">
        <f>FME_Ranking2[[#This Row],[Raw Data3]]*H$4</f>
        <v>#REF!</v>
      </c>
      <c r="J287" s="62">
        <f>((FME_Ranking_Option2!$H287)/($H$3))*100</f>
        <v>2.111418439795126E-2</v>
      </c>
      <c r="K287" s="49" t="e">
        <f>FME_Ranking2[[#This Row],[Norm Data3]]*H$4</f>
        <v>#REF!</v>
      </c>
      <c r="L287" s="50">
        <f>_xlfn.XLOOKUP(FME_Ranking2[[#This Row],[FME ID]],FME_Input[FME_ID],FME_Input[RES_STRUCT100])</f>
        <v>185</v>
      </c>
      <c r="M287" s="51" t="e">
        <f>FME_Ranking2[[#This Row],[Raw Data4]]*L$4</f>
        <v>#REF!</v>
      </c>
      <c r="N287" s="29">
        <f>((FME_Ranking_Option2!$L287)/($L$3))*100</f>
        <v>2.765805081008188E-2</v>
      </c>
      <c r="O287" s="52" t="e">
        <f>FME_Ranking2[[#This Row],[Norm Data4]]*L$4</f>
        <v>#REF!</v>
      </c>
      <c r="P287" s="47">
        <f>_xlfn.XLOOKUP(FME_Ranking2[[#This Row],[FME ID]],FME_Input[FME_ID],FME_Input[POP100])</f>
        <v>391</v>
      </c>
      <c r="Q287" s="48" t="e">
        <f>FME_Ranking_Option2!$P287*P$4</f>
        <v>#REF!</v>
      </c>
      <c r="R287" s="48">
        <f>FME_Ranking_Option2!$P287/($P$3)</f>
        <v>1.4350530235576249E-4</v>
      </c>
      <c r="S287" s="48" t="e">
        <f>FME_Ranking_Option2!$R287*P$4</f>
        <v>#REF!</v>
      </c>
      <c r="T287" s="50">
        <f>_xlfn.XLOOKUP(FME_Ranking2[[#This Row],[FME ID]],FME_Input[FME_ID],FME_Input[CRITFAC100])</f>
        <v>0</v>
      </c>
      <c r="U287" s="48" t="e">
        <f>FME_Ranking_Option2!$T287*T$4</f>
        <v>#REF!</v>
      </c>
      <c r="V287" s="48">
        <f>FME_Ranking_Option2!$T287/($T$3)</f>
        <v>0</v>
      </c>
      <c r="W287" s="48" t="e">
        <f>FME_Ranking_Option2!$V287*T$4</f>
        <v>#REF!</v>
      </c>
      <c r="X287" s="50">
        <f>_xlfn.XLOOKUP(FME_Ranking2[[#This Row],[FME ID]],FME_Input[FME_ID],FME_Input[LWC])</f>
        <v>0</v>
      </c>
      <c r="Y287" s="48" t="e">
        <f>FME_Ranking_Option2!$X287*X$4</f>
        <v>#REF!</v>
      </c>
      <c r="Z287" s="48">
        <f>FME_Ranking_Option2!$X287/($X$3)</f>
        <v>0</v>
      </c>
      <c r="AA287" s="48" t="e">
        <f>FME_Ranking_Option2!$Z287*X$4</f>
        <v>#REF!</v>
      </c>
      <c r="AB287" s="50">
        <f>_xlfn.XLOOKUP(FME_Ranking2[[#This Row],[FME ID]],FME_Input[FME_ID],FME_Input[ROADCLS])</f>
        <v>0</v>
      </c>
      <c r="AC287" s="48" t="e">
        <f>FME_Ranking_Option2!$AB287*AB$4</f>
        <v>#REF!</v>
      </c>
      <c r="AD287" s="53">
        <f>_xlfn.XLOOKUP(FME_Ranking2[[#This Row],[FME ID]],FME_Input[FME_ID],FME_Input[ROAD_MILES100])</f>
        <v>2.7616868019103999</v>
      </c>
      <c r="AE287" s="54" t="e">
        <f>FME_Ranking_Option2!$AD287*AD$4</f>
        <v>#REF!</v>
      </c>
      <c r="AF287" s="55">
        <f>FME_Ranking_Option2!$AD287/($AD$3)</f>
        <v>6.237900109797686E-5</v>
      </c>
      <c r="AG287" s="55" t="e">
        <f>FME_Ranking_Option2!$AF287*AD$4</f>
        <v>#REF!</v>
      </c>
      <c r="AH287" s="53">
        <f>_xlfn.XLOOKUP(FME_Ranking2[[#This Row],[FME ID]],FME_Input[FME_ID],FME_Input[FARMACRE100])</f>
        <v>0.41367971897125239</v>
      </c>
      <c r="AI287" s="54" t="e">
        <f>FME_Ranking_Option2!$AH287*AH$4</f>
        <v>#REF!</v>
      </c>
      <c r="AJ287" s="56">
        <f>FME_Ranking_Option2!$AH287/($AH$3)</f>
        <v>2.402070160907991E-5</v>
      </c>
      <c r="AK287" s="57" t="e">
        <f>FME_Ranking_Option2!$AJ287*AH$4</f>
        <v>#REF!</v>
      </c>
      <c r="AL287"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87" s="58" t="e">
        <f>_xlfn.RANK.EQ(AL287,$AL$7:$AL$531)+COUNTIF(AL$7:AL287,AL287)-1</f>
        <v>#REF!</v>
      </c>
      <c r="AN287" s="57"/>
      <c r="AO287" s="58" t="e">
        <f>_xlfn.RANK.EQ(AN287,$AN$7:$AN$531)+COUNTIF(AN$7:AN287,AN287)-1</f>
        <v>#N/A</v>
      </c>
      <c r="AP28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87" s="32" t="e">
        <f>FME_Ranking2[[#This Row],[Score Based on Reported Factors]]-FME_Ranking2[[#This Row],[Check]]</f>
        <v>#REF!</v>
      </c>
      <c r="AR287" s="32"/>
      <c r="AT287" s="19"/>
      <c r="AU287" s="19"/>
      <c r="AV287" s="19"/>
      <c r="AW287" s="19"/>
      <c r="AX287" s="19"/>
      <c r="AY287" s="19"/>
      <c r="AZ287" s="19"/>
      <c r="BA287" s="19"/>
      <c r="BB287" s="19"/>
      <c r="BC287" s="19"/>
    </row>
    <row r="288" spans="1:55" ht="12" customHeight="1" x14ac:dyDescent="0.25">
      <c r="A288" s="17" t="s">
        <v>1957</v>
      </c>
      <c r="B288" s="17" t="str">
        <f>_xlfn.XLOOKUP(FME_Ranking2[[#This Row],[FME ID]],FME_Input[FME_ID],FME_Input[FME_NAME])</f>
        <v>TC Jester Detention Basin</v>
      </c>
      <c r="C288" s="17" t="str">
        <f>_xlfn.XLOOKUP(FME_Ranking2[[#This Row],[FME ID]],FME_Input[FME_ID],FME_Input[DESCR])</f>
        <v>Study to develop a Benefit Cost Analysis needed for this project to become a FMP. Construction of a 25 acre stormwater detention basin.  Estimated construction cost is $10,047,910. This application is requesting $10,000,000.00 of these funds.</v>
      </c>
      <c r="D288" s="33" t="str">
        <f>_xlfn.XLOOKUP(FME_Ranking2[[#This Row],[FME ID]],FME_Input[FME_ID],FME_Input[EMER_NEED])</f>
        <v>No</v>
      </c>
      <c r="E288" s="120">
        <f>IF(FME_Ranking_Option2!$D288="Yes",100,0)</f>
        <v>0</v>
      </c>
      <c r="F288" s="34" t="str">
        <f>_xlfn.XLOOKUP(FME_Ranking2[[#This Row],[FME ID]],FME_Input[FME_ID],FME_Input[FUND])</f>
        <v>Yes</v>
      </c>
      <c r="G288" s="35">
        <f>IF(FME_Ranking_Option2!$F288="Yes",1,0)</f>
        <v>1</v>
      </c>
      <c r="H288" s="33">
        <f>_xlfn.XLOOKUP(FME_Ranking2[[#This Row],[FME ID]],FME_Input[FME_ID],FME_Input[STRUCT_100])</f>
        <v>2995</v>
      </c>
      <c r="I288" s="64" t="e">
        <f>FME_Ranking2[[#This Row],[Raw Data3]]*H$4</f>
        <v>#REF!</v>
      </c>
      <c r="J288" s="63">
        <f>((FME_Ranking_Option2!$H288)/($H$3))*100</f>
        <v>0.3328262224834948</v>
      </c>
      <c r="K288" s="36" t="e">
        <f>FME_Ranking2[[#This Row],[Norm Data3]]*H$4</f>
        <v>#REF!</v>
      </c>
      <c r="L288" s="37">
        <f>_xlfn.XLOOKUP(FME_Ranking2[[#This Row],[FME ID]],FME_Input[FME_ID],FME_Input[RES_STRUCT100])</f>
        <v>2413</v>
      </c>
      <c r="M288" s="38" t="e">
        <f>FME_Ranking2[[#This Row],[Raw Data4]]*L$4</f>
        <v>#REF!</v>
      </c>
      <c r="N288" s="28">
        <f>((FME_Ranking_Option2!$L288)/($L$3))*100</f>
        <v>0.36075068434987878</v>
      </c>
      <c r="O288" s="39" t="e">
        <f>FME_Ranking2[[#This Row],[Norm Data4]]*L$4</f>
        <v>#REF!</v>
      </c>
      <c r="P288" s="34">
        <f>_xlfn.XLOOKUP(FME_Ranking2[[#This Row],[FME ID]],FME_Input[FME_ID],FME_Input[POP100])</f>
        <v>18540</v>
      </c>
      <c r="Q288" s="35" t="e">
        <f>FME_Ranking_Option2!$P288*P$4</f>
        <v>#REF!</v>
      </c>
      <c r="R288" s="35">
        <f>FME_Ranking_Option2!$P288/($P$3)</f>
        <v>6.8045736718052082E-3</v>
      </c>
      <c r="S288" s="35" t="e">
        <f>FME_Ranking_Option2!$R288*P$4</f>
        <v>#REF!</v>
      </c>
      <c r="T288" s="37">
        <f>_xlfn.XLOOKUP(FME_Ranking2[[#This Row],[FME ID]],FME_Input[FME_ID],FME_Input[CRITFAC100])</f>
        <v>53</v>
      </c>
      <c r="U288" s="35" t="e">
        <f>FME_Ranking_Option2!$T288*T$4</f>
        <v>#REF!</v>
      </c>
      <c r="V288" s="35">
        <f>FME_Ranking_Option2!$T288/($T$3)</f>
        <v>7.4742631504724297E-3</v>
      </c>
      <c r="W288" s="35" t="e">
        <f>FME_Ranking_Option2!$V288*T$4</f>
        <v>#REF!</v>
      </c>
      <c r="X288" s="37">
        <f>_xlfn.XLOOKUP(FME_Ranking2[[#This Row],[FME ID]],FME_Input[FME_ID],FME_Input[LWC])</f>
        <v>4</v>
      </c>
      <c r="Y288" s="35" t="e">
        <f>FME_Ranking_Option2!$X288*X$4</f>
        <v>#REF!</v>
      </c>
      <c r="Z288" s="35">
        <f>FME_Ranking_Option2!$X288/($X$3)</f>
        <v>3.6489691662105453E-4</v>
      </c>
      <c r="AA288" s="35" t="e">
        <f>FME_Ranking_Option2!$Z288*X$4</f>
        <v>#REF!</v>
      </c>
      <c r="AB288" s="37">
        <f>_xlfn.XLOOKUP(FME_Ranking2[[#This Row],[FME ID]],FME_Input[FME_ID],FME_Input[ROADCLS])</f>
        <v>4</v>
      </c>
      <c r="AC288" s="35" t="e">
        <f>FME_Ranking_Option2!$AB288*AB$4</f>
        <v>#REF!</v>
      </c>
      <c r="AD288" s="40">
        <f>_xlfn.XLOOKUP(FME_Ranking2[[#This Row],[FME ID]],FME_Input[FME_ID],FME_Input[ROAD_MILES100])</f>
        <v>59.859764099121087</v>
      </c>
      <c r="AE288" s="41" t="e">
        <f>FME_Ranking_Option2!$AD288*AD$4</f>
        <v>#REF!</v>
      </c>
      <c r="AF288" s="42">
        <f>FME_Ranking_Option2!$AD288/($AD$3)</f>
        <v>1.352069426511622E-3</v>
      </c>
      <c r="AG288" s="42" t="e">
        <f>FME_Ranking_Option2!$AF288*AD$4</f>
        <v>#REF!</v>
      </c>
      <c r="AH288" s="40">
        <f>_xlfn.XLOOKUP(FME_Ranking2[[#This Row],[FME ID]],FME_Input[FME_ID],FME_Input[FARMACRE100])</f>
        <v>44.074214935302727</v>
      </c>
      <c r="AI288" s="43" t="e">
        <f>FME_Ranking_Option2!$AH288*AH$4</f>
        <v>#REF!</v>
      </c>
      <c r="AJ288" s="41">
        <f>FME_Ranking_Option2!$AH288/($AH$3)</f>
        <v>2.5592107059252069E-3</v>
      </c>
      <c r="AK288" s="44" t="e">
        <f>FME_Ranking_Option2!$AJ288*AH$4</f>
        <v>#REF!</v>
      </c>
      <c r="AL28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88" s="45" t="e">
        <f>_xlfn.RANK.EQ(AL288,$AL$7:$AL$531)+COUNTIF(AL$7:AL288,AL288)-1</f>
        <v>#REF!</v>
      </c>
      <c r="AN288" s="44"/>
      <c r="AO288" s="45" t="e">
        <f>_xlfn.RANK.EQ(AN288,$AN$7:$AN$531)+COUNTIF(AN$7:AN288,AN288)-1</f>
        <v>#N/A</v>
      </c>
      <c r="AP28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88" s="32" t="e">
        <f>FME_Ranking2[[#This Row],[Score Based on Reported Factors]]-FME_Ranking2[[#This Row],[Check]]</f>
        <v>#REF!</v>
      </c>
      <c r="AR288" s="32"/>
    </row>
    <row r="289" spans="1:55" ht="12" customHeight="1" x14ac:dyDescent="0.25">
      <c r="A289" s="16" t="s">
        <v>2301</v>
      </c>
      <c r="B289" s="16" t="str">
        <f>_xlfn.XLOOKUP(FME_Ranking2[[#This Row],[FME ID]],FME_Input[FME_ID],FME_Input[FME_NAME])</f>
        <v>Halls Bayou Drainage Project Bond C-26 &amp; C-27</v>
      </c>
      <c r="C289" s="16" t="str">
        <f>_xlfn.XLOOKUP(FME_Ranking2[[#This Row],[FME ID]],FME_Input[FME_ID],FME_Input[DESCR])</f>
        <v>Study to develop a Benefit Cost Analysis needed for this project to become a FMP. FIF application information unavailable.</v>
      </c>
      <c r="D289" s="46" t="str">
        <f>_xlfn.XLOOKUP(FME_Ranking2[[#This Row],[FME ID]],FME_Input[FME_ID],FME_Input[EMER_NEED])</f>
        <v>No</v>
      </c>
      <c r="E289" s="121">
        <f>IF(FME_Ranking_Option2!$D289="Yes",100,0)</f>
        <v>0</v>
      </c>
      <c r="F289" s="47" t="str">
        <f>_xlfn.XLOOKUP(FME_Ranking2[[#This Row],[FME ID]],FME_Input[FME_ID],FME_Input[FUND])</f>
        <v>Yes</v>
      </c>
      <c r="G289" s="48">
        <f>IF(FME_Ranking_Option2!$F289="Yes",1,0)</f>
        <v>1</v>
      </c>
      <c r="H289" s="46">
        <f>_xlfn.XLOOKUP(FME_Ranking2[[#This Row],[FME ID]],FME_Input[FME_ID],FME_Input[STRUCT_100])</f>
        <v>1432</v>
      </c>
      <c r="I289" s="65" t="e">
        <f>FME_Ranking2[[#This Row],[Raw Data3]]*H$4</f>
        <v>#REF!</v>
      </c>
      <c r="J289" s="62">
        <f>((FME_Ranking_Option2!$H289)/($H$3))*100</f>
        <v>0.15913427398876948</v>
      </c>
      <c r="K289" s="49" t="e">
        <f>FME_Ranking2[[#This Row],[Norm Data3]]*H$4</f>
        <v>#REF!</v>
      </c>
      <c r="L289" s="50">
        <f>_xlfn.XLOOKUP(FME_Ranking2[[#This Row],[FME ID]],FME_Input[FME_ID],FME_Input[RES_STRUCT100])</f>
        <v>1009</v>
      </c>
      <c r="M289" s="51" t="e">
        <f>FME_Ranking2[[#This Row],[Raw Data4]]*L$4</f>
        <v>#REF!</v>
      </c>
      <c r="N289" s="29">
        <f>((FME_Ranking_Option2!$L289)/($L$3))*100</f>
        <v>0.15084850414796011</v>
      </c>
      <c r="O289" s="52" t="e">
        <f>FME_Ranking2[[#This Row],[Norm Data4]]*L$4</f>
        <v>#REF!</v>
      </c>
      <c r="P289" s="47">
        <f>_xlfn.XLOOKUP(FME_Ranking2[[#This Row],[FME ID]],FME_Input[FME_ID],FME_Input[POP100])</f>
        <v>5511</v>
      </c>
      <c r="Q289" s="48" t="e">
        <f>FME_Ranking_Option2!$P289*P$4</f>
        <v>#REF!</v>
      </c>
      <c r="R289" s="48">
        <f>FME_Ranking_Option2!$P289/($P$3)</f>
        <v>2.0226540186255937E-3</v>
      </c>
      <c r="S289" s="48" t="e">
        <f>FME_Ranking_Option2!$R289*P$4</f>
        <v>#REF!</v>
      </c>
      <c r="T289" s="50">
        <f>_xlfn.XLOOKUP(FME_Ranking2[[#This Row],[FME ID]],FME_Input[FME_ID],FME_Input[CRITFAC100])</f>
        <v>8</v>
      </c>
      <c r="U289" s="48" t="e">
        <f>FME_Ranking_Option2!$T289*T$4</f>
        <v>#REF!</v>
      </c>
      <c r="V289" s="48">
        <f>FME_Ranking_Option2!$T289/($T$3)</f>
        <v>1.1281906642222536E-3</v>
      </c>
      <c r="W289" s="48" t="e">
        <f>FME_Ranking_Option2!$V289*T$4</f>
        <v>#REF!</v>
      </c>
      <c r="X289" s="50">
        <f>_xlfn.XLOOKUP(FME_Ranking2[[#This Row],[FME ID]],FME_Input[FME_ID],FME_Input[LWC])</f>
        <v>1</v>
      </c>
      <c r="Y289" s="48" t="e">
        <f>FME_Ranking_Option2!$X289*X$4</f>
        <v>#REF!</v>
      </c>
      <c r="Z289" s="48">
        <f>FME_Ranking_Option2!$X289/($X$3)</f>
        <v>9.1224229155263632E-5</v>
      </c>
      <c r="AA289" s="48" t="e">
        <f>FME_Ranking_Option2!$Z289*X$4</f>
        <v>#REF!</v>
      </c>
      <c r="AB289" s="50">
        <f>_xlfn.XLOOKUP(FME_Ranking2[[#This Row],[FME ID]],FME_Input[FME_ID],FME_Input[ROADCLS])</f>
        <v>1</v>
      </c>
      <c r="AC289" s="48" t="e">
        <f>FME_Ranking_Option2!$AB289*AB$4</f>
        <v>#REF!</v>
      </c>
      <c r="AD289" s="53">
        <f>_xlfn.XLOOKUP(FME_Ranking2[[#This Row],[FME ID]],FME_Input[FME_ID],FME_Input[ROAD_MILES100])</f>
        <v>9.6468038558959961</v>
      </c>
      <c r="AE289" s="54" t="e">
        <f>FME_Ranking_Option2!$AD289*AD$4</f>
        <v>#REF!</v>
      </c>
      <c r="AF289" s="55">
        <f>FME_Ranking_Option2!$AD289/($AD$3)</f>
        <v>2.1789508785088771E-4</v>
      </c>
      <c r="AG289" s="55" t="e">
        <f>FME_Ranking_Option2!$AF289*AD$4</f>
        <v>#REF!</v>
      </c>
      <c r="AH289" s="53">
        <f>_xlfn.XLOOKUP(FME_Ranking2[[#This Row],[FME ID]],FME_Input[FME_ID],FME_Input[FARMACRE100])</f>
        <v>0</v>
      </c>
      <c r="AI289" s="54" t="e">
        <f>FME_Ranking_Option2!$AH289*AH$4</f>
        <v>#REF!</v>
      </c>
      <c r="AJ289" s="56">
        <f>FME_Ranking_Option2!$AH289/($AH$3)</f>
        <v>0</v>
      </c>
      <c r="AK289" s="57" t="e">
        <f>FME_Ranking_Option2!$AJ289*AH$4</f>
        <v>#REF!</v>
      </c>
      <c r="AL28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89" s="58" t="e">
        <f>_xlfn.RANK.EQ(AL289,$AL$7:$AL$531)+COUNTIF(AL$7:AL289,AL289)-1</f>
        <v>#REF!</v>
      </c>
      <c r="AN289" s="57"/>
      <c r="AO289" s="58" t="e">
        <f>_xlfn.RANK.EQ(AN289,$AN$7:$AN$531)+COUNTIF(AN$7:AN289,AN289)-1</f>
        <v>#N/A</v>
      </c>
      <c r="AP28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89" s="32" t="e">
        <f>FME_Ranking2[[#This Row],[Score Based on Reported Factors]]-FME_Ranking2[[#This Row],[Check]]</f>
        <v>#REF!</v>
      </c>
      <c r="AR289" s="32"/>
      <c r="AT289" s="19"/>
      <c r="AU289" s="19"/>
      <c r="AV289" s="19"/>
      <c r="AW289" s="19"/>
      <c r="AX289" s="19"/>
      <c r="AY289" s="19"/>
      <c r="AZ289" s="19"/>
      <c r="BA289" s="19"/>
      <c r="BB289" s="19"/>
      <c r="BC289" s="19"/>
    </row>
    <row r="290" spans="1:55" ht="12" customHeight="1" x14ac:dyDescent="0.25">
      <c r="A290" s="17" t="s">
        <v>2303</v>
      </c>
      <c r="B290" s="17" t="str">
        <f>_xlfn.XLOOKUP(FME_Ranking2[[#This Row],[FME ID]],FME_Input[FME_ID],FME_Input[FME_NAME])</f>
        <v>Halls Bayou Drainage Project Bond C-01</v>
      </c>
      <c r="C290" s="17" t="str">
        <f>_xlfn.XLOOKUP(FME_Ranking2[[#This Row],[FME ID]],FME_Input[FME_ID],FME_Input[DESCR])</f>
        <v>Study to develop a Benefit Cost Analysis needed for this project to become a FMP. FIF application information unavailable.</v>
      </c>
      <c r="D290" s="33" t="str">
        <f>_xlfn.XLOOKUP(FME_Ranking2[[#This Row],[FME ID]],FME_Input[FME_ID],FME_Input[EMER_NEED])</f>
        <v>No</v>
      </c>
      <c r="E290" s="120">
        <f>IF(FME_Ranking_Option2!$D290="Yes",100,0)</f>
        <v>0</v>
      </c>
      <c r="F290" s="34" t="str">
        <f>_xlfn.XLOOKUP(FME_Ranking2[[#This Row],[FME ID]],FME_Input[FME_ID],FME_Input[FUND])</f>
        <v>Yes</v>
      </c>
      <c r="G290" s="35">
        <f>IF(FME_Ranking_Option2!$F290="Yes",1,0)</f>
        <v>1</v>
      </c>
      <c r="H290" s="33">
        <f>_xlfn.XLOOKUP(FME_Ranking2[[#This Row],[FME ID]],FME_Input[FME_ID],FME_Input[STRUCT_100])</f>
        <v>3188</v>
      </c>
      <c r="I290" s="64" t="e">
        <f>FME_Ranking2[[#This Row],[Raw Data3]]*H$4</f>
        <v>#REF!</v>
      </c>
      <c r="J290" s="63">
        <f>((FME_Ranking_Option2!$H290)/($H$3))*100</f>
        <v>0.35427378874036108</v>
      </c>
      <c r="K290" s="36" t="e">
        <f>FME_Ranking2[[#This Row],[Norm Data3]]*H$4</f>
        <v>#REF!</v>
      </c>
      <c r="L290" s="37">
        <f>_xlfn.XLOOKUP(FME_Ranking2[[#This Row],[FME ID]],FME_Input[FME_ID],FME_Input[RES_STRUCT100])</f>
        <v>2296</v>
      </c>
      <c r="M290" s="38" t="e">
        <f>FME_Ranking2[[#This Row],[Raw Data4]]*L$4</f>
        <v>#REF!</v>
      </c>
      <c r="N290" s="28">
        <f>((FME_Ranking_Option2!$L290)/($L$3))*100</f>
        <v>0.34325883599971896</v>
      </c>
      <c r="O290" s="39" t="e">
        <f>FME_Ranking2[[#This Row],[Norm Data4]]*L$4</f>
        <v>#REF!</v>
      </c>
      <c r="P290" s="34">
        <f>_xlfn.XLOOKUP(FME_Ranking2[[#This Row],[FME ID]],FME_Input[FME_ID],FME_Input[POP100])</f>
        <v>10940</v>
      </c>
      <c r="Q290" s="35" t="e">
        <f>FME_Ranking_Option2!$P290*P$4</f>
        <v>#REF!</v>
      </c>
      <c r="R290" s="35">
        <f>FME_Ranking_Option2!$P290/($P$3)</f>
        <v>4.0152122960921783E-3</v>
      </c>
      <c r="S290" s="35" t="e">
        <f>FME_Ranking_Option2!$R290*P$4</f>
        <v>#REF!</v>
      </c>
      <c r="T290" s="37">
        <f>_xlfn.XLOOKUP(FME_Ranking2[[#This Row],[FME ID]],FME_Input[FME_ID],FME_Input[CRITFAC100])</f>
        <v>13</v>
      </c>
      <c r="U290" s="35" t="e">
        <f>FME_Ranking_Option2!$T290*T$4</f>
        <v>#REF!</v>
      </c>
      <c r="V290" s="35">
        <f>FME_Ranking_Option2!$T290/($T$3)</f>
        <v>1.833309829361162E-3</v>
      </c>
      <c r="W290" s="35" t="e">
        <f>FME_Ranking_Option2!$V290*T$4</f>
        <v>#REF!</v>
      </c>
      <c r="X290" s="37">
        <f>_xlfn.XLOOKUP(FME_Ranking2[[#This Row],[FME ID]],FME_Input[FME_ID],FME_Input[LWC])</f>
        <v>1</v>
      </c>
      <c r="Y290" s="35" t="e">
        <f>FME_Ranking_Option2!$X290*X$4</f>
        <v>#REF!</v>
      </c>
      <c r="Z290" s="35">
        <f>FME_Ranking_Option2!$X290/($X$3)</f>
        <v>9.1224229155263632E-5</v>
      </c>
      <c r="AA290" s="35" t="e">
        <f>FME_Ranking_Option2!$Z290*X$4</f>
        <v>#REF!</v>
      </c>
      <c r="AB290" s="37">
        <f>_xlfn.XLOOKUP(FME_Ranking2[[#This Row],[FME ID]],FME_Input[FME_ID],FME_Input[ROADCLS])</f>
        <v>1</v>
      </c>
      <c r="AC290" s="35" t="e">
        <f>FME_Ranking_Option2!$AB290*AB$4</f>
        <v>#REF!</v>
      </c>
      <c r="AD290" s="40">
        <f>_xlfn.XLOOKUP(FME_Ranking2[[#This Row],[FME ID]],FME_Input[FME_ID],FME_Input[ROAD_MILES100])</f>
        <v>31.838775634765621</v>
      </c>
      <c r="AE290" s="41" t="e">
        <f>FME_Ranking_Option2!$AD290*AD$4</f>
        <v>#REF!</v>
      </c>
      <c r="AF290" s="42">
        <f>FME_Ranking_Option2!$AD290/($AD$3)</f>
        <v>7.1915143270606088E-4</v>
      </c>
      <c r="AG290" s="42" t="e">
        <f>FME_Ranking_Option2!$AF290*AD$4</f>
        <v>#REF!</v>
      </c>
      <c r="AH290" s="40">
        <f>_xlfn.XLOOKUP(FME_Ranking2[[#This Row],[FME ID]],FME_Input[FME_ID],FME_Input[FARMACRE100])</f>
        <v>0.22157217562198639</v>
      </c>
      <c r="AI290" s="43" t="e">
        <f>FME_Ranking_Option2!$AH290*AH$4</f>
        <v>#REF!</v>
      </c>
      <c r="AJ290" s="41">
        <f>FME_Ranking_Option2!$AH290/($AH$3)</f>
        <v>1.2865796584676771E-5</v>
      </c>
      <c r="AK290" s="44" t="e">
        <f>FME_Ranking_Option2!$AJ290*AH$4</f>
        <v>#REF!</v>
      </c>
      <c r="AL29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90" s="45" t="e">
        <f>_xlfn.RANK.EQ(AL290,$AL$7:$AL$531)+COUNTIF(AL$7:AL290,AL290)-1</f>
        <v>#REF!</v>
      </c>
      <c r="AN290" s="44"/>
      <c r="AO290" s="45" t="e">
        <f>_xlfn.RANK.EQ(AN290,$AN$7:$AN$531)+COUNTIF(AN$7:AN290,AN290)-1</f>
        <v>#N/A</v>
      </c>
      <c r="AP29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90" s="32" t="e">
        <f>FME_Ranking2[[#This Row],[Score Based on Reported Factors]]-FME_Ranking2[[#This Row],[Check]]</f>
        <v>#REF!</v>
      </c>
      <c r="AR290" s="32"/>
    </row>
    <row r="291" spans="1:55" ht="12" customHeight="1" x14ac:dyDescent="0.25">
      <c r="A291" s="16" t="s">
        <v>1991</v>
      </c>
      <c r="B291" s="16" t="str">
        <f>_xlfn.XLOOKUP(FME_Ranking2[[#This Row],[FME ID]],FME_Input[FME_ID],FME_Input[FME_NAME])</f>
        <v>Westador Stormwater Detention Basin</v>
      </c>
      <c r="C291" s="16" t="str">
        <f>_xlfn.XLOOKUP(FME_Ranking2[[#This Row],[FME ID]],FME_Input[FME_ID],FME_Input[DESCR])</f>
        <v xml:space="preserve">Study to develop a BCR required for this project to become a FMP. The Westador Detention Basin is a proposed detention mitigation project within the Cypress Creek Watershed and located south of Cypress Creek and east and west of K141‐00‐00. </v>
      </c>
      <c r="D291" s="46" t="str">
        <f>_xlfn.XLOOKUP(FME_Ranking2[[#This Row],[FME ID]],FME_Input[FME_ID],FME_Input[EMER_NEED])</f>
        <v>No</v>
      </c>
      <c r="E291" s="121">
        <f>IF(FME_Ranking_Option2!$D291="Yes",100,0)</f>
        <v>0</v>
      </c>
      <c r="F291" s="47" t="str">
        <f>_xlfn.XLOOKUP(FME_Ranking2[[#This Row],[FME ID]],FME_Input[FME_ID],FME_Input[FUND])</f>
        <v>Yes</v>
      </c>
      <c r="G291" s="48">
        <f>IF(FME_Ranking_Option2!$F291="Yes",1,0)</f>
        <v>1</v>
      </c>
      <c r="H291" s="46">
        <f>_xlfn.XLOOKUP(FME_Ranking2[[#This Row],[FME ID]],FME_Input[FME_ID],FME_Input[STRUCT_100])</f>
        <v>2995</v>
      </c>
      <c r="I291" s="65" t="e">
        <f>FME_Ranking2[[#This Row],[Raw Data3]]*H$4</f>
        <v>#REF!</v>
      </c>
      <c r="J291" s="62">
        <f>((FME_Ranking_Option2!$H291)/($H$3))*100</f>
        <v>0.3328262224834948</v>
      </c>
      <c r="K291" s="49" t="e">
        <f>FME_Ranking2[[#This Row],[Norm Data3]]*H$4</f>
        <v>#REF!</v>
      </c>
      <c r="L291" s="50">
        <f>_xlfn.XLOOKUP(FME_Ranking2[[#This Row],[FME ID]],FME_Input[FME_ID],FME_Input[RES_STRUCT100])</f>
        <v>2413</v>
      </c>
      <c r="M291" s="51" t="e">
        <f>FME_Ranking2[[#This Row],[Raw Data4]]*L$4</f>
        <v>#REF!</v>
      </c>
      <c r="N291" s="29">
        <f>((FME_Ranking_Option2!$L291)/($L$3))*100</f>
        <v>0.36075068434987878</v>
      </c>
      <c r="O291" s="52" t="e">
        <f>FME_Ranking2[[#This Row],[Norm Data4]]*L$4</f>
        <v>#REF!</v>
      </c>
      <c r="P291" s="47">
        <f>_xlfn.XLOOKUP(FME_Ranking2[[#This Row],[FME ID]],FME_Input[FME_ID],FME_Input[POP100])</f>
        <v>18540</v>
      </c>
      <c r="Q291" s="48" t="e">
        <f>FME_Ranking_Option2!$P291*P$4</f>
        <v>#REF!</v>
      </c>
      <c r="R291" s="48">
        <f>FME_Ranking_Option2!$P291/($P$3)</f>
        <v>6.8045736718052082E-3</v>
      </c>
      <c r="S291" s="48" t="e">
        <f>FME_Ranking_Option2!$R291*P$4</f>
        <v>#REF!</v>
      </c>
      <c r="T291" s="50">
        <f>_xlfn.XLOOKUP(FME_Ranking2[[#This Row],[FME ID]],FME_Input[FME_ID],FME_Input[CRITFAC100])</f>
        <v>53</v>
      </c>
      <c r="U291" s="48" t="e">
        <f>FME_Ranking_Option2!$T291*T$4</f>
        <v>#REF!</v>
      </c>
      <c r="V291" s="48">
        <f>FME_Ranking_Option2!$T291/($T$3)</f>
        <v>7.4742631504724297E-3</v>
      </c>
      <c r="W291" s="48" t="e">
        <f>FME_Ranking_Option2!$V291*T$4</f>
        <v>#REF!</v>
      </c>
      <c r="X291" s="50">
        <f>_xlfn.XLOOKUP(FME_Ranking2[[#This Row],[FME ID]],FME_Input[FME_ID],FME_Input[LWC])</f>
        <v>4</v>
      </c>
      <c r="Y291" s="48" t="e">
        <f>FME_Ranking_Option2!$X291*X$4</f>
        <v>#REF!</v>
      </c>
      <c r="Z291" s="48">
        <f>FME_Ranking_Option2!$X291/($X$3)</f>
        <v>3.6489691662105453E-4</v>
      </c>
      <c r="AA291" s="48" t="e">
        <f>FME_Ranking_Option2!$Z291*X$4</f>
        <v>#REF!</v>
      </c>
      <c r="AB291" s="50">
        <f>_xlfn.XLOOKUP(FME_Ranking2[[#This Row],[FME ID]],FME_Input[FME_ID],FME_Input[ROADCLS])</f>
        <v>4</v>
      </c>
      <c r="AC291" s="48" t="e">
        <f>FME_Ranking_Option2!$AB291*AB$4</f>
        <v>#REF!</v>
      </c>
      <c r="AD291" s="53">
        <f>_xlfn.XLOOKUP(FME_Ranking2[[#This Row],[FME ID]],FME_Input[FME_ID],FME_Input[ROAD_MILES100])</f>
        <v>59.859764099121087</v>
      </c>
      <c r="AE291" s="54" t="e">
        <f>FME_Ranking_Option2!$AD291*AD$4</f>
        <v>#REF!</v>
      </c>
      <c r="AF291" s="55">
        <f>FME_Ranking_Option2!$AD291/($AD$3)</f>
        <v>1.352069426511622E-3</v>
      </c>
      <c r="AG291" s="55" t="e">
        <f>FME_Ranking_Option2!$AF291*AD$4</f>
        <v>#REF!</v>
      </c>
      <c r="AH291" s="53">
        <f>_xlfn.XLOOKUP(FME_Ranking2[[#This Row],[FME ID]],FME_Input[FME_ID],FME_Input[FARMACRE100])</f>
        <v>44.074214935302727</v>
      </c>
      <c r="AI291" s="54" t="e">
        <f>FME_Ranking_Option2!$AH291*AH$4</f>
        <v>#REF!</v>
      </c>
      <c r="AJ291" s="56">
        <f>FME_Ranking_Option2!$AH291/($AH$3)</f>
        <v>2.5592107059252069E-3</v>
      </c>
      <c r="AK291" s="57" t="e">
        <f>FME_Ranking_Option2!$AJ291*AH$4</f>
        <v>#REF!</v>
      </c>
      <c r="AL29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91" s="58" t="e">
        <f>_xlfn.RANK.EQ(AL291,$AL$7:$AL$531)+COUNTIF(AL$7:AL291,AL291)-1</f>
        <v>#REF!</v>
      </c>
      <c r="AN291" s="57"/>
      <c r="AO291" s="58" t="e">
        <f>_xlfn.RANK.EQ(AN291,$AN$7:$AN$531)+COUNTIF(AN$7:AN291,AN291)-1</f>
        <v>#N/A</v>
      </c>
      <c r="AP29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91" s="32" t="e">
        <f>FME_Ranking2[[#This Row],[Score Based on Reported Factors]]-FME_Ranking2[[#This Row],[Check]]</f>
        <v>#REF!</v>
      </c>
      <c r="AR291" s="32"/>
      <c r="AT291" s="19"/>
      <c r="AU291" s="19"/>
      <c r="AV291" s="19"/>
      <c r="AW291" s="19"/>
      <c r="AX291" s="19"/>
      <c r="AY291" s="19"/>
      <c r="AZ291" s="19"/>
      <c r="BA291" s="19"/>
      <c r="BB291" s="19"/>
      <c r="BC291" s="19"/>
    </row>
    <row r="292" spans="1:55" ht="12" customHeight="1" x14ac:dyDescent="0.25">
      <c r="A292" s="17" t="s">
        <v>1994</v>
      </c>
      <c r="B292" s="17" t="str">
        <f>_xlfn.XLOOKUP(FME_Ranking2[[#This Row],[FME ID]],FME_Input[FME_ID],FME_Input[FME_NAME])</f>
        <v>Cypress Creek Implementation Plan - Various Detention Sites</v>
      </c>
      <c r="C292" s="17" t="str">
        <f>_xlfn.XLOOKUP(FME_Ranking2[[#This Row],[FME ID]],FME_Input[FME_ID],FME_Input[DESCR])</f>
        <v>Study to develop a Benefit Cost Analysis needed for this project to become a FMP. The Implementation Plan identifies that approximately 14,000 acre-feet of stormwater detention volume across 23 different sites reducing flooding risk.</v>
      </c>
      <c r="D292" s="33" t="str">
        <f>_xlfn.XLOOKUP(FME_Ranking2[[#This Row],[FME ID]],FME_Input[FME_ID],FME_Input[EMER_NEED])</f>
        <v>No</v>
      </c>
      <c r="E292" s="120">
        <f>IF(FME_Ranking_Option2!$D292="Yes",100,0)</f>
        <v>0</v>
      </c>
      <c r="F292" s="34" t="str">
        <f>_xlfn.XLOOKUP(FME_Ranking2[[#This Row],[FME ID]],FME_Input[FME_ID],FME_Input[FUND])</f>
        <v>Yes</v>
      </c>
      <c r="G292" s="35">
        <f>IF(FME_Ranking_Option2!$F292="Yes",1,0)</f>
        <v>1</v>
      </c>
      <c r="H292" s="33">
        <f>_xlfn.XLOOKUP(FME_Ranking2[[#This Row],[FME ID]],FME_Input[FME_ID],FME_Input[STRUCT_100])</f>
        <v>4100</v>
      </c>
      <c r="I292" s="64" t="e">
        <f>FME_Ranking2[[#This Row],[Raw Data3]]*H$4</f>
        <v>#REF!</v>
      </c>
      <c r="J292" s="63">
        <f>((FME_Ranking_Option2!$H292)/($H$3))*100</f>
        <v>0.45562187385052716</v>
      </c>
      <c r="K292" s="36" t="e">
        <f>FME_Ranking2[[#This Row],[Norm Data3]]*H$4</f>
        <v>#REF!</v>
      </c>
      <c r="L292" s="37">
        <f>_xlfn.XLOOKUP(FME_Ranking2[[#This Row],[FME ID]],FME_Input[FME_ID],FME_Input[RES_STRUCT100])</f>
        <v>3398</v>
      </c>
      <c r="M292" s="38" t="e">
        <f>FME_Ranking2[[#This Row],[Raw Data4]]*L$4</f>
        <v>#REF!</v>
      </c>
      <c r="N292" s="28">
        <f>((FME_Ranking_Option2!$L292)/($L$3))*100</f>
        <v>0.5080111170413959</v>
      </c>
      <c r="O292" s="39" t="e">
        <f>FME_Ranking2[[#This Row],[Norm Data4]]*L$4</f>
        <v>#REF!</v>
      </c>
      <c r="P292" s="34">
        <f>_xlfn.XLOOKUP(FME_Ranking2[[#This Row],[FME ID]],FME_Input[FME_ID],FME_Input[POP100])</f>
        <v>21959</v>
      </c>
      <c r="Q292" s="35" t="e">
        <f>FME_Ranking_Option2!$P292*P$4</f>
        <v>#REF!</v>
      </c>
      <c r="R292" s="35">
        <f>FME_Ranking_Option2!$P292/($P$3)</f>
        <v>8.0594192696424264E-3</v>
      </c>
      <c r="S292" s="35" t="e">
        <f>FME_Ranking_Option2!$R292*P$4</f>
        <v>#REF!</v>
      </c>
      <c r="T292" s="37">
        <f>_xlfn.XLOOKUP(FME_Ranking2[[#This Row],[FME ID]],FME_Input[FME_ID],FME_Input[CRITFAC100])</f>
        <v>73</v>
      </c>
      <c r="U292" s="35" t="e">
        <f>FME_Ranking_Option2!$T292*T$4</f>
        <v>#REF!</v>
      </c>
      <c r="V292" s="35">
        <f>FME_Ranking_Option2!$T292/($T$3)</f>
        <v>1.0294739811028063E-2</v>
      </c>
      <c r="W292" s="35" t="e">
        <f>FME_Ranking_Option2!$V292*T$4</f>
        <v>#REF!</v>
      </c>
      <c r="X292" s="37">
        <f>_xlfn.XLOOKUP(FME_Ranking2[[#This Row],[FME ID]],FME_Input[FME_ID],FME_Input[LWC])</f>
        <v>3</v>
      </c>
      <c r="Y292" s="35" t="e">
        <f>FME_Ranking_Option2!$X292*X$4</f>
        <v>#REF!</v>
      </c>
      <c r="Z292" s="35">
        <f>FME_Ranking_Option2!$X292/($X$3)</f>
        <v>2.7367268746579092E-4</v>
      </c>
      <c r="AA292" s="35" t="e">
        <f>FME_Ranking_Option2!$Z292*X$4</f>
        <v>#REF!</v>
      </c>
      <c r="AB292" s="37">
        <f>_xlfn.XLOOKUP(FME_Ranking2[[#This Row],[FME ID]],FME_Input[FME_ID],FME_Input[ROADCLS])</f>
        <v>3</v>
      </c>
      <c r="AC292" s="35" t="e">
        <f>FME_Ranking_Option2!$AB292*AB$4</f>
        <v>#REF!</v>
      </c>
      <c r="AD292" s="40">
        <f>_xlfn.XLOOKUP(FME_Ranking2[[#This Row],[FME ID]],FME_Input[FME_ID],FME_Input[ROAD_MILES100])</f>
        <v>80.19732666015625</v>
      </c>
      <c r="AE292" s="41" t="e">
        <f>FME_Ranking_Option2!$AD292*AD$4</f>
        <v>#REF!</v>
      </c>
      <c r="AF292" s="42">
        <f>FME_Ranking_Option2!$AD292/($AD$3)</f>
        <v>1.8114397057364077E-3</v>
      </c>
      <c r="AG292" s="42" t="e">
        <f>FME_Ranking_Option2!$AF292*AD$4</f>
        <v>#REF!</v>
      </c>
      <c r="AH292" s="40">
        <f>_xlfn.XLOOKUP(FME_Ranking2[[#This Row],[FME ID]],FME_Input[FME_ID],FME_Input[FARMACRE100])</f>
        <v>75.164703369140625</v>
      </c>
      <c r="AI292" s="43" t="e">
        <f>FME_Ranking_Option2!$AH292*AH$4</f>
        <v>#REF!</v>
      </c>
      <c r="AJ292" s="41">
        <f>FME_Ranking_Option2!$AH292/($AH$3)</f>
        <v>4.3645091319804334E-3</v>
      </c>
      <c r="AK292" s="44" t="e">
        <f>FME_Ranking_Option2!$AJ292*AH$4</f>
        <v>#REF!</v>
      </c>
      <c r="AL292"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92" s="45" t="e">
        <f>_xlfn.RANK.EQ(AL292,$AL$7:$AL$531)+COUNTIF(AL$7:AL292,AL292)-1</f>
        <v>#REF!</v>
      </c>
      <c r="AN292" s="44"/>
      <c r="AO292" s="45" t="e">
        <f>_xlfn.RANK.EQ(AN292,$AN$7:$AN$531)+COUNTIF(AN$7:AN292,AN292)-1</f>
        <v>#N/A</v>
      </c>
      <c r="AP29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92" s="32" t="e">
        <f>FME_Ranking2[[#This Row],[Score Based on Reported Factors]]-FME_Ranking2[[#This Row],[Check]]</f>
        <v>#REF!</v>
      </c>
      <c r="AR292" s="32"/>
    </row>
    <row r="293" spans="1:55" ht="12" customHeight="1" x14ac:dyDescent="0.25">
      <c r="A293" s="16" t="s">
        <v>2000</v>
      </c>
      <c r="B293" s="16" t="str">
        <f>_xlfn.XLOOKUP(FME_Ranking2[[#This Row],[FME ID]],FME_Input[FME_ID],FME_Input[FME_NAME])</f>
        <v>Little Cypress Creek - Management, Right-of-Way Acquisition, Design and Construction of the Little Cypress Creek Frontier Program</v>
      </c>
      <c r="C293" s="16" t="str">
        <f>_xlfn.XLOOKUP(FME_Ranking2[[#This Row],[FME ID]],FME_Input[FME_ID],FME_Input[DESCR])</f>
        <v>Study to develop a BCR required for this to become a FMP. The Little Cypress Creek Frontier program will reduce the risk of flooding and include detention, sediment control, vegetation management and other flood risk management projects.</v>
      </c>
      <c r="D293" s="46" t="str">
        <f>_xlfn.XLOOKUP(FME_Ranking2[[#This Row],[FME ID]],FME_Input[FME_ID],FME_Input[EMER_NEED])</f>
        <v>No</v>
      </c>
      <c r="E293" s="121">
        <f>IF(FME_Ranking_Option2!$D293="Yes",100,0)</f>
        <v>0</v>
      </c>
      <c r="F293" s="47" t="str">
        <f>_xlfn.XLOOKUP(FME_Ranking2[[#This Row],[FME ID]],FME_Input[FME_ID],FME_Input[FUND])</f>
        <v>Yes</v>
      </c>
      <c r="G293" s="48">
        <f>IF(FME_Ranking_Option2!$F293="Yes",1,0)</f>
        <v>1</v>
      </c>
      <c r="H293" s="46">
        <f>_xlfn.XLOOKUP(FME_Ranking2[[#This Row],[FME ID]],FME_Input[FME_ID],FME_Input[STRUCT_100])</f>
        <v>1213</v>
      </c>
      <c r="I293" s="65" t="e">
        <f>FME_Ranking2[[#This Row],[Raw Data3]]*H$4</f>
        <v>#REF!</v>
      </c>
      <c r="J293" s="62">
        <f>((FME_Ranking_Option2!$H293)/($H$3))*100</f>
        <v>0.13479739828797302</v>
      </c>
      <c r="K293" s="49" t="e">
        <f>FME_Ranking2[[#This Row],[Norm Data3]]*H$4</f>
        <v>#REF!</v>
      </c>
      <c r="L293" s="50">
        <f>_xlfn.XLOOKUP(FME_Ranking2[[#This Row],[FME ID]],FME_Input[FME_ID],FME_Input[RES_STRUCT100])</f>
        <v>1029</v>
      </c>
      <c r="M293" s="51" t="e">
        <f>FME_Ranking2[[#This Row],[Raw Data4]]*L$4</f>
        <v>#REF!</v>
      </c>
      <c r="N293" s="29">
        <f>((FME_Ranking_Option2!$L293)/($L$3))*100</f>
        <v>0.15383856369499599</v>
      </c>
      <c r="O293" s="52" t="e">
        <f>FME_Ranking2[[#This Row],[Norm Data4]]*L$4</f>
        <v>#REF!</v>
      </c>
      <c r="P293" s="47">
        <f>_xlfn.XLOOKUP(FME_Ranking2[[#This Row],[FME ID]],FME_Input[FME_ID],FME_Input[POP100])</f>
        <v>2896</v>
      </c>
      <c r="Q293" s="48" t="e">
        <f>FME_Ranking_Option2!$P293*P$4</f>
        <v>#REF!</v>
      </c>
      <c r="R293" s="48">
        <f>FME_Ranking_Option2!$P293/($P$3)</f>
        <v>1.0628934926401232E-3</v>
      </c>
      <c r="S293" s="48" t="e">
        <f>FME_Ranking_Option2!$R293*P$4</f>
        <v>#REF!</v>
      </c>
      <c r="T293" s="50">
        <f>_xlfn.XLOOKUP(FME_Ranking2[[#This Row],[FME ID]],FME_Input[FME_ID],FME_Input[CRITFAC100])</f>
        <v>15</v>
      </c>
      <c r="U293" s="48" t="e">
        <f>FME_Ranking_Option2!$T293*T$4</f>
        <v>#REF!</v>
      </c>
      <c r="V293" s="48">
        <f>FME_Ranking_Option2!$T293/($T$3)</f>
        <v>2.1153574954167254E-3</v>
      </c>
      <c r="W293" s="48" t="e">
        <f>FME_Ranking_Option2!$V293*T$4</f>
        <v>#REF!</v>
      </c>
      <c r="X293" s="50">
        <f>_xlfn.XLOOKUP(FME_Ranking2[[#This Row],[FME ID]],FME_Input[FME_ID],FME_Input[LWC])</f>
        <v>4</v>
      </c>
      <c r="Y293" s="48" t="e">
        <f>FME_Ranking_Option2!$X293*X$4</f>
        <v>#REF!</v>
      </c>
      <c r="Z293" s="48">
        <f>FME_Ranking_Option2!$X293/($X$3)</f>
        <v>3.6489691662105453E-4</v>
      </c>
      <c r="AA293" s="48" t="e">
        <f>FME_Ranking_Option2!$Z293*X$4</f>
        <v>#REF!</v>
      </c>
      <c r="AB293" s="50">
        <f>_xlfn.XLOOKUP(FME_Ranking2[[#This Row],[FME ID]],FME_Input[FME_ID],FME_Input[ROADCLS])</f>
        <v>4</v>
      </c>
      <c r="AC293" s="48" t="e">
        <f>FME_Ranking_Option2!$AB293*AB$4</f>
        <v>#REF!</v>
      </c>
      <c r="AD293" s="53">
        <f>_xlfn.XLOOKUP(FME_Ranking2[[#This Row],[FME ID]],FME_Input[FME_ID],FME_Input[ROAD_MILES100])</f>
        <v>18.589902877807621</v>
      </c>
      <c r="AE293" s="54" t="e">
        <f>FME_Ranking_Option2!$AD293*AD$4</f>
        <v>#REF!</v>
      </c>
      <c r="AF293" s="55">
        <f>FME_Ranking_Option2!$AD293/($AD$3)</f>
        <v>4.1989539553285933E-4</v>
      </c>
      <c r="AG293" s="55" t="e">
        <f>FME_Ranking_Option2!$AF293*AD$4</f>
        <v>#REF!</v>
      </c>
      <c r="AH293" s="53">
        <f>_xlfn.XLOOKUP(FME_Ranking2[[#This Row],[FME ID]],FME_Input[FME_ID],FME_Input[FARMACRE100])</f>
        <v>192.01753234863281</v>
      </c>
      <c r="AI293" s="54" t="e">
        <f>FME_Ranking_Option2!$AH293*AH$4</f>
        <v>#REF!</v>
      </c>
      <c r="AJ293" s="56">
        <f>FME_Ranking_Option2!$AH293/($AH$3)</f>
        <v>1.1149678451069739E-2</v>
      </c>
      <c r="AK293" s="57" t="e">
        <f>FME_Ranking_Option2!$AJ293*AH$4</f>
        <v>#REF!</v>
      </c>
      <c r="AL293"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93" s="58" t="e">
        <f>_xlfn.RANK.EQ(AL293,$AL$7:$AL$531)+COUNTIF(AL$7:AL293,AL293)-1</f>
        <v>#REF!</v>
      </c>
      <c r="AN293" s="57"/>
      <c r="AO293" s="58" t="e">
        <f>_xlfn.RANK.EQ(AN293,$AN$7:$AN$531)+COUNTIF(AN$7:AN293,AN293)-1</f>
        <v>#N/A</v>
      </c>
      <c r="AP29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93" s="32" t="e">
        <f>FME_Ranking2[[#This Row],[Score Based on Reported Factors]]-FME_Ranking2[[#This Row],[Check]]</f>
        <v>#REF!</v>
      </c>
      <c r="AR293" s="32"/>
      <c r="AT293" s="19"/>
      <c r="AU293" s="19"/>
      <c r="AV293" s="19"/>
      <c r="AW293" s="19"/>
      <c r="AX293" s="19"/>
      <c r="AY293" s="19"/>
      <c r="AZ293" s="19"/>
      <c r="BA293" s="19"/>
      <c r="BB293" s="19"/>
      <c r="BC293" s="19"/>
    </row>
    <row r="294" spans="1:55" ht="12" customHeight="1" x14ac:dyDescent="0.25">
      <c r="A294" s="17" t="s">
        <v>2005</v>
      </c>
      <c r="B294" s="17" t="str">
        <f>_xlfn.XLOOKUP(FME_Ranking2[[#This Row],[FME ID]],FME_Input[FME_ID],FME_Input[FME_NAME])</f>
        <v>G103-38-00 (Kingwood Diversion Ditch)</v>
      </c>
      <c r="C294" s="17" t="str">
        <f>_xlfn.XLOOKUP(FME_Ranking2[[#This Row],[FME ID]],FME_Input[FME_ID],FME_Input[DESCR])</f>
        <v>Study to develop a BCR required for this to become a FMP. Improvements to the Kingwood Diversion Ditch include channel modifications, flow diversion from Bens Branch, bridge replacements, as well as a new outfall to the West Fork San Jacinto River.</v>
      </c>
      <c r="D294" s="33" t="str">
        <f>_xlfn.XLOOKUP(FME_Ranking2[[#This Row],[FME ID]],FME_Input[FME_ID],FME_Input[EMER_NEED])</f>
        <v>No</v>
      </c>
      <c r="E294" s="120">
        <f>IF(FME_Ranking_Option2!$D294="Yes",100,0)</f>
        <v>0</v>
      </c>
      <c r="F294" s="34" t="str">
        <f>_xlfn.XLOOKUP(FME_Ranking2[[#This Row],[FME ID]],FME_Input[FME_ID],FME_Input[FUND])</f>
        <v>Yes</v>
      </c>
      <c r="G294" s="35">
        <f>IF(FME_Ranking_Option2!$F294="Yes",1,0)</f>
        <v>1</v>
      </c>
      <c r="H294" s="33">
        <f>_xlfn.XLOOKUP(FME_Ranking2[[#This Row],[FME ID]],FME_Input[FME_ID],FME_Input[STRUCT_100])</f>
        <v>3464</v>
      </c>
      <c r="I294" s="64" t="e">
        <f>FME_Ranking2[[#This Row],[Raw Data3]]*H$4</f>
        <v>#REF!</v>
      </c>
      <c r="J294" s="63">
        <f>((FME_Ranking_Option2!$H294)/($H$3))*100</f>
        <v>0.38494491976054296</v>
      </c>
      <c r="K294" s="36" t="e">
        <f>FME_Ranking2[[#This Row],[Norm Data3]]*H$4</f>
        <v>#REF!</v>
      </c>
      <c r="L294" s="37">
        <f>_xlfn.XLOOKUP(FME_Ranking2[[#This Row],[FME ID]],FME_Input[FME_ID],FME_Input[RES_STRUCT100])</f>
        <v>3027</v>
      </c>
      <c r="M294" s="38" t="e">
        <f>FME_Ranking2[[#This Row],[Raw Data4]]*L$4</f>
        <v>#REF!</v>
      </c>
      <c r="N294" s="28">
        <f>((FME_Ranking_Option2!$L294)/($L$3))*100</f>
        <v>0.4525455124438803</v>
      </c>
      <c r="O294" s="39" t="e">
        <f>FME_Ranking2[[#This Row],[Norm Data4]]*L$4</f>
        <v>#REF!</v>
      </c>
      <c r="P294" s="34">
        <f>_xlfn.XLOOKUP(FME_Ranking2[[#This Row],[FME ID]],FME_Input[FME_ID],FME_Input[POP100])</f>
        <v>17400</v>
      </c>
      <c r="Q294" s="35" t="e">
        <f>FME_Ranking_Option2!$P294*P$4</f>
        <v>#REF!</v>
      </c>
      <c r="R294" s="35">
        <f>FME_Ranking_Option2!$P294/($P$3)</f>
        <v>6.3861694654482543E-3</v>
      </c>
      <c r="S294" s="35" t="e">
        <f>FME_Ranking_Option2!$R294*P$4</f>
        <v>#REF!</v>
      </c>
      <c r="T294" s="37">
        <f>_xlfn.XLOOKUP(FME_Ranking2[[#This Row],[FME ID]],FME_Input[FME_ID],FME_Input[CRITFAC100])</f>
        <v>54</v>
      </c>
      <c r="U294" s="35" t="e">
        <f>FME_Ranking_Option2!$T294*T$4</f>
        <v>#REF!</v>
      </c>
      <c r="V294" s="35">
        <f>FME_Ranking_Option2!$T294/($T$3)</f>
        <v>7.6152869835002116E-3</v>
      </c>
      <c r="W294" s="35" t="e">
        <f>FME_Ranking_Option2!$V294*T$4</f>
        <v>#REF!</v>
      </c>
      <c r="X294" s="37">
        <f>_xlfn.XLOOKUP(FME_Ranking2[[#This Row],[FME ID]],FME_Input[FME_ID],FME_Input[LWC])</f>
        <v>2</v>
      </c>
      <c r="Y294" s="35" t="e">
        <f>FME_Ranking_Option2!$X294*X$4</f>
        <v>#REF!</v>
      </c>
      <c r="Z294" s="35">
        <f>FME_Ranking_Option2!$X294/($X$3)</f>
        <v>1.8244845831052726E-4</v>
      </c>
      <c r="AA294" s="35" t="e">
        <f>FME_Ranking_Option2!$Z294*X$4</f>
        <v>#REF!</v>
      </c>
      <c r="AB294" s="37">
        <f>_xlfn.XLOOKUP(FME_Ranking2[[#This Row],[FME ID]],FME_Input[FME_ID],FME_Input[ROADCLS])</f>
        <v>2</v>
      </c>
      <c r="AC294" s="35" t="e">
        <f>FME_Ranking_Option2!$AB294*AB$4</f>
        <v>#REF!</v>
      </c>
      <c r="AD294" s="40">
        <f>_xlfn.XLOOKUP(FME_Ranking2[[#This Row],[FME ID]],FME_Input[FME_ID],FME_Input[ROAD_MILES100])</f>
        <v>60.609878540039063</v>
      </c>
      <c r="AE294" s="41" t="e">
        <f>FME_Ranking_Option2!$AD294*AD$4</f>
        <v>#REF!</v>
      </c>
      <c r="AF294" s="42">
        <f>FME_Ranking_Option2!$AD294/($AD$3)</f>
        <v>1.3690124736019955E-3</v>
      </c>
      <c r="AG294" s="42" t="e">
        <f>FME_Ranking_Option2!$AF294*AD$4</f>
        <v>#REF!</v>
      </c>
      <c r="AH294" s="40">
        <f>_xlfn.XLOOKUP(FME_Ranking2[[#This Row],[FME ID]],FME_Input[FME_ID],FME_Input[FARMACRE100])</f>
        <v>9.4893770217895508</v>
      </c>
      <c r="AI294" s="43" t="e">
        <f>FME_Ranking_Option2!$AH294*AH$4</f>
        <v>#REF!</v>
      </c>
      <c r="AJ294" s="41">
        <f>FME_Ranking_Option2!$AH294/($AH$3)</f>
        <v>5.510095937584661E-4</v>
      </c>
      <c r="AK294" s="44" t="e">
        <f>FME_Ranking_Option2!$AJ294*AH$4</f>
        <v>#REF!</v>
      </c>
      <c r="AL294"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94" s="45" t="e">
        <f>_xlfn.RANK.EQ(AL294,$AL$7:$AL$531)+COUNTIF(AL$7:AL294,AL294)-1</f>
        <v>#REF!</v>
      </c>
      <c r="AN294" s="44"/>
      <c r="AO294" s="45" t="e">
        <f>_xlfn.RANK.EQ(AN294,$AN$7:$AN$531)+COUNTIF(AN$7:AN294,AN294)-1</f>
        <v>#N/A</v>
      </c>
      <c r="AP29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94" s="32" t="e">
        <f>FME_Ranking2[[#This Row],[Score Based on Reported Factors]]-FME_Ranking2[[#This Row],[Check]]</f>
        <v>#REF!</v>
      </c>
      <c r="AR294" s="32"/>
    </row>
    <row r="295" spans="1:55" ht="12" customHeight="1" x14ac:dyDescent="0.25">
      <c r="A295" s="16" t="s">
        <v>2012</v>
      </c>
      <c r="B295" s="16" t="str">
        <f>_xlfn.XLOOKUP(FME_Ranking2[[#This Row],[FME ID]],FME_Input[FME_ID],FME_Input[FME_NAME])</f>
        <v>G103-80-03.1B (Taylor Gully)</v>
      </c>
      <c r="C295" s="16" t="str">
        <f>_xlfn.XLOOKUP(FME_Ranking2[[#This Row],[FME ID]],FME_Input[FME_ID],FME_Input[DESCR])</f>
        <v>Study to develop a BCR required for this project to become a FMP. Improvements to Taylor Gully include two miles of channel conveyance improvements to the upper limits of Taylor Gully and a concrete low flow structure.</v>
      </c>
      <c r="D295" s="46" t="str">
        <f>_xlfn.XLOOKUP(FME_Ranking2[[#This Row],[FME ID]],FME_Input[FME_ID],FME_Input[EMER_NEED])</f>
        <v>No</v>
      </c>
      <c r="E295" s="121">
        <f>IF(FME_Ranking_Option2!$D295="Yes",100,0)</f>
        <v>0</v>
      </c>
      <c r="F295" s="47" t="str">
        <f>_xlfn.XLOOKUP(FME_Ranking2[[#This Row],[FME ID]],FME_Input[FME_ID],FME_Input[FUND])</f>
        <v>Yes</v>
      </c>
      <c r="G295" s="48">
        <f>IF(FME_Ranking_Option2!$F295="Yes",1,0)</f>
        <v>1</v>
      </c>
      <c r="H295" s="46">
        <f>_xlfn.XLOOKUP(FME_Ranking2[[#This Row],[FME ID]],FME_Input[FME_ID],FME_Input[STRUCT_100])</f>
        <v>3223</v>
      </c>
      <c r="I295" s="65" t="e">
        <f>FME_Ranking2[[#This Row],[Raw Data3]]*H$4</f>
        <v>#REF!</v>
      </c>
      <c r="J295" s="62">
        <f>((FME_Ranking_Option2!$H295)/($H$3))*100</f>
        <v>0.35816324376103631</v>
      </c>
      <c r="K295" s="49" t="e">
        <f>FME_Ranking2[[#This Row],[Norm Data3]]*H$4</f>
        <v>#REF!</v>
      </c>
      <c r="L295" s="50">
        <f>_xlfn.XLOOKUP(FME_Ranking2[[#This Row],[FME ID]],FME_Input[FME_ID],FME_Input[RES_STRUCT100])</f>
        <v>2962</v>
      </c>
      <c r="M295" s="51" t="e">
        <f>FME_Ranking2[[#This Row],[Raw Data4]]*L$4</f>
        <v>#REF!</v>
      </c>
      <c r="N295" s="29">
        <f>((FME_Ranking_Option2!$L295)/($L$3))*100</f>
        <v>0.44282781891601369</v>
      </c>
      <c r="O295" s="52" t="e">
        <f>FME_Ranking2[[#This Row],[Norm Data4]]*L$4</f>
        <v>#REF!</v>
      </c>
      <c r="P295" s="47">
        <f>_xlfn.XLOOKUP(FME_Ranking2[[#This Row],[FME ID]],FME_Input[FME_ID],FME_Input[POP100])</f>
        <v>16230</v>
      </c>
      <c r="Q295" s="48" t="e">
        <f>FME_Ranking_Option2!$P295*P$4</f>
        <v>#REF!</v>
      </c>
      <c r="R295" s="48">
        <f>FME_Ranking_Option2!$P295/($P$3)</f>
        <v>5.9567546220819058E-3</v>
      </c>
      <c r="S295" s="48" t="e">
        <f>FME_Ranking_Option2!$R295*P$4</f>
        <v>#REF!</v>
      </c>
      <c r="T295" s="50">
        <f>_xlfn.XLOOKUP(FME_Ranking2[[#This Row],[FME ID]],FME_Input[FME_ID],FME_Input[CRITFAC100])</f>
        <v>47</v>
      </c>
      <c r="U295" s="48" t="e">
        <f>FME_Ranking_Option2!$T295*T$4</f>
        <v>#REF!</v>
      </c>
      <c r="V295" s="48">
        <f>FME_Ranking_Option2!$T295/($T$3)</f>
        <v>6.6281201523057396E-3</v>
      </c>
      <c r="W295" s="48" t="e">
        <f>FME_Ranking_Option2!$V295*T$4</f>
        <v>#REF!</v>
      </c>
      <c r="X295" s="50">
        <f>_xlfn.XLOOKUP(FME_Ranking2[[#This Row],[FME ID]],FME_Input[FME_ID],FME_Input[LWC])</f>
        <v>2</v>
      </c>
      <c r="Y295" s="48" t="e">
        <f>FME_Ranking_Option2!$X295*X$4</f>
        <v>#REF!</v>
      </c>
      <c r="Z295" s="48">
        <f>FME_Ranking_Option2!$X295/($X$3)</f>
        <v>1.8244845831052726E-4</v>
      </c>
      <c r="AA295" s="48" t="e">
        <f>FME_Ranking_Option2!$Z295*X$4</f>
        <v>#REF!</v>
      </c>
      <c r="AB295" s="50">
        <f>_xlfn.XLOOKUP(FME_Ranking2[[#This Row],[FME ID]],FME_Input[FME_ID],FME_Input[ROADCLS])</f>
        <v>2</v>
      </c>
      <c r="AC295" s="48" t="e">
        <f>FME_Ranking_Option2!$AB295*AB$4</f>
        <v>#REF!</v>
      </c>
      <c r="AD295" s="53">
        <f>_xlfn.XLOOKUP(FME_Ranking2[[#This Row],[FME ID]],FME_Input[FME_ID],FME_Input[ROAD_MILES100])</f>
        <v>57.873943328857422</v>
      </c>
      <c r="AE295" s="54" t="e">
        <f>FME_Ranking_Option2!$AD295*AD$4</f>
        <v>#REF!</v>
      </c>
      <c r="AF295" s="55">
        <f>FME_Ranking_Option2!$AD295/($AD$3)</f>
        <v>1.3072151309691396E-3</v>
      </c>
      <c r="AG295" s="55" t="e">
        <f>FME_Ranking_Option2!$AF295*AD$4</f>
        <v>#REF!</v>
      </c>
      <c r="AH295" s="53">
        <f>_xlfn.XLOOKUP(FME_Ranking2[[#This Row],[FME ID]],FME_Input[FME_ID],FME_Input[FARMACRE100])</f>
        <v>8.8642988204956055</v>
      </c>
      <c r="AI295" s="54" t="e">
        <f>FME_Ranking_Option2!$AH295*AH$4</f>
        <v>#REF!</v>
      </c>
      <c r="AJ295" s="56">
        <f>FME_Ranking_Option2!$AH295/($AH$3)</f>
        <v>5.1471384062616024E-4</v>
      </c>
      <c r="AK295" s="57" t="e">
        <f>FME_Ranking_Option2!$AJ295*AH$4</f>
        <v>#REF!</v>
      </c>
      <c r="AL295"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95" s="58" t="e">
        <f>_xlfn.RANK.EQ(AL295,$AL$7:$AL$531)+COUNTIF(AL$7:AL295,AL295)-1</f>
        <v>#REF!</v>
      </c>
      <c r="AN295" s="57"/>
      <c r="AO295" s="58" t="e">
        <f>_xlfn.RANK.EQ(AN295,$AN$7:$AN$531)+COUNTIF(AN$7:AN295,AN295)-1</f>
        <v>#N/A</v>
      </c>
      <c r="AP29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95" s="32" t="e">
        <f>FME_Ranking2[[#This Row],[Score Based on Reported Factors]]-FME_Ranking2[[#This Row],[Check]]</f>
        <v>#REF!</v>
      </c>
      <c r="AR295" s="32"/>
      <c r="AT295" s="19"/>
      <c r="AU295" s="19"/>
      <c r="AV295" s="19"/>
      <c r="AW295" s="19"/>
      <c r="AX295" s="19"/>
      <c r="AY295" s="19"/>
      <c r="AZ295" s="19"/>
      <c r="BA295" s="19"/>
      <c r="BB295" s="19"/>
      <c r="BC295" s="19"/>
    </row>
    <row r="296" spans="1:55" ht="12" customHeight="1" x14ac:dyDescent="0.25">
      <c r="A296" s="17" t="s">
        <v>2015</v>
      </c>
      <c r="B296" s="17" t="str">
        <f>_xlfn.XLOOKUP(FME_Ranking2[[#This Row],[FME ID]],FME_Input[FME_ID],FME_Input[FME_NAME])</f>
        <v>Goose Creek O119-00-00-P001 (Alt 2A1)</v>
      </c>
      <c r="C296" s="17" t="str">
        <f>_xlfn.XLOOKUP(FME_Ranking2[[#This Row],[FME ID]],FME_Input[FME_ID],FME_Input[DESCR])</f>
        <v>Study to develop a Benefit Cost Analysis needed for this project to become a FMP. Construction of channel modifications and in-line stormwater detention along O119 to facilitate Harris County drainage improvements in Highland Mobile Estates.</v>
      </c>
      <c r="D296" s="33" t="str">
        <f>_xlfn.XLOOKUP(FME_Ranking2[[#This Row],[FME ID]],FME_Input[FME_ID],FME_Input[EMER_NEED])</f>
        <v>No</v>
      </c>
      <c r="E296" s="120">
        <f>IF(FME_Ranking_Option2!$D296="Yes",100,0)</f>
        <v>0</v>
      </c>
      <c r="F296" s="34" t="str">
        <f>_xlfn.XLOOKUP(FME_Ranking2[[#This Row],[FME ID]],FME_Input[FME_ID],FME_Input[FUND])</f>
        <v>Yes</v>
      </c>
      <c r="G296" s="35">
        <f>IF(FME_Ranking_Option2!$F296="Yes",1,0)</f>
        <v>1</v>
      </c>
      <c r="H296" s="33">
        <f>_xlfn.XLOOKUP(FME_Ranking2[[#This Row],[FME ID]],FME_Input[FME_ID],FME_Input[STRUCT_100])</f>
        <v>0</v>
      </c>
      <c r="I296" s="64" t="e">
        <f>FME_Ranking2[[#This Row],[Raw Data3]]*H$4</f>
        <v>#REF!</v>
      </c>
      <c r="J296" s="63">
        <f>((FME_Ranking_Option2!$H296)/($H$3))*100</f>
        <v>0</v>
      </c>
      <c r="K296" s="36" t="e">
        <f>FME_Ranking2[[#This Row],[Norm Data3]]*H$4</f>
        <v>#REF!</v>
      </c>
      <c r="L296" s="37">
        <f>_xlfn.XLOOKUP(FME_Ranking2[[#This Row],[FME ID]],FME_Input[FME_ID],FME_Input[RES_STRUCT100])</f>
        <v>0</v>
      </c>
      <c r="M296" s="38" t="e">
        <f>FME_Ranking2[[#This Row],[Raw Data4]]*L$4</f>
        <v>#REF!</v>
      </c>
      <c r="N296" s="28">
        <f>((FME_Ranking_Option2!$L296)/($L$3))*100</f>
        <v>0</v>
      </c>
      <c r="O296" s="39" t="e">
        <f>FME_Ranking2[[#This Row],[Norm Data4]]*L$4</f>
        <v>#REF!</v>
      </c>
      <c r="P296" s="34">
        <f>_xlfn.XLOOKUP(FME_Ranking2[[#This Row],[FME ID]],FME_Input[FME_ID],FME_Input[POP100])</f>
        <v>0</v>
      </c>
      <c r="Q296" s="35" t="e">
        <f>FME_Ranking_Option2!$P296*P$4</f>
        <v>#REF!</v>
      </c>
      <c r="R296" s="35">
        <f>FME_Ranking_Option2!$P296/($P$3)</f>
        <v>0</v>
      </c>
      <c r="S296" s="35" t="e">
        <f>FME_Ranking_Option2!$R296*P$4</f>
        <v>#REF!</v>
      </c>
      <c r="T296" s="37">
        <f>_xlfn.XLOOKUP(FME_Ranking2[[#This Row],[FME ID]],FME_Input[FME_ID],FME_Input[CRITFAC100])</f>
        <v>0</v>
      </c>
      <c r="U296" s="35" t="e">
        <f>FME_Ranking_Option2!$T296*T$4</f>
        <v>#REF!</v>
      </c>
      <c r="V296" s="35">
        <f>FME_Ranking_Option2!$T296/($T$3)</f>
        <v>0</v>
      </c>
      <c r="W296" s="35" t="e">
        <f>FME_Ranking_Option2!$V296*T$4</f>
        <v>#REF!</v>
      </c>
      <c r="X296" s="37">
        <f>_xlfn.XLOOKUP(FME_Ranking2[[#This Row],[FME ID]],FME_Input[FME_ID],FME_Input[LWC])</f>
        <v>0</v>
      </c>
      <c r="Y296" s="35" t="e">
        <f>FME_Ranking_Option2!$X296*X$4</f>
        <v>#REF!</v>
      </c>
      <c r="Z296" s="35">
        <f>FME_Ranking_Option2!$X296/($X$3)</f>
        <v>0</v>
      </c>
      <c r="AA296" s="35" t="e">
        <f>FME_Ranking_Option2!$Z296*X$4</f>
        <v>#REF!</v>
      </c>
      <c r="AB296" s="37">
        <f>_xlfn.XLOOKUP(FME_Ranking2[[#This Row],[FME ID]],FME_Input[FME_ID],FME_Input[ROADCLS])</f>
        <v>0</v>
      </c>
      <c r="AC296" s="35" t="e">
        <f>FME_Ranking_Option2!$AB296*AB$4</f>
        <v>#REF!</v>
      </c>
      <c r="AD296" s="40">
        <f>_xlfn.XLOOKUP(FME_Ranking2[[#This Row],[FME ID]],FME_Input[FME_ID],FME_Input[ROAD_MILES100])</f>
        <v>0</v>
      </c>
      <c r="AE296" s="41" t="e">
        <f>FME_Ranking_Option2!$AD296*AD$4</f>
        <v>#REF!</v>
      </c>
      <c r="AF296" s="42">
        <f>FME_Ranking_Option2!$AD296/($AD$3)</f>
        <v>0</v>
      </c>
      <c r="AG296" s="42" t="e">
        <f>FME_Ranking_Option2!$AF296*AD$4</f>
        <v>#REF!</v>
      </c>
      <c r="AH296" s="40">
        <f>_xlfn.XLOOKUP(FME_Ranking2[[#This Row],[FME ID]],FME_Input[FME_ID],FME_Input[FARMACRE100])</f>
        <v>0</v>
      </c>
      <c r="AI296" s="43" t="e">
        <f>FME_Ranking_Option2!$AH296*AH$4</f>
        <v>#REF!</v>
      </c>
      <c r="AJ296" s="41">
        <f>FME_Ranking_Option2!$AH296/($AH$3)</f>
        <v>0</v>
      </c>
      <c r="AK296" s="44" t="e">
        <f>FME_Ranking_Option2!$AJ296*AH$4</f>
        <v>#REF!</v>
      </c>
      <c r="AL296"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96" s="45" t="e">
        <f>_xlfn.RANK.EQ(AL296,$AL$7:$AL$531)+COUNTIF(AL$7:AL296,AL296)-1</f>
        <v>#REF!</v>
      </c>
      <c r="AN296" s="44"/>
      <c r="AO296" s="45" t="e">
        <f>_xlfn.RANK.EQ(AN296,$AN$7:$AN$531)+COUNTIF(AN$7:AN296,AN296)-1</f>
        <v>#N/A</v>
      </c>
      <c r="AP29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96" s="32" t="e">
        <f>FME_Ranking2[[#This Row],[Score Based on Reported Factors]]-FME_Ranking2[[#This Row],[Check]]</f>
        <v>#REF!</v>
      </c>
      <c r="AR296" s="32"/>
    </row>
    <row r="297" spans="1:55" ht="12" customHeight="1" x14ac:dyDescent="0.25">
      <c r="A297" s="16" t="s">
        <v>2021</v>
      </c>
      <c r="B297" s="16" t="str">
        <f>_xlfn.XLOOKUP(FME_Ranking2[[#This Row],[FME ID]],FME_Input[FME_ID],FME_Input[FME_NAME])</f>
        <v>Goose Creek O119-00-00-P001 (Alt 2A3)</v>
      </c>
      <c r="C297" s="16" t="str">
        <f>_xlfn.XLOOKUP(FME_Ranking2[[#This Row],[FME ID]],FME_Input[FME_ID],FME_Input[DESCR])</f>
        <v>Study to develop a Benefit Cost Analysis needed for this project to become a FMP. Secondary option for the recommended alternative with less benefits and project cost.</v>
      </c>
      <c r="D297" s="46" t="str">
        <f>_xlfn.XLOOKUP(FME_Ranking2[[#This Row],[FME ID]],FME_Input[FME_ID],FME_Input[EMER_NEED])</f>
        <v>No</v>
      </c>
      <c r="E297" s="121">
        <f>IF(FME_Ranking_Option2!$D297="Yes",100,0)</f>
        <v>0</v>
      </c>
      <c r="F297" s="47" t="str">
        <f>_xlfn.XLOOKUP(FME_Ranking2[[#This Row],[FME ID]],FME_Input[FME_ID],FME_Input[FUND])</f>
        <v>Yes</v>
      </c>
      <c r="G297" s="48">
        <f>IF(FME_Ranking_Option2!$F297="Yes",1,0)</f>
        <v>1</v>
      </c>
      <c r="H297" s="46">
        <f>_xlfn.XLOOKUP(FME_Ranking2[[#This Row],[FME ID]],FME_Input[FME_ID],FME_Input[STRUCT_100])</f>
        <v>0</v>
      </c>
      <c r="I297" s="65" t="e">
        <f>FME_Ranking2[[#This Row],[Raw Data3]]*H$4</f>
        <v>#REF!</v>
      </c>
      <c r="J297" s="62">
        <f>((FME_Ranking_Option2!$H297)/($H$3))*100</f>
        <v>0</v>
      </c>
      <c r="K297" s="49" t="e">
        <f>FME_Ranking2[[#This Row],[Norm Data3]]*H$4</f>
        <v>#REF!</v>
      </c>
      <c r="L297" s="50">
        <f>_xlfn.XLOOKUP(FME_Ranking2[[#This Row],[FME ID]],FME_Input[FME_ID],FME_Input[RES_STRUCT100])</f>
        <v>0</v>
      </c>
      <c r="M297" s="51" t="e">
        <f>FME_Ranking2[[#This Row],[Raw Data4]]*L$4</f>
        <v>#REF!</v>
      </c>
      <c r="N297" s="29">
        <f>((FME_Ranking_Option2!$L297)/($L$3))*100</f>
        <v>0</v>
      </c>
      <c r="O297" s="52" t="e">
        <f>FME_Ranking2[[#This Row],[Norm Data4]]*L$4</f>
        <v>#REF!</v>
      </c>
      <c r="P297" s="47">
        <f>_xlfn.XLOOKUP(FME_Ranking2[[#This Row],[FME ID]],FME_Input[FME_ID],FME_Input[POP100])</f>
        <v>0</v>
      </c>
      <c r="Q297" s="48" t="e">
        <f>FME_Ranking_Option2!$P297*P$4</f>
        <v>#REF!</v>
      </c>
      <c r="R297" s="48">
        <f>FME_Ranking_Option2!$P297/($P$3)</f>
        <v>0</v>
      </c>
      <c r="S297" s="48" t="e">
        <f>FME_Ranking_Option2!$R297*P$4</f>
        <v>#REF!</v>
      </c>
      <c r="T297" s="50">
        <f>_xlfn.XLOOKUP(FME_Ranking2[[#This Row],[FME ID]],FME_Input[FME_ID],FME_Input[CRITFAC100])</f>
        <v>0</v>
      </c>
      <c r="U297" s="48" t="e">
        <f>FME_Ranking_Option2!$T297*T$4</f>
        <v>#REF!</v>
      </c>
      <c r="V297" s="48">
        <f>FME_Ranking_Option2!$T297/($T$3)</f>
        <v>0</v>
      </c>
      <c r="W297" s="48" t="e">
        <f>FME_Ranking_Option2!$V297*T$4</f>
        <v>#REF!</v>
      </c>
      <c r="X297" s="50">
        <f>_xlfn.XLOOKUP(FME_Ranking2[[#This Row],[FME ID]],FME_Input[FME_ID],FME_Input[LWC])</f>
        <v>0</v>
      </c>
      <c r="Y297" s="48" t="e">
        <f>FME_Ranking_Option2!$X297*X$4</f>
        <v>#REF!</v>
      </c>
      <c r="Z297" s="48">
        <f>FME_Ranking_Option2!$X297/($X$3)</f>
        <v>0</v>
      </c>
      <c r="AA297" s="48" t="e">
        <f>FME_Ranking_Option2!$Z297*X$4</f>
        <v>#REF!</v>
      </c>
      <c r="AB297" s="50">
        <f>_xlfn.XLOOKUP(FME_Ranking2[[#This Row],[FME ID]],FME_Input[FME_ID],FME_Input[ROADCLS])</f>
        <v>0</v>
      </c>
      <c r="AC297" s="48" t="e">
        <f>FME_Ranking_Option2!$AB297*AB$4</f>
        <v>#REF!</v>
      </c>
      <c r="AD297" s="53">
        <f>_xlfn.XLOOKUP(FME_Ranking2[[#This Row],[FME ID]],FME_Input[FME_ID],FME_Input[ROAD_MILES100])</f>
        <v>0</v>
      </c>
      <c r="AE297" s="54" t="e">
        <f>FME_Ranking_Option2!$AD297*AD$4</f>
        <v>#REF!</v>
      </c>
      <c r="AF297" s="55">
        <f>FME_Ranking_Option2!$AD297/($AD$3)</f>
        <v>0</v>
      </c>
      <c r="AG297" s="55" t="e">
        <f>FME_Ranking_Option2!$AF297*AD$4</f>
        <v>#REF!</v>
      </c>
      <c r="AH297" s="53">
        <f>_xlfn.XLOOKUP(FME_Ranking2[[#This Row],[FME ID]],FME_Input[FME_ID],FME_Input[FARMACRE100])</f>
        <v>0</v>
      </c>
      <c r="AI297" s="54" t="e">
        <f>FME_Ranking_Option2!$AH297*AH$4</f>
        <v>#REF!</v>
      </c>
      <c r="AJ297" s="56">
        <f>FME_Ranking_Option2!$AH297/($AH$3)</f>
        <v>0</v>
      </c>
      <c r="AK297" s="57" t="e">
        <f>FME_Ranking_Option2!$AJ297*AH$4</f>
        <v>#REF!</v>
      </c>
      <c r="AL297"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97" s="58" t="e">
        <f>_xlfn.RANK.EQ(AL297,$AL$7:$AL$531)+COUNTIF(AL$7:AL297,AL297)-1</f>
        <v>#REF!</v>
      </c>
      <c r="AN297" s="57"/>
      <c r="AO297" s="58" t="e">
        <f>_xlfn.RANK.EQ(AN297,$AN$7:$AN$531)+COUNTIF(AN$7:AN297,AN297)-1</f>
        <v>#N/A</v>
      </c>
      <c r="AP29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97" s="32" t="e">
        <f>FME_Ranking2[[#This Row],[Score Based on Reported Factors]]-FME_Ranking2[[#This Row],[Check]]</f>
        <v>#REF!</v>
      </c>
      <c r="AR297" s="32"/>
      <c r="AT297" s="19"/>
      <c r="AU297" s="19"/>
      <c r="AV297" s="19"/>
      <c r="AW297" s="19"/>
      <c r="AX297" s="19"/>
      <c r="AY297" s="19"/>
      <c r="AZ297" s="19"/>
      <c r="BA297" s="19"/>
      <c r="BB297" s="19"/>
      <c r="BC297" s="19"/>
    </row>
    <row r="298" spans="1:55" ht="12" customHeight="1" x14ac:dyDescent="0.25">
      <c r="A298" s="17" t="s">
        <v>2024</v>
      </c>
      <c r="B298" s="17" t="str">
        <f>_xlfn.XLOOKUP(FME_Ranking2[[#This Row],[FME ID]],FME_Input[FME_ID],FME_Input[FME_NAME])</f>
        <v>Sims Bayou C116 Storm Sewer Improvement (C116-00-00-P001) From Mykawa Road to Telephone Road</v>
      </c>
      <c r="C298" s="17" t="str">
        <f>_xlfn.XLOOKUP(FME_Ranking2[[#This Row],[FME ID]],FME_Input[FME_ID],FME_Input[DESCR])</f>
        <v>Study to develop a BCR required for this project to become a FMP. To increase the system C116 capacity, Alternative 1 adds capacity to the C116 system trunkline through an additional parallel trunkline, from Dixie Drive to Sims Bayou.</v>
      </c>
      <c r="D298" s="33" t="str">
        <f>_xlfn.XLOOKUP(FME_Ranking2[[#This Row],[FME ID]],FME_Input[FME_ID],FME_Input[EMER_NEED])</f>
        <v>No</v>
      </c>
      <c r="E298" s="120">
        <f>IF(FME_Ranking_Option2!$D298="Yes",100,0)</f>
        <v>0</v>
      </c>
      <c r="F298" s="34" t="str">
        <f>_xlfn.XLOOKUP(FME_Ranking2[[#This Row],[FME ID]],FME_Input[FME_ID],FME_Input[FUND])</f>
        <v>Yes</v>
      </c>
      <c r="G298" s="35">
        <f>IF(FME_Ranking_Option2!$F298="Yes",1,0)</f>
        <v>1</v>
      </c>
      <c r="H298" s="33">
        <f>_xlfn.XLOOKUP(FME_Ranking2[[#This Row],[FME ID]],FME_Input[FME_ID],FME_Input[STRUCT_100])</f>
        <v>0</v>
      </c>
      <c r="I298" s="64" t="e">
        <f>FME_Ranking2[[#This Row],[Raw Data3]]*H$4</f>
        <v>#REF!</v>
      </c>
      <c r="J298" s="63">
        <f>((FME_Ranking_Option2!$H298)/($H$3))*100</f>
        <v>0</v>
      </c>
      <c r="K298" s="36" t="e">
        <f>FME_Ranking2[[#This Row],[Norm Data3]]*H$4</f>
        <v>#REF!</v>
      </c>
      <c r="L298" s="37">
        <f>_xlfn.XLOOKUP(FME_Ranking2[[#This Row],[FME ID]],FME_Input[FME_ID],FME_Input[RES_STRUCT100])</f>
        <v>0</v>
      </c>
      <c r="M298" s="38" t="e">
        <f>FME_Ranking2[[#This Row],[Raw Data4]]*L$4</f>
        <v>#REF!</v>
      </c>
      <c r="N298" s="28">
        <f>((FME_Ranking_Option2!$L298)/($L$3))*100</f>
        <v>0</v>
      </c>
      <c r="O298" s="39" t="e">
        <f>FME_Ranking2[[#This Row],[Norm Data4]]*L$4</f>
        <v>#REF!</v>
      </c>
      <c r="P298" s="34">
        <f>_xlfn.XLOOKUP(FME_Ranking2[[#This Row],[FME ID]],FME_Input[FME_ID],FME_Input[POP100])</f>
        <v>0</v>
      </c>
      <c r="Q298" s="35" t="e">
        <f>FME_Ranking_Option2!$P298*P$4</f>
        <v>#REF!</v>
      </c>
      <c r="R298" s="35">
        <f>FME_Ranking_Option2!$P298/($P$3)</f>
        <v>0</v>
      </c>
      <c r="S298" s="35" t="e">
        <f>FME_Ranking_Option2!$R298*P$4</f>
        <v>#REF!</v>
      </c>
      <c r="T298" s="37">
        <f>_xlfn.XLOOKUP(FME_Ranking2[[#This Row],[FME ID]],FME_Input[FME_ID],FME_Input[CRITFAC100])</f>
        <v>0</v>
      </c>
      <c r="U298" s="35" t="e">
        <f>FME_Ranking_Option2!$T298*T$4</f>
        <v>#REF!</v>
      </c>
      <c r="V298" s="35">
        <f>FME_Ranking_Option2!$T298/($T$3)</f>
        <v>0</v>
      </c>
      <c r="W298" s="35" t="e">
        <f>FME_Ranking_Option2!$V298*T$4</f>
        <v>#REF!</v>
      </c>
      <c r="X298" s="37">
        <f>_xlfn.XLOOKUP(FME_Ranking2[[#This Row],[FME ID]],FME_Input[FME_ID],FME_Input[LWC])</f>
        <v>0</v>
      </c>
      <c r="Y298" s="35" t="e">
        <f>FME_Ranking_Option2!$X298*X$4</f>
        <v>#REF!</v>
      </c>
      <c r="Z298" s="35">
        <f>FME_Ranking_Option2!$X298/($X$3)</f>
        <v>0</v>
      </c>
      <c r="AA298" s="35" t="e">
        <f>FME_Ranking_Option2!$Z298*X$4</f>
        <v>#REF!</v>
      </c>
      <c r="AB298" s="37">
        <f>_xlfn.XLOOKUP(FME_Ranking2[[#This Row],[FME ID]],FME_Input[FME_ID],FME_Input[ROADCLS])</f>
        <v>0</v>
      </c>
      <c r="AC298" s="35" t="e">
        <f>FME_Ranking_Option2!$AB298*AB$4</f>
        <v>#REF!</v>
      </c>
      <c r="AD298" s="40">
        <f>_xlfn.XLOOKUP(FME_Ranking2[[#This Row],[FME ID]],FME_Input[FME_ID],FME_Input[ROAD_MILES100])</f>
        <v>0</v>
      </c>
      <c r="AE298" s="41" t="e">
        <f>FME_Ranking_Option2!$AD298*AD$4</f>
        <v>#REF!</v>
      </c>
      <c r="AF298" s="42">
        <f>FME_Ranking_Option2!$AD298/($AD$3)</f>
        <v>0</v>
      </c>
      <c r="AG298" s="42" t="e">
        <f>FME_Ranking_Option2!$AF298*AD$4</f>
        <v>#REF!</v>
      </c>
      <c r="AH298" s="40">
        <f>_xlfn.XLOOKUP(FME_Ranking2[[#This Row],[FME ID]],FME_Input[FME_ID],FME_Input[FARMACRE100])</f>
        <v>0</v>
      </c>
      <c r="AI298" s="43" t="e">
        <f>FME_Ranking_Option2!$AH298*AH$4</f>
        <v>#REF!</v>
      </c>
      <c r="AJ298" s="41">
        <f>FME_Ranking_Option2!$AH298/($AH$3)</f>
        <v>0</v>
      </c>
      <c r="AK298" s="44" t="e">
        <f>FME_Ranking_Option2!$AJ298*AH$4</f>
        <v>#REF!</v>
      </c>
      <c r="AL29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298" s="45" t="e">
        <f>_xlfn.RANK.EQ(AL298,$AL$7:$AL$531)+COUNTIF(AL$7:AL298,AL298)-1</f>
        <v>#REF!</v>
      </c>
      <c r="AN298" s="44"/>
      <c r="AO298" s="45" t="e">
        <f>_xlfn.RANK.EQ(AN298,$AN$7:$AN$531)+COUNTIF(AN$7:AN298,AN298)-1</f>
        <v>#N/A</v>
      </c>
      <c r="AP29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298" s="32" t="e">
        <f>FME_Ranking2[[#This Row],[Score Based on Reported Factors]]-FME_Ranking2[[#This Row],[Check]]</f>
        <v>#REF!</v>
      </c>
      <c r="AR298" s="32"/>
    </row>
    <row r="299" spans="1:55" ht="12" customHeight="1" x14ac:dyDescent="0.25">
      <c r="A299" s="16" t="s">
        <v>2215</v>
      </c>
      <c r="B299" s="16" t="e">
        <f>_xlfn.XLOOKUP(FME_Ranking2[[#This Row],[FME ID]],FME_Input[FME_ID],FME_Input[FME_NAME])</f>
        <v>#N/A</v>
      </c>
      <c r="C299" s="16" t="e">
        <f>_xlfn.XLOOKUP(FME_Ranking2[[#This Row],[FME ID]],FME_Input[FME_ID],FME_Input[DESCR])</f>
        <v>#N/A</v>
      </c>
      <c r="D299" s="46" t="e">
        <f>_xlfn.XLOOKUP(FME_Ranking2[[#This Row],[FME ID]],FME_Input[FME_ID],FME_Input[EMER_NEED])</f>
        <v>#N/A</v>
      </c>
      <c r="E299" s="121" t="e">
        <f>IF(FME_Ranking_Option2!$D299="Yes",100,0)</f>
        <v>#N/A</v>
      </c>
      <c r="F299" s="47" t="e">
        <f>_xlfn.XLOOKUP(FME_Ranking2[[#This Row],[FME ID]],FME_Input[FME_ID],FME_Input[FUND])</f>
        <v>#N/A</v>
      </c>
      <c r="G299" s="48" t="e">
        <f>IF(FME_Ranking_Option2!$F299="Yes",1,0)</f>
        <v>#N/A</v>
      </c>
      <c r="H299" s="46" t="e">
        <f>_xlfn.XLOOKUP(FME_Ranking2[[#This Row],[FME ID]],FME_Input[FME_ID],FME_Input[STRUCT_100])</f>
        <v>#N/A</v>
      </c>
      <c r="I299" s="65" t="e">
        <f>FME_Ranking2[[#This Row],[Raw Data3]]*H$4</f>
        <v>#N/A</v>
      </c>
      <c r="J299" s="62" t="e">
        <f>((FME_Ranking_Option2!$H299)/($H$3))*100</f>
        <v>#N/A</v>
      </c>
      <c r="K299" s="49" t="e">
        <f>FME_Ranking2[[#This Row],[Norm Data3]]*H$4</f>
        <v>#N/A</v>
      </c>
      <c r="L299" s="50" t="e">
        <f>_xlfn.XLOOKUP(FME_Ranking2[[#This Row],[FME ID]],FME_Input[FME_ID],FME_Input[RES_STRUCT100])</f>
        <v>#N/A</v>
      </c>
      <c r="M299" s="51" t="e">
        <f>FME_Ranking2[[#This Row],[Raw Data4]]*L$4</f>
        <v>#N/A</v>
      </c>
      <c r="N299" s="29" t="e">
        <f>((FME_Ranking_Option2!$L299)/($L$3))*100</f>
        <v>#N/A</v>
      </c>
      <c r="O299" s="52" t="e">
        <f>FME_Ranking2[[#This Row],[Norm Data4]]*L$4</f>
        <v>#N/A</v>
      </c>
      <c r="P299" s="47" t="e">
        <f>_xlfn.XLOOKUP(FME_Ranking2[[#This Row],[FME ID]],FME_Input[FME_ID],FME_Input[POP100])</f>
        <v>#N/A</v>
      </c>
      <c r="Q299" s="48" t="e">
        <f>FME_Ranking_Option2!$P299*P$4</f>
        <v>#N/A</v>
      </c>
      <c r="R299" s="48" t="e">
        <f>FME_Ranking_Option2!$P299/($P$3)</f>
        <v>#N/A</v>
      </c>
      <c r="S299" s="48" t="e">
        <f>FME_Ranking_Option2!$R299*P$4</f>
        <v>#N/A</v>
      </c>
      <c r="T299" s="50" t="e">
        <f>_xlfn.XLOOKUP(FME_Ranking2[[#This Row],[FME ID]],FME_Input[FME_ID],FME_Input[CRITFAC100])</f>
        <v>#N/A</v>
      </c>
      <c r="U299" s="48" t="e">
        <f>FME_Ranking_Option2!$T299*T$4</f>
        <v>#N/A</v>
      </c>
      <c r="V299" s="48" t="e">
        <f>FME_Ranking_Option2!$T299/($T$3)</f>
        <v>#N/A</v>
      </c>
      <c r="W299" s="48" t="e">
        <f>FME_Ranking_Option2!$V299*T$4</f>
        <v>#N/A</v>
      </c>
      <c r="X299" s="50" t="e">
        <f>_xlfn.XLOOKUP(FME_Ranking2[[#This Row],[FME ID]],FME_Input[FME_ID],FME_Input[LWC])</f>
        <v>#N/A</v>
      </c>
      <c r="Y299" s="48" t="e">
        <f>FME_Ranking_Option2!$X299*X$4</f>
        <v>#N/A</v>
      </c>
      <c r="Z299" s="48" t="e">
        <f>FME_Ranking_Option2!$X299/($X$3)</f>
        <v>#N/A</v>
      </c>
      <c r="AA299" s="48" t="e">
        <f>FME_Ranking_Option2!$Z299*X$4</f>
        <v>#N/A</v>
      </c>
      <c r="AB299" s="50" t="e">
        <f>_xlfn.XLOOKUP(FME_Ranking2[[#This Row],[FME ID]],FME_Input[FME_ID],FME_Input[ROADCLS])</f>
        <v>#N/A</v>
      </c>
      <c r="AC299" s="48" t="e">
        <f>FME_Ranking_Option2!$AB299*AB$4</f>
        <v>#N/A</v>
      </c>
      <c r="AD299" s="53" t="e">
        <f>_xlfn.XLOOKUP(FME_Ranking2[[#This Row],[FME ID]],FME_Input[FME_ID],FME_Input[ROAD_MILES100])</f>
        <v>#N/A</v>
      </c>
      <c r="AE299" s="54" t="e">
        <f>FME_Ranking_Option2!$AD299*AD$4</f>
        <v>#N/A</v>
      </c>
      <c r="AF299" s="55" t="e">
        <f>FME_Ranking_Option2!$AD299/($AD$3)</f>
        <v>#N/A</v>
      </c>
      <c r="AG299" s="55" t="e">
        <f>FME_Ranking_Option2!$AF299*AD$4</f>
        <v>#N/A</v>
      </c>
      <c r="AH299" s="53" t="e">
        <f>_xlfn.XLOOKUP(FME_Ranking2[[#This Row],[FME ID]],FME_Input[FME_ID],FME_Input[FARMACRE100])</f>
        <v>#N/A</v>
      </c>
      <c r="AI299" s="54" t="e">
        <f>FME_Ranking_Option2!$AH299*AH$4</f>
        <v>#N/A</v>
      </c>
      <c r="AJ299" s="56" t="e">
        <f>FME_Ranking_Option2!$AH299/($AH$3)</f>
        <v>#N/A</v>
      </c>
      <c r="AK299" s="57" t="e">
        <f>FME_Ranking_Option2!$AJ299*AH$4</f>
        <v>#N/A</v>
      </c>
      <c r="AL29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#N/A</v>
      </c>
      <c r="AM299" s="58" t="e">
        <f>_xlfn.RANK.EQ(AL299,$AL$7:$AL$531)+COUNTIF(AL$7:AL299,AL299)-1</f>
        <v>#N/A</v>
      </c>
      <c r="AN299" s="57"/>
      <c r="AO299" s="58" t="e">
        <f>_xlfn.RANK.EQ(AN299,$AN$7:$AN$531)+COUNTIF(AN$7:AN299,AN299)-1</f>
        <v>#N/A</v>
      </c>
      <c r="AP29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#N/A</v>
      </c>
      <c r="AQ299" s="32" t="e">
        <f>FME_Ranking2[[#This Row],[Score Based on Reported Factors]]-FME_Ranking2[[#This Row],[Check]]</f>
        <v>#N/A</v>
      </c>
      <c r="AR299" s="32"/>
      <c r="AT299" s="19"/>
      <c r="AU299" s="19"/>
      <c r="AV299" s="19"/>
      <c r="AW299" s="19"/>
      <c r="AX299" s="19"/>
      <c r="AY299" s="19"/>
      <c r="AZ299" s="19"/>
      <c r="BA299" s="19"/>
      <c r="BB299" s="19"/>
      <c r="BC299" s="19"/>
    </row>
    <row r="300" spans="1:55" ht="12" customHeight="1" x14ac:dyDescent="0.25">
      <c r="A300" s="17" t="s">
        <v>2030</v>
      </c>
      <c r="B300" s="17" t="str">
        <f>_xlfn.XLOOKUP(FME_Ranking2[[#This Row],[FME ID]],FME_Input[FME_ID],FME_Input[FME_NAME])</f>
        <v>Greens Bayou - Planning, Right-of-Way Acquisition, Design and Construction of Channel Conveyance Improvements along P138-01-01</v>
      </c>
      <c r="C300" s="17" t="str">
        <f>_xlfn.XLOOKUP(FME_Ranking2[[#This Row],[FME ID]],FME_Input[FME_ID],FME_Input[DESCR])</f>
        <v>Study to develop a Benefit Cost Analysis needed for this project to become a FMP. Potential federal funded project, the risk of flooding could be reduced for approximately 100 structures in a pre-Atlas 1% rainfall event.</v>
      </c>
      <c r="D300" s="33" t="str">
        <f>_xlfn.XLOOKUP(FME_Ranking2[[#This Row],[FME ID]],FME_Input[FME_ID],FME_Input[EMER_NEED])</f>
        <v>No</v>
      </c>
      <c r="E300" s="120">
        <f>IF(FME_Ranking_Option2!$D300="Yes",100,0)</f>
        <v>0</v>
      </c>
      <c r="F300" s="34" t="str">
        <f>_xlfn.XLOOKUP(FME_Ranking2[[#This Row],[FME ID]],FME_Input[FME_ID],FME_Input[FUND])</f>
        <v>Yes</v>
      </c>
      <c r="G300" s="35">
        <f>IF(FME_Ranking_Option2!$F300="Yes",1,0)</f>
        <v>1</v>
      </c>
      <c r="H300" s="33">
        <f>_xlfn.XLOOKUP(FME_Ranking2[[#This Row],[FME ID]],FME_Input[FME_ID],FME_Input[STRUCT_100])</f>
        <v>7</v>
      </c>
      <c r="I300" s="64" t="e">
        <f>FME_Ranking2[[#This Row],[Raw Data3]]*H$4</f>
        <v>#REF!</v>
      </c>
      <c r="J300" s="63">
        <f>((FME_Ranking_Option2!$H300)/($H$3))*100</f>
        <v>7.7789100413504632E-4</v>
      </c>
      <c r="K300" s="36" t="e">
        <f>FME_Ranking2[[#This Row],[Norm Data3]]*H$4</f>
        <v>#REF!</v>
      </c>
      <c r="L300" s="37">
        <f>_xlfn.XLOOKUP(FME_Ranking2[[#This Row],[FME ID]],FME_Input[FME_ID],FME_Input[RES_STRUCT100])</f>
        <v>5</v>
      </c>
      <c r="M300" s="38" t="e">
        <f>FME_Ranking2[[#This Row],[Raw Data4]]*L$4</f>
        <v>#REF!</v>
      </c>
      <c r="N300" s="28">
        <f>((FME_Ranking_Option2!$L300)/($L$3))*100</f>
        <v>7.4751488675896976E-4</v>
      </c>
      <c r="O300" s="39" t="e">
        <f>FME_Ranking2[[#This Row],[Norm Data4]]*L$4</f>
        <v>#REF!</v>
      </c>
      <c r="P300" s="34">
        <f>_xlfn.XLOOKUP(FME_Ranking2[[#This Row],[FME ID]],FME_Input[FME_ID],FME_Input[POP100])</f>
        <v>74</v>
      </c>
      <c r="Q300" s="35" t="e">
        <f>FME_Ranking_Option2!$P300*P$4</f>
        <v>#REF!</v>
      </c>
      <c r="R300" s="35">
        <f>FME_Ranking_Option2!$P300/($P$3)</f>
        <v>2.7159571289837403E-5</v>
      </c>
      <c r="S300" s="35" t="e">
        <f>FME_Ranking_Option2!$R300*P$4</f>
        <v>#REF!</v>
      </c>
      <c r="T300" s="37">
        <f>_xlfn.XLOOKUP(FME_Ranking2[[#This Row],[FME ID]],FME_Input[FME_ID],FME_Input[CRITFAC100])</f>
        <v>0</v>
      </c>
      <c r="U300" s="35" t="e">
        <f>FME_Ranking_Option2!$T300*T$4</f>
        <v>#REF!</v>
      </c>
      <c r="V300" s="35">
        <f>FME_Ranking_Option2!$T300/($T$3)</f>
        <v>0</v>
      </c>
      <c r="W300" s="35" t="e">
        <f>FME_Ranking_Option2!$V300*T$4</f>
        <v>#REF!</v>
      </c>
      <c r="X300" s="37">
        <f>_xlfn.XLOOKUP(FME_Ranking2[[#This Row],[FME ID]],FME_Input[FME_ID],FME_Input[LWC])</f>
        <v>0</v>
      </c>
      <c r="Y300" s="35" t="e">
        <f>FME_Ranking_Option2!$X300*X$4</f>
        <v>#REF!</v>
      </c>
      <c r="Z300" s="35">
        <f>FME_Ranking_Option2!$X300/($X$3)</f>
        <v>0</v>
      </c>
      <c r="AA300" s="35" t="e">
        <f>FME_Ranking_Option2!$Z300*X$4</f>
        <v>#REF!</v>
      </c>
      <c r="AB300" s="37">
        <f>_xlfn.XLOOKUP(FME_Ranking2[[#This Row],[FME ID]],FME_Input[FME_ID],FME_Input[ROADCLS])</f>
        <v>0</v>
      </c>
      <c r="AC300" s="35" t="e">
        <f>FME_Ranking_Option2!$AB300*AB$4</f>
        <v>#REF!</v>
      </c>
      <c r="AD300" s="40">
        <f>_xlfn.XLOOKUP(FME_Ranking2[[#This Row],[FME ID]],FME_Input[FME_ID],FME_Input[ROAD_MILES100])</f>
        <v>2.0733300596475601E-2</v>
      </c>
      <c r="AE300" s="41" t="e">
        <f>FME_Ranking_Option2!$AD300*AD$4</f>
        <v>#REF!</v>
      </c>
      <c r="AF300" s="42">
        <f>FME_Ranking_Option2!$AD300/($AD$3)</f>
        <v>4.6830892618872583E-7</v>
      </c>
      <c r="AG300" s="42" t="e">
        <f>FME_Ranking_Option2!$AF300*AD$4</f>
        <v>#REF!</v>
      </c>
      <c r="AH300" s="40">
        <f>_xlfn.XLOOKUP(FME_Ranking2[[#This Row],[FME ID]],FME_Input[FME_ID],FME_Input[FARMACRE100])</f>
        <v>0</v>
      </c>
      <c r="AI300" s="43" t="e">
        <f>FME_Ranking_Option2!$AH300*AH$4</f>
        <v>#REF!</v>
      </c>
      <c r="AJ300" s="41">
        <f>FME_Ranking_Option2!$AH300/($AH$3)</f>
        <v>0</v>
      </c>
      <c r="AK300" s="44" t="e">
        <f>FME_Ranking_Option2!$AJ300*AH$4</f>
        <v>#REF!</v>
      </c>
      <c r="AL30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00" s="45" t="e">
        <f>_xlfn.RANK.EQ(AL300,$AL$7:$AL$531)+COUNTIF(AL$7:AL300,AL300)-1</f>
        <v>#REF!</v>
      </c>
      <c r="AN300" s="44"/>
      <c r="AO300" s="45" t="e">
        <f>_xlfn.RANK.EQ(AN300,$AN$7:$AN$531)+COUNTIF(AN$7:AN300,AN300)-1</f>
        <v>#N/A</v>
      </c>
      <c r="AP30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00" s="32" t="e">
        <f>FME_Ranking2[[#This Row],[Score Based on Reported Factors]]-FME_Ranking2[[#This Row],[Check]]</f>
        <v>#REF!</v>
      </c>
      <c r="AR300" s="32"/>
    </row>
    <row r="301" spans="1:55" ht="12" customHeight="1" x14ac:dyDescent="0.25">
      <c r="A301" s="16" t="s">
        <v>2035</v>
      </c>
      <c r="B301" s="16" t="str">
        <f>_xlfn.XLOOKUP(FME_Ranking2[[#This Row],[FME ID]],FME_Input[FME_ID],FME_Input[FME_NAME])</f>
        <v>Cedar Bayou Flood Risk Reduction Study - Property Acquisition in segment from SH 146 to Galveston Bay  along Cedar Bayou (Q100-00-00)</v>
      </c>
      <c r="C301" s="16" t="str">
        <f>_xlfn.XLOOKUP(FME_Ranking2[[#This Row],[FME ID]],FME_Input[FME_ID],FME_Input[DESCR])</f>
        <v>Study to develop a Benefit Cost Analysis needed for this project to become a FMP. Property Acquisition in segment from SH 146 to Galveston Bay  along Cedar Bayou.</v>
      </c>
      <c r="D301" s="46" t="str">
        <f>_xlfn.XLOOKUP(FME_Ranking2[[#This Row],[FME ID]],FME_Input[FME_ID],FME_Input[EMER_NEED])</f>
        <v>No</v>
      </c>
      <c r="E301" s="121">
        <f>IF(FME_Ranking_Option2!$D301="Yes",100,0)</f>
        <v>0</v>
      </c>
      <c r="F301" s="47" t="str">
        <f>_xlfn.XLOOKUP(FME_Ranking2[[#This Row],[FME ID]],FME_Input[FME_ID],FME_Input[FUND])</f>
        <v>Yes</v>
      </c>
      <c r="G301" s="48">
        <f>IF(FME_Ranking_Option2!$F301="Yes",1,0)</f>
        <v>1</v>
      </c>
      <c r="H301" s="46">
        <f>_xlfn.XLOOKUP(FME_Ranking2[[#This Row],[FME ID]],FME_Input[FME_ID],FME_Input[STRUCT_100])</f>
        <v>230</v>
      </c>
      <c r="I301" s="65" t="e">
        <f>FME_Ranking2[[#This Row],[Raw Data3]]*H$4</f>
        <v>#REF!</v>
      </c>
      <c r="J301" s="62">
        <f>((FME_Ranking_Option2!$H301)/($H$3))*100</f>
        <v>2.5559275850151525E-2</v>
      </c>
      <c r="K301" s="49" t="e">
        <f>FME_Ranking2[[#This Row],[Norm Data3]]*H$4</f>
        <v>#REF!</v>
      </c>
      <c r="L301" s="50">
        <f>_xlfn.XLOOKUP(FME_Ranking2[[#This Row],[FME ID]],FME_Input[FME_ID],FME_Input[RES_STRUCT100])</f>
        <v>174</v>
      </c>
      <c r="M301" s="51" t="e">
        <f>FME_Ranking2[[#This Row],[Raw Data4]]*L$4</f>
        <v>#REF!</v>
      </c>
      <c r="N301" s="29">
        <f>((FME_Ranking_Option2!$L301)/($L$3))*100</f>
        <v>2.6013518059212148E-2</v>
      </c>
      <c r="O301" s="52" t="e">
        <f>FME_Ranking2[[#This Row],[Norm Data4]]*L$4</f>
        <v>#REF!</v>
      </c>
      <c r="P301" s="47">
        <f>_xlfn.XLOOKUP(FME_Ranking2[[#This Row],[FME ID]],FME_Input[FME_ID],FME_Input[POP100])</f>
        <v>1046</v>
      </c>
      <c r="Q301" s="48" t="e">
        <f>FME_Ranking_Option2!$P301*P$4</f>
        <v>#REF!</v>
      </c>
      <c r="R301" s="48">
        <f>FME_Ranking_Option2!$P301/($P$3)</f>
        <v>3.8390421039418814E-4</v>
      </c>
      <c r="S301" s="48" t="e">
        <f>FME_Ranking_Option2!$R301*P$4</f>
        <v>#REF!</v>
      </c>
      <c r="T301" s="50">
        <f>_xlfn.XLOOKUP(FME_Ranking2[[#This Row],[FME ID]],FME_Input[FME_ID],FME_Input[CRITFAC100])</f>
        <v>7</v>
      </c>
      <c r="U301" s="48" t="e">
        <f>FME_Ranking_Option2!$T301*T$4</f>
        <v>#REF!</v>
      </c>
      <c r="V301" s="48">
        <f>FME_Ranking_Option2!$T301/($T$3)</f>
        <v>9.871668311944718E-4</v>
      </c>
      <c r="W301" s="48" t="e">
        <f>FME_Ranking_Option2!$V301*T$4</f>
        <v>#REF!</v>
      </c>
      <c r="X301" s="50">
        <f>_xlfn.XLOOKUP(FME_Ranking2[[#This Row],[FME ID]],FME_Input[FME_ID],FME_Input[LWC])</f>
        <v>0</v>
      </c>
      <c r="Y301" s="48" t="e">
        <f>FME_Ranking_Option2!$X301*X$4</f>
        <v>#REF!</v>
      </c>
      <c r="Z301" s="48">
        <f>FME_Ranking_Option2!$X301/($X$3)</f>
        <v>0</v>
      </c>
      <c r="AA301" s="48" t="e">
        <f>FME_Ranking_Option2!$Z301*X$4</f>
        <v>#REF!</v>
      </c>
      <c r="AB301" s="50">
        <f>_xlfn.XLOOKUP(FME_Ranking2[[#This Row],[FME ID]],FME_Input[FME_ID],FME_Input[ROADCLS])</f>
        <v>0</v>
      </c>
      <c r="AC301" s="48" t="e">
        <f>FME_Ranking_Option2!$AB301*AB$4</f>
        <v>#REF!</v>
      </c>
      <c r="AD301" s="53">
        <f>_xlfn.XLOOKUP(FME_Ranking2[[#This Row],[FME ID]],FME_Input[FME_ID],FME_Input[ROAD_MILES100])</f>
        <v>7.6220617294311523</v>
      </c>
      <c r="AE301" s="54" t="e">
        <f>FME_Ranking_Option2!$AD301*AD$4</f>
        <v>#REF!</v>
      </c>
      <c r="AF301" s="55">
        <f>FME_Ranking_Option2!$AD301/($AD$3)</f>
        <v>1.7216166462472705E-4</v>
      </c>
      <c r="AG301" s="55" t="e">
        <f>FME_Ranking_Option2!$AF301*AD$4</f>
        <v>#REF!</v>
      </c>
      <c r="AH301" s="53">
        <f>_xlfn.XLOOKUP(FME_Ranking2[[#This Row],[FME ID]],FME_Input[FME_ID],FME_Input[FARMACRE100])</f>
        <v>47.402359008789063</v>
      </c>
      <c r="AI301" s="54" t="e">
        <f>FME_Ranking_Option2!$AH301*AH$4</f>
        <v>#REF!</v>
      </c>
      <c r="AJ301" s="56">
        <f>FME_Ranking_Option2!$AH301/($AH$3)</f>
        <v>2.7524625189462811E-3</v>
      </c>
      <c r="AK301" s="57" t="e">
        <f>FME_Ranking_Option2!$AJ301*AH$4</f>
        <v>#REF!</v>
      </c>
      <c r="AL30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01" s="58" t="e">
        <f>_xlfn.RANK.EQ(AL301,$AL$7:$AL$531)+COUNTIF(AL$7:AL301,AL301)-1</f>
        <v>#REF!</v>
      </c>
      <c r="AN301" s="57"/>
      <c r="AO301" s="58" t="e">
        <f>_xlfn.RANK.EQ(AN301,$AN$7:$AN$531)+COUNTIF(AN$7:AN301,AN301)-1</f>
        <v>#N/A</v>
      </c>
      <c r="AP30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01" s="32" t="e">
        <f>FME_Ranking2[[#This Row],[Score Based on Reported Factors]]-FME_Ranking2[[#This Row],[Check]]</f>
        <v>#REF!</v>
      </c>
      <c r="AR301" s="32"/>
      <c r="AT301" s="19"/>
      <c r="AU301" s="19"/>
      <c r="AV301" s="19"/>
      <c r="AW301" s="19"/>
      <c r="AX301" s="19"/>
      <c r="AY301" s="19"/>
      <c r="AZ301" s="19"/>
      <c r="BA301" s="19"/>
      <c r="BB301" s="19"/>
      <c r="BC301" s="19"/>
    </row>
    <row r="302" spans="1:55" ht="12" customHeight="1" x14ac:dyDescent="0.25">
      <c r="A302" s="17" t="s">
        <v>2297</v>
      </c>
      <c r="B302" s="17" t="str">
        <f>_xlfn.XLOOKUP(FME_Ranking2[[#This Row],[FME ID]],FME_Input[FME_ID],FME_Input[FME_NAME])</f>
        <v>Cedar Bayou Flood Risk Reduction Study - Q130 Channel improvements from Crosby Eastgate Rd. to Q100 Confluence</v>
      </c>
      <c r="C302" s="17" t="str">
        <f>_xlfn.XLOOKUP(FME_Ranking2[[#This Row],[FME ID]],FME_Input[FME_ID],FME_Input[DESCR])</f>
        <v>Study to develop a Benefit Cost Analysis needed for this project to become a FMP. Cedar Bayou Flood Risk Reduction Study - Q130 Channel improvements from Crosby Eastgate Rd. to Q100 Confluence.</v>
      </c>
      <c r="D302" s="33" t="str">
        <f>_xlfn.XLOOKUP(FME_Ranking2[[#This Row],[FME ID]],FME_Input[FME_ID],FME_Input[EMER_NEED])</f>
        <v>No</v>
      </c>
      <c r="E302" s="120">
        <f>IF(FME_Ranking_Option2!$D302="Yes",100,0)</f>
        <v>0</v>
      </c>
      <c r="F302" s="34" t="str">
        <f>_xlfn.XLOOKUP(FME_Ranking2[[#This Row],[FME ID]],FME_Input[FME_ID],FME_Input[FUND])</f>
        <v>Yes</v>
      </c>
      <c r="G302" s="35">
        <f>IF(FME_Ranking_Option2!$F302="Yes",1,0)</f>
        <v>1</v>
      </c>
      <c r="H302" s="33">
        <f>_xlfn.XLOOKUP(FME_Ranking2[[#This Row],[FME ID]],FME_Input[FME_ID],FME_Input[STRUCT_100])</f>
        <v>174</v>
      </c>
      <c r="I302" s="64" t="e">
        <f>FME_Ranking2[[#This Row],[Raw Data3]]*H$4</f>
        <v>#REF!</v>
      </c>
      <c r="J302" s="63">
        <f>((FME_Ranking_Option2!$H302)/($H$3))*100</f>
        <v>1.9336147817071152E-2</v>
      </c>
      <c r="K302" s="36" t="e">
        <f>FME_Ranking2[[#This Row],[Norm Data3]]*H$4</f>
        <v>#REF!</v>
      </c>
      <c r="L302" s="37">
        <f>_xlfn.XLOOKUP(FME_Ranking2[[#This Row],[FME ID]],FME_Input[FME_ID],FME_Input[RES_STRUCT100])</f>
        <v>138</v>
      </c>
      <c r="M302" s="38" t="e">
        <f>FME_Ranking2[[#This Row],[Raw Data4]]*L$4</f>
        <v>#REF!</v>
      </c>
      <c r="N302" s="28">
        <f>((FME_Ranking_Option2!$L302)/($L$3))*100</f>
        <v>2.0631410874547566E-2</v>
      </c>
      <c r="O302" s="39" t="e">
        <f>FME_Ranking2[[#This Row],[Norm Data4]]*L$4</f>
        <v>#REF!</v>
      </c>
      <c r="P302" s="34">
        <f>_xlfn.XLOOKUP(FME_Ranking2[[#This Row],[FME ID]],FME_Input[FME_ID],FME_Input[POP100])</f>
        <v>241</v>
      </c>
      <c r="Q302" s="35" t="e">
        <f>FME_Ranking_Option2!$P302*P$4</f>
        <v>#REF!</v>
      </c>
      <c r="R302" s="35">
        <f>FME_Ranking_Option2!$P302/($P$3)</f>
        <v>8.8452117308794785E-5</v>
      </c>
      <c r="S302" s="35" t="e">
        <f>FME_Ranking_Option2!$R302*P$4</f>
        <v>#REF!</v>
      </c>
      <c r="T302" s="37">
        <f>_xlfn.XLOOKUP(FME_Ranking2[[#This Row],[FME ID]],FME_Input[FME_ID],FME_Input[CRITFAC100])</f>
        <v>0</v>
      </c>
      <c r="U302" s="35" t="e">
        <f>FME_Ranking_Option2!$T302*T$4</f>
        <v>#REF!</v>
      </c>
      <c r="V302" s="35">
        <f>FME_Ranking_Option2!$T302/($T$3)</f>
        <v>0</v>
      </c>
      <c r="W302" s="35" t="e">
        <f>FME_Ranking_Option2!$V302*T$4</f>
        <v>#REF!</v>
      </c>
      <c r="X302" s="37">
        <f>_xlfn.XLOOKUP(FME_Ranking2[[#This Row],[FME ID]],FME_Input[FME_ID],FME_Input[LWC])</f>
        <v>0</v>
      </c>
      <c r="Y302" s="35" t="e">
        <f>FME_Ranking_Option2!$X302*X$4</f>
        <v>#REF!</v>
      </c>
      <c r="Z302" s="35">
        <f>FME_Ranking_Option2!$X302/($X$3)</f>
        <v>0</v>
      </c>
      <c r="AA302" s="35" t="e">
        <f>FME_Ranking_Option2!$Z302*X$4</f>
        <v>#REF!</v>
      </c>
      <c r="AB302" s="37">
        <f>_xlfn.XLOOKUP(FME_Ranking2[[#This Row],[FME ID]],FME_Input[FME_ID],FME_Input[ROADCLS])</f>
        <v>0</v>
      </c>
      <c r="AC302" s="35" t="e">
        <f>FME_Ranking_Option2!$AB302*AB$4</f>
        <v>#REF!</v>
      </c>
      <c r="AD302" s="40">
        <f>_xlfn.XLOOKUP(FME_Ranking2[[#This Row],[FME ID]],FME_Input[FME_ID],FME_Input[ROAD_MILES100])</f>
        <v>3.1315500736236568</v>
      </c>
      <c r="AE302" s="41" t="e">
        <f>FME_Ranking_Option2!$AD302*AD$4</f>
        <v>#REF!</v>
      </c>
      <c r="AF302" s="42">
        <f>FME_Ranking_Option2!$AD302/($AD$3)</f>
        <v>7.0733207453434221E-5</v>
      </c>
      <c r="AG302" s="42" t="e">
        <f>FME_Ranking_Option2!$AF302*AD$4</f>
        <v>#REF!</v>
      </c>
      <c r="AH302" s="40">
        <f>_xlfn.XLOOKUP(FME_Ranking2[[#This Row],[FME ID]],FME_Input[FME_ID],FME_Input[FARMACRE100])</f>
        <v>141.0838623046875</v>
      </c>
      <c r="AI302" s="43" t="e">
        <f>FME_Ranking_Option2!$AH302*AH$4</f>
        <v>#REF!</v>
      </c>
      <c r="AJ302" s="41">
        <f>FME_Ranking_Option2!$AH302/($AH$3)</f>
        <v>8.1921670385608648E-3</v>
      </c>
      <c r="AK302" s="44" t="e">
        <f>FME_Ranking_Option2!$AJ302*AH$4</f>
        <v>#REF!</v>
      </c>
      <c r="AL302"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02" s="45" t="e">
        <f>_xlfn.RANK.EQ(AL302,$AL$7:$AL$531)+COUNTIF(AL$7:AL302,AL302)-1</f>
        <v>#REF!</v>
      </c>
      <c r="AN302" s="44"/>
      <c r="AO302" s="45" t="e">
        <f>_xlfn.RANK.EQ(AN302,$AN$7:$AN$531)+COUNTIF(AN$7:AN302,AN302)-1</f>
        <v>#N/A</v>
      </c>
      <c r="AP30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02" s="32" t="e">
        <f>FME_Ranking2[[#This Row],[Score Based on Reported Factors]]-FME_Ranking2[[#This Row],[Check]]</f>
        <v>#REF!</v>
      </c>
      <c r="AR302" s="32"/>
    </row>
    <row r="303" spans="1:55" ht="12" customHeight="1" x14ac:dyDescent="0.25">
      <c r="A303" s="16" t="s">
        <v>2041</v>
      </c>
      <c r="B303" s="16" t="str">
        <f>_xlfn.XLOOKUP(FME_Ranking2[[#This Row],[FME ID]],FME_Input[FME_ID],FME_Input[FME_NAME])</f>
        <v>Cedar Bayou Flood Risk Reduction Study - Property Acquisition in segment from IH-10 to SH 146 along Cedar Bayou (Q100-00-00)</v>
      </c>
      <c r="C303" s="16" t="str">
        <f>_xlfn.XLOOKUP(FME_Ranking2[[#This Row],[FME ID]],FME_Input[FME_ID],FME_Input[DESCR])</f>
        <v>Study to develop a Benefit Cost Analysis needed for this project to become a FMP. Property Acquisition in segment from IH-10 to SH 146 along Cedar Bayou.</v>
      </c>
      <c r="D303" s="46" t="str">
        <f>_xlfn.XLOOKUP(FME_Ranking2[[#This Row],[FME ID]],FME_Input[FME_ID],FME_Input[EMER_NEED])</f>
        <v>No</v>
      </c>
      <c r="E303" s="121">
        <f>IF(FME_Ranking_Option2!$D303="Yes",100,0)</f>
        <v>0</v>
      </c>
      <c r="F303" s="47" t="str">
        <f>_xlfn.XLOOKUP(FME_Ranking2[[#This Row],[FME ID]],FME_Input[FME_ID],FME_Input[FUND])</f>
        <v>Yes</v>
      </c>
      <c r="G303" s="48">
        <f>IF(FME_Ranking_Option2!$F303="Yes",1,0)</f>
        <v>1</v>
      </c>
      <c r="H303" s="46">
        <f>_xlfn.XLOOKUP(FME_Ranking2[[#This Row],[FME ID]],FME_Input[FME_ID],FME_Input[STRUCT_100])</f>
        <v>319</v>
      </c>
      <c r="I303" s="65" t="e">
        <f>FME_Ranking2[[#This Row],[Raw Data3]]*H$4</f>
        <v>#REF!</v>
      </c>
      <c r="J303" s="62">
        <f>((FME_Ranking_Option2!$H303)/($H$3))*100</f>
        <v>3.544960433129711E-2</v>
      </c>
      <c r="K303" s="49" t="e">
        <f>FME_Ranking2[[#This Row],[Norm Data3]]*H$4</f>
        <v>#REF!</v>
      </c>
      <c r="L303" s="50">
        <f>_xlfn.XLOOKUP(FME_Ranking2[[#This Row],[FME ID]],FME_Input[FME_ID],FME_Input[RES_STRUCT100])</f>
        <v>260</v>
      </c>
      <c r="M303" s="51" t="e">
        <f>FME_Ranking2[[#This Row],[Raw Data4]]*L$4</f>
        <v>#REF!</v>
      </c>
      <c r="N303" s="29">
        <f>((FME_Ranking_Option2!$L303)/($L$3))*100</f>
        <v>3.887077411146643E-2</v>
      </c>
      <c r="O303" s="52" t="e">
        <f>FME_Ranking2[[#This Row],[Norm Data4]]*L$4</f>
        <v>#REF!</v>
      </c>
      <c r="P303" s="47">
        <f>_xlfn.XLOOKUP(FME_Ranking2[[#This Row],[FME ID]],FME_Input[FME_ID],FME_Input[POP100])</f>
        <v>1274</v>
      </c>
      <c r="Q303" s="48" t="e">
        <f>FME_Ranking_Option2!$P303*P$4</f>
        <v>#REF!</v>
      </c>
      <c r="R303" s="48">
        <f>FME_Ranking_Option2!$P303/($P$3)</f>
        <v>4.6758505166557906E-4</v>
      </c>
      <c r="S303" s="48" t="e">
        <f>FME_Ranking_Option2!$R303*P$4</f>
        <v>#REF!</v>
      </c>
      <c r="T303" s="50">
        <f>_xlfn.XLOOKUP(FME_Ranking2[[#This Row],[FME ID]],FME_Input[FME_ID],FME_Input[CRITFAC100])</f>
        <v>0</v>
      </c>
      <c r="U303" s="48" t="e">
        <f>FME_Ranking_Option2!$T303*T$4</f>
        <v>#REF!</v>
      </c>
      <c r="V303" s="48">
        <f>FME_Ranking_Option2!$T303/($T$3)</f>
        <v>0</v>
      </c>
      <c r="W303" s="48" t="e">
        <f>FME_Ranking_Option2!$V303*T$4</f>
        <v>#REF!</v>
      </c>
      <c r="X303" s="50">
        <f>_xlfn.XLOOKUP(FME_Ranking2[[#This Row],[FME ID]],FME_Input[FME_ID],FME_Input[LWC])</f>
        <v>0</v>
      </c>
      <c r="Y303" s="48" t="e">
        <f>FME_Ranking_Option2!$X303*X$4</f>
        <v>#REF!</v>
      </c>
      <c r="Z303" s="48">
        <f>FME_Ranking_Option2!$X303/($X$3)</f>
        <v>0</v>
      </c>
      <c r="AA303" s="48" t="e">
        <f>FME_Ranking_Option2!$Z303*X$4</f>
        <v>#REF!</v>
      </c>
      <c r="AB303" s="50">
        <f>_xlfn.XLOOKUP(FME_Ranking2[[#This Row],[FME ID]],FME_Input[FME_ID],FME_Input[ROADCLS])</f>
        <v>0</v>
      </c>
      <c r="AC303" s="48" t="e">
        <f>FME_Ranking_Option2!$AB303*AB$4</f>
        <v>#REF!</v>
      </c>
      <c r="AD303" s="53">
        <f>_xlfn.XLOOKUP(FME_Ranking2[[#This Row],[FME ID]],FME_Input[FME_ID],FME_Input[ROAD_MILES100])</f>
        <v>5.2540888786315918</v>
      </c>
      <c r="AE303" s="54" t="e">
        <f>FME_Ranking_Option2!$AD303*AD$4</f>
        <v>#REF!</v>
      </c>
      <c r="AF303" s="55">
        <f>FME_Ranking_Option2!$AD303/($AD$3)</f>
        <v>1.1867559192530819E-4</v>
      </c>
      <c r="AG303" s="55" t="e">
        <f>FME_Ranking_Option2!$AF303*AD$4</f>
        <v>#REF!</v>
      </c>
      <c r="AH303" s="53">
        <f>_xlfn.XLOOKUP(FME_Ranking2[[#This Row],[FME ID]],FME_Input[FME_ID],FME_Input[FARMACRE100])</f>
        <v>25.3284797668457</v>
      </c>
      <c r="AI303" s="54" t="e">
        <f>FME_Ranking_Option2!$AH303*AH$4</f>
        <v>#REF!</v>
      </c>
      <c r="AJ303" s="56">
        <f>FME_Ranking_Option2!$AH303/($AH$3)</f>
        <v>1.4707219783556714E-3</v>
      </c>
      <c r="AK303" s="57" t="e">
        <f>FME_Ranking_Option2!$AJ303*AH$4</f>
        <v>#REF!</v>
      </c>
      <c r="AL303"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03" s="58" t="e">
        <f>_xlfn.RANK.EQ(AL303,$AL$7:$AL$531)+COUNTIF(AL$7:AL303,AL303)-1</f>
        <v>#REF!</v>
      </c>
      <c r="AN303" s="57"/>
      <c r="AO303" s="58" t="e">
        <f>_xlfn.RANK.EQ(AN303,$AN$7:$AN$531)+COUNTIF(AN$7:AN303,AN303)-1</f>
        <v>#N/A</v>
      </c>
      <c r="AP30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03" s="32" t="e">
        <f>FME_Ranking2[[#This Row],[Score Based on Reported Factors]]-FME_Ranking2[[#This Row],[Check]]</f>
        <v>#REF!</v>
      </c>
      <c r="AR303" s="32"/>
      <c r="AT303" s="19"/>
      <c r="AU303" s="19"/>
      <c r="AV303" s="19"/>
      <c r="AW303" s="19"/>
      <c r="AX303" s="19"/>
      <c r="AY303" s="19"/>
      <c r="AZ303" s="19"/>
      <c r="BA303" s="19"/>
      <c r="BB303" s="19"/>
      <c r="BC303" s="19"/>
    </row>
    <row r="304" spans="1:55" ht="12" customHeight="1" x14ac:dyDescent="0.25">
      <c r="A304" s="17" t="s">
        <v>2046</v>
      </c>
      <c r="B304" s="17" t="e">
        <f>_xlfn.XLOOKUP(FME_Ranking2[[#This Row],[FME ID]],FME_Input[FME_ID],FME_Input[FME_NAME])</f>
        <v>#N/A</v>
      </c>
      <c r="C304" s="17" t="e">
        <f>_xlfn.XLOOKUP(FME_Ranking2[[#This Row],[FME ID]],FME_Input[FME_ID],FME_Input[DESCR])</f>
        <v>#N/A</v>
      </c>
      <c r="D304" s="33" t="e">
        <f>_xlfn.XLOOKUP(FME_Ranking2[[#This Row],[FME ID]],FME_Input[FME_ID],FME_Input[EMER_NEED])</f>
        <v>#N/A</v>
      </c>
      <c r="E304" s="120" t="e">
        <f>IF(FME_Ranking_Option2!$D304="Yes",100,0)</f>
        <v>#N/A</v>
      </c>
      <c r="F304" s="34" t="e">
        <f>_xlfn.XLOOKUP(FME_Ranking2[[#This Row],[FME ID]],FME_Input[FME_ID],FME_Input[FUND])</f>
        <v>#N/A</v>
      </c>
      <c r="G304" s="35" t="e">
        <f>IF(FME_Ranking_Option2!$F304="Yes",1,0)</f>
        <v>#N/A</v>
      </c>
      <c r="H304" s="33" t="e">
        <f>_xlfn.XLOOKUP(FME_Ranking2[[#This Row],[FME ID]],FME_Input[FME_ID],FME_Input[STRUCT_100])</f>
        <v>#N/A</v>
      </c>
      <c r="I304" s="64" t="e">
        <f>FME_Ranking2[[#This Row],[Raw Data3]]*H$4</f>
        <v>#N/A</v>
      </c>
      <c r="J304" s="63" t="e">
        <f>((FME_Ranking_Option2!$H304)/($H$3))*100</f>
        <v>#N/A</v>
      </c>
      <c r="K304" s="36" t="e">
        <f>FME_Ranking2[[#This Row],[Norm Data3]]*H$4</f>
        <v>#N/A</v>
      </c>
      <c r="L304" s="37" t="e">
        <f>_xlfn.XLOOKUP(FME_Ranking2[[#This Row],[FME ID]],FME_Input[FME_ID],FME_Input[RES_STRUCT100])</f>
        <v>#N/A</v>
      </c>
      <c r="M304" s="38" t="e">
        <f>FME_Ranking2[[#This Row],[Raw Data4]]*L$4</f>
        <v>#N/A</v>
      </c>
      <c r="N304" s="28" t="e">
        <f>((FME_Ranking_Option2!$L304)/($L$3))*100</f>
        <v>#N/A</v>
      </c>
      <c r="O304" s="39" t="e">
        <f>FME_Ranking2[[#This Row],[Norm Data4]]*L$4</f>
        <v>#N/A</v>
      </c>
      <c r="P304" s="34" t="e">
        <f>_xlfn.XLOOKUP(FME_Ranking2[[#This Row],[FME ID]],FME_Input[FME_ID],FME_Input[POP100])</f>
        <v>#N/A</v>
      </c>
      <c r="Q304" s="35" t="e">
        <f>FME_Ranking_Option2!$P304*P$4</f>
        <v>#N/A</v>
      </c>
      <c r="R304" s="35" t="e">
        <f>FME_Ranking_Option2!$P304/($P$3)</f>
        <v>#N/A</v>
      </c>
      <c r="S304" s="35" t="e">
        <f>FME_Ranking_Option2!$R304*P$4</f>
        <v>#N/A</v>
      </c>
      <c r="T304" s="37" t="e">
        <f>_xlfn.XLOOKUP(FME_Ranking2[[#This Row],[FME ID]],FME_Input[FME_ID],FME_Input[CRITFAC100])</f>
        <v>#N/A</v>
      </c>
      <c r="U304" s="35" t="e">
        <f>FME_Ranking_Option2!$T304*T$4</f>
        <v>#N/A</v>
      </c>
      <c r="V304" s="35" t="e">
        <f>FME_Ranking_Option2!$T304/($T$3)</f>
        <v>#N/A</v>
      </c>
      <c r="W304" s="35" t="e">
        <f>FME_Ranking_Option2!$V304*T$4</f>
        <v>#N/A</v>
      </c>
      <c r="X304" s="37" t="e">
        <f>_xlfn.XLOOKUP(FME_Ranking2[[#This Row],[FME ID]],FME_Input[FME_ID],FME_Input[LWC])</f>
        <v>#N/A</v>
      </c>
      <c r="Y304" s="35" t="e">
        <f>FME_Ranking_Option2!$X304*X$4</f>
        <v>#N/A</v>
      </c>
      <c r="Z304" s="35" t="e">
        <f>FME_Ranking_Option2!$X304/($X$3)</f>
        <v>#N/A</v>
      </c>
      <c r="AA304" s="35" t="e">
        <f>FME_Ranking_Option2!$Z304*X$4</f>
        <v>#N/A</v>
      </c>
      <c r="AB304" s="37" t="e">
        <f>_xlfn.XLOOKUP(FME_Ranking2[[#This Row],[FME ID]],FME_Input[FME_ID],FME_Input[ROADCLS])</f>
        <v>#N/A</v>
      </c>
      <c r="AC304" s="35" t="e">
        <f>FME_Ranking_Option2!$AB304*AB$4</f>
        <v>#N/A</v>
      </c>
      <c r="AD304" s="40" t="e">
        <f>_xlfn.XLOOKUP(FME_Ranking2[[#This Row],[FME ID]],FME_Input[FME_ID],FME_Input[ROAD_MILES100])</f>
        <v>#N/A</v>
      </c>
      <c r="AE304" s="41" t="e">
        <f>FME_Ranking_Option2!$AD304*AD$4</f>
        <v>#N/A</v>
      </c>
      <c r="AF304" s="42" t="e">
        <f>FME_Ranking_Option2!$AD304/($AD$3)</f>
        <v>#N/A</v>
      </c>
      <c r="AG304" s="42" t="e">
        <f>FME_Ranking_Option2!$AF304*AD$4</f>
        <v>#N/A</v>
      </c>
      <c r="AH304" s="40" t="e">
        <f>_xlfn.XLOOKUP(FME_Ranking2[[#This Row],[FME ID]],FME_Input[FME_ID],FME_Input[FARMACRE100])</f>
        <v>#N/A</v>
      </c>
      <c r="AI304" s="43" t="e">
        <f>FME_Ranking_Option2!$AH304*AH$4</f>
        <v>#N/A</v>
      </c>
      <c r="AJ304" s="41" t="e">
        <f>FME_Ranking_Option2!$AH304/($AH$3)</f>
        <v>#N/A</v>
      </c>
      <c r="AK304" s="44" t="e">
        <f>FME_Ranking_Option2!$AJ304*AH$4</f>
        <v>#N/A</v>
      </c>
      <c r="AL304"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#N/A</v>
      </c>
      <c r="AM304" s="45" t="e">
        <f>_xlfn.RANK.EQ(AL304,$AL$7:$AL$531)+COUNTIF(AL$7:AL304,AL304)-1</f>
        <v>#N/A</v>
      </c>
      <c r="AN304" s="44"/>
      <c r="AO304" s="45" t="e">
        <f>_xlfn.RANK.EQ(AN304,$AN$7:$AN$531)+COUNTIF(AN$7:AN304,AN304)-1</f>
        <v>#N/A</v>
      </c>
      <c r="AP30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#N/A</v>
      </c>
      <c r="AQ304" s="32" t="e">
        <f>FME_Ranking2[[#This Row],[Score Based on Reported Factors]]-FME_Ranking2[[#This Row],[Check]]</f>
        <v>#N/A</v>
      </c>
      <c r="AR304" s="32"/>
    </row>
    <row r="305" spans="1:55" ht="12" customHeight="1" x14ac:dyDescent="0.25">
      <c r="A305" s="16" t="s">
        <v>2182</v>
      </c>
      <c r="B305" s="16" t="e">
        <f>_xlfn.XLOOKUP(FME_Ranking2[[#This Row],[FME ID]],FME_Input[FME_ID],FME_Input[FME_NAME])</f>
        <v>#N/A</v>
      </c>
      <c r="C305" s="16" t="e">
        <f>_xlfn.XLOOKUP(FME_Ranking2[[#This Row],[FME ID]],FME_Input[FME_ID],FME_Input[DESCR])</f>
        <v>#N/A</v>
      </c>
      <c r="D305" s="46" t="e">
        <f>_xlfn.XLOOKUP(FME_Ranking2[[#This Row],[FME ID]],FME_Input[FME_ID],FME_Input[EMER_NEED])</f>
        <v>#N/A</v>
      </c>
      <c r="E305" s="121" t="e">
        <f>IF(FME_Ranking_Option2!$D305="Yes",100,0)</f>
        <v>#N/A</v>
      </c>
      <c r="F305" s="47" t="e">
        <f>_xlfn.XLOOKUP(FME_Ranking2[[#This Row],[FME ID]],FME_Input[FME_ID],FME_Input[FUND])</f>
        <v>#N/A</v>
      </c>
      <c r="G305" s="48" t="e">
        <f>IF(FME_Ranking_Option2!$F305="Yes",1,0)</f>
        <v>#N/A</v>
      </c>
      <c r="H305" s="46" t="e">
        <f>_xlfn.XLOOKUP(FME_Ranking2[[#This Row],[FME ID]],FME_Input[FME_ID],FME_Input[STRUCT_100])</f>
        <v>#N/A</v>
      </c>
      <c r="I305" s="65" t="e">
        <f>FME_Ranking2[[#This Row],[Raw Data3]]*H$4</f>
        <v>#N/A</v>
      </c>
      <c r="J305" s="62" t="e">
        <f>((FME_Ranking_Option2!$H305)/($H$3))*100</f>
        <v>#N/A</v>
      </c>
      <c r="K305" s="49" t="e">
        <f>FME_Ranking2[[#This Row],[Norm Data3]]*H$4</f>
        <v>#N/A</v>
      </c>
      <c r="L305" s="50" t="e">
        <f>_xlfn.XLOOKUP(FME_Ranking2[[#This Row],[FME ID]],FME_Input[FME_ID],FME_Input[RES_STRUCT100])</f>
        <v>#N/A</v>
      </c>
      <c r="M305" s="51" t="e">
        <f>FME_Ranking2[[#This Row],[Raw Data4]]*L$4</f>
        <v>#N/A</v>
      </c>
      <c r="N305" s="29" t="e">
        <f>((FME_Ranking_Option2!$L305)/($L$3))*100</f>
        <v>#N/A</v>
      </c>
      <c r="O305" s="52" t="e">
        <f>FME_Ranking2[[#This Row],[Norm Data4]]*L$4</f>
        <v>#N/A</v>
      </c>
      <c r="P305" s="47" t="e">
        <f>_xlfn.XLOOKUP(FME_Ranking2[[#This Row],[FME ID]],FME_Input[FME_ID],FME_Input[POP100])</f>
        <v>#N/A</v>
      </c>
      <c r="Q305" s="48" t="e">
        <f>FME_Ranking_Option2!$P305*P$4</f>
        <v>#N/A</v>
      </c>
      <c r="R305" s="48" t="e">
        <f>FME_Ranking_Option2!$P305/($P$3)</f>
        <v>#N/A</v>
      </c>
      <c r="S305" s="48" t="e">
        <f>FME_Ranking_Option2!$R305*P$4</f>
        <v>#N/A</v>
      </c>
      <c r="T305" s="50" t="e">
        <f>_xlfn.XLOOKUP(FME_Ranking2[[#This Row],[FME ID]],FME_Input[FME_ID],FME_Input[CRITFAC100])</f>
        <v>#N/A</v>
      </c>
      <c r="U305" s="48" t="e">
        <f>FME_Ranking_Option2!$T305*T$4</f>
        <v>#N/A</v>
      </c>
      <c r="V305" s="48" t="e">
        <f>FME_Ranking_Option2!$T305/($T$3)</f>
        <v>#N/A</v>
      </c>
      <c r="W305" s="48" t="e">
        <f>FME_Ranking_Option2!$V305*T$4</f>
        <v>#N/A</v>
      </c>
      <c r="X305" s="50" t="e">
        <f>_xlfn.XLOOKUP(FME_Ranking2[[#This Row],[FME ID]],FME_Input[FME_ID],FME_Input[LWC])</f>
        <v>#N/A</v>
      </c>
      <c r="Y305" s="48" t="e">
        <f>FME_Ranking_Option2!$X305*X$4</f>
        <v>#N/A</v>
      </c>
      <c r="Z305" s="48" t="e">
        <f>FME_Ranking_Option2!$X305/($X$3)</f>
        <v>#N/A</v>
      </c>
      <c r="AA305" s="48" t="e">
        <f>FME_Ranking_Option2!$Z305*X$4</f>
        <v>#N/A</v>
      </c>
      <c r="AB305" s="50" t="e">
        <f>_xlfn.XLOOKUP(FME_Ranking2[[#This Row],[FME ID]],FME_Input[FME_ID],FME_Input[ROADCLS])</f>
        <v>#N/A</v>
      </c>
      <c r="AC305" s="48" t="e">
        <f>FME_Ranking_Option2!$AB305*AB$4</f>
        <v>#N/A</v>
      </c>
      <c r="AD305" s="53" t="e">
        <f>_xlfn.XLOOKUP(FME_Ranking2[[#This Row],[FME ID]],FME_Input[FME_ID],FME_Input[ROAD_MILES100])</f>
        <v>#N/A</v>
      </c>
      <c r="AE305" s="54" t="e">
        <f>FME_Ranking_Option2!$AD305*AD$4</f>
        <v>#N/A</v>
      </c>
      <c r="AF305" s="55" t="e">
        <f>FME_Ranking_Option2!$AD305/($AD$3)</f>
        <v>#N/A</v>
      </c>
      <c r="AG305" s="55" t="e">
        <f>FME_Ranking_Option2!$AF305*AD$4</f>
        <v>#N/A</v>
      </c>
      <c r="AH305" s="53" t="e">
        <f>_xlfn.XLOOKUP(FME_Ranking2[[#This Row],[FME ID]],FME_Input[FME_ID],FME_Input[FARMACRE100])</f>
        <v>#N/A</v>
      </c>
      <c r="AI305" s="54" t="e">
        <f>FME_Ranking_Option2!$AH305*AH$4</f>
        <v>#N/A</v>
      </c>
      <c r="AJ305" s="56" t="e">
        <f>FME_Ranking_Option2!$AH305/($AH$3)</f>
        <v>#N/A</v>
      </c>
      <c r="AK305" s="57" t="e">
        <f>FME_Ranking_Option2!$AJ305*AH$4</f>
        <v>#N/A</v>
      </c>
      <c r="AL305"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#N/A</v>
      </c>
      <c r="AM305" s="58" t="e">
        <f>_xlfn.RANK.EQ(AL305,$AL$7:$AL$531)+COUNTIF(AL$7:AL305,AL305)-1</f>
        <v>#N/A</v>
      </c>
      <c r="AN305" s="57"/>
      <c r="AO305" s="58" t="e">
        <f>_xlfn.RANK.EQ(AN305,$AN$7:$AN$531)+COUNTIF(AN$7:AN305,AN305)-1</f>
        <v>#N/A</v>
      </c>
      <c r="AP30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#N/A</v>
      </c>
      <c r="AQ305" s="32" t="e">
        <f>FME_Ranking2[[#This Row],[Score Based on Reported Factors]]-FME_Ranking2[[#This Row],[Check]]</f>
        <v>#N/A</v>
      </c>
      <c r="AR305" s="32"/>
      <c r="AT305" s="19"/>
      <c r="AU305" s="19"/>
      <c r="AV305" s="19"/>
      <c r="AW305" s="19"/>
      <c r="AX305" s="19"/>
      <c r="AY305" s="19"/>
      <c r="AZ305" s="19"/>
      <c r="BA305" s="19"/>
      <c r="BB305" s="19"/>
      <c r="BC305" s="19"/>
    </row>
    <row r="306" spans="1:55" ht="12" customHeight="1" x14ac:dyDescent="0.25">
      <c r="A306" s="17" t="s">
        <v>2183</v>
      </c>
      <c r="B306" s="17" t="e">
        <f>_xlfn.XLOOKUP(FME_Ranking2[[#This Row],[FME ID]],FME_Input[FME_ID],FME_Input[FME_NAME])</f>
        <v>#N/A</v>
      </c>
      <c r="C306" s="17" t="e">
        <f>_xlfn.XLOOKUP(FME_Ranking2[[#This Row],[FME ID]],FME_Input[FME_ID],FME_Input[DESCR])</f>
        <v>#N/A</v>
      </c>
      <c r="D306" s="33" t="e">
        <f>_xlfn.XLOOKUP(FME_Ranking2[[#This Row],[FME ID]],FME_Input[FME_ID],FME_Input[EMER_NEED])</f>
        <v>#N/A</v>
      </c>
      <c r="E306" s="120" t="e">
        <f>IF(FME_Ranking_Option2!$D306="Yes",100,0)</f>
        <v>#N/A</v>
      </c>
      <c r="F306" s="34" t="e">
        <f>_xlfn.XLOOKUP(FME_Ranking2[[#This Row],[FME ID]],FME_Input[FME_ID],FME_Input[FUND])</f>
        <v>#N/A</v>
      </c>
      <c r="G306" s="35" t="e">
        <f>IF(FME_Ranking_Option2!$F306="Yes",1,0)</f>
        <v>#N/A</v>
      </c>
      <c r="H306" s="33" t="e">
        <f>_xlfn.XLOOKUP(FME_Ranking2[[#This Row],[FME ID]],FME_Input[FME_ID],FME_Input[STRUCT_100])</f>
        <v>#N/A</v>
      </c>
      <c r="I306" s="64" t="e">
        <f>FME_Ranking2[[#This Row],[Raw Data3]]*H$4</f>
        <v>#N/A</v>
      </c>
      <c r="J306" s="63" t="e">
        <f>((FME_Ranking_Option2!$H306)/($H$3))*100</f>
        <v>#N/A</v>
      </c>
      <c r="K306" s="36" t="e">
        <f>FME_Ranking2[[#This Row],[Norm Data3]]*H$4</f>
        <v>#N/A</v>
      </c>
      <c r="L306" s="37" t="e">
        <f>_xlfn.XLOOKUP(FME_Ranking2[[#This Row],[FME ID]],FME_Input[FME_ID],FME_Input[RES_STRUCT100])</f>
        <v>#N/A</v>
      </c>
      <c r="M306" s="38" t="e">
        <f>FME_Ranking2[[#This Row],[Raw Data4]]*L$4</f>
        <v>#N/A</v>
      </c>
      <c r="N306" s="28" t="e">
        <f>((FME_Ranking_Option2!$L306)/($L$3))*100</f>
        <v>#N/A</v>
      </c>
      <c r="O306" s="39" t="e">
        <f>FME_Ranking2[[#This Row],[Norm Data4]]*L$4</f>
        <v>#N/A</v>
      </c>
      <c r="P306" s="34" t="e">
        <f>_xlfn.XLOOKUP(FME_Ranking2[[#This Row],[FME ID]],FME_Input[FME_ID],FME_Input[POP100])</f>
        <v>#N/A</v>
      </c>
      <c r="Q306" s="35" t="e">
        <f>FME_Ranking_Option2!$P306*P$4</f>
        <v>#N/A</v>
      </c>
      <c r="R306" s="35" t="e">
        <f>FME_Ranking_Option2!$P306/($P$3)</f>
        <v>#N/A</v>
      </c>
      <c r="S306" s="35" t="e">
        <f>FME_Ranking_Option2!$R306*P$4</f>
        <v>#N/A</v>
      </c>
      <c r="T306" s="37" t="e">
        <f>_xlfn.XLOOKUP(FME_Ranking2[[#This Row],[FME ID]],FME_Input[FME_ID],FME_Input[CRITFAC100])</f>
        <v>#N/A</v>
      </c>
      <c r="U306" s="35" t="e">
        <f>FME_Ranking_Option2!$T306*T$4</f>
        <v>#N/A</v>
      </c>
      <c r="V306" s="35" t="e">
        <f>FME_Ranking_Option2!$T306/($T$3)</f>
        <v>#N/A</v>
      </c>
      <c r="W306" s="35" t="e">
        <f>FME_Ranking_Option2!$V306*T$4</f>
        <v>#N/A</v>
      </c>
      <c r="X306" s="37" t="e">
        <f>_xlfn.XLOOKUP(FME_Ranking2[[#This Row],[FME ID]],FME_Input[FME_ID],FME_Input[LWC])</f>
        <v>#N/A</v>
      </c>
      <c r="Y306" s="35" t="e">
        <f>FME_Ranking_Option2!$X306*X$4</f>
        <v>#N/A</v>
      </c>
      <c r="Z306" s="35" t="e">
        <f>FME_Ranking_Option2!$X306/($X$3)</f>
        <v>#N/A</v>
      </c>
      <c r="AA306" s="35" t="e">
        <f>FME_Ranking_Option2!$Z306*X$4</f>
        <v>#N/A</v>
      </c>
      <c r="AB306" s="37" t="e">
        <f>_xlfn.XLOOKUP(FME_Ranking2[[#This Row],[FME ID]],FME_Input[FME_ID],FME_Input[ROADCLS])</f>
        <v>#N/A</v>
      </c>
      <c r="AC306" s="35" t="e">
        <f>FME_Ranking_Option2!$AB306*AB$4</f>
        <v>#N/A</v>
      </c>
      <c r="AD306" s="40" t="e">
        <f>_xlfn.XLOOKUP(FME_Ranking2[[#This Row],[FME ID]],FME_Input[FME_ID],FME_Input[ROAD_MILES100])</f>
        <v>#N/A</v>
      </c>
      <c r="AE306" s="41" t="e">
        <f>FME_Ranking_Option2!$AD306*AD$4</f>
        <v>#N/A</v>
      </c>
      <c r="AF306" s="42" t="e">
        <f>FME_Ranking_Option2!$AD306/($AD$3)</f>
        <v>#N/A</v>
      </c>
      <c r="AG306" s="42" t="e">
        <f>FME_Ranking_Option2!$AF306*AD$4</f>
        <v>#N/A</v>
      </c>
      <c r="AH306" s="40" t="e">
        <f>_xlfn.XLOOKUP(FME_Ranking2[[#This Row],[FME ID]],FME_Input[FME_ID],FME_Input[FARMACRE100])</f>
        <v>#N/A</v>
      </c>
      <c r="AI306" s="43" t="e">
        <f>FME_Ranking_Option2!$AH306*AH$4</f>
        <v>#N/A</v>
      </c>
      <c r="AJ306" s="41" t="e">
        <f>FME_Ranking_Option2!$AH306/($AH$3)</f>
        <v>#N/A</v>
      </c>
      <c r="AK306" s="44" t="e">
        <f>FME_Ranking_Option2!$AJ306*AH$4</f>
        <v>#N/A</v>
      </c>
      <c r="AL306"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#N/A</v>
      </c>
      <c r="AM306" s="45" t="e">
        <f>_xlfn.RANK.EQ(AL306,$AL$7:$AL$531)+COUNTIF(AL$7:AL306,AL306)-1</f>
        <v>#N/A</v>
      </c>
      <c r="AN306" s="44"/>
      <c r="AO306" s="45" t="e">
        <f>_xlfn.RANK.EQ(AN306,$AN$7:$AN$531)+COUNTIF(AN$7:AN306,AN306)-1</f>
        <v>#N/A</v>
      </c>
      <c r="AP30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#N/A</v>
      </c>
      <c r="AQ306" s="32" t="e">
        <f>FME_Ranking2[[#This Row],[Score Based on Reported Factors]]-FME_Ranking2[[#This Row],[Check]]</f>
        <v>#N/A</v>
      </c>
      <c r="AR306" s="32"/>
    </row>
    <row r="307" spans="1:55" ht="12" customHeight="1" x14ac:dyDescent="0.25">
      <c r="A307" s="16" t="s">
        <v>2047</v>
      </c>
      <c r="B307" s="16" t="str">
        <f>_xlfn.XLOOKUP(FME_Ranking2[[#This Row],[FME ID]],FME_Input[FME_ID],FME_Input[FME_NAME])</f>
        <v>City of Tomball Drainage Improvements</v>
      </c>
      <c r="C307" s="16" t="str">
        <f>_xlfn.XLOOKUP(FME_Ranking2[[#This Row],[FME ID]],FME_Input[FME_ID],FME_Input[DESCR])</f>
        <v>Study to the the drainage project for the City of Tomball is comprised of building storm sewer systems and channel conveyance to enable flood waters to be removed from portions of the city bounded by Holderrieth Road, SH 249, UPRR, and FM 2920.</v>
      </c>
      <c r="D307" s="46" t="str">
        <f>_xlfn.XLOOKUP(FME_Ranking2[[#This Row],[FME ID]],FME_Input[FME_ID],FME_Input[EMER_NEED])</f>
        <v>No</v>
      </c>
      <c r="E307" s="121">
        <f>IF(FME_Ranking_Option2!$D307="Yes",100,0)</f>
        <v>0</v>
      </c>
      <c r="F307" s="47" t="str">
        <f>_xlfn.XLOOKUP(FME_Ranking2[[#This Row],[FME ID]],FME_Input[FME_ID],FME_Input[FUND])</f>
        <v>Yes</v>
      </c>
      <c r="G307" s="48">
        <f>IF(FME_Ranking_Option2!$F307="Yes",1,0)</f>
        <v>1</v>
      </c>
      <c r="H307" s="46">
        <f>_xlfn.XLOOKUP(FME_Ranking2[[#This Row],[FME ID]],FME_Input[FME_ID],FME_Input[STRUCT_100])</f>
        <v>47</v>
      </c>
      <c r="I307" s="65" t="e">
        <f>FME_Ranking2[[#This Row],[Raw Data3]]*H$4</f>
        <v>#REF!</v>
      </c>
      <c r="J307" s="62">
        <f>((FME_Ranking_Option2!$H307)/($H$3))*100</f>
        <v>5.2229824563353108E-3</v>
      </c>
      <c r="K307" s="49" t="e">
        <f>FME_Ranking2[[#This Row],[Norm Data3]]*H$4</f>
        <v>#REF!</v>
      </c>
      <c r="L307" s="50">
        <f>_xlfn.XLOOKUP(FME_Ranking2[[#This Row],[FME ID]],FME_Input[FME_ID],FME_Input[RES_STRUCT100])</f>
        <v>29</v>
      </c>
      <c r="M307" s="51" t="e">
        <f>FME_Ranking2[[#This Row],[Raw Data4]]*L$4</f>
        <v>#REF!</v>
      </c>
      <c r="N307" s="29">
        <f>((FME_Ranking_Option2!$L307)/($L$3))*100</f>
        <v>4.3355863432020247E-3</v>
      </c>
      <c r="O307" s="52" t="e">
        <f>FME_Ranking2[[#This Row],[Norm Data4]]*L$4</f>
        <v>#REF!</v>
      </c>
      <c r="P307" s="47">
        <f>_xlfn.XLOOKUP(FME_Ranking2[[#This Row],[FME ID]],FME_Input[FME_ID],FME_Input[POP100])</f>
        <v>607</v>
      </c>
      <c r="Q307" s="48" t="e">
        <f>FME_Ranking_Option2!$P307*P$4</f>
        <v>#REF!</v>
      </c>
      <c r="R307" s="48">
        <f>FME_Ranking_Option2!$P307/($P$3)</f>
        <v>2.2278188882339598E-4</v>
      </c>
      <c r="S307" s="48" t="e">
        <f>FME_Ranking_Option2!$R307*P$4</f>
        <v>#REF!</v>
      </c>
      <c r="T307" s="50">
        <f>_xlfn.XLOOKUP(FME_Ranking2[[#This Row],[FME ID]],FME_Input[FME_ID],FME_Input[CRITFAC100])</f>
        <v>0</v>
      </c>
      <c r="U307" s="48" t="e">
        <f>FME_Ranking_Option2!$T307*T$4</f>
        <v>#REF!</v>
      </c>
      <c r="V307" s="48">
        <f>FME_Ranking_Option2!$T307/($T$3)</f>
        <v>0</v>
      </c>
      <c r="W307" s="48" t="e">
        <f>FME_Ranking_Option2!$V307*T$4</f>
        <v>#REF!</v>
      </c>
      <c r="X307" s="50">
        <f>_xlfn.XLOOKUP(FME_Ranking2[[#This Row],[FME ID]],FME_Input[FME_ID],FME_Input[LWC])</f>
        <v>0</v>
      </c>
      <c r="Y307" s="48" t="e">
        <f>FME_Ranking_Option2!$X307*X$4</f>
        <v>#REF!</v>
      </c>
      <c r="Z307" s="48">
        <f>FME_Ranking_Option2!$X307/($X$3)</f>
        <v>0</v>
      </c>
      <c r="AA307" s="48" t="e">
        <f>FME_Ranking_Option2!$Z307*X$4</f>
        <v>#REF!</v>
      </c>
      <c r="AB307" s="50">
        <f>_xlfn.XLOOKUP(FME_Ranking2[[#This Row],[FME ID]],FME_Input[FME_ID],FME_Input[ROADCLS])</f>
        <v>0</v>
      </c>
      <c r="AC307" s="48" t="e">
        <f>FME_Ranking_Option2!$AB307*AB$4</f>
        <v>#REF!</v>
      </c>
      <c r="AD307" s="53">
        <f>_xlfn.XLOOKUP(FME_Ranking2[[#This Row],[FME ID]],FME_Input[FME_ID],FME_Input[ROAD_MILES100])</f>
        <v>3.7131321430206299</v>
      </c>
      <c r="AE307" s="54" t="e">
        <f>FME_Ranking_Option2!$AD307*AD$4</f>
        <v>#REF!</v>
      </c>
      <c r="AF307" s="55">
        <f>FME_Ranking_Option2!$AD307/($AD$3)</f>
        <v>8.3869566189110454E-5</v>
      </c>
      <c r="AG307" s="55" t="e">
        <f>FME_Ranking_Option2!$AF307*AD$4</f>
        <v>#REF!</v>
      </c>
      <c r="AH307" s="53">
        <f>_xlfn.XLOOKUP(FME_Ranking2[[#This Row],[FME ID]],FME_Input[FME_ID],FME_Input[FARMACRE100])</f>
        <v>4.5960383415222168</v>
      </c>
      <c r="AI307" s="54" t="e">
        <f>FME_Ranking_Option2!$AH307*AH$4</f>
        <v>#REF!</v>
      </c>
      <c r="AJ307" s="56">
        <f>FME_Ranking_Option2!$AH307/($AH$3)</f>
        <v>2.6687328511086048E-4</v>
      </c>
      <c r="AK307" s="57" t="e">
        <f>FME_Ranking_Option2!$AJ307*AH$4</f>
        <v>#REF!</v>
      </c>
      <c r="AL307"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07" s="58" t="e">
        <f>_xlfn.RANK.EQ(AL307,$AL$7:$AL$531)+COUNTIF(AL$7:AL307,AL307)-1</f>
        <v>#REF!</v>
      </c>
      <c r="AN307" s="57"/>
      <c r="AO307" s="58" t="e">
        <f>_xlfn.RANK.EQ(AN307,$AN$7:$AN$531)+COUNTIF(AN$7:AN307,AN307)-1</f>
        <v>#N/A</v>
      </c>
      <c r="AP30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07" s="32" t="e">
        <f>FME_Ranking2[[#This Row],[Score Based on Reported Factors]]-FME_Ranking2[[#This Row],[Check]]</f>
        <v>#REF!</v>
      </c>
      <c r="AR307" s="32"/>
      <c r="AT307" s="19"/>
      <c r="AU307" s="19"/>
      <c r="AV307" s="19"/>
      <c r="AW307" s="19"/>
      <c r="AX307" s="19"/>
      <c r="AY307" s="19"/>
      <c r="AZ307" s="19"/>
      <c r="BA307" s="19"/>
      <c r="BB307" s="19"/>
      <c r="BC307" s="19"/>
    </row>
    <row r="308" spans="1:55" ht="12" customHeight="1" x14ac:dyDescent="0.25">
      <c r="A308" s="17" t="s">
        <v>2294</v>
      </c>
      <c r="B308" s="17" t="str">
        <f>_xlfn.XLOOKUP(FME_Ranking2[[#This Row],[FME ID]],FME_Input[FME_ID],FME_Input[FME_NAME])</f>
        <v>Cedar Bayou Flood Risk Reduction Study - Q128 Channel Improvements from US 90 to Q100 Confluence</v>
      </c>
      <c r="C308" s="17" t="str">
        <f>_xlfn.XLOOKUP(FME_Ranking2[[#This Row],[FME ID]],FME_Input[FME_ID],FME_Input[DESCR])</f>
        <v>Study to develop a Benefit Cost Analysis needed for this project to become a FMP. Cedar Bayou channel improvements from US 90 to Confluence with Q100.</v>
      </c>
      <c r="D308" s="33" t="str">
        <f>_xlfn.XLOOKUP(FME_Ranking2[[#This Row],[FME ID]],FME_Input[FME_ID],FME_Input[EMER_NEED])</f>
        <v>No</v>
      </c>
      <c r="E308" s="120">
        <f>IF(FME_Ranking_Option2!$D308="Yes",100,0)</f>
        <v>0</v>
      </c>
      <c r="F308" s="34" t="str">
        <f>_xlfn.XLOOKUP(FME_Ranking2[[#This Row],[FME ID]],FME_Input[FME_ID],FME_Input[FUND])</f>
        <v>Yes</v>
      </c>
      <c r="G308" s="35">
        <f>IF(FME_Ranking_Option2!$F308="Yes",1,0)</f>
        <v>1</v>
      </c>
      <c r="H308" s="33">
        <f>_xlfn.XLOOKUP(FME_Ranking2[[#This Row],[FME ID]],FME_Input[FME_ID],FME_Input[STRUCT_100])</f>
        <v>142</v>
      </c>
      <c r="I308" s="64" t="e">
        <f>FME_Ranking2[[#This Row],[Raw Data3]]*H$4</f>
        <v>#REF!</v>
      </c>
      <c r="J308" s="63">
        <f>((FME_Ranking_Option2!$H308)/($H$3))*100</f>
        <v>1.5780074655310939E-2</v>
      </c>
      <c r="K308" s="36" t="e">
        <f>FME_Ranking2[[#This Row],[Norm Data3]]*H$4</f>
        <v>#REF!</v>
      </c>
      <c r="L308" s="37">
        <f>_xlfn.XLOOKUP(FME_Ranking2[[#This Row],[FME ID]],FME_Input[FME_ID],FME_Input[RES_STRUCT100])</f>
        <v>81</v>
      </c>
      <c r="M308" s="38" t="e">
        <f>FME_Ranking2[[#This Row],[Raw Data4]]*L$4</f>
        <v>#REF!</v>
      </c>
      <c r="N308" s="28">
        <f>((FME_Ranking_Option2!$L308)/($L$3))*100</f>
        <v>1.210974116549531E-2</v>
      </c>
      <c r="O308" s="39" t="e">
        <f>FME_Ranking2[[#This Row],[Norm Data4]]*L$4</f>
        <v>#REF!</v>
      </c>
      <c r="P308" s="34">
        <f>_xlfn.XLOOKUP(FME_Ranking2[[#This Row],[FME ID]],FME_Input[FME_ID],FME_Input[POP100])</f>
        <v>199</v>
      </c>
      <c r="Q308" s="35" t="e">
        <f>FME_Ranking_Option2!$P308*P$4</f>
        <v>#REF!</v>
      </c>
      <c r="R308" s="35">
        <f>FME_Ranking_Option2!$P308/($P$3)</f>
        <v>7.3037225495643831E-5</v>
      </c>
      <c r="S308" s="35" t="e">
        <f>FME_Ranking_Option2!$R308*P$4</f>
        <v>#REF!</v>
      </c>
      <c r="T308" s="37">
        <f>_xlfn.XLOOKUP(FME_Ranking2[[#This Row],[FME ID]],FME_Input[FME_ID],FME_Input[CRITFAC100])</f>
        <v>0</v>
      </c>
      <c r="U308" s="35" t="e">
        <f>FME_Ranking_Option2!$T308*T$4</f>
        <v>#REF!</v>
      </c>
      <c r="V308" s="35">
        <f>FME_Ranking_Option2!$T308/($T$3)</f>
        <v>0</v>
      </c>
      <c r="W308" s="35" t="e">
        <f>FME_Ranking_Option2!$V308*T$4</f>
        <v>#REF!</v>
      </c>
      <c r="X308" s="37">
        <f>_xlfn.XLOOKUP(FME_Ranking2[[#This Row],[FME ID]],FME_Input[FME_ID],FME_Input[LWC])</f>
        <v>0</v>
      </c>
      <c r="Y308" s="35" t="e">
        <f>FME_Ranking_Option2!$X308*X$4</f>
        <v>#REF!</v>
      </c>
      <c r="Z308" s="35">
        <f>FME_Ranking_Option2!$X308/($X$3)</f>
        <v>0</v>
      </c>
      <c r="AA308" s="35" t="e">
        <f>FME_Ranking_Option2!$Z308*X$4</f>
        <v>#REF!</v>
      </c>
      <c r="AB308" s="37">
        <f>_xlfn.XLOOKUP(FME_Ranking2[[#This Row],[FME ID]],FME_Input[FME_ID],FME_Input[ROADCLS])</f>
        <v>0</v>
      </c>
      <c r="AC308" s="35" t="e">
        <f>FME_Ranking_Option2!$AB308*AB$4</f>
        <v>#REF!</v>
      </c>
      <c r="AD308" s="40">
        <f>_xlfn.XLOOKUP(FME_Ranking2[[#This Row],[FME ID]],FME_Input[FME_ID],FME_Input[ROAD_MILES100])</f>
        <v>6.2481751441955566</v>
      </c>
      <c r="AE308" s="41" t="e">
        <f>FME_Ranking_Option2!$AD308*AD$4</f>
        <v>#REF!</v>
      </c>
      <c r="AF308" s="42">
        <f>FME_Ranking_Option2!$AD308/($AD$3)</f>
        <v>1.4112929964053597E-4</v>
      </c>
      <c r="AG308" s="42" t="e">
        <f>FME_Ranking_Option2!$AF308*AD$4</f>
        <v>#REF!</v>
      </c>
      <c r="AH308" s="40">
        <f>_xlfn.XLOOKUP(FME_Ranking2[[#This Row],[FME ID]],FME_Input[FME_ID],FME_Input[FARMACRE100])</f>
        <v>160.9646911621094</v>
      </c>
      <c r="AI308" s="43" t="e">
        <f>FME_Ranking_Option2!$AH308*AH$4</f>
        <v>#REF!</v>
      </c>
      <c r="AJ308" s="41">
        <f>FME_Ranking_Option2!$AH308/($AH$3)</f>
        <v>9.3465660478062353E-3</v>
      </c>
      <c r="AK308" s="44" t="e">
        <f>FME_Ranking_Option2!$AJ308*AH$4</f>
        <v>#REF!</v>
      </c>
      <c r="AL30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08" s="45" t="e">
        <f>_xlfn.RANK.EQ(AL308,$AL$7:$AL$531)+COUNTIF(AL$7:AL308,AL308)-1</f>
        <v>#REF!</v>
      </c>
      <c r="AN308" s="44"/>
      <c r="AO308" s="45" t="e">
        <f>_xlfn.RANK.EQ(AN308,$AN$7:$AN$531)+COUNTIF(AN$7:AN308,AN308)-1</f>
        <v>#N/A</v>
      </c>
      <c r="AP30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08" s="32" t="e">
        <f>FME_Ranking2[[#This Row],[Score Based on Reported Factors]]-FME_Ranking2[[#This Row],[Check]]</f>
        <v>#REF!</v>
      </c>
      <c r="AR308" s="32"/>
    </row>
    <row r="309" spans="1:55" ht="12" customHeight="1" x14ac:dyDescent="0.25">
      <c r="A309" s="16" t="s">
        <v>2233</v>
      </c>
      <c r="B309" s="16" t="str">
        <f>_xlfn.XLOOKUP(FME_Ranking2[[#This Row],[FME ID]],FME_Input[FME_ID],FME_Input[FME_NAME])</f>
        <v>Cedar Bayou Flood Risk Reduction Study - Channel improvements from US 90 to FM 1942</v>
      </c>
      <c r="C309" s="16" t="str">
        <f>_xlfn.XLOOKUP(FME_Ranking2[[#This Row],[FME ID]],FME_Input[FME_ID],FME_Input[DESCR])</f>
        <v>Study to develop a Benefit Cost Analysis needed for this project to become a FMP. Cedar Bayou channel improvements from US 90 to FM 1942.</v>
      </c>
      <c r="D309" s="46" t="str">
        <f>_xlfn.XLOOKUP(FME_Ranking2[[#This Row],[FME ID]],FME_Input[FME_ID],FME_Input[EMER_NEED])</f>
        <v>No</v>
      </c>
      <c r="E309" s="121">
        <f>IF(FME_Ranking_Option2!$D309="Yes",100,0)</f>
        <v>0</v>
      </c>
      <c r="F309" s="47" t="str">
        <f>_xlfn.XLOOKUP(FME_Ranking2[[#This Row],[FME ID]],FME_Input[FME_ID],FME_Input[FUND])</f>
        <v>Yes</v>
      </c>
      <c r="G309" s="48">
        <f>IF(FME_Ranking_Option2!$F309="Yes",1,0)</f>
        <v>1</v>
      </c>
      <c r="H309" s="46">
        <f>_xlfn.XLOOKUP(FME_Ranking2[[#This Row],[FME ID]],FME_Input[FME_ID],FME_Input[STRUCT_100])</f>
        <v>228</v>
      </c>
      <c r="I309" s="65" t="e">
        <f>FME_Ranking2[[#This Row],[Raw Data3]]*H$4</f>
        <v>#REF!</v>
      </c>
      <c r="J309" s="62">
        <f>((FME_Ranking_Option2!$H309)/($H$3))*100</f>
        <v>2.5337021277541505E-2</v>
      </c>
      <c r="K309" s="49" t="e">
        <f>FME_Ranking2[[#This Row],[Norm Data3]]*H$4</f>
        <v>#REF!</v>
      </c>
      <c r="L309" s="50">
        <f>_xlfn.XLOOKUP(FME_Ranking2[[#This Row],[FME ID]],FME_Input[FME_ID],FME_Input[RES_STRUCT100])</f>
        <v>119</v>
      </c>
      <c r="M309" s="51" t="e">
        <f>FME_Ranking2[[#This Row],[Raw Data4]]*L$4</f>
        <v>#REF!</v>
      </c>
      <c r="N309" s="29">
        <f>((FME_Ranking_Option2!$L309)/($L$3))*100</f>
        <v>1.7790854304863483E-2</v>
      </c>
      <c r="O309" s="52" t="e">
        <f>FME_Ranking2[[#This Row],[Norm Data4]]*L$4</f>
        <v>#REF!</v>
      </c>
      <c r="P309" s="47">
        <f>_xlfn.XLOOKUP(FME_Ranking2[[#This Row],[FME ID]],FME_Input[FME_ID],FME_Input[POP100])</f>
        <v>345</v>
      </c>
      <c r="Q309" s="48" t="e">
        <f>FME_Ranking_Option2!$P309*P$4</f>
        <v>#REF!</v>
      </c>
      <c r="R309" s="48">
        <f>FME_Ranking_Option2!$P309/($P$3)</f>
        <v>1.2662232560802574E-4</v>
      </c>
      <c r="S309" s="48" t="e">
        <f>FME_Ranking_Option2!$R309*P$4</f>
        <v>#REF!</v>
      </c>
      <c r="T309" s="50">
        <f>_xlfn.XLOOKUP(FME_Ranking2[[#This Row],[FME ID]],FME_Input[FME_ID],FME_Input[CRITFAC100])</f>
        <v>0</v>
      </c>
      <c r="U309" s="48" t="e">
        <f>FME_Ranking_Option2!$T309*T$4</f>
        <v>#REF!</v>
      </c>
      <c r="V309" s="48">
        <f>FME_Ranking_Option2!$T309/($T$3)</f>
        <v>0</v>
      </c>
      <c r="W309" s="48" t="e">
        <f>FME_Ranking_Option2!$V309*T$4</f>
        <v>#REF!</v>
      </c>
      <c r="X309" s="50">
        <f>_xlfn.XLOOKUP(FME_Ranking2[[#This Row],[FME ID]],FME_Input[FME_ID],FME_Input[LWC])</f>
        <v>0</v>
      </c>
      <c r="Y309" s="48" t="e">
        <f>FME_Ranking_Option2!$X309*X$4</f>
        <v>#REF!</v>
      </c>
      <c r="Z309" s="48">
        <f>FME_Ranking_Option2!$X309/($X$3)</f>
        <v>0</v>
      </c>
      <c r="AA309" s="48" t="e">
        <f>FME_Ranking_Option2!$Z309*X$4</f>
        <v>#REF!</v>
      </c>
      <c r="AB309" s="50">
        <f>_xlfn.XLOOKUP(FME_Ranking2[[#This Row],[FME ID]],FME_Input[FME_ID],FME_Input[ROADCLS])</f>
        <v>0</v>
      </c>
      <c r="AC309" s="48" t="e">
        <f>FME_Ranking_Option2!$AB309*AB$4</f>
        <v>#REF!</v>
      </c>
      <c r="AD309" s="53">
        <f>_xlfn.XLOOKUP(FME_Ranking2[[#This Row],[FME ID]],FME_Input[FME_ID],FME_Input[ROAD_MILES100])</f>
        <v>11.83630847930908</v>
      </c>
      <c r="AE309" s="54" t="e">
        <f>FME_Ranking_Option2!$AD309*AD$4</f>
        <v>#REF!</v>
      </c>
      <c r="AF309" s="55">
        <f>FME_Ranking_Option2!$AD309/($AD$3)</f>
        <v>2.6735004820824303E-4</v>
      </c>
      <c r="AG309" s="55" t="e">
        <f>FME_Ranking_Option2!$AF309*AD$4</f>
        <v>#REF!</v>
      </c>
      <c r="AH309" s="53">
        <f>_xlfn.XLOOKUP(FME_Ranking2[[#This Row],[FME ID]],FME_Input[FME_ID],FME_Input[FARMACRE100])</f>
        <v>891.77978515625</v>
      </c>
      <c r="AI309" s="54" t="e">
        <f>FME_Ranking_Option2!$AH309*AH$4</f>
        <v>#REF!</v>
      </c>
      <c r="AJ309" s="56">
        <f>FME_Ranking_Option2!$AH309/($AH$3)</f>
        <v>5.1782031213708793E-2</v>
      </c>
      <c r="AK309" s="57" t="e">
        <f>FME_Ranking_Option2!$AJ309*AH$4</f>
        <v>#REF!</v>
      </c>
      <c r="AL30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09" s="58" t="e">
        <f>_xlfn.RANK.EQ(AL309,$AL$7:$AL$531)+COUNTIF(AL$7:AL309,AL309)-1</f>
        <v>#REF!</v>
      </c>
      <c r="AN309" s="57"/>
      <c r="AO309" s="58" t="e">
        <f>_xlfn.RANK.EQ(AN309,$AN$7:$AN$531)+COUNTIF(AN$7:AN309,AN309)-1</f>
        <v>#N/A</v>
      </c>
      <c r="AP30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09" s="32" t="e">
        <f>FME_Ranking2[[#This Row],[Score Based on Reported Factors]]-FME_Ranking2[[#This Row],[Check]]</f>
        <v>#REF!</v>
      </c>
      <c r="AR309" s="32"/>
      <c r="AT309" s="19"/>
      <c r="AU309" s="19"/>
      <c r="AV309" s="19"/>
      <c r="AW309" s="19"/>
      <c r="AX309" s="19"/>
      <c r="AY309" s="19"/>
      <c r="AZ309" s="19"/>
      <c r="BA309" s="19"/>
      <c r="BB309" s="19"/>
      <c r="BC309" s="19"/>
    </row>
    <row r="310" spans="1:55" ht="12" customHeight="1" x14ac:dyDescent="0.25">
      <c r="A310" s="17" t="s">
        <v>2241</v>
      </c>
      <c r="B310" s="17" t="str">
        <f>_xlfn.XLOOKUP(FME_Ranking2[[#This Row],[FME ID]],FME_Input[FME_ID],FME_Input[FME_NAME])</f>
        <v>Cedar Bayou Flood Risk Reduction Study - Channel improvements upstream of FM 1960</v>
      </c>
      <c r="C310" s="17" t="str">
        <f>_xlfn.XLOOKUP(FME_Ranking2[[#This Row],[FME ID]],FME_Input[FME_ID],FME_Input[DESCR])</f>
        <v>Study to develop a Benefit Cost Analysis needed for this project to become a FMP. Cedar Bayou channel improvements upstream of FM 1960.</v>
      </c>
      <c r="D310" s="33" t="str">
        <f>_xlfn.XLOOKUP(FME_Ranking2[[#This Row],[FME ID]],FME_Input[FME_ID],FME_Input[EMER_NEED])</f>
        <v>No</v>
      </c>
      <c r="E310" s="120">
        <f>IF(FME_Ranking_Option2!$D310="Yes",100,0)</f>
        <v>0</v>
      </c>
      <c r="F310" s="34" t="str">
        <f>_xlfn.XLOOKUP(FME_Ranking2[[#This Row],[FME ID]],FME_Input[FME_ID],FME_Input[FUND])</f>
        <v>Yes</v>
      </c>
      <c r="G310" s="35">
        <f>IF(FME_Ranking_Option2!$F310="Yes",1,0)</f>
        <v>1</v>
      </c>
      <c r="H310" s="33">
        <f>_xlfn.XLOOKUP(FME_Ranking2[[#This Row],[FME ID]],FME_Input[FME_ID],FME_Input[STRUCT_100])</f>
        <v>75</v>
      </c>
      <c r="I310" s="64" t="e">
        <f>FME_Ranking2[[#This Row],[Raw Data3]]*H$4</f>
        <v>#REF!</v>
      </c>
      <c r="J310" s="63">
        <f>((FME_Ranking_Option2!$H310)/($H$3))*100</f>
        <v>8.3345464728754957E-3</v>
      </c>
      <c r="K310" s="36" t="e">
        <f>FME_Ranking2[[#This Row],[Norm Data3]]*H$4</f>
        <v>#REF!</v>
      </c>
      <c r="L310" s="37">
        <f>_xlfn.XLOOKUP(FME_Ranking2[[#This Row],[FME ID]],FME_Input[FME_ID],FME_Input[RES_STRUCT100])</f>
        <v>51</v>
      </c>
      <c r="M310" s="38" t="e">
        <f>FME_Ranking2[[#This Row],[Raw Data4]]*L$4</f>
        <v>#REF!</v>
      </c>
      <c r="N310" s="28">
        <f>((FME_Ranking_Option2!$L310)/($L$3))*100</f>
        <v>7.6246518449414923E-3</v>
      </c>
      <c r="O310" s="39" t="e">
        <f>FME_Ranking2[[#This Row],[Norm Data4]]*L$4</f>
        <v>#REF!</v>
      </c>
      <c r="P310" s="34">
        <f>_xlfn.XLOOKUP(FME_Ranking2[[#This Row],[FME ID]],FME_Input[FME_ID],FME_Input[POP100])</f>
        <v>147</v>
      </c>
      <c r="Q310" s="35" t="e">
        <f>FME_Ranking_Option2!$P310*P$4</f>
        <v>#REF!</v>
      </c>
      <c r="R310" s="35">
        <f>FME_Ranking_Option2!$P310/($P$3)</f>
        <v>5.3952121346028353E-5</v>
      </c>
      <c r="S310" s="35" t="e">
        <f>FME_Ranking_Option2!$R310*P$4</f>
        <v>#REF!</v>
      </c>
      <c r="T310" s="37">
        <f>_xlfn.XLOOKUP(FME_Ranking2[[#This Row],[FME ID]],FME_Input[FME_ID],FME_Input[CRITFAC100])</f>
        <v>0</v>
      </c>
      <c r="U310" s="35" t="e">
        <f>FME_Ranking_Option2!$T310*T$4</f>
        <v>#REF!</v>
      </c>
      <c r="V310" s="35">
        <f>FME_Ranking_Option2!$T310/($T$3)</f>
        <v>0</v>
      </c>
      <c r="W310" s="35" t="e">
        <f>FME_Ranking_Option2!$V310*T$4</f>
        <v>#REF!</v>
      </c>
      <c r="X310" s="37">
        <f>_xlfn.XLOOKUP(FME_Ranking2[[#This Row],[FME ID]],FME_Input[FME_ID],FME_Input[LWC])</f>
        <v>0</v>
      </c>
      <c r="Y310" s="35" t="e">
        <f>FME_Ranking_Option2!$X310*X$4</f>
        <v>#REF!</v>
      </c>
      <c r="Z310" s="35">
        <f>FME_Ranking_Option2!$X310/($X$3)</f>
        <v>0</v>
      </c>
      <c r="AA310" s="35" t="e">
        <f>FME_Ranking_Option2!$Z310*X$4</f>
        <v>#REF!</v>
      </c>
      <c r="AB310" s="37">
        <f>_xlfn.XLOOKUP(FME_Ranking2[[#This Row],[FME ID]],FME_Input[FME_ID],FME_Input[ROADCLS])</f>
        <v>0</v>
      </c>
      <c r="AC310" s="35" t="e">
        <f>FME_Ranking_Option2!$AB310*AB$4</f>
        <v>#REF!</v>
      </c>
      <c r="AD310" s="40">
        <f>_xlfn.XLOOKUP(FME_Ranking2[[#This Row],[FME ID]],FME_Input[FME_ID],FME_Input[ROAD_MILES100])</f>
        <v>4.9218950271606454</v>
      </c>
      <c r="AE310" s="41" t="e">
        <f>FME_Ranking_Option2!$AD310*AD$4</f>
        <v>#REF!</v>
      </c>
      <c r="AF310" s="42">
        <f>FME_Ranking_Option2!$AD310/($AD$3)</f>
        <v>1.1117223542184338E-4</v>
      </c>
      <c r="AG310" s="42" t="e">
        <f>FME_Ranking_Option2!$AF310*AD$4</f>
        <v>#REF!</v>
      </c>
      <c r="AH310" s="40">
        <f>_xlfn.XLOOKUP(FME_Ranking2[[#This Row],[FME ID]],FME_Input[FME_ID],FME_Input[FARMACRE100])</f>
        <v>463.47845458984381</v>
      </c>
      <c r="AI310" s="43" t="e">
        <f>FME_Ranking_Option2!$AH310*AH$4</f>
        <v>#REF!</v>
      </c>
      <c r="AJ310" s="41">
        <f>FME_Ranking_Option2!$AH310/($AH$3)</f>
        <v>2.691231198770418E-2</v>
      </c>
      <c r="AK310" s="44" t="e">
        <f>FME_Ranking_Option2!$AJ310*AH$4</f>
        <v>#REF!</v>
      </c>
      <c r="AL31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10" s="45" t="e">
        <f>_xlfn.RANK.EQ(AL310,$AL$7:$AL$531)+COUNTIF(AL$7:AL310,AL310)-1</f>
        <v>#REF!</v>
      </c>
      <c r="AN310" s="44"/>
      <c r="AO310" s="45" t="e">
        <f>_xlfn.RANK.EQ(AN310,$AN$7:$AN$531)+COUNTIF(AN$7:AN310,AN310)-1</f>
        <v>#N/A</v>
      </c>
      <c r="AP31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10" s="32" t="e">
        <f>FME_Ranking2[[#This Row],[Score Based on Reported Factors]]-FME_Ranking2[[#This Row],[Check]]</f>
        <v>#REF!</v>
      </c>
      <c r="AR310" s="32"/>
    </row>
    <row r="311" spans="1:55" ht="12" customHeight="1" x14ac:dyDescent="0.25">
      <c r="A311" s="16" t="s">
        <v>2050</v>
      </c>
      <c r="B311" s="16" t="str">
        <f>_xlfn.XLOOKUP(FME_Ranking2[[#This Row],[FME ID]],FME_Input[FME_ID],FME_Input[FME_NAME])</f>
        <v>Houston Braeburn Glen Area Flood Mitigation</v>
      </c>
      <c r="C311" s="16" t="str">
        <f>_xlfn.XLOOKUP(FME_Ranking2[[#This Row],[FME ID]],FME_Input[FME_ID],FME_Input[DESCR])</f>
        <v xml:space="preserve">Further study of a proposed project that includes upsizing of the existing stormwater system with new pipes, inlets, and manholes. Lateral improvement will be completed on Mahoning Drive and Valley View Lane. </v>
      </c>
      <c r="D311" s="46" t="str">
        <f>_xlfn.XLOOKUP(FME_Ranking2[[#This Row],[FME ID]],FME_Input[FME_ID],FME_Input[EMER_NEED])</f>
        <v>No</v>
      </c>
      <c r="E311" s="121">
        <f>IF(FME_Ranking_Option2!$D311="Yes",100,0)</f>
        <v>0</v>
      </c>
      <c r="F311" s="47" t="str">
        <f>_xlfn.XLOOKUP(FME_Ranking2[[#This Row],[FME ID]],FME_Input[FME_ID],FME_Input[FUND])</f>
        <v>Yes</v>
      </c>
      <c r="G311" s="48">
        <f>IF(FME_Ranking_Option2!$F311="Yes",1,0)</f>
        <v>1</v>
      </c>
      <c r="H311" s="46">
        <f>_xlfn.XLOOKUP(FME_Ranking2[[#This Row],[FME ID]],FME_Input[FME_ID],FME_Input[STRUCT_100])</f>
        <v>32129</v>
      </c>
      <c r="I311" s="65" t="e">
        <f>FME_Ranking2[[#This Row],[Raw Data3]]*H$4</f>
        <v>#REF!</v>
      </c>
      <c r="J311" s="62">
        <f>((FME_Ranking_Option2!$H311)/($H$3))*100</f>
        <v>3.5704085816935578</v>
      </c>
      <c r="K311" s="49" t="e">
        <f>FME_Ranking2[[#This Row],[Norm Data3]]*H$4</f>
        <v>#REF!</v>
      </c>
      <c r="L311" s="50">
        <f>_xlfn.XLOOKUP(FME_Ranking2[[#This Row],[FME ID]],FME_Input[FME_ID],FME_Input[RES_STRUCT100])</f>
        <v>29534</v>
      </c>
      <c r="M311" s="51" t="e">
        <f>FME_Ranking2[[#This Row],[Raw Data4]]*L$4</f>
        <v>#REF!</v>
      </c>
      <c r="N311" s="29">
        <f>((FME_Ranking_Option2!$L311)/($L$3))*100</f>
        <v>4.4154209331078835</v>
      </c>
      <c r="O311" s="52" t="e">
        <f>FME_Ranking2[[#This Row],[Norm Data4]]*L$4</f>
        <v>#REF!</v>
      </c>
      <c r="P311" s="47">
        <f>_xlfn.XLOOKUP(FME_Ranking2[[#This Row],[FME ID]],FME_Input[FME_ID],FME_Input[POP100])</f>
        <v>267993</v>
      </c>
      <c r="Q311" s="48" t="e">
        <f>FME_Ranking_Option2!$P311*P$4</f>
        <v>#REF!</v>
      </c>
      <c r="R311" s="48">
        <f>FME_Ranking_Option2!$P311/($P$3)</f>
        <v>9.8359121468613447E-2</v>
      </c>
      <c r="S311" s="48" t="e">
        <f>FME_Ranking_Option2!$R311*P$4</f>
        <v>#REF!</v>
      </c>
      <c r="T311" s="50">
        <f>_xlfn.XLOOKUP(FME_Ranking2[[#This Row],[FME ID]],FME_Input[FME_ID],FME_Input[CRITFAC100])</f>
        <v>448</v>
      </c>
      <c r="U311" s="48" t="e">
        <f>FME_Ranking_Option2!$T311*T$4</f>
        <v>#REF!</v>
      </c>
      <c r="V311" s="48">
        <f>FME_Ranking_Option2!$T311/($T$3)</f>
        <v>6.3178677196446195E-2</v>
      </c>
      <c r="W311" s="48" t="e">
        <f>FME_Ranking_Option2!$V311*T$4</f>
        <v>#REF!</v>
      </c>
      <c r="X311" s="50">
        <f>_xlfn.XLOOKUP(FME_Ranking2[[#This Row],[FME ID]],FME_Input[FME_ID],FME_Input[LWC])</f>
        <v>1</v>
      </c>
      <c r="Y311" s="48" t="e">
        <f>FME_Ranking_Option2!$X311*X$4</f>
        <v>#REF!</v>
      </c>
      <c r="Z311" s="48">
        <f>FME_Ranking_Option2!$X311/($X$3)</f>
        <v>9.1224229155263632E-5</v>
      </c>
      <c r="AA311" s="48" t="e">
        <f>FME_Ranking_Option2!$Z311*X$4</f>
        <v>#REF!</v>
      </c>
      <c r="AB311" s="50">
        <f>_xlfn.XLOOKUP(FME_Ranking2[[#This Row],[FME ID]],FME_Input[FME_ID],FME_Input[ROADCLS])</f>
        <v>1</v>
      </c>
      <c r="AC311" s="48" t="e">
        <f>FME_Ranking_Option2!$AB311*AB$4</f>
        <v>#REF!</v>
      </c>
      <c r="AD311" s="53">
        <f>_xlfn.XLOOKUP(FME_Ranking2[[#This Row],[FME ID]],FME_Input[FME_ID],FME_Input[ROAD_MILES100])</f>
        <v>412.19985961914063</v>
      </c>
      <c r="AE311" s="54" t="e">
        <f>FME_Ranking_Option2!$AD311*AD$4</f>
        <v>#REF!</v>
      </c>
      <c r="AF311" s="55">
        <f>FME_Ranking_Option2!$AD311/($AD$3)</f>
        <v>9.3104748438459974E-3</v>
      </c>
      <c r="AG311" s="55" t="e">
        <f>FME_Ranking_Option2!$AF311*AD$4</f>
        <v>#REF!</v>
      </c>
      <c r="AH311" s="53">
        <f>_xlfn.XLOOKUP(FME_Ranking2[[#This Row],[FME ID]],FME_Input[FME_ID],FME_Input[FARMACRE100])</f>
        <v>41.825786590576172</v>
      </c>
      <c r="AI311" s="54" t="e">
        <f>FME_Ranking_Option2!$AH311*AH$4</f>
        <v>#REF!</v>
      </c>
      <c r="AJ311" s="56">
        <f>FME_Ranking_Option2!$AH311/($AH$3)</f>
        <v>2.4286536012830349E-3</v>
      </c>
      <c r="AK311" s="57" t="e">
        <f>FME_Ranking_Option2!$AJ311*AH$4</f>
        <v>#REF!</v>
      </c>
      <c r="AL31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11" s="58" t="e">
        <f>_xlfn.RANK.EQ(AL311,$AL$7:$AL$531)+COUNTIF(AL$7:AL311,AL311)-1</f>
        <v>#REF!</v>
      </c>
      <c r="AN311" s="57"/>
      <c r="AO311" s="58" t="e">
        <f>_xlfn.RANK.EQ(AN311,$AN$7:$AN$531)+COUNTIF(AN$7:AN311,AN311)-1</f>
        <v>#N/A</v>
      </c>
      <c r="AP31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11" s="32" t="e">
        <f>FME_Ranking2[[#This Row],[Score Based on Reported Factors]]-FME_Ranking2[[#This Row],[Check]]</f>
        <v>#REF!</v>
      </c>
      <c r="AR311" s="32"/>
      <c r="AT311" s="19"/>
      <c r="AU311" s="19"/>
      <c r="AV311" s="19"/>
      <c r="AW311" s="19"/>
      <c r="AX311" s="19"/>
      <c r="AY311" s="19"/>
      <c r="AZ311" s="19"/>
      <c r="BA311" s="19"/>
      <c r="BB311" s="19"/>
      <c r="BC311" s="19"/>
    </row>
    <row r="312" spans="1:55" ht="12" customHeight="1" x14ac:dyDescent="0.25">
      <c r="A312" s="17" t="s">
        <v>2054</v>
      </c>
      <c r="B312" s="17" t="str">
        <f>_xlfn.XLOOKUP(FME_Ranking2[[#This Row],[FME ID]],FME_Input[FME_ID],FME_Input[FME_NAME])</f>
        <v>Roman Forest Boulevard Bridge Elevation Project</v>
      </c>
      <c r="C312" s="17" t="str">
        <f>_xlfn.XLOOKUP(FME_Ranking2[[#This Row],[FME ID]],FME_Input[FME_ID],FME_Input[DESCR])</f>
        <v xml:space="preserve">Further study of this project involves the study, design, elevation, and replacement of the Roman Forest Boulevard Bridge to mitigate the risks associated with storms and riverine flooding for the approximate 15,000 citizens. </v>
      </c>
      <c r="D312" s="33" t="str">
        <f>_xlfn.XLOOKUP(FME_Ranking2[[#This Row],[FME ID]],FME_Input[FME_ID],FME_Input[EMER_NEED])</f>
        <v>No</v>
      </c>
      <c r="E312" s="120">
        <f>IF(FME_Ranking_Option2!$D312="Yes",100,0)</f>
        <v>0</v>
      </c>
      <c r="F312" s="34" t="str">
        <f>_xlfn.XLOOKUP(FME_Ranking2[[#This Row],[FME ID]],FME_Input[FME_ID],FME_Input[FUND])</f>
        <v>Yes</v>
      </c>
      <c r="G312" s="35">
        <f>IF(FME_Ranking_Option2!$F312="Yes",1,0)</f>
        <v>1</v>
      </c>
      <c r="H312" s="33">
        <f>_xlfn.XLOOKUP(FME_Ranking2[[#This Row],[FME ID]],FME_Input[FME_ID],FME_Input[STRUCT_100])</f>
        <v>86</v>
      </c>
      <c r="I312" s="64" t="e">
        <f>FME_Ranking2[[#This Row],[Raw Data3]]*H$4</f>
        <v>#REF!</v>
      </c>
      <c r="J312" s="63">
        <f>((FME_Ranking_Option2!$H312)/($H$3))*100</f>
        <v>9.5569466222305693E-3</v>
      </c>
      <c r="K312" s="36" t="e">
        <f>FME_Ranking2[[#This Row],[Norm Data3]]*H$4</f>
        <v>#REF!</v>
      </c>
      <c r="L312" s="37">
        <f>_xlfn.XLOOKUP(FME_Ranking2[[#This Row],[FME ID]],FME_Input[FME_ID],FME_Input[RES_STRUCT100])</f>
        <v>73</v>
      </c>
      <c r="M312" s="38" t="e">
        <f>FME_Ranking2[[#This Row],[Raw Data4]]*L$4</f>
        <v>#REF!</v>
      </c>
      <c r="N312" s="28">
        <f>((FME_Ranking_Option2!$L312)/($L$3))*100</f>
        <v>1.091371734668096E-2</v>
      </c>
      <c r="O312" s="39" t="e">
        <f>FME_Ranking2[[#This Row],[Norm Data4]]*L$4</f>
        <v>#REF!</v>
      </c>
      <c r="P312" s="34">
        <f>_xlfn.XLOOKUP(FME_Ranking2[[#This Row],[FME ID]],FME_Input[FME_ID],FME_Input[POP100])</f>
        <v>270</v>
      </c>
      <c r="Q312" s="35" t="e">
        <f>FME_Ranking_Option2!$P312*P$4</f>
        <v>#REF!</v>
      </c>
      <c r="R312" s="35">
        <f>FME_Ranking_Option2!$P312/($P$3)</f>
        <v>9.9095733084541868E-5</v>
      </c>
      <c r="S312" s="35" t="e">
        <f>FME_Ranking_Option2!$R312*P$4</f>
        <v>#REF!</v>
      </c>
      <c r="T312" s="37">
        <f>_xlfn.XLOOKUP(FME_Ranking2[[#This Row],[FME ID]],FME_Input[FME_ID],FME_Input[CRITFAC100])</f>
        <v>0</v>
      </c>
      <c r="U312" s="35" t="e">
        <f>FME_Ranking_Option2!$T312*T$4</f>
        <v>#REF!</v>
      </c>
      <c r="V312" s="35">
        <f>FME_Ranking_Option2!$T312/($T$3)</f>
        <v>0</v>
      </c>
      <c r="W312" s="35" t="e">
        <f>FME_Ranking_Option2!$V312*T$4</f>
        <v>#REF!</v>
      </c>
      <c r="X312" s="37">
        <f>_xlfn.XLOOKUP(FME_Ranking2[[#This Row],[FME ID]],FME_Input[FME_ID],FME_Input[LWC])</f>
        <v>0</v>
      </c>
      <c r="Y312" s="35" t="e">
        <f>FME_Ranking_Option2!$X312*X$4</f>
        <v>#REF!</v>
      </c>
      <c r="Z312" s="35">
        <f>FME_Ranking_Option2!$X312/($X$3)</f>
        <v>0</v>
      </c>
      <c r="AA312" s="35" t="e">
        <f>FME_Ranking_Option2!$Z312*X$4</f>
        <v>#REF!</v>
      </c>
      <c r="AB312" s="37">
        <f>_xlfn.XLOOKUP(FME_Ranking2[[#This Row],[FME ID]],FME_Input[FME_ID],FME_Input[ROADCLS])</f>
        <v>0</v>
      </c>
      <c r="AC312" s="35" t="e">
        <f>FME_Ranking_Option2!$AB312*AB$4</f>
        <v>#REF!</v>
      </c>
      <c r="AD312" s="40">
        <f>_xlfn.XLOOKUP(FME_Ranking2[[#This Row],[FME ID]],FME_Input[FME_ID],FME_Input[ROAD_MILES100])</f>
        <v>3.1773431301116939</v>
      </c>
      <c r="AE312" s="41" t="e">
        <f>FME_Ranking_Option2!$AD312*AD$4</f>
        <v>#REF!</v>
      </c>
      <c r="AF312" s="42">
        <f>FME_Ranking_Option2!$AD312/($AD$3)</f>
        <v>7.176754817555049E-5</v>
      </c>
      <c r="AG312" s="42" t="e">
        <f>FME_Ranking_Option2!$AF312*AD$4</f>
        <v>#REF!</v>
      </c>
      <c r="AH312" s="40">
        <f>_xlfn.XLOOKUP(FME_Ranking2[[#This Row],[FME ID]],FME_Input[FME_ID],FME_Input[FARMACRE100])</f>
        <v>0</v>
      </c>
      <c r="AI312" s="43" t="e">
        <f>FME_Ranking_Option2!$AH312*AH$4</f>
        <v>#REF!</v>
      </c>
      <c r="AJ312" s="41">
        <f>FME_Ranking_Option2!$AH312/($AH$3)</f>
        <v>0</v>
      </c>
      <c r="AK312" s="44" t="e">
        <f>FME_Ranking_Option2!$AJ312*AH$4</f>
        <v>#REF!</v>
      </c>
      <c r="AL312"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12" s="45" t="e">
        <f>_xlfn.RANK.EQ(AL312,$AL$7:$AL$531)+COUNTIF(AL$7:AL312,AL312)-1</f>
        <v>#REF!</v>
      </c>
      <c r="AN312" s="44"/>
      <c r="AO312" s="45" t="e">
        <f>_xlfn.RANK.EQ(AN312,$AN$7:$AN$531)+COUNTIF(AN$7:AN312,AN312)-1</f>
        <v>#N/A</v>
      </c>
      <c r="AP31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12" s="32" t="e">
        <f>FME_Ranking2[[#This Row],[Score Based on Reported Factors]]-FME_Ranking2[[#This Row],[Check]]</f>
        <v>#REF!</v>
      </c>
      <c r="AR312" s="32"/>
    </row>
    <row r="313" spans="1:55" ht="12" customHeight="1" x14ac:dyDescent="0.25">
      <c r="A313" s="16" t="s">
        <v>1963</v>
      </c>
      <c r="B313" s="16" t="str">
        <f>_xlfn.XLOOKUP(FME_Ranking2[[#This Row],[FME ID]],FME_Input[FME_ID],FME_Input[FME_NAME])</f>
        <v>White Oak - SPT and E116 (E116-00-00) Improvements : PA01 thru PA-05</v>
      </c>
      <c r="C313" s="16" t="str">
        <f>_xlfn.XLOOKUP(FME_Ranking2[[#This Row],[FME ID]],FME_Input[FME_ID],FME_Input[DESCR])</f>
        <v>Study to develop a Benefit Cost Analysis needed for these projects to become a FMP. The "E116-00-00 Flood Reduction Feasibilty Study" was completed in March 2022 and provides a decrease riverine and urban flood risk in the area.</v>
      </c>
      <c r="D313" s="46" t="str">
        <f>_xlfn.XLOOKUP(FME_Ranking2[[#This Row],[FME ID]],FME_Input[FME_ID],FME_Input[EMER_NEED])</f>
        <v>No</v>
      </c>
      <c r="E313" s="121">
        <f>IF(FME_Ranking_Option2!$D313="Yes",100,0)</f>
        <v>0</v>
      </c>
      <c r="F313" s="47" t="str">
        <f>_xlfn.XLOOKUP(FME_Ranking2[[#This Row],[FME ID]],FME_Input[FME_ID],FME_Input[FUND])</f>
        <v>Yes</v>
      </c>
      <c r="G313" s="48">
        <f>IF(FME_Ranking_Option2!$F313="Yes",1,0)</f>
        <v>1</v>
      </c>
      <c r="H313" s="46">
        <f>_xlfn.XLOOKUP(FME_Ranking2[[#This Row],[FME ID]],FME_Input[FME_ID],FME_Input[STRUCT_100])</f>
        <v>1174</v>
      </c>
      <c r="I313" s="65" t="e">
        <f>FME_Ranking2[[#This Row],[Raw Data3]]*H$4</f>
        <v>#REF!</v>
      </c>
      <c r="J313" s="62">
        <f>((FME_Ranking_Option2!$H313)/($H$3))*100</f>
        <v>0.13046343412207775</v>
      </c>
      <c r="K313" s="49" t="e">
        <f>FME_Ranking2[[#This Row],[Norm Data3]]*H$4</f>
        <v>#REF!</v>
      </c>
      <c r="L313" s="50">
        <f>_xlfn.XLOOKUP(FME_Ranking2[[#This Row],[FME ID]],FME_Input[FME_ID],FME_Input[RES_STRUCT100])</f>
        <v>1074</v>
      </c>
      <c r="M313" s="51" t="e">
        <f>FME_Ranking2[[#This Row],[Raw Data4]]*L$4</f>
        <v>#REF!</v>
      </c>
      <c r="N313" s="29">
        <f>((FME_Ranking_Option2!$L313)/($L$3))*100</f>
        <v>0.16056619767582672</v>
      </c>
      <c r="O313" s="52" t="e">
        <f>FME_Ranking2[[#This Row],[Norm Data4]]*L$4</f>
        <v>#REF!</v>
      </c>
      <c r="P313" s="47">
        <f>_xlfn.XLOOKUP(FME_Ranking2[[#This Row],[FME ID]],FME_Input[FME_ID],FME_Input[POP100])</f>
        <v>4852</v>
      </c>
      <c r="Q313" s="48" t="e">
        <f>FME_Ranking_Option2!$P313*P$4</f>
        <v>#REF!</v>
      </c>
      <c r="R313" s="48">
        <f>FME_Ranking_Option2!$P313/($P$3)</f>
        <v>1.7807870256525821E-3</v>
      </c>
      <c r="S313" s="48" t="e">
        <f>FME_Ranking_Option2!$R313*P$4</f>
        <v>#REF!</v>
      </c>
      <c r="T313" s="50">
        <f>_xlfn.XLOOKUP(FME_Ranking2[[#This Row],[FME ID]],FME_Input[FME_ID],FME_Input[CRITFAC100])</f>
        <v>7</v>
      </c>
      <c r="U313" s="48" t="e">
        <f>FME_Ranking_Option2!$T313*T$4</f>
        <v>#REF!</v>
      </c>
      <c r="V313" s="48">
        <f>FME_Ranking_Option2!$T313/($T$3)</f>
        <v>9.871668311944718E-4</v>
      </c>
      <c r="W313" s="48" t="e">
        <f>FME_Ranking_Option2!$V313*T$4</f>
        <v>#REF!</v>
      </c>
      <c r="X313" s="50">
        <f>_xlfn.XLOOKUP(FME_Ranking2[[#This Row],[FME ID]],FME_Input[FME_ID],FME_Input[LWC])</f>
        <v>0</v>
      </c>
      <c r="Y313" s="48" t="e">
        <f>FME_Ranking_Option2!$X313*X$4</f>
        <v>#REF!</v>
      </c>
      <c r="Z313" s="48">
        <f>FME_Ranking_Option2!$X313/($X$3)</f>
        <v>0</v>
      </c>
      <c r="AA313" s="48" t="e">
        <f>FME_Ranking_Option2!$Z313*X$4</f>
        <v>#REF!</v>
      </c>
      <c r="AB313" s="50">
        <f>_xlfn.XLOOKUP(FME_Ranking2[[#This Row],[FME ID]],FME_Input[FME_ID],FME_Input[ROADCLS])</f>
        <v>0</v>
      </c>
      <c r="AC313" s="48" t="e">
        <f>FME_Ranking_Option2!$AB313*AB$4</f>
        <v>#REF!</v>
      </c>
      <c r="AD313" s="53">
        <f>_xlfn.XLOOKUP(FME_Ranking2[[#This Row],[FME ID]],FME_Input[FME_ID],FME_Input[ROAD_MILES100])</f>
        <v>14.7971248626709</v>
      </c>
      <c r="AE313" s="54" t="e">
        <f>FME_Ranking_Option2!$AD313*AD$4</f>
        <v>#REF!</v>
      </c>
      <c r="AF313" s="55">
        <f>FME_Ranking_Option2!$AD313/($AD$3)</f>
        <v>3.3422684549781019E-4</v>
      </c>
      <c r="AG313" s="55" t="e">
        <f>FME_Ranking_Option2!$AF313*AD$4</f>
        <v>#REF!</v>
      </c>
      <c r="AH313" s="53">
        <f>_xlfn.XLOOKUP(FME_Ranking2[[#This Row],[FME ID]],FME_Input[FME_ID],FME_Input[FARMACRE100])</f>
        <v>4.9461574554443359</v>
      </c>
      <c r="AI313" s="54" t="e">
        <f>FME_Ranking_Option2!$AH313*AH$4</f>
        <v>#REF!</v>
      </c>
      <c r="AJ313" s="56">
        <f>FME_Ranking_Option2!$AH313/($AH$3)</f>
        <v>2.872032804610631E-4</v>
      </c>
      <c r="AK313" s="57" t="e">
        <f>FME_Ranking_Option2!$AJ313*AH$4</f>
        <v>#REF!</v>
      </c>
      <c r="AL313"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13" s="58" t="e">
        <f>_xlfn.RANK.EQ(AL313,$AL$7:$AL$531)+COUNTIF(AL$7:AL313,AL313)-1</f>
        <v>#REF!</v>
      </c>
      <c r="AN313" s="57"/>
      <c r="AO313" s="58" t="e">
        <f>_xlfn.RANK.EQ(AN313,$AN$7:$AN$531)+COUNTIF(AN$7:AN313,AN313)-1</f>
        <v>#N/A</v>
      </c>
      <c r="AP31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13" s="32" t="e">
        <f>FME_Ranking2[[#This Row],[Score Based on Reported Factors]]-FME_Ranking2[[#This Row],[Check]]</f>
        <v>#REF!</v>
      </c>
      <c r="AR313" s="32"/>
      <c r="AT313" s="19"/>
      <c r="AU313" s="19"/>
      <c r="AV313" s="19"/>
      <c r="AW313" s="19"/>
      <c r="AX313" s="19"/>
      <c r="AY313" s="19"/>
      <c r="AZ313" s="19"/>
      <c r="BA313" s="19"/>
      <c r="BB313" s="19"/>
      <c r="BC313" s="19"/>
    </row>
    <row r="314" spans="1:55" ht="12" customHeight="1" x14ac:dyDescent="0.25">
      <c r="A314" s="17" t="s">
        <v>2245</v>
      </c>
      <c r="B314" s="17" t="str">
        <f>_xlfn.XLOOKUP(FME_Ranking2[[#This Row],[FME ID]],FME_Input[FME_ID],FME_Input[FME_NAME])</f>
        <v xml:space="preserve">Halls Bayou - Right-Of-Way, Design, and Construction of Channel Conveyance Improvements on P118-08-00 </v>
      </c>
      <c r="C314" s="17" t="str">
        <f>_xlfn.XLOOKUP(FME_Ranking2[[#This Row],[FME ID]],FME_Input[FME_ID],FME_Input[DESCR])</f>
        <v>Develop BCA to become a FMP. This project could reduce the risk of flooding for over 210 structures and could reduce the 1% rainfall event for over 170 acres as part of the Halls Ahead Bond Implementation Program.</v>
      </c>
      <c r="D314" s="33" t="str">
        <f>_xlfn.XLOOKUP(FME_Ranking2[[#This Row],[FME ID]],FME_Input[FME_ID],FME_Input[EMER_NEED])</f>
        <v>No</v>
      </c>
      <c r="E314" s="120">
        <f>IF(FME_Ranking_Option2!$D314="Yes",100,0)</f>
        <v>0</v>
      </c>
      <c r="F314" s="34" t="str">
        <f>_xlfn.XLOOKUP(FME_Ranking2[[#This Row],[FME ID]],FME_Input[FME_ID],FME_Input[FUND])</f>
        <v>Yes</v>
      </c>
      <c r="G314" s="35">
        <f>IF(FME_Ranking_Option2!$F314="Yes",1,0)</f>
        <v>1</v>
      </c>
      <c r="H314" s="33">
        <f>_xlfn.XLOOKUP(FME_Ranking2[[#This Row],[FME ID]],FME_Input[FME_ID],FME_Input[STRUCT_100])</f>
        <v>39</v>
      </c>
      <c r="I314" s="64" t="e">
        <f>FME_Ranking2[[#This Row],[Raw Data3]]*H$4</f>
        <v>#REF!</v>
      </c>
      <c r="J314" s="63">
        <f>((FME_Ranking_Option2!$H314)/($H$3))*100</f>
        <v>4.3339641658952585E-3</v>
      </c>
      <c r="K314" s="36" t="e">
        <f>FME_Ranking2[[#This Row],[Norm Data3]]*H$4</f>
        <v>#REF!</v>
      </c>
      <c r="L314" s="37">
        <f>_xlfn.XLOOKUP(FME_Ranking2[[#This Row],[FME ID]],FME_Input[FME_ID],FME_Input[RES_STRUCT100])</f>
        <v>36</v>
      </c>
      <c r="M314" s="38" t="e">
        <f>FME_Ranking2[[#This Row],[Raw Data4]]*L$4</f>
        <v>#REF!</v>
      </c>
      <c r="N314" s="28">
        <f>((FME_Ranking_Option2!$L314)/($L$3))*100</f>
        <v>5.3821071846645828E-3</v>
      </c>
      <c r="O314" s="39" t="e">
        <f>FME_Ranking2[[#This Row],[Norm Data4]]*L$4</f>
        <v>#REF!</v>
      </c>
      <c r="P314" s="34">
        <f>_xlfn.XLOOKUP(FME_Ranking2[[#This Row],[FME ID]],FME_Input[FME_ID],FME_Input[POP100])</f>
        <v>64</v>
      </c>
      <c r="Q314" s="35" t="e">
        <f>FME_Ranking_Option2!$P314*P$4</f>
        <v>#REF!</v>
      </c>
      <c r="R314" s="35">
        <f>FME_Ranking_Option2!$P314/($P$3)</f>
        <v>2.348935895337289E-5</v>
      </c>
      <c r="S314" s="35" t="e">
        <f>FME_Ranking_Option2!$R314*P$4</f>
        <v>#REF!</v>
      </c>
      <c r="T314" s="37">
        <f>_xlfn.XLOOKUP(FME_Ranking2[[#This Row],[FME ID]],FME_Input[FME_ID],FME_Input[CRITFAC100])</f>
        <v>2</v>
      </c>
      <c r="U314" s="35" t="e">
        <f>FME_Ranking_Option2!$T314*T$4</f>
        <v>#REF!</v>
      </c>
      <c r="V314" s="35">
        <f>FME_Ranking_Option2!$T314/($T$3)</f>
        <v>2.8204766605556341E-4</v>
      </c>
      <c r="W314" s="35" t="e">
        <f>FME_Ranking_Option2!$V314*T$4</f>
        <v>#REF!</v>
      </c>
      <c r="X314" s="37">
        <f>_xlfn.XLOOKUP(FME_Ranking2[[#This Row],[FME ID]],FME_Input[FME_ID],FME_Input[LWC])</f>
        <v>0</v>
      </c>
      <c r="Y314" s="35" t="e">
        <f>FME_Ranking_Option2!$X314*X$4</f>
        <v>#REF!</v>
      </c>
      <c r="Z314" s="35">
        <f>FME_Ranking_Option2!$X314/($X$3)</f>
        <v>0</v>
      </c>
      <c r="AA314" s="35" t="e">
        <f>FME_Ranking_Option2!$Z314*X$4</f>
        <v>#REF!</v>
      </c>
      <c r="AB314" s="37">
        <f>_xlfn.XLOOKUP(FME_Ranking2[[#This Row],[FME ID]],FME_Input[FME_ID],FME_Input[ROADCLS])</f>
        <v>0</v>
      </c>
      <c r="AC314" s="35" t="e">
        <f>FME_Ranking_Option2!$AB314*AB$4</f>
        <v>#REF!</v>
      </c>
      <c r="AD314" s="40">
        <f>_xlfn.XLOOKUP(FME_Ranking2[[#This Row],[FME ID]],FME_Input[FME_ID],FME_Input[ROAD_MILES100])</f>
        <v>0.67308187484741211</v>
      </c>
      <c r="AE314" s="41" t="e">
        <f>FME_Ranking_Option2!$AD314*AD$4</f>
        <v>#REF!</v>
      </c>
      <c r="AF314" s="42">
        <f>FME_Ranking_Option2!$AD314/($AD$3)</f>
        <v>1.5203090727410168E-5</v>
      </c>
      <c r="AG314" s="42" t="e">
        <f>FME_Ranking_Option2!$AF314*AD$4</f>
        <v>#REF!</v>
      </c>
      <c r="AH314" s="40">
        <f>_xlfn.XLOOKUP(FME_Ranking2[[#This Row],[FME ID]],FME_Input[FME_ID],FME_Input[FARMACRE100])</f>
        <v>4.5807771384716027E-2</v>
      </c>
      <c r="AI314" s="43" t="e">
        <f>FME_Ranking_Option2!$AH314*AH$4</f>
        <v>#REF!</v>
      </c>
      <c r="AJ314" s="41">
        <f>FME_Ranking_Option2!$AH314/($AH$3)</f>
        <v>2.6598712901506249E-6</v>
      </c>
      <c r="AK314" s="44" t="e">
        <f>FME_Ranking_Option2!$AJ314*AH$4</f>
        <v>#REF!</v>
      </c>
      <c r="AL314"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14" s="45" t="e">
        <f>_xlfn.RANK.EQ(AL314,$AL$7:$AL$531)+COUNTIF(AL$7:AL314,AL314)-1</f>
        <v>#REF!</v>
      </c>
      <c r="AN314" s="44"/>
      <c r="AO314" s="45" t="e">
        <f>_xlfn.RANK.EQ(AN314,$AN$7:$AN$531)+COUNTIF(AN$7:AN314,AN314)-1</f>
        <v>#N/A</v>
      </c>
      <c r="AP31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14" s="32" t="e">
        <f>FME_Ranking2[[#This Row],[Score Based on Reported Factors]]-FME_Ranking2[[#This Row],[Check]]</f>
        <v>#REF!</v>
      </c>
      <c r="AR314" s="32"/>
    </row>
    <row r="315" spans="1:55" ht="12" customHeight="1" x14ac:dyDescent="0.25">
      <c r="A315" s="16" t="s">
        <v>2248</v>
      </c>
      <c r="B315" s="16" t="str">
        <f>_xlfn.XLOOKUP(FME_Ranking2[[#This Row],[FME ID]],FME_Input[FME_ID],FME_Input[FME_NAME])</f>
        <v xml:space="preserve">Halls Bayou - Right-Of-Way, Design, and Construction of Channel Conveyance Improvements on P118-09-00 </v>
      </c>
      <c r="C315" s="16" t="str">
        <f>_xlfn.XLOOKUP(FME_Ranking2[[#This Row],[FME ID]],FME_Input[FME_ID],FME_Input[DESCR])</f>
        <v xml:space="preserve">Develop BCA to become a FMP. Part of Halls Ahead Bond Implementation Program, could reduce flood risk for 80+ structures, size of the floodplain by 30+ acres &amp; frequency &amp; duration of flooding of up to half a mile of roadway in an Atlas 14 1% event.  </v>
      </c>
      <c r="D315" s="46" t="str">
        <f>_xlfn.XLOOKUP(FME_Ranking2[[#This Row],[FME ID]],FME_Input[FME_ID],FME_Input[EMER_NEED])</f>
        <v>No</v>
      </c>
      <c r="E315" s="121">
        <f>IF(FME_Ranking_Option2!$D315="Yes",100,0)</f>
        <v>0</v>
      </c>
      <c r="F315" s="47" t="str">
        <f>_xlfn.XLOOKUP(FME_Ranking2[[#This Row],[FME ID]],FME_Input[FME_ID],FME_Input[FUND])</f>
        <v>Yes</v>
      </c>
      <c r="G315" s="48">
        <f>IF(FME_Ranking_Option2!$F315="Yes",1,0)</f>
        <v>1</v>
      </c>
      <c r="H315" s="46">
        <f>_xlfn.XLOOKUP(FME_Ranking2[[#This Row],[FME ID]],FME_Input[FME_ID],FME_Input[STRUCT_100])</f>
        <v>260</v>
      </c>
      <c r="I315" s="65" t="e">
        <f>FME_Ranking2[[#This Row],[Raw Data3]]*H$4</f>
        <v>#REF!</v>
      </c>
      <c r="J315" s="62">
        <f>((FME_Ranking_Option2!$H315)/($H$3))*100</f>
        <v>2.8893094439301721E-2</v>
      </c>
      <c r="K315" s="49" t="e">
        <f>FME_Ranking2[[#This Row],[Norm Data3]]*H$4</f>
        <v>#REF!</v>
      </c>
      <c r="L315" s="50">
        <f>_xlfn.XLOOKUP(FME_Ranking2[[#This Row],[FME ID]],FME_Input[FME_ID],FME_Input[RES_STRUCT100])</f>
        <v>211</v>
      </c>
      <c r="M315" s="51" t="e">
        <f>FME_Ranking2[[#This Row],[Raw Data4]]*L$4</f>
        <v>#REF!</v>
      </c>
      <c r="N315" s="29">
        <f>((FME_Ranking_Option2!$L315)/($L$3))*100</f>
        <v>3.1545128221228527E-2</v>
      </c>
      <c r="O315" s="52" t="e">
        <f>FME_Ranking2[[#This Row],[Norm Data4]]*L$4</f>
        <v>#REF!</v>
      </c>
      <c r="P315" s="47">
        <f>_xlfn.XLOOKUP(FME_Ranking2[[#This Row],[FME ID]],FME_Input[FME_ID],FME_Input[POP100])</f>
        <v>446</v>
      </c>
      <c r="Q315" s="48" t="e">
        <f>FME_Ranking_Option2!$P315*P$4</f>
        <v>#REF!</v>
      </c>
      <c r="R315" s="48">
        <f>FME_Ranking_Option2!$P315/($P$3)</f>
        <v>1.6369147020631731E-4</v>
      </c>
      <c r="S315" s="48" t="e">
        <f>FME_Ranking_Option2!$R315*P$4</f>
        <v>#REF!</v>
      </c>
      <c r="T315" s="50">
        <f>_xlfn.XLOOKUP(FME_Ranking2[[#This Row],[FME ID]],FME_Input[FME_ID],FME_Input[CRITFAC100])</f>
        <v>3</v>
      </c>
      <c r="U315" s="48" t="e">
        <f>FME_Ranking_Option2!$T315*T$4</f>
        <v>#REF!</v>
      </c>
      <c r="V315" s="48">
        <f>FME_Ranking_Option2!$T315/($T$3)</f>
        <v>4.2307149908334509E-4</v>
      </c>
      <c r="W315" s="48" t="e">
        <f>FME_Ranking_Option2!$V315*T$4</f>
        <v>#REF!</v>
      </c>
      <c r="X315" s="50">
        <f>_xlfn.XLOOKUP(FME_Ranking2[[#This Row],[FME ID]],FME_Input[FME_ID],FME_Input[LWC])</f>
        <v>0</v>
      </c>
      <c r="Y315" s="48" t="e">
        <f>FME_Ranking_Option2!$X315*X$4</f>
        <v>#REF!</v>
      </c>
      <c r="Z315" s="48">
        <f>FME_Ranking_Option2!$X315/($X$3)</f>
        <v>0</v>
      </c>
      <c r="AA315" s="48" t="e">
        <f>FME_Ranking_Option2!$Z315*X$4</f>
        <v>#REF!</v>
      </c>
      <c r="AB315" s="50">
        <f>_xlfn.XLOOKUP(FME_Ranking2[[#This Row],[FME ID]],FME_Input[FME_ID],FME_Input[ROADCLS])</f>
        <v>0</v>
      </c>
      <c r="AC315" s="48" t="e">
        <f>FME_Ranking_Option2!$AB315*AB$4</f>
        <v>#REF!</v>
      </c>
      <c r="AD315" s="53">
        <f>_xlfn.XLOOKUP(FME_Ranking2[[#This Row],[FME ID]],FME_Input[FME_ID],FME_Input[ROAD_MILES100])</f>
        <v>4.3908476829528809</v>
      </c>
      <c r="AE315" s="54" t="e">
        <f>FME_Ranking_Option2!$AD315*AD$4</f>
        <v>#REF!</v>
      </c>
      <c r="AF315" s="55">
        <f>FME_Ranking_Option2!$AD315/($AD$3)</f>
        <v>9.9177318820692682E-5</v>
      </c>
      <c r="AG315" s="55" t="e">
        <f>FME_Ranking_Option2!$AF315*AD$4</f>
        <v>#REF!</v>
      </c>
      <c r="AH315" s="53">
        <f>_xlfn.XLOOKUP(FME_Ranking2[[#This Row],[FME ID]],FME_Input[FME_ID],FME_Input[FARMACRE100])</f>
        <v>0.19472028315067291</v>
      </c>
      <c r="AI315" s="54" t="e">
        <f>FME_Ranking_Option2!$AH315*AH$4</f>
        <v>#REF!</v>
      </c>
      <c r="AJ315" s="56">
        <f>FME_Ranking_Option2!$AH315/($AH$3)</f>
        <v>1.1306616216114048E-5</v>
      </c>
      <c r="AK315" s="57" t="e">
        <f>FME_Ranking_Option2!$AJ315*AH$4</f>
        <v>#REF!</v>
      </c>
      <c r="AL315"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15" s="58" t="e">
        <f>_xlfn.RANK.EQ(AL315,$AL$7:$AL$531)+COUNTIF(AL$7:AL315,AL315)-1</f>
        <v>#REF!</v>
      </c>
      <c r="AN315" s="57"/>
      <c r="AO315" s="58" t="e">
        <f>_xlfn.RANK.EQ(AN315,$AN$7:$AN$531)+COUNTIF(AN$7:AN315,AN315)-1</f>
        <v>#N/A</v>
      </c>
      <c r="AP31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15" s="32" t="e">
        <f>FME_Ranking2[[#This Row],[Score Based on Reported Factors]]-FME_Ranking2[[#This Row],[Check]]</f>
        <v>#REF!</v>
      </c>
      <c r="AR315" s="32"/>
      <c r="AT315" s="19"/>
      <c r="AU315" s="19"/>
      <c r="AV315" s="19"/>
      <c r="AW315" s="19"/>
      <c r="AX315" s="19"/>
      <c r="AY315" s="19"/>
      <c r="AZ315" s="19"/>
      <c r="BA315" s="19"/>
      <c r="BB315" s="19"/>
      <c r="BC315" s="19"/>
    </row>
    <row r="316" spans="1:55" ht="12" customHeight="1" x14ac:dyDescent="0.25">
      <c r="A316" s="17" t="s">
        <v>2251</v>
      </c>
      <c r="B316" s="17" t="str">
        <f>_xlfn.XLOOKUP(FME_Ranking2[[#This Row],[FME ID]],FME_Input[FME_ID],FME_Input[FME_NAME])</f>
        <v xml:space="preserve">Halls Bayou - Right-Of-Way, Design, and Construction of Channel Conveyance Improvements on P118-21-00 </v>
      </c>
      <c r="C316" s="17" t="str">
        <f>_xlfn.XLOOKUP(FME_Ranking2[[#This Row],[FME ID]],FME_Input[FME_ID],FME_Input[DESCR])</f>
        <v>Develop BCA to become a FMP. Part of Halls Ahead Bond Implementation Program, could reduce flood risk for 60+ structures &amp; floodplain by 40+ acres.</v>
      </c>
      <c r="D316" s="33" t="str">
        <f>_xlfn.XLOOKUP(FME_Ranking2[[#This Row],[FME ID]],FME_Input[FME_ID],FME_Input[EMER_NEED])</f>
        <v>No</v>
      </c>
      <c r="E316" s="120">
        <f>IF(FME_Ranking_Option2!$D316="Yes",100,0)</f>
        <v>0</v>
      </c>
      <c r="F316" s="34" t="str">
        <f>_xlfn.XLOOKUP(FME_Ranking2[[#This Row],[FME ID]],FME_Input[FME_ID],FME_Input[FUND])</f>
        <v>Yes</v>
      </c>
      <c r="G316" s="35">
        <f>IF(FME_Ranking_Option2!$F316="Yes",1,0)</f>
        <v>1</v>
      </c>
      <c r="H316" s="33">
        <f>_xlfn.XLOOKUP(FME_Ranking2[[#This Row],[FME ID]],FME_Input[FME_ID],FME_Input[STRUCT_100])</f>
        <v>3555</v>
      </c>
      <c r="I316" s="64" t="e">
        <f>FME_Ranking2[[#This Row],[Raw Data3]]*H$4</f>
        <v>#REF!</v>
      </c>
      <c r="J316" s="63">
        <f>((FME_Ranking_Option2!$H316)/($H$3))*100</f>
        <v>0.39505750281429847</v>
      </c>
      <c r="K316" s="36" t="e">
        <f>FME_Ranking2[[#This Row],[Norm Data3]]*H$4</f>
        <v>#REF!</v>
      </c>
      <c r="L316" s="37">
        <f>_xlfn.XLOOKUP(FME_Ranking2[[#This Row],[FME ID]],FME_Input[FME_ID],FME_Input[RES_STRUCT100])</f>
        <v>3132</v>
      </c>
      <c r="M316" s="38" t="e">
        <f>FME_Ranking2[[#This Row],[Raw Data4]]*L$4</f>
        <v>#REF!</v>
      </c>
      <c r="N316" s="28">
        <f>((FME_Ranking_Option2!$L316)/($L$3))*100</f>
        <v>0.46824332506581867</v>
      </c>
      <c r="O316" s="39" t="e">
        <f>FME_Ranking2[[#This Row],[Norm Data4]]*L$4</f>
        <v>#REF!</v>
      </c>
      <c r="P316" s="34">
        <f>_xlfn.XLOOKUP(FME_Ranking2[[#This Row],[FME ID]],FME_Input[FME_ID],FME_Input[POP100])</f>
        <v>12360</v>
      </c>
      <c r="Q316" s="35" t="e">
        <f>FME_Ranking_Option2!$P316*P$4</f>
        <v>#REF!</v>
      </c>
      <c r="R316" s="35">
        <f>FME_Ranking_Option2!$P316/($P$3)</f>
        <v>4.5363824478701388E-3</v>
      </c>
      <c r="S316" s="35" t="e">
        <f>FME_Ranking_Option2!$R316*P$4</f>
        <v>#REF!</v>
      </c>
      <c r="T316" s="37">
        <f>_xlfn.XLOOKUP(FME_Ranking2[[#This Row],[FME ID]],FME_Input[FME_ID],FME_Input[CRITFAC100])</f>
        <v>35</v>
      </c>
      <c r="U316" s="35" t="e">
        <f>FME_Ranking_Option2!$T316*T$4</f>
        <v>#REF!</v>
      </c>
      <c r="V316" s="35">
        <f>FME_Ranking_Option2!$T316/($T$3)</f>
        <v>4.9358341559723592E-3</v>
      </c>
      <c r="W316" s="35" t="e">
        <f>FME_Ranking_Option2!$V316*T$4</f>
        <v>#REF!</v>
      </c>
      <c r="X316" s="37">
        <f>_xlfn.XLOOKUP(FME_Ranking2[[#This Row],[FME ID]],FME_Input[FME_ID],FME_Input[LWC])</f>
        <v>1</v>
      </c>
      <c r="Y316" s="35" t="e">
        <f>FME_Ranking_Option2!$X316*X$4</f>
        <v>#REF!</v>
      </c>
      <c r="Z316" s="35">
        <f>FME_Ranking_Option2!$X316/($X$3)</f>
        <v>9.1224229155263632E-5</v>
      </c>
      <c r="AA316" s="35" t="e">
        <f>FME_Ranking_Option2!$Z316*X$4</f>
        <v>#REF!</v>
      </c>
      <c r="AB316" s="37">
        <f>_xlfn.XLOOKUP(FME_Ranking2[[#This Row],[FME ID]],FME_Input[FME_ID],FME_Input[ROADCLS])</f>
        <v>1</v>
      </c>
      <c r="AC316" s="35" t="e">
        <f>FME_Ranking_Option2!$AB316*AB$4</f>
        <v>#REF!</v>
      </c>
      <c r="AD316" s="40">
        <f>_xlfn.XLOOKUP(FME_Ranking2[[#This Row],[FME ID]],FME_Input[FME_ID],FME_Input[ROAD_MILES100])</f>
        <v>29.311786651611332</v>
      </c>
      <c r="AE316" s="41" t="e">
        <f>FME_Ranking_Option2!$AD316*AD$4</f>
        <v>#REF!</v>
      </c>
      <c r="AF316" s="42">
        <f>FME_Ranking_Option2!$AD316/($AD$3)</f>
        <v>6.6207361763821347E-4</v>
      </c>
      <c r="AG316" s="42" t="e">
        <f>FME_Ranking_Option2!$AF316*AD$4</f>
        <v>#REF!</v>
      </c>
      <c r="AH316" s="40">
        <f>_xlfn.XLOOKUP(FME_Ranking2[[#This Row],[FME ID]],FME_Input[FME_ID],FME_Input[FARMACRE100])</f>
        <v>1.6732833385467529</v>
      </c>
      <c r="AI316" s="43" t="e">
        <f>FME_Ranking_Option2!$AH316*AH$4</f>
        <v>#REF!</v>
      </c>
      <c r="AJ316" s="41">
        <f>FME_Ranking_Option2!$AH316/($AH$3)</f>
        <v>9.7160769405448504E-5</v>
      </c>
      <c r="AK316" s="44" t="e">
        <f>FME_Ranking_Option2!$AJ316*AH$4</f>
        <v>#REF!</v>
      </c>
      <c r="AL316"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16" s="45" t="e">
        <f>_xlfn.RANK.EQ(AL316,$AL$7:$AL$531)+COUNTIF(AL$7:AL316,AL316)-1</f>
        <v>#REF!</v>
      </c>
      <c r="AN316" s="44"/>
      <c r="AO316" s="45" t="e">
        <f>_xlfn.RANK.EQ(AN316,$AN$7:$AN$531)+COUNTIF(AN$7:AN316,AN316)-1</f>
        <v>#N/A</v>
      </c>
      <c r="AP31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16" s="32" t="e">
        <f>FME_Ranking2[[#This Row],[Score Based on Reported Factors]]-FME_Ranking2[[#This Row],[Check]]</f>
        <v>#REF!</v>
      </c>
      <c r="AR316" s="32"/>
    </row>
    <row r="317" spans="1:55" ht="12" customHeight="1" x14ac:dyDescent="0.25">
      <c r="A317" s="16" t="s">
        <v>2254</v>
      </c>
      <c r="B317" s="16" t="str">
        <f>_xlfn.XLOOKUP(FME_Ranking2[[#This Row],[FME ID]],FME_Input[FME_ID],FME_Input[FME_NAME])</f>
        <v>Halls Bayou - Right-Of-Way, Design, and Construction of Channel Conveyance Improvements on P118-23-00 and P118-23-02</v>
      </c>
      <c r="C317" s="16" t="str">
        <f>_xlfn.XLOOKUP(FME_Ranking2[[#This Row],[FME ID]],FME_Input[FME_ID],FME_Input[DESCR])</f>
        <v>Study to develop a BCR required for this project to become a FMP. Would reduce flood risk for 300+ structures, size of floodplain by 200+ acres. Facilitates future drainage projects by more outfall depth.</v>
      </c>
      <c r="D317" s="46" t="str">
        <f>_xlfn.XLOOKUP(FME_Ranking2[[#This Row],[FME ID]],FME_Input[FME_ID],FME_Input[EMER_NEED])</f>
        <v>No</v>
      </c>
      <c r="E317" s="121">
        <f>IF(FME_Ranking_Option2!$D317="Yes",100,0)</f>
        <v>0</v>
      </c>
      <c r="F317" s="47" t="str">
        <f>_xlfn.XLOOKUP(FME_Ranking2[[#This Row],[FME ID]],FME_Input[FME_ID],FME_Input[FUND])</f>
        <v>Yes</v>
      </c>
      <c r="G317" s="48">
        <f>IF(FME_Ranking_Option2!$F317="Yes",1,0)</f>
        <v>1</v>
      </c>
      <c r="H317" s="46">
        <f>_xlfn.XLOOKUP(FME_Ranking2[[#This Row],[FME ID]],FME_Input[FME_ID],FME_Input[STRUCT_100])</f>
        <v>1432</v>
      </c>
      <c r="I317" s="65" t="e">
        <f>FME_Ranking2[[#This Row],[Raw Data3]]*H$4</f>
        <v>#REF!</v>
      </c>
      <c r="J317" s="62">
        <f>((FME_Ranking_Option2!$H317)/($H$3))*100</f>
        <v>0.15913427398876948</v>
      </c>
      <c r="K317" s="49" t="e">
        <f>FME_Ranking2[[#This Row],[Norm Data3]]*H$4</f>
        <v>#REF!</v>
      </c>
      <c r="L317" s="50">
        <f>_xlfn.XLOOKUP(FME_Ranking2[[#This Row],[FME ID]],FME_Input[FME_ID],FME_Input[RES_STRUCT100])</f>
        <v>1009</v>
      </c>
      <c r="M317" s="51" t="e">
        <f>FME_Ranking2[[#This Row],[Raw Data4]]*L$4</f>
        <v>#REF!</v>
      </c>
      <c r="N317" s="29">
        <f>((FME_Ranking_Option2!$L317)/($L$3))*100</f>
        <v>0.15084850414796011</v>
      </c>
      <c r="O317" s="52" t="e">
        <f>FME_Ranking2[[#This Row],[Norm Data4]]*L$4</f>
        <v>#REF!</v>
      </c>
      <c r="P317" s="47">
        <f>_xlfn.XLOOKUP(FME_Ranking2[[#This Row],[FME ID]],FME_Input[FME_ID],FME_Input[POP100])</f>
        <v>5511</v>
      </c>
      <c r="Q317" s="48" t="e">
        <f>FME_Ranking_Option2!$P317*P$4</f>
        <v>#REF!</v>
      </c>
      <c r="R317" s="48">
        <f>FME_Ranking_Option2!$P317/($P$3)</f>
        <v>2.0226540186255937E-3</v>
      </c>
      <c r="S317" s="48" t="e">
        <f>FME_Ranking_Option2!$R317*P$4</f>
        <v>#REF!</v>
      </c>
      <c r="T317" s="50">
        <f>_xlfn.XLOOKUP(FME_Ranking2[[#This Row],[FME ID]],FME_Input[FME_ID],FME_Input[CRITFAC100])</f>
        <v>8</v>
      </c>
      <c r="U317" s="48" t="e">
        <f>FME_Ranking_Option2!$T317*T$4</f>
        <v>#REF!</v>
      </c>
      <c r="V317" s="48">
        <f>FME_Ranking_Option2!$T317/($T$3)</f>
        <v>1.1281906642222536E-3</v>
      </c>
      <c r="W317" s="48" t="e">
        <f>FME_Ranking_Option2!$V317*T$4</f>
        <v>#REF!</v>
      </c>
      <c r="X317" s="50">
        <f>_xlfn.XLOOKUP(FME_Ranking2[[#This Row],[FME ID]],FME_Input[FME_ID],FME_Input[LWC])</f>
        <v>1</v>
      </c>
      <c r="Y317" s="48" t="e">
        <f>FME_Ranking_Option2!$X317*X$4</f>
        <v>#REF!</v>
      </c>
      <c r="Z317" s="48">
        <f>FME_Ranking_Option2!$X317/($X$3)</f>
        <v>9.1224229155263632E-5</v>
      </c>
      <c r="AA317" s="48" t="e">
        <f>FME_Ranking_Option2!$Z317*X$4</f>
        <v>#REF!</v>
      </c>
      <c r="AB317" s="50">
        <f>_xlfn.XLOOKUP(FME_Ranking2[[#This Row],[FME ID]],FME_Input[FME_ID],FME_Input[ROADCLS])</f>
        <v>1</v>
      </c>
      <c r="AC317" s="48" t="e">
        <f>FME_Ranking_Option2!$AB317*AB$4</f>
        <v>#REF!</v>
      </c>
      <c r="AD317" s="53">
        <f>_xlfn.XLOOKUP(FME_Ranking2[[#This Row],[FME ID]],FME_Input[FME_ID],FME_Input[ROAD_MILES100])</f>
        <v>9.6468038558959961</v>
      </c>
      <c r="AE317" s="54" t="e">
        <f>FME_Ranking_Option2!$AD317*AD$4</f>
        <v>#REF!</v>
      </c>
      <c r="AF317" s="55">
        <f>FME_Ranking_Option2!$AD317/($AD$3)</f>
        <v>2.1789508785088771E-4</v>
      </c>
      <c r="AG317" s="55" t="e">
        <f>FME_Ranking_Option2!$AF317*AD$4</f>
        <v>#REF!</v>
      </c>
      <c r="AH317" s="53">
        <f>_xlfn.XLOOKUP(FME_Ranking2[[#This Row],[FME ID]],FME_Input[FME_ID],FME_Input[FARMACRE100])</f>
        <v>0</v>
      </c>
      <c r="AI317" s="54" t="e">
        <f>FME_Ranking_Option2!$AH317*AH$4</f>
        <v>#REF!</v>
      </c>
      <c r="AJ317" s="56">
        <f>FME_Ranking_Option2!$AH317/($AH$3)</f>
        <v>0</v>
      </c>
      <c r="AK317" s="57" t="e">
        <f>FME_Ranking_Option2!$AJ317*AH$4</f>
        <v>#REF!</v>
      </c>
      <c r="AL317"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17" s="58" t="e">
        <f>_xlfn.RANK.EQ(AL317,$AL$7:$AL$531)+COUNTIF(AL$7:AL317,AL317)-1</f>
        <v>#REF!</v>
      </c>
      <c r="AN317" s="57"/>
      <c r="AO317" s="58" t="e">
        <f>_xlfn.RANK.EQ(AN317,$AN$7:$AN$531)+COUNTIF(AN$7:AN317,AN317)-1</f>
        <v>#N/A</v>
      </c>
      <c r="AP31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17" s="32" t="e">
        <f>FME_Ranking2[[#This Row],[Score Based on Reported Factors]]-FME_Ranking2[[#This Row],[Check]]</f>
        <v>#REF!</v>
      </c>
      <c r="AR317" s="32"/>
      <c r="AT317" s="19"/>
      <c r="AU317" s="19"/>
      <c r="AV317" s="19"/>
      <c r="AW317" s="19"/>
      <c r="AX317" s="19"/>
      <c r="AY317" s="19"/>
      <c r="AZ317" s="19"/>
      <c r="BA317" s="19"/>
      <c r="BB317" s="19"/>
      <c r="BC317" s="19"/>
    </row>
    <row r="318" spans="1:55" ht="12" customHeight="1" x14ac:dyDescent="0.25">
      <c r="A318" s="17" t="s">
        <v>2257</v>
      </c>
      <c r="B318" s="17" t="str">
        <f>_xlfn.XLOOKUP(FME_Ranking2[[#This Row],[FME ID]],FME_Input[FME_ID],FME_Input[FME_NAME])</f>
        <v>Halls Bayou - Right-Of-Way, Design, and Construction of Channel Conveyance Improvements on P118-25-00 &amp; P118-25-01</v>
      </c>
      <c r="C318" s="17" t="str">
        <f>_xlfn.XLOOKUP(FME_Ranking2[[#This Row],[FME ID]],FME_Input[FME_ID],FME_Input[DESCR])</f>
        <v>Study to develop a BCR required for this project to become a FMP. Would reduce flood risk for 600+ structures. Facilitates future drainage projects by more outfall depth.</v>
      </c>
      <c r="D318" s="33" t="str">
        <f>_xlfn.XLOOKUP(FME_Ranking2[[#This Row],[FME ID]],FME_Input[FME_ID],FME_Input[EMER_NEED])</f>
        <v>No</v>
      </c>
      <c r="E318" s="120">
        <f>IF(FME_Ranking_Option2!$D318="Yes",100,0)</f>
        <v>0</v>
      </c>
      <c r="F318" s="34" t="str">
        <f>_xlfn.XLOOKUP(FME_Ranking2[[#This Row],[FME ID]],FME_Input[FME_ID],FME_Input[FUND])</f>
        <v>Yes</v>
      </c>
      <c r="G318" s="35">
        <f>IF(FME_Ranking_Option2!$F318="Yes",1,0)</f>
        <v>1</v>
      </c>
      <c r="H318" s="33">
        <f>_xlfn.XLOOKUP(FME_Ranking2[[#This Row],[FME ID]],FME_Input[FME_ID],FME_Input[STRUCT_100])</f>
        <v>3188</v>
      </c>
      <c r="I318" s="64" t="e">
        <f>FME_Ranking2[[#This Row],[Raw Data3]]*H$4</f>
        <v>#REF!</v>
      </c>
      <c r="J318" s="63">
        <f>((FME_Ranking_Option2!$H318)/($H$3))*100</f>
        <v>0.35427378874036108</v>
      </c>
      <c r="K318" s="36" t="e">
        <f>FME_Ranking2[[#This Row],[Norm Data3]]*H$4</f>
        <v>#REF!</v>
      </c>
      <c r="L318" s="37">
        <f>_xlfn.XLOOKUP(FME_Ranking2[[#This Row],[FME ID]],FME_Input[FME_ID],FME_Input[RES_STRUCT100])</f>
        <v>2296</v>
      </c>
      <c r="M318" s="38" t="e">
        <f>FME_Ranking2[[#This Row],[Raw Data4]]*L$4</f>
        <v>#REF!</v>
      </c>
      <c r="N318" s="28">
        <f>((FME_Ranking_Option2!$L318)/($L$3))*100</f>
        <v>0.34325883599971896</v>
      </c>
      <c r="O318" s="39" t="e">
        <f>FME_Ranking2[[#This Row],[Norm Data4]]*L$4</f>
        <v>#REF!</v>
      </c>
      <c r="P318" s="34">
        <f>_xlfn.XLOOKUP(FME_Ranking2[[#This Row],[FME ID]],FME_Input[FME_ID],FME_Input[POP100])</f>
        <v>10940</v>
      </c>
      <c r="Q318" s="35" t="e">
        <f>FME_Ranking_Option2!$P318*P$4</f>
        <v>#REF!</v>
      </c>
      <c r="R318" s="35">
        <f>FME_Ranking_Option2!$P318/($P$3)</f>
        <v>4.0152122960921783E-3</v>
      </c>
      <c r="S318" s="35" t="e">
        <f>FME_Ranking_Option2!$R318*P$4</f>
        <v>#REF!</v>
      </c>
      <c r="T318" s="37">
        <f>_xlfn.XLOOKUP(FME_Ranking2[[#This Row],[FME ID]],FME_Input[FME_ID],FME_Input[CRITFAC100])</f>
        <v>13</v>
      </c>
      <c r="U318" s="35" t="e">
        <f>FME_Ranking_Option2!$T318*T$4</f>
        <v>#REF!</v>
      </c>
      <c r="V318" s="35">
        <f>FME_Ranking_Option2!$T318/($T$3)</f>
        <v>1.833309829361162E-3</v>
      </c>
      <c r="W318" s="35" t="e">
        <f>FME_Ranking_Option2!$V318*T$4</f>
        <v>#REF!</v>
      </c>
      <c r="X318" s="37">
        <f>_xlfn.XLOOKUP(FME_Ranking2[[#This Row],[FME ID]],FME_Input[FME_ID],FME_Input[LWC])</f>
        <v>1</v>
      </c>
      <c r="Y318" s="35" t="e">
        <f>FME_Ranking_Option2!$X318*X$4</f>
        <v>#REF!</v>
      </c>
      <c r="Z318" s="35">
        <f>FME_Ranking_Option2!$X318/($X$3)</f>
        <v>9.1224229155263632E-5</v>
      </c>
      <c r="AA318" s="35" t="e">
        <f>FME_Ranking_Option2!$Z318*X$4</f>
        <v>#REF!</v>
      </c>
      <c r="AB318" s="37">
        <f>_xlfn.XLOOKUP(FME_Ranking2[[#This Row],[FME ID]],FME_Input[FME_ID],FME_Input[ROADCLS])</f>
        <v>1</v>
      </c>
      <c r="AC318" s="35" t="e">
        <f>FME_Ranking_Option2!$AB318*AB$4</f>
        <v>#REF!</v>
      </c>
      <c r="AD318" s="40">
        <f>_xlfn.XLOOKUP(FME_Ranking2[[#This Row],[FME ID]],FME_Input[FME_ID],FME_Input[ROAD_MILES100])</f>
        <v>31.838775634765621</v>
      </c>
      <c r="AE318" s="41" t="e">
        <f>FME_Ranking_Option2!$AD318*AD$4</f>
        <v>#REF!</v>
      </c>
      <c r="AF318" s="42">
        <f>FME_Ranking_Option2!$AD318/($AD$3)</f>
        <v>7.1915143270606088E-4</v>
      </c>
      <c r="AG318" s="42" t="e">
        <f>FME_Ranking_Option2!$AF318*AD$4</f>
        <v>#REF!</v>
      </c>
      <c r="AH318" s="40">
        <f>_xlfn.XLOOKUP(FME_Ranking2[[#This Row],[FME ID]],FME_Input[FME_ID],FME_Input[FARMACRE100])</f>
        <v>0.22157217562198639</v>
      </c>
      <c r="AI318" s="43" t="e">
        <f>FME_Ranking_Option2!$AH318*AH$4</f>
        <v>#REF!</v>
      </c>
      <c r="AJ318" s="41">
        <f>FME_Ranking_Option2!$AH318/($AH$3)</f>
        <v>1.2865796584676771E-5</v>
      </c>
      <c r="AK318" s="44" t="e">
        <f>FME_Ranking_Option2!$AJ318*AH$4</f>
        <v>#REF!</v>
      </c>
      <c r="AL31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18" s="45" t="e">
        <f>_xlfn.RANK.EQ(AL318,$AL$7:$AL$531)+COUNTIF(AL$7:AL318,AL318)-1</f>
        <v>#REF!</v>
      </c>
      <c r="AN318" s="44"/>
      <c r="AO318" s="45" t="e">
        <f>_xlfn.RANK.EQ(AN318,$AN$7:$AN$531)+COUNTIF(AN$7:AN318,AN318)-1</f>
        <v>#N/A</v>
      </c>
      <c r="AP31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18" s="32" t="e">
        <f>FME_Ranking2[[#This Row],[Score Based on Reported Factors]]-FME_Ranking2[[#This Row],[Check]]</f>
        <v>#REF!</v>
      </c>
      <c r="AR318" s="32"/>
    </row>
    <row r="319" spans="1:55" ht="12" customHeight="1" x14ac:dyDescent="0.25">
      <c r="A319" s="16" t="s">
        <v>2260</v>
      </c>
      <c r="B319" s="16" t="str">
        <f>_xlfn.XLOOKUP(FME_Ranking2[[#This Row],[FME ID]],FME_Input[FME_ID],FME_Input[FME_NAME])</f>
        <v xml:space="preserve">Halls Bayou - Right-Of-Way, Design, and Construction of Channel Conveyance Improvements on P118-27-00 </v>
      </c>
      <c r="C319" s="16" t="str">
        <f>_xlfn.XLOOKUP(FME_Ranking2[[#This Row],[FME ID]],FME_Input[FME_ID],FME_Input[DESCR])</f>
        <v>Develop BCA to become a FMP. Part of Halls Ahead Bond Implementation Program, could reduce flood risk for 150+ structures, size of the floodplain by 90+ acres, frequency &amp; duration of flooding along 3+ miles of roadway in an Atlas 14 1% event.</v>
      </c>
      <c r="D319" s="46" t="str">
        <f>_xlfn.XLOOKUP(FME_Ranking2[[#This Row],[FME ID]],FME_Input[FME_ID],FME_Input[EMER_NEED])</f>
        <v>No</v>
      </c>
      <c r="E319" s="121">
        <f>IF(FME_Ranking_Option2!$D319="Yes",100,0)</f>
        <v>0</v>
      </c>
      <c r="F319" s="47" t="str">
        <f>_xlfn.XLOOKUP(FME_Ranking2[[#This Row],[FME ID]],FME_Input[FME_ID],FME_Input[FUND])</f>
        <v>Yes</v>
      </c>
      <c r="G319" s="48">
        <f>IF(FME_Ranking_Option2!$F319="Yes",1,0)</f>
        <v>1</v>
      </c>
      <c r="H319" s="46">
        <f>_xlfn.XLOOKUP(FME_Ranking2[[#This Row],[FME ID]],FME_Input[FME_ID],FME_Input[STRUCT_100])</f>
        <v>3188</v>
      </c>
      <c r="I319" s="65" t="e">
        <f>FME_Ranking2[[#This Row],[Raw Data3]]*H$4</f>
        <v>#REF!</v>
      </c>
      <c r="J319" s="62">
        <f>((FME_Ranking_Option2!$H319)/($H$3))*100</f>
        <v>0.35427378874036108</v>
      </c>
      <c r="K319" s="49" t="e">
        <f>FME_Ranking2[[#This Row],[Norm Data3]]*H$4</f>
        <v>#REF!</v>
      </c>
      <c r="L319" s="50">
        <f>_xlfn.XLOOKUP(FME_Ranking2[[#This Row],[FME ID]],FME_Input[FME_ID],FME_Input[RES_STRUCT100])</f>
        <v>2296</v>
      </c>
      <c r="M319" s="51" t="e">
        <f>FME_Ranking2[[#This Row],[Raw Data4]]*L$4</f>
        <v>#REF!</v>
      </c>
      <c r="N319" s="29">
        <f>((FME_Ranking_Option2!$L319)/($L$3))*100</f>
        <v>0.34325883599971896</v>
      </c>
      <c r="O319" s="52" t="e">
        <f>FME_Ranking2[[#This Row],[Norm Data4]]*L$4</f>
        <v>#REF!</v>
      </c>
      <c r="P319" s="47">
        <f>_xlfn.XLOOKUP(FME_Ranking2[[#This Row],[FME ID]],FME_Input[FME_ID],FME_Input[POP100])</f>
        <v>10940</v>
      </c>
      <c r="Q319" s="48" t="e">
        <f>FME_Ranking_Option2!$P319*P$4</f>
        <v>#REF!</v>
      </c>
      <c r="R319" s="48">
        <f>FME_Ranking_Option2!$P319/($P$3)</f>
        <v>4.0152122960921783E-3</v>
      </c>
      <c r="S319" s="48" t="e">
        <f>FME_Ranking_Option2!$R319*P$4</f>
        <v>#REF!</v>
      </c>
      <c r="T319" s="50">
        <f>_xlfn.XLOOKUP(FME_Ranking2[[#This Row],[FME ID]],FME_Input[FME_ID],FME_Input[CRITFAC100])</f>
        <v>13</v>
      </c>
      <c r="U319" s="48" t="e">
        <f>FME_Ranking_Option2!$T319*T$4</f>
        <v>#REF!</v>
      </c>
      <c r="V319" s="48">
        <f>FME_Ranking_Option2!$T319/($T$3)</f>
        <v>1.833309829361162E-3</v>
      </c>
      <c r="W319" s="48" t="e">
        <f>FME_Ranking_Option2!$V319*T$4</f>
        <v>#REF!</v>
      </c>
      <c r="X319" s="50">
        <f>_xlfn.XLOOKUP(FME_Ranking2[[#This Row],[FME ID]],FME_Input[FME_ID],FME_Input[LWC])</f>
        <v>1</v>
      </c>
      <c r="Y319" s="48" t="e">
        <f>FME_Ranking_Option2!$X319*X$4</f>
        <v>#REF!</v>
      </c>
      <c r="Z319" s="48">
        <f>FME_Ranking_Option2!$X319/($X$3)</f>
        <v>9.1224229155263632E-5</v>
      </c>
      <c r="AA319" s="48" t="e">
        <f>FME_Ranking_Option2!$Z319*X$4</f>
        <v>#REF!</v>
      </c>
      <c r="AB319" s="50">
        <f>_xlfn.XLOOKUP(FME_Ranking2[[#This Row],[FME ID]],FME_Input[FME_ID],FME_Input[ROADCLS])</f>
        <v>1</v>
      </c>
      <c r="AC319" s="48" t="e">
        <f>FME_Ranking_Option2!$AB319*AB$4</f>
        <v>#REF!</v>
      </c>
      <c r="AD319" s="53">
        <f>_xlfn.XLOOKUP(FME_Ranking2[[#This Row],[FME ID]],FME_Input[FME_ID],FME_Input[ROAD_MILES100])</f>
        <v>31.838775634765621</v>
      </c>
      <c r="AE319" s="54" t="e">
        <f>FME_Ranking_Option2!$AD319*AD$4</f>
        <v>#REF!</v>
      </c>
      <c r="AF319" s="55">
        <f>FME_Ranking_Option2!$AD319/($AD$3)</f>
        <v>7.1915143270606088E-4</v>
      </c>
      <c r="AG319" s="55" t="e">
        <f>FME_Ranking_Option2!$AF319*AD$4</f>
        <v>#REF!</v>
      </c>
      <c r="AH319" s="53">
        <f>_xlfn.XLOOKUP(FME_Ranking2[[#This Row],[FME ID]],FME_Input[FME_ID],FME_Input[FARMACRE100])</f>
        <v>0.22157217562198639</v>
      </c>
      <c r="AI319" s="54" t="e">
        <f>FME_Ranking_Option2!$AH319*AH$4</f>
        <v>#REF!</v>
      </c>
      <c r="AJ319" s="56">
        <f>FME_Ranking_Option2!$AH319/($AH$3)</f>
        <v>1.2865796584676771E-5</v>
      </c>
      <c r="AK319" s="57" t="e">
        <f>FME_Ranking_Option2!$AJ319*AH$4</f>
        <v>#REF!</v>
      </c>
      <c r="AL31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19" s="58" t="e">
        <f>_xlfn.RANK.EQ(AL319,$AL$7:$AL$531)+COUNTIF(AL$7:AL319,AL319)-1</f>
        <v>#REF!</v>
      </c>
      <c r="AN319" s="57"/>
      <c r="AO319" s="58" t="e">
        <f>_xlfn.RANK.EQ(AN319,$AN$7:$AN$531)+COUNTIF(AN$7:AN319,AN319)-1</f>
        <v>#N/A</v>
      </c>
      <c r="AP31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19" s="32" t="e">
        <f>FME_Ranking2[[#This Row],[Score Based on Reported Factors]]-FME_Ranking2[[#This Row],[Check]]</f>
        <v>#REF!</v>
      </c>
      <c r="AR319" s="32"/>
      <c r="AT319" s="19"/>
      <c r="AU319" s="19"/>
      <c r="AV319" s="19"/>
      <c r="AW319" s="19"/>
      <c r="AX319" s="19"/>
      <c r="AY319" s="19"/>
      <c r="AZ319" s="19"/>
      <c r="BA319" s="19"/>
      <c r="BB319" s="19"/>
      <c r="BC319" s="19"/>
    </row>
    <row r="320" spans="1:55" ht="12" customHeight="1" x14ac:dyDescent="0.25">
      <c r="A320" s="17" t="s">
        <v>2184</v>
      </c>
      <c r="B320" s="17" t="str">
        <f>_xlfn.XLOOKUP(FME_Ranking2[[#This Row],[FME ID]],FME_Input[FME_ID],FME_Input[FME_NAME])</f>
        <v>Carpenters (N100-00-00) Channel Improvements</v>
      </c>
      <c r="C320" s="17" t="str">
        <f>_xlfn.XLOOKUP(FME_Ranking2[[#This Row],[FME ID]],FME_Input[FME_ID],FME_Input[DESCR])</f>
        <v>Study to develop a Cost Benefit Analysis and elevate the project to a FMP. Carpenters Bayou (N100-00-00) channel conveyance improvements.</v>
      </c>
      <c r="D320" s="33" t="str">
        <f>_xlfn.XLOOKUP(FME_Ranking2[[#This Row],[FME ID]],FME_Input[FME_ID],FME_Input[EMER_NEED])</f>
        <v>No</v>
      </c>
      <c r="E320" s="120">
        <f>IF(FME_Ranking_Option2!$D320="Yes",100,0)</f>
        <v>0</v>
      </c>
      <c r="F320" s="34" t="str">
        <f>_xlfn.XLOOKUP(FME_Ranking2[[#This Row],[FME ID]],FME_Input[FME_ID],FME_Input[FUND])</f>
        <v>Yes</v>
      </c>
      <c r="G320" s="35">
        <f>IF(FME_Ranking_Option2!$F320="Yes",1,0)</f>
        <v>1</v>
      </c>
      <c r="H320" s="33">
        <f>_xlfn.XLOOKUP(FME_Ranking2[[#This Row],[FME ID]],FME_Input[FME_ID],FME_Input[STRUCT_100])</f>
        <v>153</v>
      </c>
      <c r="I320" s="64" t="e">
        <f>FME_Ranking2[[#This Row],[Raw Data3]]*H$4</f>
        <v>#REF!</v>
      </c>
      <c r="J320" s="63">
        <f>((FME_Ranking_Option2!$H320)/($H$3))*100</f>
        <v>1.7002474804666014E-2</v>
      </c>
      <c r="K320" s="36" t="e">
        <f>FME_Ranking2[[#This Row],[Norm Data3]]*H$4</f>
        <v>#REF!</v>
      </c>
      <c r="L320" s="37">
        <f>_xlfn.XLOOKUP(FME_Ranking2[[#This Row],[FME ID]],FME_Input[FME_ID],FME_Input[RES_STRUCT100])</f>
        <v>148</v>
      </c>
      <c r="M320" s="38" t="e">
        <f>FME_Ranking2[[#This Row],[Raw Data4]]*L$4</f>
        <v>#REF!</v>
      </c>
      <c r="N320" s="28">
        <f>((FME_Ranking_Option2!$L320)/($L$3))*100</f>
        <v>2.2126440648065505E-2</v>
      </c>
      <c r="O320" s="39" t="e">
        <f>FME_Ranking2[[#This Row],[Norm Data4]]*L$4</f>
        <v>#REF!</v>
      </c>
      <c r="P320" s="34">
        <f>_xlfn.XLOOKUP(FME_Ranking2[[#This Row],[FME ID]],FME_Input[FME_ID],FME_Input[POP100])</f>
        <v>531</v>
      </c>
      <c r="Q320" s="35" t="e">
        <f>FME_Ranking_Option2!$P320*P$4</f>
        <v>#REF!</v>
      </c>
      <c r="R320" s="35">
        <f>FME_Ranking_Option2!$P320/($P$3)</f>
        <v>1.9488827506626569E-4</v>
      </c>
      <c r="S320" s="35" t="e">
        <f>FME_Ranking_Option2!$R320*P$4</f>
        <v>#REF!</v>
      </c>
      <c r="T320" s="37">
        <f>_xlfn.XLOOKUP(FME_Ranking2[[#This Row],[FME ID]],FME_Input[FME_ID],FME_Input[CRITFAC100])</f>
        <v>3</v>
      </c>
      <c r="U320" s="35" t="e">
        <f>FME_Ranking_Option2!$T320*T$4</f>
        <v>#REF!</v>
      </c>
      <c r="V320" s="35">
        <f>FME_Ranking_Option2!$T320/($T$3)</f>
        <v>4.2307149908334509E-4</v>
      </c>
      <c r="W320" s="35" t="e">
        <f>FME_Ranking_Option2!$V320*T$4</f>
        <v>#REF!</v>
      </c>
      <c r="X320" s="37">
        <f>_xlfn.XLOOKUP(FME_Ranking2[[#This Row],[FME ID]],FME_Input[FME_ID],FME_Input[LWC])</f>
        <v>0</v>
      </c>
      <c r="Y320" s="35" t="e">
        <f>FME_Ranking_Option2!$X320*X$4</f>
        <v>#REF!</v>
      </c>
      <c r="Z320" s="35">
        <f>FME_Ranking_Option2!$X320/($X$3)</f>
        <v>0</v>
      </c>
      <c r="AA320" s="35" t="e">
        <f>FME_Ranking_Option2!$Z320*X$4</f>
        <v>#REF!</v>
      </c>
      <c r="AB320" s="37">
        <f>_xlfn.XLOOKUP(FME_Ranking2[[#This Row],[FME ID]],FME_Input[FME_ID],FME_Input[ROADCLS])</f>
        <v>0</v>
      </c>
      <c r="AC320" s="35" t="e">
        <f>FME_Ranking_Option2!$AB320*AB$4</f>
        <v>#REF!</v>
      </c>
      <c r="AD320" s="40">
        <f>_xlfn.XLOOKUP(FME_Ranking2[[#This Row],[FME ID]],FME_Input[FME_ID],FME_Input[ROAD_MILES100])</f>
        <v>2.01900315284729</v>
      </c>
      <c r="AE320" s="41" t="e">
        <f>FME_Ranking_Option2!$AD320*AD$4</f>
        <v>#REF!</v>
      </c>
      <c r="AF320" s="42">
        <f>FME_Ranking_Option2!$AD320/($AD$3)</f>
        <v>4.5603795405459579E-5</v>
      </c>
      <c r="AG320" s="42" t="e">
        <f>FME_Ranking_Option2!$AF320*AD$4</f>
        <v>#REF!</v>
      </c>
      <c r="AH320" s="40">
        <f>_xlfn.XLOOKUP(FME_Ranking2[[#This Row],[FME ID]],FME_Input[FME_ID],FME_Input[FARMACRE100])</f>
        <v>0</v>
      </c>
      <c r="AI320" s="43" t="e">
        <f>FME_Ranking_Option2!$AH320*AH$4</f>
        <v>#REF!</v>
      </c>
      <c r="AJ320" s="41">
        <f>FME_Ranking_Option2!$AH320/($AH$3)</f>
        <v>0</v>
      </c>
      <c r="AK320" s="44" t="e">
        <f>FME_Ranking_Option2!$AJ320*AH$4</f>
        <v>#REF!</v>
      </c>
      <c r="AL32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20" s="45" t="e">
        <f>_xlfn.RANK.EQ(AL320,$AL$7:$AL$531)+COUNTIF(AL$7:AL320,AL320)-1</f>
        <v>#REF!</v>
      </c>
      <c r="AN320" s="44"/>
      <c r="AO320" s="45" t="e">
        <f>_xlfn.RANK.EQ(AN320,$AN$7:$AN$531)+COUNTIF(AN$7:AN320,AN320)-1</f>
        <v>#N/A</v>
      </c>
      <c r="AP32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20" s="32" t="e">
        <f>FME_Ranking2[[#This Row],[Score Based on Reported Factors]]-FME_Ranking2[[#This Row],[Check]]</f>
        <v>#REF!</v>
      </c>
      <c r="AR320" s="32"/>
    </row>
    <row r="321" spans="1:55" ht="12" customHeight="1" x14ac:dyDescent="0.25">
      <c r="A321" s="16" t="s">
        <v>2092</v>
      </c>
      <c r="B321" s="16" t="str">
        <f>_xlfn.XLOOKUP(FME_Ranking2[[#This Row],[FME ID]],FME_Input[FME_ID],FME_Input[FME_NAME])</f>
        <v>Halls Bayou - Design and Construction of a Stormwater Detention Basin in Brock Park</v>
      </c>
      <c r="C321" s="16" t="str">
        <f>_xlfn.XLOOKUP(FME_Ranking2[[#This Row],[FME ID]],FME_Input[FME_ID],FME_Input[DESCR])</f>
        <v>Develop BCA to become a FMP. Provides additional stormwater detention in support of flood damage reduction as part of the Halls Ahead Bond Implementation Program. The project will be a partnership with the City of Houston.</v>
      </c>
      <c r="D321" s="46" t="str">
        <f>_xlfn.XLOOKUP(FME_Ranking2[[#This Row],[FME ID]],FME_Input[FME_ID],FME_Input[EMER_NEED])</f>
        <v>No</v>
      </c>
      <c r="E321" s="121">
        <f>IF(FME_Ranking_Option2!$D321="Yes",100,0)</f>
        <v>0</v>
      </c>
      <c r="F321" s="47" t="str">
        <f>_xlfn.XLOOKUP(FME_Ranking2[[#This Row],[FME ID]],FME_Input[FME_ID],FME_Input[FUND])</f>
        <v>Yes</v>
      </c>
      <c r="G321" s="48">
        <f>IF(FME_Ranking_Option2!$F321="Yes",1,0)</f>
        <v>1</v>
      </c>
      <c r="H321" s="46">
        <f>_xlfn.XLOOKUP(FME_Ranking2[[#This Row],[FME ID]],FME_Input[FME_ID],FME_Input[STRUCT_100])</f>
        <v>12422</v>
      </c>
      <c r="I321" s="65" t="e">
        <f>FME_Ranking2[[#This Row],[Raw Data3]]*H$4</f>
        <v>#REF!</v>
      </c>
      <c r="J321" s="62">
        <f>((FME_Ranking_Option2!$H321)/($H$3))*100</f>
        <v>1.3804231504807922</v>
      </c>
      <c r="K321" s="49" t="e">
        <f>FME_Ranking2[[#This Row],[Norm Data3]]*H$4</f>
        <v>#REF!</v>
      </c>
      <c r="L321" s="50">
        <f>_xlfn.XLOOKUP(FME_Ranking2[[#This Row],[FME ID]],FME_Input[FME_ID],FME_Input[RES_STRUCT100])</f>
        <v>10065</v>
      </c>
      <c r="M321" s="51" t="e">
        <f>FME_Ranking2[[#This Row],[Raw Data4]]*L$4</f>
        <v>#REF!</v>
      </c>
      <c r="N321" s="29">
        <f>((FME_Ranking_Option2!$L321)/($L$3))*100</f>
        <v>1.5047474670458063</v>
      </c>
      <c r="O321" s="52" t="e">
        <f>FME_Ranking2[[#This Row],[Norm Data4]]*L$4</f>
        <v>#REF!</v>
      </c>
      <c r="P321" s="47">
        <f>_xlfn.XLOOKUP(FME_Ranking2[[#This Row],[FME ID]],FME_Input[FME_ID],FME_Input[POP100])</f>
        <v>43171</v>
      </c>
      <c r="Q321" s="48" t="e">
        <f>FME_Ranking_Option2!$P321*P$4</f>
        <v>#REF!</v>
      </c>
      <c r="R321" s="48">
        <f>FME_Ranking_Option2!$P321/($P$3)</f>
        <v>1.5844673677750953E-2</v>
      </c>
      <c r="S321" s="48" t="e">
        <f>FME_Ranking_Option2!$R321*P$4</f>
        <v>#REF!</v>
      </c>
      <c r="T321" s="50">
        <f>_xlfn.XLOOKUP(FME_Ranking2[[#This Row],[FME ID]],FME_Input[FME_ID],FME_Input[CRITFAC100])</f>
        <v>98</v>
      </c>
      <c r="U321" s="48" t="e">
        <f>FME_Ranking_Option2!$T321*T$4</f>
        <v>#REF!</v>
      </c>
      <c r="V321" s="48">
        <f>FME_Ranking_Option2!$T321/($T$3)</f>
        <v>1.3820335636722606E-2</v>
      </c>
      <c r="W321" s="48" t="e">
        <f>FME_Ranking_Option2!$V321*T$4</f>
        <v>#REF!</v>
      </c>
      <c r="X321" s="50">
        <f>_xlfn.XLOOKUP(FME_Ranking2[[#This Row],[FME ID]],FME_Input[FME_ID],FME_Input[LWC])</f>
        <v>7</v>
      </c>
      <c r="Y321" s="48" t="e">
        <f>FME_Ranking_Option2!$X321*X$4</f>
        <v>#REF!</v>
      </c>
      <c r="Z321" s="48">
        <f>FME_Ranking_Option2!$X321/($X$3)</f>
        <v>6.3856960408684551E-4</v>
      </c>
      <c r="AA321" s="48" t="e">
        <f>FME_Ranking_Option2!$Z321*X$4</f>
        <v>#REF!</v>
      </c>
      <c r="AB321" s="50">
        <f>_xlfn.XLOOKUP(FME_Ranking2[[#This Row],[FME ID]],FME_Input[FME_ID],FME_Input[ROADCLS])</f>
        <v>7</v>
      </c>
      <c r="AC321" s="48" t="e">
        <f>FME_Ranking_Option2!$AB321*AB$4</f>
        <v>#REF!</v>
      </c>
      <c r="AD321" s="53">
        <f>_xlfn.XLOOKUP(FME_Ranking2[[#This Row],[FME ID]],FME_Input[FME_ID],FME_Input[ROAD_MILES100])</f>
        <v>121.9914245605469</v>
      </c>
      <c r="AE321" s="54" t="e">
        <f>FME_Ranking_Option2!$AD321*AD$4</f>
        <v>#REF!</v>
      </c>
      <c r="AF321" s="55">
        <f>FME_Ranking_Option2!$AD321/($AD$3)</f>
        <v>2.7554548188962252E-3</v>
      </c>
      <c r="AG321" s="55" t="e">
        <f>FME_Ranking_Option2!$AF321*AD$4</f>
        <v>#REF!</v>
      </c>
      <c r="AH321" s="53">
        <f>_xlfn.XLOOKUP(FME_Ranking2[[#This Row],[FME ID]],FME_Input[FME_ID],FME_Input[FARMACRE100])</f>
        <v>9.6442432403564453</v>
      </c>
      <c r="AI321" s="54" t="e">
        <f>FME_Ranking_Option2!$AH321*AH$4</f>
        <v>#REF!</v>
      </c>
      <c r="AJ321" s="56">
        <f>FME_Ranking_Option2!$AH321/($AH$3)</f>
        <v>5.6000204626441177E-4</v>
      </c>
      <c r="AK321" s="57" t="e">
        <f>FME_Ranking_Option2!$AJ321*AH$4</f>
        <v>#REF!</v>
      </c>
      <c r="AL32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21" s="58" t="e">
        <f>_xlfn.RANK.EQ(AL321,$AL$7:$AL$531)+COUNTIF(AL$7:AL321,AL321)-1</f>
        <v>#REF!</v>
      </c>
      <c r="AN321" s="57"/>
      <c r="AO321" s="58" t="e">
        <f>_xlfn.RANK.EQ(AN321,$AN$7:$AN$531)+COUNTIF(AN$7:AN321,AN321)-1</f>
        <v>#N/A</v>
      </c>
      <c r="AP32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21" s="32" t="e">
        <f>FME_Ranking2[[#This Row],[Score Based on Reported Factors]]-FME_Ranking2[[#This Row],[Check]]</f>
        <v>#REF!</v>
      </c>
      <c r="AR321" s="32"/>
      <c r="AT321" s="19"/>
      <c r="AU321" s="19"/>
      <c r="AV321" s="19"/>
      <c r="AW321" s="19"/>
      <c r="AX321" s="19"/>
      <c r="AY321" s="19"/>
      <c r="AZ321" s="19"/>
      <c r="BA321" s="19"/>
      <c r="BB321" s="19"/>
      <c r="BC321" s="19"/>
    </row>
    <row r="322" spans="1:55" ht="12" customHeight="1" x14ac:dyDescent="0.25">
      <c r="A322" s="17" t="s">
        <v>1968</v>
      </c>
      <c r="B322" s="17" t="str">
        <f>_xlfn.XLOOKUP(FME_Ranking2[[#This Row],[FME ID]],FME_Input[FME_ID],FME_Input[FME_NAME])</f>
        <v>Halls Bayou - Planning, Right-Of-Way, Design and Construction of Halls Bayou Flood Risk Management Project</v>
      </c>
      <c r="C322" s="17" t="str">
        <f>_xlfn.XLOOKUP(FME_Ranking2[[#This Row],[FME ID]],FME_Input[FME_ID],FME_Input[DESCR])</f>
        <v>Develop BCA to become a FMP. Projects as part of the Halls Ahead Bond Implementation Program, could reduce the risk of flooding for more than 700 structures in an Atlas 14 1% rainfall event.</v>
      </c>
      <c r="D322" s="33" t="str">
        <f>_xlfn.XLOOKUP(FME_Ranking2[[#This Row],[FME ID]],FME_Input[FME_ID],FME_Input[EMER_NEED])</f>
        <v>No</v>
      </c>
      <c r="E322" s="120">
        <f>IF(FME_Ranking_Option2!$D322="Yes",100,0)</f>
        <v>0</v>
      </c>
      <c r="F322" s="34" t="str">
        <f>_xlfn.XLOOKUP(FME_Ranking2[[#This Row],[FME ID]],FME_Input[FME_ID],FME_Input[FUND])</f>
        <v>Yes</v>
      </c>
      <c r="G322" s="35">
        <f>IF(FME_Ranking_Option2!$F322="Yes",1,0)</f>
        <v>1</v>
      </c>
      <c r="H322" s="33">
        <f>_xlfn.XLOOKUP(FME_Ranking2[[#This Row],[FME ID]],FME_Input[FME_ID],FME_Input[STRUCT_100])</f>
        <v>12422</v>
      </c>
      <c r="I322" s="64" t="e">
        <f>FME_Ranking2[[#This Row],[Raw Data3]]*H$4</f>
        <v>#REF!</v>
      </c>
      <c r="J322" s="63">
        <f>((FME_Ranking_Option2!$H322)/($H$3))*100</f>
        <v>1.3804231504807922</v>
      </c>
      <c r="K322" s="36" t="e">
        <f>FME_Ranking2[[#This Row],[Norm Data3]]*H$4</f>
        <v>#REF!</v>
      </c>
      <c r="L322" s="37">
        <f>_xlfn.XLOOKUP(FME_Ranking2[[#This Row],[FME ID]],FME_Input[FME_ID],FME_Input[RES_STRUCT100])</f>
        <v>10065</v>
      </c>
      <c r="M322" s="38" t="e">
        <f>FME_Ranking2[[#This Row],[Raw Data4]]*L$4</f>
        <v>#REF!</v>
      </c>
      <c r="N322" s="28">
        <f>((FME_Ranking_Option2!$L322)/($L$3))*100</f>
        <v>1.5047474670458063</v>
      </c>
      <c r="O322" s="39" t="e">
        <f>FME_Ranking2[[#This Row],[Norm Data4]]*L$4</f>
        <v>#REF!</v>
      </c>
      <c r="P322" s="34">
        <f>_xlfn.XLOOKUP(FME_Ranking2[[#This Row],[FME ID]],FME_Input[FME_ID],FME_Input[POP100])</f>
        <v>43171</v>
      </c>
      <c r="Q322" s="35" t="e">
        <f>FME_Ranking_Option2!$P322*P$4</f>
        <v>#REF!</v>
      </c>
      <c r="R322" s="35">
        <f>FME_Ranking_Option2!$P322/($P$3)</f>
        <v>1.5844673677750953E-2</v>
      </c>
      <c r="S322" s="35" t="e">
        <f>FME_Ranking_Option2!$R322*P$4</f>
        <v>#REF!</v>
      </c>
      <c r="T322" s="37">
        <f>_xlfn.XLOOKUP(FME_Ranking2[[#This Row],[FME ID]],FME_Input[FME_ID],FME_Input[CRITFAC100])</f>
        <v>98</v>
      </c>
      <c r="U322" s="35" t="e">
        <f>FME_Ranking_Option2!$T322*T$4</f>
        <v>#REF!</v>
      </c>
      <c r="V322" s="35">
        <f>FME_Ranking_Option2!$T322/($T$3)</f>
        <v>1.3820335636722606E-2</v>
      </c>
      <c r="W322" s="35" t="e">
        <f>FME_Ranking_Option2!$V322*T$4</f>
        <v>#REF!</v>
      </c>
      <c r="X322" s="37">
        <f>_xlfn.XLOOKUP(FME_Ranking2[[#This Row],[FME ID]],FME_Input[FME_ID],FME_Input[LWC])</f>
        <v>7</v>
      </c>
      <c r="Y322" s="35" t="e">
        <f>FME_Ranking_Option2!$X322*X$4</f>
        <v>#REF!</v>
      </c>
      <c r="Z322" s="35">
        <f>FME_Ranking_Option2!$X322/($X$3)</f>
        <v>6.3856960408684551E-4</v>
      </c>
      <c r="AA322" s="35" t="e">
        <f>FME_Ranking_Option2!$Z322*X$4</f>
        <v>#REF!</v>
      </c>
      <c r="AB322" s="37">
        <f>_xlfn.XLOOKUP(FME_Ranking2[[#This Row],[FME ID]],FME_Input[FME_ID],FME_Input[ROADCLS])</f>
        <v>7</v>
      </c>
      <c r="AC322" s="35" t="e">
        <f>FME_Ranking_Option2!$AB322*AB$4</f>
        <v>#REF!</v>
      </c>
      <c r="AD322" s="40">
        <f>_xlfn.XLOOKUP(FME_Ranking2[[#This Row],[FME ID]],FME_Input[FME_ID],FME_Input[ROAD_MILES100])</f>
        <v>121.9914245605469</v>
      </c>
      <c r="AE322" s="41" t="e">
        <f>FME_Ranking_Option2!$AD322*AD$4</f>
        <v>#REF!</v>
      </c>
      <c r="AF322" s="42">
        <f>FME_Ranking_Option2!$AD322/($AD$3)</f>
        <v>2.7554548188962252E-3</v>
      </c>
      <c r="AG322" s="42" t="e">
        <f>FME_Ranking_Option2!$AF322*AD$4</f>
        <v>#REF!</v>
      </c>
      <c r="AH322" s="40">
        <f>_xlfn.XLOOKUP(FME_Ranking2[[#This Row],[FME ID]],FME_Input[FME_ID],FME_Input[FARMACRE100])</f>
        <v>9.6442432403564453</v>
      </c>
      <c r="AI322" s="43" t="e">
        <f>FME_Ranking_Option2!$AH322*AH$4</f>
        <v>#REF!</v>
      </c>
      <c r="AJ322" s="41">
        <f>FME_Ranking_Option2!$AH322/($AH$3)</f>
        <v>5.6000204626441177E-4</v>
      </c>
      <c r="AK322" s="44" t="e">
        <f>FME_Ranking_Option2!$AJ322*AH$4</f>
        <v>#REF!</v>
      </c>
      <c r="AL322"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22" s="45" t="e">
        <f>_xlfn.RANK.EQ(AL322,$AL$7:$AL$531)+COUNTIF(AL$7:AL322,AL322)-1</f>
        <v>#REF!</v>
      </c>
      <c r="AN322" s="44"/>
      <c r="AO322" s="45" t="e">
        <f>_xlfn.RANK.EQ(AN322,$AN$7:$AN$531)+COUNTIF(AN$7:AN322,AN322)-1</f>
        <v>#N/A</v>
      </c>
      <c r="AP32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22" s="32" t="e">
        <f>FME_Ranking2[[#This Row],[Score Based on Reported Factors]]-FME_Ranking2[[#This Row],[Check]]</f>
        <v>#REF!</v>
      </c>
      <c r="AR322" s="32"/>
    </row>
    <row r="323" spans="1:55" ht="12" customHeight="1" x14ac:dyDescent="0.25">
      <c r="A323" s="16" t="s">
        <v>2122</v>
      </c>
      <c r="B323" s="16" t="str">
        <f>_xlfn.XLOOKUP(FME_Ranking2[[#This Row],[FME ID]],FME_Input[FME_ID],FME_Input[FME_NAME])</f>
        <v>Hunting Bayou Wallisville Outfall (H103-00-00) - Gellhorn Drive</v>
      </c>
      <c r="C323" s="16" t="str">
        <f>_xlfn.XLOOKUP(FME_Ranking2[[#This Row],[FME ID]],FME_Input[FME_ID],FME_Input[DESCR])</f>
        <v>Study to develop a Benefit Cost Analysis needed for this project to become a FMP. Diversion channel expansion for Gellhorn Drive flood reductions.</v>
      </c>
      <c r="D323" s="46" t="str">
        <f>_xlfn.XLOOKUP(FME_Ranking2[[#This Row],[FME ID]],FME_Input[FME_ID],FME_Input[EMER_NEED])</f>
        <v>No</v>
      </c>
      <c r="E323" s="121">
        <f>IF(FME_Ranking_Option2!$D323="Yes",100,0)</f>
        <v>0</v>
      </c>
      <c r="F323" s="47" t="str">
        <f>_xlfn.XLOOKUP(FME_Ranking2[[#This Row],[FME ID]],FME_Input[FME_ID],FME_Input[FUND])</f>
        <v>Yes</v>
      </c>
      <c r="G323" s="48">
        <f>IF(FME_Ranking_Option2!$F323="Yes",1,0)</f>
        <v>1</v>
      </c>
      <c r="H323" s="46">
        <f>_xlfn.XLOOKUP(FME_Ranking2[[#This Row],[FME ID]],FME_Input[FME_ID],FME_Input[STRUCT_100])</f>
        <v>396</v>
      </c>
      <c r="I323" s="65" t="e">
        <f>FME_Ranking2[[#This Row],[Raw Data3]]*H$4</f>
        <v>#REF!</v>
      </c>
      <c r="J323" s="62">
        <f>((FME_Ranking_Option2!$H323)/($H$3))*100</f>
        <v>4.4006405376782624E-2</v>
      </c>
      <c r="K323" s="49" t="e">
        <f>FME_Ranking2[[#This Row],[Norm Data3]]*H$4</f>
        <v>#REF!</v>
      </c>
      <c r="L323" s="50">
        <f>_xlfn.XLOOKUP(FME_Ranking2[[#This Row],[FME ID]],FME_Input[FME_ID],FME_Input[RES_STRUCT100])</f>
        <v>328</v>
      </c>
      <c r="M323" s="51" t="e">
        <f>FME_Ranking2[[#This Row],[Raw Data4]]*L$4</f>
        <v>#REF!</v>
      </c>
      <c r="N323" s="29">
        <f>((FME_Ranking_Option2!$L323)/($L$3))*100</f>
        <v>4.9036976571388419E-2</v>
      </c>
      <c r="O323" s="52" t="e">
        <f>FME_Ranking2[[#This Row],[Norm Data4]]*L$4</f>
        <v>#REF!</v>
      </c>
      <c r="P323" s="47">
        <f>_xlfn.XLOOKUP(FME_Ranking2[[#This Row],[FME ID]],FME_Input[FME_ID],FME_Input[POP100])</f>
        <v>10304</v>
      </c>
      <c r="Q323" s="48" t="e">
        <f>FME_Ranking_Option2!$P323*P$4</f>
        <v>#REF!</v>
      </c>
      <c r="R323" s="48">
        <f>FME_Ranking_Option2!$P323/($P$3)</f>
        <v>3.7817867914930348E-3</v>
      </c>
      <c r="S323" s="48" t="e">
        <f>FME_Ranking_Option2!$R323*P$4</f>
        <v>#REF!</v>
      </c>
      <c r="T323" s="50">
        <f>_xlfn.XLOOKUP(FME_Ranking2[[#This Row],[FME ID]],FME_Input[FME_ID],FME_Input[CRITFAC100])</f>
        <v>1</v>
      </c>
      <c r="U323" s="48" t="e">
        <f>FME_Ranking_Option2!$T323*T$4</f>
        <v>#REF!</v>
      </c>
      <c r="V323" s="48">
        <f>FME_Ranking_Option2!$T323/($T$3)</f>
        <v>1.4102383302778171E-4</v>
      </c>
      <c r="W323" s="48" t="e">
        <f>FME_Ranking_Option2!$V323*T$4</f>
        <v>#REF!</v>
      </c>
      <c r="X323" s="50">
        <f>_xlfn.XLOOKUP(FME_Ranking2[[#This Row],[FME ID]],FME_Input[FME_ID],FME_Input[LWC])</f>
        <v>2</v>
      </c>
      <c r="Y323" s="48" t="e">
        <f>FME_Ranking_Option2!$X323*X$4</f>
        <v>#REF!</v>
      </c>
      <c r="Z323" s="48">
        <f>FME_Ranking_Option2!$X323/($X$3)</f>
        <v>1.8244845831052726E-4</v>
      </c>
      <c r="AA323" s="48" t="e">
        <f>FME_Ranking_Option2!$Z323*X$4</f>
        <v>#REF!</v>
      </c>
      <c r="AB323" s="50">
        <f>_xlfn.XLOOKUP(FME_Ranking2[[#This Row],[FME ID]],FME_Input[FME_ID],FME_Input[ROADCLS])</f>
        <v>2</v>
      </c>
      <c r="AC323" s="48" t="e">
        <f>FME_Ranking_Option2!$AB323*AB$4</f>
        <v>#REF!</v>
      </c>
      <c r="AD323" s="53">
        <f>_xlfn.XLOOKUP(FME_Ranking2[[#This Row],[FME ID]],FME_Input[FME_ID],FME_Input[ROAD_MILES100])</f>
        <v>13.02831935882568</v>
      </c>
      <c r="AE323" s="54" t="e">
        <f>FME_Ranking_Option2!$AD323*AD$4</f>
        <v>#REF!</v>
      </c>
      <c r="AF323" s="55">
        <f>FME_Ranking_Option2!$AD323/($AD$3)</f>
        <v>2.9427433517327116E-4</v>
      </c>
      <c r="AG323" s="55" t="e">
        <f>FME_Ranking_Option2!$AF323*AD$4</f>
        <v>#REF!</v>
      </c>
      <c r="AH323" s="53">
        <f>_xlfn.XLOOKUP(FME_Ranking2[[#This Row],[FME ID]],FME_Input[FME_ID],FME_Input[FARMACRE100])</f>
        <v>0.66479456424713135</v>
      </c>
      <c r="AI323" s="54" t="e">
        <f>FME_Ranking_Option2!$AH323*AH$4</f>
        <v>#REF!</v>
      </c>
      <c r="AJ323" s="56">
        <f>FME_Ranking_Option2!$AH323/($AH$3)</f>
        <v>3.8601921067898328E-5</v>
      </c>
      <c r="AK323" s="57" t="e">
        <f>FME_Ranking_Option2!$AJ323*AH$4</f>
        <v>#REF!</v>
      </c>
      <c r="AL323"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23" s="58" t="e">
        <f>_xlfn.RANK.EQ(AL323,$AL$7:$AL$531)+COUNTIF(AL$7:AL323,AL323)-1</f>
        <v>#REF!</v>
      </c>
      <c r="AN323" s="57"/>
      <c r="AO323" s="58" t="e">
        <f>_xlfn.RANK.EQ(AN323,$AN$7:$AN$531)+COUNTIF(AN$7:AN323,AN323)-1</f>
        <v>#N/A</v>
      </c>
      <c r="AP32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23" s="32" t="e">
        <f>FME_Ranking2[[#This Row],[Score Based on Reported Factors]]-FME_Ranking2[[#This Row],[Check]]</f>
        <v>#REF!</v>
      </c>
      <c r="AR323" s="32"/>
      <c r="AT323" s="19"/>
      <c r="AU323" s="19"/>
      <c r="AV323" s="19"/>
      <c r="AW323" s="19"/>
      <c r="AX323" s="19"/>
      <c r="AY323" s="19"/>
      <c r="AZ323" s="19"/>
      <c r="BA323" s="19"/>
      <c r="BB323" s="19"/>
      <c r="BC323" s="19"/>
    </row>
    <row r="324" spans="1:55" ht="12" customHeight="1" x14ac:dyDescent="0.25">
      <c r="A324" s="17" t="s">
        <v>2127</v>
      </c>
      <c r="B324" s="17" t="str">
        <f>_xlfn.XLOOKUP(FME_Ranking2[[#This Row],[FME ID]],FME_Input[FME_ID],FME_Input[FME_NAME])</f>
        <v>Hunting Bayou Wallisville Outfall (H103-00-00) - Denver Harbor</v>
      </c>
      <c r="C324" s="17" t="str">
        <f>_xlfn.XLOOKUP(FME_Ranking2[[#This Row],[FME ID]],FME_Input[FME_ID],FME_Input[DESCR])</f>
        <v>Study to develop a Benefit Cost Analysis needed for this project to become a FMP. Denver Harbor drainage system improvements.</v>
      </c>
      <c r="D324" s="33" t="str">
        <f>_xlfn.XLOOKUP(FME_Ranking2[[#This Row],[FME ID]],FME_Input[FME_ID],FME_Input[EMER_NEED])</f>
        <v>No</v>
      </c>
      <c r="E324" s="120">
        <f>IF(FME_Ranking_Option2!$D324="Yes",100,0)</f>
        <v>0</v>
      </c>
      <c r="F324" s="34" t="str">
        <f>_xlfn.XLOOKUP(FME_Ranking2[[#This Row],[FME ID]],FME_Input[FME_ID],FME_Input[FUND])</f>
        <v>Yes</v>
      </c>
      <c r="G324" s="35">
        <f>IF(FME_Ranking_Option2!$F324="Yes",1,0)</f>
        <v>1</v>
      </c>
      <c r="H324" s="33">
        <f>_xlfn.XLOOKUP(FME_Ranking2[[#This Row],[FME ID]],FME_Input[FME_ID],FME_Input[STRUCT_100])</f>
        <v>396</v>
      </c>
      <c r="I324" s="64" t="e">
        <f>FME_Ranking2[[#This Row],[Raw Data3]]*H$4</f>
        <v>#REF!</v>
      </c>
      <c r="J324" s="63">
        <f>((FME_Ranking_Option2!$H324)/($H$3))*100</f>
        <v>4.4006405376782624E-2</v>
      </c>
      <c r="K324" s="36" t="e">
        <f>FME_Ranking2[[#This Row],[Norm Data3]]*H$4</f>
        <v>#REF!</v>
      </c>
      <c r="L324" s="37">
        <f>_xlfn.XLOOKUP(FME_Ranking2[[#This Row],[FME ID]],FME_Input[FME_ID],FME_Input[RES_STRUCT100])</f>
        <v>328</v>
      </c>
      <c r="M324" s="38" t="e">
        <f>FME_Ranking2[[#This Row],[Raw Data4]]*L$4</f>
        <v>#REF!</v>
      </c>
      <c r="N324" s="28">
        <f>((FME_Ranking_Option2!$L324)/($L$3))*100</f>
        <v>4.9036976571388419E-2</v>
      </c>
      <c r="O324" s="39" t="e">
        <f>FME_Ranking2[[#This Row],[Norm Data4]]*L$4</f>
        <v>#REF!</v>
      </c>
      <c r="P324" s="34">
        <f>_xlfn.XLOOKUP(FME_Ranking2[[#This Row],[FME ID]],FME_Input[FME_ID],FME_Input[POP100])</f>
        <v>10304</v>
      </c>
      <c r="Q324" s="35" t="e">
        <f>FME_Ranking_Option2!$P324*P$4</f>
        <v>#REF!</v>
      </c>
      <c r="R324" s="35">
        <f>FME_Ranking_Option2!$P324/($P$3)</f>
        <v>3.7817867914930348E-3</v>
      </c>
      <c r="S324" s="35" t="e">
        <f>FME_Ranking_Option2!$R324*P$4</f>
        <v>#REF!</v>
      </c>
      <c r="T324" s="37">
        <f>_xlfn.XLOOKUP(FME_Ranking2[[#This Row],[FME ID]],FME_Input[FME_ID],FME_Input[CRITFAC100])</f>
        <v>1</v>
      </c>
      <c r="U324" s="35" t="e">
        <f>FME_Ranking_Option2!$T324*T$4</f>
        <v>#REF!</v>
      </c>
      <c r="V324" s="35">
        <f>FME_Ranking_Option2!$T324/($T$3)</f>
        <v>1.4102383302778171E-4</v>
      </c>
      <c r="W324" s="35" t="e">
        <f>FME_Ranking_Option2!$V324*T$4</f>
        <v>#REF!</v>
      </c>
      <c r="X324" s="37">
        <f>_xlfn.XLOOKUP(FME_Ranking2[[#This Row],[FME ID]],FME_Input[FME_ID],FME_Input[LWC])</f>
        <v>2</v>
      </c>
      <c r="Y324" s="35" t="e">
        <f>FME_Ranking_Option2!$X324*X$4</f>
        <v>#REF!</v>
      </c>
      <c r="Z324" s="35">
        <f>FME_Ranking_Option2!$X324/($X$3)</f>
        <v>1.8244845831052726E-4</v>
      </c>
      <c r="AA324" s="35" t="e">
        <f>FME_Ranking_Option2!$Z324*X$4</f>
        <v>#REF!</v>
      </c>
      <c r="AB324" s="37">
        <f>_xlfn.XLOOKUP(FME_Ranking2[[#This Row],[FME ID]],FME_Input[FME_ID],FME_Input[ROADCLS])</f>
        <v>2</v>
      </c>
      <c r="AC324" s="35" t="e">
        <f>FME_Ranking_Option2!$AB324*AB$4</f>
        <v>#REF!</v>
      </c>
      <c r="AD324" s="40">
        <f>_xlfn.XLOOKUP(FME_Ranking2[[#This Row],[FME ID]],FME_Input[FME_ID],FME_Input[ROAD_MILES100])</f>
        <v>13.02831935882568</v>
      </c>
      <c r="AE324" s="41" t="e">
        <f>FME_Ranking_Option2!$AD324*AD$4</f>
        <v>#REF!</v>
      </c>
      <c r="AF324" s="42">
        <f>FME_Ranking_Option2!$AD324/($AD$3)</f>
        <v>2.9427433517327116E-4</v>
      </c>
      <c r="AG324" s="42" t="e">
        <f>FME_Ranking_Option2!$AF324*AD$4</f>
        <v>#REF!</v>
      </c>
      <c r="AH324" s="40">
        <f>_xlfn.XLOOKUP(FME_Ranking2[[#This Row],[FME ID]],FME_Input[FME_ID],FME_Input[FARMACRE100])</f>
        <v>0.66479456424713135</v>
      </c>
      <c r="AI324" s="43" t="e">
        <f>FME_Ranking_Option2!$AH324*AH$4</f>
        <v>#REF!</v>
      </c>
      <c r="AJ324" s="41">
        <f>FME_Ranking_Option2!$AH324/($AH$3)</f>
        <v>3.8601921067898328E-5</v>
      </c>
      <c r="AK324" s="44" t="e">
        <f>FME_Ranking_Option2!$AJ324*AH$4</f>
        <v>#REF!</v>
      </c>
      <c r="AL324"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24" s="45" t="e">
        <f>_xlfn.RANK.EQ(AL324,$AL$7:$AL$531)+COUNTIF(AL$7:AL324,AL324)-1</f>
        <v>#REF!</v>
      </c>
      <c r="AN324" s="44"/>
      <c r="AO324" s="45" t="e">
        <f>_xlfn.RANK.EQ(AN324,$AN$7:$AN$531)+COUNTIF(AN$7:AN324,AN324)-1</f>
        <v>#N/A</v>
      </c>
      <c r="AP32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24" s="32" t="e">
        <f>FME_Ranking2[[#This Row],[Score Based on Reported Factors]]-FME_Ranking2[[#This Row],[Check]]</f>
        <v>#REF!</v>
      </c>
      <c r="AR324" s="32"/>
    </row>
    <row r="325" spans="1:55" ht="12" customHeight="1" x14ac:dyDescent="0.25">
      <c r="A325" s="16" t="s">
        <v>2095</v>
      </c>
      <c r="B325" s="16" t="str">
        <f>_xlfn.XLOOKUP(FME_Ranking2[[#This Row],[FME ID]],FME_Input[FME_ID],FME_Input[FME_NAME])</f>
        <v>Luce Bayou (Z100-00-00-P026) Bypass Channel</v>
      </c>
      <c r="C325" s="16" t="str">
        <f>_xlfn.XLOOKUP(FME_Ranking2[[#This Row],[FME ID]],FME_Input[FME_ID],FME_Input[DESCR])</f>
        <v>Study to develop a Benefit Cost Analysis needed for this project to become a FMP. Construction of channel bypass to provide Luce main stem upstream and local overland flooding relief.</v>
      </c>
      <c r="D325" s="46" t="str">
        <f>_xlfn.XLOOKUP(FME_Ranking2[[#This Row],[FME ID]],FME_Input[FME_ID],FME_Input[EMER_NEED])</f>
        <v>No</v>
      </c>
      <c r="E325" s="121">
        <f>IF(FME_Ranking_Option2!$D325="Yes",100,0)</f>
        <v>0</v>
      </c>
      <c r="F325" s="47" t="str">
        <f>_xlfn.XLOOKUP(FME_Ranking2[[#This Row],[FME ID]],FME_Input[FME_ID],FME_Input[FUND])</f>
        <v>Yes</v>
      </c>
      <c r="G325" s="48">
        <f>IF(FME_Ranking_Option2!$F325="Yes",1,0)</f>
        <v>1</v>
      </c>
      <c r="H325" s="46">
        <f>_xlfn.XLOOKUP(FME_Ranking2[[#This Row],[FME ID]],FME_Input[FME_ID],FME_Input[STRUCT_100])</f>
        <v>1939</v>
      </c>
      <c r="I325" s="65" t="e">
        <f>FME_Ranking2[[#This Row],[Raw Data3]]*H$4</f>
        <v>#REF!</v>
      </c>
      <c r="J325" s="62">
        <f>((FME_Ranking_Option2!$H325)/($H$3))*100</f>
        <v>0.21547580814540784</v>
      </c>
      <c r="K325" s="49" t="e">
        <f>FME_Ranking2[[#This Row],[Norm Data3]]*H$4</f>
        <v>#REF!</v>
      </c>
      <c r="L325" s="50">
        <f>_xlfn.XLOOKUP(FME_Ranking2[[#This Row],[FME ID]],FME_Input[FME_ID],FME_Input[RES_STRUCT100])</f>
        <v>1465</v>
      </c>
      <c r="M325" s="51" t="e">
        <f>FME_Ranking2[[#This Row],[Raw Data4]]*L$4</f>
        <v>#REF!</v>
      </c>
      <c r="N325" s="29">
        <f>((FME_Ranking_Option2!$L325)/($L$3))*100</f>
        <v>0.21902186182037814</v>
      </c>
      <c r="O325" s="52" t="e">
        <f>FME_Ranking2[[#This Row],[Norm Data4]]*L$4</f>
        <v>#REF!</v>
      </c>
      <c r="P325" s="47">
        <f>_xlfn.XLOOKUP(FME_Ranking2[[#This Row],[FME ID]],FME_Input[FME_ID],FME_Input[POP100])</f>
        <v>5763</v>
      </c>
      <c r="Q325" s="48" t="e">
        <f>FME_Ranking_Option2!$P325*P$4</f>
        <v>#REF!</v>
      </c>
      <c r="R325" s="48">
        <f>FME_Ranking_Option2!$P325/($P$3)</f>
        <v>2.1151433695044994E-3</v>
      </c>
      <c r="S325" s="48" t="e">
        <f>FME_Ranking_Option2!$R325*P$4</f>
        <v>#REF!</v>
      </c>
      <c r="T325" s="50">
        <f>_xlfn.XLOOKUP(FME_Ranking2[[#This Row],[FME ID]],FME_Input[FME_ID],FME_Input[CRITFAC100])</f>
        <v>25</v>
      </c>
      <c r="U325" s="48" t="e">
        <f>FME_Ranking_Option2!$T325*T$4</f>
        <v>#REF!</v>
      </c>
      <c r="V325" s="48">
        <f>FME_Ranking_Option2!$T325/($T$3)</f>
        <v>3.5255958256945425E-3</v>
      </c>
      <c r="W325" s="48" t="e">
        <f>FME_Ranking_Option2!$V325*T$4</f>
        <v>#REF!</v>
      </c>
      <c r="X325" s="50">
        <f>_xlfn.XLOOKUP(FME_Ranking2[[#This Row],[FME ID]],FME_Input[FME_ID],FME_Input[LWC])</f>
        <v>0</v>
      </c>
      <c r="Y325" s="48" t="e">
        <f>FME_Ranking_Option2!$X325*X$4</f>
        <v>#REF!</v>
      </c>
      <c r="Z325" s="48">
        <f>FME_Ranking_Option2!$X325/($X$3)</f>
        <v>0</v>
      </c>
      <c r="AA325" s="48" t="e">
        <f>FME_Ranking_Option2!$Z325*X$4</f>
        <v>#REF!</v>
      </c>
      <c r="AB325" s="50">
        <f>_xlfn.XLOOKUP(FME_Ranking2[[#This Row],[FME ID]],FME_Input[FME_ID],FME_Input[ROADCLS])</f>
        <v>0</v>
      </c>
      <c r="AC325" s="48" t="e">
        <f>FME_Ranking_Option2!$AB325*AB$4</f>
        <v>#REF!</v>
      </c>
      <c r="AD325" s="53">
        <f>_xlfn.XLOOKUP(FME_Ranking2[[#This Row],[FME ID]],FME_Input[FME_ID],FME_Input[ROAD_MILES100])</f>
        <v>39.773311614990227</v>
      </c>
      <c r="AE325" s="54" t="e">
        <f>FME_Ranking_Option2!$AD325*AD$4</f>
        <v>#REF!</v>
      </c>
      <c r="AF325" s="55">
        <f>FME_Ranking_Option2!$AD325/($AD$3)</f>
        <v>8.9837104163491787E-4</v>
      </c>
      <c r="AG325" s="55" t="e">
        <f>FME_Ranking_Option2!$AF325*AD$4</f>
        <v>#REF!</v>
      </c>
      <c r="AH325" s="53">
        <f>_xlfn.XLOOKUP(FME_Ranking2[[#This Row],[FME ID]],FME_Input[FME_ID],FME_Input[FARMACRE100])</f>
        <v>1122.3876953125</v>
      </c>
      <c r="AI325" s="54" t="e">
        <f>FME_Ranking_Option2!$AH325*AH$4</f>
        <v>#REF!</v>
      </c>
      <c r="AJ325" s="56">
        <f>FME_Ranking_Option2!$AH325/($AH$3)</f>
        <v>6.5172496214826556E-2</v>
      </c>
      <c r="AK325" s="57" t="e">
        <f>FME_Ranking_Option2!$AJ325*AH$4</f>
        <v>#REF!</v>
      </c>
      <c r="AL325"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25" s="58" t="e">
        <f>_xlfn.RANK.EQ(AL325,$AL$7:$AL$531)+COUNTIF(AL$7:AL325,AL325)-1</f>
        <v>#REF!</v>
      </c>
      <c r="AN325" s="57"/>
      <c r="AO325" s="58" t="e">
        <f>_xlfn.RANK.EQ(AN325,$AN$7:$AN$531)+COUNTIF(AN$7:AN325,AN325)-1</f>
        <v>#N/A</v>
      </c>
      <c r="AP32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25" s="32" t="e">
        <f>FME_Ranking2[[#This Row],[Score Based on Reported Factors]]-FME_Ranking2[[#This Row],[Check]]</f>
        <v>#REF!</v>
      </c>
      <c r="AR325" s="32"/>
      <c r="AT325" s="19"/>
      <c r="AU325" s="19"/>
      <c r="AV325" s="19"/>
      <c r="AW325" s="19"/>
      <c r="AX325" s="19"/>
      <c r="AY325" s="19"/>
      <c r="AZ325" s="19"/>
      <c r="BA325" s="19"/>
      <c r="BB325" s="19"/>
      <c r="BC325" s="19"/>
    </row>
    <row r="326" spans="1:55" ht="12" customHeight="1" x14ac:dyDescent="0.25">
      <c r="A326" s="17" t="s">
        <v>2102</v>
      </c>
      <c r="B326" s="17" t="str">
        <f>_xlfn.XLOOKUP(FME_Ranking2[[#This Row],[FME ID]],FME_Input[FME_ID],FME_Input[FME_NAME])</f>
        <v>Luce Bayou (Z100-00-00-P026) Channelization</v>
      </c>
      <c r="C326" s="17" t="str">
        <f>_xlfn.XLOOKUP(FME_Ranking2[[#This Row],[FME ID]],FME_Input[FME_ID],FME_Input[DESCR])</f>
        <v>Study to develop a Benefit Cost Analysis needed for this project to become a FMP. Construction of channel improvements along Luce main stem.</v>
      </c>
      <c r="D326" s="33" t="str">
        <f>_xlfn.XLOOKUP(FME_Ranking2[[#This Row],[FME ID]],FME_Input[FME_ID],FME_Input[EMER_NEED])</f>
        <v>No</v>
      </c>
      <c r="E326" s="120">
        <f>IF(FME_Ranking_Option2!$D326="Yes",100,0)</f>
        <v>0</v>
      </c>
      <c r="F326" s="34" t="str">
        <f>_xlfn.XLOOKUP(FME_Ranking2[[#This Row],[FME ID]],FME_Input[FME_ID],FME_Input[FUND])</f>
        <v>Yes</v>
      </c>
      <c r="G326" s="35">
        <f>IF(FME_Ranking_Option2!$F326="Yes",1,0)</f>
        <v>1</v>
      </c>
      <c r="H326" s="33">
        <f>_xlfn.XLOOKUP(FME_Ranking2[[#This Row],[FME ID]],FME_Input[FME_ID],FME_Input[STRUCT_100])</f>
        <v>1939</v>
      </c>
      <c r="I326" s="64" t="e">
        <f>FME_Ranking2[[#This Row],[Raw Data3]]*H$4</f>
        <v>#REF!</v>
      </c>
      <c r="J326" s="63">
        <f>((FME_Ranking_Option2!$H326)/($H$3))*100</f>
        <v>0.21547580814540784</v>
      </c>
      <c r="K326" s="36" t="e">
        <f>FME_Ranking2[[#This Row],[Norm Data3]]*H$4</f>
        <v>#REF!</v>
      </c>
      <c r="L326" s="37">
        <f>_xlfn.XLOOKUP(FME_Ranking2[[#This Row],[FME ID]],FME_Input[FME_ID],FME_Input[RES_STRUCT100])</f>
        <v>1465</v>
      </c>
      <c r="M326" s="38" t="e">
        <f>FME_Ranking2[[#This Row],[Raw Data4]]*L$4</f>
        <v>#REF!</v>
      </c>
      <c r="N326" s="28">
        <f>((FME_Ranking_Option2!$L326)/($L$3))*100</f>
        <v>0.21902186182037814</v>
      </c>
      <c r="O326" s="39" t="e">
        <f>FME_Ranking2[[#This Row],[Norm Data4]]*L$4</f>
        <v>#REF!</v>
      </c>
      <c r="P326" s="34">
        <f>_xlfn.XLOOKUP(FME_Ranking2[[#This Row],[FME ID]],FME_Input[FME_ID],FME_Input[POP100])</f>
        <v>5763</v>
      </c>
      <c r="Q326" s="35" t="e">
        <f>FME_Ranking_Option2!$P326*P$4</f>
        <v>#REF!</v>
      </c>
      <c r="R326" s="35">
        <f>FME_Ranking_Option2!$P326/($P$3)</f>
        <v>2.1151433695044994E-3</v>
      </c>
      <c r="S326" s="35" t="e">
        <f>FME_Ranking_Option2!$R326*P$4</f>
        <v>#REF!</v>
      </c>
      <c r="T326" s="37">
        <f>_xlfn.XLOOKUP(FME_Ranking2[[#This Row],[FME ID]],FME_Input[FME_ID],FME_Input[CRITFAC100])</f>
        <v>25</v>
      </c>
      <c r="U326" s="35" t="e">
        <f>FME_Ranking_Option2!$T326*T$4</f>
        <v>#REF!</v>
      </c>
      <c r="V326" s="35">
        <f>FME_Ranking_Option2!$T326/($T$3)</f>
        <v>3.5255958256945425E-3</v>
      </c>
      <c r="W326" s="35" t="e">
        <f>FME_Ranking_Option2!$V326*T$4</f>
        <v>#REF!</v>
      </c>
      <c r="X326" s="37">
        <f>_xlfn.XLOOKUP(FME_Ranking2[[#This Row],[FME ID]],FME_Input[FME_ID],FME_Input[LWC])</f>
        <v>0</v>
      </c>
      <c r="Y326" s="35" t="e">
        <f>FME_Ranking_Option2!$X326*X$4</f>
        <v>#REF!</v>
      </c>
      <c r="Z326" s="35">
        <f>FME_Ranking_Option2!$X326/($X$3)</f>
        <v>0</v>
      </c>
      <c r="AA326" s="35" t="e">
        <f>FME_Ranking_Option2!$Z326*X$4</f>
        <v>#REF!</v>
      </c>
      <c r="AB326" s="37">
        <f>_xlfn.XLOOKUP(FME_Ranking2[[#This Row],[FME ID]],FME_Input[FME_ID],FME_Input[ROADCLS])</f>
        <v>0</v>
      </c>
      <c r="AC326" s="35" t="e">
        <f>FME_Ranking_Option2!$AB326*AB$4</f>
        <v>#REF!</v>
      </c>
      <c r="AD326" s="40">
        <f>_xlfn.XLOOKUP(FME_Ranking2[[#This Row],[FME ID]],FME_Input[FME_ID],FME_Input[ROAD_MILES100])</f>
        <v>39.773311614990227</v>
      </c>
      <c r="AE326" s="41" t="e">
        <f>FME_Ranking_Option2!$AD326*AD$4</f>
        <v>#REF!</v>
      </c>
      <c r="AF326" s="42">
        <f>FME_Ranking_Option2!$AD326/($AD$3)</f>
        <v>8.9837104163491787E-4</v>
      </c>
      <c r="AG326" s="42" t="e">
        <f>FME_Ranking_Option2!$AF326*AD$4</f>
        <v>#REF!</v>
      </c>
      <c r="AH326" s="40">
        <f>_xlfn.XLOOKUP(FME_Ranking2[[#This Row],[FME ID]],FME_Input[FME_ID],FME_Input[FARMACRE100])</f>
        <v>1122.3876953125</v>
      </c>
      <c r="AI326" s="43" t="e">
        <f>FME_Ranking_Option2!$AH326*AH$4</f>
        <v>#REF!</v>
      </c>
      <c r="AJ326" s="41">
        <f>FME_Ranking_Option2!$AH326/($AH$3)</f>
        <v>6.5172496214826556E-2</v>
      </c>
      <c r="AK326" s="44" t="e">
        <f>FME_Ranking_Option2!$AJ326*AH$4</f>
        <v>#REF!</v>
      </c>
      <c r="AL326"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26" s="45" t="e">
        <f>_xlfn.RANK.EQ(AL326,$AL$7:$AL$531)+COUNTIF(AL$7:AL326,AL326)-1</f>
        <v>#REF!</v>
      </c>
      <c r="AN326" s="44"/>
      <c r="AO326" s="45" t="e">
        <f>_xlfn.RANK.EQ(AN326,$AN$7:$AN$531)+COUNTIF(AN$7:AN326,AN326)-1</f>
        <v>#N/A</v>
      </c>
      <c r="AP32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26" s="32" t="e">
        <f>FME_Ranking2[[#This Row],[Score Based on Reported Factors]]-FME_Ranking2[[#This Row],[Check]]</f>
        <v>#REF!</v>
      </c>
      <c r="AR326" s="32"/>
    </row>
    <row r="327" spans="1:55" ht="12" customHeight="1" x14ac:dyDescent="0.25">
      <c r="A327" s="16" t="s">
        <v>2105</v>
      </c>
      <c r="B327" s="16" t="str">
        <f>_xlfn.XLOOKUP(FME_Ranking2[[#This Row],[FME ID]],FME_Input[FME_ID],FME_Input[FME_NAME])</f>
        <v>Luce Bayou (Z100-00-00-P026) Upstream Detention</v>
      </c>
      <c r="C327" s="16" t="str">
        <f>_xlfn.XLOOKUP(FME_Ranking2[[#This Row],[FME ID]],FME_Input[FME_ID],FME_Input[DESCR])</f>
        <v>Study to develop a Benefit Cost Analysis needed for this project to become a FMP. Construction of regional detention upstream of Luce Bayou, including acquiring open land north of Harris County.</v>
      </c>
      <c r="D327" s="46" t="str">
        <f>_xlfn.XLOOKUP(FME_Ranking2[[#This Row],[FME ID]],FME_Input[FME_ID],FME_Input[EMER_NEED])</f>
        <v>No</v>
      </c>
      <c r="E327" s="121">
        <f>IF(FME_Ranking_Option2!$D327="Yes",100,0)</f>
        <v>0</v>
      </c>
      <c r="F327" s="47" t="str">
        <f>_xlfn.XLOOKUP(FME_Ranking2[[#This Row],[FME ID]],FME_Input[FME_ID],FME_Input[FUND])</f>
        <v>Yes</v>
      </c>
      <c r="G327" s="48">
        <f>IF(FME_Ranking_Option2!$F327="Yes",1,0)</f>
        <v>1</v>
      </c>
      <c r="H327" s="46">
        <f>_xlfn.XLOOKUP(FME_Ranking2[[#This Row],[FME ID]],FME_Input[FME_ID],FME_Input[STRUCT_100])</f>
        <v>1939</v>
      </c>
      <c r="I327" s="65" t="e">
        <f>FME_Ranking2[[#This Row],[Raw Data3]]*H$4</f>
        <v>#REF!</v>
      </c>
      <c r="J327" s="62">
        <f>((FME_Ranking_Option2!$H327)/($H$3))*100</f>
        <v>0.21547580814540784</v>
      </c>
      <c r="K327" s="49" t="e">
        <f>FME_Ranking2[[#This Row],[Norm Data3]]*H$4</f>
        <v>#REF!</v>
      </c>
      <c r="L327" s="50">
        <f>_xlfn.XLOOKUP(FME_Ranking2[[#This Row],[FME ID]],FME_Input[FME_ID],FME_Input[RES_STRUCT100])</f>
        <v>1465</v>
      </c>
      <c r="M327" s="51" t="e">
        <f>FME_Ranking2[[#This Row],[Raw Data4]]*L$4</f>
        <v>#REF!</v>
      </c>
      <c r="N327" s="29">
        <f>((FME_Ranking_Option2!$L327)/($L$3))*100</f>
        <v>0.21902186182037814</v>
      </c>
      <c r="O327" s="52" t="e">
        <f>FME_Ranking2[[#This Row],[Norm Data4]]*L$4</f>
        <v>#REF!</v>
      </c>
      <c r="P327" s="47">
        <f>_xlfn.XLOOKUP(FME_Ranking2[[#This Row],[FME ID]],FME_Input[FME_ID],FME_Input[POP100])</f>
        <v>5763</v>
      </c>
      <c r="Q327" s="48" t="e">
        <f>FME_Ranking_Option2!$P327*P$4</f>
        <v>#REF!</v>
      </c>
      <c r="R327" s="48">
        <f>FME_Ranking_Option2!$P327/($P$3)</f>
        <v>2.1151433695044994E-3</v>
      </c>
      <c r="S327" s="48" t="e">
        <f>FME_Ranking_Option2!$R327*P$4</f>
        <v>#REF!</v>
      </c>
      <c r="T327" s="50">
        <f>_xlfn.XLOOKUP(FME_Ranking2[[#This Row],[FME ID]],FME_Input[FME_ID],FME_Input[CRITFAC100])</f>
        <v>25</v>
      </c>
      <c r="U327" s="48" t="e">
        <f>FME_Ranking_Option2!$T327*T$4</f>
        <v>#REF!</v>
      </c>
      <c r="V327" s="48">
        <f>FME_Ranking_Option2!$T327/($T$3)</f>
        <v>3.5255958256945425E-3</v>
      </c>
      <c r="W327" s="48" t="e">
        <f>FME_Ranking_Option2!$V327*T$4</f>
        <v>#REF!</v>
      </c>
      <c r="X327" s="50">
        <f>_xlfn.XLOOKUP(FME_Ranking2[[#This Row],[FME ID]],FME_Input[FME_ID],FME_Input[LWC])</f>
        <v>0</v>
      </c>
      <c r="Y327" s="48" t="e">
        <f>FME_Ranking_Option2!$X327*X$4</f>
        <v>#REF!</v>
      </c>
      <c r="Z327" s="48">
        <f>FME_Ranking_Option2!$X327/($X$3)</f>
        <v>0</v>
      </c>
      <c r="AA327" s="48" t="e">
        <f>FME_Ranking_Option2!$Z327*X$4</f>
        <v>#REF!</v>
      </c>
      <c r="AB327" s="50">
        <f>_xlfn.XLOOKUP(FME_Ranking2[[#This Row],[FME ID]],FME_Input[FME_ID],FME_Input[ROADCLS])</f>
        <v>0</v>
      </c>
      <c r="AC327" s="48" t="e">
        <f>FME_Ranking_Option2!$AB327*AB$4</f>
        <v>#REF!</v>
      </c>
      <c r="AD327" s="53">
        <f>_xlfn.XLOOKUP(FME_Ranking2[[#This Row],[FME ID]],FME_Input[FME_ID],FME_Input[ROAD_MILES100])</f>
        <v>39.773311614990227</v>
      </c>
      <c r="AE327" s="54" t="e">
        <f>FME_Ranking_Option2!$AD327*AD$4</f>
        <v>#REF!</v>
      </c>
      <c r="AF327" s="55">
        <f>FME_Ranking_Option2!$AD327/($AD$3)</f>
        <v>8.9837104163491787E-4</v>
      </c>
      <c r="AG327" s="55" t="e">
        <f>FME_Ranking_Option2!$AF327*AD$4</f>
        <v>#REF!</v>
      </c>
      <c r="AH327" s="53">
        <f>_xlfn.XLOOKUP(FME_Ranking2[[#This Row],[FME ID]],FME_Input[FME_ID],FME_Input[FARMACRE100])</f>
        <v>1122.3876953125</v>
      </c>
      <c r="AI327" s="54" t="e">
        <f>FME_Ranking_Option2!$AH327*AH$4</f>
        <v>#REF!</v>
      </c>
      <c r="AJ327" s="56">
        <f>FME_Ranking_Option2!$AH327/($AH$3)</f>
        <v>6.5172496214826556E-2</v>
      </c>
      <c r="AK327" s="57" t="e">
        <f>FME_Ranking_Option2!$AJ327*AH$4</f>
        <v>#REF!</v>
      </c>
      <c r="AL327"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27" s="58" t="e">
        <f>_xlfn.RANK.EQ(AL327,$AL$7:$AL$531)+COUNTIF(AL$7:AL327,AL327)-1</f>
        <v>#REF!</v>
      </c>
      <c r="AN327" s="57"/>
      <c r="AO327" s="58" t="e">
        <f>_xlfn.RANK.EQ(AN327,$AN$7:$AN$531)+COUNTIF(AN$7:AN327,AN327)-1</f>
        <v>#N/A</v>
      </c>
      <c r="AP32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27" s="32" t="e">
        <f>FME_Ranking2[[#This Row],[Score Based on Reported Factors]]-FME_Ranking2[[#This Row],[Check]]</f>
        <v>#REF!</v>
      </c>
      <c r="AR327" s="32"/>
      <c r="AT327" s="19"/>
      <c r="AU327" s="19"/>
      <c r="AV327" s="19"/>
      <c r="AW327" s="19"/>
      <c r="AX327" s="19"/>
      <c r="AY327" s="19"/>
      <c r="AZ327" s="19"/>
      <c r="BA327" s="19"/>
      <c r="BB327" s="19"/>
      <c r="BC327" s="19"/>
    </row>
    <row r="328" spans="1:55" ht="12" customHeight="1" x14ac:dyDescent="0.25">
      <c r="A328" s="17" t="s">
        <v>2130</v>
      </c>
      <c r="B328" s="17" t="e">
        <f>_xlfn.XLOOKUP(FME_Ranking2[[#This Row],[FME ID]],FME_Input[FME_ID],FME_Input[FME_NAME])</f>
        <v>#N/A</v>
      </c>
      <c r="C328" s="17" t="e">
        <f>_xlfn.XLOOKUP(FME_Ranking2[[#This Row],[FME ID]],FME_Input[FME_ID],FME_Input[DESCR])</f>
        <v>#N/A</v>
      </c>
      <c r="D328" s="33" t="e">
        <f>_xlfn.XLOOKUP(FME_Ranking2[[#This Row],[FME ID]],FME_Input[FME_ID],FME_Input[EMER_NEED])</f>
        <v>#N/A</v>
      </c>
      <c r="E328" s="120" t="e">
        <f>IF(FME_Ranking_Option2!$D328="Yes",100,0)</f>
        <v>#N/A</v>
      </c>
      <c r="F328" s="34" t="e">
        <f>_xlfn.XLOOKUP(FME_Ranking2[[#This Row],[FME ID]],FME_Input[FME_ID],FME_Input[FUND])</f>
        <v>#N/A</v>
      </c>
      <c r="G328" s="35" t="e">
        <f>IF(FME_Ranking_Option2!$F328="Yes",1,0)</f>
        <v>#N/A</v>
      </c>
      <c r="H328" s="33" t="e">
        <f>_xlfn.XLOOKUP(FME_Ranking2[[#This Row],[FME ID]],FME_Input[FME_ID],FME_Input[STRUCT_100])</f>
        <v>#N/A</v>
      </c>
      <c r="I328" s="64" t="e">
        <f>FME_Ranking2[[#This Row],[Raw Data3]]*H$4</f>
        <v>#N/A</v>
      </c>
      <c r="J328" s="63" t="e">
        <f>((FME_Ranking_Option2!$H328)/($H$3))*100</f>
        <v>#N/A</v>
      </c>
      <c r="K328" s="36" t="e">
        <f>FME_Ranking2[[#This Row],[Norm Data3]]*H$4</f>
        <v>#N/A</v>
      </c>
      <c r="L328" s="37" t="e">
        <f>_xlfn.XLOOKUP(FME_Ranking2[[#This Row],[FME ID]],FME_Input[FME_ID],FME_Input[RES_STRUCT100])</f>
        <v>#N/A</v>
      </c>
      <c r="M328" s="38" t="e">
        <f>FME_Ranking2[[#This Row],[Raw Data4]]*L$4</f>
        <v>#N/A</v>
      </c>
      <c r="N328" s="28" t="e">
        <f>((FME_Ranking_Option2!$L328)/($L$3))*100</f>
        <v>#N/A</v>
      </c>
      <c r="O328" s="39" t="e">
        <f>FME_Ranking2[[#This Row],[Norm Data4]]*L$4</f>
        <v>#N/A</v>
      </c>
      <c r="P328" s="34" t="e">
        <f>_xlfn.XLOOKUP(FME_Ranking2[[#This Row],[FME ID]],FME_Input[FME_ID],FME_Input[POP100])</f>
        <v>#N/A</v>
      </c>
      <c r="Q328" s="35" t="e">
        <f>FME_Ranking_Option2!$P328*P$4</f>
        <v>#N/A</v>
      </c>
      <c r="R328" s="35" t="e">
        <f>FME_Ranking_Option2!$P328/($P$3)</f>
        <v>#N/A</v>
      </c>
      <c r="S328" s="35" t="e">
        <f>FME_Ranking_Option2!$R328*P$4</f>
        <v>#N/A</v>
      </c>
      <c r="T328" s="37" t="e">
        <f>_xlfn.XLOOKUP(FME_Ranking2[[#This Row],[FME ID]],FME_Input[FME_ID],FME_Input[CRITFAC100])</f>
        <v>#N/A</v>
      </c>
      <c r="U328" s="35" t="e">
        <f>FME_Ranking_Option2!$T328*T$4</f>
        <v>#N/A</v>
      </c>
      <c r="V328" s="35" t="e">
        <f>FME_Ranking_Option2!$T328/($T$3)</f>
        <v>#N/A</v>
      </c>
      <c r="W328" s="35" t="e">
        <f>FME_Ranking_Option2!$V328*T$4</f>
        <v>#N/A</v>
      </c>
      <c r="X328" s="37" t="e">
        <f>_xlfn.XLOOKUP(FME_Ranking2[[#This Row],[FME ID]],FME_Input[FME_ID],FME_Input[LWC])</f>
        <v>#N/A</v>
      </c>
      <c r="Y328" s="35" t="e">
        <f>FME_Ranking_Option2!$X328*X$4</f>
        <v>#N/A</v>
      </c>
      <c r="Z328" s="35" t="e">
        <f>FME_Ranking_Option2!$X328/($X$3)</f>
        <v>#N/A</v>
      </c>
      <c r="AA328" s="35" t="e">
        <f>FME_Ranking_Option2!$Z328*X$4</f>
        <v>#N/A</v>
      </c>
      <c r="AB328" s="37" t="e">
        <f>_xlfn.XLOOKUP(FME_Ranking2[[#This Row],[FME ID]],FME_Input[FME_ID],FME_Input[ROADCLS])</f>
        <v>#N/A</v>
      </c>
      <c r="AC328" s="35" t="e">
        <f>FME_Ranking_Option2!$AB328*AB$4</f>
        <v>#N/A</v>
      </c>
      <c r="AD328" s="40" t="e">
        <f>_xlfn.XLOOKUP(FME_Ranking2[[#This Row],[FME ID]],FME_Input[FME_ID],FME_Input[ROAD_MILES100])</f>
        <v>#N/A</v>
      </c>
      <c r="AE328" s="41" t="e">
        <f>FME_Ranking_Option2!$AD328*AD$4</f>
        <v>#N/A</v>
      </c>
      <c r="AF328" s="42" t="e">
        <f>FME_Ranking_Option2!$AD328/($AD$3)</f>
        <v>#N/A</v>
      </c>
      <c r="AG328" s="42" t="e">
        <f>FME_Ranking_Option2!$AF328*AD$4</f>
        <v>#N/A</v>
      </c>
      <c r="AH328" s="40" t="e">
        <f>_xlfn.XLOOKUP(FME_Ranking2[[#This Row],[FME ID]],FME_Input[FME_ID],FME_Input[FARMACRE100])</f>
        <v>#N/A</v>
      </c>
      <c r="AI328" s="43" t="e">
        <f>FME_Ranking_Option2!$AH328*AH$4</f>
        <v>#N/A</v>
      </c>
      <c r="AJ328" s="41" t="e">
        <f>FME_Ranking_Option2!$AH328/($AH$3)</f>
        <v>#N/A</v>
      </c>
      <c r="AK328" s="44" t="e">
        <f>FME_Ranking_Option2!$AJ328*AH$4</f>
        <v>#N/A</v>
      </c>
      <c r="AL328"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#N/A</v>
      </c>
      <c r="AM328" s="45" t="e">
        <f>_xlfn.RANK.EQ(AL328,$AL$7:$AL$531)+COUNTIF(AL$7:AL328,AL328)-1</f>
        <v>#N/A</v>
      </c>
      <c r="AN328" s="44"/>
      <c r="AO328" s="45" t="e">
        <f>_xlfn.RANK.EQ(AN328,$AN$7:$AN$531)+COUNTIF(AN$7:AN328,AN328)-1</f>
        <v>#N/A</v>
      </c>
      <c r="AP32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#N/A</v>
      </c>
      <c r="AQ328" s="32" t="e">
        <f>FME_Ranking2[[#This Row],[Score Based on Reported Factors]]-FME_Ranking2[[#This Row],[Check]]</f>
        <v>#N/A</v>
      </c>
      <c r="AR328" s="32"/>
    </row>
    <row r="329" spans="1:55" ht="12" customHeight="1" x14ac:dyDescent="0.25">
      <c r="A329" s="16" t="s">
        <v>2131</v>
      </c>
      <c r="B329" s="16" t="str">
        <f>_xlfn.XLOOKUP(FME_Ranking2[[#This Row],[FME ID]],FME_Input[FME_ID],FME_Input[FME_NAME])</f>
        <v>City of Manvel Rogers Rd. Drainage Improvements</v>
      </c>
      <c r="C329" s="16" t="str">
        <f>_xlfn.XLOOKUP(FME_Ranking2[[#This Row],[FME ID]],FME_Input[FME_ID],FME_Input[DESCR])</f>
        <v xml:space="preserve">Further study Alleluia Trail Rogers Rd &amp; All Roads off Rogers drainage improvements, including storm sewer rehabilitation and ditch deepening. </v>
      </c>
      <c r="D329" s="46" t="str">
        <f>_xlfn.XLOOKUP(FME_Ranking2[[#This Row],[FME ID]],FME_Input[FME_ID],FME_Input[EMER_NEED])</f>
        <v>No</v>
      </c>
      <c r="E329" s="121">
        <f>IF(FME_Ranking_Option2!$D329="Yes",100,0)</f>
        <v>0</v>
      </c>
      <c r="F329" s="47" t="str">
        <f>_xlfn.XLOOKUP(FME_Ranking2[[#This Row],[FME ID]],FME_Input[FME_ID],FME_Input[FUND])</f>
        <v>Yes</v>
      </c>
      <c r="G329" s="48">
        <f>IF(FME_Ranking_Option2!$F329="Yes",1,0)</f>
        <v>1</v>
      </c>
      <c r="H329" s="46">
        <f>_xlfn.XLOOKUP(FME_Ranking2[[#This Row],[FME ID]],FME_Input[FME_ID],FME_Input[STRUCT_100])</f>
        <v>1250</v>
      </c>
      <c r="I329" s="65" t="e">
        <f>FME_Ranking2[[#This Row],[Raw Data3]]*H$4</f>
        <v>#REF!</v>
      </c>
      <c r="J329" s="62">
        <f>((FME_Ranking_Option2!$H329)/($H$3))*100</f>
        <v>0.13890910788125826</v>
      </c>
      <c r="K329" s="49" t="e">
        <f>FME_Ranking2[[#This Row],[Norm Data3]]*H$4</f>
        <v>#REF!</v>
      </c>
      <c r="L329" s="50">
        <f>_xlfn.XLOOKUP(FME_Ranking2[[#This Row],[FME ID]],FME_Input[FME_ID],FME_Input[RES_STRUCT100])</f>
        <v>966</v>
      </c>
      <c r="M329" s="51" t="e">
        <f>FME_Ranking2[[#This Row],[Raw Data4]]*L$4</f>
        <v>#REF!</v>
      </c>
      <c r="N329" s="29">
        <f>((FME_Ranking_Option2!$L329)/($L$3))*100</f>
        <v>0.14441987612183296</v>
      </c>
      <c r="O329" s="52" t="e">
        <f>FME_Ranking2[[#This Row],[Norm Data4]]*L$4</f>
        <v>#REF!</v>
      </c>
      <c r="P329" s="47">
        <f>_xlfn.XLOOKUP(FME_Ranking2[[#This Row],[FME ID]],FME_Input[FME_ID],FME_Input[POP100])</f>
        <v>8190</v>
      </c>
      <c r="Q329" s="48" t="e">
        <f>FME_Ranking_Option2!$P329*P$4</f>
        <v>#REF!</v>
      </c>
      <c r="R329" s="48">
        <f>FME_Ranking_Option2!$P329/($P$3)</f>
        <v>3.0059039035644367E-3</v>
      </c>
      <c r="S329" s="48" t="e">
        <f>FME_Ranking_Option2!$R329*P$4</f>
        <v>#REF!</v>
      </c>
      <c r="T329" s="50">
        <f>_xlfn.XLOOKUP(FME_Ranking2[[#This Row],[FME ID]],FME_Input[FME_ID],FME_Input[CRITFAC100])</f>
        <v>8</v>
      </c>
      <c r="U329" s="48" t="e">
        <f>FME_Ranking_Option2!$T329*T$4</f>
        <v>#REF!</v>
      </c>
      <c r="V329" s="48">
        <f>FME_Ranking_Option2!$T329/($T$3)</f>
        <v>1.1281906642222536E-3</v>
      </c>
      <c r="W329" s="48" t="e">
        <f>FME_Ranking_Option2!$V329*T$4</f>
        <v>#REF!</v>
      </c>
      <c r="X329" s="50">
        <f>_xlfn.XLOOKUP(FME_Ranking2[[#This Row],[FME ID]],FME_Input[FME_ID],FME_Input[LWC])</f>
        <v>0</v>
      </c>
      <c r="Y329" s="48" t="e">
        <f>FME_Ranking_Option2!$X329*X$4</f>
        <v>#REF!</v>
      </c>
      <c r="Z329" s="48">
        <f>FME_Ranking_Option2!$X329/($X$3)</f>
        <v>0</v>
      </c>
      <c r="AA329" s="48" t="e">
        <f>FME_Ranking_Option2!$Z329*X$4</f>
        <v>#REF!</v>
      </c>
      <c r="AB329" s="50">
        <f>_xlfn.XLOOKUP(FME_Ranking2[[#This Row],[FME ID]],FME_Input[FME_ID],FME_Input[ROADCLS])</f>
        <v>0</v>
      </c>
      <c r="AC329" s="48" t="e">
        <f>FME_Ranking_Option2!$AB329*AB$4</f>
        <v>#REF!</v>
      </c>
      <c r="AD329" s="53">
        <f>_xlfn.XLOOKUP(FME_Ranking2[[#This Row],[FME ID]],FME_Input[FME_ID],FME_Input[ROAD_MILES100])</f>
        <v>43.312946319580078</v>
      </c>
      <c r="AE329" s="54" t="e">
        <f>FME_Ranking_Option2!$AD329*AD$4</f>
        <v>#REF!</v>
      </c>
      <c r="AF329" s="55">
        <f>FME_Ranking_Option2!$AD329/($AD$3)</f>
        <v>9.7832177209838294E-4</v>
      </c>
      <c r="AG329" s="55" t="e">
        <f>FME_Ranking_Option2!$AF329*AD$4</f>
        <v>#REF!</v>
      </c>
      <c r="AH329" s="53">
        <f>_xlfn.XLOOKUP(FME_Ranking2[[#This Row],[FME ID]],FME_Input[FME_ID],FME_Input[FARMACRE100])</f>
        <v>178.80146789550781</v>
      </c>
      <c r="AI329" s="54" t="e">
        <f>FME_Ranking_Option2!$AH329*AH$4</f>
        <v>#REF!</v>
      </c>
      <c r="AJ329" s="56">
        <f>FME_Ranking_Option2!$AH329/($AH$3)</f>
        <v>1.0382275249713028E-2</v>
      </c>
      <c r="AK329" s="57" t="e">
        <f>FME_Ranking_Option2!$AJ329*AH$4</f>
        <v>#REF!</v>
      </c>
      <c r="AL329"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29" s="58" t="e">
        <f>_xlfn.RANK.EQ(AL329,$AL$7:$AL$531)+COUNTIF(AL$7:AL329,AL329)-1</f>
        <v>#REF!</v>
      </c>
      <c r="AN329" s="57"/>
      <c r="AO329" s="58" t="e">
        <f>_xlfn.RANK.EQ(AN329,$AN$7:$AN$531)+COUNTIF(AN$7:AN329,AN329)-1</f>
        <v>#N/A</v>
      </c>
      <c r="AP32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29" s="32" t="e">
        <f>FME_Ranking2[[#This Row],[Score Based on Reported Factors]]-FME_Ranking2[[#This Row],[Check]]</f>
        <v>#REF!</v>
      </c>
      <c r="AR329" s="32"/>
      <c r="AT329" s="19"/>
      <c r="AU329" s="19"/>
      <c r="AV329" s="19"/>
      <c r="AW329" s="19"/>
      <c r="AX329" s="19"/>
      <c r="AY329" s="19"/>
      <c r="AZ329" s="19"/>
      <c r="BA329" s="19"/>
      <c r="BB329" s="19"/>
      <c r="BC329" s="19"/>
    </row>
    <row r="330" spans="1:55" ht="12" customHeight="1" x14ac:dyDescent="0.25">
      <c r="A330" s="17" t="s">
        <v>2108</v>
      </c>
      <c r="B330" s="17" t="e">
        <f>_xlfn.XLOOKUP(FME_Ranking2[[#This Row],[FME ID]],FME_Input[FME_ID],FME_Input[FME_NAME])</f>
        <v>#N/A</v>
      </c>
      <c r="C330" s="17" t="e">
        <f>_xlfn.XLOOKUP(FME_Ranking2[[#This Row],[FME ID]],FME_Input[FME_ID],FME_Input[DESCR])</f>
        <v>#N/A</v>
      </c>
      <c r="D330" s="33" t="e">
        <f>_xlfn.XLOOKUP(FME_Ranking2[[#This Row],[FME ID]],FME_Input[FME_ID],FME_Input[EMER_NEED])</f>
        <v>#N/A</v>
      </c>
      <c r="E330" s="120" t="e">
        <f>IF(FME_Ranking_Option2!$D330="Yes",100,0)</f>
        <v>#N/A</v>
      </c>
      <c r="F330" s="34" t="e">
        <f>_xlfn.XLOOKUP(FME_Ranking2[[#This Row],[FME ID]],FME_Input[FME_ID],FME_Input[FUND])</f>
        <v>#N/A</v>
      </c>
      <c r="G330" s="35" t="e">
        <f>IF(FME_Ranking_Option2!$F330="Yes",1,0)</f>
        <v>#N/A</v>
      </c>
      <c r="H330" s="33" t="e">
        <f>_xlfn.XLOOKUP(FME_Ranking2[[#This Row],[FME ID]],FME_Input[FME_ID],FME_Input[STRUCT_100])</f>
        <v>#N/A</v>
      </c>
      <c r="I330" s="64" t="e">
        <f>FME_Ranking2[[#This Row],[Raw Data3]]*H$4</f>
        <v>#N/A</v>
      </c>
      <c r="J330" s="63" t="e">
        <f>((FME_Ranking_Option2!$H330)/($H$3))*100</f>
        <v>#N/A</v>
      </c>
      <c r="K330" s="36" t="e">
        <f>FME_Ranking2[[#This Row],[Norm Data3]]*H$4</f>
        <v>#N/A</v>
      </c>
      <c r="L330" s="37" t="e">
        <f>_xlfn.XLOOKUP(FME_Ranking2[[#This Row],[FME ID]],FME_Input[FME_ID],FME_Input[RES_STRUCT100])</f>
        <v>#N/A</v>
      </c>
      <c r="M330" s="38" t="e">
        <f>FME_Ranking2[[#This Row],[Raw Data4]]*L$4</f>
        <v>#N/A</v>
      </c>
      <c r="N330" s="28" t="e">
        <f>((FME_Ranking_Option2!$L330)/($L$3))*100</f>
        <v>#N/A</v>
      </c>
      <c r="O330" s="39" t="e">
        <f>FME_Ranking2[[#This Row],[Norm Data4]]*L$4</f>
        <v>#N/A</v>
      </c>
      <c r="P330" s="34" t="e">
        <f>_xlfn.XLOOKUP(FME_Ranking2[[#This Row],[FME ID]],FME_Input[FME_ID],FME_Input[POP100])</f>
        <v>#N/A</v>
      </c>
      <c r="Q330" s="35" t="e">
        <f>FME_Ranking_Option2!$P330*P$4</f>
        <v>#N/A</v>
      </c>
      <c r="R330" s="35" t="e">
        <f>FME_Ranking_Option2!$P330/($P$3)</f>
        <v>#N/A</v>
      </c>
      <c r="S330" s="35" t="e">
        <f>FME_Ranking_Option2!$R330*P$4</f>
        <v>#N/A</v>
      </c>
      <c r="T330" s="37" t="e">
        <f>_xlfn.XLOOKUP(FME_Ranking2[[#This Row],[FME ID]],FME_Input[FME_ID],FME_Input[CRITFAC100])</f>
        <v>#N/A</v>
      </c>
      <c r="U330" s="35" t="e">
        <f>FME_Ranking_Option2!$T330*T$4</f>
        <v>#N/A</v>
      </c>
      <c r="V330" s="35" t="e">
        <f>FME_Ranking_Option2!$T330/($T$3)</f>
        <v>#N/A</v>
      </c>
      <c r="W330" s="35" t="e">
        <f>FME_Ranking_Option2!$V330*T$4</f>
        <v>#N/A</v>
      </c>
      <c r="X330" s="37" t="e">
        <f>_xlfn.XLOOKUP(FME_Ranking2[[#This Row],[FME ID]],FME_Input[FME_ID],FME_Input[LWC])</f>
        <v>#N/A</v>
      </c>
      <c r="Y330" s="35" t="e">
        <f>FME_Ranking_Option2!$X330*X$4</f>
        <v>#N/A</v>
      </c>
      <c r="Z330" s="35" t="e">
        <f>FME_Ranking_Option2!$X330/($X$3)</f>
        <v>#N/A</v>
      </c>
      <c r="AA330" s="35" t="e">
        <f>FME_Ranking_Option2!$Z330*X$4</f>
        <v>#N/A</v>
      </c>
      <c r="AB330" s="37" t="e">
        <f>_xlfn.XLOOKUP(FME_Ranking2[[#This Row],[FME ID]],FME_Input[FME_ID],FME_Input[ROADCLS])</f>
        <v>#N/A</v>
      </c>
      <c r="AC330" s="35" t="e">
        <f>FME_Ranking_Option2!$AB330*AB$4</f>
        <v>#N/A</v>
      </c>
      <c r="AD330" s="40" t="e">
        <f>_xlfn.XLOOKUP(FME_Ranking2[[#This Row],[FME ID]],FME_Input[FME_ID],FME_Input[ROAD_MILES100])</f>
        <v>#N/A</v>
      </c>
      <c r="AE330" s="41" t="e">
        <f>FME_Ranking_Option2!$AD330*AD$4</f>
        <v>#N/A</v>
      </c>
      <c r="AF330" s="42" t="e">
        <f>FME_Ranking_Option2!$AD330/($AD$3)</f>
        <v>#N/A</v>
      </c>
      <c r="AG330" s="42" t="e">
        <f>FME_Ranking_Option2!$AF330*AD$4</f>
        <v>#N/A</v>
      </c>
      <c r="AH330" s="40" t="e">
        <f>_xlfn.XLOOKUP(FME_Ranking2[[#This Row],[FME ID]],FME_Input[FME_ID],FME_Input[FARMACRE100])</f>
        <v>#N/A</v>
      </c>
      <c r="AI330" s="43" t="e">
        <f>FME_Ranking_Option2!$AH330*AH$4</f>
        <v>#N/A</v>
      </c>
      <c r="AJ330" s="41" t="e">
        <f>FME_Ranking_Option2!$AH330/($AH$3)</f>
        <v>#N/A</v>
      </c>
      <c r="AK330" s="44" t="e">
        <f>FME_Ranking_Option2!$AJ330*AH$4</f>
        <v>#N/A</v>
      </c>
      <c r="AL330"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#N/A</v>
      </c>
      <c r="AM330" s="45" t="e">
        <f>_xlfn.RANK.EQ(AL330,$AL$7:$AL$531)+COUNTIF(AL$7:AL330,AL330)-1</f>
        <v>#N/A</v>
      </c>
      <c r="AN330" s="44"/>
      <c r="AO330" s="45" t="e">
        <f>_xlfn.RANK.EQ(AN330,$AN$7:$AN$531)+COUNTIF(AN$7:AN330,AN330)-1</f>
        <v>#N/A</v>
      </c>
      <c r="AP33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#N/A</v>
      </c>
      <c r="AQ330" s="32" t="e">
        <f>FME_Ranking2[[#This Row],[Score Based on Reported Factors]]-FME_Ranking2[[#This Row],[Check]]</f>
        <v>#N/A</v>
      </c>
      <c r="AR330" s="32"/>
    </row>
    <row r="331" spans="1:55" ht="12" customHeight="1" thickBot="1" x14ac:dyDescent="0.3">
      <c r="A331" s="16" t="s">
        <v>2110</v>
      </c>
      <c r="B331" s="16" t="e">
        <f>_xlfn.XLOOKUP(FME_Ranking2[[#This Row],[FME ID]],FME_Input[FME_ID],FME_Input[FME_NAME])</f>
        <v>#N/A</v>
      </c>
      <c r="C331" s="16" t="e">
        <f>_xlfn.XLOOKUP(FME_Ranking2[[#This Row],[FME ID]],FME_Input[FME_ID],FME_Input[DESCR])</f>
        <v>#N/A</v>
      </c>
      <c r="D331" s="46" t="e">
        <f>_xlfn.XLOOKUP(FME_Ranking2[[#This Row],[FME ID]],FME_Input[FME_ID],FME_Input[EMER_NEED])</f>
        <v>#N/A</v>
      </c>
      <c r="E331" s="121" t="e">
        <f>IF(FME_Ranking_Option2!$D331="Yes",100,0)</f>
        <v>#N/A</v>
      </c>
      <c r="F331" s="47" t="e">
        <f>_xlfn.XLOOKUP(FME_Ranking2[[#This Row],[FME ID]],FME_Input[FME_ID],FME_Input[FUND])</f>
        <v>#N/A</v>
      </c>
      <c r="G331" s="48" t="e">
        <f>IF(FME_Ranking_Option2!$F331="Yes",1,0)</f>
        <v>#N/A</v>
      </c>
      <c r="H331" s="46" t="e">
        <f>_xlfn.XLOOKUP(FME_Ranking2[[#This Row],[FME ID]],FME_Input[FME_ID],FME_Input[STRUCT_100])</f>
        <v>#N/A</v>
      </c>
      <c r="I331" s="65" t="e">
        <f>FME_Ranking2[[#This Row],[Raw Data3]]*H$4</f>
        <v>#N/A</v>
      </c>
      <c r="J331" s="62" t="e">
        <f>((FME_Ranking_Option2!$H331)/($H$3))*100</f>
        <v>#N/A</v>
      </c>
      <c r="K331" s="49" t="e">
        <f>FME_Ranking2[[#This Row],[Norm Data3]]*H$4</f>
        <v>#N/A</v>
      </c>
      <c r="L331" s="50" t="e">
        <f>_xlfn.XLOOKUP(FME_Ranking2[[#This Row],[FME ID]],FME_Input[FME_ID],FME_Input[RES_STRUCT100])</f>
        <v>#N/A</v>
      </c>
      <c r="M331" s="51" t="e">
        <f>FME_Ranking2[[#This Row],[Raw Data4]]*L$4</f>
        <v>#N/A</v>
      </c>
      <c r="N331" s="29" t="e">
        <f>((FME_Ranking_Option2!$L331)/($L$3))*100</f>
        <v>#N/A</v>
      </c>
      <c r="O331" s="52" t="e">
        <f>FME_Ranking2[[#This Row],[Norm Data4]]*L$4</f>
        <v>#N/A</v>
      </c>
      <c r="P331" s="47" t="e">
        <f>_xlfn.XLOOKUP(FME_Ranking2[[#This Row],[FME ID]],FME_Input[FME_ID],FME_Input[POP100])</f>
        <v>#N/A</v>
      </c>
      <c r="Q331" s="48" t="e">
        <f>FME_Ranking_Option2!$P331*P$4</f>
        <v>#N/A</v>
      </c>
      <c r="R331" s="48" t="e">
        <f>FME_Ranking_Option2!$P331/($P$3)</f>
        <v>#N/A</v>
      </c>
      <c r="S331" s="48" t="e">
        <f>FME_Ranking_Option2!$R331*P$4</f>
        <v>#N/A</v>
      </c>
      <c r="T331" s="50" t="e">
        <f>_xlfn.XLOOKUP(FME_Ranking2[[#This Row],[FME ID]],FME_Input[FME_ID],FME_Input[CRITFAC100])</f>
        <v>#N/A</v>
      </c>
      <c r="U331" s="48" t="e">
        <f>FME_Ranking_Option2!$T331*T$4</f>
        <v>#N/A</v>
      </c>
      <c r="V331" s="48" t="e">
        <f>FME_Ranking_Option2!$T331/($T$3)</f>
        <v>#N/A</v>
      </c>
      <c r="W331" s="48" t="e">
        <f>FME_Ranking_Option2!$V331*T$4</f>
        <v>#N/A</v>
      </c>
      <c r="X331" s="50" t="e">
        <f>_xlfn.XLOOKUP(FME_Ranking2[[#This Row],[FME ID]],FME_Input[FME_ID],FME_Input[LWC])</f>
        <v>#N/A</v>
      </c>
      <c r="Y331" s="48" t="e">
        <f>FME_Ranking_Option2!$X331*X$4</f>
        <v>#N/A</v>
      </c>
      <c r="Z331" s="48" t="e">
        <f>FME_Ranking_Option2!$X331/($X$3)</f>
        <v>#N/A</v>
      </c>
      <c r="AA331" s="48" t="e">
        <f>FME_Ranking_Option2!$Z331*X$4</f>
        <v>#N/A</v>
      </c>
      <c r="AB331" s="50" t="e">
        <f>_xlfn.XLOOKUP(FME_Ranking2[[#This Row],[FME ID]],FME_Input[FME_ID],FME_Input[ROADCLS])</f>
        <v>#N/A</v>
      </c>
      <c r="AC331" s="48" t="e">
        <f>FME_Ranking_Option2!$AB331*AB$4</f>
        <v>#N/A</v>
      </c>
      <c r="AD331" s="53" t="e">
        <f>_xlfn.XLOOKUP(FME_Ranking2[[#This Row],[FME ID]],FME_Input[FME_ID],FME_Input[ROAD_MILES100])</f>
        <v>#N/A</v>
      </c>
      <c r="AE331" s="54" t="e">
        <f>FME_Ranking_Option2!$AD331*AD$4</f>
        <v>#N/A</v>
      </c>
      <c r="AF331" s="55" t="e">
        <f>FME_Ranking_Option2!$AD331/($AD$3)</f>
        <v>#N/A</v>
      </c>
      <c r="AG331" s="55" t="e">
        <f>FME_Ranking_Option2!$AF331*AD$4</f>
        <v>#N/A</v>
      </c>
      <c r="AH331" s="53" t="e">
        <f>_xlfn.XLOOKUP(FME_Ranking2[[#This Row],[FME ID]],FME_Input[FME_ID],FME_Input[FARMACRE100])</f>
        <v>#N/A</v>
      </c>
      <c r="AI331" s="54" t="e">
        <f>FME_Ranking_Option2!$AH331*AH$4</f>
        <v>#N/A</v>
      </c>
      <c r="AJ331" s="56" t="e">
        <f>FME_Ranking_Option2!$AH331/($AH$3)</f>
        <v>#N/A</v>
      </c>
      <c r="AK331" s="57" t="e">
        <f>FME_Ranking_Option2!$AJ331*AH$4</f>
        <v>#N/A</v>
      </c>
      <c r="AL331"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#N/A</v>
      </c>
      <c r="AM331" s="58" t="e">
        <f>_xlfn.RANK.EQ(AL331,$AL$7:$AL$531)+COUNTIF(AL$7:AL331,AL331)-1</f>
        <v>#N/A</v>
      </c>
      <c r="AN331" s="57"/>
      <c r="AO331" s="58" t="e">
        <f>_xlfn.RANK.EQ(AN331,$AN$7:$AN$531)+COUNTIF(AN$7:AN331,AN331)-1</f>
        <v>#N/A</v>
      </c>
      <c r="AP33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#N/A</v>
      </c>
      <c r="AQ331" s="32" t="e">
        <f>FME_Ranking2[[#This Row],[Score Based on Reported Factors]]-FME_Ranking2[[#This Row],[Check]]</f>
        <v>#N/A</v>
      </c>
      <c r="AR331" s="32"/>
      <c r="AT331" s="19"/>
      <c r="AU331" s="19"/>
      <c r="AV331" s="19"/>
      <c r="AW331" s="19"/>
      <c r="AX331" s="19"/>
      <c r="AY331" s="19"/>
      <c r="AZ331" s="19"/>
      <c r="BA331" s="19"/>
      <c r="BB331" s="19"/>
      <c r="BC331" s="19"/>
    </row>
    <row r="332" spans="1:55" ht="12" customHeight="1" x14ac:dyDescent="0.25">
      <c r="A332" s="17" t="s">
        <v>2111</v>
      </c>
      <c r="B332" s="17" t="e">
        <f>_xlfn.XLOOKUP(FME_Ranking2[[#This Row],[FME ID]],FME_Input[FME_ID],FME_Input[FME_NAME])</f>
        <v>#N/A</v>
      </c>
      <c r="C332" s="17" t="e">
        <f>_xlfn.XLOOKUP(FME_Ranking2[[#This Row],[FME ID]],FME_Input[FME_ID],FME_Input[DESCR])</f>
        <v>#N/A</v>
      </c>
      <c r="D332" s="33" t="e">
        <f>_xlfn.XLOOKUP(FME_Ranking2[[#This Row],[FME ID]],FME_Input[FME_ID],FME_Input[EMER_NEED])</f>
        <v>#N/A</v>
      </c>
      <c r="E332" s="120" t="e">
        <f>IF(FME_Ranking_Option2!$D332="Yes",100,0)</f>
        <v>#N/A</v>
      </c>
      <c r="F332" s="34" t="e">
        <f>_xlfn.XLOOKUP(FME_Ranking2[[#This Row],[FME ID]],FME_Input[FME_ID],FME_Input[FUND])</f>
        <v>#N/A</v>
      </c>
      <c r="G332" s="35" t="e">
        <f>IF(FME_Ranking_Option2!$F332="Yes",1,0)</f>
        <v>#N/A</v>
      </c>
      <c r="H332" s="33" t="e">
        <f>_xlfn.XLOOKUP(FME_Ranking2[[#This Row],[FME ID]],FME_Input[FME_ID],FME_Input[STRUCT_100])</f>
        <v>#N/A</v>
      </c>
      <c r="I332" s="64" t="e">
        <f>FME_Ranking2[[#This Row],[Raw Data3]]*H$4</f>
        <v>#N/A</v>
      </c>
      <c r="J332" s="63" t="e">
        <f>((FME_Ranking_Option2!$H332)/($H$3))*100</f>
        <v>#N/A</v>
      </c>
      <c r="K332" s="36" t="e">
        <f>FME_Ranking2[[#This Row],[Norm Data3]]*H$4</f>
        <v>#N/A</v>
      </c>
      <c r="L332" s="37" t="e">
        <f>_xlfn.XLOOKUP(FME_Ranking2[[#This Row],[FME ID]],FME_Input[FME_ID],FME_Input[RES_STRUCT100])</f>
        <v>#N/A</v>
      </c>
      <c r="M332" s="38" t="e">
        <f>FME_Ranking2[[#This Row],[Raw Data4]]*L$4</f>
        <v>#N/A</v>
      </c>
      <c r="N332" s="28" t="e">
        <f>((FME_Ranking_Option2!$L332)/($L$3))*100</f>
        <v>#N/A</v>
      </c>
      <c r="O332" s="39" t="e">
        <f>FME_Ranking2[[#This Row],[Norm Data4]]*L$4</f>
        <v>#N/A</v>
      </c>
      <c r="P332" s="34" t="e">
        <f>_xlfn.XLOOKUP(FME_Ranking2[[#This Row],[FME ID]],FME_Input[FME_ID],FME_Input[POP100])</f>
        <v>#N/A</v>
      </c>
      <c r="Q332" s="35" t="e">
        <f>FME_Ranking_Option2!$P332*P$4</f>
        <v>#N/A</v>
      </c>
      <c r="R332" s="35" t="e">
        <f>FME_Ranking_Option2!$P332/($P$3)</f>
        <v>#N/A</v>
      </c>
      <c r="S332" s="35" t="e">
        <f>FME_Ranking_Option2!$R332*P$4</f>
        <v>#N/A</v>
      </c>
      <c r="T332" s="37" t="e">
        <f>_xlfn.XLOOKUP(FME_Ranking2[[#This Row],[FME ID]],FME_Input[FME_ID],FME_Input[CRITFAC100])</f>
        <v>#N/A</v>
      </c>
      <c r="U332" s="35" t="e">
        <f>FME_Ranking_Option2!$T332*T$4</f>
        <v>#N/A</v>
      </c>
      <c r="V332" s="35" t="e">
        <f>FME_Ranking_Option2!$T332/($T$3)</f>
        <v>#N/A</v>
      </c>
      <c r="W332" s="35" t="e">
        <f>FME_Ranking_Option2!$V332*T$4</f>
        <v>#N/A</v>
      </c>
      <c r="X332" s="37" t="e">
        <f>_xlfn.XLOOKUP(FME_Ranking2[[#This Row],[FME ID]],FME_Input[FME_ID],FME_Input[LWC])</f>
        <v>#N/A</v>
      </c>
      <c r="Y332" s="35" t="e">
        <f>FME_Ranking_Option2!$X332*X$4</f>
        <v>#N/A</v>
      </c>
      <c r="Z332" s="35" t="e">
        <f>FME_Ranking_Option2!$X332/($X$3)</f>
        <v>#N/A</v>
      </c>
      <c r="AA332" s="35" t="e">
        <f>FME_Ranking_Option2!$Z332*X$4</f>
        <v>#N/A</v>
      </c>
      <c r="AB332" s="37" t="e">
        <f>_xlfn.XLOOKUP(FME_Ranking2[[#This Row],[FME ID]],FME_Input[FME_ID],FME_Input[ROADCLS])</f>
        <v>#N/A</v>
      </c>
      <c r="AC332" s="35" t="e">
        <f>FME_Ranking_Option2!$AB332*AB$4</f>
        <v>#N/A</v>
      </c>
      <c r="AD332" s="40" t="e">
        <f>_xlfn.XLOOKUP(FME_Ranking2[[#This Row],[FME ID]],FME_Input[FME_ID],FME_Input[ROAD_MILES100])</f>
        <v>#N/A</v>
      </c>
      <c r="AE332" s="41" t="e">
        <f>FME_Ranking_Option2!$AD332*AD$4</f>
        <v>#N/A</v>
      </c>
      <c r="AF332" s="42" t="e">
        <f>FME_Ranking_Option2!$AD332/($AD$3)</f>
        <v>#N/A</v>
      </c>
      <c r="AG332" s="42" t="e">
        <f>FME_Ranking_Option2!$AF332*AD$4</f>
        <v>#N/A</v>
      </c>
      <c r="AH332" s="40" t="e">
        <f>_xlfn.XLOOKUP(FME_Ranking2[[#This Row],[FME ID]],FME_Input[FME_ID],FME_Input[FARMACRE100])</f>
        <v>#N/A</v>
      </c>
      <c r="AI332" s="43" t="e">
        <f>FME_Ranking_Option2!$AH332*AH$4</f>
        <v>#N/A</v>
      </c>
      <c r="AJ332" s="41" t="e">
        <f>FME_Ranking_Option2!$AH332/($AH$3)</f>
        <v>#N/A</v>
      </c>
      <c r="AK332" s="44" t="e">
        <f>FME_Ranking_Option2!$AJ332*AH$4</f>
        <v>#N/A</v>
      </c>
      <c r="AL332" s="59"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#N/A</v>
      </c>
      <c r="AM332" s="30" t="e">
        <f>_xlfn.RANK.EQ(AL332,$AL$7:$AL$531)+COUNTIF(AL$7:AL332,AL332)-1</f>
        <v>#N/A</v>
      </c>
      <c r="AN332" s="44"/>
      <c r="AO332" s="30" t="e">
        <f>_xlfn.RANK.EQ(AN332,$AN$7:$AN$531)+COUNTIF(AN$7:AN332,AN332)-1</f>
        <v>#N/A</v>
      </c>
      <c r="AP33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#N/A</v>
      </c>
      <c r="AQ332" s="32" t="e">
        <f>FME_Ranking2[[#This Row],[Score Based on Reported Factors]]-FME_Ranking2[[#This Row],[Check]]</f>
        <v>#N/A</v>
      </c>
      <c r="AR332" s="32"/>
    </row>
    <row r="333" spans="1:55" ht="12" customHeight="1" x14ac:dyDescent="0.25">
      <c r="A333" s="16" t="s">
        <v>2112</v>
      </c>
      <c r="B333" s="16" t="str">
        <f>_xlfn.XLOOKUP(FME_Ranking2[[#This Row],[FME ID]],FME_Input[FME_ID],FME_Input[FME_NAME])</f>
        <v>Houston Huntington Village Area Flood Mitigation</v>
      </c>
      <c r="C333" s="16" t="str">
        <f>_xlfn.XLOOKUP(FME_Ranking2[[#This Row],[FME ID]],FME_Input[FME_ID],FME_Input[DESCR])</f>
        <v>Further study to develop this project into a FMP.  The project includes storm sewer improvements in the Huntington Village neighborhood to reduce structural flood loss.</v>
      </c>
      <c r="D333" s="46" t="str">
        <f>_xlfn.XLOOKUP(FME_Ranking2[[#This Row],[FME ID]],FME_Input[FME_ID],FME_Input[EMER_NEED])</f>
        <v>No</v>
      </c>
      <c r="E333" s="121">
        <f>IF(FME_Ranking_Option2!$D333="Yes",100,0)</f>
        <v>0</v>
      </c>
      <c r="F333" s="47" t="str">
        <f>_xlfn.XLOOKUP(FME_Ranking2[[#This Row],[FME ID]],FME_Input[FME_ID],FME_Input[FUND])</f>
        <v>Yes</v>
      </c>
      <c r="G333" s="48">
        <f>IF(FME_Ranking_Option2!$F333="Yes",1,0)</f>
        <v>1</v>
      </c>
      <c r="H333" s="46">
        <f>_xlfn.XLOOKUP(FME_Ranking2[[#This Row],[FME ID]],FME_Input[FME_ID],FME_Input[STRUCT_100])</f>
        <v>32129</v>
      </c>
      <c r="I333" s="65" t="e">
        <f>FME_Ranking2[[#This Row],[Raw Data3]]*H$4</f>
        <v>#REF!</v>
      </c>
      <c r="J333" s="62">
        <f>((FME_Ranking_Option2!$H333)/($H$3))*100</f>
        <v>3.5704085816935578</v>
      </c>
      <c r="K333" s="49" t="e">
        <f>FME_Ranking2[[#This Row],[Norm Data3]]*H$4</f>
        <v>#REF!</v>
      </c>
      <c r="L333" s="50">
        <f>_xlfn.XLOOKUP(FME_Ranking2[[#This Row],[FME ID]],FME_Input[FME_ID],FME_Input[RES_STRUCT100])</f>
        <v>29534</v>
      </c>
      <c r="M333" s="51" t="e">
        <f>FME_Ranking2[[#This Row],[Raw Data4]]*L$4</f>
        <v>#REF!</v>
      </c>
      <c r="N333" s="29">
        <f>((FME_Ranking_Option2!$L333)/($L$3))*100</f>
        <v>4.4154209331078835</v>
      </c>
      <c r="O333" s="52" t="e">
        <f>FME_Ranking2[[#This Row],[Norm Data4]]*L$4</f>
        <v>#REF!</v>
      </c>
      <c r="P333" s="47">
        <f>_xlfn.XLOOKUP(FME_Ranking2[[#This Row],[FME ID]],FME_Input[FME_ID],FME_Input[POP100])</f>
        <v>267993</v>
      </c>
      <c r="Q333" s="48" t="e">
        <f>FME_Ranking_Option2!$P333*P$4</f>
        <v>#REF!</v>
      </c>
      <c r="R333" s="48">
        <f>FME_Ranking_Option2!$P333/($P$3)</f>
        <v>9.8359121468613447E-2</v>
      </c>
      <c r="S333" s="48" t="e">
        <f>FME_Ranking_Option2!$R333*P$4</f>
        <v>#REF!</v>
      </c>
      <c r="T333" s="50">
        <f>_xlfn.XLOOKUP(FME_Ranking2[[#This Row],[FME ID]],FME_Input[FME_ID],FME_Input[CRITFAC100])</f>
        <v>448</v>
      </c>
      <c r="U333" s="48" t="e">
        <f>FME_Ranking_Option2!$T333*T$4</f>
        <v>#REF!</v>
      </c>
      <c r="V333" s="48">
        <f>FME_Ranking_Option2!$T333/($T$3)</f>
        <v>6.3178677196446195E-2</v>
      </c>
      <c r="W333" s="48" t="e">
        <f>FME_Ranking_Option2!$V333*T$4</f>
        <v>#REF!</v>
      </c>
      <c r="X333" s="50">
        <f>_xlfn.XLOOKUP(FME_Ranking2[[#This Row],[FME ID]],FME_Input[FME_ID],FME_Input[LWC])</f>
        <v>1</v>
      </c>
      <c r="Y333" s="48" t="e">
        <f>FME_Ranking_Option2!$X333*X$4</f>
        <v>#REF!</v>
      </c>
      <c r="Z333" s="48">
        <f>FME_Ranking_Option2!$X333/($X$3)</f>
        <v>9.1224229155263632E-5</v>
      </c>
      <c r="AA333" s="48" t="e">
        <f>FME_Ranking_Option2!$Z333*X$4</f>
        <v>#REF!</v>
      </c>
      <c r="AB333" s="50">
        <f>_xlfn.XLOOKUP(FME_Ranking2[[#This Row],[FME ID]],FME_Input[FME_ID],FME_Input[ROADCLS])</f>
        <v>1</v>
      </c>
      <c r="AC333" s="48" t="e">
        <f>FME_Ranking_Option2!$AB333*AB$4</f>
        <v>#REF!</v>
      </c>
      <c r="AD333" s="53">
        <f>_xlfn.XLOOKUP(FME_Ranking2[[#This Row],[FME ID]],FME_Input[FME_ID],FME_Input[ROAD_MILES100])</f>
        <v>412.19985961914063</v>
      </c>
      <c r="AE333" s="54" t="e">
        <f>FME_Ranking_Option2!$AD333*AD$4</f>
        <v>#REF!</v>
      </c>
      <c r="AF333" s="55">
        <f>FME_Ranking_Option2!$AD333/($AD$3)</f>
        <v>9.3104748438459974E-3</v>
      </c>
      <c r="AG333" s="55" t="e">
        <f>FME_Ranking_Option2!$AF333*AD$4</f>
        <v>#REF!</v>
      </c>
      <c r="AH333" s="53">
        <f>_xlfn.XLOOKUP(FME_Ranking2[[#This Row],[FME ID]],FME_Input[FME_ID],FME_Input[FARMACRE100])</f>
        <v>41.825786590576172</v>
      </c>
      <c r="AI333" s="54" t="e">
        <f>FME_Ranking_Option2!$AH333*AH$4</f>
        <v>#REF!</v>
      </c>
      <c r="AJ333" s="56">
        <f>FME_Ranking_Option2!$AH333/($AH$3)</f>
        <v>2.4286536012830349E-3</v>
      </c>
      <c r="AK333" s="57" t="e">
        <f>FME_Ranking_Option2!$AJ333*AH$4</f>
        <v>#REF!</v>
      </c>
      <c r="AL333"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33" s="45" t="e">
        <f>_xlfn.RANK.EQ(AL333,$AL$7:$AL$531)+COUNTIF(AL$7:AL333,AL333)-1</f>
        <v>#REF!</v>
      </c>
      <c r="AN333" s="57"/>
      <c r="AO333" s="45" t="e">
        <f>_xlfn.RANK.EQ(AN333,$AN$7:$AN$531)+COUNTIF(AN$7:AN333,AN333)-1</f>
        <v>#N/A</v>
      </c>
      <c r="AP33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33" s="32" t="e">
        <f>FME_Ranking2[[#This Row],[Score Based on Reported Factors]]-FME_Ranking2[[#This Row],[Check]]</f>
        <v>#REF!</v>
      </c>
      <c r="AR333" s="32"/>
      <c r="AT333" s="19"/>
      <c r="AU333" s="19"/>
      <c r="AV333" s="19"/>
      <c r="AW333" s="19"/>
      <c r="AX333" s="19"/>
      <c r="AY333" s="19"/>
      <c r="AZ333" s="19"/>
      <c r="BA333" s="19"/>
      <c r="BB333" s="19"/>
      <c r="BC333" s="19"/>
    </row>
    <row r="334" spans="1:55" ht="12" customHeight="1" x14ac:dyDescent="0.25">
      <c r="A334" s="17" t="s">
        <v>2137</v>
      </c>
      <c r="B334" s="17" t="str">
        <f>_xlfn.XLOOKUP(FME_Ranking2[[#This Row],[FME ID]],FME_Input[FME_ID],FME_Input[FME_NAME])</f>
        <v>Clear Creek - Friendswood Detention Basin Near FM 528 in Friendswood</v>
      </c>
      <c r="C334" s="17" t="str">
        <f>_xlfn.XLOOKUP(FME_Ranking2[[#This Row],[FME ID]],FME_Input[FME_ID],FME_Input[DESCR])</f>
        <v>Develop BCA to become a FMP. ROW acquisition, design, and construction of 39 ac stormwater detention basin holding 500 ac-ft near FM 528; Additional solutions include buyouts, improving channel conveyance, and tributary detention.</v>
      </c>
      <c r="D334" s="33" t="str">
        <f>_xlfn.XLOOKUP(FME_Ranking2[[#This Row],[FME ID]],FME_Input[FME_ID],FME_Input[EMER_NEED])</f>
        <v>No</v>
      </c>
      <c r="E334" s="120">
        <f>IF(FME_Ranking_Option2!$D334="Yes",100,0)</f>
        <v>0</v>
      </c>
      <c r="F334" s="34" t="str">
        <f>_xlfn.XLOOKUP(FME_Ranking2[[#This Row],[FME ID]],FME_Input[FME_ID],FME_Input[FUND])</f>
        <v>Yes</v>
      </c>
      <c r="G334" s="35">
        <f>IF(FME_Ranking_Option2!$F334="Yes",1,0)</f>
        <v>1</v>
      </c>
      <c r="H334" s="33">
        <f>_xlfn.XLOOKUP(FME_Ranking2[[#This Row],[FME ID]],FME_Input[FME_ID],FME_Input[STRUCT_100])</f>
        <v>14917</v>
      </c>
      <c r="I334" s="64" t="e">
        <f>FME_Ranking2[[#This Row],[Raw Data3]]*H$4</f>
        <v>#REF!</v>
      </c>
      <c r="J334" s="63">
        <f>((FME_Ranking_Option2!$H334)/($H$3))*100</f>
        <v>1.6576857298117837</v>
      </c>
      <c r="K334" s="36" t="e">
        <f>FME_Ranking2[[#This Row],[Norm Data3]]*H$4</f>
        <v>#REF!</v>
      </c>
      <c r="L334" s="37">
        <f>_xlfn.XLOOKUP(FME_Ranking2[[#This Row],[FME ID]],FME_Input[FME_ID],FME_Input[RES_STRUCT100])</f>
        <v>13124</v>
      </c>
      <c r="M334" s="38" t="e">
        <f>FME_Ranking2[[#This Row],[Raw Data4]]*L$4</f>
        <v>#REF!</v>
      </c>
      <c r="N334" s="28">
        <f>((FME_Ranking_Option2!$L334)/($L$3))*100</f>
        <v>1.9620770747649439</v>
      </c>
      <c r="O334" s="39" t="e">
        <f>FME_Ranking2[[#This Row],[Norm Data4]]*L$4</f>
        <v>#REF!</v>
      </c>
      <c r="P334" s="34">
        <f>_xlfn.XLOOKUP(FME_Ranking2[[#This Row],[FME ID]],FME_Input[FME_ID],FME_Input[POP100])</f>
        <v>72758</v>
      </c>
      <c r="Q334" s="35" t="e">
        <f>FME_Ranking_Option2!$P334*P$4</f>
        <v>#REF!</v>
      </c>
      <c r="R334" s="35">
        <f>FME_Ranking_Option2!$P334/($P$3)</f>
        <v>2.6703730917648511E-2</v>
      </c>
      <c r="S334" s="35" t="e">
        <f>FME_Ranking_Option2!$R334*P$4</f>
        <v>#REF!</v>
      </c>
      <c r="T334" s="37">
        <f>_xlfn.XLOOKUP(FME_Ranking2[[#This Row],[FME ID]],FME_Input[FME_ID],FME_Input[CRITFAC100])</f>
        <v>155</v>
      </c>
      <c r="U334" s="35" t="e">
        <f>FME_Ranking_Option2!$T334*T$4</f>
        <v>#REF!</v>
      </c>
      <c r="V334" s="35">
        <f>FME_Ranking_Option2!$T334/($T$3)</f>
        <v>2.1858694119306164E-2</v>
      </c>
      <c r="W334" s="35" t="e">
        <f>FME_Ranking_Option2!$V334*T$4</f>
        <v>#REF!</v>
      </c>
      <c r="X334" s="37">
        <f>_xlfn.XLOOKUP(FME_Ranking2[[#This Row],[FME ID]],FME_Input[FME_ID],FME_Input[LWC])</f>
        <v>9</v>
      </c>
      <c r="Y334" s="35" t="e">
        <f>FME_Ranking_Option2!$X334*X$4</f>
        <v>#REF!</v>
      </c>
      <c r="Z334" s="35">
        <f>FME_Ranking_Option2!$X334/($X$3)</f>
        <v>8.2101806239737272E-4</v>
      </c>
      <c r="AA334" s="35" t="e">
        <f>FME_Ranking_Option2!$Z334*X$4</f>
        <v>#REF!</v>
      </c>
      <c r="AB334" s="37">
        <f>_xlfn.XLOOKUP(FME_Ranking2[[#This Row],[FME ID]],FME_Input[FME_ID],FME_Input[ROADCLS])</f>
        <v>9</v>
      </c>
      <c r="AC334" s="35" t="e">
        <f>FME_Ranking_Option2!$AB334*AB$4</f>
        <v>#REF!</v>
      </c>
      <c r="AD334" s="40">
        <f>_xlfn.XLOOKUP(FME_Ranking2[[#This Row],[FME ID]],FME_Input[FME_ID],FME_Input[ROAD_MILES100])</f>
        <v>264.17852783203119</v>
      </c>
      <c r="AE334" s="41" t="e">
        <f>FME_Ranking_Option2!$AD334*AD$4</f>
        <v>#REF!</v>
      </c>
      <c r="AF334" s="42">
        <f>FME_Ranking_Option2!$AD334/($AD$3)</f>
        <v>5.9670751463550041E-3</v>
      </c>
      <c r="AG334" s="42" t="e">
        <f>FME_Ranking_Option2!$AF334*AD$4</f>
        <v>#REF!</v>
      </c>
      <c r="AH334" s="40">
        <f>_xlfn.XLOOKUP(FME_Ranking2[[#This Row],[FME ID]],FME_Input[FME_ID],FME_Input[FARMACRE100])</f>
        <v>161.8218078613281</v>
      </c>
      <c r="AI334" s="43" t="e">
        <f>FME_Ranking_Option2!$AH334*AH$4</f>
        <v>#REF!</v>
      </c>
      <c r="AJ334" s="41">
        <f>FME_Ranking_Option2!$AH334/($AH$3)</f>
        <v>9.3963353343627324E-3</v>
      </c>
      <c r="AK334" s="44" t="e">
        <f>FME_Ranking_Option2!$AJ334*AH$4</f>
        <v>#REF!</v>
      </c>
      <c r="AL334"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34" s="58" t="e">
        <f>_xlfn.RANK.EQ(AL334,$AL$7:$AL$531)+COUNTIF(AL$7:AL334,AL334)-1</f>
        <v>#REF!</v>
      </c>
      <c r="AN334" s="44"/>
      <c r="AO334" s="58" t="e">
        <f>_xlfn.RANK.EQ(AN334,$AN$7:$AN$531)+COUNTIF(AN$7:AN334,AN334)-1</f>
        <v>#N/A</v>
      </c>
      <c r="AP33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34" s="32" t="e">
        <f>FME_Ranking2[[#This Row],[Score Based on Reported Factors]]-FME_Ranking2[[#This Row],[Check]]</f>
        <v>#REF!</v>
      </c>
      <c r="AR334" s="32"/>
    </row>
    <row r="335" spans="1:55" ht="12" customHeight="1" x14ac:dyDescent="0.25">
      <c r="A335" s="16" t="s">
        <v>2141</v>
      </c>
      <c r="B335" s="16" t="str">
        <f>_xlfn.XLOOKUP(FME_Ranking2[[#This Row],[FME ID]],FME_Input[FME_ID],FME_Input[FME_NAME])</f>
        <v>Clear Creek - Hughes Stormwater Detention (SWD) Basin</v>
      </c>
      <c r="C335" s="16" t="str">
        <f>_xlfn.XLOOKUP(FME_Ranking2[[#This Row],[FME ID]],FME_Input[FME_ID],FME_Input[DESCR])</f>
        <v>Develop BCA to become a FMP. Project identified in Clear Creek Federal Project study for flood management but did not yield high enough cost benefit ratio for Federal funding. Therefore, Harris and Galveston County have decided to fund this effort.</v>
      </c>
      <c r="D335" s="46" t="str">
        <f>_xlfn.XLOOKUP(FME_Ranking2[[#This Row],[FME ID]],FME_Input[FME_ID],FME_Input[EMER_NEED])</f>
        <v>No</v>
      </c>
      <c r="E335" s="121">
        <f>IF(FME_Ranking_Option2!$D335="Yes",100,0)</f>
        <v>0</v>
      </c>
      <c r="F335" s="47" t="str">
        <f>_xlfn.XLOOKUP(FME_Ranking2[[#This Row],[FME ID]],FME_Input[FME_ID],FME_Input[FUND])</f>
        <v>Yes</v>
      </c>
      <c r="G335" s="48">
        <f>IF(FME_Ranking_Option2!$F335="Yes",1,0)</f>
        <v>1</v>
      </c>
      <c r="H335" s="46">
        <f>_xlfn.XLOOKUP(FME_Ranking2[[#This Row],[FME ID]],FME_Input[FME_ID],FME_Input[STRUCT_100])</f>
        <v>27164</v>
      </c>
      <c r="I335" s="65" t="e">
        <f>FME_Ranking2[[#This Row],[Raw Data3]]*H$4</f>
        <v>#REF!</v>
      </c>
      <c r="J335" s="62">
        <f>((FME_Ranking_Option2!$H335)/($H$3))*100</f>
        <v>3.0186616051891999</v>
      </c>
      <c r="K335" s="49" t="e">
        <f>FME_Ranking2[[#This Row],[Norm Data3]]*H$4</f>
        <v>#REF!</v>
      </c>
      <c r="L335" s="50">
        <f>_xlfn.XLOOKUP(FME_Ranking2[[#This Row],[FME ID]],FME_Input[FME_ID],FME_Input[RES_STRUCT100])</f>
        <v>22913</v>
      </c>
      <c r="M335" s="51" t="e">
        <f>FME_Ranking2[[#This Row],[Raw Data4]]*L$4</f>
        <v>#REF!</v>
      </c>
      <c r="N335" s="29">
        <f>((FME_Ranking_Option2!$L335)/($L$3))*100</f>
        <v>3.4255617200616553</v>
      </c>
      <c r="O335" s="52" t="e">
        <f>FME_Ranking2[[#This Row],[Norm Data4]]*L$4</f>
        <v>#REF!</v>
      </c>
      <c r="P335" s="47">
        <f>_xlfn.XLOOKUP(FME_Ranking2[[#This Row],[FME ID]],FME_Input[FME_ID],FME_Input[POP100])</f>
        <v>120966</v>
      </c>
      <c r="Q335" s="48" t="e">
        <f>FME_Ranking_Option2!$P335*P$4</f>
        <v>#REF!</v>
      </c>
      <c r="R335" s="48">
        <f>FME_Ranking_Option2!$P335/($P$3)</f>
        <v>4.4397090549276638E-2</v>
      </c>
      <c r="S335" s="48" t="e">
        <f>FME_Ranking_Option2!$R335*P$4</f>
        <v>#REF!</v>
      </c>
      <c r="T335" s="50">
        <f>_xlfn.XLOOKUP(FME_Ranking2[[#This Row],[FME ID]],FME_Input[FME_ID],FME_Input[CRITFAC100])</f>
        <v>233</v>
      </c>
      <c r="U335" s="48" t="e">
        <f>FME_Ranking_Option2!$T335*T$4</f>
        <v>#REF!</v>
      </c>
      <c r="V335" s="48">
        <f>FME_Ranking_Option2!$T335/($T$3)</f>
        <v>3.2858553095473135E-2</v>
      </c>
      <c r="W335" s="48" t="e">
        <f>FME_Ranking_Option2!$V335*T$4</f>
        <v>#REF!</v>
      </c>
      <c r="X335" s="50">
        <f>_xlfn.XLOOKUP(FME_Ranking2[[#This Row],[FME ID]],FME_Input[FME_ID],FME_Input[LWC])</f>
        <v>12</v>
      </c>
      <c r="Y335" s="48" t="e">
        <f>FME_Ranking_Option2!$X335*X$4</f>
        <v>#REF!</v>
      </c>
      <c r="Z335" s="48">
        <f>FME_Ranking_Option2!$X335/($X$3)</f>
        <v>1.0946907498631637E-3</v>
      </c>
      <c r="AA335" s="48" t="e">
        <f>FME_Ranking_Option2!$Z335*X$4</f>
        <v>#REF!</v>
      </c>
      <c r="AB335" s="50">
        <f>_xlfn.XLOOKUP(FME_Ranking2[[#This Row],[FME ID]],FME_Input[FME_ID],FME_Input[ROADCLS])</f>
        <v>12</v>
      </c>
      <c r="AC335" s="48" t="e">
        <f>FME_Ranking_Option2!$AB335*AB$4</f>
        <v>#REF!</v>
      </c>
      <c r="AD335" s="53">
        <f>_xlfn.XLOOKUP(FME_Ranking2[[#This Row],[FME ID]],FME_Input[FME_ID],FME_Input[ROAD_MILES100])</f>
        <v>458.135498046875</v>
      </c>
      <c r="AE335" s="54" t="e">
        <f>FME_Ranking_Option2!$AD335*AD$4</f>
        <v>#REF!</v>
      </c>
      <c r="AF335" s="55">
        <f>FME_Ranking_Option2!$AD335/($AD$3)</f>
        <v>1.034803610457178E-2</v>
      </c>
      <c r="AG335" s="55" t="e">
        <f>FME_Ranking_Option2!$AF335*AD$4</f>
        <v>#REF!</v>
      </c>
      <c r="AH335" s="53">
        <f>_xlfn.XLOOKUP(FME_Ranking2[[#This Row],[FME ID]],FME_Input[FME_ID],FME_Input[FARMACRE100])</f>
        <v>532.72027587890625</v>
      </c>
      <c r="AI335" s="54" t="e">
        <f>FME_Ranking_Option2!$AH335*AH$4</f>
        <v>#REF!</v>
      </c>
      <c r="AJ335" s="56">
        <f>FME_Ranking_Option2!$AH335/($AH$3)</f>
        <v>3.0932903406084514E-2</v>
      </c>
      <c r="AK335" s="57" t="e">
        <f>FME_Ranking_Option2!$AJ335*AH$4</f>
        <v>#REF!</v>
      </c>
      <c r="AL335"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35" s="45" t="e">
        <f>_xlfn.RANK.EQ(AL335,$AL$7:$AL$531)+COUNTIF(AL$7:AL335,AL335)-1</f>
        <v>#REF!</v>
      </c>
      <c r="AN335" s="57"/>
      <c r="AO335" s="45" t="e">
        <f>_xlfn.RANK.EQ(AN335,$AN$7:$AN$531)+COUNTIF(AN$7:AN335,AN335)-1</f>
        <v>#N/A</v>
      </c>
      <c r="AP33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35" s="32" t="e">
        <f>FME_Ranking2[[#This Row],[Score Based on Reported Factors]]-FME_Ranking2[[#This Row],[Check]]</f>
        <v>#REF!</v>
      </c>
      <c r="AR335" s="32"/>
      <c r="AT335" s="19"/>
      <c r="AU335" s="19"/>
      <c r="AV335" s="19"/>
      <c r="AW335" s="19"/>
      <c r="AX335" s="19"/>
      <c r="AY335" s="19"/>
      <c r="AZ335" s="19"/>
      <c r="BA335" s="19"/>
      <c r="BB335" s="19"/>
      <c r="BC335" s="19"/>
    </row>
    <row r="336" spans="1:55" ht="12" customHeight="1" x14ac:dyDescent="0.25">
      <c r="A336" s="17" t="s">
        <v>2148</v>
      </c>
      <c r="B336" s="17" t="str">
        <f>_xlfn.XLOOKUP(FME_Ranking2[[#This Row],[FME ID]],FME_Input[FME_ID],FME_Input[FME_NAME])</f>
        <v>Danubina Drainage Improvements</v>
      </c>
      <c r="C336" s="17" t="str">
        <f>_xlfn.XLOOKUP(FME_Ranking2[[#This Row],[FME ID]],FME_Input[FME_ID],FME_Input[DESCR])</f>
        <v xml:space="preserve">Study to further this project and develop an FMP. This CDBG-MIT application involves the installation and construction of various storm sewer and detention infrastructure. </v>
      </c>
      <c r="D336" s="33" t="str">
        <f>_xlfn.XLOOKUP(FME_Ranking2[[#This Row],[FME ID]],FME_Input[FME_ID],FME_Input[EMER_NEED])</f>
        <v>No</v>
      </c>
      <c r="E336" s="120">
        <f>IF(FME_Ranking_Option2!$D336="Yes",100,0)</f>
        <v>0</v>
      </c>
      <c r="F336" s="34" t="str">
        <f>_xlfn.XLOOKUP(FME_Ranking2[[#This Row],[FME ID]],FME_Input[FME_ID],FME_Input[FUND])</f>
        <v>Yes</v>
      </c>
      <c r="G336" s="35">
        <f>IF(FME_Ranking_Option2!$F336="Yes",1,0)</f>
        <v>1</v>
      </c>
      <c r="H336" s="33">
        <f>_xlfn.XLOOKUP(FME_Ranking2[[#This Row],[FME ID]],FME_Input[FME_ID],FME_Input[STRUCT_100])</f>
        <v>550</v>
      </c>
      <c r="I336" s="64" t="e">
        <f>FME_Ranking2[[#This Row],[Raw Data3]]*H$4</f>
        <v>#REF!</v>
      </c>
      <c r="J336" s="63">
        <f>((FME_Ranking_Option2!$H336)/($H$3))*100</f>
        <v>6.1120007467753638E-2</v>
      </c>
      <c r="K336" s="36" t="e">
        <f>FME_Ranking2[[#This Row],[Norm Data3]]*H$4</f>
        <v>#REF!</v>
      </c>
      <c r="L336" s="37">
        <f>_xlfn.XLOOKUP(FME_Ranking2[[#This Row],[FME ID]],FME_Input[FME_ID],FME_Input[RES_STRUCT100])</f>
        <v>440</v>
      </c>
      <c r="M336" s="38" t="e">
        <f>FME_Ranking2[[#This Row],[Raw Data4]]*L$4</f>
        <v>#REF!</v>
      </c>
      <c r="N336" s="28">
        <f>((FME_Ranking_Option2!$L336)/($L$3))*100</f>
        <v>6.5781310034789348E-2</v>
      </c>
      <c r="O336" s="39" t="e">
        <f>FME_Ranking2[[#This Row],[Norm Data4]]*L$4</f>
        <v>#REF!</v>
      </c>
      <c r="P336" s="34">
        <f>_xlfn.XLOOKUP(FME_Ranking2[[#This Row],[FME ID]],FME_Input[FME_ID],FME_Input[POP100])</f>
        <v>2324</v>
      </c>
      <c r="Q336" s="35" t="e">
        <f>FME_Ranking_Option2!$P336*P$4</f>
        <v>#REF!</v>
      </c>
      <c r="R336" s="35">
        <f>FME_Ranking_Option2!$P336/($P$3)</f>
        <v>8.5295734699435306E-4</v>
      </c>
      <c r="S336" s="35" t="e">
        <f>FME_Ranking_Option2!$R336*P$4</f>
        <v>#REF!</v>
      </c>
      <c r="T336" s="37">
        <f>_xlfn.XLOOKUP(FME_Ranking2[[#This Row],[FME ID]],FME_Input[FME_ID],FME_Input[CRITFAC100])</f>
        <v>7</v>
      </c>
      <c r="U336" s="35" t="e">
        <f>FME_Ranking_Option2!$T336*T$4</f>
        <v>#REF!</v>
      </c>
      <c r="V336" s="35">
        <f>FME_Ranking_Option2!$T336/($T$3)</f>
        <v>9.871668311944718E-4</v>
      </c>
      <c r="W336" s="35" t="e">
        <f>FME_Ranking_Option2!$V336*T$4</f>
        <v>#REF!</v>
      </c>
      <c r="X336" s="37">
        <f>_xlfn.XLOOKUP(FME_Ranking2[[#This Row],[FME ID]],FME_Input[FME_ID],FME_Input[LWC])</f>
        <v>0</v>
      </c>
      <c r="Y336" s="35" t="e">
        <f>FME_Ranking_Option2!$X336*X$4</f>
        <v>#REF!</v>
      </c>
      <c r="Z336" s="35">
        <f>FME_Ranking_Option2!$X336/($X$3)</f>
        <v>0</v>
      </c>
      <c r="AA336" s="35" t="e">
        <f>FME_Ranking_Option2!$Z336*X$4</f>
        <v>#REF!</v>
      </c>
      <c r="AB336" s="37">
        <f>_xlfn.XLOOKUP(FME_Ranking2[[#This Row],[FME ID]],FME_Input[FME_ID],FME_Input[ROADCLS])</f>
        <v>0</v>
      </c>
      <c r="AC336" s="35" t="e">
        <f>FME_Ranking_Option2!$AB336*AB$4</f>
        <v>#REF!</v>
      </c>
      <c r="AD336" s="40">
        <f>_xlfn.XLOOKUP(FME_Ranking2[[#This Row],[FME ID]],FME_Input[FME_ID],FME_Input[ROAD_MILES100])</f>
        <v>13.82215690612793</v>
      </c>
      <c r="AE336" s="41" t="e">
        <f>FME_Ranking_Option2!$AD336*AD$4</f>
        <v>#REF!</v>
      </c>
      <c r="AF336" s="42">
        <f>FME_Ranking_Option2!$AD336/($AD$3)</f>
        <v>3.1220496843716174E-4</v>
      </c>
      <c r="AG336" s="42" t="e">
        <f>FME_Ranking_Option2!$AF336*AD$4</f>
        <v>#REF!</v>
      </c>
      <c r="AH336" s="40">
        <f>_xlfn.XLOOKUP(FME_Ranking2[[#This Row],[FME ID]],FME_Input[FME_ID],FME_Input[FARMACRE100])</f>
        <v>98.242111206054688</v>
      </c>
      <c r="AI336" s="43" t="e">
        <f>FME_Ranking_Option2!$AH336*AH$4</f>
        <v>#REF!</v>
      </c>
      <c r="AJ336" s="41">
        <f>FME_Ranking_Option2!$AH336/($AH$3)</f>
        <v>5.704520503434873E-3</v>
      </c>
      <c r="AK336" s="44" t="e">
        <f>FME_Ranking_Option2!$AJ336*AH$4</f>
        <v>#REF!</v>
      </c>
      <c r="AL336"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36" s="58" t="e">
        <f>_xlfn.RANK.EQ(AL336,$AL$7:$AL$531)+COUNTIF(AL$7:AL336,AL336)-1</f>
        <v>#REF!</v>
      </c>
      <c r="AN336" s="44"/>
      <c r="AO336" s="58" t="e">
        <f>_xlfn.RANK.EQ(AN336,$AN$7:$AN$531)+COUNTIF(AN$7:AN336,AN336)-1</f>
        <v>#N/A</v>
      </c>
      <c r="AP33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36" s="32" t="e">
        <f>FME_Ranking2[[#This Row],[Score Based on Reported Factors]]-FME_Ranking2[[#This Row],[Check]]</f>
        <v>#REF!</v>
      </c>
      <c r="AR336" s="32"/>
    </row>
    <row r="337" spans="1:55" ht="12" customHeight="1" x14ac:dyDescent="0.25">
      <c r="A337" s="16" t="s">
        <v>2153</v>
      </c>
      <c r="B337" s="16" t="str">
        <f>_xlfn.XLOOKUP(FME_Ranking2[[#This Row],[FME ID]],FME_Input[FME_ID],FME_Input[FME_NAME])</f>
        <v>North Alexander Drainage Improvements</v>
      </c>
      <c r="C337" s="16" t="str">
        <f>_xlfn.XLOOKUP(FME_Ranking2[[#This Row],[FME ID]],FME_Input[FME_ID],FME_Input[DESCR])</f>
        <v xml:space="preserve">Further study to develop this project into a FMP. This CDBG-MIT application involves the installation and construction of various storm sewer and detention infrastructure. </v>
      </c>
      <c r="D337" s="46" t="str">
        <f>_xlfn.XLOOKUP(FME_Ranking2[[#This Row],[FME ID]],FME_Input[FME_ID],FME_Input[EMER_NEED])</f>
        <v>No</v>
      </c>
      <c r="E337" s="121">
        <f>IF(FME_Ranking_Option2!$D337="Yes",100,0)</f>
        <v>0</v>
      </c>
      <c r="F337" s="47" t="str">
        <f>_xlfn.XLOOKUP(FME_Ranking2[[#This Row],[FME ID]],FME_Input[FME_ID],FME_Input[FUND])</f>
        <v>Yes</v>
      </c>
      <c r="G337" s="48">
        <f>IF(FME_Ranking_Option2!$F337="Yes",1,0)</f>
        <v>1</v>
      </c>
      <c r="H337" s="46">
        <f>_xlfn.XLOOKUP(FME_Ranking2[[#This Row],[FME ID]],FME_Input[FME_ID],FME_Input[STRUCT_100])</f>
        <v>550</v>
      </c>
      <c r="I337" s="65" t="e">
        <f>FME_Ranking2[[#This Row],[Raw Data3]]*H$4</f>
        <v>#REF!</v>
      </c>
      <c r="J337" s="62">
        <f>((FME_Ranking_Option2!$H337)/($H$3))*100</f>
        <v>6.1120007467753638E-2</v>
      </c>
      <c r="K337" s="49" t="e">
        <f>FME_Ranking2[[#This Row],[Norm Data3]]*H$4</f>
        <v>#REF!</v>
      </c>
      <c r="L337" s="50">
        <f>_xlfn.XLOOKUP(FME_Ranking2[[#This Row],[FME ID]],FME_Input[FME_ID],FME_Input[RES_STRUCT100])</f>
        <v>440</v>
      </c>
      <c r="M337" s="51" t="e">
        <f>FME_Ranking2[[#This Row],[Raw Data4]]*L$4</f>
        <v>#REF!</v>
      </c>
      <c r="N337" s="29">
        <f>((FME_Ranking_Option2!$L337)/($L$3))*100</f>
        <v>6.5781310034789348E-2</v>
      </c>
      <c r="O337" s="52" t="e">
        <f>FME_Ranking2[[#This Row],[Norm Data4]]*L$4</f>
        <v>#REF!</v>
      </c>
      <c r="P337" s="47">
        <f>_xlfn.XLOOKUP(FME_Ranking2[[#This Row],[FME ID]],FME_Input[FME_ID],FME_Input[POP100])</f>
        <v>2324</v>
      </c>
      <c r="Q337" s="48" t="e">
        <f>FME_Ranking_Option2!$P337*P$4</f>
        <v>#REF!</v>
      </c>
      <c r="R337" s="48">
        <f>FME_Ranking_Option2!$P337/($P$3)</f>
        <v>8.5295734699435306E-4</v>
      </c>
      <c r="S337" s="48" t="e">
        <f>FME_Ranking_Option2!$R337*P$4</f>
        <v>#REF!</v>
      </c>
      <c r="T337" s="50">
        <f>_xlfn.XLOOKUP(FME_Ranking2[[#This Row],[FME ID]],FME_Input[FME_ID],FME_Input[CRITFAC100])</f>
        <v>7</v>
      </c>
      <c r="U337" s="48" t="e">
        <f>FME_Ranking_Option2!$T337*T$4</f>
        <v>#REF!</v>
      </c>
      <c r="V337" s="48">
        <f>FME_Ranking_Option2!$T337/($T$3)</f>
        <v>9.871668311944718E-4</v>
      </c>
      <c r="W337" s="48" t="e">
        <f>FME_Ranking_Option2!$V337*T$4</f>
        <v>#REF!</v>
      </c>
      <c r="X337" s="50">
        <f>_xlfn.XLOOKUP(FME_Ranking2[[#This Row],[FME ID]],FME_Input[FME_ID],FME_Input[LWC])</f>
        <v>0</v>
      </c>
      <c r="Y337" s="48" t="e">
        <f>FME_Ranking_Option2!$X337*X$4</f>
        <v>#REF!</v>
      </c>
      <c r="Z337" s="48">
        <f>FME_Ranking_Option2!$X337/($X$3)</f>
        <v>0</v>
      </c>
      <c r="AA337" s="48" t="e">
        <f>FME_Ranking_Option2!$Z337*X$4</f>
        <v>#REF!</v>
      </c>
      <c r="AB337" s="50">
        <f>_xlfn.XLOOKUP(FME_Ranking2[[#This Row],[FME ID]],FME_Input[FME_ID],FME_Input[ROADCLS])</f>
        <v>0</v>
      </c>
      <c r="AC337" s="48" t="e">
        <f>FME_Ranking_Option2!$AB337*AB$4</f>
        <v>#REF!</v>
      </c>
      <c r="AD337" s="53">
        <f>_xlfn.XLOOKUP(FME_Ranking2[[#This Row],[FME ID]],FME_Input[FME_ID],FME_Input[ROAD_MILES100])</f>
        <v>13.82215690612793</v>
      </c>
      <c r="AE337" s="54" t="e">
        <f>FME_Ranking_Option2!$AD337*AD$4</f>
        <v>#REF!</v>
      </c>
      <c r="AF337" s="55">
        <f>FME_Ranking_Option2!$AD337/($AD$3)</f>
        <v>3.1220496843716174E-4</v>
      </c>
      <c r="AG337" s="55" t="e">
        <f>FME_Ranking_Option2!$AF337*AD$4</f>
        <v>#REF!</v>
      </c>
      <c r="AH337" s="53">
        <f>_xlfn.XLOOKUP(FME_Ranking2[[#This Row],[FME ID]],FME_Input[FME_ID],FME_Input[FARMACRE100])</f>
        <v>98.242111206054688</v>
      </c>
      <c r="AI337" s="54" t="e">
        <f>FME_Ranking_Option2!$AH337*AH$4</f>
        <v>#REF!</v>
      </c>
      <c r="AJ337" s="56">
        <f>FME_Ranking_Option2!$AH337/($AH$3)</f>
        <v>5.704520503434873E-3</v>
      </c>
      <c r="AK337" s="57" t="e">
        <f>FME_Ranking_Option2!$AJ337*AH$4</f>
        <v>#REF!</v>
      </c>
      <c r="AL337"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37" s="45" t="e">
        <f>_xlfn.RANK.EQ(AL337,$AL$7:$AL$531)+COUNTIF(AL$7:AL337,AL337)-1</f>
        <v>#REF!</v>
      </c>
      <c r="AN337" s="57"/>
      <c r="AO337" s="45" t="e">
        <f>_xlfn.RANK.EQ(AN337,$AN$7:$AN$531)+COUNTIF(AN$7:AN337,AN337)-1</f>
        <v>#N/A</v>
      </c>
      <c r="AP33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37" s="32" t="e">
        <f>FME_Ranking2[[#This Row],[Score Based on Reported Factors]]-FME_Ranking2[[#This Row],[Check]]</f>
        <v>#REF!</v>
      </c>
      <c r="AR337" s="32"/>
      <c r="AT337" s="19"/>
      <c r="AU337" s="19"/>
      <c r="AV337" s="19"/>
      <c r="AW337" s="19"/>
      <c r="AX337" s="19"/>
      <c r="AY337" s="19"/>
      <c r="AZ337" s="19"/>
      <c r="BA337" s="19"/>
      <c r="BB337" s="19"/>
      <c r="BC337" s="19"/>
    </row>
    <row r="338" spans="1:55" ht="12" customHeight="1" x14ac:dyDescent="0.25">
      <c r="A338" s="17" t="s">
        <v>2156</v>
      </c>
      <c r="B338" s="17" t="str">
        <f>_xlfn.XLOOKUP(FME_Ranking2[[#This Row],[FME ID]],FME_Input[FME_ID],FME_Input[FME_NAME])</f>
        <v>City of Friendswood - Clear Creek Inline &amp; Offline Detention - Bay Area Blvd. Phase I</v>
      </c>
      <c r="C338" s="17" t="str">
        <f>_xlfn.XLOOKUP(FME_Ranking2[[#This Row],[FME ID]],FME_Input[FME_ID],FME_Input[DESCR])</f>
        <v xml:space="preserve">This project, which includes terraces, detention, and a trail network, will reduce water surface elevations on Clear Creek within the City of Friendswood and will make the Blackhawk Wastewater Treatment Facility more resilient. </v>
      </c>
      <c r="D338" s="33" t="str">
        <f>_xlfn.XLOOKUP(FME_Ranking2[[#This Row],[FME ID]],FME_Input[FME_ID],FME_Input[EMER_NEED])</f>
        <v>No</v>
      </c>
      <c r="E338" s="120">
        <f>IF(FME_Ranking_Option2!$D338="Yes",100,0)</f>
        <v>0</v>
      </c>
      <c r="F338" s="34" t="str">
        <f>_xlfn.XLOOKUP(FME_Ranking2[[#This Row],[FME ID]],FME_Input[FME_ID],FME_Input[FUND])</f>
        <v>Yes</v>
      </c>
      <c r="G338" s="35">
        <f>IF(FME_Ranking_Option2!$F338="Yes",1,0)</f>
        <v>1</v>
      </c>
      <c r="H338" s="33">
        <f>_xlfn.XLOOKUP(FME_Ranking2[[#This Row],[FME ID]],FME_Input[FME_ID],FME_Input[STRUCT_100])</f>
        <v>1680</v>
      </c>
      <c r="I338" s="64" t="e">
        <f>FME_Ranking2[[#This Row],[Raw Data3]]*H$4</f>
        <v>#REF!</v>
      </c>
      <c r="J338" s="63">
        <f>((FME_Ranking_Option2!$H338)/($H$3))*100</f>
        <v>0.18669384099241113</v>
      </c>
      <c r="K338" s="36" t="e">
        <f>FME_Ranking2[[#This Row],[Norm Data3]]*H$4</f>
        <v>#REF!</v>
      </c>
      <c r="L338" s="37">
        <f>_xlfn.XLOOKUP(FME_Ranking2[[#This Row],[FME ID]],FME_Input[FME_ID],FME_Input[RES_STRUCT100])</f>
        <v>1601</v>
      </c>
      <c r="M338" s="38" t="e">
        <f>FME_Ranking2[[#This Row],[Raw Data4]]*L$4</f>
        <v>#REF!</v>
      </c>
      <c r="N338" s="28">
        <f>((FME_Ranking_Option2!$L338)/($L$3))*100</f>
        <v>0.23935426674022214</v>
      </c>
      <c r="O338" s="39" t="e">
        <f>FME_Ranking2[[#This Row],[Norm Data4]]*L$4</f>
        <v>#REF!</v>
      </c>
      <c r="P338" s="34">
        <f>_xlfn.XLOOKUP(FME_Ranking2[[#This Row],[FME ID]],FME_Input[FME_ID],FME_Input[POP100])</f>
        <v>5467</v>
      </c>
      <c r="Q338" s="35" t="e">
        <f>FME_Ranking_Option2!$P338*P$4</f>
        <v>#REF!</v>
      </c>
      <c r="R338" s="35">
        <f>FME_Ranking_Option2!$P338/($P$3)</f>
        <v>2.0065050843451498E-3</v>
      </c>
      <c r="S338" s="35" t="e">
        <f>FME_Ranking_Option2!$R338*P$4</f>
        <v>#REF!</v>
      </c>
      <c r="T338" s="37">
        <f>_xlfn.XLOOKUP(FME_Ranking2[[#This Row],[FME ID]],FME_Input[FME_ID],FME_Input[CRITFAC100])</f>
        <v>2</v>
      </c>
      <c r="U338" s="35" t="e">
        <f>FME_Ranking_Option2!$T338*T$4</f>
        <v>#REF!</v>
      </c>
      <c r="V338" s="35">
        <f>FME_Ranking_Option2!$T338/($T$3)</f>
        <v>2.8204766605556341E-4</v>
      </c>
      <c r="W338" s="35" t="e">
        <f>FME_Ranking_Option2!$V338*T$4</f>
        <v>#REF!</v>
      </c>
      <c r="X338" s="37">
        <f>_xlfn.XLOOKUP(FME_Ranking2[[#This Row],[FME ID]],FME_Input[FME_ID],FME_Input[LWC])</f>
        <v>5</v>
      </c>
      <c r="Y338" s="35" t="e">
        <f>FME_Ranking_Option2!$X338*X$4</f>
        <v>#REF!</v>
      </c>
      <c r="Z338" s="35">
        <f>FME_Ranking_Option2!$X338/($X$3)</f>
        <v>4.5612114577631819E-4</v>
      </c>
      <c r="AA338" s="35" t="e">
        <f>FME_Ranking_Option2!$Z338*X$4</f>
        <v>#REF!</v>
      </c>
      <c r="AB338" s="37">
        <f>_xlfn.XLOOKUP(FME_Ranking2[[#This Row],[FME ID]],FME_Input[FME_ID],FME_Input[ROADCLS])</f>
        <v>5</v>
      </c>
      <c r="AC338" s="35" t="e">
        <f>FME_Ranking_Option2!$AB338*AB$4</f>
        <v>#REF!</v>
      </c>
      <c r="AD338" s="40">
        <f>_xlfn.XLOOKUP(FME_Ranking2[[#This Row],[FME ID]],FME_Input[FME_ID],FME_Input[ROAD_MILES100])</f>
        <v>37.720420837402337</v>
      </c>
      <c r="AE338" s="41" t="e">
        <f>FME_Ranking_Option2!$AD338*AD$4</f>
        <v>#REF!</v>
      </c>
      <c r="AF338" s="42">
        <f>FME_Ranking_Option2!$AD338/($AD$3)</f>
        <v>8.5200181686236303E-4</v>
      </c>
      <c r="AG338" s="42" t="e">
        <f>FME_Ranking_Option2!$AF338*AD$4</f>
        <v>#REF!</v>
      </c>
      <c r="AH338" s="40">
        <f>_xlfn.XLOOKUP(FME_Ranking2[[#This Row],[FME ID]],FME_Input[FME_ID],FME_Input[FARMACRE100])</f>
        <v>18.37308311462402</v>
      </c>
      <c r="AI338" s="43" t="e">
        <f>FME_Ranking_Option2!$AH338*AH$4</f>
        <v>#REF!</v>
      </c>
      <c r="AJ338" s="41">
        <f>FME_Ranking_Option2!$AH338/($AH$3)</f>
        <v>1.0668503358896295E-3</v>
      </c>
      <c r="AK338" s="44" t="e">
        <f>FME_Ranking_Option2!$AJ338*AH$4</f>
        <v>#REF!</v>
      </c>
      <c r="AL338"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38" s="58" t="e">
        <f>_xlfn.RANK.EQ(AL338,$AL$7:$AL$531)+COUNTIF(AL$7:AL338,AL338)-1</f>
        <v>#REF!</v>
      </c>
      <c r="AN338" s="44"/>
      <c r="AO338" s="58" t="e">
        <f>_xlfn.RANK.EQ(AN338,$AN$7:$AN$531)+COUNTIF(AN$7:AN338,AN338)-1</f>
        <v>#N/A</v>
      </c>
      <c r="AP33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38" s="32" t="e">
        <f>FME_Ranking2[[#This Row],[Score Based on Reported Factors]]-FME_Ranking2[[#This Row],[Check]]</f>
        <v>#REF!</v>
      </c>
      <c r="AR338" s="32"/>
    </row>
    <row r="339" spans="1:55" ht="12" customHeight="1" x14ac:dyDescent="0.25">
      <c r="A339" s="16" t="s">
        <v>2274</v>
      </c>
      <c r="B339" s="16" t="str">
        <f>_xlfn.XLOOKUP(FME_Ranking2[[#This Row],[FME ID]],FME_Input[FME_ID],FME_Input[FME_NAME])</f>
        <v xml:space="preserve">Clear Creek - Rehabilitation of the A214-00-00 channel to Restore Channel Conveyance Capacity </v>
      </c>
      <c r="C339" s="16" t="str">
        <f>_xlfn.XLOOKUP(FME_Ranking2[[#This Row],[FME ID]],FME_Input[FME_ID],FME_Input[DESCR])</f>
        <v>Major maintenance to restore channel conveyance capacity.</v>
      </c>
      <c r="D339" s="46" t="str">
        <f>_xlfn.XLOOKUP(FME_Ranking2[[#This Row],[FME ID]],FME_Input[FME_ID],FME_Input[EMER_NEED])</f>
        <v>No</v>
      </c>
      <c r="E339" s="121">
        <f>IF(FME_Ranking_Option2!$D339="Yes",100,0)</f>
        <v>0</v>
      </c>
      <c r="F339" s="47" t="str">
        <f>_xlfn.XLOOKUP(FME_Ranking2[[#This Row],[FME ID]],FME_Input[FME_ID],FME_Input[FUND])</f>
        <v>Yes</v>
      </c>
      <c r="G339" s="48">
        <f>IF(FME_Ranking_Option2!$F339="Yes",1,0)</f>
        <v>1</v>
      </c>
      <c r="H339" s="46">
        <f>_xlfn.XLOOKUP(FME_Ranking2[[#This Row],[FME ID]],FME_Input[FME_ID],FME_Input[STRUCT_100])</f>
        <v>424</v>
      </c>
      <c r="I339" s="65" t="e">
        <f>FME_Ranking2[[#This Row],[Raw Data3]]*H$4</f>
        <v>#REF!</v>
      </c>
      <c r="J339" s="62">
        <f>((FME_Ranking_Option2!$H339)/($H$3))*100</f>
        <v>4.7117969393322807E-2</v>
      </c>
      <c r="K339" s="49" t="e">
        <f>FME_Ranking2[[#This Row],[Norm Data3]]*H$4</f>
        <v>#REF!</v>
      </c>
      <c r="L339" s="50">
        <f>_xlfn.XLOOKUP(FME_Ranking2[[#This Row],[FME ID]],FME_Input[FME_ID],FME_Input[RES_STRUCT100])</f>
        <v>421</v>
      </c>
      <c r="M339" s="51" t="e">
        <f>FME_Ranking2[[#This Row],[Raw Data4]]*L$4</f>
        <v>#REF!</v>
      </c>
      <c r="N339" s="29">
        <f>((FME_Ranking_Option2!$L339)/($L$3))*100</f>
        <v>6.2940753465105262E-2</v>
      </c>
      <c r="O339" s="52" t="e">
        <f>FME_Ranking2[[#This Row],[Norm Data4]]*L$4</f>
        <v>#REF!</v>
      </c>
      <c r="P339" s="47">
        <f>_xlfn.XLOOKUP(FME_Ranking2[[#This Row],[FME ID]],FME_Input[FME_ID],FME_Input[POP100])</f>
        <v>1319</v>
      </c>
      <c r="Q339" s="48" t="e">
        <f>FME_Ranking_Option2!$P339*P$4</f>
        <v>#REF!</v>
      </c>
      <c r="R339" s="48">
        <f>FME_Ranking_Option2!$P339/($P$3)</f>
        <v>4.8410100717966937E-4</v>
      </c>
      <c r="S339" s="48" t="e">
        <f>FME_Ranking_Option2!$R339*P$4</f>
        <v>#REF!</v>
      </c>
      <c r="T339" s="50">
        <f>_xlfn.XLOOKUP(FME_Ranking2[[#This Row],[FME ID]],FME_Input[FME_ID],FME_Input[CRITFAC100])</f>
        <v>0</v>
      </c>
      <c r="U339" s="48" t="e">
        <f>FME_Ranking_Option2!$T339*T$4</f>
        <v>#REF!</v>
      </c>
      <c r="V339" s="48">
        <f>FME_Ranking_Option2!$T339/($T$3)</f>
        <v>0</v>
      </c>
      <c r="W339" s="48" t="e">
        <f>FME_Ranking_Option2!$V339*T$4</f>
        <v>#REF!</v>
      </c>
      <c r="X339" s="50">
        <f>_xlfn.XLOOKUP(FME_Ranking2[[#This Row],[FME ID]],FME_Input[FME_ID],FME_Input[LWC])</f>
        <v>0</v>
      </c>
      <c r="Y339" s="48" t="e">
        <f>FME_Ranking_Option2!$X339*X$4</f>
        <v>#REF!</v>
      </c>
      <c r="Z339" s="48">
        <f>FME_Ranking_Option2!$X339/($X$3)</f>
        <v>0</v>
      </c>
      <c r="AA339" s="48" t="e">
        <f>FME_Ranking_Option2!$Z339*X$4</f>
        <v>#REF!</v>
      </c>
      <c r="AB339" s="50">
        <f>_xlfn.XLOOKUP(FME_Ranking2[[#This Row],[FME ID]],FME_Input[FME_ID],FME_Input[ROADCLS])</f>
        <v>0</v>
      </c>
      <c r="AC339" s="48" t="e">
        <f>FME_Ranking_Option2!$AB339*AB$4</f>
        <v>#REF!</v>
      </c>
      <c r="AD339" s="53">
        <f>_xlfn.XLOOKUP(FME_Ranking2[[#This Row],[FME ID]],FME_Input[FME_ID],FME_Input[ROAD_MILES100])</f>
        <v>8.9099302291870117</v>
      </c>
      <c r="AE339" s="54" t="e">
        <f>FME_Ranking_Option2!$AD339*AD$4</f>
        <v>#REF!</v>
      </c>
      <c r="AF339" s="55">
        <f>FME_Ranking_Option2!$AD339/($AD$3)</f>
        <v>2.0125111477698474E-4</v>
      </c>
      <c r="AG339" s="55" t="e">
        <f>FME_Ranking_Option2!$AF339*AD$4</f>
        <v>#REF!</v>
      </c>
      <c r="AH339" s="53">
        <f>_xlfn.XLOOKUP(FME_Ranking2[[#This Row],[FME ID]],FME_Input[FME_ID],FME_Input[FARMACRE100])</f>
        <v>3.37833571434021</v>
      </c>
      <c r="AI339" s="54" t="e">
        <f>FME_Ranking_Option2!$AH339*AH$4</f>
        <v>#REF!</v>
      </c>
      <c r="AJ339" s="56">
        <f>FME_Ranking_Option2!$AH339/($AH$3)</f>
        <v>1.9616623781139081E-4</v>
      </c>
      <c r="AK339" s="57" t="e">
        <f>FME_Ranking_Option2!$AJ339*AH$4</f>
        <v>#REF!</v>
      </c>
      <c r="AL339"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39" s="45" t="e">
        <f>_xlfn.RANK.EQ(AL339,$AL$7:$AL$531)+COUNTIF(AL$7:AL339,AL339)-1</f>
        <v>#REF!</v>
      </c>
      <c r="AN339" s="57"/>
      <c r="AO339" s="45" t="e">
        <f>_xlfn.RANK.EQ(AN339,$AN$7:$AN$531)+COUNTIF(AN$7:AN339,AN339)-1</f>
        <v>#N/A</v>
      </c>
      <c r="AP33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39" s="32" t="e">
        <f>FME_Ranking2[[#This Row],[Score Based on Reported Factors]]-FME_Ranking2[[#This Row],[Check]]</f>
        <v>#REF!</v>
      </c>
      <c r="AR339" s="32"/>
      <c r="AT339" s="19"/>
      <c r="AU339" s="19"/>
      <c r="AV339" s="19"/>
      <c r="AW339" s="19"/>
      <c r="AX339" s="19"/>
      <c r="AY339" s="19"/>
      <c r="AZ339" s="19"/>
      <c r="BA339" s="19"/>
      <c r="BB339" s="19"/>
      <c r="BC339" s="19"/>
    </row>
    <row r="340" spans="1:55" ht="12" customHeight="1" x14ac:dyDescent="0.25">
      <c r="A340" s="17" t="s">
        <v>2159</v>
      </c>
      <c r="B340" s="17" t="str">
        <f>_xlfn.XLOOKUP(FME_Ranking2[[#This Row],[FME ID]],FME_Input[FME_ID],FME_Input[FME_NAME])</f>
        <v>Sawdust Road Bridge Elevation Project</v>
      </c>
      <c r="C340" s="17" t="str">
        <f>_xlfn.XLOOKUP(FME_Ranking2[[#This Row],[FME ID]],FME_Input[FME_ID],FME_Input[DESCR])</f>
        <v xml:space="preserve">Further study of study, design, elevation, &amp; replacement of the Sawdust Road Bridge to mitigate the risks associated with riverine flooding for the citizens residing in the Grogan’s Point and Timberlakes - Timberridge Subdivisions. </v>
      </c>
      <c r="D340" s="33" t="str">
        <f>_xlfn.XLOOKUP(FME_Ranking2[[#This Row],[FME ID]],FME_Input[FME_ID],FME_Input[EMER_NEED])</f>
        <v>No</v>
      </c>
      <c r="E340" s="120">
        <f>IF(FME_Ranking_Option2!$D340="Yes",100,0)</f>
        <v>0</v>
      </c>
      <c r="F340" s="34" t="str">
        <f>_xlfn.XLOOKUP(FME_Ranking2[[#This Row],[FME ID]],FME_Input[FME_ID],FME_Input[FUND])</f>
        <v>Yes</v>
      </c>
      <c r="G340" s="35">
        <f>IF(FME_Ranking_Option2!$F340="Yes",1,0)</f>
        <v>1</v>
      </c>
      <c r="H340" s="33">
        <f>_xlfn.XLOOKUP(FME_Ranking2[[#This Row],[FME ID]],FME_Input[FME_ID],FME_Input[STRUCT_100])</f>
        <v>794</v>
      </c>
      <c r="I340" s="64" t="e">
        <f>FME_Ranking2[[#This Row],[Raw Data3]]*H$4</f>
        <v>#REF!</v>
      </c>
      <c r="J340" s="63">
        <f>((FME_Ranking_Option2!$H340)/($H$3))*100</f>
        <v>8.8235065326175255E-2</v>
      </c>
      <c r="K340" s="36" t="e">
        <f>FME_Ranking2[[#This Row],[Norm Data3]]*H$4</f>
        <v>#REF!</v>
      </c>
      <c r="L340" s="37">
        <f>_xlfn.XLOOKUP(FME_Ranking2[[#This Row],[FME ID]],FME_Input[FME_ID],FME_Input[RES_STRUCT100])</f>
        <v>633</v>
      </c>
      <c r="M340" s="38" t="e">
        <f>FME_Ranking2[[#This Row],[Raw Data4]]*L$4</f>
        <v>#REF!</v>
      </c>
      <c r="N340" s="28">
        <f>((FME_Ranking_Option2!$L340)/($L$3))*100</f>
        <v>9.4635384663685582E-2</v>
      </c>
      <c r="O340" s="39" t="e">
        <f>FME_Ranking2[[#This Row],[Norm Data4]]*L$4</f>
        <v>#REF!</v>
      </c>
      <c r="P340" s="34">
        <f>_xlfn.XLOOKUP(FME_Ranking2[[#This Row],[FME ID]],FME_Input[FME_ID],FME_Input[POP100])</f>
        <v>5042</v>
      </c>
      <c r="Q340" s="35" t="e">
        <f>FME_Ranking_Option2!$P340*P$4</f>
        <v>#REF!</v>
      </c>
      <c r="R340" s="35">
        <f>FME_Ranking_Option2!$P340/($P$3)</f>
        <v>1.8505210600454078E-3</v>
      </c>
      <c r="S340" s="35" t="e">
        <f>FME_Ranking_Option2!$R340*P$4</f>
        <v>#REF!</v>
      </c>
      <c r="T340" s="37">
        <f>_xlfn.XLOOKUP(FME_Ranking2[[#This Row],[FME ID]],FME_Input[FME_ID],FME_Input[CRITFAC100])</f>
        <v>5</v>
      </c>
      <c r="U340" s="35" t="e">
        <f>FME_Ranking_Option2!$T340*T$4</f>
        <v>#REF!</v>
      </c>
      <c r="V340" s="35">
        <f>FME_Ranking_Option2!$T340/($T$3)</f>
        <v>7.0511916513890844E-4</v>
      </c>
      <c r="W340" s="35" t="e">
        <f>FME_Ranking_Option2!$V340*T$4</f>
        <v>#REF!</v>
      </c>
      <c r="X340" s="37">
        <f>_xlfn.XLOOKUP(FME_Ranking2[[#This Row],[FME ID]],FME_Input[FME_ID],FME_Input[LWC])</f>
        <v>0</v>
      </c>
      <c r="Y340" s="35" t="e">
        <f>FME_Ranking_Option2!$X340*X$4</f>
        <v>#REF!</v>
      </c>
      <c r="Z340" s="35">
        <f>FME_Ranking_Option2!$X340/($X$3)</f>
        <v>0</v>
      </c>
      <c r="AA340" s="35" t="e">
        <f>FME_Ranking_Option2!$Z340*X$4</f>
        <v>#REF!</v>
      </c>
      <c r="AB340" s="37">
        <f>_xlfn.XLOOKUP(FME_Ranking2[[#This Row],[FME ID]],FME_Input[FME_ID],FME_Input[ROADCLS])</f>
        <v>0</v>
      </c>
      <c r="AC340" s="35" t="e">
        <f>FME_Ranking_Option2!$AB340*AB$4</f>
        <v>#REF!</v>
      </c>
      <c r="AD340" s="40">
        <f>_xlfn.XLOOKUP(FME_Ranking2[[#This Row],[FME ID]],FME_Input[FME_ID],FME_Input[ROAD_MILES100])</f>
        <v>18.37222862243652</v>
      </c>
      <c r="AE340" s="41" t="e">
        <f>FME_Ranking_Option2!$AD340*AD$4</f>
        <v>#REF!</v>
      </c>
      <c r="AF340" s="42">
        <f>FME_Ranking_Option2!$AD340/($AD$3)</f>
        <v>4.1497872554500904E-4</v>
      </c>
      <c r="AG340" s="42" t="e">
        <f>FME_Ranking_Option2!$AF340*AD$4</f>
        <v>#REF!</v>
      </c>
      <c r="AH340" s="40">
        <f>_xlfn.XLOOKUP(FME_Ranking2[[#This Row],[FME ID]],FME_Input[FME_ID],FME_Input[FARMACRE100])</f>
        <v>15.153050422668461</v>
      </c>
      <c r="AI340" s="43" t="e">
        <f>FME_Ranking_Option2!$AH340*AH$4</f>
        <v>#REF!</v>
      </c>
      <c r="AJ340" s="41">
        <f>FME_Ranking_Option2!$AH340/($AH$3)</f>
        <v>8.7987611182736185E-4</v>
      </c>
      <c r="AK340" s="44" t="e">
        <f>FME_Ranking_Option2!$AJ340*AH$4</f>
        <v>#REF!</v>
      </c>
      <c r="AL340"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40" s="58" t="e">
        <f>_xlfn.RANK.EQ(AL340,$AL$7:$AL$531)+COUNTIF(AL$7:AL340,AL340)-1</f>
        <v>#REF!</v>
      </c>
      <c r="AN340" s="44"/>
      <c r="AO340" s="58" t="e">
        <f>_xlfn.RANK.EQ(AN340,$AN$7:$AN$531)+COUNTIF(AN$7:AN340,AN340)-1</f>
        <v>#N/A</v>
      </c>
      <c r="AP34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40" s="32" t="e">
        <f>FME_Ranking2[[#This Row],[Score Based on Reported Factors]]-FME_Ranking2[[#This Row],[Check]]</f>
        <v>#REF!</v>
      </c>
      <c r="AR340" s="32"/>
    </row>
    <row r="341" spans="1:55" ht="12" customHeight="1" x14ac:dyDescent="0.25">
      <c r="A341" s="16" t="s">
        <v>2166</v>
      </c>
      <c r="B341" s="16" t="e">
        <f>_xlfn.XLOOKUP(FME_Ranking2[[#This Row],[FME ID]],FME_Input[FME_ID],FME_Input[FME_NAME])</f>
        <v>#N/A</v>
      </c>
      <c r="C341" s="16" t="e">
        <f>_xlfn.XLOOKUP(FME_Ranking2[[#This Row],[FME ID]],FME_Input[FME_ID],FME_Input[DESCR])</f>
        <v>#N/A</v>
      </c>
      <c r="D341" s="46" t="e">
        <f>_xlfn.XLOOKUP(FME_Ranking2[[#This Row],[FME ID]],FME_Input[FME_ID],FME_Input[EMER_NEED])</f>
        <v>#N/A</v>
      </c>
      <c r="E341" s="121" t="e">
        <f>IF(FME_Ranking_Option2!$D341="Yes",100,0)</f>
        <v>#N/A</v>
      </c>
      <c r="F341" s="47" t="e">
        <f>_xlfn.XLOOKUP(FME_Ranking2[[#This Row],[FME ID]],FME_Input[FME_ID],FME_Input[FUND])</f>
        <v>#N/A</v>
      </c>
      <c r="G341" s="48" t="e">
        <f>IF(FME_Ranking_Option2!$F341="Yes",1,0)</f>
        <v>#N/A</v>
      </c>
      <c r="H341" s="46" t="e">
        <f>_xlfn.XLOOKUP(FME_Ranking2[[#This Row],[FME ID]],FME_Input[FME_ID],FME_Input[STRUCT_100])</f>
        <v>#N/A</v>
      </c>
      <c r="I341" s="65" t="e">
        <f>FME_Ranking2[[#This Row],[Raw Data3]]*H$4</f>
        <v>#N/A</v>
      </c>
      <c r="J341" s="62" t="e">
        <f>((FME_Ranking_Option2!$H341)/($H$3))*100</f>
        <v>#N/A</v>
      </c>
      <c r="K341" s="49" t="e">
        <f>FME_Ranking2[[#This Row],[Norm Data3]]*H$4</f>
        <v>#N/A</v>
      </c>
      <c r="L341" s="50" t="e">
        <f>_xlfn.XLOOKUP(FME_Ranking2[[#This Row],[FME ID]],FME_Input[FME_ID],FME_Input[RES_STRUCT100])</f>
        <v>#N/A</v>
      </c>
      <c r="M341" s="51" t="e">
        <f>FME_Ranking2[[#This Row],[Raw Data4]]*L$4</f>
        <v>#N/A</v>
      </c>
      <c r="N341" s="29" t="e">
        <f>((FME_Ranking_Option2!$L341)/($L$3))*100</f>
        <v>#N/A</v>
      </c>
      <c r="O341" s="52" t="e">
        <f>FME_Ranking2[[#This Row],[Norm Data4]]*L$4</f>
        <v>#N/A</v>
      </c>
      <c r="P341" s="47" t="e">
        <f>_xlfn.XLOOKUP(FME_Ranking2[[#This Row],[FME ID]],FME_Input[FME_ID],FME_Input[POP100])</f>
        <v>#N/A</v>
      </c>
      <c r="Q341" s="48" t="e">
        <f>FME_Ranking_Option2!$P341*P$4</f>
        <v>#N/A</v>
      </c>
      <c r="R341" s="48" t="e">
        <f>FME_Ranking_Option2!$P341/($P$3)</f>
        <v>#N/A</v>
      </c>
      <c r="S341" s="48" t="e">
        <f>FME_Ranking_Option2!$R341*P$4</f>
        <v>#N/A</v>
      </c>
      <c r="T341" s="50" t="e">
        <f>_xlfn.XLOOKUP(FME_Ranking2[[#This Row],[FME ID]],FME_Input[FME_ID],FME_Input[CRITFAC100])</f>
        <v>#N/A</v>
      </c>
      <c r="U341" s="48" t="e">
        <f>FME_Ranking_Option2!$T341*T$4</f>
        <v>#N/A</v>
      </c>
      <c r="V341" s="48" t="e">
        <f>FME_Ranking_Option2!$T341/($T$3)</f>
        <v>#N/A</v>
      </c>
      <c r="W341" s="48" t="e">
        <f>FME_Ranking_Option2!$V341*T$4</f>
        <v>#N/A</v>
      </c>
      <c r="X341" s="50" t="e">
        <f>_xlfn.XLOOKUP(FME_Ranking2[[#This Row],[FME ID]],FME_Input[FME_ID],FME_Input[LWC])</f>
        <v>#N/A</v>
      </c>
      <c r="Y341" s="48" t="e">
        <f>FME_Ranking_Option2!$X341*X$4</f>
        <v>#N/A</v>
      </c>
      <c r="Z341" s="48" t="e">
        <f>FME_Ranking_Option2!$X341/($X$3)</f>
        <v>#N/A</v>
      </c>
      <c r="AA341" s="48" t="e">
        <f>FME_Ranking_Option2!$Z341*X$4</f>
        <v>#N/A</v>
      </c>
      <c r="AB341" s="50" t="e">
        <f>_xlfn.XLOOKUP(FME_Ranking2[[#This Row],[FME ID]],FME_Input[FME_ID],FME_Input[ROADCLS])</f>
        <v>#N/A</v>
      </c>
      <c r="AC341" s="48" t="e">
        <f>FME_Ranking_Option2!$AB341*AB$4</f>
        <v>#N/A</v>
      </c>
      <c r="AD341" s="53" t="e">
        <f>_xlfn.XLOOKUP(FME_Ranking2[[#This Row],[FME ID]],FME_Input[FME_ID],FME_Input[ROAD_MILES100])</f>
        <v>#N/A</v>
      </c>
      <c r="AE341" s="54" t="e">
        <f>FME_Ranking_Option2!$AD341*AD$4</f>
        <v>#N/A</v>
      </c>
      <c r="AF341" s="55" t="e">
        <f>FME_Ranking_Option2!$AD341/($AD$3)</f>
        <v>#N/A</v>
      </c>
      <c r="AG341" s="55" t="e">
        <f>FME_Ranking_Option2!$AF341*AD$4</f>
        <v>#N/A</v>
      </c>
      <c r="AH341" s="53" t="e">
        <f>_xlfn.XLOOKUP(FME_Ranking2[[#This Row],[FME ID]],FME_Input[FME_ID],FME_Input[FARMACRE100])</f>
        <v>#N/A</v>
      </c>
      <c r="AI341" s="54" t="e">
        <f>FME_Ranking_Option2!$AH341*AH$4</f>
        <v>#N/A</v>
      </c>
      <c r="AJ341" s="56" t="e">
        <f>FME_Ranking_Option2!$AH341/($AH$3)</f>
        <v>#N/A</v>
      </c>
      <c r="AK341" s="57" t="e">
        <f>FME_Ranking_Option2!$AJ341*AH$4</f>
        <v>#N/A</v>
      </c>
      <c r="AL341"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#N/A</v>
      </c>
      <c r="AM341" s="45" t="e">
        <f>_xlfn.RANK.EQ(AL341,$AL$7:$AL$531)+COUNTIF(AL$7:AL341,AL341)-1</f>
        <v>#N/A</v>
      </c>
      <c r="AN341" s="57"/>
      <c r="AO341" s="45" t="e">
        <f>_xlfn.RANK.EQ(AN341,$AN$7:$AN$531)+COUNTIF(AN$7:AN341,AN341)-1</f>
        <v>#N/A</v>
      </c>
      <c r="AP34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#N/A</v>
      </c>
      <c r="AQ341" s="32" t="e">
        <f>FME_Ranking2[[#This Row],[Score Based on Reported Factors]]-FME_Ranking2[[#This Row],[Check]]</f>
        <v>#N/A</v>
      </c>
      <c r="AR341" s="32"/>
      <c r="AT341" s="19"/>
      <c r="AU341" s="19"/>
      <c r="AV341" s="19"/>
      <c r="AW341" s="19"/>
      <c r="AX341" s="19"/>
      <c r="AY341" s="19"/>
      <c r="AZ341" s="19"/>
      <c r="BA341" s="19"/>
      <c r="BB341" s="19"/>
      <c r="BC341" s="19"/>
    </row>
    <row r="342" spans="1:55" ht="12" customHeight="1" x14ac:dyDescent="0.25">
      <c r="A342" s="17" t="s">
        <v>2167</v>
      </c>
      <c r="B342" s="17" t="e">
        <f>_xlfn.XLOOKUP(FME_Ranking2[[#This Row],[FME ID]],FME_Input[FME_ID],FME_Input[FME_NAME])</f>
        <v>#N/A</v>
      </c>
      <c r="C342" s="17" t="e">
        <f>_xlfn.XLOOKUP(FME_Ranking2[[#This Row],[FME ID]],FME_Input[FME_ID],FME_Input[DESCR])</f>
        <v>#N/A</v>
      </c>
      <c r="D342" s="33" t="e">
        <f>_xlfn.XLOOKUP(FME_Ranking2[[#This Row],[FME ID]],FME_Input[FME_ID],FME_Input[EMER_NEED])</f>
        <v>#N/A</v>
      </c>
      <c r="E342" s="120" t="e">
        <f>IF(FME_Ranking_Option2!$D342="Yes",100,0)</f>
        <v>#N/A</v>
      </c>
      <c r="F342" s="34" t="e">
        <f>_xlfn.XLOOKUP(FME_Ranking2[[#This Row],[FME ID]],FME_Input[FME_ID],FME_Input[FUND])</f>
        <v>#N/A</v>
      </c>
      <c r="G342" s="35" t="e">
        <f>IF(FME_Ranking_Option2!$F342="Yes",1,0)</f>
        <v>#N/A</v>
      </c>
      <c r="H342" s="33" t="e">
        <f>_xlfn.XLOOKUP(FME_Ranking2[[#This Row],[FME ID]],FME_Input[FME_ID],FME_Input[STRUCT_100])</f>
        <v>#N/A</v>
      </c>
      <c r="I342" s="64" t="e">
        <f>FME_Ranking2[[#This Row],[Raw Data3]]*H$4</f>
        <v>#N/A</v>
      </c>
      <c r="J342" s="63" t="e">
        <f>((FME_Ranking_Option2!$H342)/($H$3))*100</f>
        <v>#N/A</v>
      </c>
      <c r="K342" s="36" t="e">
        <f>FME_Ranking2[[#This Row],[Norm Data3]]*H$4</f>
        <v>#N/A</v>
      </c>
      <c r="L342" s="37" t="e">
        <f>_xlfn.XLOOKUP(FME_Ranking2[[#This Row],[FME ID]],FME_Input[FME_ID],FME_Input[RES_STRUCT100])</f>
        <v>#N/A</v>
      </c>
      <c r="M342" s="38" t="e">
        <f>FME_Ranking2[[#This Row],[Raw Data4]]*L$4</f>
        <v>#N/A</v>
      </c>
      <c r="N342" s="28" t="e">
        <f>((FME_Ranking_Option2!$L342)/($L$3))*100</f>
        <v>#N/A</v>
      </c>
      <c r="O342" s="39" t="e">
        <f>FME_Ranking2[[#This Row],[Norm Data4]]*L$4</f>
        <v>#N/A</v>
      </c>
      <c r="P342" s="34" t="e">
        <f>_xlfn.XLOOKUP(FME_Ranking2[[#This Row],[FME ID]],FME_Input[FME_ID],FME_Input[POP100])</f>
        <v>#N/A</v>
      </c>
      <c r="Q342" s="35" t="e">
        <f>FME_Ranking_Option2!$P342*P$4</f>
        <v>#N/A</v>
      </c>
      <c r="R342" s="35" t="e">
        <f>FME_Ranking_Option2!$P342/($P$3)</f>
        <v>#N/A</v>
      </c>
      <c r="S342" s="35" t="e">
        <f>FME_Ranking_Option2!$R342*P$4</f>
        <v>#N/A</v>
      </c>
      <c r="T342" s="37" t="e">
        <f>_xlfn.XLOOKUP(FME_Ranking2[[#This Row],[FME ID]],FME_Input[FME_ID],FME_Input[CRITFAC100])</f>
        <v>#N/A</v>
      </c>
      <c r="U342" s="35" t="e">
        <f>FME_Ranking_Option2!$T342*T$4</f>
        <v>#N/A</v>
      </c>
      <c r="V342" s="35" t="e">
        <f>FME_Ranking_Option2!$T342/($T$3)</f>
        <v>#N/A</v>
      </c>
      <c r="W342" s="35" t="e">
        <f>FME_Ranking_Option2!$V342*T$4</f>
        <v>#N/A</v>
      </c>
      <c r="X342" s="37" t="e">
        <f>_xlfn.XLOOKUP(FME_Ranking2[[#This Row],[FME ID]],FME_Input[FME_ID],FME_Input[LWC])</f>
        <v>#N/A</v>
      </c>
      <c r="Y342" s="35" t="e">
        <f>FME_Ranking_Option2!$X342*X$4</f>
        <v>#N/A</v>
      </c>
      <c r="Z342" s="35" t="e">
        <f>FME_Ranking_Option2!$X342/($X$3)</f>
        <v>#N/A</v>
      </c>
      <c r="AA342" s="35" t="e">
        <f>FME_Ranking_Option2!$Z342*X$4</f>
        <v>#N/A</v>
      </c>
      <c r="AB342" s="37" t="e">
        <f>_xlfn.XLOOKUP(FME_Ranking2[[#This Row],[FME ID]],FME_Input[FME_ID],FME_Input[ROADCLS])</f>
        <v>#N/A</v>
      </c>
      <c r="AC342" s="35" t="e">
        <f>FME_Ranking_Option2!$AB342*AB$4</f>
        <v>#N/A</v>
      </c>
      <c r="AD342" s="40" t="e">
        <f>_xlfn.XLOOKUP(FME_Ranking2[[#This Row],[FME ID]],FME_Input[FME_ID],FME_Input[ROAD_MILES100])</f>
        <v>#N/A</v>
      </c>
      <c r="AE342" s="41" t="e">
        <f>FME_Ranking_Option2!$AD342*AD$4</f>
        <v>#N/A</v>
      </c>
      <c r="AF342" s="42" t="e">
        <f>FME_Ranking_Option2!$AD342/($AD$3)</f>
        <v>#N/A</v>
      </c>
      <c r="AG342" s="42" t="e">
        <f>FME_Ranking_Option2!$AF342*AD$4</f>
        <v>#N/A</v>
      </c>
      <c r="AH342" s="40" t="e">
        <f>_xlfn.XLOOKUP(FME_Ranking2[[#This Row],[FME ID]],FME_Input[FME_ID],FME_Input[FARMACRE100])</f>
        <v>#N/A</v>
      </c>
      <c r="AI342" s="43" t="e">
        <f>FME_Ranking_Option2!$AH342*AH$4</f>
        <v>#N/A</v>
      </c>
      <c r="AJ342" s="41" t="e">
        <f>FME_Ranking_Option2!$AH342/($AH$3)</f>
        <v>#N/A</v>
      </c>
      <c r="AK342" s="44" t="e">
        <f>FME_Ranking_Option2!$AJ342*AH$4</f>
        <v>#N/A</v>
      </c>
      <c r="AL342"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#N/A</v>
      </c>
      <c r="AM342" s="58" t="e">
        <f>_xlfn.RANK.EQ(AL342,$AL$7:$AL$531)+COUNTIF(AL$7:AL342,AL342)-1</f>
        <v>#N/A</v>
      </c>
      <c r="AN342" s="44"/>
      <c r="AO342" s="58" t="e">
        <f>_xlfn.RANK.EQ(AN342,$AN$7:$AN$531)+COUNTIF(AN$7:AN342,AN342)-1</f>
        <v>#N/A</v>
      </c>
      <c r="AP34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#N/A</v>
      </c>
      <c r="AQ342" s="32" t="e">
        <f>FME_Ranking2[[#This Row],[Score Based on Reported Factors]]-FME_Ranking2[[#This Row],[Check]]</f>
        <v>#N/A</v>
      </c>
      <c r="AR342" s="32"/>
    </row>
    <row r="343" spans="1:55" ht="12" customHeight="1" x14ac:dyDescent="0.25">
      <c r="A343" s="16" t="s">
        <v>2168</v>
      </c>
      <c r="B343" s="16" t="e">
        <f>_xlfn.XLOOKUP(FME_Ranking2[[#This Row],[FME ID]],FME_Input[FME_ID],FME_Input[FME_NAME])</f>
        <v>#N/A</v>
      </c>
      <c r="C343" s="16" t="e">
        <f>_xlfn.XLOOKUP(FME_Ranking2[[#This Row],[FME ID]],FME_Input[FME_ID],FME_Input[DESCR])</f>
        <v>#N/A</v>
      </c>
      <c r="D343" s="46" t="e">
        <f>_xlfn.XLOOKUP(FME_Ranking2[[#This Row],[FME ID]],FME_Input[FME_ID],FME_Input[EMER_NEED])</f>
        <v>#N/A</v>
      </c>
      <c r="E343" s="121" t="e">
        <f>IF(FME_Ranking_Option2!$D343="Yes",100,0)</f>
        <v>#N/A</v>
      </c>
      <c r="F343" s="47" t="e">
        <f>_xlfn.XLOOKUP(FME_Ranking2[[#This Row],[FME ID]],FME_Input[FME_ID],FME_Input[FUND])</f>
        <v>#N/A</v>
      </c>
      <c r="G343" s="48" t="e">
        <f>IF(FME_Ranking_Option2!$F343="Yes",1,0)</f>
        <v>#N/A</v>
      </c>
      <c r="H343" s="46" t="e">
        <f>_xlfn.XLOOKUP(FME_Ranking2[[#This Row],[FME ID]],FME_Input[FME_ID],FME_Input[STRUCT_100])</f>
        <v>#N/A</v>
      </c>
      <c r="I343" s="65" t="e">
        <f>FME_Ranking2[[#This Row],[Raw Data3]]*H$4</f>
        <v>#N/A</v>
      </c>
      <c r="J343" s="62" t="e">
        <f>((FME_Ranking_Option2!$H343)/($H$3))*100</f>
        <v>#N/A</v>
      </c>
      <c r="K343" s="49" t="e">
        <f>FME_Ranking2[[#This Row],[Norm Data3]]*H$4</f>
        <v>#N/A</v>
      </c>
      <c r="L343" s="50" t="e">
        <f>_xlfn.XLOOKUP(FME_Ranking2[[#This Row],[FME ID]],FME_Input[FME_ID],FME_Input[RES_STRUCT100])</f>
        <v>#N/A</v>
      </c>
      <c r="M343" s="51" t="e">
        <f>FME_Ranking2[[#This Row],[Raw Data4]]*L$4</f>
        <v>#N/A</v>
      </c>
      <c r="N343" s="29" t="e">
        <f>((FME_Ranking_Option2!$L343)/($L$3))*100</f>
        <v>#N/A</v>
      </c>
      <c r="O343" s="52" t="e">
        <f>FME_Ranking2[[#This Row],[Norm Data4]]*L$4</f>
        <v>#N/A</v>
      </c>
      <c r="P343" s="47" t="e">
        <f>_xlfn.XLOOKUP(FME_Ranking2[[#This Row],[FME ID]],FME_Input[FME_ID],FME_Input[POP100])</f>
        <v>#N/A</v>
      </c>
      <c r="Q343" s="48" t="e">
        <f>FME_Ranking_Option2!$P343*P$4</f>
        <v>#N/A</v>
      </c>
      <c r="R343" s="48" t="e">
        <f>FME_Ranking_Option2!$P343/($P$3)</f>
        <v>#N/A</v>
      </c>
      <c r="S343" s="48" t="e">
        <f>FME_Ranking_Option2!$R343*P$4</f>
        <v>#N/A</v>
      </c>
      <c r="T343" s="50" t="e">
        <f>_xlfn.XLOOKUP(FME_Ranking2[[#This Row],[FME ID]],FME_Input[FME_ID],FME_Input[CRITFAC100])</f>
        <v>#N/A</v>
      </c>
      <c r="U343" s="48" t="e">
        <f>FME_Ranking_Option2!$T343*T$4</f>
        <v>#N/A</v>
      </c>
      <c r="V343" s="48" t="e">
        <f>FME_Ranking_Option2!$T343/($T$3)</f>
        <v>#N/A</v>
      </c>
      <c r="W343" s="48" t="e">
        <f>FME_Ranking_Option2!$V343*T$4</f>
        <v>#N/A</v>
      </c>
      <c r="X343" s="50" t="e">
        <f>_xlfn.XLOOKUP(FME_Ranking2[[#This Row],[FME ID]],FME_Input[FME_ID],FME_Input[LWC])</f>
        <v>#N/A</v>
      </c>
      <c r="Y343" s="48" t="e">
        <f>FME_Ranking_Option2!$X343*X$4</f>
        <v>#N/A</v>
      </c>
      <c r="Z343" s="48" t="e">
        <f>FME_Ranking_Option2!$X343/($X$3)</f>
        <v>#N/A</v>
      </c>
      <c r="AA343" s="48" t="e">
        <f>FME_Ranking_Option2!$Z343*X$4</f>
        <v>#N/A</v>
      </c>
      <c r="AB343" s="50" t="e">
        <f>_xlfn.XLOOKUP(FME_Ranking2[[#This Row],[FME ID]],FME_Input[FME_ID],FME_Input[ROADCLS])</f>
        <v>#N/A</v>
      </c>
      <c r="AC343" s="48" t="e">
        <f>FME_Ranking_Option2!$AB343*AB$4</f>
        <v>#N/A</v>
      </c>
      <c r="AD343" s="53" t="e">
        <f>_xlfn.XLOOKUP(FME_Ranking2[[#This Row],[FME ID]],FME_Input[FME_ID],FME_Input[ROAD_MILES100])</f>
        <v>#N/A</v>
      </c>
      <c r="AE343" s="54" t="e">
        <f>FME_Ranking_Option2!$AD343*AD$4</f>
        <v>#N/A</v>
      </c>
      <c r="AF343" s="55" t="e">
        <f>FME_Ranking_Option2!$AD343/($AD$3)</f>
        <v>#N/A</v>
      </c>
      <c r="AG343" s="55" t="e">
        <f>FME_Ranking_Option2!$AF343*AD$4</f>
        <v>#N/A</v>
      </c>
      <c r="AH343" s="53" t="e">
        <f>_xlfn.XLOOKUP(FME_Ranking2[[#This Row],[FME ID]],FME_Input[FME_ID],FME_Input[FARMACRE100])</f>
        <v>#N/A</v>
      </c>
      <c r="AI343" s="54" t="e">
        <f>FME_Ranking_Option2!$AH343*AH$4</f>
        <v>#N/A</v>
      </c>
      <c r="AJ343" s="56" t="e">
        <f>FME_Ranking_Option2!$AH343/($AH$3)</f>
        <v>#N/A</v>
      </c>
      <c r="AK343" s="57" t="e">
        <f>FME_Ranking_Option2!$AJ343*AH$4</f>
        <v>#N/A</v>
      </c>
      <c r="AL343"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#N/A</v>
      </c>
      <c r="AM343" s="45" t="e">
        <f>_xlfn.RANK.EQ(AL343,$AL$7:$AL$531)+COUNTIF(AL$7:AL343,AL343)-1</f>
        <v>#N/A</v>
      </c>
      <c r="AN343" s="57"/>
      <c r="AO343" s="45" t="e">
        <f>_xlfn.RANK.EQ(AN343,$AN$7:$AN$531)+COUNTIF(AN$7:AN343,AN343)-1</f>
        <v>#N/A</v>
      </c>
      <c r="AP34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#N/A</v>
      </c>
      <c r="AQ343" s="32" t="e">
        <f>FME_Ranking2[[#This Row],[Score Based on Reported Factors]]-FME_Ranking2[[#This Row],[Check]]</f>
        <v>#N/A</v>
      </c>
      <c r="AR343" s="32"/>
      <c r="AT343" s="19"/>
      <c r="AU343" s="19"/>
      <c r="AV343" s="19"/>
      <c r="AW343" s="19"/>
      <c r="AX343" s="19"/>
      <c r="AY343" s="19"/>
      <c r="AZ343" s="19"/>
      <c r="BA343" s="19"/>
      <c r="BB343" s="19"/>
      <c r="BC343" s="19"/>
    </row>
    <row r="344" spans="1:55" ht="12" customHeight="1" x14ac:dyDescent="0.25">
      <c r="A344" s="17" t="s">
        <v>2169</v>
      </c>
      <c r="B344" s="17" t="str">
        <f>_xlfn.XLOOKUP(FME_Ranking2[[#This Row],[FME ID]],FME_Input[FME_ID],FME_Input[FME_NAME])</f>
        <v>Spring Shadows South</v>
      </c>
      <c r="C344" s="17" t="str">
        <f>_xlfn.XLOOKUP(FME_Ranking2[[#This Row],[FME ID]],FME_Input[FME_ID],FME_Input[DESCR])</f>
        <v>Study to develop a Benefit Cost Analysis needed to elevate project to a FMP. FIF application information unavailable.</v>
      </c>
      <c r="D344" s="33" t="str">
        <f>_xlfn.XLOOKUP(FME_Ranking2[[#This Row],[FME ID]],FME_Input[FME_ID],FME_Input[EMER_NEED])</f>
        <v>No</v>
      </c>
      <c r="E344" s="120">
        <f>IF(FME_Ranking_Option2!$D344="Yes",100,0)</f>
        <v>0</v>
      </c>
      <c r="F344" s="34" t="str">
        <f>_xlfn.XLOOKUP(FME_Ranking2[[#This Row],[FME ID]],FME_Input[FME_ID],FME_Input[FUND])</f>
        <v>Yes</v>
      </c>
      <c r="G344" s="35">
        <f>IF(FME_Ranking_Option2!$F344="Yes",1,0)</f>
        <v>1</v>
      </c>
      <c r="H344" s="33">
        <f>_xlfn.XLOOKUP(FME_Ranking2[[#This Row],[FME ID]],FME_Input[FME_ID],FME_Input[STRUCT_100])</f>
        <v>1006</v>
      </c>
      <c r="I344" s="64" t="e">
        <f>FME_Ranking2[[#This Row],[Raw Data3]]*H$4</f>
        <v>#REF!</v>
      </c>
      <c r="J344" s="63">
        <f>((FME_Ranking_Option2!$H344)/($H$3))*100</f>
        <v>0.11179405002283666</v>
      </c>
      <c r="K344" s="36" t="e">
        <f>FME_Ranking2[[#This Row],[Norm Data3]]*H$4</f>
        <v>#REF!</v>
      </c>
      <c r="L344" s="37">
        <f>_xlfn.XLOOKUP(FME_Ranking2[[#This Row],[FME ID]],FME_Input[FME_ID],FME_Input[RES_STRUCT100])</f>
        <v>935</v>
      </c>
      <c r="M344" s="38" t="e">
        <f>FME_Ranking2[[#This Row],[Raw Data4]]*L$4</f>
        <v>#REF!</v>
      </c>
      <c r="N344" s="28">
        <f>((FME_Ranking_Option2!$L344)/($L$3))*100</f>
        <v>0.13978528382392735</v>
      </c>
      <c r="O344" s="39" t="e">
        <f>FME_Ranking2[[#This Row],[Norm Data4]]*L$4</f>
        <v>#REF!</v>
      </c>
      <c r="P344" s="34">
        <f>_xlfn.XLOOKUP(FME_Ranking2[[#This Row],[FME ID]],FME_Input[FME_ID],FME_Input[POP100])</f>
        <v>4553</v>
      </c>
      <c r="Q344" s="35" t="e">
        <f>FME_Ranking_Option2!$P344*P$4</f>
        <v>#REF!</v>
      </c>
      <c r="R344" s="35">
        <f>FME_Ranking_Option2!$P344/($P$3)</f>
        <v>1.6710476767922932E-3</v>
      </c>
      <c r="S344" s="35" t="e">
        <f>FME_Ranking_Option2!$R344*P$4</f>
        <v>#REF!</v>
      </c>
      <c r="T344" s="37">
        <f>_xlfn.XLOOKUP(FME_Ranking2[[#This Row],[FME ID]],FME_Input[FME_ID],FME_Input[CRITFAC100])</f>
        <v>6</v>
      </c>
      <c r="U344" s="35" t="e">
        <f>FME_Ranking_Option2!$T344*T$4</f>
        <v>#REF!</v>
      </c>
      <c r="V344" s="35">
        <f>FME_Ranking_Option2!$T344/($T$3)</f>
        <v>8.4614299816669018E-4</v>
      </c>
      <c r="W344" s="35" t="e">
        <f>FME_Ranking_Option2!$V344*T$4</f>
        <v>#REF!</v>
      </c>
      <c r="X344" s="37">
        <f>_xlfn.XLOOKUP(FME_Ranking2[[#This Row],[FME ID]],FME_Input[FME_ID],FME_Input[LWC])</f>
        <v>0</v>
      </c>
      <c r="Y344" s="35" t="e">
        <f>FME_Ranking_Option2!$X344*X$4</f>
        <v>#REF!</v>
      </c>
      <c r="Z344" s="35">
        <f>FME_Ranking_Option2!$X344/($X$3)</f>
        <v>0</v>
      </c>
      <c r="AA344" s="35" t="e">
        <f>FME_Ranking_Option2!$Z344*X$4</f>
        <v>#REF!</v>
      </c>
      <c r="AB344" s="37">
        <f>_xlfn.XLOOKUP(FME_Ranking2[[#This Row],[FME ID]],FME_Input[FME_ID],FME_Input[ROADCLS])</f>
        <v>0</v>
      </c>
      <c r="AC344" s="35" t="e">
        <f>FME_Ranking_Option2!$AB344*AB$4</f>
        <v>#REF!</v>
      </c>
      <c r="AD344" s="40">
        <f>_xlfn.XLOOKUP(FME_Ranking2[[#This Row],[FME ID]],FME_Input[FME_ID],FME_Input[ROAD_MILES100])</f>
        <v>11.760966300964361</v>
      </c>
      <c r="AE344" s="41" t="e">
        <f>FME_Ranking_Option2!$AD344*AD$4</f>
        <v>#REF!</v>
      </c>
      <c r="AF344" s="42">
        <f>FME_Ranking_Option2!$AD344/($AD$3)</f>
        <v>2.6564827311106756E-4</v>
      </c>
      <c r="AG344" s="42" t="e">
        <f>FME_Ranking_Option2!$AF344*AD$4</f>
        <v>#REF!</v>
      </c>
      <c r="AH344" s="40">
        <f>_xlfn.XLOOKUP(FME_Ranking2[[#This Row],[FME ID]],FME_Input[FME_ID],FME_Input[FARMACRE100])</f>
        <v>0</v>
      </c>
      <c r="AI344" s="43" t="e">
        <f>FME_Ranking_Option2!$AH344*AH$4</f>
        <v>#REF!</v>
      </c>
      <c r="AJ344" s="41">
        <f>FME_Ranking_Option2!$AH344/($AH$3)</f>
        <v>0</v>
      </c>
      <c r="AK344" s="44" t="e">
        <f>FME_Ranking_Option2!$AJ344*AH$4</f>
        <v>#REF!</v>
      </c>
      <c r="AL344"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44" s="58" t="e">
        <f>_xlfn.RANK.EQ(AL344,$AL$7:$AL$531)+COUNTIF(AL$7:AL344,AL344)-1</f>
        <v>#REF!</v>
      </c>
      <c r="AN344" s="44"/>
      <c r="AO344" s="58" t="e">
        <f>_xlfn.RANK.EQ(AN344,$AN$7:$AN$531)+COUNTIF(AN$7:AN344,AN344)-1</f>
        <v>#N/A</v>
      </c>
      <c r="AP34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44" s="32" t="e">
        <f>FME_Ranking2[[#This Row],[Score Based on Reported Factors]]-FME_Ranking2[[#This Row],[Check]]</f>
        <v>#REF!</v>
      </c>
      <c r="AR344" s="32"/>
    </row>
    <row r="345" spans="1:55" ht="12" customHeight="1" x14ac:dyDescent="0.25">
      <c r="A345" s="16" t="s">
        <v>2115</v>
      </c>
      <c r="B345" s="16" t="e">
        <f>_xlfn.XLOOKUP(FME_Ranking2[[#This Row],[FME ID]],FME_Input[FME_ID],FME_Input[FME_NAME])</f>
        <v>#N/A</v>
      </c>
      <c r="C345" s="16" t="e">
        <f>_xlfn.XLOOKUP(FME_Ranking2[[#This Row],[FME ID]],FME_Input[FME_ID],FME_Input[DESCR])</f>
        <v>#N/A</v>
      </c>
      <c r="D345" s="46" t="e">
        <f>_xlfn.XLOOKUP(FME_Ranking2[[#This Row],[FME ID]],FME_Input[FME_ID],FME_Input[EMER_NEED])</f>
        <v>#N/A</v>
      </c>
      <c r="E345" s="121" t="e">
        <f>IF(FME_Ranking_Option2!$D345="Yes",100,0)</f>
        <v>#N/A</v>
      </c>
      <c r="F345" s="47" t="e">
        <f>_xlfn.XLOOKUP(FME_Ranking2[[#This Row],[FME ID]],FME_Input[FME_ID],FME_Input[FUND])</f>
        <v>#N/A</v>
      </c>
      <c r="G345" s="48" t="e">
        <f>IF(FME_Ranking_Option2!$F345="Yes",1,0)</f>
        <v>#N/A</v>
      </c>
      <c r="H345" s="46" t="e">
        <f>_xlfn.XLOOKUP(FME_Ranking2[[#This Row],[FME ID]],FME_Input[FME_ID],FME_Input[STRUCT_100])</f>
        <v>#N/A</v>
      </c>
      <c r="I345" s="65" t="e">
        <f>FME_Ranking2[[#This Row],[Raw Data3]]*H$4</f>
        <v>#N/A</v>
      </c>
      <c r="J345" s="62" t="e">
        <f>((FME_Ranking_Option2!$H345)/($H$3))*100</f>
        <v>#N/A</v>
      </c>
      <c r="K345" s="49" t="e">
        <f>FME_Ranking2[[#This Row],[Norm Data3]]*H$4</f>
        <v>#N/A</v>
      </c>
      <c r="L345" s="50" t="e">
        <f>_xlfn.XLOOKUP(FME_Ranking2[[#This Row],[FME ID]],FME_Input[FME_ID],FME_Input[RES_STRUCT100])</f>
        <v>#N/A</v>
      </c>
      <c r="M345" s="51" t="e">
        <f>FME_Ranking2[[#This Row],[Raw Data4]]*L$4</f>
        <v>#N/A</v>
      </c>
      <c r="N345" s="29" t="e">
        <f>((FME_Ranking_Option2!$L345)/($L$3))*100</f>
        <v>#N/A</v>
      </c>
      <c r="O345" s="52" t="e">
        <f>FME_Ranking2[[#This Row],[Norm Data4]]*L$4</f>
        <v>#N/A</v>
      </c>
      <c r="P345" s="47" t="e">
        <f>_xlfn.XLOOKUP(FME_Ranking2[[#This Row],[FME ID]],FME_Input[FME_ID],FME_Input[POP100])</f>
        <v>#N/A</v>
      </c>
      <c r="Q345" s="48" t="e">
        <f>FME_Ranking_Option2!$P345*P$4</f>
        <v>#N/A</v>
      </c>
      <c r="R345" s="48" t="e">
        <f>FME_Ranking_Option2!$P345/($P$3)</f>
        <v>#N/A</v>
      </c>
      <c r="S345" s="48" t="e">
        <f>FME_Ranking_Option2!$R345*P$4</f>
        <v>#N/A</v>
      </c>
      <c r="T345" s="50" t="e">
        <f>_xlfn.XLOOKUP(FME_Ranking2[[#This Row],[FME ID]],FME_Input[FME_ID],FME_Input[CRITFAC100])</f>
        <v>#N/A</v>
      </c>
      <c r="U345" s="48" t="e">
        <f>FME_Ranking_Option2!$T345*T$4</f>
        <v>#N/A</v>
      </c>
      <c r="V345" s="48" t="e">
        <f>FME_Ranking_Option2!$T345/($T$3)</f>
        <v>#N/A</v>
      </c>
      <c r="W345" s="48" t="e">
        <f>FME_Ranking_Option2!$V345*T$4</f>
        <v>#N/A</v>
      </c>
      <c r="X345" s="50" t="e">
        <f>_xlfn.XLOOKUP(FME_Ranking2[[#This Row],[FME ID]],FME_Input[FME_ID],FME_Input[LWC])</f>
        <v>#N/A</v>
      </c>
      <c r="Y345" s="48" t="e">
        <f>FME_Ranking_Option2!$X345*X$4</f>
        <v>#N/A</v>
      </c>
      <c r="Z345" s="48" t="e">
        <f>FME_Ranking_Option2!$X345/($X$3)</f>
        <v>#N/A</v>
      </c>
      <c r="AA345" s="48" t="e">
        <f>FME_Ranking_Option2!$Z345*X$4</f>
        <v>#N/A</v>
      </c>
      <c r="AB345" s="50" t="e">
        <f>_xlfn.XLOOKUP(FME_Ranking2[[#This Row],[FME ID]],FME_Input[FME_ID],FME_Input[ROADCLS])</f>
        <v>#N/A</v>
      </c>
      <c r="AC345" s="48" t="e">
        <f>FME_Ranking_Option2!$AB345*AB$4</f>
        <v>#N/A</v>
      </c>
      <c r="AD345" s="53" t="e">
        <f>_xlfn.XLOOKUP(FME_Ranking2[[#This Row],[FME ID]],FME_Input[FME_ID],FME_Input[ROAD_MILES100])</f>
        <v>#N/A</v>
      </c>
      <c r="AE345" s="54" t="e">
        <f>FME_Ranking_Option2!$AD345*AD$4</f>
        <v>#N/A</v>
      </c>
      <c r="AF345" s="55" t="e">
        <f>FME_Ranking_Option2!$AD345/($AD$3)</f>
        <v>#N/A</v>
      </c>
      <c r="AG345" s="55" t="e">
        <f>FME_Ranking_Option2!$AF345*AD$4</f>
        <v>#N/A</v>
      </c>
      <c r="AH345" s="53" t="e">
        <f>_xlfn.XLOOKUP(FME_Ranking2[[#This Row],[FME ID]],FME_Input[FME_ID],FME_Input[FARMACRE100])</f>
        <v>#N/A</v>
      </c>
      <c r="AI345" s="54" t="e">
        <f>FME_Ranking_Option2!$AH345*AH$4</f>
        <v>#N/A</v>
      </c>
      <c r="AJ345" s="56" t="e">
        <f>FME_Ranking_Option2!$AH345/($AH$3)</f>
        <v>#N/A</v>
      </c>
      <c r="AK345" s="57" t="e">
        <f>FME_Ranking_Option2!$AJ345*AH$4</f>
        <v>#N/A</v>
      </c>
      <c r="AL345"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#N/A</v>
      </c>
      <c r="AM345" s="45" t="e">
        <f>_xlfn.RANK.EQ(AL345,$AL$7:$AL$531)+COUNTIF(AL$7:AL345,AL345)-1</f>
        <v>#N/A</v>
      </c>
      <c r="AN345" s="57"/>
      <c r="AO345" s="45" t="e">
        <f>_xlfn.RANK.EQ(AN345,$AN$7:$AN$531)+COUNTIF(AN$7:AN345,AN345)-1</f>
        <v>#N/A</v>
      </c>
      <c r="AP34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#N/A</v>
      </c>
      <c r="AQ345" s="32" t="e">
        <f>FME_Ranking2[[#This Row],[Score Based on Reported Factors]]-FME_Ranking2[[#This Row],[Check]]</f>
        <v>#N/A</v>
      </c>
      <c r="AR345" s="32"/>
      <c r="AT345" s="19"/>
      <c r="AU345" s="19"/>
      <c r="AV345" s="19"/>
      <c r="AW345" s="19"/>
      <c r="AX345" s="19"/>
      <c r="AY345" s="19"/>
      <c r="AZ345" s="19"/>
      <c r="BA345" s="19"/>
      <c r="BB345" s="19"/>
      <c r="BC345" s="19"/>
    </row>
    <row r="346" spans="1:55" ht="12" customHeight="1" x14ac:dyDescent="0.25">
      <c r="A346" s="17" t="s">
        <v>2116</v>
      </c>
      <c r="B346" s="17" t="str">
        <f>_xlfn.XLOOKUP(FME_Ranking2[[#This Row],[FME ID]],FME_Input[FME_ID],FME_Input[FME_NAME])</f>
        <v>City of Southside Place - Auden Street Drainage Improvement Project</v>
      </c>
      <c r="C346" s="17" t="str">
        <f>_xlfn.XLOOKUP(FME_Ranking2[[#This Row],[FME ID]],FME_Input[FME_ID],FME_Input[DESCR])</f>
        <v xml:space="preserve">This project provides for design and construction of a new stormwater conveyance system for the City of Southside Place, that will have the capacity to covey a City standard storm event (2-year storm). </v>
      </c>
      <c r="D346" s="33" t="str">
        <f>_xlfn.XLOOKUP(FME_Ranking2[[#This Row],[FME ID]],FME_Input[FME_ID],FME_Input[EMER_NEED])</f>
        <v>No</v>
      </c>
      <c r="E346" s="120">
        <f>IF(FME_Ranking_Option2!$D346="Yes",100,0)</f>
        <v>0</v>
      </c>
      <c r="F346" s="34" t="str">
        <f>_xlfn.XLOOKUP(FME_Ranking2[[#This Row],[FME ID]],FME_Input[FME_ID],FME_Input[FUND])</f>
        <v>Yes</v>
      </c>
      <c r="G346" s="35">
        <f>IF(FME_Ranking_Option2!$F346="Yes",1,0)</f>
        <v>1</v>
      </c>
      <c r="H346" s="33">
        <f>_xlfn.XLOOKUP(FME_Ranking2[[#This Row],[FME ID]],FME_Input[FME_ID],FME_Input[STRUCT_100])</f>
        <v>8855</v>
      </c>
      <c r="I346" s="64" t="e">
        <f>FME_Ranking2[[#This Row],[Raw Data3]]*H$4</f>
        <v>#REF!</v>
      </c>
      <c r="J346" s="63">
        <f>((FME_Ranking_Option2!$H346)/($H$3))*100</f>
        <v>0.98403212023083353</v>
      </c>
      <c r="K346" s="36" t="e">
        <f>FME_Ranking2[[#This Row],[Norm Data3]]*H$4</f>
        <v>#REF!</v>
      </c>
      <c r="L346" s="37">
        <f>_xlfn.XLOOKUP(FME_Ranking2[[#This Row],[FME ID]],FME_Input[FME_ID],FME_Input[RES_STRUCT100])</f>
        <v>8148</v>
      </c>
      <c r="M346" s="38" t="e">
        <f>FME_Ranking2[[#This Row],[Raw Data4]]*L$4</f>
        <v>#REF!</v>
      </c>
      <c r="N346" s="28">
        <f>((FME_Ranking_Option2!$L346)/($L$3))*100</f>
        <v>1.2181502594624172</v>
      </c>
      <c r="O346" s="39" t="e">
        <f>FME_Ranking2[[#This Row],[Norm Data4]]*L$4</f>
        <v>#REF!</v>
      </c>
      <c r="P346" s="34">
        <f>_xlfn.XLOOKUP(FME_Ranking2[[#This Row],[FME ID]],FME_Input[FME_ID],FME_Input[POP100])</f>
        <v>93959</v>
      </c>
      <c r="Q346" s="35" t="e">
        <f>FME_Ranking_Option2!$P346*P$4</f>
        <v>#REF!</v>
      </c>
      <c r="R346" s="35">
        <f>FME_Ranking_Option2!$P346/($P$3)</f>
        <v>3.4484948092186926E-2</v>
      </c>
      <c r="S346" s="35" t="e">
        <f>FME_Ranking_Option2!$R346*P$4</f>
        <v>#REF!</v>
      </c>
      <c r="T346" s="37">
        <f>_xlfn.XLOOKUP(FME_Ranking2[[#This Row],[FME ID]],FME_Input[FME_ID],FME_Input[CRITFAC100])</f>
        <v>146</v>
      </c>
      <c r="U346" s="35" t="e">
        <f>FME_Ranking_Option2!$T346*T$4</f>
        <v>#REF!</v>
      </c>
      <c r="V346" s="35">
        <f>FME_Ranking_Option2!$T346/($T$3)</f>
        <v>2.0589479622056126E-2</v>
      </c>
      <c r="W346" s="35" t="e">
        <f>FME_Ranking_Option2!$V346*T$4</f>
        <v>#REF!</v>
      </c>
      <c r="X346" s="37">
        <f>_xlfn.XLOOKUP(FME_Ranking2[[#This Row],[FME ID]],FME_Input[FME_ID],FME_Input[LWC])</f>
        <v>1</v>
      </c>
      <c r="Y346" s="35" t="e">
        <f>FME_Ranking_Option2!$X346*X$4</f>
        <v>#REF!</v>
      </c>
      <c r="Z346" s="35">
        <f>FME_Ranking_Option2!$X346/($X$3)</f>
        <v>9.1224229155263632E-5</v>
      </c>
      <c r="AA346" s="35" t="e">
        <f>FME_Ranking_Option2!$Z346*X$4</f>
        <v>#REF!</v>
      </c>
      <c r="AB346" s="37">
        <f>_xlfn.XLOOKUP(FME_Ranking2[[#This Row],[FME ID]],FME_Input[FME_ID],FME_Input[ROADCLS])</f>
        <v>1</v>
      </c>
      <c r="AC346" s="35" t="e">
        <f>FME_Ranking_Option2!$AB346*AB$4</f>
        <v>#REF!</v>
      </c>
      <c r="AD346" s="40">
        <f>_xlfn.XLOOKUP(FME_Ranking2[[#This Row],[FME ID]],FME_Input[FME_ID],FME_Input[ROAD_MILES100])</f>
        <v>124.9714279174805</v>
      </c>
      <c r="AE346" s="41" t="e">
        <f>FME_Ranking_Option2!$AD346*AD$4</f>
        <v>#REF!</v>
      </c>
      <c r="AF346" s="42">
        <f>FME_Ranking_Option2!$AD346/($AD$3)</f>
        <v>2.8227649977860059E-3</v>
      </c>
      <c r="AG346" s="42" t="e">
        <f>FME_Ranking_Option2!$AF346*AD$4</f>
        <v>#REF!</v>
      </c>
      <c r="AH346" s="40">
        <f>_xlfn.XLOOKUP(FME_Ranking2[[#This Row],[FME ID]],FME_Input[FME_ID],FME_Input[FARMACRE100])</f>
        <v>8.6752443313598633</v>
      </c>
      <c r="AI346" s="43" t="e">
        <f>FME_Ranking_Option2!$AH346*AH$4</f>
        <v>#REF!</v>
      </c>
      <c r="AJ346" s="41">
        <f>FME_Ranking_Option2!$AH346/($AH$3)</f>
        <v>5.0373621406356263E-4</v>
      </c>
      <c r="AK346" s="44" t="e">
        <f>FME_Ranking_Option2!$AJ346*AH$4</f>
        <v>#REF!</v>
      </c>
      <c r="AL346"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46" s="58" t="e">
        <f>_xlfn.RANK.EQ(AL346,$AL$7:$AL$531)+COUNTIF(AL$7:AL346,AL346)-1</f>
        <v>#REF!</v>
      </c>
      <c r="AN346" s="44"/>
      <c r="AO346" s="58" t="e">
        <f>_xlfn.RANK.EQ(AN346,$AN$7:$AN$531)+COUNTIF(AN$7:AN346,AN346)-1</f>
        <v>#N/A</v>
      </c>
      <c r="AP34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46" s="32" t="e">
        <f>FME_Ranking2[[#This Row],[Score Based on Reported Factors]]-FME_Ranking2[[#This Row],[Check]]</f>
        <v>#REF!</v>
      </c>
      <c r="AR346" s="32"/>
    </row>
    <row r="347" spans="1:55" ht="12" customHeight="1" x14ac:dyDescent="0.25">
      <c r="A347" s="16" t="s">
        <v>2172</v>
      </c>
      <c r="B347" s="16" t="str">
        <f>_xlfn.XLOOKUP(FME_Ranking2[[#This Row],[FME ID]],FME_Input[FME_ID],FME_Input[FME_NAME])</f>
        <v>Unincorporated Areas of Bacliff and San Leon Roadside Ditches &amp; Driveway Culverts Improvements</v>
      </c>
      <c r="C347" s="16" t="str">
        <f>_xlfn.XLOOKUP(FME_Ranking2[[#This Row],[FME ID]],FME_Input[FME_ID],FME_Input[DESCR])</f>
        <v xml:space="preserve">Further study of this unfunded CDBG-MIT project consists of various areas of roadside ditch and driveway culvert improvements in Bacliff and San Leon. </v>
      </c>
      <c r="D347" s="46" t="str">
        <f>_xlfn.XLOOKUP(FME_Ranking2[[#This Row],[FME ID]],FME_Input[FME_ID],FME_Input[EMER_NEED])</f>
        <v>No</v>
      </c>
      <c r="E347" s="121">
        <f>IF(FME_Ranking_Option2!$D347="Yes",100,0)</f>
        <v>0</v>
      </c>
      <c r="F347" s="47" t="str">
        <f>_xlfn.XLOOKUP(FME_Ranking2[[#This Row],[FME ID]],FME_Input[FME_ID],FME_Input[FUND])</f>
        <v>Yes</v>
      </c>
      <c r="G347" s="48">
        <f>IF(FME_Ranking_Option2!$F347="Yes",1,0)</f>
        <v>1</v>
      </c>
      <c r="H347" s="46">
        <f>_xlfn.XLOOKUP(FME_Ranking2[[#This Row],[FME ID]],FME_Input[FME_ID],FME_Input[STRUCT_100])</f>
        <v>3337</v>
      </c>
      <c r="I347" s="65" t="e">
        <f>FME_Ranking2[[#This Row],[Raw Data3]]*H$4</f>
        <v>#REF!</v>
      </c>
      <c r="J347" s="62">
        <f>((FME_Ranking_Option2!$H347)/($H$3))*100</f>
        <v>0.37083175439980709</v>
      </c>
      <c r="K347" s="49" t="e">
        <f>FME_Ranking2[[#This Row],[Norm Data3]]*H$4</f>
        <v>#REF!</v>
      </c>
      <c r="L347" s="50">
        <f>_xlfn.XLOOKUP(FME_Ranking2[[#This Row],[FME ID]],FME_Input[FME_ID],FME_Input[RES_STRUCT100])</f>
        <v>2777</v>
      </c>
      <c r="M347" s="51" t="e">
        <f>FME_Ranking2[[#This Row],[Raw Data4]]*L$4</f>
        <v>#REF!</v>
      </c>
      <c r="N347" s="29">
        <f>((FME_Ranking_Option2!$L347)/($L$3))*100</f>
        <v>0.41516976810593187</v>
      </c>
      <c r="O347" s="52" t="e">
        <f>FME_Ranking2[[#This Row],[Norm Data4]]*L$4</f>
        <v>#REF!</v>
      </c>
      <c r="P347" s="47">
        <f>_xlfn.XLOOKUP(FME_Ranking2[[#This Row],[FME ID]],FME_Input[FME_ID],FME_Input[POP100])</f>
        <v>5906</v>
      </c>
      <c r="Q347" s="48" t="e">
        <f>FME_Ranking_Option2!$P347*P$4</f>
        <v>#REF!</v>
      </c>
      <c r="R347" s="48">
        <f>FME_Ranking_Option2!$P347/($P$3)</f>
        <v>2.167627405915942E-3</v>
      </c>
      <c r="S347" s="48" t="e">
        <f>FME_Ranking_Option2!$R347*P$4</f>
        <v>#REF!</v>
      </c>
      <c r="T347" s="50">
        <f>_xlfn.XLOOKUP(FME_Ranking2[[#This Row],[FME ID]],FME_Input[FME_ID],FME_Input[CRITFAC100])</f>
        <v>5</v>
      </c>
      <c r="U347" s="48" t="e">
        <f>FME_Ranking_Option2!$T347*T$4</f>
        <v>#REF!</v>
      </c>
      <c r="V347" s="48">
        <f>FME_Ranking_Option2!$T347/($T$3)</f>
        <v>7.0511916513890844E-4</v>
      </c>
      <c r="W347" s="48" t="e">
        <f>FME_Ranking_Option2!$V347*T$4</f>
        <v>#REF!</v>
      </c>
      <c r="X347" s="50">
        <f>_xlfn.XLOOKUP(FME_Ranking2[[#This Row],[FME ID]],FME_Input[FME_ID],FME_Input[LWC])</f>
        <v>0</v>
      </c>
      <c r="Y347" s="48" t="e">
        <f>FME_Ranking_Option2!$X347*X$4</f>
        <v>#REF!</v>
      </c>
      <c r="Z347" s="48">
        <f>FME_Ranking_Option2!$X347/($X$3)</f>
        <v>0</v>
      </c>
      <c r="AA347" s="48" t="e">
        <f>FME_Ranking_Option2!$Z347*X$4</f>
        <v>#REF!</v>
      </c>
      <c r="AB347" s="50">
        <f>_xlfn.XLOOKUP(FME_Ranking2[[#This Row],[FME ID]],FME_Input[FME_ID],FME_Input[ROADCLS])</f>
        <v>0</v>
      </c>
      <c r="AC347" s="48" t="e">
        <f>FME_Ranking_Option2!$AB347*AB$4</f>
        <v>#REF!</v>
      </c>
      <c r="AD347" s="53">
        <f>_xlfn.XLOOKUP(FME_Ranking2[[#This Row],[FME ID]],FME_Input[FME_ID],FME_Input[ROAD_MILES100])</f>
        <v>50.356361389160163</v>
      </c>
      <c r="AE347" s="54" t="e">
        <f>FME_Ranking_Option2!$AD347*AD$4</f>
        <v>#REF!</v>
      </c>
      <c r="AF347" s="55">
        <f>FME_Ranking_Option2!$AD347/($AD$3)</f>
        <v>1.137413380913298E-3</v>
      </c>
      <c r="AG347" s="55" t="e">
        <f>FME_Ranking_Option2!$AF347*AD$4</f>
        <v>#REF!</v>
      </c>
      <c r="AH347" s="53">
        <f>_xlfn.XLOOKUP(FME_Ranking2[[#This Row],[FME ID]],FME_Input[FME_ID],FME_Input[FARMACRE100])</f>
        <v>48.622146606445313</v>
      </c>
      <c r="AI347" s="54" t="e">
        <f>FME_Ranking_Option2!$AH347*AH$4</f>
        <v>#REF!</v>
      </c>
      <c r="AJ347" s="56">
        <f>FME_Ranking_Option2!$AH347/($AH$3)</f>
        <v>2.8232906320155449E-3</v>
      </c>
      <c r="AK347" s="57" t="e">
        <f>FME_Ranking_Option2!$AJ347*AH$4</f>
        <v>#REF!</v>
      </c>
      <c r="AL347"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47" s="45" t="e">
        <f>_xlfn.RANK.EQ(AL347,$AL$7:$AL$531)+COUNTIF(AL$7:AL347,AL347)-1</f>
        <v>#REF!</v>
      </c>
      <c r="AN347" s="57"/>
      <c r="AO347" s="45" t="e">
        <f>_xlfn.RANK.EQ(AN347,$AN$7:$AN$531)+COUNTIF(AN$7:AN347,AN347)-1</f>
        <v>#N/A</v>
      </c>
      <c r="AP34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47" s="32" t="e">
        <f>FME_Ranking2[[#This Row],[Score Based on Reported Factors]]-FME_Ranking2[[#This Row],[Check]]</f>
        <v>#REF!</v>
      </c>
      <c r="AR347" s="32"/>
      <c r="AT347" s="19"/>
      <c r="AU347" s="19"/>
      <c r="AV347" s="19"/>
      <c r="AW347" s="19"/>
      <c r="AX347" s="19"/>
      <c r="AY347" s="19"/>
      <c r="AZ347" s="19"/>
      <c r="BA347" s="19"/>
      <c r="BB347" s="19"/>
      <c r="BC347" s="19"/>
    </row>
    <row r="348" spans="1:55" ht="12" customHeight="1" x14ac:dyDescent="0.25">
      <c r="A348" s="17" t="s">
        <v>2176</v>
      </c>
      <c r="B348" s="17" t="str">
        <f>_xlfn.XLOOKUP(FME_Ranking2[[#This Row],[FME ID]],FME_Input[FME_ID],FME_Input[FME_NAME])</f>
        <v>Evaluation of Dredging of Channels that Exit Into Lake Houston</v>
      </c>
      <c r="C348" s="17" t="str">
        <f>_xlfn.XLOOKUP(FME_Ranking2[[#This Row],[FME ID]],FME_Input[FME_ID],FME_Input[DESCR])</f>
        <v>Study to develop a Benefit Cost Analysis needed for this project to become a FMP. FIF application information unavailable.</v>
      </c>
      <c r="D348" s="33" t="str">
        <f>_xlfn.XLOOKUP(FME_Ranking2[[#This Row],[FME ID]],FME_Input[FME_ID],FME_Input[EMER_NEED])</f>
        <v>No</v>
      </c>
      <c r="E348" s="120">
        <f>IF(FME_Ranking_Option2!$D348="Yes",100,0)</f>
        <v>0</v>
      </c>
      <c r="F348" s="34" t="str">
        <f>_xlfn.XLOOKUP(FME_Ranking2[[#This Row],[FME ID]],FME_Input[FME_ID],FME_Input[FUND])</f>
        <v>Yes</v>
      </c>
      <c r="G348" s="35">
        <f>IF(FME_Ranking_Option2!$F348="Yes",1,0)</f>
        <v>1</v>
      </c>
      <c r="H348" s="33">
        <f>_xlfn.XLOOKUP(FME_Ranking2[[#This Row],[FME ID]],FME_Input[FME_ID],FME_Input[STRUCT_100])</f>
        <v>6662</v>
      </c>
      <c r="I348" s="64" t="e">
        <f>FME_Ranking2[[#This Row],[Raw Data3]]*H$4</f>
        <v>#REF!</v>
      </c>
      <c r="J348" s="63">
        <f>((FME_Ranking_Option2!$H348)/($H$3))*100</f>
        <v>0.74032998136395411</v>
      </c>
      <c r="K348" s="36" t="e">
        <f>FME_Ranking2[[#This Row],[Norm Data3]]*H$4</f>
        <v>#REF!</v>
      </c>
      <c r="L348" s="37">
        <f>_xlfn.XLOOKUP(FME_Ranking2[[#This Row],[FME ID]],FME_Input[FME_ID],FME_Input[RES_STRUCT100])</f>
        <v>5121</v>
      </c>
      <c r="M348" s="38" t="e">
        <f>FME_Ranking2[[#This Row],[Raw Data4]]*L$4</f>
        <v>#REF!</v>
      </c>
      <c r="N348" s="28">
        <f>((FME_Ranking_Option2!$L348)/($L$3))*100</f>
        <v>0.76560474701853687</v>
      </c>
      <c r="O348" s="39" t="e">
        <f>FME_Ranking2[[#This Row],[Norm Data4]]*L$4</f>
        <v>#REF!</v>
      </c>
      <c r="P348" s="34">
        <f>_xlfn.XLOOKUP(FME_Ranking2[[#This Row],[FME ID]],FME_Input[FME_ID],FME_Input[POP100])</f>
        <v>25574</v>
      </c>
      <c r="Q348" s="35" t="e">
        <f>FME_Ranking_Option2!$P348*P$4</f>
        <v>#REF!</v>
      </c>
      <c r="R348" s="35">
        <f>FME_Ranking_Option2!$P348/($P$3)</f>
        <v>9.3862010292743471E-3</v>
      </c>
      <c r="S348" s="35" t="e">
        <f>FME_Ranking_Option2!$R348*P$4</f>
        <v>#REF!</v>
      </c>
      <c r="T348" s="37">
        <f>_xlfn.XLOOKUP(FME_Ranking2[[#This Row],[FME ID]],FME_Input[FME_ID],FME_Input[CRITFAC100])</f>
        <v>64</v>
      </c>
      <c r="U348" s="35" t="e">
        <f>FME_Ranking_Option2!$T348*T$4</f>
        <v>#REF!</v>
      </c>
      <c r="V348" s="35">
        <f>FME_Ranking_Option2!$T348/($T$3)</f>
        <v>9.0255253137780291E-3</v>
      </c>
      <c r="W348" s="35" t="e">
        <f>FME_Ranking_Option2!$V348*T$4</f>
        <v>#REF!</v>
      </c>
      <c r="X348" s="37">
        <f>_xlfn.XLOOKUP(FME_Ranking2[[#This Row],[FME ID]],FME_Input[FME_ID],FME_Input[LWC])</f>
        <v>1</v>
      </c>
      <c r="Y348" s="35" t="e">
        <f>FME_Ranking_Option2!$X348*X$4</f>
        <v>#REF!</v>
      </c>
      <c r="Z348" s="35">
        <f>FME_Ranking_Option2!$X348/($X$3)</f>
        <v>9.1224229155263632E-5</v>
      </c>
      <c r="AA348" s="35" t="e">
        <f>FME_Ranking_Option2!$Z348*X$4</f>
        <v>#REF!</v>
      </c>
      <c r="AB348" s="37">
        <f>_xlfn.XLOOKUP(FME_Ranking2[[#This Row],[FME ID]],FME_Input[FME_ID],FME_Input[ROADCLS])</f>
        <v>1</v>
      </c>
      <c r="AC348" s="35" t="e">
        <f>FME_Ranking_Option2!$AB348*AB$4</f>
        <v>#REF!</v>
      </c>
      <c r="AD348" s="40">
        <f>_xlfn.XLOOKUP(FME_Ranking2[[#This Row],[FME ID]],FME_Input[FME_ID],FME_Input[ROAD_MILES100])</f>
        <v>169.08082580566409</v>
      </c>
      <c r="AE348" s="41" t="e">
        <f>FME_Ranking_Option2!$AD348*AD$4</f>
        <v>#REF!</v>
      </c>
      <c r="AF348" s="42">
        <f>FME_Ranking_Option2!$AD348/($AD$3)</f>
        <v>3.8190764467869389E-3</v>
      </c>
      <c r="AG348" s="42" t="e">
        <f>FME_Ranking_Option2!$AF348*AD$4</f>
        <v>#REF!</v>
      </c>
      <c r="AH348" s="40">
        <f>_xlfn.XLOOKUP(FME_Ranking2[[#This Row],[FME ID]],FME_Input[FME_ID],FME_Input[FARMACRE100])</f>
        <v>326.65151977539063</v>
      </c>
      <c r="AI348" s="43" t="e">
        <f>FME_Ranking_Option2!$AH348*AH$4</f>
        <v>#REF!</v>
      </c>
      <c r="AJ348" s="41">
        <f>FME_Ranking_Option2!$AH348/($AH$3)</f>
        <v>1.8967327444018085E-2</v>
      </c>
      <c r="AK348" s="44" t="e">
        <f>FME_Ranking_Option2!$AJ348*AH$4</f>
        <v>#REF!</v>
      </c>
      <c r="AL348"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48" s="58" t="e">
        <f>_xlfn.RANK.EQ(AL348,$AL$7:$AL$531)+COUNTIF(AL$7:AL348,AL348)-1</f>
        <v>#REF!</v>
      </c>
      <c r="AN348" s="44"/>
      <c r="AO348" s="58" t="e">
        <f>_xlfn.RANK.EQ(AN348,$AN$7:$AN$531)+COUNTIF(AN$7:AN348,AN348)-1</f>
        <v>#N/A</v>
      </c>
      <c r="AP34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48" s="32" t="e">
        <f>FME_Ranking2[[#This Row],[Score Based on Reported Factors]]-FME_Ranking2[[#This Row],[Check]]</f>
        <v>#REF!</v>
      </c>
      <c r="AR348" s="32"/>
    </row>
    <row r="349" spans="1:55" ht="12" customHeight="1" x14ac:dyDescent="0.25">
      <c r="A349" s="16" t="s">
        <v>2194</v>
      </c>
      <c r="B349" s="16" t="str">
        <f>_xlfn.XLOOKUP(FME_Ranking2[[#This Row],[FME ID]],FME_Input[FME_ID],FME_Input[FME_NAME])</f>
        <v>Greens Bayou, Jackson Bayou, White Oak Bayou, Cypress Creek and San Jacinto River Areas Subdivision Drainage Mitigation Project</v>
      </c>
      <c r="C349" s="16" t="str">
        <f>_xlfn.XLOOKUP(FME_Ranking2[[#This Row],[FME ID]],FME_Input[FME_ID],FME_Input[DESCR])</f>
        <v>This proposed solution recommends establishing positive drainage and clear flow lines, which are expected to reduce the water surface elevation in the subdivision to mitigate the structural flood risk for all 1,445 beneficiaries.</v>
      </c>
      <c r="D349" s="46" t="str">
        <f>_xlfn.XLOOKUP(FME_Ranking2[[#This Row],[FME ID]],FME_Input[FME_ID],FME_Input[EMER_NEED])</f>
        <v>No</v>
      </c>
      <c r="E349" s="121">
        <f>IF(FME_Ranking_Option2!$D349="Yes",100,0)</f>
        <v>0</v>
      </c>
      <c r="F349" s="47" t="str">
        <f>_xlfn.XLOOKUP(FME_Ranking2[[#This Row],[FME ID]],FME_Input[FME_ID],FME_Input[FUND])</f>
        <v>Yes</v>
      </c>
      <c r="G349" s="48">
        <f>IF(FME_Ranking_Option2!$F349="Yes",1,0)</f>
        <v>1</v>
      </c>
      <c r="H349" s="46">
        <f>_xlfn.XLOOKUP(FME_Ranking2[[#This Row],[FME ID]],FME_Input[FME_ID],FME_Input[STRUCT_100])</f>
        <v>53765</v>
      </c>
      <c r="I349" s="65" t="e">
        <f>FME_Ranking2[[#This Row],[Raw Data3]]*H$4</f>
        <v>#REF!</v>
      </c>
      <c r="J349" s="62">
        <f>((FME_Ranking_Option2!$H349)/($H$3))*100</f>
        <v>5.9747585481886807</v>
      </c>
      <c r="K349" s="49" t="e">
        <f>FME_Ranking2[[#This Row],[Norm Data3]]*H$4</f>
        <v>#REF!</v>
      </c>
      <c r="L349" s="50">
        <f>_xlfn.XLOOKUP(FME_Ranking2[[#This Row],[FME ID]],FME_Input[FME_ID],FME_Input[RES_STRUCT100])</f>
        <v>42231</v>
      </c>
      <c r="M349" s="51" t="e">
        <f>FME_Ranking2[[#This Row],[Raw Data4]]*L$4</f>
        <v>#REF!</v>
      </c>
      <c r="N349" s="29">
        <f>((FME_Ranking_Option2!$L349)/($L$3))*100</f>
        <v>6.313660236543611</v>
      </c>
      <c r="O349" s="52" t="e">
        <f>FME_Ranking2[[#This Row],[Norm Data4]]*L$4</f>
        <v>#REF!</v>
      </c>
      <c r="P349" s="47">
        <f>_xlfn.XLOOKUP(FME_Ranking2[[#This Row],[FME ID]],FME_Input[FME_ID],FME_Input[POP100])</f>
        <v>335950</v>
      </c>
      <c r="Q349" s="48" t="e">
        <f>FME_Ranking_Option2!$P349*P$4</f>
        <v>#REF!</v>
      </c>
      <c r="R349" s="48">
        <f>FME_Ranking_Option2!$P349/($P$3)</f>
        <v>0.12330078344352534</v>
      </c>
      <c r="S349" s="48" t="e">
        <f>FME_Ranking_Option2!$R349*P$4</f>
        <v>#REF!</v>
      </c>
      <c r="T349" s="50">
        <f>_xlfn.XLOOKUP(FME_Ranking2[[#This Row],[FME ID]],FME_Input[FME_ID],FME_Input[CRITFAC100])</f>
        <v>937</v>
      </c>
      <c r="U349" s="48" t="e">
        <f>FME_Ranking_Option2!$T349*T$4</f>
        <v>#REF!</v>
      </c>
      <c r="V349" s="48">
        <f>FME_Ranking_Option2!$T349/($T$3)</f>
        <v>0.13213933154703145</v>
      </c>
      <c r="W349" s="48" t="e">
        <f>FME_Ranking_Option2!$V349*T$4</f>
        <v>#REF!</v>
      </c>
      <c r="X349" s="50">
        <f>_xlfn.XLOOKUP(FME_Ranking2[[#This Row],[FME ID]],FME_Input[FME_ID],FME_Input[LWC])</f>
        <v>47</v>
      </c>
      <c r="Y349" s="48" t="e">
        <f>FME_Ranking_Option2!$X349*X$4</f>
        <v>#REF!</v>
      </c>
      <c r="Z349" s="48">
        <f>FME_Ranking_Option2!$X349/($X$3)</f>
        <v>4.2875387702973906E-3</v>
      </c>
      <c r="AA349" s="48" t="e">
        <f>FME_Ranking_Option2!$Z349*X$4</f>
        <v>#REF!</v>
      </c>
      <c r="AB349" s="50">
        <f>_xlfn.XLOOKUP(FME_Ranking2[[#This Row],[FME ID]],FME_Input[FME_ID],FME_Input[ROADCLS])</f>
        <v>47</v>
      </c>
      <c r="AC349" s="48" t="e">
        <f>FME_Ranking_Option2!$AB349*AB$4</f>
        <v>#REF!</v>
      </c>
      <c r="AD349" s="53">
        <f>_xlfn.XLOOKUP(FME_Ranking2[[#This Row],[FME ID]],FME_Input[FME_ID],FME_Input[ROAD_MILES100])</f>
        <v>1051.7412109375</v>
      </c>
      <c r="AE349" s="54" t="e">
        <f>FME_Ranking_Option2!$AD349*AD$4</f>
        <v>#REF!</v>
      </c>
      <c r="AF349" s="55">
        <f>FME_Ranking_Option2!$AD349/($AD$3)</f>
        <v>2.3755976277423787E-2</v>
      </c>
      <c r="AG349" s="55" t="e">
        <f>FME_Ranking_Option2!$AF349*AD$4</f>
        <v>#REF!</v>
      </c>
      <c r="AH349" s="53">
        <f>_xlfn.XLOOKUP(FME_Ranking2[[#This Row],[FME ID]],FME_Input[FME_ID],FME_Input[FARMACRE100])</f>
        <v>2742.036865234375</v>
      </c>
      <c r="AI349" s="54" t="e">
        <f>FME_Ranking_Option2!$AH349*AH$4</f>
        <v>#REF!</v>
      </c>
      <c r="AJ349" s="56">
        <f>FME_Ranking_Option2!$AH349/($AH$3)</f>
        <v>0.15921894722005686</v>
      </c>
      <c r="AK349" s="57" t="e">
        <f>FME_Ranking_Option2!$AJ349*AH$4</f>
        <v>#REF!</v>
      </c>
      <c r="AL349"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49" s="45" t="e">
        <f>_xlfn.RANK.EQ(AL349,$AL$7:$AL$531)+COUNTIF(AL$7:AL349,AL349)-1</f>
        <v>#REF!</v>
      </c>
      <c r="AN349" s="57"/>
      <c r="AO349" s="45" t="e">
        <f>_xlfn.RANK.EQ(AN349,$AN$7:$AN$531)+COUNTIF(AN$7:AN349,AN349)-1</f>
        <v>#N/A</v>
      </c>
      <c r="AP34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49" s="32" t="e">
        <f>FME_Ranking2[[#This Row],[Score Based on Reported Factors]]-FME_Ranking2[[#This Row],[Check]]</f>
        <v>#REF!</v>
      </c>
      <c r="AR349" s="32"/>
      <c r="AT349" s="19"/>
      <c r="AU349" s="19"/>
      <c r="AV349" s="19"/>
      <c r="AW349" s="19"/>
      <c r="AX349" s="19"/>
      <c r="AY349" s="19"/>
      <c r="AZ349" s="19"/>
      <c r="BA349" s="19"/>
      <c r="BB349" s="19"/>
      <c r="BC349" s="19"/>
    </row>
    <row r="350" spans="1:55" ht="12" customHeight="1" x14ac:dyDescent="0.25">
      <c r="A350" s="17" t="s">
        <v>2199</v>
      </c>
      <c r="B350" s="17" t="str">
        <f>_xlfn.XLOOKUP(FME_Ranking2[[#This Row],[FME ID]],FME_Input[FME_ID],FME_Input[FME_NAME])</f>
        <v>Greens Bayou, White Oak Bayou and Cypress Creek Areas Subdivision Drainage Mitigation Project</v>
      </c>
      <c r="C350" s="17" t="str">
        <f>_xlfn.XLOOKUP(FME_Ranking2[[#This Row],[FME ID]],FME_Input[FME_ID],FME_Input[DESCR])</f>
        <v>The mitigation solution for Cypress Creek Estates is to install storm sewer systems along West Shadow Lake, East Shadow Lake, North Shadow Lake and Winding Lane, to re-grade the roadside ditches, and to remove and replace of all driveways and culverts.</v>
      </c>
      <c r="D350" s="33" t="str">
        <f>_xlfn.XLOOKUP(FME_Ranking2[[#This Row],[FME ID]],FME_Input[FME_ID],FME_Input[EMER_NEED])</f>
        <v>No</v>
      </c>
      <c r="E350" s="120">
        <f>IF(FME_Ranking_Option2!$D350="Yes",100,0)</f>
        <v>0</v>
      </c>
      <c r="F350" s="34" t="str">
        <f>_xlfn.XLOOKUP(FME_Ranking2[[#This Row],[FME ID]],FME_Input[FME_ID],FME_Input[FUND])</f>
        <v>Yes</v>
      </c>
      <c r="G350" s="35">
        <f>IF(FME_Ranking_Option2!$F350="Yes",1,0)</f>
        <v>1</v>
      </c>
      <c r="H350" s="33">
        <f>_xlfn.XLOOKUP(FME_Ranking2[[#This Row],[FME ID]],FME_Input[FME_ID],FME_Input[STRUCT_100])</f>
        <v>33860</v>
      </c>
      <c r="I350" s="64" t="e">
        <f>FME_Ranking2[[#This Row],[Raw Data3]]*H$4</f>
        <v>#REF!</v>
      </c>
      <c r="J350" s="63">
        <f>((FME_Ranking_Option2!$H350)/($H$3))*100</f>
        <v>3.7627699142875239</v>
      </c>
      <c r="K350" s="36" t="e">
        <f>FME_Ranking2[[#This Row],[Norm Data3]]*H$4</f>
        <v>#REF!</v>
      </c>
      <c r="L350" s="37">
        <f>_xlfn.XLOOKUP(FME_Ranking2[[#This Row],[FME ID]],FME_Input[FME_ID],FME_Input[RES_STRUCT100])</f>
        <v>27436</v>
      </c>
      <c r="M350" s="38" t="e">
        <f>FME_Ranking2[[#This Row],[Raw Data4]]*L$4</f>
        <v>#REF!</v>
      </c>
      <c r="N350" s="28">
        <f>((FME_Ranking_Option2!$L350)/($L$3))*100</f>
        <v>4.1017636866238192</v>
      </c>
      <c r="O350" s="39" t="e">
        <f>FME_Ranking2[[#This Row],[Norm Data4]]*L$4</f>
        <v>#REF!</v>
      </c>
      <c r="P350" s="34">
        <f>_xlfn.XLOOKUP(FME_Ranking2[[#This Row],[FME ID]],FME_Input[FME_ID],FME_Input[POP100])</f>
        <v>267186</v>
      </c>
      <c r="Q350" s="35" t="e">
        <f>FME_Ranking_Option2!$P350*P$4</f>
        <v>#REF!</v>
      </c>
      <c r="R350" s="35">
        <f>FME_Ranking_Option2!$P350/($P$3)</f>
        <v>9.8062935333060763E-2</v>
      </c>
      <c r="S350" s="35" t="e">
        <f>FME_Ranking_Option2!$R350*P$4</f>
        <v>#REF!</v>
      </c>
      <c r="T350" s="37">
        <f>_xlfn.XLOOKUP(FME_Ranking2[[#This Row],[FME ID]],FME_Input[FME_ID],FME_Input[CRITFAC100])</f>
        <v>562</v>
      </c>
      <c r="U350" s="35" t="e">
        <f>FME_Ranking_Option2!$T350*T$4</f>
        <v>#REF!</v>
      </c>
      <c r="V350" s="35">
        <f>FME_Ranking_Option2!$T350/($T$3)</f>
        <v>7.9255394161613313E-2</v>
      </c>
      <c r="W350" s="35" t="e">
        <f>FME_Ranking_Option2!$V350*T$4</f>
        <v>#REF!</v>
      </c>
      <c r="X350" s="37">
        <f>_xlfn.XLOOKUP(FME_Ranking2[[#This Row],[FME ID]],FME_Input[FME_ID],FME_Input[LWC])</f>
        <v>32</v>
      </c>
      <c r="Y350" s="35" t="e">
        <f>FME_Ranking_Option2!$X350*X$4</f>
        <v>#REF!</v>
      </c>
      <c r="Z350" s="35">
        <f>FME_Ranking_Option2!$X350/($X$3)</f>
        <v>2.9191753329684362E-3</v>
      </c>
      <c r="AA350" s="35" t="e">
        <f>FME_Ranking_Option2!$Z350*X$4</f>
        <v>#REF!</v>
      </c>
      <c r="AB350" s="37">
        <f>_xlfn.XLOOKUP(FME_Ranking2[[#This Row],[FME ID]],FME_Input[FME_ID],FME_Input[ROADCLS])</f>
        <v>32</v>
      </c>
      <c r="AC350" s="35" t="e">
        <f>FME_Ranking_Option2!$AB350*AB$4</f>
        <v>#REF!</v>
      </c>
      <c r="AD350" s="40">
        <f>_xlfn.XLOOKUP(FME_Ranking2[[#This Row],[FME ID]],FME_Input[FME_ID],FME_Input[ROAD_MILES100])</f>
        <v>601.40521240234375</v>
      </c>
      <c r="AE350" s="41" t="e">
        <f>FME_Ranking_Option2!$AD350*AD$4</f>
        <v>#REF!</v>
      </c>
      <c r="AF350" s="42">
        <f>FME_Ranking_Option2!$AD350/($AD$3)</f>
        <v>1.3584109674863828E-2</v>
      </c>
      <c r="AG350" s="42" t="e">
        <f>FME_Ranking_Option2!$AF350*AD$4</f>
        <v>#REF!</v>
      </c>
      <c r="AH350" s="40">
        <f>_xlfn.XLOOKUP(FME_Ranking2[[#This Row],[FME ID]],FME_Input[FME_ID],FME_Input[FARMACRE100])</f>
        <v>1841.856811523438</v>
      </c>
      <c r="AI350" s="43" t="e">
        <f>FME_Ranking_Option2!$AH350*AH$4</f>
        <v>#REF!</v>
      </c>
      <c r="AJ350" s="41">
        <f>FME_Ranking_Option2!$AH350/($AH$3)</f>
        <v>0.10694914651914655</v>
      </c>
      <c r="AK350" s="44" t="e">
        <f>FME_Ranking_Option2!$AJ350*AH$4</f>
        <v>#REF!</v>
      </c>
      <c r="AL350"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50" s="58" t="e">
        <f>_xlfn.RANK.EQ(AL350,$AL$7:$AL$531)+COUNTIF(AL$7:AL350,AL350)-1</f>
        <v>#REF!</v>
      </c>
      <c r="AN350" s="44"/>
      <c r="AO350" s="58" t="e">
        <f>_xlfn.RANK.EQ(AN350,$AN$7:$AN$531)+COUNTIF(AN$7:AN350,AN350)-1</f>
        <v>#N/A</v>
      </c>
      <c r="AP35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50" s="32" t="e">
        <f>FME_Ranking2[[#This Row],[Score Based on Reported Factors]]-FME_Ranking2[[#This Row],[Check]]</f>
        <v>#REF!</v>
      </c>
      <c r="AR350" s="32"/>
    </row>
    <row r="351" spans="1:55" ht="12" customHeight="1" x14ac:dyDescent="0.25">
      <c r="A351" s="16" t="s">
        <v>2190</v>
      </c>
      <c r="B351" s="16" t="str">
        <f>_xlfn.XLOOKUP(FME_Ranking2[[#This Row],[FME ID]],FME_Input[FME_ID],FME_Input[FME_NAME])</f>
        <v xml:space="preserve">Brazoria County Camp Mohawk County Park Development </v>
      </c>
      <c r="C351" s="16" t="str">
        <f>_xlfn.XLOOKUP(FME_Ranking2[[#This Row],[FME ID]],FME_Input[FME_ID],FME_Input[DESCR])</f>
        <v>Develop Benefit Cost Analysis in support of the purchase of approximately 160 acres of flood prone area adjacent to and surrounding Camp Mohawk County Park to be used as open space.</v>
      </c>
      <c r="D351" s="46" t="str">
        <f>_xlfn.XLOOKUP(FME_Ranking2[[#This Row],[FME ID]],FME_Input[FME_ID],FME_Input[EMER_NEED])</f>
        <v>No</v>
      </c>
      <c r="E351" s="121">
        <f>IF(FME_Ranking_Option2!$D351="Yes",100,0)</f>
        <v>0</v>
      </c>
      <c r="F351" s="47" t="str">
        <f>_xlfn.XLOOKUP(FME_Ranking2[[#This Row],[FME ID]],FME_Input[FME_ID],FME_Input[FUND])</f>
        <v>Yes</v>
      </c>
      <c r="G351" s="48">
        <f>IF(FME_Ranking_Option2!$F351="Yes",1,0)</f>
        <v>1</v>
      </c>
      <c r="H351" s="46">
        <f>_xlfn.XLOOKUP(FME_Ranking2[[#This Row],[FME ID]],FME_Input[FME_ID],FME_Input[STRUCT_100])</f>
        <v>18848</v>
      </c>
      <c r="I351" s="65" t="e">
        <f>FME_Ranking2[[#This Row],[Raw Data3]]*H$4</f>
        <v>#REF!</v>
      </c>
      <c r="J351" s="62">
        <f>((FME_Ranking_Option2!$H351)/($H$3))*100</f>
        <v>2.0945270922767647</v>
      </c>
      <c r="K351" s="49" t="e">
        <f>FME_Ranking2[[#This Row],[Norm Data3]]*H$4</f>
        <v>#REF!</v>
      </c>
      <c r="L351" s="50">
        <f>_xlfn.XLOOKUP(FME_Ranking2[[#This Row],[FME ID]],FME_Input[FME_ID],FME_Input[RES_STRUCT100])</f>
        <v>14344</v>
      </c>
      <c r="M351" s="51" t="e">
        <f>FME_Ranking2[[#This Row],[Raw Data4]]*L$4</f>
        <v>#REF!</v>
      </c>
      <c r="N351" s="29">
        <f>((FME_Ranking_Option2!$L351)/($L$3))*100</f>
        <v>2.1444707071341327</v>
      </c>
      <c r="O351" s="52" t="e">
        <f>FME_Ranking2[[#This Row],[Norm Data4]]*L$4</f>
        <v>#REF!</v>
      </c>
      <c r="P351" s="47">
        <f>_xlfn.XLOOKUP(FME_Ranking2[[#This Row],[FME ID]],FME_Input[FME_ID],FME_Input[POP100])</f>
        <v>65547</v>
      </c>
      <c r="Q351" s="48" t="e">
        <f>FME_Ranking_Option2!$P351*P$4</f>
        <v>#REF!</v>
      </c>
      <c r="R351" s="48">
        <f>FME_Ranking_Option2!$P351/($P$3)</f>
        <v>2.4057140801823949E-2</v>
      </c>
      <c r="S351" s="48" t="e">
        <f>FME_Ranking_Option2!$R351*P$4</f>
        <v>#REF!</v>
      </c>
      <c r="T351" s="50">
        <f>_xlfn.XLOOKUP(FME_Ranking2[[#This Row],[FME ID]],FME_Input[FME_ID],FME_Input[CRITFAC100])</f>
        <v>248</v>
      </c>
      <c r="U351" s="48" t="e">
        <f>FME_Ranking_Option2!$T351*T$4</f>
        <v>#REF!</v>
      </c>
      <c r="V351" s="48">
        <f>FME_Ranking_Option2!$T351/($T$3)</f>
        <v>3.4973910590889862E-2</v>
      </c>
      <c r="W351" s="48" t="e">
        <f>FME_Ranking_Option2!$V351*T$4</f>
        <v>#REF!</v>
      </c>
      <c r="X351" s="50">
        <f>_xlfn.XLOOKUP(FME_Ranking2[[#This Row],[FME ID]],FME_Input[FME_ID],FME_Input[LWC])</f>
        <v>0</v>
      </c>
      <c r="Y351" s="48" t="e">
        <f>FME_Ranking_Option2!$X351*X$4</f>
        <v>#REF!</v>
      </c>
      <c r="Z351" s="48">
        <f>FME_Ranking_Option2!$X351/($X$3)</f>
        <v>0</v>
      </c>
      <c r="AA351" s="48" t="e">
        <f>FME_Ranking_Option2!$Z351*X$4</f>
        <v>#REF!</v>
      </c>
      <c r="AB351" s="50">
        <f>_xlfn.XLOOKUP(FME_Ranking2[[#This Row],[FME ID]],FME_Input[FME_ID],FME_Input[ROADCLS])</f>
        <v>0</v>
      </c>
      <c r="AC351" s="48" t="e">
        <f>FME_Ranking_Option2!$AB351*AB$4</f>
        <v>#REF!</v>
      </c>
      <c r="AD351" s="53">
        <f>_xlfn.XLOOKUP(FME_Ranking2[[#This Row],[FME ID]],FME_Input[FME_ID],FME_Input[ROAD_MILES100])</f>
        <v>328.06332397460938</v>
      </c>
      <c r="AE351" s="54" t="e">
        <f>FME_Ranking_Option2!$AD351*AD$4</f>
        <v>#REF!</v>
      </c>
      <c r="AF351" s="55">
        <f>FME_Ranking_Option2!$AD351/($AD$3)</f>
        <v>7.4100591103458653E-3</v>
      </c>
      <c r="AG351" s="55" t="e">
        <f>FME_Ranking_Option2!$AF351*AD$4</f>
        <v>#REF!</v>
      </c>
      <c r="AH351" s="53">
        <f>_xlfn.XLOOKUP(FME_Ranking2[[#This Row],[FME ID]],FME_Input[FME_ID],FME_Input[FARMACRE100])</f>
        <v>8584.16015625</v>
      </c>
      <c r="AI351" s="54" t="e">
        <f>FME_Ranking_Option2!$AH351*AH$4</f>
        <v>#REF!</v>
      </c>
      <c r="AJ351" s="56">
        <f>FME_Ranking_Option2!$AH351/($AH$3)</f>
        <v>0.49844732584573043</v>
      </c>
      <c r="AK351" s="57" t="e">
        <f>FME_Ranking_Option2!$AJ351*AH$4</f>
        <v>#REF!</v>
      </c>
      <c r="AL351"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51" s="45" t="e">
        <f>_xlfn.RANK.EQ(AL351,$AL$7:$AL$531)+COUNTIF(AL$7:AL351,AL351)-1</f>
        <v>#REF!</v>
      </c>
      <c r="AN351" s="57"/>
      <c r="AO351" s="45" t="e">
        <f>_xlfn.RANK.EQ(AN351,$AN$7:$AN$531)+COUNTIF(AN$7:AN351,AN351)-1</f>
        <v>#N/A</v>
      </c>
      <c r="AP35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51" s="32" t="e">
        <f>FME_Ranking2[[#This Row],[Score Based on Reported Factors]]-FME_Ranking2[[#This Row],[Check]]</f>
        <v>#REF!</v>
      </c>
      <c r="AR351" s="32"/>
      <c r="AT351" s="19"/>
      <c r="AU351" s="19"/>
      <c r="AV351" s="19"/>
      <c r="AW351" s="19"/>
      <c r="AX351" s="19"/>
      <c r="AY351" s="19"/>
      <c r="AZ351" s="19"/>
      <c r="BA351" s="19"/>
      <c r="BB351" s="19"/>
      <c r="BC351" s="19"/>
    </row>
    <row r="352" spans="1:55" ht="12" customHeight="1" x14ac:dyDescent="0.25">
      <c r="A352" s="17" t="s">
        <v>2120</v>
      </c>
      <c r="B352" s="17" t="str">
        <f>_xlfn.XLOOKUP(FME_Ranking2[[#This Row],[FME ID]],FME_Input[FME_ID],FME_Input[FME_NAME])</f>
        <v>Addicks Reservoir - Design and Construction of a Bridge Replacement for Greenhouse Road at South Mayde Creek</v>
      </c>
      <c r="C352" s="17" t="str">
        <f>_xlfn.XLOOKUP(FME_Ranking2[[#This Row],[FME ID]],FME_Input[FME_ID],FME_Input[DESCR])</f>
        <v>Develop BCA to become a FMP. This project is part of the South Mayde Creek Plan that could reduce the risk of flooding for more than 70 homes and reduce the rainfall event by more than 340 acres in a pre-Atlas 1% rainfall event.</v>
      </c>
      <c r="D352" s="33" t="str">
        <f>_xlfn.XLOOKUP(FME_Ranking2[[#This Row],[FME ID]],FME_Input[FME_ID],FME_Input[EMER_NEED])</f>
        <v>No</v>
      </c>
      <c r="E352" s="120">
        <f>IF(FME_Ranking_Option2!$D352="Yes",100,0)</f>
        <v>0</v>
      </c>
      <c r="F352" s="34" t="str">
        <f>_xlfn.XLOOKUP(FME_Ranking2[[#This Row],[FME ID]],FME_Input[FME_ID],FME_Input[FUND])</f>
        <v>Yes</v>
      </c>
      <c r="G352" s="35">
        <f>IF(FME_Ranking_Option2!$F352="Yes",1,0)</f>
        <v>1</v>
      </c>
      <c r="H352" s="33">
        <f>_xlfn.XLOOKUP(FME_Ranking2[[#This Row],[FME ID]],FME_Input[FME_ID],FME_Input[STRUCT_100])</f>
        <v>692</v>
      </c>
      <c r="I352" s="64" t="e">
        <f>FME_Ranking2[[#This Row],[Raw Data3]]*H$4</f>
        <v>#REF!</v>
      </c>
      <c r="J352" s="63">
        <f>((FME_Ranking_Option2!$H352)/($H$3))*100</f>
        <v>7.6900082123064581E-2</v>
      </c>
      <c r="K352" s="36" t="e">
        <f>FME_Ranking2[[#This Row],[Norm Data3]]*H$4</f>
        <v>#REF!</v>
      </c>
      <c r="L352" s="37">
        <f>_xlfn.XLOOKUP(FME_Ranking2[[#This Row],[FME ID]],FME_Input[FME_ID],FME_Input[RES_STRUCT100])</f>
        <v>638</v>
      </c>
      <c r="M352" s="38" t="e">
        <f>FME_Ranking2[[#This Row],[Raw Data4]]*L$4</f>
        <v>#REF!</v>
      </c>
      <c r="N352" s="28">
        <f>((FME_Ranking_Option2!$L352)/($L$3))*100</f>
        <v>9.5382899550444544E-2</v>
      </c>
      <c r="O352" s="39" t="e">
        <f>FME_Ranking2[[#This Row],[Norm Data4]]*L$4</f>
        <v>#REF!</v>
      </c>
      <c r="P352" s="34">
        <f>_xlfn.XLOOKUP(FME_Ranking2[[#This Row],[FME ID]],FME_Input[FME_ID],FME_Input[POP100])</f>
        <v>3061</v>
      </c>
      <c r="Q352" s="35" t="e">
        <f>FME_Ranking_Option2!$P352*P$4</f>
        <v>#REF!</v>
      </c>
      <c r="R352" s="35">
        <f>FME_Ranking_Option2!$P352/($P$3)</f>
        <v>1.1234519961917876E-3</v>
      </c>
      <c r="S352" s="35" t="e">
        <f>FME_Ranking_Option2!$R352*P$4</f>
        <v>#REF!</v>
      </c>
      <c r="T352" s="37">
        <f>_xlfn.XLOOKUP(FME_Ranking2[[#This Row],[FME ID]],FME_Input[FME_ID],FME_Input[CRITFAC100])</f>
        <v>12</v>
      </c>
      <c r="U352" s="35" t="e">
        <f>FME_Ranking_Option2!$T352*T$4</f>
        <v>#REF!</v>
      </c>
      <c r="V352" s="35">
        <f>FME_Ranking_Option2!$T352/($T$3)</f>
        <v>1.6922859963333804E-3</v>
      </c>
      <c r="W352" s="35" t="e">
        <f>FME_Ranking_Option2!$V352*T$4</f>
        <v>#REF!</v>
      </c>
      <c r="X352" s="37">
        <f>_xlfn.XLOOKUP(FME_Ranking2[[#This Row],[FME ID]],FME_Input[FME_ID],FME_Input[LWC])</f>
        <v>0</v>
      </c>
      <c r="Y352" s="35" t="e">
        <f>FME_Ranking_Option2!$X352*X$4</f>
        <v>#REF!</v>
      </c>
      <c r="Z352" s="35">
        <f>FME_Ranking_Option2!$X352/($X$3)</f>
        <v>0</v>
      </c>
      <c r="AA352" s="35" t="e">
        <f>FME_Ranking_Option2!$Z352*X$4</f>
        <v>#REF!</v>
      </c>
      <c r="AB352" s="37">
        <f>_xlfn.XLOOKUP(FME_Ranking2[[#This Row],[FME ID]],FME_Input[FME_ID],FME_Input[ROADCLS])</f>
        <v>0</v>
      </c>
      <c r="AC352" s="35" t="e">
        <f>FME_Ranking_Option2!$AB352*AB$4</f>
        <v>#REF!</v>
      </c>
      <c r="AD352" s="40">
        <f>_xlfn.XLOOKUP(FME_Ranking2[[#This Row],[FME ID]],FME_Input[FME_ID],FME_Input[ROAD_MILES100])</f>
        <v>11.64858818054199</v>
      </c>
      <c r="AE352" s="41" t="e">
        <f>FME_Ranking_Option2!$AD352*AD$4</f>
        <v>#REF!</v>
      </c>
      <c r="AF352" s="42">
        <f>FME_Ranking_Option2!$AD352/($AD$3)</f>
        <v>2.631099567124208E-4</v>
      </c>
      <c r="AG352" s="42" t="e">
        <f>FME_Ranking_Option2!$AF352*AD$4</f>
        <v>#REF!</v>
      </c>
      <c r="AH352" s="40">
        <f>_xlfn.XLOOKUP(FME_Ranking2[[#This Row],[FME ID]],FME_Input[FME_ID],FME_Input[FARMACRE100])</f>
        <v>27.294694900512699</v>
      </c>
      <c r="AI352" s="43" t="e">
        <f>FME_Ranking_Option2!$AH352*AH$4</f>
        <v>#REF!</v>
      </c>
      <c r="AJ352" s="41">
        <f>FME_Ranking_Option2!$AH352/($AH$3)</f>
        <v>1.584892107707249E-3</v>
      </c>
      <c r="AK352" s="44" t="e">
        <f>FME_Ranking_Option2!$AJ352*AH$4</f>
        <v>#REF!</v>
      </c>
      <c r="AL352"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52" s="58" t="e">
        <f>_xlfn.RANK.EQ(AL352,$AL$7:$AL$531)+COUNTIF(AL$7:AL352,AL352)-1</f>
        <v>#REF!</v>
      </c>
      <c r="AN352" s="44"/>
      <c r="AO352" s="58" t="e">
        <f>_xlfn.RANK.EQ(AN352,$AN$7:$AN$531)+COUNTIF(AN$7:AN352,AN352)-1</f>
        <v>#N/A</v>
      </c>
      <c r="AP35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52" s="32" t="e">
        <f>FME_Ranking2[[#This Row],[Score Based on Reported Factors]]-FME_Ranking2[[#This Row],[Check]]</f>
        <v>#REF!</v>
      </c>
      <c r="AR352" s="32"/>
    </row>
    <row r="353" spans="1:55" ht="12" customHeight="1" x14ac:dyDescent="0.25">
      <c r="A353" s="16" t="s">
        <v>716</v>
      </c>
      <c r="B353" s="16" t="str">
        <f>_xlfn.XLOOKUP(FME_Ranking2[[#This Row],[FME ID]],FME_Input[FME_ID],FME_Input[FME_NAME])</f>
        <v>Forest Estates - Live Oak Creek Watershed 
Artesian Forest 1 - Artesian Creek Watershed</v>
      </c>
      <c r="C353" s="16" t="str">
        <f>_xlfn.XLOOKUP(FME_Ranking2[[#This Row],[FME ID]],FME_Input[FME_ID],FME_Input[DESCR])</f>
        <v>Develop a benefits cost analysis in support of this project identied in the City of Conroe Master Drainage Plan.</v>
      </c>
      <c r="D353" s="46" t="str">
        <f>_xlfn.XLOOKUP(FME_Ranking2[[#This Row],[FME ID]],FME_Input[FME_ID],FME_Input[EMER_NEED])</f>
        <v>No</v>
      </c>
      <c r="E353" s="121">
        <f>IF(FME_Ranking_Option2!$D353="Yes",100,0)</f>
        <v>0</v>
      </c>
      <c r="F353" s="47" t="str">
        <f>_xlfn.XLOOKUP(FME_Ranking2[[#This Row],[FME ID]],FME_Input[FME_ID],FME_Input[FUND])</f>
        <v>Yes</v>
      </c>
      <c r="G353" s="48">
        <f>IF(FME_Ranking_Option2!$F353="Yes",1,0)</f>
        <v>1</v>
      </c>
      <c r="H353" s="46">
        <f>_xlfn.XLOOKUP(FME_Ranking2[[#This Row],[FME ID]],FME_Input[FME_ID],FME_Input[STRUCT_100])</f>
        <v>99</v>
      </c>
      <c r="I353" s="65" t="e">
        <f>FME_Ranking2[[#This Row],[Raw Data3]]*H$4</f>
        <v>#REF!</v>
      </c>
      <c r="J353" s="62">
        <f>((FME_Ranking_Option2!$H353)/($H$3))*100</f>
        <v>1.1001601344195656E-2</v>
      </c>
      <c r="K353" s="49" t="e">
        <f>FME_Ranking2[[#This Row],[Norm Data3]]*H$4</f>
        <v>#REF!</v>
      </c>
      <c r="L353" s="50">
        <f>_xlfn.XLOOKUP(FME_Ranking2[[#This Row],[FME ID]],FME_Input[FME_ID],FME_Input[RES_STRUCT100])</f>
        <v>83</v>
      </c>
      <c r="M353" s="51" t="e">
        <f>FME_Ranking2[[#This Row],[Raw Data4]]*L$4</f>
        <v>#REF!</v>
      </c>
      <c r="N353" s="29">
        <f>((FME_Ranking_Option2!$L353)/($L$3))*100</f>
        <v>1.2408747120198899E-2</v>
      </c>
      <c r="O353" s="52" t="e">
        <f>FME_Ranking2[[#This Row],[Norm Data4]]*L$4</f>
        <v>#REF!</v>
      </c>
      <c r="P353" s="47">
        <f>_xlfn.XLOOKUP(FME_Ranking2[[#This Row],[FME ID]],FME_Input[FME_ID],FME_Input[POP100])</f>
        <v>531</v>
      </c>
      <c r="Q353" s="48" t="e">
        <f>FME_Ranking_Option2!$P353*P$4</f>
        <v>#REF!</v>
      </c>
      <c r="R353" s="48">
        <f>FME_Ranking_Option2!$P353/($P$3)</f>
        <v>1.9488827506626569E-4</v>
      </c>
      <c r="S353" s="48" t="e">
        <f>FME_Ranking_Option2!$R353*P$4</f>
        <v>#REF!</v>
      </c>
      <c r="T353" s="50">
        <f>_xlfn.XLOOKUP(FME_Ranking2[[#This Row],[FME ID]],FME_Input[FME_ID],FME_Input[CRITFAC100])</f>
        <v>0</v>
      </c>
      <c r="U353" s="48" t="e">
        <f>FME_Ranking_Option2!$T353*T$4</f>
        <v>#REF!</v>
      </c>
      <c r="V353" s="48">
        <f>FME_Ranking_Option2!$T353/($T$3)</f>
        <v>0</v>
      </c>
      <c r="W353" s="48" t="e">
        <f>FME_Ranking_Option2!$V353*T$4</f>
        <v>#REF!</v>
      </c>
      <c r="X353" s="50">
        <f>_xlfn.XLOOKUP(FME_Ranking2[[#This Row],[FME ID]],FME_Input[FME_ID],FME_Input[LWC])</f>
        <v>0</v>
      </c>
      <c r="Y353" s="48" t="e">
        <f>FME_Ranking_Option2!$X353*X$4</f>
        <v>#REF!</v>
      </c>
      <c r="Z353" s="48">
        <f>FME_Ranking_Option2!$X353/($X$3)</f>
        <v>0</v>
      </c>
      <c r="AA353" s="48" t="e">
        <f>FME_Ranking_Option2!$Z353*X$4</f>
        <v>#REF!</v>
      </c>
      <c r="AB353" s="50">
        <f>_xlfn.XLOOKUP(FME_Ranking2[[#This Row],[FME ID]],FME_Input[FME_ID],FME_Input[ROADCLS])</f>
        <v>0</v>
      </c>
      <c r="AC353" s="48" t="e">
        <f>FME_Ranking_Option2!$AB353*AB$4</f>
        <v>#REF!</v>
      </c>
      <c r="AD353" s="53">
        <f>_xlfn.XLOOKUP(FME_Ranking2[[#This Row],[FME ID]],FME_Input[FME_ID],FME_Input[ROAD_MILES100])</f>
        <v>2.2649357318878169</v>
      </c>
      <c r="AE353" s="54" t="e">
        <f>FME_Ranking_Option2!$AD353*AD$4</f>
        <v>#REF!</v>
      </c>
      <c r="AF353" s="55">
        <f>FME_Ranking_Option2!$AD353/($AD$3)</f>
        <v>5.115874414453641E-5</v>
      </c>
      <c r="AG353" s="55" t="e">
        <f>FME_Ranking_Option2!$AF353*AD$4</f>
        <v>#REF!</v>
      </c>
      <c r="AH353" s="53">
        <f>_xlfn.XLOOKUP(FME_Ranking2[[#This Row],[FME ID]],FME_Input[FME_ID],FME_Input[FARMACRE100])</f>
        <v>0.69726139307022095</v>
      </c>
      <c r="AI353" s="54" t="e">
        <f>FME_Ranking_Option2!$AH353*AH$4</f>
        <v>#REF!</v>
      </c>
      <c r="AJ353" s="56">
        <f>FME_Ranking_Option2!$AH353/($AH$3)</f>
        <v>4.0487137991976502E-5</v>
      </c>
      <c r="AK353" s="57" t="e">
        <f>FME_Ranking_Option2!$AJ353*AH$4</f>
        <v>#REF!</v>
      </c>
      <c r="AL353"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53" s="45" t="e">
        <f>_xlfn.RANK.EQ(AL353,$AL$7:$AL$531)+COUNTIF(AL$7:AL353,AL353)-1</f>
        <v>#REF!</v>
      </c>
      <c r="AN353" s="57"/>
      <c r="AO353" s="45" t="e">
        <f>_xlfn.RANK.EQ(AN353,$AN$7:$AN$531)+COUNTIF(AN$7:AN353,AN353)-1</f>
        <v>#N/A</v>
      </c>
      <c r="AP35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53" s="32" t="e">
        <f>FME_Ranking2[[#This Row],[Score Based on Reported Factors]]-FME_Ranking2[[#This Row],[Check]]</f>
        <v>#REF!</v>
      </c>
      <c r="AR353" s="32"/>
      <c r="AT353" s="19"/>
      <c r="AU353" s="19"/>
      <c r="AV353" s="19"/>
      <c r="AW353" s="19"/>
      <c r="AX353" s="19"/>
      <c r="AY353" s="19"/>
      <c r="AZ353" s="19"/>
      <c r="BA353" s="19"/>
      <c r="BB353" s="19"/>
      <c r="BC353" s="19"/>
    </row>
    <row r="354" spans="1:55" ht="12" customHeight="1" x14ac:dyDescent="0.25">
      <c r="A354" s="17" t="s">
        <v>732</v>
      </c>
      <c r="B354" s="17" t="str">
        <f>_xlfn.XLOOKUP(FME_Ranking2[[#This Row],[FME ID]],FME_Input[FME_ID],FME_Input[FME_NAME])</f>
        <v>Artesian Forest 1 - Artesian Creek Watershed</v>
      </c>
      <c r="C354" s="17" t="str">
        <f>_xlfn.XLOOKUP(FME_Ranking2[[#This Row],[FME ID]],FME_Input[FME_ID],FME_Input[DESCR])</f>
        <v>Develop a benefits cost analysis in support of this project identied in the City of Conroe Master Drainage Plan.</v>
      </c>
      <c r="D354" s="33" t="str">
        <f>_xlfn.XLOOKUP(FME_Ranking2[[#This Row],[FME ID]],FME_Input[FME_ID],FME_Input[EMER_NEED])</f>
        <v>No</v>
      </c>
      <c r="E354" s="120">
        <f>IF(FME_Ranking_Option2!$D354="Yes",100,0)</f>
        <v>0</v>
      </c>
      <c r="F354" s="34" t="str">
        <f>_xlfn.XLOOKUP(FME_Ranking2[[#This Row],[FME ID]],FME_Input[FME_ID],FME_Input[FUND])</f>
        <v>Yes</v>
      </c>
      <c r="G354" s="35">
        <f>IF(FME_Ranking_Option2!$F354="Yes",1,0)</f>
        <v>1</v>
      </c>
      <c r="H354" s="33">
        <f>_xlfn.XLOOKUP(FME_Ranking2[[#This Row],[FME ID]],FME_Input[FME_ID],FME_Input[STRUCT_100])</f>
        <v>40</v>
      </c>
      <c r="I354" s="64" t="e">
        <f>FME_Ranking2[[#This Row],[Raw Data3]]*H$4</f>
        <v>#REF!</v>
      </c>
      <c r="J354" s="63">
        <f>((FME_Ranking_Option2!$H354)/($H$3))*100</f>
        <v>4.4450914522002642E-3</v>
      </c>
      <c r="K354" s="36" t="e">
        <f>FME_Ranking2[[#This Row],[Norm Data3]]*H$4</f>
        <v>#REF!</v>
      </c>
      <c r="L354" s="37">
        <f>_xlfn.XLOOKUP(FME_Ranking2[[#This Row],[FME ID]],FME_Input[FME_ID],FME_Input[RES_STRUCT100])</f>
        <v>36</v>
      </c>
      <c r="M354" s="38" t="e">
        <f>FME_Ranking2[[#This Row],[Raw Data4]]*L$4</f>
        <v>#REF!</v>
      </c>
      <c r="N354" s="28">
        <f>((FME_Ranking_Option2!$L354)/($L$3))*100</f>
        <v>5.3821071846645828E-3</v>
      </c>
      <c r="O354" s="39" t="e">
        <f>FME_Ranking2[[#This Row],[Norm Data4]]*L$4</f>
        <v>#REF!</v>
      </c>
      <c r="P354" s="34">
        <f>_xlfn.XLOOKUP(FME_Ranking2[[#This Row],[FME ID]],FME_Input[FME_ID],FME_Input[POP100])</f>
        <v>69</v>
      </c>
      <c r="Q354" s="35" t="e">
        <f>FME_Ranking_Option2!$P354*P$4</f>
        <v>#REF!</v>
      </c>
      <c r="R354" s="35">
        <f>FME_Ranking_Option2!$P354/($P$3)</f>
        <v>2.5324465121605144E-5</v>
      </c>
      <c r="S354" s="35" t="e">
        <f>FME_Ranking_Option2!$R354*P$4</f>
        <v>#REF!</v>
      </c>
      <c r="T354" s="37">
        <f>_xlfn.XLOOKUP(FME_Ranking2[[#This Row],[FME ID]],FME_Input[FME_ID],FME_Input[CRITFAC100])</f>
        <v>1</v>
      </c>
      <c r="U354" s="35" t="e">
        <f>FME_Ranking_Option2!$T354*T$4</f>
        <v>#REF!</v>
      </c>
      <c r="V354" s="35">
        <f>FME_Ranking_Option2!$T354/($T$3)</f>
        <v>1.4102383302778171E-4</v>
      </c>
      <c r="W354" s="35" t="e">
        <f>FME_Ranking_Option2!$V354*T$4</f>
        <v>#REF!</v>
      </c>
      <c r="X354" s="37">
        <f>_xlfn.XLOOKUP(FME_Ranking2[[#This Row],[FME ID]],FME_Input[FME_ID],FME_Input[LWC])</f>
        <v>0</v>
      </c>
      <c r="Y354" s="35" t="e">
        <f>FME_Ranking_Option2!$X354*X$4</f>
        <v>#REF!</v>
      </c>
      <c r="Z354" s="35">
        <f>FME_Ranking_Option2!$X354/($X$3)</f>
        <v>0</v>
      </c>
      <c r="AA354" s="35" t="e">
        <f>FME_Ranking_Option2!$Z354*X$4</f>
        <v>#REF!</v>
      </c>
      <c r="AB354" s="37">
        <f>_xlfn.XLOOKUP(FME_Ranking2[[#This Row],[FME ID]],FME_Input[FME_ID],FME_Input[ROADCLS])</f>
        <v>0</v>
      </c>
      <c r="AC354" s="35" t="e">
        <f>FME_Ranking_Option2!$AB354*AB$4</f>
        <v>#REF!</v>
      </c>
      <c r="AD354" s="40">
        <f>_xlfn.XLOOKUP(FME_Ranking2[[#This Row],[FME ID]],FME_Input[FME_ID],FME_Input[ROAD_MILES100])</f>
        <v>0.89068692922592163</v>
      </c>
      <c r="AE354" s="41" t="e">
        <f>FME_Ranking_Option2!$AD354*AD$4</f>
        <v>#REF!</v>
      </c>
      <c r="AF354" s="42">
        <f>FME_Ranking_Option2!$AD354/($AD$3)</f>
        <v>2.0118197652863314E-5</v>
      </c>
      <c r="AG354" s="42" t="e">
        <f>FME_Ranking_Option2!$AF354*AD$4</f>
        <v>#REF!</v>
      </c>
      <c r="AH354" s="40">
        <f>_xlfn.XLOOKUP(FME_Ranking2[[#This Row],[FME ID]],FME_Input[FME_ID],FME_Input[FARMACRE100])</f>
        <v>6.5784134864807129</v>
      </c>
      <c r="AI354" s="43" t="e">
        <f>FME_Ranking_Option2!$AH354*AH$4</f>
        <v>#REF!</v>
      </c>
      <c r="AJ354" s="41">
        <f>FME_Ranking_Option2!$AH354/($AH$3)</f>
        <v>3.8198176070333608E-4</v>
      </c>
      <c r="AK354" s="44" t="e">
        <f>FME_Ranking_Option2!$AJ354*AH$4</f>
        <v>#REF!</v>
      </c>
      <c r="AL354"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54" s="58" t="e">
        <f>_xlfn.RANK.EQ(AL354,$AL$7:$AL$531)+COUNTIF(AL$7:AL354,AL354)-1</f>
        <v>#REF!</v>
      </c>
      <c r="AN354" s="44"/>
      <c r="AO354" s="58" t="e">
        <f>_xlfn.RANK.EQ(AN354,$AN$7:$AN$531)+COUNTIF(AN$7:AN354,AN354)-1</f>
        <v>#N/A</v>
      </c>
      <c r="AP35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54" s="32" t="e">
        <f>FME_Ranking2[[#This Row],[Score Based on Reported Factors]]-FME_Ranking2[[#This Row],[Check]]</f>
        <v>#REF!</v>
      </c>
      <c r="AR354" s="32"/>
    </row>
    <row r="355" spans="1:55" ht="12" customHeight="1" x14ac:dyDescent="0.25">
      <c r="A355" s="16" t="s">
        <v>737</v>
      </c>
      <c r="B355" s="16" t="str">
        <f>_xlfn.XLOOKUP(FME_Ranking2[[#This Row],[FME ID]],FME_Input[FME_ID],FME_Input[FME_NAME])</f>
        <v>Artesian Forest East - Artesian Creek Watershed</v>
      </c>
      <c r="C355" s="16" t="str">
        <f>_xlfn.XLOOKUP(FME_Ranking2[[#This Row],[FME ID]],FME_Input[FME_ID],FME_Input[DESCR])</f>
        <v>Develop a benefits cost analysis in support of this project identied in the City of Conroe Master Drainage Plan.</v>
      </c>
      <c r="D355" s="46" t="str">
        <f>_xlfn.XLOOKUP(FME_Ranking2[[#This Row],[FME ID]],FME_Input[FME_ID],FME_Input[EMER_NEED])</f>
        <v>No</v>
      </c>
      <c r="E355" s="121">
        <f>IF(FME_Ranking_Option2!$D355="Yes",100,0)</f>
        <v>0</v>
      </c>
      <c r="F355" s="47" t="str">
        <f>_xlfn.XLOOKUP(FME_Ranking2[[#This Row],[FME ID]],FME_Input[FME_ID],FME_Input[FUND])</f>
        <v>Yes</v>
      </c>
      <c r="G355" s="48">
        <f>IF(FME_Ranking_Option2!$F355="Yes",1,0)</f>
        <v>1</v>
      </c>
      <c r="H355" s="46">
        <f>_xlfn.XLOOKUP(FME_Ranking2[[#This Row],[FME ID]],FME_Input[FME_ID],FME_Input[STRUCT_100])</f>
        <v>40</v>
      </c>
      <c r="I355" s="65" t="e">
        <f>FME_Ranking2[[#This Row],[Raw Data3]]*H$4</f>
        <v>#REF!</v>
      </c>
      <c r="J355" s="62">
        <f>((FME_Ranking_Option2!$H355)/($H$3))*100</f>
        <v>4.4450914522002642E-3</v>
      </c>
      <c r="K355" s="49" t="e">
        <f>FME_Ranking2[[#This Row],[Norm Data3]]*H$4</f>
        <v>#REF!</v>
      </c>
      <c r="L355" s="50">
        <f>_xlfn.XLOOKUP(FME_Ranking2[[#This Row],[FME ID]],FME_Input[FME_ID],FME_Input[RES_STRUCT100])</f>
        <v>36</v>
      </c>
      <c r="M355" s="51" t="e">
        <f>FME_Ranking2[[#This Row],[Raw Data4]]*L$4</f>
        <v>#REF!</v>
      </c>
      <c r="N355" s="29">
        <f>((FME_Ranking_Option2!$L355)/($L$3))*100</f>
        <v>5.3821071846645828E-3</v>
      </c>
      <c r="O355" s="52" t="e">
        <f>FME_Ranking2[[#This Row],[Norm Data4]]*L$4</f>
        <v>#REF!</v>
      </c>
      <c r="P355" s="47">
        <f>_xlfn.XLOOKUP(FME_Ranking2[[#This Row],[FME ID]],FME_Input[FME_ID],FME_Input[POP100])</f>
        <v>69</v>
      </c>
      <c r="Q355" s="48" t="e">
        <f>FME_Ranking_Option2!$P355*P$4</f>
        <v>#REF!</v>
      </c>
      <c r="R355" s="48">
        <f>FME_Ranking_Option2!$P355/($P$3)</f>
        <v>2.5324465121605144E-5</v>
      </c>
      <c r="S355" s="48" t="e">
        <f>FME_Ranking_Option2!$R355*P$4</f>
        <v>#REF!</v>
      </c>
      <c r="T355" s="50">
        <f>_xlfn.XLOOKUP(FME_Ranking2[[#This Row],[FME ID]],FME_Input[FME_ID],FME_Input[CRITFAC100])</f>
        <v>1</v>
      </c>
      <c r="U355" s="48" t="e">
        <f>FME_Ranking_Option2!$T355*T$4</f>
        <v>#REF!</v>
      </c>
      <c r="V355" s="48">
        <f>FME_Ranking_Option2!$T355/($T$3)</f>
        <v>1.4102383302778171E-4</v>
      </c>
      <c r="W355" s="48" t="e">
        <f>FME_Ranking_Option2!$V355*T$4</f>
        <v>#REF!</v>
      </c>
      <c r="X355" s="50">
        <f>_xlfn.XLOOKUP(FME_Ranking2[[#This Row],[FME ID]],FME_Input[FME_ID],FME_Input[LWC])</f>
        <v>0</v>
      </c>
      <c r="Y355" s="48" t="e">
        <f>FME_Ranking_Option2!$X355*X$4</f>
        <v>#REF!</v>
      </c>
      <c r="Z355" s="48">
        <f>FME_Ranking_Option2!$X355/($X$3)</f>
        <v>0</v>
      </c>
      <c r="AA355" s="48" t="e">
        <f>FME_Ranking_Option2!$Z355*X$4</f>
        <v>#REF!</v>
      </c>
      <c r="AB355" s="50">
        <f>_xlfn.XLOOKUP(FME_Ranking2[[#This Row],[FME ID]],FME_Input[FME_ID],FME_Input[ROADCLS])</f>
        <v>0</v>
      </c>
      <c r="AC355" s="48" t="e">
        <f>FME_Ranking_Option2!$AB355*AB$4</f>
        <v>#REF!</v>
      </c>
      <c r="AD355" s="53">
        <f>_xlfn.XLOOKUP(FME_Ranking2[[#This Row],[FME ID]],FME_Input[FME_ID],FME_Input[ROAD_MILES100])</f>
        <v>0.89068692922592163</v>
      </c>
      <c r="AE355" s="54" t="e">
        <f>FME_Ranking_Option2!$AD355*AD$4</f>
        <v>#REF!</v>
      </c>
      <c r="AF355" s="55">
        <f>FME_Ranking_Option2!$AD355/($AD$3)</f>
        <v>2.0118197652863314E-5</v>
      </c>
      <c r="AG355" s="55" t="e">
        <f>FME_Ranking_Option2!$AF355*AD$4</f>
        <v>#REF!</v>
      </c>
      <c r="AH355" s="53">
        <f>_xlfn.XLOOKUP(FME_Ranking2[[#This Row],[FME ID]],FME_Input[FME_ID],FME_Input[FARMACRE100])</f>
        <v>6.5784134864807129</v>
      </c>
      <c r="AI355" s="54" t="e">
        <f>FME_Ranking_Option2!$AH355*AH$4</f>
        <v>#REF!</v>
      </c>
      <c r="AJ355" s="56">
        <f>FME_Ranking_Option2!$AH355/($AH$3)</f>
        <v>3.8198176070333608E-4</v>
      </c>
      <c r="AK355" s="57" t="e">
        <f>FME_Ranking_Option2!$AJ355*AH$4</f>
        <v>#REF!</v>
      </c>
      <c r="AL355"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55" s="45" t="e">
        <f>_xlfn.RANK.EQ(AL355,$AL$7:$AL$531)+COUNTIF(AL$7:AL355,AL355)-1</f>
        <v>#REF!</v>
      </c>
      <c r="AN355" s="57"/>
      <c r="AO355" s="45" t="e">
        <f>_xlfn.RANK.EQ(AN355,$AN$7:$AN$531)+COUNTIF(AN$7:AN355,AN355)-1</f>
        <v>#N/A</v>
      </c>
      <c r="AP35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55" s="32" t="e">
        <f>FME_Ranking2[[#This Row],[Score Based on Reported Factors]]-FME_Ranking2[[#This Row],[Check]]</f>
        <v>#REF!</v>
      </c>
      <c r="AR355" s="32"/>
      <c r="AT355" s="19"/>
      <c r="AU355" s="19"/>
      <c r="AV355" s="19"/>
      <c r="AW355" s="19"/>
      <c r="AX355" s="19"/>
      <c r="AY355" s="19"/>
      <c r="AZ355" s="19"/>
      <c r="BA355" s="19"/>
      <c r="BB355" s="19"/>
      <c r="BC355" s="19"/>
    </row>
    <row r="356" spans="1:55" ht="12" customHeight="1" x14ac:dyDescent="0.25">
      <c r="A356" s="17" t="s">
        <v>743</v>
      </c>
      <c r="B356" s="17" t="str">
        <f>_xlfn.XLOOKUP(FME_Ranking2[[#This Row],[FME ID]],FME_Input[FME_ID],FME_Input[FME_NAME])</f>
        <v>Lilly - Alligator Creek Watershed</v>
      </c>
      <c r="C356" s="17" t="str">
        <f>_xlfn.XLOOKUP(FME_Ranking2[[#This Row],[FME ID]],FME_Input[FME_ID],FME_Input[DESCR])</f>
        <v>Develop a benefits cost analysis in support of this project identied in the City of Conroe Master Drainage Plan.</v>
      </c>
      <c r="D356" s="33" t="str">
        <f>_xlfn.XLOOKUP(FME_Ranking2[[#This Row],[FME ID]],FME_Input[FME_ID],FME_Input[EMER_NEED])</f>
        <v>No</v>
      </c>
      <c r="E356" s="120">
        <f>IF(FME_Ranking_Option2!$D356="Yes",100,0)</f>
        <v>0</v>
      </c>
      <c r="F356" s="34" t="str">
        <f>_xlfn.XLOOKUP(FME_Ranking2[[#This Row],[FME ID]],FME_Input[FME_ID],FME_Input[FUND])</f>
        <v>Yes</v>
      </c>
      <c r="G356" s="35">
        <f>IF(FME_Ranking_Option2!$F356="Yes",1,0)</f>
        <v>1</v>
      </c>
      <c r="H356" s="33">
        <f>_xlfn.XLOOKUP(FME_Ranking2[[#This Row],[FME ID]],FME_Input[FME_ID],FME_Input[STRUCT_100])</f>
        <v>516</v>
      </c>
      <c r="I356" s="64" t="e">
        <f>FME_Ranking2[[#This Row],[Raw Data3]]*H$4</f>
        <v>#REF!</v>
      </c>
      <c r="J356" s="63">
        <f>((FME_Ranking_Option2!$H356)/($H$3))*100</f>
        <v>5.7341679733383416E-2</v>
      </c>
      <c r="K356" s="36" t="e">
        <f>FME_Ranking2[[#This Row],[Norm Data3]]*H$4</f>
        <v>#REF!</v>
      </c>
      <c r="L356" s="37">
        <f>_xlfn.XLOOKUP(FME_Ranking2[[#This Row],[FME ID]],FME_Input[FME_ID],FME_Input[RES_STRUCT100])</f>
        <v>426</v>
      </c>
      <c r="M356" s="38" t="e">
        <f>FME_Ranking2[[#This Row],[Raw Data4]]*L$4</f>
        <v>#REF!</v>
      </c>
      <c r="N356" s="28">
        <f>((FME_Ranking_Option2!$L356)/($L$3))*100</f>
        <v>6.3688268351864225E-2</v>
      </c>
      <c r="O356" s="39" t="e">
        <f>FME_Ranking2[[#This Row],[Norm Data4]]*L$4</f>
        <v>#REF!</v>
      </c>
      <c r="P356" s="34">
        <f>_xlfn.XLOOKUP(FME_Ranking2[[#This Row],[FME ID]],FME_Input[FME_ID],FME_Input[POP100])</f>
        <v>3099</v>
      </c>
      <c r="Q356" s="35" t="e">
        <f>FME_Ranking_Option2!$P356*P$4</f>
        <v>#REF!</v>
      </c>
      <c r="R356" s="35">
        <f>FME_Ranking_Option2!$P356/($P$3)</f>
        <v>1.1373988030703528E-3</v>
      </c>
      <c r="S356" s="35" t="e">
        <f>FME_Ranking_Option2!$R356*P$4</f>
        <v>#REF!</v>
      </c>
      <c r="T356" s="37">
        <f>_xlfn.XLOOKUP(FME_Ranking2[[#This Row],[FME ID]],FME_Input[FME_ID],FME_Input[CRITFAC100])</f>
        <v>2</v>
      </c>
      <c r="U356" s="35" t="e">
        <f>FME_Ranking_Option2!$T356*T$4</f>
        <v>#REF!</v>
      </c>
      <c r="V356" s="35">
        <f>FME_Ranking_Option2!$T356/($T$3)</f>
        <v>2.8204766605556341E-4</v>
      </c>
      <c r="W356" s="35" t="e">
        <f>FME_Ranking_Option2!$V356*T$4</f>
        <v>#REF!</v>
      </c>
      <c r="X356" s="37">
        <f>_xlfn.XLOOKUP(FME_Ranking2[[#This Row],[FME ID]],FME_Input[FME_ID],FME_Input[LWC])</f>
        <v>9</v>
      </c>
      <c r="Y356" s="35" t="e">
        <f>FME_Ranking_Option2!$X356*X$4</f>
        <v>#REF!</v>
      </c>
      <c r="Z356" s="35">
        <f>FME_Ranking_Option2!$X356/($X$3)</f>
        <v>8.2101806239737272E-4</v>
      </c>
      <c r="AA356" s="35" t="e">
        <f>FME_Ranking_Option2!$Z356*X$4</f>
        <v>#REF!</v>
      </c>
      <c r="AB356" s="37">
        <f>_xlfn.XLOOKUP(FME_Ranking2[[#This Row],[FME ID]],FME_Input[FME_ID],FME_Input[ROADCLS])</f>
        <v>9</v>
      </c>
      <c r="AC356" s="35" t="e">
        <f>FME_Ranking_Option2!$AB356*AB$4</f>
        <v>#REF!</v>
      </c>
      <c r="AD356" s="40">
        <f>_xlfn.XLOOKUP(FME_Ranking2[[#This Row],[FME ID]],FME_Input[FME_ID],FME_Input[ROAD_MILES100])</f>
        <v>9.8994226455688477</v>
      </c>
      <c r="AE356" s="41" t="e">
        <f>FME_Ranking_Option2!$AD356*AD$4</f>
        <v>#REF!</v>
      </c>
      <c r="AF356" s="42">
        <f>FME_Ranking_Option2!$AD356/($AD$3)</f>
        <v>2.236010599210992E-4</v>
      </c>
      <c r="AG356" s="42" t="e">
        <f>FME_Ranking_Option2!$AF356*AD$4</f>
        <v>#REF!</v>
      </c>
      <c r="AH356" s="40">
        <f>_xlfn.XLOOKUP(FME_Ranking2[[#This Row],[FME ID]],FME_Input[FME_ID],FME_Input[FARMACRE100])</f>
        <v>2.4494938850402832</v>
      </c>
      <c r="AI356" s="43" t="e">
        <f>FME_Ranking_Option2!$AH356*AH$4</f>
        <v>#REF!</v>
      </c>
      <c r="AJ356" s="41">
        <f>FME_Ranking_Option2!$AH356/($AH$3)</f>
        <v>1.4223216417797693E-4</v>
      </c>
      <c r="AK356" s="44" t="e">
        <f>FME_Ranking_Option2!$AJ356*AH$4</f>
        <v>#REF!</v>
      </c>
      <c r="AL356"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56" s="58" t="e">
        <f>_xlfn.RANK.EQ(AL356,$AL$7:$AL$531)+COUNTIF(AL$7:AL356,AL356)-1</f>
        <v>#REF!</v>
      </c>
      <c r="AN356" s="44"/>
      <c r="AO356" s="58" t="e">
        <f>_xlfn.RANK.EQ(AN356,$AN$7:$AN$531)+COUNTIF(AN$7:AN356,AN356)-1</f>
        <v>#N/A</v>
      </c>
      <c r="AP35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56" s="32" t="e">
        <f>FME_Ranking2[[#This Row],[Score Based on Reported Factors]]-FME_Ranking2[[#This Row],[Check]]</f>
        <v>#REF!</v>
      </c>
      <c r="AR356" s="32"/>
    </row>
    <row r="357" spans="1:55" ht="12" customHeight="1" x14ac:dyDescent="0.25">
      <c r="A357" s="16" t="s">
        <v>745</v>
      </c>
      <c r="B357" s="16" t="str">
        <f>_xlfn.XLOOKUP(FME_Ranking2[[#This Row],[FME ID]],FME_Input[FME_ID],FME_Input[FME_NAME])</f>
        <v>East Fork North - Alligator Creek Watershed
"</v>
      </c>
      <c r="C357" s="16" t="str">
        <f>_xlfn.XLOOKUP(FME_Ranking2[[#This Row],[FME ID]],FME_Input[FME_ID],FME_Input[DESCR])</f>
        <v>Develop a benefits cost analysis in support of this project identied in the City of Conroe Master Drainage Plan.</v>
      </c>
      <c r="D357" s="46" t="str">
        <f>_xlfn.XLOOKUP(FME_Ranking2[[#This Row],[FME ID]],FME_Input[FME_ID],FME_Input[EMER_NEED])</f>
        <v>No</v>
      </c>
      <c r="E357" s="121">
        <f>IF(FME_Ranking_Option2!$D357="Yes",100,0)</f>
        <v>0</v>
      </c>
      <c r="F357" s="47" t="str">
        <f>_xlfn.XLOOKUP(FME_Ranking2[[#This Row],[FME ID]],FME_Input[FME_ID],FME_Input[FUND])</f>
        <v>Yes</v>
      </c>
      <c r="G357" s="48">
        <f>IF(FME_Ranking_Option2!$F357="Yes",1,0)</f>
        <v>1</v>
      </c>
      <c r="H357" s="46">
        <f>_xlfn.XLOOKUP(FME_Ranking2[[#This Row],[FME ID]],FME_Input[FME_ID],FME_Input[STRUCT_100])</f>
        <v>516</v>
      </c>
      <c r="I357" s="65" t="e">
        <f>FME_Ranking2[[#This Row],[Raw Data3]]*H$4</f>
        <v>#REF!</v>
      </c>
      <c r="J357" s="62">
        <f>((FME_Ranking_Option2!$H357)/($H$3))*100</f>
        <v>5.7341679733383416E-2</v>
      </c>
      <c r="K357" s="49" t="e">
        <f>FME_Ranking2[[#This Row],[Norm Data3]]*H$4</f>
        <v>#REF!</v>
      </c>
      <c r="L357" s="50">
        <f>_xlfn.XLOOKUP(FME_Ranking2[[#This Row],[FME ID]],FME_Input[FME_ID],FME_Input[RES_STRUCT100])</f>
        <v>426</v>
      </c>
      <c r="M357" s="51" t="e">
        <f>FME_Ranking2[[#This Row],[Raw Data4]]*L$4</f>
        <v>#REF!</v>
      </c>
      <c r="N357" s="29">
        <f>((FME_Ranking_Option2!$L357)/($L$3))*100</f>
        <v>6.3688268351864225E-2</v>
      </c>
      <c r="O357" s="52" t="e">
        <f>FME_Ranking2[[#This Row],[Norm Data4]]*L$4</f>
        <v>#REF!</v>
      </c>
      <c r="P357" s="47">
        <f>_xlfn.XLOOKUP(FME_Ranking2[[#This Row],[FME ID]],FME_Input[FME_ID],FME_Input[POP100])</f>
        <v>3099</v>
      </c>
      <c r="Q357" s="48" t="e">
        <f>FME_Ranking_Option2!$P357*P$4</f>
        <v>#REF!</v>
      </c>
      <c r="R357" s="48">
        <f>FME_Ranking_Option2!$P357/($P$3)</f>
        <v>1.1373988030703528E-3</v>
      </c>
      <c r="S357" s="48" t="e">
        <f>FME_Ranking_Option2!$R357*P$4</f>
        <v>#REF!</v>
      </c>
      <c r="T357" s="50">
        <f>_xlfn.XLOOKUP(FME_Ranking2[[#This Row],[FME ID]],FME_Input[FME_ID],FME_Input[CRITFAC100])</f>
        <v>2</v>
      </c>
      <c r="U357" s="48" t="e">
        <f>FME_Ranking_Option2!$T357*T$4</f>
        <v>#REF!</v>
      </c>
      <c r="V357" s="48">
        <f>FME_Ranking_Option2!$T357/($T$3)</f>
        <v>2.8204766605556341E-4</v>
      </c>
      <c r="W357" s="48" t="e">
        <f>FME_Ranking_Option2!$V357*T$4</f>
        <v>#REF!</v>
      </c>
      <c r="X357" s="50">
        <f>_xlfn.XLOOKUP(FME_Ranking2[[#This Row],[FME ID]],FME_Input[FME_ID],FME_Input[LWC])</f>
        <v>9</v>
      </c>
      <c r="Y357" s="48" t="e">
        <f>FME_Ranking_Option2!$X357*X$4</f>
        <v>#REF!</v>
      </c>
      <c r="Z357" s="48">
        <f>FME_Ranking_Option2!$X357/($X$3)</f>
        <v>8.2101806239737272E-4</v>
      </c>
      <c r="AA357" s="48" t="e">
        <f>FME_Ranking_Option2!$Z357*X$4</f>
        <v>#REF!</v>
      </c>
      <c r="AB357" s="50">
        <f>_xlfn.XLOOKUP(FME_Ranking2[[#This Row],[FME ID]],FME_Input[FME_ID],FME_Input[ROADCLS])</f>
        <v>9</v>
      </c>
      <c r="AC357" s="48" t="e">
        <f>FME_Ranking_Option2!$AB357*AB$4</f>
        <v>#REF!</v>
      </c>
      <c r="AD357" s="53">
        <f>_xlfn.XLOOKUP(FME_Ranking2[[#This Row],[FME ID]],FME_Input[FME_ID],FME_Input[ROAD_MILES100])</f>
        <v>9.8994226455688477</v>
      </c>
      <c r="AE357" s="54" t="e">
        <f>FME_Ranking_Option2!$AD357*AD$4</f>
        <v>#REF!</v>
      </c>
      <c r="AF357" s="55">
        <f>FME_Ranking_Option2!$AD357/($AD$3)</f>
        <v>2.236010599210992E-4</v>
      </c>
      <c r="AG357" s="55" t="e">
        <f>FME_Ranking_Option2!$AF357*AD$4</f>
        <v>#REF!</v>
      </c>
      <c r="AH357" s="53">
        <f>_xlfn.XLOOKUP(FME_Ranking2[[#This Row],[FME ID]],FME_Input[FME_ID],FME_Input[FARMACRE100])</f>
        <v>2.4494938850402832</v>
      </c>
      <c r="AI357" s="54" t="e">
        <f>FME_Ranking_Option2!$AH357*AH$4</f>
        <v>#REF!</v>
      </c>
      <c r="AJ357" s="56">
        <f>FME_Ranking_Option2!$AH357/($AH$3)</f>
        <v>1.4223216417797693E-4</v>
      </c>
      <c r="AK357" s="57" t="e">
        <f>FME_Ranking_Option2!$AJ357*AH$4</f>
        <v>#REF!</v>
      </c>
      <c r="AL357"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57" s="45" t="e">
        <f>_xlfn.RANK.EQ(AL357,$AL$7:$AL$531)+COUNTIF(AL$7:AL357,AL357)-1</f>
        <v>#REF!</v>
      </c>
      <c r="AN357" s="57"/>
      <c r="AO357" s="45" t="e">
        <f>_xlfn.RANK.EQ(AN357,$AN$7:$AN$531)+COUNTIF(AN$7:AN357,AN357)-1</f>
        <v>#N/A</v>
      </c>
      <c r="AP35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57" s="32" t="e">
        <f>FME_Ranking2[[#This Row],[Score Based on Reported Factors]]-FME_Ranking2[[#This Row],[Check]]</f>
        <v>#REF!</v>
      </c>
      <c r="AR357" s="32"/>
      <c r="AT357" s="19"/>
      <c r="AU357" s="19"/>
      <c r="AV357" s="19"/>
      <c r="AW357" s="19"/>
      <c r="AX357" s="19"/>
      <c r="AY357" s="19"/>
      <c r="AZ357" s="19"/>
      <c r="BA357" s="19"/>
      <c r="BB357" s="19"/>
      <c r="BC357" s="19"/>
    </row>
    <row r="358" spans="1:55" ht="12" customHeight="1" x14ac:dyDescent="0.25">
      <c r="A358" s="17" t="s">
        <v>747</v>
      </c>
      <c r="B358" s="17" t="str">
        <f>_xlfn.XLOOKUP(FME_Ranking2[[#This Row],[FME ID]],FME_Input[FME_ID],FME_Input[FME_NAME])</f>
        <v>East Fork South - Alligator Creek Watershed
"</v>
      </c>
      <c r="C358" s="17" t="str">
        <f>_xlfn.XLOOKUP(FME_Ranking2[[#This Row],[FME ID]],FME_Input[FME_ID],FME_Input[DESCR])</f>
        <v>Develop a benefits cost analysis in support of this project identied in the City of Conroe Master Drainage Plan.</v>
      </c>
      <c r="D358" s="33" t="str">
        <f>_xlfn.XLOOKUP(FME_Ranking2[[#This Row],[FME ID]],FME_Input[FME_ID],FME_Input[EMER_NEED])</f>
        <v>No</v>
      </c>
      <c r="E358" s="120">
        <f>IF(FME_Ranking_Option2!$D358="Yes",100,0)</f>
        <v>0</v>
      </c>
      <c r="F358" s="34" t="str">
        <f>_xlfn.XLOOKUP(FME_Ranking2[[#This Row],[FME ID]],FME_Input[FME_ID],FME_Input[FUND])</f>
        <v>Yes</v>
      </c>
      <c r="G358" s="35">
        <f>IF(FME_Ranking_Option2!$F358="Yes",1,0)</f>
        <v>1</v>
      </c>
      <c r="H358" s="33">
        <f>_xlfn.XLOOKUP(FME_Ranking2[[#This Row],[FME ID]],FME_Input[FME_ID],FME_Input[STRUCT_100])</f>
        <v>516</v>
      </c>
      <c r="I358" s="64" t="e">
        <f>FME_Ranking2[[#This Row],[Raw Data3]]*H$4</f>
        <v>#REF!</v>
      </c>
      <c r="J358" s="63">
        <f>((FME_Ranking_Option2!$H358)/($H$3))*100</f>
        <v>5.7341679733383416E-2</v>
      </c>
      <c r="K358" s="36" t="e">
        <f>FME_Ranking2[[#This Row],[Norm Data3]]*H$4</f>
        <v>#REF!</v>
      </c>
      <c r="L358" s="37">
        <f>_xlfn.XLOOKUP(FME_Ranking2[[#This Row],[FME ID]],FME_Input[FME_ID],FME_Input[RES_STRUCT100])</f>
        <v>426</v>
      </c>
      <c r="M358" s="38" t="e">
        <f>FME_Ranking2[[#This Row],[Raw Data4]]*L$4</f>
        <v>#REF!</v>
      </c>
      <c r="N358" s="28">
        <f>((FME_Ranking_Option2!$L358)/($L$3))*100</f>
        <v>6.3688268351864225E-2</v>
      </c>
      <c r="O358" s="39" t="e">
        <f>FME_Ranking2[[#This Row],[Norm Data4]]*L$4</f>
        <v>#REF!</v>
      </c>
      <c r="P358" s="34">
        <f>_xlfn.XLOOKUP(FME_Ranking2[[#This Row],[FME ID]],FME_Input[FME_ID],FME_Input[POP100])</f>
        <v>3099</v>
      </c>
      <c r="Q358" s="35" t="e">
        <f>FME_Ranking_Option2!$P358*P$4</f>
        <v>#REF!</v>
      </c>
      <c r="R358" s="35">
        <f>FME_Ranking_Option2!$P358/($P$3)</f>
        <v>1.1373988030703528E-3</v>
      </c>
      <c r="S358" s="35" t="e">
        <f>FME_Ranking_Option2!$R358*P$4</f>
        <v>#REF!</v>
      </c>
      <c r="T358" s="37">
        <f>_xlfn.XLOOKUP(FME_Ranking2[[#This Row],[FME ID]],FME_Input[FME_ID],FME_Input[CRITFAC100])</f>
        <v>2</v>
      </c>
      <c r="U358" s="35" t="e">
        <f>FME_Ranking_Option2!$T358*T$4</f>
        <v>#REF!</v>
      </c>
      <c r="V358" s="35">
        <f>FME_Ranking_Option2!$T358/($T$3)</f>
        <v>2.8204766605556341E-4</v>
      </c>
      <c r="W358" s="35" t="e">
        <f>FME_Ranking_Option2!$V358*T$4</f>
        <v>#REF!</v>
      </c>
      <c r="X358" s="37">
        <f>_xlfn.XLOOKUP(FME_Ranking2[[#This Row],[FME ID]],FME_Input[FME_ID],FME_Input[LWC])</f>
        <v>9</v>
      </c>
      <c r="Y358" s="35" t="e">
        <f>FME_Ranking_Option2!$X358*X$4</f>
        <v>#REF!</v>
      </c>
      <c r="Z358" s="35">
        <f>FME_Ranking_Option2!$X358/($X$3)</f>
        <v>8.2101806239737272E-4</v>
      </c>
      <c r="AA358" s="35" t="e">
        <f>FME_Ranking_Option2!$Z358*X$4</f>
        <v>#REF!</v>
      </c>
      <c r="AB358" s="37">
        <f>_xlfn.XLOOKUP(FME_Ranking2[[#This Row],[FME ID]],FME_Input[FME_ID],FME_Input[ROADCLS])</f>
        <v>9</v>
      </c>
      <c r="AC358" s="35" t="e">
        <f>FME_Ranking_Option2!$AB358*AB$4</f>
        <v>#REF!</v>
      </c>
      <c r="AD358" s="40">
        <f>_xlfn.XLOOKUP(FME_Ranking2[[#This Row],[FME ID]],FME_Input[FME_ID],FME_Input[ROAD_MILES100])</f>
        <v>9.8994226455688477</v>
      </c>
      <c r="AE358" s="41" t="e">
        <f>FME_Ranking_Option2!$AD358*AD$4</f>
        <v>#REF!</v>
      </c>
      <c r="AF358" s="42">
        <f>FME_Ranking_Option2!$AD358/($AD$3)</f>
        <v>2.236010599210992E-4</v>
      </c>
      <c r="AG358" s="42" t="e">
        <f>FME_Ranking_Option2!$AF358*AD$4</f>
        <v>#REF!</v>
      </c>
      <c r="AH358" s="40">
        <f>_xlfn.XLOOKUP(FME_Ranking2[[#This Row],[FME ID]],FME_Input[FME_ID],FME_Input[FARMACRE100])</f>
        <v>2.4494938850402832</v>
      </c>
      <c r="AI358" s="43" t="e">
        <f>FME_Ranking_Option2!$AH358*AH$4</f>
        <v>#REF!</v>
      </c>
      <c r="AJ358" s="41">
        <f>FME_Ranking_Option2!$AH358/($AH$3)</f>
        <v>1.4223216417797693E-4</v>
      </c>
      <c r="AK358" s="44" t="e">
        <f>FME_Ranking_Option2!$AJ358*AH$4</f>
        <v>#REF!</v>
      </c>
      <c r="AL358"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58" s="58" t="e">
        <f>_xlfn.RANK.EQ(AL358,$AL$7:$AL$531)+COUNTIF(AL$7:AL358,AL358)-1</f>
        <v>#REF!</v>
      </c>
      <c r="AN358" s="44"/>
      <c r="AO358" s="58" t="e">
        <f>_xlfn.RANK.EQ(AN358,$AN$7:$AN$531)+COUNTIF(AN$7:AN358,AN358)-1</f>
        <v>#N/A</v>
      </c>
      <c r="AP35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58" s="32" t="e">
        <f>FME_Ranking2[[#This Row],[Score Based on Reported Factors]]-FME_Ranking2[[#This Row],[Check]]</f>
        <v>#REF!</v>
      </c>
      <c r="AR358" s="32"/>
    </row>
    <row r="359" spans="1:55" ht="12" customHeight="1" x14ac:dyDescent="0.25">
      <c r="A359" s="16" t="s">
        <v>749</v>
      </c>
      <c r="B359" s="16" t="str">
        <f>_xlfn.XLOOKUP(FME_Ranking2[[#This Row],[FME ID]],FME_Input[FME_ID],FME_Input[FME_NAME])</f>
        <v>West Branch - Alligator Creek Watershed</v>
      </c>
      <c r="C359" s="16" t="str">
        <f>_xlfn.XLOOKUP(FME_Ranking2[[#This Row],[FME ID]],FME_Input[FME_ID],FME_Input[DESCR])</f>
        <v>Develop a benefits cost analysis in support of this project identied in the City of Conroe Master Drainage Plan.</v>
      </c>
      <c r="D359" s="46" t="str">
        <f>_xlfn.XLOOKUP(FME_Ranking2[[#This Row],[FME ID]],FME_Input[FME_ID],FME_Input[EMER_NEED])</f>
        <v>No</v>
      </c>
      <c r="E359" s="121">
        <f>IF(FME_Ranking_Option2!$D359="Yes",100,0)</f>
        <v>0</v>
      </c>
      <c r="F359" s="47" t="str">
        <f>_xlfn.XLOOKUP(FME_Ranking2[[#This Row],[FME ID]],FME_Input[FME_ID],FME_Input[FUND])</f>
        <v>Yes</v>
      </c>
      <c r="G359" s="48">
        <f>IF(FME_Ranking_Option2!$F359="Yes",1,0)</f>
        <v>1</v>
      </c>
      <c r="H359" s="46">
        <f>_xlfn.XLOOKUP(FME_Ranking2[[#This Row],[FME ID]],FME_Input[FME_ID],FME_Input[STRUCT_100])</f>
        <v>516</v>
      </c>
      <c r="I359" s="65" t="e">
        <f>FME_Ranking2[[#This Row],[Raw Data3]]*H$4</f>
        <v>#REF!</v>
      </c>
      <c r="J359" s="62">
        <f>((FME_Ranking_Option2!$H359)/($H$3))*100</f>
        <v>5.7341679733383416E-2</v>
      </c>
      <c r="K359" s="49" t="e">
        <f>FME_Ranking2[[#This Row],[Norm Data3]]*H$4</f>
        <v>#REF!</v>
      </c>
      <c r="L359" s="50">
        <f>_xlfn.XLOOKUP(FME_Ranking2[[#This Row],[FME ID]],FME_Input[FME_ID],FME_Input[RES_STRUCT100])</f>
        <v>426</v>
      </c>
      <c r="M359" s="51" t="e">
        <f>FME_Ranking2[[#This Row],[Raw Data4]]*L$4</f>
        <v>#REF!</v>
      </c>
      <c r="N359" s="29">
        <f>((FME_Ranking_Option2!$L359)/($L$3))*100</f>
        <v>6.3688268351864225E-2</v>
      </c>
      <c r="O359" s="52" t="e">
        <f>FME_Ranking2[[#This Row],[Norm Data4]]*L$4</f>
        <v>#REF!</v>
      </c>
      <c r="P359" s="47">
        <f>_xlfn.XLOOKUP(FME_Ranking2[[#This Row],[FME ID]],FME_Input[FME_ID],FME_Input[POP100])</f>
        <v>3099</v>
      </c>
      <c r="Q359" s="48" t="e">
        <f>FME_Ranking_Option2!$P359*P$4</f>
        <v>#REF!</v>
      </c>
      <c r="R359" s="48">
        <f>FME_Ranking_Option2!$P359/($P$3)</f>
        <v>1.1373988030703528E-3</v>
      </c>
      <c r="S359" s="48" t="e">
        <f>FME_Ranking_Option2!$R359*P$4</f>
        <v>#REF!</v>
      </c>
      <c r="T359" s="50">
        <f>_xlfn.XLOOKUP(FME_Ranking2[[#This Row],[FME ID]],FME_Input[FME_ID],FME_Input[CRITFAC100])</f>
        <v>2</v>
      </c>
      <c r="U359" s="48" t="e">
        <f>FME_Ranking_Option2!$T359*T$4</f>
        <v>#REF!</v>
      </c>
      <c r="V359" s="48">
        <f>FME_Ranking_Option2!$T359/($T$3)</f>
        <v>2.8204766605556341E-4</v>
      </c>
      <c r="W359" s="48" t="e">
        <f>FME_Ranking_Option2!$V359*T$4</f>
        <v>#REF!</v>
      </c>
      <c r="X359" s="50">
        <f>_xlfn.XLOOKUP(FME_Ranking2[[#This Row],[FME ID]],FME_Input[FME_ID],FME_Input[LWC])</f>
        <v>9</v>
      </c>
      <c r="Y359" s="48" t="e">
        <f>FME_Ranking_Option2!$X359*X$4</f>
        <v>#REF!</v>
      </c>
      <c r="Z359" s="48">
        <f>FME_Ranking_Option2!$X359/($X$3)</f>
        <v>8.2101806239737272E-4</v>
      </c>
      <c r="AA359" s="48" t="e">
        <f>FME_Ranking_Option2!$Z359*X$4</f>
        <v>#REF!</v>
      </c>
      <c r="AB359" s="50">
        <f>_xlfn.XLOOKUP(FME_Ranking2[[#This Row],[FME ID]],FME_Input[FME_ID],FME_Input[ROADCLS])</f>
        <v>9</v>
      </c>
      <c r="AC359" s="48" t="e">
        <f>FME_Ranking_Option2!$AB359*AB$4</f>
        <v>#REF!</v>
      </c>
      <c r="AD359" s="53">
        <f>_xlfn.XLOOKUP(FME_Ranking2[[#This Row],[FME ID]],FME_Input[FME_ID],FME_Input[ROAD_MILES100])</f>
        <v>9.8994226455688477</v>
      </c>
      <c r="AE359" s="54" t="e">
        <f>FME_Ranking_Option2!$AD359*AD$4</f>
        <v>#REF!</v>
      </c>
      <c r="AF359" s="55">
        <f>FME_Ranking_Option2!$AD359/($AD$3)</f>
        <v>2.236010599210992E-4</v>
      </c>
      <c r="AG359" s="55" t="e">
        <f>FME_Ranking_Option2!$AF359*AD$4</f>
        <v>#REF!</v>
      </c>
      <c r="AH359" s="53">
        <f>_xlfn.XLOOKUP(FME_Ranking2[[#This Row],[FME ID]],FME_Input[FME_ID],FME_Input[FARMACRE100])</f>
        <v>2.4494938850402832</v>
      </c>
      <c r="AI359" s="54" t="e">
        <f>FME_Ranking_Option2!$AH359*AH$4</f>
        <v>#REF!</v>
      </c>
      <c r="AJ359" s="56">
        <f>FME_Ranking_Option2!$AH359/($AH$3)</f>
        <v>1.4223216417797693E-4</v>
      </c>
      <c r="AK359" s="57" t="e">
        <f>FME_Ranking_Option2!$AJ359*AH$4</f>
        <v>#REF!</v>
      </c>
      <c r="AL359"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59" s="45" t="e">
        <f>_xlfn.RANK.EQ(AL359,$AL$7:$AL$531)+COUNTIF(AL$7:AL359,AL359)-1</f>
        <v>#REF!</v>
      </c>
      <c r="AN359" s="57"/>
      <c r="AO359" s="45" t="e">
        <f>_xlfn.RANK.EQ(AN359,$AN$7:$AN$531)+COUNTIF(AN$7:AN359,AN359)-1</f>
        <v>#N/A</v>
      </c>
      <c r="AP35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59" s="32" t="e">
        <f>FME_Ranking2[[#This Row],[Score Based on Reported Factors]]-FME_Ranking2[[#This Row],[Check]]</f>
        <v>#REF!</v>
      </c>
      <c r="AR359" s="32"/>
      <c r="AT359" s="19"/>
      <c r="AU359" s="19"/>
      <c r="AV359" s="19"/>
      <c r="AW359" s="19"/>
      <c r="AX359" s="19"/>
      <c r="AY359" s="19"/>
      <c r="AZ359" s="19"/>
      <c r="BA359" s="19"/>
      <c r="BB359" s="19"/>
      <c r="BC359" s="19"/>
    </row>
    <row r="360" spans="1:55" ht="12" customHeight="1" x14ac:dyDescent="0.25">
      <c r="A360" s="17" t="s">
        <v>751</v>
      </c>
      <c r="B360" s="17" t="str">
        <f>_xlfn.XLOOKUP(FME_Ranking2[[#This Row],[FME ID]],FME_Input[FME_ID],FME_Input[FME_NAME])</f>
        <v>Oak Hollow - Alligator Creek Watershed</v>
      </c>
      <c r="C360" s="17" t="str">
        <f>_xlfn.XLOOKUP(FME_Ranking2[[#This Row],[FME ID]],FME_Input[FME_ID],FME_Input[DESCR])</f>
        <v>Develop a benefits cost analysis in support of this project identied in the City of Conroe Master Drainage Plan.</v>
      </c>
      <c r="D360" s="33" t="str">
        <f>_xlfn.XLOOKUP(FME_Ranking2[[#This Row],[FME ID]],FME_Input[FME_ID],FME_Input[EMER_NEED])</f>
        <v>No</v>
      </c>
      <c r="E360" s="120">
        <f>IF(FME_Ranking_Option2!$D360="Yes",100,0)</f>
        <v>0</v>
      </c>
      <c r="F360" s="34" t="str">
        <f>_xlfn.XLOOKUP(FME_Ranking2[[#This Row],[FME ID]],FME_Input[FME_ID],FME_Input[FUND])</f>
        <v>Yes</v>
      </c>
      <c r="G360" s="35">
        <f>IF(FME_Ranking_Option2!$F360="Yes",1,0)</f>
        <v>1</v>
      </c>
      <c r="H360" s="33">
        <f>_xlfn.XLOOKUP(FME_Ranking2[[#This Row],[FME ID]],FME_Input[FME_ID],FME_Input[STRUCT_100])</f>
        <v>516</v>
      </c>
      <c r="I360" s="64" t="e">
        <f>FME_Ranking2[[#This Row],[Raw Data3]]*H$4</f>
        <v>#REF!</v>
      </c>
      <c r="J360" s="63">
        <f>((FME_Ranking_Option2!$H360)/($H$3))*100</f>
        <v>5.7341679733383416E-2</v>
      </c>
      <c r="K360" s="36" t="e">
        <f>FME_Ranking2[[#This Row],[Norm Data3]]*H$4</f>
        <v>#REF!</v>
      </c>
      <c r="L360" s="37">
        <f>_xlfn.XLOOKUP(FME_Ranking2[[#This Row],[FME ID]],FME_Input[FME_ID],FME_Input[RES_STRUCT100])</f>
        <v>426</v>
      </c>
      <c r="M360" s="38" t="e">
        <f>FME_Ranking2[[#This Row],[Raw Data4]]*L$4</f>
        <v>#REF!</v>
      </c>
      <c r="N360" s="28">
        <f>((FME_Ranking_Option2!$L360)/($L$3))*100</f>
        <v>6.3688268351864225E-2</v>
      </c>
      <c r="O360" s="39" t="e">
        <f>FME_Ranking2[[#This Row],[Norm Data4]]*L$4</f>
        <v>#REF!</v>
      </c>
      <c r="P360" s="34">
        <f>_xlfn.XLOOKUP(FME_Ranking2[[#This Row],[FME ID]],FME_Input[FME_ID],FME_Input[POP100])</f>
        <v>3099</v>
      </c>
      <c r="Q360" s="35" t="e">
        <f>FME_Ranking_Option2!$P360*P$4</f>
        <v>#REF!</v>
      </c>
      <c r="R360" s="35">
        <f>FME_Ranking_Option2!$P360/($P$3)</f>
        <v>1.1373988030703528E-3</v>
      </c>
      <c r="S360" s="35" t="e">
        <f>FME_Ranking_Option2!$R360*P$4</f>
        <v>#REF!</v>
      </c>
      <c r="T360" s="37">
        <f>_xlfn.XLOOKUP(FME_Ranking2[[#This Row],[FME ID]],FME_Input[FME_ID],FME_Input[CRITFAC100])</f>
        <v>2</v>
      </c>
      <c r="U360" s="35" t="e">
        <f>FME_Ranking_Option2!$T360*T$4</f>
        <v>#REF!</v>
      </c>
      <c r="V360" s="35">
        <f>FME_Ranking_Option2!$T360/($T$3)</f>
        <v>2.8204766605556341E-4</v>
      </c>
      <c r="W360" s="35" t="e">
        <f>FME_Ranking_Option2!$V360*T$4</f>
        <v>#REF!</v>
      </c>
      <c r="X360" s="37">
        <f>_xlfn.XLOOKUP(FME_Ranking2[[#This Row],[FME ID]],FME_Input[FME_ID],FME_Input[LWC])</f>
        <v>9</v>
      </c>
      <c r="Y360" s="35" t="e">
        <f>FME_Ranking_Option2!$X360*X$4</f>
        <v>#REF!</v>
      </c>
      <c r="Z360" s="35">
        <f>FME_Ranking_Option2!$X360/($X$3)</f>
        <v>8.2101806239737272E-4</v>
      </c>
      <c r="AA360" s="35" t="e">
        <f>FME_Ranking_Option2!$Z360*X$4</f>
        <v>#REF!</v>
      </c>
      <c r="AB360" s="37">
        <f>_xlfn.XLOOKUP(FME_Ranking2[[#This Row],[FME ID]],FME_Input[FME_ID],FME_Input[ROADCLS])</f>
        <v>9</v>
      </c>
      <c r="AC360" s="35" t="e">
        <f>FME_Ranking_Option2!$AB360*AB$4</f>
        <v>#REF!</v>
      </c>
      <c r="AD360" s="40">
        <f>_xlfn.XLOOKUP(FME_Ranking2[[#This Row],[FME ID]],FME_Input[FME_ID],FME_Input[ROAD_MILES100])</f>
        <v>9.8994226455688477</v>
      </c>
      <c r="AE360" s="41" t="e">
        <f>FME_Ranking_Option2!$AD360*AD$4</f>
        <v>#REF!</v>
      </c>
      <c r="AF360" s="42">
        <f>FME_Ranking_Option2!$AD360/($AD$3)</f>
        <v>2.236010599210992E-4</v>
      </c>
      <c r="AG360" s="42" t="e">
        <f>FME_Ranking_Option2!$AF360*AD$4</f>
        <v>#REF!</v>
      </c>
      <c r="AH360" s="40">
        <f>_xlfn.XLOOKUP(FME_Ranking2[[#This Row],[FME ID]],FME_Input[FME_ID],FME_Input[FARMACRE100])</f>
        <v>2.4494938850402832</v>
      </c>
      <c r="AI360" s="43" t="e">
        <f>FME_Ranking_Option2!$AH360*AH$4</f>
        <v>#REF!</v>
      </c>
      <c r="AJ360" s="41">
        <f>FME_Ranking_Option2!$AH360/($AH$3)</f>
        <v>1.4223216417797693E-4</v>
      </c>
      <c r="AK360" s="44" t="e">
        <f>FME_Ranking_Option2!$AJ360*AH$4</f>
        <v>#REF!</v>
      </c>
      <c r="AL360"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60" s="58" t="e">
        <f>_xlfn.RANK.EQ(AL360,$AL$7:$AL$531)+COUNTIF(AL$7:AL360,AL360)-1</f>
        <v>#REF!</v>
      </c>
      <c r="AN360" s="44"/>
      <c r="AO360" s="58" t="e">
        <f>_xlfn.RANK.EQ(AN360,$AN$7:$AN$531)+COUNTIF(AN$7:AN360,AN360)-1</f>
        <v>#N/A</v>
      </c>
      <c r="AP36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60" s="32" t="e">
        <f>FME_Ranking2[[#This Row],[Score Based on Reported Factors]]-FME_Ranking2[[#This Row],[Check]]</f>
        <v>#REF!</v>
      </c>
      <c r="AR360" s="32"/>
    </row>
    <row r="361" spans="1:55" ht="12" customHeight="1" x14ac:dyDescent="0.25">
      <c r="A361" s="16" t="s">
        <v>753</v>
      </c>
      <c r="B361" s="16" t="str">
        <f>_xlfn.XLOOKUP(FME_Ranking2[[#This Row],[FME ID]],FME_Input[FME_ID],FME_Input[FME_NAME])</f>
        <v>Cable - Alligator Creek Watershed</v>
      </c>
      <c r="C361" s="16" t="str">
        <f>_xlfn.XLOOKUP(FME_Ranking2[[#This Row],[FME ID]],FME_Input[FME_ID],FME_Input[DESCR])</f>
        <v>Develop a benefits cost analysis in support of this project identied in the City of Conroe Master Drainage Plan.</v>
      </c>
      <c r="D361" s="46" t="str">
        <f>_xlfn.XLOOKUP(FME_Ranking2[[#This Row],[FME ID]],FME_Input[FME_ID],FME_Input[EMER_NEED])</f>
        <v>No</v>
      </c>
      <c r="E361" s="121">
        <f>IF(FME_Ranking_Option2!$D361="Yes",100,0)</f>
        <v>0</v>
      </c>
      <c r="F361" s="47" t="str">
        <f>_xlfn.XLOOKUP(FME_Ranking2[[#This Row],[FME ID]],FME_Input[FME_ID],FME_Input[FUND])</f>
        <v>Yes</v>
      </c>
      <c r="G361" s="48">
        <f>IF(FME_Ranking_Option2!$F361="Yes",1,0)</f>
        <v>1</v>
      </c>
      <c r="H361" s="46">
        <f>_xlfn.XLOOKUP(FME_Ranking2[[#This Row],[FME ID]],FME_Input[FME_ID],FME_Input[STRUCT_100])</f>
        <v>516</v>
      </c>
      <c r="I361" s="65" t="e">
        <f>FME_Ranking2[[#This Row],[Raw Data3]]*H$4</f>
        <v>#REF!</v>
      </c>
      <c r="J361" s="62">
        <f>((FME_Ranking_Option2!$H361)/($H$3))*100</f>
        <v>5.7341679733383416E-2</v>
      </c>
      <c r="K361" s="49" t="e">
        <f>FME_Ranking2[[#This Row],[Norm Data3]]*H$4</f>
        <v>#REF!</v>
      </c>
      <c r="L361" s="50">
        <f>_xlfn.XLOOKUP(FME_Ranking2[[#This Row],[FME ID]],FME_Input[FME_ID],FME_Input[RES_STRUCT100])</f>
        <v>426</v>
      </c>
      <c r="M361" s="51" t="e">
        <f>FME_Ranking2[[#This Row],[Raw Data4]]*L$4</f>
        <v>#REF!</v>
      </c>
      <c r="N361" s="29">
        <f>((FME_Ranking_Option2!$L361)/($L$3))*100</f>
        <v>6.3688268351864225E-2</v>
      </c>
      <c r="O361" s="52" t="e">
        <f>FME_Ranking2[[#This Row],[Norm Data4]]*L$4</f>
        <v>#REF!</v>
      </c>
      <c r="P361" s="47">
        <f>_xlfn.XLOOKUP(FME_Ranking2[[#This Row],[FME ID]],FME_Input[FME_ID],FME_Input[POP100])</f>
        <v>3099</v>
      </c>
      <c r="Q361" s="48" t="e">
        <f>FME_Ranking_Option2!$P361*P$4</f>
        <v>#REF!</v>
      </c>
      <c r="R361" s="48">
        <f>FME_Ranking_Option2!$P361/($P$3)</f>
        <v>1.1373988030703528E-3</v>
      </c>
      <c r="S361" s="48" t="e">
        <f>FME_Ranking_Option2!$R361*P$4</f>
        <v>#REF!</v>
      </c>
      <c r="T361" s="50">
        <f>_xlfn.XLOOKUP(FME_Ranking2[[#This Row],[FME ID]],FME_Input[FME_ID],FME_Input[CRITFAC100])</f>
        <v>2</v>
      </c>
      <c r="U361" s="48" t="e">
        <f>FME_Ranking_Option2!$T361*T$4</f>
        <v>#REF!</v>
      </c>
      <c r="V361" s="48">
        <f>FME_Ranking_Option2!$T361/($T$3)</f>
        <v>2.8204766605556341E-4</v>
      </c>
      <c r="W361" s="48" t="e">
        <f>FME_Ranking_Option2!$V361*T$4</f>
        <v>#REF!</v>
      </c>
      <c r="X361" s="50">
        <f>_xlfn.XLOOKUP(FME_Ranking2[[#This Row],[FME ID]],FME_Input[FME_ID],FME_Input[LWC])</f>
        <v>9</v>
      </c>
      <c r="Y361" s="48" t="e">
        <f>FME_Ranking_Option2!$X361*X$4</f>
        <v>#REF!</v>
      </c>
      <c r="Z361" s="48">
        <f>FME_Ranking_Option2!$X361/($X$3)</f>
        <v>8.2101806239737272E-4</v>
      </c>
      <c r="AA361" s="48" t="e">
        <f>FME_Ranking_Option2!$Z361*X$4</f>
        <v>#REF!</v>
      </c>
      <c r="AB361" s="50">
        <f>_xlfn.XLOOKUP(FME_Ranking2[[#This Row],[FME ID]],FME_Input[FME_ID],FME_Input[ROADCLS])</f>
        <v>9</v>
      </c>
      <c r="AC361" s="48" t="e">
        <f>FME_Ranking_Option2!$AB361*AB$4</f>
        <v>#REF!</v>
      </c>
      <c r="AD361" s="53">
        <f>_xlfn.XLOOKUP(FME_Ranking2[[#This Row],[FME ID]],FME_Input[FME_ID],FME_Input[ROAD_MILES100])</f>
        <v>9.8994226455688477</v>
      </c>
      <c r="AE361" s="54" t="e">
        <f>FME_Ranking_Option2!$AD361*AD$4</f>
        <v>#REF!</v>
      </c>
      <c r="AF361" s="55">
        <f>FME_Ranking_Option2!$AD361/($AD$3)</f>
        <v>2.236010599210992E-4</v>
      </c>
      <c r="AG361" s="55" t="e">
        <f>FME_Ranking_Option2!$AF361*AD$4</f>
        <v>#REF!</v>
      </c>
      <c r="AH361" s="53">
        <f>_xlfn.XLOOKUP(FME_Ranking2[[#This Row],[FME ID]],FME_Input[FME_ID],FME_Input[FARMACRE100])</f>
        <v>2.4494938850402832</v>
      </c>
      <c r="AI361" s="54" t="e">
        <f>FME_Ranking_Option2!$AH361*AH$4</f>
        <v>#REF!</v>
      </c>
      <c r="AJ361" s="56">
        <f>FME_Ranking_Option2!$AH361/($AH$3)</f>
        <v>1.4223216417797693E-4</v>
      </c>
      <c r="AK361" s="57" t="e">
        <f>FME_Ranking_Option2!$AJ361*AH$4</f>
        <v>#REF!</v>
      </c>
      <c r="AL361"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61" s="45" t="e">
        <f>_xlfn.RANK.EQ(AL361,$AL$7:$AL$531)+COUNTIF(AL$7:AL361,AL361)-1</f>
        <v>#REF!</v>
      </c>
      <c r="AN361" s="57"/>
      <c r="AO361" s="45" t="e">
        <f>_xlfn.RANK.EQ(AN361,$AN$7:$AN$531)+COUNTIF(AN$7:AN361,AN361)-1</f>
        <v>#N/A</v>
      </c>
      <c r="AP36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61" s="32" t="e">
        <f>FME_Ranking2[[#This Row],[Score Based on Reported Factors]]-FME_Ranking2[[#This Row],[Check]]</f>
        <v>#REF!</v>
      </c>
      <c r="AR361" s="32"/>
      <c r="AT361" s="19"/>
      <c r="AU361" s="19"/>
      <c r="AV361" s="19"/>
      <c r="AW361" s="19"/>
      <c r="AX361" s="19"/>
      <c r="AY361" s="19"/>
      <c r="AZ361" s="19"/>
      <c r="BA361" s="19"/>
      <c r="BB361" s="19"/>
      <c r="BC361" s="19"/>
    </row>
    <row r="362" spans="1:55" ht="12" customHeight="1" x14ac:dyDescent="0.25">
      <c r="A362" s="17" t="s">
        <v>757</v>
      </c>
      <c r="B362" s="17" t="str">
        <f>_xlfn.XLOOKUP(FME_Ranking2[[#This Row],[FME ID]],FME_Input[FME_ID],FME_Input[FME_NAME])</f>
        <v>South Frazier - Grand Lake Creek Watershed</v>
      </c>
      <c r="C362" s="17" t="str">
        <f>_xlfn.XLOOKUP(FME_Ranking2[[#This Row],[FME ID]],FME_Input[FME_ID],FME_Input[DESCR])</f>
        <v>Develop a benefits cost analysis in support of this project identied in the City of Conroe Master Drainage Plan.</v>
      </c>
      <c r="D362" s="33" t="str">
        <f>_xlfn.XLOOKUP(FME_Ranking2[[#This Row],[FME ID]],FME_Input[FME_ID],FME_Input[EMER_NEED])</f>
        <v>No</v>
      </c>
      <c r="E362" s="120">
        <f>IF(FME_Ranking_Option2!$D362="Yes",100,0)</f>
        <v>0</v>
      </c>
      <c r="F362" s="34" t="str">
        <f>_xlfn.XLOOKUP(FME_Ranking2[[#This Row],[FME ID]],FME_Input[FME_ID],FME_Input[FUND])</f>
        <v>Yes</v>
      </c>
      <c r="G362" s="35">
        <f>IF(FME_Ranking_Option2!$F362="Yes",1,0)</f>
        <v>1</v>
      </c>
      <c r="H362" s="33">
        <f>_xlfn.XLOOKUP(FME_Ranking2[[#This Row],[FME ID]],FME_Input[FME_ID],FME_Input[STRUCT_100])</f>
        <v>365</v>
      </c>
      <c r="I362" s="64" t="e">
        <f>FME_Ranking2[[#This Row],[Raw Data3]]*H$4</f>
        <v>#REF!</v>
      </c>
      <c r="J362" s="63">
        <f>((FME_Ranking_Option2!$H362)/($H$3))*100</f>
        <v>4.0561459501327418E-2</v>
      </c>
      <c r="K362" s="36" t="e">
        <f>FME_Ranking2[[#This Row],[Norm Data3]]*H$4</f>
        <v>#REF!</v>
      </c>
      <c r="L362" s="37">
        <f>_xlfn.XLOOKUP(FME_Ranking2[[#This Row],[FME ID]],FME_Input[FME_ID],FME_Input[RES_STRUCT100])</f>
        <v>257</v>
      </c>
      <c r="M362" s="38" t="e">
        <f>FME_Ranking2[[#This Row],[Raw Data4]]*L$4</f>
        <v>#REF!</v>
      </c>
      <c r="N362" s="28">
        <f>((FME_Ranking_Option2!$L362)/($L$3))*100</f>
        <v>3.8422265179411046E-2</v>
      </c>
      <c r="O362" s="39" t="e">
        <f>FME_Ranking2[[#This Row],[Norm Data4]]*L$4</f>
        <v>#REF!</v>
      </c>
      <c r="P362" s="34">
        <f>_xlfn.XLOOKUP(FME_Ranking2[[#This Row],[FME ID]],FME_Input[FME_ID],FME_Input[POP100])</f>
        <v>1873</v>
      </c>
      <c r="Q362" s="35" t="e">
        <f>FME_Ranking_Option2!$P362*P$4</f>
        <v>#REF!</v>
      </c>
      <c r="R362" s="35">
        <f>FME_Ranking_Option2!$P362/($P$3)</f>
        <v>6.8743077061980348E-4</v>
      </c>
      <c r="S362" s="35" t="e">
        <f>FME_Ranking_Option2!$R362*P$4</f>
        <v>#REF!</v>
      </c>
      <c r="T362" s="37">
        <f>_xlfn.XLOOKUP(FME_Ranking2[[#This Row],[FME ID]],FME_Input[FME_ID],FME_Input[CRITFAC100])</f>
        <v>6</v>
      </c>
      <c r="U362" s="35" t="e">
        <f>FME_Ranking_Option2!$T362*T$4</f>
        <v>#REF!</v>
      </c>
      <c r="V362" s="35">
        <f>FME_Ranking_Option2!$T362/($T$3)</f>
        <v>8.4614299816669018E-4</v>
      </c>
      <c r="W362" s="35" t="e">
        <f>FME_Ranking_Option2!$V362*T$4</f>
        <v>#REF!</v>
      </c>
      <c r="X362" s="37">
        <f>_xlfn.XLOOKUP(FME_Ranking2[[#This Row],[FME ID]],FME_Input[FME_ID],FME_Input[LWC])</f>
        <v>0</v>
      </c>
      <c r="Y362" s="35" t="e">
        <f>FME_Ranking_Option2!$X362*X$4</f>
        <v>#REF!</v>
      </c>
      <c r="Z362" s="35">
        <f>FME_Ranking_Option2!$X362/($X$3)</f>
        <v>0</v>
      </c>
      <c r="AA362" s="35" t="e">
        <f>FME_Ranking_Option2!$Z362*X$4</f>
        <v>#REF!</v>
      </c>
      <c r="AB362" s="37">
        <f>_xlfn.XLOOKUP(FME_Ranking2[[#This Row],[FME ID]],FME_Input[FME_ID],FME_Input[ROADCLS])</f>
        <v>0</v>
      </c>
      <c r="AC362" s="35" t="e">
        <f>FME_Ranking_Option2!$AB362*AB$4</f>
        <v>#REF!</v>
      </c>
      <c r="AD362" s="40">
        <f>_xlfn.XLOOKUP(FME_Ranking2[[#This Row],[FME ID]],FME_Input[FME_ID],FME_Input[ROAD_MILES100])</f>
        <v>6.663978099822998</v>
      </c>
      <c r="AE362" s="41" t="e">
        <f>FME_Ranking_Option2!$AD362*AD$4</f>
        <v>#REF!</v>
      </c>
      <c r="AF362" s="42">
        <f>FME_Ranking_Option2!$AD362/($AD$3)</f>
        <v>1.5052115863326606E-4</v>
      </c>
      <c r="AG362" s="42" t="e">
        <f>FME_Ranking_Option2!$AF362*AD$4</f>
        <v>#REF!</v>
      </c>
      <c r="AH362" s="40">
        <f>_xlfn.XLOOKUP(FME_Ranking2[[#This Row],[FME ID]],FME_Input[FME_ID],FME_Input[FARMACRE100])</f>
        <v>2.980953693389893</v>
      </c>
      <c r="AI362" s="43" t="e">
        <f>FME_Ranking_Option2!$AH362*AH$4</f>
        <v>#REF!</v>
      </c>
      <c r="AJ362" s="41">
        <f>FME_Ranking_Option2!$AH362/($AH$3)</f>
        <v>1.7309187735253535E-4</v>
      </c>
      <c r="AK362" s="44" t="e">
        <f>FME_Ranking_Option2!$AJ362*AH$4</f>
        <v>#REF!</v>
      </c>
      <c r="AL362"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62" s="58" t="e">
        <f>_xlfn.RANK.EQ(AL362,$AL$7:$AL$531)+COUNTIF(AL$7:AL362,AL362)-1</f>
        <v>#REF!</v>
      </c>
      <c r="AN362" s="44"/>
      <c r="AO362" s="58" t="e">
        <f>_xlfn.RANK.EQ(AN362,$AN$7:$AN$531)+COUNTIF(AN$7:AN362,AN362)-1</f>
        <v>#N/A</v>
      </c>
      <c r="AP36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62" s="32" t="e">
        <f>FME_Ranking2[[#This Row],[Score Based on Reported Factors]]-FME_Ranking2[[#This Row],[Check]]</f>
        <v>#REF!</v>
      </c>
      <c r="AR362" s="32"/>
    </row>
    <row r="363" spans="1:55" ht="12" customHeight="1" x14ac:dyDescent="0.25">
      <c r="A363" s="16" t="s">
        <v>755</v>
      </c>
      <c r="B363" s="16" t="str">
        <f>_xlfn.XLOOKUP(FME_Ranking2[[#This Row],[FME ID]],FME_Input[FME_ID],FME_Input[FME_NAME])</f>
        <v>Rivershire East - Grand Lake Creek Watershed</v>
      </c>
      <c r="C363" s="16" t="str">
        <f>_xlfn.XLOOKUP(FME_Ranking2[[#This Row],[FME ID]],FME_Input[FME_ID],FME_Input[DESCR])</f>
        <v>Develop a benefits cost analysis in support of this project identied in the City of Conroe Master Drainage Plan.</v>
      </c>
      <c r="D363" s="46" t="str">
        <f>_xlfn.XLOOKUP(FME_Ranking2[[#This Row],[FME ID]],FME_Input[FME_ID],FME_Input[EMER_NEED])</f>
        <v>No</v>
      </c>
      <c r="E363" s="121">
        <f>IF(FME_Ranking_Option2!$D363="Yes",100,0)</f>
        <v>0</v>
      </c>
      <c r="F363" s="47" t="str">
        <f>_xlfn.XLOOKUP(FME_Ranking2[[#This Row],[FME ID]],FME_Input[FME_ID],FME_Input[FUND])</f>
        <v>Yes</v>
      </c>
      <c r="G363" s="48">
        <f>IF(FME_Ranking_Option2!$F363="Yes",1,0)</f>
        <v>1</v>
      </c>
      <c r="H363" s="46">
        <f>_xlfn.XLOOKUP(FME_Ranking2[[#This Row],[FME ID]],FME_Input[FME_ID],FME_Input[STRUCT_100])</f>
        <v>365</v>
      </c>
      <c r="I363" s="65" t="e">
        <f>FME_Ranking2[[#This Row],[Raw Data3]]*H$4</f>
        <v>#REF!</v>
      </c>
      <c r="J363" s="62">
        <f>((FME_Ranking_Option2!$H363)/($H$3))*100</f>
        <v>4.0561459501327418E-2</v>
      </c>
      <c r="K363" s="49" t="e">
        <f>FME_Ranking2[[#This Row],[Norm Data3]]*H$4</f>
        <v>#REF!</v>
      </c>
      <c r="L363" s="50">
        <f>_xlfn.XLOOKUP(FME_Ranking2[[#This Row],[FME ID]],FME_Input[FME_ID],FME_Input[RES_STRUCT100])</f>
        <v>257</v>
      </c>
      <c r="M363" s="51" t="e">
        <f>FME_Ranking2[[#This Row],[Raw Data4]]*L$4</f>
        <v>#REF!</v>
      </c>
      <c r="N363" s="29">
        <f>((FME_Ranking_Option2!$L363)/($L$3))*100</f>
        <v>3.8422265179411046E-2</v>
      </c>
      <c r="O363" s="52" t="e">
        <f>FME_Ranking2[[#This Row],[Norm Data4]]*L$4</f>
        <v>#REF!</v>
      </c>
      <c r="P363" s="47">
        <f>_xlfn.XLOOKUP(FME_Ranking2[[#This Row],[FME ID]],FME_Input[FME_ID],FME_Input[POP100])</f>
        <v>1873</v>
      </c>
      <c r="Q363" s="48" t="e">
        <f>FME_Ranking_Option2!$P363*P$4</f>
        <v>#REF!</v>
      </c>
      <c r="R363" s="48">
        <f>FME_Ranking_Option2!$P363/($P$3)</f>
        <v>6.8743077061980348E-4</v>
      </c>
      <c r="S363" s="48" t="e">
        <f>FME_Ranking_Option2!$R363*P$4</f>
        <v>#REF!</v>
      </c>
      <c r="T363" s="50">
        <f>_xlfn.XLOOKUP(FME_Ranking2[[#This Row],[FME ID]],FME_Input[FME_ID],FME_Input[CRITFAC100])</f>
        <v>6</v>
      </c>
      <c r="U363" s="48" t="e">
        <f>FME_Ranking_Option2!$T363*T$4</f>
        <v>#REF!</v>
      </c>
      <c r="V363" s="48">
        <f>FME_Ranking_Option2!$T363/($T$3)</f>
        <v>8.4614299816669018E-4</v>
      </c>
      <c r="W363" s="48" t="e">
        <f>FME_Ranking_Option2!$V363*T$4</f>
        <v>#REF!</v>
      </c>
      <c r="X363" s="50">
        <f>_xlfn.XLOOKUP(FME_Ranking2[[#This Row],[FME ID]],FME_Input[FME_ID],FME_Input[LWC])</f>
        <v>0</v>
      </c>
      <c r="Y363" s="48" t="e">
        <f>FME_Ranking_Option2!$X363*X$4</f>
        <v>#REF!</v>
      </c>
      <c r="Z363" s="48">
        <f>FME_Ranking_Option2!$X363/($X$3)</f>
        <v>0</v>
      </c>
      <c r="AA363" s="48" t="e">
        <f>FME_Ranking_Option2!$Z363*X$4</f>
        <v>#REF!</v>
      </c>
      <c r="AB363" s="50">
        <f>_xlfn.XLOOKUP(FME_Ranking2[[#This Row],[FME ID]],FME_Input[FME_ID],FME_Input[ROADCLS])</f>
        <v>0</v>
      </c>
      <c r="AC363" s="48" t="e">
        <f>FME_Ranking_Option2!$AB363*AB$4</f>
        <v>#REF!</v>
      </c>
      <c r="AD363" s="53">
        <f>_xlfn.XLOOKUP(FME_Ranking2[[#This Row],[FME ID]],FME_Input[FME_ID],FME_Input[ROAD_MILES100])</f>
        <v>6.663978099822998</v>
      </c>
      <c r="AE363" s="54" t="e">
        <f>FME_Ranking_Option2!$AD363*AD$4</f>
        <v>#REF!</v>
      </c>
      <c r="AF363" s="55">
        <f>FME_Ranking_Option2!$AD363/($AD$3)</f>
        <v>1.5052115863326606E-4</v>
      </c>
      <c r="AG363" s="55" t="e">
        <f>FME_Ranking_Option2!$AF363*AD$4</f>
        <v>#REF!</v>
      </c>
      <c r="AH363" s="53">
        <f>_xlfn.XLOOKUP(FME_Ranking2[[#This Row],[FME ID]],FME_Input[FME_ID],FME_Input[FARMACRE100])</f>
        <v>2.980953693389893</v>
      </c>
      <c r="AI363" s="54" t="e">
        <f>FME_Ranking_Option2!$AH363*AH$4</f>
        <v>#REF!</v>
      </c>
      <c r="AJ363" s="56">
        <f>FME_Ranking_Option2!$AH363/($AH$3)</f>
        <v>1.7309187735253535E-4</v>
      </c>
      <c r="AK363" s="57" t="e">
        <f>FME_Ranking_Option2!$AJ363*AH$4</f>
        <v>#REF!</v>
      </c>
      <c r="AL363"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63" s="45" t="e">
        <f>_xlfn.RANK.EQ(AL363,$AL$7:$AL$531)+COUNTIF(AL$7:AL363,AL363)-1</f>
        <v>#REF!</v>
      </c>
      <c r="AN363" s="57"/>
      <c r="AO363" s="45" t="e">
        <f>_xlfn.RANK.EQ(AN363,$AN$7:$AN$531)+COUNTIF(AN$7:AN363,AN363)-1</f>
        <v>#N/A</v>
      </c>
      <c r="AP36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63" s="32" t="e">
        <f>FME_Ranking2[[#This Row],[Score Based on Reported Factors]]-FME_Ranking2[[#This Row],[Check]]</f>
        <v>#REF!</v>
      </c>
      <c r="AR363" s="32"/>
      <c r="AT363" s="19"/>
      <c r="AU363" s="19"/>
      <c r="AV363" s="19"/>
      <c r="AW363" s="19"/>
      <c r="AX363" s="19"/>
      <c r="AY363" s="19"/>
      <c r="AZ363" s="19"/>
      <c r="BA363" s="19"/>
      <c r="BB363" s="19"/>
      <c r="BC363" s="19"/>
    </row>
    <row r="364" spans="1:55" ht="12" customHeight="1" x14ac:dyDescent="0.25">
      <c r="A364" s="17" t="s">
        <v>759</v>
      </c>
      <c r="B364" s="17" t="str">
        <f>_xlfn.XLOOKUP(FME_Ranking2[[#This Row],[FME ID]],FME_Input[FME_ID],FME_Input[FME_NAME])</f>
        <v>Rivershire West  - Grand Lake Creek Watershed</v>
      </c>
      <c r="C364" s="17" t="str">
        <f>_xlfn.XLOOKUP(FME_Ranking2[[#This Row],[FME ID]],FME_Input[FME_ID],FME_Input[DESCR])</f>
        <v>Develop a benefits cost analysis in support of this project identied in the City of Conroe Master Drainage Plan.</v>
      </c>
      <c r="D364" s="33" t="str">
        <f>_xlfn.XLOOKUP(FME_Ranking2[[#This Row],[FME ID]],FME_Input[FME_ID],FME_Input[EMER_NEED])</f>
        <v>No</v>
      </c>
      <c r="E364" s="120">
        <f>IF(FME_Ranking_Option2!$D364="Yes",100,0)</f>
        <v>0</v>
      </c>
      <c r="F364" s="34" t="str">
        <f>_xlfn.XLOOKUP(FME_Ranking2[[#This Row],[FME ID]],FME_Input[FME_ID],FME_Input[FUND])</f>
        <v>Yes</v>
      </c>
      <c r="G364" s="35">
        <f>IF(FME_Ranking_Option2!$F364="Yes",1,0)</f>
        <v>1</v>
      </c>
      <c r="H364" s="33">
        <f>_xlfn.XLOOKUP(FME_Ranking2[[#This Row],[FME ID]],FME_Input[FME_ID],FME_Input[STRUCT_100])</f>
        <v>879</v>
      </c>
      <c r="I364" s="64" t="e">
        <f>FME_Ranking2[[#This Row],[Raw Data3]]*H$4</f>
        <v>#REF!</v>
      </c>
      <c r="J364" s="63">
        <f>((FME_Ranking_Option2!$H364)/($H$3))*100</f>
        <v>9.7680884662100814E-2</v>
      </c>
      <c r="K364" s="36" t="e">
        <f>FME_Ranking2[[#This Row],[Norm Data3]]*H$4</f>
        <v>#REF!</v>
      </c>
      <c r="L364" s="37">
        <f>_xlfn.XLOOKUP(FME_Ranking2[[#This Row],[FME ID]],FME_Input[FME_ID],FME_Input[RES_STRUCT100])</f>
        <v>682</v>
      </c>
      <c r="M364" s="38" t="e">
        <f>FME_Ranking2[[#This Row],[Raw Data4]]*L$4</f>
        <v>#REF!</v>
      </c>
      <c r="N364" s="28">
        <f>((FME_Ranking_Option2!$L364)/($L$3))*100</f>
        <v>0.10196103055392347</v>
      </c>
      <c r="O364" s="39" t="e">
        <f>FME_Ranking2[[#This Row],[Norm Data4]]*L$4</f>
        <v>#REF!</v>
      </c>
      <c r="P364" s="34">
        <f>_xlfn.XLOOKUP(FME_Ranking2[[#This Row],[FME ID]],FME_Input[FME_ID],FME_Input[POP100])</f>
        <v>4662</v>
      </c>
      <c r="Q364" s="35" t="e">
        <f>FME_Ranking_Option2!$P364*P$4</f>
        <v>#REF!</v>
      </c>
      <c r="R364" s="35">
        <f>FME_Ranking_Option2!$P364/($P$3)</f>
        <v>1.7110529912597564E-3</v>
      </c>
      <c r="S364" s="35" t="e">
        <f>FME_Ranking_Option2!$R364*P$4</f>
        <v>#REF!</v>
      </c>
      <c r="T364" s="37">
        <f>_xlfn.XLOOKUP(FME_Ranking2[[#This Row],[FME ID]],FME_Input[FME_ID],FME_Input[CRITFAC100])</f>
        <v>6</v>
      </c>
      <c r="U364" s="35" t="e">
        <f>FME_Ranking_Option2!$T364*T$4</f>
        <v>#REF!</v>
      </c>
      <c r="V364" s="35">
        <f>FME_Ranking_Option2!$T364/($T$3)</f>
        <v>8.4614299816669018E-4</v>
      </c>
      <c r="W364" s="35" t="e">
        <f>FME_Ranking_Option2!$V364*T$4</f>
        <v>#REF!</v>
      </c>
      <c r="X364" s="37">
        <f>_xlfn.XLOOKUP(FME_Ranking2[[#This Row],[FME ID]],FME_Input[FME_ID],FME_Input[LWC])</f>
        <v>9</v>
      </c>
      <c r="Y364" s="35" t="e">
        <f>FME_Ranking_Option2!$X364*X$4</f>
        <v>#REF!</v>
      </c>
      <c r="Z364" s="35">
        <f>FME_Ranking_Option2!$X364/($X$3)</f>
        <v>8.2101806239737272E-4</v>
      </c>
      <c r="AA364" s="35" t="e">
        <f>FME_Ranking_Option2!$Z364*X$4</f>
        <v>#REF!</v>
      </c>
      <c r="AB364" s="37">
        <f>_xlfn.XLOOKUP(FME_Ranking2[[#This Row],[FME ID]],FME_Input[FME_ID],FME_Input[ROADCLS])</f>
        <v>9</v>
      </c>
      <c r="AC364" s="35" t="e">
        <f>FME_Ranking_Option2!$AB364*AB$4</f>
        <v>#REF!</v>
      </c>
      <c r="AD364" s="40">
        <f>_xlfn.XLOOKUP(FME_Ranking2[[#This Row],[FME ID]],FME_Input[FME_ID],FME_Input[ROAD_MILES100])</f>
        <v>16.563400268554691</v>
      </c>
      <c r="AE364" s="41" t="e">
        <f>FME_Ranking_Option2!$AD364*AD$4</f>
        <v>#REF!</v>
      </c>
      <c r="AF364" s="42">
        <f>FME_Ranking_Option2!$AD364/($AD$3)</f>
        <v>3.7412220778390955E-4</v>
      </c>
      <c r="AG364" s="42" t="e">
        <f>FME_Ranking_Option2!$AF364*AD$4</f>
        <v>#REF!</v>
      </c>
      <c r="AH364" s="40">
        <f>_xlfn.XLOOKUP(FME_Ranking2[[#This Row],[FME ID]],FME_Input[FME_ID],FME_Input[FARMACRE100])</f>
        <v>5.4304475784301758</v>
      </c>
      <c r="AI364" s="43" t="e">
        <f>FME_Ranking_Option2!$AH364*AH$4</f>
        <v>#REF!</v>
      </c>
      <c r="AJ364" s="41">
        <f>FME_Ranking_Option2!$AH364/($AH$3)</f>
        <v>3.1532404153051228E-4</v>
      </c>
      <c r="AK364" s="44" t="e">
        <f>FME_Ranking_Option2!$AJ364*AH$4</f>
        <v>#REF!</v>
      </c>
      <c r="AL364"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64" s="58" t="e">
        <f>_xlfn.RANK.EQ(AL364,$AL$7:$AL$531)+COUNTIF(AL$7:AL364,AL364)-1</f>
        <v>#REF!</v>
      </c>
      <c r="AN364" s="44"/>
      <c r="AO364" s="58" t="e">
        <f>_xlfn.RANK.EQ(AN364,$AN$7:$AN$531)+COUNTIF(AN$7:AN364,AN364)-1</f>
        <v>#N/A</v>
      </c>
      <c r="AP36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64" s="32" t="e">
        <f>FME_Ranking2[[#This Row],[Score Based on Reported Factors]]-FME_Ranking2[[#This Row],[Check]]</f>
        <v>#REF!</v>
      </c>
      <c r="AR364" s="32"/>
    </row>
    <row r="365" spans="1:55" ht="12" customHeight="1" x14ac:dyDescent="0.25">
      <c r="A365" s="16" t="s">
        <v>761</v>
      </c>
      <c r="B365" s="16" t="str">
        <f>_xlfn.XLOOKUP(FME_Ranking2[[#This Row],[FME ID]],FME_Input[FME_ID],FME_Input[FME_NAME])</f>
        <v>Baretta - Grand Lake Creek Watershed</v>
      </c>
      <c r="C365" s="16" t="str">
        <f>_xlfn.XLOOKUP(FME_Ranking2[[#This Row],[FME ID]],FME_Input[FME_ID],FME_Input[DESCR])</f>
        <v>Develop a benefits cost analysis in support of this project identied in the City of Conroe Master Drainage Plan.</v>
      </c>
      <c r="D365" s="46" t="str">
        <f>_xlfn.XLOOKUP(FME_Ranking2[[#This Row],[FME ID]],FME_Input[FME_ID],FME_Input[EMER_NEED])</f>
        <v>No</v>
      </c>
      <c r="E365" s="121">
        <f>IF(FME_Ranking_Option2!$D365="Yes",100,0)</f>
        <v>0</v>
      </c>
      <c r="F365" s="47" t="str">
        <f>_xlfn.XLOOKUP(FME_Ranking2[[#This Row],[FME ID]],FME_Input[FME_ID],FME_Input[FUND])</f>
        <v>Yes</v>
      </c>
      <c r="G365" s="48">
        <f>IF(FME_Ranking_Option2!$F365="Yes",1,0)</f>
        <v>1</v>
      </c>
      <c r="H365" s="46">
        <f>_xlfn.XLOOKUP(FME_Ranking2[[#This Row],[FME ID]],FME_Input[FME_ID],FME_Input[STRUCT_100])</f>
        <v>102</v>
      </c>
      <c r="I365" s="65" t="e">
        <f>FME_Ranking2[[#This Row],[Raw Data3]]*H$4</f>
        <v>#REF!</v>
      </c>
      <c r="J365" s="62">
        <f>((FME_Ranking_Option2!$H365)/($H$3))*100</f>
        <v>1.1334983203110674E-2</v>
      </c>
      <c r="K365" s="49" t="e">
        <f>FME_Ranking2[[#This Row],[Norm Data3]]*H$4</f>
        <v>#REF!</v>
      </c>
      <c r="L365" s="50">
        <f>_xlfn.XLOOKUP(FME_Ranking2[[#This Row],[FME ID]],FME_Input[FME_ID],FME_Input[RES_STRUCT100])</f>
        <v>63</v>
      </c>
      <c r="M365" s="51" t="e">
        <f>FME_Ranking2[[#This Row],[Raw Data4]]*L$4</f>
        <v>#REF!</v>
      </c>
      <c r="N365" s="29">
        <f>((FME_Ranking_Option2!$L365)/($L$3))*100</f>
        <v>9.418687573163019E-3</v>
      </c>
      <c r="O365" s="52" t="e">
        <f>FME_Ranking2[[#This Row],[Norm Data4]]*L$4</f>
        <v>#REF!</v>
      </c>
      <c r="P365" s="47">
        <f>_xlfn.XLOOKUP(FME_Ranking2[[#This Row],[FME ID]],FME_Input[FME_ID],FME_Input[POP100])</f>
        <v>283</v>
      </c>
      <c r="Q365" s="48" t="e">
        <f>FME_Ranking_Option2!$P365*P$4</f>
        <v>#REF!</v>
      </c>
      <c r="R365" s="48">
        <f>FME_Ranking_Option2!$P365/($P$3)</f>
        <v>1.0386700912194574E-4</v>
      </c>
      <c r="S365" s="48" t="e">
        <f>FME_Ranking_Option2!$R365*P$4</f>
        <v>#REF!</v>
      </c>
      <c r="T365" s="50">
        <f>_xlfn.XLOOKUP(FME_Ranking2[[#This Row],[FME ID]],FME_Input[FME_ID],FME_Input[CRITFAC100])</f>
        <v>0</v>
      </c>
      <c r="U365" s="48" t="e">
        <f>FME_Ranking_Option2!$T365*T$4</f>
        <v>#REF!</v>
      </c>
      <c r="V365" s="48">
        <f>FME_Ranking_Option2!$T365/($T$3)</f>
        <v>0</v>
      </c>
      <c r="W365" s="48" t="e">
        <f>FME_Ranking_Option2!$V365*T$4</f>
        <v>#REF!</v>
      </c>
      <c r="X365" s="50">
        <f>_xlfn.XLOOKUP(FME_Ranking2[[#This Row],[FME ID]],FME_Input[FME_ID],FME_Input[LWC])</f>
        <v>1</v>
      </c>
      <c r="Y365" s="48" t="e">
        <f>FME_Ranking_Option2!$X365*X$4</f>
        <v>#REF!</v>
      </c>
      <c r="Z365" s="48">
        <f>FME_Ranking_Option2!$X365/($X$3)</f>
        <v>9.1224229155263632E-5</v>
      </c>
      <c r="AA365" s="48" t="e">
        <f>FME_Ranking_Option2!$Z365*X$4</f>
        <v>#REF!</v>
      </c>
      <c r="AB365" s="50">
        <f>_xlfn.XLOOKUP(FME_Ranking2[[#This Row],[FME ID]],FME_Input[FME_ID],FME_Input[ROADCLS])</f>
        <v>1</v>
      </c>
      <c r="AC365" s="48" t="e">
        <f>FME_Ranking_Option2!$AB365*AB$4</f>
        <v>#REF!</v>
      </c>
      <c r="AD365" s="53">
        <f>_xlfn.XLOOKUP(FME_Ranking2[[#This Row],[FME ID]],FME_Input[FME_ID],FME_Input[ROAD_MILES100])</f>
        <v>5.9455585479736328</v>
      </c>
      <c r="AE365" s="54" t="e">
        <f>FME_Ranking_Option2!$AD365*AD$4</f>
        <v>#REF!</v>
      </c>
      <c r="AF365" s="55">
        <f>FME_Ranking_Option2!$AD365/($AD$3)</f>
        <v>1.3429401296902228E-4</v>
      </c>
      <c r="AG365" s="55" t="e">
        <f>FME_Ranking_Option2!$AF365*AD$4</f>
        <v>#REF!</v>
      </c>
      <c r="AH365" s="53">
        <f>_xlfn.XLOOKUP(FME_Ranking2[[#This Row],[FME ID]],FME_Input[FME_ID],FME_Input[FARMACRE100])</f>
        <v>3.9540398120880131</v>
      </c>
      <c r="AI365" s="54" t="e">
        <f>FME_Ranking_Option2!$AH365*AH$4</f>
        <v>#REF!</v>
      </c>
      <c r="AJ365" s="56">
        <f>FME_Ranking_Option2!$AH365/($AH$3)</f>
        <v>2.2959503722537792E-4</v>
      </c>
      <c r="AK365" s="57" t="e">
        <f>FME_Ranking_Option2!$AJ365*AH$4</f>
        <v>#REF!</v>
      </c>
      <c r="AL365"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65" s="45" t="e">
        <f>_xlfn.RANK.EQ(AL365,$AL$7:$AL$531)+COUNTIF(AL$7:AL365,AL365)-1</f>
        <v>#REF!</v>
      </c>
      <c r="AN365" s="57"/>
      <c r="AO365" s="45" t="e">
        <f>_xlfn.RANK.EQ(AN365,$AN$7:$AN$531)+COUNTIF(AN$7:AN365,AN365)-1</f>
        <v>#N/A</v>
      </c>
      <c r="AP36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65" s="32" t="e">
        <f>FME_Ranking2[[#This Row],[Score Based on Reported Factors]]-FME_Ranking2[[#This Row],[Check]]</f>
        <v>#REF!</v>
      </c>
      <c r="AR365" s="32"/>
      <c r="AT365" s="19"/>
      <c r="AU365" s="19"/>
      <c r="AV365" s="19"/>
      <c r="AW365" s="19"/>
      <c r="AX365" s="19"/>
      <c r="AY365" s="19"/>
      <c r="AZ365" s="19"/>
      <c r="BA365" s="19"/>
      <c r="BB365" s="19"/>
      <c r="BC365" s="19"/>
    </row>
    <row r="366" spans="1:55" ht="12" customHeight="1" x14ac:dyDescent="0.25">
      <c r="A366" s="17" t="s">
        <v>766</v>
      </c>
      <c r="B366" s="17" t="str">
        <f>_xlfn.XLOOKUP(FME_Ranking2[[#This Row],[FME ID]],FME_Input[FME_ID],FME_Input[FME_NAME])</f>
        <v>Valley - Stewarts Creek Watershed</v>
      </c>
      <c r="C366" s="17" t="str">
        <f>_xlfn.XLOOKUP(FME_Ranking2[[#This Row],[FME ID]],FME_Input[FME_ID],FME_Input[DESCR])</f>
        <v>Develop a benefits cost analysis in support of this project identied in the City of Conroe Master Drainage Plan.</v>
      </c>
      <c r="D366" s="33" t="str">
        <f>_xlfn.XLOOKUP(FME_Ranking2[[#This Row],[FME ID]],FME_Input[FME_ID],FME_Input[EMER_NEED])</f>
        <v>No</v>
      </c>
      <c r="E366" s="120">
        <f>IF(FME_Ranking_Option2!$D366="Yes",100,0)</f>
        <v>0</v>
      </c>
      <c r="F366" s="34" t="str">
        <f>_xlfn.XLOOKUP(FME_Ranking2[[#This Row],[FME ID]],FME_Input[FME_ID],FME_Input[FUND])</f>
        <v>Yes</v>
      </c>
      <c r="G366" s="35">
        <f>IF(FME_Ranking_Option2!$F366="Yes",1,0)</f>
        <v>1</v>
      </c>
      <c r="H366" s="33">
        <f>_xlfn.XLOOKUP(FME_Ranking2[[#This Row],[FME ID]],FME_Input[FME_ID],FME_Input[STRUCT_100])</f>
        <v>374</v>
      </c>
      <c r="I366" s="64" t="e">
        <f>FME_Ranking2[[#This Row],[Raw Data3]]*H$4</f>
        <v>#REF!</v>
      </c>
      <c r="J366" s="63">
        <f>((FME_Ranking_Option2!$H366)/($H$3))*100</f>
        <v>4.1561605078072474E-2</v>
      </c>
      <c r="K366" s="36" t="e">
        <f>FME_Ranking2[[#This Row],[Norm Data3]]*H$4</f>
        <v>#REF!</v>
      </c>
      <c r="L366" s="37">
        <f>_xlfn.XLOOKUP(FME_Ranking2[[#This Row],[FME ID]],FME_Input[FME_ID],FME_Input[RES_STRUCT100])</f>
        <v>277</v>
      </c>
      <c r="M366" s="38" t="e">
        <f>FME_Ranking2[[#This Row],[Raw Data4]]*L$4</f>
        <v>#REF!</v>
      </c>
      <c r="N366" s="28">
        <f>((FME_Ranking_Option2!$L366)/($L$3))*100</f>
        <v>4.1412324726446931E-2</v>
      </c>
      <c r="O366" s="39" t="e">
        <f>FME_Ranking2[[#This Row],[Norm Data4]]*L$4</f>
        <v>#REF!</v>
      </c>
      <c r="P366" s="34">
        <f>_xlfn.XLOOKUP(FME_Ranking2[[#This Row],[FME ID]],FME_Input[FME_ID],FME_Input[POP100])</f>
        <v>2384</v>
      </c>
      <c r="Q366" s="35" t="e">
        <f>FME_Ranking_Option2!$P366*P$4</f>
        <v>#REF!</v>
      </c>
      <c r="R366" s="35">
        <f>FME_Ranking_Option2!$P366/($P$3)</f>
        <v>8.7497862101314011E-4</v>
      </c>
      <c r="S366" s="35" t="e">
        <f>FME_Ranking_Option2!$R366*P$4</f>
        <v>#REF!</v>
      </c>
      <c r="T366" s="37">
        <f>_xlfn.XLOOKUP(FME_Ranking2[[#This Row],[FME ID]],FME_Input[FME_ID],FME_Input[CRITFAC100])</f>
        <v>7</v>
      </c>
      <c r="U366" s="35" t="e">
        <f>FME_Ranking_Option2!$T366*T$4</f>
        <v>#REF!</v>
      </c>
      <c r="V366" s="35">
        <f>FME_Ranking_Option2!$T366/($T$3)</f>
        <v>9.871668311944718E-4</v>
      </c>
      <c r="W366" s="35" t="e">
        <f>FME_Ranking_Option2!$V366*T$4</f>
        <v>#REF!</v>
      </c>
      <c r="X366" s="37">
        <f>_xlfn.XLOOKUP(FME_Ranking2[[#This Row],[FME ID]],FME_Input[FME_ID],FME_Input[LWC])</f>
        <v>7</v>
      </c>
      <c r="Y366" s="35" t="e">
        <f>FME_Ranking_Option2!$X366*X$4</f>
        <v>#REF!</v>
      </c>
      <c r="Z366" s="35">
        <f>FME_Ranking_Option2!$X366/($X$3)</f>
        <v>6.3856960408684551E-4</v>
      </c>
      <c r="AA366" s="35" t="e">
        <f>FME_Ranking_Option2!$Z366*X$4</f>
        <v>#REF!</v>
      </c>
      <c r="AB366" s="37">
        <f>_xlfn.XLOOKUP(FME_Ranking2[[#This Row],[FME ID]],FME_Input[FME_ID],FME_Input[ROADCLS])</f>
        <v>7</v>
      </c>
      <c r="AC366" s="35" t="e">
        <f>FME_Ranking_Option2!$AB366*AB$4</f>
        <v>#REF!</v>
      </c>
      <c r="AD366" s="40">
        <f>_xlfn.XLOOKUP(FME_Ranking2[[#This Row],[FME ID]],FME_Input[FME_ID],FME_Input[ROAD_MILES100])</f>
        <v>10.31031703948975</v>
      </c>
      <c r="AE366" s="41" t="e">
        <f>FME_Ranking_Option2!$AD366*AD$4</f>
        <v>#REF!</v>
      </c>
      <c r="AF366" s="42">
        <f>FME_Ranking_Option2!$AD366/($AD$3)</f>
        <v>2.3288204784189241E-4</v>
      </c>
      <c r="AG366" s="42" t="e">
        <f>FME_Ranking_Option2!$AF366*AD$4</f>
        <v>#REF!</v>
      </c>
      <c r="AH366" s="40">
        <f>_xlfn.XLOOKUP(FME_Ranking2[[#This Row],[FME ID]],FME_Input[FME_ID],FME_Input[FARMACRE100])</f>
        <v>6.7241411209106454</v>
      </c>
      <c r="AI366" s="43" t="e">
        <f>FME_Ranking_Option2!$AH366*AH$4</f>
        <v>#REF!</v>
      </c>
      <c r="AJ366" s="41">
        <f>FME_Ranking_Option2!$AH366/($AH$3)</f>
        <v>3.9044357273401422E-4</v>
      </c>
      <c r="AK366" s="44" t="e">
        <f>FME_Ranking_Option2!$AJ366*AH$4</f>
        <v>#REF!</v>
      </c>
      <c r="AL366"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66" s="58" t="e">
        <f>_xlfn.RANK.EQ(AL366,$AL$7:$AL$531)+COUNTIF(AL$7:AL366,AL366)-1</f>
        <v>#REF!</v>
      </c>
      <c r="AN366" s="44"/>
      <c r="AO366" s="58" t="e">
        <f>_xlfn.RANK.EQ(AN366,$AN$7:$AN$531)+COUNTIF(AN$7:AN366,AN366)-1</f>
        <v>#N/A</v>
      </c>
      <c r="AP36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66" s="32" t="e">
        <f>FME_Ranking2[[#This Row],[Score Based on Reported Factors]]-FME_Ranking2[[#This Row],[Check]]</f>
        <v>#REF!</v>
      </c>
      <c r="AR366" s="32"/>
    </row>
    <row r="367" spans="1:55" ht="12" customHeight="1" x14ac:dyDescent="0.25">
      <c r="A367" s="16" t="s">
        <v>770</v>
      </c>
      <c r="B367" s="16" t="str">
        <f>_xlfn.XLOOKUP(FME_Ranking2[[#This Row],[FME ID]],FME_Input[FME_ID],FME_Input[FME_NAME])</f>
        <v>Hunnington - Stewarts Creek Watershed</v>
      </c>
      <c r="C367" s="16" t="str">
        <f>_xlfn.XLOOKUP(FME_Ranking2[[#This Row],[FME ID]],FME_Input[FME_ID],FME_Input[DESCR])</f>
        <v>Develop a benefits cost analysis in support of this project identied in the City of Conroe Master Drainage Plan.</v>
      </c>
      <c r="D367" s="46" t="str">
        <f>_xlfn.XLOOKUP(FME_Ranking2[[#This Row],[FME ID]],FME_Input[FME_ID],FME_Input[EMER_NEED])</f>
        <v>No</v>
      </c>
      <c r="E367" s="121">
        <f>IF(FME_Ranking_Option2!$D367="Yes",100,0)</f>
        <v>0</v>
      </c>
      <c r="F367" s="47" t="str">
        <f>_xlfn.XLOOKUP(FME_Ranking2[[#This Row],[FME ID]],FME_Input[FME_ID],FME_Input[FUND])</f>
        <v>Yes</v>
      </c>
      <c r="G367" s="48">
        <f>IF(FME_Ranking_Option2!$F367="Yes",1,0)</f>
        <v>1</v>
      </c>
      <c r="H367" s="46">
        <f>_xlfn.XLOOKUP(FME_Ranking2[[#This Row],[FME ID]],FME_Input[FME_ID],FME_Input[STRUCT_100])</f>
        <v>374</v>
      </c>
      <c r="I367" s="65" t="e">
        <f>FME_Ranking2[[#This Row],[Raw Data3]]*H$4</f>
        <v>#REF!</v>
      </c>
      <c r="J367" s="62">
        <f>((FME_Ranking_Option2!$H367)/($H$3))*100</f>
        <v>4.1561605078072474E-2</v>
      </c>
      <c r="K367" s="49" t="e">
        <f>FME_Ranking2[[#This Row],[Norm Data3]]*H$4</f>
        <v>#REF!</v>
      </c>
      <c r="L367" s="50">
        <f>_xlfn.XLOOKUP(FME_Ranking2[[#This Row],[FME ID]],FME_Input[FME_ID],FME_Input[RES_STRUCT100])</f>
        <v>277</v>
      </c>
      <c r="M367" s="51" t="e">
        <f>FME_Ranking2[[#This Row],[Raw Data4]]*L$4</f>
        <v>#REF!</v>
      </c>
      <c r="N367" s="29">
        <f>((FME_Ranking_Option2!$L367)/($L$3))*100</f>
        <v>4.1412324726446931E-2</v>
      </c>
      <c r="O367" s="52" t="e">
        <f>FME_Ranking2[[#This Row],[Norm Data4]]*L$4</f>
        <v>#REF!</v>
      </c>
      <c r="P367" s="47">
        <f>_xlfn.XLOOKUP(FME_Ranking2[[#This Row],[FME ID]],FME_Input[FME_ID],FME_Input[POP100])</f>
        <v>2384</v>
      </c>
      <c r="Q367" s="48" t="e">
        <f>FME_Ranking_Option2!$P367*P$4</f>
        <v>#REF!</v>
      </c>
      <c r="R367" s="48">
        <f>FME_Ranking_Option2!$P367/($P$3)</f>
        <v>8.7497862101314011E-4</v>
      </c>
      <c r="S367" s="48" t="e">
        <f>FME_Ranking_Option2!$R367*P$4</f>
        <v>#REF!</v>
      </c>
      <c r="T367" s="50">
        <f>_xlfn.XLOOKUP(FME_Ranking2[[#This Row],[FME ID]],FME_Input[FME_ID],FME_Input[CRITFAC100])</f>
        <v>7</v>
      </c>
      <c r="U367" s="48" t="e">
        <f>FME_Ranking_Option2!$T367*T$4</f>
        <v>#REF!</v>
      </c>
      <c r="V367" s="48">
        <f>FME_Ranking_Option2!$T367/($T$3)</f>
        <v>9.871668311944718E-4</v>
      </c>
      <c r="W367" s="48" t="e">
        <f>FME_Ranking_Option2!$V367*T$4</f>
        <v>#REF!</v>
      </c>
      <c r="X367" s="50">
        <f>_xlfn.XLOOKUP(FME_Ranking2[[#This Row],[FME ID]],FME_Input[FME_ID],FME_Input[LWC])</f>
        <v>7</v>
      </c>
      <c r="Y367" s="48" t="e">
        <f>FME_Ranking_Option2!$X367*X$4</f>
        <v>#REF!</v>
      </c>
      <c r="Z367" s="48">
        <f>FME_Ranking_Option2!$X367/($X$3)</f>
        <v>6.3856960408684551E-4</v>
      </c>
      <c r="AA367" s="48" t="e">
        <f>FME_Ranking_Option2!$Z367*X$4</f>
        <v>#REF!</v>
      </c>
      <c r="AB367" s="50">
        <f>_xlfn.XLOOKUP(FME_Ranking2[[#This Row],[FME ID]],FME_Input[FME_ID],FME_Input[ROADCLS])</f>
        <v>7</v>
      </c>
      <c r="AC367" s="48" t="e">
        <f>FME_Ranking_Option2!$AB367*AB$4</f>
        <v>#REF!</v>
      </c>
      <c r="AD367" s="53">
        <f>_xlfn.XLOOKUP(FME_Ranking2[[#This Row],[FME ID]],FME_Input[FME_ID],FME_Input[ROAD_MILES100])</f>
        <v>10.31031703948975</v>
      </c>
      <c r="AE367" s="54" t="e">
        <f>FME_Ranking_Option2!$AD367*AD$4</f>
        <v>#REF!</v>
      </c>
      <c r="AF367" s="55">
        <f>FME_Ranking_Option2!$AD367/($AD$3)</f>
        <v>2.3288204784189241E-4</v>
      </c>
      <c r="AG367" s="55" t="e">
        <f>FME_Ranking_Option2!$AF367*AD$4</f>
        <v>#REF!</v>
      </c>
      <c r="AH367" s="53">
        <f>_xlfn.XLOOKUP(FME_Ranking2[[#This Row],[FME ID]],FME_Input[FME_ID],FME_Input[FARMACRE100])</f>
        <v>6.7241411209106454</v>
      </c>
      <c r="AI367" s="54" t="e">
        <f>FME_Ranking_Option2!$AH367*AH$4</f>
        <v>#REF!</v>
      </c>
      <c r="AJ367" s="56">
        <f>FME_Ranking_Option2!$AH367/($AH$3)</f>
        <v>3.9044357273401422E-4</v>
      </c>
      <c r="AK367" s="57" t="e">
        <f>FME_Ranking_Option2!$AJ367*AH$4</f>
        <v>#REF!</v>
      </c>
      <c r="AL367"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67" s="45" t="e">
        <f>_xlfn.RANK.EQ(AL367,$AL$7:$AL$531)+COUNTIF(AL$7:AL367,AL367)-1</f>
        <v>#REF!</v>
      </c>
      <c r="AN367" s="57"/>
      <c r="AO367" s="45" t="e">
        <f>_xlfn.RANK.EQ(AN367,$AN$7:$AN$531)+COUNTIF(AN$7:AN367,AN367)-1</f>
        <v>#N/A</v>
      </c>
      <c r="AP36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67" s="32" t="e">
        <f>FME_Ranking2[[#This Row],[Score Based on Reported Factors]]-FME_Ranking2[[#This Row],[Check]]</f>
        <v>#REF!</v>
      </c>
      <c r="AR367" s="32"/>
      <c r="AT367" s="19"/>
      <c r="AU367" s="19"/>
      <c r="AV367" s="19"/>
      <c r="AW367" s="19"/>
      <c r="AX367" s="19"/>
      <c r="AY367" s="19"/>
      <c r="AZ367" s="19"/>
      <c r="BA367" s="19"/>
      <c r="BB367" s="19"/>
      <c r="BC367" s="19"/>
    </row>
    <row r="368" spans="1:55" ht="12" customHeight="1" x14ac:dyDescent="0.25">
      <c r="A368" s="17" t="s">
        <v>772</v>
      </c>
      <c r="B368" s="17" t="str">
        <f>_xlfn.XLOOKUP(FME_Ranking2[[#This Row],[FME ID]],FME_Input[FME_ID],FME_Input[FME_NAME])</f>
        <v>Avenue M - Stewarts Creek Watershed</v>
      </c>
      <c r="C368" s="17" t="str">
        <f>_xlfn.XLOOKUP(FME_Ranking2[[#This Row],[FME ID]],FME_Input[FME_ID],FME_Input[DESCR])</f>
        <v>Develop a benefits cost analysis in support of this project identied in the City of Conroe Master Drainage Plan.</v>
      </c>
      <c r="D368" s="33" t="str">
        <f>_xlfn.XLOOKUP(FME_Ranking2[[#This Row],[FME ID]],FME_Input[FME_ID],FME_Input[EMER_NEED])</f>
        <v>No</v>
      </c>
      <c r="E368" s="120">
        <f>IF(FME_Ranking_Option2!$D368="Yes",100,0)</f>
        <v>0</v>
      </c>
      <c r="F368" s="34" t="str">
        <f>_xlfn.XLOOKUP(FME_Ranking2[[#This Row],[FME ID]],FME_Input[FME_ID],FME_Input[FUND])</f>
        <v>Yes</v>
      </c>
      <c r="G368" s="35">
        <f>IF(FME_Ranking_Option2!$F368="Yes",1,0)</f>
        <v>1</v>
      </c>
      <c r="H368" s="33">
        <f>_xlfn.XLOOKUP(FME_Ranking2[[#This Row],[FME ID]],FME_Input[FME_ID],FME_Input[STRUCT_100])</f>
        <v>374</v>
      </c>
      <c r="I368" s="64" t="e">
        <f>FME_Ranking2[[#This Row],[Raw Data3]]*H$4</f>
        <v>#REF!</v>
      </c>
      <c r="J368" s="63">
        <f>((FME_Ranking_Option2!$H368)/($H$3))*100</f>
        <v>4.1561605078072474E-2</v>
      </c>
      <c r="K368" s="36" t="e">
        <f>FME_Ranking2[[#This Row],[Norm Data3]]*H$4</f>
        <v>#REF!</v>
      </c>
      <c r="L368" s="37">
        <f>_xlfn.XLOOKUP(FME_Ranking2[[#This Row],[FME ID]],FME_Input[FME_ID],FME_Input[RES_STRUCT100])</f>
        <v>277</v>
      </c>
      <c r="M368" s="38" t="e">
        <f>FME_Ranking2[[#This Row],[Raw Data4]]*L$4</f>
        <v>#REF!</v>
      </c>
      <c r="N368" s="28">
        <f>((FME_Ranking_Option2!$L368)/($L$3))*100</f>
        <v>4.1412324726446931E-2</v>
      </c>
      <c r="O368" s="39" t="e">
        <f>FME_Ranking2[[#This Row],[Norm Data4]]*L$4</f>
        <v>#REF!</v>
      </c>
      <c r="P368" s="34">
        <f>_xlfn.XLOOKUP(FME_Ranking2[[#This Row],[FME ID]],FME_Input[FME_ID],FME_Input[POP100])</f>
        <v>2384</v>
      </c>
      <c r="Q368" s="35" t="e">
        <f>FME_Ranking_Option2!$P368*P$4</f>
        <v>#REF!</v>
      </c>
      <c r="R368" s="35">
        <f>FME_Ranking_Option2!$P368/($P$3)</f>
        <v>8.7497862101314011E-4</v>
      </c>
      <c r="S368" s="35" t="e">
        <f>FME_Ranking_Option2!$R368*P$4</f>
        <v>#REF!</v>
      </c>
      <c r="T368" s="37">
        <f>_xlfn.XLOOKUP(FME_Ranking2[[#This Row],[FME ID]],FME_Input[FME_ID],FME_Input[CRITFAC100])</f>
        <v>7</v>
      </c>
      <c r="U368" s="35" t="e">
        <f>FME_Ranking_Option2!$T368*T$4</f>
        <v>#REF!</v>
      </c>
      <c r="V368" s="35">
        <f>FME_Ranking_Option2!$T368/($T$3)</f>
        <v>9.871668311944718E-4</v>
      </c>
      <c r="W368" s="35" t="e">
        <f>FME_Ranking_Option2!$V368*T$4</f>
        <v>#REF!</v>
      </c>
      <c r="X368" s="37">
        <f>_xlfn.XLOOKUP(FME_Ranking2[[#This Row],[FME ID]],FME_Input[FME_ID],FME_Input[LWC])</f>
        <v>7</v>
      </c>
      <c r="Y368" s="35" t="e">
        <f>FME_Ranking_Option2!$X368*X$4</f>
        <v>#REF!</v>
      </c>
      <c r="Z368" s="35">
        <f>FME_Ranking_Option2!$X368/($X$3)</f>
        <v>6.3856960408684551E-4</v>
      </c>
      <c r="AA368" s="35" t="e">
        <f>FME_Ranking_Option2!$Z368*X$4</f>
        <v>#REF!</v>
      </c>
      <c r="AB368" s="37">
        <f>_xlfn.XLOOKUP(FME_Ranking2[[#This Row],[FME ID]],FME_Input[FME_ID],FME_Input[ROADCLS])</f>
        <v>7</v>
      </c>
      <c r="AC368" s="35" t="e">
        <f>FME_Ranking_Option2!$AB368*AB$4</f>
        <v>#REF!</v>
      </c>
      <c r="AD368" s="40">
        <f>_xlfn.XLOOKUP(FME_Ranking2[[#This Row],[FME ID]],FME_Input[FME_ID],FME_Input[ROAD_MILES100])</f>
        <v>10.31031703948975</v>
      </c>
      <c r="AE368" s="41" t="e">
        <f>FME_Ranking_Option2!$AD368*AD$4</f>
        <v>#REF!</v>
      </c>
      <c r="AF368" s="42">
        <f>FME_Ranking_Option2!$AD368/($AD$3)</f>
        <v>2.3288204784189241E-4</v>
      </c>
      <c r="AG368" s="42" t="e">
        <f>FME_Ranking_Option2!$AF368*AD$4</f>
        <v>#REF!</v>
      </c>
      <c r="AH368" s="40">
        <f>_xlfn.XLOOKUP(FME_Ranking2[[#This Row],[FME ID]],FME_Input[FME_ID],FME_Input[FARMACRE100])</f>
        <v>6.7241411209106454</v>
      </c>
      <c r="AI368" s="43" t="e">
        <f>FME_Ranking_Option2!$AH368*AH$4</f>
        <v>#REF!</v>
      </c>
      <c r="AJ368" s="41">
        <f>FME_Ranking_Option2!$AH368/($AH$3)</f>
        <v>3.9044357273401422E-4</v>
      </c>
      <c r="AK368" s="44" t="e">
        <f>FME_Ranking_Option2!$AJ368*AH$4</f>
        <v>#REF!</v>
      </c>
      <c r="AL368"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68" s="58" t="e">
        <f>_xlfn.RANK.EQ(AL368,$AL$7:$AL$531)+COUNTIF(AL$7:AL368,AL368)-1</f>
        <v>#REF!</v>
      </c>
      <c r="AN368" s="44"/>
      <c r="AO368" s="58" t="e">
        <f>_xlfn.RANK.EQ(AN368,$AN$7:$AN$531)+COUNTIF(AN$7:AN368,AN368)-1</f>
        <v>#N/A</v>
      </c>
      <c r="AP36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68" s="32" t="e">
        <f>FME_Ranking2[[#This Row],[Score Based on Reported Factors]]-FME_Ranking2[[#This Row],[Check]]</f>
        <v>#REF!</v>
      </c>
      <c r="AR368" s="32"/>
    </row>
    <row r="369" spans="1:55" ht="12" customHeight="1" x14ac:dyDescent="0.25">
      <c r="A369" s="16" t="s">
        <v>774</v>
      </c>
      <c r="B369" s="16" t="str">
        <f>_xlfn.XLOOKUP(FME_Ranking2[[#This Row],[FME ID]],FME_Input[FME_ID],FME_Input[FME_NAME])</f>
        <v>South 3rd - Stewarts Creek Watershed</v>
      </c>
      <c r="C369" s="16" t="str">
        <f>_xlfn.XLOOKUP(FME_Ranking2[[#This Row],[FME ID]],FME_Input[FME_ID],FME_Input[DESCR])</f>
        <v>Develop a benefits cost analysis in support of this project identied in the City of Conroe Master Drainage Plan.</v>
      </c>
      <c r="D369" s="46" t="str">
        <f>_xlfn.XLOOKUP(FME_Ranking2[[#This Row],[FME ID]],FME_Input[FME_ID],FME_Input[EMER_NEED])</f>
        <v>No</v>
      </c>
      <c r="E369" s="121">
        <f>IF(FME_Ranking_Option2!$D369="Yes",100,0)</f>
        <v>0</v>
      </c>
      <c r="F369" s="47" t="str">
        <f>_xlfn.XLOOKUP(FME_Ranking2[[#This Row],[FME ID]],FME_Input[FME_ID],FME_Input[FUND])</f>
        <v>Yes</v>
      </c>
      <c r="G369" s="48">
        <f>IF(FME_Ranking_Option2!$F369="Yes",1,0)</f>
        <v>1</v>
      </c>
      <c r="H369" s="46">
        <f>_xlfn.XLOOKUP(FME_Ranking2[[#This Row],[FME ID]],FME_Input[FME_ID],FME_Input[STRUCT_100])</f>
        <v>374</v>
      </c>
      <c r="I369" s="65" t="e">
        <f>FME_Ranking2[[#This Row],[Raw Data3]]*H$4</f>
        <v>#REF!</v>
      </c>
      <c r="J369" s="62">
        <f>((FME_Ranking_Option2!$H369)/($H$3))*100</f>
        <v>4.1561605078072474E-2</v>
      </c>
      <c r="K369" s="49" t="e">
        <f>FME_Ranking2[[#This Row],[Norm Data3]]*H$4</f>
        <v>#REF!</v>
      </c>
      <c r="L369" s="50">
        <f>_xlfn.XLOOKUP(FME_Ranking2[[#This Row],[FME ID]],FME_Input[FME_ID],FME_Input[RES_STRUCT100])</f>
        <v>277</v>
      </c>
      <c r="M369" s="51" t="e">
        <f>FME_Ranking2[[#This Row],[Raw Data4]]*L$4</f>
        <v>#REF!</v>
      </c>
      <c r="N369" s="29">
        <f>((FME_Ranking_Option2!$L369)/($L$3))*100</f>
        <v>4.1412324726446931E-2</v>
      </c>
      <c r="O369" s="52" t="e">
        <f>FME_Ranking2[[#This Row],[Norm Data4]]*L$4</f>
        <v>#REF!</v>
      </c>
      <c r="P369" s="47">
        <f>_xlfn.XLOOKUP(FME_Ranking2[[#This Row],[FME ID]],FME_Input[FME_ID],FME_Input[POP100])</f>
        <v>2384</v>
      </c>
      <c r="Q369" s="48" t="e">
        <f>FME_Ranking_Option2!$P369*P$4</f>
        <v>#REF!</v>
      </c>
      <c r="R369" s="48">
        <f>FME_Ranking_Option2!$P369/($P$3)</f>
        <v>8.7497862101314011E-4</v>
      </c>
      <c r="S369" s="48" t="e">
        <f>FME_Ranking_Option2!$R369*P$4</f>
        <v>#REF!</v>
      </c>
      <c r="T369" s="50">
        <f>_xlfn.XLOOKUP(FME_Ranking2[[#This Row],[FME ID]],FME_Input[FME_ID],FME_Input[CRITFAC100])</f>
        <v>7</v>
      </c>
      <c r="U369" s="48" t="e">
        <f>FME_Ranking_Option2!$T369*T$4</f>
        <v>#REF!</v>
      </c>
      <c r="V369" s="48">
        <f>FME_Ranking_Option2!$T369/($T$3)</f>
        <v>9.871668311944718E-4</v>
      </c>
      <c r="W369" s="48" t="e">
        <f>FME_Ranking_Option2!$V369*T$4</f>
        <v>#REF!</v>
      </c>
      <c r="X369" s="50">
        <f>_xlfn.XLOOKUP(FME_Ranking2[[#This Row],[FME ID]],FME_Input[FME_ID],FME_Input[LWC])</f>
        <v>7</v>
      </c>
      <c r="Y369" s="48" t="e">
        <f>FME_Ranking_Option2!$X369*X$4</f>
        <v>#REF!</v>
      </c>
      <c r="Z369" s="48">
        <f>FME_Ranking_Option2!$X369/($X$3)</f>
        <v>6.3856960408684551E-4</v>
      </c>
      <c r="AA369" s="48" t="e">
        <f>FME_Ranking_Option2!$Z369*X$4</f>
        <v>#REF!</v>
      </c>
      <c r="AB369" s="50">
        <f>_xlfn.XLOOKUP(FME_Ranking2[[#This Row],[FME ID]],FME_Input[FME_ID],FME_Input[ROADCLS])</f>
        <v>7</v>
      </c>
      <c r="AC369" s="48" t="e">
        <f>FME_Ranking_Option2!$AB369*AB$4</f>
        <v>#REF!</v>
      </c>
      <c r="AD369" s="53">
        <f>_xlfn.XLOOKUP(FME_Ranking2[[#This Row],[FME ID]],FME_Input[FME_ID],FME_Input[ROAD_MILES100])</f>
        <v>10.31031703948975</v>
      </c>
      <c r="AE369" s="54" t="e">
        <f>FME_Ranking_Option2!$AD369*AD$4</f>
        <v>#REF!</v>
      </c>
      <c r="AF369" s="55">
        <f>FME_Ranking_Option2!$AD369/($AD$3)</f>
        <v>2.3288204784189241E-4</v>
      </c>
      <c r="AG369" s="55" t="e">
        <f>FME_Ranking_Option2!$AF369*AD$4</f>
        <v>#REF!</v>
      </c>
      <c r="AH369" s="53">
        <f>_xlfn.XLOOKUP(FME_Ranking2[[#This Row],[FME ID]],FME_Input[FME_ID],FME_Input[FARMACRE100])</f>
        <v>6.7241411209106454</v>
      </c>
      <c r="AI369" s="54" t="e">
        <f>FME_Ranking_Option2!$AH369*AH$4</f>
        <v>#REF!</v>
      </c>
      <c r="AJ369" s="56">
        <f>FME_Ranking_Option2!$AH369/($AH$3)</f>
        <v>3.9044357273401422E-4</v>
      </c>
      <c r="AK369" s="57" t="e">
        <f>FME_Ranking_Option2!$AJ369*AH$4</f>
        <v>#REF!</v>
      </c>
      <c r="AL369"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69" s="45" t="e">
        <f>_xlfn.RANK.EQ(AL369,$AL$7:$AL$531)+COUNTIF(AL$7:AL369,AL369)-1</f>
        <v>#REF!</v>
      </c>
      <c r="AN369" s="57"/>
      <c r="AO369" s="45" t="e">
        <f>_xlfn.RANK.EQ(AN369,$AN$7:$AN$531)+COUNTIF(AN$7:AN369,AN369)-1</f>
        <v>#N/A</v>
      </c>
      <c r="AP36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69" s="32" t="e">
        <f>FME_Ranking2[[#This Row],[Score Based on Reported Factors]]-FME_Ranking2[[#This Row],[Check]]</f>
        <v>#REF!</v>
      </c>
      <c r="AR369" s="32"/>
      <c r="AT369" s="19"/>
      <c r="AU369" s="19"/>
      <c r="AV369" s="19"/>
      <c r="AW369" s="19"/>
      <c r="AX369" s="19"/>
      <c r="AY369" s="19"/>
      <c r="AZ369" s="19"/>
      <c r="BA369" s="19"/>
      <c r="BB369" s="19"/>
      <c r="BC369" s="19"/>
    </row>
    <row r="370" spans="1:55" ht="12" customHeight="1" x14ac:dyDescent="0.25">
      <c r="A370" s="17" t="s">
        <v>776</v>
      </c>
      <c r="B370" s="17" t="str">
        <f>_xlfn.XLOOKUP(FME_Ranking2[[#This Row],[FME ID]],FME_Input[FME_ID],FME_Input[FME_NAME])</f>
        <v>Toby - Little Caney Creek Watershed</v>
      </c>
      <c r="C370" s="17" t="str">
        <f>_xlfn.XLOOKUP(FME_Ranking2[[#This Row],[FME ID]],FME_Input[FME_ID],FME_Input[DESCR])</f>
        <v>Develop a benefits cost analysis in support of this project identied in the City of Conroe Master Drainage Plan.</v>
      </c>
      <c r="D370" s="33" t="str">
        <f>_xlfn.XLOOKUP(FME_Ranking2[[#This Row],[FME ID]],FME_Input[FME_ID],FME_Input[EMER_NEED])</f>
        <v>No</v>
      </c>
      <c r="E370" s="120">
        <f>IF(FME_Ranking_Option2!$D370="Yes",100,0)</f>
        <v>0</v>
      </c>
      <c r="F370" s="34" t="str">
        <f>_xlfn.XLOOKUP(FME_Ranking2[[#This Row],[FME ID]],FME_Input[FME_ID],FME_Input[FUND])</f>
        <v>Yes</v>
      </c>
      <c r="G370" s="35">
        <f>IF(FME_Ranking_Option2!$F370="Yes",1,0)</f>
        <v>1</v>
      </c>
      <c r="H370" s="33">
        <f>_xlfn.XLOOKUP(FME_Ranking2[[#This Row],[FME ID]],FME_Input[FME_ID],FME_Input[STRUCT_100])</f>
        <v>271</v>
      </c>
      <c r="I370" s="64" t="e">
        <f>FME_Ranking2[[#This Row],[Raw Data3]]*H$4</f>
        <v>#REF!</v>
      </c>
      <c r="J370" s="63">
        <f>((FME_Ranking_Option2!$H370)/($H$3))*100</f>
        <v>3.0115494588656797E-2</v>
      </c>
      <c r="K370" s="36" t="e">
        <f>FME_Ranking2[[#This Row],[Norm Data3]]*H$4</f>
        <v>#REF!</v>
      </c>
      <c r="L370" s="37">
        <f>_xlfn.XLOOKUP(FME_Ranking2[[#This Row],[FME ID]],FME_Input[FME_ID],FME_Input[RES_STRUCT100])</f>
        <v>204</v>
      </c>
      <c r="M370" s="38" t="e">
        <f>FME_Ranking2[[#This Row],[Raw Data4]]*L$4</f>
        <v>#REF!</v>
      </c>
      <c r="N370" s="28">
        <f>((FME_Ranking_Option2!$L370)/($L$3))*100</f>
        <v>3.0498607379765969E-2</v>
      </c>
      <c r="O370" s="39" t="e">
        <f>FME_Ranking2[[#This Row],[Norm Data4]]*L$4</f>
        <v>#REF!</v>
      </c>
      <c r="P370" s="34">
        <f>_xlfn.XLOOKUP(FME_Ranking2[[#This Row],[FME ID]],FME_Input[FME_ID],FME_Input[POP100])</f>
        <v>571</v>
      </c>
      <c r="Q370" s="35" t="e">
        <f>FME_Ranking_Option2!$P370*P$4</f>
        <v>#REF!</v>
      </c>
      <c r="R370" s="35">
        <f>FME_Ranking_Option2!$P370/($P$3)</f>
        <v>2.0956912441212375E-4</v>
      </c>
      <c r="S370" s="35" t="e">
        <f>FME_Ranking_Option2!$R370*P$4</f>
        <v>#REF!</v>
      </c>
      <c r="T370" s="37">
        <f>_xlfn.XLOOKUP(FME_Ranking2[[#This Row],[FME ID]],FME_Input[FME_ID],FME_Input[CRITFAC100])</f>
        <v>0</v>
      </c>
      <c r="U370" s="35" t="e">
        <f>FME_Ranking_Option2!$T370*T$4</f>
        <v>#REF!</v>
      </c>
      <c r="V370" s="35">
        <f>FME_Ranking_Option2!$T370/($T$3)</f>
        <v>0</v>
      </c>
      <c r="W370" s="35" t="e">
        <f>FME_Ranking_Option2!$V370*T$4</f>
        <v>#REF!</v>
      </c>
      <c r="X370" s="37">
        <f>_xlfn.XLOOKUP(FME_Ranking2[[#This Row],[FME ID]],FME_Input[FME_ID],FME_Input[LWC])</f>
        <v>0</v>
      </c>
      <c r="Y370" s="35" t="e">
        <f>FME_Ranking_Option2!$X370*X$4</f>
        <v>#REF!</v>
      </c>
      <c r="Z370" s="35">
        <f>FME_Ranking_Option2!$X370/($X$3)</f>
        <v>0</v>
      </c>
      <c r="AA370" s="35" t="e">
        <f>FME_Ranking_Option2!$Z370*X$4</f>
        <v>#REF!</v>
      </c>
      <c r="AB370" s="37">
        <f>_xlfn.XLOOKUP(FME_Ranking2[[#This Row],[FME ID]],FME_Input[FME_ID],FME_Input[ROADCLS])</f>
        <v>0</v>
      </c>
      <c r="AC370" s="35" t="e">
        <f>FME_Ranking_Option2!$AB370*AB$4</f>
        <v>#REF!</v>
      </c>
      <c r="AD370" s="40">
        <f>_xlfn.XLOOKUP(FME_Ranking2[[#This Row],[FME ID]],FME_Input[FME_ID],FME_Input[ROAD_MILES100])</f>
        <v>6.5345454216003418</v>
      </c>
      <c r="AE370" s="41" t="e">
        <f>FME_Ranking_Option2!$AD370*AD$4</f>
        <v>#REF!</v>
      </c>
      <c r="AF370" s="42">
        <f>FME_Ranking_Option2!$AD370/($AD$3)</f>
        <v>1.4759762611271375E-4</v>
      </c>
      <c r="AG370" s="42" t="e">
        <f>FME_Ranking_Option2!$AF370*AD$4</f>
        <v>#REF!</v>
      </c>
      <c r="AH370" s="40">
        <f>_xlfn.XLOOKUP(FME_Ranking2[[#This Row],[FME ID]],FME_Input[FME_ID],FME_Input[FARMACRE100])</f>
        <v>3.8967239856719971</v>
      </c>
      <c r="AI370" s="43" t="e">
        <f>FME_Ranking_Option2!$AH370*AH$4</f>
        <v>#REF!</v>
      </c>
      <c r="AJ370" s="41">
        <f>FME_Ranking_Option2!$AH370/($AH$3)</f>
        <v>2.2626693990593301E-4</v>
      </c>
      <c r="AK370" s="44" t="e">
        <f>FME_Ranking_Option2!$AJ370*AH$4</f>
        <v>#REF!</v>
      </c>
      <c r="AL370"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70" s="58" t="e">
        <f>_xlfn.RANK.EQ(AL370,$AL$7:$AL$531)+COUNTIF(AL$7:AL370,AL370)-1</f>
        <v>#REF!</v>
      </c>
      <c r="AN370" s="44"/>
      <c r="AO370" s="58" t="e">
        <f>_xlfn.RANK.EQ(AN370,$AN$7:$AN$531)+COUNTIF(AN$7:AN370,AN370)-1</f>
        <v>#N/A</v>
      </c>
      <c r="AP37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70" s="32" t="e">
        <f>FME_Ranking2[[#This Row],[Score Based on Reported Factors]]-FME_Ranking2[[#This Row],[Check]]</f>
        <v>#REF!</v>
      </c>
      <c r="AR370" s="32"/>
    </row>
    <row r="371" spans="1:55" ht="12" customHeight="1" x14ac:dyDescent="0.25">
      <c r="A371" s="16" t="s">
        <v>780</v>
      </c>
      <c r="B371" s="16" t="str">
        <f>_xlfn.XLOOKUP(FME_Ranking2[[#This Row],[FME ID]],FME_Input[FME_ID],FME_Input[FME_NAME])</f>
        <v>Southern Oak -  Little Laney Creek</v>
      </c>
      <c r="C371" s="16" t="str">
        <f>_xlfn.XLOOKUP(FME_Ranking2[[#This Row],[FME ID]],FME_Input[FME_ID],FME_Input[DESCR])</f>
        <v>Develop a benefits cost analysis in support of this project identied in the City of Conroe Master Drainage Plan.</v>
      </c>
      <c r="D371" s="46" t="str">
        <f>_xlfn.XLOOKUP(FME_Ranking2[[#This Row],[FME ID]],FME_Input[FME_ID],FME_Input[EMER_NEED])</f>
        <v>No</v>
      </c>
      <c r="E371" s="121">
        <f>IF(FME_Ranking_Option2!$D371="Yes",100,0)</f>
        <v>0</v>
      </c>
      <c r="F371" s="47" t="str">
        <f>_xlfn.XLOOKUP(FME_Ranking2[[#This Row],[FME ID]],FME_Input[FME_ID],FME_Input[FUND])</f>
        <v>Yes</v>
      </c>
      <c r="G371" s="48">
        <f>IF(FME_Ranking_Option2!$F371="Yes",1,0)</f>
        <v>1</v>
      </c>
      <c r="H371" s="46">
        <f>_xlfn.XLOOKUP(FME_Ranking2[[#This Row],[FME ID]],FME_Input[FME_ID],FME_Input[STRUCT_100])</f>
        <v>271</v>
      </c>
      <c r="I371" s="65" t="e">
        <f>FME_Ranking2[[#This Row],[Raw Data3]]*H$4</f>
        <v>#REF!</v>
      </c>
      <c r="J371" s="62">
        <f>((FME_Ranking_Option2!$H371)/($H$3))*100</f>
        <v>3.0115494588656797E-2</v>
      </c>
      <c r="K371" s="49" t="e">
        <f>FME_Ranking2[[#This Row],[Norm Data3]]*H$4</f>
        <v>#REF!</v>
      </c>
      <c r="L371" s="50">
        <f>_xlfn.XLOOKUP(FME_Ranking2[[#This Row],[FME ID]],FME_Input[FME_ID],FME_Input[RES_STRUCT100])</f>
        <v>204</v>
      </c>
      <c r="M371" s="51" t="e">
        <f>FME_Ranking2[[#This Row],[Raw Data4]]*L$4</f>
        <v>#REF!</v>
      </c>
      <c r="N371" s="29">
        <f>((FME_Ranking_Option2!$L371)/($L$3))*100</f>
        <v>3.0498607379765969E-2</v>
      </c>
      <c r="O371" s="52" t="e">
        <f>FME_Ranking2[[#This Row],[Norm Data4]]*L$4</f>
        <v>#REF!</v>
      </c>
      <c r="P371" s="47">
        <f>_xlfn.XLOOKUP(FME_Ranking2[[#This Row],[FME ID]],FME_Input[FME_ID],FME_Input[POP100])</f>
        <v>571</v>
      </c>
      <c r="Q371" s="48" t="e">
        <f>FME_Ranking_Option2!$P371*P$4</f>
        <v>#REF!</v>
      </c>
      <c r="R371" s="48">
        <f>FME_Ranking_Option2!$P371/($P$3)</f>
        <v>2.0956912441212375E-4</v>
      </c>
      <c r="S371" s="48" t="e">
        <f>FME_Ranking_Option2!$R371*P$4</f>
        <v>#REF!</v>
      </c>
      <c r="T371" s="50">
        <f>_xlfn.XLOOKUP(FME_Ranking2[[#This Row],[FME ID]],FME_Input[FME_ID],FME_Input[CRITFAC100])</f>
        <v>0</v>
      </c>
      <c r="U371" s="48" t="e">
        <f>FME_Ranking_Option2!$T371*T$4</f>
        <v>#REF!</v>
      </c>
      <c r="V371" s="48">
        <f>FME_Ranking_Option2!$T371/($T$3)</f>
        <v>0</v>
      </c>
      <c r="W371" s="48" t="e">
        <f>FME_Ranking_Option2!$V371*T$4</f>
        <v>#REF!</v>
      </c>
      <c r="X371" s="50">
        <f>_xlfn.XLOOKUP(FME_Ranking2[[#This Row],[FME ID]],FME_Input[FME_ID],FME_Input[LWC])</f>
        <v>0</v>
      </c>
      <c r="Y371" s="48" t="e">
        <f>FME_Ranking_Option2!$X371*X$4</f>
        <v>#REF!</v>
      </c>
      <c r="Z371" s="48">
        <f>FME_Ranking_Option2!$X371/($X$3)</f>
        <v>0</v>
      </c>
      <c r="AA371" s="48" t="e">
        <f>FME_Ranking_Option2!$Z371*X$4</f>
        <v>#REF!</v>
      </c>
      <c r="AB371" s="50">
        <f>_xlfn.XLOOKUP(FME_Ranking2[[#This Row],[FME ID]],FME_Input[FME_ID],FME_Input[ROADCLS])</f>
        <v>0</v>
      </c>
      <c r="AC371" s="48" t="e">
        <f>FME_Ranking_Option2!$AB371*AB$4</f>
        <v>#REF!</v>
      </c>
      <c r="AD371" s="53">
        <f>_xlfn.XLOOKUP(FME_Ranking2[[#This Row],[FME ID]],FME_Input[FME_ID],FME_Input[ROAD_MILES100])</f>
        <v>6.5345454216003418</v>
      </c>
      <c r="AE371" s="54" t="e">
        <f>FME_Ranking_Option2!$AD371*AD$4</f>
        <v>#REF!</v>
      </c>
      <c r="AF371" s="55">
        <f>FME_Ranking_Option2!$AD371/($AD$3)</f>
        <v>1.4759762611271375E-4</v>
      </c>
      <c r="AG371" s="55" t="e">
        <f>FME_Ranking_Option2!$AF371*AD$4</f>
        <v>#REF!</v>
      </c>
      <c r="AH371" s="53">
        <f>_xlfn.XLOOKUP(FME_Ranking2[[#This Row],[FME ID]],FME_Input[FME_ID],FME_Input[FARMACRE100])</f>
        <v>3.8967239856719971</v>
      </c>
      <c r="AI371" s="54" t="e">
        <f>FME_Ranking_Option2!$AH371*AH$4</f>
        <v>#REF!</v>
      </c>
      <c r="AJ371" s="56">
        <f>FME_Ranking_Option2!$AH371/($AH$3)</f>
        <v>2.2626693990593301E-4</v>
      </c>
      <c r="AK371" s="57" t="e">
        <f>FME_Ranking_Option2!$AJ371*AH$4</f>
        <v>#REF!</v>
      </c>
      <c r="AL371"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71" s="45" t="e">
        <f>_xlfn.RANK.EQ(AL371,$AL$7:$AL$531)+COUNTIF(AL$7:AL371,AL371)-1</f>
        <v>#REF!</v>
      </c>
      <c r="AN371" s="57"/>
      <c r="AO371" s="45" t="e">
        <f>_xlfn.RANK.EQ(AN371,$AN$7:$AN$531)+COUNTIF(AN$7:AN371,AN371)-1</f>
        <v>#N/A</v>
      </c>
      <c r="AP37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71" s="32" t="e">
        <f>FME_Ranking2[[#This Row],[Score Based on Reported Factors]]-FME_Ranking2[[#This Row],[Check]]</f>
        <v>#REF!</v>
      </c>
      <c r="AR371" s="32"/>
      <c r="AT371" s="19"/>
      <c r="AU371" s="19"/>
      <c r="AV371" s="19"/>
      <c r="AW371" s="19"/>
      <c r="AX371" s="19"/>
      <c r="AY371" s="19"/>
      <c r="AZ371" s="19"/>
      <c r="BA371" s="19"/>
      <c r="BB371" s="19"/>
      <c r="BC371" s="19"/>
    </row>
    <row r="372" spans="1:55" ht="12" customHeight="1" x14ac:dyDescent="0.25">
      <c r="A372" s="17" t="s">
        <v>739</v>
      </c>
      <c r="B372" s="17" t="str">
        <f>_xlfn.XLOOKUP(FME_Ranking2[[#This Row],[FME ID]],FME_Input[FME_ID],FME_Input[FME_NAME])</f>
        <v>Rush Creek Lake - Lake Conroe Estates Watershed</v>
      </c>
      <c r="C372" s="17" t="str">
        <f>_xlfn.XLOOKUP(FME_Ranking2[[#This Row],[FME ID]],FME_Input[FME_ID],FME_Input[DESCR])</f>
        <v>Develop a benefits cost analysis in support of this project identied in the City of Conroe Master Drainage Plan.</v>
      </c>
      <c r="D372" s="33" t="str">
        <f>_xlfn.XLOOKUP(FME_Ranking2[[#This Row],[FME ID]],FME_Input[FME_ID],FME_Input[EMER_NEED])</f>
        <v>No</v>
      </c>
      <c r="E372" s="120">
        <f>IF(FME_Ranking_Option2!$D372="Yes",100,0)</f>
        <v>0</v>
      </c>
      <c r="F372" s="34" t="str">
        <f>_xlfn.XLOOKUP(FME_Ranking2[[#This Row],[FME ID]],FME_Input[FME_ID],FME_Input[FUND])</f>
        <v>Yes</v>
      </c>
      <c r="G372" s="35">
        <f>IF(FME_Ranking_Option2!$F372="Yes",1,0)</f>
        <v>1</v>
      </c>
      <c r="H372" s="33">
        <f>_xlfn.XLOOKUP(FME_Ranking2[[#This Row],[FME ID]],FME_Input[FME_ID],FME_Input[STRUCT_100])</f>
        <v>80</v>
      </c>
      <c r="I372" s="64" t="e">
        <f>FME_Ranking2[[#This Row],[Raw Data3]]*H$4</f>
        <v>#REF!</v>
      </c>
      <c r="J372" s="63">
        <f>((FME_Ranking_Option2!$H372)/($H$3))*100</f>
        <v>8.8901829044005284E-3</v>
      </c>
      <c r="K372" s="36" t="e">
        <f>FME_Ranking2[[#This Row],[Norm Data3]]*H$4</f>
        <v>#REF!</v>
      </c>
      <c r="L372" s="37">
        <f>_xlfn.XLOOKUP(FME_Ranking2[[#This Row],[FME ID]],FME_Input[FME_ID],FME_Input[RES_STRUCT100])</f>
        <v>73</v>
      </c>
      <c r="M372" s="38" t="e">
        <f>FME_Ranking2[[#This Row],[Raw Data4]]*L$4</f>
        <v>#REF!</v>
      </c>
      <c r="N372" s="28">
        <f>((FME_Ranking_Option2!$L372)/($L$3))*100</f>
        <v>1.091371734668096E-2</v>
      </c>
      <c r="O372" s="39" t="e">
        <f>FME_Ranking2[[#This Row],[Norm Data4]]*L$4</f>
        <v>#REF!</v>
      </c>
      <c r="P372" s="34">
        <f>_xlfn.XLOOKUP(FME_Ranking2[[#This Row],[FME ID]],FME_Input[FME_ID],FME_Input[POP100])</f>
        <v>130</v>
      </c>
      <c r="Q372" s="35" t="e">
        <f>FME_Ranking_Option2!$P372*P$4</f>
        <v>#REF!</v>
      </c>
      <c r="R372" s="35">
        <f>FME_Ranking_Option2!$P372/($P$3)</f>
        <v>4.7712760374038683E-5</v>
      </c>
      <c r="S372" s="35" t="e">
        <f>FME_Ranking_Option2!$R372*P$4</f>
        <v>#REF!</v>
      </c>
      <c r="T372" s="37">
        <f>_xlfn.XLOOKUP(FME_Ranking2[[#This Row],[FME ID]],FME_Input[FME_ID],FME_Input[CRITFAC100])</f>
        <v>0</v>
      </c>
      <c r="U372" s="35" t="e">
        <f>FME_Ranking_Option2!$T372*T$4</f>
        <v>#REF!</v>
      </c>
      <c r="V372" s="35">
        <f>FME_Ranking_Option2!$T372/($T$3)</f>
        <v>0</v>
      </c>
      <c r="W372" s="35" t="e">
        <f>FME_Ranking_Option2!$V372*T$4</f>
        <v>#REF!</v>
      </c>
      <c r="X372" s="37">
        <f>_xlfn.XLOOKUP(FME_Ranking2[[#This Row],[FME ID]],FME_Input[FME_ID],FME_Input[LWC])</f>
        <v>1</v>
      </c>
      <c r="Y372" s="35" t="e">
        <f>FME_Ranking_Option2!$X372*X$4</f>
        <v>#REF!</v>
      </c>
      <c r="Z372" s="35">
        <f>FME_Ranking_Option2!$X372/($X$3)</f>
        <v>9.1224229155263632E-5</v>
      </c>
      <c r="AA372" s="35" t="e">
        <f>FME_Ranking_Option2!$Z372*X$4</f>
        <v>#REF!</v>
      </c>
      <c r="AB372" s="37">
        <f>_xlfn.XLOOKUP(FME_Ranking2[[#This Row],[FME ID]],FME_Input[FME_ID],FME_Input[ROADCLS])</f>
        <v>1</v>
      </c>
      <c r="AC372" s="35" t="e">
        <f>FME_Ranking_Option2!$AB372*AB$4</f>
        <v>#REF!</v>
      </c>
      <c r="AD372" s="40">
        <f>_xlfn.XLOOKUP(FME_Ranking2[[#This Row],[FME ID]],FME_Input[FME_ID],FME_Input[ROAD_MILES100])</f>
        <v>0.37900954484939581</v>
      </c>
      <c r="AE372" s="41" t="e">
        <f>FME_Ranking_Option2!$AD372*AD$4</f>
        <v>#REF!</v>
      </c>
      <c r="AF372" s="42">
        <f>FME_Ranking_Option2!$AD372/($AD$3)</f>
        <v>8.5607958143369579E-6</v>
      </c>
      <c r="AG372" s="42" t="e">
        <f>FME_Ranking_Option2!$AF372*AD$4</f>
        <v>#REF!</v>
      </c>
      <c r="AH372" s="40">
        <f>_xlfn.XLOOKUP(FME_Ranking2[[#This Row],[FME ID]],FME_Input[FME_ID],FME_Input[FARMACRE100])</f>
        <v>1.171100378036499</v>
      </c>
      <c r="AI372" s="43" t="e">
        <f>FME_Ranking_Option2!$AH372*AH$4</f>
        <v>#REF!</v>
      </c>
      <c r="AJ372" s="41">
        <f>FME_Ranking_Option2!$AH372/($AH$3)</f>
        <v>6.8001043911582935E-5</v>
      </c>
      <c r="AK372" s="44" t="e">
        <f>FME_Ranking_Option2!$AJ372*AH$4</f>
        <v>#REF!</v>
      </c>
      <c r="AL372"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72" s="58" t="e">
        <f>_xlfn.RANK.EQ(AL372,$AL$7:$AL$531)+COUNTIF(AL$7:AL372,AL372)-1</f>
        <v>#REF!</v>
      </c>
      <c r="AN372" s="44"/>
      <c r="AO372" s="58" t="e">
        <f>_xlfn.RANK.EQ(AN372,$AN$7:$AN$531)+COUNTIF(AN$7:AN372,AN372)-1</f>
        <v>#N/A</v>
      </c>
      <c r="AP37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72" s="32" t="e">
        <f>FME_Ranking2[[#This Row],[Score Based on Reported Factors]]-FME_Ranking2[[#This Row],[Check]]</f>
        <v>#REF!</v>
      </c>
      <c r="AR372" s="32"/>
    </row>
    <row r="373" spans="1:55" ht="12" customHeight="1" x14ac:dyDescent="0.25">
      <c r="A373" s="16" t="s">
        <v>730</v>
      </c>
      <c r="B373" s="16" t="str">
        <f>_xlfn.XLOOKUP(FME_Ranking2[[#This Row],[FME ID]],FME_Input[FME_ID],FME_Input[FME_NAME])</f>
        <v>Longmire and SH-105 - Live Oak Creek Watershed</v>
      </c>
      <c r="C373" s="16" t="str">
        <f>_xlfn.XLOOKUP(FME_Ranking2[[#This Row],[FME ID]],FME_Input[FME_ID],FME_Input[DESCR])</f>
        <v>Develop a benefits cost analysis in support of this project identied in the City of Conroe Master Drainage Plan.</v>
      </c>
      <c r="D373" s="46" t="str">
        <f>_xlfn.XLOOKUP(FME_Ranking2[[#This Row],[FME ID]],FME_Input[FME_ID],FME_Input[EMER_NEED])</f>
        <v>No</v>
      </c>
      <c r="E373" s="121">
        <f>IF(FME_Ranking_Option2!$D373="Yes",100,0)</f>
        <v>0</v>
      </c>
      <c r="F373" s="47" t="str">
        <f>_xlfn.XLOOKUP(FME_Ranking2[[#This Row],[FME ID]],FME_Input[FME_ID],FME_Input[FUND])</f>
        <v>Yes</v>
      </c>
      <c r="G373" s="48">
        <f>IF(FME_Ranking_Option2!$F373="Yes",1,0)</f>
        <v>1</v>
      </c>
      <c r="H373" s="46">
        <f>_xlfn.XLOOKUP(FME_Ranking2[[#This Row],[FME ID]],FME_Input[FME_ID],FME_Input[STRUCT_100])</f>
        <v>99</v>
      </c>
      <c r="I373" s="65" t="e">
        <f>FME_Ranking2[[#This Row],[Raw Data3]]*H$4</f>
        <v>#REF!</v>
      </c>
      <c r="J373" s="62">
        <f>((FME_Ranking_Option2!$H373)/($H$3))*100</f>
        <v>1.1001601344195656E-2</v>
      </c>
      <c r="K373" s="49" t="e">
        <f>FME_Ranking2[[#This Row],[Norm Data3]]*H$4</f>
        <v>#REF!</v>
      </c>
      <c r="L373" s="50">
        <f>_xlfn.XLOOKUP(FME_Ranking2[[#This Row],[FME ID]],FME_Input[FME_ID],FME_Input[RES_STRUCT100])</f>
        <v>83</v>
      </c>
      <c r="M373" s="51" t="e">
        <f>FME_Ranking2[[#This Row],[Raw Data4]]*L$4</f>
        <v>#REF!</v>
      </c>
      <c r="N373" s="29">
        <f>((FME_Ranking_Option2!$L373)/($L$3))*100</f>
        <v>1.2408747120198899E-2</v>
      </c>
      <c r="O373" s="52" t="e">
        <f>FME_Ranking2[[#This Row],[Norm Data4]]*L$4</f>
        <v>#REF!</v>
      </c>
      <c r="P373" s="47">
        <f>_xlfn.XLOOKUP(FME_Ranking2[[#This Row],[FME ID]],FME_Input[FME_ID],FME_Input[POP100])</f>
        <v>531</v>
      </c>
      <c r="Q373" s="48" t="e">
        <f>FME_Ranking_Option2!$P373*P$4</f>
        <v>#REF!</v>
      </c>
      <c r="R373" s="48">
        <f>FME_Ranking_Option2!$P373/($P$3)</f>
        <v>1.9488827506626569E-4</v>
      </c>
      <c r="S373" s="48" t="e">
        <f>FME_Ranking_Option2!$R373*P$4</f>
        <v>#REF!</v>
      </c>
      <c r="T373" s="50">
        <f>_xlfn.XLOOKUP(FME_Ranking2[[#This Row],[FME ID]],FME_Input[FME_ID],FME_Input[CRITFAC100])</f>
        <v>0</v>
      </c>
      <c r="U373" s="48" t="e">
        <f>FME_Ranking_Option2!$T373*T$4</f>
        <v>#REF!</v>
      </c>
      <c r="V373" s="48">
        <f>FME_Ranking_Option2!$T373/($T$3)</f>
        <v>0</v>
      </c>
      <c r="W373" s="48" t="e">
        <f>FME_Ranking_Option2!$V373*T$4</f>
        <v>#REF!</v>
      </c>
      <c r="X373" s="50">
        <f>_xlfn.XLOOKUP(FME_Ranking2[[#This Row],[FME ID]],FME_Input[FME_ID],FME_Input[LWC])</f>
        <v>0</v>
      </c>
      <c r="Y373" s="48" t="e">
        <f>FME_Ranking_Option2!$X373*X$4</f>
        <v>#REF!</v>
      </c>
      <c r="Z373" s="48">
        <f>FME_Ranking_Option2!$X373/($X$3)</f>
        <v>0</v>
      </c>
      <c r="AA373" s="48" t="e">
        <f>FME_Ranking_Option2!$Z373*X$4</f>
        <v>#REF!</v>
      </c>
      <c r="AB373" s="50">
        <f>_xlfn.XLOOKUP(FME_Ranking2[[#This Row],[FME ID]],FME_Input[FME_ID],FME_Input[ROADCLS])</f>
        <v>0</v>
      </c>
      <c r="AC373" s="48" t="e">
        <f>FME_Ranking_Option2!$AB373*AB$4</f>
        <v>#REF!</v>
      </c>
      <c r="AD373" s="53">
        <f>_xlfn.XLOOKUP(FME_Ranking2[[#This Row],[FME ID]],FME_Input[FME_ID],FME_Input[ROAD_MILES100])</f>
        <v>2.2649352550506592</v>
      </c>
      <c r="AE373" s="54" t="e">
        <f>FME_Ranking_Option2!$AD373*AD$4</f>
        <v>#REF!</v>
      </c>
      <c r="AF373" s="55">
        <f>FME_Ranking_Option2!$AD373/($AD$3)</f>
        <v>5.1158733374080628E-5</v>
      </c>
      <c r="AG373" s="55" t="e">
        <f>FME_Ranking_Option2!$AF373*AD$4</f>
        <v>#REF!</v>
      </c>
      <c r="AH373" s="53">
        <f>_xlfn.XLOOKUP(FME_Ranking2[[#This Row],[FME ID]],FME_Input[FME_ID],FME_Input[FARMACRE100])</f>
        <v>0.69726139307022095</v>
      </c>
      <c r="AI373" s="54" t="e">
        <f>FME_Ranking_Option2!$AH373*AH$4</f>
        <v>#REF!</v>
      </c>
      <c r="AJ373" s="56">
        <f>FME_Ranking_Option2!$AH373/($AH$3)</f>
        <v>4.0487137991976502E-5</v>
      </c>
      <c r="AK373" s="57" t="e">
        <f>FME_Ranking_Option2!$AJ373*AH$4</f>
        <v>#REF!</v>
      </c>
      <c r="AL373"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73" s="45" t="e">
        <f>_xlfn.RANK.EQ(AL373,$AL$7:$AL$531)+COUNTIF(AL$7:AL373,AL373)-1</f>
        <v>#REF!</v>
      </c>
      <c r="AN373" s="57"/>
      <c r="AO373" s="45" t="e">
        <f>_xlfn.RANK.EQ(AN373,$AN$7:$AN$531)+COUNTIF(AN$7:AN373,AN373)-1</f>
        <v>#N/A</v>
      </c>
      <c r="AP37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73" s="32" t="e">
        <f>FME_Ranking2[[#This Row],[Score Based on Reported Factors]]-FME_Ranking2[[#This Row],[Check]]</f>
        <v>#REF!</v>
      </c>
      <c r="AR373" s="32"/>
      <c r="AT373" s="19"/>
      <c r="AU373" s="19"/>
      <c r="AV373" s="19"/>
      <c r="AW373" s="19"/>
      <c r="AX373" s="19"/>
      <c r="AY373" s="19"/>
      <c r="AZ373" s="19"/>
      <c r="BA373" s="19"/>
      <c r="BB373" s="19"/>
      <c r="BC373" s="19"/>
    </row>
    <row r="374" spans="1:55" ht="12" customHeight="1" x14ac:dyDescent="0.25">
      <c r="A374" s="17" t="s">
        <v>782</v>
      </c>
      <c r="B374" s="17" t="str">
        <f>_xlfn.XLOOKUP(FME_Ranking2[[#This Row],[FME ID]],FME_Input[FME_ID],FME_Input[FME_NAME])</f>
        <v xml:space="preserve">Southeast Montgomery County Master Drainage Plan_x000D_
</v>
      </c>
      <c r="C374" s="17" t="str">
        <f>_xlfn.XLOOKUP(FME_Ranking2[[#This Row],[FME ID]],FME_Input[FME_ID],FME_Input[DESCR])</f>
        <v>Study to develop Master Drainage Plan using future and existing land use and flood/storm water drainage needs including Atlas 14 rainfall.</v>
      </c>
      <c r="D374" s="33" t="str">
        <f>_xlfn.XLOOKUP(FME_Ranking2[[#This Row],[FME ID]],FME_Input[FME_ID],FME_Input[EMER_NEED])</f>
        <v>No</v>
      </c>
      <c r="E374" s="120">
        <f>IF(FME_Ranking_Option2!$D374="Yes",100,0)</f>
        <v>0</v>
      </c>
      <c r="F374" s="34" t="str">
        <f>_xlfn.XLOOKUP(FME_Ranking2[[#This Row],[FME ID]],FME_Input[FME_ID],FME_Input[FUND])</f>
        <v>Yes</v>
      </c>
      <c r="G374" s="35">
        <f>IF(FME_Ranking_Option2!$F374="Yes",1,0)</f>
        <v>1</v>
      </c>
      <c r="H374" s="33">
        <f>_xlfn.XLOOKUP(FME_Ranking2[[#This Row],[FME ID]],FME_Input[FME_ID],FME_Input[STRUCT_100])</f>
        <v>10021</v>
      </c>
      <c r="I374" s="64" t="e">
        <f>FME_Ranking2[[#This Row],[Raw Data3]]*H$4</f>
        <v>#REF!</v>
      </c>
      <c r="J374" s="63">
        <f>((FME_Ranking_Option2!$H374)/($H$3))*100</f>
        <v>1.1136065360624714</v>
      </c>
      <c r="K374" s="36" t="e">
        <f>FME_Ranking2[[#This Row],[Norm Data3]]*H$4</f>
        <v>#REF!</v>
      </c>
      <c r="L374" s="37">
        <f>_xlfn.XLOOKUP(FME_Ranking2[[#This Row],[FME ID]],FME_Input[FME_ID],FME_Input[RES_STRUCT100])</f>
        <v>7836</v>
      </c>
      <c r="M374" s="38" t="e">
        <f>FME_Ranking2[[#This Row],[Raw Data4]]*L$4</f>
        <v>#REF!</v>
      </c>
      <c r="N374" s="28">
        <f>((FME_Ranking_Option2!$L374)/($L$3))*100</f>
        <v>1.1715053305286576</v>
      </c>
      <c r="O374" s="39" t="e">
        <f>FME_Ranking2[[#This Row],[Norm Data4]]*L$4</f>
        <v>#REF!</v>
      </c>
      <c r="P374" s="34">
        <f>_xlfn.XLOOKUP(FME_Ranking2[[#This Row],[FME ID]],FME_Input[FME_ID],FME_Input[POP100])</f>
        <v>22126</v>
      </c>
      <c r="Q374" s="35" t="e">
        <f>FME_Ranking_Option2!$P374*P$4</f>
        <v>#REF!</v>
      </c>
      <c r="R374" s="35">
        <f>FME_Ranking_Option2!$P374/($P$3)</f>
        <v>8.1207118156613831E-3</v>
      </c>
      <c r="S374" s="35" t="e">
        <f>FME_Ranking_Option2!$R374*P$4</f>
        <v>#REF!</v>
      </c>
      <c r="T374" s="37">
        <f>_xlfn.XLOOKUP(FME_Ranking2[[#This Row],[FME ID]],FME_Input[FME_ID],FME_Input[CRITFAC100])</f>
        <v>39</v>
      </c>
      <c r="U374" s="35" t="e">
        <f>FME_Ranking_Option2!$T374*T$4</f>
        <v>#REF!</v>
      </c>
      <c r="V374" s="35">
        <f>FME_Ranking_Option2!$T374/($T$3)</f>
        <v>5.4999294880834857E-3</v>
      </c>
      <c r="W374" s="35" t="e">
        <f>FME_Ranking_Option2!$V374*T$4</f>
        <v>#REF!</v>
      </c>
      <c r="X374" s="37">
        <f>_xlfn.XLOOKUP(FME_Ranking2[[#This Row],[FME ID]],FME_Input[FME_ID],FME_Input[LWC])</f>
        <v>17</v>
      </c>
      <c r="Y374" s="35" t="e">
        <f>FME_Ranking_Option2!$X374*X$4</f>
        <v>#REF!</v>
      </c>
      <c r="Z374" s="35">
        <f>FME_Ranking_Option2!$X374/($X$3)</f>
        <v>1.5508118956394819E-3</v>
      </c>
      <c r="AA374" s="35" t="e">
        <f>FME_Ranking_Option2!$Z374*X$4</f>
        <v>#REF!</v>
      </c>
      <c r="AB374" s="37">
        <f>_xlfn.XLOOKUP(FME_Ranking2[[#This Row],[FME ID]],FME_Input[FME_ID],FME_Input[ROADCLS])</f>
        <v>17</v>
      </c>
      <c r="AC374" s="35" t="e">
        <f>FME_Ranking_Option2!$AB374*AB$4</f>
        <v>#REF!</v>
      </c>
      <c r="AD374" s="40">
        <f>_xlfn.XLOOKUP(FME_Ranking2[[#This Row],[FME ID]],FME_Input[FME_ID],FME_Input[ROAD_MILES100])</f>
        <v>212.78666687011719</v>
      </c>
      <c r="AE374" s="41" t="e">
        <f>FME_Ranking_Option2!$AD374*AD$4</f>
        <v>#REF!</v>
      </c>
      <c r="AF374" s="42">
        <f>FME_Ranking_Option2!$AD374/($AD$3)</f>
        <v>4.8062726436408259E-3</v>
      </c>
      <c r="AG374" s="42" t="e">
        <f>FME_Ranking_Option2!$AF374*AD$4</f>
        <v>#REF!</v>
      </c>
      <c r="AH374" s="40">
        <f>_xlfn.XLOOKUP(FME_Ranking2[[#This Row],[FME ID]],FME_Input[FME_ID],FME_Input[FARMACRE100])</f>
        <v>296.6737060546875</v>
      </c>
      <c r="AI374" s="43" t="e">
        <f>FME_Ranking_Option2!$AH374*AH$4</f>
        <v>#REF!</v>
      </c>
      <c r="AJ374" s="41">
        <f>FME_Ranking_Option2!$AH374/($AH$3)</f>
        <v>1.7226637520740429E-2</v>
      </c>
      <c r="AK374" s="44" t="e">
        <f>FME_Ranking_Option2!$AJ374*AH$4</f>
        <v>#REF!</v>
      </c>
      <c r="AL374"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74" s="58" t="e">
        <f>_xlfn.RANK.EQ(AL374,$AL$7:$AL$531)+COUNTIF(AL$7:AL374,AL374)-1</f>
        <v>#REF!</v>
      </c>
      <c r="AN374" s="44"/>
      <c r="AO374" s="58" t="e">
        <f>_xlfn.RANK.EQ(AN374,$AN$7:$AN$531)+COUNTIF(AN$7:AN374,AN374)-1</f>
        <v>#N/A</v>
      </c>
      <c r="AP37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74" s="32" t="e">
        <f>FME_Ranking2[[#This Row],[Score Based on Reported Factors]]-FME_Ranking2[[#This Row],[Check]]</f>
        <v>#REF!</v>
      </c>
      <c r="AR374" s="32"/>
    </row>
    <row r="375" spans="1:55" ht="12" customHeight="1" x14ac:dyDescent="0.25">
      <c r="A375" s="16" t="s">
        <v>2204</v>
      </c>
      <c r="B375" s="16" t="str">
        <f>_xlfn.XLOOKUP(FME_Ranking2[[#This Row],[FME ID]],FME_Input[FME_ID],FME_Input[FME_NAME])</f>
        <v>Carpenters Bayou (West Acres, Shadowglen &amp; Old River Terrace Neighborhood)</v>
      </c>
      <c r="C375" s="16" t="str">
        <f>_xlfn.XLOOKUP(FME_Ranking2[[#This Row],[FME ID]],FME_Input[FME_ID],FME_Input[DESCR])</f>
        <v xml:space="preserve">Further study to develop a BCA required to elevate project to FMP. The project is to reduce flooding in the Problem Area #5 identified by the Carpenters Bayou Watershed Planning Project Report, 2021. </v>
      </c>
      <c r="D375" s="46" t="str">
        <f>_xlfn.XLOOKUP(FME_Ranking2[[#This Row],[FME ID]],FME_Input[FME_ID],FME_Input[EMER_NEED])</f>
        <v>No</v>
      </c>
      <c r="E375" s="121">
        <f>IF(FME_Ranking_Option2!$D375="Yes",100,0)</f>
        <v>0</v>
      </c>
      <c r="F375" s="47" t="str">
        <f>_xlfn.XLOOKUP(FME_Ranking2[[#This Row],[FME ID]],FME_Input[FME_ID],FME_Input[FUND])</f>
        <v>Yes</v>
      </c>
      <c r="G375" s="48">
        <f>IF(FME_Ranking_Option2!$F375="Yes",1,0)</f>
        <v>1</v>
      </c>
      <c r="H375" s="46">
        <f>_xlfn.XLOOKUP(FME_Ranking2[[#This Row],[FME ID]],FME_Input[FME_ID],FME_Input[STRUCT_100])</f>
        <v>812</v>
      </c>
      <c r="I375" s="65" t="e">
        <f>FME_Ranking2[[#This Row],[Raw Data3]]*H$4</f>
        <v>#REF!</v>
      </c>
      <c r="J375" s="62">
        <f>((FME_Ranking_Option2!$H375)/($H$3))*100</f>
        <v>9.023535647966538E-2</v>
      </c>
      <c r="K375" s="49" t="e">
        <f>FME_Ranking2[[#This Row],[Norm Data3]]*H$4</f>
        <v>#REF!</v>
      </c>
      <c r="L375" s="50">
        <f>_xlfn.XLOOKUP(FME_Ranking2[[#This Row],[FME ID]],FME_Input[FME_ID],FME_Input[RES_STRUCT100])</f>
        <v>489</v>
      </c>
      <c r="M375" s="51" t="e">
        <f>FME_Ranking2[[#This Row],[Raw Data4]]*L$4</f>
        <v>#REF!</v>
      </c>
      <c r="N375" s="29">
        <f>((FME_Ranking_Option2!$L375)/($L$3))*100</f>
        <v>7.310695592502725E-2</v>
      </c>
      <c r="O375" s="52" t="e">
        <f>FME_Ranking2[[#This Row],[Norm Data4]]*L$4</f>
        <v>#REF!</v>
      </c>
      <c r="P375" s="47">
        <f>_xlfn.XLOOKUP(FME_Ranking2[[#This Row],[FME ID]],FME_Input[FME_ID],FME_Input[POP100])</f>
        <v>4689</v>
      </c>
      <c r="Q375" s="48" t="e">
        <f>FME_Ranking_Option2!$P375*P$4</f>
        <v>#REF!</v>
      </c>
      <c r="R375" s="48">
        <f>FME_Ranking_Option2!$P375/($P$3)</f>
        <v>1.7209625645682105E-3</v>
      </c>
      <c r="S375" s="48" t="e">
        <f>FME_Ranking_Option2!$R375*P$4</f>
        <v>#REF!</v>
      </c>
      <c r="T375" s="50">
        <f>_xlfn.XLOOKUP(FME_Ranking2[[#This Row],[FME ID]],FME_Input[FME_ID],FME_Input[CRITFAC100])</f>
        <v>24</v>
      </c>
      <c r="U375" s="48" t="e">
        <f>FME_Ranking_Option2!$T375*T$4</f>
        <v>#REF!</v>
      </c>
      <c r="V375" s="48">
        <f>FME_Ranking_Option2!$T375/($T$3)</f>
        <v>3.3845719926667607E-3</v>
      </c>
      <c r="W375" s="48" t="e">
        <f>FME_Ranking_Option2!$V375*T$4</f>
        <v>#REF!</v>
      </c>
      <c r="X375" s="50">
        <f>_xlfn.XLOOKUP(FME_Ranking2[[#This Row],[FME ID]],FME_Input[FME_ID],FME_Input[LWC])</f>
        <v>2</v>
      </c>
      <c r="Y375" s="48" t="e">
        <f>FME_Ranking_Option2!$X375*X$4</f>
        <v>#REF!</v>
      </c>
      <c r="Z375" s="48">
        <f>FME_Ranking_Option2!$X375/($X$3)</f>
        <v>1.8244845831052726E-4</v>
      </c>
      <c r="AA375" s="48" t="e">
        <f>FME_Ranking_Option2!$Z375*X$4</f>
        <v>#REF!</v>
      </c>
      <c r="AB375" s="50">
        <f>_xlfn.XLOOKUP(FME_Ranking2[[#This Row],[FME ID]],FME_Input[FME_ID],FME_Input[ROADCLS])</f>
        <v>2</v>
      </c>
      <c r="AC375" s="48" t="e">
        <f>FME_Ranking_Option2!$AB375*AB$4</f>
        <v>#REF!</v>
      </c>
      <c r="AD375" s="53">
        <f>_xlfn.XLOOKUP(FME_Ranking2[[#This Row],[FME ID]],FME_Input[FME_ID],FME_Input[ROAD_MILES100])</f>
        <v>18.82630729675293</v>
      </c>
      <c r="AE375" s="54" t="e">
        <f>FME_Ranking_Option2!$AD375*AD$4</f>
        <v>#REF!</v>
      </c>
      <c r="AF375" s="55">
        <f>FME_Ranking_Option2!$AD375/($AD$3)</f>
        <v>4.2523512902427297E-4</v>
      </c>
      <c r="AG375" s="55" t="e">
        <f>FME_Ranking_Option2!$AF375*AD$4</f>
        <v>#REF!</v>
      </c>
      <c r="AH375" s="53">
        <f>_xlfn.XLOOKUP(FME_Ranking2[[#This Row],[FME ID]],FME_Input[FME_ID],FME_Input[FARMACRE100])</f>
        <v>96.262977600097656</v>
      </c>
      <c r="AI375" s="54" t="e">
        <f>FME_Ranking_Option2!$AH375*AH$4</f>
        <v>#REF!</v>
      </c>
      <c r="AJ375" s="56">
        <f>FME_Ranking_Option2!$AH375/($AH$3)</f>
        <v>5.5896002508505306E-3</v>
      </c>
      <c r="AK375" s="57" t="e">
        <f>FME_Ranking_Option2!$AJ375*AH$4</f>
        <v>#REF!</v>
      </c>
      <c r="AL375"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75" s="45" t="e">
        <f>_xlfn.RANK.EQ(AL375,$AL$7:$AL$531)+COUNTIF(AL$7:AL375,AL375)-1</f>
        <v>#REF!</v>
      </c>
      <c r="AN375" s="57"/>
      <c r="AO375" s="45" t="e">
        <f>_xlfn.RANK.EQ(AN375,$AN$7:$AN$531)+COUNTIF(AN$7:AN375,AN375)-1</f>
        <v>#N/A</v>
      </c>
      <c r="AP37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75" s="32" t="e">
        <f>FME_Ranking2[[#This Row],[Score Based on Reported Factors]]-FME_Ranking2[[#This Row],[Check]]</f>
        <v>#REF!</v>
      </c>
      <c r="AR375" s="32"/>
      <c r="AT375" s="19"/>
      <c r="AU375" s="19"/>
      <c r="AV375" s="19"/>
      <c r="AW375" s="19"/>
      <c r="AX375" s="19"/>
      <c r="AY375" s="19"/>
      <c r="AZ375" s="19"/>
      <c r="BA375" s="19"/>
      <c r="BB375" s="19"/>
      <c r="BC375" s="19"/>
    </row>
    <row r="376" spans="1:55" ht="12" customHeight="1" x14ac:dyDescent="0.25">
      <c r="A376" s="17" t="s">
        <v>2208</v>
      </c>
      <c r="B376" s="17" t="str">
        <f>_xlfn.XLOOKUP(FME_Ranking2[[#This Row],[FME ID]],FME_Input[FME_ID],FME_Input[FME_NAME])</f>
        <v>Catalina</v>
      </c>
      <c r="C376" s="17" t="str">
        <f>_xlfn.XLOOKUP(FME_Ranking2[[#This Row],[FME ID]],FME_Input[FME_ID],FME_Input[DESCR])</f>
        <v>Study to develop a BCR and other data needed to elevate project to a FMP. FIF application information unavailable.</v>
      </c>
      <c r="D376" s="33" t="str">
        <f>_xlfn.XLOOKUP(FME_Ranking2[[#This Row],[FME ID]],FME_Input[FME_ID],FME_Input[EMER_NEED])</f>
        <v>No</v>
      </c>
      <c r="E376" s="120">
        <f>IF(FME_Ranking_Option2!$D376="Yes",100,0)</f>
        <v>0</v>
      </c>
      <c r="F376" s="34" t="str">
        <f>_xlfn.XLOOKUP(FME_Ranking2[[#This Row],[FME ID]],FME_Input[FME_ID],FME_Input[FUND])</f>
        <v>Yes</v>
      </c>
      <c r="G376" s="35">
        <f>IF(FME_Ranking_Option2!$F376="Yes",1,0)</f>
        <v>1</v>
      </c>
      <c r="H376" s="33">
        <f>_xlfn.XLOOKUP(FME_Ranking2[[#This Row],[FME ID]],FME_Input[FME_ID],FME_Input[STRUCT_100])</f>
        <v>33653</v>
      </c>
      <c r="I376" s="64" t="e">
        <f>FME_Ranking2[[#This Row],[Raw Data3]]*H$4</f>
        <v>#REF!</v>
      </c>
      <c r="J376" s="63">
        <f>((FME_Ranking_Option2!$H376)/($H$3))*100</f>
        <v>3.739766566022388</v>
      </c>
      <c r="K376" s="36" t="e">
        <f>FME_Ranking2[[#This Row],[Norm Data3]]*H$4</f>
        <v>#REF!</v>
      </c>
      <c r="L376" s="37">
        <f>_xlfn.XLOOKUP(FME_Ranking2[[#This Row],[FME ID]],FME_Input[FME_ID],FME_Input[RES_STRUCT100])</f>
        <v>28408</v>
      </c>
      <c r="M376" s="38" t="e">
        <f>FME_Ranking2[[#This Row],[Raw Data4]]*L$4</f>
        <v>#REF!</v>
      </c>
      <c r="N376" s="28">
        <f>((FME_Ranking_Option2!$L376)/($L$3))*100</f>
        <v>4.2470805806097625</v>
      </c>
      <c r="O376" s="39" t="e">
        <f>FME_Ranking2[[#This Row],[Norm Data4]]*L$4</f>
        <v>#REF!</v>
      </c>
      <c r="P376" s="34">
        <f>_xlfn.XLOOKUP(FME_Ranking2[[#This Row],[FME ID]],FME_Input[FME_ID],FME_Input[POP100])</f>
        <v>155360</v>
      </c>
      <c r="Q376" s="35" t="e">
        <f>FME_Ranking_Option2!$P376*P$4</f>
        <v>#REF!</v>
      </c>
      <c r="R376" s="35">
        <f>FME_Ranking_Option2!$P376/($P$3)</f>
        <v>5.7020418859312687E-2</v>
      </c>
      <c r="S376" s="35" t="e">
        <f>FME_Ranking_Option2!$R376*P$4</f>
        <v>#REF!</v>
      </c>
      <c r="T376" s="37">
        <f>_xlfn.XLOOKUP(FME_Ranking2[[#This Row],[FME ID]],FME_Input[FME_ID],FME_Input[CRITFAC100])</f>
        <v>395</v>
      </c>
      <c r="U376" s="35" t="e">
        <f>FME_Ranking_Option2!$T376*T$4</f>
        <v>#REF!</v>
      </c>
      <c r="V376" s="35">
        <f>FME_Ranking_Option2!$T376/($T$3)</f>
        <v>5.5704414045973767E-2</v>
      </c>
      <c r="W376" s="35" t="e">
        <f>FME_Ranking_Option2!$V376*T$4</f>
        <v>#REF!</v>
      </c>
      <c r="X376" s="37">
        <f>_xlfn.XLOOKUP(FME_Ranking2[[#This Row],[FME ID]],FME_Input[FME_ID],FME_Input[LWC])</f>
        <v>16</v>
      </c>
      <c r="Y376" s="35" t="e">
        <f>FME_Ranking_Option2!$X376*X$4</f>
        <v>#REF!</v>
      </c>
      <c r="Z376" s="35">
        <f>FME_Ranking_Option2!$X376/($X$3)</f>
        <v>1.4595876664842181E-3</v>
      </c>
      <c r="AA376" s="35" t="e">
        <f>FME_Ranking_Option2!$Z376*X$4</f>
        <v>#REF!</v>
      </c>
      <c r="AB376" s="37">
        <f>_xlfn.XLOOKUP(FME_Ranking2[[#This Row],[FME ID]],FME_Input[FME_ID],FME_Input[ROADCLS])</f>
        <v>16</v>
      </c>
      <c r="AC376" s="35" t="e">
        <f>FME_Ranking_Option2!$AB376*AB$4</f>
        <v>#REF!</v>
      </c>
      <c r="AD376" s="40">
        <f>_xlfn.XLOOKUP(FME_Ranking2[[#This Row],[FME ID]],FME_Input[FME_ID],FME_Input[ROAD_MILES100])</f>
        <v>578.01934814453125</v>
      </c>
      <c r="AE376" s="41" t="e">
        <f>FME_Ranking_Option2!$AD376*AD$4</f>
        <v>#REF!</v>
      </c>
      <c r="AF376" s="42">
        <f>FME_Ranking_Option2!$AD376/($AD$3)</f>
        <v>1.3055886542825065E-2</v>
      </c>
      <c r="AG376" s="42" t="e">
        <f>FME_Ranking_Option2!$AF376*AD$4</f>
        <v>#REF!</v>
      </c>
      <c r="AH376" s="40">
        <f>_xlfn.XLOOKUP(FME_Ranking2[[#This Row],[FME ID]],FME_Input[FME_ID],FME_Input[FARMACRE100])</f>
        <v>596.686767578125</v>
      </c>
      <c r="AI376" s="43" t="e">
        <f>FME_Ranking_Option2!$AH376*AH$4</f>
        <v>#REF!</v>
      </c>
      <c r="AJ376" s="41">
        <f>FME_Ranking_Option2!$AH376/($AH$3)</f>
        <v>3.4647177854703053E-2</v>
      </c>
      <c r="AK376" s="44" t="e">
        <f>FME_Ranking_Option2!$AJ376*AH$4</f>
        <v>#REF!</v>
      </c>
      <c r="AL376"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76" s="58" t="e">
        <f>_xlfn.RANK.EQ(AL376,$AL$7:$AL$531)+COUNTIF(AL$7:AL376,AL376)-1</f>
        <v>#REF!</v>
      </c>
      <c r="AN376" s="44"/>
      <c r="AO376" s="58" t="e">
        <f>_xlfn.RANK.EQ(AN376,$AN$7:$AN$531)+COUNTIF(AN$7:AN376,AN376)-1</f>
        <v>#N/A</v>
      </c>
      <c r="AP37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76" s="32" t="e">
        <f>FME_Ranking2[[#This Row],[Score Based on Reported Factors]]-FME_Ranking2[[#This Row],[Check]]</f>
        <v>#REF!</v>
      </c>
      <c r="AR376" s="32"/>
    </row>
    <row r="377" spans="1:55" ht="12" customHeight="1" x14ac:dyDescent="0.25">
      <c r="A377" s="16" t="s">
        <v>2214</v>
      </c>
      <c r="B377" s="16" t="e">
        <f>_xlfn.XLOOKUP(FME_Ranking2[[#This Row],[FME ID]],FME_Input[FME_ID],FME_Input[FME_NAME])</f>
        <v>#N/A</v>
      </c>
      <c r="C377" s="16" t="e">
        <f>_xlfn.XLOOKUP(FME_Ranking2[[#This Row],[FME ID]],FME_Input[FME_ID],FME_Input[DESCR])</f>
        <v>#N/A</v>
      </c>
      <c r="D377" s="46" t="e">
        <f>_xlfn.XLOOKUP(FME_Ranking2[[#This Row],[FME ID]],FME_Input[FME_ID],FME_Input[EMER_NEED])</f>
        <v>#N/A</v>
      </c>
      <c r="E377" s="121" t="e">
        <f>IF(FME_Ranking_Option2!$D377="Yes",100,0)</f>
        <v>#N/A</v>
      </c>
      <c r="F377" s="47" t="e">
        <f>_xlfn.XLOOKUP(FME_Ranking2[[#This Row],[FME ID]],FME_Input[FME_ID],FME_Input[FUND])</f>
        <v>#N/A</v>
      </c>
      <c r="G377" s="48" t="e">
        <f>IF(FME_Ranking_Option2!$F377="Yes",1,0)</f>
        <v>#N/A</v>
      </c>
      <c r="H377" s="46" t="e">
        <f>_xlfn.XLOOKUP(FME_Ranking2[[#This Row],[FME ID]],FME_Input[FME_ID],FME_Input[STRUCT_100])</f>
        <v>#N/A</v>
      </c>
      <c r="I377" s="65" t="e">
        <f>FME_Ranking2[[#This Row],[Raw Data3]]*H$4</f>
        <v>#N/A</v>
      </c>
      <c r="J377" s="62" t="e">
        <f>((FME_Ranking_Option2!$H377)/($H$3))*100</f>
        <v>#N/A</v>
      </c>
      <c r="K377" s="49" t="e">
        <f>FME_Ranking2[[#This Row],[Norm Data3]]*H$4</f>
        <v>#N/A</v>
      </c>
      <c r="L377" s="50" t="e">
        <f>_xlfn.XLOOKUP(FME_Ranking2[[#This Row],[FME ID]],FME_Input[FME_ID],FME_Input[RES_STRUCT100])</f>
        <v>#N/A</v>
      </c>
      <c r="M377" s="51" t="e">
        <f>FME_Ranking2[[#This Row],[Raw Data4]]*L$4</f>
        <v>#N/A</v>
      </c>
      <c r="N377" s="29" t="e">
        <f>((FME_Ranking_Option2!$L377)/($L$3))*100</f>
        <v>#N/A</v>
      </c>
      <c r="O377" s="52" t="e">
        <f>FME_Ranking2[[#This Row],[Norm Data4]]*L$4</f>
        <v>#N/A</v>
      </c>
      <c r="P377" s="47" t="e">
        <f>_xlfn.XLOOKUP(FME_Ranking2[[#This Row],[FME ID]],FME_Input[FME_ID],FME_Input[POP100])</f>
        <v>#N/A</v>
      </c>
      <c r="Q377" s="48" t="e">
        <f>FME_Ranking_Option2!$P377*P$4</f>
        <v>#N/A</v>
      </c>
      <c r="R377" s="48" t="e">
        <f>FME_Ranking_Option2!$P377/($P$3)</f>
        <v>#N/A</v>
      </c>
      <c r="S377" s="48" t="e">
        <f>FME_Ranking_Option2!$R377*P$4</f>
        <v>#N/A</v>
      </c>
      <c r="T377" s="50" t="e">
        <f>_xlfn.XLOOKUP(FME_Ranking2[[#This Row],[FME ID]],FME_Input[FME_ID],FME_Input[CRITFAC100])</f>
        <v>#N/A</v>
      </c>
      <c r="U377" s="48" t="e">
        <f>FME_Ranking_Option2!$T377*T$4</f>
        <v>#N/A</v>
      </c>
      <c r="V377" s="48" t="e">
        <f>FME_Ranking_Option2!$T377/($T$3)</f>
        <v>#N/A</v>
      </c>
      <c r="W377" s="48" t="e">
        <f>FME_Ranking_Option2!$V377*T$4</f>
        <v>#N/A</v>
      </c>
      <c r="X377" s="50" t="e">
        <f>_xlfn.XLOOKUP(FME_Ranking2[[#This Row],[FME ID]],FME_Input[FME_ID],FME_Input[LWC])</f>
        <v>#N/A</v>
      </c>
      <c r="Y377" s="48" t="e">
        <f>FME_Ranking_Option2!$X377*X$4</f>
        <v>#N/A</v>
      </c>
      <c r="Z377" s="48" t="e">
        <f>FME_Ranking_Option2!$X377/($X$3)</f>
        <v>#N/A</v>
      </c>
      <c r="AA377" s="48" t="e">
        <f>FME_Ranking_Option2!$Z377*X$4</f>
        <v>#N/A</v>
      </c>
      <c r="AB377" s="50" t="e">
        <f>_xlfn.XLOOKUP(FME_Ranking2[[#This Row],[FME ID]],FME_Input[FME_ID],FME_Input[ROADCLS])</f>
        <v>#N/A</v>
      </c>
      <c r="AC377" s="48" t="e">
        <f>FME_Ranking_Option2!$AB377*AB$4</f>
        <v>#N/A</v>
      </c>
      <c r="AD377" s="53" t="e">
        <f>_xlfn.XLOOKUP(FME_Ranking2[[#This Row],[FME ID]],FME_Input[FME_ID],FME_Input[ROAD_MILES100])</f>
        <v>#N/A</v>
      </c>
      <c r="AE377" s="54" t="e">
        <f>FME_Ranking_Option2!$AD377*AD$4</f>
        <v>#N/A</v>
      </c>
      <c r="AF377" s="55" t="e">
        <f>FME_Ranking_Option2!$AD377/($AD$3)</f>
        <v>#N/A</v>
      </c>
      <c r="AG377" s="55" t="e">
        <f>FME_Ranking_Option2!$AF377*AD$4</f>
        <v>#N/A</v>
      </c>
      <c r="AH377" s="53" t="e">
        <f>_xlfn.XLOOKUP(FME_Ranking2[[#This Row],[FME ID]],FME_Input[FME_ID],FME_Input[FARMACRE100])</f>
        <v>#N/A</v>
      </c>
      <c r="AI377" s="54" t="e">
        <f>FME_Ranking_Option2!$AH377*AH$4</f>
        <v>#N/A</v>
      </c>
      <c r="AJ377" s="56" t="e">
        <f>FME_Ranking_Option2!$AH377/($AH$3)</f>
        <v>#N/A</v>
      </c>
      <c r="AK377" s="57" t="e">
        <f>FME_Ranking_Option2!$AJ377*AH$4</f>
        <v>#N/A</v>
      </c>
      <c r="AL377"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#N/A</v>
      </c>
      <c r="AM377" s="45" t="e">
        <f>_xlfn.RANK.EQ(AL377,$AL$7:$AL$531)+COUNTIF(AL$7:AL377,AL377)-1</f>
        <v>#N/A</v>
      </c>
      <c r="AN377" s="57"/>
      <c r="AO377" s="45" t="e">
        <f>_xlfn.RANK.EQ(AN377,$AN$7:$AN$531)+COUNTIF(AN$7:AN377,AN377)-1</f>
        <v>#N/A</v>
      </c>
      <c r="AP37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#N/A</v>
      </c>
      <c r="AQ377" s="32" t="e">
        <f>FME_Ranking2[[#This Row],[Score Based on Reported Factors]]-FME_Ranking2[[#This Row],[Check]]</f>
        <v>#N/A</v>
      </c>
      <c r="AR377" s="32"/>
      <c r="AT377" s="19"/>
      <c r="AU377" s="19"/>
      <c r="AV377" s="19"/>
      <c r="AW377" s="19"/>
      <c r="AX377" s="19"/>
      <c r="AY377" s="19"/>
      <c r="AZ377" s="19"/>
      <c r="BA377" s="19"/>
      <c r="BB377" s="19"/>
      <c r="BC377" s="19"/>
    </row>
    <row r="378" spans="1:55" ht="12" customHeight="1" x14ac:dyDescent="0.25">
      <c r="A378" s="17" t="s">
        <v>2212</v>
      </c>
      <c r="B378" s="17" t="e">
        <f>_xlfn.XLOOKUP(FME_Ranking2[[#This Row],[FME ID]],FME_Input[FME_ID],FME_Input[FME_NAME])</f>
        <v>#N/A</v>
      </c>
      <c r="C378" s="17" t="e">
        <f>_xlfn.XLOOKUP(FME_Ranking2[[#This Row],[FME ID]],FME_Input[FME_ID],FME_Input[DESCR])</f>
        <v>#N/A</v>
      </c>
      <c r="D378" s="33" t="e">
        <f>_xlfn.XLOOKUP(FME_Ranking2[[#This Row],[FME ID]],FME_Input[FME_ID],FME_Input[EMER_NEED])</f>
        <v>#N/A</v>
      </c>
      <c r="E378" s="120" t="e">
        <f>IF(FME_Ranking_Option2!$D378="Yes",100,0)</f>
        <v>#N/A</v>
      </c>
      <c r="F378" s="34" t="e">
        <f>_xlfn.XLOOKUP(FME_Ranking2[[#This Row],[FME ID]],FME_Input[FME_ID],FME_Input[FUND])</f>
        <v>#N/A</v>
      </c>
      <c r="G378" s="35" t="e">
        <f>IF(FME_Ranking_Option2!$F378="Yes",1,0)</f>
        <v>#N/A</v>
      </c>
      <c r="H378" s="33" t="e">
        <f>_xlfn.XLOOKUP(FME_Ranking2[[#This Row],[FME ID]],FME_Input[FME_ID],FME_Input[STRUCT_100])</f>
        <v>#N/A</v>
      </c>
      <c r="I378" s="64" t="e">
        <f>FME_Ranking2[[#This Row],[Raw Data3]]*H$4</f>
        <v>#N/A</v>
      </c>
      <c r="J378" s="63" t="e">
        <f>((FME_Ranking_Option2!$H378)/($H$3))*100</f>
        <v>#N/A</v>
      </c>
      <c r="K378" s="36" t="e">
        <f>FME_Ranking2[[#This Row],[Norm Data3]]*H$4</f>
        <v>#N/A</v>
      </c>
      <c r="L378" s="37" t="e">
        <f>_xlfn.XLOOKUP(FME_Ranking2[[#This Row],[FME ID]],FME_Input[FME_ID],FME_Input[RES_STRUCT100])</f>
        <v>#N/A</v>
      </c>
      <c r="M378" s="38" t="e">
        <f>FME_Ranking2[[#This Row],[Raw Data4]]*L$4</f>
        <v>#N/A</v>
      </c>
      <c r="N378" s="28" t="e">
        <f>((FME_Ranking_Option2!$L378)/($L$3))*100</f>
        <v>#N/A</v>
      </c>
      <c r="O378" s="39" t="e">
        <f>FME_Ranking2[[#This Row],[Norm Data4]]*L$4</f>
        <v>#N/A</v>
      </c>
      <c r="P378" s="34" t="e">
        <f>_xlfn.XLOOKUP(FME_Ranking2[[#This Row],[FME ID]],FME_Input[FME_ID],FME_Input[POP100])</f>
        <v>#N/A</v>
      </c>
      <c r="Q378" s="35" t="e">
        <f>FME_Ranking_Option2!$P378*P$4</f>
        <v>#N/A</v>
      </c>
      <c r="R378" s="35" t="e">
        <f>FME_Ranking_Option2!$P378/($P$3)</f>
        <v>#N/A</v>
      </c>
      <c r="S378" s="35" t="e">
        <f>FME_Ranking_Option2!$R378*P$4</f>
        <v>#N/A</v>
      </c>
      <c r="T378" s="37" t="e">
        <f>_xlfn.XLOOKUP(FME_Ranking2[[#This Row],[FME ID]],FME_Input[FME_ID],FME_Input[CRITFAC100])</f>
        <v>#N/A</v>
      </c>
      <c r="U378" s="35" t="e">
        <f>FME_Ranking_Option2!$T378*T$4</f>
        <v>#N/A</v>
      </c>
      <c r="V378" s="35" t="e">
        <f>FME_Ranking_Option2!$T378/($T$3)</f>
        <v>#N/A</v>
      </c>
      <c r="W378" s="35" t="e">
        <f>FME_Ranking_Option2!$V378*T$4</f>
        <v>#N/A</v>
      </c>
      <c r="X378" s="37" t="e">
        <f>_xlfn.XLOOKUP(FME_Ranking2[[#This Row],[FME ID]],FME_Input[FME_ID],FME_Input[LWC])</f>
        <v>#N/A</v>
      </c>
      <c r="Y378" s="35" t="e">
        <f>FME_Ranking_Option2!$X378*X$4</f>
        <v>#N/A</v>
      </c>
      <c r="Z378" s="35" t="e">
        <f>FME_Ranking_Option2!$X378/($X$3)</f>
        <v>#N/A</v>
      </c>
      <c r="AA378" s="35" t="e">
        <f>FME_Ranking_Option2!$Z378*X$4</f>
        <v>#N/A</v>
      </c>
      <c r="AB378" s="37" t="e">
        <f>_xlfn.XLOOKUP(FME_Ranking2[[#This Row],[FME ID]],FME_Input[FME_ID],FME_Input[ROADCLS])</f>
        <v>#N/A</v>
      </c>
      <c r="AC378" s="35" t="e">
        <f>FME_Ranking_Option2!$AB378*AB$4</f>
        <v>#N/A</v>
      </c>
      <c r="AD378" s="40" t="e">
        <f>_xlfn.XLOOKUP(FME_Ranking2[[#This Row],[FME ID]],FME_Input[FME_ID],FME_Input[ROAD_MILES100])</f>
        <v>#N/A</v>
      </c>
      <c r="AE378" s="41" t="e">
        <f>FME_Ranking_Option2!$AD378*AD$4</f>
        <v>#N/A</v>
      </c>
      <c r="AF378" s="42" t="e">
        <f>FME_Ranking_Option2!$AD378/($AD$3)</f>
        <v>#N/A</v>
      </c>
      <c r="AG378" s="42" t="e">
        <f>FME_Ranking_Option2!$AF378*AD$4</f>
        <v>#N/A</v>
      </c>
      <c r="AH378" s="40" t="e">
        <f>_xlfn.XLOOKUP(FME_Ranking2[[#This Row],[FME ID]],FME_Input[FME_ID],FME_Input[FARMACRE100])</f>
        <v>#N/A</v>
      </c>
      <c r="AI378" s="43" t="e">
        <f>FME_Ranking_Option2!$AH378*AH$4</f>
        <v>#N/A</v>
      </c>
      <c r="AJ378" s="41" t="e">
        <f>FME_Ranking_Option2!$AH378/($AH$3)</f>
        <v>#N/A</v>
      </c>
      <c r="AK378" s="44" t="e">
        <f>FME_Ranking_Option2!$AJ378*AH$4</f>
        <v>#N/A</v>
      </c>
      <c r="AL378"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#N/A</v>
      </c>
      <c r="AM378" s="58" t="e">
        <f>_xlfn.RANK.EQ(AL378,$AL$7:$AL$531)+COUNTIF(AL$7:AL378,AL378)-1</f>
        <v>#N/A</v>
      </c>
      <c r="AN378" s="44"/>
      <c r="AO378" s="58" t="e">
        <f>_xlfn.RANK.EQ(AN378,$AN$7:$AN$531)+COUNTIF(AN$7:AN378,AN378)-1</f>
        <v>#N/A</v>
      </c>
      <c r="AP37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#N/A</v>
      </c>
      <c r="AQ378" s="32" t="e">
        <f>FME_Ranking2[[#This Row],[Score Based on Reported Factors]]-FME_Ranking2[[#This Row],[Check]]</f>
        <v>#N/A</v>
      </c>
      <c r="AR378" s="32"/>
    </row>
    <row r="379" spans="1:55" ht="12" customHeight="1" x14ac:dyDescent="0.25">
      <c r="A379" s="16" t="s">
        <v>2211</v>
      </c>
      <c r="B379" s="16" t="e">
        <f>_xlfn.XLOOKUP(FME_Ranking2[[#This Row],[FME ID]],FME_Input[FME_ID],FME_Input[FME_NAME])</f>
        <v>#N/A</v>
      </c>
      <c r="C379" s="16" t="e">
        <f>_xlfn.XLOOKUP(FME_Ranking2[[#This Row],[FME ID]],FME_Input[FME_ID],FME_Input[DESCR])</f>
        <v>#N/A</v>
      </c>
      <c r="D379" s="46" t="e">
        <f>_xlfn.XLOOKUP(FME_Ranking2[[#This Row],[FME ID]],FME_Input[FME_ID],FME_Input[EMER_NEED])</f>
        <v>#N/A</v>
      </c>
      <c r="E379" s="121" t="e">
        <f>IF(FME_Ranking_Option2!$D379="Yes",100,0)</f>
        <v>#N/A</v>
      </c>
      <c r="F379" s="47" t="e">
        <f>_xlfn.XLOOKUP(FME_Ranking2[[#This Row],[FME ID]],FME_Input[FME_ID],FME_Input[FUND])</f>
        <v>#N/A</v>
      </c>
      <c r="G379" s="48" t="e">
        <f>IF(FME_Ranking_Option2!$F379="Yes",1,0)</f>
        <v>#N/A</v>
      </c>
      <c r="H379" s="46" t="e">
        <f>_xlfn.XLOOKUP(FME_Ranking2[[#This Row],[FME ID]],FME_Input[FME_ID],FME_Input[STRUCT_100])</f>
        <v>#N/A</v>
      </c>
      <c r="I379" s="65" t="e">
        <f>FME_Ranking2[[#This Row],[Raw Data3]]*H$4</f>
        <v>#N/A</v>
      </c>
      <c r="J379" s="62" t="e">
        <f>((FME_Ranking_Option2!$H379)/($H$3))*100</f>
        <v>#N/A</v>
      </c>
      <c r="K379" s="49" t="e">
        <f>FME_Ranking2[[#This Row],[Norm Data3]]*H$4</f>
        <v>#N/A</v>
      </c>
      <c r="L379" s="50" t="e">
        <f>_xlfn.XLOOKUP(FME_Ranking2[[#This Row],[FME ID]],FME_Input[FME_ID],FME_Input[RES_STRUCT100])</f>
        <v>#N/A</v>
      </c>
      <c r="M379" s="51" t="e">
        <f>FME_Ranking2[[#This Row],[Raw Data4]]*L$4</f>
        <v>#N/A</v>
      </c>
      <c r="N379" s="29" t="e">
        <f>((FME_Ranking_Option2!$L379)/($L$3))*100</f>
        <v>#N/A</v>
      </c>
      <c r="O379" s="52" t="e">
        <f>FME_Ranking2[[#This Row],[Norm Data4]]*L$4</f>
        <v>#N/A</v>
      </c>
      <c r="P379" s="47" t="e">
        <f>_xlfn.XLOOKUP(FME_Ranking2[[#This Row],[FME ID]],FME_Input[FME_ID],FME_Input[POP100])</f>
        <v>#N/A</v>
      </c>
      <c r="Q379" s="48" t="e">
        <f>FME_Ranking_Option2!$P379*P$4</f>
        <v>#N/A</v>
      </c>
      <c r="R379" s="48" t="e">
        <f>FME_Ranking_Option2!$P379/($P$3)</f>
        <v>#N/A</v>
      </c>
      <c r="S379" s="48" t="e">
        <f>FME_Ranking_Option2!$R379*P$4</f>
        <v>#N/A</v>
      </c>
      <c r="T379" s="50" t="e">
        <f>_xlfn.XLOOKUP(FME_Ranking2[[#This Row],[FME ID]],FME_Input[FME_ID],FME_Input[CRITFAC100])</f>
        <v>#N/A</v>
      </c>
      <c r="U379" s="48" t="e">
        <f>FME_Ranking_Option2!$T379*T$4</f>
        <v>#N/A</v>
      </c>
      <c r="V379" s="48" t="e">
        <f>FME_Ranking_Option2!$T379/($T$3)</f>
        <v>#N/A</v>
      </c>
      <c r="W379" s="48" t="e">
        <f>FME_Ranking_Option2!$V379*T$4</f>
        <v>#N/A</v>
      </c>
      <c r="X379" s="50" t="e">
        <f>_xlfn.XLOOKUP(FME_Ranking2[[#This Row],[FME ID]],FME_Input[FME_ID],FME_Input[LWC])</f>
        <v>#N/A</v>
      </c>
      <c r="Y379" s="48" t="e">
        <f>FME_Ranking_Option2!$X379*X$4</f>
        <v>#N/A</v>
      </c>
      <c r="Z379" s="48" t="e">
        <f>FME_Ranking_Option2!$X379/($X$3)</f>
        <v>#N/A</v>
      </c>
      <c r="AA379" s="48" t="e">
        <f>FME_Ranking_Option2!$Z379*X$4</f>
        <v>#N/A</v>
      </c>
      <c r="AB379" s="50" t="e">
        <f>_xlfn.XLOOKUP(FME_Ranking2[[#This Row],[FME ID]],FME_Input[FME_ID],FME_Input[ROADCLS])</f>
        <v>#N/A</v>
      </c>
      <c r="AC379" s="48" t="e">
        <f>FME_Ranking_Option2!$AB379*AB$4</f>
        <v>#N/A</v>
      </c>
      <c r="AD379" s="53" t="e">
        <f>_xlfn.XLOOKUP(FME_Ranking2[[#This Row],[FME ID]],FME_Input[FME_ID],FME_Input[ROAD_MILES100])</f>
        <v>#N/A</v>
      </c>
      <c r="AE379" s="54" t="e">
        <f>FME_Ranking_Option2!$AD379*AD$4</f>
        <v>#N/A</v>
      </c>
      <c r="AF379" s="55" t="e">
        <f>FME_Ranking_Option2!$AD379/($AD$3)</f>
        <v>#N/A</v>
      </c>
      <c r="AG379" s="55" t="e">
        <f>FME_Ranking_Option2!$AF379*AD$4</f>
        <v>#N/A</v>
      </c>
      <c r="AH379" s="53" t="e">
        <f>_xlfn.XLOOKUP(FME_Ranking2[[#This Row],[FME ID]],FME_Input[FME_ID],FME_Input[FARMACRE100])</f>
        <v>#N/A</v>
      </c>
      <c r="AI379" s="54" t="e">
        <f>FME_Ranking_Option2!$AH379*AH$4</f>
        <v>#N/A</v>
      </c>
      <c r="AJ379" s="56" t="e">
        <f>FME_Ranking_Option2!$AH379/($AH$3)</f>
        <v>#N/A</v>
      </c>
      <c r="AK379" s="57" t="e">
        <f>FME_Ranking_Option2!$AJ379*AH$4</f>
        <v>#N/A</v>
      </c>
      <c r="AL379"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#N/A</v>
      </c>
      <c r="AM379" s="45" t="e">
        <f>_xlfn.RANK.EQ(AL379,$AL$7:$AL$531)+COUNTIF(AL$7:AL379,AL379)-1</f>
        <v>#N/A</v>
      </c>
      <c r="AN379" s="57"/>
      <c r="AO379" s="45" t="e">
        <f>_xlfn.RANK.EQ(AN379,$AN$7:$AN$531)+COUNTIF(AN$7:AN379,AN379)-1</f>
        <v>#N/A</v>
      </c>
      <c r="AP37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#N/A</v>
      </c>
      <c r="AQ379" s="32" t="e">
        <f>FME_Ranking2[[#This Row],[Score Based on Reported Factors]]-FME_Ranking2[[#This Row],[Check]]</f>
        <v>#N/A</v>
      </c>
      <c r="AR379" s="32"/>
      <c r="AT379" s="19"/>
      <c r="AU379" s="19"/>
      <c r="AV379" s="19"/>
      <c r="AW379" s="19"/>
      <c r="AX379" s="19"/>
      <c r="AY379" s="19"/>
      <c r="AZ379" s="19"/>
      <c r="BA379" s="19"/>
      <c r="BB379" s="19"/>
      <c r="BC379" s="19"/>
    </row>
    <row r="380" spans="1:55" ht="12" customHeight="1" x14ac:dyDescent="0.25">
      <c r="A380" s="17" t="s">
        <v>2213</v>
      </c>
      <c r="B380" s="17" t="e">
        <f>_xlfn.XLOOKUP(FME_Ranking2[[#This Row],[FME ID]],FME_Input[FME_ID],FME_Input[FME_NAME])</f>
        <v>#N/A</v>
      </c>
      <c r="C380" s="17" t="e">
        <f>_xlfn.XLOOKUP(FME_Ranking2[[#This Row],[FME ID]],FME_Input[FME_ID],FME_Input[DESCR])</f>
        <v>#N/A</v>
      </c>
      <c r="D380" s="33" t="e">
        <f>_xlfn.XLOOKUP(FME_Ranking2[[#This Row],[FME ID]],FME_Input[FME_ID],FME_Input[EMER_NEED])</f>
        <v>#N/A</v>
      </c>
      <c r="E380" s="120" t="e">
        <f>IF(FME_Ranking_Option2!$D380="Yes",100,0)</f>
        <v>#N/A</v>
      </c>
      <c r="F380" s="34" t="e">
        <f>_xlfn.XLOOKUP(FME_Ranking2[[#This Row],[FME ID]],FME_Input[FME_ID],FME_Input[FUND])</f>
        <v>#N/A</v>
      </c>
      <c r="G380" s="35" t="e">
        <f>IF(FME_Ranking_Option2!$F380="Yes",1,0)</f>
        <v>#N/A</v>
      </c>
      <c r="H380" s="33" t="e">
        <f>_xlfn.XLOOKUP(FME_Ranking2[[#This Row],[FME ID]],FME_Input[FME_ID],FME_Input[STRUCT_100])</f>
        <v>#N/A</v>
      </c>
      <c r="I380" s="64" t="e">
        <f>FME_Ranking2[[#This Row],[Raw Data3]]*H$4</f>
        <v>#N/A</v>
      </c>
      <c r="J380" s="63" t="e">
        <f>((FME_Ranking_Option2!$H380)/($H$3))*100</f>
        <v>#N/A</v>
      </c>
      <c r="K380" s="36" t="e">
        <f>FME_Ranking2[[#This Row],[Norm Data3]]*H$4</f>
        <v>#N/A</v>
      </c>
      <c r="L380" s="37" t="e">
        <f>_xlfn.XLOOKUP(FME_Ranking2[[#This Row],[FME ID]],FME_Input[FME_ID],FME_Input[RES_STRUCT100])</f>
        <v>#N/A</v>
      </c>
      <c r="M380" s="38" t="e">
        <f>FME_Ranking2[[#This Row],[Raw Data4]]*L$4</f>
        <v>#N/A</v>
      </c>
      <c r="N380" s="28" t="e">
        <f>((FME_Ranking_Option2!$L380)/($L$3))*100</f>
        <v>#N/A</v>
      </c>
      <c r="O380" s="39" t="e">
        <f>FME_Ranking2[[#This Row],[Norm Data4]]*L$4</f>
        <v>#N/A</v>
      </c>
      <c r="P380" s="34" t="e">
        <f>_xlfn.XLOOKUP(FME_Ranking2[[#This Row],[FME ID]],FME_Input[FME_ID],FME_Input[POP100])</f>
        <v>#N/A</v>
      </c>
      <c r="Q380" s="35" t="e">
        <f>FME_Ranking_Option2!$P380*P$4</f>
        <v>#N/A</v>
      </c>
      <c r="R380" s="35" t="e">
        <f>FME_Ranking_Option2!$P380/($P$3)</f>
        <v>#N/A</v>
      </c>
      <c r="S380" s="35" t="e">
        <f>FME_Ranking_Option2!$R380*P$4</f>
        <v>#N/A</v>
      </c>
      <c r="T380" s="37" t="e">
        <f>_xlfn.XLOOKUP(FME_Ranking2[[#This Row],[FME ID]],FME_Input[FME_ID],FME_Input[CRITFAC100])</f>
        <v>#N/A</v>
      </c>
      <c r="U380" s="35" t="e">
        <f>FME_Ranking_Option2!$T380*T$4</f>
        <v>#N/A</v>
      </c>
      <c r="V380" s="35" t="e">
        <f>FME_Ranking_Option2!$T380/($T$3)</f>
        <v>#N/A</v>
      </c>
      <c r="W380" s="35" t="e">
        <f>FME_Ranking_Option2!$V380*T$4</f>
        <v>#N/A</v>
      </c>
      <c r="X380" s="37" t="e">
        <f>_xlfn.XLOOKUP(FME_Ranking2[[#This Row],[FME ID]],FME_Input[FME_ID],FME_Input[LWC])</f>
        <v>#N/A</v>
      </c>
      <c r="Y380" s="35" t="e">
        <f>FME_Ranking_Option2!$X380*X$4</f>
        <v>#N/A</v>
      </c>
      <c r="Z380" s="35" t="e">
        <f>FME_Ranking_Option2!$X380/($X$3)</f>
        <v>#N/A</v>
      </c>
      <c r="AA380" s="35" t="e">
        <f>FME_Ranking_Option2!$Z380*X$4</f>
        <v>#N/A</v>
      </c>
      <c r="AB380" s="37" t="e">
        <f>_xlfn.XLOOKUP(FME_Ranking2[[#This Row],[FME ID]],FME_Input[FME_ID],FME_Input[ROADCLS])</f>
        <v>#N/A</v>
      </c>
      <c r="AC380" s="35" t="e">
        <f>FME_Ranking_Option2!$AB380*AB$4</f>
        <v>#N/A</v>
      </c>
      <c r="AD380" s="40" t="e">
        <f>_xlfn.XLOOKUP(FME_Ranking2[[#This Row],[FME ID]],FME_Input[FME_ID],FME_Input[ROAD_MILES100])</f>
        <v>#N/A</v>
      </c>
      <c r="AE380" s="41" t="e">
        <f>FME_Ranking_Option2!$AD380*AD$4</f>
        <v>#N/A</v>
      </c>
      <c r="AF380" s="42" t="e">
        <f>FME_Ranking_Option2!$AD380/($AD$3)</f>
        <v>#N/A</v>
      </c>
      <c r="AG380" s="42" t="e">
        <f>FME_Ranking_Option2!$AF380*AD$4</f>
        <v>#N/A</v>
      </c>
      <c r="AH380" s="40" t="e">
        <f>_xlfn.XLOOKUP(FME_Ranking2[[#This Row],[FME ID]],FME_Input[FME_ID],FME_Input[FARMACRE100])</f>
        <v>#N/A</v>
      </c>
      <c r="AI380" s="43" t="e">
        <f>FME_Ranking_Option2!$AH380*AH$4</f>
        <v>#N/A</v>
      </c>
      <c r="AJ380" s="41" t="e">
        <f>FME_Ranking_Option2!$AH380/($AH$3)</f>
        <v>#N/A</v>
      </c>
      <c r="AK380" s="44" t="e">
        <f>FME_Ranking_Option2!$AJ380*AH$4</f>
        <v>#N/A</v>
      </c>
      <c r="AL380"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#N/A</v>
      </c>
      <c r="AM380" s="58" t="e">
        <f>_xlfn.RANK.EQ(AL380,$AL$7:$AL$531)+COUNTIF(AL$7:AL380,AL380)-1</f>
        <v>#N/A</v>
      </c>
      <c r="AN380" s="44"/>
      <c r="AO380" s="58" t="e">
        <f>_xlfn.RANK.EQ(AN380,$AN$7:$AN$531)+COUNTIF(AN$7:AN380,AN380)-1</f>
        <v>#N/A</v>
      </c>
      <c r="AP38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#N/A</v>
      </c>
      <c r="AQ380" s="32" t="e">
        <f>FME_Ranking2[[#This Row],[Score Based on Reported Factors]]-FME_Ranking2[[#This Row],[Check]]</f>
        <v>#N/A</v>
      </c>
      <c r="AR380" s="32"/>
    </row>
    <row r="381" spans="1:55" ht="12" customHeight="1" x14ac:dyDescent="0.25">
      <c r="A381" s="16" t="s">
        <v>44</v>
      </c>
      <c r="B381" s="16" t="str">
        <f>_xlfn.XLOOKUP(FME_Ranking2[[#This Row],[FME ID]],FME_Input[FME_ID],FME_Input[FME_NAME])</f>
        <v>Willow-Gazley Local Drainage Alternative 3</v>
      </c>
      <c r="C381" s="16" t="str">
        <f>_xlfn.XLOOKUP(FME_Ranking2[[#This Row],[FME ID]],FME_Input[FME_ID],FME_Input[DESCR])</f>
        <v>Drainage System Improvements</v>
      </c>
      <c r="D381" s="46" t="str">
        <f>_xlfn.XLOOKUP(FME_Ranking2[[#This Row],[FME ID]],FME_Input[FME_ID],FME_Input[EMER_NEED])</f>
        <v>No</v>
      </c>
      <c r="E381" s="121">
        <f>IF(FME_Ranking_Option2!$D381="Yes",100,0)</f>
        <v>0</v>
      </c>
      <c r="F381" s="47" t="str">
        <f>_xlfn.XLOOKUP(FME_Ranking2[[#This Row],[FME ID]],FME_Input[FME_ID],FME_Input[FUND])</f>
        <v>No</v>
      </c>
      <c r="G381" s="48">
        <f>IF(FME_Ranking_Option2!$F381="Yes",1,0)</f>
        <v>0</v>
      </c>
      <c r="H381" s="46">
        <f>_xlfn.XLOOKUP(FME_Ranking2[[#This Row],[FME ID]],FME_Input[FME_ID],FME_Input[STRUCT_100])</f>
        <v>0</v>
      </c>
      <c r="I381" s="65" t="e">
        <f>FME_Ranking2[[#This Row],[Raw Data3]]*H$4</f>
        <v>#REF!</v>
      </c>
      <c r="J381" s="62">
        <f>((FME_Ranking_Option2!$H381)/($H$3))*100</f>
        <v>0</v>
      </c>
      <c r="K381" s="49" t="e">
        <f>FME_Ranking2[[#This Row],[Norm Data3]]*H$4</f>
        <v>#REF!</v>
      </c>
      <c r="L381" s="50">
        <f>_xlfn.XLOOKUP(FME_Ranking2[[#This Row],[FME ID]],FME_Input[FME_ID],FME_Input[RES_STRUCT100])</f>
        <v>0</v>
      </c>
      <c r="M381" s="51" t="e">
        <f>FME_Ranking2[[#This Row],[Raw Data4]]*L$4</f>
        <v>#REF!</v>
      </c>
      <c r="N381" s="29">
        <f>((FME_Ranking_Option2!$L381)/($L$3))*100</f>
        <v>0</v>
      </c>
      <c r="O381" s="52" t="e">
        <f>FME_Ranking2[[#This Row],[Norm Data4]]*L$4</f>
        <v>#REF!</v>
      </c>
      <c r="P381" s="47">
        <f>_xlfn.XLOOKUP(FME_Ranking2[[#This Row],[FME ID]],FME_Input[FME_ID],FME_Input[POP100])</f>
        <v>0</v>
      </c>
      <c r="Q381" s="48" t="e">
        <f>FME_Ranking_Option2!$P381*P$4</f>
        <v>#REF!</v>
      </c>
      <c r="R381" s="48">
        <f>FME_Ranking_Option2!$P381/($P$3)</f>
        <v>0</v>
      </c>
      <c r="S381" s="48" t="e">
        <f>FME_Ranking_Option2!$R381*P$4</f>
        <v>#REF!</v>
      </c>
      <c r="T381" s="50">
        <f>_xlfn.XLOOKUP(FME_Ranking2[[#This Row],[FME ID]],FME_Input[FME_ID],FME_Input[CRITFAC100])</f>
        <v>0</v>
      </c>
      <c r="U381" s="48" t="e">
        <f>FME_Ranking_Option2!$T381*T$4</f>
        <v>#REF!</v>
      </c>
      <c r="V381" s="48">
        <f>FME_Ranking_Option2!$T381/($T$3)</f>
        <v>0</v>
      </c>
      <c r="W381" s="48" t="e">
        <f>FME_Ranking_Option2!$V381*T$4</f>
        <v>#REF!</v>
      </c>
      <c r="X381" s="50">
        <f>_xlfn.XLOOKUP(FME_Ranking2[[#This Row],[FME ID]],FME_Input[FME_ID],FME_Input[LWC])</f>
        <v>0</v>
      </c>
      <c r="Y381" s="48" t="e">
        <f>FME_Ranking_Option2!$X381*X$4</f>
        <v>#REF!</v>
      </c>
      <c r="Z381" s="48">
        <f>FME_Ranking_Option2!$X381/($X$3)</f>
        <v>0</v>
      </c>
      <c r="AA381" s="48" t="e">
        <f>FME_Ranking_Option2!$Z381*X$4</f>
        <v>#REF!</v>
      </c>
      <c r="AB381" s="50">
        <f>_xlfn.XLOOKUP(FME_Ranking2[[#This Row],[FME ID]],FME_Input[FME_ID],FME_Input[ROADCLS])</f>
        <v>0</v>
      </c>
      <c r="AC381" s="48" t="e">
        <f>FME_Ranking_Option2!$AB381*AB$4</f>
        <v>#REF!</v>
      </c>
      <c r="AD381" s="53">
        <f>_xlfn.XLOOKUP(FME_Ranking2[[#This Row],[FME ID]],FME_Input[FME_ID],FME_Input[ROAD_MILES100])</f>
        <v>0</v>
      </c>
      <c r="AE381" s="54" t="e">
        <f>FME_Ranking_Option2!$AD381*AD$4</f>
        <v>#REF!</v>
      </c>
      <c r="AF381" s="55">
        <f>FME_Ranking_Option2!$AD381/($AD$3)</f>
        <v>0</v>
      </c>
      <c r="AG381" s="55" t="e">
        <f>FME_Ranking_Option2!$AF381*AD$4</f>
        <v>#REF!</v>
      </c>
      <c r="AH381" s="53">
        <f>_xlfn.XLOOKUP(FME_Ranking2[[#This Row],[FME ID]],FME_Input[FME_ID],FME_Input[FARMACRE100])</f>
        <v>0</v>
      </c>
      <c r="AI381" s="54" t="e">
        <f>FME_Ranking_Option2!$AH381*AH$4</f>
        <v>#REF!</v>
      </c>
      <c r="AJ381" s="56">
        <f>FME_Ranking_Option2!$AH381/($AH$3)</f>
        <v>0</v>
      </c>
      <c r="AK381" s="57" t="e">
        <f>FME_Ranking_Option2!$AJ381*AH$4</f>
        <v>#REF!</v>
      </c>
      <c r="AL381"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81" s="45" t="e">
        <f>_xlfn.RANK.EQ(AL381,$AL$7:$AL$531)+COUNTIF(AL$7:AL381,AL381)-1</f>
        <v>#REF!</v>
      </c>
      <c r="AN381" s="57"/>
      <c r="AO381" s="45" t="e">
        <f>_xlfn.RANK.EQ(AN381,$AN$7:$AN$531)+COUNTIF(AN$7:AN381,AN381)-1</f>
        <v>#N/A</v>
      </c>
      <c r="AP38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81" s="32" t="e">
        <f>FME_Ranking2[[#This Row],[Score Based on Reported Factors]]-FME_Ranking2[[#This Row],[Check]]</f>
        <v>#REF!</v>
      </c>
      <c r="AR381" s="32"/>
      <c r="AT381" s="19"/>
      <c r="AU381" s="19"/>
      <c r="AV381" s="19"/>
      <c r="AW381" s="19"/>
      <c r="AX381" s="19"/>
      <c r="AY381" s="19"/>
      <c r="AZ381" s="19"/>
      <c r="BA381" s="19"/>
      <c r="BB381" s="19"/>
      <c r="BC381" s="19"/>
    </row>
    <row r="382" spans="1:55" ht="12" customHeight="1" x14ac:dyDescent="0.25">
      <c r="A382" s="17" t="s">
        <v>57</v>
      </c>
      <c r="B382" s="17" t="str">
        <f>_xlfn.XLOOKUP(FME_Ranking2[[#This Row],[FME ID]],FME_Input[FME_ID],FME_Input[FME_NAME])</f>
        <v>Shiloh Road Bridge West of State HWY 304</v>
      </c>
      <c r="C382" s="17" t="str">
        <f>_xlfn.XLOOKUP(FME_Ranking2[[#This Row],[FME ID]],FME_Input[FME_ID],FME_Input[DESCR])</f>
        <v>Upgrade flow capacity</v>
      </c>
      <c r="D382" s="33" t="str">
        <f>_xlfn.XLOOKUP(FME_Ranking2[[#This Row],[FME ID]],FME_Input[FME_ID],FME_Input[EMER_NEED])</f>
        <v>No</v>
      </c>
      <c r="E382" s="120">
        <f>IF(FME_Ranking_Option2!$D382="Yes",100,0)</f>
        <v>0</v>
      </c>
      <c r="F382" s="34" t="str">
        <f>_xlfn.XLOOKUP(FME_Ranking2[[#This Row],[FME ID]],FME_Input[FME_ID],FME_Input[FUND])</f>
        <v>No</v>
      </c>
      <c r="G382" s="35">
        <f>IF(FME_Ranking_Option2!$F382="Yes",1,0)</f>
        <v>0</v>
      </c>
      <c r="H382" s="33">
        <f>_xlfn.XLOOKUP(FME_Ranking2[[#This Row],[FME ID]],FME_Input[FME_ID],FME_Input[STRUCT_100])</f>
        <v>1</v>
      </c>
      <c r="I382" s="64" t="e">
        <f>FME_Ranking2[[#This Row],[Raw Data3]]*H$4</f>
        <v>#REF!</v>
      </c>
      <c r="J382" s="63">
        <f>((FME_Ranking_Option2!$H382)/($H$3))*100</f>
        <v>1.1112728630500662E-4</v>
      </c>
      <c r="K382" s="36" t="e">
        <f>FME_Ranking2[[#This Row],[Norm Data3]]*H$4</f>
        <v>#REF!</v>
      </c>
      <c r="L382" s="37">
        <f>_xlfn.XLOOKUP(FME_Ranking2[[#This Row],[FME ID]],FME_Input[FME_ID],FME_Input[RES_STRUCT100])</f>
        <v>1</v>
      </c>
      <c r="M382" s="38" t="e">
        <f>FME_Ranking2[[#This Row],[Raw Data4]]*L$4</f>
        <v>#REF!</v>
      </c>
      <c r="N382" s="28">
        <f>((FME_Ranking_Option2!$L382)/($L$3))*100</f>
        <v>1.4950297735179396E-4</v>
      </c>
      <c r="O382" s="39" t="e">
        <f>FME_Ranking2[[#This Row],[Norm Data4]]*L$4</f>
        <v>#REF!</v>
      </c>
      <c r="P382" s="34">
        <f>_xlfn.XLOOKUP(FME_Ranking2[[#This Row],[FME ID]],FME_Input[FME_ID],FME_Input[POP100])</f>
        <v>2</v>
      </c>
      <c r="Q382" s="35" t="e">
        <f>FME_Ranking_Option2!$P382*P$4</f>
        <v>#REF!</v>
      </c>
      <c r="R382" s="35">
        <f>FME_Ranking_Option2!$P382/($P$3)</f>
        <v>7.340424672929028E-7</v>
      </c>
      <c r="S382" s="35" t="e">
        <f>FME_Ranking_Option2!$R382*P$4</f>
        <v>#REF!</v>
      </c>
      <c r="T382" s="37">
        <f>_xlfn.XLOOKUP(FME_Ranking2[[#This Row],[FME ID]],FME_Input[FME_ID],FME_Input[CRITFAC100])</f>
        <v>0</v>
      </c>
      <c r="U382" s="35" t="e">
        <f>FME_Ranking_Option2!$T382*T$4</f>
        <v>#REF!</v>
      </c>
      <c r="V382" s="35">
        <f>FME_Ranking_Option2!$T382/($T$3)</f>
        <v>0</v>
      </c>
      <c r="W382" s="35" t="e">
        <f>FME_Ranking_Option2!$V382*T$4</f>
        <v>#REF!</v>
      </c>
      <c r="X382" s="37">
        <f>_xlfn.XLOOKUP(FME_Ranking2[[#This Row],[FME ID]],FME_Input[FME_ID],FME_Input[LWC])</f>
        <v>0</v>
      </c>
      <c r="Y382" s="35" t="e">
        <f>FME_Ranking_Option2!$X382*X$4</f>
        <v>#REF!</v>
      </c>
      <c r="Z382" s="35">
        <f>FME_Ranking_Option2!$X382/($X$3)</f>
        <v>0</v>
      </c>
      <c r="AA382" s="35" t="e">
        <f>FME_Ranking_Option2!$Z382*X$4</f>
        <v>#REF!</v>
      </c>
      <c r="AB382" s="37">
        <f>_xlfn.XLOOKUP(FME_Ranking2[[#This Row],[FME ID]],FME_Input[FME_ID],FME_Input[ROADCLS])</f>
        <v>0</v>
      </c>
      <c r="AC382" s="35" t="e">
        <f>FME_Ranking_Option2!$AB382*AB$4</f>
        <v>#REF!</v>
      </c>
      <c r="AD382" s="40">
        <f>_xlfn.XLOOKUP(FME_Ranking2[[#This Row],[FME ID]],FME_Input[FME_ID],FME_Input[ROAD_MILES100])</f>
        <v>0.14571325480937961</v>
      </c>
      <c r="AE382" s="41" t="e">
        <f>FME_Ranking_Option2!$AD382*AD$4</f>
        <v>#REF!</v>
      </c>
      <c r="AF382" s="42">
        <f>FME_Ranking_Option2!$AD382/($AD$3)</f>
        <v>3.2912665098216195E-6</v>
      </c>
      <c r="AG382" s="42" t="e">
        <f>FME_Ranking_Option2!$AF382*AD$4</f>
        <v>#REF!</v>
      </c>
      <c r="AH382" s="40">
        <f>_xlfn.XLOOKUP(FME_Ranking2[[#This Row],[FME ID]],FME_Input[FME_ID],FME_Input[FARMACRE100])</f>
        <v>56.038875579833977</v>
      </c>
      <c r="AI382" s="43" t="e">
        <f>FME_Ranking_Option2!$AH382*AH$4</f>
        <v>#REF!</v>
      </c>
      <c r="AJ382" s="41">
        <f>FME_Ranking_Option2!$AH382/($AH$3)</f>
        <v>3.2539499692154118E-3</v>
      </c>
      <c r="AK382" s="44" t="e">
        <f>FME_Ranking_Option2!$AJ382*AH$4</f>
        <v>#REF!</v>
      </c>
      <c r="AL382"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82" s="58" t="e">
        <f>_xlfn.RANK.EQ(AL382,$AL$7:$AL$531)+COUNTIF(AL$7:AL382,AL382)-1</f>
        <v>#REF!</v>
      </c>
      <c r="AN382" s="44"/>
      <c r="AO382" s="58" t="e">
        <f>_xlfn.RANK.EQ(AN382,$AN$7:$AN$531)+COUNTIF(AN$7:AN382,AN382)-1</f>
        <v>#N/A</v>
      </c>
      <c r="AP38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82" s="32" t="e">
        <f>FME_Ranking2[[#This Row],[Score Based on Reported Factors]]-FME_Ranking2[[#This Row],[Check]]</f>
        <v>#REF!</v>
      </c>
      <c r="AR382" s="32"/>
    </row>
    <row r="383" spans="1:55" ht="12" customHeight="1" x14ac:dyDescent="0.25">
      <c r="A383" s="16" t="s">
        <v>62</v>
      </c>
      <c r="B383" s="16" t="str">
        <f>_xlfn.XLOOKUP(FME_Ranking2[[#This Row],[FME ID]],FME_Input[FME_ID],FME_Input[FME_NAME])</f>
        <v>Willie May Way in Precinct 4 at Trib_x000D_</v>
      </c>
      <c r="C383" s="16" t="str">
        <f>_xlfn.XLOOKUP(FME_Ranking2[[#This Row],[FME ID]],FME_Input[FME_ID],FME_Input[DESCR])</f>
        <v>Replace CMPs with larger multi-box culvert</v>
      </c>
      <c r="D383" s="46" t="str">
        <f>_xlfn.XLOOKUP(FME_Ranking2[[#This Row],[FME ID]],FME_Input[FME_ID],FME_Input[EMER_NEED])</f>
        <v>No</v>
      </c>
      <c r="E383" s="121">
        <f>IF(FME_Ranking_Option2!$D383="Yes",100,0)</f>
        <v>0</v>
      </c>
      <c r="F383" s="47" t="str">
        <f>_xlfn.XLOOKUP(FME_Ranking2[[#This Row],[FME ID]],FME_Input[FME_ID],FME_Input[FUND])</f>
        <v>No</v>
      </c>
      <c r="G383" s="48">
        <f>IF(FME_Ranking_Option2!$F383="Yes",1,0)</f>
        <v>0</v>
      </c>
      <c r="H383" s="46">
        <f>_xlfn.XLOOKUP(FME_Ranking2[[#This Row],[FME ID]],FME_Input[FME_ID],FME_Input[STRUCT_100])</f>
        <v>0</v>
      </c>
      <c r="I383" s="65" t="e">
        <f>FME_Ranking2[[#This Row],[Raw Data3]]*H$4</f>
        <v>#REF!</v>
      </c>
      <c r="J383" s="62">
        <f>((FME_Ranking_Option2!$H383)/($H$3))*100</f>
        <v>0</v>
      </c>
      <c r="K383" s="49" t="e">
        <f>FME_Ranking2[[#This Row],[Norm Data3]]*H$4</f>
        <v>#REF!</v>
      </c>
      <c r="L383" s="50">
        <f>_xlfn.XLOOKUP(FME_Ranking2[[#This Row],[FME ID]],FME_Input[FME_ID],FME_Input[RES_STRUCT100])</f>
        <v>0</v>
      </c>
      <c r="M383" s="51" t="e">
        <f>FME_Ranking2[[#This Row],[Raw Data4]]*L$4</f>
        <v>#REF!</v>
      </c>
      <c r="N383" s="29">
        <f>((FME_Ranking_Option2!$L383)/($L$3))*100</f>
        <v>0</v>
      </c>
      <c r="O383" s="52" t="e">
        <f>FME_Ranking2[[#This Row],[Norm Data4]]*L$4</f>
        <v>#REF!</v>
      </c>
      <c r="P383" s="47">
        <f>_xlfn.XLOOKUP(FME_Ranking2[[#This Row],[FME ID]],FME_Input[FME_ID],FME_Input[POP100])</f>
        <v>0</v>
      </c>
      <c r="Q383" s="48" t="e">
        <f>FME_Ranking_Option2!$P383*P$4</f>
        <v>#REF!</v>
      </c>
      <c r="R383" s="48">
        <f>FME_Ranking_Option2!$P383/($P$3)</f>
        <v>0</v>
      </c>
      <c r="S383" s="48" t="e">
        <f>FME_Ranking_Option2!$R383*P$4</f>
        <v>#REF!</v>
      </c>
      <c r="T383" s="50">
        <f>_xlfn.XLOOKUP(FME_Ranking2[[#This Row],[FME ID]],FME_Input[FME_ID],FME_Input[CRITFAC100])</f>
        <v>0</v>
      </c>
      <c r="U383" s="48" t="e">
        <f>FME_Ranking_Option2!$T383*T$4</f>
        <v>#REF!</v>
      </c>
      <c r="V383" s="48">
        <f>FME_Ranking_Option2!$T383/($T$3)</f>
        <v>0</v>
      </c>
      <c r="W383" s="48" t="e">
        <f>FME_Ranking_Option2!$V383*T$4</f>
        <v>#REF!</v>
      </c>
      <c r="X383" s="50">
        <f>_xlfn.XLOOKUP(FME_Ranking2[[#This Row],[FME ID]],FME_Input[FME_ID],FME_Input[LWC])</f>
        <v>0</v>
      </c>
      <c r="Y383" s="48" t="e">
        <f>FME_Ranking_Option2!$X383*X$4</f>
        <v>#REF!</v>
      </c>
      <c r="Z383" s="48">
        <f>FME_Ranking_Option2!$X383/($X$3)</f>
        <v>0</v>
      </c>
      <c r="AA383" s="48" t="e">
        <f>FME_Ranking_Option2!$Z383*X$4</f>
        <v>#REF!</v>
      </c>
      <c r="AB383" s="50">
        <f>_xlfn.XLOOKUP(FME_Ranking2[[#This Row],[FME ID]],FME_Input[FME_ID],FME_Input[ROADCLS])</f>
        <v>0</v>
      </c>
      <c r="AC383" s="48" t="e">
        <f>FME_Ranking_Option2!$AB383*AB$4</f>
        <v>#REF!</v>
      </c>
      <c r="AD383" s="53">
        <f>_xlfn.XLOOKUP(FME_Ranking2[[#This Row],[FME ID]],FME_Input[FME_ID],FME_Input[ROAD_MILES100])</f>
        <v>0</v>
      </c>
      <c r="AE383" s="54" t="e">
        <f>FME_Ranking_Option2!$AD383*AD$4</f>
        <v>#REF!</v>
      </c>
      <c r="AF383" s="55">
        <f>FME_Ranking_Option2!$AD383/($AD$3)</f>
        <v>0</v>
      </c>
      <c r="AG383" s="55" t="e">
        <f>FME_Ranking_Option2!$AF383*AD$4</f>
        <v>#REF!</v>
      </c>
      <c r="AH383" s="53">
        <f>_xlfn.XLOOKUP(FME_Ranking2[[#This Row],[FME ID]],FME_Input[FME_ID],FME_Input[FARMACRE100])</f>
        <v>0</v>
      </c>
      <c r="AI383" s="54" t="e">
        <f>FME_Ranking_Option2!$AH383*AH$4</f>
        <v>#REF!</v>
      </c>
      <c r="AJ383" s="56">
        <f>FME_Ranking_Option2!$AH383/($AH$3)</f>
        <v>0</v>
      </c>
      <c r="AK383" s="57" t="e">
        <f>FME_Ranking_Option2!$AJ383*AH$4</f>
        <v>#REF!</v>
      </c>
      <c r="AL383"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83" s="45" t="e">
        <f>_xlfn.RANK.EQ(AL383,$AL$7:$AL$531)+COUNTIF(AL$7:AL383,AL383)-1</f>
        <v>#REF!</v>
      </c>
      <c r="AN383" s="57"/>
      <c r="AO383" s="45" t="e">
        <f>_xlfn.RANK.EQ(AN383,$AN$7:$AN$531)+COUNTIF(AN$7:AN383,AN383)-1</f>
        <v>#N/A</v>
      </c>
      <c r="AP38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83" s="32" t="e">
        <f>FME_Ranking2[[#This Row],[Score Based on Reported Factors]]-FME_Ranking2[[#This Row],[Check]]</f>
        <v>#REF!</v>
      </c>
      <c r="AR383" s="32"/>
      <c r="AT383" s="19"/>
      <c r="AU383" s="19"/>
      <c r="AV383" s="19"/>
      <c r="AW383" s="19"/>
      <c r="AX383" s="19"/>
      <c r="AY383" s="19"/>
      <c r="AZ383" s="19"/>
      <c r="BA383" s="19"/>
      <c r="BB383" s="19"/>
      <c r="BC383" s="19"/>
    </row>
    <row r="384" spans="1:55" ht="12" customHeight="1" x14ac:dyDescent="0.25">
      <c r="A384" s="17" t="s">
        <v>63</v>
      </c>
      <c r="B384" s="17" t="str">
        <f>_xlfn.XLOOKUP(FME_Ranking2[[#This Row],[FME ID]],FME_Input[FME_ID],FME_Input[FME_NAME])</f>
        <v>Gotier Trace Low Water Crossing</v>
      </c>
      <c r="C384" s="17" t="str">
        <f>_xlfn.XLOOKUP(FME_Ranking2[[#This Row],[FME ID]],FME_Input[FME_ID],FME_Input[DESCR])</f>
        <v>Replace LWCs with box culverts</v>
      </c>
      <c r="D384" s="33" t="str">
        <f>_xlfn.XLOOKUP(FME_Ranking2[[#This Row],[FME ID]],FME_Input[FME_ID],FME_Input[EMER_NEED])</f>
        <v>No</v>
      </c>
      <c r="E384" s="120">
        <f>IF(FME_Ranking_Option2!$D384="Yes",100,0)</f>
        <v>0</v>
      </c>
      <c r="F384" s="34" t="str">
        <f>_xlfn.XLOOKUP(FME_Ranking2[[#This Row],[FME ID]],FME_Input[FME_ID],FME_Input[FUND])</f>
        <v>No</v>
      </c>
      <c r="G384" s="35">
        <f>IF(FME_Ranking_Option2!$F384="Yes",1,0)</f>
        <v>0</v>
      </c>
      <c r="H384" s="33">
        <f>_xlfn.XLOOKUP(FME_Ranking2[[#This Row],[FME ID]],FME_Input[FME_ID],FME_Input[STRUCT_100])</f>
        <v>2</v>
      </c>
      <c r="I384" s="64" t="e">
        <f>FME_Ranking2[[#This Row],[Raw Data3]]*H$4</f>
        <v>#REF!</v>
      </c>
      <c r="J384" s="63">
        <f>((FME_Ranking_Option2!$H384)/($H$3))*100</f>
        <v>2.2225457261001324E-4</v>
      </c>
      <c r="K384" s="36" t="e">
        <f>FME_Ranking2[[#This Row],[Norm Data3]]*H$4</f>
        <v>#REF!</v>
      </c>
      <c r="L384" s="37">
        <f>_xlfn.XLOOKUP(FME_Ranking2[[#This Row],[FME ID]],FME_Input[FME_ID],FME_Input[RES_STRUCT100])</f>
        <v>2</v>
      </c>
      <c r="M384" s="38" t="e">
        <f>FME_Ranking2[[#This Row],[Raw Data4]]*L$4</f>
        <v>#REF!</v>
      </c>
      <c r="N384" s="28">
        <f>((FME_Ranking_Option2!$L384)/($L$3))*100</f>
        <v>2.9900595470358791E-4</v>
      </c>
      <c r="O384" s="39" t="e">
        <f>FME_Ranking2[[#This Row],[Norm Data4]]*L$4</f>
        <v>#REF!</v>
      </c>
      <c r="P384" s="34">
        <f>_xlfn.XLOOKUP(FME_Ranking2[[#This Row],[FME ID]],FME_Input[FME_ID],FME_Input[POP100])</f>
        <v>3</v>
      </c>
      <c r="Q384" s="35" t="e">
        <f>FME_Ranking_Option2!$P384*P$4</f>
        <v>#REF!</v>
      </c>
      <c r="R384" s="35">
        <f>FME_Ranking_Option2!$P384/($P$3)</f>
        <v>1.1010637009393542E-6</v>
      </c>
      <c r="S384" s="35" t="e">
        <f>FME_Ranking_Option2!$R384*P$4</f>
        <v>#REF!</v>
      </c>
      <c r="T384" s="37">
        <f>_xlfn.XLOOKUP(FME_Ranking2[[#This Row],[FME ID]],FME_Input[FME_ID],FME_Input[CRITFAC100])</f>
        <v>0</v>
      </c>
      <c r="U384" s="35" t="e">
        <f>FME_Ranking_Option2!$T384*T$4</f>
        <v>#REF!</v>
      </c>
      <c r="V384" s="35">
        <f>FME_Ranking_Option2!$T384/($T$3)</f>
        <v>0</v>
      </c>
      <c r="W384" s="35" t="e">
        <f>FME_Ranking_Option2!$V384*T$4</f>
        <v>#REF!</v>
      </c>
      <c r="X384" s="37">
        <f>_xlfn.XLOOKUP(FME_Ranking2[[#This Row],[FME ID]],FME_Input[FME_ID],FME_Input[LWC])</f>
        <v>0</v>
      </c>
      <c r="Y384" s="35" t="e">
        <f>FME_Ranking_Option2!$X384*X$4</f>
        <v>#REF!</v>
      </c>
      <c r="Z384" s="35">
        <f>FME_Ranking_Option2!$X384/($X$3)</f>
        <v>0</v>
      </c>
      <c r="AA384" s="35" t="e">
        <f>FME_Ranking_Option2!$Z384*X$4</f>
        <v>#REF!</v>
      </c>
      <c r="AB384" s="37">
        <f>_xlfn.XLOOKUP(FME_Ranking2[[#This Row],[FME ID]],FME_Input[FME_ID],FME_Input[ROADCLS])</f>
        <v>0</v>
      </c>
      <c r="AC384" s="35" t="e">
        <f>FME_Ranking_Option2!$AB384*AB$4</f>
        <v>#REF!</v>
      </c>
      <c r="AD384" s="40">
        <f>_xlfn.XLOOKUP(FME_Ranking2[[#This Row],[FME ID]],FME_Input[FME_ID],FME_Input[ROAD_MILES100])</f>
        <v>1.3419240713119509</v>
      </c>
      <c r="AE384" s="41" t="e">
        <f>FME_Ranking_Option2!$AD384*AD$4</f>
        <v>#REF!</v>
      </c>
      <c r="AF384" s="42">
        <f>FME_Ranking_Option2!$AD384/($AD$3)</f>
        <v>3.0310418639747542E-5</v>
      </c>
      <c r="AG384" s="42" t="e">
        <f>FME_Ranking_Option2!$AF384*AD$4</f>
        <v>#REF!</v>
      </c>
      <c r="AH384" s="40">
        <f>_xlfn.XLOOKUP(FME_Ranking2[[#This Row],[FME ID]],FME_Input[FME_ID],FME_Input[FARMACRE100])</f>
        <v>162.9137878417969</v>
      </c>
      <c r="AI384" s="43" t="e">
        <f>FME_Ranking_Option2!$AH384*AH$4</f>
        <v>#REF!</v>
      </c>
      <c r="AJ384" s="41">
        <f>FME_Ranking_Option2!$AH384/($AH$3)</f>
        <v>9.4597421780416042E-3</v>
      </c>
      <c r="AK384" s="44" t="e">
        <f>FME_Ranking_Option2!$AJ384*AH$4</f>
        <v>#REF!</v>
      </c>
      <c r="AL384"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84" s="58" t="e">
        <f>_xlfn.RANK.EQ(AL384,$AL$7:$AL$531)+COUNTIF(AL$7:AL384,AL384)-1</f>
        <v>#REF!</v>
      </c>
      <c r="AN384" s="44"/>
      <c r="AO384" s="58" t="e">
        <f>_xlfn.RANK.EQ(AN384,$AN$7:$AN$531)+COUNTIF(AN$7:AN384,AN384)-1</f>
        <v>#N/A</v>
      </c>
      <c r="AP38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84" s="32" t="e">
        <f>FME_Ranking2[[#This Row],[Score Based on Reported Factors]]-FME_Ranking2[[#This Row],[Check]]</f>
        <v>#REF!</v>
      </c>
      <c r="AR384" s="32"/>
    </row>
    <row r="385" spans="1:55" ht="12" customHeight="1" x14ac:dyDescent="0.25">
      <c r="A385" s="16" t="s">
        <v>66</v>
      </c>
      <c r="B385" s="16" t="str">
        <f>_xlfn.XLOOKUP(FME_Ranking2[[#This Row],[FME ID]],FME_Input[FME_ID],FME_Input[FME_NAME])</f>
        <v>Lakeview Drive &amp; Tuck Street</v>
      </c>
      <c r="C385" s="16" t="str">
        <f>_xlfn.XLOOKUP(FME_Ranking2[[#This Row],[FME ID]],FME_Input[FME_ID],FME_Input[DESCR])</f>
        <v>Drainage system improvements</v>
      </c>
      <c r="D385" s="46" t="str">
        <f>_xlfn.XLOOKUP(FME_Ranking2[[#This Row],[FME ID]],FME_Input[FME_ID],FME_Input[EMER_NEED])</f>
        <v>No</v>
      </c>
      <c r="E385" s="121">
        <f>IF(FME_Ranking_Option2!$D385="Yes",100,0)</f>
        <v>0</v>
      </c>
      <c r="F385" s="47" t="str">
        <f>_xlfn.XLOOKUP(FME_Ranking2[[#This Row],[FME ID]],FME_Input[FME_ID],FME_Input[FUND])</f>
        <v>No</v>
      </c>
      <c r="G385" s="48">
        <f>IF(FME_Ranking_Option2!$F385="Yes",1,0)</f>
        <v>0</v>
      </c>
      <c r="H385" s="46">
        <f>_xlfn.XLOOKUP(FME_Ranking2[[#This Row],[FME ID]],FME_Input[FME_ID],FME_Input[STRUCT_100])</f>
        <v>47</v>
      </c>
      <c r="I385" s="65" t="e">
        <f>FME_Ranking2[[#This Row],[Raw Data3]]*H$4</f>
        <v>#REF!</v>
      </c>
      <c r="J385" s="62">
        <f>((FME_Ranking_Option2!$H385)/($H$3))*100</f>
        <v>5.2229824563353108E-3</v>
      </c>
      <c r="K385" s="49" t="e">
        <f>FME_Ranking2[[#This Row],[Norm Data3]]*H$4</f>
        <v>#REF!</v>
      </c>
      <c r="L385" s="50">
        <f>_xlfn.XLOOKUP(FME_Ranking2[[#This Row],[FME ID]],FME_Input[FME_ID],FME_Input[RES_STRUCT100])</f>
        <v>40</v>
      </c>
      <c r="M385" s="51" t="e">
        <f>FME_Ranking2[[#This Row],[Raw Data4]]*L$4</f>
        <v>#REF!</v>
      </c>
      <c r="N385" s="29">
        <f>((FME_Ranking_Option2!$L385)/($L$3))*100</f>
        <v>5.9801190940717581E-3</v>
      </c>
      <c r="O385" s="52" t="e">
        <f>FME_Ranking2[[#This Row],[Norm Data4]]*L$4</f>
        <v>#REF!</v>
      </c>
      <c r="P385" s="47">
        <f>_xlfn.XLOOKUP(FME_Ranking2[[#This Row],[FME ID]],FME_Input[FME_ID],FME_Input[POP100])</f>
        <v>115</v>
      </c>
      <c r="Q385" s="48" t="e">
        <f>FME_Ranking_Option2!$P385*P$4</f>
        <v>#REF!</v>
      </c>
      <c r="R385" s="48">
        <f>FME_Ranking_Option2!$P385/($P$3)</f>
        <v>4.2207441869341909E-5</v>
      </c>
      <c r="S385" s="48" t="e">
        <f>FME_Ranking_Option2!$R385*P$4</f>
        <v>#REF!</v>
      </c>
      <c r="T385" s="50">
        <f>_xlfn.XLOOKUP(FME_Ranking2[[#This Row],[FME ID]],FME_Input[FME_ID],FME_Input[CRITFAC100])</f>
        <v>0</v>
      </c>
      <c r="U385" s="48" t="e">
        <f>FME_Ranking_Option2!$T385*T$4</f>
        <v>#REF!</v>
      </c>
      <c r="V385" s="48">
        <f>FME_Ranking_Option2!$T385/($T$3)</f>
        <v>0</v>
      </c>
      <c r="W385" s="48" t="e">
        <f>FME_Ranking_Option2!$V385*T$4</f>
        <v>#REF!</v>
      </c>
      <c r="X385" s="50">
        <f>_xlfn.XLOOKUP(FME_Ranking2[[#This Row],[FME ID]],FME_Input[FME_ID],FME_Input[LWC])</f>
        <v>0</v>
      </c>
      <c r="Y385" s="48" t="e">
        <f>FME_Ranking_Option2!$X385*X$4</f>
        <v>#REF!</v>
      </c>
      <c r="Z385" s="48">
        <f>FME_Ranking_Option2!$X385/($X$3)</f>
        <v>0</v>
      </c>
      <c r="AA385" s="48" t="e">
        <f>FME_Ranking_Option2!$Z385*X$4</f>
        <v>#REF!</v>
      </c>
      <c r="AB385" s="50">
        <f>_xlfn.XLOOKUP(FME_Ranking2[[#This Row],[FME ID]],FME_Input[FME_ID],FME_Input[ROADCLS])</f>
        <v>0</v>
      </c>
      <c r="AC385" s="48" t="e">
        <f>FME_Ranking_Option2!$AB385*AB$4</f>
        <v>#REF!</v>
      </c>
      <c r="AD385" s="53">
        <f>_xlfn.XLOOKUP(FME_Ranking2[[#This Row],[FME ID]],FME_Input[FME_ID],FME_Input[ROAD_MILES100])</f>
        <v>0.37732475996017462</v>
      </c>
      <c r="AE385" s="54" t="e">
        <f>FME_Ranking_Option2!$AD385*AD$4</f>
        <v>#REF!</v>
      </c>
      <c r="AF385" s="55">
        <f>FME_Ranking_Option2!$AD385/($AD$3)</f>
        <v>8.5227411014050339E-6</v>
      </c>
      <c r="AG385" s="55" t="e">
        <f>FME_Ranking_Option2!$AF385*AD$4</f>
        <v>#REF!</v>
      </c>
      <c r="AH385" s="53">
        <f>_xlfn.XLOOKUP(FME_Ranking2[[#This Row],[FME ID]],FME_Input[FME_ID],FME_Input[FARMACRE100])</f>
        <v>61.844192504882813</v>
      </c>
      <c r="AI385" s="54" t="e">
        <f>FME_Ranking_Option2!$AH385*AH$4</f>
        <v>#REF!</v>
      </c>
      <c r="AJ385" s="56">
        <f>FME_Ranking_Option2!$AH385/($AH$3)</f>
        <v>3.5910411516149772E-3</v>
      </c>
      <c r="AK385" s="57" t="e">
        <f>FME_Ranking_Option2!$AJ385*AH$4</f>
        <v>#REF!</v>
      </c>
      <c r="AL385"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85" s="45" t="e">
        <f>_xlfn.RANK.EQ(AL385,$AL$7:$AL$531)+COUNTIF(AL$7:AL385,AL385)-1</f>
        <v>#REF!</v>
      </c>
      <c r="AN385" s="57"/>
      <c r="AO385" s="45" t="e">
        <f>_xlfn.RANK.EQ(AN385,$AN$7:$AN$531)+COUNTIF(AN$7:AN385,AN385)-1</f>
        <v>#N/A</v>
      </c>
      <c r="AP38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85" s="32" t="e">
        <f>FME_Ranking2[[#This Row],[Score Based on Reported Factors]]-FME_Ranking2[[#This Row],[Check]]</f>
        <v>#REF!</v>
      </c>
      <c r="AR385" s="32"/>
      <c r="AT385" s="19"/>
      <c r="AU385" s="19"/>
      <c r="AV385" s="19"/>
      <c r="AW385" s="19"/>
      <c r="AX385" s="19"/>
      <c r="AY385" s="19"/>
      <c r="AZ385" s="19"/>
      <c r="BA385" s="19"/>
      <c r="BB385" s="19"/>
      <c r="BC385" s="19"/>
    </row>
    <row r="386" spans="1:55" ht="12" customHeight="1" x14ac:dyDescent="0.25">
      <c r="A386" s="17" t="s">
        <v>69</v>
      </c>
      <c r="B386" s="17" t="str">
        <f>_xlfn.XLOOKUP(FME_Ranking2[[#This Row],[FME ID]],FME_Input[FME_ID],FME_Input[FME_NAME])</f>
        <v>Green Valley Drive in Precinct 1</v>
      </c>
      <c r="C386" s="17" t="str">
        <f>_xlfn.XLOOKUP(FME_Ranking2[[#This Row],[FME ID]],FME_Input[FME_ID],FME_Input[DESCR])</f>
        <v>LWC upgrade, Bridge</v>
      </c>
      <c r="D386" s="33" t="str">
        <f>_xlfn.XLOOKUP(FME_Ranking2[[#This Row],[FME ID]],FME_Input[FME_ID],FME_Input[EMER_NEED])</f>
        <v>No</v>
      </c>
      <c r="E386" s="120">
        <f>IF(FME_Ranking_Option2!$D386="Yes",100,0)</f>
        <v>0</v>
      </c>
      <c r="F386" s="34" t="str">
        <f>_xlfn.XLOOKUP(FME_Ranking2[[#This Row],[FME ID]],FME_Input[FME_ID],FME_Input[FUND])</f>
        <v>No</v>
      </c>
      <c r="G386" s="35">
        <f>IF(FME_Ranking_Option2!$F386="Yes",1,0)</f>
        <v>0</v>
      </c>
      <c r="H386" s="33">
        <f>_xlfn.XLOOKUP(FME_Ranking2[[#This Row],[FME ID]],FME_Input[FME_ID],FME_Input[STRUCT_100])</f>
        <v>38</v>
      </c>
      <c r="I386" s="64" t="e">
        <f>FME_Ranking2[[#This Row],[Raw Data3]]*H$4</f>
        <v>#REF!</v>
      </c>
      <c r="J386" s="63">
        <f>((FME_Ranking_Option2!$H386)/($H$3))*100</f>
        <v>4.222836879590252E-3</v>
      </c>
      <c r="K386" s="36" t="e">
        <f>FME_Ranking2[[#This Row],[Norm Data3]]*H$4</f>
        <v>#REF!</v>
      </c>
      <c r="L386" s="37">
        <f>_xlfn.XLOOKUP(FME_Ranking2[[#This Row],[FME ID]],FME_Input[FME_ID],FME_Input[RES_STRUCT100])</f>
        <v>35</v>
      </c>
      <c r="M386" s="38" t="e">
        <f>FME_Ranking2[[#This Row],[Raw Data4]]*L$4</f>
        <v>#REF!</v>
      </c>
      <c r="N386" s="28">
        <f>((FME_Ranking_Option2!$L386)/($L$3))*100</f>
        <v>5.2326042073127885E-3</v>
      </c>
      <c r="O386" s="39" t="e">
        <f>FME_Ranking2[[#This Row],[Norm Data4]]*L$4</f>
        <v>#REF!</v>
      </c>
      <c r="P386" s="34">
        <f>_xlfn.XLOOKUP(FME_Ranking2[[#This Row],[FME ID]],FME_Input[FME_ID],FME_Input[POP100])</f>
        <v>67</v>
      </c>
      <c r="Q386" s="35" t="e">
        <f>FME_Ranking_Option2!$P386*P$4</f>
        <v>#REF!</v>
      </c>
      <c r="R386" s="35">
        <f>FME_Ranking_Option2!$P386/($P$3)</f>
        <v>2.4590422654312241E-5</v>
      </c>
      <c r="S386" s="35" t="e">
        <f>FME_Ranking_Option2!$R386*P$4</f>
        <v>#REF!</v>
      </c>
      <c r="T386" s="37">
        <f>_xlfn.XLOOKUP(FME_Ranking2[[#This Row],[FME ID]],FME_Input[FME_ID],FME_Input[CRITFAC100])</f>
        <v>0</v>
      </c>
      <c r="U386" s="35" t="e">
        <f>FME_Ranking_Option2!$T386*T$4</f>
        <v>#REF!</v>
      </c>
      <c r="V386" s="35">
        <f>FME_Ranking_Option2!$T386/($T$3)</f>
        <v>0</v>
      </c>
      <c r="W386" s="35" t="e">
        <f>FME_Ranking_Option2!$V386*T$4</f>
        <v>#REF!</v>
      </c>
      <c r="X386" s="37">
        <f>_xlfn.XLOOKUP(FME_Ranking2[[#This Row],[FME ID]],FME_Input[FME_ID],FME_Input[LWC])</f>
        <v>0</v>
      </c>
      <c r="Y386" s="35" t="e">
        <f>FME_Ranking_Option2!$X386*X$4</f>
        <v>#REF!</v>
      </c>
      <c r="Z386" s="35">
        <f>FME_Ranking_Option2!$X386/($X$3)</f>
        <v>0</v>
      </c>
      <c r="AA386" s="35" t="e">
        <f>FME_Ranking_Option2!$Z386*X$4</f>
        <v>#REF!</v>
      </c>
      <c r="AB386" s="37">
        <f>_xlfn.XLOOKUP(FME_Ranking2[[#This Row],[FME ID]],FME_Input[FME_ID],FME_Input[ROADCLS])</f>
        <v>0</v>
      </c>
      <c r="AC386" s="35" t="e">
        <f>FME_Ranking_Option2!$AB386*AB$4</f>
        <v>#REF!</v>
      </c>
      <c r="AD386" s="40">
        <f>_xlfn.XLOOKUP(FME_Ranking2[[#This Row],[FME ID]],FME_Input[FME_ID],FME_Input[ROAD_MILES100])</f>
        <v>0.32683888077735901</v>
      </c>
      <c r="AE386" s="41" t="e">
        <f>FME_Ranking_Option2!$AD386*AD$4</f>
        <v>#REF!</v>
      </c>
      <c r="AF386" s="42">
        <f>FME_Ranking_Option2!$AD386/($AD$3)</f>
        <v>7.3824022654448235E-6</v>
      </c>
      <c r="AG386" s="42" t="e">
        <f>FME_Ranking_Option2!$AF386*AD$4</f>
        <v>#REF!</v>
      </c>
      <c r="AH386" s="40">
        <f>_xlfn.XLOOKUP(FME_Ranking2[[#This Row],[FME ID]],FME_Input[FME_ID],FME_Input[FARMACRE100])</f>
        <v>49.476730346679688</v>
      </c>
      <c r="AI386" s="43" t="e">
        <f>FME_Ranking_Option2!$AH386*AH$4</f>
        <v>#REF!</v>
      </c>
      <c r="AJ386" s="41">
        <f>FME_Ranking_Option2!$AH386/($AH$3)</f>
        <v>2.8729128399284445E-3</v>
      </c>
      <c r="AK386" s="44" t="e">
        <f>FME_Ranking_Option2!$AJ386*AH$4</f>
        <v>#REF!</v>
      </c>
      <c r="AL386"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86" s="58" t="e">
        <f>_xlfn.RANK.EQ(AL386,$AL$7:$AL$531)+COUNTIF(AL$7:AL386,AL386)-1</f>
        <v>#REF!</v>
      </c>
      <c r="AN386" s="44"/>
      <c r="AO386" s="58" t="e">
        <f>_xlfn.RANK.EQ(AN386,$AN$7:$AN$531)+COUNTIF(AN$7:AN386,AN386)-1</f>
        <v>#N/A</v>
      </c>
      <c r="AP38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86" s="32" t="e">
        <f>FME_Ranking2[[#This Row],[Score Based on Reported Factors]]-FME_Ranking2[[#This Row],[Check]]</f>
        <v>#REF!</v>
      </c>
      <c r="AR386" s="32"/>
    </row>
    <row r="387" spans="1:55" ht="12" customHeight="1" x14ac:dyDescent="0.25">
      <c r="A387" s="16" t="s">
        <v>72</v>
      </c>
      <c r="B387" s="16" t="str">
        <f>_xlfn.XLOOKUP(FME_Ranking2[[#This Row],[FME ID]],FME_Input[FME_ID],FME_Input[FME_NAME])</f>
        <v>Old McDade Rd in Precinct 4 near Norwood Rd</v>
      </c>
      <c r="C387" s="16" t="str">
        <f>_xlfn.XLOOKUP(FME_Ranking2[[#This Row],[FME ID]],FME_Input[FME_ID],FME_Input[DESCR])</f>
        <v>Box culvert replacement</v>
      </c>
      <c r="D387" s="46" t="str">
        <f>_xlfn.XLOOKUP(FME_Ranking2[[#This Row],[FME ID]],FME_Input[FME_ID],FME_Input[EMER_NEED])</f>
        <v>No</v>
      </c>
      <c r="E387" s="121">
        <f>IF(FME_Ranking_Option2!$D387="Yes",100,0)</f>
        <v>0</v>
      </c>
      <c r="F387" s="47" t="str">
        <f>_xlfn.XLOOKUP(FME_Ranking2[[#This Row],[FME ID]],FME_Input[FME_ID],FME_Input[FUND])</f>
        <v>No</v>
      </c>
      <c r="G387" s="48">
        <f>IF(FME_Ranking_Option2!$F387="Yes",1,0)</f>
        <v>0</v>
      </c>
      <c r="H387" s="46">
        <f>_xlfn.XLOOKUP(FME_Ranking2[[#This Row],[FME ID]],FME_Input[FME_ID],FME_Input[STRUCT_100])</f>
        <v>4</v>
      </c>
      <c r="I387" s="65" t="e">
        <f>FME_Ranking2[[#This Row],[Raw Data3]]*H$4</f>
        <v>#REF!</v>
      </c>
      <c r="J387" s="62">
        <f>((FME_Ranking_Option2!$H387)/($H$3))*100</f>
        <v>4.4450914522002648E-4</v>
      </c>
      <c r="K387" s="49" t="e">
        <f>FME_Ranking2[[#This Row],[Norm Data3]]*H$4</f>
        <v>#REF!</v>
      </c>
      <c r="L387" s="50">
        <f>_xlfn.XLOOKUP(FME_Ranking2[[#This Row],[FME ID]],FME_Input[FME_ID],FME_Input[RES_STRUCT100])</f>
        <v>4</v>
      </c>
      <c r="M387" s="51" t="e">
        <f>FME_Ranking2[[#This Row],[Raw Data4]]*L$4</f>
        <v>#REF!</v>
      </c>
      <c r="N387" s="29">
        <f>((FME_Ranking_Option2!$L387)/($L$3))*100</f>
        <v>5.9801190940717583E-4</v>
      </c>
      <c r="O387" s="52" t="e">
        <f>FME_Ranking2[[#This Row],[Norm Data4]]*L$4</f>
        <v>#REF!</v>
      </c>
      <c r="P387" s="47">
        <f>_xlfn.XLOOKUP(FME_Ranking2[[#This Row],[FME ID]],FME_Input[FME_ID],FME_Input[POP100])</f>
        <v>6</v>
      </c>
      <c r="Q387" s="48" t="e">
        <f>FME_Ranking_Option2!$P387*P$4</f>
        <v>#REF!</v>
      </c>
      <c r="R387" s="48">
        <f>FME_Ranking_Option2!$P387/($P$3)</f>
        <v>2.2021274018787084E-6</v>
      </c>
      <c r="S387" s="48" t="e">
        <f>FME_Ranking_Option2!$R387*P$4</f>
        <v>#REF!</v>
      </c>
      <c r="T387" s="50">
        <f>_xlfn.XLOOKUP(FME_Ranking2[[#This Row],[FME ID]],FME_Input[FME_ID],FME_Input[CRITFAC100])</f>
        <v>0</v>
      </c>
      <c r="U387" s="48" t="e">
        <f>FME_Ranking_Option2!$T387*T$4</f>
        <v>#REF!</v>
      </c>
      <c r="V387" s="48">
        <f>FME_Ranking_Option2!$T387/($T$3)</f>
        <v>0</v>
      </c>
      <c r="W387" s="48" t="e">
        <f>FME_Ranking_Option2!$V387*T$4</f>
        <v>#REF!</v>
      </c>
      <c r="X387" s="50">
        <f>_xlfn.XLOOKUP(FME_Ranking2[[#This Row],[FME ID]],FME_Input[FME_ID],FME_Input[LWC])</f>
        <v>0</v>
      </c>
      <c r="Y387" s="48" t="e">
        <f>FME_Ranking_Option2!$X387*X$4</f>
        <v>#REF!</v>
      </c>
      <c r="Z387" s="48">
        <f>FME_Ranking_Option2!$X387/($X$3)</f>
        <v>0</v>
      </c>
      <c r="AA387" s="48" t="e">
        <f>FME_Ranking_Option2!$Z387*X$4</f>
        <v>#REF!</v>
      </c>
      <c r="AB387" s="50">
        <f>_xlfn.XLOOKUP(FME_Ranking2[[#This Row],[FME ID]],FME_Input[FME_ID],FME_Input[ROADCLS])</f>
        <v>0</v>
      </c>
      <c r="AC387" s="48" t="e">
        <f>FME_Ranking_Option2!$AB387*AB$4</f>
        <v>#REF!</v>
      </c>
      <c r="AD387" s="53">
        <f>_xlfn.XLOOKUP(FME_Ranking2[[#This Row],[FME ID]],FME_Input[FME_ID],FME_Input[ROAD_MILES100])</f>
        <v>0.1197429448366165</v>
      </c>
      <c r="AE387" s="54" t="e">
        <f>FME_Ranking_Option2!$AD387*AD$4</f>
        <v>#REF!</v>
      </c>
      <c r="AF387" s="55">
        <f>FME_Ranking_Option2!$AD387/($AD$3)</f>
        <v>2.7046677712589589E-6</v>
      </c>
      <c r="AG387" s="55" t="e">
        <f>FME_Ranking_Option2!$AF387*AD$4</f>
        <v>#REF!</v>
      </c>
      <c r="AH387" s="53">
        <f>_xlfn.XLOOKUP(FME_Ranking2[[#This Row],[FME ID]],FME_Input[FME_ID],FME_Input[FARMACRE100])</f>
        <v>4.9547691345214844</v>
      </c>
      <c r="AI387" s="54" t="e">
        <f>FME_Ranking_Option2!$AH387*AH$4</f>
        <v>#REF!</v>
      </c>
      <c r="AJ387" s="56">
        <f>FME_Ranking_Option2!$AH387/($AH$3)</f>
        <v>2.8770332569890978E-4</v>
      </c>
      <c r="AK387" s="57" t="e">
        <f>FME_Ranking_Option2!$AJ387*AH$4</f>
        <v>#REF!</v>
      </c>
      <c r="AL387"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87" s="45" t="e">
        <f>_xlfn.RANK.EQ(AL387,$AL$7:$AL$531)+COUNTIF(AL$7:AL387,AL387)-1</f>
        <v>#REF!</v>
      </c>
      <c r="AN387" s="57"/>
      <c r="AO387" s="45" t="e">
        <f>_xlfn.RANK.EQ(AN387,$AN$7:$AN$531)+COUNTIF(AN$7:AN387,AN387)-1</f>
        <v>#N/A</v>
      </c>
      <c r="AP38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87" s="32" t="e">
        <f>FME_Ranking2[[#This Row],[Score Based on Reported Factors]]-FME_Ranking2[[#This Row],[Check]]</f>
        <v>#REF!</v>
      </c>
      <c r="AR387" s="32"/>
      <c r="AT387" s="19"/>
      <c r="AU387" s="19"/>
      <c r="AV387" s="19"/>
      <c r="AW387" s="19"/>
      <c r="AX387" s="19"/>
      <c r="AY387" s="19"/>
      <c r="AZ387" s="19"/>
      <c r="BA387" s="19"/>
      <c r="BB387" s="19"/>
      <c r="BC387" s="19"/>
    </row>
    <row r="388" spans="1:55" ht="12" customHeight="1" x14ac:dyDescent="0.25">
      <c r="A388" s="17" t="s">
        <v>75</v>
      </c>
      <c r="B388" s="17" t="str">
        <f>_xlfn.XLOOKUP(FME_Ranking2[[#This Row],[FME ID]],FME_Input[FME_ID],FME_Input[FME_NAME])</f>
        <v>Clear Springs Lake Dam</v>
      </c>
      <c r="C388" s="17" t="str">
        <f>_xlfn.XLOOKUP(FME_Ranking2[[#This Row],[FME ID]],FME_Input[FME_ID],FME_Input[DESCR])</f>
        <v>Design &amp; implement Clear Springs Lake Dam Improvements</v>
      </c>
      <c r="D388" s="33" t="str">
        <f>_xlfn.XLOOKUP(FME_Ranking2[[#This Row],[FME ID]],FME_Input[FME_ID],FME_Input[EMER_NEED])</f>
        <v>No</v>
      </c>
      <c r="E388" s="120">
        <f>IF(FME_Ranking_Option2!$D388="Yes",100,0)</f>
        <v>0</v>
      </c>
      <c r="F388" s="34" t="str">
        <f>_xlfn.XLOOKUP(FME_Ranking2[[#This Row],[FME ID]],FME_Input[FME_ID],FME_Input[FUND])</f>
        <v>No</v>
      </c>
      <c r="G388" s="35">
        <f>IF(FME_Ranking_Option2!$F388="Yes",1,0)</f>
        <v>0</v>
      </c>
      <c r="H388" s="33">
        <f>_xlfn.XLOOKUP(FME_Ranking2[[#This Row],[FME ID]],FME_Input[FME_ID],FME_Input[STRUCT_100])</f>
        <v>0</v>
      </c>
      <c r="I388" s="64" t="e">
        <f>FME_Ranking2[[#This Row],[Raw Data3]]*H$4</f>
        <v>#REF!</v>
      </c>
      <c r="J388" s="63">
        <f>((FME_Ranking_Option2!$H388)/($H$3))*100</f>
        <v>0</v>
      </c>
      <c r="K388" s="36" t="e">
        <f>FME_Ranking2[[#This Row],[Norm Data3]]*H$4</f>
        <v>#REF!</v>
      </c>
      <c r="L388" s="37">
        <f>_xlfn.XLOOKUP(FME_Ranking2[[#This Row],[FME ID]],FME_Input[FME_ID],FME_Input[RES_STRUCT100])</f>
        <v>0</v>
      </c>
      <c r="M388" s="38" t="e">
        <f>FME_Ranking2[[#This Row],[Raw Data4]]*L$4</f>
        <v>#REF!</v>
      </c>
      <c r="N388" s="28">
        <f>((FME_Ranking_Option2!$L388)/($L$3))*100</f>
        <v>0</v>
      </c>
      <c r="O388" s="39" t="e">
        <f>FME_Ranking2[[#This Row],[Norm Data4]]*L$4</f>
        <v>#REF!</v>
      </c>
      <c r="P388" s="34">
        <f>_xlfn.XLOOKUP(FME_Ranking2[[#This Row],[FME ID]],FME_Input[FME_ID],FME_Input[POP100])</f>
        <v>0</v>
      </c>
      <c r="Q388" s="35" t="e">
        <f>FME_Ranking_Option2!$P388*P$4</f>
        <v>#REF!</v>
      </c>
      <c r="R388" s="35">
        <f>FME_Ranking_Option2!$P388/($P$3)</f>
        <v>0</v>
      </c>
      <c r="S388" s="35" t="e">
        <f>FME_Ranking_Option2!$R388*P$4</f>
        <v>#REF!</v>
      </c>
      <c r="T388" s="37">
        <f>_xlfn.XLOOKUP(FME_Ranking2[[#This Row],[FME ID]],FME_Input[FME_ID],FME_Input[CRITFAC100])</f>
        <v>0</v>
      </c>
      <c r="U388" s="35" t="e">
        <f>FME_Ranking_Option2!$T388*T$4</f>
        <v>#REF!</v>
      </c>
      <c r="V388" s="35">
        <f>FME_Ranking_Option2!$T388/($T$3)</f>
        <v>0</v>
      </c>
      <c r="W388" s="35" t="e">
        <f>FME_Ranking_Option2!$V388*T$4</f>
        <v>#REF!</v>
      </c>
      <c r="X388" s="37">
        <f>_xlfn.XLOOKUP(FME_Ranking2[[#This Row],[FME ID]],FME_Input[FME_ID],FME_Input[LWC])</f>
        <v>0</v>
      </c>
      <c r="Y388" s="35" t="e">
        <f>FME_Ranking_Option2!$X388*X$4</f>
        <v>#REF!</v>
      </c>
      <c r="Z388" s="35">
        <f>FME_Ranking_Option2!$X388/($X$3)</f>
        <v>0</v>
      </c>
      <c r="AA388" s="35" t="e">
        <f>FME_Ranking_Option2!$Z388*X$4</f>
        <v>#REF!</v>
      </c>
      <c r="AB388" s="37">
        <f>_xlfn.XLOOKUP(FME_Ranking2[[#This Row],[FME ID]],FME_Input[FME_ID],FME_Input[ROADCLS])</f>
        <v>0</v>
      </c>
      <c r="AC388" s="35" t="e">
        <f>FME_Ranking_Option2!$AB388*AB$4</f>
        <v>#REF!</v>
      </c>
      <c r="AD388" s="40">
        <f>_xlfn.XLOOKUP(FME_Ranking2[[#This Row],[FME ID]],FME_Input[FME_ID],FME_Input[ROAD_MILES100])</f>
        <v>0</v>
      </c>
      <c r="AE388" s="41" t="e">
        <f>FME_Ranking_Option2!$AD388*AD$4</f>
        <v>#REF!</v>
      </c>
      <c r="AF388" s="42">
        <f>FME_Ranking_Option2!$AD388/($AD$3)</f>
        <v>0</v>
      </c>
      <c r="AG388" s="42" t="e">
        <f>FME_Ranking_Option2!$AF388*AD$4</f>
        <v>#REF!</v>
      </c>
      <c r="AH388" s="40">
        <f>_xlfn.XLOOKUP(FME_Ranking2[[#This Row],[FME ID]],FME_Input[FME_ID],FME_Input[FARMACRE100])</f>
        <v>0.12126574665308</v>
      </c>
      <c r="AI388" s="43" t="e">
        <f>FME_Ranking_Option2!$AH388*AH$4</f>
        <v>#REF!</v>
      </c>
      <c r="AJ388" s="41">
        <f>FME_Ranking_Option2!$AH388/($AH$3)</f>
        <v>7.0414095305415231E-6</v>
      </c>
      <c r="AK388" s="44" t="e">
        <f>FME_Ranking_Option2!$AJ388*AH$4</f>
        <v>#REF!</v>
      </c>
      <c r="AL388"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88" s="58" t="e">
        <f>_xlfn.RANK.EQ(AL388,$AL$7:$AL$531)+COUNTIF(AL$7:AL388,AL388)-1</f>
        <v>#REF!</v>
      </c>
      <c r="AN388" s="44"/>
      <c r="AO388" s="58" t="e">
        <f>_xlfn.RANK.EQ(AN388,$AN$7:$AN$531)+COUNTIF(AN$7:AN388,AN388)-1</f>
        <v>#N/A</v>
      </c>
      <c r="AP38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88" s="32" t="e">
        <f>FME_Ranking2[[#This Row],[Score Based on Reported Factors]]-FME_Ranking2[[#This Row],[Check]]</f>
        <v>#REF!</v>
      </c>
      <c r="AR388" s="32"/>
    </row>
    <row r="389" spans="1:55" ht="12" customHeight="1" x14ac:dyDescent="0.25">
      <c r="A389" s="16" t="s">
        <v>78</v>
      </c>
      <c r="B389" s="16" t="str">
        <f>_xlfn.XLOOKUP(FME_Ranking2[[#This Row],[FME ID]],FME_Input[FME_ID],FME_Input[FME_NAME])</f>
        <v>Pecan Shores Subdivision</v>
      </c>
      <c r="C389" s="16" t="str">
        <f>_xlfn.XLOOKUP(FME_Ranking2[[#This Row],[FME ID]],FME_Input[FME_ID],FME_Input[DESCR])</f>
        <v>Voluntary buyout of homes in 100-year FP (48 homes)</v>
      </c>
      <c r="D389" s="46" t="str">
        <f>_xlfn.XLOOKUP(FME_Ranking2[[#This Row],[FME ID]],FME_Input[FME_ID],FME_Input[EMER_NEED])</f>
        <v>No</v>
      </c>
      <c r="E389" s="121">
        <f>IF(FME_Ranking_Option2!$D389="Yes",100,0)</f>
        <v>0</v>
      </c>
      <c r="F389" s="47" t="str">
        <f>_xlfn.XLOOKUP(FME_Ranking2[[#This Row],[FME ID]],FME_Input[FME_ID],FME_Input[FUND])</f>
        <v>No</v>
      </c>
      <c r="G389" s="48">
        <f>IF(FME_Ranking_Option2!$F389="Yes",1,0)</f>
        <v>0</v>
      </c>
      <c r="H389" s="46">
        <f>_xlfn.XLOOKUP(FME_Ranking2[[#This Row],[FME ID]],FME_Input[FME_ID],FME_Input[STRUCT_100])</f>
        <v>12</v>
      </c>
      <c r="I389" s="65" t="e">
        <f>FME_Ranking2[[#This Row],[Raw Data3]]*H$4</f>
        <v>#REF!</v>
      </c>
      <c r="J389" s="62">
        <f>((FME_Ranking_Option2!$H389)/($H$3))*100</f>
        <v>1.3335274356600793E-3</v>
      </c>
      <c r="K389" s="49" t="e">
        <f>FME_Ranking2[[#This Row],[Norm Data3]]*H$4</f>
        <v>#REF!</v>
      </c>
      <c r="L389" s="50">
        <f>_xlfn.XLOOKUP(FME_Ranking2[[#This Row],[FME ID]],FME_Input[FME_ID],FME_Input[RES_STRUCT100])</f>
        <v>10</v>
      </c>
      <c r="M389" s="51" t="e">
        <f>FME_Ranking2[[#This Row],[Raw Data4]]*L$4</f>
        <v>#REF!</v>
      </c>
      <c r="N389" s="29">
        <f>((FME_Ranking_Option2!$L389)/($L$3))*100</f>
        <v>1.4950297735179395E-3</v>
      </c>
      <c r="O389" s="52" t="e">
        <f>FME_Ranking2[[#This Row],[Norm Data4]]*L$4</f>
        <v>#REF!</v>
      </c>
      <c r="P389" s="47">
        <f>_xlfn.XLOOKUP(FME_Ranking2[[#This Row],[FME ID]],FME_Input[FME_ID],FME_Input[POP100])</f>
        <v>22</v>
      </c>
      <c r="Q389" s="48" t="e">
        <f>FME_Ranking_Option2!$P389*P$4</f>
        <v>#REF!</v>
      </c>
      <c r="R389" s="48">
        <f>FME_Ranking_Option2!$P389/($P$3)</f>
        <v>8.0744671402219304E-6</v>
      </c>
      <c r="S389" s="48" t="e">
        <f>FME_Ranking_Option2!$R389*P$4</f>
        <v>#REF!</v>
      </c>
      <c r="T389" s="50">
        <f>_xlfn.XLOOKUP(FME_Ranking2[[#This Row],[FME ID]],FME_Input[FME_ID],FME_Input[CRITFAC100])</f>
        <v>0</v>
      </c>
      <c r="U389" s="48" t="e">
        <f>FME_Ranking_Option2!$T389*T$4</f>
        <v>#REF!</v>
      </c>
      <c r="V389" s="48">
        <f>FME_Ranking_Option2!$T389/($T$3)</f>
        <v>0</v>
      </c>
      <c r="W389" s="48" t="e">
        <f>FME_Ranking_Option2!$V389*T$4</f>
        <v>#REF!</v>
      </c>
      <c r="X389" s="50">
        <f>_xlfn.XLOOKUP(FME_Ranking2[[#This Row],[FME ID]],FME_Input[FME_ID],FME_Input[LWC])</f>
        <v>0</v>
      </c>
      <c r="Y389" s="48" t="e">
        <f>FME_Ranking_Option2!$X389*X$4</f>
        <v>#REF!</v>
      </c>
      <c r="Z389" s="48">
        <f>FME_Ranking_Option2!$X389/($X$3)</f>
        <v>0</v>
      </c>
      <c r="AA389" s="48" t="e">
        <f>FME_Ranking_Option2!$Z389*X$4</f>
        <v>#REF!</v>
      </c>
      <c r="AB389" s="50">
        <f>_xlfn.XLOOKUP(FME_Ranking2[[#This Row],[FME ID]],FME_Input[FME_ID],FME_Input[ROADCLS])</f>
        <v>0</v>
      </c>
      <c r="AC389" s="48" t="e">
        <f>FME_Ranking_Option2!$AB389*AB$4</f>
        <v>#REF!</v>
      </c>
      <c r="AD389" s="53">
        <f>_xlfn.XLOOKUP(FME_Ranking2[[#This Row],[FME ID]],FME_Input[FME_ID],FME_Input[ROAD_MILES100])</f>
        <v>0.43060538172721857</v>
      </c>
      <c r="AE389" s="54" t="e">
        <f>FME_Ranking_Option2!$AD389*AD$4</f>
        <v>#REF!</v>
      </c>
      <c r="AF389" s="55">
        <f>FME_Ranking_Option2!$AD389/($AD$3)</f>
        <v>9.7262055787701815E-6</v>
      </c>
      <c r="AG389" s="55" t="e">
        <f>FME_Ranking_Option2!$AF389*AD$4</f>
        <v>#REF!</v>
      </c>
      <c r="AH389" s="53">
        <f>_xlfn.XLOOKUP(FME_Ranking2[[#This Row],[FME ID]],FME_Input[FME_ID],FME_Input[FARMACRE100])</f>
        <v>17.67850303649902</v>
      </c>
      <c r="AI389" s="54" t="e">
        <f>FME_Ranking_Option2!$AH389*AH$4</f>
        <v>#REF!</v>
      </c>
      <c r="AJ389" s="56">
        <f>FME_Ranking_Option2!$AH389/($AH$3)</f>
        <v>1.0265188909695281E-3</v>
      </c>
      <c r="AK389" s="57" t="e">
        <f>FME_Ranking_Option2!$AJ389*AH$4</f>
        <v>#REF!</v>
      </c>
      <c r="AL389"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89" s="45" t="e">
        <f>_xlfn.RANK.EQ(AL389,$AL$7:$AL$531)+COUNTIF(AL$7:AL389,AL389)-1</f>
        <v>#REF!</v>
      </c>
      <c r="AN389" s="57"/>
      <c r="AO389" s="45" t="e">
        <f>_xlfn.RANK.EQ(AN389,$AN$7:$AN$531)+COUNTIF(AN$7:AN389,AN389)-1</f>
        <v>#N/A</v>
      </c>
      <c r="AP38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89" s="32" t="e">
        <f>FME_Ranking2[[#This Row],[Score Based on Reported Factors]]-FME_Ranking2[[#This Row],[Check]]</f>
        <v>#REF!</v>
      </c>
      <c r="AR389" s="32"/>
      <c r="AT389" s="19"/>
      <c r="AU389" s="19"/>
      <c r="AV389" s="19"/>
      <c r="AW389" s="19"/>
      <c r="AX389" s="19"/>
      <c r="AY389" s="19"/>
      <c r="AZ389" s="19"/>
      <c r="BA389" s="19"/>
      <c r="BB389" s="19"/>
      <c r="BC389" s="19"/>
    </row>
    <row r="390" spans="1:55" ht="12" customHeight="1" x14ac:dyDescent="0.25">
      <c r="A390" s="17" t="s">
        <v>82</v>
      </c>
      <c r="B390" s="17" t="str">
        <f>_xlfn.XLOOKUP(FME_Ranking2[[#This Row],[FME ID]],FME_Input[FME_ID],FME_Input[FME_NAME])</f>
        <v>Hidden Shores Subdivision</v>
      </c>
      <c r="C390" s="17" t="str">
        <f>_xlfn.XLOOKUP(FME_Ranking2[[#This Row],[FME ID]],FME_Input[FME_ID],FME_Input[DESCR])</f>
        <v>Voluntary buyout of homes in floodway (22 homes)</v>
      </c>
      <c r="D390" s="33" t="str">
        <f>_xlfn.XLOOKUP(FME_Ranking2[[#This Row],[FME ID]],FME_Input[FME_ID],FME_Input[EMER_NEED])</f>
        <v>No</v>
      </c>
      <c r="E390" s="120">
        <f>IF(FME_Ranking_Option2!$D390="Yes",100,0)</f>
        <v>0</v>
      </c>
      <c r="F390" s="34" t="str">
        <f>_xlfn.XLOOKUP(FME_Ranking2[[#This Row],[FME ID]],FME_Input[FME_ID],FME_Input[FUND])</f>
        <v>No</v>
      </c>
      <c r="G390" s="35">
        <f>IF(FME_Ranking_Option2!$F390="Yes",1,0)</f>
        <v>0</v>
      </c>
      <c r="H390" s="33">
        <f>_xlfn.XLOOKUP(FME_Ranking2[[#This Row],[FME ID]],FME_Input[FME_ID],FME_Input[STRUCT_100])</f>
        <v>39</v>
      </c>
      <c r="I390" s="64" t="e">
        <f>FME_Ranking2[[#This Row],[Raw Data3]]*H$4</f>
        <v>#REF!</v>
      </c>
      <c r="J390" s="63">
        <f>((FME_Ranking_Option2!$H390)/($H$3))*100</f>
        <v>4.3339641658952585E-3</v>
      </c>
      <c r="K390" s="36" t="e">
        <f>FME_Ranking2[[#This Row],[Norm Data3]]*H$4</f>
        <v>#REF!</v>
      </c>
      <c r="L390" s="37">
        <f>_xlfn.XLOOKUP(FME_Ranking2[[#This Row],[FME ID]],FME_Input[FME_ID],FME_Input[RES_STRUCT100])</f>
        <v>39</v>
      </c>
      <c r="M390" s="38" t="e">
        <f>FME_Ranking2[[#This Row],[Raw Data4]]*L$4</f>
        <v>#REF!</v>
      </c>
      <c r="N390" s="28">
        <f>((FME_Ranking_Option2!$L390)/($L$3))*100</f>
        <v>5.8306161167199638E-3</v>
      </c>
      <c r="O390" s="39" t="e">
        <f>FME_Ranking2[[#This Row],[Norm Data4]]*L$4</f>
        <v>#REF!</v>
      </c>
      <c r="P390" s="34">
        <f>_xlfn.XLOOKUP(FME_Ranking2[[#This Row],[FME ID]],FME_Input[FME_ID],FME_Input[POP100])</f>
        <v>68</v>
      </c>
      <c r="Q390" s="35" t="e">
        <f>FME_Ranking_Option2!$P390*P$4</f>
        <v>#REF!</v>
      </c>
      <c r="R390" s="35">
        <f>FME_Ranking_Option2!$P390/($P$3)</f>
        <v>2.4957443887958693E-5</v>
      </c>
      <c r="S390" s="35" t="e">
        <f>FME_Ranking_Option2!$R390*P$4</f>
        <v>#REF!</v>
      </c>
      <c r="T390" s="37">
        <f>_xlfn.XLOOKUP(FME_Ranking2[[#This Row],[FME ID]],FME_Input[FME_ID],FME_Input[CRITFAC100])</f>
        <v>0</v>
      </c>
      <c r="U390" s="35" t="e">
        <f>FME_Ranking_Option2!$T390*T$4</f>
        <v>#REF!</v>
      </c>
      <c r="V390" s="35">
        <f>FME_Ranking_Option2!$T390/($T$3)</f>
        <v>0</v>
      </c>
      <c r="W390" s="35" t="e">
        <f>FME_Ranking_Option2!$V390*T$4</f>
        <v>#REF!</v>
      </c>
      <c r="X390" s="37">
        <f>_xlfn.XLOOKUP(FME_Ranking2[[#This Row],[FME ID]],FME_Input[FME_ID],FME_Input[LWC])</f>
        <v>0</v>
      </c>
      <c r="Y390" s="35" t="e">
        <f>FME_Ranking_Option2!$X390*X$4</f>
        <v>#REF!</v>
      </c>
      <c r="Z390" s="35">
        <f>FME_Ranking_Option2!$X390/($X$3)</f>
        <v>0</v>
      </c>
      <c r="AA390" s="35" t="e">
        <f>FME_Ranking_Option2!$Z390*X$4</f>
        <v>#REF!</v>
      </c>
      <c r="AB390" s="37">
        <f>_xlfn.XLOOKUP(FME_Ranking2[[#This Row],[FME ID]],FME_Input[FME_ID],FME_Input[ROADCLS])</f>
        <v>0</v>
      </c>
      <c r="AC390" s="35" t="e">
        <f>FME_Ranking_Option2!$AB390*AB$4</f>
        <v>#REF!</v>
      </c>
      <c r="AD390" s="40">
        <f>_xlfn.XLOOKUP(FME_Ranking2[[#This Row],[FME ID]],FME_Input[FME_ID],FME_Input[ROAD_MILES100])</f>
        <v>1.131923913955688</v>
      </c>
      <c r="AE390" s="41" t="e">
        <f>FME_Ranking_Option2!$AD390*AD$4</f>
        <v>#REF!</v>
      </c>
      <c r="AF390" s="42">
        <f>FME_Ranking_Option2!$AD390/($AD$3)</f>
        <v>2.5567085674821913E-5</v>
      </c>
      <c r="AG390" s="42" t="e">
        <f>FME_Ranking_Option2!$AF390*AD$4</f>
        <v>#REF!</v>
      </c>
      <c r="AH390" s="40">
        <f>_xlfn.XLOOKUP(FME_Ranking2[[#This Row],[FME ID]],FME_Input[FME_ID],FME_Input[FARMACRE100])</f>
        <v>67.894149780273438</v>
      </c>
      <c r="AI390" s="43" t="e">
        <f>FME_Ranking_Option2!$AH390*AH$4</f>
        <v>#REF!</v>
      </c>
      <c r="AJ390" s="41">
        <f>FME_Ranking_Option2!$AH390/($AH$3)</f>
        <v>3.9423376058410524E-3</v>
      </c>
      <c r="AK390" s="44" t="e">
        <f>FME_Ranking_Option2!$AJ390*AH$4</f>
        <v>#REF!</v>
      </c>
      <c r="AL390"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90" s="58" t="e">
        <f>_xlfn.RANK.EQ(AL390,$AL$7:$AL$531)+COUNTIF(AL$7:AL390,AL390)-1</f>
        <v>#REF!</v>
      </c>
      <c r="AN390" s="44"/>
      <c r="AO390" s="58" t="e">
        <f>_xlfn.RANK.EQ(AN390,$AN$7:$AN$531)+COUNTIF(AN$7:AN390,AN390)-1</f>
        <v>#N/A</v>
      </c>
      <c r="AP39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90" s="32" t="e">
        <f>FME_Ranking2[[#This Row],[Score Based on Reported Factors]]-FME_Ranking2[[#This Row],[Check]]</f>
        <v>#REF!</v>
      </c>
      <c r="AR390" s="32"/>
    </row>
    <row r="391" spans="1:55" ht="12" customHeight="1" x14ac:dyDescent="0.25">
      <c r="A391" s="16" t="s">
        <v>85</v>
      </c>
      <c r="B391" s="16" t="str">
        <f>_xlfn.XLOOKUP(FME_Ranking2[[#This Row],[FME ID]],FME_Input[FME_ID],FME_Input[FME_NAME])</f>
        <v>Waters Edge Terrace Subdivision</v>
      </c>
      <c r="C391" s="16" t="str">
        <f>_xlfn.XLOOKUP(FME_Ranking2[[#This Row],[FME ID]],FME_Input[FME_ID],FME_Input[DESCR])</f>
        <v>Voluntary buyout of homes in 100-year FP (12 homes)</v>
      </c>
      <c r="D391" s="46" t="str">
        <f>_xlfn.XLOOKUP(FME_Ranking2[[#This Row],[FME ID]],FME_Input[FME_ID],FME_Input[EMER_NEED])</f>
        <v>No</v>
      </c>
      <c r="E391" s="121">
        <f>IF(FME_Ranking_Option2!$D391="Yes",100,0)</f>
        <v>0</v>
      </c>
      <c r="F391" s="47" t="str">
        <f>_xlfn.XLOOKUP(FME_Ranking2[[#This Row],[FME ID]],FME_Input[FME_ID],FME_Input[FUND])</f>
        <v>No</v>
      </c>
      <c r="G391" s="48">
        <f>IF(FME_Ranking_Option2!$F391="Yes",1,0)</f>
        <v>0</v>
      </c>
      <c r="H391" s="46">
        <f>_xlfn.XLOOKUP(FME_Ranking2[[#This Row],[FME ID]],FME_Input[FME_ID],FME_Input[STRUCT_100])</f>
        <v>43</v>
      </c>
      <c r="I391" s="65" t="e">
        <f>FME_Ranking2[[#This Row],[Raw Data3]]*H$4</f>
        <v>#REF!</v>
      </c>
      <c r="J391" s="62">
        <f>((FME_Ranking_Option2!$H391)/($H$3))*100</f>
        <v>4.7784733111152847E-3</v>
      </c>
      <c r="K391" s="49" t="e">
        <f>FME_Ranking2[[#This Row],[Norm Data3]]*H$4</f>
        <v>#REF!</v>
      </c>
      <c r="L391" s="50">
        <f>_xlfn.XLOOKUP(FME_Ranking2[[#This Row],[FME ID]],FME_Input[FME_ID],FME_Input[RES_STRUCT100])</f>
        <v>41</v>
      </c>
      <c r="M391" s="51" t="e">
        <f>FME_Ranking2[[#This Row],[Raw Data4]]*L$4</f>
        <v>#REF!</v>
      </c>
      <c r="N391" s="29">
        <f>((FME_Ranking_Option2!$L391)/($L$3))*100</f>
        <v>6.1296220714235523E-3</v>
      </c>
      <c r="O391" s="52" t="e">
        <f>FME_Ranking2[[#This Row],[Norm Data4]]*L$4</f>
        <v>#REF!</v>
      </c>
      <c r="P391" s="47">
        <f>_xlfn.XLOOKUP(FME_Ranking2[[#This Row],[FME ID]],FME_Input[FME_ID],FME_Input[POP100])</f>
        <v>120</v>
      </c>
      <c r="Q391" s="48" t="e">
        <f>FME_Ranking_Option2!$P391*P$4</f>
        <v>#REF!</v>
      </c>
      <c r="R391" s="48">
        <f>FME_Ranking_Option2!$P391/($P$3)</f>
        <v>4.4042548037574167E-5</v>
      </c>
      <c r="S391" s="48" t="e">
        <f>FME_Ranking_Option2!$R391*P$4</f>
        <v>#REF!</v>
      </c>
      <c r="T391" s="50">
        <f>_xlfn.XLOOKUP(FME_Ranking2[[#This Row],[FME ID]],FME_Input[FME_ID],FME_Input[CRITFAC100])</f>
        <v>0</v>
      </c>
      <c r="U391" s="48" t="e">
        <f>FME_Ranking_Option2!$T391*T$4</f>
        <v>#REF!</v>
      </c>
      <c r="V391" s="48">
        <f>FME_Ranking_Option2!$T391/($T$3)</f>
        <v>0</v>
      </c>
      <c r="W391" s="48" t="e">
        <f>FME_Ranking_Option2!$V391*T$4</f>
        <v>#REF!</v>
      </c>
      <c r="X391" s="50">
        <f>_xlfn.XLOOKUP(FME_Ranking2[[#This Row],[FME ID]],FME_Input[FME_ID],FME_Input[LWC])</f>
        <v>0</v>
      </c>
      <c r="Y391" s="48" t="e">
        <f>FME_Ranking_Option2!$X391*X$4</f>
        <v>#REF!</v>
      </c>
      <c r="Z391" s="48">
        <f>FME_Ranking_Option2!$X391/($X$3)</f>
        <v>0</v>
      </c>
      <c r="AA391" s="48" t="e">
        <f>FME_Ranking_Option2!$Z391*X$4</f>
        <v>#REF!</v>
      </c>
      <c r="AB391" s="50">
        <f>_xlfn.XLOOKUP(FME_Ranking2[[#This Row],[FME ID]],FME_Input[FME_ID],FME_Input[ROADCLS])</f>
        <v>0</v>
      </c>
      <c r="AC391" s="48" t="e">
        <f>FME_Ranking_Option2!$AB391*AB$4</f>
        <v>#REF!</v>
      </c>
      <c r="AD391" s="53">
        <f>_xlfn.XLOOKUP(FME_Ranking2[[#This Row],[FME ID]],FME_Input[FME_ID],FME_Input[ROAD_MILES100])</f>
        <v>0.46129077672958368</v>
      </c>
      <c r="AE391" s="54" t="e">
        <f>FME_Ranking_Option2!$AD391*AD$4</f>
        <v>#REF!</v>
      </c>
      <c r="AF391" s="55">
        <f>FME_Ranking_Option2!$AD391/($AD$3)</f>
        <v>1.041930527683163E-5</v>
      </c>
      <c r="AG391" s="55" t="e">
        <f>FME_Ranking_Option2!$AF391*AD$4</f>
        <v>#REF!</v>
      </c>
      <c r="AH391" s="53">
        <f>_xlfn.XLOOKUP(FME_Ranking2[[#This Row],[FME ID]],FME_Input[FME_ID],FME_Input[FARMACRE100])</f>
        <v>17.668033599853519</v>
      </c>
      <c r="AI391" s="54" t="e">
        <f>FME_Ranking_Option2!$AH391*AH$4</f>
        <v>#REF!</v>
      </c>
      <c r="AJ391" s="56">
        <f>FME_Ranking_Option2!$AH391/($AH$3)</f>
        <v>1.0259109732927755E-3</v>
      </c>
      <c r="AK391" s="57" t="e">
        <f>FME_Ranking_Option2!$AJ391*AH$4</f>
        <v>#REF!</v>
      </c>
      <c r="AL391"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91" s="45" t="e">
        <f>_xlfn.RANK.EQ(AL391,$AL$7:$AL$531)+COUNTIF(AL$7:AL391,AL391)-1</f>
        <v>#REF!</v>
      </c>
      <c r="AN391" s="57"/>
      <c r="AO391" s="45" t="e">
        <f>_xlfn.RANK.EQ(AN391,$AN$7:$AN$531)+COUNTIF(AN$7:AN391,AN391)-1</f>
        <v>#N/A</v>
      </c>
      <c r="AP39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91" s="32" t="e">
        <f>FME_Ranking2[[#This Row],[Score Based on Reported Factors]]-FME_Ranking2[[#This Row],[Check]]</f>
        <v>#REF!</v>
      </c>
      <c r="AR391" s="32"/>
      <c r="AT391" s="19"/>
      <c r="AU391" s="19"/>
      <c r="AV391" s="19"/>
      <c r="AW391" s="19"/>
      <c r="AX391" s="19"/>
      <c r="AY391" s="19"/>
      <c r="AZ391" s="19"/>
      <c r="BA391" s="19"/>
      <c r="BB391" s="19"/>
      <c r="BC391" s="19"/>
    </row>
    <row r="392" spans="1:55" ht="12" customHeight="1" x14ac:dyDescent="0.25">
      <c r="A392" s="17" t="s">
        <v>88</v>
      </c>
      <c r="B392" s="17" t="str">
        <f>_xlfn.XLOOKUP(FME_Ranking2[[#This Row],[FME ID]],FME_Input[FME_ID],FME_Input[FME_NAME])</f>
        <v>Old Sayers Rd &amp; Little Sandy Creek</v>
      </c>
      <c r="C392" s="17" t="str">
        <f>_xlfn.XLOOKUP(FME_Ranking2[[#This Row],[FME ID]],FME_Input[FME_ID],FME_Input[DESCR])</f>
        <v>LWC upgrade, Box culvert</v>
      </c>
      <c r="D392" s="33" t="str">
        <f>_xlfn.XLOOKUP(FME_Ranking2[[#This Row],[FME ID]],FME_Input[FME_ID],FME_Input[EMER_NEED])</f>
        <v>No</v>
      </c>
      <c r="E392" s="120">
        <f>IF(FME_Ranking_Option2!$D392="Yes",100,0)</f>
        <v>0</v>
      </c>
      <c r="F392" s="34" t="str">
        <f>_xlfn.XLOOKUP(FME_Ranking2[[#This Row],[FME ID]],FME_Input[FME_ID],FME_Input[FUND])</f>
        <v>No</v>
      </c>
      <c r="G392" s="35">
        <f>IF(FME_Ranking_Option2!$F392="Yes",1,0)</f>
        <v>0</v>
      </c>
      <c r="H392" s="33">
        <f>_xlfn.XLOOKUP(FME_Ranking2[[#This Row],[FME ID]],FME_Input[FME_ID],FME_Input[STRUCT_100])</f>
        <v>0</v>
      </c>
      <c r="I392" s="64" t="e">
        <f>FME_Ranking2[[#This Row],[Raw Data3]]*H$4</f>
        <v>#REF!</v>
      </c>
      <c r="J392" s="63">
        <f>((FME_Ranking_Option2!$H392)/($H$3))*100</f>
        <v>0</v>
      </c>
      <c r="K392" s="36" t="e">
        <f>FME_Ranking2[[#This Row],[Norm Data3]]*H$4</f>
        <v>#REF!</v>
      </c>
      <c r="L392" s="37">
        <f>_xlfn.XLOOKUP(FME_Ranking2[[#This Row],[FME ID]],FME_Input[FME_ID],FME_Input[RES_STRUCT100])</f>
        <v>0</v>
      </c>
      <c r="M392" s="38" t="e">
        <f>FME_Ranking2[[#This Row],[Raw Data4]]*L$4</f>
        <v>#REF!</v>
      </c>
      <c r="N392" s="28">
        <f>((FME_Ranking_Option2!$L392)/($L$3))*100</f>
        <v>0</v>
      </c>
      <c r="O392" s="39" t="e">
        <f>FME_Ranking2[[#This Row],[Norm Data4]]*L$4</f>
        <v>#REF!</v>
      </c>
      <c r="P392" s="34">
        <f>_xlfn.XLOOKUP(FME_Ranking2[[#This Row],[FME ID]],FME_Input[FME_ID],FME_Input[POP100])</f>
        <v>0</v>
      </c>
      <c r="Q392" s="35" t="e">
        <f>FME_Ranking_Option2!$P392*P$4</f>
        <v>#REF!</v>
      </c>
      <c r="R392" s="35">
        <f>FME_Ranking_Option2!$P392/($P$3)</f>
        <v>0</v>
      </c>
      <c r="S392" s="35" t="e">
        <f>FME_Ranking_Option2!$R392*P$4</f>
        <v>#REF!</v>
      </c>
      <c r="T392" s="37">
        <f>_xlfn.XLOOKUP(FME_Ranking2[[#This Row],[FME ID]],FME_Input[FME_ID],FME_Input[CRITFAC100])</f>
        <v>0</v>
      </c>
      <c r="U392" s="35" t="e">
        <f>FME_Ranking_Option2!$T392*T$4</f>
        <v>#REF!</v>
      </c>
      <c r="V392" s="35">
        <f>FME_Ranking_Option2!$T392/($T$3)</f>
        <v>0</v>
      </c>
      <c r="W392" s="35" t="e">
        <f>FME_Ranking_Option2!$V392*T$4</f>
        <v>#REF!</v>
      </c>
      <c r="X392" s="37">
        <f>_xlfn.XLOOKUP(FME_Ranking2[[#This Row],[FME ID]],FME_Input[FME_ID],FME_Input[LWC])</f>
        <v>1</v>
      </c>
      <c r="Y392" s="35" t="e">
        <f>FME_Ranking_Option2!$X392*X$4</f>
        <v>#REF!</v>
      </c>
      <c r="Z392" s="35">
        <f>FME_Ranking_Option2!$X392/($X$3)</f>
        <v>9.1224229155263632E-5</v>
      </c>
      <c r="AA392" s="35" t="e">
        <f>FME_Ranking_Option2!$Z392*X$4</f>
        <v>#REF!</v>
      </c>
      <c r="AB392" s="37">
        <f>_xlfn.XLOOKUP(FME_Ranking2[[#This Row],[FME ID]],FME_Input[FME_ID],FME_Input[ROADCLS])</f>
        <v>0</v>
      </c>
      <c r="AC392" s="35" t="e">
        <f>FME_Ranking_Option2!$AB392*AB$4</f>
        <v>#REF!</v>
      </c>
      <c r="AD392" s="40">
        <f>_xlfn.XLOOKUP(FME_Ranking2[[#This Row],[FME ID]],FME_Input[FME_ID],FME_Input[ROAD_MILES100])</f>
        <v>0.18950353562831879</v>
      </c>
      <c r="AE392" s="41" t="e">
        <f>FME_Ranking_Option2!$AD392*AD$4</f>
        <v>#REF!</v>
      </c>
      <c r="AF392" s="42">
        <f>FME_Ranking_Option2!$AD392/($AD$3)</f>
        <v>4.2803699712987639E-6</v>
      </c>
      <c r="AG392" s="42" t="e">
        <f>FME_Ranking_Option2!$AF392*AD$4</f>
        <v>#REF!</v>
      </c>
      <c r="AH392" s="40">
        <f>_xlfn.XLOOKUP(FME_Ranking2[[#This Row],[FME ID]],FME_Input[FME_ID],FME_Input[FARMACRE100])</f>
        <v>105.46693420410161</v>
      </c>
      <c r="AI392" s="43" t="e">
        <f>FME_Ranking_Option2!$AH392*AH$4</f>
        <v>#REF!</v>
      </c>
      <c r="AJ392" s="41">
        <f>FME_Ranking_Option2!$AH392/($AH$3)</f>
        <v>6.1240366398461026E-3</v>
      </c>
      <c r="AK392" s="44" t="e">
        <f>FME_Ranking_Option2!$AJ392*AH$4</f>
        <v>#REF!</v>
      </c>
      <c r="AL392"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92" s="58" t="e">
        <f>_xlfn.RANK.EQ(AL392,$AL$7:$AL$531)+COUNTIF(AL$7:AL392,AL392)-1</f>
        <v>#REF!</v>
      </c>
      <c r="AN392" s="44"/>
      <c r="AO392" s="58" t="e">
        <f>_xlfn.RANK.EQ(AN392,$AN$7:$AN$531)+COUNTIF(AN$7:AN392,AN392)-1</f>
        <v>#N/A</v>
      </c>
      <c r="AP39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92" s="32" t="e">
        <f>FME_Ranking2[[#This Row],[Score Based on Reported Factors]]-FME_Ranking2[[#This Row],[Check]]</f>
        <v>#REF!</v>
      </c>
      <c r="AR392" s="32"/>
    </row>
    <row r="393" spans="1:55" ht="12" customHeight="1" x14ac:dyDescent="0.25">
      <c r="A393" s="16" t="s">
        <v>91</v>
      </c>
      <c r="B393" s="16" t="str">
        <f>_xlfn.XLOOKUP(FME_Ranking2[[#This Row],[FME ID]],FME_Input[FME_ID],FME_Input[FME_NAME])</f>
        <v>Paffen Rd &amp; Grassy Creek Draw</v>
      </c>
      <c r="C393" s="16" t="str">
        <f>_xlfn.XLOOKUP(FME_Ranking2[[#This Row],[FME ID]],FME_Input[FME_ID],FME_Input[DESCR])</f>
        <v>CMP Upgrade, Cast-in-place multi-box (2) culvert-bridge</v>
      </c>
      <c r="D393" s="46" t="str">
        <f>_xlfn.XLOOKUP(FME_Ranking2[[#This Row],[FME ID]],FME_Input[FME_ID],FME_Input[EMER_NEED])</f>
        <v>No</v>
      </c>
      <c r="E393" s="121">
        <f>IF(FME_Ranking_Option2!$D393="Yes",100,0)</f>
        <v>0</v>
      </c>
      <c r="F393" s="47" t="str">
        <f>_xlfn.XLOOKUP(FME_Ranking2[[#This Row],[FME ID]],FME_Input[FME_ID],FME_Input[FUND])</f>
        <v>No</v>
      </c>
      <c r="G393" s="48">
        <f>IF(FME_Ranking_Option2!$F393="Yes",1,0)</f>
        <v>0</v>
      </c>
      <c r="H393" s="46">
        <f>_xlfn.XLOOKUP(FME_Ranking2[[#This Row],[FME ID]],FME_Input[FME_ID],FME_Input[STRUCT_100])</f>
        <v>0</v>
      </c>
      <c r="I393" s="65" t="e">
        <f>FME_Ranking2[[#This Row],[Raw Data3]]*H$4</f>
        <v>#REF!</v>
      </c>
      <c r="J393" s="62">
        <f>((FME_Ranking_Option2!$H393)/($H$3))*100</f>
        <v>0</v>
      </c>
      <c r="K393" s="49" t="e">
        <f>FME_Ranking2[[#This Row],[Norm Data3]]*H$4</f>
        <v>#REF!</v>
      </c>
      <c r="L393" s="50">
        <f>_xlfn.XLOOKUP(FME_Ranking2[[#This Row],[FME ID]],FME_Input[FME_ID],FME_Input[RES_STRUCT100])</f>
        <v>0</v>
      </c>
      <c r="M393" s="51" t="e">
        <f>FME_Ranking2[[#This Row],[Raw Data4]]*L$4</f>
        <v>#REF!</v>
      </c>
      <c r="N393" s="29">
        <f>((FME_Ranking_Option2!$L393)/($L$3))*100</f>
        <v>0</v>
      </c>
      <c r="O393" s="52" t="e">
        <f>FME_Ranking2[[#This Row],[Norm Data4]]*L$4</f>
        <v>#REF!</v>
      </c>
      <c r="P393" s="47">
        <f>_xlfn.XLOOKUP(FME_Ranking2[[#This Row],[FME ID]],FME_Input[FME_ID],FME_Input[POP100])</f>
        <v>0</v>
      </c>
      <c r="Q393" s="48" t="e">
        <f>FME_Ranking_Option2!$P393*P$4</f>
        <v>#REF!</v>
      </c>
      <c r="R393" s="48">
        <f>FME_Ranking_Option2!$P393/($P$3)</f>
        <v>0</v>
      </c>
      <c r="S393" s="48" t="e">
        <f>FME_Ranking_Option2!$R393*P$4</f>
        <v>#REF!</v>
      </c>
      <c r="T393" s="50">
        <f>_xlfn.XLOOKUP(FME_Ranking2[[#This Row],[FME ID]],FME_Input[FME_ID],FME_Input[CRITFAC100])</f>
        <v>0</v>
      </c>
      <c r="U393" s="48" t="e">
        <f>FME_Ranking_Option2!$T393*T$4</f>
        <v>#REF!</v>
      </c>
      <c r="V393" s="48">
        <f>FME_Ranking_Option2!$T393/($T$3)</f>
        <v>0</v>
      </c>
      <c r="W393" s="48" t="e">
        <f>FME_Ranking_Option2!$V393*T$4</f>
        <v>#REF!</v>
      </c>
      <c r="X393" s="50">
        <f>_xlfn.XLOOKUP(FME_Ranking2[[#This Row],[FME ID]],FME_Input[FME_ID],FME_Input[LWC])</f>
        <v>0</v>
      </c>
      <c r="Y393" s="48" t="e">
        <f>FME_Ranking_Option2!$X393*X$4</f>
        <v>#REF!</v>
      </c>
      <c r="Z393" s="48">
        <f>FME_Ranking_Option2!$X393/($X$3)</f>
        <v>0</v>
      </c>
      <c r="AA393" s="48" t="e">
        <f>FME_Ranking_Option2!$Z393*X$4</f>
        <v>#REF!</v>
      </c>
      <c r="AB393" s="50">
        <f>_xlfn.XLOOKUP(FME_Ranking2[[#This Row],[FME ID]],FME_Input[FME_ID],FME_Input[ROADCLS])</f>
        <v>0</v>
      </c>
      <c r="AC393" s="48" t="e">
        <f>FME_Ranking_Option2!$AB393*AB$4</f>
        <v>#REF!</v>
      </c>
      <c r="AD393" s="53">
        <f>_xlfn.XLOOKUP(FME_Ranking2[[#This Row],[FME ID]],FME_Input[FME_ID],FME_Input[ROAD_MILES100])</f>
        <v>5.369202047586441E-2</v>
      </c>
      <c r="AE393" s="54" t="e">
        <f>FME_Ranking_Option2!$AD393*AD$4</f>
        <v>#REF!</v>
      </c>
      <c r="AF393" s="55">
        <f>FME_Ranking_Option2!$AD393/($AD$3)</f>
        <v>1.2127568563892515E-6</v>
      </c>
      <c r="AG393" s="55" t="e">
        <f>FME_Ranking_Option2!$AF393*AD$4</f>
        <v>#REF!</v>
      </c>
      <c r="AH393" s="53">
        <f>_xlfn.XLOOKUP(FME_Ranking2[[#This Row],[FME ID]],FME_Input[FME_ID],FME_Input[FARMACRE100])</f>
        <v>39.255584716796882</v>
      </c>
      <c r="AI393" s="54" t="e">
        <f>FME_Ranking_Option2!$AH393*AH$4</f>
        <v>#REF!</v>
      </c>
      <c r="AJ393" s="56">
        <f>FME_Ranking_Option2!$AH393/($AH$3)</f>
        <v>2.2794124143119118E-3</v>
      </c>
      <c r="AK393" s="57" t="e">
        <f>FME_Ranking_Option2!$AJ393*AH$4</f>
        <v>#REF!</v>
      </c>
      <c r="AL393"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93" s="45" t="e">
        <f>_xlfn.RANK.EQ(AL393,$AL$7:$AL$531)+COUNTIF(AL$7:AL393,AL393)-1</f>
        <v>#REF!</v>
      </c>
      <c r="AN393" s="57"/>
      <c r="AO393" s="45" t="e">
        <f>_xlfn.RANK.EQ(AN393,$AN$7:$AN$531)+COUNTIF(AN$7:AN393,AN393)-1</f>
        <v>#N/A</v>
      </c>
      <c r="AP39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93" s="32" t="e">
        <f>FME_Ranking2[[#This Row],[Score Based on Reported Factors]]-FME_Ranking2[[#This Row],[Check]]</f>
        <v>#REF!</v>
      </c>
      <c r="AR393" s="32"/>
      <c r="AT393" s="19"/>
      <c r="AU393" s="19"/>
      <c r="AV393" s="19"/>
      <c r="AW393" s="19"/>
      <c r="AX393" s="19"/>
      <c r="AY393" s="19"/>
      <c r="AZ393" s="19"/>
      <c r="BA393" s="19"/>
      <c r="BB393" s="19"/>
      <c r="BC393" s="19"/>
    </row>
    <row r="394" spans="1:55" ht="12" customHeight="1" x14ac:dyDescent="0.25">
      <c r="A394" s="17" t="s">
        <v>94</v>
      </c>
      <c r="B394" s="17" t="str">
        <f>_xlfn.XLOOKUP(FME_Ranking2[[#This Row],[FME ID]],FME_Input[FME_ID],FME_Input[FME_NAME])</f>
        <v>Meduna Rd &amp; Barton Oaks Draw 1</v>
      </c>
      <c r="C394" s="17" t="str">
        <f>_xlfn.XLOOKUP(FME_Ranking2[[#This Row],[FME ID]],FME_Input[FME_ID],FME_Input[DESCR])</f>
        <v>LWC to Culvert, Cast-in-place box culvert-bridge</v>
      </c>
      <c r="D394" s="33" t="str">
        <f>_xlfn.XLOOKUP(FME_Ranking2[[#This Row],[FME ID]],FME_Input[FME_ID],FME_Input[EMER_NEED])</f>
        <v>No</v>
      </c>
      <c r="E394" s="120">
        <f>IF(FME_Ranking_Option2!$D394="Yes",100,0)</f>
        <v>0</v>
      </c>
      <c r="F394" s="34" t="str">
        <f>_xlfn.XLOOKUP(FME_Ranking2[[#This Row],[FME ID]],FME_Input[FME_ID],FME_Input[FUND])</f>
        <v>No</v>
      </c>
      <c r="G394" s="35">
        <f>IF(FME_Ranking_Option2!$F394="Yes",1,0)</f>
        <v>0</v>
      </c>
      <c r="H394" s="33">
        <f>_xlfn.XLOOKUP(FME_Ranking2[[#This Row],[FME ID]],FME_Input[FME_ID],FME_Input[STRUCT_100])</f>
        <v>0</v>
      </c>
      <c r="I394" s="64" t="e">
        <f>FME_Ranking2[[#This Row],[Raw Data3]]*H$4</f>
        <v>#REF!</v>
      </c>
      <c r="J394" s="63">
        <f>((FME_Ranking_Option2!$H394)/($H$3))*100</f>
        <v>0</v>
      </c>
      <c r="K394" s="36" t="e">
        <f>FME_Ranking2[[#This Row],[Norm Data3]]*H$4</f>
        <v>#REF!</v>
      </c>
      <c r="L394" s="37">
        <f>_xlfn.XLOOKUP(FME_Ranking2[[#This Row],[FME ID]],FME_Input[FME_ID],FME_Input[RES_STRUCT100])</f>
        <v>0</v>
      </c>
      <c r="M394" s="38" t="e">
        <f>FME_Ranking2[[#This Row],[Raw Data4]]*L$4</f>
        <v>#REF!</v>
      </c>
      <c r="N394" s="28">
        <f>((FME_Ranking_Option2!$L394)/($L$3))*100</f>
        <v>0</v>
      </c>
      <c r="O394" s="39" t="e">
        <f>FME_Ranking2[[#This Row],[Norm Data4]]*L$4</f>
        <v>#REF!</v>
      </c>
      <c r="P394" s="34">
        <f>_xlfn.XLOOKUP(FME_Ranking2[[#This Row],[FME ID]],FME_Input[FME_ID],FME_Input[POP100])</f>
        <v>0</v>
      </c>
      <c r="Q394" s="35" t="e">
        <f>FME_Ranking_Option2!$P394*P$4</f>
        <v>#REF!</v>
      </c>
      <c r="R394" s="35">
        <f>FME_Ranking_Option2!$P394/($P$3)</f>
        <v>0</v>
      </c>
      <c r="S394" s="35" t="e">
        <f>FME_Ranking_Option2!$R394*P$4</f>
        <v>#REF!</v>
      </c>
      <c r="T394" s="37">
        <f>_xlfn.XLOOKUP(FME_Ranking2[[#This Row],[FME ID]],FME_Input[FME_ID],FME_Input[CRITFAC100])</f>
        <v>0</v>
      </c>
      <c r="U394" s="35" t="e">
        <f>FME_Ranking_Option2!$T394*T$4</f>
        <v>#REF!</v>
      </c>
      <c r="V394" s="35">
        <f>FME_Ranking_Option2!$T394/($T$3)</f>
        <v>0</v>
      </c>
      <c r="W394" s="35" t="e">
        <f>FME_Ranking_Option2!$V394*T$4</f>
        <v>#REF!</v>
      </c>
      <c r="X394" s="37">
        <f>_xlfn.XLOOKUP(FME_Ranking2[[#This Row],[FME ID]],FME_Input[FME_ID],FME_Input[LWC])</f>
        <v>0</v>
      </c>
      <c r="Y394" s="35" t="e">
        <f>FME_Ranking_Option2!$X394*X$4</f>
        <v>#REF!</v>
      </c>
      <c r="Z394" s="35">
        <f>FME_Ranking_Option2!$X394/($X$3)</f>
        <v>0</v>
      </c>
      <c r="AA394" s="35" t="e">
        <f>FME_Ranking_Option2!$Z394*X$4</f>
        <v>#REF!</v>
      </c>
      <c r="AB394" s="37">
        <f>_xlfn.XLOOKUP(FME_Ranking2[[#This Row],[FME ID]],FME_Input[FME_ID],FME_Input[ROADCLS])</f>
        <v>0</v>
      </c>
      <c r="AC394" s="35" t="e">
        <f>FME_Ranking_Option2!$AB394*AB$4</f>
        <v>#REF!</v>
      </c>
      <c r="AD394" s="40">
        <f>_xlfn.XLOOKUP(FME_Ranking2[[#This Row],[FME ID]],FME_Input[FME_ID],FME_Input[ROAD_MILES100])</f>
        <v>6.2633715569972992E-2</v>
      </c>
      <c r="AE394" s="41" t="e">
        <f>FME_Ranking_Option2!$AD394*AD$4</f>
        <v>#REF!</v>
      </c>
      <c r="AF394" s="42">
        <f>FME_Ranking_Option2!$AD394/($AD$3)</f>
        <v>1.4147254531567535E-6</v>
      </c>
      <c r="AG394" s="42" t="e">
        <f>FME_Ranking_Option2!$AF394*AD$4</f>
        <v>#REF!</v>
      </c>
      <c r="AH394" s="40">
        <f>_xlfn.XLOOKUP(FME_Ranking2[[#This Row],[FME ID]],FME_Input[FME_ID],FME_Input[FARMACRE100])</f>
        <v>1.547157764434814</v>
      </c>
      <c r="AI394" s="43" t="e">
        <f>FME_Ranking_Option2!$AH394*AH$4</f>
        <v>#REF!</v>
      </c>
      <c r="AJ394" s="41">
        <f>FME_Ranking_Option2!$AH394/($AH$3)</f>
        <v>8.9837169426820312E-5</v>
      </c>
      <c r="AK394" s="44" t="e">
        <f>FME_Ranking_Option2!$AJ394*AH$4</f>
        <v>#REF!</v>
      </c>
      <c r="AL394"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94" s="58" t="e">
        <f>_xlfn.RANK.EQ(AL394,$AL$7:$AL$531)+COUNTIF(AL$7:AL394,AL394)-1</f>
        <v>#REF!</v>
      </c>
      <c r="AN394" s="44"/>
      <c r="AO394" s="58" t="e">
        <f>_xlfn.RANK.EQ(AN394,$AN$7:$AN$531)+COUNTIF(AN$7:AN394,AN394)-1</f>
        <v>#N/A</v>
      </c>
      <c r="AP39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94" s="32" t="e">
        <f>FME_Ranking2[[#This Row],[Score Based on Reported Factors]]-FME_Ranking2[[#This Row],[Check]]</f>
        <v>#REF!</v>
      </c>
      <c r="AR394" s="32"/>
    </row>
    <row r="395" spans="1:55" ht="12" customHeight="1" x14ac:dyDescent="0.25">
      <c r="A395" s="16" t="s">
        <v>97</v>
      </c>
      <c r="B395" s="16" t="str">
        <f>_xlfn.XLOOKUP(FME_Ranking2[[#This Row],[FME ID]],FME_Input[FME_ID],FME_Input[FME_NAME])</f>
        <v>Pine Canyon Dr &amp; Wet Weather Creek</v>
      </c>
      <c r="C395" s="16" t="str">
        <f>_xlfn.XLOOKUP(FME_Ranking2[[#This Row],[FME ID]],FME_Input[FME_ID],FME_Input[DESCR])</f>
        <v>LWC to Culvert, Cast-in-place multi-box (2) culvert-bridge</v>
      </c>
      <c r="D395" s="46" t="str">
        <f>_xlfn.XLOOKUP(FME_Ranking2[[#This Row],[FME ID]],FME_Input[FME_ID],FME_Input[EMER_NEED])</f>
        <v>No</v>
      </c>
      <c r="E395" s="121">
        <f>IF(FME_Ranking_Option2!$D395="Yes",100,0)</f>
        <v>0</v>
      </c>
      <c r="F395" s="47" t="str">
        <f>_xlfn.XLOOKUP(FME_Ranking2[[#This Row],[FME ID]],FME_Input[FME_ID],FME_Input[FUND])</f>
        <v>No</v>
      </c>
      <c r="G395" s="48">
        <f>IF(FME_Ranking_Option2!$F395="Yes",1,0)</f>
        <v>0</v>
      </c>
      <c r="H395" s="46">
        <f>_xlfn.XLOOKUP(FME_Ranking2[[#This Row],[FME ID]],FME_Input[FME_ID],FME_Input[STRUCT_100])</f>
        <v>0</v>
      </c>
      <c r="I395" s="65" t="e">
        <f>FME_Ranking2[[#This Row],[Raw Data3]]*H$4</f>
        <v>#REF!</v>
      </c>
      <c r="J395" s="62">
        <f>((FME_Ranking_Option2!$H395)/($H$3))*100</f>
        <v>0</v>
      </c>
      <c r="K395" s="49" t="e">
        <f>FME_Ranking2[[#This Row],[Norm Data3]]*H$4</f>
        <v>#REF!</v>
      </c>
      <c r="L395" s="50">
        <f>_xlfn.XLOOKUP(FME_Ranking2[[#This Row],[FME ID]],FME_Input[FME_ID],FME_Input[RES_STRUCT100])</f>
        <v>0</v>
      </c>
      <c r="M395" s="51" t="e">
        <f>FME_Ranking2[[#This Row],[Raw Data4]]*L$4</f>
        <v>#REF!</v>
      </c>
      <c r="N395" s="29">
        <f>((FME_Ranking_Option2!$L395)/($L$3))*100</f>
        <v>0</v>
      </c>
      <c r="O395" s="52" t="e">
        <f>FME_Ranking2[[#This Row],[Norm Data4]]*L$4</f>
        <v>#REF!</v>
      </c>
      <c r="P395" s="47">
        <f>_xlfn.XLOOKUP(FME_Ranking2[[#This Row],[FME ID]],FME_Input[FME_ID],FME_Input[POP100])</f>
        <v>0</v>
      </c>
      <c r="Q395" s="48" t="e">
        <f>FME_Ranking_Option2!$P395*P$4</f>
        <v>#REF!</v>
      </c>
      <c r="R395" s="48">
        <f>FME_Ranking_Option2!$P395/($P$3)</f>
        <v>0</v>
      </c>
      <c r="S395" s="48" t="e">
        <f>FME_Ranking_Option2!$R395*P$4</f>
        <v>#REF!</v>
      </c>
      <c r="T395" s="50">
        <f>_xlfn.XLOOKUP(FME_Ranking2[[#This Row],[FME ID]],FME_Input[FME_ID],FME_Input[CRITFAC100])</f>
        <v>0</v>
      </c>
      <c r="U395" s="48" t="e">
        <f>FME_Ranking_Option2!$T395*T$4</f>
        <v>#REF!</v>
      </c>
      <c r="V395" s="48">
        <f>FME_Ranking_Option2!$T395/($T$3)</f>
        <v>0</v>
      </c>
      <c r="W395" s="48" t="e">
        <f>FME_Ranking_Option2!$V395*T$4</f>
        <v>#REF!</v>
      </c>
      <c r="X395" s="50">
        <f>_xlfn.XLOOKUP(FME_Ranking2[[#This Row],[FME ID]],FME_Input[FME_ID],FME_Input[LWC])</f>
        <v>0</v>
      </c>
      <c r="Y395" s="48" t="e">
        <f>FME_Ranking_Option2!$X395*X$4</f>
        <v>#REF!</v>
      </c>
      <c r="Z395" s="48">
        <f>FME_Ranking_Option2!$X395/($X$3)</f>
        <v>0</v>
      </c>
      <c r="AA395" s="48" t="e">
        <f>FME_Ranking_Option2!$Z395*X$4</f>
        <v>#REF!</v>
      </c>
      <c r="AB395" s="50">
        <f>_xlfn.XLOOKUP(FME_Ranking2[[#This Row],[FME ID]],FME_Input[FME_ID],FME_Input[ROADCLS])</f>
        <v>0</v>
      </c>
      <c r="AC395" s="48" t="e">
        <f>FME_Ranking_Option2!$AB395*AB$4</f>
        <v>#REF!</v>
      </c>
      <c r="AD395" s="53">
        <f>_xlfn.XLOOKUP(FME_Ranking2[[#This Row],[FME ID]],FME_Input[FME_ID],FME_Input[ROAD_MILES100])</f>
        <v>0</v>
      </c>
      <c r="AE395" s="54" t="e">
        <f>FME_Ranking_Option2!$AD395*AD$4</f>
        <v>#REF!</v>
      </c>
      <c r="AF395" s="55">
        <f>FME_Ranking_Option2!$AD395/($AD$3)</f>
        <v>0</v>
      </c>
      <c r="AG395" s="55" t="e">
        <f>FME_Ranking_Option2!$AF395*AD$4</f>
        <v>#REF!</v>
      </c>
      <c r="AH395" s="53">
        <f>_xlfn.XLOOKUP(FME_Ranking2[[#This Row],[FME ID]],FME_Input[FME_ID],FME_Input[FARMACRE100])</f>
        <v>0</v>
      </c>
      <c r="AI395" s="54" t="e">
        <f>FME_Ranking_Option2!$AH395*AH$4</f>
        <v>#REF!</v>
      </c>
      <c r="AJ395" s="56">
        <f>FME_Ranking_Option2!$AH395/($AH$3)</f>
        <v>0</v>
      </c>
      <c r="AK395" s="57" t="e">
        <f>FME_Ranking_Option2!$AJ395*AH$4</f>
        <v>#REF!</v>
      </c>
      <c r="AL395"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95" s="45" t="e">
        <f>_xlfn.RANK.EQ(AL395,$AL$7:$AL$531)+COUNTIF(AL$7:AL395,AL395)-1</f>
        <v>#REF!</v>
      </c>
      <c r="AN395" s="57"/>
      <c r="AO395" s="45" t="e">
        <f>_xlfn.RANK.EQ(AN395,$AN$7:$AN$531)+COUNTIF(AN$7:AN395,AN395)-1</f>
        <v>#N/A</v>
      </c>
      <c r="AP39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95" s="32" t="e">
        <f>FME_Ranking2[[#This Row],[Score Based on Reported Factors]]-FME_Ranking2[[#This Row],[Check]]</f>
        <v>#REF!</v>
      </c>
      <c r="AR395" s="32"/>
      <c r="AT395" s="19"/>
      <c r="AU395" s="19"/>
      <c r="AV395" s="19"/>
      <c r="AW395" s="19"/>
      <c r="AX395" s="19"/>
      <c r="AY395" s="19"/>
      <c r="AZ395" s="19"/>
      <c r="BA395" s="19"/>
      <c r="BB395" s="19"/>
      <c r="BC395" s="19"/>
    </row>
    <row r="396" spans="1:55" ht="12" customHeight="1" x14ac:dyDescent="0.25">
      <c r="A396" s="17" t="s">
        <v>100</v>
      </c>
      <c r="B396" s="17" t="str">
        <f>_xlfn.XLOOKUP(FME_Ranking2[[#This Row],[FME ID]],FME_Input[FME_ID],FME_Input[FME_NAME])</f>
        <v>Hall Rd &amp; Young's Branch</v>
      </c>
      <c r="C396" s="17" t="str">
        <f>_xlfn.XLOOKUP(FME_Ranking2[[#This Row],[FME ID]],FME_Input[FME_ID],FME_Input[DESCR])</f>
        <v>Upgrade Box-culvert bridge</v>
      </c>
      <c r="D396" s="33" t="str">
        <f>_xlfn.XLOOKUP(FME_Ranking2[[#This Row],[FME ID]],FME_Input[FME_ID],FME_Input[EMER_NEED])</f>
        <v>No</v>
      </c>
      <c r="E396" s="120">
        <f>IF(FME_Ranking_Option2!$D396="Yes",100,0)</f>
        <v>0</v>
      </c>
      <c r="F396" s="34" t="str">
        <f>_xlfn.XLOOKUP(FME_Ranking2[[#This Row],[FME ID]],FME_Input[FME_ID],FME_Input[FUND])</f>
        <v>No</v>
      </c>
      <c r="G396" s="35">
        <f>IF(FME_Ranking_Option2!$F396="Yes",1,0)</f>
        <v>0</v>
      </c>
      <c r="H396" s="33">
        <f>_xlfn.XLOOKUP(FME_Ranking2[[#This Row],[FME ID]],FME_Input[FME_ID],FME_Input[STRUCT_100])</f>
        <v>0</v>
      </c>
      <c r="I396" s="64" t="e">
        <f>FME_Ranking2[[#This Row],[Raw Data3]]*H$4</f>
        <v>#REF!</v>
      </c>
      <c r="J396" s="63">
        <f>((FME_Ranking_Option2!$H396)/($H$3))*100</f>
        <v>0</v>
      </c>
      <c r="K396" s="36" t="e">
        <f>FME_Ranking2[[#This Row],[Norm Data3]]*H$4</f>
        <v>#REF!</v>
      </c>
      <c r="L396" s="37">
        <f>_xlfn.XLOOKUP(FME_Ranking2[[#This Row],[FME ID]],FME_Input[FME_ID],FME_Input[RES_STRUCT100])</f>
        <v>0</v>
      </c>
      <c r="M396" s="38" t="e">
        <f>FME_Ranking2[[#This Row],[Raw Data4]]*L$4</f>
        <v>#REF!</v>
      </c>
      <c r="N396" s="28">
        <f>((FME_Ranking_Option2!$L396)/($L$3))*100</f>
        <v>0</v>
      </c>
      <c r="O396" s="39" t="e">
        <f>FME_Ranking2[[#This Row],[Norm Data4]]*L$4</f>
        <v>#REF!</v>
      </c>
      <c r="P396" s="34">
        <f>_xlfn.XLOOKUP(FME_Ranking2[[#This Row],[FME ID]],FME_Input[FME_ID],FME_Input[POP100])</f>
        <v>0</v>
      </c>
      <c r="Q396" s="35" t="e">
        <f>FME_Ranking_Option2!$P396*P$4</f>
        <v>#REF!</v>
      </c>
      <c r="R396" s="35">
        <f>FME_Ranking_Option2!$P396/($P$3)</f>
        <v>0</v>
      </c>
      <c r="S396" s="35" t="e">
        <f>FME_Ranking_Option2!$R396*P$4</f>
        <v>#REF!</v>
      </c>
      <c r="T396" s="37">
        <f>_xlfn.XLOOKUP(FME_Ranking2[[#This Row],[FME ID]],FME_Input[FME_ID],FME_Input[CRITFAC100])</f>
        <v>0</v>
      </c>
      <c r="U396" s="35" t="e">
        <f>FME_Ranking_Option2!$T396*T$4</f>
        <v>#REF!</v>
      </c>
      <c r="V396" s="35">
        <f>FME_Ranking_Option2!$T396/($T$3)</f>
        <v>0</v>
      </c>
      <c r="W396" s="35" t="e">
        <f>FME_Ranking_Option2!$V396*T$4</f>
        <v>#REF!</v>
      </c>
      <c r="X396" s="37">
        <f>_xlfn.XLOOKUP(FME_Ranking2[[#This Row],[FME ID]],FME_Input[FME_ID],FME_Input[LWC])</f>
        <v>0</v>
      </c>
      <c r="Y396" s="35" t="e">
        <f>FME_Ranking_Option2!$X396*X$4</f>
        <v>#REF!</v>
      </c>
      <c r="Z396" s="35">
        <f>FME_Ranking_Option2!$X396/($X$3)</f>
        <v>0</v>
      </c>
      <c r="AA396" s="35" t="e">
        <f>FME_Ranking_Option2!$Z396*X$4</f>
        <v>#REF!</v>
      </c>
      <c r="AB396" s="37">
        <f>_xlfn.XLOOKUP(FME_Ranking2[[#This Row],[FME ID]],FME_Input[FME_ID],FME_Input[ROADCLS])</f>
        <v>0</v>
      </c>
      <c r="AC396" s="35" t="e">
        <f>FME_Ranking_Option2!$AB396*AB$4</f>
        <v>#REF!</v>
      </c>
      <c r="AD396" s="40">
        <f>_xlfn.XLOOKUP(FME_Ranking2[[#This Row],[FME ID]],FME_Input[FME_ID],FME_Input[ROAD_MILES100])</f>
        <v>4.7016434371471412E-2</v>
      </c>
      <c r="AE396" s="41" t="e">
        <f>FME_Ranking_Option2!$AD396*AD$4</f>
        <v>#REF!</v>
      </c>
      <c r="AF396" s="42">
        <f>FME_Ranking_Option2!$AD396/($AD$3)</f>
        <v>1.0619735044727657E-6</v>
      </c>
      <c r="AG396" s="42" t="e">
        <f>FME_Ranking_Option2!$AF396*AD$4</f>
        <v>#REF!</v>
      </c>
      <c r="AH396" s="40">
        <f>_xlfn.XLOOKUP(FME_Ranking2[[#This Row],[FME ID]],FME_Input[FME_ID],FME_Input[FARMACRE100])</f>
        <v>1.5021897554397581</v>
      </c>
      <c r="AI396" s="43" t="e">
        <f>FME_Ranking_Option2!$AH396*AH$4</f>
        <v>#REF!</v>
      </c>
      <c r="AJ396" s="41">
        <f>FME_Ranking_Option2!$AH396/($AH$3)</f>
        <v>8.7226059728934155E-5</v>
      </c>
      <c r="AK396" s="44" t="e">
        <f>FME_Ranking_Option2!$AJ396*AH$4</f>
        <v>#REF!</v>
      </c>
      <c r="AL396"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96" s="58" t="e">
        <f>_xlfn.RANK.EQ(AL396,$AL$7:$AL$531)+COUNTIF(AL$7:AL396,AL396)-1</f>
        <v>#REF!</v>
      </c>
      <c r="AN396" s="44"/>
      <c r="AO396" s="58" t="e">
        <f>_xlfn.RANK.EQ(AN396,$AN$7:$AN$531)+COUNTIF(AN$7:AN396,AN396)-1</f>
        <v>#N/A</v>
      </c>
      <c r="AP39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96" s="32" t="e">
        <f>FME_Ranking2[[#This Row],[Score Based on Reported Factors]]-FME_Ranking2[[#This Row],[Check]]</f>
        <v>#REF!</v>
      </c>
      <c r="AR396" s="32"/>
    </row>
    <row r="397" spans="1:55" ht="12" customHeight="1" x14ac:dyDescent="0.25">
      <c r="A397" s="16" t="s">
        <v>103</v>
      </c>
      <c r="B397" s="16" t="str">
        <f>_xlfn.XLOOKUP(FME_Ranking2[[#This Row],[FME ID]],FME_Input[FME_ID],FME_Input[FME_NAME])</f>
        <v>Friendship Rd &amp; Turner Creek A and B</v>
      </c>
      <c r="C397" s="16" t="str">
        <f>_xlfn.XLOOKUP(FME_Ranking2[[#This Row],[FME ID]],FME_Input[FME_ID],FME_Input[DESCR])</f>
        <v>LWC to Culvert, Cast-in-place multi-box (3) culvert-bridge</v>
      </c>
      <c r="D397" s="46" t="str">
        <f>_xlfn.XLOOKUP(FME_Ranking2[[#This Row],[FME ID]],FME_Input[FME_ID],FME_Input[EMER_NEED])</f>
        <v>No</v>
      </c>
      <c r="E397" s="121">
        <f>IF(FME_Ranking_Option2!$D397="Yes",100,0)</f>
        <v>0</v>
      </c>
      <c r="F397" s="47" t="str">
        <f>_xlfn.XLOOKUP(FME_Ranking2[[#This Row],[FME ID]],FME_Input[FME_ID],FME_Input[FUND])</f>
        <v>No</v>
      </c>
      <c r="G397" s="48">
        <f>IF(FME_Ranking_Option2!$F397="Yes",1,0)</f>
        <v>0</v>
      </c>
      <c r="H397" s="46">
        <f>_xlfn.XLOOKUP(FME_Ranking2[[#This Row],[FME ID]],FME_Input[FME_ID],FME_Input[STRUCT_100])</f>
        <v>0</v>
      </c>
      <c r="I397" s="65" t="e">
        <f>FME_Ranking2[[#This Row],[Raw Data3]]*H$4</f>
        <v>#REF!</v>
      </c>
      <c r="J397" s="62">
        <f>((FME_Ranking_Option2!$H397)/($H$3))*100</f>
        <v>0</v>
      </c>
      <c r="K397" s="49" t="e">
        <f>FME_Ranking2[[#This Row],[Norm Data3]]*H$4</f>
        <v>#REF!</v>
      </c>
      <c r="L397" s="50">
        <f>_xlfn.XLOOKUP(FME_Ranking2[[#This Row],[FME ID]],FME_Input[FME_ID],FME_Input[RES_STRUCT100])</f>
        <v>0</v>
      </c>
      <c r="M397" s="51" t="e">
        <f>FME_Ranking2[[#This Row],[Raw Data4]]*L$4</f>
        <v>#REF!</v>
      </c>
      <c r="N397" s="29">
        <f>((FME_Ranking_Option2!$L397)/($L$3))*100</f>
        <v>0</v>
      </c>
      <c r="O397" s="52" t="e">
        <f>FME_Ranking2[[#This Row],[Norm Data4]]*L$4</f>
        <v>#REF!</v>
      </c>
      <c r="P397" s="47">
        <f>_xlfn.XLOOKUP(FME_Ranking2[[#This Row],[FME ID]],FME_Input[FME_ID],FME_Input[POP100])</f>
        <v>0</v>
      </c>
      <c r="Q397" s="48" t="e">
        <f>FME_Ranking_Option2!$P397*P$4</f>
        <v>#REF!</v>
      </c>
      <c r="R397" s="48">
        <f>FME_Ranking_Option2!$P397/($P$3)</f>
        <v>0</v>
      </c>
      <c r="S397" s="48" t="e">
        <f>FME_Ranking_Option2!$R397*P$4</f>
        <v>#REF!</v>
      </c>
      <c r="T397" s="50">
        <f>_xlfn.XLOOKUP(FME_Ranking2[[#This Row],[FME ID]],FME_Input[FME_ID],FME_Input[CRITFAC100])</f>
        <v>0</v>
      </c>
      <c r="U397" s="48" t="e">
        <f>FME_Ranking_Option2!$T397*T$4</f>
        <v>#REF!</v>
      </c>
      <c r="V397" s="48">
        <f>FME_Ranking_Option2!$T397/($T$3)</f>
        <v>0</v>
      </c>
      <c r="W397" s="48" t="e">
        <f>FME_Ranking_Option2!$V397*T$4</f>
        <v>#REF!</v>
      </c>
      <c r="X397" s="50">
        <f>_xlfn.XLOOKUP(FME_Ranking2[[#This Row],[FME ID]],FME_Input[FME_ID],FME_Input[LWC])</f>
        <v>0</v>
      </c>
      <c r="Y397" s="48" t="e">
        <f>FME_Ranking_Option2!$X397*X$4</f>
        <v>#REF!</v>
      </c>
      <c r="Z397" s="48">
        <f>FME_Ranking_Option2!$X397/($X$3)</f>
        <v>0</v>
      </c>
      <c r="AA397" s="48" t="e">
        <f>FME_Ranking_Option2!$Z397*X$4</f>
        <v>#REF!</v>
      </c>
      <c r="AB397" s="50">
        <f>_xlfn.XLOOKUP(FME_Ranking2[[#This Row],[FME ID]],FME_Input[FME_ID],FME_Input[ROADCLS])</f>
        <v>0</v>
      </c>
      <c r="AC397" s="48" t="e">
        <f>FME_Ranking_Option2!$AB397*AB$4</f>
        <v>#REF!</v>
      </c>
      <c r="AD397" s="53">
        <f>_xlfn.XLOOKUP(FME_Ranking2[[#This Row],[FME ID]],FME_Input[FME_ID],FME_Input[ROAD_MILES100])</f>
        <v>0.14289143681526181</v>
      </c>
      <c r="AE397" s="54" t="e">
        <f>FME_Ranking_Option2!$AD397*AD$4</f>
        <v>#REF!</v>
      </c>
      <c r="AF397" s="55">
        <f>FME_Ranking_Option2!$AD397/($AD$3)</f>
        <v>3.2275293084736604E-6</v>
      </c>
      <c r="AG397" s="55" t="e">
        <f>FME_Ranking_Option2!$AF397*AD$4</f>
        <v>#REF!</v>
      </c>
      <c r="AH397" s="53">
        <f>_xlfn.XLOOKUP(FME_Ranking2[[#This Row],[FME ID]],FME_Input[FME_ID],FME_Input[FARMACRE100])</f>
        <v>209.3227844238281</v>
      </c>
      <c r="AI397" s="54" t="e">
        <f>FME_Ranking_Option2!$AH397*AH$4</f>
        <v>#REF!</v>
      </c>
      <c r="AJ397" s="56">
        <f>FME_Ranking_Option2!$AH397/($AH$3)</f>
        <v>1.215452417423429E-2</v>
      </c>
      <c r="AK397" s="57" t="e">
        <f>FME_Ranking_Option2!$AJ397*AH$4</f>
        <v>#REF!</v>
      </c>
      <c r="AL397"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97" s="45" t="e">
        <f>_xlfn.RANK.EQ(AL397,$AL$7:$AL$531)+COUNTIF(AL$7:AL397,AL397)-1</f>
        <v>#REF!</v>
      </c>
      <c r="AN397" s="57"/>
      <c r="AO397" s="45" t="e">
        <f>_xlfn.RANK.EQ(AN397,$AN$7:$AN$531)+COUNTIF(AN$7:AN397,AN397)-1</f>
        <v>#N/A</v>
      </c>
      <c r="AP39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97" s="32" t="e">
        <f>FME_Ranking2[[#This Row],[Score Based on Reported Factors]]-FME_Ranking2[[#This Row],[Check]]</f>
        <v>#REF!</v>
      </c>
      <c r="AR397" s="32"/>
      <c r="AT397" s="19"/>
      <c r="AU397" s="19"/>
      <c r="AV397" s="19"/>
      <c r="AW397" s="19"/>
      <c r="AX397" s="19"/>
      <c r="AY397" s="19"/>
      <c r="AZ397" s="19"/>
      <c r="BA397" s="19"/>
      <c r="BB397" s="19"/>
      <c r="BC397" s="19"/>
    </row>
    <row r="398" spans="1:55" ht="12" customHeight="1" x14ac:dyDescent="0.25">
      <c r="A398" s="17" t="s">
        <v>107</v>
      </c>
      <c r="B398" s="17" t="str">
        <f>_xlfn.XLOOKUP(FME_Ranking2[[#This Row],[FME ID]],FME_Input[FME_ID],FME_Input[FME_NAME])</f>
        <v>Patterson Rd &amp; Barton's Creek</v>
      </c>
      <c r="C398" s="17" t="str">
        <f>_xlfn.XLOOKUP(FME_Ranking2[[#This Row],[FME ID]],FME_Input[FME_ID],FME_Input[DESCR])</f>
        <v>Wooden Bridge Upgrade, Box-culvert bridge</v>
      </c>
      <c r="D398" s="33" t="str">
        <f>_xlfn.XLOOKUP(FME_Ranking2[[#This Row],[FME ID]],FME_Input[FME_ID],FME_Input[EMER_NEED])</f>
        <v>No</v>
      </c>
      <c r="E398" s="120">
        <f>IF(FME_Ranking_Option2!$D398="Yes",100,0)</f>
        <v>0</v>
      </c>
      <c r="F398" s="34" t="str">
        <f>_xlfn.XLOOKUP(FME_Ranking2[[#This Row],[FME ID]],FME_Input[FME_ID],FME_Input[FUND])</f>
        <v>No</v>
      </c>
      <c r="G398" s="35">
        <f>IF(FME_Ranking_Option2!$F398="Yes",1,0)</f>
        <v>0</v>
      </c>
      <c r="H398" s="33">
        <f>_xlfn.XLOOKUP(FME_Ranking2[[#This Row],[FME ID]],FME_Input[FME_ID],FME_Input[STRUCT_100])</f>
        <v>1</v>
      </c>
      <c r="I398" s="64" t="e">
        <f>FME_Ranking2[[#This Row],[Raw Data3]]*H$4</f>
        <v>#REF!</v>
      </c>
      <c r="J398" s="63">
        <f>((FME_Ranking_Option2!$H398)/($H$3))*100</f>
        <v>1.1112728630500662E-4</v>
      </c>
      <c r="K398" s="36" t="e">
        <f>FME_Ranking2[[#This Row],[Norm Data3]]*H$4</f>
        <v>#REF!</v>
      </c>
      <c r="L398" s="37">
        <f>_xlfn.XLOOKUP(FME_Ranking2[[#This Row],[FME ID]],FME_Input[FME_ID],FME_Input[RES_STRUCT100])</f>
        <v>1</v>
      </c>
      <c r="M398" s="38" t="e">
        <f>FME_Ranking2[[#This Row],[Raw Data4]]*L$4</f>
        <v>#REF!</v>
      </c>
      <c r="N398" s="28">
        <f>((FME_Ranking_Option2!$L398)/($L$3))*100</f>
        <v>1.4950297735179396E-4</v>
      </c>
      <c r="O398" s="39" t="e">
        <f>FME_Ranking2[[#This Row],[Norm Data4]]*L$4</f>
        <v>#REF!</v>
      </c>
      <c r="P398" s="34">
        <f>_xlfn.XLOOKUP(FME_Ranking2[[#This Row],[FME ID]],FME_Input[FME_ID],FME_Input[POP100])</f>
        <v>3</v>
      </c>
      <c r="Q398" s="35" t="e">
        <f>FME_Ranking_Option2!$P398*P$4</f>
        <v>#REF!</v>
      </c>
      <c r="R398" s="35">
        <f>FME_Ranking_Option2!$P398/($P$3)</f>
        <v>1.1010637009393542E-6</v>
      </c>
      <c r="S398" s="35" t="e">
        <f>FME_Ranking_Option2!$R398*P$4</f>
        <v>#REF!</v>
      </c>
      <c r="T398" s="37">
        <f>_xlfn.XLOOKUP(FME_Ranking2[[#This Row],[FME ID]],FME_Input[FME_ID],FME_Input[CRITFAC100])</f>
        <v>0</v>
      </c>
      <c r="U398" s="35" t="e">
        <f>FME_Ranking_Option2!$T398*T$4</f>
        <v>#REF!</v>
      </c>
      <c r="V398" s="35">
        <f>FME_Ranking_Option2!$T398/($T$3)</f>
        <v>0</v>
      </c>
      <c r="W398" s="35" t="e">
        <f>FME_Ranking_Option2!$V398*T$4</f>
        <v>#REF!</v>
      </c>
      <c r="X398" s="37">
        <f>_xlfn.XLOOKUP(FME_Ranking2[[#This Row],[FME ID]],FME_Input[FME_ID],FME_Input[LWC])</f>
        <v>0</v>
      </c>
      <c r="Y398" s="35" t="e">
        <f>FME_Ranking_Option2!$X398*X$4</f>
        <v>#REF!</v>
      </c>
      <c r="Z398" s="35">
        <f>FME_Ranking_Option2!$X398/($X$3)</f>
        <v>0</v>
      </c>
      <c r="AA398" s="35" t="e">
        <f>FME_Ranking_Option2!$Z398*X$4</f>
        <v>#REF!</v>
      </c>
      <c r="AB398" s="37">
        <f>_xlfn.XLOOKUP(FME_Ranking2[[#This Row],[FME ID]],FME_Input[FME_ID],FME_Input[ROADCLS])</f>
        <v>0</v>
      </c>
      <c r="AC398" s="35" t="e">
        <f>FME_Ranking_Option2!$AB398*AB$4</f>
        <v>#REF!</v>
      </c>
      <c r="AD398" s="40">
        <f>_xlfn.XLOOKUP(FME_Ranking2[[#This Row],[FME ID]],FME_Input[FME_ID],FME_Input[ROAD_MILES100])</f>
        <v>0.1119736656546593</v>
      </c>
      <c r="AE398" s="41" t="e">
        <f>FME_Ranking_Option2!$AD398*AD$4</f>
        <v>#REF!</v>
      </c>
      <c r="AF398" s="42">
        <f>FME_Ranking_Option2!$AD398/($AD$3)</f>
        <v>2.5291808643850344E-6</v>
      </c>
      <c r="AG398" s="42" t="e">
        <f>FME_Ranking_Option2!$AF398*AD$4</f>
        <v>#REF!</v>
      </c>
      <c r="AH398" s="40">
        <f>_xlfn.XLOOKUP(FME_Ranking2[[#This Row],[FME ID]],FME_Input[FME_ID],FME_Input[FARMACRE100])</f>
        <v>479.77142333984381</v>
      </c>
      <c r="AI398" s="43" t="e">
        <f>FME_Ranking_Option2!$AH398*AH$4</f>
        <v>#REF!</v>
      </c>
      <c r="AJ398" s="41">
        <f>FME_Ranking_Option2!$AH398/($AH$3)</f>
        <v>2.7858378528367755E-2</v>
      </c>
      <c r="AK398" s="44" t="e">
        <f>FME_Ranking_Option2!$AJ398*AH$4</f>
        <v>#REF!</v>
      </c>
      <c r="AL398"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98" s="58" t="e">
        <f>_xlfn.RANK.EQ(AL398,$AL$7:$AL$531)+COUNTIF(AL$7:AL398,AL398)-1</f>
        <v>#REF!</v>
      </c>
      <c r="AN398" s="44"/>
      <c r="AO398" s="58" t="e">
        <f>_xlfn.RANK.EQ(AN398,$AN$7:$AN$531)+COUNTIF(AN$7:AN398,AN398)-1</f>
        <v>#N/A</v>
      </c>
      <c r="AP39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98" s="32" t="e">
        <f>FME_Ranking2[[#This Row],[Score Based on Reported Factors]]-FME_Ranking2[[#This Row],[Check]]</f>
        <v>#REF!</v>
      </c>
      <c r="AR398" s="32"/>
    </row>
    <row r="399" spans="1:55" ht="12" customHeight="1" x14ac:dyDescent="0.25">
      <c r="A399" s="16" t="s">
        <v>111</v>
      </c>
      <c r="B399" s="16" t="str">
        <f>_xlfn.XLOOKUP(FME_Ranking2[[#This Row],[FME ID]],FME_Input[FME_ID],FME_Input[FME_NAME])</f>
        <v>Upper Elgin River Rd &amp; Cotton Creek</v>
      </c>
      <c r="C399" s="16" t="str">
        <f>_xlfn.XLOOKUP(FME_Ranking2[[#This Row],[FME ID]],FME_Input[FME_ID],FME_Input[DESCR])</f>
        <v>LWC to Culvert Cast-in-place multi-box (2) culvert-bridge</v>
      </c>
      <c r="D399" s="46" t="str">
        <f>_xlfn.XLOOKUP(FME_Ranking2[[#This Row],[FME ID]],FME_Input[FME_ID],FME_Input[EMER_NEED])</f>
        <v>No</v>
      </c>
      <c r="E399" s="121">
        <f>IF(FME_Ranking_Option2!$D399="Yes",100,0)</f>
        <v>0</v>
      </c>
      <c r="F399" s="47" t="str">
        <f>_xlfn.XLOOKUP(FME_Ranking2[[#This Row],[FME ID]],FME_Input[FME_ID],FME_Input[FUND])</f>
        <v>No</v>
      </c>
      <c r="G399" s="48">
        <f>IF(FME_Ranking_Option2!$F399="Yes",1,0)</f>
        <v>0</v>
      </c>
      <c r="H399" s="46">
        <f>_xlfn.XLOOKUP(FME_Ranking2[[#This Row],[FME ID]],FME_Input[FME_ID],FME_Input[STRUCT_100])</f>
        <v>0</v>
      </c>
      <c r="I399" s="65" t="e">
        <f>FME_Ranking2[[#This Row],[Raw Data3]]*H$4</f>
        <v>#REF!</v>
      </c>
      <c r="J399" s="62">
        <f>((FME_Ranking_Option2!$H399)/($H$3))*100</f>
        <v>0</v>
      </c>
      <c r="K399" s="49" t="e">
        <f>FME_Ranking2[[#This Row],[Norm Data3]]*H$4</f>
        <v>#REF!</v>
      </c>
      <c r="L399" s="50">
        <f>_xlfn.XLOOKUP(FME_Ranking2[[#This Row],[FME ID]],FME_Input[FME_ID],FME_Input[RES_STRUCT100])</f>
        <v>0</v>
      </c>
      <c r="M399" s="51" t="e">
        <f>FME_Ranking2[[#This Row],[Raw Data4]]*L$4</f>
        <v>#REF!</v>
      </c>
      <c r="N399" s="29">
        <f>((FME_Ranking_Option2!$L399)/($L$3))*100</f>
        <v>0</v>
      </c>
      <c r="O399" s="52" t="e">
        <f>FME_Ranking2[[#This Row],[Norm Data4]]*L$4</f>
        <v>#REF!</v>
      </c>
      <c r="P399" s="47">
        <f>_xlfn.XLOOKUP(FME_Ranking2[[#This Row],[FME ID]],FME_Input[FME_ID],FME_Input[POP100])</f>
        <v>0</v>
      </c>
      <c r="Q399" s="48" t="e">
        <f>FME_Ranking_Option2!$P399*P$4</f>
        <v>#REF!</v>
      </c>
      <c r="R399" s="48">
        <f>FME_Ranking_Option2!$P399/($P$3)</f>
        <v>0</v>
      </c>
      <c r="S399" s="48" t="e">
        <f>FME_Ranking_Option2!$R399*P$4</f>
        <v>#REF!</v>
      </c>
      <c r="T399" s="50">
        <f>_xlfn.XLOOKUP(FME_Ranking2[[#This Row],[FME ID]],FME_Input[FME_ID],FME_Input[CRITFAC100])</f>
        <v>0</v>
      </c>
      <c r="U399" s="48" t="e">
        <f>FME_Ranking_Option2!$T399*T$4</f>
        <v>#REF!</v>
      </c>
      <c r="V399" s="48">
        <f>FME_Ranking_Option2!$T399/($T$3)</f>
        <v>0</v>
      </c>
      <c r="W399" s="48" t="e">
        <f>FME_Ranking_Option2!$V399*T$4</f>
        <v>#REF!</v>
      </c>
      <c r="X399" s="50">
        <f>_xlfn.XLOOKUP(FME_Ranking2[[#This Row],[FME ID]],FME_Input[FME_ID],FME_Input[LWC])</f>
        <v>0</v>
      </c>
      <c r="Y399" s="48" t="e">
        <f>FME_Ranking_Option2!$X399*X$4</f>
        <v>#REF!</v>
      </c>
      <c r="Z399" s="48">
        <f>FME_Ranking_Option2!$X399/($X$3)</f>
        <v>0</v>
      </c>
      <c r="AA399" s="48" t="e">
        <f>FME_Ranking_Option2!$Z399*X$4</f>
        <v>#REF!</v>
      </c>
      <c r="AB399" s="50">
        <f>_xlfn.XLOOKUP(FME_Ranking2[[#This Row],[FME ID]],FME_Input[FME_ID],FME_Input[ROADCLS])</f>
        <v>0</v>
      </c>
      <c r="AC399" s="48" t="e">
        <f>FME_Ranking_Option2!$AB399*AB$4</f>
        <v>#REF!</v>
      </c>
      <c r="AD399" s="53">
        <f>_xlfn.XLOOKUP(FME_Ranking2[[#This Row],[FME ID]],FME_Input[FME_ID],FME_Input[ROAD_MILES100])</f>
        <v>5.8850400149822242E-2</v>
      </c>
      <c r="AE399" s="54" t="e">
        <f>FME_Ranking_Option2!$AD399*AD$4</f>
        <v>#REF!</v>
      </c>
      <c r="AF399" s="55">
        <f>FME_Ranking_Option2!$AD399/($AD$3)</f>
        <v>1.3292706374316959E-6</v>
      </c>
      <c r="AG399" s="55" t="e">
        <f>FME_Ranking_Option2!$AF399*AD$4</f>
        <v>#REF!</v>
      </c>
      <c r="AH399" s="53">
        <f>_xlfn.XLOOKUP(FME_Ranking2[[#This Row],[FME ID]],FME_Input[FME_ID],FME_Input[FARMACRE100])</f>
        <v>32.028533935546882</v>
      </c>
      <c r="AI399" s="54" t="e">
        <f>FME_Ranking_Option2!$AH399*AH$4</f>
        <v>#REF!</v>
      </c>
      <c r="AJ399" s="56">
        <f>FME_Ranking_Option2!$AH399/($AH$3)</f>
        <v>1.8597669195755892E-3</v>
      </c>
      <c r="AK399" s="57" t="e">
        <f>FME_Ranking_Option2!$AJ399*AH$4</f>
        <v>#REF!</v>
      </c>
      <c r="AL399"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399" s="45" t="e">
        <f>_xlfn.RANK.EQ(AL399,$AL$7:$AL$531)+COUNTIF(AL$7:AL399,AL399)-1</f>
        <v>#REF!</v>
      </c>
      <c r="AN399" s="57"/>
      <c r="AO399" s="45" t="e">
        <f>_xlfn.RANK.EQ(AN399,$AN$7:$AN$531)+COUNTIF(AN$7:AN399,AN399)-1</f>
        <v>#N/A</v>
      </c>
      <c r="AP39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399" s="32" t="e">
        <f>FME_Ranking2[[#This Row],[Score Based on Reported Factors]]-FME_Ranking2[[#This Row],[Check]]</f>
        <v>#REF!</v>
      </c>
      <c r="AR399" s="32"/>
      <c r="AT399" s="19"/>
      <c r="AU399" s="19"/>
      <c r="AV399" s="19"/>
      <c r="AW399" s="19"/>
      <c r="AX399" s="19"/>
      <c r="AY399" s="19"/>
      <c r="AZ399" s="19"/>
      <c r="BA399" s="19"/>
      <c r="BB399" s="19"/>
      <c r="BC399" s="19"/>
    </row>
    <row r="400" spans="1:55" ht="12" customHeight="1" x14ac:dyDescent="0.25">
      <c r="A400" s="17" t="s">
        <v>114</v>
      </c>
      <c r="B400" s="17" t="str">
        <f>_xlfn.XLOOKUP(FME_Ranking2[[#This Row],[FME ID]],FME_Input[FME_ID],FME_Input[FME_NAME])</f>
        <v>Old Sayers Rd &amp; Big Sandy Creek</v>
      </c>
      <c r="C400" s="17" t="str">
        <f>_xlfn.XLOOKUP(FME_Ranking2[[#This Row],[FME ID]],FME_Input[FME_ID],FME_Input[DESCR])</f>
        <v>LWC to Culvert Cast-in-place multi-box (2) culvert-bridge</v>
      </c>
      <c r="D400" s="33" t="str">
        <f>_xlfn.XLOOKUP(FME_Ranking2[[#This Row],[FME ID]],FME_Input[FME_ID],FME_Input[EMER_NEED])</f>
        <v>No</v>
      </c>
      <c r="E400" s="120">
        <f>IF(FME_Ranking_Option2!$D400="Yes",100,0)</f>
        <v>0</v>
      </c>
      <c r="F400" s="34" t="str">
        <f>_xlfn.XLOOKUP(FME_Ranking2[[#This Row],[FME ID]],FME_Input[FME_ID],FME_Input[FUND])</f>
        <v>No</v>
      </c>
      <c r="G400" s="35">
        <f>IF(FME_Ranking_Option2!$F400="Yes",1,0)</f>
        <v>0</v>
      </c>
      <c r="H400" s="33">
        <f>_xlfn.XLOOKUP(FME_Ranking2[[#This Row],[FME ID]],FME_Input[FME_ID],FME_Input[STRUCT_100])</f>
        <v>90</v>
      </c>
      <c r="I400" s="64" t="e">
        <f>FME_Ranking2[[#This Row],[Raw Data3]]*H$4</f>
        <v>#REF!</v>
      </c>
      <c r="J400" s="63">
        <f>((FME_Ranking_Option2!$H400)/($H$3))*100</f>
        <v>1.0001455767450596E-2</v>
      </c>
      <c r="K400" s="36" t="e">
        <f>FME_Ranking2[[#This Row],[Norm Data3]]*H$4</f>
        <v>#REF!</v>
      </c>
      <c r="L400" s="37">
        <f>_xlfn.XLOOKUP(FME_Ranking2[[#This Row],[FME ID]],FME_Input[FME_ID],FME_Input[RES_STRUCT100])</f>
        <v>72</v>
      </c>
      <c r="M400" s="38" t="e">
        <f>FME_Ranking2[[#This Row],[Raw Data4]]*L$4</f>
        <v>#REF!</v>
      </c>
      <c r="N400" s="28">
        <f>((FME_Ranking_Option2!$L400)/($L$3))*100</f>
        <v>1.0764214369329166E-2</v>
      </c>
      <c r="O400" s="39" t="e">
        <f>FME_Ranking2[[#This Row],[Norm Data4]]*L$4</f>
        <v>#REF!</v>
      </c>
      <c r="P400" s="34">
        <f>_xlfn.XLOOKUP(FME_Ranking2[[#This Row],[FME ID]],FME_Input[FME_ID],FME_Input[POP100])</f>
        <v>191</v>
      </c>
      <c r="Q400" s="35" t="e">
        <f>FME_Ranking_Option2!$P400*P$4</f>
        <v>#REF!</v>
      </c>
      <c r="R400" s="35">
        <f>FME_Ranking_Option2!$P400/($P$3)</f>
        <v>7.0101055626472218E-5</v>
      </c>
      <c r="S400" s="35" t="e">
        <f>FME_Ranking_Option2!$R400*P$4</f>
        <v>#REF!</v>
      </c>
      <c r="T400" s="37">
        <f>_xlfn.XLOOKUP(FME_Ranking2[[#This Row],[FME ID]],FME_Input[FME_ID],FME_Input[CRITFAC100])</f>
        <v>0</v>
      </c>
      <c r="U400" s="35" t="e">
        <f>FME_Ranking_Option2!$T400*T$4</f>
        <v>#REF!</v>
      </c>
      <c r="V400" s="35">
        <f>FME_Ranking_Option2!$T400/($T$3)</f>
        <v>0</v>
      </c>
      <c r="W400" s="35" t="e">
        <f>FME_Ranking_Option2!$V400*T$4</f>
        <v>#REF!</v>
      </c>
      <c r="X400" s="37">
        <f>_xlfn.XLOOKUP(FME_Ranking2[[#This Row],[FME ID]],FME_Input[FME_ID],FME_Input[LWC])</f>
        <v>1</v>
      </c>
      <c r="Y400" s="35" t="e">
        <f>FME_Ranking_Option2!$X400*X$4</f>
        <v>#REF!</v>
      </c>
      <c r="Z400" s="35">
        <f>FME_Ranking_Option2!$X400/($X$3)</f>
        <v>9.1224229155263632E-5</v>
      </c>
      <c r="AA400" s="35" t="e">
        <f>FME_Ranking_Option2!$Z400*X$4</f>
        <v>#REF!</v>
      </c>
      <c r="AB400" s="37">
        <f>_xlfn.XLOOKUP(FME_Ranking2[[#This Row],[FME ID]],FME_Input[FME_ID],FME_Input[ROADCLS])</f>
        <v>0</v>
      </c>
      <c r="AC400" s="35" t="e">
        <f>FME_Ranking_Option2!$AB400*AB$4</f>
        <v>#REF!</v>
      </c>
      <c r="AD400" s="40">
        <f>_xlfn.XLOOKUP(FME_Ranking2[[#This Row],[FME ID]],FME_Input[FME_ID],FME_Input[ROAD_MILES100])</f>
        <v>2.3206315040588379</v>
      </c>
      <c r="AE400" s="41" t="e">
        <f>FME_Ranking_Option2!$AD400*AD$4</f>
        <v>#REF!</v>
      </c>
      <c r="AF400" s="42">
        <f>FME_Ranking_Option2!$AD400/($AD$3)</f>
        <v>5.24167603073415E-5</v>
      </c>
      <c r="AG400" s="42" t="e">
        <f>FME_Ranking_Option2!$AF400*AD$4</f>
        <v>#REF!</v>
      </c>
      <c r="AH400" s="40">
        <f>_xlfn.XLOOKUP(FME_Ranking2[[#This Row],[FME ID]],FME_Input[FME_ID],FME_Input[FARMACRE100])</f>
        <v>894.32330322265625</v>
      </c>
      <c r="AI400" s="43" t="e">
        <f>FME_Ranking_Option2!$AH400*AH$4</f>
        <v>#REF!</v>
      </c>
      <c r="AJ400" s="41">
        <f>FME_Ranking_Option2!$AH400/($AH$3)</f>
        <v>5.192972298033053E-2</v>
      </c>
      <c r="AK400" s="44" t="e">
        <f>FME_Ranking_Option2!$AJ400*AH$4</f>
        <v>#REF!</v>
      </c>
      <c r="AL400"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00" s="58" t="e">
        <f>_xlfn.RANK.EQ(AL400,$AL$7:$AL$531)+COUNTIF(AL$7:AL400,AL400)-1</f>
        <v>#REF!</v>
      </c>
      <c r="AN400" s="44"/>
      <c r="AO400" s="58" t="e">
        <f>_xlfn.RANK.EQ(AN400,$AN$7:$AN$531)+COUNTIF(AN$7:AN400,AN400)-1</f>
        <v>#N/A</v>
      </c>
      <c r="AP40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00" s="32" t="e">
        <f>FME_Ranking2[[#This Row],[Score Based on Reported Factors]]-FME_Ranking2[[#This Row],[Check]]</f>
        <v>#REF!</v>
      </c>
      <c r="AR400" s="32"/>
    </row>
    <row r="401" spans="1:55" ht="12" customHeight="1" x14ac:dyDescent="0.25">
      <c r="A401" s="16" t="s">
        <v>116</v>
      </c>
      <c r="B401" s="16" t="str">
        <f>_xlfn.XLOOKUP(FME_Ranking2[[#This Row],[FME ID]],FME_Input[FME_ID],FME_Input[FME_NAME])</f>
        <v>Caldwell Rd &amp; Wet Weather Creek</v>
      </c>
      <c r="C401" s="16" t="str">
        <f>_xlfn.XLOOKUP(FME_Ranking2[[#This Row],[FME ID]],FME_Input[FME_ID],FME_Input[DESCR])</f>
        <v>LWC to Culvert Cast-in-place multi-box (2) culvert-bridge</v>
      </c>
      <c r="D401" s="46" t="str">
        <f>_xlfn.XLOOKUP(FME_Ranking2[[#This Row],[FME ID]],FME_Input[FME_ID],FME_Input[EMER_NEED])</f>
        <v>No</v>
      </c>
      <c r="E401" s="121">
        <f>IF(FME_Ranking_Option2!$D401="Yes",100,0)</f>
        <v>0</v>
      </c>
      <c r="F401" s="47" t="str">
        <f>_xlfn.XLOOKUP(FME_Ranking2[[#This Row],[FME ID]],FME_Input[FME_ID],FME_Input[FUND])</f>
        <v>No</v>
      </c>
      <c r="G401" s="48">
        <f>IF(FME_Ranking_Option2!$F401="Yes",1,0)</f>
        <v>0</v>
      </c>
      <c r="H401" s="46">
        <f>_xlfn.XLOOKUP(FME_Ranking2[[#This Row],[FME ID]],FME_Input[FME_ID],FME_Input[STRUCT_100])</f>
        <v>0</v>
      </c>
      <c r="I401" s="65" t="e">
        <f>FME_Ranking2[[#This Row],[Raw Data3]]*H$4</f>
        <v>#REF!</v>
      </c>
      <c r="J401" s="62">
        <f>((FME_Ranking_Option2!$H401)/($H$3))*100</f>
        <v>0</v>
      </c>
      <c r="K401" s="49" t="e">
        <f>FME_Ranking2[[#This Row],[Norm Data3]]*H$4</f>
        <v>#REF!</v>
      </c>
      <c r="L401" s="50">
        <f>_xlfn.XLOOKUP(FME_Ranking2[[#This Row],[FME ID]],FME_Input[FME_ID],FME_Input[RES_STRUCT100])</f>
        <v>0</v>
      </c>
      <c r="M401" s="51" t="e">
        <f>FME_Ranking2[[#This Row],[Raw Data4]]*L$4</f>
        <v>#REF!</v>
      </c>
      <c r="N401" s="29">
        <f>((FME_Ranking_Option2!$L401)/($L$3))*100</f>
        <v>0</v>
      </c>
      <c r="O401" s="52" t="e">
        <f>FME_Ranking2[[#This Row],[Norm Data4]]*L$4</f>
        <v>#REF!</v>
      </c>
      <c r="P401" s="47">
        <f>_xlfn.XLOOKUP(FME_Ranking2[[#This Row],[FME ID]],FME_Input[FME_ID],FME_Input[POP100])</f>
        <v>0</v>
      </c>
      <c r="Q401" s="48" t="e">
        <f>FME_Ranking_Option2!$P401*P$4</f>
        <v>#REF!</v>
      </c>
      <c r="R401" s="48">
        <f>FME_Ranking_Option2!$P401/($P$3)</f>
        <v>0</v>
      </c>
      <c r="S401" s="48" t="e">
        <f>FME_Ranking_Option2!$R401*P$4</f>
        <v>#REF!</v>
      </c>
      <c r="T401" s="50">
        <f>_xlfn.XLOOKUP(FME_Ranking2[[#This Row],[FME ID]],FME_Input[FME_ID],FME_Input[CRITFAC100])</f>
        <v>0</v>
      </c>
      <c r="U401" s="48" t="e">
        <f>FME_Ranking_Option2!$T401*T$4</f>
        <v>#REF!</v>
      </c>
      <c r="V401" s="48">
        <f>FME_Ranking_Option2!$T401/($T$3)</f>
        <v>0</v>
      </c>
      <c r="W401" s="48" t="e">
        <f>FME_Ranking_Option2!$V401*T$4</f>
        <v>#REF!</v>
      </c>
      <c r="X401" s="50">
        <f>_xlfn.XLOOKUP(FME_Ranking2[[#This Row],[FME ID]],FME_Input[FME_ID],FME_Input[LWC])</f>
        <v>0</v>
      </c>
      <c r="Y401" s="48" t="e">
        <f>FME_Ranking_Option2!$X401*X$4</f>
        <v>#REF!</v>
      </c>
      <c r="Z401" s="48">
        <f>FME_Ranking_Option2!$X401/($X$3)</f>
        <v>0</v>
      </c>
      <c r="AA401" s="48" t="e">
        <f>FME_Ranking_Option2!$Z401*X$4</f>
        <v>#REF!</v>
      </c>
      <c r="AB401" s="50">
        <f>_xlfn.XLOOKUP(FME_Ranking2[[#This Row],[FME ID]],FME_Input[FME_ID],FME_Input[ROADCLS])</f>
        <v>0</v>
      </c>
      <c r="AC401" s="48" t="e">
        <f>FME_Ranking_Option2!$AB401*AB$4</f>
        <v>#REF!</v>
      </c>
      <c r="AD401" s="53">
        <f>_xlfn.XLOOKUP(FME_Ranking2[[#This Row],[FME ID]],FME_Input[FME_ID],FME_Input[ROAD_MILES100])</f>
        <v>5.6245230138301849E-2</v>
      </c>
      <c r="AE401" s="54" t="e">
        <f>FME_Ranking_Option2!$AD401*AD$4</f>
        <v>#REF!</v>
      </c>
      <c r="AF401" s="55">
        <f>FME_Ranking_Option2!$AD401/($AD$3)</f>
        <v>1.2704269253581068E-6</v>
      </c>
      <c r="AG401" s="55" t="e">
        <f>FME_Ranking_Option2!$AF401*AD$4</f>
        <v>#REF!</v>
      </c>
      <c r="AH401" s="53">
        <f>_xlfn.XLOOKUP(FME_Ranking2[[#This Row],[FME ID]],FME_Input[FME_ID],FME_Input[FARMACRE100])</f>
        <v>6.5443086624145508</v>
      </c>
      <c r="AI401" s="54" t="e">
        <f>FME_Ranking_Option2!$AH401*AH$4</f>
        <v>#REF!</v>
      </c>
      <c r="AJ401" s="56">
        <f>FME_Ranking_Option2!$AH401/($AH$3)</f>
        <v>3.8000143204627569E-4</v>
      </c>
      <c r="AK401" s="57" t="e">
        <f>FME_Ranking_Option2!$AJ401*AH$4</f>
        <v>#REF!</v>
      </c>
      <c r="AL401"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01" s="45" t="e">
        <f>_xlfn.RANK.EQ(AL401,$AL$7:$AL$531)+COUNTIF(AL$7:AL401,AL401)-1</f>
        <v>#REF!</v>
      </c>
      <c r="AN401" s="57"/>
      <c r="AO401" s="45" t="e">
        <f>_xlfn.RANK.EQ(AN401,$AN$7:$AN$531)+COUNTIF(AN$7:AN401,AN401)-1</f>
        <v>#N/A</v>
      </c>
      <c r="AP40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01" s="32" t="e">
        <f>FME_Ranking2[[#This Row],[Score Based on Reported Factors]]-FME_Ranking2[[#This Row],[Check]]</f>
        <v>#REF!</v>
      </c>
      <c r="AR401" s="32"/>
      <c r="AT401" s="19"/>
      <c r="AU401" s="19"/>
      <c r="AV401" s="19"/>
      <c r="AW401" s="19"/>
      <c r="AX401" s="19"/>
      <c r="AY401" s="19"/>
      <c r="AZ401" s="19"/>
      <c r="BA401" s="19"/>
      <c r="BB401" s="19"/>
      <c r="BC401" s="19"/>
    </row>
    <row r="402" spans="1:55" ht="12" customHeight="1" x14ac:dyDescent="0.25">
      <c r="A402" s="17" t="s">
        <v>118</v>
      </c>
      <c r="B402" s="17" t="e">
        <f>_xlfn.XLOOKUP(FME_Ranking2[[#This Row],[FME ID]],FME_Input[FME_ID],FME_Input[FME_NAME])</f>
        <v>#N/A</v>
      </c>
      <c r="C402" s="17" t="e">
        <f>_xlfn.XLOOKUP(FME_Ranking2[[#This Row],[FME ID]],FME_Input[FME_ID],FME_Input[DESCR])</f>
        <v>#N/A</v>
      </c>
      <c r="D402" s="33" t="e">
        <f>_xlfn.XLOOKUP(FME_Ranking2[[#This Row],[FME ID]],FME_Input[FME_ID],FME_Input[EMER_NEED])</f>
        <v>#N/A</v>
      </c>
      <c r="E402" s="120" t="e">
        <f>IF(FME_Ranking_Option2!$D402="Yes",100,0)</f>
        <v>#N/A</v>
      </c>
      <c r="F402" s="34" t="e">
        <f>_xlfn.XLOOKUP(FME_Ranking2[[#This Row],[FME ID]],FME_Input[FME_ID],FME_Input[FUND])</f>
        <v>#N/A</v>
      </c>
      <c r="G402" s="35" t="e">
        <f>IF(FME_Ranking_Option2!$F402="Yes",1,0)</f>
        <v>#N/A</v>
      </c>
      <c r="H402" s="33" t="e">
        <f>_xlfn.XLOOKUP(FME_Ranking2[[#This Row],[FME ID]],FME_Input[FME_ID],FME_Input[STRUCT_100])</f>
        <v>#N/A</v>
      </c>
      <c r="I402" s="64" t="e">
        <f>FME_Ranking2[[#This Row],[Raw Data3]]*H$4</f>
        <v>#N/A</v>
      </c>
      <c r="J402" s="63" t="e">
        <f>((FME_Ranking_Option2!$H402)/($H$3))*100</f>
        <v>#N/A</v>
      </c>
      <c r="K402" s="36" t="e">
        <f>FME_Ranking2[[#This Row],[Norm Data3]]*H$4</f>
        <v>#N/A</v>
      </c>
      <c r="L402" s="37" t="e">
        <f>_xlfn.XLOOKUP(FME_Ranking2[[#This Row],[FME ID]],FME_Input[FME_ID],FME_Input[RES_STRUCT100])</f>
        <v>#N/A</v>
      </c>
      <c r="M402" s="38" t="e">
        <f>FME_Ranking2[[#This Row],[Raw Data4]]*L$4</f>
        <v>#N/A</v>
      </c>
      <c r="N402" s="28" t="e">
        <f>((FME_Ranking_Option2!$L402)/($L$3))*100</f>
        <v>#N/A</v>
      </c>
      <c r="O402" s="39" t="e">
        <f>FME_Ranking2[[#This Row],[Norm Data4]]*L$4</f>
        <v>#N/A</v>
      </c>
      <c r="P402" s="34" t="e">
        <f>_xlfn.XLOOKUP(FME_Ranking2[[#This Row],[FME ID]],FME_Input[FME_ID],FME_Input[POP100])</f>
        <v>#N/A</v>
      </c>
      <c r="Q402" s="35" t="e">
        <f>FME_Ranking_Option2!$P402*P$4</f>
        <v>#N/A</v>
      </c>
      <c r="R402" s="35" t="e">
        <f>FME_Ranking_Option2!$P402/($P$3)</f>
        <v>#N/A</v>
      </c>
      <c r="S402" s="35" t="e">
        <f>FME_Ranking_Option2!$R402*P$4</f>
        <v>#N/A</v>
      </c>
      <c r="T402" s="37" t="e">
        <f>_xlfn.XLOOKUP(FME_Ranking2[[#This Row],[FME ID]],FME_Input[FME_ID],FME_Input[CRITFAC100])</f>
        <v>#N/A</v>
      </c>
      <c r="U402" s="35" t="e">
        <f>FME_Ranking_Option2!$T402*T$4</f>
        <v>#N/A</v>
      </c>
      <c r="V402" s="35" t="e">
        <f>FME_Ranking_Option2!$T402/($T$3)</f>
        <v>#N/A</v>
      </c>
      <c r="W402" s="35" t="e">
        <f>FME_Ranking_Option2!$V402*T$4</f>
        <v>#N/A</v>
      </c>
      <c r="X402" s="37" t="e">
        <f>_xlfn.XLOOKUP(FME_Ranking2[[#This Row],[FME ID]],FME_Input[FME_ID],FME_Input[LWC])</f>
        <v>#N/A</v>
      </c>
      <c r="Y402" s="35" t="e">
        <f>FME_Ranking_Option2!$X402*X$4</f>
        <v>#N/A</v>
      </c>
      <c r="Z402" s="35" t="e">
        <f>FME_Ranking_Option2!$X402/($X$3)</f>
        <v>#N/A</v>
      </c>
      <c r="AA402" s="35" t="e">
        <f>FME_Ranking_Option2!$Z402*X$4</f>
        <v>#N/A</v>
      </c>
      <c r="AB402" s="37" t="e">
        <f>_xlfn.XLOOKUP(FME_Ranking2[[#This Row],[FME ID]],FME_Input[FME_ID],FME_Input[ROADCLS])</f>
        <v>#N/A</v>
      </c>
      <c r="AC402" s="35" t="e">
        <f>FME_Ranking_Option2!$AB402*AB$4</f>
        <v>#N/A</v>
      </c>
      <c r="AD402" s="40" t="e">
        <f>_xlfn.XLOOKUP(FME_Ranking2[[#This Row],[FME ID]],FME_Input[FME_ID],FME_Input[ROAD_MILES100])</f>
        <v>#N/A</v>
      </c>
      <c r="AE402" s="41" t="e">
        <f>FME_Ranking_Option2!$AD402*AD$4</f>
        <v>#N/A</v>
      </c>
      <c r="AF402" s="42" t="e">
        <f>FME_Ranking_Option2!$AD402/($AD$3)</f>
        <v>#N/A</v>
      </c>
      <c r="AG402" s="42" t="e">
        <f>FME_Ranking_Option2!$AF402*AD$4</f>
        <v>#N/A</v>
      </c>
      <c r="AH402" s="40" t="e">
        <f>_xlfn.XLOOKUP(FME_Ranking2[[#This Row],[FME ID]],FME_Input[FME_ID],FME_Input[FARMACRE100])</f>
        <v>#N/A</v>
      </c>
      <c r="AI402" s="43" t="e">
        <f>FME_Ranking_Option2!$AH402*AH$4</f>
        <v>#N/A</v>
      </c>
      <c r="AJ402" s="41" t="e">
        <f>FME_Ranking_Option2!$AH402/($AH$3)</f>
        <v>#N/A</v>
      </c>
      <c r="AK402" s="44" t="e">
        <f>FME_Ranking_Option2!$AJ402*AH$4</f>
        <v>#N/A</v>
      </c>
      <c r="AL402"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#N/A</v>
      </c>
      <c r="AM402" s="58" t="e">
        <f>_xlfn.RANK.EQ(AL402,$AL$7:$AL$531)+COUNTIF(AL$7:AL402,AL402)-1</f>
        <v>#N/A</v>
      </c>
      <c r="AN402" s="44"/>
      <c r="AO402" s="58" t="e">
        <f>_xlfn.RANK.EQ(AN402,$AN$7:$AN$531)+COUNTIF(AN$7:AN402,AN402)-1</f>
        <v>#N/A</v>
      </c>
      <c r="AP40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#N/A</v>
      </c>
      <c r="AQ402" s="32" t="e">
        <f>FME_Ranking2[[#This Row],[Score Based on Reported Factors]]-FME_Ranking2[[#This Row],[Check]]</f>
        <v>#N/A</v>
      </c>
      <c r="AR402" s="32"/>
    </row>
    <row r="403" spans="1:55" ht="12" customHeight="1" x14ac:dyDescent="0.25">
      <c r="A403" s="16" t="s">
        <v>119</v>
      </c>
      <c r="B403" s="16" t="e">
        <f>_xlfn.XLOOKUP(FME_Ranking2[[#This Row],[FME ID]],FME_Input[FME_ID],FME_Input[FME_NAME])</f>
        <v>#N/A</v>
      </c>
      <c r="C403" s="16" t="e">
        <f>_xlfn.XLOOKUP(FME_Ranking2[[#This Row],[FME ID]],FME_Input[FME_ID],FME_Input[DESCR])</f>
        <v>#N/A</v>
      </c>
      <c r="D403" s="46" t="e">
        <f>_xlfn.XLOOKUP(FME_Ranking2[[#This Row],[FME ID]],FME_Input[FME_ID],FME_Input[EMER_NEED])</f>
        <v>#N/A</v>
      </c>
      <c r="E403" s="121" t="e">
        <f>IF(FME_Ranking_Option2!$D403="Yes",100,0)</f>
        <v>#N/A</v>
      </c>
      <c r="F403" s="47" t="e">
        <f>_xlfn.XLOOKUP(FME_Ranking2[[#This Row],[FME ID]],FME_Input[FME_ID],FME_Input[FUND])</f>
        <v>#N/A</v>
      </c>
      <c r="G403" s="48" t="e">
        <f>IF(FME_Ranking_Option2!$F403="Yes",1,0)</f>
        <v>#N/A</v>
      </c>
      <c r="H403" s="46" t="e">
        <f>_xlfn.XLOOKUP(FME_Ranking2[[#This Row],[FME ID]],FME_Input[FME_ID],FME_Input[STRUCT_100])</f>
        <v>#N/A</v>
      </c>
      <c r="I403" s="65" t="e">
        <f>FME_Ranking2[[#This Row],[Raw Data3]]*H$4</f>
        <v>#N/A</v>
      </c>
      <c r="J403" s="62" t="e">
        <f>((FME_Ranking_Option2!$H403)/($H$3))*100</f>
        <v>#N/A</v>
      </c>
      <c r="K403" s="49" t="e">
        <f>FME_Ranking2[[#This Row],[Norm Data3]]*H$4</f>
        <v>#N/A</v>
      </c>
      <c r="L403" s="50" t="e">
        <f>_xlfn.XLOOKUP(FME_Ranking2[[#This Row],[FME ID]],FME_Input[FME_ID],FME_Input[RES_STRUCT100])</f>
        <v>#N/A</v>
      </c>
      <c r="M403" s="51" t="e">
        <f>FME_Ranking2[[#This Row],[Raw Data4]]*L$4</f>
        <v>#N/A</v>
      </c>
      <c r="N403" s="29" t="e">
        <f>((FME_Ranking_Option2!$L403)/($L$3))*100</f>
        <v>#N/A</v>
      </c>
      <c r="O403" s="52" t="e">
        <f>FME_Ranking2[[#This Row],[Norm Data4]]*L$4</f>
        <v>#N/A</v>
      </c>
      <c r="P403" s="47" t="e">
        <f>_xlfn.XLOOKUP(FME_Ranking2[[#This Row],[FME ID]],FME_Input[FME_ID],FME_Input[POP100])</f>
        <v>#N/A</v>
      </c>
      <c r="Q403" s="48" t="e">
        <f>FME_Ranking_Option2!$P403*P$4</f>
        <v>#N/A</v>
      </c>
      <c r="R403" s="48" t="e">
        <f>FME_Ranking_Option2!$P403/($P$3)</f>
        <v>#N/A</v>
      </c>
      <c r="S403" s="48" t="e">
        <f>FME_Ranking_Option2!$R403*P$4</f>
        <v>#N/A</v>
      </c>
      <c r="T403" s="50" t="e">
        <f>_xlfn.XLOOKUP(FME_Ranking2[[#This Row],[FME ID]],FME_Input[FME_ID],FME_Input[CRITFAC100])</f>
        <v>#N/A</v>
      </c>
      <c r="U403" s="48" t="e">
        <f>FME_Ranking_Option2!$T403*T$4</f>
        <v>#N/A</v>
      </c>
      <c r="V403" s="48" t="e">
        <f>FME_Ranking_Option2!$T403/($T$3)</f>
        <v>#N/A</v>
      </c>
      <c r="W403" s="48" t="e">
        <f>FME_Ranking_Option2!$V403*T$4</f>
        <v>#N/A</v>
      </c>
      <c r="X403" s="50" t="e">
        <f>_xlfn.XLOOKUP(FME_Ranking2[[#This Row],[FME ID]],FME_Input[FME_ID],FME_Input[LWC])</f>
        <v>#N/A</v>
      </c>
      <c r="Y403" s="48" t="e">
        <f>FME_Ranking_Option2!$X403*X$4</f>
        <v>#N/A</v>
      </c>
      <c r="Z403" s="48" t="e">
        <f>FME_Ranking_Option2!$X403/($X$3)</f>
        <v>#N/A</v>
      </c>
      <c r="AA403" s="48" t="e">
        <f>FME_Ranking_Option2!$Z403*X$4</f>
        <v>#N/A</v>
      </c>
      <c r="AB403" s="50" t="e">
        <f>_xlfn.XLOOKUP(FME_Ranking2[[#This Row],[FME ID]],FME_Input[FME_ID],FME_Input[ROADCLS])</f>
        <v>#N/A</v>
      </c>
      <c r="AC403" s="48" t="e">
        <f>FME_Ranking_Option2!$AB403*AB$4</f>
        <v>#N/A</v>
      </c>
      <c r="AD403" s="53" t="e">
        <f>_xlfn.XLOOKUP(FME_Ranking2[[#This Row],[FME ID]],FME_Input[FME_ID],FME_Input[ROAD_MILES100])</f>
        <v>#N/A</v>
      </c>
      <c r="AE403" s="54" t="e">
        <f>FME_Ranking_Option2!$AD403*AD$4</f>
        <v>#N/A</v>
      </c>
      <c r="AF403" s="55" t="e">
        <f>FME_Ranking_Option2!$AD403/($AD$3)</f>
        <v>#N/A</v>
      </c>
      <c r="AG403" s="55" t="e">
        <f>FME_Ranking_Option2!$AF403*AD$4</f>
        <v>#N/A</v>
      </c>
      <c r="AH403" s="53" t="e">
        <f>_xlfn.XLOOKUP(FME_Ranking2[[#This Row],[FME ID]],FME_Input[FME_ID],FME_Input[FARMACRE100])</f>
        <v>#N/A</v>
      </c>
      <c r="AI403" s="54" t="e">
        <f>FME_Ranking_Option2!$AH403*AH$4</f>
        <v>#N/A</v>
      </c>
      <c r="AJ403" s="56" t="e">
        <f>FME_Ranking_Option2!$AH403/($AH$3)</f>
        <v>#N/A</v>
      </c>
      <c r="AK403" s="57" t="e">
        <f>FME_Ranking_Option2!$AJ403*AH$4</f>
        <v>#N/A</v>
      </c>
      <c r="AL403"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#N/A</v>
      </c>
      <c r="AM403" s="45" t="e">
        <f>_xlfn.RANK.EQ(AL403,$AL$7:$AL$531)+COUNTIF(AL$7:AL403,AL403)-1</f>
        <v>#N/A</v>
      </c>
      <c r="AN403" s="57"/>
      <c r="AO403" s="45" t="e">
        <f>_xlfn.RANK.EQ(AN403,$AN$7:$AN$531)+COUNTIF(AN$7:AN403,AN403)-1</f>
        <v>#N/A</v>
      </c>
      <c r="AP40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#N/A</v>
      </c>
      <c r="AQ403" s="32" t="e">
        <f>FME_Ranking2[[#This Row],[Score Based on Reported Factors]]-FME_Ranking2[[#This Row],[Check]]</f>
        <v>#N/A</v>
      </c>
      <c r="AR403" s="32"/>
      <c r="AT403" s="19"/>
      <c r="AU403" s="19"/>
      <c r="AV403" s="19"/>
      <c r="AW403" s="19"/>
      <c r="AX403" s="19"/>
      <c r="AY403" s="19"/>
      <c r="AZ403" s="19"/>
      <c r="BA403" s="19"/>
      <c r="BB403" s="19"/>
      <c r="BC403" s="19"/>
    </row>
    <row r="404" spans="1:55" ht="12" customHeight="1" x14ac:dyDescent="0.25">
      <c r="A404" s="17" t="s">
        <v>120</v>
      </c>
      <c r="B404" s="17" t="str">
        <f>_xlfn.XLOOKUP(FME_Ranking2[[#This Row],[FME ID]],FME_Input[FME_ID],FME_Input[FME_NAME])</f>
        <v>Smithville Recreation Center Expansion</v>
      </c>
      <c r="C404" s="17" t="str">
        <f>_xlfn.XLOOKUP(FME_Ranking2[[#This Row],[FME ID]],FME_Input[FME_ID],FME_Input[DESCR])</f>
        <v>Expand center to improve shelter-in-place capability</v>
      </c>
      <c r="D404" s="33" t="str">
        <f>_xlfn.XLOOKUP(FME_Ranking2[[#This Row],[FME ID]],FME_Input[FME_ID],FME_Input[EMER_NEED])</f>
        <v>No</v>
      </c>
      <c r="E404" s="120">
        <f>IF(FME_Ranking_Option2!$D404="Yes",100,0)</f>
        <v>0</v>
      </c>
      <c r="F404" s="34" t="str">
        <f>_xlfn.XLOOKUP(FME_Ranking2[[#This Row],[FME ID]],FME_Input[FME_ID],FME_Input[FUND])</f>
        <v>No</v>
      </c>
      <c r="G404" s="35">
        <f>IF(FME_Ranking_Option2!$F404="Yes",1,0)</f>
        <v>0</v>
      </c>
      <c r="H404" s="33">
        <f>_xlfn.XLOOKUP(FME_Ranking2[[#This Row],[FME ID]],FME_Input[FME_ID],FME_Input[STRUCT_100])</f>
        <v>0</v>
      </c>
      <c r="I404" s="64" t="e">
        <f>FME_Ranking2[[#This Row],[Raw Data3]]*H$4</f>
        <v>#REF!</v>
      </c>
      <c r="J404" s="63">
        <f>((FME_Ranking_Option2!$H404)/($H$3))*100</f>
        <v>0</v>
      </c>
      <c r="K404" s="36" t="e">
        <f>FME_Ranking2[[#This Row],[Norm Data3]]*H$4</f>
        <v>#REF!</v>
      </c>
      <c r="L404" s="37">
        <f>_xlfn.XLOOKUP(FME_Ranking2[[#This Row],[FME ID]],FME_Input[FME_ID],FME_Input[RES_STRUCT100])</f>
        <v>0</v>
      </c>
      <c r="M404" s="38" t="e">
        <f>FME_Ranking2[[#This Row],[Raw Data4]]*L$4</f>
        <v>#REF!</v>
      </c>
      <c r="N404" s="28">
        <f>((FME_Ranking_Option2!$L404)/($L$3))*100</f>
        <v>0</v>
      </c>
      <c r="O404" s="39" t="e">
        <f>FME_Ranking2[[#This Row],[Norm Data4]]*L$4</f>
        <v>#REF!</v>
      </c>
      <c r="P404" s="34">
        <f>_xlfn.XLOOKUP(FME_Ranking2[[#This Row],[FME ID]],FME_Input[FME_ID],FME_Input[POP100])</f>
        <v>0</v>
      </c>
      <c r="Q404" s="35" t="e">
        <f>FME_Ranking_Option2!$P404*P$4</f>
        <v>#REF!</v>
      </c>
      <c r="R404" s="35">
        <f>FME_Ranking_Option2!$P404/($P$3)</f>
        <v>0</v>
      </c>
      <c r="S404" s="35" t="e">
        <f>FME_Ranking_Option2!$R404*P$4</f>
        <v>#REF!</v>
      </c>
      <c r="T404" s="37">
        <f>_xlfn.XLOOKUP(FME_Ranking2[[#This Row],[FME ID]],FME_Input[FME_ID],FME_Input[CRITFAC100])</f>
        <v>0</v>
      </c>
      <c r="U404" s="35" t="e">
        <f>FME_Ranking_Option2!$T404*T$4</f>
        <v>#REF!</v>
      </c>
      <c r="V404" s="35">
        <f>FME_Ranking_Option2!$T404/($T$3)</f>
        <v>0</v>
      </c>
      <c r="W404" s="35" t="e">
        <f>FME_Ranking_Option2!$V404*T$4</f>
        <v>#REF!</v>
      </c>
      <c r="X404" s="37">
        <f>_xlfn.XLOOKUP(FME_Ranking2[[#This Row],[FME ID]],FME_Input[FME_ID],FME_Input[LWC])</f>
        <v>0</v>
      </c>
      <c r="Y404" s="35" t="e">
        <f>FME_Ranking_Option2!$X404*X$4</f>
        <v>#REF!</v>
      </c>
      <c r="Z404" s="35">
        <f>FME_Ranking_Option2!$X404/($X$3)</f>
        <v>0</v>
      </c>
      <c r="AA404" s="35" t="e">
        <f>FME_Ranking_Option2!$Z404*X$4</f>
        <v>#REF!</v>
      </c>
      <c r="AB404" s="37">
        <f>_xlfn.XLOOKUP(FME_Ranking2[[#This Row],[FME ID]],FME_Input[FME_ID],FME_Input[ROADCLS])</f>
        <v>0</v>
      </c>
      <c r="AC404" s="35" t="e">
        <f>FME_Ranking_Option2!$AB404*AB$4</f>
        <v>#REF!</v>
      </c>
      <c r="AD404" s="40">
        <f>_xlfn.XLOOKUP(FME_Ranking2[[#This Row],[FME ID]],FME_Input[FME_ID],FME_Input[ROAD_MILES100])</f>
        <v>0</v>
      </c>
      <c r="AE404" s="41" t="e">
        <f>FME_Ranking_Option2!$AD404*AD$4</f>
        <v>#REF!</v>
      </c>
      <c r="AF404" s="42">
        <f>FME_Ranking_Option2!$AD404/($AD$3)</f>
        <v>0</v>
      </c>
      <c r="AG404" s="42" t="e">
        <f>FME_Ranking_Option2!$AF404*AD$4</f>
        <v>#REF!</v>
      </c>
      <c r="AH404" s="40">
        <f>_xlfn.XLOOKUP(FME_Ranking2[[#This Row],[FME ID]],FME_Input[FME_ID],FME_Input[FARMACRE100])</f>
        <v>0</v>
      </c>
      <c r="AI404" s="43" t="e">
        <f>FME_Ranking_Option2!$AH404*AH$4</f>
        <v>#REF!</v>
      </c>
      <c r="AJ404" s="41">
        <f>FME_Ranking_Option2!$AH404/($AH$3)</f>
        <v>0</v>
      </c>
      <c r="AK404" s="44" t="e">
        <f>FME_Ranking_Option2!$AJ404*AH$4</f>
        <v>#REF!</v>
      </c>
      <c r="AL404"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04" s="58" t="e">
        <f>_xlfn.RANK.EQ(AL404,$AL$7:$AL$531)+COUNTIF(AL$7:AL404,AL404)-1</f>
        <v>#REF!</v>
      </c>
      <c r="AN404" s="44"/>
      <c r="AO404" s="58" t="e">
        <f>_xlfn.RANK.EQ(AN404,$AN$7:$AN$531)+COUNTIF(AN$7:AN404,AN404)-1</f>
        <v>#N/A</v>
      </c>
      <c r="AP40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04" s="32" t="e">
        <f>FME_Ranking2[[#This Row],[Score Based on Reported Factors]]-FME_Ranking2[[#This Row],[Check]]</f>
        <v>#REF!</v>
      </c>
      <c r="AR404" s="32"/>
    </row>
    <row r="405" spans="1:55" ht="12" customHeight="1" x14ac:dyDescent="0.25">
      <c r="A405" s="16" t="s">
        <v>124</v>
      </c>
      <c r="B405" s="16" t="str">
        <f>_xlfn.XLOOKUP(FME_Ranking2[[#This Row],[FME ID]],FME_Input[FME_ID],FME_Input[FME_NAME])</f>
        <v>FM 812  at Little Alum Creek</v>
      </c>
      <c r="C405" s="16" t="str">
        <f>_xlfn.XLOOKUP(FME_Ranking2[[#This Row],[FME ID]],FME_Input[FME_ID],FME_Input[DESCR])</f>
        <v xml:space="preserve">200-ft by 35-ft bridge, 2200 LF of channelization </v>
      </c>
      <c r="D405" s="46" t="str">
        <f>_xlfn.XLOOKUP(FME_Ranking2[[#This Row],[FME ID]],FME_Input[FME_ID],FME_Input[EMER_NEED])</f>
        <v>No</v>
      </c>
      <c r="E405" s="121">
        <f>IF(FME_Ranking_Option2!$D405="Yes",100,0)</f>
        <v>0</v>
      </c>
      <c r="F405" s="47" t="str">
        <f>_xlfn.XLOOKUP(FME_Ranking2[[#This Row],[FME ID]],FME_Input[FME_ID],FME_Input[FUND])</f>
        <v>No</v>
      </c>
      <c r="G405" s="48">
        <f>IF(FME_Ranking_Option2!$F405="Yes",1,0)</f>
        <v>0</v>
      </c>
      <c r="H405" s="46">
        <f>_xlfn.XLOOKUP(FME_Ranking2[[#This Row],[FME ID]],FME_Input[FME_ID],FME_Input[STRUCT_100])</f>
        <v>25</v>
      </c>
      <c r="I405" s="65" t="e">
        <f>FME_Ranking2[[#This Row],[Raw Data3]]*H$4</f>
        <v>#REF!</v>
      </c>
      <c r="J405" s="62">
        <f>((FME_Ranking_Option2!$H405)/($H$3))*100</f>
        <v>2.7781821576251657E-3</v>
      </c>
      <c r="K405" s="49" t="e">
        <f>FME_Ranking2[[#This Row],[Norm Data3]]*H$4</f>
        <v>#REF!</v>
      </c>
      <c r="L405" s="50">
        <f>_xlfn.XLOOKUP(FME_Ranking2[[#This Row],[FME ID]],FME_Input[FME_ID],FME_Input[RES_STRUCT100])</f>
        <v>23</v>
      </c>
      <c r="M405" s="51" t="e">
        <f>FME_Ranking2[[#This Row],[Raw Data4]]*L$4</f>
        <v>#REF!</v>
      </c>
      <c r="N405" s="29">
        <f>((FME_Ranking_Option2!$L405)/($L$3))*100</f>
        <v>3.4385684790912609E-3</v>
      </c>
      <c r="O405" s="52" t="e">
        <f>FME_Ranking2[[#This Row],[Norm Data4]]*L$4</f>
        <v>#REF!</v>
      </c>
      <c r="P405" s="47">
        <f>_xlfn.XLOOKUP(FME_Ranking2[[#This Row],[FME ID]],FME_Input[FME_ID],FME_Input[POP100])</f>
        <v>69</v>
      </c>
      <c r="Q405" s="48" t="e">
        <f>FME_Ranking_Option2!$P405*P$4</f>
        <v>#REF!</v>
      </c>
      <c r="R405" s="48">
        <f>FME_Ranking_Option2!$P405/($P$3)</f>
        <v>2.5324465121605144E-5</v>
      </c>
      <c r="S405" s="48" t="e">
        <f>FME_Ranking_Option2!$R405*P$4</f>
        <v>#REF!</v>
      </c>
      <c r="T405" s="50">
        <f>_xlfn.XLOOKUP(FME_Ranking2[[#This Row],[FME ID]],FME_Input[FME_ID],FME_Input[CRITFAC100])</f>
        <v>0</v>
      </c>
      <c r="U405" s="48" t="e">
        <f>FME_Ranking_Option2!$T405*T$4</f>
        <v>#REF!</v>
      </c>
      <c r="V405" s="48">
        <f>FME_Ranking_Option2!$T405/($T$3)</f>
        <v>0</v>
      </c>
      <c r="W405" s="48" t="e">
        <f>FME_Ranking_Option2!$V405*T$4</f>
        <v>#REF!</v>
      </c>
      <c r="X405" s="50">
        <f>_xlfn.XLOOKUP(FME_Ranking2[[#This Row],[FME ID]],FME_Input[FME_ID],FME_Input[LWC])</f>
        <v>0</v>
      </c>
      <c r="Y405" s="48" t="e">
        <f>FME_Ranking_Option2!$X405*X$4</f>
        <v>#REF!</v>
      </c>
      <c r="Z405" s="48">
        <f>FME_Ranking_Option2!$X405/($X$3)</f>
        <v>0</v>
      </c>
      <c r="AA405" s="48" t="e">
        <f>FME_Ranking_Option2!$Z405*X$4</f>
        <v>#REF!</v>
      </c>
      <c r="AB405" s="50">
        <f>_xlfn.XLOOKUP(FME_Ranking2[[#This Row],[FME ID]],FME_Input[FME_ID],FME_Input[ROADCLS])</f>
        <v>0</v>
      </c>
      <c r="AC405" s="48" t="e">
        <f>FME_Ranking_Option2!$AB405*AB$4</f>
        <v>#REF!</v>
      </c>
      <c r="AD405" s="53">
        <f>_xlfn.XLOOKUP(FME_Ranking2[[#This Row],[FME ID]],FME_Input[FME_ID],FME_Input[ROAD_MILES100])</f>
        <v>0.30714529752731318</v>
      </c>
      <c r="AE405" s="54" t="e">
        <f>FME_Ranking_Option2!$AD405*AD$4</f>
        <v>#REF!</v>
      </c>
      <c r="AF405" s="55">
        <f>FME_Ranking_Option2!$AD405/($AD$3)</f>
        <v>6.9375777291042379E-6</v>
      </c>
      <c r="AG405" s="55" t="e">
        <f>FME_Ranking_Option2!$AF405*AD$4</f>
        <v>#REF!</v>
      </c>
      <c r="AH405" s="53">
        <f>_xlfn.XLOOKUP(FME_Ranking2[[#This Row],[FME ID]],FME_Input[FME_ID],FME_Input[FARMACRE100])</f>
        <v>59.98016357421875</v>
      </c>
      <c r="AI405" s="54" t="e">
        <f>FME_Ranking_Option2!$AH405*AH$4</f>
        <v>#REF!</v>
      </c>
      <c r="AJ405" s="56">
        <f>FME_Ranking_Option2!$AH405/($AH$3)</f>
        <v>3.4828045601632092E-3</v>
      </c>
      <c r="AK405" s="57" t="e">
        <f>FME_Ranking_Option2!$AJ405*AH$4</f>
        <v>#REF!</v>
      </c>
      <c r="AL405"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05" s="45" t="e">
        <f>_xlfn.RANK.EQ(AL405,$AL$7:$AL$531)+COUNTIF(AL$7:AL405,AL405)-1</f>
        <v>#REF!</v>
      </c>
      <c r="AN405" s="57"/>
      <c r="AO405" s="45" t="e">
        <f>_xlfn.RANK.EQ(AN405,$AN$7:$AN$531)+COUNTIF(AN$7:AN405,AN405)-1</f>
        <v>#N/A</v>
      </c>
      <c r="AP40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05" s="32" t="e">
        <f>FME_Ranking2[[#This Row],[Score Based on Reported Factors]]-FME_Ranking2[[#This Row],[Check]]</f>
        <v>#REF!</v>
      </c>
      <c r="AR405" s="32"/>
      <c r="AT405" s="19"/>
      <c r="AU405" s="19"/>
      <c r="AV405" s="19"/>
      <c r="AW405" s="19"/>
      <c r="AX405" s="19"/>
      <c r="AY405" s="19"/>
      <c r="AZ405" s="19"/>
      <c r="BA405" s="19"/>
      <c r="BB405" s="19"/>
      <c r="BC405" s="19"/>
    </row>
    <row r="406" spans="1:55" ht="12" customHeight="1" x14ac:dyDescent="0.25">
      <c r="A406" s="17" t="s">
        <v>128</v>
      </c>
      <c r="B406" s="17" t="str">
        <f>_xlfn.XLOOKUP(FME_Ranking2[[#This Row],[FME ID]],FME_Input[FME_ID],FME_Input[FME_NAME])</f>
        <v>FM 812 at Alum Creek South</v>
      </c>
      <c r="C406" s="17" t="str">
        <f>_xlfn.XLOOKUP(FME_Ranking2[[#This Row],[FME ID]],FME_Input[FME_ID],FME_Input[DESCR])</f>
        <v>100-ft bridge, 1700 LF of channelization</v>
      </c>
      <c r="D406" s="33" t="str">
        <f>_xlfn.XLOOKUP(FME_Ranking2[[#This Row],[FME ID]],FME_Input[FME_ID],FME_Input[EMER_NEED])</f>
        <v>No</v>
      </c>
      <c r="E406" s="120">
        <f>IF(FME_Ranking_Option2!$D406="Yes",100,0)</f>
        <v>0</v>
      </c>
      <c r="F406" s="34" t="str">
        <f>_xlfn.XLOOKUP(FME_Ranking2[[#This Row],[FME ID]],FME_Input[FME_ID],FME_Input[FUND])</f>
        <v>No</v>
      </c>
      <c r="G406" s="35">
        <f>IF(FME_Ranking_Option2!$F406="Yes",1,0)</f>
        <v>0</v>
      </c>
      <c r="H406" s="33">
        <f>_xlfn.XLOOKUP(FME_Ranking2[[#This Row],[FME ID]],FME_Input[FME_ID],FME_Input[STRUCT_100])</f>
        <v>1</v>
      </c>
      <c r="I406" s="64" t="e">
        <f>FME_Ranking2[[#This Row],[Raw Data3]]*H$4</f>
        <v>#REF!</v>
      </c>
      <c r="J406" s="63">
        <f>((FME_Ranking_Option2!$H406)/($H$3))*100</f>
        <v>1.1112728630500662E-4</v>
      </c>
      <c r="K406" s="36" t="e">
        <f>FME_Ranking2[[#This Row],[Norm Data3]]*H$4</f>
        <v>#REF!</v>
      </c>
      <c r="L406" s="37">
        <f>_xlfn.XLOOKUP(FME_Ranking2[[#This Row],[FME ID]],FME_Input[FME_ID],FME_Input[RES_STRUCT100])</f>
        <v>1</v>
      </c>
      <c r="M406" s="38" t="e">
        <f>FME_Ranking2[[#This Row],[Raw Data4]]*L$4</f>
        <v>#REF!</v>
      </c>
      <c r="N406" s="28">
        <f>((FME_Ranking_Option2!$L406)/($L$3))*100</f>
        <v>1.4950297735179396E-4</v>
      </c>
      <c r="O406" s="39" t="e">
        <f>FME_Ranking2[[#This Row],[Norm Data4]]*L$4</f>
        <v>#REF!</v>
      </c>
      <c r="P406" s="34">
        <f>_xlfn.XLOOKUP(FME_Ranking2[[#This Row],[FME ID]],FME_Input[FME_ID],FME_Input[POP100])</f>
        <v>2</v>
      </c>
      <c r="Q406" s="35" t="e">
        <f>FME_Ranking_Option2!$P406*P$4</f>
        <v>#REF!</v>
      </c>
      <c r="R406" s="35">
        <f>FME_Ranking_Option2!$P406/($P$3)</f>
        <v>7.340424672929028E-7</v>
      </c>
      <c r="S406" s="35" t="e">
        <f>FME_Ranking_Option2!$R406*P$4</f>
        <v>#REF!</v>
      </c>
      <c r="T406" s="37">
        <f>_xlfn.XLOOKUP(FME_Ranking2[[#This Row],[FME ID]],FME_Input[FME_ID],FME_Input[CRITFAC100])</f>
        <v>0</v>
      </c>
      <c r="U406" s="35" t="e">
        <f>FME_Ranking_Option2!$T406*T$4</f>
        <v>#REF!</v>
      </c>
      <c r="V406" s="35">
        <f>FME_Ranking_Option2!$T406/($T$3)</f>
        <v>0</v>
      </c>
      <c r="W406" s="35" t="e">
        <f>FME_Ranking_Option2!$V406*T$4</f>
        <v>#REF!</v>
      </c>
      <c r="X406" s="37">
        <f>_xlfn.XLOOKUP(FME_Ranking2[[#This Row],[FME ID]],FME_Input[FME_ID],FME_Input[LWC])</f>
        <v>0</v>
      </c>
      <c r="Y406" s="35" t="e">
        <f>FME_Ranking_Option2!$X406*X$4</f>
        <v>#REF!</v>
      </c>
      <c r="Z406" s="35">
        <f>FME_Ranking_Option2!$X406/($X$3)</f>
        <v>0</v>
      </c>
      <c r="AA406" s="35" t="e">
        <f>FME_Ranking_Option2!$Z406*X$4</f>
        <v>#REF!</v>
      </c>
      <c r="AB406" s="37">
        <f>_xlfn.XLOOKUP(FME_Ranking2[[#This Row],[FME ID]],FME_Input[FME_ID],FME_Input[ROADCLS])</f>
        <v>0</v>
      </c>
      <c r="AC406" s="35" t="e">
        <f>FME_Ranking_Option2!$AB406*AB$4</f>
        <v>#REF!</v>
      </c>
      <c r="AD406" s="40">
        <f>_xlfn.XLOOKUP(FME_Ranking2[[#This Row],[FME ID]],FME_Input[FME_ID],FME_Input[ROAD_MILES100])</f>
        <v>8.3301864564418793E-2</v>
      </c>
      <c r="AE406" s="41" t="e">
        <f>FME_Ranking_Option2!$AD406*AD$4</f>
        <v>#REF!</v>
      </c>
      <c r="AF406" s="42">
        <f>FME_Ranking_Option2!$AD406/($AD$3)</f>
        <v>1.8815627816785241E-6</v>
      </c>
      <c r="AG406" s="42" t="e">
        <f>FME_Ranking_Option2!$AF406*AD$4</f>
        <v>#REF!</v>
      </c>
      <c r="AH406" s="40">
        <f>_xlfn.XLOOKUP(FME_Ranking2[[#This Row],[FME ID]],FME_Input[FME_ID],FME_Input[FARMACRE100])</f>
        <v>27.890583038330082</v>
      </c>
      <c r="AI406" s="43" t="e">
        <f>FME_Ranking_Option2!$AH406*AH$4</f>
        <v>#REF!</v>
      </c>
      <c r="AJ406" s="41">
        <f>FME_Ranking_Option2!$AH406/($AH$3)</f>
        <v>1.6194929123744372E-3</v>
      </c>
      <c r="AK406" s="44" t="e">
        <f>FME_Ranking_Option2!$AJ406*AH$4</f>
        <v>#REF!</v>
      </c>
      <c r="AL406"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06" s="58" t="e">
        <f>_xlfn.RANK.EQ(AL406,$AL$7:$AL$531)+COUNTIF(AL$7:AL406,AL406)-1</f>
        <v>#REF!</v>
      </c>
      <c r="AN406" s="44"/>
      <c r="AO406" s="58" t="e">
        <f>_xlfn.RANK.EQ(AN406,$AN$7:$AN$531)+COUNTIF(AN$7:AN406,AN406)-1</f>
        <v>#N/A</v>
      </c>
      <c r="AP40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06" s="32" t="e">
        <f>FME_Ranking2[[#This Row],[Score Based on Reported Factors]]-FME_Ranking2[[#This Row],[Check]]</f>
        <v>#REF!</v>
      </c>
      <c r="AR406" s="32"/>
    </row>
    <row r="407" spans="1:55" ht="12" customHeight="1" x14ac:dyDescent="0.25">
      <c r="A407" s="16" t="s">
        <v>180</v>
      </c>
      <c r="B407" s="16" t="str">
        <f>_xlfn.XLOOKUP(FME_Ranking2[[#This Row],[FME ID]],FME_Input[FME_ID],FME_Input[FME_NAME])</f>
        <v>Magnolia St</v>
      </c>
      <c r="C407" s="16" t="str">
        <f>_xlfn.XLOOKUP(FME_Ranking2[[#This Row],[FME ID]],FME_Input[FME_ID],FME_Input[DESCR])</f>
        <v>Magnolia Ditch Project, Construction of ditch &amp; culvert</v>
      </c>
      <c r="D407" s="46" t="str">
        <f>_xlfn.XLOOKUP(FME_Ranking2[[#This Row],[FME ID]],FME_Input[FME_ID],FME_Input[EMER_NEED])</f>
        <v>No</v>
      </c>
      <c r="E407" s="121">
        <f>IF(FME_Ranking_Option2!$D407="Yes",100,0)</f>
        <v>0</v>
      </c>
      <c r="F407" s="47" t="str">
        <f>_xlfn.XLOOKUP(FME_Ranking2[[#This Row],[FME ID]],FME_Input[FME_ID],FME_Input[FUND])</f>
        <v>No</v>
      </c>
      <c r="G407" s="48">
        <f>IF(FME_Ranking_Option2!$F407="Yes",1,0)</f>
        <v>0</v>
      </c>
      <c r="H407" s="46">
        <f>_xlfn.XLOOKUP(FME_Ranking2[[#This Row],[FME ID]],FME_Input[FME_ID],FME_Input[STRUCT_100])</f>
        <v>27</v>
      </c>
      <c r="I407" s="65" t="e">
        <f>FME_Ranking2[[#This Row],[Raw Data3]]*H$4</f>
        <v>#REF!</v>
      </c>
      <c r="J407" s="62">
        <f>((FME_Ranking_Option2!$H407)/($H$3))*100</f>
        <v>3.0004367302351783E-3</v>
      </c>
      <c r="K407" s="49" t="e">
        <f>FME_Ranking2[[#This Row],[Norm Data3]]*H$4</f>
        <v>#REF!</v>
      </c>
      <c r="L407" s="50">
        <f>_xlfn.XLOOKUP(FME_Ranking2[[#This Row],[FME ID]],FME_Input[FME_ID],FME_Input[RES_STRUCT100])</f>
        <v>27</v>
      </c>
      <c r="M407" s="51" t="e">
        <f>FME_Ranking2[[#This Row],[Raw Data4]]*L$4</f>
        <v>#REF!</v>
      </c>
      <c r="N407" s="29">
        <f>((FME_Ranking_Option2!$L407)/($L$3))*100</f>
        <v>4.0365803884984371E-3</v>
      </c>
      <c r="O407" s="52" t="e">
        <f>FME_Ranking2[[#This Row],[Norm Data4]]*L$4</f>
        <v>#REF!</v>
      </c>
      <c r="P407" s="47">
        <f>_xlfn.XLOOKUP(FME_Ranking2[[#This Row],[FME ID]],FME_Input[FME_ID],FME_Input[POP100])</f>
        <v>276</v>
      </c>
      <c r="Q407" s="48" t="e">
        <f>FME_Ranking_Option2!$P407*P$4</f>
        <v>#REF!</v>
      </c>
      <c r="R407" s="48">
        <f>FME_Ranking_Option2!$P407/($P$3)</f>
        <v>1.0129786048642058E-4</v>
      </c>
      <c r="S407" s="48" t="e">
        <f>FME_Ranking_Option2!$R407*P$4</f>
        <v>#REF!</v>
      </c>
      <c r="T407" s="50">
        <f>_xlfn.XLOOKUP(FME_Ranking2[[#This Row],[FME ID]],FME_Input[FME_ID],FME_Input[CRITFAC100])</f>
        <v>0</v>
      </c>
      <c r="U407" s="48" t="e">
        <f>FME_Ranking_Option2!$T407*T$4</f>
        <v>#REF!</v>
      </c>
      <c r="V407" s="48">
        <f>FME_Ranking_Option2!$T407/($T$3)</f>
        <v>0</v>
      </c>
      <c r="W407" s="48" t="e">
        <f>FME_Ranking_Option2!$V407*T$4</f>
        <v>#REF!</v>
      </c>
      <c r="X407" s="50">
        <f>_xlfn.XLOOKUP(FME_Ranking2[[#This Row],[FME ID]],FME_Input[FME_ID],FME_Input[LWC])</f>
        <v>0</v>
      </c>
      <c r="Y407" s="48" t="e">
        <f>FME_Ranking_Option2!$X407*X$4</f>
        <v>#REF!</v>
      </c>
      <c r="Z407" s="48">
        <f>FME_Ranking_Option2!$X407/($X$3)</f>
        <v>0</v>
      </c>
      <c r="AA407" s="48" t="e">
        <f>FME_Ranking_Option2!$Z407*X$4</f>
        <v>#REF!</v>
      </c>
      <c r="AB407" s="50">
        <f>_xlfn.XLOOKUP(FME_Ranking2[[#This Row],[FME ID]],FME_Input[FME_ID],FME_Input[ROADCLS])</f>
        <v>0</v>
      </c>
      <c r="AC407" s="48" t="e">
        <f>FME_Ranking_Option2!$AB407*AB$4</f>
        <v>#REF!</v>
      </c>
      <c r="AD407" s="53">
        <f>_xlfn.XLOOKUP(FME_Ranking2[[#This Row],[FME ID]],FME_Input[FME_ID],FME_Input[ROAD_MILES100])</f>
        <v>0.65585160255432129</v>
      </c>
      <c r="AE407" s="54" t="e">
        <f>FME_Ranking_Option2!$AD407*AD$4</f>
        <v>#REF!</v>
      </c>
      <c r="AF407" s="55">
        <f>FME_Ranking_Option2!$AD407/($AD$3)</f>
        <v>1.4813905692544645E-5</v>
      </c>
      <c r="AG407" s="55" t="e">
        <f>FME_Ranking_Option2!$AF407*AD$4</f>
        <v>#REF!</v>
      </c>
      <c r="AH407" s="53">
        <f>_xlfn.XLOOKUP(FME_Ranking2[[#This Row],[FME ID]],FME_Input[FME_ID],FME_Input[FARMACRE100])</f>
        <v>7.2071123123168954</v>
      </c>
      <c r="AI407" s="54" t="e">
        <f>FME_Ranking_Option2!$AH407*AH$4</f>
        <v>#REF!</v>
      </c>
      <c r="AJ407" s="56">
        <f>FME_Ranking_Option2!$AH407/($AH$3)</f>
        <v>4.1848774880191939E-4</v>
      </c>
      <c r="AK407" s="57" t="e">
        <f>FME_Ranking_Option2!$AJ407*AH$4</f>
        <v>#REF!</v>
      </c>
      <c r="AL407"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07" s="45" t="e">
        <f>_xlfn.RANK.EQ(AL407,$AL$7:$AL$531)+COUNTIF(AL$7:AL407,AL407)-1</f>
        <v>#REF!</v>
      </c>
      <c r="AN407" s="57"/>
      <c r="AO407" s="45" t="e">
        <f>_xlfn.RANK.EQ(AN407,$AN$7:$AN$531)+COUNTIF(AN$7:AN407,AN407)-1</f>
        <v>#N/A</v>
      </c>
      <c r="AP40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07" s="32" t="e">
        <f>FME_Ranking2[[#This Row],[Score Based on Reported Factors]]-FME_Ranking2[[#This Row],[Check]]</f>
        <v>#REF!</v>
      </c>
      <c r="AR407" s="32"/>
      <c r="AT407" s="19"/>
      <c r="AU407" s="19"/>
      <c r="AV407" s="19"/>
      <c r="AW407" s="19"/>
      <c r="AX407" s="19"/>
      <c r="AY407" s="19"/>
      <c r="AZ407" s="19"/>
      <c r="BA407" s="19"/>
      <c r="BB407" s="19"/>
      <c r="BC407" s="19"/>
    </row>
    <row r="408" spans="1:55" ht="12" customHeight="1" x14ac:dyDescent="0.25">
      <c r="A408" s="17" t="s">
        <v>204</v>
      </c>
      <c r="B408" s="17" t="e">
        <f>_xlfn.XLOOKUP(FME_Ranking2[[#This Row],[FME ID]],FME_Input[FME_ID],FME_Input[FME_NAME])</f>
        <v>#N/A</v>
      </c>
      <c r="C408" s="17" t="e">
        <f>_xlfn.XLOOKUP(FME_Ranking2[[#This Row],[FME ID]],FME_Input[FME_ID],FME_Input[DESCR])</f>
        <v>#N/A</v>
      </c>
      <c r="D408" s="33" t="e">
        <f>_xlfn.XLOOKUP(FME_Ranking2[[#This Row],[FME ID]],FME_Input[FME_ID],FME_Input[EMER_NEED])</f>
        <v>#N/A</v>
      </c>
      <c r="E408" s="120" t="e">
        <f>IF(FME_Ranking_Option2!$D408="Yes",100,0)</f>
        <v>#N/A</v>
      </c>
      <c r="F408" s="34" t="e">
        <f>_xlfn.XLOOKUP(FME_Ranking2[[#This Row],[FME ID]],FME_Input[FME_ID],FME_Input[FUND])</f>
        <v>#N/A</v>
      </c>
      <c r="G408" s="35" t="e">
        <f>IF(FME_Ranking_Option2!$F408="Yes",1,0)</f>
        <v>#N/A</v>
      </c>
      <c r="H408" s="33" t="e">
        <f>_xlfn.XLOOKUP(FME_Ranking2[[#This Row],[FME ID]],FME_Input[FME_ID],FME_Input[STRUCT_100])</f>
        <v>#N/A</v>
      </c>
      <c r="I408" s="64" t="e">
        <f>FME_Ranking2[[#This Row],[Raw Data3]]*H$4</f>
        <v>#N/A</v>
      </c>
      <c r="J408" s="63" t="e">
        <f>((FME_Ranking_Option2!$H408)/($H$3))*100</f>
        <v>#N/A</v>
      </c>
      <c r="K408" s="36" t="e">
        <f>FME_Ranking2[[#This Row],[Norm Data3]]*H$4</f>
        <v>#N/A</v>
      </c>
      <c r="L408" s="37" t="e">
        <f>_xlfn.XLOOKUP(FME_Ranking2[[#This Row],[FME ID]],FME_Input[FME_ID],FME_Input[RES_STRUCT100])</f>
        <v>#N/A</v>
      </c>
      <c r="M408" s="38" t="e">
        <f>FME_Ranking2[[#This Row],[Raw Data4]]*L$4</f>
        <v>#N/A</v>
      </c>
      <c r="N408" s="28" t="e">
        <f>((FME_Ranking_Option2!$L408)/($L$3))*100</f>
        <v>#N/A</v>
      </c>
      <c r="O408" s="39" t="e">
        <f>FME_Ranking2[[#This Row],[Norm Data4]]*L$4</f>
        <v>#N/A</v>
      </c>
      <c r="P408" s="34" t="e">
        <f>_xlfn.XLOOKUP(FME_Ranking2[[#This Row],[FME ID]],FME_Input[FME_ID],FME_Input[POP100])</f>
        <v>#N/A</v>
      </c>
      <c r="Q408" s="35" t="e">
        <f>FME_Ranking_Option2!$P408*P$4</f>
        <v>#N/A</v>
      </c>
      <c r="R408" s="35" t="e">
        <f>FME_Ranking_Option2!$P408/($P$3)</f>
        <v>#N/A</v>
      </c>
      <c r="S408" s="35" t="e">
        <f>FME_Ranking_Option2!$R408*P$4</f>
        <v>#N/A</v>
      </c>
      <c r="T408" s="37" t="e">
        <f>_xlfn.XLOOKUP(FME_Ranking2[[#This Row],[FME ID]],FME_Input[FME_ID],FME_Input[CRITFAC100])</f>
        <v>#N/A</v>
      </c>
      <c r="U408" s="35" t="e">
        <f>FME_Ranking_Option2!$T408*T$4</f>
        <v>#N/A</v>
      </c>
      <c r="V408" s="35" t="e">
        <f>FME_Ranking_Option2!$T408/($T$3)</f>
        <v>#N/A</v>
      </c>
      <c r="W408" s="35" t="e">
        <f>FME_Ranking_Option2!$V408*T$4</f>
        <v>#N/A</v>
      </c>
      <c r="X408" s="37" t="e">
        <f>_xlfn.XLOOKUP(FME_Ranking2[[#This Row],[FME ID]],FME_Input[FME_ID],FME_Input[LWC])</f>
        <v>#N/A</v>
      </c>
      <c r="Y408" s="35" t="e">
        <f>FME_Ranking_Option2!$X408*X$4</f>
        <v>#N/A</v>
      </c>
      <c r="Z408" s="35" t="e">
        <f>FME_Ranking_Option2!$X408/($X$3)</f>
        <v>#N/A</v>
      </c>
      <c r="AA408" s="35" t="e">
        <f>FME_Ranking_Option2!$Z408*X$4</f>
        <v>#N/A</v>
      </c>
      <c r="AB408" s="37" t="e">
        <f>_xlfn.XLOOKUP(FME_Ranking2[[#This Row],[FME ID]],FME_Input[FME_ID],FME_Input[ROADCLS])</f>
        <v>#N/A</v>
      </c>
      <c r="AC408" s="35" t="e">
        <f>FME_Ranking_Option2!$AB408*AB$4</f>
        <v>#N/A</v>
      </c>
      <c r="AD408" s="40" t="e">
        <f>_xlfn.XLOOKUP(FME_Ranking2[[#This Row],[FME ID]],FME_Input[FME_ID],FME_Input[ROAD_MILES100])</f>
        <v>#N/A</v>
      </c>
      <c r="AE408" s="41" t="e">
        <f>FME_Ranking_Option2!$AD408*AD$4</f>
        <v>#N/A</v>
      </c>
      <c r="AF408" s="42" t="e">
        <f>FME_Ranking_Option2!$AD408/($AD$3)</f>
        <v>#N/A</v>
      </c>
      <c r="AG408" s="42" t="e">
        <f>FME_Ranking_Option2!$AF408*AD$4</f>
        <v>#N/A</v>
      </c>
      <c r="AH408" s="40" t="e">
        <f>_xlfn.XLOOKUP(FME_Ranking2[[#This Row],[FME ID]],FME_Input[FME_ID],FME_Input[FARMACRE100])</f>
        <v>#N/A</v>
      </c>
      <c r="AI408" s="43" t="e">
        <f>FME_Ranking_Option2!$AH408*AH$4</f>
        <v>#N/A</v>
      </c>
      <c r="AJ408" s="41" t="e">
        <f>FME_Ranking_Option2!$AH408/($AH$3)</f>
        <v>#N/A</v>
      </c>
      <c r="AK408" s="44" t="e">
        <f>FME_Ranking_Option2!$AJ408*AH$4</f>
        <v>#N/A</v>
      </c>
      <c r="AL408"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#N/A</v>
      </c>
      <c r="AM408" s="58" t="e">
        <f>_xlfn.RANK.EQ(AL408,$AL$7:$AL$531)+COUNTIF(AL$7:AL408,AL408)-1</f>
        <v>#N/A</v>
      </c>
      <c r="AN408" s="44"/>
      <c r="AO408" s="58" t="e">
        <f>_xlfn.RANK.EQ(AN408,$AN$7:$AN$531)+COUNTIF(AN$7:AN408,AN408)-1</f>
        <v>#N/A</v>
      </c>
      <c r="AP40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#N/A</v>
      </c>
      <c r="AQ408" s="32" t="e">
        <f>FME_Ranking2[[#This Row],[Score Based on Reported Factors]]-FME_Ranking2[[#This Row],[Check]]</f>
        <v>#N/A</v>
      </c>
      <c r="AR408" s="32"/>
    </row>
    <row r="409" spans="1:55" ht="12" customHeight="1" x14ac:dyDescent="0.25">
      <c r="A409" s="16" t="s">
        <v>208</v>
      </c>
      <c r="B409" s="16" t="str">
        <f>_xlfn.XLOOKUP(FME_Ranking2[[#This Row],[FME ID]],FME_Input[FME_ID],FME_Input[FME_NAME])</f>
        <v>Mission Hills Street</v>
      </c>
      <c r="C409" s="16" t="str">
        <f>_xlfn.XLOOKUP(FME_Ranking2[[#This Row],[FME ID]],FME_Input[FME_ID],FME_Input[DESCR])</f>
        <v>Build bridge at Mission Hills Street creek x-ing</v>
      </c>
      <c r="D409" s="46" t="str">
        <f>_xlfn.XLOOKUP(FME_Ranking2[[#This Row],[FME ID]],FME_Input[FME_ID],FME_Input[EMER_NEED])</f>
        <v>No</v>
      </c>
      <c r="E409" s="121">
        <f>IF(FME_Ranking_Option2!$D409="Yes",100,0)</f>
        <v>0</v>
      </c>
      <c r="F409" s="47" t="str">
        <f>_xlfn.XLOOKUP(FME_Ranking2[[#This Row],[FME ID]],FME_Input[FME_ID],FME_Input[FUND])</f>
        <v>No</v>
      </c>
      <c r="G409" s="48">
        <f>IF(FME_Ranking_Option2!$F409="Yes",1,0)</f>
        <v>0</v>
      </c>
      <c r="H409" s="46">
        <f>_xlfn.XLOOKUP(FME_Ranking2[[#This Row],[FME ID]],FME_Input[FME_ID],FME_Input[STRUCT_100])</f>
        <v>60</v>
      </c>
      <c r="I409" s="65" t="e">
        <f>FME_Ranking2[[#This Row],[Raw Data3]]*H$4</f>
        <v>#REF!</v>
      </c>
      <c r="J409" s="62">
        <f>((FME_Ranking_Option2!$H409)/($H$3))*100</f>
        <v>6.6676371783003967E-3</v>
      </c>
      <c r="K409" s="49" t="e">
        <f>FME_Ranking2[[#This Row],[Norm Data3]]*H$4</f>
        <v>#REF!</v>
      </c>
      <c r="L409" s="50">
        <f>_xlfn.XLOOKUP(FME_Ranking2[[#This Row],[FME ID]],FME_Input[FME_ID],FME_Input[RES_STRUCT100])</f>
        <v>2</v>
      </c>
      <c r="M409" s="51" t="e">
        <f>FME_Ranking2[[#This Row],[Raw Data4]]*L$4</f>
        <v>#REF!</v>
      </c>
      <c r="N409" s="29">
        <f>((FME_Ranking_Option2!$L409)/($L$3))*100</f>
        <v>2.9900595470358791E-4</v>
      </c>
      <c r="O409" s="52" t="e">
        <f>FME_Ranking2[[#This Row],[Norm Data4]]*L$4</f>
        <v>#REF!</v>
      </c>
      <c r="P409" s="47">
        <f>_xlfn.XLOOKUP(FME_Ranking2[[#This Row],[FME ID]],FME_Input[FME_ID],FME_Input[POP100])</f>
        <v>748</v>
      </c>
      <c r="Q409" s="48" t="e">
        <f>FME_Ranking_Option2!$P409*P$4</f>
        <v>#REF!</v>
      </c>
      <c r="R409" s="48">
        <f>FME_Ranking_Option2!$P409/($P$3)</f>
        <v>2.7453188276754564E-4</v>
      </c>
      <c r="S409" s="48" t="e">
        <f>FME_Ranking_Option2!$R409*P$4</f>
        <v>#REF!</v>
      </c>
      <c r="T409" s="50">
        <f>_xlfn.XLOOKUP(FME_Ranking2[[#This Row],[FME ID]],FME_Input[FME_ID],FME_Input[CRITFAC100])</f>
        <v>0</v>
      </c>
      <c r="U409" s="48" t="e">
        <f>FME_Ranking_Option2!$T409*T$4</f>
        <v>#REF!</v>
      </c>
      <c r="V409" s="48">
        <f>FME_Ranking_Option2!$T409/($T$3)</f>
        <v>0</v>
      </c>
      <c r="W409" s="48" t="e">
        <f>FME_Ranking_Option2!$V409*T$4</f>
        <v>#REF!</v>
      </c>
      <c r="X409" s="50">
        <f>_xlfn.XLOOKUP(FME_Ranking2[[#This Row],[FME ID]],FME_Input[FME_ID],FME_Input[LWC])</f>
        <v>3</v>
      </c>
      <c r="Y409" s="48" t="e">
        <f>FME_Ranking_Option2!$X409*X$4</f>
        <v>#REF!</v>
      </c>
      <c r="Z409" s="48">
        <f>FME_Ranking_Option2!$X409/($X$3)</f>
        <v>2.7367268746579092E-4</v>
      </c>
      <c r="AA409" s="48" t="e">
        <f>FME_Ranking_Option2!$Z409*X$4</f>
        <v>#REF!</v>
      </c>
      <c r="AB409" s="50">
        <f>_xlfn.XLOOKUP(FME_Ranking2[[#This Row],[FME ID]],FME_Input[FME_ID],FME_Input[ROADCLS])</f>
        <v>0</v>
      </c>
      <c r="AC409" s="48" t="e">
        <f>FME_Ranking_Option2!$AB409*AB$4</f>
        <v>#REF!</v>
      </c>
      <c r="AD409" s="53">
        <f>_xlfn.XLOOKUP(FME_Ranking2[[#This Row],[FME ID]],FME_Input[FME_ID],FME_Input[ROAD_MILES100])</f>
        <v>0.80998480319976807</v>
      </c>
      <c r="AE409" s="54" t="e">
        <f>FME_Ranking_Option2!$AD409*AD$4</f>
        <v>#REF!</v>
      </c>
      <c r="AF409" s="55">
        <f>FME_Ranking_Option2!$AD409/($AD$3)</f>
        <v>1.8295355901035358E-5</v>
      </c>
      <c r="AG409" s="55" t="e">
        <f>FME_Ranking_Option2!$AF409*AD$4</f>
        <v>#REF!</v>
      </c>
      <c r="AH409" s="53">
        <f>_xlfn.XLOOKUP(FME_Ranking2[[#This Row],[FME ID]],FME_Input[FME_ID],FME_Input[FARMACRE100])</f>
        <v>147.1793212890625</v>
      </c>
      <c r="AI409" s="54" t="e">
        <f>FME_Ranking_Option2!$AH409*AH$4</f>
        <v>#REF!</v>
      </c>
      <c r="AJ409" s="56">
        <f>FME_Ranking_Option2!$AH409/($AH$3)</f>
        <v>8.5461055922762142E-3</v>
      </c>
      <c r="AK409" s="57" t="e">
        <f>FME_Ranking_Option2!$AJ409*AH$4</f>
        <v>#REF!</v>
      </c>
      <c r="AL409"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09" s="45" t="e">
        <f>_xlfn.RANK.EQ(AL409,$AL$7:$AL$531)+COUNTIF(AL$7:AL409,AL409)-1</f>
        <v>#REF!</v>
      </c>
      <c r="AN409" s="57"/>
      <c r="AO409" s="45" t="e">
        <f>_xlfn.RANK.EQ(AN409,$AN$7:$AN$531)+COUNTIF(AN$7:AN409,AN409)-1</f>
        <v>#N/A</v>
      </c>
      <c r="AP40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09" s="32" t="e">
        <f>FME_Ranking2[[#This Row],[Score Based on Reported Factors]]-FME_Ranking2[[#This Row],[Check]]</f>
        <v>#REF!</v>
      </c>
      <c r="AR409" s="32"/>
      <c r="AT409" s="19"/>
      <c r="AU409" s="19"/>
      <c r="AV409" s="19"/>
      <c r="AW409" s="19"/>
      <c r="AX409" s="19"/>
      <c r="AY409" s="19"/>
      <c r="AZ409" s="19"/>
      <c r="BA409" s="19"/>
      <c r="BB409" s="19"/>
      <c r="BC409" s="19"/>
    </row>
    <row r="410" spans="1:55" ht="12" customHeight="1" x14ac:dyDescent="0.25">
      <c r="A410" s="17" t="s">
        <v>273</v>
      </c>
      <c r="B410" s="17" t="str">
        <f>_xlfn.XLOOKUP(FME_Ranking2[[#This Row],[FME ID]],FME_Input[FME_ID],FME_Input[FME_NAME])</f>
        <v>Lump Rd, Hilltop Rd, FM 2919 N</v>
      </c>
      <c r="C410" s="17" t="str">
        <f>_xlfn.XLOOKUP(FME_Ranking2[[#This Row],[FME ID]],FME_Input[FME_ID],FME_Input[DESCR])</f>
        <v>Feasibility study of LWCs</v>
      </c>
      <c r="D410" s="33" t="str">
        <f>_xlfn.XLOOKUP(FME_Ranking2[[#This Row],[FME ID]],FME_Input[FME_ID],FME_Input[EMER_NEED])</f>
        <v>No</v>
      </c>
      <c r="E410" s="120">
        <f>IF(FME_Ranking_Option2!$D410="Yes",100,0)</f>
        <v>0</v>
      </c>
      <c r="F410" s="34" t="str">
        <f>_xlfn.XLOOKUP(FME_Ranking2[[#This Row],[FME ID]],FME_Input[FME_ID],FME_Input[FUND])</f>
        <v>No</v>
      </c>
      <c r="G410" s="35">
        <f>IF(FME_Ranking_Option2!$F410="Yes",1,0)</f>
        <v>0</v>
      </c>
      <c r="H410" s="33">
        <f>_xlfn.XLOOKUP(FME_Ranking2[[#This Row],[FME ID]],FME_Input[FME_ID],FME_Input[STRUCT_100])</f>
        <v>11</v>
      </c>
      <c r="I410" s="64" t="e">
        <f>FME_Ranking2[[#This Row],[Raw Data3]]*H$4</f>
        <v>#REF!</v>
      </c>
      <c r="J410" s="63">
        <f>((FME_Ranking_Option2!$H410)/($H$3))*100</f>
        <v>1.2224001493550728E-3</v>
      </c>
      <c r="K410" s="36" t="e">
        <f>FME_Ranking2[[#This Row],[Norm Data3]]*H$4</f>
        <v>#REF!</v>
      </c>
      <c r="L410" s="37">
        <f>_xlfn.XLOOKUP(FME_Ranking2[[#This Row],[FME ID]],FME_Input[FME_ID],FME_Input[RES_STRUCT100])</f>
        <v>9</v>
      </c>
      <c r="M410" s="38" t="e">
        <f>FME_Ranking2[[#This Row],[Raw Data4]]*L$4</f>
        <v>#REF!</v>
      </c>
      <c r="N410" s="28">
        <f>((FME_Ranking_Option2!$L410)/($L$3))*100</f>
        <v>1.3455267961661457E-3</v>
      </c>
      <c r="O410" s="39" t="e">
        <f>FME_Ranking2[[#This Row],[Norm Data4]]*L$4</f>
        <v>#REF!</v>
      </c>
      <c r="P410" s="34">
        <f>_xlfn.XLOOKUP(FME_Ranking2[[#This Row],[FME ID]],FME_Input[FME_ID],FME_Input[POP100])</f>
        <v>14</v>
      </c>
      <c r="Q410" s="35" t="e">
        <f>FME_Ranking_Option2!$P410*P$4</f>
        <v>#REF!</v>
      </c>
      <c r="R410" s="35">
        <f>FME_Ranking_Option2!$P410/($P$3)</f>
        <v>5.1382972710503192E-6</v>
      </c>
      <c r="S410" s="35" t="e">
        <f>FME_Ranking_Option2!$R410*P$4</f>
        <v>#REF!</v>
      </c>
      <c r="T410" s="37">
        <f>_xlfn.XLOOKUP(FME_Ranking2[[#This Row],[FME ID]],FME_Input[FME_ID],FME_Input[CRITFAC100])</f>
        <v>0</v>
      </c>
      <c r="U410" s="35" t="e">
        <f>FME_Ranking_Option2!$T410*T$4</f>
        <v>#REF!</v>
      </c>
      <c r="V410" s="35">
        <f>FME_Ranking_Option2!$T410/($T$3)</f>
        <v>0</v>
      </c>
      <c r="W410" s="35" t="e">
        <f>FME_Ranking_Option2!$V410*T$4</f>
        <v>#REF!</v>
      </c>
      <c r="X410" s="37">
        <f>_xlfn.XLOOKUP(FME_Ranking2[[#This Row],[FME ID]],FME_Input[FME_ID],FME_Input[LWC])</f>
        <v>0</v>
      </c>
      <c r="Y410" s="35" t="e">
        <f>FME_Ranking_Option2!$X410*X$4</f>
        <v>#REF!</v>
      </c>
      <c r="Z410" s="35">
        <f>FME_Ranking_Option2!$X410/($X$3)</f>
        <v>0</v>
      </c>
      <c r="AA410" s="35" t="e">
        <f>FME_Ranking_Option2!$Z410*X$4</f>
        <v>#REF!</v>
      </c>
      <c r="AB410" s="37">
        <f>_xlfn.XLOOKUP(FME_Ranking2[[#This Row],[FME ID]],FME_Input[FME_ID],FME_Input[ROADCLS])</f>
        <v>0</v>
      </c>
      <c r="AC410" s="35" t="e">
        <f>FME_Ranking_Option2!$AB410*AB$4</f>
        <v>#REF!</v>
      </c>
      <c r="AD410" s="40">
        <f>_xlfn.XLOOKUP(FME_Ranking2[[#This Row],[FME ID]],FME_Input[FME_ID],FME_Input[ROAD_MILES100])</f>
        <v>0.84983170032501221</v>
      </c>
      <c r="AE410" s="41" t="e">
        <f>FME_Ranking_Option2!$AD410*AD$4</f>
        <v>#REF!</v>
      </c>
      <c r="AF410" s="42">
        <f>FME_Ranking_Option2!$AD410/($AD$3)</f>
        <v>1.9195389039408309E-5</v>
      </c>
      <c r="AG410" s="42" t="e">
        <f>FME_Ranking_Option2!$AF410*AD$4</f>
        <v>#REF!</v>
      </c>
      <c r="AH410" s="40">
        <f>_xlfn.XLOOKUP(FME_Ranking2[[#This Row],[FME ID]],FME_Input[FME_ID],FME_Input[FARMACRE100])</f>
        <v>69.410835266113281</v>
      </c>
      <c r="AI410" s="43" t="e">
        <f>FME_Ranking_Option2!$AH410*AH$4</f>
        <v>#REF!</v>
      </c>
      <c r="AJ410" s="41">
        <f>FME_Ranking_Option2!$AH410/($AH$3)</f>
        <v>4.0304053737770318E-3</v>
      </c>
      <c r="AK410" s="44" t="e">
        <f>FME_Ranking_Option2!$AJ410*AH$4</f>
        <v>#REF!</v>
      </c>
      <c r="AL410"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10" s="58" t="e">
        <f>_xlfn.RANK.EQ(AL410,$AL$7:$AL$531)+COUNTIF(AL$7:AL410,AL410)-1</f>
        <v>#REF!</v>
      </c>
      <c r="AN410" s="44"/>
      <c r="AO410" s="58" t="e">
        <f>_xlfn.RANK.EQ(AN410,$AN$7:$AN$531)+COUNTIF(AN$7:AN410,AN410)-1</f>
        <v>#N/A</v>
      </c>
      <c r="AP41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10" s="32" t="e">
        <f>FME_Ranking2[[#This Row],[Score Based on Reported Factors]]-FME_Ranking2[[#This Row],[Check]]</f>
        <v>#REF!</v>
      </c>
      <c r="AR410" s="32"/>
    </row>
    <row r="411" spans="1:55" ht="12" customHeight="1" x14ac:dyDescent="0.25">
      <c r="A411" s="16" t="s">
        <v>280</v>
      </c>
      <c r="B411" s="16" t="str">
        <f>_xlfn.XLOOKUP(FME_Ranking2[[#This Row],[FME ID]],FME_Input[FME_ID],FME_Input[FME_NAME])</f>
        <v>Drainage Improvements to Crawford Outlet Right-of-Way</v>
      </c>
      <c r="C411" s="16" t="str">
        <f>_xlfn.XLOOKUP(FME_Ranking2[[#This Row],[FME ID]],FME_Input[FME_ID],FME_Input[DESCR])</f>
        <v>Drainage Improvements to Crawford Outlet Right-of-Way</v>
      </c>
      <c r="D411" s="46" t="str">
        <f>_xlfn.XLOOKUP(FME_Ranking2[[#This Row],[FME ID]],FME_Input[FME_ID],FME_Input[EMER_NEED])</f>
        <v>No</v>
      </c>
      <c r="E411" s="121">
        <f>IF(FME_Ranking_Option2!$D411="Yes",100,0)</f>
        <v>0</v>
      </c>
      <c r="F411" s="47" t="str">
        <f>_xlfn.XLOOKUP(FME_Ranking2[[#This Row],[FME ID]],FME_Input[FME_ID],FME_Input[FUND])</f>
        <v>No</v>
      </c>
      <c r="G411" s="48">
        <f>IF(FME_Ranking_Option2!$F411="Yes",1,0)</f>
        <v>0</v>
      </c>
      <c r="H411" s="46">
        <f>_xlfn.XLOOKUP(FME_Ranking2[[#This Row],[FME ID]],FME_Input[FME_ID],FME_Input[STRUCT_100])</f>
        <v>11</v>
      </c>
      <c r="I411" s="65" t="e">
        <f>FME_Ranking2[[#This Row],[Raw Data3]]*H$4</f>
        <v>#REF!</v>
      </c>
      <c r="J411" s="62">
        <f>((FME_Ranking_Option2!$H411)/($H$3))*100</f>
        <v>1.2224001493550728E-3</v>
      </c>
      <c r="K411" s="49" t="e">
        <f>FME_Ranking2[[#This Row],[Norm Data3]]*H$4</f>
        <v>#REF!</v>
      </c>
      <c r="L411" s="50">
        <f>_xlfn.XLOOKUP(FME_Ranking2[[#This Row],[FME ID]],FME_Input[FME_ID],FME_Input[RES_STRUCT100])</f>
        <v>9</v>
      </c>
      <c r="M411" s="51" t="e">
        <f>FME_Ranking2[[#This Row],[Raw Data4]]*L$4</f>
        <v>#REF!</v>
      </c>
      <c r="N411" s="29">
        <f>((FME_Ranking_Option2!$L411)/($L$3))*100</f>
        <v>1.3455267961661457E-3</v>
      </c>
      <c r="O411" s="52" t="e">
        <f>FME_Ranking2[[#This Row],[Norm Data4]]*L$4</f>
        <v>#REF!</v>
      </c>
      <c r="P411" s="47">
        <f>_xlfn.XLOOKUP(FME_Ranking2[[#This Row],[FME ID]],FME_Input[FME_ID],FME_Input[POP100])</f>
        <v>14</v>
      </c>
      <c r="Q411" s="48" t="e">
        <f>FME_Ranking_Option2!$P411*P$4</f>
        <v>#REF!</v>
      </c>
      <c r="R411" s="48">
        <f>FME_Ranking_Option2!$P411/($P$3)</f>
        <v>5.1382972710503192E-6</v>
      </c>
      <c r="S411" s="48" t="e">
        <f>FME_Ranking_Option2!$R411*P$4</f>
        <v>#REF!</v>
      </c>
      <c r="T411" s="50">
        <f>_xlfn.XLOOKUP(FME_Ranking2[[#This Row],[FME ID]],FME_Input[FME_ID],FME_Input[CRITFAC100])</f>
        <v>0</v>
      </c>
      <c r="U411" s="48" t="e">
        <f>FME_Ranking_Option2!$T411*T$4</f>
        <v>#REF!</v>
      </c>
      <c r="V411" s="48">
        <f>FME_Ranking_Option2!$T411/($T$3)</f>
        <v>0</v>
      </c>
      <c r="W411" s="48" t="e">
        <f>FME_Ranking_Option2!$V411*T$4</f>
        <v>#REF!</v>
      </c>
      <c r="X411" s="50">
        <f>_xlfn.XLOOKUP(FME_Ranking2[[#This Row],[FME ID]],FME_Input[FME_ID],FME_Input[LWC])</f>
        <v>0</v>
      </c>
      <c r="Y411" s="48" t="e">
        <f>FME_Ranking_Option2!$X411*X$4</f>
        <v>#REF!</v>
      </c>
      <c r="Z411" s="48">
        <f>FME_Ranking_Option2!$X411/($X$3)</f>
        <v>0</v>
      </c>
      <c r="AA411" s="48" t="e">
        <f>FME_Ranking_Option2!$Z411*X$4</f>
        <v>#REF!</v>
      </c>
      <c r="AB411" s="50">
        <f>_xlfn.XLOOKUP(FME_Ranking2[[#This Row],[FME ID]],FME_Input[FME_ID],FME_Input[ROADCLS])</f>
        <v>0</v>
      </c>
      <c r="AC411" s="48" t="e">
        <f>FME_Ranking_Option2!$AB411*AB$4</f>
        <v>#REF!</v>
      </c>
      <c r="AD411" s="53">
        <f>_xlfn.XLOOKUP(FME_Ranking2[[#This Row],[FME ID]],FME_Input[FME_ID],FME_Input[ROAD_MILES100])</f>
        <v>0.84983170032501221</v>
      </c>
      <c r="AE411" s="54" t="e">
        <f>FME_Ranking_Option2!$AD411*AD$4</f>
        <v>#REF!</v>
      </c>
      <c r="AF411" s="55">
        <f>FME_Ranking_Option2!$AD411/($AD$3)</f>
        <v>1.9195389039408309E-5</v>
      </c>
      <c r="AG411" s="55" t="e">
        <f>FME_Ranking_Option2!$AF411*AD$4</f>
        <v>#REF!</v>
      </c>
      <c r="AH411" s="53">
        <f>_xlfn.XLOOKUP(FME_Ranking2[[#This Row],[FME ID]],FME_Input[FME_ID],FME_Input[FARMACRE100])</f>
        <v>69.410835266113281</v>
      </c>
      <c r="AI411" s="54" t="e">
        <f>FME_Ranking_Option2!$AH411*AH$4</f>
        <v>#REF!</v>
      </c>
      <c r="AJ411" s="56">
        <f>FME_Ranking_Option2!$AH411/($AH$3)</f>
        <v>4.0304053737770318E-3</v>
      </c>
      <c r="AK411" s="57" t="e">
        <f>FME_Ranking_Option2!$AJ411*AH$4</f>
        <v>#REF!</v>
      </c>
      <c r="AL411"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11" s="45" t="e">
        <f>_xlfn.RANK.EQ(AL411,$AL$7:$AL$531)+COUNTIF(AL$7:AL411,AL411)-1</f>
        <v>#REF!</v>
      </c>
      <c r="AN411" s="57"/>
      <c r="AO411" s="45" t="e">
        <f>_xlfn.RANK.EQ(AN411,$AN$7:$AN$531)+COUNTIF(AN$7:AN411,AN411)-1</f>
        <v>#N/A</v>
      </c>
      <c r="AP41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11" s="32" t="e">
        <f>FME_Ranking2[[#This Row],[Score Based on Reported Factors]]-FME_Ranking2[[#This Row],[Check]]</f>
        <v>#REF!</v>
      </c>
      <c r="AR411" s="32"/>
      <c r="AT411" s="19"/>
      <c r="AU411" s="19"/>
      <c r="AV411" s="19"/>
      <c r="AW411" s="19"/>
      <c r="AX411" s="19"/>
      <c r="AY411" s="19"/>
      <c r="AZ411" s="19"/>
      <c r="BA411" s="19"/>
      <c r="BB411" s="19"/>
      <c r="BC411" s="19"/>
    </row>
    <row r="412" spans="1:55" ht="12" customHeight="1" x14ac:dyDescent="0.25">
      <c r="A412" s="17" t="s">
        <v>282</v>
      </c>
      <c r="B412" s="17" t="str">
        <f>_xlfn.XLOOKUP(FME_Ranking2[[#This Row],[FME ID]],FME_Input[FME_ID],FME_Input[FME_NAME])</f>
        <v>Gene and Church Streets</v>
      </c>
      <c r="C412" s="17" t="str">
        <f>_xlfn.XLOOKUP(FME_Ranking2[[#This Row],[FME ID]],FME_Input[FME_ID],FME_Input[DESCR])</f>
        <v>Install Culverts</v>
      </c>
      <c r="D412" s="33" t="str">
        <f>_xlfn.XLOOKUP(FME_Ranking2[[#This Row],[FME ID]],FME_Input[FME_ID],FME_Input[EMER_NEED])</f>
        <v>No</v>
      </c>
      <c r="E412" s="120">
        <f>IF(FME_Ranking_Option2!$D412="Yes",100,0)</f>
        <v>0</v>
      </c>
      <c r="F412" s="34" t="str">
        <f>_xlfn.XLOOKUP(FME_Ranking2[[#This Row],[FME ID]],FME_Input[FME_ID],FME_Input[FUND])</f>
        <v>No</v>
      </c>
      <c r="G412" s="35">
        <f>IF(FME_Ranking_Option2!$F412="Yes",1,0)</f>
        <v>0</v>
      </c>
      <c r="H412" s="33">
        <f>_xlfn.XLOOKUP(FME_Ranking2[[#This Row],[FME ID]],FME_Input[FME_ID],FME_Input[STRUCT_100])</f>
        <v>0</v>
      </c>
      <c r="I412" s="64" t="e">
        <f>FME_Ranking2[[#This Row],[Raw Data3]]*H$4</f>
        <v>#REF!</v>
      </c>
      <c r="J412" s="63">
        <f>((FME_Ranking_Option2!$H412)/($H$3))*100</f>
        <v>0</v>
      </c>
      <c r="K412" s="36" t="e">
        <f>FME_Ranking2[[#This Row],[Norm Data3]]*H$4</f>
        <v>#REF!</v>
      </c>
      <c r="L412" s="37">
        <f>_xlfn.XLOOKUP(FME_Ranking2[[#This Row],[FME ID]],FME_Input[FME_ID],FME_Input[RES_STRUCT100])</f>
        <v>0</v>
      </c>
      <c r="M412" s="38" t="e">
        <f>FME_Ranking2[[#This Row],[Raw Data4]]*L$4</f>
        <v>#REF!</v>
      </c>
      <c r="N412" s="28">
        <f>((FME_Ranking_Option2!$L412)/($L$3))*100</f>
        <v>0</v>
      </c>
      <c r="O412" s="39" t="e">
        <f>FME_Ranking2[[#This Row],[Norm Data4]]*L$4</f>
        <v>#REF!</v>
      </c>
      <c r="P412" s="34">
        <f>_xlfn.XLOOKUP(FME_Ranking2[[#This Row],[FME ID]],FME_Input[FME_ID],FME_Input[POP100])</f>
        <v>0</v>
      </c>
      <c r="Q412" s="35" t="e">
        <f>FME_Ranking_Option2!$P412*P$4</f>
        <v>#REF!</v>
      </c>
      <c r="R412" s="35">
        <f>FME_Ranking_Option2!$P412/($P$3)</f>
        <v>0</v>
      </c>
      <c r="S412" s="35" t="e">
        <f>FME_Ranking_Option2!$R412*P$4</f>
        <v>#REF!</v>
      </c>
      <c r="T412" s="37">
        <f>_xlfn.XLOOKUP(FME_Ranking2[[#This Row],[FME ID]],FME_Input[FME_ID],FME_Input[CRITFAC100])</f>
        <v>0</v>
      </c>
      <c r="U412" s="35" t="e">
        <f>FME_Ranking_Option2!$T412*T$4</f>
        <v>#REF!</v>
      </c>
      <c r="V412" s="35">
        <f>FME_Ranking_Option2!$T412/($T$3)</f>
        <v>0</v>
      </c>
      <c r="W412" s="35" t="e">
        <f>FME_Ranking_Option2!$V412*T$4</f>
        <v>#REF!</v>
      </c>
      <c r="X412" s="37">
        <f>_xlfn.XLOOKUP(FME_Ranking2[[#This Row],[FME ID]],FME_Input[FME_ID],FME_Input[LWC])</f>
        <v>0</v>
      </c>
      <c r="Y412" s="35" t="e">
        <f>FME_Ranking_Option2!$X412*X$4</f>
        <v>#REF!</v>
      </c>
      <c r="Z412" s="35">
        <f>FME_Ranking_Option2!$X412/($X$3)</f>
        <v>0</v>
      </c>
      <c r="AA412" s="35" t="e">
        <f>FME_Ranking_Option2!$Z412*X$4</f>
        <v>#REF!</v>
      </c>
      <c r="AB412" s="37">
        <f>_xlfn.XLOOKUP(FME_Ranking2[[#This Row],[FME ID]],FME_Input[FME_ID],FME_Input[ROADCLS])</f>
        <v>0</v>
      </c>
      <c r="AC412" s="35" t="e">
        <f>FME_Ranking_Option2!$AB412*AB$4</f>
        <v>#REF!</v>
      </c>
      <c r="AD412" s="40">
        <f>_xlfn.XLOOKUP(FME_Ranking2[[#This Row],[FME ID]],FME_Input[FME_ID],FME_Input[ROAD_MILES100])</f>
        <v>0</v>
      </c>
      <c r="AE412" s="41" t="e">
        <f>FME_Ranking_Option2!$AD412*AD$4</f>
        <v>#REF!</v>
      </c>
      <c r="AF412" s="42">
        <f>FME_Ranking_Option2!$AD412/($AD$3)</f>
        <v>0</v>
      </c>
      <c r="AG412" s="42" t="e">
        <f>FME_Ranking_Option2!$AF412*AD$4</f>
        <v>#REF!</v>
      </c>
      <c r="AH412" s="40">
        <f>_xlfn.XLOOKUP(FME_Ranking2[[#This Row],[FME ID]],FME_Input[FME_ID],FME_Input[FARMACRE100])</f>
        <v>0</v>
      </c>
      <c r="AI412" s="43" t="e">
        <f>FME_Ranking_Option2!$AH412*AH$4</f>
        <v>#REF!</v>
      </c>
      <c r="AJ412" s="41">
        <f>FME_Ranking_Option2!$AH412/($AH$3)</f>
        <v>0</v>
      </c>
      <c r="AK412" s="44" t="e">
        <f>FME_Ranking_Option2!$AJ412*AH$4</f>
        <v>#REF!</v>
      </c>
      <c r="AL412"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12" s="58" t="e">
        <f>_xlfn.RANK.EQ(AL412,$AL$7:$AL$531)+COUNTIF(AL$7:AL412,AL412)-1</f>
        <v>#REF!</v>
      </c>
      <c r="AN412" s="44"/>
      <c r="AO412" s="58" t="e">
        <f>_xlfn.RANK.EQ(AN412,$AN$7:$AN$531)+COUNTIF(AN$7:AN412,AN412)-1</f>
        <v>#N/A</v>
      </c>
      <c r="AP41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12" s="32" t="e">
        <f>FME_Ranking2[[#This Row],[Score Based on Reported Factors]]-FME_Ranking2[[#This Row],[Check]]</f>
        <v>#REF!</v>
      </c>
      <c r="AR412" s="32"/>
    </row>
    <row r="413" spans="1:55" ht="12" customHeight="1" x14ac:dyDescent="0.25">
      <c r="A413" s="16" t="s">
        <v>290</v>
      </c>
      <c r="B413" s="16" t="str">
        <f>_xlfn.XLOOKUP(FME_Ranking2[[#This Row],[FME ID]],FME_Input[FME_ID],FME_Input[FME_NAME])</f>
        <v>800 Block W San Antonio</v>
      </c>
      <c r="C413" s="16" t="str">
        <f>_xlfn.XLOOKUP(FME_Ranking2[[#This Row],[FME ID]],FME_Input[FME_ID],FME_Input[DESCR])</f>
        <v>Channels, drop structures, &amp; 2 box culverts: 7' x 4'</v>
      </c>
      <c r="D413" s="46" t="str">
        <f>_xlfn.XLOOKUP(FME_Ranking2[[#This Row],[FME ID]],FME_Input[FME_ID],FME_Input[EMER_NEED])</f>
        <v>No</v>
      </c>
      <c r="E413" s="121">
        <f>IF(FME_Ranking_Option2!$D413="Yes",100,0)</f>
        <v>0</v>
      </c>
      <c r="F413" s="47" t="str">
        <f>_xlfn.XLOOKUP(FME_Ranking2[[#This Row],[FME ID]],FME_Input[FME_ID],FME_Input[FUND])</f>
        <v>No</v>
      </c>
      <c r="G413" s="48">
        <f>IF(FME_Ranking_Option2!$F413="Yes",1,0)</f>
        <v>0</v>
      </c>
      <c r="H413" s="46">
        <f>_xlfn.XLOOKUP(FME_Ranking2[[#This Row],[FME ID]],FME_Input[FME_ID],FME_Input[STRUCT_100])</f>
        <v>0</v>
      </c>
      <c r="I413" s="65" t="e">
        <f>FME_Ranking2[[#This Row],[Raw Data3]]*H$4</f>
        <v>#REF!</v>
      </c>
      <c r="J413" s="62">
        <f>((FME_Ranking_Option2!$H413)/($H$3))*100</f>
        <v>0</v>
      </c>
      <c r="K413" s="49" t="e">
        <f>FME_Ranking2[[#This Row],[Norm Data3]]*H$4</f>
        <v>#REF!</v>
      </c>
      <c r="L413" s="50">
        <f>_xlfn.XLOOKUP(FME_Ranking2[[#This Row],[FME ID]],FME_Input[FME_ID],FME_Input[RES_STRUCT100])</f>
        <v>0</v>
      </c>
      <c r="M413" s="51" t="e">
        <f>FME_Ranking2[[#This Row],[Raw Data4]]*L$4</f>
        <v>#REF!</v>
      </c>
      <c r="N413" s="29">
        <f>((FME_Ranking_Option2!$L413)/($L$3))*100</f>
        <v>0</v>
      </c>
      <c r="O413" s="52" t="e">
        <f>FME_Ranking2[[#This Row],[Norm Data4]]*L$4</f>
        <v>#REF!</v>
      </c>
      <c r="P413" s="47">
        <f>_xlfn.XLOOKUP(FME_Ranking2[[#This Row],[FME ID]],FME_Input[FME_ID],FME_Input[POP100])</f>
        <v>0</v>
      </c>
      <c r="Q413" s="48" t="e">
        <f>FME_Ranking_Option2!$P413*P$4</f>
        <v>#REF!</v>
      </c>
      <c r="R413" s="48">
        <f>FME_Ranking_Option2!$P413/($P$3)</f>
        <v>0</v>
      </c>
      <c r="S413" s="48" t="e">
        <f>FME_Ranking_Option2!$R413*P$4</f>
        <v>#REF!</v>
      </c>
      <c r="T413" s="50">
        <f>_xlfn.XLOOKUP(FME_Ranking2[[#This Row],[FME ID]],FME_Input[FME_ID],FME_Input[CRITFAC100])</f>
        <v>0</v>
      </c>
      <c r="U413" s="48" t="e">
        <f>FME_Ranking_Option2!$T413*T$4</f>
        <v>#REF!</v>
      </c>
      <c r="V413" s="48">
        <f>FME_Ranking_Option2!$T413/($T$3)</f>
        <v>0</v>
      </c>
      <c r="W413" s="48" t="e">
        <f>FME_Ranking_Option2!$V413*T$4</f>
        <v>#REF!</v>
      </c>
      <c r="X413" s="50">
        <f>_xlfn.XLOOKUP(FME_Ranking2[[#This Row],[FME ID]],FME_Input[FME_ID],FME_Input[LWC])</f>
        <v>0</v>
      </c>
      <c r="Y413" s="48" t="e">
        <f>FME_Ranking_Option2!$X413*X$4</f>
        <v>#REF!</v>
      </c>
      <c r="Z413" s="48">
        <f>FME_Ranking_Option2!$X413/($X$3)</f>
        <v>0</v>
      </c>
      <c r="AA413" s="48" t="e">
        <f>FME_Ranking_Option2!$Z413*X$4</f>
        <v>#REF!</v>
      </c>
      <c r="AB413" s="50">
        <f>_xlfn.XLOOKUP(FME_Ranking2[[#This Row],[FME ID]],FME_Input[FME_ID],FME_Input[ROADCLS])</f>
        <v>0</v>
      </c>
      <c r="AC413" s="48" t="e">
        <f>FME_Ranking_Option2!$AB413*AB$4</f>
        <v>#REF!</v>
      </c>
      <c r="AD413" s="53">
        <f>_xlfn.XLOOKUP(FME_Ranking2[[#This Row],[FME ID]],FME_Input[FME_ID],FME_Input[ROAD_MILES100])</f>
        <v>0</v>
      </c>
      <c r="AE413" s="54" t="e">
        <f>FME_Ranking_Option2!$AD413*AD$4</f>
        <v>#REF!</v>
      </c>
      <c r="AF413" s="55">
        <f>FME_Ranking_Option2!$AD413/($AD$3)</f>
        <v>0</v>
      </c>
      <c r="AG413" s="55" t="e">
        <f>FME_Ranking_Option2!$AF413*AD$4</f>
        <v>#REF!</v>
      </c>
      <c r="AH413" s="53">
        <f>_xlfn.XLOOKUP(FME_Ranking2[[#This Row],[FME ID]],FME_Input[FME_ID],FME_Input[FARMACRE100])</f>
        <v>0</v>
      </c>
      <c r="AI413" s="54" t="e">
        <f>FME_Ranking_Option2!$AH413*AH$4</f>
        <v>#REF!</v>
      </c>
      <c r="AJ413" s="56">
        <f>FME_Ranking_Option2!$AH413/($AH$3)</f>
        <v>0</v>
      </c>
      <c r="AK413" s="57" t="e">
        <f>FME_Ranking_Option2!$AJ413*AH$4</f>
        <v>#REF!</v>
      </c>
      <c r="AL413"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13" s="45" t="e">
        <f>_xlfn.RANK.EQ(AL413,$AL$7:$AL$531)+COUNTIF(AL$7:AL413,AL413)-1</f>
        <v>#REF!</v>
      </c>
      <c r="AN413" s="57"/>
      <c r="AO413" s="45" t="e">
        <f>_xlfn.RANK.EQ(AN413,$AN$7:$AN$531)+COUNTIF(AN$7:AN413,AN413)-1</f>
        <v>#N/A</v>
      </c>
      <c r="AP41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13" s="32" t="e">
        <f>FME_Ranking2[[#This Row],[Score Based on Reported Factors]]-FME_Ranking2[[#This Row],[Check]]</f>
        <v>#REF!</v>
      </c>
      <c r="AR413" s="32"/>
      <c r="AT413" s="19"/>
      <c r="AU413" s="19"/>
      <c r="AV413" s="19"/>
      <c r="AW413" s="19"/>
      <c r="AX413" s="19"/>
      <c r="AY413" s="19"/>
      <c r="AZ413" s="19"/>
      <c r="BA413" s="19"/>
      <c r="BB413" s="19"/>
      <c r="BC413" s="19"/>
    </row>
    <row r="414" spans="1:55" ht="12" customHeight="1" x14ac:dyDescent="0.25">
      <c r="A414" s="17" t="s">
        <v>296</v>
      </c>
      <c r="B414" s="17" t="str">
        <f>_xlfn.XLOOKUP(FME_Ranking2[[#This Row],[FME ID]],FME_Input[FME_ID],FME_Input[FME_NAME])</f>
        <v>South End of Acorn Street</v>
      </c>
      <c r="C414" s="17" t="str">
        <f>_xlfn.XLOOKUP(FME_Ranking2[[#This Row],[FME ID]],FME_Input[FME_ID],FME_Input[DESCR])</f>
        <v>Rollup curb at driveway edge</v>
      </c>
      <c r="D414" s="33" t="str">
        <f>_xlfn.XLOOKUP(FME_Ranking2[[#This Row],[FME ID]],FME_Input[FME_ID],FME_Input[EMER_NEED])</f>
        <v>No</v>
      </c>
      <c r="E414" s="120">
        <f>IF(FME_Ranking_Option2!$D414="Yes",100,0)</f>
        <v>0</v>
      </c>
      <c r="F414" s="34" t="str">
        <f>_xlfn.XLOOKUP(FME_Ranking2[[#This Row],[FME ID]],FME_Input[FME_ID],FME_Input[FUND])</f>
        <v>No</v>
      </c>
      <c r="G414" s="35">
        <f>IF(FME_Ranking_Option2!$F414="Yes",1,0)</f>
        <v>0</v>
      </c>
      <c r="H414" s="33">
        <f>_xlfn.XLOOKUP(FME_Ranking2[[#This Row],[FME ID]],FME_Input[FME_ID],FME_Input[STRUCT_100])</f>
        <v>0</v>
      </c>
      <c r="I414" s="64" t="e">
        <f>FME_Ranking2[[#This Row],[Raw Data3]]*H$4</f>
        <v>#REF!</v>
      </c>
      <c r="J414" s="63">
        <f>((FME_Ranking_Option2!$H414)/($H$3))*100</f>
        <v>0</v>
      </c>
      <c r="K414" s="36" t="e">
        <f>FME_Ranking2[[#This Row],[Norm Data3]]*H$4</f>
        <v>#REF!</v>
      </c>
      <c r="L414" s="37">
        <f>_xlfn.XLOOKUP(FME_Ranking2[[#This Row],[FME ID]],FME_Input[FME_ID],FME_Input[RES_STRUCT100])</f>
        <v>0</v>
      </c>
      <c r="M414" s="38" t="e">
        <f>FME_Ranking2[[#This Row],[Raw Data4]]*L$4</f>
        <v>#REF!</v>
      </c>
      <c r="N414" s="28">
        <f>((FME_Ranking_Option2!$L414)/($L$3))*100</f>
        <v>0</v>
      </c>
      <c r="O414" s="39" t="e">
        <f>FME_Ranking2[[#This Row],[Norm Data4]]*L$4</f>
        <v>#REF!</v>
      </c>
      <c r="P414" s="34">
        <f>_xlfn.XLOOKUP(FME_Ranking2[[#This Row],[FME ID]],FME_Input[FME_ID],FME_Input[POP100])</f>
        <v>0</v>
      </c>
      <c r="Q414" s="35" t="e">
        <f>FME_Ranking_Option2!$P414*P$4</f>
        <v>#REF!</v>
      </c>
      <c r="R414" s="35">
        <f>FME_Ranking_Option2!$P414/($P$3)</f>
        <v>0</v>
      </c>
      <c r="S414" s="35" t="e">
        <f>FME_Ranking_Option2!$R414*P$4</f>
        <v>#REF!</v>
      </c>
      <c r="T414" s="37">
        <f>_xlfn.XLOOKUP(FME_Ranking2[[#This Row],[FME ID]],FME_Input[FME_ID],FME_Input[CRITFAC100])</f>
        <v>0</v>
      </c>
      <c r="U414" s="35" t="e">
        <f>FME_Ranking_Option2!$T414*T$4</f>
        <v>#REF!</v>
      </c>
      <c r="V414" s="35">
        <f>FME_Ranking_Option2!$T414/($T$3)</f>
        <v>0</v>
      </c>
      <c r="W414" s="35" t="e">
        <f>FME_Ranking_Option2!$V414*T$4</f>
        <v>#REF!</v>
      </c>
      <c r="X414" s="37">
        <f>_xlfn.XLOOKUP(FME_Ranking2[[#This Row],[FME ID]],FME_Input[FME_ID],FME_Input[LWC])</f>
        <v>0</v>
      </c>
      <c r="Y414" s="35" t="e">
        <f>FME_Ranking_Option2!$X414*X$4</f>
        <v>#REF!</v>
      </c>
      <c r="Z414" s="35">
        <f>FME_Ranking_Option2!$X414/($X$3)</f>
        <v>0</v>
      </c>
      <c r="AA414" s="35" t="e">
        <f>FME_Ranking_Option2!$Z414*X$4</f>
        <v>#REF!</v>
      </c>
      <c r="AB414" s="37">
        <f>_xlfn.XLOOKUP(FME_Ranking2[[#This Row],[FME ID]],FME_Input[FME_ID],FME_Input[ROADCLS])</f>
        <v>0</v>
      </c>
      <c r="AC414" s="35" t="e">
        <f>FME_Ranking_Option2!$AB414*AB$4</f>
        <v>#REF!</v>
      </c>
      <c r="AD414" s="40">
        <f>_xlfn.XLOOKUP(FME_Ranking2[[#This Row],[FME ID]],FME_Input[FME_ID],FME_Input[ROAD_MILES100])</f>
        <v>0</v>
      </c>
      <c r="AE414" s="41" t="e">
        <f>FME_Ranking_Option2!$AD414*AD$4</f>
        <v>#REF!</v>
      </c>
      <c r="AF414" s="42">
        <f>FME_Ranking_Option2!$AD414/($AD$3)</f>
        <v>0</v>
      </c>
      <c r="AG414" s="42" t="e">
        <f>FME_Ranking_Option2!$AF414*AD$4</f>
        <v>#REF!</v>
      </c>
      <c r="AH414" s="40">
        <f>_xlfn.XLOOKUP(FME_Ranking2[[#This Row],[FME ID]],FME_Input[FME_ID],FME_Input[FARMACRE100])</f>
        <v>1.9231413025408981E-3</v>
      </c>
      <c r="AI414" s="43" t="e">
        <f>FME_Ranking_Option2!$AH414*AH$4</f>
        <v>#REF!</v>
      </c>
      <c r="AJ414" s="41">
        <f>FME_Ranking_Option2!$AH414/($AH$3)</f>
        <v>1.1166900687157545E-7</v>
      </c>
      <c r="AK414" s="44" t="e">
        <f>FME_Ranking_Option2!$AJ414*AH$4</f>
        <v>#REF!</v>
      </c>
      <c r="AL414"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14" s="58" t="e">
        <f>_xlfn.RANK.EQ(AL414,$AL$7:$AL$531)+COUNTIF(AL$7:AL414,AL414)-1</f>
        <v>#REF!</v>
      </c>
      <c r="AN414" s="44"/>
      <c r="AO414" s="58" t="e">
        <f>_xlfn.RANK.EQ(AN414,$AN$7:$AN$531)+COUNTIF(AN$7:AN414,AN414)-1</f>
        <v>#N/A</v>
      </c>
      <c r="AP41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14" s="32" t="e">
        <f>FME_Ranking2[[#This Row],[Score Based on Reported Factors]]-FME_Ranking2[[#This Row],[Check]]</f>
        <v>#REF!</v>
      </c>
      <c r="AR414" s="32"/>
    </row>
    <row r="415" spans="1:55" ht="12" customHeight="1" x14ac:dyDescent="0.25">
      <c r="A415" s="16" t="s">
        <v>299</v>
      </c>
      <c r="B415" s="16" t="str">
        <f>_xlfn.XLOOKUP(FME_Ranking2[[#This Row],[FME ID]],FME_Input[FME_ID],FME_Input[FME_NAME])</f>
        <v>Bowie &amp; Peach Street</v>
      </c>
      <c r="C415" s="16" t="str">
        <f>_xlfn.XLOOKUP(FME_Ranking2[[#This Row],[FME ID]],FME_Input[FME_ID],FME_Input[DESCR])</f>
        <v>Storm sewer system &amp; curb inlets with two 36" RCPs</v>
      </c>
      <c r="D415" s="46" t="str">
        <f>_xlfn.XLOOKUP(FME_Ranking2[[#This Row],[FME ID]],FME_Input[FME_ID],FME_Input[EMER_NEED])</f>
        <v>No</v>
      </c>
      <c r="E415" s="121">
        <f>IF(FME_Ranking_Option2!$D415="Yes",100,0)</f>
        <v>0</v>
      </c>
      <c r="F415" s="47" t="str">
        <f>_xlfn.XLOOKUP(FME_Ranking2[[#This Row],[FME ID]],FME_Input[FME_ID],FME_Input[FUND])</f>
        <v>No</v>
      </c>
      <c r="G415" s="48">
        <f>IF(FME_Ranking_Option2!$F415="Yes",1,0)</f>
        <v>0</v>
      </c>
      <c r="H415" s="46">
        <f>_xlfn.XLOOKUP(FME_Ranking2[[#This Row],[FME ID]],FME_Input[FME_ID],FME_Input[STRUCT_100])</f>
        <v>0</v>
      </c>
      <c r="I415" s="65" t="e">
        <f>FME_Ranking2[[#This Row],[Raw Data3]]*H$4</f>
        <v>#REF!</v>
      </c>
      <c r="J415" s="62">
        <f>((FME_Ranking_Option2!$H415)/($H$3))*100</f>
        <v>0</v>
      </c>
      <c r="K415" s="49" t="e">
        <f>FME_Ranking2[[#This Row],[Norm Data3]]*H$4</f>
        <v>#REF!</v>
      </c>
      <c r="L415" s="50">
        <f>_xlfn.XLOOKUP(FME_Ranking2[[#This Row],[FME ID]],FME_Input[FME_ID],FME_Input[RES_STRUCT100])</f>
        <v>0</v>
      </c>
      <c r="M415" s="51" t="e">
        <f>FME_Ranking2[[#This Row],[Raw Data4]]*L$4</f>
        <v>#REF!</v>
      </c>
      <c r="N415" s="29">
        <f>((FME_Ranking_Option2!$L415)/($L$3))*100</f>
        <v>0</v>
      </c>
      <c r="O415" s="52" t="e">
        <f>FME_Ranking2[[#This Row],[Norm Data4]]*L$4</f>
        <v>#REF!</v>
      </c>
      <c r="P415" s="47">
        <f>_xlfn.XLOOKUP(FME_Ranking2[[#This Row],[FME ID]],FME_Input[FME_ID],FME_Input[POP100])</f>
        <v>0</v>
      </c>
      <c r="Q415" s="48" t="e">
        <f>FME_Ranking_Option2!$P415*P$4</f>
        <v>#REF!</v>
      </c>
      <c r="R415" s="48">
        <f>FME_Ranking_Option2!$P415/($P$3)</f>
        <v>0</v>
      </c>
      <c r="S415" s="48" t="e">
        <f>FME_Ranking_Option2!$R415*P$4</f>
        <v>#REF!</v>
      </c>
      <c r="T415" s="50">
        <f>_xlfn.XLOOKUP(FME_Ranking2[[#This Row],[FME ID]],FME_Input[FME_ID],FME_Input[CRITFAC100])</f>
        <v>0</v>
      </c>
      <c r="U415" s="48" t="e">
        <f>FME_Ranking_Option2!$T415*T$4</f>
        <v>#REF!</v>
      </c>
      <c r="V415" s="48">
        <f>FME_Ranking_Option2!$T415/($T$3)</f>
        <v>0</v>
      </c>
      <c r="W415" s="48" t="e">
        <f>FME_Ranking_Option2!$V415*T$4</f>
        <v>#REF!</v>
      </c>
      <c r="X415" s="50">
        <f>_xlfn.XLOOKUP(FME_Ranking2[[#This Row],[FME ID]],FME_Input[FME_ID],FME_Input[LWC])</f>
        <v>0</v>
      </c>
      <c r="Y415" s="48" t="e">
        <f>FME_Ranking_Option2!$X415*X$4</f>
        <v>#REF!</v>
      </c>
      <c r="Z415" s="48">
        <f>FME_Ranking_Option2!$X415/($X$3)</f>
        <v>0</v>
      </c>
      <c r="AA415" s="48" t="e">
        <f>FME_Ranking_Option2!$Z415*X$4</f>
        <v>#REF!</v>
      </c>
      <c r="AB415" s="50">
        <f>_xlfn.XLOOKUP(FME_Ranking2[[#This Row],[FME ID]],FME_Input[FME_ID],FME_Input[ROADCLS])</f>
        <v>0</v>
      </c>
      <c r="AC415" s="48" t="e">
        <f>FME_Ranking_Option2!$AB415*AB$4</f>
        <v>#REF!</v>
      </c>
      <c r="AD415" s="53">
        <f>_xlfn.XLOOKUP(FME_Ranking2[[#This Row],[FME ID]],FME_Input[FME_ID],FME_Input[ROAD_MILES100])</f>
        <v>0</v>
      </c>
      <c r="AE415" s="54" t="e">
        <f>FME_Ranking_Option2!$AD415*AD$4</f>
        <v>#REF!</v>
      </c>
      <c r="AF415" s="55">
        <f>FME_Ranking_Option2!$AD415/($AD$3)</f>
        <v>0</v>
      </c>
      <c r="AG415" s="55" t="e">
        <f>FME_Ranking_Option2!$AF415*AD$4</f>
        <v>#REF!</v>
      </c>
      <c r="AH415" s="53">
        <f>_xlfn.XLOOKUP(FME_Ranking2[[#This Row],[FME ID]],FME_Input[FME_ID],FME_Input[FARMACRE100])</f>
        <v>0</v>
      </c>
      <c r="AI415" s="54" t="e">
        <f>FME_Ranking_Option2!$AH415*AH$4</f>
        <v>#REF!</v>
      </c>
      <c r="AJ415" s="56">
        <f>FME_Ranking_Option2!$AH415/($AH$3)</f>
        <v>0</v>
      </c>
      <c r="AK415" s="57" t="e">
        <f>FME_Ranking_Option2!$AJ415*AH$4</f>
        <v>#REF!</v>
      </c>
      <c r="AL415"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15" s="45" t="e">
        <f>_xlfn.RANK.EQ(AL415,$AL$7:$AL$531)+COUNTIF(AL$7:AL415,AL415)-1</f>
        <v>#REF!</v>
      </c>
      <c r="AN415" s="57"/>
      <c r="AO415" s="45" t="e">
        <f>_xlfn.RANK.EQ(AN415,$AN$7:$AN$531)+COUNTIF(AN$7:AN415,AN415)-1</f>
        <v>#N/A</v>
      </c>
      <c r="AP41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15" s="32" t="e">
        <f>FME_Ranking2[[#This Row],[Score Based on Reported Factors]]-FME_Ranking2[[#This Row],[Check]]</f>
        <v>#REF!</v>
      </c>
      <c r="AR415" s="32"/>
      <c r="AT415" s="19"/>
      <c r="AU415" s="19"/>
      <c r="AV415" s="19"/>
      <c r="AW415" s="19"/>
      <c r="AX415" s="19"/>
      <c r="AY415" s="19"/>
      <c r="AZ415" s="19"/>
      <c r="BA415" s="19"/>
      <c r="BB415" s="19"/>
      <c r="BC415" s="19"/>
    </row>
    <row r="416" spans="1:55" ht="12" customHeight="1" x14ac:dyDescent="0.25">
      <c r="A416" s="17" t="s">
        <v>301</v>
      </c>
      <c r="B416" s="17" t="str">
        <f>_xlfn.XLOOKUP(FME_Ranking2[[#This Row],[FME ID]],FME_Input[FME_ID],FME_Input[FME_NAME])</f>
        <v>Edison &amp; Creek Street</v>
      </c>
      <c r="C416" s="17" t="str">
        <f>_xlfn.XLOOKUP(FME_Ranking2[[#This Row],[FME ID]],FME_Input[FME_ID],FME_Input[DESCR])</f>
        <v>Replace culverts: _x000D_
two 8' x 3' box culverts _x000D_
Add concrete channel</v>
      </c>
      <c r="D416" s="33" t="str">
        <f>_xlfn.XLOOKUP(FME_Ranking2[[#This Row],[FME ID]],FME_Input[FME_ID],FME_Input[EMER_NEED])</f>
        <v>No</v>
      </c>
      <c r="E416" s="120">
        <f>IF(FME_Ranking_Option2!$D416="Yes",100,0)</f>
        <v>0</v>
      </c>
      <c r="F416" s="34" t="str">
        <f>_xlfn.XLOOKUP(FME_Ranking2[[#This Row],[FME ID]],FME_Input[FME_ID],FME_Input[FUND])</f>
        <v>No</v>
      </c>
      <c r="G416" s="35">
        <f>IF(FME_Ranking_Option2!$F416="Yes",1,0)</f>
        <v>0</v>
      </c>
      <c r="H416" s="33">
        <f>_xlfn.XLOOKUP(FME_Ranking2[[#This Row],[FME ID]],FME_Input[FME_ID],FME_Input[STRUCT_100])</f>
        <v>0</v>
      </c>
      <c r="I416" s="64" t="e">
        <f>FME_Ranking2[[#This Row],[Raw Data3]]*H$4</f>
        <v>#REF!</v>
      </c>
      <c r="J416" s="63">
        <f>((FME_Ranking_Option2!$H416)/($H$3))*100</f>
        <v>0</v>
      </c>
      <c r="K416" s="36" t="e">
        <f>FME_Ranking2[[#This Row],[Norm Data3]]*H$4</f>
        <v>#REF!</v>
      </c>
      <c r="L416" s="37">
        <f>_xlfn.XLOOKUP(FME_Ranking2[[#This Row],[FME ID]],FME_Input[FME_ID],FME_Input[RES_STRUCT100])</f>
        <v>0</v>
      </c>
      <c r="M416" s="38" t="e">
        <f>FME_Ranking2[[#This Row],[Raw Data4]]*L$4</f>
        <v>#REF!</v>
      </c>
      <c r="N416" s="28">
        <f>((FME_Ranking_Option2!$L416)/($L$3))*100</f>
        <v>0</v>
      </c>
      <c r="O416" s="39" t="e">
        <f>FME_Ranking2[[#This Row],[Norm Data4]]*L$4</f>
        <v>#REF!</v>
      </c>
      <c r="P416" s="34">
        <f>_xlfn.XLOOKUP(FME_Ranking2[[#This Row],[FME ID]],FME_Input[FME_ID],FME_Input[POP100])</f>
        <v>0</v>
      </c>
      <c r="Q416" s="35" t="e">
        <f>FME_Ranking_Option2!$P416*P$4</f>
        <v>#REF!</v>
      </c>
      <c r="R416" s="35">
        <f>FME_Ranking_Option2!$P416/($P$3)</f>
        <v>0</v>
      </c>
      <c r="S416" s="35" t="e">
        <f>FME_Ranking_Option2!$R416*P$4</f>
        <v>#REF!</v>
      </c>
      <c r="T416" s="37">
        <f>_xlfn.XLOOKUP(FME_Ranking2[[#This Row],[FME ID]],FME_Input[FME_ID],FME_Input[CRITFAC100])</f>
        <v>0</v>
      </c>
      <c r="U416" s="35" t="e">
        <f>FME_Ranking_Option2!$T416*T$4</f>
        <v>#REF!</v>
      </c>
      <c r="V416" s="35">
        <f>FME_Ranking_Option2!$T416/($T$3)</f>
        <v>0</v>
      </c>
      <c r="W416" s="35" t="e">
        <f>FME_Ranking_Option2!$V416*T$4</f>
        <v>#REF!</v>
      </c>
      <c r="X416" s="37">
        <f>_xlfn.XLOOKUP(FME_Ranking2[[#This Row],[FME ID]],FME_Input[FME_ID],FME_Input[LWC])</f>
        <v>0</v>
      </c>
      <c r="Y416" s="35" t="e">
        <f>FME_Ranking_Option2!$X416*X$4</f>
        <v>#REF!</v>
      </c>
      <c r="Z416" s="35">
        <f>FME_Ranking_Option2!$X416/($X$3)</f>
        <v>0</v>
      </c>
      <c r="AA416" s="35" t="e">
        <f>FME_Ranking_Option2!$Z416*X$4</f>
        <v>#REF!</v>
      </c>
      <c r="AB416" s="37">
        <f>_xlfn.XLOOKUP(FME_Ranking2[[#This Row],[FME ID]],FME_Input[FME_ID],FME_Input[ROADCLS])</f>
        <v>0</v>
      </c>
      <c r="AC416" s="35" t="e">
        <f>FME_Ranking_Option2!$AB416*AB$4</f>
        <v>#REF!</v>
      </c>
      <c r="AD416" s="40">
        <f>_xlfn.XLOOKUP(FME_Ranking2[[#This Row],[FME ID]],FME_Input[FME_ID],FME_Input[ROAD_MILES100])</f>
        <v>0</v>
      </c>
      <c r="AE416" s="41" t="e">
        <f>FME_Ranking_Option2!$AD416*AD$4</f>
        <v>#REF!</v>
      </c>
      <c r="AF416" s="42">
        <f>FME_Ranking_Option2!$AD416/($AD$3)</f>
        <v>0</v>
      </c>
      <c r="AG416" s="42" t="e">
        <f>FME_Ranking_Option2!$AF416*AD$4</f>
        <v>#REF!</v>
      </c>
      <c r="AH416" s="40">
        <f>_xlfn.XLOOKUP(FME_Ranking2[[#This Row],[FME ID]],FME_Input[FME_ID],FME_Input[FARMACRE100])</f>
        <v>0</v>
      </c>
      <c r="AI416" s="43" t="e">
        <f>FME_Ranking_Option2!$AH416*AH$4</f>
        <v>#REF!</v>
      </c>
      <c r="AJ416" s="41">
        <f>FME_Ranking_Option2!$AH416/($AH$3)</f>
        <v>0</v>
      </c>
      <c r="AK416" s="44" t="e">
        <f>FME_Ranking_Option2!$AJ416*AH$4</f>
        <v>#REF!</v>
      </c>
      <c r="AL416"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16" s="58" t="e">
        <f>_xlfn.RANK.EQ(AL416,$AL$7:$AL$531)+COUNTIF(AL$7:AL416,AL416)-1</f>
        <v>#REF!</v>
      </c>
      <c r="AN416" s="44"/>
      <c r="AO416" s="58" t="e">
        <f>_xlfn.RANK.EQ(AN416,$AN$7:$AN$531)+COUNTIF(AN$7:AN416,AN416)-1</f>
        <v>#N/A</v>
      </c>
      <c r="AP41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16" s="32" t="e">
        <f>FME_Ranking2[[#This Row],[Score Based on Reported Factors]]-FME_Ranking2[[#This Row],[Check]]</f>
        <v>#REF!</v>
      </c>
      <c r="AR416" s="32"/>
    </row>
    <row r="417" spans="1:55" ht="12" customHeight="1" x14ac:dyDescent="0.25">
      <c r="A417" s="16" t="s">
        <v>303</v>
      </c>
      <c r="B417" s="16" t="str">
        <f>_xlfn.XLOOKUP(FME_Ranking2[[#This Row],[FME ID]],FME_Input[FME_ID],FME_Input[FME_NAME])</f>
        <v>112 W Park</v>
      </c>
      <c r="C417" s="16" t="str">
        <f>_xlfn.XLOOKUP(FME_Ranking2[[#This Row],[FME ID]],FME_Input[FME_ID],FME_Input[DESCR])</f>
        <v>Extend curb to direct water to new vegetated channel with drop structure outfall to Barons Creek</v>
      </c>
      <c r="D417" s="46" t="str">
        <f>_xlfn.XLOOKUP(FME_Ranking2[[#This Row],[FME ID]],FME_Input[FME_ID],FME_Input[EMER_NEED])</f>
        <v>No</v>
      </c>
      <c r="E417" s="121">
        <f>IF(FME_Ranking_Option2!$D417="Yes",100,0)</f>
        <v>0</v>
      </c>
      <c r="F417" s="47" t="str">
        <f>_xlfn.XLOOKUP(FME_Ranking2[[#This Row],[FME ID]],FME_Input[FME_ID],FME_Input[FUND])</f>
        <v>No</v>
      </c>
      <c r="G417" s="48">
        <f>IF(FME_Ranking_Option2!$F417="Yes",1,0)</f>
        <v>0</v>
      </c>
      <c r="H417" s="46">
        <f>_xlfn.XLOOKUP(FME_Ranking2[[#This Row],[FME ID]],FME_Input[FME_ID],FME_Input[STRUCT_100])</f>
        <v>0</v>
      </c>
      <c r="I417" s="65" t="e">
        <f>FME_Ranking2[[#This Row],[Raw Data3]]*H$4</f>
        <v>#REF!</v>
      </c>
      <c r="J417" s="62">
        <f>((FME_Ranking_Option2!$H417)/($H$3))*100</f>
        <v>0</v>
      </c>
      <c r="K417" s="49" t="e">
        <f>FME_Ranking2[[#This Row],[Norm Data3]]*H$4</f>
        <v>#REF!</v>
      </c>
      <c r="L417" s="50">
        <f>_xlfn.XLOOKUP(FME_Ranking2[[#This Row],[FME ID]],FME_Input[FME_ID],FME_Input[RES_STRUCT100])</f>
        <v>0</v>
      </c>
      <c r="M417" s="51" t="e">
        <f>FME_Ranking2[[#This Row],[Raw Data4]]*L$4</f>
        <v>#REF!</v>
      </c>
      <c r="N417" s="29">
        <f>((FME_Ranking_Option2!$L417)/($L$3))*100</f>
        <v>0</v>
      </c>
      <c r="O417" s="52" t="e">
        <f>FME_Ranking2[[#This Row],[Norm Data4]]*L$4</f>
        <v>#REF!</v>
      </c>
      <c r="P417" s="47">
        <f>_xlfn.XLOOKUP(FME_Ranking2[[#This Row],[FME ID]],FME_Input[FME_ID],FME_Input[POP100])</f>
        <v>0</v>
      </c>
      <c r="Q417" s="48" t="e">
        <f>FME_Ranking_Option2!$P417*P$4</f>
        <v>#REF!</v>
      </c>
      <c r="R417" s="48">
        <f>FME_Ranking_Option2!$P417/($P$3)</f>
        <v>0</v>
      </c>
      <c r="S417" s="48" t="e">
        <f>FME_Ranking_Option2!$R417*P$4</f>
        <v>#REF!</v>
      </c>
      <c r="T417" s="50">
        <f>_xlfn.XLOOKUP(FME_Ranking2[[#This Row],[FME ID]],FME_Input[FME_ID],FME_Input[CRITFAC100])</f>
        <v>0</v>
      </c>
      <c r="U417" s="48" t="e">
        <f>FME_Ranking_Option2!$T417*T$4</f>
        <v>#REF!</v>
      </c>
      <c r="V417" s="48">
        <f>FME_Ranking_Option2!$T417/($T$3)</f>
        <v>0</v>
      </c>
      <c r="W417" s="48" t="e">
        <f>FME_Ranking_Option2!$V417*T$4</f>
        <v>#REF!</v>
      </c>
      <c r="X417" s="50">
        <f>_xlfn.XLOOKUP(FME_Ranking2[[#This Row],[FME ID]],FME_Input[FME_ID],FME_Input[LWC])</f>
        <v>0</v>
      </c>
      <c r="Y417" s="48" t="e">
        <f>FME_Ranking_Option2!$X417*X$4</f>
        <v>#REF!</v>
      </c>
      <c r="Z417" s="48">
        <f>FME_Ranking_Option2!$X417/($X$3)</f>
        <v>0</v>
      </c>
      <c r="AA417" s="48" t="e">
        <f>FME_Ranking_Option2!$Z417*X$4</f>
        <v>#REF!</v>
      </c>
      <c r="AB417" s="50">
        <f>_xlfn.XLOOKUP(FME_Ranking2[[#This Row],[FME ID]],FME_Input[FME_ID],FME_Input[ROADCLS])</f>
        <v>0</v>
      </c>
      <c r="AC417" s="48" t="e">
        <f>FME_Ranking_Option2!$AB417*AB$4</f>
        <v>#REF!</v>
      </c>
      <c r="AD417" s="53">
        <f>_xlfn.XLOOKUP(FME_Ranking2[[#This Row],[FME ID]],FME_Input[FME_ID],FME_Input[ROAD_MILES100])</f>
        <v>0</v>
      </c>
      <c r="AE417" s="54" t="e">
        <f>FME_Ranking_Option2!$AD417*AD$4</f>
        <v>#REF!</v>
      </c>
      <c r="AF417" s="55">
        <f>FME_Ranking_Option2!$AD417/($AD$3)</f>
        <v>0</v>
      </c>
      <c r="AG417" s="55" t="e">
        <f>FME_Ranking_Option2!$AF417*AD$4</f>
        <v>#REF!</v>
      </c>
      <c r="AH417" s="53">
        <f>_xlfn.XLOOKUP(FME_Ranking2[[#This Row],[FME ID]],FME_Input[FME_ID],FME_Input[FARMACRE100])</f>
        <v>0</v>
      </c>
      <c r="AI417" s="54" t="e">
        <f>FME_Ranking_Option2!$AH417*AH$4</f>
        <v>#REF!</v>
      </c>
      <c r="AJ417" s="56">
        <f>FME_Ranking_Option2!$AH417/($AH$3)</f>
        <v>0</v>
      </c>
      <c r="AK417" s="57" t="e">
        <f>FME_Ranking_Option2!$AJ417*AH$4</f>
        <v>#REF!</v>
      </c>
      <c r="AL417"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17" s="45" t="e">
        <f>_xlfn.RANK.EQ(AL417,$AL$7:$AL$531)+COUNTIF(AL$7:AL417,AL417)-1</f>
        <v>#REF!</v>
      </c>
      <c r="AN417" s="57"/>
      <c r="AO417" s="45" t="e">
        <f>_xlfn.RANK.EQ(AN417,$AN$7:$AN$531)+COUNTIF(AN$7:AN417,AN417)-1</f>
        <v>#N/A</v>
      </c>
      <c r="AP41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17" s="32" t="e">
        <f>FME_Ranking2[[#This Row],[Score Based on Reported Factors]]-FME_Ranking2[[#This Row],[Check]]</f>
        <v>#REF!</v>
      </c>
      <c r="AR417" s="32"/>
      <c r="AT417" s="19"/>
      <c r="AU417" s="19"/>
      <c r="AV417" s="19"/>
      <c r="AW417" s="19"/>
      <c r="AX417" s="19"/>
      <c r="AY417" s="19"/>
      <c r="AZ417" s="19"/>
      <c r="BA417" s="19"/>
      <c r="BB417" s="19"/>
      <c r="BC417" s="19"/>
    </row>
    <row r="418" spans="1:55" ht="12" customHeight="1" x14ac:dyDescent="0.25">
      <c r="A418" s="17" t="s">
        <v>306</v>
      </c>
      <c r="B418" s="17" t="e">
        <f>_xlfn.XLOOKUP(FME_Ranking2[[#This Row],[FME ID]],FME_Input[FME_ID],FME_Input[FME_NAME])</f>
        <v>#N/A</v>
      </c>
      <c r="C418" s="17" t="e">
        <f>_xlfn.XLOOKUP(FME_Ranking2[[#This Row],[FME ID]],FME_Input[FME_ID],FME_Input[DESCR])</f>
        <v>#N/A</v>
      </c>
      <c r="D418" s="33" t="e">
        <f>_xlfn.XLOOKUP(FME_Ranking2[[#This Row],[FME ID]],FME_Input[FME_ID],FME_Input[EMER_NEED])</f>
        <v>#N/A</v>
      </c>
      <c r="E418" s="120" t="e">
        <f>IF(FME_Ranking_Option2!$D418="Yes",100,0)</f>
        <v>#N/A</v>
      </c>
      <c r="F418" s="34" t="e">
        <f>_xlfn.XLOOKUP(FME_Ranking2[[#This Row],[FME ID]],FME_Input[FME_ID],FME_Input[FUND])</f>
        <v>#N/A</v>
      </c>
      <c r="G418" s="35" t="e">
        <f>IF(FME_Ranking_Option2!$F418="Yes",1,0)</f>
        <v>#N/A</v>
      </c>
      <c r="H418" s="33" t="e">
        <f>_xlfn.XLOOKUP(FME_Ranking2[[#This Row],[FME ID]],FME_Input[FME_ID],FME_Input[STRUCT_100])</f>
        <v>#N/A</v>
      </c>
      <c r="I418" s="64" t="e">
        <f>FME_Ranking2[[#This Row],[Raw Data3]]*H$4</f>
        <v>#N/A</v>
      </c>
      <c r="J418" s="63" t="e">
        <f>((FME_Ranking_Option2!$H418)/($H$3))*100</f>
        <v>#N/A</v>
      </c>
      <c r="K418" s="36" t="e">
        <f>FME_Ranking2[[#This Row],[Norm Data3]]*H$4</f>
        <v>#N/A</v>
      </c>
      <c r="L418" s="37" t="e">
        <f>_xlfn.XLOOKUP(FME_Ranking2[[#This Row],[FME ID]],FME_Input[FME_ID],FME_Input[RES_STRUCT100])</f>
        <v>#N/A</v>
      </c>
      <c r="M418" s="38" t="e">
        <f>FME_Ranking2[[#This Row],[Raw Data4]]*L$4</f>
        <v>#N/A</v>
      </c>
      <c r="N418" s="28" t="e">
        <f>((FME_Ranking_Option2!$L418)/($L$3))*100</f>
        <v>#N/A</v>
      </c>
      <c r="O418" s="39" t="e">
        <f>FME_Ranking2[[#This Row],[Norm Data4]]*L$4</f>
        <v>#N/A</v>
      </c>
      <c r="P418" s="34" t="e">
        <f>_xlfn.XLOOKUP(FME_Ranking2[[#This Row],[FME ID]],FME_Input[FME_ID],FME_Input[POP100])</f>
        <v>#N/A</v>
      </c>
      <c r="Q418" s="35" t="e">
        <f>FME_Ranking_Option2!$P418*P$4</f>
        <v>#N/A</v>
      </c>
      <c r="R418" s="35" t="e">
        <f>FME_Ranking_Option2!$P418/($P$3)</f>
        <v>#N/A</v>
      </c>
      <c r="S418" s="35" t="e">
        <f>FME_Ranking_Option2!$R418*P$4</f>
        <v>#N/A</v>
      </c>
      <c r="T418" s="37" t="e">
        <f>_xlfn.XLOOKUP(FME_Ranking2[[#This Row],[FME ID]],FME_Input[FME_ID],FME_Input[CRITFAC100])</f>
        <v>#N/A</v>
      </c>
      <c r="U418" s="35" t="e">
        <f>FME_Ranking_Option2!$T418*T$4</f>
        <v>#N/A</v>
      </c>
      <c r="V418" s="35" t="e">
        <f>FME_Ranking_Option2!$T418/($T$3)</f>
        <v>#N/A</v>
      </c>
      <c r="W418" s="35" t="e">
        <f>FME_Ranking_Option2!$V418*T$4</f>
        <v>#N/A</v>
      </c>
      <c r="X418" s="37" t="e">
        <f>_xlfn.XLOOKUP(FME_Ranking2[[#This Row],[FME ID]],FME_Input[FME_ID],FME_Input[LWC])</f>
        <v>#N/A</v>
      </c>
      <c r="Y418" s="35" t="e">
        <f>FME_Ranking_Option2!$X418*X$4</f>
        <v>#N/A</v>
      </c>
      <c r="Z418" s="35" t="e">
        <f>FME_Ranking_Option2!$X418/($X$3)</f>
        <v>#N/A</v>
      </c>
      <c r="AA418" s="35" t="e">
        <f>FME_Ranking_Option2!$Z418*X$4</f>
        <v>#N/A</v>
      </c>
      <c r="AB418" s="37" t="e">
        <f>_xlfn.XLOOKUP(FME_Ranking2[[#This Row],[FME ID]],FME_Input[FME_ID],FME_Input[ROADCLS])</f>
        <v>#N/A</v>
      </c>
      <c r="AC418" s="35" t="e">
        <f>FME_Ranking_Option2!$AB418*AB$4</f>
        <v>#N/A</v>
      </c>
      <c r="AD418" s="40" t="e">
        <f>_xlfn.XLOOKUP(FME_Ranking2[[#This Row],[FME ID]],FME_Input[FME_ID],FME_Input[ROAD_MILES100])</f>
        <v>#N/A</v>
      </c>
      <c r="AE418" s="41" t="e">
        <f>FME_Ranking_Option2!$AD418*AD$4</f>
        <v>#N/A</v>
      </c>
      <c r="AF418" s="42" t="e">
        <f>FME_Ranking_Option2!$AD418/($AD$3)</f>
        <v>#N/A</v>
      </c>
      <c r="AG418" s="42" t="e">
        <f>FME_Ranking_Option2!$AF418*AD$4</f>
        <v>#N/A</v>
      </c>
      <c r="AH418" s="40" t="e">
        <f>_xlfn.XLOOKUP(FME_Ranking2[[#This Row],[FME ID]],FME_Input[FME_ID],FME_Input[FARMACRE100])</f>
        <v>#N/A</v>
      </c>
      <c r="AI418" s="43" t="e">
        <f>FME_Ranking_Option2!$AH418*AH$4</f>
        <v>#N/A</v>
      </c>
      <c r="AJ418" s="41" t="e">
        <f>FME_Ranking_Option2!$AH418/($AH$3)</f>
        <v>#N/A</v>
      </c>
      <c r="AK418" s="44" t="e">
        <f>FME_Ranking_Option2!$AJ418*AH$4</f>
        <v>#N/A</v>
      </c>
      <c r="AL418"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#N/A</v>
      </c>
      <c r="AM418" s="58" t="e">
        <f>_xlfn.RANK.EQ(AL418,$AL$7:$AL$531)+COUNTIF(AL$7:AL418,AL418)-1</f>
        <v>#N/A</v>
      </c>
      <c r="AN418" s="44"/>
      <c r="AO418" s="58" t="e">
        <f>_xlfn.RANK.EQ(AN418,$AN$7:$AN$531)+COUNTIF(AN$7:AN418,AN418)-1</f>
        <v>#N/A</v>
      </c>
      <c r="AP41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#N/A</v>
      </c>
      <c r="AQ418" s="32" t="e">
        <f>FME_Ranking2[[#This Row],[Score Based on Reported Factors]]-FME_Ranking2[[#This Row],[Check]]</f>
        <v>#N/A</v>
      </c>
      <c r="AR418" s="32"/>
    </row>
    <row r="419" spans="1:55" ht="12" customHeight="1" x14ac:dyDescent="0.25">
      <c r="A419" s="16" t="s">
        <v>307</v>
      </c>
      <c r="B419" s="16" t="str">
        <f>_xlfn.XLOOKUP(FME_Ranking2[[#This Row],[FME ID]],FME_Input[FME_ID],FME_Input[FME_NAME])</f>
        <v>Trailmoor near Llano Hwy</v>
      </c>
      <c r="C419" s="16" t="str">
        <f>_xlfn.XLOOKUP(FME_Ranking2[[#This Row],[FME ID]],FME_Input[FME_ID],FME_Input[DESCR])</f>
        <v>Add stormwater system throughout watershed</v>
      </c>
      <c r="D419" s="46" t="str">
        <f>_xlfn.XLOOKUP(FME_Ranking2[[#This Row],[FME ID]],FME_Input[FME_ID],FME_Input[EMER_NEED])</f>
        <v>No</v>
      </c>
      <c r="E419" s="121">
        <f>IF(FME_Ranking_Option2!$D419="Yes",100,0)</f>
        <v>0</v>
      </c>
      <c r="F419" s="47" t="str">
        <f>_xlfn.XLOOKUP(FME_Ranking2[[#This Row],[FME ID]],FME_Input[FME_ID],FME_Input[FUND])</f>
        <v>No</v>
      </c>
      <c r="G419" s="48">
        <f>IF(FME_Ranking_Option2!$F419="Yes",1,0)</f>
        <v>0</v>
      </c>
      <c r="H419" s="46">
        <f>_xlfn.XLOOKUP(FME_Ranking2[[#This Row],[FME ID]],FME_Input[FME_ID],FME_Input[STRUCT_100])</f>
        <v>11</v>
      </c>
      <c r="I419" s="65" t="e">
        <f>FME_Ranking2[[#This Row],[Raw Data3]]*H$4</f>
        <v>#REF!</v>
      </c>
      <c r="J419" s="62">
        <f>((FME_Ranking_Option2!$H419)/($H$3))*100</f>
        <v>1.2224001493550728E-3</v>
      </c>
      <c r="K419" s="49" t="e">
        <f>FME_Ranking2[[#This Row],[Norm Data3]]*H$4</f>
        <v>#REF!</v>
      </c>
      <c r="L419" s="50">
        <f>_xlfn.XLOOKUP(FME_Ranking2[[#This Row],[FME ID]],FME_Input[FME_ID],FME_Input[RES_STRUCT100])</f>
        <v>7</v>
      </c>
      <c r="M419" s="51" t="e">
        <f>FME_Ranking2[[#This Row],[Raw Data4]]*L$4</f>
        <v>#REF!</v>
      </c>
      <c r="N419" s="29">
        <f>((FME_Ranking_Option2!$L419)/($L$3))*100</f>
        <v>1.0465208414625576E-3</v>
      </c>
      <c r="O419" s="52" t="e">
        <f>FME_Ranking2[[#This Row],[Norm Data4]]*L$4</f>
        <v>#REF!</v>
      </c>
      <c r="P419" s="47">
        <f>_xlfn.XLOOKUP(FME_Ranking2[[#This Row],[FME ID]],FME_Input[FME_ID],FME_Input[POP100])</f>
        <v>213</v>
      </c>
      <c r="Q419" s="48" t="e">
        <f>FME_Ranking_Option2!$P419*P$4</f>
        <v>#REF!</v>
      </c>
      <c r="R419" s="48">
        <f>FME_Ranking_Option2!$P419/($P$3)</f>
        <v>7.817552276669414E-5</v>
      </c>
      <c r="S419" s="48" t="e">
        <f>FME_Ranking_Option2!$R419*P$4</f>
        <v>#REF!</v>
      </c>
      <c r="T419" s="50">
        <f>_xlfn.XLOOKUP(FME_Ranking2[[#This Row],[FME ID]],FME_Input[FME_ID],FME_Input[CRITFAC100])</f>
        <v>0</v>
      </c>
      <c r="U419" s="48" t="e">
        <f>FME_Ranking_Option2!$T419*T$4</f>
        <v>#REF!</v>
      </c>
      <c r="V419" s="48">
        <f>FME_Ranking_Option2!$T419/($T$3)</f>
        <v>0</v>
      </c>
      <c r="W419" s="48" t="e">
        <f>FME_Ranking_Option2!$V419*T$4</f>
        <v>#REF!</v>
      </c>
      <c r="X419" s="50">
        <f>_xlfn.XLOOKUP(FME_Ranking2[[#This Row],[FME ID]],FME_Input[FME_ID],FME_Input[LWC])</f>
        <v>0</v>
      </c>
      <c r="Y419" s="48" t="e">
        <f>FME_Ranking_Option2!$X419*X$4</f>
        <v>#REF!</v>
      </c>
      <c r="Z419" s="48">
        <f>FME_Ranking_Option2!$X419/($X$3)</f>
        <v>0</v>
      </c>
      <c r="AA419" s="48" t="e">
        <f>FME_Ranking_Option2!$Z419*X$4</f>
        <v>#REF!</v>
      </c>
      <c r="AB419" s="50">
        <f>_xlfn.XLOOKUP(FME_Ranking2[[#This Row],[FME ID]],FME_Input[FME_ID],FME_Input[ROADCLS])</f>
        <v>0</v>
      </c>
      <c r="AC419" s="48" t="e">
        <f>FME_Ranking_Option2!$AB419*AB$4</f>
        <v>#REF!</v>
      </c>
      <c r="AD419" s="53">
        <f>_xlfn.XLOOKUP(FME_Ranking2[[#This Row],[FME ID]],FME_Input[FME_ID],FME_Input[ROAD_MILES100])</f>
        <v>0</v>
      </c>
      <c r="AE419" s="54" t="e">
        <f>FME_Ranking_Option2!$AD419*AD$4</f>
        <v>#REF!</v>
      </c>
      <c r="AF419" s="55">
        <f>FME_Ranking_Option2!$AD419/($AD$3)</f>
        <v>0</v>
      </c>
      <c r="AG419" s="55" t="e">
        <f>FME_Ranking_Option2!$AF419*AD$4</f>
        <v>#REF!</v>
      </c>
      <c r="AH419" s="53">
        <f>_xlfn.XLOOKUP(FME_Ranking2[[#This Row],[FME ID]],FME_Input[FME_ID],FME_Input[FARMACRE100])</f>
        <v>11.50526714324951</v>
      </c>
      <c r="AI419" s="54" t="e">
        <f>FME_Ranking_Option2!$AH419*AH$4</f>
        <v>#REF!</v>
      </c>
      <c r="AJ419" s="56">
        <f>FME_Ranking_Option2!$AH419/($AH$3)</f>
        <v>6.6806414795488912E-4</v>
      </c>
      <c r="AK419" s="57" t="e">
        <f>FME_Ranking_Option2!$AJ419*AH$4</f>
        <v>#REF!</v>
      </c>
      <c r="AL419"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19" s="45" t="e">
        <f>_xlfn.RANK.EQ(AL419,$AL$7:$AL$531)+COUNTIF(AL$7:AL419,AL419)-1</f>
        <v>#REF!</v>
      </c>
      <c r="AN419" s="57"/>
      <c r="AO419" s="45" t="e">
        <f>_xlfn.RANK.EQ(AN419,$AN$7:$AN$531)+COUNTIF(AN$7:AN419,AN419)-1</f>
        <v>#N/A</v>
      </c>
      <c r="AP41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19" s="32" t="e">
        <f>FME_Ranking2[[#This Row],[Score Based on Reported Factors]]-FME_Ranking2[[#This Row],[Check]]</f>
        <v>#REF!</v>
      </c>
      <c r="AR419" s="32"/>
      <c r="AT419" s="19"/>
      <c r="AU419" s="19"/>
      <c r="AV419" s="19"/>
      <c r="AW419" s="19"/>
      <c r="AX419" s="19"/>
      <c r="AY419" s="19"/>
      <c r="AZ419" s="19"/>
      <c r="BA419" s="19"/>
      <c r="BB419" s="19"/>
      <c r="BC419" s="19"/>
    </row>
    <row r="420" spans="1:55" ht="12" customHeight="1" x14ac:dyDescent="0.25">
      <c r="A420" s="17" t="s">
        <v>310</v>
      </c>
      <c r="B420" s="17" t="str">
        <f>_xlfn.XLOOKUP(FME_Ranking2[[#This Row],[FME ID]],FME_Input[FME_ID],FME_Input[FME_NAME])</f>
        <v>Drainage Channel near EMS Building</v>
      </c>
      <c r="C420" s="17" t="str">
        <f>_xlfn.XLOOKUP(FME_Ranking2[[#This Row],[FME ID]],FME_Input[FME_ID],FME_Input[DESCR])</f>
        <v>Drop structure with utility encasement</v>
      </c>
      <c r="D420" s="33" t="str">
        <f>_xlfn.XLOOKUP(FME_Ranking2[[#This Row],[FME ID]],FME_Input[FME_ID],FME_Input[EMER_NEED])</f>
        <v>No</v>
      </c>
      <c r="E420" s="120">
        <f>IF(FME_Ranking_Option2!$D420="Yes",100,0)</f>
        <v>0</v>
      </c>
      <c r="F420" s="34" t="str">
        <f>_xlfn.XLOOKUP(FME_Ranking2[[#This Row],[FME ID]],FME_Input[FME_ID],FME_Input[FUND])</f>
        <v>No</v>
      </c>
      <c r="G420" s="35">
        <f>IF(FME_Ranking_Option2!$F420="Yes",1,0)</f>
        <v>0</v>
      </c>
      <c r="H420" s="33">
        <f>_xlfn.XLOOKUP(FME_Ranking2[[#This Row],[FME ID]],FME_Input[FME_ID],FME_Input[STRUCT_100])</f>
        <v>0</v>
      </c>
      <c r="I420" s="64" t="e">
        <f>FME_Ranking2[[#This Row],[Raw Data3]]*H$4</f>
        <v>#REF!</v>
      </c>
      <c r="J420" s="63">
        <f>((FME_Ranking_Option2!$H420)/($H$3))*100</f>
        <v>0</v>
      </c>
      <c r="K420" s="36" t="e">
        <f>FME_Ranking2[[#This Row],[Norm Data3]]*H$4</f>
        <v>#REF!</v>
      </c>
      <c r="L420" s="37">
        <f>_xlfn.XLOOKUP(FME_Ranking2[[#This Row],[FME ID]],FME_Input[FME_ID],FME_Input[RES_STRUCT100])</f>
        <v>0</v>
      </c>
      <c r="M420" s="38" t="e">
        <f>FME_Ranking2[[#This Row],[Raw Data4]]*L$4</f>
        <v>#REF!</v>
      </c>
      <c r="N420" s="28">
        <f>((FME_Ranking_Option2!$L420)/($L$3))*100</f>
        <v>0</v>
      </c>
      <c r="O420" s="39" t="e">
        <f>FME_Ranking2[[#This Row],[Norm Data4]]*L$4</f>
        <v>#REF!</v>
      </c>
      <c r="P420" s="34">
        <f>_xlfn.XLOOKUP(FME_Ranking2[[#This Row],[FME ID]],FME_Input[FME_ID],FME_Input[POP100])</f>
        <v>0</v>
      </c>
      <c r="Q420" s="35" t="e">
        <f>FME_Ranking_Option2!$P420*P$4</f>
        <v>#REF!</v>
      </c>
      <c r="R420" s="35">
        <f>FME_Ranking_Option2!$P420/($P$3)</f>
        <v>0</v>
      </c>
      <c r="S420" s="35" t="e">
        <f>FME_Ranking_Option2!$R420*P$4</f>
        <v>#REF!</v>
      </c>
      <c r="T420" s="37">
        <f>_xlfn.XLOOKUP(FME_Ranking2[[#This Row],[FME ID]],FME_Input[FME_ID],FME_Input[CRITFAC100])</f>
        <v>0</v>
      </c>
      <c r="U420" s="35" t="e">
        <f>FME_Ranking_Option2!$T420*T$4</f>
        <v>#REF!</v>
      </c>
      <c r="V420" s="35">
        <f>FME_Ranking_Option2!$T420/($T$3)</f>
        <v>0</v>
      </c>
      <c r="W420" s="35" t="e">
        <f>FME_Ranking_Option2!$V420*T$4</f>
        <v>#REF!</v>
      </c>
      <c r="X420" s="37">
        <f>_xlfn.XLOOKUP(FME_Ranking2[[#This Row],[FME ID]],FME_Input[FME_ID],FME_Input[LWC])</f>
        <v>0</v>
      </c>
      <c r="Y420" s="35" t="e">
        <f>FME_Ranking_Option2!$X420*X$4</f>
        <v>#REF!</v>
      </c>
      <c r="Z420" s="35">
        <f>FME_Ranking_Option2!$X420/($X$3)</f>
        <v>0</v>
      </c>
      <c r="AA420" s="35" t="e">
        <f>FME_Ranking_Option2!$Z420*X$4</f>
        <v>#REF!</v>
      </c>
      <c r="AB420" s="37">
        <f>_xlfn.XLOOKUP(FME_Ranking2[[#This Row],[FME ID]],FME_Input[FME_ID],FME_Input[ROADCLS])</f>
        <v>0</v>
      </c>
      <c r="AC420" s="35" t="e">
        <f>FME_Ranking_Option2!$AB420*AB$4</f>
        <v>#REF!</v>
      </c>
      <c r="AD420" s="40">
        <f>_xlfn.XLOOKUP(FME_Ranking2[[#This Row],[FME ID]],FME_Input[FME_ID],FME_Input[ROAD_MILES100])</f>
        <v>0</v>
      </c>
      <c r="AE420" s="41" t="e">
        <f>FME_Ranking_Option2!$AD420*AD$4</f>
        <v>#REF!</v>
      </c>
      <c r="AF420" s="42">
        <f>FME_Ranking_Option2!$AD420/($AD$3)</f>
        <v>0</v>
      </c>
      <c r="AG420" s="42" t="e">
        <f>FME_Ranking_Option2!$AF420*AD$4</f>
        <v>#REF!</v>
      </c>
      <c r="AH420" s="40">
        <f>_xlfn.XLOOKUP(FME_Ranking2[[#This Row],[FME ID]],FME_Input[FME_ID],FME_Input[FARMACRE100])</f>
        <v>0</v>
      </c>
      <c r="AI420" s="43" t="e">
        <f>FME_Ranking_Option2!$AH420*AH$4</f>
        <v>#REF!</v>
      </c>
      <c r="AJ420" s="41">
        <f>FME_Ranking_Option2!$AH420/($AH$3)</f>
        <v>0</v>
      </c>
      <c r="AK420" s="44" t="e">
        <f>FME_Ranking_Option2!$AJ420*AH$4</f>
        <v>#REF!</v>
      </c>
      <c r="AL420"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20" s="58" t="e">
        <f>_xlfn.RANK.EQ(AL420,$AL$7:$AL$531)+COUNTIF(AL$7:AL420,AL420)-1</f>
        <v>#REF!</v>
      </c>
      <c r="AN420" s="44"/>
      <c r="AO420" s="58" t="e">
        <f>_xlfn.RANK.EQ(AN420,$AN$7:$AN$531)+COUNTIF(AN$7:AN420,AN420)-1</f>
        <v>#N/A</v>
      </c>
      <c r="AP42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20" s="32" t="e">
        <f>FME_Ranking2[[#This Row],[Score Based on Reported Factors]]-FME_Ranking2[[#This Row],[Check]]</f>
        <v>#REF!</v>
      </c>
      <c r="AR420" s="32"/>
    </row>
    <row r="421" spans="1:55" ht="12" customHeight="1" x14ac:dyDescent="0.25">
      <c r="A421" s="16" t="s">
        <v>313</v>
      </c>
      <c r="B421" s="16" t="str">
        <f>_xlfn.XLOOKUP(FME_Ranking2[[#This Row],[FME ID]],FME_Input[FME_ID],FME_Input[FME_NAME])</f>
        <v>Bob White Trail</v>
      </c>
      <c r="C421" s="16" t="str">
        <f>_xlfn.XLOOKUP(FME_Ranking2[[#This Row],[FME ID]],FME_Input[FME_ID],FME_Input[DESCR])</f>
        <v>Replace ex culverts with two 24" RCPs; regrade channel; replace driveway culverts</v>
      </c>
      <c r="D421" s="46" t="str">
        <f>_xlfn.XLOOKUP(FME_Ranking2[[#This Row],[FME ID]],FME_Input[FME_ID],FME_Input[EMER_NEED])</f>
        <v>No</v>
      </c>
      <c r="E421" s="121">
        <f>IF(FME_Ranking_Option2!$D421="Yes",100,0)</f>
        <v>0</v>
      </c>
      <c r="F421" s="47" t="str">
        <f>_xlfn.XLOOKUP(FME_Ranking2[[#This Row],[FME ID]],FME_Input[FME_ID],FME_Input[FUND])</f>
        <v>No</v>
      </c>
      <c r="G421" s="48">
        <f>IF(FME_Ranking_Option2!$F421="Yes",1,0)</f>
        <v>0</v>
      </c>
      <c r="H421" s="46">
        <f>_xlfn.XLOOKUP(FME_Ranking2[[#This Row],[FME ID]],FME_Input[FME_ID],FME_Input[STRUCT_100])</f>
        <v>0</v>
      </c>
      <c r="I421" s="65" t="e">
        <f>FME_Ranking2[[#This Row],[Raw Data3]]*H$4</f>
        <v>#REF!</v>
      </c>
      <c r="J421" s="62">
        <f>((FME_Ranking_Option2!$H421)/($H$3))*100</f>
        <v>0</v>
      </c>
      <c r="K421" s="49" t="e">
        <f>FME_Ranking2[[#This Row],[Norm Data3]]*H$4</f>
        <v>#REF!</v>
      </c>
      <c r="L421" s="50">
        <f>_xlfn.XLOOKUP(FME_Ranking2[[#This Row],[FME ID]],FME_Input[FME_ID],FME_Input[RES_STRUCT100])</f>
        <v>0</v>
      </c>
      <c r="M421" s="51" t="e">
        <f>FME_Ranking2[[#This Row],[Raw Data4]]*L$4</f>
        <v>#REF!</v>
      </c>
      <c r="N421" s="29">
        <f>((FME_Ranking_Option2!$L421)/($L$3))*100</f>
        <v>0</v>
      </c>
      <c r="O421" s="52" t="e">
        <f>FME_Ranking2[[#This Row],[Norm Data4]]*L$4</f>
        <v>#REF!</v>
      </c>
      <c r="P421" s="47">
        <f>_xlfn.XLOOKUP(FME_Ranking2[[#This Row],[FME ID]],FME_Input[FME_ID],FME_Input[POP100])</f>
        <v>0</v>
      </c>
      <c r="Q421" s="48" t="e">
        <f>FME_Ranking_Option2!$P421*P$4</f>
        <v>#REF!</v>
      </c>
      <c r="R421" s="48">
        <f>FME_Ranking_Option2!$P421/($P$3)</f>
        <v>0</v>
      </c>
      <c r="S421" s="48" t="e">
        <f>FME_Ranking_Option2!$R421*P$4</f>
        <v>#REF!</v>
      </c>
      <c r="T421" s="50">
        <f>_xlfn.XLOOKUP(FME_Ranking2[[#This Row],[FME ID]],FME_Input[FME_ID],FME_Input[CRITFAC100])</f>
        <v>0</v>
      </c>
      <c r="U421" s="48" t="e">
        <f>FME_Ranking_Option2!$T421*T$4</f>
        <v>#REF!</v>
      </c>
      <c r="V421" s="48">
        <f>FME_Ranking_Option2!$T421/($T$3)</f>
        <v>0</v>
      </c>
      <c r="W421" s="48" t="e">
        <f>FME_Ranking_Option2!$V421*T$4</f>
        <v>#REF!</v>
      </c>
      <c r="X421" s="50">
        <f>_xlfn.XLOOKUP(FME_Ranking2[[#This Row],[FME ID]],FME_Input[FME_ID],FME_Input[LWC])</f>
        <v>0</v>
      </c>
      <c r="Y421" s="48" t="e">
        <f>FME_Ranking_Option2!$X421*X$4</f>
        <v>#REF!</v>
      </c>
      <c r="Z421" s="48">
        <f>FME_Ranking_Option2!$X421/($X$3)</f>
        <v>0</v>
      </c>
      <c r="AA421" s="48" t="e">
        <f>FME_Ranking_Option2!$Z421*X$4</f>
        <v>#REF!</v>
      </c>
      <c r="AB421" s="50">
        <f>_xlfn.XLOOKUP(FME_Ranking2[[#This Row],[FME ID]],FME_Input[FME_ID],FME_Input[ROADCLS])</f>
        <v>0</v>
      </c>
      <c r="AC421" s="48" t="e">
        <f>FME_Ranking_Option2!$AB421*AB$4</f>
        <v>#REF!</v>
      </c>
      <c r="AD421" s="53">
        <f>_xlfn.XLOOKUP(FME_Ranking2[[#This Row],[FME ID]],FME_Input[FME_ID],FME_Input[ROAD_MILES100])</f>
        <v>0</v>
      </c>
      <c r="AE421" s="54" t="e">
        <f>FME_Ranking_Option2!$AD421*AD$4</f>
        <v>#REF!</v>
      </c>
      <c r="AF421" s="55">
        <f>FME_Ranking_Option2!$AD421/($AD$3)</f>
        <v>0</v>
      </c>
      <c r="AG421" s="55" t="e">
        <f>FME_Ranking_Option2!$AF421*AD$4</f>
        <v>#REF!</v>
      </c>
      <c r="AH421" s="53">
        <f>_xlfn.XLOOKUP(FME_Ranking2[[#This Row],[FME ID]],FME_Input[FME_ID],FME_Input[FARMACRE100])</f>
        <v>0</v>
      </c>
      <c r="AI421" s="54" t="e">
        <f>FME_Ranking_Option2!$AH421*AH$4</f>
        <v>#REF!</v>
      </c>
      <c r="AJ421" s="56">
        <f>FME_Ranking_Option2!$AH421/($AH$3)</f>
        <v>0</v>
      </c>
      <c r="AK421" s="57" t="e">
        <f>FME_Ranking_Option2!$AJ421*AH$4</f>
        <v>#REF!</v>
      </c>
      <c r="AL421"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21" s="45" t="e">
        <f>_xlfn.RANK.EQ(AL421,$AL$7:$AL$531)+COUNTIF(AL$7:AL421,AL421)-1</f>
        <v>#REF!</v>
      </c>
      <c r="AN421" s="57"/>
      <c r="AO421" s="45" t="e">
        <f>_xlfn.RANK.EQ(AN421,$AN$7:$AN$531)+COUNTIF(AN$7:AN421,AN421)-1</f>
        <v>#N/A</v>
      </c>
      <c r="AP42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21" s="32" t="e">
        <f>FME_Ranking2[[#This Row],[Score Based on Reported Factors]]-FME_Ranking2[[#This Row],[Check]]</f>
        <v>#REF!</v>
      </c>
      <c r="AR421" s="32"/>
      <c r="AT421" s="19"/>
      <c r="AU421" s="19"/>
      <c r="AV421" s="19"/>
      <c r="AW421" s="19"/>
      <c r="AX421" s="19"/>
      <c r="AY421" s="19"/>
      <c r="AZ421" s="19"/>
      <c r="BA421" s="19"/>
      <c r="BB421" s="19"/>
      <c r="BC421" s="19"/>
    </row>
    <row r="422" spans="1:55" ht="12" customHeight="1" x14ac:dyDescent="0.25">
      <c r="A422" s="17" t="s">
        <v>315</v>
      </c>
      <c r="B422" s="17" t="str">
        <f>_xlfn.XLOOKUP(FME_Ranking2[[#This Row],[FME ID]],FME_Input[FME_ID],FME_Input[FME_NAME])</f>
        <v>N Edison Low Water Crossing</v>
      </c>
      <c r="C422" s="17" t="str">
        <f>_xlfn.XLOOKUP(FME_Ranking2[[#This Row],[FME ID]],FME_Input[FME_ID],FME_Input[DESCR])</f>
        <v>Raise N Edison at Schubert; redesign intersection; install FEWS with automatic gates &amp; flashers</v>
      </c>
      <c r="D422" s="33" t="str">
        <f>_xlfn.XLOOKUP(FME_Ranking2[[#This Row],[FME ID]],FME_Input[FME_ID],FME_Input[EMER_NEED])</f>
        <v>No</v>
      </c>
      <c r="E422" s="120">
        <f>IF(FME_Ranking_Option2!$D422="Yes",100,0)</f>
        <v>0</v>
      </c>
      <c r="F422" s="34" t="str">
        <f>_xlfn.XLOOKUP(FME_Ranking2[[#This Row],[FME ID]],FME_Input[FME_ID],FME_Input[FUND])</f>
        <v>No</v>
      </c>
      <c r="G422" s="35">
        <f>IF(FME_Ranking_Option2!$F422="Yes",1,0)</f>
        <v>0</v>
      </c>
      <c r="H422" s="33">
        <f>_xlfn.XLOOKUP(FME_Ranking2[[#This Row],[FME ID]],FME_Input[FME_ID],FME_Input[STRUCT_100])</f>
        <v>0</v>
      </c>
      <c r="I422" s="64" t="e">
        <f>FME_Ranking2[[#This Row],[Raw Data3]]*H$4</f>
        <v>#REF!</v>
      </c>
      <c r="J422" s="63">
        <f>((FME_Ranking_Option2!$H422)/($H$3))*100</f>
        <v>0</v>
      </c>
      <c r="K422" s="36" t="e">
        <f>FME_Ranking2[[#This Row],[Norm Data3]]*H$4</f>
        <v>#REF!</v>
      </c>
      <c r="L422" s="37">
        <f>_xlfn.XLOOKUP(FME_Ranking2[[#This Row],[FME ID]],FME_Input[FME_ID],FME_Input[RES_STRUCT100])</f>
        <v>0</v>
      </c>
      <c r="M422" s="38" t="e">
        <f>FME_Ranking2[[#This Row],[Raw Data4]]*L$4</f>
        <v>#REF!</v>
      </c>
      <c r="N422" s="28">
        <f>((FME_Ranking_Option2!$L422)/($L$3))*100</f>
        <v>0</v>
      </c>
      <c r="O422" s="39" t="e">
        <f>FME_Ranking2[[#This Row],[Norm Data4]]*L$4</f>
        <v>#REF!</v>
      </c>
      <c r="P422" s="34">
        <f>_xlfn.XLOOKUP(FME_Ranking2[[#This Row],[FME ID]],FME_Input[FME_ID],FME_Input[POP100])</f>
        <v>0</v>
      </c>
      <c r="Q422" s="35" t="e">
        <f>FME_Ranking_Option2!$P422*P$4</f>
        <v>#REF!</v>
      </c>
      <c r="R422" s="35">
        <f>FME_Ranking_Option2!$P422/($P$3)</f>
        <v>0</v>
      </c>
      <c r="S422" s="35" t="e">
        <f>FME_Ranking_Option2!$R422*P$4</f>
        <v>#REF!</v>
      </c>
      <c r="T422" s="37">
        <f>_xlfn.XLOOKUP(FME_Ranking2[[#This Row],[FME ID]],FME_Input[FME_ID],FME_Input[CRITFAC100])</f>
        <v>0</v>
      </c>
      <c r="U422" s="35" t="e">
        <f>FME_Ranking_Option2!$T422*T$4</f>
        <v>#REF!</v>
      </c>
      <c r="V422" s="35">
        <f>FME_Ranking_Option2!$T422/($T$3)</f>
        <v>0</v>
      </c>
      <c r="W422" s="35" t="e">
        <f>FME_Ranking_Option2!$V422*T$4</f>
        <v>#REF!</v>
      </c>
      <c r="X422" s="37">
        <f>_xlfn.XLOOKUP(FME_Ranking2[[#This Row],[FME ID]],FME_Input[FME_ID],FME_Input[LWC])</f>
        <v>1</v>
      </c>
      <c r="Y422" s="35" t="e">
        <f>FME_Ranking_Option2!$X422*X$4</f>
        <v>#REF!</v>
      </c>
      <c r="Z422" s="35">
        <f>FME_Ranking_Option2!$X422/($X$3)</f>
        <v>9.1224229155263632E-5</v>
      </c>
      <c r="AA422" s="35" t="e">
        <f>FME_Ranking_Option2!$Z422*X$4</f>
        <v>#REF!</v>
      </c>
      <c r="AB422" s="37">
        <f>_xlfn.XLOOKUP(FME_Ranking2[[#This Row],[FME ID]],FME_Input[FME_ID],FME_Input[ROADCLS])</f>
        <v>0</v>
      </c>
      <c r="AC422" s="35" t="e">
        <f>FME_Ranking_Option2!$AB422*AB$4</f>
        <v>#REF!</v>
      </c>
      <c r="AD422" s="40">
        <f>_xlfn.XLOOKUP(FME_Ranking2[[#This Row],[FME ID]],FME_Input[FME_ID],FME_Input[ROAD_MILES100])</f>
        <v>0</v>
      </c>
      <c r="AE422" s="41" t="e">
        <f>FME_Ranking_Option2!$AD422*AD$4</f>
        <v>#REF!</v>
      </c>
      <c r="AF422" s="42">
        <f>FME_Ranking_Option2!$AD422/($AD$3)</f>
        <v>0</v>
      </c>
      <c r="AG422" s="42" t="e">
        <f>FME_Ranking_Option2!$AF422*AD$4</f>
        <v>#REF!</v>
      </c>
      <c r="AH422" s="40">
        <f>_xlfn.XLOOKUP(FME_Ranking2[[#This Row],[FME ID]],FME_Input[FME_ID],FME_Input[FARMACRE100])</f>
        <v>0</v>
      </c>
      <c r="AI422" s="43" t="e">
        <f>FME_Ranking_Option2!$AH422*AH$4</f>
        <v>#REF!</v>
      </c>
      <c r="AJ422" s="41">
        <f>FME_Ranking_Option2!$AH422/($AH$3)</f>
        <v>0</v>
      </c>
      <c r="AK422" s="44" t="e">
        <f>FME_Ranking_Option2!$AJ422*AH$4</f>
        <v>#REF!</v>
      </c>
      <c r="AL422"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22" s="58" t="e">
        <f>_xlfn.RANK.EQ(AL422,$AL$7:$AL$531)+COUNTIF(AL$7:AL422,AL422)-1</f>
        <v>#REF!</v>
      </c>
      <c r="AN422" s="44"/>
      <c r="AO422" s="58" t="e">
        <f>_xlfn.RANK.EQ(AN422,$AN$7:$AN$531)+COUNTIF(AN$7:AN422,AN422)-1</f>
        <v>#N/A</v>
      </c>
      <c r="AP42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22" s="32" t="e">
        <f>FME_Ranking2[[#This Row],[Score Based on Reported Factors]]-FME_Ranking2[[#This Row],[Check]]</f>
        <v>#REF!</v>
      </c>
      <c r="AR422" s="32"/>
    </row>
    <row r="423" spans="1:55" ht="12" customHeight="1" x14ac:dyDescent="0.25">
      <c r="A423" s="16" t="s">
        <v>318</v>
      </c>
      <c r="B423" s="16" t="str">
        <f>_xlfn.XLOOKUP(FME_Ranking2[[#This Row],[FME ID]],FME_Input[FME_ID],FME_Input[FME_NAME])</f>
        <v>Schubert Low Water Crossing</v>
      </c>
      <c r="C423" s="16" t="str">
        <f>_xlfn.XLOOKUP(FME_Ranking2[[#This Row],[FME ID]],FME_Input[FME_ID],FME_Input[DESCR])</f>
        <v>Lower channel by 4-5' with drop structures; install five 9'x5' culverts</v>
      </c>
      <c r="D423" s="46" t="str">
        <f>_xlfn.XLOOKUP(FME_Ranking2[[#This Row],[FME ID]],FME_Input[FME_ID],FME_Input[EMER_NEED])</f>
        <v>No</v>
      </c>
      <c r="E423" s="121">
        <f>IF(FME_Ranking_Option2!$D423="Yes",100,0)</f>
        <v>0</v>
      </c>
      <c r="F423" s="47" t="str">
        <f>_xlfn.XLOOKUP(FME_Ranking2[[#This Row],[FME ID]],FME_Input[FME_ID],FME_Input[FUND])</f>
        <v>No</v>
      </c>
      <c r="G423" s="48">
        <f>IF(FME_Ranking_Option2!$F423="Yes",1,0)</f>
        <v>0</v>
      </c>
      <c r="H423" s="46">
        <f>_xlfn.XLOOKUP(FME_Ranking2[[#This Row],[FME ID]],FME_Input[FME_ID],FME_Input[STRUCT_100])</f>
        <v>44</v>
      </c>
      <c r="I423" s="65" t="e">
        <f>FME_Ranking2[[#This Row],[Raw Data3]]*H$4</f>
        <v>#REF!</v>
      </c>
      <c r="J423" s="62">
        <f>((FME_Ranking_Option2!$H423)/($H$3))*100</f>
        <v>4.8896005974202912E-3</v>
      </c>
      <c r="K423" s="49" t="e">
        <f>FME_Ranking2[[#This Row],[Norm Data3]]*H$4</f>
        <v>#REF!</v>
      </c>
      <c r="L423" s="50">
        <f>_xlfn.XLOOKUP(FME_Ranking2[[#This Row],[FME ID]],FME_Input[FME_ID],FME_Input[RES_STRUCT100])</f>
        <v>26</v>
      </c>
      <c r="M423" s="51" t="e">
        <f>FME_Ranking2[[#This Row],[Raw Data4]]*L$4</f>
        <v>#REF!</v>
      </c>
      <c r="N423" s="29">
        <f>((FME_Ranking_Option2!$L423)/($L$3))*100</f>
        <v>3.8870774111466428E-3</v>
      </c>
      <c r="O423" s="52" t="e">
        <f>FME_Ranking2[[#This Row],[Norm Data4]]*L$4</f>
        <v>#REF!</v>
      </c>
      <c r="P423" s="47">
        <f>_xlfn.XLOOKUP(FME_Ranking2[[#This Row],[FME ID]],FME_Input[FME_ID],FME_Input[POP100])</f>
        <v>59</v>
      </c>
      <c r="Q423" s="48" t="e">
        <f>FME_Ranking_Option2!$P423*P$4</f>
        <v>#REF!</v>
      </c>
      <c r="R423" s="48">
        <f>FME_Ranking_Option2!$P423/($P$3)</f>
        <v>2.1654252785140632E-5</v>
      </c>
      <c r="S423" s="48" t="e">
        <f>FME_Ranking_Option2!$R423*P$4</f>
        <v>#REF!</v>
      </c>
      <c r="T423" s="50">
        <f>_xlfn.XLOOKUP(FME_Ranking2[[#This Row],[FME ID]],FME_Input[FME_ID],FME_Input[CRITFAC100])</f>
        <v>0</v>
      </c>
      <c r="U423" s="48" t="e">
        <f>FME_Ranking_Option2!$T423*T$4</f>
        <v>#REF!</v>
      </c>
      <c r="V423" s="48">
        <f>FME_Ranking_Option2!$T423/($T$3)</f>
        <v>0</v>
      </c>
      <c r="W423" s="48" t="e">
        <f>FME_Ranking_Option2!$V423*T$4</f>
        <v>#REF!</v>
      </c>
      <c r="X423" s="50">
        <f>_xlfn.XLOOKUP(FME_Ranking2[[#This Row],[FME ID]],FME_Input[FME_ID],FME_Input[LWC])</f>
        <v>3</v>
      </c>
      <c r="Y423" s="48" t="e">
        <f>FME_Ranking_Option2!$X423*X$4</f>
        <v>#REF!</v>
      </c>
      <c r="Z423" s="48">
        <f>FME_Ranking_Option2!$X423/($X$3)</f>
        <v>2.7367268746579092E-4</v>
      </c>
      <c r="AA423" s="48" t="e">
        <f>FME_Ranking_Option2!$Z423*X$4</f>
        <v>#REF!</v>
      </c>
      <c r="AB423" s="50">
        <f>_xlfn.XLOOKUP(FME_Ranking2[[#This Row],[FME ID]],FME_Input[FME_ID],FME_Input[ROADCLS])</f>
        <v>0</v>
      </c>
      <c r="AC423" s="48" t="e">
        <f>FME_Ranking_Option2!$AB423*AB$4</f>
        <v>#REF!</v>
      </c>
      <c r="AD423" s="53">
        <f>_xlfn.XLOOKUP(FME_Ranking2[[#This Row],[FME ID]],FME_Input[FME_ID],FME_Input[ROAD_MILES100])</f>
        <v>0</v>
      </c>
      <c r="AE423" s="54" t="e">
        <f>FME_Ranking_Option2!$AD423*AD$4</f>
        <v>#REF!</v>
      </c>
      <c r="AF423" s="55">
        <f>FME_Ranking_Option2!$AD423/($AD$3)</f>
        <v>0</v>
      </c>
      <c r="AG423" s="55" t="e">
        <f>FME_Ranking_Option2!$AF423*AD$4</f>
        <v>#REF!</v>
      </c>
      <c r="AH423" s="53">
        <f>_xlfn.XLOOKUP(FME_Ranking2[[#This Row],[FME ID]],FME_Input[FME_ID],FME_Input[FARMACRE100])</f>
        <v>112.184440612793</v>
      </c>
      <c r="AI423" s="54" t="e">
        <f>FME_Ranking_Option2!$AH423*AH$4</f>
        <v>#REF!</v>
      </c>
      <c r="AJ423" s="56">
        <f>FME_Ranking_Option2!$AH423/($AH$3)</f>
        <v>6.5140949617805925E-3</v>
      </c>
      <c r="AK423" s="57" t="e">
        <f>FME_Ranking_Option2!$AJ423*AH$4</f>
        <v>#REF!</v>
      </c>
      <c r="AL423"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23" s="45" t="e">
        <f>_xlfn.RANK.EQ(AL423,$AL$7:$AL$531)+COUNTIF(AL$7:AL423,AL423)-1</f>
        <v>#REF!</v>
      </c>
      <c r="AN423" s="57"/>
      <c r="AO423" s="45" t="e">
        <f>_xlfn.RANK.EQ(AN423,$AN$7:$AN$531)+COUNTIF(AN$7:AN423,AN423)-1</f>
        <v>#N/A</v>
      </c>
      <c r="AP42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23" s="32" t="e">
        <f>FME_Ranking2[[#This Row],[Score Based on Reported Factors]]-FME_Ranking2[[#This Row],[Check]]</f>
        <v>#REF!</v>
      </c>
      <c r="AR423" s="32"/>
      <c r="AT423" s="19"/>
      <c r="AU423" s="19"/>
      <c r="AV423" s="19"/>
      <c r="AW423" s="19"/>
      <c r="AX423" s="19"/>
      <c r="AY423" s="19"/>
      <c r="AZ423" s="19"/>
      <c r="BA423" s="19"/>
      <c r="BB423" s="19"/>
      <c r="BC423" s="19"/>
    </row>
    <row r="424" spans="1:55" ht="12" customHeight="1" x14ac:dyDescent="0.25">
      <c r="A424" s="17" t="s">
        <v>321</v>
      </c>
      <c r="B424" s="17" t="str">
        <f>_xlfn.XLOOKUP(FME_Ranking2[[#This Row],[FME ID]],FME_Input[FME_ID],FME_Input[FME_NAME])</f>
        <v>200 Block N Orange</v>
      </c>
      <c r="C424" s="17" t="str">
        <f>_xlfn.XLOOKUP(FME_Ranking2[[#This Row],[FME ID]],FME_Input[FME_ID],FME_Input[DESCR])</f>
        <v>Concrete apron; pedestrian/guard rail; relocate DS concrete encased utility or extend protection to cover utility</v>
      </c>
      <c r="D424" s="33" t="str">
        <f>_xlfn.XLOOKUP(FME_Ranking2[[#This Row],[FME ID]],FME_Input[FME_ID],FME_Input[EMER_NEED])</f>
        <v>No</v>
      </c>
      <c r="E424" s="120">
        <f>IF(FME_Ranking_Option2!$D424="Yes",100,0)</f>
        <v>0</v>
      </c>
      <c r="F424" s="34" t="str">
        <f>_xlfn.XLOOKUP(FME_Ranking2[[#This Row],[FME ID]],FME_Input[FME_ID],FME_Input[FUND])</f>
        <v>No</v>
      </c>
      <c r="G424" s="35">
        <f>IF(FME_Ranking_Option2!$F424="Yes",1,0)</f>
        <v>0</v>
      </c>
      <c r="H424" s="33">
        <f>_xlfn.XLOOKUP(FME_Ranking2[[#This Row],[FME ID]],FME_Input[FME_ID],FME_Input[STRUCT_100])</f>
        <v>3</v>
      </c>
      <c r="I424" s="64" t="e">
        <f>FME_Ranking2[[#This Row],[Raw Data3]]*H$4</f>
        <v>#REF!</v>
      </c>
      <c r="J424" s="63">
        <f>((FME_Ranking_Option2!$H424)/($H$3))*100</f>
        <v>3.3338185891501984E-4</v>
      </c>
      <c r="K424" s="36" t="e">
        <f>FME_Ranking2[[#This Row],[Norm Data3]]*H$4</f>
        <v>#REF!</v>
      </c>
      <c r="L424" s="37">
        <f>_xlfn.XLOOKUP(FME_Ranking2[[#This Row],[FME ID]],FME_Input[FME_ID],FME_Input[RES_STRUCT100])</f>
        <v>3</v>
      </c>
      <c r="M424" s="38" t="e">
        <f>FME_Ranking2[[#This Row],[Raw Data4]]*L$4</f>
        <v>#REF!</v>
      </c>
      <c r="N424" s="28">
        <f>((FME_Ranking_Option2!$L424)/($L$3))*100</f>
        <v>4.485089320553819E-4</v>
      </c>
      <c r="O424" s="39" t="e">
        <f>FME_Ranking2[[#This Row],[Norm Data4]]*L$4</f>
        <v>#REF!</v>
      </c>
      <c r="P424" s="34">
        <f>_xlfn.XLOOKUP(FME_Ranking2[[#This Row],[FME ID]],FME_Input[FME_ID],FME_Input[POP100])</f>
        <v>3</v>
      </c>
      <c r="Q424" s="35" t="e">
        <f>FME_Ranking_Option2!$P424*P$4</f>
        <v>#REF!</v>
      </c>
      <c r="R424" s="35">
        <f>FME_Ranking_Option2!$P424/($P$3)</f>
        <v>1.1010637009393542E-6</v>
      </c>
      <c r="S424" s="35" t="e">
        <f>FME_Ranking_Option2!$R424*P$4</f>
        <v>#REF!</v>
      </c>
      <c r="T424" s="37">
        <f>_xlfn.XLOOKUP(FME_Ranking2[[#This Row],[FME ID]],FME_Input[FME_ID],FME_Input[CRITFAC100])</f>
        <v>0</v>
      </c>
      <c r="U424" s="35" t="e">
        <f>FME_Ranking_Option2!$T424*T$4</f>
        <v>#REF!</v>
      </c>
      <c r="V424" s="35">
        <f>FME_Ranking_Option2!$T424/($T$3)</f>
        <v>0</v>
      </c>
      <c r="W424" s="35" t="e">
        <f>FME_Ranking_Option2!$V424*T$4</f>
        <v>#REF!</v>
      </c>
      <c r="X424" s="37">
        <f>_xlfn.XLOOKUP(FME_Ranking2[[#This Row],[FME ID]],FME_Input[FME_ID],FME_Input[LWC])</f>
        <v>1</v>
      </c>
      <c r="Y424" s="35" t="e">
        <f>FME_Ranking_Option2!$X424*X$4</f>
        <v>#REF!</v>
      </c>
      <c r="Z424" s="35">
        <f>FME_Ranking_Option2!$X424/($X$3)</f>
        <v>9.1224229155263632E-5</v>
      </c>
      <c r="AA424" s="35" t="e">
        <f>FME_Ranking_Option2!$Z424*X$4</f>
        <v>#REF!</v>
      </c>
      <c r="AB424" s="37">
        <f>_xlfn.XLOOKUP(FME_Ranking2[[#This Row],[FME ID]],FME_Input[FME_ID],FME_Input[ROADCLS])</f>
        <v>0</v>
      </c>
      <c r="AC424" s="35" t="e">
        <f>FME_Ranking_Option2!$AB424*AB$4</f>
        <v>#REF!</v>
      </c>
      <c r="AD424" s="40">
        <f>_xlfn.XLOOKUP(FME_Ranking2[[#This Row],[FME ID]],FME_Input[FME_ID],FME_Input[ROAD_MILES100])</f>
        <v>0</v>
      </c>
      <c r="AE424" s="41" t="e">
        <f>FME_Ranking_Option2!$AD424*AD$4</f>
        <v>#REF!</v>
      </c>
      <c r="AF424" s="42">
        <f>FME_Ranking_Option2!$AD424/($AD$3)</f>
        <v>0</v>
      </c>
      <c r="AG424" s="42" t="e">
        <f>FME_Ranking_Option2!$AF424*AD$4</f>
        <v>#REF!</v>
      </c>
      <c r="AH424" s="40">
        <f>_xlfn.XLOOKUP(FME_Ranking2[[#This Row],[FME ID]],FME_Input[FME_ID],FME_Input[FARMACRE100])</f>
        <v>0</v>
      </c>
      <c r="AI424" s="43" t="e">
        <f>FME_Ranking_Option2!$AH424*AH$4</f>
        <v>#REF!</v>
      </c>
      <c r="AJ424" s="41">
        <f>FME_Ranking_Option2!$AH424/($AH$3)</f>
        <v>0</v>
      </c>
      <c r="AK424" s="44" t="e">
        <f>FME_Ranking_Option2!$AJ424*AH$4</f>
        <v>#REF!</v>
      </c>
      <c r="AL424"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24" s="58" t="e">
        <f>_xlfn.RANK.EQ(AL424,$AL$7:$AL$531)+COUNTIF(AL$7:AL424,AL424)-1</f>
        <v>#REF!</v>
      </c>
      <c r="AN424" s="44"/>
      <c r="AO424" s="58" t="e">
        <f>_xlfn.RANK.EQ(AN424,$AN$7:$AN$531)+COUNTIF(AN$7:AN424,AN424)-1</f>
        <v>#N/A</v>
      </c>
      <c r="AP42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24" s="32" t="e">
        <f>FME_Ranking2[[#This Row],[Score Based on Reported Factors]]-FME_Ranking2[[#This Row],[Check]]</f>
        <v>#REF!</v>
      </c>
      <c r="AR424" s="32"/>
    </row>
    <row r="425" spans="1:55" ht="12" customHeight="1" x14ac:dyDescent="0.25">
      <c r="A425" s="16" t="s">
        <v>324</v>
      </c>
      <c r="B425" s="16" t="str">
        <f>_xlfn.XLOOKUP(FME_Ranking2[[#This Row],[FME ID]],FME_Input[FME_ID],FME_Input[FME_NAME])</f>
        <v>Crockett Street South of Travis</v>
      </c>
      <c r="C425" s="16" t="str">
        <f>_xlfn.XLOOKUP(FME_Ranking2[[#This Row],[FME ID]],FME_Input[FME_ID],FME_Input[DESCR])</f>
        <v>Capture flow with curb/drop inlets along Travis, Crockett, Austin St</v>
      </c>
      <c r="D425" s="46" t="str">
        <f>_xlfn.XLOOKUP(FME_Ranking2[[#This Row],[FME ID]],FME_Input[FME_ID],FME_Input[EMER_NEED])</f>
        <v>No</v>
      </c>
      <c r="E425" s="121">
        <f>IF(FME_Ranking_Option2!$D425="Yes",100,0)</f>
        <v>0</v>
      </c>
      <c r="F425" s="47" t="str">
        <f>_xlfn.XLOOKUP(FME_Ranking2[[#This Row],[FME ID]],FME_Input[FME_ID],FME_Input[FUND])</f>
        <v>No</v>
      </c>
      <c r="G425" s="48">
        <f>IF(FME_Ranking_Option2!$F425="Yes",1,0)</f>
        <v>0</v>
      </c>
      <c r="H425" s="46">
        <f>_xlfn.XLOOKUP(FME_Ranking2[[#This Row],[FME ID]],FME_Input[FME_ID],FME_Input[STRUCT_100])</f>
        <v>0</v>
      </c>
      <c r="I425" s="65" t="e">
        <f>FME_Ranking2[[#This Row],[Raw Data3]]*H$4</f>
        <v>#REF!</v>
      </c>
      <c r="J425" s="62">
        <f>((FME_Ranking_Option2!$H425)/($H$3))*100</f>
        <v>0</v>
      </c>
      <c r="K425" s="49" t="e">
        <f>FME_Ranking2[[#This Row],[Norm Data3]]*H$4</f>
        <v>#REF!</v>
      </c>
      <c r="L425" s="50">
        <f>_xlfn.XLOOKUP(FME_Ranking2[[#This Row],[FME ID]],FME_Input[FME_ID],FME_Input[RES_STRUCT100])</f>
        <v>0</v>
      </c>
      <c r="M425" s="51" t="e">
        <f>FME_Ranking2[[#This Row],[Raw Data4]]*L$4</f>
        <v>#REF!</v>
      </c>
      <c r="N425" s="29">
        <f>((FME_Ranking_Option2!$L425)/($L$3))*100</f>
        <v>0</v>
      </c>
      <c r="O425" s="52" t="e">
        <f>FME_Ranking2[[#This Row],[Norm Data4]]*L$4</f>
        <v>#REF!</v>
      </c>
      <c r="P425" s="47">
        <f>_xlfn.XLOOKUP(FME_Ranking2[[#This Row],[FME ID]],FME_Input[FME_ID],FME_Input[POP100])</f>
        <v>0</v>
      </c>
      <c r="Q425" s="48" t="e">
        <f>FME_Ranking_Option2!$P425*P$4</f>
        <v>#REF!</v>
      </c>
      <c r="R425" s="48">
        <f>FME_Ranking_Option2!$P425/($P$3)</f>
        <v>0</v>
      </c>
      <c r="S425" s="48" t="e">
        <f>FME_Ranking_Option2!$R425*P$4</f>
        <v>#REF!</v>
      </c>
      <c r="T425" s="50">
        <f>_xlfn.XLOOKUP(FME_Ranking2[[#This Row],[FME ID]],FME_Input[FME_ID],FME_Input[CRITFAC100])</f>
        <v>0</v>
      </c>
      <c r="U425" s="48" t="e">
        <f>FME_Ranking_Option2!$T425*T$4</f>
        <v>#REF!</v>
      </c>
      <c r="V425" s="48">
        <f>FME_Ranking_Option2!$T425/($T$3)</f>
        <v>0</v>
      </c>
      <c r="W425" s="48" t="e">
        <f>FME_Ranking_Option2!$V425*T$4</f>
        <v>#REF!</v>
      </c>
      <c r="X425" s="50">
        <f>_xlfn.XLOOKUP(FME_Ranking2[[#This Row],[FME ID]],FME_Input[FME_ID],FME_Input[LWC])</f>
        <v>0</v>
      </c>
      <c r="Y425" s="48" t="e">
        <f>FME_Ranking_Option2!$X425*X$4</f>
        <v>#REF!</v>
      </c>
      <c r="Z425" s="48">
        <f>FME_Ranking_Option2!$X425/($X$3)</f>
        <v>0</v>
      </c>
      <c r="AA425" s="48" t="e">
        <f>FME_Ranking_Option2!$Z425*X$4</f>
        <v>#REF!</v>
      </c>
      <c r="AB425" s="50">
        <f>_xlfn.XLOOKUP(FME_Ranking2[[#This Row],[FME ID]],FME_Input[FME_ID],FME_Input[ROADCLS])</f>
        <v>0</v>
      </c>
      <c r="AC425" s="48" t="e">
        <f>FME_Ranking_Option2!$AB425*AB$4</f>
        <v>#REF!</v>
      </c>
      <c r="AD425" s="53">
        <f>_xlfn.XLOOKUP(FME_Ranking2[[#This Row],[FME ID]],FME_Input[FME_ID],FME_Input[ROAD_MILES100])</f>
        <v>0</v>
      </c>
      <c r="AE425" s="54" t="e">
        <f>FME_Ranking_Option2!$AD425*AD$4</f>
        <v>#REF!</v>
      </c>
      <c r="AF425" s="55">
        <f>FME_Ranking_Option2!$AD425/($AD$3)</f>
        <v>0</v>
      </c>
      <c r="AG425" s="55" t="e">
        <f>FME_Ranking_Option2!$AF425*AD$4</f>
        <v>#REF!</v>
      </c>
      <c r="AH425" s="53">
        <f>_xlfn.XLOOKUP(FME_Ranking2[[#This Row],[FME ID]],FME_Input[FME_ID],FME_Input[FARMACRE100])</f>
        <v>0</v>
      </c>
      <c r="AI425" s="54" t="e">
        <f>FME_Ranking_Option2!$AH425*AH$4</f>
        <v>#REF!</v>
      </c>
      <c r="AJ425" s="56">
        <f>FME_Ranking_Option2!$AH425/($AH$3)</f>
        <v>0</v>
      </c>
      <c r="AK425" s="57" t="e">
        <f>FME_Ranking_Option2!$AJ425*AH$4</f>
        <v>#REF!</v>
      </c>
      <c r="AL425"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25" s="45" t="e">
        <f>_xlfn.RANK.EQ(AL425,$AL$7:$AL$531)+COUNTIF(AL$7:AL425,AL425)-1</f>
        <v>#REF!</v>
      </c>
      <c r="AN425" s="57"/>
      <c r="AO425" s="45" t="e">
        <f>_xlfn.RANK.EQ(AN425,$AN$7:$AN$531)+COUNTIF(AN$7:AN425,AN425)-1</f>
        <v>#N/A</v>
      </c>
      <c r="AP42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25" s="32" t="e">
        <f>FME_Ranking2[[#This Row],[Score Based on Reported Factors]]-FME_Ranking2[[#This Row],[Check]]</f>
        <v>#REF!</v>
      </c>
      <c r="AR425" s="32"/>
      <c r="AT425" s="19"/>
      <c r="AU425" s="19"/>
      <c r="AV425" s="19"/>
      <c r="AW425" s="19"/>
      <c r="AX425" s="19"/>
      <c r="AY425" s="19"/>
      <c r="AZ425" s="19"/>
      <c r="BA425" s="19"/>
      <c r="BB425" s="19"/>
      <c r="BC425" s="19"/>
    </row>
    <row r="426" spans="1:55" ht="12" customHeight="1" x14ac:dyDescent="0.25">
      <c r="A426" s="17" t="s">
        <v>327</v>
      </c>
      <c r="B426" s="17" t="str">
        <f>_xlfn.XLOOKUP(FME_Ranking2[[#This Row],[FME ID]],FME_Input[FME_ID],FME_Input[FME_NAME])</f>
        <v>Cross Mountain West</v>
      </c>
      <c r="C426" s="17" t="str">
        <f>_xlfn.XLOOKUP(FME_Ranking2[[#This Row],[FME ID]],FME_Input[FME_ID],FME_Input[DESCR])</f>
        <v>Drainage channel</v>
      </c>
      <c r="D426" s="33" t="str">
        <f>_xlfn.XLOOKUP(FME_Ranking2[[#This Row],[FME ID]],FME_Input[FME_ID],FME_Input[EMER_NEED])</f>
        <v>No</v>
      </c>
      <c r="E426" s="120">
        <f>IF(FME_Ranking_Option2!$D426="Yes",100,0)</f>
        <v>0</v>
      </c>
      <c r="F426" s="34" t="str">
        <f>_xlfn.XLOOKUP(FME_Ranking2[[#This Row],[FME ID]],FME_Input[FME_ID],FME_Input[FUND])</f>
        <v>No</v>
      </c>
      <c r="G426" s="35">
        <f>IF(FME_Ranking_Option2!$F426="Yes",1,0)</f>
        <v>0</v>
      </c>
      <c r="H426" s="33">
        <f>_xlfn.XLOOKUP(FME_Ranking2[[#This Row],[FME ID]],FME_Input[FME_ID],FME_Input[STRUCT_100])</f>
        <v>0</v>
      </c>
      <c r="I426" s="64" t="e">
        <f>FME_Ranking2[[#This Row],[Raw Data3]]*H$4</f>
        <v>#REF!</v>
      </c>
      <c r="J426" s="63">
        <f>((FME_Ranking_Option2!$H426)/($H$3))*100</f>
        <v>0</v>
      </c>
      <c r="K426" s="36" t="e">
        <f>FME_Ranking2[[#This Row],[Norm Data3]]*H$4</f>
        <v>#REF!</v>
      </c>
      <c r="L426" s="37">
        <f>_xlfn.XLOOKUP(FME_Ranking2[[#This Row],[FME ID]],FME_Input[FME_ID],FME_Input[RES_STRUCT100])</f>
        <v>0</v>
      </c>
      <c r="M426" s="38" t="e">
        <f>FME_Ranking2[[#This Row],[Raw Data4]]*L$4</f>
        <v>#REF!</v>
      </c>
      <c r="N426" s="28">
        <f>((FME_Ranking_Option2!$L426)/($L$3))*100</f>
        <v>0</v>
      </c>
      <c r="O426" s="39" t="e">
        <f>FME_Ranking2[[#This Row],[Norm Data4]]*L$4</f>
        <v>#REF!</v>
      </c>
      <c r="P426" s="34">
        <f>_xlfn.XLOOKUP(FME_Ranking2[[#This Row],[FME ID]],FME_Input[FME_ID],FME_Input[POP100])</f>
        <v>0</v>
      </c>
      <c r="Q426" s="35" t="e">
        <f>FME_Ranking_Option2!$P426*P$4</f>
        <v>#REF!</v>
      </c>
      <c r="R426" s="35">
        <f>FME_Ranking_Option2!$P426/($P$3)</f>
        <v>0</v>
      </c>
      <c r="S426" s="35" t="e">
        <f>FME_Ranking_Option2!$R426*P$4</f>
        <v>#REF!</v>
      </c>
      <c r="T426" s="37">
        <f>_xlfn.XLOOKUP(FME_Ranking2[[#This Row],[FME ID]],FME_Input[FME_ID],FME_Input[CRITFAC100])</f>
        <v>0</v>
      </c>
      <c r="U426" s="35" t="e">
        <f>FME_Ranking_Option2!$T426*T$4</f>
        <v>#REF!</v>
      </c>
      <c r="V426" s="35">
        <f>FME_Ranking_Option2!$T426/($T$3)</f>
        <v>0</v>
      </c>
      <c r="W426" s="35" t="e">
        <f>FME_Ranking_Option2!$V426*T$4</f>
        <v>#REF!</v>
      </c>
      <c r="X426" s="37">
        <f>_xlfn.XLOOKUP(FME_Ranking2[[#This Row],[FME ID]],FME_Input[FME_ID],FME_Input[LWC])</f>
        <v>0</v>
      </c>
      <c r="Y426" s="35" t="e">
        <f>FME_Ranking_Option2!$X426*X$4</f>
        <v>#REF!</v>
      </c>
      <c r="Z426" s="35">
        <f>FME_Ranking_Option2!$X426/($X$3)</f>
        <v>0</v>
      </c>
      <c r="AA426" s="35" t="e">
        <f>FME_Ranking_Option2!$Z426*X$4</f>
        <v>#REF!</v>
      </c>
      <c r="AB426" s="37">
        <f>_xlfn.XLOOKUP(FME_Ranking2[[#This Row],[FME ID]],FME_Input[FME_ID],FME_Input[ROADCLS])</f>
        <v>0</v>
      </c>
      <c r="AC426" s="35" t="e">
        <f>FME_Ranking_Option2!$AB426*AB$4</f>
        <v>#REF!</v>
      </c>
      <c r="AD426" s="40">
        <f>_xlfn.XLOOKUP(FME_Ranking2[[#This Row],[FME ID]],FME_Input[FME_ID],FME_Input[ROAD_MILES100])</f>
        <v>0</v>
      </c>
      <c r="AE426" s="41" t="e">
        <f>FME_Ranking_Option2!$AD426*AD$4</f>
        <v>#REF!</v>
      </c>
      <c r="AF426" s="42">
        <f>FME_Ranking_Option2!$AD426/($AD$3)</f>
        <v>0</v>
      </c>
      <c r="AG426" s="42" t="e">
        <f>FME_Ranking_Option2!$AF426*AD$4</f>
        <v>#REF!</v>
      </c>
      <c r="AH426" s="40">
        <f>_xlfn.XLOOKUP(FME_Ranking2[[#This Row],[FME ID]],FME_Input[FME_ID],FME_Input[FARMACRE100])</f>
        <v>0</v>
      </c>
      <c r="AI426" s="43" t="e">
        <f>FME_Ranking_Option2!$AH426*AH$4</f>
        <v>#REF!</v>
      </c>
      <c r="AJ426" s="41">
        <f>FME_Ranking_Option2!$AH426/($AH$3)</f>
        <v>0</v>
      </c>
      <c r="AK426" s="44" t="e">
        <f>FME_Ranking_Option2!$AJ426*AH$4</f>
        <v>#REF!</v>
      </c>
      <c r="AL426"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26" s="58" t="e">
        <f>_xlfn.RANK.EQ(AL426,$AL$7:$AL$531)+COUNTIF(AL$7:AL426,AL426)-1</f>
        <v>#REF!</v>
      </c>
      <c r="AN426" s="44"/>
      <c r="AO426" s="58" t="e">
        <f>_xlfn.RANK.EQ(AN426,$AN$7:$AN$531)+COUNTIF(AN$7:AN426,AN426)-1</f>
        <v>#N/A</v>
      </c>
      <c r="AP42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26" s="32" t="e">
        <f>FME_Ranking2[[#This Row],[Score Based on Reported Factors]]-FME_Ranking2[[#This Row],[Check]]</f>
        <v>#REF!</v>
      </c>
      <c r="AR426" s="32"/>
    </row>
    <row r="427" spans="1:55" ht="12" customHeight="1" x14ac:dyDescent="0.25">
      <c r="A427" s="16" t="s">
        <v>330</v>
      </c>
      <c r="B427" s="16" t="str">
        <f>_xlfn.XLOOKUP(FME_Ranking2[[#This Row],[FME ID]],FME_Input[FME_ID],FME_Input[FME_NAME])</f>
        <v>N Milam at West Travis</v>
      </c>
      <c r="C427" s="16" t="str">
        <f>_xlfn.XLOOKUP(FME_Ranking2[[#This Row],[FME ID]],FME_Input[FME_ID],FME_Input[DESCR])</f>
        <v>Curb inlets along Milam St</v>
      </c>
      <c r="D427" s="46" t="str">
        <f>_xlfn.XLOOKUP(FME_Ranking2[[#This Row],[FME ID]],FME_Input[FME_ID],FME_Input[EMER_NEED])</f>
        <v>No</v>
      </c>
      <c r="E427" s="121">
        <f>IF(FME_Ranking_Option2!$D427="Yes",100,0)</f>
        <v>0</v>
      </c>
      <c r="F427" s="47" t="str">
        <f>_xlfn.XLOOKUP(FME_Ranking2[[#This Row],[FME ID]],FME_Input[FME_ID],FME_Input[FUND])</f>
        <v>No</v>
      </c>
      <c r="G427" s="48">
        <f>IF(FME_Ranking_Option2!$F427="Yes",1,0)</f>
        <v>0</v>
      </c>
      <c r="H427" s="46">
        <f>_xlfn.XLOOKUP(FME_Ranking2[[#This Row],[FME ID]],FME_Input[FME_ID],FME_Input[STRUCT_100])</f>
        <v>0</v>
      </c>
      <c r="I427" s="65" t="e">
        <f>FME_Ranking2[[#This Row],[Raw Data3]]*H$4</f>
        <v>#REF!</v>
      </c>
      <c r="J427" s="62">
        <f>((FME_Ranking_Option2!$H427)/($H$3))*100</f>
        <v>0</v>
      </c>
      <c r="K427" s="49" t="e">
        <f>FME_Ranking2[[#This Row],[Norm Data3]]*H$4</f>
        <v>#REF!</v>
      </c>
      <c r="L427" s="50">
        <f>_xlfn.XLOOKUP(FME_Ranking2[[#This Row],[FME ID]],FME_Input[FME_ID],FME_Input[RES_STRUCT100])</f>
        <v>0</v>
      </c>
      <c r="M427" s="51" t="e">
        <f>FME_Ranking2[[#This Row],[Raw Data4]]*L$4</f>
        <v>#REF!</v>
      </c>
      <c r="N427" s="29">
        <f>((FME_Ranking_Option2!$L427)/($L$3))*100</f>
        <v>0</v>
      </c>
      <c r="O427" s="52" t="e">
        <f>FME_Ranking2[[#This Row],[Norm Data4]]*L$4</f>
        <v>#REF!</v>
      </c>
      <c r="P427" s="47">
        <f>_xlfn.XLOOKUP(FME_Ranking2[[#This Row],[FME ID]],FME_Input[FME_ID],FME_Input[POP100])</f>
        <v>0</v>
      </c>
      <c r="Q427" s="48" t="e">
        <f>FME_Ranking_Option2!$P427*P$4</f>
        <v>#REF!</v>
      </c>
      <c r="R427" s="48">
        <f>FME_Ranking_Option2!$P427/($P$3)</f>
        <v>0</v>
      </c>
      <c r="S427" s="48" t="e">
        <f>FME_Ranking_Option2!$R427*P$4</f>
        <v>#REF!</v>
      </c>
      <c r="T427" s="50">
        <f>_xlfn.XLOOKUP(FME_Ranking2[[#This Row],[FME ID]],FME_Input[FME_ID],FME_Input[CRITFAC100])</f>
        <v>0</v>
      </c>
      <c r="U427" s="48" t="e">
        <f>FME_Ranking_Option2!$T427*T$4</f>
        <v>#REF!</v>
      </c>
      <c r="V427" s="48">
        <f>FME_Ranking_Option2!$T427/($T$3)</f>
        <v>0</v>
      </c>
      <c r="W427" s="48" t="e">
        <f>FME_Ranking_Option2!$V427*T$4</f>
        <v>#REF!</v>
      </c>
      <c r="X427" s="50">
        <f>_xlfn.XLOOKUP(FME_Ranking2[[#This Row],[FME ID]],FME_Input[FME_ID],FME_Input[LWC])</f>
        <v>0</v>
      </c>
      <c r="Y427" s="48" t="e">
        <f>FME_Ranking_Option2!$X427*X$4</f>
        <v>#REF!</v>
      </c>
      <c r="Z427" s="48">
        <f>FME_Ranking_Option2!$X427/($X$3)</f>
        <v>0</v>
      </c>
      <c r="AA427" s="48" t="e">
        <f>FME_Ranking_Option2!$Z427*X$4</f>
        <v>#REF!</v>
      </c>
      <c r="AB427" s="50">
        <f>_xlfn.XLOOKUP(FME_Ranking2[[#This Row],[FME ID]],FME_Input[FME_ID],FME_Input[ROADCLS])</f>
        <v>0</v>
      </c>
      <c r="AC427" s="48" t="e">
        <f>FME_Ranking_Option2!$AB427*AB$4</f>
        <v>#REF!</v>
      </c>
      <c r="AD427" s="53">
        <f>_xlfn.XLOOKUP(FME_Ranking2[[#This Row],[FME ID]],FME_Input[FME_ID],FME_Input[ROAD_MILES100])</f>
        <v>0</v>
      </c>
      <c r="AE427" s="54" t="e">
        <f>FME_Ranking_Option2!$AD427*AD$4</f>
        <v>#REF!</v>
      </c>
      <c r="AF427" s="55">
        <f>FME_Ranking_Option2!$AD427/($AD$3)</f>
        <v>0</v>
      </c>
      <c r="AG427" s="55" t="e">
        <f>FME_Ranking_Option2!$AF427*AD$4</f>
        <v>#REF!</v>
      </c>
      <c r="AH427" s="53">
        <f>_xlfn.XLOOKUP(FME_Ranking2[[#This Row],[FME ID]],FME_Input[FME_ID],FME_Input[FARMACRE100])</f>
        <v>0</v>
      </c>
      <c r="AI427" s="54" t="e">
        <f>FME_Ranking_Option2!$AH427*AH$4</f>
        <v>#REF!</v>
      </c>
      <c r="AJ427" s="56">
        <f>FME_Ranking_Option2!$AH427/($AH$3)</f>
        <v>0</v>
      </c>
      <c r="AK427" s="57" t="e">
        <f>FME_Ranking_Option2!$AJ427*AH$4</f>
        <v>#REF!</v>
      </c>
      <c r="AL427"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27" s="45" t="e">
        <f>_xlfn.RANK.EQ(AL427,$AL$7:$AL$531)+COUNTIF(AL$7:AL427,AL427)-1</f>
        <v>#REF!</v>
      </c>
      <c r="AN427" s="57"/>
      <c r="AO427" s="45" t="e">
        <f>_xlfn.RANK.EQ(AN427,$AN$7:$AN$531)+COUNTIF(AN$7:AN427,AN427)-1</f>
        <v>#N/A</v>
      </c>
      <c r="AP42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27" s="32" t="e">
        <f>FME_Ranking2[[#This Row],[Score Based on Reported Factors]]-FME_Ranking2[[#This Row],[Check]]</f>
        <v>#REF!</v>
      </c>
      <c r="AR427" s="32"/>
      <c r="AT427" s="19"/>
      <c r="AU427" s="19"/>
      <c r="AV427" s="19"/>
      <c r="AW427" s="19"/>
      <c r="AX427" s="19"/>
      <c r="AY427" s="19"/>
      <c r="AZ427" s="19"/>
      <c r="BA427" s="19"/>
      <c r="BB427" s="19"/>
      <c r="BC427" s="19"/>
    </row>
    <row r="428" spans="1:55" ht="12" customHeight="1" x14ac:dyDescent="0.25">
      <c r="A428" s="17" t="s">
        <v>346</v>
      </c>
      <c r="B428" s="17" t="str">
        <f>_xlfn.XLOOKUP(FME_Ranking2[[#This Row],[FME ID]],FME_Input[FME_ID],FME_Input[FME_NAME])</f>
        <v>Repair of Little Barton Creek Dam</v>
      </c>
      <c r="C428" s="17" t="str">
        <f>_xlfn.XLOOKUP(FME_Ranking2[[#This Row],[FME ID]],FME_Input[FME_ID],FME_Input[DESCR])</f>
        <v xml:space="preserve">Continue working with FEMA on repair of Little Barton Creek Dam_x000D_
</v>
      </c>
      <c r="D428" s="33" t="str">
        <f>_xlfn.XLOOKUP(FME_Ranking2[[#This Row],[FME ID]],FME_Input[FME_ID],FME_Input[EMER_NEED])</f>
        <v>No</v>
      </c>
      <c r="E428" s="120">
        <f>IF(FME_Ranking_Option2!$D428="Yes",100,0)</f>
        <v>0</v>
      </c>
      <c r="F428" s="34" t="str">
        <f>_xlfn.XLOOKUP(FME_Ranking2[[#This Row],[FME ID]],FME_Input[FME_ID],FME_Input[FUND])</f>
        <v>No</v>
      </c>
      <c r="G428" s="35">
        <f>IF(FME_Ranking_Option2!$F428="Yes",1,0)</f>
        <v>0</v>
      </c>
      <c r="H428" s="33">
        <f>_xlfn.XLOOKUP(FME_Ranking2[[#This Row],[FME ID]],FME_Input[FME_ID],FME_Input[STRUCT_100])</f>
        <v>0</v>
      </c>
      <c r="I428" s="64" t="e">
        <f>FME_Ranking2[[#This Row],[Raw Data3]]*H$4</f>
        <v>#REF!</v>
      </c>
      <c r="J428" s="63">
        <f>((FME_Ranking_Option2!$H428)/($H$3))*100</f>
        <v>0</v>
      </c>
      <c r="K428" s="36" t="e">
        <f>FME_Ranking2[[#This Row],[Norm Data3]]*H$4</f>
        <v>#REF!</v>
      </c>
      <c r="L428" s="37">
        <f>_xlfn.XLOOKUP(FME_Ranking2[[#This Row],[FME ID]],FME_Input[FME_ID],FME_Input[RES_STRUCT100])</f>
        <v>0</v>
      </c>
      <c r="M428" s="38" t="e">
        <f>FME_Ranking2[[#This Row],[Raw Data4]]*L$4</f>
        <v>#REF!</v>
      </c>
      <c r="N428" s="28">
        <f>((FME_Ranking_Option2!$L428)/($L$3))*100</f>
        <v>0</v>
      </c>
      <c r="O428" s="39" t="e">
        <f>FME_Ranking2[[#This Row],[Norm Data4]]*L$4</f>
        <v>#REF!</v>
      </c>
      <c r="P428" s="34">
        <f>_xlfn.XLOOKUP(FME_Ranking2[[#This Row],[FME ID]],FME_Input[FME_ID],FME_Input[POP100])</f>
        <v>0</v>
      </c>
      <c r="Q428" s="35" t="e">
        <f>FME_Ranking_Option2!$P428*P$4</f>
        <v>#REF!</v>
      </c>
      <c r="R428" s="35">
        <f>FME_Ranking_Option2!$P428/($P$3)</f>
        <v>0</v>
      </c>
      <c r="S428" s="35" t="e">
        <f>FME_Ranking_Option2!$R428*P$4</f>
        <v>#REF!</v>
      </c>
      <c r="T428" s="37">
        <f>_xlfn.XLOOKUP(FME_Ranking2[[#This Row],[FME ID]],FME_Input[FME_ID],FME_Input[CRITFAC100])</f>
        <v>0</v>
      </c>
      <c r="U428" s="35" t="e">
        <f>FME_Ranking_Option2!$T428*T$4</f>
        <v>#REF!</v>
      </c>
      <c r="V428" s="35">
        <f>FME_Ranking_Option2!$T428/($T$3)</f>
        <v>0</v>
      </c>
      <c r="W428" s="35" t="e">
        <f>FME_Ranking_Option2!$V428*T$4</f>
        <v>#REF!</v>
      </c>
      <c r="X428" s="37">
        <f>_xlfn.XLOOKUP(FME_Ranking2[[#This Row],[FME ID]],FME_Input[FME_ID],FME_Input[LWC])</f>
        <v>0</v>
      </c>
      <c r="Y428" s="35" t="e">
        <f>FME_Ranking_Option2!$X428*X$4</f>
        <v>#REF!</v>
      </c>
      <c r="Z428" s="35">
        <f>FME_Ranking_Option2!$X428/($X$3)</f>
        <v>0</v>
      </c>
      <c r="AA428" s="35" t="e">
        <f>FME_Ranking_Option2!$Z428*X$4</f>
        <v>#REF!</v>
      </c>
      <c r="AB428" s="37">
        <f>_xlfn.XLOOKUP(FME_Ranking2[[#This Row],[FME ID]],FME_Input[FME_ID],FME_Input[ROADCLS])</f>
        <v>0</v>
      </c>
      <c r="AC428" s="35" t="e">
        <f>FME_Ranking_Option2!$AB428*AB$4</f>
        <v>#REF!</v>
      </c>
      <c r="AD428" s="40">
        <f>_xlfn.XLOOKUP(FME_Ranking2[[#This Row],[FME ID]],FME_Input[FME_ID],FME_Input[ROAD_MILES100])</f>
        <v>0</v>
      </c>
      <c r="AE428" s="41" t="e">
        <f>FME_Ranking_Option2!$AD428*AD$4</f>
        <v>#REF!</v>
      </c>
      <c r="AF428" s="42">
        <f>FME_Ranking_Option2!$AD428/($AD$3)</f>
        <v>0</v>
      </c>
      <c r="AG428" s="42" t="e">
        <f>FME_Ranking_Option2!$AF428*AD$4</f>
        <v>#REF!</v>
      </c>
      <c r="AH428" s="40">
        <f>_xlfn.XLOOKUP(FME_Ranking2[[#This Row],[FME ID]],FME_Input[FME_ID],FME_Input[FARMACRE100])</f>
        <v>1.657958507537842</v>
      </c>
      <c r="AI428" s="43" t="e">
        <f>FME_Ranking_Option2!$AH428*AH$4</f>
        <v>#REF!</v>
      </c>
      <c r="AJ428" s="41">
        <f>FME_Ranking_Option2!$AH428/($AH$3)</f>
        <v>9.6270918692462E-5</v>
      </c>
      <c r="AK428" s="44" t="e">
        <f>FME_Ranking_Option2!$AJ428*AH$4</f>
        <v>#REF!</v>
      </c>
      <c r="AL428"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28" s="58" t="e">
        <f>_xlfn.RANK.EQ(AL428,$AL$7:$AL$531)+COUNTIF(AL$7:AL428,AL428)-1</f>
        <v>#REF!</v>
      </c>
      <c r="AN428" s="44"/>
      <c r="AO428" s="58" t="e">
        <f>_xlfn.RANK.EQ(AN428,$AN$7:$AN$531)+COUNTIF(AN$7:AN428,AN428)-1</f>
        <v>#N/A</v>
      </c>
      <c r="AP42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28" s="32" t="e">
        <f>FME_Ranking2[[#This Row],[Score Based on Reported Factors]]-FME_Ranking2[[#This Row],[Check]]</f>
        <v>#REF!</v>
      </c>
      <c r="AR428" s="32"/>
    </row>
    <row r="429" spans="1:55" ht="12" customHeight="1" x14ac:dyDescent="0.25">
      <c r="A429" s="16" t="s">
        <v>351</v>
      </c>
      <c r="B429" s="16" t="str">
        <f>_xlfn.XLOOKUP(FME_Ranking2[[#This Row],[FME ID]],FME_Input[FME_ID],FME_Input[FME_NAME])</f>
        <v>Floodplain/Floodway Audit</v>
      </c>
      <c r="C429" s="16" t="str">
        <f>_xlfn.XLOOKUP(FME_Ranking2[[#This Row],[FME ID]],FME_Input[FME_ID],FME_Input[DESCR])</f>
        <v xml:space="preserve">Floodplain/floodway audit_x000D_
</v>
      </c>
      <c r="D429" s="46" t="str">
        <f>_xlfn.XLOOKUP(FME_Ranking2[[#This Row],[FME ID]],FME_Input[FME_ID],FME_Input[EMER_NEED])</f>
        <v>No</v>
      </c>
      <c r="E429" s="121">
        <f>IF(FME_Ranking_Option2!$D429="Yes",100,0)</f>
        <v>0</v>
      </c>
      <c r="F429" s="47" t="str">
        <f>_xlfn.XLOOKUP(FME_Ranking2[[#This Row],[FME ID]],FME_Input[FME_ID],FME_Input[FUND])</f>
        <v>No</v>
      </c>
      <c r="G429" s="48">
        <f>IF(FME_Ranking_Option2!$F429="Yes",1,0)</f>
        <v>0</v>
      </c>
      <c r="H429" s="46">
        <f>_xlfn.XLOOKUP(FME_Ranking2[[#This Row],[FME ID]],FME_Input[FME_ID],FME_Input[STRUCT_100])</f>
        <v>1</v>
      </c>
      <c r="I429" s="65" t="e">
        <f>FME_Ranking2[[#This Row],[Raw Data3]]*H$4</f>
        <v>#REF!</v>
      </c>
      <c r="J429" s="62">
        <f>((FME_Ranking_Option2!$H429)/($H$3))*100</f>
        <v>1.1112728630500662E-4</v>
      </c>
      <c r="K429" s="49" t="e">
        <f>FME_Ranking2[[#This Row],[Norm Data3]]*H$4</f>
        <v>#REF!</v>
      </c>
      <c r="L429" s="50">
        <f>_xlfn.XLOOKUP(FME_Ranking2[[#This Row],[FME ID]],FME_Input[FME_ID],FME_Input[RES_STRUCT100])</f>
        <v>1</v>
      </c>
      <c r="M429" s="51" t="e">
        <f>FME_Ranking2[[#This Row],[Raw Data4]]*L$4</f>
        <v>#REF!</v>
      </c>
      <c r="N429" s="29">
        <f>((FME_Ranking_Option2!$L429)/($L$3))*100</f>
        <v>1.4950297735179396E-4</v>
      </c>
      <c r="O429" s="52" t="e">
        <f>FME_Ranking2[[#This Row],[Norm Data4]]*L$4</f>
        <v>#REF!</v>
      </c>
      <c r="P429" s="47">
        <f>_xlfn.XLOOKUP(FME_Ranking2[[#This Row],[FME ID]],FME_Input[FME_ID],FME_Input[POP100])</f>
        <v>3</v>
      </c>
      <c r="Q429" s="48" t="e">
        <f>FME_Ranking_Option2!$P429*P$4</f>
        <v>#REF!</v>
      </c>
      <c r="R429" s="48">
        <f>FME_Ranking_Option2!$P429/($P$3)</f>
        <v>1.1010637009393542E-6</v>
      </c>
      <c r="S429" s="48" t="e">
        <f>FME_Ranking_Option2!$R429*P$4</f>
        <v>#REF!</v>
      </c>
      <c r="T429" s="50">
        <f>_xlfn.XLOOKUP(FME_Ranking2[[#This Row],[FME ID]],FME_Input[FME_ID],FME_Input[CRITFAC100])</f>
        <v>0</v>
      </c>
      <c r="U429" s="48" t="e">
        <f>FME_Ranking_Option2!$T429*T$4</f>
        <v>#REF!</v>
      </c>
      <c r="V429" s="48">
        <f>FME_Ranking_Option2!$T429/($T$3)</f>
        <v>0</v>
      </c>
      <c r="W429" s="48" t="e">
        <f>FME_Ranking_Option2!$V429*T$4</f>
        <v>#REF!</v>
      </c>
      <c r="X429" s="50">
        <f>_xlfn.XLOOKUP(FME_Ranking2[[#This Row],[FME ID]],FME_Input[FME_ID],FME_Input[LWC])</f>
        <v>0</v>
      </c>
      <c r="Y429" s="48" t="e">
        <f>FME_Ranking_Option2!$X429*X$4</f>
        <v>#REF!</v>
      </c>
      <c r="Z429" s="48">
        <f>FME_Ranking_Option2!$X429/($X$3)</f>
        <v>0</v>
      </c>
      <c r="AA429" s="48" t="e">
        <f>FME_Ranking_Option2!$Z429*X$4</f>
        <v>#REF!</v>
      </c>
      <c r="AB429" s="50">
        <f>_xlfn.XLOOKUP(FME_Ranking2[[#This Row],[FME ID]],FME_Input[FME_ID],FME_Input[ROADCLS])</f>
        <v>0</v>
      </c>
      <c r="AC429" s="48" t="e">
        <f>FME_Ranking_Option2!$AB429*AB$4</f>
        <v>#REF!</v>
      </c>
      <c r="AD429" s="53">
        <f>_xlfn.XLOOKUP(FME_Ranking2[[#This Row],[FME ID]],FME_Input[FME_ID],FME_Input[ROAD_MILES100])</f>
        <v>3.8949351757764823E-2</v>
      </c>
      <c r="AE429" s="54" t="e">
        <f>FME_Ranking_Option2!$AD429*AD$4</f>
        <v>#REF!</v>
      </c>
      <c r="AF429" s="55">
        <f>FME_Ranking_Option2!$AD429/($AD$3)</f>
        <v>8.7976002723495125E-7</v>
      </c>
      <c r="AG429" s="55" t="e">
        <f>FME_Ranking_Option2!$AF429*AD$4</f>
        <v>#REF!</v>
      </c>
      <c r="AH429" s="53">
        <f>_xlfn.XLOOKUP(FME_Ranking2[[#This Row],[FME ID]],FME_Input[FME_ID],FME_Input[FARMACRE100])</f>
        <v>4.04803466796875</v>
      </c>
      <c r="AI429" s="54" t="e">
        <f>FME_Ranking_Option2!$AH429*AH$4</f>
        <v>#REF!</v>
      </c>
      <c r="AJ429" s="56">
        <f>FME_Ranking_Option2!$AH429/($AH$3)</f>
        <v>2.3505293685728264E-4</v>
      </c>
      <c r="AK429" s="57" t="e">
        <f>FME_Ranking_Option2!$AJ429*AH$4</f>
        <v>#REF!</v>
      </c>
      <c r="AL429"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29" s="45" t="e">
        <f>_xlfn.RANK.EQ(AL429,$AL$7:$AL$531)+COUNTIF(AL$7:AL429,AL429)-1</f>
        <v>#REF!</v>
      </c>
      <c r="AN429" s="57"/>
      <c r="AO429" s="45" t="e">
        <f>_xlfn.RANK.EQ(AN429,$AN$7:$AN$531)+COUNTIF(AN$7:AN429,AN429)-1</f>
        <v>#N/A</v>
      </c>
      <c r="AP42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29" s="32" t="e">
        <f>FME_Ranking2[[#This Row],[Score Based on Reported Factors]]-FME_Ranking2[[#This Row],[Check]]</f>
        <v>#REF!</v>
      </c>
      <c r="AR429" s="32"/>
      <c r="AT429" s="19"/>
      <c r="AU429" s="19"/>
      <c r="AV429" s="19"/>
      <c r="AW429" s="19"/>
      <c r="AX429" s="19"/>
      <c r="AY429" s="19"/>
      <c r="AZ429" s="19"/>
      <c r="BA429" s="19"/>
      <c r="BB429" s="19"/>
      <c r="BC429" s="19"/>
    </row>
    <row r="430" spans="1:55" ht="12" customHeight="1" x14ac:dyDescent="0.25">
      <c r="A430" s="17" t="s">
        <v>354</v>
      </c>
      <c r="B430" s="17" t="str">
        <f>_xlfn.XLOOKUP(FME_Ranking2[[#This Row],[FME ID]],FME_Input[FME_ID],FME_Input[FME_NAME])</f>
        <v>Prepare Evacuation Plan</v>
      </c>
      <c r="C430" s="17" t="str">
        <f>_xlfn.XLOOKUP(FME_Ranking2[[#This Row],[FME ID]],FME_Input[FME_ID],FME_Input[DESCR])</f>
        <v xml:space="preserve">Evacuation plan development_x000D_
</v>
      </c>
      <c r="D430" s="33" t="str">
        <f>_xlfn.XLOOKUP(FME_Ranking2[[#This Row],[FME ID]],FME_Input[FME_ID],FME_Input[EMER_NEED])</f>
        <v>No</v>
      </c>
      <c r="E430" s="120">
        <f>IF(FME_Ranking_Option2!$D430="Yes",100,0)</f>
        <v>0</v>
      </c>
      <c r="F430" s="34" t="str">
        <f>_xlfn.XLOOKUP(FME_Ranking2[[#This Row],[FME ID]],FME_Input[FME_ID],FME_Input[FUND])</f>
        <v>No</v>
      </c>
      <c r="G430" s="35">
        <f>IF(FME_Ranking_Option2!$F430="Yes",1,0)</f>
        <v>0</v>
      </c>
      <c r="H430" s="33">
        <f>_xlfn.XLOOKUP(FME_Ranking2[[#This Row],[FME ID]],FME_Input[FME_ID],FME_Input[STRUCT_100])</f>
        <v>0</v>
      </c>
      <c r="I430" s="64" t="e">
        <f>FME_Ranking2[[#This Row],[Raw Data3]]*H$4</f>
        <v>#REF!</v>
      </c>
      <c r="J430" s="63">
        <f>((FME_Ranking_Option2!$H430)/($H$3))*100</f>
        <v>0</v>
      </c>
      <c r="K430" s="36" t="e">
        <f>FME_Ranking2[[#This Row],[Norm Data3]]*H$4</f>
        <v>#REF!</v>
      </c>
      <c r="L430" s="37">
        <f>_xlfn.XLOOKUP(FME_Ranking2[[#This Row],[FME ID]],FME_Input[FME_ID],FME_Input[RES_STRUCT100])</f>
        <v>0</v>
      </c>
      <c r="M430" s="38" t="e">
        <f>FME_Ranking2[[#This Row],[Raw Data4]]*L$4</f>
        <v>#REF!</v>
      </c>
      <c r="N430" s="28">
        <f>((FME_Ranking_Option2!$L430)/($L$3))*100</f>
        <v>0</v>
      </c>
      <c r="O430" s="39" t="e">
        <f>FME_Ranking2[[#This Row],[Norm Data4]]*L$4</f>
        <v>#REF!</v>
      </c>
      <c r="P430" s="34">
        <f>_xlfn.XLOOKUP(FME_Ranking2[[#This Row],[FME ID]],FME_Input[FME_ID],FME_Input[POP100])</f>
        <v>0</v>
      </c>
      <c r="Q430" s="35" t="e">
        <f>FME_Ranking_Option2!$P430*P$4</f>
        <v>#REF!</v>
      </c>
      <c r="R430" s="35">
        <f>FME_Ranking_Option2!$P430/($P$3)</f>
        <v>0</v>
      </c>
      <c r="S430" s="35" t="e">
        <f>FME_Ranking_Option2!$R430*P$4</f>
        <v>#REF!</v>
      </c>
      <c r="T430" s="37">
        <f>_xlfn.XLOOKUP(FME_Ranking2[[#This Row],[FME ID]],FME_Input[FME_ID],FME_Input[CRITFAC100])</f>
        <v>0</v>
      </c>
      <c r="U430" s="35" t="e">
        <f>FME_Ranking_Option2!$T430*T$4</f>
        <v>#REF!</v>
      </c>
      <c r="V430" s="35">
        <f>FME_Ranking_Option2!$T430/($T$3)</f>
        <v>0</v>
      </c>
      <c r="W430" s="35" t="e">
        <f>FME_Ranking_Option2!$V430*T$4</f>
        <v>#REF!</v>
      </c>
      <c r="X430" s="37">
        <f>_xlfn.XLOOKUP(FME_Ranking2[[#This Row],[FME ID]],FME_Input[FME_ID],FME_Input[LWC])</f>
        <v>0</v>
      </c>
      <c r="Y430" s="35" t="e">
        <f>FME_Ranking_Option2!$X430*X$4</f>
        <v>#REF!</v>
      </c>
      <c r="Z430" s="35">
        <f>FME_Ranking_Option2!$X430/($X$3)</f>
        <v>0</v>
      </c>
      <c r="AA430" s="35" t="e">
        <f>FME_Ranking_Option2!$Z430*X$4</f>
        <v>#REF!</v>
      </c>
      <c r="AB430" s="37">
        <f>_xlfn.XLOOKUP(FME_Ranking2[[#This Row],[FME ID]],FME_Input[FME_ID],FME_Input[ROADCLS])</f>
        <v>0</v>
      </c>
      <c r="AC430" s="35" t="e">
        <f>FME_Ranking_Option2!$AB430*AB$4</f>
        <v>#REF!</v>
      </c>
      <c r="AD430" s="40">
        <f>_xlfn.XLOOKUP(FME_Ranking2[[#This Row],[FME ID]],FME_Input[FME_ID],FME_Input[ROAD_MILES100])</f>
        <v>0</v>
      </c>
      <c r="AE430" s="41" t="e">
        <f>FME_Ranking_Option2!$AD430*AD$4</f>
        <v>#REF!</v>
      </c>
      <c r="AF430" s="42">
        <f>FME_Ranking_Option2!$AD430/($AD$3)</f>
        <v>0</v>
      </c>
      <c r="AG430" s="42" t="e">
        <f>FME_Ranking_Option2!$AF430*AD$4</f>
        <v>#REF!</v>
      </c>
      <c r="AH430" s="40">
        <f>_xlfn.XLOOKUP(FME_Ranking2[[#This Row],[FME ID]],FME_Input[FME_ID],FME_Input[FARMACRE100])</f>
        <v>0.38037121295928961</v>
      </c>
      <c r="AI430" s="43" t="e">
        <f>FME_Ranking_Option2!$AH430*AH$4</f>
        <v>#REF!</v>
      </c>
      <c r="AJ430" s="41">
        <f>FME_Ranking_Option2!$AH430/($AH$3)</f>
        <v>2.2086611908121661E-5</v>
      </c>
      <c r="AK430" s="44" t="e">
        <f>FME_Ranking_Option2!$AJ430*AH$4</f>
        <v>#REF!</v>
      </c>
      <c r="AL430"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30" s="58" t="e">
        <f>_xlfn.RANK.EQ(AL430,$AL$7:$AL$531)+COUNTIF(AL$7:AL430,AL430)-1</f>
        <v>#REF!</v>
      </c>
      <c r="AN430" s="44"/>
      <c r="AO430" s="58" t="e">
        <f>_xlfn.RANK.EQ(AN430,$AN$7:$AN$531)+COUNTIF(AN$7:AN430,AN430)-1</f>
        <v>#N/A</v>
      </c>
      <c r="AP43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30" s="32" t="e">
        <f>FME_Ranking2[[#This Row],[Score Based on Reported Factors]]-FME_Ranking2[[#This Row],[Check]]</f>
        <v>#REF!</v>
      </c>
      <c r="AR430" s="32"/>
    </row>
    <row r="431" spans="1:55" ht="12" customHeight="1" x14ac:dyDescent="0.25">
      <c r="A431" s="16" t="s">
        <v>364</v>
      </c>
      <c r="B431" s="16" t="str">
        <f>_xlfn.XLOOKUP(FME_Ranking2[[#This Row],[FME ID]],FME_Input[FME_ID],FME_Input[FME_NAME])</f>
        <v>MLK Blvd to Mexico Street</v>
      </c>
      <c r="C431" s="16" t="str">
        <f>_xlfn.XLOOKUP(FME_Ranking2[[#This Row],[FME ID]],FME_Input[FME_ID],FME_Input[DESCR])</f>
        <v xml:space="preserve">Replace culverts with larger box culverts &amp; parallel wings; MLK Blvd to Mexico St_x000D_
</v>
      </c>
      <c r="D431" s="46" t="str">
        <f>_xlfn.XLOOKUP(FME_Ranking2[[#This Row],[FME ID]],FME_Input[FME_ID],FME_Input[EMER_NEED])</f>
        <v>No</v>
      </c>
      <c r="E431" s="121">
        <f>IF(FME_Ranking_Option2!$D431="Yes",100,0)</f>
        <v>0</v>
      </c>
      <c r="F431" s="47" t="str">
        <f>_xlfn.XLOOKUP(FME_Ranking2[[#This Row],[FME ID]],FME_Input[FME_ID],FME_Input[FUND])</f>
        <v>No</v>
      </c>
      <c r="G431" s="48">
        <f>IF(FME_Ranking_Option2!$F431="Yes",1,0)</f>
        <v>0</v>
      </c>
      <c r="H431" s="46">
        <f>_xlfn.XLOOKUP(FME_Ranking2[[#This Row],[FME ID]],FME_Input[FME_ID],FME_Input[STRUCT_100])</f>
        <v>223</v>
      </c>
      <c r="I431" s="65" t="e">
        <f>FME_Ranking2[[#This Row],[Raw Data3]]*H$4</f>
        <v>#REF!</v>
      </c>
      <c r="J431" s="62">
        <f>((FME_Ranking_Option2!$H431)/($H$3))*100</f>
        <v>2.4781384846016476E-2</v>
      </c>
      <c r="K431" s="49" t="e">
        <f>FME_Ranking2[[#This Row],[Norm Data3]]*H$4</f>
        <v>#REF!</v>
      </c>
      <c r="L431" s="50">
        <f>_xlfn.XLOOKUP(FME_Ranking2[[#This Row],[FME ID]],FME_Input[FME_ID],FME_Input[RES_STRUCT100])</f>
        <v>173</v>
      </c>
      <c r="M431" s="51" t="e">
        <f>FME_Ranking2[[#This Row],[Raw Data4]]*L$4</f>
        <v>#REF!</v>
      </c>
      <c r="N431" s="29">
        <f>((FME_Ranking_Option2!$L431)/($L$3))*100</f>
        <v>2.5864015081860356E-2</v>
      </c>
      <c r="O431" s="52" t="e">
        <f>FME_Ranking2[[#This Row],[Norm Data4]]*L$4</f>
        <v>#REF!</v>
      </c>
      <c r="P431" s="47">
        <f>_xlfn.XLOOKUP(FME_Ranking2[[#This Row],[FME ID]],FME_Input[FME_ID],FME_Input[POP100])</f>
        <v>689</v>
      </c>
      <c r="Q431" s="48" t="e">
        <f>FME_Ranking_Option2!$P431*P$4</f>
        <v>#REF!</v>
      </c>
      <c r="R431" s="48">
        <f>FME_Ranking_Option2!$P431/($P$3)</f>
        <v>2.5287762998240499E-4</v>
      </c>
      <c r="S431" s="48" t="e">
        <f>FME_Ranking_Option2!$R431*P$4</f>
        <v>#REF!</v>
      </c>
      <c r="T431" s="50">
        <f>_xlfn.XLOOKUP(FME_Ranking2[[#This Row],[FME ID]],FME_Input[FME_ID],FME_Input[CRITFAC100])</f>
        <v>0</v>
      </c>
      <c r="U431" s="48" t="e">
        <f>FME_Ranking_Option2!$T431*T$4</f>
        <v>#REF!</v>
      </c>
      <c r="V431" s="48">
        <f>FME_Ranking_Option2!$T431/($T$3)</f>
        <v>0</v>
      </c>
      <c r="W431" s="48" t="e">
        <f>FME_Ranking_Option2!$V431*T$4</f>
        <v>#REF!</v>
      </c>
      <c r="X431" s="50">
        <f>_xlfn.XLOOKUP(FME_Ranking2[[#This Row],[FME ID]],FME_Input[FME_ID],FME_Input[LWC])</f>
        <v>0</v>
      </c>
      <c r="Y431" s="48" t="e">
        <f>FME_Ranking_Option2!$X431*X$4</f>
        <v>#REF!</v>
      </c>
      <c r="Z431" s="48">
        <f>FME_Ranking_Option2!$X431/($X$3)</f>
        <v>0</v>
      </c>
      <c r="AA431" s="48" t="e">
        <f>FME_Ranking_Option2!$Z431*X$4</f>
        <v>#REF!</v>
      </c>
      <c r="AB431" s="50">
        <f>_xlfn.XLOOKUP(FME_Ranking2[[#This Row],[FME ID]],FME_Input[FME_ID],FME_Input[ROADCLS])</f>
        <v>0</v>
      </c>
      <c r="AC431" s="48" t="e">
        <f>FME_Ranking_Option2!$AB431*AB$4</f>
        <v>#REF!</v>
      </c>
      <c r="AD431" s="53">
        <f>_xlfn.XLOOKUP(FME_Ranking2[[#This Row],[FME ID]],FME_Input[FME_ID],FME_Input[ROAD_MILES100])</f>
        <v>5.3424344062805176</v>
      </c>
      <c r="AE431" s="54" t="e">
        <f>FME_Ranking_Option2!$AD431*AD$4</f>
        <v>#REF!</v>
      </c>
      <c r="AF431" s="55">
        <f>FME_Ranking_Option2!$AD431/($AD$3)</f>
        <v>1.20671077351969E-4</v>
      </c>
      <c r="AG431" s="55" t="e">
        <f>FME_Ranking_Option2!$AF431*AD$4</f>
        <v>#REF!</v>
      </c>
      <c r="AH431" s="53">
        <f>_xlfn.XLOOKUP(FME_Ranking2[[#This Row],[FME ID]],FME_Input[FME_ID],FME_Input[FARMACRE100])</f>
        <v>169.8894958496094</v>
      </c>
      <c r="AI431" s="54" t="e">
        <f>FME_Ranking_Option2!$AH431*AH$4</f>
        <v>#REF!</v>
      </c>
      <c r="AJ431" s="56">
        <f>FME_Ranking_Option2!$AH431/($AH$3)</f>
        <v>9.8647932184562255E-3</v>
      </c>
      <c r="AK431" s="57" t="e">
        <f>FME_Ranking_Option2!$AJ431*AH$4</f>
        <v>#REF!</v>
      </c>
      <c r="AL431"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31" s="45" t="e">
        <f>_xlfn.RANK.EQ(AL431,$AL$7:$AL$531)+COUNTIF(AL$7:AL431,AL431)-1</f>
        <v>#REF!</v>
      </c>
      <c r="AN431" s="57"/>
      <c r="AO431" s="45" t="e">
        <f>_xlfn.RANK.EQ(AN431,$AN$7:$AN$531)+COUNTIF(AN$7:AN431,AN431)-1</f>
        <v>#N/A</v>
      </c>
      <c r="AP43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31" s="32" t="e">
        <f>FME_Ranking2[[#This Row],[Score Based on Reported Factors]]-FME_Ranking2[[#This Row],[Check]]</f>
        <v>#REF!</v>
      </c>
      <c r="AR431" s="32"/>
      <c r="AT431" s="19"/>
      <c r="AU431" s="19"/>
      <c r="AV431" s="19"/>
      <c r="AW431" s="19"/>
      <c r="AX431" s="19"/>
      <c r="AY431" s="19"/>
      <c r="AZ431" s="19"/>
      <c r="BA431" s="19"/>
      <c r="BB431" s="19"/>
      <c r="BC431" s="19"/>
    </row>
    <row r="432" spans="1:55" ht="12" customHeight="1" x14ac:dyDescent="0.25">
      <c r="A432" s="17" t="s">
        <v>370</v>
      </c>
      <c r="B432" s="17" t="str">
        <f>_xlfn.XLOOKUP(FME_Ranking2[[#This Row],[FME ID]],FME_Input[FME_ID],FME_Input[FME_NAME])</f>
        <v>Stormwater Diversion Project</v>
      </c>
      <c r="C432" s="17" t="str">
        <f>_xlfn.XLOOKUP(FME_Ranking2[[#This Row],[FME ID]],FME_Input[FME_ID],FME_Input[DESCR])</f>
        <v xml:space="preserve">Develop stormwater diversion project through town_x000D_
</v>
      </c>
      <c r="D432" s="33" t="str">
        <f>_xlfn.XLOOKUP(FME_Ranking2[[#This Row],[FME ID]],FME_Input[FME_ID],FME_Input[EMER_NEED])</f>
        <v>No</v>
      </c>
      <c r="E432" s="120">
        <f>IF(FME_Ranking_Option2!$D432="Yes",100,0)</f>
        <v>0</v>
      </c>
      <c r="F432" s="34" t="str">
        <f>_xlfn.XLOOKUP(FME_Ranking2[[#This Row],[FME ID]],FME_Input[FME_ID],FME_Input[FUND])</f>
        <v>No</v>
      </c>
      <c r="G432" s="35">
        <f>IF(FME_Ranking_Option2!$F432="Yes",1,0)</f>
        <v>0</v>
      </c>
      <c r="H432" s="33">
        <f>_xlfn.XLOOKUP(FME_Ranking2[[#This Row],[FME ID]],FME_Input[FME_ID],FME_Input[STRUCT_100])</f>
        <v>1223</v>
      </c>
      <c r="I432" s="64" t="e">
        <f>FME_Ranking2[[#This Row],[Raw Data3]]*H$4</f>
        <v>#REF!</v>
      </c>
      <c r="J432" s="63">
        <f>((FME_Ranking_Option2!$H432)/($H$3))*100</f>
        <v>0.13590867115102309</v>
      </c>
      <c r="K432" s="36" t="e">
        <f>FME_Ranking2[[#This Row],[Norm Data3]]*H$4</f>
        <v>#REF!</v>
      </c>
      <c r="L432" s="37">
        <f>_xlfn.XLOOKUP(FME_Ranking2[[#This Row],[FME ID]],FME_Input[FME_ID],FME_Input[RES_STRUCT100])</f>
        <v>1010</v>
      </c>
      <c r="M432" s="38" t="e">
        <f>FME_Ranking2[[#This Row],[Raw Data4]]*L$4</f>
        <v>#REF!</v>
      </c>
      <c r="N432" s="28">
        <f>((FME_Ranking_Option2!$L432)/($L$3))*100</f>
        <v>0.15099800712531192</v>
      </c>
      <c r="O432" s="39" t="e">
        <f>FME_Ranking2[[#This Row],[Norm Data4]]*L$4</f>
        <v>#REF!</v>
      </c>
      <c r="P432" s="34">
        <f>_xlfn.XLOOKUP(FME_Ranking2[[#This Row],[FME ID]],FME_Input[FME_ID],FME_Input[POP100])</f>
        <v>1908</v>
      </c>
      <c r="Q432" s="35" t="e">
        <f>FME_Ranking_Option2!$P432*P$4</f>
        <v>#REF!</v>
      </c>
      <c r="R432" s="35">
        <f>FME_Ranking_Option2!$P432/($P$3)</f>
        <v>7.0027651379742919E-4</v>
      </c>
      <c r="S432" s="35" t="e">
        <f>FME_Ranking_Option2!$R432*P$4</f>
        <v>#REF!</v>
      </c>
      <c r="T432" s="37">
        <f>_xlfn.XLOOKUP(FME_Ranking2[[#This Row],[FME ID]],FME_Input[FME_ID],FME_Input[CRITFAC100])</f>
        <v>2</v>
      </c>
      <c r="U432" s="35" t="e">
        <f>FME_Ranking_Option2!$T432*T$4</f>
        <v>#REF!</v>
      </c>
      <c r="V432" s="35">
        <f>FME_Ranking_Option2!$T432/($T$3)</f>
        <v>2.8204766605556341E-4</v>
      </c>
      <c r="W432" s="35" t="e">
        <f>FME_Ranking_Option2!$V432*T$4</f>
        <v>#REF!</v>
      </c>
      <c r="X432" s="37">
        <f>_xlfn.XLOOKUP(FME_Ranking2[[#This Row],[FME ID]],FME_Input[FME_ID],FME_Input[LWC])</f>
        <v>1</v>
      </c>
      <c r="Y432" s="35" t="e">
        <f>FME_Ranking_Option2!$X432*X$4</f>
        <v>#REF!</v>
      </c>
      <c r="Z432" s="35">
        <f>FME_Ranking_Option2!$X432/($X$3)</f>
        <v>9.1224229155263632E-5</v>
      </c>
      <c r="AA432" s="35" t="e">
        <f>FME_Ranking_Option2!$Z432*X$4</f>
        <v>#REF!</v>
      </c>
      <c r="AB432" s="37">
        <f>_xlfn.XLOOKUP(FME_Ranking2[[#This Row],[FME ID]],FME_Input[FME_ID],FME_Input[ROADCLS])</f>
        <v>0</v>
      </c>
      <c r="AC432" s="35" t="e">
        <f>FME_Ranking_Option2!$AB432*AB$4</f>
        <v>#REF!</v>
      </c>
      <c r="AD432" s="40">
        <f>_xlfn.XLOOKUP(FME_Ranking2[[#This Row],[FME ID]],FME_Input[FME_ID],FME_Input[ROAD_MILES100])</f>
        <v>26.25538444519043</v>
      </c>
      <c r="AE432" s="41" t="e">
        <f>FME_Ranking_Option2!$AD432*AD$4</f>
        <v>#REF!</v>
      </c>
      <c r="AF432" s="42">
        <f>FME_Ranking_Option2!$AD432/($AD$3)</f>
        <v>5.9303779632121896E-4</v>
      </c>
      <c r="AG432" s="42" t="e">
        <f>FME_Ranking_Option2!$AF432*AD$4</f>
        <v>#REF!</v>
      </c>
      <c r="AH432" s="40">
        <f>_xlfn.XLOOKUP(FME_Ranking2[[#This Row],[FME ID]],FME_Input[FME_ID],FME_Input[FARMACRE100])</f>
        <v>137.2613830566406</v>
      </c>
      <c r="AI432" s="43" t="e">
        <f>FME_Ranking_Option2!$AH432*AH$4</f>
        <v>#REF!</v>
      </c>
      <c r="AJ432" s="41">
        <f>FME_Ranking_Option2!$AH432/($AH$3)</f>
        <v>7.9702111891115108E-3</v>
      </c>
      <c r="AK432" s="44" t="e">
        <f>FME_Ranking_Option2!$AJ432*AH$4</f>
        <v>#REF!</v>
      </c>
      <c r="AL432"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32" s="58" t="e">
        <f>_xlfn.RANK.EQ(AL432,$AL$7:$AL$531)+COUNTIF(AL$7:AL432,AL432)-1</f>
        <v>#REF!</v>
      </c>
      <c r="AN432" s="44"/>
      <c r="AO432" s="58" t="e">
        <f>_xlfn.RANK.EQ(AN432,$AN$7:$AN$531)+COUNTIF(AN$7:AN432,AN432)-1</f>
        <v>#N/A</v>
      </c>
      <c r="AP43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32" s="32" t="e">
        <f>FME_Ranking2[[#This Row],[Score Based on Reported Factors]]-FME_Ranking2[[#This Row],[Check]]</f>
        <v>#REF!</v>
      </c>
      <c r="AR432" s="32"/>
    </row>
    <row r="433" spans="1:55" ht="12" customHeight="1" x14ac:dyDescent="0.25">
      <c r="A433" s="16" t="s">
        <v>372</v>
      </c>
      <c r="B433" s="16" t="str">
        <f>_xlfn.XLOOKUP(FME_Ranking2[[#This Row],[FME ID]],FME_Input[FME_ID],FME_Input[FME_NAME])</f>
        <v>Land Purchase for New EMS/Fire/Police Building</v>
      </c>
      <c r="C433" s="16" t="str">
        <f>_xlfn.XLOOKUP(FME_Ranking2[[#This Row],[FME ID]],FME_Input[FME_ID],FME_Input[DESCR])</f>
        <v xml:space="preserve">Purchase land; design/construct hardened EMS/Fire/Police facility_x000D_
</v>
      </c>
      <c r="D433" s="46" t="str">
        <f>_xlfn.XLOOKUP(FME_Ranking2[[#This Row],[FME ID]],FME_Input[FME_ID],FME_Input[EMER_NEED])</f>
        <v>No</v>
      </c>
      <c r="E433" s="121">
        <f>IF(FME_Ranking_Option2!$D433="Yes",100,0)</f>
        <v>0</v>
      </c>
      <c r="F433" s="47" t="str">
        <f>_xlfn.XLOOKUP(FME_Ranking2[[#This Row],[FME ID]],FME_Input[FME_ID],FME_Input[FUND])</f>
        <v>No</v>
      </c>
      <c r="G433" s="48">
        <f>IF(FME_Ranking_Option2!$F433="Yes",1,0)</f>
        <v>0</v>
      </c>
      <c r="H433" s="46">
        <f>_xlfn.XLOOKUP(FME_Ranking2[[#This Row],[FME ID]],FME_Input[FME_ID],FME_Input[STRUCT_100])</f>
        <v>28</v>
      </c>
      <c r="I433" s="65" t="e">
        <f>FME_Ranking2[[#This Row],[Raw Data3]]*H$4</f>
        <v>#REF!</v>
      </c>
      <c r="J433" s="62">
        <f>((FME_Ranking_Option2!$H433)/($H$3))*100</f>
        <v>3.1115640165401853E-3</v>
      </c>
      <c r="K433" s="49" t="e">
        <f>FME_Ranking2[[#This Row],[Norm Data3]]*H$4</f>
        <v>#REF!</v>
      </c>
      <c r="L433" s="50">
        <f>_xlfn.XLOOKUP(FME_Ranking2[[#This Row],[FME ID]],FME_Input[FME_ID],FME_Input[RES_STRUCT100])</f>
        <v>17</v>
      </c>
      <c r="M433" s="51" t="e">
        <f>FME_Ranking2[[#This Row],[Raw Data4]]*L$4</f>
        <v>#REF!</v>
      </c>
      <c r="N433" s="29">
        <f>((FME_Ranking_Option2!$L433)/($L$3))*100</f>
        <v>2.5415506149804976E-3</v>
      </c>
      <c r="O433" s="52" t="e">
        <f>FME_Ranking2[[#This Row],[Norm Data4]]*L$4</f>
        <v>#REF!</v>
      </c>
      <c r="P433" s="47">
        <f>_xlfn.XLOOKUP(FME_Ranking2[[#This Row],[FME ID]],FME_Input[FME_ID],FME_Input[POP100])</f>
        <v>77</v>
      </c>
      <c r="Q433" s="48" t="e">
        <f>FME_Ranking_Option2!$P433*P$4</f>
        <v>#REF!</v>
      </c>
      <c r="R433" s="48">
        <f>FME_Ranking_Option2!$P433/($P$3)</f>
        <v>2.8260634990776757E-5</v>
      </c>
      <c r="S433" s="48" t="e">
        <f>FME_Ranking_Option2!$R433*P$4</f>
        <v>#REF!</v>
      </c>
      <c r="T433" s="50">
        <f>_xlfn.XLOOKUP(FME_Ranking2[[#This Row],[FME ID]],FME_Input[FME_ID],FME_Input[CRITFAC100])</f>
        <v>0</v>
      </c>
      <c r="U433" s="48" t="e">
        <f>FME_Ranking_Option2!$T433*T$4</f>
        <v>#REF!</v>
      </c>
      <c r="V433" s="48">
        <f>FME_Ranking_Option2!$T433/($T$3)</f>
        <v>0</v>
      </c>
      <c r="W433" s="48" t="e">
        <f>FME_Ranking_Option2!$V433*T$4</f>
        <v>#REF!</v>
      </c>
      <c r="X433" s="50">
        <f>_xlfn.XLOOKUP(FME_Ranking2[[#This Row],[FME ID]],FME_Input[FME_ID],FME_Input[LWC])</f>
        <v>0</v>
      </c>
      <c r="Y433" s="48" t="e">
        <f>FME_Ranking_Option2!$X433*X$4</f>
        <v>#REF!</v>
      </c>
      <c r="Z433" s="48">
        <f>FME_Ranking_Option2!$X433/($X$3)</f>
        <v>0</v>
      </c>
      <c r="AA433" s="48" t="e">
        <f>FME_Ranking_Option2!$Z433*X$4</f>
        <v>#REF!</v>
      </c>
      <c r="AB433" s="50">
        <f>_xlfn.XLOOKUP(FME_Ranking2[[#This Row],[FME ID]],FME_Input[FME_ID],FME_Input[ROADCLS])</f>
        <v>0</v>
      </c>
      <c r="AC433" s="48" t="e">
        <f>FME_Ranking_Option2!$AB433*AB$4</f>
        <v>#REF!</v>
      </c>
      <c r="AD433" s="53">
        <f>_xlfn.XLOOKUP(FME_Ranking2[[#This Row],[FME ID]],FME_Input[FME_ID],FME_Input[ROAD_MILES100])</f>
        <v>0.42465221881866461</v>
      </c>
      <c r="AE433" s="54" t="e">
        <f>FME_Ranking_Option2!$AD433*AD$4</f>
        <v>#REF!</v>
      </c>
      <c r="AF433" s="55">
        <f>FME_Ranking_Option2!$AD433/($AD$3)</f>
        <v>9.5917398039573968E-6</v>
      </c>
      <c r="AG433" s="55" t="e">
        <f>FME_Ranking_Option2!$AF433*AD$4</f>
        <v>#REF!</v>
      </c>
      <c r="AH433" s="53">
        <f>_xlfn.XLOOKUP(FME_Ranking2[[#This Row],[FME ID]],FME_Input[FME_ID],FME_Input[FARMACRE100])</f>
        <v>27.728059768676761</v>
      </c>
      <c r="AI433" s="54" t="e">
        <f>FME_Ranking_Option2!$AH433*AH$4</f>
        <v>#REF!</v>
      </c>
      <c r="AJ433" s="56">
        <f>FME_Ranking_Option2!$AH433/($AH$3)</f>
        <v>1.610055846001972E-3</v>
      </c>
      <c r="AK433" s="57" t="e">
        <f>FME_Ranking_Option2!$AJ433*AH$4</f>
        <v>#REF!</v>
      </c>
      <c r="AL433"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33" s="45" t="e">
        <f>_xlfn.RANK.EQ(AL433,$AL$7:$AL$531)+COUNTIF(AL$7:AL433,AL433)-1</f>
        <v>#REF!</v>
      </c>
      <c r="AN433" s="57"/>
      <c r="AO433" s="45" t="e">
        <f>_xlfn.RANK.EQ(AN433,$AN$7:$AN$531)+COUNTIF(AN$7:AN433,AN433)-1</f>
        <v>#N/A</v>
      </c>
      <c r="AP43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33" s="32" t="e">
        <f>FME_Ranking2[[#This Row],[Score Based on Reported Factors]]-FME_Ranking2[[#This Row],[Check]]</f>
        <v>#REF!</v>
      </c>
      <c r="AR433" s="32"/>
      <c r="AT433" s="19"/>
      <c r="AU433" s="19"/>
      <c r="AV433" s="19"/>
      <c r="AW433" s="19"/>
      <c r="AX433" s="19"/>
      <c r="AY433" s="19"/>
      <c r="AZ433" s="19"/>
      <c r="BA433" s="19"/>
      <c r="BB433" s="19"/>
      <c r="BC433" s="19"/>
    </row>
    <row r="434" spans="1:55" ht="12" customHeight="1" x14ac:dyDescent="0.25">
      <c r="A434" s="17" t="s">
        <v>376</v>
      </c>
      <c r="B434" s="17" t="str">
        <f>_xlfn.XLOOKUP(FME_Ranking2[[#This Row],[FME ID]],FME_Input[FME_ID],FME_Input[FME_NAME])</f>
        <v>Jackson County Hospital District</v>
      </c>
      <c r="C434" s="17" t="str">
        <f>_xlfn.XLOOKUP(FME_Ranking2[[#This Row],[FME ID]],FME_Input[FME_ID],FME_Input[DESCR])</f>
        <v>Jackson County Hospital Flood Plan</v>
      </c>
      <c r="D434" s="33" t="str">
        <f>_xlfn.XLOOKUP(FME_Ranking2[[#This Row],[FME ID]],FME_Input[FME_ID],FME_Input[EMER_NEED])</f>
        <v>No</v>
      </c>
      <c r="E434" s="120">
        <f>IF(FME_Ranking_Option2!$D434="Yes",100,0)</f>
        <v>0</v>
      </c>
      <c r="F434" s="34" t="str">
        <f>_xlfn.XLOOKUP(FME_Ranking2[[#This Row],[FME ID]],FME_Input[FME_ID],FME_Input[FUND])</f>
        <v>No</v>
      </c>
      <c r="G434" s="35">
        <f>IF(FME_Ranking_Option2!$F434="Yes",1,0)</f>
        <v>0</v>
      </c>
      <c r="H434" s="33">
        <f>_xlfn.XLOOKUP(FME_Ranking2[[#This Row],[FME ID]],FME_Input[FME_ID],FME_Input[STRUCT_100])</f>
        <v>3</v>
      </c>
      <c r="I434" s="64" t="e">
        <f>FME_Ranking2[[#This Row],[Raw Data3]]*H$4</f>
        <v>#REF!</v>
      </c>
      <c r="J434" s="63">
        <f>((FME_Ranking_Option2!$H434)/($H$3))*100</f>
        <v>3.3338185891501984E-4</v>
      </c>
      <c r="K434" s="36" t="e">
        <f>FME_Ranking2[[#This Row],[Norm Data3]]*H$4</f>
        <v>#REF!</v>
      </c>
      <c r="L434" s="37">
        <f>_xlfn.XLOOKUP(FME_Ranking2[[#This Row],[FME ID]],FME_Input[FME_ID],FME_Input[RES_STRUCT100])</f>
        <v>0</v>
      </c>
      <c r="M434" s="38" t="e">
        <f>FME_Ranking2[[#This Row],[Raw Data4]]*L$4</f>
        <v>#REF!</v>
      </c>
      <c r="N434" s="28">
        <f>((FME_Ranking_Option2!$L434)/($L$3))*100</f>
        <v>0</v>
      </c>
      <c r="O434" s="39" t="e">
        <f>FME_Ranking2[[#This Row],[Norm Data4]]*L$4</f>
        <v>#REF!</v>
      </c>
      <c r="P434" s="34">
        <f>_xlfn.XLOOKUP(FME_Ranking2[[#This Row],[FME ID]],FME_Input[FME_ID],FME_Input[POP100])</f>
        <v>5</v>
      </c>
      <c r="Q434" s="35" t="e">
        <f>FME_Ranking_Option2!$P434*P$4</f>
        <v>#REF!</v>
      </c>
      <c r="R434" s="35">
        <f>FME_Ranking_Option2!$P434/($P$3)</f>
        <v>1.835106168232257E-6</v>
      </c>
      <c r="S434" s="35" t="e">
        <f>FME_Ranking_Option2!$R434*P$4</f>
        <v>#REF!</v>
      </c>
      <c r="T434" s="37">
        <f>_xlfn.XLOOKUP(FME_Ranking2[[#This Row],[FME ID]],FME_Input[FME_ID],FME_Input[CRITFAC100])</f>
        <v>0</v>
      </c>
      <c r="U434" s="35" t="e">
        <f>FME_Ranking_Option2!$T434*T$4</f>
        <v>#REF!</v>
      </c>
      <c r="V434" s="35">
        <f>FME_Ranking_Option2!$T434/($T$3)</f>
        <v>0</v>
      </c>
      <c r="W434" s="35" t="e">
        <f>FME_Ranking_Option2!$V434*T$4</f>
        <v>#REF!</v>
      </c>
      <c r="X434" s="37">
        <f>_xlfn.XLOOKUP(FME_Ranking2[[#This Row],[FME ID]],FME_Input[FME_ID],FME_Input[LWC])</f>
        <v>1</v>
      </c>
      <c r="Y434" s="35" t="e">
        <f>FME_Ranking_Option2!$X434*X$4</f>
        <v>#REF!</v>
      </c>
      <c r="Z434" s="35">
        <f>FME_Ranking_Option2!$X434/($X$3)</f>
        <v>9.1224229155263632E-5</v>
      </c>
      <c r="AA434" s="35" t="e">
        <f>FME_Ranking_Option2!$Z434*X$4</f>
        <v>#REF!</v>
      </c>
      <c r="AB434" s="37">
        <f>_xlfn.XLOOKUP(FME_Ranking2[[#This Row],[FME ID]],FME_Input[FME_ID],FME_Input[ROADCLS])</f>
        <v>0</v>
      </c>
      <c r="AC434" s="35" t="e">
        <f>FME_Ranking_Option2!$AB434*AB$4</f>
        <v>#REF!</v>
      </c>
      <c r="AD434" s="40">
        <f>_xlfn.XLOOKUP(FME_Ranking2[[#This Row],[FME ID]],FME_Input[FME_ID],FME_Input[ROAD_MILES100])</f>
        <v>0.11882103234529499</v>
      </c>
      <c r="AE434" s="41" t="e">
        <f>FME_Ranking_Option2!$AD434*AD$4</f>
        <v>#REF!</v>
      </c>
      <c r="AF434" s="42">
        <f>FME_Ranking_Option2!$AD434/($AD$3)</f>
        <v>2.6838442730010821E-6</v>
      </c>
      <c r="AG434" s="42" t="e">
        <f>FME_Ranking_Option2!$AF434*AD$4</f>
        <v>#REF!</v>
      </c>
      <c r="AH434" s="40">
        <f>_xlfn.XLOOKUP(FME_Ranking2[[#This Row],[FME ID]],FME_Input[FME_ID],FME_Input[FARMACRE100])</f>
        <v>0</v>
      </c>
      <c r="AI434" s="43" t="e">
        <f>FME_Ranking_Option2!$AH434*AH$4</f>
        <v>#REF!</v>
      </c>
      <c r="AJ434" s="41">
        <f>FME_Ranking_Option2!$AH434/($AH$3)</f>
        <v>0</v>
      </c>
      <c r="AK434" s="44" t="e">
        <f>FME_Ranking_Option2!$AJ434*AH$4</f>
        <v>#REF!</v>
      </c>
      <c r="AL434"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34" s="58" t="e">
        <f>_xlfn.RANK.EQ(AL434,$AL$7:$AL$531)+COUNTIF(AL$7:AL434,AL434)-1</f>
        <v>#REF!</v>
      </c>
      <c r="AN434" s="44"/>
      <c r="AO434" s="58" t="e">
        <f>_xlfn.RANK.EQ(AN434,$AN$7:$AN$531)+COUNTIF(AN$7:AN434,AN434)-1</f>
        <v>#N/A</v>
      </c>
      <c r="AP43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34" s="32" t="e">
        <f>FME_Ranking2[[#This Row],[Score Based on Reported Factors]]-FME_Ranking2[[#This Row],[Check]]</f>
        <v>#REF!</v>
      </c>
      <c r="AR434" s="32"/>
    </row>
    <row r="435" spans="1:55" ht="12" customHeight="1" x14ac:dyDescent="0.25">
      <c r="A435" s="16" t="s">
        <v>382</v>
      </c>
      <c r="B435" s="16" t="str">
        <f>_xlfn.XLOOKUP(FME_Ranking2[[#This Row],[FME ID]],FME_Input[FME_ID],FME_Input[FME_NAME])</f>
        <v>County Road 480</v>
      </c>
      <c r="C435" s="16" t="str">
        <f>_xlfn.XLOOKUP(FME_Ranking2[[#This Row],[FME ID]],FME_Input[FME_ID],FME_Input[DESCR])</f>
        <v xml:space="preserve">Strengthen County Road 480 with development of headwall_x000D_
</v>
      </c>
      <c r="D435" s="46" t="str">
        <f>_xlfn.XLOOKUP(FME_Ranking2[[#This Row],[FME ID]],FME_Input[FME_ID],FME_Input[EMER_NEED])</f>
        <v>No</v>
      </c>
      <c r="E435" s="121">
        <f>IF(FME_Ranking_Option2!$D435="Yes",100,0)</f>
        <v>0</v>
      </c>
      <c r="F435" s="47" t="str">
        <f>_xlfn.XLOOKUP(FME_Ranking2[[#This Row],[FME ID]],FME_Input[FME_ID],FME_Input[FUND])</f>
        <v>No</v>
      </c>
      <c r="G435" s="48">
        <f>IF(FME_Ranking_Option2!$F435="Yes",1,0)</f>
        <v>0</v>
      </c>
      <c r="H435" s="46">
        <f>_xlfn.XLOOKUP(FME_Ranking2[[#This Row],[FME ID]],FME_Input[FME_ID],FME_Input[STRUCT_100])</f>
        <v>10</v>
      </c>
      <c r="I435" s="65" t="e">
        <f>FME_Ranking2[[#This Row],[Raw Data3]]*H$4</f>
        <v>#REF!</v>
      </c>
      <c r="J435" s="62">
        <f>((FME_Ranking_Option2!$H435)/($H$3))*100</f>
        <v>1.111272863050066E-3</v>
      </c>
      <c r="K435" s="49" t="e">
        <f>FME_Ranking2[[#This Row],[Norm Data3]]*H$4</f>
        <v>#REF!</v>
      </c>
      <c r="L435" s="50">
        <f>_xlfn.XLOOKUP(FME_Ranking2[[#This Row],[FME ID]],FME_Input[FME_ID],FME_Input[RES_STRUCT100])</f>
        <v>5</v>
      </c>
      <c r="M435" s="51" t="e">
        <f>FME_Ranking2[[#This Row],[Raw Data4]]*L$4</f>
        <v>#REF!</v>
      </c>
      <c r="N435" s="29">
        <f>((FME_Ranking_Option2!$L435)/($L$3))*100</f>
        <v>7.4751488675896976E-4</v>
      </c>
      <c r="O435" s="52" t="e">
        <f>FME_Ranking2[[#This Row],[Norm Data4]]*L$4</f>
        <v>#REF!</v>
      </c>
      <c r="P435" s="47">
        <f>_xlfn.XLOOKUP(FME_Ranking2[[#This Row],[FME ID]],FME_Input[FME_ID],FME_Input[POP100])</f>
        <v>16</v>
      </c>
      <c r="Q435" s="48" t="e">
        <f>FME_Ranking_Option2!$P435*P$4</f>
        <v>#REF!</v>
      </c>
      <c r="R435" s="48">
        <f>FME_Ranking_Option2!$P435/($P$3)</f>
        <v>5.8723397383432224E-6</v>
      </c>
      <c r="S435" s="48" t="e">
        <f>FME_Ranking_Option2!$R435*P$4</f>
        <v>#REF!</v>
      </c>
      <c r="T435" s="50">
        <f>_xlfn.XLOOKUP(FME_Ranking2[[#This Row],[FME ID]],FME_Input[FME_ID],FME_Input[CRITFAC100])</f>
        <v>0</v>
      </c>
      <c r="U435" s="48" t="e">
        <f>FME_Ranking_Option2!$T435*T$4</f>
        <v>#REF!</v>
      </c>
      <c r="V435" s="48">
        <f>FME_Ranking_Option2!$T435/($T$3)</f>
        <v>0</v>
      </c>
      <c r="W435" s="48" t="e">
        <f>FME_Ranking_Option2!$V435*T$4</f>
        <v>#REF!</v>
      </c>
      <c r="X435" s="50">
        <f>_xlfn.XLOOKUP(FME_Ranking2[[#This Row],[FME ID]],FME_Input[FME_ID],FME_Input[LWC])</f>
        <v>0</v>
      </c>
      <c r="Y435" s="48" t="e">
        <f>FME_Ranking_Option2!$X435*X$4</f>
        <v>#REF!</v>
      </c>
      <c r="Z435" s="48">
        <f>FME_Ranking_Option2!$X435/($X$3)</f>
        <v>0</v>
      </c>
      <c r="AA435" s="48" t="e">
        <f>FME_Ranking_Option2!$Z435*X$4</f>
        <v>#REF!</v>
      </c>
      <c r="AB435" s="50">
        <f>_xlfn.XLOOKUP(FME_Ranking2[[#This Row],[FME ID]],FME_Input[FME_ID],FME_Input[ROADCLS])</f>
        <v>0</v>
      </c>
      <c r="AC435" s="48" t="e">
        <f>FME_Ranking_Option2!$AB435*AB$4</f>
        <v>#REF!</v>
      </c>
      <c r="AD435" s="53">
        <f>_xlfn.XLOOKUP(FME_Ranking2[[#This Row],[FME ID]],FME_Input[FME_ID],FME_Input[ROAD_MILES100])</f>
        <v>0.61210036277770996</v>
      </c>
      <c r="AE435" s="54" t="e">
        <f>FME_Ranking_Option2!$AD435*AD$4</f>
        <v>#REF!</v>
      </c>
      <c r="AF435" s="55">
        <f>FME_Ranking_Option2!$AD435/($AD$3)</f>
        <v>1.3825684062135582E-5</v>
      </c>
      <c r="AG435" s="55" t="e">
        <f>FME_Ranking_Option2!$AF435*AD$4</f>
        <v>#REF!</v>
      </c>
      <c r="AH435" s="53">
        <f>_xlfn.XLOOKUP(FME_Ranking2[[#This Row],[FME ID]],FME_Input[FME_ID],FME_Input[FARMACRE100])</f>
        <v>14.560830116271971</v>
      </c>
      <c r="AI435" s="54" t="e">
        <f>FME_Ranking_Option2!$AH435*AH$4</f>
        <v>#REF!</v>
      </c>
      <c r="AJ435" s="56">
        <f>FME_Ranking_Option2!$AH435/($AH$3)</f>
        <v>8.454882832382197E-4</v>
      </c>
      <c r="AK435" s="57" t="e">
        <f>FME_Ranking_Option2!$AJ435*AH$4</f>
        <v>#REF!</v>
      </c>
      <c r="AL435"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35" s="45" t="e">
        <f>_xlfn.RANK.EQ(AL435,$AL$7:$AL$531)+COUNTIF(AL$7:AL435,AL435)-1</f>
        <v>#REF!</v>
      </c>
      <c r="AN435" s="57"/>
      <c r="AO435" s="45" t="e">
        <f>_xlfn.RANK.EQ(AN435,$AN$7:$AN$531)+COUNTIF(AN$7:AN435,AN435)-1</f>
        <v>#N/A</v>
      </c>
      <c r="AP43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35" s="32" t="e">
        <f>FME_Ranking2[[#This Row],[Score Based on Reported Factors]]-FME_Ranking2[[#This Row],[Check]]</f>
        <v>#REF!</v>
      </c>
      <c r="AR435" s="32"/>
      <c r="AT435" s="19"/>
      <c r="AU435" s="19"/>
      <c r="AV435" s="19"/>
      <c r="AW435" s="19"/>
      <c r="AX435" s="19"/>
      <c r="AY435" s="19"/>
      <c r="AZ435" s="19"/>
      <c r="BA435" s="19"/>
      <c r="BB435" s="19"/>
      <c r="BC435" s="19"/>
    </row>
    <row r="436" spans="1:55" ht="12" customHeight="1" x14ac:dyDescent="0.25">
      <c r="A436" s="17" t="s">
        <v>416</v>
      </c>
      <c r="B436" s="17" t="str">
        <f>_xlfn.XLOOKUP(FME_Ranking2[[#This Row],[FME ID]],FME_Input[FME_ID],FME_Input[FME_NAME])</f>
        <v>Various Streets - Install Flood Early Warning System</v>
      </c>
      <c r="C436" s="17" t="str">
        <f>_xlfn.XLOOKUP(FME_Ranking2[[#This Row],[FME ID]],FME_Input[FME_ID],FME_Input[DESCR])</f>
        <v xml:space="preserve">Local Flood Warning System_x000D_
</v>
      </c>
      <c r="D436" s="33" t="str">
        <f>_xlfn.XLOOKUP(FME_Ranking2[[#This Row],[FME ID]],FME_Input[FME_ID],FME_Input[EMER_NEED])</f>
        <v>No</v>
      </c>
      <c r="E436" s="120">
        <f>IF(FME_Ranking_Option2!$D436="Yes",100,0)</f>
        <v>0</v>
      </c>
      <c r="F436" s="34" t="str">
        <f>_xlfn.XLOOKUP(FME_Ranking2[[#This Row],[FME ID]],FME_Input[FME_ID],FME_Input[FUND])</f>
        <v>No</v>
      </c>
      <c r="G436" s="35">
        <f>IF(FME_Ranking_Option2!$F436="Yes",1,0)</f>
        <v>0</v>
      </c>
      <c r="H436" s="33">
        <f>_xlfn.XLOOKUP(FME_Ranking2[[#This Row],[FME ID]],FME_Input[FME_ID],FME_Input[STRUCT_100])</f>
        <v>51</v>
      </c>
      <c r="I436" s="64" t="e">
        <f>FME_Ranking2[[#This Row],[Raw Data3]]*H$4</f>
        <v>#REF!</v>
      </c>
      <c r="J436" s="63">
        <f>((FME_Ranking_Option2!$H436)/($H$3))*100</f>
        <v>5.667491601555337E-3</v>
      </c>
      <c r="K436" s="36" t="e">
        <f>FME_Ranking2[[#This Row],[Norm Data3]]*H$4</f>
        <v>#REF!</v>
      </c>
      <c r="L436" s="37">
        <f>_xlfn.XLOOKUP(FME_Ranking2[[#This Row],[FME ID]],FME_Input[FME_ID],FME_Input[RES_STRUCT100])</f>
        <v>4</v>
      </c>
      <c r="M436" s="38" t="e">
        <f>FME_Ranking2[[#This Row],[Raw Data4]]*L$4</f>
        <v>#REF!</v>
      </c>
      <c r="N436" s="28">
        <f>((FME_Ranking_Option2!$L436)/($L$3))*100</f>
        <v>5.9801190940717583E-4</v>
      </c>
      <c r="O436" s="39" t="e">
        <f>FME_Ranking2[[#This Row],[Norm Data4]]*L$4</f>
        <v>#REF!</v>
      </c>
      <c r="P436" s="34">
        <f>_xlfn.XLOOKUP(FME_Ranking2[[#This Row],[FME ID]],FME_Input[FME_ID],FME_Input[POP100])</f>
        <v>49</v>
      </c>
      <c r="Q436" s="35" t="e">
        <f>FME_Ranking_Option2!$P436*P$4</f>
        <v>#REF!</v>
      </c>
      <c r="R436" s="35">
        <f>FME_Ranking_Option2!$P436/($P$3)</f>
        <v>1.7984040448676119E-5</v>
      </c>
      <c r="S436" s="35" t="e">
        <f>FME_Ranking_Option2!$R436*P$4</f>
        <v>#REF!</v>
      </c>
      <c r="T436" s="37">
        <f>_xlfn.XLOOKUP(FME_Ranking2[[#This Row],[FME ID]],FME_Input[FME_ID],FME_Input[CRITFAC100])</f>
        <v>0</v>
      </c>
      <c r="U436" s="35" t="e">
        <f>FME_Ranking_Option2!$T436*T$4</f>
        <v>#REF!</v>
      </c>
      <c r="V436" s="35">
        <f>FME_Ranking_Option2!$T436/($T$3)</f>
        <v>0</v>
      </c>
      <c r="W436" s="35" t="e">
        <f>FME_Ranking_Option2!$V436*T$4</f>
        <v>#REF!</v>
      </c>
      <c r="X436" s="37">
        <f>_xlfn.XLOOKUP(FME_Ranking2[[#This Row],[FME ID]],FME_Input[FME_ID],FME_Input[LWC])</f>
        <v>4</v>
      </c>
      <c r="Y436" s="35" t="e">
        <f>FME_Ranking_Option2!$X436*X$4</f>
        <v>#REF!</v>
      </c>
      <c r="Z436" s="35">
        <f>FME_Ranking_Option2!$X436/($X$3)</f>
        <v>3.6489691662105453E-4</v>
      </c>
      <c r="AA436" s="35" t="e">
        <f>FME_Ranking_Option2!$Z436*X$4</f>
        <v>#REF!</v>
      </c>
      <c r="AB436" s="37">
        <f>_xlfn.XLOOKUP(FME_Ranking2[[#This Row],[FME ID]],FME_Input[FME_ID],FME_Input[ROADCLS])</f>
        <v>0</v>
      </c>
      <c r="AC436" s="35" t="e">
        <f>FME_Ranking_Option2!$AB436*AB$4</f>
        <v>#REF!</v>
      </c>
      <c r="AD436" s="40">
        <f>_xlfn.XLOOKUP(FME_Ranking2[[#This Row],[FME ID]],FME_Input[FME_ID],FME_Input[ROAD_MILES100])</f>
        <v>0.19601467251777649</v>
      </c>
      <c r="AE436" s="41" t="e">
        <f>FME_Ranking_Option2!$AD436*AD$4</f>
        <v>#REF!</v>
      </c>
      <c r="AF436" s="42">
        <f>FME_Ranking_Option2!$AD436/($AD$3)</f>
        <v>4.4274388622735119E-6</v>
      </c>
      <c r="AG436" s="42" t="e">
        <f>FME_Ranking_Option2!$AF436*AD$4</f>
        <v>#REF!</v>
      </c>
      <c r="AH436" s="40">
        <f>_xlfn.XLOOKUP(FME_Ranking2[[#This Row],[FME ID]],FME_Input[FME_ID],FME_Input[FARMACRE100])</f>
        <v>10644.2568359375</v>
      </c>
      <c r="AI436" s="43" t="e">
        <f>FME_Ranking_Option2!$AH436*AH$4</f>
        <v>#REF!</v>
      </c>
      <c r="AJ436" s="41">
        <f>FME_Ranking_Option2!$AH436/($AH$3)</f>
        <v>0.61806877538570304</v>
      </c>
      <c r="AK436" s="44" t="e">
        <f>FME_Ranking_Option2!$AJ436*AH$4</f>
        <v>#REF!</v>
      </c>
      <c r="AL436"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36" s="58" t="e">
        <f>_xlfn.RANK.EQ(AL436,$AL$7:$AL$531)+COUNTIF(AL$7:AL436,AL436)-1</f>
        <v>#REF!</v>
      </c>
      <c r="AN436" s="44"/>
      <c r="AO436" s="58" t="e">
        <f>_xlfn.RANK.EQ(AN436,$AN$7:$AN$531)+COUNTIF(AN$7:AN436,AN436)-1</f>
        <v>#N/A</v>
      </c>
      <c r="AP43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36" s="32" t="e">
        <f>FME_Ranking2[[#This Row],[Score Based on Reported Factors]]-FME_Ranking2[[#This Row],[Check]]</f>
        <v>#REF!</v>
      </c>
      <c r="AR436" s="32"/>
    </row>
    <row r="437" spans="1:55" ht="12" customHeight="1" x14ac:dyDescent="0.25">
      <c r="A437" s="16" t="s">
        <v>421</v>
      </c>
      <c r="B437" s="16" t="str">
        <f>_xlfn.XLOOKUP(FME_Ranking2[[#This Row],[FME ID]],FME_Input[FME_ID],FME_Input[FME_NAME])</f>
        <v>Lake Junction Dredging</v>
      </c>
      <c r="C437" s="16" t="str">
        <f>_xlfn.XLOOKUP(FME_Ranking2[[#This Row],[FME ID]],FME_Input[FME_ID],FME_Input[DESCR])</f>
        <v>Dredge Lake Junction</v>
      </c>
      <c r="D437" s="46" t="str">
        <f>_xlfn.XLOOKUP(FME_Ranking2[[#This Row],[FME ID]],FME_Input[FME_ID],FME_Input[EMER_NEED])</f>
        <v>No</v>
      </c>
      <c r="E437" s="121">
        <f>IF(FME_Ranking_Option2!$D437="Yes",100,0)</f>
        <v>0</v>
      </c>
      <c r="F437" s="47" t="str">
        <f>_xlfn.XLOOKUP(FME_Ranking2[[#This Row],[FME ID]],FME_Input[FME_ID],FME_Input[FUND])</f>
        <v>No</v>
      </c>
      <c r="G437" s="48">
        <f>IF(FME_Ranking_Option2!$F437="Yes",1,0)</f>
        <v>0</v>
      </c>
      <c r="H437" s="46">
        <f>_xlfn.XLOOKUP(FME_Ranking2[[#This Row],[FME ID]],FME_Input[FME_ID],FME_Input[STRUCT_100])</f>
        <v>0</v>
      </c>
      <c r="I437" s="65" t="e">
        <f>FME_Ranking2[[#This Row],[Raw Data3]]*H$4</f>
        <v>#REF!</v>
      </c>
      <c r="J437" s="62">
        <f>((FME_Ranking_Option2!$H437)/($H$3))*100</f>
        <v>0</v>
      </c>
      <c r="K437" s="49" t="e">
        <f>FME_Ranking2[[#This Row],[Norm Data3]]*H$4</f>
        <v>#REF!</v>
      </c>
      <c r="L437" s="50">
        <f>_xlfn.XLOOKUP(FME_Ranking2[[#This Row],[FME ID]],FME_Input[FME_ID],FME_Input[RES_STRUCT100])</f>
        <v>0</v>
      </c>
      <c r="M437" s="51" t="e">
        <f>FME_Ranking2[[#This Row],[Raw Data4]]*L$4</f>
        <v>#REF!</v>
      </c>
      <c r="N437" s="29">
        <f>((FME_Ranking_Option2!$L437)/($L$3))*100</f>
        <v>0</v>
      </c>
      <c r="O437" s="52" t="e">
        <f>FME_Ranking2[[#This Row],[Norm Data4]]*L$4</f>
        <v>#REF!</v>
      </c>
      <c r="P437" s="47">
        <f>_xlfn.XLOOKUP(FME_Ranking2[[#This Row],[FME ID]],FME_Input[FME_ID],FME_Input[POP100])</f>
        <v>0</v>
      </c>
      <c r="Q437" s="48" t="e">
        <f>FME_Ranking_Option2!$P437*P$4</f>
        <v>#REF!</v>
      </c>
      <c r="R437" s="48">
        <f>FME_Ranking_Option2!$P437/($P$3)</f>
        <v>0</v>
      </c>
      <c r="S437" s="48" t="e">
        <f>FME_Ranking_Option2!$R437*P$4</f>
        <v>#REF!</v>
      </c>
      <c r="T437" s="50">
        <f>_xlfn.XLOOKUP(FME_Ranking2[[#This Row],[FME ID]],FME_Input[FME_ID],FME_Input[CRITFAC100])</f>
        <v>0</v>
      </c>
      <c r="U437" s="48" t="e">
        <f>FME_Ranking_Option2!$T437*T$4</f>
        <v>#REF!</v>
      </c>
      <c r="V437" s="48">
        <f>FME_Ranking_Option2!$T437/($T$3)</f>
        <v>0</v>
      </c>
      <c r="W437" s="48" t="e">
        <f>FME_Ranking_Option2!$V437*T$4</f>
        <v>#REF!</v>
      </c>
      <c r="X437" s="50">
        <f>_xlfn.XLOOKUP(FME_Ranking2[[#This Row],[FME ID]],FME_Input[FME_ID],FME_Input[LWC])</f>
        <v>0</v>
      </c>
      <c r="Y437" s="48" t="e">
        <f>FME_Ranking_Option2!$X437*X$4</f>
        <v>#REF!</v>
      </c>
      <c r="Z437" s="48">
        <f>FME_Ranking_Option2!$X437/($X$3)</f>
        <v>0</v>
      </c>
      <c r="AA437" s="48" t="e">
        <f>FME_Ranking_Option2!$Z437*X$4</f>
        <v>#REF!</v>
      </c>
      <c r="AB437" s="50">
        <f>_xlfn.XLOOKUP(FME_Ranking2[[#This Row],[FME ID]],FME_Input[FME_ID],FME_Input[ROADCLS])</f>
        <v>0</v>
      </c>
      <c r="AC437" s="48" t="e">
        <f>FME_Ranking_Option2!$AB437*AB$4</f>
        <v>#REF!</v>
      </c>
      <c r="AD437" s="53">
        <f>_xlfn.XLOOKUP(FME_Ranking2[[#This Row],[FME ID]],FME_Input[FME_ID],FME_Input[ROAD_MILES100])</f>
        <v>0</v>
      </c>
      <c r="AE437" s="54" t="e">
        <f>FME_Ranking_Option2!$AD437*AD$4</f>
        <v>#REF!</v>
      </c>
      <c r="AF437" s="55">
        <f>FME_Ranking_Option2!$AD437/($AD$3)</f>
        <v>0</v>
      </c>
      <c r="AG437" s="55" t="e">
        <f>FME_Ranking_Option2!$AF437*AD$4</f>
        <v>#REF!</v>
      </c>
      <c r="AH437" s="53">
        <f>_xlfn.XLOOKUP(FME_Ranking2[[#This Row],[FME ID]],FME_Input[FME_ID],FME_Input[FARMACRE100])</f>
        <v>14.472498893737789</v>
      </c>
      <c r="AI437" s="54" t="e">
        <f>FME_Ranking_Option2!$AH437*AH$4</f>
        <v>#REF!</v>
      </c>
      <c r="AJ437" s="56">
        <f>FME_Ranking_Option2!$AH437/($AH$3)</f>
        <v>8.4035924779859192E-4</v>
      </c>
      <c r="AK437" s="57" t="e">
        <f>FME_Ranking_Option2!$AJ437*AH$4</f>
        <v>#REF!</v>
      </c>
      <c r="AL437"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37" s="45" t="e">
        <f>_xlfn.RANK.EQ(AL437,$AL$7:$AL$531)+COUNTIF(AL$7:AL437,AL437)-1</f>
        <v>#REF!</v>
      </c>
      <c r="AN437" s="57"/>
      <c r="AO437" s="45" t="e">
        <f>_xlfn.RANK.EQ(AN437,$AN$7:$AN$531)+COUNTIF(AN$7:AN437,AN437)-1</f>
        <v>#N/A</v>
      </c>
      <c r="AP43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37" s="32" t="e">
        <f>FME_Ranking2[[#This Row],[Score Based on Reported Factors]]-FME_Ranking2[[#This Row],[Check]]</f>
        <v>#REF!</v>
      </c>
      <c r="AR437" s="32"/>
      <c r="AT437" s="19"/>
      <c r="AU437" s="19"/>
      <c r="AV437" s="19"/>
      <c r="AW437" s="19"/>
      <c r="AX437" s="19"/>
      <c r="AY437" s="19"/>
      <c r="AZ437" s="19"/>
      <c r="BA437" s="19"/>
      <c r="BB437" s="19"/>
      <c r="BC437" s="19"/>
    </row>
    <row r="438" spans="1:55" ht="12" customHeight="1" x14ac:dyDescent="0.25">
      <c r="A438" s="17" t="s">
        <v>428</v>
      </c>
      <c r="B438" s="17" t="str">
        <f>_xlfn.XLOOKUP(FME_Ranking2[[#This Row],[FME ID]],FME_Input[FME_ID],FME_Input[FME_NAME])</f>
        <v>Llano River Erosion</v>
      </c>
      <c r="C438" s="17" t="str">
        <f>_xlfn.XLOOKUP(FME_Ranking2[[#This Row],[FME ID]],FME_Input[FME_ID],FME_Input[DESCR])</f>
        <v>Develop/implement projects to prevent erosion</v>
      </c>
      <c r="D438" s="33" t="str">
        <f>_xlfn.XLOOKUP(FME_Ranking2[[#This Row],[FME ID]],FME_Input[FME_ID],FME_Input[EMER_NEED])</f>
        <v>No</v>
      </c>
      <c r="E438" s="120">
        <f>IF(FME_Ranking_Option2!$D438="Yes",100,0)</f>
        <v>0</v>
      </c>
      <c r="F438" s="34" t="str">
        <f>_xlfn.XLOOKUP(FME_Ranking2[[#This Row],[FME ID]],FME_Input[FME_ID],FME_Input[FUND])</f>
        <v>No</v>
      </c>
      <c r="G438" s="35">
        <f>IF(FME_Ranking_Option2!$F438="Yes",1,0)</f>
        <v>0</v>
      </c>
      <c r="H438" s="33">
        <f>_xlfn.XLOOKUP(FME_Ranking2[[#This Row],[FME ID]],FME_Input[FME_ID],FME_Input[STRUCT_100])</f>
        <v>130</v>
      </c>
      <c r="I438" s="64" t="e">
        <f>FME_Ranking2[[#This Row],[Raw Data3]]*H$4</f>
        <v>#REF!</v>
      </c>
      <c r="J438" s="63">
        <f>((FME_Ranking_Option2!$H438)/($H$3))*100</f>
        <v>1.4446547219650861E-2</v>
      </c>
      <c r="K438" s="36" t="e">
        <f>FME_Ranking2[[#This Row],[Norm Data3]]*H$4</f>
        <v>#REF!</v>
      </c>
      <c r="L438" s="37">
        <f>_xlfn.XLOOKUP(FME_Ranking2[[#This Row],[FME ID]],FME_Input[FME_ID],FME_Input[RES_STRUCT100])</f>
        <v>83</v>
      </c>
      <c r="M438" s="38" t="e">
        <f>FME_Ranking2[[#This Row],[Raw Data4]]*L$4</f>
        <v>#REF!</v>
      </c>
      <c r="N438" s="28">
        <f>((FME_Ranking_Option2!$L438)/($L$3))*100</f>
        <v>1.2408747120198899E-2</v>
      </c>
      <c r="O438" s="39" t="e">
        <f>FME_Ranking2[[#This Row],[Norm Data4]]*L$4</f>
        <v>#REF!</v>
      </c>
      <c r="P438" s="34">
        <f>_xlfn.XLOOKUP(FME_Ranking2[[#This Row],[FME ID]],FME_Input[FME_ID],FME_Input[POP100])</f>
        <v>192</v>
      </c>
      <c r="Q438" s="35" t="e">
        <f>FME_Ranking_Option2!$P438*P$4</f>
        <v>#REF!</v>
      </c>
      <c r="R438" s="35">
        <f>FME_Ranking_Option2!$P438/($P$3)</f>
        <v>7.0468076860118669E-5</v>
      </c>
      <c r="S438" s="35" t="e">
        <f>FME_Ranking_Option2!$R438*P$4</f>
        <v>#REF!</v>
      </c>
      <c r="T438" s="37">
        <f>_xlfn.XLOOKUP(FME_Ranking2[[#This Row],[FME ID]],FME_Input[FME_ID],FME_Input[CRITFAC100])</f>
        <v>0</v>
      </c>
      <c r="U438" s="35" t="e">
        <f>FME_Ranking_Option2!$T438*T$4</f>
        <v>#REF!</v>
      </c>
      <c r="V438" s="35">
        <f>FME_Ranking_Option2!$T438/($T$3)</f>
        <v>0</v>
      </c>
      <c r="W438" s="35" t="e">
        <f>FME_Ranking_Option2!$V438*T$4</f>
        <v>#REF!</v>
      </c>
      <c r="X438" s="37">
        <f>_xlfn.XLOOKUP(FME_Ranking2[[#This Row],[FME ID]],FME_Input[FME_ID],FME_Input[LWC])</f>
        <v>0</v>
      </c>
      <c r="Y438" s="35" t="e">
        <f>FME_Ranking_Option2!$X438*X$4</f>
        <v>#REF!</v>
      </c>
      <c r="Z438" s="35">
        <f>FME_Ranking_Option2!$X438/($X$3)</f>
        <v>0</v>
      </c>
      <c r="AA438" s="35" t="e">
        <f>FME_Ranking_Option2!$Z438*X$4</f>
        <v>#REF!</v>
      </c>
      <c r="AB438" s="37">
        <f>_xlfn.XLOOKUP(FME_Ranking2[[#This Row],[FME ID]],FME_Input[FME_ID],FME_Input[ROADCLS])</f>
        <v>0</v>
      </c>
      <c r="AC438" s="35" t="e">
        <f>FME_Ranking_Option2!$AB438*AB$4</f>
        <v>#REF!</v>
      </c>
      <c r="AD438" s="40">
        <f>_xlfn.XLOOKUP(FME_Ranking2[[#This Row],[FME ID]],FME_Input[FME_ID],FME_Input[ROAD_MILES100])</f>
        <v>4.3005719780921943E-2</v>
      </c>
      <c r="AE438" s="41" t="e">
        <f>FME_Ranking_Option2!$AD438*AD$4</f>
        <v>#REF!</v>
      </c>
      <c r="AF438" s="42">
        <f>FME_Ranking_Option2!$AD438/($AD$3)</f>
        <v>9.7138235935287307E-7</v>
      </c>
      <c r="AG438" s="42" t="e">
        <f>FME_Ranking_Option2!$AF438*AD$4</f>
        <v>#REF!</v>
      </c>
      <c r="AH438" s="40">
        <f>_xlfn.XLOOKUP(FME_Ranking2[[#This Row],[FME ID]],FME_Input[FME_ID],FME_Input[FARMACRE100])</f>
        <v>426.63497924804688</v>
      </c>
      <c r="AI438" s="43" t="e">
        <f>FME_Ranking_Option2!$AH438*AH$4</f>
        <v>#REF!</v>
      </c>
      <c r="AJ438" s="41">
        <f>FME_Ranking_Option2!$AH438/($AH$3)</f>
        <v>2.4772960970865236E-2</v>
      </c>
      <c r="AK438" s="44" t="e">
        <f>FME_Ranking_Option2!$AJ438*AH$4</f>
        <v>#REF!</v>
      </c>
      <c r="AL438"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38" s="58" t="e">
        <f>_xlfn.RANK.EQ(AL438,$AL$7:$AL$531)+COUNTIF(AL$7:AL438,AL438)-1</f>
        <v>#REF!</v>
      </c>
      <c r="AN438" s="44"/>
      <c r="AO438" s="58" t="e">
        <f>_xlfn.RANK.EQ(AN438,$AN$7:$AN$531)+COUNTIF(AN$7:AN438,AN438)-1</f>
        <v>#N/A</v>
      </c>
      <c r="AP43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38" s="32" t="e">
        <f>FME_Ranking2[[#This Row],[Score Based on Reported Factors]]-FME_Ranking2[[#This Row],[Check]]</f>
        <v>#REF!</v>
      </c>
      <c r="AR438" s="32"/>
    </row>
    <row r="439" spans="1:55" ht="12" customHeight="1" x14ac:dyDescent="0.25">
      <c r="A439" s="16" t="s">
        <v>438</v>
      </c>
      <c r="B439" s="16" t="str">
        <f>_xlfn.XLOOKUP(FME_Ranking2[[#This Row],[FME ID]],FME_Input[FME_ID],FME_Input[FME_NAME])</f>
        <v>Llano River Channel Maintenance/Improvements</v>
      </c>
      <c r="C439" s="16" t="str">
        <f>_xlfn.XLOOKUP(FME_Ranking2[[#This Row],[FME ID]],FME_Input[FME_ID],FME_Input[DESCR])</f>
        <v>Implement a new program to clear and clean creeks/drains and Llano River bed</v>
      </c>
      <c r="D439" s="46" t="str">
        <f>_xlfn.XLOOKUP(FME_Ranking2[[#This Row],[FME ID]],FME_Input[FME_ID],FME_Input[EMER_NEED])</f>
        <v>No</v>
      </c>
      <c r="E439" s="121">
        <f>IF(FME_Ranking_Option2!$D439="Yes",100,0)</f>
        <v>0</v>
      </c>
      <c r="F439" s="47" t="str">
        <f>_xlfn.XLOOKUP(FME_Ranking2[[#This Row],[FME ID]],FME_Input[FME_ID],FME_Input[FUND])</f>
        <v>No</v>
      </c>
      <c r="G439" s="48">
        <f>IF(FME_Ranking_Option2!$F439="Yes",1,0)</f>
        <v>0</v>
      </c>
      <c r="H439" s="46">
        <f>_xlfn.XLOOKUP(FME_Ranking2[[#This Row],[FME ID]],FME_Input[FME_ID],FME_Input[STRUCT_100])</f>
        <v>181</v>
      </c>
      <c r="I439" s="65" t="e">
        <f>FME_Ranking2[[#This Row],[Raw Data3]]*H$4</f>
        <v>#REF!</v>
      </c>
      <c r="J439" s="62">
        <f>((FME_Ranking_Option2!$H439)/($H$3))*100</f>
        <v>2.0114038821206198E-2</v>
      </c>
      <c r="K439" s="49" t="e">
        <f>FME_Ranking2[[#This Row],[Norm Data3]]*H$4</f>
        <v>#REF!</v>
      </c>
      <c r="L439" s="50">
        <f>_xlfn.XLOOKUP(FME_Ranking2[[#This Row],[FME ID]],FME_Input[FME_ID],FME_Input[RES_STRUCT100])</f>
        <v>104</v>
      </c>
      <c r="M439" s="51" t="e">
        <f>FME_Ranking2[[#This Row],[Raw Data4]]*L$4</f>
        <v>#REF!</v>
      </c>
      <c r="N439" s="29">
        <f>((FME_Ranking_Option2!$L439)/($L$3))*100</f>
        <v>1.5548309644586571E-2</v>
      </c>
      <c r="O439" s="52" t="e">
        <f>FME_Ranking2[[#This Row],[Norm Data4]]*L$4</f>
        <v>#REF!</v>
      </c>
      <c r="P439" s="47">
        <f>_xlfn.XLOOKUP(FME_Ranking2[[#This Row],[FME ID]],FME_Input[FME_ID],FME_Input[POP100])</f>
        <v>445</v>
      </c>
      <c r="Q439" s="48" t="e">
        <f>FME_Ranking_Option2!$P439*P$4</f>
        <v>#REF!</v>
      </c>
      <c r="R439" s="48">
        <f>FME_Ranking_Option2!$P439/($P$3)</f>
        <v>1.6332444897267087E-4</v>
      </c>
      <c r="S439" s="48" t="e">
        <f>FME_Ranking_Option2!$R439*P$4</f>
        <v>#REF!</v>
      </c>
      <c r="T439" s="50">
        <f>_xlfn.XLOOKUP(FME_Ranking2[[#This Row],[FME ID]],FME_Input[FME_ID],FME_Input[CRITFAC100])</f>
        <v>0</v>
      </c>
      <c r="U439" s="48" t="e">
        <f>FME_Ranking_Option2!$T439*T$4</f>
        <v>#REF!</v>
      </c>
      <c r="V439" s="48">
        <f>FME_Ranking_Option2!$T439/($T$3)</f>
        <v>0</v>
      </c>
      <c r="W439" s="48" t="e">
        <f>FME_Ranking_Option2!$V439*T$4</f>
        <v>#REF!</v>
      </c>
      <c r="X439" s="50">
        <f>_xlfn.XLOOKUP(FME_Ranking2[[#This Row],[FME ID]],FME_Input[FME_ID],FME_Input[LWC])</f>
        <v>1</v>
      </c>
      <c r="Y439" s="48" t="e">
        <f>FME_Ranking_Option2!$X439*X$4</f>
        <v>#REF!</v>
      </c>
      <c r="Z439" s="48">
        <f>FME_Ranking_Option2!$X439/($X$3)</f>
        <v>9.1224229155263632E-5</v>
      </c>
      <c r="AA439" s="48" t="e">
        <f>FME_Ranking_Option2!$Z439*X$4</f>
        <v>#REF!</v>
      </c>
      <c r="AB439" s="50">
        <f>_xlfn.XLOOKUP(FME_Ranking2[[#This Row],[FME ID]],FME_Input[FME_ID],FME_Input[ROADCLS])</f>
        <v>0</v>
      </c>
      <c r="AC439" s="48" t="e">
        <f>FME_Ranking_Option2!$AB439*AB$4</f>
        <v>#REF!</v>
      </c>
      <c r="AD439" s="53">
        <f>_xlfn.XLOOKUP(FME_Ranking2[[#This Row],[FME ID]],FME_Input[FME_ID],FME_Input[ROAD_MILES100])</f>
        <v>3.4782965183258061</v>
      </c>
      <c r="AE439" s="54" t="e">
        <f>FME_Ranking_Option2!$AD439*AD$4</f>
        <v>#REF!</v>
      </c>
      <c r="AF439" s="55">
        <f>FME_Ranking_Option2!$AD439/($AD$3)</f>
        <v>7.856526749725692E-5</v>
      </c>
      <c r="AG439" s="55" t="e">
        <f>FME_Ranking_Option2!$AF439*AD$4</f>
        <v>#REF!</v>
      </c>
      <c r="AH439" s="53">
        <f>_xlfn.XLOOKUP(FME_Ranking2[[#This Row],[FME ID]],FME_Input[FME_ID],FME_Input[FARMACRE100])</f>
        <v>463.77835083007813</v>
      </c>
      <c r="AI439" s="54" t="e">
        <f>FME_Ranking_Option2!$AH439*AH$4</f>
        <v>#REF!</v>
      </c>
      <c r="AJ439" s="56">
        <f>FME_Ranking_Option2!$AH439/($AH$3)</f>
        <v>2.6929725744700213E-2</v>
      </c>
      <c r="AK439" s="57" t="e">
        <f>FME_Ranking_Option2!$AJ439*AH$4</f>
        <v>#REF!</v>
      </c>
      <c r="AL439"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39" s="45" t="e">
        <f>_xlfn.RANK.EQ(AL439,$AL$7:$AL$531)+COUNTIF(AL$7:AL439,AL439)-1</f>
        <v>#REF!</v>
      </c>
      <c r="AN439" s="57"/>
      <c r="AO439" s="45" t="e">
        <f>_xlfn.RANK.EQ(AN439,$AN$7:$AN$531)+COUNTIF(AN$7:AN439,AN439)-1</f>
        <v>#N/A</v>
      </c>
      <c r="AP43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39" s="32" t="e">
        <f>FME_Ranking2[[#This Row],[Score Based on Reported Factors]]-FME_Ranking2[[#This Row],[Check]]</f>
        <v>#REF!</v>
      </c>
      <c r="AR439" s="32"/>
      <c r="AT439" s="19"/>
      <c r="AU439" s="19"/>
      <c r="AV439" s="19"/>
      <c r="AW439" s="19"/>
      <c r="AX439" s="19"/>
      <c r="AY439" s="19"/>
      <c r="AZ439" s="19"/>
      <c r="BA439" s="19"/>
      <c r="BB439" s="19"/>
      <c r="BC439" s="19"/>
    </row>
    <row r="440" spans="1:55" ht="12" customHeight="1" x14ac:dyDescent="0.25">
      <c r="A440" s="17" t="s">
        <v>445</v>
      </c>
      <c r="B440" s="17" t="str">
        <f>_xlfn.XLOOKUP(FME_Ranking2[[#This Row],[FME ID]],FME_Input[FME_ID],FME_Input[FME_NAME])</f>
        <v>Drainage Ditch Maintenance/Improvements</v>
      </c>
      <c r="C440" s="17" t="str">
        <f>_xlfn.XLOOKUP(FME_Ranking2[[#This Row],[FME ID]],FME_Input[FME_ID],FME_Input[DESCR])</f>
        <v xml:space="preserve">Clean out and deepen the stormwater drainage ditches </v>
      </c>
      <c r="D440" s="33" t="str">
        <f>_xlfn.XLOOKUP(FME_Ranking2[[#This Row],[FME ID]],FME_Input[FME_ID],FME_Input[EMER_NEED])</f>
        <v>No</v>
      </c>
      <c r="E440" s="120">
        <f>IF(FME_Ranking_Option2!$D440="Yes",100,0)</f>
        <v>0</v>
      </c>
      <c r="F440" s="34" t="str">
        <f>_xlfn.XLOOKUP(FME_Ranking2[[#This Row],[FME ID]],FME_Input[FME_ID],FME_Input[FUND])</f>
        <v>No</v>
      </c>
      <c r="G440" s="35">
        <f>IF(FME_Ranking_Option2!$F440="Yes",1,0)</f>
        <v>0</v>
      </c>
      <c r="H440" s="33">
        <f>_xlfn.XLOOKUP(FME_Ranking2[[#This Row],[FME ID]],FME_Input[FME_ID],FME_Input[STRUCT_100])</f>
        <v>330</v>
      </c>
      <c r="I440" s="64" t="e">
        <f>FME_Ranking2[[#This Row],[Raw Data3]]*H$4</f>
        <v>#REF!</v>
      </c>
      <c r="J440" s="63">
        <f>((FME_Ranking_Option2!$H440)/($H$3))*100</f>
        <v>3.6672004480652186E-2</v>
      </c>
      <c r="K440" s="36" t="e">
        <f>FME_Ranking2[[#This Row],[Norm Data3]]*H$4</f>
        <v>#REF!</v>
      </c>
      <c r="L440" s="37">
        <f>_xlfn.XLOOKUP(FME_Ranking2[[#This Row],[FME ID]],FME_Input[FME_ID],FME_Input[RES_STRUCT100])</f>
        <v>309</v>
      </c>
      <c r="M440" s="38" t="e">
        <f>FME_Ranking2[[#This Row],[Raw Data4]]*L$4</f>
        <v>#REF!</v>
      </c>
      <c r="N440" s="28">
        <f>((FME_Ranking_Option2!$L440)/($L$3))*100</f>
        <v>4.6196420001704333E-2</v>
      </c>
      <c r="O440" s="39" t="e">
        <f>FME_Ranking2[[#This Row],[Norm Data4]]*L$4</f>
        <v>#REF!</v>
      </c>
      <c r="P440" s="34">
        <f>_xlfn.XLOOKUP(FME_Ranking2[[#This Row],[FME ID]],FME_Input[FME_ID],FME_Input[POP100])</f>
        <v>422</v>
      </c>
      <c r="Q440" s="35" t="e">
        <f>FME_Ranking_Option2!$P440*P$4</f>
        <v>#REF!</v>
      </c>
      <c r="R440" s="35">
        <f>FME_Ranking_Option2!$P440/($P$3)</f>
        <v>1.5488296059880247E-4</v>
      </c>
      <c r="S440" s="35" t="e">
        <f>FME_Ranking_Option2!$R440*P$4</f>
        <v>#REF!</v>
      </c>
      <c r="T440" s="37">
        <f>_xlfn.XLOOKUP(FME_Ranking2[[#This Row],[FME ID]],FME_Input[FME_ID],FME_Input[CRITFAC100])</f>
        <v>0</v>
      </c>
      <c r="U440" s="35" t="e">
        <f>FME_Ranking_Option2!$T440*T$4</f>
        <v>#REF!</v>
      </c>
      <c r="V440" s="35">
        <f>FME_Ranking_Option2!$T440/($T$3)</f>
        <v>0</v>
      </c>
      <c r="W440" s="35" t="e">
        <f>FME_Ranking_Option2!$V440*T$4</f>
        <v>#REF!</v>
      </c>
      <c r="X440" s="37">
        <f>_xlfn.XLOOKUP(FME_Ranking2[[#This Row],[FME ID]],FME_Input[FME_ID],FME_Input[LWC])</f>
        <v>0</v>
      </c>
      <c r="Y440" s="35" t="e">
        <f>FME_Ranking_Option2!$X440*X$4</f>
        <v>#REF!</v>
      </c>
      <c r="Z440" s="35">
        <f>FME_Ranking_Option2!$X440/($X$3)</f>
        <v>0</v>
      </c>
      <c r="AA440" s="35" t="e">
        <f>FME_Ranking_Option2!$Z440*X$4</f>
        <v>#REF!</v>
      </c>
      <c r="AB440" s="37">
        <f>_xlfn.XLOOKUP(FME_Ranking2[[#This Row],[FME ID]],FME_Input[FME_ID],FME_Input[ROADCLS])</f>
        <v>0</v>
      </c>
      <c r="AC440" s="35" t="e">
        <f>FME_Ranking_Option2!$AB440*AB$4</f>
        <v>#REF!</v>
      </c>
      <c r="AD440" s="40">
        <f>_xlfn.XLOOKUP(FME_Ranking2[[#This Row],[FME ID]],FME_Input[FME_ID],FME_Input[ROAD_MILES100])</f>
        <v>0.82047855854034424</v>
      </c>
      <c r="AE440" s="41" t="e">
        <f>FME_Ranking_Option2!$AD440*AD$4</f>
        <v>#REF!</v>
      </c>
      <c r="AF440" s="42">
        <f>FME_Ranking_Option2!$AD440/($AD$3)</f>
        <v>1.8532381321680047E-5</v>
      </c>
      <c r="AG440" s="42" t="e">
        <f>FME_Ranking_Option2!$AF440*AD$4</f>
        <v>#REF!</v>
      </c>
      <c r="AH440" s="40">
        <f>_xlfn.XLOOKUP(FME_Ranking2[[#This Row],[FME ID]],FME_Input[FME_ID],FME_Input[FARMACRE100])</f>
        <v>100.6619033813477</v>
      </c>
      <c r="AI440" s="43" t="e">
        <f>FME_Ranking_Option2!$AH440*AH$4</f>
        <v>#REF!</v>
      </c>
      <c r="AJ440" s="41">
        <f>FME_Ranking_Option2!$AH440/($AH$3)</f>
        <v>5.845028009926239E-3</v>
      </c>
      <c r="AK440" s="44" t="e">
        <f>FME_Ranking_Option2!$AJ440*AH$4</f>
        <v>#REF!</v>
      </c>
      <c r="AL440"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40" s="58" t="e">
        <f>_xlfn.RANK.EQ(AL440,$AL$7:$AL$531)+COUNTIF(AL$7:AL440,AL440)-1</f>
        <v>#REF!</v>
      </c>
      <c r="AN440" s="44"/>
      <c r="AO440" s="58" t="e">
        <f>_xlfn.RANK.EQ(AN440,$AN$7:$AN$531)+COUNTIF(AN$7:AN440,AN440)-1</f>
        <v>#N/A</v>
      </c>
      <c r="AP44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40" s="32" t="e">
        <f>FME_Ranking2[[#This Row],[Score Based on Reported Factors]]-FME_Ranking2[[#This Row],[Check]]</f>
        <v>#REF!</v>
      </c>
      <c r="AR440" s="32"/>
    </row>
    <row r="441" spans="1:55" ht="12" customHeight="1" x14ac:dyDescent="0.25">
      <c r="A441" s="16" t="s">
        <v>450</v>
      </c>
      <c r="B441" s="16" t="str">
        <f>_xlfn.XLOOKUP(FME_Ranking2[[#This Row],[FME ID]],FME_Input[FME_ID],FME_Input[FME_NAME])</f>
        <v>Prepare Evacuation Plan</v>
      </c>
      <c r="C441" s="16" t="str">
        <f>_xlfn.XLOOKUP(FME_Ranking2[[#This Row],[FME ID]],FME_Input[FME_ID],FME_Input[DESCR])</f>
        <v>Create evacuation plan</v>
      </c>
      <c r="D441" s="46" t="str">
        <f>_xlfn.XLOOKUP(FME_Ranking2[[#This Row],[FME ID]],FME_Input[FME_ID],FME_Input[EMER_NEED])</f>
        <v>No</v>
      </c>
      <c r="E441" s="121">
        <f>IF(FME_Ranking_Option2!$D441="Yes",100,0)</f>
        <v>0</v>
      </c>
      <c r="F441" s="47" t="str">
        <f>_xlfn.XLOOKUP(FME_Ranking2[[#This Row],[FME ID]],FME_Input[FME_ID],FME_Input[FUND])</f>
        <v>No</v>
      </c>
      <c r="G441" s="48">
        <f>IF(FME_Ranking_Option2!$F441="Yes",1,0)</f>
        <v>0</v>
      </c>
      <c r="H441" s="46">
        <f>_xlfn.XLOOKUP(FME_Ranking2[[#This Row],[FME ID]],FME_Input[FME_ID],FME_Input[STRUCT_100])</f>
        <v>2739</v>
      </c>
      <c r="I441" s="65" t="e">
        <f>FME_Ranking2[[#This Row],[Raw Data3]]*H$4</f>
        <v>#REF!</v>
      </c>
      <c r="J441" s="62">
        <f>((FME_Ranking_Option2!$H441)/($H$3))*100</f>
        <v>0.30437763718941313</v>
      </c>
      <c r="K441" s="49" t="e">
        <f>FME_Ranking2[[#This Row],[Norm Data3]]*H$4</f>
        <v>#REF!</v>
      </c>
      <c r="L441" s="50">
        <f>_xlfn.XLOOKUP(FME_Ranking2[[#This Row],[FME ID]],FME_Input[FME_ID],FME_Input[RES_STRUCT100])</f>
        <v>2078</v>
      </c>
      <c r="M441" s="51" t="e">
        <f>FME_Ranking2[[#This Row],[Raw Data4]]*L$4</f>
        <v>#REF!</v>
      </c>
      <c r="N441" s="29">
        <f>((FME_Ranking_Option2!$L441)/($L$3))*100</f>
        <v>0.31066718693702783</v>
      </c>
      <c r="O441" s="52" t="e">
        <f>FME_Ranking2[[#This Row],[Norm Data4]]*L$4</f>
        <v>#REF!</v>
      </c>
      <c r="P441" s="47">
        <f>_xlfn.XLOOKUP(FME_Ranking2[[#This Row],[FME ID]],FME_Input[FME_ID],FME_Input[POP100])</f>
        <v>3718</v>
      </c>
      <c r="Q441" s="48" t="e">
        <f>FME_Ranking_Option2!$P441*P$4</f>
        <v>#REF!</v>
      </c>
      <c r="R441" s="48">
        <f>FME_Ranking_Option2!$P441/($P$3)</f>
        <v>1.3645849466975063E-3</v>
      </c>
      <c r="S441" s="48" t="e">
        <f>FME_Ranking_Option2!$R441*P$4</f>
        <v>#REF!</v>
      </c>
      <c r="T441" s="50">
        <f>_xlfn.XLOOKUP(FME_Ranking2[[#This Row],[FME ID]],FME_Input[FME_ID],FME_Input[CRITFAC100])</f>
        <v>3</v>
      </c>
      <c r="U441" s="48" t="e">
        <f>FME_Ranking_Option2!$T441*T$4</f>
        <v>#REF!</v>
      </c>
      <c r="V441" s="48">
        <f>FME_Ranking_Option2!$T441/($T$3)</f>
        <v>4.2307149908334509E-4</v>
      </c>
      <c r="W441" s="48" t="e">
        <f>FME_Ranking_Option2!$V441*T$4</f>
        <v>#REF!</v>
      </c>
      <c r="X441" s="50">
        <f>_xlfn.XLOOKUP(FME_Ranking2[[#This Row],[FME ID]],FME_Input[FME_ID],FME_Input[LWC])</f>
        <v>142</v>
      </c>
      <c r="Y441" s="48" t="e">
        <f>FME_Ranking_Option2!$X441*X$4</f>
        <v>#REF!</v>
      </c>
      <c r="Z441" s="48">
        <f>FME_Ranking_Option2!$X441/($X$3)</f>
        <v>1.2953840540047437E-2</v>
      </c>
      <c r="AA441" s="48" t="e">
        <f>FME_Ranking_Option2!$Z441*X$4</f>
        <v>#REF!</v>
      </c>
      <c r="AB441" s="50">
        <f>_xlfn.XLOOKUP(FME_Ranking2[[#This Row],[FME ID]],FME_Input[FME_ID],FME_Input[ROADCLS])</f>
        <v>0</v>
      </c>
      <c r="AC441" s="48" t="e">
        <f>FME_Ranking_Option2!$AB441*AB$4</f>
        <v>#REF!</v>
      </c>
      <c r="AD441" s="53">
        <f>_xlfn.XLOOKUP(FME_Ranking2[[#This Row],[FME ID]],FME_Input[FME_ID],FME_Input[ROAD_MILES100])</f>
        <v>15.171213150024411</v>
      </c>
      <c r="AE441" s="54" t="e">
        <f>FME_Ranking_Option2!$AD441*AD$4</f>
        <v>#REF!</v>
      </c>
      <c r="AF441" s="55">
        <f>FME_Ranking_Option2!$AD441/($AD$3)</f>
        <v>3.4267648347682459E-4</v>
      </c>
      <c r="AG441" s="55" t="e">
        <f>FME_Ranking_Option2!$AF441*AD$4</f>
        <v>#REF!</v>
      </c>
      <c r="AH441" s="53">
        <f>_xlfn.XLOOKUP(FME_Ranking2[[#This Row],[FME ID]],FME_Input[FME_ID],FME_Input[FARMACRE100])</f>
        <v>44594.16796875</v>
      </c>
      <c r="AI441" s="54" t="e">
        <f>FME_Ranking_Option2!$AH441*AH$4</f>
        <v>#REF!</v>
      </c>
      <c r="AJ441" s="56">
        <f>FME_Ranking_Option2!$AH441/($AH$3)</f>
        <v>2.5894022674023622</v>
      </c>
      <c r="AK441" s="57" t="e">
        <f>FME_Ranking_Option2!$AJ441*AH$4</f>
        <v>#REF!</v>
      </c>
      <c r="AL441"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41" s="45" t="e">
        <f>_xlfn.RANK.EQ(AL441,$AL$7:$AL$531)+COUNTIF(AL$7:AL441,AL441)-1</f>
        <v>#REF!</v>
      </c>
      <c r="AN441" s="57"/>
      <c r="AO441" s="45" t="e">
        <f>_xlfn.RANK.EQ(AN441,$AN$7:$AN$531)+COUNTIF(AN$7:AN441,AN441)-1</f>
        <v>#N/A</v>
      </c>
      <c r="AP44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41" s="32" t="e">
        <f>FME_Ranking2[[#This Row],[Score Based on Reported Factors]]-FME_Ranking2[[#This Row],[Check]]</f>
        <v>#REF!</v>
      </c>
      <c r="AR441" s="32"/>
      <c r="AT441" s="19"/>
      <c r="AU441" s="19"/>
      <c r="AV441" s="19"/>
      <c r="AW441" s="19"/>
      <c r="AX441" s="19"/>
      <c r="AY441" s="19"/>
      <c r="AZ441" s="19"/>
      <c r="BA441" s="19"/>
      <c r="BB441" s="19"/>
      <c r="BC441" s="19"/>
    </row>
    <row r="442" spans="1:55" ht="12" customHeight="1" x14ac:dyDescent="0.25">
      <c r="A442" s="17" t="s">
        <v>454</v>
      </c>
      <c r="B442" s="17" t="str">
        <f>_xlfn.XLOOKUP(FME_Ranking2[[#This Row],[FME ID]],FME_Input[FME_ID],FME_Input[FME_NAME])</f>
        <v>Comanche Rancherias Subdivision</v>
      </c>
      <c r="C442" s="17" t="str">
        <f>_xlfn.XLOOKUP(FME_Ranking2[[#This Row],[FME ID]],FME_Input[FME_ID],FME_Input[DESCR])</f>
        <v>Address severe flooding created by drainage from adjacent lands to Comanche Rancherias Subdivision</v>
      </c>
      <c r="D442" s="33" t="str">
        <f>_xlfn.XLOOKUP(FME_Ranking2[[#This Row],[FME ID]],FME_Input[FME_ID],FME_Input[EMER_NEED])</f>
        <v>No</v>
      </c>
      <c r="E442" s="120">
        <f>IF(FME_Ranking_Option2!$D442="Yes",100,0)</f>
        <v>0</v>
      </c>
      <c r="F442" s="34" t="str">
        <f>_xlfn.XLOOKUP(FME_Ranking2[[#This Row],[FME ID]],FME_Input[FME_ID],FME_Input[FUND])</f>
        <v>No</v>
      </c>
      <c r="G442" s="35">
        <f>IF(FME_Ranking_Option2!$F442="Yes",1,0)</f>
        <v>0</v>
      </c>
      <c r="H442" s="33">
        <f>_xlfn.XLOOKUP(FME_Ranking2[[#This Row],[FME ID]],FME_Input[FME_ID],FME_Input[STRUCT_100])</f>
        <v>20</v>
      </c>
      <c r="I442" s="64" t="e">
        <f>FME_Ranking2[[#This Row],[Raw Data3]]*H$4</f>
        <v>#REF!</v>
      </c>
      <c r="J442" s="63">
        <f>((FME_Ranking_Option2!$H442)/($H$3))*100</f>
        <v>2.2225457261001321E-3</v>
      </c>
      <c r="K442" s="36" t="e">
        <f>FME_Ranking2[[#This Row],[Norm Data3]]*H$4</f>
        <v>#REF!</v>
      </c>
      <c r="L442" s="37">
        <f>_xlfn.XLOOKUP(FME_Ranking2[[#This Row],[FME ID]],FME_Input[FME_ID],FME_Input[RES_STRUCT100])</f>
        <v>17</v>
      </c>
      <c r="M442" s="38" t="e">
        <f>FME_Ranking2[[#This Row],[Raw Data4]]*L$4</f>
        <v>#REF!</v>
      </c>
      <c r="N442" s="28">
        <f>((FME_Ranking_Option2!$L442)/($L$3))*100</f>
        <v>2.5415506149804976E-3</v>
      </c>
      <c r="O442" s="39" t="e">
        <f>FME_Ranking2[[#This Row],[Norm Data4]]*L$4</f>
        <v>#REF!</v>
      </c>
      <c r="P442" s="34">
        <f>_xlfn.XLOOKUP(FME_Ranking2[[#This Row],[FME ID]],FME_Input[FME_ID],FME_Input[POP100])</f>
        <v>17</v>
      </c>
      <c r="Q442" s="35" t="e">
        <f>FME_Ranking_Option2!$P442*P$4</f>
        <v>#REF!</v>
      </c>
      <c r="R442" s="35">
        <f>FME_Ranking_Option2!$P442/($P$3)</f>
        <v>6.2393609719896732E-6</v>
      </c>
      <c r="S442" s="35" t="e">
        <f>FME_Ranking_Option2!$R442*P$4</f>
        <v>#REF!</v>
      </c>
      <c r="T442" s="37">
        <f>_xlfn.XLOOKUP(FME_Ranking2[[#This Row],[FME ID]],FME_Input[FME_ID],FME_Input[CRITFAC100])</f>
        <v>0</v>
      </c>
      <c r="U442" s="35" t="e">
        <f>FME_Ranking_Option2!$T442*T$4</f>
        <v>#REF!</v>
      </c>
      <c r="V442" s="35">
        <f>FME_Ranking_Option2!$T442/($T$3)</f>
        <v>0</v>
      </c>
      <c r="W442" s="35" t="e">
        <f>FME_Ranking_Option2!$V442*T$4</f>
        <v>#REF!</v>
      </c>
      <c r="X442" s="37">
        <f>_xlfn.XLOOKUP(FME_Ranking2[[#This Row],[FME ID]],FME_Input[FME_ID],FME_Input[LWC])</f>
        <v>3</v>
      </c>
      <c r="Y442" s="35" t="e">
        <f>FME_Ranking_Option2!$X442*X$4</f>
        <v>#REF!</v>
      </c>
      <c r="Z442" s="35">
        <f>FME_Ranking_Option2!$X442/($X$3)</f>
        <v>2.7367268746579092E-4</v>
      </c>
      <c r="AA442" s="35" t="e">
        <f>FME_Ranking_Option2!$Z442*X$4</f>
        <v>#REF!</v>
      </c>
      <c r="AB442" s="37">
        <f>_xlfn.XLOOKUP(FME_Ranking2[[#This Row],[FME ID]],FME_Input[FME_ID],FME_Input[ROADCLS])</f>
        <v>0</v>
      </c>
      <c r="AC442" s="35" t="e">
        <f>FME_Ranking_Option2!$AB442*AB$4</f>
        <v>#REF!</v>
      </c>
      <c r="AD442" s="40">
        <f>_xlfn.XLOOKUP(FME_Ranking2[[#This Row],[FME ID]],FME_Input[FME_ID],FME_Input[ROAD_MILES100])</f>
        <v>0</v>
      </c>
      <c r="AE442" s="41" t="e">
        <f>FME_Ranking_Option2!$AD442*AD$4</f>
        <v>#REF!</v>
      </c>
      <c r="AF442" s="42">
        <f>FME_Ranking_Option2!$AD442/($AD$3)</f>
        <v>0</v>
      </c>
      <c r="AG442" s="42" t="e">
        <f>FME_Ranking_Option2!$AF442*AD$4</f>
        <v>#REF!</v>
      </c>
      <c r="AH442" s="40">
        <f>_xlfn.XLOOKUP(FME_Ranking2[[#This Row],[FME ID]],FME_Input[FME_ID],FME_Input[FARMACRE100])</f>
        <v>216.46315002441409</v>
      </c>
      <c r="AI442" s="43" t="e">
        <f>FME_Ranking_Option2!$AH442*AH$4</f>
        <v>#REF!</v>
      </c>
      <c r="AJ442" s="41">
        <f>FME_Ranking_Option2!$AH442/($AH$3)</f>
        <v>1.2569136212498931E-2</v>
      </c>
      <c r="AK442" s="44" t="e">
        <f>FME_Ranking_Option2!$AJ442*AH$4</f>
        <v>#REF!</v>
      </c>
      <c r="AL442"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42" s="58" t="e">
        <f>_xlfn.RANK.EQ(AL442,$AL$7:$AL$531)+COUNTIF(AL$7:AL442,AL442)-1</f>
        <v>#REF!</v>
      </c>
      <c r="AN442" s="44"/>
      <c r="AO442" s="58" t="e">
        <f>_xlfn.RANK.EQ(AN442,$AN$7:$AN$531)+COUNTIF(AN$7:AN442,AN442)-1</f>
        <v>#N/A</v>
      </c>
      <c r="AP44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42" s="32" t="e">
        <f>FME_Ranking2[[#This Row],[Score Based on Reported Factors]]-FME_Ranking2[[#This Row],[Check]]</f>
        <v>#REF!</v>
      </c>
      <c r="AR442" s="32"/>
    </row>
    <row r="443" spans="1:55" ht="12" customHeight="1" x14ac:dyDescent="0.25">
      <c r="A443" s="16" t="s">
        <v>467</v>
      </c>
      <c r="B443" s="16" t="str">
        <f>_xlfn.XLOOKUP(FME_Ranking2[[#This Row],[FME ID]],FME_Input[FME_ID],FME_Input[FME_NAME])</f>
        <v>Construct Emergency Operation Center</v>
      </c>
      <c r="C443" s="16" t="str">
        <f>_xlfn.XLOOKUP(FME_Ranking2[[#This Row],[FME ID]],FME_Input[FME_ID],FME_Input[DESCR])</f>
        <v>Construct emergency operation center</v>
      </c>
      <c r="D443" s="46" t="str">
        <f>_xlfn.XLOOKUP(FME_Ranking2[[#This Row],[FME ID]],FME_Input[FME_ID],FME_Input[EMER_NEED])</f>
        <v>No</v>
      </c>
      <c r="E443" s="121">
        <f>IF(FME_Ranking_Option2!$D443="Yes",100,0)</f>
        <v>0</v>
      </c>
      <c r="F443" s="47" t="str">
        <f>_xlfn.XLOOKUP(FME_Ranking2[[#This Row],[FME ID]],FME_Input[FME_ID],FME_Input[FUND])</f>
        <v>No</v>
      </c>
      <c r="G443" s="48">
        <f>IF(FME_Ranking_Option2!$F443="Yes",1,0)</f>
        <v>0</v>
      </c>
      <c r="H443" s="46">
        <f>_xlfn.XLOOKUP(FME_Ranking2[[#This Row],[FME ID]],FME_Input[FME_ID],FME_Input[STRUCT_100])</f>
        <v>247</v>
      </c>
      <c r="I443" s="65" t="e">
        <f>FME_Ranking2[[#This Row],[Raw Data3]]*H$4</f>
        <v>#REF!</v>
      </c>
      <c r="J443" s="62">
        <f>((FME_Ranking_Option2!$H443)/($H$3))*100</f>
        <v>2.7448439717336633E-2</v>
      </c>
      <c r="K443" s="49" t="e">
        <f>FME_Ranking2[[#This Row],[Norm Data3]]*H$4</f>
        <v>#REF!</v>
      </c>
      <c r="L443" s="50">
        <f>_xlfn.XLOOKUP(FME_Ranking2[[#This Row],[FME ID]],FME_Input[FME_ID],FME_Input[RES_STRUCT100])</f>
        <v>137</v>
      </c>
      <c r="M443" s="51" t="e">
        <f>FME_Ranking2[[#This Row],[Raw Data4]]*L$4</f>
        <v>#REF!</v>
      </c>
      <c r="N443" s="29">
        <f>((FME_Ranking_Option2!$L443)/($L$3))*100</f>
        <v>2.0481907897195773E-2</v>
      </c>
      <c r="O443" s="52" t="e">
        <f>FME_Ranking2[[#This Row],[Norm Data4]]*L$4</f>
        <v>#REF!</v>
      </c>
      <c r="P443" s="47">
        <f>_xlfn.XLOOKUP(FME_Ranking2[[#This Row],[FME ID]],FME_Input[FME_ID],FME_Input[POP100])</f>
        <v>305</v>
      </c>
      <c r="Q443" s="48" t="e">
        <f>FME_Ranking_Option2!$P443*P$4</f>
        <v>#REF!</v>
      </c>
      <c r="R443" s="48">
        <f>FME_Ranking_Option2!$P443/($P$3)</f>
        <v>1.1194147626216767E-4</v>
      </c>
      <c r="S443" s="48" t="e">
        <f>FME_Ranking_Option2!$R443*P$4</f>
        <v>#REF!</v>
      </c>
      <c r="T443" s="50">
        <f>_xlfn.XLOOKUP(FME_Ranking2[[#This Row],[FME ID]],FME_Input[FME_ID],FME_Input[CRITFAC100])</f>
        <v>0</v>
      </c>
      <c r="U443" s="48" t="e">
        <f>FME_Ranking_Option2!$T443*T$4</f>
        <v>#REF!</v>
      </c>
      <c r="V443" s="48">
        <f>FME_Ranking_Option2!$T443/($T$3)</f>
        <v>0</v>
      </c>
      <c r="W443" s="48" t="e">
        <f>FME_Ranking_Option2!$V443*T$4</f>
        <v>#REF!</v>
      </c>
      <c r="X443" s="50">
        <f>_xlfn.XLOOKUP(FME_Ranking2[[#This Row],[FME ID]],FME_Input[FME_ID],FME_Input[LWC])</f>
        <v>0</v>
      </c>
      <c r="Y443" s="48" t="e">
        <f>FME_Ranking_Option2!$X443*X$4</f>
        <v>#REF!</v>
      </c>
      <c r="Z443" s="48">
        <f>FME_Ranking_Option2!$X443/($X$3)</f>
        <v>0</v>
      </c>
      <c r="AA443" s="48" t="e">
        <f>FME_Ranking_Option2!$Z443*X$4</f>
        <v>#REF!</v>
      </c>
      <c r="AB443" s="50">
        <f>_xlfn.XLOOKUP(FME_Ranking2[[#This Row],[FME ID]],FME_Input[FME_ID],FME_Input[ROADCLS])</f>
        <v>0</v>
      </c>
      <c r="AC443" s="48" t="e">
        <f>FME_Ranking_Option2!$AB443*AB$4</f>
        <v>#REF!</v>
      </c>
      <c r="AD443" s="53">
        <f>_xlfn.XLOOKUP(FME_Ranking2[[#This Row],[FME ID]],FME_Input[FME_ID],FME_Input[ROAD_MILES100])</f>
        <v>6.8766918182373047</v>
      </c>
      <c r="AE443" s="54" t="e">
        <f>FME_Ranking_Option2!$AD443*AD$4</f>
        <v>#REF!</v>
      </c>
      <c r="AF443" s="55">
        <f>FME_Ranking_Option2!$AD443/($AD$3)</f>
        <v>1.553257835694978E-4</v>
      </c>
      <c r="AG443" s="55" t="e">
        <f>FME_Ranking_Option2!$AF443*AD$4</f>
        <v>#REF!</v>
      </c>
      <c r="AH443" s="53">
        <f>_xlfn.XLOOKUP(FME_Ranking2[[#This Row],[FME ID]],FME_Input[FME_ID],FME_Input[FARMACRE100])</f>
        <v>47.815559387207031</v>
      </c>
      <c r="AI443" s="54" t="e">
        <f>FME_Ranking_Option2!$AH443*AH$4</f>
        <v>#REF!</v>
      </c>
      <c r="AJ443" s="56">
        <f>FME_Ranking_Option2!$AH443/($AH$3)</f>
        <v>2.7764553871957075E-3</v>
      </c>
      <c r="AK443" s="57" t="e">
        <f>FME_Ranking_Option2!$AJ443*AH$4</f>
        <v>#REF!</v>
      </c>
      <c r="AL443"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43" s="45" t="e">
        <f>_xlfn.RANK.EQ(AL443,$AL$7:$AL$531)+COUNTIF(AL$7:AL443,AL443)-1</f>
        <v>#REF!</v>
      </c>
      <c r="AN443" s="57"/>
      <c r="AO443" s="45" t="e">
        <f>_xlfn.RANK.EQ(AN443,$AN$7:$AN$531)+COUNTIF(AN$7:AN443,AN443)-1</f>
        <v>#N/A</v>
      </c>
      <c r="AP44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43" s="32" t="e">
        <f>FME_Ranking2[[#This Row],[Score Based on Reported Factors]]-FME_Ranking2[[#This Row],[Check]]</f>
        <v>#REF!</v>
      </c>
      <c r="AR443" s="32"/>
      <c r="AT443" s="19"/>
      <c r="AU443" s="19"/>
      <c r="AV443" s="19"/>
      <c r="AW443" s="19"/>
      <c r="AX443" s="19"/>
      <c r="AY443" s="19"/>
      <c r="AZ443" s="19"/>
      <c r="BA443" s="19"/>
      <c r="BB443" s="19"/>
      <c r="BC443" s="19"/>
    </row>
    <row r="444" spans="1:55" ht="12" customHeight="1" x14ac:dyDescent="0.25">
      <c r="A444" s="17" t="s">
        <v>473</v>
      </c>
      <c r="B444" s="17" t="str">
        <f>_xlfn.XLOOKUP(FME_Ranking2[[#This Row],[FME ID]],FME_Input[FME_ID],FME_Input[FME_NAME])</f>
        <v>Airport Drainage Improvements</v>
      </c>
      <c r="C444" s="17" t="str">
        <f>_xlfn.XLOOKUP(FME_Ranking2[[#This Row],[FME ID]],FME_Input[FME_ID],FME_Input[DESCR])</f>
        <v xml:space="preserve">Increase drainage for airport property_x000D_
</v>
      </c>
      <c r="D444" s="33" t="str">
        <f>_xlfn.XLOOKUP(FME_Ranking2[[#This Row],[FME ID]],FME_Input[FME_ID],FME_Input[EMER_NEED])</f>
        <v>No</v>
      </c>
      <c r="E444" s="120">
        <f>IF(FME_Ranking_Option2!$D444="Yes",100,0)</f>
        <v>0</v>
      </c>
      <c r="F444" s="34" t="str">
        <f>_xlfn.XLOOKUP(FME_Ranking2[[#This Row],[FME ID]],FME_Input[FME_ID],FME_Input[FUND])</f>
        <v>No</v>
      </c>
      <c r="G444" s="35">
        <f>IF(FME_Ranking_Option2!$F444="Yes",1,0)</f>
        <v>0</v>
      </c>
      <c r="H444" s="33">
        <f>_xlfn.XLOOKUP(FME_Ranking2[[#This Row],[FME ID]],FME_Input[FME_ID],FME_Input[STRUCT_100])</f>
        <v>3</v>
      </c>
      <c r="I444" s="64" t="e">
        <f>FME_Ranking2[[#This Row],[Raw Data3]]*H$4</f>
        <v>#REF!</v>
      </c>
      <c r="J444" s="63">
        <f>((FME_Ranking_Option2!$H444)/($H$3))*100</f>
        <v>3.3338185891501984E-4</v>
      </c>
      <c r="K444" s="36" t="e">
        <f>FME_Ranking2[[#This Row],[Norm Data3]]*H$4</f>
        <v>#REF!</v>
      </c>
      <c r="L444" s="37">
        <f>_xlfn.XLOOKUP(FME_Ranking2[[#This Row],[FME ID]],FME_Input[FME_ID],FME_Input[RES_STRUCT100])</f>
        <v>0</v>
      </c>
      <c r="M444" s="38" t="e">
        <f>FME_Ranking2[[#This Row],[Raw Data4]]*L$4</f>
        <v>#REF!</v>
      </c>
      <c r="N444" s="28">
        <f>((FME_Ranking_Option2!$L444)/($L$3))*100</f>
        <v>0</v>
      </c>
      <c r="O444" s="39" t="e">
        <f>FME_Ranking2[[#This Row],[Norm Data4]]*L$4</f>
        <v>#REF!</v>
      </c>
      <c r="P444" s="34">
        <f>_xlfn.XLOOKUP(FME_Ranking2[[#This Row],[FME ID]],FME_Input[FME_ID],FME_Input[POP100])</f>
        <v>2</v>
      </c>
      <c r="Q444" s="35" t="e">
        <f>FME_Ranking_Option2!$P444*P$4</f>
        <v>#REF!</v>
      </c>
      <c r="R444" s="35">
        <f>FME_Ranking_Option2!$P444/($P$3)</f>
        <v>7.340424672929028E-7</v>
      </c>
      <c r="S444" s="35" t="e">
        <f>FME_Ranking_Option2!$R444*P$4</f>
        <v>#REF!</v>
      </c>
      <c r="T444" s="37">
        <f>_xlfn.XLOOKUP(FME_Ranking2[[#This Row],[FME ID]],FME_Input[FME_ID],FME_Input[CRITFAC100])</f>
        <v>0</v>
      </c>
      <c r="U444" s="35" t="e">
        <f>FME_Ranking_Option2!$T444*T$4</f>
        <v>#REF!</v>
      </c>
      <c r="V444" s="35">
        <f>FME_Ranking_Option2!$T444/($T$3)</f>
        <v>0</v>
      </c>
      <c r="W444" s="35" t="e">
        <f>FME_Ranking_Option2!$V444*T$4</f>
        <v>#REF!</v>
      </c>
      <c r="X444" s="37">
        <f>_xlfn.XLOOKUP(FME_Ranking2[[#This Row],[FME ID]],FME_Input[FME_ID],FME_Input[LWC])</f>
        <v>0</v>
      </c>
      <c r="Y444" s="35" t="e">
        <f>FME_Ranking_Option2!$X444*X$4</f>
        <v>#REF!</v>
      </c>
      <c r="Z444" s="35">
        <f>FME_Ranking_Option2!$X444/($X$3)</f>
        <v>0</v>
      </c>
      <c r="AA444" s="35" t="e">
        <f>FME_Ranking_Option2!$Z444*X$4</f>
        <v>#REF!</v>
      </c>
      <c r="AB444" s="37">
        <f>_xlfn.XLOOKUP(FME_Ranking2[[#This Row],[FME ID]],FME_Input[FME_ID],FME_Input[ROADCLS])</f>
        <v>0</v>
      </c>
      <c r="AC444" s="35" t="e">
        <f>FME_Ranking_Option2!$AB444*AB$4</f>
        <v>#REF!</v>
      </c>
      <c r="AD444" s="40">
        <f>_xlfn.XLOOKUP(FME_Ranking2[[#This Row],[FME ID]],FME_Input[FME_ID],FME_Input[ROAD_MILES100])</f>
        <v>0</v>
      </c>
      <c r="AE444" s="41" t="e">
        <f>FME_Ranking_Option2!$AD444*AD$4</f>
        <v>#REF!</v>
      </c>
      <c r="AF444" s="42">
        <f>FME_Ranking_Option2!$AD444/($AD$3)</f>
        <v>0</v>
      </c>
      <c r="AG444" s="42" t="e">
        <f>FME_Ranking_Option2!$AF444*AD$4</f>
        <v>#REF!</v>
      </c>
      <c r="AH444" s="40">
        <f>_xlfn.XLOOKUP(FME_Ranking2[[#This Row],[FME ID]],FME_Input[FME_ID],FME_Input[FARMACRE100])</f>
        <v>4.3876667022705078</v>
      </c>
      <c r="AI444" s="43" t="e">
        <f>FME_Ranking_Option2!$AH444*AH$4</f>
        <v>#REF!</v>
      </c>
      <c r="AJ444" s="41">
        <f>FME_Ranking_Option2!$AH444/($AH$3)</f>
        <v>2.5477399007481843E-4</v>
      </c>
      <c r="AK444" s="44" t="e">
        <f>FME_Ranking_Option2!$AJ444*AH$4</f>
        <v>#REF!</v>
      </c>
      <c r="AL444"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44" s="58" t="e">
        <f>_xlfn.RANK.EQ(AL444,$AL$7:$AL$531)+COUNTIF(AL$7:AL444,AL444)-1</f>
        <v>#REF!</v>
      </c>
      <c r="AN444" s="44"/>
      <c r="AO444" s="58" t="e">
        <f>_xlfn.RANK.EQ(AN444,$AN$7:$AN$531)+COUNTIF(AN$7:AN444,AN444)-1</f>
        <v>#N/A</v>
      </c>
      <c r="AP44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44" s="32" t="e">
        <f>FME_Ranking2[[#This Row],[Score Based on Reported Factors]]-FME_Ranking2[[#This Row],[Check]]</f>
        <v>#REF!</v>
      </c>
      <c r="AR444" s="32"/>
    </row>
    <row r="445" spans="1:55" ht="12" customHeight="1" x14ac:dyDescent="0.25">
      <c r="A445" s="16" t="s">
        <v>476</v>
      </c>
      <c r="B445" s="16" t="str">
        <f>_xlfn.XLOOKUP(FME_Ranking2[[#This Row],[FME ID]],FME_Input[FME_ID],FME_Input[FME_NAME])</f>
        <v>Tres Palacios River</v>
      </c>
      <c r="C445" s="16" t="str">
        <f>_xlfn.XLOOKUP(FME_Ranking2[[#This Row],[FME ID]],FME_Input[FME_ID],FME_Input[DESCR])</f>
        <v>Install automated flood warning systems on Tres Palacios River</v>
      </c>
      <c r="D445" s="46" t="str">
        <f>_xlfn.XLOOKUP(FME_Ranking2[[#This Row],[FME ID]],FME_Input[FME_ID],FME_Input[EMER_NEED])</f>
        <v>No</v>
      </c>
      <c r="E445" s="121">
        <f>IF(FME_Ranking_Option2!$D445="Yes",100,0)</f>
        <v>0</v>
      </c>
      <c r="F445" s="47" t="str">
        <f>_xlfn.XLOOKUP(FME_Ranking2[[#This Row],[FME ID]],FME_Input[FME_ID],FME_Input[FUND])</f>
        <v>No</v>
      </c>
      <c r="G445" s="48">
        <f>IF(FME_Ranking_Option2!$F445="Yes",1,0)</f>
        <v>0</v>
      </c>
      <c r="H445" s="46">
        <f>_xlfn.XLOOKUP(FME_Ranking2[[#This Row],[FME ID]],FME_Input[FME_ID],FME_Input[STRUCT_100])</f>
        <v>1805</v>
      </c>
      <c r="I445" s="65" t="e">
        <f>FME_Ranking2[[#This Row],[Raw Data3]]*H$4</f>
        <v>#REF!</v>
      </c>
      <c r="J445" s="62">
        <f>((FME_Ranking_Option2!$H445)/($H$3))*100</f>
        <v>0.20058475178053697</v>
      </c>
      <c r="K445" s="49" t="e">
        <f>FME_Ranking2[[#This Row],[Norm Data3]]*H$4</f>
        <v>#REF!</v>
      </c>
      <c r="L445" s="50">
        <f>_xlfn.XLOOKUP(FME_Ranking2[[#This Row],[FME ID]],FME_Input[FME_ID],FME_Input[RES_STRUCT100])</f>
        <v>1207</v>
      </c>
      <c r="M445" s="51" t="e">
        <f>FME_Ranking2[[#This Row],[Raw Data4]]*L$4</f>
        <v>#REF!</v>
      </c>
      <c r="N445" s="29">
        <f>((FME_Ranking_Option2!$L445)/($L$3))*100</f>
        <v>0.18045009366361531</v>
      </c>
      <c r="O445" s="52" t="e">
        <f>FME_Ranking2[[#This Row],[Norm Data4]]*L$4</f>
        <v>#REF!</v>
      </c>
      <c r="P445" s="47">
        <f>_xlfn.XLOOKUP(FME_Ranking2[[#This Row],[FME ID]],FME_Input[FME_ID],FME_Input[POP100])</f>
        <v>3840</v>
      </c>
      <c r="Q445" s="48" t="e">
        <f>FME_Ranking_Option2!$P445*P$4</f>
        <v>#REF!</v>
      </c>
      <c r="R445" s="48">
        <f>FME_Ranking_Option2!$P445/($P$3)</f>
        <v>1.4093615372023733E-3</v>
      </c>
      <c r="S445" s="48" t="e">
        <f>FME_Ranking_Option2!$R445*P$4</f>
        <v>#REF!</v>
      </c>
      <c r="T445" s="50">
        <f>_xlfn.XLOOKUP(FME_Ranking2[[#This Row],[FME ID]],FME_Input[FME_ID],FME_Input[CRITFAC100])</f>
        <v>1</v>
      </c>
      <c r="U445" s="48" t="e">
        <f>FME_Ranking_Option2!$T445*T$4</f>
        <v>#REF!</v>
      </c>
      <c r="V445" s="48">
        <f>FME_Ranking_Option2!$T445/($T$3)</f>
        <v>1.4102383302778171E-4</v>
      </c>
      <c r="W445" s="48" t="e">
        <f>FME_Ranking_Option2!$V445*T$4</f>
        <v>#REF!</v>
      </c>
      <c r="X445" s="50">
        <f>_xlfn.XLOOKUP(FME_Ranking2[[#This Row],[FME ID]],FME_Input[FME_ID],FME_Input[LWC])</f>
        <v>5</v>
      </c>
      <c r="Y445" s="48" t="e">
        <f>FME_Ranking_Option2!$X445*X$4</f>
        <v>#REF!</v>
      </c>
      <c r="Z445" s="48">
        <f>FME_Ranking_Option2!$X445/($X$3)</f>
        <v>4.5612114577631819E-4</v>
      </c>
      <c r="AA445" s="48" t="e">
        <f>FME_Ranking_Option2!$Z445*X$4</f>
        <v>#REF!</v>
      </c>
      <c r="AB445" s="50">
        <f>_xlfn.XLOOKUP(FME_Ranking2[[#This Row],[FME ID]],FME_Input[FME_ID],FME_Input[ROADCLS])</f>
        <v>0</v>
      </c>
      <c r="AC445" s="48" t="e">
        <f>FME_Ranking_Option2!$AB445*AB$4</f>
        <v>#REF!</v>
      </c>
      <c r="AD445" s="53">
        <f>_xlfn.XLOOKUP(FME_Ranking2[[#This Row],[FME ID]],FME_Input[FME_ID],FME_Input[ROAD_MILES100])</f>
        <v>75.834541320800781</v>
      </c>
      <c r="AE445" s="54" t="e">
        <f>FME_Ranking_Option2!$AD445*AD$4</f>
        <v>#REF!</v>
      </c>
      <c r="AF445" s="55">
        <f>FME_Ranking_Option2!$AD445/($AD$3)</f>
        <v>1.7128962390096105E-3</v>
      </c>
      <c r="AG445" s="55" t="e">
        <f>FME_Ranking_Option2!$AF445*AD$4</f>
        <v>#REF!</v>
      </c>
      <c r="AH445" s="53">
        <f>_xlfn.XLOOKUP(FME_Ranking2[[#This Row],[FME ID]],FME_Input[FME_ID],FME_Input[FARMACRE100])</f>
        <v>28385.587890625</v>
      </c>
      <c r="AI445" s="54" t="e">
        <f>FME_Ranking_Option2!$AH445*AH$4</f>
        <v>#REF!</v>
      </c>
      <c r="AJ445" s="56">
        <f>FME_Ranking_Option2!$AH445/($AH$3)</f>
        <v>1.6482358342696466</v>
      </c>
      <c r="AK445" s="57" t="e">
        <f>FME_Ranking_Option2!$AJ445*AH$4</f>
        <v>#REF!</v>
      </c>
      <c r="AL445"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45" s="45" t="e">
        <f>_xlfn.RANK.EQ(AL445,$AL$7:$AL$531)+COUNTIF(AL$7:AL445,AL445)-1</f>
        <v>#REF!</v>
      </c>
      <c r="AN445" s="57"/>
      <c r="AO445" s="45" t="e">
        <f>_xlfn.RANK.EQ(AN445,$AN$7:$AN$531)+COUNTIF(AN$7:AN445,AN445)-1</f>
        <v>#N/A</v>
      </c>
      <c r="AP44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45" s="32" t="e">
        <f>FME_Ranking2[[#This Row],[Score Based on Reported Factors]]-FME_Ranking2[[#This Row],[Check]]</f>
        <v>#REF!</v>
      </c>
      <c r="AR445" s="32"/>
      <c r="AT445" s="19"/>
      <c r="AU445" s="19"/>
      <c r="AV445" s="19"/>
      <c r="AW445" s="19"/>
      <c r="AX445" s="19"/>
      <c r="AY445" s="19"/>
      <c r="AZ445" s="19"/>
      <c r="BA445" s="19"/>
      <c r="BB445" s="19"/>
      <c r="BC445" s="19"/>
    </row>
    <row r="446" spans="1:55" ht="12" customHeight="1" x14ac:dyDescent="0.25">
      <c r="A446" s="17" t="s">
        <v>481</v>
      </c>
      <c r="B446" s="17" t="str">
        <f>_xlfn.XLOOKUP(FME_Ranking2[[#This Row],[FME ID]],FME_Input[FME_ID],FME_Input[FME_NAME])</f>
        <v>Update Flood Insurance Study &amp; Flood Insurance Rate Maps</v>
      </c>
      <c r="C446" s="17" t="str">
        <f>_xlfn.XLOOKUP(FME_Ranking2[[#This Row],[FME ID]],FME_Input[FME_ID],FME_Input[DESCR])</f>
        <v xml:space="preserve">Update flood insurance study &amp; FIRMS_x000D_
</v>
      </c>
      <c r="D446" s="33" t="str">
        <f>_xlfn.XLOOKUP(FME_Ranking2[[#This Row],[FME ID]],FME_Input[FME_ID],FME_Input[EMER_NEED])</f>
        <v>No</v>
      </c>
      <c r="E446" s="120">
        <f>IF(FME_Ranking_Option2!$D446="Yes",100,0)</f>
        <v>0</v>
      </c>
      <c r="F446" s="34" t="str">
        <f>_xlfn.XLOOKUP(FME_Ranking2[[#This Row],[FME ID]],FME_Input[FME_ID],FME_Input[FUND])</f>
        <v>No</v>
      </c>
      <c r="G446" s="35">
        <f>IF(FME_Ranking_Option2!$F446="Yes",1,0)</f>
        <v>0</v>
      </c>
      <c r="H446" s="33">
        <f>_xlfn.XLOOKUP(FME_Ranking2[[#This Row],[FME ID]],FME_Input[FME_ID],FME_Input[STRUCT_100])</f>
        <v>7017</v>
      </c>
      <c r="I446" s="64" t="e">
        <f>FME_Ranking2[[#This Row],[Raw Data3]]*H$4</f>
        <v>#REF!</v>
      </c>
      <c r="J446" s="63">
        <f>((FME_Ranking_Option2!$H446)/($H$3))*100</f>
        <v>0.77978016800223149</v>
      </c>
      <c r="K446" s="36" t="e">
        <f>FME_Ranking2[[#This Row],[Norm Data3]]*H$4</f>
        <v>#REF!</v>
      </c>
      <c r="L446" s="37">
        <f>_xlfn.XLOOKUP(FME_Ranking2[[#This Row],[FME ID]],FME_Input[FME_ID],FME_Input[RES_STRUCT100])</f>
        <v>4945</v>
      </c>
      <c r="M446" s="38" t="e">
        <f>FME_Ranking2[[#This Row],[Raw Data4]]*L$4</f>
        <v>#REF!</v>
      </c>
      <c r="N446" s="28">
        <f>((FME_Ranking_Option2!$L446)/($L$3))*100</f>
        <v>0.73929222300462116</v>
      </c>
      <c r="O446" s="39" t="e">
        <f>FME_Ranking2[[#This Row],[Norm Data4]]*L$4</f>
        <v>#REF!</v>
      </c>
      <c r="P446" s="34">
        <f>_xlfn.XLOOKUP(FME_Ranking2[[#This Row],[FME ID]],FME_Input[FME_ID],FME_Input[POP100])</f>
        <v>10584</v>
      </c>
      <c r="Q446" s="35" t="e">
        <f>FME_Ranking_Option2!$P446*P$4</f>
        <v>#REF!</v>
      </c>
      <c r="R446" s="35">
        <f>FME_Ranking_Option2!$P446/($P$3)</f>
        <v>3.8845527369140414E-3</v>
      </c>
      <c r="S446" s="35" t="e">
        <f>FME_Ranking_Option2!$R446*P$4</f>
        <v>#REF!</v>
      </c>
      <c r="T446" s="37">
        <f>_xlfn.XLOOKUP(FME_Ranking2[[#This Row],[FME ID]],FME_Input[FME_ID],FME_Input[CRITFAC100])</f>
        <v>6</v>
      </c>
      <c r="U446" s="35" t="e">
        <f>FME_Ranking_Option2!$T446*T$4</f>
        <v>#REF!</v>
      </c>
      <c r="V446" s="35">
        <f>FME_Ranking_Option2!$T446/($T$3)</f>
        <v>8.4614299816669018E-4</v>
      </c>
      <c r="W446" s="35" t="e">
        <f>FME_Ranking_Option2!$V446*T$4</f>
        <v>#REF!</v>
      </c>
      <c r="X446" s="37">
        <f>_xlfn.XLOOKUP(FME_Ranking2[[#This Row],[FME ID]],FME_Input[FME_ID],FME_Input[LWC])</f>
        <v>3</v>
      </c>
      <c r="Y446" s="35" t="e">
        <f>FME_Ranking_Option2!$X446*X$4</f>
        <v>#REF!</v>
      </c>
      <c r="Z446" s="35">
        <f>FME_Ranking_Option2!$X446/($X$3)</f>
        <v>2.7367268746579092E-4</v>
      </c>
      <c r="AA446" s="35" t="e">
        <f>FME_Ranking_Option2!$Z446*X$4</f>
        <v>#REF!</v>
      </c>
      <c r="AB446" s="37">
        <f>_xlfn.XLOOKUP(FME_Ranking2[[#This Row],[FME ID]],FME_Input[FME_ID],FME_Input[ROADCLS])</f>
        <v>0</v>
      </c>
      <c r="AC446" s="35" t="e">
        <f>FME_Ranking_Option2!$AB446*AB$4</f>
        <v>#REF!</v>
      </c>
      <c r="AD446" s="40">
        <f>_xlfn.XLOOKUP(FME_Ranking2[[#This Row],[FME ID]],FME_Input[FME_ID],FME_Input[ROAD_MILES100])</f>
        <v>183.22364807128909</v>
      </c>
      <c r="AE446" s="41" t="e">
        <f>FME_Ranking_Option2!$AD446*AD$4</f>
        <v>#REF!</v>
      </c>
      <c r="AF446" s="42">
        <f>FME_Ranking_Option2!$AD446/($AD$3)</f>
        <v>4.1385243744178494E-3</v>
      </c>
      <c r="AG446" s="42" t="e">
        <f>FME_Ranking_Option2!$AF446*AD$4</f>
        <v>#REF!</v>
      </c>
      <c r="AH446" s="40">
        <f>_xlfn.XLOOKUP(FME_Ranking2[[#This Row],[FME ID]],FME_Input[FME_ID],FME_Input[FARMACRE100])</f>
        <v>124178.5234375</v>
      </c>
      <c r="AI446" s="43" t="e">
        <f>FME_Ranking_Option2!$AH446*AH$4</f>
        <v>#REF!</v>
      </c>
      <c r="AJ446" s="41">
        <f>FME_Ranking_Option2!$AH446/($AH$3)</f>
        <v>7.2105426516101687</v>
      </c>
      <c r="AK446" s="44" t="e">
        <f>FME_Ranking_Option2!$AJ446*AH$4</f>
        <v>#REF!</v>
      </c>
      <c r="AL446"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46" s="58" t="e">
        <f>_xlfn.RANK.EQ(AL446,$AL$7:$AL$531)+COUNTIF(AL$7:AL446,AL446)-1</f>
        <v>#REF!</v>
      </c>
      <c r="AN446" s="44"/>
      <c r="AO446" s="58" t="e">
        <f>_xlfn.RANK.EQ(AN446,$AN$7:$AN$531)+COUNTIF(AN$7:AN446,AN446)-1</f>
        <v>#N/A</v>
      </c>
      <c r="AP44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46" s="32" t="e">
        <f>FME_Ranking2[[#This Row],[Score Based on Reported Factors]]-FME_Ranking2[[#This Row],[Check]]</f>
        <v>#REF!</v>
      </c>
      <c r="AR446" s="32"/>
    </row>
    <row r="447" spans="1:55" ht="12" customHeight="1" x14ac:dyDescent="0.25">
      <c r="A447" s="16" t="s">
        <v>496</v>
      </c>
      <c r="B447" s="16" t="str">
        <f>_xlfn.XLOOKUP(FME_Ranking2[[#This Row],[FME ID]],FME_Input[FME_ID],FME_Input[FME_NAME])</f>
        <v>Hooten Holler in Richland Springs</v>
      </c>
      <c r="C447" s="16" t="str">
        <f>_xlfn.XLOOKUP(FME_Ranking2[[#This Row],[FME ID]],FME_Input[FME_ID],FME_Input[DESCR])</f>
        <v xml:space="preserve">Develop engineering sutdy of 'Hooten Holler'_x000D_
</v>
      </c>
      <c r="D447" s="46" t="str">
        <f>_xlfn.XLOOKUP(FME_Ranking2[[#This Row],[FME ID]],FME_Input[FME_ID],FME_Input[EMER_NEED])</f>
        <v>No</v>
      </c>
      <c r="E447" s="121">
        <f>IF(FME_Ranking_Option2!$D447="Yes",100,0)</f>
        <v>0</v>
      </c>
      <c r="F447" s="47" t="str">
        <f>_xlfn.XLOOKUP(FME_Ranking2[[#This Row],[FME ID]],FME_Input[FME_ID],FME_Input[FUND])</f>
        <v>No</v>
      </c>
      <c r="G447" s="48">
        <f>IF(FME_Ranking_Option2!$F447="Yes",1,0)</f>
        <v>0</v>
      </c>
      <c r="H447" s="46">
        <f>_xlfn.XLOOKUP(FME_Ranking2[[#This Row],[FME ID]],FME_Input[FME_ID],FME_Input[STRUCT_100])</f>
        <v>43</v>
      </c>
      <c r="I447" s="65" t="e">
        <f>FME_Ranking2[[#This Row],[Raw Data3]]*H$4</f>
        <v>#REF!</v>
      </c>
      <c r="J447" s="62">
        <f>((FME_Ranking_Option2!$H447)/($H$3))*100</f>
        <v>4.7784733111152847E-3</v>
      </c>
      <c r="K447" s="49" t="e">
        <f>FME_Ranking2[[#This Row],[Norm Data3]]*H$4</f>
        <v>#REF!</v>
      </c>
      <c r="L447" s="50">
        <f>_xlfn.XLOOKUP(FME_Ranking2[[#This Row],[FME ID]],FME_Input[FME_ID],FME_Input[RES_STRUCT100])</f>
        <v>24</v>
      </c>
      <c r="M447" s="51" t="e">
        <f>FME_Ranking2[[#This Row],[Raw Data4]]*L$4</f>
        <v>#REF!</v>
      </c>
      <c r="N447" s="29">
        <f>((FME_Ranking_Option2!$L447)/($L$3))*100</f>
        <v>3.5880714564430552E-3</v>
      </c>
      <c r="O447" s="52" t="e">
        <f>FME_Ranking2[[#This Row],[Norm Data4]]*L$4</f>
        <v>#REF!</v>
      </c>
      <c r="P447" s="47">
        <f>_xlfn.XLOOKUP(FME_Ranking2[[#This Row],[FME ID]],FME_Input[FME_ID],FME_Input[POP100])</f>
        <v>34</v>
      </c>
      <c r="Q447" s="48" t="e">
        <f>FME_Ranking_Option2!$P447*P$4</f>
        <v>#REF!</v>
      </c>
      <c r="R447" s="48">
        <f>FME_Ranking_Option2!$P447/($P$3)</f>
        <v>1.2478721943979346E-5</v>
      </c>
      <c r="S447" s="48" t="e">
        <f>FME_Ranking_Option2!$R447*P$4</f>
        <v>#REF!</v>
      </c>
      <c r="T447" s="50">
        <f>_xlfn.XLOOKUP(FME_Ranking2[[#This Row],[FME ID]],FME_Input[FME_ID],FME_Input[CRITFAC100])</f>
        <v>0</v>
      </c>
      <c r="U447" s="48" t="e">
        <f>FME_Ranking_Option2!$T447*T$4</f>
        <v>#REF!</v>
      </c>
      <c r="V447" s="48">
        <f>FME_Ranking_Option2!$T447/($T$3)</f>
        <v>0</v>
      </c>
      <c r="W447" s="48" t="e">
        <f>FME_Ranking_Option2!$V447*T$4</f>
        <v>#REF!</v>
      </c>
      <c r="X447" s="50">
        <f>_xlfn.XLOOKUP(FME_Ranking2[[#This Row],[FME ID]],FME_Input[FME_ID],FME_Input[LWC])</f>
        <v>0</v>
      </c>
      <c r="Y447" s="48" t="e">
        <f>FME_Ranking_Option2!$X447*X$4</f>
        <v>#REF!</v>
      </c>
      <c r="Z447" s="48">
        <f>FME_Ranking_Option2!$X447/($X$3)</f>
        <v>0</v>
      </c>
      <c r="AA447" s="48" t="e">
        <f>FME_Ranking_Option2!$Z447*X$4</f>
        <v>#REF!</v>
      </c>
      <c r="AB447" s="50">
        <f>_xlfn.XLOOKUP(FME_Ranking2[[#This Row],[FME ID]],FME_Input[FME_ID],FME_Input[ROADCLS])</f>
        <v>0</v>
      </c>
      <c r="AC447" s="48" t="e">
        <f>FME_Ranking_Option2!$AB447*AB$4</f>
        <v>#REF!</v>
      </c>
      <c r="AD447" s="53">
        <f>_xlfn.XLOOKUP(FME_Ranking2[[#This Row],[FME ID]],FME_Input[FME_ID],FME_Input[ROAD_MILES100])</f>
        <v>1.8679391145706179</v>
      </c>
      <c r="AE447" s="54" t="e">
        <f>FME_Ranking_Option2!$AD447*AD$4</f>
        <v>#REF!</v>
      </c>
      <c r="AF447" s="55">
        <f>FME_Ranking_Option2!$AD447/($AD$3)</f>
        <v>4.2191669235682892E-5</v>
      </c>
      <c r="AG447" s="55" t="e">
        <f>FME_Ranking_Option2!$AF447*AD$4</f>
        <v>#REF!</v>
      </c>
      <c r="AH447" s="53">
        <f>_xlfn.XLOOKUP(FME_Ranking2[[#This Row],[FME ID]],FME_Input[FME_ID],FME_Input[FARMACRE100])</f>
        <v>695.0015869140625</v>
      </c>
      <c r="AI447" s="54" t="e">
        <f>FME_Ranking_Option2!$AH447*AH$4</f>
        <v>#REF!</v>
      </c>
      <c r="AJ447" s="56">
        <f>FME_Ranking_Option2!$AH447/($AH$3)</f>
        <v>4.0355920224022027E-2</v>
      </c>
      <c r="AK447" s="57" t="e">
        <f>FME_Ranking_Option2!$AJ447*AH$4</f>
        <v>#REF!</v>
      </c>
      <c r="AL447"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47" s="45" t="e">
        <f>_xlfn.RANK.EQ(AL447,$AL$7:$AL$531)+COUNTIF(AL$7:AL447,AL447)-1</f>
        <v>#REF!</v>
      </c>
      <c r="AN447" s="57"/>
      <c r="AO447" s="45" t="e">
        <f>_xlfn.RANK.EQ(AN447,$AN$7:$AN$531)+COUNTIF(AN$7:AN447,AN447)-1</f>
        <v>#N/A</v>
      </c>
      <c r="AP44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47" s="32" t="e">
        <f>FME_Ranking2[[#This Row],[Score Based on Reported Factors]]-FME_Ranking2[[#This Row],[Check]]</f>
        <v>#REF!</v>
      </c>
      <c r="AR447" s="32"/>
      <c r="AT447" s="19"/>
      <c r="AU447" s="19"/>
      <c r="AV447" s="19"/>
      <c r="AW447" s="19"/>
      <c r="AX447" s="19"/>
      <c r="AY447" s="19"/>
      <c r="AZ447" s="19"/>
      <c r="BA447" s="19"/>
      <c r="BB447" s="19"/>
      <c r="BC447" s="19"/>
    </row>
    <row r="448" spans="1:55" ht="12" customHeight="1" x14ac:dyDescent="0.25">
      <c r="A448" s="17" t="s">
        <v>502</v>
      </c>
      <c r="B448" s="17" t="str">
        <f>_xlfn.XLOOKUP(FME_Ranking2[[#This Row],[FME ID]],FME_Input[FME_ID],FME_Input[FME_NAME])</f>
        <v>Community Evacuation Plan</v>
      </c>
      <c r="C448" s="17" t="str">
        <f>_xlfn.XLOOKUP(FME_Ranking2[[#This Row],[FME ID]],FME_Input[FME_ID],FME_Input[DESCR])</f>
        <v>Community Evacuation Plan</v>
      </c>
      <c r="D448" s="33" t="str">
        <f>_xlfn.XLOOKUP(FME_Ranking2[[#This Row],[FME ID]],FME_Input[FME_ID],FME_Input[EMER_NEED])</f>
        <v>No</v>
      </c>
      <c r="E448" s="120">
        <f>IF(FME_Ranking_Option2!$D448="Yes",100,0)</f>
        <v>0</v>
      </c>
      <c r="F448" s="34" t="str">
        <f>_xlfn.XLOOKUP(FME_Ranking2[[#This Row],[FME ID]],FME_Input[FME_ID],FME_Input[FUND])</f>
        <v>No</v>
      </c>
      <c r="G448" s="35">
        <f>IF(FME_Ranking_Option2!$F448="Yes",1,0)</f>
        <v>0</v>
      </c>
      <c r="H448" s="33">
        <f>_xlfn.XLOOKUP(FME_Ranking2[[#This Row],[FME ID]],FME_Input[FME_ID],FME_Input[STRUCT_100])</f>
        <v>321</v>
      </c>
      <c r="I448" s="64" t="e">
        <f>FME_Ranking2[[#This Row],[Raw Data3]]*H$4</f>
        <v>#REF!</v>
      </c>
      <c r="J448" s="63">
        <f>((FME_Ranking_Option2!$H448)/($H$3))*100</f>
        <v>3.5671858903907123E-2</v>
      </c>
      <c r="K448" s="36" t="e">
        <f>FME_Ranking2[[#This Row],[Norm Data3]]*H$4</f>
        <v>#REF!</v>
      </c>
      <c r="L448" s="37">
        <f>_xlfn.XLOOKUP(FME_Ranking2[[#This Row],[FME ID]],FME_Input[FME_ID],FME_Input[RES_STRUCT100])</f>
        <v>255</v>
      </c>
      <c r="M448" s="38" t="e">
        <f>FME_Ranking2[[#This Row],[Raw Data4]]*L$4</f>
        <v>#REF!</v>
      </c>
      <c r="N448" s="28">
        <f>((FME_Ranking_Option2!$L448)/($L$3))*100</f>
        <v>3.8123259224707461E-2</v>
      </c>
      <c r="O448" s="39" t="e">
        <f>FME_Ranking2[[#This Row],[Norm Data4]]*L$4</f>
        <v>#REF!</v>
      </c>
      <c r="P448" s="34">
        <f>_xlfn.XLOOKUP(FME_Ranking2[[#This Row],[FME ID]],FME_Input[FME_ID],FME_Input[POP100])</f>
        <v>562</v>
      </c>
      <c r="Q448" s="35" t="e">
        <f>FME_Ranking_Option2!$P448*P$4</f>
        <v>#REF!</v>
      </c>
      <c r="R448" s="35">
        <f>FME_Ranking_Option2!$P448/($P$3)</f>
        <v>2.0626593330930567E-4</v>
      </c>
      <c r="S448" s="35" t="e">
        <f>FME_Ranking_Option2!$R448*P$4</f>
        <v>#REF!</v>
      </c>
      <c r="T448" s="37">
        <f>_xlfn.XLOOKUP(FME_Ranking2[[#This Row],[FME ID]],FME_Input[FME_ID],FME_Input[CRITFAC100])</f>
        <v>0</v>
      </c>
      <c r="U448" s="35" t="e">
        <f>FME_Ranking_Option2!$T448*T$4</f>
        <v>#REF!</v>
      </c>
      <c r="V448" s="35">
        <f>FME_Ranking_Option2!$T448/($T$3)</f>
        <v>0</v>
      </c>
      <c r="W448" s="35" t="e">
        <f>FME_Ranking_Option2!$V448*T$4</f>
        <v>#REF!</v>
      </c>
      <c r="X448" s="37">
        <f>_xlfn.XLOOKUP(FME_Ranking2[[#This Row],[FME ID]],FME_Input[FME_ID],FME_Input[LWC])</f>
        <v>2</v>
      </c>
      <c r="Y448" s="35" t="e">
        <f>FME_Ranking_Option2!$X448*X$4</f>
        <v>#REF!</v>
      </c>
      <c r="Z448" s="35">
        <f>FME_Ranking_Option2!$X448/($X$3)</f>
        <v>1.8244845831052726E-4</v>
      </c>
      <c r="AA448" s="35" t="e">
        <f>FME_Ranking_Option2!$Z448*X$4</f>
        <v>#REF!</v>
      </c>
      <c r="AB448" s="37">
        <f>_xlfn.XLOOKUP(FME_Ranking2[[#This Row],[FME ID]],FME_Input[FME_ID],FME_Input[ROADCLS])</f>
        <v>0</v>
      </c>
      <c r="AC448" s="35" t="e">
        <f>FME_Ranking_Option2!$AB448*AB$4</f>
        <v>#REF!</v>
      </c>
      <c r="AD448" s="40">
        <f>_xlfn.XLOOKUP(FME_Ranking2[[#This Row],[FME ID]],FME_Input[FME_ID],FME_Input[ROAD_MILES100])</f>
        <v>2.476535320281982</v>
      </c>
      <c r="AE448" s="41" t="e">
        <f>FME_Ranking_Option2!$AD448*AD$4</f>
        <v>#REF!</v>
      </c>
      <c r="AF448" s="42">
        <f>FME_Ranking_Option2!$AD448/($AD$3)</f>
        <v>5.5938203910806933E-5</v>
      </c>
      <c r="AG448" s="42" t="e">
        <f>FME_Ranking_Option2!$AF448*AD$4</f>
        <v>#REF!</v>
      </c>
      <c r="AH448" s="40">
        <f>_xlfn.XLOOKUP(FME_Ranking2[[#This Row],[FME ID]],FME_Input[FME_ID],FME_Input[FARMACRE100])</f>
        <v>422.68572998046881</v>
      </c>
      <c r="AI448" s="43" t="e">
        <f>FME_Ranking_Option2!$AH448*AH$4</f>
        <v>#REF!</v>
      </c>
      <c r="AJ448" s="41">
        <f>FME_Ranking_Option2!$AH448/($AH$3)</f>
        <v>2.454364410110841E-2</v>
      </c>
      <c r="AK448" s="44" t="e">
        <f>FME_Ranking_Option2!$AJ448*AH$4</f>
        <v>#REF!</v>
      </c>
      <c r="AL448"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48" s="58" t="e">
        <f>_xlfn.RANK.EQ(AL448,$AL$7:$AL$531)+COUNTIF(AL$7:AL448,AL448)-1</f>
        <v>#REF!</v>
      </c>
      <c r="AN448" s="44"/>
      <c r="AO448" s="58" t="e">
        <f>_xlfn.RANK.EQ(AN448,$AN$7:$AN$531)+COUNTIF(AN$7:AN448,AN448)-1</f>
        <v>#N/A</v>
      </c>
      <c r="AP44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48" s="32" t="e">
        <f>FME_Ranking2[[#This Row],[Score Based on Reported Factors]]-FME_Ranking2[[#This Row],[Check]]</f>
        <v>#REF!</v>
      </c>
      <c r="AR448" s="32"/>
    </row>
    <row r="449" spans="1:55" ht="12" customHeight="1" x14ac:dyDescent="0.25">
      <c r="A449" s="16" t="s">
        <v>507</v>
      </c>
      <c r="B449" s="16" t="str">
        <f>_xlfn.XLOOKUP(FME_Ranking2[[#This Row],[FME ID]],FME_Input[FME_ID],FME_Input[FME_NAME])</f>
        <v>Citywide Drainage Study</v>
      </c>
      <c r="C449" s="16" t="str">
        <f>_xlfn.XLOOKUP(FME_Ranking2[[#This Row],[FME ID]],FME_Input[FME_ID],FME_Input[DESCR])</f>
        <v>Conduct a drainage study and disseminate study results</v>
      </c>
      <c r="D449" s="46" t="str">
        <f>_xlfn.XLOOKUP(FME_Ranking2[[#This Row],[FME ID]],FME_Input[FME_ID],FME_Input[EMER_NEED])</f>
        <v>No</v>
      </c>
      <c r="E449" s="121">
        <f>IF(FME_Ranking_Option2!$D449="Yes",100,0)</f>
        <v>0</v>
      </c>
      <c r="F449" s="47" t="str">
        <f>_xlfn.XLOOKUP(FME_Ranking2[[#This Row],[FME ID]],FME_Input[FME_ID],FME_Input[FUND])</f>
        <v>No</v>
      </c>
      <c r="G449" s="48">
        <f>IF(FME_Ranking_Option2!$F449="Yes",1,0)</f>
        <v>0</v>
      </c>
      <c r="H449" s="46">
        <f>_xlfn.XLOOKUP(FME_Ranking2[[#This Row],[FME ID]],FME_Input[FME_ID],FME_Input[STRUCT_100])</f>
        <v>543</v>
      </c>
      <c r="I449" s="65" t="e">
        <f>FME_Ranking2[[#This Row],[Raw Data3]]*H$4</f>
        <v>#REF!</v>
      </c>
      <c r="J449" s="62">
        <f>((FME_Ranking_Option2!$H449)/($H$3))*100</f>
        <v>6.0342116463618589E-2</v>
      </c>
      <c r="K449" s="49" t="e">
        <f>FME_Ranking2[[#This Row],[Norm Data3]]*H$4</f>
        <v>#REF!</v>
      </c>
      <c r="L449" s="50">
        <f>_xlfn.XLOOKUP(FME_Ranking2[[#This Row],[FME ID]],FME_Input[FME_ID],FME_Input[RES_STRUCT100])</f>
        <v>424</v>
      </c>
      <c r="M449" s="51" t="e">
        <f>FME_Ranking2[[#This Row],[Raw Data4]]*L$4</f>
        <v>#REF!</v>
      </c>
      <c r="N449" s="29">
        <f>((FME_Ranking_Option2!$L449)/($L$3))*100</f>
        <v>6.3389262397160639E-2</v>
      </c>
      <c r="O449" s="52" t="e">
        <f>FME_Ranking2[[#This Row],[Norm Data4]]*L$4</f>
        <v>#REF!</v>
      </c>
      <c r="P449" s="47">
        <f>_xlfn.XLOOKUP(FME_Ranking2[[#This Row],[FME ID]],FME_Input[FME_ID],FME_Input[POP100])</f>
        <v>754</v>
      </c>
      <c r="Q449" s="48" t="e">
        <f>FME_Ranking_Option2!$P449*P$4</f>
        <v>#REF!</v>
      </c>
      <c r="R449" s="48">
        <f>FME_Ranking_Option2!$P449/($P$3)</f>
        <v>2.7673401016942433E-4</v>
      </c>
      <c r="S449" s="48" t="e">
        <f>FME_Ranking_Option2!$R449*P$4</f>
        <v>#REF!</v>
      </c>
      <c r="T449" s="50">
        <f>_xlfn.XLOOKUP(FME_Ranking2[[#This Row],[FME ID]],FME_Input[FME_ID],FME_Input[CRITFAC100])</f>
        <v>1</v>
      </c>
      <c r="U449" s="48" t="e">
        <f>FME_Ranking_Option2!$T449*T$4</f>
        <v>#REF!</v>
      </c>
      <c r="V449" s="48">
        <f>FME_Ranking_Option2!$T449/($T$3)</f>
        <v>1.4102383302778171E-4</v>
      </c>
      <c r="W449" s="48" t="e">
        <f>FME_Ranking_Option2!$V449*T$4</f>
        <v>#REF!</v>
      </c>
      <c r="X449" s="50">
        <f>_xlfn.XLOOKUP(FME_Ranking2[[#This Row],[FME ID]],FME_Input[FME_ID],FME_Input[LWC])</f>
        <v>0</v>
      </c>
      <c r="Y449" s="48" t="e">
        <f>FME_Ranking_Option2!$X449*X$4</f>
        <v>#REF!</v>
      </c>
      <c r="Z449" s="48">
        <f>FME_Ranking_Option2!$X449/($X$3)</f>
        <v>0</v>
      </c>
      <c r="AA449" s="48" t="e">
        <f>FME_Ranking_Option2!$Z449*X$4</f>
        <v>#REF!</v>
      </c>
      <c r="AB449" s="50">
        <f>_xlfn.XLOOKUP(FME_Ranking2[[#This Row],[FME ID]],FME_Input[FME_ID],FME_Input[ROADCLS])</f>
        <v>0</v>
      </c>
      <c r="AC449" s="48" t="e">
        <f>FME_Ranking_Option2!$AB449*AB$4</f>
        <v>#REF!</v>
      </c>
      <c r="AD449" s="53">
        <f>_xlfn.XLOOKUP(FME_Ranking2[[#This Row],[FME ID]],FME_Input[FME_ID],FME_Input[ROAD_MILES100])</f>
        <v>10.483524322509769</v>
      </c>
      <c r="AE449" s="54" t="e">
        <f>FME_Ranking_Option2!$AD449*AD$4</f>
        <v>#REF!</v>
      </c>
      <c r="AF449" s="55">
        <f>FME_Ranking_Option2!$AD449/($AD$3)</f>
        <v>2.3679432974518767E-4</v>
      </c>
      <c r="AG449" s="55" t="e">
        <f>FME_Ranking_Option2!$AF449*AD$4</f>
        <v>#REF!</v>
      </c>
      <c r="AH449" s="53">
        <f>_xlfn.XLOOKUP(FME_Ranking2[[#This Row],[FME ID]],FME_Input[FME_ID],FME_Input[FARMACRE100])</f>
        <v>657.76739501953125</v>
      </c>
      <c r="AI449" s="54" t="e">
        <f>FME_Ranking_Option2!$AH449*AH$4</f>
        <v>#REF!</v>
      </c>
      <c r="AJ449" s="56">
        <f>FME_Ranking_Option2!$AH449/($AH$3)</f>
        <v>3.8193881883399602E-2</v>
      </c>
      <c r="AK449" s="57" t="e">
        <f>FME_Ranking_Option2!$AJ449*AH$4</f>
        <v>#REF!</v>
      </c>
      <c r="AL449"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49" s="45" t="e">
        <f>_xlfn.RANK.EQ(AL449,$AL$7:$AL$531)+COUNTIF(AL$7:AL449,AL449)-1</f>
        <v>#REF!</v>
      </c>
      <c r="AN449" s="57"/>
      <c r="AO449" s="45" t="e">
        <f>_xlfn.RANK.EQ(AN449,$AN$7:$AN$531)+COUNTIF(AN$7:AN449,AN449)-1</f>
        <v>#N/A</v>
      </c>
      <c r="AP44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49" s="32" t="e">
        <f>FME_Ranking2[[#This Row],[Score Based on Reported Factors]]-FME_Ranking2[[#This Row],[Check]]</f>
        <v>#REF!</v>
      </c>
      <c r="AR449" s="32"/>
      <c r="AT449" s="19"/>
      <c r="AU449" s="19"/>
      <c r="AV449" s="19"/>
      <c r="AW449" s="19"/>
      <c r="AX449" s="19"/>
      <c r="AY449" s="19"/>
      <c r="AZ449" s="19"/>
      <c r="BA449" s="19"/>
      <c r="BB449" s="19"/>
      <c r="BC449" s="19"/>
    </row>
    <row r="450" spans="1:55" ht="12" customHeight="1" x14ac:dyDescent="0.25">
      <c r="A450" s="17" t="s">
        <v>512</v>
      </c>
      <c r="B450" s="17" t="str">
        <f>_xlfn.XLOOKUP(FME_Ranking2[[#This Row],[FME ID]],FME_Input[FME_ID],FME_Input[FME_NAME])</f>
        <v>Community Evacuation Plan</v>
      </c>
      <c r="C450" s="17" t="str">
        <f>_xlfn.XLOOKUP(FME_Ranking2[[#This Row],[FME ID]],FME_Input[FME_ID],FME_Input[DESCR])</f>
        <v>Community Evacuation Plan</v>
      </c>
      <c r="D450" s="33" t="str">
        <f>_xlfn.XLOOKUP(FME_Ranking2[[#This Row],[FME ID]],FME_Input[FME_ID],FME_Input[EMER_NEED])</f>
        <v>No</v>
      </c>
      <c r="E450" s="120">
        <f>IF(FME_Ranking_Option2!$D450="Yes",100,0)</f>
        <v>0</v>
      </c>
      <c r="F450" s="34" t="str">
        <f>_xlfn.XLOOKUP(FME_Ranking2[[#This Row],[FME ID]],FME_Input[FME_ID],FME_Input[FUND])</f>
        <v>No</v>
      </c>
      <c r="G450" s="35">
        <f>IF(FME_Ranking_Option2!$F450="Yes",1,0)</f>
        <v>0</v>
      </c>
      <c r="H450" s="33">
        <f>_xlfn.XLOOKUP(FME_Ranking2[[#This Row],[FME ID]],FME_Input[FME_ID],FME_Input[STRUCT_100])</f>
        <v>543</v>
      </c>
      <c r="I450" s="64" t="e">
        <f>FME_Ranking2[[#This Row],[Raw Data3]]*H$4</f>
        <v>#REF!</v>
      </c>
      <c r="J450" s="63">
        <f>((FME_Ranking_Option2!$H450)/($H$3))*100</f>
        <v>6.0342116463618589E-2</v>
      </c>
      <c r="K450" s="36" t="e">
        <f>FME_Ranking2[[#This Row],[Norm Data3]]*H$4</f>
        <v>#REF!</v>
      </c>
      <c r="L450" s="37">
        <f>_xlfn.XLOOKUP(FME_Ranking2[[#This Row],[FME ID]],FME_Input[FME_ID],FME_Input[RES_STRUCT100])</f>
        <v>424</v>
      </c>
      <c r="M450" s="38" t="e">
        <f>FME_Ranking2[[#This Row],[Raw Data4]]*L$4</f>
        <v>#REF!</v>
      </c>
      <c r="N450" s="28">
        <f>((FME_Ranking_Option2!$L450)/($L$3))*100</f>
        <v>6.3389262397160639E-2</v>
      </c>
      <c r="O450" s="39" t="e">
        <f>FME_Ranking2[[#This Row],[Norm Data4]]*L$4</f>
        <v>#REF!</v>
      </c>
      <c r="P450" s="34">
        <f>_xlfn.XLOOKUP(FME_Ranking2[[#This Row],[FME ID]],FME_Input[FME_ID],FME_Input[POP100])</f>
        <v>754</v>
      </c>
      <c r="Q450" s="35" t="e">
        <f>FME_Ranking_Option2!$P450*P$4</f>
        <v>#REF!</v>
      </c>
      <c r="R450" s="35">
        <f>FME_Ranking_Option2!$P450/($P$3)</f>
        <v>2.7673401016942433E-4</v>
      </c>
      <c r="S450" s="35" t="e">
        <f>FME_Ranking_Option2!$R450*P$4</f>
        <v>#REF!</v>
      </c>
      <c r="T450" s="37">
        <f>_xlfn.XLOOKUP(FME_Ranking2[[#This Row],[FME ID]],FME_Input[FME_ID],FME_Input[CRITFAC100])</f>
        <v>1</v>
      </c>
      <c r="U450" s="35" t="e">
        <f>FME_Ranking_Option2!$T450*T$4</f>
        <v>#REF!</v>
      </c>
      <c r="V450" s="35">
        <f>FME_Ranking_Option2!$T450/($T$3)</f>
        <v>1.4102383302778171E-4</v>
      </c>
      <c r="W450" s="35" t="e">
        <f>FME_Ranking_Option2!$V450*T$4</f>
        <v>#REF!</v>
      </c>
      <c r="X450" s="37">
        <f>_xlfn.XLOOKUP(FME_Ranking2[[#This Row],[FME ID]],FME_Input[FME_ID],FME_Input[LWC])</f>
        <v>0</v>
      </c>
      <c r="Y450" s="35" t="e">
        <f>FME_Ranking_Option2!$X450*X$4</f>
        <v>#REF!</v>
      </c>
      <c r="Z450" s="35">
        <f>FME_Ranking_Option2!$X450/($X$3)</f>
        <v>0</v>
      </c>
      <c r="AA450" s="35" t="e">
        <f>FME_Ranking_Option2!$Z450*X$4</f>
        <v>#REF!</v>
      </c>
      <c r="AB450" s="37">
        <f>_xlfn.XLOOKUP(FME_Ranking2[[#This Row],[FME ID]],FME_Input[FME_ID],FME_Input[ROADCLS])</f>
        <v>0</v>
      </c>
      <c r="AC450" s="35" t="e">
        <f>FME_Ranking_Option2!$AB450*AB$4</f>
        <v>#REF!</v>
      </c>
      <c r="AD450" s="40">
        <f>_xlfn.XLOOKUP(FME_Ranking2[[#This Row],[FME ID]],FME_Input[FME_ID],FME_Input[ROAD_MILES100])</f>
        <v>10.483524322509769</v>
      </c>
      <c r="AE450" s="41" t="e">
        <f>FME_Ranking_Option2!$AD450*AD$4</f>
        <v>#REF!</v>
      </c>
      <c r="AF450" s="42">
        <f>FME_Ranking_Option2!$AD450/($AD$3)</f>
        <v>2.3679432974518767E-4</v>
      </c>
      <c r="AG450" s="42" t="e">
        <f>FME_Ranking_Option2!$AF450*AD$4</f>
        <v>#REF!</v>
      </c>
      <c r="AH450" s="40">
        <f>_xlfn.XLOOKUP(FME_Ranking2[[#This Row],[FME ID]],FME_Input[FME_ID],FME_Input[FARMACRE100])</f>
        <v>657.76739501953125</v>
      </c>
      <c r="AI450" s="43" t="e">
        <f>FME_Ranking_Option2!$AH450*AH$4</f>
        <v>#REF!</v>
      </c>
      <c r="AJ450" s="41">
        <f>FME_Ranking_Option2!$AH450/($AH$3)</f>
        <v>3.8193881883399602E-2</v>
      </c>
      <c r="AK450" s="44" t="e">
        <f>FME_Ranking_Option2!$AJ450*AH$4</f>
        <v>#REF!</v>
      </c>
      <c r="AL450"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50" s="58" t="e">
        <f>_xlfn.RANK.EQ(AL450,$AL$7:$AL$531)+COUNTIF(AL$7:AL450,AL450)-1</f>
        <v>#REF!</v>
      </c>
      <c r="AN450" s="44"/>
      <c r="AO450" s="58" t="e">
        <f>_xlfn.RANK.EQ(AN450,$AN$7:$AN$531)+COUNTIF(AN$7:AN450,AN450)-1</f>
        <v>#N/A</v>
      </c>
      <c r="AP45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50" s="32" t="e">
        <f>FME_Ranking2[[#This Row],[Score Based on Reported Factors]]-FME_Ranking2[[#This Row],[Check]]</f>
        <v>#REF!</v>
      </c>
      <c r="AR450" s="32"/>
    </row>
    <row r="451" spans="1:55" ht="12" customHeight="1" x14ac:dyDescent="0.25">
      <c r="A451" s="16" t="s">
        <v>513</v>
      </c>
      <c r="B451" s="16" t="str">
        <f>_xlfn.XLOOKUP(FME_Ranking2[[#This Row],[FME ID]],FME_Input[FME_ID],FME_Input[FME_NAME])</f>
        <v>Bee Creek Drainage Improvements</v>
      </c>
      <c r="C451" s="16" t="str">
        <f>_xlfn.XLOOKUP(FME_Ranking2[[#This Row],[FME ID]],FME_Input[FME_ID],FME_Input[DESCR])</f>
        <v xml:space="preserve">Complete Little Bee Creek Drainage Improvement Project_x000D_
</v>
      </c>
      <c r="D451" s="46" t="str">
        <f>_xlfn.XLOOKUP(FME_Ranking2[[#This Row],[FME ID]],FME_Input[FME_ID],FME_Input[EMER_NEED])</f>
        <v>No</v>
      </c>
      <c r="E451" s="121">
        <f>IF(FME_Ranking_Option2!$D451="Yes",100,0)</f>
        <v>0</v>
      </c>
      <c r="F451" s="47" t="str">
        <f>_xlfn.XLOOKUP(FME_Ranking2[[#This Row],[FME ID]],FME_Input[FME_ID],FME_Input[FUND])</f>
        <v>No</v>
      </c>
      <c r="G451" s="48">
        <f>IF(FME_Ranking_Option2!$F451="Yes",1,0)</f>
        <v>0</v>
      </c>
      <c r="H451" s="46">
        <f>_xlfn.XLOOKUP(FME_Ranking2[[#This Row],[FME ID]],FME_Input[FME_ID],FME_Input[STRUCT_100])</f>
        <v>14</v>
      </c>
      <c r="I451" s="65" t="e">
        <f>FME_Ranking2[[#This Row],[Raw Data3]]*H$4</f>
        <v>#REF!</v>
      </c>
      <c r="J451" s="62">
        <f>((FME_Ranking_Option2!$H451)/($H$3))*100</f>
        <v>1.5557820082700926E-3</v>
      </c>
      <c r="K451" s="49" t="e">
        <f>FME_Ranking2[[#This Row],[Norm Data3]]*H$4</f>
        <v>#REF!</v>
      </c>
      <c r="L451" s="50">
        <f>_xlfn.XLOOKUP(FME_Ranking2[[#This Row],[FME ID]],FME_Input[FME_ID],FME_Input[RES_STRUCT100])</f>
        <v>13</v>
      </c>
      <c r="M451" s="51" t="e">
        <f>FME_Ranking2[[#This Row],[Raw Data4]]*L$4</f>
        <v>#REF!</v>
      </c>
      <c r="N451" s="29">
        <f>((FME_Ranking_Option2!$L451)/($L$3))*100</f>
        <v>1.9435387055733214E-3</v>
      </c>
      <c r="O451" s="52" t="e">
        <f>FME_Ranking2[[#This Row],[Norm Data4]]*L$4</f>
        <v>#REF!</v>
      </c>
      <c r="P451" s="47">
        <f>_xlfn.XLOOKUP(FME_Ranking2[[#This Row],[FME ID]],FME_Input[FME_ID],FME_Input[POP100])</f>
        <v>31</v>
      </c>
      <c r="Q451" s="48" t="e">
        <f>FME_Ranking_Option2!$P451*P$4</f>
        <v>#REF!</v>
      </c>
      <c r="R451" s="48">
        <f>FME_Ranking_Option2!$P451/($P$3)</f>
        <v>1.1377658243039993E-5</v>
      </c>
      <c r="S451" s="48" t="e">
        <f>FME_Ranking_Option2!$R451*P$4</f>
        <v>#REF!</v>
      </c>
      <c r="T451" s="50">
        <f>_xlfn.XLOOKUP(FME_Ranking2[[#This Row],[FME ID]],FME_Input[FME_ID],FME_Input[CRITFAC100])</f>
        <v>0</v>
      </c>
      <c r="U451" s="48" t="e">
        <f>FME_Ranking_Option2!$T451*T$4</f>
        <v>#REF!</v>
      </c>
      <c r="V451" s="48">
        <f>FME_Ranking_Option2!$T451/($T$3)</f>
        <v>0</v>
      </c>
      <c r="W451" s="48" t="e">
        <f>FME_Ranking_Option2!$V451*T$4</f>
        <v>#REF!</v>
      </c>
      <c r="X451" s="50">
        <f>_xlfn.XLOOKUP(FME_Ranking2[[#This Row],[FME ID]],FME_Input[FME_ID],FME_Input[LWC])</f>
        <v>2</v>
      </c>
      <c r="Y451" s="48" t="e">
        <f>FME_Ranking_Option2!$X451*X$4</f>
        <v>#REF!</v>
      </c>
      <c r="Z451" s="48">
        <f>FME_Ranking_Option2!$X451/($X$3)</f>
        <v>1.8244845831052726E-4</v>
      </c>
      <c r="AA451" s="48" t="e">
        <f>FME_Ranking_Option2!$Z451*X$4</f>
        <v>#REF!</v>
      </c>
      <c r="AB451" s="50">
        <f>_xlfn.XLOOKUP(FME_Ranking2[[#This Row],[FME ID]],FME_Input[FME_ID],FME_Input[ROADCLS])</f>
        <v>0</v>
      </c>
      <c r="AC451" s="48" t="e">
        <f>FME_Ranking_Option2!$AB451*AB$4</f>
        <v>#REF!</v>
      </c>
      <c r="AD451" s="53">
        <f>_xlfn.XLOOKUP(FME_Ranking2[[#This Row],[FME ID]],FME_Input[FME_ID],FME_Input[ROAD_MILES100])</f>
        <v>0.46935573220252991</v>
      </c>
      <c r="AE451" s="54" t="e">
        <f>FME_Ranking_Option2!$AD451*AD$4</f>
        <v>#REF!</v>
      </c>
      <c r="AF451" s="55">
        <f>FME_Ranking_Option2!$AD451/($AD$3)</f>
        <v>1.0601470707739305E-5</v>
      </c>
      <c r="AG451" s="55" t="e">
        <f>FME_Ranking_Option2!$AF451*AD$4</f>
        <v>#REF!</v>
      </c>
      <c r="AH451" s="53">
        <f>_xlfn.XLOOKUP(FME_Ranking2[[#This Row],[FME ID]],FME_Input[FME_ID],FME_Input[FARMACRE100])</f>
        <v>18.362264633178711</v>
      </c>
      <c r="AI451" s="54" t="e">
        <f>FME_Ranking_Option2!$AH451*AH$4</f>
        <v>#REF!</v>
      </c>
      <c r="AJ451" s="56">
        <f>FME_Ranking_Option2!$AH451/($AH$3)</f>
        <v>1.066222150598585E-3</v>
      </c>
      <c r="AK451" s="57" t="e">
        <f>FME_Ranking_Option2!$AJ451*AH$4</f>
        <v>#REF!</v>
      </c>
      <c r="AL451"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51" s="45" t="e">
        <f>_xlfn.RANK.EQ(AL451,$AL$7:$AL$531)+COUNTIF(AL$7:AL451,AL451)-1</f>
        <v>#REF!</v>
      </c>
      <c r="AN451" s="57"/>
      <c r="AO451" s="45" t="e">
        <f>_xlfn.RANK.EQ(AN451,$AN$7:$AN$531)+COUNTIF(AN$7:AN451,AN451)-1</f>
        <v>#N/A</v>
      </c>
      <c r="AP45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51" s="32" t="e">
        <f>FME_Ranking2[[#This Row],[Score Based on Reported Factors]]-FME_Ranking2[[#This Row],[Check]]</f>
        <v>#REF!</v>
      </c>
      <c r="AR451" s="32"/>
      <c r="AT451" s="19"/>
      <c r="AU451" s="19"/>
      <c r="AV451" s="19"/>
      <c r="AW451" s="19"/>
      <c r="AX451" s="19"/>
      <c r="AY451" s="19"/>
      <c r="AZ451" s="19"/>
      <c r="BA451" s="19"/>
      <c r="BB451" s="19"/>
      <c r="BC451" s="19"/>
    </row>
    <row r="452" spans="1:55" ht="12" customHeight="1" x14ac:dyDescent="0.25">
      <c r="A452" s="17" t="s">
        <v>516</v>
      </c>
      <c r="B452" s="17" t="str">
        <f>_xlfn.XLOOKUP(FME_Ranking2[[#This Row],[FME ID]],FME_Input[FME_ID],FME_Input[FME_NAME])</f>
        <v>Create Emergency Evacuation Plan</v>
      </c>
      <c r="C452" s="17" t="str">
        <f>_xlfn.XLOOKUP(FME_Ranking2[[#This Row],[FME ID]],FME_Input[FME_ID],FME_Input[DESCR])</f>
        <v>Create emergency evacuation plan</v>
      </c>
      <c r="D452" s="33" t="str">
        <f>_xlfn.XLOOKUP(FME_Ranking2[[#This Row],[FME ID]],FME_Input[FME_ID],FME_Input[EMER_NEED])</f>
        <v>No</v>
      </c>
      <c r="E452" s="120">
        <f>IF(FME_Ranking_Option2!$D452="Yes",100,0)</f>
        <v>0</v>
      </c>
      <c r="F452" s="34" t="str">
        <f>_xlfn.XLOOKUP(FME_Ranking2[[#This Row],[FME ID]],FME_Input[FME_ID],FME_Input[FUND])</f>
        <v>No</v>
      </c>
      <c r="G452" s="35">
        <f>IF(FME_Ranking_Option2!$F452="Yes",1,0)</f>
        <v>0</v>
      </c>
      <c r="H452" s="33">
        <f>_xlfn.XLOOKUP(FME_Ranking2[[#This Row],[FME ID]],FME_Input[FME_ID],FME_Input[STRUCT_100])</f>
        <v>167</v>
      </c>
      <c r="I452" s="64" t="e">
        <f>FME_Ranking2[[#This Row],[Raw Data3]]*H$4</f>
        <v>#REF!</v>
      </c>
      <c r="J452" s="63">
        <f>((FME_Ranking_Option2!$H452)/($H$3))*100</f>
        <v>1.8558256812936106E-2</v>
      </c>
      <c r="K452" s="36" t="e">
        <f>FME_Ranking2[[#This Row],[Norm Data3]]*H$4</f>
        <v>#REF!</v>
      </c>
      <c r="L452" s="37">
        <f>_xlfn.XLOOKUP(FME_Ranking2[[#This Row],[FME ID]],FME_Input[FME_ID],FME_Input[RES_STRUCT100])</f>
        <v>144</v>
      </c>
      <c r="M452" s="38" t="e">
        <f>FME_Ranking2[[#This Row],[Raw Data4]]*L$4</f>
        <v>#REF!</v>
      </c>
      <c r="N452" s="28">
        <f>((FME_Ranking_Option2!$L452)/($L$3))*100</f>
        <v>2.1528428738658331E-2</v>
      </c>
      <c r="O452" s="39" t="e">
        <f>FME_Ranking2[[#This Row],[Norm Data4]]*L$4</f>
        <v>#REF!</v>
      </c>
      <c r="P452" s="34">
        <f>_xlfn.XLOOKUP(FME_Ranking2[[#This Row],[FME ID]],FME_Input[FME_ID],FME_Input[POP100])</f>
        <v>403</v>
      </c>
      <c r="Q452" s="35" t="e">
        <f>FME_Ranking_Option2!$P452*P$4</f>
        <v>#REF!</v>
      </c>
      <c r="R452" s="35">
        <f>FME_Ranking_Option2!$P452/($P$3)</f>
        <v>1.4790955715951991E-4</v>
      </c>
      <c r="S452" s="35" t="e">
        <f>FME_Ranking_Option2!$R452*P$4</f>
        <v>#REF!</v>
      </c>
      <c r="T452" s="37">
        <f>_xlfn.XLOOKUP(FME_Ranking2[[#This Row],[FME ID]],FME_Input[FME_ID],FME_Input[CRITFAC100])</f>
        <v>0</v>
      </c>
      <c r="U452" s="35" t="e">
        <f>FME_Ranking_Option2!$T452*T$4</f>
        <v>#REF!</v>
      </c>
      <c r="V452" s="35">
        <f>FME_Ranking_Option2!$T452/($T$3)</f>
        <v>0</v>
      </c>
      <c r="W452" s="35" t="e">
        <f>FME_Ranking_Option2!$V452*T$4</f>
        <v>#REF!</v>
      </c>
      <c r="X452" s="37">
        <f>_xlfn.XLOOKUP(FME_Ranking2[[#This Row],[FME ID]],FME_Input[FME_ID],FME_Input[LWC])</f>
        <v>0</v>
      </c>
      <c r="Y452" s="35" t="e">
        <f>FME_Ranking_Option2!$X452*X$4</f>
        <v>#REF!</v>
      </c>
      <c r="Z452" s="35">
        <f>FME_Ranking_Option2!$X452/($X$3)</f>
        <v>0</v>
      </c>
      <c r="AA452" s="35" t="e">
        <f>FME_Ranking_Option2!$Z452*X$4</f>
        <v>#REF!</v>
      </c>
      <c r="AB452" s="37">
        <f>_xlfn.XLOOKUP(FME_Ranking2[[#This Row],[FME ID]],FME_Input[FME_ID],FME_Input[ROADCLS])</f>
        <v>0</v>
      </c>
      <c r="AC452" s="35" t="e">
        <f>FME_Ranking_Option2!$AB452*AB$4</f>
        <v>#REF!</v>
      </c>
      <c r="AD452" s="40">
        <f>_xlfn.XLOOKUP(FME_Ranking2[[#This Row],[FME ID]],FME_Input[FME_ID],FME_Input[ROAD_MILES100])</f>
        <v>0.64791983366012573</v>
      </c>
      <c r="AE452" s="41" t="e">
        <f>FME_Ranking_Option2!$AD452*AD$4</f>
        <v>#REF!</v>
      </c>
      <c r="AF452" s="42">
        <f>FME_Ranking_Option2!$AD452/($AD$3)</f>
        <v>1.4634748584570758E-5</v>
      </c>
      <c r="AG452" s="42" t="e">
        <f>FME_Ranking_Option2!$AF452*AD$4</f>
        <v>#REF!</v>
      </c>
      <c r="AH452" s="40">
        <f>_xlfn.XLOOKUP(FME_Ranking2[[#This Row],[FME ID]],FME_Input[FME_ID],FME_Input[FARMACRE100])</f>
        <v>80.260734558105469</v>
      </c>
      <c r="AI452" s="43" t="e">
        <f>FME_Ranking_Option2!$AH452*AH$4</f>
        <v>#REF!</v>
      </c>
      <c r="AJ452" s="41">
        <f>FME_Ranking_Option2!$AH452/($AH$3)</f>
        <v>4.6604149716118802E-3</v>
      </c>
      <c r="AK452" s="44" t="e">
        <f>FME_Ranking_Option2!$AJ452*AH$4</f>
        <v>#REF!</v>
      </c>
      <c r="AL452"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52" s="58" t="e">
        <f>_xlfn.RANK.EQ(AL452,$AL$7:$AL$531)+COUNTIF(AL$7:AL452,AL452)-1</f>
        <v>#REF!</v>
      </c>
      <c r="AN452" s="44"/>
      <c r="AO452" s="58" t="e">
        <f>_xlfn.RANK.EQ(AN452,$AN$7:$AN$531)+COUNTIF(AN$7:AN452,AN452)-1</f>
        <v>#N/A</v>
      </c>
      <c r="AP45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52" s="32" t="e">
        <f>FME_Ranking2[[#This Row],[Score Based on Reported Factors]]-FME_Ranking2[[#This Row],[Check]]</f>
        <v>#REF!</v>
      </c>
      <c r="AR452" s="32"/>
    </row>
    <row r="453" spans="1:55" ht="12" customHeight="1" x14ac:dyDescent="0.25">
      <c r="A453" s="16" t="s">
        <v>520</v>
      </c>
      <c r="B453" s="16" t="str">
        <f>_xlfn.XLOOKUP(FME_Ranking2[[#This Row],[FME ID]],FME_Input[FME_ID],FME_Input[FME_NAME])</f>
        <v>Citywide Drainage Study</v>
      </c>
      <c r="C453" s="16" t="str">
        <f>_xlfn.XLOOKUP(FME_Ranking2[[#This Row],[FME ID]],FME_Input[FME_ID],FME_Input[DESCR])</f>
        <v>Complete engineering studies and determine project designs for stormwater flood prevention</v>
      </c>
      <c r="D453" s="46" t="str">
        <f>_xlfn.XLOOKUP(FME_Ranking2[[#This Row],[FME ID]],FME_Input[FME_ID],FME_Input[EMER_NEED])</f>
        <v>No</v>
      </c>
      <c r="E453" s="121">
        <f>IF(FME_Ranking_Option2!$D453="Yes",100,0)</f>
        <v>0</v>
      </c>
      <c r="F453" s="47" t="str">
        <f>_xlfn.XLOOKUP(FME_Ranking2[[#This Row],[FME ID]],FME_Input[FME_ID],FME_Input[FUND])</f>
        <v>No</v>
      </c>
      <c r="G453" s="48">
        <f>IF(FME_Ranking_Option2!$F453="Yes",1,0)</f>
        <v>0</v>
      </c>
      <c r="H453" s="46">
        <f>_xlfn.XLOOKUP(FME_Ranking2[[#This Row],[FME ID]],FME_Input[FME_ID],FME_Input[STRUCT_100])</f>
        <v>8</v>
      </c>
      <c r="I453" s="65" t="e">
        <f>FME_Ranking2[[#This Row],[Raw Data3]]*H$4</f>
        <v>#REF!</v>
      </c>
      <c r="J453" s="62">
        <f>((FME_Ranking_Option2!$H453)/($H$3))*100</f>
        <v>8.8901829044005297E-4</v>
      </c>
      <c r="K453" s="49" t="e">
        <f>FME_Ranking2[[#This Row],[Norm Data3]]*H$4</f>
        <v>#REF!</v>
      </c>
      <c r="L453" s="50">
        <f>_xlfn.XLOOKUP(FME_Ranking2[[#This Row],[FME ID]],FME_Input[FME_ID],FME_Input[RES_STRUCT100])</f>
        <v>8</v>
      </c>
      <c r="M453" s="51" t="e">
        <f>FME_Ranking2[[#This Row],[Raw Data4]]*L$4</f>
        <v>#REF!</v>
      </c>
      <c r="N453" s="29">
        <f>((FME_Ranking_Option2!$L453)/($L$3))*100</f>
        <v>1.1960238188143517E-3</v>
      </c>
      <c r="O453" s="52" t="e">
        <f>FME_Ranking2[[#This Row],[Norm Data4]]*L$4</f>
        <v>#REF!</v>
      </c>
      <c r="P453" s="47">
        <f>_xlfn.XLOOKUP(FME_Ranking2[[#This Row],[FME ID]],FME_Input[FME_ID],FME_Input[POP100])</f>
        <v>10</v>
      </c>
      <c r="Q453" s="48" t="e">
        <f>FME_Ranking_Option2!$P453*P$4</f>
        <v>#REF!</v>
      </c>
      <c r="R453" s="48">
        <f>FME_Ranking_Option2!$P453/($P$3)</f>
        <v>3.670212336464514E-6</v>
      </c>
      <c r="S453" s="48" t="e">
        <f>FME_Ranking_Option2!$R453*P$4</f>
        <v>#REF!</v>
      </c>
      <c r="T453" s="50">
        <f>_xlfn.XLOOKUP(FME_Ranking2[[#This Row],[FME ID]],FME_Input[FME_ID],FME_Input[CRITFAC100])</f>
        <v>0</v>
      </c>
      <c r="U453" s="48" t="e">
        <f>FME_Ranking_Option2!$T453*T$4</f>
        <v>#REF!</v>
      </c>
      <c r="V453" s="48">
        <f>FME_Ranking_Option2!$T453/($T$3)</f>
        <v>0</v>
      </c>
      <c r="W453" s="48" t="e">
        <f>FME_Ranking_Option2!$V453*T$4</f>
        <v>#REF!</v>
      </c>
      <c r="X453" s="50">
        <f>_xlfn.XLOOKUP(FME_Ranking2[[#This Row],[FME ID]],FME_Input[FME_ID],FME_Input[LWC])</f>
        <v>0</v>
      </c>
      <c r="Y453" s="48" t="e">
        <f>FME_Ranking_Option2!$X453*X$4</f>
        <v>#REF!</v>
      </c>
      <c r="Z453" s="48">
        <f>FME_Ranking_Option2!$X453/($X$3)</f>
        <v>0</v>
      </c>
      <c r="AA453" s="48" t="e">
        <f>FME_Ranking_Option2!$Z453*X$4</f>
        <v>#REF!</v>
      </c>
      <c r="AB453" s="50">
        <f>_xlfn.XLOOKUP(FME_Ranking2[[#This Row],[FME ID]],FME_Input[FME_ID],FME_Input[ROADCLS])</f>
        <v>0</v>
      </c>
      <c r="AC453" s="48" t="e">
        <f>FME_Ranking_Option2!$AB453*AB$4</f>
        <v>#REF!</v>
      </c>
      <c r="AD453" s="53">
        <f>_xlfn.XLOOKUP(FME_Ranking2[[#This Row],[FME ID]],FME_Input[FME_ID],FME_Input[ROAD_MILES100])</f>
        <v>0.1030193418264389</v>
      </c>
      <c r="AE453" s="54" t="e">
        <f>FME_Ranking_Option2!$AD453*AD$4</f>
        <v>#REF!</v>
      </c>
      <c r="AF453" s="55">
        <f>FME_Ranking_Option2!$AD453/($AD$3)</f>
        <v>2.3269270188273793E-6</v>
      </c>
      <c r="AG453" s="55" t="e">
        <f>FME_Ranking_Option2!$AF453*AD$4</f>
        <v>#REF!</v>
      </c>
      <c r="AH453" s="53">
        <f>_xlfn.XLOOKUP(FME_Ranking2[[#This Row],[FME ID]],FME_Input[FME_ID],FME_Input[FARMACRE100])</f>
        <v>4.9766864776611328</v>
      </c>
      <c r="AI453" s="54" t="e">
        <f>FME_Ranking_Option2!$AH453*AH$4</f>
        <v>#REF!</v>
      </c>
      <c r="AJ453" s="56">
        <f>FME_Ranking_Option2!$AH453/($AH$3)</f>
        <v>2.8897597682362662E-4</v>
      </c>
      <c r="AK453" s="57" t="e">
        <f>FME_Ranking_Option2!$AJ453*AH$4</f>
        <v>#REF!</v>
      </c>
      <c r="AL453"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53" s="45" t="e">
        <f>_xlfn.RANK.EQ(AL453,$AL$7:$AL$531)+COUNTIF(AL$7:AL453,AL453)-1</f>
        <v>#REF!</v>
      </c>
      <c r="AN453" s="57"/>
      <c r="AO453" s="45" t="e">
        <f>_xlfn.RANK.EQ(AN453,$AN$7:$AN$531)+COUNTIF(AN$7:AN453,AN453)-1</f>
        <v>#N/A</v>
      </c>
      <c r="AP45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53" s="32" t="e">
        <f>FME_Ranking2[[#This Row],[Score Based on Reported Factors]]-FME_Ranking2[[#This Row],[Check]]</f>
        <v>#REF!</v>
      </c>
      <c r="AR453" s="32"/>
      <c r="AT453" s="19"/>
      <c r="AU453" s="19"/>
      <c r="AV453" s="19"/>
      <c r="AW453" s="19"/>
      <c r="AX453" s="19"/>
      <c r="AY453" s="19"/>
      <c r="AZ453" s="19"/>
      <c r="BA453" s="19"/>
      <c r="BB453" s="19"/>
      <c r="BC453" s="19"/>
    </row>
    <row r="454" spans="1:55" ht="12" customHeight="1" x14ac:dyDescent="0.25">
      <c r="A454" s="17" t="s">
        <v>523</v>
      </c>
      <c r="B454" s="17" t="str">
        <f>_xlfn.XLOOKUP(FME_Ranking2[[#This Row],[FME ID]],FME_Input[FME_ID],FME_Input[FME_NAME])</f>
        <v>Review and Update Floodplain Management Plan</v>
      </c>
      <c r="C454" s="17" t="str">
        <f>_xlfn.XLOOKUP(FME_Ranking2[[#This Row],[FME ID]],FME_Input[FME_ID],FME_Input[DESCR])</f>
        <v>Review and update floodplain management plan; review annually</v>
      </c>
      <c r="D454" s="33" t="str">
        <f>_xlfn.XLOOKUP(FME_Ranking2[[#This Row],[FME ID]],FME_Input[FME_ID],FME_Input[EMER_NEED])</f>
        <v>No</v>
      </c>
      <c r="E454" s="120">
        <f>IF(FME_Ranking_Option2!$D454="Yes",100,0)</f>
        <v>0</v>
      </c>
      <c r="F454" s="34" t="str">
        <f>_xlfn.XLOOKUP(FME_Ranking2[[#This Row],[FME ID]],FME_Input[FME_ID],FME_Input[FUND])</f>
        <v>No</v>
      </c>
      <c r="G454" s="35">
        <f>IF(FME_Ranking_Option2!$F454="Yes",1,0)</f>
        <v>0</v>
      </c>
      <c r="H454" s="33">
        <f>_xlfn.XLOOKUP(FME_Ranking2[[#This Row],[FME ID]],FME_Input[FME_ID],FME_Input[STRUCT_100])</f>
        <v>150</v>
      </c>
      <c r="I454" s="64" t="e">
        <f>FME_Ranking2[[#This Row],[Raw Data3]]*H$4</f>
        <v>#REF!</v>
      </c>
      <c r="J454" s="63">
        <f>((FME_Ranking_Option2!$H454)/($H$3))*100</f>
        <v>1.6669092945750991E-2</v>
      </c>
      <c r="K454" s="36" t="e">
        <f>FME_Ranking2[[#This Row],[Norm Data3]]*H$4</f>
        <v>#REF!</v>
      </c>
      <c r="L454" s="37">
        <f>_xlfn.XLOOKUP(FME_Ranking2[[#This Row],[FME ID]],FME_Input[FME_ID],FME_Input[RES_STRUCT100])</f>
        <v>139</v>
      </c>
      <c r="M454" s="38" t="e">
        <f>FME_Ranking2[[#This Row],[Raw Data4]]*L$4</f>
        <v>#REF!</v>
      </c>
      <c r="N454" s="28">
        <f>((FME_Ranking_Option2!$L454)/($L$3))*100</f>
        <v>2.0780913851899362E-2</v>
      </c>
      <c r="O454" s="39" t="e">
        <f>FME_Ranking2[[#This Row],[Norm Data4]]*L$4</f>
        <v>#REF!</v>
      </c>
      <c r="P454" s="34">
        <f>_xlfn.XLOOKUP(FME_Ranking2[[#This Row],[FME ID]],FME_Input[FME_ID],FME_Input[POP100])</f>
        <v>279</v>
      </c>
      <c r="Q454" s="35" t="e">
        <f>FME_Ranking_Option2!$P454*P$4</f>
        <v>#REF!</v>
      </c>
      <c r="R454" s="35">
        <f>FME_Ranking_Option2!$P454/($P$3)</f>
        <v>1.0239892418735993E-4</v>
      </c>
      <c r="S454" s="35" t="e">
        <f>FME_Ranking_Option2!$R454*P$4</f>
        <v>#REF!</v>
      </c>
      <c r="T454" s="37">
        <f>_xlfn.XLOOKUP(FME_Ranking2[[#This Row],[FME ID]],FME_Input[FME_ID],FME_Input[CRITFAC100])</f>
        <v>0</v>
      </c>
      <c r="U454" s="35" t="e">
        <f>FME_Ranking_Option2!$T454*T$4</f>
        <v>#REF!</v>
      </c>
      <c r="V454" s="35">
        <f>FME_Ranking_Option2!$T454/($T$3)</f>
        <v>0</v>
      </c>
      <c r="W454" s="35" t="e">
        <f>FME_Ranking_Option2!$V454*T$4</f>
        <v>#REF!</v>
      </c>
      <c r="X454" s="37">
        <f>_xlfn.XLOOKUP(FME_Ranking2[[#This Row],[FME ID]],FME_Input[FME_ID],FME_Input[LWC])</f>
        <v>0</v>
      </c>
      <c r="Y454" s="35" t="e">
        <f>FME_Ranking_Option2!$X454*X$4</f>
        <v>#REF!</v>
      </c>
      <c r="Z454" s="35">
        <f>FME_Ranking_Option2!$X454/($X$3)</f>
        <v>0</v>
      </c>
      <c r="AA454" s="35" t="e">
        <f>FME_Ranking_Option2!$Z454*X$4</f>
        <v>#REF!</v>
      </c>
      <c r="AB454" s="37">
        <f>_xlfn.XLOOKUP(FME_Ranking2[[#This Row],[FME ID]],FME_Input[FME_ID],FME_Input[ROADCLS])</f>
        <v>0</v>
      </c>
      <c r="AC454" s="35" t="e">
        <f>FME_Ranking_Option2!$AB454*AB$4</f>
        <v>#REF!</v>
      </c>
      <c r="AD454" s="40">
        <f>_xlfn.XLOOKUP(FME_Ranking2[[#This Row],[FME ID]],FME_Input[FME_ID],FME_Input[ROAD_MILES100])</f>
        <v>0.19919504225254059</v>
      </c>
      <c r="AE454" s="41" t="e">
        <f>FME_Ranking_Option2!$AD454*AD$4</f>
        <v>#REF!</v>
      </c>
      <c r="AF454" s="42">
        <f>FME_Ranking_Option2!$AD454/($AD$3)</f>
        <v>4.4992747732245969E-6</v>
      </c>
      <c r="AG454" s="42" t="e">
        <f>FME_Ranking_Option2!$AF454*AD$4</f>
        <v>#REF!</v>
      </c>
      <c r="AH454" s="40">
        <f>_xlfn.XLOOKUP(FME_Ranking2[[#This Row],[FME ID]],FME_Input[FME_ID],FME_Input[FARMACRE100])</f>
        <v>135.68196105957031</v>
      </c>
      <c r="AI454" s="43" t="e">
        <f>FME_Ranking_Option2!$AH454*AH$4</f>
        <v>#REF!</v>
      </c>
      <c r="AJ454" s="41">
        <f>FME_Ranking_Option2!$AH454/($AH$3)</f>
        <v>7.8785005666986221E-3</v>
      </c>
      <c r="AK454" s="44" t="e">
        <f>FME_Ranking_Option2!$AJ454*AH$4</f>
        <v>#REF!</v>
      </c>
      <c r="AL454"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54" s="58" t="e">
        <f>_xlfn.RANK.EQ(AL454,$AL$7:$AL$531)+COUNTIF(AL$7:AL454,AL454)-1</f>
        <v>#REF!</v>
      </c>
      <c r="AN454" s="44"/>
      <c r="AO454" s="58" t="e">
        <f>_xlfn.RANK.EQ(AN454,$AN$7:$AN$531)+COUNTIF(AN$7:AN454,AN454)-1</f>
        <v>#N/A</v>
      </c>
      <c r="AP45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54" s="32" t="e">
        <f>FME_Ranking2[[#This Row],[Score Based on Reported Factors]]-FME_Ranking2[[#This Row],[Check]]</f>
        <v>#REF!</v>
      </c>
      <c r="AR454" s="32"/>
    </row>
    <row r="455" spans="1:55" ht="12" customHeight="1" x14ac:dyDescent="0.25">
      <c r="A455" s="16" t="s">
        <v>528</v>
      </c>
      <c r="B455" s="16" t="str">
        <f>_xlfn.XLOOKUP(FME_Ranking2[[#This Row],[FME ID]],FME_Input[FME_ID],FME_Input[FME_NAME])</f>
        <v>Develop an Emergency Operations and Evacuation Plan</v>
      </c>
      <c r="C455" s="16" t="str">
        <f>_xlfn.XLOOKUP(FME_Ranking2[[#This Row],[FME ID]],FME_Input[FME_ID],FME_Input[DESCR])</f>
        <v>Develop an Emergency Operations and Evacuation Plan</v>
      </c>
      <c r="D455" s="46" t="str">
        <f>_xlfn.XLOOKUP(FME_Ranking2[[#This Row],[FME ID]],FME_Input[FME_ID],FME_Input[EMER_NEED])</f>
        <v>No</v>
      </c>
      <c r="E455" s="121">
        <f>IF(FME_Ranking_Option2!$D455="Yes",100,0)</f>
        <v>0</v>
      </c>
      <c r="F455" s="47" t="str">
        <f>_xlfn.XLOOKUP(FME_Ranking2[[#This Row],[FME ID]],FME_Input[FME_ID],FME_Input[FUND])</f>
        <v>No</v>
      </c>
      <c r="G455" s="48">
        <f>IF(FME_Ranking_Option2!$F455="Yes",1,0)</f>
        <v>0</v>
      </c>
      <c r="H455" s="46">
        <f>_xlfn.XLOOKUP(FME_Ranking2[[#This Row],[FME ID]],FME_Input[FME_ID],FME_Input[STRUCT_100])</f>
        <v>150</v>
      </c>
      <c r="I455" s="65" t="e">
        <f>FME_Ranking2[[#This Row],[Raw Data3]]*H$4</f>
        <v>#REF!</v>
      </c>
      <c r="J455" s="62">
        <f>((FME_Ranking_Option2!$H455)/($H$3))*100</f>
        <v>1.6669092945750991E-2</v>
      </c>
      <c r="K455" s="49" t="e">
        <f>FME_Ranking2[[#This Row],[Norm Data3]]*H$4</f>
        <v>#REF!</v>
      </c>
      <c r="L455" s="50">
        <f>_xlfn.XLOOKUP(FME_Ranking2[[#This Row],[FME ID]],FME_Input[FME_ID],FME_Input[RES_STRUCT100])</f>
        <v>139</v>
      </c>
      <c r="M455" s="51" t="e">
        <f>FME_Ranking2[[#This Row],[Raw Data4]]*L$4</f>
        <v>#REF!</v>
      </c>
      <c r="N455" s="29">
        <f>((FME_Ranking_Option2!$L455)/($L$3))*100</f>
        <v>2.0780913851899362E-2</v>
      </c>
      <c r="O455" s="52" t="e">
        <f>FME_Ranking2[[#This Row],[Norm Data4]]*L$4</f>
        <v>#REF!</v>
      </c>
      <c r="P455" s="47">
        <f>_xlfn.XLOOKUP(FME_Ranking2[[#This Row],[FME ID]],FME_Input[FME_ID],FME_Input[POP100])</f>
        <v>279</v>
      </c>
      <c r="Q455" s="48" t="e">
        <f>FME_Ranking_Option2!$P455*P$4</f>
        <v>#REF!</v>
      </c>
      <c r="R455" s="48">
        <f>FME_Ranking_Option2!$P455/($P$3)</f>
        <v>1.0239892418735993E-4</v>
      </c>
      <c r="S455" s="48" t="e">
        <f>FME_Ranking_Option2!$R455*P$4</f>
        <v>#REF!</v>
      </c>
      <c r="T455" s="50">
        <f>_xlfn.XLOOKUP(FME_Ranking2[[#This Row],[FME ID]],FME_Input[FME_ID],FME_Input[CRITFAC100])</f>
        <v>0</v>
      </c>
      <c r="U455" s="48" t="e">
        <f>FME_Ranking_Option2!$T455*T$4</f>
        <v>#REF!</v>
      </c>
      <c r="V455" s="48">
        <f>FME_Ranking_Option2!$T455/($T$3)</f>
        <v>0</v>
      </c>
      <c r="W455" s="48" t="e">
        <f>FME_Ranking_Option2!$V455*T$4</f>
        <v>#REF!</v>
      </c>
      <c r="X455" s="50">
        <f>_xlfn.XLOOKUP(FME_Ranking2[[#This Row],[FME ID]],FME_Input[FME_ID],FME_Input[LWC])</f>
        <v>0</v>
      </c>
      <c r="Y455" s="48" t="e">
        <f>FME_Ranking_Option2!$X455*X$4</f>
        <v>#REF!</v>
      </c>
      <c r="Z455" s="48">
        <f>FME_Ranking_Option2!$X455/($X$3)</f>
        <v>0</v>
      </c>
      <c r="AA455" s="48" t="e">
        <f>FME_Ranking_Option2!$Z455*X$4</f>
        <v>#REF!</v>
      </c>
      <c r="AB455" s="50">
        <f>_xlfn.XLOOKUP(FME_Ranking2[[#This Row],[FME ID]],FME_Input[FME_ID],FME_Input[ROADCLS])</f>
        <v>0</v>
      </c>
      <c r="AC455" s="48" t="e">
        <f>FME_Ranking_Option2!$AB455*AB$4</f>
        <v>#REF!</v>
      </c>
      <c r="AD455" s="53">
        <f>_xlfn.XLOOKUP(FME_Ranking2[[#This Row],[FME ID]],FME_Input[FME_ID],FME_Input[ROAD_MILES100])</f>
        <v>0.19919504225254059</v>
      </c>
      <c r="AE455" s="54" t="e">
        <f>FME_Ranking_Option2!$AD455*AD$4</f>
        <v>#REF!</v>
      </c>
      <c r="AF455" s="55">
        <f>FME_Ranking_Option2!$AD455/($AD$3)</f>
        <v>4.4992747732245969E-6</v>
      </c>
      <c r="AG455" s="55" t="e">
        <f>FME_Ranking_Option2!$AF455*AD$4</f>
        <v>#REF!</v>
      </c>
      <c r="AH455" s="53">
        <f>_xlfn.XLOOKUP(FME_Ranking2[[#This Row],[FME ID]],FME_Input[FME_ID],FME_Input[FARMACRE100])</f>
        <v>135.68196105957031</v>
      </c>
      <c r="AI455" s="54" t="e">
        <f>FME_Ranking_Option2!$AH455*AH$4</f>
        <v>#REF!</v>
      </c>
      <c r="AJ455" s="56">
        <f>FME_Ranking_Option2!$AH455/($AH$3)</f>
        <v>7.8785005666986221E-3</v>
      </c>
      <c r="AK455" s="57" t="e">
        <f>FME_Ranking_Option2!$AJ455*AH$4</f>
        <v>#REF!</v>
      </c>
      <c r="AL455"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55" s="45" t="e">
        <f>_xlfn.RANK.EQ(AL455,$AL$7:$AL$531)+COUNTIF(AL$7:AL455,AL455)-1</f>
        <v>#REF!</v>
      </c>
      <c r="AN455" s="57"/>
      <c r="AO455" s="45" t="e">
        <f>_xlfn.RANK.EQ(AN455,$AN$7:$AN$531)+COUNTIF(AN$7:AN455,AN455)-1</f>
        <v>#N/A</v>
      </c>
      <c r="AP45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55" s="32" t="e">
        <f>FME_Ranking2[[#This Row],[Score Based on Reported Factors]]-FME_Ranking2[[#This Row],[Check]]</f>
        <v>#REF!</v>
      </c>
      <c r="AR455" s="32"/>
      <c r="AT455" s="19"/>
      <c r="AU455" s="19"/>
      <c r="AV455" s="19"/>
      <c r="AW455" s="19"/>
      <c r="AX455" s="19"/>
      <c r="AY455" s="19"/>
      <c r="AZ455" s="19"/>
      <c r="BA455" s="19"/>
      <c r="BB455" s="19"/>
      <c r="BC455" s="19"/>
    </row>
    <row r="456" spans="1:55" ht="12" customHeight="1" x14ac:dyDescent="0.25">
      <c r="A456" s="17" t="s">
        <v>541</v>
      </c>
      <c r="B456" s="17" t="str">
        <f>_xlfn.XLOOKUP(FME_Ranking2[[#This Row],[FME ID]],FME_Input[FME_ID],FME_Input[FME_NAME])</f>
        <v>Various Streets - Upgrade Existing Roadway Crossings</v>
      </c>
      <c r="C456" s="17" t="str">
        <f>_xlfn.XLOOKUP(FME_Ranking2[[#This Row],[FME ID]],FME_Input[FME_ID],FME_Input[DESCR])</f>
        <v>Increase dimensions of drainage culverts in flood prone areas</v>
      </c>
      <c r="D456" s="33" t="str">
        <f>_xlfn.XLOOKUP(FME_Ranking2[[#This Row],[FME ID]],FME_Input[FME_ID],FME_Input[EMER_NEED])</f>
        <v>No</v>
      </c>
      <c r="E456" s="120">
        <f>IF(FME_Ranking_Option2!$D456="Yes",100,0)</f>
        <v>0</v>
      </c>
      <c r="F456" s="34" t="str">
        <f>_xlfn.XLOOKUP(FME_Ranking2[[#This Row],[FME ID]],FME_Input[FME_ID],FME_Input[FUND])</f>
        <v>No</v>
      </c>
      <c r="G456" s="35">
        <f>IF(FME_Ranking_Option2!$F456="Yes",1,0)</f>
        <v>0</v>
      </c>
      <c r="H456" s="33">
        <f>_xlfn.XLOOKUP(FME_Ranking2[[#This Row],[FME ID]],FME_Input[FME_ID],FME_Input[STRUCT_100])</f>
        <v>0</v>
      </c>
      <c r="I456" s="64" t="e">
        <f>FME_Ranking2[[#This Row],[Raw Data3]]*H$4</f>
        <v>#REF!</v>
      </c>
      <c r="J456" s="63">
        <f>((FME_Ranking_Option2!$H456)/($H$3))*100</f>
        <v>0</v>
      </c>
      <c r="K456" s="36" t="e">
        <f>FME_Ranking2[[#This Row],[Norm Data3]]*H$4</f>
        <v>#REF!</v>
      </c>
      <c r="L456" s="37">
        <f>_xlfn.XLOOKUP(FME_Ranking2[[#This Row],[FME ID]],FME_Input[FME_ID],FME_Input[RES_STRUCT100])</f>
        <v>0</v>
      </c>
      <c r="M456" s="38" t="e">
        <f>FME_Ranking2[[#This Row],[Raw Data4]]*L$4</f>
        <v>#REF!</v>
      </c>
      <c r="N456" s="28">
        <f>((FME_Ranking_Option2!$L456)/($L$3))*100</f>
        <v>0</v>
      </c>
      <c r="O456" s="39" t="e">
        <f>FME_Ranking2[[#This Row],[Norm Data4]]*L$4</f>
        <v>#REF!</v>
      </c>
      <c r="P456" s="34">
        <f>_xlfn.XLOOKUP(FME_Ranking2[[#This Row],[FME ID]],FME_Input[FME_ID],FME_Input[POP100])</f>
        <v>0</v>
      </c>
      <c r="Q456" s="35" t="e">
        <f>FME_Ranking_Option2!$P456*P$4</f>
        <v>#REF!</v>
      </c>
      <c r="R456" s="35">
        <f>FME_Ranking_Option2!$P456/($P$3)</f>
        <v>0</v>
      </c>
      <c r="S456" s="35" t="e">
        <f>FME_Ranking_Option2!$R456*P$4</f>
        <v>#REF!</v>
      </c>
      <c r="T456" s="37">
        <f>_xlfn.XLOOKUP(FME_Ranking2[[#This Row],[FME ID]],FME_Input[FME_ID],FME_Input[CRITFAC100])</f>
        <v>0</v>
      </c>
      <c r="U456" s="35" t="e">
        <f>FME_Ranking_Option2!$T456*T$4</f>
        <v>#REF!</v>
      </c>
      <c r="V456" s="35">
        <f>FME_Ranking_Option2!$T456/($T$3)</f>
        <v>0</v>
      </c>
      <c r="W456" s="35" t="e">
        <f>FME_Ranking_Option2!$V456*T$4</f>
        <v>#REF!</v>
      </c>
      <c r="X456" s="37">
        <f>_xlfn.XLOOKUP(FME_Ranking2[[#This Row],[FME ID]],FME_Input[FME_ID],FME_Input[LWC])</f>
        <v>0</v>
      </c>
      <c r="Y456" s="35" t="e">
        <f>FME_Ranking_Option2!$X456*X$4</f>
        <v>#REF!</v>
      </c>
      <c r="Z456" s="35">
        <f>FME_Ranking_Option2!$X456/($X$3)</f>
        <v>0</v>
      </c>
      <c r="AA456" s="35" t="e">
        <f>FME_Ranking_Option2!$Z456*X$4</f>
        <v>#REF!</v>
      </c>
      <c r="AB456" s="37">
        <f>_xlfn.XLOOKUP(FME_Ranking2[[#This Row],[FME ID]],FME_Input[FME_ID],FME_Input[ROADCLS])</f>
        <v>0</v>
      </c>
      <c r="AC456" s="35" t="e">
        <f>FME_Ranking_Option2!$AB456*AB$4</f>
        <v>#REF!</v>
      </c>
      <c r="AD456" s="40">
        <f>_xlfn.XLOOKUP(FME_Ranking2[[#This Row],[FME ID]],FME_Input[FME_ID],FME_Input[ROAD_MILES100])</f>
        <v>0</v>
      </c>
      <c r="AE456" s="41" t="e">
        <f>FME_Ranking_Option2!$AD456*AD$4</f>
        <v>#REF!</v>
      </c>
      <c r="AF456" s="42">
        <f>FME_Ranking_Option2!$AD456/($AD$3)</f>
        <v>0</v>
      </c>
      <c r="AG456" s="42" t="e">
        <f>FME_Ranking_Option2!$AF456*AD$4</f>
        <v>#REF!</v>
      </c>
      <c r="AH456" s="40">
        <f>_xlfn.XLOOKUP(FME_Ranking2[[#This Row],[FME ID]],FME_Input[FME_ID],FME_Input[FARMACRE100])</f>
        <v>0</v>
      </c>
      <c r="AI456" s="43" t="e">
        <f>FME_Ranking_Option2!$AH456*AH$4</f>
        <v>#REF!</v>
      </c>
      <c r="AJ456" s="41">
        <f>FME_Ranking_Option2!$AH456/($AH$3)</f>
        <v>0</v>
      </c>
      <c r="AK456" s="44" t="e">
        <f>FME_Ranking_Option2!$AJ456*AH$4</f>
        <v>#REF!</v>
      </c>
      <c r="AL456"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56" s="58" t="e">
        <f>_xlfn.RANK.EQ(AL456,$AL$7:$AL$531)+COUNTIF(AL$7:AL456,AL456)-1</f>
        <v>#REF!</v>
      </c>
      <c r="AN456" s="44"/>
      <c r="AO456" s="58" t="e">
        <f>_xlfn.RANK.EQ(AN456,$AN$7:$AN$531)+COUNTIF(AN$7:AN456,AN456)-1</f>
        <v>#N/A</v>
      </c>
      <c r="AP45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56" s="32" t="e">
        <f>FME_Ranking2[[#This Row],[Score Based on Reported Factors]]-FME_Ranking2[[#This Row],[Check]]</f>
        <v>#REF!</v>
      </c>
      <c r="AR456" s="32"/>
    </row>
    <row r="457" spans="1:55" ht="12" customHeight="1" x14ac:dyDescent="0.25">
      <c r="A457" s="16" t="s">
        <v>548</v>
      </c>
      <c r="B457" s="16" t="str">
        <f>_xlfn.XLOOKUP(FME_Ranking2[[#This Row],[FME ID]],FME_Input[FME_ID],FME_Input[FME_NAME])</f>
        <v>Harden City Buildings, Critical Infrastructure</v>
      </c>
      <c r="C457" s="16" t="str">
        <f>_xlfn.XLOOKUP(FME_Ranking2[[#This Row],[FME ID]],FME_Input[FME_ID],FME_Input[DESCR])</f>
        <v xml:space="preserve">Harden city buildings, critical infrastructure_x000D_
</v>
      </c>
      <c r="D457" s="46" t="str">
        <f>_xlfn.XLOOKUP(FME_Ranking2[[#This Row],[FME ID]],FME_Input[FME_ID],FME_Input[EMER_NEED])</f>
        <v>No</v>
      </c>
      <c r="E457" s="121">
        <f>IF(FME_Ranking_Option2!$D457="Yes",100,0)</f>
        <v>0</v>
      </c>
      <c r="F457" s="47" t="str">
        <f>_xlfn.XLOOKUP(FME_Ranking2[[#This Row],[FME ID]],FME_Input[FME_ID],FME_Input[FUND])</f>
        <v>No</v>
      </c>
      <c r="G457" s="48">
        <f>IF(FME_Ranking_Option2!$F457="Yes",1,0)</f>
        <v>0</v>
      </c>
      <c r="H457" s="46">
        <f>_xlfn.XLOOKUP(FME_Ranking2[[#This Row],[FME ID]],FME_Input[FME_ID],FME_Input[STRUCT_100])</f>
        <v>368</v>
      </c>
      <c r="I457" s="65" t="e">
        <f>FME_Ranking2[[#This Row],[Raw Data3]]*H$4</f>
        <v>#REF!</v>
      </c>
      <c r="J457" s="62">
        <f>((FME_Ranking_Option2!$H457)/($H$3))*100</f>
        <v>4.0894841360242434E-2</v>
      </c>
      <c r="K457" s="49" t="e">
        <f>FME_Ranking2[[#This Row],[Norm Data3]]*H$4</f>
        <v>#REF!</v>
      </c>
      <c r="L457" s="50">
        <f>_xlfn.XLOOKUP(FME_Ranking2[[#This Row],[FME ID]],FME_Input[FME_ID],FME_Input[RES_STRUCT100])</f>
        <v>224</v>
      </c>
      <c r="M457" s="51" t="e">
        <f>FME_Ranking2[[#This Row],[Raw Data4]]*L$4</f>
        <v>#REF!</v>
      </c>
      <c r="N457" s="29">
        <f>((FME_Ranking_Option2!$L457)/($L$3))*100</f>
        <v>3.3488666926801844E-2</v>
      </c>
      <c r="O457" s="52" t="e">
        <f>FME_Ranking2[[#This Row],[Norm Data4]]*L$4</f>
        <v>#REF!</v>
      </c>
      <c r="P457" s="47">
        <f>_xlfn.XLOOKUP(FME_Ranking2[[#This Row],[FME ID]],FME_Input[FME_ID],FME_Input[POP100])</f>
        <v>1942</v>
      </c>
      <c r="Q457" s="48" t="e">
        <f>FME_Ranking_Option2!$P457*P$4</f>
        <v>#REF!</v>
      </c>
      <c r="R457" s="48">
        <f>FME_Ranking_Option2!$P457/($P$3)</f>
        <v>7.1275523574140863E-4</v>
      </c>
      <c r="S457" s="48" t="e">
        <f>FME_Ranking_Option2!$R457*P$4</f>
        <v>#REF!</v>
      </c>
      <c r="T457" s="50">
        <f>_xlfn.XLOOKUP(FME_Ranking2[[#This Row],[FME ID]],FME_Input[FME_ID],FME_Input[CRITFAC100])</f>
        <v>1</v>
      </c>
      <c r="U457" s="48" t="e">
        <f>FME_Ranking_Option2!$T457*T$4</f>
        <v>#REF!</v>
      </c>
      <c r="V457" s="48">
        <f>FME_Ranking_Option2!$T457/($T$3)</f>
        <v>1.4102383302778171E-4</v>
      </c>
      <c r="W457" s="48" t="e">
        <f>FME_Ranking_Option2!$V457*T$4</f>
        <v>#REF!</v>
      </c>
      <c r="X457" s="50">
        <f>_xlfn.XLOOKUP(FME_Ranking2[[#This Row],[FME ID]],FME_Input[FME_ID],FME_Input[LWC])</f>
        <v>0</v>
      </c>
      <c r="Y457" s="48" t="e">
        <f>FME_Ranking_Option2!$X457*X$4</f>
        <v>#REF!</v>
      </c>
      <c r="Z457" s="48">
        <f>FME_Ranking_Option2!$X457/($X$3)</f>
        <v>0</v>
      </c>
      <c r="AA457" s="48" t="e">
        <f>FME_Ranking_Option2!$Z457*X$4</f>
        <v>#REF!</v>
      </c>
      <c r="AB457" s="50">
        <f>_xlfn.XLOOKUP(FME_Ranking2[[#This Row],[FME ID]],FME_Input[FME_ID],FME_Input[ROADCLS])</f>
        <v>0</v>
      </c>
      <c r="AC457" s="48" t="e">
        <f>FME_Ranking_Option2!$AB457*AB$4</f>
        <v>#REF!</v>
      </c>
      <c r="AD457" s="53">
        <f>_xlfn.XLOOKUP(FME_Ranking2[[#This Row],[FME ID]],FME_Input[FME_ID],FME_Input[ROAD_MILES100])</f>
        <v>0</v>
      </c>
      <c r="AE457" s="54" t="e">
        <f>FME_Ranking_Option2!$AD457*AD$4</f>
        <v>#REF!</v>
      </c>
      <c r="AF457" s="55">
        <f>FME_Ranking_Option2!$AD457/($AD$3)</f>
        <v>0</v>
      </c>
      <c r="AG457" s="55" t="e">
        <f>FME_Ranking_Option2!$AF457*AD$4</f>
        <v>#REF!</v>
      </c>
      <c r="AH457" s="53">
        <f>_xlfn.XLOOKUP(FME_Ranking2[[#This Row],[FME ID]],FME_Input[FME_ID],FME_Input[FARMACRE100])</f>
        <v>849.0537109375</v>
      </c>
      <c r="AI457" s="54" t="e">
        <f>FME_Ranking_Option2!$AH457*AH$4</f>
        <v>#REF!</v>
      </c>
      <c r="AJ457" s="56">
        <f>FME_Ranking_Option2!$AH457/($AH$3)</f>
        <v>4.9301101565312574E-2</v>
      </c>
      <c r="AK457" s="57" t="e">
        <f>FME_Ranking_Option2!$AJ457*AH$4</f>
        <v>#REF!</v>
      </c>
      <c r="AL457"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57" s="45" t="e">
        <f>_xlfn.RANK.EQ(AL457,$AL$7:$AL$531)+COUNTIF(AL$7:AL457,AL457)-1</f>
        <v>#REF!</v>
      </c>
      <c r="AN457" s="57"/>
      <c r="AO457" s="45" t="e">
        <f>_xlfn.RANK.EQ(AN457,$AN$7:$AN$531)+COUNTIF(AN$7:AN457,AN457)-1</f>
        <v>#N/A</v>
      </c>
      <c r="AP45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57" s="32" t="e">
        <f>FME_Ranking2[[#This Row],[Score Based on Reported Factors]]-FME_Ranking2[[#This Row],[Check]]</f>
        <v>#REF!</v>
      </c>
      <c r="AR457" s="32"/>
      <c r="AT457" s="19"/>
      <c r="AU457" s="19"/>
      <c r="AV457" s="19"/>
      <c r="AW457" s="19"/>
      <c r="AX457" s="19"/>
      <c r="AY457" s="19"/>
      <c r="AZ457" s="19"/>
      <c r="BA457" s="19"/>
      <c r="BB457" s="19"/>
      <c r="BC457" s="19"/>
    </row>
    <row r="458" spans="1:55" ht="12" customHeight="1" x14ac:dyDescent="0.25">
      <c r="A458" s="17" t="s">
        <v>550</v>
      </c>
      <c r="B458" s="17" t="str">
        <f>_xlfn.XLOOKUP(FME_Ranking2[[#This Row],[FME ID]],FME_Input[FME_ID],FME_Input[FME_NAME])</f>
        <v>Citywide Drainage Study</v>
      </c>
      <c r="C458" s="17" t="str">
        <f>_xlfn.XLOOKUP(FME_Ranking2[[#This Row],[FME ID]],FME_Input[FME_ID],FME_Input[DESCR])</f>
        <v>Initiate study of storm water drainage system to assess impacts from flooding &amp; flash flooding</v>
      </c>
      <c r="D458" s="33" t="str">
        <f>_xlfn.XLOOKUP(FME_Ranking2[[#This Row],[FME ID]],FME_Input[FME_ID],FME_Input[EMER_NEED])</f>
        <v>No</v>
      </c>
      <c r="E458" s="120">
        <f>IF(FME_Ranking_Option2!$D458="Yes",100,0)</f>
        <v>0</v>
      </c>
      <c r="F458" s="34" t="str">
        <f>_xlfn.XLOOKUP(FME_Ranking2[[#This Row],[FME ID]],FME_Input[FME_ID],FME_Input[FUND])</f>
        <v>No</v>
      </c>
      <c r="G458" s="35">
        <f>IF(FME_Ranking_Option2!$F458="Yes",1,0)</f>
        <v>0</v>
      </c>
      <c r="H458" s="33">
        <f>_xlfn.XLOOKUP(FME_Ranking2[[#This Row],[FME ID]],FME_Input[FME_ID],FME_Input[STRUCT_100])</f>
        <v>776</v>
      </c>
      <c r="I458" s="64" t="e">
        <f>FME_Ranking2[[#This Row],[Raw Data3]]*H$4</f>
        <v>#REF!</v>
      </c>
      <c r="J458" s="63">
        <f>((FME_Ranking_Option2!$H458)/($H$3))*100</f>
        <v>8.623477417268513E-2</v>
      </c>
      <c r="K458" s="36" t="e">
        <f>FME_Ranking2[[#This Row],[Norm Data3]]*H$4</f>
        <v>#REF!</v>
      </c>
      <c r="L458" s="37">
        <f>_xlfn.XLOOKUP(FME_Ranking2[[#This Row],[FME ID]],FME_Input[FME_ID],FME_Input[RES_STRUCT100])</f>
        <v>521</v>
      </c>
      <c r="M458" s="38" t="e">
        <f>FME_Ranking2[[#This Row],[Raw Data4]]*L$4</f>
        <v>#REF!</v>
      </c>
      <c r="N458" s="28">
        <f>((FME_Ranking_Option2!$L458)/($L$3))*100</f>
        <v>7.7891051200284653E-2</v>
      </c>
      <c r="O458" s="39" t="e">
        <f>FME_Ranking2[[#This Row],[Norm Data4]]*L$4</f>
        <v>#REF!</v>
      </c>
      <c r="P458" s="34">
        <f>_xlfn.XLOOKUP(FME_Ranking2[[#This Row],[FME ID]],FME_Input[FME_ID],FME_Input[POP100])</f>
        <v>2432</v>
      </c>
      <c r="Q458" s="35" t="e">
        <f>FME_Ranking_Option2!$P458*P$4</f>
        <v>#REF!</v>
      </c>
      <c r="R458" s="35">
        <f>FME_Ranking_Option2!$P458/($P$3)</f>
        <v>8.9259564022816978E-4</v>
      </c>
      <c r="S458" s="35" t="e">
        <f>FME_Ranking_Option2!$R458*P$4</f>
        <v>#REF!</v>
      </c>
      <c r="T458" s="37">
        <f>_xlfn.XLOOKUP(FME_Ranking2[[#This Row],[FME ID]],FME_Input[FME_ID],FME_Input[CRITFAC100])</f>
        <v>3</v>
      </c>
      <c r="U458" s="35" t="e">
        <f>FME_Ranking_Option2!$T458*T$4</f>
        <v>#REF!</v>
      </c>
      <c r="V458" s="35">
        <f>FME_Ranking_Option2!$T458/($T$3)</f>
        <v>4.2307149908334509E-4</v>
      </c>
      <c r="W458" s="35" t="e">
        <f>FME_Ranking_Option2!$V458*T$4</f>
        <v>#REF!</v>
      </c>
      <c r="X458" s="37">
        <f>_xlfn.XLOOKUP(FME_Ranking2[[#This Row],[FME ID]],FME_Input[FME_ID],FME_Input[LWC])</f>
        <v>9</v>
      </c>
      <c r="Y458" s="35" t="e">
        <f>FME_Ranking_Option2!$X458*X$4</f>
        <v>#REF!</v>
      </c>
      <c r="Z458" s="35">
        <f>FME_Ranking_Option2!$X458/($X$3)</f>
        <v>8.2101806239737272E-4</v>
      </c>
      <c r="AA458" s="35" t="e">
        <f>FME_Ranking_Option2!$Z458*X$4</f>
        <v>#REF!</v>
      </c>
      <c r="AB458" s="37">
        <f>_xlfn.XLOOKUP(FME_Ranking2[[#This Row],[FME ID]],FME_Input[FME_ID],FME_Input[ROADCLS])</f>
        <v>0</v>
      </c>
      <c r="AC458" s="35" t="e">
        <f>FME_Ranking_Option2!$AB458*AB$4</f>
        <v>#REF!</v>
      </c>
      <c r="AD458" s="40">
        <f>_xlfn.XLOOKUP(FME_Ranking2[[#This Row],[FME ID]],FME_Input[FME_ID],FME_Input[ROAD_MILES100])</f>
        <v>0.1030892580747604</v>
      </c>
      <c r="AE458" s="41" t="e">
        <f>FME_Ranking_Option2!$AD458*AD$4</f>
        <v>#REF!</v>
      </c>
      <c r="AF458" s="42">
        <f>FME_Ranking_Option2!$AD458/($AD$3)</f>
        <v>2.3285062369080811E-6</v>
      </c>
      <c r="AG458" s="42" t="e">
        <f>FME_Ranking_Option2!$AF458*AD$4</f>
        <v>#REF!</v>
      </c>
      <c r="AH458" s="40">
        <f>_xlfn.XLOOKUP(FME_Ranking2[[#This Row],[FME ID]],FME_Input[FME_ID],FME_Input[FARMACRE100])</f>
        <v>37405.83984375</v>
      </c>
      <c r="AI458" s="43" t="e">
        <f>FME_Ranking_Option2!$AH458*AH$4</f>
        <v>#REF!</v>
      </c>
      <c r="AJ458" s="41">
        <f>FME_Ranking_Option2!$AH458/($AH$3)</f>
        <v>2.172005240088144</v>
      </c>
      <c r="AK458" s="44" t="e">
        <f>FME_Ranking_Option2!$AJ458*AH$4</f>
        <v>#REF!</v>
      </c>
      <c r="AL458"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58" s="58" t="e">
        <f>_xlfn.RANK.EQ(AL458,$AL$7:$AL$531)+COUNTIF(AL$7:AL458,AL458)-1</f>
        <v>#REF!</v>
      </c>
      <c r="AN458" s="44"/>
      <c r="AO458" s="58" t="e">
        <f>_xlfn.RANK.EQ(AN458,$AN$7:$AN$531)+COUNTIF(AN$7:AN458,AN458)-1</f>
        <v>#N/A</v>
      </c>
      <c r="AP45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58" s="32" t="e">
        <f>FME_Ranking2[[#This Row],[Score Based on Reported Factors]]-FME_Ranking2[[#This Row],[Check]]</f>
        <v>#REF!</v>
      </c>
      <c r="AR458" s="32"/>
    </row>
    <row r="459" spans="1:55" ht="12" customHeight="1" x14ac:dyDescent="0.25">
      <c r="A459" s="16" t="s">
        <v>553</v>
      </c>
      <c r="B459" s="16" t="str">
        <f>_xlfn.XLOOKUP(FME_Ranking2[[#This Row],[FME ID]],FME_Input[FME_ID],FME_Input[FME_NAME])</f>
        <v>Various Streets - Upgrade Existing Roadway Crossings and Bridges</v>
      </c>
      <c r="C459" s="16" t="str">
        <f>_xlfn.XLOOKUP(FME_Ranking2[[#This Row],[FME ID]],FME_Input[FME_ID],FME_Input[DESCR])</f>
        <v>Increase dimensions of drainage culverts</v>
      </c>
      <c r="D459" s="46" t="str">
        <f>_xlfn.XLOOKUP(FME_Ranking2[[#This Row],[FME ID]],FME_Input[FME_ID],FME_Input[EMER_NEED])</f>
        <v>No</v>
      </c>
      <c r="E459" s="121">
        <f>IF(FME_Ranking_Option2!$D459="Yes",100,0)</f>
        <v>0</v>
      </c>
      <c r="F459" s="47" t="str">
        <f>_xlfn.XLOOKUP(FME_Ranking2[[#This Row],[FME ID]],FME_Input[FME_ID],FME_Input[FUND])</f>
        <v>No</v>
      </c>
      <c r="G459" s="48">
        <f>IF(FME_Ranking_Option2!$F459="Yes",1,0)</f>
        <v>0</v>
      </c>
      <c r="H459" s="46">
        <f>_xlfn.XLOOKUP(FME_Ranking2[[#This Row],[FME ID]],FME_Input[FME_ID],FME_Input[STRUCT_100])</f>
        <v>776</v>
      </c>
      <c r="I459" s="65" t="e">
        <f>FME_Ranking2[[#This Row],[Raw Data3]]*H$4</f>
        <v>#REF!</v>
      </c>
      <c r="J459" s="62">
        <f>((FME_Ranking_Option2!$H459)/($H$3))*100</f>
        <v>8.623477417268513E-2</v>
      </c>
      <c r="K459" s="49" t="e">
        <f>FME_Ranking2[[#This Row],[Norm Data3]]*H$4</f>
        <v>#REF!</v>
      </c>
      <c r="L459" s="50">
        <f>_xlfn.XLOOKUP(FME_Ranking2[[#This Row],[FME ID]],FME_Input[FME_ID],FME_Input[RES_STRUCT100])</f>
        <v>521</v>
      </c>
      <c r="M459" s="51" t="e">
        <f>FME_Ranking2[[#This Row],[Raw Data4]]*L$4</f>
        <v>#REF!</v>
      </c>
      <c r="N459" s="29">
        <f>((FME_Ranking_Option2!$L459)/($L$3))*100</f>
        <v>7.7891051200284653E-2</v>
      </c>
      <c r="O459" s="52" t="e">
        <f>FME_Ranking2[[#This Row],[Norm Data4]]*L$4</f>
        <v>#REF!</v>
      </c>
      <c r="P459" s="47">
        <f>_xlfn.XLOOKUP(FME_Ranking2[[#This Row],[FME ID]],FME_Input[FME_ID],FME_Input[POP100])</f>
        <v>2432</v>
      </c>
      <c r="Q459" s="48" t="e">
        <f>FME_Ranking_Option2!$P459*P$4</f>
        <v>#REF!</v>
      </c>
      <c r="R459" s="48">
        <f>FME_Ranking_Option2!$P459/($P$3)</f>
        <v>8.9259564022816978E-4</v>
      </c>
      <c r="S459" s="48" t="e">
        <f>FME_Ranking_Option2!$R459*P$4</f>
        <v>#REF!</v>
      </c>
      <c r="T459" s="50">
        <f>_xlfn.XLOOKUP(FME_Ranking2[[#This Row],[FME ID]],FME_Input[FME_ID],FME_Input[CRITFAC100])</f>
        <v>3</v>
      </c>
      <c r="U459" s="48" t="e">
        <f>FME_Ranking_Option2!$T459*T$4</f>
        <v>#REF!</v>
      </c>
      <c r="V459" s="48">
        <f>FME_Ranking_Option2!$T459/($T$3)</f>
        <v>4.2307149908334509E-4</v>
      </c>
      <c r="W459" s="48" t="e">
        <f>FME_Ranking_Option2!$V459*T$4</f>
        <v>#REF!</v>
      </c>
      <c r="X459" s="50">
        <f>_xlfn.XLOOKUP(FME_Ranking2[[#This Row],[FME ID]],FME_Input[FME_ID],FME_Input[LWC])</f>
        <v>9</v>
      </c>
      <c r="Y459" s="48" t="e">
        <f>FME_Ranking_Option2!$X459*X$4</f>
        <v>#REF!</v>
      </c>
      <c r="Z459" s="48">
        <f>FME_Ranking_Option2!$X459/($X$3)</f>
        <v>8.2101806239737272E-4</v>
      </c>
      <c r="AA459" s="48" t="e">
        <f>FME_Ranking_Option2!$Z459*X$4</f>
        <v>#REF!</v>
      </c>
      <c r="AB459" s="50">
        <f>_xlfn.XLOOKUP(FME_Ranking2[[#This Row],[FME ID]],FME_Input[FME_ID],FME_Input[ROADCLS])</f>
        <v>0</v>
      </c>
      <c r="AC459" s="48" t="e">
        <f>FME_Ranking_Option2!$AB459*AB$4</f>
        <v>#REF!</v>
      </c>
      <c r="AD459" s="53">
        <f>_xlfn.XLOOKUP(FME_Ranking2[[#This Row],[FME ID]],FME_Input[FME_ID],FME_Input[ROAD_MILES100])</f>
        <v>0.1030892580747604</v>
      </c>
      <c r="AE459" s="54" t="e">
        <f>FME_Ranking_Option2!$AD459*AD$4</f>
        <v>#REF!</v>
      </c>
      <c r="AF459" s="55">
        <f>FME_Ranking_Option2!$AD459/($AD$3)</f>
        <v>2.3285062369080811E-6</v>
      </c>
      <c r="AG459" s="55" t="e">
        <f>FME_Ranking_Option2!$AF459*AD$4</f>
        <v>#REF!</v>
      </c>
      <c r="AH459" s="53">
        <f>_xlfn.XLOOKUP(FME_Ranking2[[#This Row],[FME ID]],FME_Input[FME_ID],FME_Input[FARMACRE100])</f>
        <v>37405.83984375</v>
      </c>
      <c r="AI459" s="54" t="e">
        <f>FME_Ranking_Option2!$AH459*AH$4</f>
        <v>#REF!</v>
      </c>
      <c r="AJ459" s="56">
        <f>FME_Ranking_Option2!$AH459/($AH$3)</f>
        <v>2.172005240088144</v>
      </c>
      <c r="AK459" s="57" t="e">
        <f>FME_Ranking_Option2!$AJ459*AH$4</f>
        <v>#REF!</v>
      </c>
      <c r="AL459"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59" s="45" t="e">
        <f>_xlfn.RANK.EQ(AL459,$AL$7:$AL$531)+COUNTIF(AL$7:AL459,AL459)-1</f>
        <v>#REF!</v>
      </c>
      <c r="AN459" s="57"/>
      <c r="AO459" s="45" t="e">
        <f>_xlfn.RANK.EQ(AN459,$AN$7:$AN$531)+COUNTIF(AN$7:AN459,AN459)-1</f>
        <v>#N/A</v>
      </c>
      <c r="AP45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59" s="32" t="e">
        <f>FME_Ranking2[[#This Row],[Score Based on Reported Factors]]-FME_Ranking2[[#This Row],[Check]]</f>
        <v>#REF!</v>
      </c>
      <c r="AR459" s="32"/>
      <c r="AT459" s="19"/>
      <c r="AU459" s="19"/>
      <c r="AV459" s="19"/>
      <c r="AW459" s="19"/>
      <c r="AX459" s="19"/>
      <c r="AY459" s="19"/>
      <c r="AZ459" s="19"/>
      <c r="BA459" s="19"/>
      <c r="BB459" s="19"/>
      <c r="BC459" s="19"/>
    </row>
    <row r="460" spans="1:55" ht="12" customHeight="1" x14ac:dyDescent="0.25">
      <c r="A460" s="17" t="s">
        <v>557</v>
      </c>
      <c r="B460" s="17" t="str">
        <f>_xlfn.XLOOKUP(FME_Ranking2[[#This Row],[FME ID]],FME_Input[FME_ID],FME_Input[FME_NAME])</f>
        <v>Identify and Buyout Repetitive Loss Properties</v>
      </c>
      <c r="C460" s="17" t="str">
        <f>_xlfn.XLOOKUP(FME_Ranking2[[#This Row],[FME ID]],FME_Input[FME_ID],FME_Input[DESCR])</f>
        <v>Implement a voluntary acquisition program for repetitive flood properties</v>
      </c>
      <c r="D460" s="33" t="str">
        <f>_xlfn.XLOOKUP(FME_Ranking2[[#This Row],[FME ID]],FME_Input[FME_ID],FME_Input[EMER_NEED])</f>
        <v>No</v>
      </c>
      <c r="E460" s="120">
        <f>IF(FME_Ranking_Option2!$D460="Yes",100,0)</f>
        <v>0</v>
      </c>
      <c r="F460" s="34" t="str">
        <f>_xlfn.XLOOKUP(FME_Ranking2[[#This Row],[FME ID]],FME_Input[FME_ID],FME_Input[FUND])</f>
        <v>No</v>
      </c>
      <c r="G460" s="35">
        <f>IF(FME_Ranking_Option2!$F460="Yes",1,0)</f>
        <v>0</v>
      </c>
      <c r="H460" s="33">
        <f>_xlfn.XLOOKUP(FME_Ranking2[[#This Row],[FME ID]],FME_Input[FME_ID],FME_Input[STRUCT_100])</f>
        <v>776</v>
      </c>
      <c r="I460" s="64" t="e">
        <f>FME_Ranking2[[#This Row],[Raw Data3]]*H$4</f>
        <v>#REF!</v>
      </c>
      <c r="J460" s="63">
        <f>((FME_Ranking_Option2!$H460)/($H$3))*100</f>
        <v>8.623477417268513E-2</v>
      </c>
      <c r="K460" s="36" t="e">
        <f>FME_Ranking2[[#This Row],[Norm Data3]]*H$4</f>
        <v>#REF!</v>
      </c>
      <c r="L460" s="37">
        <f>_xlfn.XLOOKUP(FME_Ranking2[[#This Row],[FME ID]],FME_Input[FME_ID],FME_Input[RES_STRUCT100])</f>
        <v>521</v>
      </c>
      <c r="M460" s="38" t="e">
        <f>FME_Ranking2[[#This Row],[Raw Data4]]*L$4</f>
        <v>#REF!</v>
      </c>
      <c r="N460" s="28">
        <f>((FME_Ranking_Option2!$L460)/($L$3))*100</f>
        <v>7.7891051200284653E-2</v>
      </c>
      <c r="O460" s="39" t="e">
        <f>FME_Ranking2[[#This Row],[Norm Data4]]*L$4</f>
        <v>#REF!</v>
      </c>
      <c r="P460" s="34">
        <f>_xlfn.XLOOKUP(FME_Ranking2[[#This Row],[FME ID]],FME_Input[FME_ID],FME_Input[POP100])</f>
        <v>2432</v>
      </c>
      <c r="Q460" s="35" t="e">
        <f>FME_Ranking_Option2!$P460*P$4</f>
        <v>#REF!</v>
      </c>
      <c r="R460" s="35">
        <f>FME_Ranking_Option2!$P460/($P$3)</f>
        <v>8.9259564022816978E-4</v>
      </c>
      <c r="S460" s="35" t="e">
        <f>FME_Ranking_Option2!$R460*P$4</f>
        <v>#REF!</v>
      </c>
      <c r="T460" s="37">
        <f>_xlfn.XLOOKUP(FME_Ranking2[[#This Row],[FME ID]],FME_Input[FME_ID],FME_Input[CRITFAC100])</f>
        <v>3</v>
      </c>
      <c r="U460" s="35" t="e">
        <f>FME_Ranking_Option2!$T460*T$4</f>
        <v>#REF!</v>
      </c>
      <c r="V460" s="35">
        <f>FME_Ranking_Option2!$T460/($T$3)</f>
        <v>4.2307149908334509E-4</v>
      </c>
      <c r="W460" s="35" t="e">
        <f>FME_Ranking_Option2!$V460*T$4</f>
        <v>#REF!</v>
      </c>
      <c r="X460" s="37">
        <f>_xlfn.XLOOKUP(FME_Ranking2[[#This Row],[FME ID]],FME_Input[FME_ID],FME_Input[LWC])</f>
        <v>9</v>
      </c>
      <c r="Y460" s="35" t="e">
        <f>FME_Ranking_Option2!$X460*X$4</f>
        <v>#REF!</v>
      </c>
      <c r="Z460" s="35">
        <f>FME_Ranking_Option2!$X460/($X$3)</f>
        <v>8.2101806239737272E-4</v>
      </c>
      <c r="AA460" s="35" t="e">
        <f>FME_Ranking_Option2!$Z460*X$4</f>
        <v>#REF!</v>
      </c>
      <c r="AB460" s="37">
        <f>_xlfn.XLOOKUP(FME_Ranking2[[#This Row],[FME ID]],FME_Input[FME_ID],FME_Input[ROADCLS])</f>
        <v>0</v>
      </c>
      <c r="AC460" s="35" t="e">
        <f>FME_Ranking_Option2!$AB460*AB$4</f>
        <v>#REF!</v>
      </c>
      <c r="AD460" s="40">
        <f>_xlfn.XLOOKUP(FME_Ranking2[[#This Row],[FME ID]],FME_Input[FME_ID],FME_Input[ROAD_MILES100])</f>
        <v>0.1030892580747604</v>
      </c>
      <c r="AE460" s="41" t="e">
        <f>FME_Ranking_Option2!$AD460*AD$4</f>
        <v>#REF!</v>
      </c>
      <c r="AF460" s="42">
        <f>FME_Ranking_Option2!$AD460/($AD$3)</f>
        <v>2.3285062369080811E-6</v>
      </c>
      <c r="AG460" s="42" t="e">
        <f>FME_Ranking_Option2!$AF460*AD$4</f>
        <v>#REF!</v>
      </c>
      <c r="AH460" s="40">
        <f>_xlfn.XLOOKUP(FME_Ranking2[[#This Row],[FME ID]],FME_Input[FME_ID],FME_Input[FARMACRE100])</f>
        <v>37405.83984375</v>
      </c>
      <c r="AI460" s="43" t="e">
        <f>FME_Ranking_Option2!$AH460*AH$4</f>
        <v>#REF!</v>
      </c>
      <c r="AJ460" s="41">
        <f>FME_Ranking_Option2!$AH460/($AH$3)</f>
        <v>2.172005240088144</v>
      </c>
      <c r="AK460" s="44" t="e">
        <f>FME_Ranking_Option2!$AJ460*AH$4</f>
        <v>#REF!</v>
      </c>
      <c r="AL460"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60" s="58" t="e">
        <f>_xlfn.RANK.EQ(AL460,$AL$7:$AL$531)+COUNTIF(AL$7:AL460,AL460)-1</f>
        <v>#REF!</v>
      </c>
      <c r="AN460" s="44"/>
      <c r="AO460" s="58" t="e">
        <f>_xlfn.RANK.EQ(AN460,$AN$7:$AN$531)+COUNTIF(AN$7:AN460,AN460)-1</f>
        <v>#N/A</v>
      </c>
      <c r="AP46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60" s="32" t="e">
        <f>FME_Ranking2[[#This Row],[Score Based on Reported Factors]]-FME_Ranking2[[#This Row],[Check]]</f>
        <v>#REF!</v>
      </c>
      <c r="AR460" s="32"/>
    </row>
    <row r="461" spans="1:55" ht="12" customHeight="1" x14ac:dyDescent="0.25">
      <c r="A461" s="16" t="s">
        <v>560</v>
      </c>
      <c r="B461" s="16" t="str">
        <f>_xlfn.XLOOKUP(FME_Ranking2[[#This Row],[FME ID]],FME_Input[FME_ID],FME_Input[FME_NAME])</f>
        <v>Harden County Buildings, Critical Infrastructure, and Government Buildings</v>
      </c>
      <c r="C461" s="16" t="str">
        <f>_xlfn.XLOOKUP(FME_Ranking2[[#This Row],[FME ID]],FME_Input[FME_ID],FME_Input[DESCR])</f>
        <v>Harden county buildings, critical infrastructure, and government buildings</v>
      </c>
      <c r="D461" s="46" t="str">
        <f>_xlfn.XLOOKUP(FME_Ranking2[[#This Row],[FME ID]],FME_Input[FME_ID],FME_Input[EMER_NEED])</f>
        <v>No</v>
      </c>
      <c r="E461" s="121">
        <f>IF(FME_Ranking_Option2!$D461="Yes",100,0)</f>
        <v>0</v>
      </c>
      <c r="F461" s="47" t="str">
        <f>_xlfn.XLOOKUP(FME_Ranking2[[#This Row],[FME ID]],FME_Input[FME_ID],FME_Input[FUND])</f>
        <v>No</v>
      </c>
      <c r="G461" s="48">
        <f>IF(FME_Ranking_Option2!$F461="Yes",1,0)</f>
        <v>0</v>
      </c>
      <c r="H461" s="46">
        <f>_xlfn.XLOOKUP(FME_Ranking2[[#This Row],[FME ID]],FME_Input[FME_ID],FME_Input[STRUCT_100])</f>
        <v>776</v>
      </c>
      <c r="I461" s="65" t="e">
        <f>FME_Ranking2[[#This Row],[Raw Data3]]*H$4</f>
        <v>#REF!</v>
      </c>
      <c r="J461" s="62">
        <f>((FME_Ranking_Option2!$H461)/($H$3))*100</f>
        <v>8.623477417268513E-2</v>
      </c>
      <c r="K461" s="49" t="e">
        <f>FME_Ranking2[[#This Row],[Norm Data3]]*H$4</f>
        <v>#REF!</v>
      </c>
      <c r="L461" s="50">
        <f>_xlfn.XLOOKUP(FME_Ranking2[[#This Row],[FME ID]],FME_Input[FME_ID],FME_Input[RES_STRUCT100])</f>
        <v>521</v>
      </c>
      <c r="M461" s="51" t="e">
        <f>FME_Ranking2[[#This Row],[Raw Data4]]*L$4</f>
        <v>#REF!</v>
      </c>
      <c r="N461" s="29">
        <f>((FME_Ranking_Option2!$L461)/($L$3))*100</f>
        <v>7.7891051200284653E-2</v>
      </c>
      <c r="O461" s="52" t="e">
        <f>FME_Ranking2[[#This Row],[Norm Data4]]*L$4</f>
        <v>#REF!</v>
      </c>
      <c r="P461" s="47">
        <f>_xlfn.XLOOKUP(FME_Ranking2[[#This Row],[FME ID]],FME_Input[FME_ID],FME_Input[POP100])</f>
        <v>2432</v>
      </c>
      <c r="Q461" s="48" t="e">
        <f>FME_Ranking_Option2!$P461*P$4</f>
        <v>#REF!</v>
      </c>
      <c r="R461" s="48">
        <f>FME_Ranking_Option2!$P461/($P$3)</f>
        <v>8.9259564022816978E-4</v>
      </c>
      <c r="S461" s="48" t="e">
        <f>FME_Ranking_Option2!$R461*P$4</f>
        <v>#REF!</v>
      </c>
      <c r="T461" s="50">
        <f>_xlfn.XLOOKUP(FME_Ranking2[[#This Row],[FME ID]],FME_Input[FME_ID],FME_Input[CRITFAC100])</f>
        <v>3</v>
      </c>
      <c r="U461" s="48" t="e">
        <f>FME_Ranking_Option2!$T461*T$4</f>
        <v>#REF!</v>
      </c>
      <c r="V461" s="48">
        <f>FME_Ranking_Option2!$T461/($T$3)</f>
        <v>4.2307149908334509E-4</v>
      </c>
      <c r="W461" s="48" t="e">
        <f>FME_Ranking_Option2!$V461*T$4</f>
        <v>#REF!</v>
      </c>
      <c r="X461" s="50">
        <f>_xlfn.XLOOKUP(FME_Ranking2[[#This Row],[FME ID]],FME_Input[FME_ID],FME_Input[LWC])</f>
        <v>9</v>
      </c>
      <c r="Y461" s="48" t="e">
        <f>FME_Ranking_Option2!$X461*X$4</f>
        <v>#REF!</v>
      </c>
      <c r="Z461" s="48">
        <f>FME_Ranking_Option2!$X461/($X$3)</f>
        <v>8.2101806239737272E-4</v>
      </c>
      <c r="AA461" s="48" t="e">
        <f>FME_Ranking_Option2!$Z461*X$4</f>
        <v>#REF!</v>
      </c>
      <c r="AB461" s="50">
        <f>_xlfn.XLOOKUP(FME_Ranking2[[#This Row],[FME ID]],FME_Input[FME_ID],FME_Input[ROADCLS])</f>
        <v>0</v>
      </c>
      <c r="AC461" s="48" t="e">
        <f>FME_Ranking_Option2!$AB461*AB$4</f>
        <v>#REF!</v>
      </c>
      <c r="AD461" s="53">
        <f>_xlfn.XLOOKUP(FME_Ranking2[[#This Row],[FME ID]],FME_Input[FME_ID],FME_Input[ROAD_MILES100])</f>
        <v>0.1030892580747604</v>
      </c>
      <c r="AE461" s="54" t="e">
        <f>FME_Ranking_Option2!$AD461*AD$4</f>
        <v>#REF!</v>
      </c>
      <c r="AF461" s="55">
        <f>FME_Ranking_Option2!$AD461/($AD$3)</f>
        <v>2.3285062369080811E-6</v>
      </c>
      <c r="AG461" s="55" t="e">
        <f>FME_Ranking_Option2!$AF461*AD$4</f>
        <v>#REF!</v>
      </c>
      <c r="AH461" s="53">
        <f>_xlfn.XLOOKUP(FME_Ranking2[[#This Row],[FME ID]],FME_Input[FME_ID],FME_Input[FARMACRE100])</f>
        <v>37405.83984375</v>
      </c>
      <c r="AI461" s="54" t="e">
        <f>FME_Ranking_Option2!$AH461*AH$4</f>
        <v>#REF!</v>
      </c>
      <c r="AJ461" s="56">
        <f>FME_Ranking_Option2!$AH461/($AH$3)</f>
        <v>2.172005240088144</v>
      </c>
      <c r="AK461" s="57" t="e">
        <f>FME_Ranking_Option2!$AJ461*AH$4</f>
        <v>#REF!</v>
      </c>
      <c r="AL461"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61" s="45" t="e">
        <f>_xlfn.RANK.EQ(AL461,$AL$7:$AL$531)+COUNTIF(AL$7:AL461,AL461)-1</f>
        <v>#REF!</v>
      </c>
      <c r="AN461" s="57"/>
      <c r="AO461" s="45" t="e">
        <f>_xlfn.RANK.EQ(AN461,$AN$7:$AN$531)+COUNTIF(AN$7:AN461,AN461)-1</f>
        <v>#N/A</v>
      </c>
      <c r="AP46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61" s="32" t="e">
        <f>FME_Ranking2[[#This Row],[Score Based on Reported Factors]]-FME_Ranking2[[#This Row],[Check]]</f>
        <v>#REF!</v>
      </c>
      <c r="AR461" s="32"/>
      <c r="AT461" s="19"/>
      <c r="AU461" s="19"/>
      <c r="AV461" s="19"/>
      <c r="AW461" s="19"/>
      <c r="AX461" s="19"/>
      <c r="AY461" s="19"/>
      <c r="AZ461" s="19"/>
      <c r="BA461" s="19"/>
      <c r="BB461" s="19"/>
      <c r="BC461" s="19"/>
    </row>
    <row r="462" spans="1:55" ht="12" customHeight="1" x14ac:dyDescent="0.25">
      <c r="A462" s="17" t="s">
        <v>563</v>
      </c>
      <c r="B462" s="17" t="str">
        <f>_xlfn.XLOOKUP(FME_Ranking2[[#This Row],[FME ID]],FME_Input[FME_ID],FME_Input[FME_NAME])</f>
        <v>Tres Palacios, Blue Creek, East Mustang Creek</v>
      </c>
      <c r="C462" s="17" t="str">
        <f>_xlfn.XLOOKUP(FME_Ranking2[[#This Row],[FME ID]],FME_Input[FME_ID],FME_Input[DESCR])</f>
        <v>Construct regional detention/retention ponds</v>
      </c>
      <c r="D462" s="33" t="str">
        <f>_xlfn.XLOOKUP(FME_Ranking2[[#This Row],[FME ID]],FME_Input[FME_ID],FME_Input[EMER_NEED])</f>
        <v>No</v>
      </c>
      <c r="E462" s="120">
        <f>IF(FME_Ranking_Option2!$D462="Yes",100,0)</f>
        <v>0</v>
      </c>
      <c r="F462" s="34" t="str">
        <f>_xlfn.XLOOKUP(FME_Ranking2[[#This Row],[FME ID]],FME_Input[FME_ID],FME_Input[FUND])</f>
        <v>No</v>
      </c>
      <c r="G462" s="35">
        <f>IF(FME_Ranking_Option2!$F462="Yes",1,0)</f>
        <v>0</v>
      </c>
      <c r="H462" s="33">
        <f>_xlfn.XLOOKUP(FME_Ranking2[[#This Row],[FME ID]],FME_Input[FME_ID],FME_Input[STRUCT_100])</f>
        <v>1589</v>
      </c>
      <c r="I462" s="64" t="e">
        <f>FME_Ranking2[[#This Row],[Raw Data3]]*H$4</f>
        <v>#REF!</v>
      </c>
      <c r="J462" s="63">
        <f>((FME_Ranking_Option2!$H462)/($H$3))*100</f>
        <v>0.17658125793865551</v>
      </c>
      <c r="K462" s="36" t="e">
        <f>FME_Ranking2[[#This Row],[Norm Data3]]*H$4</f>
        <v>#REF!</v>
      </c>
      <c r="L462" s="37">
        <f>_xlfn.XLOOKUP(FME_Ranking2[[#This Row],[FME ID]],FME_Input[FME_ID],FME_Input[RES_STRUCT100])</f>
        <v>1139</v>
      </c>
      <c r="M462" s="38" t="e">
        <f>FME_Ranking2[[#This Row],[Raw Data4]]*L$4</f>
        <v>#REF!</v>
      </c>
      <c r="N462" s="28">
        <f>((FME_Ranking_Option2!$L462)/($L$3))*100</f>
        <v>0.17028389120369333</v>
      </c>
      <c r="O462" s="39" t="e">
        <f>FME_Ranking2[[#This Row],[Norm Data4]]*L$4</f>
        <v>#REF!</v>
      </c>
      <c r="P462" s="34">
        <f>_xlfn.XLOOKUP(FME_Ranking2[[#This Row],[FME ID]],FME_Input[FME_ID],FME_Input[POP100])</f>
        <v>4199</v>
      </c>
      <c r="Q462" s="35" t="e">
        <f>FME_Ranking_Option2!$P462*P$4</f>
        <v>#REF!</v>
      </c>
      <c r="R462" s="35">
        <f>FME_Ranking_Option2!$P462/($P$3)</f>
        <v>1.5411221600814494E-3</v>
      </c>
      <c r="S462" s="35" t="e">
        <f>FME_Ranking_Option2!$R462*P$4</f>
        <v>#REF!</v>
      </c>
      <c r="T462" s="37">
        <f>_xlfn.XLOOKUP(FME_Ranking2[[#This Row],[FME ID]],FME_Input[FME_ID],FME_Input[CRITFAC100])</f>
        <v>1</v>
      </c>
      <c r="U462" s="35" t="e">
        <f>FME_Ranking_Option2!$T462*T$4</f>
        <v>#REF!</v>
      </c>
      <c r="V462" s="35">
        <f>FME_Ranking_Option2!$T462/($T$3)</f>
        <v>1.4102383302778171E-4</v>
      </c>
      <c r="W462" s="35" t="e">
        <f>FME_Ranking_Option2!$V462*T$4</f>
        <v>#REF!</v>
      </c>
      <c r="X462" s="37">
        <f>_xlfn.XLOOKUP(FME_Ranking2[[#This Row],[FME ID]],FME_Input[FME_ID],FME_Input[LWC])</f>
        <v>3</v>
      </c>
      <c r="Y462" s="35" t="e">
        <f>FME_Ranking_Option2!$X462*X$4</f>
        <v>#REF!</v>
      </c>
      <c r="Z462" s="35">
        <f>FME_Ranking_Option2!$X462/($X$3)</f>
        <v>2.7367268746579092E-4</v>
      </c>
      <c r="AA462" s="35" t="e">
        <f>FME_Ranking_Option2!$Z462*X$4</f>
        <v>#REF!</v>
      </c>
      <c r="AB462" s="37">
        <f>_xlfn.XLOOKUP(FME_Ranking2[[#This Row],[FME ID]],FME_Input[FME_ID],FME_Input[ROADCLS])</f>
        <v>0</v>
      </c>
      <c r="AC462" s="35" t="e">
        <f>FME_Ranking_Option2!$AB462*AB$4</f>
        <v>#REF!</v>
      </c>
      <c r="AD462" s="40">
        <f>_xlfn.XLOOKUP(FME_Ranking2[[#This Row],[FME ID]],FME_Input[FME_ID],FME_Input[ROAD_MILES100])</f>
        <v>34.717891693115227</v>
      </c>
      <c r="AE462" s="41" t="e">
        <f>FME_Ranking_Option2!$AD462*AD$4</f>
        <v>#REF!</v>
      </c>
      <c r="AF462" s="42">
        <f>FME_Ranking_Option2!$AD462/($AD$3)</f>
        <v>7.8418284164090348E-4</v>
      </c>
      <c r="AG462" s="42" t="e">
        <f>FME_Ranking_Option2!$AF462*AD$4</f>
        <v>#REF!</v>
      </c>
      <c r="AH462" s="40">
        <f>_xlfn.XLOOKUP(FME_Ranking2[[#This Row],[FME ID]],FME_Input[FME_ID],FME_Input[FARMACRE100])</f>
        <v>873.98358154296875</v>
      </c>
      <c r="AI462" s="43" t="e">
        <f>FME_Ranking_Option2!$AH462*AH$4</f>
        <v>#REF!</v>
      </c>
      <c r="AJ462" s="41">
        <f>FME_Ranking_Option2!$AH462/($AH$3)</f>
        <v>5.0748677928147391E-2</v>
      </c>
      <c r="AK462" s="44" t="e">
        <f>FME_Ranking_Option2!$AJ462*AH$4</f>
        <v>#REF!</v>
      </c>
      <c r="AL462"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62" s="58" t="e">
        <f>_xlfn.RANK.EQ(AL462,$AL$7:$AL$531)+COUNTIF(AL$7:AL462,AL462)-1</f>
        <v>#REF!</v>
      </c>
      <c r="AN462" s="44"/>
      <c r="AO462" s="58" t="e">
        <f>_xlfn.RANK.EQ(AN462,$AN$7:$AN$531)+COUNTIF(AN$7:AN462,AN462)-1</f>
        <v>#N/A</v>
      </c>
      <c r="AP46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62" s="32" t="e">
        <f>FME_Ranking2[[#This Row],[Score Based on Reported Factors]]-FME_Ranking2[[#This Row],[Check]]</f>
        <v>#REF!</v>
      </c>
      <c r="AR462" s="32"/>
    </row>
    <row r="463" spans="1:55" ht="12" customHeight="1" x14ac:dyDescent="0.25">
      <c r="A463" s="16" t="s">
        <v>569</v>
      </c>
      <c r="B463" s="16" t="str">
        <f>_xlfn.XLOOKUP(FME_Ranking2[[#This Row],[FME ID]],FME_Input[FME_ID],FME_Input[FME_NAME])</f>
        <v>Use Digital Maps of All Hazards and Educate Residents</v>
      </c>
      <c r="C463" s="16" t="str">
        <f>_xlfn.XLOOKUP(FME_Ranking2[[#This Row],[FME ID]],FME_Input[FME_ID],FME_Input[DESCR])</f>
        <v>Use GIS mapping to overlay peoperties with known hazards; notifiy residents</v>
      </c>
      <c r="D463" s="46" t="str">
        <f>_xlfn.XLOOKUP(FME_Ranking2[[#This Row],[FME ID]],FME_Input[FME_ID],FME_Input[EMER_NEED])</f>
        <v>No</v>
      </c>
      <c r="E463" s="121">
        <f>IF(FME_Ranking_Option2!$D463="Yes",100,0)</f>
        <v>0</v>
      </c>
      <c r="F463" s="47" t="str">
        <f>_xlfn.XLOOKUP(FME_Ranking2[[#This Row],[FME ID]],FME_Input[FME_ID],FME_Input[FUND])</f>
        <v>No</v>
      </c>
      <c r="G463" s="48">
        <f>IF(FME_Ranking_Option2!$F463="Yes",1,0)</f>
        <v>0</v>
      </c>
      <c r="H463" s="46">
        <f>_xlfn.XLOOKUP(FME_Ranking2[[#This Row],[FME ID]],FME_Input[FME_ID],FME_Input[STRUCT_100])</f>
        <v>1589</v>
      </c>
      <c r="I463" s="65" t="e">
        <f>FME_Ranking2[[#This Row],[Raw Data3]]*H$4</f>
        <v>#REF!</v>
      </c>
      <c r="J463" s="62">
        <f>((FME_Ranking_Option2!$H463)/($H$3))*100</f>
        <v>0.17658125793865551</v>
      </c>
      <c r="K463" s="49" t="e">
        <f>FME_Ranking2[[#This Row],[Norm Data3]]*H$4</f>
        <v>#REF!</v>
      </c>
      <c r="L463" s="50">
        <f>_xlfn.XLOOKUP(FME_Ranking2[[#This Row],[FME ID]],FME_Input[FME_ID],FME_Input[RES_STRUCT100])</f>
        <v>1139</v>
      </c>
      <c r="M463" s="51" t="e">
        <f>FME_Ranking2[[#This Row],[Raw Data4]]*L$4</f>
        <v>#REF!</v>
      </c>
      <c r="N463" s="29">
        <f>((FME_Ranking_Option2!$L463)/($L$3))*100</f>
        <v>0.17028389120369333</v>
      </c>
      <c r="O463" s="52" t="e">
        <f>FME_Ranking2[[#This Row],[Norm Data4]]*L$4</f>
        <v>#REF!</v>
      </c>
      <c r="P463" s="47">
        <f>_xlfn.XLOOKUP(FME_Ranking2[[#This Row],[FME ID]],FME_Input[FME_ID],FME_Input[POP100])</f>
        <v>4199</v>
      </c>
      <c r="Q463" s="48" t="e">
        <f>FME_Ranking_Option2!$P463*P$4</f>
        <v>#REF!</v>
      </c>
      <c r="R463" s="48">
        <f>FME_Ranking_Option2!$P463/($P$3)</f>
        <v>1.5411221600814494E-3</v>
      </c>
      <c r="S463" s="48" t="e">
        <f>FME_Ranking_Option2!$R463*P$4</f>
        <v>#REF!</v>
      </c>
      <c r="T463" s="50">
        <f>_xlfn.XLOOKUP(FME_Ranking2[[#This Row],[FME ID]],FME_Input[FME_ID],FME_Input[CRITFAC100])</f>
        <v>1</v>
      </c>
      <c r="U463" s="48" t="e">
        <f>FME_Ranking_Option2!$T463*T$4</f>
        <v>#REF!</v>
      </c>
      <c r="V463" s="48">
        <f>FME_Ranking_Option2!$T463/($T$3)</f>
        <v>1.4102383302778171E-4</v>
      </c>
      <c r="W463" s="48" t="e">
        <f>FME_Ranking_Option2!$V463*T$4</f>
        <v>#REF!</v>
      </c>
      <c r="X463" s="50">
        <f>_xlfn.XLOOKUP(FME_Ranking2[[#This Row],[FME ID]],FME_Input[FME_ID],FME_Input[LWC])</f>
        <v>3</v>
      </c>
      <c r="Y463" s="48" t="e">
        <f>FME_Ranking_Option2!$X463*X$4</f>
        <v>#REF!</v>
      </c>
      <c r="Z463" s="48">
        <f>FME_Ranking_Option2!$X463/($X$3)</f>
        <v>2.7367268746579092E-4</v>
      </c>
      <c r="AA463" s="48" t="e">
        <f>FME_Ranking_Option2!$Z463*X$4</f>
        <v>#REF!</v>
      </c>
      <c r="AB463" s="50">
        <f>_xlfn.XLOOKUP(FME_Ranking2[[#This Row],[FME ID]],FME_Input[FME_ID],FME_Input[ROADCLS])</f>
        <v>0</v>
      </c>
      <c r="AC463" s="48" t="e">
        <f>FME_Ranking_Option2!$AB463*AB$4</f>
        <v>#REF!</v>
      </c>
      <c r="AD463" s="53">
        <f>_xlfn.XLOOKUP(FME_Ranking2[[#This Row],[FME ID]],FME_Input[FME_ID],FME_Input[ROAD_MILES100])</f>
        <v>34.717891693115227</v>
      </c>
      <c r="AE463" s="54" t="e">
        <f>FME_Ranking_Option2!$AD463*AD$4</f>
        <v>#REF!</v>
      </c>
      <c r="AF463" s="55">
        <f>FME_Ranking_Option2!$AD463/($AD$3)</f>
        <v>7.8418284164090348E-4</v>
      </c>
      <c r="AG463" s="55" t="e">
        <f>FME_Ranking_Option2!$AF463*AD$4</f>
        <v>#REF!</v>
      </c>
      <c r="AH463" s="53">
        <f>_xlfn.XLOOKUP(FME_Ranking2[[#This Row],[FME ID]],FME_Input[FME_ID],FME_Input[FARMACRE100])</f>
        <v>873.98358154296875</v>
      </c>
      <c r="AI463" s="54" t="e">
        <f>FME_Ranking_Option2!$AH463*AH$4</f>
        <v>#REF!</v>
      </c>
      <c r="AJ463" s="56">
        <f>FME_Ranking_Option2!$AH463/($AH$3)</f>
        <v>5.0748677928147391E-2</v>
      </c>
      <c r="AK463" s="57" t="e">
        <f>FME_Ranking_Option2!$AJ463*AH$4</f>
        <v>#REF!</v>
      </c>
      <c r="AL463"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63" s="45" t="e">
        <f>_xlfn.RANK.EQ(AL463,$AL$7:$AL$531)+COUNTIF(AL$7:AL463,AL463)-1</f>
        <v>#REF!</v>
      </c>
      <c r="AN463" s="57"/>
      <c r="AO463" s="45" t="e">
        <f>_xlfn.RANK.EQ(AN463,$AN$7:$AN$531)+COUNTIF(AN$7:AN463,AN463)-1</f>
        <v>#N/A</v>
      </c>
      <c r="AP46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63" s="32" t="e">
        <f>FME_Ranking2[[#This Row],[Score Based on Reported Factors]]-FME_Ranking2[[#This Row],[Check]]</f>
        <v>#REF!</v>
      </c>
      <c r="AR463" s="32"/>
      <c r="AT463" s="19"/>
      <c r="AU463" s="19"/>
      <c r="AV463" s="19"/>
      <c r="AW463" s="19"/>
      <c r="AX463" s="19"/>
      <c r="AY463" s="19"/>
      <c r="AZ463" s="19"/>
      <c r="BA463" s="19"/>
      <c r="BB463" s="19"/>
      <c r="BC463" s="19"/>
    </row>
    <row r="464" spans="1:55" ht="12" customHeight="1" x14ac:dyDescent="0.25">
      <c r="A464" s="17" t="s">
        <v>571</v>
      </c>
      <c r="B464" s="17" t="str">
        <f>_xlfn.XLOOKUP(FME_Ranking2[[#This Row],[FME ID]],FME_Input[FME_ID],FME_Input[FME_NAME])</f>
        <v>Pecan Street</v>
      </c>
      <c r="C464" s="17" t="str">
        <f>_xlfn.XLOOKUP(FME_Ranking2[[#This Row],[FME ID]],FME_Input[FME_ID],FME_Input[DESCR])</f>
        <v>Install larger storm drainage</v>
      </c>
      <c r="D464" s="33" t="str">
        <f>_xlfn.XLOOKUP(FME_Ranking2[[#This Row],[FME ID]],FME_Input[FME_ID],FME_Input[EMER_NEED])</f>
        <v>No</v>
      </c>
      <c r="E464" s="120">
        <f>IF(FME_Ranking_Option2!$D464="Yes",100,0)</f>
        <v>0</v>
      </c>
      <c r="F464" s="34" t="str">
        <f>_xlfn.XLOOKUP(FME_Ranking2[[#This Row],[FME ID]],FME_Input[FME_ID],FME_Input[FUND])</f>
        <v>No</v>
      </c>
      <c r="G464" s="35">
        <f>IF(FME_Ranking_Option2!$F464="Yes",1,0)</f>
        <v>0</v>
      </c>
      <c r="H464" s="33">
        <f>_xlfn.XLOOKUP(FME_Ranking2[[#This Row],[FME ID]],FME_Input[FME_ID],FME_Input[STRUCT_100])</f>
        <v>0</v>
      </c>
      <c r="I464" s="64" t="e">
        <f>FME_Ranking2[[#This Row],[Raw Data3]]*H$4</f>
        <v>#REF!</v>
      </c>
      <c r="J464" s="63">
        <f>((FME_Ranking_Option2!$H464)/($H$3))*100</f>
        <v>0</v>
      </c>
      <c r="K464" s="36" t="e">
        <f>FME_Ranking2[[#This Row],[Norm Data3]]*H$4</f>
        <v>#REF!</v>
      </c>
      <c r="L464" s="37">
        <f>_xlfn.XLOOKUP(FME_Ranking2[[#This Row],[FME ID]],FME_Input[FME_ID],FME_Input[RES_STRUCT100])</f>
        <v>0</v>
      </c>
      <c r="M464" s="38" t="e">
        <f>FME_Ranking2[[#This Row],[Raw Data4]]*L$4</f>
        <v>#REF!</v>
      </c>
      <c r="N464" s="28">
        <f>((FME_Ranking_Option2!$L464)/($L$3))*100</f>
        <v>0</v>
      </c>
      <c r="O464" s="39" t="e">
        <f>FME_Ranking2[[#This Row],[Norm Data4]]*L$4</f>
        <v>#REF!</v>
      </c>
      <c r="P464" s="34">
        <f>_xlfn.XLOOKUP(FME_Ranking2[[#This Row],[FME ID]],FME_Input[FME_ID],FME_Input[POP100])</f>
        <v>0</v>
      </c>
      <c r="Q464" s="35" t="e">
        <f>FME_Ranking_Option2!$P464*P$4</f>
        <v>#REF!</v>
      </c>
      <c r="R464" s="35">
        <f>FME_Ranking_Option2!$P464/($P$3)</f>
        <v>0</v>
      </c>
      <c r="S464" s="35" t="e">
        <f>FME_Ranking_Option2!$R464*P$4</f>
        <v>#REF!</v>
      </c>
      <c r="T464" s="37">
        <f>_xlfn.XLOOKUP(FME_Ranking2[[#This Row],[FME ID]],FME_Input[FME_ID],FME_Input[CRITFAC100])</f>
        <v>0</v>
      </c>
      <c r="U464" s="35" t="e">
        <f>FME_Ranking_Option2!$T464*T$4</f>
        <v>#REF!</v>
      </c>
      <c r="V464" s="35">
        <f>FME_Ranking_Option2!$T464/($T$3)</f>
        <v>0</v>
      </c>
      <c r="W464" s="35" t="e">
        <f>FME_Ranking_Option2!$V464*T$4</f>
        <v>#REF!</v>
      </c>
      <c r="X464" s="37">
        <f>_xlfn.XLOOKUP(FME_Ranking2[[#This Row],[FME ID]],FME_Input[FME_ID],FME_Input[LWC])</f>
        <v>0</v>
      </c>
      <c r="Y464" s="35" t="e">
        <f>FME_Ranking_Option2!$X464*X$4</f>
        <v>#REF!</v>
      </c>
      <c r="Z464" s="35">
        <f>FME_Ranking_Option2!$X464/($X$3)</f>
        <v>0</v>
      </c>
      <c r="AA464" s="35" t="e">
        <f>FME_Ranking_Option2!$Z464*X$4</f>
        <v>#REF!</v>
      </c>
      <c r="AB464" s="37">
        <f>_xlfn.XLOOKUP(FME_Ranking2[[#This Row],[FME ID]],FME_Input[FME_ID],FME_Input[ROADCLS])</f>
        <v>0</v>
      </c>
      <c r="AC464" s="35" t="e">
        <f>FME_Ranking_Option2!$AB464*AB$4</f>
        <v>#REF!</v>
      </c>
      <c r="AD464" s="40">
        <f>_xlfn.XLOOKUP(FME_Ranking2[[#This Row],[FME ID]],FME_Input[FME_ID],FME_Input[ROAD_MILES100])</f>
        <v>0</v>
      </c>
      <c r="AE464" s="41" t="e">
        <f>FME_Ranking_Option2!$AD464*AD$4</f>
        <v>#REF!</v>
      </c>
      <c r="AF464" s="42">
        <f>FME_Ranking_Option2!$AD464/($AD$3)</f>
        <v>0</v>
      </c>
      <c r="AG464" s="42" t="e">
        <f>FME_Ranking_Option2!$AF464*AD$4</f>
        <v>#REF!</v>
      </c>
      <c r="AH464" s="40">
        <f>_xlfn.XLOOKUP(FME_Ranking2[[#This Row],[FME ID]],FME_Input[FME_ID],FME_Input[FARMACRE100])</f>
        <v>0</v>
      </c>
      <c r="AI464" s="43" t="e">
        <f>FME_Ranking_Option2!$AH464*AH$4</f>
        <v>#REF!</v>
      </c>
      <c r="AJ464" s="41">
        <f>FME_Ranking_Option2!$AH464/($AH$3)</f>
        <v>0</v>
      </c>
      <c r="AK464" s="44" t="e">
        <f>FME_Ranking_Option2!$AJ464*AH$4</f>
        <v>#REF!</v>
      </c>
      <c r="AL464"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64" s="58" t="e">
        <f>_xlfn.RANK.EQ(AL464,$AL$7:$AL$531)+COUNTIF(AL$7:AL464,AL464)-1</f>
        <v>#REF!</v>
      </c>
      <c r="AN464" s="44"/>
      <c r="AO464" s="58" t="e">
        <f>_xlfn.RANK.EQ(AN464,$AN$7:$AN$531)+COUNTIF(AN$7:AN464,AN464)-1</f>
        <v>#N/A</v>
      </c>
      <c r="AP46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64" s="32" t="e">
        <f>FME_Ranking2[[#This Row],[Score Based on Reported Factors]]-FME_Ranking2[[#This Row],[Check]]</f>
        <v>#REF!</v>
      </c>
      <c r="AR464" s="32"/>
    </row>
    <row r="465" spans="1:55" ht="12" customHeight="1" x14ac:dyDescent="0.25">
      <c r="A465" s="16" t="s">
        <v>574</v>
      </c>
      <c r="B465" s="16" t="str">
        <f>_xlfn.XLOOKUP(FME_Ranking2[[#This Row],[FME ID]],FME_Input[FME_ID],FME_Input[FME_NAME])</f>
        <v>Town &amp; Country Drive</v>
      </c>
      <c r="C465" s="16" t="str">
        <f>_xlfn.XLOOKUP(FME_Ranking2[[#This Row],[FME ID]],FME_Input[FME_ID],FME_Input[DESCR])</f>
        <v>Install largre storm drainage</v>
      </c>
      <c r="D465" s="46" t="str">
        <f>_xlfn.XLOOKUP(FME_Ranking2[[#This Row],[FME ID]],FME_Input[FME_ID],FME_Input[EMER_NEED])</f>
        <v>No</v>
      </c>
      <c r="E465" s="121">
        <f>IF(FME_Ranking_Option2!$D465="Yes",100,0)</f>
        <v>0</v>
      </c>
      <c r="F465" s="47" t="str">
        <f>_xlfn.XLOOKUP(FME_Ranking2[[#This Row],[FME ID]],FME_Input[FME_ID],FME_Input[FUND])</f>
        <v>No</v>
      </c>
      <c r="G465" s="48">
        <f>IF(FME_Ranking_Option2!$F465="Yes",1,0)</f>
        <v>0</v>
      </c>
      <c r="H465" s="46">
        <f>_xlfn.XLOOKUP(FME_Ranking2[[#This Row],[FME ID]],FME_Input[FME_ID],FME_Input[STRUCT_100])</f>
        <v>0</v>
      </c>
      <c r="I465" s="65" t="e">
        <f>FME_Ranking2[[#This Row],[Raw Data3]]*H$4</f>
        <v>#REF!</v>
      </c>
      <c r="J465" s="62">
        <f>((FME_Ranking_Option2!$H465)/($H$3))*100</f>
        <v>0</v>
      </c>
      <c r="K465" s="49" t="e">
        <f>FME_Ranking2[[#This Row],[Norm Data3]]*H$4</f>
        <v>#REF!</v>
      </c>
      <c r="L465" s="50">
        <f>_xlfn.XLOOKUP(FME_Ranking2[[#This Row],[FME ID]],FME_Input[FME_ID],FME_Input[RES_STRUCT100])</f>
        <v>0</v>
      </c>
      <c r="M465" s="51" t="e">
        <f>FME_Ranking2[[#This Row],[Raw Data4]]*L$4</f>
        <v>#REF!</v>
      </c>
      <c r="N465" s="29">
        <f>((FME_Ranking_Option2!$L465)/($L$3))*100</f>
        <v>0</v>
      </c>
      <c r="O465" s="52" t="e">
        <f>FME_Ranking2[[#This Row],[Norm Data4]]*L$4</f>
        <v>#REF!</v>
      </c>
      <c r="P465" s="47">
        <f>_xlfn.XLOOKUP(FME_Ranking2[[#This Row],[FME ID]],FME_Input[FME_ID],FME_Input[POP100])</f>
        <v>0</v>
      </c>
      <c r="Q465" s="48" t="e">
        <f>FME_Ranking_Option2!$P465*P$4</f>
        <v>#REF!</v>
      </c>
      <c r="R465" s="48">
        <f>FME_Ranking_Option2!$P465/($P$3)</f>
        <v>0</v>
      </c>
      <c r="S465" s="48" t="e">
        <f>FME_Ranking_Option2!$R465*P$4</f>
        <v>#REF!</v>
      </c>
      <c r="T465" s="50">
        <f>_xlfn.XLOOKUP(FME_Ranking2[[#This Row],[FME ID]],FME_Input[FME_ID],FME_Input[CRITFAC100])</f>
        <v>0</v>
      </c>
      <c r="U465" s="48" t="e">
        <f>FME_Ranking_Option2!$T465*T$4</f>
        <v>#REF!</v>
      </c>
      <c r="V465" s="48">
        <f>FME_Ranking_Option2!$T465/($T$3)</f>
        <v>0</v>
      </c>
      <c r="W465" s="48" t="e">
        <f>FME_Ranking_Option2!$V465*T$4</f>
        <v>#REF!</v>
      </c>
      <c r="X465" s="50">
        <f>_xlfn.XLOOKUP(FME_Ranking2[[#This Row],[FME ID]],FME_Input[FME_ID],FME_Input[LWC])</f>
        <v>0</v>
      </c>
      <c r="Y465" s="48" t="e">
        <f>FME_Ranking_Option2!$X465*X$4</f>
        <v>#REF!</v>
      </c>
      <c r="Z465" s="48">
        <f>FME_Ranking_Option2!$X465/($X$3)</f>
        <v>0</v>
      </c>
      <c r="AA465" s="48" t="e">
        <f>FME_Ranking_Option2!$Z465*X$4</f>
        <v>#REF!</v>
      </c>
      <c r="AB465" s="50">
        <f>_xlfn.XLOOKUP(FME_Ranking2[[#This Row],[FME ID]],FME_Input[FME_ID],FME_Input[ROADCLS])</f>
        <v>0</v>
      </c>
      <c r="AC465" s="48" t="e">
        <f>FME_Ranking_Option2!$AB465*AB$4</f>
        <v>#REF!</v>
      </c>
      <c r="AD465" s="53">
        <f>_xlfn.XLOOKUP(FME_Ranking2[[#This Row],[FME ID]],FME_Input[FME_ID],FME_Input[ROAD_MILES100])</f>
        <v>0</v>
      </c>
      <c r="AE465" s="54" t="e">
        <f>FME_Ranking_Option2!$AD465*AD$4</f>
        <v>#REF!</v>
      </c>
      <c r="AF465" s="55">
        <f>FME_Ranking_Option2!$AD465/($AD$3)</f>
        <v>0</v>
      </c>
      <c r="AG465" s="55" t="e">
        <f>FME_Ranking_Option2!$AF465*AD$4</f>
        <v>#REF!</v>
      </c>
      <c r="AH465" s="53">
        <f>_xlfn.XLOOKUP(FME_Ranking2[[#This Row],[FME ID]],FME_Input[FME_ID],FME_Input[FARMACRE100])</f>
        <v>0</v>
      </c>
      <c r="AI465" s="54" t="e">
        <f>FME_Ranking_Option2!$AH465*AH$4</f>
        <v>#REF!</v>
      </c>
      <c r="AJ465" s="56">
        <f>FME_Ranking_Option2!$AH465/($AH$3)</f>
        <v>0</v>
      </c>
      <c r="AK465" s="57" t="e">
        <f>FME_Ranking_Option2!$AJ465*AH$4</f>
        <v>#REF!</v>
      </c>
      <c r="AL465"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65" s="45" t="e">
        <f>_xlfn.RANK.EQ(AL465,$AL$7:$AL$531)+COUNTIF(AL$7:AL465,AL465)-1</f>
        <v>#REF!</v>
      </c>
      <c r="AN465" s="57"/>
      <c r="AO465" s="45" t="e">
        <f>_xlfn.RANK.EQ(AN465,$AN$7:$AN$531)+COUNTIF(AN$7:AN465,AN465)-1</f>
        <v>#N/A</v>
      </c>
      <c r="AP46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65" s="32" t="e">
        <f>FME_Ranking2[[#This Row],[Score Based on Reported Factors]]-FME_Ranking2[[#This Row],[Check]]</f>
        <v>#REF!</v>
      </c>
      <c r="AR465" s="32"/>
      <c r="AT465" s="19"/>
      <c r="AU465" s="19"/>
      <c r="AV465" s="19"/>
      <c r="AW465" s="19"/>
      <c r="AX465" s="19"/>
      <c r="AY465" s="19"/>
      <c r="AZ465" s="19"/>
      <c r="BA465" s="19"/>
      <c r="BB465" s="19"/>
      <c r="BC465" s="19"/>
    </row>
    <row r="466" spans="1:55" ht="12" customHeight="1" x14ac:dyDescent="0.25">
      <c r="A466" s="17" t="s">
        <v>131</v>
      </c>
      <c r="B466" s="17" t="str">
        <f>_xlfn.XLOOKUP(FME_Ranking2[[#This Row],[FME ID]],FME_Input[FME_ID],FME_Input[FME_NAME])</f>
        <v xml:space="preserve">Piney Creek Benching_x000D_
</v>
      </c>
      <c r="C466" s="17" t="str">
        <f>_xlfn.XLOOKUP(FME_Ranking2[[#This Row],[FME ID]],FME_Input[FME_ID],FME_Input[DESCR])</f>
        <v>4,430 LF channel benching</v>
      </c>
      <c r="D466" s="33" t="str">
        <f>_xlfn.XLOOKUP(FME_Ranking2[[#This Row],[FME ID]],FME_Input[FME_ID],FME_Input[EMER_NEED])</f>
        <v>No</v>
      </c>
      <c r="E466" s="120">
        <f>IF(FME_Ranking_Option2!$D466="Yes",100,0)</f>
        <v>0</v>
      </c>
      <c r="F466" s="34" t="str">
        <f>_xlfn.XLOOKUP(FME_Ranking2[[#This Row],[FME ID]],FME_Input[FME_ID],FME_Input[FUND])</f>
        <v>No</v>
      </c>
      <c r="G466" s="35">
        <f>IF(FME_Ranking_Option2!$F466="Yes",1,0)</f>
        <v>0</v>
      </c>
      <c r="H466" s="33">
        <f>_xlfn.XLOOKUP(FME_Ranking2[[#This Row],[FME ID]],FME_Input[FME_ID],FME_Input[STRUCT_100])</f>
        <v>9</v>
      </c>
      <c r="I466" s="64" t="e">
        <f>FME_Ranking2[[#This Row],[Raw Data3]]*H$4</f>
        <v>#REF!</v>
      </c>
      <c r="J466" s="63">
        <f>((FME_Ranking_Option2!$H466)/($H$3))*100</f>
        <v>1.0001455767450597E-3</v>
      </c>
      <c r="K466" s="36" t="e">
        <f>FME_Ranking2[[#This Row],[Norm Data3]]*H$4</f>
        <v>#REF!</v>
      </c>
      <c r="L466" s="37">
        <f>_xlfn.XLOOKUP(FME_Ranking2[[#This Row],[FME ID]],FME_Input[FME_ID],FME_Input[RES_STRUCT100])</f>
        <v>5</v>
      </c>
      <c r="M466" s="38" t="e">
        <f>FME_Ranking2[[#This Row],[Raw Data4]]*L$4</f>
        <v>#REF!</v>
      </c>
      <c r="N466" s="28">
        <f>((FME_Ranking_Option2!$L466)/($L$3))*100</f>
        <v>7.4751488675896976E-4</v>
      </c>
      <c r="O466" s="39" t="e">
        <f>FME_Ranking2[[#This Row],[Norm Data4]]*L$4</f>
        <v>#REF!</v>
      </c>
      <c r="P466" s="34">
        <f>_xlfn.XLOOKUP(FME_Ranking2[[#This Row],[FME ID]],FME_Input[FME_ID],FME_Input[POP100])</f>
        <v>44</v>
      </c>
      <c r="Q466" s="35" t="e">
        <f>FME_Ranking_Option2!$P466*P$4</f>
        <v>#REF!</v>
      </c>
      <c r="R466" s="35">
        <f>FME_Ranking_Option2!$P466/($P$3)</f>
        <v>1.6148934280443861E-5</v>
      </c>
      <c r="S466" s="35" t="e">
        <f>FME_Ranking_Option2!$R466*P$4</f>
        <v>#REF!</v>
      </c>
      <c r="T466" s="37">
        <f>_xlfn.XLOOKUP(FME_Ranking2[[#This Row],[FME ID]],FME_Input[FME_ID],FME_Input[CRITFAC100])</f>
        <v>0</v>
      </c>
      <c r="U466" s="35" t="e">
        <f>FME_Ranking_Option2!$T466*T$4</f>
        <v>#REF!</v>
      </c>
      <c r="V466" s="35">
        <f>FME_Ranking_Option2!$T466/($T$3)</f>
        <v>0</v>
      </c>
      <c r="W466" s="35" t="e">
        <f>FME_Ranking_Option2!$V466*T$4</f>
        <v>#REF!</v>
      </c>
      <c r="X466" s="37">
        <f>_xlfn.XLOOKUP(FME_Ranking2[[#This Row],[FME ID]],FME_Input[FME_ID],FME_Input[LWC])</f>
        <v>1</v>
      </c>
      <c r="Y466" s="35" t="e">
        <f>FME_Ranking_Option2!$X466*X$4</f>
        <v>#REF!</v>
      </c>
      <c r="Z466" s="35">
        <f>FME_Ranking_Option2!$X466/($X$3)</f>
        <v>9.1224229155263632E-5</v>
      </c>
      <c r="AA466" s="35" t="e">
        <f>FME_Ranking_Option2!$Z466*X$4</f>
        <v>#REF!</v>
      </c>
      <c r="AB466" s="37">
        <f>_xlfn.XLOOKUP(FME_Ranking2[[#This Row],[FME ID]],FME_Input[FME_ID],FME_Input[ROADCLS])</f>
        <v>0</v>
      </c>
      <c r="AC466" s="35" t="e">
        <f>FME_Ranking_Option2!$AB466*AB$4</f>
        <v>#REF!</v>
      </c>
      <c r="AD466" s="40">
        <f>_xlfn.XLOOKUP(FME_Ranking2[[#This Row],[FME ID]],FME_Input[FME_ID],FME_Input[ROAD_MILES100])</f>
        <v>0.19196777045726779</v>
      </c>
      <c r="AE466" s="41" t="e">
        <f>FME_Ranking_Option2!$AD466*AD$4</f>
        <v>#REF!</v>
      </c>
      <c r="AF466" s="42">
        <f>FME_Ranking_Option2!$AD466/($AD$3)</f>
        <v>4.3360303405319257E-6</v>
      </c>
      <c r="AG466" s="42" t="e">
        <f>FME_Ranking_Option2!$AF466*AD$4</f>
        <v>#REF!</v>
      </c>
      <c r="AH466" s="40">
        <f>_xlfn.XLOOKUP(FME_Ranking2[[#This Row],[FME ID]],FME_Input[FME_ID],FME_Input[FARMACRE100])</f>
        <v>36.893760681152337</v>
      </c>
      <c r="AI466" s="43" t="e">
        <f>FME_Ranking_Option2!$AH466*AH$4</f>
        <v>#REF!</v>
      </c>
      <c r="AJ466" s="41">
        <f>FME_Ranking_Option2!$AH466/($AH$3)</f>
        <v>2.1422708823207993E-3</v>
      </c>
      <c r="AK466" s="44" t="e">
        <f>FME_Ranking_Option2!$AJ466*AH$4</f>
        <v>#REF!</v>
      </c>
      <c r="AL466"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66" s="58" t="e">
        <f>_xlfn.RANK.EQ(AL466,$AL$7:$AL$531)+COUNTIF(AL$7:AL466,AL466)-1</f>
        <v>#REF!</v>
      </c>
      <c r="AN466" s="44"/>
      <c r="AO466" s="58" t="e">
        <f>_xlfn.RANK.EQ(AN466,$AN$7:$AN$531)+COUNTIF(AN$7:AN466,AN466)-1</f>
        <v>#N/A</v>
      </c>
      <c r="AP46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66" s="32" t="e">
        <f>FME_Ranking2[[#This Row],[Score Based on Reported Factors]]-FME_Ranking2[[#This Row],[Check]]</f>
        <v>#REF!</v>
      </c>
      <c r="AR466" s="32"/>
    </row>
    <row r="467" spans="1:55" ht="12" customHeight="1" x14ac:dyDescent="0.25">
      <c r="A467" s="16" t="s">
        <v>134</v>
      </c>
      <c r="B467" s="16" t="str">
        <f>_xlfn.XLOOKUP(FME_Ranking2[[#This Row],[FME ID]],FME_Input[FME_ID],FME_Input[FME_NAME])</f>
        <v xml:space="preserve">Drainage System Improvements - JC Madison Addition_x000D_
</v>
      </c>
      <c r="C467" s="16" t="str">
        <f>_xlfn.XLOOKUP(FME_Ranking2[[#This Row],[FME ID]],FME_Input[FME_ID],FME_Input[DESCR])</f>
        <v>Drainage System Improvements - JC Madison Addition</v>
      </c>
      <c r="D467" s="46" t="str">
        <f>_xlfn.XLOOKUP(FME_Ranking2[[#This Row],[FME ID]],FME_Input[FME_ID],FME_Input[EMER_NEED])</f>
        <v>No</v>
      </c>
      <c r="E467" s="121">
        <f>IF(FME_Ranking_Option2!$D467="Yes",100,0)</f>
        <v>0</v>
      </c>
      <c r="F467" s="47" t="str">
        <f>_xlfn.XLOOKUP(FME_Ranking2[[#This Row],[FME ID]],FME_Input[FME_ID],FME_Input[FUND])</f>
        <v>No</v>
      </c>
      <c r="G467" s="48">
        <f>IF(FME_Ranking_Option2!$F467="Yes",1,0)</f>
        <v>0</v>
      </c>
      <c r="H467" s="46">
        <f>_xlfn.XLOOKUP(FME_Ranking2[[#This Row],[FME ID]],FME_Input[FME_ID],FME_Input[STRUCT_100])</f>
        <v>103</v>
      </c>
      <c r="I467" s="65" t="e">
        <f>FME_Ranking2[[#This Row],[Raw Data3]]*H$4</f>
        <v>#REF!</v>
      </c>
      <c r="J467" s="62">
        <f>((FME_Ranking_Option2!$H467)/($H$3))*100</f>
        <v>1.1446110489415681E-2</v>
      </c>
      <c r="K467" s="49" t="e">
        <f>FME_Ranking2[[#This Row],[Norm Data3]]*H$4</f>
        <v>#REF!</v>
      </c>
      <c r="L467" s="50">
        <f>_xlfn.XLOOKUP(FME_Ranking2[[#This Row],[FME ID]],FME_Input[FME_ID],FME_Input[RES_STRUCT100])</f>
        <v>78</v>
      </c>
      <c r="M467" s="51" t="e">
        <f>FME_Ranking2[[#This Row],[Raw Data4]]*L$4</f>
        <v>#REF!</v>
      </c>
      <c r="N467" s="29">
        <f>((FME_Ranking_Option2!$L467)/($L$3))*100</f>
        <v>1.1661232233439928E-2</v>
      </c>
      <c r="O467" s="52" t="e">
        <f>FME_Ranking2[[#This Row],[Norm Data4]]*L$4</f>
        <v>#REF!</v>
      </c>
      <c r="P467" s="47">
        <f>_xlfn.XLOOKUP(FME_Ranking2[[#This Row],[FME ID]],FME_Input[FME_ID],FME_Input[POP100])</f>
        <v>241</v>
      </c>
      <c r="Q467" s="48" t="e">
        <f>FME_Ranking_Option2!$P467*P$4</f>
        <v>#REF!</v>
      </c>
      <c r="R467" s="48">
        <f>FME_Ranking_Option2!$P467/($P$3)</f>
        <v>8.8452117308794785E-5</v>
      </c>
      <c r="S467" s="48" t="e">
        <f>FME_Ranking_Option2!$R467*P$4</f>
        <v>#REF!</v>
      </c>
      <c r="T467" s="50">
        <f>_xlfn.XLOOKUP(FME_Ranking2[[#This Row],[FME ID]],FME_Input[FME_ID],FME_Input[CRITFAC100])</f>
        <v>0</v>
      </c>
      <c r="U467" s="48" t="e">
        <f>FME_Ranking_Option2!$T467*T$4</f>
        <v>#REF!</v>
      </c>
      <c r="V467" s="48">
        <f>FME_Ranking_Option2!$T467/($T$3)</f>
        <v>0</v>
      </c>
      <c r="W467" s="48" t="e">
        <f>FME_Ranking_Option2!$V467*T$4</f>
        <v>#REF!</v>
      </c>
      <c r="X467" s="50">
        <f>_xlfn.XLOOKUP(FME_Ranking2[[#This Row],[FME ID]],FME_Input[FME_ID],FME_Input[LWC])</f>
        <v>0</v>
      </c>
      <c r="Y467" s="48" t="e">
        <f>FME_Ranking_Option2!$X467*X$4</f>
        <v>#REF!</v>
      </c>
      <c r="Z467" s="48">
        <f>FME_Ranking_Option2!$X467/($X$3)</f>
        <v>0</v>
      </c>
      <c r="AA467" s="48" t="e">
        <f>FME_Ranking_Option2!$Z467*X$4</f>
        <v>#REF!</v>
      </c>
      <c r="AB467" s="50">
        <f>_xlfn.XLOOKUP(FME_Ranking2[[#This Row],[FME ID]],FME_Input[FME_ID],FME_Input[ROADCLS])</f>
        <v>0</v>
      </c>
      <c r="AC467" s="48" t="e">
        <f>FME_Ranking_Option2!$AB467*AB$4</f>
        <v>#REF!</v>
      </c>
      <c r="AD467" s="53">
        <f>_xlfn.XLOOKUP(FME_Ranking2[[#This Row],[FME ID]],FME_Input[FME_ID],FME_Input[ROAD_MILES100])</f>
        <v>3.6772582530975342</v>
      </c>
      <c r="AE467" s="54" t="e">
        <f>FME_Ranking_Option2!$AD467*AD$4</f>
        <v>#REF!</v>
      </c>
      <c r="AF467" s="55">
        <f>FME_Ranking_Option2!$AD467/($AD$3)</f>
        <v>8.305927248840786E-5</v>
      </c>
      <c r="AG467" s="55" t="e">
        <f>FME_Ranking_Option2!$AF467*AD$4</f>
        <v>#REF!</v>
      </c>
      <c r="AH467" s="53">
        <f>_xlfn.XLOOKUP(FME_Ranking2[[#This Row],[FME ID]],FME_Input[FME_ID],FME_Input[FARMACRE100])</f>
        <v>5786.38037109375</v>
      </c>
      <c r="AI467" s="54" t="e">
        <f>FME_Ranking_Option2!$AH467*AH$4</f>
        <v>#REF!</v>
      </c>
      <c r="AJ467" s="56">
        <f>FME_Ranking_Option2!$AH467/($AH$3)</f>
        <v>0.33599161359984148</v>
      </c>
      <c r="AK467" s="57" t="e">
        <f>FME_Ranking_Option2!$AJ467*AH$4</f>
        <v>#REF!</v>
      </c>
      <c r="AL467"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67" s="45" t="e">
        <f>_xlfn.RANK.EQ(AL467,$AL$7:$AL$531)+COUNTIF(AL$7:AL467,AL467)-1</f>
        <v>#REF!</v>
      </c>
      <c r="AN467" s="57"/>
      <c r="AO467" s="45" t="e">
        <f>_xlfn.RANK.EQ(AN467,$AN$7:$AN$531)+COUNTIF(AN$7:AN467,AN467)-1</f>
        <v>#N/A</v>
      </c>
      <c r="AP46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67" s="32" t="e">
        <f>FME_Ranking2[[#This Row],[Score Based on Reported Factors]]-FME_Ranking2[[#This Row],[Check]]</f>
        <v>#REF!</v>
      </c>
      <c r="AR467" s="32"/>
      <c r="AT467" s="19"/>
      <c r="AU467" s="19"/>
      <c r="AV467" s="19"/>
      <c r="AW467" s="19"/>
      <c r="AX467" s="19"/>
      <c r="AY467" s="19"/>
      <c r="AZ467" s="19"/>
      <c r="BA467" s="19"/>
      <c r="BB467" s="19"/>
      <c r="BC467" s="19"/>
    </row>
    <row r="468" spans="1:55" ht="12" customHeight="1" x14ac:dyDescent="0.25">
      <c r="A468" s="17" t="s">
        <v>136</v>
      </c>
      <c r="B468" s="17" t="str">
        <f>_xlfn.XLOOKUP(FME_Ranking2[[#This Row],[FME ID]],FME_Input[FME_ID],FME_Input[FME_NAME])</f>
        <v xml:space="preserve">Citywide Drainage System Improvements_x000D_
</v>
      </c>
      <c r="C468" s="17" t="str">
        <f>_xlfn.XLOOKUP(FME_Ranking2[[#This Row],[FME ID]],FME_Input[FME_ID],FME_Input[DESCR])</f>
        <v>Citywide Drainage System Improvements</v>
      </c>
      <c r="D468" s="33" t="str">
        <f>_xlfn.XLOOKUP(FME_Ranking2[[#This Row],[FME ID]],FME_Input[FME_ID],FME_Input[EMER_NEED])</f>
        <v>No</v>
      </c>
      <c r="E468" s="120">
        <f>IF(FME_Ranking_Option2!$D468="Yes",100,0)</f>
        <v>0</v>
      </c>
      <c r="F468" s="34" t="str">
        <f>_xlfn.XLOOKUP(FME_Ranking2[[#This Row],[FME ID]],FME_Input[FME_ID],FME_Input[FUND])</f>
        <v>No</v>
      </c>
      <c r="G468" s="35">
        <f>IF(FME_Ranking_Option2!$F468="Yes",1,0)</f>
        <v>0</v>
      </c>
      <c r="H468" s="33">
        <f>_xlfn.XLOOKUP(FME_Ranking2[[#This Row],[FME ID]],FME_Input[FME_ID],FME_Input[STRUCT_100])</f>
        <v>83</v>
      </c>
      <c r="I468" s="64" t="e">
        <f>FME_Ranking2[[#This Row],[Raw Data3]]*H$4</f>
        <v>#REF!</v>
      </c>
      <c r="J468" s="63">
        <f>((FME_Ranking_Option2!$H468)/($H$3))*100</f>
        <v>9.2235647633155497E-3</v>
      </c>
      <c r="K468" s="36" t="e">
        <f>FME_Ranking2[[#This Row],[Norm Data3]]*H$4</f>
        <v>#REF!</v>
      </c>
      <c r="L468" s="37">
        <f>_xlfn.XLOOKUP(FME_Ranking2[[#This Row],[FME ID]],FME_Input[FME_ID],FME_Input[RES_STRUCT100])</f>
        <v>48</v>
      </c>
      <c r="M468" s="38" t="e">
        <f>FME_Ranking2[[#This Row],[Raw Data4]]*L$4</f>
        <v>#REF!</v>
      </c>
      <c r="N468" s="28">
        <f>((FME_Ranking_Option2!$L468)/($L$3))*100</f>
        <v>7.1761429128861104E-3</v>
      </c>
      <c r="O468" s="39" t="e">
        <f>FME_Ranking2[[#This Row],[Norm Data4]]*L$4</f>
        <v>#REF!</v>
      </c>
      <c r="P468" s="34">
        <f>_xlfn.XLOOKUP(FME_Ranking2[[#This Row],[FME ID]],FME_Input[FME_ID],FME_Input[POP100])</f>
        <v>616</v>
      </c>
      <c r="Q468" s="35" t="e">
        <f>FME_Ranking_Option2!$P468*P$4</f>
        <v>#REF!</v>
      </c>
      <c r="R468" s="35">
        <f>FME_Ranking_Option2!$P468/($P$3)</f>
        <v>2.2608507992621406E-4</v>
      </c>
      <c r="S468" s="35" t="e">
        <f>FME_Ranking_Option2!$R468*P$4</f>
        <v>#REF!</v>
      </c>
      <c r="T468" s="37">
        <f>_xlfn.XLOOKUP(FME_Ranking2[[#This Row],[FME ID]],FME_Input[FME_ID],FME_Input[CRITFAC100])</f>
        <v>0</v>
      </c>
      <c r="U468" s="35" t="e">
        <f>FME_Ranking_Option2!$T468*T$4</f>
        <v>#REF!</v>
      </c>
      <c r="V468" s="35">
        <f>FME_Ranking_Option2!$T468/($T$3)</f>
        <v>0</v>
      </c>
      <c r="W468" s="35" t="e">
        <f>FME_Ranking_Option2!$V468*T$4</f>
        <v>#REF!</v>
      </c>
      <c r="X468" s="37">
        <f>_xlfn.XLOOKUP(FME_Ranking2[[#This Row],[FME ID]],FME_Input[FME_ID],FME_Input[LWC])</f>
        <v>0</v>
      </c>
      <c r="Y468" s="35" t="e">
        <f>FME_Ranking_Option2!$X468*X$4</f>
        <v>#REF!</v>
      </c>
      <c r="Z468" s="35">
        <f>FME_Ranking_Option2!$X468/($X$3)</f>
        <v>0</v>
      </c>
      <c r="AA468" s="35" t="e">
        <f>FME_Ranking_Option2!$Z468*X$4</f>
        <v>#REF!</v>
      </c>
      <c r="AB468" s="37">
        <f>_xlfn.XLOOKUP(FME_Ranking2[[#This Row],[FME ID]],FME_Input[FME_ID],FME_Input[ROADCLS])</f>
        <v>0</v>
      </c>
      <c r="AC468" s="35" t="e">
        <f>FME_Ranking_Option2!$AB468*AB$4</f>
        <v>#REF!</v>
      </c>
      <c r="AD468" s="40">
        <f>_xlfn.XLOOKUP(FME_Ranking2[[#This Row],[FME ID]],FME_Input[FME_ID],FME_Input[ROAD_MILES100])</f>
        <v>3.7901375293731689</v>
      </c>
      <c r="AE468" s="41" t="e">
        <f>FME_Ranking_Option2!$AD468*AD$4</f>
        <v>#REF!</v>
      </c>
      <c r="AF468" s="42">
        <f>FME_Ranking_Option2!$AD468/($AD$3)</f>
        <v>8.5608908636093325E-5</v>
      </c>
      <c r="AG468" s="42" t="e">
        <f>FME_Ranking_Option2!$AF468*AD$4</f>
        <v>#REF!</v>
      </c>
      <c r="AH468" s="40">
        <f>_xlfn.XLOOKUP(FME_Ranking2[[#This Row],[FME ID]],FME_Input[FME_ID],FME_Input[FARMACRE100])</f>
        <v>335.36322021484381</v>
      </c>
      <c r="AI468" s="43" t="e">
        <f>FME_Ranking_Option2!$AH468*AH$4</f>
        <v>#REF!</v>
      </c>
      <c r="AJ468" s="41">
        <f>FME_Ranking_Option2!$AH468/($AH$3)</f>
        <v>1.9473180516255201E-2</v>
      </c>
      <c r="AK468" s="44" t="e">
        <f>FME_Ranking_Option2!$AJ468*AH$4</f>
        <v>#REF!</v>
      </c>
      <c r="AL468"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68" s="58" t="e">
        <f>_xlfn.RANK.EQ(AL468,$AL$7:$AL$531)+COUNTIF(AL$7:AL468,AL468)-1</f>
        <v>#REF!</v>
      </c>
      <c r="AN468" s="44"/>
      <c r="AO468" s="58" t="e">
        <f>_xlfn.RANK.EQ(AN468,$AN$7:$AN$531)+COUNTIF(AN$7:AN468,AN468)-1</f>
        <v>#N/A</v>
      </c>
      <c r="AP46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68" s="32" t="e">
        <f>FME_Ranking2[[#This Row],[Score Based on Reported Factors]]-FME_Ranking2[[#This Row],[Check]]</f>
        <v>#REF!</v>
      </c>
      <c r="AR468" s="32"/>
    </row>
    <row r="469" spans="1:55" ht="12" customHeight="1" x14ac:dyDescent="0.25">
      <c r="A469" s="16" t="s">
        <v>159</v>
      </c>
      <c r="B469" s="16" t="str">
        <f>_xlfn.XLOOKUP(FME_Ranking2[[#This Row],[FME ID]],FME_Input[FME_ID],FME_Input[FME_NAME])</f>
        <v>Update and Maintain Emergency Management Plan</v>
      </c>
      <c r="C469" s="16" t="str">
        <f>_xlfn.XLOOKUP(FME_Ranking2[[#This Row],[FME ID]],FME_Input[FME_ID],FME_Input[DESCR])</f>
        <v>Update and Maintain Emergency Management Plan</v>
      </c>
      <c r="D469" s="46" t="str">
        <f>_xlfn.XLOOKUP(FME_Ranking2[[#This Row],[FME ID]],FME_Input[FME_ID],FME_Input[EMER_NEED])</f>
        <v>No</v>
      </c>
      <c r="E469" s="121">
        <f>IF(FME_Ranking_Option2!$D469="Yes",100,0)</f>
        <v>0</v>
      </c>
      <c r="F469" s="47" t="str">
        <f>_xlfn.XLOOKUP(FME_Ranking2[[#This Row],[FME ID]],FME_Input[FME_ID],FME_Input[FUND])</f>
        <v>No</v>
      </c>
      <c r="G469" s="48">
        <f>IF(FME_Ranking_Option2!$F469="Yes",1,0)</f>
        <v>0</v>
      </c>
      <c r="H469" s="46">
        <f>_xlfn.XLOOKUP(FME_Ranking2[[#This Row],[FME ID]],FME_Input[FME_ID],FME_Input[STRUCT_100])</f>
        <v>294</v>
      </c>
      <c r="I469" s="65" t="e">
        <f>FME_Ranking2[[#This Row],[Raw Data3]]*H$4</f>
        <v>#REF!</v>
      </c>
      <c r="J469" s="62">
        <f>((FME_Ranking_Option2!$H469)/($H$3))*100</f>
        <v>3.2671422173671943E-2</v>
      </c>
      <c r="K469" s="49" t="e">
        <f>FME_Ranking2[[#This Row],[Norm Data3]]*H$4</f>
        <v>#REF!</v>
      </c>
      <c r="L469" s="50">
        <f>_xlfn.XLOOKUP(FME_Ranking2[[#This Row],[FME ID]],FME_Input[FME_ID],FME_Input[RES_STRUCT100])</f>
        <v>181</v>
      </c>
      <c r="M469" s="51" t="e">
        <f>FME_Ranking2[[#This Row],[Raw Data4]]*L$4</f>
        <v>#REF!</v>
      </c>
      <c r="N469" s="29">
        <f>((FME_Ranking_Option2!$L469)/($L$3))*100</f>
        <v>2.7060038900674706E-2</v>
      </c>
      <c r="O469" s="52" t="e">
        <f>FME_Ranking2[[#This Row],[Norm Data4]]*L$4</f>
        <v>#REF!</v>
      </c>
      <c r="P469" s="47">
        <f>_xlfn.XLOOKUP(FME_Ranking2[[#This Row],[FME ID]],FME_Input[FME_ID],FME_Input[POP100])</f>
        <v>592</v>
      </c>
      <c r="Q469" s="48" t="e">
        <f>FME_Ranking_Option2!$P469*P$4</f>
        <v>#REF!</v>
      </c>
      <c r="R469" s="48">
        <f>FME_Ranking_Option2!$P469/($P$3)</f>
        <v>2.1727657031869922E-4</v>
      </c>
      <c r="S469" s="48" t="e">
        <f>FME_Ranking_Option2!$R469*P$4</f>
        <v>#REF!</v>
      </c>
      <c r="T469" s="50">
        <f>_xlfn.XLOOKUP(FME_Ranking2[[#This Row],[FME ID]],FME_Input[FME_ID],FME_Input[CRITFAC100])</f>
        <v>0</v>
      </c>
      <c r="U469" s="48" t="e">
        <f>FME_Ranking_Option2!$T469*T$4</f>
        <v>#REF!</v>
      </c>
      <c r="V469" s="48">
        <f>FME_Ranking_Option2!$T469/($T$3)</f>
        <v>0</v>
      </c>
      <c r="W469" s="48" t="e">
        <f>FME_Ranking_Option2!$V469*T$4</f>
        <v>#REF!</v>
      </c>
      <c r="X469" s="50">
        <f>_xlfn.XLOOKUP(FME_Ranking2[[#This Row],[FME ID]],FME_Input[FME_ID],FME_Input[LWC])</f>
        <v>35</v>
      </c>
      <c r="Y469" s="48" t="e">
        <f>FME_Ranking_Option2!$X469*X$4</f>
        <v>#REF!</v>
      </c>
      <c r="Z469" s="48">
        <f>FME_Ranking_Option2!$X469/($X$3)</f>
        <v>3.1928480204342275E-3</v>
      </c>
      <c r="AA469" s="48" t="e">
        <f>FME_Ranking_Option2!$Z469*X$4</f>
        <v>#REF!</v>
      </c>
      <c r="AB469" s="50">
        <f>_xlfn.XLOOKUP(FME_Ranking2[[#This Row],[FME ID]],FME_Input[FME_ID],FME_Input[ROADCLS])</f>
        <v>0</v>
      </c>
      <c r="AC469" s="48" t="e">
        <f>FME_Ranking_Option2!$AB469*AB$4</f>
        <v>#REF!</v>
      </c>
      <c r="AD469" s="53">
        <f>_xlfn.XLOOKUP(FME_Ranking2[[#This Row],[FME ID]],FME_Input[FME_ID],FME_Input[ROAD_MILES100])</f>
        <v>5.9331645965576172</v>
      </c>
      <c r="AE469" s="54" t="e">
        <f>FME_Ranking_Option2!$AD469*AD$4</f>
        <v>#REF!</v>
      </c>
      <c r="AF469" s="55">
        <f>FME_Ranking_Option2!$AD469/($AD$3)</f>
        <v>1.3401406728204103E-4</v>
      </c>
      <c r="AG469" s="55" t="e">
        <f>FME_Ranking_Option2!$AF469*AD$4</f>
        <v>#REF!</v>
      </c>
      <c r="AH469" s="53">
        <f>_xlfn.XLOOKUP(FME_Ranking2[[#This Row],[FME ID]],FME_Input[FME_ID],FME_Input[FARMACRE100])</f>
        <v>25477.814453125</v>
      </c>
      <c r="AI469" s="54" t="e">
        <f>FME_Ranking_Option2!$AH469*AH$4</f>
        <v>#REF!</v>
      </c>
      <c r="AJ469" s="56">
        <f>FME_Ranking_Option2!$AH469/($AH$3)</f>
        <v>1.4793932372414615</v>
      </c>
      <c r="AK469" s="57" t="e">
        <f>FME_Ranking_Option2!$AJ469*AH$4</f>
        <v>#REF!</v>
      </c>
      <c r="AL469"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69" s="45" t="e">
        <f>_xlfn.RANK.EQ(AL469,$AL$7:$AL$531)+COUNTIF(AL$7:AL469,AL469)-1</f>
        <v>#REF!</v>
      </c>
      <c r="AN469" s="57"/>
      <c r="AO469" s="45" t="e">
        <f>_xlfn.RANK.EQ(AN469,$AN$7:$AN$531)+COUNTIF(AN$7:AN469,AN469)-1</f>
        <v>#N/A</v>
      </c>
      <c r="AP46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69" s="32" t="e">
        <f>FME_Ranking2[[#This Row],[Score Based on Reported Factors]]-FME_Ranking2[[#This Row],[Check]]</f>
        <v>#REF!</v>
      </c>
      <c r="AR469" s="32"/>
      <c r="AT469" s="19"/>
      <c r="AU469" s="19"/>
      <c r="AV469" s="19"/>
      <c r="AW469" s="19"/>
      <c r="AX469" s="19"/>
      <c r="AY469" s="19"/>
      <c r="AZ469" s="19"/>
      <c r="BA469" s="19"/>
      <c r="BB469" s="19"/>
      <c r="BC469" s="19"/>
    </row>
    <row r="470" spans="1:55" ht="12" customHeight="1" x14ac:dyDescent="0.25">
      <c r="A470" s="17" t="s">
        <v>164</v>
      </c>
      <c r="B470" s="17" t="str">
        <f>_xlfn.XLOOKUP(FME_Ranking2[[#This Row],[FME ID]],FME_Input[FME_ID],FME_Input[FME_NAME])</f>
        <v>Various Locations - Upgrade Low Water Crossings</v>
      </c>
      <c r="C470" s="17" t="str">
        <f>_xlfn.XLOOKUP(FME_Ranking2[[#This Row],[FME ID]],FME_Input[FME_ID],FME_Input[DESCR])</f>
        <v>Various Locations - Upgrade Low Water Crossings</v>
      </c>
      <c r="D470" s="33" t="str">
        <f>_xlfn.XLOOKUP(FME_Ranking2[[#This Row],[FME ID]],FME_Input[FME_ID],FME_Input[EMER_NEED])</f>
        <v>No</v>
      </c>
      <c r="E470" s="120">
        <f>IF(FME_Ranking_Option2!$D470="Yes",100,0)</f>
        <v>0</v>
      </c>
      <c r="F470" s="34" t="str">
        <f>_xlfn.XLOOKUP(FME_Ranking2[[#This Row],[FME ID]],FME_Input[FME_ID],FME_Input[FUND])</f>
        <v>No</v>
      </c>
      <c r="G470" s="35">
        <f>IF(FME_Ranking_Option2!$F470="Yes",1,0)</f>
        <v>0</v>
      </c>
      <c r="H470" s="33">
        <f>_xlfn.XLOOKUP(FME_Ranking2[[#This Row],[FME ID]],FME_Input[FME_ID],FME_Input[STRUCT_100])</f>
        <v>294</v>
      </c>
      <c r="I470" s="64" t="e">
        <f>FME_Ranking2[[#This Row],[Raw Data3]]*H$4</f>
        <v>#REF!</v>
      </c>
      <c r="J470" s="63">
        <f>((FME_Ranking_Option2!$H470)/($H$3))*100</f>
        <v>3.2671422173671943E-2</v>
      </c>
      <c r="K470" s="36" t="e">
        <f>FME_Ranking2[[#This Row],[Norm Data3]]*H$4</f>
        <v>#REF!</v>
      </c>
      <c r="L470" s="37">
        <f>_xlfn.XLOOKUP(FME_Ranking2[[#This Row],[FME ID]],FME_Input[FME_ID],FME_Input[RES_STRUCT100])</f>
        <v>181</v>
      </c>
      <c r="M470" s="38" t="e">
        <f>FME_Ranking2[[#This Row],[Raw Data4]]*L$4</f>
        <v>#REF!</v>
      </c>
      <c r="N470" s="28">
        <f>((FME_Ranking_Option2!$L470)/($L$3))*100</f>
        <v>2.7060038900674706E-2</v>
      </c>
      <c r="O470" s="39" t="e">
        <f>FME_Ranking2[[#This Row],[Norm Data4]]*L$4</f>
        <v>#REF!</v>
      </c>
      <c r="P470" s="34">
        <f>_xlfn.XLOOKUP(FME_Ranking2[[#This Row],[FME ID]],FME_Input[FME_ID],FME_Input[POP100])</f>
        <v>592</v>
      </c>
      <c r="Q470" s="35" t="e">
        <f>FME_Ranking_Option2!$P470*P$4</f>
        <v>#REF!</v>
      </c>
      <c r="R470" s="35">
        <f>FME_Ranking_Option2!$P470/($P$3)</f>
        <v>2.1727657031869922E-4</v>
      </c>
      <c r="S470" s="35" t="e">
        <f>FME_Ranking_Option2!$R470*P$4</f>
        <v>#REF!</v>
      </c>
      <c r="T470" s="37">
        <f>_xlfn.XLOOKUP(FME_Ranking2[[#This Row],[FME ID]],FME_Input[FME_ID],FME_Input[CRITFAC100])</f>
        <v>0</v>
      </c>
      <c r="U470" s="35" t="e">
        <f>FME_Ranking_Option2!$T470*T$4</f>
        <v>#REF!</v>
      </c>
      <c r="V470" s="35">
        <f>FME_Ranking_Option2!$T470/($T$3)</f>
        <v>0</v>
      </c>
      <c r="W470" s="35" t="e">
        <f>FME_Ranking_Option2!$V470*T$4</f>
        <v>#REF!</v>
      </c>
      <c r="X470" s="37">
        <f>_xlfn.XLOOKUP(FME_Ranking2[[#This Row],[FME ID]],FME_Input[FME_ID],FME_Input[LWC])</f>
        <v>35</v>
      </c>
      <c r="Y470" s="35" t="e">
        <f>FME_Ranking_Option2!$X470*X$4</f>
        <v>#REF!</v>
      </c>
      <c r="Z470" s="35">
        <f>FME_Ranking_Option2!$X470/($X$3)</f>
        <v>3.1928480204342275E-3</v>
      </c>
      <c r="AA470" s="35" t="e">
        <f>FME_Ranking_Option2!$Z470*X$4</f>
        <v>#REF!</v>
      </c>
      <c r="AB470" s="37">
        <f>_xlfn.XLOOKUP(FME_Ranking2[[#This Row],[FME ID]],FME_Input[FME_ID],FME_Input[ROADCLS])</f>
        <v>0</v>
      </c>
      <c r="AC470" s="35" t="e">
        <f>FME_Ranking_Option2!$AB470*AB$4</f>
        <v>#REF!</v>
      </c>
      <c r="AD470" s="40">
        <f>_xlfn.XLOOKUP(FME_Ranking2[[#This Row],[FME ID]],FME_Input[FME_ID],FME_Input[ROAD_MILES100])</f>
        <v>5.9331645965576172</v>
      </c>
      <c r="AE470" s="41" t="e">
        <f>FME_Ranking_Option2!$AD470*AD$4</f>
        <v>#REF!</v>
      </c>
      <c r="AF470" s="42">
        <f>FME_Ranking_Option2!$AD470/($AD$3)</f>
        <v>1.3401406728204103E-4</v>
      </c>
      <c r="AG470" s="42" t="e">
        <f>FME_Ranking_Option2!$AF470*AD$4</f>
        <v>#REF!</v>
      </c>
      <c r="AH470" s="40">
        <f>_xlfn.XLOOKUP(FME_Ranking2[[#This Row],[FME ID]],FME_Input[FME_ID],FME_Input[FARMACRE100])</f>
        <v>25477.814453125</v>
      </c>
      <c r="AI470" s="43" t="e">
        <f>FME_Ranking_Option2!$AH470*AH$4</f>
        <v>#REF!</v>
      </c>
      <c r="AJ470" s="41">
        <f>FME_Ranking_Option2!$AH470/($AH$3)</f>
        <v>1.4793932372414615</v>
      </c>
      <c r="AK470" s="44" t="e">
        <f>FME_Ranking_Option2!$AJ470*AH$4</f>
        <v>#REF!</v>
      </c>
      <c r="AL470"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70" s="58" t="e">
        <f>_xlfn.RANK.EQ(AL470,$AL$7:$AL$531)+COUNTIF(AL$7:AL470,AL470)-1</f>
        <v>#REF!</v>
      </c>
      <c r="AN470" s="44"/>
      <c r="AO470" s="58" t="e">
        <f>_xlfn.RANK.EQ(AN470,$AN$7:$AN$531)+COUNTIF(AN$7:AN470,AN470)-1</f>
        <v>#N/A</v>
      </c>
      <c r="AP47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70" s="32" t="e">
        <f>FME_Ranking2[[#This Row],[Score Based on Reported Factors]]-FME_Ranking2[[#This Row],[Check]]</f>
        <v>#REF!</v>
      </c>
      <c r="AR470" s="32"/>
    </row>
    <row r="471" spans="1:55" ht="12" customHeight="1" x14ac:dyDescent="0.25">
      <c r="A471" s="16" t="s">
        <v>149</v>
      </c>
      <c r="B471" s="16" t="str">
        <f>_xlfn.XLOOKUP(FME_Ranking2[[#This Row],[FME ID]],FME_Input[FME_ID],FME_Input[FME_NAME])</f>
        <v>Citywide Drainage Plan</v>
      </c>
      <c r="C471" s="16" t="str">
        <f>_xlfn.XLOOKUP(FME_Ranking2[[#This Row],[FME ID]],FME_Input[FME_ID],FME_Input[DESCR])</f>
        <v xml:space="preserve">City Drainage Plan_x000D_
</v>
      </c>
      <c r="D471" s="46" t="str">
        <f>_xlfn.XLOOKUP(FME_Ranking2[[#This Row],[FME ID]],FME_Input[FME_ID],FME_Input[EMER_NEED])</f>
        <v>No</v>
      </c>
      <c r="E471" s="121">
        <f>IF(FME_Ranking_Option2!$D471="Yes",100,0)</f>
        <v>0</v>
      </c>
      <c r="F471" s="47" t="str">
        <f>_xlfn.XLOOKUP(FME_Ranking2[[#This Row],[FME ID]],FME_Input[FME_ID],FME_Input[FUND])</f>
        <v>No</v>
      </c>
      <c r="G471" s="48">
        <f>IF(FME_Ranking_Option2!$F471="Yes",1,0)</f>
        <v>0</v>
      </c>
      <c r="H471" s="46">
        <f>_xlfn.XLOOKUP(FME_Ranking2[[#This Row],[FME ID]],FME_Input[FME_ID],FME_Input[STRUCT_100])</f>
        <v>48</v>
      </c>
      <c r="I471" s="65" t="e">
        <f>FME_Ranking2[[#This Row],[Raw Data3]]*H$4</f>
        <v>#REF!</v>
      </c>
      <c r="J471" s="62">
        <f>((FME_Ranking_Option2!$H471)/($H$3))*100</f>
        <v>5.3341097426403174E-3</v>
      </c>
      <c r="K471" s="49" t="e">
        <f>FME_Ranking2[[#This Row],[Norm Data3]]*H$4</f>
        <v>#REF!</v>
      </c>
      <c r="L471" s="50">
        <f>_xlfn.XLOOKUP(FME_Ranking2[[#This Row],[FME ID]],FME_Input[FME_ID],FME_Input[RES_STRUCT100])</f>
        <v>29</v>
      </c>
      <c r="M471" s="51" t="e">
        <f>FME_Ranking2[[#This Row],[Raw Data4]]*L$4</f>
        <v>#REF!</v>
      </c>
      <c r="N471" s="29">
        <f>((FME_Ranking_Option2!$L471)/($L$3))*100</f>
        <v>4.3355863432020247E-3</v>
      </c>
      <c r="O471" s="52" t="e">
        <f>FME_Ranking2[[#This Row],[Norm Data4]]*L$4</f>
        <v>#REF!</v>
      </c>
      <c r="P471" s="47">
        <f>_xlfn.XLOOKUP(FME_Ranking2[[#This Row],[FME ID]],FME_Input[FME_ID],FME_Input[POP100])</f>
        <v>394</v>
      </c>
      <c r="Q471" s="48" t="e">
        <f>FME_Ranking_Option2!$P471*P$4</f>
        <v>#REF!</v>
      </c>
      <c r="R471" s="48">
        <f>FME_Ranking_Option2!$P471/($P$3)</f>
        <v>1.4460636605670185E-4</v>
      </c>
      <c r="S471" s="48" t="e">
        <f>FME_Ranking_Option2!$R471*P$4</f>
        <v>#REF!</v>
      </c>
      <c r="T471" s="50">
        <f>_xlfn.XLOOKUP(FME_Ranking2[[#This Row],[FME ID]],FME_Input[FME_ID],FME_Input[CRITFAC100])</f>
        <v>0</v>
      </c>
      <c r="U471" s="48" t="e">
        <f>FME_Ranking_Option2!$T471*T$4</f>
        <v>#REF!</v>
      </c>
      <c r="V471" s="48">
        <f>FME_Ranking_Option2!$T471/($T$3)</f>
        <v>0</v>
      </c>
      <c r="W471" s="48" t="e">
        <f>FME_Ranking_Option2!$V471*T$4</f>
        <v>#REF!</v>
      </c>
      <c r="X471" s="50">
        <f>_xlfn.XLOOKUP(FME_Ranking2[[#This Row],[FME ID]],FME_Input[FME_ID],FME_Input[LWC])</f>
        <v>3</v>
      </c>
      <c r="Y471" s="48" t="e">
        <f>FME_Ranking_Option2!$X471*X$4</f>
        <v>#REF!</v>
      </c>
      <c r="Z471" s="48">
        <f>FME_Ranking_Option2!$X471/($X$3)</f>
        <v>2.7367268746579092E-4</v>
      </c>
      <c r="AA471" s="48" t="e">
        <f>FME_Ranking_Option2!$Z471*X$4</f>
        <v>#REF!</v>
      </c>
      <c r="AB471" s="50">
        <f>_xlfn.XLOOKUP(FME_Ranking2[[#This Row],[FME ID]],FME_Input[FME_ID],FME_Input[ROADCLS])</f>
        <v>0</v>
      </c>
      <c r="AC471" s="48" t="e">
        <f>FME_Ranking_Option2!$AB471*AB$4</f>
        <v>#REF!</v>
      </c>
      <c r="AD471" s="53">
        <f>_xlfn.XLOOKUP(FME_Ranking2[[#This Row],[FME ID]],FME_Input[FME_ID],FME_Input[ROAD_MILES100])</f>
        <v>0</v>
      </c>
      <c r="AE471" s="54" t="e">
        <f>FME_Ranking_Option2!$AD471*AD$4</f>
        <v>#REF!</v>
      </c>
      <c r="AF471" s="55">
        <f>FME_Ranking_Option2!$AD471/($AD$3)</f>
        <v>0</v>
      </c>
      <c r="AG471" s="55" t="e">
        <f>FME_Ranking_Option2!$AF471*AD$4</f>
        <v>#REF!</v>
      </c>
      <c r="AH471" s="53">
        <f>_xlfn.XLOOKUP(FME_Ranking2[[#This Row],[FME ID]],FME_Input[FME_ID],FME_Input[FARMACRE100])</f>
        <v>67.495536804199219</v>
      </c>
      <c r="AI471" s="54" t="e">
        <f>FME_Ranking_Option2!$AH471*AH$4</f>
        <v>#REF!</v>
      </c>
      <c r="AJ471" s="56">
        <f>FME_Ranking_Option2!$AH471/($AH$3)</f>
        <v>3.9191917688162223E-3</v>
      </c>
      <c r="AK471" s="57" t="e">
        <f>FME_Ranking_Option2!$AJ471*AH$4</f>
        <v>#REF!</v>
      </c>
      <c r="AL471"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71" s="45" t="e">
        <f>_xlfn.RANK.EQ(AL471,$AL$7:$AL$531)+COUNTIF(AL$7:AL471,AL471)-1</f>
        <v>#REF!</v>
      </c>
      <c r="AN471" s="57"/>
      <c r="AO471" s="45" t="e">
        <f>_xlfn.RANK.EQ(AN471,$AN$7:$AN$531)+COUNTIF(AN$7:AN471,AN471)-1</f>
        <v>#N/A</v>
      </c>
      <c r="AP47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71" s="32" t="e">
        <f>FME_Ranking2[[#This Row],[Score Based on Reported Factors]]-FME_Ranking2[[#This Row],[Check]]</f>
        <v>#REF!</v>
      </c>
      <c r="AR471" s="32"/>
      <c r="AT471" s="19"/>
      <c r="AU471" s="19"/>
      <c r="AV471" s="19"/>
      <c r="AW471" s="19"/>
      <c r="AX471" s="19"/>
      <c r="AY471" s="19"/>
      <c r="AZ471" s="19"/>
      <c r="BA471" s="19"/>
      <c r="BB471" s="19"/>
      <c r="BC471" s="19"/>
    </row>
    <row r="472" spans="1:55" ht="12" customHeight="1" x14ac:dyDescent="0.25">
      <c r="A472" s="17" t="s">
        <v>156</v>
      </c>
      <c r="B472" s="17" t="str">
        <f>_xlfn.XLOOKUP(FME_Ranking2[[#This Row],[FME ID]],FME_Input[FME_ID],FME_Input[FME_NAME])</f>
        <v>Develop New/Updated Floodplain Maps</v>
      </c>
      <c r="C472" s="17" t="str">
        <f>_xlfn.XLOOKUP(FME_Ranking2[[#This Row],[FME ID]],FME_Input[FME_ID],FME_Input[DESCR])</f>
        <v>Develop New/Updated Floodplain Maps</v>
      </c>
      <c r="D472" s="33" t="str">
        <f>_xlfn.XLOOKUP(FME_Ranking2[[#This Row],[FME ID]],FME_Input[FME_ID],FME_Input[EMER_NEED])</f>
        <v>No</v>
      </c>
      <c r="E472" s="120">
        <f>IF(FME_Ranking_Option2!$D472="Yes",100,0)</f>
        <v>0</v>
      </c>
      <c r="F472" s="34" t="str">
        <f>_xlfn.XLOOKUP(FME_Ranking2[[#This Row],[FME ID]],FME_Input[FME_ID],FME_Input[FUND])</f>
        <v>No</v>
      </c>
      <c r="G472" s="35">
        <f>IF(FME_Ranking_Option2!$F472="Yes",1,0)</f>
        <v>0</v>
      </c>
      <c r="H472" s="33">
        <f>_xlfn.XLOOKUP(FME_Ranking2[[#This Row],[FME ID]],FME_Input[FME_ID],FME_Input[STRUCT_100])</f>
        <v>48</v>
      </c>
      <c r="I472" s="64" t="e">
        <f>FME_Ranking2[[#This Row],[Raw Data3]]*H$4</f>
        <v>#REF!</v>
      </c>
      <c r="J472" s="63">
        <f>((FME_Ranking_Option2!$H472)/($H$3))*100</f>
        <v>5.3341097426403174E-3</v>
      </c>
      <c r="K472" s="36" t="e">
        <f>FME_Ranking2[[#This Row],[Norm Data3]]*H$4</f>
        <v>#REF!</v>
      </c>
      <c r="L472" s="37">
        <f>_xlfn.XLOOKUP(FME_Ranking2[[#This Row],[FME ID]],FME_Input[FME_ID],FME_Input[RES_STRUCT100])</f>
        <v>29</v>
      </c>
      <c r="M472" s="38" t="e">
        <f>FME_Ranking2[[#This Row],[Raw Data4]]*L$4</f>
        <v>#REF!</v>
      </c>
      <c r="N472" s="28">
        <f>((FME_Ranking_Option2!$L472)/($L$3))*100</f>
        <v>4.3355863432020247E-3</v>
      </c>
      <c r="O472" s="39" t="e">
        <f>FME_Ranking2[[#This Row],[Norm Data4]]*L$4</f>
        <v>#REF!</v>
      </c>
      <c r="P472" s="34">
        <f>_xlfn.XLOOKUP(FME_Ranking2[[#This Row],[FME ID]],FME_Input[FME_ID],FME_Input[POP100])</f>
        <v>394</v>
      </c>
      <c r="Q472" s="35" t="e">
        <f>FME_Ranking_Option2!$P472*P$4</f>
        <v>#REF!</v>
      </c>
      <c r="R472" s="35">
        <f>FME_Ranking_Option2!$P472/($P$3)</f>
        <v>1.4460636605670185E-4</v>
      </c>
      <c r="S472" s="35" t="e">
        <f>FME_Ranking_Option2!$R472*P$4</f>
        <v>#REF!</v>
      </c>
      <c r="T472" s="37">
        <f>_xlfn.XLOOKUP(FME_Ranking2[[#This Row],[FME ID]],FME_Input[FME_ID],FME_Input[CRITFAC100])</f>
        <v>0</v>
      </c>
      <c r="U472" s="35" t="e">
        <f>FME_Ranking_Option2!$T472*T$4</f>
        <v>#REF!</v>
      </c>
      <c r="V472" s="35">
        <f>FME_Ranking_Option2!$T472/($T$3)</f>
        <v>0</v>
      </c>
      <c r="W472" s="35" t="e">
        <f>FME_Ranking_Option2!$V472*T$4</f>
        <v>#REF!</v>
      </c>
      <c r="X472" s="37">
        <f>_xlfn.XLOOKUP(FME_Ranking2[[#This Row],[FME ID]],FME_Input[FME_ID],FME_Input[LWC])</f>
        <v>3</v>
      </c>
      <c r="Y472" s="35" t="e">
        <f>FME_Ranking_Option2!$X472*X$4</f>
        <v>#REF!</v>
      </c>
      <c r="Z472" s="35">
        <f>FME_Ranking_Option2!$X472/($X$3)</f>
        <v>2.7367268746579092E-4</v>
      </c>
      <c r="AA472" s="35" t="e">
        <f>FME_Ranking_Option2!$Z472*X$4</f>
        <v>#REF!</v>
      </c>
      <c r="AB472" s="37">
        <f>_xlfn.XLOOKUP(FME_Ranking2[[#This Row],[FME ID]],FME_Input[FME_ID],FME_Input[ROADCLS])</f>
        <v>0</v>
      </c>
      <c r="AC472" s="35" t="e">
        <f>FME_Ranking_Option2!$AB472*AB$4</f>
        <v>#REF!</v>
      </c>
      <c r="AD472" s="40">
        <f>_xlfn.XLOOKUP(FME_Ranking2[[#This Row],[FME ID]],FME_Input[FME_ID],FME_Input[ROAD_MILES100])</f>
        <v>0</v>
      </c>
      <c r="AE472" s="41" t="e">
        <f>FME_Ranking_Option2!$AD472*AD$4</f>
        <v>#REF!</v>
      </c>
      <c r="AF472" s="42">
        <f>FME_Ranking_Option2!$AD472/($AD$3)</f>
        <v>0</v>
      </c>
      <c r="AG472" s="42" t="e">
        <f>FME_Ranking_Option2!$AF472*AD$4</f>
        <v>#REF!</v>
      </c>
      <c r="AH472" s="40">
        <f>_xlfn.XLOOKUP(FME_Ranking2[[#This Row],[FME ID]],FME_Input[FME_ID],FME_Input[FARMACRE100])</f>
        <v>67.495536804199219</v>
      </c>
      <c r="AI472" s="43" t="e">
        <f>FME_Ranking_Option2!$AH472*AH$4</f>
        <v>#REF!</v>
      </c>
      <c r="AJ472" s="41">
        <f>FME_Ranking_Option2!$AH472/($AH$3)</f>
        <v>3.9191917688162223E-3</v>
      </c>
      <c r="AK472" s="44" t="e">
        <f>FME_Ranking_Option2!$AJ472*AH$4</f>
        <v>#REF!</v>
      </c>
      <c r="AL472"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72" s="58" t="e">
        <f>_xlfn.RANK.EQ(AL472,$AL$7:$AL$531)+COUNTIF(AL$7:AL472,AL472)-1</f>
        <v>#REF!</v>
      </c>
      <c r="AN472" s="44"/>
      <c r="AO472" s="58" t="e">
        <f>_xlfn.RANK.EQ(AN472,$AN$7:$AN$531)+COUNTIF(AN$7:AN472,AN472)-1</f>
        <v>#N/A</v>
      </c>
      <c r="AP47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72" s="32" t="e">
        <f>FME_Ranking2[[#This Row],[Score Based on Reported Factors]]-FME_Ranking2[[#This Row],[Check]]</f>
        <v>#REF!</v>
      </c>
      <c r="AR472" s="32"/>
    </row>
    <row r="473" spans="1:55" ht="12" customHeight="1" x14ac:dyDescent="0.25">
      <c r="A473" s="16" t="s">
        <v>166</v>
      </c>
      <c r="B473" s="16" t="str">
        <f>_xlfn.XLOOKUP(FME_Ranking2[[#This Row],[FME ID]],FME_Input[FME_ID],FME_Input[FME_NAME])</f>
        <v>CR 332 Drainage Improvements</v>
      </c>
      <c r="C473" s="16" t="str">
        <f>_xlfn.XLOOKUP(FME_Ranking2[[#This Row],[FME ID]],FME_Input[FME_ID],FME_Input[DESCR])</f>
        <v>Implement drainage improvement program along CR 332</v>
      </c>
      <c r="D473" s="46" t="str">
        <f>_xlfn.XLOOKUP(FME_Ranking2[[#This Row],[FME ID]],FME_Input[FME_ID],FME_Input[EMER_NEED])</f>
        <v>No</v>
      </c>
      <c r="E473" s="121">
        <f>IF(FME_Ranking_Option2!$D473="Yes",100,0)</f>
        <v>0</v>
      </c>
      <c r="F473" s="47" t="str">
        <f>_xlfn.XLOOKUP(FME_Ranking2[[#This Row],[FME ID]],FME_Input[FME_ID],FME_Input[FUND])</f>
        <v>No</v>
      </c>
      <c r="G473" s="48">
        <f>IF(FME_Ranking_Option2!$F473="Yes",1,0)</f>
        <v>0</v>
      </c>
      <c r="H473" s="46">
        <f>_xlfn.XLOOKUP(FME_Ranking2[[#This Row],[FME ID]],FME_Input[FME_ID],FME_Input[STRUCT_100])</f>
        <v>9</v>
      </c>
      <c r="I473" s="65" t="e">
        <f>FME_Ranking2[[#This Row],[Raw Data3]]*H$4</f>
        <v>#REF!</v>
      </c>
      <c r="J473" s="62">
        <f>((FME_Ranking_Option2!$H473)/($H$3))*100</f>
        <v>1.0001455767450597E-3</v>
      </c>
      <c r="K473" s="49" t="e">
        <f>FME_Ranking2[[#This Row],[Norm Data3]]*H$4</f>
        <v>#REF!</v>
      </c>
      <c r="L473" s="50">
        <f>_xlfn.XLOOKUP(FME_Ranking2[[#This Row],[FME ID]],FME_Input[FME_ID],FME_Input[RES_STRUCT100])</f>
        <v>8</v>
      </c>
      <c r="M473" s="51" t="e">
        <f>FME_Ranking2[[#This Row],[Raw Data4]]*L$4</f>
        <v>#REF!</v>
      </c>
      <c r="N473" s="29">
        <f>((FME_Ranking_Option2!$L473)/($L$3))*100</f>
        <v>1.1960238188143517E-3</v>
      </c>
      <c r="O473" s="52" t="e">
        <f>FME_Ranking2[[#This Row],[Norm Data4]]*L$4</f>
        <v>#REF!</v>
      </c>
      <c r="P473" s="47">
        <f>_xlfn.XLOOKUP(FME_Ranking2[[#This Row],[FME ID]],FME_Input[FME_ID],FME_Input[POP100])</f>
        <v>16</v>
      </c>
      <c r="Q473" s="48" t="e">
        <f>FME_Ranking_Option2!$P473*P$4</f>
        <v>#REF!</v>
      </c>
      <c r="R473" s="48">
        <f>FME_Ranking_Option2!$P473/($P$3)</f>
        <v>5.8723397383432224E-6</v>
      </c>
      <c r="S473" s="48" t="e">
        <f>FME_Ranking_Option2!$R473*P$4</f>
        <v>#REF!</v>
      </c>
      <c r="T473" s="50">
        <f>_xlfn.XLOOKUP(FME_Ranking2[[#This Row],[FME ID]],FME_Input[FME_ID],FME_Input[CRITFAC100])</f>
        <v>0</v>
      </c>
      <c r="U473" s="48" t="e">
        <f>FME_Ranking_Option2!$T473*T$4</f>
        <v>#REF!</v>
      </c>
      <c r="V473" s="48">
        <f>FME_Ranking_Option2!$T473/($T$3)</f>
        <v>0</v>
      </c>
      <c r="W473" s="48" t="e">
        <f>FME_Ranking_Option2!$V473*T$4</f>
        <v>#REF!</v>
      </c>
      <c r="X473" s="50">
        <f>_xlfn.XLOOKUP(FME_Ranking2[[#This Row],[FME ID]],FME_Input[FME_ID],FME_Input[LWC])</f>
        <v>0</v>
      </c>
      <c r="Y473" s="48" t="e">
        <f>FME_Ranking_Option2!$X473*X$4</f>
        <v>#REF!</v>
      </c>
      <c r="Z473" s="48">
        <f>FME_Ranking_Option2!$X473/($X$3)</f>
        <v>0</v>
      </c>
      <c r="AA473" s="48" t="e">
        <f>FME_Ranking_Option2!$Z473*X$4</f>
        <v>#REF!</v>
      </c>
      <c r="AB473" s="50">
        <f>_xlfn.XLOOKUP(FME_Ranking2[[#This Row],[FME ID]],FME_Input[FME_ID],FME_Input[ROADCLS])</f>
        <v>0</v>
      </c>
      <c r="AC473" s="48" t="e">
        <f>FME_Ranking_Option2!$AB473*AB$4</f>
        <v>#REF!</v>
      </c>
      <c r="AD473" s="53">
        <f>_xlfn.XLOOKUP(FME_Ranking2[[#This Row],[FME ID]],FME_Input[FME_ID],FME_Input[ROAD_MILES100])</f>
        <v>2.8921599388122559</v>
      </c>
      <c r="AE473" s="54" t="e">
        <f>FME_Ranking_Option2!$AD473*AD$4</f>
        <v>#REF!</v>
      </c>
      <c r="AF473" s="55">
        <f>FME_Ranking_Option2!$AD473/($AD$3)</f>
        <v>6.5326034753070313E-5</v>
      </c>
      <c r="AG473" s="55" t="e">
        <f>FME_Ranking_Option2!$AF473*AD$4</f>
        <v>#REF!</v>
      </c>
      <c r="AH473" s="53">
        <f>_xlfn.XLOOKUP(FME_Ranking2[[#This Row],[FME ID]],FME_Input[FME_ID],FME_Input[FARMACRE100])</f>
        <v>14.67249011993408</v>
      </c>
      <c r="AI473" s="54" t="e">
        <f>FME_Ranking_Option2!$AH473*AH$4</f>
        <v>#REF!</v>
      </c>
      <c r="AJ473" s="56">
        <f>FME_Ranking_Option2!$AH473/($AH$3)</f>
        <v>8.5197192627565533E-4</v>
      </c>
      <c r="AK473" s="57" t="e">
        <f>FME_Ranking_Option2!$AJ473*AH$4</f>
        <v>#REF!</v>
      </c>
      <c r="AL473"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73" s="45" t="e">
        <f>_xlfn.RANK.EQ(AL473,$AL$7:$AL$531)+COUNTIF(AL$7:AL473,AL473)-1</f>
        <v>#REF!</v>
      </c>
      <c r="AN473" s="57"/>
      <c r="AO473" s="45" t="e">
        <f>_xlfn.RANK.EQ(AN473,$AN$7:$AN$531)+COUNTIF(AN$7:AN473,AN473)-1</f>
        <v>#N/A</v>
      </c>
      <c r="AP47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73" s="32" t="e">
        <f>FME_Ranking2[[#This Row],[Score Based on Reported Factors]]-FME_Ranking2[[#This Row],[Check]]</f>
        <v>#REF!</v>
      </c>
      <c r="AR473" s="32"/>
      <c r="AT473" s="19"/>
      <c r="AU473" s="19"/>
      <c r="AV473" s="19"/>
      <c r="AW473" s="19"/>
      <c r="AX473" s="19"/>
      <c r="AY473" s="19"/>
      <c r="AZ473" s="19"/>
      <c r="BA473" s="19"/>
      <c r="BB473" s="19"/>
      <c r="BC473" s="19"/>
    </row>
    <row r="474" spans="1:55" ht="12" customHeight="1" x14ac:dyDescent="0.25">
      <c r="A474" s="17" t="s">
        <v>173</v>
      </c>
      <c r="B474" s="17" t="str">
        <f>_xlfn.XLOOKUP(FME_Ranking2[[#This Row],[FME ID]],FME_Input[FME_ID],FME_Input[FME_NAME])</f>
        <v>Various Culverts Along Stevenson Slough</v>
      </c>
      <c r="C474" s="17" t="str">
        <f>_xlfn.XLOOKUP(FME_Ranking2[[#This Row],[FME ID]],FME_Input[FME_ID],FME_Input[DESCR])</f>
        <v xml:space="preserve">Enlarge culverts along Stevenson Slough_x000D_
</v>
      </c>
      <c r="D474" s="33" t="str">
        <f>_xlfn.XLOOKUP(FME_Ranking2[[#This Row],[FME ID]],FME_Input[FME_ID],FME_Input[EMER_NEED])</f>
        <v>No</v>
      </c>
      <c r="E474" s="120">
        <f>IF(FME_Ranking_Option2!$D474="Yes",100,0)</f>
        <v>0</v>
      </c>
      <c r="F474" s="34" t="str">
        <f>_xlfn.XLOOKUP(FME_Ranking2[[#This Row],[FME ID]],FME_Input[FME_ID],FME_Input[FUND])</f>
        <v>No</v>
      </c>
      <c r="G474" s="35">
        <f>IF(FME_Ranking_Option2!$F474="Yes",1,0)</f>
        <v>0</v>
      </c>
      <c r="H474" s="33">
        <f>_xlfn.XLOOKUP(FME_Ranking2[[#This Row],[FME ID]],FME_Input[FME_ID],FME_Input[STRUCT_100])</f>
        <v>205</v>
      </c>
      <c r="I474" s="64" t="e">
        <f>FME_Ranking2[[#This Row],[Raw Data3]]*H$4</f>
        <v>#REF!</v>
      </c>
      <c r="J474" s="63">
        <f>((FME_Ranking_Option2!$H474)/($H$3))*100</f>
        <v>2.2781093692526354E-2</v>
      </c>
      <c r="K474" s="36" t="e">
        <f>FME_Ranking2[[#This Row],[Norm Data3]]*H$4</f>
        <v>#REF!</v>
      </c>
      <c r="L474" s="37">
        <f>_xlfn.XLOOKUP(FME_Ranking2[[#This Row],[FME ID]],FME_Input[FME_ID],FME_Input[RES_STRUCT100])</f>
        <v>165</v>
      </c>
      <c r="M474" s="38" t="e">
        <f>FME_Ranking2[[#This Row],[Raw Data4]]*L$4</f>
        <v>#REF!</v>
      </c>
      <c r="N474" s="28">
        <f>((FME_Ranking_Option2!$L474)/($L$3))*100</f>
        <v>2.4667991263046005E-2</v>
      </c>
      <c r="O474" s="39" t="e">
        <f>FME_Ranking2[[#This Row],[Norm Data4]]*L$4</f>
        <v>#REF!</v>
      </c>
      <c r="P474" s="34">
        <f>_xlfn.XLOOKUP(FME_Ranking2[[#This Row],[FME ID]],FME_Input[FME_ID],FME_Input[POP100])</f>
        <v>296</v>
      </c>
      <c r="Q474" s="35" t="e">
        <f>FME_Ranking_Option2!$P474*P$4</f>
        <v>#REF!</v>
      </c>
      <c r="R474" s="35">
        <f>FME_Ranking_Option2!$P474/($P$3)</f>
        <v>1.0863828515934961E-4</v>
      </c>
      <c r="S474" s="35" t="e">
        <f>FME_Ranking_Option2!$R474*P$4</f>
        <v>#REF!</v>
      </c>
      <c r="T474" s="37">
        <f>_xlfn.XLOOKUP(FME_Ranking2[[#This Row],[FME ID]],FME_Input[FME_ID],FME_Input[CRITFAC100])</f>
        <v>0</v>
      </c>
      <c r="U474" s="35" t="e">
        <f>FME_Ranking_Option2!$T474*T$4</f>
        <v>#REF!</v>
      </c>
      <c r="V474" s="35">
        <f>FME_Ranking_Option2!$T474/($T$3)</f>
        <v>0</v>
      </c>
      <c r="W474" s="35" t="e">
        <f>FME_Ranking_Option2!$V474*T$4</f>
        <v>#REF!</v>
      </c>
      <c r="X474" s="37">
        <f>_xlfn.XLOOKUP(FME_Ranking2[[#This Row],[FME ID]],FME_Input[FME_ID],FME_Input[LWC])</f>
        <v>0</v>
      </c>
      <c r="Y474" s="35" t="e">
        <f>FME_Ranking_Option2!$X474*X$4</f>
        <v>#REF!</v>
      </c>
      <c r="Z474" s="35">
        <f>FME_Ranking_Option2!$X474/($X$3)</f>
        <v>0</v>
      </c>
      <c r="AA474" s="35" t="e">
        <f>FME_Ranking_Option2!$Z474*X$4</f>
        <v>#REF!</v>
      </c>
      <c r="AB474" s="37">
        <f>_xlfn.XLOOKUP(FME_Ranking2[[#This Row],[FME ID]],FME_Input[FME_ID],FME_Input[ROADCLS])</f>
        <v>0</v>
      </c>
      <c r="AC474" s="35" t="e">
        <f>FME_Ranking_Option2!$AB474*AB$4</f>
        <v>#REF!</v>
      </c>
      <c r="AD474" s="40">
        <f>_xlfn.XLOOKUP(FME_Ranking2[[#This Row],[FME ID]],FME_Input[FME_ID],FME_Input[ROAD_MILES100])</f>
        <v>3.7959856986999512</v>
      </c>
      <c r="AE474" s="41" t="e">
        <f>FME_Ranking_Option2!$AD474*AD$4</f>
        <v>#REF!</v>
      </c>
      <c r="AF474" s="42">
        <f>FME_Ranking_Option2!$AD474/($AD$3)</f>
        <v>8.5741002891171112E-5</v>
      </c>
      <c r="AG474" s="42" t="e">
        <f>FME_Ranking_Option2!$AF474*AD$4</f>
        <v>#REF!</v>
      </c>
      <c r="AH474" s="40">
        <f>_xlfn.XLOOKUP(FME_Ranking2[[#This Row],[FME ID]],FME_Input[FME_ID],FME_Input[FARMACRE100])</f>
        <v>334.60134887695313</v>
      </c>
      <c r="AI474" s="43" t="e">
        <f>FME_Ranking_Option2!$AH474*AH$4</f>
        <v>#REF!</v>
      </c>
      <c r="AJ474" s="41">
        <f>FME_Ranking_Option2!$AH474/($AH$3)</f>
        <v>1.9428941741104482E-2</v>
      </c>
      <c r="AK474" s="44" t="e">
        <f>FME_Ranking_Option2!$AJ474*AH$4</f>
        <v>#REF!</v>
      </c>
      <c r="AL474"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74" s="58" t="e">
        <f>_xlfn.RANK.EQ(AL474,$AL$7:$AL$531)+COUNTIF(AL$7:AL474,AL474)-1</f>
        <v>#REF!</v>
      </c>
      <c r="AN474" s="44"/>
      <c r="AO474" s="58" t="e">
        <f>_xlfn.RANK.EQ(AN474,$AN$7:$AN$531)+COUNTIF(AN$7:AN474,AN474)-1</f>
        <v>#N/A</v>
      </c>
      <c r="AP47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74" s="32" t="e">
        <f>FME_Ranking2[[#This Row],[Score Based on Reported Factors]]-FME_Ranking2[[#This Row],[Check]]</f>
        <v>#REF!</v>
      </c>
      <c r="AR474" s="32"/>
    </row>
    <row r="475" spans="1:55" ht="12" customHeight="1" x14ac:dyDescent="0.25">
      <c r="A475" s="16" t="s">
        <v>190</v>
      </c>
      <c r="B475" s="16" t="str">
        <f>_xlfn.XLOOKUP(FME_Ranking2[[#This Row],[FME ID]],FME_Input[FME_ID],FME_Input[FME_NAME])</f>
        <v>Adopt Flood Insurance Rate Maps</v>
      </c>
      <c r="C475" s="16" t="str">
        <f>_xlfn.XLOOKUP(FME_Ranking2[[#This Row],[FME ID]],FME_Input[FME_ID],FME_Input[DESCR])</f>
        <v>Adopt DFIRM</v>
      </c>
      <c r="D475" s="46" t="str">
        <f>_xlfn.XLOOKUP(FME_Ranking2[[#This Row],[FME ID]],FME_Input[FME_ID],FME_Input[EMER_NEED])</f>
        <v>No</v>
      </c>
      <c r="E475" s="121">
        <f>IF(FME_Ranking_Option2!$D475="Yes",100,0)</f>
        <v>0</v>
      </c>
      <c r="F475" s="47" t="str">
        <f>_xlfn.XLOOKUP(FME_Ranking2[[#This Row],[FME ID]],FME_Input[FME_ID],FME_Input[FUND])</f>
        <v>No</v>
      </c>
      <c r="G475" s="48">
        <f>IF(FME_Ranking_Option2!$F475="Yes",1,0)</f>
        <v>0</v>
      </c>
      <c r="H475" s="46">
        <f>_xlfn.XLOOKUP(FME_Ranking2[[#This Row],[FME ID]],FME_Input[FME_ID],FME_Input[STRUCT_100])</f>
        <v>1220</v>
      </c>
      <c r="I475" s="65" t="e">
        <f>FME_Ranking2[[#This Row],[Raw Data3]]*H$4</f>
        <v>#REF!</v>
      </c>
      <c r="J475" s="62">
        <f>((FME_Ranking_Option2!$H475)/($H$3))*100</f>
        <v>0.13557528929210808</v>
      </c>
      <c r="K475" s="49" t="e">
        <f>FME_Ranking2[[#This Row],[Norm Data3]]*H$4</f>
        <v>#REF!</v>
      </c>
      <c r="L475" s="50">
        <f>_xlfn.XLOOKUP(FME_Ranking2[[#This Row],[FME ID]],FME_Input[FME_ID],FME_Input[RES_STRUCT100])</f>
        <v>889</v>
      </c>
      <c r="M475" s="51" t="e">
        <f>FME_Ranking2[[#This Row],[Raw Data4]]*L$4</f>
        <v>#REF!</v>
      </c>
      <c r="N475" s="29">
        <f>((FME_Ranking_Option2!$L475)/($L$3))*100</f>
        <v>0.13290814686574484</v>
      </c>
      <c r="O475" s="52" t="e">
        <f>FME_Ranking2[[#This Row],[Norm Data4]]*L$4</f>
        <v>#REF!</v>
      </c>
      <c r="P475" s="47">
        <f>_xlfn.XLOOKUP(FME_Ranking2[[#This Row],[FME ID]],FME_Input[FME_ID],FME_Input[POP100])</f>
        <v>4826</v>
      </c>
      <c r="Q475" s="48" t="e">
        <f>FME_Ranking_Option2!$P475*P$4</f>
        <v>#REF!</v>
      </c>
      <c r="R475" s="48">
        <f>FME_Ranking_Option2!$P475/($P$3)</f>
        <v>1.7712444735777744E-3</v>
      </c>
      <c r="S475" s="48" t="e">
        <f>FME_Ranking_Option2!$R475*P$4</f>
        <v>#REF!</v>
      </c>
      <c r="T475" s="50">
        <f>_xlfn.XLOOKUP(FME_Ranking2[[#This Row],[FME ID]],FME_Input[FME_ID],FME_Input[CRITFAC100])</f>
        <v>2</v>
      </c>
      <c r="U475" s="48" t="e">
        <f>FME_Ranking_Option2!$T475*T$4</f>
        <v>#REF!</v>
      </c>
      <c r="V475" s="48">
        <f>FME_Ranking_Option2!$T475/($T$3)</f>
        <v>2.8204766605556341E-4</v>
      </c>
      <c r="W475" s="48" t="e">
        <f>FME_Ranking_Option2!$V475*T$4</f>
        <v>#REF!</v>
      </c>
      <c r="X475" s="50">
        <f>_xlfn.XLOOKUP(FME_Ranking2[[#This Row],[FME ID]],FME_Input[FME_ID],FME_Input[LWC])</f>
        <v>12</v>
      </c>
      <c r="Y475" s="48" t="e">
        <f>FME_Ranking_Option2!$X475*X$4</f>
        <v>#REF!</v>
      </c>
      <c r="Z475" s="48">
        <f>FME_Ranking_Option2!$X475/($X$3)</f>
        <v>1.0946907498631637E-3</v>
      </c>
      <c r="AA475" s="48" t="e">
        <f>FME_Ranking_Option2!$Z475*X$4</f>
        <v>#REF!</v>
      </c>
      <c r="AB475" s="50">
        <f>_xlfn.XLOOKUP(FME_Ranking2[[#This Row],[FME ID]],FME_Input[FME_ID],FME_Input[ROADCLS])</f>
        <v>0</v>
      </c>
      <c r="AC475" s="48" t="e">
        <f>FME_Ranking_Option2!$AB475*AB$4</f>
        <v>#REF!</v>
      </c>
      <c r="AD475" s="53">
        <f>_xlfn.XLOOKUP(FME_Ranking2[[#This Row],[FME ID]],FME_Input[FME_ID],FME_Input[ROAD_MILES100])</f>
        <v>29.442398071289059</v>
      </c>
      <c r="AE475" s="54" t="e">
        <f>FME_Ranking_Option2!$AD475*AD$4</f>
        <v>#REF!</v>
      </c>
      <c r="AF475" s="55">
        <f>FME_Ranking_Option2!$AD475/($AD$3)</f>
        <v>6.6502377472548683E-4</v>
      </c>
      <c r="AG475" s="55" t="e">
        <f>FME_Ranking_Option2!$AF475*AD$4</f>
        <v>#REF!</v>
      </c>
      <c r="AH475" s="53">
        <f>_xlfn.XLOOKUP(FME_Ranking2[[#This Row],[FME ID]],FME_Input[FME_ID],FME_Input[FARMACRE100])</f>
        <v>1404.395141601562</v>
      </c>
      <c r="AI475" s="54" t="e">
        <f>FME_Ranking_Option2!$AH475*AH$4</f>
        <v>#REF!</v>
      </c>
      <c r="AJ475" s="56">
        <f>FME_Ranking_Option2!$AH475/($AH$3)</f>
        <v>8.1547523580668815E-2</v>
      </c>
      <c r="AK475" s="57" t="e">
        <f>FME_Ranking_Option2!$AJ475*AH$4</f>
        <v>#REF!</v>
      </c>
      <c r="AL475"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75" s="45" t="e">
        <f>_xlfn.RANK.EQ(AL475,$AL$7:$AL$531)+COUNTIF(AL$7:AL475,AL475)-1</f>
        <v>#REF!</v>
      </c>
      <c r="AN475" s="57"/>
      <c r="AO475" s="45" t="e">
        <f>_xlfn.RANK.EQ(AN475,$AN$7:$AN$531)+COUNTIF(AN$7:AN475,AN475)-1</f>
        <v>#N/A</v>
      </c>
      <c r="AP47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75" s="32" t="e">
        <f>FME_Ranking2[[#This Row],[Score Based on Reported Factors]]-FME_Ranking2[[#This Row],[Check]]</f>
        <v>#REF!</v>
      </c>
      <c r="AR475" s="32"/>
      <c r="AT475" s="19"/>
      <c r="AU475" s="19"/>
      <c r="AV475" s="19"/>
      <c r="AW475" s="19"/>
      <c r="AX475" s="19"/>
      <c r="AY475" s="19"/>
      <c r="AZ475" s="19"/>
      <c r="BA475" s="19"/>
      <c r="BB475" s="19"/>
      <c r="BC475" s="19"/>
    </row>
    <row r="476" spans="1:55" ht="12" customHeight="1" x14ac:dyDescent="0.25">
      <c r="A476" s="17" t="s">
        <v>187</v>
      </c>
      <c r="B476" s="17" t="str">
        <f>_xlfn.XLOOKUP(FME_Ranking2[[#This Row],[FME ID]],FME_Input[FME_ID],FME_Input[FME_NAME])</f>
        <v xml:space="preserve">Willis Creek Detention_x000D_
</v>
      </c>
      <c r="C476" s="17" t="str">
        <f>_xlfn.XLOOKUP(FME_Ranking2[[#This Row],[FME ID]],FME_Input[FME_ID],FME_Input[DESCR])</f>
        <v>Willis Creek Detention construction</v>
      </c>
      <c r="D476" s="33" t="str">
        <f>_xlfn.XLOOKUP(FME_Ranking2[[#This Row],[FME ID]],FME_Input[FME_ID],FME_Input[EMER_NEED])</f>
        <v>No</v>
      </c>
      <c r="E476" s="120">
        <f>IF(FME_Ranking_Option2!$D476="Yes",100,0)</f>
        <v>0</v>
      </c>
      <c r="F476" s="34" t="str">
        <f>_xlfn.XLOOKUP(FME_Ranking2[[#This Row],[FME ID]],FME_Input[FME_ID],FME_Input[FUND])</f>
        <v>No</v>
      </c>
      <c r="G476" s="35">
        <f>IF(FME_Ranking_Option2!$F476="Yes",1,0)</f>
        <v>0</v>
      </c>
      <c r="H476" s="33">
        <f>_xlfn.XLOOKUP(FME_Ranking2[[#This Row],[FME ID]],FME_Input[FME_ID],FME_Input[STRUCT_100])</f>
        <v>758</v>
      </c>
      <c r="I476" s="64" t="e">
        <f>FME_Ranking2[[#This Row],[Raw Data3]]*H$4</f>
        <v>#REF!</v>
      </c>
      <c r="J476" s="63">
        <f>((FME_Ranking_Option2!$H476)/($H$3))*100</f>
        <v>8.4234483019195019E-2</v>
      </c>
      <c r="K476" s="36" t="e">
        <f>FME_Ranking2[[#This Row],[Norm Data3]]*H$4</f>
        <v>#REF!</v>
      </c>
      <c r="L476" s="37">
        <f>_xlfn.XLOOKUP(FME_Ranking2[[#This Row],[FME ID]],FME_Input[FME_ID],FME_Input[RES_STRUCT100])</f>
        <v>661</v>
      </c>
      <c r="M476" s="38" t="e">
        <f>FME_Ranking2[[#This Row],[Raw Data4]]*L$4</f>
        <v>#REF!</v>
      </c>
      <c r="N476" s="28">
        <f>((FME_Ranking_Option2!$L476)/($L$3))*100</f>
        <v>9.8821468029535814E-2</v>
      </c>
      <c r="O476" s="39" t="e">
        <f>FME_Ranking2[[#This Row],[Norm Data4]]*L$4</f>
        <v>#REF!</v>
      </c>
      <c r="P476" s="34">
        <f>_xlfn.XLOOKUP(FME_Ranking2[[#This Row],[FME ID]],FME_Input[FME_ID],FME_Input[POP100])</f>
        <v>2415</v>
      </c>
      <c r="Q476" s="35" t="e">
        <f>FME_Ranking_Option2!$P476*P$4</f>
        <v>#REF!</v>
      </c>
      <c r="R476" s="35">
        <f>FME_Ranking_Option2!$P476/($P$3)</f>
        <v>8.8635627925618007E-4</v>
      </c>
      <c r="S476" s="35" t="e">
        <f>FME_Ranking_Option2!$R476*P$4</f>
        <v>#REF!</v>
      </c>
      <c r="T476" s="37">
        <f>_xlfn.XLOOKUP(FME_Ranking2[[#This Row],[FME ID]],FME_Input[FME_ID],FME_Input[CRITFAC100])</f>
        <v>1</v>
      </c>
      <c r="U476" s="35" t="e">
        <f>FME_Ranking_Option2!$T476*T$4</f>
        <v>#REF!</v>
      </c>
      <c r="V476" s="35">
        <f>FME_Ranking_Option2!$T476/($T$3)</f>
        <v>1.4102383302778171E-4</v>
      </c>
      <c r="W476" s="35" t="e">
        <f>FME_Ranking_Option2!$V476*T$4</f>
        <v>#REF!</v>
      </c>
      <c r="X476" s="37">
        <f>_xlfn.XLOOKUP(FME_Ranking2[[#This Row],[FME ID]],FME_Input[FME_ID],FME_Input[LWC])</f>
        <v>2</v>
      </c>
      <c r="Y476" s="35" t="e">
        <f>FME_Ranking_Option2!$X476*X$4</f>
        <v>#REF!</v>
      </c>
      <c r="Z476" s="35">
        <f>FME_Ranking_Option2!$X476/($X$3)</f>
        <v>1.8244845831052726E-4</v>
      </c>
      <c r="AA476" s="35" t="e">
        <f>FME_Ranking_Option2!$Z476*X$4</f>
        <v>#REF!</v>
      </c>
      <c r="AB476" s="37">
        <f>_xlfn.XLOOKUP(FME_Ranking2[[#This Row],[FME ID]],FME_Input[FME_ID],FME_Input[ROADCLS])</f>
        <v>0</v>
      </c>
      <c r="AC476" s="35" t="e">
        <f>FME_Ranking_Option2!$AB476*AB$4</f>
        <v>#REF!</v>
      </c>
      <c r="AD476" s="40">
        <f>_xlfn.XLOOKUP(FME_Ranking2[[#This Row],[FME ID]],FME_Input[FME_ID],FME_Input[ROAD_MILES100])</f>
        <v>14.132053375244141</v>
      </c>
      <c r="AE476" s="41" t="e">
        <f>FME_Ranking_Option2!$AD476*AD$4</f>
        <v>#REF!</v>
      </c>
      <c r="AF476" s="42">
        <f>FME_Ranking_Option2!$AD476/($AD$3)</f>
        <v>3.1920468765727283E-4</v>
      </c>
      <c r="AG476" s="42" t="e">
        <f>FME_Ranking_Option2!$AF476*AD$4</f>
        <v>#REF!</v>
      </c>
      <c r="AH476" s="40">
        <f>_xlfn.XLOOKUP(FME_Ranking2[[#This Row],[FME ID]],FME_Input[FME_ID],FME_Input[FARMACRE100])</f>
        <v>1350.157958984375</v>
      </c>
      <c r="AI476" s="43" t="e">
        <f>FME_Ranking_Option2!$AH476*AH$4</f>
        <v>#REF!</v>
      </c>
      <c r="AJ476" s="41">
        <f>FME_Ranking_Option2!$AH476/($AH$3)</f>
        <v>7.8398190606346327E-2</v>
      </c>
      <c r="AK476" s="44" t="e">
        <f>FME_Ranking_Option2!$AJ476*AH$4</f>
        <v>#REF!</v>
      </c>
      <c r="AL476"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76" s="58" t="e">
        <f>_xlfn.RANK.EQ(AL476,$AL$7:$AL$531)+COUNTIF(AL$7:AL476,AL476)-1</f>
        <v>#REF!</v>
      </c>
      <c r="AN476" s="44"/>
      <c r="AO476" s="58" t="e">
        <f>_xlfn.RANK.EQ(AN476,$AN$7:$AN$531)+COUNTIF(AN$7:AN476,AN476)-1</f>
        <v>#N/A</v>
      </c>
      <c r="AP47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76" s="32" t="e">
        <f>FME_Ranking2[[#This Row],[Score Based on Reported Factors]]-FME_Ranking2[[#This Row],[Check]]</f>
        <v>#REF!</v>
      </c>
      <c r="AR476" s="32"/>
    </row>
    <row r="477" spans="1:55" ht="12" customHeight="1" x14ac:dyDescent="0.25">
      <c r="A477" s="16" t="s">
        <v>218</v>
      </c>
      <c r="B477" s="16" t="e">
        <f>_xlfn.XLOOKUP(FME_Ranking2[[#This Row],[FME ID]],FME_Input[FME_ID],FME_Input[FME_NAME])</f>
        <v>#N/A</v>
      </c>
      <c r="C477" s="16" t="e">
        <f>_xlfn.XLOOKUP(FME_Ranking2[[#This Row],[FME ID]],FME_Input[FME_ID],FME_Input[DESCR])</f>
        <v>#N/A</v>
      </c>
      <c r="D477" s="46" t="e">
        <f>_xlfn.XLOOKUP(FME_Ranking2[[#This Row],[FME ID]],FME_Input[FME_ID],FME_Input[EMER_NEED])</f>
        <v>#N/A</v>
      </c>
      <c r="E477" s="121" t="e">
        <f>IF(FME_Ranking_Option2!$D477="Yes",100,0)</f>
        <v>#N/A</v>
      </c>
      <c r="F477" s="47" t="e">
        <f>_xlfn.XLOOKUP(FME_Ranking2[[#This Row],[FME ID]],FME_Input[FME_ID],FME_Input[FUND])</f>
        <v>#N/A</v>
      </c>
      <c r="G477" s="48" t="e">
        <f>IF(FME_Ranking_Option2!$F477="Yes",1,0)</f>
        <v>#N/A</v>
      </c>
      <c r="H477" s="46" t="e">
        <f>_xlfn.XLOOKUP(FME_Ranking2[[#This Row],[FME ID]],FME_Input[FME_ID],FME_Input[STRUCT_100])</f>
        <v>#N/A</v>
      </c>
      <c r="I477" s="65" t="e">
        <f>FME_Ranking2[[#This Row],[Raw Data3]]*H$4</f>
        <v>#N/A</v>
      </c>
      <c r="J477" s="62" t="e">
        <f>((FME_Ranking_Option2!$H477)/($H$3))*100</f>
        <v>#N/A</v>
      </c>
      <c r="K477" s="49" t="e">
        <f>FME_Ranking2[[#This Row],[Norm Data3]]*H$4</f>
        <v>#N/A</v>
      </c>
      <c r="L477" s="50" t="e">
        <f>_xlfn.XLOOKUP(FME_Ranking2[[#This Row],[FME ID]],FME_Input[FME_ID],FME_Input[RES_STRUCT100])</f>
        <v>#N/A</v>
      </c>
      <c r="M477" s="51" t="e">
        <f>FME_Ranking2[[#This Row],[Raw Data4]]*L$4</f>
        <v>#N/A</v>
      </c>
      <c r="N477" s="29" t="e">
        <f>((FME_Ranking_Option2!$L477)/($L$3))*100</f>
        <v>#N/A</v>
      </c>
      <c r="O477" s="52" t="e">
        <f>FME_Ranking2[[#This Row],[Norm Data4]]*L$4</f>
        <v>#N/A</v>
      </c>
      <c r="P477" s="47" t="e">
        <f>_xlfn.XLOOKUP(FME_Ranking2[[#This Row],[FME ID]],FME_Input[FME_ID],FME_Input[POP100])</f>
        <v>#N/A</v>
      </c>
      <c r="Q477" s="48" t="e">
        <f>FME_Ranking_Option2!$P477*P$4</f>
        <v>#N/A</v>
      </c>
      <c r="R477" s="48" t="e">
        <f>FME_Ranking_Option2!$P477/($P$3)</f>
        <v>#N/A</v>
      </c>
      <c r="S477" s="48" t="e">
        <f>FME_Ranking_Option2!$R477*P$4</f>
        <v>#N/A</v>
      </c>
      <c r="T477" s="50" t="e">
        <f>_xlfn.XLOOKUP(FME_Ranking2[[#This Row],[FME ID]],FME_Input[FME_ID],FME_Input[CRITFAC100])</f>
        <v>#N/A</v>
      </c>
      <c r="U477" s="48" t="e">
        <f>FME_Ranking_Option2!$T477*T$4</f>
        <v>#N/A</v>
      </c>
      <c r="V477" s="48" t="e">
        <f>FME_Ranking_Option2!$T477/($T$3)</f>
        <v>#N/A</v>
      </c>
      <c r="W477" s="48" t="e">
        <f>FME_Ranking_Option2!$V477*T$4</f>
        <v>#N/A</v>
      </c>
      <c r="X477" s="50" t="e">
        <f>_xlfn.XLOOKUP(FME_Ranking2[[#This Row],[FME ID]],FME_Input[FME_ID],FME_Input[LWC])</f>
        <v>#N/A</v>
      </c>
      <c r="Y477" s="48" t="e">
        <f>FME_Ranking_Option2!$X477*X$4</f>
        <v>#N/A</v>
      </c>
      <c r="Z477" s="48" t="e">
        <f>FME_Ranking_Option2!$X477/($X$3)</f>
        <v>#N/A</v>
      </c>
      <c r="AA477" s="48" t="e">
        <f>FME_Ranking_Option2!$Z477*X$4</f>
        <v>#N/A</v>
      </c>
      <c r="AB477" s="50" t="e">
        <f>_xlfn.XLOOKUP(FME_Ranking2[[#This Row],[FME ID]],FME_Input[FME_ID],FME_Input[ROADCLS])</f>
        <v>#N/A</v>
      </c>
      <c r="AC477" s="48" t="e">
        <f>FME_Ranking_Option2!$AB477*AB$4</f>
        <v>#N/A</v>
      </c>
      <c r="AD477" s="53" t="e">
        <f>_xlfn.XLOOKUP(FME_Ranking2[[#This Row],[FME ID]],FME_Input[FME_ID],FME_Input[ROAD_MILES100])</f>
        <v>#N/A</v>
      </c>
      <c r="AE477" s="54" t="e">
        <f>FME_Ranking_Option2!$AD477*AD$4</f>
        <v>#N/A</v>
      </c>
      <c r="AF477" s="55" t="e">
        <f>FME_Ranking_Option2!$AD477/($AD$3)</f>
        <v>#N/A</v>
      </c>
      <c r="AG477" s="55" t="e">
        <f>FME_Ranking_Option2!$AF477*AD$4</f>
        <v>#N/A</v>
      </c>
      <c r="AH477" s="53" t="e">
        <f>_xlfn.XLOOKUP(FME_Ranking2[[#This Row],[FME ID]],FME_Input[FME_ID],FME_Input[FARMACRE100])</f>
        <v>#N/A</v>
      </c>
      <c r="AI477" s="54" t="e">
        <f>FME_Ranking_Option2!$AH477*AH$4</f>
        <v>#N/A</v>
      </c>
      <c r="AJ477" s="56" t="e">
        <f>FME_Ranking_Option2!$AH477/($AH$3)</f>
        <v>#N/A</v>
      </c>
      <c r="AK477" s="57" t="e">
        <f>FME_Ranking_Option2!$AJ477*AH$4</f>
        <v>#N/A</v>
      </c>
      <c r="AL477"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#N/A</v>
      </c>
      <c r="AM477" s="45" t="e">
        <f>_xlfn.RANK.EQ(AL477,$AL$7:$AL$531)+COUNTIF(AL$7:AL477,AL477)-1</f>
        <v>#N/A</v>
      </c>
      <c r="AN477" s="57"/>
      <c r="AO477" s="45" t="e">
        <f>_xlfn.RANK.EQ(AN477,$AN$7:$AN$531)+COUNTIF(AN$7:AN477,AN477)-1</f>
        <v>#N/A</v>
      </c>
      <c r="AP47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#N/A</v>
      </c>
      <c r="AQ477" s="32" t="e">
        <f>FME_Ranking2[[#This Row],[Score Based on Reported Factors]]-FME_Ranking2[[#This Row],[Check]]</f>
        <v>#N/A</v>
      </c>
      <c r="AR477" s="32"/>
      <c r="AT477" s="19"/>
      <c r="AU477" s="19"/>
      <c r="AV477" s="19"/>
      <c r="AW477" s="19"/>
      <c r="AX477" s="19"/>
      <c r="AY477" s="19"/>
      <c r="AZ477" s="19"/>
      <c r="BA477" s="19"/>
      <c r="BB477" s="19"/>
      <c r="BC477" s="19"/>
    </row>
    <row r="478" spans="1:55" ht="12" customHeight="1" x14ac:dyDescent="0.25">
      <c r="A478" s="17" t="s">
        <v>213</v>
      </c>
      <c r="B478" s="17" t="e">
        <f>_xlfn.XLOOKUP(FME_Ranking2[[#This Row],[FME ID]],FME_Input[FME_ID],FME_Input[FME_NAME])</f>
        <v>#N/A</v>
      </c>
      <c r="C478" s="17" t="e">
        <f>_xlfn.XLOOKUP(FME_Ranking2[[#This Row],[FME ID]],FME_Input[FME_ID],FME_Input[DESCR])</f>
        <v>#N/A</v>
      </c>
      <c r="D478" s="33" t="e">
        <f>_xlfn.XLOOKUP(FME_Ranking2[[#This Row],[FME ID]],FME_Input[FME_ID],FME_Input[EMER_NEED])</f>
        <v>#N/A</v>
      </c>
      <c r="E478" s="120" t="e">
        <f>IF(FME_Ranking_Option2!$D478="Yes",100,0)</f>
        <v>#N/A</v>
      </c>
      <c r="F478" s="34" t="e">
        <f>_xlfn.XLOOKUP(FME_Ranking2[[#This Row],[FME ID]],FME_Input[FME_ID],FME_Input[FUND])</f>
        <v>#N/A</v>
      </c>
      <c r="G478" s="35" t="e">
        <f>IF(FME_Ranking_Option2!$F478="Yes",1,0)</f>
        <v>#N/A</v>
      </c>
      <c r="H478" s="33" t="e">
        <f>_xlfn.XLOOKUP(FME_Ranking2[[#This Row],[FME ID]],FME_Input[FME_ID],FME_Input[STRUCT_100])</f>
        <v>#N/A</v>
      </c>
      <c r="I478" s="64" t="e">
        <f>FME_Ranking2[[#This Row],[Raw Data3]]*H$4</f>
        <v>#N/A</v>
      </c>
      <c r="J478" s="63" t="e">
        <f>((FME_Ranking_Option2!$H478)/($H$3))*100</f>
        <v>#N/A</v>
      </c>
      <c r="K478" s="36" t="e">
        <f>FME_Ranking2[[#This Row],[Norm Data3]]*H$4</f>
        <v>#N/A</v>
      </c>
      <c r="L478" s="37" t="e">
        <f>_xlfn.XLOOKUP(FME_Ranking2[[#This Row],[FME ID]],FME_Input[FME_ID],FME_Input[RES_STRUCT100])</f>
        <v>#N/A</v>
      </c>
      <c r="M478" s="38" t="e">
        <f>FME_Ranking2[[#This Row],[Raw Data4]]*L$4</f>
        <v>#N/A</v>
      </c>
      <c r="N478" s="28" t="e">
        <f>((FME_Ranking_Option2!$L478)/($L$3))*100</f>
        <v>#N/A</v>
      </c>
      <c r="O478" s="39" t="e">
        <f>FME_Ranking2[[#This Row],[Norm Data4]]*L$4</f>
        <v>#N/A</v>
      </c>
      <c r="P478" s="34" t="e">
        <f>_xlfn.XLOOKUP(FME_Ranking2[[#This Row],[FME ID]],FME_Input[FME_ID],FME_Input[POP100])</f>
        <v>#N/A</v>
      </c>
      <c r="Q478" s="35" t="e">
        <f>FME_Ranking_Option2!$P478*P$4</f>
        <v>#N/A</v>
      </c>
      <c r="R478" s="35" t="e">
        <f>FME_Ranking_Option2!$P478/($P$3)</f>
        <v>#N/A</v>
      </c>
      <c r="S478" s="35" t="e">
        <f>FME_Ranking_Option2!$R478*P$4</f>
        <v>#N/A</v>
      </c>
      <c r="T478" s="37" t="e">
        <f>_xlfn.XLOOKUP(FME_Ranking2[[#This Row],[FME ID]],FME_Input[FME_ID],FME_Input[CRITFAC100])</f>
        <v>#N/A</v>
      </c>
      <c r="U478" s="35" t="e">
        <f>FME_Ranking_Option2!$T478*T$4</f>
        <v>#N/A</v>
      </c>
      <c r="V478" s="35" t="e">
        <f>FME_Ranking_Option2!$T478/($T$3)</f>
        <v>#N/A</v>
      </c>
      <c r="W478" s="35" t="e">
        <f>FME_Ranking_Option2!$V478*T$4</f>
        <v>#N/A</v>
      </c>
      <c r="X478" s="37" t="e">
        <f>_xlfn.XLOOKUP(FME_Ranking2[[#This Row],[FME ID]],FME_Input[FME_ID],FME_Input[LWC])</f>
        <v>#N/A</v>
      </c>
      <c r="Y478" s="35" t="e">
        <f>FME_Ranking_Option2!$X478*X$4</f>
        <v>#N/A</v>
      </c>
      <c r="Z478" s="35" t="e">
        <f>FME_Ranking_Option2!$X478/($X$3)</f>
        <v>#N/A</v>
      </c>
      <c r="AA478" s="35" t="e">
        <f>FME_Ranking_Option2!$Z478*X$4</f>
        <v>#N/A</v>
      </c>
      <c r="AB478" s="37" t="e">
        <f>_xlfn.XLOOKUP(FME_Ranking2[[#This Row],[FME ID]],FME_Input[FME_ID],FME_Input[ROADCLS])</f>
        <v>#N/A</v>
      </c>
      <c r="AC478" s="35" t="e">
        <f>FME_Ranking_Option2!$AB478*AB$4</f>
        <v>#N/A</v>
      </c>
      <c r="AD478" s="40" t="e">
        <f>_xlfn.XLOOKUP(FME_Ranking2[[#This Row],[FME ID]],FME_Input[FME_ID],FME_Input[ROAD_MILES100])</f>
        <v>#N/A</v>
      </c>
      <c r="AE478" s="41" t="e">
        <f>FME_Ranking_Option2!$AD478*AD$4</f>
        <v>#N/A</v>
      </c>
      <c r="AF478" s="42" t="e">
        <f>FME_Ranking_Option2!$AD478/($AD$3)</f>
        <v>#N/A</v>
      </c>
      <c r="AG478" s="42" t="e">
        <f>FME_Ranking_Option2!$AF478*AD$4</f>
        <v>#N/A</v>
      </c>
      <c r="AH478" s="40" t="e">
        <f>_xlfn.XLOOKUP(FME_Ranking2[[#This Row],[FME ID]],FME_Input[FME_ID],FME_Input[FARMACRE100])</f>
        <v>#N/A</v>
      </c>
      <c r="AI478" s="43" t="e">
        <f>FME_Ranking_Option2!$AH478*AH$4</f>
        <v>#N/A</v>
      </c>
      <c r="AJ478" s="41" t="e">
        <f>FME_Ranking_Option2!$AH478/($AH$3)</f>
        <v>#N/A</v>
      </c>
      <c r="AK478" s="44" t="e">
        <f>FME_Ranking_Option2!$AJ478*AH$4</f>
        <v>#N/A</v>
      </c>
      <c r="AL478"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#N/A</v>
      </c>
      <c r="AM478" s="58" t="e">
        <f>_xlfn.RANK.EQ(AL478,$AL$7:$AL$531)+COUNTIF(AL$7:AL478,AL478)-1</f>
        <v>#N/A</v>
      </c>
      <c r="AN478" s="44"/>
      <c r="AO478" s="58" t="e">
        <f>_xlfn.RANK.EQ(AN478,$AN$7:$AN$531)+COUNTIF(AN$7:AN478,AN478)-1</f>
        <v>#N/A</v>
      </c>
      <c r="AP47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#N/A</v>
      </c>
      <c r="AQ478" s="32" t="e">
        <f>FME_Ranking2[[#This Row],[Score Based on Reported Factors]]-FME_Ranking2[[#This Row],[Check]]</f>
        <v>#N/A</v>
      </c>
      <c r="AR478" s="32"/>
    </row>
    <row r="479" spans="1:55" ht="12" customHeight="1" x14ac:dyDescent="0.25">
      <c r="A479" s="16" t="s">
        <v>215</v>
      </c>
      <c r="B479" s="16" t="str">
        <f>_xlfn.XLOOKUP(FME_Ranking2[[#This Row],[FME ID]],FME_Input[FME_ID],FME_Input[FME_NAME])</f>
        <v>Whitman Branch Bypass; Oak Ridge Drive Creek</v>
      </c>
      <c r="C479" s="16" t="str">
        <f>_xlfn.XLOOKUP(FME_Ranking2[[#This Row],[FME ID]],FME_Input[FME_ID],FME_Input[DESCR])</f>
        <v xml:space="preserve">This project is installing a 50-foot wide by 5-foot deep bypass channel to the east along Oak Ridge Drive Creek to increase water capacity and minimize flooding. </v>
      </c>
      <c r="D479" s="46" t="str">
        <f>_xlfn.XLOOKUP(FME_Ranking2[[#This Row],[FME ID]],FME_Input[FME_ID],FME_Input[EMER_NEED])</f>
        <v>No</v>
      </c>
      <c r="E479" s="121">
        <f>IF(FME_Ranking_Option2!$D479="Yes",100,0)</f>
        <v>0</v>
      </c>
      <c r="F479" s="47" t="str">
        <f>_xlfn.XLOOKUP(FME_Ranking2[[#This Row],[FME ID]],FME_Input[FME_ID],FME_Input[FUND])</f>
        <v>No</v>
      </c>
      <c r="G479" s="48">
        <f>IF(FME_Ranking_Option2!$F479="Yes",1,0)</f>
        <v>0</v>
      </c>
      <c r="H479" s="46">
        <f>_xlfn.XLOOKUP(FME_Ranking2[[#This Row],[FME ID]],FME_Input[FME_ID],FME_Input[STRUCT_100])</f>
        <v>5</v>
      </c>
      <c r="I479" s="65" t="e">
        <f>FME_Ranking2[[#This Row],[Raw Data3]]*H$4</f>
        <v>#REF!</v>
      </c>
      <c r="J479" s="62">
        <f>((FME_Ranking_Option2!$H479)/($H$3))*100</f>
        <v>5.5563643152503302E-4</v>
      </c>
      <c r="K479" s="49" t="e">
        <f>FME_Ranking2[[#This Row],[Norm Data3]]*H$4</f>
        <v>#REF!</v>
      </c>
      <c r="L479" s="50">
        <f>_xlfn.XLOOKUP(FME_Ranking2[[#This Row],[FME ID]],FME_Input[FME_ID],FME_Input[RES_STRUCT100])</f>
        <v>0</v>
      </c>
      <c r="M479" s="51" t="e">
        <f>FME_Ranking2[[#This Row],[Raw Data4]]*L$4</f>
        <v>#REF!</v>
      </c>
      <c r="N479" s="29">
        <f>((FME_Ranking_Option2!$L479)/($L$3))*100</f>
        <v>0</v>
      </c>
      <c r="O479" s="52" t="e">
        <f>FME_Ranking2[[#This Row],[Norm Data4]]*L$4</f>
        <v>#REF!</v>
      </c>
      <c r="P479" s="47">
        <f>_xlfn.XLOOKUP(FME_Ranking2[[#This Row],[FME ID]],FME_Input[FME_ID],FME_Input[POP100])</f>
        <v>107</v>
      </c>
      <c r="Q479" s="48" t="e">
        <f>FME_Ranking_Option2!$P479*P$4</f>
        <v>#REF!</v>
      </c>
      <c r="R479" s="48">
        <f>FME_Ranking_Option2!$P479/($P$3)</f>
        <v>3.9271272000170296E-5</v>
      </c>
      <c r="S479" s="48" t="e">
        <f>FME_Ranking_Option2!$R479*P$4</f>
        <v>#REF!</v>
      </c>
      <c r="T479" s="50">
        <f>_xlfn.XLOOKUP(FME_Ranking2[[#This Row],[FME ID]],FME_Input[FME_ID],FME_Input[CRITFAC100])</f>
        <v>0</v>
      </c>
      <c r="U479" s="48" t="e">
        <f>FME_Ranking_Option2!$T479*T$4</f>
        <v>#REF!</v>
      </c>
      <c r="V479" s="48">
        <f>FME_Ranking_Option2!$T479/($T$3)</f>
        <v>0</v>
      </c>
      <c r="W479" s="48" t="e">
        <f>FME_Ranking_Option2!$V479*T$4</f>
        <v>#REF!</v>
      </c>
      <c r="X479" s="50">
        <f>_xlfn.XLOOKUP(FME_Ranking2[[#This Row],[FME ID]],FME_Input[FME_ID],FME_Input[LWC])</f>
        <v>0</v>
      </c>
      <c r="Y479" s="48" t="e">
        <f>FME_Ranking_Option2!$X479*X$4</f>
        <v>#REF!</v>
      </c>
      <c r="Z479" s="48">
        <f>FME_Ranking_Option2!$X479/($X$3)</f>
        <v>0</v>
      </c>
      <c r="AA479" s="48" t="e">
        <f>FME_Ranking_Option2!$Z479*X$4</f>
        <v>#REF!</v>
      </c>
      <c r="AB479" s="50">
        <f>_xlfn.XLOOKUP(FME_Ranking2[[#This Row],[FME ID]],FME_Input[FME_ID],FME_Input[ROADCLS])</f>
        <v>0</v>
      </c>
      <c r="AC479" s="48" t="e">
        <f>FME_Ranking_Option2!$AB479*AB$4</f>
        <v>#REF!</v>
      </c>
      <c r="AD479" s="53">
        <f>_xlfn.XLOOKUP(FME_Ranking2[[#This Row],[FME ID]],FME_Input[FME_ID],FME_Input[ROAD_MILES100])</f>
        <v>0.289040207862854</v>
      </c>
      <c r="AE479" s="54" t="e">
        <f>FME_Ranking_Option2!$AD479*AD$4</f>
        <v>#REF!</v>
      </c>
      <c r="AF479" s="55">
        <f>FME_Ranking_Option2!$AD479/($AD$3)</f>
        <v>6.5286329467788056E-6</v>
      </c>
      <c r="AG479" s="55" t="e">
        <f>FME_Ranking_Option2!$AF479*AD$4</f>
        <v>#REF!</v>
      </c>
      <c r="AH479" s="53">
        <f>_xlfn.XLOOKUP(FME_Ranking2[[#This Row],[FME ID]],FME_Input[FME_ID],FME_Input[FARMACRE100])</f>
        <v>126.35650634765619</v>
      </c>
      <c r="AI479" s="54" t="e">
        <f>FME_Ranking_Option2!$AH479*AH$4</f>
        <v>#REF!</v>
      </c>
      <c r="AJ479" s="56">
        <f>FME_Ranking_Option2!$AH479/($AH$3)</f>
        <v>7.3370092758977693E-3</v>
      </c>
      <c r="AK479" s="57" t="e">
        <f>FME_Ranking_Option2!$AJ479*AH$4</f>
        <v>#REF!</v>
      </c>
      <c r="AL479"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79" s="45" t="e">
        <f>_xlfn.RANK.EQ(AL479,$AL$7:$AL$531)+COUNTIF(AL$7:AL479,AL479)-1</f>
        <v>#REF!</v>
      </c>
      <c r="AN479" s="57"/>
      <c r="AO479" s="45" t="e">
        <f>_xlfn.RANK.EQ(AN479,$AN$7:$AN$531)+COUNTIF(AN$7:AN479,AN479)-1</f>
        <v>#N/A</v>
      </c>
      <c r="AP47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79" s="32" t="e">
        <f>FME_Ranking2[[#This Row],[Score Based on Reported Factors]]-FME_Ranking2[[#This Row],[Check]]</f>
        <v>#REF!</v>
      </c>
      <c r="AR479" s="32"/>
      <c r="AT479" s="19"/>
      <c r="AU479" s="19"/>
      <c r="AV479" s="19"/>
      <c r="AW479" s="19"/>
      <c r="AX479" s="19"/>
      <c r="AY479" s="19"/>
      <c r="AZ479" s="19"/>
      <c r="BA479" s="19"/>
      <c r="BB479" s="19"/>
      <c r="BC479" s="19"/>
    </row>
    <row r="480" spans="1:55" ht="12" customHeight="1" x14ac:dyDescent="0.25">
      <c r="A480" s="17" t="s">
        <v>256</v>
      </c>
      <c r="B480" s="17" t="str">
        <f>_xlfn.XLOOKUP(FME_Ranking2[[#This Row],[FME ID]],FME_Input[FME_ID],FME_Input[FME_NAME])</f>
        <v>Sandy Oaks Subdivision</v>
      </c>
      <c r="C480" s="17" t="str">
        <f>_xlfn.XLOOKUP(FME_Ranking2[[#This Row],[FME ID]],FME_Input[FME_ID],FME_Input[DESCR])</f>
        <v>Sandy Oaks Subdivision</v>
      </c>
      <c r="D480" s="33" t="str">
        <f>_xlfn.XLOOKUP(FME_Ranking2[[#This Row],[FME ID]],FME_Input[FME_ID],FME_Input[EMER_NEED])</f>
        <v>No</v>
      </c>
      <c r="E480" s="120">
        <f>IF(FME_Ranking_Option2!$D480="Yes",100,0)</f>
        <v>0</v>
      </c>
      <c r="F480" s="34" t="str">
        <f>_xlfn.XLOOKUP(FME_Ranking2[[#This Row],[FME ID]],FME_Input[FME_ID],FME_Input[FUND])</f>
        <v>No</v>
      </c>
      <c r="G480" s="35">
        <f>IF(FME_Ranking_Option2!$F480="Yes",1,0)</f>
        <v>0</v>
      </c>
      <c r="H480" s="33">
        <f>_xlfn.XLOOKUP(FME_Ranking2[[#This Row],[FME ID]],FME_Input[FME_ID],FME_Input[STRUCT_100])</f>
        <v>2103</v>
      </c>
      <c r="I480" s="64" t="e">
        <f>FME_Ranking2[[#This Row],[Raw Data3]]*H$4</f>
        <v>#REF!</v>
      </c>
      <c r="J480" s="63">
        <f>((FME_Ranking_Option2!$H480)/($H$3))*100</f>
        <v>0.2337006830994289</v>
      </c>
      <c r="K480" s="36" t="e">
        <f>FME_Ranking2[[#This Row],[Norm Data3]]*H$4</f>
        <v>#REF!</v>
      </c>
      <c r="L480" s="37">
        <f>_xlfn.XLOOKUP(FME_Ranking2[[#This Row],[FME ID]],FME_Input[FME_ID],FME_Input[RES_STRUCT100])</f>
        <v>1079</v>
      </c>
      <c r="M480" s="38" t="e">
        <f>FME_Ranking2[[#This Row],[Raw Data4]]*L$4</f>
        <v>#REF!</v>
      </c>
      <c r="N480" s="28">
        <f>((FME_Ranking_Option2!$L480)/($L$3))*100</f>
        <v>0.1613137125625857</v>
      </c>
      <c r="O480" s="39" t="e">
        <f>FME_Ranking2[[#This Row],[Norm Data4]]*L$4</f>
        <v>#REF!</v>
      </c>
      <c r="P480" s="34">
        <f>_xlfn.XLOOKUP(FME_Ranking2[[#This Row],[FME ID]],FME_Input[FME_ID],FME_Input[POP100])</f>
        <v>3616</v>
      </c>
      <c r="Q480" s="35" t="e">
        <f>FME_Ranking_Option2!$P480*P$4</f>
        <v>#REF!</v>
      </c>
      <c r="R480" s="35">
        <f>FME_Ranking_Option2!$P480/($P$3)</f>
        <v>1.3271487808655682E-3</v>
      </c>
      <c r="S480" s="35" t="e">
        <f>FME_Ranking_Option2!$R480*P$4</f>
        <v>#REF!</v>
      </c>
      <c r="T480" s="37">
        <f>_xlfn.XLOOKUP(FME_Ranking2[[#This Row],[FME ID]],FME_Input[FME_ID],FME_Input[CRITFAC100])</f>
        <v>6</v>
      </c>
      <c r="U480" s="35" t="e">
        <f>FME_Ranking_Option2!$T480*T$4</f>
        <v>#REF!</v>
      </c>
      <c r="V480" s="35">
        <f>FME_Ranking_Option2!$T480/($T$3)</f>
        <v>8.4614299816669018E-4</v>
      </c>
      <c r="W480" s="35" t="e">
        <f>FME_Ranking_Option2!$V480*T$4</f>
        <v>#REF!</v>
      </c>
      <c r="X480" s="37">
        <f>_xlfn.XLOOKUP(FME_Ranking2[[#This Row],[FME ID]],FME_Input[FME_ID],FME_Input[LWC])</f>
        <v>11</v>
      </c>
      <c r="Y480" s="35" t="e">
        <f>FME_Ranking_Option2!$X480*X$4</f>
        <v>#REF!</v>
      </c>
      <c r="Z480" s="35">
        <f>FME_Ranking_Option2!$X480/($X$3)</f>
        <v>1.0034665207078999E-3</v>
      </c>
      <c r="AA480" s="35" t="e">
        <f>FME_Ranking_Option2!$Z480*X$4</f>
        <v>#REF!</v>
      </c>
      <c r="AB480" s="37">
        <f>_xlfn.XLOOKUP(FME_Ranking2[[#This Row],[FME ID]],FME_Input[FME_ID],FME_Input[ROADCLS])</f>
        <v>0</v>
      </c>
      <c r="AC480" s="35" t="e">
        <f>FME_Ranking_Option2!$AB480*AB$4</f>
        <v>#REF!</v>
      </c>
      <c r="AD480" s="40">
        <f>_xlfn.XLOOKUP(FME_Ranking2[[#This Row],[FME ID]],FME_Input[FME_ID],FME_Input[ROAD_MILES100])</f>
        <v>118.81032562255859</v>
      </c>
      <c r="AE480" s="41" t="e">
        <f>FME_Ranking_Option2!$AD480*AD$4</f>
        <v>#REF!</v>
      </c>
      <c r="AF480" s="42">
        <f>FME_Ranking_Option2!$AD480/($AD$3)</f>
        <v>2.6836024372256175E-3</v>
      </c>
      <c r="AG480" s="42" t="e">
        <f>FME_Ranking_Option2!$AF480*AD$4</f>
        <v>#REF!</v>
      </c>
      <c r="AH480" s="40">
        <f>_xlfn.XLOOKUP(FME_Ranking2[[#This Row],[FME ID]],FME_Input[FME_ID],FME_Input[FARMACRE100])</f>
        <v>105661.765625</v>
      </c>
      <c r="AI480" s="43" t="e">
        <f>FME_Ranking_Option2!$AH480*AH$4</f>
        <v>#REF!</v>
      </c>
      <c r="AJ480" s="41">
        <f>FME_Ranking_Option2!$AH480/($AH$3)</f>
        <v>6.1353497093799723</v>
      </c>
      <c r="AK480" s="44" t="e">
        <f>FME_Ranking_Option2!$AJ480*AH$4</f>
        <v>#REF!</v>
      </c>
      <c r="AL480"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80" s="58" t="e">
        <f>_xlfn.RANK.EQ(AL480,$AL$7:$AL$531)+COUNTIF(AL$7:AL480,AL480)-1</f>
        <v>#REF!</v>
      </c>
      <c r="AN480" s="44"/>
      <c r="AO480" s="58" t="e">
        <f>_xlfn.RANK.EQ(AN480,$AN$7:$AN$531)+COUNTIF(AN$7:AN480,AN480)-1</f>
        <v>#N/A</v>
      </c>
      <c r="AP48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80" s="32" t="e">
        <f>FME_Ranking2[[#This Row],[Score Based on Reported Factors]]-FME_Ranking2[[#This Row],[Check]]</f>
        <v>#REF!</v>
      </c>
      <c r="AR480" s="32"/>
    </row>
    <row r="481" spans="1:55" ht="12" customHeight="1" x14ac:dyDescent="0.25">
      <c r="A481" s="16" t="s">
        <v>262</v>
      </c>
      <c r="B481" s="16" t="str">
        <f>_xlfn.XLOOKUP(FME_Ranking2[[#This Row],[FME ID]],FME_Input[FME_ID],FME_Input[FME_NAME])</f>
        <v>Frisch Auf Buyout</v>
      </c>
      <c r="C481" s="16" t="str">
        <f>_xlfn.XLOOKUP(FME_Ranking2[[#This Row],[FME ID]],FME_Input[FME_ID],FME_Input[DESCR])</f>
        <v>Buyout all property in Frisch Auf Floodplain</v>
      </c>
      <c r="D481" s="46" t="str">
        <f>_xlfn.XLOOKUP(FME_Ranking2[[#This Row],[FME ID]],FME_Input[FME_ID],FME_Input[EMER_NEED])</f>
        <v>No</v>
      </c>
      <c r="E481" s="121">
        <f>IF(FME_Ranking_Option2!$D481="Yes",100,0)</f>
        <v>0</v>
      </c>
      <c r="F481" s="47" t="str">
        <f>_xlfn.XLOOKUP(FME_Ranking2[[#This Row],[FME ID]],FME_Input[FME_ID],FME_Input[FUND])</f>
        <v>No</v>
      </c>
      <c r="G481" s="48">
        <f>IF(FME_Ranking_Option2!$F481="Yes",1,0)</f>
        <v>0</v>
      </c>
      <c r="H481" s="46">
        <f>_xlfn.XLOOKUP(FME_Ranking2[[#This Row],[FME ID]],FME_Input[FME_ID],FME_Input[STRUCT_100])</f>
        <v>91</v>
      </c>
      <c r="I481" s="65" t="e">
        <f>FME_Ranking2[[#This Row],[Raw Data3]]*H$4</f>
        <v>#REF!</v>
      </c>
      <c r="J481" s="62">
        <f>((FME_Ranking_Option2!$H481)/($H$3))*100</f>
        <v>1.0112583053755602E-2</v>
      </c>
      <c r="K481" s="49" t="e">
        <f>FME_Ranking2[[#This Row],[Norm Data3]]*H$4</f>
        <v>#REF!</v>
      </c>
      <c r="L481" s="50">
        <f>_xlfn.XLOOKUP(FME_Ranking2[[#This Row],[FME ID]],FME_Input[FME_ID],FME_Input[RES_STRUCT100])</f>
        <v>49</v>
      </c>
      <c r="M481" s="51" t="e">
        <f>FME_Ranking2[[#This Row],[Raw Data4]]*L$4</f>
        <v>#REF!</v>
      </c>
      <c r="N481" s="29">
        <f>((FME_Ranking_Option2!$L481)/($L$3))*100</f>
        <v>7.3256458902379046E-3</v>
      </c>
      <c r="O481" s="52" t="e">
        <f>FME_Ranking2[[#This Row],[Norm Data4]]*L$4</f>
        <v>#REF!</v>
      </c>
      <c r="P481" s="47">
        <f>_xlfn.XLOOKUP(FME_Ranking2[[#This Row],[FME ID]],FME_Input[FME_ID],FME_Input[POP100])</f>
        <v>85</v>
      </c>
      <c r="Q481" s="48" t="e">
        <f>FME_Ranking_Option2!$P481*P$4</f>
        <v>#REF!</v>
      </c>
      <c r="R481" s="48">
        <f>FME_Ranking_Option2!$P481/($P$3)</f>
        <v>3.1196804859948367E-5</v>
      </c>
      <c r="S481" s="48" t="e">
        <f>FME_Ranking_Option2!$R481*P$4</f>
        <v>#REF!</v>
      </c>
      <c r="T481" s="50">
        <f>_xlfn.XLOOKUP(FME_Ranking2[[#This Row],[FME ID]],FME_Input[FME_ID],FME_Input[CRITFAC100])</f>
        <v>0</v>
      </c>
      <c r="U481" s="48" t="e">
        <f>FME_Ranking_Option2!$T481*T$4</f>
        <v>#REF!</v>
      </c>
      <c r="V481" s="48">
        <f>FME_Ranking_Option2!$T481/($T$3)</f>
        <v>0</v>
      </c>
      <c r="W481" s="48" t="e">
        <f>FME_Ranking_Option2!$V481*T$4</f>
        <v>#REF!</v>
      </c>
      <c r="X481" s="50">
        <f>_xlfn.XLOOKUP(FME_Ranking2[[#This Row],[FME ID]],FME_Input[FME_ID],FME_Input[LWC])</f>
        <v>1</v>
      </c>
      <c r="Y481" s="48" t="e">
        <f>FME_Ranking_Option2!$X481*X$4</f>
        <v>#REF!</v>
      </c>
      <c r="Z481" s="48">
        <f>FME_Ranking_Option2!$X481/($X$3)</f>
        <v>9.1224229155263632E-5</v>
      </c>
      <c r="AA481" s="48" t="e">
        <f>FME_Ranking_Option2!$Z481*X$4</f>
        <v>#REF!</v>
      </c>
      <c r="AB481" s="50">
        <f>_xlfn.XLOOKUP(FME_Ranking2[[#This Row],[FME ID]],FME_Input[FME_ID],FME_Input[ROADCLS])</f>
        <v>0</v>
      </c>
      <c r="AC481" s="48" t="e">
        <f>FME_Ranking_Option2!$AB481*AB$4</f>
        <v>#REF!</v>
      </c>
      <c r="AD481" s="53">
        <f>_xlfn.XLOOKUP(FME_Ranking2[[#This Row],[FME ID]],FME_Input[FME_ID],FME_Input[ROAD_MILES100])</f>
        <v>4.0013294219970703</v>
      </c>
      <c r="AE481" s="54" t="e">
        <f>FME_Ranking_Option2!$AD481*AD$4</f>
        <v>#REF!</v>
      </c>
      <c r="AF481" s="55">
        <f>FME_Ranking_Option2!$AD481/($AD$3)</f>
        <v>9.0379159662660531E-5</v>
      </c>
      <c r="AG481" s="55" t="e">
        <f>FME_Ranking_Option2!$AF481*AD$4</f>
        <v>#REF!</v>
      </c>
      <c r="AH481" s="53">
        <f>_xlfn.XLOOKUP(FME_Ranking2[[#This Row],[FME ID]],FME_Input[FME_ID],FME_Input[FARMACRE100])</f>
        <v>5822.63427734375</v>
      </c>
      <c r="AI481" s="54" t="e">
        <f>FME_Ranking_Option2!$AH481*AH$4</f>
        <v>#REF!</v>
      </c>
      <c r="AJ481" s="56">
        <f>FME_Ranking_Option2!$AH481/($AH$3)</f>
        <v>0.33809673073335833</v>
      </c>
      <c r="AK481" s="57" t="e">
        <f>FME_Ranking_Option2!$AJ481*AH$4</f>
        <v>#REF!</v>
      </c>
      <c r="AL481"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81" s="45" t="e">
        <f>_xlfn.RANK.EQ(AL481,$AL$7:$AL$531)+COUNTIF(AL$7:AL481,AL481)-1</f>
        <v>#REF!</v>
      </c>
      <c r="AN481" s="57"/>
      <c r="AO481" s="45" t="e">
        <f>_xlfn.RANK.EQ(AN481,$AN$7:$AN$531)+COUNTIF(AN$7:AN481,AN481)-1</f>
        <v>#N/A</v>
      </c>
      <c r="AP48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81" s="32" t="e">
        <f>FME_Ranking2[[#This Row],[Score Based on Reported Factors]]-FME_Ranking2[[#This Row],[Check]]</f>
        <v>#REF!</v>
      </c>
      <c r="AR481" s="32"/>
      <c r="AT481" s="19"/>
      <c r="AU481" s="19"/>
      <c r="AV481" s="19"/>
      <c r="AW481" s="19"/>
      <c r="AX481" s="19"/>
      <c r="AY481" s="19"/>
      <c r="AZ481" s="19"/>
      <c r="BA481" s="19"/>
      <c r="BB481" s="19"/>
      <c r="BC481" s="19"/>
    </row>
    <row r="482" spans="1:55" ht="12" customHeight="1" x14ac:dyDescent="0.25">
      <c r="A482" s="17" t="s">
        <v>269</v>
      </c>
      <c r="B482" s="17" t="str">
        <f>_xlfn.XLOOKUP(FME_Ranking2[[#This Row],[FME ID]],FME_Input[FME_ID],FME_Input[FME_NAME])</f>
        <v xml:space="preserve">Flood Proof Wastewater Treatment Plants_x000D_
</v>
      </c>
      <c r="C482" s="17" t="str">
        <f>_xlfn.XLOOKUP(FME_Ranking2[[#This Row],[FME ID]],FME_Input[FME_ID],FME_Input[DESCR])</f>
        <v>Flood Proof Wastewater Treatment Plants</v>
      </c>
      <c r="D482" s="33" t="str">
        <f>_xlfn.XLOOKUP(FME_Ranking2[[#This Row],[FME ID]],FME_Input[FME_ID],FME_Input[EMER_NEED])</f>
        <v>No</v>
      </c>
      <c r="E482" s="120">
        <f>IF(FME_Ranking_Option2!$D482="Yes",100,0)</f>
        <v>0</v>
      </c>
      <c r="F482" s="34" t="str">
        <f>_xlfn.XLOOKUP(FME_Ranking2[[#This Row],[FME ID]],FME_Input[FME_ID],FME_Input[FUND])</f>
        <v>No</v>
      </c>
      <c r="G482" s="35">
        <f>IF(FME_Ranking_Option2!$F482="Yes",1,0)</f>
        <v>0</v>
      </c>
      <c r="H482" s="33">
        <f>_xlfn.XLOOKUP(FME_Ranking2[[#This Row],[FME ID]],FME_Input[FME_ID],FME_Input[STRUCT_100])</f>
        <v>0</v>
      </c>
      <c r="I482" s="64" t="e">
        <f>FME_Ranking2[[#This Row],[Raw Data3]]*H$4</f>
        <v>#REF!</v>
      </c>
      <c r="J482" s="63">
        <f>((FME_Ranking_Option2!$H482)/($H$3))*100</f>
        <v>0</v>
      </c>
      <c r="K482" s="36" t="e">
        <f>FME_Ranking2[[#This Row],[Norm Data3]]*H$4</f>
        <v>#REF!</v>
      </c>
      <c r="L482" s="37">
        <f>_xlfn.XLOOKUP(FME_Ranking2[[#This Row],[FME ID]],FME_Input[FME_ID],FME_Input[RES_STRUCT100])</f>
        <v>0</v>
      </c>
      <c r="M482" s="38" t="e">
        <f>FME_Ranking2[[#This Row],[Raw Data4]]*L$4</f>
        <v>#REF!</v>
      </c>
      <c r="N482" s="28">
        <f>((FME_Ranking_Option2!$L482)/($L$3))*100</f>
        <v>0</v>
      </c>
      <c r="O482" s="39" t="e">
        <f>FME_Ranking2[[#This Row],[Norm Data4]]*L$4</f>
        <v>#REF!</v>
      </c>
      <c r="P482" s="34">
        <f>_xlfn.XLOOKUP(FME_Ranking2[[#This Row],[FME ID]],FME_Input[FME_ID],FME_Input[POP100])</f>
        <v>0</v>
      </c>
      <c r="Q482" s="35" t="e">
        <f>FME_Ranking_Option2!$P482*P$4</f>
        <v>#REF!</v>
      </c>
      <c r="R482" s="35">
        <f>FME_Ranking_Option2!$P482/($P$3)</f>
        <v>0</v>
      </c>
      <c r="S482" s="35" t="e">
        <f>FME_Ranking_Option2!$R482*P$4</f>
        <v>#REF!</v>
      </c>
      <c r="T482" s="37">
        <f>_xlfn.XLOOKUP(FME_Ranking2[[#This Row],[FME ID]],FME_Input[FME_ID],FME_Input[CRITFAC100])</f>
        <v>0</v>
      </c>
      <c r="U482" s="35" t="e">
        <f>FME_Ranking_Option2!$T482*T$4</f>
        <v>#REF!</v>
      </c>
      <c r="V482" s="35">
        <f>FME_Ranking_Option2!$T482/($T$3)</f>
        <v>0</v>
      </c>
      <c r="W482" s="35" t="e">
        <f>FME_Ranking_Option2!$V482*T$4</f>
        <v>#REF!</v>
      </c>
      <c r="X482" s="37">
        <f>_xlfn.XLOOKUP(FME_Ranking2[[#This Row],[FME ID]],FME_Input[FME_ID],FME_Input[LWC])</f>
        <v>0</v>
      </c>
      <c r="Y482" s="35" t="e">
        <f>FME_Ranking_Option2!$X482*X$4</f>
        <v>#REF!</v>
      </c>
      <c r="Z482" s="35">
        <f>FME_Ranking_Option2!$X482/($X$3)</f>
        <v>0</v>
      </c>
      <c r="AA482" s="35" t="e">
        <f>FME_Ranking_Option2!$Z482*X$4</f>
        <v>#REF!</v>
      </c>
      <c r="AB482" s="37">
        <f>_xlfn.XLOOKUP(FME_Ranking2[[#This Row],[FME ID]],FME_Input[FME_ID],FME_Input[ROADCLS])</f>
        <v>0</v>
      </c>
      <c r="AC482" s="35" t="e">
        <f>FME_Ranking_Option2!$AB482*AB$4</f>
        <v>#REF!</v>
      </c>
      <c r="AD482" s="40">
        <f>_xlfn.XLOOKUP(FME_Ranking2[[#This Row],[FME ID]],FME_Input[FME_ID],FME_Input[ROAD_MILES100])</f>
        <v>0</v>
      </c>
      <c r="AE482" s="41" t="e">
        <f>FME_Ranking_Option2!$AD482*AD$4</f>
        <v>#REF!</v>
      </c>
      <c r="AF482" s="42">
        <f>FME_Ranking_Option2!$AD482/($AD$3)</f>
        <v>0</v>
      </c>
      <c r="AG482" s="42" t="e">
        <f>FME_Ranking_Option2!$AF482*AD$4</f>
        <v>#REF!</v>
      </c>
      <c r="AH482" s="40">
        <f>_xlfn.XLOOKUP(FME_Ranking2[[#This Row],[FME ID]],FME_Input[FME_ID],FME_Input[FARMACRE100])</f>
        <v>0</v>
      </c>
      <c r="AI482" s="43" t="e">
        <f>FME_Ranking_Option2!$AH482*AH$4</f>
        <v>#REF!</v>
      </c>
      <c r="AJ482" s="41">
        <f>FME_Ranking_Option2!$AH482/($AH$3)</f>
        <v>0</v>
      </c>
      <c r="AK482" s="44" t="e">
        <f>FME_Ranking_Option2!$AJ482*AH$4</f>
        <v>#REF!</v>
      </c>
      <c r="AL482"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82" s="58" t="e">
        <f>_xlfn.RANK.EQ(AL482,$AL$7:$AL$531)+COUNTIF(AL$7:AL482,AL482)-1</f>
        <v>#REF!</v>
      </c>
      <c r="AN482" s="44"/>
      <c r="AO482" s="58" t="e">
        <f>_xlfn.RANK.EQ(AN482,$AN$7:$AN$531)+COUNTIF(AN$7:AN482,AN482)-1</f>
        <v>#N/A</v>
      </c>
      <c r="AP48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82" s="32" t="e">
        <f>FME_Ranking2[[#This Row],[Score Based on Reported Factors]]-FME_Ranking2[[#This Row],[Check]]</f>
        <v>#REF!</v>
      </c>
      <c r="AR482" s="32"/>
    </row>
    <row r="483" spans="1:55" ht="12" customHeight="1" x14ac:dyDescent="0.25">
      <c r="A483" s="16" t="s">
        <v>286</v>
      </c>
      <c r="B483" s="16" t="str">
        <f>_xlfn.XLOOKUP(FME_Ranking2[[#This Row],[FME ID]],FME_Input[FME_ID],FME_Input[FME_NAME])</f>
        <v>Various Streets - Install Flood Early Warning Systems</v>
      </c>
      <c r="C483" s="16" t="str">
        <f>_xlfn.XLOOKUP(FME_Ranking2[[#This Row],[FME ID]],FME_Input[FME_ID],FME_Input[DESCR])</f>
        <v>High water barricades in several locations</v>
      </c>
      <c r="D483" s="46" t="str">
        <f>_xlfn.XLOOKUP(FME_Ranking2[[#This Row],[FME ID]],FME_Input[FME_ID],FME_Input[EMER_NEED])</f>
        <v>No</v>
      </c>
      <c r="E483" s="121">
        <f>IF(FME_Ranking_Option2!$D483="Yes",100,0)</f>
        <v>0</v>
      </c>
      <c r="F483" s="47" t="str">
        <f>_xlfn.XLOOKUP(FME_Ranking2[[#This Row],[FME ID]],FME_Input[FME_ID],FME_Input[FUND])</f>
        <v>No</v>
      </c>
      <c r="G483" s="48">
        <f>IF(FME_Ranking_Option2!$F483="Yes",1,0)</f>
        <v>0</v>
      </c>
      <c r="H483" s="46">
        <f>_xlfn.XLOOKUP(FME_Ranking2[[#This Row],[FME ID]],FME_Input[FME_ID],FME_Input[STRUCT_100])</f>
        <v>582</v>
      </c>
      <c r="I483" s="65" t="e">
        <f>FME_Ranking2[[#This Row],[Raw Data3]]*H$4</f>
        <v>#REF!</v>
      </c>
      <c r="J483" s="62">
        <f>((FME_Ranking_Option2!$H483)/($H$3))*100</f>
        <v>6.4676080629513855E-2</v>
      </c>
      <c r="K483" s="49" t="e">
        <f>FME_Ranking2[[#This Row],[Norm Data3]]*H$4</f>
        <v>#REF!</v>
      </c>
      <c r="L483" s="50">
        <f>_xlfn.XLOOKUP(FME_Ranking2[[#This Row],[FME ID]],FME_Input[FME_ID],FME_Input[RES_STRUCT100])</f>
        <v>393</v>
      </c>
      <c r="M483" s="51" t="e">
        <f>FME_Ranking2[[#This Row],[Raw Data4]]*L$4</f>
        <v>#REF!</v>
      </c>
      <c r="N483" s="29">
        <f>((FME_Ranking_Option2!$L483)/($L$3))*100</f>
        <v>5.8754670099255023E-2</v>
      </c>
      <c r="O483" s="52" t="e">
        <f>FME_Ranking2[[#This Row],[Norm Data4]]*L$4</f>
        <v>#REF!</v>
      </c>
      <c r="P483" s="47">
        <f>_xlfn.XLOOKUP(FME_Ranking2[[#This Row],[FME ID]],FME_Input[FME_ID],FME_Input[POP100])</f>
        <v>628</v>
      </c>
      <c r="Q483" s="48" t="e">
        <f>FME_Ranking_Option2!$P483*P$4</f>
        <v>#REF!</v>
      </c>
      <c r="R483" s="48">
        <f>FME_Ranking_Option2!$P483/($P$3)</f>
        <v>2.3048933472997148E-4</v>
      </c>
      <c r="S483" s="48" t="e">
        <f>FME_Ranking_Option2!$R483*P$4</f>
        <v>#REF!</v>
      </c>
      <c r="T483" s="50">
        <f>_xlfn.XLOOKUP(FME_Ranking2[[#This Row],[FME ID]],FME_Input[FME_ID],FME_Input[CRITFAC100])</f>
        <v>0</v>
      </c>
      <c r="U483" s="48" t="e">
        <f>FME_Ranking_Option2!$T483*T$4</f>
        <v>#REF!</v>
      </c>
      <c r="V483" s="48">
        <f>FME_Ranking_Option2!$T483/($T$3)</f>
        <v>0</v>
      </c>
      <c r="W483" s="48" t="e">
        <f>FME_Ranking_Option2!$V483*T$4</f>
        <v>#REF!</v>
      </c>
      <c r="X483" s="50">
        <f>_xlfn.XLOOKUP(FME_Ranking2[[#This Row],[FME ID]],FME_Input[FME_ID],FME_Input[LWC])</f>
        <v>0</v>
      </c>
      <c r="Y483" s="48" t="e">
        <f>FME_Ranking_Option2!$X483*X$4</f>
        <v>#REF!</v>
      </c>
      <c r="Z483" s="48">
        <f>FME_Ranking_Option2!$X483/($X$3)</f>
        <v>0</v>
      </c>
      <c r="AA483" s="48" t="e">
        <f>FME_Ranking_Option2!$Z483*X$4</f>
        <v>#REF!</v>
      </c>
      <c r="AB483" s="50">
        <f>_xlfn.XLOOKUP(FME_Ranking2[[#This Row],[FME ID]],FME_Input[FME_ID],FME_Input[ROADCLS])</f>
        <v>0</v>
      </c>
      <c r="AC483" s="48" t="e">
        <f>FME_Ranking_Option2!$AB483*AB$4</f>
        <v>#REF!</v>
      </c>
      <c r="AD483" s="53">
        <f>_xlfn.XLOOKUP(FME_Ranking2[[#This Row],[FME ID]],FME_Input[FME_ID],FME_Input[ROAD_MILES100])</f>
        <v>26.02658843994141</v>
      </c>
      <c r="AE483" s="54" t="e">
        <f>FME_Ranking_Option2!$AD483*AD$4</f>
        <v>#REF!</v>
      </c>
      <c r="AF483" s="55">
        <f>FME_Ranking_Option2!$AD483/($AD$3)</f>
        <v>5.8786991622244435E-4</v>
      </c>
      <c r="AG483" s="55" t="e">
        <f>FME_Ranking_Option2!$AF483*AD$4</f>
        <v>#REF!</v>
      </c>
      <c r="AH483" s="53">
        <f>_xlfn.XLOOKUP(FME_Ranking2[[#This Row],[FME ID]],FME_Input[FME_ID],FME_Input[FARMACRE100])</f>
        <v>15359.0576171875</v>
      </c>
      <c r="AI483" s="54" t="e">
        <f>FME_Ranking_Option2!$AH483*AH$4</f>
        <v>#REF!</v>
      </c>
      <c r="AJ483" s="56">
        <f>FME_Ranking_Option2!$AH483/($AH$3)</f>
        <v>0.89183811315817751</v>
      </c>
      <c r="AK483" s="57" t="e">
        <f>FME_Ranking_Option2!$AJ483*AH$4</f>
        <v>#REF!</v>
      </c>
      <c r="AL483"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83" s="45" t="e">
        <f>_xlfn.RANK.EQ(AL483,$AL$7:$AL$531)+COUNTIF(AL$7:AL483,AL483)-1</f>
        <v>#REF!</v>
      </c>
      <c r="AN483" s="57"/>
      <c r="AO483" s="45" t="e">
        <f>_xlfn.RANK.EQ(AN483,$AN$7:$AN$531)+COUNTIF(AN$7:AN483,AN483)-1</f>
        <v>#N/A</v>
      </c>
      <c r="AP48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83" s="32" t="e">
        <f>FME_Ranking2[[#This Row],[Score Based on Reported Factors]]-FME_Ranking2[[#This Row],[Check]]</f>
        <v>#REF!</v>
      </c>
      <c r="AR483" s="32"/>
      <c r="AT483" s="19"/>
      <c r="AU483" s="19"/>
      <c r="AV483" s="19"/>
      <c r="AW483" s="19"/>
      <c r="AX483" s="19"/>
      <c r="AY483" s="19"/>
      <c r="AZ483" s="19"/>
      <c r="BA483" s="19"/>
      <c r="BB483" s="19"/>
      <c r="BC483" s="19"/>
    </row>
    <row r="484" spans="1:55" ht="12" customHeight="1" x14ac:dyDescent="0.25">
      <c r="A484" s="17" t="s">
        <v>333</v>
      </c>
      <c r="B484" s="17" t="str">
        <f>_xlfn.XLOOKUP(FME_Ranking2[[#This Row],[FME ID]],FME_Input[FME_ID],FME_Input[FME_NAME])</f>
        <v>Carriage Hills</v>
      </c>
      <c r="C484" s="17" t="str">
        <f>_xlfn.XLOOKUP(FME_Ranking2[[#This Row],[FME ID]],FME_Input[FME_ID],FME_Input[DESCR])</f>
        <v>Replace curb, add vegetated channel, increase capacity at Crabapple Pond, replace outlet structure</v>
      </c>
      <c r="D484" s="33" t="str">
        <f>_xlfn.XLOOKUP(FME_Ranking2[[#This Row],[FME ID]],FME_Input[FME_ID],FME_Input[EMER_NEED])</f>
        <v>No</v>
      </c>
      <c r="E484" s="120">
        <f>IF(FME_Ranking_Option2!$D484="Yes",100,0)</f>
        <v>0</v>
      </c>
      <c r="F484" s="34" t="str">
        <f>_xlfn.XLOOKUP(FME_Ranking2[[#This Row],[FME ID]],FME_Input[FME_ID],FME_Input[FUND])</f>
        <v>No</v>
      </c>
      <c r="G484" s="35">
        <f>IF(FME_Ranking_Option2!$F484="Yes",1,0)</f>
        <v>0</v>
      </c>
      <c r="H484" s="33">
        <f>_xlfn.XLOOKUP(FME_Ranking2[[#This Row],[FME ID]],FME_Input[FME_ID],FME_Input[STRUCT_100])</f>
        <v>0</v>
      </c>
      <c r="I484" s="64" t="e">
        <f>FME_Ranking2[[#This Row],[Raw Data3]]*H$4</f>
        <v>#REF!</v>
      </c>
      <c r="J484" s="63">
        <f>((FME_Ranking_Option2!$H484)/($H$3))*100</f>
        <v>0</v>
      </c>
      <c r="K484" s="36" t="e">
        <f>FME_Ranking2[[#This Row],[Norm Data3]]*H$4</f>
        <v>#REF!</v>
      </c>
      <c r="L484" s="37">
        <f>_xlfn.XLOOKUP(FME_Ranking2[[#This Row],[FME ID]],FME_Input[FME_ID],FME_Input[RES_STRUCT100])</f>
        <v>0</v>
      </c>
      <c r="M484" s="38" t="e">
        <f>FME_Ranking2[[#This Row],[Raw Data4]]*L$4</f>
        <v>#REF!</v>
      </c>
      <c r="N484" s="28">
        <f>((FME_Ranking_Option2!$L484)/($L$3))*100</f>
        <v>0</v>
      </c>
      <c r="O484" s="39" t="e">
        <f>FME_Ranking2[[#This Row],[Norm Data4]]*L$4</f>
        <v>#REF!</v>
      </c>
      <c r="P484" s="34">
        <f>_xlfn.XLOOKUP(FME_Ranking2[[#This Row],[FME ID]],FME_Input[FME_ID],FME_Input[POP100])</f>
        <v>0</v>
      </c>
      <c r="Q484" s="35" t="e">
        <f>FME_Ranking_Option2!$P484*P$4</f>
        <v>#REF!</v>
      </c>
      <c r="R484" s="35">
        <f>FME_Ranking_Option2!$P484/($P$3)</f>
        <v>0</v>
      </c>
      <c r="S484" s="35" t="e">
        <f>FME_Ranking_Option2!$R484*P$4</f>
        <v>#REF!</v>
      </c>
      <c r="T484" s="37">
        <f>_xlfn.XLOOKUP(FME_Ranking2[[#This Row],[FME ID]],FME_Input[FME_ID],FME_Input[CRITFAC100])</f>
        <v>0</v>
      </c>
      <c r="U484" s="35" t="e">
        <f>FME_Ranking_Option2!$T484*T$4</f>
        <v>#REF!</v>
      </c>
      <c r="V484" s="35">
        <f>FME_Ranking_Option2!$T484/($T$3)</f>
        <v>0</v>
      </c>
      <c r="W484" s="35" t="e">
        <f>FME_Ranking_Option2!$V484*T$4</f>
        <v>#REF!</v>
      </c>
      <c r="X484" s="37">
        <f>_xlfn.XLOOKUP(FME_Ranking2[[#This Row],[FME ID]],FME_Input[FME_ID],FME_Input[LWC])</f>
        <v>0</v>
      </c>
      <c r="Y484" s="35" t="e">
        <f>FME_Ranking_Option2!$X484*X$4</f>
        <v>#REF!</v>
      </c>
      <c r="Z484" s="35">
        <f>FME_Ranking_Option2!$X484/($X$3)</f>
        <v>0</v>
      </c>
      <c r="AA484" s="35" t="e">
        <f>FME_Ranking_Option2!$Z484*X$4</f>
        <v>#REF!</v>
      </c>
      <c r="AB484" s="37">
        <f>_xlfn.XLOOKUP(FME_Ranking2[[#This Row],[FME ID]],FME_Input[FME_ID],FME_Input[ROADCLS])</f>
        <v>0</v>
      </c>
      <c r="AC484" s="35" t="e">
        <f>FME_Ranking_Option2!$AB484*AB$4</f>
        <v>#REF!</v>
      </c>
      <c r="AD484" s="40">
        <f>_xlfn.XLOOKUP(FME_Ranking2[[#This Row],[FME ID]],FME_Input[FME_ID],FME_Input[ROAD_MILES100])</f>
        <v>0</v>
      </c>
      <c r="AE484" s="41" t="e">
        <f>FME_Ranking_Option2!$AD484*AD$4</f>
        <v>#REF!</v>
      </c>
      <c r="AF484" s="42">
        <f>FME_Ranking_Option2!$AD484/($AD$3)</f>
        <v>0</v>
      </c>
      <c r="AG484" s="42" t="e">
        <f>FME_Ranking_Option2!$AF484*AD$4</f>
        <v>#REF!</v>
      </c>
      <c r="AH484" s="40">
        <f>_xlfn.XLOOKUP(FME_Ranking2[[#This Row],[FME ID]],FME_Input[FME_ID],FME_Input[FARMACRE100])</f>
        <v>0</v>
      </c>
      <c r="AI484" s="43" t="e">
        <f>FME_Ranking_Option2!$AH484*AH$4</f>
        <v>#REF!</v>
      </c>
      <c r="AJ484" s="41">
        <f>FME_Ranking_Option2!$AH484/($AH$3)</f>
        <v>0</v>
      </c>
      <c r="AK484" s="44" t="e">
        <f>FME_Ranking_Option2!$AJ484*AH$4</f>
        <v>#REF!</v>
      </c>
      <c r="AL484"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84" s="58" t="e">
        <f>_xlfn.RANK.EQ(AL484,$AL$7:$AL$531)+COUNTIF(AL$7:AL484,AL484)-1</f>
        <v>#REF!</v>
      </c>
      <c r="AN484" s="44"/>
      <c r="AO484" s="58" t="e">
        <f>_xlfn.RANK.EQ(AN484,$AN$7:$AN$531)+COUNTIF(AN$7:AN484,AN484)-1</f>
        <v>#N/A</v>
      </c>
      <c r="AP48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84" s="32" t="e">
        <f>FME_Ranking2[[#This Row],[Score Based on Reported Factors]]-FME_Ranking2[[#This Row],[Check]]</f>
        <v>#REF!</v>
      </c>
      <c r="AR484" s="32"/>
    </row>
    <row r="485" spans="1:55" ht="12" customHeight="1" x14ac:dyDescent="0.25">
      <c r="A485" s="16" t="s">
        <v>336</v>
      </c>
      <c r="B485" s="16" t="str">
        <f>_xlfn.XLOOKUP(FME_Ranking2[[#This Row],[FME ID]],FME_Input[FME_ID],FME_Input[FME_NAME])</f>
        <v>Post Oak Subdivision</v>
      </c>
      <c r="C485" s="16" t="str">
        <f>_xlfn.XLOOKUP(FME_Ranking2[[#This Row],[FME ID]],FME_Input[FME_ID],FME_Input[DESCR])</f>
        <v>Improve channel from outlet to Pyka Rd; raise rd by 1/2 ft; add six 7'x3' box culverts</v>
      </c>
      <c r="D485" s="46" t="str">
        <f>_xlfn.XLOOKUP(FME_Ranking2[[#This Row],[FME ID]],FME_Input[FME_ID],FME_Input[EMER_NEED])</f>
        <v>No</v>
      </c>
      <c r="E485" s="121">
        <f>IF(FME_Ranking_Option2!$D485="Yes",100,0)</f>
        <v>0</v>
      </c>
      <c r="F485" s="47" t="str">
        <f>_xlfn.XLOOKUP(FME_Ranking2[[#This Row],[FME ID]],FME_Input[FME_ID],FME_Input[FUND])</f>
        <v>No</v>
      </c>
      <c r="G485" s="48">
        <f>IF(FME_Ranking_Option2!$F485="Yes",1,0)</f>
        <v>0</v>
      </c>
      <c r="H485" s="46">
        <f>_xlfn.XLOOKUP(FME_Ranking2[[#This Row],[FME ID]],FME_Input[FME_ID],FME_Input[STRUCT_100])</f>
        <v>0</v>
      </c>
      <c r="I485" s="65" t="e">
        <f>FME_Ranking2[[#This Row],[Raw Data3]]*H$4</f>
        <v>#REF!</v>
      </c>
      <c r="J485" s="62">
        <f>((FME_Ranking_Option2!$H485)/($H$3))*100</f>
        <v>0</v>
      </c>
      <c r="K485" s="49" t="e">
        <f>FME_Ranking2[[#This Row],[Norm Data3]]*H$4</f>
        <v>#REF!</v>
      </c>
      <c r="L485" s="50">
        <f>_xlfn.XLOOKUP(FME_Ranking2[[#This Row],[FME ID]],FME_Input[FME_ID],FME_Input[RES_STRUCT100])</f>
        <v>0</v>
      </c>
      <c r="M485" s="51" t="e">
        <f>FME_Ranking2[[#This Row],[Raw Data4]]*L$4</f>
        <v>#REF!</v>
      </c>
      <c r="N485" s="29">
        <f>((FME_Ranking_Option2!$L485)/($L$3))*100</f>
        <v>0</v>
      </c>
      <c r="O485" s="52" t="e">
        <f>FME_Ranking2[[#This Row],[Norm Data4]]*L$4</f>
        <v>#REF!</v>
      </c>
      <c r="P485" s="47">
        <f>_xlfn.XLOOKUP(FME_Ranking2[[#This Row],[FME ID]],FME_Input[FME_ID],FME_Input[POP100])</f>
        <v>0</v>
      </c>
      <c r="Q485" s="48" t="e">
        <f>FME_Ranking_Option2!$P485*P$4</f>
        <v>#REF!</v>
      </c>
      <c r="R485" s="48">
        <f>FME_Ranking_Option2!$P485/($P$3)</f>
        <v>0</v>
      </c>
      <c r="S485" s="48" t="e">
        <f>FME_Ranking_Option2!$R485*P$4</f>
        <v>#REF!</v>
      </c>
      <c r="T485" s="50">
        <f>_xlfn.XLOOKUP(FME_Ranking2[[#This Row],[FME ID]],FME_Input[FME_ID],FME_Input[CRITFAC100])</f>
        <v>0</v>
      </c>
      <c r="U485" s="48" t="e">
        <f>FME_Ranking_Option2!$T485*T$4</f>
        <v>#REF!</v>
      </c>
      <c r="V485" s="48">
        <f>FME_Ranking_Option2!$T485/($T$3)</f>
        <v>0</v>
      </c>
      <c r="W485" s="48" t="e">
        <f>FME_Ranking_Option2!$V485*T$4</f>
        <v>#REF!</v>
      </c>
      <c r="X485" s="50">
        <f>_xlfn.XLOOKUP(FME_Ranking2[[#This Row],[FME ID]],FME_Input[FME_ID],FME_Input[LWC])</f>
        <v>0</v>
      </c>
      <c r="Y485" s="48" t="e">
        <f>FME_Ranking_Option2!$X485*X$4</f>
        <v>#REF!</v>
      </c>
      <c r="Z485" s="48">
        <f>FME_Ranking_Option2!$X485/($X$3)</f>
        <v>0</v>
      </c>
      <c r="AA485" s="48" t="e">
        <f>FME_Ranking_Option2!$Z485*X$4</f>
        <v>#REF!</v>
      </c>
      <c r="AB485" s="50">
        <f>_xlfn.XLOOKUP(FME_Ranking2[[#This Row],[FME ID]],FME_Input[FME_ID],FME_Input[ROADCLS])</f>
        <v>0</v>
      </c>
      <c r="AC485" s="48" t="e">
        <f>FME_Ranking_Option2!$AB485*AB$4</f>
        <v>#REF!</v>
      </c>
      <c r="AD485" s="53">
        <f>_xlfn.XLOOKUP(FME_Ranking2[[#This Row],[FME ID]],FME_Input[FME_ID],FME_Input[ROAD_MILES100])</f>
        <v>0</v>
      </c>
      <c r="AE485" s="54" t="e">
        <f>FME_Ranking_Option2!$AD485*AD$4</f>
        <v>#REF!</v>
      </c>
      <c r="AF485" s="55">
        <f>FME_Ranking_Option2!$AD485/($AD$3)</f>
        <v>0</v>
      </c>
      <c r="AG485" s="55" t="e">
        <f>FME_Ranking_Option2!$AF485*AD$4</f>
        <v>#REF!</v>
      </c>
      <c r="AH485" s="53">
        <f>_xlfn.XLOOKUP(FME_Ranking2[[#This Row],[FME ID]],FME_Input[FME_ID],FME_Input[FARMACRE100])</f>
        <v>0</v>
      </c>
      <c r="AI485" s="54" t="e">
        <f>FME_Ranking_Option2!$AH485*AH$4</f>
        <v>#REF!</v>
      </c>
      <c r="AJ485" s="56">
        <f>FME_Ranking_Option2!$AH485/($AH$3)</f>
        <v>0</v>
      </c>
      <c r="AK485" s="57" t="e">
        <f>FME_Ranking_Option2!$AJ485*AH$4</f>
        <v>#REF!</v>
      </c>
      <c r="AL485"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85" s="45" t="e">
        <f>_xlfn.RANK.EQ(AL485,$AL$7:$AL$531)+COUNTIF(AL$7:AL485,AL485)-1</f>
        <v>#REF!</v>
      </c>
      <c r="AN485" s="57"/>
      <c r="AO485" s="45" t="e">
        <f>_xlfn.RANK.EQ(AN485,$AN$7:$AN$531)+COUNTIF(AN$7:AN485,AN485)-1</f>
        <v>#N/A</v>
      </c>
      <c r="AP48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85" s="32" t="e">
        <f>FME_Ranking2[[#This Row],[Score Based on Reported Factors]]-FME_Ranking2[[#This Row],[Check]]</f>
        <v>#REF!</v>
      </c>
      <c r="AR485" s="32"/>
      <c r="AT485" s="19"/>
      <c r="AU485" s="19"/>
      <c r="AV485" s="19"/>
      <c r="AW485" s="19"/>
      <c r="AX485" s="19"/>
      <c r="AY485" s="19"/>
      <c r="AZ485" s="19"/>
      <c r="BA485" s="19"/>
      <c r="BB485" s="19"/>
      <c r="BC485" s="19"/>
    </row>
    <row r="486" spans="1:55" ht="12" customHeight="1" x14ac:dyDescent="0.25">
      <c r="A486" s="17" t="s">
        <v>139</v>
      </c>
      <c r="B486" s="17" t="str">
        <f>_xlfn.XLOOKUP(FME_Ranking2[[#This Row],[FME ID]],FME_Input[FME_ID],FME_Input[FME_NAME])</f>
        <v xml:space="preserve">Alum Creek - Tributary 8, Bowie Drive_x000D_
</v>
      </c>
      <c r="C486" s="17" t="str">
        <f>_xlfn.XLOOKUP(FME_Ranking2[[#This Row],[FME ID]],FME_Input[FME_ID],FME_Input[DESCR])</f>
        <v>Replace CMPs with larger multi-box culvert</v>
      </c>
      <c r="D486" s="33" t="str">
        <f>_xlfn.XLOOKUP(FME_Ranking2[[#This Row],[FME ID]],FME_Input[FME_ID],FME_Input[EMER_NEED])</f>
        <v>No</v>
      </c>
      <c r="E486" s="120">
        <f>IF(FME_Ranking_Option2!$D486="Yes",100,0)</f>
        <v>0</v>
      </c>
      <c r="F486" s="34" t="str">
        <f>_xlfn.XLOOKUP(FME_Ranking2[[#This Row],[FME ID]],FME_Input[FME_ID],FME_Input[FUND])</f>
        <v>No</v>
      </c>
      <c r="G486" s="35">
        <f>IF(FME_Ranking_Option2!$F486="Yes",1,0)</f>
        <v>0</v>
      </c>
      <c r="H486" s="33">
        <f>_xlfn.XLOOKUP(FME_Ranking2[[#This Row],[FME ID]],FME_Input[FME_ID],FME_Input[STRUCT_100])</f>
        <v>0</v>
      </c>
      <c r="I486" s="64" t="e">
        <f>FME_Ranking2[[#This Row],[Raw Data3]]*H$4</f>
        <v>#REF!</v>
      </c>
      <c r="J486" s="63">
        <f>((FME_Ranking_Option2!$H486)/($H$3))*100</f>
        <v>0</v>
      </c>
      <c r="K486" s="36" t="e">
        <f>FME_Ranking2[[#This Row],[Norm Data3]]*H$4</f>
        <v>#REF!</v>
      </c>
      <c r="L486" s="37">
        <f>_xlfn.XLOOKUP(FME_Ranking2[[#This Row],[FME ID]],FME_Input[FME_ID],FME_Input[RES_STRUCT100])</f>
        <v>0</v>
      </c>
      <c r="M486" s="38" t="e">
        <f>FME_Ranking2[[#This Row],[Raw Data4]]*L$4</f>
        <v>#REF!</v>
      </c>
      <c r="N486" s="28">
        <f>((FME_Ranking_Option2!$L486)/($L$3))*100</f>
        <v>0</v>
      </c>
      <c r="O486" s="39" t="e">
        <f>FME_Ranking2[[#This Row],[Norm Data4]]*L$4</f>
        <v>#REF!</v>
      </c>
      <c r="P486" s="34">
        <f>_xlfn.XLOOKUP(FME_Ranking2[[#This Row],[FME ID]],FME_Input[FME_ID],FME_Input[POP100])</f>
        <v>0</v>
      </c>
      <c r="Q486" s="35" t="e">
        <f>FME_Ranking_Option2!$P486*P$4</f>
        <v>#REF!</v>
      </c>
      <c r="R486" s="35">
        <f>FME_Ranking_Option2!$P486/($P$3)</f>
        <v>0</v>
      </c>
      <c r="S486" s="35" t="e">
        <f>FME_Ranking_Option2!$R486*P$4</f>
        <v>#REF!</v>
      </c>
      <c r="T486" s="37">
        <f>_xlfn.XLOOKUP(FME_Ranking2[[#This Row],[FME ID]],FME_Input[FME_ID],FME_Input[CRITFAC100])</f>
        <v>0</v>
      </c>
      <c r="U486" s="35" t="e">
        <f>FME_Ranking_Option2!$T486*T$4</f>
        <v>#REF!</v>
      </c>
      <c r="V486" s="35">
        <f>FME_Ranking_Option2!$T486/($T$3)</f>
        <v>0</v>
      </c>
      <c r="W486" s="35" t="e">
        <f>FME_Ranking_Option2!$V486*T$4</f>
        <v>#REF!</v>
      </c>
      <c r="X486" s="37">
        <f>_xlfn.XLOOKUP(FME_Ranking2[[#This Row],[FME ID]],FME_Input[FME_ID],FME_Input[LWC])</f>
        <v>0</v>
      </c>
      <c r="Y486" s="35" t="e">
        <f>FME_Ranking_Option2!$X486*X$4</f>
        <v>#REF!</v>
      </c>
      <c r="Z486" s="35">
        <f>FME_Ranking_Option2!$X486/($X$3)</f>
        <v>0</v>
      </c>
      <c r="AA486" s="35" t="e">
        <f>FME_Ranking_Option2!$Z486*X$4</f>
        <v>#REF!</v>
      </c>
      <c r="AB486" s="37">
        <f>_xlfn.XLOOKUP(FME_Ranking2[[#This Row],[FME ID]],FME_Input[FME_ID],FME_Input[ROADCLS])</f>
        <v>0</v>
      </c>
      <c r="AC486" s="35" t="e">
        <f>FME_Ranking_Option2!$AB486*AB$4</f>
        <v>#REF!</v>
      </c>
      <c r="AD486" s="40">
        <f>_xlfn.XLOOKUP(FME_Ranking2[[#This Row],[FME ID]],FME_Input[FME_ID],FME_Input[ROAD_MILES100])</f>
        <v>1.92900076508522E-2</v>
      </c>
      <c r="AE486" s="41" t="e">
        <f>FME_Ranking_Option2!$AD486*AD$4</f>
        <v>#REF!</v>
      </c>
      <c r="AF486" s="42">
        <f>FME_Ranking_Option2!$AD486/($AD$3)</f>
        <v>4.3570886010684238E-7</v>
      </c>
      <c r="AG486" s="42" t="e">
        <f>FME_Ranking_Option2!$AF486*AD$4</f>
        <v>#REF!</v>
      </c>
      <c r="AH486" s="40">
        <f>_xlfn.XLOOKUP(FME_Ranking2[[#This Row],[FME ID]],FME_Input[FME_ID],FME_Input[FARMACRE100])</f>
        <v>6.0833673477172852</v>
      </c>
      <c r="AI486" s="43" t="e">
        <f>FME_Ranking_Option2!$AH486*AH$4</f>
        <v>#REF!</v>
      </c>
      <c r="AJ486" s="41">
        <f>FME_Ranking_Option2!$AH486/($AH$3)</f>
        <v>3.532364414705365E-4</v>
      </c>
      <c r="AK486" s="44" t="e">
        <f>FME_Ranking_Option2!$AJ486*AH$4</f>
        <v>#REF!</v>
      </c>
      <c r="AL486"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86" s="58" t="e">
        <f>_xlfn.RANK.EQ(AL486,$AL$7:$AL$531)+COUNTIF(AL$7:AL486,AL486)-1</f>
        <v>#REF!</v>
      </c>
      <c r="AN486" s="44"/>
      <c r="AO486" s="58" t="e">
        <f>_xlfn.RANK.EQ(AN486,$AN$7:$AN$531)+COUNTIF(AN$7:AN486,AN486)-1</f>
        <v>#N/A</v>
      </c>
      <c r="AP48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86" s="32" t="e">
        <f>FME_Ranking2[[#This Row],[Score Based on Reported Factors]]-FME_Ranking2[[#This Row],[Check]]</f>
        <v>#REF!</v>
      </c>
      <c r="AR486" s="32"/>
    </row>
    <row r="487" spans="1:55" ht="12" customHeight="1" x14ac:dyDescent="0.25">
      <c r="A487" s="16" t="s">
        <v>358</v>
      </c>
      <c r="B487" s="16" t="str">
        <f>_xlfn.XLOOKUP(FME_Ranking2[[#This Row],[FME ID]],FME_Input[FME_ID],FME_Input[FME_NAME])</f>
        <v>Flood Proofing Repetitive Loss Structures</v>
      </c>
      <c r="C487" s="16" t="str">
        <f>_xlfn.XLOOKUP(FME_Ranking2[[#This Row],[FME ID]],FME_Input[FME_ID],FME_Input[DESCR])</f>
        <v>Flood-proofing repetitive loss structures identified by FEMA</v>
      </c>
      <c r="D487" s="46" t="str">
        <f>_xlfn.XLOOKUP(FME_Ranking2[[#This Row],[FME ID]],FME_Input[FME_ID],FME_Input[EMER_NEED])</f>
        <v>No</v>
      </c>
      <c r="E487" s="121">
        <f>IF(FME_Ranking_Option2!$D487="Yes",100,0)</f>
        <v>0</v>
      </c>
      <c r="F487" s="47" t="str">
        <f>_xlfn.XLOOKUP(FME_Ranking2[[#This Row],[FME ID]],FME_Input[FME_ID],FME_Input[FUND])</f>
        <v>No</v>
      </c>
      <c r="G487" s="48">
        <f>IF(FME_Ranking_Option2!$F487="Yes",1,0)</f>
        <v>0</v>
      </c>
      <c r="H487" s="46">
        <f>_xlfn.XLOOKUP(FME_Ranking2[[#This Row],[FME ID]],FME_Input[FME_ID],FME_Input[STRUCT_100])</f>
        <v>0</v>
      </c>
      <c r="I487" s="65" t="e">
        <f>FME_Ranking2[[#This Row],[Raw Data3]]*H$4</f>
        <v>#REF!</v>
      </c>
      <c r="J487" s="62">
        <f>((FME_Ranking_Option2!$H487)/($H$3))*100</f>
        <v>0</v>
      </c>
      <c r="K487" s="49" t="e">
        <f>FME_Ranking2[[#This Row],[Norm Data3]]*H$4</f>
        <v>#REF!</v>
      </c>
      <c r="L487" s="50">
        <f>_xlfn.XLOOKUP(FME_Ranking2[[#This Row],[FME ID]],FME_Input[FME_ID],FME_Input[RES_STRUCT100])</f>
        <v>0</v>
      </c>
      <c r="M487" s="51" t="e">
        <f>FME_Ranking2[[#This Row],[Raw Data4]]*L$4</f>
        <v>#REF!</v>
      </c>
      <c r="N487" s="29">
        <f>((FME_Ranking_Option2!$L487)/($L$3))*100</f>
        <v>0</v>
      </c>
      <c r="O487" s="52" t="e">
        <f>FME_Ranking2[[#This Row],[Norm Data4]]*L$4</f>
        <v>#REF!</v>
      </c>
      <c r="P487" s="47">
        <f>_xlfn.XLOOKUP(FME_Ranking2[[#This Row],[FME ID]],FME_Input[FME_ID],FME_Input[POP100])</f>
        <v>0</v>
      </c>
      <c r="Q487" s="48" t="e">
        <f>FME_Ranking_Option2!$P487*P$4</f>
        <v>#REF!</v>
      </c>
      <c r="R487" s="48">
        <f>FME_Ranking_Option2!$P487/($P$3)</f>
        <v>0</v>
      </c>
      <c r="S487" s="48" t="e">
        <f>FME_Ranking_Option2!$R487*P$4</f>
        <v>#REF!</v>
      </c>
      <c r="T487" s="50">
        <f>_xlfn.XLOOKUP(FME_Ranking2[[#This Row],[FME ID]],FME_Input[FME_ID],FME_Input[CRITFAC100])</f>
        <v>0</v>
      </c>
      <c r="U487" s="48" t="e">
        <f>FME_Ranking_Option2!$T487*T$4</f>
        <v>#REF!</v>
      </c>
      <c r="V487" s="48">
        <f>FME_Ranking_Option2!$T487/($T$3)</f>
        <v>0</v>
      </c>
      <c r="W487" s="48" t="e">
        <f>FME_Ranking_Option2!$V487*T$4</f>
        <v>#REF!</v>
      </c>
      <c r="X487" s="50">
        <f>_xlfn.XLOOKUP(FME_Ranking2[[#This Row],[FME ID]],FME_Input[FME_ID],FME_Input[LWC])</f>
        <v>0</v>
      </c>
      <c r="Y487" s="48" t="e">
        <f>FME_Ranking_Option2!$X487*X$4</f>
        <v>#REF!</v>
      </c>
      <c r="Z487" s="48">
        <f>FME_Ranking_Option2!$X487/($X$3)</f>
        <v>0</v>
      </c>
      <c r="AA487" s="48" t="e">
        <f>FME_Ranking_Option2!$Z487*X$4</f>
        <v>#REF!</v>
      </c>
      <c r="AB487" s="50">
        <f>_xlfn.XLOOKUP(FME_Ranking2[[#This Row],[FME ID]],FME_Input[FME_ID],FME_Input[ROADCLS])</f>
        <v>0</v>
      </c>
      <c r="AC487" s="48" t="e">
        <f>FME_Ranking_Option2!$AB487*AB$4</f>
        <v>#REF!</v>
      </c>
      <c r="AD487" s="53">
        <f>_xlfn.XLOOKUP(FME_Ranking2[[#This Row],[FME ID]],FME_Input[FME_ID],FME_Input[ROAD_MILES100])</f>
        <v>0</v>
      </c>
      <c r="AE487" s="54" t="e">
        <f>FME_Ranking_Option2!$AD487*AD$4</f>
        <v>#REF!</v>
      </c>
      <c r="AF487" s="55">
        <f>FME_Ranking_Option2!$AD487/($AD$3)</f>
        <v>0</v>
      </c>
      <c r="AG487" s="55" t="e">
        <f>FME_Ranking_Option2!$AF487*AD$4</f>
        <v>#REF!</v>
      </c>
      <c r="AH487" s="53">
        <f>_xlfn.XLOOKUP(FME_Ranking2[[#This Row],[FME ID]],FME_Input[FME_ID],FME_Input[FARMACRE100])</f>
        <v>0.38037121295928961</v>
      </c>
      <c r="AI487" s="54" t="e">
        <f>FME_Ranking_Option2!$AH487*AH$4</f>
        <v>#REF!</v>
      </c>
      <c r="AJ487" s="56">
        <f>FME_Ranking_Option2!$AH487/($AH$3)</f>
        <v>2.2086611908121661E-5</v>
      </c>
      <c r="AK487" s="57" t="e">
        <f>FME_Ranking_Option2!$AJ487*AH$4</f>
        <v>#REF!</v>
      </c>
      <c r="AL487"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87" s="45" t="e">
        <f>_xlfn.RANK.EQ(AL487,$AL$7:$AL$531)+COUNTIF(AL$7:AL487,AL487)-1</f>
        <v>#REF!</v>
      </c>
      <c r="AN487" s="57"/>
      <c r="AO487" s="45" t="e">
        <f>_xlfn.RANK.EQ(AN487,$AN$7:$AN$531)+COUNTIF(AN$7:AN487,AN487)-1</f>
        <v>#N/A</v>
      </c>
      <c r="AP48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87" s="32" t="e">
        <f>FME_Ranking2[[#This Row],[Score Based on Reported Factors]]-FME_Ranking2[[#This Row],[Check]]</f>
        <v>#REF!</v>
      </c>
      <c r="AR487" s="32"/>
      <c r="AT487" s="19"/>
      <c r="AU487" s="19"/>
      <c r="AV487" s="19"/>
      <c r="AW487" s="19"/>
      <c r="AX487" s="19"/>
      <c r="AY487" s="19"/>
      <c r="AZ487" s="19"/>
      <c r="BA487" s="19"/>
      <c r="BB487" s="19"/>
      <c r="BC487" s="19"/>
    </row>
    <row r="488" spans="1:55" ht="12" customHeight="1" x14ac:dyDescent="0.25">
      <c r="A488" s="17" t="s">
        <v>385</v>
      </c>
      <c r="B488" s="17" t="str">
        <f>_xlfn.XLOOKUP(FME_Ranking2[[#This Row],[FME ID]],FME_Input[FME_ID],FME_Input[FME_NAME])</f>
        <v>Wastewater Treatment Plant Flooding</v>
      </c>
      <c r="C488" s="17" t="str">
        <f>_xlfn.XLOOKUP(FME_Ranking2[[#This Row],[FME ID]],FME_Input[FME_ID],FME_Input[DESCR])</f>
        <v>Wastewater Treatment Plant Floodproofing</v>
      </c>
      <c r="D488" s="33" t="str">
        <f>_xlfn.XLOOKUP(FME_Ranking2[[#This Row],[FME ID]],FME_Input[FME_ID],FME_Input[EMER_NEED])</f>
        <v>No</v>
      </c>
      <c r="E488" s="120">
        <f>IF(FME_Ranking_Option2!$D488="Yes",100,0)</f>
        <v>0</v>
      </c>
      <c r="F488" s="34" t="str">
        <f>_xlfn.XLOOKUP(FME_Ranking2[[#This Row],[FME ID]],FME_Input[FME_ID],FME_Input[FUND])</f>
        <v>No</v>
      </c>
      <c r="G488" s="35">
        <f>IF(FME_Ranking_Option2!$F488="Yes",1,0)</f>
        <v>0</v>
      </c>
      <c r="H488" s="33">
        <f>_xlfn.XLOOKUP(FME_Ranking2[[#This Row],[FME ID]],FME_Input[FME_ID],FME_Input[STRUCT_100])</f>
        <v>1223</v>
      </c>
      <c r="I488" s="64" t="e">
        <f>FME_Ranking2[[#This Row],[Raw Data3]]*H$4</f>
        <v>#REF!</v>
      </c>
      <c r="J488" s="63">
        <f>((FME_Ranking_Option2!$H488)/($H$3))*100</f>
        <v>0.13590867115102309</v>
      </c>
      <c r="K488" s="36" t="e">
        <f>FME_Ranking2[[#This Row],[Norm Data3]]*H$4</f>
        <v>#REF!</v>
      </c>
      <c r="L488" s="37">
        <f>_xlfn.XLOOKUP(FME_Ranking2[[#This Row],[FME ID]],FME_Input[FME_ID],FME_Input[RES_STRUCT100])</f>
        <v>1010</v>
      </c>
      <c r="M488" s="38" t="e">
        <f>FME_Ranking2[[#This Row],[Raw Data4]]*L$4</f>
        <v>#REF!</v>
      </c>
      <c r="N488" s="28">
        <f>((FME_Ranking_Option2!$L488)/($L$3))*100</f>
        <v>0.15099800712531192</v>
      </c>
      <c r="O488" s="39" t="e">
        <f>FME_Ranking2[[#This Row],[Norm Data4]]*L$4</f>
        <v>#REF!</v>
      </c>
      <c r="P488" s="34">
        <f>_xlfn.XLOOKUP(FME_Ranking2[[#This Row],[FME ID]],FME_Input[FME_ID],FME_Input[POP100])</f>
        <v>1908</v>
      </c>
      <c r="Q488" s="35" t="e">
        <f>FME_Ranking_Option2!$P488*P$4</f>
        <v>#REF!</v>
      </c>
      <c r="R488" s="35">
        <f>FME_Ranking_Option2!$P488/($P$3)</f>
        <v>7.0027651379742919E-4</v>
      </c>
      <c r="S488" s="35" t="e">
        <f>FME_Ranking_Option2!$R488*P$4</f>
        <v>#REF!</v>
      </c>
      <c r="T488" s="37">
        <f>_xlfn.XLOOKUP(FME_Ranking2[[#This Row],[FME ID]],FME_Input[FME_ID],FME_Input[CRITFAC100])</f>
        <v>2</v>
      </c>
      <c r="U488" s="35" t="e">
        <f>FME_Ranking_Option2!$T488*T$4</f>
        <v>#REF!</v>
      </c>
      <c r="V488" s="35">
        <f>FME_Ranking_Option2!$T488/($T$3)</f>
        <v>2.8204766605556341E-4</v>
      </c>
      <c r="W488" s="35" t="e">
        <f>FME_Ranking_Option2!$V488*T$4</f>
        <v>#REF!</v>
      </c>
      <c r="X488" s="37">
        <f>_xlfn.XLOOKUP(FME_Ranking2[[#This Row],[FME ID]],FME_Input[FME_ID],FME_Input[LWC])</f>
        <v>1</v>
      </c>
      <c r="Y488" s="35" t="e">
        <f>FME_Ranking_Option2!$X488*X$4</f>
        <v>#REF!</v>
      </c>
      <c r="Z488" s="35">
        <f>FME_Ranking_Option2!$X488/($X$3)</f>
        <v>9.1224229155263632E-5</v>
      </c>
      <c r="AA488" s="35" t="e">
        <f>FME_Ranking_Option2!$Z488*X$4</f>
        <v>#REF!</v>
      </c>
      <c r="AB488" s="37">
        <f>_xlfn.XLOOKUP(FME_Ranking2[[#This Row],[FME ID]],FME_Input[FME_ID],FME_Input[ROADCLS])</f>
        <v>0</v>
      </c>
      <c r="AC488" s="35" t="e">
        <f>FME_Ranking_Option2!$AB488*AB$4</f>
        <v>#REF!</v>
      </c>
      <c r="AD488" s="40">
        <f>_xlfn.XLOOKUP(FME_Ranking2[[#This Row],[FME ID]],FME_Input[FME_ID],FME_Input[ROAD_MILES100])</f>
        <v>26.25538444519043</v>
      </c>
      <c r="AE488" s="41" t="e">
        <f>FME_Ranking_Option2!$AD488*AD$4</f>
        <v>#REF!</v>
      </c>
      <c r="AF488" s="42">
        <f>FME_Ranking_Option2!$AD488/($AD$3)</f>
        <v>5.9303779632121896E-4</v>
      </c>
      <c r="AG488" s="42" t="e">
        <f>FME_Ranking_Option2!$AF488*AD$4</f>
        <v>#REF!</v>
      </c>
      <c r="AH488" s="40">
        <f>_xlfn.XLOOKUP(FME_Ranking2[[#This Row],[FME ID]],FME_Input[FME_ID],FME_Input[FARMACRE100])</f>
        <v>137.2613830566406</v>
      </c>
      <c r="AI488" s="43" t="e">
        <f>FME_Ranking_Option2!$AH488*AH$4</f>
        <v>#REF!</v>
      </c>
      <c r="AJ488" s="41">
        <f>FME_Ranking_Option2!$AH488/($AH$3)</f>
        <v>7.9702111891115108E-3</v>
      </c>
      <c r="AK488" s="44" t="e">
        <f>FME_Ranking_Option2!$AJ488*AH$4</f>
        <v>#REF!</v>
      </c>
      <c r="AL488"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88" s="58" t="e">
        <f>_xlfn.RANK.EQ(AL488,$AL$7:$AL$531)+COUNTIF(AL$7:AL488,AL488)-1</f>
        <v>#REF!</v>
      </c>
      <c r="AN488" s="44"/>
      <c r="AO488" s="58" t="e">
        <f>_xlfn.RANK.EQ(AN488,$AN$7:$AN$531)+COUNTIF(AN$7:AN488,AN488)-1</f>
        <v>#N/A</v>
      </c>
      <c r="AP48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88" s="32" t="e">
        <f>FME_Ranking2[[#This Row],[Score Based on Reported Factors]]-FME_Ranking2[[#This Row],[Check]]</f>
        <v>#REF!</v>
      </c>
      <c r="AR488" s="32"/>
    </row>
    <row r="489" spans="1:55" ht="12" customHeight="1" x14ac:dyDescent="0.25">
      <c r="A489" s="16" t="s">
        <v>392</v>
      </c>
      <c r="B489" s="16" t="str">
        <f>_xlfn.XLOOKUP(FME_Ranking2[[#This Row],[FME ID]],FME_Input[FME_ID],FME_Input[FME_NAME])</f>
        <v>City Hall Hardening and Safe Room</v>
      </c>
      <c r="C489" s="16" t="str">
        <f>_xlfn.XLOOKUP(FME_Ranking2[[#This Row],[FME ID]],FME_Input[FME_ID],FME_Input[DESCR])</f>
        <v>City Hall Hardening and Safe Room</v>
      </c>
      <c r="D489" s="46" t="str">
        <f>_xlfn.XLOOKUP(FME_Ranking2[[#This Row],[FME ID]],FME_Input[FME_ID],FME_Input[EMER_NEED])</f>
        <v>No</v>
      </c>
      <c r="E489" s="121">
        <f>IF(FME_Ranking_Option2!$D489="Yes",100,0)</f>
        <v>0</v>
      </c>
      <c r="F489" s="47" t="str">
        <f>_xlfn.XLOOKUP(FME_Ranking2[[#This Row],[FME ID]],FME_Input[FME_ID],FME_Input[FUND])</f>
        <v>No</v>
      </c>
      <c r="G489" s="48">
        <f>IF(FME_Ranking_Option2!$F489="Yes",1,0)</f>
        <v>0</v>
      </c>
      <c r="H489" s="46">
        <f>_xlfn.XLOOKUP(FME_Ranking2[[#This Row],[FME ID]],FME_Input[FME_ID],FME_Input[STRUCT_100])</f>
        <v>0</v>
      </c>
      <c r="I489" s="65" t="e">
        <f>FME_Ranking2[[#This Row],[Raw Data3]]*H$4</f>
        <v>#REF!</v>
      </c>
      <c r="J489" s="62">
        <f>((FME_Ranking_Option2!$H489)/($H$3))*100</f>
        <v>0</v>
      </c>
      <c r="K489" s="49" t="e">
        <f>FME_Ranking2[[#This Row],[Norm Data3]]*H$4</f>
        <v>#REF!</v>
      </c>
      <c r="L489" s="50">
        <f>_xlfn.XLOOKUP(FME_Ranking2[[#This Row],[FME ID]],FME_Input[FME_ID],FME_Input[RES_STRUCT100])</f>
        <v>0</v>
      </c>
      <c r="M489" s="51" t="e">
        <f>FME_Ranking2[[#This Row],[Raw Data4]]*L$4</f>
        <v>#REF!</v>
      </c>
      <c r="N489" s="29">
        <f>((FME_Ranking_Option2!$L489)/($L$3))*100</f>
        <v>0</v>
      </c>
      <c r="O489" s="52" t="e">
        <f>FME_Ranking2[[#This Row],[Norm Data4]]*L$4</f>
        <v>#REF!</v>
      </c>
      <c r="P489" s="47">
        <f>_xlfn.XLOOKUP(FME_Ranking2[[#This Row],[FME ID]],FME_Input[FME_ID],FME_Input[POP100])</f>
        <v>0</v>
      </c>
      <c r="Q489" s="48" t="e">
        <f>FME_Ranking_Option2!$P489*P$4</f>
        <v>#REF!</v>
      </c>
      <c r="R489" s="48">
        <f>FME_Ranking_Option2!$P489/($P$3)</f>
        <v>0</v>
      </c>
      <c r="S489" s="48" t="e">
        <f>FME_Ranking_Option2!$R489*P$4</f>
        <v>#REF!</v>
      </c>
      <c r="T489" s="50">
        <f>_xlfn.XLOOKUP(FME_Ranking2[[#This Row],[FME ID]],FME_Input[FME_ID],FME_Input[CRITFAC100])</f>
        <v>0</v>
      </c>
      <c r="U489" s="48" t="e">
        <f>FME_Ranking_Option2!$T489*T$4</f>
        <v>#REF!</v>
      </c>
      <c r="V489" s="48">
        <f>FME_Ranking_Option2!$T489/($T$3)</f>
        <v>0</v>
      </c>
      <c r="W489" s="48" t="e">
        <f>FME_Ranking_Option2!$V489*T$4</f>
        <v>#REF!</v>
      </c>
      <c r="X489" s="50">
        <f>_xlfn.XLOOKUP(FME_Ranking2[[#This Row],[FME ID]],FME_Input[FME_ID],FME_Input[LWC])</f>
        <v>0</v>
      </c>
      <c r="Y489" s="48" t="e">
        <f>FME_Ranking_Option2!$X489*X$4</f>
        <v>#REF!</v>
      </c>
      <c r="Z489" s="48">
        <f>FME_Ranking_Option2!$X489/($X$3)</f>
        <v>0</v>
      </c>
      <c r="AA489" s="48" t="e">
        <f>FME_Ranking_Option2!$Z489*X$4</f>
        <v>#REF!</v>
      </c>
      <c r="AB489" s="50">
        <f>_xlfn.XLOOKUP(FME_Ranking2[[#This Row],[FME ID]],FME_Input[FME_ID],FME_Input[ROADCLS])</f>
        <v>0</v>
      </c>
      <c r="AC489" s="48" t="e">
        <f>FME_Ranking_Option2!$AB489*AB$4</f>
        <v>#REF!</v>
      </c>
      <c r="AD489" s="53">
        <f>_xlfn.XLOOKUP(FME_Ranking2[[#This Row],[FME ID]],FME_Input[FME_ID],FME_Input[ROAD_MILES100])</f>
        <v>0</v>
      </c>
      <c r="AE489" s="54" t="e">
        <f>FME_Ranking_Option2!$AD489*AD$4</f>
        <v>#REF!</v>
      </c>
      <c r="AF489" s="55">
        <f>FME_Ranking_Option2!$AD489/($AD$3)</f>
        <v>0</v>
      </c>
      <c r="AG489" s="55" t="e">
        <f>FME_Ranking_Option2!$AF489*AD$4</f>
        <v>#REF!</v>
      </c>
      <c r="AH489" s="53">
        <f>_xlfn.XLOOKUP(FME_Ranking2[[#This Row],[FME ID]],FME_Input[FME_ID],FME_Input[FARMACRE100])</f>
        <v>0</v>
      </c>
      <c r="AI489" s="54" t="e">
        <f>FME_Ranking_Option2!$AH489*AH$4</f>
        <v>#REF!</v>
      </c>
      <c r="AJ489" s="56">
        <f>FME_Ranking_Option2!$AH489/($AH$3)</f>
        <v>0</v>
      </c>
      <c r="AK489" s="57" t="e">
        <f>FME_Ranking_Option2!$AJ489*AH$4</f>
        <v>#REF!</v>
      </c>
      <c r="AL489"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89" s="45" t="e">
        <f>_xlfn.RANK.EQ(AL489,$AL$7:$AL$531)+COUNTIF(AL$7:AL489,AL489)-1</f>
        <v>#REF!</v>
      </c>
      <c r="AN489" s="57"/>
      <c r="AO489" s="45" t="e">
        <f>_xlfn.RANK.EQ(AN489,$AN$7:$AN$531)+COUNTIF(AN$7:AN489,AN489)-1</f>
        <v>#N/A</v>
      </c>
      <c r="AP48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89" s="32" t="e">
        <f>FME_Ranking2[[#This Row],[Score Based on Reported Factors]]-FME_Ranking2[[#This Row],[Check]]</f>
        <v>#REF!</v>
      </c>
      <c r="AR489" s="32"/>
      <c r="AT489" s="19"/>
      <c r="AU489" s="19"/>
      <c r="AV489" s="19"/>
      <c r="AW489" s="19"/>
      <c r="AX489" s="19"/>
      <c r="AY489" s="19"/>
      <c r="AZ489" s="19"/>
      <c r="BA489" s="19"/>
      <c r="BB489" s="19"/>
      <c r="BC489" s="19"/>
    </row>
    <row r="490" spans="1:55" ht="12" customHeight="1" x14ac:dyDescent="0.25">
      <c r="A490" s="17" t="s">
        <v>388</v>
      </c>
      <c r="B490" s="17" t="str">
        <f>_xlfn.XLOOKUP(FME_Ranking2[[#This Row],[FME ID]],FME_Input[FME_ID],FME_Input[FME_NAME])</f>
        <v>Palmetto Bend Spillway</v>
      </c>
      <c r="C490" s="17" t="str">
        <f>_xlfn.XLOOKUP(FME_Ranking2[[#This Row],[FME ID]],FME_Input[FME_ID],FME_Input[DESCR])</f>
        <v>Emergency Stop Log Deployment System</v>
      </c>
      <c r="D490" s="33" t="str">
        <f>_xlfn.XLOOKUP(FME_Ranking2[[#This Row],[FME ID]],FME_Input[FME_ID],FME_Input[EMER_NEED])</f>
        <v>No</v>
      </c>
      <c r="E490" s="120">
        <f>IF(FME_Ranking_Option2!$D490="Yes",100,0)</f>
        <v>0</v>
      </c>
      <c r="F490" s="34" t="str">
        <f>_xlfn.XLOOKUP(FME_Ranking2[[#This Row],[FME ID]],FME_Input[FME_ID],FME_Input[FUND])</f>
        <v>No</v>
      </c>
      <c r="G490" s="35">
        <f>IF(FME_Ranking_Option2!$F490="Yes",1,0)</f>
        <v>0</v>
      </c>
      <c r="H490" s="33">
        <f>_xlfn.XLOOKUP(FME_Ranking2[[#This Row],[FME ID]],FME_Input[FME_ID],FME_Input[STRUCT_100])</f>
        <v>0</v>
      </c>
      <c r="I490" s="64" t="e">
        <f>FME_Ranking2[[#This Row],[Raw Data3]]*H$4</f>
        <v>#REF!</v>
      </c>
      <c r="J490" s="63">
        <f>((FME_Ranking_Option2!$H490)/($H$3))*100</f>
        <v>0</v>
      </c>
      <c r="K490" s="36" t="e">
        <f>FME_Ranking2[[#This Row],[Norm Data3]]*H$4</f>
        <v>#REF!</v>
      </c>
      <c r="L490" s="37">
        <f>_xlfn.XLOOKUP(FME_Ranking2[[#This Row],[FME ID]],FME_Input[FME_ID],FME_Input[RES_STRUCT100])</f>
        <v>0</v>
      </c>
      <c r="M490" s="38" t="e">
        <f>FME_Ranking2[[#This Row],[Raw Data4]]*L$4</f>
        <v>#REF!</v>
      </c>
      <c r="N490" s="28">
        <f>((FME_Ranking_Option2!$L490)/($L$3))*100</f>
        <v>0</v>
      </c>
      <c r="O490" s="39" t="e">
        <f>FME_Ranking2[[#This Row],[Norm Data4]]*L$4</f>
        <v>#REF!</v>
      </c>
      <c r="P490" s="34">
        <f>_xlfn.XLOOKUP(FME_Ranking2[[#This Row],[FME ID]],FME_Input[FME_ID],FME_Input[POP100])</f>
        <v>0</v>
      </c>
      <c r="Q490" s="35" t="e">
        <f>FME_Ranking_Option2!$P490*P$4</f>
        <v>#REF!</v>
      </c>
      <c r="R490" s="35">
        <f>FME_Ranking_Option2!$P490/($P$3)</f>
        <v>0</v>
      </c>
      <c r="S490" s="35" t="e">
        <f>FME_Ranking_Option2!$R490*P$4</f>
        <v>#REF!</v>
      </c>
      <c r="T490" s="37">
        <f>_xlfn.XLOOKUP(FME_Ranking2[[#This Row],[FME ID]],FME_Input[FME_ID],FME_Input[CRITFAC100])</f>
        <v>0</v>
      </c>
      <c r="U490" s="35" t="e">
        <f>FME_Ranking_Option2!$T490*T$4</f>
        <v>#REF!</v>
      </c>
      <c r="V490" s="35">
        <f>FME_Ranking_Option2!$T490/($T$3)</f>
        <v>0</v>
      </c>
      <c r="W490" s="35" t="e">
        <f>FME_Ranking_Option2!$V490*T$4</f>
        <v>#REF!</v>
      </c>
      <c r="X490" s="37">
        <f>_xlfn.XLOOKUP(FME_Ranking2[[#This Row],[FME ID]],FME_Input[FME_ID],FME_Input[LWC])</f>
        <v>0</v>
      </c>
      <c r="Y490" s="35" t="e">
        <f>FME_Ranking_Option2!$X490*X$4</f>
        <v>#REF!</v>
      </c>
      <c r="Z490" s="35">
        <f>FME_Ranking_Option2!$X490/($X$3)</f>
        <v>0</v>
      </c>
      <c r="AA490" s="35" t="e">
        <f>FME_Ranking_Option2!$Z490*X$4</f>
        <v>#REF!</v>
      </c>
      <c r="AB490" s="37">
        <f>_xlfn.XLOOKUP(FME_Ranking2[[#This Row],[FME ID]],FME_Input[FME_ID],FME_Input[ROADCLS])</f>
        <v>0</v>
      </c>
      <c r="AC490" s="35" t="e">
        <f>FME_Ranking_Option2!$AB490*AB$4</f>
        <v>#REF!</v>
      </c>
      <c r="AD490" s="40">
        <f>_xlfn.XLOOKUP(FME_Ranking2[[#This Row],[FME ID]],FME_Input[FME_ID],FME_Input[ROAD_MILES100])</f>
        <v>9.790058434009552E-2</v>
      </c>
      <c r="AE490" s="41" t="e">
        <f>FME_Ranking_Option2!$AD490*AD$4</f>
        <v>#REF!</v>
      </c>
      <c r="AF490" s="42">
        <f>FME_Ranking_Option2!$AD490/($AD$3)</f>
        <v>2.2113081953460152E-6</v>
      </c>
      <c r="AG490" s="42" t="e">
        <f>FME_Ranking_Option2!$AF490*AD$4</f>
        <v>#REF!</v>
      </c>
      <c r="AH490" s="40">
        <f>_xlfn.XLOOKUP(FME_Ranking2[[#This Row],[FME ID]],FME_Input[FME_ID],FME_Input[FARMACRE100])</f>
        <v>13.34261512756348</v>
      </c>
      <c r="AI490" s="43" t="e">
        <f>FME_Ranking_Option2!$AH490*AH$4</f>
        <v>#REF!</v>
      </c>
      <c r="AJ490" s="41">
        <f>FME_Ranking_Option2!$AH490/($AH$3)</f>
        <v>7.7475148518525824E-4</v>
      </c>
      <c r="AK490" s="44" t="e">
        <f>FME_Ranking_Option2!$AJ490*AH$4</f>
        <v>#REF!</v>
      </c>
      <c r="AL490"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90" s="58" t="e">
        <f>_xlfn.RANK.EQ(AL490,$AL$7:$AL$531)+COUNTIF(AL$7:AL490,AL490)-1</f>
        <v>#REF!</v>
      </c>
      <c r="AN490" s="44"/>
      <c r="AO490" s="58" t="e">
        <f>_xlfn.RANK.EQ(AN490,$AN$7:$AN$531)+COUNTIF(AN$7:AN490,AN490)-1</f>
        <v>#N/A</v>
      </c>
      <c r="AP49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90" s="32" t="e">
        <f>FME_Ranking2[[#This Row],[Score Based on Reported Factors]]-FME_Ranking2[[#This Row],[Check]]</f>
        <v>#REF!</v>
      </c>
      <c r="AR490" s="32"/>
    </row>
    <row r="491" spans="1:55" ht="12" customHeight="1" x14ac:dyDescent="0.25">
      <c r="A491" s="16" t="s">
        <v>458</v>
      </c>
      <c r="B491" s="16" t="str">
        <f>_xlfn.XLOOKUP(FME_Ranking2[[#This Row],[FME ID]],FME_Input[FME_ID],FME_Input[FME_NAME])</f>
        <v>Relocate Fire Department Building</v>
      </c>
      <c r="C491" s="16" t="str">
        <f>_xlfn.XLOOKUP(FME_Ranking2[[#This Row],[FME ID]],FME_Input[FME_ID],FME_Input[DESCR])</f>
        <v>Relocate Kingsland VFD building outside 100-year floodplain</v>
      </c>
      <c r="D491" s="46" t="str">
        <f>_xlfn.XLOOKUP(FME_Ranking2[[#This Row],[FME ID]],FME_Input[FME_ID],FME_Input[EMER_NEED])</f>
        <v>No</v>
      </c>
      <c r="E491" s="121">
        <f>IF(FME_Ranking_Option2!$D491="Yes",100,0)</f>
        <v>0</v>
      </c>
      <c r="F491" s="47" t="str">
        <f>_xlfn.XLOOKUP(FME_Ranking2[[#This Row],[FME ID]],FME_Input[FME_ID],FME_Input[FUND])</f>
        <v>No</v>
      </c>
      <c r="G491" s="48">
        <f>IF(FME_Ranking_Option2!$F491="Yes",1,0)</f>
        <v>0</v>
      </c>
      <c r="H491" s="46">
        <f>_xlfn.XLOOKUP(FME_Ranking2[[#This Row],[FME ID]],FME_Input[FME_ID],FME_Input[STRUCT_100])</f>
        <v>0</v>
      </c>
      <c r="I491" s="65" t="e">
        <f>FME_Ranking2[[#This Row],[Raw Data3]]*H$4</f>
        <v>#REF!</v>
      </c>
      <c r="J491" s="62">
        <f>((FME_Ranking_Option2!$H491)/($H$3))*100</f>
        <v>0</v>
      </c>
      <c r="K491" s="49" t="e">
        <f>FME_Ranking2[[#This Row],[Norm Data3]]*H$4</f>
        <v>#REF!</v>
      </c>
      <c r="L491" s="50">
        <f>_xlfn.XLOOKUP(FME_Ranking2[[#This Row],[FME ID]],FME_Input[FME_ID],FME_Input[RES_STRUCT100])</f>
        <v>0</v>
      </c>
      <c r="M491" s="51" t="e">
        <f>FME_Ranking2[[#This Row],[Raw Data4]]*L$4</f>
        <v>#REF!</v>
      </c>
      <c r="N491" s="29">
        <f>((FME_Ranking_Option2!$L491)/($L$3))*100</f>
        <v>0</v>
      </c>
      <c r="O491" s="52" t="e">
        <f>FME_Ranking2[[#This Row],[Norm Data4]]*L$4</f>
        <v>#REF!</v>
      </c>
      <c r="P491" s="47">
        <f>_xlfn.XLOOKUP(FME_Ranking2[[#This Row],[FME ID]],FME_Input[FME_ID],FME_Input[POP100])</f>
        <v>0</v>
      </c>
      <c r="Q491" s="48" t="e">
        <f>FME_Ranking_Option2!$P491*P$4</f>
        <v>#REF!</v>
      </c>
      <c r="R491" s="48">
        <f>FME_Ranking_Option2!$P491/($P$3)</f>
        <v>0</v>
      </c>
      <c r="S491" s="48" t="e">
        <f>FME_Ranking_Option2!$R491*P$4</f>
        <v>#REF!</v>
      </c>
      <c r="T491" s="50">
        <f>_xlfn.XLOOKUP(FME_Ranking2[[#This Row],[FME ID]],FME_Input[FME_ID],FME_Input[CRITFAC100])</f>
        <v>0</v>
      </c>
      <c r="U491" s="48" t="e">
        <f>FME_Ranking_Option2!$T491*T$4</f>
        <v>#REF!</v>
      </c>
      <c r="V491" s="48">
        <f>FME_Ranking_Option2!$T491/($T$3)</f>
        <v>0</v>
      </c>
      <c r="W491" s="48" t="e">
        <f>FME_Ranking_Option2!$V491*T$4</f>
        <v>#REF!</v>
      </c>
      <c r="X491" s="50">
        <f>_xlfn.XLOOKUP(FME_Ranking2[[#This Row],[FME ID]],FME_Input[FME_ID],FME_Input[LWC])</f>
        <v>0</v>
      </c>
      <c r="Y491" s="48" t="e">
        <f>FME_Ranking_Option2!$X491*X$4</f>
        <v>#REF!</v>
      </c>
      <c r="Z491" s="48">
        <f>FME_Ranking_Option2!$X491/($X$3)</f>
        <v>0</v>
      </c>
      <c r="AA491" s="48" t="e">
        <f>FME_Ranking_Option2!$Z491*X$4</f>
        <v>#REF!</v>
      </c>
      <c r="AB491" s="50">
        <f>_xlfn.XLOOKUP(FME_Ranking2[[#This Row],[FME ID]],FME_Input[FME_ID],FME_Input[ROADCLS])</f>
        <v>0</v>
      </c>
      <c r="AC491" s="48" t="e">
        <f>FME_Ranking_Option2!$AB491*AB$4</f>
        <v>#REF!</v>
      </c>
      <c r="AD491" s="53">
        <f>_xlfn.XLOOKUP(FME_Ranking2[[#This Row],[FME ID]],FME_Input[FME_ID],FME_Input[ROAD_MILES100])</f>
        <v>0</v>
      </c>
      <c r="AE491" s="54" t="e">
        <f>FME_Ranking_Option2!$AD491*AD$4</f>
        <v>#REF!</v>
      </c>
      <c r="AF491" s="55">
        <f>FME_Ranking_Option2!$AD491/($AD$3)</f>
        <v>0</v>
      </c>
      <c r="AG491" s="55" t="e">
        <f>FME_Ranking_Option2!$AF491*AD$4</f>
        <v>#REF!</v>
      </c>
      <c r="AH491" s="53">
        <f>_xlfn.XLOOKUP(FME_Ranking2[[#This Row],[FME ID]],FME_Input[FME_ID],FME_Input[FARMACRE100])</f>
        <v>0</v>
      </c>
      <c r="AI491" s="54" t="e">
        <f>FME_Ranking_Option2!$AH491*AH$4</f>
        <v>#REF!</v>
      </c>
      <c r="AJ491" s="56">
        <f>FME_Ranking_Option2!$AH491/($AH$3)</f>
        <v>0</v>
      </c>
      <c r="AK491" s="57" t="e">
        <f>FME_Ranking_Option2!$AJ491*AH$4</f>
        <v>#REF!</v>
      </c>
      <c r="AL491"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91" s="45" t="e">
        <f>_xlfn.RANK.EQ(AL491,$AL$7:$AL$531)+COUNTIF(AL$7:AL491,AL491)-1</f>
        <v>#REF!</v>
      </c>
      <c r="AN491" s="57"/>
      <c r="AO491" s="45" t="e">
        <f>_xlfn.RANK.EQ(AN491,$AN$7:$AN$531)+COUNTIF(AN$7:AN491,AN491)-1</f>
        <v>#N/A</v>
      </c>
      <c r="AP49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91" s="32" t="e">
        <f>FME_Ranking2[[#This Row],[Score Based on Reported Factors]]-FME_Ranking2[[#This Row],[Check]]</f>
        <v>#REF!</v>
      </c>
      <c r="AR491" s="32"/>
      <c r="AT491" s="19"/>
      <c r="AU491" s="19"/>
      <c r="AV491" s="19"/>
      <c r="AW491" s="19"/>
      <c r="AX491" s="19"/>
      <c r="AY491" s="19"/>
      <c r="AZ491" s="19"/>
      <c r="BA491" s="19"/>
      <c r="BB491" s="19"/>
      <c r="BC491" s="19"/>
    </row>
    <row r="492" spans="1:55" ht="12" customHeight="1" x14ac:dyDescent="0.25">
      <c r="A492" s="17" t="s">
        <v>484</v>
      </c>
      <c r="B492" s="17" t="str">
        <f>_xlfn.XLOOKUP(FME_Ranking2[[#This Row],[FME ID]],FME_Input[FME_ID],FME_Input[FME_NAME])</f>
        <v>Police Station Relocation and Safe Room</v>
      </c>
      <c r="C492" s="17" t="str">
        <f>_xlfn.XLOOKUP(FME_Ranking2[[#This Row],[FME ID]],FME_Input[FME_ID],FME_Input[DESCR])</f>
        <v>Relocate police station outside flood zone B; build safe room inside</v>
      </c>
      <c r="D492" s="33" t="str">
        <f>_xlfn.XLOOKUP(FME_Ranking2[[#This Row],[FME ID]],FME_Input[FME_ID],FME_Input[EMER_NEED])</f>
        <v>No</v>
      </c>
      <c r="E492" s="120">
        <f>IF(FME_Ranking_Option2!$D492="Yes",100,0)</f>
        <v>0</v>
      </c>
      <c r="F492" s="34" t="str">
        <f>_xlfn.XLOOKUP(FME_Ranking2[[#This Row],[FME ID]],FME_Input[FME_ID],FME_Input[FUND])</f>
        <v>No</v>
      </c>
      <c r="G492" s="35">
        <f>IF(FME_Ranking_Option2!$F492="Yes",1,0)</f>
        <v>0</v>
      </c>
      <c r="H492" s="33">
        <f>_xlfn.XLOOKUP(FME_Ranking2[[#This Row],[FME ID]],FME_Input[FME_ID],FME_Input[STRUCT_100])</f>
        <v>0</v>
      </c>
      <c r="I492" s="64" t="e">
        <f>FME_Ranking2[[#This Row],[Raw Data3]]*H$4</f>
        <v>#REF!</v>
      </c>
      <c r="J492" s="63">
        <f>((FME_Ranking_Option2!$H492)/($H$3))*100</f>
        <v>0</v>
      </c>
      <c r="K492" s="36" t="e">
        <f>FME_Ranking2[[#This Row],[Norm Data3]]*H$4</f>
        <v>#REF!</v>
      </c>
      <c r="L492" s="37">
        <f>_xlfn.XLOOKUP(FME_Ranking2[[#This Row],[FME ID]],FME_Input[FME_ID],FME_Input[RES_STRUCT100])</f>
        <v>0</v>
      </c>
      <c r="M492" s="38" t="e">
        <f>FME_Ranking2[[#This Row],[Raw Data4]]*L$4</f>
        <v>#REF!</v>
      </c>
      <c r="N492" s="28">
        <f>((FME_Ranking_Option2!$L492)/($L$3))*100</f>
        <v>0</v>
      </c>
      <c r="O492" s="39" t="e">
        <f>FME_Ranking2[[#This Row],[Norm Data4]]*L$4</f>
        <v>#REF!</v>
      </c>
      <c r="P492" s="34">
        <f>_xlfn.XLOOKUP(FME_Ranking2[[#This Row],[FME ID]],FME_Input[FME_ID],FME_Input[POP100])</f>
        <v>0</v>
      </c>
      <c r="Q492" s="35" t="e">
        <f>FME_Ranking_Option2!$P492*P$4</f>
        <v>#REF!</v>
      </c>
      <c r="R492" s="35">
        <f>FME_Ranking_Option2!$P492/($P$3)</f>
        <v>0</v>
      </c>
      <c r="S492" s="35" t="e">
        <f>FME_Ranking_Option2!$R492*P$4</f>
        <v>#REF!</v>
      </c>
      <c r="T492" s="37">
        <f>_xlfn.XLOOKUP(FME_Ranking2[[#This Row],[FME ID]],FME_Input[FME_ID],FME_Input[CRITFAC100])</f>
        <v>0</v>
      </c>
      <c r="U492" s="35" t="e">
        <f>FME_Ranking_Option2!$T492*T$4</f>
        <v>#REF!</v>
      </c>
      <c r="V492" s="35">
        <f>FME_Ranking_Option2!$T492/($T$3)</f>
        <v>0</v>
      </c>
      <c r="W492" s="35" t="e">
        <f>FME_Ranking_Option2!$V492*T$4</f>
        <v>#REF!</v>
      </c>
      <c r="X492" s="37">
        <f>_xlfn.XLOOKUP(FME_Ranking2[[#This Row],[FME ID]],FME_Input[FME_ID],FME_Input[LWC])</f>
        <v>0</v>
      </c>
      <c r="Y492" s="35" t="e">
        <f>FME_Ranking_Option2!$X492*X$4</f>
        <v>#REF!</v>
      </c>
      <c r="Z492" s="35">
        <f>FME_Ranking_Option2!$X492/($X$3)</f>
        <v>0</v>
      </c>
      <c r="AA492" s="35" t="e">
        <f>FME_Ranking_Option2!$Z492*X$4</f>
        <v>#REF!</v>
      </c>
      <c r="AB492" s="37">
        <f>_xlfn.XLOOKUP(FME_Ranking2[[#This Row],[FME ID]],FME_Input[FME_ID],FME_Input[ROADCLS])</f>
        <v>0</v>
      </c>
      <c r="AC492" s="35" t="e">
        <f>FME_Ranking_Option2!$AB492*AB$4</f>
        <v>#REF!</v>
      </c>
      <c r="AD492" s="40">
        <f>_xlfn.XLOOKUP(FME_Ranking2[[#This Row],[FME ID]],FME_Input[FME_ID],FME_Input[ROAD_MILES100])</f>
        <v>0</v>
      </c>
      <c r="AE492" s="41" t="e">
        <f>FME_Ranking_Option2!$AD492*AD$4</f>
        <v>#REF!</v>
      </c>
      <c r="AF492" s="42">
        <f>FME_Ranking_Option2!$AD492/($AD$3)</f>
        <v>0</v>
      </c>
      <c r="AG492" s="42" t="e">
        <f>FME_Ranking_Option2!$AF492*AD$4</f>
        <v>#REF!</v>
      </c>
      <c r="AH492" s="40">
        <f>_xlfn.XLOOKUP(FME_Ranking2[[#This Row],[FME ID]],FME_Input[FME_ID],FME_Input[FARMACRE100])</f>
        <v>0</v>
      </c>
      <c r="AI492" s="43" t="e">
        <f>FME_Ranking_Option2!$AH492*AH$4</f>
        <v>#REF!</v>
      </c>
      <c r="AJ492" s="41">
        <f>FME_Ranking_Option2!$AH492/($AH$3)</f>
        <v>0</v>
      </c>
      <c r="AK492" s="44" t="e">
        <f>FME_Ranking_Option2!$AJ492*AH$4</f>
        <v>#REF!</v>
      </c>
      <c r="AL492"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92" s="58" t="e">
        <f>_xlfn.RANK.EQ(AL492,$AL$7:$AL$531)+COUNTIF(AL$7:AL492,AL492)-1</f>
        <v>#REF!</v>
      </c>
      <c r="AN492" s="44"/>
      <c r="AO492" s="58" t="e">
        <f>_xlfn.RANK.EQ(AN492,$AN$7:$AN$531)+COUNTIF(AN$7:AN492,AN492)-1</f>
        <v>#N/A</v>
      </c>
      <c r="AP49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92" s="32" t="e">
        <f>FME_Ranking2[[#This Row],[Score Based on Reported Factors]]-FME_Ranking2[[#This Row],[Check]]</f>
        <v>#REF!</v>
      </c>
      <c r="AR492" s="32"/>
    </row>
    <row r="493" spans="1:55" ht="12" customHeight="1" x14ac:dyDescent="0.25">
      <c r="A493" s="16" t="s">
        <v>175</v>
      </c>
      <c r="B493" s="16" t="str">
        <f>_xlfn.XLOOKUP(FME_Ranking2[[#This Row],[FME ID]],FME_Input[FME_ID],FME_Input[FME_NAME])</f>
        <v>Highway Drainage</v>
      </c>
      <c r="C493" s="16" t="str">
        <f>_xlfn.XLOOKUP(FME_Ranking2[[#This Row],[FME ID]],FME_Input[FME_ID],FME_Input[DESCR])</f>
        <v>Highway 36 drainage ditches to be widened/reshaped, upgrade culverts</v>
      </c>
      <c r="D493" s="46" t="str">
        <f>_xlfn.XLOOKUP(FME_Ranking2[[#This Row],[FME ID]],FME_Input[FME_ID],FME_Input[EMER_NEED])</f>
        <v>No</v>
      </c>
      <c r="E493" s="121">
        <f>IF(FME_Ranking_Option2!$D493="Yes",100,0)</f>
        <v>0</v>
      </c>
      <c r="F493" s="47" t="str">
        <f>_xlfn.XLOOKUP(FME_Ranking2[[#This Row],[FME ID]],FME_Input[FME_ID],FME_Input[FUND])</f>
        <v>No</v>
      </c>
      <c r="G493" s="48">
        <f>IF(FME_Ranking_Option2!$F493="Yes",1,0)</f>
        <v>0</v>
      </c>
      <c r="H493" s="46">
        <f>_xlfn.XLOOKUP(FME_Ranking2[[#This Row],[FME ID]],FME_Input[FME_ID],FME_Input[STRUCT_100])</f>
        <v>999</v>
      </c>
      <c r="I493" s="65" t="e">
        <f>FME_Ranking2[[#This Row],[Raw Data3]]*H$4</f>
        <v>#REF!</v>
      </c>
      <c r="J493" s="62">
        <f>((FME_Ranking_Option2!$H493)/($H$3))*100</f>
        <v>0.11101615901870161</v>
      </c>
      <c r="K493" s="49" t="e">
        <f>FME_Ranking2[[#This Row],[Norm Data3]]*H$4</f>
        <v>#REF!</v>
      </c>
      <c r="L493" s="50">
        <f>_xlfn.XLOOKUP(FME_Ranking2[[#This Row],[FME ID]],FME_Input[FME_ID],FME_Input[RES_STRUCT100])</f>
        <v>797</v>
      </c>
      <c r="M493" s="51" t="e">
        <f>FME_Ranking2[[#This Row],[Raw Data4]]*L$4</f>
        <v>#REF!</v>
      </c>
      <c r="N493" s="29">
        <f>((FME_Ranking_Option2!$L493)/($L$3))*100</f>
        <v>0.11915387294937979</v>
      </c>
      <c r="O493" s="52" t="e">
        <f>FME_Ranking2[[#This Row],[Norm Data4]]*L$4</f>
        <v>#REF!</v>
      </c>
      <c r="P493" s="47">
        <f>_xlfn.XLOOKUP(FME_Ranking2[[#This Row],[FME ID]],FME_Input[FME_ID],FME_Input[POP100])</f>
        <v>1420</v>
      </c>
      <c r="Q493" s="48" t="e">
        <f>FME_Ranking_Option2!$P493*P$4</f>
        <v>#REF!</v>
      </c>
      <c r="R493" s="48">
        <f>FME_Ranking_Option2!$P493/($P$3)</f>
        <v>5.2117015177796091E-4</v>
      </c>
      <c r="S493" s="48" t="e">
        <f>FME_Ranking_Option2!$R493*P$4</f>
        <v>#REF!</v>
      </c>
      <c r="T493" s="50">
        <f>_xlfn.XLOOKUP(FME_Ranking2[[#This Row],[FME ID]],FME_Input[FME_ID],FME_Input[CRITFAC100])</f>
        <v>3</v>
      </c>
      <c r="U493" s="48" t="e">
        <f>FME_Ranking_Option2!$T493*T$4</f>
        <v>#REF!</v>
      </c>
      <c r="V493" s="48">
        <f>FME_Ranking_Option2!$T493/($T$3)</f>
        <v>4.2307149908334509E-4</v>
      </c>
      <c r="W493" s="48" t="e">
        <f>FME_Ranking_Option2!$V493*T$4</f>
        <v>#REF!</v>
      </c>
      <c r="X493" s="50">
        <f>_xlfn.XLOOKUP(FME_Ranking2[[#This Row],[FME ID]],FME_Input[FME_ID],FME_Input[LWC])</f>
        <v>0</v>
      </c>
      <c r="Y493" s="48" t="e">
        <f>FME_Ranking_Option2!$X493*X$4</f>
        <v>#REF!</v>
      </c>
      <c r="Z493" s="48">
        <f>FME_Ranking_Option2!$X493/($X$3)</f>
        <v>0</v>
      </c>
      <c r="AA493" s="48" t="e">
        <f>FME_Ranking_Option2!$Z493*X$4</f>
        <v>#REF!</v>
      </c>
      <c r="AB493" s="50">
        <f>_xlfn.XLOOKUP(FME_Ranking2[[#This Row],[FME ID]],FME_Input[FME_ID],FME_Input[ROADCLS])</f>
        <v>0</v>
      </c>
      <c r="AC493" s="48" t="e">
        <f>FME_Ranking_Option2!$AB493*AB$4</f>
        <v>#REF!</v>
      </c>
      <c r="AD493" s="53">
        <f>_xlfn.XLOOKUP(FME_Ranking2[[#This Row],[FME ID]],FME_Input[FME_ID],FME_Input[ROAD_MILES100])</f>
        <v>23.102596282958981</v>
      </c>
      <c r="AE493" s="54" t="e">
        <f>FME_Ranking_Option2!$AD493*AD$4</f>
        <v>#REF!</v>
      </c>
      <c r="AF493" s="55">
        <f>FME_Ranking_Option2!$AD493/($AD$3)</f>
        <v>5.2182487815197588E-4</v>
      </c>
      <c r="AG493" s="55" t="e">
        <f>FME_Ranking_Option2!$AF493*AD$4</f>
        <v>#REF!</v>
      </c>
      <c r="AH493" s="53">
        <f>_xlfn.XLOOKUP(FME_Ranking2[[#This Row],[FME ID]],FME_Input[FME_ID],FME_Input[FARMACRE100])</f>
        <v>2546.681640625</v>
      </c>
      <c r="AI493" s="54" t="e">
        <f>FME_Ranking_Option2!$AH493*AH$4</f>
        <v>#REF!</v>
      </c>
      <c r="AJ493" s="56">
        <f>FME_Ranking_Option2!$AH493/($AH$3)</f>
        <v>0.14787546253150077</v>
      </c>
      <c r="AK493" s="57" t="e">
        <f>FME_Ranking_Option2!$AJ493*AH$4</f>
        <v>#REF!</v>
      </c>
      <c r="AL493"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93" s="45" t="e">
        <f>_xlfn.RANK.EQ(AL493,$AL$7:$AL$531)+COUNTIF(AL$7:AL493,AL493)-1</f>
        <v>#REF!</v>
      </c>
      <c r="AN493" s="57"/>
      <c r="AO493" s="45" t="e">
        <f>_xlfn.RANK.EQ(AN493,$AN$7:$AN$531)+COUNTIF(AN$7:AN493,AN493)-1</f>
        <v>#N/A</v>
      </c>
      <c r="AP49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93" s="32" t="e">
        <f>FME_Ranking2[[#This Row],[Score Based on Reported Factors]]-FME_Ranking2[[#This Row],[Check]]</f>
        <v>#REF!</v>
      </c>
      <c r="AR493" s="32"/>
      <c r="AT493" s="19"/>
      <c r="AU493" s="19"/>
      <c r="AV493" s="19"/>
      <c r="AW493" s="19"/>
      <c r="AX493" s="19"/>
      <c r="AY493" s="19"/>
      <c r="AZ493" s="19"/>
      <c r="BA493" s="19"/>
      <c r="BB493" s="19"/>
      <c r="BC493" s="19"/>
    </row>
    <row r="494" spans="1:55" ht="12" customHeight="1" x14ac:dyDescent="0.25">
      <c r="A494" s="17" t="s">
        <v>194</v>
      </c>
      <c r="B494" s="17" t="str">
        <f>_xlfn.XLOOKUP(FME_Ranking2[[#This Row],[FME ID]],FME_Input[FME_ID],FME_Input[FME_NAME])</f>
        <v>CR257 at Pecan Bayou (Tenmile Crossing)</v>
      </c>
      <c r="C494" s="17" t="str">
        <f>_xlfn.XLOOKUP(FME_Ranking2[[#This Row],[FME ID]],FME_Input[FME_ID],FME_Input[DESCR])</f>
        <v>Upgrade CR 257 over Pecan Bayou to higher level of service (per TxDOT HDM)</v>
      </c>
      <c r="D494" s="33" t="str">
        <f>_xlfn.XLOOKUP(FME_Ranking2[[#This Row],[FME ID]],FME_Input[FME_ID],FME_Input[EMER_NEED])</f>
        <v>No</v>
      </c>
      <c r="E494" s="120">
        <f>IF(FME_Ranking_Option2!$D494="Yes",100,0)</f>
        <v>0</v>
      </c>
      <c r="F494" s="34" t="str">
        <f>_xlfn.XLOOKUP(FME_Ranking2[[#This Row],[FME ID]],FME_Input[FME_ID],FME_Input[FUND])</f>
        <v>No</v>
      </c>
      <c r="G494" s="35">
        <f>IF(FME_Ranking_Option2!$F494="Yes",1,0)</f>
        <v>0</v>
      </c>
      <c r="H494" s="33">
        <f>_xlfn.XLOOKUP(FME_Ranking2[[#This Row],[FME ID]],FME_Input[FME_ID],FME_Input[STRUCT_100])</f>
        <v>0</v>
      </c>
      <c r="I494" s="64" t="e">
        <f>FME_Ranking2[[#This Row],[Raw Data3]]*H$4</f>
        <v>#REF!</v>
      </c>
      <c r="J494" s="63">
        <f>((FME_Ranking_Option2!$H494)/($H$3))*100</f>
        <v>0</v>
      </c>
      <c r="K494" s="36" t="e">
        <f>FME_Ranking2[[#This Row],[Norm Data3]]*H$4</f>
        <v>#REF!</v>
      </c>
      <c r="L494" s="37">
        <f>_xlfn.XLOOKUP(FME_Ranking2[[#This Row],[FME ID]],FME_Input[FME_ID],FME_Input[RES_STRUCT100])</f>
        <v>0</v>
      </c>
      <c r="M494" s="38" t="e">
        <f>FME_Ranking2[[#This Row],[Raw Data4]]*L$4</f>
        <v>#REF!</v>
      </c>
      <c r="N494" s="28">
        <f>((FME_Ranking_Option2!$L494)/($L$3))*100</f>
        <v>0</v>
      </c>
      <c r="O494" s="39" t="e">
        <f>FME_Ranking2[[#This Row],[Norm Data4]]*L$4</f>
        <v>#REF!</v>
      </c>
      <c r="P494" s="34">
        <f>_xlfn.XLOOKUP(FME_Ranking2[[#This Row],[FME ID]],FME_Input[FME_ID],FME_Input[POP100])</f>
        <v>0</v>
      </c>
      <c r="Q494" s="35" t="e">
        <f>FME_Ranking_Option2!$P494*P$4</f>
        <v>#REF!</v>
      </c>
      <c r="R494" s="35">
        <f>FME_Ranking_Option2!$P494/($P$3)</f>
        <v>0</v>
      </c>
      <c r="S494" s="35" t="e">
        <f>FME_Ranking_Option2!$R494*P$4</f>
        <v>#REF!</v>
      </c>
      <c r="T494" s="37">
        <f>_xlfn.XLOOKUP(FME_Ranking2[[#This Row],[FME ID]],FME_Input[FME_ID],FME_Input[CRITFAC100])</f>
        <v>0</v>
      </c>
      <c r="U494" s="35" t="e">
        <f>FME_Ranking_Option2!$T494*T$4</f>
        <v>#REF!</v>
      </c>
      <c r="V494" s="35">
        <f>FME_Ranking_Option2!$T494/($T$3)</f>
        <v>0</v>
      </c>
      <c r="W494" s="35" t="e">
        <f>FME_Ranking_Option2!$V494*T$4</f>
        <v>#REF!</v>
      </c>
      <c r="X494" s="37">
        <f>_xlfn.XLOOKUP(FME_Ranking2[[#This Row],[FME ID]],FME_Input[FME_ID],FME_Input[LWC])</f>
        <v>0</v>
      </c>
      <c r="Y494" s="35" t="e">
        <f>FME_Ranking_Option2!$X494*X$4</f>
        <v>#REF!</v>
      </c>
      <c r="Z494" s="35">
        <f>FME_Ranking_Option2!$X494/($X$3)</f>
        <v>0</v>
      </c>
      <c r="AA494" s="35" t="e">
        <f>FME_Ranking_Option2!$Z494*X$4</f>
        <v>#REF!</v>
      </c>
      <c r="AB494" s="37">
        <f>_xlfn.XLOOKUP(FME_Ranking2[[#This Row],[FME ID]],FME_Input[FME_ID],FME_Input[ROADCLS])</f>
        <v>0</v>
      </c>
      <c r="AC494" s="35" t="e">
        <f>FME_Ranking_Option2!$AB494*AB$4</f>
        <v>#REF!</v>
      </c>
      <c r="AD494" s="40">
        <f>_xlfn.XLOOKUP(FME_Ranking2[[#This Row],[FME ID]],FME_Input[FME_ID],FME_Input[ROAD_MILES100])</f>
        <v>4.5890498906373978E-2</v>
      </c>
      <c r="AE494" s="41" t="e">
        <f>FME_Ranking_Option2!$AD494*AD$4</f>
        <v>#REF!</v>
      </c>
      <c r="AF494" s="42">
        <f>FME_Ranking_Option2!$AD494/($AD$3)</f>
        <v>1.0365416815864852E-6</v>
      </c>
      <c r="AG494" s="42" t="e">
        <f>FME_Ranking_Option2!$AF494*AD$4</f>
        <v>#REF!</v>
      </c>
      <c r="AH494" s="40">
        <f>_xlfn.XLOOKUP(FME_Ranking2[[#This Row],[FME ID]],FME_Input[FME_ID],FME_Input[FARMACRE100])</f>
        <v>0.10874143242836</v>
      </c>
      <c r="AI494" s="43" t="e">
        <f>FME_Ranking_Option2!$AH494*AH$4</f>
        <v>#REF!</v>
      </c>
      <c r="AJ494" s="41">
        <f>FME_Ranking_Option2!$AH494/($AH$3)</f>
        <v>6.3141734562217658E-6</v>
      </c>
      <c r="AK494" s="44" t="e">
        <f>FME_Ranking_Option2!$AJ494*AH$4</f>
        <v>#REF!</v>
      </c>
      <c r="AL494"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94" s="58" t="e">
        <f>_xlfn.RANK.EQ(AL494,$AL$7:$AL$531)+COUNTIF(AL$7:AL494,AL494)-1</f>
        <v>#REF!</v>
      </c>
      <c r="AN494" s="44"/>
      <c r="AO494" s="58" t="e">
        <f>_xlfn.RANK.EQ(AN494,$AN$7:$AN$531)+COUNTIF(AN$7:AN494,AN494)-1</f>
        <v>#N/A</v>
      </c>
      <c r="AP49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94" s="32" t="e">
        <f>FME_Ranking2[[#This Row],[Score Based on Reported Factors]]-FME_Ranking2[[#This Row],[Check]]</f>
        <v>#REF!</v>
      </c>
      <c r="AR494" s="32"/>
    </row>
    <row r="495" spans="1:55" ht="12" customHeight="1" x14ac:dyDescent="0.25">
      <c r="A495" s="16" t="s">
        <v>219</v>
      </c>
      <c r="B495" s="16" t="str">
        <f>_xlfn.XLOOKUP(FME_Ranking2[[#This Row],[FME ID]],FME_Input[FME_ID],FME_Input[FME_NAME])</f>
        <v>Dam Emergency Action Plan</v>
      </c>
      <c r="C495" s="16" t="str">
        <f>_xlfn.XLOOKUP(FME_Ranking2[[#This Row],[FME ID]],FME_Input[FME_ID],FME_Input[DESCR])</f>
        <v>Dam Emergency Action Plan</v>
      </c>
      <c r="D495" s="46" t="str">
        <f>_xlfn.XLOOKUP(FME_Ranking2[[#This Row],[FME ID]],FME_Input[FME_ID],FME_Input[EMER_NEED])</f>
        <v>No</v>
      </c>
      <c r="E495" s="121">
        <f>IF(FME_Ranking_Option2!$D495="Yes",100,0)</f>
        <v>0</v>
      </c>
      <c r="F495" s="47" t="str">
        <f>_xlfn.XLOOKUP(FME_Ranking2[[#This Row],[FME ID]],FME_Input[FME_ID],FME_Input[FUND])</f>
        <v>No</v>
      </c>
      <c r="G495" s="48">
        <f>IF(FME_Ranking_Option2!$F495="Yes",1,0)</f>
        <v>0</v>
      </c>
      <c r="H495" s="46">
        <f>_xlfn.XLOOKUP(FME_Ranking2[[#This Row],[FME ID]],FME_Input[FME_ID],FME_Input[STRUCT_100])</f>
        <v>187</v>
      </c>
      <c r="I495" s="65" t="e">
        <f>FME_Ranking2[[#This Row],[Raw Data3]]*H$4</f>
        <v>#REF!</v>
      </c>
      <c r="J495" s="62">
        <f>((FME_Ranking_Option2!$H495)/($H$3))*100</f>
        <v>2.0780802539036237E-2</v>
      </c>
      <c r="K495" s="49" t="e">
        <f>FME_Ranking2[[#This Row],[Norm Data3]]*H$4</f>
        <v>#REF!</v>
      </c>
      <c r="L495" s="50">
        <f>_xlfn.XLOOKUP(FME_Ranking2[[#This Row],[FME ID]],FME_Input[FME_ID],FME_Input[RES_STRUCT100])</f>
        <v>127</v>
      </c>
      <c r="M495" s="51" t="e">
        <f>FME_Ranking2[[#This Row],[Raw Data4]]*L$4</f>
        <v>#REF!</v>
      </c>
      <c r="N495" s="29">
        <f>((FME_Ranking_Option2!$L495)/($L$3))*100</f>
        <v>1.8986878123677834E-2</v>
      </c>
      <c r="O495" s="52" t="e">
        <f>FME_Ranking2[[#This Row],[Norm Data4]]*L$4</f>
        <v>#REF!</v>
      </c>
      <c r="P495" s="47">
        <f>_xlfn.XLOOKUP(FME_Ranking2[[#This Row],[FME ID]],FME_Input[FME_ID],FME_Input[POP100])</f>
        <v>514</v>
      </c>
      <c r="Q495" s="48" t="e">
        <f>FME_Ranking_Option2!$P495*P$4</f>
        <v>#REF!</v>
      </c>
      <c r="R495" s="48">
        <f>FME_Ranking_Option2!$P495/($P$3)</f>
        <v>1.8864891409427602E-4</v>
      </c>
      <c r="S495" s="48" t="e">
        <f>FME_Ranking_Option2!$R495*P$4</f>
        <v>#REF!</v>
      </c>
      <c r="T495" s="50">
        <f>_xlfn.XLOOKUP(FME_Ranking2[[#This Row],[FME ID]],FME_Input[FME_ID],FME_Input[CRITFAC100])</f>
        <v>0</v>
      </c>
      <c r="U495" s="48" t="e">
        <f>FME_Ranking_Option2!$T495*T$4</f>
        <v>#REF!</v>
      </c>
      <c r="V495" s="48">
        <f>FME_Ranking_Option2!$T495/($T$3)</f>
        <v>0</v>
      </c>
      <c r="W495" s="48" t="e">
        <f>FME_Ranking_Option2!$V495*T$4</f>
        <v>#REF!</v>
      </c>
      <c r="X495" s="50">
        <f>_xlfn.XLOOKUP(FME_Ranking2[[#This Row],[FME ID]],FME_Input[FME_ID],FME_Input[LWC])</f>
        <v>8</v>
      </c>
      <c r="Y495" s="48" t="e">
        <f>FME_Ranking_Option2!$X495*X$4</f>
        <v>#REF!</v>
      </c>
      <c r="Z495" s="48">
        <f>FME_Ranking_Option2!$X495/($X$3)</f>
        <v>7.2979383324210906E-4</v>
      </c>
      <c r="AA495" s="48" t="e">
        <f>FME_Ranking_Option2!$Z495*X$4</f>
        <v>#REF!</v>
      </c>
      <c r="AB495" s="50">
        <f>_xlfn.XLOOKUP(FME_Ranking2[[#This Row],[FME ID]],FME_Input[FME_ID],FME_Input[ROADCLS])</f>
        <v>0</v>
      </c>
      <c r="AC495" s="48" t="e">
        <f>FME_Ranking_Option2!$AB495*AB$4</f>
        <v>#REF!</v>
      </c>
      <c r="AD495" s="53">
        <f>_xlfn.XLOOKUP(FME_Ranking2[[#This Row],[FME ID]],FME_Input[FME_ID],FME_Input[ROAD_MILES100])</f>
        <v>4.1813511848449707</v>
      </c>
      <c r="AE495" s="54" t="e">
        <f>FME_Ranking_Option2!$AD495*AD$4</f>
        <v>#REF!</v>
      </c>
      <c r="AF495" s="55">
        <f>FME_Ranking_Option2!$AD495/($AD$3)</f>
        <v>9.4445362149698814E-5</v>
      </c>
      <c r="AG495" s="55" t="e">
        <f>FME_Ranking_Option2!$AF495*AD$4</f>
        <v>#REF!</v>
      </c>
      <c r="AH495" s="53">
        <f>_xlfn.XLOOKUP(FME_Ranking2[[#This Row],[FME ID]],FME_Input[FME_ID],FME_Input[FARMACRE100])</f>
        <v>589.1605224609375</v>
      </c>
      <c r="AI495" s="54" t="e">
        <f>FME_Ranking_Option2!$AH495*AH$4</f>
        <v>#REF!</v>
      </c>
      <c r="AJ495" s="56">
        <f>FME_Ranking_Option2!$AH495/($AH$3)</f>
        <v>3.4210159359703257E-2</v>
      </c>
      <c r="AK495" s="57" t="e">
        <f>FME_Ranking_Option2!$AJ495*AH$4</f>
        <v>#REF!</v>
      </c>
      <c r="AL495"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95" s="45" t="e">
        <f>_xlfn.RANK.EQ(AL495,$AL$7:$AL$531)+COUNTIF(AL$7:AL495,AL495)-1</f>
        <v>#REF!</v>
      </c>
      <c r="AN495" s="57"/>
      <c r="AO495" s="45" t="e">
        <f>_xlfn.RANK.EQ(AN495,$AN$7:$AN$531)+COUNTIF(AN$7:AN495,AN495)-1</f>
        <v>#N/A</v>
      </c>
      <c r="AP49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95" s="32" t="e">
        <f>FME_Ranking2[[#This Row],[Score Based on Reported Factors]]-FME_Ranking2[[#This Row],[Check]]</f>
        <v>#REF!</v>
      </c>
      <c r="AR495" s="32"/>
      <c r="AT495" s="19"/>
      <c r="AU495" s="19"/>
      <c r="AV495" s="19"/>
      <c r="AW495" s="19"/>
      <c r="AX495" s="19"/>
      <c r="AY495" s="19"/>
      <c r="AZ495" s="19"/>
      <c r="BA495" s="19"/>
      <c r="BB495" s="19"/>
      <c r="BC495" s="19"/>
    </row>
    <row r="496" spans="1:55" ht="12" customHeight="1" x14ac:dyDescent="0.25">
      <c r="A496" s="17" t="s">
        <v>361</v>
      </c>
      <c r="B496" s="17" t="str">
        <f>_xlfn.XLOOKUP(FME_Ranking2[[#This Row],[FME ID]],FME_Input[FME_ID],FME_Input[FME_NAME])</f>
        <v>City of Buda Garlic Creek Culvert</v>
      </c>
      <c r="C496" s="17" t="str">
        <f>_xlfn.XLOOKUP(FME_Ranking2[[#This Row],[FME ID]],FME_Input[FME_ID],FME_Input[DESCR])</f>
        <v>Culvert improvements to Garlic Creek RM 967, TxDOT upgraded the road but chose not to touch the culvert, Needs to be upsized. Current roadway inundation just north of creekside by Hailey's Way</v>
      </c>
      <c r="D496" s="33" t="str">
        <f>_xlfn.XLOOKUP(FME_Ranking2[[#This Row],[FME ID]],FME_Input[FME_ID],FME_Input[EMER_NEED])</f>
        <v>No</v>
      </c>
      <c r="E496" s="120">
        <f>IF(FME_Ranking_Option2!$D496="Yes",100,0)</f>
        <v>0</v>
      </c>
      <c r="F496" s="34" t="str">
        <f>_xlfn.XLOOKUP(FME_Ranking2[[#This Row],[FME ID]],FME_Input[FME_ID],FME_Input[FUND])</f>
        <v>No</v>
      </c>
      <c r="G496" s="35">
        <f>IF(FME_Ranking_Option2!$F496="Yes",1,0)</f>
        <v>0</v>
      </c>
      <c r="H496" s="33">
        <f>_xlfn.XLOOKUP(FME_Ranking2[[#This Row],[FME ID]],FME_Input[FME_ID],FME_Input[STRUCT_100])</f>
        <v>16</v>
      </c>
      <c r="I496" s="64" t="e">
        <f>FME_Ranking2[[#This Row],[Raw Data3]]*H$4</f>
        <v>#REF!</v>
      </c>
      <c r="J496" s="63">
        <f>((FME_Ranking_Option2!$H496)/($H$3))*100</f>
        <v>1.7780365808801059E-3</v>
      </c>
      <c r="K496" s="36" t="e">
        <f>FME_Ranking2[[#This Row],[Norm Data3]]*H$4</f>
        <v>#REF!</v>
      </c>
      <c r="L496" s="37">
        <f>_xlfn.XLOOKUP(FME_Ranking2[[#This Row],[FME ID]],FME_Input[FME_ID],FME_Input[RES_STRUCT100])</f>
        <v>13</v>
      </c>
      <c r="M496" s="38" t="e">
        <f>FME_Ranking2[[#This Row],[Raw Data4]]*L$4</f>
        <v>#REF!</v>
      </c>
      <c r="N496" s="28">
        <f>((FME_Ranking_Option2!$L496)/($L$3))*100</f>
        <v>1.9435387055733214E-3</v>
      </c>
      <c r="O496" s="39" t="e">
        <f>FME_Ranking2[[#This Row],[Norm Data4]]*L$4</f>
        <v>#REF!</v>
      </c>
      <c r="P496" s="34">
        <f>_xlfn.XLOOKUP(FME_Ranking2[[#This Row],[FME ID]],FME_Input[FME_ID],FME_Input[POP100])</f>
        <v>17</v>
      </c>
      <c r="Q496" s="35" t="e">
        <f>FME_Ranking_Option2!$P496*P$4</f>
        <v>#REF!</v>
      </c>
      <c r="R496" s="35">
        <f>FME_Ranking_Option2!$P496/($P$3)</f>
        <v>6.2393609719896732E-6</v>
      </c>
      <c r="S496" s="35" t="e">
        <f>FME_Ranking_Option2!$R496*P$4</f>
        <v>#REF!</v>
      </c>
      <c r="T496" s="37">
        <f>_xlfn.XLOOKUP(FME_Ranking2[[#This Row],[FME ID]],FME_Input[FME_ID],FME_Input[CRITFAC100])</f>
        <v>0</v>
      </c>
      <c r="U496" s="35" t="e">
        <f>FME_Ranking_Option2!$T496*T$4</f>
        <v>#REF!</v>
      </c>
      <c r="V496" s="35">
        <f>FME_Ranking_Option2!$T496/($T$3)</f>
        <v>0</v>
      </c>
      <c r="W496" s="35" t="e">
        <f>FME_Ranking_Option2!$V496*T$4</f>
        <v>#REF!</v>
      </c>
      <c r="X496" s="37">
        <f>_xlfn.XLOOKUP(FME_Ranking2[[#This Row],[FME ID]],FME_Input[FME_ID],FME_Input[LWC])</f>
        <v>2</v>
      </c>
      <c r="Y496" s="35" t="e">
        <f>FME_Ranking_Option2!$X496*X$4</f>
        <v>#REF!</v>
      </c>
      <c r="Z496" s="35">
        <f>FME_Ranking_Option2!$X496/($X$3)</f>
        <v>1.8244845831052726E-4</v>
      </c>
      <c r="AA496" s="35" t="e">
        <f>FME_Ranking_Option2!$Z496*X$4</f>
        <v>#REF!</v>
      </c>
      <c r="AB496" s="37">
        <f>_xlfn.XLOOKUP(FME_Ranking2[[#This Row],[FME ID]],FME_Input[FME_ID],FME_Input[ROADCLS])</f>
        <v>0</v>
      </c>
      <c r="AC496" s="35" t="e">
        <f>FME_Ranking_Option2!$AB496*AB$4</f>
        <v>#REF!</v>
      </c>
      <c r="AD496" s="40">
        <f>_xlfn.XLOOKUP(FME_Ranking2[[#This Row],[FME ID]],FME_Input[FME_ID],FME_Input[ROAD_MILES100])</f>
        <v>0.37819370627403259</v>
      </c>
      <c r="AE496" s="41" t="e">
        <f>FME_Ranking_Option2!$AD496*AD$4</f>
        <v>#REF!</v>
      </c>
      <c r="AF496" s="42">
        <f>FME_Ranking_Option2!$AD496/($AD$3)</f>
        <v>8.5423682376279873E-6</v>
      </c>
      <c r="AG496" s="42" t="e">
        <f>FME_Ranking_Option2!$AF496*AD$4</f>
        <v>#REF!</v>
      </c>
      <c r="AH496" s="40">
        <f>_xlfn.XLOOKUP(FME_Ranking2[[#This Row],[FME ID]],FME_Input[FME_ID],FME_Input[FARMACRE100])</f>
        <v>195.1989440917969</v>
      </c>
      <c r="AI496" s="43" t="e">
        <f>FME_Ranking_Option2!$AH496*AH$4</f>
        <v>#REF!</v>
      </c>
      <c r="AJ496" s="41">
        <f>FME_Ranking_Option2!$AH496/($AH$3)</f>
        <v>1.1334410113449054E-2</v>
      </c>
      <c r="AK496" s="44" t="e">
        <f>FME_Ranking_Option2!$AJ496*AH$4</f>
        <v>#REF!</v>
      </c>
      <c r="AL496"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96" s="58" t="e">
        <f>_xlfn.RANK.EQ(AL496,$AL$7:$AL$531)+COUNTIF(AL$7:AL496,AL496)-1</f>
        <v>#REF!</v>
      </c>
      <c r="AN496" s="44"/>
      <c r="AO496" s="58" t="e">
        <f>_xlfn.RANK.EQ(AN496,$AN$7:$AN$531)+COUNTIF(AN$7:AN496,AN496)-1</f>
        <v>#N/A</v>
      </c>
      <c r="AP49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96" s="32" t="e">
        <f>FME_Ranking2[[#This Row],[Score Based on Reported Factors]]-FME_Ranking2[[#This Row],[Check]]</f>
        <v>#REF!</v>
      </c>
      <c r="AR496" s="32"/>
    </row>
    <row r="497" spans="1:55" ht="12" customHeight="1" x14ac:dyDescent="0.25">
      <c r="A497" s="16" t="s">
        <v>142</v>
      </c>
      <c r="B497" s="16" t="str">
        <f>_xlfn.XLOOKUP(FME_Ranking2[[#This Row],[FME ID]],FME_Input[FME_ID],FME_Input[FME_NAME])</f>
        <v>Taylor Lane Drainage Improvements</v>
      </c>
      <c r="C497" s="16" t="str">
        <f>_xlfn.XLOOKUP(FME_Ranking2[[#This Row],[FME ID]],FME_Input[FME_ID],FME_Input[DESCR])</f>
        <v>Upgrade to stormwater drainage system in the northeastern part of the city; capacity of existing drainage infrastructure in this area is insufficient as per current city drainage requirements</v>
      </c>
      <c r="D497" s="46" t="str">
        <f>_xlfn.XLOOKUP(FME_Ranking2[[#This Row],[FME ID]],FME_Input[FME_ID],FME_Input[EMER_NEED])</f>
        <v>No</v>
      </c>
      <c r="E497" s="121">
        <f>IF(FME_Ranking_Option2!$D497="Yes",100,0)</f>
        <v>0</v>
      </c>
      <c r="F497" s="47" t="str">
        <f>_xlfn.XLOOKUP(FME_Ranking2[[#This Row],[FME ID]],FME_Input[FME_ID],FME_Input[FUND])</f>
        <v>No</v>
      </c>
      <c r="G497" s="48">
        <f>IF(FME_Ranking_Option2!$F497="Yes",1,0)</f>
        <v>0</v>
      </c>
      <c r="H497" s="46">
        <f>_xlfn.XLOOKUP(FME_Ranking2[[#This Row],[FME ID]],FME_Input[FME_ID],FME_Input[STRUCT_100])</f>
        <v>14</v>
      </c>
      <c r="I497" s="65" t="e">
        <f>FME_Ranking2[[#This Row],[Raw Data3]]*H$4</f>
        <v>#REF!</v>
      </c>
      <c r="J497" s="62">
        <f>((FME_Ranking_Option2!$H497)/($H$3))*100</f>
        <v>1.5557820082700926E-3</v>
      </c>
      <c r="K497" s="49" t="e">
        <f>FME_Ranking2[[#This Row],[Norm Data3]]*H$4</f>
        <v>#REF!</v>
      </c>
      <c r="L497" s="50">
        <f>_xlfn.XLOOKUP(FME_Ranking2[[#This Row],[FME ID]],FME_Input[FME_ID],FME_Input[RES_STRUCT100])</f>
        <v>14</v>
      </c>
      <c r="M497" s="51" t="e">
        <f>FME_Ranking2[[#This Row],[Raw Data4]]*L$4</f>
        <v>#REF!</v>
      </c>
      <c r="N497" s="29">
        <f>((FME_Ranking_Option2!$L497)/($L$3))*100</f>
        <v>2.0930416829251152E-3</v>
      </c>
      <c r="O497" s="52" t="e">
        <f>FME_Ranking2[[#This Row],[Norm Data4]]*L$4</f>
        <v>#REF!</v>
      </c>
      <c r="P497" s="47">
        <f>_xlfn.XLOOKUP(FME_Ranking2[[#This Row],[FME ID]],FME_Input[FME_ID],FME_Input[POP100])</f>
        <v>50</v>
      </c>
      <c r="Q497" s="48" t="e">
        <f>FME_Ranking_Option2!$P497*P$4</f>
        <v>#REF!</v>
      </c>
      <c r="R497" s="48">
        <f>FME_Ranking_Option2!$P497/($P$3)</f>
        <v>1.8351061682322571E-5</v>
      </c>
      <c r="S497" s="48" t="e">
        <f>FME_Ranking_Option2!$R497*P$4</f>
        <v>#REF!</v>
      </c>
      <c r="T497" s="50">
        <f>_xlfn.XLOOKUP(FME_Ranking2[[#This Row],[FME ID]],FME_Input[FME_ID],FME_Input[CRITFAC100])</f>
        <v>0</v>
      </c>
      <c r="U497" s="48" t="e">
        <f>FME_Ranking_Option2!$T497*T$4</f>
        <v>#REF!</v>
      </c>
      <c r="V497" s="48">
        <f>FME_Ranking_Option2!$T497/($T$3)</f>
        <v>0</v>
      </c>
      <c r="W497" s="48" t="e">
        <f>FME_Ranking_Option2!$V497*T$4</f>
        <v>#REF!</v>
      </c>
      <c r="X497" s="50">
        <f>_xlfn.XLOOKUP(FME_Ranking2[[#This Row],[FME ID]],FME_Input[FME_ID],FME_Input[LWC])</f>
        <v>0</v>
      </c>
      <c r="Y497" s="48" t="e">
        <f>FME_Ranking_Option2!$X497*X$4</f>
        <v>#REF!</v>
      </c>
      <c r="Z497" s="48">
        <f>FME_Ranking_Option2!$X497/($X$3)</f>
        <v>0</v>
      </c>
      <c r="AA497" s="48" t="e">
        <f>FME_Ranking_Option2!$Z497*X$4</f>
        <v>#REF!</v>
      </c>
      <c r="AB497" s="50">
        <f>_xlfn.XLOOKUP(FME_Ranking2[[#This Row],[FME ID]],FME_Input[FME_ID],FME_Input[ROADCLS])</f>
        <v>0</v>
      </c>
      <c r="AC497" s="48" t="e">
        <f>FME_Ranking_Option2!$AB497*AB$4</f>
        <v>#REF!</v>
      </c>
      <c r="AD497" s="53">
        <f>_xlfn.XLOOKUP(FME_Ranking2[[#This Row],[FME ID]],FME_Input[FME_ID],FME_Input[ROAD_MILES100])</f>
        <v>0.18110325932502749</v>
      </c>
      <c r="AE497" s="54" t="e">
        <f>FME_Ranking_Option2!$AD497*AD$4</f>
        <v>#REF!</v>
      </c>
      <c r="AF497" s="55">
        <f>FME_Ranking_Option2!$AD497/($AD$3)</f>
        <v>4.0906305539311472E-6</v>
      </c>
      <c r="AG497" s="55" t="e">
        <f>FME_Ranking_Option2!$AF497*AD$4</f>
        <v>#REF!</v>
      </c>
      <c r="AH497" s="53">
        <f>_xlfn.XLOOKUP(FME_Ranking2[[#This Row],[FME ID]],FME_Input[FME_ID],FME_Input[FARMACRE100])</f>
        <v>111.6944274902344</v>
      </c>
      <c r="AI497" s="54" t="e">
        <f>FME_Ranking_Option2!$AH497*AH$4</f>
        <v>#REF!</v>
      </c>
      <c r="AJ497" s="56">
        <f>FME_Ranking_Option2!$AH497/($AH$3)</f>
        <v>6.4856418893631564E-3</v>
      </c>
      <c r="AK497" s="57" t="e">
        <f>FME_Ranking_Option2!$AJ497*AH$4</f>
        <v>#REF!</v>
      </c>
      <c r="AL497"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97" s="45" t="e">
        <f>_xlfn.RANK.EQ(AL497,$AL$7:$AL$531)+COUNTIF(AL$7:AL497,AL497)-1</f>
        <v>#REF!</v>
      </c>
      <c r="AN497" s="57"/>
      <c r="AO497" s="45" t="e">
        <f>_xlfn.RANK.EQ(AN497,$AN$7:$AN$531)+COUNTIF(AN$7:AN497,AN497)-1</f>
        <v>#N/A</v>
      </c>
      <c r="AP49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97" s="32" t="e">
        <f>FME_Ranking2[[#This Row],[Score Based on Reported Factors]]-FME_Ranking2[[#This Row],[Check]]</f>
        <v>#REF!</v>
      </c>
      <c r="AR497" s="32"/>
      <c r="AT497" s="19"/>
      <c r="AU497" s="19"/>
      <c r="AV497" s="19"/>
      <c r="AW497" s="19"/>
      <c r="AX497" s="19"/>
      <c r="AY497" s="19"/>
      <c r="AZ497" s="19"/>
      <c r="BA497" s="19"/>
      <c r="BB497" s="19"/>
      <c r="BC497" s="19"/>
    </row>
    <row r="498" spans="1:55" ht="12" customHeight="1" x14ac:dyDescent="0.25">
      <c r="A498" s="17" t="s">
        <v>147</v>
      </c>
      <c r="B498" s="17" t="str">
        <f>_xlfn.XLOOKUP(FME_Ranking2[[#This Row],[FME ID]],FME_Input[FME_ID],FME_Input[FME_NAME])</f>
        <v>Storm Water Detention at Morris Park</v>
      </c>
      <c r="C498" s="17" t="str">
        <f>_xlfn.XLOOKUP(FME_Ranking2[[#This Row],[FME ID]],FME_Input[FME_ID],FME_Input[DESCR])</f>
        <v>Storm Water Detention at Morris Park</v>
      </c>
      <c r="D498" s="33" t="str">
        <f>_xlfn.XLOOKUP(FME_Ranking2[[#This Row],[FME ID]],FME_Input[FME_ID],FME_Input[EMER_NEED])</f>
        <v>No</v>
      </c>
      <c r="E498" s="120">
        <f>IF(FME_Ranking_Option2!$D498="Yes",100,0)</f>
        <v>0</v>
      </c>
      <c r="F498" s="34" t="str">
        <f>_xlfn.XLOOKUP(FME_Ranking2[[#This Row],[FME ID]],FME_Input[FME_ID],FME_Input[FUND])</f>
        <v>No</v>
      </c>
      <c r="G498" s="35">
        <f>IF(FME_Ranking_Option2!$F498="Yes",1,0)</f>
        <v>0</v>
      </c>
      <c r="H498" s="33">
        <f>_xlfn.XLOOKUP(FME_Ranking2[[#This Row],[FME ID]],FME_Input[FME_ID],FME_Input[STRUCT_100])</f>
        <v>0</v>
      </c>
      <c r="I498" s="64" t="e">
        <f>FME_Ranking2[[#This Row],[Raw Data3]]*H$4</f>
        <v>#REF!</v>
      </c>
      <c r="J498" s="63">
        <f>((FME_Ranking_Option2!$H498)/($H$3))*100</f>
        <v>0</v>
      </c>
      <c r="K498" s="36" t="e">
        <f>FME_Ranking2[[#This Row],[Norm Data3]]*H$4</f>
        <v>#REF!</v>
      </c>
      <c r="L498" s="37">
        <f>_xlfn.XLOOKUP(FME_Ranking2[[#This Row],[FME ID]],FME_Input[FME_ID],FME_Input[RES_STRUCT100])</f>
        <v>0</v>
      </c>
      <c r="M498" s="38" t="e">
        <f>FME_Ranking2[[#This Row],[Raw Data4]]*L$4</f>
        <v>#REF!</v>
      </c>
      <c r="N498" s="28">
        <f>((FME_Ranking_Option2!$L498)/($L$3))*100</f>
        <v>0</v>
      </c>
      <c r="O498" s="39" t="e">
        <f>FME_Ranking2[[#This Row],[Norm Data4]]*L$4</f>
        <v>#REF!</v>
      </c>
      <c r="P498" s="34">
        <f>_xlfn.XLOOKUP(FME_Ranking2[[#This Row],[FME ID]],FME_Input[FME_ID],FME_Input[POP100])</f>
        <v>0</v>
      </c>
      <c r="Q498" s="35" t="e">
        <f>FME_Ranking_Option2!$P498*P$4</f>
        <v>#REF!</v>
      </c>
      <c r="R498" s="35">
        <f>FME_Ranking_Option2!$P498/($P$3)</f>
        <v>0</v>
      </c>
      <c r="S498" s="35" t="e">
        <f>FME_Ranking_Option2!$R498*P$4</f>
        <v>#REF!</v>
      </c>
      <c r="T498" s="37">
        <f>_xlfn.XLOOKUP(FME_Ranking2[[#This Row],[FME ID]],FME_Input[FME_ID],FME_Input[CRITFAC100])</f>
        <v>0</v>
      </c>
      <c r="U498" s="35" t="e">
        <f>FME_Ranking_Option2!$T498*T$4</f>
        <v>#REF!</v>
      </c>
      <c r="V498" s="35">
        <f>FME_Ranking_Option2!$T498/($T$3)</f>
        <v>0</v>
      </c>
      <c r="W498" s="35" t="e">
        <f>FME_Ranking_Option2!$V498*T$4</f>
        <v>#REF!</v>
      </c>
      <c r="X498" s="37">
        <f>_xlfn.XLOOKUP(FME_Ranking2[[#This Row],[FME ID]],FME_Input[FME_ID],FME_Input[LWC])</f>
        <v>0</v>
      </c>
      <c r="Y498" s="35" t="e">
        <f>FME_Ranking_Option2!$X498*X$4</f>
        <v>#REF!</v>
      </c>
      <c r="Z498" s="35">
        <f>FME_Ranking_Option2!$X498/($X$3)</f>
        <v>0</v>
      </c>
      <c r="AA498" s="35" t="e">
        <f>FME_Ranking_Option2!$Z498*X$4</f>
        <v>#REF!</v>
      </c>
      <c r="AB498" s="37">
        <f>_xlfn.XLOOKUP(FME_Ranking2[[#This Row],[FME ID]],FME_Input[FME_ID],FME_Input[ROADCLS])</f>
        <v>0</v>
      </c>
      <c r="AC498" s="35" t="e">
        <f>FME_Ranking_Option2!$AB498*AB$4</f>
        <v>#REF!</v>
      </c>
      <c r="AD498" s="40">
        <f>_xlfn.XLOOKUP(FME_Ranking2[[#This Row],[FME ID]],FME_Input[FME_ID],FME_Input[ROAD_MILES100])</f>
        <v>0</v>
      </c>
      <c r="AE498" s="41" t="e">
        <f>FME_Ranking_Option2!$AD498*AD$4</f>
        <v>#REF!</v>
      </c>
      <c r="AF498" s="42">
        <f>FME_Ranking_Option2!$AD498/($AD$3)</f>
        <v>0</v>
      </c>
      <c r="AG498" s="42" t="e">
        <f>FME_Ranking_Option2!$AF498*AD$4</f>
        <v>#REF!</v>
      </c>
      <c r="AH498" s="40">
        <f>_xlfn.XLOOKUP(FME_Ranking2[[#This Row],[FME ID]],FME_Input[FME_ID],FME_Input[FARMACRE100])</f>
        <v>0</v>
      </c>
      <c r="AI498" s="43" t="e">
        <f>FME_Ranking_Option2!$AH498*AH$4</f>
        <v>#REF!</v>
      </c>
      <c r="AJ498" s="41">
        <f>FME_Ranking_Option2!$AH498/($AH$3)</f>
        <v>0</v>
      </c>
      <c r="AK498" s="44" t="e">
        <f>FME_Ranking_Option2!$AJ498*AH$4</f>
        <v>#REF!</v>
      </c>
      <c r="AL498"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98" s="58" t="e">
        <f>_xlfn.RANK.EQ(AL498,$AL$7:$AL$531)+COUNTIF(AL$7:AL498,AL498)-1</f>
        <v>#REF!</v>
      </c>
      <c r="AN498" s="44"/>
      <c r="AO498" s="58" t="e">
        <f>_xlfn.RANK.EQ(AN498,$AN$7:$AN$531)+COUNTIF(AN$7:AN498,AN498)-1</f>
        <v>#N/A</v>
      </c>
      <c r="AP49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98" s="32" t="e">
        <f>FME_Ranking2[[#This Row],[Score Based on Reported Factors]]-FME_Ranking2[[#This Row],[Check]]</f>
        <v>#REF!</v>
      </c>
      <c r="AR498" s="32"/>
    </row>
    <row r="499" spans="1:55" ht="12" customHeight="1" x14ac:dyDescent="0.25">
      <c r="A499" s="16" t="s">
        <v>530</v>
      </c>
      <c r="B499" s="16" t="str">
        <f>_xlfn.XLOOKUP(FME_Ranking2[[#This Row],[FME ID]],FME_Input[FME_ID],FME_Input[FME_NAME])</f>
        <v>Citywide Storm Drain Infrastructure Modeling</v>
      </c>
      <c r="C499" s="16" t="str">
        <f>_xlfn.XLOOKUP(FME_Ranking2[[#This Row],[FME ID]],FME_Input[FME_ID],FME_Input[DESCR])</f>
        <v>The goal of this project is to prepare 1D and 2D storm drain models for the entire City.</v>
      </c>
      <c r="D499" s="46" t="str">
        <f>_xlfn.XLOOKUP(FME_Ranking2[[#This Row],[FME ID]],FME_Input[FME_ID],FME_Input[EMER_NEED])</f>
        <v>No</v>
      </c>
      <c r="E499" s="121">
        <f>IF(FME_Ranking_Option2!$D499="Yes",100,0)</f>
        <v>0</v>
      </c>
      <c r="F499" s="47" t="str">
        <f>_xlfn.XLOOKUP(FME_Ranking2[[#This Row],[FME ID]],FME_Input[FME_ID],FME_Input[FUND])</f>
        <v>No</v>
      </c>
      <c r="G499" s="48">
        <f>IF(FME_Ranking_Option2!$F499="Yes",1,0)</f>
        <v>0</v>
      </c>
      <c r="H499" s="46">
        <f>_xlfn.XLOOKUP(FME_Ranking2[[#This Row],[FME ID]],FME_Input[FME_ID],FME_Input[STRUCT_100])</f>
        <v>5694</v>
      </c>
      <c r="I499" s="65" t="e">
        <f>FME_Ranking2[[#This Row],[Raw Data3]]*H$4</f>
        <v>#REF!</v>
      </c>
      <c r="J499" s="62">
        <f>((FME_Ranking_Option2!$H499)/($H$3))*100</f>
        <v>0.63275876822070765</v>
      </c>
      <c r="K499" s="49" t="e">
        <f>FME_Ranking2[[#This Row],[Norm Data3]]*H$4</f>
        <v>#REF!</v>
      </c>
      <c r="L499" s="50">
        <f>_xlfn.XLOOKUP(FME_Ranking2[[#This Row],[FME ID]],FME_Input[FME_ID],FME_Input[RES_STRUCT100])</f>
        <v>4028</v>
      </c>
      <c r="M499" s="51" t="e">
        <f>FME_Ranking2[[#This Row],[Raw Data4]]*L$4</f>
        <v>#REF!</v>
      </c>
      <c r="N499" s="29">
        <f>((FME_Ranking_Option2!$L499)/($L$3))*100</f>
        <v>0.6021979927730261</v>
      </c>
      <c r="O499" s="52" t="e">
        <f>FME_Ranking2[[#This Row],[Norm Data4]]*L$4</f>
        <v>#REF!</v>
      </c>
      <c r="P499" s="47">
        <f>_xlfn.XLOOKUP(FME_Ranking2[[#This Row],[FME ID]],FME_Input[FME_ID],FME_Input[POP100])</f>
        <v>45817</v>
      </c>
      <c r="Q499" s="48" t="e">
        <f>FME_Ranking_Option2!$P499*P$4</f>
        <v>#REF!</v>
      </c>
      <c r="R499" s="48">
        <f>FME_Ranking_Option2!$P499/($P$3)</f>
        <v>1.6815811861979463E-2</v>
      </c>
      <c r="S499" s="48" t="e">
        <f>FME_Ranking_Option2!$R499*P$4</f>
        <v>#REF!</v>
      </c>
      <c r="T499" s="50">
        <f>_xlfn.XLOOKUP(FME_Ranking2[[#This Row],[FME ID]],FME_Input[FME_ID],FME_Input[CRITFAC100])</f>
        <v>10</v>
      </c>
      <c r="U499" s="48" t="e">
        <f>FME_Ranking_Option2!$T499*T$4</f>
        <v>#REF!</v>
      </c>
      <c r="V499" s="48">
        <f>FME_Ranking_Option2!$T499/($T$3)</f>
        <v>1.4102383302778169E-3</v>
      </c>
      <c r="W499" s="48" t="e">
        <f>FME_Ranking_Option2!$V499*T$4</f>
        <v>#REF!</v>
      </c>
      <c r="X499" s="50">
        <f>_xlfn.XLOOKUP(FME_Ranking2[[#This Row],[FME ID]],FME_Input[FME_ID],FME_Input[LWC])</f>
        <v>128</v>
      </c>
      <c r="Y499" s="48" t="e">
        <f>FME_Ranking_Option2!$X499*X$4</f>
        <v>#REF!</v>
      </c>
      <c r="Z499" s="48">
        <f>FME_Ranking_Option2!$X499/($X$3)</f>
        <v>1.1676701331873745E-2</v>
      </c>
      <c r="AA499" s="48" t="e">
        <f>FME_Ranking_Option2!$Z499*X$4</f>
        <v>#REF!</v>
      </c>
      <c r="AB499" s="50">
        <f>_xlfn.XLOOKUP(FME_Ranking2[[#This Row],[FME ID]],FME_Input[FME_ID],FME_Input[ROADCLS])</f>
        <v>0</v>
      </c>
      <c r="AC499" s="48" t="e">
        <f>FME_Ranking_Option2!$AB499*AB$4</f>
        <v>#REF!</v>
      </c>
      <c r="AD499" s="53">
        <f>_xlfn.XLOOKUP(FME_Ranking2[[#This Row],[FME ID]],FME_Input[FME_ID],FME_Input[ROAD_MILES100])</f>
        <v>111.7577438354492</v>
      </c>
      <c r="AE499" s="54" t="e">
        <f>FME_Ranking_Option2!$AD499*AD$4</f>
        <v>#REF!</v>
      </c>
      <c r="AF499" s="55">
        <f>FME_Ranking_Option2!$AD499/($AD$3)</f>
        <v>2.5243037771685308E-3</v>
      </c>
      <c r="AG499" s="55" t="e">
        <f>FME_Ranking_Option2!$AF499*AD$4</f>
        <v>#REF!</v>
      </c>
      <c r="AH499" s="53">
        <f>_xlfn.XLOOKUP(FME_Ranking2[[#This Row],[FME ID]],FME_Input[FME_ID],FME_Input[FARMACRE100])</f>
        <v>7305.66357421875</v>
      </c>
      <c r="AI499" s="54" t="e">
        <f>FME_Ranking_Option2!$AH499*AH$4</f>
        <v>#REF!</v>
      </c>
      <c r="AJ499" s="56">
        <f>FME_Ranking_Option2!$AH499/($AH$3)</f>
        <v>0.42421022043100898</v>
      </c>
      <c r="AK499" s="57" t="e">
        <f>FME_Ranking_Option2!$AJ499*AH$4</f>
        <v>#REF!</v>
      </c>
      <c r="AL499"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499" s="45" t="e">
        <f>_xlfn.RANK.EQ(AL499,$AL$7:$AL$531)+COUNTIF(AL$7:AL499,AL499)-1</f>
        <v>#REF!</v>
      </c>
      <c r="AN499" s="57"/>
      <c r="AO499" s="45" t="e">
        <f>_xlfn.RANK.EQ(AN499,$AN$7:$AN$531)+COUNTIF(AN$7:AN499,AN499)-1</f>
        <v>#N/A</v>
      </c>
      <c r="AP49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499" s="32" t="e">
        <f>FME_Ranking2[[#This Row],[Score Based on Reported Factors]]-FME_Ranking2[[#This Row],[Check]]</f>
        <v>#REF!</v>
      </c>
      <c r="AR499" s="32"/>
      <c r="AT499" s="19"/>
      <c r="AU499" s="19"/>
      <c r="AV499" s="19"/>
      <c r="AW499" s="19"/>
      <c r="AX499" s="19"/>
      <c r="AY499" s="19"/>
      <c r="AZ499" s="19"/>
      <c r="BA499" s="19"/>
      <c r="BB499" s="19"/>
      <c r="BC499" s="19"/>
    </row>
    <row r="500" spans="1:55" ht="12" customHeight="1" x14ac:dyDescent="0.25">
      <c r="A500" s="17" t="s">
        <v>222</v>
      </c>
      <c r="B500" s="17" t="str">
        <f>_xlfn.XLOOKUP(FME_Ranking2[[#This Row],[FME ID]],FME_Input[FME_ID],FME_Input[FME_NAME])</f>
        <v>Wastewater Treatment Plant Flood Study</v>
      </c>
      <c r="C500" s="17" t="str">
        <f>_xlfn.XLOOKUP(FME_Ranking2[[#This Row],[FME ID]],FME_Input[FME_ID],FME_Input[DESCR])</f>
        <v xml:space="preserve">Flood-prone problem area in need of flood study, indentified on sponsor outreach call. Area also in need of a generator  </v>
      </c>
      <c r="D500" s="33" t="str">
        <f>_xlfn.XLOOKUP(FME_Ranking2[[#This Row],[FME ID]],FME_Input[FME_ID],FME_Input[EMER_NEED])</f>
        <v>No</v>
      </c>
      <c r="E500" s="120">
        <f>IF(FME_Ranking_Option2!$D500="Yes",100,0)</f>
        <v>0</v>
      </c>
      <c r="F500" s="34" t="str">
        <f>_xlfn.XLOOKUP(FME_Ranking2[[#This Row],[FME ID]],FME_Input[FME_ID],FME_Input[FUND])</f>
        <v>No</v>
      </c>
      <c r="G500" s="35">
        <f>IF(FME_Ranking_Option2!$F500="Yes",1,0)</f>
        <v>0</v>
      </c>
      <c r="H500" s="33">
        <f>_xlfn.XLOOKUP(FME_Ranking2[[#This Row],[FME ID]],FME_Input[FME_ID],FME_Input[STRUCT_100])</f>
        <v>3</v>
      </c>
      <c r="I500" s="64" t="e">
        <f>FME_Ranking2[[#This Row],[Raw Data3]]*H$4</f>
        <v>#REF!</v>
      </c>
      <c r="J500" s="63">
        <f>((FME_Ranking_Option2!$H500)/($H$3))*100</f>
        <v>3.3338185891501984E-4</v>
      </c>
      <c r="K500" s="36" t="e">
        <f>FME_Ranking2[[#This Row],[Norm Data3]]*H$4</f>
        <v>#REF!</v>
      </c>
      <c r="L500" s="37">
        <f>_xlfn.XLOOKUP(FME_Ranking2[[#This Row],[FME ID]],FME_Input[FME_ID],FME_Input[RES_STRUCT100])</f>
        <v>0</v>
      </c>
      <c r="M500" s="38" t="e">
        <f>FME_Ranking2[[#This Row],[Raw Data4]]*L$4</f>
        <v>#REF!</v>
      </c>
      <c r="N500" s="28">
        <f>((FME_Ranking_Option2!$L500)/($L$3))*100</f>
        <v>0</v>
      </c>
      <c r="O500" s="39" t="e">
        <f>FME_Ranking2[[#This Row],[Norm Data4]]*L$4</f>
        <v>#REF!</v>
      </c>
      <c r="P500" s="34">
        <f>_xlfn.XLOOKUP(FME_Ranking2[[#This Row],[FME ID]],FME_Input[FME_ID],FME_Input[POP100])</f>
        <v>3</v>
      </c>
      <c r="Q500" s="35" t="e">
        <f>FME_Ranking_Option2!$P500*P$4</f>
        <v>#REF!</v>
      </c>
      <c r="R500" s="35">
        <f>FME_Ranking_Option2!$P500/($P$3)</f>
        <v>1.1010637009393542E-6</v>
      </c>
      <c r="S500" s="35" t="e">
        <f>FME_Ranking_Option2!$R500*P$4</f>
        <v>#REF!</v>
      </c>
      <c r="T500" s="37">
        <f>_xlfn.XLOOKUP(FME_Ranking2[[#This Row],[FME ID]],FME_Input[FME_ID],FME_Input[CRITFAC100])</f>
        <v>0</v>
      </c>
      <c r="U500" s="35" t="e">
        <f>FME_Ranking_Option2!$T500*T$4</f>
        <v>#REF!</v>
      </c>
      <c r="V500" s="35">
        <f>FME_Ranking_Option2!$T500/($T$3)</f>
        <v>0</v>
      </c>
      <c r="W500" s="35" t="e">
        <f>FME_Ranking_Option2!$V500*T$4</f>
        <v>#REF!</v>
      </c>
      <c r="X500" s="37">
        <f>_xlfn.XLOOKUP(FME_Ranking2[[#This Row],[FME ID]],FME_Input[FME_ID],FME_Input[LWC])</f>
        <v>0</v>
      </c>
      <c r="Y500" s="35" t="e">
        <f>FME_Ranking_Option2!$X500*X$4</f>
        <v>#REF!</v>
      </c>
      <c r="Z500" s="35">
        <f>FME_Ranking_Option2!$X500/($X$3)</f>
        <v>0</v>
      </c>
      <c r="AA500" s="35" t="e">
        <f>FME_Ranking_Option2!$Z500*X$4</f>
        <v>#REF!</v>
      </c>
      <c r="AB500" s="37">
        <f>_xlfn.XLOOKUP(FME_Ranking2[[#This Row],[FME ID]],FME_Input[FME_ID],FME_Input[ROADCLS])</f>
        <v>0</v>
      </c>
      <c r="AC500" s="35" t="e">
        <f>FME_Ranking_Option2!$AB500*AB$4</f>
        <v>#REF!</v>
      </c>
      <c r="AD500" s="40">
        <f>_xlfn.XLOOKUP(FME_Ranking2[[#This Row],[FME ID]],FME_Input[FME_ID],FME_Input[ROAD_MILES100])</f>
        <v>0.15353548526763919</v>
      </c>
      <c r="AE500" s="41" t="e">
        <f>FME_Ranking_Option2!$AD500*AD$4</f>
        <v>#REF!</v>
      </c>
      <c r="AF500" s="42">
        <f>FME_Ranking_Option2!$AD500/($AD$3)</f>
        <v>3.4679494421537245E-6</v>
      </c>
      <c r="AG500" s="42" t="e">
        <f>FME_Ranking_Option2!$AF500*AD$4</f>
        <v>#REF!</v>
      </c>
      <c r="AH500" s="40">
        <f>_xlfn.XLOOKUP(FME_Ranking2[[#This Row],[FME ID]],FME_Input[FME_ID],FME_Input[FARMACRE100])</f>
        <v>11.988968849182131</v>
      </c>
      <c r="AI500" s="43" t="e">
        <f>FME_Ranking_Option2!$AH500*AH$4</f>
        <v>#REF!</v>
      </c>
      <c r="AJ500" s="41">
        <f>FME_Ranking_Option2!$AH500/($AH$3)</f>
        <v>6.9615074203521884E-4</v>
      </c>
      <c r="AK500" s="44" t="e">
        <f>FME_Ranking_Option2!$AJ500*AH$4</f>
        <v>#REF!</v>
      </c>
      <c r="AL500"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00" s="58" t="e">
        <f>_xlfn.RANK.EQ(AL500,$AL$7:$AL$531)+COUNTIF(AL$7:AL500,AL500)-1</f>
        <v>#REF!</v>
      </c>
      <c r="AN500" s="44"/>
      <c r="AO500" s="58" t="e">
        <f>_xlfn.RANK.EQ(AN500,$AN$7:$AN$531)+COUNTIF(AN$7:AN500,AN500)-1</f>
        <v>#N/A</v>
      </c>
      <c r="AP50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00" s="32" t="e">
        <f>FME_Ranking2[[#This Row],[Score Based on Reported Factors]]-FME_Ranking2[[#This Row],[Check]]</f>
        <v>#REF!</v>
      </c>
      <c r="AR500" s="32"/>
    </row>
    <row r="501" spans="1:55" ht="12" customHeight="1" x14ac:dyDescent="0.25">
      <c r="A501" s="16" t="s">
        <v>200</v>
      </c>
      <c r="B501" s="16" t="str">
        <f>_xlfn.XLOOKUP(FME_Ranking2[[#This Row],[FME ID]],FME_Input[FME_ID],FME_Input[FME_NAME])</f>
        <v>Delaware Creek Flood Study</v>
      </c>
      <c r="C501" s="16" t="str">
        <f>_xlfn.XLOOKUP(FME_Ranking2[[#This Row],[FME ID]],FME_Input[FME_ID],FME_Input[DESCR])</f>
        <v>Flood-prone problem area in need of flood study, indentified on sponsor outreach call.  Lift station here also in need of a generator</v>
      </c>
      <c r="D501" s="46" t="str">
        <f>_xlfn.XLOOKUP(FME_Ranking2[[#This Row],[FME ID]],FME_Input[FME_ID],FME_Input[EMER_NEED])</f>
        <v>No</v>
      </c>
      <c r="E501" s="121">
        <f>IF(FME_Ranking_Option2!$D501="Yes",100,0)</f>
        <v>0</v>
      </c>
      <c r="F501" s="47" t="str">
        <f>_xlfn.XLOOKUP(FME_Ranking2[[#This Row],[FME ID]],FME_Input[FME_ID],FME_Input[FUND])</f>
        <v>No</v>
      </c>
      <c r="G501" s="48">
        <f>IF(FME_Ranking_Option2!$F501="Yes",1,0)</f>
        <v>0</v>
      </c>
      <c r="H501" s="46">
        <f>_xlfn.XLOOKUP(FME_Ranking2[[#This Row],[FME ID]],FME_Input[FME_ID],FME_Input[STRUCT_100])</f>
        <v>54</v>
      </c>
      <c r="I501" s="65" t="e">
        <f>FME_Ranking2[[#This Row],[Raw Data3]]*H$4</f>
        <v>#REF!</v>
      </c>
      <c r="J501" s="62">
        <f>((FME_Ranking_Option2!$H501)/($H$3))*100</f>
        <v>6.0008734604703566E-3</v>
      </c>
      <c r="K501" s="49" t="e">
        <f>FME_Ranking2[[#This Row],[Norm Data3]]*H$4</f>
        <v>#REF!</v>
      </c>
      <c r="L501" s="50">
        <f>_xlfn.XLOOKUP(FME_Ranking2[[#This Row],[FME ID]],FME_Input[FME_ID],FME_Input[RES_STRUCT100])</f>
        <v>34</v>
      </c>
      <c r="M501" s="51" t="e">
        <f>FME_Ranking2[[#This Row],[Raw Data4]]*L$4</f>
        <v>#REF!</v>
      </c>
      <c r="N501" s="29">
        <f>((FME_Ranking_Option2!$L501)/($L$3))*100</f>
        <v>5.0831012299609952E-3</v>
      </c>
      <c r="O501" s="52" t="e">
        <f>FME_Ranking2[[#This Row],[Norm Data4]]*L$4</f>
        <v>#REF!</v>
      </c>
      <c r="P501" s="47">
        <f>_xlfn.XLOOKUP(FME_Ranking2[[#This Row],[FME ID]],FME_Input[FME_ID],FME_Input[POP100])</f>
        <v>74</v>
      </c>
      <c r="Q501" s="48" t="e">
        <f>FME_Ranking_Option2!$P501*P$4</f>
        <v>#REF!</v>
      </c>
      <c r="R501" s="48">
        <f>FME_Ranking_Option2!$P501/($P$3)</f>
        <v>2.7159571289837403E-5</v>
      </c>
      <c r="S501" s="48" t="e">
        <f>FME_Ranking_Option2!$R501*P$4</f>
        <v>#REF!</v>
      </c>
      <c r="T501" s="50">
        <f>_xlfn.XLOOKUP(FME_Ranking2[[#This Row],[FME ID]],FME_Input[FME_ID],FME_Input[CRITFAC100])</f>
        <v>0</v>
      </c>
      <c r="U501" s="48" t="e">
        <f>FME_Ranking_Option2!$T501*T$4</f>
        <v>#REF!</v>
      </c>
      <c r="V501" s="48">
        <f>FME_Ranking_Option2!$T501/($T$3)</f>
        <v>0</v>
      </c>
      <c r="W501" s="48" t="e">
        <f>FME_Ranking_Option2!$V501*T$4</f>
        <v>#REF!</v>
      </c>
      <c r="X501" s="50">
        <f>_xlfn.XLOOKUP(FME_Ranking2[[#This Row],[FME ID]],FME_Input[FME_ID],FME_Input[LWC])</f>
        <v>0</v>
      </c>
      <c r="Y501" s="48" t="e">
        <f>FME_Ranking_Option2!$X501*X$4</f>
        <v>#REF!</v>
      </c>
      <c r="Z501" s="48">
        <f>FME_Ranking_Option2!$X501/($X$3)</f>
        <v>0</v>
      </c>
      <c r="AA501" s="48" t="e">
        <f>FME_Ranking_Option2!$Z501*X$4</f>
        <v>#REF!</v>
      </c>
      <c r="AB501" s="50">
        <f>_xlfn.XLOOKUP(FME_Ranking2[[#This Row],[FME ID]],FME_Input[FME_ID],FME_Input[ROADCLS])</f>
        <v>0</v>
      </c>
      <c r="AC501" s="48" t="e">
        <f>FME_Ranking_Option2!$AB501*AB$4</f>
        <v>#REF!</v>
      </c>
      <c r="AD501" s="53">
        <f>_xlfn.XLOOKUP(FME_Ranking2[[#This Row],[FME ID]],FME_Input[FME_ID],FME_Input[ROAD_MILES100])</f>
        <v>2.211657047271729</v>
      </c>
      <c r="AE501" s="54" t="e">
        <f>FME_Ranking_Option2!$AD501*AD$4</f>
        <v>#REF!</v>
      </c>
      <c r="AF501" s="55">
        <f>FME_Ranking_Option2!$AD501/($AD$3)</f>
        <v>4.9955323422147942E-5</v>
      </c>
      <c r="AG501" s="55" t="e">
        <f>FME_Ranking_Option2!$AF501*AD$4</f>
        <v>#REF!</v>
      </c>
      <c r="AH501" s="53">
        <f>_xlfn.XLOOKUP(FME_Ranking2[[#This Row],[FME ID]],FME_Input[FME_ID],FME_Input[FARMACRE100])</f>
        <v>760.2451171875</v>
      </c>
      <c r="AI501" s="54" t="e">
        <f>FME_Ranking_Option2!$AH501*AH$4</f>
        <v>#REF!</v>
      </c>
      <c r="AJ501" s="56">
        <f>FME_Ranking_Option2!$AH501/($AH$3)</f>
        <v>4.414434711746159E-2</v>
      </c>
      <c r="AK501" s="57" t="e">
        <f>FME_Ranking_Option2!$AJ501*AH$4</f>
        <v>#REF!</v>
      </c>
      <c r="AL501"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01" s="45" t="e">
        <f>_xlfn.RANK.EQ(AL501,$AL$7:$AL$531)+COUNTIF(AL$7:AL501,AL501)-1</f>
        <v>#REF!</v>
      </c>
      <c r="AN501" s="57"/>
      <c r="AO501" s="45" t="e">
        <f>_xlfn.RANK.EQ(AN501,$AN$7:$AN$531)+COUNTIF(AN$7:AN501,AN501)-1</f>
        <v>#N/A</v>
      </c>
      <c r="AP50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01" s="32" t="e">
        <f>FME_Ranking2[[#This Row],[Score Based on Reported Factors]]-FME_Ranking2[[#This Row],[Check]]</f>
        <v>#REF!</v>
      </c>
      <c r="AR501" s="32"/>
      <c r="AT501" s="19"/>
      <c r="AU501" s="19"/>
      <c r="AV501" s="19"/>
      <c r="AW501" s="19"/>
      <c r="AX501" s="19"/>
      <c r="AY501" s="19"/>
      <c r="AZ501" s="19"/>
      <c r="BA501" s="19"/>
      <c r="BB501" s="19"/>
      <c r="BC501" s="19"/>
    </row>
    <row r="502" spans="1:55" ht="12" customHeight="1" x14ac:dyDescent="0.25">
      <c r="A502" s="17" t="s">
        <v>224</v>
      </c>
      <c r="B502" s="17" t="str">
        <f>_xlfn.XLOOKUP(FME_Ranking2[[#This Row],[FME ID]],FME_Input[FME_ID],FME_Input[FME_NAME])</f>
        <v>VFW Flood Study</v>
      </c>
      <c r="C502" s="17" t="str">
        <f>_xlfn.XLOOKUP(FME_Ranking2[[#This Row],[FME ID]],FME_Input[FME_ID],FME_Input[DESCR])</f>
        <v xml:space="preserve">Flood-prone problem area in need of flood study, indentified on sponsor outreach call.  </v>
      </c>
      <c r="D502" s="33" t="str">
        <f>_xlfn.XLOOKUP(FME_Ranking2[[#This Row],[FME ID]],FME_Input[FME_ID],FME_Input[EMER_NEED])</f>
        <v>No</v>
      </c>
      <c r="E502" s="120">
        <f>IF(FME_Ranking_Option2!$D502="Yes",100,0)</f>
        <v>0</v>
      </c>
      <c r="F502" s="34" t="str">
        <f>_xlfn.XLOOKUP(FME_Ranking2[[#This Row],[FME ID]],FME_Input[FME_ID],FME_Input[FUND])</f>
        <v>No</v>
      </c>
      <c r="G502" s="35">
        <f>IF(FME_Ranking_Option2!$F502="Yes",1,0)</f>
        <v>0</v>
      </c>
      <c r="H502" s="33">
        <f>_xlfn.XLOOKUP(FME_Ranking2[[#This Row],[FME ID]],FME_Input[FME_ID],FME_Input[STRUCT_100])</f>
        <v>0</v>
      </c>
      <c r="I502" s="64" t="e">
        <f>FME_Ranking2[[#This Row],[Raw Data3]]*H$4</f>
        <v>#REF!</v>
      </c>
      <c r="J502" s="63">
        <f>((FME_Ranking_Option2!$H502)/($H$3))*100</f>
        <v>0</v>
      </c>
      <c r="K502" s="36" t="e">
        <f>FME_Ranking2[[#This Row],[Norm Data3]]*H$4</f>
        <v>#REF!</v>
      </c>
      <c r="L502" s="37">
        <f>_xlfn.XLOOKUP(FME_Ranking2[[#This Row],[FME ID]],FME_Input[FME_ID],FME_Input[RES_STRUCT100])</f>
        <v>0</v>
      </c>
      <c r="M502" s="38" t="e">
        <f>FME_Ranking2[[#This Row],[Raw Data4]]*L$4</f>
        <v>#REF!</v>
      </c>
      <c r="N502" s="28">
        <f>((FME_Ranking_Option2!$L502)/($L$3))*100</f>
        <v>0</v>
      </c>
      <c r="O502" s="39" t="e">
        <f>FME_Ranking2[[#This Row],[Norm Data4]]*L$4</f>
        <v>#REF!</v>
      </c>
      <c r="P502" s="34">
        <f>_xlfn.XLOOKUP(FME_Ranking2[[#This Row],[FME ID]],FME_Input[FME_ID],FME_Input[POP100])</f>
        <v>0</v>
      </c>
      <c r="Q502" s="35" t="e">
        <f>FME_Ranking_Option2!$P502*P$4</f>
        <v>#REF!</v>
      </c>
      <c r="R502" s="35">
        <f>FME_Ranking_Option2!$P502/($P$3)</f>
        <v>0</v>
      </c>
      <c r="S502" s="35" t="e">
        <f>FME_Ranking_Option2!$R502*P$4</f>
        <v>#REF!</v>
      </c>
      <c r="T502" s="37">
        <f>_xlfn.XLOOKUP(FME_Ranking2[[#This Row],[FME ID]],FME_Input[FME_ID],FME_Input[CRITFAC100])</f>
        <v>0</v>
      </c>
      <c r="U502" s="35" t="e">
        <f>FME_Ranking_Option2!$T502*T$4</f>
        <v>#REF!</v>
      </c>
      <c r="V502" s="35">
        <f>FME_Ranking_Option2!$T502/($T$3)</f>
        <v>0</v>
      </c>
      <c r="W502" s="35" t="e">
        <f>FME_Ranking_Option2!$V502*T$4</f>
        <v>#REF!</v>
      </c>
      <c r="X502" s="37">
        <f>_xlfn.XLOOKUP(FME_Ranking2[[#This Row],[FME ID]],FME_Input[FME_ID],FME_Input[LWC])</f>
        <v>0</v>
      </c>
      <c r="Y502" s="35" t="e">
        <f>FME_Ranking_Option2!$X502*X$4</f>
        <v>#REF!</v>
      </c>
      <c r="Z502" s="35">
        <f>FME_Ranking_Option2!$X502/($X$3)</f>
        <v>0</v>
      </c>
      <c r="AA502" s="35" t="e">
        <f>FME_Ranking_Option2!$Z502*X$4</f>
        <v>#REF!</v>
      </c>
      <c r="AB502" s="37">
        <f>_xlfn.XLOOKUP(FME_Ranking2[[#This Row],[FME ID]],FME_Input[FME_ID],FME_Input[ROADCLS])</f>
        <v>0</v>
      </c>
      <c r="AC502" s="35" t="e">
        <f>FME_Ranking_Option2!$AB502*AB$4</f>
        <v>#REF!</v>
      </c>
      <c r="AD502" s="40">
        <f>_xlfn.XLOOKUP(FME_Ranking2[[#This Row],[FME ID]],FME_Input[FME_ID],FME_Input[ROAD_MILES100])</f>
        <v>0</v>
      </c>
      <c r="AE502" s="41" t="e">
        <f>FME_Ranking_Option2!$AD502*AD$4</f>
        <v>#REF!</v>
      </c>
      <c r="AF502" s="42">
        <f>FME_Ranking_Option2!$AD502/($AD$3)</f>
        <v>0</v>
      </c>
      <c r="AG502" s="42" t="e">
        <f>FME_Ranking_Option2!$AF502*AD$4</f>
        <v>#REF!</v>
      </c>
      <c r="AH502" s="40">
        <f>_xlfn.XLOOKUP(FME_Ranking2[[#This Row],[FME ID]],FME_Input[FME_ID],FME_Input[FARMACRE100])</f>
        <v>0</v>
      </c>
      <c r="AI502" s="43" t="e">
        <f>FME_Ranking_Option2!$AH502*AH$4</f>
        <v>#REF!</v>
      </c>
      <c r="AJ502" s="41">
        <f>FME_Ranking_Option2!$AH502/($AH$3)</f>
        <v>0</v>
      </c>
      <c r="AK502" s="44" t="e">
        <f>FME_Ranking_Option2!$AJ502*AH$4</f>
        <v>#REF!</v>
      </c>
      <c r="AL502"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02" s="58" t="e">
        <f>_xlfn.RANK.EQ(AL502,$AL$7:$AL$531)+COUNTIF(AL$7:AL502,AL502)-1</f>
        <v>#REF!</v>
      </c>
      <c r="AN502" s="44"/>
      <c r="AO502" s="58" t="e">
        <f>_xlfn.RANK.EQ(AN502,$AN$7:$AN$531)+COUNTIF(AN$7:AN502,AN502)-1</f>
        <v>#N/A</v>
      </c>
      <c r="AP50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02" s="32" t="e">
        <f>FME_Ranking2[[#This Row],[Score Based on Reported Factors]]-FME_Ranking2[[#This Row],[Check]]</f>
        <v>#REF!</v>
      </c>
      <c r="AR502" s="32"/>
    </row>
    <row r="503" spans="1:55" ht="12" customHeight="1" x14ac:dyDescent="0.25">
      <c r="A503" s="16" t="s">
        <v>576</v>
      </c>
      <c r="B503" s="16" t="str">
        <f>_xlfn.XLOOKUP(FME_Ranking2[[#This Row],[FME ID]],FME_Input[FME_ID],FME_Input[FME_NAME])</f>
        <v>Citywide Floodplain Map Update</v>
      </c>
      <c r="C503" s="16" t="str">
        <f>_xlfn.XLOOKUP(FME_Ranking2[[#This Row],[FME ID]],FME_Input[FME_ID],FME_Input[DESCR])</f>
        <v>Approx 70 homes are flooded along the San Bernard River during large storm events</v>
      </c>
      <c r="D503" s="46" t="str">
        <f>_xlfn.XLOOKUP(FME_Ranking2[[#This Row],[FME ID]],FME_Input[FME_ID],FME_Input[EMER_NEED])</f>
        <v>No</v>
      </c>
      <c r="E503" s="121">
        <f>IF(FME_Ranking_Option2!$D503="Yes",100,0)</f>
        <v>0</v>
      </c>
      <c r="F503" s="47" t="str">
        <f>_xlfn.XLOOKUP(FME_Ranking2[[#This Row],[FME ID]],FME_Input[FME_ID],FME_Input[FUND])</f>
        <v>No</v>
      </c>
      <c r="G503" s="48">
        <f>IF(FME_Ranking_Option2!$F503="Yes",1,0)</f>
        <v>0</v>
      </c>
      <c r="H503" s="46">
        <f>_xlfn.XLOOKUP(FME_Ranking2[[#This Row],[FME ID]],FME_Input[FME_ID],FME_Input[STRUCT_100])</f>
        <v>158</v>
      </c>
      <c r="I503" s="65" t="e">
        <f>FME_Ranking2[[#This Row],[Raw Data3]]*H$4</f>
        <v>#REF!</v>
      </c>
      <c r="J503" s="62">
        <f>((FME_Ranking_Option2!$H503)/($H$3))*100</f>
        <v>1.7558111236191044E-2</v>
      </c>
      <c r="K503" s="49" t="e">
        <f>FME_Ranking2[[#This Row],[Norm Data3]]*H$4</f>
        <v>#REF!</v>
      </c>
      <c r="L503" s="50">
        <f>_xlfn.XLOOKUP(FME_Ranking2[[#This Row],[FME ID]],FME_Input[FME_ID],FME_Input[RES_STRUCT100])</f>
        <v>142</v>
      </c>
      <c r="M503" s="51" t="e">
        <f>FME_Ranking2[[#This Row],[Raw Data4]]*L$4</f>
        <v>#REF!</v>
      </c>
      <c r="N503" s="29">
        <f>((FME_Ranking_Option2!$L503)/($L$3))*100</f>
        <v>2.1229422783954743E-2</v>
      </c>
      <c r="O503" s="52" t="e">
        <f>FME_Ranking2[[#This Row],[Norm Data4]]*L$4</f>
        <v>#REF!</v>
      </c>
      <c r="P503" s="47">
        <f>_xlfn.XLOOKUP(FME_Ranking2[[#This Row],[FME ID]],FME_Input[FME_ID],FME_Input[POP100])</f>
        <v>223</v>
      </c>
      <c r="Q503" s="48" t="e">
        <f>FME_Ranking_Option2!$P503*P$4</f>
        <v>#REF!</v>
      </c>
      <c r="R503" s="48">
        <f>FME_Ranking_Option2!$P503/($P$3)</f>
        <v>8.1845735103158656E-5</v>
      </c>
      <c r="S503" s="48" t="e">
        <f>FME_Ranking_Option2!$R503*P$4</f>
        <v>#REF!</v>
      </c>
      <c r="T503" s="50">
        <f>_xlfn.XLOOKUP(FME_Ranking2[[#This Row],[FME ID]],FME_Input[FME_ID],FME_Input[CRITFAC100])</f>
        <v>0</v>
      </c>
      <c r="U503" s="48" t="e">
        <f>FME_Ranking_Option2!$T503*T$4</f>
        <v>#REF!</v>
      </c>
      <c r="V503" s="48">
        <f>FME_Ranking_Option2!$T503/($T$3)</f>
        <v>0</v>
      </c>
      <c r="W503" s="48" t="e">
        <f>FME_Ranking_Option2!$V503*T$4</f>
        <v>#REF!</v>
      </c>
      <c r="X503" s="50">
        <f>_xlfn.XLOOKUP(FME_Ranking2[[#This Row],[FME ID]],FME_Input[FME_ID],FME_Input[LWC])</f>
        <v>0</v>
      </c>
      <c r="Y503" s="48" t="e">
        <f>FME_Ranking_Option2!$X503*X$4</f>
        <v>#REF!</v>
      </c>
      <c r="Z503" s="48">
        <f>FME_Ranking_Option2!$X503/($X$3)</f>
        <v>0</v>
      </c>
      <c r="AA503" s="48" t="e">
        <f>FME_Ranking_Option2!$Z503*X$4</f>
        <v>#REF!</v>
      </c>
      <c r="AB503" s="50">
        <f>_xlfn.XLOOKUP(FME_Ranking2[[#This Row],[FME ID]],FME_Input[FME_ID],FME_Input[ROADCLS])</f>
        <v>0</v>
      </c>
      <c r="AC503" s="48" t="e">
        <f>FME_Ranking_Option2!$AB503*AB$4</f>
        <v>#REF!</v>
      </c>
      <c r="AD503" s="53">
        <f>_xlfn.XLOOKUP(FME_Ranking2[[#This Row],[FME ID]],FME_Input[FME_ID],FME_Input[ROAD_MILES100])</f>
        <v>4.1435322761535636</v>
      </c>
      <c r="AE503" s="54" t="e">
        <f>FME_Ranking_Option2!$AD503*AD$4</f>
        <v>#REF!</v>
      </c>
      <c r="AF503" s="55">
        <f>FME_Ranking_Option2!$AD503/($AD$3)</f>
        <v>9.3591135759815057E-5</v>
      </c>
      <c r="AG503" s="55" t="e">
        <f>FME_Ranking_Option2!$AF503*AD$4</f>
        <v>#REF!</v>
      </c>
      <c r="AH503" s="53">
        <f>_xlfn.XLOOKUP(FME_Ranking2[[#This Row],[FME ID]],FME_Input[FME_ID],FME_Input[FARMACRE100])</f>
        <v>253.20198059082031</v>
      </c>
      <c r="AI503" s="54" t="e">
        <f>FME_Ranking_Option2!$AH503*AH$4</f>
        <v>#REF!</v>
      </c>
      <c r="AJ503" s="56">
        <f>FME_Ranking_Option2!$AH503/($AH$3)</f>
        <v>1.4702410932122097E-2</v>
      </c>
      <c r="AK503" s="57" t="e">
        <f>FME_Ranking_Option2!$AJ503*AH$4</f>
        <v>#REF!</v>
      </c>
      <c r="AL503"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03" s="45" t="e">
        <f>_xlfn.RANK.EQ(AL503,$AL$7:$AL$531)+COUNTIF(AL$7:AL503,AL503)-1</f>
        <v>#REF!</v>
      </c>
      <c r="AN503" s="57"/>
      <c r="AO503" s="45" t="e">
        <f>_xlfn.RANK.EQ(AN503,$AN$7:$AN$531)+COUNTIF(AN$7:AN503,AN503)-1</f>
        <v>#N/A</v>
      </c>
      <c r="AP50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03" s="32" t="e">
        <f>FME_Ranking2[[#This Row],[Score Based on Reported Factors]]-FME_Ranking2[[#This Row],[Check]]</f>
        <v>#REF!</v>
      </c>
      <c r="AR503" s="32"/>
      <c r="AT503" s="19"/>
      <c r="AU503" s="19"/>
      <c r="AV503" s="19"/>
      <c r="AW503" s="19"/>
      <c r="AX503" s="19"/>
      <c r="AY503" s="19"/>
      <c r="AZ503" s="19"/>
      <c r="BA503" s="19"/>
      <c r="BB503" s="19"/>
      <c r="BC503" s="19"/>
    </row>
    <row r="504" spans="1:55" ht="12" customHeight="1" x14ac:dyDescent="0.25">
      <c r="A504" s="17" t="s">
        <v>535</v>
      </c>
      <c r="B504" s="17" t="str">
        <f>_xlfn.XLOOKUP(FME_Ranking2[[#This Row],[FME ID]],FME_Input[FME_ID],FME_Input[FME_NAME])</f>
        <v>Jones Brothers Park Flooding</v>
      </c>
      <c r="C504" s="17" t="str">
        <f>_xlfn.XLOOKUP(FME_Ranking2[[#This Row],[FME ID]],FME_Input[FME_ID],FME_Input[DESCR])</f>
        <v>Study area/ infrastructure often flooded during large storm events. Could also potentially be a buyout situation</v>
      </c>
      <c r="D504" s="33" t="str">
        <f>_xlfn.XLOOKUP(FME_Ranking2[[#This Row],[FME ID]],FME_Input[FME_ID],FME_Input[EMER_NEED])</f>
        <v>No</v>
      </c>
      <c r="E504" s="120">
        <f>IF(FME_Ranking_Option2!$D504="Yes",100,0)</f>
        <v>0</v>
      </c>
      <c r="F504" s="34" t="str">
        <f>_xlfn.XLOOKUP(FME_Ranking2[[#This Row],[FME ID]],FME_Input[FME_ID],FME_Input[FUND])</f>
        <v>No</v>
      </c>
      <c r="G504" s="35">
        <f>IF(FME_Ranking_Option2!$F504="Yes",1,0)</f>
        <v>0</v>
      </c>
      <c r="H504" s="33">
        <f>_xlfn.XLOOKUP(FME_Ranking2[[#This Row],[FME ID]],FME_Input[FME_ID],FME_Input[STRUCT_100])</f>
        <v>297</v>
      </c>
      <c r="I504" s="64" t="e">
        <f>FME_Ranking2[[#This Row],[Raw Data3]]*H$4</f>
        <v>#REF!</v>
      </c>
      <c r="J504" s="63">
        <f>((FME_Ranking_Option2!$H504)/($H$3))*100</f>
        <v>3.3004804032586967E-2</v>
      </c>
      <c r="K504" s="36" t="e">
        <f>FME_Ranking2[[#This Row],[Norm Data3]]*H$4</f>
        <v>#REF!</v>
      </c>
      <c r="L504" s="37">
        <f>_xlfn.XLOOKUP(FME_Ranking2[[#This Row],[FME ID]],FME_Input[FME_ID],FME_Input[RES_STRUCT100])</f>
        <v>269</v>
      </c>
      <c r="M504" s="38" t="e">
        <f>FME_Ranking2[[#This Row],[Raw Data4]]*L$4</f>
        <v>#REF!</v>
      </c>
      <c r="N504" s="28">
        <f>((FME_Ranking_Option2!$L504)/($L$3))*100</f>
        <v>4.0216300907632577E-2</v>
      </c>
      <c r="O504" s="39" t="e">
        <f>FME_Ranking2[[#This Row],[Norm Data4]]*L$4</f>
        <v>#REF!</v>
      </c>
      <c r="P504" s="34">
        <f>_xlfn.XLOOKUP(FME_Ranking2[[#This Row],[FME ID]],FME_Input[FME_ID],FME_Input[POP100])</f>
        <v>397</v>
      </c>
      <c r="Q504" s="35" t="e">
        <f>FME_Ranking_Option2!$P504*P$4</f>
        <v>#REF!</v>
      </c>
      <c r="R504" s="35">
        <f>FME_Ranking_Option2!$P504/($P$3)</f>
        <v>1.457074297576412E-4</v>
      </c>
      <c r="S504" s="35" t="e">
        <f>FME_Ranking_Option2!$R504*P$4</f>
        <v>#REF!</v>
      </c>
      <c r="T504" s="37">
        <f>_xlfn.XLOOKUP(FME_Ranking2[[#This Row],[FME ID]],FME_Input[FME_ID],FME_Input[CRITFAC100])</f>
        <v>0</v>
      </c>
      <c r="U504" s="35" t="e">
        <f>FME_Ranking_Option2!$T504*T$4</f>
        <v>#REF!</v>
      </c>
      <c r="V504" s="35">
        <f>FME_Ranking_Option2!$T504/($T$3)</f>
        <v>0</v>
      </c>
      <c r="W504" s="35" t="e">
        <f>FME_Ranking_Option2!$V504*T$4</f>
        <v>#REF!</v>
      </c>
      <c r="X504" s="37">
        <f>_xlfn.XLOOKUP(FME_Ranking2[[#This Row],[FME ID]],FME_Input[FME_ID],FME_Input[LWC])</f>
        <v>7</v>
      </c>
      <c r="Y504" s="35" t="e">
        <f>FME_Ranking_Option2!$X504*X$4</f>
        <v>#REF!</v>
      </c>
      <c r="Z504" s="35">
        <f>FME_Ranking_Option2!$X504/($X$3)</f>
        <v>6.3856960408684551E-4</v>
      </c>
      <c r="AA504" s="35" t="e">
        <f>FME_Ranking_Option2!$Z504*X$4</f>
        <v>#REF!</v>
      </c>
      <c r="AB504" s="37">
        <f>_xlfn.XLOOKUP(FME_Ranking2[[#This Row],[FME ID]],FME_Input[FME_ID],FME_Input[ROADCLS])</f>
        <v>0</v>
      </c>
      <c r="AC504" s="35" t="e">
        <f>FME_Ranking_Option2!$AB504*AB$4</f>
        <v>#REF!</v>
      </c>
      <c r="AD504" s="40">
        <f>_xlfn.XLOOKUP(FME_Ranking2[[#This Row],[FME ID]],FME_Input[FME_ID],FME_Input[ROAD_MILES100])</f>
        <v>3.9056942462921138</v>
      </c>
      <c r="AE504" s="41" t="e">
        <f>FME_Ranking_Option2!$AD504*AD$4</f>
        <v>#REF!</v>
      </c>
      <c r="AF504" s="42">
        <f>FME_Ranking_Option2!$AD504/($AD$3)</f>
        <v>8.8219020893058568E-5</v>
      </c>
      <c r="AG504" s="42" t="e">
        <f>FME_Ranking_Option2!$AF504*AD$4</f>
        <v>#REF!</v>
      </c>
      <c r="AH504" s="40">
        <f>_xlfn.XLOOKUP(FME_Ranking2[[#This Row],[FME ID]],FME_Input[FME_ID],FME_Input[FARMACRE100])</f>
        <v>1595.408935546875</v>
      </c>
      <c r="AI504" s="43" t="e">
        <f>FME_Ranking_Option2!$AH504*AH$4</f>
        <v>#REF!</v>
      </c>
      <c r="AJ504" s="41">
        <f>FME_Ranking_Option2!$AH504/($AH$3)</f>
        <v>9.2638919018155769E-2</v>
      </c>
      <c r="AK504" s="44" t="e">
        <f>FME_Ranking_Option2!$AJ504*AH$4</f>
        <v>#REF!</v>
      </c>
      <c r="AL504"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04" s="58" t="e">
        <f>_xlfn.RANK.EQ(AL504,$AL$7:$AL$531)+COUNTIF(AL$7:AL504,AL504)-1</f>
        <v>#REF!</v>
      </c>
      <c r="AN504" s="44"/>
      <c r="AO504" s="58" t="e">
        <f>_xlfn.RANK.EQ(AN504,$AN$7:$AN$531)+COUNTIF(AN$7:AN504,AN504)-1</f>
        <v>#N/A</v>
      </c>
      <c r="AP50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04" s="32" t="e">
        <f>FME_Ranking2[[#This Row],[Score Based on Reported Factors]]-FME_Ranking2[[#This Row],[Check]]</f>
        <v>#REF!</v>
      </c>
      <c r="AR504" s="32"/>
    </row>
    <row r="505" spans="1:55" ht="12" customHeight="1" x14ac:dyDescent="0.25">
      <c r="A505" s="16" t="s">
        <v>538</v>
      </c>
      <c r="B505" s="16" t="str">
        <f>_xlfn.XLOOKUP(FME_Ranking2[[#This Row],[FME ID]],FME_Input[FME_ID],FME_Input[FME_NAME])</f>
        <v>East Reed Park Road Flooding</v>
      </c>
      <c r="C505" s="16" t="str">
        <f>_xlfn.XLOOKUP(FME_Ranking2[[#This Row],[FME ID]],FME_Input[FME_ID],FME_Input[DESCR])</f>
        <v>Low water crossing upgrade for one of the most commonly closed low water crossings in Jonestown. The city has to section off road when it floods.</v>
      </c>
      <c r="D505" s="46" t="str">
        <f>_xlfn.XLOOKUP(FME_Ranking2[[#This Row],[FME ID]],FME_Input[FME_ID],FME_Input[EMER_NEED])</f>
        <v>No</v>
      </c>
      <c r="E505" s="121">
        <f>IF(FME_Ranking_Option2!$D505="Yes",100,0)</f>
        <v>0</v>
      </c>
      <c r="F505" s="47" t="str">
        <f>_xlfn.XLOOKUP(FME_Ranking2[[#This Row],[FME ID]],FME_Input[FME_ID],FME_Input[FUND])</f>
        <v>No</v>
      </c>
      <c r="G505" s="48">
        <f>IF(FME_Ranking_Option2!$F505="Yes",1,0)</f>
        <v>0</v>
      </c>
      <c r="H505" s="46">
        <f>_xlfn.XLOOKUP(FME_Ranking2[[#This Row],[FME ID]],FME_Input[FME_ID],FME_Input[STRUCT_100])</f>
        <v>2</v>
      </c>
      <c r="I505" s="65" t="e">
        <f>FME_Ranking2[[#This Row],[Raw Data3]]*H$4</f>
        <v>#REF!</v>
      </c>
      <c r="J505" s="62">
        <f>((FME_Ranking_Option2!$H505)/($H$3))*100</f>
        <v>2.2225457261001324E-4</v>
      </c>
      <c r="K505" s="49" t="e">
        <f>FME_Ranking2[[#This Row],[Norm Data3]]*H$4</f>
        <v>#REF!</v>
      </c>
      <c r="L505" s="50">
        <f>_xlfn.XLOOKUP(FME_Ranking2[[#This Row],[FME ID]],FME_Input[FME_ID],FME_Input[RES_STRUCT100])</f>
        <v>1</v>
      </c>
      <c r="M505" s="51" t="e">
        <f>FME_Ranking2[[#This Row],[Raw Data4]]*L$4</f>
        <v>#REF!</v>
      </c>
      <c r="N505" s="29">
        <f>((FME_Ranking_Option2!$L505)/($L$3))*100</f>
        <v>1.4950297735179396E-4</v>
      </c>
      <c r="O505" s="52" t="e">
        <f>FME_Ranking2[[#This Row],[Norm Data4]]*L$4</f>
        <v>#REF!</v>
      </c>
      <c r="P505" s="47">
        <f>_xlfn.XLOOKUP(FME_Ranking2[[#This Row],[FME ID]],FME_Input[FME_ID],FME_Input[POP100])</f>
        <v>1</v>
      </c>
      <c r="Q505" s="48" t="e">
        <f>FME_Ranking_Option2!$P505*P$4</f>
        <v>#REF!</v>
      </c>
      <c r="R505" s="48">
        <f>FME_Ranking_Option2!$P505/($P$3)</f>
        <v>3.670212336464514E-7</v>
      </c>
      <c r="S505" s="48" t="e">
        <f>FME_Ranking_Option2!$R505*P$4</f>
        <v>#REF!</v>
      </c>
      <c r="T505" s="50">
        <f>_xlfn.XLOOKUP(FME_Ranking2[[#This Row],[FME ID]],FME_Input[FME_ID],FME_Input[CRITFAC100])</f>
        <v>0</v>
      </c>
      <c r="U505" s="48" t="e">
        <f>FME_Ranking_Option2!$T505*T$4</f>
        <v>#REF!</v>
      </c>
      <c r="V505" s="48">
        <f>FME_Ranking_Option2!$T505/($T$3)</f>
        <v>0</v>
      </c>
      <c r="W505" s="48" t="e">
        <f>FME_Ranking_Option2!$V505*T$4</f>
        <v>#REF!</v>
      </c>
      <c r="X505" s="50">
        <f>_xlfn.XLOOKUP(FME_Ranking2[[#This Row],[FME ID]],FME_Input[FME_ID],FME_Input[LWC])</f>
        <v>0</v>
      </c>
      <c r="Y505" s="48" t="e">
        <f>FME_Ranking_Option2!$X505*X$4</f>
        <v>#REF!</v>
      </c>
      <c r="Z505" s="48">
        <f>FME_Ranking_Option2!$X505/($X$3)</f>
        <v>0</v>
      </c>
      <c r="AA505" s="48" t="e">
        <f>FME_Ranking_Option2!$Z505*X$4</f>
        <v>#REF!</v>
      </c>
      <c r="AB505" s="50">
        <f>_xlfn.XLOOKUP(FME_Ranking2[[#This Row],[FME ID]],FME_Input[FME_ID],FME_Input[ROADCLS])</f>
        <v>0</v>
      </c>
      <c r="AC505" s="48" t="e">
        <f>FME_Ranking_Option2!$AB505*AB$4</f>
        <v>#REF!</v>
      </c>
      <c r="AD505" s="53">
        <f>_xlfn.XLOOKUP(FME_Ranking2[[#This Row],[FME ID]],FME_Input[FME_ID],FME_Input[ROAD_MILES100])</f>
        <v>0.14512637257575989</v>
      </c>
      <c r="AE505" s="54" t="e">
        <f>FME_Ranking_Option2!$AD505*AD$4</f>
        <v>#REF!</v>
      </c>
      <c r="AF505" s="55">
        <f>FME_Ranking_Option2!$AD505/($AD$3)</f>
        <v>3.2780104347771855E-6</v>
      </c>
      <c r="AG505" s="55" t="e">
        <f>FME_Ranking_Option2!$AF505*AD$4</f>
        <v>#REF!</v>
      </c>
      <c r="AH505" s="53">
        <f>_xlfn.XLOOKUP(FME_Ranking2[[#This Row],[FME ID]],FME_Input[FME_ID],FME_Input[FARMACRE100])</f>
        <v>44.672351837158203</v>
      </c>
      <c r="AI505" s="54" t="e">
        <f>FME_Ranking_Option2!$AH505*AH$4</f>
        <v>#REF!</v>
      </c>
      <c r="AJ505" s="56">
        <f>FME_Ranking_Option2!$AH505/($AH$3)</f>
        <v>2.5939420871893882E-3</v>
      </c>
      <c r="AK505" s="57" t="e">
        <f>FME_Ranking_Option2!$AJ505*AH$4</f>
        <v>#REF!</v>
      </c>
      <c r="AL505"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05" s="45" t="e">
        <f>_xlfn.RANK.EQ(AL505,$AL$7:$AL$531)+COUNTIF(AL$7:AL505,AL505)-1</f>
        <v>#REF!</v>
      </c>
      <c r="AN505" s="57"/>
      <c r="AO505" s="45" t="e">
        <f>_xlfn.RANK.EQ(AN505,$AN$7:$AN$531)+COUNTIF(AN$7:AN505,AN505)-1</f>
        <v>#N/A</v>
      </c>
      <c r="AP50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05" s="32" t="e">
        <f>FME_Ranking2[[#This Row],[Score Based on Reported Factors]]-FME_Ranking2[[#This Row],[Check]]</f>
        <v>#REF!</v>
      </c>
      <c r="AR505" s="32"/>
      <c r="AT505" s="19"/>
      <c r="AU505" s="19"/>
      <c r="AV505" s="19"/>
      <c r="AW505" s="19"/>
      <c r="AX505" s="19"/>
      <c r="AY505" s="19"/>
      <c r="AZ505" s="19"/>
      <c r="BA505" s="19"/>
      <c r="BB505" s="19"/>
      <c r="BC505" s="19"/>
    </row>
    <row r="506" spans="1:55" ht="12" customHeight="1" x14ac:dyDescent="0.25">
      <c r="A506" s="17" t="s">
        <v>226</v>
      </c>
      <c r="B506" s="17" t="str">
        <f>_xlfn.XLOOKUP(FME_Ranking2[[#This Row],[FME ID]],FME_Input[FME_ID],FME_Input[FME_NAME])</f>
        <v>Whitman Branch Regional Detention Pond</v>
      </c>
      <c r="C506" s="17" t="str">
        <f>_xlfn.XLOOKUP(FME_Ranking2[[#This Row],[FME ID]],FME_Input[FME_ID],FME_Input[DESCR])</f>
        <v>Regional Detention Pond Along Whitman Branch</v>
      </c>
      <c r="D506" s="33" t="str">
        <f>_xlfn.XLOOKUP(FME_Ranking2[[#This Row],[FME ID]],FME_Input[FME_ID],FME_Input[EMER_NEED])</f>
        <v>No</v>
      </c>
      <c r="E506" s="120">
        <f>IF(FME_Ranking_Option2!$D506="Yes",100,0)</f>
        <v>0</v>
      </c>
      <c r="F506" s="34" t="str">
        <f>_xlfn.XLOOKUP(FME_Ranking2[[#This Row],[FME ID]],FME_Input[FME_ID],FME_Input[FUND])</f>
        <v>No</v>
      </c>
      <c r="G506" s="35">
        <f>IF(FME_Ranking_Option2!$F506="Yes",1,0)</f>
        <v>0</v>
      </c>
      <c r="H506" s="33">
        <f>_xlfn.XLOOKUP(FME_Ranking2[[#This Row],[FME ID]],FME_Input[FME_ID],FME_Input[STRUCT_100])</f>
        <v>0</v>
      </c>
      <c r="I506" s="64" t="e">
        <f>FME_Ranking2[[#This Row],[Raw Data3]]*H$4</f>
        <v>#REF!</v>
      </c>
      <c r="J506" s="63">
        <f>((FME_Ranking_Option2!$H506)/($H$3))*100</f>
        <v>0</v>
      </c>
      <c r="K506" s="36" t="e">
        <f>FME_Ranking2[[#This Row],[Norm Data3]]*H$4</f>
        <v>#REF!</v>
      </c>
      <c r="L506" s="37">
        <f>_xlfn.XLOOKUP(FME_Ranking2[[#This Row],[FME ID]],FME_Input[FME_ID],FME_Input[RES_STRUCT100])</f>
        <v>0</v>
      </c>
      <c r="M506" s="38" t="e">
        <f>FME_Ranking2[[#This Row],[Raw Data4]]*L$4</f>
        <v>#REF!</v>
      </c>
      <c r="N506" s="28">
        <f>((FME_Ranking_Option2!$L506)/($L$3))*100</f>
        <v>0</v>
      </c>
      <c r="O506" s="39" t="e">
        <f>FME_Ranking2[[#This Row],[Norm Data4]]*L$4</f>
        <v>#REF!</v>
      </c>
      <c r="P506" s="34">
        <f>_xlfn.XLOOKUP(FME_Ranking2[[#This Row],[FME ID]],FME_Input[FME_ID],FME_Input[POP100])</f>
        <v>0</v>
      </c>
      <c r="Q506" s="35" t="e">
        <f>FME_Ranking_Option2!$P506*P$4</f>
        <v>#REF!</v>
      </c>
      <c r="R506" s="35">
        <f>FME_Ranking_Option2!$P506/($P$3)</f>
        <v>0</v>
      </c>
      <c r="S506" s="35" t="e">
        <f>FME_Ranking_Option2!$R506*P$4</f>
        <v>#REF!</v>
      </c>
      <c r="T506" s="37">
        <f>_xlfn.XLOOKUP(FME_Ranking2[[#This Row],[FME ID]],FME_Input[FME_ID],FME_Input[CRITFAC100])</f>
        <v>0</v>
      </c>
      <c r="U506" s="35" t="e">
        <f>FME_Ranking_Option2!$T506*T$4</f>
        <v>#REF!</v>
      </c>
      <c r="V506" s="35">
        <f>FME_Ranking_Option2!$T506/($T$3)</f>
        <v>0</v>
      </c>
      <c r="W506" s="35" t="e">
        <f>FME_Ranking_Option2!$V506*T$4</f>
        <v>#REF!</v>
      </c>
      <c r="X506" s="37">
        <f>_xlfn.XLOOKUP(FME_Ranking2[[#This Row],[FME ID]],FME_Input[FME_ID],FME_Input[LWC])</f>
        <v>0</v>
      </c>
      <c r="Y506" s="35" t="e">
        <f>FME_Ranking_Option2!$X506*X$4</f>
        <v>#REF!</v>
      </c>
      <c r="Z506" s="35">
        <f>FME_Ranking_Option2!$X506/($X$3)</f>
        <v>0</v>
      </c>
      <c r="AA506" s="35" t="e">
        <f>FME_Ranking_Option2!$Z506*X$4</f>
        <v>#REF!</v>
      </c>
      <c r="AB506" s="37">
        <f>_xlfn.XLOOKUP(FME_Ranking2[[#This Row],[FME ID]],FME_Input[FME_ID],FME_Input[ROADCLS])</f>
        <v>0</v>
      </c>
      <c r="AC506" s="35" t="e">
        <f>FME_Ranking_Option2!$AB506*AB$4</f>
        <v>#REF!</v>
      </c>
      <c r="AD506" s="40">
        <f>_xlfn.XLOOKUP(FME_Ranking2[[#This Row],[FME ID]],FME_Input[FME_ID],FME_Input[ROAD_MILES100])</f>
        <v>0.18301443755626681</v>
      </c>
      <c r="AE506" s="41" t="e">
        <f>FME_Ranking_Option2!$AD506*AD$4</f>
        <v>#REF!</v>
      </c>
      <c r="AF506" s="42">
        <f>FME_Ranking_Option2!$AD506/($AD$3)</f>
        <v>4.1337988773277172E-6</v>
      </c>
      <c r="AG506" s="42" t="e">
        <f>FME_Ranking_Option2!$AF506*AD$4</f>
        <v>#REF!</v>
      </c>
      <c r="AH506" s="40">
        <f>_xlfn.XLOOKUP(FME_Ranking2[[#This Row],[FME ID]],FME_Input[FME_ID],FME_Input[FARMACRE100])</f>
        <v>23.202432632446289</v>
      </c>
      <c r="AI506" s="43" t="e">
        <f>FME_Ranking_Option2!$AH506*AH$4</f>
        <v>#REF!</v>
      </c>
      <c r="AJ506" s="41">
        <f>FME_Ranking_Option2!$AH506/($AH$3)</f>
        <v>1.3472710536904557E-3</v>
      </c>
      <c r="AK506" s="44" t="e">
        <f>FME_Ranking_Option2!$AJ506*AH$4</f>
        <v>#REF!</v>
      </c>
      <c r="AL506"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06" s="58" t="e">
        <f>_xlfn.RANK.EQ(AL506,$AL$7:$AL$531)+COUNTIF(AL$7:AL506,AL506)-1</f>
        <v>#REF!</v>
      </c>
      <c r="AN506" s="44"/>
      <c r="AO506" s="58" t="e">
        <f>_xlfn.RANK.EQ(AN506,$AN$7:$AN$531)+COUNTIF(AN$7:AN506,AN506)-1</f>
        <v>#N/A</v>
      </c>
      <c r="AP50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06" s="32" t="e">
        <f>FME_Ranking2[[#This Row],[Score Based on Reported Factors]]-FME_Ranking2[[#This Row],[Check]]</f>
        <v>#REF!</v>
      </c>
      <c r="AR506" s="32"/>
    </row>
    <row r="507" spans="1:55" ht="12" customHeight="1" x14ac:dyDescent="0.25">
      <c r="A507" s="16" t="s">
        <v>230</v>
      </c>
      <c r="B507" s="16" t="str">
        <f>_xlfn.XLOOKUP(FME_Ranking2[[#This Row],[FME ID]],FME_Input[FME_ID],FME_Input[FME_NAME])</f>
        <v>Ave J Bridge Replacement</v>
      </c>
      <c r="C507" s="16" t="str">
        <f>_xlfn.XLOOKUP(FME_Ranking2[[#This Row],[FME ID]],FME_Input[FME_ID],FME_Input[DESCR])</f>
        <v>Replace bridge that heavily floods and was damaged during 2018 flood event.</v>
      </c>
      <c r="D507" s="46" t="str">
        <f>_xlfn.XLOOKUP(FME_Ranking2[[#This Row],[FME ID]],FME_Input[FME_ID],FME_Input[EMER_NEED])</f>
        <v>No</v>
      </c>
      <c r="E507" s="121">
        <f>IF(FME_Ranking_Option2!$D507="Yes",100,0)</f>
        <v>0</v>
      </c>
      <c r="F507" s="47" t="str">
        <f>_xlfn.XLOOKUP(FME_Ranking2[[#This Row],[FME ID]],FME_Input[FME_ID],FME_Input[FUND])</f>
        <v>No</v>
      </c>
      <c r="G507" s="48">
        <f>IF(FME_Ranking_Option2!$F507="Yes",1,0)</f>
        <v>0</v>
      </c>
      <c r="H507" s="46">
        <f>_xlfn.XLOOKUP(FME_Ranking2[[#This Row],[FME ID]],FME_Input[FME_ID],FME_Input[STRUCT_100])</f>
        <v>405</v>
      </c>
      <c r="I507" s="65" t="e">
        <f>FME_Ranking2[[#This Row],[Raw Data3]]*H$4</f>
        <v>#REF!</v>
      </c>
      <c r="J507" s="62">
        <f>((FME_Ranking_Option2!$H507)/($H$3))*100</f>
        <v>4.500655095352768E-2</v>
      </c>
      <c r="K507" s="49" t="e">
        <f>FME_Ranking2[[#This Row],[Norm Data3]]*H$4</f>
        <v>#REF!</v>
      </c>
      <c r="L507" s="50">
        <f>_xlfn.XLOOKUP(FME_Ranking2[[#This Row],[FME ID]],FME_Input[FME_ID],FME_Input[RES_STRUCT100])</f>
        <v>233</v>
      </c>
      <c r="M507" s="51" t="e">
        <f>FME_Ranking2[[#This Row],[Raw Data4]]*L$4</f>
        <v>#REF!</v>
      </c>
      <c r="N507" s="29">
        <f>((FME_Ranking_Option2!$L507)/($L$3))*100</f>
        <v>3.483419372296799E-2</v>
      </c>
      <c r="O507" s="52" t="e">
        <f>FME_Ranking2[[#This Row],[Norm Data4]]*L$4</f>
        <v>#REF!</v>
      </c>
      <c r="P507" s="47">
        <f>_xlfn.XLOOKUP(FME_Ranking2[[#This Row],[FME ID]],FME_Input[FME_ID],FME_Input[POP100])</f>
        <v>2006</v>
      </c>
      <c r="Q507" s="48" t="e">
        <f>FME_Ranking_Option2!$P507*P$4</f>
        <v>#REF!</v>
      </c>
      <c r="R507" s="48">
        <f>FME_Ranking_Option2!$P507/($P$3)</f>
        <v>7.3624459469478142E-4</v>
      </c>
      <c r="S507" s="48" t="e">
        <f>FME_Ranking_Option2!$R507*P$4</f>
        <v>#REF!</v>
      </c>
      <c r="T507" s="50">
        <f>_xlfn.XLOOKUP(FME_Ranking2[[#This Row],[FME ID]],FME_Input[FME_ID],FME_Input[CRITFAC100])</f>
        <v>1</v>
      </c>
      <c r="U507" s="48" t="e">
        <f>FME_Ranking_Option2!$T507*T$4</f>
        <v>#REF!</v>
      </c>
      <c r="V507" s="48">
        <f>FME_Ranking_Option2!$T507/($T$3)</f>
        <v>1.4102383302778171E-4</v>
      </c>
      <c r="W507" s="48" t="e">
        <f>FME_Ranking_Option2!$V507*T$4</f>
        <v>#REF!</v>
      </c>
      <c r="X507" s="50">
        <f>_xlfn.XLOOKUP(FME_Ranking2[[#This Row],[FME ID]],FME_Input[FME_ID],FME_Input[LWC])</f>
        <v>29</v>
      </c>
      <c r="Y507" s="48" t="e">
        <f>FME_Ranking_Option2!$X507*X$4</f>
        <v>#REF!</v>
      </c>
      <c r="Z507" s="48">
        <f>FME_Ranking_Option2!$X507/($X$3)</f>
        <v>2.6455026455026454E-3</v>
      </c>
      <c r="AA507" s="48" t="e">
        <f>FME_Ranking_Option2!$Z507*X$4</f>
        <v>#REF!</v>
      </c>
      <c r="AB507" s="50">
        <f>_xlfn.XLOOKUP(FME_Ranking2[[#This Row],[FME ID]],FME_Input[FME_ID],FME_Input[ROADCLS])</f>
        <v>0</v>
      </c>
      <c r="AC507" s="48" t="e">
        <f>FME_Ranking_Option2!$AB507*AB$4</f>
        <v>#REF!</v>
      </c>
      <c r="AD507" s="53">
        <f>_xlfn.XLOOKUP(FME_Ranking2[[#This Row],[FME ID]],FME_Input[FME_ID],FME_Input[ROAD_MILES100])</f>
        <v>10.625643730163571</v>
      </c>
      <c r="AE507" s="54" t="e">
        <f>FME_Ranking_Option2!$AD507*AD$4</f>
        <v>#REF!</v>
      </c>
      <c r="AF507" s="55">
        <f>FME_Ranking_Option2!$AD507/($AD$3)</f>
        <v>2.4000442101257822E-4</v>
      </c>
      <c r="AG507" s="55" t="e">
        <f>FME_Ranking_Option2!$AF507*AD$4</f>
        <v>#REF!</v>
      </c>
      <c r="AH507" s="53">
        <f>_xlfn.XLOOKUP(FME_Ranking2[[#This Row],[FME ID]],FME_Input[FME_ID],FME_Input[FARMACRE100])</f>
        <v>1984.24365234375</v>
      </c>
      <c r="AI507" s="54" t="e">
        <f>FME_Ranking_Option2!$AH507*AH$4</f>
        <v>#REF!</v>
      </c>
      <c r="AJ507" s="56">
        <f>FME_Ranking_Option2!$AH507/($AH$3)</f>
        <v>0.11521697222960144</v>
      </c>
      <c r="AK507" s="57" t="e">
        <f>FME_Ranking_Option2!$AJ507*AH$4</f>
        <v>#REF!</v>
      </c>
      <c r="AL507"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07" s="45" t="e">
        <f>_xlfn.RANK.EQ(AL507,$AL$7:$AL$531)+COUNTIF(AL$7:AL507,AL507)-1</f>
        <v>#REF!</v>
      </c>
      <c r="AN507" s="57"/>
      <c r="AO507" s="45" t="e">
        <f>_xlfn.RANK.EQ(AN507,$AN$7:$AN$531)+COUNTIF(AN$7:AN507,AN507)-1</f>
        <v>#N/A</v>
      </c>
      <c r="AP50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07" s="32" t="e">
        <f>FME_Ranking2[[#This Row],[Score Based on Reported Factors]]-FME_Ranking2[[#This Row],[Check]]</f>
        <v>#REF!</v>
      </c>
      <c r="AR507" s="32"/>
      <c r="AT507" s="19"/>
      <c r="AU507" s="19"/>
      <c r="AV507" s="19"/>
      <c r="AW507" s="19"/>
      <c r="AX507" s="19"/>
      <c r="AY507" s="19"/>
      <c r="AZ507" s="19"/>
      <c r="BA507" s="19"/>
      <c r="BB507" s="19"/>
      <c r="BC507" s="19"/>
    </row>
    <row r="508" spans="1:55" ht="12" customHeight="1" x14ac:dyDescent="0.25">
      <c r="A508" s="17" t="s">
        <v>235</v>
      </c>
      <c r="B508" s="17" t="str">
        <f>_xlfn.XLOOKUP(FME_Ranking2[[#This Row],[FME ID]],FME_Input[FME_ID],FME_Input[FME_NAME])</f>
        <v>Broadway Street at Whitman Branch Low Water Crossing</v>
      </c>
      <c r="C508" s="17" t="str">
        <f>_xlfn.XLOOKUP(FME_Ranking2[[#This Row],[FME ID]],FME_Input[FME_ID],FME_Input[DESCR])</f>
        <v>Low Water Crossing upgrade for one of the most commonly closed low water crossings in Marble Falls.  It is a heavily trafficked street, providing an alternative route to 281/1431 intersection</v>
      </c>
      <c r="D508" s="33" t="str">
        <f>_xlfn.XLOOKUP(FME_Ranking2[[#This Row],[FME ID]],FME_Input[FME_ID],FME_Input[EMER_NEED])</f>
        <v>No</v>
      </c>
      <c r="E508" s="120">
        <f>IF(FME_Ranking_Option2!$D508="Yes",100,0)</f>
        <v>0</v>
      </c>
      <c r="F508" s="34" t="str">
        <f>_xlfn.XLOOKUP(FME_Ranking2[[#This Row],[FME ID]],FME_Input[FME_ID],FME_Input[FUND])</f>
        <v>No</v>
      </c>
      <c r="G508" s="35">
        <f>IF(FME_Ranking_Option2!$F508="Yes",1,0)</f>
        <v>0</v>
      </c>
      <c r="H508" s="33">
        <f>_xlfn.XLOOKUP(FME_Ranking2[[#This Row],[FME ID]],FME_Input[FME_ID],FME_Input[STRUCT_100])</f>
        <v>75</v>
      </c>
      <c r="I508" s="64" t="e">
        <f>FME_Ranking2[[#This Row],[Raw Data3]]*H$4</f>
        <v>#REF!</v>
      </c>
      <c r="J508" s="63">
        <f>((FME_Ranking_Option2!$H508)/($H$3))*100</f>
        <v>8.3345464728754957E-3</v>
      </c>
      <c r="K508" s="36" t="e">
        <f>FME_Ranking2[[#This Row],[Norm Data3]]*H$4</f>
        <v>#REF!</v>
      </c>
      <c r="L508" s="37">
        <f>_xlfn.XLOOKUP(FME_Ranking2[[#This Row],[FME ID]],FME_Input[FME_ID],FME_Input[RES_STRUCT100])</f>
        <v>3</v>
      </c>
      <c r="M508" s="38" t="e">
        <f>FME_Ranking2[[#This Row],[Raw Data4]]*L$4</f>
        <v>#REF!</v>
      </c>
      <c r="N508" s="28">
        <f>((FME_Ranking_Option2!$L508)/($L$3))*100</f>
        <v>4.485089320553819E-4</v>
      </c>
      <c r="O508" s="39" t="e">
        <f>FME_Ranking2[[#This Row],[Norm Data4]]*L$4</f>
        <v>#REF!</v>
      </c>
      <c r="P508" s="34">
        <f>_xlfn.XLOOKUP(FME_Ranking2[[#This Row],[FME ID]],FME_Input[FME_ID],FME_Input[POP100])</f>
        <v>809</v>
      </c>
      <c r="Q508" s="35" t="e">
        <f>FME_Ranking_Option2!$P508*P$4</f>
        <v>#REF!</v>
      </c>
      <c r="R508" s="35">
        <f>FME_Ranking_Option2!$P508/($P$3)</f>
        <v>2.9692017801997918E-4</v>
      </c>
      <c r="S508" s="35" t="e">
        <f>FME_Ranking_Option2!$R508*P$4</f>
        <v>#REF!</v>
      </c>
      <c r="T508" s="37">
        <f>_xlfn.XLOOKUP(FME_Ranking2[[#This Row],[FME ID]],FME_Input[FME_ID],FME_Input[CRITFAC100])</f>
        <v>0</v>
      </c>
      <c r="U508" s="35" t="e">
        <f>FME_Ranking_Option2!$T508*T$4</f>
        <v>#REF!</v>
      </c>
      <c r="V508" s="35">
        <f>FME_Ranking_Option2!$T508/($T$3)</f>
        <v>0</v>
      </c>
      <c r="W508" s="35" t="e">
        <f>FME_Ranking_Option2!$V508*T$4</f>
        <v>#REF!</v>
      </c>
      <c r="X508" s="37">
        <f>_xlfn.XLOOKUP(FME_Ranking2[[#This Row],[FME ID]],FME_Input[FME_ID],FME_Input[LWC])</f>
        <v>10</v>
      </c>
      <c r="Y508" s="35" t="e">
        <f>FME_Ranking_Option2!$X508*X$4</f>
        <v>#REF!</v>
      </c>
      <c r="Z508" s="35">
        <f>FME_Ranking_Option2!$X508/($X$3)</f>
        <v>9.1224229155263637E-4</v>
      </c>
      <c r="AA508" s="35" t="e">
        <f>FME_Ranking_Option2!$Z508*X$4</f>
        <v>#REF!</v>
      </c>
      <c r="AB508" s="37">
        <f>_xlfn.XLOOKUP(FME_Ranking2[[#This Row],[FME ID]],FME_Input[FME_ID],FME_Input[ROADCLS])</f>
        <v>0</v>
      </c>
      <c r="AC508" s="35" t="e">
        <f>FME_Ranking_Option2!$AB508*AB$4</f>
        <v>#REF!</v>
      </c>
      <c r="AD508" s="40">
        <f>_xlfn.XLOOKUP(FME_Ranking2[[#This Row],[FME ID]],FME_Input[FME_ID],FME_Input[ROAD_MILES100])</f>
        <v>1.427320599555969</v>
      </c>
      <c r="AE508" s="41" t="e">
        <f>FME_Ranking_Option2!$AD508*AD$4</f>
        <v>#REF!</v>
      </c>
      <c r="AF508" s="42">
        <f>FME_Ranking_Option2!$AD508/($AD$3)</f>
        <v>3.223929418255424E-5</v>
      </c>
      <c r="AG508" s="42" t="e">
        <f>FME_Ranking_Option2!$AF508*AD$4</f>
        <v>#REF!</v>
      </c>
      <c r="AH508" s="40">
        <f>_xlfn.XLOOKUP(FME_Ranking2[[#This Row],[FME ID]],FME_Input[FME_ID],FME_Input[FARMACRE100])</f>
        <v>170.98002624511719</v>
      </c>
      <c r="AI508" s="43" t="e">
        <f>FME_Ranking_Option2!$AH508*AH$4</f>
        <v>#REF!</v>
      </c>
      <c r="AJ508" s="41">
        <f>FME_Ranking_Option2!$AH508/($AH$3)</f>
        <v>9.9281158906221884E-3</v>
      </c>
      <c r="AK508" s="44" t="e">
        <f>FME_Ranking_Option2!$AJ508*AH$4</f>
        <v>#REF!</v>
      </c>
      <c r="AL508"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08" s="58" t="e">
        <f>_xlfn.RANK.EQ(AL508,$AL$7:$AL$531)+COUNTIF(AL$7:AL508,AL508)-1</f>
        <v>#REF!</v>
      </c>
      <c r="AN508" s="44"/>
      <c r="AO508" s="58" t="e">
        <f>_xlfn.RANK.EQ(AN508,$AN$7:$AN$531)+COUNTIF(AN$7:AN508,AN508)-1</f>
        <v>#N/A</v>
      </c>
      <c r="AP50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08" s="32" t="e">
        <f>FME_Ranking2[[#This Row],[Score Based on Reported Factors]]-FME_Ranking2[[#This Row],[Check]]</f>
        <v>#REF!</v>
      </c>
      <c r="AR508" s="32"/>
    </row>
    <row r="509" spans="1:55" ht="12" customHeight="1" x14ac:dyDescent="0.25">
      <c r="A509" s="16" t="s">
        <v>238</v>
      </c>
      <c r="B509" s="16" t="str">
        <f>_xlfn.XLOOKUP(FME_Ranking2[[#This Row],[FME ID]],FME_Input[FME_ID],FME_Input[FME_NAME])</f>
        <v>1431/281 Detention</v>
      </c>
      <c r="C509" s="16" t="str">
        <f>_xlfn.XLOOKUP(FME_Ranking2[[#This Row],[FME ID]],FME_Input[FME_ID],FME_Input[DESCR])</f>
        <v xml:space="preserve">This project would be in partnership with TxDOT.  TxDOT is looking at installing a right turn lane on northbound 281 onto 1431.  This would require acquisition of the properties in the vicinity, as the businesses would no longer be able to function. </v>
      </c>
      <c r="D509" s="46" t="str">
        <f>_xlfn.XLOOKUP(FME_Ranking2[[#This Row],[FME ID]],FME_Input[FME_ID],FME_Input[EMER_NEED])</f>
        <v>No</v>
      </c>
      <c r="E509" s="121">
        <f>IF(FME_Ranking_Option2!$D509="Yes",100,0)</f>
        <v>0</v>
      </c>
      <c r="F509" s="47" t="str">
        <f>_xlfn.XLOOKUP(FME_Ranking2[[#This Row],[FME ID]],FME_Input[FME_ID],FME_Input[FUND])</f>
        <v>No</v>
      </c>
      <c r="G509" s="48">
        <f>IF(FME_Ranking_Option2!$F509="Yes",1,0)</f>
        <v>0</v>
      </c>
      <c r="H509" s="46">
        <f>_xlfn.XLOOKUP(FME_Ranking2[[#This Row],[FME ID]],FME_Input[FME_ID],FME_Input[STRUCT_100])</f>
        <v>5</v>
      </c>
      <c r="I509" s="65" t="e">
        <f>FME_Ranking2[[#This Row],[Raw Data3]]*H$4</f>
        <v>#REF!</v>
      </c>
      <c r="J509" s="62">
        <f>((FME_Ranking_Option2!$H509)/($H$3))*100</f>
        <v>5.5563643152503302E-4</v>
      </c>
      <c r="K509" s="49" t="e">
        <f>FME_Ranking2[[#This Row],[Norm Data3]]*H$4</f>
        <v>#REF!</v>
      </c>
      <c r="L509" s="50">
        <f>_xlfn.XLOOKUP(FME_Ranking2[[#This Row],[FME ID]],FME_Input[FME_ID],FME_Input[RES_STRUCT100])</f>
        <v>1</v>
      </c>
      <c r="M509" s="51" t="e">
        <f>FME_Ranking2[[#This Row],[Raw Data4]]*L$4</f>
        <v>#REF!</v>
      </c>
      <c r="N509" s="29">
        <f>((FME_Ranking_Option2!$L509)/($L$3))*100</f>
        <v>1.4950297735179396E-4</v>
      </c>
      <c r="O509" s="52" t="e">
        <f>FME_Ranking2[[#This Row],[Norm Data4]]*L$4</f>
        <v>#REF!</v>
      </c>
      <c r="P509" s="47">
        <f>_xlfn.XLOOKUP(FME_Ranking2[[#This Row],[FME ID]],FME_Input[FME_ID],FME_Input[POP100])</f>
        <v>16</v>
      </c>
      <c r="Q509" s="48" t="e">
        <f>FME_Ranking_Option2!$P509*P$4</f>
        <v>#REF!</v>
      </c>
      <c r="R509" s="48">
        <f>FME_Ranking_Option2!$P509/($P$3)</f>
        <v>5.8723397383432224E-6</v>
      </c>
      <c r="S509" s="48" t="e">
        <f>FME_Ranking_Option2!$R509*P$4</f>
        <v>#REF!</v>
      </c>
      <c r="T509" s="50">
        <f>_xlfn.XLOOKUP(FME_Ranking2[[#This Row],[FME ID]],FME_Input[FME_ID],FME_Input[CRITFAC100])</f>
        <v>0</v>
      </c>
      <c r="U509" s="48" t="e">
        <f>FME_Ranking_Option2!$T509*T$4</f>
        <v>#REF!</v>
      </c>
      <c r="V509" s="48">
        <f>FME_Ranking_Option2!$T509/($T$3)</f>
        <v>0</v>
      </c>
      <c r="W509" s="48" t="e">
        <f>FME_Ranking_Option2!$V509*T$4</f>
        <v>#REF!</v>
      </c>
      <c r="X509" s="50">
        <f>_xlfn.XLOOKUP(FME_Ranking2[[#This Row],[FME ID]],FME_Input[FME_ID],FME_Input[LWC])</f>
        <v>1</v>
      </c>
      <c r="Y509" s="48" t="e">
        <f>FME_Ranking_Option2!$X509*X$4</f>
        <v>#REF!</v>
      </c>
      <c r="Z509" s="48">
        <f>FME_Ranking_Option2!$X509/($X$3)</f>
        <v>9.1224229155263632E-5</v>
      </c>
      <c r="AA509" s="48" t="e">
        <f>FME_Ranking_Option2!$Z509*X$4</f>
        <v>#REF!</v>
      </c>
      <c r="AB509" s="50">
        <f>_xlfn.XLOOKUP(FME_Ranking2[[#This Row],[FME ID]],FME_Input[FME_ID],FME_Input[ROADCLS])</f>
        <v>0</v>
      </c>
      <c r="AC509" s="48" t="e">
        <f>FME_Ranking_Option2!$AB509*AB$4</f>
        <v>#REF!</v>
      </c>
      <c r="AD509" s="53">
        <f>_xlfn.XLOOKUP(FME_Ranking2[[#This Row],[FME ID]],FME_Input[FME_ID],FME_Input[ROAD_MILES100])</f>
        <v>0.1215009614825249</v>
      </c>
      <c r="AE509" s="54" t="e">
        <f>FME_Ranking_Option2!$AD509*AD$4</f>
        <v>#REF!</v>
      </c>
      <c r="AF509" s="55">
        <f>FME_Ranking_Option2!$AD509/($AD$3)</f>
        <v>2.7443765905970252E-6</v>
      </c>
      <c r="AG509" s="55" t="e">
        <f>FME_Ranking_Option2!$AF509*AD$4</f>
        <v>#REF!</v>
      </c>
      <c r="AH509" s="53">
        <f>_xlfn.XLOOKUP(FME_Ranking2[[#This Row],[FME ID]],FME_Input[FME_ID],FME_Input[FARMACRE100])</f>
        <v>23.44124794006348</v>
      </c>
      <c r="AI509" s="54" t="e">
        <f>FME_Ranking_Option2!$AH509*AH$4</f>
        <v>#REF!</v>
      </c>
      <c r="AJ509" s="56">
        <f>FME_Ranking_Option2!$AH509/($AH$3)</f>
        <v>1.3611380889374794E-3</v>
      </c>
      <c r="AK509" s="57" t="e">
        <f>FME_Ranking_Option2!$AJ509*AH$4</f>
        <v>#REF!</v>
      </c>
      <c r="AL509"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09" s="45" t="e">
        <f>_xlfn.RANK.EQ(AL509,$AL$7:$AL$531)+COUNTIF(AL$7:AL509,AL509)-1</f>
        <v>#REF!</v>
      </c>
      <c r="AN509" s="57"/>
      <c r="AO509" s="45" t="e">
        <f>_xlfn.RANK.EQ(AN509,$AN$7:$AN$531)+COUNTIF(AN$7:AN509,AN509)-1</f>
        <v>#N/A</v>
      </c>
      <c r="AP50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09" s="32" t="e">
        <f>FME_Ranking2[[#This Row],[Score Based on Reported Factors]]-FME_Ranking2[[#This Row],[Check]]</f>
        <v>#REF!</v>
      </c>
      <c r="AR509" s="32"/>
      <c r="AT509" s="19"/>
      <c r="AU509" s="19"/>
      <c r="AV509" s="19"/>
      <c r="AW509" s="19"/>
      <c r="AX509" s="19"/>
      <c r="AY509" s="19"/>
      <c r="AZ509" s="19"/>
      <c r="BA509" s="19"/>
      <c r="BB509" s="19"/>
      <c r="BC509" s="19"/>
    </row>
    <row r="510" spans="1:55" ht="12" customHeight="1" x14ac:dyDescent="0.25">
      <c r="A510" s="17" t="s">
        <v>241</v>
      </c>
      <c r="B510" s="17" t="str">
        <f>_xlfn.XLOOKUP(FME_Ranking2[[#This Row],[FME ID]],FME_Input[FME_ID],FME_Input[FME_NAME])</f>
        <v>Backbone Branch Detention Pond</v>
      </c>
      <c r="C510" s="17" t="str">
        <f>_xlfn.XLOOKUP(FME_Ranking2[[#This Row],[FME ID]],FME_Input[FME_ID],FME_Input[DESCR])</f>
        <v xml:space="preserve">Regional Detention Pond Along Backbone Creek_x000D_
</v>
      </c>
      <c r="D510" s="33" t="str">
        <f>_xlfn.XLOOKUP(FME_Ranking2[[#This Row],[FME ID]],FME_Input[FME_ID],FME_Input[EMER_NEED])</f>
        <v>No</v>
      </c>
      <c r="E510" s="120">
        <f>IF(FME_Ranking_Option2!$D510="Yes",100,0)</f>
        <v>0</v>
      </c>
      <c r="F510" s="34" t="str">
        <f>_xlfn.XLOOKUP(FME_Ranking2[[#This Row],[FME ID]],FME_Input[FME_ID],FME_Input[FUND])</f>
        <v>No</v>
      </c>
      <c r="G510" s="35">
        <f>IF(FME_Ranking_Option2!$F510="Yes",1,0)</f>
        <v>0</v>
      </c>
      <c r="H510" s="33">
        <f>_xlfn.XLOOKUP(FME_Ranking2[[#This Row],[FME ID]],FME_Input[FME_ID],FME_Input[STRUCT_100])</f>
        <v>172</v>
      </c>
      <c r="I510" s="64" t="e">
        <f>FME_Ranking2[[#This Row],[Raw Data3]]*H$4</f>
        <v>#REF!</v>
      </c>
      <c r="J510" s="63">
        <f>((FME_Ranking_Option2!$H510)/($H$3))*100</f>
        <v>1.9113893244461139E-2</v>
      </c>
      <c r="K510" s="36" t="e">
        <f>FME_Ranking2[[#This Row],[Norm Data3]]*H$4</f>
        <v>#REF!</v>
      </c>
      <c r="L510" s="37">
        <f>_xlfn.XLOOKUP(FME_Ranking2[[#This Row],[FME ID]],FME_Input[FME_ID],FME_Input[RES_STRUCT100])</f>
        <v>120</v>
      </c>
      <c r="M510" s="38" t="e">
        <f>FME_Ranking2[[#This Row],[Raw Data4]]*L$4</f>
        <v>#REF!</v>
      </c>
      <c r="N510" s="28">
        <f>((FME_Ranking_Option2!$L510)/($L$3))*100</f>
        <v>1.7940357282215276E-2</v>
      </c>
      <c r="O510" s="39" t="e">
        <f>FME_Ranking2[[#This Row],[Norm Data4]]*L$4</f>
        <v>#REF!</v>
      </c>
      <c r="P510" s="34">
        <f>_xlfn.XLOOKUP(FME_Ranking2[[#This Row],[FME ID]],FME_Input[FME_ID],FME_Input[POP100])</f>
        <v>173</v>
      </c>
      <c r="Q510" s="35" t="e">
        <f>FME_Ranking_Option2!$P510*P$4</f>
        <v>#REF!</v>
      </c>
      <c r="R510" s="35">
        <f>FME_Ranking_Option2!$P510/($P$3)</f>
        <v>6.3494673420836089E-5</v>
      </c>
      <c r="S510" s="35" t="e">
        <f>FME_Ranking_Option2!$R510*P$4</f>
        <v>#REF!</v>
      </c>
      <c r="T510" s="37">
        <f>_xlfn.XLOOKUP(FME_Ranking2[[#This Row],[FME ID]],FME_Input[FME_ID],FME_Input[CRITFAC100])</f>
        <v>0</v>
      </c>
      <c r="U510" s="35" t="e">
        <f>FME_Ranking_Option2!$T510*T$4</f>
        <v>#REF!</v>
      </c>
      <c r="V510" s="35">
        <f>FME_Ranking_Option2!$T510/($T$3)</f>
        <v>0</v>
      </c>
      <c r="W510" s="35" t="e">
        <f>FME_Ranking_Option2!$V510*T$4</f>
        <v>#REF!</v>
      </c>
      <c r="X510" s="37">
        <f>_xlfn.XLOOKUP(FME_Ranking2[[#This Row],[FME ID]],FME_Input[FME_ID],FME_Input[LWC])</f>
        <v>3</v>
      </c>
      <c r="Y510" s="35" t="e">
        <f>FME_Ranking_Option2!$X510*X$4</f>
        <v>#REF!</v>
      </c>
      <c r="Z510" s="35">
        <f>FME_Ranking_Option2!$X510/($X$3)</f>
        <v>2.7367268746579092E-4</v>
      </c>
      <c r="AA510" s="35" t="e">
        <f>FME_Ranking_Option2!$Z510*X$4</f>
        <v>#REF!</v>
      </c>
      <c r="AB510" s="37">
        <f>_xlfn.XLOOKUP(FME_Ranking2[[#This Row],[FME ID]],FME_Input[FME_ID],FME_Input[ROADCLS])</f>
        <v>0</v>
      </c>
      <c r="AC510" s="35" t="e">
        <f>FME_Ranking_Option2!$AB510*AB$4</f>
        <v>#REF!</v>
      </c>
      <c r="AD510" s="40">
        <f>_xlfn.XLOOKUP(FME_Ranking2[[#This Row],[FME ID]],FME_Input[FME_ID],FME_Input[ROAD_MILES100])</f>
        <v>4.1067562103271484</v>
      </c>
      <c r="AE510" s="41" t="e">
        <f>FME_Ranking_Option2!$AD510*AD$4</f>
        <v>#REF!</v>
      </c>
      <c r="AF510" s="42">
        <f>FME_Ranking_Option2!$AD510/($AD$3)</f>
        <v>9.2760464356751428E-5</v>
      </c>
      <c r="AG510" s="42" t="e">
        <f>FME_Ranking_Option2!$AF510*AD$4</f>
        <v>#REF!</v>
      </c>
      <c r="AH510" s="40">
        <f>_xlfn.XLOOKUP(FME_Ranking2[[#This Row],[FME ID]],FME_Input[FME_ID],FME_Input[FARMACRE100])</f>
        <v>1647.464965820312</v>
      </c>
      <c r="AI510" s="43" t="e">
        <f>FME_Ranking_Option2!$AH510*AH$4</f>
        <v>#REF!</v>
      </c>
      <c r="AJ510" s="41">
        <f>FME_Ranking_Option2!$AH510/($AH$3)</f>
        <v>9.5661601332050775E-2</v>
      </c>
      <c r="AK510" s="44" t="e">
        <f>FME_Ranking_Option2!$AJ510*AH$4</f>
        <v>#REF!</v>
      </c>
      <c r="AL510"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10" s="58" t="e">
        <f>_xlfn.RANK.EQ(AL510,$AL$7:$AL$531)+COUNTIF(AL$7:AL510,AL510)-1</f>
        <v>#REF!</v>
      </c>
      <c r="AN510" s="44"/>
      <c r="AO510" s="58" t="e">
        <f>_xlfn.RANK.EQ(AN510,$AN$7:$AN$531)+COUNTIF(AN$7:AN510,AN510)-1</f>
        <v>#N/A</v>
      </c>
      <c r="AP51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10" s="32" t="e">
        <f>FME_Ranking2[[#This Row],[Score Based on Reported Factors]]-FME_Ranking2[[#This Row],[Check]]</f>
        <v>#REF!</v>
      </c>
      <c r="AR510" s="32"/>
    </row>
    <row r="511" spans="1:55" ht="12" customHeight="1" x14ac:dyDescent="0.25">
      <c r="A511" s="16" t="s">
        <v>243</v>
      </c>
      <c r="B511" s="16" t="str">
        <f>_xlfn.XLOOKUP(FME_Ranking2[[#This Row],[FME ID]],FME_Input[FME_ID],FME_Input[FME_NAME])</f>
        <v>Marble Falls Creek Walk</v>
      </c>
      <c r="C511" s="16" t="str">
        <f>_xlfn.XLOOKUP(FME_Ranking2[[#This Row],[FME ID]],FME_Input[FME_ID],FME_Input[DESCR])</f>
        <v>The creek walk would be on the Whitman Branch in Downtown Marble Falls.  It would include flood reduction, pedestrian access/trails, and education</v>
      </c>
      <c r="D511" s="46" t="str">
        <f>_xlfn.XLOOKUP(FME_Ranking2[[#This Row],[FME ID]],FME_Input[FME_ID],FME_Input[EMER_NEED])</f>
        <v>No</v>
      </c>
      <c r="E511" s="121">
        <f>IF(FME_Ranking_Option2!$D511="Yes",100,0)</f>
        <v>0</v>
      </c>
      <c r="F511" s="47" t="str">
        <f>_xlfn.XLOOKUP(FME_Ranking2[[#This Row],[FME ID]],FME_Input[FME_ID],FME_Input[FUND])</f>
        <v>No</v>
      </c>
      <c r="G511" s="48">
        <f>IF(FME_Ranking_Option2!$F511="Yes",1,0)</f>
        <v>0</v>
      </c>
      <c r="H511" s="46">
        <f>_xlfn.XLOOKUP(FME_Ranking2[[#This Row],[FME ID]],FME_Input[FME_ID],FME_Input[STRUCT_100])</f>
        <v>80</v>
      </c>
      <c r="I511" s="65" t="e">
        <f>FME_Ranking2[[#This Row],[Raw Data3]]*H$4</f>
        <v>#REF!</v>
      </c>
      <c r="J511" s="62">
        <f>((FME_Ranking_Option2!$H511)/($H$3))*100</f>
        <v>8.8901829044005284E-3</v>
      </c>
      <c r="K511" s="49" t="e">
        <f>FME_Ranking2[[#This Row],[Norm Data3]]*H$4</f>
        <v>#REF!</v>
      </c>
      <c r="L511" s="50">
        <f>_xlfn.XLOOKUP(FME_Ranking2[[#This Row],[FME ID]],FME_Input[FME_ID],FME_Input[RES_STRUCT100])</f>
        <v>5</v>
      </c>
      <c r="M511" s="51" t="e">
        <f>FME_Ranking2[[#This Row],[Raw Data4]]*L$4</f>
        <v>#REF!</v>
      </c>
      <c r="N511" s="29">
        <f>((FME_Ranking_Option2!$L511)/($L$3))*100</f>
        <v>7.4751488675896976E-4</v>
      </c>
      <c r="O511" s="52" t="e">
        <f>FME_Ranking2[[#This Row],[Norm Data4]]*L$4</f>
        <v>#REF!</v>
      </c>
      <c r="P511" s="47">
        <f>_xlfn.XLOOKUP(FME_Ranking2[[#This Row],[FME ID]],FME_Input[FME_ID],FME_Input[POP100])</f>
        <v>821</v>
      </c>
      <c r="Q511" s="48" t="e">
        <f>FME_Ranking_Option2!$P511*P$4</f>
        <v>#REF!</v>
      </c>
      <c r="R511" s="48">
        <f>FME_Ranking_Option2!$P511/($P$3)</f>
        <v>3.013244328237366E-4</v>
      </c>
      <c r="S511" s="48" t="e">
        <f>FME_Ranking_Option2!$R511*P$4</f>
        <v>#REF!</v>
      </c>
      <c r="T511" s="50">
        <f>_xlfn.XLOOKUP(FME_Ranking2[[#This Row],[FME ID]],FME_Input[FME_ID],FME_Input[CRITFAC100])</f>
        <v>0</v>
      </c>
      <c r="U511" s="48" t="e">
        <f>FME_Ranking_Option2!$T511*T$4</f>
        <v>#REF!</v>
      </c>
      <c r="V511" s="48">
        <f>FME_Ranking_Option2!$T511/($T$3)</f>
        <v>0</v>
      </c>
      <c r="W511" s="48" t="e">
        <f>FME_Ranking_Option2!$V511*T$4</f>
        <v>#REF!</v>
      </c>
      <c r="X511" s="50">
        <f>_xlfn.XLOOKUP(FME_Ranking2[[#This Row],[FME ID]],FME_Input[FME_ID],FME_Input[LWC])</f>
        <v>14</v>
      </c>
      <c r="Y511" s="48" t="e">
        <f>FME_Ranking_Option2!$X511*X$4</f>
        <v>#REF!</v>
      </c>
      <c r="Z511" s="48">
        <f>FME_Ranking_Option2!$X511/($X$3)</f>
        <v>1.277139208173691E-3</v>
      </c>
      <c r="AA511" s="48" t="e">
        <f>FME_Ranking_Option2!$Z511*X$4</f>
        <v>#REF!</v>
      </c>
      <c r="AB511" s="50">
        <f>_xlfn.XLOOKUP(FME_Ranking2[[#This Row],[FME ID]],FME_Input[FME_ID],FME_Input[ROADCLS])</f>
        <v>0</v>
      </c>
      <c r="AC511" s="48" t="e">
        <f>FME_Ranking_Option2!$AB511*AB$4</f>
        <v>#REF!</v>
      </c>
      <c r="AD511" s="53">
        <f>_xlfn.XLOOKUP(FME_Ranking2[[#This Row],[FME ID]],FME_Input[FME_ID],FME_Input[ROAD_MILES100])</f>
        <v>2.069035530090332</v>
      </c>
      <c r="AE511" s="54" t="e">
        <f>FME_Ranking_Option2!$AD511*AD$4</f>
        <v>#REF!</v>
      </c>
      <c r="AF511" s="55">
        <f>FME_Ranking_Option2!$AD511/($AD$3)</f>
        <v>4.6733890864806805E-5</v>
      </c>
      <c r="AG511" s="55" t="e">
        <f>FME_Ranking_Option2!$AF511*AD$4</f>
        <v>#REF!</v>
      </c>
      <c r="AH511" s="53">
        <f>_xlfn.XLOOKUP(FME_Ranking2[[#This Row],[FME ID]],FME_Input[FME_ID],FME_Input[FARMACRE100])</f>
        <v>171.42329406738281</v>
      </c>
      <c r="AI511" s="54" t="e">
        <f>FME_Ranking_Option2!$AH511*AH$4</f>
        <v>#REF!</v>
      </c>
      <c r="AJ511" s="56">
        <f>FME_Ranking_Option2!$AH511/($AH$3)</f>
        <v>9.9538546532524363E-3</v>
      </c>
      <c r="AK511" s="57" t="e">
        <f>FME_Ranking_Option2!$AJ511*AH$4</f>
        <v>#REF!</v>
      </c>
      <c r="AL511"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11" s="45" t="e">
        <f>_xlfn.RANK.EQ(AL511,$AL$7:$AL$531)+COUNTIF(AL$7:AL511,AL511)-1</f>
        <v>#REF!</v>
      </c>
      <c r="AN511" s="57"/>
      <c r="AO511" s="45" t="e">
        <f>_xlfn.RANK.EQ(AN511,$AN$7:$AN$531)+COUNTIF(AN$7:AN511,AN511)-1</f>
        <v>#N/A</v>
      </c>
      <c r="AP51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11" s="32" t="e">
        <f>FME_Ranking2[[#This Row],[Score Based on Reported Factors]]-FME_Ranking2[[#This Row],[Check]]</f>
        <v>#REF!</v>
      </c>
      <c r="AR511" s="32"/>
      <c r="AT511" s="19"/>
      <c r="AU511" s="19"/>
      <c r="AV511" s="19"/>
      <c r="AW511" s="19"/>
      <c r="AX511" s="19"/>
      <c r="AY511" s="19"/>
      <c r="AZ511" s="19"/>
      <c r="BA511" s="19"/>
      <c r="BB511" s="19"/>
      <c r="BC511" s="19"/>
    </row>
    <row r="512" spans="1:55" ht="12" customHeight="1" x14ac:dyDescent="0.25">
      <c r="A512" s="17" t="s">
        <v>246</v>
      </c>
      <c r="B512" s="17" t="str">
        <f>_xlfn.XLOOKUP(FME_Ranking2[[#This Row],[FME ID]],FME_Input[FME_ID],FME_Input[FME_NAME])</f>
        <v>Citywide Floodplain Remapping</v>
      </c>
      <c r="C512" s="17" t="str">
        <f>_xlfn.XLOOKUP(FME_Ranking2[[#This Row],[FME ID]],FME_Input[FME_ID],FME_Input[DESCR])</f>
        <v xml:space="preserve">Floodplain remapping of the entire city using Atlas 14 rainfall data._x000D_
</v>
      </c>
      <c r="D512" s="33" t="str">
        <f>_xlfn.XLOOKUP(FME_Ranking2[[#This Row],[FME ID]],FME_Input[FME_ID],FME_Input[EMER_NEED])</f>
        <v>No</v>
      </c>
      <c r="E512" s="120">
        <f>IF(FME_Ranking_Option2!$D512="Yes",100,0)</f>
        <v>0</v>
      </c>
      <c r="F512" s="34" t="str">
        <f>_xlfn.XLOOKUP(FME_Ranking2[[#This Row],[FME ID]],FME_Input[FME_ID],FME_Input[FUND])</f>
        <v>No</v>
      </c>
      <c r="G512" s="35">
        <f>IF(FME_Ranking_Option2!$F512="Yes",1,0)</f>
        <v>0</v>
      </c>
      <c r="H512" s="33">
        <f>_xlfn.XLOOKUP(FME_Ranking2[[#This Row],[FME ID]],FME_Input[FME_ID],FME_Input[STRUCT_100])</f>
        <v>158</v>
      </c>
      <c r="I512" s="64" t="e">
        <f>FME_Ranking2[[#This Row],[Raw Data3]]*H$4</f>
        <v>#REF!</v>
      </c>
      <c r="J512" s="63">
        <f>((FME_Ranking_Option2!$H512)/($H$3))*100</f>
        <v>1.7558111236191044E-2</v>
      </c>
      <c r="K512" s="36" t="e">
        <f>FME_Ranking2[[#This Row],[Norm Data3]]*H$4</f>
        <v>#REF!</v>
      </c>
      <c r="L512" s="37">
        <f>_xlfn.XLOOKUP(FME_Ranking2[[#This Row],[FME ID]],FME_Input[FME_ID],FME_Input[RES_STRUCT100])</f>
        <v>157</v>
      </c>
      <c r="M512" s="38" t="e">
        <f>FME_Ranking2[[#This Row],[Raw Data4]]*L$4</f>
        <v>#REF!</v>
      </c>
      <c r="N512" s="28">
        <f>((FME_Ranking_Option2!$L512)/($L$3))*100</f>
        <v>2.3471967444231651E-2</v>
      </c>
      <c r="O512" s="39" t="e">
        <f>FME_Ranking2[[#This Row],[Norm Data4]]*L$4</f>
        <v>#REF!</v>
      </c>
      <c r="P512" s="34">
        <f>_xlfn.XLOOKUP(FME_Ranking2[[#This Row],[FME ID]],FME_Input[FME_ID],FME_Input[POP100])</f>
        <v>322</v>
      </c>
      <c r="Q512" s="35" t="e">
        <f>FME_Ranking_Option2!$P512*P$4</f>
        <v>#REF!</v>
      </c>
      <c r="R512" s="35">
        <f>FME_Ranking_Option2!$P512/($P$3)</f>
        <v>1.1818083723415734E-4</v>
      </c>
      <c r="S512" s="35" t="e">
        <f>FME_Ranking_Option2!$R512*P$4</f>
        <v>#REF!</v>
      </c>
      <c r="T512" s="37">
        <f>_xlfn.XLOOKUP(FME_Ranking2[[#This Row],[FME ID]],FME_Input[FME_ID],FME_Input[CRITFAC100])</f>
        <v>0</v>
      </c>
      <c r="U512" s="35" t="e">
        <f>FME_Ranking_Option2!$T512*T$4</f>
        <v>#REF!</v>
      </c>
      <c r="V512" s="35">
        <f>FME_Ranking_Option2!$T512/($T$3)</f>
        <v>0</v>
      </c>
      <c r="W512" s="35" t="e">
        <f>FME_Ranking_Option2!$V512*T$4</f>
        <v>#REF!</v>
      </c>
      <c r="X512" s="37">
        <f>_xlfn.XLOOKUP(FME_Ranking2[[#This Row],[FME ID]],FME_Input[FME_ID],FME_Input[LWC])</f>
        <v>1</v>
      </c>
      <c r="Y512" s="35" t="e">
        <f>FME_Ranking_Option2!$X512*X$4</f>
        <v>#REF!</v>
      </c>
      <c r="Z512" s="35">
        <f>FME_Ranking_Option2!$X512/($X$3)</f>
        <v>9.1224229155263632E-5</v>
      </c>
      <c r="AA512" s="35" t="e">
        <f>FME_Ranking_Option2!$Z512*X$4</f>
        <v>#REF!</v>
      </c>
      <c r="AB512" s="37">
        <f>_xlfn.XLOOKUP(FME_Ranking2[[#This Row],[FME ID]],FME_Input[FME_ID],FME_Input[ROADCLS])</f>
        <v>0</v>
      </c>
      <c r="AC512" s="35" t="e">
        <f>FME_Ranking_Option2!$AB512*AB$4</f>
        <v>#REF!</v>
      </c>
      <c r="AD512" s="40">
        <f>_xlfn.XLOOKUP(FME_Ranking2[[#This Row],[FME ID]],FME_Input[FME_ID],FME_Input[ROAD_MILES100])</f>
        <v>2.2854912281036381</v>
      </c>
      <c r="AE512" s="41" t="e">
        <f>FME_Ranking_Option2!$AD512*AD$4</f>
        <v>#REF!</v>
      </c>
      <c r="AF512" s="42">
        <f>FME_Ranking_Option2!$AD512/($AD$3)</f>
        <v>5.1623036952877014E-5</v>
      </c>
      <c r="AG512" s="42" t="e">
        <f>FME_Ranking_Option2!$AF512*AD$4</f>
        <v>#REF!</v>
      </c>
      <c r="AH512" s="40">
        <f>_xlfn.XLOOKUP(FME_Ranking2[[#This Row],[FME ID]],FME_Input[FME_ID],FME_Input[FARMACRE100])</f>
        <v>331.79293823242188</v>
      </c>
      <c r="AI512" s="43" t="e">
        <f>FME_Ranking_Option2!$AH512*AH$4</f>
        <v>#REF!</v>
      </c>
      <c r="AJ512" s="41">
        <f>FME_Ranking_Option2!$AH512/($AH$3)</f>
        <v>1.9265868738019363E-2</v>
      </c>
      <c r="AK512" s="44" t="e">
        <f>FME_Ranking_Option2!$AJ512*AH$4</f>
        <v>#REF!</v>
      </c>
      <c r="AL512"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12" s="58" t="e">
        <f>_xlfn.RANK.EQ(AL512,$AL$7:$AL$531)+COUNTIF(AL$7:AL512,AL512)-1</f>
        <v>#REF!</v>
      </c>
      <c r="AN512" s="44"/>
      <c r="AO512" s="58" t="e">
        <f>_xlfn.RANK.EQ(AN512,$AN$7:$AN$531)+COUNTIF(AN$7:AN512,AN512)-1</f>
        <v>#N/A</v>
      </c>
      <c r="AP51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12" s="32" t="e">
        <f>FME_Ranking2[[#This Row],[Score Based on Reported Factors]]-FME_Ranking2[[#This Row],[Check]]</f>
        <v>#REF!</v>
      </c>
      <c r="AR512" s="32"/>
    </row>
    <row r="513" spans="1:55" ht="12" customHeight="1" x14ac:dyDescent="0.25">
      <c r="A513" s="16" t="s">
        <v>248</v>
      </c>
      <c r="B513" s="16" t="str">
        <f>_xlfn.XLOOKUP(FME_Ranking2[[#This Row],[FME ID]],FME_Input[FME_ID],FME_Input[FME_NAME])</f>
        <v>2nd Street at Backbone Creek Low Water Crossing</v>
      </c>
      <c r="C513" s="16" t="str">
        <f>_xlfn.XLOOKUP(FME_Ranking2[[#This Row],[FME ID]],FME_Input[FME_ID],FME_Input[DESCR])</f>
        <v>This route regularly floods and is an emergency vehicle response route as well as a truck route.</v>
      </c>
      <c r="D513" s="46" t="str">
        <f>_xlfn.XLOOKUP(FME_Ranking2[[#This Row],[FME ID]],FME_Input[FME_ID],FME_Input[EMER_NEED])</f>
        <v>No</v>
      </c>
      <c r="E513" s="121">
        <f>IF(FME_Ranking_Option2!$D513="Yes",100,0)</f>
        <v>0</v>
      </c>
      <c r="F513" s="47" t="str">
        <f>_xlfn.XLOOKUP(FME_Ranking2[[#This Row],[FME ID]],FME_Input[FME_ID],FME_Input[FUND])</f>
        <v>No</v>
      </c>
      <c r="G513" s="48">
        <f>IF(FME_Ranking_Option2!$F513="Yes",1,0)</f>
        <v>0</v>
      </c>
      <c r="H513" s="46">
        <f>_xlfn.XLOOKUP(FME_Ranking2[[#This Row],[FME ID]],FME_Input[FME_ID],FME_Input[STRUCT_100])</f>
        <v>78</v>
      </c>
      <c r="I513" s="65" t="e">
        <f>FME_Ranking2[[#This Row],[Raw Data3]]*H$4</f>
        <v>#REF!</v>
      </c>
      <c r="J513" s="62">
        <f>((FME_Ranking_Option2!$H513)/($H$3))*100</f>
        <v>8.667928331790517E-3</v>
      </c>
      <c r="K513" s="49" t="e">
        <f>FME_Ranking2[[#This Row],[Norm Data3]]*H$4</f>
        <v>#REF!</v>
      </c>
      <c r="L513" s="50">
        <f>_xlfn.XLOOKUP(FME_Ranking2[[#This Row],[FME ID]],FME_Input[FME_ID],FME_Input[RES_STRUCT100])</f>
        <v>8</v>
      </c>
      <c r="M513" s="51" t="e">
        <f>FME_Ranking2[[#This Row],[Raw Data4]]*L$4</f>
        <v>#REF!</v>
      </c>
      <c r="N513" s="29">
        <f>((FME_Ranking_Option2!$L513)/($L$3))*100</f>
        <v>1.1960238188143517E-3</v>
      </c>
      <c r="O513" s="52" t="e">
        <f>FME_Ranking2[[#This Row],[Norm Data4]]*L$4</f>
        <v>#REF!</v>
      </c>
      <c r="P513" s="47">
        <f>_xlfn.XLOOKUP(FME_Ranking2[[#This Row],[FME ID]],FME_Input[FME_ID],FME_Input[POP100])</f>
        <v>717</v>
      </c>
      <c r="Q513" s="48" t="e">
        <f>FME_Ranking_Option2!$P513*P$4</f>
        <v>#REF!</v>
      </c>
      <c r="R513" s="48">
        <f>FME_Ranking_Option2!$P513/($P$3)</f>
        <v>2.6315422452450563E-4</v>
      </c>
      <c r="S513" s="48" t="e">
        <f>FME_Ranking_Option2!$R513*P$4</f>
        <v>#REF!</v>
      </c>
      <c r="T513" s="50">
        <f>_xlfn.XLOOKUP(FME_Ranking2[[#This Row],[FME ID]],FME_Input[FME_ID],FME_Input[CRITFAC100])</f>
        <v>0</v>
      </c>
      <c r="U513" s="48" t="e">
        <f>FME_Ranking_Option2!$T513*T$4</f>
        <v>#REF!</v>
      </c>
      <c r="V513" s="48">
        <f>FME_Ranking_Option2!$T513/($T$3)</f>
        <v>0</v>
      </c>
      <c r="W513" s="48" t="e">
        <f>FME_Ranking_Option2!$V513*T$4</f>
        <v>#REF!</v>
      </c>
      <c r="X513" s="50">
        <f>_xlfn.XLOOKUP(FME_Ranking2[[#This Row],[FME ID]],FME_Input[FME_ID],FME_Input[LWC])</f>
        <v>13</v>
      </c>
      <c r="Y513" s="48" t="e">
        <f>FME_Ranking_Option2!$X513*X$4</f>
        <v>#REF!</v>
      </c>
      <c r="Z513" s="48">
        <f>FME_Ranking_Option2!$X513/($X$3)</f>
        <v>1.1859149790184272E-3</v>
      </c>
      <c r="AA513" s="48" t="e">
        <f>FME_Ranking_Option2!$Z513*X$4</f>
        <v>#REF!</v>
      </c>
      <c r="AB513" s="50">
        <f>_xlfn.XLOOKUP(FME_Ranking2[[#This Row],[FME ID]],FME_Input[FME_ID],FME_Input[ROADCLS])</f>
        <v>0</v>
      </c>
      <c r="AC513" s="48" t="e">
        <f>FME_Ranking_Option2!$AB513*AB$4</f>
        <v>#REF!</v>
      </c>
      <c r="AD513" s="53">
        <f>_xlfn.XLOOKUP(FME_Ranking2[[#This Row],[FME ID]],FME_Input[FME_ID],FME_Input[ROAD_MILES100])</f>
        <v>1.8694180250167849</v>
      </c>
      <c r="AE513" s="54" t="e">
        <f>FME_Ranking_Option2!$AD513*AD$4</f>
        <v>#REF!</v>
      </c>
      <c r="AF513" s="55">
        <f>FME_Ranking_Option2!$AD513/($AD$3)</f>
        <v>4.222507380432603E-5</v>
      </c>
      <c r="AG513" s="55" t="e">
        <f>FME_Ranking_Option2!$AF513*AD$4</f>
        <v>#REF!</v>
      </c>
      <c r="AH513" s="53">
        <f>_xlfn.XLOOKUP(FME_Ranking2[[#This Row],[FME ID]],FME_Input[FME_ID],FME_Input[FARMACRE100])</f>
        <v>45.066783905029297</v>
      </c>
      <c r="AI513" s="54" t="e">
        <f>FME_Ranking_Option2!$AH513*AH$4</f>
        <v>#REF!</v>
      </c>
      <c r="AJ513" s="56">
        <f>FME_Ranking_Option2!$AH513/($AH$3)</f>
        <v>2.6168451558506835E-3</v>
      </c>
      <c r="AK513" s="57" t="e">
        <f>FME_Ranking_Option2!$AJ513*AH$4</f>
        <v>#REF!</v>
      </c>
      <c r="AL513"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13" s="45" t="e">
        <f>_xlfn.RANK.EQ(AL513,$AL$7:$AL$531)+COUNTIF(AL$7:AL513,AL513)-1</f>
        <v>#REF!</v>
      </c>
      <c r="AN513" s="57"/>
      <c r="AO513" s="45" t="e">
        <f>_xlfn.RANK.EQ(AN513,$AN$7:$AN$531)+COUNTIF(AN$7:AN513,AN513)-1</f>
        <v>#N/A</v>
      </c>
      <c r="AP51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13" s="32" t="e">
        <f>FME_Ranking2[[#This Row],[Score Based on Reported Factors]]-FME_Ranking2[[#This Row],[Check]]</f>
        <v>#REF!</v>
      </c>
      <c r="AR513" s="32"/>
      <c r="AT513" s="19"/>
      <c r="AU513" s="19"/>
      <c r="AV513" s="19"/>
      <c r="AW513" s="19"/>
      <c r="AX513" s="19"/>
      <c r="AY513" s="19"/>
      <c r="AZ513" s="19"/>
      <c r="BA513" s="19"/>
      <c r="BB513" s="19"/>
      <c r="BC513" s="19"/>
    </row>
    <row r="514" spans="1:55" ht="12" customHeight="1" x14ac:dyDescent="0.25">
      <c r="A514" s="17" t="s">
        <v>251</v>
      </c>
      <c r="B514" s="17" t="str">
        <f>_xlfn.XLOOKUP(FME_Ranking2[[#This Row],[FME ID]],FME_Input[FME_ID],FME_Input[FME_NAME])</f>
        <v xml:space="preserve">Ave L at Whitman Creek Low Water Crossing_x000D_
</v>
      </c>
      <c r="C514" s="17" t="str">
        <f>_xlfn.XLOOKUP(FME_Ranking2[[#This Row],[FME ID]],FME_Input[FME_ID],FME_Input[DESCR])</f>
        <v>This crossing is regularly closed due to flooding.</v>
      </c>
      <c r="D514" s="33" t="str">
        <f>_xlfn.XLOOKUP(FME_Ranking2[[#This Row],[FME ID]],FME_Input[FME_ID],FME_Input[EMER_NEED])</f>
        <v>No</v>
      </c>
      <c r="E514" s="120">
        <f>IF(FME_Ranking_Option2!$D514="Yes",100,0)</f>
        <v>0</v>
      </c>
      <c r="F514" s="34" t="str">
        <f>_xlfn.XLOOKUP(FME_Ranking2[[#This Row],[FME ID]],FME_Input[FME_ID],FME_Input[FUND])</f>
        <v>No</v>
      </c>
      <c r="G514" s="35">
        <f>IF(FME_Ranking_Option2!$F514="Yes",1,0)</f>
        <v>0</v>
      </c>
      <c r="H514" s="33">
        <f>_xlfn.XLOOKUP(FME_Ranking2[[#This Row],[FME ID]],FME_Input[FME_ID],FME_Input[STRUCT_100])</f>
        <v>86</v>
      </c>
      <c r="I514" s="64" t="e">
        <f>FME_Ranking2[[#This Row],[Raw Data3]]*H$4</f>
        <v>#REF!</v>
      </c>
      <c r="J514" s="63">
        <f>((FME_Ranking_Option2!$H514)/($H$3))*100</f>
        <v>9.5569466222305693E-3</v>
      </c>
      <c r="K514" s="36" t="e">
        <f>FME_Ranking2[[#This Row],[Norm Data3]]*H$4</f>
        <v>#REF!</v>
      </c>
      <c r="L514" s="37">
        <f>_xlfn.XLOOKUP(FME_Ranking2[[#This Row],[FME ID]],FME_Input[FME_ID],FME_Input[RES_STRUCT100])</f>
        <v>14</v>
      </c>
      <c r="M514" s="38" t="e">
        <f>FME_Ranking2[[#This Row],[Raw Data4]]*L$4</f>
        <v>#REF!</v>
      </c>
      <c r="N514" s="28">
        <f>((FME_Ranking_Option2!$L514)/($L$3))*100</f>
        <v>2.0930416829251152E-3</v>
      </c>
      <c r="O514" s="39" t="e">
        <f>FME_Ranking2[[#This Row],[Norm Data4]]*L$4</f>
        <v>#REF!</v>
      </c>
      <c r="P514" s="34">
        <f>_xlfn.XLOOKUP(FME_Ranking2[[#This Row],[FME ID]],FME_Input[FME_ID],FME_Input[POP100])</f>
        <v>724</v>
      </c>
      <c r="Q514" s="35" t="e">
        <f>FME_Ranking_Option2!$P514*P$4</f>
        <v>#REF!</v>
      </c>
      <c r="R514" s="35">
        <f>FME_Ranking_Option2!$P514/($P$3)</f>
        <v>2.6572337316003081E-4</v>
      </c>
      <c r="S514" s="35" t="e">
        <f>FME_Ranking_Option2!$R514*P$4</f>
        <v>#REF!</v>
      </c>
      <c r="T514" s="37">
        <f>_xlfn.XLOOKUP(FME_Ranking2[[#This Row],[FME ID]],FME_Input[FME_ID],FME_Input[CRITFAC100])</f>
        <v>0</v>
      </c>
      <c r="U514" s="35" t="e">
        <f>FME_Ranking_Option2!$T514*T$4</f>
        <v>#REF!</v>
      </c>
      <c r="V514" s="35">
        <f>FME_Ranking_Option2!$T514/($T$3)</f>
        <v>0</v>
      </c>
      <c r="W514" s="35" t="e">
        <f>FME_Ranking_Option2!$V514*T$4</f>
        <v>#REF!</v>
      </c>
      <c r="X514" s="37">
        <f>_xlfn.XLOOKUP(FME_Ranking2[[#This Row],[FME ID]],FME_Input[FME_ID],FME_Input[LWC])</f>
        <v>14</v>
      </c>
      <c r="Y514" s="35" t="e">
        <f>FME_Ranking_Option2!$X514*X$4</f>
        <v>#REF!</v>
      </c>
      <c r="Z514" s="35">
        <f>FME_Ranking_Option2!$X514/($X$3)</f>
        <v>1.277139208173691E-3</v>
      </c>
      <c r="AA514" s="35" t="e">
        <f>FME_Ranking_Option2!$Z514*X$4</f>
        <v>#REF!</v>
      </c>
      <c r="AB514" s="37">
        <f>_xlfn.XLOOKUP(FME_Ranking2[[#This Row],[FME ID]],FME_Input[FME_ID],FME_Input[ROADCLS])</f>
        <v>0</v>
      </c>
      <c r="AC514" s="35" t="e">
        <f>FME_Ranking_Option2!$AB514*AB$4</f>
        <v>#REF!</v>
      </c>
      <c r="AD514" s="40">
        <f>_xlfn.XLOOKUP(FME_Ranking2[[#This Row],[FME ID]],FME_Input[FME_ID],FME_Input[ROAD_MILES100])</f>
        <v>2.3940379619598389</v>
      </c>
      <c r="AE514" s="41" t="e">
        <f>FME_Ranking_Option2!$AD514*AD$4</f>
        <v>#REF!</v>
      </c>
      <c r="AF514" s="42">
        <f>FME_Ranking_Option2!$AD514/($AD$3)</f>
        <v>5.4074812739223921E-5</v>
      </c>
      <c r="AG514" s="42" t="e">
        <f>FME_Ranking_Option2!$AF514*AD$4</f>
        <v>#REF!</v>
      </c>
      <c r="AH514" s="40">
        <f>_xlfn.XLOOKUP(FME_Ranking2[[#This Row],[FME ID]],FME_Input[FME_ID],FME_Input[FARMACRE100])</f>
        <v>45.066783905029297</v>
      </c>
      <c r="AI514" s="43" t="e">
        <f>FME_Ranking_Option2!$AH514*AH$4</f>
        <v>#REF!</v>
      </c>
      <c r="AJ514" s="41">
        <f>FME_Ranking_Option2!$AH514/($AH$3)</f>
        <v>2.6168451558506835E-3</v>
      </c>
      <c r="AK514" s="44" t="e">
        <f>FME_Ranking_Option2!$AJ514*AH$4</f>
        <v>#REF!</v>
      </c>
      <c r="AL514"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14" s="58" t="e">
        <f>_xlfn.RANK.EQ(AL514,$AL$7:$AL$531)+COUNTIF(AL$7:AL514,AL514)-1</f>
        <v>#REF!</v>
      </c>
      <c r="AN514" s="44"/>
      <c r="AO514" s="58" t="e">
        <f>_xlfn.RANK.EQ(AN514,$AN$7:$AN$531)+COUNTIF(AN$7:AN514,AN514)-1</f>
        <v>#N/A</v>
      </c>
      <c r="AP51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14" s="32" t="e">
        <f>FME_Ranking2[[#This Row],[Score Based on Reported Factors]]-FME_Ranking2[[#This Row],[Check]]</f>
        <v>#REF!</v>
      </c>
      <c r="AR514" s="32"/>
    </row>
    <row r="515" spans="1:55" ht="12" customHeight="1" x14ac:dyDescent="0.25">
      <c r="A515" s="16" t="s">
        <v>253</v>
      </c>
      <c r="B515" s="16" t="str">
        <f>_xlfn.XLOOKUP(FME_Ranking2[[#This Row],[FME ID]],FME_Input[FME_ID],FME_Input[FME_NAME])</f>
        <v>Broadway at Backbone Creek Low Water Crossing</v>
      </c>
      <c r="C515" s="16" t="str">
        <f>_xlfn.XLOOKUP(FME_Ranking2[[#This Row],[FME ID]],FME_Input[FME_ID],FME_Input[DESCR])</f>
        <v>This crossing frequently floods and is right by Marble Falls Elementary.</v>
      </c>
      <c r="D515" s="46" t="str">
        <f>_xlfn.XLOOKUP(FME_Ranking2[[#This Row],[FME ID]],FME_Input[FME_ID],FME_Input[EMER_NEED])</f>
        <v>No</v>
      </c>
      <c r="E515" s="121">
        <f>IF(FME_Ranking_Option2!$D515="Yes",100,0)</f>
        <v>0</v>
      </c>
      <c r="F515" s="47" t="str">
        <f>_xlfn.XLOOKUP(FME_Ranking2[[#This Row],[FME ID]],FME_Input[FME_ID],FME_Input[FUND])</f>
        <v>No</v>
      </c>
      <c r="G515" s="48">
        <f>IF(FME_Ranking_Option2!$F515="Yes",1,0)</f>
        <v>0</v>
      </c>
      <c r="H515" s="46">
        <f>_xlfn.XLOOKUP(FME_Ranking2[[#This Row],[FME ID]],FME_Input[FME_ID],FME_Input[STRUCT_100])</f>
        <v>202</v>
      </c>
      <c r="I515" s="65" t="e">
        <f>FME_Ranking2[[#This Row],[Raw Data3]]*H$4</f>
        <v>#REF!</v>
      </c>
      <c r="J515" s="62">
        <f>((FME_Ranking_Option2!$H515)/($H$3))*100</f>
        <v>2.2447711833611338E-2</v>
      </c>
      <c r="K515" s="49" t="e">
        <f>FME_Ranking2[[#This Row],[Norm Data3]]*H$4</f>
        <v>#REF!</v>
      </c>
      <c r="L515" s="50">
        <f>_xlfn.XLOOKUP(FME_Ranking2[[#This Row],[FME ID]],FME_Input[FME_ID],FME_Input[RES_STRUCT100])</f>
        <v>141</v>
      </c>
      <c r="M515" s="51" t="e">
        <f>FME_Ranking2[[#This Row],[Raw Data4]]*L$4</f>
        <v>#REF!</v>
      </c>
      <c r="N515" s="29">
        <f>((FME_Ranking_Option2!$L515)/($L$3))*100</f>
        <v>2.107991980660295E-2</v>
      </c>
      <c r="O515" s="52" t="e">
        <f>FME_Ranking2[[#This Row],[Norm Data4]]*L$4</f>
        <v>#REF!</v>
      </c>
      <c r="P515" s="47">
        <f>_xlfn.XLOOKUP(FME_Ranking2[[#This Row],[FME ID]],FME_Input[FME_ID],FME_Input[POP100])</f>
        <v>966</v>
      </c>
      <c r="Q515" s="48" t="e">
        <f>FME_Ranking_Option2!$P515*P$4</f>
        <v>#REF!</v>
      </c>
      <c r="R515" s="48">
        <f>FME_Ranking_Option2!$P515/($P$3)</f>
        <v>3.5454251170247202E-4</v>
      </c>
      <c r="S515" s="48" t="e">
        <f>FME_Ranking_Option2!$R515*P$4</f>
        <v>#REF!</v>
      </c>
      <c r="T515" s="50">
        <f>_xlfn.XLOOKUP(FME_Ranking2[[#This Row],[FME ID]],FME_Input[FME_ID],FME_Input[CRITFAC100])</f>
        <v>1</v>
      </c>
      <c r="U515" s="48" t="e">
        <f>FME_Ranking_Option2!$T515*T$4</f>
        <v>#REF!</v>
      </c>
      <c r="V515" s="48">
        <f>FME_Ranking_Option2!$T515/($T$3)</f>
        <v>1.4102383302778171E-4</v>
      </c>
      <c r="W515" s="48" t="e">
        <f>FME_Ranking_Option2!$V515*T$4</f>
        <v>#REF!</v>
      </c>
      <c r="X515" s="50">
        <f>_xlfn.XLOOKUP(FME_Ranking2[[#This Row],[FME ID]],FME_Input[FME_ID],FME_Input[LWC])</f>
        <v>6</v>
      </c>
      <c r="Y515" s="48" t="e">
        <f>FME_Ranking_Option2!$X515*X$4</f>
        <v>#REF!</v>
      </c>
      <c r="Z515" s="48">
        <f>FME_Ranking_Option2!$X515/($X$3)</f>
        <v>5.4734537493158185E-4</v>
      </c>
      <c r="AA515" s="48" t="e">
        <f>FME_Ranking_Option2!$Z515*X$4</f>
        <v>#REF!</v>
      </c>
      <c r="AB515" s="50">
        <f>_xlfn.XLOOKUP(FME_Ranking2[[#This Row],[FME ID]],FME_Input[FME_ID],FME_Input[ROADCLS])</f>
        <v>0</v>
      </c>
      <c r="AC515" s="48" t="e">
        <f>FME_Ranking_Option2!$AB515*AB$4</f>
        <v>#REF!</v>
      </c>
      <c r="AD515" s="53">
        <f>_xlfn.XLOOKUP(FME_Ranking2[[#This Row],[FME ID]],FME_Input[FME_ID],FME_Input[ROAD_MILES100])</f>
        <v>4.7701678276062012</v>
      </c>
      <c r="AE515" s="54" t="e">
        <f>FME_Ranking_Option2!$AD515*AD$4</f>
        <v>#REF!</v>
      </c>
      <c r="AF515" s="55">
        <f>FME_Ranking_Option2!$AD515/($AD$3)</f>
        <v>1.0774513024067205E-4</v>
      </c>
      <c r="AG515" s="55" t="e">
        <f>FME_Ranking_Option2!$AF515*AD$4</f>
        <v>#REF!</v>
      </c>
      <c r="AH515" s="53">
        <f>_xlfn.XLOOKUP(FME_Ranking2[[#This Row],[FME ID]],FME_Input[FME_ID],FME_Input[FARMACRE100])</f>
        <v>1749.266723632812</v>
      </c>
      <c r="AI515" s="54" t="e">
        <f>FME_Ranking_Option2!$AH515*AH$4</f>
        <v>#REF!</v>
      </c>
      <c r="AJ515" s="56">
        <f>FME_Ranking_Option2!$AH515/($AH$3)</f>
        <v>0.10157281606062155</v>
      </c>
      <c r="AK515" s="57" t="e">
        <f>FME_Ranking_Option2!$AJ515*AH$4</f>
        <v>#REF!</v>
      </c>
      <c r="AL515"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15" s="45" t="e">
        <f>_xlfn.RANK.EQ(AL515,$AL$7:$AL$531)+COUNTIF(AL$7:AL515,AL515)-1</f>
        <v>#REF!</v>
      </c>
      <c r="AN515" s="57"/>
      <c r="AO515" s="45" t="e">
        <f>_xlfn.RANK.EQ(AN515,$AN$7:$AN$531)+COUNTIF(AN$7:AN515,AN515)-1</f>
        <v>#N/A</v>
      </c>
      <c r="AP51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15" s="32" t="e">
        <f>FME_Ranking2[[#This Row],[Score Based on Reported Factors]]-FME_Ranking2[[#This Row],[Check]]</f>
        <v>#REF!</v>
      </c>
      <c r="AR515" s="32"/>
      <c r="AT515" s="19"/>
      <c r="AU515" s="19"/>
      <c r="AV515" s="19"/>
      <c r="AW515" s="19"/>
      <c r="AX515" s="19"/>
      <c r="AY515" s="19"/>
      <c r="AZ515" s="19"/>
      <c r="BA515" s="19"/>
      <c r="BB515" s="19"/>
      <c r="BC515" s="19"/>
    </row>
    <row r="516" spans="1:55" ht="12" customHeight="1" x14ac:dyDescent="0.25">
      <c r="A516" s="17" t="s">
        <v>462</v>
      </c>
      <c r="B516" s="17" t="str">
        <f>_xlfn.XLOOKUP(FME_Ranking2[[#This Row],[FME ID]],FME_Input[FME_ID],FME_Input[FME_NAME])</f>
        <v>102 Beach Dr Low Water Crossing</v>
      </c>
      <c r="C516" s="17" t="str">
        <f>_xlfn.XLOOKUP(FME_Ranking2[[#This Row],[FME ID]],FME_Input[FME_ID],FME_Input[DESCR])</f>
        <v xml:space="preserve">Flood-prone problem low water crossing in need of flood study and solution, identified on sponsor outreach call. </v>
      </c>
      <c r="D516" s="33" t="str">
        <f>_xlfn.XLOOKUP(FME_Ranking2[[#This Row],[FME ID]],FME_Input[FME_ID],FME_Input[EMER_NEED])</f>
        <v>No</v>
      </c>
      <c r="E516" s="120">
        <f>IF(FME_Ranking_Option2!$D516="Yes",100,0)</f>
        <v>0</v>
      </c>
      <c r="F516" s="34" t="str">
        <f>_xlfn.XLOOKUP(FME_Ranking2[[#This Row],[FME ID]],FME_Input[FME_ID],FME_Input[FUND])</f>
        <v>No</v>
      </c>
      <c r="G516" s="35">
        <f>IF(FME_Ranking_Option2!$F516="Yes",1,0)</f>
        <v>0</v>
      </c>
      <c r="H516" s="33">
        <f>_xlfn.XLOOKUP(FME_Ranking2[[#This Row],[FME ID]],FME_Input[FME_ID],FME_Input[STRUCT_100])</f>
        <v>0</v>
      </c>
      <c r="I516" s="64" t="e">
        <f>FME_Ranking2[[#This Row],[Raw Data3]]*H$4</f>
        <v>#REF!</v>
      </c>
      <c r="J516" s="63">
        <f>((FME_Ranking_Option2!$H516)/($H$3))*100</f>
        <v>0</v>
      </c>
      <c r="K516" s="36" t="e">
        <f>FME_Ranking2[[#This Row],[Norm Data3]]*H$4</f>
        <v>#REF!</v>
      </c>
      <c r="L516" s="37">
        <f>_xlfn.XLOOKUP(FME_Ranking2[[#This Row],[FME ID]],FME_Input[FME_ID],FME_Input[RES_STRUCT100])</f>
        <v>0</v>
      </c>
      <c r="M516" s="38" t="e">
        <f>FME_Ranking2[[#This Row],[Raw Data4]]*L$4</f>
        <v>#REF!</v>
      </c>
      <c r="N516" s="28">
        <f>((FME_Ranking_Option2!$L516)/($L$3))*100</f>
        <v>0</v>
      </c>
      <c r="O516" s="39" t="e">
        <f>FME_Ranking2[[#This Row],[Norm Data4]]*L$4</f>
        <v>#REF!</v>
      </c>
      <c r="P516" s="34">
        <f>_xlfn.XLOOKUP(FME_Ranking2[[#This Row],[FME ID]],FME_Input[FME_ID],FME_Input[POP100])</f>
        <v>0</v>
      </c>
      <c r="Q516" s="35" t="e">
        <f>FME_Ranking_Option2!$P516*P$4</f>
        <v>#REF!</v>
      </c>
      <c r="R516" s="35">
        <f>FME_Ranking_Option2!$P516/($P$3)</f>
        <v>0</v>
      </c>
      <c r="S516" s="35" t="e">
        <f>FME_Ranking_Option2!$R516*P$4</f>
        <v>#REF!</v>
      </c>
      <c r="T516" s="37">
        <f>_xlfn.XLOOKUP(FME_Ranking2[[#This Row],[FME ID]],FME_Input[FME_ID],FME_Input[CRITFAC100])</f>
        <v>0</v>
      </c>
      <c r="U516" s="35" t="e">
        <f>FME_Ranking_Option2!$T516*T$4</f>
        <v>#REF!</v>
      </c>
      <c r="V516" s="35">
        <f>FME_Ranking_Option2!$T516/($T$3)</f>
        <v>0</v>
      </c>
      <c r="W516" s="35" t="e">
        <f>FME_Ranking_Option2!$V516*T$4</f>
        <v>#REF!</v>
      </c>
      <c r="X516" s="37">
        <f>_xlfn.XLOOKUP(FME_Ranking2[[#This Row],[FME ID]],FME_Input[FME_ID],FME_Input[LWC])</f>
        <v>0</v>
      </c>
      <c r="Y516" s="35" t="e">
        <f>FME_Ranking_Option2!$X516*X$4</f>
        <v>#REF!</v>
      </c>
      <c r="Z516" s="35">
        <f>FME_Ranking_Option2!$X516/($X$3)</f>
        <v>0</v>
      </c>
      <c r="AA516" s="35" t="e">
        <f>FME_Ranking_Option2!$Z516*X$4</f>
        <v>#REF!</v>
      </c>
      <c r="AB516" s="37">
        <f>_xlfn.XLOOKUP(FME_Ranking2[[#This Row],[FME ID]],FME_Input[FME_ID],FME_Input[ROADCLS])</f>
        <v>0</v>
      </c>
      <c r="AC516" s="35" t="e">
        <f>FME_Ranking_Option2!$AB516*AB$4</f>
        <v>#REF!</v>
      </c>
      <c r="AD516" s="40">
        <f>_xlfn.XLOOKUP(FME_Ranking2[[#This Row],[FME ID]],FME_Input[FME_ID],FME_Input[ROAD_MILES100])</f>
        <v>0</v>
      </c>
      <c r="AE516" s="41" t="e">
        <f>FME_Ranking_Option2!$AD516*AD$4</f>
        <v>#REF!</v>
      </c>
      <c r="AF516" s="42">
        <f>FME_Ranking_Option2!$AD516/($AD$3)</f>
        <v>0</v>
      </c>
      <c r="AG516" s="42" t="e">
        <f>FME_Ranking_Option2!$AF516*AD$4</f>
        <v>#REF!</v>
      </c>
      <c r="AH516" s="40">
        <f>_xlfn.XLOOKUP(FME_Ranking2[[#This Row],[FME ID]],FME_Input[FME_ID],FME_Input[FARMACRE100])</f>
        <v>0</v>
      </c>
      <c r="AI516" s="43" t="e">
        <f>FME_Ranking_Option2!$AH516*AH$4</f>
        <v>#REF!</v>
      </c>
      <c r="AJ516" s="41">
        <f>FME_Ranking_Option2!$AH516/($AH$3)</f>
        <v>0</v>
      </c>
      <c r="AK516" s="44" t="e">
        <f>FME_Ranking_Option2!$AJ516*AH$4</f>
        <v>#REF!</v>
      </c>
      <c r="AL516"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16" s="58" t="e">
        <f>_xlfn.RANK.EQ(AL516,$AL$7:$AL$531)+COUNTIF(AL$7:AL516,AL516)-1</f>
        <v>#REF!</v>
      </c>
      <c r="AN516" s="44"/>
      <c r="AO516" s="58" t="e">
        <f>_xlfn.RANK.EQ(AN516,$AN$7:$AN$531)+COUNTIF(AN$7:AN516,AN516)-1</f>
        <v>#N/A</v>
      </c>
      <c r="AP51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16" s="32" t="e">
        <f>FME_Ranking2[[#This Row],[Score Based on Reported Factors]]-FME_Ranking2[[#This Row],[Check]]</f>
        <v>#REF!</v>
      </c>
      <c r="AR516" s="32"/>
    </row>
    <row r="517" spans="1:55" ht="12" customHeight="1" x14ac:dyDescent="0.25">
      <c r="A517" s="16" t="s">
        <v>465</v>
      </c>
      <c r="B517" s="16" t="str">
        <f>_xlfn.XLOOKUP(FME_Ranking2[[#This Row],[FME ID]],FME_Input[FME_ID],FME_Input[FME_NAME])</f>
        <v>124 Sunrise Drive Low Water Crossing</v>
      </c>
      <c r="C517" s="16" t="str">
        <f>_xlfn.XLOOKUP(FME_Ranking2[[#This Row],[FME ID]],FME_Input[FME_ID],FME_Input[DESCR])</f>
        <v xml:space="preserve">Flood-prone problem low water crossing in need of flood study and solution, identified on sponsor outreach call. </v>
      </c>
      <c r="D517" s="46" t="str">
        <f>_xlfn.XLOOKUP(FME_Ranking2[[#This Row],[FME ID]],FME_Input[FME_ID],FME_Input[EMER_NEED])</f>
        <v>No</v>
      </c>
      <c r="E517" s="121">
        <f>IF(FME_Ranking_Option2!$D517="Yes",100,0)</f>
        <v>0</v>
      </c>
      <c r="F517" s="47" t="str">
        <f>_xlfn.XLOOKUP(FME_Ranking2[[#This Row],[FME ID]],FME_Input[FME_ID],FME_Input[FUND])</f>
        <v>No</v>
      </c>
      <c r="G517" s="48">
        <f>IF(FME_Ranking_Option2!$F517="Yes",1,0)</f>
        <v>0</v>
      </c>
      <c r="H517" s="46">
        <f>_xlfn.XLOOKUP(FME_Ranking2[[#This Row],[FME ID]],FME_Input[FME_ID],FME_Input[STRUCT_100])</f>
        <v>0</v>
      </c>
      <c r="I517" s="65" t="e">
        <f>FME_Ranking2[[#This Row],[Raw Data3]]*H$4</f>
        <v>#REF!</v>
      </c>
      <c r="J517" s="62">
        <f>((FME_Ranking_Option2!$H517)/($H$3))*100</f>
        <v>0</v>
      </c>
      <c r="K517" s="49" t="e">
        <f>FME_Ranking2[[#This Row],[Norm Data3]]*H$4</f>
        <v>#REF!</v>
      </c>
      <c r="L517" s="50">
        <f>_xlfn.XLOOKUP(FME_Ranking2[[#This Row],[FME ID]],FME_Input[FME_ID],FME_Input[RES_STRUCT100])</f>
        <v>0</v>
      </c>
      <c r="M517" s="51" t="e">
        <f>FME_Ranking2[[#This Row],[Raw Data4]]*L$4</f>
        <v>#REF!</v>
      </c>
      <c r="N517" s="29">
        <f>((FME_Ranking_Option2!$L517)/($L$3))*100</f>
        <v>0</v>
      </c>
      <c r="O517" s="52" t="e">
        <f>FME_Ranking2[[#This Row],[Norm Data4]]*L$4</f>
        <v>#REF!</v>
      </c>
      <c r="P517" s="47">
        <f>_xlfn.XLOOKUP(FME_Ranking2[[#This Row],[FME ID]],FME_Input[FME_ID],FME_Input[POP100])</f>
        <v>0</v>
      </c>
      <c r="Q517" s="48" t="e">
        <f>FME_Ranking_Option2!$P517*P$4</f>
        <v>#REF!</v>
      </c>
      <c r="R517" s="48">
        <f>FME_Ranking_Option2!$P517/($P$3)</f>
        <v>0</v>
      </c>
      <c r="S517" s="48" t="e">
        <f>FME_Ranking_Option2!$R517*P$4</f>
        <v>#REF!</v>
      </c>
      <c r="T517" s="50">
        <f>_xlfn.XLOOKUP(FME_Ranking2[[#This Row],[FME ID]],FME_Input[FME_ID],FME_Input[CRITFAC100])</f>
        <v>0</v>
      </c>
      <c r="U517" s="48" t="e">
        <f>FME_Ranking_Option2!$T517*T$4</f>
        <v>#REF!</v>
      </c>
      <c r="V517" s="48">
        <f>FME_Ranking_Option2!$T517/($T$3)</f>
        <v>0</v>
      </c>
      <c r="W517" s="48" t="e">
        <f>FME_Ranking_Option2!$V517*T$4</f>
        <v>#REF!</v>
      </c>
      <c r="X517" s="50">
        <f>_xlfn.XLOOKUP(FME_Ranking2[[#This Row],[FME ID]],FME_Input[FME_ID],FME_Input[LWC])</f>
        <v>0</v>
      </c>
      <c r="Y517" s="48" t="e">
        <f>FME_Ranking_Option2!$X517*X$4</f>
        <v>#REF!</v>
      </c>
      <c r="Z517" s="48">
        <f>FME_Ranking_Option2!$X517/($X$3)</f>
        <v>0</v>
      </c>
      <c r="AA517" s="48" t="e">
        <f>FME_Ranking_Option2!$Z517*X$4</f>
        <v>#REF!</v>
      </c>
      <c r="AB517" s="50">
        <f>_xlfn.XLOOKUP(FME_Ranking2[[#This Row],[FME ID]],FME_Input[FME_ID],FME_Input[ROADCLS])</f>
        <v>0</v>
      </c>
      <c r="AC517" s="48" t="e">
        <f>FME_Ranking_Option2!$AB517*AB$4</f>
        <v>#REF!</v>
      </c>
      <c r="AD517" s="53">
        <f>_xlfn.XLOOKUP(FME_Ranking2[[#This Row],[FME ID]],FME_Input[FME_ID],FME_Input[ROAD_MILES100])</f>
        <v>0</v>
      </c>
      <c r="AE517" s="54" t="e">
        <f>FME_Ranking_Option2!$AD517*AD$4</f>
        <v>#REF!</v>
      </c>
      <c r="AF517" s="55">
        <f>FME_Ranking_Option2!$AD517/($AD$3)</f>
        <v>0</v>
      </c>
      <c r="AG517" s="55" t="e">
        <f>FME_Ranking_Option2!$AF517*AD$4</f>
        <v>#REF!</v>
      </c>
      <c r="AH517" s="53">
        <f>_xlfn.XLOOKUP(FME_Ranking2[[#This Row],[FME ID]],FME_Input[FME_ID],FME_Input[FARMACRE100])</f>
        <v>0</v>
      </c>
      <c r="AI517" s="54" t="e">
        <f>FME_Ranking_Option2!$AH517*AH$4</f>
        <v>#REF!</v>
      </c>
      <c r="AJ517" s="56">
        <f>FME_Ranking_Option2!$AH517/($AH$3)</f>
        <v>0</v>
      </c>
      <c r="AK517" s="57" t="e">
        <f>FME_Ranking_Option2!$AJ517*AH$4</f>
        <v>#REF!</v>
      </c>
      <c r="AL517"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17" s="45" t="e">
        <f>_xlfn.RANK.EQ(AL517,$AL$7:$AL$531)+COUNTIF(AL$7:AL517,AL517)-1</f>
        <v>#REF!</v>
      </c>
      <c r="AN517" s="57"/>
      <c r="AO517" s="45" t="e">
        <f>_xlfn.RANK.EQ(AN517,$AN$7:$AN$531)+COUNTIF(AN$7:AN517,AN517)-1</f>
        <v>#N/A</v>
      </c>
      <c r="AP51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17" s="32" t="e">
        <f>FME_Ranking2[[#This Row],[Score Based on Reported Factors]]-FME_Ranking2[[#This Row],[Check]]</f>
        <v>#REF!</v>
      </c>
      <c r="AR517" s="32"/>
      <c r="AT517" s="19"/>
      <c r="AU517" s="19"/>
      <c r="AV517" s="19"/>
      <c r="AW517" s="19"/>
      <c r="AX517" s="19"/>
      <c r="AY517" s="19"/>
      <c r="AZ517" s="19"/>
      <c r="BA517" s="19"/>
      <c r="BB517" s="19"/>
      <c r="BC517" s="19"/>
    </row>
    <row r="518" spans="1:55" ht="12" customHeight="1" x14ac:dyDescent="0.25">
      <c r="A518" s="17" t="s">
        <v>339</v>
      </c>
      <c r="B518" s="17" t="str">
        <f>_xlfn.XLOOKUP(FME_Ranking2[[#This Row],[FME ID]],FME_Input[FME_ID],FME_Input[FME_NAME])</f>
        <v>Countywide Floodplain Map Update</v>
      </c>
      <c r="C518" s="17" t="str">
        <f>_xlfn.XLOOKUP(FME_Ranking2[[#This Row],[FME ID]],FME_Input[FME_ID],FME_Input[DESCR])</f>
        <v>Update floodplain maps with Atlas 14 data and provided detailed study</v>
      </c>
      <c r="D518" s="33" t="str">
        <f>_xlfn.XLOOKUP(FME_Ranking2[[#This Row],[FME ID]],FME_Input[FME_ID],FME_Input[EMER_NEED])</f>
        <v>No</v>
      </c>
      <c r="E518" s="120">
        <f>IF(FME_Ranking_Option2!$D518="Yes",100,0)</f>
        <v>0</v>
      </c>
      <c r="F518" s="34" t="str">
        <f>_xlfn.XLOOKUP(FME_Ranking2[[#This Row],[FME ID]],FME_Input[FME_ID],FME_Input[FUND])</f>
        <v>No</v>
      </c>
      <c r="G518" s="35">
        <f>IF(FME_Ranking_Option2!$F518="Yes",1,0)</f>
        <v>0</v>
      </c>
      <c r="H518" s="33">
        <f>_xlfn.XLOOKUP(FME_Ranking2[[#This Row],[FME ID]],FME_Input[FME_ID],FME_Input[STRUCT_100])</f>
        <v>863</v>
      </c>
      <c r="I518" s="64" t="e">
        <f>FME_Ranking2[[#This Row],[Raw Data3]]*H$4</f>
        <v>#REF!</v>
      </c>
      <c r="J518" s="63">
        <f>((FME_Ranking_Option2!$H518)/($H$3))*100</f>
        <v>9.590284808122071E-2</v>
      </c>
      <c r="K518" s="36" t="e">
        <f>FME_Ranking2[[#This Row],[Norm Data3]]*H$4</f>
        <v>#REF!</v>
      </c>
      <c r="L518" s="37">
        <f>_xlfn.XLOOKUP(FME_Ranking2[[#This Row],[FME ID]],FME_Input[FME_ID],FME_Input[RES_STRUCT100])</f>
        <v>308</v>
      </c>
      <c r="M518" s="38" t="e">
        <f>FME_Ranking2[[#This Row],[Raw Data4]]*L$4</f>
        <v>#REF!</v>
      </c>
      <c r="N518" s="28">
        <f>((FME_Ranking_Option2!$L518)/($L$3))*100</f>
        <v>4.6046917024352541E-2</v>
      </c>
      <c r="O518" s="39" t="e">
        <f>FME_Ranking2[[#This Row],[Norm Data4]]*L$4</f>
        <v>#REF!</v>
      </c>
      <c r="P518" s="34">
        <f>_xlfn.XLOOKUP(FME_Ranking2[[#This Row],[FME ID]],FME_Input[FME_ID],FME_Input[POP100])</f>
        <v>885</v>
      </c>
      <c r="Q518" s="35" t="e">
        <f>FME_Ranking_Option2!$P518*P$4</f>
        <v>#REF!</v>
      </c>
      <c r="R518" s="35">
        <f>FME_Ranking_Option2!$P518/($P$3)</f>
        <v>3.2481379177710945E-4</v>
      </c>
      <c r="S518" s="35" t="e">
        <f>FME_Ranking_Option2!$R518*P$4</f>
        <v>#REF!</v>
      </c>
      <c r="T518" s="37">
        <f>_xlfn.XLOOKUP(FME_Ranking2[[#This Row],[FME ID]],FME_Input[FME_ID],FME_Input[CRITFAC100])</f>
        <v>3</v>
      </c>
      <c r="U518" s="35" t="e">
        <f>FME_Ranking_Option2!$T518*T$4</f>
        <v>#REF!</v>
      </c>
      <c r="V518" s="35">
        <f>FME_Ranking_Option2!$T518/($T$3)</f>
        <v>4.2307149908334509E-4</v>
      </c>
      <c r="W518" s="35" t="e">
        <f>FME_Ranking_Option2!$V518*T$4</f>
        <v>#REF!</v>
      </c>
      <c r="X518" s="37">
        <f>_xlfn.XLOOKUP(FME_Ranking2[[#This Row],[FME ID]],FME_Input[FME_ID],FME_Input[LWC])</f>
        <v>115</v>
      </c>
      <c r="Y518" s="35" t="e">
        <f>FME_Ranking_Option2!$X518*X$4</f>
        <v>#REF!</v>
      </c>
      <c r="Z518" s="35">
        <f>FME_Ranking_Option2!$X518/($X$3)</f>
        <v>1.0490786352855318E-2</v>
      </c>
      <c r="AA518" s="35" t="e">
        <f>FME_Ranking_Option2!$Z518*X$4</f>
        <v>#REF!</v>
      </c>
      <c r="AB518" s="37">
        <f>_xlfn.XLOOKUP(FME_Ranking2[[#This Row],[FME ID]],FME_Input[FME_ID],FME_Input[ROADCLS])</f>
        <v>0</v>
      </c>
      <c r="AC518" s="35" t="e">
        <f>FME_Ranking_Option2!$AB518*AB$4</f>
        <v>#REF!</v>
      </c>
      <c r="AD518" s="40">
        <f>_xlfn.XLOOKUP(FME_Ranking2[[#This Row],[FME ID]],FME_Input[FME_ID],FME_Input[ROAD_MILES100])</f>
        <v>9.930821418762207</v>
      </c>
      <c r="AE518" s="41" t="e">
        <f>FME_Ranking_Option2!$AD518*AD$4</f>
        <v>#REF!</v>
      </c>
      <c r="AF518" s="42">
        <f>FME_Ranking_Option2!$AD518/($AD$3)</f>
        <v>2.2431027289418102E-4</v>
      </c>
      <c r="AG518" s="42" t="e">
        <f>FME_Ranking_Option2!$AF518*AD$4</f>
        <v>#REF!</v>
      </c>
      <c r="AH518" s="40">
        <f>_xlfn.XLOOKUP(FME_Ranking2[[#This Row],[FME ID]],FME_Input[FME_ID],FME_Input[FARMACRE100])</f>
        <v>71866.5703125</v>
      </c>
      <c r="AI518" s="43" t="e">
        <f>FME_Ranking_Option2!$AH518*AH$4</f>
        <v>#REF!</v>
      </c>
      <c r="AJ518" s="41">
        <f>FME_Ranking_Option2!$AH518/($AH$3)</f>
        <v>4.1729999368532908</v>
      </c>
      <c r="AK518" s="44" t="e">
        <f>FME_Ranking_Option2!$AJ518*AH$4</f>
        <v>#REF!</v>
      </c>
      <c r="AL518"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18" s="58" t="e">
        <f>_xlfn.RANK.EQ(AL518,$AL$7:$AL$531)+COUNTIF(AL$7:AL518,AL518)-1</f>
        <v>#REF!</v>
      </c>
      <c r="AN518" s="44"/>
      <c r="AO518" s="58" t="e">
        <f>_xlfn.RANK.EQ(AN518,$AN$7:$AN$531)+COUNTIF(AN$7:AN518,AN518)-1</f>
        <v>#N/A</v>
      </c>
      <c r="AP51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18" s="32" t="e">
        <f>FME_Ranking2[[#This Row],[Score Based on Reported Factors]]-FME_Ranking2[[#This Row],[Check]]</f>
        <v>#REF!</v>
      </c>
      <c r="AR518" s="32"/>
    </row>
    <row r="519" spans="1:55" ht="12" customHeight="1" x14ac:dyDescent="0.25">
      <c r="A519" s="16" t="s">
        <v>344</v>
      </c>
      <c r="B519" s="16" t="str">
        <f>_xlfn.XLOOKUP(FME_Ranking2[[#This Row],[FME ID]],FME_Input[FME_ID],FME_Input[FME_NAME])</f>
        <v xml:space="preserve">Low Water Crossings at 4 locations_x000D_
</v>
      </c>
      <c r="C519" s="16" t="str">
        <f>_xlfn.XLOOKUP(FME_Ranking2[[#This Row],[FME ID]],FME_Input[FME_ID],FME_Input[DESCR])</f>
        <v>Low water crossings turned into bridges in these areas</v>
      </c>
      <c r="D519" s="46" t="str">
        <f>_xlfn.XLOOKUP(FME_Ranking2[[#This Row],[FME ID]],FME_Input[FME_ID],FME_Input[EMER_NEED])</f>
        <v>No</v>
      </c>
      <c r="E519" s="121">
        <f>IF(FME_Ranking_Option2!$D519="Yes",100,0)</f>
        <v>0</v>
      </c>
      <c r="F519" s="47" t="str">
        <f>_xlfn.XLOOKUP(FME_Ranking2[[#This Row],[FME ID]],FME_Input[FME_ID],FME_Input[FUND])</f>
        <v>No</v>
      </c>
      <c r="G519" s="48">
        <f>IF(FME_Ranking_Option2!$F519="Yes",1,0)</f>
        <v>0</v>
      </c>
      <c r="H519" s="46">
        <f>_xlfn.XLOOKUP(FME_Ranking2[[#This Row],[FME ID]],FME_Input[FME_ID],FME_Input[STRUCT_100])</f>
        <v>863</v>
      </c>
      <c r="I519" s="65" t="e">
        <f>FME_Ranking2[[#This Row],[Raw Data3]]*H$4</f>
        <v>#REF!</v>
      </c>
      <c r="J519" s="62">
        <f>((FME_Ranking_Option2!$H519)/($H$3))*100</f>
        <v>9.590284808122071E-2</v>
      </c>
      <c r="K519" s="49" t="e">
        <f>FME_Ranking2[[#This Row],[Norm Data3]]*H$4</f>
        <v>#REF!</v>
      </c>
      <c r="L519" s="50">
        <f>_xlfn.XLOOKUP(FME_Ranking2[[#This Row],[FME ID]],FME_Input[FME_ID],FME_Input[RES_STRUCT100])</f>
        <v>308</v>
      </c>
      <c r="M519" s="51" t="e">
        <f>FME_Ranking2[[#This Row],[Raw Data4]]*L$4</f>
        <v>#REF!</v>
      </c>
      <c r="N519" s="29">
        <f>((FME_Ranking_Option2!$L519)/($L$3))*100</f>
        <v>4.6046917024352541E-2</v>
      </c>
      <c r="O519" s="52" t="e">
        <f>FME_Ranking2[[#This Row],[Norm Data4]]*L$4</f>
        <v>#REF!</v>
      </c>
      <c r="P519" s="47">
        <f>_xlfn.XLOOKUP(FME_Ranking2[[#This Row],[FME ID]],FME_Input[FME_ID],FME_Input[POP100])</f>
        <v>885</v>
      </c>
      <c r="Q519" s="48" t="e">
        <f>FME_Ranking_Option2!$P519*P$4</f>
        <v>#REF!</v>
      </c>
      <c r="R519" s="48">
        <f>FME_Ranking_Option2!$P519/($P$3)</f>
        <v>3.2481379177710945E-4</v>
      </c>
      <c r="S519" s="48" t="e">
        <f>FME_Ranking_Option2!$R519*P$4</f>
        <v>#REF!</v>
      </c>
      <c r="T519" s="50">
        <f>_xlfn.XLOOKUP(FME_Ranking2[[#This Row],[FME ID]],FME_Input[FME_ID],FME_Input[CRITFAC100])</f>
        <v>3</v>
      </c>
      <c r="U519" s="48" t="e">
        <f>FME_Ranking_Option2!$T519*T$4</f>
        <v>#REF!</v>
      </c>
      <c r="V519" s="48">
        <f>FME_Ranking_Option2!$T519/($T$3)</f>
        <v>4.2307149908334509E-4</v>
      </c>
      <c r="W519" s="48" t="e">
        <f>FME_Ranking_Option2!$V519*T$4</f>
        <v>#REF!</v>
      </c>
      <c r="X519" s="50">
        <f>_xlfn.XLOOKUP(FME_Ranking2[[#This Row],[FME ID]],FME_Input[FME_ID],FME_Input[LWC])</f>
        <v>115</v>
      </c>
      <c r="Y519" s="48" t="e">
        <f>FME_Ranking_Option2!$X519*X$4</f>
        <v>#REF!</v>
      </c>
      <c r="Z519" s="48">
        <f>FME_Ranking_Option2!$X519/($X$3)</f>
        <v>1.0490786352855318E-2</v>
      </c>
      <c r="AA519" s="48" t="e">
        <f>FME_Ranking_Option2!$Z519*X$4</f>
        <v>#REF!</v>
      </c>
      <c r="AB519" s="50">
        <f>_xlfn.XLOOKUP(FME_Ranking2[[#This Row],[FME ID]],FME_Input[FME_ID],FME_Input[ROADCLS])</f>
        <v>0</v>
      </c>
      <c r="AC519" s="48" t="e">
        <f>FME_Ranking_Option2!$AB519*AB$4</f>
        <v>#REF!</v>
      </c>
      <c r="AD519" s="53">
        <f>_xlfn.XLOOKUP(FME_Ranking2[[#This Row],[FME ID]],FME_Input[FME_ID],FME_Input[ROAD_MILES100])</f>
        <v>9.930821418762207</v>
      </c>
      <c r="AE519" s="54" t="e">
        <f>FME_Ranking_Option2!$AD519*AD$4</f>
        <v>#REF!</v>
      </c>
      <c r="AF519" s="55">
        <f>FME_Ranking_Option2!$AD519/($AD$3)</f>
        <v>2.2431027289418102E-4</v>
      </c>
      <c r="AG519" s="55" t="e">
        <f>FME_Ranking_Option2!$AF519*AD$4</f>
        <v>#REF!</v>
      </c>
      <c r="AH519" s="53">
        <f>_xlfn.XLOOKUP(FME_Ranking2[[#This Row],[FME ID]],FME_Input[FME_ID],FME_Input[FARMACRE100])</f>
        <v>71866.5703125</v>
      </c>
      <c r="AI519" s="54" t="e">
        <f>FME_Ranking_Option2!$AH519*AH$4</f>
        <v>#REF!</v>
      </c>
      <c r="AJ519" s="56">
        <f>FME_Ranking_Option2!$AH519/($AH$3)</f>
        <v>4.1729999368532908</v>
      </c>
      <c r="AK519" s="57" t="e">
        <f>FME_Ranking_Option2!$AJ519*AH$4</f>
        <v>#REF!</v>
      </c>
      <c r="AL519"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19" s="45" t="e">
        <f>_xlfn.RANK.EQ(AL519,$AL$7:$AL$531)+COUNTIF(AL$7:AL519,AL519)-1</f>
        <v>#REF!</v>
      </c>
      <c r="AN519" s="57"/>
      <c r="AO519" s="45" t="e">
        <f>_xlfn.RANK.EQ(AN519,$AN$7:$AN$531)+COUNTIF(AN$7:AN519,AN519)-1</f>
        <v>#N/A</v>
      </c>
      <c r="AP51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19" s="32" t="e">
        <f>FME_Ranking2[[#This Row],[Score Based on Reported Factors]]-FME_Ranking2[[#This Row],[Check]]</f>
        <v>#REF!</v>
      </c>
      <c r="AR519" s="32"/>
      <c r="AT519" s="19"/>
      <c r="AU519" s="19"/>
      <c r="AV519" s="19"/>
      <c r="AW519" s="19"/>
      <c r="AX519" s="19"/>
      <c r="AY519" s="19"/>
      <c r="AZ519" s="19"/>
      <c r="BA519" s="19"/>
      <c r="BB519" s="19"/>
      <c r="BC519" s="19"/>
    </row>
    <row r="520" spans="1:55" ht="12" customHeight="1" x14ac:dyDescent="0.25">
      <c r="A520" s="17" t="s">
        <v>410</v>
      </c>
      <c r="B520" s="17" t="str">
        <f>_xlfn.XLOOKUP(FME_Ranking2[[#This Row],[FME ID]],FME_Input[FME_ID],FME_Input[FME_NAME])</f>
        <v>Various Streets - Install Flood Early Warning System</v>
      </c>
      <c r="C520" s="17" t="str">
        <f>_xlfn.XLOOKUP(FME_Ranking2[[#This Row],[FME ID]],FME_Input[FME_ID],FME_Input[DESCR])</f>
        <v>Detection warnings at low water crossings across the county</v>
      </c>
      <c r="D520" s="33" t="str">
        <f>_xlfn.XLOOKUP(FME_Ranking2[[#This Row],[FME ID]],FME_Input[FME_ID],FME_Input[EMER_NEED])</f>
        <v>No</v>
      </c>
      <c r="E520" s="120">
        <f>IF(FME_Ranking_Option2!$D520="Yes",100,0)</f>
        <v>0</v>
      </c>
      <c r="F520" s="34" t="str">
        <f>_xlfn.XLOOKUP(FME_Ranking2[[#This Row],[FME ID]],FME_Input[FME_ID],FME_Input[FUND])</f>
        <v>No</v>
      </c>
      <c r="G520" s="35">
        <f>IF(FME_Ranking_Option2!$F520="Yes",1,0)</f>
        <v>0</v>
      </c>
      <c r="H520" s="33">
        <f>_xlfn.XLOOKUP(FME_Ranking2[[#This Row],[FME ID]],FME_Input[FME_ID],FME_Input[STRUCT_100])</f>
        <v>1</v>
      </c>
      <c r="I520" s="64" t="e">
        <f>FME_Ranking2[[#This Row],[Raw Data3]]*H$4</f>
        <v>#REF!</v>
      </c>
      <c r="J520" s="63">
        <f>((FME_Ranking_Option2!$H520)/($H$3))*100</f>
        <v>1.1112728630500662E-4</v>
      </c>
      <c r="K520" s="36" t="e">
        <f>FME_Ranking2[[#This Row],[Norm Data3]]*H$4</f>
        <v>#REF!</v>
      </c>
      <c r="L520" s="37">
        <f>_xlfn.XLOOKUP(FME_Ranking2[[#This Row],[FME ID]],FME_Input[FME_ID],FME_Input[RES_STRUCT100])</f>
        <v>0</v>
      </c>
      <c r="M520" s="38" t="e">
        <f>FME_Ranking2[[#This Row],[Raw Data4]]*L$4</f>
        <v>#REF!</v>
      </c>
      <c r="N520" s="28">
        <f>((FME_Ranking_Option2!$L520)/($L$3))*100</f>
        <v>0</v>
      </c>
      <c r="O520" s="39" t="e">
        <f>FME_Ranking2[[#This Row],[Norm Data4]]*L$4</f>
        <v>#REF!</v>
      </c>
      <c r="P520" s="34">
        <f>_xlfn.XLOOKUP(FME_Ranking2[[#This Row],[FME ID]],FME_Input[FME_ID],FME_Input[POP100])</f>
        <v>0</v>
      </c>
      <c r="Q520" s="35" t="e">
        <f>FME_Ranking_Option2!$P520*P$4</f>
        <v>#REF!</v>
      </c>
      <c r="R520" s="35">
        <f>FME_Ranking_Option2!$P520/($P$3)</f>
        <v>0</v>
      </c>
      <c r="S520" s="35" t="e">
        <f>FME_Ranking_Option2!$R520*P$4</f>
        <v>#REF!</v>
      </c>
      <c r="T520" s="37">
        <f>_xlfn.XLOOKUP(FME_Ranking2[[#This Row],[FME ID]],FME_Input[FME_ID],FME_Input[CRITFAC100])</f>
        <v>0</v>
      </c>
      <c r="U520" s="35" t="e">
        <f>FME_Ranking_Option2!$T520*T$4</f>
        <v>#REF!</v>
      </c>
      <c r="V520" s="35">
        <f>FME_Ranking_Option2!$T520/($T$3)</f>
        <v>0</v>
      </c>
      <c r="W520" s="35" t="e">
        <f>FME_Ranking_Option2!$V520*T$4</f>
        <v>#REF!</v>
      </c>
      <c r="X520" s="37">
        <f>_xlfn.XLOOKUP(FME_Ranking2[[#This Row],[FME ID]],FME_Input[FME_ID],FME_Input[LWC])</f>
        <v>0</v>
      </c>
      <c r="Y520" s="35" t="e">
        <f>FME_Ranking_Option2!$X520*X$4</f>
        <v>#REF!</v>
      </c>
      <c r="Z520" s="35">
        <f>FME_Ranking_Option2!$X520/($X$3)</f>
        <v>0</v>
      </c>
      <c r="AA520" s="35" t="e">
        <f>FME_Ranking_Option2!$Z520*X$4</f>
        <v>#REF!</v>
      </c>
      <c r="AB520" s="37">
        <f>_xlfn.XLOOKUP(FME_Ranking2[[#This Row],[FME ID]],FME_Input[FME_ID],FME_Input[ROADCLS])</f>
        <v>0</v>
      </c>
      <c r="AC520" s="35" t="e">
        <f>FME_Ranking_Option2!$AB520*AB$4</f>
        <v>#REF!</v>
      </c>
      <c r="AD520" s="40">
        <f>_xlfn.XLOOKUP(FME_Ranking2[[#This Row],[FME ID]],FME_Input[FME_ID],FME_Input[ROAD_MILES100])</f>
        <v>0</v>
      </c>
      <c r="AE520" s="41" t="e">
        <f>FME_Ranking_Option2!$AD520*AD$4</f>
        <v>#REF!</v>
      </c>
      <c r="AF520" s="42">
        <f>FME_Ranking_Option2!$AD520/($AD$3)</f>
        <v>0</v>
      </c>
      <c r="AG520" s="42" t="e">
        <f>FME_Ranking_Option2!$AF520*AD$4</f>
        <v>#REF!</v>
      </c>
      <c r="AH520" s="40">
        <f>_xlfn.XLOOKUP(FME_Ranking2[[#This Row],[FME ID]],FME_Input[FME_ID],FME_Input[FARMACRE100])</f>
        <v>637.3353271484375</v>
      </c>
      <c r="AI520" s="43" t="e">
        <f>FME_Ranking_Option2!$AH520*AH$4</f>
        <v>#REF!</v>
      </c>
      <c r="AJ520" s="41">
        <f>FME_Ranking_Option2!$AH520/($AH$3)</f>
        <v>3.7007474662836493E-2</v>
      </c>
      <c r="AK520" s="44" t="e">
        <f>FME_Ranking_Option2!$AJ520*AH$4</f>
        <v>#REF!</v>
      </c>
      <c r="AL520"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20" s="58" t="e">
        <f>_xlfn.RANK.EQ(AL520,$AL$7:$AL$531)+COUNTIF(AL$7:AL520,AL520)-1</f>
        <v>#REF!</v>
      </c>
      <c r="AN520" s="44"/>
      <c r="AO520" s="58" t="e">
        <f>_xlfn.RANK.EQ(AN520,$AN$7:$AN$531)+COUNTIF(AN$7:AN520,AN520)-1</f>
        <v>#N/A</v>
      </c>
      <c r="AP52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20" s="32" t="e">
        <f>FME_Ranking2[[#This Row],[Score Based on Reported Factors]]-FME_Ranking2[[#This Row],[Check]]</f>
        <v>#REF!</v>
      </c>
      <c r="AR520" s="32"/>
    </row>
    <row r="521" spans="1:55" ht="12" customHeight="1" x14ac:dyDescent="0.25">
      <c r="A521" s="16" t="s">
        <v>487</v>
      </c>
      <c r="B521" s="16" t="str">
        <f>_xlfn.XLOOKUP(FME_Ranking2[[#This Row],[FME ID]],FME_Input[FME_ID],FME_Input[FME_NAME])</f>
        <v>Countywide Floodplain Map Update</v>
      </c>
      <c r="C521" s="16" t="str">
        <f>_xlfn.XLOOKUP(FME_Ranking2[[#This Row],[FME ID]],FME_Input[FME_ID],FME_Input[DESCR])</f>
        <v>Update floodplain maps with Atlas 14 data and provided detailed study</v>
      </c>
      <c r="D521" s="46" t="str">
        <f>_xlfn.XLOOKUP(FME_Ranking2[[#This Row],[FME ID]],FME_Input[FME_ID],FME_Input[EMER_NEED])</f>
        <v>No</v>
      </c>
      <c r="E521" s="121">
        <f>IF(FME_Ranking_Option2!$D521="Yes",100,0)</f>
        <v>0</v>
      </c>
      <c r="F521" s="47" t="str">
        <f>_xlfn.XLOOKUP(FME_Ranking2[[#This Row],[FME ID]],FME_Input[FME_ID],FME_Input[FUND])</f>
        <v>No</v>
      </c>
      <c r="G521" s="48">
        <f>IF(FME_Ranking_Option2!$F521="Yes",1,0)</f>
        <v>0</v>
      </c>
      <c r="H521" s="46">
        <f>_xlfn.XLOOKUP(FME_Ranking2[[#This Row],[FME ID]],FME_Input[FME_ID],FME_Input[STRUCT_100])</f>
        <v>896</v>
      </c>
      <c r="I521" s="65" t="e">
        <f>FME_Ranking2[[#This Row],[Raw Data3]]*H$4</f>
        <v>#REF!</v>
      </c>
      <c r="J521" s="62">
        <f>((FME_Ranking_Option2!$H521)/($H$3))*100</f>
        <v>9.9570048529285929E-2</v>
      </c>
      <c r="K521" s="49" t="e">
        <f>FME_Ranking2[[#This Row],[Norm Data3]]*H$4</f>
        <v>#REF!</v>
      </c>
      <c r="L521" s="50">
        <f>_xlfn.XLOOKUP(FME_Ranking2[[#This Row],[FME ID]],FME_Input[FME_ID],FME_Input[RES_STRUCT100])</f>
        <v>450</v>
      </c>
      <c r="M521" s="51" t="e">
        <f>FME_Ranking2[[#This Row],[Raw Data4]]*L$4</f>
        <v>#REF!</v>
      </c>
      <c r="N521" s="29">
        <f>((FME_Ranking_Option2!$L521)/($L$3))*100</f>
        <v>6.7276339808307287E-2</v>
      </c>
      <c r="O521" s="52" t="e">
        <f>FME_Ranking2[[#This Row],[Norm Data4]]*L$4</f>
        <v>#REF!</v>
      </c>
      <c r="P521" s="47">
        <f>_xlfn.XLOOKUP(FME_Ranking2[[#This Row],[FME ID]],FME_Input[FME_ID],FME_Input[POP100])</f>
        <v>1256</v>
      </c>
      <c r="Q521" s="48" t="e">
        <f>FME_Ranking_Option2!$P521*P$4</f>
        <v>#REF!</v>
      </c>
      <c r="R521" s="48">
        <f>FME_Ranking_Option2!$P521/($P$3)</f>
        <v>4.6097866945994296E-4</v>
      </c>
      <c r="S521" s="48" t="e">
        <f>FME_Ranking_Option2!$R521*P$4</f>
        <v>#REF!</v>
      </c>
      <c r="T521" s="50">
        <f>_xlfn.XLOOKUP(FME_Ranking2[[#This Row],[FME ID]],FME_Input[FME_ID],FME_Input[CRITFAC100])</f>
        <v>5</v>
      </c>
      <c r="U521" s="48" t="e">
        <f>FME_Ranking_Option2!$T521*T$4</f>
        <v>#REF!</v>
      </c>
      <c r="V521" s="48">
        <f>FME_Ranking_Option2!$T521/($T$3)</f>
        <v>7.0511916513890844E-4</v>
      </c>
      <c r="W521" s="48" t="e">
        <f>FME_Ranking_Option2!$V521*T$4</f>
        <v>#REF!</v>
      </c>
      <c r="X521" s="50">
        <f>_xlfn.XLOOKUP(FME_Ranking2[[#This Row],[FME ID]],FME_Input[FME_ID],FME_Input[LWC])</f>
        <v>31</v>
      </c>
      <c r="Y521" s="48" t="e">
        <f>FME_Ranking_Option2!$X521*X$4</f>
        <v>#REF!</v>
      </c>
      <c r="Z521" s="48">
        <f>FME_Ranking_Option2!$X521/($X$3)</f>
        <v>2.8279511038131729E-3</v>
      </c>
      <c r="AA521" s="48" t="e">
        <f>FME_Ranking_Option2!$Z521*X$4</f>
        <v>#REF!</v>
      </c>
      <c r="AB521" s="50">
        <f>_xlfn.XLOOKUP(FME_Ranking2[[#This Row],[FME ID]],FME_Input[FME_ID],FME_Input[ROADCLS])</f>
        <v>0</v>
      </c>
      <c r="AC521" s="48" t="e">
        <f>FME_Ranking_Option2!$AB521*AB$4</f>
        <v>#REF!</v>
      </c>
      <c r="AD521" s="53">
        <f>_xlfn.XLOOKUP(FME_Ranking2[[#This Row],[FME ID]],FME_Input[FME_ID],FME_Input[ROAD_MILES100])</f>
        <v>12.154731750488279</v>
      </c>
      <c r="AE521" s="54" t="e">
        <f>FME_Ranking_Option2!$AD521*AD$4</f>
        <v>#REF!</v>
      </c>
      <c r="AF521" s="55">
        <f>FME_Ranking_Option2!$AD521/($AD$3)</f>
        <v>2.7454236471885111E-4</v>
      </c>
      <c r="AG521" s="55" t="e">
        <f>FME_Ranking_Option2!$AF521*AD$4</f>
        <v>#REF!</v>
      </c>
      <c r="AH521" s="53">
        <f>_xlfn.XLOOKUP(FME_Ranking2[[#This Row],[FME ID]],FME_Input[FME_ID],FME_Input[FARMACRE100])</f>
        <v>93034.9765625</v>
      </c>
      <c r="AI521" s="54" t="e">
        <f>FME_Ranking_Option2!$AH521*AH$4</f>
        <v>#REF!</v>
      </c>
      <c r="AJ521" s="56">
        <f>FME_Ranking_Option2!$AH521/($AH$3)</f>
        <v>5.4021633373108502</v>
      </c>
      <c r="AK521" s="57" t="e">
        <f>FME_Ranking_Option2!$AJ521*AH$4</f>
        <v>#REF!</v>
      </c>
      <c r="AL521"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21" s="45" t="e">
        <f>_xlfn.RANK.EQ(AL521,$AL$7:$AL$531)+COUNTIF(AL$7:AL521,AL521)-1</f>
        <v>#REF!</v>
      </c>
      <c r="AN521" s="57"/>
      <c r="AO521" s="45" t="e">
        <f>_xlfn.RANK.EQ(AN521,$AN$7:$AN$531)+COUNTIF(AN$7:AN521,AN521)-1</f>
        <v>#N/A</v>
      </c>
      <c r="AP52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21" s="32" t="e">
        <f>FME_Ranking2[[#This Row],[Score Based on Reported Factors]]-FME_Ranking2[[#This Row],[Check]]</f>
        <v>#REF!</v>
      </c>
      <c r="AR521" s="32"/>
      <c r="AT521" s="19"/>
      <c r="AU521" s="19"/>
      <c r="AV521" s="19"/>
      <c r="AW521" s="19"/>
      <c r="AX521" s="19"/>
      <c r="AY521" s="19"/>
      <c r="AZ521" s="19"/>
      <c r="BA521" s="19"/>
      <c r="BB521" s="19"/>
      <c r="BC521" s="19"/>
    </row>
    <row r="522" spans="1:55" ht="12" customHeight="1" x14ac:dyDescent="0.25">
      <c r="A522" s="17" t="s">
        <v>491</v>
      </c>
      <c r="B522" s="17" t="str">
        <f>_xlfn.XLOOKUP(FME_Ranking2[[#This Row],[FME ID]],FME_Input[FME_ID],FME_Input[FME_NAME])</f>
        <v>Harris Hollow Neighborhood Flooding</v>
      </c>
      <c r="C522" s="17" t="str">
        <f>_xlfn.XLOOKUP(FME_Ranking2[[#This Row],[FME ID]],FME_Input[FME_ID],FME_Input[DESCR])</f>
        <v xml:space="preserve">Study area often flooded during large storm events. </v>
      </c>
      <c r="D522" s="33" t="str">
        <f>_xlfn.XLOOKUP(FME_Ranking2[[#This Row],[FME ID]],FME_Input[FME_ID],FME_Input[EMER_NEED])</f>
        <v>No</v>
      </c>
      <c r="E522" s="120">
        <f>IF(FME_Ranking_Option2!$D522="Yes",100,0)</f>
        <v>0</v>
      </c>
      <c r="F522" s="34" t="str">
        <f>_xlfn.XLOOKUP(FME_Ranking2[[#This Row],[FME ID]],FME_Input[FME_ID],FME_Input[FUND])</f>
        <v>No</v>
      </c>
      <c r="G522" s="35">
        <f>IF(FME_Ranking_Option2!$F522="Yes",1,0)</f>
        <v>0</v>
      </c>
      <c r="H522" s="33">
        <f>_xlfn.XLOOKUP(FME_Ranking2[[#This Row],[FME ID]],FME_Input[FME_ID],FME_Input[STRUCT_100])</f>
        <v>107</v>
      </c>
      <c r="I522" s="64" t="e">
        <f>FME_Ranking2[[#This Row],[Raw Data3]]*H$4</f>
        <v>#REF!</v>
      </c>
      <c r="J522" s="63">
        <f>((FME_Ranking_Option2!$H522)/($H$3))*100</f>
        <v>1.1890619634635708E-2</v>
      </c>
      <c r="K522" s="36" t="e">
        <f>FME_Ranking2[[#This Row],[Norm Data3]]*H$4</f>
        <v>#REF!</v>
      </c>
      <c r="L522" s="37">
        <f>_xlfn.XLOOKUP(FME_Ranking2[[#This Row],[FME ID]],FME_Input[FME_ID],FME_Input[RES_STRUCT100])</f>
        <v>97</v>
      </c>
      <c r="M522" s="38" t="e">
        <f>FME_Ranking2[[#This Row],[Raw Data4]]*L$4</f>
        <v>#REF!</v>
      </c>
      <c r="N522" s="28">
        <f>((FME_Ranking_Option2!$L522)/($L$3))*100</f>
        <v>1.4501788803124015E-2</v>
      </c>
      <c r="O522" s="39" t="e">
        <f>FME_Ranking2[[#This Row],[Norm Data4]]*L$4</f>
        <v>#REF!</v>
      </c>
      <c r="P522" s="34">
        <f>_xlfn.XLOOKUP(FME_Ranking2[[#This Row],[FME ID]],FME_Input[FME_ID],FME_Input[POP100])</f>
        <v>104</v>
      </c>
      <c r="Q522" s="35" t="e">
        <f>FME_Ranking_Option2!$P522*P$4</f>
        <v>#REF!</v>
      </c>
      <c r="R522" s="35">
        <f>FME_Ranking_Option2!$P522/($P$3)</f>
        <v>3.8170208299230941E-5</v>
      </c>
      <c r="S522" s="35" t="e">
        <f>FME_Ranking_Option2!$R522*P$4</f>
        <v>#REF!</v>
      </c>
      <c r="T522" s="37">
        <f>_xlfn.XLOOKUP(FME_Ranking2[[#This Row],[FME ID]],FME_Input[FME_ID],FME_Input[CRITFAC100])</f>
        <v>1</v>
      </c>
      <c r="U522" s="35" t="e">
        <f>FME_Ranking_Option2!$T522*T$4</f>
        <v>#REF!</v>
      </c>
      <c r="V522" s="35">
        <f>FME_Ranking_Option2!$T522/($T$3)</f>
        <v>1.4102383302778171E-4</v>
      </c>
      <c r="W522" s="35" t="e">
        <f>FME_Ranking_Option2!$V522*T$4</f>
        <v>#REF!</v>
      </c>
      <c r="X522" s="37">
        <f>_xlfn.XLOOKUP(FME_Ranking2[[#This Row],[FME ID]],FME_Input[FME_ID],FME_Input[LWC])</f>
        <v>10</v>
      </c>
      <c r="Y522" s="35" t="e">
        <f>FME_Ranking_Option2!$X522*X$4</f>
        <v>#REF!</v>
      </c>
      <c r="Z522" s="35">
        <f>FME_Ranking_Option2!$X522/($X$3)</f>
        <v>9.1224229155263637E-4</v>
      </c>
      <c r="AA522" s="35" t="e">
        <f>FME_Ranking_Option2!$Z522*X$4</f>
        <v>#REF!</v>
      </c>
      <c r="AB522" s="37">
        <f>_xlfn.XLOOKUP(FME_Ranking2[[#This Row],[FME ID]],FME_Input[FME_ID],FME_Input[ROADCLS])</f>
        <v>0</v>
      </c>
      <c r="AC522" s="35" t="e">
        <f>FME_Ranking_Option2!$AB522*AB$4</f>
        <v>#REF!</v>
      </c>
      <c r="AD522" s="40">
        <f>_xlfn.XLOOKUP(FME_Ranking2[[#This Row],[FME ID]],FME_Input[FME_ID],FME_Input[ROAD_MILES100])</f>
        <v>0</v>
      </c>
      <c r="AE522" s="41" t="e">
        <f>FME_Ranking_Option2!$AD522*AD$4</f>
        <v>#REF!</v>
      </c>
      <c r="AF522" s="42">
        <f>FME_Ranking_Option2!$AD522/($AD$3)</f>
        <v>0</v>
      </c>
      <c r="AG522" s="42" t="e">
        <f>FME_Ranking_Option2!$AF522*AD$4</f>
        <v>#REF!</v>
      </c>
      <c r="AH522" s="40">
        <f>_xlfn.XLOOKUP(FME_Ranking2[[#This Row],[FME ID]],FME_Input[FME_ID],FME_Input[FARMACRE100])</f>
        <v>25.12473106384277</v>
      </c>
      <c r="AI522" s="43" t="e">
        <f>FME_Ranking_Option2!$AH522*AH$4</f>
        <v>#REF!</v>
      </c>
      <c r="AJ522" s="41">
        <f>FME_Ranking_Option2!$AH522/($AH$3)</f>
        <v>1.4588911184570004E-3</v>
      </c>
      <c r="AK522" s="44" t="e">
        <f>FME_Ranking_Option2!$AJ522*AH$4</f>
        <v>#REF!</v>
      </c>
      <c r="AL522"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22" s="58" t="e">
        <f>_xlfn.RANK.EQ(AL522,$AL$7:$AL$531)+COUNTIF(AL$7:AL522,AL522)-1</f>
        <v>#REF!</v>
      </c>
      <c r="AN522" s="44"/>
      <c r="AO522" s="58" t="e">
        <f>_xlfn.RANK.EQ(AN522,$AN$7:$AN$531)+COUNTIF(AN$7:AN522,AN522)-1</f>
        <v>#N/A</v>
      </c>
      <c r="AP522"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22" s="32" t="e">
        <f>FME_Ranking2[[#This Row],[Score Based on Reported Factors]]-FME_Ranking2[[#This Row],[Check]]</f>
        <v>#REF!</v>
      </c>
      <c r="AR522" s="32"/>
    </row>
    <row r="523" spans="1:55" ht="12" customHeight="1" x14ac:dyDescent="0.25">
      <c r="A523" s="16" t="s">
        <v>432</v>
      </c>
      <c r="B523" s="16" t="str">
        <f>_xlfn.XLOOKUP(FME_Ranking2[[#This Row],[FME ID]],FME_Input[FME_ID],FME_Input[FME_NAME])</f>
        <v>South Polk Street Study</v>
      </c>
      <c r="C523" s="16" t="str">
        <f>_xlfn.XLOOKUP(FME_Ranking2[[#This Row],[FME ID]],FME_Input[FME_ID],FME_Input[DESCR])</f>
        <v>Flooding study of South east side of the City of Giddings between South Polk Street and Madison.</v>
      </c>
      <c r="D523" s="46" t="str">
        <f>_xlfn.XLOOKUP(FME_Ranking2[[#This Row],[FME ID]],FME_Input[FME_ID],FME_Input[EMER_NEED])</f>
        <v>No</v>
      </c>
      <c r="E523" s="121">
        <f>IF(FME_Ranking_Option2!$D523="Yes",100,0)</f>
        <v>0</v>
      </c>
      <c r="F523" s="47" t="str">
        <f>_xlfn.XLOOKUP(FME_Ranking2[[#This Row],[FME ID]],FME_Input[FME_ID],FME_Input[FUND])</f>
        <v>No</v>
      </c>
      <c r="G523" s="48">
        <f>IF(FME_Ranking_Option2!$F523="Yes",1,0)</f>
        <v>0</v>
      </c>
      <c r="H523" s="46">
        <f>_xlfn.XLOOKUP(FME_Ranking2[[#This Row],[FME ID]],FME_Input[FME_ID],FME_Input[STRUCT_100])</f>
        <v>17</v>
      </c>
      <c r="I523" s="65" t="e">
        <f>FME_Ranking2[[#This Row],[Raw Data3]]*H$4</f>
        <v>#REF!</v>
      </c>
      <c r="J523" s="62">
        <f>((FME_Ranking_Option2!$H523)/($H$3))*100</f>
        <v>1.8891638671851125E-3</v>
      </c>
      <c r="K523" s="49" t="e">
        <f>FME_Ranking2[[#This Row],[Norm Data3]]*H$4</f>
        <v>#REF!</v>
      </c>
      <c r="L523" s="50">
        <f>_xlfn.XLOOKUP(FME_Ranking2[[#This Row],[FME ID]],FME_Input[FME_ID],FME_Input[RES_STRUCT100])</f>
        <v>15</v>
      </c>
      <c r="M523" s="51" t="e">
        <f>FME_Ranking2[[#This Row],[Raw Data4]]*L$4</f>
        <v>#REF!</v>
      </c>
      <c r="N523" s="29">
        <f>((FME_Ranking_Option2!$L523)/($L$3))*100</f>
        <v>2.2425446602769095E-3</v>
      </c>
      <c r="O523" s="52" t="e">
        <f>FME_Ranking2[[#This Row],[Norm Data4]]*L$4</f>
        <v>#REF!</v>
      </c>
      <c r="P523" s="47">
        <f>_xlfn.XLOOKUP(FME_Ranking2[[#This Row],[FME ID]],FME_Input[FME_ID],FME_Input[POP100])</f>
        <v>24</v>
      </c>
      <c r="Q523" s="48" t="e">
        <f>FME_Ranking_Option2!$P523*P$4</f>
        <v>#REF!</v>
      </c>
      <c r="R523" s="48">
        <f>FME_Ranking_Option2!$P523/($P$3)</f>
        <v>8.8085096075148337E-6</v>
      </c>
      <c r="S523" s="48" t="e">
        <f>FME_Ranking_Option2!$R523*P$4</f>
        <v>#REF!</v>
      </c>
      <c r="T523" s="50">
        <f>_xlfn.XLOOKUP(FME_Ranking2[[#This Row],[FME ID]],FME_Input[FME_ID],FME_Input[CRITFAC100])</f>
        <v>0</v>
      </c>
      <c r="U523" s="48" t="e">
        <f>FME_Ranking_Option2!$T523*T$4</f>
        <v>#REF!</v>
      </c>
      <c r="V523" s="48">
        <f>FME_Ranking_Option2!$T523/($T$3)</f>
        <v>0</v>
      </c>
      <c r="W523" s="48" t="e">
        <f>FME_Ranking_Option2!$V523*T$4</f>
        <v>#REF!</v>
      </c>
      <c r="X523" s="50">
        <f>_xlfn.XLOOKUP(FME_Ranking2[[#This Row],[FME ID]],FME_Input[FME_ID],FME_Input[LWC])</f>
        <v>0</v>
      </c>
      <c r="Y523" s="48" t="e">
        <f>FME_Ranking_Option2!$X523*X$4</f>
        <v>#REF!</v>
      </c>
      <c r="Z523" s="48">
        <f>FME_Ranking_Option2!$X523/($X$3)</f>
        <v>0</v>
      </c>
      <c r="AA523" s="48" t="e">
        <f>FME_Ranking_Option2!$Z523*X$4</f>
        <v>#REF!</v>
      </c>
      <c r="AB523" s="50">
        <f>_xlfn.XLOOKUP(FME_Ranking2[[#This Row],[FME ID]],FME_Input[FME_ID],FME_Input[ROADCLS])</f>
        <v>0</v>
      </c>
      <c r="AC523" s="48" t="e">
        <f>FME_Ranking_Option2!$AB523*AB$4</f>
        <v>#REF!</v>
      </c>
      <c r="AD523" s="53">
        <f>_xlfn.XLOOKUP(FME_Ranking2[[#This Row],[FME ID]],FME_Input[FME_ID],FME_Input[ROAD_MILES100])</f>
        <v>0.31765195727348328</v>
      </c>
      <c r="AE523" s="54" t="e">
        <f>FME_Ranking_Option2!$AD523*AD$4</f>
        <v>#REF!</v>
      </c>
      <c r="AF523" s="55">
        <f>FME_Ranking_Option2!$AD523/($AD$3)</f>
        <v>7.1748946252088377E-6</v>
      </c>
      <c r="AG523" s="55" t="e">
        <f>FME_Ranking_Option2!$AF523*AD$4</f>
        <v>#REF!</v>
      </c>
      <c r="AH523" s="53">
        <f>_xlfn.XLOOKUP(FME_Ranking2[[#This Row],[FME ID]],FME_Input[FME_ID],FME_Input[FARMACRE100])</f>
        <v>0</v>
      </c>
      <c r="AI523" s="54" t="e">
        <f>FME_Ranking_Option2!$AH523*AH$4</f>
        <v>#REF!</v>
      </c>
      <c r="AJ523" s="56">
        <f>FME_Ranking_Option2!$AH523/($AH$3)</f>
        <v>0</v>
      </c>
      <c r="AK523" s="57" t="e">
        <f>FME_Ranking_Option2!$AJ523*AH$4</f>
        <v>#REF!</v>
      </c>
      <c r="AL523"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23" s="45" t="e">
        <f>_xlfn.RANK.EQ(AL523,$AL$7:$AL$531)+COUNTIF(AL$7:AL523,AL523)-1</f>
        <v>#REF!</v>
      </c>
      <c r="AN523" s="57"/>
      <c r="AO523" s="45" t="e">
        <f>_xlfn.RANK.EQ(AN523,$AN$7:$AN$531)+COUNTIF(AN$7:AN523,AN523)-1</f>
        <v>#N/A</v>
      </c>
      <c r="AP523"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23" s="32" t="e">
        <f>FME_Ranking2[[#This Row],[Score Based on Reported Factors]]-FME_Ranking2[[#This Row],[Check]]</f>
        <v>#REF!</v>
      </c>
      <c r="AR523" s="32"/>
      <c r="AT523" s="19"/>
      <c r="AU523" s="19"/>
      <c r="AV523" s="19"/>
      <c r="AW523" s="19"/>
      <c r="AX523" s="19"/>
      <c r="AY523" s="19"/>
      <c r="AZ523" s="19"/>
      <c r="BA523" s="19"/>
      <c r="BB523" s="19"/>
      <c r="BC523" s="19"/>
    </row>
    <row r="524" spans="1:55" ht="12" customHeight="1" x14ac:dyDescent="0.25">
      <c r="A524" s="17" t="s">
        <v>580</v>
      </c>
      <c r="B524" s="17" t="str">
        <f>_xlfn.XLOOKUP(FME_Ranking2[[#This Row],[FME ID]],FME_Input[FME_ID],FME_Input[FME_NAME])</f>
        <v>City-wide Flood Warning Systems</v>
      </c>
      <c r="C524" s="17" t="str">
        <f>_xlfn.XLOOKUP(FME_Ranking2[[#This Row],[FME ID]],FME_Input[FME_ID],FME_Input[DESCR])</f>
        <v>Implement warning systems</v>
      </c>
      <c r="D524" s="33" t="str">
        <f>_xlfn.XLOOKUP(FME_Ranking2[[#This Row],[FME ID]],FME_Input[FME_ID],FME_Input[EMER_NEED])</f>
        <v>No</v>
      </c>
      <c r="E524" s="120">
        <f>IF(FME_Ranking_Option2!$D524="Yes",100,0)</f>
        <v>0</v>
      </c>
      <c r="F524" s="34" t="str">
        <f>_xlfn.XLOOKUP(FME_Ranking2[[#This Row],[FME ID]],FME_Input[FME_ID],FME_Input[FUND])</f>
        <v>No</v>
      </c>
      <c r="G524" s="35">
        <f>IF(FME_Ranking_Option2!$F524="Yes",1,0)</f>
        <v>0</v>
      </c>
      <c r="H524" s="33">
        <f>_xlfn.XLOOKUP(FME_Ranking2[[#This Row],[FME ID]],FME_Input[FME_ID],FME_Input[STRUCT_100])</f>
        <v>1901</v>
      </c>
      <c r="I524" s="64" t="e">
        <f>FME_Ranking2[[#This Row],[Raw Data3]]*H$4</f>
        <v>#REF!</v>
      </c>
      <c r="J524" s="63">
        <f>((FME_Ranking_Option2!$H524)/($H$3))*100</f>
        <v>0.21125297126581757</v>
      </c>
      <c r="K524" s="36" t="e">
        <f>FME_Ranking2[[#This Row],[Norm Data3]]*H$4</f>
        <v>#REF!</v>
      </c>
      <c r="L524" s="37">
        <f>_xlfn.XLOOKUP(FME_Ranking2[[#This Row],[FME ID]],FME_Input[FME_ID],FME_Input[RES_STRUCT100])</f>
        <v>1455</v>
      </c>
      <c r="M524" s="38" t="e">
        <f>FME_Ranking2[[#This Row],[Raw Data4]]*L$4</f>
        <v>#REF!</v>
      </c>
      <c r="N524" s="28">
        <f>((FME_Ranking_Option2!$L524)/($L$3))*100</f>
        <v>0.21752683204686024</v>
      </c>
      <c r="O524" s="39" t="e">
        <f>FME_Ranking2[[#This Row],[Norm Data4]]*L$4</f>
        <v>#REF!</v>
      </c>
      <c r="P524" s="34">
        <f>_xlfn.XLOOKUP(FME_Ranking2[[#This Row],[FME ID]],FME_Input[FME_ID],FME_Input[POP100])</f>
        <v>6429</v>
      </c>
      <c r="Q524" s="35" t="e">
        <f>FME_Ranking_Option2!$P524*P$4</f>
        <v>#REF!</v>
      </c>
      <c r="R524" s="35">
        <f>FME_Ranking_Option2!$P524/($P$3)</f>
        <v>2.3595795111130361E-3</v>
      </c>
      <c r="S524" s="35" t="e">
        <f>FME_Ranking_Option2!$R524*P$4</f>
        <v>#REF!</v>
      </c>
      <c r="T524" s="37">
        <f>_xlfn.XLOOKUP(FME_Ranking2[[#This Row],[FME ID]],FME_Input[FME_ID],FME_Input[CRITFAC100])</f>
        <v>6</v>
      </c>
      <c r="U524" s="35" t="e">
        <f>FME_Ranking_Option2!$T524*T$4</f>
        <v>#REF!</v>
      </c>
      <c r="V524" s="35">
        <f>FME_Ranking_Option2!$T524/($T$3)</f>
        <v>8.4614299816669018E-4</v>
      </c>
      <c r="W524" s="35" t="e">
        <f>FME_Ranking_Option2!$V524*T$4</f>
        <v>#REF!</v>
      </c>
      <c r="X524" s="37">
        <f>_xlfn.XLOOKUP(FME_Ranking2[[#This Row],[FME ID]],FME_Input[FME_ID],FME_Input[LWC])</f>
        <v>0</v>
      </c>
      <c r="Y524" s="35" t="e">
        <f>FME_Ranking_Option2!$X524*X$4</f>
        <v>#REF!</v>
      </c>
      <c r="Z524" s="35">
        <f>FME_Ranking_Option2!$X524/($X$3)</f>
        <v>0</v>
      </c>
      <c r="AA524" s="35" t="e">
        <f>FME_Ranking_Option2!$Z524*X$4</f>
        <v>#REF!</v>
      </c>
      <c r="AB524" s="37">
        <f>_xlfn.XLOOKUP(FME_Ranking2[[#This Row],[FME ID]],FME_Input[FME_ID],FME_Input[ROADCLS])</f>
        <v>0</v>
      </c>
      <c r="AC524" s="35" t="e">
        <f>FME_Ranking_Option2!$AB524*AB$4</f>
        <v>#REF!</v>
      </c>
      <c r="AD524" s="40">
        <f>_xlfn.XLOOKUP(FME_Ranking2[[#This Row],[FME ID]],FME_Input[FME_ID],FME_Input[ROAD_MILES100])</f>
        <v>57.100357055664063</v>
      </c>
      <c r="AE524" s="41" t="e">
        <f>FME_Ranking_Option2!$AD524*AD$4</f>
        <v>#REF!</v>
      </c>
      <c r="AF524" s="42">
        <f>FME_Ranking_Option2!$AD524/($AD$3)</f>
        <v>1.2897419189627935E-3</v>
      </c>
      <c r="AG524" s="42" t="e">
        <f>FME_Ranking_Option2!$AF524*AD$4</f>
        <v>#REF!</v>
      </c>
      <c r="AH524" s="40">
        <f>_xlfn.XLOOKUP(FME_Ranking2[[#This Row],[FME ID]],FME_Input[FME_ID],FME_Input[FARMACRE100])</f>
        <v>1117.717529296875</v>
      </c>
      <c r="AI524" s="43" t="e">
        <f>FME_Ranking_Option2!$AH524*AH$4</f>
        <v>#REF!</v>
      </c>
      <c r="AJ524" s="41">
        <f>FME_Ranking_Option2!$AH524/($AH$3)</f>
        <v>6.4901318636662542E-2</v>
      </c>
      <c r="AK524" s="44" t="e">
        <f>FME_Ranking_Option2!$AJ524*AH$4</f>
        <v>#REF!</v>
      </c>
      <c r="AL524"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24" s="58" t="e">
        <f>_xlfn.RANK.EQ(AL524,$AL$7:$AL$531)+COUNTIF(AL$7:AL524,AL524)-1</f>
        <v>#REF!</v>
      </c>
      <c r="AN524" s="44"/>
      <c r="AO524" s="58" t="e">
        <f>_xlfn.RANK.EQ(AN524,$AN$7:$AN$531)+COUNTIF(AN$7:AN524,AN524)-1</f>
        <v>#N/A</v>
      </c>
      <c r="AP524"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24" s="32" t="e">
        <f>FME_Ranking2[[#This Row],[Score Based on Reported Factors]]-FME_Ranking2[[#This Row],[Check]]</f>
        <v>#REF!</v>
      </c>
      <c r="AR524" s="32"/>
    </row>
    <row r="525" spans="1:55" ht="12" customHeight="1" x14ac:dyDescent="0.25">
      <c r="A525" s="16" t="s">
        <v>587</v>
      </c>
      <c r="B525" s="16" t="str">
        <f>_xlfn.XLOOKUP(FME_Ranking2[[#This Row],[FME ID]],FME_Input[FME_ID],FME_Input[FME_NAME])</f>
        <v>City-wide Drainage Master Plan</v>
      </c>
      <c r="C525" s="16" t="str">
        <f>_xlfn.XLOOKUP(FME_Ranking2[[#This Row],[FME ID]],FME_Input[FME_ID],FME_Input[DESCR])</f>
        <v>Update/implement Drainage Master Plan</v>
      </c>
      <c r="D525" s="46" t="str">
        <f>_xlfn.XLOOKUP(FME_Ranking2[[#This Row],[FME ID]],FME_Input[FME_ID],FME_Input[EMER_NEED])</f>
        <v>No</v>
      </c>
      <c r="E525" s="121">
        <f>IF(FME_Ranking_Option2!$D525="Yes",100,0)</f>
        <v>0</v>
      </c>
      <c r="F525" s="47" t="str">
        <f>_xlfn.XLOOKUP(FME_Ranking2[[#This Row],[FME ID]],FME_Input[FME_ID],FME_Input[FUND])</f>
        <v>No</v>
      </c>
      <c r="G525" s="48">
        <f>IF(FME_Ranking_Option2!$F525="Yes",1,0)</f>
        <v>0</v>
      </c>
      <c r="H525" s="46">
        <f>_xlfn.XLOOKUP(FME_Ranking2[[#This Row],[FME ID]],FME_Input[FME_ID],FME_Input[STRUCT_100])</f>
        <v>1901</v>
      </c>
      <c r="I525" s="65" t="e">
        <f>FME_Ranking2[[#This Row],[Raw Data3]]*H$4</f>
        <v>#REF!</v>
      </c>
      <c r="J525" s="62">
        <f>((FME_Ranking_Option2!$H525)/($H$3))*100</f>
        <v>0.21125297126581757</v>
      </c>
      <c r="K525" s="49" t="e">
        <f>FME_Ranking2[[#This Row],[Norm Data3]]*H$4</f>
        <v>#REF!</v>
      </c>
      <c r="L525" s="50">
        <f>_xlfn.XLOOKUP(FME_Ranking2[[#This Row],[FME ID]],FME_Input[FME_ID],FME_Input[RES_STRUCT100])</f>
        <v>1455</v>
      </c>
      <c r="M525" s="51" t="e">
        <f>FME_Ranking2[[#This Row],[Raw Data4]]*L$4</f>
        <v>#REF!</v>
      </c>
      <c r="N525" s="29">
        <f>((FME_Ranking_Option2!$L525)/($L$3))*100</f>
        <v>0.21752683204686024</v>
      </c>
      <c r="O525" s="52" t="e">
        <f>FME_Ranking2[[#This Row],[Norm Data4]]*L$4</f>
        <v>#REF!</v>
      </c>
      <c r="P525" s="47">
        <f>_xlfn.XLOOKUP(FME_Ranking2[[#This Row],[FME ID]],FME_Input[FME_ID],FME_Input[POP100])</f>
        <v>6429</v>
      </c>
      <c r="Q525" s="48" t="e">
        <f>FME_Ranking_Option2!$P525*P$4</f>
        <v>#REF!</v>
      </c>
      <c r="R525" s="48">
        <f>FME_Ranking_Option2!$P525/($P$3)</f>
        <v>2.3595795111130361E-3</v>
      </c>
      <c r="S525" s="48" t="e">
        <f>FME_Ranking_Option2!$R525*P$4</f>
        <v>#REF!</v>
      </c>
      <c r="T525" s="50">
        <f>_xlfn.XLOOKUP(FME_Ranking2[[#This Row],[FME ID]],FME_Input[FME_ID],FME_Input[CRITFAC100])</f>
        <v>6</v>
      </c>
      <c r="U525" s="48" t="e">
        <f>FME_Ranking_Option2!$T525*T$4</f>
        <v>#REF!</v>
      </c>
      <c r="V525" s="48">
        <f>FME_Ranking_Option2!$T525/($T$3)</f>
        <v>8.4614299816669018E-4</v>
      </c>
      <c r="W525" s="48" t="e">
        <f>FME_Ranking_Option2!$V525*T$4</f>
        <v>#REF!</v>
      </c>
      <c r="X525" s="50">
        <f>_xlfn.XLOOKUP(FME_Ranking2[[#This Row],[FME ID]],FME_Input[FME_ID],FME_Input[LWC])</f>
        <v>0</v>
      </c>
      <c r="Y525" s="48" t="e">
        <f>FME_Ranking_Option2!$X525*X$4</f>
        <v>#REF!</v>
      </c>
      <c r="Z525" s="48">
        <f>FME_Ranking_Option2!$X525/($X$3)</f>
        <v>0</v>
      </c>
      <c r="AA525" s="48" t="e">
        <f>FME_Ranking_Option2!$Z525*X$4</f>
        <v>#REF!</v>
      </c>
      <c r="AB525" s="50">
        <f>_xlfn.XLOOKUP(FME_Ranking2[[#This Row],[FME ID]],FME_Input[FME_ID],FME_Input[ROADCLS])</f>
        <v>0</v>
      </c>
      <c r="AC525" s="48" t="e">
        <f>FME_Ranking_Option2!$AB525*AB$4</f>
        <v>#REF!</v>
      </c>
      <c r="AD525" s="53">
        <f>_xlfn.XLOOKUP(FME_Ranking2[[#This Row],[FME ID]],FME_Input[FME_ID],FME_Input[ROAD_MILES100])</f>
        <v>57.100357055664063</v>
      </c>
      <c r="AE525" s="54" t="e">
        <f>FME_Ranking_Option2!$AD525*AD$4</f>
        <v>#REF!</v>
      </c>
      <c r="AF525" s="55">
        <f>FME_Ranking_Option2!$AD525/($AD$3)</f>
        <v>1.2897419189627935E-3</v>
      </c>
      <c r="AG525" s="55" t="e">
        <f>FME_Ranking_Option2!$AF525*AD$4</f>
        <v>#REF!</v>
      </c>
      <c r="AH525" s="53">
        <f>_xlfn.XLOOKUP(FME_Ranking2[[#This Row],[FME ID]],FME_Input[FME_ID],FME_Input[FARMACRE100])</f>
        <v>1117.717529296875</v>
      </c>
      <c r="AI525" s="54" t="e">
        <f>FME_Ranking_Option2!$AH525*AH$4</f>
        <v>#REF!</v>
      </c>
      <c r="AJ525" s="56">
        <f>FME_Ranking_Option2!$AH525/($AH$3)</f>
        <v>6.4901318636662542E-2</v>
      </c>
      <c r="AK525" s="57" t="e">
        <f>FME_Ranking_Option2!$AJ525*AH$4</f>
        <v>#REF!</v>
      </c>
      <c r="AL525"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25" s="45" t="e">
        <f>_xlfn.RANK.EQ(AL525,$AL$7:$AL$531)+COUNTIF(AL$7:AL525,AL525)-1</f>
        <v>#REF!</v>
      </c>
      <c r="AN525" s="57"/>
      <c r="AO525" s="45" t="e">
        <f>_xlfn.RANK.EQ(AN525,$AN$7:$AN$531)+COUNTIF(AN$7:AN525,AN525)-1</f>
        <v>#N/A</v>
      </c>
      <c r="AP525"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25" s="32" t="e">
        <f>FME_Ranking2[[#This Row],[Score Based on Reported Factors]]-FME_Ranking2[[#This Row],[Check]]</f>
        <v>#REF!</v>
      </c>
      <c r="AR525" s="32"/>
      <c r="AT525" s="19"/>
      <c r="AU525" s="19"/>
      <c r="AV525" s="19"/>
      <c r="AW525" s="19"/>
      <c r="AX525" s="19"/>
      <c r="AY525" s="19"/>
      <c r="AZ525" s="19"/>
      <c r="BA525" s="19"/>
      <c r="BB525" s="19"/>
      <c r="BC525" s="19"/>
    </row>
    <row r="526" spans="1:55" ht="12" customHeight="1" x14ac:dyDescent="0.25">
      <c r="A526" s="17" t="s">
        <v>394</v>
      </c>
      <c r="B526" s="17" t="str">
        <f>_xlfn.XLOOKUP(FME_Ranking2[[#This Row],[FME ID]],FME_Input[FME_ID],FME_Input[FME_NAME])</f>
        <v>City-wide Drainage Master Plan (integrate with Dry Creek Study)</v>
      </c>
      <c r="C526" s="17" t="str">
        <f>_xlfn.XLOOKUP(FME_Ranking2[[#This Row],[FME ID]],FME_Input[FME_ID],FME_Input[DESCR])</f>
        <v xml:space="preserve">Develop a City-wide Drainage Master Plan focused on local drainage issues.  This plan will merge with the regional FIF study of Dry Creek </v>
      </c>
      <c r="D526" s="33" t="str">
        <f>_xlfn.XLOOKUP(FME_Ranking2[[#This Row],[FME ID]],FME_Input[FME_ID],FME_Input[EMER_NEED])</f>
        <v>No</v>
      </c>
      <c r="E526" s="120">
        <f>IF(FME_Ranking_Option2!$D526="Yes",100,0)</f>
        <v>0</v>
      </c>
      <c r="F526" s="34" t="str">
        <f>_xlfn.XLOOKUP(FME_Ranking2[[#This Row],[FME ID]],FME_Input[FME_ID],FME_Input[FUND])</f>
        <v>No</v>
      </c>
      <c r="G526" s="35">
        <f>IF(FME_Ranking_Option2!$F526="Yes",1,0)</f>
        <v>0</v>
      </c>
      <c r="H526" s="33">
        <f>_xlfn.XLOOKUP(FME_Ranking2[[#This Row],[FME ID]],FME_Input[FME_ID],FME_Input[STRUCT_100])</f>
        <v>1223</v>
      </c>
      <c r="I526" s="64" t="e">
        <f>FME_Ranking2[[#This Row],[Raw Data3]]*H$4</f>
        <v>#REF!</v>
      </c>
      <c r="J526" s="63">
        <f>((FME_Ranking_Option2!$H526)/($H$3))*100</f>
        <v>0.13590867115102309</v>
      </c>
      <c r="K526" s="36" t="e">
        <f>FME_Ranking2[[#This Row],[Norm Data3]]*H$4</f>
        <v>#REF!</v>
      </c>
      <c r="L526" s="37">
        <f>_xlfn.XLOOKUP(FME_Ranking2[[#This Row],[FME ID]],FME_Input[FME_ID],FME_Input[RES_STRUCT100])</f>
        <v>1010</v>
      </c>
      <c r="M526" s="38" t="e">
        <f>FME_Ranking2[[#This Row],[Raw Data4]]*L$4</f>
        <v>#REF!</v>
      </c>
      <c r="N526" s="28">
        <f>((FME_Ranking_Option2!$L526)/($L$3))*100</f>
        <v>0.15099800712531192</v>
      </c>
      <c r="O526" s="39" t="e">
        <f>FME_Ranking2[[#This Row],[Norm Data4]]*L$4</f>
        <v>#REF!</v>
      </c>
      <c r="P526" s="34">
        <f>_xlfn.XLOOKUP(FME_Ranking2[[#This Row],[FME ID]],FME_Input[FME_ID],FME_Input[POP100])</f>
        <v>1908</v>
      </c>
      <c r="Q526" s="35" t="e">
        <f>FME_Ranking_Option2!$P526*P$4</f>
        <v>#REF!</v>
      </c>
      <c r="R526" s="35">
        <f>FME_Ranking_Option2!$P526/($P$3)</f>
        <v>7.0027651379742919E-4</v>
      </c>
      <c r="S526" s="35" t="e">
        <f>FME_Ranking_Option2!$R526*P$4</f>
        <v>#REF!</v>
      </c>
      <c r="T526" s="37">
        <f>_xlfn.XLOOKUP(FME_Ranking2[[#This Row],[FME ID]],FME_Input[FME_ID],FME_Input[CRITFAC100])</f>
        <v>2</v>
      </c>
      <c r="U526" s="35" t="e">
        <f>FME_Ranking_Option2!$T526*T$4</f>
        <v>#REF!</v>
      </c>
      <c r="V526" s="35">
        <f>FME_Ranking_Option2!$T526/($T$3)</f>
        <v>2.8204766605556341E-4</v>
      </c>
      <c r="W526" s="35" t="e">
        <f>FME_Ranking_Option2!$V526*T$4</f>
        <v>#REF!</v>
      </c>
      <c r="X526" s="37">
        <f>_xlfn.XLOOKUP(FME_Ranking2[[#This Row],[FME ID]],FME_Input[FME_ID],FME_Input[LWC])</f>
        <v>1</v>
      </c>
      <c r="Y526" s="35" t="e">
        <f>FME_Ranking_Option2!$X526*X$4</f>
        <v>#REF!</v>
      </c>
      <c r="Z526" s="35">
        <f>FME_Ranking_Option2!$X526/($X$3)</f>
        <v>9.1224229155263632E-5</v>
      </c>
      <c r="AA526" s="35" t="e">
        <f>FME_Ranking_Option2!$Z526*X$4</f>
        <v>#REF!</v>
      </c>
      <c r="AB526" s="37">
        <f>_xlfn.XLOOKUP(FME_Ranking2[[#This Row],[FME ID]],FME_Input[FME_ID],FME_Input[ROADCLS])</f>
        <v>0</v>
      </c>
      <c r="AC526" s="35" t="e">
        <f>FME_Ranking_Option2!$AB526*AB$4</f>
        <v>#REF!</v>
      </c>
      <c r="AD526" s="40">
        <f>_xlfn.XLOOKUP(FME_Ranking2[[#This Row],[FME ID]],FME_Input[FME_ID],FME_Input[ROAD_MILES100])</f>
        <v>26.25538444519043</v>
      </c>
      <c r="AE526" s="41" t="e">
        <f>FME_Ranking_Option2!$AD526*AD$4</f>
        <v>#REF!</v>
      </c>
      <c r="AF526" s="42">
        <f>FME_Ranking_Option2!$AD526/($AD$3)</f>
        <v>5.9303779632121896E-4</v>
      </c>
      <c r="AG526" s="42" t="e">
        <f>FME_Ranking_Option2!$AF526*AD$4</f>
        <v>#REF!</v>
      </c>
      <c r="AH526" s="40">
        <f>_xlfn.XLOOKUP(FME_Ranking2[[#This Row],[FME ID]],FME_Input[FME_ID],FME_Input[FARMACRE100])</f>
        <v>137.2613830566406</v>
      </c>
      <c r="AI526" s="43" t="e">
        <f>FME_Ranking_Option2!$AH526*AH$4</f>
        <v>#REF!</v>
      </c>
      <c r="AJ526" s="41">
        <f>FME_Ranking_Option2!$AH526/($AH$3)</f>
        <v>7.9702111891115108E-3</v>
      </c>
      <c r="AK526" s="44" t="e">
        <f>FME_Ranking_Option2!$AJ526*AH$4</f>
        <v>#REF!</v>
      </c>
      <c r="AL526"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26" s="58" t="e">
        <f>_xlfn.RANK.EQ(AL526,$AL$7:$AL$531)+COUNTIF(AL$7:AL526,AL526)-1</f>
        <v>#REF!</v>
      </c>
      <c r="AN526" s="44"/>
      <c r="AO526" s="58" t="e">
        <f>_xlfn.RANK.EQ(AN526,$AN$7:$AN$531)+COUNTIF(AN$7:AN526,AN526)-1</f>
        <v>#N/A</v>
      </c>
      <c r="AP526"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26" s="32" t="e">
        <f>FME_Ranking2[[#This Row],[Score Based on Reported Factors]]-FME_Ranking2[[#This Row],[Check]]</f>
        <v>#REF!</v>
      </c>
      <c r="AR526" s="32"/>
    </row>
    <row r="527" spans="1:55" ht="12" customHeight="1" x14ac:dyDescent="0.25">
      <c r="A527" s="16" t="s">
        <v>398</v>
      </c>
      <c r="B527" s="16" t="str">
        <f>_xlfn.XLOOKUP(FME_Ranking2[[#This Row],[FME ID]],FME_Input[FME_ID],FME_Input[FME_NAME])</f>
        <v>Wastewater Treatment Plant Floodproofing</v>
      </c>
      <c r="C527" s="16" t="str">
        <f>_xlfn.XLOOKUP(FME_Ranking2[[#This Row],[FME ID]],FME_Input[FME_ID],FME_Input[DESCR])</f>
        <v xml:space="preserve">Improve wastewater treatement plant to make it more flood resilient and improve treatment capacity and I&amp;I. </v>
      </c>
      <c r="D527" s="46" t="str">
        <f>_xlfn.XLOOKUP(FME_Ranking2[[#This Row],[FME ID]],FME_Input[FME_ID],FME_Input[EMER_NEED])</f>
        <v>No</v>
      </c>
      <c r="E527" s="121">
        <f>IF(FME_Ranking_Option2!$D527="Yes",100,0)</f>
        <v>0</v>
      </c>
      <c r="F527" s="47" t="str">
        <f>_xlfn.XLOOKUP(FME_Ranking2[[#This Row],[FME ID]],FME_Input[FME_ID],FME_Input[FUND])</f>
        <v>No</v>
      </c>
      <c r="G527" s="48">
        <f>IF(FME_Ranking_Option2!$F527="Yes",1,0)</f>
        <v>0</v>
      </c>
      <c r="H527" s="46">
        <f>_xlfn.XLOOKUP(FME_Ranking2[[#This Row],[FME ID]],FME_Input[FME_ID],FME_Input[STRUCT_100])</f>
        <v>0</v>
      </c>
      <c r="I527" s="65" t="e">
        <f>FME_Ranking2[[#This Row],[Raw Data3]]*H$4</f>
        <v>#REF!</v>
      </c>
      <c r="J527" s="62">
        <f>((FME_Ranking_Option2!$H527)/($H$3))*100</f>
        <v>0</v>
      </c>
      <c r="K527" s="49" t="e">
        <f>FME_Ranking2[[#This Row],[Norm Data3]]*H$4</f>
        <v>#REF!</v>
      </c>
      <c r="L527" s="50">
        <f>_xlfn.XLOOKUP(FME_Ranking2[[#This Row],[FME ID]],FME_Input[FME_ID],FME_Input[RES_STRUCT100])</f>
        <v>0</v>
      </c>
      <c r="M527" s="51" t="e">
        <f>FME_Ranking2[[#This Row],[Raw Data4]]*L$4</f>
        <v>#REF!</v>
      </c>
      <c r="N527" s="29">
        <f>((FME_Ranking_Option2!$L527)/($L$3))*100</f>
        <v>0</v>
      </c>
      <c r="O527" s="52" t="e">
        <f>FME_Ranking2[[#This Row],[Norm Data4]]*L$4</f>
        <v>#REF!</v>
      </c>
      <c r="P527" s="47">
        <f>_xlfn.XLOOKUP(FME_Ranking2[[#This Row],[FME ID]],FME_Input[FME_ID],FME_Input[POP100])</f>
        <v>0</v>
      </c>
      <c r="Q527" s="48" t="e">
        <f>FME_Ranking_Option2!$P527*P$4</f>
        <v>#REF!</v>
      </c>
      <c r="R527" s="48">
        <f>FME_Ranking_Option2!$P527/($P$3)</f>
        <v>0</v>
      </c>
      <c r="S527" s="48" t="e">
        <f>FME_Ranking_Option2!$R527*P$4</f>
        <v>#REF!</v>
      </c>
      <c r="T527" s="50">
        <f>_xlfn.XLOOKUP(FME_Ranking2[[#This Row],[FME ID]],FME_Input[FME_ID],FME_Input[CRITFAC100])</f>
        <v>0</v>
      </c>
      <c r="U527" s="48" t="e">
        <f>FME_Ranking_Option2!$T527*T$4</f>
        <v>#REF!</v>
      </c>
      <c r="V527" s="48">
        <f>FME_Ranking_Option2!$T527/($T$3)</f>
        <v>0</v>
      </c>
      <c r="W527" s="48" t="e">
        <f>FME_Ranking_Option2!$V527*T$4</f>
        <v>#REF!</v>
      </c>
      <c r="X527" s="50">
        <f>_xlfn.XLOOKUP(FME_Ranking2[[#This Row],[FME ID]],FME_Input[FME_ID],FME_Input[LWC])</f>
        <v>0</v>
      </c>
      <c r="Y527" s="48" t="e">
        <f>FME_Ranking_Option2!$X527*X$4</f>
        <v>#REF!</v>
      </c>
      <c r="Z527" s="48">
        <f>FME_Ranking_Option2!$X527/($X$3)</f>
        <v>0</v>
      </c>
      <c r="AA527" s="48" t="e">
        <f>FME_Ranking_Option2!$Z527*X$4</f>
        <v>#REF!</v>
      </c>
      <c r="AB527" s="50">
        <f>_xlfn.XLOOKUP(FME_Ranking2[[#This Row],[FME ID]],FME_Input[FME_ID],FME_Input[ROADCLS])</f>
        <v>0</v>
      </c>
      <c r="AC527" s="48" t="e">
        <f>FME_Ranking_Option2!$AB527*AB$4</f>
        <v>#REF!</v>
      </c>
      <c r="AD527" s="53">
        <f>_xlfn.XLOOKUP(FME_Ranking2[[#This Row],[FME ID]],FME_Input[FME_ID],FME_Input[ROAD_MILES100])</f>
        <v>0</v>
      </c>
      <c r="AE527" s="54" t="e">
        <f>FME_Ranking_Option2!$AD527*AD$4</f>
        <v>#REF!</v>
      </c>
      <c r="AF527" s="55">
        <f>FME_Ranking_Option2!$AD527/($AD$3)</f>
        <v>0</v>
      </c>
      <c r="AG527" s="55" t="e">
        <f>FME_Ranking_Option2!$AF527*AD$4</f>
        <v>#REF!</v>
      </c>
      <c r="AH527" s="53">
        <f>_xlfn.XLOOKUP(FME_Ranking2[[#This Row],[FME ID]],FME_Input[FME_ID],FME_Input[FARMACRE100])</f>
        <v>6.5806221961975098</v>
      </c>
      <c r="AI527" s="54" t="e">
        <f>FME_Ranking_Option2!$AH527*AH$4</f>
        <v>#REF!</v>
      </c>
      <c r="AJ527" s="56">
        <f>FME_Ranking_Option2!$AH527/($AH$3)</f>
        <v>3.8211001150852467E-4</v>
      </c>
      <c r="AK527" s="57" t="e">
        <f>FME_Ranking_Option2!$AJ527*AH$4</f>
        <v>#REF!</v>
      </c>
      <c r="AL527"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27" s="45" t="e">
        <f>_xlfn.RANK.EQ(AL527,$AL$7:$AL$531)+COUNTIF(AL$7:AL527,AL527)-1</f>
        <v>#REF!</v>
      </c>
      <c r="AN527" s="57"/>
      <c r="AO527" s="45" t="e">
        <f>_xlfn.RANK.EQ(AN527,$AN$7:$AN$531)+COUNTIF(AN$7:AN527,AN527)-1</f>
        <v>#N/A</v>
      </c>
      <c r="AP527"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27" s="32" t="e">
        <f>FME_Ranking2[[#This Row],[Score Based on Reported Factors]]-FME_Ranking2[[#This Row],[Check]]</f>
        <v>#REF!</v>
      </c>
      <c r="AR527" s="32"/>
      <c r="AT527" s="19"/>
      <c r="AU527" s="19"/>
      <c r="AV527" s="19"/>
      <c r="AW527" s="19"/>
      <c r="AX527" s="19"/>
      <c r="AY527" s="19"/>
      <c r="AZ527" s="19"/>
      <c r="BA527" s="19"/>
      <c r="BB527" s="19"/>
      <c r="BC527" s="19"/>
    </row>
    <row r="528" spans="1:55" ht="12" customHeight="1" x14ac:dyDescent="0.25">
      <c r="A528" s="17" t="s">
        <v>399</v>
      </c>
      <c r="B528" s="17" t="str">
        <f>_xlfn.XLOOKUP(FME_Ranking2[[#This Row],[FME ID]],FME_Input[FME_ID],FME_Input[FME_NAME])</f>
        <v>Devers Creek Regional Detention and Channel Improvements</v>
      </c>
      <c r="C528" s="17" t="str">
        <f>_xlfn.XLOOKUP(FME_Ranking2[[#This Row],[FME ID]],FME_Input[FME_ID],FME_Input[DESCR])</f>
        <v xml:space="preserve">Coordinate with JCCWDD to develop region detention and channel widening improvements along Devers Creek. </v>
      </c>
      <c r="D528" s="33" t="str">
        <f>_xlfn.XLOOKUP(FME_Ranking2[[#This Row],[FME ID]],FME_Input[FME_ID],FME_Input[EMER_NEED])</f>
        <v>No</v>
      </c>
      <c r="E528" s="120">
        <f>IF(FME_Ranking_Option2!$D528="Yes",100,0)</f>
        <v>0</v>
      </c>
      <c r="F528" s="34" t="str">
        <f>_xlfn.XLOOKUP(FME_Ranking2[[#This Row],[FME ID]],FME_Input[FME_ID],FME_Input[FUND])</f>
        <v>No</v>
      </c>
      <c r="G528" s="35">
        <f>IF(FME_Ranking_Option2!$F528="Yes",1,0)</f>
        <v>0</v>
      </c>
      <c r="H528" s="33">
        <f>_xlfn.XLOOKUP(FME_Ranking2[[#This Row],[FME ID]],FME_Input[FME_ID],FME_Input[STRUCT_100])</f>
        <v>13</v>
      </c>
      <c r="I528" s="64" t="e">
        <f>FME_Ranking2[[#This Row],[Raw Data3]]*H$4</f>
        <v>#REF!</v>
      </c>
      <c r="J528" s="63">
        <f>((FME_Ranking_Option2!$H528)/($H$3))*100</f>
        <v>1.4446547219650861E-3</v>
      </c>
      <c r="K528" s="36" t="e">
        <f>FME_Ranking2[[#This Row],[Norm Data3]]*H$4</f>
        <v>#REF!</v>
      </c>
      <c r="L528" s="37">
        <f>_xlfn.XLOOKUP(FME_Ranking2[[#This Row],[FME ID]],FME_Input[FME_ID],FME_Input[RES_STRUCT100])</f>
        <v>6</v>
      </c>
      <c r="M528" s="38" t="e">
        <f>FME_Ranking2[[#This Row],[Raw Data4]]*L$4</f>
        <v>#REF!</v>
      </c>
      <c r="N528" s="28">
        <f>((FME_Ranking_Option2!$L528)/($L$3))*100</f>
        <v>8.970178641107638E-4</v>
      </c>
      <c r="O528" s="39" t="e">
        <f>FME_Ranking2[[#This Row],[Norm Data4]]*L$4</f>
        <v>#REF!</v>
      </c>
      <c r="P528" s="34">
        <f>_xlfn.XLOOKUP(FME_Ranking2[[#This Row],[FME ID]],FME_Input[FME_ID],FME_Input[POP100])</f>
        <v>64</v>
      </c>
      <c r="Q528" s="35" t="e">
        <f>FME_Ranking_Option2!$P528*P$4</f>
        <v>#REF!</v>
      </c>
      <c r="R528" s="35">
        <f>FME_Ranking_Option2!$P528/($P$3)</f>
        <v>2.348935895337289E-5</v>
      </c>
      <c r="S528" s="35" t="e">
        <f>FME_Ranking_Option2!$R528*P$4</f>
        <v>#REF!</v>
      </c>
      <c r="T528" s="37">
        <f>_xlfn.XLOOKUP(FME_Ranking2[[#This Row],[FME ID]],FME_Input[FME_ID],FME_Input[CRITFAC100])</f>
        <v>0</v>
      </c>
      <c r="U528" s="35" t="e">
        <f>FME_Ranking_Option2!$T528*T$4</f>
        <v>#REF!</v>
      </c>
      <c r="V528" s="35">
        <f>FME_Ranking_Option2!$T528/($T$3)</f>
        <v>0</v>
      </c>
      <c r="W528" s="35" t="e">
        <f>FME_Ranking_Option2!$V528*T$4</f>
        <v>#REF!</v>
      </c>
      <c r="X528" s="37">
        <f>_xlfn.XLOOKUP(FME_Ranking2[[#This Row],[FME ID]],FME_Input[FME_ID],FME_Input[LWC])</f>
        <v>1</v>
      </c>
      <c r="Y528" s="35" t="e">
        <f>FME_Ranking_Option2!$X528*X$4</f>
        <v>#REF!</v>
      </c>
      <c r="Z528" s="35">
        <f>FME_Ranking_Option2!$X528/($X$3)</f>
        <v>9.1224229155263632E-5</v>
      </c>
      <c r="AA528" s="35" t="e">
        <f>FME_Ranking_Option2!$Z528*X$4</f>
        <v>#REF!</v>
      </c>
      <c r="AB528" s="37">
        <f>_xlfn.XLOOKUP(FME_Ranking2[[#This Row],[FME ID]],FME_Input[FME_ID],FME_Input[ROADCLS])</f>
        <v>0</v>
      </c>
      <c r="AC528" s="35" t="e">
        <f>FME_Ranking_Option2!$AB528*AB$4</f>
        <v>#REF!</v>
      </c>
      <c r="AD528" s="40">
        <f>_xlfn.XLOOKUP(FME_Ranking2[[#This Row],[FME ID]],FME_Input[FME_ID],FME_Input[ROAD_MILES100])</f>
        <v>0.54722785949707031</v>
      </c>
      <c r="AE528" s="41" t="e">
        <f>FME_Ranking_Option2!$AD528*AD$4</f>
        <v>#REF!</v>
      </c>
      <c r="AF528" s="42">
        <f>FME_Ranking_Option2!$AD528/($AD$3)</f>
        <v>1.2360390477587098E-5</v>
      </c>
      <c r="AG528" s="42" t="e">
        <f>FME_Ranking_Option2!$AF528*AD$4</f>
        <v>#REF!</v>
      </c>
      <c r="AH528" s="40">
        <f>_xlfn.XLOOKUP(FME_Ranking2[[#This Row],[FME ID]],FME_Input[FME_ID],FME_Input[FARMACRE100])</f>
        <v>398.61135864257813</v>
      </c>
      <c r="AI528" s="43" t="e">
        <f>FME_Ranking_Option2!$AH528*AH$4</f>
        <v>#REF!</v>
      </c>
      <c r="AJ528" s="41">
        <f>FME_Ranking_Option2!$AH528/($AH$3)</f>
        <v>2.3145743107142003E-2</v>
      </c>
      <c r="AK528" s="44" t="e">
        <f>FME_Ranking_Option2!$AJ528*AH$4</f>
        <v>#REF!</v>
      </c>
      <c r="AL528"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28" s="58" t="e">
        <f>_xlfn.RANK.EQ(AL528,$AL$7:$AL$531)+COUNTIF(AL$7:AL528,AL528)-1</f>
        <v>#REF!</v>
      </c>
      <c r="AN528" s="44"/>
      <c r="AO528" s="58" t="e">
        <f>_xlfn.RANK.EQ(AN528,$AN$7:$AN$531)+COUNTIF(AN$7:AN528,AN528)-1</f>
        <v>#N/A</v>
      </c>
      <c r="AP528"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28" s="32" t="e">
        <f>FME_Ranking2[[#This Row],[Score Based on Reported Factors]]-FME_Ranking2[[#This Row],[Check]]</f>
        <v>#REF!</v>
      </c>
      <c r="AR528" s="32"/>
    </row>
    <row r="529" spans="1:55" ht="12" customHeight="1" x14ac:dyDescent="0.25">
      <c r="A529" s="16" t="s">
        <v>403</v>
      </c>
      <c r="B529" s="16" t="str">
        <f>_xlfn.XLOOKUP(FME_Ranking2[[#This Row],[FME ID]],FME_Input[FME_ID],FME_Input[FME_NAME])</f>
        <v>City-wide Drainage Master Plan</v>
      </c>
      <c r="C529" s="16" t="str">
        <f>_xlfn.XLOOKUP(FME_Ranking2[[#This Row],[FME ID]],FME_Input[FME_ID],FME_Input[DESCR])</f>
        <v xml:space="preserve">Develop a drainage master plan with a focus on identifying flood reduction projects for local drainage issues. </v>
      </c>
      <c r="D529" s="46" t="str">
        <f>_xlfn.XLOOKUP(FME_Ranking2[[#This Row],[FME ID]],FME_Input[FME_ID],FME_Input[EMER_NEED])</f>
        <v>No</v>
      </c>
      <c r="E529" s="121">
        <f>IF(FME_Ranking_Option2!$D529="Yes",100,0)</f>
        <v>0</v>
      </c>
      <c r="F529" s="47" t="str">
        <f>_xlfn.XLOOKUP(FME_Ranking2[[#This Row],[FME ID]],FME_Input[FME_ID],FME_Input[FUND])</f>
        <v>No</v>
      </c>
      <c r="G529" s="48">
        <f>IF(FME_Ranking_Option2!$F529="Yes",1,0)</f>
        <v>0</v>
      </c>
      <c r="H529" s="46">
        <f>_xlfn.XLOOKUP(FME_Ranking2[[#This Row],[FME ID]],FME_Input[FME_ID],FME_Input[STRUCT_100])</f>
        <v>28</v>
      </c>
      <c r="I529" s="65" t="e">
        <f>FME_Ranking2[[#This Row],[Raw Data3]]*H$4</f>
        <v>#REF!</v>
      </c>
      <c r="J529" s="62">
        <f>((FME_Ranking_Option2!$H529)/($H$3))*100</f>
        <v>3.1115640165401853E-3</v>
      </c>
      <c r="K529" s="49" t="e">
        <f>FME_Ranking2[[#This Row],[Norm Data3]]*H$4</f>
        <v>#REF!</v>
      </c>
      <c r="L529" s="50">
        <f>_xlfn.XLOOKUP(FME_Ranking2[[#This Row],[FME ID]],FME_Input[FME_ID],FME_Input[RES_STRUCT100])</f>
        <v>17</v>
      </c>
      <c r="M529" s="51" t="e">
        <f>FME_Ranking2[[#This Row],[Raw Data4]]*L$4</f>
        <v>#REF!</v>
      </c>
      <c r="N529" s="29">
        <f>((FME_Ranking_Option2!$L529)/($L$3))*100</f>
        <v>2.5415506149804976E-3</v>
      </c>
      <c r="O529" s="52" t="e">
        <f>FME_Ranking2[[#This Row],[Norm Data4]]*L$4</f>
        <v>#REF!</v>
      </c>
      <c r="P529" s="47">
        <f>_xlfn.XLOOKUP(FME_Ranking2[[#This Row],[FME ID]],FME_Input[FME_ID],FME_Input[POP100])</f>
        <v>77</v>
      </c>
      <c r="Q529" s="48" t="e">
        <f>FME_Ranking_Option2!$P529*P$4</f>
        <v>#REF!</v>
      </c>
      <c r="R529" s="48">
        <f>FME_Ranking_Option2!$P529/($P$3)</f>
        <v>2.8260634990776757E-5</v>
      </c>
      <c r="S529" s="48" t="e">
        <f>FME_Ranking_Option2!$R529*P$4</f>
        <v>#REF!</v>
      </c>
      <c r="T529" s="50">
        <f>_xlfn.XLOOKUP(FME_Ranking2[[#This Row],[FME ID]],FME_Input[FME_ID],FME_Input[CRITFAC100])</f>
        <v>0</v>
      </c>
      <c r="U529" s="48" t="e">
        <f>FME_Ranking_Option2!$T529*T$4</f>
        <v>#REF!</v>
      </c>
      <c r="V529" s="48">
        <f>FME_Ranking_Option2!$T529/($T$3)</f>
        <v>0</v>
      </c>
      <c r="W529" s="48" t="e">
        <f>FME_Ranking_Option2!$V529*T$4</f>
        <v>#REF!</v>
      </c>
      <c r="X529" s="50">
        <f>_xlfn.XLOOKUP(FME_Ranking2[[#This Row],[FME ID]],FME_Input[FME_ID],FME_Input[LWC])</f>
        <v>0</v>
      </c>
      <c r="Y529" s="48" t="e">
        <f>FME_Ranking_Option2!$X529*X$4</f>
        <v>#REF!</v>
      </c>
      <c r="Z529" s="48">
        <f>FME_Ranking_Option2!$X529/($X$3)</f>
        <v>0</v>
      </c>
      <c r="AA529" s="48" t="e">
        <f>FME_Ranking_Option2!$Z529*X$4</f>
        <v>#REF!</v>
      </c>
      <c r="AB529" s="50">
        <f>_xlfn.XLOOKUP(FME_Ranking2[[#This Row],[FME ID]],FME_Input[FME_ID],FME_Input[ROADCLS])</f>
        <v>0</v>
      </c>
      <c r="AC529" s="48" t="e">
        <f>FME_Ranking_Option2!$AB529*AB$4</f>
        <v>#REF!</v>
      </c>
      <c r="AD529" s="53">
        <f>_xlfn.XLOOKUP(FME_Ranking2[[#This Row],[FME ID]],FME_Input[FME_ID],FME_Input[ROAD_MILES100])</f>
        <v>0.42465221881866461</v>
      </c>
      <c r="AE529" s="54" t="e">
        <f>FME_Ranking_Option2!$AD529*AD$4</f>
        <v>#REF!</v>
      </c>
      <c r="AF529" s="55">
        <f>FME_Ranking_Option2!$AD529/($AD$3)</f>
        <v>9.5917398039573968E-6</v>
      </c>
      <c r="AG529" s="55" t="e">
        <f>FME_Ranking_Option2!$AF529*AD$4</f>
        <v>#REF!</v>
      </c>
      <c r="AH529" s="53">
        <f>_xlfn.XLOOKUP(FME_Ranking2[[#This Row],[FME ID]],FME_Input[FME_ID],FME_Input[FARMACRE100])</f>
        <v>27.728059768676761</v>
      </c>
      <c r="AI529" s="54" t="e">
        <f>FME_Ranking_Option2!$AH529*AH$4</f>
        <v>#REF!</v>
      </c>
      <c r="AJ529" s="56">
        <f>FME_Ranking_Option2!$AH529/($AH$3)</f>
        <v>1.610055846001972E-3</v>
      </c>
      <c r="AK529" s="57" t="e">
        <f>FME_Ranking_Option2!$AJ529*AH$4</f>
        <v>#REF!</v>
      </c>
      <c r="AL529"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29" s="45" t="e">
        <f>_xlfn.RANK.EQ(AL529,$AL$7:$AL$531)+COUNTIF(AL$7:AL529,AL529)-1</f>
        <v>#REF!</v>
      </c>
      <c r="AN529" s="57"/>
      <c r="AO529" s="45" t="e">
        <f>_xlfn.RANK.EQ(AN529,$AN$7:$AN$531)+COUNTIF(AN$7:AN529,AN529)-1</f>
        <v>#N/A</v>
      </c>
      <c r="AP529"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29" s="32" t="e">
        <f>FME_Ranking2[[#This Row],[Score Based on Reported Factors]]-FME_Ranking2[[#This Row],[Check]]</f>
        <v>#REF!</v>
      </c>
      <c r="AR529" s="32"/>
      <c r="AT529" s="19"/>
      <c r="AU529" s="19"/>
      <c r="AV529" s="19"/>
      <c r="AW529" s="19"/>
      <c r="AX529" s="19"/>
      <c r="AY529" s="19"/>
      <c r="AZ529" s="19"/>
      <c r="BA529" s="19"/>
      <c r="BB529" s="19"/>
      <c r="BC529" s="19"/>
    </row>
    <row r="530" spans="1:55" ht="12" customHeight="1" x14ac:dyDescent="0.25">
      <c r="A530" s="17" t="s">
        <v>406</v>
      </c>
      <c r="B530" s="17" t="str">
        <f>_xlfn.XLOOKUP(FME_Ranking2[[#This Row],[FME ID]],FME_Input[FME_ID],FME_Input[FME_NAME])</f>
        <v>City-wide Drainage Master Plan</v>
      </c>
      <c r="C530" s="17" t="str">
        <f>_xlfn.XLOOKUP(FME_Ranking2[[#This Row],[FME ID]],FME_Input[FME_ID],FME_Input[DESCR])</f>
        <v xml:space="preserve">Develop a drainage master plan with a focus on local drainage issues using Atlas 14 rainfall </v>
      </c>
      <c r="D530" s="33" t="str">
        <f>_xlfn.XLOOKUP(FME_Ranking2[[#This Row],[FME ID]],FME_Input[FME_ID],FME_Input[EMER_NEED])</f>
        <v>No</v>
      </c>
      <c r="E530" s="120">
        <f>IF(FME_Ranking_Option2!$D530="Yes",100,0)</f>
        <v>0</v>
      </c>
      <c r="F530" s="34" t="str">
        <f>_xlfn.XLOOKUP(FME_Ranking2[[#This Row],[FME ID]],FME_Input[FME_ID],FME_Input[FUND])</f>
        <v>No</v>
      </c>
      <c r="G530" s="35">
        <f>IF(FME_Ranking_Option2!$F530="Yes",1,0)</f>
        <v>0</v>
      </c>
      <c r="H530" s="33">
        <f>_xlfn.XLOOKUP(FME_Ranking2[[#This Row],[FME ID]],FME_Input[FME_ID],FME_Input[STRUCT_100])</f>
        <v>17</v>
      </c>
      <c r="I530" s="64" t="e">
        <f>FME_Ranking2[[#This Row],[Raw Data3]]*H$4</f>
        <v>#REF!</v>
      </c>
      <c r="J530" s="63">
        <f>((FME_Ranking_Option2!$H530)/($H$3))*100</f>
        <v>1.8891638671851125E-3</v>
      </c>
      <c r="K530" s="36" t="e">
        <f>FME_Ranking2[[#This Row],[Norm Data3]]*H$4</f>
        <v>#REF!</v>
      </c>
      <c r="L530" s="37">
        <f>_xlfn.XLOOKUP(FME_Ranking2[[#This Row],[FME ID]],FME_Input[FME_ID],FME_Input[RES_STRUCT100])</f>
        <v>7</v>
      </c>
      <c r="M530" s="38" t="e">
        <f>FME_Ranking2[[#This Row],[Raw Data4]]*L$4</f>
        <v>#REF!</v>
      </c>
      <c r="N530" s="28">
        <f>((FME_Ranking_Option2!$L530)/($L$3))*100</f>
        <v>1.0465208414625576E-3</v>
      </c>
      <c r="O530" s="39" t="e">
        <f>FME_Ranking2[[#This Row],[Norm Data4]]*L$4</f>
        <v>#REF!</v>
      </c>
      <c r="P530" s="34">
        <f>_xlfn.XLOOKUP(FME_Ranking2[[#This Row],[FME ID]],FME_Input[FME_ID],FME_Input[POP100])</f>
        <v>17</v>
      </c>
      <c r="Q530" s="35" t="e">
        <f>FME_Ranking_Option2!$P530*P$4</f>
        <v>#REF!</v>
      </c>
      <c r="R530" s="35">
        <f>FME_Ranking_Option2!$P530/($P$3)</f>
        <v>6.2393609719896732E-6</v>
      </c>
      <c r="S530" s="35" t="e">
        <f>FME_Ranking_Option2!$R530*P$4</f>
        <v>#REF!</v>
      </c>
      <c r="T530" s="37">
        <f>_xlfn.XLOOKUP(FME_Ranking2[[#This Row],[FME ID]],FME_Input[FME_ID],FME_Input[CRITFAC100])</f>
        <v>0</v>
      </c>
      <c r="U530" s="35" t="e">
        <f>FME_Ranking_Option2!$T530*T$4</f>
        <v>#REF!</v>
      </c>
      <c r="V530" s="35">
        <f>FME_Ranking_Option2!$T530/($T$3)</f>
        <v>0</v>
      </c>
      <c r="W530" s="35" t="e">
        <f>FME_Ranking_Option2!$V530*T$4</f>
        <v>#REF!</v>
      </c>
      <c r="X530" s="37">
        <f>_xlfn.XLOOKUP(FME_Ranking2[[#This Row],[FME ID]],FME_Input[FME_ID],FME_Input[LWC])</f>
        <v>0</v>
      </c>
      <c r="Y530" s="35" t="e">
        <f>FME_Ranking_Option2!$X530*X$4</f>
        <v>#REF!</v>
      </c>
      <c r="Z530" s="35">
        <f>FME_Ranking_Option2!$X530/($X$3)</f>
        <v>0</v>
      </c>
      <c r="AA530" s="35" t="e">
        <f>FME_Ranking_Option2!$Z530*X$4</f>
        <v>#REF!</v>
      </c>
      <c r="AB530" s="37">
        <f>_xlfn.XLOOKUP(FME_Ranking2[[#This Row],[FME ID]],FME_Input[FME_ID],FME_Input[ROADCLS])</f>
        <v>0</v>
      </c>
      <c r="AC530" s="35" t="e">
        <f>FME_Ranking_Option2!$AB530*AB$4</f>
        <v>#REF!</v>
      </c>
      <c r="AD530" s="40">
        <f>_xlfn.XLOOKUP(FME_Ranking2[[#This Row],[FME ID]],FME_Input[FME_ID],FME_Input[ROAD_MILES100])</f>
        <v>1.0524430274963379</v>
      </c>
      <c r="AE530" s="41" t="e">
        <f>FME_Ranking_Option2!$AD530*AD$4</f>
        <v>#REF!</v>
      </c>
      <c r="AF530" s="42">
        <f>FME_Ranking_Option2!$AD530/($AD$3)</f>
        <v>2.3771828406587759E-5</v>
      </c>
      <c r="AG530" s="42" t="e">
        <f>FME_Ranking_Option2!$AF530*AD$4</f>
        <v>#REF!</v>
      </c>
      <c r="AH530" s="40">
        <f>_xlfn.XLOOKUP(FME_Ranking2[[#This Row],[FME ID]],FME_Input[FME_ID],FME_Input[FARMACRE100])</f>
        <v>133.90068054199219</v>
      </c>
      <c r="AI530" s="43" t="e">
        <f>FME_Ranking_Option2!$AH530*AH$4</f>
        <v>#REF!</v>
      </c>
      <c r="AJ530" s="41">
        <f>FME_Ranking_Option2!$AH530/($AH$3)</f>
        <v>7.7750688396098083E-3</v>
      </c>
      <c r="AK530" s="44" t="e">
        <f>FME_Ranking_Option2!$AJ530*AH$4</f>
        <v>#REF!</v>
      </c>
      <c r="AL530" s="61"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30" s="58" t="e">
        <f>_xlfn.RANK.EQ(AL530,$AL$7:$AL$531)+COUNTIF(AL$7:AL530,AL530)-1</f>
        <v>#REF!</v>
      </c>
      <c r="AN530" s="44"/>
      <c r="AO530" s="58" t="e">
        <f>_xlfn.RANK.EQ(AN530,$AN$7:$AN$531)+COUNTIF(AN$7:AN530,AN530)-1</f>
        <v>#N/A</v>
      </c>
      <c r="AP530"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30" s="32" t="e">
        <f>FME_Ranking2[[#This Row],[Score Based on Reported Factors]]-FME_Ranking2[[#This Row],[Check]]</f>
        <v>#REF!</v>
      </c>
      <c r="AR530" s="32"/>
    </row>
    <row r="531" spans="1:55" ht="12" customHeight="1" x14ac:dyDescent="0.25">
      <c r="A531" s="16" t="s">
        <v>590</v>
      </c>
      <c r="B531" s="16" t="str">
        <f>_xlfn.XLOOKUP(FME_Ranking2[[#This Row],[FME ID]],FME_Input[FME_ID],FME_Input[FME_NAME])</f>
        <v>Identify and Assess Flood Risk and Potential Mitigation Solutions for Low SVI Communities</v>
      </c>
      <c r="C531" s="16" t="str">
        <f>_xlfn.XLOOKUP(FME_Ranking2[[#This Row],[FME ID]],FME_Input[FME_ID],FME_Input[DESCR])</f>
        <v>Proactively sek out these communities to more fully assess and document their flood risk, consider potential solutions, and lay out a path to implement feasible and appropriate solutions.</v>
      </c>
      <c r="D531" s="46" t="str">
        <f>_xlfn.XLOOKUP(FME_Ranking2[[#This Row],[FME ID]],FME_Input[FME_ID],FME_Input[EMER_NEED])</f>
        <v>No</v>
      </c>
      <c r="E531" s="121">
        <f>IF(FME_Ranking_Option2!$D531="Yes",100,0)</f>
        <v>0</v>
      </c>
      <c r="F531" s="47" t="str">
        <f>_xlfn.XLOOKUP(FME_Ranking2[[#This Row],[FME ID]],FME_Input[FME_ID],FME_Input[FUND])</f>
        <v>Yes</v>
      </c>
      <c r="G531" s="48">
        <f>IF(FME_Ranking_Option2!$F531="Yes",1,0)</f>
        <v>1</v>
      </c>
      <c r="H531" s="46">
        <f>_xlfn.XLOOKUP(FME_Ranking2[[#This Row],[FME ID]],FME_Input[FME_ID],FME_Input[STRUCT_100])</f>
        <v>67825</v>
      </c>
      <c r="I531" s="65" t="e">
        <f>FME_Ranking2[[#This Row],[Raw Data3]]*H$4</f>
        <v>#REF!</v>
      </c>
      <c r="J531" s="62">
        <f>((FME_Ranking_Option2!$H531)/($H$3))*100</f>
        <v>7.5372081936370741</v>
      </c>
      <c r="K531" s="49" t="e">
        <f>FME_Ranking2[[#This Row],[Norm Data3]]*H$4</f>
        <v>#REF!</v>
      </c>
      <c r="L531" s="50">
        <f>_xlfn.XLOOKUP(FME_Ranking2[[#This Row],[FME ID]],FME_Input[FME_ID],FME_Input[RES_STRUCT100])</f>
        <v>45799</v>
      </c>
      <c r="M531" s="51" t="e">
        <f>FME_Ranking2[[#This Row],[Raw Data4]]*L$4</f>
        <v>#REF!</v>
      </c>
      <c r="N531" s="29">
        <f>((FME_Ranking_Option2!$L531)/($L$3))*100</f>
        <v>6.8470868597348122</v>
      </c>
      <c r="O531" s="52" t="e">
        <f>FME_Ranking2[[#This Row],[Norm Data4]]*L$4</f>
        <v>#REF!</v>
      </c>
      <c r="P531" s="47">
        <f>_xlfn.XLOOKUP(FME_Ranking2[[#This Row],[FME ID]],FME_Input[FME_ID],FME_Input[POP100])</f>
        <v>149869</v>
      </c>
      <c r="Q531" s="48" t="e">
        <f>FME_Ranking_Option2!$P531*P$4</f>
        <v>#REF!</v>
      </c>
      <c r="R531" s="48">
        <f>FME_Ranking_Option2!$P531/($P$3)</f>
        <v>5.5005105265360024E-2</v>
      </c>
      <c r="S531" s="48" t="e">
        <f>FME_Ranking_Option2!$R531*P$4</f>
        <v>#REF!</v>
      </c>
      <c r="T531" s="50">
        <f>_xlfn.XLOOKUP(FME_Ranking2[[#This Row],[FME ID]],FME_Input[FME_ID],FME_Input[CRITFAC100])</f>
        <v>94</v>
      </c>
      <c r="U531" s="48" t="e">
        <f>FME_Ranking_Option2!$T531*T$4</f>
        <v>#REF!</v>
      </c>
      <c r="V531" s="48">
        <f>FME_Ranking_Option2!$T531/($T$3)</f>
        <v>1.3256240304611479E-2</v>
      </c>
      <c r="W531" s="48" t="e">
        <f>FME_Ranking_Option2!$V531*T$4</f>
        <v>#REF!</v>
      </c>
      <c r="X531" s="50">
        <f>_xlfn.XLOOKUP(FME_Ranking2[[#This Row],[FME ID]],FME_Input[FME_ID],FME_Input[LWC])</f>
        <v>1132</v>
      </c>
      <c r="Y531" s="48" t="e">
        <f>FME_Ranking_Option2!$X531*X$4</f>
        <v>#REF!</v>
      </c>
      <c r="Z531" s="48">
        <f>FME_Ranking_Option2!$X531/($X$3)</f>
        <v>0.10326582740375843</v>
      </c>
      <c r="AA531" s="48" t="e">
        <f>FME_Ranking_Option2!$Z531*X$4</f>
        <v>#REF!</v>
      </c>
      <c r="AB531" s="50">
        <f>_xlfn.XLOOKUP(FME_Ranking2[[#This Row],[FME ID]],FME_Input[FME_ID],FME_Input[ROADCLS])</f>
        <v>0</v>
      </c>
      <c r="AC531" s="48" t="e">
        <f>FME_Ranking_Option2!$AB531*AB$4</f>
        <v>#REF!</v>
      </c>
      <c r="AD531" s="53">
        <f>_xlfn.XLOOKUP(FME_Ranking2[[#This Row],[FME ID]],FME_Input[FME_ID],FME_Input[ROAD_MILES100])</f>
        <v>2373.857177734375</v>
      </c>
      <c r="AE531" s="54" t="e">
        <f>FME_Ranking_Option2!$AD531*AD$4</f>
        <v>#REF!</v>
      </c>
      <c r="AF531" s="55">
        <f>FME_Ranking_Option2!$AD531/($AD$3)</f>
        <v>5.3618983656618532E-2</v>
      </c>
      <c r="AG531" s="55" t="e">
        <f>FME_Ranking_Option2!$AF531*AD$4</f>
        <v>#REF!</v>
      </c>
      <c r="AH531" s="53">
        <f>_xlfn.XLOOKUP(FME_Ranking2[[#This Row],[FME ID]],FME_Input[FME_ID],FME_Input[FARMACRE100])</f>
        <v>2268491.5</v>
      </c>
      <c r="AI531" s="54" t="e">
        <f>FME_Ranking_Option2!$AH531*AH$4</f>
        <v>#REF!</v>
      </c>
      <c r="AJ531" s="56">
        <f>FME_Ranking_Option2!$AH531/($AH$3)</f>
        <v>131.72209060609228</v>
      </c>
      <c r="AK531" s="57" t="e">
        <f>FME_Ranking_Option2!$AJ531*AH$4</f>
        <v>#REF!</v>
      </c>
      <c r="AL531" s="60" t="e">
        <f>FME_Ranking2[[#This Row],[Raw Score1]]*D$4+FME_Ranking2[[#This Row],[Raw Score2]]*F$4+FME_Ranking2[[#This Row],[Raw Data3]]*H$4+FME_Ranking2[[#This Row],[Raw Data4]]*L$4+FME_Ranking2[[#This Row],[Raw Data5]]*P$4+FME_Ranking2[[#This Row],[Raw Data6]]*T$4+FME_Ranking2[[#This Row],[Raw Data7]]*X$4+FME_Ranking2[[#This Row],[Raw Data8]]*AB$4+FME_Ranking2[[#This Row],[Raw Data9]]*AD$4+FME_Ranking2[[#This Row],[Raw Data10]]*AH$4</f>
        <v>#REF!</v>
      </c>
      <c r="AM531" s="45" t="e">
        <f>_xlfn.RANK.EQ(AL531,$AL$7:$AL$531)+COUNTIF(AL$7:AL531,AL531)-1</f>
        <v>#REF!</v>
      </c>
      <c r="AN531" s="57"/>
      <c r="AO531" s="45" t="e">
        <f>_xlfn.RANK.EQ(AN531,$AN$7:$AN$531)+COUNTIF(AN$7:AN531,AN531)-1</f>
        <v>#N/A</v>
      </c>
      <c r="AP531" s="31" t="e">
        <f>FME_Ranking2[[#This Row],[Raw Score1]]*D$4+FME_Ranking2[[#This Row],[Raw Score2]]*F$4+FME_Ranking2[[#This Row],[Raw Score3]]+FME_Ranking2[[#This Row],[Raw Score4]]+FME_Ranking2[[#This Row],[Raw Score5]]+FME_Ranking2[[#This Row],[Raw Score6]]+FME_Ranking2[[#This Row],[Raw Score7]]+FME_Ranking2[[#This Row],[Raw Score8]]+FME_Ranking2[[#This Row],[Raw Score9]]+FME_Ranking2[[#This Row],[Raw Score10]]</f>
        <v>#REF!</v>
      </c>
      <c r="AQ531" s="32" t="e">
        <f>FME_Ranking2[[#This Row],[Score Based on Reported Factors]]-FME_Ranking2[[#This Row],[Check]]</f>
        <v>#REF!</v>
      </c>
      <c r="AR531" s="32"/>
      <c r="AT531" s="19"/>
      <c r="AU531" s="19"/>
      <c r="AV531" s="19"/>
      <c r="AW531" s="19"/>
      <c r="AX531" s="19"/>
      <c r="AY531" s="19"/>
      <c r="AZ531" s="19"/>
      <c r="BA531" s="19"/>
      <c r="BB531" s="19"/>
      <c r="BC531" s="19"/>
    </row>
  </sheetData>
  <mergeCells count="44">
    <mergeCell ref="AT12:AU12"/>
    <mergeCell ref="D5:E5"/>
    <mergeCell ref="F5:G5"/>
    <mergeCell ref="H5:K5"/>
    <mergeCell ref="L5:O5"/>
    <mergeCell ref="P5:S5"/>
    <mergeCell ref="T5:W5"/>
    <mergeCell ref="X5:AA5"/>
    <mergeCell ref="AB5:AC5"/>
    <mergeCell ref="AD5:AG5"/>
    <mergeCell ref="AH5:AK5"/>
    <mergeCell ref="AU5:BB5"/>
    <mergeCell ref="T2:W2"/>
    <mergeCell ref="AU3:BA3"/>
    <mergeCell ref="D4:E4"/>
    <mergeCell ref="F4:G4"/>
    <mergeCell ref="H4:K4"/>
    <mergeCell ref="L4:O4"/>
    <mergeCell ref="AH4:AK4"/>
    <mergeCell ref="X3:AA3"/>
    <mergeCell ref="AB3:AC3"/>
    <mergeCell ref="AD3:AG3"/>
    <mergeCell ref="AH3:AK3"/>
    <mergeCell ref="P4:S4"/>
    <mergeCell ref="T4:W4"/>
    <mergeCell ref="X4:AA4"/>
    <mergeCell ref="AB4:AC4"/>
    <mergeCell ref="AD4:AG4"/>
    <mergeCell ref="A1:B5"/>
    <mergeCell ref="X2:AA2"/>
    <mergeCell ref="AB2:AC2"/>
    <mergeCell ref="AD2:AG2"/>
    <mergeCell ref="AH2:AK2"/>
    <mergeCell ref="D3:E3"/>
    <mergeCell ref="F3:G3"/>
    <mergeCell ref="H3:K3"/>
    <mergeCell ref="L3:O3"/>
    <mergeCell ref="P3:S3"/>
    <mergeCell ref="T3:W3"/>
    <mergeCell ref="D2:E2"/>
    <mergeCell ref="F2:G2"/>
    <mergeCell ref="H2:K2"/>
    <mergeCell ref="L2:O2"/>
    <mergeCell ref="P2:S2"/>
  </mergeCells>
  <conditionalFormatting sqref="D2:AK2">
    <cfRule type="cellIs" dxfId="49" priority="1" operator="equal">
      <formula>"Yes"</formula>
    </cfRule>
    <cfRule type="cellIs" dxfId="48" priority="2" operator="equal">
      <formula>"No"</formula>
    </cfRule>
  </conditionalFormatting>
  <hyperlinks>
    <hyperlink ref="BC6" r:id="rId1" xr:uid="{2A8EE069-0B36-4D66-910F-9A8EDF26FBE3}"/>
  </hyperlinks>
  <pageMargins left="0.7" right="0.7" top="0.75" bottom="0.75" header="0.3" footer="0.3"/>
  <pageSetup orientation="portrait"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966A5-BDC3-47F2-B2AB-C15287113F8C}">
  <dimension ref="A1:H29"/>
  <sheetViews>
    <sheetView topLeftCell="A6" workbookViewId="0">
      <selection activeCell="H16" sqref="H16"/>
    </sheetView>
  </sheetViews>
  <sheetFormatPr defaultColWidth="9.140625" defaultRowHeight="15" x14ac:dyDescent="0.25"/>
  <cols>
    <col min="1" max="1" width="37.140625" customWidth="1"/>
    <col min="2" max="2" width="17.140625" customWidth="1"/>
    <col min="3" max="3" width="52.42578125" customWidth="1"/>
    <col min="4" max="4" width="8.42578125" customWidth="1"/>
    <col min="6" max="6" width="8.140625" customWidth="1"/>
    <col min="8" max="8" width="97.7109375" customWidth="1"/>
  </cols>
  <sheetData>
    <row r="1" spans="1:6" x14ac:dyDescent="0.25">
      <c r="A1" t="s">
        <v>9</v>
      </c>
    </row>
    <row r="2" spans="1:6" ht="45" x14ac:dyDescent="0.25">
      <c r="A2" s="403" t="s">
        <v>10</v>
      </c>
      <c r="B2" s="404" t="s">
        <v>11</v>
      </c>
      <c r="C2" s="7" t="s">
        <v>12</v>
      </c>
      <c r="D2" s="7" t="s">
        <v>13</v>
      </c>
      <c r="E2" s="7" t="s">
        <v>13</v>
      </c>
      <c r="F2" s="7" t="s">
        <v>32</v>
      </c>
    </row>
    <row r="3" spans="1:6" ht="90" x14ac:dyDescent="0.25">
      <c r="A3" s="403"/>
      <c r="B3" s="404"/>
      <c r="C3" s="7" t="s">
        <v>33</v>
      </c>
      <c r="D3" s="7" t="s">
        <v>32</v>
      </c>
      <c r="E3" s="7" t="s">
        <v>13</v>
      </c>
      <c r="F3" s="7" t="s">
        <v>13</v>
      </c>
    </row>
    <row r="4" spans="1:6" x14ac:dyDescent="0.25">
      <c r="A4" s="403"/>
      <c r="B4" s="404"/>
      <c r="C4" s="7" t="s">
        <v>14</v>
      </c>
      <c r="D4" s="7"/>
      <c r="E4" s="7"/>
      <c r="F4" s="7"/>
    </row>
    <row r="5" spans="1:6" x14ac:dyDescent="0.25">
      <c r="A5" s="403"/>
      <c r="B5" s="403" t="s">
        <v>15</v>
      </c>
      <c r="C5" s="403"/>
      <c r="D5" s="7" t="s">
        <v>13</v>
      </c>
      <c r="E5" s="7" t="s">
        <v>13</v>
      </c>
      <c r="F5" s="7" t="s">
        <v>13</v>
      </c>
    </row>
    <row r="6" spans="1:6" x14ac:dyDescent="0.25">
      <c r="A6" s="403"/>
      <c r="B6" s="403" t="s">
        <v>16</v>
      </c>
      <c r="C6" s="7" t="s">
        <v>17</v>
      </c>
      <c r="D6" s="7"/>
      <c r="E6" s="7" t="s">
        <v>13</v>
      </c>
      <c r="F6" s="7"/>
    </row>
    <row r="7" spans="1:6" x14ac:dyDescent="0.25">
      <c r="A7" s="403"/>
      <c r="B7" s="403"/>
      <c r="C7" s="7" t="s">
        <v>18</v>
      </c>
      <c r="D7" s="7" t="s">
        <v>32</v>
      </c>
      <c r="E7" s="7" t="s">
        <v>13</v>
      </c>
      <c r="F7" s="7" t="s">
        <v>34</v>
      </c>
    </row>
    <row r="8" spans="1:6" ht="30" x14ac:dyDescent="0.25">
      <c r="A8" s="403"/>
      <c r="B8" s="403"/>
      <c r="C8" s="7" t="s">
        <v>19</v>
      </c>
      <c r="D8" s="7" t="s">
        <v>32</v>
      </c>
      <c r="E8" s="7" t="s">
        <v>13</v>
      </c>
      <c r="F8" s="7" t="s">
        <v>32</v>
      </c>
    </row>
    <row r="9" spans="1:6" x14ac:dyDescent="0.25">
      <c r="A9" s="403"/>
      <c r="B9" s="403"/>
      <c r="C9" s="7" t="s">
        <v>20</v>
      </c>
      <c r="D9" s="7" t="s">
        <v>32</v>
      </c>
      <c r="E9" s="7" t="s">
        <v>13</v>
      </c>
      <c r="F9" s="7" t="s">
        <v>32</v>
      </c>
    </row>
    <row r="10" spans="1:6" x14ac:dyDescent="0.25">
      <c r="A10" s="403"/>
      <c r="B10" s="403"/>
      <c r="C10" s="7" t="s">
        <v>35</v>
      </c>
      <c r="D10" s="7" t="s">
        <v>32</v>
      </c>
      <c r="E10" s="7" t="s">
        <v>13</v>
      </c>
      <c r="F10" s="7" t="s">
        <v>32</v>
      </c>
    </row>
    <row r="11" spans="1:6" ht="30" x14ac:dyDescent="0.25">
      <c r="A11" s="403"/>
      <c r="B11" s="403"/>
      <c r="C11" s="7" t="s">
        <v>21</v>
      </c>
      <c r="D11" s="7" t="s">
        <v>32</v>
      </c>
      <c r="E11" s="7" t="s">
        <v>13</v>
      </c>
      <c r="F11" s="7" t="s">
        <v>32</v>
      </c>
    </row>
    <row r="12" spans="1:6" x14ac:dyDescent="0.25">
      <c r="A12" s="403"/>
      <c r="B12" s="403"/>
      <c r="C12" s="7" t="s">
        <v>22</v>
      </c>
      <c r="D12" s="7" t="s">
        <v>32</v>
      </c>
      <c r="E12" s="7" t="s">
        <v>13</v>
      </c>
      <c r="F12" s="7" t="s">
        <v>32</v>
      </c>
    </row>
    <row r="13" spans="1:6" x14ac:dyDescent="0.25">
      <c r="A13" s="403"/>
      <c r="B13" s="403"/>
      <c r="C13" s="7" t="s">
        <v>23</v>
      </c>
      <c r="D13" s="7" t="s">
        <v>32</v>
      </c>
      <c r="E13" s="7" t="s">
        <v>13</v>
      </c>
      <c r="F13" s="7" t="s">
        <v>32</v>
      </c>
    </row>
    <row r="14" spans="1:6" x14ac:dyDescent="0.25">
      <c r="A14" s="403"/>
      <c r="B14" s="403"/>
      <c r="C14" s="7" t="s">
        <v>24</v>
      </c>
      <c r="D14" s="7" t="s">
        <v>32</v>
      </c>
      <c r="E14" s="7" t="s">
        <v>13</v>
      </c>
      <c r="F14" s="7" t="s">
        <v>32</v>
      </c>
    </row>
    <row r="15" spans="1:6" x14ac:dyDescent="0.25">
      <c r="A15" s="403"/>
      <c r="B15" s="403"/>
      <c r="C15" s="7" t="s">
        <v>25</v>
      </c>
      <c r="D15" s="7" t="s">
        <v>32</v>
      </c>
      <c r="E15" s="7" t="s">
        <v>13</v>
      </c>
      <c r="F15" s="7" t="s">
        <v>32</v>
      </c>
    </row>
    <row r="16" spans="1:6" x14ac:dyDescent="0.25">
      <c r="A16" s="403"/>
      <c r="B16" s="403"/>
      <c r="C16" s="7" t="s">
        <v>26</v>
      </c>
      <c r="D16" s="7" t="s">
        <v>32</v>
      </c>
      <c r="E16" s="7" t="s">
        <v>13</v>
      </c>
      <c r="F16" s="7" t="s">
        <v>32</v>
      </c>
    </row>
    <row r="17" spans="1:8" x14ac:dyDescent="0.25">
      <c r="A17" s="403"/>
      <c r="B17" s="403"/>
      <c r="C17" s="7" t="s">
        <v>27</v>
      </c>
      <c r="D17" s="7" t="s">
        <v>32</v>
      </c>
      <c r="E17" s="7" t="s">
        <v>13</v>
      </c>
      <c r="F17" s="7" t="s">
        <v>32</v>
      </c>
    </row>
    <row r="18" spans="1:8" ht="42.75" customHeight="1" x14ac:dyDescent="0.25">
      <c r="A18" s="403"/>
      <c r="B18" s="7" t="s">
        <v>36</v>
      </c>
      <c r="C18" s="7" t="s">
        <v>28</v>
      </c>
      <c r="D18" s="7" t="s">
        <v>32</v>
      </c>
      <c r="E18" s="7" t="s">
        <v>13</v>
      </c>
      <c r="F18" s="7" t="s">
        <v>32</v>
      </c>
    </row>
    <row r="19" spans="1:8" x14ac:dyDescent="0.25">
      <c r="A19" s="7" t="s">
        <v>37</v>
      </c>
      <c r="B19" s="7"/>
      <c r="C19" s="7"/>
      <c r="D19" s="7" t="s">
        <v>32</v>
      </c>
      <c r="E19" s="7" t="s">
        <v>13</v>
      </c>
      <c r="F19" s="7" t="s">
        <v>32</v>
      </c>
    </row>
    <row r="20" spans="1:8" x14ac:dyDescent="0.25">
      <c r="A20" s="403" t="s">
        <v>38</v>
      </c>
      <c r="B20" s="403"/>
      <c r="C20" s="7"/>
      <c r="D20" s="7" t="s">
        <v>32</v>
      </c>
      <c r="E20" s="7" t="s">
        <v>13</v>
      </c>
      <c r="F20" s="7" t="s">
        <v>32</v>
      </c>
    </row>
    <row r="21" spans="1:8" x14ac:dyDescent="0.25">
      <c r="A21" s="403"/>
      <c r="B21" s="403"/>
      <c r="C21" s="7" t="s">
        <v>29</v>
      </c>
      <c r="D21" s="7" t="s">
        <v>32</v>
      </c>
      <c r="E21" s="7" t="s">
        <v>13</v>
      </c>
      <c r="F21" s="7" t="s">
        <v>32</v>
      </c>
    </row>
    <row r="22" spans="1:8" x14ac:dyDescent="0.25">
      <c r="A22" s="403"/>
      <c r="B22" s="403"/>
      <c r="C22" s="7" t="s">
        <v>30</v>
      </c>
      <c r="D22" s="7" t="s">
        <v>32</v>
      </c>
      <c r="E22" s="7" t="s">
        <v>13</v>
      </c>
      <c r="F22" s="7" t="s">
        <v>32</v>
      </c>
    </row>
    <row r="23" spans="1:8" x14ac:dyDescent="0.25">
      <c r="A23" s="7" t="s">
        <v>39</v>
      </c>
      <c r="B23" s="7"/>
      <c r="C23" s="7" t="s">
        <v>31</v>
      </c>
      <c r="D23" s="7" t="s">
        <v>13</v>
      </c>
      <c r="E23" s="7" t="s">
        <v>13</v>
      </c>
      <c r="F23" s="7" t="s">
        <v>32</v>
      </c>
    </row>
    <row r="24" spans="1:8" x14ac:dyDescent="0.25">
      <c r="A24" s="5"/>
      <c r="B24" s="6" t="s">
        <v>40</v>
      </c>
      <c r="C24" s="7"/>
      <c r="D24" s="7" t="s">
        <v>13</v>
      </c>
      <c r="E24" s="7" t="s">
        <v>13</v>
      </c>
      <c r="F24" s="7" t="s">
        <v>32</v>
      </c>
    </row>
    <row r="25" spans="1:8" ht="15.75" thickBot="1" x14ac:dyDescent="0.3">
      <c r="A25" s="3" t="s">
        <v>41</v>
      </c>
      <c r="C25" s="4"/>
      <c r="D25" s="2"/>
      <c r="E25" s="2"/>
      <c r="F25" s="2"/>
    </row>
    <row r="26" spans="1:8" x14ac:dyDescent="0.25">
      <c r="A26" s="3" t="s">
        <v>42</v>
      </c>
    </row>
    <row r="29" spans="1:8" ht="409.5" x14ac:dyDescent="0.25">
      <c r="H29" s="1" t="s">
        <v>43</v>
      </c>
    </row>
  </sheetData>
  <mergeCells count="5">
    <mergeCell ref="A20:B22"/>
    <mergeCell ref="B2:B4"/>
    <mergeCell ref="A2:A18"/>
    <mergeCell ref="B5:C5"/>
    <mergeCell ref="B6:B1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3269e811-7f04-4174-bcb6-abf8833d7adb">
      <UserInfo>
        <DisplayName>Steven Richter</DisplayName>
        <AccountId>80</AccountId>
        <AccountType/>
      </UserInfo>
      <UserInfo>
        <DisplayName>Cynthia Roush</DisplayName>
        <AccountId>81</AccountId>
        <AccountType/>
      </UserInfo>
      <UserInfo>
        <DisplayName>James Bronikowski</DisplayName>
        <AccountId>7</AccountId>
        <AccountType/>
      </UserInfo>
      <UserInfo>
        <DisplayName>Saul Nuccitelli</DisplayName>
        <AccountId>20</AccountId>
        <AccountType/>
      </UserInfo>
      <UserInfo>
        <DisplayName>Matt Nelson</DisplayName>
        <AccountId>10</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0732E37B2CC9B4D82EDF3696AFA095B" ma:contentTypeVersion="6" ma:contentTypeDescription="Create a new document." ma:contentTypeScope="" ma:versionID="4c0ef70e396e54cc340033760fd17c6e">
  <xsd:schema xmlns:xsd="http://www.w3.org/2001/XMLSchema" xmlns:xs="http://www.w3.org/2001/XMLSchema" xmlns:p="http://schemas.microsoft.com/office/2006/metadata/properties" xmlns:ns2="f9b74f84-a68c-4b05-aa05-16814dce6c3c" xmlns:ns3="3269e811-7f04-4174-bcb6-abf8833d7adb" targetNamespace="http://schemas.microsoft.com/office/2006/metadata/properties" ma:root="true" ma:fieldsID="92cb26cd296c30629a884728a0ef26d3" ns2:_="" ns3:_="">
    <xsd:import namespace="f9b74f84-a68c-4b05-aa05-16814dce6c3c"/>
    <xsd:import namespace="3269e811-7f04-4174-bcb6-abf8833d7ad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b74f84-a68c-4b05-aa05-16814dce6c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269e811-7f04-4174-bcb6-abf8833d7ad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FEB7929-CC98-497A-A8EB-D66185194AC4}">
  <ds:schemaRefs>
    <ds:schemaRef ds:uri="http://purl.org/dc/terms/"/>
    <ds:schemaRef ds:uri="http://schemas.openxmlformats.org/package/2006/metadata/core-properties"/>
    <ds:schemaRef ds:uri="http://purl.org/dc/dcmitype/"/>
    <ds:schemaRef ds:uri="f9b74f84-a68c-4b05-aa05-16814dce6c3c"/>
    <ds:schemaRef ds:uri="http://schemas.microsoft.com/office/2006/documentManagement/types"/>
    <ds:schemaRef ds:uri="http://schemas.microsoft.com/office/2006/metadata/properties"/>
    <ds:schemaRef ds:uri="3269e811-7f04-4174-bcb6-abf8833d7adb"/>
    <ds:schemaRef ds:uri="http://schemas.microsoft.com/office/infopath/2007/PartnerControls"/>
    <ds:schemaRef ds:uri="http://www.w3.org/XML/1998/namespace"/>
    <ds:schemaRef ds:uri="http://purl.org/dc/elements/1.1/"/>
  </ds:schemaRefs>
</ds:datastoreItem>
</file>

<file path=customXml/itemProps2.xml><?xml version="1.0" encoding="utf-8"?>
<ds:datastoreItem xmlns:ds="http://schemas.openxmlformats.org/officeDocument/2006/customXml" ds:itemID="{0554BC9A-C68C-401C-914A-D2FC7F56D4AD}">
  <ds:schemaRefs>
    <ds:schemaRef ds:uri="http://schemas.microsoft.com/sharepoint/v3/contenttype/forms"/>
  </ds:schemaRefs>
</ds:datastoreItem>
</file>

<file path=customXml/itemProps3.xml><?xml version="1.0" encoding="utf-8"?>
<ds:datastoreItem xmlns:ds="http://schemas.openxmlformats.org/officeDocument/2006/customXml" ds:itemID="{E6C1D643-F011-46D1-9177-A9FD044619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b74f84-a68c-4b05-aa05-16814dce6c3c"/>
    <ds:schemaRef ds:uri="3269e811-7f04-4174-bcb6-abf8833d7a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Read_Me</vt:lpstr>
      <vt:lpstr>FME_Input</vt:lpstr>
      <vt:lpstr>Ranking_Criteria</vt:lpstr>
      <vt:lpstr>FME_Ranking</vt:lpstr>
      <vt:lpstr>FME_Ranking_Option2</vt:lpstr>
      <vt:lpstr>Cost_Estimate_delete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Reem Zoun</dc:creator>
  <cp:keywords/>
  <dc:description/>
  <cp:lastModifiedBy>Tressa Olsen</cp:lastModifiedBy>
  <cp:revision/>
  <dcterms:created xsi:type="dcterms:W3CDTF">2015-06-05T18:17:20Z</dcterms:created>
  <dcterms:modified xsi:type="dcterms:W3CDTF">2023-03-01T21:03:50Z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0x01010030732E37B2CC9B4D82EDF3696AFA095B</vt:lpwstr>
  </property>
  <property fmtid="{D5CDD505-2E9C-101B-9397-08002B2CF9AE}" pid="3" name="Order">
    <vt:r8>7100</vt:r8>
  </property>
  <property fmtid="{D5CDD505-2E9C-101B-9397-08002B2CF9AE}" pid="4" name="ComplianceAssetId">
    <vt:lpwstr/>
  </property>
</Properties>
</file>